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O:\WSI\PAR\Program Administration\State Programs\FIF\~SFY 2026-2027 FIF\IUP Planning\Public Notice and EBlast\SFP FMX Lists\"/>
    </mc:Choice>
  </mc:AlternateContent>
  <xr:revisionPtr revIDLastSave="0" documentId="13_ncr:1_{EE02A344-A461-43D5-813C-0951FAACF69C}" xr6:coauthVersionLast="47" xr6:coauthVersionMax="47" xr10:uidLastSave="{00000000-0000-0000-0000-000000000000}"/>
  <workbookProtection workbookAlgorithmName="SHA-512" workbookHashValue="wdyArDdA44MQYCSJTDTAx3tv95Kzy5Ggtq19YW1uo2SpgTBjN5p++uF9/zHW69Xtr+xAFgcULTiOkdPEJ2vtZg==" workbookSaltValue="ZQgjJCpg2B48NUMliV8/4A==" workbookSpinCount="100000" lockStructure="1"/>
  <bookViews>
    <workbookView xWindow="-120" yWindow="-120" windowWidth="29040" windowHeight="15720" xr2:uid="{218DA5A0-5844-4E86-BA35-031889728238}"/>
  </bookViews>
  <sheets>
    <sheet name="Read_Me" sheetId="4" r:id="rId1"/>
    <sheet name="FMS_InputData" sheetId="2" r:id="rId2"/>
    <sheet name="Ranking_Criteria" sheetId="6" r:id="rId3"/>
    <sheet name="FMS_Ranking" sheetId="7" r:id="rId4"/>
    <sheet name="Sponsor" sheetId="18" state="hidden" r:id="rId5"/>
    <sheet name="Project_Type_Scoring" sheetId="13" state="hidden" r:id="rId6"/>
    <sheet name="Prev_Rank" sheetId="17" state="hidden" r:id="rId7"/>
    <sheet name="Entity_Lookup" sheetId="14" state="hidden" r:id="rId8"/>
    <sheet name="Sponsor_Lookup" sheetId="15" state="hidden" r:id="rId9"/>
    <sheet name="About Lookups" sheetId="16" state="hidden" r:id="rId10"/>
  </sheets>
  <externalReferences>
    <externalReference r:id="rId11"/>
  </externalReferences>
  <definedNames>
    <definedName name="_xlnm._FilterDatabase" localSheetId="5" hidden="1">Project_Type_Scoring!$A$2:$B$8</definedName>
    <definedName name="_xlnm.Print_Area" localSheetId="3">FMS_Ranking!$B:$EL</definedName>
    <definedName name="_xlnm.Print_Titles" localSheetId="3">FMS_Ranking!$7:$7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7" l="1"/>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E8" i="7"/>
  <c r="BO357" i="7"/>
  <c r="BO55" i="7"/>
  <c r="BO47" i="7"/>
  <c r="BO48" i="7"/>
  <c r="BO49" i="7"/>
  <c r="BO65" i="7"/>
  <c r="BO505" i="7"/>
  <c r="BO493" i="7"/>
  <c r="BO155" i="7"/>
  <c r="BO156" i="7"/>
  <c r="BO157" i="7"/>
  <c r="BO337" i="7"/>
  <c r="BO379" i="7"/>
  <c r="BO188" i="7"/>
  <c r="BO189" i="7"/>
  <c r="BO353" i="7"/>
  <c r="BO327" i="7"/>
  <c r="BO223" i="7"/>
  <c r="BO224" i="7"/>
  <c r="BO296" i="7"/>
  <c r="BO743" i="7"/>
  <c r="BO131" i="7"/>
  <c r="BO130" i="7"/>
  <c r="BO553" i="7"/>
  <c r="BO217" i="7"/>
  <c r="BO458" i="7"/>
  <c r="BO739" i="7"/>
  <c r="BO192" i="7"/>
  <c r="BO142" i="7"/>
  <c r="BO121" i="7"/>
  <c r="BO572" i="7"/>
  <c r="BO471" i="7"/>
  <c r="C357" i="7"/>
  <c r="C55" i="7"/>
  <c r="C47" i="7"/>
  <c r="BV47" i="7" s="1"/>
  <c r="C48" i="7"/>
  <c r="BV48" i="7" s="1"/>
  <c r="C49" i="7"/>
  <c r="C65" i="7"/>
  <c r="C505" i="7"/>
  <c r="BV505" i="7" s="1"/>
  <c r="C493" i="7"/>
  <c r="C155" i="7"/>
  <c r="BV155" i="7" s="1"/>
  <c r="C156" i="7"/>
  <c r="C157" i="7"/>
  <c r="C337" i="7"/>
  <c r="C379" i="7"/>
  <c r="C188" i="7"/>
  <c r="BV188" i="7" s="1"/>
  <c r="C189" i="7"/>
  <c r="BV189" i="7" s="1"/>
  <c r="C353" i="7"/>
  <c r="BV353" i="7" s="1"/>
  <c r="C327" i="7"/>
  <c r="C223" i="7"/>
  <c r="C224" i="7"/>
  <c r="C296" i="7"/>
  <c r="BV296" i="7" s="1"/>
  <c r="C743" i="7"/>
  <c r="BV743" i="7" s="1"/>
  <c r="C131" i="7"/>
  <c r="BV131" i="7" s="1"/>
  <c r="C130" i="7"/>
  <c r="C553" i="7"/>
  <c r="BV553" i="7" s="1"/>
  <c r="C217" i="7"/>
  <c r="C458" i="7"/>
  <c r="C739" i="7"/>
  <c r="BV739" i="7" s="1"/>
  <c r="C192" i="7"/>
  <c r="BV192" i="7" s="1"/>
  <c r="C142" i="7"/>
  <c r="C121" i="7"/>
  <c r="C572" i="7"/>
  <c r="C471" i="7"/>
  <c r="BV471" i="7" s="1"/>
  <c r="D357" i="7"/>
  <c r="D55" i="7"/>
  <c r="D47" i="7"/>
  <c r="D48" i="7"/>
  <c r="D49" i="7"/>
  <c r="D65" i="7"/>
  <c r="D505" i="7"/>
  <c r="D493" i="7"/>
  <c r="D155" i="7"/>
  <c r="D156" i="7"/>
  <c r="D157" i="7"/>
  <c r="D337" i="7"/>
  <c r="D379" i="7"/>
  <c r="D188" i="7"/>
  <c r="D189" i="7"/>
  <c r="D353" i="7"/>
  <c r="D327" i="7"/>
  <c r="D223" i="7"/>
  <c r="D224" i="7"/>
  <c r="D296" i="7"/>
  <c r="D743" i="7"/>
  <c r="D131" i="7"/>
  <c r="D130" i="7"/>
  <c r="D553" i="7"/>
  <c r="D217" i="7"/>
  <c r="D458" i="7"/>
  <c r="D739" i="7"/>
  <c r="D192" i="7"/>
  <c r="D142" i="7"/>
  <c r="D121" i="7"/>
  <c r="D572" i="7"/>
  <c r="D471" i="7"/>
  <c r="E357" i="7"/>
  <c r="E55" i="7"/>
  <c r="E47" i="7"/>
  <c r="E48" i="7"/>
  <c r="E49" i="7"/>
  <c r="E65" i="7"/>
  <c r="E505" i="7"/>
  <c r="E493" i="7"/>
  <c r="E155" i="7"/>
  <c r="E156" i="7"/>
  <c r="E157" i="7"/>
  <c r="E337" i="7"/>
  <c r="E379" i="7"/>
  <c r="E188" i="7"/>
  <c r="E189" i="7"/>
  <c r="E353" i="7"/>
  <c r="E327" i="7"/>
  <c r="E223" i="7"/>
  <c r="E224" i="7"/>
  <c r="E296" i="7"/>
  <c r="E743" i="7"/>
  <c r="E131" i="7"/>
  <c r="E130" i="7"/>
  <c r="E553" i="7"/>
  <c r="E217" i="7"/>
  <c r="E458" i="7"/>
  <c r="E739" i="7"/>
  <c r="E192" i="7"/>
  <c r="E142" i="7"/>
  <c r="E121" i="7"/>
  <c r="E572" i="7"/>
  <c r="E471" i="7"/>
  <c r="G357" i="7"/>
  <c r="G55" i="7"/>
  <c r="G47" i="7"/>
  <c r="G48" i="7"/>
  <c r="G49" i="7"/>
  <c r="G65" i="7"/>
  <c r="G505" i="7"/>
  <c r="G493" i="7"/>
  <c r="G155" i="7"/>
  <c r="G156" i="7"/>
  <c r="G157" i="7"/>
  <c r="G337" i="7"/>
  <c r="G379" i="7"/>
  <c r="G188" i="7"/>
  <c r="G189" i="7"/>
  <c r="G353" i="7"/>
  <c r="G327" i="7"/>
  <c r="G223" i="7"/>
  <c r="G224" i="7"/>
  <c r="G296" i="7"/>
  <c r="G743" i="7"/>
  <c r="G131" i="7"/>
  <c r="G130" i="7"/>
  <c r="G553" i="7"/>
  <c r="G217" i="7"/>
  <c r="G458" i="7"/>
  <c r="G739" i="7"/>
  <c r="G192" i="7"/>
  <c r="G142" i="7"/>
  <c r="G121" i="7"/>
  <c r="G572" i="7"/>
  <c r="G471" i="7"/>
  <c r="H357" i="7"/>
  <c r="CC357" i="7" s="1"/>
  <c r="H55" i="7"/>
  <c r="BY55" i="7" s="1"/>
  <c r="H47" i="7"/>
  <c r="H48" i="7"/>
  <c r="H49" i="7"/>
  <c r="H65" i="7"/>
  <c r="H505" i="7"/>
  <c r="BY505" i="7" s="1"/>
  <c r="H493" i="7"/>
  <c r="BD493" i="7" s="1"/>
  <c r="H155" i="7"/>
  <c r="H156" i="7"/>
  <c r="BZ156" i="7" s="1"/>
  <c r="H157" i="7"/>
  <c r="H337" i="7"/>
  <c r="CC337" i="7" s="1"/>
  <c r="H379" i="7"/>
  <c r="CA379" i="7" s="1"/>
  <c r="H188" i="7"/>
  <c r="CC188" i="7" s="1"/>
  <c r="H189" i="7"/>
  <c r="H353" i="7"/>
  <c r="CB353" i="7" s="1"/>
  <c r="H327" i="7"/>
  <c r="H223" i="7"/>
  <c r="H224" i="7"/>
  <c r="CD224" i="7" s="1"/>
  <c r="H296" i="7"/>
  <c r="BZ296" i="7" s="1"/>
  <c r="H743" i="7"/>
  <c r="CC743" i="7" s="1"/>
  <c r="H131" i="7"/>
  <c r="H130" i="7"/>
  <c r="H553" i="7"/>
  <c r="H217" i="7"/>
  <c r="BZ217" i="7" s="1"/>
  <c r="H458" i="7"/>
  <c r="CD458" i="7" s="1"/>
  <c r="H739" i="7"/>
  <c r="BD739" i="7" s="1"/>
  <c r="H192" i="7"/>
  <c r="H142" i="7"/>
  <c r="H121" i="7"/>
  <c r="CB121" i="7" s="1"/>
  <c r="H572" i="7"/>
  <c r="CA572" i="7" s="1"/>
  <c r="H471" i="7"/>
  <c r="I357" i="7"/>
  <c r="I55" i="7"/>
  <c r="I47" i="7"/>
  <c r="I48" i="7"/>
  <c r="I49" i="7"/>
  <c r="I65" i="7"/>
  <c r="I505" i="7"/>
  <c r="I493" i="7"/>
  <c r="I155" i="7"/>
  <c r="I156" i="7"/>
  <c r="I157" i="7"/>
  <c r="I337" i="7"/>
  <c r="I379" i="7"/>
  <c r="I188" i="7"/>
  <c r="I189" i="7"/>
  <c r="I353" i="7"/>
  <c r="I327" i="7"/>
  <c r="I223" i="7"/>
  <c r="I224" i="7"/>
  <c r="I296" i="7"/>
  <c r="I743" i="7"/>
  <c r="I131" i="7"/>
  <c r="I130" i="7"/>
  <c r="I553" i="7"/>
  <c r="I217" i="7"/>
  <c r="I458" i="7"/>
  <c r="I739" i="7"/>
  <c r="I192" i="7"/>
  <c r="I142" i="7"/>
  <c r="I121" i="7"/>
  <c r="I572" i="7"/>
  <c r="I471" i="7"/>
  <c r="J357" i="7"/>
  <c r="J55" i="7"/>
  <c r="J47" i="7"/>
  <c r="J48" i="7"/>
  <c r="J49" i="7"/>
  <c r="J65" i="7"/>
  <c r="J505" i="7"/>
  <c r="J493" i="7"/>
  <c r="J155" i="7"/>
  <c r="J156" i="7"/>
  <c r="J157" i="7"/>
  <c r="J337" i="7"/>
  <c r="J379" i="7"/>
  <c r="J188" i="7"/>
  <c r="J189" i="7"/>
  <c r="J353" i="7"/>
  <c r="J327" i="7"/>
  <c r="J223" i="7"/>
  <c r="J224" i="7"/>
  <c r="J296" i="7"/>
  <c r="J743" i="7"/>
  <c r="J131" i="7"/>
  <c r="J130" i="7"/>
  <c r="J553" i="7"/>
  <c r="J217" i="7"/>
  <c r="J458" i="7"/>
  <c r="J739" i="7"/>
  <c r="J192" i="7"/>
  <c r="J142" i="7"/>
  <c r="J121" i="7"/>
  <c r="J572" i="7"/>
  <c r="J471" i="7"/>
  <c r="K357" i="7"/>
  <c r="L357" i="7" s="1"/>
  <c r="K55" i="7"/>
  <c r="L55" i="7" s="1"/>
  <c r="K47" i="7"/>
  <c r="L47" i="7" s="1"/>
  <c r="K48" i="7"/>
  <c r="L48" i="7" s="1"/>
  <c r="K49" i="7"/>
  <c r="L49" i="7" s="1"/>
  <c r="K65" i="7"/>
  <c r="L65" i="7" s="1"/>
  <c r="K505" i="7"/>
  <c r="L505" i="7" s="1"/>
  <c r="K493" i="7"/>
  <c r="L493" i="7" s="1"/>
  <c r="K155" i="7"/>
  <c r="L155" i="7" s="1"/>
  <c r="K156" i="7"/>
  <c r="L156" i="7" s="1"/>
  <c r="K157" i="7"/>
  <c r="L157" i="7" s="1"/>
  <c r="K337" i="7"/>
  <c r="L337" i="7" s="1"/>
  <c r="K379" i="7"/>
  <c r="L379" i="7" s="1"/>
  <c r="K188" i="7"/>
  <c r="L188" i="7" s="1"/>
  <c r="K189" i="7"/>
  <c r="L189" i="7" s="1"/>
  <c r="K353" i="7"/>
  <c r="L353" i="7" s="1"/>
  <c r="K327" i="7"/>
  <c r="L327" i="7" s="1"/>
  <c r="K223" i="7"/>
  <c r="L223" i="7" s="1"/>
  <c r="K224" i="7"/>
  <c r="L224" i="7" s="1"/>
  <c r="K296" i="7"/>
  <c r="L296" i="7" s="1"/>
  <c r="K743" i="7"/>
  <c r="L743" i="7" s="1"/>
  <c r="K131" i="7"/>
  <c r="L131" i="7" s="1"/>
  <c r="K130" i="7"/>
  <c r="L130" i="7" s="1"/>
  <c r="K553" i="7"/>
  <c r="L553" i="7" s="1"/>
  <c r="K217" i="7"/>
  <c r="L217" i="7" s="1"/>
  <c r="K458" i="7"/>
  <c r="L458" i="7" s="1"/>
  <c r="K739" i="7"/>
  <c r="L739" i="7" s="1"/>
  <c r="K192" i="7"/>
  <c r="L192" i="7" s="1"/>
  <c r="K142" i="7"/>
  <c r="L142" i="7" s="1"/>
  <c r="K121" i="7"/>
  <c r="L121" i="7" s="1"/>
  <c r="K572" i="7"/>
  <c r="L572" i="7" s="1"/>
  <c r="K471" i="7"/>
  <c r="L471" i="7" s="1"/>
  <c r="M357" i="7"/>
  <c r="M55" i="7"/>
  <c r="M47" i="7"/>
  <c r="M48" i="7"/>
  <c r="M49" i="7"/>
  <c r="M65" i="7"/>
  <c r="M505" i="7"/>
  <c r="M493" i="7"/>
  <c r="M155" i="7"/>
  <c r="M156" i="7"/>
  <c r="M157" i="7"/>
  <c r="M337" i="7"/>
  <c r="M379" i="7"/>
  <c r="M188" i="7"/>
  <c r="M189" i="7"/>
  <c r="M353" i="7"/>
  <c r="M327" i="7"/>
  <c r="M223" i="7"/>
  <c r="M224" i="7"/>
  <c r="M296" i="7"/>
  <c r="M743" i="7"/>
  <c r="M131" i="7"/>
  <c r="M130" i="7"/>
  <c r="M553" i="7"/>
  <c r="M217" i="7"/>
  <c r="M458" i="7"/>
  <c r="M739" i="7"/>
  <c r="M192" i="7"/>
  <c r="M142" i="7"/>
  <c r="M121" i="7"/>
  <c r="M572" i="7"/>
  <c r="M471" i="7"/>
  <c r="P357" i="7"/>
  <c r="P55" i="7"/>
  <c r="P47" i="7"/>
  <c r="P48" i="7"/>
  <c r="P49" i="7"/>
  <c r="P65" i="7"/>
  <c r="P505" i="7"/>
  <c r="P493" i="7"/>
  <c r="P155" i="7"/>
  <c r="P156" i="7"/>
  <c r="P157" i="7"/>
  <c r="P337" i="7"/>
  <c r="P379" i="7"/>
  <c r="P188" i="7"/>
  <c r="P189" i="7"/>
  <c r="P353" i="7"/>
  <c r="P327" i="7"/>
  <c r="P223" i="7"/>
  <c r="P224" i="7"/>
  <c r="P296" i="7"/>
  <c r="P743" i="7"/>
  <c r="P131" i="7"/>
  <c r="P130" i="7"/>
  <c r="P553" i="7"/>
  <c r="P217" i="7"/>
  <c r="P458" i="7"/>
  <c r="P739" i="7"/>
  <c r="P192" i="7"/>
  <c r="P142" i="7"/>
  <c r="P121" i="7"/>
  <c r="P572" i="7"/>
  <c r="P471" i="7"/>
  <c r="R357" i="7"/>
  <c r="R55" i="7"/>
  <c r="R47" i="7"/>
  <c r="R48" i="7"/>
  <c r="R49" i="7"/>
  <c r="R65" i="7"/>
  <c r="R505" i="7"/>
  <c r="R493" i="7"/>
  <c r="R155" i="7"/>
  <c r="R156" i="7"/>
  <c r="R157" i="7"/>
  <c r="R337" i="7"/>
  <c r="R379" i="7"/>
  <c r="R188" i="7"/>
  <c r="R189" i="7"/>
  <c r="R353" i="7"/>
  <c r="R327" i="7"/>
  <c r="R223" i="7"/>
  <c r="R224" i="7"/>
  <c r="R296" i="7"/>
  <c r="R743" i="7"/>
  <c r="R131" i="7"/>
  <c r="R130" i="7"/>
  <c r="R553" i="7"/>
  <c r="R217" i="7"/>
  <c r="R458" i="7"/>
  <c r="R739" i="7"/>
  <c r="R192" i="7"/>
  <c r="R142" i="7"/>
  <c r="R121" i="7"/>
  <c r="R572" i="7"/>
  <c r="R471" i="7"/>
  <c r="U357" i="7"/>
  <c r="U55" i="7"/>
  <c r="U47" i="7"/>
  <c r="U48" i="7"/>
  <c r="U49" i="7"/>
  <c r="U65" i="7"/>
  <c r="U505" i="7"/>
  <c r="U493" i="7"/>
  <c r="U155" i="7"/>
  <c r="U156" i="7"/>
  <c r="U157" i="7"/>
  <c r="U337" i="7"/>
  <c r="U379" i="7"/>
  <c r="U188" i="7"/>
  <c r="U189" i="7"/>
  <c r="U353" i="7"/>
  <c r="U327" i="7"/>
  <c r="U223" i="7"/>
  <c r="U224" i="7"/>
  <c r="U296" i="7"/>
  <c r="U743" i="7"/>
  <c r="U131" i="7"/>
  <c r="U130" i="7"/>
  <c r="U553" i="7"/>
  <c r="U217" i="7"/>
  <c r="U458" i="7"/>
  <c r="U739" i="7"/>
  <c r="U192" i="7"/>
  <c r="U142" i="7"/>
  <c r="U121" i="7"/>
  <c r="U572" i="7"/>
  <c r="U471" i="7"/>
  <c r="X357" i="7"/>
  <c r="X55" i="7"/>
  <c r="X47" i="7"/>
  <c r="X48" i="7"/>
  <c r="X49" i="7"/>
  <c r="X65" i="7"/>
  <c r="X505" i="7"/>
  <c r="X493" i="7"/>
  <c r="X155" i="7"/>
  <c r="X156" i="7"/>
  <c r="X157" i="7"/>
  <c r="X337" i="7"/>
  <c r="X379" i="7"/>
  <c r="X188" i="7"/>
  <c r="X189" i="7"/>
  <c r="X353" i="7"/>
  <c r="X327" i="7"/>
  <c r="X223" i="7"/>
  <c r="X224" i="7"/>
  <c r="X296" i="7"/>
  <c r="X743" i="7"/>
  <c r="X131" i="7"/>
  <c r="X130" i="7"/>
  <c r="X553" i="7"/>
  <c r="X217" i="7"/>
  <c r="X458" i="7"/>
  <c r="X739" i="7"/>
  <c r="X192" i="7"/>
  <c r="X142" i="7"/>
  <c r="X121" i="7"/>
  <c r="X572" i="7"/>
  <c r="X471" i="7"/>
  <c r="AA357" i="7"/>
  <c r="AA55" i="7"/>
  <c r="AA47" i="7"/>
  <c r="AA48" i="7"/>
  <c r="AA49" i="7"/>
  <c r="AA65" i="7"/>
  <c r="AA505" i="7"/>
  <c r="AA493" i="7"/>
  <c r="AA155" i="7"/>
  <c r="AA156" i="7"/>
  <c r="AA157" i="7"/>
  <c r="AA337" i="7"/>
  <c r="AA379" i="7"/>
  <c r="AA188" i="7"/>
  <c r="AA189" i="7"/>
  <c r="AA353" i="7"/>
  <c r="AA327" i="7"/>
  <c r="AA223" i="7"/>
  <c r="AA224" i="7"/>
  <c r="AA296" i="7"/>
  <c r="AA743" i="7"/>
  <c r="AA131" i="7"/>
  <c r="AA130" i="7"/>
  <c r="AA553" i="7"/>
  <c r="AA217" i="7"/>
  <c r="AA458" i="7"/>
  <c r="AA739" i="7"/>
  <c r="AA192" i="7"/>
  <c r="AA142" i="7"/>
  <c r="AA121" i="7"/>
  <c r="AA572" i="7"/>
  <c r="AA471" i="7"/>
  <c r="AD357" i="7"/>
  <c r="AD55" i="7"/>
  <c r="AD47" i="7"/>
  <c r="AD48" i="7"/>
  <c r="AD49" i="7"/>
  <c r="AD65" i="7"/>
  <c r="AD505" i="7"/>
  <c r="AD493" i="7"/>
  <c r="AD155" i="7"/>
  <c r="AD156" i="7"/>
  <c r="AD157" i="7"/>
  <c r="AD337" i="7"/>
  <c r="AD379" i="7"/>
  <c r="AD188" i="7"/>
  <c r="AD189" i="7"/>
  <c r="AD353" i="7"/>
  <c r="AD327" i="7"/>
  <c r="AD223" i="7"/>
  <c r="AD224" i="7"/>
  <c r="AD296" i="7"/>
  <c r="AD743" i="7"/>
  <c r="AD131" i="7"/>
  <c r="AD130" i="7"/>
  <c r="AD553" i="7"/>
  <c r="AD217" i="7"/>
  <c r="AD458" i="7"/>
  <c r="AD739" i="7"/>
  <c r="AD192" i="7"/>
  <c r="AD142" i="7"/>
  <c r="AD121" i="7"/>
  <c r="AD572" i="7"/>
  <c r="AD471" i="7"/>
  <c r="AG357" i="7"/>
  <c r="AG55" i="7"/>
  <c r="AG47" i="7"/>
  <c r="AG48" i="7"/>
  <c r="AG49" i="7"/>
  <c r="AG65" i="7"/>
  <c r="AG505" i="7"/>
  <c r="AG493" i="7"/>
  <c r="AG155" i="7"/>
  <c r="AG156" i="7"/>
  <c r="AG157" i="7"/>
  <c r="AG337" i="7"/>
  <c r="AG379" i="7"/>
  <c r="AG188" i="7"/>
  <c r="AG189" i="7"/>
  <c r="AG353" i="7"/>
  <c r="AG327" i="7"/>
  <c r="AG223" i="7"/>
  <c r="AG224" i="7"/>
  <c r="AG296" i="7"/>
  <c r="AG743" i="7"/>
  <c r="AG131" i="7"/>
  <c r="AG130" i="7"/>
  <c r="AG553" i="7"/>
  <c r="AG217" i="7"/>
  <c r="AG458" i="7"/>
  <c r="AG739" i="7"/>
  <c r="AG192" i="7"/>
  <c r="AG142" i="7"/>
  <c r="AG121" i="7"/>
  <c r="AG572" i="7"/>
  <c r="AG471" i="7"/>
  <c r="AJ357" i="7"/>
  <c r="AJ55" i="7"/>
  <c r="AJ47" i="7"/>
  <c r="AJ48" i="7"/>
  <c r="AJ49" i="7"/>
  <c r="AJ65" i="7"/>
  <c r="AJ505" i="7"/>
  <c r="AJ493" i="7"/>
  <c r="AJ155" i="7"/>
  <c r="AJ156" i="7"/>
  <c r="AJ157" i="7"/>
  <c r="AJ337" i="7"/>
  <c r="AJ379" i="7"/>
  <c r="AJ188" i="7"/>
  <c r="AJ189" i="7"/>
  <c r="AJ353" i="7"/>
  <c r="AJ327" i="7"/>
  <c r="AJ223" i="7"/>
  <c r="AJ224" i="7"/>
  <c r="AJ296" i="7"/>
  <c r="AJ743" i="7"/>
  <c r="AJ131" i="7"/>
  <c r="AJ130" i="7"/>
  <c r="AJ553" i="7"/>
  <c r="AJ217" i="7"/>
  <c r="AJ458" i="7"/>
  <c r="AJ739" i="7"/>
  <c r="AJ192" i="7"/>
  <c r="AJ142" i="7"/>
  <c r="AJ121" i="7"/>
  <c r="AJ572" i="7"/>
  <c r="AJ471" i="7"/>
  <c r="AK357" i="7"/>
  <c r="AK55" i="7"/>
  <c r="AK47" i="7"/>
  <c r="AK48" i="7"/>
  <c r="AK49" i="7"/>
  <c r="AK65" i="7"/>
  <c r="AK505" i="7"/>
  <c r="AK493" i="7"/>
  <c r="AK155" i="7"/>
  <c r="AK156" i="7"/>
  <c r="AK157" i="7"/>
  <c r="AK337" i="7"/>
  <c r="AK379" i="7"/>
  <c r="AK188" i="7"/>
  <c r="AK189" i="7"/>
  <c r="AK353" i="7"/>
  <c r="AK327" i="7"/>
  <c r="AK223" i="7"/>
  <c r="AK224" i="7"/>
  <c r="AK296" i="7"/>
  <c r="AK743" i="7"/>
  <c r="AK131" i="7"/>
  <c r="AK130" i="7"/>
  <c r="AK553" i="7"/>
  <c r="AK217" i="7"/>
  <c r="AK458" i="7"/>
  <c r="AK739" i="7"/>
  <c r="AK192" i="7"/>
  <c r="AK142" i="7"/>
  <c r="AK121" i="7"/>
  <c r="AK572" i="7"/>
  <c r="AK471" i="7"/>
  <c r="AN357" i="7"/>
  <c r="AN55" i="7"/>
  <c r="AN47" i="7"/>
  <c r="AN48" i="7"/>
  <c r="AN49" i="7"/>
  <c r="AN65" i="7"/>
  <c r="AN505" i="7"/>
  <c r="AN493" i="7"/>
  <c r="AN155" i="7"/>
  <c r="AN156" i="7"/>
  <c r="AN157" i="7"/>
  <c r="AN337" i="7"/>
  <c r="AN379" i="7"/>
  <c r="AN188" i="7"/>
  <c r="AN189" i="7"/>
  <c r="AN353" i="7"/>
  <c r="AN327" i="7"/>
  <c r="AN223" i="7"/>
  <c r="AN224" i="7"/>
  <c r="AN296" i="7"/>
  <c r="AN743" i="7"/>
  <c r="AN131" i="7"/>
  <c r="AN130" i="7"/>
  <c r="AN553" i="7"/>
  <c r="AN217" i="7"/>
  <c r="AN458" i="7"/>
  <c r="AN739" i="7"/>
  <c r="AN192" i="7"/>
  <c r="AN142" i="7"/>
  <c r="AN121" i="7"/>
  <c r="AN572" i="7"/>
  <c r="AN471" i="7"/>
  <c r="AR357" i="7"/>
  <c r="AR55" i="7"/>
  <c r="AR47" i="7"/>
  <c r="AR48" i="7"/>
  <c r="AR49" i="7"/>
  <c r="AR65" i="7"/>
  <c r="AR505" i="7"/>
  <c r="AR493" i="7"/>
  <c r="AR155" i="7"/>
  <c r="AR156" i="7"/>
  <c r="AR157" i="7"/>
  <c r="AR337" i="7"/>
  <c r="AR379" i="7"/>
  <c r="AR188" i="7"/>
  <c r="AR189" i="7"/>
  <c r="AR353" i="7"/>
  <c r="AR327" i="7"/>
  <c r="AR223" i="7"/>
  <c r="AR224" i="7"/>
  <c r="AR296" i="7"/>
  <c r="AR743" i="7"/>
  <c r="AR131" i="7"/>
  <c r="AR130" i="7"/>
  <c r="AR553" i="7"/>
  <c r="AR217" i="7"/>
  <c r="AR458" i="7"/>
  <c r="AR739" i="7"/>
  <c r="AR192" i="7"/>
  <c r="AR142" i="7"/>
  <c r="AR121" i="7"/>
  <c r="AR572" i="7"/>
  <c r="AR471" i="7"/>
  <c r="AU357" i="7"/>
  <c r="AU55" i="7"/>
  <c r="AU47" i="7"/>
  <c r="AU48" i="7"/>
  <c r="AU49" i="7"/>
  <c r="AU65" i="7"/>
  <c r="AU505" i="7"/>
  <c r="AU493" i="7"/>
  <c r="AU155" i="7"/>
  <c r="AU156" i="7"/>
  <c r="AU157" i="7"/>
  <c r="AU337" i="7"/>
  <c r="AU379" i="7"/>
  <c r="AU188" i="7"/>
  <c r="AU189" i="7"/>
  <c r="AU353" i="7"/>
  <c r="AU327" i="7"/>
  <c r="AU223" i="7"/>
  <c r="AU224" i="7"/>
  <c r="AU296" i="7"/>
  <c r="AU743" i="7"/>
  <c r="AU131" i="7"/>
  <c r="AU130" i="7"/>
  <c r="AU553" i="7"/>
  <c r="AU217" i="7"/>
  <c r="AU458" i="7"/>
  <c r="AU739" i="7"/>
  <c r="AU192" i="7"/>
  <c r="AU142" i="7"/>
  <c r="AU121" i="7"/>
  <c r="AU572" i="7"/>
  <c r="AU471" i="7"/>
  <c r="AV357" i="7"/>
  <c r="AV55" i="7"/>
  <c r="AV47" i="7"/>
  <c r="AV48" i="7"/>
  <c r="AV49" i="7"/>
  <c r="AV65" i="7"/>
  <c r="AV505" i="7"/>
  <c r="AV493" i="7"/>
  <c r="AV155" i="7"/>
  <c r="AV156" i="7"/>
  <c r="AV157" i="7"/>
  <c r="AV337" i="7"/>
  <c r="AV379" i="7"/>
  <c r="AV188" i="7"/>
  <c r="AV189" i="7"/>
  <c r="AV353" i="7"/>
  <c r="AV327" i="7"/>
  <c r="AV223" i="7"/>
  <c r="AV224" i="7"/>
  <c r="AV296" i="7"/>
  <c r="AV743" i="7"/>
  <c r="AV131" i="7"/>
  <c r="AV130" i="7"/>
  <c r="AV553" i="7"/>
  <c r="AV217" i="7"/>
  <c r="AV458" i="7"/>
  <c r="AV739" i="7"/>
  <c r="AV192" i="7"/>
  <c r="AV142" i="7"/>
  <c r="AV121" i="7"/>
  <c r="AV572" i="7"/>
  <c r="AV471" i="7"/>
  <c r="AW357" i="7"/>
  <c r="AW55" i="7"/>
  <c r="AW47" i="7"/>
  <c r="AW48" i="7"/>
  <c r="AW49" i="7"/>
  <c r="AW65" i="7"/>
  <c r="AW505" i="7"/>
  <c r="AW493" i="7"/>
  <c r="AW155" i="7"/>
  <c r="AW156" i="7"/>
  <c r="AW157" i="7"/>
  <c r="AW337" i="7"/>
  <c r="AW379" i="7"/>
  <c r="AW188" i="7"/>
  <c r="AW189" i="7"/>
  <c r="AW353" i="7"/>
  <c r="AW327" i="7"/>
  <c r="AW223" i="7"/>
  <c r="AW224" i="7"/>
  <c r="AW296" i="7"/>
  <c r="AW743" i="7"/>
  <c r="AW131" i="7"/>
  <c r="AW130" i="7"/>
  <c r="AW553" i="7"/>
  <c r="AW217" i="7"/>
  <c r="AW458" i="7"/>
  <c r="AW739" i="7"/>
  <c r="AW192" i="7"/>
  <c r="AW142" i="7"/>
  <c r="AW121" i="7"/>
  <c r="AW572" i="7"/>
  <c r="AW471" i="7"/>
  <c r="AX357" i="7"/>
  <c r="AX55" i="7"/>
  <c r="AX47" i="7"/>
  <c r="AX48" i="7"/>
  <c r="AX49" i="7"/>
  <c r="AX65" i="7"/>
  <c r="AX505" i="7"/>
  <c r="AX493" i="7"/>
  <c r="AX155" i="7"/>
  <c r="AX156" i="7"/>
  <c r="AX157" i="7"/>
  <c r="AX337" i="7"/>
  <c r="AX379" i="7"/>
  <c r="AX188" i="7"/>
  <c r="AX189" i="7"/>
  <c r="AX353" i="7"/>
  <c r="AX327" i="7"/>
  <c r="AX223" i="7"/>
  <c r="AX224" i="7"/>
  <c r="AX296" i="7"/>
  <c r="AX743" i="7"/>
  <c r="AX131" i="7"/>
  <c r="AX130" i="7"/>
  <c r="AX553" i="7"/>
  <c r="AX217" i="7"/>
  <c r="AX458" i="7"/>
  <c r="AX739" i="7"/>
  <c r="AX192" i="7"/>
  <c r="AX142" i="7"/>
  <c r="AX121" i="7"/>
  <c r="AX572" i="7"/>
  <c r="AX471" i="7"/>
  <c r="AY357" i="7"/>
  <c r="AY55" i="7"/>
  <c r="AY47" i="7"/>
  <c r="AY48" i="7"/>
  <c r="AY49" i="7"/>
  <c r="AY65" i="7"/>
  <c r="AY505" i="7"/>
  <c r="AY493" i="7"/>
  <c r="AY155" i="7"/>
  <c r="AY156" i="7"/>
  <c r="AY157" i="7"/>
  <c r="AY337" i="7"/>
  <c r="AY379" i="7"/>
  <c r="AY188" i="7"/>
  <c r="AY189" i="7"/>
  <c r="AY353" i="7"/>
  <c r="AY327" i="7"/>
  <c r="AY223" i="7"/>
  <c r="AY224" i="7"/>
  <c r="AY296" i="7"/>
  <c r="AY743" i="7"/>
  <c r="AY131" i="7"/>
  <c r="AY130" i="7"/>
  <c r="AY553" i="7"/>
  <c r="AY217" i="7"/>
  <c r="AY458" i="7"/>
  <c r="AY739" i="7"/>
  <c r="AY192" i="7"/>
  <c r="AY142" i="7"/>
  <c r="AY121" i="7"/>
  <c r="AY572" i="7"/>
  <c r="AY471" i="7"/>
  <c r="AZ357" i="7"/>
  <c r="AZ55" i="7"/>
  <c r="AZ47" i="7"/>
  <c r="AZ48" i="7"/>
  <c r="AZ49" i="7"/>
  <c r="AZ65" i="7"/>
  <c r="AZ505" i="7"/>
  <c r="AZ493" i="7"/>
  <c r="AZ155" i="7"/>
  <c r="AZ156" i="7"/>
  <c r="AZ157" i="7"/>
  <c r="AZ337" i="7"/>
  <c r="AZ379" i="7"/>
  <c r="AZ188" i="7"/>
  <c r="AZ189" i="7"/>
  <c r="AZ353" i="7"/>
  <c r="AZ327" i="7"/>
  <c r="AZ223" i="7"/>
  <c r="AZ224" i="7"/>
  <c r="AZ296" i="7"/>
  <c r="AZ743" i="7"/>
  <c r="AZ131" i="7"/>
  <c r="AZ130" i="7"/>
  <c r="AZ553" i="7"/>
  <c r="AZ217" i="7"/>
  <c r="AZ458" i="7"/>
  <c r="AZ739" i="7"/>
  <c r="AZ192" i="7"/>
  <c r="AZ142" i="7"/>
  <c r="AZ121" i="7"/>
  <c r="AZ572" i="7"/>
  <c r="AZ471" i="7"/>
  <c r="BB357" i="7"/>
  <c r="BC357" i="7" s="1"/>
  <c r="BB55" i="7"/>
  <c r="BC55" i="7" s="1"/>
  <c r="BB47" i="7"/>
  <c r="BC47" i="7" s="1"/>
  <c r="BB48" i="7"/>
  <c r="BC48" i="7" s="1"/>
  <c r="BB49" i="7"/>
  <c r="BC49" i="7" s="1"/>
  <c r="BB65" i="7"/>
  <c r="BC65" i="7" s="1"/>
  <c r="BB505" i="7"/>
  <c r="BC505" i="7" s="1"/>
  <c r="BB493" i="7"/>
  <c r="BC493" i="7" s="1"/>
  <c r="BB155" i="7"/>
  <c r="BC155" i="7" s="1"/>
  <c r="BB156" i="7"/>
  <c r="BC156" i="7" s="1"/>
  <c r="BB157" i="7"/>
  <c r="BC157" i="7" s="1"/>
  <c r="BB337" i="7"/>
  <c r="BC337" i="7" s="1"/>
  <c r="BB379" i="7"/>
  <c r="BC379" i="7" s="1"/>
  <c r="BB188" i="7"/>
  <c r="BC188" i="7" s="1"/>
  <c r="BB189" i="7"/>
  <c r="BC189" i="7" s="1"/>
  <c r="BB353" i="7"/>
  <c r="BC353" i="7" s="1"/>
  <c r="BB327" i="7"/>
  <c r="BC327" i="7" s="1"/>
  <c r="BB223" i="7"/>
  <c r="BC223" i="7" s="1"/>
  <c r="BB224" i="7"/>
  <c r="BC224" i="7" s="1"/>
  <c r="BB296" i="7"/>
  <c r="BC296" i="7" s="1"/>
  <c r="BB743" i="7"/>
  <c r="BC743" i="7" s="1"/>
  <c r="BB131" i="7"/>
  <c r="BC131" i="7" s="1"/>
  <c r="BB130" i="7"/>
  <c r="BC130" i="7" s="1"/>
  <c r="BB553" i="7"/>
  <c r="BC553" i="7" s="1"/>
  <c r="BB217" i="7"/>
  <c r="BC217" i="7" s="1"/>
  <c r="BB458" i="7"/>
  <c r="BC458" i="7" s="1"/>
  <c r="BB739" i="7"/>
  <c r="BC739" i="7" s="1"/>
  <c r="BB192" i="7"/>
  <c r="BC192" i="7" s="1"/>
  <c r="BB142" i="7"/>
  <c r="BC142" i="7" s="1"/>
  <c r="BB121" i="7"/>
  <c r="BC121" i="7" s="1"/>
  <c r="BB572" i="7"/>
  <c r="BC572" i="7" s="1"/>
  <c r="BB471" i="7"/>
  <c r="BC471" i="7" s="1"/>
  <c r="BD47" i="7"/>
  <c r="BD48" i="7"/>
  <c r="BD49" i="7"/>
  <c r="BD65" i="7"/>
  <c r="BD155" i="7"/>
  <c r="BD156" i="7"/>
  <c r="BD157" i="7"/>
  <c r="BD188" i="7"/>
  <c r="BD189" i="7"/>
  <c r="BD327" i="7"/>
  <c r="BD223" i="7"/>
  <c r="BD131" i="7"/>
  <c r="BD130" i="7"/>
  <c r="BD553" i="7"/>
  <c r="BD192" i="7"/>
  <c r="BD142" i="7"/>
  <c r="BK357" i="7"/>
  <c r="BK55" i="7"/>
  <c r="BK47" i="7"/>
  <c r="BK48" i="7"/>
  <c r="BK49" i="7"/>
  <c r="BK65" i="7"/>
  <c r="BK505" i="7"/>
  <c r="BK493" i="7"/>
  <c r="BK155" i="7"/>
  <c r="BK156" i="7"/>
  <c r="BK157" i="7"/>
  <c r="BK337" i="7"/>
  <c r="BK379" i="7"/>
  <c r="BK188" i="7"/>
  <c r="BK189" i="7"/>
  <c r="BK353" i="7"/>
  <c r="BK327" i="7"/>
  <c r="BK223" i="7"/>
  <c r="BK224" i="7"/>
  <c r="BK296" i="7"/>
  <c r="BK743" i="7"/>
  <c r="BK131" i="7"/>
  <c r="BK130" i="7"/>
  <c r="BK553" i="7"/>
  <c r="BK217" i="7"/>
  <c r="BK458" i="7"/>
  <c r="BK739" i="7"/>
  <c r="BK192" i="7"/>
  <c r="BK142" i="7"/>
  <c r="BK121" i="7"/>
  <c r="BK572" i="7"/>
  <c r="BK471" i="7"/>
  <c r="BP357" i="7"/>
  <c r="BP55" i="7"/>
  <c r="BP47" i="7"/>
  <c r="BP48" i="7"/>
  <c r="BP49" i="7"/>
  <c r="BP65" i="7"/>
  <c r="BP505" i="7"/>
  <c r="BP493" i="7"/>
  <c r="BP155" i="7"/>
  <c r="BP156" i="7"/>
  <c r="BP157" i="7"/>
  <c r="BP337" i="7"/>
  <c r="BP379" i="7"/>
  <c r="BP188" i="7"/>
  <c r="BP189" i="7"/>
  <c r="BP353" i="7"/>
  <c r="BP327" i="7"/>
  <c r="BP223" i="7"/>
  <c r="BP224" i="7"/>
  <c r="BP296" i="7"/>
  <c r="BP743" i="7"/>
  <c r="BP131" i="7"/>
  <c r="BP130" i="7"/>
  <c r="BP553" i="7"/>
  <c r="BP217" i="7"/>
  <c r="BP458" i="7"/>
  <c r="BP739" i="7"/>
  <c r="BP192" i="7"/>
  <c r="BP142" i="7"/>
  <c r="BP121" i="7"/>
  <c r="BP572" i="7"/>
  <c r="BP471" i="7"/>
  <c r="BQ357" i="7"/>
  <c r="BQ55" i="7"/>
  <c r="BQ47" i="7"/>
  <c r="BQ48" i="7"/>
  <c r="BQ49" i="7"/>
  <c r="BQ65" i="7"/>
  <c r="BQ505" i="7"/>
  <c r="BQ493" i="7"/>
  <c r="BQ155" i="7"/>
  <c r="BQ156" i="7"/>
  <c r="BQ157" i="7"/>
  <c r="BQ337" i="7"/>
  <c r="BQ379" i="7"/>
  <c r="BQ188" i="7"/>
  <c r="BQ189" i="7"/>
  <c r="BQ353" i="7"/>
  <c r="BQ327" i="7"/>
  <c r="BQ223" i="7"/>
  <c r="BQ224" i="7"/>
  <c r="BQ296" i="7"/>
  <c r="BQ743" i="7"/>
  <c r="BQ131" i="7"/>
  <c r="BQ130" i="7"/>
  <c r="BQ553" i="7"/>
  <c r="BQ217" i="7"/>
  <c r="BQ458" i="7"/>
  <c r="BQ739" i="7"/>
  <c r="BQ192" i="7"/>
  <c r="BQ142" i="7"/>
  <c r="BQ121" i="7"/>
  <c r="BQ572" i="7"/>
  <c r="BQ471" i="7"/>
  <c r="BR357" i="7"/>
  <c r="BR55" i="7"/>
  <c r="BR47" i="7"/>
  <c r="BR48" i="7"/>
  <c r="BR49" i="7"/>
  <c r="BR65" i="7"/>
  <c r="BR505" i="7"/>
  <c r="BR493" i="7"/>
  <c r="BR155" i="7"/>
  <c r="BR156" i="7"/>
  <c r="BR157" i="7"/>
  <c r="BR337" i="7"/>
  <c r="BR379" i="7"/>
  <c r="BR188" i="7"/>
  <c r="BR189" i="7"/>
  <c r="BR353" i="7"/>
  <c r="BR327" i="7"/>
  <c r="BR223" i="7"/>
  <c r="BR224" i="7"/>
  <c r="BR296" i="7"/>
  <c r="BR743" i="7"/>
  <c r="BR131" i="7"/>
  <c r="BR130" i="7"/>
  <c r="BR553" i="7"/>
  <c r="BR217" i="7"/>
  <c r="BR458" i="7"/>
  <c r="BR739" i="7"/>
  <c r="BR192" i="7"/>
  <c r="BR142" i="7"/>
  <c r="BR121" i="7"/>
  <c r="BR572" i="7"/>
  <c r="BR471" i="7"/>
  <c r="BU357" i="7"/>
  <c r="BU55" i="7"/>
  <c r="BU47" i="7"/>
  <c r="BU48" i="7"/>
  <c r="BU49" i="7"/>
  <c r="BU65" i="7"/>
  <c r="BU505" i="7"/>
  <c r="BU493" i="7"/>
  <c r="BU155" i="7"/>
  <c r="BU156" i="7"/>
  <c r="BU157" i="7"/>
  <c r="BU337" i="7"/>
  <c r="BU379" i="7"/>
  <c r="BU188" i="7"/>
  <c r="BU189" i="7"/>
  <c r="BU353" i="7"/>
  <c r="BU327" i="7"/>
  <c r="BU223" i="7"/>
  <c r="BU224" i="7"/>
  <c r="BU296" i="7"/>
  <c r="BU743" i="7"/>
  <c r="BU131" i="7"/>
  <c r="BU130" i="7"/>
  <c r="BU553" i="7"/>
  <c r="BU217" i="7"/>
  <c r="BU458" i="7"/>
  <c r="BU739" i="7"/>
  <c r="BU192" i="7"/>
  <c r="BU142" i="7"/>
  <c r="BU121" i="7"/>
  <c r="BU572" i="7"/>
  <c r="BU471" i="7"/>
  <c r="BV357" i="7"/>
  <c r="BV55" i="7"/>
  <c r="BV49" i="7"/>
  <c r="BV65" i="7"/>
  <c r="BV493" i="7"/>
  <c r="BV156" i="7"/>
  <c r="BV157" i="7"/>
  <c r="BV337" i="7"/>
  <c r="BV379" i="7"/>
  <c r="BV327" i="7"/>
  <c r="BV223" i="7"/>
  <c r="BV224" i="7"/>
  <c r="BV130" i="7"/>
  <c r="BV217" i="7"/>
  <c r="BV458" i="7"/>
  <c r="BV142" i="7"/>
  <c r="BV121" i="7"/>
  <c r="BV572" i="7"/>
  <c r="BY65" i="7"/>
  <c r="BY131" i="7"/>
  <c r="BY130" i="7"/>
  <c r="BY553" i="7"/>
  <c r="BY192" i="7"/>
  <c r="BY142" i="7"/>
  <c r="BZ47" i="7"/>
  <c r="BZ48" i="7"/>
  <c r="BZ49" i="7"/>
  <c r="BZ65" i="7"/>
  <c r="BZ155" i="7"/>
  <c r="BZ157" i="7"/>
  <c r="BZ189" i="7"/>
  <c r="BZ327" i="7"/>
  <c r="BZ223" i="7"/>
  <c r="BZ131" i="7"/>
  <c r="BZ130" i="7"/>
  <c r="BZ192" i="7"/>
  <c r="BZ142" i="7"/>
  <c r="CA47" i="7"/>
  <c r="CA48" i="7"/>
  <c r="CA49" i="7"/>
  <c r="CA155" i="7"/>
  <c r="CA156" i="7"/>
  <c r="CA157" i="7"/>
  <c r="CA189" i="7"/>
  <c r="CA327" i="7"/>
  <c r="CA223" i="7"/>
  <c r="CA553" i="7"/>
  <c r="CA142" i="7"/>
  <c r="CB47" i="7"/>
  <c r="CB48" i="7"/>
  <c r="CB49" i="7"/>
  <c r="CB65" i="7"/>
  <c r="CB155" i="7"/>
  <c r="CB157" i="7"/>
  <c r="CB189" i="7"/>
  <c r="CB327" i="7"/>
  <c r="CB223" i="7"/>
  <c r="CB131" i="7"/>
  <c r="CB130" i="7"/>
  <c r="CB553" i="7"/>
  <c r="CB217" i="7"/>
  <c r="CB192" i="7"/>
  <c r="CB142" i="7"/>
  <c r="CC47" i="7"/>
  <c r="CC48" i="7"/>
  <c r="CC49" i="7"/>
  <c r="CC65" i="7"/>
  <c r="CC493" i="7"/>
  <c r="CC155" i="7"/>
  <c r="CC157" i="7"/>
  <c r="CC189" i="7"/>
  <c r="CC327" i="7"/>
  <c r="CC223" i="7"/>
  <c r="CC131" i="7"/>
  <c r="CC130" i="7"/>
  <c r="CC553" i="7"/>
  <c r="CC217" i="7"/>
  <c r="CC739" i="7"/>
  <c r="CC192" i="7"/>
  <c r="CC142" i="7"/>
  <c r="CD47" i="7"/>
  <c r="CD48" i="7"/>
  <c r="CD49" i="7"/>
  <c r="CD65" i="7"/>
  <c r="CD155" i="7"/>
  <c r="CD157" i="7"/>
  <c r="CD189" i="7"/>
  <c r="CD327" i="7"/>
  <c r="CD223" i="7"/>
  <c r="CD131" i="7"/>
  <c r="CD130" i="7"/>
  <c r="CD553" i="7"/>
  <c r="CD192" i="7"/>
  <c r="CD572" i="7"/>
  <c r="J175" i="7"/>
  <c r="J352" i="7"/>
  <c r="V808" i="2"/>
  <c r="BP68" i="7"/>
  <c r="BP316" i="7"/>
  <c r="BP562" i="7"/>
  <c r="BP639" i="7"/>
  <c r="BP244" i="7"/>
  <c r="BP393" i="7"/>
  <c r="BP238" i="7"/>
  <c r="BP786" i="7"/>
  <c r="BP578" i="7"/>
  <c r="BP179" i="7"/>
  <c r="BP640" i="7"/>
  <c r="BP811" i="7"/>
  <c r="BP288" i="7"/>
  <c r="BP317" i="7"/>
  <c r="BP806" i="7"/>
  <c r="BP829" i="7"/>
  <c r="BP405" i="7"/>
  <c r="BP300" i="7"/>
  <c r="BP554" i="7"/>
  <c r="BP243" i="7"/>
  <c r="BP648" i="7"/>
  <c r="BP545" i="7"/>
  <c r="BP528" i="7"/>
  <c r="BP261" i="7"/>
  <c r="BP852" i="7"/>
  <c r="BP90" i="7"/>
  <c r="BP466" i="7"/>
  <c r="BP459" i="7"/>
  <c r="BP864" i="7"/>
  <c r="BP424" i="7"/>
  <c r="BP423" i="7"/>
  <c r="BP617" i="7"/>
  <c r="BP359" i="7"/>
  <c r="BP427" i="7"/>
  <c r="BP46" i="7"/>
  <c r="BP663" i="7"/>
  <c r="BP609" i="7"/>
  <c r="BP586" i="7"/>
  <c r="BP291" i="7"/>
  <c r="BP501" i="7"/>
  <c r="BP563" i="7"/>
  <c r="BP443" i="7"/>
  <c r="BP134" i="7"/>
  <c r="BP866" i="7"/>
  <c r="BP284" i="7"/>
  <c r="BP240" i="7"/>
  <c r="BP432" i="7"/>
  <c r="BP256" i="7"/>
  <c r="BP474" i="7"/>
  <c r="BP808" i="7"/>
  <c r="BP297" i="7"/>
  <c r="BP404" i="7"/>
  <c r="BP733" i="7"/>
  <c r="BP489" i="7"/>
  <c r="BP591" i="7"/>
  <c r="BP322" i="7"/>
  <c r="BP462" i="7"/>
  <c r="BP351" i="7"/>
  <c r="BP374" i="7"/>
  <c r="BP14" i="7"/>
  <c r="BP59" i="7"/>
  <c r="BP321" i="7"/>
  <c r="BP442" i="7"/>
  <c r="BP381" i="7"/>
  <c r="BP569" i="7"/>
  <c r="BP430" i="7"/>
  <c r="BP295" i="7"/>
  <c r="BP724" i="7"/>
  <c r="BP491" i="7"/>
  <c r="BP814" i="7"/>
  <c r="BP434" i="7"/>
  <c r="BP87" i="7"/>
  <c r="BP548" i="7"/>
  <c r="BP775" i="7"/>
  <c r="BP853" i="7"/>
  <c r="BP504" i="7"/>
  <c r="BP146" i="7"/>
  <c r="BP753" i="7"/>
  <c r="BP111" i="7"/>
  <c r="BP333" i="7"/>
  <c r="BP203" i="7"/>
  <c r="BP58" i="7"/>
  <c r="BP391" i="7"/>
  <c r="BP384" i="7"/>
  <c r="BP579" i="7"/>
  <c r="BP265" i="7"/>
  <c r="BP96" i="7"/>
  <c r="BP499" i="7"/>
  <c r="BP593" i="7"/>
  <c r="BP595" i="7"/>
  <c r="BP870" i="7"/>
  <c r="BP450" i="7"/>
  <c r="BP602" i="7"/>
  <c r="BP28" i="7"/>
  <c r="BP352" i="7"/>
  <c r="BP294" i="7"/>
  <c r="BP88" i="7"/>
  <c r="BP187" i="7"/>
  <c r="BP416" i="7"/>
  <c r="BP298" i="7"/>
  <c r="BP399" i="7"/>
  <c r="BP263" i="7"/>
  <c r="BP781" i="7"/>
  <c r="BP176" i="7"/>
  <c r="BP266" i="7"/>
  <c r="BP395" i="7"/>
  <c r="BP711" i="7"/>
  <c r="BP534" i="7"/>
  <c r="BP738" i="7"/>
  <c r="BP154" i="7"/>
  <c r="BP112" i="7"/>
  <c r="BP215" i="7"/>
  <c r="BP818" i="7"/>
  <c r="BP645" i="7"/>
  <c r="BP445" i="7"/>
  <c r="BP344" i="7"/>
  <c r="BP496" i="7"/>
  <c r="BP149" i="7"/>
  <c r="BP253" i="7"/>
  <c r="BP140" i="7"/>
  <c r="BP415" i="7"/>
  <c r="BP227" i="7"/>
  <c r="BP421" i="7"/>
  <c r="BP451" i="7"/>
  <c r="BP123" i="7"/>
  <c r="BP431" i="7"/>
  <c r="BP270" i="7"/>
  <c r="BP115" i="7"/>
  <c r="BP70" i="7"/>
  <c r="BP181" i="7"/>
  <c r="BP552" i="7"/>
  <c r="BP212" i="7"/>
  <c r="BP84" i="7"/>
  <c r="BP409" i="7"/>
  <c r="BP100" i="7"/>
  <c r="BP522" i="7"/>
  <c r="BP216" i="7"/>
  <c r="BP386" i="7"/>
  <c r="BP629" i="7"/>
  <c r="BP703" i="7"/>
  <c r="BP122" i="7"/>
  <c r="BP784" i="7"/>
  <c r="BP30" i="7"/>
  <c r="BP851" i="7"/>
  <c r="BP536" i="7"/>
  <c r="BP582" i="7"/>
  <c r="BP484" i="7"/>
  <c r="BP485" i="7"/>
  <c r="BP326" i="7"/>
  <c r="BP850" i="7"/>
  <c r="BP83" i="7"/>
  <c r="BP616" i="7"/>
  <c r="BP693" i="7"/>
  <c r="BP674" i="7"/>
  <c r="BP449" i="7"/>
  <c r="BP804" i="7"/>
  <c r="BP269" i="7"/>
  <c r="BP644" i="7"/>
  <c r="BP145" i="7"/>
  <c r="BP515" i="7"/>
  <c r="BP38" i="7"/>
  <c r="BP576" i="7"/>
  <c r="BP619" i="7"/>
  <c r="BP677" i="7"/>
  <c r="BP255" i="7"/>
  <c r="BP279" i="7"/>
  <c r="BP575" i="7"/>
  <c r="BP12" i="7"/>
  <c r="BP727" i="7"/>
  <c r="BP128" i="7"/>
  <c r="BP401" i="7"/>
  <c r="BP127" i="7"/>
  <c r="BP580" i="7"/>
  <c r="BP497" i="7"/>
  <c r="BP502" i="7"/>
  <c r="BP283" i="7"/>
  <c r="BP761" i="7"/>
  <c r="BP264" i="7"/>
  <c r="BP99" i="7"/>
  <c r="BP720" i="7"/>
  <c r="BP861" i="7"/>
  <c r="BP620" i="7"/>
  <c r="BP161" i="7"/>
  <c r="BP581" i="7"/>
  <c r="BP98" i="7"/>
  <c r="BP371" i="7"/>
  <c r="BP350" i="7"/>
  <c r="BP81" i="7"/>
  <c r="BP665" i="7"/>
  <c r="BP564" i="7"/>
  <c r="BP34" i="7"/>
  <c r="BP782" i="7"/>
  <c r="BP239" i="7"/>
  <c r="BP408" i="7"/>
  <c r="BP385" i="7"/>
  <c r="BP634" i="7"/>
  <c r="BP510" i="7"/>
  <c r="BP503" i="7"/>
  <c r="BP448" i="7"/>
  <c r="BP789" i="7"/>
  <c r="BP821" i="7"/>
  <c r="BP463" i="7"/>
  <c r="BP63" i="7"/>
  <c r="BP378" i="7"/>
  <c r="BP810" i="7"/>
  <c r="BP389" i="7"/>
  <c r="BP397" i="7"/>
  <c r="BP171" i="7"/>
  <c r="BP119" i="7"/>
  <c r="BP343" i="7"/>
  <c r="BP678" i="7"/>
  <c r="BP477" i="7"/>
  <c r="BP525" i="7"/>
  <c r="BP592" i="7"/>
  <c r="BP611" i="7"/>
  <c r="BP707" i="7"/>
  <c r="BP587" i="7"/>
  <c r="BP540" i="7"/>
  <c r="BP370" i="7"/>
  <c r="BP691" i="7"/>
  <c r="BP340" i="7"/>
  <c r="BP487" i="7"/>
  <c r="BP717" i="7"/>
  <c r="BP715" i="7"/>
  <c r="BP414" i="7"/>
  <c r="BP676" i="7"/>
  <c r="BP57" i="7"/>
  <c r="BP694" i="7"/>
  <c r="BP403" i="7"/>
  <c r="BP160" i="7"/>
  <c r="BP26" i="7"/>
  <c r="BP793" i="7"/>
  <c r="BP543" i="7"/>
  <c r="BP608" i="7"/>
  <c r="BP109" i="7"/>
  <c r="BP642" i="7"/>
  <c r="BP771" i="7"/>
  <c r="BP696" i="7"/>
  <c r="BP800" i="7"/>
  <c r="BP588" i="7"/>
  <c r="BP435" i="7"/>
  <c r="BP745" i="7"/>
  <c r="BP470" i="7"/>
  <c r="BP675" i="7"/>
  <c r="BP594" i="7"/>
  <c r="BP204" i="7"/>
  <c r="BP511" i="7"/>
  <c r="BP273" i="7"/>
  <c r="BP796" i="7"/>
  <c r="BP535" i="7"/>
  <c r="BP62" i="7"/>
  <c r="BP683" i="7"/>
  <c r="BP69" i="7"/>
  <c r="BP481" i="7"/>
  <c r="BP699" i="7"/>
  <c r="BP210" i="7"/>
  <c r="BP342" i="7"/>
  <c r="BP816" i="7"/>
  <c r="BP557" i="7"/>
  <c r="BP867" i="7"/>
  <c r="BP799" i="7"/>
  <c r="BP373" i="7"/>
  <c r="BP550" i="7"/>
  <c r="BP854" i="7"/>
  <c r="BP725" i="7"/>
  <c r="BP860" i="7"/>
  <c r="BP832" i="7"/>
  <c r="BP64" i="7"/>
  <c r="BP231" i="7"/>
  <c r="BP10" i="7"/>
  <c r="BP712" i="7"/>
  <c r="BP42" i="7"/>
  <c r="BP614" i="7"/>
  <c r="BP744" i="7"/>
  <c r="BP512" i="7"/>
  <c r="BP411" i="7"/>
  <c r="BP108" i="7"/>
  <c r="BP828" i="7"/>
  <c r="BP15" i="7"/>
  <c r="BP43" i="7"/>
  <c r="BP868" i="7"/>
  <c r="BP319" i="7"/>
  <c r="BP453" i="7"/>
  <c r="BP480" i="7"/>
  <c r="BP85" i="7"/>
  <c r="BP827" i="7"/>
  <c r="BP718" i="7"/>
  <c r="BP507" i="7"/>
  <c r="BP641" i="7"/>
  <c r="BP662" i="7"/>
  <c r="BP750" i="7"/>
  <c r="BP78" i="7"/>
  <c r="BP41" i="7"/>
  <c r="BP788" i="7"/>
  <c r="BP532" i="7"/>
  <c r="BP803" i="7"/>
  <c r="BP778" i="7"/>
  <c r="BP833" i="7"/>
  <c r="BP473" i="7"/>
  <c r="BP465" i="7"/>
  <c r="BP230" i="7"/>
  <c r="BP407" i="7"/>
  <c r="BP207" i="7"/>
  <c r="BP708" i="7"/>
  <c r="BP9" i="7"/>
  <c r="BP488" i="7"/>
  <c r="BP841" i="7"/>
  <c r="BP394" i="7"/>
  <c r="BP556" i="7"/>
  <c r="BP444" i="7"/>
  <c r="BP292" i="7"/>
  <c r="BP33" i="7"/>
  <c r="BP632" i="7"/>
  <c r="BP310" i="7"/>
  <c r="BP24" i="7"/>
  <c r="BP349" i="7"/>
  <c r="BP95" i="7"/>
  <c r="BP666" i="7"/>
  <c r="BP710" i="7"/>
  <c r="BP311" i="7"/>
  <c r="BP245" i="7"/>
  <c r="BP764" i="7"/>
  <c r="BP561" i="7"/>
  <c r="BP469" i="7"/>
  <c r="BP728" i="7"/>
  <c r="BP464" i="7"/>
  <c r="BP309" i="7"/>
  <c r="BP605" i="7"/>
  <c r="BP366" i="7"/>
  <c r="BP180" i="7"/>
  <c r="BP689" i="7"/>
  <c r="BP281" i="7"/>
  <c r="BP16" i="7"/>
  <c r="BP492" i="7"/>
  <c r="BP18" i="7"/>
  <c r="BP338" i="7"/>
  <c r="BP107" i="7"/>
  <c r="BP599" i="7"/>
  <c r="BP863" i="7"/>
  <c r="BP77" i="7"/>
  <c r="BP483" i="7"/>
  <c r="BP630" i="7"/>
  <c r="BP44" i="7"/>
  <c r="BP773" i="7"/>
  <c r="BP506" i="7"/>
  <c r="BP198" i="7"/>
  <c r="BP672" i="7"/>
  <c r="BP61" i="7"/>
  <c r="BP348" i="7"/>
  <c r="BP702" i="7"/>
  <c r="BP74" i="7"/>
  <c r="BP182" i="7"/>
  <c r="BP646" i="7"/>
  <c r="BP700" i="7"/>
  <c r="BP849" i="7"/>
  <c r="BP769" i="7"/>
  <c r="BP186" i="7"/>
  <c r="BP406" i="7"/>
  <c r="BP805" i="7"/>
  <c r="BP174" i="7"/>
  <c r="BP767" i="7"/>
  <c r="BP747" i="7"/>
  <c r="BP476" i="7"/>
  <c r="BP8" i="7"/>
  <c r="BP479" i="7"/>
  <c r="BP376" i="7"/>
  <c r="BP388" i="7"/>
  <c r="BP208" i="7"/>
  <c r="BP518" i="7"/>
  <c r="BP626" i="7"/>
  <c r="BP684" i="7"/>
  <c r="BP148" i="7"/>
  <c r="BP748" i="7"/>
  <c r="BP468" i="7"/>
  <c r="BP375" i="7"/>
  <c r="BP494" i="7"/>
  <c r="BP106" i="7"/>
  <c r="BP289" i="7"/>
  <c r="BP681" i="7"/>
  <c r="BP736" i="7"/>
  <c r="BP260" i="7"/>
  <c r="BP151" i="7"/>
  <c r="BP495" i="7"/>
  <c r="BP183" i="7"/>
  <c r="BP50" i="7"/>
  <c r="BP631" i="7"/>
  <c r="BP118" i="7"/>
  <c r="BP571" i="7"/>
  <c r="BP258" i="7"/>
  <c r="BP713" i="7"/>
  <c r="BP555" i="7"/>
  <c r="BP722" i="7"/>
  <c r="BP574" i="7"/>
  <c r="BP73" i="7"/>
  <c r="BP566" i="7"/>
  <c r="BP413" i="7"/>
  <c r="BP211" i="7"/>
  <c r="BP679" i="7"/>
  <c r="BP133" i="7"/>
  <c r="BP120" i="7"/>
  <c r="BP114" i="7"/>
  <c r="BP125" i="7"/>
  <c r="BP39" i="7"/>
  <c r="BP94" i="7"/>
  <c r="BP116" i="7"/>
  <c r="BP839" i="7"/>
  <c r="BP139" i="7"/>
  <c r="BP392" i="7"/>
  <c r="BP859" i="7"/>
  <c r="BP508" i="7"/>
  <c r="BP819" i="7"/>
  <c r="BP364" i="7"/>
  <c r="BP869" i="7"/>
  <c r="BP36" i="7"/>
  <c r="BP299" i="7"/>
  <c r="BP524" i="7"/>
  <c r="BP22" i="7"/>
  <c r="BP412" i="7"/>
  <c r="BP598" i="7"/>
  <c r="BP219" i="7"/>
  <c r="BP547" i="7"/>
  <c r="BP729" i="7"/>
  <c r="BP168" i="7"/>
  <c r="BP276" i="7"/>
  <c r="BP92" i="7"/>
  <c r="BP86" i="7"/>
  <c r="BP654" i="7"/>
  <c r="BP214" i="7"/>
  <c r="BP251" i="7"/>
  <c r="BP437" i="7"/>
  <c r="BP623" i="7"/>
  <c r="BP417" i="7"/>
  <c r="BP325" i="7"/>
  <c r="BP754" i="7"/>
  <c r="BP418" i="7"/>
  <c r="BP704" i="7"/>
  <c r="BP740" i="7"/>
  <c r="BP228" i="7"/>
  <c r="BP358" i="7"/>
  <c r="BP457" i="7"/>
  <c r="BP234" i="7"/>
  <c r="BP570" i="7"/>
  <c r="BP226" i="7"/>
  <c r="BP746" i="7"/>
  <c r="BP191" i="7"/>
  <c r="BP436" i="7"/>
  <c r="BP285" i="7"/>
  <c r="BP199" i="7"/>
  <c r="BP836" i="7"/>
  <c r="BP335" i="7"/>
  <c r="BP29" i="7"/>
  <c r="BP862" i="7"/>
  <c r="BP222" i="7"/>
  <c r="BP71" i="7"/>
  <c r="BP356" i="7"/>
  <c r="BP306" i="7"/>
  <c r="BP824" i="7"/>
  <c r="BP825" i="7"/>
  <c r="BP826" i="7"/>
  <c r="BP517" i="7"/>
  <c r="BP307" i="7"/>
  <c r="BP460" i="7"/>
  <c r="BP697" i="7"/>
  <c r="BP692" i="7"/>
  <c r="BP513" i="7"/>
  <c r="BP184" i="7"/>
  <c r="BP169" i="7"/>
  <c r="BP846" i="7"/>
  <c r="BP280" i="7"/>
  <c r="BP27" i="7"/>
  <c r="BP390" i="7"/>
  <c r="BP363" i="7"/>
  <c r="BP426" i="7"/>
  <c r="BP141" i="7"/>
  <c r="BP774" i="7"/>
  <c r="BP19" i="7"/>
  <c r="BP75" i="7"/>
  <c r="BP441" i="7"/>
  <c r="BP668" i="7"/>
  <c r="BP573" i="7"/>
  <c r="BP519" i="7"/>
  <c r="BP341" i="7"/>
  <c r="BP482" i="7"/>
  <c r="BP815" i="7"/>
  <c r="BP177" i="7"/>
  <c r="BP97" i="7"/>
  <c r="BP858" i="7"/>
  <c r="BP110" i="7"/>
  <c r="BP671" i="7"/>
  <c r="BP440" i="7"/>
  <c r="BP585" i="7"/>
  <c r="BP218" i="7"/>
  <c r="BP163" i="7"/>
  <c r="BP124" i="7"/>
  <c r="BP422" i="7"/>
  <c r="BP332" i="7"/>
  <c r="BP735" i="7"/>
  <c r="BP313" i="7"/>
  <c r="BP723" i="7"/>
  <c r="BP787" i="7"/>
  <c r="BP526" i="7"/>
  <c r="BP194" i="7"/>
  <c r="BP531" i="7"/>
  <c r="BP610" i="7"/>
  <c r="BP533" i="7"/>
  <c r="BP721" i="7"/>
  <c r="BP779" i="7"/>
  <c r="BP318" i="7"/>
  <c r="BP757" i="7"/>
  <c r="BP205" i="7"/>
  <c r="BP271" i="7"/>
  <c r="BP622" i="7"/>
  <c r="BP290" i="7"/>
  <c r="BP21" i="7"/>
  <c r="BP847" i="7"/>
  <c r="BP170" i="7"/>
  <c r="BP589" i="7"/>
  <c r="BP780" i="7"/>
  <c r="BP66" i="7"/>
  <c r="BP101" i="7"/>
  <c r="BP558" i="7"/>
  <c r="BP597" i="7"/>
  <c r="BP776" i="7"/>
  <c r="BP51" i="7"/>
  <c r="BP635" i="7"/>
  <c r="BP785" i="7"/>
  <c r="BP615" i="7"/>
  <c r="BP175" i="7"/>
  <c r="BP147" i="7"/>
  <c r="BP287" i="7"/>
  <c r="BP236" i="7"/>
  <c r="BP647" i="7"/>
  <c r="BP425" i="7"/>
  <c r="BP549" i="7"/>
  <c r="BP159" i="7"/>
  <c r="BP790" i="7"/>
  <c r="BP791" i="7"/>
  <c r="BP433" i="7"/>
  <c r="BP732" i="7"/>
  <c r="BP268" i="7"/>
  <c r="BP380" i="7"/>
  <c r="BP685" i="7"/>
  <c r="BP303" i="7"/>
  <c r="BP162" i="7"/>
  <c r="BP345" i="7"/>
  <c r="BP400" i="7"/>
  <c r="BP410" i="7"/>
  <c r="BP144" i="7"/>
  <c r="BP302" i="7"/>
  <c r="BP383" i="7"/>
  <c r="BP659" i="7"/>
  <c r="BP546" i="7"/>
  <c r="BP698" i="7"/>
  <c r="BP661" i="7"/>
  <c r="BP656" i="7"/>
  <c r="BP695" i="7"/>
  <c r="BP812" i="7"/>
  <c r="BP760" i="7"/>
  <c r="BP845" i="7"/>
  <c r="BP637" i="7"/>
  <c r="BP320" i="7"/>
  <c r="BP11" i="7"/>
  <c r="BP113" i="7"/>
  <c r="BP653" i="7"/>
  <c r="BP509" i="7"/>
  <c r="BP498" i="7"/>
  <c r="BP855" i="7"/>
  <c r="BP195" i="7"/>
  <c r="BP286" i="7"/>
  <c r="BP686" i="7"/>
  <c r="BP763" i="7"/>
  <c r="BP13" i="7"/>
  <c r="BP651" i="7"/>
  <c r="BP314" i="7"/>
  <c r="BP467" i="7"/>
  <c r="BP584" i="7"/>
  <c r="BP843" i="7"/>
  <c r="BP372" i="7"/>
  <c r="BP220" i="7"/>
  <c r="BP655" i="7"/>
  <c r="BP798" i="7"/>
  <c r="BP660" i="7"/>
  <c r="BP613" i="7"/>
  <c r="BP82" i="7"/>
  <c r="BP650" i="7"/>
  <c r="BP670" i="7"/>
  <c r="BP559" i="7"/>
  <c r="BP165" i="7"/>
  <c r="BP225" i="7"/>
  <c r="BP834" i="7"/>
  <c r="BP772" i="7"/>
  <c r="BP802" i="7"/>
  <c r="BP339" i="7"/>
  <c r="BP80" i="7"/>
  <c r="BP93" i="7"/>
  <c r="BP20" i="7"/>
  <c r="BP612" i="7"/>
  <c r="BP185" i="7"/>
  <c r="BP206" i="7"/>
  <c r="BP830" i="7"/>
  <c r="BP742" i="7"/>
  <c r="BP664" i="7"/>
  <c r="BP604" i="7"/>
  <c r="BP402" i="7"/>
  <c r="BP153" i="7"/>
  <c r="BP857" i="7"/>
  <c r="BP705" i="7"/>
  <c r="BP262" i="7"/>
  <c r="BP56" i="7"/>
  <c r="BP387" i="7"/>
  <c r="BP137" i="7"/>
  <c r="BP233" i="7"/>
  <c r="BP35" i="7"/>
  <c r="BP329" i="7"/>
  <c r="BP568" i="7"/>
  <c r="BP687" i="7"/>
  <c r="BP658" i="7"/>
  <c r="BP158" i="7"/>
  <c r="BP737" i="7"/>
  <c r="BP419" i="7"/>
  <c r="BP334" i="7"/>
  <c r="BP117" i="7"/>
  <c r="BP328" i="7"/>
  <c r="BP514" i="7"/>
  <c r="BP369" i="7"/>
  <c r="BP221" i="7"/>
  <c r="BP478" i="7"/>
  <c r="BP60" i="7"/>
  <c r="BP452" i="7"/>
  <c r="BP680" i="7"/>
  <c r="BP835" i="7"/>
  <c r="BP103" i="7"/>
  <c r="BP129" i="7"/>
  <c r="BP200" i="7"/>
  <c r="BP600" i="7"/>
  <c r="BP688" i="7"/>
  <c r="BP104" i="7"/>
  <c r="BP765" i="7"/>
  <c r="BP275" i="7"/>
  <c r="BP807" i="7"/>
  <c r="BP72" i="7"/>
  <c r="BP544" i="7"/>
  <c r="BP197" i="7"/>
  <c r="BP252" i="7"/>
  <c r="BP652" i="7"/>
  <c r="BP521" i="7"/>
  <c r="BP79" i="7"/>
  <c r="BP213" i="7"/>
  <c r="BP172" i="7"/>
  <c r="BP32" i="7"/>
  <c r="BP136" i="7"/>
  <c r="BP537" i="7"/>
  <c r="BP539" i="7"/>
  <c r="BP475" i="7"/>
  <c r="BP152" i="7"/>
  <c r="BP551" i="7"/>
  <c r="BP420" i="7"/>
  <c r="BP783" i="7"/>
  <c r="BP669" i="7"/>
  <c r="BP621" i="7"/>
  <c r="BP716" i="7"/>
  <c r="BP201" i="7"/>
  <c r="BP248" i="7"/>
  <c r="BP734" i="7"/>
  <c r="BP37" i="7"/>
  <c r="BP730" i="7"/>
  <c r="BP331" i="7"/>
  <c r="BP178" i="7"/>
  <c r="BP756" i="7"/>
  <c r="BP235" i="7"/>
  <c r="BP67" i="7"/>
  <c r="BP856" i="7"/>
  <c r="BP277" i="7"/>
  <c r="BP166" i="7"/>
  <c r="BP347" i="7"/>
  <c r="BP312" i="7"/>
  <c r="BP523" i="7"/>
  <c r="BP759" i="7"/>
  <c r="BP377" i="7"/>
  <c r="BP250" i="7"/>
  <c r="BP567" i="7"/>
  <c r="BP762" i="7"/>
  <c r="BP768" i="7"/>
  <c r="BP820" i="7"/>
  <c r="BP308" i="7"/>
  <c r="BP794" i="7"/>
  <c r="BP324" i="7"/>
  <c r="BP91" i="7"/>
  <c r="BP758" i="7"/>
  <c r="BP813" i="7"/>
  <c r="BP795" i="7"/>
  <c r="BP472" i="7"/>
  <c r="BP360" i="7"/>
  <c r="BP607" i="7"/>
  <c r="BP447" i="7"/>
  <c r="BP274" i="7"/>
  <c r="BP624" i="7"/>
  <c r="BP649" i="7"/>
  <c r="BP627" i="7"/>
  <c r="BP749" i="7"/>
  <c r="BP809" i="7"/>
  <c r="BP249" i="7"/>
  <c r="BP209" i="7"/>
  <c r="BP628" i="7"/>
  <c r="BP330" i="7"/>
  <c r="BP709" i="7"/>
  <c r="BP625" i="7"/>
  <c r="BP76" i="7"/>
  <c r="BP490" i="7"/>
  <c r="BP714" i="7"/>
  <c r="BP461" i="7"/>
  <c r="BP690" i="7"/>
  <c r="BP367" i="7"/>
  <c r="BP755" i="7"/>
  <c r="BP257" i="7"/>
  <c r="BP603" i="7"/>
  <c r="BP54" i="7"/>
  <c r="BP354" i="7"/>
  <c r="BP529" i="7"/>
  <c r="BP346" i="7"/>
  <c r="BP89" i="7"/>
  <c r="BP530" i="7"/>
  <c r="BP241" i="7"/>
  <c r="BP143" i="7"/>
  <c r="BP726" i="7"/>
  <c r="BP719" i="7"/>
  <c r="BP842" i="7"/>
  <c r="BP520" i="7"/>
  <c r="BP823" i="7"/>
  <c r="BP53" i="7"/>
  <c r="BP541" i="7"/>
  <c r="BP657" i="7"/>
  <c r="BP25" i="7"/>
  <c r="BP382" i="7"/>
  <c r="BP840" i="7"/>
  <c r="BP848" i="7"/>
  <c r="BP193" i="7"/>
  <c r="BP500" i="7"/>
  <c r="BP606" i="7"/>
  <c r="BP259" i="7"/>
  <c r="BP527" i="7"/>
  <c r="BP52" i="7"/>
  <c r="BP777" i="7"/>
  <c r="BP766" i="7"/>
  <c r="BP40" i="7"/>
  <c r="BP752" i="7"/>
  <c r="BP237" i="7"/>
  <c r="BP31" i="7"/>
  <c r="BP844" i="7"/>
  <c r="BP542" i="7"/>
  <c r="BP428" i="7"/>
  <c r="BP673" i="7"/>
  <c r="BP105" i="7"/>
  <c r="BP831" i="7"/>
  <c r="BP701" i="7"/>
  <c r="BP196" i="7"/>
  <c r="BP456" i="7"/>
  <c r="BP132" i="7"/>
  <c r="BP667" i="7"/>
  <c r="BP242" i="7"/>
  <c r="BP17" i="7"/>
  <c r="BP838" i="7"/>
  <c r="BP706" i="7"/>
  <c r="BP272" i="7"/>
  <c r="BP601" i="7"/>
  <c r="BP362" i="7"/>
  <c r="BP102" i="7"/>
  <c r="BP636" i="7"/>
  <c r="BP126" i="7"/>
  <c r="BP751" i="7"/>
  <c r="BP770" i="7"/>
  <c r="BP817" i="7"/>
  <c r="BP278" i="7"/>
  <c r="BP323" i="7"/>
  <c r="BP304" i="7"/>
  <c r="BP822" i="7"/>
  <c r="BP577" i="7"/>
  <c r="BP455" i="7"/>
  <c r="BP365" i="7"/>
  <c r="BP454" i="7"/>
  <c r="BP229" i="7"/>
  <c r="BP336" i="7"/>
  <c r="BP596" i="7"/>
  <c r="BP801" i="7"/>
  <c r="BP305" i="7"/>
  <c r="BP315" i="7"/>
  <c r="BP446" i="7"/>
  <c r="BP190" i="7"/>
  <c r="BP438" i="7"/>
  <c r="BP246" i="7"/>
  <c r="BP565" i="7"/>
  <c r="BP254" i="7"/>
  <c r="BP173" i="7"/>
  <c r="BP643" i="7"/>
  <c r="BP837" i="7"/>
  <c r="BP150" i="7"/>
  <c r="BP439" i="7"/>
  <c r="BP633" i="7"/>
  <c r="BP293" i="7"/>
  <c r="BP538" i="7"/>
  <c r="BP486" i="7"/>
  <c r="BP398" i="7"/>
  <c r="BP583" i="7"/>
  <c r="BP792" i="7"/>
  <c r="BP164" i="7"/>
  <c r="BP232" i="7"/>
  <c r="BP368" i="7"/>
  <c r="BP429" i="7"/>
  <c r="BP282" i="7"/>
  <c r="BP865" i="7"/>
  <c r="BP741" i="7"/>
  <c r="BP267" i="7"/>
  <c r="BP731" i="7"/>
  <c r="BP23" i="7"/>
  <c r="BP45" i="7"/>
  <c r="BP167" i="7"/>
  <c r="BP797" i="7"/>
  <c r="BP355" i="7"/>
  <c r="BP682" i="7"/>
  <c r="BP638" i="7"/>
  <c r="BP516" i="7"/>
  <c r="BP361" i="7"/>
  <c r="BP301" i="7"/>
  <c r="BP202" i="7"/>
  <c r="BP135" i="7"/>
  <c r="BP618" i="7"/>
  <c r="BP396" i="7"/>
  <c r="BP247" i="7"/>
  <c r="BP560" i="7"/>
  <c r="BP138" i="7"/>
  <c r="BO811" i="7"/>
  <c r="BO288" i="7"/>
  <c r="BO68" i="7"/>
  <c r="BO316" i="7"/>
  <c r="BO317" i="7"/>
  <c r="BO806" i="7"/>
  <c r="BO829" i="7"/>
  <c r="BO405" i="7"/>
  <c r="BO300" i="7"/>
  <c r="BO554" i="7"/>
  <c r="BO243" i="7"/>
  <c r="BO648" i="7"/>
  <c r="BO545" i="7"/>
  <c r="BO528" i="7"/>
  <c r="BO261" i="7"/>
  <c r="BO852" i="7"/>
  <c r="BO90" i="7"/>
  <c r="BO466" i="7"/>
  <c r="BO459" i="7"/>
  <c r="BO864" i="7"/>
  <c r="BO424" i="7"/>
  <c r="BO423" i="7"/>
  <c r="BO617" i="7"/>
  <c r="BO359" i="7"/>
  <c r="BO427" i="7"/>
  <c r="BO46" i="7"/>
  <c r="BO663" i="7"/>
  <c r="BO609" i="7"/>
  <c r="BO586" i="7"/>
  <c r="BO291" i="7"/>
  <c r="BO501" i="7"/>
  <c r="BO563" i="7"/>
  <c r="BO443" i="7"/>
  <c r="BO134" i="7"/>
  <c r="BO866" i="7"/>
  <c r="BO284" i="7"/>
  <c r="BO240" i="7"/>
  <c r="BO432" i="7"/>
  <c r="BO256" i="7"/>
  <c r="BO474" i="7"/>
  <c r="BO808" i="7"/>
  <c r="BO297" i="7"/>
  <c r="BO404" i="7"/>
  <c r="BO733" i="7"/>
  <c r="BO489" i="7"/>
  <c r="BO591" i="7"/>
  <c r="BO322" i="7"/>
  <c r="BO462" i="7"/>
  <c r="BO351" i="7"/>
  <c r="BO374" i="7"/>
  <c r="BO14" i="7"/>
  <c r="BO59" i="7"/>
  <c r="BO321" i="7"/>
  <c r="BO442" i="7"/>
  <c r="BO381" i="7"/>
  <c r="BO569" i="7"/>
  <c r="BO430" i="7"/>
  <c r="BO295" i="7"/>
  <c r="BO724" i="7"/>
  <c r="BO491" i="7"/>
  <c r="BO814" i="7"/>
  <c r="BO434" i="7"/>
  <c r="BO87" i="7"/>
  <c r="BO548" i="7"/>
  <c r="BO775" i="7"/>
  <c r="BO853" i="7"/>
  <c r="BO504" i="7"/>
  <c r="BO146" i="7"/>
  <c r="BO753" i="7"/>
  <c r="BO111" i="7"/>
  <c r="BO333" i="7"/>
  <c r="BO203" i="7"/>
  <c r="BO58" i="7"/>
  <c r="BO391" i="7"/>
  <c r="BO384" i="7"/>
  <c r="BO579" i="7"/>
  <c r="BO265" i="7"/>
  <c r="BO96" i="7"/>
  <c r="BO499" i="7"/>
  <c r="BO593" i="7"/>
  <c r="BO595" i="7"/>
  <c r="BO870" i="7"/>
  <c r="BO450" i="7"/>
  <c r="BO602" i="7"/>
  <c r="BO28" i="7"/>
  <c r="BO352" i="7"/>
  <c r="BO294" i="7"/>
  <c r="BO88" i="7"/>
  <c r="BO187" i="7"/>
  <c r="BO416" i="7"/>
  <c r="BO298" i="7"/>
  <c r="BO399" i="7"/>
  <c r="BO263" i="7"/>
  <c r="BO781" i="7"/>
  <c r="BO176" i="7"/>
  <c r="BO266" i="7"/>
  <c r="BO395" i="7"/>
  <c r="BO711" i="7"/>
  <c r="BO534" i="7"/>
  <c r="BO738" i="7"/>
  <c r="BO154" i="7"/>
  <c r="BO112" i="7"/>
  <c r="BO215" i="7"/>
  <c r="BO818" i="7"/>
  <c r="BO645" i="7"/>
  <c r="BO445" i="7"/>
  <c r="BO344" i="7"/>
  <c r="BO496" i="7"/>
  <c r="BO149" i="7"/>
  <c r="BO253" i="7"/>
  <c r="BO140" i="7"/>
  <c r="BO415" i="7"/>
  <c r="BO227" i="7"/>
  <c r="BO421" i="7"/>
  <c r="BO451" i="7"/>
  <c r="BO123" i="7"/>
  <c r="BO431" i="7"/>
  <c r="BO270" i="7"/>
  <c r="BO115" i="7"/>
  <c r="BO70" i="7"/>
  <c r="BO181" i="7"/>
  <c r="BO552" i="7"/>
  <c r="BO212" i="7"/>
  <c r="BO84" i="7"/>
  <c r="BO409" i="7"/>
  <c r="BO100" i="7"/>
  <c r="BO522" i="7"/>
  <c r="BO216" i="7"/>
  <c r="BO386" i="7"/>
  <c r="BO629" i="7"/>
  <c r="BO703" i="7"/>
  <c r="BO122" i="7"/>
  <c r="BO784" i="7"/>
  <c r="BO30" i="7"/>
  <c r="BO851" i="7"/>
  <c r="BO536" i="7"/>
  <c r="BO582" i="7"/>
  <c r="BO484" i="7"/>
  <c r="BO485" i="7"/>
  <c r="BO326" i="7"/>
  <c r="BO850" i="7"/>
  <c r="BO83" i="7"/>
  <c r="BO616" i="7"/>
  <c r="BO693" i="7"/>
  <c r="BO674" i="7"/>
  <c r="BO449" i="7"/>
  <c r="BO804" i="7"/>
  <c r="BO269" i="7"/>
  <c r="BO644" i="7"/>
  <c r="BO145" i="7"/>
  <c r="BO515" i="7"/>
  <c r="BO38" i="7"/>
  <c r="BO576" i="7"/>
  <c r="BO619" i="7"/>
  <c r="BO677" i="7"/>
  <c r="BO255" i="7"/>
  <c r="BO279" i="7"/>
  <c r="BO575" i="7"/>
  <c r="BO12" i="7"/>
  <c r="BO727" i="7"/>
  <c r="BO128" i="7"/>
  <c r="BO401" i="7"/>
  <c r="BO127" i="7"/>
  <c r="BO580" i="7"/>
  <c r="BO497" i="7"/>
  <c r="BO502" i="7"/>
  <c r="BO283" i="7"/>
  <c r="BO761" i="7"/>
  <c r="BO264" i="7"/>
  <c r="BO99" i="7"/>
  <c r="BO720" i="7"/>
  <c r="BO861" i="7"/>
  <c r="BO620" i="7"/>
  <c r="BO161" i="7"/>
  <c r="BO581" i="7"/>
  <c r="BO98" i="7"/>
  <c r="BO371" i="7"/>
  <c r="BO350" i="7"/>
  <c r="BO81" i="7"/>
  <c r="BO665" i="7"/>
  <c r="BO564" i="7"/>
  <c r="BO34" i="7"/>
  <c r="BO782" i="7"/>
  <c r="BO239" i="7"/>
  <c r="BO408" i="7"/>
  <c r="BO385" i="7"/>
  <c r="BO634" i="7"/>
  <c r="BO510" i="7"/>
  <c r="BO503" i="7"/>
  <c r="BO448" i="7"/>
  <c r="BO789" i="7"/>
  <c r="BO821" i="7"/>
  <c r="BO463" i="7"/>
  <c r="BO63" i="7"/>
  <c r="BO378" i="7"/>
  <c r="BO810" i="7"/>
  <c r="BO389" i="7"/>
  <c r="BO397" i="7"/>
  <c r="BO171" i="7"/>
  <c r="BO119" i="7"/>
  <c r="BO343" i="7"/>
  <c r="BO678" i="7"/>
  <c r="BO477" i="7"/>
  <c r="BO525" i="7"/>
  <c r="BO592" i="7"/>
  <c r="BO611" i="7"/>
  <c r="BO707" i="7"/>
  <c r="BO587" i="7"/>
  <c r="BO540" i="7"/>
  <c r="BO370" i="7"/>
  <c r="BO691" i="7"/>
  <c r="BO340" i="7"/>
  <c r="BO487" i="7"/>
  <c r="BO717" i="7"/>
  <c r="BO715" i="7"/>
  <c r="BO414" i="7"/>
  <c r="BO676" i="7"/>
  <c r="BO57" i="7"/>
  <c r="BO694" i="7"/>
  <c r="BO403" i="7"/>
  <c r="BO160" i="7"/>
  <c r="BO26" i="7"/>
  <c r="BO793" i="7"/>
  <c r="BO543" i="7"/>
  <c r="BO608" i="7"/>
  <c r="BO109" i="7"/>
  <c r="BO642" i="7"/>
  <c r="BO771" i="7"/>
  <c r="BO696" i="7"/>
  <c r="BO800" i="7"/>
  <c r="BO588" i="7"/>
  <c r="BO435" i="7"/>
  <c r="BO745" i="7"/>
  <c r="BO470" i="7"/>
  <c r="BO675" i="7"/>
  <c r="BO594" i="7"/>
  <c r="BO204" i="7"/>
  <c r="BO511" i="7"/>
  <c r="BO273" i="7"/>
  <c r="BO796" i="7"/>
  <c r="BO535" i="7"/>
  <c r="BO62" i="7"/>
  <c r="BO683" i="7"/>
  <c r="BO69" i="7"/>
  <c r="BO481" i="7"/>
  <c r="BO699" i="7"/>
  <c r="BO210" i="7"/>
  <c r="BO342" i="7"/>
  <c r="BO816" i="7"/>
  <c r="BO557" i="7"/>
  <c r="BO867" i="7"/>
  <c r="BO799" i="7"/>
  <c r="BO373" i="7"/>
  <c r="BO550" i="7"/>
  <c r="BO854" i="7"/>
  <c r="BO725" i="7"/>
  <c r="BO860" i="7"/>
  <c r="BO832" i="7"/>
  <c r="BO64" i="7"/>
  <c r="BO231" i="7"/>
  <c r="BO10" i="7"/>
  <c r="BO712" i="7"/>
  <c r="BO42" i="7"/>
  <c r="BO614" i="7"/>
  <c r="BO744" i="7"/>
  <c r="BO512" i="7"/>
  <c r="BO411" i="7"/>
  <c r="BO108" i="7"/>
  <c r="BO828" i="7"/>
  <c r="BO15" i="7"/>
  <c r="BO43" i="7"/>
  <c r="BO868" i="7"/>
  <c r="BO319" i="7"/>
  <c r="BO453" i="7"/>
  <c r="BO480" i="7"/>
  <c r="BO85" i="7"/>
  <c r="BO827" i="7"/>
  <c r="BO718" i="7"/>
  <c r="BO507" i="7"/>
  <c r="BO641" i="7"/>
  <c r="BO662" i="7"/>
  <c r="BO750" i="7"/>
  <c r="BO78" i="7"/>
  <c r="BO41" i="7"/>
  <c r="BO788" i="7"/>
  <c r="BO532" i="7"/>
  <c r="BO803" i="7"/>
  <c r="BO778" i="7"/>
  <c r="BO833" i="7"/>
  <c r="BO473" i="7"/>
  <c r="BO465" i="7"/>
  <c r="BO230" i="7"/>
  <c r="BO407" i="7"/>
  <c r="BO207" i="7"/>
  <c r="BO708" i="7"/>
  <c r="BO9" i="7"/>
  <c r="BO488" i="7"/>
  <c r="BO841" i="7"/>
  <c r="BO394" i="7"/>
  <c r="BO556" i="7"/>
  <c r="BO444" i="7"/>
  <c r="BO292" i="7"/>
  <c r="BO33" i="7"/>
  <c r="BO632" i="7"/>
  <c r="BO310" i="7"/>
  <c r="BO24" i="7"/>
  <c r="BO349" i="7"/>
  <c r="BO95" i="7"/>
  <c r="BO666" i="7"/>
  <c r="BO710" i="7"/>
  <c r="BO311" i="7"/>
  <c r="BO245" i="7"/>
  <c r="BO764" i="7"/>
  <c r="BO561" i="7"/>
  <c r="BO469" i="7"/>
  <c r="BO728" i="7"/>
  <c r="BO464" i="7"/>
  <c r="BO309" i="7"/>
  <c r="BO605" i="7"/>
  <c r="BO366" i="7"/>
  <c r="BO180" i="7"/>
  <c r="BO689" i="7"/>
  <c r="BO281" i="7"/>
  <c r="BO16" i="7"/>
  <c r="BO492" i="7"/>
  <c r="BO18" i="7"/>
  <c r="BO338" i="7"/>
  <c r="BO107" i="7"/>
  <c r="BO599" i="7"/>
  <c r="BO863" i="7"/>
  <c r="BO77" i="7"/>
  <c r="BO483" i="7"/>
  <c r="BO630" i="7"/>
  <c r="BO44" i="7"/>
  <c r="BO773" i="7"/>
  <c r="BO506" i="7"/>
  <c r="BO198" i="7"/>
  <c r="BO672" i="7"/>
  <c r="BO61" i="7"/>
  <c r="BO348" i="7"/>
  <c r="BO702" i="7"/>
  <c r="BO74" i="7"/>
  <c r="BO182" i="7"/>
  <c r="BO646" i="7"/>
  <c r="BO700" i="7"/>
  <c r="BO849" i="7"/>
  <c r="BO769" i="7"/>
  <c r="BO186" i="7"/>
  <c r="BO406" i="7"/>
  <c r="BO805" i="7"/>
  <c r="BO174" i="7"/>
  <c r="BO767" i="7"/>
  <c r="BO747" i="7"/>
  <c r="BO476" i="7"/>
  <c r="BO8" i="7"/>
  <c r="BO479" i="7"/>
  <c r="BO376" i="7"/>
  <c r="BO388" i="7"/>
  <c r="BO208" i="7"/>
  <c r="BO518" i="7"/>
  <c r="BO626" i="7"/>
  <c r="BO684" i="7"/>
  <c r="BO148" i="7"/>
  <c r="BO748" i="7"/>
  <c r="BO468" i="7"/>
  <c r="BO375" i="7"/>
  <c r="BO494" i="7"/>
  <c r="BO106" i="7"/>
  <c r="BO289" i="7"/>
  <c r="BO681" i="7"/>
  <c r="BO736" i="7"/>
  <c r="BO260" i="7"/>
  <c r="BO151" i="7"/>
  <c r="BO495" i="7"/>
  <c r="BO183" i="7"/>
  <c r="BO50" i="7"/>
  <c r="BO631" i="7"/>
  <c r="BO118" i="7"/>
  <c r="BO571" i="7"/>
  <c r="BO258" i="7"/>
  <c r="BO713" i="7"/>
  <c r="BO555" i="7"/>
  <c r="BO722" i="7"/>
  <c r="BO574" i="7"/>
  <c r="BO73" i="7"/>
  <c r="BO566" i="7"/>
  <c r="BO413" i="7"/>
  <c r="BO211" i="7"/>
  <c r="BO679" i="7"/>
  <c r="BO133" i="7"/>
  <c r="BO120" i="7"/>
  <c r="BO114" i="7"/>
  <c r="BO125" i="7"/>
  <c r="BO39" i="7"/>
  <c r="BO94" i="7"/>
  <c r="BO116" i="7"/>
  <c r="BO839" i="7"/>
  <c r="BO139" i="7"/>
  <c r="BO392" i="7"/>
  <c r="BO859" i="7"/>
  <c r="BO508" i="7"/>
  <c r="BO819" i="7"/>
  <c r="BO364" i="7"/>
  <c r="BO869" i="7"/>
  <c r="BO36" i="7"/>
  <c r="BO299" i="7"/>
  <c r="BO524" i="7"/>
  <c r="BO22" i="7"/>
  <c r="BO412" i="7"/>
  <c r="BO598" i="7"/>
  <c r="BO219" i="7"/>
  <c r="BO547" i="7"/>
  <c r="BO729" i="7"/>
  <c r="BO168" i="7"/>
  <c r="BO276" i="7"/>
  <c r="BO92" i="7"/>
  <c r="BO86" i="7"/>
  <c r="BO654" i="7"/>
  <c r="BO214" i="7"/>
  <c r="BO251" i="7"/>
  <c r="BO437" i="7"/>
  <c r="BO623" i="7"/>
  <c r="BO417" i="7"/>
  <c r="BO325" i="7"/>
  <c r="BO754" i="7"/>
  <c r="BO418" i="7"/>
  <c r="BO704" i="7"/>
  <c r="BO740" i="7"/>
  <c r="BO228" i="7"/>
  <c r="BO358" i="7"/>
  <c r="BO457" i="7"/>
  <c r="BO234" i="7"/>
  <c r="BO570" i="7"/>
  <c r="BO226" i="7"/>
  <c r="BO746" i="7"/>
  <c r="BO191" i="7"/>
  <c r="BO436" i="7"/>
  <c r="BO285" i="7"/>
  <c r="BO199" i="7"/>
  <c r="BO836" i="7"/>
  <c r="BO335" i="7"/>
  <c r="BO29" i="7"/>
  <c r="BO862" i="7"/>
  <c r="BO222" i="7"/>
  <c r="BO71" i="7"/>
  <c r="BO356" i="7"/>
  <c r="BO306" i="7"/>
  <c r="BO824" i="7"/>
  <c r="BO825" i="7"/>
  <c r="BO826" i="7"/>
  <c r="BO517" i="7"/>
  <c r="BO307" i="7"/>
  <c r="BO460" i="7"/>
  <c r="BO697" i="7"/>
  <c r="BO692" i="7"/>
  <c r="BO513" i="7"/>
  <c r="BO184" i="7"/>
  <c r="BO169" i="7"/>
  <c r="BO846" i="7"/>
  <c r="BO280" i="7"/>
  <c r="BO27" i="7"/>
  <c r="BO390" i="7"/>
  <c r="BO363" i="7"/>
  <c r="BO426" i="7"/>
  <c r="BO141" i="7"/>
  <c r="BO774" i="7"/>
  <c r="BO19" i="7"/>
  <c r="BO75" i="7"/>
  <c r="BO441" i="7"/>
  <c r="BO668" i="7"/>
  <c r="BO573" i="7"/>
  <c r="BO519" i="7"/>
  <c r="BO341" i="7"/>
  <c r="BO482" i="7"/>
  <c r="BO815" i="7"/>
  <c r="BO177" i="7"/>
  <c r="BO97" i="7"/>
  <c r="BO858" i="7"/>
  <c r="BO110" i="7"/>
  <c r="BO671" i="7"/>
  <c r="BO440" i="7"/>
  <c r="BO585" i="7"/>
  <c r="BO218" i="7"/>
  <c r="BO163" i="7"/>
  <c r="BO124" i="7"/>
  <c r="BO422" i="7"/>
  <c r="BO332" i="7"/>
  <c r="BO735" i="7"/>
  <c r="BO313" i="7"/>
  <c r="BO723" i="7"/>
  <c r="BO787" i="7"/>
  <c r="BO526" i="7"/>
  <c r="BO194" i="7"/>
  <c r="BO531" i="7"/>
  <c r="BO610" i="7"/>
  <c r="BO533" i="7"/>
  <c r="BO721" i="7"/>
  <c r="BO779" i="7"/>
  <c r="BO318" i="7"/>
  <c r="BO757" i="7"/>
  <c r="BO205" i="7"/>
  <c r="BO271" i="7"/>
  <c r="BO622" i="7"/>
  <c r="BO290" i="7"/>
  <c r="BO21" i="7"/>
  <c r="BO847" i="7"/>
  <c r="BO170" i="7"/>
  <c r="BO589" i="7"/>
  <c r="BO780" i="7"/>
  <c r="BO66" i="7"/>
  <c r="BO101" i="7"/>
  <c r="BO558" i="7"/>
  <c r="BO597" i="7"/>
  <c r="BO776" i="7"/>
  <c r="BO51" i="7"/>
  <c r="BO635" i="7"/>
  <c r="BO785" i="7"/>
  <c r="BO615" i="7"/>
  <c r="BO175" i="7"/>
  <c r="BO147" i="7"/>
  <c r="BO287" i="7"/>
  <c r="BO236" i="7"/>
  <c r="BO647" i="7"/>
  <c r="BO425" i="7"/>
  <c r="BO549" i="7"/>
  <c r="BO159" i="7"/>
  <c r="BO790" i="7"/>
  <c r="BO791" i="7"/>
  <c r="BO433" i="7"/>
  <c r="BO732" i="7"/>
  <c r="BO268" i="7"/>
  <c r="BO380" i="7"/>
  <c r="BO685" i="7"/>
  <c r="BO303" i="7"/>
  <c r="BO162" i="7"/>
  <c r="BO345" i="7"/>
  <c r="BO400" i="7"/>
  <c r="BO410" i="7"/>
  <c r="BO144" i="7"/>
  <c r="BO302" i="7"/>
  <c r="BO383" i="7"/>
  <c r="BO659" i="7"/>
  <c r="BO546" i="7"/>
  <c r="BO698" i="7"/>
  <c r="BO661" i="7"/>
  <c r="BO656" i="7"/>
  <c r="BO695" i="7"/>
  <c r="BO812" i="7"/>
  <c r="BO760" i="7"/>
  <c r="BO845" i="7"/>
  <c r="BO637" i="7"/>
  <c r="BO320" i="7"/>
  <c r="BO11" i="7"/>
  <c r="BO113" i="7"/>
  <c r="BO653" i="7"/>
  <c r="BO509" i="7"/>
  <c r="BO498" i="7"/>
  <c r="BO855" i="7"/>
  <c r="BO195" i="7"/>
  <c r="BO286" i="7"/>
  <c r="BO686" i="7"/>
  <c r="BO763" i="7"/>
  <c r="BO13" i="7"/>
  <c r="BO651" i="7"/>
  <c r="BO314" i="7"/>
  <c r="BO467" i="7"/>
  <c r="BO584" i="7"/>
  <c r="BO843" i="7"/>
  <c r="BO372" i="7"/>
  <c r="BO220" i="7"/>
  <c r="BO655" i="7"/>
  <c r="BO798" i="7"/>
  <c r="BO660" i="7"/>
  <c r="BO613" i="7"/>
  <c r="BO82" i="7"/>
  <c r="BO650" i="7"/>
  <c r="BO670" i="7"/>
  <c r="BO559" i="7"/>
  <c r="BO165" i="7"/>
  <c r="BO225" i="7"/>
  <c r="BO834" i="7"/>
  <c r="BO772" i="7"/>
  <c r="BO802" i="7"/>
  <c r="BO339" i="7"/>
  <c r="BO80" i="7"/>
  <c r="BO93" i="7"/>
  <c r="BO20" i="7"/>
  <c r="BO612" i="7"/>
  <c r="BO185" i="7"/>
  <c r="BO206" i="7"/>
  <c r="BO830" i="7"/>
  <c r="BO742" i="7"/>
  <c r="BO664" i="7"/>
  <c r="BO604" i="7"/>
  <c r="BO402" i="7"/>
  <c r="BO153" i="7"/>
  <c r="BO857" i="7"/>
  <c r="BO705" i="7"/>
  <c r="BO262" i="7"/>
  <c r="BO56" i="7"/>
  <c r="BO387" i="7"/>
  <c r="BO137" i="7"/>
  <c r="BO233" i="7"/>
  <c r="BO35" i="7"/>
  <c r="BO329" i="7"/>
  <c r="BO568" i="7"/>
  <c r="BO687" i="7"/>
  <c r="BO658" i="7"/>
  <c r="BO158" i="7"/>
  <c r="BO737" i="7"/>
  <c r="BO419" i="7"/>
  <c r="BO334" i="7"/>
  <c r="BO117" i="7"/>
  <c r="BO328" i="7"/>
  <c r="BO514" i="7"/>
  <c r="BO369" i="7"/>
  <c r="BO221" i="7"/>
  <c r="BO478" i="7"/>
  <c r="BO60" i="7"/>
  <c r="BO452" i="7"/>
  <c r="BO680" i="7"/>
  <c r="BO835" i="7"/>
  <c r="BO103" i="7"/>
  <c r="BO129" i="7"/>
  <c r="BO200" i="7"/>
  <c r="BO600" i="7"/>
  <c r="BO688" i="7"/>
  <c r="BO104" i="7"/>
  <c r="BO765" i="7"/>
  <c r="BO275" i="7"/>
  <c r="BO807" i="7"/>
  <c r="BO72" i="7"/>
  <c r="BO544" i="7"/>
  <c r="BO197" i="7"/>
  <c r="BO252" i="7"/>
  <c r="BO652" i="7"/>
  <c r="BO521" i="7"/>
  <c r="BO79" i="7"/>
  <c r="BO213" i="7"/>
  <c r="BO172" i="7"/>
  <c r="BO32" i="7"/>
  <c r="BO136" i="7"/>
  <c r="BO537" i="7"/>
  <c r="BO539" i="7"/>
  <c r="BO475" i="7"/>
  <c r="BO152" i="7"/>
  <c r="BO551" i="7"/>
  <c r="BO420" i="7"/>
  <c r="BO783" i="7"/>
  <c r="BO669" i="7"/>
  <c r="BO621" i="7"/>
  <c r="BO716" i="7"/>
  <c r="BO201" i="7"/>
  <c r="BO248" i="7"/>
  <c r="BO734" i="7"/>
  <c r="BO37" i="7"/>
  <c r="BO730" i="7"/>
  <c r="BO331" i="7"/>
  <c r="BO178" i="7"/>
  <c r="BO756" i="7"/>
  <c r="BO235" i="7"/>
  <c r="BO67" i="7"/>
  <c r="BO856" i="7"/>
  <c r="BO277" i="7"/>
  <c r="BO166" i="7"/>
  <c r="BO347" i="7"/>
  <c r="BO312" i="7"/>
  <c r="BO523" i="7"/>
  <c r="BO759" i="7"/>
  <c r="BO377" i="7"/>
  <c r="BO250" i="7"/>
  <c r="BO567" i="7"/>
  <c r="BO762" i="7"/>
  <c r="BO768" i="7"/>
  <c r="BO820" i="7"/>
  <c r="BO308" i="7"/>
  <c r="BO794" i="7"/>
  <c r="BO324" i="7"/>
  <c r="BO91" i="7"/>
  <c r="BO758" i="7"/>
  <c r="BO813" i="7"/>
  <c r="BO795" i="7"/>
  <c r="BO472" i="7"/>
  <c r="BO360" i="7"/>
  <c r="BO607" i="7"/>
  <c r="BO447" i="7"/>
  <c r="BO274" i="7"/>
  <c r="BO624" i="7"/>
  <c r="BO649" i="7"/>
  <c r="BO627" i="7"/>
  <c r="BO749" i="7"/>
  <c r="BO809" i="7"/>
  <c r="BO249" i="7"/>
  <c r="BO209" i="7"/>
  <c r="BO628" i="7"/>
  <c r="BO330" i="7"/>
  <c r="BO709" i="7"/>
  <c r="BO625" i="7"/>
  <c r="BO76" i="7"/>
  <c r="BO490" i="7"/>
  <c r="BO714" i="7"/>
  <c r="BO461" i="7"/>
  <c r="BO690" i="7"/>
  <c r="BO367" i="7"/>
  <c r="BO755" i="7"/>
  <c r="BO257" i="7"/>
  <c r="BO603" i="7"/>
  <c r="BO54" i="7"/>
  <c r="BO354" i="7"/>
  <c r="BO529" i="7"/>
  <c r="BO346" i="7"/>
  <c r="BO89" i="7"/>
  <c r="BO530" i="7"/>
  <c r="BO241" i="7"/>
  <c r="BO143" i="7"/>
  <c r="BO726" i="7"/>
  <c r="BO719" i="7"/>
  <c r="BO842" i="7"/>
  <c r="BO520" i="7"/>
  <c r="BO823" i="7"/>
  <c r="BO53" i="7"/>
  <c r="BO541" i="7"/>
  <c r="BO657" i="7"/>
  <c r="BO25" i="7"/>
  <c r="BO382" i="7"/>
  <c r="BO840" i="7"/>
  <c r="BO848" i="7"/>
  <c r="BO193" i="7"/>
  <c r="BO500" i="7"/>
  <c r="BO606" i="7"/>
  <c r="BO259" i="7"/>
  <c r="BO527" i="7"/>
  <c r="BO52" i="7"/>
  <c r="BO777" i="7"/>
  <c r="BO766" i="7"/>
  <c r="BO40" i="7"/>
  <c r="BO752" i="7"/>
  <c r="BO237" i="7"/>
  <c r="BO31" i="7"/>
  <c r="BO844" i="7"/>
  <c r="BO542" i="7"/>
  <c r="BO428" i="7"/>
  <c r="BO673" i="7"/>
  <c r="BO105" i="7"/>
  <c r="BO831" i="7"/>
  <c r="BO701" i="7"/>
  <c r="BO196" i="7"/>
  <c r="BO456" i="7"/>
  <c r="BO132" i="7"/>
  <c r="BO667" i="7"/>
  <c r="BO242" i="7"/>
  <c r="BO17" i="7"/>
  <c r="BO838" i="7"/>
  <c r="BO706" i="7"/>
  <c r="BO272" i="7"/>
  <c r="BO601" i="7"/>
  <c r="BO362" i="7"/>
  <c r="BO102" i="7"/>
  <c r="BO636" i="7"/>
  <c r="BO126" i="7"/>
  <c r="BO751" i="7"/>
  <c r="BO770" i="7"/>
  <c r="BO817" i="7"/>
  <c r="BO278" i="7"/>
  <c r="BO323" i="7"/>
  <c r="BO304" i="7"/>
  <c r="BO822" i="7"/>
  <c r="BO577" i="7"/>
  <c r="BO455" i="7"/>
  <c r="BO365" i="7"/>
  <c r="BO454" i="7"/>
  <c r="BO229" i="7"/>
  <c r="BO336" i="7"/>
  <c r="BO596" i="7"/>
  <c r="BO801" i="7"/>
  <c r="BO305" i="7"/>
  <c r="BO315" i="7"/>
  <c r="BO446" i="7"/>
  <c r="BO190" i="7"/>
  <c r="BO438" i="7"/>
  <c r="BO246" i="7"/>
  <c r="BO565" i="7"/>
  <c r="BO254" i="7"/>
  <c r="BO173" i="7"/>
  <c r="BO643" i="7"/>
  <c r="BO837" i="7"/>
  <c r="BO150" i="7"/>
  <c r="BO439" i="7"/>
  <c r="BO633" i="7"/>
  <c r="BO293" i="7"/>
  <c r="BO538" i="7"/>
  <c r="BO486" i="7"/>
  <c r="BO398" i="7"/>
  <c r="BO583" i="7"/>
  <c r="BO792" i="7"/>
  <c r="BO164" i="7"/>
  <c r="BO232" i="7"/>
  <c r="BO368" i="7"/>
  <c r="BO429" i="7"/>
  <c r="BO282" i="7"/>
  <c r="BO865" i="7"/>
  <c r="BO741" i="7"/>
  <c r="BO267" i="7"/>
  <c r="BO731" i="7"/>
  <c r="BO23" i="7"/>
  <c r="BO45" i="7"/>
  <c r="BO167" i="7"/>
  <c r="BO797" i="7"/>
  <c r="BO355" i="7"/>
  <c r="BO682" i="7"/>
  <c r="BO638" i="7"/>
  <c r="BO516" i="7"/>
  <c r="BO361" i="7"/>
  <c r="BO301" i="7"/>
  <c r="BO202" i="7"/>
  <c r="BO135" i="7"/>
  <c r="BO618" i="7"/>
  <c r="BO396" i="7"/>
  <c r="BO247" i="7"/>
  <c r="BO560" i="7"/>
  <c r="BO138" i="7"/>
  <c r="BP590" i="7"/>
  <c r="E590" i="7"/>
  <c r="E562" i="7"/>
  <c r="E639" i="7"/>
  <c r="E244" i="7"/>
  <c r="E393" i="7"/>
  <c r="E238" i="7"/>
  <c r="E786" i="7"/>
  <c r="E578" i="7"/>
  <c r="E179" i="7"/>
  <c r="E640" i="7"/>
  <c r="E811" i="7"/>
  <c r="E288" i="7"/>
  <c r="E68" i="7"/>
  <c r="E316" i="7"/>
  <c r="E317" i="7"/>
  <c r="E806" i="7"/>
  <c r="E829" i="7"/>
  <c r="E405" i="7"/>
  <c r="E300" i="7"/>
  <c r="E554" i="7"/>
  <c r="E243" i="7"/>
  <c r="E648" i="7"/>
  <c r="E545" i="7"/>
  <c r="E528" i="7"/>
  <c r="E261" i="7"/>
  <c r="E852" i="7"/>
  <c r="E90" i="7"/>
  <c r="E466" i="7"/>
  <c r="E459" i="7"/>
  <c r="E864" i="7"/>
  <c r="E424" i="7"/>
  <c r="E423" i="7"/>
  <c r="E617" i="7"/>
  <c r="E359" i="7"/>
  <c r="E427" i="7"/>
  <c r="E46" i="7"/>
  <c r="E663" i="7"/>
  <c r="E609" i="7"/>
  <c r="E586" i="7"/>
  <c r="E291" i="7"/>
  <c r="E501" i="7"/>
  <c r="E563" i="7"/>
  <c r="E443" i="7"/>
  <c r="E134" i="7"/>
  <c r="E866" i="7"/>
  <c r="E284" i="7"/>
  <c r="E240" i="7"/>
  <c r="E432" i="7"/>
  <c r="E256" i="7"/>
  <c r="E474" i="7"/>
  <c r="E808" i="7"/>
  <c r="E297" i="7"/>
  <c r="E404" i="7"/>
  <c r="E733" i="7"/>
  <c r="E489" i="7"/>
  <c r="E591" i="7"/>
  <c r="E322" i="7"/>
  <c r="E462" i="7"/>
  <c r="E351" i="7"/>
  <c r="E374" i="7"/>
  <c r="E14" i="7"/>
  <c r="E59" i="7"/>
  <c r="E321" i="7"/>
  <c r="E442" i="7"/>
  <c r="E381" i="7"/>
  <c r="E569" i="7"/>
  <c r="E430" i="7"/>
  <c r="E295" i="7"/>
  <c r="E724" i="7"/>
  <c r="E491" i="7"/>
  <c r="E814" i="7"/>
  <c r="E434" i="7"/>
  <c r="E87" i="7"/>
  <c r="E548" i="7"/>
  <c r="E775" i="7"/>
  <c r="E853" i="7"/>
  <c r="E504" i="7"/>
  <c r="E146" i="7"/>
  <c r="E753" i="7"/>
  <c r="E111" i="7"/>
  <c r="E333" i="7"/>
  <c r="E203" i="7"/>
  <c r="E58" i="7"/>
  <c r="E391" i="7"/>
  <c r="E384" i="7"/>
  <c r="E579" i="7"/>
  <c r="E265" i="7"/>
  <c r="E96" i="7"/>
  <c r="E499" i="7"/>
  <c r="E593" i="7"/>
  <c r="E595" i="7"/>
  <c r="E870" i="7"/>
  <c r="E450" i="7"/>
  <c r="E602" i="7"/>
  <c r="E28" i="7"/>
  <c r="E352" i="7"/>
  <c r="E294" i="7"/>
  <c r="E88" i="7"/>
  <c r="E187" i="7"/>
  <c r="E416" i="7"/>
  <c r="E298" i="7"/>
  <c r="E399" i="7"/>
  <c r="E263" i="7"/>
  <c r="E781" i="7"/>
  <c r="E176" i="7"/>
  <c r="E266" i="7"/>
  <c r="E395" i="7"/>
  <c r="E711" i="7"/>
  <c r="E534" i="7"/>
  <c r="E738" i="7"/>
  <c r="E154" i="7"/>
  <c r="E112" i="7"/>
  <c r="E215" i="7"/>
  <c r="E818" i="7"/>
  <c r="E645" i="7"/>
  <c r="E445" i="7"/>
  <c r="E344" i="7"/>
  <c r="E496" i="7"/>
  <c r="E149" i="7"/>
  <c r="E253" i="7"/>
  <c r="E140" i="7"/>
  <c r="E415" i="7"/>
  <c r="E227" i="7"/>
  <c r="E421" i="7"/>
  <c r="E451" i="7"/>
  <c r="E123" i="7"/>
  <c r="E431" i="7"/>
  <c r="E270" i="7"/>
  <c r="E115" i="7"/>
  <c r="E70" i="7"/>
  <c r="E181" i="7"/>
  <c r="E552" i="7"/>
  <c r="E212" i="7"/>
  <c r="E84" i="7"/>
  <c r="E409" i="7"/>
  <c r="E100" i="7"/>
  <c r="E522" i="7"/>
  <c r="E216" i="7"/>
  <c r="E386" i="7"/>
  <c r="E629" i="7"/>
  <c r="E703" i="7"/>
  <c r="E122" i="7"/>
  <c r="E784" i="7"/>
  <c r="E30" i="7"/>
  <c r="E851" i="7"/>
  <c r="E536" i="7"/>
  <c r="E582" i="7"/>
  <c r="E484" i="7"/>
  <c r="E485" i="7"/>
  <c r="E326" i="7"/>
  <c r="E850" i="7"/>
  <c r="E83" i="7"/>
  <c r="E616" i="7"/>
  <c r="E693" i="7"/>
  <c r="E674" i="7"/>
  <c r="E449" i="7"/>
  <c r="E804" i="7"/>
  <c r="E269" i="7"/>
  <c r="E644" i="7"/>
  <c r="E145" i="7"/>
  <c r="E515" i="7"/>
  <c r="E38" i="7"/>
  <c r="E576" i="7"/>
  <c r="E619" i="7"/>
  <c r="E677" i="7"/>
  <c r="E255" i="7"/>
  <c r="E279" i="7"/>
  <c r="E575" i="7"/>
  <c r="E12" i="7"/>
  <c r="E727" i="7"/>
  <c r="E128" i="7"/>
  <c r="E401" i="7"/>
  <c r="E127" i="7"/>
  <c r="E580" i="7"/>
  <c r="E497" i="7"/>
  <c r="E502" i="7"/>
  <c r="E283" i="7"/>
  <c r="E761" i="7"/>
  <c r="E264" i="7"/>
  <c r="E99" i="7"/>
  <c r="E720" i="7"/>
  <c r="E861" i="7"/>
  <c r="E620" i="7"/>
  <c r="E161" i="7"/>
  <c r="E581" i="7"/>
  <c r="E98" i="7"/>
  <c r="E371" i="7"/>
  <c r="E350" i="7"/>
  <c r="E81" i="7"/>
  <c r="E665" i="7"/>
  <c r="E564" i="7"/>
  <c r="E34" i="7"/>
  <c r="E782" i="7"/>
  <c r="E239" i="7"/>
  <c r="E408" i="7"/>
  <c r="E385" i="7"/>
  <c r="E634" i="7"/>
  <c r="E510" i="7"/>
  <c r="E503" i="7"/>
  <c r="E448" i="7"/>
  <c r="E789" i="7"/>
  <c r="E821" i="7"/>
  <c r="E463" i="7"/>
  <c r="E63" i="7"/>
  <c r="E378" i="7"/>
  <c r="E810" i="7"/>
  <c r="E389" i="7"/>
  <c r="E397" i="7"/>
  <c r="E171" i="7"/>
  <c r="E119" i="7"/>
  <c r="E343" i="7"/>
  <c r="E678" i="7"/>
  <c r="E477" i="7"/>
  <c r="E525" i="7"/>
  <c r="E592" i="7"/>
  <c r="E611" i="7"/>
  <c r="E707" i="7"/>
  <c r="E587" i="7"/>
  <c r="E540" i="7"/>
  <c r="E370" i="7"/>
  <c r="E691" i="7"/>
  <c r="E340" i="7"/>
  <c r="E487" i="7"/>
  <c r="E717" i="7"/>
  <c r="E715" i="7"/>
  <c r="E414" i="7"/>
  <c r="E676" i="7"/>
  <c r="E57" i="7"/>
  <c r="E694" i="7"/>
  <c r="E403" i="7"/>
  <c r="E160" i="7"/>
  <c r="E26" i="7"/>
  <c r="E793" i="7"/>
  <c r="E543" i="7"/>
  <c r="E608" i="7"/>
  <c r="E109" i="7"/>
  <c r="E642" i="7"/>
  <c r="E771" i="7"/>
  <c r="E696" i="7"/>
  <c r="E800" i="7"/>
  <c r="E588" i="7"/>
  <c r="E435" i="7"/>
  <c r="E745" i="7"/>
  <c r="E470" i="7"/>
  <c r="E675" i="7"/>
  <c r="E594" i="7"/>
  <c r="E204" i="7"/>
  <c r="E511" i="7"/>
  <c r="E273" i="7"/>
  <c r="E796" i="7"/>
  <c r="E535" i="7"/>
  <c r="E62" i="7"/>
  <c r="E683" i="7"/>
  <c r="E69" i="7"/>
  <c r="E481" i="7"/>
  <c r="E699" i="7"/>
  <c r="E210" i="7"/>
  <c r="E342" i="7"/>
  <c r="E816" i="7"/>
  <c r="E557" i="7"/>
  <c r="E867" i="7"/>
  <c r="E799" i="7"/>
  <c r="E373" i="7"/>
  <c r="E550" i="7"/>
  <c r="E854" i="7"/>
  <c r="E725" i="7"/>
  <c r="E860" i="7"/>
  <c r="E832" i="7"/>
  <c r="E64" i="7"/>
  <c r="E231" i="7"/>
  <c r="E10" i="7"/>
  <c r="E712" i="7"/>
  <c r="E42" i="7"/>
  <c r="E614" i="7"/>
  <c r="E744" i="7"/>
  <c r="E512" i="7"/>
  <c r="E411" i="7"/>
  <c r="E108" i="7"/>
  <c r="E828" i="7"/>
  <c r="E15" i="7"/>
  <c r="E43" i="7"/>
  <c r="E868" i="7"/>
  <c r="E319" i="7"/>
  <c r="E453" i="7"/>
  <c r="E480" i="7"/>
  <c r="E85" i="7"/>
  <c r="E827" i="7"/>
  <c r="E718" i="7"/>
  <c r="E507" i="7"/>
  <c r="E641" i="7"/>
  <c r="E662" i="7"/>
  <c r="E750" i="7"/>
  <c r="E78" i="7"/>
  <c r="E41" i="7"/>
  <c r="E788" i="7"/>
  <c r="E532" i="7"/>
  <c r="E803" i="7"/>
  <c r="E778" i="7"/>
  <c r="E833" i="7"/>
  <c r="E473" i="7"/>
  <c r="E465" i="7"/>
  <c r="E230" i="7"/>
  <c r="E407" i="7"/>
  <c r="E207" i="7"/>
  <c r="E708" i="7"/>
  <c r="E9" i="7"/>
  <c r="E488" i="7"/>
  <c r="E841" i="7"/>
  <c r="E394" i="7"/>
  <c r="E556" i="7"/>
  <c r="E444" i="7"/>
  <c r="E292" i="7"/>
  <c r="E33" i="7"/>
  <c r="E632" i="7"/>
  <c r="E310" i="7"/>
  <c r="E24" i="7"/>
  <c r="E349" i="7"/>
  <c r="E95" i="7"/>
  <c r="E666" i="7"/>
  <c r="E710" i="7"/>
  <c r="E311" i="7"/>
  <c r="E245" i="7"/>
  <c r="E764" i="7"/>
  <c r="E561" i="7"/>
  <c r="E469" i="7"/>
  <c r="E728" i="7"/>
  <c r="E464" i="7"/>
  <c r="E309" i="7"/>
  <c r="E605" i="7"/>
  <c r="E366" i="7"/>
  <c r="E180" i="7"/>
  <c r="E689" i="7"/>
  <c r="E281" i="7"/>
  <c r="E16" i="7"/>
  <c r="E492" i="7"/>
  <c r="E18" i="7"/>
  <c r="E338" i="7"/>
  <c r="E107" i="7"/>
  <c r="E599" i="7"/>
  <c r="E863" i="7"/>
  <c r="E77" i="7"/>
  <c r="E483" i="7"/>
  <c r="E630" i="7"/>
  <c r="E44" i="7"/>
  <c r="E773" i="7"/>
  <c r="E506" i="7"/>
  <c r="E198" i="7"/>
  <c r="E672" i="7"/>
  <c r="E61" i="7"/>
  <c r="E348" i="7"/>
  <c r="E702" i="7"/>
  <c r="E74" i="7"/>
  <c r="E182" i="7"/>
  <c r="E646" i="7"/>
  <c r="E700" i="7"/>
  <c r="E849" i="7"/>
  <c r="E769" i="7"/>
  <c r="E186" i="7"/>
  <c r="E406" i="7"/>
  <c r="E805" i="7"/>
  <c r="E174" i="7"/>
  <c r="E767" i="7"/>
  <c r="E747" i="7"/>
  <c r="E476" i="7"/>
  <c r="E479" i="7"/>
  <c r="E376" i="7"/>
  <c r="E388" i="7"/>
  <c r="E208" i="7"/>
  <c r="E518" i="7"/>
  <c r="E626" i="7"/>
  <c r="E684" i="7"/>
  <c r="E148" i="7"/>
  <c r="E748" i="7"/>
  <c r="E468" i="7"/>
  <c r="E375" i="7"/>
  <c r="E494" i="7"/>
  <c r="E106" i="7"/>
  <c r="E289" i="7"/>
  <c r="E681" i="7"/>
  <c r="E736" i="7"/>
  <c r="E260" i="7"/>
  <c r="E151" i="7"/>
  <c r="E495" i="7"/>
  <c r="E183" i="7"/>
  <c r="E50" i="7"/>
  <c r="E631" i="7"/>
  <c r="E118" i="7"/>
  <c r="E571" i="7"/>
  <c r="E258" i="7"/>
  <c r="E713" i="7"/>
  <c r="E555" i="7"/>
  <c r="E722" i="7"/>
  <c r="E574" i="7"/>
  <c r="E73" i="7"/>
  <c r="E566" i="7"/>
  <c r="E413" i="7"/>
  <c r="E211" i="7"/>
  <c r="E679" i="7"/>
  <c r="E133" i="7"/>
  <c r="E120" i="7"/>
  <c r="E114" i="7"/>
  <c r="E125" i="7"/>
  <c r="E39" i="7"/>
  <c r="E94" i="7"/>
  <c r="E116" i="7"/>
  <c r="E839" i="7"/>
  <c r="E139" i="7"/>
  <c r="E392" i="7"/>
  <c r="E859" i="7"/>
  <c r="E508" i="7"/>
  <c r="E819" i="7"/>
  <c r="E364" i="7"/>
  <c r="E869" i="7"/>
  <c r="E36" i="7"/>
  <c r="E299" i="7"/>
  <c r="E524" i="7"/>
  <c r="E22" i="7"/>
  <c r="E412" i="7"/>
  <c r="E598" i="7"/>
  <c r="E219" i="7"/>
  <c r="E547" i="7"/>
  <c r="E729" i="7"/>
  <c r="E168" i="7"/>
  <c r="E276" i="7"/>
  <c r="E92" i="7"/>
  <c r="E86" i="7"/>
  <c r="E654" i="7"/>
  <c r="E214" i="7"/>
  <c r="E251" i="7"/>
  <c r="E437" i="7"/>
  <c r="E623" i="7"/>
  <c r="E417" i="7"/>
  <c r="E325" i="7"/>
  <c r="E754" i="7"/>
  <c r="E418" i="7"/>
  <c r="E704" i="7"/>
  <c r="E740" i="7"/>
  <c r="E228" i="7"/>
  <c r="E358" i="7"/>
  <c r="E457" i="7"/>
  <c r="E234" i="7"/>
  <c r="E570" i="7"/>
  <c r="E226" i="7"/>
  <c r="E746" i="7"/>
  <c r="E191" i="7"/>
  <c r="E436" i="7"/>
  <c r="E285" i="7"/>
  <c r="E199" i="7"/>
  <c r="E836" i="7"/>
  <c r="E335" i="7"/>
  <c r="E29" i="7"/>
  <c r="E862" i="7"/>
  <c r="E222" i="7"/>
  <c r="E71" i="7"/>
  <c r="E356" i="7"/>
  <c r="E306" i="7"/>
  <c r="E824" i="7"/>
  <c r="E825" i="7"/>
  <c r="E826" i="7"/>
  <c r="E517" i="7"/>
  <c r="E307" i="7"/>
  <c r="E460" i="7"/>
  <c r="E697" i="7"/>
  <c r="E692" i="7"/>
  <c r="E513" i="7"/>
  <c r="E184" i="7"/>
  <c r="E169" i="7"/>
  <c r="E846" i="7"/>
  <c r="E280" i="7"/>
  <c r="E27" i="7"/>
  <c r="E390" i="7"/>
  <c r="E363" i="7"/>
  <c r="E426" i="7"/>
  <c r="E141" i="7"/>
  <c r="E774" i="7"/>
  <c r="E19" i="7"/>
  <c r="E75" i="7"/>
  <c r="E441" i="7"/>
  <c r="E668" i="7"/>
  <c r="E573" i="7"/>
  <c r="E519" i="7"/>
  <c r="E341" i="7"/>
  <c r="E482" i="7"/>
  <c r="E815" i="7"/>
  <c r="E177" i="7"/>
  <c r="E97" i="7"/>
  <c r="E858" i="7"/>
  <c r="E110" i="7"/>
  <c r="E671" i="7"/>
  <c r="E440" i="7"/>
  <c r="E585" i="7"/>
  <c r="E218" i="7"/>
  <c r="E163" i="7"/>
  <c r="E124" i="7"/>
  <c r="E422" i="7"/>
  <c r="E332" i="7"/>
  <c r="E735" i="7"/>
  <c r="E313" i="7"/>
  <c r="E723" i="7"/>
  <c r="E787" i="7"/>
  <c r="E526" i="7"/>
  <c r="E194" i="7"/>
  <c r="E531" i="7"/>
  <c r="E610" i="7"/>
  <c r="E533" i="7"/>
  <c r="E721" i="7"/>
  <c r="E779" i="7"/>
  <c r="E318" i="7"/>
  <c r="E757" i="7"/>
  <c r="E205" i="7"/>
  <c r="E271" i="7"/>
  <c r="E622" i="7"/>
  <c r="E290" i="7"/>
  <c r="E21" i="7"/>
  <c r="E847" i="7"/>
  <c r="E170" i="7"/>
  <c r="E589" i="7"/>
  <c r="E780" i="7"/>
  <c r="E66" i="7"/>
  <c r="E101" i="7"/>
  <c r="E558" i="7"/>
  <c r="E597" i="7"/>
  <c r="E776" i="7"/>
  <c r="E51" i="7"/>
  <c r="E635" i="7"/>
  <c r="E785" i="7"/>
  <c r="E615" i="7"/>
  <c r="E175" i="7"/>
  <c r="E147" i="7"/>
  <c r="E287" i="7"/>
  <c r="E236" i="7"/>
  <c r="E647" i="7"/>
  <c r="E425" i="7"/>
  <c r="E549" i="7"/>
  <c r="E159" i="7"/>
  <c r="E790" i="7"/>
  <c r="E791" i="7"/>
  <c r="E433" i="7"/>
  <c r="E732" i="7"/>
  <c r="E268" i="7"/>
  <c r="E380" i="7"/>
  <c r="E685" i="7"/>
  <c r="E303" i="7"/>
  <c r="E162" i="7"/>
  <c r="E345" i="7"/>
  <c r="E400" i="7"/>
  <c r="E410" i="7"/>
  <c r="E144" i="7"/>
  <c r="E302" i="7"/>
  <c r="E383" i="7"/>
  <c r="E659" i="7"/>
  <c r="E546" i="7"/>
  <c r="E698" i="7"/>
  <c r="E661" i="7"/>
  <c r="E656" i="7"/>
  <c r="E695" i="7"/>
  <c r="E812" i="7"/>
  <c r="E760" i="7"/>
  <c r="E845" i="7"/>
  <c r="E637" i="7"/>
  <c r="E320" i="7"/>
  <c r="E11" i="7"/>
  <c r="E113" i="7"/>
  <c r="E653" i="7"/>
  <c r="E509" i="7"/>
  <c r="E498" i="7"/>
  <c r="E855" i="7"/>
  <c r="E195" i="7"/>
  <c r="E286" i="7"/>
  <c r="E686" i="7"/>
  <c r="E763" i="7"/>
  <c r="E13" i="7"/>
  <c r="E651" i="7"/>
  <c r="E314" i="7"/>
  <c r="E467" i="7"/>
  <c r="E584" i="7"/>
  <c r="E843" i="7"/>
  <c r="E372" i="7"/>
  <c r="E220" i="7"/>
  <c r="E655" i="7"/>
  <c r="E798" i="7"/>
  <c r="E660" i="7"/>
  <c r="E613" i="7"/>
  <c r="E82" i="7"/>
  <c r="E650" i="7"/>
  <c r="E670" i="7"/>
  <c r="E559" i="7"/>
  <c r="E165" i="7"/>
  <c r="E225" i="7"/>
  <c r="E834" i="7"/>
  <c r="E772" i="7"/>
  <c r="E802" i="7"/>
  <c r="E339" i="7"/>
  <c r="E80" i="7"/>
  <c r="E93" i="7"/>
  <c r="E20" i="7"/>
  <c r="E612" i="7"/>
  <c r="E185" i="7"/>
  <c r="E206" i="7"/>
  <c r="E830" i="7"/>
  <c r="E742" i="7"/>
  <c r="E664" i="7"/>
  <c r="E604" i="7"/>
  <c r="E402" i="7"/>
  <c r="E153" i="7"/>
  <c r="E857" i="7"/>
  <c r="E705" i="7"/>
  <c r="E262" i="7"/>
  <c r="E56" i="7"/>
  <c r="E387" i="7"/>
  <c r="E137" i="7"/>
  <c r="E233" i="7"/>
  <c r="E35" i="7"/>
  <c r="E329" i="7"/>
  <c r="E568" i="7"/>
  <c r="E687" i="7"/>
  <c r="E658" i="7"/>
  <c r="E158" i="7"/>
  <c r="E737" i="7"/>
  <c r="E419" i="7"/>
  <c r="E334" i="7"/>
  <c r="E117" i="7"/>
  <c r="E328" i="7"/>
  <c r="E514" i="7"/>
  <c r="E369" i="7"/>
  <c r="E221" i="7"/>
  <c r="E478" i="7"/>
  <c r="E60" i="7"/>
  <c r="E452" i="7"/>
  <c r="E680" i="7"/>
  <c r="E835" i="7"/>
  <c r="E103" i="7"/>
  <c r="E129" i="7"/>
  <c r="E200" i="7"/>
  <c r="E600" i="7"/>
  <c r="E688" i="7"/>
  <c r="E104" i="7"/>
  <c r="E765" i="7"/>
  <c r="E275" i="7"/>
  <c r="E807" i="7"/>
  <c r="E72" i="7"/>
  <c r="E544" i="7"/>
  <c r="E197" i="7"/>
  <c r="E252" i="7"/>
  <c r="E652" i="7"/>
  <c r="E521" i="7"/>
  <c r="E79" i="7"/>
  <c r="E213" i="7"/>
  <c r="E172" i="7"/>
  <c r="E32" i="7"/>
  <c r="E136" i="7"/>
  <c r="E537" i="7"/>
  <c r="E539" i="7"/>
  <c r="E475" i="7"/>
  <c r="E152" i="7"/>
  <c r="E551" i="7"/>
  <c r="E420" i="7"/>
  <c r="E783" i="7"/>
  <c r="E669" i="7"/>
  <c r="E621" i="7"/>
  <c r="E716" i="7"/>
  <c r="E201" i="7"/>
  <c r="E248" i="7"/>
  <c r="E734" i="7"/>
  <c r="E37" i="7"/>
  <c r="E730" i="7"/>
  <c r="E331" i="7"/>
  <c r="E178" i="7"/>
  <c r="E756" i="7"/>
  <c r="E235" i="7"/>
  <c r="E67" i="7"/>
  <c r="E856" i="7"/>
  <c r="E277" i="7"/>
  <c r="E166" i="7"/>
  <c r="E347" i="7"/>
  <c r="E312" i="7"/>
  <c r="E523" i="7"/>
  <c r="E759" i="7"/>
  <c r="E377" i="7"/>
  <c r="E250" i="7"/>
  <c r="E567" i="7"/>
  <c r="E762" i="7"/>
  <c r="E768" i="7"/>
  <c r="E820" i="7"/>
  <c r="E308" i="7"/>
  <c r="E794" i="7"/>
  <c r="E324" i="7"/>
  <c r="E91" i="7"/>
  <c r="E758" i="7"/>
  <c r="E813" i="7"/>
  <c r="E795" i="7"/>
  <c r="E472" i="7"/>
  <c r="E360" i="7"/>
  <c r="E607" i="7"/>
  <c r="E447" i="7"/>
  <c r="E274" i="7"/>
  <c r="E624" i="7"/>
  <c r="E649" i="7"/>
  <c r="E627" i="7"/>
  <c r="E749" i="7"/>
  <c r="E809" i="7"/>
  <c r="E249" i="7"/>
  <c r="E209" i="7"/>
  <c r="E628" i="7"/>
  <c r="E330" i="7"/>
  <c r="E709" i="7"/>
  <c r="E625" i="7"/>
  <c r="E76" i="7"/>
  <c r="E490" i="7"/>
  <c r="E714" i="7"/>
  <c r="E461" i="7"/>
  <c r="E690" i="7"/>
  <c r="E367" i="7"/>
  <c r="E755" i="7"/>
  <c r="E257" i="7"/>
  <c r="E603" i="7"/>
  <c r="E54" i="7"/>
  <c r="E354" i="7"/>
  <c r="E529" i="7"/>
  <c r="E346" i="7"/>
  <c r="E89" i="7"/>
  <c r="E530" i="7"/>
  <c r="E241" i="7"/>
  <c r="E143" i="7"/>
  <c r="E726" i="7"/>
  <c r="E719" i="7"/>
  <c r="E842" i="7"/>
  <c r="E520" i="7"/>
  <c r="E823" i="7"/>
  <c r="E53" i="7"/>
  <c r="E541" i="7"/>
  <c r="E657" i="7"/>
  <c r="E25" i="7"/>
  <c r="E382" i="7"/>
  <c r="E840" i="7"/>
  <c r="E848" i="7"/>
  <c r="E193" i="7"/>
  <c r="E500" i="7"/>
  <c r="E606" i="7"/>
  <c r="E259" i="7"/>
  <c r="E527" i="7"/>
  <c r="E52" i="7"/>
  <c r="E777" i="7"/>
  <c r="E766" i="7"/>
  <c r="E40" i="7"/>
  <c r="E752" i="7"/>
  <c r="E237" i="7"/>
  <c r="E31" i="7"/>
  <c r="E844" i="7"/>
  <c r="E542" i="7"/>
  <c r="E428" i="7"/>
  <c r="E673" i="7"/>
  <c r="E105" i="7"/>
  <c r="E831" i="7"/>
  <c r="E701" i="7"/>
  <c r="E196" i="7"/>
  <c r="E456" i="7"/>
  <c r="E132" i="7"/>
  <c r="E667" i="7"/>
  <c r="E242" i="7"/>
  <c r="E17" i="7"/>
  <c r="E838" i="7"/>
  <c r="E706" i="7"/>
  <c r="E272" i="7"/>
  <c r="E601" i="7"/>
  <c r="E362" i="7"/>
  <c r="E102" i="7"/>
  <c r="E636" i="7"/>
  <c r="E126" i="7"/>
  <c r="E751" i="7"/>
  <c r="E770" i="7"/>
  <c r="E817" i="7"/>
  <c r="E278" i="7"/>
  <c r="E323" i="7"/>
  <c r="E304" i="7"/>
  <c r="E822" i="7"/>
  <c r="E577" i="7"/>
  <c r="E455" i="7"/>
  <c r="E365" i="7"/>
  <c r="E454" i="7"/>
  <c r="E229" i="7"/>
  <c r="E336" i="7"/>
  <c r="E596" i="7"/>
  <c r="E801" i="7"/>
  <c r="E305" i="7"/>
  <c r="E315" i="7"/>
  <c r="E446" i="7"/>
  <c r="E190" i="7"/>
  <c r="E438" i="7"/>
  <c r="E246" i="7"/>
  <c r="E565" i="7"/>
  <c r="E254" i="7"/>
  <c r="E173" i="7"/>
  <c r="E643" i="7"/>
  <c r="E837" i="7"/>
  <c r="E150" i="7"/>
  <c r="E439" i="7"/>
  <c r="E633" i="7"/>
  <c r="E293" i="7"/>
  <c r="E538" i="7"/>
  <c r="E486" i="7"/>
  <c r="E398" i="7"/>
  <c r="E583" i="7"/>
  <c r="E792" i="7"/>
  <c r="E164" i="7"/>
  <c r="E232" i="7"/>
  <c r="E368" i="7"/>
  <c r="E429" i="7"/>
  <c r="E282" i="7"/>
  <c r="E865" i="7"/>
  <c r="E741" i="7"/>
  <c r="E267" i="7"/>
  <c r="E731" i="7"/>
  <c r="E23" i="7"/>
  <c r="E45" i="7"/>
  <c r="E167" i="7"/>
  <c r="E797" i="7"/>
  <c r="E355" i="7"/>
  <c r="E682" i="7"/>
  <c r="E638" i="7"/>
  <c r="E516" i="7"/>
  <c r="E361" i="7"/>
  <c r="E301" i="7"/>
  <c r="E202" i="7"/>
  <c r="E135" i="7"/>
  <c r="E618" i="7"/>
  <c r="E396" i="7"/>
  <c r="E247" i="7"/>
  <c r="E560" i="7"/>
  <c r="E138" i="7"/>
  <c r="BO590" i="7"/>
  <c r="BO238" i="7"/>
  <c r="BO786" i="7"/>
  <c r="BO562" i="7"/>
  <c r="BO639" i="7"/>
  <c r="BO179" i="7"/>
  <c r="BO640" i="7"/>
  <c r="BO244" i="7"/>
  <c r="BO578" i="7"/>
  <c r="BO393" i="7"/>
  <c r="C231" i="7"/>
  <c r="BV231" i="7" s="1"/>
  <c r="C557" i="7"/>
  <c r="BV557" i="7" s="1"/>
  <c r="C214" i="7"/>
  <c r="BV214" i="7" s="1"/>
  <c r="C776" i="7"/>
  <c r="BV776" i="7" s="1"/>
  <c r="C248" i="7"/>
  <c r="BV248" i="7" s="1"/>
  <c r="C301" i="7"/>
  <c r="BV301" i="7" s="1"/>
  <c r="C145" i="7"/>
  <c r="BV145" i="7" s="1"/>
  <c r="C234" i="7"/>
  <c r="BV234" i="7" s="1"/>
  <c r="C358" i="7"/>
  <c r="BV358" i="7" s="1"/>
  <c r="C348" i="7"/>
  <c r="BV348" i="7" s="1"/>
  <c r="C638" i="7"/>
  <c r="BV638" i="7" s="1"/>
  <c r="C392" i="7"/>
  <c r="BV392" i="7" s="1"/>
  <c r="C498" i="7"/>
  <c r="BV498" i="7" s="1"/>
  <c r="C31" i="7"/>
  <c r="BV31" i="7" s="1"/>
  <c r="C360" i="7"/>
  <c r="BV360" i="7" s="1"/>
  <c r="C655" i="7"/>
  <c r="BV655" i="7" s="1"/>
  <c r="C276" i="7"/>
  <c r="BV276" i="7" s="1"/>
  <c r="C91" i="7"/>
  <c r="BV91" i="7" s="1"/>
  <c r="C235" i="7"/>
  <c r="BV235" i="7" s="1"/>
  <c r="C347" i="7"/>
  <c r="BV347" i="7" s="1"/>
  <c r="C659" i="7"/>
  <c r="BV659" i="7" s="1"/>
  <c r="C537" i="7"/>
  <c r="BV537" i="7" s="1"/>
  <c r="C732" i="7"/>
  <c r="BV732" i="7" s="1"/>
  <c r="C751" i="7"/>
  <c r="BV751" i="7" s="1"/>
  <c r="C23" i="7"/>
  <c r="BV23" i="7" s="1"/>
  <c r="C336" i="7"/>
  <c r="BV336" i="7" s="1"/>
  <c r="C455" i="7"/>
  <c r="BV455" i="7" s="1"/>
  <c r="C247" i="7"/>
  <c r="BV247" i="7" s="1"/>
  <c r="C339" i="7"/>
  <c r="BV339" i="7" s="1"/>
  <c r="C396" i="7"/>
  <c r="BV396" i="7" s="1"/>
  <c r="C246" i="7"/>
  <c r="BV246" i="7" s="1"/>
  <c r="C797" i="7"/>
  <c r="BV797" i="7" s="1"/>
  <c r="C538" i="7"/>
  <c r="BV538" i="7" s="1"/>
  <c r="C355" i="7"/>
  <c r="BV355" i="7" s="1"/>
  <c r="C420" i="7"/>
  <c r="BV420" i="7" s="1"/>
  <c r="C315" i="7"/>
  <c r="BV315" i="7" s="1"/>
  <c r="C792" i="7"/>
  <c r="BV792" i="7" s="1"/>
  <c r="C709" i="7"/>
  <c r="BV709" i="7" s="1"/>
  <c r="C456" i="7"/>
  <c r="BV456" i="7" s="1"/>
  <c r="C175" i="7"/>
  <c r="BV175" i="7" s="1"/>
  <c r="C450" i="7"/>
  <c r="BV450" i="7" s="1"/>
  <c r="C566" i="7"/>
  <c r="BV566" i="7" s="1"/>
  <c r="C840" i="7"/>
  <c r="BV840" i="7" s="1"/>
  <c r="C636" i="7"/>
  <c r="BV636" i="7" s="1"/>
  <c r="C253" i="7"/>
  <c r="BV253" i="7" s="1"/>
  <c r="C251" i="7"/>
  <c r="BV251" i="7" s="1"/>
  <c r="C483" i="7"/>
  <c r="BV483" i="7" s="1"/>
  <c r="C476" i="7"/>
  <c r="BV476" i="7" s="1"/>
  <c r="C260" i="7"/>
  <c r="BV260" i="7" s="1"/>
  <c r="C413" i="7"/>
  <c r="BV413" i="7" s="1"/>
  <c r="C199" i="7"/>
  <c r="BV199" i="7" s="1"/>
  <c r="C324" i="7"/>
  <c r="BV324" i="7" s="1"/>
  <c r="C866" i="7"/>
  <c r="BV866" i="7" s="1"/>
  <c r="C93" i="7"/>
  <c r="BV93" i="7" s="1"/>
  <c r="C859" i="7"/>
  <c r="BV859" i="7" s="1"/>
  <c r="C406" i="7"/>
  <c r="BV406" i="7" s="1"/>
  <c r="C185" i="7"/>
  <c r="BV185" i="7" s="1"/>
  <c r="C650" i="7"/>
  <c r="BV650" i="7" s="1"/>
  <c r="C104" i="7"/>
  <c r="BV104" i="7" s="1"/>
  <c r="C206" i="7"/>
  <c r="BV206" i="7" s="1"/>
  <c r="C271" i="7"/>
  <c r="BV271" i="7" s="1"/>
  <c r="C662" i="7"/>
  <c r="BV662" i="7" s="1"/>
  <c r="C750" i="7"/>
  <c r="BV750" i="7" s="1"/>
  <c r="C112" i="7"/>
  <c r="BV112" i="7" s="1"/>
  <c r="C781" i="7"/>
  <c r="BV781" i="7" s="1"/>
  <c r="C215" i="7"/>
  <c r="BV215" i="7" s="1"/>
  <c r="C818" i="7"/>
  <c r="BV818" i="7" s="1"/>
  <c r="C352" i="7"/>
  <c r="BV352" i="7" s="1"/>
  <c r="C126" i="7"/>
  <c r="BV126" i="7" s="1"/>
  <c r="C71" i="7"/>
  <c r="BV71" i="7" s="1"/>
  <c r="C123" i="7"/>
  <c r="BV123" i="7" s="1"/>
  <c r="C176" i="7"/>
  <c r="BV176" i="7" s="1"/>
  <c r="C862" i="7"/>
  <c r="BV862" i="7" s="1"/>
  <c r="C534" i="7"/>
  <c r="BV534" i="7" s="1"/>
  <c r="C480" i="7"/>
  <c r="BV480" i="7" s="1"/>
  <c r="C69" i="7"/>
  <c r="BV69" i="7" s="1"/>
  <c r="C675" i="7"/>
  <c r="BV675" i="7" s="1"/>
  <c r="C78" i="7"/>
  <c r="BV78" i="7" s="1"/>
  <c r="C468" i="7"/>
  <c r="BV468" i="7" s="1"/>
  <c r="C326" i="7"/>
  <c r="BV326" i="7" s="1"/>
  <c r="C803" i="7"/>
  <c r="BV803" i="7" s="1"/>
  <c r="C431" i="7"/>
  <c r="BV431" i="7" s="1"/>
  <c r="C59" i="7"/>
  <c r="BV59" i="7" s="1"/>
  <c r="C594" i="7"/>
  <c r="BV594" i="7" s="1"/>
  <c r="C239" i="7"/>
  <c r="BV239" i="7" s="1"/>
  <c r="C265" i="7"/>
  <c r="BV265" i="7" s="1"/>
  <c r="C39" i="7"/>
  <c r="BV39" i="7" s="1"/>
  <c r="C711" i="7"/>
  <c r="BV711" i="7" s="1"/>
  <c r="C227" i="7"/>
  <c r="BV227" i="7" s="1"/>
  <c r="C41" i="7"/>
  <c r="BV41" i="7" s="1"/>
  <c r="C646" i="7"/>
  <c r="BV646" i="7" s="1"/>
  <c r="C562" i="7"/>
  <c r="BV562" i="7" s="1"/>
  <c r="C639" i="7"/>
  <c r="BV639" i="7" s="1"/>
  <c r="C288" i="7"/>
  <c r="BV288" i="7" s="1"/>
  <c r="C517" i="7"/>
  <c r="BV517" i="7" s="1"/>
  <c r="C307" i="7"/>
  <c r="BV307" i="7" s="1"/>
  <c r="C460" i="7"/>
  <c r="BV460" i="7" s="1"/>
  <c r="C841" i="7"/>
  <c r="BV841" i="7" s="1"/>
  <c r="C257" i="7"/>
  <c r="BV257" i="7" s="1"/>
  <c r="C204" i="7"/>
  <c r="BV204" i="7" s="1"/>
  <c r="C641" i="7"/>
  <c r="BV641" i="7" s="1"/>
  <c r="C603" i="7"/>
  <c r="BV603" i="7" s="1"/>
  <c r="C50" i="7"/>
  <c r="BV50" i="7" s="1"/>
  <c r="C269" i="7"/>
  <c r="BV269" i="7" s="1"/>
  <c r="C728" i="7"/>
  <c r="BV728" i="7" s="1"/>
  <c r="C849" i="7"/>
  <c r="BV849" i="7" s="1"/>
  <c r="C769" i="7"/>
  <c r="BV769" i="7" s="1"/>
  <c r="C317" i="7"/>
  <c r="BV317" i="7" s="1"/>
  <c r="C692" i="7"/>
  <c r="BV692" i="7" s="1"/>
  <c r="C475" i="7"/>
  <c r="BV475" i="7" s="1"/>
  <c r="C488" i="7"/>
  <c r="BV488" i="7" s="1"/>
  <c r="C447" i="7"/>
  <c r="BV447" i="7" s="1"/>
  <c r="C274" i="7"/>
  <c r="BV274" i="7" s="1"/>
  <c r="C842" i="7"/>
  <c r="BV842" i="7" s="1"/>
  <c r="C300" i="7"/>
  <c r="BV300" i="7" s="1"/>
  <c r="C463" i="7"/>
  <c r="BV463" i="7" s="1"/>
  <c r="C63" i="7"/>
  <c r="BV63" i="7" s="1"/>
  <c r="C378" i="7"/>
  <c r="BV378" i="7" s="1"/>
  <c r="C810" i="7"/>
  <c r="BV810" i="7" s="1"/>
  <c r="C408" i="7"/>
  <c r="BV408" i="7" s="1"/>
  <c r="C520" i="7"/>
  <c r="BV520" i="7" s="1"/>
  <c r="C305" i="7"/>
  <c r="BV305" i="7" s="1"/>
  <c r="C116" i="7"/>
  <c r="BV116" i="7" s="1"/>
  <c r="C170" i="7"/>
  <c r="BV170" i="7" s="1"/>
  <c r="C589" i="7"/>
  <c r="BV589" i="7" s="1"/>
  <c r="C535" i="7"/>
  <c r="BV535" i="7" s="1"/>
  <c r="C62" i="7"/>
  <c r="BV62" i="7" s="1"/>
  <c r="C612" i="7"/>
  <c r="BV612" i="7" s="1"/>
  <c r="C486" i="7"/>
  <c r="BV486" i="7" s="1"/>
  <c r="C99" i="7"/>
  <c r="BV99" i="7" s="1"/>
  <c r="C720" i="7"/>
  <c r="BV720" i="7" s="1"/>
  <c r="C651" i="7"/>
  <c r="BV651" i="7" s="1"/>
  <c r="C314" i="7"/>
  <c r="BV314" i="7" s="1"/>
  <c r="C783" i="7"/>
  <c r="BV783" i="7" s="1"/>
  <c r="C689" i="7"/>
  <c r="BV689" i="7" s="1"/>
  <c r="C674" i="7"/>
  <c r="BV674" i="7" s="1"/>
  <c r="C266" i="7"/>
  <c r="BV266" i="7" s="1"/>
  <c r="C395" i="7"/>
  <c r="BV395" i="7" s="1"/>
  <c r="C626" i="7"/>
  <c r="BV626" i="7" s="1"/>
  <c r="C684" i="7"/>
  <c r="BV684" i="7" s="1"/>
  <c r="C617" i="7"/>
  <c r="BV617" i="7" s="1"/>
  <c r="C738" i="7"/>
  <c r="BV738" i="7" s="1"/>
  <c r="C786" i="7"/>
  <c r="BV786" i="7" s="1"/>
  <c r="C861" i="7"/>
  <c r="BV861" i="7" s="1"/>
  <c r="C171" i="7"/>
  <c r="BV171" i="7" s="1"/>
  <c r="C153" i="7"/>
  <c r="BV153" i="7" s="1"/>
  <c r="C394" i="7"/>
  <c r="BV394" i="7" s="1"/>
  <c r="C556" i="7"/>
  <c r="BV556" i="7" s="1"/>
  <c r="C766" i="7"/>
  <c r="BV766" i="7" s="1"/>
  <c r="C624" i="7"/>
  <c r="BV624" i="7" s="1"/>
  <c r="C683" i="7"/>
  <c r="BV683" i="7" s="1"/>
  <c r="C281" i="7"/>
  <c r="BV281" i="7" s="1"/>
  <c r="C793" i="7"/>
  <c r="BV793" i="7" s="1"/>
  <c r="C543" i="7"/>
  <c r="BV543" i="7" s="1"/>
  <c r="C608" i="7"/>
  <c r="BV608" i="7" s="1"/>
  <c r="C218" i="7"/>
  <c r="BV218" i="7" s="1"/>
  <c r="C697" i="7"/>
  <c r="BV697" i="7" s="1"/>
  <c r="C238" i="7"/>
  <c r="BV238" i="7" s="1"/>
  <c r="C321" i="7"/>
  <c r="BV321" i="7" s="1"/>
  <c r="C36" i="7"/>
  <c r="BV36" i="7" s="1"/>
  <c r="C299" i="7"/>
  <c r="BV299" i="7" s="1"/>
  <c r="C489" i="7"/>
  <c r="BV489" i="7" s="1"/>
  <c r="C821" i="7"/>
  <c r="BV821" i="7" s="1"/>
  <c r="C96" i="7"/>
  <c r="BV96" i="7" s="1"/>
  <c r="C620" i="7"/>
  <c r="BV620" i="7" s="1"/>
  <c r="C811" i="7"/>
  <c r="BV811" i="7" s="1"/>
  <c r="C530" i="7"/>
  <c r="BV530" i="7" s="1"/>
  <c r="C590" i="7"/>
  <c r="BV590" i="7" s="1"/>
  <c r="C815" i="7"/>
  <c r="BV815" i="7" s="1"/>
  <c r="C177" i="7"/>
  <c r="BV177" i="7" s="1"/>
  <c r="C421" i="7"/>
  <c r="BV421" i="7" s="1"/>
  <c r="C481" i="7"/>
  <c r="BV481" i="7" s="1"/>
  <c r="C412" i="7"/>
  <c r="BV412" i="7" s="1"/>
  <c r="C467" i="7"/>
  <c r="BV467" i="7" s="1"/>
  <c r="C94" i="7"/>
  <c r="BV94" i="7" s="1"/>
  <c r="C163" i="7"/>
  <c r="BV163" i="7" s="1"/>
  <c r="C700" i="7"/>
  <c r="BV700" i="7" s="1"/>
  <c r="C591" i="7"/>
  <c r="BV591" i="7" s="1"/>
  <c r="C16" i="7"/>
  <c r="BV16" i="7" s="1"/>
  <c r="C232" i="7"/>
  <c r="BV232" i="7" s="1"/>
  <c r="C492" i="7"/>
  <c r="BV492" i="7" s="1"/>
  <c r="C119" i="7"/>
  <c r="BV119" i="7" s="1"/>
  <c r="C368" i="7"/>
  <c r="BV368" i="7" s="1"/>
  <c r="C691" i="7"/>
  <c r="BV691" i="7" s="1"/>
  <c r="C788" i="7"/>
  <c r="BV788" i="7" s="1"/>
  <c r="C804" i="7"/>
  <c r="BV804" i="7" s="1"/>
  <c r="C211" i="7"/>
  <c r="BV211" i="7" s="1"/>
  <c r="C373" i="7"/>
  <c r="BV373" i="7" s="1"/>
  <c r="C860" i="7"/>
  <c r="BV860" i="7" s="1"/>
  <c r="C745" i="7"/>
  <c r="BV745" i="7" s="1"/>
  <c r="C33" i="7"/>
  <c r="BV33" i="7" s="1"/>
  <c r="C850" i="7"/>
  <c r="BV850" i="7" s="1"/>
  <c r="C270" i="7"/>
  <c r="BV270" i="7" s="1"/>
  <c r="D231" i="7"/>
  <c r="D557" i="7"/>
  <c r="D214" i="7"/>
  <c r="D776" i="7"/>
  <c r="D248" i="7"/>
  <c r="D301" i="7"/>
  <c r="D145" i="7"/>
  <c r="D234" i="7"/>
  <c r="D358" i="7"/>
  <c r="D348" i="7"/>
  <c r="D638" i="7"/>
  <c r="D392" i="7"/>
  <c r="D498" i="7"/>
  <c r="D31" i="7"/>
  <c r="D360" i="7"/>
  <c r="D655" i="7"/>
  <c r="D276" i="7"/>
  <c r="D91" i="7"/>
  <c r="D235" i="7"/>
  <c r="D347" i="7"/>
  <c r="D659" i="7"/>
  <c r="D537" i="7"/>
  <c r="D732" i="7"/>
  <c r="D751" i="7"/>
  <c r="D23" i="7"/>
  <c r="D336" i="7"/>
  <c r="D455" i="7"/>
  <c r="D247" i="7"/>
  <c r="D339" i="7"/>
  <c r="D396" i="7"/>
  <c r="D246" i="7"/>
  <c r="D797" i="7"/>
  <c r="D538" i="7"/>
  <c r="D355" i="7"/>
  <c r="D420" i="7"/>
  <c r="D315" i="7"/>
  <c r="D792" i="7"/>
  <c r="D709" i="7"/>
  <c r="D456" i="7"/>
  <c r="D175" i="7"/>
  <c r="D450" i="7"/>
  <c r="D566" i="7"/>
  <c r="D840" i="7"/>
  <c r="D636" i="7"/>
  <c r="D253" i="7"/>
  <c r="D251" i="7"/>
  <c r="D483" i="7"/>
  <c r="D476" i="7"/>
  <c r="D260" i="7"/>
  <c r="D413" i="7"/>
  <c r="D199" i="7"/>
  <c r="D324" i="7"/>
  <c r="D866" i="7"/>
  <c r="D93" i="7"/>
  <c r="D859" i="7"/>
  <c r="D406" i="7"/>
  <c r="D185" i="7"/>
  <c r="D650" i="7"/>
  <c r="D104" i="7"/>
  <c r="D206" i="7"/>
  <c r="D271" i="7"/>
  <c r="D662" i="7"/>
  <c r="D750" i="7"/>
  <c r="D112" i="7"/>
  <c r="D781" i="7"/>
  <c r="D215" i="7"/>
  <c r="D818" i="7"/>
  <c r="D352" i="7"/>
  <c r="D126" i="7"/>
  <c r="D71" i="7"/>
  <c r="D123" i="7"/>
  <c r="D176" i="7"/>
  <c r="D862" i="7"/>
  <c r="D534" i="7"/>
  <c r="D480" i="7"/>
  <c r="D69" i="7"/>
  <c r="D675" i="7"/>
  <c r="D78" i="7"/>
  <c r="D468" i="7"/>
  <c r="D326" i="7"/>
  <c r="D803" i="7"/>
  <c r="D431" i="7"/>
  <c r="D59" i="7"/>
  <c r="D594" i="7"/>
  <c r="D239" i="7"/>
  <c r="D265" i="7"/>
  <c r="D39" i="7"/>
  <c r="D711" i="7"/>
  <c r="D227" i="7"/>
  <c r="D41" i="7"/>
  <c r="D646" i="7"/>
  <c r="D562" i="7"/>
  <c r="D639" i="7"/>
  <c r="D288" i="7"/>
  <c r="D517" i="7"/>
  <c r="D307" i="7"/>
  <c r="D460" i="7"/>
  <c r="D841" i="7"/>
  <c r="D257" i="7"/>
  <c r="D204" i="7"/>
  <c r="D641" i="7"/>
  <c r="D603" i="7"/>
  <c r="D50" i="7"/>
  <c r="D269" i="7"/>
  <c r="D728" i="7"/>
  <c r="D849" i="7"/>
  <c r="D769" i="7"/>
  <c r="D317" i="7"/>
  <c r="D692" i="7"/>
  <c r="D475" i="7"/>
  <c r="D488" i="7"/>
  <c r="D447" i="7"/>
  <c r="D274" i="7"/>
  <c r="D842" i="7"/>
  <c r="D300" i="7"/>
  <c r="D463" i="7"/>
  <c r="D63" i="7"/>
  <c r="D378" i="7"/>
  <c r="D810" i="7"/>
  <c r="D408" i="7"/>
  <c r="D520" i="7"/>
  <c r="D305" i="7"/>
  <c r="D116" i="7"/>
  <c r="D170" i="7"/>
  <c r="D589" i="7"/>
  <c r="D535" i="7"/>
  <c r="D62" i="7"/>
  <c r="D612" i="7"/>
  <c r="D486" i="7"/>
  <c r="D99" i="7"/>
  <c r="D720" i="7"/>
  <c r="D651" i="7"/>
  <c r="D314" i="7"/>
  <c r="D783" i="7"/>
  <c r="D689" i="7"/>
  <c r="D674" i="7"/>
  <c r="D266" i="7"/>
  <c r="D395" i="7"/>
  <c r="D626" i="7"/>
  <c r="D684" i="7"/>
  <c r="D617" i="7"/>
  <c r="D738" i="7"/>
  <c r="D786" i="7"/>
  <c r="D861" i="7"/>
  <c r="D171" i="7"/>
  <c r="D153" i="7"/>
  <c r="D394" i="7"/>
  <c r="D556" i="7"/>
  <c r="D766" i="7"/>
  <c r="D624" i="7"/>
  <c r="D683" i="7"/>
  <c r="D281" i="7"/>
  <c r="D793" i="7"/>
  <c r="D543" i="7"/>
  <c r="D608" i="7"/>
  <c r="D218" i="7"/>
  <c r="D697" i="7"/>
  <c r="D238" i="7"/>
  <c r="D321" i="7"/>
  <c r="D36" i="7"/>
  <c r="D299" i="7"/>
  <c r="D489" i="7"/>
  <c r="D821" i="7"/>
  <c r="D96" i="7"/>
  <c r="D620" i="7"/>
  <c r="D811" i="7"/>
  <c r="D530" i="7"/>
  <c r="D590" i="7"/>
  <c r="D815" i="7"/>
  <c r="D177" i="7"/>
  <c r="D421" i="7"/>
  <c r="D481" i="7"/>
  <c r="D412" i="7"/>
  <c r="D467" i="7"/>
  <c r="D94" i="7"/>
  <c r="D163" i="7"/>
  <c r="D700" i="7"/>
  <c r="D591" i="7"/>
  <c r="D16" i="7"/>
  <c r="D232" i="7"/>
  <c r="D492" i="7"/>
  <c r="D119" i="7"/>
  <c r="D368" i="7"/>
  <c r="D691" i="7"/>
  <c r="D788" i="7"/>
  <c r="D804" i="7"/>
  <c r="D211" i="7"/>
  <c r="D373" i="7"/>
  <c r="D860" i="7"/>
  <c r="D745" i="7"/>
  <c r="D33" i="7"/>
  <c r="D850" i="7"/>
  <c r="D270" i="7"/>
  <c r="G231" i="7"/>
  <c r="G557" i="7"/>
  <c r="G214" i="7"/>
  <c r="G776" i="7"/>
  <c r="G248" i="7"/>
  <c r="G301" i="7"/>
  <c r="G145" i="7"/>
  <c r="G234" i="7"/>
  <c r="G358" i="7"/>
  <c r="G348" i="7"/>
  <c r="G638" i="7"/>
  <c r="G392" i="7"/>
  <c r="G498" i="7"/>
  <c r="G31" i="7"/>
  <c r="G360" i="7"/>
  <c r="G655" i="7"/>
  <c r="G276" i="7"/>
  <c r="G91" i="7"/>
  <c r="G235" i="7"/>
  <c r="G347" i="7"/>
  <c r="G659" i="7"/>
  <c r="G537" i="7"/>
  <c r="G732" i="7"/>
  <c r="G751" i="7"/>
  <c r="G23" i="7"/>
  <c r="G336" i="7"/>
  <c r="G455" i="7"/>
  <c r="G247" i="7"/>
  <c r="G339" i="7"/>
  <c r="G396" i="7"/>
  <c r="G246" i="7"/>
  <c r="G797" i="7"/>
  <c r="G538" i="7"/>
  <c r="G355" i="7"/>
  <c r="G420" i="7"/>
  <c r="G315" i="7"/>
  <c r="G792" i="7"/>
  <c r="G709" i="7"/>
  <c r="G456" i="7"/>
  <c r="G175" i="7"/>
  <c r="G450" i="7"/>
  <c r="G566" i="7"/>
  <c r="G840" i="7"/>
  <c r="G636" i="7"/>
  <c r="G253" i="7"/>
  <c r="G251" i="7"/>
  <c r="G483" i="7"/>
  <c r="G476" i="7"/>
  <c r="G260" i="7"/>
  <c r="G413" i="7"/>
  <c r="G199" i="7"/>
  <c r="G324" i="7"/>
  <c r="G866" i="7"/>
  <c r="G93" i="7"/>
  <c r="G859" i="7"/>
  <c r="G406" i="7"/>
  <c r="G185" i="7"/>
  <c r="G650" i="7"/>
  <c r="G104" i="7"/>
  <c r="G206" i="7"/>
  <c r="G271" i="7"/>
  <c r="G662" i="7"/>
  <c r="G750" i="7"/>
  <c r="G112" i="7"/>
  <c r="G781" i="7"/>
  <c r="G215" i="7"/>
  <c r="G818" i="7"/>
  <c r="G352" i="7"/>
  <c r="G126" i="7"/>
  <c r="G71" i="7"/>
  <c r="G123" i="7"/>
  <c r="G176" i="7"/>
  <c r="G862" i="7"/>
  <c r="G534" i="7"/>
  <c r="G480" i="7"/>
  <c r="G69" i="7"/>
  <c r="G675" i="7"/>
  <c r="G78" i="7"/>
  <c r="G468" i="7"/>
  <c r="G326" i="7"/>
  <c r="G803" i="7"/>
  <c r="G431" i="7"/>
  <c r="G59" i="7"/>
  <c r="G594" i="7"/>
  <c r="G239" i="7"/>
  <c r="G265" i="7"/>
  <c r="G39" i="7"/>
  <c r="G711" i="7"/>
  <c r="G227" i="7"/>
  <c r="G41" i="7"/>
  <c r="G646" i="7"/>
  <c r="G562" i="7"/>
  <c r="G639" i="7"/>
  <c r="G288" i="7"/>
  <c r="G517" i="7"/>
  <c r="G307" i="7"/>
  <c r="G460" i="7"/>
  <c r="G841" i="7"/>
  <c r="G257" i="7"/>
  <c r="G204" i="7"/>
  <c r="G641" i="7"/>
  <c r="G603" i="7"/>
  <c r="G50" i="7"/>
  <c r="G269" i="7"/>
  <c r="G728" i="7"/>
  <c r="G849" i="7"/>
  <c r="G769" i="7"/>
  <c r="G317" i="7"/>
  <c r="G692" i="7"/>
  <c r="G475" i="7"/>
  <c r="G488" i="7"/>
  <c r="G447" i="7"/>
  <c r="G274" i="7"/>
  <c r="G842" i="7"/>
  <c r="G300" i="7"/>
  <c r="G463" i="7"/>
  <c r="G63" i="7"/>
  <c r="G378" i="7"/>
  <c r="G810" i="7"/>
  <c r="G408" i="7"/>
  <c r="G520" i="7"/>
  <c r="G305" i="7"/>
  <c r="G116" i="7"/>
  <c r="G170" i="7"/>
  <c r="G589" i="7"/>
  <c r="G535" i="7"/>
  <c r="G62" i="7"/>
  <c r="G612" i="7"/>
  <c r="G486" i="7"/>
  <c r="G99" i="7"/>
  <c r="G720" i="7"/>
  <c r="G651" i="7"/>
  <c r="G314" i="7"/>
  <c r="G783" i="7"/>
  <c r="G689" i="7"/>
  <c r="G674" i="7"/>
  <c r="G266" i="7"/>
  <c r="G395" i="7"/>
  <c r="G626" i="7"/>
  <c r="G684" i="7"/>
  <c r="G617" i="7"/>
  <c r="G738" i="7"/>
  <c r="G786" i="7"/>
  <c r="G861" i="7"/>
  <c r="G171" i="7"/>
  <c r="G153" i="7"/>
  <c r="G394" i="7"/>
  <c r="G556" i="7"/>
  <c r="G766" i="7"/>
  <c r="G624" i="7"/>
  <c r="G683" i="7"/>
  <c r="G281" i="7"/>
  <c r="G793" i="7"/>
  <c r="G543" i="7"/>
  <c r="G608" i="7"/>
  <c r="G218" i="7"/>
  <c r="G697" i="7"/>
  <c r="G238" i="7"/>
  <c r="G321" i="7"/>
  <c r="G36" i="7"/>
  <c r="G299" i="7"/>
  <c r="G489" i="7"/>
  <c r="G821" i="7"/>
  <c r="G96" i="7"/>
  <c r="G620" i="7"/>
  <c r="G811" i="7"/>
  <c r="G530" i="7"/>
  <c r="G590" i="7"/>
  <c r="G815" i="7"/>
  <c r="G177" i="7"/>
  <c r="G421" i="7"/>
  <c r="G481" i="7"/>
  <c r="G412" i="7"/>
  <c r="G467" i="7"/>
  <c r="G94" i="7"/>
  <c r="G163" i="7"/>
  <c r="G700" i="7"/>
  <c r="G591" i="7"/>
  <c r="G16" i="7"/>
  <c r="G232" i="7"/>
  <c r="G492" i="7"/>
  <c r="G119" i="7"/>
  <c r="G368" i="7"/>
  <c r="G691" i="7"/>
  <c r="G788" i="7"/>
  <c r="G804" i="7"/>
  <c r="G211" i="7"/>
  <c r="G373" i="7"/>
  <c r="G860" i="7"/>
  <c r="G745" i="7"/>
  <c r="G33" i="7"/>
  <c r="G850" i="7"/>
  <c r="G270" i="7"/>
  <c r="H231" i="7"/>
  <c r="H557" i="7"/>
  <c r="H214" i="7"/>
  <c r="H776" i="7"/>
  <c r="H248" i="7"/>
  <c r="H301" i="7"/>
  <c r="H145" i="7"/>
  <c r="H234" i="7"/>
  <c r="H358" i="7"/>
  <c r="H348" i="7"/>
  <c r="H638" i="7"/>
  <c r="H392" i="7"/>
  <c r="H498" i="7"/>
  <c r="H31" i="7"/>
  <c r="H360" i="7"/>
  <c r="H655" i="7"/>
  <c r="H276" i="7"/>
  <c r="H91" i="7"/>
  <c r="H235" i="7"/>
  <c r="H347" i="7"/>
  <c r="H659" i="7"/>
  <c r="H537" i="7"/>
  <c r="H732" i="7"/>
  <c r="H751" i="7"/>
  <c r="H23" i="7"/>
  <c r="H336" i="7"/>
  <c r="H455" i="7"/>
  <c r="H247" i="7"/>
  <c r="H339" i="7"/>
  <c r="H396" i="7"/>
  <c r="H246" i="7"/>
  <c r="H797" i="7"/>
  <c r="H538" i="7"/>
  <c r="H355" i="7"/>
  <c r="H420" i="7"/>
  <c r="H315" i="7"/>
  <c r="H792" i="7"/>
  <c r="H709" i="7"/>
  <c r="H456" i="7"/>
  <c r="H175" i="7"/>
  <c r="H450" i="7"/>
  <c r="H566" i="7"/>
  <c r="H840" i="7"/>
  <c r="H636" i="7"/>
  <c r="H253" i="7"/>
  <c r="H251" i="7"/>
  <c r="H483" i="7"/>
  <c r="H476" i="7"/>
  <c r="H260" i="7"/>
  <c r="H413" i="7"/>
  <c r="H199" i="7"/>
  <c r="H324" i="7"/>
  <c r="H866" i="7"/>
  <c r="H93" i="7"/>
  <c r="H859" i="7"/>
  <c r="H406" i="7"/>
  <c r="H185" i="7"/>
  <c r="H650" i="7"/>
  <c r="H104" i="7"/>
  <c r="H206" i="7"/>
  <c r="H271" i="7"/>
  <c r="H662" i="7"/>
  <c r="H750" i="7"/>
  <c r="H112" i="7"/>
  <c r="H781" i="7"/>
  <c r="H215" i="7"/>
  <c r="H818" i="7"/>
  <c r="H352" i="7"/>
  <c r="H126" i="7"/>
  <c r="H71" i="7"/>
  <c r="H123" i="7"/>
  <c r="H176" i="7"/>
  <c r="H862" i="7"/>
  <c r="H534" i="7"/>
  <c r="H480" i="7"/>
  <c r="H69" i="7"/>
  <c r="H675" i="7"/>
  <c r="H78" i="7"/>
  <c r="H468" i="7"/>
  <c r="H326" i="7"/>
  <c r="H803" i="7"/>
  <c r="H431" i="7"/>
  <c r="H59" i="7"/>
  <c r="H594" i="7"/>
  <c r="H239" i="7"/>
  <c r="H265" i="7"/>
  <c r="H39" i="7"/>
  <c r="H711" i="7"/>
  <c r="H227" i="7"/>
  <c r="H41" i="7"/>
  <c r="H646" i="7"/>
  <c r="H562" i="7"/>
  <c r="H639" i="7"/>
  <c r="H288" i="7"/>
  <c r="H517" i="7"/>
  <c r="H307" i="7"/>
  <c r="H460" i="7"/>
  <c r="H841" i="7"/>
  <c r="H257" i="7"/>
  <c r="H204" i="7"/>
  <c r="H641" i="7"/>
  <c r="H603" i="7"/>
  <c r="H50" i="7"/>
  <c r="H269" i="7"/>
  <c r="H728" i="7"/>
  <c r="H849" i="7"/>
  <c r="H769" i="7"/>
  <c r="H317" i="7"/>
  <c r="H692" i="7"/>
  <c r="H475" i="7"/>
  <c r="H488" i="7"/>
  <c r="H447" i="7"/>
  <c r="H274" i="7"/>
  <c r="H842" i="7"/>
  <c r="H300" i="7"/>
  <c r="H463" i="7"/>
  <c r="H63" i="7"/>
  <c r="H378" i="7"/>
  <c r="H810" i="7"/>
  <c r="H408" i="7"/>
  <c r="H520" i="7"/>
  <c r="H305" i="7"/>
  <c r="H116" i="7"/>
  <c r="H170" i="7"/>
  <c r="H589" i="7"/>
  <c r="H535" i="7"/>
  <c r="H62" i="7"/>
  <c r="H612" i="7"/>
  <c r="H486" i="7"/>
  <c r="H99" i="7"/>
  <c r="H720" i="7"/>
  <c r="H651" i="7"/>
  <c r="H314" i="7"/>
  <c r="H783" i="7"/>
  <c r="H689" i="7"/>
  <c r="H674" i="7"/>
  <c r="H266" i="7"/>
  <c r="H395" i="7"/>
  <c r="H626" i="7"/>
  <c r="H684" i="7"/>
  <c r="H617" i="7"/>
  <c r="H738" i="7"/>
  <c r="H786" i="7"/>
  <c r="H861" i="7"/>
  <c r="H171" i="7"/>
  <c r="H153" i="7"/>
  <c r="H394" i="7"/>
  <c r="H556" i="7"/>
  <c r="H766" i="7"/>
  <c r="H624" i="7"/>
  <c r="H683" i="7"/>
  <c r="H281" i="7"/>
  <c r="H793" i="7"/>
  <c r="H543" i="7"/>
  <c r="H608" i="7"/>
  <c r="H218" i="7"/>
  <c r="H697" i="7"/>
  <c r="H238" i="7"/>
  <c r="H321" i="7"/>
  <c r="H36" i="7"/>
  <c r="H299" i="7"/>
  <c r="H489" i="7"/>
  <c r="H821" i="7"/>
  <c r="H96" i="7"/>
  <c r="H620" i="7"/>
  <c r="H811" i="7"/>
  <c r="H530" i="7"/>
  <c r="H590" i="7"/>
  <c r="H815" i="7"/>
  <c r="H177" i="7"/>
  <c r="H421" i="7"/>
  <c r="H481" i="7"/>
  <c r="H412" i="7"/>
  <c r="H467" i="7"/>
  <c r="H94" i="7"/>
  <c r="H163" i="7"/>
  <c r="H700" i="7"/>
  <c r="H591" i="7"/>
  <c r="H16" i="7"/>
  <c r="H232" i="7"/>
  <c r="H492" i="7"/>
  <c r="H119" i="7"/>
  <c r="H368" i="7"/>
  <c r="H691" i="7"/>
  <c r="H788" i="7"/>
  <c r="H804" i="7"/>
  <c r="H211" i="7"/>
  <c r="H373" i="7"/>
  <c r="H860" i="7"/>
  <c r="H745" i="7"/>
  <c r="H33" i="7"/>
  <c r="H850" i="7"/>
  <c r="H270" i="7"/>
  <c r="I231" i="7"/>
  <c r="I557" i="7"/>
  <c r="I214" i="7"/>
  <c r="I776" i="7"/>
  <c r="I248" i="7"/>
  <c r="I301" i="7"/>
  <c r="I145" i="7"/>
  <c r="I234" i="7"/>
  <c r="I358" i="7"/>
  <c r="I348" i="7"/>
  <c r="I638" i="7"/>
  <c r="I392" i="7"/>
  <c r="I498" i="7"/>
  <c r="I31" i="7"/>
  <c r="I360" i="7"/>
  <c r="I655" i="7"/>
  <c r="I276" i="7"/>
  <c r="I91" i="7"/>
  <c r="I235" i="7"/>
  <c r="I347" i="7"/>
  <c r="I659" i="7"/>
  <c r="I537" i="7"/>
  <c r="I732" i="7"/>
  <c r="I751" i="7"/>
  <c r="I23" i="7"/>
  <c r="I336" i="7"/>
  <c r="I455" i="7"/>
  <c r="I247" i="7"/>
  <c r="I339" i="7"/>
  <c r="I396" i="7"/>
  <c r="I246" i="7"/>
  <c r="I797" i="7"/>
  <c r="I538" i="7"/>
  <c r="I355" i="7"/>
  <c r="I420" i="7"/>
  <c r="I315" i="7"/>
  <c r="I792" i="7"/>
  <c r="I709" i="7"/>
  <c r="I456" i="7"/>
  <c r="I175" i="7"/>
  <c r="I450" i="7"/>
  <c r="I566" i="7"/>
  <c r="I840" i="7"/>
  <c r="I636" i="7"/>
  <c r="I253" i="7"/>
  <c r="I251" i="7"/>
  <c r="I483" i="7"/>
  <c r="I476" i="7"/>
  <c r="I260" i="7"/>
  <c r="I413" i="7"/>
  <c r="I199" i="7"/>
  <c r="I324" i="7"/>
  <c r="I866" i="7"/>
  <c r="I93" i="7"/>
  <c r="I859" i="7"/>
  <c r="I406" i="7"/>
  <c r="I185" i="7"/>
  <c r="I650" i="7"/>
  <c r="I104" i="7"/>
  <c r="I206" i="7"/>
  <c r="I271" i="7"/>
  <c r="I662" i="7"/>
  <c r="I750" i="7"/>
  <c r="I112" i="7"/>
  <c r="I781" i="7"/>
  <c r="I215" i="7"/>
  <c r="I818" i="7"/>
  <c r="I352" i="7"/>
  <c r="I126" i="7"/>
  <c r="I71" i="7"/>
  <c r="I123" i="7"/>
  <c r="I176" i="7"/>
  <c r="I862" i="7"/>
  <c r="I534" i="7"/>
  <c r="I480" i="7"/>
  <c r="I69" i="7"/>
  <c r="I675" i="7"/>
  <c r="I78" i="7"/>
  <c r="I468" i="7"/>
  <c r="I326" i="7"/>
  <c r="I803" i="7"/>
  <c r="I431" i="7"/>
  <c r="I59" i="7"/>
  <c r="I594" i="7"/>
  <c r="I239" i="7"/>
  <c r="I265" i="7"/>
  <c r="I39" i="7"/>
  <c r="I711" i="7"/>
  <c r="I227" i="7"/>
  <c r="I41" i="7"/>
  <c r="I646" i="7"/>
  <c r="I562" i="7"/>
  <c r="I639" i="7"/>
  <c r="I288" i="7"/>
  <c r="I517" i="7"/>
  <c r="I307" i="7"/>
  <c r="I460" i="7"/>
  <c r="I841" i="7"/>
  <c r="I257" i="7"/>
  <c r="I204" i="7"/>
  <c r="I641" i="7"/>
  <c r="I603" i="7"/>
  <c r="I50" i="7"/>
  <c r="I269" i="7"/>
  <c r="I728" i="7"/>
  <c r="I849" i="7"/>
  <c r="I769" i="7"/>
  <c r="I317" i="7"/>
  <c r="I692" i="7"/>
  <c r="I475" i="7"/>
  <c r="I488" i="7"/>
  <c r="I447" i="7"/>
  <c r="I274" i="7"/>
  <c r="I842" i="7"/>
  <c r="I300" i="7"/>
  <c r="I463" i="7"/>
  <c r="I63" i="7"/>
  <c r="I378" i="7"/>
  <c r="I810" i="7"/>
  <c r="I408" i="7"/>
  <c r="I520" i="7"/>
  <c r="I305" i="7"/>
  <c r="I116" i="7"/>
  <c r="I170" i="7"/>
  <c r="I589" i="7"/>
  <c r="I535" i="7"/>
  <c r="I62" i="7"/>
  <c r="I612" i="7"/>
  <c r="I486" i="7"/>
  <c r="I99" i="7"/>
  <c r="I720" i="7"/>
  <c r="I651" i="7"/>
  <c r="I314" i="7"/>
  <c r="I783" i="7"/>
  <c r="I689" i="7"/>
  <c r="I674" i="7"/>
  <c r="I266" i="7"/>
  <c r="I395" i="7"/>
  <c r="I626" i="7"/>
  <c r="I684" i="7"/>
  <c r="I617" i="7"/>
  <c r="I738" i="7"/>
  <c r="I786" i="7"/>
  <c r="I861" i="7"/>
  <c r="I171" i="7"/>
  <c r="I153" i="7"/>
  <c r="I394" i="7"/>
  <c r="I556" i="7"/>
  <c r="I766" i="7"/>
  <c r="I624" i="7"/>
  <c r="I683" i="7"/>
  <c r="I281" i="7"/>
  <c r="I793" i="7"/>
  <c r="I543" i="7"/>
  <c r="I608" i="7"/>
  <c r="I218" i="7"/>
  <c r="I697" i="7"/>
  <c r="I238" i="7"/>
  <c r="I321" i="7"/>
  <c r="I36" i="7"/>
  <c r="I299" i="7"/>
  <c r="I489" i="7"/>
  <c r="I821" i="7"/>
  <c r="I96" i="7"/>
  <c r="I620" i="7"/>
  <c r="I811" i="7"/>
  <c r="I530" i="7"/>
  <c r="I590" i="7"/>
  <c r="I815" i="7"/>
  <c r="I177" i="7"/>
  <c r="I421" i="7"/>
  <c r="I481" i="7"/>
  <c r="I412" i="7"/>
  <c r="I467" i="7"/>
  <c r="I94" i="7"/>
  <c r="I163" i="7"/>
  <c r="I700" i="7"/>
  <c r="I591" i="7"/>
  <c r="I16" i="7"/>
  <c r="I232" i="7"/>
  <c r="I492" i="7"/>
  <c r="I119" i="7"/>
  <c r="I368" i="7"/>
  <c r="I691" i="7"/>
  <c r="I788" i="7"/>
  <c r="I804" i="7"/>
  <c r="I211" i="7"/>
  <c r="I373" i="7"/>
  <c r="I860" i="7"/>
  <c r="I745" i="7"/>
  <c r="I33" i="7"/>
  <c r="I850" i="7"/>
  <c r="I270" i="7"/>
  <c r="J231" i="7"/>
  <c r="J557" i="7"/>
  <c r="J214" i="7"/>
  <c r="J776" i="7"/>
  <c r="J248" i="7"/>
  <c r="J301" i="7"/>
  <c r="J145" i="7"/>
  <c r="J234" i="7"/>
  <c r="J358" i="7"/>
  <c r="J348" i="7"/>
  <c r="J638" i="7"/>
  <c r="J392" i="7"/>
  <c r="J498" i="7"/>
  <c r="J31" i="7"/>
  <c r="J360" i="7"/>
  <c r="J655" i="7"/>
  <c r="J276" i="7"/>
  <c r="J91" i="7"/>
  <c r="J235" i="7"/>
  <c r="J347" i="7"/>
  <c r="J659" i="7"/>
  <c r="J537" i="7"/>
  <c r="J732" i="7"/>
  <c r="J751" i="7"/>
  <c r="J23" i="7"/>
  <c r="J336" i="7"/>
  <c r="J455" i="7"/>
  <c r="J247" i="7"/>
  <c r="J339" i="7"/>
  <c r="J396" i="7"/>
  <c r="J246" i="7"/>
  <c r="J797" i="7"/>
  <c r="J538" i="7"/>
  <c r="J355" i="7"/>
  <c r="J420" i="7"/>
  <c r="J315" i="7"/>
  <c r="J792" i="7"/>
  <c r="J709" i="7"/>
  <c r="J456" i="7"/>
  <c r="J450" i="7"/>
  <c r="J566" i="7"/>
  <c r="J840" i="7"/>
  <c r="J636" i="7"/>
  <c r="J253" i="7"/>
  <c r="J251" i="7"/>
  <c r="J483" i="7"/>
  <c r="J476" i="7"/>
  <c r="J260" i="7"/>
  <c r="J413" i="7"/>
  <c r="J199" i="7"/>
  <c r="J324" i="7"/>
  <c r="J866" i="7"/>
  <c r="J93" i="7"/>
  <c r="J859" i="7"/>
  <c r="J406" i="7"/>
  <c r="J185" i="7"/>
  <c r="J650" i="7"/>
  <c r="J104" i="7"/>
  <c r="J206" i="7"/>
  <c r="J271" i="7"/>
  <c r="J662" i="7"/>
  <c r="J750" i="7"/>
  <c r="J112" i="7"/>
  <c r="J781" i="7"/>
  <c r="J215" i="7"/>
  <c r="J818" i="7"/>
  <c r="J126" i="7"/>
  <c r="J71" i="7"/>
  <c r="J123" i="7"/>
  <c r="J176" i="7"/>
  <c r="J862" i="7"/>
  <c r="J534" i="7"/>
  <c r="J480" i="7"/>
  <c r="J69" i="7"/>
  <c r="J675" i="7"/>
  <c r="J78" i="7"/>
  <c r="J468" i="7"/>
  <c r="J326" i="7"/>
  <c r="J803" i="7"/>
  <c r="J431" i="7"/>
  <c r="J59" i="7"/>
  <c r="J594" i="7"/>
  <c r="J239" i="7"/>
  <c r="J265" i="7"/>
  <c r="J39" i="7"/>
  <c r="J711" i="7"/>
  <c r="J227" i="7"/>
  <c r="J41" i="7"/>
  <c r="J646" i="7"/>
  <c r="J562" i="7"/>
  <c r="J639" i="7"/>
  <c r="J288" i="7"/>
  <c r="J517" i="7"/>
  <c r="J307" i="7"/>
  <c r="J460" i="7"/>
  <c r="J841" i="7"/>
  <c r="J257" i="7"/>
  <c r="J204" i="7"/>
  <c r="J641" i="7"/>
  <c r="J603" i="7"/>
  <c r="J50" i="7"/>
  <c r="J269" i="7"/>
  <c r="J728" i="7"/>
  <c r="J849" i="7"/>
  <c r="J769" i="7"/>
  <c r="J317" i="7"/>
  <c r="J692" i="7"/>
  <c r="J475" i="7"/>
  <c r="J488" i="7"/>
  <c r="J447" i="7"/>
  <c r="J274" i="7"/>
  <c r="J842" i="7"/>
  <c r="J300" i="7"/>
  <c r="J463" i="7"/>
  <c r="J63" i="7"/>
  <c r="J378" i="7"/>
  <c r="J810" i="7"/>
  <c r="J408" i="7"/>
  <c r="J520" i="7"/>
  <c r="J305" i="7"/>
  <c r="J116" i="7"/>
  <c r="J170" i="7"/>
  <c r="J589" i="7"/>
  <c r="J535" i="7"/>
  <c r="J62" i="7"/>
  <c r="J612" i="7"/>
  <c r="J486" i="7"/>
  <c r="J99" i="7"/>
  <c r="J720" i="7"/>
  <c r="J651" i="7"/>
  <c r="J314" i="7"/>
  <c r="J783" i="7"/>
  <c r="J689" i="7"/>
  <c r="J674" i="7"/>
  <c r="J266" i="7"/>
  <c r="J395" i="7"/>
  <c r="J626" i="7"/>
  <c r="J684" i="7"/>
  <c r="J617" i="7"/>
  <c r="J738" i="7"/>
  <c r="J786" i="7"/>
  <c r="J861" i="7"/>
  <c r="J171" i="7"/>
  <c r="J153" i="7"/>
  <c r="J394" i="7"/>
  <c r="J556" i="7"/>
  <c r="J766" i="7"/>
  <c r="J624" i="7"/>
  <c r="J683" i="7"/>
  <c r="J281" i="7"/>
  <c r="J793" i="7"/>
  <c r="J543" i="7"/>
  <c r="J608" i="7"/>
  <c r="J218" i="7"/>
  <c r="J697" i="7"/>
  <c r="J238" i="7"/>
  <c r="J321" i="7"/>
  <c r="J36" i="7"/>
  <c r="J299" i="7"/>
  <c r="J489" i="7"/>
  <c r="J821" i="7"/>
  <c r="J96" i="7"/>
  <c r="J620" i="7"/>
  <c r="J811" i="7"/>
  <c r="J530" i="7"/>
  <c r="J590" i="7"/>
  <c r="J815" i="7"/>
  <c r="J177" i="7"/>
  <c r="J421" i="7"/>
  <c r="J481" i="7"/>
  <c r="J412" i="7"/>
  <c r="J467" i="7"/>
  <c r="J94" i="7"/>
  <c r="J163" i="7"/>
  <c r="J700" i="7"/>
  <c r="J591" i="7"/>
  <c r="J16" i="7"/>
  <c r="J232" i="7"/>
  <c r="J492" i="7"/>
  <c r="J119" i="7"/>
  <c r="J368" i="7"/>
  <c r="J691" i="7"/>
  <c r="J788" i="7"/>
  <c r="J804" i="7"/>
  <c r="J211" i="7"/>
  <c r="J373" i="7"/>
  <c r="J860" i="7"/>
  <c r="J745" i="7"/>
  <c r="J33" i="7"/>
  <c r="J850" i="7"/>
  <c r="J270" i="7"/>
  <c r="K231" i="7"/>
  <c r="L231" i="7" s="1"/>
  <c r="K557" i="7"/>
  <c r="L557" i="7" s="1"/>
  <c r="K214" i="7"/>
  <c r="L214" i="7" s="1"/>
  <c r="K776" i="7"/>
  <c r="L776" i="7" s="1"/>
  <c r="K248" i="7"/>
  <c r="L248" i="7" s="1"/>
  <c r="K301" i="7"/>
  <c r="L301" i="7" s="1"/>
  <c r="K145" i="7"/>
  <c r="L145" i="7" s="1"/>
  <c r="K234" i="7"/>
  <c r="L234" i="7" s="1"/>
  <c r="K358" i="7"/>
  <c r="L358" i="7" s="1"/>
  <c r="K348" i="7"/>
  <c r="L348" i="7" s="1"/>
  <c r="K638" i="7"/>
  <c r="L638" i="7" s="1"/>
  <c r="K392" i="7"/>
  <c r="L392" i="7" s="1"/>
  <c r="K498" i="7"/>
  <c r="L498" i="7" s="1"/>
  <c r="K31" i="7"/>
  <c r="L31" i="7" s="1"/>
  <c r="K360" i="7"/>
  <c r="L360" i="7" s="1"/>
  <c r="K655" i="7"/>
  <c r="L655" i="7" s="1"/>
  <c r="K276" i="7"/>
  <c r="L276" i="7" s="1"/>
  <c r="K91" i="7"/>
  <c r="L91" i="7" s="1"/>
  <c r="K235" i="7"/>
  <c r="L235" i="7" s="1"/>
  <c r="K347" i="7"/>
  <c r="L347" i="7" s="1"/>
  <c r="K659" i="7"/>
  <c r="L659" i="7" s="1"/>
  <c r="K537" i="7"/>
  <c r="L537" i="7" s="1"/>
  <c r="K732" i="7"/>
  <c r="L732" i="7" s="1"/>
  <c r="K751" i="7"/>
  <c r="L751" i="7" s="1"/>
  <c r="K23" i="7"/>
  <c r="L23" i="7" s="1"/>
  <c r="K336" i="7"/>
  <c r="L336" i="7" s="1"/>
  <c r="K455" i="7"/>
  <c r="L455" i="7" s="1"/>
  <c r="K247" i="7"/>
  <c r="L247" i="7" s="1"/>
  <c r="K339" i="7"/>
  <c r="L339" i="7" s="1"/>
  <c r="K396" i="7"/>
  <c r="L396" i="7" s="1"/>
  <c r="K246" i="7"/>
  <c r="L246" i="7" s="1"/>
  <c r="K797" i="7"/>
  <c r="L797" i="7" s="1"/>
  <c r="K538" i="7"/>
  <c r="L538" i="7" s="1"/>
  <c r="K355" i="7"/>
  <c r="L355" i="7" s="1"/>
  <c r="K420" i="7"/>
  <c r="L420" i="7" s="1"/>
  <c r="K315" i="7"/>
  <c r="L315" i="7" s="1"/>
  <c r="K792" i="7"/>
  <c r="L792" i="7" s="1"/>
  <c r="K709" i="7"/>
  <c r="L709" i="7" s="1"/>
  <c r="K456" i="7"/>
  <c r="L456" i="7" s="1"/>
  <c r="K175" i="7"/>
  <c r="L175" i="7" s="1"/>
  <c r="K450" i="7"/>
  <c r="L450" i="7" s="1"/>
  <c r="K566" i="7"/>
  <c r="L566" i="7" s="1"/>
  <c r="K840" i="7"/>
  <c r="L840" i="7" s="1"/>
  <c r="K636" i="7"/>
  <c r="L636" i="7" s="1"/>
  <c r="K253" i="7"/>
  <c r="L253" i="7" s="1"/>
  <c r="K251" i="7"/>
  <c r="L251" i="7" s="1"/>
  <c r="K483" i="7"/>
  <c r="L483" i="7" s="1"/>
  <c r="K476" i="7"/>
  <c r="L476" i="7" s="1"/>
  <c r="K260" i="7"/>
  <c r="L260" i="7" s="1"/>
  <c r="K413" i="7"/>
  <c r="L413" i="7" s="1"/>
  <c r="K199" i="7"/>
  <c r="L199" i="7" s="1"/>
  <c r="K324" i="7"/>
  <c r="L324" i="7" s="1"/>
  <c r="K866" i="7"/>
  <c r="L866" i="7" s="1"/>
  <c r="K93" i="7"/>
  <c r="L93" i="7" s="1"/>
  <c r="K859" i="7"/>
  <c r="L859" i="7" s="1"/>
  <c r="K406" i="7"/>
  <c r="L406" i="7" s="1"/>
  <c r="K185" i="7"/>
  <c r="L185" i="7" s="1"/>
  <c r="K650" i="7"/>
  <c r="L650" i="7" s="1"/>
  <c r="K104" i="7"/>
  <c r="L104" i="7" s="1"/>
  <c r="K206" i="7"/>
  <c r="L206" i="7" s="1"/>
  <c r="K271" i="7"/>
  <c r="L271" i="7" s="1"/>
  <c r="K662" i="7"/>
  <c r="L662" i="7" s="1"/>
  <c r="K750" i="7"/>
  <c r="L750" i="7" s="1"/>
  <c r="K112" i="7"/>
  <c r="L112" i="7" s="1"/>
  <c r="K781" i="7"/>
  <c r="L781" i="7" s="1"/>
  <c r="K215" i="7"/>
  <c r="L215" i="7" s="1"/>
  <c r="K818" i="7"/>
  <c r="L818" i="7" s="1"/>
  <c r="K352" i="7"/>
  <c r="L352" i="7" s="1"/>
  <c r="K126" i="7"/>
  <c r="L126" i="7" s="1"/>
  <c r="K71" i="7"/>
  <c r="L71" i="7" s="1"/>
  <c r="K123" i="7"/>
  <c r="L123" i="7" s="1"/>
  <c r="K176" i="7"/>
  <c r="L176" i="7" s="1"/>
  <c r="K862" i="7"/>
  <c r="L862" i="7" s="1"/>
  <c r="K534" i="7"/>
  <c r="L534" i="7" s="1"/>
  <c r="K480" i="7"/>
  <c r="L480" i="7" s="1"/>
  <c r="K69" i="7"/>
  <c r="L69" i="7" s="1"/>
  <c r="K675" i="7"/>
  <c r="L675" i="7" s="1"/>
  <c r="K78" i="7"/>
  <c r="L78" i="7" s="1"/>
  <c r="K468" i="7"/>
  <c r="L468" i="7" s="1"/>
  <c r="K326" i="7"/>
  <c r="L326" i="7" s="1"/>
  <c r="K803" i="7"/>
  <c r="L803" i="7" s="1"/>
  <c r="K431" i="7"/>
  <c r="L431" i="7" s="1"/>
  <c r="K59" i="7"/>
  <c r="L59" i="7" s="1"/>
  <c r="K594" i="7"/>
  <c r="L594" i="7" s="1"/>
  <c r="K239" i="7"/>
  <c r="L239" i="7" s="1"/>
  <c r="K265" i="7"/>
  <c r="L265" i="7" s="1"/>
  <c r="K39" i="7"/>
  <c r="L39" i="7" s="1"/>
  <c r="K711" i="7"/>
  <c r="L711" i="7" s="1"/>
  <c r="K227" i="7"/>
  <c r="L227" i="7" s="1"/>
  <c r="K41" i="7"/>
  <c r="L41" i="7" s="1"/>
  <c r="K646" i="7"/>
  <c r="L646" i="7" s="1"/>
  <c r="K562" i="7"/>
  <c r="L562" i="7" s="1"/>
  <c r="K639" i="7"/>
  <c r="L639" i="7" s="1"/>
  <c r="K288" i="7"/>
  <c r="L288" i="7" s="1"/>
  <c r="K517" i="7"/>
  <c r="L517" i="7" s="1"/>
  <c r="K307" i="7"/>
  <c r="L307" i="7" s="1"/>
  <c r="K460" i="7"/>
  <c r="L460" i="7" s="1"/>
  <c r="K841" i="7"/>
  <c r="L841" i="7" s="1"/>
  <c r="K257" i="7"/>
  <c r="L257" i="7" s="1"/>
  <c r="K204" i="7"/>
  <c r="L204" i="7" s="1"/>
  <c r="K641" i="7"/>
  <c r="L641" i="7" s="1"/>
  <c r="K603" i="7"/>
  <c r="L603" i="7" s="1"/>
  <c r="K50" i="7"/>
  <c r="L50" i="7" s="1"/>
  <c r="K269" i="7"/>
  <c r="L269" i="7" s="1"/>
  <c r="K728" i="7"/>
  <c r="L728" i="7" s="1"/>
  <c r="K849" i="7"/>
  <c r="L849" i="7" s="1"/>
  <c r="K769" i="7"/>
  <c r="L769" i="7" s="1"/>
  <c r="K317" i="7"/>
  <c r="L317" i="7" s="1"/>
  <c r="K692" i="7"/>
  <c r="L692" i="7" s="1"/>
  <c r="K475" i="7"/>
  <c r="L475" i="7" s="1"/>
  <c r="K488" i="7"/>
  <c r="L488" i="7" s="1"/>
  <c r="K447" i="7"/>
  <c r="L447" i="7" s="1"/>
  <c r="K274" i="7"/>
  <c r="L274" i="7" s="1"/>
  <c r="K842" i="7"/>
  <c r="L842" i="7" s="1"/>
  <c r="K300" i="7"/>
  <c r="L300" i="7" s="1"/>
  <c r="K463" i="7"/>
  <c r="L463" i="7" s="1"/>
  <c r="K63" i="7"/>
  <c r="L63" i="7" s="1"/>
  <c r="K378" i="7"/>
  <c r="L378" i="7" s="1"/>
  <c r="K810" i="7"/>
  <c r="L810" i="7" s="1"/>
  <c r="K408" i="7"/>
  <c r="L408" i="7" s="1"/>
  <c r="K520" i="7"/>
  <c r="L520" i="7" s="1"/>
  <c r="K305" i="7"/>
  <c r="L305" i="7" s="1"/>
  <c r="K116" i="7"/>
  <c r="L116" i="7" s="1"/>
  <c r="K170" i="7"/>
  <c r="L170" i="7" s="1"/>
  <c r="K589" i="7"/>
  <c r="L589" i="7" s="1"/>
  <c r="K535" i="7"/>
  <c r="L535" i="7" s="1"/>
  <c r="K62" i="7"/>
  <c r="L62" i="7" s="1"/>
  <c r="K612" i="7"/>
  <c r="L612" i="7" s="1"/>
  <c r="K486" i="7"/>
  <c r="L486" i="7" s="1"/>
  <c r="K99" i="7"/>
  <c r="L99" i="7" s="1"/>
  <c r="K720" i="7"/>
  <c r="L720" i="7" s="1"/>
  <c r="K651" i="7"/>
  <c r="L651" i="7" s="1"/>
  <c r="K314" i="7"/>
  <c r="L314" i="7" s="1"/>
  <c r="K783" i="7"/>
  <c r="L783" i="7" s="1"/>
  <c r="K689" i="7"/>
  <c r="L689" i="7" s="1"/>
  <c r="K674" i="7"/>
  <c r="L674" i="7" s="1"/>
  <c r="K266" i="7"/>
  <c r="L266" i="7" s="1"/>
  <c r="K395" i="7"/>
  <c r="L395" i="7" s="1"/>
  <c r="K626" i="7"/>
  <c r="L626" i="7" s="1"/>
  <c r="K684" i="7"/>
  <c r="L684" i="7" s="1"/>
  <c r="K617" i="7"/>
  <c r="L617" i="7" s="1"/>
  <c r="K738" i="7"/>
  <c r="L738" i="7" s="1"/>
  <c r="K786" i="7"/>
  <c r="L786" i="7" s="1"/>
  <c r="K861" i="7"/>
  <c r="L861" i="7" s="1"/>
  <c r="K171" i="7"/>
  <c r="L171" i="7" s="1"/>
  <c r="K153" i="7"/>
  <c r="L153" i="7" s="1"/>
  <c r="K394" i="7"/>
  <c r="L394" i="7" s="1"/>
  <c r="K556" i="7"/>
  <c r="L556" i="7" s="1"/>
  <c r="K766" i="7"/>
  <c r="L766" i="7" s="1"/>
  <c r="K624" i="7"/>
  <c r="L624" i="7" s="1"/>
  <c r="K683" i="7"/>
  <c r="L683" i="7" s="1"/>
  <c r="K281" i="7"/>
  <c r="L281" i="7" s="1"/>
  <c r="K793" i="7"/>
  <c r="L793" i="7" s="1"/>
  <c r="K543" i="7"/>
  <c r="L543" i="7" s="1"/>
  <c r="K608" i="7"/>
  <c r="L608" i="7" s="1"/>
  <c r="K218" i="7"/>
  <c r="L218" i="7" s="1"/>
  <c r="K697" i="7"/>
  <c r="L697" i="7" s="1"/>
  <c r="K238" i="7"/>
  <c r="L238" i="7" s="1"/>
  <c r="K321" i="7"/>
  <c r="L321" i="7" s="1"/>
  <c r="K36" i="7"/>
  <c r="L36" i="7" s="1"/>
  <c r="K299" i="7"/>
  <c r="L299" i="7" s="1"/>
  <c r="K489" i="7"/>
  <c r="L489" i="7" s="1"/>
  <c r="K821" i="7"/>
  <c r="L821" i="7" s="1"/>
  <c r="K96" i="7"/>
  <c r="L96" i="7" s="1"/>
  <c r="K620" i="7"/>
  <c r="L620" i="7" s="1"/>
  <c r="K811" i="7"/>
  <c r="L811" i="7" s="1"/>
  <c r="K530" i="7"/>
  <c r="L530" i="7" s="1"/>
  <c r="K590" i="7"/>
  <c r="L590" i="7" s="1"/>
  <c r="K815" i="7"/>
  <c r="L815" i="7" s="1"/>
  <c r="K177" i="7"/>
  <c r="L177" i="7" s="1"/>
  <c r="K421" i="7"/>
  <c r="L421" i="7" s="1"/>
  <c r="K481" i="7"/>
  <c r="L481" i="7" s="1"/>
  <c r="K412" i="7"/>
  <c r="L412" i="7" s="1"/>
  <c r="K467" i="7"/>
  <c r="L467" i="7" s="1"/>
  <c r="K94" i="7"/>
  <c r="L94" i="7" s="1"/>
  <c r="K163" i="7"/>
  <c r="L163" i="7" s="1"/>
  <c r="K700" i="7"/>
  <c r="L700" i="7" s="1"/>
  <c r="K591" i="7"/>
  <c r="L591" i="7" s="1"/>
  <c r="K16" i="7"/>
  <c r="L16" i="7" s="1"/>
  <c r="K232" i="7"/>
  <c r="L232" i="7" s="1"/>
  <c r="K492" i="7"/>
  <c r="L492" i="7" s="1"/>
  <c r="K119" i="7"/>
  <c r="L119" i="7" s="1"/>
  <c r="K368" i="7"/>
  <c r="L368" i="7" s="1"/>
  <c r="K691" i="7"/>
  <c r="L691" i="7" s="1"/>
  <c r="K788" i="7"/>
  <c r="L788" i="7" s="1"/>
  <c r="K804" i="7"/>
  <c r="L804" i="7" s="1"/>
  <c r="K211" i="7"/>
  <c r="L211" i="7" s="1"/>
  <c r="K373" i="7"/>
  <c r="L373" i="7" s="1"/>
  <c r="K860" i="7"/>
  <c r="L860" i="7" s="1"/>
  <c r="K745" i="7"/>
  <c r="L745" i="7" s="1"/>
  <c r="K33" i="7"/>
  <c r="L33" i="7" s="1"/>
  <c r="K850" i="7"/>
  <c r="L850" i="7" s="1"/>
  <c r="K270" i="7"/>
  <c r="L270" i="7" s="1"/>
  <c r="M231" i="7"/>
  <c r="M557" i="7"/>
  <c r="M214" i="7"/>
  <c r="M776" i="7"/>
  <c r="M248" i="7"/>
  <c r="M301" i="7"/>
  <c r="M145" i="7"/>
  <c r="M234" i="7"/>
  <c r="M358" i="7"/>
  <c r="M348" i="7"/>
  <c r="M638" i="7"/>
  <c r="M392" i="7"/>
  <c r="M498" i="7"/>
  <c r="M31" i="7"/>
  <c r="M360" i="7"/>
  <c r="M655" i="7"/>
  <c r="M276" i="7"/>
  <c r="M91" i="7"/>
  <c r="M235" i="7"/>
  <c r="M347" i="7"/>
  <c r="M659" i="7"/>
  <c r="M537" i="7"/>
  <c r="M732" i="7"/>
  <c r="M751" i="7"/>
  <c r="M23" i="7"/>
  <c r="M336" i="7"/>
  <c r="M455" i="7"/>
  <c r="M247" i="7"/>
  <c r="M339" i="7"/>
  <c r="M396" i="7"/>
  <c r="M246" i="7"/>
  <c r="M797" i="7"/>
  <c r="M538" i="7"/>
  <c r="M355" i="7"/>
  <c r="M420" i="7"/>
  <c r="M315" i="7"/>
  <c r="M792" i="7"/>
  <c r="M709" i="7"/>
  <c r="M456" i="7"/>
  <c r="M175" i="7"/>
  <c r="M450" i="7"/>
  <c r="M566" i="7"/>
  <c r="M840" i="7"/>
  <c r="M636" i="7"/>
  <c r="M253" i="7"/>
  <c r="M251" i="7"/>
  <c r="M483" i="7"/>
  <c r="M476" i="7"/>
  <c r="M260" i="7"/>
  <c r="M413" i="7"/>
  <c r="M199" i="7"/>
  <c r="M324" i="7"/>
  <c r="M866" i="7"/>
  <c r="M93" i="7"/>
  <c r="M859" i="7"/>
  <c r="M406" i="7"/>
  <c r="M185" i="7"/>
  <c r="M650" i="7"/>
  <c r="M104" i="7"/>
  <c r="M206" i="7"/>
  <c r="M271" i="7"/>
  <c r="M662" i="7"/>
  <c r="M750" i="7"/>
  <c r="M112" i="7"/>
  <c r="M781" i="7"/>
  <c r="M215" i="7"/>
  <c r="M818" i="7"/>
  <c r="M352" i="7"/>
  <c r="M126" i="7"/>
  <c r="M71" i="7"/>
  <c r="M123" i="7"/>
  <c r="M176" i="7"/>
  <c r="M862" i="7"/>
  <c r="M534" i="7"/>
  <c r="M480" i="7"/>
  <c r="M69" i="7"/>
  <c r="M675" i="7"/>
  <c r="M78" i="7"/>
  <c r="M468" i="7"/>
  <c r="M326" i="7"/>
  <c r="M803" i="7"/>
  <c r="M431" i="7"/>
  <c r="M59" i="7"/>
  <c r="M594" i="7"/>
  <c r="M239" i="7"/>
  <c r="M265" i="7"/>
  <c r="M39" i="7"/>
  <c r="M711" i="7"/>
  <c r="M227" i="7"/>
  <c r="M41" i="7"/>
  <c r="M646" i="7"/>
  <c r="M562" i="7"/>
  <c r="M639" i="7"/>
  <c r="M288" i="7"/>
  <c r="M517" i="7"/>
  <c r="M307" i="7"/>
  <c r="M460" i="7"/>
  <c r="M841" i="7"/>
  <c r="M257" i="7"/>
  <c r="M204" i="7"/>
  <c r="M641" i="7"/>
  <c r="M603" i="7"/>
  <c r="M50" i="7"/>
  <c r="M269" i="7"/>
  <c r="M728" i="7"/>
  <c r="M849" i="7"/>
  <c r="M769" i="7"/>
  <c r="M317" i="7"/>
  <c r="M692" i="7"/>
  <c r="M475" i="7"/>
  <c r="M488" i="7"/>
  <c r="M447" i="7"/>
  <c r="M274" i="7"/>
  <c r="M842" i="7"/>
  <c r="M300" i="7"/>
  <c r="M463" i="7"/>
  <c r="M63" i="7"/>
  <c r="M378" i="7"/>
  <c r="M810" i="7"/>
  <c r="M408" i="7"/>
  <c r="M520" i="7"/>
  <c r="M305" i="7"/>
  <c r="M116" i="7"/>
  <c r="M170" i="7"/>
  <c r="M589" i="7"/>
  <c r="M535" i="7"/>
  <c r="M62" i="7"/>
  <c r="M612" i="7"/>
  <c r="M486" i="7"/>
  <c r="M99" i="7"/>
  <c r="M720" i="7"/>
  <c r="M651" i="7"/>
  <c r="M314" i="7"/>
  <c r="M783" i="7"/>
  <c r="M689" i="7"/>
  <c r="M674" i="7"/>
  <c r="M266" i="7"/>
  <c r="M395" i="7"/>
  <c r="M626" i="7"/>
  <c r="M684" i="7"/>
  <c r="M617" i="7"/>
  <c r="M738" i="7"/>
  <c r="M786" i="7"/>
  <c r="M861" i="7"/>
  <c r="M171" i="7"/>
  <c r="M153" i="7"/>
  <c r="M394" i="7"/>
  <c r="M556" i="7"/>
  <c r="M766" i="7"/>
  <c r="M624" i="7"/>
  <c r="M683" i="7"/>
  <c r="M281" i="7"/>
  <c r="M793" i="7"/>
  <c r="M543" i="7"/>
  <c r="M608" i="7"/>
  <c r="M218" i="7"/>
  <c r="M697" i="7"/>
  <c r="M238" i="7"/>
  <c r="M321" i="7"/>
  <c r="M36" i="7"/>
  <c r="M299" i="7"/>
  <c r="M489" i="7"/>
  <c r="M821" i="7"/>
  <c r="M96" i="7"/>
  <c r="M620" i="7"/>
  <c r="M811" i="7"/>
  <c r="M530" i="7"/>
  <c r="M590" i="7"/>
  <c r="M815" i="7"/>
  <c r="M177" i="7"/>
  <c r="M421" i="7"/>
  <c r="M481" i="7"/>
  <c r="M412" i="7"/>
  <c r="M467" i="7"/>
  <c r="M94" i="7"/>
  <c r="M163" i="7"/>
  <c r="M700" i="7"/>
  <c r="M591" i="7"/>
  <c r="M16" i="7"/>
  <c r="M232" i="7"/>
  <c r="M492" i="7"/>
  <c r="M119" i="7"/>
  <c r="M368" i="7"/>
  <c r="M691" i="7"/>
  <c r="M788" i="7"/>
  <c r="M804" i="7"/>
  <c r="M211" i="7"/>
  <c r="M373" i="7"/>
  <c r="M860" i="7"/>
  <c r="M745" i="7"/>
  <c r="M33" i="7"/>
  <c r="M850" i="7"/>
  <c r="M270" i="7"/>
  <c r="P231" i="7"/>
  <c r="P557" i="7"/>
  <c r="P214" i="7"/>
  <c r="P776" i="7"/>
  <c r="P248" i="7"/>
  <c r="P301" i="7"/>
  <c r="P145" i="7"/>
  <c r="P234" i="7"/>
  <c r="P358" i="7"/>
  <c r="P348" i="7"/>
  <c r="P638" i="7"/>
  <c r="P392" i="7"/>
  <c r="P498" i="7"/>
  <c r="P31" i="7"/>
  <c r="P360" i="7"/>
  <c r="P655" i="7"/>
  <c r="P276" i="7"/>
  <c r="P91" i="7"/>
  <c r="P235" i="7"/>
  <c r="P347" i="7"/>
  <c r="P659" i="7"/>
  <c r="P537" i="7"/>
  <c r="P732" i="7"/>
  <c r="P751" i="7"/>
  <c r="P23" i="7"/>
  <c r="P336" i="7"/>
  <c r="P455" i="7"/>
  <c r="P247" i="7"/>
  <c r="P339" i="7"/>
  <c r="P396" i="7"/>
  <c r="P246" i="7"/>
  <c r="P797" i="7"/>
  <c r="P538" i="7"/>
  <c r="P355" i="7"/>
  <c r="P420" i="7"/>
  <c r="P315" i="7"/>
  <c r="P792" i="7"/>
  <c r="P709" i="7"/>
  <c r="P456" i="7"/>
  <c r="P175" i="7"/>
  <c r="P450" i="7"/>
  <c r="P566" i="7"/>
  <c r="P840" i="7"/>
  <c r="P636" i="7"/>
  <c r="P253" i="7"/>
  <c r="P251" i="7"/>
  <c r="P483" i="7"/>
  <c r="P476" i="7"/>
  <c r="P260" i="7"/>
  <c r="P413" i="7"/>
  <c r="P199" i="7"/>
  <c r="P324" i="7"/>
  <c r="P866" i="7"/>
  <c r="P93" i="7"/>
  <c r="P859" i="7"/>
  <c r="P406" i="7"/>
  <c r="P185" i="7"/>
  <c r="P650" i="7"/>
  <c r="P104" i="7"/>
  <c r="P206" i="7"/>
  <c r="P271" i="7"/>
  <c r="P662" i="7"/>
  <c r="P750" i="7"/>
  <c r="P112" i="7"/>
  <c r="P781" i="7"/>
  <c r="P215" i="7"/>
  <c r="P818" i="7"/>
  <c r="P352" i="7"/>
  <c r="P126" i="7"/>
  <c r="P71" i="7"/>
  <c r="P123" i="7"/>
  <c r="P176" i="7"/>
  <c r="P862" i="7"/>
  <c r="P534" i="7"/>
  <c r="P480" i="7"/>
  <c r="P69" i="7"/>
  <c r="P675" i="7"/>
  <c r="P78" i="7"/>
  <c r="P468" i="7"/>
  <c r="P326" i="7"/>
  <c r="P803" i="7"/>
  <c r="P431" i="7"/>
  <c r="P59" i="7"/>
  <c r="P594" i="7"/>
  <c r="P239" i="7"/>
  <c r="P265" i="7"/>
  <c r="P39" i="7"/>
  <c r="P711" i="7"/>
  <c r="P227" i="7"/>
  <c r="P41" i="7"/>
  <c r="P646" i="7"/>
  <c r="P562" i="7"/>
  <c r="P639" i="7"/>
  <c r="P288" i="7"/>
  <c r="P517" i="7"/>
  <c r="P307" i="7"/>
  <c r="P460" i="7"/>
  <c r="P841" i="7"/>
  <c r="P257" i="7"/>
  <c r="P204" i="7"/>
  <c r="P641" i="7"/>
  <c r="P603" i="7"/>
  <c r="P50" i="7"/>
  <c r="P269" i="7"/>
  <c r="P728" i="7"/>
  <c r="P849" i="7"/>
  <c r="P769" i="7"/>
  <c r="P317" i="7"/>
  <c r="P692" i="7"/>
  <c r="P475" i="7"/>
  <c r="P488" i="7"/>
  <c r="P447" i="7"/>
  <c r="P274" i="7"/>
  <c r="P842" i="7"/>
  <c r="P300" i="7"/>
  <c r="P463" i="7"/>
  <c r="P63" i="7"/>
  <c r="P378" i="7"/>
  <c r="P810" i="7"/>
  <c r="P408" i="7"/>
  <c r="P520" i="7"/>
  <c r="P305" i="7"/>
  <c r="P116" i="7"/>
  <c r="P170" i="7"/>
  <c r="P589" i="7"/>
  <c r="P535" i="7"/>
  <c r="P62" i="7"/>
  <c r="P612" i="7"/>
  <c r="P486" i="7"/>
  <c r="P99" i="7"/>
  <c r="P720" i="7"/>
  <c r="P651" i="7"/>
  <c r="P314" i="7"/>
  <c r="P783" i="7"/>
  <c r="P689" i="7"/>
  <c r="P674" i="7"/>
  <c r="P266" i="7"/>
  <c r="P395" i="7"/>
  <c r="P626" i="7"/>
  <c r="P684" i="7"/>
  <c r="P617" i="7"/>
  <c r="P738" i="7"/>
  <c r="P786" i="7"/>
  <c r="P861" i="7"/>
  <c r="P171" i="7"/>
  <c r="P153" i="7"/>
  <c r="P394" i="7"/>
  <c r="P556" i="7"/>
  <c r="P766" i="7"/>
  <c r="P624" i="7"/>
  <c r="P683" i="7"/>
  <c r="P281" i="7"/>
  <c r="P793" i="7"/>
  <c r="P543" i="7"/>
  <c r="P608" i="7"/>
  <c r="P218" i="7"/>
  <c r="P697" i="7"/>
  <c r="P238" i="7"/>
  <c r="P321" i="7"/>
  <c r="P36" i="7"/>
  <c r="P299" i="7"/>
  <c r="P489" i="7"/>
  <c r="P821" i="7"/>
  <c r="P96" i="7"/>
  <c r="P620" i="7"/>
  <c r="P811" i="7"/>
  <c r="P530" i="7"/>
  <c r="P590" i="7"/>
  <c r="P815" i="7"/>
  <c r="P177" i="7"/>
  <c r="P421" i="7"/>
  <c r="P481" i="7"/>
  <c r="P412" i="7"/>
  <c r="P467" i="7"/>
  <c r="P94" i="7"/>
  <c r="P163" i="7"/>
  <c r="P700" i="7"/>
  <c r="P591" i="7"/>
  <c r="P16" i="7"/>
  <c r="P232" i="7"/>
  <c r="P492" i="7"/>
  <c r="P119" i="7"/>
  <c r="P368" i="7"/>
  <c r="P691" i="7"/>
  <c r="P788" i="7"/>
  <c r="P804" i="7"/>
  <c r="P211" i="7"/>
  <c r="P373" i="7"/>
  <c r="P860" i="7"/>
  <c r="P745" i="7"/>
  <c r="P33" i="7"/>
  <c r="P850" i="7"/>
  <c r="P270" i="7"/>
  <c r="R231" i="7"/>
  <c r="R557" i="7"/>
  <c r="R214" i="7"/>
  <c r="R776" i="7"/>
  <c r="R248" i="7"/>
  <c r="R301" i="7"/>
  <c r="R145" i="7"/>
  <c r="R234" i="7"/>
  <c r="R358" i="7"/>
  <c r="R348" i="7"/>
  <c r="R638" i="7"/>
  <c r="R392" i="7"/>
  <c r="R498" i="7"/>
  <c r="R31" i="7"/>
  <c r="R360" i="7"/>
  <c r="R655" i="7"/>
  <c r="R276" i="7"/>
  <c r="R91" i="7"/>
  <c r="R235" i="7"/>
  <c r="R347" i="7"/>
  <c r="R659" i="7"/>
  <c r="R537" i="7"/>
  <c r="R732" i="7"/>
  <c r="R751" i="7"/>
  <c r="R23" i="7"/>
  <c r="R336" i="7"/>
  <c r="R455" i="7"/>
  <c r="R247" i="7"/>
  <c r="R339" i="7"/>
  <c r="R396" i="7"/>
  <c r="R246" i="7"/>
  <c r="R797" i="7"/>
  <c r="R538" i="7"/>
  <c r="R355" i="7"/>
  <c r="R420" i="7"/>
  <c r="R315" i="7"/>
  <c r="R792" i="7"/>
  <c r="R709" i="7"/>
  <c r="R456" i="7"/>
  <c r="R175" i="7"/>
  <c r="R450" i="7"/>
  <c r="R566" i="7"/>
  <c r="R840" i="7"/>
  <c r="R636" i="7"/>
  <c r="R253" i="7"/>
  <c r="R251" i="7"/>
  <c r="R483" i="7"/>
  <c r="R476" i="7"/>
  <c r="R260" i="7"/>
  <c r="R413" i="7"/>
  <c r="R199" i="7"/>
  <c r="R324" i="7"/>
  <c r="R866" i="7"/>
  <c r="R93" i="7"/>
  <c r="R859" i="7"/>
  <c r="R406" i="7"/>
  <c r="R185" i="7"/>
  <c r="R650" i="7"/>
  <c r="R104" i="7"/>
  <c r="R206" i="7"/>
  <c r="R271" i="7"/>
  <c r="R662" i="7"/>
  <c r="R750" i="7"/>
  <c r="R112" i="7"/>
  <c r="R781" i="7"/>
  <c r="R215" i="7"/>
  <c r="R818" i="7"/>
  <c r="R352" i="7"/>
  <c r="R126" i="7"/>
  <c r="R71" i="7"/>
  <c r="R123" i="7"/>
  <c r="R176" i="7"/>
  <c r="R862" i="7"/>
  <c r="R534" i="7"/>
  <c r="R480" i="7"/>
  <c r="R69" i="7"/>
  <c r="R675" i="7"/>
  <c r="R78" i="7"/>
  <c r="R468" i="7"/>
  <c r="R326" i="7"/>
  <c r="R803" i="7"/>
  <c r="R431" i="7"/>
  <c r="R59" i="7"/>
  <c r="R594" i="7"/>
  <c r="R239" i="7"/>
  <c r="R265" i="7"/>
  <c r="R39" i="7"/>
  <c r="R711" i="7"/>
  <c r="R227" i="7"/>
  <c r="R41" i="7"/>
  <c r="R646" i="7"/>
  <c r="R562" i="7"/>
  <c r="R639" i="7"/>
  <c r="R288" i="7"/>
  <c r="R517" i="7"/>
  <c r="R307" i="7"/>
  <c r="R460" i="7"/>
  <c r="R841" i="7"/>
  <c r="R257" i="7"/>
  <c r="R204" i="7"/>
  <c r="R641" i="7"/>
  <c r="R603" i="7"/>
  <c r="R50" i="7"/>
  <c r="R269" i="7"/>
  <c r="R728" i="7"/>
  <c r="R849" i="7"/>
  <c r="R769" i="7"/>
  <c r="R317" i="7"/>
  <c r="R692" i="7"/>
  <c r="R475" i="7"/>
  <c r="R488" i="7"/>
  <c r="R447" i="7"/>
  <c r="R274" i="7"/>
  <c r="R842" i="7"/>
  <c r="R300" i="7"/>
  <c r="R463" i="7"/>
  <c r="R63" i="7"/>
  <c r="R378" i="7"/>
  <c r="R810" i="7"/>
  <c r="R408" i="7"/>
  <c r="R520" i="7"/>
  <c r="R305" i="7"/>
  <c r="R116" i="7"/>
  <c r="R170" i="7"/>
  <c r="R589" i="7"/>
  <c r="R535" i="7"/>
  <c r="R62" i="7"/>
  <c r="R612" i="7"/>
  <c r="R486" i="7"/>
  <c r="R99" i="7"/>
  <c r="R720" i="7"/>
  <c r="R651" i="7"/>
  <c r="R314" i="7"/>
  <c r="R783" i="7"/>
  <c r="R689" i="7"/>
  <c r="R674" i="7"/>
  <c r="R266" i="7"/>
  <c r="R395" i="7"/>
  <c r="R626" i="7"/>
  <c r="R684" i="7"/>
  <c r="R617" i="7"/>
  <c r="R738" i="7"/>
  <c r="R786" i="7"/>
  <c r="R861" i="7"/>
  <c r="R171" i="7"/>
  <c r="R153" i="7"/>
  <c r="R394" i="7"/>
  <c r="R556" i="7"/>
  <c r="R766" i="7"/>
  <c r="R624" i="7"/>
  <c r="R683" i="7"/>
  <c r="R281" i="7"/>
  <c r="R793" i="7"/>
  <c r="R543" i="7"/>
  <c r="R608" i="7"/>
  <c r="R218" i="7"/>
  <c r="R697" i="7"/>
  <c r="R238" i="7"/>
  <c r="R321" i="7"/>
  <c r="R36" i="7"/>
  <c r="R299" i="7"/>
  <c r="R489" i="7"/>
  <c r="R821" i="7"/>
  <c r="R96" i="7"/>
  <c r="R620" i="7"/>
  <c r="R811" i="7"/>
  <c r="R530" i="7"/>
  <c r="R590" i="7"/>
  <c r="R815" i="7"/>
  <c r="R177" i="7"/>
  <c r="R421" i="7"/>
  <c r="R481" i="7"/>
  <c r="R412" i="7"/>
  <c r="R467" i="7"/>
  <c r="R94" i="7"/>
  <c r="R163" i="7"/>
  <c r="R700" i="7"/>
  <c r="R591" i="7"/>
  <c r="R16" i="7"/>
  <c r="R232" i="7"/>
  <c r="R492" i="7"/>
  <c r="R119" i="7"/>
  <c r="R368" i="7"/>
  <c r="R691" i="7"/>
  <c r="R788" i="7"/>
  <c r="R804" i="7"/>
  <c r="R211" i="7"/>
  <c r="R373" i="7"/>
  <c r="R860" i="7"/>
  <c r="R745" i="7"/>
  <c r="R33" i="7"/>
  <c r="R850" i="7"/>
  <c r="R270" i="7"/>
  <c r="U231" i="7"/>
  <c r="U557" i="7"/>
  <c r="U214" i="7"/>
  <c r="U776" i="7"/>
  <c r="U248" i="7"/>
  <c r="U301" i="7"/>
  <c r="U145" i="7"/>
  <c r="U234" i="7"/>
  <c r="U358" i="7"/>
  <c r="U348" i="7"/>
  <c r="U638" i="7"/>
  <c r="U392" i="7"/>
  <c r="U498" i="7"/>
  <c r="U31" i="7"/>
  <c r="U360" i="7"/>
  <c r="U655" i="7"/>
  <c r="U276" i="7"/>
  <c r="U91" i="7"/>
  <c r="U235" i="7"/>
  <c r="U347" i="7"/>
  <c r="U659" i="7"/>
  <c r="U537" i="7"/>
  <c r="U732" i="7"/>
  <c r="U751" i="7"/>
  <c r="U23" i="7"/>
  <c r="U336" i="7"/>
  <c r="U455" i="7"/>
  <c r="U247" i="7"/>
  <c r="U339" i="7"/>
  <c r="U396" i="7"/>
  <c r="U246" i="7"/>
  <c r="U797" i="7"/>
  <c r="U538" i="7"/>
  <c r="U355" i="7"/>
  <c r="U420" i="7"/>
  <c r="U315" i="7"/>
  <c r="U792" i="7"/>
  <c r="U709" i="7"/>
  <c r="U456" i="7"/>
  <c r="U175" i="7"/>
  <c r="U450" i="7"/>
  <c r="U566" i="7"/>
  <c r="U840" i="7"/>
  <c r="U636" i="7"/>
  <c r="U253" i="7"/>
  <c r="U251" i="7"/>
  <c r="U483" i="7"/>
  <c r="U476" i="7"/>
  <c r="U260" i="7"/>
  <c r="U413" i="7"/>
  <c r="U199" i="7"/>
  <c r="U324" i="7"/>
  <c r="U866" i="7"/>
  <c r="U93" i="7"/>
  <c r="U859" i="7"/>
  <c r="U406" i="7"/>
  <c r="U185" i="7"/>
  <c r="U650" i="7"/>
  <c r="U104" i="7"/>
  <c r="U206" i="7"/>
  <c r="U271" i="7"/>
  <c r="U662" i="7"/>
  <c r="U750" i="7"/>
  <c r="U112" i="7"/>
  <c r="U781" i="7"/>
  <c r="U215" i="7"/>
  <c r="U818" i="7"/>
  <c r="U352" i="7"/>
  <c r="U126" i="7"/>
  <c r="U71" i="7"/>
  <c r="U123" i="7"/>
  <c r="U176" i="7"/>
  <c r="U862" i="7"/>
  <c r="U534" i="7"/>
  <c r="U480" i="7"/>
  <c r="U69" i="7"/>
  <c r="U675" i="7"/>
  <c r="U78" i="7"/>
  <c r="U468" i="7"/>
  <c r="U326" i="7"/>
  <c r="U803" i="7"/>
  <c r="U431" i="7"/>
  <c r="U59" i="7"/>
  <c r="U594" i="7"/>
  <c r="U239" i="7"/>
  <c r="U265" i="7"/>
  <c r="U39" i="7"/>
  <c r="U711" i="7"/>
  <c r="U227" i="7"/>
  <c r="U41" i="7"/>
  <c r="U646" i="7"/>
  <c r="U562" i="7"/>
  <c r="U639" i="7"/>
  <c r="U288" i="7"/>
  <c r="U517" i="7"/>
  <c r="U307" i="7"/>
  <c r="U460" i="7"/>
  <c r="U841" i="7"/>
  <c r="U257" i="7"/>
  <c r="U204" i="7"/>
  <c r="U641" i="7"/>
  <c r="U603" i="7"/>
  <c r="U50" i="7"/>
  <c r="U269" i="7"/>
  <c r="U728" i="7"/>
  <c r="U849" i="7"/>
  <c r="U769" i="7"/>
  <c r="U317" i="7"/>
  <c r="U692" i="7"/>
  <c r="U475" i="7"/>
  <c r="U488" i="7"/>
  <c r="U447" i="7"/>
  <c r="U274" i="7"/>
  <c r="U842" i="7"/>
  <c r="U300" i="7"/>
  <c r="U463" i="7"/>
  <c r="U63" i="7"/>
  <c r="U378" i="7"/>
  <c r="U810" i="7"/>
  <c r="U408" i="7"/>
  <c r="U520" i="7"/>
  <c r="U305" i="7"/>
  <c r="U116" i="7"/>
  <c r="U170" i="7"/>
  <c r="U589" i="7"/>
  <c r="U535" i="7"/>
  <c r="U62" i="7"/>
  <c r="U612" i="7"/>
  <c r="U486" i="7"/>
  <c r="U99" i="7"/>
  <c r="U720" i="7"/>
  <c r="U651" i="7"/>
  <c r="U314" i="7"/>
  <c r="U783" i="7"/>
  <c r="U689" i="7"/>
  <c r="U674" i="7"/>
  <c r="U266" i="7"/>
  <c r="U395" i="7"/>
  <c r="U626" i="7"/>
  <c r="U684" i="7"/>
  <c r="U617" i="7"/>
  <c r="U738" i="7"/>
  <c r="U786" i="7"/>
  <c r="U861" i="7"/>
  <c r="U171" i="7"/>
  <c r="U153" i="7"/>
  <c r="U394" i="7"/>
  <c r="U556" i="7"/>
  <c r="U766" i="7"/>
  <c r="U624" i="7"/>
  <c r="U683" i="7"/>
  <c r="U281" i="7"/>
  <c r="U793" i="7"/>
  <c r="U543" i="7"/>
  <c r="U608" i="7"/>
  <c r="U218" i="7"/>
  <c r="U697" i="7"/>
  <c r="U238" i="7"/>
  <c r="U321" i="7"/>
  <c r="U36" i="7"/>
  <c r="U299" i="7"/>
  <c r="U489" i="7"/>
  <c r="U821" i="7"/>
  <c r="U96" i="7"/>
  <c r="U620" i="7"/>
  <c r="U811" i="7"/>
  <c r="U530" i="7"/>
  <c r="U590" i="7"/>
  <c r="U815" i="7"/>
  <c r="U177" i="7"/>
  <c r="U421" i="7"/>
  <c r="U481" i="7"/>
  <c r="U412" i="7"/>
  <c r="U467" i="7"/>
  <c r="U94" i="7"/>
  <c r="U163" i="7"/>
  <c r="U700" i="7"/>
  <c r="U591" i="7"/>
  <c r="U16" i="7"/>
  <c r="U232" i="7"/>
  <c r="U492" i="7"/>
  <c r="U119" i="7"/>
  <c r="U368" i="7"/>
  <c r="U691" i="7"/>
  <c r="U788" i="7"/>
  <c r="U804" i="7"/>
  <c r="U211" i="7"/>
  <c r="U373" i="7"/>
  <c r="U860" i="7"/>
  <c r="U745" i="7"/>
  <c r="U33" i="7"/>
  <c r="U850" i="7"/>
  <c r="U270" i="7"/>
  <c r="X231" i="7"/>
  <c r="X557" i="7"/>
  <c r="X214" i="7"/>
  <c r="X776" i="7"/>
  <c r="X248" i="7"/>
  <c r="X301" i="7"/>
  <c r="X145" i="7"/>
  <c r="X234" i="7"/>
  <c r="X358" i="7"/>
  <c r="X348" i="7"/>
  <c r="X638" i="7"/>
  <c r="X392" i="7"/>
  <c r="X498" i="7"/>
  <c r="X31" i="7"/>
  <c r="X360" i="7"/>
  <c r="X655" i="7"/>
  <c r="X276" i="7"/>
  <c r="X91" i="7"/>
  <c r="X235" i="7"/>
  <c r="X347" i="7"/>
  <c r="X659" i="7"/>
  <c r="X537" i="7"/>
  <c r="X732" i="7"/>
  <c r="X751" i="7"/>
  <c r="X23" i="7"/>
  <c r="X336" i="7"/>
  <c r="X455" i="7"/>
  <c r="X247" i="7"/>
  <c r="X339" i="7"/>
  <c r="X396" i="7"/>
  <c r="X246" i="7"/>
  <c r="X797" i="7"/>
  <c r="X538" i="7"/>
  <c r="X355" i="7"/>
  <c r="X420" i="7"/>
  <c r="X315" i="7"/>
  <c r="X792" i="7"/>
  <c r="X709" i="7"/>
  <c r="X456" i="7"/>
  <c r="X175" i="7"/>
  <c r="X450" i="7"/>
  <c r="X566" i="7"/>
  <c r="X840" i="7"/>
  <c r="X636" i="7"/>
  <c r="X253" i="7"/>
  <c r="X251" i="7"/>
  <c r="X483" i="7"/>
  <c r="X476" i="7"/>
  <c r="X260" i="7"/>
  <c r="X413" i="7"/>
  <c r="X199" i="7"/>
  <c r="X324" i="7"/>
  <c r="X866" i="7"/>
  <c r="X93" i="7"/>
  <c r="X859" i="7"/>
  <c r="X406" i="7"/>
  <c r="X185" i="7"/>
  <c r="X650" i="7"/>
  <c r="X104" i="7"/>
  <c r="X206" i="7"/>
  <c r="X271" i="7"/>
  <c r="X662" i="7"/>
  <c r="X750" i="7"/>
  <c r="X112" i="7"/>
  <c r="X781" i="7"/>
  <c r="X215" i="7"/>
  <c r="X818" i="7"/>
  <c r="X352" i="7"/>
  <c r="X126" i="7"/>
  <c r="X71" i="7"/>
  <c r="X123" i="7"/>
  <c r="X176" i="7"/>
  <c r="X862" i="7"/>
  <c r="X534" i="7"/>
  <c r="X480" i="7"/>
  <c r="X69" i="7"/>
  <c r="X675" i="7"/>
  <c r="X78" i="7"/>
  <c r="X468" i="7"/>
  <c r="X326" i="7"/>
  <c r="X803" i="7"/>
  <c r="X431" i="7"/>
  <c r="X59" i="7"/>
  <c r="X594" i="7"/>
  <c r="X239" i="7"/>
  <c r="X265" i="7"/>
  <c r="X39" i="7"/>
  <c r="X711" i="7"/>
  <c r="X227" i="7"/>
  <c r="X41" i="7"/>
  <c r="X646" i="7"/>
  <c r="X562" i="7"/>
  <c r="X639" i="7"/>
  <c r="X288" i="7"/>
  <c r="X517" i="7"/>
  <c r="X307" i="7"/>
  <c r="X460" i="7"/>
  <c r="X841" i="7"/>
  <c r="X257" i="7"/>
  <c r="X204" i="7"/>
  <c r="X641" i="7"/>
  <c r="X603" i="7"/>
  <c r="X50" i="7"/>
  <c r="X269" i="7"/>
  <c r="X728" i="7"/>
  <c r="X849" i="7"/>
  <c r="X769" i="7"/>
  <c r="X317" i="7"/>
  <c r="X692" i="7"/>
  <c r="X475" i="7"/>
  <c r="X488" i="7"/>
  <c r="X447" i="7"/>
  <c r="X274" i="7"/>
  <c r="X842" i="7"/>
  <c r="X300" i="7"/>
  <c r="X463" i="7"/>
  <c r="X63" i="7"/>
  <c r="X378" i="7"/>
  <c r="X810" i="7"/>
  <c r="X408" i="7"/>
  <c r="X520" i="7"/>
  <c r="X305" i="7"/>
  <c r="X116" i="7"/>
  <c r="X170" i="7"/>
  <c r="X589" i="7"/>
  <c r="X535" i="7"/>
  <c r="X62" i="7"/>
  <c r="X612" i="7"/>
  <c r="X486" i="7"/>
  <c r="X99" i="7"/>
  <c r="X720" i="7"/>
  <c r="X651" i="7"/>
  <c r="X314" i="7"/>
  <c r="X783" i="7"/>
  <c r="X689" i="7"/>
  <c r="X674" i="7"/>
  <c r="X266" i="7"/>
  <c r="X395" i="7"/>
  <c r="X626" i="7"/>
  <c r="X684" i="7"/>
  <c r="X617" i="7"/>
  <c r="X738" i="7"/>
  <c r="X786" i="7"/>
  <c r="X861" i="7"/>
  <c r="X171" i="7"/>
  <c r="X153" i="7"/>
  <c r="X394" i="7"/>
  <c r="X556" i="7"/>
  <c r="X766" i="7"/>
  <c r="X624" i="7"/>
  <c r="X683" i="7"/>
  <c r="X281" i="7"/>
  <c r="X793" i="7"/>
  <c r="X543" i="7"/>
  <c r="X608" i="7"/>
  <c r="X218" i="7"/>
  <c r="X697" i="7"/>
  <c r="X238" i="7"/>
  <c r="X321" i="7"/>
  <c r="X36" i="7"/>
  <c r="X299" i="7"/>
  <c r="X489" i="7"/>
  <c r="X821" i="7"/>
  <c r="X96" i="7"/>
  <c r="X620" i="7"/>
  <c r="X811" i="7"/>
  <c r="X530" i="7"/>
  <c r="X590" i="7"/>
  <c r="X815" i="7"/>
  <c r="X177" i="7"/>
  <c r="X421" i="7"/>
  <c r="X481" i="7"/>
  <c r="X412" i="7"/>
  <c r="X467" i="7"/>
  <c r="X94" i="7"/>
  <c r="X163" i="7"/>
  <c r="X700" i="7"/>
  <c r="X591" i="7"/>
  <c r="X16" i="7"/>
  <c r="X232" i="7"/>
  <c r="X492" i="7"/>
  <c r="X119" i="7"/>
  <c r="X368" i="7"/>
  <c r="X691" i="7"/>
  <c r="X788" i="7"/>
  <c r="X804" i="7"/>
  <c r="X211" i="7"/>
  <c r="X373" i="7"/>
  <c r="X860" i="7"/>
  <c r="X745" i="7"/>
  <c r="X33" i="7"/>
  <c r="X850" i="7"/>
  <c r="X270" i="7"/>
  <c r="AA231" i="7"/>
  <c r="AA557" i="7"/>
  <c r="AA214" i="7"/>
  <c r="AA776" i="7"/>
  <c r="AA248" i="7"/>
  <c r="AA301" i="7"/>
  <c r="AA145" i="7"/>
  <c r="AA234" i="7"/>
  <c r="AA358" i="7"/>
  <c r="AA348" i="7"/>
  <c r="AA638" i="7"/>
  <c r="AA392" i="7"/>
  <c r="AA498" i="7"/>
  <c r="AA31" i="7"/>
  <c r="AA360" i="7"/>
  <c r="AA655" i="7"/>
  <c r="AA276" i="7"/>
  <c r="AA91" i="7"/>
  <c r="AA235" i="7"/>
  <c r="AA347" i="7"/>
  <c r="AA659" i="7"/>
  <c r="AA537" i="7"/>
  <c r="AA732" i="7"/>
  <c r="AA751" i="7"/>
  <c r="AA23" i="7"/>
  <c r="AA336" i="7"/>
  <c r="AA455" i="7"/>
  <c r="AA247" i="7"/>
  <c r="AA339" i="7"/>
  <c r="AA396" i="7"/>
  <c r="AA246" i="7"/>
  <c r="AA797" i="7"/>
  <c r="AA538" i="7"/>
  <c r="AA355" i="7"/>
  <c r="AA420" i="7"/>
  <c r="AA315" i="7"/>
  <c r="AA792" i="7"/>
  <c r="AA709" i="7"/>
  <c r="AA456" i="7"/>
  <c r="AA175" i="7"/>
  <c r="AA450" i="7"/>
  <c r="AA566" i="7"/>
  <c r="AA840" i="7"/>
  <c r="AA636" i="7"/>
  <c r="AA253" i="7"/>
  <c r="AA251" i="7"/>
  <c r="AA483" i="7"/>
  <c r="AA476" i="7"/>
  <c r="AA260" i="7"/>
  <c r="AA413" i="7"/>
  <c r="AA199" i="7"/>
  <c r="AA324" i="7"/>
  <c r="AA866" i="7"/>
  <c r="AA93" i="7"/>
  <c r="AA859" i="7"/>
  <c r="AA406" i="7"/>
  <c r="AA185" i="7"/>
  <c r="AA650" i="7"/>
  <c r="AA104" i="7"/>
  <c r="AA206" i="7"/>
  <c r="AA271" i="7"/>
  <c r="AA662" i="7"/>
  <c r="AA750" i="7"/>
  <c r="AA112" i="7"/>
  <c r="AA781" i="7"/>
  <c r="AA215" i="7"/>
  <c r="AA818" i="7"/>
  <c r="AA352" i="7"/>
  <c r="AA126" i="7"/>
  <c r="AA71" i="7"/>
  <c r="AA123" i="7"/>
  <c r="AA176" i="7"/>
  <c r="AA862" i="7"/>
  <c r="AA534" i="7"/>
  <c r="AA480" i="7"/>
  <c r="AA69" i="7"/>
  <c r="AA675" i="7"/>
  <c r="AA78" i="7"/>
  <c r="AA468" i="7"/>
  <c r="AA326" i="7"/>
  <c r="AA803" i="7"/>
  <c r="AA431" i="7"/>
  <c r="AA59" i="7"/>
  <c r="AA594" i="7"/>
  <c r="AA239" i="7"/>
  <c r="AA265" i="7"/>
  <c r="AA39" i="7"/>
  <c r="AA711" i="7"/>
  <c r="AA227" i="7"/>
  <c r="AA41" i="7"/>
  <c r="AA646" i="7"/>
  <c r="AA562" i="7"/>
  <c r="AA639" i="7"/>
  <c r="AA288" i="7"/>
  <c r="AA517" i="7"/>
  <c r="AA307" i="7"/>
  <c r="AA460" i="7"/>
  <c r="AA841" i="7"/>
  <c r="AA257" i="7"/>
  <c r="AA204" i="7"/>
  <c r="AA641" i="7"/>
  <c r="AA603" i="7"/>
  <c r="AA50" i="7"/>
  <c r="AA269" i="7"/>
  <c r="AA728" i="7"/>
  <c r="AA849" i="7"/>
  <c r="AA769" i="7"/>
  <c r="AA317" i="7"/>
  <c r="AA692" i="7"/>
  <c r="AA475" i="7"/>
  <c r="AA488" i="7"/>
  <c r="AA447" i="7"/>
  <c r="AA274" i="7"/>
  <c r="AA842" i="7"/>
  <c r="AA300" i="7"/>
  <c r="AA463" i="7"/>
  <c r="AA63" i="7"/>
  <c r="AA378" i="7"/>
  <c r="AA810" i="7"/>
  <c r="AA408" i="7"/>
  <c r="AA520" i="7"/>
  <c r="AA305" i="7"/>
  <c r="AA116" i="7"/>
  <c r="AA170" i="7"/>
  <c r="AA589" i="7"/>
  <c r="AA535" i="7"/>
  <c r="AA62" i="7"/>
  <c r="AA612" i="7"/>
  <c r="AA486" i="7"/>
  <c r="AA99" i="7"/>
  <c r="AA720" i="7"/>
  <c r="AA651" i="7"/>
  <c r="AA314" i="7"/>
  <c r="AA783" i="7"/>
  <c r="AA689" i="7"/>
  <c r="AA674" i="7"/>
  <c r="AA266" i="7"/>
  <c r="AA395" i="7"/>
  <c r="AA626" i="7"/>
  <c r="AA684" i="7"/>
  <c r="AA617" i="7"/>
  <c r="AA738" i="7"/>
  <c r="AA786" i="7"/>
  <c r="AA861" i="7"/>
  <c r="AA171" i="7"/>
  <c r="AA153" i="7"/>
  <c r="AA394" i="7"/>
  <c r="AA556" i="7"/>
  <c r="AA766" i="7"/>
  <c r="AA624" i="7"/>
  <c r="AA683" i="7"/>
  <c r="AA281" i="7"/>
  <c r="AA793" i="7"/>
  <c r="AA543" i="7"/>
  <c r="AA608" i="7"/>
  <c r="AA218" i="7"/>
  <c r="AA697" i="7"/>
  <c r="AA238" i="7"/>
  <c r="AA321" i="7"/>
  <c r="AA36" i="7"/>
  <c r="AA299" i="7"/>
  <c r="AA489" i="7"/>
  <c r="AA821" i="7"/>
  <c r="AA96" i="7"/>
  <c r="AA620" i="7"/>
  <c r="AA811" i="7"/>
  <c r="AA530" i="7"/>
  <c r="AA590" i="7"/>
  <c r="AA815" i="7"/>
  <c r="AA177" i="7"/>
  <c r="AA421" i="7"/>
  <c r="AA481" i="7"/>
  <c r="AA412" i="7"/>
  <c r="AA467" i="7"/>
  <c r="AA94" i="7"/>
  <c r="AA163" i="7"/>
  <c r="AA700" i="7"/>
  <c r="AA591" i="7"/>
  <c r="AA16" i="7"/>
  <c r="AA232" i="7"/>
  <c r="AA492" i="7"/>
  <c r="AA119" i="7"/>
  <c r="AA368" i="7"/>
  <c r="AA691" i="7"/>
  <c r="AA788" i="7"/>
  <c r="AA804" i="7"/>
  <c r="AA211" i="7"/>
  <c r="AA373" i="7"/>
  <c r="AA860" i="7"/>
  <c r="AA745" i="7"/>
  <c r="AA33" i="7"/>
  <c r="AA850" i="7"/>
  <c r="AA270" i="7"/>
  <c r="AD231" i="7"/>
  <c r="AD557" i="7"/>
  <c r="AD214" i="7"/>
  <c r="AD776" i="7"/>
  <c r="AD248" i="7"/>
  <c r="AD301" i="7"/>
  <c r="AD145" i="7"/>
  <c r="AD234" i="7"/>
  <c r="AD358" i="7"/>
  <c r="AD348" i="7"/>
  <c r="AD638" i="7"/>
  <c r="AD392" i="7"/>
  <c r="AD498" i="7"/>
  <c r="AD31" i="7"/>
  <c r="AD360" i="7"/>
  <c r="AD655" i="7"/>
  <c r="AD276" i="7"/>
  <c r="AD91" i="7"/>
  <c r="AD235" i="7"/>
  <c r="AD347" i="7"/>
  <c r="AD659" i="7"/>
  <c r="AD537" i="7"/>
  <c r="AD732" i="7"/>
  <c r="AD751" i="7"/>
  <c r="AD23" i="7"/>
  <c r="AD336" i="7"/>
  <c r="AD455" i="7"/>
  <c r="AD247" i="7"/>
  <c r="AD339" i="7"/>
  <c r="AD396" i="7"/>
  <c r="AD246" i="7"/>
  <c r="AD797" i="7"/>
  <c r="AD538" i="7"/>
  <c r="AD355" i="7"/>
  <c r="AD420" i="7"/>
  <c r="AD315" i="7"/>
  <c r="AD792" i="7"/>
  <c r="AD709" i="7"/>
  <c r="AD456" i="7"/>
  <c r="AD175" i="7"/>
  <c r="AD450" i="7"/>
  <c r="AD566" i="7"/>
  <c r="AD840" i="7"/>
  <c r="AD636" i="7"/>
  <c r="AD253" i="7"/>
  <c r="AD251" i="7"/>
  <c r="AD483" i="7"/>
  <c r="AD476" i="7"/>
  <c r="AD260" i="7"/>
  <c r="AD413" i="7"/>
  <c r="AD199" i="7"/>
  <c r="AD324" i="7"/>
  <c r="AD866" i="7"/>
  <c r="AD93" i="7"/>
  <c r="AD859" i="7"/>
  <c r="AD406" i="7"/>
  <c r="AD185" i="7"/>
  <c r="AD650" i="7"/>
  <c r="AD104" i="7"/>
  <c r="AD206" i="7"/>
  <c r="AD271" i="7"/>
  <c r="AD662" i="7"/>
  <c r="AD750" i="7"/>
  <c r="AD112" i="7"/>
  <c r="AD781" i="7"/>
  <c r="AD215" i="7"/>
  <c r="AD818" i="7"/>
  <c r="AD352" i="7"/>
  <c r="AD126" i="7"/>
  <c r="AD71" i="7"/>
  <c r="AD123" i="7"/>
  <c r="AD176" i="7"/>
  <c r="AD862" i="7"/>
  <c r="AD534" i="7"/>
  <c r="AD480" i="7"/>
  <c r="AD69" i="7"/>
  <c r="AD675" i="7"/>
  <c r="AD78" i="7"/>
  <c r="AD468" i="7"/>
  <c r="AD326" i="7"/>
  <c r="AD803" i="7"/>
  <c r="AD431" i="7"/>
  <c r="AD59" i="7"/>
  <c r="AD594" i="7"/>
  <c r="AD239" i="7"/>
  <c r="AD265" i="7"/>
  <c r="AD39" i="7"/>
  <c r="AD711" i="7"/>
  <c r="AD227" i="7"/>
  <c r="AD41" i="7"/>
  <c r="AD646" i="7"/>
  <c r="AD562" i="7"/>
  <c r="AD639" i="7"/>
  <c r="AD288" i="7"/>
  <c r="AD517" i="7"/>
  <c r="AD307" i="7"/>
  <c r="AD460" i="7"/>
  <c r="AD841" i="7"/>
  <c r="AD257" i="7"/>
  <c r="AD204" i="7"/>
  <c r="AD641" i="7"/>
  <c r="AD603" i="7"/>
  <c r="AD50" i="7"/>
  <c r="AD269" i="7"/>
  <c r="AD728" i="7"/>
  <c r="AD849" i="7"/>
  <c r="AD769" i="7"/>
  <c r="AD317" i="7"/>
  <c r="AD692" i="7"/>
  <c r="AD475" i="7"/>
  <c r="AD488" i="7"/>
  <c r="AD447" i="7"/>
  <c r="AD274" i="7"/>
  <c r="AD842" i="7"/>
  <c r="AD300" i="7"/>
  <c r="AD463" i="7"/>
  <c r="AD63" i="7"/>
  <c r="AD378" i="7"/>
  <c r="AD810" i="7"/>
  <c r="AD408" i="7"/>
  <c r="AD520" i="7"/>
  <c r="AD305" i="7"/>
  <c r="AD116" i="7"/>
  <c r="AD170" i="7"/>
  <c r="AD589" i="7"/>
  <c r="AD535" i="7"/>
  <c r="AD62" i="7"/>
  <c r="AD612" i="7"/>
  <c r="AD486" i="7"/>
  <c r="AD99" i="7"/>
  <c r="AD720" i="7"/>
  <c r="AD651" i="7"/>
  <c r="AD314" i="7"/>
  <c r="AD783" i="7"/>
  <c r="AD689" i="7"/>
  <c r="AD674" i="7"/>
  <c r="AD266" i="7"/>
  <c r="AD395" i="7"/>
  <c r="AD626" i="7"/>
  <c r="AD684" i="7"/>
  <c r="AD617" i="7"/>
  <c r="AD738" i="7"/>
  <c r="AD786" i="7"/>
  <c r="AD861" i="7"/>
  <c r="AD171" i="7"/>
  <c r="AD153" i="7"/>
  <c r="AD394" i="7"/>
  <c r="AD556" i="7"/>
  <c r="AD766" i="7"/>
  <c r="AD624" i="7"/>
  <c r="AD683" i="7"/>
  <c r="AD281" i="7"/>
  <c r="AD793" i="7"/>
  <c r="AD543" i="7"/>
  <c r="AD608" i="7"/>
  <c r="AD218" i="7"/>
  <c r="AD697" i="7"/>
  <c r="AD238" i="7"/>
  <c r="AD321" i="7"/>
  <c r="AD36" i="7"/>
  <c r="AD299" i="7"/>
  <c r="AD489" i="7"/>
  <c r="AD821" i="7"/>
  <c r="AD96" i="7"/>
  <c r="AD620" i="7"/>
  <c r="AD811" i="7"/>
  <c r="AD530" i="7"/>
  <c r="AD590" i="7"/>
  <c r="AD815" i="7"/>
  <c r="AD177" i="7"/>
  <c r="AD421" i="7"/>
  <c r="AD481" i="7"/>
  <c r="AD412" i="7"/>
  <c r="AD467" i="7"/>
  <c r="AD94" i="7"/>
  <c r="AD163" i="7"/>
  <c r="AD700" i="7"/>
  <c r="AD591" i="7"/>
  <c r="AD16" i="7"/>
  <c r="AD232" i="7"/>
  <c r="AD492" i="7"/>
  <c r="AD119" i="7"/>
  <c r="AD368" i="7"/>
  <c r="AD691" i="7"/>
  <c r="AD788" i="7"/>
  <c r="AD804" i="7"/>
  <c r="AD211" i="7"/>
  <c r="AD373" i="7"/>
  <c r="AD860" i="7"/>
  <c r="AD745" i="7"/>
  <c r="AD33" i="7"/>
  <c r="AD850" i="7"/>
  <c r="AD270" i="7"/>
  <c r="AG231" i="7"/>
  <c r="AG557" i="7"/>
  <c r="AG214" i="7"/>
  <c r="AG776" i="7"/>
  <c r="AG248" i="7"/>
  <c r="AG301" i="7"/>
  <c r="AG145" i="7"/>
  <c r="AG234" i="7"/>
  <c r="AG358" i="7"/>
  <c r="AG348" i="7"/>
  <c r="AG638" i="7"/>
  <c r="AG392" i="7"/>
  <c r="AG498" i="7"/>
  <c r="AG31" i="7"/>
  <c r="AG360" i="7"/>
  <c r="AG655" i="7"/>
  <c r="AG276" i="7"/>
  <c r="AG91" i="7"/>
  <c r="AG235" i="7"/>
  <c r="AG347" i="7"/>
  <c r="AG659" i="7"/>
  <c r="AG537" i="7"/>
  <c r="AG732" i="7"/>
  <c r="AG751" i="7"/>
  <c r="AG23" i="7"/>
  <c r="AG336" i="7"/>
  <c r="AG455" i="7"/>
  <c r="AG247" i="7"/>
  <c r="AG339" i="7"/>
  <c r="AG396" i="7"/>
  <c r="AG246" i="7"/>
  <c r="AG797" i="7"/>
  <c r="AG538" i="7"/>
  <c r="AG355" i="7"/>
  <c r="AG420" i="7"/>
  <c r="AG315" i="7"/>
  <c r="AG792" i="7"/>
  <c r="AG709" i="7"/>
  <c r="AG456" i="7"/>
  <c r="AG175" i="7"/>
  <c r="AG450" i="7"/>
  <c r="AG566" i="7"/>
  <c r="AG840" i="7"/>
  <c r="AG636" i="7"/>
  <c r="AG253" i="7"/>
  <c r="AG251" i="7"/>
  <c r="AG483" i="7"/>
  <c r="AG476" i="7"/>
  <c r="AG260" i="7"/>
  <c r="AG413" i="7"/>
  <c r="AG199" i="7"/>
  <c r="AG324" i="7"/>
  <c r="AG866" i="7"/>
  <c r="AG93" i="7"/>
  <c r="AG859" i="7"/>
  <c r="AG406" i="7"/>
  <c r="AG185" i="7"/>
  <c r="AG650" i="7"/>
  <c r="AG104" i="7"/>
  <c r="AG206" i="7"/>
  <c r="AG271" i="7"/>
  <c r="AG662" i="7"/>
  <c r="AG750" i="7"/>
  <c r="AG112" i="7"/>
  <c r="AG781" i="7"/>
  <c r="AG215" i="7"/>
  <c r="AG818" i="7"/>
  <c r="AG352" i="7"/>
  <c r="AG126" i="7"/>
  <c r="AG71" i="7"/>
  <c r="AG123" i="7"/>
  <c r="AG176" i="7"/>
  <c r="AG862" i="7"/>
  <c r="AG534" i="7"/>
  <c r="AG480" i="7"/>
  <c r="AG69" i="7"/>
  <c r="AG675" i="7"/>
  <c r="AG78" i="7"/>
  <c r="AG468" i="7"/>
  <c r="AG326" i="7"/>
  <c r="AG803" i="7"/>
  <c r="AG431" i="7"/>
  <c r="AG59" i="7"/>
  <c r="AG594" i="7"/>
  <c r="AG239" i="7"/>
  <c r="AG265" i="7"/>
  <c r="AG39" i="7"/>
  <c r="AG711" i="7"/>
  <c r="AG227" i="7"/>
  <c r="AG41" i="7"/>
  <c r="AG646" i="7"/>
  <c r="AG562" i="7"/>
  <c r="AG639" i="7"/>
  <c r="AG288" i="7"/>
  <c r="AG517" i="7"/>
  <c r="AG307" i="7"/>
  <c r="AG460" i="7"/>
  <c r="AG841" i="7"/>
  <c r="AG257" i="7"/>
  <c r="AG204" i="7"/>
  <c r="AG641" i="7"/>
  <c r="AG603" i="7"/>
  <c r="AG50" i="7"/>
  <c r="AG269" i="7"/>
  <c r="AG728" i="7"/>
  <c r="AG849" i="7"/>
  <c r="AG769" i="7"/>
  <c r="AG317" i="7"/>
  <c r="AG692" i="7"/>
  <c r="AG475" i="7"/>
  <c r="AG488" i="7"/>
  <c r="AG447" i="7"/>
  <c r="AG274" i="7"/>
  <c r="AG842" i="7"/>
  <c r="AG300" i="7"/>
  <c r="AG463" i="7"/>
  <c r="AG63" i="7"/>
  <c r="AG378" i="7"/>
  <c r="AG810" i="7"/>
  <c r="AG408" i="7"/>
  <c r="AG520" i="7"/>
  <c r="AG305" i="7"/>
  <c r="AG116" i="7"/>
  <c r="AG170" i="7"/>
  <c r="AG589" i="7"/>
  <c r="AG535" i="7"/>
  <c r="AG62" i="7"/>
  <c r="AG612" i="7"/>
  <c r="AG486" i="7"/>
  <c r="AG99" i="7"/>
  <c r="AG720" i="7"/>
  <c r="AG651" i="7"/>
  <c r="AG314" i="7"/>
  <c r="AG783" i="7"/>
  <c r="AG689" i="7"/>
  <c r="AG674" i="7"/>
  <c r="AG266" i="7"/>
  <c r="AG395" i="7"/>
  <c r="AG626" i="7"/>
  <c r="AG684" i="7"/>
  <c r="AG617" i="7"/>
  <c r="AG738" i="7"/>
  <c r="AG786" i="7"/>
  <c r="AG861" i="7"/>
  <c r="AG171" i="7"/>
  <c r="AG153" i="7"/>
  <c r="AG394" i="7"/>
  <c r="AG556" i="7"/>
  <c r="AG766" i="7"/>
  <c r="AG624" i="7"/>
  <c r="AG683" i="7"/>
  <c r="AG281" i="7"/>
  <c r="AG793" i="7"/>
  <c r="AG543" i="7"/>
  <c r="AG608" i="7"/>
  <c r="AG218" i="7"/>
  <c r="AG697" i="7"/>
  <c r="AG238" i="7"/>
  <c r="AG321" i="7"/>
  <c r="AG36" i="7"/>
  <c r="AG299" i="7"/>
  <c r="AG489" i="7"/>
  <c r="AG821" i="7"/>
  <c r="AG96" i="7"/>
  <c r="AG620" i="7"/>
  <c r="AG811" i="7"/>
  <c r="AG530" i="7"/>
  <c r="AG590" i="7"/>
  <c r="AG815" i="7"/>
  <c r="AG177" i="7"/>
  <c r="AG421" i="7"/>
  <c r="AG481" i="7"/>
  <c r="AG412" i="7"/>
  <c r="AG467" i="7"/>
  <c r="AG94" i="7"/>
  <c r="AG163" i="7"/>
  <c r="AG700" i="7"/>
  <c r="AG591" i="7"/>
  <c r="AG16" i="7"/>
  <c r="AG232" i="7"/>
  <c r="AG492" i="7"/>
  <c r="AG119" i="7"/>
  <c r="AG368" i="7"/>
  <c r="AG691" i="7"/>
  <c r="AG788" i="7"/>
  <c r="AG804" i="7"/>
  <c r="AG211" i="7"/>
  <c r="AG373" i="7"/>
  <c r="AG860" i="7"/>
  <c r="AG745" i="7"/>
  <c r="AG33" i="7"/>
  <c r="AG850" i="7"/>
  <c r="AG270" i="7"/>
  <c r="AJ231" i="7"/>
  <c r="AJ557" i="7"/>
  <c r="AJ214" i="7"/>
  <c r="AJ776" i="7"/>
  <c r="AJ248" i="7"/>
  <c r="AJ301" i="7"/>
  <c r="AJ145" i="7"/>
  <c r="AJ234" i="7"/>
  <c r="AJ358" i="7"/>
  <c r="AJ348" i="7"/>
  <c r="AJ638" i="7"/>
  <c r="AJ392" i="7"/>
  <c r="AJ498" i="7"/>
  <c r="AJ31" i="7"/>
  <c r="AJ360" i="7"/>
  <c r="AJ655" i="7"/>
  <c r="AJ276" i="7"/>
  <c r="AJ91" i="7"/>
  <c r="AJ235" i="7"/>
  <c r="AJ347" i="7"/>
  <c r="AJ659" i="7"/>
  <c r="AJ537" i="7"/>
  <c r="AJ732" i="7"/>
  <c r="AJ751" i="7"/>
  <c r="AJ23" i="7"/>
  <c r="AJ336" i="7"/>
  <c r="AJ455" i="7"/>
  <c r="AJ247" i="7"/>
  <c r="AJ339" i="7"/>
  <c r="AJ396" i="7"/>
  <c r="AJ246" i="7"/>
  <c r="AJ797" i="7"/>
  <c r="AJ538" i="7"/>
  <c r="AJ355" i="7"/>
  <c r="AJ420" i="7"/>
  <c r="AJ315" i="7"/>
  <c r="AJ792" i="7"/>
  <c r="AJ709" i="7"/>
  <c r="AJ456" i="7"/>
  <c r="AJ175" i="7"/>
  <c r="AJ450" i="7"/>
  <c r="AJ566" i="7"/>
  <c r="AJ840" i="7"/>
  <c r="AJ636" i="7"/>
  <c r="AJ253" i="7"/>
  <c r="AJ251" i="7"/>
  <c r="AJ483" i="7"/>
  <c r="AJ476" i="7"/>
  <c r="AJ260" i="7"/>
  <c r="AJ413" i="7"/>
  <c r="AJ199" i="7"/>
  <c r="AJ324" i="7"/>
  <c r="AJ866" i="7"/>
  <c r="AJ93" i="7"/>
  <c r="AJ859" i="7"/>
  <c r="AJ406" i="7"/>
  <c r="AJ185" i="7"/>
  <c r="AJ650" i="7"/>
  <c r="AJ104" i="7"/>
  <c r="AJ206" i="7"/>
  <c r="AJ271" i="7"/>
  <c r="AJ662" i="7"/>
  <c r="AJ750" i="7"/>
  <c r="AJ112" i="7"/>
  <c r="AJ781" i="7"/>
  <c r="AJ215" i="7"/>
  <c r="AJ818" i="7"/>
  <c r="AJ352" i="7"/>
  <c r="AJ126" i="7"/>
  <c r="AJ71" i="7"/>
  <c r="AJ123" i="7"/>
  <c r="AJ176" i="7"/>
  <c r="AJ862" i="7"/>
  <c r="AJ534" i="7"/>
  <c r="AJ480" i="7"/>
  <c r="AJ69" i="7"/>
  <c r="AJ675" i="7"/>
  <c r="AJ78" i="7"/>
  <c r="AJ468" i="7"/>
  <c r="AJ326" i="7"/>
  <c r="AJ803" i="7"/>
  <c r="AJ431" i="7"/>
  <c r="AJ59" i="7"/>
  <c r="AJ594" i="7"/>
  <c r="AJ239" i="7"/>
  <c r="AJ265" i="7"/>
  <c r="AJ39" i="7"/>
  <c r="AJ711" i="7"/>
  <c r="AJ227" i="7"/>
  <c r="AJ41" i="7"/>
  <c r="AJ646" i="7"/>
  <c r="AJ562" i="7"/>
  <c r="AJ639" i="7"/>
  <c r="AJ288" i="7"/>
  <c r="AJ517" i="7"/>
  <c r="AJ307" i="7"/>
  <c r="AJ460" i="7"/>
  <c r="AJ841" i="7"/>
  <c r="AJ257" i="7"/>
  <c r="AJ204" i="7"/>
  <c r="AJ641" i="7"/>
  <c r="AJ603" i="7"/>
  <c r="AJ50" i="7"/>
  <c r="AJ269" i="7"/>
  <c r="AJ728" i="7"/>
  <c r="AJ849" i="7"/>
  <c r="AJ769" i="7"/>
  <c r="AJ317" i="7"/>
  <c r="AJ692" i="7"/>
  <c r="AJ475" i="7"/>
  <c r="AJ488" i="7"/>
  <c r="AJ447" i="7"/>
  <c r="AJ274" i="7"/>
  <c r="AJ842" i="7"/>
  <c r="AJ300" i="7"/>
  <c r="AJ463" i="7"/>
  <c r="AJ63" i="7"/>
  <c r="AJ378" i="7"/>
  <c r="AJ810" i="7"/>
  <c r="AJ408" i="7"/>
  <c r="AJ520" i="7"/>
  <c r="AJ305" i="7"/>
  <c r="AJ116" i="7"/>
  <c r="AJ170" i="7"/>
  <c r="AJ589" i="7"/>
  <c r="AJ535" i="7"/>
  <c r="AJ62" i="7"/>
  <c r="AJ612" i="7"/>
  <c r="AJ486" i="7"/>
  <c r="AJ99" i="7"/>
  <c r="AJ720" i="7"/>
  <c r="AJ651" i="7"/>
  <c r="AJ314" i="7"/>
  <c r="AJ783" i="7"/>
  <c r="AJ689" i="7"/>
  <c r="AJ674" i="7"/>
  <c r="AJ266" i="7"/>
  <c r="AJ395" i="7"/>
  <c r="AJ626" i="7"/>
  <c r="AJ684" i="7"/>
  <c r="AJ617" i="7"/>
  <c r="AJ738" i="7"/>
  <c r="AJ786" i="7"/>
  <c r="AJ861" i="7"/>
  <c r="AJ171" i="7"/>
  <c r="AJ153" i="7"/>
  <c r="AJ394" i="7"/>
  <c r="AJ556" i="7"/>
  <c r="AJ766" i="7"/>
  <c r="AJ624" i="7"/>
  <c r="AJ683" i="7"/>
  <c r="AJ281" i="7"/>
  <c r="AJ793" i="7"/>
  <c r="AJ543" i="7"/>
  <c r="AJ608" i="7"/>
  <c r="AJ218" i="7"/>
  <c r="AJ697" i="7"/>
  <c r="AJ238" i="7"/>
  <c r="AJ321" i="7"/>
  <c r="AJ36" i="7"/>
  <c r="AJ299" i="7"/>
  <c r="AJ489" i="7"/>
  <c r="AJ821" i="7"/>
  <c r="AJ96" i="7"/>
  <c r="AJ620" i="7"/>
  <c r="AJ811" i="7"/>
  <c r="AJ530" i="7"/>
  <c r="AJ590" i="7"/>
  <c r="AJ815" i="7"/>
  <c r="AJ177" i="7"/>
  <c r="AJ421" i="7"/>
  <c r="AJ481" i="7"/>
  <c r="AJ412" i="7"/>
  <c r="AJ467" i="7"/>
  <c r="AJ94" i="7"/>
  <c r="AJ163" i="7"/>
  <c r="AJ700" i="7"/>
  <c r="AJ591" i="7"/>
  <c r="AJ16" i="7"/>
  <c r="AJ232" i="7"/>
  <c r="AJ492" i="7"/>
  <c r="AJ119" i="7"/>
  <c r="AJ368" i="7"/>
  <c r="AJ691" i="7"/>
  <c r="AJ788" i="7"/>
  <c r="AJ804" i="7"/>
  <c r="AJ211" i="7"/>
  <c r="AJ373" i="7"/>
  <c r="AJ860" i="7"/>
  <c r="AJ745" i="7"/>
  <c r="AJ33" i="7"/>
  <c r="AJ850" i="7"/>
  <c r="AJ270" i="7"/>
  <c r="AK231" i="7"/>
  <c r="AK557" i="7"/>
  <c r="AK214" i="7"/>
  <c r="AK776" i="7"/>
  <c r="AK248" i="7"/>
  <c r="AK301" i="7"/>
  <c r="AK145" i="7"/>
  <c r="AK234" i="7"/>
  <c r="AK358" i="7"/>
  <c r="AK348" i="7"/>
  <c r="AK638" i="7"/>
  <c r="AK392" i="7"/>
  <c r="AK498" i="7"/>
  <c r="AK31" i="7"/>
  <c r="AK360" i="7"/>
  <c r="AK655" i="7"/>
  <c r="AK276" i="7"/>
  <c r="AK91" i="7"/>
  <c r="AK235" i="7"/>
  <c r="AK347" i="7"/>
  <c r="AK659" i="7"/>
  <c r="AK537" i="7"/>
  <c r="AK732" i="7"/>
  <c r="AK751" i="7"/>
  <c r="AK23" i="7"/>
  <c r="AK336" i="7"/>
  <c r="AK455" i="7"/>
  <c r="AK247" i="7"/>
  <c r="AK339" i="7"/>
  <c r="AK396" i="7"/>
  <c r="AK246" i="7"/>
  <c r="AK797" i="7"/>
  <c r="AK538" i="7"/>
  <c r="AK355" i="7"/>
  <c r="AK420" i="7"/>
  <c r="AK315" i="7"/>
  <c r="AK792" i="7"/>
  <c r="AK709" i="7"/>
  <c r="AK456" i="7"/>
  <c r="AK175" i="7"/>
  <c r="AK450" i="7"/>
  <c r="AK566" i="7"/>
  <c r="AK840" i="7"/>
  <c r="AK636" i="7"/>
  <c r="AK253" i="7"/>
  <c r="AK251" i="7"/>
  <c r="AK483" i="7"/>
  <c r="AK476" i="7"/>
  <c r="AK260" i="7"/>
  <c r="AK413" i="7"/>
  <c r="AK199" i="7"/>
  <c r="AK324" i="7"/>
  <c r="AK866" i="7"/>
  <c r="AK93" i="7"/>
  <c r="AK859" i="7"/>
  <c r="AK406" i="7"/>
  <c r="AK185" i="7"/>
  <c r="AK650" i="7"/>
  <c r="AK104" i="7"/>
  <c r="AK206" i="7"/>
  <c r="AK271" i="7"/>
  <c r="AK662" i="7"/>
  <c r="AK750" i="7"/>
  <c r="AK112" i="7"/>
  <c r="AK781" i="7"/>
  <c r="AK215" i="7"/>
  <c r="AK818" i="7"/>
  <c r="AK352" i="7"/>
  <c r="AK126" i="7"/>
  <c r="AK71" i="7"/>
  <c r="AK123" i="7"/>
  <c r="AK176" i="7"/>
  <c r="AK862" i="7"/>
  <c r="AK534" i="7"/>
  <c r="AK480" i="7"/>
  <c r="AK69" i="7"/>
  <c r="AK675" i="7"/>
  <c r="AK78" i="7"/>
  <c r="AK468" i="7"/>
  <c r="AK326" i="7"/>
  <c r="AK803" i="7"/>
  <c r="AK431" i="7"/>
  <c r="AK59" i="7"/>
  <c r="AK594" i="7"/>
  <c r="AK239" i="7"/>
  <c r="AK265" i="7"/>
  <c r="AK39" i="7"/>
  <c r="AK711" i="7"/>
  <c r="AK227" i="7"/>
  <c r="AK41" i="7"/>
  <c r="AK646" i="7"/>
  <c r="AK562" i="7"/>
  <c r="AK639" i="7"/>
  <c r="AK288" i="7"/>
  <c r="AK517" i="7"/>
  <c r="AK307" i="7"/>
  <c r="AK460" i="7"/>
  <c r="AK841" i="7"/>
  <c r="AK257" i="7"/>
  <c r="AK204" i="7"/>
  <c r="AK641" i="7"/>
  <c r="AK603" i="7"/>
  <c r="AK50" i="7"/>
  <c r="AK269" i="7"/>
  <c r="AK728" i="7"/>
  <c r="AK849" i="7"/>
  <c r="AK769" i="7"/>
  <c r="AK317" i="7"/>
  <c r="AK692" i="7"/>
  <c r="AK475" i="7"/>
  <c r="AK488" i="7"/>
  <c r="AK447" i="7"/>
  <c r="AK274" i="7"/>
  <c r="AK842" i="7"/>
  <c r="AK300" i="7"/>
  <c r="AK463" i="7"/>
  <c r="AK63" i="7"/>
  <c r="AK378" i="7"/>
  <c r="AK810" i="7"/>
  <c r="AK408" i="7"/>
  <c r="AK520" i="7"/>
  <c r="AK305" i="7"/>
  <c r="AK116" i="7"/>
  <c r="AK170" i="7"/>
  <c r="AK589" i="7"/>
  <c r="AK535" i="7"/>
  <c r="AK62" i="7"/>
  <c r="AK612" i="7"/>
  <c r="AK486" i="7"/>
  <c r="AK99" i="7"/>
  <c r="AK720" i="7"/>
  <c r="AK651" i="7"/>
  <c r="AK314" i="7"/>
  <c r="AK783" i="7"/>
  <c r="AK689" i="7"/>
  <c r="AK674" i="7"/>
  <c r="AK266" i="7"/>
  <c r="AK395" i="7"/>
  <c r="AK626" i="7"/>
  <c r="AK684" i="7"/>
  <c r="AK617" i="7"/>
  <c r="AK738" i="7"/>
  <c r="AK786" i="7"/>
  <c r="AK861" i="7"/>
  <c r="AK171" i="7"/>
  <c r="AK153" i="7"/>
  <c r="AK394" i="7"/>
  <c r="AK556" i="7"/>
  <c r="AK766" i="7"/>
  <c r="AK624" i="7"/>
  <c r="AK683" i="7"/>
  <c r="AK281" i="7"/>
  <c r="AK793" i="7"/>
  <c r="AK543" i="7"/>
  <c r="AK608" i="7"/>
  <c r="AK218" i="7"/>
  <c r="AK697" i="7"/>
  <c r="AK238" i="7"/>
  <c r="AK321" i="7"/>
  <c r="AK36" i="7"/>
  <c r="AK299" i="7"/>
  <c r="AK489" i="7"/>
  <c r="AK821" i="7"/>
  <c r="AK96" i="7"/>
  <c r="AK620" i="7"/>
  <c r="AK811" i="7"/>
  <c r="AK530" i="7"/>
  <c r="AK590" i="7"/>
  <c r="AK815" i="7"/>
  <c r="AK177" i="7"/>
  <c r="AK421" i="7"/>
  <c r="AK481" i="7"/>
  <c r="AK412" i="7"/>
  <c r="AK467" i="7"/>
  <c r="AK94" i="7"/>
  <c r="AK163" i="7"/>
  <c r="AK700" i="7"/>
  <c r="AK591" i="7"/>
  <c r="AK16" i="7"/>
  <c r="AK232" i="7"/>
  <c r="AK492" i="7"/>
  <c r="AK119" i="7"/>
  <c r="AK368" i="7"/>
  <c r="AK691" i="7"/>
  <c r="AK788" i="7"/>
  <c r="AK804" i="7"/>
  <c r="AK211" i="7"/>
  <c r="AK373" i="7"/>
  <c r="AK860" i="7"/>
  <c r="AK745" i="7"/>
  <c r="AK33" i="7"/>
  <c r="AK850" i="7"/>
  <c r="AK270" i="7"/>
  <c r="AN231" i="7"/>
  <c r="AN557" i="7"/>
  <c r="AN214" i="7"/>
  <c r="AN776" i="7"/>
  <c r="AN248" i="7"/>
  <c r="AN301" i="7"/>
  <c r="AN145" i="7"/>
  <c r="AN234" i="7"/>
  <c r="AN358" i="7"/>
  <c r="AN348" i="7"/>
  <c r="AN638" i="7"/>
  <c r="AN392" i="7"/>
  <c r="AN498" i="7"/>
  <c r="AN31" i="7"/>
  <c r="AN360" i="7"/>
  <c r="AN655" i="7"/>
  <c r="AN276" i="7"/>
  <c r="AN91" i="7"/>
  <c r="AN235" i="7"/>
  <c r="AN347" i="7"/>
  <c r="AN659" i="7"/>
  <c r="AN537" i="7"/>
  <c r="AN732" i="7"/>
  <c r="AN751" i="7"/>
  <c r="AN23" i="7"/>
  <c r="AN336" i="7"/>
  <c r="AN455" i="7"/>
  <c r="AN247" i="7"/>
  <c r="AN339" i="7"/>
  <c r="AN396" i="7"/>
  <c r="AN246" i="7"/>
  <c r="AN797" i="7"/>
  <c r="AN538" i="7"/>
  <c r="AN355" i="7"/>
  <c r="AN420" i="7"/>
  <c r="AN315" i="7"/>
  <c r="AN792" i="7"/>
  <c r="AN709" i="7"/>
  <c r="AN456" i="7"/>
  <c r="AN175" i="7"/>
  <c r="AN450" i="7"/>
  <c r="AN566" i="7"/>
  <c r="AN840" i="7"/>
  <c r="AN636" i="7"/>
  <c r="AN253" i="7"/>
  <c r="AN251" i="7"/>
  <c r="AN483" i="7"/>
  <c r="AN476" i="7"/>
  <c r="AN260" i="7"/>
  <c r="AN413" i="7"/>
  <c r="AN199" i="7"/>
  <c r="AN324" i="7"/>
  <c r="AN866" i="7"/>
  <c r="AN93" i="7"/>
  <c r="AN859" i="7"/>
  <c r="AN406" i="7"/>
  <c r="AN185" i="7"/>
  <c r="AN650" i="7"/>
  <c r="AN104" i="7"/>
  <c r="AN206" i="7"/>
  <c r="AN271" i="7"/>
  <c r="AN662" i="7"/>
  <c r="AN750" i="7"/>
  <c r="AN112" i="7"/>
  <c r="AN781" i="7"/>
  <c r="AN215" i="7"/>
  <c r="AN818" i="7"/>
  <c r="AN352" i="7"/>
  <c r="AN126" i="7"/>
  <c r="AN71" i="7"/>
  <c r="AN123" i="7"/>
  <c r="AN176" i="7"/>
  <c r="AN862" i="7"/>
  <c r="AN534" i="7"/>
  <c r="AN480" i="7"/>
  <c r="AN69" i="7"/>
  <c r="AN675" i="7"/>
  <c r="AN78" i="7"/>
  <c r="AN468" i="7"/>
  <c r="AN326" i="7"/>
  <c r="AN803" i="7"/>
  <c r="AN431" i="7"/>
  <c r="AN59" i="7"/>
  <c r="AN594" i="7"/>
  <c r="AN239" i="7"/>
  <c r="AN265" i="7"/>
  <c r="AN39" i="7"/>
  <c r="AN711" i="7"/>
  <c r="AN227" i="7"/>
  <c r="AN41" i="7"/>
  <c r="AN646" i="7"/>
  <c r="AN562" i="7"/>
  <c r="AN639" i="7"/>
  <c r="AN288" i="7"/>
  <c r="AN517" i="7"/>
  <c r="AN307" i="7"/>
  <c r="AN460" i="7"/>
  <c r="AN841" i="7"/>
  <c r="AN257" i="7"/>
  <c r="AN204" i="7"/>
  <c r="AN641" i="7"/>
  <c r="AN603" i="7"/>
  <c r="AN50" i="7"/>
  <c r="AN269" i="7"/>
  <c r="AN728" i="7"/>
  <c r="AN849" i="7"/>
  <c r="AN769" i="7"/>
  <c r="AN317" i="7"/>
  <c r="AN692" i="7"/>
  <c r="AN475" i="7"/>
  <c r="AN488" i="7"/>
  <c r="AN447" i="7"/>
  <c r="AN274" i="7"/>
  <c r="AN842" i="7"/>
  <c r="AN300" i="7"/>
  <c r="AN463" i="7"/>
  <c r="AN63" i="7"/>
  <c r="AN378" i="7"/>
  <c r="AN810" i="7"/>
  <c r="AN408" i="7"/>
  <c r="AN520" i="7"/>
  <c r="AN305" i="7"/>
  <c r="AN116" i="7"/>
  <c r="AN170" i="7"/>
  <c r="AN589" i="7"/>
  <c r="AN535" i="7"/>
  <c r="AN62" i="7"/>
  <c r="AN612" i="7"/>
  <c r="AN486" i="7"/>
  <c r="AN99" i="7"/>
  <c r="AN720" i="7"/>
  <c r="AN651" i="7"/>
  <c r="AN314" i="7"/>
  <c r="AN783" i="7"/>
  <c r="AN689" i="7"/>
  <c r="AN674" i="7"/>
  <c r="AN266" i="7"/>
  <c r="AN395" i="7"/>
  <c r="AN626" i="7"/>
  <c r="AN684" i="7"/>
  <c r="AN617" i="7"/>
  <c r="AN738" i="7"/>
  <c r="AN786" i="7"/>
  <c r="AN861" i="7"/>
  <c r="AN171" i="7"/>
  <c r="AN153" i="7"/>
  <c r="AN394" i="7"/>
  <c r="AN556" i="7"/>
  <c r="AN766" i="7"/>
  <c r="AN624" i="7"/>
  <c r="AN683" i="7"/>
  <c r="AN281" i="7"/>
  <c r="AN793" i="7"/>
  <c r="AN543" i="7"/>
  <c r="AN608" i="7"/>
  <c r="AN218" i="7"/>
  <c r="AN697" i="7"/>
  <c r="AN238" i="7"/>
  <c r="AN321" i="7"/>
  <c r="AN36" i="7"/>
  <c r="AN299" i="7"/>
  <c r="AN489" i="7"/>
  <c r="AN821" i="7"/>
  <c r="AN96" i="7"/>
  <c r="AN620" i="7"/>
  <c r="AN811" i="7"/>
  <c r="AN530" i="7"/>
  <c r="AN590" i="7"/>
  <c r="AN815" i="7"/>
  <c r="AN177" i="7"/>
  <c r="AN421" i="7"/>
  <c r="AN481" i="7"/>
  <c r="AN412" i="7"/>
  <c r="AN467" i="7"/>
  <c r="AN94" i="7"/>
  <c r="AN163" i="7"/>
  <c r="AN700" i="7"/>
  <c r="AN591" i="7"/>
  <c r="AN16" i="7"/>
  <c r="AN232" i="7"/>
  <c r="AN492" i="7"/>
  <c r="AN119" i="7"/>
  <c r="AN368" i="7"/>
  <c r="AN691" i="7"/>
  <c r="AN788" i="7"/>
  <c r="AN804" i="7"/>
  <c r="AN211" i="7"/>
  <c r="AN373" i="7"/>
  <c r="AN860" i="7"/>
  <c r="AN745" i="7"/>
  <c r="AN33" i="7"/>
  <c r="AN850" i="7"/>
  <c r="AN270" i="7"/>
  <c r="AR231" i="7"/>
  <c r="AR557" i="7"/>
  <c r="AR214" i="7"/>
  <c r="AR776" i="7"/>
  <c r="AR248" i="7"/>
  <c r="AR301" i="7"/>
  <c r="AR145" i="7"/>
  <c r="AR234" i="7"/>
  <c r="AR358" i="7"/>
  <c r="AR348" i="7"/>
  <c r="AR638" i="7"/>
  <c r="AR392" i="7"/>
  <c r="AR498" i="7"/>
  <c r="AR31" i="7"/>
  <c r="AR360" i="7"/>
  <c r="AR655" i="7"/>
  <c r="AR276" i="7"/>
  <c r="AR91" i="7"/>
  <c r="AR235" i="7"/>
  <c r="AR347" i="7"/>
  <c r="AR659" i="7"/>
  <c r="AR537" i="7"/>
  <c r="AR732" i="7"/>
  <c r="AR751" i="7"/>
  <c r="AR23" i="7"/>
  <c r="AR336" i="7"/>
  <c r="AR455" i="7"/>
  <c r="AR247" i="7"/>
  <c r="AR339" i="7"/>
  <c r="AR396" i="7"/>
  <c r="AR246" i="7"/>
  <c r="AR797" i="7"/>
  <c r="AR538" i="7"/>
  <c r="AR355" i="7"/>
  <c r="AR420" i="7"/>
  <c r="AR315" i="7"/>
  <c r="AR792" i="7"/>
  <c r="AR709" i="7"/>
  <c r="AR456" i="7"/>
  <c r="AR175" i="7"/>
  <c r="AR450" i="7"/>
  <c r="AR566" i="7"/>
  <c r="AR840" i="7"/>
  <c r="AR636" i="7"/>
  <c r="AR253" i="7"/>
  <c r="AR251" i="7"/>
  <c r="AR483" i="7"/>
  <c r="AR476" i="7"/>
  <c r="AR260" i="7"/>
  <c r="AR413" i="7"/>
  <c r="AR199" i="7"/>
  <c r="AR324" i="7"/>
  <c r="AR866" i="7"/>
  <c r="AR93" i="7"/>
  <c r="AR859" i="7"/>
  <c r="AR406" i="7"/>
  <c r="AR185" i="7"/>
  <c r="AR650" i="7"/>
  <c r="AR104" i="7"/>
  <c r="AR206" i="7"/>
  <c r="AR271" i="7"/>
  <c r="AR662" i="7"/>
  <c r="AR750" i="7"/>
  <c r="AR112" i="7"/>
  <c r="AR781" i="7"/>
  <c r="AR215" i="7"/>
  <c r="AR818" i="7"/>
  <c r="AR352" i="7"/>
  <c r="AR126" i="7"/>
  <c r="AR71" i="7"/>
  <c r="AR123" i="7"/>
  <c r="AR176" i="7"/>
  <c r="AR862" i="7"/>
  <c r="AR534" i="7"/>
  <c r="AR480" i="7"/>
  <c r="AR69" i="7"/>
  <c r="AR675" i="7"/>
  <c r="AR78" i="7"/>
  <c r="AR468" i="7"/>
  <c r="AR326" i="7"/>
  <c r="AR803" i="7"/>
  <c r="AR431" i="7"/>
  <c r="AR59" i="7"/>
  <c r="AR594" i="7"/>
  <c r="AR239" i="7"/>
  <c r="AR265" i="7"/>
  <c r="AR39" i="7"/>
  <c r="AR711" i="7"/>
  <c r="AR227" i="7"/>
  <c r="AR41" i="7"/>
  <c r="AR646" i="7"/>
  <c r="AR562" i="7"/>
  <c r="AR639" i="7"/>
  <c r="AR288" i="7"/>
  <c r="AR517" i="7"/>
  <c r="AR307" i="7"/>
  <c r="AR460" i="7"/>
  <c r="AR841" i="7"/>
  <c r="AR257" i="7"/>
  <c r="AR204" i="7"/>
  <c r="AR641" i="7"/>
  <c r="AR603" i="7"/>
  <c r="AR50" i="7"/>
  <c r="AR269" i="7"/>
  <c r="AR728" i="7"/>
  <c r="AR849" i="7"/>
  <c r="AR769" i="7"/>
  <c r="AR317" i="7"/>
  <c r="AR692" i="7"/>
  <c r="AR475" i="7"/>
  <c r="AR488" i="7"/>
  <c r="AR447" i="7"/>
  <c r="AR274" i="7"/>
  <c r="AR842" i="7"/>
  <c r="AR300" i="7"/>
  <c r="AR463" i="7"/>
  <c r="AR63" i="7"/>
  <c r="AR378" i="7"/>
  <c r="AR810" i="7"/>
  <c r="AR408" i="7"/>
  <c r="AR520" i="7"/>
  <c r="AR305" i="7"/>
  <c r="AR116" i="7"/>
  <c r="AR170" i="7"/>
  <c r="AR589" i="7"/>
  <c r="AR535" i="7"/>
  <c r="AR62" i="7"/>
  <c r="AR612" i="7"/>
  <c r="AR486" i="7"/>
  <c r="AR99" i="7"/>
  <c r="AR720" i="7"/>
  <c r="AR651" i="7"/>
  <c r="AR314" i="7"/>
  <c r="AR783" i="7"/>
  <c r="AR689" i="7"/>
  <c r="AR674" i="7"/>
  <c r="AR266" i="7"/>
  <c r="AR395" i="7"/>
  <c r="AR626" i="7"/>
  <c r="AR684" i="7"/>
  <c r="AR617" i="7"/>
  <c r="AR738" i="7"/>
  <c r="AR786" i="7"/>
  <c r="AR861" i="7"/>
  <c r="AR171" i="7"/>
  <c r="AR153" i="7"/>
  <c r="AR394" i="7"/>
  <c r="AR556" i="7"/>
  <c r="AR766" i="7"/>
  <c r="AR624" i="7"/>
  <c r="AR683" i="7"/>
  <c r="AR281" i="7"/>
  <c r="AR793" i="7"/>
  <c r="AR543" i="7"/>
  <c r="AR608" i="7"/>
  <c r="AR218" i="7"/>
  <c r="AR697" i="7"/>
  <c r="AR238" i="7"/>
  <c r="AR321" i="7"/>
  <c r="AR36" i="7"/>
  <c r="AR299" i="7"/>
  <c r="AR489" i="7"/>
  <c r="AR821" i="7"/>
  <c r="AR96" i="7"/>
  <c r="AR620" i="7"/>
  <c r="AR811" i="7"/>
  <c r="AR530" i="7"/>
  <c r="AR590" i="7"/>
  <c r="AR815" i="7"/>
  <c r="AR177" i="7"/>
  <c r="AR421" i="7"/>
  <c r="AR481" i="7"/>
  <c r="AR412" i="7"/>
  <c r="AR467" i="7"/>
  <c r="AR94" i="7"/>
  <c r="AR163" i="7"/>
  <c r="AR700" i="7"/>
  <c r="AR591" i="7"/>
  <c r="AR16" i="7"/>
  <c r="AR232" i="7"/>
  <c r="AR492" i="7"/>
  <c r="AR119" i="7"/>
  <c r="AR368" i="7"/>
  <c r="AR691" i="7"/>
  <c r="AR788" i="7"/>
  <c r="AR804" i="7"/>
  <c r="AR211" i="7"/>
  <c r="AR373" i="7"/>
  <c r="AR860" i="7"/>
  <c r="AR745" i="7"/>
  <c r="AR33" i="7"/>
  <c r="AR850" i="7"/>
  <c r="AR270" i="7"/>
  <c r="AU231" i="7"/>
  <c r="AU557" i="7"/>
  <c r="AU214" i="7"/>
  <c r="AU776" i="7"/>
  <c r="AU248" i="7"/>
  <c r="AU301" i="7"/>
  <c r="AU145" i="7"/>
  <c r="AU234" i="7"/>
  <c r="AU358" i="7"/>
  <c r="AU348" i="7"/>
  <c r="AU638" i="7"/>
  <c r="AU392" i="7"/>
  <c r="AU498" i="7"/>
  <c r="AU31" i="7"/>
  <c r="AU360" i="7"/>
  <c r="AU655" i="7"/>
  <c r="AU276" i="7"/>
  <c r="AU91" i="7"/>
  <c r="AU235" i="7"/>
  <c r="AU347" i="7"/>
  <c r="AU659" i="7"/>
  <c r="AU537" i="7"/>
  <c r="AU732" i="7"/>
  <c r="AU751" i="7"/>
  <c r="AU23" i="7"/>
  <c r="AU336" i="7"/>
  <c r="AU455" i="7"/>
  <c r="AU247" i="7"/>
  <c r="AU339" i="7"/>
  <c r="AU396" i="7"/>
  <c r="AU246" i="7"/>
  <c r="AU797" i="7"/>
  <c r="AU538" i="7"/>
  <c r="AU355" i="7"/>
  <c r="AU420" i="7"/>
  <c r="AU315" i="7"/>
  <c r="AU792" i="7"/>
  <c r="AU709" i="7"/>
  <c r="AU456" i="7"/>
  <c r="AU175" i="7"/>
  <c r="AU450" i="7"/>
  <c r="AU566" i="7"/>
  <c r="AU840" i="7"/>
  <c r="AU636" i="7"/>
  <c r="AU253" i="7"/>
  <c r="AU251" i="7"/>
  <c r="AU483" i="7"/>
  <c r="AU476" i="7"/>
  <c r="AU260" i="7"/>
  <c r="AU413" i="7"/>
  <c r="AU199" i="7"/>
  <c r="AU324" i="7"/>
  <c r="AU866" i="7"/>
  <c r="AU93" i="7"/>
  <c r="AU859" i="7"/>
  <c r="AU406" i="7"/>
  <c r="AU185" i="7"/>
  <c r="AU650" i="7"/>
  <c r="AU104" i="7"/>
  <c r="AU206" i="7"/>
  <c r="AU271" i="7"/>
  <c r="AU662" i="7"/>
  <c r="AU750" i="7"/>
  <c r="AU112" i="7"/>
  <c r="AU781" i="7"/>
  <c r="AU215" i="7"/>
  <c r="AU818" i="7"/>
  <c r="AU352" i="7"/>
  <c r="AU126" i="7"/>
  <c r="AU71" i="7"/>
  <c r="AU123" i="7"/>
  <c r="AU176" i="7"/>
  <c r="AU862" i="7"/>
  <c r="AU534" i="7"/>
  <c r="AU480" i="7"/>
  <c r="AU69" i="7"/>
  <c r="AU675" i="7"/>
  <c r="AU78" i="7"/>
  <c r="AU468" i="7"/>
  <c r="AU326" i="7"/>
  <c r="AU803" i="7"/>
  <c r="AU431" i="7"/>
  <c r="AU59" i="7"/>
  <c r="AU594" i="7"/>
  <c r="AU239" i="7"/>
  <c r="AU265" i="7"/>
  <c r="AU39" i="7"/>
  <c r="AU711" i="7"/>
  <c r="AU227" i="7"/>
  <c r="AU41" i="7"/>
  <c r="AU646" i="7"/>
  <c r="AU562" i="7"/>
  <c r="AU639" i="7"/>
  <c r="AU288" i="7"/>
  <c r="AU517" i="7"/>
  <c r="AU307" i="7"/>
  <c r="AU460" i="7"/>
  <c r="AU841" i="7"/>
  <c r="AU257" i="7"/>
  <c r="AU204" i="7"/>
  <c r="AU641" i="7"/>
  <c r="AU603" i="7"/>
  <c r="AU50" i="7"/>
  <c r="AU269" i="7"/>
  <c r="AU728" i="7"/>
  <c r="AU849" i="7"/>
  <c r="AU769" i="7"/>
  <c r="AU317" i="7"/>
  <c r="AU692" i="7"/>
  <c r="AU475" i="7"/>
  <c r="AU488" i="7"/>
  <c r="AU447" i="7"/>
  <c r="AU274" i="7"/>
  <c r="AU842" i="7"/>
  <c r="AU300" i="7"/>
  <c r="AU463" i="7"/>
  <c r="AU63" i="7"/>
  <c r="AU378" i="7"/>
  <c r="AU810" i="7"/>
  <c r="AU408" i="7"/>
  <c r="AU520" i="7"/>
  <c r="AU305" i="7"/>
  <c r="AU116" i="7"/>
  <c r="AU170" i="7"/>
  <c r="AU589" i="7"/>
  <c r="AU535" i="7"/>
  <c r="AU62" i="7"/>
  <c r="AU612" i="7"/>
  <c r="AU486" i="7"/>
  <c r="AU99" i="7"/>
  <c r="AU720" i="7"/>
  <c r="AU651" i="7"/>
  <c r="AU314" i="7"/>
  <c r="AU783" i="7"/>
  <c r="AU689" i="7"/>
  <c r="AU674" i="7"/>
  <c r="AU266" i="7"/>
  <c r="AU395" i="7"/>
  <c r="AU626" i="7"/>
  <c r="AU684" i="7"/>
  <c r="AU617" i="7"/>
  <c r="AU738" i="7"/>
  <c r="AU786" i="7"/>
  <c r="AU861" i="7"/>
  <c r="AU171" i="7"/>
  <c r="AU153" i="7"/>
  <c r="AU394" i="7"/>
  <c r="AU556" i="7"/>
  <c r="AU766" i="7"/>
  <c r="AU624" i="7"/>
  <c r="AU683" i="7"/>
  <c r="AU281" i="7"/>
  <c r="AU793" i="7"/>
  <c r="AU543" i="7"/>
  <c r="AU608" i="7"/>
  <c r="AU218" i="7"/>
  <c r="AU697" i="7"/>
  <c r="AU238" i="7"/>
  <c r="AU321" i="7"/>
  <c r="AU36" i="7"/>
  <c r="AU299" i="7"/>
  <c r="AU489" i="7"/>
  <c r="AU821" i="7"/>
  <c r="AU96" i="7"/>
  <c r="AU620" i="7"/>
  <c r="AU811" i="7"/>
  <c r="AU530" i="7"/>
  <c r="AU590" i="7"/>
  <c r="AU815" i="7"/>
  <c r="AU177" i="7"/>
  <c r="AU421" i="7"/>
  <c r="AU481" i="7"/>
  <c r="AU412" i="7"/>
  <c r="AU467" i="7"/>
  <c r="AU94" i="7"/>
  <c r="AU163" i="7"/>
  <c r="AU700" i="7"/>
  <c r="AU591" i="7"/>
  <c r="AU16" i="7"/>
  <c r="AU232" i="7"/>
  <c r="AU492" i="7"/>
  <c r="AU119" i="7"/>
  <c r="AU368" i="7"/>
  <c r="AU691" i="7"/>
  <c r="AU788" i="7"/>
  <c r="AU804" i="7"/>
  <c r="AU211" i="7"/>
  <c r="AU373" i="7"/>
  <c r="AU860" i="7"/>
  <c r="AU745" i="7"/>
  <c r="AU33" i="7"/>
  <c r="AU850" i="7"/>
  <c r="AU270" i="7"/>
  <c r="AV231" i="7"/>
  <c r="AV557" i="7"/>
  <c r="AV214" i="7"/>
  <c r="AV776" i="7"/>
  <c r="AV248" i="7"/>
  <c r="AV301" i="7"/>
  <c r="AV145" i="7"/>
  <c r="AV234" i="7"/>
  <c r="AV358" i="7"/>
  <c r="AV348" i="7"/>
  <c r="AV638" i="7"/>
  <c r="AV392" i="7"/>
  <c r="AV498" i="7"/>
  <c r="AV31" i="7"/>
  <c r="AV360" i="7"/>
  <c r="AV655" i="7"/>
  <c r="AV276" i="7"/>
  <c r="AV91" i="7"/>
  <c r="AV235" i="7"/>
  <c r="AV347" i="7"/>
  <c r="AV659" i="7"/>
  <c r="AV537" i="7"/>
  <c r="AV732" i="7"/>
  <c r="AV751" i="7"/>
  <c r="AV23" i="7"/>
  <c r="AV336" i="7"/>
  <c r="AV455" i="7"/>
  <c r="AV247" i="7"/>
  <c r="AV339" i="7"/>
  <c r="AV396" i="7"/>
  <c r="AV246" i="7"/>
  <c r="AV797" i="7"/>
  <c r="AV538" i="7"/>
  <c r="AV355" i="7"/>
  <c r="AV420" i="7"/>
  <c r="AV315" i="7"/>
  <c r="AV792" i="7"/>
  <c r="AV709" i="7"/>
  <c r="AV456" i="7"/>
  <c r="AV175" i="7"/>
  <c r="AV450" i="7"/>
  <c r="AV566" i="7"/>
  <c r="AV840" i="7"/>
  <c r="AV636" i="7"/>
  <c r="AV253" i="7"/>
  <c r="AV251" i="7"/>
  <c r="AV483" i="7"/>
  <c r="AV476" i="7"/>
  <c r="AV260" i="7"/>
  <c r="AV413" i="7"/>
  <c r="AV199" i="7"/>
  <c r="AV324" i="7"/>
  <c r="AV866" i="7"/>
  <c r="AV93" i="7"/>
  <c r="AV859" i="7"/>
  <c r="AV406" i="7"/>
  <c r="AV185" i="7"/>
  <c r="AV650" i="7"/>
  <c r="AV104" i="7"/>
  <c r="AV206" i="7"/>
  <c r="AV271" i="7"/>
  <c r="AV662" i="7"/>
  <c r="AV750" i="7"/>
  <c r="AV112" i="7"/>
  <c r="AV781" i="7"/>
  <c r="AV215" i="7"/>
  <c r="AV818" i="7"/>
  <c r="AV352" i="7"/>
  <c r="AV126" i="7"/>
  <c r="AV71" i="7"/>
  <c r="AV123" i="7"/>
  <c r="AV176" i="7"/>
  <c r="AV862" i="7"/>
  <c r="AV534" i="7"/>
  <c r="AV480" i="7"/>
  <c r="AV69" i="7"/>
  <c r="AV675" i="7"/>
  <c r="AV78" i="7"/>
  <c r="AV468" i="7"/>
  <c r="AV326" i="7"/>
  <c r="AV803" i="7"/>
  <c r="AV431" i="7"/>
  <c r="AV59" i="7"/>
  <c r="AV594" i="7"/>
  <c r="AV239" i="7"/>
  <c r="AV265" i="7"/>
  <c r="AV39" i="7"/>
  <c r="AV711" i="7"/>
  <c r="AV227" i="7"/>
  <c r="AV41" i="7"/>
  <c r="AV646" i="7"/>
  <c r="AV562" i="7"/>
  <c r="AV639" i="7"/>
  <c r="AV288" i="7"/>
  <c r="AV517" i="7"/>
  <c r="AV307" i="7"/>
  <c r="AV460" i="7"/>
  <c r="AV841" i="7"/>
  <c r="AV257" i="7"/>
  <c r="AV204" i="7"/>
  <c r="AV641" i="7"/>
  <c r="AV603" i="7"/>
  <c r="AV50" i="7"/>
  <c r="AV269" i="7"/>
  <c r="AV728" i="7"/>
  <c r="AV849" i="7"/>
  <c r="AV769" i="7"/>
  <c r="AV317" i="7"/>
  <c r="AV692" i="7"/>
  <c r="AV475" i="7"/>
  <c r="AV488" i="7"/>
  <c r="AV447" i="7"/>
  <c r="AV274" i="7"/>
  <c r="AV842" i="7"/>
  <c r="AV300" i="7"/>
  <c r="AV463" i="7"/>
  <c r="AV63" i="7"/>
  <c r="AV378" i="7"/>
  <c r="AV810" i="7"/>
  <c r="AV408" i="7"/>
  <c r="AV520" i="7"/>
  <c r="AV305" i="7"/>
  <c r="AV116" i="7"/>
  <c r="AV170" i="7"/>
  <c r="AV589" i="7"/>
  <c r="AV535" i="7"/>
  <c r="AV62" i="7"/>
  <c r="AV612" i="7"/>
  <c r="AV486" i="7"/>
  <c r="AV99" i="7"/>
  <c r="AV720" i="7"/>
  <c r="AV651" i="7"/>
  <c r="AV314" i="7"/>
  <c r="AV783" i="7"/>
  <c r="AV689" i="7"/>
  <c r="AV674" i="7"/>
  <c r="AV266" i="7"/>
  <c r="AV395" i="7"/>
  <c r="AV626" i="7"/>
  <c r="AV684" i="7"/>
  <c r="AV617" i="7"/>
  <c r="AV738" i="7"/>
  <c r="AV786" i="7"/>
  <c r="AV861" i="7"/>
  <c r="AV171" i="7"/>
  <c r="AV153" i="7"/>
  <c r="AV394" i="7"/>
  <c r="AV556" i="7"/>
  <c r="AV766" i="7"/>
  <c r="AV624" i="7"/>
  <c r="AV683" i="7"/>
  <c r="AV281" i="7"/>
  <c r="AV793" i="7"/>
  <c r="AV543" i="7"/>
  <c r="AV608" i="7"/>
  <c r="AV218" i="7"/>
  <c r="AV697" i="7"/>
  <c r="AV238" i="7"/>
  <c r="AV321" i="7"/>
  <c r="AV36" i="7"/>
  <c r="AV299" i="7"/>
  <c r="AV489" i="7"/>
  <c r="AV821" i="7"/>
  <c r="AV96" i="7"/>
  <c r="AV620" i="7"/>
  <c r="AV811" i="7"/>
  <c r="AV530" i="7"/>
  <c r="AV590" i="7"/>
  <c r="AV815" i="7"/>
  <c r="AV177" i="7"/>
  <c r="AV421" i="7"/>
  <c r="AV481" i="7"/>
  <c r="AV412" i="7"/>
  <c r="AV467" i="7"/>
  <c r="AV94" i="7"/>
  <c r="AV163" i="7"/>
  <c r="AV700" i="7"/>
  <c r="AV591" i="7"/>
  <c r="AV16" i="7"/>
  <c r="AV232" i="7"/>
  <c r="AV492" i="7"/>
  <c r="AV119" i="7"/>
  <c r="AV368" i="7"/>
  <c r="AV691" i="7"/>
  <c r="AV788" i="7"/>
  <c r="AV804" i="7"/>
  <c r="AV211" i="7"/>
  <c r="AV373" i="7"/>
  <c r="AV860" i="7"/>
  <c r="AV745" i="7"/>
  <c r="AV33" i="7"/>
  <c r="AV850" i="7"/>
  <c r="AV270" i="7"/>
  <c r="AW231" i="7"/>
  <c r="AW557" i="7"/>
  <c r="AW214" i="7"/>
  <c r="AW776" i="7"/>
  <c r="AW248" i="7"/>
  <c r="AW301" i="7"/>
  <c r="AW145" i="7"/>
  <c r="AW234" i="7"/>
  <c r="AW358" i="7"/>
  <c r="AW348" i="7"/>
  <c r="AW638" i="7"/>
  <c r="AW392" i="7"/>
  <c r="AW498" i="7"/>
  <c r="AW31" i="7"/>
  <c r="AW360" i="7"/>
  <c r="AW655" i="7"/>
  <c r="AW276" i="7"/>
  <c r="AW91" i="7"/>
  <c r="AW235" i="7"/>
  <c r="AW347" i="7"/>
  <c r="AW659" i="7"/>
  <c r="AW537" i="7"/>
  <c r="AW732" i="7"/>
  <c r="AW751" i="7"/>
  <c r="AW23" i="7"/>
  <c r="AW336" i="7"/>
  <c r="AW455" i="7"/>
  <c r="AW247" i="7"/>
  <c r="AW339" i="7"/>
  <c r="AW396" i="7"/>
  <c r="AW246" i="7"/>
  <c r="AW797" i="7"/>
  <c r="AW538" i="7"/>
  <c r="AW355" i="7"/>
  <c r="AW420" i="7"/>
  <c r="AW315" i="7"/>
  <c r="AW792" i="7"/>
  <c r="AW709" i="7"/>
  <c r="AW456" i="7"/>
  <c r="AW175" i="7"/>
  <c r="AW450" i="7"/>
  <c r="AW566" i="7"/>
  <c r="AW840" i="7"/>
  <c r="AW636" i="7"/>
  <c r="AW253" i="7"/>
  <c r="AW251" i="7"/>
  <c r="AW483" i="7"/>
  <c r="AW476" i="7"/>
  <c r="AW260" i="7"/>
  <c r="AW413" i="7"/>
  <c r="AW199" i="7"/>
  <c r="AW324" i="7"/>
  <c r="AW866" i="7"/>
  <c r="AW93" i="7"/>
  <c r="AW859" i="7"/>
  <c r="AW406" i="7"/>
  <c r="AW185" i="7"/>
  <c r="AW650" i="7"/>
  <c r="AW104" i="7"/>
  <c r="AW206" i="7"/>
  <c r="AW271" i="7"/>
  <c r="AW662" i="7"/>
  <c r="AW750" i="7"/>
  <c r="AW112" i="7"/>
  <c r="AW781" i="7"/>
  <c r="AW215" i="7"/>
  <c r="AW818" i="7"/>
  <c r="AW352" i="7"/>
  <c r="AW126" i="7"/>
  <c r="AW71" i="7"/>
  <c r="AW123" i="7"/>
  <c r="AW176" i="7"/>
  <c r="AW862" i="7"/>
  <c r="AW534" i="7"/>
  <c r="AW480" i="7"/>
  <c r="AW69" i="7"/>
  <c r="AW675" i="7"/>
  <c r="AW78" i="7"/>
  <c r="AW468" i="7"/>
  <c r="AW326" i="7"/>
  <c r="AW803" i="7"/>
  <c r="AW431" i="7"/>
  <c r="AW59" i="7"/>
  <c r="AW594" i="7"/>
  <c r="AW239" i="7"/>
  <c r="AW265" i="7"/>
  <c r="AW39" i="7"/>
  <c r="AW711" i="7"/>
  <c r="AW227" i="7"/>
  <c r="AW41" i="7"/>
  <c r="AW646" i="7"/>
  <c r="AW562" i="7"/>
  <c r="AW639" i="7"/>
  <c r="AW288" i="7"/>
  <c r="AW517" i="7"/>
  <c r="AW307" i="7"/>
  <c r="AW460" i="7"/>
  <c r="AW841" i="7"/>
  <c r="AW257" i="7"/>
  <c r="AW204" i="7"/>
  <c r="AW641" i="7"/>
  <c r="AW603" i="7"/>
  <c r="AW50" i="7"/>
  <c r="AW269" i="7"/>
  <c r="AW728" i="7"/>
  <c r="AW849" i="7"/>
  <c r="AW769" i="7"/>
  <c r="AW317" i="7"/>
  <c r="AW692" i="7"/>
  <c r="AW475" i="7"/>
  <c r="AW488" i="7"/>
  <c r="AW447" i="7"/>
  <c r="AW274" i="7"/>
  <c r="AW842" i="7"/>
  <c r="AW300" i="7"/>
  <c r="AW463" i="7"/>
  <c r="AW63" i="7"/>
  <c r="AW378" i="7"/>
  <c r="AW810" i="7"/>
  <c r="AW408" i="7"/>
  <c r="AW520" i="7"/>
  <c r="AW305" i="7"/>
  <c r="AW116" i="7"/>
  <c r="AW170" i="7"/>
  <c r="AW589" i="7"/>
  <c r="AW535" i="7"/>
  <c r="AW62" i="7"/>
  <c r="AW612" i="7"/>
  <c r="AW486" i="7"/>
  <c r="AW99" i="7"/>
  <c r="AW720" i="7"/>
  <c r="AW651" i="7"/>
  <c r="AW314" i="7"/>
  <c r="AW783" i="7"/>
  <c r="AW689" i="7"/>
  <c r="AW674" i="7"/>
  <c r="AW266" i="7"/>
  <c r="AW395" i="7"/>
  <c r="AW626" i="7"/>
  <c r="AW684" i="7"/>
  <c r="AW617" i="7"/>
  <c r="AW738" i="7"/>
  <c r="AW786" i="7"/>
  <c r="AW861" i="7"/>
  <c r="AW171" i="7"/>
  <c r="AW153" i="7"/>
  <c r="AW394" i="7"/>
  <c r="AW556" i="7"/>
  <c r="AW766" i="7"/>
  <c r="AW624" i="7"/>
  <c r="AW683" i="7"/>
  <c r="AW281" i="7"/>
  <c r="AW793" i="7"/>
  <c r="AW543" i="7"/>
  <c r="AW608" i="7"/>
  <c r="AW218" i="7"/>
  <c r="AW697" i="7"/>
  <c r="AW238" i="7"/>
  <c r="AW321" i="7"/>
  <c r="AW36" i="7"/>
  <c r="AW299" i="7"/>
  <c r="AW489" i="7"/>
  <c r="AW821" i="7"/>
  <c r="AW96" i="7"/>
  <c r="AW620" i="7"/>
  <c r="AW811" i="7"/>
  <c r="AW530" i="7"/>
  <c r="AW590" i="7"/>
  <c r="AW815" i="7"/>
  <c r="AW177" i="7"/>
  <c r="AW421" i="7"/>
  <c r="AW481" i="7"/>
  <c r="AW412" i="7"/>
  <c r="AW467" i="7"/>
  <c r="AW94" i="7"/>
  <c r="AW163" i="7"/>
  <c r="AW700" i="7"/>
  <c r="AW591" i="7"/>
  <c r="AW16" i="7"/>
  <c r="AW232" i="7"/>
  <c r="AW492" i="7"/>
  <c r="AW119" i="7"/>
  <c r="AW368" i="7"/>
  <c r="AW691" i="7"/>
  <c r="AW788" i="7"/>
  <c r="AW804" i="7"/>
  <c r="AW211" i="7"/>
  <c r="AW373" i="7"/>
  <c r="AW860" i="7"/>
  <c r="AW745" i="7"/>
  <c r="AW33" i="7"/>
  <c r="AW850" i="7"/>
  <c r="AW270" i="7"/>
  <c r="AX231" i="7"/>
  <c r="AX557" i="7"/>
  <c r="AX214" i="7"/>
  <c r="AX776" i="7"/>
  <c r="AX248" i="7"/>
  <c r="AX301" i="7"/>
  <c r="AX145" i="7"/>
  <c r="AX234" i="7"/>
  <c r="AX358" i="7"/>
  <c r="AX348" i="7"/>
  <c r="AX638" i="7"/>
  <c r="AX392" i="7"/>
  <c r="AX498" i="7"/>
  <c r="AX31" i="7"/>
  <c r="AX360" i="7"/>
  <c r="AX655" i="7"/>
  <c r="AX276" i="7"/>
  <c r="AX91" i="7"/>
  <c r="AX235" i="7"/>
  <c r="AX347" i="7"/>
  <c r="AX659" i="7"/>
  <c r="AX537" i="7"/>
  <c r="AX732" i="7"/>
  <c r="AX751" i="7"/>
  <c r="AX23" i="7"/>
  <c r="AX336" i="7"/>
  <c r="AX455" i="7"/>
  <c r="AX247" i="7"/>
  <c r="AX339" i="7"/>
  <c r="AX396" i="7"/>
  <c r="AX246" i="7"/>
  <c r="AX797" i="7"/>
  <c r="AX538" i="7"/>
  <c r="AX355" i="7"/>
  <c r="AX420" i="7"/>
  <c r="AX315" i="7"/>
  <c r="AX792" i="7"/>
  <c r="AX709" i="7"/>
  <c r="AX456" i="7"/>
  <c r="AX175" i="7"/>
  <c r="AX450" i="7"/>
  <c r="AX566" i="7"/>
  <c r="AX840" i="7"/>
  <c r="AX636" i="7"/>
  <c r="AX253" i="7"/>
  <c r="AX251" i="7"/>
  <c r="AX483" i="7"/>
  <c r="AX476" i="7"/>
  <c r="AX260" i="7"/>
  <c r="AX413" i="7"/>
  <c r="AX199" i="7"/>
  <c r="AX324" i="7"/>
  <c r="AX866" i="7"/>
  <c r="AX93" i="7"/>
  <c r="AX859" i="7"/>
  <c r="AX406" i="7"/>
  <c r="AX185" i="7"/>
  <c r="AX650" i="7"/>
  <c r="AX104" i="7"/>
  <c r="AX206" i="7"/>
  <c r="AX271" i="7"/>
  <c r="AX662" i="7"/>
  <c r="AX750" i="7"/>
  <c r="AX112" i="7"/>
  <c r="AX781" i="7"/>
  <c r="AX215" i="7"/>
  <c r="AX818" i="7"/>
  <c r="AX352" i="7"/>
  <c r="AX126" i="7"/>
  <c r="AX71" i="7"/>
  <c r="AX123" i="7"/>
  <c r="AX176" i="7"/>
  <c r="AX862" i="7"/>
  <c r="AX534" i="7"/>
  <c r="AX480" i="7"/>
  <c r="AX69" i="7"/>
  <c r="AX675" i="7"/>
  <c r="AX78" i="7"/>
  <c r="AX468" i="7"/>
  <c r="AX326" i="7"/>
  <c r="AX803" i="7"/>
  <c r="AX431" i="7"/>
  <c r="AX59" i="7"/>
  <c r="AX594" i="7"/>
  <c r="AX239" i="7"/>
  <c r="AX265" i="7"/>
  <c r="AX39" i="7"/>
  <c r="AX711" i="7"/>
  <c r="AX227" i="7"/>
  <c r="AX41" i="7"/>
  <c r="AX646" i="7"/>
  <c r="AX562" i="7"/>
  <c r="AX639" i="7"/>
  <c r="AX288" i="7"/>
  <c r="AX517" i="7"/>
  <c r="AX307" i="7"/>
  <c r="AX460" i="7"/>
  <c r="AX841" i="7"/>
  <c r="AX257" i="7"/>
  <c r="AX204" i="7"/>
  <c r="AX641" i="7"/>
  <c r="AX603" i="7"/>
  <c r="AX50" i="7"/>
  <c r="AX269" i="7"/>
  <c r="AX728" i="7"/>
  <c r="AX849" i="7"/>
  <c r="AX769" i="7"/>
  <c r="AX317" i="7"/>
  <c r="AX692" i="7"/>
  <c r="AX475" i="7"/>
  <c r="AX488" i="7"/>
  <c r="AX447" i="7"/>
  <c r="AX274" i="7"/>
  <c r="AX842" i="7"/>
  <c r="AX300" i="7"/>
  <c r="AX463" i="7"/>
  <c r="AX63" i="7"/>
  <c r="AX378" i="7"/>
  <c r="AX810" i="7"/>
  <c r="AX408" i="7"/>
  <c r="AX520" i="7"/>
  <c r="AX305" i="7"/>
  <c r="AX116" i="7"/>
  <c r="AX170" i="7"/>
  <c r="AX589" i="7"/>
  <c r="AX535" i="7"/>
  <c r="AX62" i="7"/>
  <c r="AX612" i="7"/>
  <c r="AX486" i="7"/>
  <c r="AX99" i="7"/>
  <c r="AX720" i="7"/>
  <c r="AX651" i="7"/>
  <c r="AX314" i="7"/>
  <c r="AX783" i="7"/>
  <c r="AX689" i="7"/>
  <c r="AX674" i="7"/>
  <c r="AX266" i="7"/>
  <c r="AX395" i="7"/>
  <c r="AX626" i="7"/>
  <c r="AX684" i="7"/>
  <c r="AX617" i="7"/>
  <c r="AX738" i="7"/>
  <c r="AX786" i="7"/>
  <c r="AX861" i="7"/>
  <c r="AX171" i="7"/>
  <c r="AX153" i="7"/>
  <c r="AX394" i="7"/>
  <c r="AX556" i="7"/>
  <c r="AX766" i="7"/>
  <c r="AX624" i="7"/>
  <c r="AX683" i="7"/>
  <c r="AX281" i="7"/>
  <c r="AX793" i="7"/>
  <c r="AX543" i="7"/>
  <c r="AX608" i="7"/>
  <c r="AX218" i="7"/>
  <c r="AX697" i="7"/>
  <c r="AX238" i="7"/>
  <c r="AX321" i="7"/>
  <c r="AX36" i="7"/>
  <c r="AX299" i="7"/>
  <c r="AX489" i="7"/>
  <c r="AX821" i="7"/>
  <c r="AX96" i="7"/>
  <c r="AX620" i="7"/>
  <c r="AX811" i="7"/>
  <c r="AX530" i="7"/>
  <c r="AX590" i="7"/>
  <c r="AX815" i="7"/>
  <c r="AX177" i="7"/>
  <c r="AX421" i="7"/>
  <c r="AX481" i="7"/>
  <c r="AX412" i="7"/>
  <c r="AX467" i="7"/>
  <c r="AX94" i="7"/>
  <c r="AX163" i="7"/>
  <c r="AX700" i="7"/>
  <c r="AX591" i="7"/>
  <c r="AX16" i="7"/>
  <c r="AX232" i="7"/>
  <c r="AX492" i="7"/>
  <c r="AX119" i="7"/>
  <c r="AX368" i="7"/>
  <c r="AX691" i="7"/>
  <c r="AX788" i="7"/>
  <c r="AX804" i="7"/>
  <c r="AX211" i="7"/>
  <c r="AX373" i="7"/>
  <c r="AX860" i="7"/>
  <c r="AX745" i="7"/>
  <c r="AX33" i="7"/>
  <c r="AX850" i="7"/>
  <c r="AX270" i="7"/>
  <c r="AY231" i="7"/>
  <c r="AY557" i="7"/>
  <c r="AY214" i="7"/>
  <c r="AY776" i="7"/>
  <c r="AY248" i="7"/>
  <c r="AY301" i="7"/>
  <c r="AY145" i="7"/>
  <c r="AY234" i="7"/>
  <c r="AY358" i="7"/>
  <c r="AY348" i="7"/>
  <c r="AY638" i="7"/>
  <c r="AY392" i="7"/>
  <c r="AY498" i="7"/>
  <c r="AY31" i="7"/>
  <c r="AY360" i="7"/>
  <c r="AY655" i="7"/>
  <c r="AY276" i="7"/>
  <c r="AY91" i="7"/>
  <c r="AY235" i="7"/>
  <c r="AY347" i="7"/>
  <c r="AY659" i="7"/>
  <c r="AY537" i="7"/>
  <c r="AY732" i="7"/>
  <c r="AY751" i="7"/>
  <c r="AY23" i="7"/>
  <c r="AY336" i="7"/>
  <c r="AY455" i="7"/>
  <c r="AY247" i="7"/>
  <c r="AY339" i="7"/>
  <c r="AY396" i="7"/>
  <c r="AY246" i="7"/>
  <c r="AY797" i="7"/>
  <c r="AY538" i="7"/>
  <c r="AY355" i="7"/>
  <c r="AY420" i="7"/>
  <c r="AY315" i="7"/>
  <c r="AY792" i="7"/>
  <c r="AY709" i="7"/>
  <c r="AY456" i="7"/>
  <c r="AY175" i="7"/>
  <c r="AY450" i="7"/>
  <c r="AY566" i="7"/>
  <c r="AY840" i="7"/>
  <c r="AY636" i="7"/>
  <c r="AY253" i="7"/>
  <c r="AY251" i="7"/>
  <c r="AY483" i="7"/>
  <c r="AY476" i="7"/>
  <c r="AY260" i="7"/>
  <c r="AY413" i="7"/>
  <c r="AY199" i="7"/>
  <c r="AY324" i="7"/>
  <c r="AY866" i="7"/>
  <c r="AY93" i="7"/>
  <c r="AY859" i="7"/>
  <c r="AY406" i="7"/>
  <c r="AY185" i="7"/>
  <c r="AY650" i="7"/>
  <c r="AY104" i="7"/>
  <c r="AY206" i="7"/>
  <c r="AY271" i="7"/>
  <c r="AY662" i="7"/>
  <c r="AY750" i="7"/>
  <c r="AY112" i="7"/>
  <c r="AY781" i="7"/>
  <c r="AY215" i="7"/>
  <c r="AY818" i="7"/>
  <c r="AY352" i="7"/>
  <c r="AY126" i="7"/>
  <c r="AY71" i="7"/>
  <c r="AY123" i="7"/>
  <c r="AY176" i="7"/>
  <c r="AY862" i="7"/>
  <c r="AY534" i="7"/>
  <c r="AY480" i="7"/>
  <c r="AY69" i="7"/>
  <c r="AY675" i="7"/>
  <c r="AY78" i="7"/>
  <c r="AY468" i="7"/>
  <c r="AY326" i="7"/>
  <c r="AY803" i="7"/>
  <c r="AY431" i="7"/>
  <c r="AY59" i="7"/>
  <c r="AY594" i="7"/>
  <c r="AY239" i="7"/>
  <c r="AY265" i="7"/>
  <c r="AY39" i="7"/>
  <c r="AY711" i="7"/>
  <c r="AY227" i="7"/>
  <c r="AY41" i="7"/>
  <c r="AY646" i="7"/>
  <c r="AY562" i="7"/>
  <c r="AY639" i="7"/>
  <c r="AY288" i="7"/>
  <c r="AY517" i="7"/>
  <c r="AY307" i="7"/>
  <c r="AY460" i="7"/>
  <c r="AY841" i="7"/>
  <c r="AY257" i="7"/>
  <c r="AY204" i="7"/>
  <c r="AY641" i="7"/>
  <c r="AY603" i="7"/>
  <c r="AY50" i="7"/>
  <c r="AY269" i="7"/>
  <c r="AY728" i="7"/>
  <c r="AY849" i="7"/>
  <c r="AY769" i="7"/>
  <c r="AY317" i="7"/>
  <c r="AY692" i="7"/>
  <c r="AY475" i="7"/>
  <c r="AY488" i="7"/>
  <c r="AY447" i="7"/>
  <c r="AY274" i="7"/>
  <c r="AY842" i="7"/>
  <c r="AY300" i="7"/>
  <c r="AY463" i="7"/>
  <c r="AY63" i="7"/>
  <c r="AY378" i="7"/>
  <c r="AY810" i="7"/>
  <c r="AY408" i="7"/>
  <c r="AY520" i="7"/>
  <c r="AY305" i="7"/>
  <c r="AY116" i="7"/>
  <c r="AY170" i="7"/>
  <c r="AY589" i="7"/>
  <c r="AY535" i="7"/>
  <c r="AY62" i="7"/>
  <c r="AY612" i="7"/>
  <c r="AY486" i="7"/>
  <c r="AY99" i="7"/>
  <c r="AY720" i="7"/>
  <c r="AY651" i="7"/>
  <c r="AY314" i="7"/>
  <c r="AY783" i="7"/>
  <c r="AY689" i="7"/>
  <c r="AY674" i="7"/>
  <c r="AY266" i="7"/>
  <c r="AY395" i="7"/>
  <c r="AY626" i="7"/>
  <c r="AY684" i="7"/>
  <c r="AY617" i="7"/>
  <c r="AY738" i="7"/>
  <c r="AY786" i="7"/>
  <c r="AY861" i="7"/>
  <c r="AY171" i="7"/>
  <c r="AY153" i="7"/>
  <c r="AY394" i="7"/>
  <c r="AY556" i="7"/>
  <c r="AY766" i="7"/>
  <c r="AY624" i="7"/>
  <c r="AY683" i="7"/>
  <c r="AY281" i="7"/>
  <c r="AY793" i="7"/>
  <c r="AY543" i="7"/>
  <c r="AY608" i="7"/>
  <c r="AY218" i="7"/>
  <c r="AY697" i="7"/>
  <c r="AY238" i="7"/>
  <c r="AY321" i="7"/>
  <c r="AY36" i="7"/>
  <c r="AY299" i="7"/>
  <c r="AY489" i="7"/>
  <c r="AY821" i="7"/>
  <c r="AY96" i="7"/>
  <c r="AY620" i="7"/>
  <c r="AY811" i="7"/>
  <c r="AY530" i="7"/>
  <c r="AY590" i="7"/>
  <c r="AY815" i="7"/>
  <c r="AY177" i="7"/>
  <c r="AY421" i="7"/>
  <c r="AY481" i="7"/>
  <c r="AY412" i="7"/>
  <c r="AY467" i="7"/>
  <c r="AY94" i="7"/>
  <c r="AY163" i="7"/>
  <c r="AY700" i="7"/>
  <c r="AY591" i="7"/>
  <c r="AY16" i="7"/>
  <c r="AY232" i="7"/>
  <c r="AY492" i="7"/>
  <c r="AY119" i="7"/>
  <c r="AY368" i="7"/>
  <c r="AY691" i="7"/>
  <c r="AY788" i="7"/>
  <c r="AY804" i="7"/>
  <c r="AY211" i="7"/>
  <c r="AY373" i="7"/>
  <c r="AY860" i="7"/>
  <c r="AY745" i="7"/>
  <c r="AY33" i="7"/>
  <c r="AY850" i="7"/>
  <c r="AY270" i="7"/>
  <c r="AZ231" i="7"/>
  <c r="AZ557" i="7"/>
  <c r="AZ214" i="7"/>
  <c r="AZ776" i="7"/>
  <c r="AZ248" i="7"/>
  <c r="AZ301" i="7"/>
  <c r="AZ145" i="7"/>
  <c r="AZ234" i="7"/>
  <c r="AZ358" i="7"/>
  <c r="AZ348" i="7"/>
  <c r="AZ638" i="7"/>
  <c r="AZ392" i="7"/>
  <c r="AZ498" i="7"/>
  <c r="AZ31" i="7"/>
  <c r="AZ360" i="7"/>
  <c r="AZ655" i="7"/>
  <c r="AZ276" i="7"/>
  <c r="AZ91" i="7"/>
  <c r="AZ235" i="7"/>
  <c r="AZ347" i="7"/>
  <c r="AZ659" i="7"/>
  <c r="AZ537" i="7"/>
  <c r="AZ732" i="7"/>
  <c r="AZ751" i="7"/>
  <c r="AZ23" i="7"/>
  <c r="AZ336" i="7"/>
  <c r="AZ455" i="7"/>
  <c r="AZ247" i="7"/>
  <c r="AZ339" i="7"/>
  <c r="AZ396" i="7"/>
  <c r="AZ246" i="7"/>
  <c r="AZ797" i="7"/>
  <c r="AZ538" i="7"/>
  <c r="AZ355" i="7"/>
  <c r="AZ420" i="7"/>
  <c r="AZ315" i="7"/>
  <c r="AZ792" i="7"/>
  <c r="AZ709" i="7"/>
  <c r="AZ456" i="7"/>
  <c r="AZ175" i="7"/>
  <c r="AZ450" i="7"/>
  <c r="AZ566" i="7"/>
  <c r="AZ840" i="7"/>
  <c r="AZ636" i="7"/>
  <c r="AZ253" i="7"/>
  <c r="AZ251" i="7"/>
  <c r="AZ483" i="7"/>
  <c r="AZ476" i="7"/>
  <c r="AZ260" i="7"/>
  <c r="AZ413" i="7"/>
  <c r="AZ199" i="7"/>
  <c r="AZ324" i="7"/>
  <c r="AZ866" i="7"/>
  <c r="AZ93" i="7"/>
  <c r="AZ859" i="7"/>
  <c r="AZ406" i="7"/>
  <c r="AZ185" i="7"/>
  <c r="AZ650" i="7"/>
  <c r="AZ104" i="7"/>
  <c r="AZ206" i="7"/>
  <c r="AZ271" i="7"/>
  <c r="AZ662" i="7"/>
  <c r="AZ750" i="7"/>
  <c r="AZ112" i="7"/>
  <c r="AZ781" i="7"/>
  <c r="AZ215" i="7"/>
  <c r="AZ818" i="7"/>
  <c r="AZ352" i="7"/>
  <c r="AZ126" i="7"/>
  <c r="AZ71" i="7"/>
  <c r="AZ123" i="7"/>
  <c r="AZ176" i="7"/>
  <c r="AZ862" i="7"/>
  <c r="AZ534" i="7"/>
  <c r="AZ480" i="7"/>
  <c r="AZ69" i="7"/>
  <c r="AZ675" i="7"/>
  <c r="AZ78" i="7"/>
  <c r="AZ468" i="7"/>
  <c r="AZ326" i="7"/>
  <c r="AZ803" i="7"/>
  <c r="AZ431" i="7"/>
  <c r="AZ59" i="7"/>
  <c r="AZ594" i="7"/>
  <c r="AZ239" i="7"/>
  <c r="AZ265" i="7"/>
  <c r="AZ39" i="7"/>
  <c r="AZ711" i="7"/>
  <c r="AZ227" i="7"/>
  <c r="AZ41" i="7"/>
  <c r="AZ646" i="7"/>
  <c r="AZ562" i="7"/>
  <c r="AZ639" i="7"/>
  <c r="AZ288" i="7"/>
  <c r="AZ517" i="7"/>
  <c r="AZ307" i="7"/>
  <c r="AZ460" i="7"/>
  <c r="AZ841" i="7"/>
  <c r="AZ257" i="7"/>
  <c r="AZ204" i="7"/>
  <c r="AZ641" i="7"/>
  <c r="AZ603" i="7"/>
  <c r="AZ50" i="7"/>
  <c r="AZ269" i="7"/>
  <c r="AZ728" i="7"/>
  <c r="AZ849" i="7"/>
  <c r="AZ769" i="7"/>
  <c r="AZ317" i="7"/>
  <c r="AZ692" i="7"/>
  <c r="AZ475" i="7"/>
  <c r="AZ488" i="7"/>
  <c r="AZ447" i="7"/>
  <c r="AZ274" i="7"/>
  <c r="AZ842" i="7"/>
  <c r="AZ300" i="7"/>
  <c r="AZ463" i="7"/>
  <c r="AZ63" i="7"/>
  <c r="AZ378" i="7"/>
  <c r="AZ810" i="7"/>
  <c r="AZ408" i="7"/>
  <c r="AZ520" i="7"/>
  <c r="AZ305" i="7"/>
  <c r="AZ116" i="7"/>
  <c r="AZ170" i="7"/>
  <c r="AZ589" i="7"/>
  <c r="AZ535" i="7"/>
  <c r="AZ62" i="7"/>
  <c r="AZ612" i="7"/>
  <c r="AZ486" i="7"/>
  <c r="AZ99" i="7"/>
  <c r="AZ720" i="7"/>
  <c r="AZ651" i="7"/>
  <c r="AZ314" i="7"/>
  <c r="AZ783" i="7"/>
  <c r="AZ689" i="7"/>
  <c r="AZ674" i="7"/>
  <c r="AZ266" i="7"/>
  <c r="AZ395" i="7"/>
  <c r="AZ626" i="7"/>
  <c r="AZ684" i="7"/>
  <c r="AZ617" i="7"/>
  <c r="AZ738" i="7"/>
  <c r="AZ786" i="7"/>
  <c r="AZ861" i="7"/>
  <c r="AZ171" i="7"/>
  <c r="AZ153" i="7"/>
  <c r="AZ394" i="7"/>
  <c r="AZ556" i="7"/>
  <c r="AZ766" i="7"/>
  <c r="AZ624" i="7"/>
  <c r="AZ683" i="7"/>
  <c r="AZ281" i="7"/>
  <c r="AZ793" i="7"/>
  <c r="AZ543" i="7"/>
  <c r="AZ608" i="7"/>
  <c r="AZ218" i="7"/>
  <c r="AZ697" i="7"/>
  <c r="AZ238" i="7"/>
  <c r="AZ321" i="7"/>
  <c r="AZ36" i="7"/>
  <c r="AZ299" i="7"/>
  <c r="AZ489" i="7"/>
  <c r="AZ821" i="7"/>
  <c r="AZ96" i="7"/>
  <c r="AZ620" i="7"/>
  <c r="AZ811" i="7"/>
  <c r="AZ530" i="7"/>
  <c r="AZ590" i="7"/>
  <c r="AZ815" i="7"/>
  <c r="AZ177" i="7"/>
  <c r="AZ421" i="7"/>
  <c r="AZ481" i="7"/>
  <c r="AZ412" i="7"/>
  <c r="AZ467" i="7"/>
  <c r="AZ94" i="7"/>
  <c r="AZ163" i="7"/>
  <c r="AZ700" i="7"/>
  <c r="AZ591" i="7"/>
  <c r="AZ16" i="7"/>
  <c r="AZ232" i="7"/>
  <c r="AZ492" i="7"/>
  <c r="AZ119" i="7"/>
  <c r="AZ368" i="7"/>
  <c r="AZ691" i="7"/>
  <c r="AZ788" i="7"/>
  <c r="AZ804" i="7"/>
  <c r="AZ211" i="7"/>
  <c r="AZ373" i="7"/>
  <c r="AZ860" i="7"/>
  <c r="AZ745" i="7"/>
  <c r="AZ33" i="7"/>
  <c r="AZ850" i="7"/>
  <c r="AZ270" i="7"/>
  <c r="BB231" i="7"/>
  <c r="BC231" i="7" s="1"/>
  <c r="BB557" i="7"/>
  <c r="BC557" i="7" s="1"/>
  <c r="BB214" i="7"/>
  <c r="BC214" i="7" s="1"/>
  <c r="BB776" i="7"/>
  <c r="BC776" i="7" s="1"/>
  <c r="BB248" i="7"/>
  <c r="BC248" i="7" s="1"/>
  <c r="BB301" i="7"/>
  <c r="BC301" i="7" s="1"/>
  <c r="BB145" i="7"/>
  <c r="BC145" i="7" s="1"/>
  <c r="BB234" i="7"/>
  <c r="BC234" i="7" s="1"/>
  <c r="BB358" i="7"/>
  <c r="BC358" i="7" s="1"/>
  <c r="BB348" i="7"/>
  <c r="BC348" i="7" s="1"/>
  <c r="BB638" i="7"/>
  <c r="BC638" i="7" s="1"/>
  <c r="BB392" i="7"/>
  <c r="BC392" i="7" s="1"/>
  <c r="BB498" i="7"/>
  <c r="BC498" i="7" s="1"/>
  <c r="BB31" i="7"/>
  <c r="BC31" i="7" s="1"/>
  <c r="BB360" i="7"/>
  <c r="BC360" i="7" s="1"/>
  <c r="BB655" i="7"/>
  <c r="BC655" i="7" s="1"/>
  <c r="BB276" i="7"/>
  <c r="BC276" i="7" s="1"/>
  <c r="BB91" i="7"/>
  <c r="BC91" i="7" s="1"/>
  <c r="BB235" i="7"/>
  <c r="BC235" i="7" s="1"/>
  <c r="BB347" i="7"/>
  <c r="BC347" i="7" s="1"/>
  <c r="BB659" i="7"/>
  <c r="BC659" i="7" s="1"/>
  <c r="BB537" i="7"/>
  <c r="BC537" i="7" s="1"/>
  <c r="BB732" i="7"/>
  <c r="BC732" i="7" s="1"/>
  <c r="BB751" i="7"/>
  <c r="BC751" i="7" s="1"/>
  <c r="BB23" i="7"/>
  <c r="BC23" i="7" s="1"/>
  <c r="BB336" i="7"/>
  <c r="BC336" i="7" s="1"/>
  <c r="BB455" i="7"/>
  <c r="BC455" i="7" s="1"/>
  <c r="BB247" i="7"/>
  <c r="BC247" i="7" s="1"/>
  <c r="BB339" i="7"/>
  <c r="BC339" i="7" s="1"/>
  <c r="BB396" i="7"/>
  <c r="BC396" i="7" s="1"/>
  <c r="BB246" i="7"/>
  <c r="BC246" i="7" s="1"/>
  <c r="BB797" i="7"/>
  <c r="BC797" i="7" s="1"/>
  <c r="BB538" i="7"/>
  <c r="BC538" i="7" s="1"/>
  <c r="BB355" i="7"/>
  <c r="BC355" i="7" s="1"/>
  <c r="BB420" i="7"/>
  <c r="BC420" i="7" s="1"/>
  <c r="BB315" i="7"/>
  <c r="BC315" i="7" s="1"/>
  <c r="BB792" i="7"/>
  <c r="BC792" i="7" s="1"/>
  <c r="BB709" i="7"/>
  <c r="BC709" i="7" s="1"/>
  <c r="BB456" i="7"/>
  <c r="BC456" i="7" s="1"/>
  <c r="BB175" i="7"/>
  <c r="BC175" i="7" s="1"/>
  <c r="BB450" i="7"/>
  <c r="BC450" i="7" s="1"/>
  <c r="BB566" i="7"/>
  <c r="BC566" i="7" s="1"/>
  <c r="BB840" i="7"/>
  <c r="BC840" i="7" s="1"/>
  <c r="BB636" i="7"/>
  <c r="BC636" i="7" s="1"/>
  <c r="BB253" i="7"/>
  <c r="BC253" i="7" s="1"/>
  <c r="BB251" i="7"/>
  <c r="BC251" i="7" s="1"/>
  <c r="BB483" i="7"/>
  <c r="BC483" i="7" s="1"/>
  <c r="BB476" i="7"/>
  <c r="BC476" i="7" s="1"/>
  <c r="BB260" i="7"/>
  <c r="BC260" i="7" s="1"/>
  <c r="BB413" i="7"/>
  <c r="BC413" i="7" s="1"/>
  <c r="BB199" i="7"/>
  <c r="BC199" i="7" s="1"/>
  <c r="BB324" i="7"/>
  <c r="BC324" i="7" s="1"/>
  <c r="BB866" i="7"/>
  <c r="BC866" i="7" s="1"/>
  <c r="BB93" i="7"/>
  <c r="BC93" i="7" s="1"/>
  <c r="BB859" i="7"/>
  <c r="BC859" i="7" s="1"/>
  <c r="BB406" i="7"/>
  <c r="BC406" i="7" s="1"/>
  <c r="BB185" i="7"/>
  <c r="BC185" i="7" s="1"/>
  <c r="BB650" i="7"/>
  <c r="BC650" i="7" s="1"/>
  <c r="BB104" i="7"/>
  <c r="BC104" i="7" s="1"/>
  <c r="BB206" i="7"/>
  <c r="BC206" i="7" s="1"/>
  <c r="BB271" i="7"/>
  <c r="BC271" i="7" s="1"/>
  <c r="BB662" i="7"/>
  <c r="BC662" i="7" s="1"/>
  <c r="BB750" i="7"/>
  <c r="BC750" i="7" s="1"/>
  <c r="BB112" i="7"/>
  <c r="BC112" i="7" s="1"/>
  <c r="BB781" i="7"/>
  <c r="BC781" i="7" s="1"/>
  <c r="BB215" i="7"/>
  <c r="BC215" i="7" s="1"/>
  <c r="BB818" i="7"/>
  <c r="BC818" i="7" s="1"/>
  <c r="BB352" i="7"/>
  <c r="BC352" i="7" s="1"/>
  <c r="BB126" i="7"/>
  <c r="BC126" i="7" s="1"/>
  <c r="BB71" i="7"/>
  <c r="BC71" i="7" s="1"/>
  <c r="BB123" i="7"/>
  <c r="BC123" i="7" s="1"/>
  <c r="BB176" i="7"/>
  <c r="BC176" i="7" s="1"/>
  <c r="BB862" i="7"/>
  <c r="BC862" i="7" s="1"/>
  <c r="BB534" i="7"/>
  <c r="BC534" i="7" s="1"/>
  <c r="BB480" i="7"/>
  <c r="BC480" i="7" s="1"/>
  <c r="BB69" i="7"/>
  <c r="BC69" i="7" s="1"/>
  <c r="BB675" i="7"/>
  <c r="BC675" i="7" s="1"/>
  <c r="BB78" i="7"/>
  <c r="BC78" i="7" s="1"/>
  <c r="BB468" i="7"/>
  <c r="BC468" i="7" s="1"/>
  <c r="BB326" i="7"/>
  <c r="BC326" i="7" s="1"/>
  <c r="BB803" i="7"/>
  <c r="BC803" i="7" s="1"/>
  <c r="BB431" i="7"/>
  <c r="BC431" i="7" s="1"/>
  <c r="BB59" i="7"/>
  <c r="BC59" i="7" s="1"/>
  <c r="BB594" i="7"/>
  <c r="BC594" i="7" s="1"/>
  <c r="BB239" i="7"/>
  <c r="BC239" i="7" s="1"/>
  <c r="BB265" i="7"/>
  <c r="BC265" i="7" s="1"/>
  <c r="BB39" i="7"/>
  <c r="BC39" i="7" s="1"/>
  <c r="BB711" i="7"/>
  <c r="BC711" i="7" s="1"/>
  <c r="BB227" i="7"/>
  <c r="BC227" i="7" s="1"/>
  <c r="BB41" i="7"/>
  <c r="BC41" i="7" s="1"/>
  <c r="BB646" i="7"/>
  <c r="BC646" i="7" s="1"/>
  <c r="BB562" i="7"/>
  <c r="BC562" i="7" s="1"/>
  <c r="BB639" i="7"/>
  <c r="BC639" i="7" s="1"/>
  <c r="BB288" i="7"/>
  <c r="BC288" i="7" s="1"/>
  <c r="BB517" i="7"/>
  <c r="BC517" i="7" s="1"/>
  <c r="BB307" i="7"/>
  <c r="BC307" i="7" s="1"/>
  <c r="BB460" i="7"/>
  <c r="BC460" i="7" s="1"/>
  <c r="BB841" i="7"/>
  <c r="BC841" i="7" s="1"/>
  <c r="BB257" i="7"/>
  <c r="BC257" i="7" s="1"/>
  <c r="BB204" i="7"/>
  <c r="BC204" i="7" s="1"/>
  <c r="BB641" i="7"/>
  <c r="BC641" i="7" s="1"/>
  <c r="BB603" i="7"/>
  <c r="BC603" i="7" s="1"/>
  <c r="BB50" i="7"/>
  <c r="BC50" i="7" s="1"/>
  <c r="BB269" i="7"/>
  <c r="BC269" i="7" s="1"/>
  <c r="BB728" i="7"/>
  <c r="BC728" i="7" s="1"/>
  <c r="BB849" i="7"/>
  <c r="BC849" i="7" s="1"/>
  <c r="BB769" i="7"/>
  <c r="BC769" i="7" s="1"/>
  <c r="BB317" i="7"/>
  <c r="BC317" i="7" s="1"/>
  <c r="BB692" i="7"/>
  <c r="BC692" i="7" s="1"/>
  <c r="BB475" i="7"/>
  <c r="BC475" i="7" s="1"/>
  <c r="BB488" i="7"/>
  <c r="BC488" i="7" s="1"/>
  <c r="BB447" i="7"/>
  <c r="BC447" i="7" s="1"/>
  <c r="BB274" i="7"/>
  <c r="BC274" i="7" s="1"/>
  <c r="BB842" i="7"/>
  <c r="BC842" i="7" s="1"/>
  <c r="BB300" i="7"/>
  <c r="BC300" i="7" s="1"/>
  <c r="BB463" i="7"/>
  <c r="BC463" i="7" s="1"/>
  <c r="BB63" i="7"/>
  <c r="BC63" i="7" s="1"/>
  <c r="BB378" i="7"/>
  <c r="BC378" i="7" s="1"/>
  <c r="BB810" i="7"/>
  <c r="BC810" i="7" s="1"/>
  <c r="BB408" i="7"/>
  <c r="BC408" i="7" s="1"/>
  <c r="BB520" i="7"/>
  <c r="BC520" i="7" s="1"/>
  <c r="BB305" i="7"/>
  <c r="BC305" i="7" s="1"/>
  <c r="BB116" i="7"/>
  <c r="BC116" i="7" s="1"/>
  <c r="BB170" i="7"/>
  <c r="BC170" i="7" s="1"/>
  <c r="BB589" i="7"/>
  <c r="BC589" i="7" s="1"/>
  <c r="BB535" i="7"/>
  <c r="BC535" i="7" s="1"/>
  <c r="BB62" i="7"/>
  <c r="BC62" i="7" s="1"/>
  <c r="BB612" i="7"/>
  <c r="BC612" i="7" s="1"/>
  <c r="BB486" i="7"/>
  <c r="BC486" i="7" s="1"/>
  <c r="BB99" i="7"/>
  <c r="BC99" i="7" s="1"/>
  <c r="BB720" i="7"/>
  <c r="BC720" i="7" s="1"/>
  <c r="BB651" i="7"/>
  <c r="BC651" i="7" s="1"/>
  <c r="BB314" i="7"/>
  <c r="BC314" i="7" s="1"/>
  <c r="BB783" i="7"/>
  <c r="BC783" i="7" s="1"/>
  <c r="BB689" i="7"/>
  <c r="BC689" i="7" s="1"/>
  <c r="BB674" i="7"/>
  <c r="BC674" i="7" s="1"/>
  <c r="BB266" i="7"/>
  <c r="BC266" i="7" s="1"/>
  <c r="BB395" i="7"/>
  <c r="BC395" i="7" s="1"/>
  <c r="BB626" i="7"/>
  <c r="BC626" i="7" s="1"/>
  <c r="BB684" i="7"/>
  <c r="BC684" i="7" s="1"/>
  <c r="BB617" i="7"/>
  <c r="BC617" i="7" s="1"/>
  <c r="BB738" i="7"/>
  <c r="BC738" i="7" s="1"/>
  <c r="BB786" i="7"/>
  <c r="BC786" i="7" s="1"/>
  <c r="BB861" i="7"/>
  <c r="BC861" i="7" s="1"/>
  <c r="BB171" i="7"/>
  <c r="BC171" i="7" s="1"/>
  <c r="BB153" i="7"/>
  <c r="BC153" i="7" s="1"/>
  <c r="BB394" i="7"/>
  <c r="BC394" i="7" s="1"/>
  <c r="BB556" i="7"/>
  <c r="BC556" i="7" s="1"/>
  <c r="BB766" i="7"/>
  <c r="BC766" i="7" s="1"/>
  <c r="BB624" i="7"/>
  <c r="BC624" i="7" s="1"/>
  <c r="BB683" i="7"/>
  <c r="BC683" i="7" s="1"/>
  <c r="BB281" i="7"/>
  <c r="BC281" i="7" s="1"/>
  <c r="BB793" i="7"/>
  <c r="BC793" i="7" s="1"/>
  <c r="BB543" i="7"/>
  <c r="BC543" i="7" s="1"/>
  <c r="BB608" i="7"/>
  <c r="BC608" i="7" s="1"/>
  <c r="BB218" i="7"/>
  <c r="BC218" i="7" s="1"/>
  <c r="BB697" i="7"/>
  <c r="BC697" i="7" s="1"/>
  <c r="BB238" i="7"/>
  <c r="BC238" i="7" s="1"/>
  <c r="BB321" i="7"/>
  <c r="BC321" i="7" s="1"/>
  <c r="BB36" i="7"/>
  <c r="BC36" i="7" s="1"/>
  <c r="BB299" i="7"/>
  <c r="BC299" i="7" s="1"/>
  <c r="BB489" i="7"/>
  <c r="BC489" i="7" s="1"/>
  <c r="BB821" i="7"/>
  <c r="BC821" i="7" s="1"/>
  <c r="BB96" i="7"/>
  <c r="BC96" i="7" s="1"/>
  <c r="BB620" i="7"/>
  <c r="BC620" i="7" s="1"/>
  <c r="BB811" i="7"/>
  <c r="BC811" i="7" s="1"/>
  <c r="BB530" i="7"/>
  <c r="BC530" i="7" s="1"/>
  <c r="BB590" i="7"/>
  <c r="BC590" i="7" s="1"/>
  <c r="BB815" i="7"/>
  <c r="BC815" i="7" s="1"/>
  <c r="BB177" i="7"/>
  <c r="BC177" i="7" s="1"/>
  <c r="BB421" i="7"/>
  <c r="BC421" i="7" s="1"/>
  <c r="BB481" i="7"/>
  <c r="BC481" i="7" s="1"/>
  <c r="BB412" i="7"/>
  <c r="BC412" i="7" s="1"/>
  <c r="BB467" i="7"/>
  <c r="BC467" i="7" s="1"/>
  <c r="BB94" i="7"/>
  <c r="BC94" i="7" s="1"/>
  <c r="BB163" i="7"/>
  <c r="BC163" i="7" s="1"/>
  <c r="BB700" i="7"/>
  <c r="BC700" i="7" s="1"/>
  <c r="BB591" i="7"/>
  <c r="BC591" i="7" s="1"/>
  <c r="BB16" i="7"/>
  <c r="BC16" i="7" s="1"/>
  <c r="BB232" i="7"/>
  <c r="BC232" i="7" s="1"/>
  <c r="BB492" i="7"/>
  <c r="BC492" i="7" s="1"/>
  <c r="BB119" i="7"/>
  <c r="BC119" i="7" s="1"/>
  <c r="BB368" i="7"/>
  <c r="BC368" i="7" s="1"/>
  <c r="BB691" i="7"/>
  <c r="BC691" i="7" s="1"/>
  <c r="BB788" i="7"/>
  <c r="BC788" i="7" s="1"/>
  <c r="BB804" i="7"/>
  <c r="BC804" i="7" s="1"/>
  <c r="BB211" i="7"/>
  <c r="BC211" i="7" s="1"/>
  <c r="BB373" i="7"/>
  <c r="BC373" i="7" s="1"/>
  <c r="BB860" i="7"/>
  <c r="BC860" i="7" s="1"/>
  <c r="BB745" i="7"/>
  <c r="BC745" i="7" s="1"/>
  <c r="BB33" i="7"/>
  <c r="BC33" i="7" s="1"/>
  <c r="BB850" i="7"/>
  <c r="BC850" i="7" s="1"/>
  <c r="BB270" i="7"/>
  <c r="BC270" i="7" s="1"/>
  <c r="BK231" i="7"/>
  <c r="BK557" i="7"/>
  <c r="BK214" i="7"/>
  <c r="BK776" i="7"/>
  <c r="BK248" i="7"/>
  <c r="BK301" i="7"/>
  <c r="BK145" i="7"/>
  <c r="BK234" i="7"/>
  <c r="BK358" i="7"/>
  <c r="BK348" i="7"/>
  <c r="BK638" i="7"/>
  <c r="BK392" i="7"/>
  <c r="BK498" i="7"/>
  <c r="BK31" i="7"/>
  <c r="BK360" i="7"/>
  <c r="BK655" i="7"/>
  <c r="BK276" i="7"/>
  <c r="BK91" i="7"/>
  <c r="BK235" i="7"/>
  <c r="BK347" i="7"/>
  <c r="BK659" i="7"/>
  <c r="BK537" i="7"/>
  <c r="BK732" i="7"/>
  <c r="BK751" i="7"/>
  <c r="BK23" i="7"/>
  <c r="BK336" i="7"/>
  <c r="BK455" i="7"/>
  <c r="BK247" i="7"/>
  <c r="BK339" i="7"/>
  <c r="BK396" i="7"/>
  <c r="BK246" i="7"/>
  <c r="BK797" i="7"/>
  <c r="BK538" i="7"/>
  <c r="BK355" i="7"/>
  <c r="BK420" i="7"/>
  <c r="BK315" i="7"/>
  <c r="BK792" i="7"/>
  <c r="BK709" i="7"/>
  <c r="BK456" i="7"/>
  <c r="BK175" i="7"/>
  <c r="BK450" i="7"/>
  <c r="BK566" i="7"/>
  <c r="BK840" i="7"/>
  <c r="BK636" i="7"/>
  <c r="BK253" i="7"/>
  <c r="BK251" i="7"/>
  <c r="BK483" i="7"/>
  <c r="BK476" i="7"/>
  <c r="BK260" i="7"/>
  <c r="BK413" i="7"/>
  <c r="BK199" i="7"/>
  <c r="BK324" i="7"/>
  <c r="BK866" i="7"/>
  <c r="BK93" i="7"/>
  <c r="BK859" i="7"/>
  <c r="BK406" i="7"/>
  <c r="BK185" i="7"/>
  <c r="BK650" i="7"/>
  <c r="BK104" i="7"/>
  <c r="BK206" i="7"/>
  <c r="BK271" i="7"/>
  <c r="BK662" i="7"/>
  <c r="BK750" i="7"/>
  <c r="BK112" i="7"/>
  <c r="BK781" i="7"/>
  <c r="BK215" i="7"/>
  <c r="BK818" i="7"/>
  <c r="BK352" i="7"/>
  <c r="BK126" i="7"/>
  <c r="BK71" i="7"/>
  <c r="BK123" i="7"/>
  <c r="BK176" i="7"/>
  <c r="BK862" i="7"/>
  <c r="BK534" i="7"/>
  <c r="BK480" i="7"/>
  <c r="BK69" i="7"/>
  <c r="BK675" i="7"/>
  <c r="BK78" i="7"/>
  <c r="BK468" i="7"/>
  <c r="BK326" i="7"/>
  <c r="BK803" i="7"/>
  <c r="BK431" i="7"/>
  <c r="BK59" i="7"/>
  <c r="BK594" i="7"/>
  <c r="BK239" i="7"/>
  <c r="BK265" i="7"/>
  <c r="BK39" i="7"/>
  <c r="BK711" i="7"/>
  <c r="BK227" i="7"/>
  <c r="BK41" i="7"/>
  <c r="BK646" i="7"/>
  <c r="BK562" i="7"/>
  <c r="BK639" i="7"/>
  <c r="BK288" i="7"/>
  <c r="BK517" i="7"/>
  <c r="BK307" i="7"/>
  <c r="BK460" i="7"/>
  <c r="BK841" i="7"/>
  <c r="BK257" i="7"/>
  <c r="BK204" i="7"/>
  <c r="BK641" i="7"/>
  <c r="BK603" i="7"/>
  <c r="BK50" i="7"/>
  <c r="BK269" i="7"/>
  <c r="BK728" i="7"/>
  <c r="BK849" i="7"/>
  <c r="BK769" i="7"/>
  <c r="BK317" i="7"/>
  <c r="BK692" i="7"/>
  <c r="BK475" i="7"/>
  <c r="BK488" i="7"/>
  <c r="BK447" i="7"/>
  <c r="BK274" i="7"/>
  <c r="BK842" i="7"/>
  <c r="BK300" i="7"/>
  <c r="BK463" i="7"/>
  <c r="BK63" i="7"/>
  <c r="BK378" i="7"/>
  <c r="BK810" i="7"/>
  <c r="BK408" i="7"/>
  <c r="BK520" i="7"/>
  <c r="BK305" i="7"/>
  <c r="BK116" i="7"/>
  <c r="BK170" i="7"/>
  <c r="BK589" i="7"/>
  <c r="BK535" i="7"/>
  <c r="BK62" i="7"/>
  <c r="BK612" i="7"/>
  <c r="BK486" i="7"/>
  <c r="BK99" i="7"/>
  <c r="BK720" i="7"/>
  <c r="BK651" i="7"/>
  <c r="BK314" i="7"/>
  <c r="BK783" i="7"/>
  <c r="BK689" i="7"/>
  <c r="BK674" i="7"/>
  <c r="BK266" i="7"/>
  <c r="BK395" i="7"/>
  <c r="BK626" i="7"/>
  <c r="BK684" i="7"/>
  <c r="BK617" i="7"/>
  <c r="BK738" i="7"/>
  <c r="BK786" i="7"/>
  <c r="BK861" i="7"/>
  <c r="BK171" i="7"/>
  <c r="BK153" i="7"/>
  <c r="BK394" i="7"/>
  <c r="BK556" i="7"/>
  <c r="BK766" i="7"/>
  <c r="BK624" i="7"/>
  <c r="BK683" i="7"/>
  <c r="BK281" i="7"/>
  <c r="BK793" i="7"/>
  <c r="BK543" i="7"/>
  <c r="BK608" i="7"/>
  <c r="BK218" i="7"/>
  <c r="BK697" i="7"/>
  <c r="BK238" i="7"/>
  <c r="BK321" i="7"/>
  <c r="BK36" i="7"/>
  <c r="BK299" i="7"/>
  <c r="BK489" i="7"/>
  <c r="BK821" i="7"/>
  <c r="BK96" i="7"/>
  <c r="BK620" i="7"/>
  <c r="BK811" i="7"/>
  <c r="BK530" i="7"/>
  <c r="BK590" i="7"/>
  <c r="BK815" i="7"/>
  <c r="BK177" i="7"/>
  <c r="BK421" i="7"/>
  <c r="BK481" i="7"/>
  <c r="BK412" i="7"/>
  <c r="BK467" i="7"/>
  <c r="BK94" i="7"/>
  <c r="BK163" i="7"/>
  <c r="BK700" i="7"/>
  <c r="BK591" i="7"/>
  <c r="BK16" i="7"/>
  <c r="BK232" i="7"/>
  <c r="BK492" i="7"/>
  <c r="BK119" i="7"/>
  <c r="BK368" i="7"/>
  <c r="BK691" i="7"/>
  <c r="BK788" i="7"/>
  <c r="BK804" i="7"/>
  <c r="BK211" i="7"/>
  <c r="BK373" i="7"/>
  <c r="BK860" i="7"/>
  <c r="BK745" i="7"/>
  <c r="BK33" i="7"/>
  <c r="BK850" i="7"/>
  <c r="BK270" i="7"/>
  <c r="BQ231" i="7"/>
  <c r="BQ557" i="7"/>
  <c r="BQ214" i="7"/>
  <c r="BQ776" i="7"/>
  <c r="BQ248" i="7"/>
  <c r="BQ301" i="7"/>
  <c r="BQ145" i="7"/>
  <c r="BQ234" i="7"/>
  <c r="BQ358" i="7"/>
  <c r="BQ348" i="7"/>
  <c r="BQ638" i="7"/>
  <c r="BQ392" i="7"/>
  <c r="BQ498" i="7"/>
  <c r="BQ31" i="7"/>
  <c r="BQ360" i="7"/>
  <c r="BQ655" i="7"/>
  <c r="BQ276" i="7"/>
  <c r="BQ91" i="7"/>
  <c r="BQ235" i="7"/>
  <c r="BQ347" i="7"/>
  <c r="BQ659" i="7"/>
  <c r="BQ537" i="7"/>
  <c r="BQ732" i="7"/>
  <c r="BQ751" i="7"/>
  <c r="BQ23" i="7"/>
  <c r="BQ336" i="7"/>
  <c r="BQ455" i="7"/>
  <c r="BQ247" i="7"/>
  <c r="BQ339" i="7"/>
  <c r="BQ396" i="7"/>
  <c r="BQ246" i="7"/>
  <c r="BQ797" i="7"/>
  <c r="BQ538" i="7"/>
  <c r="BQ355" i="7"/>
  <c r="BQ420" i="7"/>
  <c r="BQ315" i="7"/>
  <c r="BQ792" i="7"/>
  <c r="BQ709" i="7"/>
  <c r="BQ456" i="7"/>
  <c r="BQ175" i="7"/>
  <c r="BQ450" i="7"/>
  <c r="BQ566" i="7"/>
  <c r="BQ840" i="7"/>
  <c r="BQ636" i="7"/>
  <c r="BQ253" i="7"/>
  <c r="BQ251" i="7"/>
  <c r="BQ483" i="7"/>
  <c r="BQ476" i="7"/>
  <c r="BQ260" i="7"/>
  <c r="BQ413" i="7"/>
  <c r="BQ199" i="7"/>
  <c r="BQ324" i="7"/>
  <c r="BQ866" i="7"/>
  <c r="BQ93" i="7"/>
  <c r="BQ859" i="7"/>
  <c r="BQ406" i="7"/>
  <c r="BQ185" i="7"/>
  <c r="BQ650" i="7"/>
  <c r="BQ104" i="7"/>
  <c r="BQ206" i="7"/>
  <c r="BQ271" i="7"/>
  <c r="BQ662" i="7"/>
  <c r="BQ750" i="7"/>
  <c r="BQ112" i="7"/>
  <c r="BQ781" i="7"/>
  <c r="BQ215" i="7"/>
  <c r="BQ818" i="7"/>
  <c r="BQ352" i="7"/>
  <c r="BQ126" i="7"/>
  <c r="BQ71" i="7"/>
  <c r="BQ123" i="7"/>
  <c r="BQ176" i="7"/>
  <c r="BQ862" i="7"/>
  <c r="BQ534" i="7"/>
  <c r="BQ480" i="7"/>
  <c r="BQ69" i="7"/>
  <c r="BQ675" i="7"/>
  <c r="BQ78" i="7"/>
  <c r="BQ468" i="7"/>
  <c r="BQ326" i="7"/>
  <c r="BQ803" i="7"/>
  <c r="BQ431" i="7"/>
  <c r="BQ59" i="7"/>
  <c r="BQ594" i="7"/>
  <c r="BQ239" i="7"/>
  <c r="BQ265" i="7"/>
  <c r="BQ39" i="7"/>
  <c r="BQ711" i="7"/>
  <c r="BQ227" i="7"/>
  <c r="BQ41" i="7"/>
  <c r="BQ646" i="7"/>
  <c r="BQ562" i="7"/>
  <c r="BQ639" i="7"/>
  <c r="BQ288" i="7"/>
  <c r="BQ517" i="7"/>
  <c r="BQ307" i="7"/>
  <c r="BQ460" i="7"/>
  <c r="BQ841" i="7"/>
  <c r="BQ257" i="7"/>
  <c r="BQ204" i="7"/>
  <c r="BQ641" i="7"/>
  <c r="BQ603" i="7"/>
  <c r="BQ50" i="7"/>
  <c r="BQ269" i="7"/>
  <c r="BQ728" i="7"/>
  <c r="BQ849" i="7"/>
  <c r="BQ769" i="7"/>
  <c r="BQ317" i="7"/>
  <c r="BQ692" i="7"/>
  <c r="BQ475" i="7"/>
  <c r="BQ488" i="7"/>
  <c r="BQ447" i="7"/>
  <c r="BQ274" i="7"/>
  <c r="BQ842" i="7"/>
  <c r="BQ300" i="7"/>
  <c r="BQ463" i="7"/>
  <c r="BQ63" i="7"/>
  <c r="BQ378" i="7"/>
  <c r="BQ810" i="7"/>
  <c r="BQ408" i="7"/>
  <c r="BQ520" i="7"/>
  <c r="BQ305" i="7"/>
  <c r="BQ116" i="7"/>
  <c r="BQ170" i="7"/>
  <c r="BQ589" i="7"/>
  <c r="BQ535" i="7"/>
  <c r="BQ62" i="7"/>
  <c r="BQ612" i="7"/>
  <c r="BQ486" i="7"/>
  <c r="BQ99" i="7"/>
  <c r="BQ720" i="7"/>
  <c r="BQ651" i="7"/>
  <c r="BQ314" i="7"/>
  <c r="BQ783" i="7"/>
  <c r="BQ689" i="7"/>
  <c r="BQ674" i="7"/>
  <c r="BQ266" i="7"/>
  <c r="BQ395" i="7"/>
  <c r="BQ626" i="7"/>
  <c r="BQ684" i="7"/>
  <c r="BQ617" i="7"/>
  <c r="BQ738" i="7"/>
  <c r="BQ786" i="7"/>
  <c r="BQ861" i="7"/>
  <c r="BQ171" i="7"/>
  <c r="BQ153" i="7"/>
  <c r="BQ394" i="7"/>
  <c r="BQ556" i="7"/>
  <c r="BQ766" i="7"/>
  <c r="BQ624" i="7"/>
  <c r="BQ683" i="7"/>
  <c r="BQ281" i="7"/>
  <c r="BQ793" i="7"/>
  <c r="BQ543" i="7"/>
  <c r="BQ608" i="7"/>
  <c r="BQ218" i="7"/>
  <c r="BQ697" i="7"/>
  <c r="BQ238" i="7"/>
  <c r="BQ321" i="7"/>
  <c r="BQ36" i="7"/>
  <c r="BQ299" i="7"/>
  <c r="BQ489" i="7"/>
  <c r="BQ821" i="7"/>
  <c r="BQ96" i="7"/>
  <c r="BQ620" i="7"/>
  <c r="BQ811" i="7"/>
  <c r="BQ530" i="7"/>
  <c r="BQ590" i="7"/>
  <c r="BQ815" i="7"/>
  <c r="BQ177" i="7"/>
  <c r="BQ421" i="7"/>
  <c r="BQ481" i="7"/>
  <c r="BQ412" i="7"/>
  <c r="BQ467" i="7"/>
  <c r="BQ94" i="7"/>
  <c r="BQ163" i="7"/>
  <c r="BQ700" i="7"/>
  <c r="BQ591" i="7"/>
  <c r="BQ16" i="7"/>
  <c r="BQ232" i="7"/>
  <c r="BQ492" i="7"/>
  <c r="BQ119" i="7"/>
  <c r="BQ368" i="7"/>
  <c r="BQ691" i="7"/>
  <c r="BQ788" i="7"/>
  <c r="BQ804" i="7"/>
  <c r="BQ211" i="7"/>
  <c r="BQ373" i="7"/>
  <c r="BQ860" i="7"/>
  <c r="BQ745" i="7"/>
  <c r="BQ33" i="7"/>
  <c r="BQ850" i="7"/>
  <c r="BQ270" i="7"/>
  <c r="BR231" i="7"/>
  <c r="BR557" i="7"/>
  <c r="BR214" i="7"/>
  <c r="BR776" i="7"/>
  <c r="BR248" i="7"/>
  <c r="BR301" i="7"/>
  <c r="BR145" i="7"/>
  <c r="BR234" i="7"/>
  <c r="BR358" i="7"/>
  <c r="BR348" i="7"/>
  <c r="BR638" i="7"/>
  <c r="BR392" i="7"/>
  <c r="BR498" i="7"/>
  <c r="BR31" i="7"/>
  <c r="BR360" i="7"/>
  <c r="BR655" i="7"/>
  <c r="BR276" i="7"/>
  <c r="BR91" i="7"/>
  <c r="BR235" i="7"/>
  <c r="BR347" i="7"/>
  <c r="BR659" i="7"/>
  <c r="BR537" i="7"/>
  <c r="BR732" i="7"/>
  <c r="BR751" i="7"/>
  <c r="BR23" i="7"/>
  <c r="BR336" i="7"/>
  <c r="BR455" i="7"/>
  <c r="BR247" i="7"/>
  <c r="BR339" i="7"/>
  <c r="BR396" i="7"/>
  <c r="BR246" i="7"/>
  <c r="BR797" i="7"/>
  <c r="BR538" i="7"/>
  <c r="BR355" i="7"/>
  <c r="BR420" i="7"/>
  <c r="BR315" i="7"/>
  <c r="BR792" i="7"/>
  <c r="BR709" i="7"/>
  <c r="BR456" i="7"/>
  <c r="BR175" i="7"/>
  <c r="BR450" i="7"/>
  <c r="BR566" i="7"/>
  <c r="BR840" i="7"/>
  <c r="BR636" i="7"/>
  <c r="BR253" i="7"/>
  <c r="BR251" i="7"/>
  <c r="BR483" i="7"/>
  <c r="BR476" i="7"/>
  <c r="BR260" i="7"/>
  <c r="BR413" i="7"/>
  <c r="BR199" i="7"/>
  <c r="BR324" i="7"/>
  <c r="BR866" i="7"/>
  <c r="BR93" i="7"/>
  <c r="BR859" i="7"/>
  <c r="BR406" i="7"/>
  <c r="BR185" i="7"/>
  <c r="BR650" i="7"/>
  <c r="BR104" i="7"/>
  <c r="BR206" i="7"/>
  <c r="BR271" i="7"/>
  <c r="BR662" i="7"/>
  <c r="BR750" i="7"/>
  <c r="BR112" i="7"/>
  <c r="BR781" i="7"/>
  <c r="BR215" i="7"/>
  <c r="BR818" i="7"/>
  <c r="BR352" i="7"/>
  <c r="BR126" i="7"/>
  <c r="BR71" i="7"/>
  <c r="BR123" i="7"/>
  <c r="BR176" i="7"/>
  <c r="BR862" i="7"/>
  <c r="BR534" i="7"/>
  <c r="BR480" i="7"/>
  <c r="BR69" i="7"/>
  <c r="BR675" i="7"/>
  <c r="BR78" i="7"/>
  <c r="BR468" i="7"/>
  <c r="BR326" i="7"/>
  <c r="BR803" i="7"/>
  <c r="BR431" i="7"/>
  <c r="BR59" i="7"/>
  <c r="BR594" i="7"/>
  <c r="BR239" i="7"/>
  <c r="BR265" i="7"/>
  <c r="BR39" i="7"/>
  <c r="BR711" i="7"/>
  <c r="BR227" i="7"/>
  <c r="BR41" i="7"/>
  <c r="BR646" i="7"/>
  <c r="BR562" i="7"/>
  <c r="BR639" i="7"/>
  <c r="BR288" i="7"/>
  <c r="BR517" i="7"/>
  <c r="BR307" i="7"/>
  <c r="BR460" i="7"/>
  <c r="BR841" i="7"/>
  <c r="BR257" i="7"/>
  <c r="BR204" i="7"/>
  <c r="BR641" i="7"/>
  <c r="BR603" i="7"/>
  <c r="BR50" i="7"/>
  <c r="BR269" i="7"/>
  <c r="BR728" i="7"/>
  <c r="BR849" i="7"/>
  <c r="BR769" i="7"/>
  <c r="BR317" i="7"/>
  <c r="BR692" i="7"/>
  <c r="BR475" i="7"/>
  <c r="BR488" i="7"/>
  <c r="BR447" i="7"/>
  <c r="BR274" i="7"/>
  <c r="BR842" i="7"/>
  <c r="BR300" i="7"/>
  <c r="BR463" i="7"/>
  <c r="BR63" i="7"/>
  <c r="BR378" i="7"/>
  <c r="BR810" i="7"/>
  <c r="BR408" i="7"/>
  <c r="BR520" i="7"/>
  <c r="BR305" i="7"/>
  <c r="BR116" i="7"/>
  <c r="BR170" i="7"/>
  <c r="BR589" i="7"/>
  <c r="BR535" i="7"/>
  <c r="BR62" i="7"/>
  <c r="BR612" i="7"/>
  <c r="BR486" i="7"/>
  <c r="BR99" i="7"/>
  <c r="BR720" i="7"/>
  <c r="BR651" i="7"/>
  <c r="BR314" i="7"/>
  <c r="BR783" i="7"/>
  <c r="BR689" i="7"/>
  <c r="BR674" i="7"/>
  <c r="BR266" i="7"/>
  <c r="BR395" i="7"/>
  <c r="BR626" i="7"/>
  <c r="BR684" i="7"/>
  <c r="BR617" i="7"/>
  <c r="BR738" i="7"/>
  <c r="BR786" i="7"/>
  <c r="BR861" i="7"/>
  <c r="BR171" i="7"/>
  <c r="BR153" i="7"/>
  <c r="BR394" i="7"/>
  <c r="BR556" i="7"/>
  <c r="BR766" i="7"/>
  <c r="BR624" i="7"/>
  <c r="BR683" i="7"/>
  <c r="BR281" i="7"/>
  <c r="BR793" i="7"/>
  <c r="BR543" i="7"/>
  <c r="BR608" i="7"/>
  <c r="BR218" i="7"/>
  <c r="BR697" i="7"/>
  <c r="BR238" i="7"/>
  <c r="BR321" i="7"/>
  <c r="BR36" i="7"/>
  <c r="BR299" i="7"/>
  <c r="BR489" i="7"/>
  <c r="BR821" i="7"/>
  <c r="BR96" i="7"/>
  <c r="BR620" i="7"/>
  <c r="BR811" i="7"/>
  <c r="BR530" i="7"/>
  <c r="BR590" i="7"/>
  <c r="BR815" i="7"/>
  <c r="BR177" i="7"/>
  <c r="BR421" i="7"/>
  <c r="BR481" i="7"/>
  <c r="BR412" i="7"/>
  <c r="BR467" i="7"/>
  <c r="BR94" i="7"/>
  <c r="BR163" i="7"/>
  <c r="BR700" i="7"/>
  <c r="BR591" i="7"/>
  <c r="BR16" i="7"/>
  <c r="BR232" i="7"/>
  <c r="BR492" i="7"/>
  <c r="BR119" i="7"/>
  <c r="BR368" i="7"/>
  <c r="BR691" i="7"/>
  <c r="BR788" i="7"/>
  <c r="BR804" i="7"/>
  <c r="BR211" i="7"/>
  <c r="BR373" i="7"/>
  <c r="BR860" i="7"/>
  <c r="BR745" i="7"/>
  <c r="BR33" i="7"/>
  <c r="BR850" i="7"/>
  <c r="BR270" i="7"/>
  <c r="BU231" i="7"/>
  <c r="BU557" i="7"/>
  <c r="BU214" i="7"/>
  <c r="BU776" i="7"/>
  <c r="BU248" i="7"/>
  <c r="BU301" i="7"/>
  <c r="BU145" i="7"/>
  <c r="BU234" i="7"/>
  <c r="BU358" i="7"/>
  <c r="BU348" i="7"/>
  <c r="BU638" i="7"/>
  <c r="BU392" i="7"/>
  <c r="BU498" i="7"/>
  <c r="BU31" i="7"/>
  <c r="BU360" i="7"/>
  <c r="BU655" i="7"/>
  <c r="BU276" i="7"/>
  <c r="BU91" i="7"/>
  <c r="BU235" i="7"/>
  <c r="BU347" i="7"/>
  <c r="BU659" i="7"/>
  <c r="BU537" i="7"/>
  <c r="BU732" i="7"/>
  <c r="BU751" i="7"/>
  <c r="BU23" i="7"/>
  <c r="BU336" i="7"/>
  <c r="BU455" i="7"/>
  <c r="BU247" i="7"/>
  <c r="BU339" i="7"/>
  <c r="BU396" i="7"/>
  <c r="BU246" i="7"/>
  <c r="BU797" i="7"/>
  <c r="BU538" i="7"/>
  <c r="BU355" i="7"/>
  <c r="BU420" i="7"/>
  <c r="BU315" i="7"/>
  <c r="BU792" i="7"/>
  <c r="BU709" i="7"/>
  <c r="BU456" i="7"/>
  <c r="BU175" i="7"/>
  <c r="BU450" i="7"/>
  <c r="BU566" i="7"/>
  <c r="BU840" i="7"/>
  <c r="BU636" i="7"/>
  <c r="BU253" i="7"/>
  <c r="BU251" i="7"/>
  <c r="BU483" i="7"/>
  <c r="BU476" i="7"/>
  <c r="BU260" i="7"/>
  <c r="BU413" i="7"/>
  <c r="BU199" i="7"/>
  <c r="BU324" i="7"/>
  <c r="BU866" i="7"/>
  <c r="BU93" i="7"/>
  <c r="BU859" i="7"/>
  <c r="BU406" i="7"/>
  <c r="BU185" i="7"/>
  <c r="BU650" i="7"/>
  <c r="BU104" i="7"/>
  <c r="BU206" i="7"/>
  <c r="BU271" i="7"/>
  <c r="BU662" i="7"/>
  <c r="BU750" i="7"/>
  <c r="BU112" i="7"/>
  <c r="BU781" i="7"/>
  <c r="BU215" i="7"/>
  <c r="BU818" i="7"/>
  <c r="BU352" i="7"/>
  <c r="BU126" i="7"/>
  <c r="BU71" i="7"/>
  <c r="BU123" i="7"/>
  <c r="BU176" i="7"/>
  <c r="BU862" i="7"/>
  <c r="BU534" i="7"/>
  <c r="BU480" i="7"/>
  <c r="BU69" i="7"/>
  <c r="BU675" i="7"/>
  <c r="BU78" i="7"/>
  <c r="BU468" i="7"/>
  <c r="BU326" i="7"/>
  <c r="BU803" i="7"/>
  <c r="BU431" i="7"/>
  <c r="BU59" i="7"/>
  <c r="BU594" i="7"/>
  <c r="BU239" i="7"/>
  <c r="BU265" i="7"/>
  <c r="BU39" i="7"/>
  <c r="BU711" i="7"/>
  <c r="BU227" i="7"/>
  <c r="BU41" i="7"/>
  <c r="BU646" i="7"/>
  <c r="BU562" i="7"/>
  <c r="BU639" i="7"/>
  <c r="BU288" i="7"/>
  <c r="BU517" i="7"/>
  <c r="BU307" i="7"/>
  <c r="BU460" i="7"/>
  <c r="BU841" i="7"/>
  <c r="BU257" i="7"/>
  <c r="BU204" i="7"/>
  <c r="BU641" i="7"/>
  <c r="BU603" i="7"/>
  <c r="BU50" i="7"/>
  <c r="BU269" i="7"/>
  <c r="BU728" i="7"/>
  <c r="BU849" i="7"/>
  <c r="BU769" i="7"/>
  <c r="BU317" i="7"/>
  <c r="BU692" i="7"/>
  <c r="BU475" i="7"/>
  <c r="BU488" i="7"/>
  <c r="BU447" i="7"/>
  <c r="BU274" i="7"/>
  <c r="BU842" i="7"/>
  <c r="BU300" i="7"/>
  <c r="BU463" i="7"/>
  <c r="BU63" i="7"/>
  <c r="BU378" i="7"/>
  <c r="BU810" i="7"/>
  <c r="BU408" i="7"/>
  <c r="BU520" i="7"/>
  <c r="BU305" i="7"/>
  <c r="BU116" i="7"/>
  <c r="BU170" i="7"/>
  <c r="BU589" i="7"/>
  <c r="BU535" i="7"/>
  <c r="BU62" i="7"/>
  <c r="BU612" i="7"/>
  <c r="BU486" i="7"/>
  <c r="BU99" i="7"/>
  <c r="BU720" i="7"/>
  <c r="BU651" i="7"/>
  <c r="BU314" i="7"/>
  <c r="BU783" i="7"/>
  <c r="BU689" i="7"/>
  <c r="BU674" i="7"/>
  <c r="BU266" i="7"/>
  <c r="BU395" i="7"/>
  <c r="BU626" i="7"/>
  <c r="BU684" i="7"/>
  <c r="BU617" i="7"/>
  <c r="BU738" i="7"/>
  <c r="BU786" i="7"/>
  <c r="BU861" i="7"/>
  <c r="BU171" i="7"/>
  <c r="BU153" i="7"/>
  <c r="BU394" i="7"/>
  <c r="BU556" i="7"/>
  <c r="BU766" i="7"/>
  <c r="BU624" i="7"/>
  <c r="BU683" i="7"/>
  <c r="BU281" i="7"/>
  <c r="BU793" i="7"/>
  <c r="BU543" i="7"/>
  <c r="BU608" i="7"/>
  <c r="BU218" i="7"/>
  <c r="BU697" i="7"/>
  <c r="BU238" i="7"/>
  <c r="BU321" i="7"/>
  <c r="BU36" i="7"/>
  <c r="BU299" i="7"/>
  <c r="BU489" i="7"/>
  <c r="BU821" i="7"/>
  <c r="BU96" i="7"/>
  <c r="BU620" i="7"/>
  <c r="BU811" i="7"/>
  <c r="BU530" i="7"/>
  <c r="BU590" i="7"/>
  <c r="BU815" i="7"/>
  <c r="BU177" i="7"/>
  <c r="BU421" i="7"/>
  <c r="BU481" i="7"/>
  <c r="BU412" i="7"/>
  <c r="BU467" i="7"/>
  <c r="BU94" i="7"/>
  <c r="BU163" i="7"/>
  <c r="BU700" i="7"/>
  <c r="BU591" i="7"/>
  <c r="BU16" i="7"/>
  <c r="BU232" i="7"/>
  <c r="BU492" i="7"/>
  <c r="BU119" i="7"/>
  <c r="BU368" i="7"/>
  <c r="BU691" i="7"/>
  <c r="BU788" i="7"/>
  <c r="BU804" i="7"/>
  <c r="BU211" i="7"/>
  <c r="BU373" i="7"/>
  <c r="BU860" i="7"/>
  <c r="BU745" i="7"/>
  <c r="BU33" i="7"/>
  <c r="BU850" i="7"/>
  <c r="BU270" i="7"/>
  <c r="K16" i="15"/>
  <c r="K17" i="15"/>
  <c r="K48" i="15"/>
  <c r="K49" i="15"/>
  <c r="K64" i="15"/>
  <c r="K65" i="15"/>
  <c r="K80" i="15"/>
  <c r="K81" i="15"/>
  <c r="K96" i="15"/>
  <c r="K97" i="15"/>
  <c r="K112" i="15"/>
  <c r="K113" i="15"/>
  <c r="K128" i="15"/>
  <c r="K129" i="15"/>
  <c r="K144" i="15"/>
  <c r="K145" i="15"/>
  <c r="K160" i="15"/>
  <c r="K161" i="15"/>
  <c r="Q161" i="15" s="1"/>
  <c r="K176" i="15"/>
  <c r="K177" i="15"/>
  <c r="K192" i="15"/>
  <c r="K193" i="15"/>
  <c r="Q193" i="15" s="1"/>
  <c r="K209" i="15"/>
  <c r="Q209" i="15" s="1"/>
  <c r="K224" i="15"/>
  <c r="K225" i="15"/>
  <c r="K240" i="15"/>
  <c r="K241" i="15"/>
  <c r="K256" i="15"/>
  <c r="K257" i="15"/>
  <c r="K272" i="15"/>
  <c r="K273" i="15"/>
  <c r="K288" i="15"/>
  <c r="K289" i="15"/>
  <c r="K304" i="15"/>
  <c r="K305" i="15"/>
  <c r="K320" i="15"/>
  <c r="K321" i="15"/>
  <c r="K337" i="15"/>
  <c r="K352" i="15"/>
  <c r="K353" i="15"/>
  <c r="K368" i="15"/>
  <c r="K369" i="15"/>
  <c r="K384" i="15"/>
  <c r="K385" i="15"/>
  <c r="K400" i="15"/>
  <c r="K401" i="15"/>
  <c r="K416" i="15"/>
  <c r="K417" i="15"/>
  <c r="K433" i="15"/>
  <c r="K449" i="15"/>
  <c r="K465" i="15"/>
  <c r="K481" i="15"/>
  <c r="K497" i="15"/>
  <c r="K513" i="15"/>
  <c r="K529" i="15"/>
  <c r="K545" i="15"/>
  <c r="K561" i="15"/>
  <c r="K577" i="15"/>
  <c r="K593" i="15"/>
  <c r="K609" i="15"/>
  <c r="K625" i="15"/>
  <c r="K641" i="15"/>
  <c r="K657" i="15"/>
  <c r="K673" i="15"/>
  <c r="K689" i="15"/>
  <c r="K705" i="15"/>
  <c r="K721" i="15"/>
  <c r="K737" i="15"/>
  <c r="K753" i="15"/>
  <c r="K769" i="15"/>
  <c r="K759" i="15"/>
  <c r="K758" i="15"/>
  <c r="K743" i="15"/>
  <c r="K742" i="15"/>
  <c r="K727" i="15"/>
  <c r="K726" i="15"/>
  <c r="K711" i="15"/>
  <c r="K710" i="15"/>
  <c r="K695" i="15"/>
  <c r="K694" i="15"/>
  <c r="K679" i="15"/>
  <c r="K678" i="15"/>
  <c r="K663" i="15"/>
  <c r="K662" i="15"/>
  <c r="K647" i="15"/>
  <c r="K646" i="15"/>
  <c r="K631" i="15"/>
  <c r="K630" i="15"/>
  <c r="K615" i="15"/>
  <c r="K614" i="15"/>
  <c r="K599" i="15"/>
  <c r="K598" i="15"/>
  <c r="K583" i="15"/>
  <c r="K582" i="15"/>
  <c r="K567" i="15"/>
  <c r="K566" i="15"/>
  <c r="K551" i="15"/>
  <c r="K550" i="15"/>
  <c r="K535" i="15"/>
  <c r="K534" i="15"/>
  <c r="K519" i="15"/>
  <c r="K518" i="15"/>
  <c r="K503" i="15"/>
  <c r="K502" i="15"/>
  <c r="K487" i="15"/>
  <c r="K486" i="15"/>
  <c r="K471" i="15"/>
  <c r="K470" i="15"/>
  <c r="K455" i="15"/>
  <c r="K454" i="15"/>
  <c r="K439" i="15"/>
  <c r="K438" i="15"/>
  <c r="K423" i="15"/>
  <c r="K422" i="15"/>
  <c r="K407" i="15"/>
  <c r="K406" i="15"/>
  <c r="K391" i="15"/>
  <c r="K390" i="15"/>
  <c r="K375" i="15"/>
  <c r="K374" i="15"/>
  <c r="K359" i="15"/>
  <c r="K358" i="15"/>
  <c r="K343" i="15"/>
  <c r="K342" i="15"/>
  <c r="K327" i="15"/>
  <c r="K326" i="15"/>
  <c r="K311" i="15"/>
  <c r="K310" i="15"/>
  <c r="K295" i="15"/>
  <c r="K294" i="15"/>
  <c r="K279" i="15"/>
  <c r="K278" i="15"/>
  <c r="K263" i="15"/>
  <c r="K262" i="15"/>
  <c r="K247" i="15"/>
  <c r="K246" i="15"/>
  <c r="K231" i="15"/>
  <c r="K230" i="15"/>
  <c r="K215" i="15"/>
  <c r="K214" i="15"/>
  <c r="K199" i="15"/>
  <c r="K198" i="15"/>
  <c r="K183" i="15"/>
  <c r="K182" i="15"/>
  <c r="K167" i="15"/>
  <c r="K166" i="15"/>
  <c r="K151" i="15"/>
  <c r="K150" i="15"/>
  <c r="K135" i="15"/>
  <c r="K134" i="15"/>
  <c r="K119" i="15"/>
  <c r="K118" i="15"/>
  <c r="K103" i="15"/>
  <c r="Q103" i="15" s="1"/>
  <c r="K102" i="15"/>
  <c r="K93" i="15"/>
  <c r="K87" i="15"/>
  <c r="K86" i="15"/>
  <c r="K82" i="15"/>
  <c r="K77" i="15"/>
  <c r="Q77" i="15" s="1"/>
  <c r="K71" i="15"/>
  <c r="K70" i="15"/>
  <c r="K66" i="15"/>
  <c r="K61" i="15"/>
  <c r="K55" i="15"/>
  <c r="K54" i="15"/>
  <c r="K50" i="15"/>
  <c r="K47" i="15"/>
  <c r="K45" i="15"/>
  <c r="K39" i="15"/>
  <c r="K38" i="15"/>
  <c r="K34" i="15"/>
  <c r="K31" i="15"/>
  <c r="K29" i="15"/>
  <c r="K23" i="15"/>
  <c r="K22" i="15"/>
  <c r="K18" i="15"/>
  <c r="K15" i="15"/>
  <c r="K13" i="15"/>
  <c r="K7" i="15"/>
  <c r="K6" i="15"/>
  <c r="C6" i="15"/>
  <c r="C7" i="15"/>
  <c r="C8" i="15"/>
  <c r="C9" i="15"/>
  <c r="C10" i="15"/>
  <c r="C11" i="15"/>
  <c r="C12" i="15"/>
  <c r="C13" i="15"/>
  <c r="C14" i="15"/>
  <c r="C15" i="15"/>
  <c r="C16" i="15"/>
  <c r="C17" i="15"/>
  <c r="C18" i="15"/>
  <c r="D18" i="15" s="1"/>
  <c r="C19" i="15"/>
  <c r="C20" i="15"/>
  <c r="D20" i="15" s="1"/>
  <c r="C21" i="15"/>
  <c r="C22" i="15"/>
  <c r="C23" i="15"/>
  <c r="C24" i="15"/>
  <c r="C25" i="15"/>
  <c r="C26" i="15"/>
  <c r="C27" i="15"/>
  <c r="C28" i="15"/>
  <c r="C29" i="15"/>
  <c r="C30" i="15"/>
  <c r="C31" i="15"/>
  <c r="C32" i="15"/>
  <c r="C33" i="15"/>
  <c r="C34" i="15"/>
  <c r="D34" i="15" s="1"/>
  <c r="C35" i="15"/>
  <c r="C36" i="15"/>
  <c r="D36" i="15" s="1"/>
  <c r="C37" i="15"/>
  <c r="C38" i="15"/>
  <c r="C39" i="15"/>
  <c r="C40" i="15"/>
  <c r="C41" i="15"/>
  <c r="C42" i="15"/>
  <c r="C43" i="15"/>
  <c r="C44" i="15"/>
  <c r="C45" i="15"/>
  <c r="C46" i="15"/>
  <c r="C47" i="15"/>
  <c r="C48" i="15"/>
  <c r="C49" i="15"/>
  <c r="C50" i="15"/>
  <c r="D50" i="15" s="1"/>
  <c r="C51" i="15"/>
  <c r="C52" i="15"/>
  <c r="D52" i="15" s="1"/>
  <c r="C53" i="15"/>
  <c r="C54" i="15"/>
  <c r="C55" i="15"/>
  <c r="C56" i="15"/>
  <c r="C57" i="15"/>
  <c r="C58" i="15"/>
  <c r="C59" i="15"/>
  <c r="C60" i="15"/>
  <c r="C61" i="15"/>
  <c r="C62" i="15"/>
  <c r="C63" i="15"/>
  <c r="C64" i="15"/>
  <c r="C65" i="15"/>
  <c r="C66" i="15"/>
  <c r="D66" i="15" s="1"/>
  <c r="C67" i="15"/>
  <c r="C68" i="15"/>
  <c r="D68" i="15" s="1"/>
  <c r="C69" i="15"/>
  <c r="C70" i="15"/>
  <c r="C71" i="15"/>
  <c r="C72" i="15"/>
  <c r="C73" i="15"/>
  <c r="C74" i="15"/>
  <c r="C75" i="15"/>
  <c r="C76" i="15"/>
  <c r="C77" i="15"/>
  <c r="C78" i="15"/>
  <c r="C79" i="15"/>
  <c r="C80" i="15"/>
  <c r="C81" i="15"/>
  <c r="C82" i="15"/>
  <c r="D82" i="15" s="1"/>
  <c r="C83" i="15"/>
  <c r="C84" i="15"/>
  <c r="D84" i="15" s="1"/>
  <c r="C85" i="15"/>
  <c r="C86" i="15"/>
  <c r="C87" i="15"/>
  <c r="C88" i="15"/>
  <c r="C89" i="15"/>
  <c r="C90" i="15"/>
  <c r="C91" i="15"/>
  <c r="C92" i="15"/>
  <c r="C93" i="15"/>
  <c r="C94" i="15"/>
  <c r="C95" i="15"/>
  <c r="C96" i="15"/>
  <c r="C97" i="15"/>
  <c r="C98" i="15"/>
  <c r="D98" i="15" s="1"/>
  <c r="C99" i="15"/>
  <c r="C100" i="15"/>
  <c r="D100" i="15" s="1"/>
  <c r="C101" i="15"/>
  <c r="C102" i="15"/>
  <c r="C103" i="15"/>
  <c r="C104" i="15"/>
  <c r="C105" i="15"/>
  <c r="C106" i="15"/>
  <c r="C107" i="15"/>
  <c r="C108" i="15"/>
  <c r="C109" i="15"/>
  <c r="C110" i="15"/>
  <c r="C111" i="15"/>
  <c r="C112" i="15"/>
  <c r="C113" i="15"/>
  <c r="C114" i="15"/>
  <c r="D114" i="15" s="1"/>
  <c r="C115" i="15"/>
  <c r="C116" i="15"/>
  <c r="D116" i="15" s="1"/>
  <c r="C117" i="15"/>
  <c r="C118" i="15"/>
  <c r="C119" i="15"/>
  <c r="C120" i="15"/>
  <c r="C121" i="15"/>
  <c r="C122" i="15"/>
  <c r="C123" i="15"/>
  <c r="C124" i="15"/>
  <c r="C125" i="15"/>
  <c r="C126" i="15"/>
  <c r="C127" i="15"/>
  <c r="C128" i="15"/>
  <c r="C129" i="15"/>
  <c r="C130" i="15"/>
  <c r="D130" i="15" s="1"/>
  <c r="C131" i="15"/>
  <c r="C132" i="15"/>
  <c r="D132" i="15" s="1"/>
  <c r="C133" i="15"/>
  <c r="C134" i="15"/>
  <c r="C135" i="15"/>
  <c r="C136" i="15"/>
  <c r="C137" i="15"/>
  <c r="C138" i="15"/>
  <c r="C139" i="15"/>
  <c r="C140" i="15"/>
  <c r="C141" i="15"/>
  <c r="C142" i="15"/>
  <c r="C143" i="15"/>
  <c r="C144" i="15"/>
  <c r="C145" i="15"/>
  <c r="C146" i="15"/>
  <c r="D146" i="15" s="1"/>
  <c r="C147" i="15"/>
  <c r="C148" i="15"/>
  <c r="D148" i="15" s="1"/>
  <c r="C149" i="15"/>
  <c r="C150" i="15"/>
  <c r="C151" i="15"/>
  <c r="C152" i="15"/>
  <c r="C153" i="15"/>
  <c r="C154" i="15"/>
  <c r="C155" i="15"/>
  <c r="C156" i="15"/>
  <c r="C157" i="15"/>
  <c r="C158" i="15"/>
  <c r="C159" i="15"/>
  <c r="C160" i="15"/>
  <c r="C161" i="15"/>
  <c r="C162" i="15"/>
  <c r="D162" i="15" s="1"/>
  <c r="C163" i="15"/>
  <c r="C164" i="15"/>
  <c r="D164" i="15" s="1"/>
  <c r="C165" i="15"/>
  <c r="C166" i="15"/>
  <c r="C167" i="15"/>
  <c r="C168" i="15"/>
  <c r="C169" i="15"/>
  <c r="C170" i="15"/>
  <c r="C171" i="15"/>
  <c r="C172" i="15"/>
  <c r="C173" i="15"/>
  <c r="C174" i="15"/>
  <c r="C175" i="15"/>
  <c r="C176" i="15"/>
  <c r="C177" i="15"/>
  <c r="C178" i="15"/>
  <c r="D178" i="15" s="1"/>
  <c r="C179" i="15"/>
  <c r="C180" i="15"/>
  <c r="D180" i="15" s="1"/>
  <c r="C181" i="15"/>
  <c r="C182" i="15"/>
  <c r="C183" i="15"/>
  <c r="C184" i="15"/>
  <c r="C185" i="15"/>
  <c r="C186" i="15"/>
  <c r="C187" i="15"/>
  <c r="C188" i="15"/>
  <c r="C189" i="15"/>
  <c r="C190" i="15"/>
  <c r="C191" i="15"/>
  <c r="C192" i="15"/>
  <c r="C193" i="15"/>
  <c r="C194" i="15"/>
  <c r="D194" i="15" s="1"/>
  <c r="C195" i="15"/>
  <c r="C196" i="15"/>
  <c r="D196" i="15" s="1"/>
  <c r="C197" i="15"/>
  <c r="C198" i="15"/>
  <c r="C199" i="15"/>
  <c r="C200" i="15"/>
  <c r="C201" i="15"/>
  <c r="C202" i="15"/>
  <c r="C203" i="15"/>
  <c r="C204" i="15"/>
  <c r="C205" i="15"/>
  <c r="C206" i="15"/>
  <c r="C207" i="15"/>
  <c r="C208" i="15"/>
  <c r="C209" i="15"/>
  <c r="C210" i="15"/>
  <c r="D210" i="15" s="1"/>
  <c r="C211" i="15"/>
  <c r="C212" i="15"/>
  <c r="D212" i="15" s="1"/>
  <c r="C213" i="15"/>
  <c r="C214" i="15"/>
  <c r="C215" i="15"/>
  <c r="C216" i="15"/>
  <c r="C217" i="15"/>
  <c r="C218" i="15"/>
  <c r="C219" i="15"/>
  <c r="C220" i="15"/>
  <c r="C221" i="15"/>
  <c r="C222" i="15"/>
  <c r="C223" i="15"/>
  <c r="C224" i="15"/>
  <c r="C225" i="15"/>
  <c r="C226" i="15"/>
  <c r="D226" i="15" s="1"/>
  <c r="C227" i="15"/>
  <c r="C228" i="15"/>
  <c r="D228" i="15" s="1"/>
  <c r="C229" i="15"/>
  <c r="C230" i="15"/>
  <c r="C231" i="15"/>
  <c r="C232" i="15"/>
  <c r="C233" i="15"/>
  <c r="C234" i="15"/>
  <c r="C235" i="15"/>
  <c r="C236" i="15"/>
  <c r="C237" i="15"/>
  <c r="C238" i="15"/>
  <c r="C239" i="15"/>
  <c r="C240" i="15"/>
  <c r="C241" i="15"/>
  <c r="C242" i="15"/>
  <c r="D242" i="15" s="1"/>
  <c r="C243" i="15"/>
  <c r="C244" i="15"/>
  <c r="D244" i="15" s="1"/>
  <c r="C245" i="15"/>
  <c r="C246" i="15"/>
  <c r="C247" i="15"/>
  <c r="C248" i="15"/>
  <c r="C249" i="15"/>
  <c r="C250" i="15"/>
  <c r="C251" i="15"/>
  <c r="C252" i="15"/>
  <c r="C253" i="15"/>
  <c r="C254" i="15"/>
  <c r="C255" i="15"/>
  <c r="C256" i="15"/>
  <c r="C257" i="15"/>
  <c r="C258" i="15"/>
  <c r="D258" i="15" s="1"/>
  <c r="C259" i="15"/>
  <c r="C260" i="15"/>
  <c r="D260" i="15" s="1"/>
  <c r="C261" i="15"/>
  <c r="C262" i="15"/>
  <c r="C263" i="15"/>
  <c r="C264" i="15"/>
  <c r="C265" i="15"/>
  <c r="C266" i="15"/>
  <c r="C267" i="15"/>
  <c r="C268" i="15"/>
  <c r="C269" i="15"/>
  <c r="C270" i="15"/>
  <c r="C271" i="15"/>
  <c r="C272" i="15"/>
  <c r="C273" i="15"/>
  <c r="C274" i="15"/>
  <c r="D274" i="15" s="1"/>
  <c r="C275" i="15"/>
  <c r="C276" i="15"/>
  <c r="D276" i="15" s="1"/>
  <c r="C277" i="15"/>
  <c r="C278" i="15"/>
  <c r="C279" i="15"/>
  <c r="C280" i="15"/>
  <c r="C281" i="15"/>
  <c r="C282" i="15"/>
  <c r="C283" i="15"/>
  <c r="C284" i="15"/>
  <c r="C285" i="15"/>
  <c r="C286" i="15"/>
  <c r="C287" i="15"/>
  <c r="C288" i="15"/>
  <c r="C289" i="15"/>
  <c r="C290" i="15"/>
  <c r="D290" i="15" s="1"/>
  <c r="C291" i="15"/>
  <c r="C292" i="15"/>
  <c r="D292" i="15" s="1"/>
  <c r="C293" i="15"/>
  <c r="C294" i="15"/>
  <c r="C295" i="15"/>
  <c r="C296" i="15"/>
  <c r="C297" i="15"/>
  <c r="C298" i="15"/>
  <c r="C299" i="15"/>
  <c r="C300" i="15"/>
  <c r="C301" i="15"/>
  <c r="C302" i="15"/>
  <c r="C303" i="15"/>
  <c r="C304" i="15"/>
  <c r="C305" i="15"/>
  <c r="C306" i="15"/>
  <c r="D306" i="15" s="1"/>
  <c r="C307" i="15"/>
  <c r="C308" i="15"/>
  <c r="D308" i="15" s="1"/>
  <c r="C309" i="15"/>
  <c r="C310" i="15"/>
  <c r="C311" i="15"/>
  <c r="C312" i="15"/>
  <c r="C313" i="15"/>
  <c r="C314" i="15"/>
  <c r="C315" i="15"/>
  <c r="C316" i="15"/>
  <c r="C317" i="15"/>
  <c r="C318" i="15"/>
  <c r="C319" i="15"/>
  <c r="C320" i="15"/>
  <c r="C321" i="15"/>
  <c r="C322" i="15"/>
  <c r="D322" i="15" s="1"/>
  <c r="C323" i="15"/>
  <c r="C324" i="15"/>
  <c r="D324" i="15" s="1"/>
  <c r="C325" i="15"/>
  <c r="C326" i="15"/>
  <c r="C327" i="15"/>
  <c r="C328" i="15"/>
  <c r="C329" i="15"/>
  <c r="C330" i="15"/>
  <c r="C331" i="15"/>
  <c r="C332" i="15"/>
  <c r="C333" i="15"/>
  <c r="C334" i="15"/>
  <c r="C335" i="15"/>
  <c r="C336" i="15"/>
  <c r="C337" i="15"/>
  <c r="C338" i="15"/>
  <c r="D338" i="15" s="1"/>
  <c r="C339" i="15"/>
  <c r="C340" i="15"/>
  <c r="D340" i="15" s="1"/>
  <c r="C341" i="15"/>
  <c r="C342" i="15"/>
  <c r="C343" i="15"/>
  <c r="C344" i="15"/>
  <c r="C345" i="15"/>
  <c r="C346" i="15"/>
  <c r="C347" i="15"/>
  <c r="C348" i="15"/>
  <c r="C349" i="15"/>
  <c r="C350" i="15"/>
  <c r="C351" i="15"/>
  <c r="C352" i="15"/>
  <c r="C353" i="15"/>
  <c r="C354" i="15"/>
  <c r="D354" i="15" s="1"/>
  <c r="C355" i="15"/>
  <c r="C356" i="15"/>
  <c r="D356" i="15" s="1"/>
  <c r="C357" i="15"/>
  <c r="C358" i="15"/>
  <c r="C359" i="15"/>
  <c r="C360" i="15"/>
  <c r="C361" i="15"/>
  <c r="C362" i="15"/>
  <c r="C363" i="15"/>
  <c r="C364" i="15"/>
  <c r="C365" i="15"/>
  <c r="C366" i="15"/>
  <c r="C367" i="15"/>
  <c r="C368" i="15"/>
  <c r="C369" i="15"/>
  <c r="C370" i="15"/>
  <c r="D370" i="15" s="1"/>
  <c r="C371" i="15"/>
  <c r="C372" i="15"/>
  <c r="D372" i="15" s="1"/>
  <c r="C373" i="15"/>
  <c r="C374" i="15"/>
  <c r="C375" i="15"/>
  <c r="C376" i="15"/>
  <c r="C377" i="15"/>
  <c r="C378" i="15"/>
  <c r="C379" i="15"/>
  <c r="C380" i="15"/>
  <c r="C381" i="15"/>
  <c r="C382" i="15"/>
  <c r="C383" i="15"/>
  <c r="C384" i="15"/>
  <c r="C385" i="15"/>
  <c r="C386" i="15"/>
  <c r="D386" i="15" s="1"/>
  <c r="C387" i="15"/>
  <c r="C388" i="15"/>
  <c r="D388" i="15" s="1"/>
  <c r="C389" i="15"/>
  <c r="C390" i="15"/>
  <c r="C391" i="15"/>
  <c r="C392" i="15"/>
  <c r="C393" i="15"/>
  <c r="C394" i="15"/>
  <c r="C395" i="15"/>
  <c r="C396" i="15"/>
  <c r="C397" i="15"/>
  <c r="C398" i="15"/>
  <c r="C399" i="15"/>
  <c r="C400" i="15"/>
  <c r="C401" i="15"/>
  <c r="C402" i="15"/>
  <c r="D402" i="15" s="1"/>
  <c r="C403" i="15"/>
  <c r="C404" i="15"/>
  <c r="D404" i="15" s="1"/>
  <c r="C405" i="15"/>
  <c r="C406" i="15"/>
  <c r="C407" i="15"/>
  <c r="C408" i="15"/>
  <c r="C409" i="15"/>
  <c r="C410" i="15"/>
  <c r="C411" i="15"/>
  <c r="C412" i="15"/>
  <c r="C413" i="15"/>
  <c r="C414" i="15"/>
  <c r="C415" i="15"/>
  <c r="C416" i="15"/>
  <c r="C417" i="15"/>
  <c r="C418" i="15"/>
  <c r="D418" i="15" s="1"/>
  <c r="C419" i="15"/>
  <c r="C420" i="15"/>
  <c r="D420" i="15" s="1"/>
  <c r="C421" i="15"/>
  <c r="C422" i="15"/>
  <c r="C423" i="15"/>
  <c r="C424" i="15"/>
  <c r="C425" i="15"/>
  <c r="C426" i="15"/>
  <c r="C427" i="15"/>
  <c r="C428" i="15"/>
  <c r="C429" i="15"/>
  <c r="C430" i="15"/>
  <c r="C431" i="15"/>
  <c r="C432" i="15"/>
  <c r="C433" i="15"/>
  <c r="C434" i="15"/>
  <c r="D434" i="15" s="1"/>
  <c r="C435" i="15"/>
  <c r="C436" i="15"/>
  <c r="D436" i="15" s="1"/>
  <c r="C437" i="15"/>
  <c r="C438" i="15"/>
  <c r="C439" i="15"/>
  <c r="C440" i="15"/>
  <c r="C441" i="15"/>
  <c r="C442" i="15"/>
  <c r="C443" i="15"/>
  <c r="C444" i="15"/>
  <c r="C445" i="15"/>
  <c r="C446" i="15"/>
  <c r="C447" i="15"/>
  <c r="C448" i="15"/>
  <c r="C449" i="15"/>
  <c r="C450" i="15"/>
  <c r="D450" i="15" s="1"/>
  <c r="C451" i="15"/>
  <c r="C452" i="15"/>
  <c r="D452" i="15" s="1"/>
  <c r="C453" i="15"/>
  <c r="C454" i="15"/>
  <c r="C455" i="15"/>
  <c r="C456" i="15"/>
  <c r="C457" i="15"/>
  <c r="C458" i="15"/>
  <c r="C459" i="15"/>
  <c r="C460" i="15"/>
  <c r="C461" i="15"/>
  <c r="C462" i="15"/>
  <c r="C463" i="15"/>
  <c r="C464" i="15"/>
  <c r="C465" i="15"/>
  <c r="C466" i="15"/>
  <c r="D466" i="15" s="1"/>
  <c r="C467" i="15"/>
  <c r="C468" i="15"/>
  <c r="D468" i="15" s="1"/>
  <c r="C469" i="15"/>
  <c r="C470" i="15"/>
  <c r="C471" i="15"/>
  <c r="C472" i="15"/>
  <c r="C473" i="15"/>
  <c r="C474" i="15"/>
  <c r="C475" i="15"/>
  <c r="C476" i="15"/>
  <c r="C477" i="15"/>
  <c r="C478" i="15"/>
  <c r="C479" i="15"/>
  <c r="C480" i="15"/>
  <c r="C481" i="15"/>
  <c r="C482" i="15"/>
  <c r="D482" i="15" s="1"/>
  <c r="C483" i="15"/>
  <c r="C484" i="15"/>
  <c r="D484" i="15" s="1"/>
  <c r="C485" i="15"/>
  <c r="C486" i="15"/>
  <c r="C487" i="15"/>
  <c r="C488" i="15"/>
  <c r="C489" i="15"/>
  <c r="C490" i="15"/>
  <c r="C491" i="15"/>
  <c r="C492" i="15"/>
  <c r="C493" i="15"/>
  <c r="C494" i="15"/>
  <c r="C495" i="15"/>
  <c r="C496" i="15"/>
  <c r="C497" i="15"/>
  <c r="C498" i="15"/>
  <c r="D498" i="15" s="1"/>
  <c r="C499" i="15"/>
  <c r="C500" i="15"/>
  <c r="D500" i="15" s="1"/>
  <c r="C501" i="15"/>
  <c r="C502" i="15"/>
  <c r="C503" i="15"/>
  <c r="C504" i="15"/>
  <c r="C505" i="15"/>
  <c r="C506" i="15"/>
  <c r="C507" i="15"/>
  <c r="C508" i="15"/>
  <c r="C509" i="15"/>
  <c r="C510" i="15"/>
  <c r="C511" i="15"/>
  <c r="C512" i="15"/>
  <c r="C513" i="15"/>
  <c r="C514" i="15"/>
  <c r="D514" i="15" s="1"/>
  <c r="C515" i="15"/>
  <c r="C516" i="15"/>
  <c r="D516" i="15" s="1"/>
  <c r="C517" i="15"/>
  <c r="C518" i="15"/>
  <c r="C519" i="15"/>
  <c r="C520" i="15"/>
  <c r="C521" i="15"/>
  <c r="C522" i="15"/>
  <c r="C523" i="15"/>
  <c r="C524" i="15"/>
  <c r="C525" i="15"/>
  <c r="C526" i="15"/>
  <c r="C527" i="15"/>
  <c r="C528" i="15"/>
  <c r="C529" i="15"/>
  <c r="C530" i="15"/>
  <c r="D530" i="15" s="1"/>
  <c r="C531" i="15"/>
  <c r="C532" i="15"/>
  <c r="D532" i="15" s="1"/>
  <c r="C533" i="15"/>
  <c r="C534" i="15"/>
  <c r="C535" i="15"/>
  <c r="C536" i="15"/>
  <c r="C537" i="15"/>
  <c r="C538" i="15"/>
  <c r="C539" i="15"/>
  <c r="C540" i="15"/>
  <c r="C541" i="15"/>
  <c r="C542" i="15"/>
  <c r="C543" i="15"/>
  <c r="C544" i="15"/>
  <c r="C545" i="15"/>
  <c r="C546" i="15"/>
  <c r="D546" i="15" s="1"/>
  <c r="C547" i="15"/>
  <c r="C548" i="15"/>
  <c r="D548" i="15" s="1"/>
  <c r="C549" i="15"/>
  <c r="C550" i="15"/>
  <c r="C551" i="15"/>
  <c r="C552" i="15"/>
  <c r="C553" i="15"/>
  <c r="C554" i="15"/>
  <c r="C555" i="15"/>
  <c r="C556" i="15"/>
  <c r="C557" i="15"/>
  <c r="C558" i="15"/>
  <c r="C559" i="15"/>
  <c r="C560" i="15"/>
  <c r="C561" i="15"/>
  <c r="C562" i="15"/>
  <c r="D562" i="15" s="1"/>
  <c r="C563" i="15"/>
  <c r="C564" i="15"/>
  <c r="D564" i="15" s="1"/>
  <c r="C565" i="15"/>
  <c r="C566" i="15"/>
  <c r="C567" i="15"/>
  <c r="C568" i="15"/>
  <c r="C569" i="15"/>
  <c r="C570" i="15"/>
  <c r="C571" i="15"/>
  <c r="C572" i="15"/>
  <c r="C573" i="15"/>
  <c r="C574" i="15"/>
  <c r="C575" i="15"/>
  <c r="C576" i="15"/>
  <c r="C577" i="15"/>
  <c r="C578" i="15"/>
  <c r="D578" i="15" s="1"/>
  <c r="C579" i="15"/>
  <c r="C580" i="15"/>
  <c r="D580" i="15" s="1"/>
  <c r="C581" i="15"/>
  <c r="C582" i="15"/>
  <c r="C583" i="15"/>
  <c r="C584" i="15"/>
  <c r="C585" i="15"/>
  <c r="C586" i="15"/>
  <c r="C587" i="15"/>
  <c r="C588" i="15"/>
  <c r="C589" i="15"/>
  <c r="C590" i="15"/>
  <c r="C591" i="15"/>
  <c r="C592" i="15"/>
  <c r="C593" i="15"/>
  <c r="C594" i="15"/>
  <c r="D594" i="15" s="1"/>
  <c r="C595" i="15"/>
  <c r="C596" i="15"/>
  <c r="D596" i="15" s="1"/>
  <c r="C597" i="15"/>
  <c r="C598" i="15"/>
  <c r="C599" i="15"/>
  <c r="C600" i="15"/>
  <c r="C601" i="15"/>
  <c r="C602" i="15"/>
  <c r="C603" i="15"/>
  <c r="C604" i="15"/>
  <c r="C605" i="15"/>
  <c r="C606" i="15"/>
  <c r="C607" i="15"/>
  <c r="C608" i="15"/>
  <c r="C609" i="15"/>
  <c r="C610" i="15"/>
  <c r="D610" i="15" s="1"/>
  <c r="C611" i="15"/>
  <c r="C612" i="15"/>
  <c r="D612" i="15" s="1"/>
  <c r="C613" i="15"/>
  <c r="C614" i="15"/>
  <c r="C615" i="15"/>
  <c r="C616" i="15"/>
  <c r="C617" i="15"/>
  <c r="C618" i="15"/>
  <c r="C619" i="15"/>
  <c r="C620" i="15"/>
  <c r="C621" i="15"/>
  <c r="C622" i="15"/>
  <c r="C623" i="15"/>
  <c r="C624" i="15"/>
  <c r="C625" i="15"/>
  <c r="C626" i="15"/>
  <c r="D626" i="15" s="1"/>
  <c r="C627" i="15"/>
  <c r="C628" i="15"/>
  <c r="D628" i="15" s="1"/>
  <c r="C629" i="15"/>
  <c r="C630" i="15"/>
  <c r="C631" i="15"/>
  <c r="C632" i="15"/>
  <c r="C633" i="15"/>
  <c r="C634" i="15"/>
  <c r="C635" i="15"/>
  <c r="C636" i="15"/>
  <c r="C637" i="15"/>
  <c r="C638" i="15"/>
  <c r="C639" i="15"/>
  <c r="C640" i="15"/>
  <c r="C641" i="15"/>
  <c r="C642" i="15"/>
  <c r="D642" i="15" s="1"/>
  <c r="C643" i="15"/>
  <c r="C644" i="15"/>
  <c r="D644" i="15" s="1"/>
  <c r="C645" i="15"/>
  <c r="C646" i="15"/>
  <c r="C647" i="15"/>
  <c r="C648" i="15"/>
  <c r="C649" i="15"/>
  <c r="C650" i="15"/>
  <c r="C651" i="15"/>
  <c r="C652" i="15"/>
  <c r="C653" i="15"/>
  <c r="C654" i="15"/>
  <c r="C655" i="15"/>
  <c r="C656" i="15"/>
  <c r="C657" i="15"/>
  <c r="C658" i="15"/>
  <c r="D658" i="15" s="1"/>
  <c r="C659" i="15"/>
  <c r="C660" i="15"/>
  <c r="D660" i="15" s="1"/>
  <c r="C661" i="15"/>
  <c r="C662" i="15"/>
  <c r="C663" i="15"/>
  <c r="C664" i="15"/>
  <c r="C665" i="15"/>
  <c r="C666" i="15"/>
  <c r="C667" i="15"/>
  <c r="C668" i="15"/>
  <c r="C669" i="15"/>
  <c r="C670" i="15"/>
  <c r="C671" i="15"/>
  <c r="C672" i="15"/>
  <c r="C673" i="15"/>
  <c r="C674" i="15"/>
  <c r="D674" i="15" s="1"/>
  <c r="C675" i="15"/>
  <c r="C676" i="15"/>
  <c r="D676" i="15" s="1"/>
  <c r="C677" i="15"/>
  <c r="C678" i="15"/>
  <c r="C679" i="15"/>
  <c r="C680" i="15"/>
  <c r="C681" i="15"/>
  <c r="C682" i="15"/>
  <c r="C683" i="15"/>
  <c r="C684" i="15"/>
  <c r="C685" i="15"/>
  <c r="C686" i="15"/>
  <c r="C687" i="15"/>
  <c r="C688" i="15"/>
  <c r="C689" i="15"/>
  <c r="C690" i="15"/>
  <c r="D690" i="15" s="1"/>
  <c r="C691" i="15"/>
  <c r="C692" i="15"/>
  <c r="D692" i="15" s="1"/>
  <c r="C693" i="15"/>
  <c r="C694" i="15"/>
  <c r="C695" i="15"/>
  <c r="C696" i="15"/>
  <c r="C697" i="15"/>
  <c r="C698" i="15"/>
  <c r="C699" i="15"/>
  <c r="C700" i="15"/>
  <c r="C701" i="15"/>
  <c r="C702" i="15"/>
  <c r="C703" i="15"/>
  <c r="C704" i="15"/>
  <c r="C705" i="15"/>
  <c r="C706" i="15"/>
  <c r="D706" i="15" s="1"/>
  <c r="C707" i="15"/>
  <c r="C708" i="15"/>
  <c r="D708" i="15" s="1"/>
  <c r="C709" i="15"/>
  <c r="C710" i="15"/>
  <c r="C711" i="15"/>
  <c r="C712" i="15"/>
  <c r="C713" i="15"/>
  <c r="C714" i="15"/>
  <c r="C715" i="15"/>
  <c r="C716" i="15"/>
  <c r="C717" i="15"/>
  <c r="C718" i="15"/>
  <c r="C719" i="15"/>
  <c r="C720" i="15"/>
  <c r="C721" i="15"/>
  <c r="C722" i="15"/>
  <c r="D722" i="15" s="1"/>
  <c r="C723" i="15"/>
  <c r="C724" i="15"/>
  <c r="D724" i="15" s="1"/>
  <c r="C725" i="15"/>
  <c r="C726" i="15"/>
  <c r="C727" i="15"/>
  <c r="C728" i="15"/>
  <c r="C729" i="15"/>
  <c r="C730" i="15"/>
  <c r="C731" i="15"/>
  <c r="C732" i="15"/>
  <c r="C733" i="15"/>
  <c r="C734" i="15"/>
  <c r="C735" i="15"/>
  <c r="C736" i="15"/>
  <c r="C737" i="15"/>
  <c r="C738" i="15"/>
  <c r="D738" i="15" s="1"/>
  <c r="C739" i="15"/>
  <c r="C740" i="15"/>
  <c r="D740" i="15" s="1"/>
  <c r="C741" i="15"/>
  <c r="C742" i="15"/>
  <c r="C743" i="15"/>
  <c r="C744" i="15"/>
  <c r="C745" i="15"/>
  <c r="C746" i="15"/>
  <c r="C747" i="15"/>
  <c r="D747" i="15" s="1"/>
  <c r="C748" i="15"/>
  <c r="C749" i="15"/>
  <c r="C750" i="15"/>
  <c r="C751" i="15"/>
  <c r="C752" i="15"/>
  <c r="C753" i="15"/>
  <c r="C754" i="15"/>
  <c r="D754" i="15" s="1"/>
  <c r="C755" i="15"/>
  <c r="C756" i="15"/>
  <c r="D756" i="15" s="1"/>
  <c r="C757" i="15"/>
  <c r="C758" i="15"/>
  <c r="C759" i="15"/>
  <c r="C760" i="15"/>
  <c r="C761" i="15"/>
  <c r="C762" i="15"/>
  <c r="C763" i="15"/>
  <c r="D763" i="15" s="1"/>
  <c r="C764" i="15"/>
  <c r="C765" i="15"/>
  <c r="C766" i="15"/>
  <c r="C767" i="15"/>
  <c r="C768" i="15"/>
  <c r="C769" i="15"/>
  <c r="C770" i="15"/>
  <c r="D770" i="15" s="1"/>
  <c r="C771" i="15"/>
  <c r="C772" i="15"/>
  <c r="D772" i="15" s="1"/>
  <c r="D6" i="15"/>
  <c r="D7" i="15"/>
  <c r="D8" i="15"/>
  <c r="D9" i="15"/>
  <c r="D10" i="15"/>
  <c r="D11" i="15"/>
  <c r="D12" i="15"/>
  <c r="D13" i="15"/>
  <c r="D14" i="15"/>
  <c r="D15" i="15"/>
  <c r="D16" i="15"/>
  <c r="D17" i="15"/>
  <c r="D19" i="15"/>
  <c r="D21" i="15"/>
  <c r="D22" i="15"/>
  <c r="D23" i="15"/>
  <c r="D24" i="15"/>
  <c r="D25" i="15"/>
  <c r="D26" i="15"/>
  <c r="D27" i="15"/>
  <c r="D28" i="15"/>
  <c r="D29" i="15"/>
  <c r="D30" i="15"/>
  <c r="D31" i="15"/>
  <c r="D32" i="15"/>
  <c r="D33" i="15"/>
  <c r="D35" i="15"/>
  <c r="D37" i="15"/>
  <c r="D38" i="15"/>
  <c r="D39" i="15"/>
  <c r="D40" i="15"/>
  <c r="D41" i="15"/>
  <c r="D42" i="15"/>
  <c r="D43" i="15"/>
  <c r="D44" i="15"/>
  <c r="D45" i="15"/>
  <c r="D46" i="15"/>
  <c r="D47" i="15"/>
  <c r="D48" i="15"/>
  <c r="D49" i="15"/>
  <c r="D51" i="15"/>
  <c r="D53" i="15"/>
  <c r="D54" i="15"/>
  <c r="D55" i="15"/>
  <c r="D56" i="15"/>
  <c r="D57" i="15"/>
  <c r="D58" i="15"/>
  <c r="D59" i="15"/>
  <c r="D60" i="15"/>
  <c r="D61" i="15"/>
  <c r="D62" i="15"/>
  <c r="D63" i="15"/>
  <c r="D64" i="15"/>
  <c r="D65" i="15"/>
  <c r="D67" i="15"/>
  <c r="D69" i="15"/>
  <c r="D70" i="15"/>
  <c r="D71" i="15"/>
  <c r="D72" i="15"/>
  <c r="D73" i="15"/>
  <c r="D74" i="15"/>
  <c r="D75" i="15"/>
  <c r="D76" i="15"/>
  <c r="D77" i="15"/>
  <c r="D78" i="15"/>
  <c r="D79" i="15"/>
  <c r="D80" i="15"/>
  <c r="D81" i="15"/>
  <c r="D83" i="15"/>
  <c r="D85" i="15"/>
  <c r="D86" i="15"/>
  <c r="D87" i="15"/>
  <c r="D88" i="15"/>
  <c r="D89" i="15"/>
  <c r="D90" i="15"/>
  <c r="D91" i="15"/>
  <c r="D92" i="15"/>
  <c r="D93" i="15"/>
  <c r="D94" i="15"/>
  <c r="D95" i="15"/>
  <c r="D96" i="15"/>
  <c r="D97" i="15"/>
  <c r="D99" i="15"/>
  <c r="D101" i="15"/>
  <c r="D102" i="15"/>
  <c r="D103" i="15"/>
  <c r="D104" i="15"/>
  <c r="D105" i="15"/>
  <c r="D106" i="15"/>
  <c r="D107" i="15"/>
  <c r="D108" i="15"/>
  <c r="D109" i="15"/>
  <c r="D110" i="15"/>
  <c r="D111" i="15"/>
  <c r="D112" i="15"/>
  <c r="D113" i="15"/>
  <c r="D115" i="15"/>
  <c r="D117" i="15"/>
  <c r="D118" i="15"/>
  <c r="D119" i="15"/>
  <c r="D120" i="15"/>
  <c r="D121" i="15"/>
  <c r="D122" i="15"/>
  <c r="D123" i="15"/>
  <c r="D124" i="15"/>
  <c r="D125" i="15"/>
  <c r="D126" i="15"/>
  <c r="D127" i="15"/>
  <c r="D128" i="15"/>
  <c r="D129" i="15"/>
  <c r="D131" i="15"/>
  <c r="D133" i="15"/>
  <c r="D134" i="15"/>
  <c r="D135" i="15"/>
  <c r="D136" i="15"/>
  <c r="D137" i="15"/>
  <c r="D138" i="15"/>
  <c r="D139" i="15"/>
  <c r="D140" i="15"/>
  <c r="D141" i="15"/>
  <c r="D142" i="15"/>
  <c r="D143" i="15"/>
  <c r="D144" i="15"/>
  <c r="D145" i="15"/>
  <c r="D147" i="15"/>
  <c r="D149" i="15"/>
  <c r="D150" i="15"/>
  <c r="D151" i="15"/>
  <c r="D152" i="15"/>
  <c r="D153" i="15"/>
  <c r="D154" i="15"/>
  <c r="D155" i="15"/>
  <c r="D156" i="15"/>
  <c r="D157" i="15"/>
  <c r="D158" i="15"/>
  <c r="D159" i="15"/>
  <c r="D160" i="15"/>
  <c r="D161" i="15"/>
  <c r="D163" i="15"/>
  <c r="D165" i="15"/>
  <c r="D166" i="15"/>
  <c r="D167" i="15"/>
  <c r="D168" i="15"/>
  <c r="D169" i="15"/>
  <c r="D170" i="15"/>
  <c r="D171" i="15"/>
  <c r="D172" i="15"/>
  <c r="D173" i="15"/>
  <c r="D174" i="15"/>
  <c r="D175" i="15"/>
  <c r="D176" i="15"/>
  <c r="D177" i="15"/>
  <c r="D179" i="15"/>
  <c r="D181" i="15"/>
  <c r="D182" i="15"/>
  <c r="D183" i="15"/>
  <c r="D184" i="15"/>
  <c r="D185" i="15"/>
  <c r="D186" i="15"/>
  <c r="D187" i="15"/>
  <c r="D188" i="15"/>
  <c r="D189" i="15"/>
  <c r="D190" i="15"/>
  <c r="D191" i="15"/>
  <c r="D192" i="15"/>
  <c r="D193" i="15"/>
  <c r="D195" i="15"/>
  <c r="D197" i="15"/>
  <c r="D198" i="15"/>
  <c r="D199" i="15"/>
  <c r="D200" i="15"/>
  <c r="D201" i="15"/>
  <c r="D202" i="15"/>
  <c r="D203" i="15"/>
  <c r="D204" i="15"/>
  <c r="D205" i="15"/>
  <c r="D206" i="15"/>
  <c r="D207" i="15"/>
  <c r="D208" i="15"/>
  <c r="D209" i="15"/>
  <c r="D211" i="15"/>
  <c r="D213" i="15"/>
  <c r="D214" i="15"/>
  <c r="D215" i="15"/>
  <c r="D216" i="15"/>
  <c r="D217" i="15"/>
  <c r="D218" i="15"/>
  <c r="D219" i="15"/>
  <c r="D220" i="15"/>
  <c r="D221" i="15"/>
  <c r="D222" i="15"/>
  <c r="D223" i="15"/>
  <c r="D224" i="15"/>
  <c r="D225" i="15"/>
  <c r="D227" i="15"/>
  <c r="D229" i="15"/>
  <c r="D230" i="15"/>
  <c r="D231" i="15"/>
  <c r="D232" i="15"/>
  <c r="D233" i="15"/>
  <c r="D234" i="15"/>
  <c r="D235" i="15"/>
  <c r="D236" i="15"/>
  <c r="D237" i="15"/>
  <c r="D238" i="15"/>
  <c r="D239" i="15"/>
  <c r="D240" i="15"/>
  <c r="D241" i="15"/>
  <c r="D243" i="15"/>
  <c r="D245" i="15"/>
  <c r="D246" i="15"/>
  <c r="D247" i="15"/>
  <c r="D248" i="15"/>
  <c r="D249" i="15"/>
  <c r="D250" i="15"/>
  <c r="D251" i="15"/>
  <c r="D252" i="15"/>
  <c r="D253" i="15"/>
  <c r="D254" i="15"/>
  <c r="D255" i="15"/>
  <c r="D256" i="15"/>
  <c r="D257" i="15"/>
  <c r="D259" i="15"/>
  <c r="D261" i="15"/>
  <c r="D262" i="15"/>
  <c r="D263" i="15"/>
  <c r="D264" i="15"/>
  <c r="D265" i="15"/>
  <c r="D266" i="15"/>
  <c r="D267" i="15"/>
  <c r="D268" i="15"/>
  <c r="D269" i="15"/>
  <c r="D270" i="15"/>
  <c r="D271" i="15"/>
  <c r="D272" i="15"/>
  <c r="D273" i="15"/>
  <c r="D275" i="15"/>
  <c r="D277" i="15"/>
  <c r="D278" i="15"/>
  <c r="D279" i="15"/>
  <c r="D280" i="15"/>
  <c r="D281" i="15"/>
  <c r="D282" i="15"/>
  <c r="D283" i="15"/>
  <c r="D284" i="15"/>
  <c r="D285" i="15"/>
  <c r="D286" i="15"/>
  <c r="D287" i="15"/>
  <c r="D288" i="15"/>
  <c r="D289" i="15"/>
  <c r="D291" i="15"/>
  <c r="D293" i="15"/>
  <c r="D294" i="15"/>
  <c r="D295" i="15"/>
  <c r="D296" i="15"/>
  <c r="D297" i="15"/>
  <c r="D298" i="15"/>
  <c r="D299" i="15"/>
  <c r="D300" i="15"/>
  <c r="D301" i="15"/>
  <c r="D302" i="15"/>
  <c r="D303" i="15"/>
  <c r="D304" i="15"/>
  <c r="D305" i="15"/>
  <c r="D307" i="15"/>
  <c r="D309" i="15"/>
  <c r="D310" i="15"/>
  <c r="D311" i="15"/>
  <c r="D312" i="15"/>
  <c r="D313" i="15"/>
  <c r="D314" i="15"/>
  <c r="D315" i="15"/>
  <c r="D316" i="15"/>
  <c r="D317" i="15"/>
  <c r="D318" i="15"/>
  <c r="D319" i="15"/>
  <c r="D320" i="15"/>
  <c r="D321" i="15"/>
  <c r="D323" i="15"/>
  <c r="D325" i="15"/>
  <c r="D326" i="15"/>
  <c r="D327" i="15"/>
  <c r="D328" i="15"/>
  <c r="D329" i="15"/>
  <c r="D330" i="15"/>
  <c r="D331" i="15"/>
  <c r="D332" i="15"/>
  <c r="D333" i="15"/>
  <c r="D334" i="15"/>
  <c r="D335" i="15"/>
  <c r="D336" i="15"/>
  <c r="D337" i="15"/>
  <c r="D339" i="15"/>
  <c r="D341" i="15"/>
  <c r="D342" i="15"/>
  <c r="D343" i="15"/>
  <c r="D344" i="15"/>
  <c r="D345" i="15"/>
  <c r="D346" i="15"/>
  <c r="D347" i="15"/>
  <c r="D348" i="15"/>
  <c r="D349" i="15"/>
  <c r="D350" i="15"/>
  <c r="D351" i="15"/>
  <c r="D352" i="15"/>
  <c r="D353" i="15"/>
  <c r="D355" i="15"/>
  <c r="D357" i="15"/>
  <c r="D358" i="15"/>
  <c r="D359" i="15"/>
  <c r="D360" i="15"/>
  <c r="D361" i="15"/>
  <c r="D362" i="15"/>
  <c r="D363" i="15"/>
  <c r="D364" i="15"/>
  <c r="D365" i="15"/>
  <c r="D366" i="15"/>
  <c r="D367" i="15"/>
  <c r="D368" i="15"/>
  <c r="D369" i="15"/>
  <c r="D371" i="15"/>
  <c r="D373" i="15"/>
  <c r="D374" i="15"/>
  <c r="D375" i="15"/>
  <c r="D376" i="15"/>
  <c r="D377" i="15"/>
  <c r="D378" i="15"/>
  <c r="D379" i="15"/>
  <c r="D380" i="15"/>
  <c r="D381" i="15"/>
  <c r="D382" i="15"/>
  <c r="D383" i="15"/>
  <c r="D384" i="15"/>
  <c r="D385" i="15"/>
  <c r="D387" i="15"/>
  <c r="D389" i="15"/>
  <c r="D390" i="15"/>
  <c r="D391" i="15"/>
  <c r="D392" i="15"/>
  <c r="D393" i="15"/>
  <c r="D394" i="15"/>
  <c r="D395" i="15"/>
  <c r="D396" i="15"/>
  <c r="D397" i="15"/>
  <c r="D398" i="15"/>
  <c r="D399" i="15"/>
  <c r="D400" i="15"/>
  <c r="D401" i="15"/>
  <c r="D403" i="15"/>
  <c r="D405" i="15"/>
  <c r="D406" i="15"/>
  <c r="D407" i="15"/>
  <c r="D408" i="15"/>
  <c r="D409" i="15"/>
  <c r="D410" i="15"/>
  <c r="D411" i="15"/>
  <c r="D412" i="15"/>
  <c r="D413" i="15"/>
  <c r="D414" i="15"/>
  <c r="D415" i="15"/>
  <c r="D416" i="15"/>
  <c r="D417" i="15"/>
  <c r="D419" i="15"/>
  <c r="D421" i="15"/>
  <c r="D422" i="15"/>
  <c r="D423" i="15"/>
  <c r="D424" i="15"/>
  <c r="D425" i="15"/>
  <c r="D426" i="15"/>
  <c r="D427" i="15"/>
  <c r="D428" i="15"/>
  <c r="D429" i="15"/>
  <c r="D430" i="15"/>
  <c r="D431" i="15"/>
  <c r="D432" i="15"/>
  <c r="D433" i="15"/>
  <c r="D435" i="15"/>
  <c r="D437" i="15"/>
  <c r="D438" i="15"/>
  <c r="D439" i="15"/>
  <c r="D440" i="15"/>
  <c r="D441" i="15"/>
  <c r="D442" i="15"/>
  <c r="D443" i="15"/>
  <c r="D444" i="15"/>
  <c r="D445" i="15"/>
  <c r="D446" i="15"/>
  <c r="D447" i="15"/>
  <c r="D448" i="15"/>
  <c r="D449" i="15"/>
  <c r="D451" i="15"/>
  <c r="D453" i="15"/>
  <c r="D454" i="15"/>
  <c r="D455" i="15"/>
  <c r="D456" i="15"/>
  <c r="D457" i="15"/>
  <c r="D458" i="15"/>
  <c r="D459" i="15"/>
  <c r="D460" i="15"/>
  <c r="D461" i="15"/>
  <c r="D462" i="15"/>
  <c r="D463" i="15"/>
  <c r="D464" i="15"/>
  <c r="D465" i="15"/>
  <c r="D467" i="15"/>
  <c r="D469" i="15"/>
  <c r="D470" i="15"/>
  <c r="D471" i="15"/>
  <c r="D472" i="15"/>
  <c r="D473" i="15"/>
  <c r="D474" i="15"/>
  <c r="D475" i="15"/>
  <c r="D476" i="15"/>
  <c r="D477" i="15"/>
  <c r="D478" i="15"/>
  <c r="D479" i="15"/>
  <c r="D480" i="15"/>
  <c r="D481" i="15"/>
  <c r="D483" i="15"/>
  <c r="D485" i="15"/>
  <c r="D486" i="15"/>
  <c r="D487" i="15"/>
  <c r="D488" i="15"/>
  <c r="D489" i="15"/>
  <c r="D490" i="15"/>
  <c r="D491" i="15"/>
  <c r="D492" i="15"/>
  <c r="D493" i="15"/>
  <c r="D494" i="15"/>
  <c r="D495" i="15"/>
  <c r="D496" i="15"/>
  <c r="D497" i="15"/>
  <c r="D499" i="15"/>
  <c r="D501" i="15"/>
  <c r="D502" i="15"/>
  <c r="D503" i="15"/>
  <c r="D504" i="15"/>
  <c r="D505" i="15"/>
  <c r="D506" i="15"/>
  <c r="D507" i="15"/>
  <c r="D508" i="15"/>
  <c r="D509" i="15"/>
  <c r="D510" i="15"/>
  <c r="D511" i="15"/>
  <c r="D512" i="15"/>
  <c r="D513" i="15"/>
  <c r="D515" i="15"/>
  <c r="D517" i="15"/>
  <c r="D518" i="15"/>
  <c r="D519" i="15"/>
  <c r="D520" i="15"/>
  <c r="D521" i="15"/>
  <c r="D522" i="15"/>
  <c r="D523" i="15"/>
  <c r="D524" i="15"/>
  <c r="D525" i="15"/>
  <c r="D526" i="15"/>
  <c r="D527" i="15"/>
  <c r="D528" i="15"/>
  <c r="D529" i="15"/>
  <c r="D531" i="15"/>
  <c r="D533" i="15"/>
  <c r="D534" i="15"/>
  <c r="D535" i="15"/>
  <c r="D536" i="15"/>
  <c r="D537" i="15"/>
  <c r="D538" i="15"/>
  <c r="D539" i="15"/>
  <c r="D540" i="15"/>
  <c r="D541" i="15"/>
  <c r="D542" i="15"/>
  <c r="D543" i="15"/>
  <c r="D544" i="15"/>
  <c r="D545" i="15"/>
  <c r="D547" i="15"/>
  <c r="D549" i="15"/>
  <c r="D550" i="15"/>
  <c r="D551" i="15"/>
  <c r="D552" i="15"/>
  <c r="D553" i="15"/>
  <c r="D554" i="15"/>
  <c r="D555" i="15"/>
  <c r="D556" i="15"/>
  <c r="D557" i="15"/>
  <c r="D558" i="15"/>
  <c r="D559" i="15"/>
  <c r="D560" i="15"/>
  <c r="D561" i="15"/>
  <c r="D563" i="15"/>
  <c r="D565" i="15"/>
  <c r="D566" i="15"/>
  <c r="D567" i="15"/>
  <c r="D568" i="15"/>
  <c r="D569" i="15"/>
  <c r="D570" i="15"/>
  <c r="D571" i="15"/>
  <c r="D572" i="15"/>
  <c r="D573" i="15"/>
  <c r="D574" i="15"/>
  <c r="D575" i="15"/>
  <c r="D576" i="15"/>
  <c r="D577" i="15"/>
  <c r="D579" i="15"/>
  <c r="D581" i="15"/>
  <c r="D582" i="15"/>
  <c r="D583" i="15"/>
  <c r="D584" i="15"/>
  <c r="D585" i="15"/>
  <c r="D586" i="15"/>
  <c r="D587" i="15"/>
  <c r="D588" i="15"/>
  <c r="D589" i="15"/>
  <c r="D590" i="15"/>
  <c r="D591" i="15"/>
  <c r="D592" i="15"/>
  <c r="D593" i="15"/>
  <c r="D595" i="15"/>
  <c r="D597" i="15"/>
  <c r="D598" i="15"/>
  <c r="D599" i="15"/>
  <c r="D600" i="15"/>
  <c r="D601" i="15"/>
  <c r="D602" i="15"/>
  <c r="D603" i="15"/>
  <c r="D604" i="15"/>
  <c r="D605" i="15"/>
  <c r="D606" i="15"/>
  <c r="D607" i="15"/>
  <c r="D608" i="15"/>
  <c r="D609" i="15"/>
  <c r="D611" i="15"/>
  <c r="D613" i="15"/>
  <c r="D614" i="15"/>
  <c r="D615" i="15"/>
  <c r="D616" i="15"/>
  <c r="D617" i="15"/>
  <c r="D618" i="15"/>
  <c r="D619" i="15"/>
  <c r="D620" i="15"/>
  <c r="D621" i="15"/>
  <c r="D622" i="15"/>
  <c r="D623" i="15"/>
  <c r="D624" i="15"/>
  <c r="D625" i="15"/>
  <c r="D627" i="15"/>
  <c r="D629" i="15"/>
  <c r="D630" i="15"/>
  <c r="D631" i="15"/>
  <c r="D632" i="15"/>
  <c r="D633" i="15"/>
  <c r="D634" i="15"/>
  <c r="D635" i="15"/>
  <c r="D636" i="15"/>
  <c r="D637" i="15"/>
  <c r="D638" i="15"/>
  <c r="D639" i="15"/>
  <c r="D640" i="15"/>
  <c r="D641" i="15"/>
  <c r="D643" i="15"/>
  <c r="D645" i="15"/>
  <c r="D646" i="15"/>
  <c r="D647" i="15"/>
  <c r="D648" i="15"/>
  <c r="D649" i="15"/>
  <c r="D650" i="15"/>
  <c r="D651" i="15"/>
  <c r="D652" i="15"/>
  <c r="D653" i="15"/>
  <c r="D654" i="15"/>
  <c r="D655" i="15"/>
  <c r="D656" i="15"/>
  <c r="D657" i="15"/>
  <c r="D659" i="15"/>
  <c r="D661" i="15"/>
  <c r="D662" i="15"/>
  <c r="D663" i="15"/>
  <c r="D664" i="15"/>
  <c r="D665" i="15"/>
  <c r="D666" i="15"/>
  <c r="D667" i="15"/>
  <c r="D668" i="15"/>
  <c r="D669" i="15"/>
  <c r="D670" i="15"/>
  <c r="D671" i="15"/>
  <c r="D672" i="15"/>
  <c r="D673" i="15"/>
  <c r="D675" i="15"/>
  <c r="D677" i="15"/>
  <c r="D678" i="15"/>
  <c r="D679" i="15"/>
  <c r="D680" i="15"/>
  <c r="D681" i="15"/>
  <c r="D682" i="15"/>
  <c r="D683" i="15"/>
  <c r="D684" i="15"/>
  <c r="D685" i="15"/>
  <c r="D686" i="15"/>
  <c r="D687" i="15"/>
  <c r="D688" i="15"/>
  <c r="D689" i="15"/>
  <c r="D691" i="15"/>
  <c r="D693" i="15"/>
  <c r="D694" i="15"/>
  <c r="D695" i="15"/>
  <c r="D696" i="15"/>
  <c r="D697" i="15"/>
  <c r="D698" i="15"/>
  <c r="D699" i="15"/>
  <c r="D700" i="15"/>
  <c r="D701" i="15"/>
  <c r="D702" i="15"/>
  <c r="D703" i="15"/>
  <c r="D704" i="15"/>
  <c r="D705" i="15"/>
  <c r="D707" i="15"/>
  <c r="D709" i="15"/>
  <c r="D710" i="15"/>
  <c r="D711" i="15"/>
  <c r="D712" i="15"/>
  <c r="D713" i="15"/>
  <c r="D714" i="15"/>
  <c r="D715" i="15"/>
  <c r="D716" i="15"/>
  <c r="D717" i="15"/>
  <c r="D718" i="15"/>
  <c r="D719" i="15"/>
  <c r="D720" i="15"/>
  <c r="D721" i="15"/>
  <c r="D723" i="15"/>
  <c r="D725" i="15"/>
  <c r="D726" i="15"/>
  <c r="D727" i="15"/>
  <c r="D728" i="15"/>
  <c r="D729" i="15"/>
  <c r="D730" i="15"/>
  <c r="D731" i="15"/>
  <c r="D732" i="15"/>
  <c r="D733" i="15"/>
  <c r="D734" i="15"/>
  <c r="D735" i="15"/>
  <c r="D736" i="15"/>
  <c r="D737" i="15"/>
  <c r="D739" i="15"/>
  <c r="D741" i="15"/>
  <c r="D742" i="15"/>
  <c r="D743" i="15"/>
  <c r="D744" i="15"/>
  <c r="D745" i="15"/>
  <c r="D746" i="15"/>
  <c r="D748" i="15"/>
  <c r="D749" i="15"/>
  <c r="D750" i="15"/>
  <c r="D751" i="15"/>
  <c r="D752" i="15"/>
  <c r="D753" i="15"/>
  <c r="D755" i="15"/>
  <c r="D757" i="15"/>
  <c r="D758" i="15"/>
  <c r="D759" i="15"/>
  <c r="D760" i="15"/>
  <c r="D761" i="15"/>
  <c r="D762" i="15"/>
  <c r="D764" i="15"/>
  <c r="D765" i="15"/>
  <c r="D766" i="15"/>
  <c r="D767" i="15"/>
  <c r="D768" i="15"/>
  <c r="D769" i="15"/>
  <c r="D771" i="15"/>
  <c r="K8" i="15"/>
  <c r="K9" i="15"/>
  <c r="K10" i="15"/>
  <c r="K11" i="15"/>
  <c r="K12" i="15"/>
  <c r="K14" i="15"/>
  <c r="K19" i="15"/>
  <c r="K20" i="15"/>
  <c r="K21" i="15"/>
  <c r="K24" i="15"/>
  <c r="K25" i="15"/>
  <c r="K26" i="15"/>
  <c r="K27" i="15"/>
  <c r="K28" i="15"/>
  <c r="K30" i="15"/>
  <c r="K32" i="15"/>
  <c r="K33" i="15"/>
  <c r="K35" i="15"/>
  <c r="K36" i="15"/>
  <c r="K37" i="15"/>
  <c r="K40" i="15"/>
  <c r="K41" i="15"/>
  <c r="K42" i="15"/>
  <c r="K43" i="15"/>
  <c r="K44" i="15"/>
  <c r="K46" i="15"/>
  <c r="K51" i="15"/>
  <c r="K52" i="15"/>
  <c r="K53" i="15"/>
  <c r="K56" i="15"/>
  <c r="K57" i="15"/>
  <c r="K58" i="15"/>
  <c r="K59" i="15"/>
  <c r="K60" i="15"/>
  <c r="K62" i="15"/>
  <c r="K63" i="15"/>
  <c r="K67" i="15"/>
  <c r="K68" i="15"/>
  <c r="K69" i="15"/>
  <c r="K72" i="15"/>
  <c r="K73" i="15"/>
  <c r="K74" i="15"/>
  <c r="K75" i="15"/>
  <c r="K76" i="15"/>
  <c r="K78" i="15"/>
  <c r="K79" i="15"/>
  <c r="K83" i="15"/>
  <c r="K84" i="15"/>
  <c r="K85" i="15"/>
  <c r="K88" i="15"/>
  <c r="K89" i="15"/>
  <c r="K90" i="15"/>
  <c r="K91" i="15"/>
  <c r="K92" i="15"/>
  <c r="K94" i="15"/>
  <c r="K95" i="15"/>
  <c r="K98" i="15"/>
  <c r="K99" i="15"/>
  <c r="K100" i="15"/>
  <c r="K101" i="15"/>
  <c r="K104" i="15"/>
  <c r="K105" i="15"/>
  <c r="K106" i="15"/>
  <c r="K107" i="15"/>
  <c r="K108" i="15"/>
  <c r="K109" i="15"/>
  <c r="K110" i="15"/>
  <c r="K111" i="15"/>
  <c r="K114" i="15"/>
  <c r="K115" i="15"/>
  <c r="K116" i="15"/>
  <c r="K117" i="15"/>
  <c r="K120" i="15"/>
  <c r="K121" i="15"/>
  <c r="K122" i="15"/>
  <c r="Q122" i="15" s="1"/>
  <c r="K123" i="15"/>
  <c r="K124" i="15"/>
  <c r="K125" i="15"/>
  <c r="K126" i="15"/>
  <c r="K127" i="15"/>
  <c r="K130" i="15"/>
  <c r="K131" i="15"/>
  <c r="K132" i="15"/>
  <c r="K133" i="15"/>
  <c r="K136" i="15"/>
  <c r="K137" i="15"/>
  <c r="K138" i="15"/>
  <c r="K139" i="15"/>
  <c r="K140" i="15"/>
  <c r="K141" i="15"/>
  <c r="K142" i="15"/>
  <c r="K143" i="15"/>
  <c r="K146" i="15"/>
  <c r="K147" i="15"/>
  <c r="K148" i="15"/>
  <c r="K149" i="15"/>
  <c r="K152" i="15"/>
  <c r="K153" i="15"/>
  <c r="K154" i="15"/>
  <c r="K155" i="15"/>
  <c r="K156" i="15"/>
  <c r="K157" i="15"/>
  <c r="K158" i="15"/>
  <c r="K159" i="15"/>
  <c r="K162" i="15"/>
  <c r="K163" i="15"/>
  <c r="K164" i="15"/>
  <c r="K165" i="15"/>
  <c r="K168" i="15"/>
  <c r="K169" i="15"/>
  <c r="K170" i="15"/>
  <c r="K171" i="15"/>
  <c r="K172" i="15"/>
  <c r="K173" i="15"/>
  <c r="K174" i="15"/>
  <c r="K175" i="15"/>
  <c r="K178" i="15"/>
  <c r="K179" i="15"/>
  <c r="K180" i="15"/>
  <c r="K181" i="15"/>
  <c r="K184" i="15"/>
  <c r="K185" i="15"/>
  <c r="K186" i="15"/>
  <c r="K187" i="15"/>
  <c r="K188" i="15"/>
  <c r="K189" i="15"/>
  <c r="K190" i="15"/>
  <c r="K191" i="15"/>
  <c r="K194" i="15"/>
  <c r="K195" i="15"/>
  <c r="K196" i="15"/>
  <c r="K197" i="15"/>
  <c r="K200" i="15"/>
  <c r="K201" i="15"/>
  <c r="K202" i="15"/>
  <c r="K203" i="15"/>
  <c r="K204" i="15"/>
  <c r="K205" i="15"/>
  <c r="K206" i="15"/>
  <c r="K207" i="15"/>
  <c r="K208" i="15"/>
  <c r="K210" i="15"/>
  <c r="K211" i="15"/>
  <c r="Q211" i="15" s="1"/>
  <c r="K212" i="15"/>
  <c r="K213" i="15"/>
  <c r="K216" i="15"/>
  <c r="K217" i="15"/>
  <c r="K218" i="15"/>
  <c r="K219" i="15"/>
  <c r="K220" i="15"/>
  <c r="K221" i="15"/>
  <c r="K222" i="15"/>
  <c r="K223" i="15"/>
  <c r="Q223" i="15" s="1"/>
  <c r="K226" i="15"/>
  <c r="K227" i="15"/>
  <c r="K228" i="15"/>
  <c r="K229" i="15"/>
  <c r="K232" i="15"/>
  <c r="K233" i="15"/>
  <c r="Q233" i="15" s="1"/>
  <c r="K234" i="15"/>
  <c r="K235" i="15"/>
  <c r="K236" i="15"/>
  <c r="K237" i="15"/>
  <c r="K238" i="15"/>
  <c r="K239" i="15"/>
  <c r="K242" i="15"/>
  <c r="K243" i="15"/>
  <c r="K244" i="15"/>
  <c r="K245" i="15"/>
  <c r="K248" i="15"/>
  <c r="K249" i="15"/>
  <c r="K250" i="15"/>
  <c r="K251" i="15"/>
  <c r="K252" i="15"/>
  <c r="K253" i="15"/>
  <c r="K254" i="15"/>
  <c r="K255" i="15"/>
  <c r="K258" i="15"/>
  <c r="K259" i="15"/>
  <c r="K260" i="15"/>
  <c r="K261" i="15"/>
  <c r="K264" i="15"/>
  <c r="K265" i="15"/>
  <c r="K266" i="15"/>
  <c r="K267" i="15"/>
  <c r="K268" i="15"/>
  <c r="K269" i="15"/>
  <c r="K270" i="15"/>
  <c r="K271" i="15"/>
  <c r="K274" i="15"/>
  <c r="K275" i="15"/>
  <c r="K276" i="15"/>
  <c r="K277" i="15"/>
  <c r="K280" i="15"/>
  <c r="K281" i="15"/>
  <c r="K282" i="15"/>
  <c r="K283" i="15"/>
  <c r="K284" i="15"/>
  <c r="K285" i="15"/>
  <c r="K286" i="15"/>
  <c r="K287" i="15"/>
  <c r="K290" i="15"/>
  <c r="K291" i="15"/>
  <c r="K292" i="15"/>
  <c r="K293" i="15"/>
  <c r="K296" i="15"/>
  <c r="K297" i="15"/>
  <c r="K298" i="15"/>
  <c r="K299" i="15"/>
  <c r="K300" i="15"/>
  <c r="K301" i="15"/>
  <c r="K302" i="15"/>
  <c r="K303" i="15"/>
  <c r="K306" i="15"/>
  <c r="K307" i="15"/>
  <c r="K308" i="15"/>
  <c r="K309" i="15"/>
  <c r="K312" i="15"/>
  <c r="K313" i="15"/>
  <c r="K314" i="15"/>
  <c r="K315" i="15"/>
  <c r="K316" i="15"/>
  <c r="K317" i="15"/>
  <c r="K318" i="15"/>
  <c r="K319" i="15"/>
  <c r="K322" i="15"/>
  <c r="K323" i="15"/>
  <c r="K324" i="15"/>
  <c r="K325" i="15"/>
  <c r="K328" i="15"/>
  <c r="K329" i="15"/>
  <c r="K330" i="15"/>
  <c r="K331" i="15"/>
  <c r="K332" i="15"/>
  <c r="K333" i="15"/>
  <c r="K334" i="15"/>
  <c r="K335" i="15"/>
  <c r="K336" i="15"/>
  <c r="K338" i="15"/>
  <c r="K339" i="15"/>
  <c r="K340" i="15"/>
  <c r="K341" i="15"/>
  <c r="K344" i="15"/>
  <c r="K345" i="15"/>
  <c r="K346" i="15"/>
  <c r="K347" i="15"/>
  <c r="K348" i="15"/>
  <c r="K349" i="15"/>
  <c r="K350" i="15"/>
  <c r="K351" i="15"/>
  <c r="K354" i="15"/>
  <c r="K355" i="15"/>
  <c r="K356" i="15"/>
  <c r="K357" i="15"/>
  <c r="K360" i="15"/>
  <c r="K361" i="15"/>
  <c r="K362" i="15"/>
  <c r="K363" i="15"/>
  <c r="K364" i="15"/>
  <c r="K365" i="15"/>
  <c r="K366" i="15"/>
  <c r="K367" i="15"/>
  <c r="K370" i="15"/>
  <c r="K371" i="15"/>
  <c r="K372" i="15"/>
  <c r="K373" i="15"/>
  <c r="K376" i="15"/>
  <c r="K377" i="15"/>
  <c r="K378" i="15"/>
  <c r="K379" i="15"/>
  <c r="K380" i="15"/>
  <c r="K381" i="15"/>
  <c r="K382" i="15"/>
  <c r="K383" i="15"/>
  <c r="K386" i="15"/>
  <c r="K387" i="15"/>
  <c r="K388" i="15"/>
  <c r="K389" i="15"/>
  <c r="K392" i="15"/>
  <c r="K393" i="15"/>
  <c r="K394" i="15"/>
  <c r="K395" i="15"/>
  <c r="K396" i="15"/>
  <c r="K397" i="15"/>
  <c r="K398" i="15"/>
  <c r="K399" i="15"/>
  <c r="K402" i="15"/>
  <c r="K403" i="15"/>
  <c r="K404" i="15"/>
  <c r="K405" i="15"/>
  <c r="K408" i="15"/>
  <c r="K409" i="15"/>
  <c r="K410" i="15"/>
  <c r="K411" i="15"/>
  <c r="K412" i="15"/>
  <c r="K413" i="15"/>
  <c r="K414" i="15"/>
  <c r="K415" i="15"/>
  <c r="K418" i="15"/>
  <c r="K419" i="15"/>
  <c r="K420" i="15"/>
  <c r="K421" i="15"/>
  <c r="K424" i="15"/>
  <c r="K425" i="15"/>
  <c r="K426" i="15"/>
  <c r="K427" i="15"/>
  <c r="K428" i="15"/>
  <c r="K429" i="15"/>
  <c r="K430" i="15"/>
  <c r="K431" i="15"/>
  <c r="K432" i="15"/>
  <c r="K434" i="15"/>
  <c r="K435" i="15"/>
  <c r="K436" i="15"/>
  <c r="K437" i="15"/>
  <c r="K440" i="15"/>
  <c r="K441" i="15"/>
  <c r="K442" i="15"/>
  <c r="K443" i="15"/>
  <c r="K444" i="15"/>
  <c r="K445" i="15"/>
  <c r="K446" i="15"/>
  <c r="K447" i="15"/>
  <c r="K448" i="15"/>
  <c r="K450" i="15"/>
  <c r="K451" i="15"/>
  <c r="K452" i="15"/>
  <c r="K453" i="15"/>
  <c r="K456" i="15"/>
  <c r="K457" i="15"/>
  <c r="K458" i="15"/>
  <c r="K459" i="15"/>
  <c r="K460" i="15"/>
  <c r="K461" i="15"/>
  <c r="K462" i="15"/>
  <c r="K463" i="15"/>
  <c r="K464" i="15"/>
  <c r="K466" i="15"/>
  <c r="K467" i="15"/>
  <c r="K468" i="15"/>
  <c r="K469" i="15"/>
  <c r="K472" i="15"/>
  <c r="K473" i="15"/>
  <c r="K474" i="15"/>
  <c r="K475" i="15"/>
  <c r="K476" i="15"/>
  <c r="K477" i="15"/>
  <c r="K478" i="15"/>
  <c r="K479" i="15"/>
  <c r="K480" i="15"/>
  <c r="K482" i="15"/>
  <c r="K483" i="15"/>
  <c r="K484" i="15"/>
  <c r="K485" i="15"/>
  <c r="K488" i="15"/>
  <c r="K489" i="15"/>
  <c r="K490" i="15"/>
  <c r="K491" i="15"/>
  <c r="K492" i="15"/>
  <c r="K493" i="15"/>
  <c r="K494" i="15"/>
  <c r="K495" i="15"/>
  <c r="K496" i="15"/>
  <c r="K498" i="15"/>
  <c r="K499" i="15"/>
  <c r="K500" i="15"/>
  <c r="K501" i="15"/>
  <c r="K504" i="15"/>
  <c r="K505" i="15"/>
  <c r="K506" i="15"/>
  <c r="K507" i="15"/>
  <c r="K508" i="15"/>
  <c r="K509" i="15"/>
  <c r="K510" i="15"/>
  <c r="K511" i="15"/>
  <c r="K512" i="15"/>
  <c r="K514" i="15"/>
  <c r="K515" i="15"/>
  <c r="K516" i="15"/>
  <c r="K517" i="15"/>
  <c r="K520" i="15"/>
  <c r="K521" i="15"/>
  <c r="K522" i="15"/>
  <c r="K523" i="15"/>
  <c r="K524" i="15"/>
  <c r="K525" i="15"/>
  <c r="K526" i="15"/>
  <c r="K527" i="15"/>
  <c r="K528" i="15"/>
  <c r="K530" i="15"/>
  <c r="K531" i="15"/>
  <c r="K532" i="15"/>
  <c r="K533" i="15"/>
  <c r="K536" i="15"/>
  <c r="K537" i="15"/>
  <c r="K538" i="15"/>
  <c r="K539" i="15"/>
  <c r="K540" i="15"/>
  <c r="K541" i="15"/>
  <c r="K542" i="15"/>
  <c r="K543" i="15"/>
  <c r="K544" i="15"/>
  <c r="K546" i="15"/>
  <c r="K547" i="15"/>
  <c r="K548" i="15"/>
  <c r="K549" i="15"/>
  <c r="K552" i="15"/>
  <c r="K553" i="15"/>
  <c r="K554" i="15"/>
  <c r="K555" i="15"/>
  <c r="K556" i="15"/>
  <c r="K557" i="15"/>
  <c r="K558" i="15"/>
  <c r="K559" i="15"/>
  <c r="K560" i="15"/>
  <c r="K562" i="15"/>
  <c r="K563" i="15"/>
  <c r="K564" i="15"/>
  <c r="K565" i="15"/>
  <c r="K568" i="15"/>
  <c r="K569" i="15"/>
  <c r="K570" i="15"/>
  <c r="K571" i="15"/>
  <c r="K572" i="15"/>
  <c r="K573" i="15"/>
  <c r="K574" i="15"/>
  <c r="K575" i="15"/>
  <c r="K576" i="15"/>
  <c r="K578" i="15"/>
  <c r="K579" i="15"/>
  <c r="K580" i="15"/>
  <c r="K581" i="15"/>
  <c r="K584" i="15"/>
  <c r="K585" i="15"/>
  <c r="K586" i="15"/>
  <c r="K587" i="15"/>
  <c r="K588" i="15"/>
  <c r="K589" i="15"/>
  <c r="K590" i="15"/>
  <c r="K591" i="15"/>
  <c r="K592" i="15"/>
  <c r="K594" i="15"/>
  <c r="K595" i="15"/>
  <c r="K596" i="15"/>
  <c r="K597" i="15"/>
  <c r="K600" i="15"/>
  <c r="K601" i="15"/>
  <c r="K602" i="15"/>
  <c r="K603" i="15"/>
  <c r="K604" i="15"/>
  <c r="K605" i="15"/>
  <c r="K606" i="15"/>
  <c r="K607" i="15"/>
  <c r="K608" i="15"/>
  <c r="K610" i="15"/>
  <c r="K611" i="15"/>
  <c r="K612" i="15"/>
  <c r="K613" i="15"/>
  <c r="K616" i="15"/>
  <c r="K617" i="15"/>
  <c r="K618" i="15"/>
  <c r="K619" i="15"/>
  <c r="K620" i="15"/>
  <c r="K621" i="15"/>
  <c r="K622" i="15"/>
  <c r="K623" i="15"/>
  <c r="K624" i="15"/>
  <c r="K626" i="15"/>
  <c r="K627" i="15"/>
  <c r="K628" i="15"/>
  <c r="K629" i="15"/>
  <c r="K632" i="15"/>
  <c r="K633" i="15"/>
  <c r="K634" i="15"/>
  <c r="K635" i="15"/>
  <c r="K636" i="15"/>
  <c r="K637" i="15"/>
  <c r="K638" i="15"/>
  <c r="K639" i="15"/>
  <c r="K640" i="15"/>
  <c r="K642" i="15"/>
  <c r="K643" i="15"/>
  <c r="K644" i="15"/>
  <c r="K645" i="15"/>
  <c r="K648" i="15"/>
  <c r="K649" i="15"/>
  <c r="K650" i="15"/>
  <c r="K651" i="15"/>
  <c r="K652" i="15"/>
  <c r="K653" i="15"/>
  <c r="K654" i="15"/>
  <c r="K655" i="15"/>
  <c r="K656" i="15"/>
  <c r="K658" i="15"/>
  <c r="K659" i="15"/>
  <c r="K660" i="15"/>
  <c r="K661" i="15"/>
  <c r="K664" i="15"/>
  <c r="K665" i="15"/>
  <c r="K666" i="15"/>
  <c r="K667" i="15"/>
  <c r="K668" i="15"/>
  <c r="K669" i="15"/>
  <c r="K670" i="15"/>
  <c r="K671" i="15"/>
  <c r="K672" i="15"/>
  <c r="K674" i="15"/>
  <c r="K675" i="15"/>
  <c r="K676" i="15"/>
  <c r="K677" i="15"/>
  <c r="K680" i="15"/>
  <c r="K681" i="15"/>
  <c r="K682" i="15"/>
  <c r="K683" i="15"/>
  <c r="K684" i="15"/>
  <c r="K685" i="15"/>
  <c r="K686" i="15"/>
  <c r="K687" i="15"/>
  <c r="K688" i="15"/>
  <c r="K690" i="15"/>
  <c r="K691" i="15"/>
  <c r="K692" i="15"/>
  <c r="K693" i="15"/>
  <c r="K696" i="15"/>
  <c r="K697" i="15"/>
  <c r="K698" i="15"/>
  <c r="K699" i="15"/>
  <c r="K700" i="15"/>
  <c r="K701" i="15"/>
  <c r="K702" i="15"/>
  <c r="K703" i="15"/>
  <c r="K704" i="15"/>
  <c r="K706" i="15"/>
  <c r="K707" i="15"/>
  <c r="K708" i="15"/>
  <c r="K709" i="15"/>
  <c r="K712" i="15"/>
  <c r="K713" i="15"/>
  <c r="K714" i="15"/>
  <c r="K715" i="15"/>
  <c r="K716" i="15"/>
  <c r="K717" i="15"/>
  <c r="K718" i="15"/>
  <c r="K719" i="15"/>
  <c r="K720" i="15"/>
  <c r="K722" i="15"/>
  <c r="K723" i="15"/>
  <c r="K724" i="15"/>
  <c r="K725" i="15"/>
  <c r="K728" i="15"/>
  <c r="K729" i="15"/>
  <c r="K730" i="15"/>
  <c r="K731" i="15"/>
  <c r="K732" i="15"/>
  <c r="K733" i="15"/>
  <c r="K734" i="15"/>
  <c r="K735" i="15"/>
  <c r="K736" i="15"/>
  <c r="K738" i="15"/>
  <c r="K739" i="15"/>
  <c r="K740" i="15"/>
  <c r="K741" i="15"/>
  <c r="K744" i="15"/>
  <c r="K745" i="15"/>
  <c r="K746" i="15"/>
  <c r="K747" i="15"/>
  <c r="K748" i="15"/>
  <c r="K749" i="15"/>
  <c r="K750" i="15"/>
  <c r="K751" i="15"/>
  <c r="K752" i="15"/>
  <c r="K754" i="15"/>
  <c r="K755" i="15"/>
  <c r="Q755" i="15" s="1"/>
  <c r="K756" i="15"/>
  <c r="K757" i="15"/>
  <c r="K760" i="15"/>
  <c r="K761" i="15"/>
  <c r="Q761" i="15" s="1"/>
  <c r="K762" i="15"/>
  <c r="K763" i="15"/>
  <c r="K764" i="15"/>
  <c r="K765" i="15"/>
  <c r="K766" i="15"/>
  <c r="K767" i="15"/>
  <c r="K768" i="15"/>
  <c r="Q768" i="15" s="1"/>
  <c r="K770" i="15"/>
  <c r="K771" i="15"/>
  <c r="K772"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Q87" i="15" s="1"/>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Q119" i="15" s="1"/>
  <c r="L120" i="15"/>
  <c r="L121" i="15"/>
  <c r="L122" i="15"/>
  <c r="L123" i="15"/>
  <c r="L124" i="15"/>
  <c r="L125" i="15"/>
  <c r="L126" i="15"/>
  <c r="L127" i="15"/>
  <c r="L128" i="15"/>
  <c r="L129" i="15"/>
  <c r="L130" i="15"/>
  <c r="L131" i="15"/>
  <c r="L132" i="15"/>
  <c r="L133" i="15"/>
  <c r="L134" i="15"/>
  <c r="L135" i="15"/>
  <c r="Q135" i="15" s="1"/>
  <c r="L136" i="15"/>
  <c r="L137" i="15"/>
  <c r="L138" i="15"/>
  <c r="L139" i="15"/>
  <c r="L140" i="15"/>
  <c r="L141" i="15"/>
  <c r="L142" i="15"/>
  <c r="L143" i="15"/>
  <c r="L144" i="15"/>
  <c r="L145" i="15"/>
  <c r="L146" i="15"/>
  <c r="L147" i="15"/>
  <c r="L148" i="15"/>
  <c r="L149" i="15"/>
  <c r="L150" i="15"/>
  <c r="L151" i="15"/>
  <c r="Q151" i="15" s="1"/>
  <c r="L152" i="15"/>
  <c r="L153" i="15"/>
  <c r="L154" i="15"/>
  <c r="L155" i="15"/>
  <c r="L156" i="15"/>
  <c r="L157" i="15"/>
  <c r="L158" i="15"/>
  <c r="L159" i="15"/>
  <c r="L160" i="15"/>
  <c r="L161" i="15"/>
  <c r="L162" i="15"/>
  <c r="L163" i="15"/>
  <c r="L164" i="15"/>
  <c r="L165" i="15"/>
  <c r="L166" i="15"/>
  <c r="L167" i="15"/>
  <c r="Q167" i="15" s="1"/>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Q215" i="15" s="1"/>
  <c r="L216" i="15"/>
  <c r="L217" i="15"/>
  <c r="L218" i="15"/>
  <c r="L219" i="15"/>
  <c r="L220" i="15"/>
  <c r="L221" i="15"/>
  <c r="L222" i="15"/>
  <c r="L223" i="15"/>
  <c r="L224" i="15"/>
  <c r="L225" i="15"/>
  <c r="L226" i="15"/>
  <c r="L227" i="15"/>
  <c r="L228" i="15"/>
  <c r="L229" i="15"/>
  <c r="L230" i="15"/>
  <c r="L231" i="15"/>
  <c r="Q231" i="15" s="1"/>
  <c r="L232" i="15"/>
  <c r="L233" i="15"/>
  <c r="L234" i="15"/>
  <c r="Q234" i="15" s="1"/>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409" i="15"/>
  <c r="L410" i="15"/>
  <c r="L411" i="15"/>
  <c r="L412" i="15"/>
  <c r="L413" i="15"/>
  <c r="L414" i="15"/>
  <c r="L415" i="15"/>
  <c r="L416" i="15"/>
  <c r="L417" i="15"/>
  <c r="L418" i="15"/>
  <c r="L419" i="15"/>
  <c r="L420" i="15"/>
  <c r="L421" i="15"/>
  <c r="L422" i="15"/>
  <c r="L423" i="15"/>
  <c r="L424" i="15"/>
  <c r="L425" i="15"/>
  <c r="L426" i="15"/>
  <c r="L427" i="15"/>
  <c r="L428" i="15"/>
  <c r="L429" i="15"/>
  <c r="L430" i="15"/>
  <c r="L431" i="15"/>
  <c r="L432" i="15"/>
  <c r="L433" i="15"/>
  <c r="L434" i="15"/>
  <c r="L435" i="15"/>
  <c r="L436" i="15"/>
  <c r="L437" i="15"/>
  <c r="L438" i="15"/>
  <c r="L439" i="15"/>
  <c r="L440" i="15"/>
  <c r="L441" i="15"/>
  <c r="L442" i="15"/>
  <c r="L443" i="15"/>
  <c r="L444" i="15"/>
  <c r="L445" i="15"/>
  <c r="L446" i="15"/>
  <c r="L447" i="15"/>
  <c r="L448" i="15"/>
  <c r="L449" i="15"/>
  <c r="L450" i="15"/>
  <c r="L451" i="15"/>
  <c r="L452" i="15"/>
  <c r="L453" i="15"/>
  <c r="L454" i="15"/>
  <c r="L455" i="15"/>
  <c r="L456" i="15"/>
  <c r="L457" i="15"/>
  <c r="L458" i="15"/>
  <c r="L459" i="15"/>
  <c r="L460" i="15"/>
  <c r="L461" i="15"/>
  <c r="L462" i="15"/>
  <c r="L463" i="15"/>
  <c r="L464" i="15"/>
  <c r="L465" i="15"/>
  <c r="L466" i="15"/>
  <c r="L467" i="15"/>
  <c r="L468" i="15"/>
  <c r="L469" i="15"/>
  <c r="L470" i="15"/>
  <c r="L471" i="15"/>
  <c r="L472" i="15"/>
  <c r="L473" i="15"/>
  <c r="L474" i="15"/>
  <c r="L475" i="15"/>
  <c r="L476" i="15"/>
  <c r="L477" i="15"/>
  <c r="L478" i="15"/>
  <c r="L479" i="15"/>
  <c r="L480" i="15"/>
  <c r="L481" i="15"/>
  <c r="L482" i="15"/>
  <c r="L483" i="15"/>
  <c r="L484" i="15"/>
  <c r="L485" i="15"/>
  <c r="L486" i="15"/>
  <c r="L487" i="15"/>
  <c r="L488" i="15"/>
  <c r="L489" i="15"/>
  <c r="L490" i="15"/>
  <c r="L491" i="15"/>
  <c r="L492" i="15"/>
  <c r="L493" i="15"/>
  <c r="L494" i="15"/>
  <c r="L495" i="15"/>
  <c r="L496" i="15"/>
  <c r="L497" i="15"/>
  <c r="L498" i="15"/>
  <c r="L499" i="15"/>
  <c r="L500" i="15"/>
  <c r="L501" i="15"/>
  <c r="L502" i="15"/>
  <c r="L503" i="15"/>
  <c r="L504" i="15"/>
  <c r="L505" i="15"/>
  <c r="L506" i="15"/>
  <c r="L507" i="15"/>
  <c r="L508" i="15"/>
  <c r="L509" i="15"/>
  <c r="L510" i="15"/>
  <c r="L511" i="15"/>
  <c r="L512" i="15"/>
  <c r="L513" i="15"/>
  <c r="L514" i="15"/>
  <c r="L515" i="15"/>
  <c r="L516" i="15"/>
  <c r="L517" i="15"/>
  <c r="L518" i="15"/>
  <c r="L519" i="15"/>
  <c r="L520" i="15"/>
  <c r="L521" i="15"/>
  <c r="L522" i="15"/>
  <c r="L523" i="15"/>
  <c r="L524" i="15"/>
  <c r="L525" i="15"/>
  <c r="L526" i="15"/>
  <c r="L527" i="15"/>
  <c r="L528" i="15"/>
  <c r="L529" i="15"/>
  <c r="L530" i="15"/>
  <c r="L531" i="15"/>
  <c r="L532" i="15"/>
  <c r="L533" i="15"/>
  <c r="L534" i="15"/>
  <c r="L535" i="15"/>
  <c r="L536" i="15"/>
  <c r="L537" i="15"/>
  <c r="L538" i="15"/>
  <c r="L539" i="15"/>
  <c r="L540" i="15"/>
  <c r="L541" i="15"/>
  <c r="L542" i="15"/>
  <c r="L543" i="15"/>
  <c r="L544" i="15"/>
  <c r="L545" i="15"/>
  <c r="L546" i="15"/>
  <c r="L547" i="15"/>
  <c r="L548" i="15"/>
  <c r="L549" i="15"/>
  <c r="L550" i="15"/>
  <c r="L551" i="15"/>
  <c r="L552" i="15"/>
  <c r="L553" i="15"/>
  <c r="L554" i="15"/>
  <c r="L555" i="15"/>
  <c r="L556" i="15"/>
  <c r="L557" i="15"/>
  <c r="L558" i="15"/>
  <c r="L559" i="15"/>
  <c r="L560" i="15"/>
  <c r="L561" i="15"/>
  <c r="L562" i="15"/>
  <c r="L563" i="15"/>
  <c r="L564" i="15"/>
  <c r="L565" i="15"/>
  <c r="L566" i="15"/>
  <c r="L567" i="15"/>
  <c r="L568" i="15"/>
  <c r="L569" i="15"/>
  <c r="L570" i="15"/>
  <c r="L571" i="15"/>
  <c r="L572" i="15"/>
  <c r="L573" i="15"/>
  <c r="L574" i="15"/>
  <c r="L575" i="15"/>
  <c r="L576" i="15"/>
  <c r="L577" i="15"/>
  <c r="L578" i="15"/>
  <c r="L579" i="15"/>
  <c r="L580" i="15"/>
  <c r="L581" i="15"/>
  <c r="L582" i="15"/>
  <c r="L583" i="15"/>
  <c r="L584" i="15"/>
  <c r="L585" i="15"/>
  <c r="L586" i="15"/>
  <c r="L587" i="15"/>
  <c r="L588" i="15"/>
  <c r="L589" i="15"/>
  <c r="L590" i="15"/>
  <c r="L591" i="15"/>
  <c r="L592" i="15"/>
  <c r="L593" i="15"/>
  <c r="L594" i="15"/>
  <c r="L595" i="15"/>
  <c r="L596" i="15"/>
  <c r="L597" i="15"/>
  <c r="L598" i="15"/>
  <c r="L599" i="15"/>
  <c r="L600" i="15"/>
  <c r="L601" i="15"/>
  <c r="L602" i="15"/>
  <c r="L603" i="15"/>
  <c r="L604" i="15"/>
  <c r="L605" i="15"/>
  <c r="L606" i="15"/>
  <c r="L607" i="15"/>
  <c r="L608" i="15"/>
  <c r="L609" i="15"/>
  <c r="L610" i="15"/>
  <c r="L611" i="15"/>
  <c r="L612" i="15"/>
  <c r="L613" i="15"/>
  <c r="L614" i="15"/>
  <c r="L615" i="15"/>
  <c r="L616" i="15"/>
  <c r="L617" i="15"/>
  <c r="L618" i="15"/>
  <c r="L619" i="15"/>
  <c r="L620" i="15"/>
  <c r="L621" i="15"/>
  <c r="L622" i="15"/>
  <c r="L623" i="15"/>
  <c r="L624" i="15"/>
  <c r="L625" i="15"/>
  <c r="L626" i="15"/>
  <c r="L627" i="15"/>
  <c r="L628" i="15"/>
  <c r="L629" i="15"/>
  <c r="L630" i="15"/>
  <c r="L631" i="15"/>
  <c r="L632" i="15"/>
  <c r="L633" i="15"/>
  <c r="L634" i="15"/>
  <c r="L635" i="15"/>
  <c r="L636" i="15"/>
  <c r="L637" i="15"/>
  <c r="L638" i="15"/>
  <c r="L639" i="15"/>
  <c r="L640" i="15"/>
  <c r="L641" i="15"/>
  <c r="L642" i="15"/>
  <c r="L643" i="15"/>
  <c r="L644" i="15"/>
  <c r="L645" i="15"/>
  <c r="L646" i="15"/>
  <c r="L647" i="15"/>
  <c r="L648" i="15"/>
  <c r="L649" i="15"/>
  <c r="L650" i="15"/>
  <c r="L651" i="15"/>
  <c r="L652" i="15"/>
  <c r="L653" i="15"/>
  <c r="L654" i="15"/>
  <c r="L655" i="15"/>
  <c r="L656" i="15"/>
  <c r="L657" i="15"/>
  <c r="L658" i="15"/>
  <c r="L659" i="15"/>
  <c r="L660" i="15"/>
  <c r="L661" i="15"/>
  <c r="L662" i="15"/>
  <c r="L663" i="15"/>
  <c r="L664" i="15"/>
  <c r="L665" i="15"/>
  <c r="L666" i="15"/>
  <c r="L667" i="15"/>
  <c r="L668" i="15"/>
  <c r="L669" i="15"/>
  <c r="L670" i="15"/>
  <c r="L671" i="15"/>
  <c r="L672" i="15"/>
  <c r="L673" i="15"/>
  <c r="L674" i="15"/>
  <c r="L675" i="15"/>
  <c r="L676" i="15"/>
  <c r="L677" i="15"/>
  <c r="L678" i="15"/>
  <c r="L679" i="15"/>
  <c r="L680" i="15"/>
  <c r="L681" i="15"/>
  <c r="L682" i="15"/>
  <c r="L683" i="15"/>
  <c r="L684" i="15"/>
  <c r="L685" i="15"/>
  <c r="L686" i="15"/>
  <c r="L687" i="15"/>
  <c r="L688" i="15"/>
  <c r="L689" i="15"/>
  <c r="L690" i="15"/>
  <c r="L691" i="15"/>
  <c r="L692" i="15"/>
  <c r="L693" i="15"/>
  <c r="L694" i="15"/>
  <c r="L695" i="15"/>
  <c r="L696" i="15"/>
  <c r="L697" i="15"/>
  <c r="L698" i="15"/>
  <c r="L699" i="15"/>
  <c r="L700" i="15"/>
  <c r="L701" i="15"/>
  <c r="L702" i="15"/>
  <c r="L703" i="15"/>
  <c r="L704" i="15"/>
  <c r="L705" i="15"/>
  <c r="L706" i="15"/>
  <c r="L707" i="15"/>
  <c r="L708" i="15"/>
  <c r="L709" i="15"/>
  <c r="L710" i="15"/>
  <c r="L711" i="15"/>
  <c r="L712" i="15"/>
  <c r="L713" i="15"/>
  <c r="L714" i="15"/>
  <c r="L715" i="15"/>
  <c r="L716" i="15"/>
  <c r="L717" i="15"/>
  <c r="L718" i="15"/>
  <c r="L719" i="15"/>
  <c r="L720" i="15"/>
  <c r="L721" i="15"/>
  <c r="L722" i="15"/>
  <c r="L723" i="15"/>
  <c r="L724" i="15"/>
  <c r="L725" i="15"/>
  <c r="L726" i="15"/>
  <c r="L727" i="15"/>
  <c r="L728" i="15"/>
  <c r="L729" i="15"/>
  <c r="L730" i="15"/>
  <c r="L731" i="15"/>
  <c r="L732" i="15"/>
  <c r="L733" i="15"/>
  <c r="L734" i="15"/>
  <c r="L735" i="15"/>
  <c r="L736" i="15"/>
  <c r="L737" i="15"/>
  <c r="L738" i="15"/>
  <c r="L739" i="15"/>
  <c r="L740" i="15"/>
  <c r="L741" i="15"/>
  <c r="L742" i="15"/>
  <c r="L743" i="15"/>
  <c r="L744" i="15"/>
  <c r="L745" i="15"/>
  <c r="L746" i="15"/>
  <c r="L747" i="15"/>
  <c r="L748" i="15"/>
  <c r="L749" i="15"/>
  <c r="L750" i="15"/>
  <c r="L751" i="15"/>
  <c r="L752" i="15"/>
  <c r="L753" i="15"/>
  <c r="L754" i="15"/>
  <c r="L755" i="15"/>
  <c r="L756" i="15"/>
  <c r="L757" i="15"/>
  <c r="L758" i="15"/>
  <c r="L759" i="15"/>
  <c r="Q759" i="15" s="1"/>
  <c r="L760" i="15"/>
  <c r="L761" i="15"/>
  <c r="L762" i="15"/>
  <c r="L763" i="15"/>
  <c r="L764" i="15"/>
  <c r="L765" i="15"/>
  <c r="L766" i="15"/>
  <c r="L767" i="15"/>
  <c r="L768" i="15"/>
  <c r="L769" i="15"/>
  <c r="L770" i="15"/>
  <c r="L771" i="15"/>
  <c r="L772"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Q105" i="15" s="1"/>
  <c r="M106" i="15"/>
  <c r="M107" i="15"/>
  <c r="M108" i="15"/>
  <c r="M109" i="15"/>
  <c r="M110" i="15"/>
  <c r="M111" i="15"/>
  <c r="M112" i="15"/>
  <c r="M113" i="15"/>
  <c r="M114" i="15"/>
  <c r="M115" i="15"/>
  <c r="M116" i="15"/>
  <c r="M117" i="15"/>
  <c r="M118" i="15"/>
  <c r="M119" i="15"/>
  <c r="M120" i="15"/>
  <c r="M121" i="15"/>
  <c r="M122" i="15"/>
  <c r="M123" i="15"/>
  <c r="Q123" i="15" s="1"/>
  <c r="M124" i="15"/>
  <c r="M125" i="15"/>
  <c r="M126" i="15"/>
  <c r="M127" i="15"/>
  <c r="M128" i="15"/>
  <c r="M129" i="15"/>
  <c r="M130" i="15"/>
  <c r="M131" i="15"/>
  <c r="M132" i="15"/>
  <c r="M133" i="15"/>
  <c r="M134" i="15"/>
  <c r="M135" i="15"/>
  <c r="M136" i="15"/>
  <c r="M137" i="15"/>
  <c r="M138" i="15"/>
  <c r="M139" i="15"/>
  <c r="M140" i="15"/>
  <c r="M141" i="15"/>
  <c r="Q141" i="15" s="1"/>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Q171" i="15" s="1"/>
  <c r="M172" i="15"/>
  <c r="M173" i="15"/>
  <c r="M174" i="15"/>
  <c r="M175" i="15"/>
  <c r="M176" i="15"/>
  <c r="M177" i="15"/>
  <c r="M178" i="15"/>
  <c r="M179" i="15"/>
  <c r="M180" i="15"/>
  <c r="M181" i="15"/>
  <c r="M182" i="15"/>
  <c r="M183" i="15"/>
  <c r="M184" i="15"/>
  <c r="M185" i="15"/>
  <c r="M186" i="15"/>
  <c r="M187" i="15"/>
  <c r="Q187" i="15" s="1"/>
  <c r="M188" i="15"/>
  <c r="M189" i="15"/>
  <c r="Q189" i="15" s="1"/>
  <c r="M190" i="15"/>
  <c r="M191" i="15"/>
  <c r="M192" i="15"/>
  <c r="M193" i="15"/>
  <c r="M194" i="15"/>
  <c r="M195" i="15"/>
  <c r="M196" i="15"/>
  <c r="M197" i="15"/>
  <c r="M198" i="15"/>
  <c r="M199" i="15"/>
  <c r="M200" i="15"/>
  <c r="Q200" i="15" s="1"/>
  <c r="M201" i="15"/>
  <c r="M202" i="15"/>
  <c r="M203" i="15"/>
  <c r="Q203" i="15" s="1"/>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Q142" i="15" s="1"/>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Q174" i="15" s="1"/>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Q227" i="15" s="1"/>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3"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541" i="15"/>
  <c r="N542" i="15"/>
  <c r="N543" i="15"/>
  <c r="N544" i="15"/>
  <c r="N545" i="15"/>
  <c r="N546" i="15"/>
  <c r="N547" i="15"/>
  <c r="N548" i="15"/>
  <c r="N549" i="15"/>
  <c r="N550" i="15"/>
  <c r="N551" i="15"/>
  <c r="N552" i="15"/>
  <c r="N553" i="15"/>
  <c r="N554" i="15"/>
  <c r="N555" i="15"/>
  <c r="N556" i="15"/>
  <c r="N557" i="15"/>
  <c r="N558" i="15"/>
  <c r="N559" i="15"/>
  <c r="N560" i="15"/>
  <c r="N561" i="15"/>
  <c r="N562" i="15"/>
  <c r="N563" i="15"/>
  <c r="N564" i="15"/>
  <c r="N565" i="15"/>
  <c r="N566" i="15"/>
  <c r="N567" i="15"/>
  <c r="N568" i="15"/>
  <c r="N569" i="15"/>
  <c r="N570" i="15"/>
  <c r="N571" i="15"/>
  <c r="N572" i="15"/>
  <c r="N573" i="15"/>
  <c r="N574" i="15"/>
  <c r="N575" i="15"/>
  <c r="N576" i="15"/>
  <c r="N577" i="15"/>
  <c r="N578" i="15"/>
  <c r="N579" i="15"/>
  <c r="N580" i="15"/>
  <c r="N581" i="15"/>
  <c r="N582" i="15"/>
  <c r="N583" i="15"/>
  <c r="N584" i="15"/>
  <c r="N585" i="15"/>
  <c r="N586" i="15"/>
  <c r="N587" i="15"/>
  <c r="N588" i="15"/>
  <c r="N589" i="15"/>
  <c r="N590" i="15"/>
  <c r="N591" i="15"/>
  <c r="N592" i="15"/>
  <c r="N593" i="15"/>
  <c r="N594" i="15"/>
  <c r="N595" i="15"/>
  <c r="N596" i="15"/>
  <c r="N597" i="15"/>
  <c r="N598" i="15"/>
  <c r="N599" i="15"/>
  <c r="N600" i="15"/>
  <c r="N601" i="15"/>
  <c r="N602" i="15"/>
  <c r="N603" i="15"/>
  <c r="N604" i="15"/>
  <c r="N605" i="15"/>
  <c r="N606" i="15"/>
  <c r="N607" i="15"/>
  <c r="N608" i="15"/>
  <c r="N609" i="15"/>
  <c r="N610" i="15"/>
  <c r="N611" i="15"/>
  <c r="N612" i="15"/>
  <c r="N613" i="15"/>
  <c r="N614" i="15"/>
  <c r="N615" i="15"/>
  <c r="N616" i="15"/>
  <c r="N617" i="15"/>
  <c r="N618" i="15"/>
  <c r="N619" i="15"/>
  <c r="N620" i="15"/>
  <c r="N621" i="15"/>
  <c r="N622" i="15"/>
  <c r="N623" i="15"/>
  <c r="N624" i="15"/>
  <c r="N625" i="15"/>
  <c r="N626" i="15"/>
  <c r="N627" i="15"/>
  <c r="N628" i="15"/>
  <c r="N629" i="15"/>
  <c r="N630" i="15"/>
  <c r="N631" i="15"/>
  <c r="N632" i="15"/>
  <c r="N633" i="15"/>
  <c r="N634" i="15"/>
  <c r="N635" i="15"/>
  <c r="N636" i="15"/>
  <c r="N637" i="15"/>
  <c r="N638" i="15"/>
  <c r="N639" i="15"/>
  <c r="N640" i="15"/>
  <c r="N641" i="15"/>
  <c r="N642" i="15"/>
  <c r="N643" i="15"/>
  <c r="N644" i="15"/>
  <c r="N645" i="15"/>
  <c r="N646" i="15"/>
  <c r="N647" i="15"/>
  <c r="N648" i="15"/>
  <c r="N649" i="15"/>
  <c r="N650" i="15"/>
  <c r="N651" i="15"/>
  <c r="N652" i="15"/>
  <c r="N653" i="15"/>
  <c r="N654" i="15"/>
  <c r="N655" i="15"/>
  <c r="N656" i="15"/>
  <c r="N657" i="15"/>
  <c r="N658" i="15"/>
  <c r="N659" i="15"/>
  <c r="N660" i="15"/>
  <c r="N661" i="15"/>
  <c r="N662" i="15"/>
  <c r="N663" i="15"/>
  <c r="N664" i="15"/>
  <c r="N665" i="15"/>
  <c r="N666" i="15"/>
  <c r="N667" i="15"/>
  <c r="N668" i="15"/>
  <c r="N669" i="15"/>
  <c r="N670" i="15"/>
  <c r="N671" i="15"/>
  <c r="N672" i="15"/>
  <c r="N673" i="15"/>
  <c r="N674" i="15"/>
  <c r="N675" i="15"/>
  <c r="N676" i="15"/>
  <c r="N677" i="15"/>
  <c r="N678" i="15"/>
  <c r="N679" i="15"/>
  <c r="N680" i="15"/>
  <c r="N681" i="15"/>
  <c r="N682" i="15"/>
  <c r="N683" i="15"/>
  <c r="N684" i="15"/>
  <c r="N685" i="15"/>
  <c r="N686" i="15"/>
  <c r="N687" i="15"/>
  <c r="N688" i="15"/>
  <c r="N689" i="15"/>
  <c r="N690" i="15"/>
  <c r="N691" i="15"/>
  <c r="N692" i="15"/>
  <c r="N693" i="15"/>
  <c r="N694" i="15"/>
  <c r="N695" i="15"/>
  <c r="N696" i="15"/>
  <c r="N697" i="15"/>
  <c r="N698" i="15"/>
  <c r="N699" i="15"/>
  <c r="N700" i="15"/>
  <c r="N701" i="15"/>
  <c r="N702" i="15"/>
  <c r="N703" i="15"/>
  <c r="N704" i="15"/>
  <c r="N705" i="15"/>
  <c r="N706" i="15"/>
  <c r="N707" i="15"/>
  <c r="N708" i="15"/>
  <c r="N709" i="15"/>
  <c r="N710" i="15"/>
  <c r="N711" i="15"/>
  <c r="N712" i="15"/>
  <c r="N713" i="15"/>
  <c r="N714" i="15"/>
  <c r="N715" i="15"/>
  <c r="N716" i="15"/>
  <c r="N717" i="15"/>
  <c r="N718" i="15"/>
  <c r="N719" i="15"/>
  <c r="N720" i="15"/>
  <c r="N721" i="15"/>
  <c r="N722" i="15"/>
  <c r="N723" i="15"/>
  <c r="N724" i="15"/>
  <c r="N725" i="15"/>
  <c r="N726" i="15"/>
  <c r="N727" i="15"/>
  <c r="N728" i="15"/>
  <c r="N729" i="15"/>
  <c r="N730" i="15"/>
  <c r="N731" i="15"/>
  <c r="N732" i="15"/>
  <c r="N733" i="15"/>
  <c r="N734" i="15"/>
  <c r="N735" i="15"/>
  <c r="N736" i="15"/>
  <c r="N737" i="15"/>
  <c r="N738" i="15"/>
  <c r="N739" i="15"/>
  <c r="N740" i="15"/>
  <c r="N741" i="15"/>
  <c r="N742" i="15"/>
  <c r="N743" i="15"/>
  <c r="N744" i="15"/>
  <c r="N745" i="15"/>
  <c r="N746" i="15"/>
  <c r="N747" i="15"/>
  <c r="N748" i="15"/>
  <c r="N749" i="15"/>
  <c r="N750" i="15"/>
  <c r="N751" i="15"/>
  <c r="N752" i="15"/>
  <c r="N753" i="15"/>
  <c r="N754" i="15"/>
  <c r="N755" i="15"/>
  <c r="N756" i="15"/>
  <c r="N757" i="15"/>
  <c r="N758" i="15"/>
  <c r="N759" i="15"/>
  <c r="N760" i="15"/>
  <c r="N761" i="15"/>
  <c r="N762" i="15"/>
  <c r="N763" i="15"/>
  <c r="N764" i="15"/>
  <c r="N765" i="15"/>
  <c r="N766" i="15"/>
  <c r="N767" i="15"/>
  <c r="N768" i="15"/>
  <c r="N769" i="15"/>
  <c r="N770" i="15"/>
  <c r="N771" i="15"/>
  <c r="N772" i="15"/>
  <c r="O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Q63" i="15" s="1"/>
  <c r="O64" i="15"/>
  <c r="O65" i="15"/>
  <c r="O66" i="15"/>
  <c r="O67" i="15"/>
  <c r="O68" i="15"/>
  <c r="O69" i="15"/>
  <c r="O70" i="15"/>
  <c r="O71" i="15"/>
  <c r="O72" i="15"/>
  <c r="O73" i="15"/>
  <c r="O74" i="15"/>
  <c r="O75" i="15"/>
  <c r="O76" i="15"/>
  <c r="O77" i="15"/>
  <c r="O78" i="15"/>
  <c r="O79" i="15"/>
  <c r="Q79" i="15" s="1"/>
  <c r="O80" i="15"/>
  <c r="O81" i="15"/>
  <c r="O82" i="15"/>
  <c r="O83" i="15"/>
  <c r="O84" i="15"/>
  <c r="O85" i="15"/>
  <c r="O86" i="15"/>
  <c r="O87" i="15"/>
  <c r="O88" i="15"/>
  <c r="O89" i="15"/>
  <c r="O90" i="15"/>
  <c r="O91" i="15"/>
  <c r="O92" i="15"/>
  <c r="O93" i="15"/>
  <c r="O94" i="15"/>
  <c r="O95" i="15"/>
  <c r="Q95" i="15" s="1"/>
  <c r="O96" i="15"/>
  <c r="O97" i="15"/>
  <c r="O98" i="15"/>
  <c r="O99" i="15"/>
  <c r="O100" i="15"/>
  <c r="O101" i="15"/>
  <c r="O102" i="15"/>
  <c r="O103" i="15"/>
  <c r="O104" i="15"/>
  <c r="O105" i="15"/>
  <c r="O106" i="15"/>
  <c r="O107" i="15"/>
  <c r="O108" i="15"/>
  <c r="O109" i="15"/>
  <c r="O110" i="15"/>
  <c r="O111" i="15"/>
  <c r="O112" i="15"/>
  <c r="O113" i="15"/>
  <c r="O114" i="15"/>
  <c r="O115" i="15"/>
  <c r="O116" i="15"/>
  <c r="O117" i="15"/>
  <c r="O118" i="15"/>
  <c r="O119" i="15"/>
  <c r="O120" i="15"/>
  <c r="O121" i="15"/>
  <c r="O122" i="15"/>
  <c r="O123" i="15"/>
  <c r="O124" i="15"/>
  <c r="O125" i="15"/>
  <c r="O126" i="15"/>
  <c r="O127" i="15"/>
  <c r="Q127" i="15" s="1"/>
  <c r="O128" i="15"/>
  <c r="O129" i="15"/>
  <c r="O130" i="15"/>
  <c r="O131" i="15"/>
  <c r="O132" i="15"/>
  <c r="O133" i="15"/>
  <c r="O134" i="15"/>
  <c r="O135" i="15"/>
  <c r="O136" i="15"/>
  <c r="O137" i="15"/>
  <c r="O138" i="15"/>
  <c r="O139" i="15"/>
  <c r="O140" i="15"/>
  <c r="O141" i="15"/>
  <c r="O142" i="15"/>
  <c r="O143" i="15"/>
  <c r="Q143" i="15" s="1"/>
  <c r="O144" i="15"/>
  <c r="O145" i="15"/>
  <c r="O146" i="15"/>
  <c r="O147" i="15"/>
  <c r="O148" i="15"/>
  <c r="O149" i="15"/>
  <c r="O150" i="15"/>
  <c r="O151" i="15"/>
  <c r="O152" i="15"/>
  <c r="O153" i="15"/>
  <c r="O154" i="15"/>
  <c r="O155" i="15"/>
  <c r="O156" i="15"/>
  <c r="O157" i="15"/>
  <c r="O158" i="15"/>
  <c r="O159" i="15"/>
  <c r="O160" i="15"/>
  <c r="O161" i="15"/>
  <c r="O162" i="15"/>
  <c r="O163" i="15"/>
  <c r="O164" i="15"/>
  <c r="O165" i="15"/>
  <c r="O166" i="15"/>
  <c r="O167" i="15"/>
  <c r="O168" i="15"/>
  <c r="O169" i="15"/>
  <c r="O170" i="15"/>
  <c r="O171" i="15"/>
  <c r="O172" i="15"/>
  <c r="O173" i="15"/>
  <c r="O174" i="15"/>
  <c r="O175" i="15"/>
  <c r="O176" i="15"/>
  <c r="O177" i="15"/>
  <c r="O178" i="15"/>
  <c r="O179" i="15"/>
  <c r="O180" i="15"/>
  <c r="O181" i="15"/>
  <c r="O182" i="15"/>
  <c r="O183" i="15"/>
  <c r="O184" i="15"/>
  <c r="O185" i="15"/>
  <c r="O186" i="15"/>
  <c r="O187" i="15"/>
  <c r="O188" i="15"/>
  <c r="O189" i="15"/>
  <c r="O190" i="15"/>
  <c r="O191" i="15"/>
  <c r="O192" i="15"/>
  <c r="O193" i="15"/>
  <c r="O194" i="15"/>
  <c r="O195" i="15"/>
  <c r="O196" i="15"/>
  <c r="O197" i="15"/>
  <c r="O198" i="15"/>
  <c r="O199" i="15"/>
  <c r="O200" i="15"/>
  <c r="O201" i="15"/>
  <c r="O202" i="15"/>
  <c r="O203" i="15"/>
  <c r="O204" i="15"/>
  <c r="O205" i="15"/>
  <c r="O206" i="15"/>
  <c r="O207" i="15"/>
  <c r="O208" i="15"/>
  <c r="O209" i="15"/>
  <c r="O210" i="15"/>
  <c r="O211" i="15"/>
  <c r="O212" i="15"/>
  <c r="O213" i="15"/>
  <c r="O214" i="15"/>
  <c r="O215" i="15"/>
  <c r="O216" i="15"/>
  <c r="O217" i="15"/>
  <c r="O218" i="15"/>
  <c r="O219" i="15"/>
  <c r="O220" i="15"/>
  <c r="O221" i="15"/>
  <c r="O222" i="15"/>
  <c r="O223" i="15"/>
  <c r="O224" i="15"/>
  <c r="O225" i="15"/>
  <c r="O226" i="15"/>
  <c r="O227" i="15"/>
  <c r="O228" i="15"/>
  <c r="O229" i="15"/>
  <c r="O230" i="15"/>
  <c r="O231" i="15"/>
  <c r="O232" i="15"/>
  <c r="O233" i="15"/>
  <c r="O234" i="15"/>
  <c r="O235" i="15"/>
  <c r="O236" i="15"/>
  <c r="O237" i="15"/>
  <c r="O238" i="15"/>
  <c r="O239" i="15"/>
  <c r="O240" i="15"/>
  <c r="O241" i="15"/>
  <c r="O242" i="15"/>
  <c r="O243" i="15"/>
  <c r="O244" i="15"/>
  <c r="O245" i="15"/>
  <c r="O246" i="15"/>
  <c r="O247" i="15"/>
  <c r="O248" i="15"/>
  <c r="O249" i="15"/>
  <c r="O250" i="15"/>
  <c r="O251" i="15"/>
  <c r="O252" i="15"/>
  <c r="O253" i="15"/>
  <c r="O254" i="15"/>
  <c r="O255" i="15"/>
  <c r="O256" i="15"/>
  <c r="O257" i="15"/>
  <c r="O258" i="15"/>
  <c r="O259" i="15"/>
  <c r="O260" i="15"/>
  <c r="O261" i="15"/>
  <c r="O262" i="15"/>
  <c r="O263" i="15"/>
  <c r="O264" i="15"/>
  <c r="O265" i="15"/>
  <c r="O266" i="15"/>
  <c r="O267" i="15"/>
  <c r="O268" i="15"/>
  <c r="O269" i="15"/>
  <c r="O270" i="15"/>
  <c r="O271" i="15"/>
  <c r="O272" i="15"/>
  <c r="O273" i="15"/>
  <c r="O274" i="15"/>
  <c r="O275" i="15"/>
  <c r="O276" i="15"/>
  <c r="O277" i="15"/>
  <c r="O278" i="15"/>
  <c r="O279" i="15"/>
  <c r="O280" i="15"/>
  <c r="O281" i="15"/>
  <c r="O282" i="15"/>
  <c r="O283" i="15"/>
  <c r="O284" i="15"/>
  <c r="O285" i="15"/>
  <c r="O286" i="15"/>
  <c r="O287" i="15"/>
  <c r="O288" i="15"/>
  <c r="O289" i="15"/>
  <c r="O290" i="15"/>
  <c r="O291" i="15"/>
  <c r="O292" i="15"/>
  <c r="O293" i="15"/>
  <c r="O294" i="15"/>
  <c r="O295" i="15"/>
  <c r="O296" i="15"/>
  <c r="O297" i="15"/>
  <c r="O298" i="15"/>
  <c r="O299" i="15"/>
  <c r="O300" i="15"/>
  <c r="O301" i="15"/>
  <c r="O302" i="15"/>
  <c r="O303" i="15"/>
  <c r="O304" i="15"/>
  <c r="O305" i="15"/>
  <c r="O306" i="15"/>
  <c r="O307" i="15"/>
  <c r="O308" i="15"/>
  <c r="O309" i="15"/>
  <c r="O310" i="15"/>
  <c r="O311" i="15"/>
  <c r="O312" i="15"/>
  <c r="O313" i="15"/>
  <c r="O314" i="15"/>
  <c r="O315" i="15"/>
  <c r="O316" i="15"/>
  <c r="O317" i="15"/>
  <c r="O318" i="15"/>
  <c r="O319" i="15"/>
  <c r="O320" i="15"/>
  <c r="O321" i="15"/>
  <c r="O322" i="15"/>
  <c r="O323" i="15"/>
  <c r="O324" i="15"/>
  <c r="O325" i="15"/>
  <c r="O326" i="15"/>
  <c r="O327" i="15"/>
  <c r="O328" i="15"/>
  <c r="O329" i="15"/>
  <c r="O330" i="15"/>
  <c r="O331" i="15"/>
  <c r="O332" i="15"/>
  <c r="O333" i="15"/>
  <c r="O334" i="15"/>
  <c r="O335" i="15"/>
  <c r="O336" i="15"/>
  <c r="O337" i="15"/>
  <c r="O338" i="15"/>
  <c r="O339" i="15"/>
  <c r="O340" i="15"/>
  <c r="O341" i="15"/>
  <c r="O342" i="15"/>
  <c r="O343" i="15"/>
  <c r="O344" i="15"/>
  <c r="O345" i="15"/>
  <c r="O346" i="15"/>
  <c r="O347" i="15"/>
  <c r="O348" i="15"/>
  <c r="O349" i="15"/>
  <c r="O350" i="15"/>
  <c r="O351" i="15"/>
  <c r="O352" i="15"/>
  <c r="O353" i="15"/>
  <c r="O354" i="15"/>
  <c r="O355" i="15"/>
  <c r="O356" i="15"/>
  <c r="O357" i="15"/>
  <c r="O358" i="15"/>
  <c r="O359" i="15"/>
  <c r="O360" i="15"/>
  <c r="O361" i="15"/>
  <c r="O362" i="15"/>
  <c r="O363" i="15"/>
  <c r="O364" i="15"/>
  <c r="O365" i="15"/>
  <c r="O366" i="15"/>
  <c r="O367" i="15"/>
  <c r="O368" i="15"/>
  <c r="O369" i="15"/>
  <c r="O370" i="15"/>
  <c r="O371" i="15"/>
  <c r="O372" i="15"/>
  <c r="O373" i="15"/>
  <c r="O374" i="15"/>
  <c r="O375" i="15"/>
  <c r="O376" i="15"/>
  <c r="O377" i="15"/>
  <c r="O378" i="15"/>
  <c r="O379" i="15"/>
  <c r="O380" i="15"/>
  <c r="O381" i="15"/>
  <c r="O382" i="15"/>
  <c r="O383" i="15"/>
  <c r="O384" i="15"/>
  <c r="O385" i="15"/>
  <c r="O386" i="15"/>
  <c r="O387" i="15"/>
  <c r="O388" i="15"/>
  <c r="O389" i="15"/>
  <c r="O390" i="15"/>
  <c r="O391" i="15"/>
  <c r="O392" i="15"/>
  <c r="O393" i="15"/>
  <c r="O394" i="15"/>
  <c r="O395" i="15"/>
  <c r="O396" i="15"/>
  <c r="O397" i="15"/>
  <c r="O398" i="15"/>
  <c r="O399" i="15"/>
  <c r="O400" i="15"/>
  <c r="O401" i="15"/>
  <c r="O402" i="15"/>
  <c r="O403" i="15"/>
  <c r="O404" i="15"/>
  <c r="O405" i="15"/>
  <c r="O406" i="15"/>
  <c r="O407" i="15"/>
  <c r="O408" i="15"/>
  <c r="O409" i="15"/>
  <c r="O410" i="15"/>
  <c r="O411" i="15"/>
  <c r="O412" i="15"/>
  <c r="O413" i="15"/>
  <c r="O414" i="15"/>
  <c r="O415" i="15"/>
  <c r="O416" i="15"/>
  <c r="O417" i="15"/>
  <c r="O418" i="15"/>
  <c r="O419" i="15"/>
  <c r="O420" i="15"/>
  <c r="O421" i="15"/>
  <c r="O422" i="15"/>
  <c r="O423" i="15"/>
  <c r="O424" i="15"/>
  <c r="O425" i="15"/>
  <c r="O426" i="15"/>
  <c r="O427" i="15"/>
  <c r="O428" i="15"/>
  <c r="O429" i="15"/>
  <c r="O430" i="15"/>
  <c r="O431" i="15"/>
  <c r="O432" i="15"/>
  <c r="O433" i="15"/>
  <c r="O434" i="15"/>
  <c r="O435" i="15"/>
  <c r="O436" i="15"/>
  <c r="O437" i="15"/>
  <c r="O438" i="15"/>
  <c r="O439" i="15"/>
  <c r="O440" i="15"/>
  <c r="O441" i="15"/>
  <c r="O442" i="15"/>
  <c r="O443" i="15"/>
  <c r="O444" i="15"/>
  <c r="O445" i="15"/>
  <c r="O446" i="15"/>
  <c r="O447" i="15"/>
  <c r="O448" i="15"/>
  <c r="O449" i="15"/>
  <c r="O450" i="15"/>
  <c r="O451" i="15"/>
  <c r="O452" i="15"/>
  <c r="O453" i="15"/>
  <c r="O454" i="15"/>
  <c r="O455" i="15"/>
  <c r="O456" i="15"/>
  <c r="O457" i="15"/>
  <c r="O458" i="15"/>
  <c r="O459" i="15"/>
  <c r="O460" i="15"/>
  <c r="O461" i="15"/>
  <c r="O462" i="15"/>
  <c r="O463" i="15"/>
  <c r="O464" i="15"/>
  <c r="O465" i="15"/>
  <c r="O466" i="15"/>
  <c r="O467" i="15"/>
  <c r="O468" i="15"/>
  <c r="O469" i="15"/>
  <c r="O470" i="15"/>
  <c r="O471" i="15"/>
  <c r="O472" i="15"/>
  <c r="O473" i="15"/>
  <c r="O474" i="15"/>
  <c r="O475" i="15"/>
  <c r="O476" i="15"/>
  <c r="O477" i="15"/>
  <c r="O478" i="15"/>
  <c r="O479" i="15"/>
  <c r="O480" i="15"/>
  <c r="O481" i="15"/>
  <c r="O482" i="15"/>
  <c r="O483" i="15"/>
  <c r="O484" i="15"/>
  <c r="O485" i="15"/>
  <c r="O486" i="15"/>
  <c r="O487" i="15"/>
  <c r="O488" i="15"/>
  <c r="O489" i="15"/>
  <c r="O490" i="15"/>
  <c r="O491" i="15"/>
  <c r="O492" i="15"/>
  <c r="O493" i="15"/>
  <c r="O494" i="15"/>
  <c r="O495" i="15"/>
  <c r="O496" i="15"/>
  <c r="O497" i="15"/>
  <c r="O498" i="15"/>
  <c r="O499" i="15"/>
  <c r="O500" i="15"/>
  <c r="O501" i="15"/>
  <c r="O502" i="15"/>
  <c r="O503" i="15"/>
  <c r="O504" i="15"/>
  <c r="O505"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601" i="15"/>
  <c r="O602" i="15"/>
  <c r="O603" i="15"/>
  <c r="O604" i="15"/>
  <c r="O605" i="15"/>
  <c r="O606" i="15"/>
  <c r="O607" i="15"/>
  <c r="O608" i="15"/>
  <c r="O609" i="15"/>
  <c r="O610" i="15"/>
  <c r="O611" i="15"/>
  <c r="O612" i="15"/>
  <c r="O613" i="15"/>
  <c r="O614" i="15"/>
  <c r="O615" i="15"/>
  <c r="O616" i="15"/>
  <c r="O617" i="15"/>
  <c r="O618" i="15"/>
  <c r="O619" i="15"/>
  <c r="O620" i="15"/>
  <c r="O621" i="15"/>
  <c r="O622" i="15"/>
  <c r="O623" i="15"/>
  <c r="O624" i="15"/>
  <c r="O625" i="15"/>
  <c r="O626" i="15"/>
  <c r="O627" i="15"/>
  <c r="O628" i="15"/>
  <c r="O629" i="15"/>
  <c r="O630" i="15"/>
  <c r="O631" i="15"/>
  <c r="O632" i="15"/>
  <c r="O633" i="15"/>
  <c r="O634" i="15"/>
  <c r="O635" i="15"/>
  <c r="O636" i="15"/>
  <c r="O637" i="15"/>
  <c r="O638" i="15"/>
  <c r="O639" i="15"/>
  <c r="O640" i="15"/>
  <c r="O641" i="15"/>
  <c r="O642" i="15"/>
  <c r="O643" i="15"/>
  <c r="O644" i="15"/>
  <c r="O645" i="15"/>
  <c r="O646" i="15"/>
  <c r="O647" i="15"/>
  <c r="O648" i="15"/>
  <c r="O649" i="15"/>
  <c r="O650" i="15"/>
  <c r="O651" i="15"/>
  <c r="O652" i="15"/>
  <c r="O653" i="15"/>
  <c r="O654" i="15"/>
  <c r="O655" i="15"/>
  <c r="O656" i="15"/>
  <c r="O657" i="15"/>
  <c r="O658" i="15"/>
  <c r="O659" i="15"/>
  <c r="O660" i="15"/>
  <c r="O661" i="15"/>
  <c r="O662" i="15"/>
  <c r="O663" i="15"/>
  <c r="O664" i="15"/>
  <c r="O665" i="15"/>
  <c r="O666" i="15"/>
  <c r="O667" i="15"/>
  <c r="O668" i="15"/>
  <c r="O669" i="15"/>
  <c r="O670" i="15"/>
  <c r="O671" i="15"/>
  <c r="O672" i="15"/>
  <c r="O673" i="15"/>
  <c r="O674" i="15"/>
  <c r="O675" i="15"/>
  <c r="O676" i="15"/>
  <c r="O677" i="15"/>
  <c r="O678" i="15"/>
  <c r="O679" i="15"/>
  <c r="O680" i="15"/>
  <c r="O681" i="15"/>
  <c r="O682" i="15"/>
  <c r="O683" i="15"/>
  <c r="O684" i="15"/>
  <c r="O685" i="15"/>
  <c r="O686" i="15"/>
  <c r="O687" i="15"/>
  <c r="O688" i="15"/>
  <c r="O689" i="15"/>
  <c r="O690" i="15"/>
  <c r="O691" i="15"/>
  <c r="O692" i="15"/>
  <c r="O693" i="15"/>
  <c r="O694" i="15"/>
  <c r="O695" i="15"/>
  <c r="O696" i="15"/>
  <c r="O697" i="15"/>
  <c r="O698" i="15"/>
  <c r="O699" i="15"/>
  <c r="O700" i="15"/>
  <c r="O701" i="15"/>
  <c r="O702" i="15"/>
  <c r="O703" i="15"/>
  <c r="O704" i="15"/>
  <c r="O705" i="15"/>
  <c r="O706" i="15"/>
  <c r="O707" i="15"/>
  <c r="O708" i="15"/>
  <c r="O709" i="15"/>
  <c r="O710" i="15"/>
  <c r="O711" i="15"/>
  <c r="O712" i="15"/>
  <c r="O713" i="15"/>
  <c r="O714" i="15"/>
  <c r="O715" i="15"/>
  <c r="O716" i="15"/>
  <c r="O717" i="15"/>
  <c r="O718" i="15"/>
  <c r="O719" i="15"/>
  <c r="O720" i="15"/>
  <c r="O721" i="15"/>
  <c r="O722" i="15"/>
  <c r="O723" i="15"/>
  <c r="O724" i="15"/>
  <c r="O725" i="15"/>
  <c r="O726" i="15"/>
  <c r="O727" i="15"/>
  <c r="O728" i="15"/>
  <c r="O729" i="15"/>
  <c r="O730" i="15"/>
  <c r="O731" i="15"/>
  <c r="O732" i="15"/>
  <c r="O733" i="15"/>
  <c r="O734" i="15"/>
  <c r="O735" i="15"/>
  <c r="O736" i="15"/>
  <c r="O737" i="15"/>
  <c r="O738" i="15"/>
  <c r="O739" i="15"/>
  <c r="O740" i="15"/>
  <c r="O741" i="15"/>
  <c r="O742" i="15"/>
  <c r="O743" i="15"/>
  <c r="O744" i="15"/>
  <c r="O745" i="15"/>
  <c r="O746" i="15"/>
  <c r="O747" i="15"/>
  <c r="O748" i="15"/>
  <c r="O749" i="15"/>
  <c r="O750" i="15"/>
  <c r="O751" i="15"/>
  <c r="O752" i="15"/>
  <c r="O753" i="15"/>
  <c r="O754" i="15"/>
  <c r="O755" i="15"/>
  <c r="O756" i="15"/>
  <c r="O757" i="15"/>
  <c r="O758" i="15"/>
  <c r="O759" i="15"/>
  <c r="O760" i="15"/>
  <c r="O761" i="15"/>
  <c r="O762" i="15"/>
  <c r="O763" i="15"/>
  <c r="O764" i="15"/>
  <c r="O765" i="15"/>
  <c r="O766" i="15"/>
  <c r="O767" i="15"/>
  <c r="O768" i="15"/>
  <c r="O769" i="15"/>
  <c r="O770" i="15"/>
  <c r="O771" i="15"/>
  <c r="O772"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Q190" i="15" s="1"/>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Q752" i="15" s="1"/>
  <c r="P753" i="15"/>
  <c r="P754" i="15"/>
  <c r="P755" i="15"/>
  <c r="P756" i="15"/>
  <c r="P757" i="15"/>
  <c r="P758" i="15"/>
  <c r="P759" i="15"/>
  <c r="P760" i="15"/>
  <c r="P761" i="15"/>
  <c r="P762" i="15"/>
  <c r="P763" i="15"/>
  <c r="P764" i="15"/>
  <c r="P765" i="15"/>
  <c r="P766" i="15"/>
  <c r="P767" i="15"/>
  <c r="P768" i="15"/>
  <c r="P769" i="15"/>
  <c r="P770" i="15"/>
  <c r="P771" i="15"/>
  <c r="P772" i="15"/>
  <c r="Q72" i="15"/>
  <c r="Q90" i="15"/>
  <c r="Q107" i="15"/>
  <c r="Q120" i="15"/>
  <c r="Q136" i="15"/>
  <c r="Q179" i="15"/>
  <c r="Q210" i="15"/>
  <c r="P5" i="15"/>
  <c r="O5" i="15"/>
  <c r="N5" i="15"/>
  <c r="M5" i="15"/>
  <c r="L5" i="15"/>
  <c r="K5" i="15"/>
  <c r="C5" i="15"/>
  <c r="D5" i="15" s="1"/>
  <c r="P4" i="15"/>
  <c r="O4" i="15"/>
  <c r="N4" i="15"/>
  <c r="M4" i="15"/>
  <c r="L4" i="15"/>
  <c r="K4" i="15"/>
  <c r="C4" i="15"/>
  <c r="D4" i="15" s="1"/>
  <c r="P3" i="15"/>
  <c r="O3" i="15"/>
  <c r="N3" i="15"/>
  <c r="M3" i="15"/>
  <c r="L3" i="15"/>
  <c r="K3" i="15"/>
  <c r="C3" i="15"/>
  <c r="D3" i="15" s="1"/>
  <c r="P2" i="15"/>
  <c r="O2" i="15"/>
  <c r="N2" i="15"/>
  <c r="M2" i="15"/>
  <c r="L2" i="15"/>
  <c r="K2" i="15"/>
  <c r="C2" i="15"/>
  <c r="D2" i="15" s="1"/>
  <c r="F4162" i="14"/>
  <c r="B4162" i="14"/>
  <c r="F4161" i="14"/>
  <c r="B4161" i="14"/>
  <c r="F4160" i="14"/>
  <c r="B4160" i="14"/>
  <c r="F4159" i="14"/>
  <c r="B4159" i="14"/>
  <c r="F4158" i="14"/>
  <c r="B4158" i="14"/>
  <c r="F4157" i="14"/>
  <c r="B4157" i="14"/>
  <c r="F4156" i="14"/>
  <c r="B4156" i="14"/>
  <c r="F4155" i="14"/>
  <c r="B4155" i="14"/>
  <c r="F4154" i="14"/>
  <c r="B4154" i="14"/>
  <c r="F4153" i="14"/>
  <c r="B4153" i="14"/>
  <c r="F4152" i="14"/>
  <c r="B4152" i="14"/>
  <c r="F4151" i="14"/>
  <c r="B4151" i="14"/>
  <c r="F4150" i="14"/>
  <c r="B4150" i="14"/>
  <c r="F4149" i="14"/>
  <c r="B4149" i="14"/>
  <c r="F4148" i="14"/>
  <c r="B4148" i="14"/>
  <c r="F4147" i="14"/>
  <c r="B4147" i="14"/>
  <c r="F4146" i="14"/>
  <c r="B4146" i="14"/>
  <c r="F4145" i="14"/>
  <c r="B4145" i="14"/>
  <c r="F4144" i="14"/>
  <c r="B4144" i="14"/>
  <c r="F4143" i="14"/>
  <c r="B4143" i="14"/>
  <c r="F4142" i="14"/>
  <c r="B4142" i="14"/>
  <c r="F4141" i="14"/>
  <c r="B4141" i="14"/>
  <c r="F4140" i="14"/>
  <c r="B4140" i="14"/>
  <c r="F4139" i="14"/>
  <c r="B4139" i="14"/>
  <c r="F4138" i="14"/>
  <c r="B4138" i="14"/>
  <c r="F4137" i="14"/>
  <c r="B4137" i="14"/>
  <c r="F4136" i="14"/>
  <c r="B4136" i="14"/>
  <c r="F4135" i="14"/>
  <c r="B4135" i="14"/>
  <c r="F4134" i="14"/>
  <c r="B4134" i="14"/>
  <c r="F4133" i="14"/>
  <c r="B4133" i="14"/>
  <c r="F4132" i="14"/>
  <c r="B4132" i="14"/>
  <c r="F4131" i="14"/>
  <c r="B4131" i="14"/>
  <c r="F4130" i="14"/>
  <c r="B4130" i="14"/>
  <c r="F4129" i="14"/>
  <c r="B4129" i="14"/>
  <c r="F4128" i="14"/>
  <c r="B4128" i="14"/>
  <c r="F4127" i="14"/>
  <c r="B4127" i="14"/>
  <c r="F4126" i="14"/>
  <c r="B4126" i="14"/>
  <c r="F4125" i="14"/>
  <c r="B4125" i="14"/>
  <c r="F4124" i="14"/>
  <c r="B4124" i="14"/>
  <c r="F4123" i="14"/>
  <c r="B4123" i="14"/>
  <c r="F4122" i="14"/>
  <c r="B4122" i="14"/>
  <c r="F4121" i="14"/>
  <c r="B4121" i="14"/>
  <c r="F4120" i="14"/>
  <c r="B4120" i="14"/>
  <c r="F4119" i="14"/>
  <c r="B4119" i="14"/>
  <c r="F4118" i="14"/>
  <c r="B4118" i="14"/>
  <c r="F4117" i="14"/>
  <c r="B4117" i="14"/>
  <c r="F4116" i="14"/>
  <c r="B4116" i="14"/>
  <c r="F4115" i="14"/>
  <c r="B4115" i="14"/>
  <c r="F4114" i="14"/>
  <c r="B4114" i="14"/>
  <c r="F4113" i="14"/>
  <c r="B4113" i="14"/>
  <c r="F4112" i="14"/>
  <c r="B4112" i="14"/>
  <c r="F4111" i="14"/>
  <c r="B4111" i="14"/>
  <c r="F4110" i="14"/>
  <c r="B4110" i="14"/>
  <c r="F4109" i="14"/>
  <c r="B4109" i="14"/>
  <c r="F4108" i="14"/>
  <c r="B4108" i="14"/>
  <c r="F4107" i="14"/>
  <c r="B4107" i="14"/>
  <c r="F4106" i="14"/>
  <c r="B4106" i="14"/>
  <c r="F4105" i="14"/>
  <c r="B4105" i="14"/>
  <c r="F4104" i="14"/>
  <c r="B4104" i="14"/>
  <c r="F4103" i="14"/>
  <c r="B4103" i="14"/>
  <c r="F4102" i="14"/>
  <c r="B4102" i="14"/>
  <c r="F4101" i="14"/>
  <c r="B4101" i="14"/>
  <c r="F4100" i="14"/>
  <c r="B4100" i="14"/>
  <c r="F4099" i="14"/>
  <c r="B4099" i="14"/>
  <c r="F4098" i="14"/>
  <c r="B4098" i="14"/>
  <c r="F4097" i="14"/>
  <c r="B4097" i="14"/>
  <c r="F4096" i="14"/>
  <c r="B4096" i="14"/>
  <c r="F4095" i="14"/>
  <c r="B4095" i="14"/>
  <c r="F4094" i="14"/>
  <c r="B4094" i="14"/>
  <c r="F4093" i="14"/>
  <c r="B4093" i="14"/>
  <c r="F4092" i="14"/>
  <c r="B4092" i="14"/>
  <c r="F4091" i="14"/>
  <c r="B4091" i="14"/>
  <c r="F4090" i="14"/>
  <c r="B4090" i="14"/>
  <c r="F4089" i="14"/>
  <c r="B4089" i="14"/>
  <c r="F4088" i="14"/>
  <c r="B4088" i="14"/>
  <c r="F4087" i="14"/>
  <c r="B4087" i="14"/>
  <c r="F4086" i="14"/>
  <c r="B4086" i="14"/>
  <c r="F4085" i="14"/>
  <c r="B4085" i="14"/>
  <c r="F4084" i="14"/>
  <c r="B4084" i="14"/>
  <c r="F4083" i="14"/>
  <c r="B4083" i="14"/>
  <c r="F4082" i="14"/>
  <c r="B4082" i="14"/>
  <c r="F4081" i="14"/>
  <c r="B4081" i="14"/>
  <c r="F4080" i="14"/>
  <c r="B4080" i="14"/>
  <c r="F4079" i="14"/>
  <c r="B4079" i="14"/>
  <c r="F4078" i="14"/>
  <c r="B4078" i="14"/>
  <c r="F4077" i="14"/>
  <c r="B4077" i="14"/>
  <c r="F4076" i="14"/>
  <c r="B4076" i="14"/>
  <c r="F4075" i="14"/>
  <c r="B4075" i="14"/>
  <c r="F4074" i="14"/>
  <c r="B4074" i="14"/>
  <c r="F4073" i="14"/>
  <c r="B4073" i="14"/>
  <c r="F4072" i="14"/>
  <c r="B4072" i="14"/>
  <c r="F4071" i="14"/>
  <c r="B4071" i="14"/>
  <c r="F4070" i="14"/>
  <c r="B4070" i="14"/>
  <c r="F4069" i="14"/>
  <c r="B4069" i="14"/>
  <c r="F4068" i="14"/>
  <c r="B4068" i="14"/>
  <c r="F4067" i="14"/>
  <c r="B4067" i="14"/>
  <c r="F4066" i="14"/>
  <c r="B4066" i="14"/>
  <c r="F4065" i="14"/>
  <c r="B4065" i="14"/>
  <c r="F4064" i="14"/>
  <c r="B4064" i="14"/>
  <c r="F4063" i="14"/>
  <c r="B4063" i="14"/>
  <c r="F4062" i="14"/>
  <c r="B4062" i="14"/>
  <c r="F4061" i="14"/>
  <c r="B4061" i="14"/>
  <c r="F4060" i="14"/>
  <c r="B4060" i="14"/>
  <c r="F4059" i="14"/>
  <c r="B4059" i="14"/>
  <c r="F4058" i="14"/>
  <c r="B4058" i="14"/>
  <c r="F4057" i="14"/>
  <c r="B4057" i="14"/>
  <c r="F4056" i="14"/>
  <c r="B4056" i="14"/>
  <c r="F4055" i="14"/>
  <c r="B4055" i="14"/>
  <c r="F4054" i="14"/>
  <c r="B4054" i="14"/>
  <c r="F4053" i="14"/>
  <c r="B4053" i="14"/>
  <c r="F4052" i="14"/>
  <c r="B4052" i="14"/>
  <c r="F4051" i="14"/>
  <c r="B4051" i="14"/>
  <c r="F4050" i="14"/>
  <c r="B4050" i="14"/>
  <c r="F4049" i="14"/>
  <c r="B4049" i="14"/>
  <c r="F4048" i="14"/>
  <c r="B4048" i="14"/>
  <c r="F4047" i="14"/>
  <c r="B4047" i="14"/>
  <c r="F4046" i="14"/>
  <c r="B4046" i="14"/>
  <c r="F4045" i="14"/>
  <c r="B4045" i="14"/>
  <c r="F4044" i="14"/>
  <c r="B4044" i="14"/>
  <c r="F4043" i="14"/>
  <c r="B4043" i="14"/>
  <c r="F4042" i="14"/>
  <c r="B4042" i="14"/>
  <c r="F4041" i="14"/>
  <c r="B4041" i="14"/>
  <c r="F4040" i="14"/>
  <c r="B4040" i="14"/>
  <c r="F4039" i="14"/>
  <c r="B4039" i="14"/>
  <c r="F4038" i="14"/>
  <c r="B4038" i="14"/>
  <c r="F4037" i="14"/>
  <c r="B4037" i="14"/>
  <c r="F4036" i="14"/>
  <c r="B4036" i="14"/>
  <c r="F4035" i="14"/>
  <c r="B4035" i="14"/>
  <c r="F4034" i="14"/>
  <c r="B4034" i="14"/>
  <c r="F4033" i="14"/>
  <c r="B4033" i="14"/>
  <c r="F4032" i="14"/>
  <c r="B4032" i="14"/>
  <c r="F4031" i="14"/>
  <c r="B4031" i="14"/>
  <c r="F4030" i="14"/>
  <c r="B4030" i="14"/>
  <c r="F4029" i="14"/>
  <c r="B4029" i="14"/>
  <c r="F4028" i="14"/>
  <c r="B4028" i="14"/>
  <c r="F4027" i="14"/>
  <c r="B4027" i="14"/>
  <c r="F4026" i="14"/>
  <c r="B4026" i="14"/>
  <c r="F4025" i="14"/>
  <c r="B4025" i="14"/>
  <c r="F4024" i="14"/>
  <c r="B4024" i="14"/>
  <c r="F4023" i="14"/>
  <c r="B4023" i="14"/>
  <c r="F4022" i="14"/>
  <c r="B4022" i="14"/>
  <c r="F4021" i="14"/>
  <c r="B4021" i="14"/>
  <c r="F4020" i="14"/>
  <c r="B4020" i="14"/>
  <c r="F4019" i="14"/>
  <c r="B4019" i="14"/>
  <c r="F4018" i="14"/>
  <c r="B4018" i="14"/>
  <c r="F4017" i="14"/>
  <c r="B4017" i="14"/>
  <c r="F4016" i="14"/>
  <c r="B4016" i="14"/>
  <c r="F4015" i="14"/>
  <c r="B4015" i="14"/>
  <c r="F4014" i="14"/>
  <c r="B4014" i="14"/>
  <c r="F4013" i="14"/>
  <c r="B4013" i="14"/>
  <c r="F4012" i="14"/>
  <c r="B4012" i="14"/>
  <c r="F4011" i="14"/>
  <c r="B4011" i="14"/>
  <c r="F4010" i="14"/>
  <c r="B4010" i="14"/>
  <c r="F4009" i="14"/>
  <c r="B4009" i="14"/>
  <c r="F4008" i="14"/>
  <c r="B4008" i="14"/>
  <c r="F4007" i="14"/>
  <c r="B4007" i="14"/>
  <c r="F4006" i="14"/>
  <c r="B4006" i="14"/>
  <c r="F4005" i="14"/>
  <c r="B4005" i="14"/>
  <c r="F4004" i="14"/>
  <c r="B4004" i="14"/>
  <c r="F4003" i="14"/>
  <c r="B4003" i="14"/>
  <c r="F4002" i="14"/>
  <c r="B4002" i="14"/>
  <c r="F4001" i="14"/>
  <c r="B4001" i="14"/>
  <c r="F4000" i="14"/>
  <c r="B4000" i="14"/>
  <c r="F3999" i="14"/>
  <c r="B3999" i="14"/>
  <c r="F3998" i="14"/>
  <c r="B3998" i="14"/>
  <c r="F3997" i="14"/>
  <c r="B3997" i="14"/>
  <c r="F3996" i="14"/>
  <c r="B3996" i="14"/>
  <c r="F3995" i="14"/>
  <c r="B3995" i="14"/>
  <c r="F3994" i="14"/>
  <c r="B3994" i="14"/>
  <c r="F3993" i="14"/>
  <c r="B3993" i="14"/>
  <c r="F3992" i="14"/>
  <c r="B3992" i="14"/>
  <c r="F3991" i="14"/>
  <c r="B3991" i="14"/>
  <c r="F3990" i="14"/>
  <c r="B3990" i="14"/>
  <c r="F3989" i="14"/>
  <c r="B3989" i="14"/>
  <c r="F3988" i="14"/>
  <c r="B3988" i="14"/>
  <c r="F3987" i="14"/>
  <c r="B3987" i="14"/>
  <c r="F3986" i="14"/>
  <c r="B3986" i="14"/>
  <c r="F3985" i="14"/>
  <c r="B3985" i="14"/>
  <c r="F3984" i="14"/>
  <c r="B3984" i="14"/>
  <c r="F3983" i="14"/>
  <c r="B3983" i="14"/>
  <c r="F3982" i="14"/>
  <c r="B3982" i="14"/>
  <c r="F3981" i="14"/>
  <c r="B3981" i="14"/>
  <c r="F3980" i="14"/>
  <c r="B3980" i="14"/>
  <c r="F3979" i="14"/>
  <c r="B3979" i="14"/>
  <c r="F3978" i="14"/>
  <c r="B3978" i="14"/>
  <c r="F3977" i="14"/>
  <c r="B3977" i="14"/>
  <c r="F3976" i="14"/>
  <c r="B3976" i="14"/>
  <c r="F3975" i="14"/>
  <c r="B3975" i="14"/>
  <c r="F3974" i="14"/>
  <c r="B3974" i="14"/>
  <c r="F3973" i="14"/>
  <c r="B3973" i="14"/>
  <c r="F3972" i="14"/>
  <c r="B3972" i="14"/>
  <c r="F3971" i="14"/>
  <c r="B3971" i="14"/>
  <c r="F3970" i="14"/>
  <c r="B3970" i="14"/>
  <c r="F3969" i="14"/>
  <c r="B3969" i="14"/>
  <c r="F3968" i="14"/>
  <c r="B3968" i="14"/>
  <c r="F3967" i="14"/>
  <c r="B3967" i="14"/>
  <c r="F3966" i="14"/>
  <c r="B3966" i="14"/>
  <c r="F3965" i="14"/>
  <c r="B3965" i="14"/>
  <c r="F3964" i="14"/>
  <c r="B3964" i="14"/>
  <c r="F3963" i="14"/>
  <c r="B3963" i="14"/>
  <c r="F3962" i="14"/>
  <c r="B3962" i="14"/>
  <c r="F3961" i="14"/>
  <c r="B3961" i="14"/>
  <c r="F3960" i="14"/>
  <c r="B3960" i="14"/>
  <c r="F3959" i="14"/>
  <c r="B3959" i="14"/>
  <c r="F3958" i="14"/>
  <c r="B3958" i="14"/>
  <c r="F3957" i="14"/>
  <c r="B3957" i="14"/>
  <c r="F3956" i="14"/>
  <c r="B3956" i="14"/>
  <c r="F3955" i="14"/>
  <c r="B3955" i="14"/>
  <c r="F3954" i="14"/>
  <c r="B3954" i="14"/>
  <c r="F3953" i="14"/>
  <c r="B3953" i="14"/>
  <c r="F3952" i="14"/>
  <c r="B3952" i="14"/>
  <c r="F3951" i="14"/>
  <c r="B3951" i="14"/>
  <c r="F3950" i="14"/>
  <c r="B3950" i="14"/>
  <c r="F3949" i="14"/>
  <c r="B3949" i="14"/>
  <c r="F3948" i="14"/>
  <c r="B3948" i="14"/>
  <c r="F3947" i="14"/>
  <c r="B3947" i="14"/>
  <c r="F3946" i="14"/>
  <c r="B3946" i="14"/>
  <c r="F3945" i="14"/>
  <c r="B3945" i="14"/>
  <c r="F3944" i="14"/>
  <c r="B3944" i="14"/>
  <c r="F3943" i="14"/>
  <c r="B3943" i="14"/>
  <c r="F3942" i="14"/>
  <c r="B3942" i="14"/>
  <c r="F3941" i="14"/>
  <c r="B3941" i="14"/>
  <c r="F3940" i="14"/>
  <c r="B3940" i="14"/>
  <c r="F3939" i="14"/>
  <c r="B3939" i="14"/>
  <c r="F3938" i="14"/>
  <c r="B3938" i="14"/>
  <c r="F3937" i="14"/>
  <c r="B3937" i="14"/>
  <c r="F3936" i="14"/>
  <c r="B3936" i="14"/>
  <c r="F3935" i="14"/>
  <c r="B3935" i="14"/>
  <c r="F3934" i="14"/>
  <c r="B3934" i="14"/>
  <c r="F3933" i="14"/>
  <c r="B3933" i="14"/>
  <c r="F3932" i="14"/>
  <c r="B3932" i="14"/>
  <c r="F3931" i="14"/>
  <c r="B3931" i="14"/>
  <c r="F3930" i="14"/>
  <c r="B3930" i="14"/>
  <c r="F3929" i="14"/>
  <c r="B3929" i="14"/>
  <c r="F3928" i="14"/>
  <c r="B3928" i="14"/>
  <c r="F3927" i="14"/>
  <c r="B3927" i="14"/>
  <c r="F3926" i="14"/>
  <c r="B3926" i="14"/>
  <c r="F3925" i="14"/>
  <c r="B3925" i="14"/>
  <c r="F3924" i="14"/>
  <c r="B3924" i="14"/>
  <c r="F3923" i="14"/>
  <c r="B3923" i="14"/>
  <c r="F3922" i="14"/>
  <c r="B3922" i="14"/>
  <c r="F3921" i="14"/>
  <c r="B3921" i="14"/>
  <c r="F3920" i="14"/>
  <c r="B3920" i="14"/>
  <c r="F3919" i="14"/>
  <c r="B3919" i="14"/>
  <c r="F3918" i="14"/>
  <c r="B3918" i="14"/>
  <c r="F3917" i="14"/>
  <c r="B3917" i="14"/>
  <c r="F3916" i="14"/>
  <c r="B3916" i="14"/>
  <c r="F3915" i="14"/>
  <c r="B3915" i="14"/>
  <c r="F3914" i="14"/>
  <c r="B3914" i="14"/>
  <c r="F3913" i="14"/>
  <c r="B3913" i="14"/>
  <c r="F3912" i="14"/>
  <c r="B3912" i="14"/>
  <c r="F3911" i="14"/>
  <c r="B3911" i="14"/>
  <c r="F3910" i="14"/>
  <c r="B3910" i="14"/>
  <c r="F3909" i="14"/>
  <c r="B3909" i="14"/>
  <c r="F3908" i="14"/>
  <c r="B3908" i="14"/>
  <c r="F3907" i="14"/>
  <c r="B3907" i="14"/>
  <c r="F3906" i="14"/>
  <c r="B3906" i="14"/>
  <c r="F3905" i="14"/>
  <c r="B3905" i="14"/>
  <c r="F3904" i="14"/>
  <c r="B3904" i="14"/>
  <c r="F3903" i="14"/>
  <c r="B3903" i="14"/>
  <c r="F3902" i="14"/>
  <c r="B3902" i="14"/>
  <c r="F3901" i="14"/>
  <c r="B3901" i="14"/>
  <c r="F3900" i="14"/>
  <c r="B3900" i="14"/>
  <c r="F3899" i="14"/>
  <c r="B3899" i="14"/>
  <c r="F3898" i="14"/>
  <c r="B3898" i="14"/>
  <c r="F3897" i="14"/>
  <c r="B3897" i="14"/>
  <c r="F3896" i="14"/>
  <c r="B3896" i="14"/>
  <c r="F3895" i="14"/>
  <c r="B3895" i="14"/>
  <c r="F3894" i="14"/>
  <c r="B3894" i="14"/>
  <c r="F3893" i="14"/>
  <c r="B3893" i="14"/>
  <c r="F3892" i="14"/>
  <c r="B3892" i="14"/>
  <c r="F3891" i="14"/>
  <c r="B3891" i="14"/>
  <c r="F3890" i="14"/>
  <c r="B3890" i="14"/>
  <c r="F3889" i="14"/>
  <c r="B3889" i="14"/>
  <c r="F3888" i="14"/>
  <c r="B3888" i="14"/>
  <c r="F3887" i="14"/>
  <c r="B3887" i="14"/>
  <c r="F3886" i="14"/>
  <c r="B3886" i="14"/>
  <c r="F3885" i="14"/>
  <c r="B3885" i="14"/>
  <c r="F3884" i="14"/>
  <c r="B3884" i="14"/>
  <c r="F3883" i="14"/>
  <c r="B3883" i="14"/>
  <c r="F3882" i="14"/>
  <c r="B3882" i="14"/>
  <c r="F3881" i="14"/>
  <c r="B3881" i="14"/>
  <c r="F3880" i="14"/>
  <c r="B3880" i="14"/>
  <c r="F3879" i="14"/>
  <c r="B3879" i="14"/>
  <c r="F3878" i="14"/>
  <c r="B3878" i="14"/>
  <c r="F3877" i="14"/>
  <c r="B3877" i="14"/>
  <c r="F3876" i="14"/>
  <c r="B3876" i="14"/>
  <c r="F3875" i="14"/>
  <c r="B3875" i="14"/>
  <c r="F3874" i="14"/>
  <c r="B3874" i="14"/>
  <c r="F3873" i="14"/>
  <c r="B3873" i="14"/>
  <c r="F3872" i="14"/>
  <c r="B3872" i="14"/>
  <c r="F3871" i="14"/>
  <c r="B3871" i="14"/>
  <c r="F3870" i="14"/>
  <c r="B3870" i="14"/>
  <c r="F3869" i="14"/>
  <c r="B3869" i="14"/>
  <c r="F3868" i="14"/>
  <c r="B3868" i="14"/>
  <c r="F3867" i="14"/>
  <c r="B3867" i="14"/>
  <c r="F3866" i="14"/>
  <c r="B3866" i="14"/>
  <c r="F3865" i="14"/>
  <c r="B3865" i="14"/>
  <c r="F3864" i="14"/>
  <c r="B3864" i="14"/>
  <c r="F3863" i="14"/>
  <c r="B3863" i="14"/>
  <c r="F3862" i="14"/>
  <c r="B3862" i="14"/>
  <c r="F3861" i="14"/>
  <c r="B3861" i="14"/>
  <c r="F3860" i="14"/>
  <c r="B3860" i="14"/>
  <c r="F3859" i="14"/>
  <c r="B3859" i="14"/>
  <c r="F3858" i="14"/>
  <c r="B3858" i="14"/>
  <c r="F3857" i="14"/>
  <c r="B3857" i="14"/>
  <c r="F3856" i="14"/>
  <c r="B3856" i="14"/>
  <c r="F3855" i="14"/>
  <c r="B3855" i="14"/>
  <c r="F3854" i="14"/>
  <c r="B3854" i="14"/>
  <c r="F3853" i="14"/>
  <c r="B3853" i="14"/>
  <c r="F3852" i="14"/>
  <c r="B3852" i="14"/>
  <c r="F3851" i="14"/>
  <c r="B3851" i="14"/>
  <c r="F3850" i="14"/>
  <c r="B3850" i="14"/>
  <c r="F3849" i="14"/>
  <c r="B3849" i="14"/>
  <c r="F3848" i="14"/>
  <c r="B3848" i="14"/>
  <c r="F3847" i="14"/>
  <c r="B3847" i="14"/>
  <c r="F3846" i="14"/>
  <c r="B3846" i="14"/>
  <c r="F3845" i="14"/>
  <c r="B3845" i="14"/>
  <c r="F3844" i="14"/>
  <c r="B3844" i="14"/>
  <c r="F3843" i="14"/>
  <c r="B3843" i="14"/>
  <c r="F3842" i="14"/>
  <c r="B3842" i="14"/>
  <c r="F3841" i="14"/>
  <c r="B3841" i="14"/>
  <c r="F3840" i="14"/>
  <c r="B3840" i="14"/>
  <c r="F3839" i="14"/>
  <c r="B3839" i="14"/>
  <c r="F3838" i="14"/>
  <c r="B3838" i="14"/>
  <c r="F3837" i="14"/>
  <c r="B3837" i="14"/>
  <c r="F3836" i="14"/>
  <c r="B3836" i="14"/>
  <c r="F3835" i="14"/>
  <c r="B3835" i="14"/>
  <c r="F3834" i="14"/>
  <c r="B3834" i="14"/>
  <c r="F3833" i="14"/>
  <c r="B3833" i="14"/>
  <c r="F3832" i="14"/>
  <c r="B3832" i="14"/>
  <c r="F3831" i="14"/>
  <c r="B3831" i="14"/>
  <c r="F3830" i="14"/>
  <c r="B3830" i="14"/>
  <c r="F3829" i="14"/>
  <c r="B3829" i="14"/>
  <c r="F3828" i="14"/>
  <c r="B3828" i="14"/>
  <c r="F3827" i="14"/>
  <c r="B3827" i="14"/>
  <c r="F3826" i="14"/>
  <c r="B3826" i="14"/>
  <c r="F3825" i="14"/>
  <c r="B3825" i="14"/>
  <c r="F3824" i="14"/>
  <c r="B3824" i="14"/>
  <c r="F3823" i="14"/>
  <c r="B3823" i="14"/>
  <c r="F3822" i="14"/>
  <c r="B3822" i="14"/>
  <c r="F3821" i="14"/>
  <c r="B3821" i="14"/>
  <c r="F3820" i="14"/>
  <c r="B3820" i="14"/>
  <c r="F3819" i="14"/>
  <c r="B3819" i="14"/>
  <c r="F3818" i="14"/>
  <c r="B3818" i="14"/>
  <c r="F3817" i="14"/>
  <c r="B3817" i="14"/>
  <c r="F3816" i="14"/>
  <c r="B3816" i="14"/>
  <c r="F3815" i="14"/>
  <c r="B3815" i="14"/>
  <c r="F3814" i="14"/>
  <c r="B3814" i="14"/>
  <c r="F3813" i="14"/>
  <c r="B3813" i="14"/>
  <c r="F3812" i="14"/>
  <c r="B3812" i="14"/>
  <c r="F3811" i="14"/>
  <c r="B3811" i="14"/>
  <c r="F3810" i="14"/>
  <c r="B3810" i="14"/>
  <c r="F3809" i="14"/>
  <c r="B3809" i="14"/>
  <c r="F3808" i="14"/>
  <c r="B3808" i="14"/>
  <c r="F3807" i="14"/>
  <c r="B3807" i="14"/>
  <c r="F3806" i="14"/>
  <c r="B3806" i="14"/>
  <c r="F3805" i="14"/>
  <c r="B3805" i="14"/>
  <c r="F3804" i="14"/>
  <c r="B3804" i="14"/>
  <c r="F3803" i="14"/>
  <c r="B3803" i="14"/>
  <c r="F3802" i="14"/>
  <c r="B3802" i="14"/>
  <c r="F3801" i="14"/>
  <c r="B3801" i="14"/>
  <c r="F3800" i="14"/>
  <c r="B3800" i="14"/>
  <c r="F3799" i="14"/>
  <c r="B3799" i="14"/>
  <c r="F3798" i="14"/>
  <c r="B3798" i="14"/>
  <c r="F3797" i="14"/>
  <c r="B3797" i="14"/>
  <c r="F3796" i="14"/>
  <c r="B3796" i="14"/>
  <c r="F3795" i="14"/>
  <c r="B3795" i="14"/>
  <c r="F3794" i="14"/>
  <c r="B3794" i="14"/>
  <c r="F3793" i="14"/>
  <c r="B3793" i="14"/>
  <c r="F3792" i="14"/>
  <c r="B3792" i="14"/>
  <c r="F3791" i="14"/>
  <c r="B3791" i="14"/>
  <c r="F3790" i="14"/>
  <c r="B3790" i="14"/>
  <c r="F3789" i="14"/>
  <c r="B3789" i="14"/>
  <c r="F3788" i="14"/>
  <c r="B3788" i="14"/>
  <c r="F3787" i="14"/>
  <c r="B3787" i="14"/>
  <c r="F3786" i="14"/>
  <c r="B3786" i="14"/>
  <c r="F3785" i="14"/>
  <c r="B3785" i="14"/>
  <c r="F3784" i="14"/>
  <c r="B3784" i="14"/>
  <c r="F3783" i="14"/>
  <c r="B3783" i="14"/>
  <c r="F3782" i="14"/>
  <c r="B3782" i="14"/>
  <c r="F3781" i="14"/>
  <c r="B3781" i="14"/>
  <c r="F3780" i="14"/>
  <c r="B3780" i="14"/>
  <c r="F3779" i="14"/>
  <c r="B3779" i="14"/>
  <c r="F3778" i="14"/>
  <c r="B3778" i="14"/>
  <c r="F3777" i="14"/>
  <c r="B3777" i="14"/>
  <c r="F3776" i="14"/>
  <c r="B3776" i="14"/>
  <c r="F3775" i="14"/>
  <c r="B3775" i="14"/>
  <c r="F3774" i="14"/>
  <c r="B3774" i="14"/>
  <c r="F3773" i="14"/>
  <c r="B3773" i="14"/>
  <c r="F3772" i="14"/>
  <c r="B3772" i="14"/>
  <c r="F3771" i="14"/>
  <c r="B3771" i="14"/>
  <c r="F3770" i="14"/>
  <c r="B3770" i="14"/>
  <c r="F3769" i="14"/>
  <c r="B3769" i="14"/>
  <c r="F3768" i="14"/>
  <c r="B3768" i="14"/>
  <c r="F3767" i="14"/>
  <c r="B3767" i="14"/>
  <c r="F3766" i="14"/>
  <c r="B3766" i="14"/>
  <c r="F3765" i="14"/>
  <c r="B3765" i="14"/>
  <c r="F3764" i="14"/>
  <c r="B3764" i="14"/>
  <c r="F3763" i="14"/>
  <c r="B3763" i="14"/>
  <c r="F3762" i="14"/>
  <c r="B3762" i="14"/>
  <c r="F3761" i="14"/>
  <c r="B3761" i="14"/>
  <c r="F3760" i="14"/>
  <c r="B3760" i="14"/>
  <c r="F3759" i="14"/>
  <c r="B3759" i="14"/>
  <c r="F3758" i="14"/>
  <c r="B3758" i="14"/>
  <c r="F3757" i="14"/>
  <c r="B3757" i="14"/>
  <c r="F3756" i="14"/>
  <c r="B3756" i="14"/>
  <c r="F3755" i="14"/>
  <c r="B3755" i="14"/>
  <c r="F3754" i="14"/>
  <c r="B3754" i="14"/>
  <c r="F3753" i="14"/>
  <c r="B3753" i="14"/>
  <c r="F3752" i="14"/>
  <c r="B3752" i="14"/>
  <c r="F3751" i="14"/>
  <c r="B3751" i="14"/>
  <c r="F3750" i="14"/>
  <c r="B3750" i="14"/>
  <c r="F3749" i="14"/>
  <c r="B3749" i="14"/>
  <c r="F3748" i="14"/>
  <c r="B3748" i="14"/>
  <c r="F3747" i="14"/>
  <c r="B3747" i="14"/>
  <c r="F3746" i="14"/>
  <c r="B3746" i="14"/>
  <c r="F3745" i="14"/>
  <c r="B3745" i="14"/>
  <c r="F3744" i="14"/>
  <c r="B3744" i="14"/>
  <c r="F3743" i="14"/>
  <c r="B3743" i="14"/>
  <c r="F3742" i="14"/>
  <c r="B3742" i="14"/>
  <c r="F3741" i="14"/>
  <c r="B3741" i="14"/>
  <c r="F3740" i="14"/>
  <c r="B3740" i="14"/>
  <c r="F3739" i="14"/>
  <c r="B3739" i="14"/>
  <c r="F3738" i="14"/>
  <c r="B3738" i="14"/>
  <c r="F3737" i="14"/>
  <c r="B3737" i="14"/>
  <c r="F3736" i="14"/>
  <c r="B3736" i="14"/>
  <c r="F3735" i="14"/>
  <c r="B3735" i="14"/>
  <c r="F3734" i="14"/>
  <c r="B3734" i="14"/>
  <c r="F3733" i="14"/>
  <c r="B3733" i="14"/>
  <c r="F3732" i="14"/>
  <c r="B3732" i="14"/>
  <c r="F3731" i="14"/>
  <c r="B3731" i="14"/>
  <c r="F3730" i="14"/>
  <c r="B3730" i="14"/>
  <c r="F3729" i="14"/>
  <c r="B3729" i="14"/>
  <c r="F3728" i="14"/>
  <c r="B3728" i="14"/>
  <c r="F3727" i="14"/>
  <c r="B3727" i="14"/>
  <c r="F3726" i="14"/>
  <c r="B3726" i="14"/>
  <c r="F3725" i="14"/>
  <c r="B3725" i="14"/>
  <c r="F3724" i="14"/>
  <c r="B3724" i="14"/>
  <c r="F3723" i="14"/>
  <c r="B3723" i="14"/>
  <c r="F3722" i="14"/>
  <c r="B3722" i="14"/>
  <c r="F3721" i="14"/>
  <c r="B3721" i="14"/>
  <c r="F3720" i="14"/>
  <c r="B3720" i="14"/>
  <c r="F3719" i="14"/>
  <c r="B3719" i="14"/>
  <c r="F3718" i="14"/>
  <c r="B3718" i="14"/>
  <c r="F3717" i="14"/>
  <c r="B3717" i="14"/>
  <c r="F3716" i="14"/>
  <c r="B3716" i="14"/>
  <c r="F3715" i="14"/>
  <c r="B3715" i="14"/>
  <c r="F3714" i="14"/>
  <c r="B3714" i="14"/>
  <c r="F3713" i="14"/>
  <c r="B3713" i="14"/>
  <c r="F3712" i="14"/>
  <c r="B3712" i="14"/>
  <c r="F3711" i="14"/>
  <c r="B3711" i="14"/>
  <c r="F3710" i="14"/>
  <c r="B3710" i="14"/>
  <c r="F3709" i="14"/>
  <c r="B3709" i="14"/>
  <c r="F3708" i="14"/>
  <c r="B3708" i="14"/>
  <c r="F3707" i="14"/>
  <c r="B3707" i="14"/>
  <c r="F3706" i="14"/>
  <c r="B3706" i="14"/>
  <c r="F3705" i="14"/>
  <c r="B3705" i="14"/>
  <c r="F3704" i="14"/>
  <c r="B3704" i="14"/>
  <c r="F3703" i="14"/>
  <c r="B3703" i="14"/>
  <c r="F3702" i="14"/>
  <c r="B3702" i="14"/>
  <c r="F3701" i="14"/>
  <c r="B3701" i="14"/>
  <c r="F3700" i="14"/>
  <c r="B3700" i="14"/>
  <c r="F3699" i="14"/>
  <c r="B3699" i="14"/>
  <c r="F3698" i="14"/>
  <c r="B3698" i="14"/>
  <c r="F3697" i="14"/>
  <c r="B3697" i="14"/>
  <c r="F3696" i="14"/>
  <c r="B3696" i="14"/>
  <c r="F3695" i="14"/>
  <c r="B3695" i="14"/>
  <c r="F3694" i="14"/>
  <c r="B3694" i="14"/>
  <c r="F3693" i="14"/>
  <c r="B3693" i="14"/>
  <c r="F3692" i="14"/>
  <c r="B3692" i="14"/>
  <c r="F3691" i="14"/>
  <c r="B3691" i="14"/>
  <c r="F3690" i="14"/>
  <c r="B3690" i="14"/>
  <c r="F3689" i="14"/>
  <c r="B3689" i="14"/>
  <c r="F3688" i="14"/>
  <c r="B3688" i="14"/>
  <c r="F3687" i="14"/>
  <c r="B3687" i="14"/>
  <c r="F3686" i="14"/>
  <c r="B3686" i="14"/>
  <c r="F3685" i="14"/>
  <c r="B3685" i="14"/>
  <c r="F3684" i="14"/>
  <c r="B3684" i="14"/>
  <c r="F3683" i="14"/>
  <c r="B3683" i="14"/>
  <c r="F3682" i="14"/>
  <c r="B3682" i="14"/>
  <c r="F3681" i="14"/>
  <c r="B3681" i="14"/>
  <c r="F3680" i="14"/>
  <c r="B3680" i="14"/>
  <c r="F3679" i="14"/>
  <c r="B3679" i="14"/>
  <c r="F3678" i="14"/>
  <c r="B3678" i="14"/>
  <c r="F3677" i="14"/>
  <c r="B3677" i="14"/>
  <c r="F3676" i="14"/>
  <c r="B3676" i="14"/>
  <c r="F3675" i="14"/>
  <c r="B3675" i="14"/>
  <c r="F3674" i="14"/>
  <c r="B3674" i="14"/>
  <c r="F3673" i="14"/>
  <c r="B3673" i="14"/>
  <c r="F3672" i="14"/>
  <c r="B3672" i="14"/>
  <c r="F3671" i="14"/>
  <c r="B3671" i="14"/>
  <c r="F3670" i="14"/>
  <c r="B3670" i="14"/>
  <c r="F3669" i="14"/>
  <c r="B3669" i="14"/>
  <c r="F3668" i="14"/>
  <c r="B3668" i="14"/>
  <c r="F3667" i="14"/>
  <c r="B3667" i="14"/>
  <c r="F3666" i="14"/>
  <c r="B3666" i="14"/>
  <c r="F3665" i="14"/>
  <c r="B3665" i="14"/>
  <c r="F3664" i="14"/>
  <c r="B3664" i="14"/>
  <c r="F3663" i="14"/>
  <c r="B3663" i="14"/>
  <c r="F3662" i="14"/>
  <c r="B3662" i="14"/>
  <c r="F3661" i="14"/>
  <c r="B3661" i="14"/>
  <c r="F3660" i="14"/>
  <c r="B3660" i="14"/>
  <c r="F3659" i="14"/>
  <c r="B3659" i="14"/>
  <c r="F3658" i="14"/>
  <c r="B3658" i="14"/>
  <c r="F3657" i="14"/>
  <c r="B3657" i="14"/>
  <c r="F3656" i="14"/>
  <c r="B3656" i="14"/>
  <c r="F3655" i="14"/>
  <c r="B3655" i="14"/>
  <c r="F3654" i="14"/>
  <c r="B3654" i="14"/>
  <c r="F3653" i="14"/>
  <c r="B3653" i="14"/>
  <c r="F3652" i="14"/>
  <c r="B3652" i="14"/>
  <c r="F3651" i="14"/>
  <c r="B3651" i="14"/>
  <c r="F3650" i="14"/>
  <c r="B3650" i="14"/>
  <c r="F3649" i="14"/>
  <c r="B3649" i="14"/>
  <c r="F3648" i="14"/>
  <c r="B3648" i="14"/>
  <c r="F3647" i="14"/>
  <c r="B3647" i="14"/>
  <c r="F3646" i="14"/>
  <c r="B3646" i="14"/>
  <c r="F3645" i="14"/>
  <c r="B3645" i="14"/>
  <c r="F3644" i="14"/>
  <c r="B3644" i="14"/>
  <c r="F3643" i="14"/>
  <c r="B3643" i="14"/>
  <c r="F3642" i="14"/>
  <c r="B3642" i="14"/>
  <c r="F3641" i="14"/>
  <c r="B3641" i="14"/>
  <c r="F3640" i="14"/>
  <c r="B3640" i="14"/>
  <c r="F3639" i="14"/>
  <c r="B3639" i="14"/>
  <c r="F3638" i="14"/>
  <c r="B3638" i="14"/>
  <c r="F3637" i="14"/>
  <c r="B3637" i="14"/>
  <c r="F3636" i="14"/>
  <c r="B3636" i="14"/>
  <c r="F3635" i="14"/>
  <c r="B3635" i="14"/>
  <c r="F3634" i="14"/>
  <c r="B3634" i="14"/>
  <c r="F3633" i="14"/>
  <c r="B3633" i="14"/>
  <c r="F3632" i="14"/>
  <c r="B3632" i="14"/>
  <c r="F3631" i="14"/>
  <c r="B3631" i="14"/>
  <c r="F3630" i="14"/>
  <c r="B3630" i="14"/>
  <c r="F3629" i="14"/>
  <c r="B3629" i="14"/>
  <c r="F3628" i="14"/>
  <c r="B3628" i="14"/>
  <c r="F3627" i="14"/>
  <c r="B3627" i="14"/>
  <c r="F3626" i="14"/>
  <c r="B3626" i="14"/>
  <c r="F3625" i="14"/>
  <c r="B3625" i="14"/>
  <c r="F3624" i="14"/>
  <c r="B3624" i="14"/>
  <c r="F3623" i="14"/>
  <c r="B3623" i="14"/>
  <c r="F3622" i="14"/>
  <c r="B3622" i="14"/>
  <c r="F3621" i="14"/>
  <c r="B3621" i="14"/>
  <c r="F3620" i="14"/>
  <c r="B3620" i="14"/>
  <c r="F3619" i="14"/>
  <c r="B3619" i="14"/>
  <c r="F3618" i="14"/>
  <c r="B3618" i="14"/>
  <c r="F3617" i="14"/>
  <c r="B3617" i="14"/>
  <c r="F3616" i="14"/>
  <c r="B3616" i="14"/>
  <c r="F3615" i="14"/>
  <c r="B3615" i="14"/>
  <c r="F3614" i="14"/>
  <c r="B3614" i="14"/>
  <c r="F3613" i="14"/>
  <c r="B3613" i="14"/>
  <c r="F3612" i="14"/>
  <c r="B3612" i="14"/>
  <c r="F3611" i="14"/>
  <c r="B3611" i="14"/>
  <c r="F3610" i="14"/>
  <c r="B3610" i="14"/>
  <c r="F3609" i="14"/>
  <c r="B3609" i="14"/>
  <c r="F3608" i="14"/>
  <c r="B3608" i="14"/>
  <c r="F3607" i="14"/>
  <c r="B3607" i="14"/>
  <c r="F3606" i="14"/>
  <c r="B3606" i="14"/>
  <c r="F3605" i="14"/>
  <c r="B3605" i="14"/>
  <c r="F3604" i="14"/>
  <c r="B3604" i="14"/>
  <c r="F3603" i="14"/>
  <c r="B3603" i="14"/>
  <c r="F3602" i="14"/>
  <c r="B3602" i="14"/>
  <c r="F3601" i="14"/>
  <c r="B3601" i="14"/>
  <c r="F3600" i="14"/>
  <c r="B3600" i="14"/>
  <c r="F3599" i="14"/>
  <c r="B3599" i="14"/>
  <c r="F3598" i="14"/>
  <c r="B3598" i="14"/>
  <c r="F3597" i="14"/>
  <c r="B3597" i="14"/>
  <c r="F3596" i="14"/>
  <c r="B3596" i="14"/>
  <c r="F3595" i="14"/>
  <c r="B3595" i="14"/>
  <c r="F3594" i="14"/>
  <c r="B3594" i="14"/>
  <c r="F3593" i="14"/>
  <c r="B3593" i="14"/>
  <c r="F3592" i="14"/>
  <c r="B3592" i="14"/>
  <c r="F3591" i="14"/>
  <c r="B3591" i="14"/>
  <c r="F3590" i="14"/>
  <c r="B3590" i="14"/>
  <c r="F3589" i="14"/>
  <c r="B3589" i="14"/>
  <c r="F3588" i="14"/>
  <c r="B3588" i="14"/>
  <c r="F3587" i="14"/>
  <c r="B3587" i="14"/>
  <c r="F3586" i="14"/>
  <c r="B3586" i="14"/>
  <c r="F3585" i="14"/>
  <c r="B3585" i="14"/>
  <c r="F3584" i="14"/>
  <c r="B3584" i="14"/>
  <c r="F3583" i="14"/>
  <c r="B3583" i="14"/>
  <c r="F3582" i="14"/>
  <c r="B3582" i="14"/>
  <c r="F3581" i="14"/>
  <c r="B3581" i="14"/>
  <c r="F3580" i="14"/>
  <c r="B3580" i="14"/>
  <c r="F3579" i="14"/>
  <c r="B3579" i="14"/>
  <c r="F3578" i="14"/>
  <c r="B3578" i="14"/>
  <c r="F3577" i="14"/>
  <c r="B3577" i="14"/>
  <c r="F3576" i="14"/>
  <c r="B3576" i="14"/>
  <c r="F3575" i="14"/>
  <c r="B3575" i="14"/>
  <c r="F3574" i="14"/>
  <c r="B3574" i="14"/>
  <c r="F3573" i="14"/>
  <c r="B3573" i="14"/>
  <c r="F3572" i="14"/>
  <c r="B3572" i="14"/>
  <c r="F3571" i="14"/>
  <c r="B3571" i="14"/>
  <c r="F3570" i="14"/>
  <c r="B3570" i="14"/>
  <c r="F3569" i="14"/>
  <c r="B3569" i="14"/>
  <c r="F3568" i="14"/>
  <c r="B3568" i="14"/>
  <c r="F3567" i="14"/>
  <c r="B3567" i="14"/>
  <c r="F3566" i="14"/>
  <c r="B3566" i="14"/>
  <c r="F3565" i="14"/>
  <c r="B3565" i="14"/>
  <c r="F3564" i="14"/>
  <c r="B3564" i="14"/>
  <c r="F3563" i="14"/>
  <c r="B3563" i="14"/>
  <c r="F3562" i="14"/>
  <c r="B3562" i="14"/>
  <c r="F3561" i="14"/>
  <c r="B3561" i="14"/>
  <c r="F3560" i="14"/>
  <c r="B3560" i="14"/>
  <c r="F3559" i="14"/>
  <c r="B3559" i="14"/>
  <c r="F3558" i="14"/>
  <c r="B3558" i="14"/>
  <c r="F3557" i="14"/>
  <c r="B3557" i="14"/>
  <c r="F3556" i="14"/>
  <c r="B3556" i="14"/>
  <c r="F3555" i="14"/>
  <c r="B3555" i="14"/>
  <c r="F3554" i="14"/>
  <c r="B3554" i="14"/>
  <c r="F3553" i="14"/>
  <c r="B3553" i="14"/>
  <c r="F3552" i="14"/>
  <c r="B3552" i="14"/>
  <c r="F3551" i="14"/>
  <c r="B3551" i="14"/>
  <c r="F3550" i="14"/>
  <c r="B3550" i="14"/>
  <c r="F3549" i="14"/>
  <c r="B3549" i="14"/>
  <c r="F3548" i="14"/>
  <c r="B3548" i="14"/>
  <c r="F3547" i="14"/>
  <c r="B3547" i="14"/>
  <c r="F3546" i="14"/>
  <c r="B3546" i="14"/>
  <c r="F3545" i="14"/>
  <c r="B3545" i="14"/>
  <c r="F3544" i="14"/>
  <c r="B3544" i="14"/>
  <c r="F3543" i="14"/>
  <c r="B3543" i="14"/>
  <c r="F3542" i="14"/>
  <c r="B3542" i="14"/>
  <c r="F3541" i="14"/>
  <c r="B3541" i="14"/>
  <c r="F3540" i="14"/>
  <c r="B3540" i="14"/>
  <c r="F3539" i="14"/>
  <c r="B3539" i="14"/>
  <c r="F3538" i="14"/>
  <c r="B3538" i="14"/>
  <c r="F3537" i="14"/>
  <c r="B3537" i="14"/>
  <c r="F3536" i="14"/>
  <c r="B3536" i="14"/>
  <c r="F3535" i="14"/>
  <c r="B3535" i="14"/>
  <c r="F3534" i="14"/>
  <c r="B3534" i="14"/>
  <c r="F3533" i="14"/>
  <c r="B3533" i="14"/>
  <c r="F3532" i="14"/>
  <c r="B3532" i="14"/>
  <c r="F3531" i="14"/>
  <c r="B3531" i="14"/>
  <c r="F3530" i="14"/>
  <c r="B3530" i="14"/>
  <c r="F3529" i="14"/>
  <c r="B3529" i="14"/>
  <c r="F3528" i="14"/>
  <c r="B3528" i="14"/>
  <c r="F3527" i="14"/>
  <c r="B3527" i="14"/>
  <c r="F3526" i="14"/>
  <c r="B3526" i="14"/>
  <c r="F3525" i="14"/>
  <c r="B3525" i="14"/>
  <c r="F3524" i="14"/>
  <c r="B3524" i="14"/>
  <c r="F3523" i="14"/>
  <c r="B3523" i="14"/>
  <c r="F3522" i="14"/>
  <c r="B3522" i="14"/>
  <c r="F3521" i="14"/>
  <c r="B3521" i="14"/>
  <c r="F3520" i="14"/>
  <c r="B3520" i="14"/>
  <c r="F3519" i="14"/>
  <c r="B3519" i="14"/>
  <c r="F3518" i="14"/>
  <c r="B3518" i="14"/>
  <c r="F3517" i="14"/>
  <c r="B3517" i="14"/>
  <c r="F3516" i="14"/>
  <c r="B3516" i="14"/>
  <c r="F3515" i="14"/>
  <c r="B3515" i="14"/>
  <c r="F3514" i="14"/>
  <c r="B3514" i="14"/>
  <c r="F3513" i="14"/>
  <c r="B3513" i="14"/>
  <c r="F3512" i="14"/>
  <c r="B3512" i="14"/>
  <c r="F3511" i="14"/>
  <c r="B3511" i="14"/>
  <c r="F3510" i="14"/>
  <c r="B3510" i="14"/>
  <c r="F3509" i="14"/>
  <c r="B3509" i="14"/>
  <c r="F3508" i="14"/>
  <c r="B3508" i="14"/>
  <c r="F3507" i="14"/>
  <c r="B3507" i="14"/>
  <c r="F3506" i="14"/>
  <c r="B3506" i="14"/>
  <c r="F3505" i="14"/>
  <c r="B3505" i="14"/>
  <c r="F3504" i="14"/>
  <c r="B3504" i="14"/>
  <c r="F3503" i="14"/>
  <c r="B3503" i="14"/>
  <c r="F3502" i="14"/>
  <c r="B3502" i="14"/>
  <c r="F3501" i="14"/>
  <c r="B3501" i="14"/>
  <c r="F3500" i="14"/>
  <c r="B3500" i="14"/>
  <c r="F3499" i="14"/>
  <c r="B3499" i="14"/>
  <c r="F3498" i="14"/>
  <c r="B3498" i="14"/>
  <c r="F3497" i="14"/>
  <c r="B3497" i="14"/>
  <c r="F3496" i="14"/>
  <c r="B3496" i="14"/>
  <c r="F3495" i="14"/>
  <c r="B3495" i="14"/>
  <c r="F3494" i="14"/>
  <c r="B3494" i="14"/>
  <c r="F3493" i="14"/>
  <c r="B3493" i="14"/>
  <c r="F3492" i="14"/>
  <c r="B3492" i="14"/>
  <c r="F3491" i="14"/>
  <c r="B3491" i="14"/>
  <c r="F3490" i="14"/>
  <c r="B3490" i="14"/>
  <c r="F3489" i="14"/>
  <c r="B3489" i="14"/>
  <c r="F3488" i="14"/>
  <c r="B3488" i="14"/>
  <c r="F3487" i="14"/>
  <c r="B3487" i="14"/>
  <c r="F3486" i="14"/>
  <c r="B3486" i="14"/>
  <c r="F3485" i="14"/>
  <c r="B3485" i="14"/>
  <c r="F3484" i="14"/>
  <c r="B3484" i="14"/>
  <c r="F3483" i="14"/>
  <c r="B3483" i="14"/>
  <c r="F3482" i="14"/>
  <c r="B3482" i="14"/>
  <c r="F3481" i="14"/>
  <c r="B3481" i="14"/>
  <c r="F3480" i="14"/>
  <c r="B3480" i="14"/>
  <c r="F3479" i="14"/>
  <c r="B3479" i="14"/>
  <c r="F3478" i="14"/>
  <c r="B3478" i="14"/>
  <c r="F3477" i="14"/>
  <c r="B3477" i="14"/>
  <c r="F3476" i="14"/>
  <c r="B3476" i="14"/>
  <c r="F3475" i="14"/>
  <c r="B3475" i="14"/>
  <c r="F3474" i="14"/>
  <c r="B3474" i="14"/>
  <c r="F3473" i="14"/>
  <c r="B3473" i="14"/>
  <c r="F3472" i="14"/>
  <c r="B3472" i="14"/>
  <c r="F3471" i="14"/>
  <c r="B3471" i="14"/>
  <c r="F3470" i="14"/>
  <c r="B3470" i="14"/>
  <c r="F3469" i="14"/>
  <c r="B3469" i="14"/>
  <c r="F3468" i="14"/>
  <c r="B3468" i="14"/>
  <c r="F3467" i="14"/>
  <c r="B3467" i="14"/>
  <c r="F3466" i="14"/>
  <c r="B3466" i="14"/>
  <c r="F3465" i="14"/>
  <c r="B3465" i="14"/>
  <c r="F3464" i="14"/>
  <c r="B3464" i="14"/>
  <c r="F3463" i="14"/>
  <c r="B3463" i="14"/>
  <c r="F3462" i="14"/>
  <c r="B3462" i="14"/>
  <c r="F3461" i="14"/>
  <c r="B3461" i="14"/>
  <c r="F3460" i="14"/>
  <c r="B3460" i="14"/>
  <c r="F3459" i="14"/>
  <c r="B3459" i="14"/>
  <c r="F3458" i="14"/>
  <c r="B3458" i="14"/>
  <c r="F3457" i="14"/>
  <c r="B3457" i="14"/>
  <c r="F3456" i="14"/>
  <c r="B3456" i="14"/>
  <c r="F3455" i="14"/>
  <c r="B3455" i="14"/>
  <c r="F3454" i="14"/>
  <c r="B3454" i="14"/>
  <c r="F3453" i="14"/>
  <c r="B3453" i="14"/>
  <c r="F3452" i="14"/>
  <c r="B3452" i="14"/>
  <c r="F3451" i="14"/>
  <c r="B3451" i="14"/>
  <c r="F3450" i="14"/>
  <c r="B3450" i="14"/>
  <c r="F3449" i="14"/>
  <c r="B3449" i="14"/>
  <c r="F3448" i="14"/>
  <c r="B3448" i="14"/>
  <c r="F3447" i="14"/>
  <c r="B3447" i="14"/>
  <c r="F3446" i="14"/>
  <c r="B3446" i="14"/>
  <c r="F3445" i="14"/>
  <c r="B3445" i="14"/>
  <c r="F3444" i="14"/>
  <c r="B3444" i="14"/>
  <c r="F3443" i="14"/>
  <c r="B3443" i="14"/>
  <c r="F3442" i="14"/>
  <c r="B3442" i="14"/>
  <c r="F3441" i="14"/>
  <c r="B3441" i="14"/>
  <c r="F3440" i="14"/>
  <c r="B3440" i="14"/>
  <c r="F3439" i="14"/>
  <c r="B3439" i="14"/>
  <c r="F3438" i="14"/>
  <c r="B3438" i="14"/>
  <c r="F3437" i="14"/>
  <c r="B3437" i="14"/>
  <c r="F3436" i="14"/>
  <c r="B3436" i="14"/>
  <c r="F3435" i="14"/>
  <c r="B3435" i="14"/>
  <c r="F3434" i="14"/>
  <c r="B3434" i="14"/>
  <c r="F3433" i="14"/>
  <c r="B3433" i="14"/>
  <c r="F3432" i="14"/>
  <c r="B3432" i="14"/>
  <c r="F3431" i="14"/>
  <c r="B3431" i="14"/>
  <c r="F3430" i="14"/>
  <c r="B3430" i="14"/>
  <c r="F3429" i="14"/>
  <c r="B3429" i="14"/>
  <c r="F3428" i="14"/>
  <c r="B3428" i="14"/>
  <c r="F3427" i="14"/>
  <c r="B3427" i="14"/>
  <c r="F3426" i="14"/>
  <c r="B3426" i="14"/>
  <c r="F3425" i="14"/>
  <c r="B3425" i="14"/>
  <c r="F3424" i="14"/>
  <c r="B3424" i="14"/>
  <c r="F3423" i="14"/>
  <c r="B3423" i="14"/>
  <c r="F3422" i="14"/>
  <c r="B3422" i="14"/>
  <c r="F3421" i="14"/>
  <c r="B3421" i="14"/>
  <c r="F3420" i="14"/>
  <c r="B3420" i="14"/>
  <c r="F3419" i="14"/>
  <c r="B3419" i="14"/>
  <c r="F3418" i="14"/>
  <c r="B3418" i="14"/>
  <c r="F3417" i="14"/>
  <c r="B3417" i="14"/>
  <c r="F3416" i="14"/>
  <c r="B3416" i="14"/>
  <c r="F3415" i="14"/>
  <c r="B3415" i="14"/>
  <c r="F3414" i="14"/>
  <c r="B3414" i="14"/>
  <c r="F3413" i="14"/>
  <c r="B3413" i="14"/>
  <c r="F3412" i="14"/>
  <c r="B3412" i="14"/>
  <c r="F3411" i="14"/>
  <c r="B3411" i="14"/>
  <c r="F3410" i="14"/>
  <c r="B3410" i="14"/>
  <c r="F3409" i="14"/>
  <c r="B3409" i="14"/>
  <c r="F3408" i="14"/>
  <c r="B3408" i="14"/>
  <c r="F3407" i="14"/>
  <c r="B3407" i="14"/>
  <c r="F3406" i="14"/>
  <c r="B3406" i="14"/>
  <c r="F3405" i="14"/>
  <c r="B3405" i="14"/>
  <c r="F3404" i="14"/>
  <c r="B3404" i="14"/>
  <c r="F3403" i="14"/>
  <c r="B3403" i="14"/>
  <c r="F3402" i="14"/>
  <c r="B3402" i="14"/>
  <c r="F3401" i="14"/>
  <c r="B3401" i="14"/>
  <c r="F3400" i="14"/>
  <c r="B3400" i="14"/>
  <c r="F3399" i="14"/>
  <c r="B3399" i="14"/>
  <c r="F3398" i="14"/>
  <c r="B3398" i="14"/>
  <c r="F3397" i="14"/>
  <c r="B3397" i="14"/>
  <c r="F3396" i="14"/>
  <c r="B3396" i="14"/>
  <c r="F3395" i="14"/>
  <c r="B3395" i="14"/>
  <c r="F3394" i="14"/>
  <c r="B3394" i="14"/>
  <c r="F3393" i="14"/>
  <c r="B3393" i="14"/>
  <c r="F3392" i="14"/>
  <c r="B3392" i="14"/>
  <c r="F3391" i="14"/>
  <c r="B3391" i="14"/>
  <c r="F3390" i="14"/>
  <c r="B3390" i="14"/>
  <c r="F3389" i="14"/>
  <c r="B3389" i="14"/>
  <c r="F3388" i="14"/>
  <c r="B3388" i="14"/>
  <c r="F3387" i="14"/>
  <c r="B3387" i="14"/>
  <c r="F3386" i="14"/>
  <c r="B3386" i="14"/>
  <c r="F3385" i="14"/>
  <c r="B3385" i="14"/>
  <c r="F3384" i="14"/>
  <c r="B3384" i="14"/>
  <c r="F3383" i="14"/>
  <c r="B3383" i="14"/>
  <c r="F3382" i="14"/>
  <c r="B3382" i="14"/>
  <c r="F3381" i="14"/>
  <c r="B3381" i="14"/>
  <c r="F3380" i="14"/>
  <c r="B3380" i="14"/>
  <c r="F3379" i="14"/>
  <c r="B3379" i="14"/>
  <c r="F3378" i="14"/>
  <c r="B3378" i="14"/>
  <c r="F3377" i="14"/>
  <c r="B3377" i="14"/>
  <c r="F3376" i="14"/>
  <c r="B3376" i="14"/>
  <c r="F3375" i="14"/>
  <c r="B3375" i="14"/>
  <c r="F3374" i="14"/>
  <c r="B3374" i="14"/>
  <c r="F3373" i="14"/>
  <c r="B3373" i="14"/>
  <c r="F3372" i="14"/>
  <c r="B3372" i="14"/>
  <c r="F3371" i="14"/>
  <c r="B3371" i="14"/>
  <c r="F3370" i="14"/>
  <c r="B3370" i="14"/>
  <c r="F3369" i="14"/>
  <c r="B3369" i="14"/>
  <c r="F3368" i="14"/>
  <c r="B3368" i="14"/>
  <c r="F3367" i="14"/>
  <c r="B3367" i="14"/>
  <c r="F3366" i="14"/>
  <c r="B3366" i="14"/>
  <c r="F3365" i="14"/>
  <c r="B3365" i="14"/>
  <c r="F3364" i="14"/>
  <c r="B3364" i="14"/>
  <c r="F3363" i="14"/>
  <c r="B3363" i="14"/>
  <c r="F3362" i="14"/>
  <c r="B3362" i="14"/>
  <c r="F3361" i="14"/>
  <c r="B3361" i="14"/>
  <c r="F3360" i="14"/>
  <c r="B3360" i="14"/>
  <c r="F3359" i="14"/>
  <c r="B3359" i="14"/>
  <c r="F3358" i="14"/>
  <c r="B3358" i="14"/>
  <c r="F3357" i="14"/>
  <c r="B3357" i="14"/>
  <c r="F3356" i="14"/>
  <c r="B3356" i="14"/>
  <c r="F3355" i="14"/>
  <c r="B3355" i="14"/>
  <c r="F3354" i="14"/>
  <c r="B3354" i="14"/>
  <c r="F3353" i="14"/>
  <c r="B3353" i="14"/>
  <c r="F3352" i="14"/>
  <c r="B3352" i="14"/>
  <c r="F3351" i="14"/>
  <c r="B3351" i="14"/>
  <c r="F3350" i="14"/>
  <c r="B3350" i="14"/>
  <c r="F3349" i="14"/>
  <c r="B3349" i="14"/>
  <c r="F3348" i="14"/>
  <c r="B3348" i="14"/>
  <c r="F3347" i="14"/>
  <c r="B3347" i="14"/>
  <c r="F3346" i="14"/>
  <c r="B3346" i="14"/>
  <c r="F3345" i="14"/>
  <c r="B3345" i="14"/>
  <c r="F3344" i="14"/>
  <c r="B3344" i="14"/>
  <c r="F3343" i="14"/>
  <c r="B3343" i="14"/>
  <c r="F3342" i="14"/>
  <c r="B3342" i="14"/>
  <c r="F3341" i="14"/>
  <c r="B3341" i="14"/>
  <c r="F3340" i="14"/>
  <c r="B3340" i="14"/>
  <c r="F3339" i="14"/>
  <c r="B3339" i="14"/>
  <c r="F3338" i="14"/>
  <c r="B3338" i="14"/>
  <c r="F3337" i="14"/>
  <c r="B3337" i="14"/>
  <c r="F3336" i="14"/>
  <c r="B3336" i="14"/>
  <c r="F3335" i="14"/>
  <c r="B3335" i="14"/>
  <c r="F3334" i="14"/>
  <c r="B3334" i="14"/>
  <c r="F3333" i="14"/>
  <c r="B3333" i="14"/>
  <c r="F3332" i="14"/>
  <c r="B3332" i="14"/>
  <c r="F3331" i="14"/>
  <c r="B3331" i="14"/>
  <c r="F3330" i="14"/>
  <c r="B3330" i="14"/>
  <c r="F3329" i="14"/>
  <c r="B3329" i="14"/>
  <c r="F3328" i="14"/>
  <c r="B3328" i="14"/>
  <c r="F3327" i="14"/>
  <c r="B3327" i="14"/>
  <c r="F3326" i="14"/>
  <c r="B3326" i="14"/>
  <c r="F3325" i="14"/>
  <c r="B3325" i="14"/>
  <c r="F3324" i="14"/>
  <c r="B3324" i="14"/>
  <c r="F3323" i="14"/>
  <c r="B3323" i="14"/>
  <c r="F3322" i="14"/>
  <c r="B3322" i="14"/>
  <c r="F3321" i="14"/>
  <c r="B3321" i="14"/>
  <c r="F3320" i="14"/>
  <c r="B3320" i="14"/>
  <c r="F3319" i="14"/>
  <c r="B3319" i="14"/>
  <c r="F3318" i="14"/>
  <c r="B3318" i="14"/>
  <c r="F3317" i="14"/>
  <c r="B3317" i="14"/>
  <c r="F3316" i="14"/>
  <c r="B3316" i="14"/>
  <c r="F3315" i="14"/>
  <c r="B3315" i="14"/>
  <c r="F3314" i="14"/>
  <c r="B3314" i="14"/>
  <c r="F3313" i="14"/>
  <c r="B3313" i="14"/>
  <c r="F3312" i="14"/>
  <c r="B3312" i="14"/>
  <c r="F3311" i="14"/>
  <c r="B3311" i="14"/>
  <c r="F3310" i="14"/>
  <c r="B3310" i="14"/>
  <c r="F3309" i="14"/>
  <c r="B3309" i="14"/>
  <c r="F3308" i="14"/>
  <c r="B3308" i="14"/>
  <c r="F3307" i="14"/>
  <c r="B3307" i="14"/>
  <c r="F3306" i="14"/>
  <c r="B3306" i="14"/>
  <c r="F3305" i="14"/>
  <c r="B3305" i="14"/>
  <c r="F3304" i="14"/>
  <c r="B3304" i="14"/>
  <c r="F3303" i="14"/>
  <c r="B3303" i="14"/>
  <c r="F3302" i="14"/>
  <c r="B3302" i="14"/>
  <c r="F3301" i="14"/>
  <c r="B3301" i="14"/>
  <c r="F3300" i="14"/>
  <c r="B3300" i="14"/>
  <c r="F3299" i="14"/>
  <c r="B3299" i="14"/>
  <c r="F3298" i="14"/>
  <c r="B3298" i="14"/>
  <c r="F3297" i="14"/>
  <c r="B3297" i="14"/>
  <c r="F3296" i="14"/>
  <c r="B3296" i="14"/>
  <c r="F3295" i="14"/>
  <c r="B3295" i="14"/>
  <c r="F3294" i="14"/>
  <c r="B3294" i="14"/>
  <c r="F3293" i="14"/>
  <c r="B3293" i="14"/>
  <c r="F3292" i="14"/>
  <c r="B3292" i="14"/>
  <c r="F3291" i="14"/>
  <c r="B3291" i="14"/>
  <c r="F3290" i="14"/>
  <c r="B3290" i="14"/>
  <c r="F3289" i="14"/>
  <c r="B3289" i="14"/>
  <c r="F3288" i="14"/>
  <c r="B3288" i="14"/>
  <c r="F3287" i="14"/>
  <c r="B3287" i="14"/>
  <c r="F3286" i="14"/>
  <c r="B3286" i="14"/>
  <c r="F3285" i="14"/>
  <c r="B3285" i="14"/>
  <c r="F3284" i="14"/>
  <c r="B3284" i="14"/>
  <c r="F3283" i="14"/>
  <c r="B3283" i="14"/>
  <c r="F3282" i="14"/>
  <c r="B3282" i="14"/>
  <c r="F3281" i="14"/>
  <c r="B3281" i="14"/>
  <c r="F3280" i="14"/>
  <c r="B3280" i="14"/>
  <c r="F3279" i="14"/>
  <c r="B3279" i="14"/>
  <c r="F3278" i="14"/>
  <c r="B3278" i="14"/>
  <c r="F3277" i="14"/>
  <c r="B3277" i="14"/>
  <c r="F3276" i="14"/>
  <c r="B3276" i="14"/>
  <c r="F3275" i="14"/>
  <c r="B3275" i="14"/>
  <c r="F3274" i="14"/>
  <c r="B3274" i="14"/>
  <c r="F3273" i="14"/>
  <c r="B3273" i="14"/>
  <c r="F3272" i="14"/>
  <c r="B3272" i="14"/>
  <c r="F3271" i="14"/>
  <c r="B3271" i="14"/>
  <c r="F3270" i="14"/>
  <c r="B3270" i="14"/>
  <c r="F3269" i="14"/>
  <c r="B3269" i="14"/>
  <c r="F3268" i="14"/>
  <c r="B3268" i="14"/>
  <c r="F3267" i="14"/>
  <c r="B3267" i="14"/>
  <c r="F3266" i="14"/>
  <c r="B3266" i="14"/>
  <c r="F3265" i="14"/>
  <c r="B3265" i="14"/>
  <c r="F3264" i="14"/>
  <c r="B3264" i="14"/>
  <c r="F3263" i="14"/>
  <c r="B3263" i="14"/>
  <c r="F3262" i="14"/>
  <c r="B3262" i="14"/>
  <c r="F3261" i="14"/>
  <c r="B3261" i="14"/>
  <c r="F3260" i="14"/>
  <c r="B3260" i="14"/>
  <c r="F3259" i="14"/>
  <c r="B3259" i="14"/>
  <c r="F3258" i="14"/>
  <c r="B3258" i="14"/>
  <c r="F3257" i="14"/>
  <c r="B3257" i="14"/>
  <c r="F3256" i="14"/>
  <c r="B3256" i="14"/>
  <c r="F3255" i="14"/>
  <c r="B3255" i="14"/>
  <c r="F3254" i="14"/>
  <c r="B3254" i="14"/>
  <c r="F3253" i="14"/>
  <c r="B3253" i="14"/>
  <c r="F3252" i="14"/>
  <c r="B3252" i="14"/>
  <c r="F3251" i="14"/>
  <c r="B3251" i="14"/>
  <c r="F3250" i="14"/>
  <c r="B3250" i="14"/>
  <c r="F3249" i="14"/>
  <c r="B3249" i="14"/>
  <c r="F3248" i="14"/>
  <c r="B3248" i="14"/>
  <c r="F3247" i="14"/>
  <c r="B3247" i="14"/>
  <c r="F3246" i="14"/>
  <c r="B3246" i="14"/>
  <c r="F3245" i="14"/>
  <c r="B3245" i="14"/>
  <c r="F3244" i="14"/>
  <c r="B3244" i="14"/>
  <c r="F3243" i="14"/>
  <c r="B3243" i="14"/>
  <c r="F3242" i="14"/>
  <c r="B3242" i="14"/>
  <c r="F3241" i="14"/>
  <c r="B3241" i="14"/>
  <c r="F3240" i="14"/>
  <c r="B3240" i="14"/>
  <c r="F3239" i="14"/>
  <c r="B3239" i="14"/>
  <c r="F3238" i="14"/>
  <c r="B3238" i="14"/>
  <c r="F3237" i="14"/>
  <c r="B3237" i="14"/>
  <c r="F3236" i="14"/>
  <c r="B3236" i="14"/>
  <c r="F3235" i="14"/>
  <c r="B3235" i="14"/>
  <c r="F3234" i="14"/>
  <c r="B3234" i="14"/>
  <c r="F3233" i="14"/>
  <c r="B3233" i="14"/>
  <c r="F3232" i="14"/>
  <c r="B3232" i="14"/>
  <c r="F3231" i="14"/>
  <c r="B3231" i="14"/>
  <c r="F3230" i="14"/>
  <c r="B3230" i="14"/>
  <c r="F3229" i="14"/>
  <c r="B3229" i="14"/>
  <c r="F3228" i="14"/>
  <c r="B3228" i="14"/>
  <c r="F3227" i="14"/>
  <c r="B3227" i="14"/>
  <c r="F3226" i="14"/>
  <c r="B3226" i="14"/>
  <c r="F3225" i="14"/>
  <c r="B3225" i="14"/>
  <c r="F3224" i="14"/>
  <c r="B3224" i="14"/>
  <c r="F3223" i="14"/>
  <c r="B3223" i="14"/>
  <c r="F3222" i="14"/>
  <c r="B3222" i="14"/>
  <c r="F3221" i="14"/>
  <c r="B3221" i="14"/>
  <c r="F3220" i="14"/>
  <c r="B3220" i="14"/>
  <c r="F3219" i="14"/>
  <c r="B3219" i="14"/>
  <c r="F3218" i="14"/>
  <c r="B3218" i="14"/>
  <c r="F3217" i="14"/>
  <c r="B3217" i="14"/>
  <c r="F3216" i="14"/>
  <c r="B3216" i="14"/>
  <c r="F3215" i="14"/>
  <c r="B3215" i="14"/>
  <c r="F3214" i="14"/>
  <c r="B3214" i="14"/>
  <c r="F3213" i="14"/>
  <c r="B3213" i="14"/>
  <c r="F3212" i="14"/>
  <c r="B3212" i="14"/>
  <c r="F3211" i="14"/>
  <c r="B3211" i="14"/>
  <c r="F3210" i="14"/>
  <c r="B3210" i="14"/>
  <c r="F3209" i="14"/>
  <c r="B3209" i="14"/>
  <c r="F3208" i="14"/>
  <c r="B3208" i="14"/>
  <c r="F3207" i="14"/>
  <c r="B3207" i="14"/>
  <c r="F3206" i="14"/>
  <c r="B3206" i="14"/>
  <c r="F3205" i="14"/>
  <c r="B3205" i="14"/>
  <c r="F3204" i="14"/>
  <c r="B3204" i="14"/>
  <c r="F3203" i="14"/>
  <c r="B3203" i="14"/>
  <c r="F3202" i="14"/>
  <c r="B3202" i="14"/>
  <c r="F3201" i="14"/>
  <c r="B3201" i="14"/>
  <c r="F3200" i="14"/>
  <c r="B3200" i="14"/>
  <c r="F3199" i="14"/>
  <c r="B3199" i="14"/>
  <c r="F3198" i="14"/>
  <c r="B3198" i="14"/>
  <c r="F3197" i="14"/>
  <c r="B3197" i="14"/>
  <c r="F3196" i="14"/>
  <c r="B3196" i="14"/>
  <c r="F3195" i="14"/>
  <c r="B3195" i="14"/>
  <c r="F3194" i="14"/>
  <c r="B3194" i="14"/>
  <c r="F3193" i="14"/>
  <c r="B3193" i="14"/>
  <c r="F3192" i="14"/>
  <c r="B3192" i="14"/>
  <c r="F3191" i="14"/>
  <c r="B3191" i="14"/>
  <c r="F3190" i="14"/>
  <c r="B3190" i="14"/>
  <c r="F3189" i="14"/>
  <c r="B3189" i="14"/>
  <c r="F3188" i="14"/>
  <c r="B3188" i="14"/>
  <c r="F3187" i="14"/>
  <c r="B3187" i="14"/>
  <c r="F3186" i="14"/>
  <c r="B3186" i="14"/>
  <c r="F3185" i="14"/>
  <c r="B3185" i="14"/>
  <c r="F3184" i="14"/>
  <c r="B3184" i="14"/>
  <c r="F3183" i="14"/>
  <c r="B3183" i="14"/>
  <c r="F3182" i="14"/>
  <c r="B3182" i="14"/>
  <c r="F3181" i="14"/>
  <c r="B3181" i="14"/>
  <c r="F3180" i="14"/>
  <c r="B3180" i="14"/>
  <c r="F3179" i="14"/>
  <c r="B3179" i="14"/>
  <c r="F3178" i="14"/>
  <c r="B3178" i="14"/>
  <c r="F3177" i="14"/>
  <c r="B3177" i="14"/>
  <c r="F3176" i="14"/>
  <c r="B3176" i="14"/>
  <c r="F3175" i="14"/>
  <c r="B3175" i="14"/>
  <c r="F3174" i="14"/>
  <c r="B3174" i="14"/>
  <c r="F3173" i="14"/>
  <c r="B3173" i="14"/>
  <c r="F3172" i="14"/>
  <c r="B3172" i="14"/>
  <c r="F3171" i="14"/>
  <c r="B3171" i="14"/>
  <c r="F3170" i="14"/>
  <c r="B3170" i="14"/>
  <c r="F3169" i="14"/>
  <c r="B3169" i="14"/>
  <c r="F3168" i="14"/>
  <c r="B3168" i="14"/>
  <c r="F3167" i="14"/>
  <c r="B3167" i="14"/>
  <c r="F3166" i="14"/>
  <c r="B3166" i="14"/>
  <c r="F3165" i="14"/>
  <c r="B3165" i="14"/>
  <c r="F3164" i="14"/>
  <c r="B3164" i="14"/>
  <c r="F3163" i="14"/>
  <c r="B3163" i="14"/>
  <c r="F3162" i="14"/>
  <c r="B3162" i="14"/>
  <c r="F3161" i="14"/>
  <c r="B3161" i="14"/>
  <c r="F3160" i="14"/>
  <c r="B3160" i="14"/>
  <c r="F3159" i="14"/>
  <c r="B3159" i="14"/>
  <c r="F3158" i="14"/>
  <c r="B3158" i="14"/>
  <c r="F3157" i="14"/>
  <c r="B3157" i="14"/>
  <c r="F3156" i="14"/>
  <c r="B3156" i="14"/>
  <c r="F3155" i="14"/>
  <c r="B3155" i="14"/>
  <c r="F3154" i="14"/>
  <c r="B3154" i="14"/>
  <c r="F3153" i="14"/>
  <c r="B3153" i="14"/>
  <c r="F3152" i="14"/>
  <c r="B3152" i="14"/>
  <c r="F3151" i="14"/>
  <c r="B3151" i="14"/>
  <c r="F3150" i="14"/>
  <c r="B3150" i="14"/>
  <c r="F3149" i="14"/>
  <c r="B3149" i="14"/>
  <c r="F3148" i="14"/>
  <c r="B3148" i="14"/>
  <c r="F3147" i="14"/>
  <c r="B3147" i="14"/>
  <c r="F3146" i="14"/>
  <c r="B3146" i="14"/>
  <c r="F3145" i="14"/>
  <c r="B3145" i="14"/>
  <c r="F3144" i="14"/>
  <c r="B3144" i="14"/>
  <c r="F3143" i="14"/>
  <c r="B3143" i="14"/>
  <c r="F3142" i="14"/>
  <c r="B3142" i="14"/>
  <c r="F3141" i="14"/>
  <c r="B3141" i="14"/>
  <c r="F3140" i="14"/>
  <c r="B3140" i="14"/>
  <c r="F3139" i="14"/>
  <c r="B3139" i="14"/>
  <c r="F3138" i="14"/>
  <c r="B3138" i="14"/>
  <c r="F3137" i="14"/>
  <c r="B3137" i="14"/>
  <c r="F3136" i="14"/>
  <c r="B3136" i="14"/>
  <c r="F3135" i="14"/>
  <c r="B3135" i="14"/>
  <c r="F3134" i="14"/>
  <c r="B3134" i="14"/>
  <c r="F3133" i="14"/>
  <c r="B3133" i="14"/>
  <c r="F3132" i="14"/>
  <c r="B3132" i="14"/>
  <c r="F3131" i="14"/>
  <c r="B3131" i="14"/>
  <c r="F3130" i="14"/>
  <c r="B3130" i="14"/>
  <c r="F3129" i="14"/>
  <c r="B3129" i="14"/>
  <c r="F3128" i="14"/>
  <c r="B3128" i="14"/>
  <c r="F3127" i="14"/>
  <c r="B3127" i="14"/>
  <c r="F3126" i="14"/>
  <c r="B3126" i="14"/>
  <c r="F3125" i="14"/>
  <c r="B3125" i="14"/>
  <c r="F3124" i="14"/>
  <c r="B3124" i="14"/>
  <c r="F3123" i="14"/>
  <c r="B3123" i="14"/>
  <c r="F3122" i="14"/>
  <c r="B3122" i="14"/>
  <c r="F3121" i="14"/>
  <c r="B3121" i="14"/>
  <c r="F3120" i="14"/>
  <c r="B3120" i="14"/>
  <c r="F3119" i="14"/>
  <c r="B3119" i="14"/>
  <c r="F3118" i="14"/>
  <c r="B3118" i="14"/>
  <c r="F3117" i="14"/>
  <c r="B3117" i="14"/>
  <c r="F3116" i="14"/>
  <c r="B3116" i="14"/>
  <c r="F3115" i="14"/>
  <c r="B3115" i="14"/>
  <c r="F3114" i="14"/>
  <c r="B3114" i="14"/>
  <c r="F3113" i="14"/>
  <c r="B3113" i="14"/>
  <c r="F3112" i="14"/>
  <c r="B3112" i="14"/>
  <c r="F3111" i="14"/>
  <c r="B3111" i="14"/>
  <c r="F3110" i="14"/>
  <c r="B3110" i="14"/>
  <c r="F3109" i="14"/>
  <c r="B3109" i="14"/>
  <c r="F3108" i="14"/>
  <c r="B3108" i="14"/>
  <c r="F3107" i="14"/>
  <c r="B3107" i="14"/>
  <c r="F3106" i="14"/>
  <c r="B3106" i="14"/>
  <c r="F3105" i="14"/>
  <c r="B3105" i="14"/>
  <c r="F3104" i="14"/>
  <c r="B3104" i="14"/>
  <c r="F3103" i="14"/>
  <c r="B3103" i="14"/>
  <c r="F3102" i="14"/>
  <c r="B3102" i="14"/>
  <c r="F3101" i="14"/>
  <c r="B3101" i="14"/>
  <c r="F3100" i="14"/>
  <c r="B3100" i="14"/>
  <c r="F3099" i="14"/>
  <c r="B3099" i="14"/>
  <c r="F3098" i="14"/>
  <c r="B3098" i="14"/>
  <c r="F3097" i="14"/>
  <c r="B3097" i="14"/>
  <c r="F3096" i="14"/>
  <c r="B3096" i="14"/>
  <c r="F3095" i="14"/>
  <c r="B3095" i="14"/>
  <c r="F3094" i="14"/>
  <c r="B3094" i="14"/>
  <c r="F3093" i="14"/>
  <c r="B3093" i="14"/>
  <c r="F3092" i="14"/>
  <c r="B3092" i="14"/>
  <c r="F3091" i="14"/>
  <c r="B3091" i="14"/>
  <c r="F3090" i="14"/>
  <c r="B3090" i="14"/>
  <c r="F3089" i="14"/>
  <c r="B3089" i="14"/>
  <c r="F3088" i="14"/>
  <c r="B3088" i="14"/>
  <c r="F3087" i="14"/>
  <c r="B3087" i="14"/>
  <c r="F3086" i="14"/>
  <c r="B3086" i="14"/>
  <c r="F3085" i="14"/>
  <c r="B3085" i="14"/>
  <c r="F3084" i="14"/>
  <c r="B3084" i="14"/>
  <c r="F3083" i="14"/>
  <c r="B3083" i="14"/>
  <c r="F3082" i="14"/>
  <c r="B3082" i="14"/>
  <c r="F3081" i="14"/>
  <c r="B3081" i="14"/>
  <c r="F3080" i="14"/>
  <c r="B3080" i="14"/>
  <c r="F3079" i="14"/>
  <c r="B3079" i="14"/>
  <c r="F3078" i="14"/>
  <c r="B3078" i="14"/>
  <c r="F3077" i="14"/>
  <c r="B3077" i="14"/>
  <c r="F3076" i="14"/>
  <c r="B3076" i="14"/>
  <c r="F3075" i="14"/>
  <c r="B3075" i="14"/>
  <c r="F3074" i="14"/>
  <c r="B3074" i="14"/>
  <c r="F3073" i="14"/>
  <c r="B3073" i="14"/>
  <c r="F3072" i="14"/>
  <c r="B3072" i="14"/>
  <c r="F3071" i="14"/>
  <c r="B3071" i="14"/>
  <c r="F3070" i="14"/>
  <c r="B3070" i="14"/>
  <c r="F3069" i="14"/>
  <c r="B3069" i="14"/>
  <c r="F3068" i="14"/>
  <c r="B3068" i="14"/>
  <c r="F3067" i="14"/>
  <c r="B3067" i="14"/>
  <c r="F3066" i="14"/>
  <c r="B3066" i="14"/>
  <c r="F3065" i="14"/>
  <c r="B3065" i="14"/>
  <c r="F3064" i="14"/>
  <c r="B3064" i="14"/>
  <c r="F3063" i="14"/>
  <c r="B3063" i="14"/>
  <c r="F3062" i="14"/>
  <c r="B3062" i="14"/>
  <c r="F3061" i="14"/>
  <c r="B3061" i="14"/>
  <c r="F3060" i="14"/>
  <c r="B3060" i="14"/>
  <c r="F3059" i="14"/>
  <c r="B3059" i="14"/>
  <c r="F3058" i="14"/>
  <c r="B3058" i="14"/>
  <c r="F3057" i="14"/>
  <c r="B3057" i="14"/>
  <c r="F3056" i="14"/>
  <c r="B3056" i="14"/>
  <c r="F3055" i="14"/>
  <c r="B3055" i="14"/>
  <c r="F3054" i="14"/>
  <c r="B3054" i="14"/>
  <c r="F3053" i="14"/>
  <c r="B3053" i="14"/>
  <c r="F3052" i="14"/>
  <c r="B3052" i="14"/>
  <c r="F3051" i="14"/>
  <c r="B3051" i="14"/>
  <c r="F3050" i="14"/>
  <c r="B3050" i="14"/>
  <c r="F3049" i="14"/>
  <c r="B3049" i="14"/>
  <c r="F3048" i="14"/>
  <c r="B3048" i="14"/>
  <c r="F3047" i="14"/>
  <c r="B3047" i="14"/>
  <c r="F3046" i="14"/>
  <c r="B3046" i="14"/>
  <c r="F3045" i="14"/>
  <c r="B3045" i="14"/>
  <c r="F3044" i="14"/>
  <c r="B3044" i="14"/>
  <c r="F3043" i="14"/>
  <c r="B3043" i="14"/>
  <c r="F3042" i="14"/>
  <c r="B3042" i="14"/>
  <c r="F3041" i="14"/>
  <c r="B3041" i="14"/>
  <c r="F3040" i="14"/>
  <c r="B3040" i="14"/>
  <c r="F3039" i="14"/>
  <c r="B3039" i="14"/>
  <c r="F3038" i="14"/>
  <c r="B3038" i="14"/>
  <c r="F3037" i="14"/>
  <c r="B3037" i="14"/>
  <c r="F3036" i="14"/>
  <c r="B3036" i="14"/>
  <c r="F3035" i="14"/>
  <c r="B3035" i="14"/>
  <c r="F3034" i="14"/>
  <c r="B3034" i="14"/>
  <c r="F3033" i="14"/>
  <c r="B3033" i="14"/>
  <c r="F3032" i="14"/>
  <c r="B3032" i="14"/>
  <c r="F3031" i="14"/>
  <c r="B3031" i="14"/>
  <c r="F3030" i="14"/>
  <c r="B3030" i="14"/>
  <c r="F3029" i="14"/>
  <c r="B3029" i="14"/>
  <c r="F3028" i="14"/>
  <c r="B3028" i="14"/>
  <c r="F3027" i="14"/>
  <c r="B3027" i="14"/>
  <c r="F3026" i="14"/>
  <c r="B3026" i="14"/>
  <c r="F3025" i="14"/>
  <c r="B3025" i="14"/>
  <c r="F3024" i="14"/>
  <c r="B3024" i="14"/>
  <c r="F3023" i="14"/>
  <c r="B3023" i="14"/>
  <c r="F3022" i="14"/>
  <c r="B3022" i="14"/>
  <c r="F3021" i="14"/>
  <c r="B3021" i="14"/>
  <c r="F3020" i="14"/>
  <c r="B3020" i="14"/>
  <c r="F3019" i="14"/>
  <c r="B3019" i="14"/>
  <c r="F3018" i="14"/>
  <c r="B3018" i="14"/>
  <c r="F3017" i="14"/>
  <c r="B3017" i="14"/>
  <c r="F3016" i="14"/>
  <c r="B3016" i="14"/>
  <c r="F3015" i="14"/>
  <c r="B3015" i="14"/>
  <c r="F3014" i="14"/>
  <c r="B3014" i="14"/>
  <c r="F3013" i="14"/>
  <c r="B3013" i="14"/>
  <c r="F3012" i="14"/>
  <c r="B3012" i="14"/>
  <c r="F3011" i="14"/>
  <c r="B3011" i="14"/>
  <c r="F3010" i="14"/>
  <c r="B3010" i="14"/>
  <c r="F3009" i="14"/>
  <c r="B3009" i="14"/>
  <c r="F3008" i="14"/>
  <c r="B3008" i="14"/>
  <c r="F3007" i="14"/>
  <c r="B3007" i="14"/>
  <c r="F3006" i="14"/>
  <c r="B3006" i="14"/>
  <c r="F3005" i="14"/>
  <c r="B3005" i="14"/>
  <c r="F3004" i="14"/>
  <c r="B3004" i="14"/>
  <c r="F3003" i="14"/>
  <c r="B3003" i="14"/>
  <c r="F3002" i="14"/>
  <c r="B3002" i="14"/>
  <c r="F3001" i="14"/>
  <c r="B3001" i="14"/>
  <c r="F3000" i="14"/>
  <c r="B3000" i="14"/>
  <c r="F2999" i="14"/>
  <c r="B2999" i="14"/>
  <c r="F2998" i="14"/>
  <c r="B2998" i="14"/>
  <c r="F2997" i="14"/>
  <c r="B2997" i="14"/>
  <c r="F2996" i="14"/>
  <c r="B2996" i="14"/>
  <c r="F2995" i="14"/>
  <c r="B2995" i="14"/>
  <c r="F2994" i="14"/>
  <c r="B2994" i="14"/>
  <c r="F2993" i="14"/>
  <c r="B2993" i="14"/>
  <c r="F2992" i="14"/>
  <c r="B2992" i="14"/>
  <c r="F2991" i="14"/>
  <c r="B2991" i="14"/>
  <c r="F2990" i="14"/>
  <c r="B2990" i="14"/>
  <c r="F2989" i="14"/>
  <c r="B2989" i="14"/>
  <c r="F2988" i="14"/>
  <c r="B2988" i="14"/>
  <c r="F2987" i="14"/>
  <c r="B2987" i="14"/>
  <c r="F2986" i="14"/>
  <c r="B2986" i="14"/>
  <c r="F2985" i="14"/>
  <c r="B2985" i="14"/>
  <c r="F2984" i="14"/>
  <c r="B2984" i="14"/>
  <c r="F2983" i="14"/>
  <c r="B2983" i="14"/>
  <c r="F2982" i="14"/>
  <c r="B2982" i="14"/>
  <c r="F2981" i="14"/>
  <c r="B2981" i="14"/>
  <c r="F2980" i="14"/>
  <c r="B2980" i="14"/>
  <c r="F2979" i="14"/>
  <c r="B2979" i="14"/>
  <c r="F2978" i="14"/>
  <c r="B2978" i="14"/>
  <c r="F2977" i="14"/>
  <c r="B2977" i="14"/>
  <c r="F2976" i="14"/>
  <c r="B2976" i="14"/>
  <c r="F2975" i="14"/>
  <c r="B2975" i="14"/>
  <c r="F2974" i="14"/>
  <c r="B2974" i="14"/>
  <c r="F2973" i="14"/>
  <c r="B2973" i="14"/>
  <c r="F2972" i="14"/>
  <c r="B2972" i="14"/>
  <c r="F2971" i="14"/>
  <c r="B2971" i="14"/>
  <c r="F2970" i="14"/>
  <c r="B2970" i="14"/>
  <c r="F2969" i="14"/>
  <c r="B2969" i="14"/>
  <c r="F2968" i="14"/>
  <c r="B2968" i="14"/>
  <c r="F2967" i="14"/>
  <c r="B2967" i="14"/>
  <c r="F2966" i="14"/>
  <c r="B2966" i="14"/>
  <c r="F2965" i="14"/>
  <c r="B2965" i="14"/>
  <c r="F2964" i="14"/>
  <c r="B2964" i="14"/>
  <c r="F2963" i="14"/>
  <c r="B2963" i="14"/>
  <c r="F2962" i="14"/>
  <c r="B2962" i="14"/>
  <c r="F2961" i="14"/>
  <c r="B2961" i="14"/>
  <c r="F2960" i="14"/>
  <c r="B2960" i="14"/>
  <c r="F2959" i="14"/>
  <c r="B2959" i="14"/>
  <c r="F2958" i="14"/>
  <c r="B2958" i="14"/>
  <c r="F2957" i="14"/>
  <c r="B2957" i="14"/>
  <c r="F2956" i="14"/>
  <c r="B2956" i="14"/>
  <c r="F2955" i="14"/>
  <c r="B2955" i="14"/>
  <c r="F2954" i="14"/>
  <c r="B2954" i="14"/>
  <c r="F2953" i="14"/>
  <c r="B2953" i="14"/>
  <c r="F2952" i="14"/>
  <c r="B2952" i="14"/>
  <c r="F2951" i="14"/>
  <c r="B2951" i="14"/>
  <c r="F2950" i="14"/>
  <c r="B2950" i="14"/>
  <c r="F2949" i="14"/>
  <c r="B2949" i="14"/>
  <c r="F2948" i="14"/>
  <c r="B2948" i="14"/>
  <c r="F2947" i="14"/>
  <c r="B2947" i="14"/>
  <c r="F2946" i="14"/>
  <c r="B2946" i="14"/>
  <c r="F2945" i="14"/>
  <c r="B2945" i="14"/>
  <c r="F2944" i="14"/>
  <c r="B2944" i="14"/>
  <c r="F2943" i="14"/>
  <c r="B2943" i="14"/>
  <c r="F2942" i="14"/>
  <c r="B2942" i="14"/>
  <c r="F2941" i="14"/>
  <c r="B2941" i="14"/>
  <c r="F2940" i="14"/>
  <c r="B2940" i="14"/>
  <c r="F2939" i="14"/>
  <c r="B2939" i="14"/>
  <c r="F2938" i="14"/>
  <c r="B2938" i="14"/>
  <c r="F2937" i="14"/>
  <c r="B2937" i="14"/>
  <c r="F2936" i="14"/>
  <c r="B2936" i="14"/>
  <c r="F2935" i="14"/>
  <c r="B2935" i="14"/>
  <c r="F2934" i="14"/>
  <c r="B2934" i="14"/>
  <c r="F2933" i="14"/>
  <c r="B2933" i="14"/>
  <c r="F2932" i="14"/>
  <c r="B2932" i="14"/>
  <c r="F2931" i="14"/>
  <c r="B2931" i="14"/>
  <c r="F2930" i="14"/>
  <c r="B2930" i="14"/>
  <c r="F2929" i="14"/>
  <c r="B2929" i="14"/>
  <c r="F2928" i="14"/>
  <c r="B2928" i="14"/>
  <c r="F2927" i="14"/>
  <c r="B2927" i="14"/>
  <c r="F2926" i="14"/>
  <c r="B2926" i="14"/>
  <c r="F2925" i="14"/>
  <c r="B2925" i="14"/>
  <c r="F2924" i="14"/>
  <c r="B2924" i="14"/>
  <c r="F2923" i="14"/>
  <c r="B2923" i="14"/>
  <c r="F2922" i="14"/>
  <c r="B2922" i="14"/>
  <c r="F2921" i="14"/>
  <c r="B2921" i="14"/>
  <c r="F2920" i="14"/>
  <c r="B2920" i="14"/>
  <c r="F2919" i="14"/>
  <c r="B2919" i="14"/>
  <c r="F2918" i="14"/>
  <c r="B2918" i="14"/>
  <c r="F2917" i="14"/>
  <c r="B2917" i="14"/>
  <c r="F2916" i="14"/>
  <c r="B2916" i="14"/>
  <c r="F2915" i="14"/>
  <c r="B2915" i="14"/>
  <c r="F2914" i="14"/>
  <c r="B2914" i="14"/>
  <c r="F2913" i="14"/>
  <c r="B2913" i="14"/>
  <c r="F2912" i="14"/>
  <c r="B2912" i="14"/>
  <c r="F2911" i="14"/>
  <c r="B2911" i="14"/>
  <c r="F2910" i="14"/>
  <c r="B2910" i="14"/>
  <c r="F2909" i="14"/>
  <c r="B2909" i="14"/>
  <c r="F2908" i="14"/>
  <c r="B2908" i="14"/>
  <c r="F2907" i="14"/>
  <c r="B2907" i="14"/>
  <c r="F2906" i="14"/>
  <c r="B2906" i="14"/>
  <c r="F2905" i="14"/>
  <c r="B2905" i="14"/>
  <c r="F2904" i="14"/>
  <c r="B2904" i="14"/>
  <c r="F2903" i="14"/>
  <c r="B2903" i="14"/>
  <c r="F2902" i="14"/>
  <c r="B2902" i="14"/>
  <c r="F2901" i="14"/>
  <c r="B2901" i="14"/>
  <c r="F2900" i="14"/>
  <c r="B2900" i="14"/>
  <c r="F2899" i="14"/>
  <c r="B2899" i="14"/>
  <c r="F2898" i="14"/>
  <c r="B2898" i="14"/>
  <c r="F2897" i="14"/>
  <c r="B2897" i="14"/>
  <c r="F2896" i="14"/>
  <c r="B2896" i="14"/>
  <c r="F2895" i="14"/>
  <c r="B2895" i="14"/>
  <c r="F2894" i="14"/>
  <c r="B2894" i="14"/>
  <c r="F2893" i="14"/>
  <c r="B2893" i="14"/>
  <c r="F2892" i="14"/>
  <c r="B2892" i="14"/>
  <c r="F2891" i="14"/>
  <c r="B2891" i="14"/>
  <c r="F2890" i="14"/>
  <c r="B2890" i="14"/>
  <c r="F2889" i="14"/>
  <c r="B2889" i="14"/>
  <c r="F2888" i="14"/>
  <c r="B2888" i="14"/>
  <c r="F2887" i="14"/>
  <c r="B2887" i="14"/>
  <c r="F2886" i="14"/>
  <c r="B2886" i="14"/>
  <c r="F2885" i="14"/>
  <c r="B2885" i="14"/>
  <c r="F2884" i="14"/>
  <c r="B2884" i="14"/>
  <c r="F2883" i="14"/>
  <c r="B2883" i="14"/>
  <c r="F2882" i="14"/>
  <c r="B2882" i="14"/>
  <c r="F2881" i="14"/>
  <c r="B2881" i="14"/>
  <c r="F2880" i="14"/>
  <c r="B2880" i="14"/>
  <c r="F2879" i="14"/>
  <c r="B2879" i="14"/>
  <c r="F2878" i="14"/>
  <c r="B2878" i="14"/>
  <c r="F2877" i="14"/>
  <c r="B2877" i="14"/>
  <c r="F2876" i="14"/>
  <c r="B2876" i="14"/>
  <c r="F2875" i="14"/>
  <c r="B2875" i="14"/>
  <c r="F2874" i="14"/>
  <c r="B2874" i="14"/>
  <c r="F2873" i="14"/>
  <c r="B2873" i="14"/>
  <c r="F2872" i="14"/>
  <c r="B2872" i="14"/>
  <c r="F2871" i="14"/>
  <c r="B2871" i="14"/>
  <c r="F2870" i="14"/>
  <c r="B2870" i="14"/>
  <c r="F2869" i="14"/>
  <c r="B2869" i="14"/>
  <c r="F2868" i="14"/>
  <c r="B2868" i="14"/>
  <c r="F2867" i="14"/>
  <c r="B2867" i="14"/>
  <c r="F2866" i="14"/>
  <c r="B2866" i="14"/>
  <c r="F2865" i="14"/>
  <c r="B2865" i="14"/>
  <c r="F2864" i="14"/>
  <c r="B2864" i="14"/>
  <c r="F2863" i="14"/>
  <c r="B2863" i="14"/>
  <c r="F2862" i="14"/>
  <c r="B2862" i="14"/>
  <c r="F2861" i="14"/>
  <c r="B2861" i="14"/>
  <c r="F2860" i="14"/>
  <c r="B2860" i="14"/>
  <c r="F2859" i="14"/>
  <c r="B2859" i="14"/>
  <c r="F2858" i="14"/>
  <c r="B2858" i="14"/>
  <c r="F2857" i="14"/>
  <c r="B2857" i="14"/>
  <c r="F2856" i="14"/>
  <c r="B2856" i="14"/>
  <c r="F2855" i="14"/>
  <c r="B2855" i="14"/>
  <c r="F2854" i="14"/>
  <c r="B2854" i="14"/>
  <c r="F2853" i="14"/>
  <c r="B2853" i="14"/>
  <c r="F2852" i="14"/>
  <c r="B2852" i="14"/>
  <c r="F2851" i="14"/>
  <c r="B2851" i="14"/>
  <c r="F2850" i="14"/>
  <c r="B2850" i="14"/>
  <c r="F2849" i="14"/>
  <c r="B2849" i="14"/>
  <c r="F2848" i="14"/>
  <c r="B2848" i="14"/>
  <c r="F2847" i="14"/>
  <c r="B2847" i="14"/>
  <c r="F2846" i="14"/>
  <c r="B2846" i="14"/>
  <c r="F2845" i="14"/>
  <c r="B2845" i="14"/>
  <c r="F2844" i="14"/>
  <c r="B2844" i="14"/>
  <c r="F2843" i="14"/>
  <c r="B2843" i="14"/>
  <c r="F2842" i="14"/>
  <c r="B2842" i="14"/>
  <c r="F2841" i="14"/>
  <c r="B2841" i="14"/>
  <c r="F2840" i="14"/>
  <c r="B2840" i="14"/>
  <c r="F2839" i="14"/>
  <c r="B2839" i="14"/>
  <c r="F2838" i="14"/>
  <c r="B2838" i="14"/>
  <c r="F2837" i="14"/>
  <c r="B2837" i="14"/>
  <c r="F2836" i="14"/>
  <c r="B2836" i="14"/>
  <c r="F2835" i="14"/>
  <c r="B2835" i="14"/>
  <c r="F2834" i="14"/>
  <c r="B2834" i="14"/>
  <c r="F2833" i="14"/>
  <c r="B2833" i="14"/>
  <c r="F2832" i="14"/>
  <c r="B2832" i="14"/>
  <c r="F2831" i="14"/>
  <c r="B2831" i="14"/>
  <c r="F2830" i="14"/>
  <c r="B2830" i="14"/>
  <c r="F2829" i="14"/>
  <c r="B2829" i="14"/>
  <c r="F2828" i="14"/>
  <c r="B2828" i="14"/>
  <c r="F2827" i="14"/>
  <c r="B2827" i="14"/>
  <c r="F2826" i="14"/>
  <c r="B2826" i="14"/>
  <c r="F2825" i="14"/>
  <c r="B2825" i="14"/>
  <c r="F2824" i="14"/>
  <c r="B2824" i="14"/>
  <c r="F2823" i="14"/>
  <c r="B2823" i="14"/>
  <c r="F2822" i="14"/>
  <c r="B2822" i="14"/>
  <c r="F2821" i="14"/>
  <c r="B2821" i="14"/>
  <c r="F2820" i="14"/>
  <c r="B2820" i="14"/>
  <c r="F2819" i="14"/>
  <c r="B2819" i="14"/>
  <c r="F2818" i="14"/>
  <c r="B2818" i="14"/>
  <c r="F2817" i="14"/>
  <c r="B2817" i="14"/>
  <c r="F2816" i="14"/>
  <c r="B2816" i="14"/>
  <c r="F2815" i="14"/>
  <c r="B2815" i="14"/>
  <c r="F2814" i="14"/>
  <c r="B2814" i="14"/>
  <c r="F2813" i="14"/>
  <c r="B2813" i="14"/>
  <c r="F2812" i="14"/>
  <c r="B2812" i="14"/>
  <c r="F2811" i="14"/>
  <c r="B2811" i="14"/>
  <c r="F2810" i="14"/>
  <c r="B2810" i="14"/>
  <c r="F2809" i="14"/>
  <c r="B2809" i="14"/>
  <c r="F2808" i="14"/>
  <c r="B2808" i="14"/>
  <c r="F2807" i="14"/>
  <c r="B2807" i="14"/>
  <c r="F2806" i="14"/>
  <c r="B2806" i="14"/>
  <c r="F2805" i="14"/>
  <c r="B2805" i="14"/>
  <c r="F2804" i="14"/>
  <c r="B2804" i="14"/>
  <c r="F2803" i="14"/>
  <c r="B2803" i="14"/>
  <c r="F2802" i="14"/>
  <c r="B2802" i="14"/>
  <c r="F2801" i="14"/>
  <c r="B2801" i="14"/>
  <c r="F2800" i="14"/>
  <c r="B2800" i="14"/>
  <c r="F2799" i="14"/>
  <c r="B2799" i="14"/>
  <c r="F2798" i="14"/>
  <c r="B2798" i="14"/>
  <c r="F2797" i="14"/>
  <c r="B2797" i="14"/>
  <c r="F2796" i="14"/>
  <c r="B2796" i="14"/>
  <c r="F2795" i="14"/>
  <c r="B2795" i="14"/>
  <c r="F2794" i="14"/>
  <c r="B2794" i="14"/>
  <c r="F2793" i="14"/>
  <c r="B2793" i="14"/>
  <c r="F2792" i="14"/>
  <c r="B2792" i="14"/>
  <c r="F2791" i="14"/>
  <c r="B2791" i="14"/>
  <c r="F2790" i="14"/>
  <c r="B2790" i="14"/>
  <c r="F2789" i="14"/>
  <c r="B2789" i="14"/>
  <c r="F2788" i="14"/>
  <c r="B2788" i="14"/>
  <c r="F2787" i="14"/>
  <c r="B2787" i="14"/>
  <c r="F2786" i="14"/>
  <c r="B2786" i="14"/>
  <c r="F2785" i="14"/>
  <c r="B2785" i="14"/>
  <c r="F2784" i="14"/>
  <c r="B2784" i="14"/>
  <c r="F2783" i="14"/>
  <c r="B2783" i="14"/>
  <c r="F2782" i="14"/>
  <c r="B2782" i="14"/>
  <c r="F2781" i="14"/>
  <c r="B2781" i="14"/>
  <c r="F2780" i="14"/>
  <c r="B2780" i="14"/>
  <c r="F2779" i="14"/>
  <c r="B2779" i="14"/>
  <c r="F2778" i="14"/>
  <c r="B2778" i="14"/>
  <c r="F2777" i="14"/>
  <c r="B2777" i="14"/>
  <c r="F2776" i="14"/>
  <c r="B2776" i="14"/>
  <c r="F2775" i="14"/>
  <c r="B2775" i="14"/>
  <c r="F2774" i="14"/>
  <c r="B2774" i="14"/>
  <c r="F2773" i="14"/>
  <c r="B2773" i="14"/>
  <c r="F2772" i="14"/>
  <c r="B2772" i="14"/>
  <c r="F2771" i="14"/>
  <c r="B2771" i="14"/>
  <c r="F2770" i="14"/>
  <c r="B2770" i="14"/>
  <c r="F2769" i="14"/>
  <c r="B2769" i="14"/>
  <c r="F2768" i="14"/>
  <c r="B2768" i="14"/>
  <c r="F2767" i="14"/>
  <c r="B2767" i="14"/>
  <c r="F2766" i="14"/>
  <c r="B2766" i="14"/>
  <c r="F2765" i="14"/>
  <c r="B2765" i="14"/>
  <c r="F2764" i="14"/>
  <c r="B2764" i="14"/>
  <c r="F2763" i="14"/>
  <c r="B2763" i="14"/>
  <c r="F2762" i="14"/>
  <c r="B2762" i="14"/>
  <c r="F2761" i="14"/>
  <c r="B2761" i="14"/>
  <c r="F2760" i="14"/>
  <c r="B2760" i="14"/>
  <c r="F2759" i="14"/>
  <c r="B2759" i="14"/>
  <c r="F2758" i="14"/>
  <c r="B2758" i="14"/>
  <c r="F2757" i="14"/>
  <c r="B2757" i="14"/>
  <c r="F2756" i="14"/>
  <c r="B2756" i="14"/>
  <c r="F2755" i="14"/>
  <c r="B2755" i="14"/>
  <c r="F2754" i="14"/>
  <c r="B2754" i="14"/>
  <c r="F2753" i="14"/>
  <c r="B2753" i="14"/>
  <c r="F2752" i="14"/>
  <c r="B2752" i="14"/>
  <c r="F2751" i="14"/>
  <c r="B2751" i="14"/>
  <c r="F2750" i="14"/>
  <c r="B2750" i="14"/>
  <c r="F2749" i="14"/>
  <c r="B2749" i="14"/>
  <c r="F2748" i="14"/>
  <c r="B2748" i="14"/>
  <c r="F2747" i="14"/>
  <c r="B2747" i="14"/>
  <c r="F2746" i="14"/>
  <c r="B2746" i="14"/>
  <c r="F2745" i="14"/>
  <c r="B2745" i="14"/>
  <c r="F2744" i="14"/>
  <c r="B2744" i="14"/>
  <c r="F2743" i="14"/>
  <c r="B2743" i="14"/>
  <c r="F2742" i="14"/>
  <c r="B2742" i="14"/>
  <c r="F2741" i="14"/>
  <c r="B2741" i="14"/>
  <c r="F2740" i="14"/>
  <c r="B2740" i="14"/>
  <c r="F2739" i="14"/>
  <c r="B2739" i="14"/>
  <c r="F2738" i="14"/>
  <c r="B2738" i="14"/>
  <c r="F2737" i="14"/>
  <c r="B2737" i="14"/>
  <c r="F2736" i="14"/>
  <c r="B2736" i="14"/>
  <c r="F2735" i="14"/>
  <c r="B2735" i="14"/>
  <c r="F2734" i="14"/>
  <c r="B2734" i="14"/>
  <c r="F2733" i="14"/>
  <c r="B2733" i="14"/>
  <c r="F2732" i="14"/>
  <c r="B2732" i="14"/>
  <c r="F2731" i="14"/>
  <c r="B2731" i="14"/>
  <c r="F2730" i="14"/>
  <c r="B2730" i="14"/>
  <c r="F2729" i="14"/>
  <c r="B2729" i="14"/>
  <c r="F2728" i="14"/>
  <c r="B2728" i="14"/>
  <c r="F2727" i="14"/>
  <c r="B2727" i="14"/>
  <c r="F2726" i="14"/>
  <c r="B2726" i="14"/>
  <c r="F2725" i="14"/>
  <c r="B2725" i="14"/>
  <c r="F2724" i="14"/>
  <c r="B2724" i="14"/>
  <c r="F2723" i="14"/>
  <c r="B2723" i="14"/>
  <c r="F2722" i="14"/>
  <c r="B2722" i="14"/>
  <c r="F2721" i="14"/>
  <c r="B2721" i="14"/>
  <c r="F2720" i="14"/>
  <c r="B2720" i="14"/>
  <c r="F2719" i="14"/>
  <c r="B2719" i="14"/>
  <c r="F2718" i="14"/>
  <c r="B2718" i="14"/>
  <c r="F2717" i="14"/>
  <c r="B2717" i="14"/>
  <c r="F2716" i="14"/>
  <c r="B2716" i="14"/>
  <c r="F2715" i="14"/>
  <c r="B2715" i="14"/>
  <c r="F2714" i="14"/>
  <c r="B2714" i="14"/>
  <c r="F2713" i="14"/>
  <c r="B2713" i="14"/>
  <c r="F2712" i="14"/>
  <c r="B2712" i="14"/>
  <c r="F2711" i="14"/>
  <c r="B2711" i="14"/>
  <c r="F2710" i="14"/>
  <c r="B2710" i="14"/>
  <c r="F2709" i="14"/>
  <c r="B2709" i="14"/>
  <c r="F2708" i="14"/>
  <c r="B2708" i="14"/>
  <c r="F2707" i="14"/>
  <c r="B2707" i="14"/>
  <c r="F2706" i="14"/>
  <c r="B2706" i="14"/>
  <c r="F2705" i="14"/>
  <c r="B2705" i="14"/>
  <c r="F2704" i="14"/>
  <c r="B2704" i="14"/>
  <c r="F2703" i="14"/>
  <c r="B2703" i="14"/>
  <c r="F2702" i="14"/>
  <c r="B2702" i="14"/>
  <c r="F2701" i="14"/>
  <c r="B2701" i="14"/>
  <c r="F2700" i="14"/>
  <c r="B2700" i="14"/>
  <c r="F2699" i="14"/>
  <c r="B2699" i="14"/>
  <c r="F2698" i="14"/>
  <c r="B2698" i="14"/>
  <c r="F2697" i="14"/>
  <c r="B2697" i="14"/>
  <c r="F2696" i="14"/>
  <c r="B2696" i="14"/>
  <c r="F2695" i="14"/>
  <c r="B2695" i="14"/>
  <c r="F2694" i="14"/>
  <c r="B2694" i="14"/>
  <c r="F2693" i="14"/>
  <c r="B2693" i="14"/>
  <c r="F2692" i="14"/>
  <c r="B2692" i="14"/>
  <c r="F2691" i="14"/>
  <c r="B2691" i="14"/>
  <c r="F2690" i="14"/>
  <c r="B2690" i="14"/>
  <c r="F2689" i="14"/>
  <c r="B2689" i="14"/>
  <c r="F2688" i="14"/>
  <c r="B2688" i="14"/>
  <c r="F2687" i="14"/>
  <c r="B2687" i="14"/>
  <c r="F2686" i="14"/>
  <c r="B2686" i="14"/>
  <c r="F2685" i="14"/>
  <c r="B2685" i="14"/>
  <c r="F2684" i="14"/>
  <c r="B2684" i="14"/>
  <c r="F2683" i="14"/>
  <c r="B2683" i="14"/>
  <c r="F2682" i="14"/>
  <c r="B2682" i="14"/>
  <c r="F2681" i="14"/>
  <c r="B2681" i="14"/>
  <c r="F2680" i="14"/>
  <c r="B2680" i="14"/>
  <c r="F2679" i="14"/>
  <c r="B2679" i="14"/>
  <c r="F2678" i="14"/>
  <c r="B2678" i="14"/>
  <c r="F2677" i="14"/>
  <c r="B2677" i="14"/>
  <c r="F2676" i="14"/>
  <c r="B2676" i="14"/>
  <c r="F2675" i="14"/>
  <c r="B2675" i="14"/>
  <c r="F2674" i="14"/>
  <c r="B2674" i="14"/>
  <c r="F2673" i="14"/>
  <c r="B2673" i="14"/>
  <c r="F2672" i="14"/>
  <c r="B2672" i="14"/>
  <c r="F2671" i="14"/>
  <c r="B2671" i="14"/>
  <c r="F2670" i="14"/>
  <c r="B2670" i="14"/>
  <c r="F2669" i="14"/>
  <c r="B2669" i="14"/>
  <c r="F2668" i="14"/>
  <c r="B2668" i="14"/>
  <c r="F2667" i="14"/>
  <c r="B2667" i="14"/>
  <c r="F2666" i="14"/>
  <c r="B2666" i="14"/>
  <c r="F2665" i="14"/>
  <c r="B2665" i="14"/>
  <c r="F2664" i="14"/>
  <c r="B2664" i="14"/>
  <c r="F2663" i="14"/>
  <c r="B2663" i="14"/>
  <c r="F2662" i="14"/>
  <c r="B2662" i="14"/>
  <c r="F2661" i="14"/>
  <c r="B2661" i="14"/>
  <c r="F2660" i="14"/>
  <c r="B2660" i="14"/>
  <c r="F2659" i="14"/>
  <c r="B2659" i="14"/>
  <c r="F2658" i="14"/>
  <c r="B2658" i="14"/>
  <c r="F2657" i="14"/>
  <c r="B2657" i="14"/>
  <c r="F2656" i="14"/>
  <c r="B2656" i="14"/>
  <c r="F2655" i="14"/>
  <c r="B2655" i="14"/>
  <c r="F2654" i="14"/>
  <c r="B2654" i="14"/>
  <c r="F2653" i="14"/>
  <c r="B2653" i="14"/>
  <c r="F2652" i="14"/>
  <c r="B2652" i="14"/>
  <c r="F2651" i="14"/>
  <c r="B2651" i="14"/>
  <c r="F2650" i="14"/>
  <c r="B2650" i="14"/>
  <c r="F2649" i="14"/>
  <c r="B2649" i="14"/>
  <c r="F2648" i="14"/>
  <c r="B2648" i="14"/>
  <c r="F2647" i="14"/>
  <c r="B2647" i="14"/>
  <c r="F2646" i="14"/>
  <c r="B2646" i="14"/>
  <c r="F2645" i="14"/>
  <c r="B2645" i="14"/>
  <c r="F2644" i="14"/>
  <c r="B2644" i="14"/>
  <c r="F2643" i="14"/>
  <c r="B2643" i="14"/>
  <c r="F2642" i="14"/>
  <c r="B2642" i="14"/>
  <c r="F2641" i="14"/>
  <c r="B2641" i="14"/>
  <c r="F2640" i="14"/>
  <c r="B2640" i="14"/>
  <c r="F2639" i="14"/>
  <c r="B2639" i="14"/>
  <c r="F2638" i="14"/>
  <c r="B2638" i="14"/>
  <c r="F2637" i="14"/>
  <c r="B2637" i="14"/>
  <c r="F2636" i="14"/>
  <c r="B2636" i="14"/>
  <c r="F2635" i="14"/>
  <c r="B2635" i="14"/>
  <c r="F2634" i="14"/>
  <c r="B2634" i="14"/>
  <c r="F2633" i="14"/>
  <c r="B2633" i="14"/>
  <c r="F2632" i="14"/>
  <c r="B2632" i="14"/>
  <c r="F2631" i="14"/>
  <c r="B2631" i="14"/>
  <c r="F2630" i="14"/>
  <c r="B2630" i="14"/>
  <c r="F2629" i="14"/>
  <c r="B2629" i="14"/>
  <c r="F2628" i="14"/>
  <c r="B2628" i="14"/>
  <c r="F2627" i="14"/>
  <c r="B2627" i="14"/>
  <c r="F2626" i="14"/>
  <c r="B2626" i="14"/>
  <c r="F2625" i="14"/>
  <c r="B2625" i="14"/>
  <c r="F2624" i="14"/>
  <c r="B2624" i="14"/>
  <c r="F2623" i="14"/>
  <c r="B2623" i="14"/>
  <c r="F2622" i="14"/>
  <c r="B2622" i="14"/>
  <c r="F2621" i="14"/>
  <c r="B2621" i="14"/>
  <c r="F2620" i="14"/>
  <c r="B2620" i="14"/>
  <c r="F2619" i="14"/>
  <c r="B2619" i="14"/>
  <c r="F2618" i="14"/>
  <c r="B2618" i="14"/>
  <c r="F2617" i="14"/>
  <c r="B2617" i="14"/>
  <c r="F2616" i="14"/>
  <c r="B2616" i="14"/>
  <c r="F2615" i="14"/>
  <c r="B2615" i="14"/>
  <c r="F2614" i="14"/>
  <c r="B2614" i="14"/>
  <c r="F2613" i="14"/>
  <c r="B2613" i="14"/>
  <c r="F2612" i="14"/>
  <c r="B2612" i="14"/>
  <c r="F2611" i="14"/>
  <c r="B2611" i="14"/>
  <c r="F2610" i="14"/>
  <c r="B2610" i="14"/>
  <c r="F2609" i="14"/>
  <c r="B2609" i="14"/>
  <c r="F2608" i="14"/>
  <c r="B2608" i="14"/>
  <c r="F2607" i="14"/>
  <c r="B2607" i="14"/>
  <c r="F2606" i="14"/>
  <c r="B2606" i="14"/>
  <c r="F2605" i="14"/>
  <c r="B2605" i="14"/>
  <c r="F2604" i="14"/>
  <c r="B2604" i="14"/>
  <c r="F2603" i="14"/>
  <c r="B2603" i="14"/>
  <c r="F2602" i="14"/>
  <c r="B2602" i="14"/>
  <c r="F2601" i="14"/>
  <c r="B2601" i="14"/>
  <c r="F2600" i="14"/>
  <c r="B2600" i="14"/>
  <c r="F2599" i="14"/>
  <c r="B2599" i="14"/>
  <c r="F2598" i="14"/>
  <c r="B2598" i="14"/>
  <c r="F2597" i="14"/>
  <c r="B2597" i="14"/>
  <c r="F2596" i="14"/>
  <c r="B2596" i="14"/>
  <c r="F2595" i="14"/>
  <c r="B2595" i="14"/>
  <c r="F2594" i="14"/>
  <c r="B2594" i="14"/>
  <c r="F2593" i="14"/>
  <c r="B2593" i="14"/>
  <c r="F2592" i="14"/>
  <c r="B2592" i="14"/>
  <c r="F2591" i="14"/>
  <c r="B2591" i="14"/>
  <c r="F2590" i="14"/>
  <c r="B2590" i="14"/>
  <c r="F2589" i="14"/>
  <c r="B2589" i="14"/>
  <c r="F2588" i="14"/>
  <c r="B2588" i="14"/>
  <c r="F2587" i="14"/>
  <c r="B2587" i="14"/>
  <c r="F2586" i="14"/>
  <c r="B2586" i="14"/>
  <c r="F2585" i="14"/>
  <c r="B2585" i="14"/>
  <c r="F2584" i="14"/>
  <c r="B2584" i="14"/>
  <c r="F2583" i="14"/>
  <c r="B2583" i="14"/>
  <c r="F2582" i="14"/>
  <c r="B2582" i="14"/>
  <c r="F2581" i="14"/>
  <c r="B2581" i="14"/>
  <c r="F2580" i="14"/>
  <c r="B2580" i="14"/>
  <c r="F2579" i="14"/>
  <c r="B2579" i="14"/>
  <c r="F2578" i="14"/>
  <c r="B2578" i="14"/>
  <c r="F2577" i="14"/>
  <c r="B2577" i="14"/>
  <c r="F2576" i="14"/>
  <c r="B2576" i="14"/>
  <c r="F2575" i="14"/>
  <c r="B2575" i="14"/>
  <c r="F2574" i="14"/>
  <c r="B2574" i="14"/>
  <c r="F2573" i="14"/>
  <c r="B2573" i="14"/>
  <c r="F2572" i="14"/>
  <c r="B2572" i="14"/>
  <c r="F2571" i="14"/>
  <c r="B2571" i="14"/>
  <c r="F2570" i="14"/>
  <c r="B2570" i="14"/>
  <c r="F2569" i="14"/>
  <c r="B2569" i="14"/>
  <c r="F2568" i="14"/>
  <c r="B2568" i="14"/>
  <c r="F2567" i="14"/>
  <c r="B2567" i="14"/>
  <c r="F2566" i="14"/>
  <c r="B2566" i="14"/>
  <c r="F2565" i="14"/>
  <c r="B2565" i="14"/>
  <c r="F2564" i="14"/>
  <c r="B2564" i="14"/>
  <c r="F2563" i="14"/>
  <c r="B2563" i="14"/>
  <c r="F2562" i="14"/>
  <c r="B2562" i="14"/>
  <c r="F2561" i="14"/>
  <c r="B2561" i="14"/>
  <c r="F2560" i="14"/>
  <c r="B2560" i="14"/>
  <c r="F2559" i="14"/>
  <c r="B2559" i="14"/>
  <c r="F2558" i="14"/>
  <c r="B2558" i="14"/>
  <c r="F2557" i="14"/>
  <c r="B2557" i="14"/>
  <c r="F2556" i="14"/>
  <c r="B2556" i="14"/>
  <c r="F2555" i="14"/>
  <c r="B2555" i="14"/>
  <c r="F2554" i="14"/>
  <c r="B2554" i="14"/>
  <c r="F2553" i="14"/>
  <c r="B2553" i="14"/>
  <c r="F2552" i="14"/>
  <c r="B2552" i="14"/>
  <c r="F2551" i="14"/>
  <c r="B2551" i="14"/>
  <c r="F2550" i="14"/>
  <c r="B2550" i="14"/>
  <c r="F2549" i="14"/>
  <c r="B2549" i="14"/>
  <c r="F2548" i="14"/>
  <c r="B2548" i="14"/>
  <c r="F2547" i="14"/>
  <c r="B2547" i="14"/>
  <c r="F2546" i="14"/>
  <c r="B2546" i="14"/>
  <c r="F2545" i="14"/>
  <c r="B2545" i="14"/>
  <c r="F2544" i="14"/>
  <c r="B2544" i="14"/>
  <c r="F2543" i="14"/>
  <c r="B2543" i="14"/>
  <c r="F2542" i="14"/>
  <c r="B2542" i="14"/>
  <c r="F2541" i="14"/>
  <c r="B2541" i="14"/>
  <c r="F2540" i="14"/>
  <c r="B2540" i="14"/>
  <c r="F2539" i="14"/>
  <c r="B2539" i="14"/>
  <c r="F2538" i="14"/>
  <c r="B2538" i="14"/>
  <c r="F2537" i="14"/>
  <c r="B2537" i="14"/>
  <c r="F2536" i="14"/>
  <c r="B2536" i="14"/>
  <c r="F2535" i="14"/>
  <c r="B2535" i="14"/>
  <c r="F2534" i="14"/>
  <c r="B2534" i="14"/>
  <c r="F2533" i="14"/>
  <c r="B2533" i="14"/>
  <c r="F2532" i="14"/>
  <c r="B2532" i="14"/>
  <c r="F2531" i="14"/>
  <c r="B2531" i="14"/>
  <c r="F2530" i="14"/>
  <c r="B2530" i="14"/>
  <c r="F2529" i="14"/>
  <c r="B2529" i="14"/>
  <c r="F2528" i="14"/>
  <c r="B2528" i="14"/>
  <c r="F2527" i="14"/>
  <c r="B2527" i="14"/>
  <c r="F2526" i="14"/>
  <c r="B2526" i="14"/>
  <c r="F2525" i="14"/>
  <c r="B2525" i="14"/>
  <c r="F2524" i="14"/>
  <c r="B2524" i="14"/>
  <c r="F2523" i="14"/>
  <c r="B2523" i="14"/>
  <c r="F2522" i="14"/>
  <c r="B2522" i="14"/>
  <c r="F2521" i="14"/>
  <c r="B2521" i="14"/>
  <c r="F2520" i="14"/>
  <c r="B2520" i="14"/>
  <c r="F2519" i="14"/>
  <c r="B2519" i="14"/>
  <c r="F2518" i="14"/>
  <c r="B2518" i="14"/>
  <c r="F2517" i="14"/>
  <c r="B2517" i="14"/>
  <c r="F2516" i="14"/>
  <c r="B2516" i="14"/>
  <c r="F2515" i="14"/>
  <c r="B2515" i="14"/>
  <c r="F2514" i="14"/>
  <c r="B2514" i="14"/>
  <c r="F2513" i="14"/>
  <c r="B2513" i="14"/>
  <c r="F2512" i="14"/>
  <c r="B2512" i="14"/>
  <c r="F2511" i="14"/>
  <c r="B2511" i="14"/>
  <c r="F2510" i="14"/>
  <c r="B2510" i="14"/>
  <c r="F2509" i="14"/>
  <c r="B2509" i="14"/>
  <c r="F2508" i="14"/>
  <c r="B2508" i="14"/>
  <c r="F2507" i="14"/>
  <c r="B2507" i="14"/>
  <c r="F2506" i="14"/>
  <c r="B2506" i="14"/>
  <c r="F2505" i="14"/>
  <c r="B2505" i="14"/>
  <c r="F2504" i="14"/>
  <c r="B2504" i="14"/>
  <c r="F2503" i="14"/>
  <c r="B2503" i="14"/>
  <c r="F2502" i="14"/>
  <c r="B2502" i="14"/>
  <c r="F2501" i="14"/>
  <c r="B2501" i="14"/>
  <c r="F2500" i="14"/>
  <c r="B2500" i="14"/>
  <c r="F2499" i="14"/>
  <c r="B2499" i="14"/>
  <c r="F2498" i="14"/>
  <c r="B2498" i="14"/>
  <c r="F2497" i="14"/>
  <c r="B2497" i="14"/>
  <c r="F2496" i="14"/>
  <c r="B2496" i="14"/>
  <c r="F2495" i="14"/>
  <c r="B2495" i="14"/>
  <c r="F2494" i="14"/>
  <c r="B2494" i="14"/>
  <c r="F2493" i="14"/>
  <c r="B2493" i="14"/>
  <c r="F2492" i="14"/>
  <c r="B2492" i="14"/>
  <c r="F2491" i="14"/>
  <c r="B2491" i="14"/>
  <c r="F2490" i="14"/>
  <c r="B2490" i="14"/>
  <c r="F2489" i="14"/>
  <c r="B2489" i="14"/>
  <c r="F2488" i="14"/>
  <c r="B2488" i="14"/>
  <c r="F2487" i="14"/>
  <c r="B2487" i="14"/>
  <c r="F2486" i="14"/>
  <c r="B2486" i="14"/>
  <c r="F2485" i="14"/>
  <c r="B2485" i="14"/>
  <c r="F2484" i="14"/>
  <c r="B2484" i="14"/>
  <c r="F2483" i="14"/>
  <c r="B2483" i="14"/>
  <c r="F2482" i="14"/>
  <c r="B2482" i="14"/>
  <c r="F2481" i="14"/>
  <c r="B2481" i="14"/>
  <c r="F2480" i="14"/>
  <c r="B2480" i="14"/>
  <c r="F2479" i="14"/>
  <c r="B2479" i="14"/>
  <c r="F2478" i="14"/>
  <c r="B2478" i="14"/>
  <c r="F2477" i="14"/>
  <c r="B2477" i="14"/>
  <c r="F2476" i="14"/>
  <c r="B2476" i="14"/>
  <c r="F2475" i="14"/>
  <c r="B2475" i="14"/>
  <c r="F2474" i="14"/>
  <c r="B2474" i="14"/>
  <c r="F2473" i="14"/>
  <c r="B2473" i="14"/>
  <c r="F2472" i="14"/>
  <c r="B2472" i="14"/>
  <c r="F2471" i="14"/>
  <c r="B2471" i="14"/>
  <c r="F2470" i="14"/>
  <c r="B2470" i="14"/>
  <c r="F2469" i="14"/>
  <c r="B2469" i="14"/>
  <c r="F2468" i="14"/>
  <c r="B2468" i="14"/>
  <c r="F2467" i="14"/>
  <c r="B2467" i="14"/>
  <c r="F2466" i="14"/>
  <c r="B2466" i="14"/>
  <c r="F2465" i="14"/>
  <c r="B2465" i="14"/>
  <c r="F2464" i="14"/>
  <c r="B2464" i="14"/>
  <c r="F2463" i="14"/>
  <c r="B2463" i="14"/>
  <c r="F2462" i="14"/>
  <c r="B2462" i="14"/>
  <c r="F2461" i="14"/>
  <c r="B2461" i="14"/>
  <c r="F2460" i="14"/>
  <c r="B2460" i="14"/>
  <c r="F2459" i="14"/>
  <c r="B2459" i="14"/>
  <c r="F2458" i="14"/>
  <c r="B2458" i="14"/>
  <c r="F2457" i="14"/>
  <c r="B2457" i="14"/>
  <c r="F2456" i="14"/>
  <c r="B2456" i="14"/>
  <c r="F2455" i="14"/>
  <c r="B2455" i="14"/>
  <c r="F2454" i="14"/>
  <c r="B2454" i="14"/>
  <c r="F2453" i="14"/>
  <c r="B2453" i="14"/>
  <c r="F2452" i="14"/>
  <c r="B2452" i="14"/>
  <c r="F2451" i="14"/>
  <c r="B2451" i="14"/>
  <c r="F2450" i="14"/>
  <c r="B2450" i="14"/>
  <c r="F2449" i="14"/>
  <c r="B2449" i="14"/>
  <c r="F2448" i="14"/>
  <c r="B2448" i="14"/>
  <c r="F2447" i="14"/>
  <c r="B2447" i="14"/>
  <c r="F2446" i="14"/>
  <c r="B2446" i="14"/>
  <c r="F2445" i="14"/>
  <c r="B2445" i="14"/>
  <c r="F2444" i="14"/>
  <c r="B2444" i="14"/>
  <c r="F2443" i="14"/>
  <c r="B2443" i="14"/>
  <c r="F2442" i="14"/>
  <c r="B2442" i="14"/>
  <c r="F2441" i="14"/>
  <c r="B2441" i="14"/>
  <c r="F2440" i="14"/>
  <c r="B2440" i="14"/>
  <c r="F2439" i="14"/>
  <c r="B2439" i="14"/>
  <c r="F2438" i="14"/>
  <c r="B2438" i="14"/>
  <c r="F2437" i="14"/>
  <c r="B2437" i="14"/>
  <c r="F2436" i="14"/>
  <c r="B2436" i="14"/>
  <c r="F2435" i="14"/>
  <c r="B2435" i="14"/>
  <c r="F2434" i="14"/>
  <c r="B2434" i="14"/>
  <c r="F2433" i="14"/>
  <c r="B2433" i="14"/>
  <c r="F2432" i="14"/>
  <c r="B2432" i="14"/>
  <c r="F2431" i="14"/>
  <c r="B2431" i="14"/>
  <c r="F2430" i="14"/>
  <c r="B2430" i="14"/>
  <c r="F2429" i="14"/>
  <c r="B2429" i="14"/>
  <c r="F2428" i="14"/>
  <c r="B2428" i="14"/>
  <c r="F2427" i="14"/>
  <c r="B2427" i="14"/>
  <c r="F2426" i="14"/>
  <c r="B2426" i="14"/>
  <c r="F2425" i="14"/>
  <c r="B2425" i="14"/>
  <c r="F2424" i="14"/>
  <c r="B2424" i="14"/>
  <c r="F2423" i="14"/>
  <c r="B2423" i="14"/>
  <c r="F2422" i="14"/>
  <c r="B2422" i="14"/>
  <c r="F2421" i="14"/>
  <c r="B2421" i="14"/>
  <c r="F2420" i="14"/>
  <c r="B2420" i="14"/>
  <c r="F2419" i="14"/>
  <c r="B2419" i="14"/>
  <c r="F2418" i="14"/>
  <c r="B2418" i="14"/>
  <c r="F2417" i="14"/>
  <c r="B2417" i="14"/>
  <c r="F2416" i="14"/>
  <c r="B2416" i="14"/>
  <c r="F2415" i="14"/>
  <c r="B2415" i="14"/>
  <c r="F2414" i="14"/>
  <c r="B2414" i="14"/>
  <c r="F2413" i="14"/>
  <c r="B2413" i="14"/>
  <c r="F2412" i="14"/>
  <c r="B2412" i="14"/>
  <c r="F2411" i="14"/>
  <c r="B2411" i="14"/>
  <c r="F2410" i="14"/>
  <c r="B2410" i="14"/>
  <c r="F2409" i="14"/>
  <c r="B2409" i="14"/>
  <c r="F2408" i="14"/>
  <c r="B2408" i="14"/>
  <c r="F2407" i="14"/>
  <c r="B2407" i="14"/>
  <c r="F2406" i="14"/>
  <c r="B2406" i="14"/>
  <c r="F2405" i="14"/>
  <c r="B2405" i="14"/>
  <c r="F2404" i="14"/>
  <c r="B2404" i="14"/>
  <c r="F2403" i="14"/>
  <c r="B2403" i="14"/>
  <c r="F2402" i="14"/>
  <c r="B2402" i="14"/>
  <c r="F2401" i="14"/>
  <c r="B2401" i="14"/>
  <c r="F2400" i="14"/>
  <c r="B2400" i="14"/>
  <c r="F2399" i="14"/>
  <c r="B2399" i="14"/>
  <c r="F2398" i="14"/>
  <c r="B2398" i="14"/>
  <c r="F2397" i="14"/>
  <c r="B2397" i="14"/>
  <c r="F2396" i="14"/>
  <c r="B2396" i="14"/>
  <c r="F2395" i="14"/>
  <c r="B2395" i="14"/>
  <c r="F2394" i="14"/>
  <c r="B2394" i="14"/>
  <c r="F2393" i="14"/>
  <c r="B2393" i="14"/>
  <c r="F2392" i="14"/>
  <c r="B2392" i="14"/>
  <c r="F2391" i="14"/>
  <c r="B2391" i="14"/>
  <c r="F2390" i="14"/>
  <c r="B2390" i="14"/>
  <c r="F2389" i="14"/>
  <c r="B2389" i="14"/>
  <c r="F2388" i="14"/>
  <c r="B2388" i="14"/>
  <c r="F2387" i="14"/>
  <c r="B2387" i="14"/>
  <c r="F2386" i="14"/>
  <c r="B2386" i="14"/>
  <c r="F2385" i="14"/>
  <c r="B2385" i="14"/>
  <c r="F2384" i="14"/>
  <c r="B2384" i="14"/>
  <c r="F2383" i="14"/>
  <c r="B2383" i="14"/>
  <c r="F2382" i="14"/>
  <c r="B2382" i="14"/>
  <c r="F2381" i="14"/>
  <c r="B2381" i="14"/>
  <c r="F2380" i="14"/>
  <c r="B2380" i="14"/>
  <c r="F2379" i="14"/>
  <c r="B2379" i="14"/>
  <c r="F2378" i="14"/>
  <c r="B2378" i="14"/>
  <c r="F2377" i="14"/>
  <c r="B2377" i="14"/>
  <c r="F2376" i="14"/>
  <c r="B2376" i="14"/>
  <c r="F2375" i="14"/>
  <c r="B2375" i="14"/>
  <c r="F2374" i="14"/>
  <c r="B2374" i="14"/>
  <c r="F2373" i="14"/>
  <c r="B2373" i="14"/>
  <c r="F2372" i="14"/>
  <c r="B2372" i="14"/>
  <c r="F2371" i="14"/>
  <c r="B2371" i="14"/>
  <c r="F2370" i="14"/>
  <c r="B2370" i="14"/>
  <c r="F2369" i="14"/>
  <c r="B2369" i="14"/>
  <c r="F2368" i="14"/>
  <c r="B2368" i="14"/>
  <c r="F2367" i="14"/>
  <c r="B2367" i="14"/>
  <c r="F2366" i="14"/>
  <c r="B2366" i="14"/>
  <c r="F2365" i="14"/>
  <c r="B2365" i="14"/>
  <c r="F2364" i="14"/>
  <c r="B2364" i="14"/>
  <c r="F2363" i="14"/>
  <c r="B2363" i="14"/>
  <c r="F2362" i="14"/>
  <c r="B2362" i="14"/>
  <c r="F2361" i="14"/>
  <c r="B2361" i="14"/>
  <c r="F2360" i="14"/>
  <c r="B2360" i="14"/>
  <c r="F2359" i="14"/>
  <c r="B2359" i="14"/>
  <c r="F2358" i="14"/>
  <c r="B2358" i="14"/>
  <c r="F2357" i="14"/>
  <c r="B2357" i="14"/>
  <c r="F2356" i="14"/>
  <c r="B2356" i="14"/>
  <c r="F2355" i="14"/>
  <c r="B2355" i="14"/>
  <c r="F2354" i="14"/>
  <c r="B2354" i="14"/>
  <c r="F2353" i="14"/>
  <c r="B2353" i="14"/>
  <c r="F2352" i="14"/>
  <c r="B2352" i="14"/>
  <c r="F2351" i="14"/>
  <c r="B2351" i="14"/>
  <c r="F2350" i="14"/>
  <c r="B2350" i="14"/>
  <c r="F2349" i="14"/>
  <c r="B2349" i="14"/>
  <c r="F2348" i="14"/>
  <c r="B2348" i="14"/>
  <c r="F2347" i="14"/>
  <c r="B2347" i="14"/>
  <c r="F2346" i="14"/>
  <c r="B2346" i="14"/>
  <c r="F2345" i="14"/>
  <c r="B2345" i="14"/>
  <c r="F2344" i="14"/>
  <c r="B2344" i="14"/>
  <c r="F2343" i="14"/>
  <c r="B2343" i="14"/>
  <c r="F2342" i="14"/>
  <c r="B2342" i="14"/>
  <c r="F2341" i="14"/>
  <c r="B2341" i="14"/>
  <c r="F2340" i="14"/>
  <c r="B2340" i="14"/>
  <c r="F2339" i="14"/>
  <c r="B2339" i="14"/>
  <c r="F2338" i="14"/>
  <c r="B2338" i="14"/>
  <c r="F2337" i="14"/>
  <c r="B2337" i="14"/>
  <c r="F2336" i="14"/>
  <c r="B2336" i="14"/>
  <c r="F2335" i="14"/>
  <c r="B2335" i="14"/>
  <c r="F2334" i="14"/>
  <c r="B2334" i="14"/>
  <c r="F2333" i="14"/>
  <c r="B2333" i="14"/>
  <c r="F2332" i="14"/>
  <c r="B2332" i="14"/>
  <c r="F2331" i="14"/>
  <c r="B2331" i="14"/>
  <c r="F2330" i="14"/>
  <c r="B2330" i="14"/>
  <c r="F2329" i="14"/>
  <c r="B2329" i="14"/>
  <c r="F2328" i="14"/>
  <c r="B2328" i="14"/>
  <c r="F2327" i="14"/>
  <c r="B2327" i="14"/>
  <c r="F2326" i="14"/>
  <c r="B2326" i="14"/>
  <c r="F2325" i="14"/>
  <c r="B2325" i="14"/>
  <c r="F2324" i="14"/>
  <c r="B2324" i="14"/>
  <c r="F2323" i="14"/>
  <c r="B2323" i="14"/>
  <c r="F2322" i="14"/>
  <c r="B2322" i="14"/>
  <c r="F2321" i="14"/>
  <c r="B2321" i="14"/>
  <c r="F2320" i="14"/>
  <c r="B2320" i="14"/>
  <c r="F2319" i="14"/>
  <c r="B2319" i="14"/>
  <c r="F2318" i="14"/>
  <c r="B2318" i="14"/>
  <c r="F2317" i="14"/>
  <c r="B2317" i="14"/>
  <c r="F2316" i="14"/>
  <c r="B2316" i="14"/>
  <c r="F2315" i="14"/>
  <c r="B2315" i="14"/>
  <c r="F2314" i="14"/>
  <c r="B2314" i="14"/>
  <c r="F2313" i="14"/>
  <c r="B2313" i="14"/>
  <c r="F2312" i="14"/>
  <c r="B2312" i="14"/>
  <c r="F2311" i="14"/>
  <c r="B2311" i="14"/>
  <c r="F2310" i="14"/>
  <c r="B2310" i="14"/>
  <c r="F2309" i="14"/>
  <c r="B2309" i="14"/>
  <c r="F2308" i="14"/>
  <c r="B2308" i="14"/>
  <c r="F2307" i="14"/>
  <c r="B2307" i="14"/>
  <c r="F2306" i="14"/>
  <c r="B2306" i="14"/>
  <c r="F2305" i="14"/>
  <c r="B2305" i="14"/>
  <c r="F2304" i="14"/>
  <c r="B2304" i="14"/>
  <c r="F2303" i="14"/>
  <c r="B2303" i="14"/>
  <c r="F2302" i="14"/>
  <c r="B2302" i="14"/>
  <c r="F2301" i="14"/>
  <c r="B2301" i="14"/>
  <c r="F2300" i="14"/>
  <c r="B2300" i="14"/>
  <c r="F2299" i="14"/>
  <c r="B2299" i="14"/>
  <c r="F2298" i="14"/>
  <c r="B2298" i="14"/>
  <c r="F2297" i="14"/>
  <c r="B2297" i="14"/>
  <c r="F2296" i="14"/>
  <c r="B2296" i="14"/>
  <c r="F2295" i="14"/>
  <c r="B2295" i="14"/>
  <c r="F2294" i="14"/>
  <c r="B2294" i="14"/>
  <c r="F2293" i="14"/>
  <c r="B2293" i="14"/>
  <c r="F2292" i="14"/>
  <c r="B2292" i="14"/>
  <c r="F2291" i="14"/>
  <c r="B2291" i="14"/>
  <c r="F2290" i="14"/>
  <c r="B2290" i="14"/>
  <c r="F2289" i="14"/>
  <c r="B2289" i="14"/>
  <c r="F2288" i="14"/>
  <c r="B2288" i="14"/>
  <c r="F2287" i="14"/>
  <c r="B2287" i="14"/>
  <c r="F2286" i="14"/>
  <c r="B2286" i="14"/>
  <c r="F2285" i="14"/>
  <c r="B2285" i="14"/>
  <c r="F2284" i="14"/>
  <c r="B2284" i="14"/>
  <c r="F2283" i="14"/>
  <c r="B2283" i="14"/>
  <c r="F2282" i="14"/>
  <c r="B2282" i="14"/>
  <c r="F2281" i="14"/>
  <c r="B2281" i="14"/>
  <c r="F2280" i="14"/>
  <c r="B2280" i="14"/>
  <c r="F2279" i="14"/>
  <c r="B2279" i="14"/>
  <c r="F2278" i="14"/>
  <c r="B2278" i="14"/>
  <c r="F2277" i="14"/>
  <c r="B2277" i="14"/>
  <c r="F2276" i="14"/>
  <c r="B2276" i="14"/>
  <c r="F2275" i="14"/>
  <c r="B2275" i="14"/>
  <c r="F2274" i="14"/>
  <c r="B2274" i="14"/>
  <c r="F2273" i="14"/>
  <c r="B2273" i="14"/>
  <c r="F2272" i="14"/>
  <c r="B2272" i="14"/>
  <c r="F2271" i="14"/>
  <c r="B2271" i="14"/>
  <c r="F2270" i="14"/>
  <c r="B2270" i="14"/>
  <c r="F2269" i="14"/>
  <c r="B2269" i="14"/>
  <c r="F2268" i="14"/>
  <c r="B2268" i="14"/>
  <c r="F2267" i="14"/>
  <c r="B2267" i="14"/>
  <c r="F2266" i="14"/>
  <c r="B2266" i="14"/>
  <c r="F2265" i="14"/>
  <c r="B2265" i="14"/>
  <c r="F2264" i="14"/>
  <c r="B2264" i="14"/>
  <c r="F2263" i="14"/>
  <c r="B2263" i="14"/>
  <c r="F2262" i="14"/>
  <c r="B2262" i="14"/>
  <c r="F2261" i="14"/>
  <c r="B2261" i="14"/>
  <c r="F2260" i="14"/>
  <c r="B2260" i="14"/>
  <c r="F2259" i="14"/>
  <c r="B2259" i="14"/>
  <c r="F2258" i="14"/>
  <c r="B2258" i="14"/>
  <c r="F2257" i="14"/>
  <c r="B2257" i="14"/>
  <c r="F2256" i="14"/>
  <c r="B2256" i="14"/>
  <c r="F2255" i="14"/>
  <c r="B2255" i="14"/>
  <c r="F2254" i="14"/>
  <c r="B2254" i="14"/>
  <c r="F2253" i="14"/>
  <c r="B2253" i="14"/>
  <c r="F2252" i="14"/>
  <c r="B2252" i="14"/>
  <c r="F2251" i="14"/>
  <c r="B2251" i="14"/>
  <c r="F2250" i="14"/>
  <c r="B2250" i="14"/>
  <c r="F2249" i="14"/>
  <c r="B2249" i="14"/>
  <c r="F2248" i="14"/>
  <c r="B2248" i="14"/>
  <c r="F2247" i="14"/>
  <c r="B2247" i="14"/>
  <c r="F2246" i="14"/>
  <c r="B2246" i="14"/>
  <c r="F2245" i="14"/>
  <c r="B2245" i="14"/>
  <c r="F2244" i="14"/>
  <c r="B2244" i="14"/>
  <c r="F2243" i="14"/>
  <c r="B2243" i="14"/>
  <c r="F2242" i="14"/>
  <c r="B2242" i="14"/>
  <c r="F2241" i="14"/>
  <c r="B2241" i="14"/>
  <c r="F2240" i="14"/>
  <c r="B2240" i="14"/>
  <c r="F2239" i="14"/>
  <c r="B2239" i="14"/>
  <c r="F2238" i="14"/>
  <c r="B2238" i="14"/>
  <c r="F2237" i="14"/>
  <c r="B2237" i="14"/>
  <c r="F2236" i="14"/>
  <c r="B2236" i="14"/>
  <c r="F2235" i="14"/>
  <c r="B2235" i="14"/>
  <c r="F2234" i="14"/>
  <c r="B2234" i="14"/>
  <c r="F2233" i="14"/>
  <c r="B2233" i="14"/>
  <c r="F2232" i="14"/>
  <c r="B2232" i="14"/>
  <c r="F2231" i="14"/>
  <c r="B2231" i="14"/>
  <c r="F2230" i="14"/>
  <c r="B2230" i="14"/>
  <c r="F2229" i="14"/>
  <c r="B2229" i="14"/>
  <c r="F2228" i="14"/>
  <c r="B2228" i="14"/>
  <c r="F2227" i="14"/>
  <c r="B2227" i="14"/>
  <c r="F2226" i="14"/>
  <c r="B2226" i="14"/>
  <c r="F2225" i="14"/>
  <c r="B2225" i="14"/>
  <c r="F2224" i="14"/>
  <c r="B2224" i="14"/>
  <c r="F2223" i="14"/>
  <c r="B2223" i="14"/>
  <c r="F2222" i="14"/>
  <c r="B2222" i="14"/>
  <c r="F2221" i="14"/>
  <c r="B2221" i="14"/>
  <c r="F2220" i="14"/>
  <c r="B2220" i="14"/>
  <c r="F2219" i="14"/>
  <c r="B2219" i="14"/>
  <c r="F2218" i="14"/>
  <c r="B2218" i="14"/>
  <c r="F2217" i="14"/>
  <c r="B2217" i="14"/>
  <c r="F2216" i="14"/>
  <c r="B2216" i="14"/>
  <c r="F2215" i="14"/>
  <c r="B2215" i="14"/>
  <c r="F2214" i="14"/>
  <c r="B2214" i="14"/>
  <c r="F2213" i="14"/>
  <c r="B2213" i="14"/>
  <c r="F2212" i="14"/>
  <c r="B2212" i="14"/>
  <c r="F2211" i="14"/>
  <c r="B2211" i="14"/>
  <c r="F2210" i="14"/>
  <c r="B2210" i="14"/>
  <c r="F2209" i="14"/>
  <c r="B2209" i="14"/>
  <c r="F2208" i="14"/>
  <c r="B2208" i="14"/>
  <c r="F2207" i="14"/>
  <c r="B2207" i="14"/>
  <c r="F2206" i="14"/>
  <c r="B2206" i="14"/>
  <c r="F2205" i="14"/>
  <c r="B2205" i="14"/>
  <c r="F2204" i="14"/>
  <c r="B2204" i="14"/>
  <c r="F2203" i="14"/>
  <c r="B2203" i="14"/>
  <c r="F2202" i="14"/>
  <c r="B2202" i="14"/>
  <c r="F2201" i="14"/>
  <c r="B2201" i="14"/>
  <c r="F2200" i="14"/>
  <c r="B2200" i="14"/>
  <c r="F2199" i="14"/>
  <c r="B2199" i="14"/>
  <c r="F2198" i="14"/>
  <c r="B2198" i="14"/>
  <c r="F2197" i="14"/>
  <c r="B2197" i="14"/>
  <c r="F2196" i="14"/>
  <c r="B2196" i="14"/>
  <c r="F2195" i="14"/>
  <c r="B2195" i="14"/>
  <c r="F2194" i="14"/>
  <c r="B2194" i="14"/>
  <c r="F2193" i="14"/>
  <c r="B2193" i="14"/>
  <c r="F2192" i="14"/>
  <c r="B2192" i="14"/>
  <c r="F2191" i="14"/>
  <c r="B2191" i="14"/>
  <c r="F2190" i="14"/>
  <c r="B2190" i="14"/>
  <c r="F2189" i="14"/>
  <c r="B2189" i="14"/>
  <c r="F2188" i="14"/>
  <c r="B2188" i="14"/>
  <c r="F2187" i="14"/>
  <c r="B2187" i="14"/>
  <c r="F2186" i="14"/>
  <c r="B2186" i="14"/>
  <c r="F2185" i="14"/>
  <c r="B2185" i="14"/>
  <c r="F2184" i="14"/>
  <c r="B2184" i="14"/>
  <c r="F2183" i="14"/>
  <c r="B2183" i="14"/>
  <c r="F2182" i="14"/>
  <c r="B2182" i="14"/>
  <c r="F2181" i="14"/>
  <c r="B2181" i="14"/>
  <c r="F2180" i="14"/>
  <c r="B2180" i="14"/>
  <c r="F2179" i="14"/>
  <c r="B2179" i="14"/>
  <c r="F2178" i="14"/>
  <c r="B2178" i="14"/>
  <c r="F2177" i="14"/>
  <c r="B2177" i="14"/>
  <c r="F2176" i="14"/>
  <c r="B2176" i="14"/>
  <c r="F2175" i="14"/>
  <c r="B2175" i="14"/>
  <c r="F2174" i="14"/>
  <c r="B2174" i="14"/>
  <c r="F2173" i="14"/>
  <c r="B2173" i="14"/>
  <c r="F2172" i="14"/>
  <c r="B2172" i="14"/>
  <c r="F2171" i="14"/>
  <c r="B2171" i="14"/>
  <c r="F2170" i="14"/>
  <c r="B2170" i="14"/>
  <c r="F2169" i="14"/>
  <c r="B2169" i="14"/>
  <c r="F2168" i="14"/>
  <c r="B2168" i="14"/>
  <c r="F2167" i="14"/>
  <c r="B2167" i="14"/>
  <c r="F2166" i="14"/>
  <c r="B2166" i="14"/>
  <c r="F2165" i="14"/>
  <c r="B2165" i="14"/>
  <c r="F2164" i="14"/>
  <c r="B2164" i="14"/>
  <c r="F2163" i="14"/>
  <c r="B2163" i="14"/>
  <c r="F2162" i="14"/>
  <c r="B2162" i="14"/>
  <c r="F2161" i="14"/>
  <c r="B2161" i="14"/>
  <c r="F2160" i="14"/>
  <c r="B2160" i="14"/>
  <c r="F2159" i="14"/>
  <c r="B2159" i="14"/>
  <c r="F2158" i="14"/>
  <c r="B2158" i="14"/>
  <c r="F2157" i="14"/>
  <c r="B2157" i="14"/>
  <c r="F2156" i="14"/>
  <c r="B2156" i="14"/>
  <c r="F2155" i="14"/>
  <c r="B2155" i="14"/>
  <c r="F2154" i="14"/>
  <c r="B2154" i="14"/>
  <c r="F2153" i="14"/>
  <c r="B2153" i="14"/>
  <c r="F2152" i="14"/>
  <c r="B2152" i="14"/>
  <c r="F2151" i="14"/>
  <c r="B2151" i="14"/>
  <c r="F2150" i="14"/>
  <c r="B2150" i="14"/>
  <c r="F2149" i="14"/>
  <c r="B2149" i="14"/>
  <c r="F2148" i="14"/>
  <c r="B2148" i="14"/>
  <c r="F2147" i="14"/>
  <c r="B2147" i="14"/>
  <c r="F2146" i="14"/>
  <c r="B2146" i="14"/>
  <c r="F2145" i="14"/>
  <c r="B2145" i="14"/>
  <c r="F2144" i="14"/>
  <c r="B2144" i="14"/>
  <c r="F2143" i="14"/>
  <c r="B2143" i="14"/>
  <c r="F2142" i="14"/>
  <c r="B2142" i="14"/>
  <c r="F2141" i="14"/>
  <c r="B2141" i="14"/>
  <c r="F2140" i="14"/>
  <c r="B2140" i="14"/>
  <c r="F2139" i="14"/>
  <c r="B2139" i="14"/>
  <c r="F2138" i="14"/>
  <c r="B2138" i="14"/>
  <c r="F2137" i="14"/>
  <c r="B2137" i="14"/>
  <c r="F2136" i="14"/>
  <c r="B2136" i="14"/>
  <c r="F2135" i="14"/>
  <c r="B2135" i="14"/>
  <c r="F2134" i="14"/>
  <c r="B2134" i="14"/>
  <c r="F2133" i="14"/>
  <c r="B2133" i="14"/>
  <c r="F2132" i="14"/>
  <c r="B2132" i="14"/>
  <c r="F2131" i="14"/>
  <c r="B2131" i="14"/>
  <c r="F2130" i="14"/>
  <c r="B2130" i="14"/>
  <c r="F2129" i="14"/>
  <c r="B2129" i="14"/>
  <c r="F2128" i="14"/>
  <c r="B2128" i="14"/>
  <c r="F2127" i="14"/>
  <c r="B2127" i="14"/>
  <c r="F2126" i="14"/>
  <c r="B2126" i="14"/>
  <c r="F2125" i="14"/>
  <c r="B2125" i="14"/>
  <c r="F2124" i="14"/>
  <c r="B2124" i="14"/>
  <c r="F2123" i="14"/>
  <c r="B2123" i="14"/>
  <c r="F2122" i="14"/>
  <c r="B2122" i="14"/>
  <c r="F2121" i="14"/>
  <c r="B2121" i="14"/>
  <c r="F2120" i="14"/>
  <c r="B2120" i="14"/>
  <c r="F2119" i="14"/>
  <c r="B2119" i="14"/>
  <c r="F2118" i="14"/>
  <c r="B2118" i="14"/>
  <c r="F2117" i="14"/>
  <c r="B2117" i="14"/>
  <c r="F2116" i="14"/>
  <c r="B2116" i="14"/>
  <c r="F2115" i="14"/>
  <c r="B2115" i="14"/>
  <c r="F2114" i="14"/>
  <c r="B2114" i="14"/>
  <c r="F2113" i="14"/>
  <c r="B2113" i="14"/>
  <c r="F2112" i="14"/>
  <c r="B2112" i="14"/>
  <c r="F2111" i="14"/>
  <c r="B2111" i="14"/>
  <c r="F2110" i="14"/>
  <c r="B2110" i="14"/>
  <c r="F2109" i="14"/>
  <c r="B2109" i="14"/>
  <c r="F2108" i="14"/>
  <c r="B2108" i="14"/>
  <c r="F2107" i="14"/>
  <c r="B2107" i="14"/>
  <c r="F2106" i="14"/>
  <c r="B2106" i="14"/>
  <c r="F2105" i="14"/>
  <c r="B2105" i="14"/>
  <c r="F2104" i="14"/>
  <c r="B2104" i="14"/>
  <c r="F2103" i="14"/>
  <c r="B2103" i="14"/>
  <c r="F2102" i="14"/>
  <c r="B2102" i="14"/>
  <c r="F2101" i="14"/>
  <c r="B2101" i="14"/>
  <c r="F2100" i="14"/>
  <c r="B2100" i="14"/>
  <c r="F2099" i="14"/>
  <c r="B2099" i="14"/>
  <c r="F2098" i="14"/>
  <c r="B2098" i="14"/>
  <c r="F2097" i="14"/>
  <c r="B2097" i="14"/>
  <c r="F2096" i="14"/>
  <c r="B2096" i="14"/>
  <c r="F2095" i="14"/>
  <c r="B2095" i="14"/>
  <c r="F2094" i="14"/>
  <c r="B2094" i="14"/>
  <c r="F2093" i="14"/>
  <c r="B2093" i="14"/>
  <c r="F2092" i="14"/>
  <c r="B2092" i="14"/>
  <c r="F2091" i="14"/>
  <c r="B2091" i="14"/>
  <c r="F2090" i="14"/>
  <c r="B2090" i="14"/>
  <c r="F2089" i="14"/>
  <c r="B2089" i="14"/>
  <c r="F2088" i="14"/>
  <c r="B2088" i="14"/>
  <c r="F2087" i="14"/>
  <c r="B2087" i="14"/>
  <c r="F2086" i="14"/>
  <c r="B2086" i="14"/>
  <c r="F2085" i="14"/>
  <c r="B2085" i="14"/>
  <c r="F2084" i="14"/>
  <c r="B2084" i="14"/>
  <c r="F2083" i="14"/>
  <c r="B2083" i="14"/>
  <c r="F2082" i="14"/>
  <c r="B2082" i="14"/>
  <c r="F2081" i="14"/>
  <c r="B2081" i="14"/>
  <c r="F2080" i="14"/>
  <c r="B2080" i="14"/>
  <c r="F2079" i="14"/>
  <c r="B2079" i="14"/>
  <c r="F2078" i="14"/>
  <c r="B2078" i="14"/>
  <c r="F2077" i="14"/>
  <c r="B2077" i="14"/>
  <c r="F2076" i="14"/>
  <c r="B2076" i="14"/>
  <c r="F2075" i="14"/>
  <c r="B2075" i="14"/>
  <c r="F2074" i="14"/>
  <c r="B2074" i="14"/>
  <c r="F2073" i="14"/>
  <c r="B2073" i="14"/>
  <c r="F2072" i="14"/>
  <c r="B2072" i="14"/>
  <c r="F2071" i="14"/>
  <c r="B2071" i="14"/>
  <c r="F2070" i="14"/>
  <c r="B2070" i="14"/>
  <c r="F2069" i="14"/>
  <c r="B2069" i="14"/>
  <c r="F2068" i="14"/>
  <c r="B2068" i="14"/>
  <c r="F2067" i="14"/>
  <c r="B2067" i="14"/>
  <c r="F2066" i="14"/>
  <c r="B2066" i="14"/>
  <c r="F2065" i="14"/>
  <c r="B2065" i="14"/>
  <c r="F2064" i="14"/>
  <c r="B2064" i="14"/>
  <c r="F2063" i="14"/>
  <c r="B2063" i="14"/>
  <c r="F2062" i="14"/>
  <c r="B2062" i="14"/>
  <c r="F2061" i="14"/>
  <c r="B2061" i="14"/>
  <c r="F2060" i="14"/>
  <c r="B2060" i="14"/>
  <c r="F2059" i="14"/>
  <c r="B2059" i="14"/>
  <c r="F2058" i="14"/>
  <c r="B2058" i="14"/>
  <c r="F2057" i="14"/>
  <c r="B2057" i="14"/>
  <c r="F2056" i="14"/>
  <c r="B2056" i="14"/>
  <c r="F2055" i="14"/>
  <c r="B2055" i="14"/>
  <c r="F2054" i="14"/>
  <c r="B2054" i="14"/>
  <c r="F2053" i="14"/>
  <c r="B2053" i="14"/>
  <c r="F2052" i="14"/>
  <c r="B2052" i="14"/>
  <c r="F2051" i="14"/>
  <c r="B2051" i="14"/>
  <c r="F2050" i="14"/>
  <c r="B2050" i="14"/>
  <c r="F2049" i="14"/>
  <c r="B2049" i="14"/>
  <c r="F2048" i="14"/>
  <c r="B2048" i="14"/>
  <c r="F2047" i="14"/>
  <c r="B2047" i="14"/>
  <c r="F2046" i="14"/>
  <c r="B2046" i="14"/>
  <c r="F2045" i="14"/>
  <c r="B2045" i="14"/>
  <c r="F2044" i="14"/>
  <c r="B2044" i="14"/>
  <c r="F2043" i="14"/>
  <c r="B2043" i="14"/>
  <c r="F2042" i="14"/>
  <c r="B2042" i="14"/>
  <c r="F2041" i="14"/>
  <c r="B2041" i="14"/>
  <c r="F2040" i="14"/>
  <c r="B2040" i="14"/>
  <c r="F2039" i="14"/>
  <c r="B2039" i="14"/>
  <c r="F2038" i="14"/>
  <c r="B2038" i="14"/>
  <c r="F2037" i="14"/>
  <c r="B2037" i="14"/>
  <c r="F2036" i="14"/>
  <c r="B2036" i="14"/>
  <c r="F2035" i="14"/>
  <c r="B2035" i="14"/>
  <c r="F2034" i="14"/>
  <c r="B2034" i="14"/>
  <c r="F2033" i="14"/>
  <c r="B2033" i="14"/>
  <c r="F2032" i="14"/>
  <c r="B2032" i="14"/>
  <c r="F2031" i="14"/>
  <c r="B2031" i="14"/>
  <c r="F2030" i="14"/>
  <c r="B2030" i="14"/>
  <c r="F2029" i="14"/>
  <c r="B2029" i="14"/>
  <c r="F2028" i="14"/>
  <c r="B2028" i="14"/>
  <c r="F2027" i="14"/>
  <c r="B2027" i="14"/>
  <c r="F2026" i="14"/>
  <c r="B2026" i="14"/>
  <c r="F2025" i="14"/>
  <c r="B2025" i="14"/>
  <c r="F2024" i="14"/>
  <c r="B2024" i="14"/>
  <c r="F2023" i="14"/>
  <c r="B2023" i="14"/>
  <c r="F2022" i="14"/>
  <c r="B2022" i="14"/>
  <c r="F2021" i="14"/>
  <c r="B2021" i="14"/>
  <c r="F2020" i="14"/>
  <c r="B2020" i="14"/>
  <c r="F2019" i="14"/>
  <c r="B2019" i="14"/>
  <c r="F2018" i="14"/>
  <c r="B2018" i="14"/>
  <c r="F2017" i="14"/>
  <c r="B2017" i="14"/>
  <c r="F2016" i="14"/>
  <c r="B2016" i="14"/>
  <c r="F2015" i="14"/>
  <c r="B2015" i="14"/>
  <c r="F2014" i="14"/>
  <c r="B2014" i="14"/>
  <c r="F2013" i="14"/>
  <c r="B2013" i="14"/>
  <c r="F2012" i="14"/>
  <c r="B2012" i="14"/>
  <c r="F2011" i="14"/>
  <c r="B2011" i="14"/>
  <c r="F2010" i="14"/>
  <c r="B2010" i="14"/>
  <c r="F2009" i="14"/>
  <c r="B2009" i="14"/>
  <c r="F2008" i="14"/>
  <c r="B2008" i="14"/>
  <c r="F2007" i="14"/>
  <c r="B2007" i="14"/>
  <c r="F2006" i="14"/>
  <c r="B2006" i="14"/>
  <c r="F2005" i="14"/>
  <c r="B2005" i="14"/>
  <c r="F2004" i="14"/>
  <c r="B2004" i="14"/>
  <c r="F2003" i="14"/>
  <c r="B2003" i="14"/>
  <c r="F2002" i="14"/>
  <c r="B2002" i="14"/>
  <c r="F2001" i="14"/>
  <c r="B2001" i="14"/>
  <c r="F2000" i="14"/>
  <c r="B2000" i="14"/>
  <c r="F1999" i="14"/>
  <c r="B1999" i="14"/>
  <c r="F1998" i="14"/>
  <c r="B1998" i="14"/>
  <c r="F1997" i="14"/>
  <c r="B1997" i="14"/>
  <c r="F1996" i="14"/>
  <c r="B1996" i="14"/>
  <c r="F1995" i="14"/>
  <c r="B1995" i="14"/>
  <c r="F1994" i="14"/>
  <c r="B1994" i="14"/>
  <c r="F1993" i="14"/>
  <c r="B1993" i="14"/>
  <c r="F1992" i="14"/>
  <c r="B1992" i="14"/>
  <c r="F1991" i="14"/>
  <c r="B1991" i="14"/>
  <c r="F1990" i="14"/>
  <c r="B1990" i="14"/>
  <c r="F1989" i="14"/>
  <c r="B1989" i="14"/>
  <c r="F1988" i="14"/>
  <c r="B1988" i="14"/>
  <c r="F1987" i="14"/>
  <c r="B1987" i="14"/>
  <c r="F1986" i="14"/>
  <c r="B1986" i="14"/>
  <c r="F1985" i="14"/>
  <c r="B1985" i="14"/>
  <c r="F1984" i="14"/>
  <c r="B1984" i="14"/>
  <c r="F1983" i="14"/>
  <c r="B1983" i="14"/>
  <c r="F1982" i="14"/>
  <c r="B1982" i="14"/>
  <c r="F1981" i="14"/>
  <c r="B1981" i="14"/>
  <c r="F1980" i="14"/>
  <c r="B1980" i="14"/>
  <c r="F1979" i="14"/>
  <c r="B1979" i="14"/>
  <c r="F1978" i="14"/>
  <c r="B1978" i="14"/>
  <c r="F1977" i="14"/>
  <c r="B1977" i="14"/>
  <c r="F1976" i="14"/>
  <c r="B1976" i="14"/>
  <c r="F1975" i="14"/>
  <c r="B1975" i="14"/>
  <c r="F1974" i="14"/>
  <c r="B1974" i="14"/>
  <c r="F1973" i="14"/>
  <c r="B1973" i="14"/>
  <c r="F1972" i="14"/>
  <c r="B1972" i="14"/>
  <c r="F1971" i="14"/>
  <c r="B1971" i="14"/>
  <c r="F1970" i="14"/>
  <c r="B1970" i="14"/>
  <c r="F1969" i="14"/>
  <c r="B1969" i="14"/>
  <c r="F1968" i="14"/>
  <c r="B1968" i="14"/>
  <c r="F1967" i="14"/>
  <c r="B1967" i="14"/>
  <c r="F1966" i="14"/>
  <c r="B1966" i="14"/>
  <c r="F1965" i="14"/>
  <c r="B1965" i="14"/>
  <c r="F1964" i="14"/>
  <c r="B1964" i="14"/>
  <c r="F1963" i="14"/>
  <c r="B1963" i="14"/>
  <c r="F1962" i="14"/>
  <c r="B1962" i="14"/>
  <c r="F1961" i="14"/>
  <c r="B1961" i="14"/>
  <c r="F1960" i="14"/>
  <c r="B1960" i="14"/>
  <c r="F1959" i="14"/>
  <c r="B1959" i="14"/>
  <c r="F1958" i="14"/>
  <c r="B1958" i="14"/>
  <c r="F1957" i="14"/>
  <c r="B1957" i="14"/>
  <c r="F1956" i="14"/>
  <c r="B1956" i="14"/>
  <c r="F1955" i="14"/>
  <c r="B1955" i="14"/>
  <c r="F1954" i="14"/>
  <c r="B1954" i="14"/>
  <c r="F1953" i="14"/>
  <c r="B1953" i="14"/>
  <c r="F1952" i="14"/>
  <c r="B1952" i="14"/>
  <c r="F1951" i="14"/>
  <c r="B1951" i="14"/>
  <c r="F1950" i="14"/>
  <c r="B1950" i="14"/>
  <c r="F1949" i="14"/>
  <c r="B1949" i="14"/>
  <c r="F1948" i="14"/>
  <c r="B1948" i="14"/>
  <c r="F1947" i="14"/>
  <c r="B1947" i="14"/>
  <c r="F1946" i="14"/>
  <c r="B1946" i="14"/>
  <c r="F1945" i="14"/>
  <c r="B1945" i="14"/>
  <c r="F1944" i="14"/>
  <c r="B1944" i="14"/>
  <c r="F1943" i="14"/>
  <c r="B1943" i="14"/>
  <c r="F1942" i="14"/>
  <c r="B1942" i="14"/>
  <c r="F1941" i="14"/>
  <c r="B1941" i="14"/>
  <c r="F1940" i="14"/>
  <c r="B1940" i="14"/>
  <c r="F1939" i="14"/>
  <c r="B1939" i="14"/>
  <c r="F1938" i="14"/>
  <c r="B1938" i="14"/>
  <c r="F1937" i="14"/>
  <c r="B1937" i="14"/>
  <c r="F1936" i="14"/>
  <c r="B1936" i="14"/>
  <c r="F1935" i="14"/>
  <c r="B1935" i="14"/>
  <c r="F1934" i="14"/>
  <c r="B1934" i="14"/>
  <c r="F1933" i="14"/>
  <c r="B1933" i="14"/>
  <c r="F1932" i="14"/>
  <c r="B1932" i="14"/>
  <c r="F1931" i="14"/>
  <c r="B1931" i="14"/>
  <c r="F1930" i="14"/>
  <c r="B1930" i="14"/>
  <c r="F1929" i="14"/>
  <c r="B1929" i="14"/>
  <c r="F1928" i="14"/>
  <c r="B1928" i="14"/>
  <c r="F1927" i="14"/>
  <c r="B1927" i="14"/>
  <c r="F1926" i="14"/>
  <c r="B1926" i="14"/>
  <c r="F1925" i="14"/>
  <c r="B1925" i="14"/>
  <c r="F1924" i="14"/>
  <c r="B1924" i="14"/>
  <c r="F1923" i="14"/>
  <c r="B1923" i="14"/>
  <c r="F1922" i="14"/>
  <c r="B1922" i="14"/>
  <c r="F1921" i="14"/>
  <c r="B1921" i="14"/>
  <c r="F1920" i="14"/>
  <c r="B1920" i="14"/>
  <c r="F1919" i="14"/>
  <c r="B1919" i="14"/>
  <c r="F1918" i="14"/>
  <c r="B1918" i="14"/>
  <c r="F1917" i="14"/>
  <c r="B1917" i="14"/>
  <c r="F1916" i="14"/>
  <c r="B1916" i="14"/>
  <c r="F1915" i="14"/>
  <c r="B1915" i="14"/>
  <c r="F1914" i="14"/>
  <c r="B1914" i="14"/>
  <c r="F1913" i="14"/>
  <c r="B1913" i="14"/>
  <c r="F1912" i="14"/>
  <c r="B1912" i="14"/>
  <c r="F1911" i="14"/>
  <c r="B1911" i="14"/>
  <c r="F1910" i="14"/>
  <c r="B1910" i="14"/>
  <c r="F1909" i="14"/>
  <c r="B1909" i="14"/>
  <c r="F1908" i="14"/>
  <c r="B1908" i="14"/>
  <c r="F1907" i="14"/>
  <c r="B1907" i="14"/>
  <c r="F1906" i="14"/>
  <c r="B1906" i="14"/>
  <c r="F1905" i="14"/>
  <c r="B1905" i="14"/>
  <c r="F1904" i="14"/>
  <c r="B1904" i="14"/>
  <c r="F1903" i="14"/>
  <c r="B1903" i="14"/>
  <c r="F1902" i="14"/>
  <c r="B1902" i="14"/>
  <c r="F1901" i="14"/>
  <c r="B1901" i="14"/>
  <c r="F1900" i="14"/>
  <c r="B1900" i="14"/>
  <c r="F1899" i="14"/>
  <c r="B1899" i="14"/>
  <c r="F1898" i="14"/>
  <c r="B1898" i="14"/>
  <c r="F1897" i="14"/>
  <c r="B1897" i="14"/>
  <c r="F1896" i="14"/>
  <c r="B1896" i="14"/>
  <c r="F1895" i="14"/>
  <c r="B1895" i="14"/>
  <c r="F1894" i="14"/>
  <c r="B1894" i="14"/>
  <c r="F1893" i="14"/>
  <c r="B1893" i="14"/>
  <c r="F1892" i="14"/>
  <c r="B1892" i="14"/>
  <c r="F1891" i="14"/>
  <c r="B1891" i="14"/>
  <c r="F1890" i="14"/>
  <c r="B1890" i="14"/>
  <c r="F1889" i="14"/>
  <c r="B1889" i="14"/>
  <c r="F1888" i="14"/>
  <c r="B1888" i="14"/>
  <c r="F1887" i="14"/>
  <c r="B1887" i="14"/>
  <c r="F1886" i="14"/>
  <c r="B1886" i="14"/>
  <c r="F1885" i="14"/>
  <c r="B1885" i="14"/>
  <c r="F1884" i="14"/>
  <c r="B1884" i="14"/>
  <c r="F1883" i="14"/>
  <c r="B1883" i="14"/>
  <c r="F1882" i="14"/>
  <c r="B1882" i="14"/>
  <c r="F1881" i="14"/>
  <c r="B1881" i="14"/>
  <c r="F1880" i="14"/>
  <c r="B1880" i="14"/>
  <c r="F1879" i="14"/>
  <c r="B1879" i="14"/>
  <c r="F1878" i="14"/>
  <c r="B1878" i="14"/>
  <c r="F1877" i="14"/>
  <c r="B1877" i="14"/>
  <c r="F1876" i="14"/>
  <c r="B1876" i="14"/>
  <c r="F1875" i="14"/>
  <c r="B1875" i="14"/>
  <c r="F1874" i="14"/>
  <c r="B1874" i="14"/>
  <c r="F1873" i="14"/>
  <c r="B1873" i="14"/>
  <c r="F1872" i="14"/>
  <c r="B1872" i="14"/>
  <c r="F1871" i="14"/>
  <c r="B1871" i="14"/>
  <c r="F1870" i="14"/>
  <c r="B1870" i="14"/>
  <c r="F1869" i="14"/>
  <c r="B1869" i="14"/>
  <c r="F1868" i="14"/>
  <c r="B1868" i="14"/>
  <c r="F1867" i="14"/>
  <c r="B1867" i="14"/>
  <c r="F1866" i="14"/>
  <c r="B1866" i="14"/>
  <c r="F1865" i="14"/>
  <c r="B1865" i="14"/>
  <c r="F1864" i="14"/>
  <c r="B1864" i="14"/>
  <c r="F1863" i="14"/>
  <c r="B1863" i="14"/>
  <c r="F1862" i="14"/>
  <c r="B1862" i="14"/>
  <c r="F1861" i="14"/>
  <c r="B1861" i="14"/>
  <c r="F1860" i="14"/>
  <c r="B1860" i="14"/>
  <c r="F1859" i="14"/>
  <c r="B1859" i="14"/>
  <c r="F1858" i="14"/>
  <c r="B1858" i="14"/>
  <c r="F1857" i="14"/>
  <c r="B1857" i="14"/>
  <c r="F1856" i="14"/>
  <c r="B1856" i="14"/>
  <c r="F1855" i="14"/>
  <c r="B1855" i="14"/>
  <c r="F1854" i="14"/>
  <c r="B1854" i="14"/>
  <c r="F1853" i="14"/>
  <c r="B1853" i="14"/>
  <c r="F1852" i="14"/>
  <c r="B1852" i="14"/>
  <c r="F1851" i="14"/>
  <c r="B1851" i="14"/>
  <c r="F1850" i="14"/>
  <c r="B1850" i="14"/>
  <c r="F1849" i="14"/>
  <c r="B1849" i="14"/>
  <c r="F1848" i="14"/>
  <c r="B1848" i="14"/>
  <c r="F1847" i="14"/>
  <c r="B1847" i="14"/>
  <c r="F1846" i="14"/>
  <c r="B1846" i="14"/>
  <c r="F1845" i="14"/>
  <c r="B1845" i="14"/>
  <c r="F1844" i="14"/>
  <c r="B1844" i="14"/>
  <c r="F1843" i="14"/>
  <c r="B1843" i="14"/>
  <c r="F1842" i="14"/>
  <c r="B1842" i="14"/>
  <c r="F1841" i="14"/>
  <c r="B1841" i="14"/>
  <c r="F1840" i="14"/>
  <c r="B1840" i="14"/>
  <c r="F1839" i="14"/>
  <c r="B1839" i="14"/>
  <c r="F1838" i="14"/>
  <c r="B1838" i="14"/>
  <c r="F1837" i="14"/>
  <c r="B1837" i="14"/>
  <c r="F1836" i="14"/>
  <c r="B1836" i="14"/>
  <c r="F1835" i="14"/>
  <c r="B1835" i="14"/>
  <c r="F1834" i="14"/>
  <c r="B1834" i="14"/>
  <c r="F1833" i="14"/>
  <c r="B1833" i="14"/>
  <c r="F1832" i="14"/>
  <c r="B1832" i="14"/>
  <c r="F1831" i="14"/>
  <c r="B1831" i="14"/>
  <c r="F1830" i="14"/>
  <c r="B1830" i="14"/>
  <c r="F1829" i="14"/>
  <c r="B1829" i="14"/>
  <c r="F1828" i="14"/>
  <c r="B1828" i="14"/>
  <c r="F1827" i="14"/>
  <c r="B1827" i="14"/>
  <c r="F1826" i="14"/>
  <c r="B1826" i="14"/>
  <c r="F1825" i="14"/>
  <c r="B1825" i="14"/>
  <c r="F1824" i="14"/>
  <c r="B1824" i="14"/>
  <c r="F1823" i="14"/>
  <c r="B1823" i="14"/>
  <c r="F1822" i="14"/>
  <c r="B1822" i="14"/>
  <c r="F1821" i="14"/>
  <c r="B1821" i="14"/>
  <c r="F1820" i="14"/>
  <c r="B1820" i="14"/>
  <c r="F1819" i="14"/>
  <c r="B1819" i="14"/>
  <c r="F1818" i="14"/>
  <c r="B1818" i="14"/>
  <c r="F1817" i="14"/>
  <c r="B1817" i="14"/>
  <c r="F1816" i="14"/>
  <c r="B1816" i="14"/>
  <c r="F1815" i="14"/>
  <c r="B1815" i="14"/>
  <c r="F1814" i="14"/>
  <c r="B1814" i="14"/>
  <c r="F1813" i="14"/>
  <c r="B1813" i="14"/>
  <c r="F1812" i="14"/>
  <c r="B1812" i="14"/>
  <c r="F1811" i="14"/>
  <c r="B1811" i="14"/>
  <c r="F1810" i="14"/>
  <c r="B1810" i="14"/>
  <c r="F1809" i="14"/>
  <c r="B1809" i="14"/>
  <c r="F1808" i="14"/>
  <c r="B1808" i="14"/>
  <c r="F1807" i="14"/>
  <c r="B1807" i="14"/>
  <c r="F1806" i="14"/>
  <c r="B1806" i="14"/>
  <c r="F1805" i="14"/>
  <c r="B1805" i="14"/>
  <c r="F1804" i="14"/>
  <c r="B1804" i="14"/>
  <c r="F1803" i="14"/>
  <c r="B1803" i="14"/>
  <c r="F1802" i="14"/>
  <c r="B1802" i="14"/>
  <c r="F1801" i="14"/>
  <c r="B1801" i="14"/>
  <c r="F1800" i="14"/>
  <c r="B1800" i="14"/>
  <c r="F1799" i="14"/>
  <c r="B1799" i="14"/>
  <c r="F1798" i="14"/>
  <c r="B1798" i="14"/>
  <c r="F1797" i="14"/>
  <c r="B1797" i="14"/>
  <c r="F1796" i="14"/>
  <c r="B1796" i="14"/>
  <c r="F1795" i="14"/>
  <c r="B1795" i="14"/>
  <c r="F1794" i="14"/>
  <c r="B1794" i="14"/>
  <c r="F1793" i="14"/>
  <c r="B1793" i="14"/>
  <c r="F1792" i="14"/>
  <c r="B1792" i="14"/>
  <c r="F1791" i="14"/>
  <c r="B1791" i="14"/>
  <c r="F1790" i="14"/>
  <c r="B1790" i="14"/>
  <c r="F1789" i="14"/>
  <c r="B1789" i="14"/>
  <c r="F1788" i="14"/>
  <c r="B1788" i="14"/>
  <c r="F1787" i="14"/>
  <c r="B1787" i="14"/>
  <c r="F1786" i="14"/>
  <c r="B1786" i="14"/>
  <c r="F1785" i="14"/>
  <c r="B1785" i="14"/>
  <c r="F1784" i="14"/>
  <c r="B1784" i="14"/>
  <c r="F1783" i="14"/>
  <c r="B1783" i="14"/>
  <c r="F1782" i="14"/>
  <c r="B1782" i="14"/>
  <c r="F1781" i="14"/>
  <c r="B1781" i="14"/>
  <c r="F1780" i="14"/>
  <c r="B1780" i="14"/>
  <c r="F1779" i="14"/>
  <c r="B1779" i="14"/>
  <c r="F1778" i="14"/>
  <c r="B1778" i="14"/>
  <c r="F1777" i="14"/>
  <c r="B1777" i="14"/>
  <c r="F1776" i="14"/>
  <c r="B1776" i="14"/>
  <c r="F1775" i="14"/>
  <c r="B1775" i="14"/>
  <c r="F1774" i="14"/>
  <c r="B1774" i="14"/>
  <c r="F1773" i="14"/>
  <c r="B1773" i="14"/>
  <c r="F1772" i="14"/>
  <c r="B1772" i="14"/>
  <c r="F1771" i="14"/>
  <c r="B1771" i="14"/>
  <c r="F1770" i="14"/>
  <c r="B1770" i="14"/>
  <c r="F1769" i="14"/>
  <c r="B1769" i="14"/>
  <c r="F1768" i="14"/>
  <c r="B1768" i="14"/>
  <c r="F1767" i="14"/>
  <c r="B1767" i="14"/>
  <c r="F1766" i="14"/>
  <c r="B1766" i="14"/>
  <c r="F1765" i="14"/>
  <c r="B1765" i="14"/>
  <c r="F1764" i="14"/>
  <c r="B1764" i="14"/>
  <c r="F1763" i="14"/>
  <c r="B1763" i="14"/>
  <c r="F1762" i="14"/>
  <c r="B1762" i="14"/>
  <c r="F1761" i="14"/>
  <c r="B1761" i="14"/>
  <c r="F1760" i="14"/>
  <c r="B1760" i="14"/>
  <c r="F1759" i="14"/>
  <c r="B1759" i="14"/>
  <c r="F1758" i="14"/>
  <c r="B1758" i="14"/>
  <c r="F1757" i="14"/>
  <c r="B1757" i="14"/>
  <c r="F1756" i="14"/>
  <c r="B1756" i="14"/>
  <c r="F1755" i="14"/>
  <c r="B1755" i="14"/>
  <c r="F1754" i="14"/>
  <c r="B1754" i="14"/>
  <c r="F1753" i="14"/>
  <c r="B1753" i="14"/>
  <c r="F1752" i="14"/>
  <c r="B1752" i="14"/>
  <c r="F1751" i="14"/>
  <c r="B1751" i="14"/>
  <c r="F1750" i="14"/>
  <c r="B1750" i="14"/>
  <c r="F1749" i="14"/>
  <c r="B1749" i="14"/>
  <c r="F1748" i="14"/>
  <c r="B1748" i="14"/>
  <c r="F1747" i="14"/>
  <c r="B1747" i="14"/>
  <c r="F1746" i="14"/>
  <c r="B1746" i="14"/>
  <c r="F1745" i="14"/>
  <c r="B1745" i="14"/>
  <c r="F1744" i="14"/>
  <c r="B1744" i="14"/>
  <c r="F1743" i="14"/>
  <c r="B1743" i="14"/>
  <c r="F1742" i="14"/>
  <c r="B1742" i="14"/>
  <c r="F1741" i="14"/>
  <c r="B1741" i="14"/>
  <c r="F1740" i="14"/>
  <c r="B1740" i="14"/>
  <c r="F1739" i="14"/>
  <c r="B1739" i="14"/>
  <c r="F1738" i="14"/>
  <c r="B1738" i="14"/>
  <c r="F1737" i="14"/>
  <c r="B1737" i="14"/>
  <c r="F1736" i="14"/>
  <c r="B1736" i="14"/>
  <c r="F1735" i="14"/>
  <c r="B1735" i="14"/>
  <c r="F1734" i="14"/>
  <c r="B1734" i="14"/>
  <c r="F1733" i="14"/>
  <c r="B1733" i="14"/>
  <c r="F1732" i="14"/>
  <c r="B1732" i="14"/>
  <c r="F1731" i="14"/>
  <c r="B1731" i="14"/>
  <c r="F1730" i="14"/>
  <c r="B1730" i="14"/>
  <c r="F1729" i="14"/>
  <c r="B1729" i="14"/>
  <c r="F1728" i="14"/>
  <c r="B1728" i="14"/>
  <c r="F1727" i="14"/>
  <c r="B1727" i="14"/>
  <c r="F1726" i="14"/>
  <c r="B1726" i="14"/>
  <c r="F1725" i="14"/>
  <c r="B1725" i="14"/>
  <c r="F1724" i="14"/>
  <c r="B1724" i="14"/>
  <c r="F1723" i="14"/>
  <c r="B1723" i="14"/>
  <c r="F1722" i="14"/>
  <c r="B1722" i="14"/>
  <c r="F1721" i="14"/>
  <c r="B1721" i="14"/>
  <c r="F1720" i="14"/>
  <c r="B1720" i="14"/>
  <c r="F1719" i="14"/>
  <c r="B1719" i="14"/>
  <c r="F1718" i="14"/>
  <c r="B1718" i="14"/>
  <c r="F1717" i="14"/>
  <c r="B1717" i="14"/>
  <c r="F1716" i="14"/>
  <c r="B1716" i="14"/>
  <c r="F1715" i="14"/>
  <c r="B1715" i="14"/>
  <c r="F1714" i="14"/>
  <c r="B1714" i="14"/>
  <c r="F1713" i="14"/>
  <c r="B1713" i="14"/>
  <c r="F1712" i="14"/>
  <c r="B1712" i="14"/>
  <c r="F1711" i="14"/>
  <c r="B1711" i="14"/>
  <c r="F1710" i="14"/>
  <c r="B1710" i="14"/>
  <c r="F1709" i="14"/>
  <c r="B1709" i="14"/>
  <c r="F1708" i="14"/>
  <c r="B1708" i="14"/>
  <c r="F1707" i="14"/>
  <c r="B1707" i="14"/>
  <c r="F1706" i="14"/>
  <c r="B1706" i="14"/>
  <c r="F1705" i="14"/>
  <c r="B1705" i="14"/>
  <c r="F1704" i="14"/>
  <c r="B1704" i="14"/>
  <c r="F1703" i="14"/>
  <c r="B1703" i="14"/>
  <c r="F1702" i="14"/>
  <c r="B1702" i="14"/>
  <c r="F1701" i="14"/>
  <c r="B1701" i="14"/>
  <c r="F1700" i="14"/>
  <c r="B1700" i="14"/>
  <c r="F1699" i="14"/>
  <c r="B1699" i="14"/>
  <c r="F1698" i="14"/>
  <c r="B1698" i="14"/>
  <c r="F1697" i="14"/>
  <c r="B1697" i="14"/>
  <c r="F1696" i="14"/>
  <c r="B1696" i="14"/>
  <c r="F1695" i="14"/>
  <c r="B1695" i="14"/>
  <c r="F1694" i="14"/>
  <c r="B1694" i="14"/>
  <c r="F1693" i="14"/>
  <c r="B1693" i="14"/>
  <c r="F1692" i="14"/>
  <c r="B1692" i="14"/>
  <c r="F1691" i="14"/>
  <c r="B1691" i="14"/>
  <c r="F1690" i="14"/>
  <c r="B1690" i="14"/>
  <c r="F1689" i="14"/>
  <c r="B1689" i="14"/>
  <c r="F1688" i="14"/>
  <c r="B1688" i="14"/>
  <c r="F1687" i="14"/>
  <c r="B1687" i="14"/>
  <c r="F1686" i="14"/>
  <c r="B1686" i="14"/>
  <c r="F1685" i="14"/>
  <c r="B1685" i="14"/>
  <c r="F1684" i="14"/>
  <c r="B1684" i="14"/>
  <c r="F1683" i="14"/>
  <c r="B1683" i="14"/>
  <c r="F1682" i="14"/>
  <c r="B1682" i="14"/>
  <c r="F1681" i="14"/>
  <c r="B1681" i="14"/>
  <c r="F1680" i="14"/>
  <c r="B1680" i="14"/>
  <c r="F1679" i="14"/>
  <c r="B1679" i="14"/>
  <c r="F1678" i="14"/>
  <c r="B1678" i="14"/>
  <c r="F1677" i="14"/>
  <c r="B1677" i="14"/>
  <c r="F1676" i="14"/>
  <c r="B1676" i="14"/>
  <c r="F1675" i="14"/>
  <c r="B1675" i="14"/>
  <c r="F1674" i="14"/>
  <c r="B1674" i="14"/>
  <c r="F1673" i="14"/>
  <c r="B1673" i="14"/>
  <c r="F1672" i="14"/>
  <c r="B1672" i="14"/>
  <c r="F1671" i="14"/>
  <c r="B1671" i="14"/>
  <c r="F1670" i="14"/>
  <c r="B1670" i="14"/>
  <c r="F1669" i="14"/>
  <c r="B1669" i="14"/>
  <c r="F1668" i="14"/>
  <c r="B1668" i="14"/>
  <c r="F1667" i="14"/>
  <c r="B1667" i="14"/>
  <c r="F1666" i="14"/>
  <c r="B1666" i="14"/>
  <c r="F1665" i="14"/>
  <c r="B1665" i="14"/>
  <c r="F1664" i="14"/>
  <c r="B1664" i="14"/>
  <c r="F1663" i="14"/>
  <c r="B1663" i="14"/>
  <c r="F1662" i="14"/>
  <c r="B1662" i="14"/>
  <c r="F1661" i="14"/>
  <c r="B1661" i="14"/>
  <c r="F1660" i="14"/>
  <c r="B1660" i="14"/>
  <c r="F1659" i="14"/>
  <c r="B1659" i="14"/>
  <c r="F1658" i="14"/>
  <c r="B1658" i="14"/>
  <c r="F1657" i="14"/>
  <c r="B1657" i="14"/>
  <c r="F1656" i="14"/>
  <c r="B1656" i="14"/>
  <c r="F1655" i="14"/>
  <c r="B1655" i="14"/>
  <c r="F1654" i="14"/>
  <c r="B1654" i="14"/>
  <c r="F1653" i="14"/>
  <c r="B1653" i="14"/>
  <c r="F1652" i="14"/>
  <c r="B1652" i="14"/>
  <c r="F1651" i="14"/>
  <c r="B1651" i="14"/>
  <c r="F1650" i="14"/>
  <c r="B1650" i="14"/>
  <c r="F1649" i="14"/>
  <c r="B1649" i="14"/>
  <c r="F1648" i="14"/>
  <c r="B1648" i="14"/>
  <c r="F1647" i="14"/>
  <c r="B1647" i="14"/>
  <c r="F1646" i="14"/>
  <c r="B1646" i="14"/>
  <c r="F1645" i="14"/>
  <c r="B1645" i="14"/>
  <c r="F1644" i="14"/>
  <c r="B1644" i="14"/>
  <c r="F1643" i="14"/>
  <c r="B1643" i="14"/>
  <c r="F1642" i="14"/>
  <c r="B1642" i="14"/>
  <c r="F1641" i="14"/>
  <c r="B1641" i="14"/>
  <c r="F1640" i="14"/>
  <c r="B1640" i="14"/>
  <c r="F1639" i="14"/>
  <c r="B1639" i="14"/>
  <c r="F1638" i="14"/>
  <c r="B1638" i="14"/>
  <c r="F1637" i="14"/>
  <c r="B1637" i="14"/>
  <c r="F1636" i="14"/>
  <c r="B1636" i="14"/>
  <c r="F1635" i="14"/>
  <c r="B1635" i="14"/>
  <c r="F1634" i="14"/>
  <c r="B1634" i="14"/>
  <c r="F1633" i="14"/>
  <c r="B1633" i="14"/>
  <c r="F1632" i="14"/>
  <c r="B1632" i="14"/>
  <c r="F1631" i="14"/>
  <c r="B1631" i="14"/>
  <c r="F1630" i="14"/>
  <c r="B1630" i="14"/>
  <c r="F1629" i="14"/>
  <c r="B1629" i="14"/>
  <c r="F1628" i="14"/>
  <c r="B1628" i="14"/>
  <c r="F1627" i="14"/>
  <c r="B1627" i="14"/>
  <c r="F1626" i="14"/>
  <c r="B1626" i="14"/>
  <c r="F1625" i="14"/>
  <c r="B1625" i="14"/>
  <c r="F1624" i="14"/>
  <c r="B1624" i="14"/>
  <c r="F1623" i="14"/>
  <c r="B1623" i="14"/>
  <c r="F1622" i="14"/>
  <c r="B1622" i="14"/>
  <c r="F1621" i="14"/>
  <c r="B1621" i="14"/>
  <c r="F1620" i="14"/>
  <c r="B1620" i="14"/>
  <c r="F1619" i="14"/>
  <c r="B1619" i="14"/>
  <c r="F1618" i="14"/>
  <c r="B1618" i="14"/>
  <c r="F1617" i="14"/>
  <c r="B1617" i="14"/>
  <c r="F1616" i="14"/>
  <c r="B1616" i="14"/>
  <c r="F1615" i="14"/>
  <c r="B1615" i="14"/>
  <c r="F1614" i="14"/>
  <c r="B1614" i="14"/>
  <c r="F1613" i="14"/>
  <c r="B1613" i="14"/>
  <c r="F1612" i="14"/>
  <c r="B1612" i="14"/>
  <c r="F1611" i="14"/>
  <c r="B1611" i="14"/>
  <c r="F1610" i="14"/>
  <c r="B1610" i="14"/>
  <c r="F1609" i="14"/>
  <c r="B1609" i="14"/>
  <c r="F1608" i="14"/>
  <c r="B1608" i="14"/>
  <c r="F1607" i="14"/>
  <c r="B1607" i="14"/>
  <c r="F1606" i="14"/>
  <c r="B1606" i="14"/>
  <c r="F1605" i="14"/>
  <c r="B1605" i="14"/>
  <c r="F1604" i="14"/>
  <c r="B1604" i="14"/>
  <c r="F1603" i="14"/>
  <c r="B1603" i="14"/>
  <c r="F1602" i="14"/>
  <c r="B1602" i="14"/>
  <c r="F1601" i="14"/>
  <c r="B1601" i="14"/>
  <c r="F1600" i="14"/>
  <c r="B1600" i="14"/>
  <c r="F1599" i="14"/>
  <c r="B1599" i="14"/>
  <c r="F1598" i="14"/>
  <c r="B1598" i="14"/>
  <c r="F1597" i="14"/>
  <c r="B1597" i="14"/>
  <c r="F1596" i="14"/>
  <c r="B1596" i="14"/>
  <c r="F1595" i="14"/>
  <c r="B1595" i="14"/>
  <c r="F1594" i="14"/>
  <c r="B1594" i="14"/>
  <c r="F1593" i="14"/>
  <c r="B1593" i="14"/>
  <c r="F1592" i="14"/>
  <c r="B1592" i="14"/>
  <c r="F1591" i="14"/>
  <c r="B1591" i="14"/>
  <c r="F1590" i="14"/>
  <c r="B1590" i="14"/>
  <c r="F1589" i="14"/>
  <c r="B1589" i="14"/>
  <c r="F1588" i="14"/>
  <c r="B1588" i="14"/>
  <c r="F1587" i="14"/>
  <c r="B1587" i="14"/>
  <c r="F1586" i="14"/>
  <c r="B1586" i="14"/>
  <c r="F1585" i="14"/>
  <c r="B1585" i="14"/>
  <c r="F1584" i="14"/>
  <c r="B1584" i="14"/>
  <c r="F1583" i="14"/>
  <c r="B1583" i="14"/>
  <c r="F1582" i="14"/>
  <c r="B1582" i="14"/>
  <c r="F1581" i="14"/>
  <c r="B1581" i="14"/>
  <c r="F1580" i="14"/>
  <c r="B1580" i="14"/>
  <c r="F1579" i="14"/>
  <c r="B1579" i="14"/>
  <c r="F1578" i="14"/>
  <c r="B1578" i="14"/>
  <c r="F1577" i="14"/>
  <c r="B1577" i="14"/>
  <c r="F1576" i="14"/>
  <c r="B1576" i="14"/>
  <c r="F1575" i="14"/>
  <c r="B1575" i="14"/>
  <c r="F1574" i="14"/>
  <c r="B1574" i="14"/>
  <c r="F1573" i="14"/>
  <c r="B1573" i="14"/>
  <c r="F1572" i="14"/>
  <c r="B1572" i="14"/>
  <c r="F1571" i="14"/>
  <c r="B1571" i="14"/>
  <c r="F1570" i="14"/>
  <c r="B1570" i="14"/>
  <c r="F1569" i="14"/>
  <c r="B1569" i="14"/>
  <c r="F1568" i="14"/>
  <c r="B1568" i="14"/>
  <c r="F1567" i="14"/>
  <c r="B1567" i="14"/>
  <c r="F1566" i="14"/>
  <c r="B1566" i="14"/>
  <c r="F1565" i="14"/>
  <c r="B1565" i="14"/>
  <c r="F1564" i="14"/>
  <c r="B1564" i="14"/>
  <c r="F1563" i="14"/>
  <c r="B1563" i="14"/>
  <c r="F1562" i="14"/>
  <c r="B1562" i="14"/>
  <c r="F1561" i="14"/>
  <c r="B1561" i="14"/>
  <c r="F1560" i="14"/>
  <c r="B1560" i="14"/>
  <c r="F1559" i="14"/>
  <c r="B1559" i="14"/>
  <c r="F1558" i="14"/>
  <c r="B1558" i="14"/>
  <c r="F1557" i="14"/>
  <c r="B1557" i="14"/>
  <c r="F1556" i="14"/>
  <c r="B1556" i="14"/>
  <c r="F1555" i="14"/>
  <c r="B1555" i="14"/>
  <c r="F1554" i="14"/>
  <c r="B1554" i="14"/>
  <c r="F1553" i="14"/>
  <c r="B1553" i="14"/>
  <c r="F1552" i="14"/>
  <c r="B1552" i="14"/>
  <c r="F1551" i="14"/>
  <c r="B1551" i="14"/>
  <c r="F1550" i="14"/>
  <c r="B1550" i="14"/>
  <c r="F1549" i="14"/>
  <c r="B1549" i="14"/>
  <c r="F1548" i="14"/>
  <c r="B1548" i="14"/>
  <c r="F1547" i="14"/>
  <c r="B1547" i="14"/>
  <c r="F1546" i="14"/>
  <c r="B1546" i="14"/>
  <c r="F1545" i="14"/>
  <c r="B1545" i="14"/>
  <c r="F1544" i="14"/>
  <c r="B1544" i="14"/>
  <c r="F1543" i="14"/>
  <c r="B1543" i="14"/>
  <c r="F1542" i="14"/>
  <c r="B1542" i="14"/>
  <c r="F1541" i="14"/>
  <c r="B1541" i="14"/>
  <c r="F1540" i="14"/>
  <c r="B1540" i="14"/>
  <c r="F1539" i="14"/>
  <c r="B1539" i="14"/>
  <c r="F1538" i="14"/>
  <c r="B1538" i="14"/>
  <c r="F1537" i="14"/>
  <c r="B1537" i="14"/>
  <c r="F1536" i="14"/>
  <c r="B1536" i="14"/>
  <c r="F1535" i="14"/>
  <c r="B1535" i="14"/>
  <c r="F1534" i="14"/>
  <c r="B1534" i="14"/>
  <c r="F1533" i="14"/>
  <c r="B1533" i="14"/>
  <c r="F1532" i="14"/>
  <c r="B1532" i="14"/>
  <c r="F1531" i="14"/>
  <c r="B1531" i="14"/>
  <c r="F1530" i="14"/>
  <c r="B1530" i="14"/>
  <c r="F1529" i="14"/>
  <c r="B1529" i="14"/>
  <c r="F1528" i="14"/>
  <c r="B1528" i="14"/>
  <c r="F1527" i="14"/>
  <c r="B1527" i="14"/>
  <c r="F1526" i="14"/>
  <c r="B1526" i="14"/>
  <c r="F1525" i="14"/>
  <c r="B1525" i="14"/>
  <c r="F1524" i="14"/>
  <c r="B1524" i="14"/>
  <c r="F1523" i="14"/>
  <c r="B1523" i="14"/>
  <c r="F1522" i="14"/>
  <c r="B1522" i="14"/>
  <c r="F1521" i="14"/>
  <c r="B1521" i="14"/>
  <c r="F1520" i="14"/>
  <c r="B1520" i="14"/>
  <c r="F1519" i="14"/>
  <c r="B1519" i="14"/>
  <c r="F1518" i="14"/>
  <c r="B1518" i="14"/>
  <c r="F1517" i="14"/>
  <c r="B1517" i="14"/>
  <c r="F1516" i="14"/>
  <c r="B1516" i="14"/>
  <c r="F1515" i="14"/>
  <c r="B1515" i="14"/>
  <c r="F1514" i="14"/>
  <c r="B1514" i="14"/>
  <c r="F1513" i="14"/>
  <c r="B1513" i="14"/>
  <c r="F1512" i="14"/>
  <c r="B1512" i="14"/>
  <c r="F1511" i="14"/>
  <c r="B1511" i="14"/>
  <c r="F1510" i="14"/>
  <c r="B1510" i="14"/>
  <c r="F1509" i="14"/>
  <c r="B1509" i="14"/>
  <c r="F1508" i="14"/>
  <c r="B1508" i="14"/>
  <c r="F1507" i="14"/>
  <c r="B1507" i="14"/>
  <c r="F1506" i="14"/>
  <c r="B1506" i="14"/>
  <c r="F1505" i="14"/>
  <c r="B1505" i="14"/>
  <c r="F1504" i="14"/>
  <c r="B1504" i="14"/>
  <c r="F1503" i="14"/>
  <c r="B1503" i="14"/>
  <c r="F1502" i="14"/>
  <c r="B1502" i="14"/>
  <c r="F1501" i="14"/>
  <c r="B1501" i="14"/>
  <c r="F1500" i="14"/>
  <c r="B1500" i="14"/>
  <c r="F1499" i="14"/>
  <c r="B1499" i="14"/>
  <c r="F1498" i="14"/>
  <c r="B1498" i="14"/>
  <c r="F1497" i="14"/>
  <c r="B1497" i="14"/>
  <c r="F1496" i="14"/>
  <c r="B1496" i="14"/>
  <c r="F1495" i="14"/>
  <c r="B1495" i="14"/>
  <c r="F1494" i="14"/>
  <c r="B1494" i="14"/>
  <c r="F1493" i="14"/>
  <c r="B1493" i="14"/>
  <c r="F1492" i="14"/>
  <c r="B1492" i="14"/>
  <c r="F1491" i="14"/>
  <c r="B1491" i="14"/>
  <c r="F1490" i="14"/>
  <c r="B1490" i="14"/>
  <c r="F1489" i="14"/>
  <c r="B1489" i="14"/>
  <c r="F1488" i="14"/>
  <c r="B1488" i="14"/>
  <c r="F1487" i="14"/>
  <c r="B1487" i="14"/>
  <c r="F1486" i="14"/>
  <c r="B1486" i="14"/>
  <c r="F1485" i="14"/>
  <c r="B1485" i="14"/>
  <c r="F1484" i="14"/>
  <c r="B1484" i="14"/>
  <c r="F1483" i="14"/>
  <c r="B1483" i="14"/>
  <c r="F1482" i="14"/>
  <c r="B1482" i="14"/>
  <c r="F1481" i="14"/>
  <c r="B1481" i="14"/>
  <c r="F1480" i="14"/>
  <c r="B1480" i="14"/>
  <c r="F1479" i="14"/>
  <c r="B1479" i="14"/>
  <c r="F1478" i="14"/>
  <c r="B1478" i="14"/>
  <c r="F1477" i="14"/>
  <c r="B1477" i="14"/>
  <c r="F1476" i="14"/>
  <c r="B1476" i="14"/>
  <c r="F1475" i="14"/>
  <c r="B1475" i="14"/>
  <c r="F1474" i="14"/>
  <c r="B1474" i="14"/>
  <c r="F1473" i="14"/>
  <c r="B1473" i="14"/>
  <c r="F1472" i="14"/>
  <c r="B1472" i="14"/>
  <c r="F1471" i="14"/>
  <c r="B1471" i="14"/>
  <c r="F1470" i="14"/>
  <c r="B1470" i="14"/>
  <c r="F1469" i="14"/>
  <c r="B1469" i="14"/>
  <c r="F1468" i="14"/>
  <c r="B1468" i="14"/>
  <c r="F1467" i="14"/>
  <c r="B1467" i="14"/>
  <c r="F1466" i="14"/>
  <c r="B1466" i="14"/>
  <c r="F1465" i="14"/>
  <c r="B1465" i="14"/>
  <c r="F1464" i="14"/>
  <c r="B1464" i="14"/>
  <c r="F1463" i="14"/>
  <c r="B1463" i="14"/>
  <c r="F1462" i="14"/>
  <c r="B1462" i="14"/>
  <c r="F1461" i="14"/>
  <c r="B1461" i="14"/>
  <c r="F1460" i="14"/>
  <c r="B1460" i="14"/>
  <c r="F1459" i="14"/>
  <c r="B1459" i="14"/>
  <c r="F1458" i="14"/>
  <c r="B1458" i="14"/>
  <c r="F1457" i="14"/>
  <c r="B1457" i="14"/>
  <c r="F1456" i="14"/>
  <c r="B1456" i="14"/>
  <c r="F1455" i="14"/>
  <c r="B1455" i="14"/>
  <c r="F1454" i="14"/>
  <c r="B1454" i="14"/>
  <c r="F1453" i="14"/>
  <c r="B1453" i="14"/>
  <c r="F1452" i="14"/>
  <c r="B1452" i="14"/>
  <c r="F1451" i="14"/>
  <c r="B1451" i="14"/>
  <c r="F1450" i="14"/>
  <c r="B1450" i="14"/>
  <c r="F1449" i="14"/>
  <c r="B1449" i="14"/>
  <c r="F1448" i="14"/>
  <c r="B1448" i="14"/>
  <c r="F1447" i="14"/>
  <c r="B1447" i="14"/>
  <c r="F1446" i="14"/>
  <c r="B1446" i="14"/>
  <c r="F1445" i="14"/>
  <c r="B1445" i="14"/>
  <c r="F1444" i="14"/>
  <c r="B1444" i="14"/>
  <c r="F1443" i="14"/>
  <c r="B1443" i="14"/>
  <c r="F1442" i="14"/>
  <c r="B1442" i="14"/>
  <c r="F1441" i="14"/>
  <c r="B1441" i="14"/>
  <c r="F1440" i="14"/>
  <c r="B1440" i="14"/>
  <c r="F1439" i="14"/>
  <c r="B1439" i="14"/>
  <c r="F1438" i="14"/>
  <c r="B1438" i="14"/>
  <c r="F1437" i="14"/>
  <c r="B1437" i="14"/>
  <c r="F1436" i="14"/>
  <c r="B1436" i="14"/>
  <c r="F1435" i="14"/>
  <c r="B1435" i="14"/>
  <c r="F1434" i="14"/>
  <c r="B1434" i="14"/>
  <c r="F1433" i="14"/>
  <c r="B1433" i="14"/>
  <c r="F1432" i="14"/>
  <c r="B1432" i="14"/>
  <c r="F1431" i="14"/>
  <c r="B1431" i="14"/>
  <c r="F1430" i="14"/>
  <c r="B1430" i="14"/>
  <c r="F1429" i="14"/>
  <c r="B1429" i="14"/>
  <c r="F1428" i="14"/>
  <c r="B1428" i="14"/>
  <c r="F1427" i="14"/>
  <c r="B1427" i="14"/>
  <c r="F1426" i="14"/>
  <c r="B1426" i="14"/>
  <c r="F1425" i="14"/>
  <c r="B1425" i="14"/>
  <c r="F1424" i="14"/>
  <c r="B1424" i="14"/>
  <c r="F1423" i="14"/>
  <c r="B1423" i="14"/>
  <c r="F1422" i="14"/>
  <c r="B1422" i="14"/>
  <c r="F1421" i="14"/>
  <c r="B1421" i="14"/>
  <c r="F1420" i="14"/>
  <c r="B1420" i="14"/>
  <c r="F1419" i="14"/>
  <c r="B1419" i="14"/>
  <c r="F1418" i="14"/>
  <c r="B1418" i="14"/>
  <c r="F1417" i="14"/>
  <c r="B1417" i="14"/>
  <c r="F1416" i="14"/>
  <c r="B1416" i="14"/>
  <c r="F1415" i="14"/>
  <c r="B1415" i="14"/>
  <c r="F1414" i="14"/>
  <c r="B1414" i="14"/>
  <c r="F1413" i="14"/>
  <c r="B1413" i="14"/>
  <c r="F1412" i="14"/>
  <c r="B1412" i="14"/>
  <c r="F1411" i="14"/>
  <c r="B1411" i="14"/>
  <c r="F1410" i="14"/>
  <c r="B1410" i="14"/>
  <c r="F1409" i="14"/>
  <c r="B1409" i="14"/>
  <c r="F1408" i="14"/>
  <c r="B1408" i="14"/>
  <c r="F1407" i="14"/>
  <c r="B1407" i="14"/>
  <c r="F1406" i="14"/>
  <c r="B1406" i="14"/>
  <c r="F1405" i="14"/>
  <c r="B1405" i="14"/>
  <c r="F1404" i="14"/>
  <c r="B1404" i="14"/>
  <c r="F1403" i="14"/>
  <c r="B1403" i="14"/>
  <c r="F1402" i="14"/>
  <c r="B1402" i="14"/>
  <c r="F1401" i="14"/>
  <c r="B1401" i="14"/>
  <c r="F1400" i="14"/>
  <c r="B1400" i="14"/>
  <c r="F1399" i="14"/>
  <c r="B1399" i="14"/>
  <c r="F1398" i="14"/>
  <c r="B1398" i="14"/>
  <c r="F1397" i="14"/>
  <c r="B1397" i="14"/>
  <c r="F1396" i="14"/>
  <c r="B1396" i="14"/>
  <c r="F1395" i="14"/>
  <c r="B1395" i="14"/>
  <c r="F1394" i="14"/>
  <c r="B1394" i="14"/>
  <c r="F1393" i="14"/>
  <c r="B1393" i="14"/>
  <c r="F1392" i="14"/>
  <c r="B1392" i="14"/>
  <c r="F1391" i="14"/>
  <c r="B1391" i="14"/>
  <c r="F1390" i="14"/>
  <c r="B1390" i="14"/>
  <c r="F1389" i="14"/>
  <c r="B1389" i="14"/>
  <c r="F1388" i="14"/>
  <c r="B1388" i="14"/>
  <c r="F1387" i="14"/>
  <c r="B1387" i="14"/>
  <c r="F1386" i="14"/>
  <c r="B1386" i="14"/>
  <c r="F1385" i="14"/>
  <c r="B1385" i="14"/>
  <c r="F1384" i="14"/>
  <c r="B1384" i="14"/>
  <c r="F1383" i="14"/>
  <c r="B1383" i="14"/>
  <c r="F1382" i="14"/>
  <c r="B1382" i="14"/>
  <c r="F1381" i="14"/>
  <c r="B1381" i="14"/>
  <c r="F1380" i="14"/>
  <c r="B1380" i="14"/>
  <c r="F1379" i="14"/>
  <c r="B1379" i="14"/>
  <c r="F1378" i="14"/>
  <c r="B1378" i="14"/>
  <c r="F1377" i="14"/>
  <c r="B1377" i="14"/>
  <c r="F1376" i="14"/>
  <c r="B1376" i="14"/>
  <c r="F1375" i="14"/>
  <c r="B1375" i="14"/>
  <c r="F1374" i="14"/>
  <c r="B1374" i="14"/>
  <c r="F1373" i="14"/>
  <c r="B1373" i="14"/>
  <c r="F1372" i="14"/>
  <c r="B1372" i="14"/>
  <c r="F1371" i="14"/>
  <c r="B1371" i="14"/>
  <c r="F1370" i="14"/>
  <c r="B1370" i="14"/>
  <c r="F1369" i="14"/>
  <c r="B1369" i="14"/>
  <c r="F1368" i="14"/>
  <c r="B1368" i="14"/>
  <c r="F1367" i="14"/>
  <c r="B1367" i="14"/>
  <c r="F1366" i="14"/>
  <c r="B1366" i="14"/>
  <c r="F1365" i="14"/>
  <c r="B1365" i="14"/>
  <c r="F1364" i="14"/>
  <c r="B1364" i="14"/>
  <c r="F1363" i="14"/>
  <c r="B1363" i="14"/>
  <c r="F1362" i="14"/>
  <c r="B1362" i="14"/>
  <c r="F1361" i="14"/>
  <c r="B1361" i="14"/>
  <c r="F1360" i="14"/>
  <c r="B1360" i="14"/>
  <c r="F1359" i="14"/>
  <c r="B1359" i="14"/>
  <c r="F1358" i="14"/>
  <c r="B1358" i="14"/>
  <c r="F1357" i="14"/>
  <c r="B1357" i="14"/>
  <c r="F1356" i="14"/>
  <c r="B1356" i="14"/>
  <c r="F1355" i="14"/>
  <c r="B1355" i="14"/>
  <c r="F1354" i="14"/>
  <c r="B1354" i="14"/>
  <c r="F1353" i="14"/>
  <c r="B1353" i="14"/>
  <c r="F1352" i="14"/>
  <c r="B1352" i="14"/>
  <c r="F1351" i="14"/>
  <c r="B1351" i="14"/>
  <c r="F1350" i="14"/>
  <c r="B1350" i="14"/>
  <c r="F1349" i="14"/>
  <c r="B1349" i="14"/>
  <c r="F1348" i="14"/>
  <c r="B1348" i="14"/>
  <c r="F1347" i="14"/>
  <c r="B1347" i="14"/>
  <c r="F1346" i="14"/>
  <c r="B1346" i="14"/>
  <c r="F1345" i="14"/>
  <c r="B1345" i="14"/>
  <c r="F1344" i="14"/>
  <c r="B1344" i="14"/>
  <c r="F1343" i="14"/>
  <c r="B1343" i="14"/>
  <c r="F1342" i="14"/>
  <c r="B1342" i="14"/>
  <c r="F1341" i="14"/>
  <c r="B1341" i="14"/>
  <c r="F1340" i="14"/>
  <c r="B1340" i="14"/>
  <c r="F1339" i="14"/>
  <c r="B1339" i="14"/>
  <c r="F1338" i="14"/>
  <c r="B1338" i="14"/>
  <c r="F1337" i="14"/>
  <c r="B1337" i="14"/>
  <c r="F1336" i="14"/>
  <c r="B1336" i="14"/>
  <c r="F1335" i="14"/>
  <c r="B1335" i="14"/>
  <c r="F1334" i="14"/>
  <c r="B1334" i="14"/>
  <c r="F1333" i="14"/>
  <c r="B1333" i="14"/>
  <c r="F1332" i="14"/>
  <c r="B1332" i="14"/>
  <c r="F1331" i="14"/>
  <c r="B1331" i="14"/>
  <c r="F1330" i="14"/>
  <c r="B1330" i="14"/>
  <c r="F1329" i="14"/>
  <c r="B1329" i="14"/>
  <c r="F1328" i="14"/>
  <c r="B1328" i="14"/>
  <c r="F1327" i="14"/>
  <c r="B1327" i="14"/>
  <c r="F1326" i="14"/>
  <c r="B1326" i="14"/>
  <c r="F1325" i="14"/>
  <c r="B1325" i="14"/>
  <c r="F1324" i="14"/>
  <c r="B1324" i="14"/>
  <c r="F1323" i="14"/>
  <c r="B1323" i="14"/>
  <c r="F1322" i="14"/>
  <c r="B1322" i="14"/>
  <c r="F1321" i="14"/>
  <c r="B1321" i="14"/>
  <c r="F1320" i="14"/>
  <c r="B1320" i="14"/>
  <c r="F1319" i="14"/>
  <c r="B1319" i="14"/>
  <c r="F1318" i="14"/>
  <c r="B1318" i="14"/>
  <c r="F1317" i="14"/>
  <c r="B1317" i="14"/>
  <c r="F1316" i="14"/>
  <c r="B1316" i="14"/>
  <c r="F1315" i="14"/>
  <c r="B1315" i="14"/>
  <c r="F1314" i="14"/>
  <c r="B1314" i="14"/>
  <c r="F1313" i="14"/>
  <c r="B1313" i="14"/>
  <c r="F1312" i="14"/>
  <c r="B1312" i="14"/>
  <c r="F1311" i="14"/>
  <c r="B1311" i="14"/>
  <c r="F1310" i="14"/>
  <c r="B1310" i="14"/>
  <c r="F1309" i="14"/>
  <c r="B1309" i="14"/>
  <c r="F1308" i="14"/>
  <c r="B1308" i="14"/>
  <c r="F1307" i="14"/>
  <c r="B1307" i="14"/>
  <c r="F1306" i="14"/>
  <c r="B1306" i="14"/>
  <c r="F1305" i="14"/>
  <c r="B1305" i="14"/>
  <c r="F1304" i="14"/>
  <c r="B1304" i="14"/>
  <c r="F1303" i="14"/>
  <c r="B1303" i="14"/>
  <c r="F1302" i="14"/>
  <c r="B1302" i="14"/>
  <c r="F1301" i="14"/>
  <c r="B1301" i="14"/>
  <c r="F1300" i="14"/>
  <c r="B1300" i="14"/>
  <c r="F1299" i="14"/>
  <c r="B1299" i="14"/>
  <c r="F1298" i="14"/>
  <c r="B1298" i="14"/>
  <c r="F1297" i="14"/>
  <c r="B1297" i="14"/>
  <c r="F1296" i="14"/>
  <c r="B1296" i="14"/>
  <c r="F1295" i="14"/>
  <c r="B1295" i="14"/>
  <c r="F1294" i="14"/>
  <c r="B1294" i="14"/>
  <c r="F1293" i="14"/>
  <c r="B1293" i="14"/>
  <c r="F1292" i="14"/>
  <c r="B1292" i="14"/>
  <c r="F1291" i="14"/>
  <c r="B1291" i="14"/>
  <c r="F1290" i="14"/>
  <c r="B1290" i="14"/>
  <c r="F1289" i="14"/>
  <c r="B1289" i="14"/>
  <c r="F1288" i="14"/>
  <c r="B1288" i="14"/>
  <c r="F1287" i="14"/>
  <c r="B1287" i="14"/>
  <c r="F1286" i="14"/>
  <c r="B1286" i="14"/>
  <c r="F1285" i="14"/>
  <c r="B1285" i="14"/>
  <c r="F1284" i="14"/>
  <c r="B1284" i="14"/>
  <c r="F1283" i="14"/>
  <c r="B1283" i="14"/>
  <c r="F1282" i="14"/>
  <c r="B1282" i="14"/>
  <c r="F1281" i="14"/>
  <c r="B1281" i="14"/>
  <c r="F1280" i="14"/>
  <c r="B1280" i="14"/>
  <c r="F1279" i="14"/>
  <c r="B1279" i="14"/>
  <c r="F1278" i="14"/>
  <c r="B1278" i="14"/>
  <c r="F1277" i="14"/>
  <c r="B1277" i="14"/>
  <c r="F1276" i="14"/>
  <c r="B1276" i="14"/>
  <c r="F1275" i="14"/>
  <c r="B1275" i="14"/>
  <c r="F1274" i="14"/>
  <c r="B1274" i="14"/>
  <c r="F1273" i="14"/>
  <c r="B1273" i="14"/>
  <c r="F1272" i="14"/>
  <c r="B1272" i="14"/>
  <c r="F1271" i="14"/>
  <c r="B1271" i="14"/>
  <c r="F1270" i="14"/>
  <c r="B1270" i="14"/>
  <c r="F1269" i="14"/>
  <c r="B1269" i="14"/>
  <c r="F1268" i="14"/>
  <c r="B1268" i="14"/>
  <c r="F1267" i="14"/>
  <c r="B1267" i="14"/>
  <c r="F1266" i="14"/>
  <c r="B1266" i="14"/>
  <c r="F1265" i="14"/>
  <c r="B1265" i="14"/>
  <c r="F1264" i="14"/>
  <c r="B1264" i="14"/>
  <c r="F1263" i="14"/>
  <c r="B1263" i="14"/>
  <c r="F1262" i="14"/>
  <c r="B1262" i="14"/>
  <c r="F1261" i="14"/>
  <c r="B1261" i="14"/>
  <c r="F1260" i="14"/>
  <c r="B1260" i="14"/>
  <c r="F1259" i="14"/>
  <c r="B1259" i="14"/>
  <c r="F1258" i="14"/>
  <c r="B1258" i="14"/>
  <c r="F1257" i="14"/>
  <c r="B1257" i="14"/>
  <c r="F1256" i="14"/>
  <c r="B1256" i="14"/>
  <c r="F1255" i="14"/>
  <c r="B1255" i="14"/>
  <c r="F1254" i="14"/>
  <c r="B1254" i="14"/>
  <c r="F1253" i="14"/>
  <c r="B1253" i="14"/>
  <c r="F1252" i="14"/>
  <c r="B1252" i="14"/>
  <c r="F1251" i="14"/>
  <c r="B1251" i="14"/>
  <c r="F1250" i="14"/>
  <c r="B1250" i="14"/>
  <c r="F1249" i="14"/>
  <c r="B1249" i="14"/>
  <c r="F1248" i="14"/>
  <c r="B1248" i="14"/>
  <c r="F1247" i="14"/>
  <c r="B1247" i="14"/>
  <c r="F1246" i="14"/>
  <c r="B1246" i="14"/>
  <c r="F1245" i="14"/>
  <c r="B1245" i="14"/>
  <c r="F1244" i="14"/>
  <c r="B1244" i="14"/>
  <c r="F1243" i="14"/>
  <c r="B1243" i="14"/>
  <c r="F1242" i="14"/>
  <c r="B1242" i="14"/>
  <c r="F1241" i="14"/>
  <c r="B1241" i="14"/>
  <c r="F1240" i="14"/>
  <c r="B1240" i="14"/>
  <c r="F1239" i="14"/>
  <c r="B1239" i="14"/>
  <c r="F1238" i="14"/>
  <c r="B1238" i="14"/>
  <c r="F1237" i="14"/>
  <c r="B1237" i="14"/>
  <c r="F1236" i="14"/>
  <c r="B1236" i="14"/>
  <c r="F1235" i="14"/>
  <c r="B1235" i="14"/>
  <c r="F1234" i="14"/>
  <c r="B1234" i="14"/>
  <c r="F1233" i="14"/>
  <c r="B1233" i="14"/>
  <c r="F1232" i="14"/>
  <c r="B1232" i="14"/>
  <c r="F1231" i="14"/>
  <c r="B1231" i="14"/>
  <c r="F1230" i="14"/>
  <c r="B1230" i="14"/>
  <c r="F1229" i="14"/>
  <c r="B1229" i="14"/>
  <c r="F1228" i="14"/>
  <c r="B1228" i="14"/>
  <c r="F1227" i="14"/>
  <c r="B1227" i="14"/>
  <c r="F1226" i="14"/>
  <c r="B1226" i="14"/>
  <c r="F1225" i="14"/>
  <c r="B1225" i="14"/>
  <c r="F1224" i="14"/>
  <c r="B1224" i="14"/>
  <c r="F1223" i="14"/>
  <c r="B1223" i="14"/>
  <c r="F1222" i="14"/>
  <c r="B1222" i="14"/>
  <c r="F1221" i="14"/>
  <c r="B1221" i="14"/>
  <c r="F1220" i="14"/>
  <c r="B1220" i="14"/>
  <c r="F1219" i="14"/>
  <c r="B1219" i="14"/>
  <c r="F1218" i="14"/>
  <c r="B1218" i="14"/>
  <c r="F1217" i="14"/>
  <c r="B1217" i="14"/>
  <c r="F1216" i="14"/>
  <c r="B1216" i="14"/>
  <c r="F1215" i="14"/>
  <c r="B1215" i="14"/>
  <c r="F1214" i="14"/>
  <c r="B1214" i="14"/>
  <c r="F1213" i="14"/>
  <c r="B1213" i="14"/>
  <c r="F1212" i="14"/>
  <c r="B1212" i="14"/>
  <c r="F1211" i="14"/>
  <c r="B1211" i="14"/>
  <c r="F1210" i="14"/>
  <c r="B1210" i="14"/>
  <c r="F1209" i="14"/>
  <c r="B1209" i="14"/>
  <c r="F1208" i="14"/>
  <c r="B1208" i="14"/>
  <c r="F1207" i="14"/>
  <c r="B1207" i="14"/>
  <c r="F1206" i="14"/>
  <c r="B1206" i="14"/>
  <c r="F1205" i="14"/>
  <c r="B1205" i="14"/>
  <c r="F1204" i="14"/>
  <c r="B1204" i="14"/>
  <c r="F1203" i="14"/>
  <c r="B1203" i="14"/>
  <c r="F1202" i="14"/>
  <c r="B1202" i="14"/>
  <c r="F1201" i="14"/>
  <c r="B1201" i="14"/>
  <c r="F1200" i="14"/>
  <c r="B1200" i="14"/>
  <c r="F1199" i="14"/>
  <c r="B1199" i="14"/>
  <c r="F1198" i="14"/>
  <c r="B1198" i="14"/>
  <c r="F1197" i="14"/>
  <c r="B1197" i="14"/>
  <c r="F1196" i="14"/>
  <c r="B1196" i="14"/>
  <c r="F1195" i="14"/>
  <c r="B1195" i="14"/>
  <c r="F1194" i="14"/>
  <c r="B1194" i="14"/>
  <c r="F1193" i="14"/>
  <c r="B1193" i="14"/>
  <c r="F1192" i="14"/>
  <c r="B1192" i="14"/>
  <c r="F1191" i="14"/>
  <c r="B1191" i="14"/>
  <c r="F1190" i="14"/>
  <c r="B1190" i="14"/>
  <c r="F1189" i="14"/>
  <c r="B1189" i="14"/>
  <c r="F1188" i="14"/>
  <c r="B1188" i="14"/>
  <c r="F1187" i="14"/>
  <c r="B1187" i="14"/>
  <c r="F1186" i="14"/>
  <c r="B1186" i="14"/>
  <c r="F1185" i="14"/>
  <c r="B1185" i="14"/>
  <c r="F1184" i="14"/>
  <c r="B1184" i="14"/>
  <c r="F1183" i="14"/>
  <c r="B1183" i="14"/>
  <c r="F1182" i="14"/>
  <c r="B1182" i="14"/>
  <c r="F1181" i="14"/>
  <c r="B1181" i="14"/>
  <c r="F1180" i="14"/>
  <c r="B1180" i="14"/>
  <c r="F1179" i="14"/>
  <c r="B1179" i="14"/>
  <c r="F1178" i="14"/>
  <c r="B1178" i="14"/>
  <c r="F1177" i="14"/>
  <c r="B1177" i="14"/>
  <c r="F1176" i="14"/>
  <c r="B1176" i="14"/>
  <c r="F1175" i="14"/>
  <c r="B1175" i="14"/>
  <c r="F1174" i="14"/>
  <c r="B1174" i="14"/>
  <c r="F1173" i="14"/>
  <c r="B1173" i="14"/>
  <c r="F1172" i="14"/>
  <c r="B1172" i="14"/>
  <c r="F1171" i="14"/>
  <c r="B1171" i="14"/>
  <c r="F1170" i="14"/>
  <c r="B1170" i="14"/>
  <c r="F1169" i="14"/>
  <c r="B1169" i="14"/>
  <c r="F1168" i="14"/>
  <c r="B1168" i="14"/>
  <c r="F1167" i="14"/>
  <c r="B1167" i="14"/>
  <c r="F1166" i="14"/>
  <c r="B1166" i="14"/>
  <c r="F1165" i="14"/>
  <c r="B1165" i="14"/>
  <c r="F1164" i="14"/>
  <c r="B1164" i="14"/>
  <c r="F1163" i="14"/>
  <c r="B1163" i="14"/>
  <c r="F1162" i="14"/>
  <c r="B1162" i="14"/>
  <c r="F1161" i="14"/>
  <c r="B1161" i="14"/>
  <c r="F1160" i="14"/>
  <c r="B1160" i="14"/>
  <c r="F1159" i="14"/>
  <c r="B1159" i="14"/>
  <c r="F1158" i="14"/>
  <c r="B1158" i="14"/>
  <c r="F1157" i="14"/>
  <c r="B1157" i="14"/>
  <c r="F1156" i="14"/>
  <c r="B1156" i="14"/>
  <c r="F1155" i="14"/>
  <c r="B1155" i="14"/>
  <c r="F1154" i="14"/>
  <c r="B1154" i="14"/>
  <c r="F1153" i="14"/>
  <c r="B1153" i="14"/>
  <c r="F1152" i="14"/>
  <c r="B1152" i="14"/>
  <c r="F1151" i="14"/>
  <c r="B1151" i="14"/>
  <c r="F1150" i="14"/>
  <c r="B1150" i="14"/>
  <c r="F1149" i="14"/>
  <c r="B1149" i="14"/>
  <c r="F1148" i="14"/>
  <c r="B1148" i="14"/>
  <c r="F1147" i="14"/>
  <c r="B1147" i="14"/>
  <c r="F1146" i="14"/>
  <c r="B1146" i="14"/>
  <c r="F1145" i="14"/>
  <c r="B1145" i="14"/>
  <c r="F1144" i="14"/>
  <c r="B1144" i="14"/>
  <c r="F1143" i="14"/>
  <c r="B1143" i="14"/>
  <c r="F1142" i="14"/>
  <c r="B1142" i="14"/>
  <c r="F1141" i="14"/>
  <c r="B1141" i="14"/>
  <c r="F1140" i="14"/>
  <c r="B1140" i="14"/>
  <c r="F1139" i="14"/>
  <c r="B1139" i="14"/>
  <c r="F1138" i="14"/>
  <c r="B1138" i="14"/>
  <c r="F1137" i="14"/>
  <c r="B1137" i="14"/>
  <c r="F1136" i="14"/>
  <c r="B1136" i="14"/>
  <c r="F1135" i="14"/>
  <c r="B1135" i="14"/>
  <c r="F1134" i="14"/>
  <c r="B1134" i="14"/>
  <c r="F1133" i="14"/>
  <c r="B1133" i="14"/>
  <c r="F1132" i="14"/>
  <c r="B1132" i="14"/>
  <c r="F1131" i="14"/>
  <c r="B1131" i="14"/>
  <c r="F1130" i="14"/>
  <c r="B1130" i="14"/>
  <c r="F1129" i="14"/>
  <c r="B1129" i="14"/>
  <c r="F1128" i="14"/>
  <c r="B1128" i="14"/>
  <c r="F1127" i="14"/>
  <c r="B1127" i="14"/>
  <c r="F1126" i="14"/>
  <c r="B1126" i="14"/>
  <c r="F1125" i="14"/>
  <c r="B1125" i="14"/>
  <c r="F1124" i="14"/>
  <c r="B1124" i="14"/>
  <c r="F1123" i="14"/>
  <c r="B1123" i="14"/>
  <c r="F1122" i="14"/>
  <c r="B1122" i="14"/>
  <c r="F1121" i="14"/>
  <c r="B1121" i="14"/>
  <c r="F1120" i="14"/>
  <c r="B1120" i="14"/>
  <c r="F1119" i="14"/>
  <c r="B1119" i="14"/>
  <c r="F1118" i="14"/>
  <c r="B1118" i="14"/>
  <c r="F1117" i="14"/>
  <c r="B1117" i="14"/>
  <c r="F1116" i="14"/>
  <c r="B1116" i="14"/>
  <c r="F1115" i="14"/>
  <c r="B1115" i="14"/>
  <c r="F1114" i="14"/>
  <c r="B1114" i="14"/>
  <c r="F1113" i="14"/>
  <c r="B1113" i="14"/>
  <c r="F1112" i="14"/>
  <c r="B1112" i="14"/>
  <c r="F1111" i="14"/>
  <c r="B1111" i="14"/>
  <c r="F1110" i="14"/>
  <c r="B1110" i="14"/>
  <c r="F1109" i="14"/>
  <c r="B1109" i="14"/>
  <c r="F1108" i="14"/>
  <c r="B1108" i="14"/>
  <c r="F1107" i="14"/>
  <c r="B1107" i="14"/>
  <c r="F1106" i="14"/>
  <c r="B1106" i="14"/>
  <c r="F1105" i="14"/>
  <c r="B1105" i="14"/>
  <c r="F1104" i="14"/>
  <c r="B1104" i="14"/>
  <c r="F1103" i="14"/>
  <c r="B1103" i="14"/>
  <c r="F1102" i="14"/>
  <c r="B1102" i="14"/>
  <c r="F1101" i="14"/>
  <c r="B1101" i="14"/>
  <c r="F1100" i="14"/>
  <c r="B1100" i="14"/>
  <c r="F1099" i="14"/>
  <c r="B1099" i="14"/>
  <c r="F1098" i="14"/>
  <c r="B1098" i="14"/>
  <c r="F1097" i="14"/>
  <c r="B1097" i="14"/>
  <c r="F1096" i="14"/>
  <c r="B1096" i="14"/>
  <c r="F1095" i="14"/>
  <c r="B1095" i="14"/>
  <c r="F1094" i="14"/>
  <c r="B1094" i="14"/>
  <c r="F1093" i="14"/>
  <c r="B1093" i="14"/>
  <c r="F1092" i="14"/>
  <c r="B1092" i="14"/>
  <c r="F1091" i="14"/>
  <c r="B1091" i="14"/>
  <c r="F1090" i="14"/>
  <c r="B1090" i="14"/>
  <c r="F1089" i="14"/>
  <c r="B1089" i="14"/>
  <c r="F1088" i="14"/>
  <c r="B1088" i="14"/>
  <c r="F1087" i="14"/>
  <c r="B1087" i="14"/>
  <c r="F1086" i="14"/>
  <c r="B1086" i="14"/>
  <c r="F1085" i="14"/>
  <c r="B1085" i="14"/>
  <c r="F1084" i="14"/>
  <c r="B1084" i="14"/>
  <c r="F1083" i="14"/>
  <c r="B1083" i="14"/>
  <c r="F1082" i="14"/>
  <c r="B1082" i="14"/>
  <c r="F1081" i="14"/>
  <c r="B1081" i="14"/>
  <c r="F1080" i="14"/>
  <c r="B1080" i="14"/>
  <c r="F1079" i="14"/>
  <c r="B1079" i="14"/>
  <c r="F1078" i="14"/>
  <c r="B1078" i="14"/>
  <c r="F1077" i="14"/>
  <c r="B1077" i="14"/>
  <c r="F1076" i="14"/>
  <c r="B1076" i="14"/>
  <c r="F1075" i="14"/>
  <c r="B1075" i="14"/>
  <c r="F1074" i="14"/>
  <c r="B1074" i="14"/>
  <c r="F1073" i="14"/>
  <c r="B1073" i="14"/>
  <c r="F1072" i="14"/>
  <c r="B1072" i="14"/>
  <c r="F1071" i="14"/>
  <c r="B1071" i="14"/>
  <c r="F1070" i="14"/>
  <c r="B1070" i="14"/>
  <c r="F1069" i="14"/>
  <c r="B1069" i="14"/>
  <c r="F1068" i="14"/>
  <c r="B1068" i="14"/>
  <c r="F1067" i="14"/>
  <c r="B1067" i="14"/>
  <c r="F1066" i="14"/>
  <c r="B1066" i="14"/>
  <c r="F1065" i="14"/>
  <c r="B1065" i="14"/>
  <c r="F1064" i="14"/>
  <c r="B1064" i="14"/>
  <c r="F1063" i="14"/>
  <c r="B1063" i="14"/>
  <c r="F1062" i="14"/>
  <c r="B1062" i="14"/>
  <c r="F1061" i="14"/>
  <c r="B1061" i="14"/>
  <c r="F1060" i="14"/>
  <c r="B1060" i="14"/>
  <c r="F1059" i="14"/>
  <c r="B1059" i="14"/>
  <c r="F1058" i="14"/>
  <c r="B1058" i="14"/>
  <c r="F1057" i="14"/>
  <c r="B1057" i="14"/>
  <c r="F1056" i="14"/>
  <c r="B1056" i="14"/>
  <c r="F1055" i="14"/>
  <c r="B1055" i="14"/>
  <c r="F1054" i="14"/>
  <c r="B1054" i="14"/>
  <c r="F1053" i="14"/>
  <c r="B1053" i="14"/>
  <c r="F1052" i="14"/>
  <c r="B1052" i="14"/>
  <c r="F1051" i="14"/>
  <c r="B1051" i="14"/>
  <c r="F1050" i="14"/>
  <c r="B1050" i="14"/>
  <c r="F1049" i="14"/>
  <c r="B1049" i="14"/>
  <c r="F1048" i="14"/>
  <c r="B1048" i="14"/>
  <c r="F1047" i="14"/>
  <c r="B1047" i="14"/>
  <c r="F1046" i="14"/>
  <c r="B1046" i="14"/>
  <c r="F1045" i="14"/>
  <c r="B1045" i="14"/>
  <c r="F1044" i="14"/>
  <c r="B1044" i="14"/>
  <c r="F1043" i="14"/>
  <c r="B1043" i="14"/>
  <c r="F1042" i="14"/>
  <c r="B1042" i="14"/>
  <c r="F1041" i="14"/>
  <c r="B1041" i="14"/>
  <c r="F1040" i="14"/>
  <c r="B1040" i="14"/>
  <c r="F1039" i="14"/>
  <c r="B1039" i="14"/>
  <c r="F1038" i="14"/>
  <c r="B1038" i="14"/>
  <c r="F1037" i="14"/>
  <c r="B1037" i="14"/>
  <c r="F1036" i="14"/>
  <c r="B1036" i="14"/>
  <c r="F1035" i="14"/>
  <c r="B1035" i="14"/>
  <c r="F1034" i="14"/>
  <c r="B1034" i="14"/>
  <c r="F1033" i="14"/>
  <c r="B1033" i="14"/>
  <c r="F1032" i="14"/>
  <c r="B1032" i="14"/>
  <c r="F1031" i="14"/>
  <c r="B1031" i="14"/>
  <c r="F1030" i="14"/>
  <c r="B1030" i="14"/>
  <c r="F1029" i="14"/>
  <c r="B1029" i="14"/>
  <c r="F1028" i="14"/>
  <c r="B1028" i="14"/>
  <c r="F1027" i="14"/>
  <c r="B1027" i="14"/>
  <c r="F1026" i="14"/>
  <c r="B1026" i="14"/>
  <c r="F1025" i="14"/>
  <c r="B1025" i="14"/>
  <c r="F1024" i="14"/>
  <c r="B1024" i="14"/>
  <c r="F1023" i="14"/>
  <c r="B1023" i="14"/>
  <c r="F1022" i="14"/>
  <c r="B1022" i="14"/>
  <c r="F1021" i="14"/>
  <c r="B1021" i="14"/>
  <c r="F1020" i="14"/>
  <c r="B1020" i="14"/>
  <c r="F1019" i="14"/>
  <c r="B1019" i="14"/>
  <c r="F1018" i="14"/>
  <c r="B1018" i="14"/>
  <c r="F1017" i="14"/>
  <c r="B1017" i="14"/>
  <c r="F1016" i="14"/>
  <c r="B1016" i="14"/>
  <c r="F1015" i="14"/>
  <c r="B1015" i="14"/>
  <c r="F1014" i="14"/>
  <c r="B1014" i="14"/>
  <c r="F1013" i="14"/>
  <c r="B1013" i="14"/>
  <c r="F1012" i="14"/>
  <c r="B1012" i="14"/>
  <c r="F1011" i="14"/>
  <c r="B1011" i="14"/>
  <c r="F1010" i="14"/>
  <c r="B1010" i="14"/>
  <c r="F1009" i="14"/>
  <c r="B1009" i="14"/>
  <c r="F1008" i="14"/>
  <c r="B1008" i="14"/>
  <c r="F1007" i="14"/>
  <c r="B1007" i="14"/>
  <c r="F1006" i="14"/>
  <c r="B1006" i="14"/>
  <c r="F1005" i="14"/>
  <c r="B1005" i="14"/>
  <c r="F1004" i="14"/>
  <c r="B1004" i="14"/>
  <c r="F1003" i="14"/>
  <c r="B1003" i="14"/>
  <c r="F1002" i="14"/>
  <c r="B1002" i="14"/>
  <c r="F1001" i="14"/>
  <c r="B1001" i="14"/>
  <c r="F1000" i="14"/>
  <c r="B1000" i="14"/>
  <c r="F999" i="14"/>
  <c r="B999" i="14"/>
  <c r="F998" i="14"/>
  <c r="B998" i="14"/>
  <c r="F997" i="14"/>
  <c r="B997" i="14"/>
  <c r="F996" i="14"/>
  <c r="B996" i="14"/>
  <c r="F995" i="14"/>
  <c r="B995" i="14"/>
  <c r="F994" i="14"/>
  <c r="B994" i="14"/>
  <c r="F993" i="14"/>
  <c r="B993" i="14"/>
  <c r="F992" i="14"/>
  <c r="B992" i="14"/>
  <c r="F991" i="14"/>
  <c r="B991" i="14"/>
  <c r="F990" i="14"/>
  <c r="B990" i="14"/>
  <c r="F989" i="14"/>
  <c r="B989" i="14"/>
  <c r="F988" i="14"/>
  <c r="B988" i="14"/>
  <c r="F987" i="14"/>
  <c r="B987" i="14"/>
  <c r="F986" i="14"/>
  <c r="B986" i="14"/>
  <c r="F985" i="14"/>
  <c r="B985" i="14"/>
  <c r="F984" i="14"/>
  <c r="B984" i="14"/>
  <c r="F983" i="14"/>
  <c r="B983" i="14"/>
  <c r="F982" i="14"/>
  <c r="B982" i="14"/>
  <c r="F981" i="14"/>
  <c r="B981" i="14"/>
  <c r="F980" i="14"/>
  <c r="B980" i="14"/>
  <c r="F979" i="14"/>
  <c r="B979" i="14"/>
  <c r="F978" i="14"/>
  <c r="B978" i="14"/>
  <c r="F977" i="14"/>
  <c r="B977" i="14"/>
  <c r="F976" i="14"/>
  <c r="B976" i="14"/>
  <c r="F975" i="14"/>
  <c r="B975" i="14"/>
  <c r="F974" i="14"/>
  <c r="B974" i="14"/>
  <c r="F973" i="14"/>
  <c r="B973" i="14"/>
  <c r="F972" i="14"/>
  <c r="B972" i="14"/>
  <c r="F971" i="14"/>
  <c r="B971" i="14"/>
  <c r="F970" i="14"/>
  <c r="B970" i="14"/>
  <c r="F969" i="14"/>
  <c r="B969" i="14"/>
  <c r="F968" i="14"/>
  <c r="B968" i="14"/>
  <c r="F967" i="14"/>
  <c r="B967" i="14"/>
  <c r="F966" i="14"/>
  <c r="B966" i="14"/>
  <c r="F965" i="14"/>
  <c r="B965" i="14"/>
  <c r="F964" i="14"/>
  <c r="B964" i="14"/>
  <c r="F963" i="14"/>
  <c r="B963" i="14"/>
  <c r="F962" i="14"/>
  <c r="B962" i="14"/>
  <c r="F961" i="14"/>
  <c r="B961" i="14"/>
  <c r="F960" i="14"/>
  <c r="B960" i="14"/>
  <c r="F959" i="14"/>
  <c r="B959" i="14"/>
  <c r="F958" i="14"/>
  <c r="B958" i="14"/>
  <c r="F957" i="14"/>
  <c r="B957" i="14"/>
  <c r="F956" i="14"/>
  <c r="B956" i="14"/>
  <c r="F955" i="14"/>
  <c r="B955" i="14"/>
  <c r="F954" i="14"/>
  <c r="B954" i="14"/>
  <c r="F953" i="14"/>
  <c r="B953" i="14"/>
  <c r="F952" i="14"/>
  <c r="B952" i="14"/>
  <c r="F951" i="14"/>
  <c r="B951" i="14"/>
  <c r="F950" i="14"/>
  <c r="B950" i="14"/>
  <c r="F949" i="14"/>
  <c r="B949" i="14"/>
  <c r="F948" i="14"/>
  <c r="B948" i="14"/>
  <c r="F947" i="14"/>
  <c r="B947" i="14"/>
  <c r="F946" i="14"/>
  <c r="B946" i="14"/>
  <c r="F945" i="14"/>
  <c r="B945" i="14"/>
  <c r="F944" i="14"/>
  <c r="B944" i="14"/>
  <c r="F943" i="14"/>
  <c r="B943" i="14"/>
  <c r="F942" i="14"/>
  <c r="B942" i="14"/>
  <c r="F941" i="14"/>
  <c r="B941" i="14"/>
  <c r="F940" i="14"/>
  <c r="B940" i="14"/>
  <c r="F939" i="14"/>
  <c r="B939" i="14"/>
  <c r="F938" i="14"/>
  <c r="B938" i="14"/>
  <c r="F937" i="14"/>
  <c r="B937" i="14"/>
  <c r="F936" i="14"/>
  <c r="B936" i="14"/>
  <c r="F935" i="14"/>
  <c r="B935" i="14"/>
  <c r="F934" i="14"/>
  <c r="B934" i="14"/>
  <c r="F933" i="14"/>
  <c r="B933" i="14"/>
  <c r="F932" i="14"/>
  <c r="B932" i="14"/>
  <c r="F931" i="14"/>
  <c r="B931" i="14"/>
  <c r="F930" i="14"/>
  <c r="B930" i="14"/>
  <c r="F929" i="14"/>
  <c r="B929" i="14"/>
  <c r="F928" i="14"/>
  <c r="B928" i="14"/>
  <c r="F927" i="14"/>
  <c r="B927" i="14"/>
  <c r="F926" i="14"/>
  <c r="B926" i="14"/>
  <c r="F925" i="14"/>
  <c r="B925" i="14"/>
  <c r="F924" i="14"/>
  <c r="B924" i="14"/>
  <c r="F923" i="14"/>
  <c r="B923" i="14"/>
  <c r="F922" i="14"/>
  <c r="B922" i="14"/>
  <c r="F921" i="14"/>
  <c r="B921" i="14"/>
  <c r="F920" i="14"/>
  <c r="B920" i="14"/>
  <c r="F919" i="14"/>
  <c r="B919" i="14"/>
  <c r="F918" i="14"/>
  <c r="B918" i="14"/>
  <c r="F917" i="14"/>
  <c r="B917" i="14"/>
  <c r="F916" i="14"/>
  <c r="B916" i="14"/>
  <c r="F915" i="14"/>
  <c r="B915" i="14"/>
  <c r="F914" i="14"/>
  <c r="B914" i="14"/>
  <c r="F913" i="14"/>
  <c r="B913" i="14"/>
  <c r="F912" i="14"/>
  <c r="B912" i="14"/>
  <c r="F911" i="14"/>
  <c r="B911" i="14"/>
  <c r="F910" i="14"/>
  <c r="B910" i="14"/>
  <c r="F909" i="14"/>
  <c r="B909" i="14"/>
  <c r="F908" i="14"/>
  <c r="B908" i="14"/>
  <c r="F907" i="14"/>
  <c r="B907" i="14"/>
  <c r="F906" i="14"/>
  <c r="B906" i="14"/>
  <c r="F905" i="14"/>
  <c r="B905" i="14"/>
  <c r="F904" i="14"/>
  <c r="B904" i="14"/>
  <c r="F903" i="14"/>
  <c r="B903" i="14"/>
  <c r="F902" i="14"/>
  <c r="B902" i="14"/>
  <c r="F901" i="14"/>
  <c r="B901" i="14"/>
  <c r="F900" i="14"/>
  <c r="B900" i="14"/>
  <c r="F899" i="14"/>
  <c r="B899" i="14"/>
  <c r="F898" i="14"/>
  <c r="B898" i="14"/>
  <c r="F897" i="14"/>
  <c r="B897" i="14"/>
  <c r="F896" i="14"/>
  <c r="B896" i="14"/>
  <c r="F895" i="14"/>
  <c r="B895" i="14"/>
  <c r="F894" i="14"/>
  <c r="B894" i="14"/>
  <c r="F893" i="14"/>
  <c r="B893" i="14"/>
  <c r="F892" i="14"/>
  <c r="B892" i="14"/>
  <c r="F891" i="14"/>
  <c r="B891" i="14"/>
  <c r="F890" i="14"/>
  <c r="B890" i="14"/>
  <c r="F889" i="14"/>
  <c r="B889" i="14"/>
  <c r="F888" i="14"/>
  <c r="B888" i="14"/>
  <c r="F887" i="14"/>
  <c r="B887" i="14"/>
  <c r="F886" i="14"/>
  <c r="B886" i="14"/>
  <c r="F885" i="14"/>
  <c r="B885" i="14"/>
  <c r="F884" i="14"/>
  <c r="B884" i="14"/>
  <c r="F883" i="14"/>
  <c r="B883" i="14"/>
  <c r="F882" i="14"/>
  <c r="B882" i="14"/>
  <c r="F881" i="14"/>
  <c r="B881" i="14"/>
  <c r="F880" i="14"/>
  <c r="B880" i="14"/>
  <c r="F879" i="14"/>
  <c r="B879" i="14"/>
  <c r="F878" i="14"/>
  <c r="B878" i="14"/>
  <c r="F877" i="14"/>
  <c r="B877" i="14"/>
  <c r="F876" i="14"/>
  <c r="B876" i="14"/>
  <c r="F875" i="14"/>
  <c r="B875" i="14"/>
  <c r="F874" i="14"/>
  <c r="B874" i="14"/>
  <c r="F873" i="14"/>
  <c r="B873" i="14"/>
  <c r="F872" i="14"/>
  <c r="B872" i="14"/>
  <c r="F871" i="14"/>
  <c r="B871" i="14"/>
  <c r="F870" i="14"/>
  <c r="B870" i="14"/>
  <c r="F869" i="14"/>
  <c r="B869" i="14"/>
  <c r="F868" i="14"/>
  <c r="B868" i="14"/>
  <c r="F867" i="14"/>
  <c r="B867" i="14"/>
  <c r="F866" i="14"/>
  <c r="B866" i="14"/>
  <c r="F865" i="14"/>
  <c r="B865" i="14"/>
  <c r="F864" i="14"/>
  <c r="B864" i="14"/>
  <c r="F863" i="14"/>
  <c r="B863" i="14"/>
  <c r="F862" i="14"/>
  <c r="B862" i="14"/>
  <c r="F861" i="14"/>
  <c r="B861" i="14"/>
  <c r="F860" i="14"/>
  <c r="B860" i="14"/>
  <c r="F859" i="14"/>
  <c r="B859" i="14"/>
  <c r="F858" i="14"/>
  <c r="B858" i="14"/>
  <c r="F857" i="14"/>
  <c r="B857" i="14"/>
  <c r="F856" i="14"/>
  <c r="B856" i="14"/>
  <c r="F855" i="14"/>
  <c r="B855" i="14"/>
  <c r="F854" i="14"/>
  <c r="B854" i="14"/>
  <c r="F853" i="14"/>
  <c r="B853" i="14"/>
  <c r="F852" i="14"/>
  <c r="B852" i="14"/>
  <c r="F851" i="14"/>
  <c r="B851" i="14"/>
  <c r="F850" i="14"/>
  <c r="B850" i="14"/>
  <c r="F849" i="14"/>
  <c r="B849" i="14"/>
  <c r="F848" i="14"/>
  <c r="B848" i="14"/>
  <c r="F847" i="14"/>
  <c r="B847" i="14"/>
  <c r="F846" i="14"/>
  <c r="B846" i="14"/>
  <c r="F845" i="14"/>
  <c r="B845" i="14"/>
  <c r="F844" i="14"/>
  <c r="B844" i="14"/>
  <c r="F843" i="14"/>
  <c r="B843" i="14"/>
  <c r="F842" i="14"/>
  <c r="B842" i="14"/>
  <c r="F841" i="14"/>
  <c r="B841" i="14"/>
  <c r="F840" i="14"/>
  <c r="B840" i="14"/>
  <c r="F839" i="14"/>
  <c r="B839" i="14"/>
  <c r="F838" i="14"/>
  <c r="B838" i="14"/>
  <c r="F837" i="14"/>
  <c r="B837" i="14"/>
  <c r="F836" i="14"/>
  <c r="B836" i="14"/>
  <c r="F835" i="14"/>
  <c r="B835" i="14"/>
  <c r="F834" i="14"/>
  <c r="B834" i="14"/>
  <c r="F833" i="14"/>
  <c r="B833" i="14"/>
  <c r="F832" i="14"/>
  <c r="B832" i="14"/>
  <c r="F831" i="14"/>
  <c r="B831" i="14"/>
  <c r="F830" i="14"/>
  <c r="B830" i="14"/>
  <c r="F829" i="14"/>
  <c r="B829" i="14"/>
  <c r="F828" i="14"/>
  <c r="B828" i="14"/>
  <c r="F827" i="14"/>
  <c r="B827" i="14"/>
  <c r="F826" i="14"/>
  <c r="B826" i="14"/>
  <c r="F825" i="14"/>
  <c r="B825" i="14"/>
  <c r="F824" i="14"/>
  <c r="B824" i="14"/>
  <c r="F823" i="14"/>
  <c r="B823" i="14"/>
  <c r="F822" i="14"/>
  <c r="B822" i="14"/>
  <c r="F821" i="14"/>
  <c r="B821" i="14"/>
  <c r="F820" i="14"/>
  <c r="B820" i="14"/>
  <c r="F819" i="14"/>
  <c r="B819" i="14"/>
  <c r="F818" i="14"/>
  <c r="B818" i="14"/>
  <c r="F817" i="14"/>
  <c r="B817" i="14"/>
  <c r="F816" i="14"/>
  <c r="B816" i="14"/>
  <c r="F815" i="14"/>
  <c r="B815" i="14"/>
  <c r="F814" i="14"/>
  <c r="B814" i="14"/>
  <c r="F813" i="14"/>
  <c r="B813" i="14"/>
  <c r="F812" i="14"/>
  <c r="B812" i="14"/>
  <c r="F811" i="14"/>
  <c r="B811" i="14"/>
  <c r="F810" i="14"/>
  <c r="B810" i="14"/>
  <c r="F809" i="14"/>
  <c r="B809" i="14"/>
  <c r="F808" i="14"/>
  <c r="B808" i="14"/>
  <c r="F807" i="14"/>
  <c r="B807" i="14"/>
  <c r="F806" i="14"/>
  <c r="B806" i="14"/>
  <c r="F805" i="14"/>
  <c r="B805" i="14"/>
  <c r="F804" i="14"/>
  <c r="B804" i="14"/>
  <c r="F803" i="14"/>
  <c r="B803" i="14"/>
  <c r="F802" i="14"/>
  <c r="B802" i="14"/>
  <c r="F801" i="14"/>
  <c r="B801" i="14"/>
  <c r="F800" i="14"/>
  <c r="B800" i="14"/>
  <c r="F799" i="14"/>
  <c r="B799" i="14"/>
  <c r="F798" i="14"/>
  <c r="B798" i="14"/>
  <c r="F797" i="14"/>
  <c r="B797" i="14"/>
  <c r="F796" i="14"/>
  <c r="B796" i="14"/>
  <c r="F795" i="14"/>
  <c r="B795" i="14"/>
  <c r="F794" i="14"/>
  <c r="B794" i="14"/>
  <c r="F793" i="14"/>
  <c r="B793" i="14"/>
  <c r="F792" i="14"/>
  <c r="B792" i="14"/>
  <c r="F791" i="14"/>
  <c r="B791" i="14"/>
  <c r="F790" i="14"/>
  <c r="B790" i="14"/>
  <c r="F789" i="14"/>
  <c r="B789" i="14"/>
  <c r="F788" i="14"/>
  <c r="B788" i="14"/>
  <c r="F787" i="14"/>
  <c r="B787" i="14"/>
  <c r="F786" i="14"/>
  <c r="B786" i="14"/>
  <c r="F785" i="14"/>
  <c r="B785" i="14"/>
  <c r="F784" i="14"/>
  <c r="B784" i="14"/>
  <c r="F783" i="14"/>
  <c r="B783" i="14"/>
  <c r="F782" i="14"/>
  <c r="B782" i="14"/>
  <c r="F781" i="14"/>
  <c r="B781" i="14"/>
  <c r="F780" i="14"/>
  <c r="B780" i="14"/>
  <c r="F779" i="14"/>
  <c r="B779" i="14"/>
  <c r="F778" i="14"/>
  <c r="B778" i="14"/>
  <c r="F777" i="14"/>
  <c r="B777" i="14"/>
  <c r="F776" i="14"/>
  <c r="B776" i="14"/>
  <c r="F775" i="14"/>
  <c r="B775" i="14"/>
  <c r="F774" i="14"/>
  <c r="B774" i="14"/>
  <c r="F773" i="14"/>
  <c r="B773" i="14"/>
  <c r="F772" i="14"/>
  <c r="B772" i="14"/>
  <c r="F771" i="14"/>
  <c r="B771" i="14"/>
  <c r="F770" i="14"/>
  <c r="B770" i="14"/>
  <c r="F769" i="14"/>
  <c r="B769" i="14"/>
  <c r="F768" i="14"/>
  <c r="B768" i="14"/>
  <c r="F767" i="14"/>
  <c r="B767" i="14"/>
  <c r="F766" i="14"/>
  <c r="B766" i="14"/>
  <c r="F765" i="14"/>
  <c r="B765" i="14"/>
  <c r="F764" i="14"/>
  <c r="B764" i="14"/>
  <c r="F763" i="14"/>
  <c r="B763" i="14"/>
  <c r="F762" i="14"/>
  <c r="B762" i="14"/>
  <c r="F761" i="14"/>
  <c r="B761" i="14"/>
  <c r="F760" i="14"/>
  <c r="B760" i="14"/>
  <c r="F759" i="14"/>
  <c r="B759" i="14"/>
  <c r="F758" i="14"/>
  <c r="B758" i="14"/>
  <c r="F757" i="14"/>
  <c r="B757" i="14"/>
  <c r="F756" i="14"/>
  <c r="B756" i="14"/>
  <c r="F755" i="14"/>
  <c r="B755" i="14"/>
  <c r="F754" i="14"/>
  <c r="B754" i="14"/>
  <c r="F753" i="14"/>
  <c r="B753" i="14"/>
  <c r="F752" i="14"/>
  <c r="B752" i="14"/>
  <c r="F751" i="14"/>
  <c r="B751" i="14"/>
  <c r="F750" i="14"/>
  <c r="B750" i="14"/>
  <c r="F749" i="14"/>
  <c r="B749" i="14"/>
  <c r="F748" i="14"/>
  <c r="B748" i="14"/>
  <c r="F747" i="14"/>
  <c r="B747" i="14"/>
  <c r="F746" i="14"/>
  <c r="B746" i="14"/>
  <c r="F745" i="14"/>
  <c r="B745" i="14"/>
  <c r="F744" i="14"/>
  <c r="B744" i="14"/>
  <c r="F743" i="14"/>
  <c r="B743" i="14"/>
  <c r="F742" i="14"/>
  <c r="B742" i="14"/>
  <c r="F741" i="14"/>
  <c r="B741" i="14"/>
  <c r="F740" i="14"/>
  <c r="B740" i="14"/>
  <c r="F739" i="14"/>
  <c r="B739" i="14"/>
  <c r="F738" i="14"/>
  <c r="B738" i="14"/>
  <c r="F737" i="14"/>
  <c r="B737" i="14"/>
  <c r="F736" i="14"/>
  <c r="B736" i="14"/>
  <c r="F735" i="14"/>
  <c r="B735" i="14"/>
  <c r="F734" i="14"/>
  <c r="B734" i="14"/>
  <c r="F733" i="14"/>
  <c r="B733" i="14"/>
  <c r="F732" i="14"/>
  <c r="B732" i="14"/>
  <c r="F731" i="14"/>
  <c r="B731" i="14"/>
  <c r="F730" i="14"/>
  <c r="B730" i="14"/>
  <c r="F729" i="14"/>
  <c r="B729" i="14"/>
  <c r="F728" i="14"/>
  <c r="B728" i="14"/>
  <c r="F727" i="14"/>
  <c r="B727" i="14"/>
  <c r="F726" i="14"/>
  <c r="B726" i="14"/>
  <c r="F725" i="14"/>
  <c r="B725" i="14"/>
  <c r="F724" i="14"/>
  <c r="B724" i="14"/>
  <c r="F723" i="14"/>
  <c r="B723" i="14"/>
  <c r="F722" i="14"/>
  <c r="B722" i="14"/>
  <c r="F721" i="14"/>
  <c r="B721" i="14"/>
  <c r="F720" i="14"/>
  <c r="B720" i="14"/>
  <c r="F719" i="14"/>
  <c r="B719" i="14"/>
  <c r="F718" i="14"/>
  <c r="B718" i="14"/>
  <c r="F717" i="14"/>
  <c r="B717" i="14"/>
  <c r="F716" i="14"/>
  <c r="B716" i="14"/>
  <c r="F715" i="14"/>
  <c r="B715" i="14"/>
  <c r="F714" i="14"/>
  <c r="B714" i="14"/>
  <c r="F713" i="14"/>
  <c r="B713" i="14"/>
  <c r="F712" i="14"/>
  <c r="B712" i="14"/>
  <c r="F711" i="14"/>
  <c r="B711" i="14"/>
  <c r="F710" i="14"/>
  <c r="B710" i="14"/>
  <c r="F709" i="14"/>
  <c r="B709" i="14"/>
  <c r="F708" i="14"/>
  <c r="B708" i="14"/>
  <c r="F707" i="14"/>
  <c r="B707" i="14"/>
  <c r="F706" i="14"/>
  <c r="B706" i="14"/>
  <c r="F705" i="14"/>
  <c r="B705" i="14"/>
  <c r="F704" i="14"/>
  <c r="B704" i="14"/>
  <c r="F703" i="14"/>
  <c r="B703" i="14"/>
  <c r="F702" i="14"/>
  <c r="B702" i="14"/>
  <c r="F701" i="14"/>
  <c r="B701" i="14"/>
  <c r="F700" i="14"/>
  <c r="B700" i="14"/>
  <c r="F699" i="14"/>
  <c r="B699" i="14"/>
  <c r="F698" i="14"/>
  <c r="B698" i="14"/>
  <c r="F697" i="14"/>
  <c r="B697" i="14"/>
  <c r="F696" i="14"/>
  <c r="B696" i="14"/>
  <c r="F695" i="14"/>
  <c r="B695" i="14"/>
  <c r="F694" i="14"/>
  <c r="B694" i="14"/>
  <c r="F693" i="14"/>
  <c r="B693" i="14"/>
  <c r="F692" i="14"/>
  <c r="B692" i="14"/>
  <c r="F691" i="14"/>
  <c r="B691" i="14"/>
  <c r="F690" i="14"/>
  <c r="B690" i="14"/>
  <c r="F689" i="14"/>
  <c r="B689" i="14"/>
  <c r="F688" i="14"/>
  <c r="B688" i="14"/>
  <c r="F687" i="14"/>
  <c r="B687" i="14"/>
  <c r="F686" i="14"/>
  <c r="B686" i="14"/>
  <c r="F685" i="14"/>
  <c r="B685" i="14"/>
  <c r="F684" i="14"/>
  <c r="B684" i="14"/>
  <c r="F683" i="14"/>
  <c r="B683" i="14"/>
  <c r="F682" i="14"/>
  <c r="B682" i="14"/>
  <c r="F681" i="14"/>
  <c r="B681" i="14"/>
  <c r="F680" i="14"/>
  <c r="B680" i="14"/>
  <c r="F679" i="14"/>
  <c r="B679" i="14"/>
  <c r="F678" i="14"/>
  <c r="B678" i="14"/>
  <c r="F677" i="14"/>
  <c r="B677" i="14"/>
  <c r="F676" i="14"/>
  <c r="B676" i="14"/>
  <c r="F675" i="14"/>
  <c r="B675" i="14"/>
  <c r="F674" i="14"/>
  <c r="B674" i="14"/>
  <c r="F673" i="14"/>
  <c r="B673" i="14"/>
  <c r="F672" i="14"/>
  <c r="B672" i="14"/>
  <c r="F671" i="14"/>
  <c r="B671" i="14"/>
  <c r="F670" i="14"/>
  <c r="B670" i="14"/>
  <c r="F669" i="14"/>
  <c r="B669" i="14"/>
  <c r="F668" i="14"/>
  <c r="B668" i="14"/>
  <c r="F667" i="14"/>
  <c r="B667" i="14"/>
  <c r="F666" i="14"/>
  <c r="B666" i="14"/>
  <c r="F665" i="14"/>
  <c r="B665" i="14"/>
  <c r="F664" i="14"/>
  <c r="B664" i="14"/>
  <c r="F663" i="14"/>
  <c r="B663" i="14"/>
  <c r="F662" i="14"/>
  <c r="B662" i="14"/>
  <c r="F661" i="14"/>
  <c r="B661" i="14"/>
  <c r="F660" i="14"/>
  <c r="B660" i="14"/>
  <c r="F659" i="14"/>
  <c r="B659" i="14"/>
  <c r="F658" i="14"/>
  <c r="B658" i="14"/>
  <c r="F657" i="14"/>
  <c r="B657" i="14"/>
  <c r="F656" i="14"/>
  <c r="B656" i="14"/>
  <c r="F655" i="14"/>
  <c r="B655" i="14"/>
  <c r="F654" i="14"/>
  <c r="B654" i="14"/>
  <c r="F653" i="14"/>
  <c r="B653" i="14"/>
  <c r="F652" i="14"/>
  <c r="B652" i="14"/>
  <c r="F651" i="14"/>
  <c r="B651" i="14"/>
  <c r="F650" i="14"/>
  <c r="B650" i="14"/>
  <c r="F649" i="14"/>
  <c r="B649" i="14"/>
  <c r="F648" i="14"/>
  <c r="B648" i="14"/>
  <c r="F647" i="14"/>
  <c r="B647" i="14"/>
  <c r="F646" i="14"/>
  <c r="B646" i="14"/>
  <c r="F645" i="14"/>
  <c r="B645" i="14"/>
  <c r="F644" i="14"/>
  <c r="B644" i="14"/>
  <c r="F643" i="14"/>
  <c r="B643" i="14"/>
  <c r="F642" i="14"/>
  <c r="B642" i="14"/>
  <c r="F641" i="14"/>
  <c r="B641" i="14"/>
  <c r="F640" i="14"/>
  <c r="B640" i="14"/>
  <c r="F639" i="14"/>
  <c r="B639" i="14"/>
  <c r="F638" i="14"/>
  <c r="B638" i="14"/>
  <c r="F637" i="14"/>
  <c r="B637" i="14"/>
  <c r="F636" i="14"/>
  <c r="B636" i="14"/>
  <c r="F635" i="14"/>
  <c r="B635" i="14"/>
  <c r="F634" i="14"/>
  <c r="B634" i="14"/>
  <c r="F633" i="14"/>
  <c r="B633" i="14"/>
  <c r="F632" i="14"/>
  <c r="B632" i="14"/>
  <c r="F631" i="14"/>
  <c r="B631" i="14"/>
  <c r="F630" i="14"/>
  <c r="B630" i="14"/>
  <c r="F629" i="14"/>
  <c r="B629" i="14"/>
  <c r="F628" i="14"/>
  <c r="B628" i="14"/>
  <c r="F627" i="14"/>
  <c r="B627" i="14"/>
  <c r="F626" i="14"/>
  <c r="B626" i="14"/>
  <c r="F625" i="14"/>
  <c r="B625" i="14"/>
  <c r="F624" i="14"/>
  <c r="B624" i="14"/>
  <c r="F623" i="14"/>
  <c r="B623" i="14"/>
  <c r="F622" i="14"/>
  <c r="B622" i="14"/>
  <c r="F621" i="14"/>
  <c r="B621" i="14"/>
  <c r="F620" i="14"/>
  <c r="B620" i="14"/>
  <c r="F619" i="14"/>
  <c r="B619" i="14"/>
  <c r="F618" i="14"/>
  <c r="B618" i="14"/>
  <c r="F617" i="14"/>
  <c r="B617" i="14"/>
  <c r="F616" i="14"/>
  <c r="B616" i="14"/>
  <c r="F615" i="14"/>
  <c r="B615" i="14"/>
  <c r="F614" i="14"/>
  <c r="B614" i="14"/>
  <c r="F613" i="14"/>
  <c r="B613" i="14"/>
  <c r="F612" i="14"/>
  <c r="B612" i="14"/>
  <c r="F611" i="14"/>
  <c r="B611" i="14"/>
  <c r="F610" i="14"/>
  <c r="B610" i="14"/>
  <c r="F609" i="14"/>
  <c r="B609" i="14"/>
  <c r="F608" i="14"/>
  <c r="B608" i="14"/>
  <c r="F607" i="14"/>
  <c r="B607" i="14"/>
  <c r="F606" i="14"/>
  <c r="B606" i="14"/>
  <c r="F605" i="14"/>
  <c r="B605" i="14"/>
  <c r="F604" i="14"/>
  <c r="B604" i="14"/>
  <c r="F603" i="14"/>
  <c r="B603" i="14"/>
  <c r="F602" i="14"/>
  <c r="B602" i="14"/>
  <c r="F601" i="14"/>
  <c r="B601" i="14"/>
  <c r="F600" i="14"/>
  <c r="B600" i="14"/>
  <c r="F599" i="14"/>
  <c r="B599" i="14"/>
  <c r="F598" i="14"/>
  <c r="B598" i="14"/>
  <c r="F597" i="14"/>
  <c r="B597" i="14"/>
  <c r="F596" i="14"/>
  <c r="B596" i="14"/>
  <c r="F595" i="14"/>
  <c r="B595" i="14"/>
  <c r="F594" i="14"/>
  <c r="B594" i="14"/>
  <c r="F593" i="14"/>
  <c r="B593" i="14"/>
  <c r="F592" i="14"/>
  <c r="B592" i="14"/>
  <c r="F591" i="14"/>
  <c r="B591" i="14"/>
  <c r="F590" i="14"/>
  <c r="B590" i="14"/>
  <c r="F589" i="14"/>
  <c r="B589" i="14"/>
  <c r="F588" i="14"/>
  <c r="B588" i="14"/>
  <c r="F587" i="14"/>
  <c r="B587" i="14"/>
  <c r="F586" i="14"/>
  <c r="B586" i="14"/>
  <c r="F585" i="14"/>
  <c r="B585" i="14"/>
  <c r="F584" i="14"/>
  <c r="B584" i="14"/>
  <c r="F583" i="14"/>
  <c r="B583" i="14"/>
  <c r="F582" i="14"/>
  <c r="B582" i="14"/>
  <c r="F581" i="14"/>
  <c r="B581" i="14"/>
  <c r="F580" i="14"/>
  <c r="B580" i="14"/>
  <c r="F579" i="14"/>
  <c r="B579" i="14"/>
  <c r="F578" i="14"/>
  <c r="B578" i="14"/>
  <c r="F577" i="14"/>
  <c r="B577" i="14"/>
  <c r="F576" i="14"/>
  <c r="B576" i="14"/>
  <c r="F575" i="14"/>
  <c r="B575" i="14"/>
  <c r="F574" i="14"/>
  <c r="B574" i="14"/>
  <c r="F573" i="14"/>
  <c r="B573" i="14"/>
  <c r="F572" i="14"/>
  <c r="B572" i="14"/>
  <c r="F571" i="14"/>
  <c r="B571" i="14"/>
  <c r="F570" i="14"/>
  <c r="B570" i="14"/>
  <c r="F569" i="14"/>
  <c r="B569" i="14"/>
  <c r="F568" i="14"/>
  <c r="B568" i="14"/>
  <c r="F567" i="14"/>
  <c r="B567" i="14"/>
  <c r="F566" i="14"/>
  <c r="B566" i="14"/>
  <c r="F565" i="14"/>
  <c r="B565" i="14"/>
  <c r="F564" i="14"/>
  <c r="B564" i="14"/>
  <c r="F563" i="14"/>
  <c r="B563" i="14"/>
  <c r="F562" i="14"/>
  <c r="B562" i="14"/>
  <c r="F561" i="14"/>
  <c r="B561" i="14"/>
  <c r="F560" i="14"/>
  <c r="B560" i="14"/>
  <c r="F559" i="14"/>
  <c r="B559" i="14"/>
  <c r="F558" i="14"/>
  <c r="B558" i="14"/>
  <c r="F557" i="14"/>
  <c r="B557" i="14"/>
  <c r="F556" i="14"/>
  <c r="B556" i="14"/>
  <c r="F555" i="14"/>
  <c r="B555" i="14"/>
  <c r="F554" i="14"/>
  <c r="B554" i="14"/>
  <c r="F553" i="14"/>
  <c r="B553" i="14"/>
  <c r="F552" i="14"/>
  <c r="B552" i="14"/>
  <c r="F551" i="14"/>
  <c r="B551" i="14"/>
  <c r="F550" i="14"/>
  <c r="B550" i="14"/>
  <c r="F549" i="14"/>
  <c r="B549" i="14"/>
  <c r="F548" i="14"/>
  <c r="B548" i="14"/>
  <c r="F547" i="14"/>
  <c r="B547" i="14"/>
  <c r="F546" i="14"/>
  <c r="B546" i="14"/>
  <c r="F545" i="14"/>
  <c r="B545" i="14"/>
  <c r="F544" i="14"/>
  <c r="B544" i="14"/>
  <c r="F543" i="14"/>
  <c r="B543" i="14"/>
  <c r="F542" i="14"/>
  <c r="B542" i="14"/>
  <c r="F541" i="14"/>
  <c r="B541" i="14"/>
  <c r="F540" i="14"/>
  <c r="B540" i="14"/>
  <c r="F539" i="14"/>
  <c r="B539" i="14"/>
  <c r="F538" i="14"/>
  <c r="B538" i="14"/>
  <c r="F537" i="14"/>
  <c r="B537" i="14"/>
  <c r="F536" i="14"/>
  <c r="B536" i="14"/>
  <c r="F535" i="14"/>
  <c r="B535" i="14"/>
  <c r="F534" i="14"/>
  <c r="B534" i="14"/>
  <c r="F533" i="14"/>
  <c r="B533" i="14"/>
  <c r="F532" i="14"/>
  <c r="B532" i="14"/>
  <c r="F531" i="14"/>
  <c r="B531" i="14"/>
  <c r="F530" i="14"/>
  <c r="B530" i="14"/>
  <c r="F529" i="14"/>
  <c r="B529" i="14"/>
  <c r="F528" i="14"/>
  <c r="B528" i="14"/>
  <c r="F527" i="14"/>
  <c r="B527" i="14"/>
  <c r="F526" i="14"/>
  <c r="B526" i="14"/>
  <c r="F525" i="14"/>
  <c r="B525" i="14"/>
  <c r="F524" i="14"/>
  <c r="B524" i="14"/>
  <c r="F523" i="14"/>
  <c r="B523" i="14"/>
  <c r="F522" i="14"/>
  <c r="B522" i="14"/>
  <c r="F521" i="14"/>
  <c r="B521" i="14"/>
  <c r="F520" i="14"/>
  <c r="B520" i="14"/>
  <c r="F519" i="14"/>
  <c r="B519" i="14"/>
  <c r="F518" i="14"/>
  <c r="B518" i="14"/>
  <c r="F517" i="14"/>
  <c r="B517" i="14"/>
  <c r="F516" i="14"/>
  <c r="B516" i="14"/>
  <c r="F515" i="14"/>
  <c r="B515" i="14"/>
  <c r="F514" i="14"/>
  <c r="B514" i="14"/>
  <c r="F513" i="14"/>
  <c r="B513" i="14"/>
  <c r="F512" i="14"/>
  <c r="B512" i="14"/>
  <c r="F511" i="14"/>
  <c r="B511" i="14"/>
  <c r="F510" i="14"/>
  <c r="B510" i="14"/>
  <c r="F509" i="14"/>
  <c r="B509" i="14"/>
  <c r="F508" i="14"/>
  <c r="B508" i="14"/>
  <c r="F507" i="14"/>
  <c r="B507" i="14"/>
  <c r="F506" i="14"/>
  <c r="B506" i="14"/>
  <c r="F505" i="14"/>
  <c r="B505" i="14"/>
  <c r="F504" i="14"/>
  <c r="B504" i="14"/>
  <c r="F503" i="14"/>
  <c r="B503" i="14"/>
  <c r="F502" i="14"/>
  <c r="B502" i="14"/>
  <c r="F501" i="14"/>
  <c r="B501" i="14"/>
  <c r="F500" i="14"/>
  <c r="B500" i="14"/>
  <c r="F499" i="14"/>
  <c r="B499" i="14"/>
  <c r="F498" i="14"/>
  <c r="B498" i="14"/>
  <c r="F497" i="14"/>
  <c r="B497" i="14"/>
  <c r="F496" i="14"/>
  <c r="B496" i="14"/>
  <c r="F495" i="14"/>
  <c r="B495" i="14"/>
  <c r="F494" i="14"/>
  <c r="B494" i="14"/>
  <c r="F493" i="14"/>
  <c r="B493" i="14"/>
  <c r="F492" i="14"/>
  <c r="B492" i="14"/>
  <c r="F491" i="14"/>
  <c r="B491" i="14"/>
  <c r="F490" i="14"/>
  <c r="B490" i="14"/>
  <c r="F489" i="14"/>
  <c r="B489" i="14"/>
  <c r="F488" i="14"/>
  <c r="B488" i="14"/>
  <c r="F487" i="14"/>
  <c r="B487" i="14"/>
  <c r="F486" i="14"/>
  <c r="B486" i="14"/>
  <c r="F485" i="14"/>
  <c r="B485" i="14"/>
  <c r="F484" i="14"/>
  <c r="B484" i="14"/>
  <c r="F483" i="14"/>
  <c r="B483" i="14"/>
  <c r="F482" i="14"/>
  <c r="B482" i="14"/>
  <c r="F481" i="14"/>
  <c r="B481" i="14"/>
  <c r="F480" i="14"/>
  <c r="B480" i="14"/>
  <c r="F479" i="14"/>
  <c r="B479" i="14"/>
  <c r="F478" i="14"/>
  <c r="B478" i="14"/>
  <c r="F477" i="14"/>
  <c r="B477" i="14"/>
  <c r="F476" i="14"/>
  <c r="B476" i="14"/>
  <c r="F475" i="14"/>
  <c r="B475" i="14"/>
  <c r="F474" i="14"/>
  <c r="B474" i="14"/>
  <c r="F473" i="14"/>
  <c r="B473" i="14"/>
  <c r="F472" i="14"/>
  <c r="B472" i="14"/>
  <c r="F471" i="14"/>
  <c r="B471" i="14"/>
  <c r="F470" i="14"/>
  <c r="B470" i="14"/>
  <c r="F469" i="14"/>
  <c r="B469" i="14"/>
  <c r="F468" i="14"/>
  <c r="B468" i="14"/>
  <c r="F467" i="14"/>
  <c r="B467" i="14"/>
  <c r="F466" i="14"/>
  <c r="B466" i="14"/>
  <c r="F465" i="14"/>
  <c r="B465" i="14"/>
  <c r="F464" i="14"/>
  <c r="B464" i="14"/>
  <c r="F463" i="14"/>
  <c r="B463" i="14"/>
  <c r="F462" i="14"/>
  <c r="B462" i="14"/>
  <c r="F461" i="14"/>
  <c r="B461" i="14"/>
  <c r="F460" i="14"/>
  <c r="B460" i="14"/>
  <c r="F459" i="14"/>
  <c r="B459" i="14"/>
  <c r="F458" i="14"/>
  <c r="B458" i="14"/>
  <c r="F457" i="14"/>
  <c r="B457" i="14"/>
  <c r="F456" i="14"/>
  <c r="B456" i="14"/>
  <c r="F455" i="14"/>
  <c r="B455" i="14"/>
  <c r="F454" i="14"/>
  <c r="B454" i="14"/>
  <c r="F453" i="14"/>
  <c r="B453" i="14"/>
  <c r="F452" i="14"/>
  <c r="B452" i="14"/>
  <c r="F451" i="14"/>
  <c r="B451" i="14"/>
  <c r="F450" i="14"/>
  <c r="B450" i="14"/>
  <c r="F449" i="14"/>
  <c r="B449" i="14"/>
  <c r="F448" i="14"/>
  <c r="B448" i="14"/>
  <c r="F447" i="14"/>
  <c r="B447" i="14"/>
  <c r="F446" i="14"/>
  <c r="B446" i="14"/>
  <c r="F445" i="14"/>
  <c r="B445" i="14"/>
  <c r="F444" i="14"/>
  <c r="B444" i="14"/>
  <c r="F443" i="14"/>
  <c r="B443" i="14"/>
  <c r="F442" i="14"/>
  <c r="B442" i="14"/>
  <c r="F441" i="14"/>
  <c r="B441" i="14"/>
  <c r="F440" i="14"/>
  <c r="B440" i="14"/>
  <c r="F439" i="14"/>
  <c r="B439" i="14"/>
  <c r="F438" i="14"/>
  <c r="B438" i="14"/>
  <c r="F437" i="14"/>
  <c r="B437" i="14"/>
  <c r="F436" i="14"/>
  <c r="B436" i="14"/>
  <c r="F435" i="14"/>
  <c r="B435" i="14"/>
  <c r="F434" i="14"/>
  <c r="B434" i="14"/>
  <c r="F433" i="14"/>
  <c r="B433" i="14"/>
  <c r="F432" i="14"/>
  <c r="B432" i="14"/>
  <c r="F431" i="14"/>
  <c r="B431" i="14"/>
  <c r="F430" i="14"/>
  <c r="B430" i="14"/>
  <c r="F429" i="14"/>
  <c r="B429" i="14"/>
  <c r="F428" i="14"/>
  <c r="B428" i="14"/>
  <c r="F427" i="14"/>
  <c r="B427" i="14"/>
  <c r="F426" i="14"/>
  <c r="B426" i="14"/>
  <c r="F425" i="14"/>
  <c r="B425" i="14"/>
  <c r="F424" i="14"/>
  <c r="B424" i="14"/>
  <c r="F423" i="14"/>
  <c r="B423" i="14"/>
  <c r="F422" i="14"/>
  <c r="B422" i="14"/>
  <c r="F421" i="14"/>
  <c r="B421" i="14"/>
  <c r="F420" i="14"/>
  <c r="B420" i="14"/>
  <c r="F419" i="14"/>
  <c r="B419" i="14"/>
  <c r="F418" i="14"/>
  <c r="B418" i="14"/>
  <c r="F417" i="14"/>
  <c r="B417" i="14"/>
  <c r="F416" i="14"/>
  <c r="B416" i="14"/>
  <c r="F415" i="14"/>
  <c r="B415" i="14"/>
  <c r="F414" i="14"/>
  <c r="B414" i="14"/>
  <c r="F413" i="14"/>
  <c r="B413" i="14"/>
  <c r="F412" i="14"/>
  <c r="B412" i="14"/>
  <c r="F411" i="14"/>
  <c r="B411" i="14"/>
  <c r="F410" i="14"/>
  <c r="B410" i="14"/>
  <c r="F409" i="14"/>
  <c r="B409" i="14"/>
  <c r="F408" i="14"/>
  <c r="B408" i="14"/>
  <c r="F407" i="14"/>
  <c r="B407" i="14"/>
  <c r="F406" i="14"/>
  <c r="B406" i="14"/>
  <c r="F405" i="14"/>
  <c r="B405" i="14"/>
  <c r="F404" i="14"/>
  <c r="B404" i="14"/>
  <c r="F403" i="14"/>
  <c r="B403" i="14"/>
  <c r="F402" i="14"/>
  <c r="B402" i="14"/>
  <c r="F401" i="14"/>
  <c r="B401" i="14"/>
  <c r="F400" i="14"/>
  <c r="B400" i="14"/>
  <c r="F399" i="14"/>
  <c r="B399" i="14"/>
  <c r="F398" i="14"/>
  <c r="B398" i="14"/>
  <c r="F397" i="14"/>
  <c r="B397" i="14"/>
  <c r="F396" i="14"/>
  <c r="B396" i="14"/>
  <c r="F395" i="14"/>
  <c r="B395" i="14"/>
  <c r="F394" i="14"/>
  <c r="B394" i="14"/>
  <c r="F393" i="14"/>
  <c r="B393" i="14"/>
  <c r="F392" i="14"/>
  <c r="B392" i="14"/>
  <c r="F391" i="14"/>
  <c r="B391" i="14"/>
  <c r="F390" i="14"/>
  <c r="B390" i="14"/>
  <c r="F389" i="14"/>
  <c r="B389" i="14"/>
  <c r="F388" i="14"/>
  <c r="B388" i="14"/>
  <c r="F387" i="14"/>
  <c r="B387" i="14"/>
  <c r="F386" i="14"/>
  <c r="B386" i="14"/>
  <c r="F385" i="14"/>
  <c r="B385" i="14"/>
  <c r="F384" i="14"/>
  <c r="B384" i="14"/>
  <c r="F383" i="14"/>
  <c r="B383" i="14"/>
  <c r="F382" i="14"/>
  <c r="B382" i="14"/>
  <c r="F381" i="14"/>
  <c r="B381" i="14"/>
  <c r="F380" i="14"/>
  <c r="B380" i="14"/>
  <c r="F379" i="14"/>
  <c r="B379" i="14"/>
  <c r="F378" i="14"/>
  <c r="B378" i="14"/>
  <c r="F377" i="14"/>
  <c r="B377" i="14"/>
  <c r="F376" i="14"/>
  <c r="B376" i="14"/>
  <c r="F375" i="14"/>
  <c r="B375" i="14"/>
  <c r="F374" i="14"/>
  <c r="B374" i="14"/>
  <c r="F373" i="14"/>
  <c r="B373" i="14"/>
  <c r="F372" i="14"/>
  <c r="B372" i="14"/>
  <c r="F371" i="14"/>
  <c r="B371" i="14"/>
  <c r="F370" i="14"/>
  <c r="B370" i="14"/>
  <c r="F369" i="14"/>
  <c r="B369" i="14"/>
  <c r="F368" i="14"/>
  <c r="B368" i="14"/>
  <c r="F367" i="14"/>
  <c r="B367" i="14"/>
  <c r="F366" i="14"/>
  <c r="B366" i="14"/>
  <c r="F365" i="14"/>
  <c r="B365" i="14"/>
  <c r="F364" i="14"/>
  <c r="B364" i="14"/>
  <c r="F363" i="14"/>
  <c r="B363" i="14"/>
  <c r="F362" i="14"/>
  <c r="B362" i="14"/>
  <c r="F361" i="14"/>
  <c r="B361" i="14"/>
  <c r="F360" i="14"/>
  <c r="B360" i="14"/>
  <c r="F359" i="14"/>
  <c r="B359" i="14"/>
  <c r="F358" i="14"/>
  <c r="B358" i="14"/>
  <c r="F357" i="14"/>
  <c r="B357" i="14"/>
  <c r="F356" i="14"/>
  <c r="B356" i="14"/>
  <c r="F355" i="14"/>
  <c r="B355" i="14"/>
  <c r="F354" i="14"/>
  <c r="B354" i="14"/>
  <c r="F353" i="14"/>
  <c r="B353" i="14"/>
  <c r="F352" i="14"/>
  <c r="B352" i="14"/>
  <c r="F351" i="14"/>
  <c r="B351" i="14"/>
  <c r="F350" i="14"/>
  <c r="B350" i="14"/>
  <c r="F349" i="14"/>
  <c r="B349" i="14"/>
  <c r="F348" i="14"/>
  <c r="B348" i="14"/>
  <c r="F347" i="14"/>
  <c r="B347" i="14"/>
  <c r="F346" i="14"/>
  <c r="B346" i="14"/>
  <c r="F345" i="14"/>
  <c r="B345" i="14"/>
  <c r="F344" i="14"/>
  <c r="B344" i="14"/>
  <c r="F343" i="14"/>
  <c r="B343" i="14"/>
  <c r="F342" i="14"/>
  <c r="B342" i="14"/>
  <c r="F341" i="14"/>
  <c r="B341" i="14"/>
  <c r="F340" i="14"/>
  <c r="B340" i="14"/>
  <c r="F339" i="14"/>
  <c r="B339" i="14"/>
  <c r="F338" i="14"/>
  <c r="B338" i="14"/>
  <c r="F337" i="14"/>
  <c r="B337" i="14"/>
  <c r="F336" i="14"/>
  <c r="B336" i="14"/>
  <c r="F335" i="14"/>
  <c r="B335" i="14"/>
  <c r="F334" i="14"/>
  <c r="B334" i="14"/>
  <c r="F333" i="14"/>
  <c r="B333" i="14"/>
  <c r="F332" i="14"/>
  <c r="B332" i="14"/>
  <c r="F331" i="14"/>
  <c r="B331" i="14"/>
  <c r="F330" i="14"/>
  <c r="B330" i="14"/>
  <c r="F329" i="14"/>
  <c r="B329" i="14"/>
  <c r="F328" i="14"/>
  <c r="B328" i="14"/>
  <c r="F327" i="14"/>
  <c r="B327" i="14"/>
  <c r="F326" i="14"/>
  <c r="B326" i="14"/>
  <c r="F325" i="14"/>
  <c r="B325" i="14"/>
  <c r="F324" i="14"/>
  <c r="B324" i="14"/>
  <c r="F323" i="14"/>
  <c r="B323" i="14"/>
  <c r="F322" i="14"/>
  <c r="B322" i="14"/>
  <c r="F321" i="14"/>
  <c r="B321" i="14"/>
  <c r="F320" i="14"/>
  <c r="B320" i="14"/>
  <c r="F319" i="14"/>
  <c r="B319" i="14"/>
  <c r="F318" i="14"/>
  <c r="B318" i="14"/>
  <c r="F317" i="14"/>
  <c r="B317" i="14"/>
  <c r="F316" i="14"/>
  <c r="B316" i="14"/>
  <c r="F315" i="14"/>
  <c r="B315" i="14"/>
  <c r="F314" i="14"/>
  <c r="B314" i="14"/>
  <c r="F313" i="14"/>
  <c r="B313" i="14"/>
  <c r="F312" i="14"/>
  <c r="B312" i="14"/>
  <c r="F311" i="14"/>
  <c r="B311" i="14"/>
  <c r="F310" i="14"/>
  <c r="B310" i="14"/>
  <c r="F309" i="14"/>
  <c r="B309" i="14"/>
  <c r="F308" i="14"/>
  <c r="B308" i="14"/>
  <c r="F307" i="14"/>
  <c r="B307" i="14"/>
  <c r="F306" i="14"/>
  <c r="B306" i="14"/>
  <c r="F305" i="14"/>
  <c r="B305" i="14"/>
  <c r="F304" i="14"/>
  <c r="B304" i="14"/>
  <c r="F303" i="14"/>
  <c r="B303" i="14"/>
  <c r="F302" i="14"/>
  <c r="B302" i="14"/>
  <c r="F301" i="14"/>
  <c r="B301" i="14"/>
  <c r="F300" i="14"/>
  <c r="B300" i="14"/>
  <c r="F299" i="14"/>
  <c r="B299" i="14"/>
  <c r="F298" i="14"/>
  <c r="B298" i="14"/>
  <c r="F297" i="14"/>
  <c r="B297" i="14"/>
  <c r="F296" i="14"/>
  <c r="B296" i="14"/>
  <c r="F295" i="14"/>
  <c r="B295" i="14"/>
  <c r="F294" i="14"/>
  <c r="B294" i="14"/>
  <c r="F293" i="14"/>
  <c r="B293" i="14"/>
  <c r="F292" i="14"/>
  <c r="B292" i="14"/>
  <c r="F291" i="14"/>
  <c r="B291" i="14"/>
  <c r="F290" i="14"/>
  <c r="B290" i="14"/>
  <c r="F289" i="14"/>
  <c r="B289" i="14"/>
  <c r="F288" i="14"/>
  <c r="B288" i="14"/>
  <c r="F287" i="14"/>
  <c r="B287" i="14"/>
  <c r="F286" i="14"/>
  <c r="B286" i="14"/>
  <c r="F285" i="14"/>
  <c r="B285" i="14"/>
  <c r="F284" i="14"/>
  <c r="B284" i="14"/>
  <c r="F283" i="14"/>
  <c r="B283" i="14"/>
  <c r="F282" i="14"/>
  <c r="B282" i="14"/>
  <c r="F281" i="14"/>
  <c r="B281" i="14"/>
  <c r="F280" i="14"/>
  <c r="B280" i="14"/>
  <c r="F279" i="14"/>
  <c r="B279" i="14"/>
  <c r="F278" i="14"/>
  <c r="B278" i="14"/>
  <c r="F277" i="14"/>
  <c r="B277" i="14"/>
  <c r="F276" i="14"/>
  <c r="B276" i="14"/>
  <c r="F275" i="14"/>
  <c r="B275" i="14"/>
  <c r="F274" i="14"/>
  <c r="B274" i="14"/>
  <c r="F273" i="14"/>
  <c r="B273" i="14"/>
  <c r="F272" i="14"/>
  <c r="B272" i="14"/>
  <c r="F271" i="14"/>
  <c r="B271" i="14"/>
  <c r="F270" i="14"/>
  <c r="B270" i="14"/>
  <c r="F269" i="14"/>
  <c r="B269" i="14"/>
  <c r="F268" i="14"/>
  <c r="B268" i="14"/>
  <c r="F267" i="14"/>
  <c r="B267" i="14"/>
  <c r="F266" i="14"/>
  <c r="B266" i="14"/>
  <c r="F265" i="14"/>
  <c r="B265" i="14"/>
  <c r="F264" i="14"/>
  <c r="B264" i="14"/>
  <c r="F263" i="14"/>
  <c r="B263" i="14"/>
  <c r="F262" i="14"/>
  <c r="B262" i="14"/>
  <c r="F261" i="14"/>
  <c r="B261" i="14"/>
  <c r="F260" i="14"/>
  <c r="B260" i="14"/>
  <c r="F259" i="14"/>
  <c r="B259" i="14"/>
  <c r="F258" i="14"/>
  <c r="B258" i="14"/>
  <c r="F257" i="14"/>
  <c r="B257" i="14"/>
  <c r="F256" i="14"/>
  <c r="B256" i="14"/>
  <c r="F255" i="14"/>
  <c r="B255" i="14"/>
  <c r="F254" i="14"/>
  <c r="B254" i="14"/>
  <c r="F253" i="14"/>
  <c r="B253" i="14"/>
  <c r="F252" i="14"/>
  <c r="B252" i="14"/>
  <c r="F251" i="14"/>
  <c r="B251" i="14"/>
  <c r="F250" i="14"/>
  <c r="B250" i="14"/>
  <c r="F249" i="14"/>
  <c r="B249" i="14"/>
  <c r="F248" i="14"/>
  <c r="B248" i="14"/>
  <c r="F247" i="14"/>
  <c r="B247" i="14"/>
  <c r="F246" i="14"/>
  <c r="B246" i="14"/>
  <c r="F245" i="14"/>
  <c r="B245" i="14"/>
  <c r="F244" i="14"/>
  <c r="B244" i="14"/>
  <c r="F243" i="14"/>
  <c r="B243" i="14"/>
  <c r="F242" i="14"/>
  <c r="B242" i="14"/>
  <c r="F241" i="14"/>
  <c r="B241" i="14"/>
  <c r="F240" i="14"/>
  <c r="B240" i="14"/>
  <c r="F239" i="14"/>
  <c r="B239" i="14"/>
  <c r="F238" i="14"/>
  <c r="B238" i="14"/>
  <c r="F237" i="14"/>
  <c r="B237" i="14"/>
  <c r="F236" i="14"/>
  <c r="B236" i="14"/>
  <c r="F235" i="14"/>
  <c r="B235" i="14"/>
  <c r="F234" i="14"/>
  <c r="B234" i="14"/>
  <c r="F233" i="14"/>
  <c r="B233" i="14"/>
  <c r="F232" i="14"/>
  <c r="B232" i="14"/>
  <c r="F231" i="14"/>
  <c r="B231" i="14"/>
  <c r="F230" i="14"/>
  <c r="B230" i="14"/>
  <c r="F229" i="14"/>
  <c r="B229" i="14"/>
  <c r="F228" i="14"/>
  <c r="B228" i="14"/>
  <c r="F227" i="14"/>
  <c r="B227" i="14"/>
  <c r="F226" i="14"/>
  <c r="B226" i="14"/>
  <c r="F225" i="14"/>
  <c r="B225" i="14"/>
  <c r="F224" i="14"/>
  <c r="B224" i="14"/>
  <c r="F223" i="14"/>
  <c r="B223" i="14"/>
  <c r="F222" i="14"/>
  <c r="B222" i="14"/>
  <c r="F221" i="14"/>
  <c r="B221" i="14"/>
  <c r="F220" i="14"/>
  <c r="B220" i="14"/>
  <c r="F219" i="14"/>
  <c r="B219" i="14"/>
  <c r="F218" i="14"/>
  <c r="B218" i="14"/>
  <c r="F217" i="14"/>
  <c r="B217" i="14"/>
  <c r="F216" i="14"/>
  <c r="B216" i="14"/>
  <c r="F215" i="14"/>
  <c r="B215" i="14"/>
  <c r="F214" i="14"/>
  <c r="B214" i="14"/>
  <c r="F213" i="14"/>
  <c r="B213" i="14"/>
  <c r="F212" i="14"/>
  <c r="B212" i="14"/>
  <c r="F211" i="14"/>
  <c r="B211" i="14"/>
  <c r="F210" i="14"/>
  <c r="B210" i="14"/>
  <c r="F209" i="14"/>
  <c r="B209" i="14"/>
  <c r="F208" i="14"/>
  <c r="B208" i="14"/>
  <c r="F207" i="14"/>
  <c r="B207" i="14"/>
  <c r="F206" i="14"/>
  <c r="B206" i="14"/>
  <c r="F205" i="14"/>
  <c r="B205" i="14"/>
  <c r="F204" i="14"/>
  <c r="B204" i="14"/>
  <c r="F203" i="14"/>
  <c r="B203" i="14"/>
  <c r="F202" i="14"/>
  <c r="B202" i="14"/>
  <c r="F201" i="14"/>
  <c r="B201" i="14"/>
  <c r="F200" i="14"/>
  <c r="B200" i="14"/>
  <c r="F199" i="14"/>
  <c r="B199" i="14"/>
  <c r="F198" i="14"/>
  <c r="B198" i="14"/>
  <c r="F197" i="14"/>
  <c r="B197" i="14"/>
  <c r="F196" i="14"/>
  <c r="B196" i="14"/>
  <c r="F195" i="14"/>
  <c r="B195" i="14"/>
  <c r="F194" i="14"/>
  <c r="B194" i="14"/>
  <c r="F193" i="14"/>
  <c r="B193" i="14"/>
  <c r="F192" i="14"/>
  <c r="B192" i="14"/>
  <c r="F191" i="14"/>
  <c r="B191" i="14"/>
  <c r="F190" i="14"/>
  <c r="B190" i="14"/>
  <c r="F189" i="14"/>
  <c r="B189" i="14"/>
  <c r="F188" i="14"/>
  <c r="B188" i="14"/>
  <c r="F187" i="14"/>
  <c r="B187" i="14"/>
  <c r="F186" i="14"/>
  <c r="B186" i="14"/>
  <c r="F185" i="14"/>
  <c r="B185" i="14"/>
  <c r="F184" i="14"/>
  <c r="B184" i="14"/>
  <c r="F183" i="14"/>
  <c r="B183" i="14"/>
  <c r="F182" i="14"/>
  <c r="B182" i="14"/>
  <c r="F181" i="14"/>
  <c r="B181" i="14"/>
  <c r="F180" i="14"/>
  <c r="B180" i="14"/>
  <c r="F179" i="14"/>
  <c r="B179" i="14"/>
  <c r="F178" i="14"/>
  <c r="B178" i="14"/>
  <c r="F177" i="14"/>
  <c r="B177" i="14"/>
  <c r="F176" i="14"/>
  <c r="B176" i="14"/>
  <c r="F175" i="14"/>
  <c r="B175" i="14"/>
  <c r="F174" i="14"/>
  <c r="B174" i="14"/>
  <c r="F173" i="14"/>
  <c r="B173" i="14"/>
  <c r="F172" i="14"/>
  <c r="B172" i="14"/>
  <c r="F171" i="14"/>
  <c r="B171" i="14"/>
  <c r="F170" i="14"/>
  <c r="B170" i="14"/>
  <c r="F169" i="14"/>
  <c r="B169" i="14"/>
  <c r="F168" i="14"/>
  <c r="B168" i="14"/>
  <c r="F167" i="14"/>
  <c r="B167" i="14"/>
  <c r="F166" i="14"/>
  <c r="B166" i="14"/>
  <c r="F165" i="14"/>
  <c r="B165" i="14"/>
  <c r="F164" i="14"/>
  <c r="B164" i="14"/>
  <c r="F163" i="14"/>
  <c r="B163" i="14"/>
  <c r="F162" i="14"/>
  <c r="B162" i="14"/>
  <c r="F161" i="14"/>
  <c r="B161" i="14"/>
  <c r="F160" i="14"/>
  <c r="B160" i="14"/>
  <c r="F159" i="14"/>
  <c r="B159" i="14"/>
  <c r="F158" i="14"/>
  <c r="B158" i="14"/>
  <c r="F157" i="14"/>
  <c r="B157" i="14"/>
  <c r="F156" i="14"/>
  <c r="B156" i="14"/>
  <c r="F155" i="14"/>
  <c r="B155" i="14"/>
  <c r="F154" i="14"/>
  <c r="B154" i="14"/>
  <c r="F153" i="14"/>
  <c r="B153" i="14"/>
  <c r="F152" i="14"/>
  <c r="B152" i="14"/>
  <c r="F151" i="14"/>
  <c r="B151" i="14"/>
  <c r="F150" i="14"/>
  <c r="B150" i="14"/>
  <c r="F149" i="14"/>
  <c r="B149" i="14"/>
  <c r="F148" i="14"/>
  <c r="B148" i="14"/>
  <c r="F147" i="14"/>
  <c r="B147" i="14"/>
  <c r="F146" i="14"/>
  <c r="B146" i="14"/>
  <c r="F145" i="14"/>
  <c r="B145" i="14"/>
  <c r="F144" i="14"/>
  <c r="B144" i="14"/>
  <c r="F143" i="14"/>
  <c r="B143" i="14"/>
  <c r="F142" i="14"/>
  <c r="B142" i="14"/>
  <c r="F141" i="14"/>
  <c r="B141" i="14"/>
  <c r="F140" i="14"/>
  <c r="B140" i="14"/>
  <c r="F139" i="14"/>
  <c r="B139" i="14"/>
  <c r="F138" i="14"/>
  <c r="B138" i="14"/>
  <c r="F137" i="14"/>
  <c r="B137" i="14"/>
  <c r="F136" i="14"/>
  <c r="B136" i="14"/>
  <c r="F135" i="14"/>
  <c r="B135" i="14"/>
  <c r="F134" i="14"/>
  <c r="B134" i="14"/>
  <c r="F133" i="14"/>
  <c r="B133" i="14"/>
  <c r="F132" i="14"/>
  <c r="B132" i="14"/>
  <c r="F131" i="14"/>
  <c r="B131" i="14"/>
  <c r="F130" i="14"/>
  <c r="B130" i="14"/>
  <c r="F129" i="14"/>
  <c r="B129" i="14"/>
  <c r="F128" i="14"/>
  <c r="B128" i="14"/>
  <c r="F127" i="14"/>
  <c r="B127" i="14"/>
  <c r="F126" i="14"/>
  <c r="B126" i="14"/>
  <c r="F125" i="14"/>
  <c r="B125" i="14"/>
  <c r="F124" i="14"/>
  <c r="B124" i="14"/>
  <c r="F123" i="14"/>
  <c r="B123" i="14"/>
  <c r="F122" i="14"/>
  <c r="B122" i="14"/>
  <c r="F121" i="14"/>
  <c r="B121" i="14"/>
  <c r="F120" i="14"/>
  <c r="B120" i="14"/>
  <c r="F119" i="14"/>
  <c r="B119" i="14"/>
  <c r="F118" i="14"/>
  <c r="B118" i="14"/>
  <c r="F117" i="14"/>
  <c r="B117" i="14"/>
  <c r="F116" i="14"/>
  <c r="B116" i="14"/>
  <c r="F115" i="14"/>
  <c r="B115" i="14"/>
  <c r="F114" i="14"/>
  <c r="B114" i="14"/>
  <c r="F113" i="14"/>
  <c r="B113" i="14"/>
  <c r="F112" i="14"/>
  <c r="B112" i="14"/>
  <c r="F111" i="14"/>
  <c r="B111" i="14"/>
  <c r="F110" i="14"/>
  <c r="B110" i="14"/>
  <c r="F109" i="14"/>
  <c r="B109" i="14"/>
  <c r="F108" i="14"/>
  <c r="B108" i="14"/>
  <c r="F107" i="14"/>
  <c r="B107" i="14"/>
  <c r="F106" i="14"/>
  <c r="B106" i="14"/>
  <c r="F105" i="14"/>
  <c r="B105" i="14"/>
  <c r="F104" i="14"/>
  <c r="B104" i="14"/>
  <c r="F103" i="14"/>
  <c r="B103" i="14"/>
  <c r="F102" i="14"/>
  <c r="B102" i="14"/>
  <c r="F101" i="14"/>
  <c r="B101" i="14"/>
  <c r="F100" i="14"/>
  <c r="B100" i="14"/>
  <c r="F99" i="14"/>
  <c r="B99" i="14"/>
  <c r="F98" i="14"/>
  <c r="B98" i="14"/>
  <c r="F97" i="14"/>
  <c r="B97" i="14"/>
  <c r="F96" i="14"/>
  <c r="B96" i="14"/>
  <c r="F95" i="14"/>
  <c r="B95" i="14"/>
  <c r="F94" i="14"/>
  <c r="B94" i="14"/>
  <c r="F93" i="14"/>
  <c r="B93" i="14"/>
  <c r="F92" i="14"/>
  <c r="B92" i="14"/>
  <c r="F91" i="14"/>
  <c r="B91" i="14"/>
  <c r="F90" i="14"/>
  <c r="B90" i="14"/>
  <c r="F89" i="14"/>
  <c r="B89" i="14"/>
  <c r="F88" i="14"/>
  <c r="B88" i="14"/>
  <c r="F87" i="14"/>
  <c r="B87" i="14"/>
  <c r="F86" i="14"/>
  <c r="B86" i="14"/>
  <c r="F85" i="14"/>
  <c r="B85" i="14"/>
  <c r="F84" i="14"/>
  <c r="B84" i="14"/>
  <c r="F83" i="14"/>
  <c r="B83" i="14"/>
  <c r="F82" i="14"/>
  <c r="B82" i="14"/>
  <c r="F81" i="14"/>
  <c r="B81" i="14"/>
  <c r="F80" i="14"/>
  <c r="B80" i="14"/>
  <c r="F79" i="14"/>
  <c r="B79" i="14"/>
  <c r="F78" i="14"/>
  <c r="B78" i="14"/>
  <c r="F77" i="14"/>
  <c r="B77" i="14"/>
  <c r="F76" i="14"/>
  <c r="B76" i="14"/>
  <c r="F75" i="14"/>
  <c r="B75" i="14"/>
  <c r="F74" i="14"/>
  <c r="B74" i="14"/>
  <c r="F73" i="14"/>
  <c r="B73" i="14"/>
  <c r="F72" i="14"/>
  <c r="B72" i="14"/>
  <c r="F71" i="14"/>
  <c r="B71" i="14"/>
  <c r="F70" i="14"/>
  <c r="B70" i="14"/>
  <c r="F69" i="14"/>
  <c r="B69" i="14"/>
  <c r="F68" i="14"/>
  <c r="B68" i="14"/>
  <c r="F67" i="14"/>
  <c r="B67" i="14"/>
  <c r="F66" i="14"/>
  <c r="B66" i="14"/>
  <c r="F65" i="14"/>
  <c r="B65" i="14"/>
  <c r="F64" i="14"/>
  <c r="B64" i="14"/>
  <c r="F63" i="14"/>
  <c r="B63" i="14"/>
  <c r="F62" i="14"/>
  <c r="B62" i="14"/>
  <c r="F61" i="14"/>
  <c r="B61" i="14"/>
  <c r="F60" i="14"/>
  <c r="B60" i="14"/>
  <c r="F59" i="14"/>
  <c r="B59" i="14"/>
  <c r="F58" i="14"/>
  <c r="B58" i="14"/>
  <c r="F57" i="14"/>
  <c r="B57" i="14"/>
  <c r="F56" i="14"/>
  <c r="B56" i="14"/>
  <c r="F55" i="14"/>
  <c r="B55" i="14"/>
  <c r="F54" i="14"/>
  <c r="B54" i="14"/>
  <c r="F53" i="14"/>
  <c r="B53" i="14"/>
  <c r="F52" i="14"/>
  <c r="B52" i="14"/>
  <c r="F51" i="14"/>
  <c r="B51" i="14"/>
  <c r="F50" i="14"/>
  <c r="B50" i="14"/>
  <c r="F49" i="14"/>
  <c r="B49" i="14"/>
  <c r="F48" i="14"/>
  <c r="B48" i="14"/>
  <c r="F47" i="14"/>
  <c r="B47" i="14"/>
  <c r="F46" i="14"/>
  <c r="B46" i="14"/>
  <c r="F45" i="14"/>
  <c r="B45" i="14"/>
  <c r="F44" i="14"/>
  <c r="B44" i="14"/>
  <c r="F43" i="14"/>
  <c r="B43" i="14"/>
  <c r="F42" i="14"/>
  <c r="B42" i="14"/>
  <c r="F41" i="14"/>
  <c r="B41" i="14"/>
  <c r="F40" i="14"/>
  <c r="B40" i="14"/>
  <c r="F39" i="14"/>
  <c r="B39" i="14"/>
  <c r="F38" i="14"/>
  <c r="B38" i="14"/>
  <c r="F37" i="14"/>
  <c r="B37" i="14"/>
  <c r="F36" i="14"/>
  <c r="B36" i="14"/>
  <c r="F35" i="14"/>
  <c r="B35" i="14"/>
  <c r="F34" i="14"/>
  <c r="B34" i="14"/>
  <c r="F33" i="14"/>
  <c r="B33" i="14"/>
  <c r="F32" i="14"/>
  <c r="B32" i="14"/>
  <c r="F31" i="14"/>
  <c r="B31" i="14"/>
  <c r="F30" i="14"/>
  <c r="B30" i="14"/>
  <c r="F29" i="14"/>
  <c r="B29" i="14"/>
  <c r="F28" i="14"/>
  <c r="B28" i="14"/>
  <c r="F27" i="14"/>
  <c r="B27" i="14"/>
  <c r="F26" i="14"/>
  <c r="B26" i="14"/>
  <c r="F25" i="14"/>
  <c r="B25" i="14"/>
  <c r="F24" i="14"/>
  <c r="B24" i="14"/>
  <c r="F23" i="14"/>
  <c r="B23" i="14"/>
  <c r="F22" i="14"/>
  <c r="B22" i="14"/>
  <c r="F21" i="14"/>
  <c r="B21" i="14"/>
  <c r="F20" i="14"/>
  <c r="B20" i="14"/>
  <c r="F19" i="14"/>
  <c r="B19" i="14"/>
  <c r="F18" i="14"/>
  <c r="B18" i="14"/>
  <c r="F17" i="14"/>
  <c r="B17" i="14"/>
  <c r="F16" i="14"/>
  <c r="B16" i="14"/>
  <c r="F15" i="14"/>
  <c r="B15" i="14"/>
  <c r="F14" i="14"/>
  <c r="B14" i="14"/>
  <c r="F13" i="14"/>
  <c r="B13" i="14"/>
  <c r="F12" i="14"/>
  <c r="B12" i="14"/>
  <c r="F11" i="14"/>
  <c r="B11" i="14"/>
  <c r="F10" i="14"/>
  <c r="B10" i="14"/>
  <c r="F9" i="14"/>
  <c r="B9" i="14"/>
  <c r="F8" i="14"/>
  <c r="B8" i="14"/>
  <c r="F7" i="14"/>
  <c r="B7" i="14"/>
  <c r="F6" i="14"/>
  <c r="B6" i="14"/>
  <c r="F5" i="14"/>
  <c r="B5" i="14"/>
  <c r="F4" i="14"/>
  <c r="B4" i="14"/>
  <c r="F3" i="14"/>
  <c r="B3" i="14"/>
  <c r="F2" i="14"/>
  <c r="B2" i="14"/>
  <c r="C453" i="7"/>
  <c r="BV453" i="7" s="1"/>
  <c r="C95" i="7"/>
  <c r="BV95" i="7" s="1"/>
  <c r="C633" i="7"/>
  <c r="BV633" i="7" s="1"/>
  <c r="C382" i="7"/>
  <c r="BV382" i="7" s="1"/>
  <c r="C77" i="7"/>
  <c r="BV77" i="7" s="1"/>
  <c r="C869" i="7"/>
  <c r="BV869" i="7" s="1"/>
  <c r="C221" i="7"/>
  <c r="BV221" i="7" s="1"/>
  <c r="C10" i="7"/>
  <c r="BV10" i="7" s="1"/>
  <c r="C712" i="7"/>
  <c r="BV712" i="7" s="1"/>
  <c r="C599" i="7"/>
  <c r="BV599" i="7" s="1"/>
  <c r="C120" i="7"/>
  <c r="BV120" i="7" s="1"/>
  <c r="C106" i="7"/>
  <c r="BV106" i="7" s="1"/>
  <c r="C490" i="7"/>
  <c r="BV490" i="7" s="1"/>
  <c r="C845" i="7"/>
  <c r="BV845" i="7" s="1"/>
  <c r="C254" i="7"/>
  <c r="BV254" i="7" s="1"/>
  <c r="C52" i="7"/>
  <c r="BV52" i="7" s="1"/>
  <c r="C654" i="7"/>
  <c r="BV654" i="7" s="1"/>
  <c r="C694" i="7"/>
  <c r="BV694" i="7" s="1"/>
  <c r="C835" i="7"/>
  <c r="BV835" i="7" s="1"/>
  <c r="C625" i="7"/>
  <c r="BV625" i="7" s="1"/>
  <c r="D453" i="7"/>
  <c r="D95" i="7"/>
  <c r="D633" i="7"/>
  <c r="D382" i="7"/>
  <c r="D77" i="7"/>
  <c r="D869" i="7"/>
  <c r="D221" i="7"/>
  <c r="D10" i="7"/>
  <c r="D712" i="7"/>
  <c r="D599" i="7"/>
  <c r="D120" i="7"/>
  <c r="D106" i="7"/>
  <c r="D490" i="7"/>
  <c r="D845" i="7"/>
  <c r="D254" i="7"/>
  <c r="D52" i="7"/>
  <c r="D654" i="7"/>
  <c r="D694" i="7"/>
  <c r="D835" i="7"/>
  <c r="D625" i="7"/>
  <c r="G453" i="7"/>
  <c r="G95" i="7"/>
  <c r="G633" i="7"/>
  <c r="G382" i="7"/>
  <c r="G77" i="7"/>
  <c r="G869" i="7"/>
  <c r="G221" i="7"/>
  <c r="G10" i="7"/>
  <c r="G712" i="7"/>
  <c r="G599" i="7"/>
  <c r="G120" i="7"/>
  <c r="G106" i="7"/>
  <c r="G490" i="7"/>
  <c r="G845" i="7"/>
  <c r="G254" i="7"/>
  <c r="G52" i="7"/>
  <c r="G654" i="7"/>
  <c r="G694" i="7"/>
  <c r="G835" i="7"/>
  <c r="G625" i="7"/>
  <c r="H453" i="7"/>
  <c r="BD453" i="7" s="1"/>
  <c r="H95" i="7"/>
  <c r="H633" i="7"/>
  <c r="BD633" i="7" s="1"/>
  <c r="H382" i="7"/>
  <c r="BD382" i="7" s="1"/>
  <c r="H77" i="7"/>
  <c r="BD77" i="7" s="1"/>
  <c r="H869" i="7"/>
  <c r="BD869" i="7" s="1"/>
  <c r="H221" i="7"/>
  <c r="BD221" i="7" s="1"/>
  <c r="H10" i="7"/>
  <c r="BD10" i="7" s="1"/>
  <c r="H712" i="7"/>
  <c r="H599" i="7"/>
  <c r="BD599" i="7" s="1"/>
  <c r="H120" i="7"/>
  <c r="H106" i="7"/>
  <c r="H490" i="7"/>
  <c r="BD490" i="7" s="1"/>
  <c r="H845" i="7"/>
  <c r="H254" i="7"/>
  <c r="H52" i="7"/>
  <c r="H654" i="7"/>
  <c r="H694" i="7"/>
  <c r="BD694" i="7" s="1"/>
  <c r="H835" i="7"/>
  <c r="BD835" i="7" s="1"/>
  <c r="H625" i="7"/>
  <c r="I453" i="7"/>
  <c r="I95" i="7"/>
  <c r="I633" i="7"/>
  <c r="I382" i="7"/>
  <c r="I77" i="7"/>
  <c r="I869" i="7"/>
  <c r="I221" i="7"/>
  <c r="I10" i="7"/>
  <c r="I712" i="7"/>
  <c r="I599" i="7"/>
  <c r="I120" i="7"/>
  <c r="I106" i="7"/>
  <c r="I490" i="7"/>
  <c r="I845" i="7"/>
  <c r="I254" i="7"/>
  <c r="I52" i="7"/>
  <c r="I654" i="7"/>
  <c r="I694" i="7"/>
  <c r="I835" i="7"/>
  <c r="I625" i="7"/>
  <c r="J453" i="7"/>
  <c r="J95" i="7"/>
  <c r="J633" i="7"/>
  <c r="J382" i="7"/>
  <c r="J77" i="7"/>
  <c r="J869" i="7"/>
  <c r="J221" i="7"/>
  <c r="J10" i="7"/>
  <c r="J712" i="7"/>
  <c r="J599" i="7"/>
  <c r="J120" i="7"/>
  <c r="J106" i="7"/>
  <c r="J490" i="7"/>
  <c r="J845" i="7"/>
  <c r="J254" i="7"/>
  <c r="J52" i="7"/>
  <c r="J654" i="7"/>
  <c r="J694" i="7"/>
  <c r="J835" i="7"/>
  <c r="J625" i="7"/>
  <c r="K453" i="7"/>
  <c r="L453" i="7" s="1"/>
  <c r="K95" i="7"/>
  <c r="L95" i="7" s="1"/>
  <c r="K633" i="7"/>
  <c r="L633" i="7" s="1"/>
  <c r="K382" i="7"/>
  <c r="L382" i="7" s="1"/>
  <c r="K77" i="7"/>
  <c r="L77" i="7" s="1"/>
  <c r="K869" i="7"/>
  <c r="L869" i="7" s="1"/>
  <c r="K221" i="7"/>
  <c r="L221" i="7" s="1"/>
  <c r="K10" i="7"/>
  <c r="L10" i="7" s="1"/>
  <c r="K712" i="7"/>
  <c r="L712" i="7" s="1"/>
  <c r="K599" i="7"/>
  <c r="L599" i="7" s="1"/>
  <c r="K120" i="7"/>
  <c r="L120" i="7" s="1"/>
  <c r="K106" i="7"/>
  <c r="L106" i="7" s="1"/>
  <c r="K490" i="7"/>
  <c r="L490" i="7" s="1"/>
  <c r="K845" i="7"/>
  <c r="L845" i="7" s="1"/>
  <c r="K254" i="7"/>
  <c r="L254" i="7" s="1"/>
  <c r="K52" i="7"/>
  <c r="L52" i="7" s="1"/>
  <c r="K654" i="7"/>
  <c r="L654" i="7" s="1"/>
  <c r="K694" i="7"/>
  <c r="L694" i="7" s="1"/>
  <c r="K835" i="7"/>
  <c r="L835" i="7" s="1"/>
  <c r="K625" i="7"/>
  <c r="L625" i="7" s="1"/>
  <c r="M453" i="7"/>
  <c r="M95" i="7"/>
  <c r="M633" i="7"/>
  <c r="M382" i="7"/>
  <c r="M77" i="7"/>
  <c r="M869" i="7"/>
  <c r="M221" i="7"/>
  <c r="M10" i="7"/>
  <c r="M712" i="7"/>
  <c r="M599" i="7"/>
  <c r="M120" i="7"/>
  <c r="M106" i="7"/>
  <c r="M490" i="7"/>
  <c r="M845" i="7"/>
  <c r="M254" i="7"/>
  <c r="M52" i="7"/>
  <c r="M654" i="7"/>
  <c r="M694" i="7"/>
  <c r="M835" i="7"/>
  <c r="M625" i="7"/>
  <c r="P453" i="7"/>
  <c r="P95" i="7"/>
  <c r="P633" i="7"/>
  <c r="P382" i="7"/>
  <c r="P77" i="7"/>
  <c r="P869" i="7"/>
  <c r="P221" i="7"/>
  <c r="P10" i="7"/>
  <c r="P712" i="7"/>
  <c r="P599" i="7"/>
  <c r="P120" i="7"/>
  <c r="P106" i="7"/>
  <c r="P490" i="7"/>
  <c r="P845" i="7"/>
  <c r="P254" i="7"/>
  <c r="P52" i="7"/>
  <c r="P654" i="7"/>
  <c r="P694" i="7"/>
  <c r="P835" i="7"/>
  <c r="P625" i="7"/>
  <c r="R453" i="7"/>
  <c r="R95" i="7"/>
  <c r="R633" i="7"/>
  <c r="R382" i="7"/>
  <c r="R77" i="7"/>
  <c r="R869" i="7"/>
  <c r="R221" i="7"/>
  <c r="R10" i="7"/>
  <c r="R712" i="7"/>
  <c r="R599" i="7"/>
  <c r="R120" i="7"/>
  <c r="R106" i="7"/>
  <c r="R490" i="7"/>
  <c r="R845" i="7"/>
  <c r="R254" i="7"/>
  <c r="R52" i="7"/>
  <c r="R654" i="7"/>
  <c r="R694" i="7"/>
  <c r="R835" i="7"/>
  <c r="R625" i="7"/>
  <c r="U453" i="7"/>
  <c r="U95" i="7"/>
  <c r="U633" i="7"/>
  <c r="U382" i="7"/>
  <c r="U77" i="7"/>
  <c r="U869" i="7"/>
  <c r="U221" i="7"/>
  <c r="U10" i="7"/>
  <c r="U712" i="7"/>
  <c r="U599" i="7"/>
  <c r="U120" i="7"/>
  <c r="U106" i="7"/>
  <c r="U490" i="7"/>
  <c r="U845" i="7"/>
  <c r="U254" i="7"/>
  <c r="U52" i="7"/>
  <c r="U654" i="7"/>
  <c r="U694" i="7"/>
  <c r="U835" i="7"/>
  <c r="U625" i="7"/>
  <c r="X453" i="7"/>
  <c r="X95" i="7"/>
  <c r="X633" i="7"/>
  <c r="X382" i="7"/>
  <c r="X77" i="7"/>
  <c r="X869" i="7"/>
  <c r="X221" i="7"/>
  <c r="X10" i="7"/>
  <c r="X712" i="7"/>
  <c r="X599" i="7"/>
  <c r="X120" i="7"/>
  <c r="X106" i="7"/>
  <c r="X490" i="7"/>
  <c r="X845" i="7"/>
  <c r="X254" i="7"/>
  <c r="X52" i="7"/>
  <c r="X654" i="7"/>
  <c r="X694" i="7"/>
  <c r="X835" i="7"/>
  <c r="X625" i="7"/>
  <c r="AA453" i="7"/>
  <c r="AA95" i="7"/>
  <c r="AA633" i="7"/>
  <c r="AA382" i="7"/>
  <c r="AA77" i="7"/>
  <c r="AA869" i="7"/>
  <c r="AA221" i="7"/>
  <c r="AA10" i="7"/>
  <c r="AA712" i="7"/>
  <c r="AA599" i="7"/>
  <c r="AA120" i="7"/>
  <c r="AA106" i="7"/>
  <c r="AA490" i="7"/>
  <c r="AA845" i="7"/>
  <c r="AA254" i="7"/>
  <c r="AA52" i="7"/>
  <c r="AA654" i="7"/>
  <c r="AA694" i="7"/>
  <c r="AA835" i="7"/>
  <c r="AA625" i="7"/>
  <c r="AD453" i="7"/>
  <c r="AD95" i="7"/>
  <c r="AD633" i="7"/>
  <c r="AD382" i="7"/>
  <c r="AD77" i="7"/>
  <c r="AD869" i="7"/>
  <c r="AD221" i="7"/>
  <c r="AD10" i="7"/>
  <c r="AD712" i="7"/>
  <c r="AD599" i="7"/>
  <c r="AD120" i="7"/>
  <c r="AD106" i="7"/>
  <c r="AD490" i="7"/>
  <c r="AD845" i="7"/>
  <c r="AD254" i="7"/>
  <c r="AD52" i="7"/>
  <c r="AD654" i="7"/>
  <c r="AD694" i="7"/>
  <c r="AD835" i="7"/>
  <c r="AD625" i="7"/>
  <c r="AG453" i="7"/>
  <c r="AG95" i="7"/>
  <c r="AG633" i="7"/>
  <c r="AG382" i="7"/>
  <c r="AG77" i="7"/>
  <c r="AG869" i="7"/>
  <c r="AG221" i="7"/>
  <c r="AG10" i="7"/>
  <c r="AG712" i="7"/>
  <c r="AG599" i="7"/>
  <c r="AG120" i="7"/>
  <c r="AG106" i="7"/>
  <c r="AG490" i="7"/>
  <c r="AG845" i="7"/>
  <c r="AG254" i="7"/>
  <c r="AG52" i="7"/>
  <c r="AG654" i="7"/>
  <c r="AG694" i="7"/>
  <c r="AG835" i="7"/>
  <c r="AG625" i="7"/>
  <c r="AJ453" i="7"/>
  <c r="AJ95" i="7"/>
  <c r="AJ633" i="7"/>
  <c r="AJ382" i="7"/>
  <c r="AJ77" i="7"/>
  <c r="AJ869" i="7"/>
  <c r="AJ221" i="7"/>
  <c r="AJ10" i="7"/>
  <c r="AJ712" i="7"/>
  <c r="AJ599" i="7"/>
  <c r="AJ120" i="7"/>
  <c r="AJ106" i="7"/>
  <c r="AJ490" i="7"/>
  <c r="AJ845" i="7"/>
  <c r="AJ254" i="7"/>
  <c r="AJ52" i="7"/>
  <c r="AJ654" i="7"/>
  <c r="AJ694" i="7"/>
  <c r="AJ835" i="7"/>
  <c r="AJ625" i="7"/>
  <c r="AK453" i="7"/>
  <c r="AK95" i="7"/>
  <c r="AK633" i="7"/>
  <c r="AK382" i="7"/>
  <c r="AK77" i="7"/>
  <c r="AK869" i="7"/>
  <c r="AK221" i="7"/>
  <c r="AK10" i="7"/>
  <c r="AK712" i="7"/>
  <c r="AK599" i="7"/>
  <c r="AK120" i="7"/>
  <c r="AK106" i="7"/>
  <c r="AK490" i="7"/>
  <c r="AK845" i="7"/>
  <c r="AK254" i="7"/>
  <c r="AK52" i="7"/>
  <c r="AK654" i="7"/>
  <c r="AK694" i="7"/>
  <c r="AK835" i="7"/>
  <c r="AK625" i="7"/>
  <c r="AN453" i="7"/>
  <c r="AN95" i="7"/>
  <c r="AN633" i="7"/>
  <c r="AN382" i="7"/>
  <c r="AN77" i="7"/>
  <c r="AN869" i="7"/>
  <c r="AN221" i="7"/>
  <c r="AN10" i="7"/>
  <c r="AN712" i="7"/>
  <c r="AN599" i="7"/>
  <c r="AN120" i="7"/>
  <c r="AN106" i="7"/>
  <c r="AN490" i="7"/>
  <c r="AN845" i="7"/>
  <c r="AN254" i="7"/>
  <c r="AN52" i="7"/>
  <c r="AN654" i="7"/>
  <c r="AN694" i="7"/>
  <c r="AN835" i="7"/>
  <c r="AN625" i="7"/>
  <c r="AR453" i="7"/>
  <c r="AR95" i="7"/>
  <c r="AR633" i="7"/>
  <c r="AR382" i="7"/>
  <c r="AR77" i="7"/>
  <c r="AR869" i="7"/>
  <c r="AR221" i="7"/>
  <c r="AR10" i="7"/>
  <c r="AR712" i="7"/>
  <c r="AR599" i="7"/>
  <c r="AR120" i="7"/>
  <c r="AR106" i="7"/>
  <c r="AR490" i="7"/>
  <c r="AR845" i="7"/>
  <c r="AR254" i="7"/>
  <c r="AR52" i="7"/>
  <c r="AR654" i="7"/>
  <c r="AR694" i="7"/>
  <c r="AR835" i="7"/>
  <c r="AR625" i="7"/>
  <c r="AU453" i="7"/>
  <c r="AU95" i="7"/>
  <c r="AU633" i="7"/>
  <c r="AU382" i="7"/>
  <c r="AU77" i="7"/>
  <c r="AU869" i="7"/>
  <c r="AU221" i="7"/>
  <c r="AU10" i="7"/>
  <c r="AU712" i="7"/>
  <c r="AU599" i="7"/>
  <c r="AU120" i="7"/>
  <c r="AU106" i="7"/>
  <c r="AU490" i="7"/>
  <c r="AU845" i="7"/>
  <c r="AU254" i="7"/>
  <c r="AU52" i="7"/>
  <c r="AU654" i="7"/>
  <c r="AU694" i="7"/>
  <c r="AU835" i="7"/>
  <c r="AU625" i="7"/>
  <c r="AV453" i="7"/>
  <c r="AV95" i="7"/>
  <c r="AV633" i="7"/>
  <c r="AV382" i="7"/>
  <c r="AV77" i="7"/>
  <c r="AV869" i="7"/>
  <c r="AV221" i="7"/>
  <c r="AV10" i="7"/>
  <c r="AV712" i="7"/>
  <c r="AV599" i="7"/>
  <c r="AV120" i="7"/>
  <c r="AV106" i="7"/>
  <c r="AV490" i="7"/>
  <c r="AV845" i="7"/>
  <c r="AV254" i="7"/>
  <c r="AV52" i="7"/>
  <c r="AV654" i="7"/>
  <c r="AV694" i="7"/>
  <c r="AV835" i="7"/>
  <c r="AV625" i="7"/>
  <c r="AW453" i="7"/>
  <c r="AW95" i="7"/>
  <c r="AW633" i="7"/>
  <c r="AW382" i="7"/>
  <c r="AW77" i="7"/>
  <c r="AW869" i="7"/>
  <c r="AW221" i="7"/>
  <c r="AW10" i="7"/>
  <c r="AW712" i="7"/>
  <c r="AW599" i="7"/>
  <c r="AW120" i="7"/>
  <c r="AW106" i="7"/>
  <c r="AW490" i="7"/>
  <c r="AW845" i="7"/>
  <c r="AW254" i="7"/>
  <c r="AW52" i="7"/>
  <c r="AW654" i="7"/>
  <c r="AW694" i="7"/>
  <c r="AW835" i="7"/>
  <c r="AW625" i="7"/>
  <c r="AX453" i="7"/>
  <c r="AX95" i="7"/>
  <c r="AX633" i="7"/>
  <c r="AX382" i="7"/>
  <c r="AX77" i="7"/>
  <c r="AX869" i="7"/>
  <c r="AX221" i="7"/>
  <c r="AX10" i="7"/>
  <c r="AX712" i="7"/>
  <c r="AX599" i="7"/>
  <c r="AX120" i="7"/>
  <c r="AX106" i="7"/>
  <c r="AX490" i="7"/>
  <c r="AX845" i="7"/>
  <c r="AX254" i="7"/>
  <c r="AX52" i="7"/>
  <c r="AX654" i="7"/>
  <c r="AX694" i="7"/>
  <c r="AX835" i="7"/>
  <c r="AX625" i="7"/>
  <c r="AY453" i="7"/>
  <c r="AY95" i="7"/>
  <c r="AY633" i="7"/>
  <c r="AY382" i="7"/>
  <c r="AY77" i="7"/>
  <c r="AY869" i="7"/>
  <c r="AY221" i="7"/>
  <c r="AY10" i="7"/>
  <c r="AY712" i="7"/>
  <c r="AY599" i="7"/>
  <c r="AY120" i="7"/>
  <c r="AY106" i="7"/>
  <c r="AY490" i="7"/>
  <c r="AY845" i="7"/>
  <c r="AY254" i="7"/>
  <c r="AY52" i="7"/>
  <c r="AY654" i="7"/>
  <c r="AY694" i="7"/>
  <c r="AY835" i="7"/>
  <c r="AY625" i="7"/>
  <c r="AZ453" i="7"/>
  <c r="AZ95" i="7"/>
  <c r="AZ633" i="7"/>
  <c r="AZ382" i="7"/>
  <c r="AZ77" i="7"/>
  <c r="AZ869" i="7"/>
  <c r="AZ221" i="7"/>
  <c r="AZ10" i="7"/>
  <c r="AZ712" i="7"/>
  <c r="AZ599" i="7"/>
  <c r="AZ120" i="7"/>
  <c r="AZ106" i="7"/>
  <c r="AZ490" i="7"/>
  <c r="AZ845" i="7"/>
  <c r="AZ254" i="7"/>
  <c r="AZ52" i="7"/>
  <c r="AZ654" i="7"/>
  <c r="AZ694" i="7"/>
  <c r="AZ835" i="7"/>
  <c r="AZ625" i="7"/>
  <c r="BB453" i="7"/>
  <c r="BC453" i="7" s="1"/>
  <c r="BB95" i="7"/>
  <c r="BC95" i="7" s="1"/>
  <c r="BB633" i="7"/>
  <c r="BC633" i="7" s="1"/>
  <c r="BB382" i="7"/>
  <c r="BC382" i="7" s="1"/>
  <c r="BB77" i="7"/>
  <c r="BC77" i="7" s="1"/>
  <c r="BB869" i="7"/>
  <c r="BC869" i="7" s="1"/>
  <c r="BB221" i="7"/>
  <c r="BC221" i="7" s="1"/>
  <c r="BB10" i="7"/>
  <c r="BC10" i="7" s="1"/>
  <c r="BB712" i="7"/>
  <c r="BC712" i="7" s="1"/>
  <c r="BB599" i="7"/>
  <c r="BC599" i="7" s="1"/>
  <c r="BB120" i="7"/>
  <c r="BC120" i="7" s="1"/>
  <c r="BB106" i="7"/>
  <c r="BC106" i="7" s="1"/>
  <c r="BB490" i="7"/>
  <c r="BC490" i="7" s="1"/>
  <c r="BB845" i="7"/>
  <c r="BC845" i="7" s="1"/>
  <c r="BB254" i="7"/>
  <c r="BC254" i="7" s="1"/>
  <c r="BB52" i="7"/>
  <c r="BC52" i="7" s="1"/>
  <c r="BB654" i="7"/>
  <c r="BC654" i="7" s="1"/>
  <c r="BB694" i="7"/>
  <c r="BC694" i="7" s="1"/>
  <c r="BB835" i="7"/>
  <c r="BC835" i="7" s="1"/>
  <c r="BB625" i="7"/>
  <c r="BC625" i="7" s="1"/>
  <c r="BK453" i="7"/>
  <c r="BK95" i="7"/>
  <c r="BK633" i="7"/>
  <c r="BK382" i="7"/>
  <c r="BK77" i="7"/>
  <c r="BK869" i="7"/>
  <c r="BK221" i="7"/>
  <c r="BK10" i="7"/>
  <c r="BK712" i="7"/>
  <c r="BK599" i="7"/>
  <c r="BK120" i="7"/>
  <c r="BK106" i="7"/>
  <c r="BK490" i="7"/>
  <c r="BK845" i="7"/>
  <c r="BK254" i="7"/>
  <c r="BK52" i="7"/>
  <c r="BK654" i="7"/>
  <c r="BK694" i="7"/>
  <c r="BK835" i="7"/>
  <c r="BK625" i="7"/>
  <c r="BQ453" i="7"/>
  <c r="BQ95" i="7"/>
  <c r="BQ633" i="7"/>
  <c r="BQ382" i="7"/>
  <c r="BQ77" i="7"/>
  <c r="BQ869" i="7"/>
  <c r="BQ221" i="7"/>
  <c r="BQ10" i="7"/>
  <c r="BQ712" i="7"/>
  <c r="BQ599" i="7"/>
  <c r="BQ120" i="7"/>
  <c r="BQ106" i="7"/>
  <c r="BQ490" i="7"/>
  <c r="BQ845" i="7"/>
  <c r="BQ254" i="7"/>
  <c r="BQ52" i="7"/>
  <c r="BQ654" i="7"/>
  <c r="BQ694" i="7"/>
  <c r="BQ835" i="7"/>
  <c r="BQ625" i="7"/>
  <c r="BU453" i="7"/>
  <c r="BU95" i="7"/>
  <c r="BU633" i="7"/>
  <c r="BU382" i="7"/>
  <c r="BU77" i="7"/>
  <c r="BU869" i="7"/>
  <c r="BU221" i="7"/>
  <c r="BU10" i="7"/>
  <c r="BU712" i="7"/>
  <c r="BU599" i="7"/>
  <c r="BU120" i="7"/>
  <c r="BU106" i="7"/>
  <c r="BU490" i="7"/>
  <c r="BU845" i="7"/>
  <c r="BU254" i="7"/>
  <c r="BU52" i="7"/>
  <c r="BU654" i="7"/>
  <c r="BU694" i="7"/>
  <c r="BU835" i="7"/>
  <c r="BU625" i="7"/>
  <c r="CA55" i="7" l="1"/>
  <c r="CC572" i="7"/>
  <c r="BD217" i="7"/>
  <c r="CD217" i="7"/>
  <c r="BY217" i="7"/>
  <c r="BD379" i="7"/>
  <c r="CC379" i="7"/>
  <c r="BY379" i="7"/>
  <c r="CB188" i="7"/>
  <c r="CB379" i="7"/>
  <c r="BD572" i="7"/>
  <c r="BD55" i="7"/>
  <c r="CD55" i="7"/>
  <c r="BY572" i="7"/>
  <c r="CC55" i="7"/>
  <c r="CB572" i="7"/>
  <c r="CB55" i="7"/>
  <c r="BZ188" i="7"/>
  <c r="CD188" i="7"/>
  <c r="CA188" i="7"/>
  <c r="BZ379" i="7"/>
  <c r="CC458" i="7"/>
  <c r="BD458" i="7"/>
  <c r="CB458" i="7"/>
  <c r="BZ458" i="7"/>
  <c r="BY458" i="7"/>
  <c r="CD493" i="7"/>
  <c r="CA493" i="7"/>
  <c r="BZ493" i="7"/>
  <c r="CB493" i="7"/>
  <c r="CD353" i="7"/>
  <c r="BY353" i="7"/>
  <c r="BZ353" i="7"/>
  <c r="BD353" i="7"/>
  <c r="CC353" i="7"/>
  <c r="CB505" i="7"/>
  <c r="CC505" i="7"/>
  <c r="CD739" i="7"/>
  <c r="BZ505" i="7"/>
  <c r="BZ739" i="7"/>
  <c r="CB739" i="7"/>
  <c r="BD505" i="7"/>
  <c r="BY739" i="7"/>
  <c r="CD505" i="7"/>
  <c r="CD296" i="7"/>
  <c r="CC296" i="7"/>
  <c r="BD296" i="7"/>
  <c r="CA296" i="7"/>
  <c r="CB296" i="7"/>
  <c r="BD224" i="7"/>
  <c r="CC224" i="7"/>
  <c r="CB224" i="7"/>
  <c r="CA224" i="7"/>
  <c r="BZ224" i="7"/>
  <c r="CD121" i="7"/>
  <c r="CA121" i="7"/>
  <c r="CC156" i="7"/>
  <c r="BY121" i="7"/>
  <c r="CC121" i="7"/>
  <c r="CB156" i="7"/>
  <c r="BD121" i="7"/>
  <c r="CD156" i="7"/>
  <c r="BY743" i="7"/>
  <c r="CD357" i="7"/>
  <c r="CB357" i="7"/>
  <c r="CB743" i="7"/>
  <c r="CD743" i="7"/>
  <c r="BY357" i="7"/>
  <c r="BD357" i="7"/>
  <c r="BZ357" i="7"/>
  <c r="BD743" i="7"/>
  <c r="BZ743" i="7"/>
  <c r="BZ471" i="7"/>
  <c r="BZ337" i="7"/>
  <c r="CA337" i="7"/>
  <c r="BD471" i="7"/>
  <c r="BD337" i="7"/>
  <c r="CA471" i="7"/>
  <c r="BY471" i="7"/>
  <c r="CD471" i="7"/>
  <c r="CD337" i="7"/>
  <c r="CB471" i="7"/>
  <c r="CB337" i="7"/>
  <c r="CA231" i="7"/>
  <c r="BD231" i="7"/>
  <c r="CB231" i="7"/>
  <c r="BY557" i="7"/>
  <c r="CB557" i="7"/>
  <c r="BD557" i="7"/>
  <c r="BD214" i="7"/>
  <c r="CC214" i="7"/>
  <c r="BY214" i="7"/>
  <c r="CA214" i="7"/>
  <c r="CB776" i="7"/>
  <c r="BD776" i="7"/>
  <c r="BD248" i="7"/>
  <c r="CD248" i="7"/>
  <c r="BZ248" i="7"/>
  <c r="CA248" i="7"/>
  <c r="CC301" i="7"/>
  <c r="CA301" i="7"/>
  <c r="BD301" i="7"/>
  <c r="BZ301" i="7"/>
  <c r="BD145" i="7"/>
  <c r="CC145" i="7"/>
  <c r="BY145" i="7"/>
  <c r="CA145" i="7"/>
  <c r="BD234" i="7"/>
  <c r="BY234" i="7"/>
  <c r="CC234" i="7"/>
  <c r="CA234" i="7"/>
  <c r="BD358" i="7"/>
  <c r="BZ358" i="7"/>
  <c r="BY358" i="7"/>
  <c r="CD358" i="7"/>
  <c r="BD348" i="7"/>
  <c r="CD348" i="7"/>
  <c r="CD638" i="7"/>
  <c r="BY638" i="7"/>
  <c r="BD638" i="7"/>
  <c r="CA392" i="7"/>
  <c r="BD392" i="7"/>
  <c r="CC392" i="7"/>
  <c r="CD498" i="7"/>
  <c r="BY498" i="7"/>
  <c r="CC498" i="7"/>
  <c r="BD498" i="7"/>
  <c r="CC31" i="7"/>
  <c r="BD31" i="7"/>
  <c r="CC360" i="7"/>
  <c r="BD360" i="7"/>
  <c r="BY360" i="7"/>
  <c r="CB360" i="7"/>
  <c r="CD655" i="7"/>
  <c r="BD655" i="7"/>
  <c r="BY655" i="7"/>
  <c r="CC276" i="7"/>
  <c r="BD276" i="7"/>
  <c r="BY276" i="7"/>
  <c r="CB276" i="7"/>
  <c r="BD91" i="7"/>
  <c r="CD91" i="7"/>
  <c r="BZ91" i="7"/>
  <c r="BY91" i="7"/>
  <c r="BD235" i="7"/>
  <c r="CB235" i="7"/>
  <c r="BY235" i="7"/>
  <c r="BZ235" i="7"/>
  <c r="BZ347" i="7"/>
  <c r="CD347" i="7"/>
  <c r="CC347" i="7"/>
  <c r="CB347" i="7"/>
  <c r="BD347" i="7"/>
  <c r="BY659" i="7"/>
  <c r="CD659" i="7"/>
  <c r="BD659" i="7"/>
  <c r="CB659" i="7"/>
  <c r="CB537" i="7"/>
  <c r="BY537" i="7"/>
  <c r="CA537" i="7"/>
  <c r="BZ537" i="7"/>
  <c r="BD537" i="7"/>
  <c r="CD732" i="7"/>
  <c r="CA732" i="7"/>
  <c r="BD732" i="7"/>
  <c r="CA751" i="7"/>
  <c r="CB751" i="7"/>
  <c r="BD751" i="7"/>
  <c r="CC751" i="7"/>
  <c r="CC23" i="7"/>
  <c r="CA23" i="7"/>
  <c r="BD23" i="7"/>
  <c r="BY23" i="7"/>
  <c r="BD336" i="7"/>
  <c r="CB336" i="7"/>
  <c r="CC336" i="7"/>
  <c r="CC455" i="7"/>
  <c r="CA455" i="7"/>
  <c r="BD455" i="7"/>
  <c r="CB455" i="7"/>
  <c r="BD247" i="7"/>
  <c r="CB247" i="7"/>
  <c r="CA247" i="7"/>
  <c r="CB339" i="7"/>
  <c r="BD339" i="7"/>
  <c r="CA339" i="7"/>
  <c r="CD339" i="7"/>
  <c r="CB396" i="7"/>
  <c r="BD396" i="7"/>
  <c r="BY396" i="7"/>
  <c r="CC246" i="7"/>
  <c r="BD246" i="7"/>
  <c r="BY246" i="7"/>
  <c r="CD797" i="7"/>
  <c r="CA797" i="7"/>
  <c r="BD797" i="7"/>
  <c r="CC797" i="7"/>
  <c r="CA538" i="7"/>
  <c r="BY538" i="7"/>
  <c r="BD538" i="7"/>
  <c r="CC538" i="7"/>
  <c r="CA355" i="7"/>
  <c r="CD355" i="7"/>
  <c r="BD355" i="7"/>
  <c r="BY355" i="7"/>
  <c r="CB420" i="7"/>
  <c r="BY420" i="7"/>
  <c r="BD420" i="7"/>
  <c r="BD315" i="7"/>
  <c r="BY315" i="7"/>
  <c r="CC315" i="7"/>
  <c r="BY792" i="7"/>
  <c r="CC792" i="7"/>
  <c r="CD792" i="7"/>
  <c r="CA792" i="7"/>
  <c r="BD792" i="7"/>
  <c r="BD709" i="7"/>
  <c r="CA709" i="7"/>
  <c r="BY709" i="7"/>
  <c r="CB709" i="7"/>
  <c r="CC709" i="7"/>
  <c r="CD456" i="7"/>
  <c r="CC456" i="7"/>
  <c r="BD456" i="7"/>
  <c r="CD175" i="7"/>
  <c r="CB175" i="7"/>
  <c r="CA175" i="7"/>
  <c r="BD175" i="7"/>
  <c r="BD450" i="7"/>
  <c r="CD450" i="7"/>
  <c r="CC450" i="7"/>
  <c r="CB450" i="7"/>
  <c r="BY450" i="7"/>
  <c r="CB566" i="7"/>
  <c r="BD566" i="7"/>
  <c r="BZ566" i="7"/>
  <c r="BD840" i="7"/>
  <c r="CD840" i="7"/>
  <c r="CC840" i="7"/>
  <c r="CA840" i="7"/>
  <c r="CA636" i="7"/>
  <c r="CB636" i="7"/>
  <c r="BD636" i="7"/>
  <c r="CC636" i="7"/>
  <c r="CC253" i="7"/>
  <c r="BD253" i="7"/>
  <c r="CA253" i="7"/>
  <c r="BY253" i="7"/>
  <c r="BZ253" i="7"/>
  <c r="CA251" i="7"/>
  <c r="CC251" i="7"/>
  <c r="CB251" i="7"/>
  <c r="BD251" i="7"/>
  <c r="BD483" i="7"/>
  <c r="BY483" i="7"/>
  <c r="CB483" i="7"/>
  <c r="BZ476" i="7"/>
  <c r="CD476" i="7"/>
  <c r="BD476" i="7"/>
  <c r="CC476" i="7"/>
  <c r="BY260" i="7"/>
  <c r="CB260" i="7"/>
  <c r="BD260" i="7"/>
  <c r="CA260" i="7"/>
  <c r="BD413" i="7"/>
  <c r="CA413" i="7"/>
  <c r="CB413" i="7"/>
  <c r="CA199" i="7"/>
  <c r="CB199" i="7"/>
  <c r="BD199" i="7"/>
  <c r="CB324" i="7"/>
  <c r="BD324" i="7"/>
  <c r="BY324" i="7"/>
  <c r="CB866" i="7"/>
  <c r="BD866" i="7"/>
  <c r="BY866" i="7"/>
  <c r="CC866" i="7"/>
  <c r="CA866" i="7"/>
  <c r="BY93" i="7"/>
  <c r="BD93" i="7"/>
  <c r="BD859" i="7"/>
  <c r="BY859" i="7"/>
  <c r="CA859" i="7"/>
  <c r="BD406" i="7"/>
  <c r="CB406" i="7"/>
  <c r="CA406" i="7"/>
  <c r="CC406" i="7"/>
  <c r="BY185" i="7"/>
  <c r="CB185" i="7"/>
  <c r="BD185" i="7"/>
  <c r="CA185" i="7"/>
  <c r="BD650" i="7"/>
  <c r="CA650" i="7"/>
  <c r="CD650" i="7"/>
  <c r="CC650" i="7"/>
  <c r="BD104" i="7"/>
  <c r="CC104" i="7"/>
  <c r="BZ104" i="7"/>
  <c r="BY206" i="7"/>
  <c r="CC206" i="7"/>
  <c r="BD206" i="7"/>
  <c r="CA206" i="7"/>
  <c r="CB206" i="7"/>
  <c r="CC271" i="7"/>
  <c r="BD271" i="7"/>
  <c r="CB271" i="7"/>
  <c r="CA271" i="7"/>
  <c r="BY662" i="7"/>
  <c r="CB662" i="7"/>
  <c r="BZ662" i="7"/>
  <c r="BD662" i="7"/>
  <c r="CA662" i="7"/>
  <c r="BD750" i="7"/>
  <c r="CB750" i="7"/>
  <c r="BY750" i="7"/>
  <c r="CA750" i="7"/>
  <c r="BZ112" i="7"/>
  <c r="CA112" i="7"/>
  <c r="CC112" i="7"/>
  <c r="BD112" i="7"/>
  <c r="BY781" i="7"/>
  <c r="BD781" i="7"/>
  <c r="CA781" i="7"/>
  <c r="CB781" i="7"/>
  <c r="BD215" i="7"/>
  <c r="BY215" i="7"/>
  <c r="CA215" i="7"/>
  <c r="CC215" i="7"/>
  <c r="CB215" i="7"/>
  <c r="BY818" i="7"/>
  <c r="CA818" i="7"/>
  <c r="BD818" i="7"/>
  <c r="CA352" i="7"/>
  <c r="BD352" i="7"/>
  <c r="CB352" i="7"/>
  <c r="CC352" i="7"/>
  <c r="CA126" i="7"/>
  <c r="CB126" i="7"/>
  <c r="BD126" i="7"/>
  <c r="BD71" i="7"/>
  <c r="BY71" i="7"/>
  <c r="CB71" i="7"/>
  <c r="CC123" i="7"/>
  <c r="CB123" i="7"/>
  <c r="BD123" i="7"/>
  <c r="CA176" i="7"/>
  <c r="CC176" i="7"/>
  <c r="CB176" i="7"/>
  <c r="BD176" i="7"/>
  <c r="BY176" i="7"/>
  <c r="BD862" i="7"/>
  <c r="CA862" i="7"/>
  <c r="CB862" i="7"/>
  <c r="BD534" i="7"/>
  <c r="CC534" i="7"/>
  <c r="CB534" i="7"/>
  <c r="BY480" i="7"/>
  <c r="CA480" i="7"/>
  <c r="BD480" i="7"/>
  <c r="CC480" i="7"/>
  <c r="BD69" i="7"/>
  <c r="CB69" i="7"/>
  <c r="BZ69" i="7"/>
  <c r="BY69" i="7"/>
  <c r="BZ675" i="7"/>
  <c r="CA675" i="7"/>
  <c r="CC675" i="7"/>
  <c r="BD675" i="7"/>
  <c r="CB78" i="7"/>
  <c r="CC78" i="7"/>
  <c r="BD78" i="7"/>
  <c r="BD468" i="7"/>
  <c r="CA468" i="7"/>
  <c r="CB468" i="7"/>
  <c r="CC326" i="7"/>
  <c r="BD326" i="7"/>
  <c r="CB326" i="7"/>
  <c r="BZ326" i="7"/>
  <c r="CA326" i="7"/>
  <c r="CC803" i="7"/>
  <c r="BZ803" i="7"/>
  <c r="CB803" i="7"/>
  <c r="BD803" i="7"/>
  <c r="CC431" i="7"/>
  <c r="BD431" i="7"/>
  <c r="BZ431" i="7"/>
  <c r="CB431" i="7"/>
  <c r="CC59" i="7"/>
  <c r="BD59" i="7"/>
  <c r="BZ59" i="7"/>
  <c r="CB594" i="7"/>
  <c r="CC594" i="7"/>
  <c r="BD594" i="7"/>
  <c r="CC239" i="7"/>
  <c r="CB239" i="7"/>
  <c r="BD239" i="7"/>
  <c r="BY239" i="7"/>
  <c r="CC265" i="7"/>
  <c r="CB265" i="7"/>
  <c r="BY265" i="7"/>
  <c r="BD265" i="7"/>
  <c r="CC39" i="7"/>
  <c r="CB39" i="7"/>
  <c r="BY39" i="7"/>
  <c r="BD39" i="7"/>
  <c r="CB711" i="7"/>
  <c r="BD711" i="7"/>
  <c r="CA711" i="7"/>
  <c r="CC711" i="7"/>
  <c r="BD227" i="7"/>
  <c r="CA227" i="7"/>
  <c r="CB227" i="7"/>
  <c r="CC227" i="7"/>
  <c r="BY227" i="7"/>
  <c r="CB41" i="7"/>
  <c r="BY41" i="7"/>
  <c r="CC41" i="7"/>
  <c r="BD41" i="7"/>
  <c r="CB646" i="7"/>
  <c r="CC646" i="7"/>
  <c r="BD646" i="7"/>
  <c r="BD562" i="7"/>
  <c r="CB562" i="7"/>
  <c r="BY562" i="7"/>
  <c r="CC562" i="7"/>
  <c r="CB639" i="7"/>
  <c r="BY639" i="7"/>
  <c r="CC639" i="7"/>
  <c r="BD639" i="7"/>
  <c r="CC288" i="7"/>
  <c r="CA288" i="7"/>
  <c r="CB288" i="7"/>
  <c r="BD288" i="7"/>
  <c r="BY517" i="7"/>
  <c r="BD517" i="7"/>
  <c r="CB307" i="7"/>
  <c r="CC307" i="7"/>
  <c r="BD307" i="7"/>
  <c r="CC460" i="7"/>
  <c r="BD460" i="7"/>
  <c r="CB460" i="7"/>
  <c r="BD841" i="7"/>
  <c r="BY841" i="7"/>
  <c r="CC841" i="7"/>
  <c r="CA841" i="7"/>
  <c r="CB841" i="7"/>
  <c r="BD257" i="7"/>
  <c r="CB257" i="7"/>
  <c r="BZ257" i="7"/>
  <c r="CA257" i="7"/>
  <c r="CB204" i="7"/>
  <c r="CC204" i="7"/>
  <c r="BD204" i="7"/>
  <c r="BY641" i="7"/>
  <c r="CA641" i="7"/>
  <c r="BD641" i="7"/>
  <c r="BZ603" i="7"/>
  <c r="BD603" i="7"/>
  <c r="CB603" i="7"/>
  <c r="CB50" i="7"/>
  <c r="CC50" i="7"/>
  <c r="BD50" i="7"/>
  <c r="CA269" i="7"/>
  <c r="CB269" i="7"/>
  <c r="BZ269" i="7"/>
  <c r="BD269" i="7"/>
  <c r="CC728" i="7"/>
  <c r="CB728" i="7"/>
  <c r="BD728" i="7"/>
  <c r="BD849" i="7"/>
  <c r="CC849" i="7"/>
  <c r="BZ849" i="7"/>
  <c r="BY849" i="7"/>
  <c r="CB849" i="7"/>
  <c r="CA769" i="7"/>
  <c r="CB769" i="7"/>
  <c r="BD769" i="7"/>
  <c r="CC769" i="7"/>
  <c r="CC317" i="7"/>
  <c r="BD317" i="7"/>
  <c r="BY317" i="7"/>
  <c r="CB317" i="7"/>
  <c r="CC692" i="7"/>
  <c r="BD692" i="7"/>
  <c r="CA692" i="7"/>
  <c r="BY692" i="7"/>
  <c r="CB692" i="7"/>
  <c r="CA475" i="7"/>
  <c r="BZ475" i="7"/>
  <c r="BD475" i="7"/>
  <c r="CA488" i="7"/>
  <c r="BD488" i="7"/>
  <c r="CB488" i="7"/>
  <c r="CC447" i="7"/>
  <c r="BY447" i="7"/>
  <c r="CB447" i="7"/>
  <c r="BD447" i="7"/>
  <c r="CB274" i="7"/>
  <c r="BD274" i="7"/>
  <c r="CC274" i="7"/>
  <c r="CC842" i="7"/>
  <c r="BD842" i="7"/>
  <c r="CB842" i="7"/>
  <c r="CC300" i="7"/>
  <c r="BD300" i="7"/>
  <c r="CA300" i="7"/>
  <c r="CB300" i="7"/>
  <c r="BZ300" i="7"/>
  <c r="CB463" i="7"/>
  <c r="BD463" i="7"/>
  <c r="BZ463" i="7"/>
  <c r="CB63" i="7"/>
  <c r="BD63" i="7"/>
  <c r="CC63" i="7"/>
  <c r="CC378" i="7"/>
  <c r="BD378" i="7"/>
  <c r="BZ378" i="7"/>
  <c r="BY810" i="7"/>
  <c r="BD810" i="7"/>
  <c r="CA810" i="7"/>
  <c r="CB810" i="7"/>
  <c r="BD408" i="7"/>
  <c r="CB408" i="7"/>
  <c r="CA408" i="7"/>
  <c r="CB520" i="7"/>
  <c r="CC520" i="7"/>
  <c r="BD520" i="7"/>
  <c r="BY305" i="7"/>
  <c r="BD305" i="7"/>
  <c r="CC305" i="7"/>
  <c r="CA116" i="7"/>
  <c r="BD116" i="7"/>
  <c r="BY116" i="7"/>
  <c r="CA170" i="7"/>
  <c r="CB170" i="7"/>
  <c r="CC170" i="7"/>
  <c r="BY170" i="7"/>
  <c r="BD170" i="7"/>
  <c r="CA589" i="7"/>
  <c r="CB589" i="7"/>
  <c r="BD589" i="7"/>
  <c r="CC589" i="7"/>
  <c r="BY589" i="7"/>
  <c r="BD535" i="7"/>
  <c r="CB535" i="7"/>
  <c r="CC62" i="7"/>
  <c r="BD62" i="7"/>
  <c r="CA62" i="7"/>
  <c r="CB62" i="7"/>
  <c r="CA612" i="7"/>
  <c r="BD612" i="7"/>
  <c r="CB612" i="7"/>
  <c r="BD486" i="7"/>
  <c r="CA486" i="7"/>
  <c r="CB99" i="7"/>
  <c r="CC99" i="7"/>
  <c r="CA99" i="7"/>
  <c r="BD99" i="7"/>
  <c r="BY99" i="7"/>
  <c r="CC720" i="7"/>
  <c r="BD720" i="7"/>
  <c r="CB720" i="7"/>
  <c r="CA651" i="7"/>
  <c r="CC651" i="7"/>
  <c r="BD651" i="7"/>
  <c r="CB651" i="7"/>
  <c r="CB314" i="7"/>
  <c r="CA314" i="7"/>
  <c r="BD314" i="7"/>
  <c r="CC314" i="7"/>
  <c r="BY314" i="7"/>
  <c r="CA783" i="7"/>
  <c r="BD783" i="7"/>
  <c r="CB783" i="7"/>
  <c r="BY783" i="7"/>
  <c r="BD689" i="7"/>
  <c r="BY689" i="7"/>
  <c r="CA689" i="7"/>
  <c r="CB689" i="7"/>
  <c r="CB674" i="7"/>
  <c r="BZ674" i="7"/>
  <c r="CC674" i="7"/>
  <c r="BD674" i="7"/>
  <c r="CB266" i="7"/>
  <c r="CC266" i="7"/>
  <c r="BD266" i="7"/>
  <c r="CA266" i="7"/>
  <c r="CC395" i="7"/>
  <c r="BZ395" i="7"/>
  <c r="BD395" i="7"/>
  <c r="BY395" i="7"/>
  <c r="CA395" i="7"/>
  <c r="CB626" i="7"/>
  <c r="BY626" i="7"/>
  <c r="BD626" i="7"/>
  <c r="BZ626" i="7"/>
  <c r="CB684" i="7"/>
  <c r="CA684" i="7"/>
  <c r="CC684" i="7"/>
  <c r="BY684" i="7"/>
  <c r="BD684" i="7"/>
  <c r="CB617" i="7"/>
  <c r="CC617" i="7"/>
  <c r="CA617" i="7"/>
  <c r="BD617" i="7"/>
  <c r="CB738" i="7"/>
  <c r="CC738" i="7"/>
  <c r="CA738" i="7"/>
  <c r="BD738" i="7"/>
  <c r="CB786" i="7"/>
  <c r="BD786" i="7"/>
  <c r="CB861" i="7"/>
  <c r="BD861" i="7"/>
  <c r="CA861" i="7"/>
  <c r="CA171" i="7"/>
  <c r="BD171" i="7"/>
  <c r="CC171" i="7"/>
  <c r="CB153" i="7"/>
  <c r="BD153" i="7"/>
  <c r="CA153" i="7"/>
  <c r="CB394" i="7"/>
  <c r="CA394" i="7"/>
  <c r="BD394" i="7"/>
  <c r="CC394" i="7"/>
  <c r="CB556" i="7"/>
  <c r="CA556" i="7"/>
  <c r="BY556" i="7"/>
  <c r="BD556" i="7"/>
  <c r="BD766" i="7"/>
  <c r="CA766" i="7"/>
  <c r="BY766" i="7"/>
  <c r="CB624" i="7"/>
  <c r="BD624" i="7"/>
  <c r="CA624" i="7"/>
  <c r="BZ624" i="7"/>
  <c r="CB683" i="7"/>
  <c r="BY683" i="7"/>
  <c r="BD683" i="7"/>
  <c r="BD281" i="7"/>
  <c r="CB281" i="7"/>
  <c r="CC281" i="7"/>
  <c r="CA281" i="7"/>
  <c r="CC793" i="7"/>
  <c r="CB793" i="7"/>
  <c r="BD793" i="7"/>
  <c r="BY543" i="7"/>
  <c r="CB543" i="7"/>
  <c r="CA543" i="7"/>
  <c r="BD543" i="7"/>
  <c r="CA608" i="7"/>
  <c r="BD608" i="7"/>
  <c r="CC218" i="7"/>
  <c r="CB218" i="7"/>
  <c r="CA218" i="7"/>
  <c r="BD218" i="7"/>
  <c r="CC697" i="7"/>
  <c r="CB697" i="7"/>
  <c r="CA697" i="7"/>
  <c r="BD697" i="7"/>
  <c r="BY238" i="7"/>
  <c r="CA238" i="7"/>
  <c r="BD238" i="7"/>
  <c r="CC238" i="7"/>
  <c r="CC321" i="7"/>
  <c r="BY321" i="7"/>
  <c r="BD321" i="7"/>
  <c r="CB321" i="7"/>
  <c r="CB36" i="7"/>
  <c r="CC36" i="7"/>
  <c r="BZ36" i="7"/>
  <c r="BD36" i="7"/>
  <c r="CB299" i="7"/>
  <c r="BY299" i="7"/>
  <c r="CA299" i="7"/>
  <c r="BD299" i="7"/>
  <c r="BD489" i="7"/>
  <c r="CB489" i="7"/>
  <c r="CA489" i="7"/>
  <c r="BY489" i="7"/>
  <c r="BD821" i="7"/>
  <c r="CA821" i="7"/>
  <c r="CB821" i="7"/>
  <c r="CC821" i="7"/>
  <c r="CC96" i="7"/>
  <c r="BY96" i="7"/>
  <c r="CB96" i="7"/>
  <c r="BD96" i="7"/>
  <c r="CA620" i="7"/>
  <c r="BD620" i="7"/>
  <c r="BY620" i="7"/>
  <c r="CA811" i="7"/>
  <c r="BY811" i="7"/>
  <c r="BD811" i="7"/>
  <c r="CB811" i="7"/>
  <c r="CA530" i="7"/>
  <c r="BY530" i="7"/>
  <c r="BD530" i="7"/>
  <c r="CC530" i="7"/>
  <c r="CB590" i="7"/>
  <c r="BD590" i="7"/>
  <c r="CA590" i="7"/>
  <c r="BY590" i="7"/>
  <c r="CB815" i="7"/>
  <c r="BD815" i="7"/>
  <c r="BY815" i="7"/>
  <c r="CA815" i="7"/>
  <c r="CC177" i="7"/>
  <c r="BD177" i="7"/>
  <c r="CA177" i="7"/>
  <c r="CC421" i="7"/>
  <c r="BY421" i="7"/>
  <c r="BZ421" i="7"/>
  <c r="BD421" i="7"/>
  <c r="CB481" i="7"/>
  <c r="BY481" i="7"/>
  <c r="BD481" i="7"/>
  <c r="CC481" i="7"/>
  <c r="BY412" i="7"/>
  <c r="CA412" i="7"/>
  <c r="BD412" i="7"/>
  <c r="BZ412" i="7"/>
  <c r="BY467" i="7"/>
  <c r="BD467" i="7"/>
  <c r="CB467" i="7"/>
  <c r="BY94" i="7"/>
  <c r="CC94" i="7"/>
  <c r="BZ94" i="7"/>
  <c r="BD94" i="7"/>
  <c r="CA94" i="7"/>
  <c r="CB163" i="7"/>
  <c r="CC163" i="7"/>
  <c r="BD163" i="7"/>
  <c r="CA163" i="7"/>
  <c r="CB700" i="7"/>
  <c r="BD700" i="7"/>
  <c r="BY591" i="7"/>
  <c r="CA591" i="7"/>
  <c r="CB591" i="7"/>
  <c r="CC591" i="7"/>
  <c r="BD591" i="7"/>
  <c r="CC16" i="7"/>
  <c r="CB16" i="7"/>
  <c r="BD16" i="7"/>
  <c r="CC232" i="7"/>
  <c r="BY232" i="7"/>
  <c r="CB232" i="7"/>
  <c r="BD232" i="7"/>
  <c r="CC492" i="7"/>
  <c r="CB492" i="7"/>
  <c r="BD492" i="7"/>
  <c r="CA119" i="7"/>
  <c r="CC119" i="7"/>
  <c r="CB119" i="7"/>
  <c r="BD119" i="7"/>
  <c r="CC368" i="7"/>
  <c r="BY368" i="7"/>
  <c r="BD368" i="7"/>
  <c r="CA368" i="7"/>
  <c r="CC691" i="7"/>
  <c r="CB691" i="7"/>
  <c r="BD691" i="7"/>
  <c r="BY691" i="7"/>
  <c r="BD788" i="7"/>
  <c r="BY788" i="7"/>
  <c r="CA788" i="7"/>
  <c r="CB788" i="7"/>
  <c r="BD804" i="7"/>
  <c r="CB804" i="7"/>
  <c r="BZ804" i="7"/>
  <c r="CA804" i="7"/>
  <c r="CC211" i="7"/>
  <c r="CB211" i="7"/>
  <c r="CA211" i="7"/>
  <c r="BD211" i="7"/>
  <c r="BD373" i="7"/>
  <c r="BZ373" i="7"/>
  <c r="BY373" i="7"/>
  <c r="BD860" i="7"/>
  <c r="BZ860" i="7"/>
  <c r="BY860" i="7"/>
  <c r="CB860" i="7"/>
  <c r="CC745" i="7"/>
  <c r="CB745" i="7"/>
  <c r="BD745" i="7"/>
  <c r="BY33" i="7"/>
  <c r="CC33" i="7"/>
  <c r="BD33" i="7"/>
  <c r="CB33" i="7"/>
  <c r="CB850" i="7"/>
  <c r="CA850" i="7"/>
  <c r="BY850" i="7"/>
  <c r="BD850" i="7"/>
  <c r="BD270" i="7"/>
  <c r="CB270" i="7"/>
  <c r="BY270" i="7"/>
  <c r="CC270" i="7"/>
  <c r="BY95" i="7"/>
  <c r="BD95" i="7"/>
  <c r="CA712" i="7"/>
  <c r="BD712" i="7"/>
  <c r="BZ120" i="7"/>
  <c r="BD120" i="7"/>
  <c r="CD106" i="7"/>
  <c r="BD106" i="7"/>
  <c r="BD845" i="7"/>
  <c r="CA254" i="7"/>
  <c r="BD254" i="7"/>
  <c r="CC52" i="7"/>
  <c r="BD52" i="7"/>
  <c r="BD654" i="7"/>
  <c r="CB625" i="7"/>
  <c r="BD625" i="7"/>
  <c r="Q11" i="15"/>
  <c r="Q464" i="15"/>
  <c r="Q655" i="15"/>
  <c r="Q271" i="15"/>
  <c r="Q243" i="15"/>
  <c r="Q78" i="15"/>
  <c r="Q76" i="15"/>
  <c r="Q186" i="15"/>
  <c r="Q163" i="15"/>
  <c r="Q162" i="15"/>
  <c r="Q147" i="15"/>
  <c r="Q99" i="15"/>
  <c r="Q770" i="15"/>
  <c r="Q146" i="15"/>
  <c r="Q771" i="15"/>
  <c r="Q208" i="15"/>
  <c r="Q207" i="15"/>
  <c r="Q111" i="15"/>
  <c r="Q638" i="15"/>
  <c r="Q121" i="15"/>
  <c r="Q216" i="15"/>
  <c r="Q563" i="15"/>
  <c r="Q130" i="15"/>
  <c r="Q31" i="15"/>
  <c r="Q125" i="15"/>
  <c r="Q157" i="15"/>
  <c r="Q109" i="15"/>
  <c r="Q688" i="15"/>
  <c r="Q735" i="15"/>
  <c r="Q495" i="15"/>
  <c r="Q255" i="15"/>
  <c r="Q236" i="15"/>
  <c r="Q528" i="15"/>
  <c r="Q335" i="15"/>
  <c r="Q403" i="15"/>
  <c r="Q560" i="15"/>
  <c r="Q252" i="15"/>
  <c r="Q178" i="15"/>
  <c r="Q607" i="15"/>
  <c r="Q527" i="15"/>
  <c r="Q367" i="15"/>
  <c r="Q67" i="15"/>
  <c r="Q731" i="15"/>
  <c r="Q691" i="15"/>
  <c r="Q371" i="15"/>
  <c r="Q291" i="15"/>
  <c r="Q578" i="15"/>
  <c r="Q647" i="15"/>
  <c r="Q247" i="15"/>
  <c r="Q656" i="15"/>
  <c r="Q576" i="15"/>
  <c r="Q623" i="15"/>
  <c r="Q383" i="15"/>
  <c r="Q670" i="15"/>
  <c r="Q583" i="15"/>
  <c r="Q381" i="15"/>
  <c r="Q547" i="15"/>
  <c r="Q307" i="15"/>
  <c r="Q674" i="15"/>
  <c r="Q274" i="15"/>
  <c r="Q194" i="15"/>
  <c r="Q114" i="15"/>
  <c r="Q672" i="15"/>
  <c r="Q432" i="15"/>
  <c r="Q639" i="15"/>
  <c r="Q559" i="15"/>
  <c r="Q479" i="15"/>
  <c r="Q399" i="15"/>
  <c r="Q239" i="15"/>
  <c r="Q220" i="15"/>
  <c r="Q140" i="15"/>
  <c r="Q524" i="15"/>
  <c r="Q218" i="15"/>
  <c r="Q450" i="15"/>
  <c r="Q290" i="15"/>
  <c r="Q460" i="15"/>
  <c r="Q60" i="15"/>
  <c r="Q739" i="15"/>
  <c r="Q499" i="15"/>
  <c r="Q419" i="15"/>
  <c r="Q259" i="15"/>
  <c r="Q706" i="15"/>
  <c r="Q546" i="15"/>
  <c r="Q386" i="15"/>
  <c r="Q306" i="15"/>
  <c r="Q751" i="15"/>
  <c r="Q431" i="15"/>
  <c r="Q603" i="15"/>
  <c r="Q363" i="15"/>
  <c r="Q515" i="15"/>
  <c r="Q435" i="15"/>
  <c r="Q275" i="15"/>
  <c r="Q35" i="15"/>
  <c r="Q642" i="15"/>
  <c r="Q562" i="15"/>
  <c r="Q322" i="15"/>
  <c r="Q242" i="15"/>
  <c r="Q523" i="15"/>
  <c r="Q520" i="15"/>
  <c r="Q183" i="15"/>
  <c r="Q82" i="15"/>
  <c r="Q333" i="15"/>
  <c r="Q540" i="15"/>
  <c r="Q58" i="15"/>
  <c r="Q398" i="15"/>
  <c r="Q318" i="15"/>
  <c r="Q302" i="15"/>
  <c r="Q458" i="15"/>
  <c r="Q336" i="15"/>
  <c r="Q609" i="15"/>
  <c r="Q496" i="15"/>
  <c r="Q561" i="15"/>
  <c r="Q402" i="15"/>
  <c r="Q50" i="15"/>
  <c r="Q34" i="15"/>
  <c r="Q18" i="15"/>
  <c r="Q529" i="15"/>
  <c r="Q338" i="15"/>
  <c r="Q337" i="15"/>
  <c r="Q654" i="15"/>
  <c r="Q465" i="15"/>
  <c r="Q589" i="15"/>
  <c r="Q429" i="15"/>
  <c r="Q285" i="15"/>
  <c r="Q705" i="15"/>
  <c r="Q449" i="15"/>
  <c r="Q716" i="15"/>
  <c r="Q668" i="15"/>
  <c r="Q412" i="15"/>
  <c r="Q482" i="15"/>
  <c r="Q3" i="15"/>
  <c r="Q702" i="15"/>
  <c r="Q556" i="15"/>
  <c r="Q446" i="15"/>
  <c r="Q300" i="15"/>
  <c r="Q769" i="15"/>
  <c r="Q753" i="15"/>
  <c r="Q721" i="15"/>
  <c r="Q673" i="15"/>
  <c r="Q641" i="15"/>
  <c r="Q625" i="15"/>
  <c r="Q593" i="15"/>
  <c r="Q577" i="15"/>
  <c r="Q497" i="15"/>
  <c r="Q481" i="15"/>
  <c r="Q417" i="15"/>
  <c r="Q401" i="15"/>
  <c r="Q385" i="15"/>
  <c r="Q369" i="15"/>
  <c r="Q353" i="15"/>
  <c r="Q305" i="15"/>
  <c r="Q273" i="15"/>
  <c r="Q257" i="15"/>
  <c r="Q145" i="15"/>
  <c r="Q129" i="15"/>
  <c r="Q113" i="15"/>
  <c r="Q97" i="15"/>
  <c r="Q81" i="15"/>
  <c r="Q65" i="15"/>
  <c r="Q49" i="15"/>
  <c r="Q33" i="15"/>
  <c r="Q17" i="15"/>
  <c r="Q750" i="15"/>
  <c r="Q98" i="15"/>
  <c r="Q686" i="15"/>
  <c r="Q606" i="15"/>
  <c r="Q558" i="15"/>
  <c r="Q542" i="15"/>
  <c r="Q510" i="15"/>
  <c r="Q350" i="15"/>
  <c r="Q748" i="15"/>
  <c r="Q636" i="15"/>
  <c r="Q508" i="15"/>
  <c r="Q380" i="15"/>
  <c r="Q653" i="15"/>
  <c r="Q579" i="15"/>
  <c r="Q415" i="15"/>
  <c r="Q379" i="15"/>
  <c r="Q416" i="15"/>
  <c r="Q320" i="15"/>
  <c r="Q288" i="15"/>
  <c r="Q272" i="15"/>
  <c r="Q256" i="15"/>
  <c r="Q224" i="15"/>
  <c r="Q160" i="15"/>
  <c r="Q30" i="15"/>
  <c r="Q621" i="15"/>
  <c r="Q493" i="15"/>
  <c r="Q269" i="15"/>
  <c r="Q699" i="15"/>
  <c r="Q667" i="15"/>
  <c r="Q619" i="15"/>
  <c r="Q475" i="15"/>
  <c r="Q443" i="15"/>
  <c r="Q746" i="15"/>
  <c r="Q714" i="15"/>
  <c r="Q522" i="15"/>
  <c r="Q154" i="15"/>
  <c r="Q723" i="15"/>
  <c r="Q669" i="15"/>
  <c r="Q651" i="15"/>
  <c r="Q595" i="15"/>
  <c r="Q413" i="15"/>
  <c r="Q395" i="15"/>
  <c r="Q339" i="15"/>
  <c r="Q267" i="15"/>
  <c r="Q192" i="15"/>
  <c r="Q176" i="15"/>
  <c r="Q144" i="15"/>
  <c r="Q80" i="15"/>
  <c r="Q64" i="15"/>
  <c r="Q48" i="15"/>
  <c r="Q16" i="15"/>
  <c r="Q685" i="15"/>
  <c r="Q575" i="15"/>
  <c r="Q539" i="15"/>
  <c r="Q483" i="15"/>
  <c r="Q715" i="15"/>
  <c r="Q491" i="15"/>
  <c r="Q459" i="15"/>
  <c r="Q235" i="15"/>
  <c r="Q155" i="15"/>
  <c r="Q139" i="15"/>
  <c r="Q91" i="15"/>
  <c r="Q43" i="15"/>
  <c r="Q762" i="15"/>
  <c r="Q730" i="15"/>
  <c r="Q650" i="15"/>
  <c r="Q138" i="15"/>
  <c r="Q106" i="15"/>
  <c r="Q26" i="15"/>
  <c r="Q687" i="15"/>
  <c r="Q541" i="15"/>
  <c r="Q467" i="15"/>
  <c r="Q303" i="15"/>
  <c r="Q229" i="15"/>
  <c r="Q175" i="15"/>
  <c r="Q394" i="15"/>
  <c r="Q457" i="15"/>
  <c r="Q217" i="15"/>
  <c r="Q201" i="15"/>
  <c r="Q185" i="15"/>
  <c r="Q137" i="15"/>
  <c r="Q89" i="15"/>
  <c r="Q760" i="15"/>
  <c r="Q168" i="15"/>
  <c r="Q104" i="15"/>
  <c r="Q88" i="15"/>
  <c r="Q757" i="15"/>
  <c r="Q611" i="15"/>
  <c r="Q355" i="15"/>
  <c r="Q319" i="15"/>
  <c r="Q283" i="15"/>
  <c r="Q191" i="15"/>
  <c r="Q173" i="15"/>
  <c r="Q756" i="15"/>
  <c r="Q738" i="15"/>
  <c r="Q720" i="15"/>
  <c r="Q684" i="15"/>
  <c r="Q666" i="15"/>
  <c r="Q628" i="15"/>
  <c r="Q610" i="15"/>
  <c r="Q592" i="15"/>
  <c r="Q574" i="15"/>
  <c r="Q500" i="15"/>
  <c r="Q354" i="15"/>
  <c r="Q226" i="15"/>
  <c r="Q172" i="15"/>
  <c r="Q698" i="15"/>
  <c r="Q634" i="15"/>
  <c r="Q618" i="15"/>
  <c r="Q602" i="15"/>
  <c r="Q570" i="15"/>
  <c r="Q538" i="15"/>
  <c r="Q506" i="15"/>
  <c r="Q490" i="15"/>
  <c r="Q442" i="15"/>
  <c r="Q410" i="15"/>
  <c r="Q378" i="15"/>
  <c r="Q362" i="15"/>
  <c r="Q627" i="15"/>
  <c r="Q225" i="15"/>
  <c r="Q745" i="15"/>
  <c r="Q729" i="15"/>
  <c r="Q713" i="15"/>
  <c r="Q649" i="15"/>
  <c r="Q585" i="15"/>
  <c r="Q569" i="15"/>
  <c r="Q521" i="15"/>
  <c r="Q313" i="15"/>
  <c r="Q249" i="15"/>
  <c r="Q712" i="15"/>
  <c r="Q648" i="15"/>
  <c r="Q632" i="15"/>
  <c r="Q584" i="15"/>
  <c r="Q568" i="15"/>
  <c r="Q376" i="15"/>
  <c r="Q312" i="15"/>
  <c r="Q248" i="15"/>
  <c r="Q205" i="15"/>
  <c r="Q675" i="15"/>
  <c r="Q115" i="15"/>
  <c r="Q83" i="15"/>
  <c r="Q690" i="15"/>
  <c r="Q434" i="15"/>
  <c r="Q66" i="15"/>
  <c r="Q733" i="15"/>
  <c r="Q659" i="15"/>
  <c r="Q587" i="15"/>
  <c r="Q513" i="15"/>
  <c r="Q477" i="15"/>
  <c r="Q331" i="15"/>
  <c r="Q321" i="15"/>
  <c r="Q732" i="15"/>
  <c r="Q658" i="15"/>
  <c r="Q640" i="15"/>
  <c r="Q622" i="15"/>
  <c r="Q604" i="15"/>
  <c r="Q530" i="15"/>
  <c r="Q512" i="15"/>
  <c r="Q494" i="15"/>
  <c r="Q476" i="15"/>
  <c r="Q366" i="15"/>
  <c r="Q348" i="15"/>
  <c r="Q202" i="15"/>
  <c r="Q184" i="15"/>
  <c r="Q544" i="15"/>
  <c r="Q240" i="15"/>
  <c r="Q128" i="15"/>
  <c r="Q351" i="15"/>
  <c r="Q159" i="15"/>
  <c r="Q15" i="15"/>
  <c r="Q418" i="15"/>
  <c r="Q400" i="15"/>
  <c r="Q254" i="15"/>
  <c r="Q94" i="15"/>
  <c r="Q765" i="15"/>
  <c r="Q766" i="15"/>
  <c r="Q734" i="15"/>
  <c r="Q478" i="15"/>
  <c r="Q430" i="15"/>
  <c r="Q414" i="15"/>
  <c r="Q382" i="15"/>
  <c r="Q286" i="15"/>
  <c r="Q222" i="15"/>
  <c r="Q158" i="15"/>
  <c r="Q126" i="15"/>
  <c r="Q110" i="15"/>
  <c r="Q62" i="15"/>
  <c r="Q749" i="15"/>
  <c r="Q717" i="15"/>
  <c r="Q557" i="15"/>
  <c r="Q509" i="15"/>
  <c r="Q461" i="15"/>
  <c r="Q365" i="15"/>
  <c r="Q253" i="15"/>
  <c r="Q237" i="15"/>
  <c r="Q221" i="15"/>
  <c r="Q45" i="15"/>
  <c r="Q29" i="15"/>
  <c r="Q620" i="15"/>
  <c r="Q588" i="15"/>
  <c r="Q492" i="15"/>
  <c r="Q396" i="15"/>
  <c r="Q364" i="15"/>
  <c r="Q332" i="15"/>
  <c r="Q284" i="15"/>
  <c r="Q268" i="15"/>
  <c r="Q204" i="15"/>
  <c r="Q156" i="15"/>
  <c r="Q124" i="15"/>
  <c r="Q108" i="15"/>
  <c r="Q12" i="15"/>
  <c r="Q763" i="15"/>
  <c r="Q707" i="15"/>
  <c r="Q689" i="15"/>
  <c r="Q671" i="15"/>
  <c r="Q635" i="15"/>
  <c r="Q617" i="15"/>
  <c r="Q543" i="15"/>
  <c r="Q525" i="15"/>
  <c r="Q433" i="15"/>
  <c r="Q397" i="15"/>
  <c r="Q323" i="15"/>
  <c r="Q287" i="15"/>
  <c r="Q213" i="15"/>
  <c r="Q195" i="15"/>
  <c r="Q177" i="15"/>
  <c r="Q571" i="15"/>
  <c r="Q315" i="15"/>
  <c r="Q219" i="15"/>
  <c r="Q59" i="15"/>
  <c r="Q652" i="15"/>
  <c r="Q101" i="15"/>
  <c r="Q134" i="15"/>
  <c r="Q61" i="15"/>
  <c r="Q44" i="15"/>
  <c r="Q28" i="15"/>
  <c r="Q747" i="15"/>
  <c r="Q411" i="15"/>
  <c r="Q347" i="15"/>
  <c r="Q27" i="15"/>
  <c r="Q474" i="15"/>
  <c r="Q42" i="15"/>
  <c r="Q25" i="15"/>
  <c r="Q722" i="15"/>
  <c r="Q704" i="15"/>
  <c r="Q594" i="15"/>
  <c r="Q466" i="15"/>
  <c r="Q448" i="15"/>
  <c r="Q228" i="15"/>
  <c r="Q100" i="15"/>
  <c r="Q117" i="15"/>
  <c r="Q150" i="15"/>
  <c r="Q116" i="15"/>
  <c r="Q407" i="15"/>
  <c r="Q346" i="15"/>
  <c r="Q314" i="15"/>
  <c r="Q282" i="15"/>
  <c r="Q266" i="15"/>
  <c r="Q250" i="15"/>
  <c r="Q10" i="15"/>
  <c r="Q697" i="15"/>
  <c r="Q681" i="15"/>
  <c r="Q633" i="15"/>
  <c r="Q601" i="15"/>
  <c r="Q553" i="15"/>
  <c r="Q505" i="15"/>
  <c r="Q489" i="15"/>
  <c r="Q473" i="15"/>
  <c r="Q441" i="15"/>
  <c r="Q393" i="15"/>
  <c r="Q377" i="15"/>
  <c r="Q361" i="15"/>
  <c r="Q345" i="15"/>
  <c r="Q329" i="15"/>
  <c r="Q297" i="15"/>
  <c r="Q265" i="15"/>
  <c r="Q57" i="15"/>
  <c r="Q41" i="15"/>
  <c r="Q9" i="15"/>
  <c r="Q728" i="15"/>
  <c r="Q696" i="15"/>
  <c r="Q616" i="15"/>
  <c r="Q600" i="15"/>
  <c r="Q552" i="15"/>
  <c r="Q504" i="15"/>
  <c r="Q472" i="15"/>
  <c r="Q456" i="15"/>
  <c r="Q440" i="15"/>
  <c r="Q424" i="15"/>
  <c r="Q392" i="15"/>
  <c r="Q360" i="15"/>
  <c r="Q344" i="15"/>
  <c r="Q328" i="15"/>
  <c r="Q296" i="15"/>
  <c r="Q264" i="15"/>
  <c r="Q56" i="15"/>
  <c r="Q40" i="15"/>
  <c r="Q24" i="15"/>
  <c r="Q8" i="15"/>
  <c r="Q743" i="15"/>
  <c r="Q727" i="15"/>
  <c r="Q679" i="15"/>
  <c r="Q663" i="15"/>
  <c r="Q615" i="15"/>
  <c r="Q599" i="15"/>
  <c r="Q551" i="15"/>
  <c r="Q535" i="15"/>
  <c r="Q519" i="15"/>
  <c r="Q503" i="15"/>
  <c r="Q487" i="15"/>
  <c r="Q455" i="15"/>
  <c r="Q423" i="15"/>
  <c r="Q391" i="15"/>
  <c r="Q359" i="15"/>
  <c r="Q343" i="15"/>
  <c r="Q327" i="15"/>
  <c r="Q295" i="15"/>
  <c r="Q279" i="15"/>
  <c r="Q263" i="15"/>
  <c r="Q39" i="15"/>
  <c r="Q23" i="15"/>
  <c r="Q7" i="15"/>
  <c r="Q737" i="15"/>
  <c r="Q719" i="15"/>
  <c r="Q701" i="15"/>
  <c r="Q683" i="15"/>
  <c r="Q591" i="15"/>
  <c r="Q573" i="15"/>
  <c r="Q555" i="15"/>
  <c r="Q537" i="15"/>
  <c r="Q463" i="15"/>
  <c r="Q445" i="15"/>
  <c r="Q427" i="15"/>
  <c r="Q317" i="15"/>
  <c r="Q299" i="15"/>
  <c r="Q281" i="15"/>
  <c r="Q153" i="15"/>
  <c r="Q133" i="15"/>
  <c r="Q166" i="15"/>
  <c r="Q711" i="15"/>
  <c r="Q695" i="15"/>
  <c r="Q631" i="15"/>
  <c r="Q439" i="15"/>
  <c r="Q375" i="15"/>
  <c r="Q772" i="15"/>
  <c r="Q754" i="15"/>
  <c r="Q736" i="15"/>
  <c r="Q718" i="15"/>
  <c r="Q700" i="15"/>
  <c r="Q682" i="15"/>
  <c r="Q664" i="15"/>
  <c r="Q644" i="15"/>
  <c r="Q626" i="15"/>
  <c r="Q608" i="15"/>
  <c r="Q590" i="15"/>
  <c r="Q572" i="15"/>
  <c r="Q554" i="15"/>
  <c r="Q536" i="15"/>
  <c r="Q516" i="15"/>
  <c r="Q498" i="15"/>
  <c r="Q480" i="15"/>
  <c r="Q462" i="15"/>
  <c r="Q444" i="15"/>
  <c r="Q426" i="15"/>
  <c r="Q408" i="15"/>
  <c r="Q388" i="15"/>
  <c r="Q370" i="15"/>
  <c r="Q352" i="15"/>
  <c r="Q334" i="15"/>
  <c r="Q316" i="15"/>
  <c r="Q298" i="15"/>
  <c r="Q280" i="15"/>
  <c r="Q260" i="15"/>
  <c r="Q206" i="15"/>
  <c r="Q188" i="15"/>
  <c r="Q170" i="15"/>
  <c r="Q152" i="15"/>
  <c r="Q132" i="15"/>
  <c r="Q96" i="15"/>
  <c r="Q75" i="15"/>
  <c r="Q70" i="15"/>
  <c r="Q643" i="15"/>
  <c r="Q425" i="15"/>
  <c r="Q387" i="15"/>
  <c r="Q241" i="15"/>
  <c r="Q169" i="15"/>
  <c r="Q149" i="15"/>
  <c r="Q131" i="15"/>
  <c r="Q74" i="15"/>
  <c r="Q71" i="15"/>
  <c r="Q182" i="15"/>
  <c r="Q451" i="15"/>
  <c r="Q19" i="15"/>
  <c r="Q680" i="15"/>
  <c r="Q624" i="15"/>
  <c r="Q514" i="15"/>
  <c r="Q148" i="15"/>
  <c r="Q112" i="15"/>
  <c r="Q73" i="15"/>
  <c r="Q258" i="15"/>
  <c r="Q531" i="15"/>
  <c r="Q165" i="15"/>
  <c r="Q92" i="15"/>
  <c r="Q198" i="15"/>
  <c r="Q164" i="15"/>
  <c r="Q69" i="15"/>
  <c r="Q86" i="15"/>
  <c r="Q199" i="15"/>
  <c r="Q384" i="15"/>
  <c r="Q304" i="15"/>
  <c r="Q767" i="15"/>
  <c r="Q657" i="15"/>
  <c r="Q511" i="15"/>
  <c r="Q181" i="15"/>
  <c r="Q68" i="15"/>
  <c r="Q214" i="15"/>
  <c r="Q180" i="15"/>
  <c r="Q93" i="15"/>
  <c r="Q471" i="15"/>
  <c r="Q47" i="15"/>
  <c r="Q238" i="15"/>
  <c r="Q197" i="15"/>
  <c r="Q102" i="15"/>
  <c r="Q230" i="15"/>
  <c r="Q46" i="15"/>
  <c r="Q637" i="15"/>
  <c r="Q301" i="15"/>
  <c r="Q764" i="15"/>
  <c r="Q196" i="15"/>
  <c r="Q85" i="15"/>
  <c r="Q84" i="15"/>
  <c r="Q118" i="15"/>
  <c r="Q758" i="15"/>
  <c r="Q232" i="15"/>
  <c r="Q212" i="15"/>
  <c r="Q665" i="15"/>
  <c r="Q645" i="15"/>
  <c r="Q517" i="15"/>
  <c r="Q409" i="15"/>
  <c r="Q389" i="15"/>
  <c r="Q261" i="15"/>
  <c r="Q53" i="15"/>
  <c r="Q6" i="15"/>
  <c r="Q22" i="15"/>
  <c r="Q38" i="15"/>
  <c r="Q54" i="15"/>
  <c r="Q246" i="15"/>
  <c r="Q262" i="15"/>
  <c r="Q278" i="15"/>
  <c r="Q294" i="15"/>
  <c r="Q310" i="15"/>
  <c r="Q326" i="15"/>
  <c r="Q342" i="15"/>
  <c r="Q358" i="15"/>
  <c r="Q374" i="15"/>
  <c r="Q390" i="15"/>
  <c r="Q406" i="15"/>
  <c r="Q422" i="15"/>
  <c r="Q438" i="15"/>
  <c r="Q454" i="15"/>
  <c r="Q470" i="15"/>
  <c r="Q486" i="15"/>
  <c r="Q502" i="15"/>
  <c r="Q518" i="15"/>
  <c r="Q534" i="15"/>
  <c r="Q550" i="15"/>
  <c r="Q566" i="15"/>
  <c r="Q582" i="15"/>
  <c r="Q598" i="15"/>
  <c r="Q614" i="15"/>
  <c r="Q630" i="15"/>
  <c r="Q646" i="15"/>
  <c r="Q662" i="15"/>
  <c r="Q678" i="15"/>
  <c r="Q694" i="15"/>
  <c r="Q710" i="15"/>
  <c r="Q726" i="15"/>
  <c r="Q742" i="15"/>
  <c r="Q661" i="15"/>
  <c r="Q533" i="15"/>
  <c r="Q405" i="15"/>
  <c r="Q277" i="15"/>
  <c r="Q52" i="15"/>
  <c r="Q55" i="15"/>
  <c r="Q311" i="15"/>
  <c r="Q567" i="15"/>
  <c r="Q660" i="15"/>
  <c r="Q532" i="15"/>
  <c r="Q404" i="15"/>
  <c r="Q368" i="15"/>
  <c r="Q276" i="15"/>
  <c r="Q51" i="15"/>
  <c r="Q677" i="15"/>
  <c r="Q605" i="15"/>
  <c r="Q549" i="15"/>
  <c r="Q421" i="15"/>
  <c r="Q349" i="15"/>
  <c r="Q293" i="15"/>
  <c r="Q676" i="15"/>
  <c r="Q586" i="15"/>
  <c r="Q548" i="15"/>
  <c r="Q420" i="15"/>
  <c r="Q330" i="15"/>
  <c r="Q292" i="15"/>
  <c r="Q32" i="15"/>
  <c r="Q693" i="15"/>
  <c r="Q565" i="15"/>
  <c r="Q437" i="15"/>
  <c r="Q309" i="15"/>
  <c r="Q692" i="15"/>
  <c r="Q564" i="15"/>
  <c r="Q436" i="15"/>
  <c r="Q308" i="15"/>
  <c r="Q21" i="15"/>
  <c r="Q14" i="15"/>
  <c r="Q709" i="15"/>
  <c r="Q581" i="15"/>
  <c r="Q545" i="15"/>
  <c r="Q453" i="15"/>
  <c r="Q325" i="15"/>
  <c r="Q289" i="15"/>
  <c r="Q20" i="15"/>
  <c r="Q13" i="15"/>
  <c r="Q708" i="15"/>
  <c r="Q580" i="15"/>
  <c r="Q526" i="15"/>
  <c r="Q452" i="15"/>
  <c r="Q324" i="15"/>
  <c r="Q270" i="15"/>
  <c r="Q725" i="15"/>
  <c r="Q597" i="15"/>
  <c r="Q507" i="15"/>
  <c r="Q469" i="15"/>
  <c r="Q341" i="15"/>
  <c r="Q251" i="15"/>
  <c r="Q744" i="15"/>
  <c r="Q724" i="15"/>
  <c r="Q596" i="15"/>
  <c r="Q488" i="15"/>
  <c r="Q468" i="15"/>
  <c r="Q340" i="15"/>
  <c r="Q741" i="15"/>
  <c r="Q613" i="15"/>
  <c r="Q485" i="15"/>
  <c r="Q357" i="15"/>
  <c r="Q37" i="15"/>
  <c r="Q5" i="15"/>
  <c r="Q740" i="15"/>
  <c r="Q612" i="15"/>
  <c r="Q484" i="15"/>
  <c r="Q356" i="15"/>
  <c r="Q36" i="15"/>
  <c r="Q703" i="15"/>
  <c r="Q629" i="15"/>
  <c r="Q501" i="15"/>
  <c r="Q447" i="15"/>
  <c r="Q373" i="15"/>
  <c r="Q245" i="15"/>
  <c r="Q428" i="15"/>
  <c r="Q372" i="15"/>
  <c r="Q244" i="15"/>
  <c r="Q4" i="15"/>
  <c r="Q2" i="15"/>
  <c r="CD633" i="7"/>
  <c r="CA453" i="7"/>
  <c r="CD453" i="7"/>
  <c r="CB106" i="7"/>
  <c r="CD599" i="7"/>
  <c r="CC625" i="7"/>
  <c r="CB120" i="7"/>
  <c r="CC599" i="7"/>
  <c r="CC712" i="7"/>
  <c r="BY453" i="7"/>
  <c r="CC490" i="7"/>
  <c r="CA633" i="7"/>
  <c r="CC633" i="7"/>
  <c r="CB490" i="7"/>
  <c r="CC254" i="7"/>
  <c r="CD77" i="7"/>
  <c r="CA835" i="7"/>
  <c r="CB835" i="7"/>
  <c r="CA10" i="7"/>
  <c r="CC10" i="7"/>
  <c r="CB694" i="7"/>
  <c r="CC694" i="7"/>
  <c r="CA694" i="7"/>
  <c r="CC221" i="7"/>
  <c r="BZ221" i="7"/>
  <c r="CB845" i="7"/>
  <c r="CA869" i="7"/>
  <c r="L31" i="6"/>
  <c r="I377" i="7" l="1"/>
  <c r="I140" i="7"/>
  <c r="I415" i="7"/>
  <c r="I289" i="7"/>
  <c r="I225" i="7"/>
  <c r="I568" i="7"/>
  <c r="I209" i="7"/>
  <c r="I380" i="7"/>
  <c r="I663" i="7"/>
  <c r="I547" i="7"/>
  <c r="I635" i="7"/>
  <c r="I34" i="7"/>
  <c r="I592" i="7"/>
  <c r="I459" i="7"/>
  <c r="I584" i="7"/>
  <c r="I540" i="7"/>
  <c r="I370" i="7"/>
  <c r="I854" i="7"/>
  <c r="I527" i="7"/>
  <c r="I114" i="7"/>
  <c r="I293" i="7"/>
  <c r="I799" i="7"/>
  <c r="I736" i="7"/>
  <c r="I290" i="7"/>
  <c r="I601" i="7"/>
  <c r="I282" i="7"/>
  <c r="I87" i="7"/>
  <c r="I341" i="7"/>
  <c r="I332" i="7"/>
  <c r="I602" i="7"/>
  <c r="I146" i="7"/>
  <c r="I548" i="7"/>
  <c r="I316" i="7"/>
  <c r="I644" i="7"/>
  <c r="I186" i="7"/>
  <c r="I329" i="7"/>
  <c r="I765" i="7"/>
  <c r="I718" i="7"/>
  <c r="I784" i="7"/>
  <c r="I676" i="7"/>
  <c r="I434" i="7"/>
  <c r="I391" i="7"/>
  <c r="I212" i="7"/>
  <c r="I706" i="7"/>
  <c r="I138" i="7"/>
  <c r="I38" i="7"/>
  <c r="I576" i="7"/>
  <c r="I240" i="7"/>
  <c r="I627" i="7"/>
  <c r="I113" i="7"/>
  <c r="I263" i="7"/>
  <c r="I705" i="7"/>
  <c r="I216" i="7"/>
  <c r="I511" i="7"/>
  <c r="I658" i="7"/>
  <c r="I393" i="7"/>
  <c r="I14" i="7"/>
  <c r="I660" i="7"/>
  <c r="I494" i="7"/>
  <c r="I328" i="7"/>
  <c r="I383" i="7"/>
  <c r="I479" i="7"/>
  <c r="I304" i="7"/>
  <c r="I125" i="7"/>
  <c r="I264" i="7"/>
  <c r="I724" i="7"/>
  <c r="I851" i="7"/>
  <c r="I154" i="7"/>
  <c r="I46" i="7"/>
  <c r="I61" i="7"/>
  <c r="I318" i="7"/>
  <c r="I771" i="7"/>
  <c r="I210" i="7"/>
  <c r="I342" i="7"/>
  <c r="I508" i="7"/>
  <c r="I577" i="7"/>
  <c r="I740" i="7"/>
  <c r="I834" i="7"/>
  <c r="I64" i="7"/>
  <c r="I789" i="7"/>
  <c r="I503" i="7"/>
  <c r="I158" i="7"/>
  <c r="I303" i="7"/>
  <c r="I782" i="7"/>
  <c r="I665" i="7"/>
  <c r="I648" i="7"/>
  <c r="I521" i="7"/>
  <c r="I322" i="7"/>
  <c r="I668" i="7"/>
  <c r="I680" i="7"/>
  <c r="I411" i="7"/>
  <c r="I165" i="7"/>
  <c r="I437" i="7"/>
  <c r="I139" i="7"/>
  <c r="I828" i="7"/>
  <c r="I280" i="7"/>
  <c r="I425" i="7"/>
  <c r="I536" i="7"/>
  <c r="I422" i="7"/>
  <c r="I388" i="7"/>
  <c r="I262" i="7"/>
  <c r="I735" i="7"/>
  <c r="I387" i="7"/>
  <c r="I340" i="7"/>
  <c r="I615" i="7"/>
  <c r="I858" i="7"/>
  <c r="I57" i="7"/>
  <c r="I418" i="7"/>
  <c r="I338" i="7"/>
  <c r="I737" i="7"/>
  <c r="I369" i="7"/>
  <c r="I755" i="7"/>
  <c r="I868" i="7"/>
  <c r="I285" i="7"/>
  <c r="I686" i="7"/>
  <c r="I241" i="7"/>
  <c r="I708" i="7"/>
  <c r="I384" i="7"/>
  <c r="I15" i="7"/>
  <c r="I579" i="7"/>
  <c r="I673" i="7"/>
  <c r="I855" i="7"/>
  <c r="I843" i="7"/>
  <c r="I569" i="7"/>
  <c r="I465" i="7"/>
  <c r="I857" i="7"/>
  <c r="I695" i="7"/>
  <c r="I390" i="7"/>
  <c r="I168" i="7"/>
  <c r="I813" i="7"/>
  <c r="I150" i="7"/>
  <c r="I152" i="7"/>
  <c r="I704" i="7"/>
  <c r="I570" i="7"/>
  <c r="I166" i="7"/>
  <c r="I180" i="7"/>
  <c r="I734" i="7"/>
  <c r="I717" i="7"/>
  <c r="I446" i="7"/>
  <c r="I809" i="7"/>
  <c r="I449" i="7"/>
  <c r="I37" i="7"/>
  <c r="I713" i="7"/>
  <c r="I856" i="7"/>
  <c r="I179" i="7"/>
  <c r="I11" i="7"/>
  <c r="I286" i="7"/>
  <c r="I164" i="7"/>
  <c r="I277" i="7"/>
  <c r="I796" i="7"/>
  <c r="I472" i="7"/>
  <c r="I310" i="7"/>
  <c r="I174" i="7"/>
  <c r="I491" i="7"/>
  <c r="I502" i="7"/>
  <c r="I496" i="7"/>
  <c r="I667" i="7"/>
  <c r="I244" i="7"/>
  <c r="I542" i="7"/>
  <c r="I586" i="7"/>
  <c r="I533" i="7"/>
  <c r="I587" i="7"/>
  <c r="I555" i="7"/>
  <c r="I767" i="7"/>
  <c r="I345" i="7"/>
  <c r="I688" i="7"/>
  <c r="I115" i="7"/>
  <c r="I132" i="7"/>
  <c r="I278" i="7"/>
  <c r="I795" i="7"/>
  <c r="I24" i="7"/>
  <c r="I404" i="7"/>
  <c r="I8" i="7"/>
  <c r="I812" i="7"/>
  <c r="I419" i="7"/>
  <c r="I580" i="7"/>
  <c r="I497" i="7"/>
  <c r="I764" i="7"/>
  <c r="I374" i="7"/>
  <c r="I297" i="7"/>
  <c r="I58" i="7"/>
  <c r="I623" i="7"/>
  <c r="I808" i="7"/>
  <c r="I127" i="7"/>
  <c r="I775" i="7"/>
  <c r="I512" i="7"/>
  <c r="I344" i="7"/>
  <c r="I779" i="7"/>
  <c r="I402" i="7"/>
  <c r="I401" i="7"/>
  <c r="I504" i="7"/>
  <c r="I748" i="7"/>
  <c r="I397" i="7"/>
  <c r="I245" i="7"/>
  <c r="I725" i="7"/>
  <c r="I237" i="7"/>
  <c r="I762" i="7"/>
  <c r="I466" i="7"/>
  <c r="I361" i="7"/>
  <c r="I148" i="7"/>
  <c r="I343" i="7"/>
  <c r="I613" i="7"/>
  <c r="I42" i="7"/>
  <c r="I510" i="7"/>
  <c r="I22" i="7"/>
  <c r="I742" i="7"/>
  <c r="I143" i="7"/>
  <c r="I236" i="7"/>
  <c r="I622" i="7"/>
  <c r="I141" i="7"/>
  <c r="I182" i="7"/>
  <c r="I86" i="7"/>
  <c r="I761" i="7"/>
  <c r="I283" i="7"/>
  <c r="I836" i="7"/>
  <c r="I60" i="7"/>
  <c r="I410" i="7"/>
  <c r="I606" i="7"/>
  <c r="I445" i="7"/>
  <c r="I574" i="7"/>
  <c r="I669" i="7"/>
  <c r="I367" i="7"/>
  <c r="I526" i="7"/>
  <c r="I73" i="7"/>
  <c r="I230" i="7"/>
  <c r="I256" i="7"/>
  <c r="I561" i="7"/>
  <c r="I432" i="7"/>
  <c r="I376" i="7"/>
  <c r="I162" i="7"/>
  <c r="I678" i="7"/>
  <c r="I220" i="7"/>
  <c r="I838" i="7"/>
  <c r="I249" i="7"/>
  <c r="I12" i="7"/>
  <c r="I595" i="7"/>
  <c r="I539" i="7"/>
  <c r="I417" i="7"/>
  <c r="I272" i="7"/>
  <c r="I366" i="7"/>
  <c r="I25" i="7"/>
  <c r="I583" i="7"/>
  <c r="I17" i="7"/>
  <c r="I362" i="7"/>
  <c r="I844" i="7"/>
  <c r="I363" i="7"/>
  <c r="I20" i="7"/>
  <c r="I794" i="7"/>
  <c r="I381" i="7"/>
  <c r="I600" i="7"/>
  <c r="I605" i="7"/>
  <c r="I208" i="7"/>
  <c r="I477" i="7"/>
  <c r="I26" i="7"/>
  <c r="I144" i="7"/>
  <c r="I462" i="7"/>
  <c r="I103" i="7"/>
  <c r="I196" i="7"/>
  <c r="I226" i="7"/>
  <c r="I785" i="7"/>
  <c r="I822" i="7"/>
  <c r="I400" i="7"/>
  <c r="I407" i="7"/>
  <c r="I414" i="7"/>
  <c r="I730" i="7"/>
  <c r="I611" i="7"/>
  <c r="I747" i="7"/>
  <c r="I438" i="7"/>
  <c r="I690" i="7"/>
  <c r="I588" i="7"/>
  <c r="I82" i="7"/>
  <c r="I754" i="7"/>
  <c r="I135" i="7"/>
  <c r="I128" i="7"/>
  <c r="I863" i="7"/>
  <c r="I687" i="7"/>
  <c r="I559" i="7"/>
  <c r="I846" i="7"/>
  <c r="I172" i="7"/>
  <c r="I169" i="7"/>
  <c r="I852" i="7"/>
  <c r="I702" i="7"/>
  <c r="I582" i="7"/>
  <c r="I727" i="7"/>
  <c r="I433" i="7"/>
  <c r="I723" i="7"/>
  <c r="I729" i="7"/>
  <c r="I309" i="7"/>
  <c r="I573" i="7"/>
  <c r="I261" i="7"/>
  <c r="I661" i="7"/>
  <c r="I800" i="7"/>
  <c r="I807" i="7"/>
  <c r="I519" i="7"/>
  <c r="I29" i="7"/>
  <c r="I160" i="7"/>
  <c r="I129" i="7"/>
  <c r="I111" i="7"/>
  <c r="I183" i="7"/>
  <c r="I136" i="7"/>
  <c r="I525" i="7"/>
  <c r="I435" i="7"/>
  <c r="I389" i="7"/>
  <c r="I32" i="7"/>
  <c r="I805" i="7"/>
  <c r="I847" i="7"/>
  <c r="I575" i="7"/>
  <c r="I313" i="7"/>
  <c r="I151" i="7"/>
  <c r="I707" i="7"/>
  <c r="I710" i="7"/>
  <c r="I672" i="7"/>
  <c r="I759" i="7"/>
  <c r="I90" i="7"/>
  <c r="I791" i="7"/>
  <c r="I268" i="7"/>
  <c r="I670" i="7"/>
  <c r="I331" i="7"/>
  <c r="I312" i="7"/>
  <c r="I523" i="7"/>
  <c r="I159" i="7"/>
  <c r="I790" i="7"/>
  <c r="I409" i="7"/>
  <c r="I461" i="7"/>
  <c r="I820" i="7"/>
  <c r="I213" i="7"/>
  <c r="I222" i="7"/>
  <c r="I440" i="7"/>
  <c r="I102" i="7"/>
  <c r="I666" i="7"/>
  <c r="I698" i="7"/>
  <c r="I478" i="7"/>
  <c r="I79" i="7"/>
  <c r="I772" i="7"/>
  <c r="I763" i="7"/>
  <c r="I768" i="7"/>
  <c r="I259" i="7"/>
  <c r="I423" i="7"/>
  <c r="I308" i="7"/>
  <c r="I753" i="7"/>
  <c r="I416" i="7"/>
  <c r="I181" i="7"/>
  <c r="I242" i="7"/>
  <c r="I333" i="7"/>
  <c r="I167" i="7"/>
  <c r="I560" i="7"/>
  <c r="I714" i="7"/>
  <c r="I28" i="7"/>
  <c r="I777" i="7"/>
  <c r="I13" i="7"/>
  <c r="I351" i="7"/>
  <c r="I752" i="7"/>
  <c r="I193" i="7"/>
  <c r="I549" i="7"/>
  <c r="I682" i="7"/>
  <c r="I190" i="7"/>
  <c r="I578" i="7"/>
  <c r="I701" i="7"/>
  <c r="I853" i="7"/>
  <c r="I100" i="7"/>
  <c r="I346" i="7"/>
  <c r="I275" i="7"/>
  <c r="I837" i="7"/>
  <c r="I516" i="7"/>
  <c r="I287" i="7"/>
  <c r="I21" i="7"/>
  <c r="I746" i="7"/>
  <c r="I607" i="7"/>
  <c r="I652" i="7"/>
  <c r="I311" i="7"/>
  <c r="I501" i="7"/>
  <c r="I848" i="7"/>
  <c r="I630" i="7"/>
  <c r="I147" i="7"/>
  <c r="I806" i="7"/>
  <c r="I84" i="7"/>
  <c r="I831" i="7"/>
  <c r="I749" i="7"/>
  <c r="I442" i="7"/>
  <c r="I195" i="7"/>
  <c r="I133" i="7"/>
  <c r="I364" i="7"/>
  <c r="I571" i="7"/>
  <c r="I506" i="7"/>
  <c r="I744" i="7"/>
  <c r="I685" i="7"/>
  <c r="I473" i="7"/>
  <c r="I243" i="7"/>
  <c r="I27" i="7"/>
  <c r="I89" i="7"/>
  <c r="I832" i="7"/>
  <c r="I184" i="7"/>
  <c r="I372" i="7"/>
  <c r="I640" i="7"/>
  <c r="I178" i="7"/>
  <c r="I44" i="7"/>
  <c r="I134" i="7"/>
  <c r="I323" i="7"/>
  <c r="I671" i="7"/>
  <c r="I67" i="7"/>
  <c r="I439" i="7"/>
  <c r="I228" i="7"/>
  <c r="I514" i="7"/>
  <c r="I839" i="7"/>
  <c r="I618" i="7"/>
  <c r="I198" i="7"/>
  <c r="I219" i="7"/>
  <c r="I124" i="7"/>
  <c r="I429" i="7"/>
  <c r="I628" i="7"/>
  <c r="I35" i="7"/>
  <c r="I546" i="7"/>
  <c r="I320" i="7"/>
  <c r="I375" i="7"/>
  <c r="I40" i="7"/>
  <c r="I726" i="7"/>
  <c r="I302" i="7"/>
  <c r="I258" i="7"/>
  <c r="I88" i="7"/>
  <c r="I870" i="7"/>
  <c r="I187" i="7"/>
  <c r="I593" i="7"/>
  <c r="I399" i="7"/>
  <c r="I294" i="7"/>
  <c r="I757" i="7"/>
  <c r="I19" i="7"/>
  <c r="I681" i="7"/>
  <c r="I596" i="7"/>
  <c r="I43" i="7"/>
  <c r="I643" i="7"/>
  <c r="I80" i="7"/>
  <c r="I509" i="7"/>
  <c r="I798" i="7"/>
  <c r="I819" i="7"/>
  <c r="I499" i="7"/>
  <c r="I522" i="7"/>
  <c r="I598" i="7"/>
  <c r="I122" i="7"/>
  <c r="I817" i="7"/>
  <c r="I515" i="7"/>
  <c r="I567" i="7"/>
  <c r="I51" i="7"/>
  <c r="I830" i="7"/>
  <c r="I452" i="7"/>
  <c r="I9" i="7"/>
  <c r="I758" i="7"/>
  <c r="I865" i="7"/>
  <c r="I634" i="7"/>
  <c r="I760" i="7"/>
  <c r="I801" i="7"/>
  <c r="I621" i="7"/>
  <c r="I105" i="7"/>
  <c r="I117" i="7"/>
  <c r="I564" i="7"/>
  <c r="I826" i="7"/>
  <c r="I825" i="7"/>
  <c r="I631" i="7"/>
  <c r="I385" i="7"/>
  <c r="I721" i="7"/>
  <c r="I398" i="7"/>
  <c r="I824" i="7"/>
  <c r="I814" i="7"/>
  <c r="I354" i="7"/>
  <c r="I719" i="7"/>
  <c r="I864" i="7"/>
  <c r="I250" i="7"/>
  <c r="I454" i="7"/>
  <c r="I541" i="7"/>
  <c r="I81" i="7"/>
  <c r="I233" i="7"/>
  <c r="I722" i="7"/>
  <c r="I679" i="7"/>
  <c r="I76" i="7"/>
  <c r="I118" i="7"/>
  <c r="I469" i="7"/>
  <c r="I53" i="7"/>
  <c r="I45" i="7"/>
  <c r="I774" i="7"/>
  <c r="I137" i="7"/>
  <c r="I200" i="7"/>
  <c r="I325" i="7"/>
  <c r="I693" i="7"/>
  <c r="I371" i="7"/>
  <c r="I74" i="7"/>
  <c r="I474" i="7"/>
  <c r="I554" i="7"/>
  <c r="I255" i="7"/>
  <c r="I173" i="7"/>
  <c r="I72" i="7"/>
  <c r="I75" i="7"/>
  <c r="I448" i="7"/>
  <c r="I616" i="7"/>
  <c r="I298" i="7"/>
  <c r="I98" i="7"/>
  <c r="I202" i="7"/>
  <c r="I405" i="7"/>
  <c r="I109" i="7"/>
  <c r="I470" i="7"/>
  <c r="I642" i="7"/>
  <c r="I349" i="7"/>
  <c r="I585" i="7"/>
  <c r="I443" i="7"/>
  <c r="I92" i="7"/>
  <c r="I827" i="7"/>
  <c r="I802" i="7"/>
  <c r="I495" i="7"/>
  <c r="I267" i="7"/>
  <c r="I731" i="7"/>
  <c r="I563" i="7"/>
  <c r="I716" i="7"/>
  <c r="I101" i="7"/>
  <c r="I365" i="7"/>
  <c r="I335" i="7"/>
  <c r="I664" i="7"/>
  <c r="I829" i="7"/>
  <c r="I597" i="7"/>
  <c r="I558" i="7"/>
  <c r="I485" i="7"/>
  <c r="I770" i="7"/>
  <c r="I201" i="7"/>
  <c r="I524" i="7"/>
  <c r="I207" i="7"/>
  <c r="I484" i="7"/>
  <c r="I619" i="7"/>
  <c r="I677" i="7"/>
  <c r="I778" i="7"/>
  <c r="I565" i="7"/>
  <c r="I68" i="7"/>
  <c r="I291" i="7"/>
  <c r="I696" i="7"/>
  <c r="I637" i="7"/>
  <c r="I604" i="7"/>
  <c r="I632" i="7"/>
  <c r="I54" i="7"/>
  <c r="I773" i="7"/>
  <c r="I513" i="7"/>
  <c r="I430" i="7"/>
  <c r="I653" i="7"/>
  <c r="I715" i="7"/>
  <c r="I816" i="7"/>
  <c r="I581" i="7"/>
  <c r="I545" i="7"/>
  <c r="I482" i="7"/>
  <c r="I292" i="7"/>
  <c r="I444" i="7"/>
  <c r="I436" i="7"/>
  <c r="I203" i="7"/>
  <c r="I451" i="7"/>
  <c r="I518" i="7"/>
  <c r="I403" i="7"/>
  <c r="I464" i="7"/>
  <c r="I741" i="7"/>
  <c r="I823" i="7"/>
  <c r="I295" i="7"/>
  <c r="I83" i="7"/>
  <c r="I867" i="7"/>
  <c r="I85" i="7"/>
  <c r="I528" i="7"/>
  <c r="I544" i="7"/>
  <c r="I252" i="7"/>
  <c r="I197" i="7"/>
  <c r="I273" i="7"/>
  <c r="I787" i="7"/>
  <c r="I194" i="7"/>
  <c r="I531" i="7"/>
  <c r="I161" i="7"/>
  <c r="I107" i="7"/>
  <c r="I647" i="7"/>
  <c r="I110" i="7"/>
  <c r="I610" i="7"/>
  <c r="I780" i="7"/>
  <c r="I350" i="7"/>
  <c r="I66" i="7"/>
  <c r="I229" i="7"/>
  <c r="I529" i="7"/>
  <c r="I330" i="7"/>
  <c r="I733" i="7"/>
  <c r="I205" i="7"/>
  <c r="I833" i="7"/>
  <c r="I629" i="7"/>
  <c r="I284" i="7"/>
  <c r="I703" i="7"/>
  <c r="I386" i="7"/>
  <c r="I656" i="7"/>
  <c r="I30" i="7"/>
  <c r="I70" i="7"/>
  <c r="I487" i="7"/>
  <c r="I424" i="7"/>
  <c r="I614" i="7"/>
  <c r="I550" i="7"/>
  <c r="I334" i="7"/>
  <c r="I532" i="7"/>
  <c r="I441" i="7"/>
  <c r="I699" i="7"/>
  <c r="I552" i="7"/>
  <c r="I645" i="7"/>
  <c r="I428" i="7"/>
  <c r="I149" i="7"/>
  <c r="I356" i="7"/>
  <c r="I426" i="7"/>
  <c r="I18" i="7"/>
  <c r="I359" i="7"/>
  <c r="I551" i="7"/>
  <c r="I427" i="7"/>
  <c r="I500" i="7"/>
  <c r="I319" i="7"/>
  <c r="I108" i="7"/>
  <c r="I97" i="7"/>
  <c r="I609" i="7"/>
  <c r="I56" i="7"/>
  <c r="I507" i="7"/>
  <c r="I191" i="7"/>
  <c r="I457" i="7"/>
  <c r="I657" i="7"/>
  <c r="I279" i="7"/>
  <c r="I756" i="7"/>
  <c r="I649" i="7"/>
  <c r="I306" i="7"/>
  <c r="H289" i="7" l="1"/>
  <c r="BD289" i="7" s="1"/>
  <c r="H225" i="7"/>
  <c r="BD225" i="7" s="1"/>
  <c r="H377" i="7"/>
  <c r="BD377" i="7" s="1"/>
  <c r="H140" i="7"/>
  <c r="BD140" i="7" s="1"/>
  <c r="H415" i="7"/>
  <c r="BD415" i="7" s="1"/>
  <c r="H459" i="7"/>
  <c r="BD459" i="7" s="1"/>
  <c r="H332" i="7"/>
  <c r="BD332" i="7" s="1"/>
  <c r="H584" i="7"/>
  <c r="BD584" i="7" s="1"/>
  <c r="H568" i="7"/>
  <c r="BD568" i="7" s="1"/>
  <c r="H799" i="7"/>
  <c r="BD799" i="7" s="1"/>
  <c r="H540" i="7"/>
  <c r="BD540" i="7" s="1"/>
  <c r="H370" i="7"/>
  <c r="BD370" i="7" s="1"/>
  <c r="H740" i="7"/>
  <c r="BD740" i="7" s="1"/>
  <c r="H784" i="7"/>
  <c r="BD784" i="7" s="1"/>
  <c r="H209" i="7"/>
  <c r="BD209" i="7" s="1"/>
  <c r="H380" i="7"/>
  <c r="BD380" i="7" s="1"/>
  <c r="H293" i="7"/>
  <c r="BD293" i="7" s="1"/>
  <c r="H663" i="7"/>
  <c r="BD663" i="7" s="1"/>
  <c r="H547" i="7"/>
  <c r="BD547" i="7" s="1"/>
  <c r="H635" i="7"/>
  <c r="BD635" i="7" s="1"/>
  <c r="H736" i="7"/>
  <c r="BD736" i="7" s="1"/>
  <c r="H666" i="7"/>
  <c r="BD666" i="7" s="1"/>
  <c r="H698" i="7"/>
  <c r="BD698" i="7" s="1"/>
  <c r="H186" i="7"/>
  <c r="BD186" i="7" s="1"/>
  <c r="H87" i="7"/>
  <c r="BD87" i="7" s="1"/>
  <c r="H854" i="7"/>
  <c r="BD854" i="7" s="1"/>
  <c r="H282" i="7"/>
  <c r="BD282" i="7" s="1"/>
  <c r="H369" i="7"/>
  <c r="BD369" i="7" s="1"/>
  <c r="H843" i="7"/>
  <c r="BD843" i="7" s="1"/>
  <c r="H34" i="7"/>
  <c r="BD34" i="7" s="1"/>
  <c r="H290" i="7"/>
  <c r="BD290" i="7" s="1"/>
  <c r="H527" i="7"/>
  <c r="BD527" i="7" s="1"/>
  <c r="H146" i="7"/>
  <c r="BD146" i="7" s="1"/>
  <c r="H602" i="7"/>
  <c r="BD602" i="7" s="1"/>
  <c r="H592" i="7"/>
  <c r="BD592" i="7" s="1"/>
  <c r="H601" i="7"/>
  <c r="BD601" i="7" s="1"/>
  <c r="H434" i="7"/>
  <c r="BD434" i="7" s="1"/>
  <c r="H391" i="7"/>
  <c r="BD391" i="7" s="1"/>
  <c r="H383" i="7"/>
  <c r="BD383" i="7" s="1"/>
  <c r="H676" i="7"/>
  <c r="H501" i="7"/>
  <c r="BD501" i="7" s="1"/>
  <c r="H114" i="7"/>
  <c r="BD114" i="7" s="1"/>
  <c r="H658" i="7"/>
  <c r="BD658" i="7" s="1"/>
  <c r="H102" i="7"/>
  <c r="BD102" i="7" s="1"/>
  <c r="H806" i="7"/>
  <c r="BD806" i="7" s="1"/>
  <c r="H84" i="7"/>
  <c r="BD84" i="7" s="1"/>
  <c r="H341" i="7"/>
  <c r="BD341" i="7" s="1"/>
  <c r="H138" i="7"/>
  <c r="BD138" i="7" s="1"/>
  <c r="H660" i="7"/>
  <c r="BD660" i="7" s="1"/>
  <c r="H718" i="7"/>
  <c r="BD718" i="7" s="1"/>
  <c r="H264" i="7"/>
  <c r="BD264" i="7" s="1"/>
  <c r="H44" i="7"/>
  <c r="BD44" i="7" s="1"/>
  <c r="H134" i="7"/>
  <c r="BD134" i="7" s="1"/>
  <c r="H328" i="7"/>
  <c r="BD328" i="7" s="1"/>
  <c r="H311" i="7"/>
  <c r="BD311" i="7" s="1"/>
  <c r="H465" i="7"/>
  <c r="BD465" i="7" s="1"/>
  <c r="H744" i="7"/>
  <c r="BD744" i="7" s="1"/>
  <c r="H855" i="7"/>
  <c r="BD855" i="7" s="1"/>
  <c r="H706" i="7"/>
  <c r="BD706" i="7" s="1"/>
  <c r="H38" i="7"/>
  <c r="BD38" i="7" s="1"/>
  <c r="H576" i="7"/>
  <c r="BD576" i="7" s="1"/>
  <c r="H240" i="7"/>
  <c r="BD240" i="7" s="1"/>
  <c r="H548" i="7"/>
  <c r="BD548" i="7" s="1"/>
  <c r="H316" i="7"/>
  <c r="BD316" i="7" s="1"/>
  <c r="H644" i="7"/>
  <c r="BD644" i="7" s="1"/>
  <c r="H724" i="7"/>
  <c r="BD724" i="7" s="1"/>
  <c r="H627" i="7"/>
  <c r="BD627" i="7" s="1"/>
  <c r="H506" i="7"/>
  <c r="BD506" i="7" s="1"/>
  <c r="H796" i="7"/>
  <c r="BD796" i="7" s="1"/>
  <c r="H113" i="7"/>
  <c r="BD113" i="7" s="1"/>
  <c r="H693" i="7"/>
  <c r="BD693" i="7" s="1"/>
  <c r="H371" i="7"/>
  <c r="BD371" i="7" s="1"/>
  <c r="H74" i="7"/>
  <c r="BD74" i="7" s="1"/>
  <c r="H474" i="7"/>
  <c r="BD474" i="7" s="1"/>
  <c r="H554" i="7"/>
  <c r="BD554" i="7" s="1"/>
  <c r="H329" i="7"/>
  <c r="BD329" i="7" s="1"/>
  <c r="H765" i="7"/>
  <c r="BD765" i="7" s="1"/>
  <c r="H613" i="7"/>
  <c r="BD613" i="7" s="1"/>
  <c r="H473" i="7"/>
  <c r="BD473" i="7" s="1"/>
  <c r="H243" i="7"/>
  <c r="BD243" i="7" s="1"/>
  <c r="H180" i="7"/>
  <c r="BD180" i="7" s="1"/>
  <c r="H857" i="7"/>
  <c r="BD857" i="7" s="1"/>
  <c r="H695" i="7"/>
  <c r="BD695" i="7" s="1"/>
  <c r="H310" i="7"/>
  <c r="BD310" i="7" s="1"/>
  <c r="H174" i="7"/>
  <c r="BD174" i="7" s="1"/>
  <c r="H491" i="7"/>
  <c r="BD491" i="7" s="1"/>
  <c r="H757" i="7"/>
  <c r="BD757" i="7" s="1"/>
  <c r="H19" i="7"/>
  <c r="BD19" i="7" s="1"/>
  <c r="H569" i="7"/>
  <c r="BD569" i="7" s="1"/>
  <c r="H616" i="7"/>
  <c r="BD616" i="7" s="1"/>
  <c r="H298" i="7"/>
  <c r="BD298" i="7" s="1"/>
  <c r="H98" i="7"/>
  <c r="BD98" i="7" s="1"/>
  <c r="H705" i="7"/>
  <c r="BD705" i="7" s="1"/>
  <c r="H216" i="7"/>
  <c r="BD216" i="7" s="1"/>
  <c r="H511" i="7"/>
  <c r="BD511" i="7" s="1"/>
  <c r="H210" i="7"/>
  <c r="BD210" i="7" s="1"/>
  <c r="H342" i="7"/>
  <c r="BD342" i="7" s="1"/>
  <c r="H768" i="7"/>
  <c r="BD768" i="7" s="1"/>
  <c r="H502" i="7"/>
  <c r="BD502" i="7" s="1"/>
  <c r="H749" i="7"/>
  <c r="H198" i="7"/>
  <c r="BD198" i="7" s="1"/>
  <c r="H219" i="7"/>
  <c r="BD219" i="7" s="1"/>
  <c r="H202" i="7"/>
  <c r="BD202" i="7" s="1"/>
  <c r="H179" i="7"/>
  <c r="BD179" i="7" s="1"/>
  <c r="H390" i="7"/>
  <c r="BD390" i="7" s="1"/>
  <c r="H542" i="7"/>
  <c r="BD542" i="7" s="1"/>
  <c r="H478" i="7"/>
  <c r="BD478" i="7" s="1"/>
  <c r="H79" i="7"/>
  <c r="BD79" i="7" s="1"/>
  <c r="H813" i="7"/>
  <c r="BD813" i="7" s="1"/>
  <c r="H393" i="7"/>
  <c r="BD393" i="7" s="1"/>
  <c r="H14" i="7"/>
  <c r="BD14" i="7" s="1"/>
  <c r="H789" i="7"/>
  <c r="BD789" i="7" s="1"/>
  <c r="H503" i="7"/>
  <c r="BD503" i="7" s="1"/>
  <c r="H195" i="7"/>
  <c r="BD195" i="7" s="1"/>
  <c r="H133" i="7"/>
  <c r="H364" i="7"/>
  <c r="H571" i="7"/>
  <c r="H263" i="7"/>
  <c r="BD263" i="7" s="1"/>
  <c r="H555" i="7"/>
  <c r="BD555" i="7" s="1"/>
  <c r="H767" i="7"/>
  <c r="BD767" i="7" s="1"/>
  <c r="H831" i="7"/>
  <c r="H479" i="7"/>
  <c r="BD479" i="7" s="1"/>
  <c r="H734" i="7"/>
  <c r="BD734" i="7" s="1"/>
  <c r="H304" i="7"/>
  <c r="BD304" i="7" s="1"/>
  <c r="H763" i="7"/>
  <c r="BD763" i="7" s="1"/>
  <c r="H308" i="7"/>
  <c r="BD308" i="7" s="1"/>
  <c r="H255" i="7"/>
  <c r="BD255" i="7" s="1"/>
  <c r="H173" i="7"/>
  <c r="BD173" i="7" s="1"/>
  <c r="H72" i="7"/>
  <c r="BD72" i="7" s="1"/>
  <c r="H75" i="7"/>
  <c r="BD75" i="7" s="1"/>
  <c r="H448" i="7"/>
  <c r="BD448" i="7" s="1"/>
  <c r="H688" i="7"/>
  <c r="BD688" i="7" s="1"/>
  <c r="H470" i="7"/>
  <c r="BD470" i="7" s="1"/>
  <c r="H442" i="7"/>
  <c r="H782" i="7"/>
  <c r="BD782" i="7" s="1"/>
  <c r="H642" i="7"/>
  <c r="BD642" i="7" s="1"/>
  <c r="H771" i="7"/>
  <c r="BD771" i="7" s="1"/>
  <c r="H472" i="7"/>
  <c r="BD472" i="7" s="1"/>
  <c r="H24" i="7"/>
  <c r="BD24" i="7" s="1"/>
  <c r="H125" i="7"/>
  <c r="BD125" i="7" s="1"/>
  <c r="H166" i="7"/>
  <c r="BD166" i="7" s="1"/>
  <c r="H587" i="7"/>
  <c r="BD587" i="7" s="1"/>
  <c r="H181" i="7"/>
  <c r="BD181" i="7" s="1"/>
  <c r="H667" i="7"/>
  <c r="BD667" i="7" s="1"/>
  <c r="H521" i="7"/>
  <c r="BD521" i="7" s="1"/>
  <c r="H154" i="7"/>
  <c r="BD154" i="7" s="1"/>
  <c r="H46" i="7"/>
  <c r="BD46" i="7" s="1"/>
  <c r="H851" i="7"/>
  <c r="BD851" i="7" s="1"/>
  <c r="H115" i="7"/>
  <c r="BD115" i="7" s="1"/>
  <c r="H27" i="7"/>
  <c r="BD27" i="7" s="1"/>
  <c r="H89" i="7"/>
  <c r="H834" i="7"/>
  <c r="BD834" i="7" s="1"/>
  <c r="H43" i="7"/>
  <c r="BD43" i="7" s="1"/>
  <c r="H8" i="7"/>
  <c r="BD8" i="7" s="1"/>
  <c r="H168" i="7"/>
  <c r="BD168" i="7" s="1"/>
  <c r="H405" i="7"/>
  <c r="BD405" i="7" s="1"/>
  <c r="H109" i="7"/>
  <c r="BD109" i="7" s="1"/>
  <c r="H443" i="7"/>
  <c r="BD443" i="7" s="1"/>
  <c r="H92" i="7"/>
  <c r="BD92" i="7" s="1"/>
  <c r="H827" i="7"/>
  <c r="BD827" i="7" s="1"/>
  <c r="H802" i="7"/>
  <c r="BD802" i="7" s="1"/>
  <c r="H495" i="7"/>
  <c r="BD495" i="7" s="1"/>
  <c r="H322" i="7"/>
  <c r="BD322" i="7" s="1"/>
  <c r="H508" i="7"/>
  <c r="BD508" i="7" s="1"/>
  <c r="H577" i="7"/>
  <c r="BD577" i="7" s="1"/>
  <c r="H404" i="7"/>
  <c r="BD404" i="7" s="1"/>
  <c r="H349" i="7"/>
  <c r="BD349" i="7" s="1"/>
  <c r="H585" i="7"/>
  <c r="BD585" i="7" s="1"/>
  <c r="H158" i="7"/>
  <c r="BD158" i="7" s="1"/>
  <c r="H533" i="7"/>
  <c r="BD533" i="7" s="1"/>
  <c r="H795" i="7"/>
  <c r="BD795" i="7" s="1"/>
  <c r="H61" i="7"/>
  <c r="BD61" i="7" s="1"/>
  <c r="H318" i="7"/>
  <c r="BD318" i="7" s="1"/>
  <c r="H423" i="7"/>
  <c r="BD423" i="7" s="1"/>
  <c r="H419" i="7"/>
  <c r="BD419" i="7" s="1"/>
  <c r="H70" i="7"/>
  <c r="BD70" i="7" s="1"/>
  <c r="H132" i="7"/>
  <c r="BD132" i="7" s="1"/>
  <c r="H361" i="7"/>
  <c r="BD361" i="7" s="1"/>
  <c r="H496" i="7"/>
  <c r="BD496" i="7" s="1"/>
  <c r="H212" i="7"/>
  <c r="BD212" i="7" s="1"/>
  <c r="H244" i="7"/>
  <c r="BD244" i="7" s="1"/>
  <c r="H764" i="7"/>
  <c r="BD764" i="7" s="1"/>
  <c r="H58" i="7"/>
  <c r="BD58" i="7" s="1"/>
  <c r="H623" i="7"/>
  <c r="BD623" i="7" s="1"/>
  <c r="H648" i="7"/>
  <c r="BD648" i="7" s="1"/>
  <c r="H372" i="7"/>
  <c r="H124" i="7"/>
  <c r="BD124" i="7" s="1"/>
  <c r="H345" i="7"/>
  <c r="BD345" i="7" s="1"/>
  <c r="H586" i="7"/>
  <c r="BD586" i="7" s="1"/>
  <c r="H374" i="7"/>
  <c r="BD374" i="7" s="1"/>
  <c r="H278" i="7"/>
  <c r="BD278" i="7" s="1"/>
  <c r="H775" i="7"/>
  <c r="BD775" i="7" s="1"/>
  <c r="H828" i="7"/>
  <c r="BD828" i="7" s="1"/>
  <c r="H580" i="7"/>
  <c r="BD580" i="7" s="1"/>
  <c r="H640" i="7"/>
  <c r="BD640" i="7" s="1"/>
  <c r="H333" i="7"/>
  <c r="BD333" i="7" s="1"/>
  <c r="H334" i="7"/>
  <c r="BD334" i="7" s="1"/>
  <c r="H437" i="7"/>
  <c r="BD437" i="7" s="1"/>
  <c r="H343" i="7"/>
  <c r="BD343" i="7" s="1"/>
  <c r="H829" i="7"/>
  <c r="BD829" i="7" s="1"/>
  <c r="H365" i="7"/>
  <c r="BD365" i="7" s="1"/>
  <c r="H335" i="7"/>
  <c r="BD335" i="7" s="1"/>
  <c r="H664" i="7"/>
  <c r="BD664" i="7" s="1"/>
  <c r="H779" i="7"/>
  <c r="BD779" i="7" s="1"/>
  <c r="H668" i="7"/>
  <c r="BD668" i="7" s="1"/>
  <c r="H550" i="7"/>
  <c r="BD550" i="7" s="1"/>
  <c r="H665" i="7"/>
  <c r="BD665" i="7" s="1"/>
  <c r="H402" i="7"/>
  <c r="BD402" i="7" s="1"/>
  <c r="H388" i="7"/>
  <c r="BD388" i="7" s="1"/>
  <c r="H64" i="7"/>
  <c r="BD64" i="7" s="1"/>
  <c r="H777" i="7"/>
  <c r="BD777" i="7" s="1"/>
  <c r="H242" i="7"/>
  <c r="BD242" i="7" s="1"/>
  <c r="H485" i="7"/>
  <c r="BD485" i="7" s="1"/>
  <c r="H770" i="7"/>
  <c r="BD770" i="7" s="1"/>
  <c r="H201" i="7"/>
  <c r="BD201" i="7" s="1"/>
  <c r="H614" i="7"/>
  <c r="BD614" i="7" s="1"/>
  <c r="H280" i="7"/>
  <c r="BD280" i="7" s="1"/>
  <c r="H42" i="7"/>
  <c r="BD42" i="7" s="1"/>
  <c r="H558" i="7"/>
  <c r="BD558" i="7" s="1"/>
  <c r="H597" i="7"/>
  <c r="BD597" i="7" s="1"/>
  <c r="H704" i="7"/>
  <c r="BD704" i="7" s="1"/>
  <c r="H422" i="7"/>
  <c r="BD422" i="7" s="1"/>
  <c r="H303" i="7"/>
  <c r="BD303" i="7" s="1"/>
  <c r="H340" i="7"/>
  <c r="BD340" i="7" s="1"/>
  <c r="H510" i="7"/>
  <c r="BD510" i="7" s="1"/>
  <c r="H497" i="7"/>
  <c r="BD497" i="7" s="1"/>
  <c r="H772" i="7"/>
  <c r="BD772" i="7" s="1"/>
  <c r="H685" i="7"/>
  <c r="BD685" i="7" s="1"/>
  <c r="H411" i="7"/>
  <c r="BD411" i="7" s="1"/>
  <c r="H165" i="7"/>
  <c r="BD165" i="7" s="1"/>
  <c r="H416" i="7"/>
  <c r="BD416" i="7" s="1"/>
  <c r="H178" i="7"/>
  <c r="BD178" i="7" s="1"/>
  <c r="H504" i="7"/>
  <c r="BD504" i="7" s="1"/>
  <c r="H524" i="7"/>
  <c r="BD524" i="7" s="1"/>
  <c r="H753" i="7"/>
  <c r="BD753" i="7" s="1"/>
  <c r="H147" i="7"/>
  <c r="H424" i="7"/>
  <c r="BD424" i="7" s="1"/>
  <c r="H152" i="7"/>
  <c r="BD152" i="7" s="1"/>
  <c r="H148" i="7"/>
  <c r="BD148" i="7" s="1"/>
  <c r="H167" i="7"/>
  <c r="BD167" i="7" s="1"/>
  <c r="H297" i="7"/>
  <c r="BD297" i="7" s="1"/>
  <c r="H761" i="7"/>
  <c r="BD761" i="7" s="1"/>
  <c r="H439" i="7"/>
  <c r="H653" i="7"/>
  <c r="BD653" i="7" s="1"/>
  <c r="H715" i="7"/>
  <c r="BD715" i="7" s="1"/>
  <c r="H816" i="7"/>
  <c r="BD816" i="7" s="1"/>
  <c r="H581" i="7"/>
  <c r="BD581" i="7" s="1"/>
  <c r="H545" i="7"/>
  <c r="BD545" i="7" s="1"/>
  <c r="H680" i="7"/>
  <c r="BD680" i="7" s="1"/>
  <c r="H671" i="7"/>
  <c r="H101" i="7"/>
  <c r="BD101" i="7" s="1"/>
  <c r="H139" i="7"/>
  <c r="BD139" i="7" s="1"/>
  <c r="H54" i="7"/>
  <c r="BD54" i="7" s="1"/>
  <c r="H22" i="7"/>
  <c r="BD22" i="7" s="1"/>
  <c r="H127" i="7"/>
  <c r="BD127" i="7" s="1"/>
  <c r="H848" i="7"/>
  <c r="H649" i="7"/>
  <c r="BD649" i="7" s="1"/>
  <c r="H632" i="7"/>
  <c r="BD632" i="7" s="1"/>
  <c r="H808" i="7"/>
  <c r="BD808" i="7" s="1"/>
  <c r="H512" i="7"/>
  <c r="BD512" i="7" s="1"/>
  <c r="H344" i="7"/>
  <c r="BD344" i="7" s="1"/>
  <c r="H714" i="7"/>
  <c r="BD714" i="7" s="1"/>
  <c r="H696" i="7"/>
  <c r="BD696" i="7" s="1"/>
  <c r="H637" i="7"/>
  <c r="BD637" i="7" s="1"/>
  <c r="H604" i="7"/>
  <c r="BD604" i="7" s="1"/>
  <c r="H615" i="7"/>
  <c r="BD615" i="7" s="1"/>
  <c r="H699" i="7"/>
  <c r="BD699" i="7" s="1"/>
  <c r="H622" i="7"/>
  <c r="BD622" i="7" s="1"/>
  <c r="H141" i="7"/>
  <c r="BD141" i="7" s="1"/>
  <c r="H203" i="7"/>
  <c r="BD203" i="7" s="1"/>
  <c r="H451" i="7"/>
  <c r="BD451" i="7" s="1"/>
  <c r="H518" i="7"/>
  <c r="BD518" i="7" s="1"/>
  <c r="H403" i="7"/>
  <c r="BD403" i="7" s="1"/>
  <c r="H386" i="7"/>
  <c r="BD386" i="7" s="1"/>
  <c r="H656" i="7"/>
  <c r="BD656" i="7" s="1"/>
  <c r="H832" i="7"/>
  <c r="H86" i="7"/>
  <c r="BD86" i="7" s="1"/>
  <c r="H669" i="7"/>
  <c r="BD669" i="7" s="1"/>
  <c r="H742" i="7"/>
  <c r="BD742" i="7" s="1"/>
  <c r="H748" i="7"/>
  <c r="BD748" i="7" s="1"/>
  <c r="H526" i="7"/>
  <c r="BD526" i="7" s="1"/>
  <c r="H725" i="7"/>
  <c r="BD725" i="7" s="1"/>
  <c r="H237" i="7"/>
  <c r="BD237" i="7" s="1"/>
  <c r="H466" i="7"/>
  <c r="BD466" i="7" s="1"/>
  <c r="H812" i="7"/>
  <c r="BD812" i="7" s="1"/>
  <c r="H67" i="7"/>
  <c r="BD67" i="7" s="1"/>
  <c r="H425" i="7"/>
  <c r="BD425" i="7" s="1"/>
  <c r="H536" i="7"/>
  <c r="BD536" i="7" s="1"/>
  <c r="H262" i="7"/>
  <c r="BD262" i="7" s="1"/>
  <c r="H735" i="7"/>
  <c r="BD735" i="7" s="1"/>
  <c r="H397" i="7"/>
  <c r="BD397" i="7" s="1"/>
  <c r="H57" i="7"/>
  <c r="BD57" i="7" s="1"/>
  <c r="H858" i="7"/>
  <c r="BD858" i="7" s="1"/>
  <c r="H207" i="7"/>
  <c r="BD207" i="7" s="1"/>
  <c r="H484" i="7"/>
  <c r="BD484" i="7" s="1"/>
  <c r="H619" i="7"/>
  <c r="BD619" i="7" s="1"/>
  <c r="H677" i="7"/>
  <c r="BD677" i="7" s="1"/>
  <c r="H778" i="7"/>
  <c r="BD778" i="7" s="1"/>
  <c r="H367" i="7"/>
  <c r="BD367" i="7" s="1"/>
  <c r="H351" i="7"/>
  <c r="BD351" i="7" s="1"/>
  <c r="H565" i="7"/>
  <c r="BD565" i="7" s="1"/>
  <c r="H436" i="7"/>
  <c r="BD436" i="7" s="1"/>
  <c r="H68" i="7"/>
  <c r="BD68" i="7" s="1"/>
  <c r="H291" i="7"/>
  <c r="BD291" i="7" s="1"/>
  <c r="H323" i="7"/>
  <c r="BD323" i="7" s="1"/>
  <c r="H387" i="7"/>
  <c r="BD387" i="7" s="1"/>
  <c r="H35" i="7"/>
  <c r="BD35" i="7" s="1"/>
  <c r="H13" i="7"/>
  <c r="BD13" i="7" s="1"/>
  <c r="H630" i="7"/>
  <c r="BD630" i="7" s="1"/>
  <c r="H482" i="7"/>
  <c r="BD482" i="7" s="1"/>
  <c r="H773" i="7"/>
  <c r="BD773" i="7" s="1"/>
  <c r="H513" i="7"/>
  <c r="BD513" i="7" s="1"/>
  <c r="H430" i="7"/>
  <c r="BD430" i="7" s="1"/>
  <c r="H836" i="7"/>
  <c r="BD836" i="7" s="1"/>
  <c r="H429" i="7"/>
  <c r="BD429" i="7" s="1"/>
  <c r="H338" i="7"/>
  <c r="BD338" i="7" s="1"/>
  <c r="H182" i="7"/>
  <c r="BD182" i="7" s="1"/>
  <c r="H228" i="7"/>
  <c r="H560" i="7"/>
  <c r="BD560" i="7" s="1"/>
  <c r="H150" i="7"/>
  <c r="BD150" i="7" s="1"/>
  <c r="H628" i="7"/>
  <c r="BD628" i="7" s="1"/>
  <c r="H752" i="7"/>
  <c r="BD752" i="7" s="1"/>
  <c r="H193" i="7"/>
  <c r="BD193" i="7" s="1"/>
  <c r="H236" i="7"/>
  <c r="BD236" i="7" s="1"/>
  <c r="H737" i="7"/>
  <c r="BD737" i="7" s="1"/>
  <c r="H28" i="7"/>
  <c r="BD28" i="7" s="1"/>
  <c r="H143" i="7"/>
  <c r="BD143" i="7" s="1"/>
  <c r="H60" i="7"/>
  <c r="BD60" i="7" s="1"/>
  <c r="H410" i="7"/>
  <c r="BD410" i="7" s="1"/>
  <c r="H149" i="7"/>
  <c r="BD149" i="7" s="1"/>
  <c r="H184" i="7"/>
  <c r="H532" i="7"/>
  <c r="BD532" i="7" s="1"/>
  <c r="H258" i="7"/>
  <c r="H88" i="7"/>
  <c r="BD88" i="7" s="1"/>
  <c r="H870" i="7"/>
  <c r="H514" i="7"/>
  <c r="BD514" i="7" s="1"/>
  <c r="H762" i="7"/>
  <c r="BD762" i="7" s="1"/>
  <c r="H717" i="7"/>
  <c r="BD717" i="7" s="1"/>
  <c r="H487" i="7"/>
  <c r="BD487" i="7" s="1"/>
  <c r="H428" i="7"/>
  <c r="BD428" i="7" s="1"/>
  <c r="H561" i="7"/>
  <c r="BD561" i="7" s="1"/>
  <c r="H574" i="7"/>
  <c r="BD574" i="7" s="1"/>
  <c r="H292" i="7"/>
  <c r="BD292" i="7" s="1"/>
  <c r="H444" i="7"/>
  <c r="BD444" i="7" s="1"/>
  <c r="H418" i="7"/>
  <c r="BD418" i="7" s="1"/>
  <c r="H445" i="7"/>
  <c r="BD445" i="7" s="1"/>
  <c r="H230" i="7"/>
  <c r="BD230" i="7" s="1"/>
  <c r="H868" i="7"/>
  <c r="BD868" i="7" s="1"/>
  <c r="H446" i="7"/>
  <c r="BD446" i="7" s="1"/>
  <c r="H267" i="7"/>
  <c r="BD267" i="7" s="1"/>
  <c r="H731" i="7"/>
  <c r="BD731" i="7" s="1"/>
  <c r="H563" i="7"/>
  <c r="BD563" i="7" s="1"/>
  <c r="H716" i="7"/>
  <c r="BD716" i="7" s="1"/>
  <c r="H302" i="7"/>
  <c r="BD302" i="7" s="1"/>
  <c r="H701" i="7"/>
  <c r="BD701" i="7" s="1"/>
  <c r="H285" i="7"/>
  <c r="BD285" i="7" s="1"/>
  <c r="H546" i="7"/>
  <c r="H320" i="7"/>
  <c r="H449" i="7"/>
  <c r="BD449" i="7" s="1"/>
  <c r="H464" i="7"/>
  <c r="BD464" i="7" s="1"/>
  <c r="H401" i="7"/>
  <c r="BD401" i="7" s="1"/>
  <c r="H376" i="7"/>
  <c r="BD376" i="7" s="1"/>
  <c r="H713" i="7"/>
  <c r="BD713" i="7" s="1"/>
  <c r="H686" i="7"/>
  <c r="BD686" i="7" s="1"/>
  <c r="H578" i="7"/>
  <c r="BD578" i="7" s="1"/>
  <c r="H606" i="7"/>
  <c r="BD606" i="7" s="1"/>
  <c r="H18" i="7"/>
  <c r="BD18" i="7" s="1"/>
  <c r="H30" i="7"/>
  <c r="BD30" i="7" s="1"/>
  <c r="H220" i="7"/>
  <c r="BD220" i="7" s="1"/>
  <c r="H241" i="7"/>
  <c r="BD241" i="7" s="1"/>
  <c r="H162" i="7"/>
  <c r="BD162" i="7" s="1"/>
  <c r="H432" i="7"/>
  <c r="BD432" i="7" s="1"/>
  <c r="H40" i="7"/>
  <c r="BD40" i="7" s="1"/>
  <c r="H726" i="7"/>
  <c r="H741" i="7"/>
  <c r="BD741" i="7" s="1"/>
  <c r="H823" i="7"/>
  <c r="BD823" i="7" s="1"/>
  <c r="H295" i="7"/>
  <c r="BD295" i="7" s="1"/>
  <c r="H256" i="7"/>
  <c r="BD256" i="7" s="1"/>
  <c r="H249" i="7"/>
  <c r="BD249" i="7" s="1"/>
  <c r="H259" i="7"/>
  <c r="BD259" i="7" s="1"/>
  <c r="H645" i="7"/>
  <c r="BD645" i="7" s="1"/>
  <c r="H838" i="7"/>
  <c r="BD838" i="7" s="1"/>
  <c r="H549" i="7"/>
  <c r="BD549" i="7" s="1"/>
  <c r="H426" i="7"/>
  <c r="BD426" i="7" s="1"/>
  <c r="H853" i="7"/>
  <c r="BD853" i="7" s="1"/>
  <c r="H494" i="7"/>
  <c r="BD494" i="7" s="1"/>
  <c r="H83" i="7"/>
  <c r="BD83" i="7" s="1"/>
  <c r="H867" i="7"/>
  <c r="BD867" i="7" s="1"/>
  <c r="H37" i="7"/>
  <c r="BD37" i="7" s="1"/>
  <c r="H809" i="7"/>
  <c r="BD809" i="7" s="1"/>
  <c r="H12" i="7"/>
  <c r="BD12" i="7" s="1"/>
  <c r="H441" i="7"/>
  <c r="BD441" i="7" s="1"/>
  <c r="H596" i="7"/>
  <c r="BD596" i="7" s="1"/>
  <c r="H25" i="7"/>
  <c r="BD25" i="7" s="1"/>
  <c r="H583" i="7"/>
  <c r="BD583" i="7" s="1"/>
  <c r="H17" i="7"/>
  <c r="BD17" i="7" s="1"/>
  <c r="H682" i="7"/>
  <c r="BD682" i="7" s="1"/>
  <c r="H190" i="7"/>
  <c r="BD190" i="7" s="1"/>
  <c r="H539" i="7"/>
  <c r="BD539" i="7" s="1"/>
  <c r="H544" i="7"/>
  <c r="BD544" i="7" s="1"/>
  <c r="H252" i="7"/>
  <c r="BD252" i="7" s="1"/>
  <c r="H197" i="7"/>
  <c r="BD197" i="7" s="1"/>
  <c r="H681" i="7"/>
  <c r="H839" i="7"/>
  <c r="H678" i="7"/>
  <c r="BD678" i="7" s="1"/>
  <c r="H643" i="7"/>
  <c r="H708" i="7"/>
  <c r="BD708" i="7" s="1"/>
  <c r="H346" i="7"/>
  <c r="BD346" i="7" s="1"/>
  <c r="H15" i="7"/>
  <c r="BD15" i="7" s="1"/>
  <c r="H567" i="7"/>
  <c r="BD567" i="7" s="1"/>
  <c r="H187" i="7"/>
  <c r="BD187" i="7" s="1"/>
  <c r="H593" i="7"/>
  <c r="H399" i="7"/>
  <c r="H294" i="7"/>
  <c r="H579" i="7"/>
  <c r="BD579" i="7" s="1"/>
  <c r="H755" i="7"/>
  <c r="BD755" i="7" s="1"/>
  <c r="H595" i="7"/>
  <c r="BD595" i="7" s="1"/>
  <c r="H528" i="7"/>
  <c r="BD528" i="7" s="1"/>
  <c r="H245" i="7"/>
  <c r="BD245" i="7" s="1"/>
  <c r="H11" i="7"/>
  <c r="BD11" i="7" s="1"/>
  <c r="H819" i="7"/>
  <c r="H499" i="7"/>
  <c r="BD499" i="7" s="1"/>
  <c r="H522" i="7"/>
  <c r="H598" i="7"/>
  <c r="BD598" i="7" s="1"/>
  <c r="H85" i="7"/>
  <c r="BD85" i="7" s="1"/>
  <c r="H20" i="7"/>
  <c r="BD20" i="7" s="1"/>
  <c r="H275" i="7"/>
  <c r="BD275" i="7" s="1"/>
  <c r="H366" i="7"/>
  <c r="BD366" i="7" s="1"/>
  <c r="H51" i="7"/>
  <c r="BD51" i="7" s="1"/>
  <c r="H830" i="7"/>
  <c r="BD830" i="7" s="1"/>
  <c r="H362" i="7"/>
  <c r="BD362" i="7" s="1"/>
  <c r="H865" i="7"/>
  <c r="BD865" i="7" s="1"/>
  <c r="H452" i="7"/>
  <c r="BD452" i="7" s="1"/>
  <c r="H381" i="7"/>
  <c r="BD381" i="7" s="1"/>
  <c r="H356" i="7"/>
  <c r="BD356" i="7" s="1"/>
  <c r="H477" i="7"/>
  <c r="BD477" i="7" s="1"/>
  <c r="H375" i="7"/>
  <c r="BD375" i="7" s="1"/>
  <c r="H634" i="7"/>
  <c r="H144" i="7"/>
  <c r="BD144" i="7" s="1"/>
  <c r="H844" i="7"/>
  <c r="BD844" i="7" s="1"/>
  <c r="H760" i="7"/>
  <c r="H73" i="7"/>
  <c r="BD73" i="7" s="1"/>
  <c r="H273" i="7"/>
  <c r="BD273" i="7" s="1"/>
  <c r="H359" i="7"/>
  <c r="BD359" i="7" s="1"/>
  <c r="H822" i="7"/>
  <c r="BD822" i="7" s="1"/>
  <c r="H551" i="7"/>
  <c r="BD551" i="7" s="1"/>
  <c r="H427" i="7"/>
  <c r="BD427" i="7" s="1"/>
  <c r="H605" i="7"/>
  <c r="BD605" i="7" s="1"/>
  <c r="H122" i="7"/>
  <c r="H817" i="7"/>
  <c r="H837" i="7"/>
  <c r="BD837" i="7" s="1"/>
  <c r="H363" i="7"/>
  <c r="BD363" i="7" s="1"/>
  <c r="H208" i="7"/>
  <c r="BD208" i="7" s="1"/>
  <c r="H600" i="7"/>
  <c r="BD600" i="7" s="1"/>
  <c r="H384" i="7"/>
  <c r="BD384" i="7" s="1"/>
  <c r="H80" i="7"/>
  <c r="H509" i="7"/>
  <c r="H798" i="7"/>
  <c r="H570" i="7"/>
  <c r="BD570" i="7" s="1"/>
  <c r="H417" i="7"/>
  <c r="BD417" i="7" s="1"/>
  <c r="H194" i="7"/>
  <c r="BD194" i="7" s="1"/>
  <c r="H531" i="7"/>
  <c r="BD531" i="7" s="1"/>
  <c r="H161" i="7"/>
  <c r="BD161" i="7" s="1"/>
  <c r="H400" i="7"/>
  <c r="BD400" i="7" s="1"/>
  <c r="H272" i="7"/>
  <c r="BD272" i="7" s="1"/>
  <c r="H414" i="7"/>
  <c r="BD414" i="7" s="1"/>
  <c r="H407" i="7"/>
  <c r="BD407" i="7" s="1"/>
  <c r="H588" i="7"/>
  <c r="BD588" i="7" s="1"/>
  <c r="H516" i="7"/>
  <c r="BD516" i="7" s="1"/>
  <c r="H801" i="7"/>
  <c r="BD801" i="7" s="1"/>
  <c r="H611" i="7"/>
  <c r="BD611" i="7" s="1"/>
  <c r="H229" i="7"/>
  <c r="BD229" i="7" s="1"/>
  <c r="H283" i="7"/>
  <c r="BD283" i="7" s="1"/>
  <c r="H103" i="7"/>
  <c r="BD103" i="7" s="1"/>
  <c r="H108" i="7"/>
  <c r="BD108" i="7" s="1"/>
  <c r="H552" i="7"/>
  <c r="BD552" i="7" s="1"/>
  <c r="H9" i="7"/>
  <c r="H82" i="7"/>
  <c r="BD82" i="7" s="1"/>
  <c r="H852" i="7"/>
  <c r="BD852" i="7" s="1"/>
  <c r="H26" i="7"/>
  <c r="BD26" i="7" s="1"/>
  <c r="H107" i="7"/>
  <c r="BD107" i="7" s="1"/>
  <c r="H647" i="7"/>
  <c r="BD647" i="7" s="1"/>
  <c r="H110" i="7"/>
  <c r="BD110" i="7" s="1"/>
  <c r="H610" i="7"/>
  <c r="BD610" i="7" s="1"/>
  <c r="H780" i="7"/>
  <c r="BD780" i="7" s="1"/>
  <c r="H621" i="7"/>
  <c r="H438" i="7"/>
  <c r="BD438" i="7" s="1"/>
  <c r="H564" i="7"/>
  <c r="BD564" i="7" s="1"/>
  <c r="H826" i="7"/>
  <c r="H825" i="7"/>
  <c r="H105" i="7"/>
  <c r="H758" i="7"/>
  <c r="H702" i="7"/>
  <c r="BD702" i="7" s="1"/>
  <c r="H226" i="7"/>
  <c r="BD226" i="7" s="1"/>
  <c r="H319" i="7"/>
  <c r="BD319" i="7" s="1"/>
  <c r="H730" i="7"/>
  <c r="BD730" i="7" s="1"/>
  <c r="H785" i="7"/>
  <c r="BD785" i="7" s="1"/>
  <c r="H690" i="7"/>
  <c r="BD690" i="7" s="1"/>
  <c r="H631" i="7"/>
  <c r="H97" i="7"/>
  <c r="BD97" i="7" s="1"/>
  <c r="H385" i="7"/>
  <c r="BD385" i="7" s="1"/>
  <c r="H100" i="7"/>
  <c r="BD100" i="7" s="1"/>
  <c r="H787" i="7"/>
  <c r="BD787" i="7" s="1"/>
  <c r="H723" i="7"/>
  <c r="BD723" i="7" s="1"/>
  <c r="H196" i="7"/>
  <c r="BD196" i="7" s="1"/>
  <c r="H856" i="7"/>
  <c r="BD856" i="7" s="1"/>
  <c r="H729" i="7"/>
  <c r="BD729" i="7" s="1"/>
  <c r="H754" i="7"/>
  <c r="BD754" i="7" s="1"/>
  <c r="H117" i="7"/>
  <c r="BD117" i="7" s="1"/>
  <c r="H135" i="7"/>
  <c r="BD135" i="7" s="1"/>
  <c r="H721" i="7"/>
  <c r="H128" i="7"/>
  <c r="BD128" i="7" s="1"/>
  <c r="H863" i="7"/>
  <c r="BD863" i="7" s="1"/>
  <c r="H500" i="7"/>
  <c r="BD500" i="7" s="1"/>
  <c r="H794" i="7"/>
  <c r="BD794" i="7" s="1"/>
  <c r="H309" i="7"/>
  <c r="BD309" i="7" s="1"/>
  <c r="H727" i="7"/>
  <c r="BD727" i="7" s="1"/>
  <c r="H287" i="7"/>
  <c r="BD287" i="7" s="1"/>
  <c r="H21" i="7"/>
  <c r="BD21" i="7" s="1"/>
  <c r="H261" i="7"/>
  <c r="BD261" i="7" s="1"/>
  <c r="H582" i="7"/>
  <c r="BD582" i="7" s="1"/>
  <c r="H433" i="7"/>
  <c r="BD433" i="7" s="1"/>
  <c r="H350" i="7"/>
  <c r="BD350" i="7" s="1"/>
  <c r="H398" i="7"/>
  <c r="BD398" i="7" s="1"/>
  <c r="H687" i="7"/>
  <c r="BD687" i="7" s="1"/>
  <c r="H286" i="7"/>
  <c r="BD286" i="7" s="1"/>
  <c r="H519" i="7"/>
  <c r="BD519" i="7" s="1"/>
  <c r="H661" i="7"/>
  <c r="BD661" i="7" s="1"/>
  <c r="H573" i="7"/>
  <c r="BD573" i="7" s="1"/>
  <c r="H66" i="7"/>
  <c r="BD66" i="7" s="1"/>
  <c r="H807" i="7"/>
  <c r="BD807" i="7" s="1"/>
  <c r="H746" i="7"/>
  <c r="BD746" i="7" s="1"/>
  <c r="H529" i="7"/>
  <c r="BD529" i="7" s="1"/>
  <c r="H462" i="7"/>
  <c r="BD462" i="7" s="1"/>
  <c r="H607" i="7"/>
  <c r="BD607" i="7" s="1"/>
  <c r="H559" i="7"/>
  <c r="BD559" i="7" s="1"/>
  <c r="H800" i="7"/>
  <c r="BD800" i="7" s="1"/>
  <c r="H164" i="7"/>
  <c r="BD164" i="7" s="1"/>
  <c r="H29" i="7"/>
  <c r="BD29" i="7" s="1"/>
  <c r="H846" i="7"/>
  <c r="BD846" i="7" s="1"/>
  <c r="H330" i="7"/>
  <c r="BD330" i="7" s="1"/>
  <c r="H733" i="7"/>
  <c r="BD733" i="7" s="1"/>
  <c r="H618" i="7"/>
  <c r="BD618" i="7" s="1"/>
  <c r="H56" i="7"/>
  <c r="BD56" i="7" s="1"/>
  <c r="H111" i="7"/>
  <c r="BD111" i="7" s="1"/>
  <c r="H515" i="7"/>
  <c r="H183" i="7"/>
  <c r="BD183" i="7" s="1"/>
  <c r="H507" i="7"/>
  <c r="BD507" i="7" s="1"/>
  <c r="H172" i="7"/>
  <c r="BD172" i="7" s="1"/>
  <c r="H609" i="7"/>
  <c r="BD609" i="7" s="1"/>
  <c r="H129" i="7"/>
  <c r="BD129" i="7" s="1"/>
  <c r="H673" i="7"/>
  <c r="BD673" i="7" s="1"/>
  <c r="H277" i="7"/>
  <c r="BD277" i="7" s="1"/>
  <c r="H160" i="7"/>
  <c r="BD160" i="7" s="1"/>
  <c r="H250" i="7"/>
  <c r="H747" i="7"/>
  <c r="BD747" i="7" s="1"/>
  <c r="H824" i="7"/>
  <c r="BD824" i="7" s="1"/>
  <c r="H525" i="7"/>
  <c r="BD525" i="7" s="1"/>
  <c r="H136" i="7"/>
  <c r="BD136" i="7" s="1"/>
  <c r="H629" i="7"/>
  <c r="BD629" i="7" s="1"/>
  <c r="H284" i="7"/>
  <c r="BD284" i="7" s="1"/>
  <c r="H703" i="7"/>
  <c r="BD703" i="7" s="1"/>
  <c r="H435" i="7"/>
  <c r="BD435" i="7" s="1"/>
  <c r="H191" i="7"/>
  <c r="BD191" i="7" s="1"/>
  <c r="H169" i="7"/>
  <c r="BD169" i="7" s="1"/>
  <c r="H32" i="7"/>
  <c r="BD32" i="7" s="1"/>
  <c r="H833" i="7"/>
  <c r="BD833" i="7" s="1"/>
  <c r="H805" i="7"/>
  <c r="BD805" i="7" s="1"/>
  <c r="H389" i="7"/>
  <c r="BD389" i="7" s="1"/>
  <c r="H847" i="7"/>
  <c r="BD847" i="7" s="1"/>
  <c r="H575" i="7"/>
  <c r="BD575" i="7" s="1"/>
  <c r="H814" i="7"/>
  <c r="BD814" i="7" s="1"/>
  <c r="H313" i="7"/>
  <c r="BD313" i="7" s="1"/>
  <c r="H151" i="7"/>
  <c r="BD151" i="7" s="1"/>
  <c r="H707" i="7"/>
  <c r="BD707" i="7" s="1"/>
  <c r="H710" i="7"/>
  <c r="BD710" i="7" s="1"/>
  <c r="H672" i="7"/>
  <c r="BD672" i="7" s="1"/>
  <c r="H759" i="7"/>
  <c r="BD759" i="7" s="1"/>
  <c r="H90" i="7"/>
  <c r="BD90" i="7" s="1"/>
  <c r="H791" i="7"/>
  <c r="BD791" i="7" s="1"/>
  <c r="H268" i="7"/>
  <c r="BD268" i="7" s="1"/>
  <c r="H670" i="7"/>
  <c r="BD670" i="7" s="1"/>
  <c r="H331" i="7"/>
  <c r="BD331" i="7" s="1"/>
  <c r="H312" i="7"/>
  <c r="BD312" i="7" s="1"/>
  <c r="H523" i="7"/>
  <c r="BD523" i="7" s="1"/>
  <c r="H159" i="7"/>
  <c r="BD159" i="7" s="1"/>
  <c r="H790" i="7"/>
  <c r="BD790" i="7" s="1"/>
  <c r="H409" i="7"/>
  <c r="BD409" i="7" s="1"/>
  <c r="H461" i="7"/>
  <c r="BD461" i="7" s="1"/>
  <c r="H820" i="7"/>
  <c r="BD820" i="7" s="1"/>
  <c r="H213" i="7"/>
  <c r="BD213" i="7" s="1"/>
  <c r="H222" i="7"/>
  <c r="BD222" i="7" s="1"/>
  <c r="H440" i="7"/>
  <c r="BD440" i="7" s="1"/>
  <c r="H205" i="7"/>
  <c r="BD205" i="7" s="1"/>
  <c r="H306" i="7"/>
  <c r="BD306" i="7" s="1"/>
  <c r="H454" i="7"/>
  <c r="H354" i="7"/>
  <c r="H719" i="7"/>
  <c r="H541" i="7"/>
  <c r="H864" i="7"/>
  <c r="BD864" i="7" s="1"/>
  <c r="H81" i="7"/>
  <c r="H652" i="7"/>
  <c r="BD652" i="7" s="1"/>
  <c r="H722" i="7"/>
  <c r="BD722" i="7" s="1"/>
  <c r="H233" i="7"/>
  <c r="BD233" i="7" s="1"/>
  <c r="H469" i="7"/>
  <c r="H679" i="7"/>
  <c r="BD679" i="7" s="1"/>
  <c r="H457" i="7"/>
  <c r="BD457" i="7" s="1"/>
  <c r="H76" i="7"/>
  <c r="H118" i="7"/>
  <c r="H53" i="7"/>
  <c r="H45" i="7"/>
  <c r="BD45" i="7" s="1"/>
  <c r="H774" i="7"/>
  <c r="BD774" i="7" s="1"/>
  <c r="H137" i="7"/>
  <c r="BD137" i="7" s="1"/>
  <c r="H200" i="7"/>
  <c r="H325" i="7"/>
  <c r="H657" i="7"/>
  <c r="BD657" i="7" s="1"/>
  <c r="H279" i="7"/>
  <c r="BD279" i="7" s="1"/>
  <c r="H756" i="7"/>
  <c r="BD756" i="7" s="1"/>
  <c r="CD676" i="7" l="1"/>
  <c r="BD676" i="7"/>
  <c r="BD749" i="7"/>
  <c r="BD133" i="7"/>
  <c r="BD364" i="7"/>
  <c r="BD571" i="7"/>
  <c r="CD831" i="7"/>
  <c r="BD831" i="7"/>
  <c r="BD442" i="7"/>
  <c r="BD89" i="7"/>
  <c r="CD372" i="7"/>
  <c r="BD372" i="7"/>
  <c r="BD147" i="7"/>
  <c r="BD439" i="7"/>
  <c r="BD671" i="7"/>
  <c r="CD848" i="7"/>
  <c r="BD848" i="7"/>
  <c r="CD832" i="7"/>
  <c r="BD832" i="7"/>
  <c r="CD228" i="7"/>
  <c r="BD228" i="7"/>
  <c r="BD184" i="7"/>
  <c r="BD258" i="7"/>
  <c r="BD870" i="7"/>
  <c r="BD546" i="7"/>
  <c r="CD320" i="7"/>
  <c r="BD320" i="7"/>
  <c r="BD726" i="7"/>
  <c r="CD681" i="7"/>
  <c r="BD681" i="7"/>
  <c r="BD839" i="7"/>
  <c r="BD643" i="7"/>
  <c r="BD593" i="7"/>
  <c r="BD399" i="7"/>
  <c r="BD294" i="7"/>
  <c r="BD819" i="7"/>
  <c r="BD522" i="7"/>
  <c r="BD634" i="7"/>
  <c r="CD760" i="7"/>
  <c r="BD760" i="7"/>
  <c r="BD122" i="7"/>
  <c r="BD817" i="7"/>
  <c r="BD80" i="7"/>
  <c r="CD509" i="7"/>
  <c r="BD509" i="7"/>
  <c r="BD798" i="7"/>
  <c r="BD9" i="7"/>
  <c r="CD621" i="7"/>
  <c r="BD621" i="7"/>
  <c r="CD826" i="7"/>
  <c r="BD826" i="7"/>
  <c r="CD825" i="7"/>
  <c r="BD825" i="7"/>
  <c r="BD105" i="7"/>
  <c r="CD758" i="7"/>
  <c r="BD758" i="7"/>
  <c r="BD631" i="7"/>
  <c r="BD721" i="7"/>
  <c r="BD515" i="7"/>
  <c r="BD250" i="7"/>
  <c r="BD454" i="7"/>
  <c r="CD354" i="7"/>
  <c r="BD354" i="7"/>
  <c r="CD719" i="7"/>
  <c r="BD719" i="7"/>
  <c r="CD541" i="7"/>
  <c r="BD541" i="7"/>
  <c r="CD81" i="7"/>
  <c r="BD81" i="7"/>
  <c r="CD469" i="7"/>
  <c r="BD469" i="7"/>
  <c r="BD76" i="7"/>
  <c r="BD118" i="7"/>
  <c r="BD53" i="7"/>
  <c r="BD200" i="7"/>
  <c r="CD325" i="7"/>
  <c r="BD325" i="7"/>
  <c r="CC332" i="7"/>
  <c r="CC735" i="7"/>
  <c r="CD735" i="7"/>
  <c r="CC141" i="7"/>
  <c r="CD141" i="7"/>
  <c r="CD820" i="7"/>
  <c r="CC824" i="7"/>
  <c r="CD794" i="7"/>
  <c r="CD303" i="7"/>
  <c r="CD168" i="7"/>
  <c r="CC491" i="7"/>
  <c r="CD434" i="7"/>
  <c r="CD805" i="7"/>
  <c r="CC559" i="7"/>
  <c r="CC702" i="7"/>
  <c r="CD208" i="7"/>
  <c r="CC773" i="7"/>
  <c r="CC725" i="7"/>
  <c r="CC653" i="7"/>
  <c r="CC665" i="7"/>
  <c r="CD665" i="7"/>
  <c r="CC419" i="7"/>
  <c r="CD419" i="7"/>
  <c r="CC688" i="7"/>
  <c r="CD688" i="7"/>
  <c r="CC542" i="7"/>
  <c r="CD542" i="7"/>
  <c r="CC801" i="7"/>
  <c r="CC704" i="7"/>
  <c r="CC640" i="7"/>
  <c r="CC710" i="7"/>
  <c r="CD162" i="7"/>
  <c r="CC574" i="7"/>
  <c r="CC351" i="7"/>
  <c r="CC416" i="7"/>
  <c r="CC322" i="7"/>
  <c r="CD322" i="7"/>
  <c r="CC511" i="7"/>
  <c r="CD380" i="7"/>
  <c r="CD159" i="7"/>
  <c r="CC837" i="7"/>
  <c r="CC259" i="7"/>
  <c r="CC561" i="7"/>
  <c r="CC742" i="7"/>
  <c r="CC854" i="7"/>
  <c r="CD82" i="7"/>
  <c r="CC90" i="7"/>
  <c r="CD90" i="7"/>
  <c r="CC507" i="7"/>
  <c r="CC800" i="7"/>
  <c r="CC723" i="7"/>
  <c r="CD723" i="7"/>
  <c r="CC273" i="7"/>
  <c r="CC197" i="7"/>
  <c r="CC713" i="7"/>
  <c r="CD752" i="7"/>
  <c r="CC403" i="7"/>
  <c r="CC127" i="7"/>
  <c r="CC524" i="7"/>
  <c r="CC181" i="7"/>
  <c r="CC210" i="7"/>
  <c r="CD210" i="7"/>
  <c r="CC474" i="7"/>
  <c r="CC328" i="7"/>
  <c r="CC759" i="7"/>
  <c r="CC183" i="7"/>
  <c r="CC755" i="7"/>
  <c r="CC376" i="7"/>
  <c r="CD376" i="7"/>
  <c r="CC532" i="7"/>
  <c r="CD628" i="7"/>
  <c r="CC518" i="7"/>
  <c r="CC22" i="7"/>
  <c r="CC422" i="7"/>
  <c r="CD422" i="7"/>
  <c r="CD648" i="7"/>
  <c r="CC587" i="7"/>
  <c r="CC114" i="7"/>
  <c r="CC663" i="7"/>
  <c r="CC672" i="7"/>
  <c r="CC747" i="7"/>
  <c r="CC26" i="7"/>
  <c r="CC531" i="7"/>
  <c r="CC12" i="7"/>
  <c r="CC401" i="7"/>
  <c r="CC482" i="7"/>
  <c r="CC526" i="7"/>
  <c r="CC696" i="7"/>
  <c r="CC623" i="7"/>
  <c r="CD623" i="7"/>
  <c r="CC310" i="7"/>
  <c r="CC369" i="7"/>
  <c r="CC790" i="7"/>
  <c r="CD790" i="7"/>
  <c r="CC462" i="7"/>
  <c r="CC128" i="7"/>
  <c r="CC645" i="7"/>
  <c r="CC464" i="7"/>
  <c r="CD560" i="7"/>
  <c r="CC550" i="7"/>
  <c r="CC834" i="7"/>
  <c r="CD695" i="7"/>
  <c r="CC38" i="7"/>
  <c r="CD282" i="7"/>
  <c r="CD852" i="7"/>
  <c r="CC588" i="7"/>
  <c r="CC362" i="7"/>
  <c r="CC165" i="7"/>
  <c r="CD580" i="7"/>
  <c r="CC24" i="7"/>
  <c r="CC216" i="7"/>
  <c r="CC857" i="7"/>
  <c r="CC718" i="7"/>
  <c r="CD718" i="7"/>
  <c r="CC457" i="7"/>
  <c r="CC523" i="7"/>
  <c r="CD523" i="7"/>
  <c r="CC191" i="7"/>
  <c r="CC618" i="7"/>
  <c r="CD618" i="7"/>
  <c r="CD135" i="7"/>
  <c r="CD407" i="7"/>
  <c r="CC220" i="7"/>
  <c r="CC731" i="7"/>
  <c r="CC389" i="7"/>
  <c r="CC226" i="7"/>
  <c r="CD600" i="7"/>
  <c r="CD595" i="7"/>
  <c r="CC237" i="7"/>
  <c r="CC70" i="7"/>
  <c r="CC34" i="7"/>
  <c r="CD461" i="7"/>
  <c r="CC500" i="7"/>
  <c r="CC73" i="7"/>
  <c r="CC565" i="7"/>
  <c r="CC504" i="7"/>
  <c r="CC363" i="7"/>
  <c r="CD363" i="7"/>
  <c r="CD838" i="7"/>
  <c r="CC485" i="7"/>
  <c r="CC601" i="7"/>
  <c r="CC194" i="7"/>
  <c r="CC809" i="7"/>
  <c r="CC748" i="7"/>
  <c r="CC761" i="7"/>
  <c r="CD761" i="7"/>
  <c r="CD58" i="7"/>
  <c r="CD179" i="7"/>
  <c r="CC592" i="7"/>
  <c r="CC169" i="7"/>
  <c r="CD169" i="7"/>
  <c r="CD397" i="7"/>
  <c r="CC54" i="7"/>
  <c r="CC503" i="7"/>
  <c r="CD602" i="7"/>
  <c r="CC707" i="7"/>
  <c r="CC385" i="7"/>
  <c r="CD385" i="7"/>
  <c r="CC570" i="7"/>
  <c r="CC449" i="7"/>
  <c r="CC297" i="7"/>
  <c r="CD297" i="7"/>
  <c r="CC173" i="7"/>
  <c r="CC180" i="7"/>
  <c r="CC784" i="7"/>
  <c r="CC267" i="7"/>
  <c r="CD367" i="7"/>
  <c r="CC622" i="7"/>
  <c r="CC212" i="7"/>
  <c r="CC827" i="7"/>
  <c r="CC313" i="7"/>
  <c r="CC552" i="7"/>
  <c r="CC642" i="7"/>
  <c r="CC393" i="7"/>
  <c r="CD744" i="7"/>
  <c r="CC138" i="7"/>
  <c r="CD370" i="7"/>
  <c r="CC289" i="7"/>
  <c r="CC779" i="7"/>
  <c r="CD779" i="7"/>
  <c r="CC27" i="7"/>
  <c r="CD789" i="7"/>
  <c r="CC705" i="7"/>
  <c r="CC796" i="7"/>
  <c r="CD796" i="7"/>
  <c r="CC706" i="7"/>
  <c r="CC146" i="7"/>
  <c r="CC87" i="7"/>
  <c r="CC435" i="7"/>
  <c r="CD435" i="7"/>
  <c r="CC249" i="7"/>
  <c r="CC30" i="7"/>
  <c r="CC487" i="7"/>
  <c r="CC338" i="7"/>
  <c r="CC35" i="7"/>
  <c r="CD35" i="7"/>
  <c r="CC86" i="7"/>
  <c r="CC808" i="7"/>
  <c r="CD808" i="7"/>
  <c r="CD685" i="7"/>
  <c r="CD775" i="7"/>
  <c r="CD795" i="7"/>
  <c r="CC115" i="7"/>
  <c r="CD767" i="7"/>
  <c r="CC14" i="7"/>
  <c r="CC855" i="7"/>
  <c r="CC279" i="7"/>
  <c r="CC306" i="7"/>
  <c r="CC703" i="7"/>
  <c r="CD807" i="7"/>
  <c r="CC261" i="7"/>
  <c r="CD261" i="7"/>
  <c r="CD438" i="7"/>
  <c r="CC605" i="7"/>
  <c r="CC83" i="7"/>
  <c r="CC18" i="7"/>
  <c r="CD446" i="7"/>
  <c r="CC28" i="7"/>
  <c r="CC699" i="7"/>
  <c r="CD148" i="7"/>
  <c r="CC335" i="7"/>
  <c r="CC278" i="7"/>
  <c r="CC657" i="7"/>
  <c r="CC814" i="7"/>
  <c r="CC284" i="7"/>
  <c r="CC754" i="7"/>
  <c r="CC477" i="7"/>
  <c r="CC11" i="7"/>
  <c r="CC567" i="7"/>
  <c r="CD567" i="7"/>
  <c r="CC25" i="7"/>
  <c r="CC494" i="7"/>
  <c r="CC677" i="7"/>
  <c r="CC425" i="7"/>
  <c r="CD680" i="7"/>
  <c r="CC497" i="7"/>
  <c r="CC64" i="7"/>
  <c r="CC365" i="7"/>
  <c r="CC374" i="7"/>
  <c r="CD374" i="7"/>
  <c r="CD158" i="7"/>
  <c r="CC443" i="7"/>
  <c r="CC46" i="7"/>
  <c r="CC263" i="7"/>
  <c r="CD724" i="7"/>
  <c r="CC465" i="7"/>
  <c r="CD341" i="7"/>
  <c r="CC540" i="7"/>
  <c r="CC440" i="7"/>
  <c r="CD440" i="7"/>
  <c r="CC575" i="7"/>
  <c r="CC573" i="7"/>
  <c r="CD287" i="7"/>
  <c r="CC729" i="7"/>
  <c r="CC785" i="7"/>
  <c r="CC414" i="7"/>
  <c r="CC356" i="7"/>
  <c r="CC366" i="7"/>
  <c r="CC15" i="7"/>
  <c r="CC853" i="7"/>
  <c r="CD853" i="7"/>
  <c r="CC823" i="7"/>
  <c r="CC285" i="7"/>
  <c r="CC230" i="7"/>
  <c r="CC514" i="7"/>
  <c r="CD514" i="7"/>
  <c r="CD836" i="7"/>
  <c r="CC619" i="7"/>
  <c r="CC67" i="7"/>
  <c r="CC615" i="7"/>
  <c r="CC42" i="7"/>
  <c r="CC109" i="7"/>
  <c r="CC782" i="7"/>
  <c r="CC502" i="7"/>
  <c r="CC644" i="7"/>
  <c r="CC799" i="7"/>
  <c r="CD652" i="7"/>
  <c r="CC222" i="7"/>
  <c r="CC268" i="7"/>
  <c r="CC29" i="7"/>
  <c r="CD29" i="7"/>
  <c r="CD856" i="7"/>
  <c r="CD730" i="7"/>
  <c r="CC822" i="7"/>
  <c r="CD822" i="7"/>
  <c r="CC346" i="7"/>
  <c r="CC426" i="7"/>
  <c r="CD812" i="7"/>
  <c r="CC510" i="7"/>
  <c r="CD510" i="7"/>
  <c r="CC280" i="7"/>
  <c r="CC402" i="7"/>
  <c r="CC521" i="7"/>
  <c r="CD521" i="7"/>
  <c r="CD768" i="7"/>
  <c r="CC316" i="7"/>
  <c r="CC311" i="7"/>
  <c r="CD383" i="7"/>
  <c r="CD213" i="7"/>
  <c r="CD791" i="7"/>
  <c r="CC525" i="7"/>
  <c r="CC164" i="7"/>
  <c r="CC309" i="7"/>
  <c r="CC110" i="7"/>
  <c r="CC381" i="7"/>
  <c r="CC708" i="7"/>
  <c r="CC686" i="7"/>
  <c r="CD686" i="7"/>
  <c r="CC418" i="7"/>
  <c r="CD418" i="7"/>
  <c r="CC193" i="7"/>
  <c r="CC466" i="7"/>
  <c r="CC614" i="7"/>
  <c r="CD437" i="7"/>
  <c r="CC124" i="7"/>
  <c r="CD667" i="7"/>
  <c r="CD79" i="7"/>
  <c r="CC342" i="7"/>
  <c r="CC554" i="7"/>
  <c r="CD391" i="7"/>
  <c r="CC290" i="7"/>
  <c r="CD584" i="7"/>
  <c r="CB389" i="7"/>
  <c r="CB794" i="7"/>
  <c r="CA794" i="7"/>
  <c r="CA20" i="7"/>
  <c r="BY20" i="7"/>
  <c r="CB549" i="7"/>
  <c r="BY258" i="7"/>
  <c r="BY715" i="7"/>
  <c r="CB181" i="7"/>
  <c r="CB210" i="7"/>
  <c r="CB805" i="7"/>
  <c r="CA805" i="7"/>
  <c r="CB687" i="7"/>
  <c r="BY687" i="7"/>
  <c r="CA687" i="7"/>
  <c r="BZ107" i="7"/>
  <c r="CB755" i="7"/>
  <c r="CA755" i="7"/>
  <c r="CB532" i="7"/>
  <c r="BY532" i="7"/>
  <c r="CB504" i="7"/>
  <c r="CB333" i="7"/>
  <c r="BY333" i="7"/>
  <c r="BY8" i="7"/>
  <c r="CA8" i="7"/>
  <c r="BY542" i="7"/>
  <c r="BY114" i="7"/>
  <c r="BY863" i="7"/>
  <c r="CB451" i="7"/>
  <c r="BY704" i="7"/>
  <c r="BZ423" i="7"/>
  <c r="CB293" i="7"/>
  <c r="CA293" i="7"/>
  <c r="CB111" i="7"/>
  <c r="CB464" i="7"/>
  <c r="CA550" i="7"/>
  <c r="CB550" i="7"/>
  <c r="CB834" i="7"/>
  <c r="CA834" i="7"/>
  <c r="CA264" i="7"/>
  <c r="CB264" i="7"/>
  <c r="BY350" i="7"/>
  <c r="CB417" i="7"/>
  <c r="CA417" i="7"/>
  <c r="CA259" i="7"/>
  <c r="CB410" i="7"/>
  <c r="BY410" i="7"/>
  <c r="CA580" i="7"/>
  <c r="CA24" i="7"/>
  <c r="BY618" i="7"/>
  <c r="CB817" i="7"/>
  <c r="BY449" i="7"/>
  <c r="CB512" i="7"/>
  <c r="CA512" i="7"/>
  <c r="CB242" i="7"/>
  <c r="CA828" i="7"/>
  <c r="CB828" i="7"/>
  <c r="CA472" i="7"/>
  <c r="CB705" i="7"/>
  <c r="CB784" i="7"/>
  <c r="BY454" i="7"/>
  <c r="BY733" i="7"/>
  <c r="BY564" i="7"/>
  <c r="CB819" i="7"/>
  <c r="CB867" i="7"/>
  <c r="CA867" i="7"/>
  <c r="BY867" i="7"/>
  <c r="BY267" i="7"/>
  <c r="CB143" i="7"/>
  <c r="BY143" i="7"/>
  <c r="CB262" i="7"/>
  <c r="CB808" i="7"/>
  <c r="CA808" i="7"/>
  <c r="BY167" i="7"/>
  <c r="CA664" i="7"/>
  <c r="BY664" i="7"/>
  <c r="CB212" i="7"/>
  <c r="CA212" i="7"/>
  <c r="CB827" i="7"/>
  <c r="CA115" i="7"/>
  <c r="CB219" i="7"/>
  <c r="CA219" i="7"/>
  <c r="CA506" i="7"/>
  <c r="CB506" i="7"/>
  <c r="BY506" i="7"/>
  <c r="CB186" i="7"/>
  <c r="CB740" i="7"/>
  <c r="BY740" i="7"/>
  <c r="CB279" i="7"/>
  <c r="CA279" i="7"/>
  <c r="CB313" i="7"/>
  <c r="CA313" i="7"/>
  <c r="BY313" i="7"/>
  <c r="CA807" i="7"/>
  <c r="CA631" i="7"/>
  <c r="CA438" i="7"/>
  <c r="CB552" i="7"/>
  <c r="CB798" i="7"/>
  <c r="BY798" i="7"/>
  <c r="CB605" i="7"/>
  <c r="CA83" i="7"/>
  <c r="CB256" i="7"/>
  <c r="CA256" i="7"/>
  <c r="BY256" i="7"/>
  <c r="CA18" i="7"/>
  <c r="BY717" i="7"/>
  <c r="CB28" i="7"/>
  <c r="BY28" i="7"/>
  <c r="CA429" i="7"/>
  <c r="CB387" i="7"/>
  <c r="BY778" i="7"/>
  <c r="CB536" i="7"/>
  <c r="CB832" i="7"/>
  <c r="BY832" i="7"/>
  <c r="CB699" i="7"/>
  <c r="CB671" i="7"/>
  <c r="BY671" i="7"/>
  <c r="CB148" i="7"/>
  <c r="CB772" i="7"/>
  <c r="CA772" i="7"/>
  <c r="BY772" i="7"/>
  <c r="CB777" i="7"/>
  <c r="BY777" i="7"/>
  <c r="CB335" i="7"/>
  <c r="BY335" i="7"/>
  <c r="CA335" i="7"/>
  <c r="CA278" i="7"/>
  <c r="CB278" i="7"/>
  <c r="CA533" i="7"/>
  <c r="BY92" i="7"/>
  <c r="CA92" i="7"/>
  <c r="CB851" i="7"/>
  <c r="BZ642" i="7"/>
  <c r="BY555" i="7"/>
  <c r="CB198" i="7"/>
  <c r="CA198" i="7"/>
  <c r="BZ198" i="7"/>
  <c r="BY198" i="7"/>
  <c r="CA298" i="7"/>
  <c r="BY298" i="7"/>
  <c r="CB473" i="7"/>
  <c r="CA627" i="7"/>
  <c r="CB627" i="7"/>
  <c r="CA138" i="7"/>
  <c r="CB370" i="7"/>
  <c r="CA824" i="7"/>
  <c r="CA723" i="7"/>
  <c r="BY723" i="7"/>
  <c r="BY600" i="7"/>
  <c r="CB197" i="7"/>
  <c r="CA197" i="7"/>
  <c r="BZ701" i="7"/>
  <c r="BY436" i="7"/>
  <c r="CB127" i="7"/>
  <c r="CA334" i="7"/>
  <c r="BY478" i="7"/>
  <c r="CB328" i="7"/>
  <c r="CB434" i="7"/>
  <c r="BY434" i="7"/>
  <c r="BY864" i="7"/>
  <c r="CB183" i="7"/>
  <c r="CA183" i="7"/>
  <c r="BY702" i="7"/>
  <c r="CB73" i="7"/>
  <c r="BY73" i="7"/>
  <c r="CA252" i="7"/>
  <c r="CA302" i="7"/>
  <c r="CB302" i="7"/>
  <c r="BY653" i="7"/>
  <c r="CB665" i="7"/>
  <c r="BY364" i="7"/>
  <c r="BZ134" i="7"/>
  <c r="BY134" i="7"/>
  <c r="CB459" i="7"/>
  <c r="BY459" i="7"/>
  <c r="BZ607" i="7"/>
  <c r="BY607" i="7"/>
  <c r="CB26" i="7"/>
  <c r="CA452" i="7"/>
  <c r="CB452" i="7"/>
  <c r="CB838" i="7"/>
  <c r="CB184" i="7"/>
  <c r="BY184" i="7"/>
  <c r="CB526" i="7"/>
  <c r="CA178" i="7"/>
  <c r="BZ178" i="7"/>
  <c r="CB623" i="7"/>
  <c r="CA623" i="7"/>
  <c r="BY166" i="7"/>
  <c r="CA576" i="7"/>
  <c r="CB576" i="7"/>
  <c r="CA415" i="7"/>
  <c r="CB790" i="7"/>
  <c r="CB462" i="7"/>
  <c r="BY865" i="7"/>
  <c r="BY809" i="7"/>
  <c r="CB563" i="7"/>
  <c r="CA58" i="7"/>
  <c r="CB58" i="7"/>
  <c r="BY58" i="7"/>
  <c r="CB734" i="7"/>
  <c r="CB693" i="7"/>
  <c r="BY693" i="7"/>
  <c r="CA693" i="7"/>
  <c r="CB592" i="7"/>
  <c r="CB76" i="7"/>
  <c r="CA76" i="7"/>
  <c r="CB56" i="7"/>
  <c r="CA56" i="7"/>
  <c r="CB144" i="7"/>
  <c r="BY144" i="7"/>
  <c r="CA144" i="7"/>
  <c r="CB630" i="7"/>
  <c r="CA344" i="7"/>
  <c r="CB495" i="7"/>
  <c r="BY495" i="7"/>
  <c r="CB503" i="7"/>
  <c r="CB523" i="7"/>
  <c r="CA407" i="7"/>
  <c r="BY407" i="7"/>
  <c r="BY830" i="7"/>
  <c r="CB731" i="7"/>
  <c r="CA297" i="7"/>
  <c r="CB297" i="7"/>
  <c r="CB61" i="7"/>
  <c r="BY173" i="7"/>
  <c r="CA173" i="7"/>
  <c r="CB180" i="7"/>
  <c r="CA180" i="7"/>
  <c r="CA435" i="7"/>
  <c r="CB582" i="7"/>
  <c r="CA582" i="7"/>
  <c r="CB30" i="7"/>
  <c r="CA487" i="7"/>
  <c r="CA338" i="7"/>
  <c r="CB338" i="7"/>
  <c r="BY367" i="7"/>
  <c r="CB622" i="7"/>
  <c r="BY101" i="7"/>
  <c r="CA101" i="7"/>
  <c r="CA685" i="7"/>
  <c r="BY685" i="7"/>
  <c r="BY775" i="7"/>
  <c r="CB775" i="7"/>
  <c r="CB795" i="7"/>
  <c r="CA771" i="7"/>
  <c r="BY255" i="7"/>
  <c r="CB14" i="7"/>
  <c r="CA14" i="7"/>
  <c r="CB98" i="7"/>
  <c r="BY855" i="7"/>
  <c r="CA225" i="7"/>
  <c r="CB225" i="7"/>
  <c r="BY225" i="7"/>
  <c r="CB469" i="7"/>
  <c r="CA331" i="7"/>
  <c r="CB331" i="7"/>
  <c r="CB330" i="7"/>
  <c r="BY330" i="7"/>
  <c r="BY233" i="7"/>
  <c r="BY205" i="7"/>
  <c r="CA814" i="7"/>
  <c r="BY814" i="7"/>
  <c r="CB284" i="7"/>
  <c r="CA284" i="7"/>
  <c r="CB846" i="7"/>
  <c r="CA846" i="7"/>
  <c r="BY846" i="7"/>
  <c r="BY66" i="7"/>
  <c r="CA66" i="7"/>
  <c r="BY21" i="7"/>
  <c r="CA754" i="7"/>
  <c r="BY754" i="7"/>
  <c r="CA690" i="7"/>
  <c r="CB690" i="7"/>
  <c r="BY690" i="7"/>
  <c r="CB621" i="7"/>
  <c r="BY621" i="7"/>
  <c r="CB108" i="7"/>
  <c r="CA108" i="7"/>
  <c r="CB427" i="7"/>
  <c r="CA427" i="7"/>
  <c r="CA477" i="7"/>
  <c r="BY477" i="7"/>
  <c r="BZ567" i="7"/>
  <c r="CB678" i="7"/>
  <c r="BY494" i="7"/>
  <c r="CB295" i="7"/>
  <c r="CB606" i="7"/>
  <c r="BY606" i="7"/>
  <c r="CA606" i="7"/>
  <c r="CB546" i="7"/>
  <c r="CA762" i="7"/>
  <c r="CB762" i="7"/>
  <c r="CB737" i="7"/>
  <c r="CA737" i="7"/>
  <c r="BY677" i="7"/>
  <c r="CB425" i="7"/>
  <c r="CB656" i="7"/>
  <c r="CB632" i="7"/>
  <c r="BY632" i="7"/>
  <c r="CA680" i="7"/>
  <c r="CA152" i="7"/>
  <c r="CB497" i="7"/>
  <c r="CA558" i="7"/>
  <c r="BY558" i="7"/>
  <c r="CB365" i="7"/>
  <c r="CA365" i="7"/>
  <c r="BY374" i="7"/>
  <c r="BY361" i="7"/>
  <c r="CB361" i="7"/>
  <c r="CB158" i="7"/>
  <c r="CB443" i="7"/>
  <c r="CA46" i="7"/>
  <c r="CB46" i="7"/>
  <c r="CB263" i="7"/>
  <c r="BY263" i="7"/>
  <c r="CB749" i="7"/>
  <c r="BY749" i="7"/>
  <c r="CB616" i="7"/>
  <c r="BY616" i="7"/>
  <c r="CB724" i="7"/>
  <c r="CA698" i="7"/>
  <c r="CB540" i="7"/>
  <c r="CA774" i="7"/>
  <c r="BY774" i="7"/>
  <c r="BY286" i="7"/>
  <c r="BY595" i="7"/>
  <c r="CB595" i="7"/>
  <c r="BY713" i="7"/>
  <c r="CA637" i="7"/>
  <c r="CB637" i="7"/>
  <c r="BY637" i="7"/>
  <c r="CA577" i="7"/>
  <c r="CB577" i="7"/>
  <c r="CA658" i="7"/>
  <c r="CB658" i="7"/>
  <c r="BY45" i="7"/>
  <c r="BY787" i="7"/>
  <c r="CA208" i="7"/>
  <c r="BY208" i="7"/>
  <c r="CA432" i="7"/>
  <c r="CA628" i="7"/>
  <c r="CB422" i="7"/>
  <c r="CA422" i="7"/>
  <c r="CB419" i="7"/>
  <c r="BY763" i="7"/>
  <c r="CB174" i="7"/>
  <c r="CA174" i="7"/>
  <c r="BY843" i="7"/>
  <c r="CB53" i="7"/>
  <c r="BY760" i="7"/>
  <c r="BY544" i="7"/>
  <c r="CA716" i="7"/>
  <c r="BY716" i="7"/>
  <c r="CB43" i="7"/>
  <c r="BY43" i="7"/>
  <c r="CA369" i="7"/>
  <c r="CB32" i="7"/>
  <c r="CA32" i="7"/>
  <c r="CA128" i="7"/>
  <c r="CB128" i="7"/>
  <c r="CA579" i="7"/>
  <c r="CB579" i="7"/>
  <c r="CA162" i="7"/>
  <c r="CB149" i="7"/>
  <c r="CA149" i="7"/>
  <c r="CB203" i="7"/>
  <c r="BY195" i="7"/>
  <c r="CB38" i="7"/>
  <c r="BY354" i="7"/>
  <c r="CB160" i="7"/>
  <c r="CB228" i="7"/>
  <c r="BY228" i="7"/>
  <c r="CB318" i="7"/>
  <c r="CB72" i="7"/>
  <c r="BY72" i="7"/>
  <c r="CA707" i="7"/>
  <c r="CB433" i="7"/>
  <c r="CA433" i="7"/>
  <c r="BZ597" i="7"/>
  <c r="CA802" i="7"/>
  <c r="CB802" i="7"/>
  <c r="CA831" i="7"/>
  <c r="CB87" i="7"/>
  <c r="CB679" i="7"/>
  <c r="BY277" i="7"/>
  <c r="CB117" i="7"/>
  <c r="CA117" i="7"/>
  <c r="BY325" i="7"/>
  <c r="CA670" i="7"/>
  <c r="CB670" i="7"/>
  <c r="BY670" i="7"/>
  <c r="BY629" i="7"/>
  <c r="BY287" i="7"/>
  <c r="BY785" i="7"/>
  <c r="BY103" i="7"/>
  <c r="CB80" i="7"/>
  <c r="BY80" i="7"/>
  <c r="CB356" i="7"/>
  <c r="CA356" i="7"/>
  <c r="CB245" i="7"/>
  <c r="BY245" i="7"/>
  <c r="BY839" i="7"/>
  <c r="CB230" i="7"/>
  <c r="CA230" i="7"/>
  <c r="BY230" i="7"/>
  <c r="CB236" i="7"/>
  <c r="BY424" i="7"/>
  <c r="CB424" i="7"/>
  <c r="BZ424" i="7"/>
  <c r="CB42" i="7"/>
  <c r="BZ388" i="7"/>
  <c r="CB829" i="7"/>
  <c r="CA829" i="7"/>
  <c r="BY585" i="7"/>
  <c r="CA585" i="7"/>
  <c r="CA154" i="7"/>
  <c r="CB154" i="7"/>
  <c r="CA502" i="7"/>
  <c r="CB765" i="7"/>
  <c r="BY765" i="7"/>
  <c r="CB84" i="7"/>
  <c r="CA666" i="7"/>
  <c r="CB666" i="7"/>
  <c r="BY666" i="7"/>
  <c r="CA799" i="7"/>
  <c r="CA820" i="7"/>
  <c r="CB800" i="7"/>
  <c r="CA226" i="7"/>
  <c r="CB273" i="7"/>
  <c r="BY40" i="7"/>
  <c r="CB524" i="7"/>
  <c r="BY524" i="7"/>
  <c r="BY168" i="7"/>
  <c r="CB571" i="7"/>
  <c r="CB491" i="7"/>
  <c r="CA491" i="7"/>
  <c r="BY491" i="7"/>
  <c r="CA547" i="7"/>
  <c r="CB547" i="7"/>
  <c r="CA759" i="7"/>
  <c r="BY759" i="7"/>
  <c r="CB559" i="7"/>
  <c r="BY559" i="7"/>
  <c r="CB611" i="7"/>
  <c r="BY611" i="7"/>
  <c r="BY292" i="7"/>
  <c r="CB292" i="7"/>
  <c r="BZ508" i="7"/>
  <c r="CB240" i="7"/>
  <c r="CB663" i="7"/>
  <c r="CB541" i="7"/>
  <c r="CB747" i="7"/>
  <c r="BY531" i="7"/>
  <c r="BY12" i="7"/>
  <c r="CB12" i="7"/>
  <c r="CA12" i="7"/>
  <c r="CA858" i="7"/>
  <c r="BY439" i="7"/>
  <c r="BZ485" i="7"/>
  <c r="CB485" i="7"/>
  <c r="CB304" i="7"/>
  <c r="BZ44" i="7"/>
  <c r="BY44" i="7"/>
  <c r="CA710" i="7"/>
  <c r="BY398" i="7"/>
  <c r="BY516" i="7"/>
  <c r="CB598" i="7"/>
  <c r="CB539" i="7"/>
  <c r="BY539" i="7"/>
  <c r="CA574" i="7"/>
  <c r="CB574" i="7"/>
  <c r="BY574" i="7"/>
  <c r="CB714" i="7"/>
  <c r="CB322" i="7"/>
  <c r="CA322" i="7"/>
  <c r="CB75" i="7"/>
  <c r="BY75" i="7"/>
  <c r="CA140" i="7"/>
  <c r="CB169" i="7"/>
  <c r="CA169" i="7"/>
  <c r="CB721" i="7"/>
  <c r="BY721" i="7"/>
  <c r="CB522" i="7"/>
  <c r="CB241" i="7"/>
  <c r="CB561" i="7"/>
  <c r="BY561" i="7"/>
  <c r="CA561" i="7"/>
  <c r="CA397" i="7"/>
  <c r="CB54" i="7"/>
  <c r="CA54" i="7"/>
  <c r="CB668" i="7"/>
  <c r="CA668" i="7"/>
  <c r="CA202" i="7"/>
  <c r="CB202" i="7"/>
  <c r="BY209" i="7"/>
  <c r="CA135" i="7"/>
  <c r="BY135" i="7"/>
  <c r="CA570" i="7"/>
  <c r="BY399" i="7"/>
  <c r="CB220" i="7"/>
  <c r="CA220" i="7"/>
  <c r="BY182" i="7"/>
  <c r="CB735" i="7"/>
  <c r="BY27" i="7"/>
  <c r="CA796" i="7"/>
  <c r="CB796" i="7"/>
  <c r="CB146" i="7"/>
  <c r="BY146" i="7"/>
  <c r="CA756" i="7"/>
  <c r="CA151" i="7"/>
  <c r="CB151" i="7"/>
  <c r="BY746" i="7"/>
  <c r="CB375" i="7"/>
  <c r="CB249" i="7"/>
  <c r="CA86" i="7"/>
  <c r="CB722" i="7"/>
  <c r="CA440" i="7"/>
  <c r="BY440" i="7"/>
  <c r="CB575" i="7"/>
  <c r="CA575" i="7"/>
  <c r="BY129" i="7"/>
  <c r="CA573" i="7"/>
  <c r="CB573" i="7"/>
  <c r="BY573" i="7"/>
  <c r="CA729" i="7"/>
  <c r="BY729" i="7"/>
  <c r="CB780" i="7"/>
  <c r="BY780" i="7"/>
  <c r="CA414" i="7"/>
  <c r="BY414" i="7"/>
  <c r="CB551" i="7"/>
  <c r="CA366" i="7"/>
  <c r="CB15" i="7"/>
  <c r="CB285" i="7"/>
  <c r="CA514" i="7"/>
  <c r="BY514" i="7"/>
  <c r="CB615" i="7"/>
  <c r="CA545" i="7"/>
  <c r="BZ200" i="7"/>
  <c r="BY200" i="7"/>
  <c r="CB652" i="7"/>
  <c r="CB222" i="7"/>
  <c r="CA222" i="7"/>
  <c r="BY268" i="7"/>
  <c r="CB136" i="7"/>
  <c r="BY136" i="7"/>
  <c r="BZ609" i="7"/>
  <c r="CA29" i="7"/>
  <c r="CA661" i="7"/>
  <c r="BY661" i="7"/>
  <c r="CA856" i="7"/>
  <c r="CB730" i="7"/>
  <c r="BY610" i="7"/>
  <c r="CB283" i="7"/>
  <c r="CA283" i="7"/>
  <c r="CB272" i="7"/>
  <c r="CB822" i="7"/>
  <c r="CB275" i="7"/>
  <c r="BY275" i="7"/>
  <c r="BY346" i="7"/>
  <c r="CA681" i="7"/>
  <c r="CB741" i="7"/>
  <c r="CA741" i="7"/>
  <c r="BY445" i="7"/>
  <c r="CA430" i="7"/>
  <c r="BZ291" i="7"/>
  <c r="BY291" i="7"/>
  <c r="CB484" i="7"/>
  <c r="CB649" i="7"/>
  <c r="BY581" i="7"/>
  <c r="CA147" i="7"/>
  <c r="CA510" i="7"/>
  <c r="CA280" i="7"/>
  <c r="CB280" i="7"/>
  <c r="CB402" i="7"/>
  <c r="BY402" i="7"/>
  <c r="CA402" i="7"/>
  <c r="CA343" i="7"/>
  <c r="CB343" i="7"/>
  <c r="CB345" i="7"/>
  <c r="CA345" i="7"/>
  <c r="CB349" i="7"/>
  <c r="BY349" i="7"/>
  <c r="CA349" i="7"/>
  <c r="CA405" i="7"/>
  <c r="CB521" i="7"/>
  <c r="CA442" i="7"/>
  <c r="CB813" i="7"/>
  <c r="BY813" i="7"/>
  <c r="CB19" i="7"/>
  <c r="CA329" i="7"/>
  <c r="CB329" i="7"/>
  <c r="BY329" i="7"/>
  <c r="CB316" i="7"/>
  <c r="CA316" i="7"/>
  <c r="BY311" i="7"/>
  <c r="CB383" i="7"/>
  <c r="BY383" i="7"/>
  <c r="CB736" i="7"/>
  <c r="CA736" i="7"/>
  <c r="BY736" i="7"/>
  <c r="CB568" i="7"/>
  <c r="BY507" i="7"/>
  <c r="CA647" i="7"/>
  <c r="CB441" i="7"/>
  <c r="BY444" i="7"/>
  <c r="CB303" i="7"/>
  <c r="BY70" i="7"/>
  <c r="BZ70" i="7"/>
  <c r="CB70" i="7"/>
  <c r="CB34" i="7"/>
  <c r="CB461" i="7"/>
  <c r="BY461" i="7"/>
  <c r="CB161" i="7"/>
  <c r="BY161" i="7"/>
  <c r="CA85" i="7"/>
  <c r="BY376" i="7"/>
  <c r="BZ773" i="7"/>
  <c r="CB22" i="7"/>
  <c r="CA22" i="7"/>
  <c r="BY22" i="7"/>
  <c r="CB648" i="7"/>
  <c r="CA688" i="7"/>
  <c r="BZ74" i="7"/>
  <c r="CB672" i="7"/>
  <c r="CA672" i="7"/>
  <c r="BY672" i="7"/>
  <c r="CB401" i="7"/>
  <c r="CB482" i="7"/>
  <c r="BY482" i="7"/>
  <c r="CB448" i="7"/>
  <c r="CA448" i="7"/>
  <c r="BY448" i="7"/>
  <c r="CB310" i="7"/>
  <c r="CA310" i="7"/>
  <c r="CA601" i="7"/>
  <c r="CB118" i="7"/>
  <c r="CA250" i="7"/>
  <c r="CA105" i="7"/>
  <c r="CB844" i="7"/>
  <c r="CA844" i="7"/>
  <c r="BY844" i="7"/>
  <c r="BY560" i="7"/>
  <c r="CA748" i="7"/>
  <c r="CB761" i="7"/>
  <c r="CA761" i="7"/>
  <c r="CB125" i="7"/>
  <c r="CB511" i="7"/>
  <c r="CA380" i="7"/>
  <c r="CB159" i="7"/>
  <c r="CA159" i="7"/>
  <c r="CA529" i="7"/>
  <c r="BY529" i="7"/>
  <c r="CB362" i="7"/>
  <c r="BY37" i="7"/>
  <c r="CB742" i="7"/>
  <c r="BY742" i="7"/>
  <c r="CB165" i="7"/>
  <c r="CA764" i="7"/>
  <c r="CB764" i="7"/>
  <c r="BY764" i="7"/>
  <c r="CA479" i="7"/>
  <c r="CB113" i="7"/>
  <c r="CA113" i="7"/>
  <c r="BY191" i="7"/>
  <c r="CA191" i="7"/>
  <c r="BY634" i="7"/>
  <c r="CB682" i="7"/>
  <c r="BY682" i="7"/>
  <c r="BY428" i="7"/>
  <c r="BY669" i="7"/>
  <c r="CA411" i="7"/>
  <c r="CB411" i="7"/>
  <c r="BY244" i="7"/>
  <c r="CB244" i="7"/>
  <c r="CA312" i="7"/>
  <c r="CB312" i="7"/>
  <c r="CB97" i="7"/>
  <c r="BY97" i="7"/>
  <c r="CA97" i="7"/>
  <c r="CB17" i="7"/>
  <c r="CB81" i="7"/>
  <c r="BY213" i="7"/>
  <c r="CA213" i="7"/>
  <c r="CB791" i="7"/>
  <c r="CA847" i="7"/>
  <c r="BY847" i="7"/>
  <c r="CA525" i="7"/>
  <c r="BY525" i="7"/>
  <c r="CA172" i="7"/>
  <c r="BY172" i="7"/>
  <c r="CB519" i="7"/>
  <c r="BY519" i="7"/>
  <c r="CA519" i="7"/>
  <c r="CB309" i="7"/>
  <c r="BY309" i="7"/>
  <c r="CA196" i="7"/>
  <c r="BY196" i="7"/>
  <c r="CB196" i="7"/>
  <c r="CB319" i="7"/>
  <c r="BY319" i="7"/>
  <c r="CA110" i="7"/>
  <c r="CA229" i="7"/>
  <c r="BY229" i="7"/>
  <c r="BY400" i="7"/>
  <c r="CA400" i="7"/>
  <c r="CA384" i="7"/>
  <c r="CB359" i="7"/>
  <c r="BZ359" i="7"/>
  <c r="CB381" i="7"/>
  <c r="CA381" i="7"/>
  <c r="CA708" i="7"/>
  <c r="CB726" i="7"/>
  <c r="CA686" i="7"/>
  <c r="CB686" i="7"/>
  <c r="CB418" i="7"/>
  <c r="CB193" i="7"/>
  <c r="CB513" i="7"/>
  <c r="CA68" i="7"/>
  <c r="CB604" i="7"/>
  <c r="CB753" i="7"/>
  <c r="BZ340" i="7"/>
  <c r="CB614" i="7"/>
  <c r="BZ614" i="7"/>
  <c r="CB437" i="7"/>
  <c r="CA437" i="7"/>
  <c r="CA124" i="7"/>
  <c r="CA132" i="7"/>
  <c r="CB404" i="7"/>
  <c r="CA667" i="7"/>
  <c r="CB667" i="7"/>
  <c r="CB470" i="7"/>
  <c r="BY79" i="7"/>
  <c r="CB342" i="7"/>
  <c r="BY757" i="7"/>
  <c r="CB554" i="7"/>
  <c r="CB548" i="7"/>
  <c r="CB391" i="7"/>
  <c r="CB290" i="7"/>
  <c r="BY290" i="7"/>
  <c r="CB635" i="7"/>
  <c r="CA635" i="7"/>
  <c r="CA584" i="7"/>
  <c r="CB584" i="7"/>
  <c r="BU289" i="7" l="1"/>
  <c r="BU225" i="7"/>
  <c r="BU377" i="7"/>
  <c r="BU140" i="7"/>
  <c r="BU415" i="7"/>
  <c r="BU459" i="7"/>
  <c r="BU332" i="7"/>
  <c r="BU584" i="7"/>
  <c r="BU568" i="7"/>
  <c r="BU799" i="7"/>
  <c r="BU540" i="7"/>
  <c r="BU370" i="7"/>
  <c r="BU740" i="7"/>
  <c r="BU784" i="7"/>
  <c r="BU209" i="7"/>
  <c r="BU380" i="7"/>
  <c r="BU293" i="7"/>
  <c r="BU663" i="7"/>
  <c r="BU547" i="7"/>
  <c r="BU635" i="7"/>
  <c r="BU736" i="7"/>
  <c r="BU666" i="7"/>
  <c r="BU698" i="7"/>
  <c r="BU186" i="7"/>
  <c r="BU87" i="7"/>
  <c r="BU854" i="7"/>
  <c r="BU282" i="7"/>
  <c r="BU369" i="7"/>
  <c r="BU843" i="7"/>
  <c r="BU34" i="7"/>
  <c r="BU290" i="7"/>
  <c r="BU527" i="7"/>
  <c r="BU146" i="7"/>
  <c r="BU602" i="7"/>
  <c r="BU592" i="7"/>
  <c r="BU601" i="7"/>
  <c r="BU434" i="7"/>
  <c r="BU391" i="7"/>
  <c r="BU383" i="7"/>
  <c r="BU676" i="7"/>
  <c r="BU501" i="7"/>
  <c r="BU114" i="7"/>
  <c r="BU658" i="7"/>
  <c r="BU102" i="7"/>
  <c r="BU806" i="7"/>
  <c r="BU84" i="7"/>
  <c r="BU341" i="7"/>
  <c r="BU138" i="7"/>
  <c r="BU660" i="7"/>
  <c r="BU718" i="7"/>
  <c r="BU264" i="7"/>
  <c r="BU44" i="7"/>
  <c r="BU134" i="7"/>
  <c r="BU328" i="7"/>
  <c r="BU311" i="7"/>
  <c r="BU465" i="7"/>
  <c r="BU744" i="7"/>
  <c r="BU855" i="7"/>
  <c r="BU706" i="7"/>
  <c r="BU38" i="7"/>
  <c r="BU576" i="7"/>
  <c r="BU240" i="7"/>
  <c r="BU548" i="7"/>
  <c r="BU316" i="7"/>
  <c r="BU644" i="7"/>
  <c r="BU724" i="7"/>
  <c r="BU627" i="7"/>
  <c r="BU506" i="7"/>
  <c r="BU796" i="7"/>
  <c r="BU113" i="7"/>
  <c r="BU693" i="7"/>
  <c r="BU371" i="7"/>
  <c r="BU74" i="7"/>
  <c r="BU474" i="7"/>
  <c r="BU554" i="7"/>
  <c r="BU329" i="7"/>
  <c r="BU765" i="7"/>
  <c r="BU613" i="7"/>
  <c r="BU473" i="7"/>
  <c r="BU243" i="7"/>
  <c r="BU180" i="7"/>
  <c r="BU857" i="7"/>
  <c r="BU695" i="7"/>
  <c r="BU310" i="7"/>
  <c r="BU174" i="7"/>
  <c r="BU491" i="7"/>
  <c r="BU757" i="7"/>
  <c r="BU19" i="7"/>
  <c r="BU569" i="7"/>
  <c r="BU616" i="7"/>
  <c r="BU298" i="7"/>
  <c r="BU98" i="7"/>
  <c r="BU705" i="7"/>
  <c r="BU216" i="7"/>
  <c r="BU511" i="7"/>
  <c r="BU210" i="7"/>
  <c r="BU342" i="7"/>
  <c r="BU768" i="7"/>
  <c r="BU502" i="7"/>
  <c r="BU749" i="7"/>
  <c r="BU198" i="7"/>
  <c r="BU219" i="7"/>
  <c r="BU202" i="7"/>
  <c r="BU179" i="7"/>
  <c r="BU390" i="7"/>
  <c r="BU542" i="7"/>
  <c r="BU478" i="7"/>
  <c r="BU79" i="7"/>
  <c r="BU813" i="7"/>
  <c r="BU393" i="7"/>
  <c r="BU14" i="7"/>
  <c r="BU789" i="7"/>
  <c r="BU503" i="7"/>
  <c r="BU195" i="7"/>
  <c r="BU133" i="7"/>
  <c r="BU364" i="7"/>
  <c r="BU571" i="7"/>
  <c r="BU263" i="7"/>
  <c r="BU555" i="7"/>
  <c r="BU767" i="7"/>
  <c r="BU831" i="7"/>
  <c r="BU479" i="7"/>
  <c r="BU734" i="7"/>
  <c r="BU304" i="7"/>
  <c r="BU763" i="7"/>
  <c r="BU308" i="7"/>
  <c r="BU255" i="7"/>
  <c r="BU173" i="7"/>
  <c r="BU72" i="7"/>
  <c r="BU75" i="7"/>
  <c r="BU448" i="7"/>
  <c r="BU688" i="7"/>
  <c r="BU470" i="7"/>
  <c r="BU442" i="7"/>
  <c r="BU782" i="7"/>
  <c r="BU642" i="7"/>
  <c r="BU771" i="7"/>
  <c r="BU472" i="7"/>
  <c r="BU24" i="7"/>
  <c r="BU125" i="7"/>
  <c r="BU166" i="7"/>
  <c r="BU587" i="7"/>
  <c r="BU181" i="7"/>
  <c r="BU667" i="7"/>
  <c r="BU521" i="7"/>
  <c r="BU154" i="7"/>
  <c r="BU46" i="7"/>
  <c r="BU851" i="7"/>
  <c r="BU115" i="7"/>
  <c r="BU27" i="7"/>
  <c r="BU89" i="7"/>
  <c r="BU834" i="7"/>
  <c r="BU43" i="7"/>
  <c r="BU8" i="7"/>
  <c r="BU168" i="7"/>
  <c r="BU405" i="7"/>
  <c r="BU109" i="7"/>
  <c r="BU443" i="7"/>
  <c r="BU92" i="7"/>
  <c r="BU827" i="7"/>
  <c r="BU802" i="7"/>
  <c r="BU495" i="7"/>
  <c r="BU322" i="7"/>
  <c r="BU508" i="7"/>
  <c r="BU577" i="7"/>
  <c r="BU404" i="7"/>
  <c r="BU349" i="7"/>
  <c r="BU585" i="7"/>
  <c r="BU158" i="7"/>
  <c r="BU533" i="7"/>
  <c r="BU795" i="7"/>
  <c r="BU61" i="7"/>
  <c r="BU318" i="7"/>
  <c r="BU423" i="7"/>
  <c r="BU419" i="7"/>
  <c r="BU70" i="7"/>
  <c r="BU132" i="7"/>
  <c r="BU361" i="7"/>
  <c r="BU496" i="7"/>
  <c r="BU212" i="7"/>
  <c r="BU244" i="7"/>
  <c r="BU764" i="7"/>
  <c r="BU58" i="7"/>
  <c r="BU623" i="7"/>
  <c r="BU648" i="7"/>
  <c r="BU372" i="7"/>
  <c r="BU124" i="7"/>
  <c r="BU345" i="7"/>
  <c r="BU586" i="7"/>
  <c r="BU374" i="7"/>
  <c r="BU278" i="7"/>
  <c r="BU775" i="7"/>
  <c r="BU828" i="7"/>
  <c r="BU580" i="7"/>
  <c r="BU640" i="7"/>
  <c r="BU333" i="7"/>
  <c r="BU334" i="7"/>
  <c r="BU437" i="7"/>
  <c r="BU343" i="7"/>
  <c r="BU829" i="7"/>
  <c r="BU365" i="7"/>
  <c r="BU335" i="7"/>
  <c r="BU664" i="7"/>
  <c r="BU779" i="7"/>
  <c r="BU668" i="7"/>
  <c r="BU550" i="7"/>
  <c r="BU665" i="7"/>
  <c r="BU402" i="7"/>
  <c r="BU388" i="7"/>
  <c r="BU64" i="7"/>
  <c r="BU777" i="7"/>
  <c r="BU242" i="7"/>
  <c r="BU485" i="7"/>
  <c r="BU770" i="7"/>
  <c r="BU201" i="7"/>
  <c r="BU614" i="7"/>
  <c r="BU280" i="7"/>
  <c r="BU42" i="7"/>
  <c r="BU558" i="7"/>
  <c r="BU597" i="7"/>
  <c r="BU704" i="7"/>
  <c r="BU422" i="7"/>
  <c r="BU303" i="7"/>
  <c r="BU340" i="7"/>
  <c r="BU510" i="7"/>
  <c r="BU497" i="7"/>
  <c r="BU772" i="7"/>
  <c r="BU685" i="7"/>
  <c r="BU411" i="7"/>
  <c r="BU165" i="7"/>
  <c r="BU416" i="7"/>
  <c r="BU178" i="7"/>
  <c r="BU504" i="7"/>
  <c r="BU524" i="7"/>
  <c r="BU753" i="7"/>
  <c r="BU147" i="7"/>
  <c r="BU424" i="7"/>
  <c r="BU152" i="7"/>
  <c r="BU148" i="7"/>
  <c r="BU167" i="7"/>
  <c r="BU297" i="7"/>
  <c r="BU761" i="7"/>
  <c r="BU439" i="7"/>
  <c r="BU653" i="7"/>
  <c r="BU715" i="7"/>
  <c r="BU816" i="7"/>
  <c r="BU581" i="7"/>
  <c r="BU545" i="7"/>
  <c r="BU680" i="7"/>
  <c r="BU671" i="7"/>
  <c r="BU101" i="7"/>
  <c r="BU139" i="7"/>
  <c r="BU54" i="7"/>
  <c r="BU22" i="7"/>
  <c r="BU127" i="7"/>
  <c r="BU848" i="7"/>
  <c r="BU649" i="7"/>
  <c r="BU632" i="7"/>
  <c r="BU808" i="7"/>
  <c r="BU512" i="7"/>
  <c r="BU344" i="7"/>
  <c r="BU714" i="7"/>
  <c r="BU696" i="7"/>
  <c r="BU637" i="7"/>
  <c r="BU604" i="7"/>
  <c r="BU615" i="7"/>
  <c r="BU699" i="7"/>
  <c r="BU622" i="7"/>
  <c r="BU141" i="7"/>
  <c r="BU203" i="7"/>
  <c r="BU451" i="7"/>
  <c r="BU518" i="7"/>
  <c r="BU403" i="7"/>
  <c r="BU386" i="7"/>
  <c r="BU656" i="7"/>
  <c r="BU832" i="7"/>
  <c r="BU86" i="7"/>
  <c r="BU669" i="7"/>
  <c r="BU742" i="7"/>
  <c r="BU748" i="7"/>
  <c r="BU526" i="7"/>
  <c r="BU725" i="7"/>
  <c r="BU237" i="7"/>
  <c r="BU466" i="7"/>
  <c r="BU812" i="7"/>
  <c r="BU67" i="7"/>
  <c r="BU425" i="7"/>
  <c r="BU536" i="7"/>
  <c r="BU262" i="7"/>
  <c r="BU735" i="7"/>
  <c r="BU397" i="7"/>
  <c r="BU57" i="7"/>
  <c r="BU858" i="7"/>
  <c r="BU207" i="7"/>
  <c r="BU484" i="7"/>
  <c r="BU619" i="7"/>
  <c r="BU677" i="7"/>
  <c r="BU778" i="7"/>
  <c r="BU367" i="7"/>
  <c r="BU351" i="7"/>
  <c r="BU565" i="7"/>
  <c r="BU436" i="7"/>
  <c r="BU68" i="7"/>
  <c r="BU291" i="7"/>
  <c r="BU323" i="7"/>
  <c r="BU387" i="7"/>
  <c r="BU35" i="7"/>
  <c r="BU13" i="7"/>
  <c r="BU630" i="7"/>
  <c r="BU482" i="7"/>
  <c r="BU773" i="7"/>
  <c r="BU513" i="7"/>
  <c r="BU430" i="7"/>
  <c r="BU836" i="7"/>
  <c r="BU429" i="7"/>
  <c r="BU338" i="7"/>
  <c r="BU182" i="7"/>
  <c r="BU228" i="7"/>
  <c r="BU560" i="7"/>
  <c r="BU150" i="7"/>
  <c r="BU628" i="7"/>
  <c r="BU752" i="7"/>
  <c r="BU193" i="7"/>
  <c r="BU236" i="7"/>
  <c r="BU737" i="7"/>
  <c r="BU28" i="7"/>
  <c r="BU143" i="7"/>
  <c r="BU60" i="7"/>
  <c r="BU410" i="7"/>
  <c r="BU149" i="7"/>
  <c r="BU184" i="7"/>
  <c r="BU532" i="7"/>
  <c r="BU258" i="7"/>
  <c r="BU88" i="7"/>
  <c r="BU870" i="7"/>
  <c r="BU514" i="7"/>
  <c r="BU762" i="7"/>
  <c r="BU717" i="7"/>
  <c r="BU487" i="7"/>
  <c r="BU428" i="7"/>
  <c r="BU561" i="7"/>
  <c r="BU574" i="7"/>
  <c r="BU292" i="7"/>
  <c r="BU444" i="7"/>
  <c r="BU418" i="7"/>
  <c r="BU445" i="7"/>
  <c r="BU230" i="7"/>
  <c r="BU868" i="7"/>
  <c r="BU446" i="7"/>
  <c r="BU267" i="7"/>
  <c r="BU731" i="7"/>
  <c r="BU563" i="7"/>
  <c r="BU716" i="7"/>
  <c r="BU302" i="7"/>
  <c r="BU701" i="7"/>
  <c r="BU285" i="7"/>
  <c r="BU546" i="7"/>
  <c r="BU320" i="7"/>
  <c r="BU449" i="7"/>
  <c r="BU464" i="7"/>
  <c r="BU401" i="7"/>
  <c r="BU376" i="7"/>
  <c r="BU713" i="7"/>
  <c r="BU686" i="7"/>
  <c r="BU578" i="7"/>
  <c r="BU606" i="7"/>
  <c r="BU18" i="7"/>
  <c r="BU30" i="7"/>
  <c r="BU220" i="7"/>
  <c r="BU241" i="7"/>
  <c r="BU162" i="7"/>
  <c r="BU432" i="7"/>
  <c r="BU40" i="7"/>
  <c r="BU726" i="7"/>
  <c r="BU741" i="7"/>
  <c r="BU823" i="7"/>
  <c r="BU295" i="7"/>
  <c r="BU256" i="7"/>
  <c r="BU249" i="7"/>
  <c r="BU259" i="7"/>
  <c r="BU645" i="7"/>
  <c r="BU838" i="7"/>
  <c r="BU549" i="7"/>
  <c r="BU426" i="7"/>
  <c r="BU853" i="7"/>
  <c r="BU494" i="7"/>
  <c r="BU83" i="7"/>
  <c r="BU867" i="7"/>
  <c r="BU37" i="7"/>
  <c r="BU809" i="7"/>
  <c r="BU12" i="7"/>
  <c r="BU441" i="7"/>
  <c r="BU596" i="7"/>
  <c r="BU25" i="7"/>
  <c r="BU583" i="7"/>
  <c r="BU17" i="7"/>
  <c r="BU682" i="7"/>
  <c r="BU190" i="7"/>
  <c r="BU539" i="7"/>
  <c r="BU544" i="7"/>
  <c r="BU252" i="7"/>
  <c r="BU197" i="7"/>
  <c r="BU681" i="7"/>
  <c r="BU839" i="7"/>
  <c r="BU678" i="7"/>
  <c r="BU643" i="7"/>
  <c r="BU708" i="7"/>
  <c r="BU346" i="7"/>
  <c r="BU15" i="7"/>
  <c r="BU567" i="7"/>
  <c r="BU187" i="7"/>
  <c r="BU593" i="7"/>
  <c r="BU399" i="7"/>
  <c r="BU294" i="7"/>
  <c r="BU579" i="7"/>
  <c r="BU755" i="7"/>
  <c r="BU595" i="7"/>
  <c r="BU528" i="7"/>
  <c r="BU245" i="7"/>
  <c r="BU11" i="7"/>
  <c r="BU819" i="7"/>
  <c r="BU499" i="7"/>
  <c r="BU522" i="7"/>
  <c r="BU598" i="7"/>
  <c r="BU85" i="7"/>
  <c r="BU20" i="7"/>
  <c r="BU275" i="7"/>
  <c r="BU366" i="7"/>
  <c r="BU51" i="7"/>
  <c r="BU830" i="7"/>
  <c r="BU362" i="7"/>
  <c r="BU865" i="7"/>
  <c r="BU452" i="7"/>
  <c r="BU381" i="7"/>
  <c r="BU356" i="7"/>
  <c r="BU477" i="7"/>
  <c r="BU375" i="7"/>
  <c r="BU634" i="7"/>
  <c r="BU144" i="7"/>
  <c r="BU844" i="7"/>
  <c r="BU760" i="7"/>
  <c r="BU73" i="7"/>
  <c r="BU273" i="7"/>
  <c r="BU359" i="7"/>
  <c r="BU822" i="7"/>
  <c r="BU551" i="7"/>
  <c r="BU427" i="7"/>
  <c r="BU605" i="7"/>
  <c r="BU122" i="7"/>
  <c r="BU817" i="7"/>
  <c r="BU837" i="7"/>
  <c r="BU363" i="7"/>
  <c r="BU208" i="7"/>
  <c r="BU600" i="7"/>
  <c r="BU384" i="7"/>
  <c r="BU80" i="7"/>
  <c r="BU509" i="7"/>
  <c r="BU798" i="7"/>
  <c r="BU570" i="7"/>
  <c r="BU417" i="7"/>
  <c r="BU194" i="7"/>
  <c r="BU531" i="7"/>
  <c r="BU161" i="7"/>
  <c r="BU400" i="7"/>
  <c r="BU272" i="7"/>
  <c r="BU414" i="7"/>
  <c r="BU407" i="7"/>
  <c r="BU588" i="7"/>
  <c r="BU516" i="7"/>
  <c r="BU801" i="7"/>
  <c r="BU611" i="7"/>
  <c r="BU229" i="7"/>
  <c r="BU283" i="7"/>
  <c r="BU103" i="7"/>
  <c r="BU108" i="7"/>
  <c r="BU552" i="7"/>
  <c r="BU9" i="7"/>
  <c r="BU82" i="7"/>
  <c r="BU852" i="7"/>
  <c r="BU26" i="7"/>
  <c r="BU107" i="7"/>
  <c r="BU647" i="7"/>
  <c r="BU110" i="7"/>
  <c r="BU610" i="7"/>
  <c r="BU780" i="7"/>
  <c r="BU621" i="7"/>
  <c r="BU438" i="7"/>
  <c r="BU564" i="7"/>
  <c r="BU826" i="7"/>
  <c r="BU825" i="7"/>
  <c r="BU105" i="7"/>
  <c r="BU758" i="7"/>
  <c r="BU702" i="7"/>
  <c r="BU226" i="7"/>
  <c r="BU319" i="7"/>
  <c r="BU730" i="7"/>
  <c r="BU785" i="7"/>
  <c r="BU690" i="7"/>
  <c r="BU631" i="7"/>
  <c r="BU97" i="7"/>
  <c r="BU385" i="7"/>
  <c r="BU100" i="7"/>
  <c r="BU787" i="7"/>
  <c r="BU723" i="7"/>
  <c r="BU196" i="7"/>
  <c r="BU856" i="7"/>
  <c r="BU729" i="7"/>
  <c r="BU754" i="7"/>
  <c r="BU117" i="7"/>
  <c r="BU135" i="7"/>
  <c r="BU721" i="7"/>
  <c r="BU128" i="7"/>
  <c r="BU863" i="7"/>
  <c r="BU500" i="7"/>
  <c r="BU794" i="7"/>
  <c r="BU309" i="7"/>
  <c r="BU727" i="7"/>
  <c r="BU287" i="7"/>
  <c r="BU21" i="7"/>
  <c r="BU261" i="7"/>
  <c r="BU582" i="7"/>
  <c r="BU433" i="7"/>
  <c r="BU350" i="7"/>
  <c r="BU398" i="7"/>
  <c r="BU687" i="7"/>
  <c r="BU286" i="7"/>
  <c r="BU519" i="7"/>
  <c r="BU661" i="7"/>
  <c r="BU573" i="7"/>
  <c r="BU66" i="7"/>
  <c r="BU807" i="7"/>
  <c r="BU746" i="7"/>
  <c r="BU529" i="7"/>
  <c r="BU462" i="7"/>
  <c r="BU607" i="7"/>
  <c r="BU559" i="7"/>
  <c r="BU800" i="7"/>
  <c r="BU164" i="7"/>
  <c r="BU29" i="7"/>
  <c r="BU846" i="7"/>
  <c r="BU330" i="7"/>
  <c r="BU733" i="7"/>
  <c r="BU618" i="7"/>
  <c r="BU56" i="7"/>
  <c r="BU111" i="7"/>
  <c r="BU515" i="7"/>
  <c r="BU183" i="7"/>
  <c r="BU507" i="7"/>
  <c r="BU172" i="7"/>
  <c r="BU609" i="7"/>
  <c r="BU129" i="7"/>
  <c r="BU673" i="7"/>
  <c r="BU277" i="7"/>
  <c r="BU160" i="7"/>
  <c r="BU250" i="7"/>
  <c r="BU747" i="7"/>
  <c r="BU824" i="7"/>
  <c r="BU525" i="7"/>
  <c r="BU136" i="7"/>
  <c r="BU629" i="7"/>
  <c r="BU284" i="7"/>
  <c r="BU703" i="7"/>
  <c r="BU435" i="7"/>
  <c r="BU191" i="7"/>
  <c r="BU169" i="7"/>
  <c r="BU32" i="7"/>
  <c r="BU833" i="7"/>
  <c r="BU805" i="7"/>
  <c r="BU389" i="7"/>
  <c r="BU847" i="7"/>
  <c r="BU575" i="7"/>
  <c r="BU814" i="7"/>
  <c r="BU313" i="7"/>
  <c r="BU151" i="7"/>
  <c r="BU707" i="7"/>
  <c r="BU710" i="7"/>
  <c r="BU672" i="7"/>
  <c r="BU759" i="7"/>
  <c r="BU90" i="7"/>
  <c r="BU791" i="7"/>
  <c r="BU268" i="7"/>
  <c r="BU670" i="7"/>
  <c r="BU331" i="7"/>
  <c r="BU312" i="7"/>
  <c r="BU523" i="7"/>
  <c r="BU159" i="7"/>
  <c r="BU790" i="7"/>
  <c r="BU222" i="7"/>
  <c r="BU440" i="7"/>
  <c r="BU409" i="7"/>
  <c r="BU461" i="7"/>
  <c r="BU820" i="7"/>
  <c r="BU213" i="7"/>
  <c r="BU205" i="7"/>
  <c r="BU306" i="7"/>
  <c r="BU454" i="7"/>
  <c r="BU354" i="7"/>
  <c r="BU719" i="7"/>
  <c r="BU541" i="7"/>
  <c r="BU864" i="7"/>
  <c r="BU81" i="7"/>
  <c r="BU652" i="7"/>
  <c r="BU722" i="7"/>
  <c r="BU233" i="7"/>
  <c r="BU469" i="7"/>
  <c r="BU679" i="7"/>
  <c r="BU457" i="7"/>
  <c r="BU76" i="7"/>
  <c r="BU118" i="7"/>
  <c r="BU53" i="7"/>
  <c r="BU45" i="7"/>
  <c r="BU137" i="7"/>
  <c r="BU200" i="7"/>
  <c r="BU325" i="7"/>
  <c r="BU774" i="7"/>
  <c r="BU657" i="7"/>
  <c r="BU279" i="7"/>
  <c r="BU756" i="7"/>
  <c r="BQ289" i="7"/>
  <c r="BQ225" i="7"/>
  <c r="BQ377" i="7"/>
  <c r="BQ140" i="7"/>
  <c r="BQ415" i="7"/>
  <c r="BQ459" i="7"/>
  <c r="BQ332" i="7"/>
  <c r="BQ584" i="7"/>
  <c r="BQ568" i="7"/>
  <c r="BQ799" i="7"/>
  <c r="BQ540" i="7"/>
  <c r="BQ370" i="7"/>
  <c r="BQ740" i="7"/>
  <c r="BQ784" i="7"/>
  <c r="BQ209" i="7"/>
  <c r="BQ380" i="7"/>
  <c r="BQ293" i="7"/>
  <c r="BQ663" i="7"/>
  <c r="BQ547" i="7"/>
  <c r="BQ635" i="7"/>
  <c r="BQ736" i="7"/>
  <c r="BQ666" i="7"/>
  <c r="BQ698" i="7"/>
  <c r="BQ186" i="7"/>
  <c r="BQ87" i="7"/>
  <c r="BQ854" i="7"/>
  <c r="BQ282" i="7"/>
  <c r="BQ369" i="7"/>
  <c r="BQ843" i="7"/>
  <c r="BQ34" i="7"/>
  <c r="BQ290" i="7"/>
  <c r="BQ527" i="7"/>
  <c r="BQ146" i="7"/>
  <c r="BQ602" i="7"/>
  <c r="BQ592" i="7"/>
  <c r="BQ601" i="7"/>
  <c r="BQ434" i="7"/>
  <c r="BQ391" i="7"/>
  <c r="BQ383" i="7"/>
  <c r="BQ676" i="7"/>
  <c r="BQ501" i="7"/>
  <c r="BQ114" i="7"/>
  <c r="BQ658" i="7"/>
  <c r="BQ102" i="7"/>
  <c r="BQ806" i="7"/>
  <c r="BQ84" i="7"/>
  <c r="BQ341" i="7"/>
  <c r="BQ138" i="7"/>
  <c r="BQ660" i="7"/>
  <c r="BQ718" i="7"/>
  <c r="BQ264" i="7"/>
  <c r="BQ44" i="7"/>
  <c r="BQ134" i="7"/>
  <c r="BQ328" i="7"/>
  <c r="BQ311" i="7"/>
  <c r="BQ465" i="7"/>
  <c r="BQ744" i="7"/>
  <c r="BQ855" i="7"/>
  <c r="BQ706" i="7"/>
  <c r="BQ38" i="7"/>
  <c r="BQ576" i="7"/>
  <c r="BQ240" i="7"/>
  <c r="BQ548" i="7"/>
  <c r="BQ316" i="7"/>
  <c r="BQ644" i="7"/>
  <c r="BQ724" i="7"/>
  <c r="BQ627" i="7"/>
  <c r="BQ506" i="7"/>
  <c r="BQ796" i="7"/>
  <c r="BQ113" i="7"/>
  <c r="BQ693" i="7"/>
  <c r="BQ371" i="7"/>
  <c r="BQ74" i="7"/>
  <c r="BQ474" i="7"/>
  <c r="BQ554" i="7"/>
  <c r="BQ329" i="7"/>
  <c r="BQ765" i="7"/>
  <c r="BQ613" i="7"/>
  <c r="BQ473" i="7"/>
  <c r="BQ243" i="7"/>
  <c r="BQ180" i="7"/>
  <c r="BQ857" i="7"/>
  <c r="BQ695" i="7"/>
  <c r="BQ310" i="7"/>
  <c r="BQ174" i="7"/>
  <c r="BQ491" i="7"/>
  <c r="BQ757" i="7"/>
  <c r="BQ19" i="7"/>
  <c r="BQ569" i="7"/>
  <c r="BQ616" i="7"/>
  <c r="BQ298" i="7"/>
  <c r="BQ98" i="7"/>
  <c r="BQ705" i="7"/>
  <c r="BQ216" i="7"/>
  <c r="BQ511" i="7"/>
  <c r="BQ210" i="7"/>
  <c r="BQ342" i="7"/>
  <c r="BQ768" i="7"/>
  <c r="BQ502" i="7"/>
  <c r="BQ749" i="7"/>
  <c r="BQ198" i="7"/>
  <c r="BQ219" i="7"/>
  <c r="BQ202" i="7"/>
  <c r="BQ179" i="7"/>
  <c r="BQ390" i="7"/>
  <c r="BQ542" i="7"/>
  <c r="BQ478" i="7"/>
  <c r="BQ79" i="7"/>
  <c r="BQ813" i="7"/>
  <c r="BQ393" i="7"/>
  <c r="BQ14" i="7"/>
  <c r="BQ789" i="7"/>
  <c r="BQ503" i="7"/>
  <c r="BQ195" i="7"/>
  <c r="BQ133" i="7"/>
  <c r="BQ364" i="7"/>
  <c r="BQ571" i="7"/>
  <c r="BQ263" i="7"/>
  <c r="BQ555" i="7"/>
  <c r="BQ767" i="7"/>
  <c r="BQ831" i="7"/>
  <c r="BQ479" i="7"/>
  <c r="BQ734" i="7"/>
  <c r="BQ304" i="7"/>
  <c r="BQ763" i="7"/>
  <c r="BQ308" i="7"/>
  <c r="BQ255" i="7"/>
  <c r="BQ173" i="7"/>
  <c r="BQ72" i="7"/>
  <c r="BQ75" i="7"/>
  <c r="BQ448" i="7"/>
  <c r="BQ688" i="7"/>
  <c r="BQ470" i="7"/>
  <c r="BQ442" i="7"/>
  <c r="BQ782" i="7"/>
  <c r="BQ642" i="7"/>
  <c r="BQ771" i="7"/>
  <c r="BQ472" i="7"/>
  <c r="BQ24" i="7"/>
  <c r="BQ125" i="7"/>
  <c r="BQ166" i="7"/>
  <c r="BQ587" i="7"/>
  <c r="BQ181" i="7"/>
  <c r="BQ667" i="7"/>
  <c r="BQ521" i="7"/>
  <c r="BQ154" i="7"/>
  <c r="BQ46" i="7"/>
  <c r="BQ851" i="7"/>
  <c r="BQ115" i="7"/>
  <c r="BQ27" i="7"/>
  <c r="BQ89" i="7"/>
  <c r="BQ834" i="7"/>
  <c r="BQ43" i="7"/>
  <c r="BQ8" i="7"/>
  <c r="BQ168" i="7"/>
  <c r="BQ405" i="7"/>
  <c r="BQ109" i="7"/>
  <c r="BQ443" i="7"/>
  <c r="BQ92" i="7"/>
  <c r="BQ827" i="7"/>
  <c r="BQ802" i="7"/>
  <c r="BQ495" i="7"/>
  <c r="BQ322" i="7"/>
  <c r="BQ508" i="7"/>
  <c r="BQ577" i="7"/>
  <c r="BQ404" i="7"/>
  <c r="BQ349" i="7"/>
  <c r="BQ585" i="7"/>
  <c r="BQ158" i="7"/>
  <c r="BQ533" i="7"/>
  <c r="BQ795" i="7"/>
  <c r="BQ61" i="7"/>
  <c r="BQ318" i="7"/>
  <c r="BQ423" i="7"/>
  <c r="BQ419" i="7"/>
  <c r="BQ70" i="7"/>
  <c r="BQ132" i="7"/>
  <c r="BQ361" i="7"/>
  <c r="BQ496" i="7"/>
  <c r="BQ212" i="7"/>
  <c r="BQ244" i="7"/>
  <c r="BQ764" i="7"/>
  <c r="BQ58" i="7"/>
  <c r="BQ623" i="7"/>
  <c r="BQ648" i="7"/>
  <c r="BQ372" i="7"/>
  <c r="BQ124" i="7"/>
  <c r="BQ345" i="7"/>
  <c r="BQ586" i="7"/>
  <c r="BQ374" i="7"/>
  <c r="BQ278" i="7"/>
  <c r="BQ775" i="7"/>
  <c r="BQ828" i="7"/>
  <c r="BQ580" i="7"/>
  <c r="BQ640" i="7"/>
  <c r="BQ333" i="7"/>
  <c r="BQ334" i="7"/>
  <c r="BQ437" i="7"/>
  <c r="BQ343" i="7"/>
  <c r="BQ829" i="7"/>
  <c r="BQ365" i="7"/>
  <c r="BQ335" i="7"/>
  <c r="BQ664" i="7"/>
  <c r="BQ779" i="7"/>
  <c r="BQ668" i="7"/>
  <c r="BQ550" i="7"/>
  <c r="BQ665" i="7"/>
  <c r="BQ402" i="7"/>
  <c r="BQ388" i="7"/>
  <c r="BQ64" i="7"/>
  <c r="BQ777" i="7"/>
  <c r="BQ242" i="7"/>
  <c r="BQ485" i="7"/>
  <c r="BQ770" i="7"/>
  <c r="BQ201" i="7"/>
  <c r="BQ614" i="7"/>
  <c r="BQ280" i="7"/>
  <c r="BQ42" i="7"/>
  <c r="BQ558" i="7"/>
  <c r="BQ597" i="7"/>
  <c r="BQ704" i="7"/>
  <c r="BQ422" i="7"/>
  <c r="BQ303" i="7"/>
  <c r="BQ340" i="7"/>
  <c r="BQ510" i="7"/>
  <c r="BQ497" i="7"/>
  <c r="BQ772" i="7"/>
  <c r="BQ685" i="7"/>
  <c r="BQ411" i="7"/>
  <c r="BQ165" i="7"/>
  <c r="BQ416" i="7"/>
  <c r="BQ178" i="7"/>
  <c r="BQ504" i="7"/>
  <c r="BQ524" i="7"/>
  <c r="BQ753" i="7"/>
  <c r="BQ147" i="7"/>
  <c r="BQ424" i="7"/>
  <c r="BQ152" i="7"/>
  <c r="BQ148" i="7"/>
  <c r="BQ167" i="7"/>
  <c r="BQ297" i="7"/>
  <c r="BQ761" i="7"/>
  <c r="BQ439" i="7"/>
  <c r="BQ653" i="7"/>
  <c r="BQ715" i="7"/>
  <c r="BQ816" i="7"/>
  <c r="BQ581" i="7"/>
  <c r="BQ545" i="7"/>
  <c r="BQ680" i="7"/>
  <c r="BQ671" i="7"/>
  <c r="BQ101" i="7"/>
  <c r="BQ139" i="7"/>
  <c r="BQ54" i="7"/>
  <c r="BQ22" i="7"/>
  <c r="BQ127" i="7"/>
  <c r="BQ848" i="7"/>
  <c r="BQ649" i="7"/>
  <c r="BQ632" i="7"/>
  <c r="BQ808" i="7"/>
  <c r="BQ512" i="7"/>
  <c r="BQ344" i="7"/>
  <c r="BQ714" i="7"/>
  <c r="BQ696" i="7"/>
  <c r="BQ637" i="7"/>
  <c r="BQ604" i="7"/>
  <c r="BQ615" i="7"/>
  <c r="BQ699" i="7"/>
  <c r="BQ622" i="7"/>
  <c r="BQ141" i="7"/>
  <c r="BQ203" i="7"/>
  <c r="BQ451" i="7"/>
  <c r="BQ518" i="7"/>
  <c r="BQ403" i="7"/>
  <c r="BQ386" i="7"/>
  <c r="BQ656" i="7"/>
  <c r="BQ832" i="7"/>
  <c r="BQ86" i="7"/>
  <c r="BQ669" i="7"/>
  <c r="BQ742" i="7"/>
  <c r="BQ748" i="7"/>
  <c r="BQ526" i="7"/>
  <c r="BQ725" i="7"/>
  <c r="BQ237" i="7"/>
  <c r="BQ466" i="7"/>
  <c r="BQ812" i="7"/>
  <c r="BQ67" i="7"/>
  <c r="BQ425" i="7"/>
  <c r="BQ536" i="7"/>
  <c r="BQ262" i="7"/>
  <c r="BQ735" i="7"/>
  <c r="BQ397" i="7"/>
  <c r="BQ57" i="7"/>
  <c r="BQ858" i="7"/>
  <c r="BQ207" i="7"/>
  <c r="BQ484" i="7"/>
  <c r="BQ619" i="7"/>
  <c r="BQ677" i="7"/>
  <c r="BQ778" i="7"/>
  <c r="BQ367" i="7"/>
  <c r="BQ351" i="7"/>
  <c r="BQ565" i="7"/>
  <c r="BQ436" i="7"/>
  <c r="BQ68" i="7"/>
  <c r="BQ291" i="7"/>
  <c r="BQ323" i="7"/>
  <c r="BQ387" i="7"/>
  <c r="BQ35" i="7"/>
  <c r="BQ13" i="7"/>
  <c r="BQ630" i="7"/>
  <c r="BQ482" i="7"/>
  <c r="BQ773" i="7"/>
  <c r="BQ513" i="7"/>
  <c r="BQ430" i="7"/>
  <c r="BQ836" i="7"/>
  <c r="BQ429" i="7"/>
  <c r="BQ338" i="7"/>
  <c r="BQ182" i="7"/>
  <c r="BQ228" i="7"/>
  <c r="BQ560" i="7"/>
  <c r="BQ150" i="7"/>
  <c r="BQ628" i="7"/>
  <c r="BQ752" i="7"/>
  <c r="BQ193" i="7"/>
  <c r="BQ236" i="7"/>
  <c r="BQ737" i="7"/>
  <c r="BQ28" i="7"/>
  <c r="BQ143" i="7"/>
  <c r="BQ60" i="7"/>
  <c r="BQ410" i="7"/>
  <c r="BQ149" i="7"/>
  <c r="BQ184" i="7"/>
  <c r="BQ532" i="7"/>
  <c r="BQ258" i="7"/>
  <c r="BQ88" i="7"/>
  <c r="BQ870" i="7"/>
  <c r="BQ514" i="7"/>
  <c r="BQ762" i="7"/>
  <c r="BQ717" i="7"/>
  <c r="BQ487" i="7"/>
  <c r="BQ428" i="7"/>
  <c r="BQ561" i="7"/>
  <c r="BQ574" i="7"/>
  <c r="BQ292" i="7"/>
  <c r="BQ444" i="7"/>
  <c r="BQ418" i="7"/>
  <c r="BQ445" i="7"/>
  <c r="BQ230" i="7"/>
  <c r="BQ868" i="7"/>
  <c r="BQ446" i="7"/>
  <c r="BQ267" i="7"/>
  <c r="BQ731" i="7"/>
  <c r="BQ563" i="7"/>
  <c r="BQ716" i="7"/>
  <c r="BQ302" i="7"/>
  <c r="BQ701" i="7"/>
  <c r="BQ285" i="7"/>
  <c r="BQ546" i="7"/>
  <c r="BQ320" i="7"/>
  <c r="BQ449" i="7"/>
  <c r="BQ464" i="7"/>
  <c r="BQ401" i="7"/>
  <c r="BQ376" i="7"/>
  <c r="BQ713" i="7"/>
  <c r="BQ686" i="7"/>
  <c r="BQ578" i="7"/>
  <c r="BQ606" i="7"/>
  <c r="BQ18" i="7"/>
  <c r="BQ30" i="7"/>
  <c r="BQ220" i="7"/>
  <c r="BQ241" i="7"/>
  <c r="BQ162" i="7"/>
  <c r="BQ432" i="7"/>
  <c r="BQ40" i="7"/>
  <c r="BQ726" i="7"/>
  <c r="BQ741" i="7"/>
  <c r="BQ823" i="7"/>
  <c r="BQ295" i="7"/>
  <c r="BQ256" i="7"/>
  <c r="BQ249" i="7"/>
  <c r="BQ259" i="7"/>
  <c r="BQ645" i="7"/>
  <c r="BQ838" i="7"/>
  <c r="BQ549" i="7"/>
  <c r="BQ426" i="7"/>
  <c r="BQ853" i="7"/>
  <c r="BQ494" i="7"/>
  <c r="BQ83" i="7"/>
  <c r="BQ867" i="7"/>
  <c r="BQ37" i="7"/>
  <c r="BQ809" i="7"/>
  <c r="BQ12" i="7"/>
  <c r="BQ441" i="7"/>
  <c r="BQ596" i="7"/>
  <c r="BQ25" i="7"/>
  <c r="BQ583" i="7"/>
  <c r="BQ17" i="7"/>
  <c r="BQ682" i="7"/>
  <c r="BQ190" i="7"/>
  <c r="BQ539" i="7"/>
  <c r="BQ544" i="7"/>
  <c r="BQ252" i="7"/>
  <c r="BQ197" i="7"/>
  <c r="BQ681" i="7"/>
  <c r="BQ839" i="7"/>
  <c r="BQ678" i="7"/>
  <c r="BQ643" i="7"/>
  <c r="BQ708" i="7"/>
  <c r="BQ346" i="7"/>
  <c r="BQ15" i="7"/>
  <c r="BQ567" i="7"/>
  <c r="BQ187" i="7"/>
  <c r="BQ593" i="7"/>
  <c r="BQ399" i="7"/>
  <c r="BQ294" i="7"/>
  <c r="BQ579" i="7"/>
  <c r="BQ755" i="7"/>
  <c r="BQ595" i="7"/>
  <c r="BQ528" i="7"/>
  <c r="BQ245" i="7"/>
  <c r="BQ11" i="7"/>
  <c r="BQ819" i="7"/>
  <c r="BQ499" i="7"/>
  <c r="BQ522" i="7"/>
  <c r="BQ598" i="7"/>
  <c r="BQ85" i="7"/>
  <c r="BQ20" i="7"/>
  <c r="BQ275" i="7"/>
  <c r="BQ366" i="7"/>
  <c r="BQ51" i="7"/>
  <c r="BQ830" i="7"/>
  <c r="BQ362" i="7"/>
  <c r="BQ865" i="7"/>
  <c r="BQ452" i="7"/>
  <c r="BQ381" i="7"/>
  <c r="BQ356" i="7"/>
  <c r="BQ477" i="7"/>
  <c r="BQ375" i="7"/>
  <c r="BQ634" i="7"/>
  <c r="BQ144" i="7"/>
  <c r="BQ844" i="7"/>
  <c r="BQ760" i="7"/>
  <c r="BQ73" i="7"/>
  <c r="BQ273" i="7"/>
  <c r="BQ359" i="7"/>
  <c r="BQ822" i="7"/>
  <c r="BQ551" i="7"/>
  <c r="BQ427" i="7"/>
  <c r="BQ605" i="7"/>
  <c r="BQ122" i="7"/>
  <c r="BQ817" i="7"/>
  <c r="BQ837" i="7"/>
  <c r="BQ363" i="7"/>
  <c r="BQ208" i="7"/>
  <c r="BQ600" i="7"/>
  <c r="BQ384" i="7"/>
  <c r="BQ80" i="7"/>
  <c r="BQ509" i="7"/>
  <c r="BQ798" i="7"/>
  <c r="BQ570" i="7"/>
  <c r="BQ417" i="7"/>
  <c r="BQ194" i="7"/>
  <c r="BQ531" i="7"/>
  <c r="BQ161" i="7"/>
  <c r="BQ400" i="7"/>
  <c r="BQ272" i="7"/>
  <c r="BQ414" i="7"/>
  <c r="BQ407" i="7"/>
  <c r="BQ588" i="7"/>
  <c r="BQ516" i="7"/>
  <c r="BQ801" i="7"/>
  <c r="BQ611" i="7"/>
  <c r="BQ229" i="7"/>
  <c r="BQ283" i="7"/>
  <c r="BQ103" i="7"/>
  <c r="BQ108" i="7"/>
  <c r="BQ552" i="7"/>
  <c r="BQ9" i="7"/>
  <c r="BQ82" i="7"/>
  <c r="BQ852" i="7"/>
  <c r="BQ26" i="7"/>
  <c r="BQ107" i="7"/>
  <c r="BQ647" i="7"/>
  <c r="BQ110" i="7"/>
  <c r="BQ610" i="7"/>
  <c r="BQ780" i="7"/>
  <c r="BQ621" i="7"/>
  <c r="BQ438" i="7"/>
  <c r="BQ564" i="7"/>
  <c r="BQ826" i="7"/>
  <c r="BQ825" i="7"/>
  <c r="BQ105" i="7"/>
  <c r="BQ758" i="7"/>
  <c r="BQ702" i="7"/>
  <c r="BQ226" i="7"/>
  <c r="BQ319" i="7"/>
  <c r="BQ730" i="7"/>
  <c r="BQ785" i="7"/>
  <c r="BQ690" i="7"/>
  <c r="BQ631" i="7"/>
  <c r="BQ97" i="7"/>
  <c r="BQ385" i="7"/>
  <c r="BQ100" i="7"/>
  <c r="BQ787" i="7"/>
  <c r="BQ723" i="7"/>
  <c r="BQ196" i="7"/>
  <c r="BQ856" i="7"/>
  <c r="BQ729" i="7"/>
  <c r="BQ754" i="7"/>
  <c r="BQ117" i="7"/>
  <c r="BQ135" i="7"/>
  <c r="BQ721" i="7"/>
  <c r="BQ128" i="7"/>
  <c r="BQ863" i="7"/>
  <c r="BQ500" i="7"/>
  <c r="BQ794" i="7"/>
  <c r="BQ309" i="7"/>
  <c r="BQ727" i="7"/>
  <c r="BQ287" i="7"/>
  <c r="BQ21" i="7"/>
  <c r="BQ261" i="7"/>
  <c r="BQ582" i="7"/>
  <c r="BQ433" i="7"/>
  <c r="BQ350" i="7"/>
  <c r="BQ398" i="7"/>
  <c r="BQ687" i="7"/>
  <c r="BQ286" i="7"/>
  <c r="BQ519" i="7"/>
  <c r="BQ661" i="7"/>
  <c r="BQ573" i="7"/>
  <c r="BQ66" i="7"/>
  <c r="BQ807" i="7"/>
  <c r="BQ746" i="7"/>
  <c r="BQ529" i="7"/>
  <c r="BQ462" i="7"/>
  <c r="BQ607" i="7"/>
  <c r="BQ559" i="7"/>
  <c r="BQ800" i="7"/>
  <c r="BQ164" i="7"/>
  <c r="BQ29" i="7"/>
  <c r="BQ846" i="7"/>
  <c r="BQ330" i="7"/>
  <c r="BQ733" i="7"/>
  <c r="BQ618" i="7"/>
  <c r="BQ56" i="7"/>
  <c r="BQ111" i="7"/>
  <c r="BQ515" i="7"/>
  <c r="BQ183" i="7"/>
  <c r="BQ507" i="7"/>
  <c r="BQ172" i="7"/>
  <c r="BQ609" i="7"/>
  <c r="BQ129" i="7"/>
  <c r="BQ673" i="7"/>
  <c r="BQ277" i="7"/>
  <c r="BQ160" i="7"/>
  <c r="BQ250" i="7"/>
  <c r="BQ747" i="7"/>
  <c r="BQ824" i="7"/>
  <c r="BQ525" i="7"/>
  <c r="BQ136" i="7"/>
  <c r="BQ629" i="7"/>
  <c r="BQ284" i="7"/>
  <c r="BQ703" i="7"/>
  <c r="BQ435" i="7"/>
  <c r="BQ191" i="7"/>
  <c r="BQ169" i="7"/>
  <c r="BQ32" i="7"/>
  <c r="BQ833" i="7"/>
  <c r="BQ805" i="7"/>
  <c r="BQ389" i="7"/>
  <c r="BQ847" i="7"/>
  <c r="BQ575" i="7"/>
  <c r="BQ814" i="7"/>
  <c r="BQ313" i="7"/>
  <c r="BQ151" i="7"/>
  <c r="BQ707" i="7"/>
  <c r="BQ710" i="7"/>
  <c r="BQ672" i="7"/>
  <c r="BQ759" i="7"/>
  <c r="BQ90" i="7"/>
  <c r="BQ791" i="7"/>
  <c r="BQ268" i="7"/>
  <c r="BQ670" i="7"/>
  <c r="BQ331" i="7"/>
  <c r="BQ312" i="7"/>
  <c r="BQ523" i="7"/>
  <c r="BQ159" i="7"/>
  <c r="BQ790" i="7"/>
  <c r="BQ222" i="7"/>
  <c r="BQ440" i="7"/>
  <c r="BQ409" i="7"/>
  <c r="BQ461" i="7"/>
  <c r="BQ820" i="7"/>
  <c r="BQ213" i="7"/>
  <c r="BQ205" i="7"/>
  <c r="BQ306" i="7"/>
  <c r="BQ454" i="7"/>
  <c r="BQ354" i="7"/>
  <c r="BQ719" i="7"/>
  <c r="BQ541" i="7"/>
  <c r="BQ864" i="7"/>
  <c r="BQ81" i="7"/>
  <c r="BQ652" i="7"/>
  <c r="BQ722" i="7"/>
  <c r="BQ233" i="7"/>
  <c r="BQ469" i="7"/>
  <c r="BQ679" i="7"/>
  <c r="BQ457" i="7"/>
  <c r="BQ76" i="7"/>
  <c r="BQ118" i="7"/>
  <c r="BQ53" i="7"/>
  <c r="BQ45" i="7"/>
  <c r="BQ137" i="7"/>
  <c r="BQ200" i="7"/>
  <c r="BQ325" i="7"/>
  <c r="BQ774" i="7"/>
  <c r="BQ657" i="7"/>
  <c r="BQ279" i="7"/>
  <c r="BQ756" i="7"/>
  <c r="BK289" i="7"/>
  <c r="BK225" i="7"/>
  <c r="BK377" i="7"/>
  <c r="BK140" i="7"/>
  <c r="BK415" i="7"/>
  <c r="BK459" i="7"/>
  <c r="BK332" i="7"/>
  <c r="BK584" i="7"/>
  <c r="BK568" i="7"/>
  <c r="BK799" i="7"/>
  <c r="BK540" i="7"/>
  <c r="BK370" i="7"/>
  <c r="BK740" i="7"/>
  <c r="BK784" i="7"/>
  <c r="BK209" i="7"/>
  <c r="BK380" i="7"/>
  <c r="BK293" i="7"/>
  <c r="BK663" i="7"/>
  <c r="BK547" i="7"/>
  <c r="BK635" i="7"/>
  <c r="BK736" i="7"/>
  <c r="BK666" i="7"/>
  <c r="BK698" i="7"/>
  <c r="BK186" i="7"/>
  <c r="BK87" i="7"/>
  <c r="BK854" i="7"/>
  <c r="BK282" i="7"/>
  <c r="BK369" i="7"/>
  <c r="BK843" i="7"/>
  <c r="BK34" i="7"/>
  <c r="BK290" i="7"/>
  <c r="BK527" i="7"/>
  <c r="BK146" i="7"/>
  <c r="BK602" i="7"/>
  <c r="BK592" i="7"/>
  <c r="BK601" i="7"/>
  <c r="BK434" i="7"/>
  <c r="BK391" i="7"/>
  <c r="BK383" i="7"/>
  <c r="BK676" i="7"/>
  <c r="BK501" i="7"/>
  <c r="BK114" i="7"/>
  <c r="BK658" i="7"/>
  <c r="BK102" i="7"/>
  <c r="BK806" i="7"/>
  <c r="BK84" i="7"/>
  <c r="BK341" i="7"/>
  <c r="BK138" i="7"/>
  <c r="BK660" i="7"/>
  <c r="BK718" i="7"/>
  <c r="BK264" i="7"/>
  <c r="BK44" i="7"/>
  <c r="BK134" i="7"/>
  <c r="BK328" i="7"/>
  <c r="BK311" i="7"/>
  <c r="BK465" i="7"/>
  <c r="BK744" i="7"/>
  <c r="BK855" i="7"/>
  <c r="BK706" i="7"/>
  <c r="BK38" i="7"/>
  <c r="BK576" i="7"/>
  <c r="BK240" i="7"/>
  <c r="BK548" i="7"/>
  <c r="BK316" i="7"/>
  <c r="BK644" i="7"/>
  <c r="BK724" i="7"/>
  <c r="BK627" i="7"/>
  <c r="BK506" i="7"/>
  <c r="BK796" i="7"/>
  <c r="BK113" i="7"/>
  <c r="BK693" i="7"/>
  <c r="BK371" i="7"/>
  <c r="BK74" i="7"/>
  <c r="BK474" i="7"/>
  <c r="BK554" i="7"/>
  <c r="BK329" i="7"/>
  <c r="BK765" i="7"/>
  <c r="BK613" i="7"/>
  <c r="BK473" i="7"/>
  <c r="BK243" i="7"/>
  <c r="BK180" i="7"/>
  <c r="BK857" i="7"/>
  <c r="BK695" i="7"/>
  <c r="BK310" i="7"/>
  <c r="BK174" i="7"/>
  <c r="BK491" i="7"/>
  <c r="BK757" i="7"/>
  <c r="BK19" i="7"/>
  <c r="BK569" i="7"/>
  <c r="BK616" i="7"/>
  <c r="BK298" i="7"/>
  <c r="BK98" i="7"/>
  <c r="BK705" i="7"/>
  <c r="BK216" i="7"/>
  <c r="BK511" i="7"/>
  <c r="BK210" i="7"/>
  <c r="BK342" i="7"/>
  <c r="BK768" i="7"/>
  <c r="BK502" i="7"/>
  <c r="BK749" i="7"/>
  <c r="BK198" i="7"/>
  <c r="BK219" i="7"/>
  <c r="BK202" i="7"/>
  <c r="BK179" i="7"/>
  <c r="BK390" i="7"/>
  <c r="BK542" i="7"/>
  <c r="BK478" i="7"/>
  <c r="BK79" i="7"/>
  <c r="BK813" i="7"/>
  <c r="BK393" i="7"/>
  <c r="BK14" i="7"/>
  <c r="BK789" i="7"/>
  <c r="BK503" i="7"/>
  <c r="BK195" i="7"/>
  <c r="BK133" i="7"/>
  <c r="BK364" i="7"/>
  <c r="BK571" i="7"/>
  <c r="BK263" i="7"/>
  <c r="BK555" i="7"/>
  <c r="BK767" i="7"/>
  <c r="BK831" i="7"/>
  <c r="BK479" i="7"/>
  <c r="BK734" i="7"/>
  <c r="BK304" i="7"/>
  <c r="BK763" i="7"/>
  <c r="BK308" i="7"/>
  <c r="BK255" i="7"/>
  <c r="BK173" i="7"/>
  <c r="BK72" i="7"/>
  <c r="BK75" i="7"/>
  <c r="BK448" i="7"/>
  <c r="BK688" i="7"/>
  <c r="BK470" i="7"/>
  <c r="BK442" i="7"/>
  <c r="BK782" i="7"/>
  <c r="BK642" i="7"/>
  <c r="BK771" i="7"/>
  <c r="BK472" i="7"/>
  <c r="BK24" i="7"/>
  <c r="BK125" i="7"/>
  <c r="BK166" i="7"/>
  <c r="BK587" i="7"/>
  <c r="BK181" i="7"/>
  <c r="BK667" i="7"/>
  <c r="BK521" i="7"/>
  <c r="BK154" i="7"/>
  <c r="BK46" i="7"/>
  <c r="BK851" i="7"/>
  <c r="BK115" i="7"/>
  <c r="BK27" i="7"/>
  <c r="BK89" i="7"/>
  <c r="BK834" i="7"/>
  <c r="BK43" i="7"/>
  <c r="BK8" i="7"/>
  <c r="BK168" i="7"/>
  <c r="BK405" i="7"/>
  <c r="BK109" i="7"/>
  <c r="BK443" i="7"/>
  <c r="BK92" i="7"/>
  <c r="BK827" i="7"/>
  <c r="BK802" i="7"/>
  <c r="BK495" i="7"/>
  <c r="BK322" i="7"/>
  <c r="BK508" i="7"/>
  <c r="BK577" i="7"/>
  <c r="BK404" i="7"/>
  <c r="BK349" i="7"/>
  <c r="BK585" i="7"/>
  <c r="BK158" i="7"/>
  <c r="BK533" i="7"/>
  <c r="BK795" i="7"/>
  <c r="BK61" i="7"/>
  <c r="BK318" i="7"/>
  <c r="BK423" i="7"/>
  <c r="BK419" i="7"/>
  <c r="BK70" i="7"/>
  <c r="BK132" i="7"/>
  <c r="BK361" i="7"/>
  <c r="BK496" i="7"/>
  <c r="BK212" i="7"/>
  <c r="BK244" i="7"/>
  <c r="BK764" i="7"/>
  <c r="BK58" i="7"/>
  <c r="BK623" i="7"/>
  <c r="BK648" i="7"/>
  <c r="BK372" i="7"/>
  <c r="BK124" i="7"/>
  <c r="BK345" i="7"/>
  <c r="BK586" i="7"/>
  <c r="BK374" i="7"/>
  <c r="BK278" i="7"/>
  <c r="BK775" i="7"/>
  <c r="BK828" i="7"/>
  <c r="BK580" i="7"/>
  <c r="BK640" i="7"/>
  <c r="BK333" i="7"/>
  <c r="BK334" i="7"/>
  <c r="BK437" i="7"/>
  <c r="BK343" i="7"/>
  <c r="BK829" i="7"/>
  <c r="BK365" i="7"/>
  <c r="BK335" i="7"/>
  <c r="BK664" i="7"/>
  <c r="BK779" i="7"/>
  <c r="BK668" i="7"/>
  <c r="BK550" i="7"/>
  <c r="BK665" i="7"/>
  <c r="BK402" i="7"/>
  <c r="BK388" i="7"/>
  <c r="BK64" i="7"/>
  <c r="BK777" i="7"/>
  <c r="BK242" i="7"/>
  <c r="BK485" i="7"/>
  <c r="BK770" i="7"/>
  <c r="BK201" i="7"/>
  <c r="BK614" i="7"/>
  <c r="BK280" i="7"/>
  <c r="BK42" i="7"/>
  <c r="BK558" i="7"/>
  <c r="BK597" i="7"/>
  <c r="BK704" i="7"/>
  <c r="BK422" i="7"/>
  <c r="BK303" i="7"/>
  <c r="BK340" i="7"/>
  <c r="BK510" i="7"/>
  <c r="BK497" i="7"/>
  <c r="BK772" i="7"/>
  <c r="BK685" i="7"/>
  <c r="BK411" i="7"/>
  <c r="BK165" i="7"/>
  <c r="BK416" i="7"/>
  <c r="BK178" i="7"/>
  <c r="BK504" i="7"/>
  <c r="BK524" i="7"/>
  <c r="BK753" i="7"/>
  <c r="BK147" i="7"/>
  <c r="BK424" i="7"/>
  <c r="BK152" i="7"/>
  <c r="BK148" i="7"/>
  <c r="BK167" i="7"/>
  <c r="BK297" i="7"/>
  <c r="BK761" i="7"/>
  <c r="BK439" i="7"/>
  <c r="BK653" i="7"/>
  <c r="BK715" i="7"/>
  <c r="BK816" i="7"/>
  <c r="BK581" i="7"/>
  <c r="BK545" i="7"/>
  <c r="BK680" i="7"/>
  <c r="BK671" i="7"/>
  <c r="BK101" i="7"/>
  <c r="BK139" i="7"/>
  <c r="BK54" i="7"/>
  <c r="BK22" i="7"/>
  <c r="BK127" i="7"/>
  <c r="BK848" i="7"/>
  <c r="BK649" i="7"/>
  <c r="BK632" i="7"/>
  <c r="BK808" i="7"/>
  <c r="BK512" i="7"/>
  <c r="BK344" i="7"/>
  <c r="BK714" i="7"/>
  <c r="BK696" i="7"/>
  <c r="BK637" i="7"/>
  <c r="BK604" i="7"/>
  <c r="BK615" i="7"/>
  <c r="BK699" i="7"/>
  <c r="BK622" i="7"/>
  <c r="BK141" i="7"/>
  <c r="BK203" i="7"/>
  <c r="BK451" i="7"/>
  <c r="BK518" i="7"/>
  <c r="BK403" i="7"/>
  <c r="BK386" i="7"/>
  <c r="BK656" i="7"/>
  <c r="BK832" i="7"/>
  <c r="BK86" i="7"/>
  <c r="BK669" i="7"/>
  <c r="BK742" i="7"/>
  <c r="BK748" i="7"/>
  <c r="BK526" i="7"/>
  <c r="BK725" i="7"/>
  <c r="BK237" i="7"/>
  <c r="BK466" i="7"/>
  <c r="BK812" i="7"/>
  <c r="BK67" i="7"/>
  <c r="BK425" i="7"/>
  <c r="BK536" i="7"/>
  <c r="BK262" i="7"/>
  <c r="BK735" i="7"/>
  <c r="BK397" i="7"/>
  <c r="BK57" i="7"/>
  <c r="BK858" i="7"/>
  <c r="BK207" i="7"/>
  <c r="BK484" i="7"/>
  <c r="BK619" i="7"/>
  <c r="BK677" i="7"/>
  <c r="BK778" i="7"/>
  <c r="BK367" i="7"/>
  <c r="BK351" i="7"/>
  <c r="BK565" i="7"/>
  <c r="BK436" i="7"/>
  <c r="BK68" i="7"/>
  <c r="BK291" i="7"/>
  <c r="BK323" i="7"/>
  <c r="BK387" i="7"/>
  <c r="BK35" i="7"/>
  <c r="BK13" i="7"/>
  <c r="BK630" i="7"/>
  <c r="BK482" i="7"/>
  <c r="BK773" i="7"/>
  <c r="BK513" i="7"/>
  <c r="BK430" i="7"/>
  <c r="BK836" i="7"/>
  <c r="BK429" i="7"/>
  <c r="BK338" i="7"/>
  <c r="BK182" i="7"/>
  <c r="BK228" i="7"/>
  <c r="BK560" i="7"/>
  <c r="BK150" i="7"/>
  <c r="BK628" i="7"/>
  <c r="BK752" i="7"/>
  <c r="BK193" i="7"/>
  <c r="BK236" i="7"/>
  <c r="BK737" i="7"/>
  <c r="BK28" i="7"/>
  <c r="BK143" i="7"/>
  <c r="BK60" i="7"/>
  <c r="BK410" i="7"/>
  <c r="BK149" i="7"/>
  <c r="BK184" i="7"/>
  <c r="BK532" i="7"/>
  <c r="BK258" i="7"/>
  <c r="BK88" i="7"/>
  <c r="BK870" i="7"/>
  <c r="BK514" i="7"/>
  <c r="BK762" i="7"/>
  <c r="BK717" i="7"/>
  <c r="BK487" i="7"/>
  <c r="BK428" i="7"/>
  <c r="BK561" i="7"/>
  <c r="BK574" i="7"/>
  <c r="BK292" i="7"/>
  <c r="BK444" i="7"/>
  <c r="BK418" i="7"/>
  <c r="BK445" i="7"/>
  <c r="BK230" i="7"/>
  <c r="BK868" i="7"/>
  <c r="BK446" i="7"/>
  <c r="BK267" i="7"/>
  <c r="BK731" i="7"/>
  <c r="BK563" i="7"/>
  <c r="BK716" i="7"/>
  <c r="BK302" i="7"/>
  <c r="BK701" i="7"/>
  <c r="BK285" i="7"/>
  <c r="BK546" i="7"/>
  <c r="BK320" i="7"/>
  <c r="BK449" i="7"/>
  <c r="BK464" i="7"/>
  <c r="BK401" i="7"/>
  <c r="BK376" i="7"/>
  <c r="BK713" i="7"/>
  <c r="BK686" i="7"/>
  <c r="BK578" i="7"/>
  <c r="BK606" i="7"/>
  <c r="BK18" i="7"/>
  <c r="BK30" i="7"/>
  <c r="BK220" i="7"/>
  <c r="BK241" i="7"/>
  <c r="BK162" i="7"/>
  <c r="BK432" i="7"/>
  <c r="BK40" i="7"/>
  <c r="BK726" i="7"/>
  <c r="BK741" i="7"/>
  <c r="BK823" i="7"/>
  <c r="BK295" i="7"/>
  <c r="BK256" i="7"/>
  <c r="BK249" i="7"/>
  <c r="BK259" i="7"/>
  <c r="BK645" i="7"/>
  <c r="BK838" i="7"/>
  <c r="BK549" i="7"/>
  <c r="BK426" i="7"/>
  <c r="BK853" i="7"/>
  <c r="BK494" i="7"/>
  <c r="BK83" i="7"/>
  <c r="BK867" i="7"/>
  <c r="BK37" i="7"/>
  <c r="BK809" i="7"/>
  <c r="BK12" i="7"/>
  <c r="BK441" i="7"/>
  <c r="BK596" i="7"/>
  <c r="BK25" i="7"/>
  <c r="BK583" i="7"/>
  <c r="BK17" i="7"/>
  <c r="BK682" i="7"/>
  <c r="BK190" i="7"/>
  <c r="BK539" i="7"/>
  <c r="BK544" i="7"/>
  <c r="BK252" i="7"/>
  <c r="BK197" i="7"/>
  <c r="BK681" i="7"/>
  <c r="BK839" i="7"/>
  <c r="BK678" i="7"/>
  <c r="BK643" i="7"/>
  <c r="BK708" i="7"/>
  <c r="BK346" i="7"/>
  <c r="BK15" i="7"/>
  <c r="BK567" i="7"/>
  <c r="BK187" i="7"/>
  <c r="BK593" i="7"/>
  <c r="BK399" i="7"/>
  <c r="BK294" i="7"/>
  <c r="BK579" i="7"/>
  <c r="BK755" i="7"/>
  <c r="BK595" i="7"/>
  <c r="BK528" i="7"/>
  <c r="BK245" i="7"/>
  <c r="BK11" i="7"/>
  <c r="BK819" i="7"/>
  <c r="BK499" i="7"/>
  <c r="BK522" i="7"/>
  <c r="BK598" i="7"/>
  <c r="BK85" i="7"/>
  <c r="BK20" i="7"/>
  <c r="BK275" i="7"/>
  <c r="BK366" i="7"/>
  <c r="BK51" i="7"/>
  <c r="BK830" i="7"/>
  <c r="BK362" i="7"/>
  <c r="BK865" i="7"/>
  <c r="BK452" i="7"/>
  <c r="BK381" i="7"/>
  <c r="BK356" i="7"/>
  <c r="BK477" i="7"/>
  <c r="BK375" i="7"/>
  <c r="BK634" i="7"/>
  <c r="BK144" i="7"/>
  <c r="BK844" i="7"/>
  <c r="BK760" i="7"/>
  <c r="BK73" i="7"/>
  <c r="BK273" i="7"/>
  <c r="BK359" i="7"/>
  <c r="BK822" i="7"/>
  <c r="BK551" i="7"/>
  <c r="BK427" i="7"/>
  <c r="BK605" i="7"/>
  <c r="BK122" i="7"/>
  <c r="BK817" i="7"/>
  <c r="BK837" i="7"/>
  <c r="BK363" i="7"/>
  <c r="BK208" i="7"/>
  <c r="BK600" i="7"/>
  <c r="BK384" i="7"/>
  <c r="BK80" i="7"/>
  <c r="BK509" i="7"/>
  <c r="BK798" i="7"/>
  <c r="BK570" i="7"/>
  <c r="BK417" i="7"/>
  <c r="BK194" i="7"/>
  <c r="BK531" i="7"/>
  <c r="BK161" i="7"/>
  <c r="BK400" i="7"/>
  <c r="BK272" i="7"/>
  <c r="BK414" i="7"/>
  <c r="BK407" i="7"/>
  <c r="BK588" i="7"/>
  <c r="BK516" i="7"/>
  <c r="BK801" i="7"/>
  <c r="BK611" i="7"/>
  <c r="BK229" i="7"/>
  <c r="BK283" i="7"/>
  <c r="BK103" i="7"/>
  <c r="BK108" i="7"/>
  <c r="BK552" i="7"/>
  <c r="BK9" i="7"/>
  <c r="BK82" i="7"/>
  <c r="BK852" i="7"/>
  <c r="BK26" i="7"/>
  <c r="BK107" i="7"/>
  <c r="BK647" i="7"/>
  <c r="BK110" i="7"/>
  <c r="BK610" i="7"/>
  <c r="BK780" i="7"/>
  <c r="BK621" i="7"/>
  <c r="BK438" i="7"/>
  <c r="BK564" i="7"/>
  <c r="BK826" i="7"/>
  <c r="BK825" i="7"/>
  <c r="BK105" i="7"/>
  <c r="BK758" i="7"/>
  <c r="BK702" i="7"/>
  <c r="BK226" i="7"/>
  <c r="BK319" i="7"/>
  <c r="BK730" i="7"/>
  <c r="BK785" i="7"/>
  <c r="BK690" i="7"/>
  <c r="BK631" i="7"/>
  <c r="BK97" i="7"/>
  <c r="BK385" i="7"/>
  <c r="BK100" i="7"/>
  <c r="BK787" i="7"/>
  <c r="BK723" i="7"/>
  <c r="BK196" i="7"/>
  <c r="BK856" i="7"/>
  <c r="BK729" i="7"/>
  <c r="BK754" i="7"/>
  <c r="BK117" i="7"/>
  <c r="BK135" i="7"/>
  <c r="BK721" i="7"/>
  <c r="BK128" i="7"/>
  <c r="BK863" i="7"/>
  <c r="BK500" i="7"/>
  <c r="BK794" i="7"/>
  <c r="BK309" i="7"/>
  <c r="BK727" i="7"/>
  <c r="BK287" i="7"/>
  <c r="BK21" i="7"/>
  <c r="BK261" i="7"/>
  <c r="BK582" i="7"/>
  <c r="BK433" i="7"/>
  <c r="BK350" i="7"/>
  <c r="BK398" i="7"/>
  <c r="BK687" i="7"/>
  <c r="BK286" i="7"/>
  <c r="BK519" i="7"/>
  <c r="BK661" i="7"/>
  <c r="BK573" i="7"/>
  <c r="BK66" i="7"/>
  <c r="BK807" i="7"/>
  <c r="BK746" i="7"/>
  <c r="BK529" i="7"/>
  <c r="BK462" i="7"/>
  <c r="BK607" i="7"/>
  <c r="BK559" i="7"/>
  <c r="BK800" i="7"/>
  <c r="BK164" i="7"/>
  <c r="BK29" i="7"/>
  <c r="BK846" i="7"/>
  <c r="BK330" i="7"/>
  <c r="BK733" i="7"/>
  <c r="BK618" i="7"/>
  <c r="BK56" i="7"/>
  <c r="BK111" i="7"/>
  <c r="BK515" i="7"/>
  <c r="BK183" i="7"/>
  <c r="BK507" i="7"/>
  <c r="BK172" i="7"/>
  <c r="BK609" i="7"/>
  <c r="BK129" i="7"/>
  <c r="BK673" i="7"/>
  <c r="BK277" i="7"/>
  <c r="BK160" i="7"/>
  <c r="BK250" i="7"/>
  <c r="BK747" i="7"/>
  <c r="BK824" i="7"/>
  <c r="BK525" i="7"/>
  <c r="BK136" i="7"/>
  <c r="BK629" i="7"/>
  <c r="BK284" i="7"/>
  <c r="BK703" i="7"/>
  <c r="BK435" i="7"/>
  <c r="BK191" i="7"/>
  <c r="BK169" i="7"/>
  <c r="BK32" i="7"/>
  <c r="BK833" i="7"/>
  <c r="BK805" i="7"/>
  <c r="BK389" i="7"/>
  <c r="BK847" i="7"/>
  <c r="BK575" i="7"/>
  <c r="BK814" i="7"/>
  <c r="BK313" i="7"/>
  <c r="BK151" i="7"/>
  <c r="BK707" i="7"/>
  <c r="BK710" i="7"/>
  <c r="BK672" i="7"/>
  <c r="BK759" i="7"/>
  <c r="BK90" i="7"/>
  <c r="BK791" i="7"/>
  <c r="BK268" i="7"/>
  <c r="BK670" i="7"/>
  <c r="BK331" i="7"/>
  <c r="BK312" i="7"/>
  <c r="BK523" i="7"/>
  <c r="BK159" i="7"/>
  <c r="BK790" i="7"/>
  <c r="BK222" i="7"/>
  <c r="BK440" i="7"/>
  <c r="BK409" i="7"/>
  <c r="BK461" i="7"/>
  <c r="BK820" i="7"/>
  <c r="BK213" i="7"/>
  <c r="BK205" i="7"/>
  <c r="BK306" i="7"/>
  <c r="BK454" i="7"/>
  <c r="BK354" i="7"/>
  <c r="BK719" i="7"/>
  <c r="BK541" i="7"/>
  <c r="BK864" i="7"/>
  <c r="BK81" i="7"/>
  <c r="BK652" i="7"/>
  <c r="BK722" i="7"/>
  <c r="BK233" i="7"/>
  <c r="BK469" i="7"/>
  <c r="BK679" i="7"/>
  <c r="BK457" i="7"/>
  <c r="BK76" i="7"/>
  <c r="BK118" i="7"/>
  <c r="BK53" i="7"/>
  <c r="BK45" i="7"/>
  <c r="BK137" i="7"/>
  <c r="BK200" i="7"/>
  <c r="BK325" i="7"/>
  <c r="BK774" i="7"/>
  <c r="BK657" i="7"/>
  <c r="BK279" i="7"/>
  <c r="BK756" i="7"/>
  <c r="AJ722" i="7"/>
  <c r="AJ375" i="7"/>
  <c r="AJ630" i="7"/>
  <c r="AJ263" i="7"/>
  <c r="AJ487" i="7"/>
  <c r="AJ457" i="7"/>
  <c r="AJ30" i="7"/>
  <c r="AJ515" i="7"/>
  <c r="AJ441" i="7"/>
  <c r="AJ551" i="7"/>
  <c r="AJ657" i="7"/>
  <c r="AJ469" i="7"/>
  <c r="AJ848" i="7"/>
  <c r="AJ147" i="7"/>
  <c r="AJ241" i="7"/>
  <c r="AJ25" i="7"/>
  <c r="AJ583" i="7"/>
  <c r="AJ17" i="7"/>
  <c r="AJ586" i="7"/>
  <c r="AJ154" i="7"/>
  <c r="AJ46" i="7"/>
  <c r="AJ329" i="7"/>
  <c r="AJ765" i="7"/>
  <c r="AJ143" i="7"/>
  <c r="AJ425" i="7"/>
  <c r="AJ536" i="7"/>
  <c r="AJ38" i="7"/>
  <c r="AJ576" i="7"/>
  <c r="AJ240" i="7"/>
  <c r="AJ753" i="7"/>
  <c r="AJ34" i="7"/>
  <c r="AJ663" i="7"/>
  <c r="AJ547" i="7"/>
  <c r="AJ635" i="7"/>
  <c r="AJ592" i="7"/>
  <c r="AJ539" i="7"/>
  <c r="AJ275" i="7"/>
  <c r="AJ578" i="7"/>
  <c r="AJ858" i="7"/>
  <c r="AJ548" i="7"/>
  <c r="AJ316" i="7"/>
  <c r="AJ644" i="7"/>
  <c r="AJ318" i="7"/>
  <c r="AJ532" i="7"/>
  <c r="AJ216" i="7"/>
  <c r="AJ511" i="7"/>
  <c r="AJ416" i="7"/>
  <c r="AJ577" i="7"/>
  <c r="AJ393" i="7"/>
  <c r="AJ14" i="7"/>
  <c r="AJ28" i="7"/>
  <c r="AJ725" i="7"/>
  <c r="AJ237" i="7"/>
  <c r="AJ411" i="7"/>
  <c r="AJ165" i="7"/>
  <c r="AJ60" i="7"/>
  <c r="AJ410" i="7"/>
  <c r="AJ262" i="7"/>
  <c r="AJ230" i="7"/>
  <c r="AJ549" i="7"/>
  <c r="AJ236" i="7"/>
  <c r="AJ244" i="7"/>
  <c r="AJ512" i="7"/>
  <c r="AJ344" i="7"/>
  <c r="AJ113" i="7"/>
  <c r="AJ139" i="7"/>
  <c r="AJ648" i="7"/>
  <c r="AJ735" i="7"/>
  <c r="AJ851" i="7"/>
  <c r="AJ680" i="7"/>
  <c r="AJ285" i="7"/>
  <c r="AJ61" i="7"/>
  <c r="AJ508" i="7"/>
  <c r="AJ479" i="7"/>
  <c r="AJ771" i="7"/>
  <c r="AJ868" i="7"/>
  <c r="AJ341" i="7"/>
  <c r="AJ388" i="7"/>
  <c r="AJ627" i="7"/>
  <c r="AJ705" i="7"/>
  <c r="AJ125" i="7"/>
  <c r="AJ64" i="7"/>
  <c r="AJ57" i="7"/>
  <c r="AJ854" i="7"/>
  <c r="AJ794" i="7"/>
  <c r="AJ417" i="7"/>
  <c r="AJ435" i="7"/>
  <c r="AJ754" i="7"/>
  <c r="AJ313" i="7"/>
  <c r="AJ135" i="7"/>
  <c r="AJ268" i="7"/>
  <c r="AJ331" i="7"/>
  <c r="AJ151" i="7"/>
  <c r="AJ805" i="7"/>
  <c r="AJ730" i="7"/>
  <c r="AJ312" i="7"/>
  <c r="AJ523" i="7"/>
  <c r="AJ759" i="7"/>
  <c r="AJ672" i="7"/>
  <c r="AJ605" i="7"/>
  <c r="AJ366" i="7"/>
  <c r="AJ575" i="7"/>
  <c r="AJ12" i="7"/>
  <c r="AJ144" i="7"/>
  <c r="AJ159" i="7"/>
  <c r="AJ790" i="7"/>
  <c r="AJ128" i="7"/>
  <c r="AJ401" i="7"/>
  <c r="AJ127" i="7"/>
  <c r="AJ73" i="7"/>
  <c r="AJ374" i="7"/>
  <c r="AJ808" i="7"/>
  <c r="AJ297" i="7"/>
  <c r="AJ404" i="7"/>
  <c r="AJ775" i="7"/>
  <c r="AJ813" i="7"/>
  <c r="AJ762" i="7"/>
  <c r="AJ795" i="7"/>
  <c r="AJ812" i="7"/>
  <c r="AJ580" i="7"/>
  <c r="AJ497" i="7"/>
  <c r="AJ502" i="7"/>
  <c r="AJ748" i="7"/>
  <c r="AJ22" i="7"/>
  <c r="AJ791" i="7"/>
  <c r="AJ345" i="7"/>
  <c r="AJ540" i="7"/>
  <c r="AJ370" i="7"/>
  <c r="AJ622" i="7"/>
  <c r="AJ124" i="7"/>
  <c r="AJ422" i="7"/>
  <c r="AJ426" i="7"/>
  <c r="AJ141" i="7"/>
  <c r="AJ302" i="7"/>
  <c r="AJ584" i="7"/>
  <c r="AJ555" i="7"/>
  <c r="AJ767" i="7"/>
  <c r="AJ210" i="7"/>
  <c r="AJ342" i="7"/>
  <c r="AJ383" i="7"/>
  <c r="AJ559" i="7"/>
  <c r="AJ400" i="7"/>
  <c r="AJ309" i="7"/>
  <c r="AJ169" i="7"/>
  <c r="AJ846" i="7"/>
  <c r="AJ389" i="7"/>
  <c r="AJ779" i="7"/>
  <c r="AJ433" i="7"/>
  <c r="AJ180" i="7"/>
  <c r="AJ526" i="7"/>
  <c r="AJ688" i="7"/>
  <c r="AJ148" i="7"/>
  <c r="AJ174" i="7"/>
  <c r="AJ42" i="7"/>
  <c r="AJ310" i="7"/>
  <c r="AJ419" i="7"/>
  <c r="AJ115" i="7"/>
  <c r="AJ796" i="7"/>
  <c r="AJ86" i="7"/>
  <c r="AJ761" i="7"/>
  <c r="AJ587" i="7"/>
  <c r="AJ24" i="7"/>
  <c r="AJ58" i="7"/>
  <c r="AJ162" i="7"/>
  <c r="AJ381" i="7"/>
  <c r="AJ322" i="7"/>
  <c r="AJ724" i="7"/>
  <c r="AJ504" i="7"/>
  <c r="AJ491" i="7"/>
  <c r="AJ814" i="7"/>
  <c r="AJ462" i="7"/>
  <c r="AJ623" i="7"/>
  <c r="AJ183" i="7"/>
  <c r="AJ146" i="7"/>
  <c r="AJ434" i="7"/>
  <c r="AJ391" i="7"/>
  <c r="AJ87" i="7"/>
  <c r="AJ351" i="7"/>
  <c r="AJ560" i="7"/>
  <c r="AJ8" i="7"/>
  <c r="AJ465" i="7"/>
  <c r="AJ744" i="7"/>
  <c r="AJ332" i="7"/>
  <c r="AJ138" i="7"/>
  <c r="AJ736" i="7"/>
  <c r="AJ402" i="7"/>
  <c r="AJ718" i="7"/>
  <c r="AJ70" i="7"/>
  <c r="AJ428" i="7"/>
  <c r="AJ328" i="7"/>
  <c r="AJ303" i="7"/>
  <c r="AJ686" i="7"/>
  <c r="AJ708" i="7"/>
  <c r="AJ782" i="7"/>
  <c r="AJ755" i="7"/>
  <c r="AJ615" i="7"/>
  <c r="AJ574" i="7"/>
  <c r="AJ678" i="7"/>
  <c r="AJ734" i="7"/>
  <c r="AJ167" i="7"/>
  <c r="AJ280" i="7"/>
  <c r="AJ799" i="7"/>
  <c r="AJ699" i="7"/>
  <c r="AJ152" i="7"/>
  <c r="AJ67" i="7"/>
  <c r="AJ824" i="7"/>
  <c r="AJ278" i="7"/>
  <c r="AJ649" i="7"/>
  <c r="AJ514" i="7"/>
  <c r="AJ212" i="7"/>
  <c r="AJ242" i="7"/>
  <c r="AJ772" i="7"/>
  <c r="AJ567" i="7"/>
  <c r="AJ640" i="7"/>
  <c r="AJ384" i="7"/>
  <c r="AJ579" i="7"/>
  <c r="AJ834" i="7"/>
  <c r="AJ15" i="7"/>
  <c r="AJ668" i="7"/>
  <c r="AJ418" i="7"/>
  <c r="AJ789" i="7"/>
  <c r="AJ503" i="7"/>
  <c r="AJ521" i="7"/>
  <c r="AJ828" i="7"/>
  <c r="AJ343" i="7"/>
  <c r="AJ863" i="7"/>
  <c r="AJ245" i="7"/>
  <c r="AJ561" i="7"/>
  <c r="AJ283" i="7"/>
  <c r="AJ477" i="7"/>
  <c r="AJ259" i="7"/>
  <c r="AJ542" i="7"/>
  <c r="AJ838" i="7"/>
  <c r="AJ807" i="7"/>
  <c r="AJ552" i="7"/>
  <c r="AJ614" i="7"/>
  <c r="AJ550" i="7"/>
  <c r="AJ149" i="7"/>
  <c r="AJ645" i="7"/>
  <c r="AJ570" i="7"/>
  <c r="AJ306" i="7"/>
  <c r="AJ179" i="7"/>
  <c r="AJ429" i="7"/>
  <c r="AJ35" i="7"/>
  <c r="AJ178" i="7"/>
  <c r="AJ618" i="7"/>
  <c r="AJ346" i="7"/>
  <c r="AJ356" i="7"/>
  <c r="AJ182" i="7"/>
  <c r="AJ363" i="7"/>
  <c r="AJ226" i="7"/>
  <c r="AJ407" i="7"/>
  <c r="AJ747" i="7"/>
  <c r="AJ414" i="7"/>
  <c r="AJ661" i="7"/>
  <c r="AJ710" i="7"/>
  <c r="AJ723" i="7"/>
  <c r="AJ376" i="7"/>
  <c r="AJ729" i="7"/>
  <c r="AJ525" i="7"/>
  <c r="AJ29" i="7"/>
  <c r="AJ702" i="7"/>
  <c r="AJ852" i="7"/>
  <c r="AJ90" i="7"/>
  <c r="AJ573" i="7"/>
  <c r="AJ707" i="7"/>
  <c r="AJ222" i="7"/>
  <c r="AJ785" i="7"/>
  <c r="AJ519" i="7"/>
  <c r="AJ494" i="7"/>
  <c r="AJ847" i="7"/>
  <c r="AJ261" i="7"/>
  <c r="AJ800" i="7"/>
  <c r="AJ588" i="7"/>
  <c r="AJ160" i="7"/>
  <c r="AJ26" i="7"/>
  <c r="AJ595" i="7"/>
  <c r="AJ822" i="7"/>
  <c r="AJ440" i="7"/>
  <c r="AJ665" i="7"/>
  <c r="AJ764" i="7"/>
  <c r="AJ777" i="7"/>
  <c r="AJ671" i="7"/>
  <c r="AJ832" i="7"/>
  <c r="AJ228" i="7"/>
  <c r="AJ634" i="7"/>
  <c r="AJ114" i="7"/>
  <c r="AJ385" i="7"/>
  <c r="AJ37" i="7"/>
  <c r="AJ279" i="7"/>
  <c r="AJ191" i="7"/>
  <c r="AJ108" i="7"/>
  <c r="AJ56" i="7"/>
  <c r="AJ311" i="7"/>
  <c r="AJ507" i="7"/>
  <c r="AJ97" i="7"/>
  <c r="AJ500" i="7"/>
  <c r="AJ319" i="7"/>
  <c r="AJ18" i="7"/>
  <c r="AJ264" i="7"/>
  <c r="AJ437" i="7"/>
  <c r="AJ510" i="7"/>
  <c r="AJ338" i="7"/>
  <c r="AJ853" i="7"/>
  <c r="AJ111" i="7"/>
  <c r="AJ333" i="7"/>
  <c r="AJ186" i="7"/>
  <c r="AJ721" i="7"/>
  <c r="AJ102" i="7"/>
  <c r="AJ713" i="7"/>
  <c r="AJ809" i="7"/>
  <c r="AJ27" i="7"/>
  <c r="AJ569" i="7"/>
  <c r="AJ446" i="7"/>
  <c r="AJ150" i="7"/>
  <c r="AJ164" i="7"/>
  <c r="AJ184" i="7"/>
  <c r="AJ865" i="7"/>
  <c r="AJ40" i="7"/>
  <c r="AJ726" i="7"/>
  <c r="AJ122" i="7"/>
  <c r="AJ817" i="7"/>
  <c r="AJ452" i="7"/>
  <c r="AJ89" i="7"/>
  <c r="AJ187" i="7"/>
  <c r="AJ593" i="7"/>
  <c r="AJ399" i="7"/>
  <c r="AJ294" i="7"/>
  <c r="AJ819" i="7"/>
  <c r="AJ499" i="7"/>
  <c r="AJ522" i="7"/>
  <c r="AJ598" i="7"/>
  <c r="AJ80" i="7"/>
  <c r="AJ509" i="7"/>
  <c r="AJ798" i="7"/>
  <c r="AJ643" i="7"/>
  <c r="AJ439" i="7"/>
  <c r="AJ749" i="7"/>
  <c r="AJ53" i="7"/>
  <c r="AJ454" i="7"/>
  <c r="AJ679" i="7"/>
  <c r="AJ631" i="7"/>
  <c r="AJ118" i="7"/>
  <c r="AJ9" i="7"/>
  <c r="AJ76" i="7"/>
  <c r="AJ398" i="7"/>
  <c r="AJ758" i="7"/>
  <c r="AJ442" i="7"/>
  <c r="AJ45" i="7"/>
  <c r="AJ81" i="7"/>
  <c r="AJ286" i="7"/>
  <c r="AJ354" i="7"/>
  <c r="AJ719" i="7"/>
  <c r="AJ449" i="7"/>
  <c r="AJ11" i="7"/>
  <c r="AJ564" i="7"/>
  <c r="AJ826" i="7"/>
  <c r="AJ825" i="7"/>
  <c r="AJ717" i="7"/>
  <c r="AJ258" i="7"/>
  <c r="AJ88" i="7"/>
  <c r="AJ870" i="7"/>
  <c r="AJ704" i="7"/>
  <c r="AJ195" i="7"/>
  <c r="AJ855" i="7"/>
  <c r="AJ133" i="7"/>
  <c r="AJ364" i="7"/>
  <c r="AJ571" i="7"/>
  <c r="AJ209" i="7"/>
  <c r="AJ628" i="7"/>
  <c r="AJ334" i="7"/>
  <c r="AJ533" i="7"/>
  <c r="AJ685" i="7"/>
  <c r="AJ568" i="7"/>
  <c r="AJ377" i="7"/>
  <c r="AJ140" i="7"/>
  <c r="AJ415" i="7"/>
  <c r="AJ386" i="7"/>
  <c r="AJ656" i="7"/>
  <c r="AJ652" i="7"/>
  <c r="AJ387" i="7"/>
  <c r="AJ287" i="7"/>
  <c r="AJ21" i="7"/>
  <c r="AJ607" i="7"/>
  <c r="AJ746" i="7"/>
  <c r="AJ836" i="7"/>
  <c r="AJ445" i="7"/>
  <c r="AJ308" i="7"/>
  <c r="AJ669" i="7"/>
  <c r="AJ340" i="7"/>
  <c r="AJ282" i="7"/>
  <c r="AJ602" i="7"/>
  <c r="AJ676" i="7"/>
  <c r="AJ695" i="7"/>
  <c r="AJ763" i="7"/>
  <c r="AJ478" i="7"/>
  <c r="AJ79" i="7"/>
  <c r="AJ168" i="7"/>
  <c r="AJ857" i="7"/>
  <c r="AJ137" i="7"/>
  <c r="AJ233" i="7"/>
  <c r="AJ249" i="7"/>
  <c r="AJ51" i="7"/>
  <c r="AJ742" i="7"/>
  <c r="AJ830" i="7"/>
  <c r="AJ181" i="7"/>
  <c r="AJ752" i="7"/>
  <c r="AJ193" i="7"/>
  <c r="AJ596" i="7"/>
  <c r="AJ801" i="7"/>
  <c r="AJ323" i="7"/>
  <c r="AJ304" i="7"/>
  <c r="AJ681" i="7"/>
  <c r="AJ546" i="7"/>
  <c r="AJ320" i="7"/>
  <c r="AJ706" i="7"/>
  <c r="AJ390" i="7"/>
  <c r="AJ372" i="7"/>
  <c r="AJ756" i="7"/>
  <c r="AJ250" i="7"/>
  <c r="AJ380" i="7"/>
  <c r="AJ856" i="7"/>
  <c r="AJ277" i="7"/>
  <c r="AJ527" i="7"/>
  <c r="AJ667" i="7"/>
  <c r="AJ606" i="7"/>
  <c r="AJ397" i="7"/>
  <c r="AJ768" i="7"/>
  <c r="AJ613" i="7"/>
  <c r="AJ660" i="7"/>
  <c r="AJ100" i="7"/>
  <c r="AJ200" i="7"/>
  <c r="AJ409" i="7"/>
  <c r="AJ461" i="7"/>
  <c r="AJ438" i="7"/>
  <c r="AJ117" i="7"/>
  <c r="AJ831" i="7"/>
  <c r="AJ658" i="7"/>
  <c r="AJ158" i="7"/>
  <c r="AJ839" i="7"/>
  <c r="AJ272" i="7"/>
  <c r="AJ496" i="7"/>
  <c r="AJ132" i="7"/>
  <c r="AJ166" i="7"/>
  <c r="AJ13" i="7"/>
  <c r="AJ714" i="7"/>
  <c r="AJ20" i="7"/>
  <c r="AJ136" i="7"/>
  <c r="AJ196" i="7"/>
  <c r="AJ172" i="7"/>
  <c r="AJ32" i="7"/>
  <c r="AJ367" i="7"/>
  <c r="AJ208" i="7"/>
  <c r="AJ129" i="7"/>
  <c r="AJ82" i="7"/>
  <c r="AJ687" i="7"/>
  <c r="AJ600" i="7"/>
  <c r="AJ103" i="7"/>
  <c r="AJ820" i="7"/>
  <c r="AJ727" i="7"/>
  <c r="AJ213" i="7"/>
  <c r="AJ690" i="7"/>
  <c r="AJ582" i="7"/>
  <c r="AJ611" i="7"/>
  <c r="AJ325" i="7"/>
  <c r="AJ621" i="7"/>
  <c r="AJ760" i="7"/>
  <c r="AJ541" i="7"/>
  <c r="AJ673" i="7"/>
  <c r="AJ105" i="7"/>
  <c r="AJ737" i="7"/>
  <c r="AJ670" i="7"/>
  <c r="AJ774" i="7"/>
  <c r="AJ816" i="7"/>
  <c r="AJ581" i="7"/>
  <c r="AJ616" i="7"/>
  <c r="AJ693" i="7"/>
  <c r="AJ298" i="7"/>
  <c r="AJ98" i="7"/>
  <c r="AJ371" i="7"/>
  <c r="AJ350" i="7"/>
  <c r="AJ629" i="7"/>
  <c r="AJ833" i="7"/>
  <c r="AJ444" i="7"/>
  <c r="AJ473" i="7"/>
  <c r="AJ74" i="7"/>
  <c r="AJ292" i="7"/>
  <c r="AJ757" i="7"/>
  <c r="AJ205" i="7"/>
  <c r="AJ101" i="7"/>
  <c r="AJ558" i="7"/>
  <c r="AJ597" i="7"/>
  <c r="AJ545" i="7"/>
  <c r="AJ436" i="7"/>
  <c r="AJ470" i="7"/>
  <c r="AJ632" i="7"/>
  <c r="AJ107" i="7"/>
  <c r="AJ243" i="7"/>
  <c r="AJ806" i="7"/>
  <c r="AJ829" i="7"/>
  <c r="AJ405" i="7"/>
  <c r="AJ44" i="7"/>
  <c r="AJ773" i="7"/>
  <c r="AJ506" i="7"/>
  <c r="AJ198" i="7"/>
  <c r="AJ207" i="7"/>
  <c r="AJ289" i="7"/>
  <c r="AJ698" i="7"/>
  <c r="AJ267" i="7"/>
  <c r="AJ731" i="7"/>
  <c r="AJ647" i="7"/>
  <c r="AJ653" i="7"/>
  <c r="AJ715" i="7"/>
  <c r="AJ110" i="7"/>
  <c r="AJ513" i="7"/>
  <c r="AJ284" i="7"/>
  <c r="AJ255" i="7"/>
  <c r="AJ619" i="7"/>
  <c r="AJ677" i="7"/>
  <c r="AJ778" i="7"/>
  <c r="AJ369" i="7"/>
  <c r="AJ716" i="7"/>
  <c r="AJ273" i="7"/>
  <c r="AJ696" i="7"/>
  <c r="AJ194" i="7"/>
  <c r="AJ531" i="7"/>
  <c r="AJ610" i="7"/>
  <c r="AJ843" i="7"/>
  <c r="AJ92" i="7"/>
  <c r="AJ827" i="7"/>
  <c r="AJ802" i="7"/>
  <c r="AJ495" i="7"/>
  <c r="AJ109" i="7"/>
  <c r="AJ780" i="7"/>
  <c r="AJ66" i="7"/>
  <c r="AJ430" i="7"/>
  <c r="AJ703" i="7"/>
  <c r="AJ83" i="7"/>
  <c r="AJ867" i="7"/>
  <c r="AJ528" i="7"/>
  <c r="AJ529" i="7"/>
  <c r="AJ173" i="7"/>
  <c r="AJ72" i="7"/>
  <c r="AJ544" i="7"/>
  <c r="AJ252" i="7"/>
  <c r="AJ203" i="7"/>
  <c r="AJ642" i="7"/>
  <c r="AJ474" i="7"/>
  <c r="AJ554" i="7"/>
  <c r="AJ68" i="7"/>
  <c r="AJ291" i="7"/>
  <c r="AJ501" i="7"/>
  <c r="AJ19" i="7"/>
  <c r="AJ740" i="7"/>
  <c r="AJ75" i="7"/>
  <c r="AJ349" i="7"/>
  <c r="AJ85" i="7"/>
  <c r="AJ637" i="7"/>
  <c r="AJ604" i="7"/>
  <c r="AJ787" i="7"/>
  <c r="AJ161" i="7"/>
  <c r="AJ770" i="7"/>
  <c r="AJ451" i="7"/>
  <c r="AJ365" i="7"/>
  <c r="AJ335" i="7"/>
  <c r="AJ664" i="7"/>
  <c r="AJ741" i="7"/>
  <c r="AJ563" i="7"/>
  <c r="AJ784" i="7"/>
  <c r="AJ84" i="7"/>
  <c r="AJ565" i="7"/>
  <c r="AJ443" i="7"/>
  <c r="AJ134" i="7"/>
  <c r="AJ448" i="7"/>
  <c r="AJ666" i="7"/>
  <c r="AJ229" i="7"/>
  <c r="AJ225" i="7"/>
  <c r="AJ464" i="7"/>
  <c r="AJ219" i="7"/>
  <c r="AJ201" i="7"/>
  <c r="AJ295" i="7"/>
  <c r="AJ197" i="7"/>
  <c r="AJ823" i="7"/>
  <c r="AJ518" i="7"/>
  <c r="AJ330" i="7"/>
  <c r="AJ403" i="7"/>
  <c r="AJ585" i="7"/>
  <c r="AJ733" i="7"/>
  <c r="AJ485" i="7"/>
  <c r="AJ484" i="7"/>
  <c r="AJ43" i="7"/>
  <c r="AJ482" i="7"/>
  <c r="AJ524" i="7"/>
  <c r="AJ54" i="7"/>
  <c r="AJ202" i="7"/>
  <c r="AJ290" i="7"/>
  <c r="AJ601" i="7"/>
  <c r="AJ293" i="7"/>
  <c r="AJ362" i="7"/>
  <c r="AJ837" i="7"/>
  <c r="AJ516" i="7"/>
  <c r="AJ682" i="7"/>
  <c r="AJ190" i="7"/>
  <c r="AJ844" i="7"/>
  <c r="AJ472" i="7"/>
  <c r="AJ701" i="7"/>
  <c r="AJ220" i="7"/>
  <c r="AJ361" i="7"/>
  <c r="AJ459" i="7"/>
  <c r="AJ864" i="7"/>
  <c r="AJ424" i="7"/>
  <c r="AJ423" i="7"/>
  <c r="AJ466" i="7"/>
  <c r="AJ609" i="7"/>
  <c r="AJ432" i="7"/>
  <c r="AJ427" i="7"/>
  <c r="AJ359" i="7"/>
  <c r="AJ256" i="7"/>
  <c r="BB722" i="7" l="1"/>
  <c r="K3" i="7"/>
  <c r="M3" i="7"/>
  <c r="P3" i="7"/>
  <c r="R3" i="7"/>
  <c r="U3" i="7"/>
  <c r="X3" i="7"/>
  <c r="AA3" i="7"/>
  <c r="AD3" i="7"/>
  <c r="AG3" i="7"/>
  <c r="BB3" i="7"/>
  <c r="BB5" i="7"/>
  <c r="AZ3" i="7"/>
  <c r="AZ5" i="7"/>
  <c r="AY3" i="7"/>
  <c r="AY5" i="7"/>
  <c r="AX3" i="7"/>
  <c r="AX5" i="7"/>
  <c r="AW3" i="7"/>
  <c r="AW5" i="7"/>
  <c r="AV3" i="7"/>
  <c r="AV5" i="7"/>
  <c r="AU3" i="7"/>
  <c r="AU5" i="7"/>
  <c r="AR3" i="7"/>
  <c r="AR5" i="7"/>
  <c r="AJ3" i="7"/>
  <c r="AK3" i="7"/>
  <c r="AN3" i="7"/>
  <c r="AN5" i="7"/>
  <c r="AK5" i="7"/>
  <c r="AJ5" i="7"/>
  <c r="AG5" i="7"/>
  <c r="AD5" i="7"/>
  <c r="AA5" i="7"/>
  <c r="X5" i="7"/>
  <c r="U5" i="7"/>
  <c r="R5" i="7"/>
  <c r="P5" i="7"/>
  <c r="M5" i="7"/>
  <c r="K5" i="7"/>
  <c r="BD3" i="7"/>
  <c r="BD5" i="7"/>
  <c r="BE801" i="7" s="1"/>
  <c r="BB375" i="7"/>
  <c r="BB630" i="7"/>
  <c r="BB263" i="7"/>
  <c r="BB487" i="7"/>
  <c r="BB457" i="7"/>
  <c r="BB30" i="7"/>
  <c r="BB515" i="7"/>
  <c r="BB441" i="7"/>
  <c r="BB551" i="7"/>
  <c r="BB657" i="7"/>
  <c r="BB469" i="7"/>
  <c r="BB848" i="7"/>
  <c r="BB147" i="7"/>
  <c r="BB241" i="7"/>
  <c r="BB25" i="7"/>
  <c r="BB583" i="7"/>
  <c r="BB17" i="7"/>
  <c r="BB586" i="7"/>
  <c r="BB154" i="7"/>
  <c r="BB46" i="7"/>
  <c r="BB329" i="7"/>
  <c r="BB765" i="7"/>
  <c r="BB143" i="7"/>
  <c r="BB425" i="7"/>
  <c r="BB536" i="7"/>
  <c r="BB38" i="7"/>
  <c r="BB576" i="7"/>
  <c r="BB240" i="7"/>
  <c r="BB753" i="7"/>
  <c r="BB34" i="7"/>
  <c r="BB663" i="7"/>
  <c r="BB547" i="7"/>
  <c r="BB635" i="7"/>
  <c r="BB592" i="7"/>
  <c r="BB539" i="7"/>
  <c r="BB275" i="7"/>
  <c r="BB578" i="7"/>
  <c r="BB858" i="7"/>
  <c r="BB548" i="7"/>
  <c r="BB316" i="7"/>
  <c r="BB644" i="7"/>
  <c r="BB318" i="7"/>
  <c r="BB532" i="7"/>
  <c r="BB216" i="7"/>
  <c r="BB511" i="7"/>
  <c r="BB416" i="7"/>
  <c r="BB577" i="7"/>
  <c r="BB393" i="7"/>
  <c r="BB14" i="7"/>
  <c r="BB28" i="7"/>
  <c r="BB725" i="7"/>
  <c r="BB237" i="7"/>
  <c r="BB411" i="7"/>
  <c r="BB165" i="7"/>
  <c r="BB60" i="7"/>
  <c r="BB410" i="7"/>
  <c r="BB262" i="7"/>
  <c r="BB230" i="7"/>
  <c r="BB549" i="7"/>
  <c r="BB236" i="7"/>
  <c r="BB244" i="7"/>
  <c r="BB512" i="7"/>
  <c r="BB344" i="7"/>
  <c r="BB113" i="7"/>
  <c r="BB139" i="7"/>
  <c r="BB648" i="7"/>
  <c r="BB735" i="7"/>
  <c r="BB851" i="7"/>
  <c r="BB680" i="7"/>
  <c r="BB285" i="7"/>
  <c r="BB61" i="7"/>
  <c r="BB508" i="7"/>
  <c r="BB479" i="7"/>
  <c r="BB771" i="7"/>
  <c r="BB868" i="7"/>
  <c r="BB341" i="7"/>
  <c r="BB388" i="7"/>
  <c r="BB627" i="7"/>
  <c r="BB705" i="7"/>
  <c r="BB125" i="7"/>
  <c r="BB64" i="7"/>
  <c r="BB57" i="7"/>
  <c r="BB854" i="7"/>
  <c r="BB794" i="7"/>
  <c r="BB417" i="7"/>
  <c r="BB435" i="7"/>
  <c r="BB754" i="7"/>
  <c r="BB313" i="7"/>
  <c r="BB135" i="7"/>
  <c r="BB268" i="7"/>
  <c r="BB331" i="7"/>
  <c r="BB151" i="7"/>
  <c r="BB805" i="7"/>
  <c r="BB730" i="7"/>
  <c r="BB312" i="7"/>
  <c r="BB523" i="7"/>
  <c r="BB759" i="7"/>
  <c r="BB672" i="7"/>
  <c r="BB605" i="7"/>
  <c r="BB366" i="7"/>
  <c r="BB575" i="7"/>
  <c r="BB12" i="7"/>
  <c r="BB144" i="7"/>
  <c r="BB159" i="7"/>
  <c r="BB790" i="7"/>
  <c r="BB128" i="7"/>
  <c r="BB401" i="7"/>
  <c r="BB127" i="7"/>
  <c r="BB73" i="7"/>
  <c r="BB374" i="7"/>
  <c r="BB808" i="7"/>
  <c r="BB297" i="7"/>
  <c r="BB404" i="7"/>
  <c r="BB775" i="7"/>
  <c r="BB813" i="7"/>
  <c r="BB762" i="7"/>
  <c r="BB795" i="7"/>
  <c r="BB812" i="7"/>
  <c r="BB580" i="7"/>
  <c r="BB497" i="7"/>
  <c r="BB502" i="7"/>
  <c r="BB748" i="7"/>
  <c r="BB22" i="7"/>
  <c r="BB791" i="7"/>
  <c r="BB345" i="7"/>
  <c r="BB540" i="7"/>
  <c r="BB370" i="7"/>
  <c r="BB622" i="7"/>
  <c r="BB124" i="7"/>
  <c r="BB422" i="7"/>
  <c r="BB426" i="7"/>
  <c r="BB141" i="7"/>
  <c r="BB302" i="7"/>
  <c r="BB584" i="7"/>
  <c r="BB555" i="7"/>
  <c r="BB767" i="7"/>
  <c r="BB210" i="7"/>
  <c r="BB342" i="7"/>
  <c r="BB383" i="7"/>
  <c r="BB559" i="7"/>
  <c r="BB400" i="7"/>
  <c r="BB309" i="7"/>
  <c r="BB169" i="7"/>
  <c r="BB846" i="7"/>
  <c r="BB389" i="7"/>
  <c r="BB779" i="7"/>
  <c r="BB433" i="7"/>
  <c r="BB180" i="7"/>
  <c r="BB526" i="7"/>
  <c r="BB688" i="7"/>
  <c r="BB148" i="7"/>
  <c r="BB174" i="7"/>
  <c r="BB42" i="7"/>
  <c r="BB310" i="7"/>
  <c r="BB419" i="7"/>
  <c r="BB115" i="7"/>
  <c r="BB796" i="7"/>
  <c r="BB86" i="7"/>
  <c r="BB761" i="7"/>
  <c r="BB587" i="7"/>
  <c r="BB24" i="7"/>
  <c r="BB58" i="7"/>
  <c r="BB162" i="7"/>
  <c r="BB381" i="7"/>
  <c r="BB322" i="7"/>
  <c r="BB724" i="7"/>
  <c r="BB504" i="7"/>
  <c r="BB491" i="7"/>
  <c r="BB814" i="7"/>
  <c r="BB462" i="7"/>
  <c r="BB623" i="7"/>
  <c r="BB183" i="7"/>
  <c r="BB146" i="7"/>
  <c r="BB434" i="7"/>
  <c r="BB391" i="7"/>
  <c r="BB87" i="7"/>
  <c r="BB351" i="7"/>
  <c r="BB560" i="7"/>
  <c r="BB8" i="7"/>
  <c r="BB465" i="7"/>
  <c r="BB744" i="7"/>
  <c r="BB332" i="7"/>
  <c r="BB138" i="7"/>
  <c r="BB736" i="7"/>
  <c r="BB402" i="7"/>
  <c r="BB718" i="7"/>
  <c r="BB70" i="7"/>
  <c r="BB428" i="7"/>
  <c r="BB328" i="7"/>
  <c r="BB303" i="7"/>
  <c r="BB686" i="7"/>
  <c r="BB708" i="7"/>
  <c r="BB782" i="7"/>
  <c r="BB755" i="7"/>
  <c r="BB615" i="7"/>
  <c r="BB574" i="7"/>
  <c r="BB678" i="7"/>
  <c r="BB734" i="7"/>
  <c r="BB167" i="7"/>
  <c r="BB280" i="7"/>
  <c r="BB799" i="7"/>
  <c r="BB699" i="7"/>
  <c r="BB152" i="7"/>
  <c r="BB67" i="7"/>
  <c r="BB824" i="7"/>
  <c r="BB278" i="7"/>
  <c r="BB649" i="7"/>
  <c r="BB514" i="7"/>
  <c r="BB212" i="7"/>
  <c r="BB242" i="7"/>
  <c r="BB772" i="7"/>
  <c r="BB567" i="7"/>
  <c r="BB640" i="7"/>
  <c r="BB384" i="7"/>
  <c r="BB579" i="7"/>
  <c r="BB834" i="7"/>
  <c r="BB15" i="7"/>
  <c r="BB668" i="7"/>
  <c r="BB418" i="7"/>
  <c r="BB789" i="7"/>
  <c r="BB503" i="7"/>
  <c r="BB521" i="7"/>
  <c r="BB828" i="7"/>
  <c r="BB343" i="7"/>
  <c r="BB863" i="7"/>
  <c r="BB245" i="7"/>
  <c r="BB561" i="7"/>
  <c r="BB283" i="7"/>
  <c r="BB477" i="7"/>
  <c r="BB259" i="7"/>
  <c r="BB542" i="7"/>
  <c r="BB838" i="7"/>
  <c r="BB807" i="7"/>
  <c r="BB552" i="7"/>
  <c r="BB614" i="7"/>
  <c r="BB550" i="7"/>
  <c r="BB149" i="7"/>
  <c r="BB645" i="7"/>
  <c r="BB570" i="7"/>
  <c r="BB306" i="7"/>
  <c r="BB179" i="7"/>
  <c r="BB429" i="7"/>
  <c r="BB35" i="7"/>
  <c r="BB178" i="7"/>
  <c r="BB618" i="7"/>
  <c r="BB346" i="7"/>
  <c r="BB356" i="7"/>
  <c r="BB182" i="7"/>
  <c r="BB363" i="7"/>
  <c r="BB226" i="7"/>
  <c r="BB407" i="7"/>
  <c r="BB747" i="7"/>
  <c r="BB414" i="7"/>
  <c r="BB661" i="7"/>
  <c r="BB710" i="7"/>
  <c r="BB723" i="7"/>
  <c r="BB376" i="7"/>
  <c r="BB729" i="7"/>
  <c r="BB525" i="7"/>
  <c r="BB29" i="7"/>
  <c r="BB702" i="7"/>
  <c r="BB852" i="7"/>
  <c r="BB90" i="7"/>
  <c r="BB573" i="7"/>
  <c r="BB707" i="7"/>
  <c r="BB222" i="7"/>
  <c r="BB785" i="7"/>
  <c r="BB519" i="7"/>
  <c r="BB494" i="7"/>
  <c r="BB847" i="7"/>
  <c r="BB261" i="7"/>
  <c r="BB800" i="7"/>
  <c r="BB588" i="7"/>
  <c r="BB160" i="7"/>
  <c r="BB26" i="7"/>
  <c r="BB595" i="7"/>
  <c r="BB822" i="7"/>
  <c r="BB440" i="7"/>
  <c r="BB665" i="7"/>
  <c r="BB764" i="7"/>
  <c r="BB777" i="7"/>
  <c r="BB671" i="7"/>
  <c r="BB832" i="7"/>
  <c r="BB228" i="7"/>
  <c r="BB634" i="7"/>
  <c r="BB114" i="7"/>
  <c r="BB385" i="7"/>
  <c r="BB37" i="7"/>
  <c r="BB279" i="7"/>
  <c r="BB191" i="7"/>
  <c r="BB108" i="7"/>
  <c r="BB56" i="7"/>
  <c r="BB311" i="7"/>
  <c r="BB507" i="7"/>
  <c r="BB97" i="7"/>
  <c r="BB500" i="7"/>
  <c r="BB319" i="7"/>
  <c r="BB18" i="7"/>
  <c r="BB264" i="7"/>
  <c r="BB437" i="7"/>
  <c r="BB510" i="7"/>
  <c r="BB338" i="7"/>
  <c r="BB853" i="7"/>
  <c r="BB111" i="7"/>
  <c r="BB333" i="7"/>
  <c r="BB186" i="7"/>
  <c r="BB721" i="7"/>
  <c r="BB102" i="7"/>
  <c r="BB713" i="7"/>
  <c r="BB809" i="7"/>
  <c r="BB27" i="7"/>
  <c r="BB569" i="7"/>
  <c r="BB446" i="7"/>
  <c r="BB150" i="7"/>
  <c r="BB164" i="7"/>
  <c r="BB184" i="7"/>
  <c r="BB865" i="7"/>
  <c r="BB40" i="7"/>
  <c r="BB726" i="7"/>
  <c r="BB122" i="7"/>
  <c r="BB817" i="7"/>
  <c r="BB452" i="7"/>
  <c r="BB89" i="7"/>
  <c r="BB187" i="7"/>
  <c r="BB593" i="7"/>
  <c r="BB399" i="7"/>
  <c r="BB294" i="7"/>
  <c r="BB819" i="7"/>
  <c r="BB499" i="7"/>
  <c r="BB522" i="7"/>
  <c r="BB598" i="7"/>
  <c r="BB80" i="7"/>
  <c r="BB509" i="7"/>
  <c r="BC509" i="7" s="1"/>
  <c r="BB798" i="7"/>
  <c r="BC798" i="7" s="1"/>
  <c r="BB643" i="7"/>
  <c r="BC643" i="7" s="1"/>
  <c r="BB439" i="7"/>
  <c r="BC439" i="7" s="1"/>
  <c r="BB749" i="7"/>
  <c r="BC749" i="7" s="1"/>
  <c r="BB53" i="7"/>
  <c r="BC53" i="7" s="1"/>
  <c r="BB454" i="7"/>
  <c r="BC454" i="7" s="1"/>
  <c r="BB679" i="7"/>
  <c r="BC679" i="7" s="1"/>
  <c r="BB631" i="7"/>
  <c r="BC631" i="7" s="1"/>
  <c r="BB118" i="7"/>
  <c r="BC118" i="7" s="1"/>
  <c r="BB9" i="7"/>
  <c r="BC9" i="7" s="1"/>
  <c r="BB76" i="7"/>
  <c r="BC76" i="7" s="1"/>
  <c r="BB398" i="7"/>
  <c r="BC398" i="7" s="1"/>
  <c r="BB758" i="7"/>
  <c r="BC758" i="7" s="1"/>
  <c r="BB442" i="7"/>
  <c r="BC442" i="7" s="1"/>
  <c r="BB45" i="7"/>
  <c r="BC45" i="7" s="1"/>
  <c r="BB81" i="7"/>
  <c r="BC81" i="7" s="1"/>
  <c r="BB286" i="7"/>
  <c r="BC286" i="7" s="1"/>
  <c r="BB354" i="7"/>
  <c r="BC354" i="7" s="1"/>
  <c r="BB719" i="7"/>
  <c r="BC719" i="7" s="1"/>
  <c r="BB449" i="7"/>
  <c r="BC449" i="7" s="1"/>
  <c r="BB11" i="7"/>
  <c r="BC11" i="7" s="1"/>
  <c r="BB564" i="7"/>
  <c r="BC564" i="7" s="1"/>
  <c r="BB826" i="7"/>
  <c r="BC826" i="7" s="1"/>
  <c r="BB825" i="7"/>
  <c r="BC825" i="7" s="1"/>
  <c r="BB717" i="7"/>
  <c r="BC717" i="7" s="1"/>
  <c r="BB258" i="7"/>
  <c r="BC258" i="7" s="1"/>
  <c r="BB88" i="7"/>
  <c r="BC88" i="7" s="1"/>
  <c r="BB870" i="7"/>
  <c r="BC870" i="7" s="1"/>
  <c r="BB704" i="7"/>
  <c r="BC704" i="7" s="1"/>
  <c r="BB195" i="7"/>
  <c r="BC195" i="7" s="1"/>
  <c r="BB855" i="7"/>
  <c r="BC855" i="7" s="1"/>
  <c r="BB133" i="7"/>
  <c r="BC133" i="7" s="1"/>
  <c r="BB364" i="7"/>
  <c r="BC364" i="7" s="1"/>
  <c r="BB571" i="7"/>
  <c r="BC571" i="7" s="1"/>
  <c r="BB209" i="7"/>
  <c r="BC209" i="7" s="1"/>
  <c r="BB628" i="7"/>
  <c r="BC628" i="7" s="1"/>
  <c r="BB334" i="7"/>
  <c r="BC334" i="7" s="1"/>
  <c r="BB533" i="7"/>
  <c r="BC533" i="7" s="1"/>
  <c r="BB685" i="7"/>
  <c r="BC685" i="7" s="1"/>
  <c r="BB568" i="7"/>
  <c r="BC568" i="7" s="1"/>
  <c r="BB377" i="7"/>
  <c r="BC377" i="7" s="1"/>
  <c r="BB140" i="7"/>
  <c r="BC140" i="7" s="1"/>
  <c r="BB415" i="7"/>
  <c r="BC415" i="7" s="1"/>
  <c r="BB386" i="7"/>
  <c r="BC386" i="7" s="1"/>
  <c r="BB656" i="7"/>
  <c r="BC656" i="7" s="1"/>
  <c r="BB652" i="7"/>
  <c r="BC652" i="7" s="1"/>
  <c r="BB387" i="7"/>
  <c r="BC387" i="7" s="1"/>
  <c r="BB287" i="7"/>
  <c r="BC287" i="7" s="1"/>
  <c r="BB21" i="7"/>
  <c r="BC21" i="7" s="1"/>
  <c r="BB607" i="7"/>
  <c r="BC607" i="7" s="1"/>
  <c r="BB746" i="7"/>
  <c r="BC746" i="7" s="1"/>
  <c r="BB836" i="7"/>
  <c r="BC836" i="7" s="1"/>
  <c r="BB445" i="7"/>
  <c r="BC445" i="7" s="1"/>
  <c r="BB308" i="7"/>
  <c r="BC308" i="7" s="1"/>
  <c r="BB669" i="7"/>
  <c r="BC669" i="7" s="1"/>
  <c r="BB340" i="7"/>
  <c r="BC340" i="7" s="1"/>
  <c r="BB282" i="7"/>
  <c r="BC282" i="7" s="1"/>
  <c r="BB602" i="7"/>
  <c r="BC602" i="7" s="1"/>
  <c r="BB676" i="7"/>
  <c r="BC676" i="7" s="1"/>
  <c r="BB695" i="7"/>
  <c r="BC695" i="7" s="1"/>
  <c r="BB763" i="7"/>
  <c r="BC763" i="7" s="1"/>
  <c r="BB478" i="7"/>
  <c r="BC478" i="7" s="1"/>
  <c r="BB79" i="7"/>
  <c r="BC79" i="7" s="1"/>
  <c r="BB168" i="7"/>
  <c r="BC168" i="7" s="1"/>
  <c r="BB857" i="7"/>
  <c r="BC857" i="7" s="1"/>
  <c r="BB137" i="7"/>
  <c r="BC137" i="7" s="1"/>
  <c r="BB233" i="7"/>
  <c r="BC233" i="7" s="1"/>
  <c r="BB249" i="7"/>
  <c r="BC249" i="7" s="1"/>
  <c r="BB51" i="7"/>
  <c r="BC51" i="7" s="1"/>
  <c r="BB742" i="7"/>
  <c r="BC742" i="7" s="1"/>
  <c r="BB830" i="7"/>
  <c r="BC830" i="7" s="1"/>
  <c r="BB181" i="7"/>
  <c r="BC181" i="7" s="1"/>
  <c r="BB752" i="7"/>
  <c r="BC752" i="7" s="1"/>
  <c r="BB193" i="7"/>
  <c r="BC193" i="7" s="1"/>
  <c r="BB596" i="7"/>
  <c r="BC596" i="7" s="1"/>
  <c r="BB801" i="7"/>
  <c r="BC801" i="7" s="1"/>
  <c r="BB323" i="7"/>
  <c r="BC323" i="7" s="1"/>
  <c r="BB304" i="7"/>
  <c r="BC304" i="7" s="1"/>
  <c r="BB681" i="7"/>
  <c r="BC681" i="7" s="1"/>
  <c r="BB546" i="7"/>
  <c r="BC546" i="7" s="1"/>
  <c r="BB320" i="7"/>
  <c r="BC320" i="7" s="1"/>
  <c r="BB706" i="7"/>
  <c r="BC706" i="7" s="1"/>
  <c r="BB390" i="7"/>
  <c r="BC390" i="7" s="1"/>
  <c r="BB372" i="7"/>
  <c r="BC372" i="7" s="1"/>
  <c r="BB756" i="7"/>
  <c r="BC756" i="7" s="1"/>
  <c r="BB250" i="7"/>
  <c r="BC250" i="7" s="1"/>
  <c r="BB380" i="7"/>
  <c r="BC380" i="7" s="1"/>
  <c r="BB856" i="7"/>
  <c r="BC856" i="7" s="1"/>
  <c r="BB277" i="7"/>
  <c r="BC277" i="7" s="1"/>
  <c r="BB527" i="7"/>
  <c r="BC527" i="7" s="1"/>
  <c r="BB667" i="7"/>
  <c r="BC667" i="7" s="1"/>
  <c r="BB606" i="7"/>
  <c r="BC606" i="7" s="1"/>
  <c r="BB397" i="7"/>
  <c r="BC397" i="7" s="1"/>
  <c r="BB768" i="7"/>
  <c r="BC768" i="7" s="1"/>
  <c r="BB613" i="7"/>
  <c r="BC613" i="7" s="1"/>
  <c r="BB660" i="7"/>
  <c r="BC660" i="7" s="1"/>
  <c r="BB100" i="7"/>
  <c r="BC100" i="7" s="1"/>
  <c r="BB200" i="7"/>
  <c r="BC200" i="7" s="1"/>
  <c r="BB409" i="7"/>
  <c r="BC409" i="7" s="1"/>
  <c r="BB461" i="7"/>
  <c r="BC461" i="7" s="1"/>
  <c r="BB438" i="7"/>
  <c r="BC438" i="7" s="1"/>
  <c r="BB117" i="7"/>
  <c r="BC117" i="7" s="1"/>
  <c r="BB831" i="7"/>
  <c r="BC831" i="7" s="1"/>
  <c r="BB658" i="7"/>
  <c r="BC658" i="7" s="1"/>
  <c r="BB158" i="7"/>
  <c r="BC158" i="7" s="1"/>
  <c r="BB839" i="7"/>
  <c r="BC839" i="7" s="1"/>
  <c r="BB272" i="7"/>
  <c r="BC272" i="7" s="1"/>
  <c r="BB496" i="7"/>
  <c r="BC496" i="7" s="1"/>
  <c r="BB132" i="7"/>
  <c r="BC132" i="7" s="1"/>
  <c r="BB166" i="7"/>
  <c r="BC166" i="7" s="1"/>
  <c r="BB13" i="7"/>
  <c r="BC13" i="7" s="1"/>
  <c r="BB714" i="7"/>
  <c r="BC714" i="7" s="1"/>
  <c r="BB20" i="7"/>
  <c r="BC20" i="7" s="1"/>
  <c r="BB136" i="7"/>
  <c r="BC136" i="7" s="1"/>
  <c r="BB196" i="7"/>
  <c r="BC196" i="7" s="1"/>
  <c r="BB172" i="7"/>
  <c r="BC172" i="7" s="1"/>
  <c r="BB32" i="7"/>
  <c r="BC32" i="7" s="1"/>
  <c r="BB367" i="7"/>
  <c r="BC367" i="7" s="1"/>
  <c r="BB208" i="7"/>
  <c r="BC208" i="7" s="1"/>
  <c r="BB129" i="7"/>
  <c r="BC129" i="7" s="1"/>
  <c r="BB82" i="7"/>
  <c r="BC82" i="7" s="1"/>
  <c r="BB687" i="7"/>
  <c r="BC687" i="7" s="1"/>
  <c r="BB600" i="7"/>
  <c r="BC600" i="7" s="1"/>
  <c r="BB103" i="7"/>
  <c r="BC103" i="7" s="1"/>
  <c r="BB820" i="7"/>
  <c r="BC820" i="7" s="1"/>
  <c r="BB727" i="7"/>
  <c r="BC727" i="7" s="1"/>
  <c r="BB213" i="7"/>
  <c r="BC213" i="7" s="1"/>
  <c r="BB690" i="7"/>
  <c r="BC690" i="7" s="1"/>
  <c r="BB582" i="7"/>
  <c r="BC582" i="7" s="1"/>
  <c r="BB611" i="7"/>
  <c r="BC611" i="7" s="1"/>
  <c r="BB325" i="7"/>
  <c r="BC325" i="7" s="1"/>
  <c r="BB621" i="7"/>
  <c r="BC621" i="7" s="1"/>
  <c r="BB760" i="7"/>
  <c r="BC760" i="7" s="1"/>
  <c r="BB541" i="7"/>
  <c r="BC541" i="7" s="1"/>
  <c r="BB673" i="7"/>
  <c r="BC673" i="7" s="1"/>
  <c r="BB105" i="7"/>
  <c r="BC105" i="7" s="1"/>
  <c r="BB737" i="7"/>
  <c r="BC737" i="7" s="1"/>
  <c r="BB670" i="7"/>
  <c r="BC670" i="7" s="1"/>
  <c r="BB774" i="7"/>
  <c r="BC774" i="7" s="1"/>
  <c r="BB816" i="7"/>
  <c r="BC816" i="7" s="1"/>
  <c r="BB581" i="7"/>
  <c r="BC581" i="7" s="1"/>
  <c r="BB616" i="7"/>
  <c r="BC616" i="7" s="1"/>
  <c r="BB693" i="7"/>
  <c r="BC693" i="7" s="1"/>
  <c r="BB298" i="7"/>
  <c r="BC298" i="7" s="1"/>
  <c r="BB98" i="7"/>
  <c r="BC98" i="7" s="1"/>
  <c r="BB371" i="7"/>
  <c r="BC371" i="7" s="1"/>
  <c r="BB350" i="7"/>
  <c r="BC350" i="7" s="1"/>
  <c r="BB629" i="7"/>
  <c r="BC629" i="7" s="1"/>
  <c r="BB833" i="7"/>
  <c r="BC833" i="7" s="1"/>
  <c r="BB444" i="7"/>
  <c r="BC444" i="7" s="1"/>
  <c r="BB473" i="7"/>
  <c r="BC473" i="7" s="1"/>
  <c r="BB74" i="7"/>
  <c r="BC74" i="7" s="1"/>
  <c r="BB292" i="7"/>
  <c r="BC292" i="7" s="1"/>
  <c r="BB757" i="7"/>
  <c r="BC757" i="7" s="1"/>
  <c r="BB205" i="7"/>
  <c r="BC205" i="7" s="1"/>
  <c r="BB101" i="7"/>
  <c r="BC101" i="7" s="1"/>
  <c r="BB558" i="7"/>
  <c r="BC558" i="7" s="1"/>
  <c r="BB597" i="7"/>
  <c r="BC597" i="7" s="1"/>
  <c r="BB545" i="7"/>
  <c r="BC545" i="7" s="1"/>
  <c r="BB436" i="7"/>
  <c r="BC436" i="7" s="1"/>
  <c r="BB470" i="7"/>
  <c r="BC470" i="7" s="1"/>
  <c r="BB632" i="7"/>
  <c r="BC632" i="7" s="1"/>
  <c r="BB107" i="7"/>
  <c r="BC107" i="7" s="1"/>
  <c r="BB243" i="7"/>
  <c r="BC243" i="7" s="1"/>
  <c r="BB806" i="7"/>
  <c r="BC806" i="7" s="1"/>
  <c r="BB829" i="7"/>
  <c r="BC829" i="7" s="1"/>
  <c r="BB405" i="7"/>
  <c r="BC405" i="7" s="1"/>
  <c r="BB44" i="7"/>
  <c r="BC44" i="7" s="1"/>
  <c r="BB773" i="7"/>
  <c r="BC773" i="7" s="1"/>
  <c r="BB506" i="7"/>
  <c r="BC506" i="7" s="1"/>
  <c r="BB198" i="7"/>
  <c r="BC198" i="7" s="1"/>
  <c r="BB207" i="7"/>
  <c r="BC207" i="7" s="1"/>
  <c r="BB289" i="7"/>
  <c r="BC289" i="7" s="1"/>
  <c r="BB698" i="7"/>
  <c r="BC698" i="7" s="1"/>
  <c r="BB267" i="7"/>
  <c r="BC267" i="7" s="1"/>
  <c r="BB731" i="7"/>
  <c r="BC731" i="7" s="1"/>
  <c r="BB647" i="7"/>
  <c r="BC647" i="7" s="1"/>
  <c r="BB653" i="7"/>
  <c r="BC653" i="7" s="1"/>
  <c r="BB715" i="7"/>
  <c r="BC715" i="7" s="1"/>
  <c r="BB110" i="7"/>
  <c r="BC110" i="7" s="1"/>
  <c r="BB513" i="7"/>
  <c r="BC513" i="7" s="1"/>
  <c r="BB284" i="7"/>
  <c r="BC284" i="7" s="1"/>
  <c r="BB255" i="7"/>
  <c r="BC255" i="7" s="1"/>
  <c r="BB619" i="7"/>
  <c r="BC619" i="7" s="1"/>
  <c r="BB677" i="7"/>
  <c r="BC677" i="7" s="1"/>
  <c r="BB778" i="7"/>
  <c r="BC778" i="7" s="1"/>
  <c r="BB369" i="7"/>
  <c r="BC369" i="7" s="1"/>
  <c r="BB716" i="7"/>
  <c r="BC716" i="7" s="1"/>
  <c r="BB273" i="7"/>
  <c r="BC273" i="7" s="1"/>
  <c r="BB696" i="7"/>
  <c r="BC696" i="7" s="1"/>
  <c r="BB194" i="7"/>
  <c r="BC194" i="7" s="1"/>
  <c r="BB531" i="7"/>
  <c r="BC531" i="7" s="1"/>
  <c r="BB610" i="7"/>
  <c r="BC610" i="7" s="1"/>
  <c r="BB843" i="7"/>
  <c r="BC843" i="7" s="1"/>
  <c r="BB92" i="7"/>
  <c r="BC92" i="7" s="1"/>
  <c r="BB827" i="7"/>
  <c r="BC827" i="7" s="1"/>
  <c r="BB802" i="7"/>
  <c r="BC802" i="7" s="1"/>
  <c r="BB495" i="7"/>
  <c r="BC495" i="7" s="1"/>
  <c r="BB109" i="7"/>
  <c r="BC109" i="7" s="1"/>
  <c r="BB780" i="7"/>
  <c r="BC780" i="7" s="1"/>
  <c r="BB66" i="7"/>
  <c r="BC66" i="7" s="1"/>
  <c r="BB430" i="7"/>
  <c r="BC430" i="7" s="1"/>
  <c r="BB703" i="7"/>
  <c r="BC703" i="7" s="1"/>
  <c r="BB83" i="7"/>
  <c r="BC83" i="7" s="1"/>
  <c r="BB867" i="7"/>
  <c r="BC867" i="7" s="1"/>
  <c r="BB528" i="7"/>
  <c r="BC528" i="7" s="1"/>
  <c r="BB529" i="7"/>
  <c r="BC529" i="7" s="1"/>
  <c r="BB173" i="7"/>
  <c r="BC173" i="7" s="1"/>
  <c r="BB72" i="7"/>
  <c r="BC72" i="7" s="1"/>
  <c r="BB544" i="7"/>
  <c r="BC544" i="7" s="1"/>
  <c r="BB252" i="7"/>
  <c r="BC252" i="7" s="1"/>
  <c r="BB203" i="7"/>
  <c r="BC203" i="7" s="1"/>
  <c r="BB642" i="7"/>
  <c r="BC642" i="7" s="1"/>
  <c r="BB474" i="7"/>
  <c r="BC474" i="7" s="1"/>
  <c r="BB554" i="7"/>
  <c r="BC554" i="7" s="1"/>
  <c r="BB68" i="7"/>
  <c r="BC68" i="7" s="1"/>
  <c r="BB291" i="7"/>
  <c r="BC291" i="7" s="1"/>
  <c r="BB501" i="7"/>
  <c r="BC501" i="7" s="1"/>
  <c r="BB19" i="7"/>
  <c r="BC19" i="7" s="1"/>
  <c r="BB740" i="7"/>
  <c r="BC740" i="7" s="1"/>
  <c r="BB75" i="7"/>
  <c r="BC75" i="7" s="1"/>
  <c r="BB349" i="7"/>
  <c r="BC349" i="7" s="1"/>
  <c r="BB85" i="7"/>
  <c r="BC85" i="7" s="1"/>
  <c r="BB637" i="7"/>
  <c r="BC637" i="7" s="1"/>
  <c r="BB604" i="7"/>
  <c r="BC604" i="7" s="1"/>
  <c r="BB787" i="7"/>
  <c r="BC787" i="7" s="1"/>
  <c r="BB161" i="7"/>
  <c r="BC161" i="7" s="1"/>
  <c r="BB770" i="7"/>
  <c r="BC770" i="7" s="1"/>
  <c r="BB451" i="7"/>
  <c r="BC451" i="7" s="1"/>
  <c r="BB365" i="7"/>
  <c r="BC365" i="7" s="1"/>
  <c r="BB335" i="7"/>
  <c r="BC335" i="7" s="1"/>
  <c r="BB664" i="7"/>
  <c r="BC664" i="7" s="1"/>
  <c r="BB741" i="7"/>
  <c r="BC741" i="7" s="1"/>
  <c r="BB563" i="7"/>
  <c r="BC563" i="7" s="1"/>
  <c r="BB784" i="7"/>
  <c r="BC784" i="7" s="1"/>
  <c r="BB84" i="7"/>
  <c r="BC84" i="7" s="1"/>
  <c r="BB565" i="7"/>
  <c r="BC565" i="7" s="1"/>
  <c r="BB443" i="7"/>
  <c r="BC443" i="7" s="1"/>
  <c r="BB134" i="7"/>
  <c r="BC134" i="7" s="1"/>
  <c r="BB448" i="7"/>
  <c r="BC448" i="7" s="1"/>
  <c r="BB666" i="7"/>
  <c r="BC666" i="7" s="1"/>
  <c r="BB229" i="7"/>
  <c r="BC229" i="7" s="1"/>
  <c r="BB225" i="7"/>
  <c r="BC225" i="7" s="1"/>
  <c r="BB464" i="7"/>
  <c r="BC464" i="7" s="1"/>
  <c r="BB219" i="7"/>
  <c r="BC219" i="7" s="1"/>
  <c r="BB201" i="7"/>
  <c r="BC201" i="7" s="1"/>
  <c r="BB295" i="7"/>
  <c r="BC295" i="7" s="1"/>
  <c r="BB197" i="7"/>
  <c r="BC197" i="7" s="1"/>
  <c r="BB823" i="7"/>
  <c r="BC823" i="7" s="1"/>
  <c r="BB518" i="7"/>
  <c r="BC518" i="7" s="1"/>
  <c r="BB330" i="7"/>
  <c r="BC330" i="7" s="1"/>
  <c r="BB403" i="7"/>
  <c r="BC403" i="7" s="1"/>
  <c r="BB585" i="7"/>
  <c r="BC585" i="7" s="1"/>
  <c r="BB733" i="7"/>
  <c r="BC733" i="7" s="1"/>
  <c r="BB485" i="7"/>
  <c r="BC485" i="7" s="1"/>
  <c r="BB484" i="7"/>
  <c r="BC484" i="7" s="1"/>
  <c r="BB43" i="7"/>
  <c r="BC43" i="7" s="1"/>
  <c r="BB482" i="7"/>
  <c r="BC482" i="7" s="1"/>
  <c r="BB524" i="7"/>
  <c r="BC524" i="7" s="1"/>
  <c r="BB54" i="7"/>
  <c r="BC54" i="7" s="1"/>
  <c r="BB202" i="7"/>
  <c r="BC202" i="7" s="1"/>
  <c r="BB290" i="7"/>
  <c r="BC290" i="7" s="1"/>
  <c r="BB601" i="7"/>
  <c r="BC601" i="7" s="1"/>
  <c r="BB293" i="7"/>
  <c r="BC293" i="7" s="1"/>
  <c r="BB362" i="7"/>
  <c r="BC362" i="7" s="1"/>
  <c r="BB837" i="7"/>
  <c r="BC837" i="7" s="1"/>
  <c r="BB516" i="7"/>
  <c r="BC516" i="7" s="1"/>
  <c r="BB682" i="7"/>
  <c r="BC682" i="7" s="1"/>
  <c r="BB190" i="7"/>
  <c r="BC190" i="7" s="1"/>
  <c r="BB844" i="7"/>
  <c r="BC844" i="7" s="1"/>
  <c r="BB472" i="7"/>
  <c r="BC472" i="7" s="1"/>
  <c r="BB701" i="7"/>
  <c r="BC701" i="7" s="1"/>
  <c r="BB220" i="7"/>
  <c r="BC220" i="7" s="1"/>
  <c r="BB361" i="7"/>
  <c r="BC361" i="7" s="1"/>
  <c r="BB459" i="7"/>
  <c r="BC459" i="7" s="1"/>
  <c r="BB864" i="7"/>
  <c r="BC864" i="7" s="1"/>
  <c r="BB424" i="7"/>
  <c r="BC424" i="7" s="1"/>
  <c r="BB423" i="7"/>
  <c r="BC423" i="7" s="1"/>
  <c r="BB466" i="7"/>
  <c r="BC466" i="7" s="1"/>
  <c r="BB609" i="7"/>
  <c r="BC609" i="7" s="1"/>
  <c r="BB432" i="7"/>
  <c r="BC432" i="7" s="1"/>
  <c r="BB427" i="7"/>
  <c r="BC427" i="7" s="1"/>
  <c r="BB359" i="7"/>
  <c r="BC359" i="7" s="1"/>
  <c r="BB256" i="7"/>
  <c r="BC256" i="7" s="1"/>
  <c r="AZ722" i="7"/>
  <c r="AZ375" i="7"/>
  <c r="AZ630" i="7"/>
  <c r="AZ263" i="7"/>
  <c r="AZ487" i="7"/>
  <c r="AZ457" i="7"/>
  <c r="AZ30" i="7"/>
  <c r="AZ515" i="7"/>
  <c r="AZ441" i="7"/>
  <c r="AZ551" i="7"/>
  <c r="AZ657" i="7"/>
  <c r="AZ469" i="7"/>
  <c r="AZ848" i="7"/>
  <c r="AZ147" i="7"/>
  <c r="AZ241" i="7"/>
  <c r="AZ25" i="7"/>
  <c r="AZ583" i="7"/>
  <c r="AZ17" i="7"/>
  <c r="AZ586" i="7"/>
  <c r="AZ154" i="7"/>
  <c r="AZ46" i="7"/>
  <c r="AZ329" i="7"/>
  <c r="AZ765" i="7"/>
  <c r="AZ143" i="7"/>
  <c r="AZ425" i="7"/>
  <c r="AZ536" i="7"/>
  <c r="AZ38" i="7"/>
  <c r="AZ576" i="7"/>
  <c r="AZ240" i="7"/>
  <c r="AZ753" i="7"/>
  <c r="AZ34" i="7"/>
  <c r="AZ663" i="7"/>
  <c r="AZ547" i="7"/>
  <c r="AZ635" i="7"/>
  <c r="AZ592" i="7"/>
  <c r="AZ539" i="7"/>
  <c r="AZ275" i="7"/>
  <c r="AZ578" i="7"/>
  <c r="AZ858" i="7"/>
  <c r="AZ548" i="7"/>
  <c r="AZ316" i="7"/>
  <c r="AZ644" i="7"/>
  <c r="AZ318" i="7"/>
  <c r="AZ532" i="7"/>
  <c r="AZ216" i="7"/>
  <c r="AZ511" i="7"/>
  <c r="AZ416" i="7"/>
  <c r="AZ577" i="7"/>
  <c r="AZ393" i="7"/>
  <c r="AZ14" i="7"/>
  <c r="AZ28" i="7"/>
  <c r="AZ725" i="7"/>
  <c r="AZ237" i="7"/>
  <c r="AZ411" i="7"/>
  <c r="AZ165" i="7"/>
  <c r="AZ60" i="7"/>
  <c r="AZ410" i="7"/>
  <c r="AZ262" i="7"/>
  <c r="AZ230" i="7"/>
  <c r="AZ549" i="7"/>
  <c r="AZ236" i="7"/>
  <c r="AZ244" i="7"/>
  <c r="AZ512" i="7"/>
  <c r="AZ344" i="7"/>
  <c r="AZ113" i="7"/>
  <c r="AZ139" i="7"/>
  <c r="AZ648" i="7"/>
  <c r="AZ735" i="7"/>
  <c r="AZ851" i="7"/>
  <c r="AZ680" i="7"/>
  <c r="AZ285" i="7"/>
  <c r="AZ61" i="7"/>
  <c r="AZ508" i="7"/>
  <c r="AZ479" i="7"/>
  <c r="AZ771" i="7"/>
  <c r="AZ868" i="7"/>
  <c r="AZ341" i="7"/>
  <c r="AZ388" i="7"/>
  <c r="AZ627" i="7"/>
  <c r="AZ705" i="7"/>
  <c r="AZ125" i="7"/>
  <c r="AZ64" i="7"/>
  <c r="AZ57" i="7"/>
  <c r="AZ854" i="7"/>
  <c r="AZ794" i="7"/>
  <c r="AZ417" i="7"/>
  <c r="AZ435" i="7"/>
  <c r="AZ754" i="7"/>
  <c r="AZ313" i="7"/>
  <c r="AZ135" i="7"/>
  <c r="AZ268" i="7"/>
  <c r="AZ331" i="7"/>
  <c r="AZ151" i="7"/>
  <c r="AZ805" i="7"/>
  <c r="AZ730" i="7"/>
  <c r="AZ312" i="7"/>
  <c r="AZ523" i="7"/>
  <c r="AZ759" i="7"/>
  <c r="AZ672" i="7"/>
  <c r="AZ605" i="7"/>
  <c r="AZ366" i="7"/>
  <c r="AZ575" i="7"/>
  <c r="AZ12" i="7"/>
  <c r="AZ144" i="7"/>
  <c r="AZ159" i="7"/>
  <c r="AZ790" i="7"/>
  <c r="AZ128" i="7"/>
  <c r="AZ401" i="7"/>
  <c r="AZ127" i="7"/>
  <c r="AZ73" i="7"/>
  <c r="AZ374" i="7"/>
  <c r="AZ808" i="7"/>
  <c r="AZ297" i="7"/>
  <c r="AZ404" i="7"/>
  <c r="AZ775" i="7"/>
  <c r="AZ813" i="7"/>
  <c r="AZ762" i="7"/>
  <c r="AZ795" i="7"/>
  <c r="AZ812" i="7"/>
  <c r="AZ580" i="7"/>
  <c r="AZ497" i="7"/>
  <c r="AZ502" i="7"/>
  <c r="AZ748" i="7"/>
  <c r="AZ22" i="7"/>
  <c r="AZ791" i="7"/>
  <c r="AZ345" i="7"/>
  <c r="AZ540" i="7"/>
  <c r="AZ370" i="7"/>
  <c r="AZ622" i="7"/>
  <c r="AZ124" i="7"/>
  <c r="AZ422" i="7"/>
  <c r="AZ426" i="7"/>
  <c r="AZ141" i="7"/>
  <c r="AZ302" i="7"/>
  <c r="AZ584" i="7"/>
  <c r="AZ555" i="7"/>
  <c r="AZ767" i="7"/>
  <c r="AZ210" i="7"/>
  <c r="AZ342" i="7"/>
  <c r="AZ383" i="7"/>
  <c r="AZ559" i="7"/>
  <c r="AZ400" i="7"/>
  <c r="AZ309" i="7"/>
  <c r="AZ169" i="7"/>
  <c r="AZ846" i="7"/>
  <c r="AZ389" i="7"/>
  <c r="AZ779" i="7"/>
  <c r="AZ433" i="7"/>
  <c r="AZ180" i="7"/>
  <c r="AZ526" i="7"/>
  <c r="AZ688" i="7"/>
  <c r="AZ148" i="7"/>
  <c r="AZ174" i="7"/>
  <c r="AZ42" i="7"/>
  <c r="AZ310" i="7"/>
  <c r="AZ419" i="7"/>
  <c r="AZ115" i="7"/>
  <c r="AZ796" i="7"/>
  <c r="AZ86" i="7"/>
  <c r="AZ761" i="7"/>
  <c r="AZ587" i="7"/>
  <c r="AZ24" i="7"/>
  <c r="AZ58" i="7"/>
  <c r="AZ162" i="7"/>
  <c r="AZ381" i="7"/>
  <c r="AZ322" i="7"/>
  <c r="AZ724" i="7"/>
  <c r="AZ504" i="7"/>
  <c r="AZ491" i="7"/>
  <c r="AZ814" i="7"/>
  <c r="AZ462" i="7"/>
  <c r="AZ623" i="7"/>
  <c r="AZ183" i="7"/>
  <c r="AZ146" i="7"/>
  <c r="AZ434" i="7"/>
  <c r="AZ391" i="7"/>
  <c r="AZ87" i="7"/>
  <c r="AZ351" i="7"/>
  <c r="AZ560" i="7"/>
  <c r="AZ8" i="7"/>
  <c r="AZ465" i="7"/>
  <c r="AZ744" i="7"/>
  <c r="AZ332" i="7"/>
  <c r="AZ138" i="7"/>
  <c r="AZ736" i="7"/>
  <c r="AZ402" i="7"/>
  <c r="AZ718" i="7"/>
  <c r="AZ70" i="7"/>
  <c r="AZ428" i="7"/>
  <c r="AZ328" i="7"/>
  <c r="AZ303" i="7"/>
  <c r="AZ686" i="7"/>
  <c r="AZ708" i="7"/>
  <c r="AZ782" i="7"/>
  <c r="AZ755" i="7"/>
  <c r="AZ615" i="7"/>
  <c r="AZ574" i="7"/>
  <c r="AZ678" i="7"/>
  <c r="AZ734" i="7"/>
  <c r="AZ167" i="7"/>
  <c r="AZ280" i="7"/>
  <c r="AZ799" i="7"/>
  <c r="AZ699" i="7"/>
  <c r="AZ152" i="7"/>
  <c r="AZ67" i="7"/>
  <c r="AZ824" i="7"/>
  <c r="AZ278" i="7"/>
  <c r="AZ649" i="7"/>
  <c r="AZ514" i="7"/>
  <c r="AZ212" i="7"/>
  <c r="AZ242" i="7"/>
  <c r="AZ772" i="7"/>
  <c r="AZ567" i="7"/>
  <c r="AZ640" i="7"/>
  <c r="AZ384" i="7"/>
  <c r="AZ579" i="7"/>
  <c r="AZ834" i="7"/>
  <c r="AZ15" i="7"/>
  <c r="AZ668" i="7"/>
  <c r="AZ418" i="7"/>
  <c r="AZ789" i="7"/>
  <c r="AZ503" i="7"/>
  <c r="AZ521" i="7"/>
  <c r="AZ828" i="7"/>
  <c r="AZ343" i="7"/>
  <c r="AZ863" i="7"/>
  <c r="AZ245" i="7"/>
  <c r="AZ561" i="7"/>
  <c r="AZ283" i="7"/>
  <c r="AZ477" i="7"/>
  <c r="AZ259" i="7"/>
  <c r="AZ542" i="7"/>
  <c r="AZ838" i="7"/>
  <c r="AZ807" i="7"/>
  <c r="AZ552" i="7"/>
  <c r="AZ614" i="7"/>
  <c r="AZ550" i="7"/>
  <c r="AZ149" i="7"/>
  <c r="AZ645" i="7"/>
  <c r="AZ570" i="7"/>
  <c r="AZ306" i="7"/>
  <c r="AZ179" i="7"/>
  <c r="AZ429" i="7"/>
  <c r="AZ35" i="7"/>
  <c r="AZ178" i="7"/>
  <c r="AZ618" i="7"/>
  <c r="AZ346" i="7"/>
  <c r="AZ356" i="7"/>
  <c r="AZ182" i="7"/>
  <c r="AZ363" i="7"/>
  <c r="AZ226" i="7"/>
  <c r="AZ407" i="7"/>
  <c r="AZ747" i="7"/>
  <c r="AZ414" i="7"/>
  <c r="AZ661" i="7"/>
  <c r="AZ710" i="7"/>
  <c r="AZ723" i="7"/>
  <c r="AZ376" i="7"/>
  <c r="AZ729" i="7"/>
  <c r="AZ525" i="7"/>
  <c r="AZ29" i="7"/>
  <c r="AZ702" i="7"/>
  <c r="AZ852" i="7"/>
  <c r="AZ90" i="7"/>
  <c r="AZ573" i="7"/>
  <c r="AZ707" i="7"/>
  <c r="AZ222" i="7"/>
  <c r="AZ785" i="7"/>
  <c r="AZ519" i="7"/>
  <c r="AZ494" i="7"/>
  <c r="AZ847" i="7"/>
  <c r="AZ261" i="7"/>
  <c r="AZ800" i="7"/>
  <c r="AZ588" i="7"/>
  <c r="AZ160" i="7"/>
  <c r="AZ26" i="7"/>
  <c r="AZ595" i="7"/>
  <c r="AZ822" i="7"/>
  <c r="AZ440" i="7"/>
  <c r="AZ665" i="7"/>
  <c r="AZ764" i="7"/>
  <c r="AZ777" i="7"/>
  <c r="AZ671" i="7"/>
  <c r="AZ832" i="7"/>
  <c r="AZ228" i="7"/>
  <c r="AZ634" i="7"/>
  <c r="AZ114" i="7"/>
  <c r="AZ385" i="7"/>
  <c r="AZ37" i="7"/>
  <c r="AZ279" i="7"/>
  <c r="AZ191" i="7"/>
  <c r="AZ108" i="7"/>
  <c r="AZ56" i="7"/>
  <c r="AZ311" i="7"/>
  <c r="AZ507" i="7"/>
  <c r="AZ97" i="7"/>
  <c r="AZ500" i="7"/>
  <c r="AZ319" i="7"/>
  <c r="AZ18" i="7"/>
  <c r="AZ264" i="7"/>
  <c r="AZ437" i="7"/>
  <c r="AZ510" i="7"/>
  <c r="AZ338" i="7"/>
  <c r="AZ853" i="7"/>
  <c r="AZ111" i="7"/>
  <c r="AZ333" i="7"/>
  <c r="AZ186" i="7"/>
  <c r="AZ721" i="7"/>
  <c r="AZ102" i="7"/>
  <c r="AZ713" i="7"/>
  <c r="AZ809" i="7"/>
  <c r="AZ27" i="7"/>
  <c r="AZ569" i="7"/>
  <c r="AZ446" i="7"/>
  <c r="AZ150" i="7"/>
  <c r="AZ164" i="7"/>
  <c r="AZ184" i="7"/>
  <c r="AZ865" i="7"/>
  <c r="AZ40" i="7"/>
  <c r="AZ726" i="7"/>
  <c r="AZ122" i="7"/>
  <c r="AZ817" i="7"/>
  <c r="AZ452" i="7"/>
  <c r="AZ89" i="7"/>
  <c r="AZ187" i="7"/>
  <c r="AZ593" i="7"/>
  <c r="AZ399" i="7"/>
  <c r="AZ294" i="7"/>
  <c r="AZ819" i="7"/>
  <c r="AZ499" i="7"/>
  <c r="AZ522" i="7"/>
  <c r="AZ598" i="7"/>
  <c r="AZ80" i="7"/>
  <c r="AZ509" i="7"/>
  <c r="AZ798" i="7"/>
  <c r="AZ643" i="7"/>
  <c r="AZ439" i="7"/>
  <c r="AZ749" i="7"/>
  <c r="AZ53" i="7"/>
  <c r="AZ454" i="7"/>
  <c r="AZ679" i="7"/>
  <c r="AZ631" i="7"/>
  <c r="AZ118" i="7"/>
  <c r="AZ9" i="7"/>
  <c r="AZ76" i="7"/>
  <c r="AZ398" i="7"/>
  <c r="AZ758" i="7"/>
  <c r="AZ442" i="7"/>
  <c r="AZ45" i="7"/>
  <c r="AZ81" i="7"/>
  <c r="AZ286" i="7"/>
  <c r="AZ354" i="7"/>
  <c r="AZ719" i="7"/>
  <c r="AZ449" i="7"/>
  <c r="AZ11" i="7"/>
  <c r="AZ564" i="7"/>
  <c r="AZ826" i="7"/>
  <c r="AZ825" i="7"/>
  <c r="AZ717" i="7"/>
  <c r="AZ258" i="7"/>
  <c r="AZ88" i="7"/>
  <c r="AZ870" i="7"/>
  <c r="AZ704" i="7"/>
  <c r="AZ195" i="7"/>
  <c r="AZ855" i="7"/>
  <c r="AZ133" i="7"/>
  <c r="AZ364" i="7"/>
  <c r="AZ571" i="7"/>
  <c r="AZ209" i="7"/>
  <c r="AZ628" i="7"/>
  <c r="AZ334" i="7"/>
  <c r="AZ533" i="7"/>
  <c r="AZ685" i="7"/>
  <c r="AZ568" i="7"/>
  <c r="AZ377" i="7"/>
  <c r="AZ140" i="7"/>
  <c r="AZ415" i="7"/>
  <c r="AZ386" i="7"/>
  <c r="AZ656" i="7"/>
  <c r="AZ652" i="7"/>
  <c r="AZ387" i="7"/>
  <c r="AZ287" i="7"/>
  <c r="AZ21" i="7"/>
  <c r="AZ607" i="7"/>
  <c r="AZ746" i="7"/>
  <c r="AZ836" i="7"/>
  <c r="AZ445" i="7"/>
  <c r="AZ308" i="7"/>
  <c r="AZ669" i="7"/>
  <c r="AZ340" i="7"/>
  <c r="AZ282" i="7"/>
  <c r="AZ602" i="7"/>
  <c r="AZ676" i="7"/>
  <c r="AZ695" i="7"/>
  <c r="AZ763" i="7"/>
  <c r="AZ478" i="7"/>
  <c r="AZ79" i="7"/>
  <c r="AZ168" i="7"/>
  <c r="AZ857" i="7"/>
  <c r="AZ137" i="7"/>
  <c r="AZ233" i="7"/>
  <c r="AZ249" i="7"/>
  <c r="AZ51" i="7"/>
  <c r="AZ742" i="7"/>
  <c r="AZ830" i="7"/>
  <c r="AZ181" i="7"/>
  <c r="AZ752" i="7"/>
  <c r="AZ193" i="7"/>
  <c r="AZ596" i="7"/>
  <c r="AZ801" i="7"/>
  <c r="AZ323" i="7"/>
  <c r="AZ304" i="7"/>
  <c r="AZ681" i="7"/>
  <c r="AZ546" i="7"/>
  <c r="AZ320" i="7"/>
  <c r="AZ706" i="7"/>
  <c r="AZ390" i="7"/>
  <c r="AZ372" i="7"/>
  <c r="AZ756" i="7"/>
  <c r="AZ250" i="7"/>
  <c r="AZ380" i="7"/>
  <c r="AZ856" i="7"/>
  <c r="AZ277" i="7"/>
  <c r="AZ527" i="7"/>
  <c r="AZ667" i="7"/>
  <c r="AZ606" i="7"/>
  <c r="AZ397" i="7"/>
  <c r="AZ768" i="7"/>
  <c r="AZ613" i="7"/>
  <c r="AZ660" i="7"/>
  <c r="AZ100" i="7"/>
  <c r="AZ200" i="7"/>
  <c r="AZ409" i="7"/>
  <c r="AZ461" i="7"/>
  <c r="AZ438" i="7"/>
  <c r="AZ117" i="7"/>
  <c r="AZ831" i="7"/>
  <c r="AZ658" i="7"/>
  <c r="AZ158" i="7"/>
  <c r="AZ839" i="7"/>
  <c r="AZ272" i="7"/>
  <c r="AZ496" i="7"/>
  <c r="AZ132" i="7"/>
  <c r="AZ166" i="7"/>
  <c r="AZ13" i="7"/>
  <c r="AZ714" i="7"/>
  <c r="AZ20" i="7"/>
  <c r="AZ136" i="7"/>
  <c r="AZ196" i="7"/>
  <c r="AZ172" i="7"/>
  <c r="AZ32" i="7"/>
  <c r="AZ367" i="7"/>
  <c r="AZ208" i="7"/>
  <c r="AZ129" i="7"/>
  <c r="AZ82" i="7"/>
  <c r="AZ687" i="7"/>
  <c r="AZ600" i="7"/>
  <c r="AZ103" i="7"/>
  <c r="AZ820" i="7"/>
  <c r="AZ727" i="7"/>
  <c r="AZ213" i="7"/>
  <c r="AZ690" i="7"/>
  <c r="AZ582" i="7"/>
  <c r="AZ611" i="7"/>
  <c r="AZ325" i="7"/>
  <c r="AZ621" i="7"/>
  <c r="AZ760" i="7"/>
  <c r="AZ541" i="7"/>
  <c r="AZ673" i="7"/>
  <c r="AZ105" i="7"/>
  <c r="AZ737" i="7"/>
  <c r="AZ670" i="7"/>
  <c r="AZ774" i="7"/>
  <c r="AZ816" i="7"/>
  <c r="AZ581" i="7"/>
  <c r="AZ616" i="7"/>
  <c r="AZ693" i="7"/>
  <c r="AZ298" i="7"/>
  <c r="AZ98" i="7"/>
  <c r="AZ371" i="7"/>
  <c r="AZ350" i="7"/>
  <c r="AZ629" i="7"/>
  <c r="AZ833" i="7"/>
  <c r="AZ444" i="7"/>
  <c r="AZ473" i="7"/>
  <c r="AZ74" i="7"/>
  <c r="AZ292" i="7"/>
  <c r="AZ757" i="7"/>
  <c r="AZ205" i="7"/>
  <c r="AZ101" i="7"/>
  <c r="AZ558" i="7"/>
  <c r="AZ597" i="7"/>
  <c r="AZ545" i="7"/>
  <c r="AZ436" i="7"/>
  <c r="AZ470" i="7"/>
  <c r="AZ632" i="7"/>
  <c r="AZ107" i="7"/>
  <c r="AZ243" i="7"/>
  <c r="AZ806" i="7"/>
  <c r="AZ829" i="7"/>
  <c r="AZ405" i="7"/>
  <c r="AZ44" i="7"/>
  <c r="AZ773" i="7"/>
  <c r="AZ506" i="7"/>
  <c r="AZ198" i="7"/>
  <c r="AZ207" i="7"/>
  <c r="AZ289" i="7"/>
  <c r="AZ698" i="7"/>
  <c r="AZ267" i="7"/>
  <c r="AZ731" i="7"/>
  <c r="AZ647" i="7"/>
  <c r="AZ653" i="7"/>
  <c r="AZ715" i="7"/>
  <c r="AZ110" i="7"/>
  <c r="AZ513" i="7"/>
  <c r="AZ284" i="7"/>
  <c r="AZ255" i="7"/>
  <c r="AZ619" i="7"/>
  <c r="AZ677" i="7"/>
  <c r="AZ778" i="7"/>
  <c r="AZ369" i="7"/>
  <c r="AZ716" i="7"/>
  <c r="AZ273" i="7"/>
  <c r="AZ696" i="7"/>
  <c r="AZ194" i="7"/>
  <c r="AZ531" i="7"/>
  <c r="AZ610" i="7"/>
  <c r="AZ843" i="7"/>
  <c r="AZ92" i="7"/>
  <c r="AZ827" i="7"/>
  <c r="AZ802" i="7"/>
  <c r="AZ495" i="7"/>
  <c r="AZ109" i="7"/>
  <c r="AZ780" i="7"/>
  <c r="AZ66" i="7"/>
  <c r="AZ430" i="7"/>
  <c r="AZ703" i="7"/>
  <c r="AZ83" i="7"/>
  <c r="AZ867" i="7"/>
  <c r="AZ528" i="7"/>
  <c r="AZ529" i="7"/>
  <c r="AZ173" i="7"/>
  <c r="AZ72" i="7"/>
  <c r="AZ544" i="7"/>
  <c r="AZ252" i="7"/>
  <c r="AZ203" i="7"/>
  <c r="AZ642" i="7"/>
  <c r="AZ474" i="7"/>
  <c r="AZ554" i="7"/>
  <c r="AZ68" i="7"/>
  <c r="AZ291" i="7"/>
  <c r="AZ501" i="7"/>
  <c r="AZ19" i="7"/>
  <c r="AZ740" i="7"/>
  <c r="AZ75" i="7"/>
  <c r="AZ349" i="7"/>
  <c r="AZ85" i="7"/>
  <c r="AZ637" i="7"/>
  <c r="AZ604" i="7"/>
  <c r="AZ787" i="7"/>
  <c r="AZ161" i="7"/>
  <c r="AZ770" i="7"/>
  <c r="AZ451" i="7"/>
  <c r="AZ365" i="7"/>
  <c r="AZ335" i="7"/>
  <c r="AZ664" i="7"/>
  <c r="AZ741" i="7"/>
  <c r="AZ563" i="7"/>
  <c r="AZ784" i="7"/>
  <c r="AZ84" i="7"/>
  <c r="AZ565" i="7"/>
  <c r="AZ443" i="7"/>
  <c r="AZ134" i="7"/>
  <c r="AZ448" i="7"/>
  <c r="AZ666" i="7"/>
  <c r="AZ229" i="7"/>
  <c r="AZ225" i="7"/>
  <c r="AZ464" i="7"/>
  <c r="AZ219" i="7"/>
  <c r="AZ201" i="7"/>
  <c r="AZ295" i="7"/>
  <c r="AZ197" i="7"/>
  <c r="AZ823" i="7"/>
  <c r="AZ518" i="7"/>
  <c r="AZ330" i="7"/>
  <c r="AZ403" i="7"/>
  <c r="AZ585" i="7"/>
  <c r="AZ733" i="7"/>
  <c r="AZ485" i="7"/>
  <c r="AZ484" i="7"/>
  <c r="AZ43" i="7"/>
  <c r="AZ482" i="7"/>
  <c r="AZ524" i="7"/>
  <c r="AZ54" i="7"/>
  <c r="AZ202" i="7"/>
  <c r="AZ290" i="7"/>
  <c r="AZ601" i="7"/>
  <c r="AZ293" i="7"/>
  <c r="AZ362" i="7"/>
  <c r="AZ837" i="7"/>
  <c r="AZ516" i="7"/>
  <c r="AZ682" i="7"/>
  <c r="AZ190" i="7"/>
  <c r="AZ844" i="7"/>
  <c r="AZ472" i="7"/>
  <c r="AZ701" i="7"/>
  <c r="AZ220" i="7"/>
  <c r="AZ361" i="7"/>
  <c r="AZ459" i="7"/>
  <c r="AZ864" i="7"/>
  <c r="AZ424" i="7"/>
  <c r="AZ423" i="7"/>
  <c r="AZ466" i="7"/>
  <c r="AZ609" i="7"/>
  <c r="AZ432" i="7"/>
  <c r="AZ427" i="7"/>
  <c r="AZ359" i="7"/>
  <c r="AZ256" i="7"/>
  <c r="AY722" i="7"/>
  <c r="AY375" i="7"/>
  <c r="AY630" i="7"/>
  <c r="AY263" i="7"/>
  <c r="AY487" i="7"/>
  <c r="AY457" i="7"/>
  <c r="AY30" i="7"/>
  <c r="AY515" i="7"/>
  <c r="AY441" i="7"/>
  <c r="AY551" i="7"/>
  <c r="AY657" i="7"/>
  <c r="AY469" i="7"/>
  <c r="AY848" i="7"/>
  <c r="AY147" i="7"/>
  <c r="AY241" i="7"/>
  <c r="AY25" i="7"/>
  <c r="AY583" i="7"/>
  <c r="AY17" i="7"/>
  <c r="AY586" i="7"/>
  <c r="AY154" i="7"/>
  <c r="AY46" i="7"/>
  <c r="AY329" i="7"/>
  <c r="AY765" i="7"/>
  <c r="AY143" i="7"/>
  <c r="AY425" i="7"/>
  <c r="AY536" i="7"/>
  <c r="AY38" i="7"/>
  <c r="AY576" i="7"/>
  <c r="AY240" i="7"/>
  <c r="AY753" i="7"/>
  <c r="AY34" i="7"/>
  <c r="AY663" i="7"/>
  <c r="AY547" i="7"/>
  <c r="AY635" i="7"/>
  <c r="AY592" i="7"/>
  <c r="AY539" i="7"/>
  <c r="AY275" i="7"/>
  <c r="AY578" i="7"/>
  <c r="AY858" i="7"/>
  <c r="AY548" i="7"/>
  <c r="AY316" i="7"/>
  <c r="AY644" i="7"/>
  <c r="AY318" i="7"/>
  <c r="AY532" i="7"/>
  <c r="AY216" i="7"/>
  <c r="AY511" i="7"/>
  <c r="AY416" i="7"/>
  <c r="AY577" i="7"/>
  <c r="AY393" i="7"/>
  <c r="AY14" i="7"/>
  <c r="AY28" i="7"/>
  <c r="AY725" i="7"/>
  <c r="AY237" i="7"/>
  <c r="AY411" i="7"/>
  <c r="AY165" i="7"/>
  <c r="AY60" i="7"/>
  <c r="AY410" i="7"/>
  <c r="AY262" i="7"/>
  <c r="AY230" i="7"/>
  <c r="AY549" i="7"/>
  <c r="AY236" i="7"/>
  <c r="AY244" i="7"/>
  <c r="AY512" i="7"/>
  <c r="AY344" i="7"/>
  <c r="AY113" i="7"/>
  <c r="AY139" i="7"/>
  <c r="AY648" i="7"/>
  <c r="AY735" i="7"/>
  <c r="AY851" i="7"/>
  <c r="AY680" i="7"/>
  <c r="AY285" i="7"/>
  <c r="AY61" i="7"/>
  <c r="AY508" i="7"/>
  <c r="AY479" i="7"/>
  <c r="AY771" i="7"/>
  <c r="AY868" i="7"/>
  <c r="AY341" i="7"/>
  <c r="AY388" i="7"/>
  <c r="AY627" i="7"/>
  <c r="AY705" i="7"/>
  <c r="AY125" i="7"/>
  <c r="AY64" i="7"/>
  <c r="AY57" i="7"/>
  <c r="AY854" i="7"/>
  <c r="AY794" i="7"/>
  <c r="AY417" i="7"/>
  <c r="AY435" i="7"/>
  <c r="AY754" i="7"/>
  <c r="AY313" i="7"/>
  <c r="AY135" i="7"/>
  <c r="AY268" i="7"/>
  <c r="AY331" i="7"/>
  <c r="AY151" i="7"/>
  <c r="AY805" i="7"/>
  <c r="AY730" i="7"/>
  <c r="AY312" i="7"/>
  <c r="AY523" i="7"/>
  <c r="AY759" i="7"/>
  <c r="AY672" i="7"/>
  <c r="AY605" i="7"/>
  <c r="AY366" i="7"/>
  <c r="AY575" i="7"/>
  <c r="AY12" i="7"/>
  <c r="AY144" i="7"/>
  <c r="AY159" i="7"/>
  <c r="AY790" i="7"/>
  <c r="AY128" i="7"/>
  <c r="AY401" i="7"/>
  <c r="AY127" i="7"/>
  <c r="AY73" i="7"/>
  <c r="AY374" i="7"/>
  <c r="AY808" i="7"/>
  <c r="AY297" i="7"/>
  <c r="AY404" i="7"/>
  <c r="AY775" i="7"/>
  <c r="AY813" i="7"/>
  <c r="AY762" i="7"/>
  <c r="AY795" i="7"/>
  <c r="AY812" i="7"/>
  <c r="AY580" i="7"/>
  <c r="AY497" i="7"/>
  <c r="AY502" i="7"/>
  <c r="AY748" i="7"/>
  <c r="AY22" i="7"/>
  <c r="AY791" i="7"/>
  <c r="AY345" i="7"/>
  <c r="AY540" i="7"/>
  <c r="AY370" i="7"/>
  <c r="AY622" i="7"/>
  <c r="AY124" i="7"/>
  <c r="AY422" i="7"/>
  <c r="AY426" i="7"/>
  <c r="AY141" i="7"/>
  <c r="AY302" i="7"/>
  <c r="AY584" i="7"/>
  <c r="AY555" i="7"/>
  <c r="AY767" i="7"/>
  <c r="AY210" i="7"/>
  <c r="AY342" i="7"/>
  <c r="AY383" i="7"/>
  <c r="AY559" i="7"/>
  <c r="AY400" i="7"/>
  <c r="AY309" i="7"/>
  <c r="AY169" i="7"/>
  <c r="AY846" i="7"/>
  <c r="AY389" i="7"/>
  <c r="AY779" i="7"/>
  <c r="AY433" i="7"/>
  <c r="AY180" i="7"/>
  <c r="AY526" i="7"/>
  <c r="AY688" i="7"/>
  <c r="AY148" i="7"/>
  <c r="AY174" i="7"/>
  <c r="AY42" i="7"/>
  <c r="AY310" i="7"/>
  <c r="AY419" i="7"/>
  <c r="AY115" i="7"/>
  <c r="AY796" i="7"/>
  <c r="AY86" i="7"/>
  <c r="AY761" i="7"/>
  <c r="AY587" i="7"/>
  <c r="AY24" i="7"/>
  <c r="AY58" i="7"/>
  <c r="AY162" i="7"/>
  <c r="AY381" i="7"/>
  <c r="AY322" i="7"/>
  <c r="AY724" i="7"/>
  <c r="AY504" i="7"/>
  <c r="AY491" i="7"/>
  <c r="AY814" i="7"/>
  <c r="AY462" i="7"/>
  <c r="AY623" i="7"/>
  <c r="AY183" i="7"/>
  <c r="AY146" i="7"/>
  <c r="AY434" i="7"/>
  <c r="AY391" i="7"/>
  <c r="AY87" i="7"/>
  <c r="AY351" i="7"/>
  <c r="AY560" i="7"/>
  <c r="AY8" i="7"/>
  <c r="AY465" i="7"/>
  <c r="AY744" i="7"/>
  <c r="AY332" i="7"/>
  <c r="AY138" i="7"/>
  <c r="AY736" i="7"/>
  <c r="AY402" i="7"/>
  <c r="AY718" i="7"/>
  <c r="AY70" i="7"/>
  <c r="AY428" i="7"/>
  <c r="AY328" i="7"/>
  <c r="AY303" i="7"/>
  <c r="AY686" i="7"/>
  <c r="AY708" i="7"/>
  <c r="AY782" i="7"/>
  <c r="AY755" i="7"/>
  <c r="AY615" i="7"/>
  <c r="AY574" i="7"/>
  <c r="AY678" i="7"/>
  <c r="AY734" i="7"/>
  <c r="AY167" i="7"/>
  <c r="AY280" i="7"/>
  <c r="AY799" i="7"/>
  <c r="AY699" i="7"/>
  <c r="AY152" i="7"/>
  <c r="AY67" i="7"/>
  <c r="AY824" i="7"/>
  <c r="AY278" i="7"/>
  <c r="AY649" i="7"/>
  <c r="AY514" i="7"/>
  <c r="AY212" i="7"/>
  <c r="AY242" i="7"/>
  <c r="AY772" i="7"/>
  <c r="AY567" i="7"/>
  <c r="AY640" i="7"/>
  <c r="AY384" i="7"/>
  <c r="AY579" i="7"/>
  <c r="AY834" i="7"/>
  <c r="AY15" i="7"/>
  <c r="AY668" i="7"/>
  <c r="AY418" i="7"/>
  <c r="AY789" i="7"/>
  <c r="AY503" i="7"/>
  <c r="AY521" i="7"/>
  <c r="AY828" i="7"/>
  <c r="AY343" i="7"/>
  <c r="AY863" i="7"/>
  <c r="AY245" i="7"/>
  <c r="AY561" i="7"/>
  <c r="AY283" i="7"/>
  <c r="AY477" i="7"/>
  <c r="AY259" i="7"/>
  <c r="AY542" i="7"/>
  <c r="AY838" i="7"/>
  <c r="AY807" i="7"/>
  <c r="AY552" i="7"/>
  <c r="AY614" i="7"/>
  <c r="AY550" i="7"/>
  <c r="AY149" i="7"/>
  <c r="AY645" i="7"/>
  <c r="AY570" i="7"/>
  <c r="AY306" i="7"/>
  <c r="AY179" i="7"/>
  <c r="AY429" i="7"/>
  <c r="AY35" i="7"/>
  <c r="AY178" i="7"/>
  <c r="AY618" i="7"/>
  <c r="AY346" i="7"/>
  <c r="AY356" i="7"/>
  <c r="AY182" i="7"/>
  <c r="AY363" i="7"/>
  <c r="AY226" i="7"/>
  <c r="AY407" i="7"/>
  <c r="AY747" i="7"/>
  <c r="AY414" i="7"/>
  <c r="AY661" i="7"/>
  <c r="AY710" i="7"/>
  <c r="AY723" i="7"/>
  <c r="AY376" i="7"/>
  <c r="AY729" i="7"/>
  <c r="AY525" i="7"/>
  <c r="AY29" i="7"/>
  <c r="AY702" i="7"/>
  <c r="AY852" i="7"/>
  <c r="AY90" i="7"/>
  <c r="AY573" i="7"/>
  <c r="AY707" i="7"/>
  <c r="AY222" i="7"/>
  <c r="AY785" i="7"/>
  <c r="AY519" i="7"/>
  <c r="AY494" i="7"/>
  <c r="AY847" i="7"/>
  <c r="AY261" i="7"/>
  <c r="AY800" i="7"/>
  <c r="AY588" i="7"/>
  <c r="AY160" i="7"/>
  <c r="AY26" i="7"/>
  <c r="AY595" i="7"/>
  <c r="AY822" i="7"/>
  <c r="AY440" i="7"/>
  <c r="AY665" i="7"/>
  <c r="AY764" i="7"/>
  <c r="AY777" i="7"/>
  <c r="AY671" i="7"/>
  <c r="AY832" i="7"/>
  <c r="AY228" i="7"/>
  <c r="AY634" i="7"/>
  <c r="AY114" i="7"/>
  <c r="AY385" i="7"/>
  <c r="AY37" i="7"/>
  <c r="AY279" i="7"/>
  <c r="AY191" i="7"/>
  <c r="AY108" i="7"/>
  <c r="AY56" i="7"/>
  <c r="AY311" i="7"/>
  <c r="AY507" i="7"/>
  <c r="AY97" i="7"/>
  <c r="AY500" i="7"/>
  <c r="AY319" i="7"/>
  <c r="AY18" i="7"/>
  <c r="AY264" i="7"/>
  <c r="AY437" i="7"/>
  <c r="AY510" i="7"/>
  <c r="AY338" i="7"/>
  <c r="AY853" i="7"/>
  <c r="AY111" i="7"/>
  <c r="AY333" i="7"/>
  <c r="AY186" i="7"/>
  <c r="AY721" i="7"/>
  <c r="AY102" i="7"/>
  <c r="AY713" i="7"/>
  <c r="AY809" i="7"/>
  <c r="AY27" i="7"/>
  <c r="AY569" i="7"/>
  <c r="AY446" i="7"/>
  <c r="AY150" i="7"/>
  <c r="AY164" i="7"/>
  <c r="AY184" i="7"/>
  <c r="AY865" i="7"/>
  <c r="AY40" i="7"/>
  <c r="AY726" i="7"/>
  <c r="AY122" i="7"/>
  <c r="AY817" i="7"/>
  <c r="AY452" i="7"/>
  <c r="AY89" i="7"/>
  <c r="AY187" i="7"/>
  <c r="AY593" i="7"/>
  <c r="AY399" i="7"/>
  <c r="AY294" i="7"/>
  <c r="AY819" i="7"/>
  <c r="AY499" i="7"/>
  <c r="AY522" i="7"/>
  <c r="AY598" i="7"/>
  <c r="AY80" i="7"/>
  <c r="AY509" i="7"/>
  <c r="AY798" i="7"/>
  <c r="AY643" i="7"/>
  <c r="AY439" i="7"/>
  <c r="AY749" i="7"/>
  <c r="AY53" i="7"/>
  <c r="AY454" i="7"/>
  <c r="AY679" i="7"/>
  <c r="AY631" i="7"/>
  <c r="AY118" i="7"/>
  <c r="AY9" i="7"/>
  <c r="AY76" i="7"/>
  <c r="AY398" i="7"/>
  <c r="AY758" i="7"/>
  <c r="AY442" i="7"/>
  <c r="AY45" i="7"/>
  <c r="AY81" i="7"/>
  <c r="AY286" i="7"/>
  <c r="AY354" i="7"/>
  <c r="AY719" i="7"/>
  <c r="AY449" i="7"/>
  <c r="AY11" i="7"/>
  <c r="AY564" i="7"/>
  <c r="AY826" i="7"/>
  <c r="AY825" i="7"/>
  <c r="AY717" i="7"/>
  <c r="AY258" i="7"/>
  <c r="AY88" i="7"/>
  <c r="AY870" i="7"/>
  <c r="AY704" i="7"/>
  <c r="AY195" i="7"/>
  <c r="AY855" i="7"/>
  <c r="AY133" i="7"/>
  <c r="AY364" i="7"/>
  <c r="AY571" i="7"/>
  <c r="AY209" i="7"/>
  <c r="AY628" i="7"/>
  <c r="AY334" i="7"/>
  <c r="AY533" i="7"/>
  <c r="AY685" i="7"/>
  <c r="AY568" i="7"/>
  <c r="AY377" i="7"/>
  <c r="AY140" i="7"/>
  <c r="AY415" i="7"/>
  <c r="AY386" i="7"/>
  <c r="AY656" i="7"/>
  <c r="AY652" i="7"/>
  <c r="AY387" i="7"/>
  <c r="AY287" i="7"/>
  <c r="AY21" i="7"/>
  <c r="AY607" i="7"/>
  <c r="AY746" i="7"/>
  <c r="AY836" i="7"/>
  <c r="AY445" i="7"/>
  <c r="AY308" i="7"/>
  <c r="AY669" i="7"/>
  <c r="AY340" i="7"/>
  <c r="AY282" i="7"/>
  <c r="AY602" i="7"/>
  <c r="AY676" i="7"/>
  <c r="AY695" i="7"/>
  <c r="AY763" i="7"/>
  <c r="AY478" i="7"/>
  <c r="AY79" i="7"/>
  <c r="AY168" i="7"/>
  <c r="AY857" i="7"/>
  <c r="AY137" i="7"/>
  <c r="AY233" i="7"/>
  <c r="AY249" i="7"/>
  <c r="AY51" i="7"/>
  <c r="AY742" i="7"/>
  <c r="AY830" i="7"/>
  <c r="AY181" i="7"/>
  <c r="AY752" i="7"/>
  <c r="AY193" i="7"/>
  <c r="AY596" i="7"/>
  <c r="AY801" i="7"/>
  <c r="AY323" i="7"/>
  <c r="AY304" i="7"/>
  <c r="AY681" i="7"/>
  <c r="AY546" i="7"/>
  <c r="AY320" i="7"/>
  <c r="AY706" i="7"/>
  <c r="AY390" i="7"/>
  <c r="AY372" i="7"/>
  <c r="AY756" i="7"/>
  <c r="AY250" i="7"/>
  <c r="AY380" i="7"/>
  <c r="AY856" i="7"/>
  <c r="AY277" i="7"/>
  <c r="AY527" i="7"/>
  <c r="AY667" i="7"/>
  <c r="AY606" i="7"/>
  <c r="AY397" i="7"/>
  <c r="AY768" i="7"/>
  <c r="AY613" i="7"/>
  <c r="AY660" i="7"/>
  <c r="AY100" i="7"/>
  <c r="AY200" i="7"/>
  <c r="AY409" i="7"/>
  <c r="AY461" i="7"/>
  <c r="AY438" i="7"/>
  <c r="AY117" i="7"/>
  <c r="AY831" i="7"/>
  <c r="AY658" i="7"/>
  <c r="AY158" i="7"/>
  <c r="AY839" i="7"/>
  <c r="AY272" i="7"/>
  <c r="AY496" i="7"/>
  <c r="AY132" i="7"/>
  <c r="AY166" i="7"/>
  <c r="AY13" i="7"/>
  <c r="AY714" i="7"/>
  <c r="AY20" i="7"/>
  <c r="AY136" i="7"/>
  <c r="AY196" i="7"/>
  <c r="AY172" i="7"/>
  <c r="AY32" i="7"/>
  <c r="AY367" i="7"/>
  <c r="AY208" i="7"/>
  <c r="AY129" i="7"/>
  <c r="AY82" i="7"/>
  <c r="AY687" i="7"/>
  <c r="AY600" i="7"/>
  <c r="AY103" i="7"/>
  <c r="AY820" i="7"/>
  <c r="AY727" i="7"/>
  <c r="AY213" i="7"/>
  <c r="AY690" i="7"/>
  <c r="AY582" i="7"/>
  <c r="AY611" i="7"/>
  <c r="AY325" i="7"/>
  <c r="AY621" i="7"/>
  <c r="AY760" i="7"/>
  <c r="AY541" i="7"/>
  <c r="AY673" i="7"/>
  <c r="AY105" i="7"/>
  <c r="AY737" i="7"/>
  <c r="AY670" i="7"/>
  <c r="AY774" i="7"/>
  <c r="AY816" i="7"/>
  <c r="AY581" i="7"/>
  <c r="AY616" i="7"/>
  <c r="AY693" i="7"/>
  <c r="AY298" i="7"/>
  <c r="AY98" i="7"/>
  <c r="AY371" i="7"/>
  <c r="AY350" i="7"/>
  <c r="AY629" i="7"/>
  <c r="AY833" i="7"/>
  <c r="AY444" i="7"/>
  <c r="AY473" i="7"/>
  <c r="AY74" i="7"/>
  <c r="AY292" i="7"/>
  <c r="AY757" i="7"/>
  <c r="AY205" i="7"/>
  <c r="AY101" i="7"/>
  <c r="AY558" i="7"/>
  <c r="AY597" i="7"/>
  <c r="AY545" i="7"/>
  <c r="AY436" i="7"/>
  <c r="AY470" i="7"/>
  <c r="AY632" i="7"/>
  <c r="AY107" i="7"/>
  <c r="AY243" i="7"/>
  <c r="AY806" i="7"/>
  <c r="AY829" i="7"/>
  <c r="AY405" i="7"/>
  <c r="AY44" i="7"/>
  <c r="AY773" i="7"/>
  <c r="AY506" i="7"/>
  <c r="AY198" i="7"/>
  <c r="AY207" i="7"/>
  <c r="AY289" i="7"/>
  <c r="AY698" i="7"/>
  <c r="AY267" i="7"/>
  <c r="AY731" i="7"/>
  <c r="AY647" i="7"/>
  <c r="AY653" i="7"/>
  <c r="AY715" i="7"/>
  <c r="AY110" i="7"/>
  <c r="AY513" i="7"/>
  <c r="AY284" i="7"/>
  <c r="AY255" i="7"/>
  <c r="AY619" i="7"/>
  <c r="AY677" i="7"/>
  <c r="AY778" i="7"/>
  <c r="AY369" i="7"/>
  <c r="AY716" i="7"/>
  <c r="AY273" i="7"/>
  <c r="AY696" i="7"/>
  <c r="AY194" i="7"/>
  <c r="AY531" i="7"/>
  <c r="AY610" i="7"/>
  <c r="AY843" i="7"/>
  <c r="AY92" i="7"/>
  <c r="AY827" i="7"/>
  <c r="AY802" i="7"/>
  <c r="AY495" i="7"/>
  <c r="AY109" i="7"/>
  <c r="AY780" i="7"/>
  <c r="AY66" i="7"/>
  <c r="AY430" i="7"/>
  <c r="AY703" i="7"/>
  <c r="AY83" i="7"/>
  <c r="AY867" i="7"/>
  <c r="AY528" i="7"/>
  <c r="AY529" i="7"/>
  <c r="AY173" i="7"/>
  <c r="AY72" i="7"/>
  <c r="AY544" i="7"/>
  <c r="AY252" i="7"/>
  <c r="AY203" i="7"/>
  <c r="AY642" i="7"/>
  <c r="AY474" i="7"/>
  <c r="AY554" i="7"/>
  <c r="AY68" i="7"/>
  <c r="AY291" i="7"/>
  <c r="AY501" i="7"/>
  <c r="AY19" i="7"/>
  <c r="AY740" i="7"/>
  <c r="AY75" i="7"/>
  <c r="AY349" i="7"/>
  <c r="AY85" i="7"/>
  <c r="AY637" i="7"/>
  <c r="AY604" i="7"/>
  <c r="AY787" i="7"/>
  <c r="AY161" i="7"/>
  <c r="AY770" i="7"/>
  <c r="AY451" i="7"/>
  <c r="AY365" i="7"/>
  <c r="AY335" i="7"/>
  <c r="AY664" i="7"/>
  <c r="AY741" i="7"/>
  <c r="AY563" i="7"/>
  <c r="AY784" i="7"/>
  <c r="AY84" i="7"/>
  <c r="AY565" i="7"/>
  <c r="AY443" i="7"/>
  <c r="AY134" i="7"/>
  <c r="AY448" i="7"/>
  <c r="AY666" i="7"/>
  <c r="AY229" i="7"/>
  <c r="AY225" i="7"/>
  <c r="AY464" i="7"/>
  <c r="AY219" i="7"/>
  <c r="AY201" i="7"/>
  <c r="AY295" i="7"/>
  <c r="AY197" i="7"/>
  <c r="AY823" i="7"/>
  <c r="AY518" i="7"/>
  <c r="AY330" i="7"/>
  <c r="AY403" i="7"/>
  <c r="AY585" i="7"/>
  <c r="AY733" i="7"/>
  <c r="AY485" i="7"/>
  <c r="AY484" i="7"/>
  <c r="AY43" i="7"/>
  <c r="AY482" i="7"/>
  <c r="AY524" i="7"/>
  <c r="AY54" i="7"/>
  <c r="AY202" i="7"/>
  <c r="AY290" i="7"/>
  <c r="AY601" i="7"/>
  <c r="AY293" i="7"/>
  <c r="AY362" i="7"/>
  <c r="AY837" i="7"/>
  <c r="AY516" i="7"/>
  <c r="AY682" i="7"/>
  <c r="AY190" i="7"/>
  <c r="AY844" i="7"/>
  <c r="AY472" i="7"/>
  <c r="AY701" i="7"/>
  <c r="AY220" i="7"/>
  <c r="AY361" i="7"/>
  <c r="AY459" i="7"/>
  <c r="AY864" i="7"/>
  <c r="AY424" i="7"/>
  <c r="AY423" i="7"/>
  <c r="AY466" i="7"/>
  <c r="AY609" i="7"/>
  <c r="AY432" i="7"/>
  <c r="AY427" i="7"/>
  <c r="AY359" i="7"/>
  <c r="AY256" i="7"/>
  <c r="AX722" i="7"/>
  <c r="AX375" i="7"/>
  <c r="AX630" i="7"/>
  <c r="AX263" i="7"/>
  <c r="AX487" i="7"/>
  <c r="AX457" i="7"/>
  <c r="AX30" i="7"/>
  <c r="AX515" i="7"/>
  <c r="AX441" i="7"/>
  <c r="AX551" i="7"/>
  <c r="AX657" i="7"/>
  <c r="AX469" i="7"/>
  <c r="AX848" i="7"/>
  <c r="AX147" i="7"/>
  <c r="AX241" i="7"/>
  <c r="AX25" i="7"/>
  <c r="AX583" i="7"/>
  <c r="AX17" i="7"/>
  <c r="AX586" i="7"/>
  <c r="AX154" i="7"/>
  <c r="AX46" i="7"/>
  <c r="AX329" i="7"/>
  <c r="AX765" i="7"/>
  <c r="AX143" i="7"/>
  <c r="AX425" i="7"/>
  <c r="AX536" i="7"/>
  <c r="AX38" i="7"/>
  <c r="AX576" i="7"/>
  <c r="AX240" i="7"/>
  <c r="AX753" i="7"/>
  <c r="AX34" i="7"/>
  <c r="AX663" i="7"/>
  <c r="AX547" i="7"/>
  <c r="AX635" i="7"/>
  <c r="AX592" i="7"/>
  <c r="AX539" i="7"/>
  <c r="AX275" i="7"/>
  <c r="AX578" i="7"/>
  <c r="AX858" i="7"/>
  <c r="AX548" i="7"/>
  <c r="AX316" i="7"/>
  <c r="AX644" i="7"/>
  <c r="AX318" i="7"/>
  <c r="AX532" i="7"/>
  <c r="AX216" i="7"/>
  <c r="AX511" i="7"/>
  <c r="AX416" i="7"/>
  <c r="AX577" i="7"/>
  <c r="AX393" i="7"/>
  <c r="AX14" i="7"/>
  <c r="AX28" i="7"/>
  <c r="AX725" i="7"/>
  <c r="AX237" i="7"/>
  <c r="AX411" i="7"/>
  <c r="AX165" i="7"/>
  <c r="AX60" i="7"/>
  <c r="AX410" i="7"/>
  <c r="AX262" i="7"/>
  <c r="AX230" i="7"/>
  <c r="AX549" i="7"/>
  <c r="AX236" i="7"/>
  <c r="AX244" i="7"/>
  <c r="AX512" i="7"/>
  <c r="AX344" i="7"/>
  <c r="AX113" i="7"/>
  <c r="AX139" i="7"/>
  <c r="AX648" i="7"/>
  <c r="AX735" i="7"/>
  <c r="AX851" i="7"/>
  <c r="AX680" i="7"/>
  <c r="AX285" i="7"/>
  <c r="AX61" i="7"/>
  <c r="AX508" i="7"/>
  <c r="AX479" i="7"/>
  <c r="AX771" i="7"/>
  <c r="AX868" i="7"/>
  <c r="AX341" i="7"/>
  <c r="AX388" i="7"/>
  <c r="AX627" i="7"/>
  <c r="AX705" i="7"/>
  <c r="AX125" i="7"/>
  <c r="AX64" i="7"/>
  <c r="AX57" i="7"/>
  <c r="AX854" i="7"/>
  <c r="AX794" i="7"/>
  <c r="AX417" i="7"/>
  <c r="AX435" i="7"/>
  <c r="AX754" i="7"/>
  <c r="AX313" i="7"/>
  <c r="AX135" i="7"/>
  <c r="AX268" i="7"/>
  <c r="AX331" i="7"/>
  <c r="AX151" i="7"/>
  <c r="AX805" i="7"/>
  <c r="AX730" i="7"/>
  <c r="AX312" i="7"/>
  <c r="AX523" i="7"/>
  <c r="AX759" i="7"/>
  <c r="AX672" i="7"/>
  <c r="AX605" i="7"/>
  <c r="AX366" i="7"/>
  <c r="AX575" i="7"/>
  <c r="AX12" i="7"/>
  <c r="AX144" i="7"/>
  <c r="AX159" i="7"/>
  <c r="AX790" i="7"/>
  <c r="AX128" i="7"/>
  <c r="AX401" i="7"/>
  <c r="AX127" i="7"/>
  <c r="AX73" i="7"/>
  <c r="AX374" i="7"/>
  <c r="AX808" i="7"/>
  <c r="AX297" i="7"/>
  <c r="AX404" i="7"/>
  <c r="AX775" i="7"/>
  <c r="AX813" i="7"/>
  <c r="AX762" i="7"/>
  <c r="AX795" i="7"/>
  <c r="AX812" i="7"/>
  <c r="AX580" i="7"/>
  <c r="AX497" i="7"/>
  <c r="AX502" i="7"/>
  <c r="AX748" i="7"/>
  <c r="AX22" i="7"/>
  <c r="AX791" i="7"/>
  <c r="AX345" i="7"/>
  <c r="AX540" i="7"/>
  <c r="AX370" i="7"/>
  <c r="AX622" i="7"/>
  <c r="AX124" i="7"/>
  <c r="AX422" i="7"/>
  <c r="AX426" i="7"/>
  <c r="AX141" i="7"/>
  <c r="AX302" i="7"/>
  <c r="AX584" i="7"/>
  <c r="AX555" i="7"/>
  <c r="AX767" i="7"/>
  <c r="AX210" i="7"/>
  <c r="AX342" i="7"/>
  <c r="AX383" i="7"/>
  <c r="AX559" i="7"/>
  <c r="AX400" i="7"/>
  <c r="AX309" i="7"/>
  <c r="AX169" i="7"/>
  <c r="AX846" i="7"/>
  <c r="AX389" i="7"/>
  <c r="AX779" i="7"/>
  <c r="AX433" i="7"/>
  <c r="AX180" i="7"/>
  <c r="AX526" i="7"/>
  <c r="AX688" i="7"/>
  <c r="AX148" i="7"/>
  <c r="AX174" i="7"/>
  <c r="AX42" i="7"/>
  <c r="AX310" i="7"/>
  <c r="AX419" i="7"/>
  <c r="AX115" i="7"/>
  <c r="AX796" i="7"/>
  <c r="AX86" i="7"/>
  <c r="AX761" i="7"/>
  <c r="AX587" i="7"/>
  <c r="AX24" i="7"/>
  <c r="AX58" i="7"/>
  <c r="AX162" i="7"/>
  <c r="AX381" i="7"/>
  <c r="AX322" i="7"/>
  <c r="AX724" i="7"/>
  <c r="AX504" i="7"/>
  <c r="AX491" i="7"/>
  <c r="AX814" i="7"/>
  <c r="AX462" i="7"/>
  <c r="AX623" i="7"/>
  <c r="AX183" i="7"/>
  <c r="AX146" i="7"/>
  <c r="AX434" i="7"/>
  <c r="AX391" i="7"/>
  <c r="AX87" i="7"/>
  <c r="AX351" i="7"/>
  <c r="AX560" i="7"/>
  <c r="AX8" i="7"/>
  <c r="AX465" i="7"/>
  <c r="AX744" i="7"/>
  <c r="AX332" i="7"/>
  <c r="AX138" i="7"/>
  <c r="AX736" i="7"/>
  <c r="AX402" i="7"/>
  <c r="AX718" i="7"/>
  <c r="AX70" i="7"/>
  <c r="AX428" i="7"/>
  <c r="AX328" i="7"/>
  <c r="AX303" i="7"/>
  <c r="AX686" i="7"/>
  <c r="AX708" i="7"/>
  <c r="AX782" i="7"/>
  <c r="AX755" i="7"/>
  <c r="AX615" i="7"/>
  <c r="AX574" i="7"/>
  <c r="AX678" i="7"/>
  <c r="AX734" i="7"/>
  <c r="AX167" i="7"/>
  <c r="AX280" i="7"/>
  <c r="AX799" i="7"/>
  <c r="AX699" i="7"/>
  <c r="AX152" i="7"/>
  <c r="AX67" i="7"/>
  <c r="AX824" i="7"/>
  <c r="AX278" i="7"/>
  <c r="AX649" i="7"/>
  <c r="AX514" i="7"/>
  <c r="AX212" i="7"/>
  <c r="AX242" i="7"/>
  <c r="AX772" i="7"/>
  <c r="AX567" i="7"/>
  <c r="AX640" i="7"/>
  <c r="AX384" i="7"/>
  <c r="AX579" i="7"/>
  <c r="AX834" i="7"/>
  <c r="AX15" i="7"/>
  <c r="AX668" i="7"/>
  <c r="AX418" i="7"/>
  <c r="AX789" i="7"/>
  <c r="AX503" i="7"/>
  <c r="AX521" i="7"/>
  <c r="AX828" i="7"/>
  <c r="AX343" i="7"/>
  <c r="AX863" i="7"/>
  <c r="AX245" i="7"/>
  <c r="AX561" i="7"/>
  <c r="AX283" i="7"/>
  <c r="AX477" i="7"/>
  <c r="AX259" i="7"/>
  <c r="AX542" i="7"/>
  <c r="AX838" i="7"/>
  <c r="AX807" i="7"/>
  <c r="AX552" i="7"/>
  <c r="AX614" i="7"/>
  <c r="AX550" i="7"/>
  <c r="AX149" i="7"/>
  <c r="AX645" i="7"/>
  <c r="AX570" i="7"/>
  <c r="AX306" i="7"/>
  <c r="AX179" i="7"/>
  <c r="AX429" i="7"/>
  <c r="AX35" i="7"/>
  <c r="AX178" i="7"/>
  <c r="AX618" i="7"/>
  <c r="AX346" i="7"/>
  <c r="AX356" i="7"/>
  <c r="AX182" i="7"/>
  <c r="AX363" i="7"/>
  <c r="AX226" i="7"/>
  <c r="AX407" i="7"/>
  <c r="AX747" i="7"/>
  <c r="AX414" i="7"/>
  <c r="AX661" i="7"/>
  <c r="AX710" i="7"/>
  <c r="AX723" i="7"/>
  <c r="AX376" i="7"/>
  <c r="AX729" i="7"/>
  <c r="AX525" i="7"/>
  <c r="AX29" i="7"/>
  <c r="AX702" i="7"/>
  <c r="AX852" i="7"/>
  <c r="AX90" i="7"/>
  <c r="AX573" i="7"/>
  <c r="AX707" i="7"/>
  <c r="AX222" i="7"/>
  <c r="AX785" i="7"/>
  <c r="AX519" i="7"/>
  <c r="AX494" i="7"/>
  <c r="AX847" i="7"/>
  <c r="AX261" i="7"/>
  <c r="AX800" i="7"/>
  <c r="AX588" i="7"/>
  <c r="AX160" i="7"/>
  <c r="AX26" i="7"/>
  <c r="AX595" i="7"/>
  <c r="AX822" i="7"/>
  <c r="AX440" i="7"/>
  <c r="AX665" i="7"/>
  <c r="AX764" i="7"/>
  <c r="AX777" i="7"/>
  <c r="AX671" i="7"/>
  <c r="AX832" i="7"/>
  <c r="AX228" i="7"/>
  <c r="AX634" i="7"/>
  <c r="AX114" i="7"/>
  <c r="AX385" i="7"/>
  <c r="AX37" i="7"/>
  <c r="AX279" i="7"/>
  <c r="AX191" i="7"/>
  <c r="AX108" i="7"/>
  <c r="AX56" i="7"/>
  <c r="AX311" i="7"/>
  <c r="AX507" i="7"/>
  <c r="AX97" i="7"/>
  <c r="AX500" i="7"/>
  <c r="AX319" i="7"/>
  <c r="AX18" i="7"/>
  <c r="AX264" i="7"/>
  <c r="AX437" i="7"/>
  <c r="AX510" i="7"/>
  <c r="AX338" i="7"/>
  <c r="AX853" i="7"/>
  <c r="AX111" i="7"/>
  <c r="AX333" i="7"/>
  <c r="AX186" i="7"/>
  <c r="AX721" i="7"/>
  <c r="AX102" i="7"/>
  <c r="AX713" i="7"/>
  <c r="AX809" i="7"/>
  <c r="AX27" i="7"/>
  <c r="AX569" i="7"/>
  <c r="AX446" i="7"/>
  <c r="AX150" i="7"/>
  <c r="AX164" i="7"/>
  <c r="AX184" i="7"/>
  <c r="AX865" i="7"/>
  <c r="AX40" i="7"/>
  <c r="AX726" i="7"/>
  <c r="AX122" i="7"/>
  <c r="AX817" i="7"/>
  <c r="AX452" i="7"/>
  <c r="AX89" i="7"/>
  <c r="AX187" i="7"/>
  <c r="AX593" i="7"/>
  <c r="AX399" i="7"/>
  <c r="AX294" i="7"/>
  <c r="AX819" i="7"/>
  <c r="AX499" i="7"/>
  <c r="AX522" i="7"/>
  <c r="AX598" i="7"/>
  <c r="AX80" i="7"/>
  <c r="AX509" i="7"/>
  <c r="AX798" i="7"/>
  <c r="AX643" i="7"/>
  <c r="AX439" i="7"/>
  <c r="AX749" i="7"/>
  <c r="AX53" i="7"/>
  <c r="AX454" i="7"/>
  <c r="AX679" i="7"/>
  <c r="AX631" i="7"/>
  <c r="AX118" i="7"/>
  <c r="AX9" i="7"/>
  <c r="AX76" i="7"/>
  <c r="AX398" i="7"/>
  <c r="AX758" i="7"/>
  <c r="AX442" i="7"/>
  <c r="AX45" i="7"/>
  <c r="AX81" i="7"/>
  <c r="AX286" i="7"/>
  <c r="AX354" i="7"/>
  <c r="AX719" i="7"/>
  <c r="AX449" i="7"/>
  <c r="AX11" i="7"/>
  <c r="AX564" i="7"/>
  <c r="AX826" i="7"/>
  <c r="AX825" i="7"/>
  <c r="AX717" i="7"/>
  <c r="AX258" i="7"/>
  <c r="AX88" i="7"/>
  <c r="AX870" i="7"/>
  <c r="AX704" i="7"/>
  <c r="AX195" i="7"/>
  <c r="AX855" i="7"/>
  <c r="AX133" i="7"/>
  <c r="AX364" i="7"/>
  <c r="AX571" i="7"/>
  <c r="AX209" i="7"/>
  <c r="AX628" i="7"/>
  <c r="AX334" i="7"/>
  <c r="AX533" i="7"/>
  <c r="AX685" i="7"/>
  <c r="AX568" i="7"/>
  <c r="AX377" i="7"/>
  <c r="AX140" i="7"/>
  <c r="AX415" i="7"/>
  <c r="AX386" i="7"/>
  <c r="AX656" i="7"/>
  <c r="AX652" i="7"/>
  <c r="AX387" i="7"/>
  <c r="AX287" i="7"/>
  <c r="AX21" i="7"/>
  <c r="AX607" i="7"/>
  <c r="AX746" i="7"/>
  <c r="AX836" i="7"/>
  <c r="AX445" i="7"/>
  <c r="AX308" i="7"/>
  <c r="AX669" i="7"/>
  <c r="AX340" i="7"/>
  <c r="AX282" i="7"/>
  <c r="AX602" i="7"/>
  <c r="AX676" i="7"/>
  <c r="AX695" i="7"/>
  <c r="AX763" i="7"/>
  <c r="AX478" i="7"/>
  <c r="AX79" i="7"/>
  <c r="AX168" i="7"/>
  <c r="AX857" i="7"/>
  <c r="AX137" i="7"/>
  <c r="AX233" i="7"/>
  <c r="AX249" i="7"/>
  <c r="AX51" i="7"/>
  <c r="AX742" i="7"/>
  <c r="AX830" i="7"/>
  <c r="AX181" i="7"/>
  <c r="AX752" i="7"/>
  <c r="AX193" i="7"/>
  <c r="AX596" i="7"/>
  <c r="AX801" i="7"/>
  <c r="AX323" i="7"/>
  <c r="AX304" i="7"/>
  <c r="AX681" i="7"/>
  <c r="AX546" i="7"/>
  <c r="AX320" i="7"/>
  <c r="AX706" i="7"/>
  <c r="AX390" i="7"/>
  <c r="AX372" i="7"/>
  <c r="AX756" i="7"/>
  <c r="AX250" i="7"/>
  <c r="AX380" i="7"/>
  <c r="AX856" i="7"/>
  <c r="AX277" i="7"/>
  <c r="AX527" i="7"/>
  <c r="AX667" i="7"/>
  <c r="AX606" i="7"/>
  <c r="AX397" i="7"/>
  <c r="AX768" i="7"/>
  <c r="AX613" i="7"/>
  <c r="AX660" i="7"/>
  <c r="AX100" i="7"/>
  <c r="AX200" i="7"/>
  <c r="AX409" i="7"/>
  <c r="AX461" i="7"/>
  <c r="AX438" i="7"/>
  <c r="AX117" i="7"/>
  <c r="AX831" i="7"/>
  <c r="AX658" i="7"/>
  <c r="AX158" i="7"/>
  <c r="AX839" i="7"/>
  <c r="AX272" i="7"/>
  <c r="AX496" i="7"/>
  <c r="AX132" i="7"/>
  <c r="AX166" i="7"/>
  <c r="AX13" i="7"/>
  <c r="AX714" i="7"/>
  <c r="AX20" i="7"/>
  <c r="AX136" i="7"/>
  <c r="AX196" i="7"/>
  <c r="AX172" i="7"/>
  <c r="AX32" i="7"/>
  <c r="AX367" i="7"/>
  <c r="AX208" i="7"/>
  <c r="AX129" i="7"/>
  <c r="AX82" i="7"/>
  <c r="AX687" i="7"/>
  <c r="AX600" i="7"/>
  <c r="AX103" i="7"/>
  <c r="AX820" i="7"/>
  <c r="AX727" i="7"/>
  <c r="AX213" i="7"/>
  <c r="AX690" i="7"/>
  <c r="AX582" i="7"/>
  <c r="AX611" i="7"/>
  <c r="AX325" i="7"/>
  <c r="AX621" i="7"/>
  <c r="AX760" i="7"/>
  <c r="AX541" i="7"/>
  <c r="AX673" i="7"/>
  <c r="AX105" i="7"/>
  <c r="AX737" i="7"/>
  <c r="AX670" i="7"/>
  <c r="AX774" i="7"/>
  <c r="AX816" i="7"/>
  <c r="AX581" i="7"/>
  <c r="AX616" i="7"/>
  <c r="AX693" i="7"/>
  <c r="AX298" i="7"/>
  <c r="AX98" i="7"/>
  <c r="AX371" i="7"/>
  <c r="AX350" i="7"/>
  <c r="AX629" i="7"/>
  <c r="AX833" i="7"/>
  <c r="AX444" i="7"/>
  <c r="AX473" i="7"/>
  <c r="AX74" i="7"/>
  <c r="AX292" i="7"/>
  <c r="AX757" i="7"/>
  <c r="AX205" i="7"/>
  <c r="AX101" i="7"/>
  <c r="AX558" i="7"/>
  <c r="AX597" i="7"/>
  <c r="AX545" i="7"/>
  <c r="AX436" i="7"/>
  <c r="AX470" i="7"/>
  <c r="AX632" i="7"/>
  <c r="AX107" i="7"/>
  <c r="AX243" i="7"/>
  <c r="AX806" i="7"/>
  <c r="AX829" i="7"/>
  <c r="AX405" i="7"/>
  <c r="AX44" i="7"/>
  <c r="AX773" i="7"/>
  <c r="AX506" i="7"/>
  <c r="AX198" i="7"/>
  <c r="AX207" i="7"/>
  <c r="AX289" i="7"/>
  <c r="AX698" i="7"/>
  <c r="AX267" i="7"/>
  <c r="AX731" i="7"/>
  <c r="AX647" i="7"/>
  <c r="AX653" i="7"/>
  <c r="AX715" i="7"/>
  <c r="AX110" i="7"/>
  <c r="AX513" i="7"/>
  <c r="AX284" i="7"/>
  <c r="AX255" i="7"/>
  <c r="AX619" i="7"/>
  <c r="AX677" i="7"/>
  <c r="AX778" i="7"/>
  <c r="AX369" i="7"/>
  <c r="AX716" i="7"/>
  <c r="AX273" i="7"/>
  <c r="AX696" i="7"/>
  <c r="AX194" i="7"/>
  <c r="AX531" i="7"/>
  <c r="AX610" i="7"/>
  <c r="AX843" i="7"/>
  <c r="AX92" i="7"/>
  <c r="AX827" i="7"/>
  <c r="AX802" i="7"/>
  <c r="AX495" i="7"/>
  <c r="AX109" i="7"/>
  <c r="AX780" i="7"/>
  <c r="AX66" i="7"/>
  <c r="AX430" i="7"/>
  <c r="AX703" i="7"/>
  <c r="AX83" i="7"/>
  <c r="AX867" i="7"/>
  <c r="AX528" i="7"/>
  <c r="AX529" i="7"/>
  <c r="AX173" i="7"/>
  <c r="AX72" i="7"/>
  <c r="AX544" i="7"/>
  <c r="AX252" i="7"/>
  <c r="AX203" i="7"/>
  <c r="AX642" i="7"/>
  <c r="AX474" i="7"/>
  <c r="AX554" i="7"/>
  <c r="AX68" i="7"/>
  <c r="AX291" i="7"/>
  <c r="AX501" i="7"/>
  <c r="AX19" i="7"/>
  <c r="AX740" i="7"/>
  <c r="AX75" i="7"/>
  <c r="AX349" i="7"/>
  <c r="AX85" i="7"/>
  <c r="AX637" i="7"/>
  <c r="AX604" i="7"/>
  <c r="AX787" i="7"/>
  <c r="AX161" i="7"/>
  <c r="AX770" i="7"/>
  <c r="AX451" i="7"/>
  <c r="AX365" i="7"/>
  <c r="AX335" i="7"/>
  <c r="AX664" i="7"/>
  <c r="AX741" i="7"/>
  <c r="AX563" i="7"/>
  <c r="AX784" i="7"/>
  <c r="AX84" i="7"/>
  <c r="AX565" i="7"/>
  <c r="AX443" i="7"/>
  <c r="AX134" i="7"/>
  <c r="AX448" i="7"/>
  <c r="AX666" i="7"/>
  <c r="AX229" i="7"/>
  <c r="AX225" i="7"/>
  <c r="AX464" i="7"/>
  <c r="AX219" i="7"/>
  <c r="AX201" i="7"/>
  <c r="AX295" i="7"/>
  <c r="AX197" i="7"/>
  <c r="AX823" i="7"/>
  <c r="AX518" i="7"/>
  <c r="AX330" i="7"/>
  <c r="AX403" i="7"/>
  <c r="AX585" i="7"/>
  <c r="AX733" i="7"/>
  <c r="AX485" i="7"/>
  <c r="AX484" i="7"/>
  <c r="AX43" i="7"/>
  <c r="AX482" i="7"/>
  <c r="AX524" i="7"/>
  <c r="AX54" i="7"/>
  <c r="AX202" i="7"/>
  <c r="AX290" i="7"/>
  <c r="AX601" i="7"/>
  <c r="AX293" i="7"/>
  <c r="AX362" i="7"/>
  <c r="AX837" i="7"/>
  <c r="AX516" i="7"/>
  <c r="AX682" i="7"/>
  <c r="AX190" i="7"/>
  <c r="AX844" i="7"/>
  <c r="AX472" i="7"/>
  <c r="AX701" i="7"/>
  <c r="AX220" i="7"/>
  <c r="AX361" i="7"/>
  <c r="AX459" i="7"/>
  <c r="AX864" i="7"/>
  <c r="AX424" i="7"/>
  <c r="AX423" i="7"/>
  <c r="AX466" i="7"/>
  <c r="AX609" i="7"/>
  <c r="AX432" i="7"/>
  <c r="AX427" i="7"/>
  <c r="AX359" i="7"/>
  <c r="AX256" i="7"/>
  <c r="AW722" i="7"/>
  <c r="AW375" i="7"/>
  <c r="AW630" i="7"/>
  <c r="AW263" i="7"/>
  <c r="AW487" i="7"/>
  <c r="AW457" i="7"/>
  <c r="AW30" i="7"/>
  <c r="AW515" i="7"/>
  <c r="AW441" i="7"/>
  <c r="AW551" i="7"/>
  <c r="AW657" i="7"/>
  <c r="AW469" i="7"/>
  <c r="AW848" i="7"/>
  <c r="AW147" i="7"/>
  <c r="AW241" i="7"/>
  <c r="AW25" i="7"/>
  <c r="AW583" i="7"/>
  <c r="AW17" i="7"/>
  <c r="AW586" i="7"/>
  <c r="AW154" i="7"/>
  <c r="AW46" i="7"/>
  <c r="AW329" i="7"/>
  <c r="AW765" i="7"/>
  <c r="AW143" i="7"/>
  <c r="AW425" i="7"/>
  <c r="AW536" i="7"/>
  <c r="AW38" i="7"/>
  <c r="AW576" i="7"/>
  <c r="AW240" i="7"/>
  <c r="AW753" i="7"/>
  <c r="AW34" i="7"/>
  <c r="AW663" i="7"/>
  <c r="AW547" i="7"/>
  <c r="AW635" i="7"/>
  <c r="AW592" i="7"/>
  <c r="AW539" i="7"/>
  <c r="AW275" i="7"/>
  <c r="AW578" i="7"/>
  <c r="AW858" i="7"/>
  <c r="AW548" i="7"/>
  <c r="AW316" i="7"/>
  <c r="AW644" i="7"/>
  <c r="AW318" i="7"/>
  <c r="AW532" i="7"/>
  <c r="AW216" i="7"/>
  <c r="AW511" i="7"/>
  <c r="AW416" i="7"/>
  <c r="AW577" i="7"/>
  <c r="AW393" i="7"/>
  <c r="AW14" i="7"/>
  <c r="AW28" i="7"/>
  <c r="AW725" i="7"/>
  <c r="AW237" i="7"/>
  <c r="AW411" i="7"/>
  <c r="AW165" i="7"/>
  <c r="AW60" i="7"/>
  <c r="AW410" i="7"/>
  <c r="AW262" i="7"/>
  <c r="AW230" i="7"/>
  <c r="AW549" i="7"/>
  <c r="AW236" i="7"/>
  <c r="AW244" i="7"/>
  <c r="AW512" i="7"/>
  <c r="AW344" i="7"/>
  <c r="AW113" i="7"/>
  <c r="AW139" i="7"/>
  <c r="AW648" i="7"/>
  <c r="AW735" i="7"/>
  <c r="AW851" i="7"/>
  <c r="AW680" i="7"/>
  <c r="AW285" i="7"/>
  <c r="AW61" i="7"/>
  <c r="AW508" i="7"/>
  <c r="AW479" i="7"/>
  <c r="AW771" i="7"/>
  <c r="AW868" i="7"/>
  <c r="AW341" i="7"/>
  <c r="AW388" i="7"/>
  <c r="AW627" i="7"/>
  <c r="AW705" i="7"/>
  <c r="AW125" i="7"/>
  <c r="AW64" i="7"/>
  <c r="AW57" i="7"/>
  <c r="AW854" i="7"/>
  <c r="AW794" i="7"/>
  <c r="AW417" i="7"/>
  <c r="AW435" i="7"/>
  <c r="AW754" i="7"/>
  <c r="AW313" i="7"/>
  <c r="AW135" i="7"/>
  <c r="AW268" i="7"/>
  <c r="AW331" i="7"/>
  <c r="AW151" i="7"/>
  <c r="AW805" i="7"/>
  <c r="AW730" i="7"/>
  <c r="AW312" i="7"/>
  <c r="AW523" i="7"/>
  <c r="AW759" i="7"/>
  <c r="AW672" i="7"/>
  <c r="AW605" i="7"/>
  <c r="AW366" i="7"/>
  <c r="AW575" i="7"/>
  <c r="AW12" i="7"/>
  <c r="AW144" i="7"/>
  <c r="AW159" i="7"/>
  <c r="AW790" i="7"/>
  <c r="AW128" i="7"/>
  <c r="AW401" i="7"/>
  <c r="AW127" i="7"/>
  <c r="AW73" i="7"/>
  <c r="AW374" i="7"/>
  <c r="AW808" i="7"/>
  <c r="AW297" i="7"/>
  <c r="AW404" i="7"/>
  <c r="AW775" i="7"/>
  <c r="AW813" i="7"/>
  <c r="AW762" i="7"/>
  <c r="AW795" i="7"/>
  <c r="AW812" i="7"/>
  <c r="AW580" i="7"/>
  <c r="AW497" i="7"/>
  <c r="AW502" i="7"/>
  <c r="AW748" i="7"/>
  <c r="AW22" i="7"/>
  <c r="AW791" i="7"/>
  <c r="AW345" i="7"/>
  <c r="AW540" i="7"/>
  <c r="AW370" i="7"/>
  <c r="AW622" i="7"/>
  <c r="AW124" i="7"/>
  <c r="AW422" i="7"/>
  <c r="AW426" i="7"/>
  <c r="AW141" i="7"/>
  <c r="AW302" i="7"/>
  <c r="AW584" i="7"/>
  <c r="AW555" i="7"/>
  <c r="AW767" i="7"/>
  <c r="AW210" i="7"/>
  <c r="AW342" i="7"/>
  <c r="AW383" i="7"/>
  <c r="AW559" i="7"/>
  <c r="AW400" i="7"/>
  <c r="AW309" i="7"/>
  <c r="AW169" i="7"/>
  <c r="AW846" i="7"/>
  <c r="AW389" i="7"/>
  <c r="AW779" i="7"/>
  <c r="AW433" i="7"/>
  <c r="AW180" i="7"/>
  <c r="AW526" i="7"/>
  <c r="AW688" i="7"/>
  <c r="AW148" i="7"/>
  <c r="AW174" i="7"/>
  <c r="AW42" i="7"/>
  <c r="AW310" i="7"/>
  <c r="AW419" i="7"/>
  <c r="AW115" i="7"/>
  <c r="AW796" i="7"/>
  <c r="AW86" i="7"/>
  <c r="AW761" i="7"/>
  <c r="AW587" i="7"/>
  <c r="AW24" i="7"/>
  <c r="AW58" i="7"/>
  <c r="AW162" i="7"/>
  <c r="AW381" i="7"/>
  <c r="AW322" i="7"/>
  <c r="AW724" i="7"/>
  <c r="AW504" i="7"/>
  <c r="AW491" i="7"/>
  <c r="AW814" i="7"/>
  <c r="AW462" i="7"/>
  <c r="AW623" i="7"/>
  <c r="AW183" i="7"/>
  <c r="AW146" i="7"/>
  <c r="AW434" i="7"/>
  <c r="AW391" i="7"/>
  <c r="AW87" i="7"/>
  <c r="AW351" i="7"/>
  <c r="AW560" i="7"/>
  <c r="AW8" i="7"/>
  <c r="AW465" i="7"/>
  <c r="AW744" i="7"/>
  <c r="AW332" i="7"/>
  <c r="AW138" i="7"/>
  <c r="AW736" i="7"/>
  <c r="AW402" i="7"/>
  <c r="AW718" i="7"/>
  <c r="AW70" i="7"/>
  <c r="AW428" i="7"/>
  <c r="AW328" i="7"/>
  <c r="AW303" i="7"/>
  <c r="AW686" i="7"/>
  <c r="AW708" i="7"/>
  <c r="AW782" i="7"/>
  <c r="AW755" i="7"/>
  <c r="AW615" i="7"/>
  <c r="AW574" i="7"/>
  <c r="AW678" i="7"/>
  <c r="AW734" i="7"/>
  <c r="AW167" i="7"/>
  <c r="AW280" i="7"/>
  <c r="AW799" i="7"/>
  <c r="AW699" i="7"/>
  <c r="AW152" i="7"/>
  <c r="AW67" i="7"/>
  <c r="AW824" i="7"/>
  <c r="AW278" i="7"/>
  <c r="AW649" i="7"/>
  <c r="AW514" i="7"/>
  <c r="AW212" i="7"/>
  <c r="AW242" i="7"/>
  <c r="AW772" i="7"/>
  <c r="AW567" i="7"/>
  <c r="AW640" i="7"/>
  <c r="AW384" i="7"/>
  <c r="AW579" i="7"/>
  <c r="AW834" i="7"/>
  <c r="AW15" i="7"/>
  <c r="AW668" i="7"/>
  <c r="AW418" i="7"/>
  <c r="AW789" i="7"/>
  <c r="AW503" i="7"/>
  <c r="AW521" i="7"/>
  <c r="AW828" i="7"/>
  <c r="AW343" i="7"/>
  <c r="AW863" i="7"/>
  <c r="AW245" i="7"/>
  <c r="AW561" i="7"/>
  <c r="AW283" i="7"/>
  <c r="AW477" i="7"/>
  <c r="AW259" i="7"/>
  <c r="AW542" i="7"/>
  <c r="AW838" i="7"/>
  <c r="AW807" i="7"/>
  <c r="AW552" i="7"/>
  <c r="AW614" i="7"/>
  <c r="AW550" i="7"/>
  <c r="AW149" i="7"/>
  <c r="AW645" i="7"/>
  <c r="AW570" i="7"/>
  <c r="AW306" i="7"/>
  <c r="AW179" i="7"/>
  <c r="AW429" i="7"/>
  <c r="AW35" i="7"/>
  <c r="AW178" i="7"/>
  <c r="AW618" i="7"/>
  <c r="AW346" i="7"/>
  <c r="AW356" i="7"/>
  <c r="AW182" i="7"/>
  <c r="AW363" i="7"/>
  <c r="AW226" i="7"/>
  <c r="AW407" i="7"/>
  <c r="AW747" i="7"/>
  <c r="AW414" i="7"/>
  <c r="AW661" i="7"/>
  <c r="AW710" i="7"/>
  <c r="AW723" i="7"/>
  <c r="AW376" i="7"/>
  <c r="AW729" i="7"/>
  <c r="AW525" i="7"/>
  <c r="AW29" i="7"/>
  <c r="AW702" i="7"/>
  <c r="AW852" i="7"/>
  <c r="AW90" i="7"/>
  <c r="AW573" i="7"/>
  <c r="AW707" i="7"/>
  <c r="AW222" i="7"/>
  <c r="AW785" i="7"/>
  <c r="AW519" i="7"/>
  <c r="AW494" i="7"/>
  <c r="AW847" i="7"/>
  <c r="AW261" i="7"/>
  <c r="AW800" i="7"/>
  <c r="AW588" i="7"/>
  <c r="AW160" i="7"/>
  <c r="AW26" i="7"/>
  <c r="AW595" i="7"/>
  <c r="AW822" i="7"/>
  <c r="AW440" i="7"/>
  <c r="AW665" i="7"/>
  <c r="AW764" i="7"/>
  <c r="AW777" i="7"/>
  <c r="AW671" i="7"/>
  <c r="AW832" i="7"/>
  <c r="AW228" i="7"/>
  <c r="AW634" i="7"/>
  <c r="AW114" i="7"/>
  <c r="AW385" i="7"/>
  <c r="AW37" i="7"/>
  <c r="AW279" i="7"/>
  <c r="AW191" i="7"/>
  <c r="AW108" i="7"/>
  <c r="AW56" i="7"/>
  <c r="AW311" i="7"/>
  <c r="AW507" i="7"/>
  <c r="AW97" i="7"/>
  <c r="AW500" i="7"/>
  <c r="AW319" i="7"/>
  <c r="AW18" i="7"/>
  <c r="AW264" i="7"/>
  <c r="AW437" i="7"/>
  <c r="AW510" i="7"/>
  <c r="AW338" i="7"/>
  <c r="AW853" i="7"/>
  <c r="AW111" i="7"/>
  <c r="AW333" i="7"/>
  <c r="AW186" i="7"/>
  <c r="AW721" i="7"/>
  <c r="AW102" i="7"/>
  <c r="AW713" i="7"/>
  <c r="AW809" i="7"/>
  <c r="AW27" i="7"/>
  <c r="AW569" i="7"/>
  <c r="AW446" i="7"/>
  <c r="AW150" i="7"/>
  <c r="AW164" i="7"/>
  <c r="AW184" i="7"/>
  <c r="AW865" i="7"/>
  <c r="AW40" i="7"/>
  <c r="AW726" i="7"/>
  <c r="AW122" i="7"/>
  <c r="AW817" i="7"/>
  <c r="AW452" i="7"/>
  <c r="AW89" i="7"/>
  <c r="AW187" i="7"/>
  <c r="AW593" i="7"/>
  <c r="AW399" i="7"/>
  <c r="AW294" i="7"/>
  <c r="AW819" i="7"/>
  <c r="AW499" i="7"/>
  <c r="AW522" i="7"/>
  <c r="AW598" i="7"/>
  <c r="AW80" i="7"/>
  <c r="AW509" i="7"/>
  <c r="AW798" i="7"/>
  <c r="AW643" i="7"/>
  <c r="AW439" i="7"/>
  <c r="AW749" i="7"/>
  <c r="AW53" i="7"/>
  <c r="AW454" i="7"/>
  <c r="AW679" i="7"/>
  <c r="AW631" i="7"/>
  <c r="AW118" i="7"/>
  <c r="AW9" i="7"/>
  <c r="AW76" i="7"/>
  <c r="AW398" i="7"/>
  <c r="AW758" i="7"/>
  <c r="AW442" i="7"/>
  <c r="AW45" i="7"/>
  <c r="AW81" i="7"/>
  <c r="AW286" i="7"/>
  <c r="AW354" i="7"/>
  <c r="AW719" i="7"/>
  <c r="AW449" i="7"/>
  <c r="AW11" i="7"/>
  <c r="AW564" i="7"/>
  <c r="AW826" i="7"/>
  <c r="AW825" i="7"/>
  <c r="AW717" i="7"/>
  <c r="AW258" i="7"/>
  <c r="AW88" i="7"/>
  <c r="AW870" i="7"/>
  <c r="AW704" i="7"/>
  <c r="AW195" i="7"/>
  <c r="AW855" i="7"/>
  <c r="AW133" i="7"/>
  <c r="AW364" i="7"/>
  <c r="AW571" i="7"/>
  <c r="AW209" i="7"/>
  <c r="AW628" i="7"/>
  <c r="AW334" i="7"/>
  <c r="AW533" i="7"/>
  <c r="AW685" i="7"/>
  <c r="AW568" i="7"/>
  <c r="AW377" i="7"/>
  <c r="AW140" i="7"/>
  <c r="AW415" i="7"/>
  <c r="AW386" i="7"/>
  <c r="AW656" i="7"/>
  <c r="AW652" i="7"/>
  <c r="AW387" i="7"/>
  <c r="AW287" i="7"/>
  <c r="AW21" i="7"/>
  <c r="AW607" i="7"/>
  <c r="AW746" i="7"/>
  <c r="AW836" i="7"/>
  <c r="AW445" i="7"/>
  <c r="AW308" i="7"/>
  <c r="AW669" i="7"/>
  <c r="AW340" i="7"/>
  <c r="AW282" i="7"/>
  <c r="AW602" i="7"/>
  <c r="AW676" i="7"/>
  <c r="AW695" i="7"/>
  <c r="AW763" i="7"/>
  <c r="AW478" i="7"/>
  <c r="AW79" i="7"/>
  <c r="AW168" i="7"/>
  <c r="AW857" i="7"/>
  <c r="AW137" i="7"/>
  <c r="AW233" i="7"/>
  <c r="AW249" i="7"/>
  <c r="AW51" i="7"/>
  <c r="AW742" i="7"/>
  <c r="AW830" i="7"/>
  <c r="AW181" i="7"/>
  <c r="AW752" i="7"/>
  <c r="AW193" i="7"/>
  <c r="AW596" i="7"/>
  <c r="AW801" i="7"/>
  <c r="AW323" i="7"/>
  <c r="AW304" i="7"/>
  <c r="AW681" i="7"/>
  <c r="AW546" i="7"/>
  <c r="AW320" i="7"/>
  <c r="AW706" i="7"/>
  <c r="AW390" i="7"/>
  <c r="AW372" i="7"/>
  <c r="AW756" i="7"/>
  <c r="AW250" i="7"/>
  <c r="AW380" i="7"/>
  <c r="AW856" i="7"/>
  <c r="AW277" i="7"/>
  <c r="AW527" i="7"/>
  <c r="AW667" i="7"/>
  <c r="AW606" i="7"/>
  <c r="AW397" i="7"/>
  <c r="AW768" i="7"/>
  <c r="AW613" i="7"/>
  <c r="AW660" i="7"/>
  <c r="AW100" i="7"/>
  <c r="AW200" i="7"/>
  <c r="AW409" i="7"/>
  <c r="AW461" i="7"/>
  <c r="AW438" i="7"/>
  <c r="AW117" i="7"/>
  <c r="AW831" i="7"/>
  <c r="AW658" i="7"/>
  <c r="AW158" i="7"/>
  <c r="AW839" i="7"/>
  <c r="AW272" i="7"/>
  <c r="AW496" i="7"/>
  <c r="AW132" i="7"/>
  <c r="AW166" i="7"/>
  <c r="AW13" i="7"/>
  <c r="AW714" i="7"/>
  <c r="AW20" i="7"/>
  <c r="AW136" i="7"/>
  <c r="AW196" i="7"/>
  <c r="AW172" i="7"/>
  <c r="AW32" i="7"/>
  <c r="AW367" i="7"/>
  <c r="AW208" i="7"/>
  <c r="AW129" i="7"/>
  <c r="AW82" i="7"/>
  <c r="AW687" i="7"/>
  <c r="AW600" i="7"/>
  <c r="AW103" i="7"/>
  <c r="AW820" i="7"/>
  <c r="AW727" i="7"/>
  <c r="AW213" i="7"/>
  <c r="AW690" i="7"/>
  <c r="AW582" i="7"/>
  <c r="AW611" i="7"/>
  <c r="AW325" i="7"/>
  <c r="AW621" i="7"/>
  <c r="AW760" i="7"/>
  <c r="AW541" i="7"/>
  <c r="AW673" i="7"/>
  <c r="AW105" i="7"/>
  <c r="AW737" i="7"/>
  <c r="AW670" i="7"/>
  <c r="AW774" i="7"/>
  <c r="AW816" i="7"/>
  <c r="AW581" i="7"/>
  <c r="AW616" i="7"/>
  <c r="AW693" i="7"/>
  <c r="AW298" i="7"/>
  <c r="AW98" i="7"/>
  <c r="AW371" i="7"/>
  <c r="AW350" i="7"/>
  <c r="AW629" i="7"/>
  <c r="AW833" i="7"/>
  <c r="AW444" i="7"/>
  <c r="AW473" i="7"/>
  <c r="AW74" i="7"/>
  <c r="AW292" i="7"/>
  <c r="AW757" i="7"/>
  <c r="AW205" i="7"/>
  <c r="AW101" i="7"/>
  <c r="AW558" i="7"/>
  <c r="AW597" i="7"/>
  <c r="AW545" i="7"/>
  <c r="AW436" i="7"/>
  <c r="AW470" i="7"/>
  <c r="AW632" i="7"/>
  <c r="AW107" i="7"/>
  <c r="AW243" i="7"/>
  <c r="AW806" i="7"/>
  <c r="AW829" i="7"/>
  <c r="AW405" i="7"/>
  <c r="AW44" i="7"/>
  <c r="AW773" i="7"/>
  <c r="AW506" i="7"/>
  <c r="AW198" i="7"/>
  <c r="AW207" i="7"/>
  <c r="AW289" i="7"/>
  <c r="AW698" i="7"/>
  <c r="AW267" i="7"/>
  <c r="AW731" i="7"/>
  <c r="AW647" i="7"/>
  <c r="AW653" i="7"/>
  <c r="AW715" i="7"/>
  <c r="AW110" i="7"/>
  <c r="AW513" i="7"/>
  <c r="AW284" i="7"/>
  <c r="AW255" i="7"/>
  <c r="AW619" i="7"/>
  <c r="AW677" i="7"/>
  <c r="AW778" i="7"/>
  <c r="AW369" i="7"/>
  <c r="AW716" i="7"/>
  <c r="AW273" i="7"/>
  <c r="AW696" i="7"/>
  <c r="AW194" i="7"/>
  <c r="AW531" i="7"/>
  <c r="AW610" i="7"/>
  <c r="AW843" i="7"/>
  <c r="AW92" i="7"/>
  <c r="AW827" i="7"/>
  <c r="AW802" i="7"/>
  <c r="AW495" i="7"/>
  <c r="AW109" i="7"/>
  <c r="AW780" i="7"/>
  <c r="AW66" i="7"/>
  <c r="AW430" i="7"/>
  <c r="AW703" i="7"/>
  <c r="AW83" i="7"/>
  <c r="AW867" i="7"/>
  <c r="AW528" i="7"/>
  <c r="AW529" i="7"/>
  <c r="AW173" i="7"/>
  <c r="AW72" i="7"/>
  <c r="AW544" i="7"/>
  <c r="AW252" i="7"/>
  <c r="AW203" i="7"/>
  <c r="AW642" i="7"/>
  <c r="AW474" i="7"/>
  <c r="AW554" i="7"/>
  <c r="AW68" i="7"/>
  <c r="AW291" i="7"/>
  <c r="AW501" i="7"/>
  <c r="AW19" i="7"/>
  <c r="AW740" i="7"/>
  <c r="AW75" i="7"/>
  <c r="AW349" i="7"/>
  <c r="AW85" i="7"/>
  <c r="AW637" i="7"/>
  <c r="AW604" i="7"/>
  <c r="AW787" i="7"/>
  <c r="AW161" i="7"/>
  <c r="AW770" i="7"/>
  <c r="AW451" i="7"/>
  <c r="AW365" i="7"/>
  <c r="AW335" i="7"/>
  <c r="AW664" i="7"/>
  <c r="AW741" i="7"/>
  <c r="AW563" i="7"/>
  <c r="AW784" i="7"/>
  <c r="AW84" i="7"/>
  <c r="AW565" i="7"/>
  <c r="AW443" i="7"/>
  <c r="AW134" i="7"/>
  <c r="AW448" i="7"/>
  <c r="AW666" i="7"/>
  <c r="AW229" i="7"/>
  <c r="AW225" i="7"/>
  <c r="AW464" i="7"/>
  <c r="AW219" i="7"/>
  <c r="AW201" i="7"/>
  <c r="AW295" i="7"/>
  <c r="AW197" i="7"/>
  <c r="AW823" i="7"/>
  <c r="AW518" i="7"/>
  <c r="AW330" i="7"/>
  <c r="AW403" i="7"/>
  <c r="AW585" i="7"/>
  <c r="AW733" i="7"/>
  <c r="AW485" i="7"/>
  <c r="AW484" i="7"/>
  <c r="AW43" i="7"/>
  <c r="AW482" i="7"/>
  <c r="AW524" i="7"/>
  <c r="AW54" i="7"/>
  <c r="AW202" i="7"/>
  <c r="AW290" i="7"/>
  <c r="AW601" i="7"/>
  <c r="AW293" i="7"/>
  <c r="AW362" i="7"/>
  <c r="AW837" i="7"/>
  <c r="AW516" i="7"/>
  <c r="AW682" i="7"/>
  <c r="AW190" i="7"/>
  <c r="AW844" i="7"/>
  <c r="AW472" i="7"/>
  <c r="AW701" i="7"/>
  <c r="AW220" i="7"/>
  <c r="AW361" i="7"/>
  <c r="AW459" i="7"/>
  <c r="AW864" i="7"/>
  <c r="AW424" i="7"/>
  <c r="AW423" i="7"/>
  <c r="AW466" i="7"/>
  <c r="AW609" i="7"/>
  <c r="AW432" i="7"/>
  <c r="AW427" i="7"/>
  <c r="AW359" i="7"/>
  <c r="AW256" i="7"/>
  <c r="AV722" i="7"/>
  <c r="AV375" i="7"/>
  <c r="AV630" i="7"/>
  <c r="AV263" i="7"/>
  <c r="AV487" i="7"/>
  <c r="AV457" i="7"/>
  <c r="AV30" i="7"/>
  <c r="AV515" i="7"/>
  <c r="AV441" i="7"/>
  <c r="AV551" i="7"/>
  <c r="AV657" i="7"/>
  <c r="AV469" i="7"/>
  <c r="AV848" i="7"/>
  <c r="AV147" i="7"/>
  <c r="AV241" i="7"/>
  <c r="AV25" i="7"/>
  <c r="AV583" i="7"/>
  <c r="AV17" i="7"/>
  <c r="AV586" i="7"/>
  <c r="AV154" i="7"/>
  <c r="AV46" i="7"/>
  <c r="AV329" i="7"/>
  <c r="AV765" i="7"/>
  <c r="AV143" i="7"/>
  <c r="AV425" i="7"/>
  <c r="AV536" i="7"/>
  <c r="AV38" i="7"/>
  <c r="AV576" i="7"/>
  <c r="AV240" i="7"/>
  <c r="AV753" i="7"/>
  <c r="AV34" i="7"/>
  <c r="AV663" i="7"/>
  <c r="AV547" i="7"/>
  <c r="AV635" i="7"/>
  <c r="AV592" i="7"/>
  <c r="AV539" i="7"/>
  <c r="AV275" i="7"/>
  <c r="AV578" i="7"/>
  <c r="AV858" i="7"/>
  <c r="AV548" i="7"/>
  <c r="AV316" i="7"/>
  <c r="AV644" i="7"/>
  <c r="AV318" i="7"/>
  <c r="AV532" i="7"/>
  <c r="AV216" i="7"/>
  <c r="AV511" i="7"/>
  <c r="AV416" i="7"/>
  <c r="AV577" i="7"/>
  <c r="AV393" i="7"/>
  <c r="AV14" i="7"/>
  <c r="AV28" i="7"/>
  <c r="AV725" i="7"/>
  <c r="AV237" i="7"/>
  <c r="AV411" i="7"/>
  <c r="AV165" i="7"/>
  <c r="AV60" i="7"/>
  <c r="AV410" i="7"/>
  <c r="AV262" i="7"/>
  <c r="AV230" i="7"/>
  <c r="AV549" i="7"/>
  <c r="AV236" i="7"/>
  <c r="AV244" i="7"/>
  <c r="AV512" i="7"/>
  <c r="AV344" i="7"/>
  <c r="AV113" i="7"/>
  <c r="AV139" i="7"/>
  <c r="AV648" i="7"/>
  <c r="AV735" i="7"/>
  <c r="AV851" i="7"/>
  <c r="AV680" i="7"/>
  <c r="AV285" i="7"/>
  <c r="AV61" i="7"/>
  <c r="AV508" i="7"/>
  <c r="AV479" i="7"/>
  <c r="AV771" i="7"/>
  <c r="AV868" i="7"/>
  <c r="AV341" i="7"/>
  <c r="AV388" i="7"/>
  <c r="AV627" i="7"/>
  <c r="AV705" i="7"/>
  <c r="AV125" i="7"/>
  <c r="AV64" i="7"/>
  <c r="AV57" i="7"/>
  <c r="AV854" i="7"/>
  <c r="AV794" i="7"/>
  <c r="AV417" i="7"/>
  <c r="AV435" i="7"/>
  <c r="AV754" i="7"/>
  <c r="AV313" i="7"/>
  <c r="AV135" i="7"/>
  <c r="AV268" i="7"/>
  <c r="AV331" i="7"/>
  <c r="AV151" i="7"/>
  <c r="AV805" i="7"/>
  <c r="AV730" i="7"/>
  <c r="AV312" i="7"/>
  <c r="AV523" i="7"/>
  <c r="AV759" i="7"/>
  <c r="AV672" i="7"/>
  <c r="AV605" i="7"/>
  <c r="AV366" i="7"/>
  <c r="AV575" i="7"/>
  <c r="AV12" i="7"/>
  <c r="AV144" i="7"/>
  <c r="AV159" i="7"/>
  <c r="AV790" i="7"/>
  <c r="AV128" i="7"/>
  <c r="AV401" i="7"/>
  <c r="AV127" i="7"/>
  <c r="AV73" i="7"/>
  <c r="AV374" i="7"/>
  <c r="AV808" i="7"/>
  <c r="AV297" i="7"/>
  <c r="AV404" i="7"/>
  <c r="AV775" i="7"/>
  <c r="AV813" i="7"/>
  <c r="AV762" i="7"/>
  <c r="AV795" i="7"/>
  <c r="AV812" i="7"/>
  <c r="AV580" i="7"/>
  <c r="AV497" i="7"/>
  <c r="AV502" i="7"/>
  <c r="AV748" i="7"/>
  <c r="AV22" i="7"/>
  <c r="AV791" i="7"/>
  <c r="AV345" i="7"/>
  <c r="AV540" i="7"/>
  <c r="AV370" i="7"/>
  <c r="AV622" i="7"/>
  <c r="AV124" i="7"/>
  <c r="AV422" i="7"/>
  <c r="AV426" i="7"/>
  <c r="AV141" i="7"/>
  <c r="AV302" i="7"/>
  <c r="AV584" i="7"/>
  <c r="AV555" i="7"/>
  <c r="AV767" i="7"/>
  <c r="AV210" i="7"/>
  <c r="AV342" i="7"/>
  <c r="AV383" i="7"/>
  <c r="AV559" i="7"/>
  <c r="AV400" i="7"/>
  <c r="AV309" i="7"/>
  <c r="AV169" i="7"/>
  <c r="AV846" i="7"/>
  <c r="AV389" i="7"/>
  <c r="AV779" i="7"/>
  <c r="AV433" i="7"/>
  <c r="AV180" i="7"/>
  <c r="AV526" i="7"/>
  <c r="AV688" i="7"/>
  <c r="AV148" i="7"/>
  <c r="AV174" i="7"/>
  <c r="AV42" i="7"/>
  <c r="AV310" i="7"/>
  <c r="AV419" i="7"/>
  <c r="AV115" i="7"/>
  <c r="AV796" i="7"/>
  <c r="AV86" i="7"/>
  <c r="AV761" i="7"/>
  <c r="AV587" i="7"/>
  <c r="AV24" i="7"/>
  <c r="AV58" i="7"/>
  <c r="AV162" i="7"/>
  <c r="AV381" i="7"/>
  <c r="AV322" i="7"/>
  <c r="AV724" i="7"/>
  <c r="AV504" i="7"/>
  <c r="AV491" i="7"/>
  <c r="AV814" i="7"/>
  <c r="AV462" i="7"/>
  <c r="AV623" i="7"/>
  <c r="AV183" i="7"/>
  <c r="AV146" i="7"/>
  <c r="AV434" i="7"/>
  <c r="AV391" i="7"/>
  <c r="AV87" i="7"/>
  <c r="AV351" i="7"/>
  <c r="AV560" i="7"/>
  <c r="AV8" i="7"/>
  <c r="AV465" i="7"/>
  <c r="AV744" i="7"/>
  <c r="AV332" i="7"/>
  <c r="AV138" i="7"/>
  <c r="AV736" i="7"/>
  <c r="AV402" i="7"/>
  <c r="AV718" i="7"/>
  <c r="AV70" i="7"/>
  <c r="AV428" i="7"/>
  <c r="AV328" i="7"/>
  <c r="AV303" i="7"/>
  <c r="AV686" i="7"/>
  <c r="AV708" i="7"/>
  <c r="AV782" i="7"/>
  <c r="AV755" i="7"/>
  <c r="AV615" i="7"/>
  <c r="AV574" i="7"/>
  <c r="AV678" i="7"/>
  <c r="AV734" i="7"/>
  <c r="AV167" i="7"/>
  <c r="AV280" i="7"/>
  <c r="AV799" i="7"/>
  <c r="AV699" i="7"/>
  <c r="AV152" i="7"/>
  <c r="AV67" i="7"/>
  <c r="AV824" i="7"/>
  <c r="AV278" i="7"/>
  <c r="AV649" i="7"/>
  <c r="AV514" i="7"/>
  <c r="AV212" i="7"/>
  <c r="AV242" i="7"/>
  <c r="AV772" i="7"/>
  <c r="AV567" i="7"/>
  <c r="AV640" i="7"/>
  <c r="AV384" i="7"/>
  <c r="AV579" i="7"/>
  <c r="AV834" i="7"/>
  <c r="AV15" i="7"/>
  <c r="AV668" i="7"/>
  <c r="AV418" i="7"/>
  <c r="AV789" i="7"/>
  <c r="AV503" i="7"/>
  <c r="AV521" i="7"/>
  <c r="AV828" i="7"/>
  <c r="AV343" i="7"/>
  <c r="AV863" i="7"/>
  <c r="AV245" i="7"/>
  <c r="AV561" i="7"/>
  <c r="AV283" i="7"/>
  <c r="AV477" i="7"/>
  <c r="AV259" i="7"/>
  <c r="AV542" i="7"/>
  <c r="AV838" i="7"/>
  <c r="AV807" i="7"/>
  <c r="AV552" i="7"/>
  <c r="AV614" i="7"/>
  <c r="AV550" i="7"/>
  <c r="AV149" i="7"/>
  <c r="AV645" i="7"/>
  <c r="AV570" i="7"/>
  <c r="AV306" i="7"/>
  <c r="AV179" i="7"/>
  <c r="AV429" i="7"/>
  <c r="AV35" i="7"/>
  <c r="AV178" i="7"/>
  <c r="AV618" i="7"/>
  <c r="AV346" i="7"/>
  <c r="AV356" i="7"/>
  <c r="AV182" i="7"/>
  <c r="AV363" i="7"/>
  <c r="AV226" i="7"/>
  <c r="AV407" i="7"/>
  <c r="AV747" i="7"/>
  <c r="AV414" i="7"/>
  <c r="AV661" i="7"/>
  <c r="AV710" i="7"/>
  <c r="AV723" i="7"/>
  <c r="AV376" i="7"/>
  <c r="AV729" i="7"/>
  <c r="AV525" i="7"/>
  <c r="AV29" i="7"/>
  <c r="AV702" i="7"/>
  <c r="AV852" i="7"/>
  <c r="AV90" i="7"/>
  <c r="AV573" i="7"/>
  <c r="AV707" i="7"/>
  <c r="AV222" i="7"/>
  <c r="AV785" i="7"/>
  <c r="AV519" i="7"/>
  <c r="AV494" i="7"/>
  <c r="AV847" i="7"/>
  <c r="AV261" i="7"/>
  <c r="AV800" i="7"/>
  <c r="AV588" i="7"/>
  <c r="AV160" i="7"/>
  <c r="AV26" i="7"/>
  <c r="AV595" i="7"/>
  <c r="AV822" i="7"/>
  <c r="AV440" i="7"/>
  <c r="AV665" i="7"/>
  <c r="AV764" i="7"/>
  <c r="AV777" i="7"/>
  <c r="AV671" i="7"/>
  <c r="AV832" i="7"/>
  <c r="AV228" i="7"/>
  <c r="AV634" i="7"/>
  <c r="AV114" i="7"/>
  <c r="AV385" i="7"/>
  <c r="AV37" i="7"/>
  <c r="AV279" i="7"/>
  <c r="AV191" i="7"/>
  <c r="AV108" i="7"/>
  <c r="AV56" i="7"/>
  <c r="AV311" i="7"/>
  <c r="AV507" i="7"/>
  <c r="AV97" i="7"/>
  <c r="AV500" i="7"/>
  <c r="AV319" i="7"/>
  <c r="AV18" i="7"/>
  <c r="AV264" i="7"/>
  <c r="AV437" i="7"/>
  <c r="AV510" i="7"/>
  <c r="AV338" i="7"/>
  <c r="AV853" i="7"/>
  <c r="AV111" i="7"/>
  <c r="AV333" i="7"/>
  <c r="AV186" i="7"/>
  <c r="AV721" i="7"/>
  <c r="AV102" i="7"/>
  <c r="AV713" i="7"/>
  <c r="AV809" i="7"/>
  <c r="AV27" i="7"/>
  <c r="AV569" i="7"/>
  <c r="AV446" i="7"/>
  <c r="AV150" i="7"/>
  <c r="AV164" i="7"/>
  <c r="AV184" i="7"/>
  <c r="AV865" i="7"/>
  <c r="AV40" i="7"/>
  <c r="AV726" i="7"/>
  <c r="AV122" i="7"/>
  <c r="AV817" i="7"/>
  <c r="AV452" i="7"/>
  <c r="AV89" i="7"/>
  <c r="AV187" i="7"/>
  <c r="AV593" i="7"/>
  <c r="AV399" i="7"/>
  <c r="AV294" i="7"/>
  <c r="AV819" i="7"/>
  <c r="AV499" i="7"/>
  <c r="AV522" i="7"/>
  <c r="AV598" i="7"/>
  <c r="AV80" i="7"/>
  <c r="AV509" i="7"/>
  <c r="AV798" i="7"/>
  <c r="AV643" i="7"/>
  <c r="AV439" i="7"/>
  <c r="AV749" i="7"/>
  <c r="AV53" i="7"/>
  <c r="AV454" i="7"/>
  <c r="AV679" i="7"/>
  <c r="AV631" i="7"/>
  <c r="AV118" i="7"/>
  <c r="AV9" i="7"/>
  <c r="AV76" i="7"/>
  <c r="AV398" i="7"/>
  <c r="AV758" i="7"/>
  <c r="AV442" i="7"/>
  <c r="AV45" i="7"/>
  <c r="AV81" i="7"/>
  <c r="AV286" i="7"/>
  <c r="AV354" i="7"/>
  <c r="AV719" i="7"/>
  <c r="AV449" i="7"/>
  <c r="AV11" i="7"/>
  <c r="AV564" i="7"/>
  <c r="AV826" i="7"/>
  <c r="AV825" i="7"/>
  <c r="AV717" i="7"/>
  <c r="AV258" i="7"/>
  <c r="AV88" i="7"/>
  <c r="AV870" i="7"/>
  <c r="AV704" i="7"/>
  <c r="AV195" i="7"/>
  <c r="AV855" i="7"/>
  <c r="AV133" i="7"/>
  <c r="AV364" i="7"/>
  <c r="AV571" i="7"/>
  <c r="AV209" i="7"/>
  <c r="AV628" i="7"/>
  <c r="AV334" i="7"/>
  <c r="AV533" i="7"/>
  <c r="AV685" i="7"/>
  <c r="AV568" i="7"/>
  <c r="AV377" i="7"/>
  <c r="AV140" i="7"/>
  <c r="AV415" i="7"/>
  <c r="AV386" i="7"/>
  <c r="AV656" i="7"/>
  <c r="AV652" i="7"/>
  <c r="AV387" i="7"/>
  <c r="AV287" i="7"/>
  <c r="AV21" i="7"/>
  <c r="AV607" i="7"/>
  <c r="AV746" i="7"/>
  <c r="AV836" i="7"/>
  <c r="AV445" i="7"/>
  <c r="AV308" i="7"/>
  <c r="AV669" i="7"/>
  <c r="AV340" i="7"/>
  <c r="AV282" i="7"/>
  <c r="AV602" i="7"/>
  <c r="AV676" i="7"/>
  <c r="AV695" i="7"/>
  <c r="AV763" i="7"/>
  <c r="AV478" i="7"/>
  <c r="AV79" i="7"/>
  <c r="AV168" i="7"/>
  <c r="AV857" i="7"/>
  <c r="AV137" i="7"/>
  <c r="AV233" i="7"/>
  <c r="AV249" i="7"/>
  <c r="AV51" i="7"/>
  <c r="AV742" i="7"/>
  <c r="AV830" i="7"/>
  <c r="AV181" i="7"/>
  <c r="AV752" i="7"/>
  <c r="AV193" i="7"/>
  <c r="AV596" i="7"/>
  <c r="AV801" i="7"/>
  <c r="AV323" i="7"/>
  <c r="AV304" i="7"/>
  <c r="AV681" i="7"/>
  <c r="AV546" i="7"/>
  <c r="AV320" i="7"/>
  <c r="AV706" i="7"/>
  <c r="AV390" i="7"/>
  <c r="AV372" i="7"/>
  <c r="AV756" i="7"/>
  <c r="AV250" i="7"/>
  <c r="AV380" i="7"/>
  <c r="AV856" i="7"/>
  <c r="AV277" i="7"/>
  <c r="AV527" i="7"/>
  <c r="AV667" i="7"/>
  <c r="AV606" i="7"/>
  <c r="AV397" i="7"/>
  <c r="AV768" i="7"/>
  <c r="AV613" i="7"/>
  <c r="AV660" i="7"/>
  <c r="AV100" i="7"/>
  <c r="AV200" i="7"/>
  <c r="AV409" i="7"/>
  <c r="AV461" i="7"/>
  <c r="AV438" i="7"/>
  <c r="AV117" i="7"/>
  <c r="AV831" i="7"/>
  <c r="AV658" i="7"/>
  <c r="AV158" i="7"/>
  <c r="AV839" i="7"/>
  <c r="AV272" i="7"/>
  <c r="AV496" i="7"/>
  <c r="AV132" i="7"/>
  <c r="AV166" i="7"/>
  <c r="AV13" i="7"/>
  <c r="AV714" i="7"/>
  <c r="AV20" i="7"/>
  <c r="AV136" i="7"/>
  <c r="AV196" i="7"/>
  <c r="AV172" i="7"/>
  <c r="AV32" i="7"/>
  <c r="AV367" i="7"/>
  <c r="AV208" i="7"/>
  <c r="AV129" i="7"/>
  <c r="AV82" i="7"/>
  <c r="AV687" i="7"/>
  <c r="AV600" i="7"/>
  <c r="AV103" i="7"/>
  <c r="AV820" i="7"/>
  <c r="AV727" i="7"/>
  <c r="AV213" i="7"/>
  <c r="AV690" i="7"/>
  <c r="AV582" i="7"/>
  <c r="AV611" i="7"/>
  <c r="AV325" i="7"/>
  <c r="AV621" i="7"/>
  <c r="AV760" i="7"/>
  <c r="AV541" i="7"/>
  <c r="AV673" i="7"/>
  <c r="AV105" i="7"/>
  <c r="AV737" i="7"/>
  <c r="AV670" i="7"/>
  <c r="AV774" i="7"/>
  <c r="AV816" i="7"/>
  <c r="AV581" i="7"/>
  <c r="AV616" i="7"/>
  <c r="AV693" i="7"/>
  <c r="AV298" i="7"/>
  <c r="AV98" i="7"/>
  <c r="AV371" i="7"/>
  <c r="AV350" i="7"/>
  <c r="AV629" i="7"/>
  <c r="AV833" i="7"/>
  <c r="AV444" i="7"/>
  <c r="AV473" i="7"/>
  <c r="AV74" i="7"/>
  <c r="AV292" i="7"/>
  <c r="AV757" i="7"/>
  <c r="AV205" i="7"/>
  <c r="AV101" i="7"/>
  <c r="AV558" i="7"/>
  <c r="AV597" i="7"/>
  <c r="AV545" i="7"/>
  <c r="AV436" i="7"/>
  <c r="AV470" i="7"/>
  <c r="AV632" i="7"/>
  <c r="AV107" i="7"/>
  <c r="AV243" i="7"/>
  <c r="AV806" i="7"/>
  <c r="AV829" i="7"/>
  <c r="AV405" i="7"/>
  <c r="AV44" i="7"/>
  <c r="AV773" i="7"/>
  <c r="AV506" i="7"/>
  <c r="AV198" i="7"/>
  <c r="AV207" i="7"/>
  <c r="AV289" i="7"/>
  <c r="AV698" i="7"/>
  <c r="AV267" i="7"/>
  <c r="AV731" i="7"/>
  <c r="AV647" i="7"/>
  <c r="AV653" i="7"/>
  <c r="AV715" i="7"/>
  <c r="AV110" i="7"/>
  <c r="AV513" i="7"/>
  <c r="AV284" i="7"/>
  <c r="AV255" i="7"/>
  <c r="AV619" i="7"/>
  <c r="AV677" i="7"/>
  <c r="AV778" i="7"/>
  <c r="AV369" i="7"/>
  <c r="AV716" i="7"/>
  <c r="AV273" i="7"/>
  <c r="AV696" i="7"/>
  <c r="AV194" i="7"/>
  <c r="AV531" i="7"/>
  <c r="AV610" i="7"/>
  <c r="AV843" i="7"/>
  <c r="AV92" i="7"/>
  <c r="AV827" i="7"/>
  <c r="AV802" i="7"/>
  <c r="AV495" i="7"/>
  <c r="AV109" i="7"/>
  <c r="AV780" i="7"/>
  <c r="AV66" i="7"/>
  <c r="AV430" i="7"/>
  <c r="AV703" i="7"/>
  <c r="AV83" i="7"/>
  <c r="AV867" i="7"/>
  <c r="AV528" i="7"/>
  <c r="AV529" i="7"/>
  <c r="AV173" i="7"/>
  <c r="AV72" i="7"/>
  <c r="AV544" i="7"/>
  <c r="AV252" i="7"/>
  <c r="AV203" i="7"/>
  <c r="AV642" i="7"/>
  <c r="AV474" i="7"/>
  <c r="AV554" i="7"/>
  <c r="AV68" i="7"/>
  <c r="AV291" i="7"/>
  <c r="AV501" i="7"/>
  <c r="AV19" i="7"/>
  <c r="AV740" i="7"/>
  <c r="AV75" i="7"/>
  <c r="AV349" i="7"/>
  <c r="AV85" i="7"/>
  <c r="AV637" i="7"/>
  <c r="AV604" i="7"/>
  <c r="AV787" i="7"/>
  <c r="AV161" i="7"/>
  <c r="AV770" i="7"/>
  <c r="AV451" i="7"/>
  <c r="AV365" i="7"/>
  <c r="AV335" i="7"/>
  <c r="AV664" i="7"/>
  <c r="AV741" i="7"/>
  <c r="AV563" i="7"/>
  <c r="AV784" i="7"/>
  <c r="AV84" i="7"/>
  <c r="AV565" i="7"/>
  <c r="AV443" i="7"/>
  <c r="AV134" i="7"/>
  <c r="AV448" i="7"/>
  <c r="AV666" i="7"/>
  <c r="AV229" i="7"/>
  <c r="AV225" i="7"/>
  <c r="AV464" i="7"/>
  <c r="AV219" i="7"/>
  <c r="AV201" i="7"/>
  <c r="AV295" i="7"/>
  <c r="AV197" i="7"/>
  <c r="AV823" i="7"/>
  <c r="AV518" i="7"/>
  <c r="AV330" i="7"/>
  <c r="AV403" i="7"/>
  <c r="AV585" i="7"/>
  <c r="AV733" i="7"/>
  <c r="AV485" i="7"/>
  <c r="AV484" i="7"/>
  <c r="AV43" i="7"/>
  <c r="AV482" i="7"/>
  <c r="AV524" i="7"/>
  <c r="AV54" i="7"/>
  <c r="AV202" i="7"/>
  <c r="AV290" i="7"/>
  <c r="AV601" i="7"/>
  <c r="AV293" i="7"/>
  <c r="AV362" i="7"/>
  <c r="AV837" i="7"/>
  <c r="AV516" i="7"/>
  <c r="AV682" i="7"/>
  <c r="AV190" i="7"/>
  <c r="AV844" i="7"/>
  <c r="AV472" i="7"/>
  <c r="AV701" i="7"/>
  <c r="AV220" i="7"/>
  <c r="AV361" i="7"/>
  <c r="AV459" i="7"/>
  <c r="AV864" i="7"/>
  <c r="AV424" i="7"/>
  <c r="AV423" i="7"/>
  <c r="AV466" i="7"/>
  <c r="AV609" i="7"/>
  <c r="AV432" i="7"/>
  <c r="AV427" i="7"/>
  <c r="AV359" i="7"/>
  <c r="AV256" i="7"/>
  <c r="AU722" i="7"/>
  <c r="AU375" i="7"/>
  <c r="AU630" i="7"/>
  <c r="AU263" i="7"/>
  <c r="AU487" i="7"/>
  <c r="AU457" i="7"/>
  <c r="AU30" i="7"/>
  <c r="AU515" i="7"/>
  <c r="AU441" i="7"/>
  <c r="AU551" i="7"/>
  <c r="AU657" i="7"/>
  <c r="AU469" i="7"/>
  <c r="AU848" i="7"/>
  <c r="AU147" i="7"/>
  <c r="AU241" i="7"/>
  <c r="AU25" i="7"/>
  <c r="AU583" i="7"/>
  <c r="AU17" i="7"/>
  <c r="AU586" i="7"/>
  <c r="AU154" i="7"/>
  <c r="AU46" i="7"/>
  <c r="AU329" i="7"/>
  <c r="AU765" i="7"/>
  <c r="AU143" i="7"/>
  <c r="AU425" i="7"/>
  <c r="AU536" i="7"/>
  <c r="AU38" i="7"/>
  <c r="AU576" i="7"/>
  <c r="AU240" i="7"/>
  <c r="AU753" i="7"/>
  <c r="AU34" i="7"/>
  <c r="AU663" i="7"/>
  <c r="AU547" i="7"/>
  <c r="AU635" i="7"/>
  <c r="AU592" i="7"/>
  <c r="AU539" i="7"/>
  <c r="AU275" i="7"/>
  <c r="AU578" i="7"/>
  <c r="AU858" i="7"/>
  <c r="AU548" i="7"/>
  <c r="AU316" i="7"/>
  <c r="AU644" i="7"/>
  <c r="AU318" i="7"/>
  <c r="AU532" i="7"/>
  <c r="AU216" i="7"/>
  <c r="AU511" i="7"/>
  <c r="AU416" i="7"/>
  <c r="AU577" i="7"/>
  <c r="AU393" i="7"/>
  <c r="AU14" i="7"/>
  <c r="AU28" i="7"/>
  <c r="AU725" i="7"/>
  <c r="AU237" i="7"/>
  <c r="AU411" i="7"/>
  <c r="AU165" i="7"/>
  <c r="AU60" i="7"/>
  <c r="AU410" i="7"/>
  <c r="AU262" i="7"/>
  <c r="AU230" i="7"/>
  <c r="AU549" i="7"/>
  <c r="AU236" i="7"/>
  <c r="AU244" i="7"/>
  <c r="AU512" i="7"/>
  <c r="AU344" i="7"/>
  <c r="AU113" i="7"/>
  <c r="AU139" i="7"/>
  <c r="AU648" i="7"/>
  <c r="AU735" i="7"/>
  <c r="AU851" i="7"/>
  <c r="AU680" i="7"/>
  <c r="AU285" i="7"/>
  <c r="AU61" i="7"/>
  <c r="AU508" i="7"/>
  <c r="AU479" i="7"/>
  <c r="AU771" i="7"/>
  <c r="AU868" i="7"/>
  <c r="AU341" i="7"/>
  <c r="AU388" i="7"/>
  <c r="AU627" i="7"/>
  <c r="AU705" i="7"/>
  <c r="AU125" i="7"/>
  <c r="AU64" i="7"/>
  <c r="AU57" i="7"/>
  <c r="AU854" i="7"/>
  <c r="AU794" i="7"/>
  <c r="AU417" i="7"/>
  <c r="AU435" i="7"/>
  <c r="AU754" i="7"/>
  <c r="AU313" i="7"/>
  <c r="AU135" i="7"/>
  <c r="AU268" i="7"/>
  <c r="AU331" i="7"/>
  <c r="AU151" i="7"/>
  <c r="AU805" i="7"/>
  <c r="AU730" i="7"/>
  <c r="AU312" i="7"/>
  <c r="AU523" i="7"/>
  <c r="AU759" i="7"/>
  <c r="AU672" i="7"/>
  <c r="AU605" i="7"/>
  <c r="AU366" i="7"/>
  <c r="AU575" i="7"/>
  <c r="AU12" i="7"/>
  <c r="AU144" i="7"/>
  <c r="AU159" i="7"/>
  <c r="AU790" i="7"/>
  <c r="AU128" i="7"/>
  <c r="AU401" i="7"/>
  <c r="AU127" i="7"/>
  <c r="AU73" i="7"/>
  <c r="AU374" i="7"/>
  <c r="AU808" i="7"/>
  <c r="AU297" i="7"/>
  <c r="AU404" i="7"/>
  <c r="AU775" i="7"/>
  <c r="AU813" i="7"/>
  <c r="AU762" i="7"/>
  <c r="AU795" i="7"/>
  <c r="AU812" i="7"/>
  <c r="AU580" i="7"/>
  <c r="AU497" i="7"/>
  <c r="AU502" i="7"/>
  <c r="AU748" i="7"/>
  <c r="AU22" i="7"/>
  <c r="AU791" i="7"/>
  <c r="AU345" i="7"/>
  <c r="AU540" i="7"/>
  <c r="AU370" i="7"/>
  <c r="AU622" i="7"/>
  <c r="AU124" i="7"/>
  <c r="AU422" i="7"/>
  <c r="AU426" i="7"/>
  <c r="AU141" i="7"/>
  <c r="AU302" i="7"/>
  <c r="AU584" i="7"/>
  <c r="AU555" i="7"/>
  <c r="AU767" i="7"/>
  <c r="AU210" i="7"/>
  <c r="AU342" i="7"/>
  <c r="AU383" i="7"/>
  <c r="AU559" i="7"/>
  <c r="AU400" i="7"/>
  <c r="AU309" i="7"/>
  <c r="AU169" i="7"/>
  <c r="AU846" i="7"/>
  <c r="AU389" i="7"/>
  <c r="AU779" i="7"/>
  <c r="AU433" i="7"/>
  <c r="AU180" i="7"/>
  <c r="AU526" i="7"/>
  <c r="AU688" i="7"/>
  <c r="AU148" i="7"/>
  <c r="AU174" i="7"/>
  <c r="AU42" i="7"/>
  <c r="AU310" i="7"/>
  <c r="AU419" i="7"/>
  <c r="AU115" i="7"/>
  <c r="AU796" i="7"/>
  <c r="AU86" i="7"/>
  <c r="AU761" i="7"/>
  <c r="AU587" i="7"/>
  <c r="AU24" i="7"/>
  <c r="AU58" i="7"/>
  <c r="AU162" i="7"/>
  <c r="AU381" i="7"/>
  <c r="AU322" i="7"/>
  <c r="AU724" i="7"/>
  <c r="AU504" i="7"/>
  <c r="AU491" i="7"/>
  <c r="AU814" i="7"/>
  <c r="AU462" i="7"/>
  <c r="AU623" i="7"/>
  <c r="AU183" i="7"/>
  <c r="AU146" i="7"/>
  <c r="AU434" i="7"/>
  <c r="AU391" i="7"/>
  <c r="AU87" i="7"/>
  <c r="AU351" i="7"/>
  <c r="AU560" i="7"/>
  <c r="AU8" i="7"/>
  <c r="AU465" i="7"/>
  <c r="AU744" i="7"/>
  <c r="AU332" i="7"/>
  <c r="AU138" i="7"/>
  <c r="AU736" i="7"/>
  <c r="AU402" i="7"/>
  <c r="AU718" i="7"/>
  <c r="AU70" i="7"/>
  <c r="AU428" i="7"/>
  <c r="AU328" i="7"/>
  <c r="AU303" i="7"/>
  <c r="AU686" i="7"/>
  <c r="AU708" i="7"/>
  <c r="AU782" i="7"/>
  <c r="AU755" i="7"/>
  <c r="AU615" i="7"/>
  <c r="AU574" i="7"/>
  <c r="AU678" i="7"/>
  <c r="AU734" i="7"/>
  <c r="AU167" i="7"/>
  <c r="AU280" i="7"/>
  <c r="AU799" i="7"/>
  <c r="AU699" i="7"/>
  <c r="AU152" i="7"/>
  <c r="AU67" i="7"/>
  <c r="AU824" i="7"/>
  <c r="AU278" i="7"/>
  <c r="AU649" i="7"/>
  <c r="AU514" i="7"/>
  <c r="AU212" i="7"/>
  <c r="AU242" i="7"/>
  <c r="AU772" i="7"/>
  <c r="AU567" i="7"/>
  <c r="AU640" i="7"/>
  <c r="AU384" i="7"/>
  <c r="AU579" i="7"/>
  <c r="AU834" i="7"/>
  <c r="AU15" i="7"/>
  <c r="AU668" i="7"/>
  <c r="AU418" i="7"/>
  <c r="AU789" i="7"/>
  <c r="AU503" i="7"/>
  <c r="AU521" i="7"/>
  <c r="AU828" i="7"/>
  <c r="AU343" i="7"/>
  <c r="AU863" i="7"/>
  <c r="AU245" i="7"/>
  <c r="AU561" i="7"/>
  <c r="AU283" i="7"/>
  <c r="AU477" i="7"/>
  <c r="AU259" i="7"/>
  <c r="AU542" i="7"/>
  <c r="AU838" i="7"/>
  <c r="AU807" i="7"/>
  <c r="AU552" i="7"/>
  <c r="AU614" i="7"/>
  <c r="AU550" i="7"/>
  <c r="AU149" i="7"/>
  <c r="AU645" i="7"/>
  <c r="AU570" i="7"/>
  <c r="AU306" i="7"/>
  <c r="AU179" i="7"/>
  <c r="AU429" i="7"/>
  <c r="AU35" i="7"/>
  <c r="AU178" i="7"/>
  <c r="AU618" i="7"/>
  <c r="AU346" i="7"/>
  <c r="AU356" i="7"/>
  <c r="AU182" i="7"/>
  <c r="AU363" i="7"/>
  <c r="AU226" i="7"/>
  <c r="AU407" i="7"/>
  <c r="AU747" i="7"/>
  <c r="AU414" i="7"/>
  <c r="AU661" i="7"/>
  <c r="AU710" i="7"/>
  <c r="AU723" i="7"/>
  <c r="AU376" i="7"/>
  <c r="AU729" i="7"/>
  <c r="AU525" i="7"/>
  <c r="AU29" i="7"/>
  <c r="AU702" i="7"/>
  <c r="AU852" i="7"/>
  <c r="AU90" i="7"/>
  <c r="AU573" i="7"/>
  <c r="AU707" i="7"/>
  <c r="AU222" i="7"/>
  <c r="AU785" i="7"/>
  <c r="AU519" i="7"/>
  <c r="AU494" i="7"/>
  <c r="AU847" i="7"/>
  <c r="AU261" i="7"/>
  <c r="AU800" i="7"/>
  <c r="AU588" i="7"/>
  <c r="AU160" i="7"/>
  <c r="AU26" i="7"/>
  <c r="AU595" i="7"/>
  <c r="AU822" i="7"/>
  <c r="AU440" i="7"/>
  <c r="AU665" i="7"/>
  <c r="AU764" i="7"/>
  <c r="AU777" i="7"/>
  <c r="AU671" i="7"/>
  <c r="AU832" i="7"/>
  <c r="AU228" i="7"/>
  <c r="AU634" i="7"/>
  <c r="AU114" i="7"/>
  <c r="AU385" i="7"/>
  <c r="AU37" i="7"/>
  <c r="AU279" i="7"/>
  <c r="AU191" i="7"/>
  <c r="AU108" i="7"/>
  <c r="AU56" i="7"/>
  <c r="AU311" i="7"/>
  <c r="AU507" i="7"/>
  <c r="AU97" i="7"/>
  <c r="AU500" i="7"/>
  <c r="AU319" i="7"/>
  <c r="AU18" i="7"/>
  <c r="AU264" i="7"/>
  <c r="AU437" i="7"/>
  <c r="AU510" i="7"/>
  <c r="AU338" i="7"/>
  <c r="AU853" i="7"/>
  <c r="AU111" i="7"/>
  <c r="AU333" i="7"/>
  <c r="AU186" i="7"/>
  <c r="AU721" i="7"/>
  <c r="AU102" i="7"/>
  <c r="AU713" i="7"/>
  <c r="AU809" i="7"/>
  <c r="AU27" i="7"/>
  <c r="AU569" i="7"/>
  <c r="AU446" i="7"/>
  <c r="AU150" i="7"/>
  <c r="AU164" i="7"/>
  <c r="AU184" i="7"/>
  <c r="AU865" i="7"/>
  <c r="AU40" i="7"/>
  <c r="AU726" i="7"/>
  <c r="AU122" i="7"/>
  <c r="AU817" i="7"/>
  <c r="AU452" i="7"/>
  <c r="AU89" i="7"/>
  <c r="AU187" i="7"/>
  <c r="AU593" i="7"/>
  <c r="AU399" i="7"/>
  <c r="AU294" i="7"/>
  <c r="AU819" i="7"/>
  <c r="AU499" i="7"/>
  <c r="AU522" i="7"/>
  <c r="AU598" i="7"/>
  <c r="AU80" i="7"/>
  <c r="AU509" i="7"/>
  <c r="AU798" i="7"/>
  <c r="AU643" i="7"/>
  <c r="AU439" i="7"/>
  <c r="AU749" i="7"/>
  <c r="AU53" i="7"/>
  <c r="AU454" i="7"/>
  <c r="AU679" i="7"/>
  <c r="AU631" i="7"/>
  <c r="AU118" i="7"/>
  <c r="AU9" i="7"/>
  <c r="AU76" i="7"/>
  <c r="AU398" i="7"/>
  <c r="AU758" i="7"/>
  <c r="AU442" i="7"/>
  <c r="AU45" i="7"/>
  <c r="AU81" i="7"/>
  <c r="AU286" i="7"/>
  <c r="AU354" i="7"/>
  <c r="AU719" i="7"/>
  <c r="AU449" i="7"/>
  <c r="AU11" i="7"/>
  <c r="AU564" i="7"/>
  <c r="AU826" i="7"/>
  <c r="AU825" i="7"/>
  <c r="AU717" i="7"/>
  <c r="AU258" i="7"/>
  <c r="AU88" i="7"/>
  <c r="AU870" i="7"/>
  <c r="AU704" i="7"/>
  <c r="AU195" i="7"/>
  <c r="AU855" i="7"/>
  <c r="AU133" i="7"/>
  <c r="AU364" i="7"/>
  <c r="AU571" i="7"/>
  <c r="AU209" i="7"/>
  <c r="AU628" i="7"/>
  <c r="AU334" i="7"/>
  <c r="AU533" i="7"/>
  <c r="AU685" i="7"/>
  <c r="AU568" i="7"/>
  <c r="AU377" i="7"/>
  <c r="AU140" i="7"/>
  <c r="AU415" i="7"/>
  <c r="AU386" i="7"/>
  <c r="AU656" i="7"/>
  <c r="AU652" i="7"/>
  <c r="AU387" i="7"/>
  <c r="AU287" i="7"/>
  <c r="AU21" i="7"/>
  <c r="AU607" i="7"/>
  <c r="AU746" i="7"/>
  <c r="AU836" i="7"/>
  <c r="AU445" i="7"/>
  <c r="AU308" i="7"/>
  <c r="AU669" i="7"/>
  <c r="AU340" i="7"/>
  <c r="AU282" i="7"/>
  <c r="AU602" i="7"/>
  <c r="AU676" i="7"/>
  <c r="AU695" i="7"/>
  <c r="AU763" i="7"/>
  <c r="AU478" i="7"/>
  <c r="AU79" i="7"/>
  <c r="AU168" i="7"/>
  <c r="AU857" i="7"/>
  <c r="AU137" i="7"/>
  <c r="AU233" i="7"/>
  <c r="AU249" i="7"/>
  <c r="AU51" i="7"/>
  <c r="AU742" i="7"/>
  <c r="AU830" i="7"/>
  <c r="AU181" i="7"/>
  <c r="AU752" i="7"/>
  <c r="AU193" i="7"/>
  <c r="AU596" i="7"/>
  <c r="AU801" i="7"/>
  <c r="AU323" i="7"/>
  <c r="AU304" i="7"/>
  <c r="AU681" i="7"/>
  <c r="AU546" i="7"/>
  <c r="AU320" i="7"/>
  <c r="AU706" i="7"/>
  <c r="AU390" i="7"/>
  <c r="AU372" i="7"/>
  <c r="AU756" i="7"/>
  <c r="AU250" i="7"/>
  <c r="AU380" i="7"/>
  <c r="AU856" i="7"/>
  <c r="AU277" i="7"/>
  <c r="AU527" i="7"/>
  <c r="AU667" i="7"/>
  <c r="AU606" i="7"/>
  <c r="AU397" i="7"/>
  <c r="AU768" i="7"/>
  <c r="AU613" i="7"/>
  <c r="AU660" i="7"/>
  <c r="AU100" i="7"/>
  <c r="AU200" i="7"/>
  <c r="AU409" i="7"/>
  <c r="AU461" i="7"/>
  <c r="AU438" i="7"/>
  <c r="AU117" i="7"/>
  <c r="AU831" i="7"/>
  <c r="AU658" i="7"/>
  <c r="AU158" i="7"/>
  <c r="AU839" i="7"/>
  <c r="AU272" i="7"/>
  <c r="AU496" i="7"/>
  <c r="AU132" i="7"/>
  <c r="AU166" i="7"/>
  <c r="AU13" i="7"/>
  <c r="AU714" i="7"/>
  <c r="AU20" i="7"/>
  <c r="AU136" i="7"/>
  <c r="AU196" i="7"/>
  <c r="AU172" i="7"/>
  <c r="AU32" i="7"/>
  <c r="AU367" i="7"/>
  <c r="AU208" i="7"/>
  <c r="AU129" i="7"/>
  <c r="AU82" i="7"/>
  <c r="AU687" i="7"/>
  <c r="AU600" i="7"/>
  <c r="AU103" i="7"/>
  <c r="AU820" i="7"/>
  <c r="AU727" i="7"/>
  <c r="AU213" i="7"/>
  <c r="AU690" i="7"/>
  <c r="AU582" i="7"/>
  <c r="AU611" i="7"/>
  <c r="AU325" i="7"/>
  <c r="AU621" i="7"/>
  <c r="AU760" i="7"/>
  <c r="AU541" i="7"/>
  <c r="AU673" i="7"/>
  <c r="AU105" i="7"/>
  <c r="AU737" i="7"/>
  <c r="AU670" i="7"/>
  <c r="AU774" i="7"/>
  <c r="AU816" i="7"/>
  <c r="AU581" i="7"/>
  <c r="AU616" i="7"/>
  <c r="AU693" i="7"/>
  <c r="AU298" i="7"/>
  <c r="AU98" i="7"/>
  <c r="AU371" i="7"/>
  <c r="AU350" i="7"/>
  <c r="AU629" i="7"/>
  <c r="AU833" i="7"/>
  <c r="AU444" i="7"/>
  <c r="AU473" i="7"/>
  <c r="AU74" i="7"/>
  <c r="AU292" i="7"/>
  <c r="AU757" i="7"/>
  <c r="AU205" i="7"/>
  <c r="AU101" i="7"/>
  <c r="AU558" i="7"/>
  <c r="AU597" i="7"/>
  <c r="AU545" i="7"/>
  <c r="AU436" i="7"/>
  <c r="AU470" i="7"/>
  <c r="AU632" i="7"/>
  <c r="AU107" i="7"/>
  <c r="AU243" i="7"/>
  <c r="AU806" i="7"/>
  <c r="AU829" i="7"/>
  <c r="AU405" i="7"/>
  <c r="AU44" i="7"/>
  <c r="AU773" i="7"/>
  <c r="AU506" i="7"/>
  <c r="AU198" i="7"/>
  <c r="AU207" i="7"/>
  <c r="AU289" i="7"/>
  <c r="AU698" i="7"/>
  <c r="AU267" i="7"/>
  <c r="AU731" i="7"/>
  <c r="AU647" i="7"/>
  <c r="AU653" i="7"/>
  <c r="AU715" i="7"/>
  <c r="AU110" i="7"/>
  <c r="AU513" i="7"/>
  <c r="AU284" i="7"/>
  <c r="AU255" i="7"/>
  <c r="AU619" i="7"/>
  <c r="AU677" i="7"/>
  <c r="AU778" i="7"/>
  <c r="AU369" i="7"/>
  <c r="AU716" i="7"/>
  <c r="AU273" i="7"/>
  <c r="AU696" i="7"/>
  <c r="AU194" i="7"/>
  <c r="AU531" i="7"/>
  <c r="AU610" i="7"/>
  <c r="AU843" i="7"/>
  <c r="AU92" i="7"/>
  <c r="AU827" i="7"/>
  <c r="AU802" i="7"/>
  <c r="AU495" i="7"/>
  <c r="AU109" i="7"/>
  <c r="AU780" i="7"/>
  <c r="AU66" i="7"/>
  <c r="AU430" i="7"/>
  <c r="AU703" i="7"/>
  <c r="AU83" i="7"/>
  <c r="AU867" i="7"/>
  <c r="AU528" i="7"/>
  <c r="AU529" i="7"/>
  <c r="AU173" i="7"/>
  <c r="AU72" i="7"/>
  <c r="AU544" i="7"/>
  <c r="AU252" i="7"/>
  <c r="AU203" i="7"/>
  <c r="AU642" i="7"/>
  <c r="AU474" i="7"/>
  <c r="AU554" i="7"/>
  <c r="AU68" i="7"/>
  <c r="AU291" i="7"/>
  <c r="AU501" i="7"/>
  <c r="AU19" i="7"/>
  <c r="AU740" i="7"/>
  <c r="AU75" i="7"/>
  <c r="AU349" i="7"/>
  <c r="AU85" i="7"/>
  <c r="AU637" i="7"/>
  <c r="AU604" i="7"/>
  <c r="AU787" i="7"/>
  <c r="AU161" i="7"/>
  <c r="AU770" i="7"/>
  <c r="AU451" i="7"/>
  <c r="AU365" i="7"/>
  <c r="AU335" i="7"/>
  <c r="AU664" i="7"/>
  <c r="AU741" i="7"/>
  <c r="AU563" i="7"/>
  <c r="AU784" i="7"/>
  <c r="AU84" i="7"/>
  <c r="AU565" i="7"/>
  <c r="AU443" i="7"/>
  <c r="AU134" i="7"/>
  <c r="AU448" i="7"/>
  <c r="AU666" i="7"/>
  <c r="AU229" i="7"/>
  <c r="AU225" i="7"/>
  <c r="AU464" i="7"/>
  <c r="AU219" i="7"/>
  <c r="AU201" i="7"/>
  <c r="AU295" i="7"/>
  <c r="AU197" i="7"/>
  <c r="AU823" i="7"/>
  <c r="AU518" i="7"/>
  <c r="AU330" i="7"/>
  <c r="AU403" i="7"/>
  <c r="AU585" i="7"/>
  <c r="AU733" i="7"/>
  <c r="AU485" i="7"/>
  <c r="AU484" i="7"/>
  <c r="AU43" i="7"/>
  <c r="AU482" i="7"/>
  <c r="AU524" i="7"/>
  <c r="AU54" i="7"/>
  <c r="AU202" i="7"/>
  <c r="AU290" i="7"/>
  <c r="AU601" i="7"/>
  <c r="AU293" i="7"/>
  <c r="AU362" i="7"/>
  <c r="AU837" i="7"/>
  <c r="AU516" i="7"/>
  <c r="AU682" i="7"/>
  <c r="AU190" i="7"/>
  <c r="AU844" i="7"/>
  <c r="AU472" i="7"/>
  <c r="AU701" i="7"/>
  <c r="AU220" i="7"/>
  <c r="AU361" i="7"/>
  <c r="AU459" i="7"/>
  <c r="AU864" i="7"/>
  <c r="AU424" i="7"/>
  <c r="AU423" i="7"/>
  <c r="AU466" i="7"/>
  <c r="AU609" i="7"/>
  <c r="AU432" i="7"/>
  <c r="AU427" i="7"/>
  <c r="AU359" i="7"/>
  <c r="AU256" i="7"/>
  <c r="AR722" i="7"/>
  <c r="AR375" i="7"/>
  <c r="AR630" i="7"/>
  <c r="AR263" i="7"/>
  <c r="AR487" i="7"/>
  <c r="AR457" i="7"/>
  <c r="AR30" i="7"/>
  <c r="AR515" i="7"/>
  <c r="AR441" i="7"/>
  <c r="AR551" i="7"/>
  <c r="AR657" i="7"/>
  <c r="AR469" i="7"/>
  <c r="AR848" i="7"/>
  <c r="AR147" i="7"/>
  <c r="AR241" i="7"/>
  <c r="AR25" i="7"/>
  <c r="AR583" i="7"/>
  <c r="AR17" i="7"/>
  <c r="AR586" i="7"/>
  <c r="AR154" i="7"/>
  <c r="AR46" i="7"/>
  <c r="AR329" i="7"/>
  <c r="AR765" i="7"/>
  <c r="AR143" i="7"/>
  <c r="AR425" i="7"/>
  <c r="AR536" i="7"/>
  <c r="AR38" i="7"/>
  <c r="AR576" i="7"/>
  <c r="AR240" i="7"/>
  <c r="AR753" i="7"/>
  <c r="AR34" i="7"/>
  <c r="AR663" i="7"/>
  <c r="AR547" i="7"/>
  <c r="AR635" i="7"/>
  <c r="AR592" i="7"/>
  <c r="AR539" i="7"/>
  <c r="AR275" i="7"/>
  <c r="AR578" i="7"/>
  <c r="AR858" i="7"/>
  <c r="AR548" i="7"/>
  <c r="AR316" i="7"/>
  <c r="AR644" i="7"/>
  <c r="AR318" i="7"/>
  <c r="AR532" i="7"/>
  <c r="AR216" i="7"/>
  <c r="AR511" i="7"/>
  <c r="AR416" i="7"/>
  <c r="AR577" i="7"/>
  <c r="AR393" i="7"/>
  <c r="AR14" i="7"/>
  <c r="AR28" i="7"/>
  <c r="AR725" i="7"/>
  <c r="AR237" i="7"/>
  <c r="AR411" i="7"/>
  <c r="AR165" i="7"/>
  <c r="AR60" i="7"/>
  <c r="AR410" i="7"/>
  <c r="AR262" i="7"/>
  <c r="AR230" i="7"/>
  <c r="AR549" i="7"/>
  <c r="AR236" i="7"/>
  <c r="AR244" i="7"/>
  <c r="AR512" i="7"/>
  <c r="AR344" i="7"/>
  <c r="AR113" i="7"/>
  <c r="AR139" i="7"/>
  <c r="AR648" i="7"/>
  <c r="AR735" i="7"/>
  <c r="AR851" i="7"/>
  <c r="AR680" i="7"/>
  <c r="AR285" i="7"/>
  <c r="AR61" i="7"/>
  <c r="AR508" i="7"/>
  <c r="AR479" i="7"/>
  <c r="AR771" i="7"/>
  <c r="AR868" i="7"/>
  <c r="AR341" i="7"/>
  <c r="AR388" i="7"/>
  <c r="AR627" i="7"/>
  <c r="AR705" i="7"/>
  <c r="AR125" i="7"/>
  <c r="AR64" i="7"/>
  <c r="AR57" i="7"/>
  <c r="AR854" i="7"/>
  <c r="AR794" i="7"/>
  <c r="AR417" i="7"/>
  <c r="AR435" i="7"/>
  <c r="AR754" i="7"/>
  <c r="AR313" i="7"/>
  <c r="AR135" i="7"/>
  <c r="AR268" i="7"/>
  <c r="AR331" i="7"/>
  <c r="AR151" i="7"/>
  <c r="AR805" i="7"/>
  <c r="AR730" i="7"/>
  <c r="AR312" i="7"/>
  <c r="AR523" i="7"/>
  <c r="AR759" i="7"/>
  <c r="AR672" i="7"/>
  <c r="AR605" i="7"/>
  <c r="AR366" i="7"/>
  <c r="AR575" i="7"/>
  <c r="AR12" i="7"/>
  <c r="AR144" i="7"/>
  <c r="AR159" i="7"/>
  <c r="AR790" i="7"/>
  <c r="AR128" i="7"/>
  <c r="AR401" i="7"/>
  <c r="AR127" i="7"/>
  <c r="AR73" i="7"/>
  <c r="AR374" i="7"/>
  <c r="AR808" i="7"/>
  <c r="AR297" i="7"/>
  <c r="AR404" i="7"/>
  <c r="AR775" i="7"/>
  <c r="AR813" i="7"/>
  <c r="AR762" i="7"/>
  <c r="AR795" i="7"/>
  <c r="AR812" i="7"/>
  <c r="AR580" i="7"/>
  <c r="AR497" i="7"/>
  <c r="AR502" i="7"/>
  <c r="AR748" i="7"/>
  <c r="AR22" i="7"/>
  <c r="AR791" i="7"/>
  <c r="AR345" i="7"/>
  <c r="AR540" i="7"/>
  <c r="AR370" i="7"/>
  <c r="AR622" i="7"/>
  <c r="AR124" i="7"/>
  <c r="AR422" i="7"/>
  <c r="AR426" i="7"/>
  <c r="AR141" i="7"/>
  <c r="AR302" i="7"/>
  <c r="AR584" i="7"/>
  <c r="AR555" i="7"/>
  <c r="AR767" i="7"/>
  <c r="AR210" i="7"/>
  <c r="AR342" i="7"/>
  <c r="AR383" i="7"/>
  <c r="AR559" i="7"/>
  <c r="AR400" i="7"/>
  <c r="AR309" i="7"/>
  <c r="AR169" i="7"/>
  <c r="AR846" i="7"/>
  <c r="AR389" i="7"/>
  <c r="AR779" i="7"/>
  <c r="AR433" i="7"/>
  <c r="AR180" i="7"/>
  <c r="AR526" i="7"/>
  <c r="AR688" i="7"/>
  <c r="AR148" i="7"/>
  <c r="AR174" i="7"/>
  <c r="AR42" i="7"/>
  <c r="AR310" i="7"/>
  <c r="AR419" i="7"/>
  <c r="AR115" i="7"/>
  <c r="AR796" i="7"/>
  <c r="AR86" i="7"/>
  <c r="AR761" i="7"/>
  <c r="AR587" i="7"/>
  <c r="AR24" i="7"/>
  <c r="AR58" i="7"/>
  <c r="AR162" i="7"/>
  <c r="AR381" i="7"/>
  <c r="AR322" i="7"/>
  <c r="AR724" i="7"/>
  <c r="AR504" i="7"/>
  <c r="AR491" i="7"/>
  <c r="AR814" i="7"/>
  <c r="AR462" i="7"/>
  <c r="AR623" i="7"/>
  <c r="AR183" i="7"/>
  <c r="AR146" i="7"/>
  <c r="AR434" i="7"/>
  <c r="AR391" i="7"/>
  <c r="AR87" i="7"/>
  <c r="AR351" i="7"/>
  <c r="AR560" i="7"/>
  <c r="AR8" i="7"/>
  <c r="AR465" i="7"/>
  <c r="AR744" i="7"/>
  <c r="AR332" i="7"/>
  <c r="AR138" i="7"/>
  <c r="AR736" i="7"/>
  <c r="AR402" i="7"/>
  <c r="AR718" i="7"/>
  <c r="AR70" i="7"/>
  <c r="AR428" i="7"/>
  <c r="AR328" i="7"/>
  <c r="AR303" i="7"/>
  <c r="AR686" i="7"/>
  <c r="AR708" i="7"/>
  <c r="AR782" i="7"/>
  <c r="AR755" i="7"/>
  <c r="AR615" i="7"/>
  <c r="AR574" i="7"/>
  <c r="AR678" i="7"/>
  <c r="AR734" i="7"/>
  <c r="AR167" i="7"/>
  <c r="AR280" i="7"/>
  <c r="AR799" i="7"/>
  <c r="AR699" i="7"/>
  <c r="AR152" i="7"/>
  <c r="AR67" i="7"/>
  <c r="AR824" i="7"/>
  <c r="AR278" i="7"/>
  <c r="AR649" i="7"/>
  <c r="AR514" i="7"/>
  <c r="AR212" i="7"/>
  <c r="AR242" i="7"/>
  <c r="AR772" i="7"/>
  <c r="AR567" i="7"/>
  <c r="AR640" i="7"/>
  <c r="AR384" i="7"/>
  <c r="AR579" i="7"/>
  <c r="AR834" i="7"/>
  <c r="AR15" i="7"/>
  <c r="AR668" i="7"/>
  <c r="AR418" i="7"/>
  <c r="AR789" i="7"/>
  <c r="AR503" i="7"/>
  <c r="AR521" i="7"/>
  <c r="AR828" i="7"/>
  <c r="AR343" i="7"/>
  <c r="AR863" i="7"/>
  <c r="AR245" i="7"/>
  <c r="AR561" i="7"/>
  <c r="AR283" i="7"/>
  <c r="AR477" i="7"/>
  <c r="AR259" i="7"/>
  <c r="AR542" i="7"/>
  <c r="AR838" i="7"/>
  <c r="AR807" i="7"/>
  <c r="AR552" i="7"/>
  <c r="AR614" i="7"/>
  <c r="AR550" i="7"/>
  <c r="AR149" i="7"/>
  <c r="AR645" i="7"/>
  <c r="AR570" i="7"/>
  <c r="AR306" i="7"/>
  <c r="AR179" i="7"/>
  <c r="AR429" i="7"/>
  <c r="AR35" i="7"/>
  <c r="AR178" i="7"/>
  <c r="AR618" i="7"/>
  <c r="AR346" i="7"/>
  <c r="AR356" i="7"/>
  <c r="AR182" i="7"/>
  <c r="AR363" i="7"/>
  <c r="AR226" i="7"/>
  <c r="AR407" i="7"/>
  <c r="AR747" i="7"/>
  <c r="AR414" i="7"/>
  <c r="AR661" i="7"/>
  <c r="AR710" i="7"/>
  <c r="AR723" i="7"/>
  <c r="AR376" i="7"/>
  <c r="AR729" i="7"/>
  <c r="AR525" i="7"/>
  <c r="AR29" i="7"/>
  <c r="AR702" i="7"/>
  <c r="AR852" i="7"/>
  <c r="AR90" i="7"/>
  <c r="AR573" i="7"/>
  <c r="AR707" i="7"/>
  <c r="AR222" i="7"/>
  <c r="AR785" i="7"/>
  <c r="AR519" i="7"/>
  <c r="AR494" i="7"/>
  <c r="AR847" i="7"/>
  <c r="AR261" i="7"/>
  <c r="AR800" i="7"/>
  <c r="AR588" i="7"/>
  <c r="AR160" i="7"/>
  <c r="AR26" i="7"/>
  <c r="AR595" i="7"/>
  <c r="AR822" i="7"/>
  <c r="AR440" i="7"/>
  <c r="AR665" i="7"/>
  <c r="AR764" i="7"/>
  <c r="AR777" i="7"/>
  <c r="AR671" i="7"/>
  <c r="AR832" i="7"/>
  <c r="AR228" i="7"/>
  <c r="AR634" i="7"/>
  <c r="AR114" i="7"/>
  <c r="AR385" i="7"/>
  <c r="AR37" i="7"/>
  <c r="AR279" i="7"/>
  <c r="AR191" i="7"/>
  <c r="AR108" i="7"/>
  <c r="AR56" i="7"/>
  <c r="AR311" i="7"/>
  <c r="AR507" i="7"/>
  <c r="AR97" i="7"/>
  <c r="AR500" i="7"/>
  <c r="AR319" i="7"/>
  <c r="AR18" i="7"/>
  <c r="AR264" i="7"/>
  <c r="AR437" i="7"/>
  <c r="AR510" i="7"/>
  <c r="AR338" i="7"/>
  <c r="AR853" i="7"/>
  <c r="AR111" i="7"/>
  <c r="AR333" i="7"/>
  <c r="AR186" i="7"/>
  <c r="AR721" i="7"/>
  <c r="AR102" i="7"/>
  <c r="AR713" i="7"/>
  <c r="AR809" i="7"/>
  <c r="AR27" i="7"/>
  <c r="AR569" i="7"/>
  <c r="AR446" i="7"/>
  <c r="AR150" i="7"/>
  <c r="AR164" i="7"/>
  <c r="AR184" i="7"/>
  <c r="AR865" i="7"/>
  <c r="AR40" i="7"/>
  <c r="AR726" i="7"/>
  <c r="AR122" i="7"/>
  <c r="AR817" i="7"/>
  <c r="AR452" i="7"/>
  <c r="AR89" i="7"/>
  <c r="AR187" i="7"/>
  <c r="AR593" i="7"/>
  <c r="AR399" i="7"/>
  <c r="AR294" i="7"/>
  <c r="AR819" i="7"/>
  <c r="AR499" i="7"/>
  <c r="AR522" i="7"/>
  <c r="AR598" i="7"/>
  <c r="AR80" i="7"/>
  <c r="AR509" i="7"/>
  <c r="AR798" i="7"/>
  <c r="AR643" i="7"/>
  <c r="AR439" i="7"/>
  <c r="AR749" i="7"/>
  <c r="AR53" i="7"/>
  <c r="AR454" i="7"/>
  <c r="AR679" i="7"/>
  <c r="AR631" i="7"/>
  <c r="AR118" i="7"/>
  <c r="AR9" i="7"/>
  <c r="AR76" i="7"/>
  <c r="AR398" i="7"/>
  <c r="AR758" i="7"/>
  <c r="AR442" i="7"/>
  <c r="AR45" i="7"/>
  <c r="AR81" i="7"/>
  <c r="AR286" i="7"/>
  <c r="AR354" i="7"/>
  <c r="AR719" i="7"/>
  <c r="AR449" i="7"/>
  <c r="AR11" i="7"/>
  <c r="AR564" i="7"/>
  <c r="AR826" i="7"/>
  <c r="AR825" i="7"/>
  <c r="AR717" i="7"/>
  <c r="AR258" i="7"/>
  <c r="AR88" i="7"/>
  <c r="AR870" i="7"/>
  <c r="AR704" i="7"/>
  <c r="AR195" i="7"/>
  <c r="AR855" i="7"/>
  <c r="AR133" i="7"/>
  <c r="AR364" i="7"/>
  <c r="AR571" i="7"/>
  <c r="AR209" i="7"/>
  <c r="AR628" i="7"/>
  <c r="AR334" i="7"/>
  <c r="AR533" i="7"/>
  <c r="AR685" i="7"/>
  <c r="AR568" i="7"/>
  <c r="AR377" i="7"/>
  <c r="AR140" i="7"/>
  <c r="AR415" i="7"/>
  <c r="AR386" i="7"/>
  <c r="AR656" i="7"/>
  <c r="AR652" i="7"/>
  <c r="AR387" i="7"/>
  <c r="AR287" i="7"/>
  <c r="AR21" i="7"/>
  <c r="AR607" i="7"/>
  <c r="AR746" i="7"/>
  <c r="AR836" i="7"/>
  <c r="AR445" i="7"/>
  <c r="AR308" i="7"/>
  <c r="AR669" i="7"/>
  <c r="AR340" i="7"/>
  <c r="AR282" i="7"/>
  <c r="AR602" i="7"/>
  <c r="AR676" i="7"/>
  <c r="AR695" i="7"/>
  <c r="AR763" i="7"/>
  <c r="AR478" i="7"/>
  <c r="AR79" i="7"/>
  <c r="AR168" i="7"/>
  <c r="AR857" i="7"/>
  <c r="AR137" i="7"/>
  <c r="AR233" i="7"/>
  <c r="AR249" i="7"/>
  <c r="AR51" i="7"/>
  <c r="AR742" i="7"/>
  <c r="AR830" i="7"/>
  <c r="AR181" i="7"/>
  <c r="AR752" i="7"/>
  <c r="AR193" i="7"/>
  <c r="AR596" i="7"/>
  <c r="AR801" i="7"/>
  <c r="AR323" i="7"/>
  <c r="AR304" i="7"/>
  <c r="AR681" i="7"/>
  <c r="AR546" i="7"/>
  <c r="AR320" i="7"/>
  <c r="AR706" i="7"/>
  <c r="AR390" i="7"/>
  <c r="AR372" i="7"/>
  <c r="AR756" i="7"/>
  <c r="AR250" i="7"/>
  <c r="AR380" i="7"/>
  <c r="AR856" i="7"/>
  <c r="AR277" i="7"/>
  <c r="AR527" i="7"/>
  <c r="AR667" i="7"/>
  <c r="AR606" i="7"/>
  <c r="AR397" i="7"/>
  <c r="AR768" i="7"/>
  <c r="AR613" i="7"/>
  <c r="AR660" i="7"/>
  <c r="AR100" i="7"/>
  <c r="AR200" i="7"/>
  <c r="AR409" i="7"/>
  <c r="AR461" i="7"/>
  <c r="AR438" i="7"/>
  <c r="AR117" i="7"/>
  <c r="AR831" i="7"/>
  <c r="AR658" i="7"/>
  <c r="AR158" i="7"/>
  <c r="AR839" i="7"/>
  <c r="AR272" i="7"/>
  <c r="AR496" i="7"/>
  <c r="AR132" i="7"/>
  <c r="AR166" i="7"/>
  <c r="AR13" i="7"/>
  <c r="AR714" i="7"/>
  <c r="AR20" i="7"/>
  <c r="AR136" i="7"/>
  <c r="AR196" i="7"/>
  <c r="AR172" i="7"/>
  <c r="AR32" i="7"/>
  <c r="AR367" i="7"/>
  <c r="AR208" i="7"/>
  <c r="AR129" i="7"/>
  <c r="AR82" i="7"/>
  <c r="AR687" i="7"/>
  <c r="AR600" i="7"/>
  <c r="AR103" i="7"/>
  <c r="AR820" i="7"/>
  <c r="AR727" i="7"/>
  <c r="AR213" i="7"/>
  <c r="AR690" i="7"/>
  <c r="AR582" i="7"/>
  <c r="AR611" i="7"/>
  <c r="AR325" i="7"/>
  <c r="AR621" i="7"/>
  <c r="AR760" i="7"/>
  <c r="AR541" i="7"/>
  <c r="AR673" i="7"/>
  <c r="AR105" i="7"/>
  <c r="AR737" i="7"/>
  <c r="AR670" i="7"/>
  <c r="AR774" i="7"/>
  <c r="AR816" i="7"/>
  <c r="AR581" i="7"/>
  <c r="AR616" i="7"/>
  <c r="AR693" i="7"/>
  <c r="AR298" i="7"/>
  <c r="AR98" i="7"/>
  <c r="AR371" i="7"/>
  <c r="AR350" i="7"/>
  <c r="AR629" i="7"/>
  <c r="AR833" i="7"/>
  <c r="AR444" i="7"/>
  <c r="AR473" i="7"/>
  <c r="AR74" i="7"/>
  <c r="AR292" i="7"/>
  <c r="AR757" i="7"/>
  <c r="AR205" i="7"/>
  <c r="AR101" i="7"/>
  <c r="AR558" i="7"/>
  <c r="AR597" i="7"/>
  <c r="AR545" i="7"/>
  <c r="AR436" i="7"/>
  <c r="AR470" i="7"/>
  <c r="AR632" i="7"/>
  <c r="AR107" i="7"/>
  <c r="AR243" i="7"/>
  <c r="AR806" i="7"/>
  <c r="AR829" i="7"/>
  <c r="AR405" i="7"/>
  <c r="AR44" i="7"/>
  <c r="AR773" i="7"/>
  <c r="AR506" i="7"/>
  <c r="AR198" i="7"/>
  <c r="AR207" i="7"/>
  <c r="AR289" i="7"/>
  <c r="AR698" i="7"/>
  <c r="AR267" i="7"/>
  <c r="AR731" i="7"/>
  <c r="AR647" i="7"/>
  <c r="AR653" i="7"/>
  <c r="AR715" i="7"/>
  <c r="AR110" i="7"/>
  <c r="AR513" i="7"/>
  <c r="AR284" i="7"/>
  <c r="AR255" i="7"/>
  <c r="AR619" i="7"/>
  <c r="AR677" i="7"/>
  <c r="AR778" i="7"/>
  <c r="AR369" i="7"/>
  <c r="AR716" i="7"/>
  <c r="AR273" i="7"/>
  <c r="AR696" i="7"/>
  <c r="AR194" i="7"/>
  <c r="AR531" i="7"/>
  <c r="AR610" i="7"/>
  <c r="AR843" i="7"/>
  <c r="AR92" i="7"/>
  <c r="AR827" i="7"/>
  <c r="AR802" i="7"/>
  <c r="AR495" i="7"/>
  <c r="AR109" i="7"/>
  <c r="AR780" i="7"/>
  <c r="AR66" i="7"/>
  <c r="AR430" i="7"/>
  <c r="AR703" i="7"/>
  <c r="AR83" i="7"/>
  <c r="AR867" i="7"/>
  <c r="AR528" i="7"/>
  <c r="AR529" i="7"/>
  <c r="AR173" i="7"/>
  <c r="AR72" i="7"/>
  <c r="AR544" i="7"/>
  <c r="AR252" i="7"/>
  <c r="AR203" i="7"/>
  <c r="AR642" i="7"/>
  <c r="AR474" i="7"/>
  <c r="AR554" i="7"/>
  <c r="AR68" i="7"/>
  <c r="AR291" i="7"/>
  <c r="AR501" i="7"/>
  <c r="AR19" i="7"/>
  <c r="AR740" i="7"/>
  <c r="AR75" i="7"/>
  <c r="AR349" i="7"/>
  <c r="AR85" i="7"/>
  <c r="AR637" i="7"/>
  <c r="AR604" i="7"/>
  <c r="AR787" i="7"/>
  <c r="AR161" i="7"/>
  <c r="AR770" i="7"/>
  <c r="AR451" i="7"/>
  <c r="AR365" i="7"/>
  <c r="AR335" i="7"/>
  <c r="AR664" i="7"/>
  <c r="AR741" i="7"/>
  <c r="AR563" i="7"/>
  <c r="AR784" i="7"/>
  <c r="AR84" i="7"/>
  <c r="AR565" i="7"/>
  <c r="AR443" i="7"/>
  <c r="AR134" i="7"/>
  <c r="AR448" i="7"/>
  <c r="AR666" i="7"/>
  <c r="AR229" i="7"/>
  <c r="AR225" i="7"/>
  <c r="AR464" i="7"/>
  <c r="AR219" i="7"/>
  <c r="AR201" i="7"/>
  <c r="AR295" i="7"/>
  <c r="AR197" i="7"/>
  <c r="AR823" i="7"/>
  <c r="AR518" i="7"/>
  <c r="AR330" i="7"/>
  <c r="AR403" i="7"/>
  <c r="AR585" i="7"/>
  <c r="AR733" i="7"/>
  <c r="AR485" i="7"/>
  <c r="AR484" i="7"/>
  <c r="AR43" i="7"/>
  <c r="AR482" i="7"/>
  <c r="AR524" i="7"/>
  <c r="AR54" i="7"/>
  <c r="AR202" i="7"/>
  <c r="AR290" i="7"/>
  <c r="AR601" i="7"/>
  <c r="AR293" i="7"/>
  <c r="AR362" i="7"/>
  <c r="AR837" i="7"/>
  <c r="AR516" i="7"/>
  <c r="AR682" i="7"/>
  <c r="AR190" i="7"/>
  <c r="AR844" i="7"/>
  <c r="AR472" i="7"/>
  <c r="AR701" i="7"/>
  <c r="AR220" i="7"/>
  <c r="AR361" i="7"/>
  <c r="AR459" i="7"/>
  <c r="AR864" i="7"/>
  <c r="AR424" i="7"/>
  <c r="AR423" i="7"/>
  <c r="AR466" i="7"/>
  <c r="AR609" i="7"/>
  <c r="AR432" i="7"/>
  <c r="AR427" i="7"/>
  <c r="AR359" i="7"/>
  <c r="AR256" i="7"/>
  <c r="AN722" i="7"/>
  <c r="AN375" i="7"/>
  <c r="AN630" i="7"/>
  <c r="AN263" i="7"/>
  <c r="AN487" i="7"/>
  <c r="AN457" i="7"/>
  <c r="AN30" i="7"/>
  <c r="AN515" i="7"/>
  <c r="AN441" i="7"/>
  <c r="AN551" i="7"/>
  <c r="AN657" i="7"/>
  <c r="AN469" i="7"/>
  <c r="AN848" i="7"/>
  <c r="AN147" i="7"/>
  <c r="AN241" i="7"/>
  <c r="AN25" i="7"/>
  <c r="AN583" i="7"/>
  <c r="AN17" i="7"/>
  <c r="AN586" i="7"/>
  <c r="AN154" i="7"/>
  <c r="AN46" i="7"/>
  <c r="AN329" i="7"/>
  <c r="AN765" i="7"/>
  <c r="AN143" i="7"/>
  <c r="AN425" i="7"/>
  <c r="AN536" i="7"/>
  <c r="AN38" i="7"/>
  <c r="AN576" i="7"/>
  <c r="AN240" i="7"/>
  <c r="AN753" i="7"/>
  <c r="AN34" i="7"/>
  <c r="AN663" i="7"/>
  <c r="AN547" i="7"/>
  <c r="AN635" i="7"/>
  <c r="AN592" i="7"/>
  <c r="AN539" i="7"/>
  <c r="AN275" i="7"/>
  <c r="AN578" i="7"/>
  <c r="AN858" i="7"/>
  <c r="AN548" i="7"/>
  <c r="AN316" i="7"/>
  <c r="AN644" i="7"/>
  <c r="AN318" i="7"/>
  <c r="AN532" i="7"/>
  <c r="AN216" i="7"/>
  <c r="AN511" i="7"/>
  <c r="AN416" i="7"/>
  <c r="AN577" i="7"/>
  <c r="AN393" i="7"/>
  <c r="AN14" i="7"/>
  <c r="AN28" i="7"/>
  <c r="AN725" i="7"/>
  <c r="AN237" i="7"/>
  <c r="AN411" i="7"/>
  <c r="AN165" i="7"/>
  <c r="AN60" i="7"/>
  <c r="AN410" i="7"/>
  <c r="AN262" i="7"/>
  <c r="AN230" i="7"/>
  <c r="AN549" i="7"/>
  <c r="AN236" i="7"/>
  <c r="AN244" i="7"/>
  <c r="AN512" i="7"/>
  <c r="AN344" i="7"/>
  <c r="AN113" i="7"/>
  <c r="AN139" i="7"/>
  <c r="AN648" i="7"/>
  <c r="AN735" i="7"/>
  <c r="AN851" i="7"/>
  <c r="AN680" i="7"/>
  <c r="AN285" i="7"/>
  <c r="AN61" i="7"/>
  <c r="AN508" i="7"/>
  <c r="AN479" i="7"/>
  <c r="AN771" i="7"/>
  <c r="AN868" i="7"/>
  <c r="AN341" i="7"/>
  <c r="AN388" i="7"/>
  <c r="AN627" i="7"/>
  <c r="AN705" i="7"/>
  <c r="AN125" i="7"/>
  <c r="AN64" i="7"/>
  <c r="AN57" i="7"/>
  <c r="AN854" i="7"/>
  <c r="AN794" i="7"/>
  <c r="AN417" i="7"/>
  <c r="AN435" i="7"/>
  <c r="AN754" i="7"/>
  <c r="AN313" i="7"/>
  <c r="AN135" i="7"/>
  <c r="AN268" i="7"/>
  <c r="AN331" i="7"/>
  <c r="AN151" i="7"/>
  <c r="AN805" i="7"/>
  <c r="AN730" i="7"/>
  <c r="AN312" i="7"/>
  <c r="AN523" i="7"/>
  <c r="AN759" i="7"/>
  <c r="AN672" i="7"/>
  <c r="AN605" i="7"/>
  <c r="AN366" i="7"/>
  <c r="AN575" i="7"/>
  <c r="AN12" i="7"/>
  <c r="AN144" i="7"/>
  <c r="AN159" i="7"/>
  <c r="AN790" i="7"/>
  <c r="AN128" i="7"/>
  <c r="AN401" i="7"/>
  <c r="AN127" i="7"/>
  <c r="AN73" i="7"/>
  <c r="AN374" i="7"/>
  <c r="AN808" i="7"/>
  <c r="AN297" i="7"/>
  <c r="AN404" i="7"/>
  <c r="AN775" i="7"/>
  <c r="AN813" i="7"/>
  <c r="AN762" i="7"/>
  <c r="AN795" i="7"/>
  <c r="AN812" i="7"/>
  <c r="AN580" i="7"/>
  <c r="AN497" i="7"/>
  <c r="AN502" i="7"/>
  <c r="AN748" i="7"/>
  <c r="AN22" i="7"/>
  <c r="AN791" i="7"/>
  <c r="AN345" i="7"/>
  <c r="AN540" i="7"/>
  <c r="AN370" i="7"/>
  <c r="AN622" i="7"/>
  <c r="AN124" i="7"/>
  <c r="AN422" i="7"/>
  <c r="AN426" i="7"/>
  <c r="AN141" i="7"/>
  <c r="AN302" i="7"/>
  <c r="AN584" i="7"/>
  <c r="AN555" i="7"/>
  <c r="AN767" i="7"/>
  <c r="AN210" i="7"/>
  <c r="AN342" i="7"/>
  <c r="AN383" i="7"/>
  <c r="AN559" i="7"/>
  <c r="AN400" i="7"/>
  <c r="AN309" i="7"/>
  <c r="AN169" i="7"/>
  <c r="AN846" i="7"/>
  <c r="AN389" i="7"/>
  <c r="AN779" i="7"/>
  <c r="AN433" i="7"/>
  <c r="AN180" i="7"/>
  <c r="AN526" i="7"/>
  <c r="AN688" i="7"/>
  <c r="AN148" i="7"/>
  <c r="AN174" i="7"/>
  <c r="AN42" i="7"/>
  <c r="AN310" i="7"/>
  <c r="AN419" i="7"/>
  <c r="AN115" i="7"/>
  <c r="AN796" i="7"/>
  <c r="AN86" i="7"/>
  <c r="AN761" i="7"/>
  <c r="AN587" i="7"/>
  <c r="AN24" i="7"/>
  <c r="AN58" i="7"/>
  <c r="AN162" i="7"/>
  <c r="AN381" i="7"/>
  <c r="AN322" i="7"/>
  <c r="AN724" i="7"/>
  <c r="AN504" i="7"/>
  <c r="AN491" i="7"/>
  <c r="AN814" i="7"/>
  <c r="AN462" i="7"/>
  <c r="AN623" i="7"/>
  <c r="AN183" i="7"/>
  <c r="AN146" i="7"/>
  <c r="AN434" i="7"/>
  <c r="AN391" i="7"/>
  <c r="AN87" i="7"/>
  <c r="AN351" i="7"/>
  <c r="AN560" i="7"/>
  <c r="AN8" i="7"/>
  <c r="AN465" i="7"/>
  <c r="AN744" i="7"/>
  <c r="AN332" i="7"/>
  <c r="AN138" i="7"/>
  <c r="AN736" i="7"/>
  <c r="AN402" i="7"/>
  <c r="AN718" i="7"/>
  <c r="AN70" i="7"/>
  <c r="AN428" i="7"/>
  <c r="AN328" i="7"/>
  <c r="AN303" i="7"/>
  <c r="AN686" i="7"/>
  <c r="AN708" i="7"/>
  <c r="AN782" i="7"/>
  <c r="AN755" i="7"/>
  <c r="AN615" i="7"/>
  <c r="AN574" i="7"/>
  <c r="AN678" i="7"/>
  <c r="AN734" i="7"/>
  <c r="AN167" i="7"/>
  <c r="AN280" i="7"/>
  <c r="AN799" i="7"/>
  <c r="AN699" i="7"/>
  <c r="AN152" i="7"/>
  <c r="AN67" i="7"/>
  <c r="AN824" i="7"/>
  <c r="AN278" i="7"/>
  <c r="AN649" i="7"/>
  <c r="AN514" i="7"/>
  <c r="AN212" i="7"/>
  <c r="AN242" i="7"/>
  <c r="AN772" i="7"/>
  <c r="AN567" i="7"/>
  <c r="AN640" i="7"/>
  <c r="AN384" i="7"/>
  <c r="AN579" i="7"/>
  <c r="AN834" i="7"/>
  <c r="AN15" i="7"/>
  <c r="AN668" i="7"/>
  <c r="AN418" i="7"/>
  <c r="AN789" i="7"/>
  <c r="AN503" i="7"/>
  <c r="AN521" i="7"/>
  <c r="AN828" i="7"/>
  <c r="AN343" i="7"/>
  <c r="AN863" i="7"/>
  <c r="AN245" i="7"/>
  <c r="AN561" i="7"/>
  <c r="AN283" i="7"/>
  <c r="AN477" i="7"/>
  <c r="AN259" i="7"/>
  <c r="AN542" i="7"/>
  <c r="AN838" i="7"/>
  <c r="AN807" i="7"/>
  <c r="AN552" i="7"/>
  <c r="AN614" i="7"/>
  <c r="AN550" i="7"/>
  <c r="AN149" i="7"/>
  <c r="AN645" i="7"/>
  <c r="AN570" i="7"/>
  <c r="AN306" i="7"/>
  <c r="AN179" i="7"/>
  <c r="AN429" i="7"/>
  <c r="AN35" i="7"/>
  <c r="AN178" i="7"/>
  <c r="AN618" i="7"/>
  <c r="AN346" i="7"/>
  <c r="AN356" i="7"/>
  <c r="AN182" i="7"/>
  <c r="AN363" i="7"/>
  <c r="AN226" i="7"/>
  <c r="AN407" i="7"/>
  <c r="AN747" i="7"/>
  <c r="AN414" i="7"/>
  <c r="AN661" i="7"/>
  <c r="AN710" i="7"/>
  <c r="AN723" i="7"/>
  <c r="AN376" i="7"/>
  <c r="AN729" i="7"/>
  <c r="AN525" i="7"/>
  <c r="AN29" i="7"/>
  <c r="AN702" i="7"/>
  <c r="AN852" i="7"/>
  <c r="AN90" i="7"/>
  <c r="AN573" i="7"/>
  <c r="AN707" i="7"/>
  <c r="AN222" i="7"/>
  <c r="AN785" i="7"/>
  <c r="AN519" i="7"/>
  <c r="AN494" i="7"/>
  <c r="AN847" i="7"/>
  <c r="AN261" i="7"/>
  <c r="AN800" i="7"/>
  <c r="AN588" i="7"/>
  <c r="AN160" i="7"/>
  <c r="AN26" i="7"/>
  <c r="AN595" i="7"/>
  <c r="AN822" i="7"/>
  <c r="AN440" i="7"/>
  <c r="AN665" i="7"/>
  <c r="AN764" i="7"/>
  <c r="AN777" i="7"/>
  <c r="AN671" i="7"/>
  <c r="AN832" i="7"/>
  <c r="AN228" i="7"/>
  <c r="AN634" i="7"/>
  <c r="AN114" i="7"/>
  <c r="AN385" i="7"/>
  <c r="AN37" i="7"/>
  <c r="AN279" i="7"/>
  <c r="AN191" i="7"/>
  <c r="AN108" i="7"/>
  <c r="AN56" i="7"/>
  <c r="AN311" i="7"/>
  <c r="AN507" i="7"/>
  <c r="AN97" i="7"/>
  <c r="AN500" i="7"/>
  <c r="AN319" i="7"/>
  <c r="AN18" i="7"/>
  <c r="AN264" i="7"/>
  <c r="AN437" i="7"/>
  <c r="AN510" i="7"/>
  <c r="AN338" i="7"/>
  <c r="AN853" i="7"/>
  <c r="AN111" i="7"/>
  <c r="AN333" i="7"/>
  <c r="AN186" i="7"/>
  <c r="AN721" i="7"/>
  <c r="AN102" i="7"/>
  <c r="AN713" i="7"/>
  <c r="AN809" i="7"/>
  <c r="AN27" i="7"/>
  <c r="AN569" i="7"/>
  <c r="AN446" i="7"/>
  <c r="AN150" i="7"/>
  <c r="AN164" i="7"/>
  <c r="AN184" i="7"/>
  <c r="AN865" i="7"/>
  <c r="AN40" i="7"/>
  <c r="AN726" i="7"/>
  <c r="AN122" i="7"/>
  <c r="AN817" i="7"/>
  <c r="AN452" i="7"/>
  <c r="AN89" i="7"/>
  <c r="AN187" i="7"/>
  <c r="AN593" i="7"/>
  <c r="AN399" i="7"/>
  <c r="AN294" i="7"/>
  <c r="AN819" i="7"/>
  <c r="AN499" i="7"/>
  <c r="AN522" i="7"/>
  <c r="AN598" i="7"/>
  <c r="AN80" i="7"/>
  <c r="AN509" i="7"/>
  <c r="AN798" i="7"/>
  <c r="AN643" i="7"/>
  <c r="AN439" i="7"/>
  <c r="AN749" i="7"/>
  <c r="AN53" i="7"/>
  <c r="AN454" i="7"/>
  <c r="AN679" i="7"/>
  <c r="AN631" i="7"/>
  <c r="AN118" i="7"/>
  <c r="AN9" i="7"/>
  <c r="AN76" i="7"/>
  <c r="AN398" i="7"/>
  <c r="AN758" i="7"/>
  <c r="AN442" i="7"/>
  <c r="AN45" i="7"/>
  <c r="AN81" i="7"/>
  <c r="AN286" i="7"/>
  <c r="AN354" i="7"/>
  <c r="AN719" i="7"/>
  <c r="AN449" i="7"/>
  <c r="AN11" i="7"/>
  <c r="AN564" i="7"/>
  <c r="AN826" i="7"/>
  <c r="AN825" i="7"/>
  <c r="AN717" i="7"/>
  <c r="AN258" i="7"/>
  <c r="AN88" i="7"/>
  <c r="AN870" i="7"/>
  <c r="AN704" i="7"/>
  <c r="AN195" i="7"/>
  <c r="AN855" i="7"/>
  <c r="AN133" i="7"/>
  <c r="AN364" i="7"/>
  <c r="AN571" i="7"/>
  <c r="AN209" i="7"/>
  <c r="AN628" i="7"/>
  <c r="AN334" i="7"/>
  <c r="AN533" i="7"/>
  <c r="AN685" i="7"/>
  <c r="AN568" i="7"/>
  <c r="AN377" i="7"/>
  <c r="AN140" i="7"/>
  <c r="AN415" i="7"/>
  <c r="AN386" i="7"/>
  <c r="AN656" i="7"/>
  <c r="AN652" i="7"/>
  <c r="AN387" i="7"/>
  <c r="AN287" i="7"/>
  <c r="AN21" i="7"/>
  <c r="AN607" i="7"/>
  <c r="AN746" i="7"/>
  <c r="AN836" i="7"/>
  <c r="AN445" i="7"/>
  <c r="AN308" i="7"/>
  <c r="AN669" i="7"/>
  <c r="AN340" i="7"/>
  <c r="AN282" i="7"/>
  <c r="AN602" i="7"/>
  <c r="AN676" i="7"/>
  <c r="AN695" i="7"/>
  <c r="AN763" i="7"/>
  <c r="AN478" i="7"/>
  <c r="AN79" i="7"/>
  <c r="AN168" i="7"/>
  <c r="AN857" i="7"/>
  <c r="AN137" i="7"/>
  <c r="AN233" i="7"/>
  <c r="AN249" i="7"/>
  <c r="AN51" i="7"/>
  <c r="AN742" i="7"/>
  <c r="AN830" i="7"/>
  <c r="AN181" i="7"/>
  <c r="AN752" i="7"/>
  <c r="AN193" i="7"/>
  <c r="AN596" i="7"/>
  <c r="AN801" i="7"/>
  <c r="AN323" i="7"/>
  <c r="AN304" i="7"/>
  <c r="AN681" i="7"/>
  <c r="AN546" i="7"/>
  <c r="AN320" i="7"/>
  <c r="AN706" i="7"/>
  <c r="AN390" i="7"/>
  <c r="AN372" i="7"/>
  <c r="AN756" i="7"/>
  <c r="AN250" i="7"/>
  <c r="AN380" i="7"/>
  <c r="AN856" i="7"/>
  <c r="AN277" i="7"/>
  <c r="AN527" i="7"/>
  <c r="AN667" i="7"/>
  <c r="AN606" i="7"/>
  <c r="AN397" i="7"/>
  <c r="AN768" i="7"/>
  <c r="AN613" i="7"/>
  <c r="AN660" i="7"/>
  <c r="AN100" i="7"/>
  <c r="AN200" i="7"/>
  <c r="AN409" i="7"/>
  <c r="AN461" i="7"/>
  <c r="AN438" i="7"/>
  <c r="AN117" i="7"/>
  <c r="AN831" i="7"/>
  <c r="AN658" i="7"/>
  <c r="AN158" i="7"/>
  <c r="AN839" i="7"/>
  <c r="AN272" i="7"/>
  <c r="AN496" i="7"/>
  <c r="AN132" i="7"/>
  <c r="AN166" i="7"/>
  <c r="AN13" i="7"/>
  <c r="AN714" i="7"/>
  <c r="AN20" i="7"/>
  <c r="AN136" i="7"/>
  <c r="AN196" i="7"/>
  <c r="AN172" i="7"/>
  <c r="AN32" i="7"/>
  <c r="AN367" i="7"/>
  <c r="AN208" i="7"/>
  <c r="AN129" i="7"/>
  <c r="AN82" i="7"/>
  <c r="AN687" i="7"/>
  <c r="AN600" i="7"/>
  <c r="AN103" i="7"/>
  <c r="AN820" i="7"/>
  <c r="AN727" i="7"/>
  <c r="AN213" i="7"/>
  <c r="AN690" i="7"/>
  <c r="AN582" i="7"/>
  <c r="AN611" i="7"/>
  <c r="AN325" i="7"/>
  <c r="AN621" i="7"/>
  <c r="AN760" i="7"/>
  <c r="AN541" i="7"/>
  <c r="AN673" i="7"/>
  <c r="AN105" i="7"/>
  <c r="AN737" i="7"/>
  <c r="AN670" i="7"/>
  <c r="AN774" i="7"/>
  <c r="AN816" i="7"/>
  <c r="AN581" i="7"/>
  <c r="AN616" i="7"/>
  <c r="AN693" i="7"/>
  <c r="AN298" i="7"/>
  <c r="AN98" i="7"/>
  <c r="AN371" i="7"/>
  <c r="AN350" i="7"/>
  <c r="AN629" i="7"/>
  <c r="AN833" i="7"/>
  <c r="AN444" i="7"/>
  <c r="AN473" i="7"/>
  <c r="AN74" i="7"/>
  <c r="AN292" i="7"/>
  <c r="AN757" i="7"/>
  <c r="AN205" i="7"/>
  <c r="AN101" i="7"/>
  <c r="AN558" i="7"/>
  <c r="AN597" i="7"/>
  <c r="AN545" i="7"/>
  <c r="AN436" i="7"/>
  <c r="AN470" i="7"/>
  <c r="AN632" i="7"/>
  <c r="AN107" i="7"/>
  <c r="AN243" i="7"/>
  <c r="AN806" i="7"/>
  <c r="AN829" i="7"/>
  <c r="AN405" i="7"/>
  <c r="AN44" i="7"/>
  <c r="AN773" i="7"/>
  <c r="AN506" i="7"/>
  <c r="AN198" i="7"/>
  <c r="AN207" i="7"/>
  <c r="AN289" i="7"/>
  <c r="AN698" i="7"/>
  <c r="AN267" i="7"/>
  <c r="AN731" i="7"/>
  <c r="AN647" i="7"/>
  <c r="AN653" i="7"/>
  <c r="AN715" i="7"/>
  <c r="AN110" i="7"/>
  <c r="AN513" i="7"/>
  <c r="AN284" i="7"/>
  <c r="AN255" i="7"/>
  <c r="AN619" i="7"/>
  <c r="AN677" i="7"/>
  <c r="AN778" i="7"/>
  <c r="AN369" i="7"/>
  <c r="AN716" i="7"/>
  <c r="AN273" i="7"/>
  <c r="AN696" i="7"/>
  <c r="AN194" i="7"/>
  <c r="AN531" i="7"/>
  <c r="AN610" i="7"/>
  <c r="AN843" i="7"/>
  <c r="AN92" i="7"/>
  <c r="AN827" i="7"/>
  <c r="AN802" i="7"/>
  <c r="AN495" i="7"/>
  <c r="AN109" i="7"/>
  <c r="AN780" i="7"/>
  <c r="AN66" i="7"/>
  <c r="AN430" i="7"/>
  <c r="AN703" i="7"/>
  <c r="AN83" i="7"/>
  <c r="AN867" i="7"/>
  <c r="AN528" i="7"/>
  <c r="AN529" i="7"/>
  <c r="AN173" i="7"/>
  <c r="AN72" i="7"/>
  <c r="AN544" i="7"/>
  <c r="AN252" i="7"/>
  <c r="AN203" i="7"/>
  <c r="AN642" i="7"/>
  <c r="AN474" i="7"/>
  <c r="AN554" i="7"/>
  <c r="AN68" i="7"/>
  <c r="AN291" i="7"/>
  <c r="AN501" i="7"/>
  <c r="AN19" i="7"/>
  <c r="AN740" i="7"/>
  <c r="AN75" i="7"/>
  <c r="AN349" i="7"/>
  <c r="AN85" i="7"/>
  <c r="AN637" i="7"/>
  <c r="AN604" i="7"/>
  <c r="AN787" i="7"/>
  <c r="AN161" i="7"/>
  <c r="AN770" i="7"/>
  <c r="AN451" i="7"/>
  <c r="AN365" i="7"/>
  <c r="AN335" i="7"/>
  <c r="AN664" i="7"/>
  <c r="AN741" i="7"/>
  <c r="AN563" i="7"/>
  <c r="AN784" i="7"/>
  <c r="AN84" i="7"/>
  <c r="AN565" i="7"/>
  <c r="AN443" i="7"/>
  <c r="AN134" i="7"/>
  <c r="AN448" i="7"/>
  <c r="AN666" i="7"/>
  <c r="AN229" i="7"/>
  <c r="AN225" i="7"/>
  <c r="AN464" i="7"/>
  <c r="AN219" i="7"/>
  <c r="AN201" i="7"/>
  <c r="AN295" i="7"/>
  <c r="AN197" i="7"/>
  <c r="AN823" i="7"/>
  <c r="AN518" i="7"/>
  <c r="AN330" i="7"/>
  <c r="AN403" i="7"/>
  <c r="AN585" i="7"/>
  <c r="AN733" i="7"/>
  <c r="AN485" i="7"/>
  <c r="AN484" i="7"/>
  <c r="AN43" i="7"/>
  <c r="AN482" i="7"/>
  <c r="AN524" i="7"/>
  <c r="AN54" i="7"/>
  <c r="AN202" i="7"/>
  <c r="AN290" i="7"/>
  <c r="AN601" i="7"/>
  <c r="AN293" i="7"/>
  <c r="AN362" i="7"/>
  <c r="AN837" i="7"/>
  <c r="AN516" i="7"/>
  <c r="AN682" i="7"/>
  <c r="AN190" i="7"/>
  <c r="AN844" i="7"/>
  <c r="AN472" i="7"/>
  <c r="AN701" i="7"/>
  <c r="AN220" i="7"/>
  <c r="AN361" i="7"/>
  <c r="AN459" i="7"/>
  <c r="AN864" i="7"/>
  <c r="AN424" i="7"/>
  <c r="AN423" i="7"/>
  <c r="AN466" i="7"/>
  <c r="AN609" i="7"/>
  <c r="AN432" i="7"/>
  <c r="AN427" i="7"/>
  <c r="AN359" i="7"/>
  <c r="AN256" i="7"/>
  <c r="AK722" i="7"/>
  <c r="AK375" i="7"/>
  <c r="AK630" i="7"/>
  <c r="AK263" i="7"/>
  <c r="AK487" i="7"/>
  <c r="AK457" i="7"/>
  <c r="AK30" i="7"/>
  <c r="AK515" i="7"/>
  <c r="AK441" i="7"/>
  <c r="AK551" i="7"/>
  <c r="AK657" i="7"/>
  <c r="AK469" i="7"/>
  <c r="AK848" i="7"/>
  <c r="AK147" i="7"/>
  <c r="AK241" i="7"/>
  <c r="AK25" i="7"/>
  <c r="AK583" i="7"/>
  <c r="AK17" i="7"/>
  <c r="AK586" i="7"/>
  <c r="AK154" i="7"/>
  <c r="AK46" i="7"/>
  <c r="AK329" i="7"/>
  <c r="AK765" i="7"/>
  <c r="AK143" i="7"/>
  <c r="AK425" i="7"/>
  <c r="AK536" i="7"/>
  <c r="AK38" i="7"/>
  <c r="AK576" i="7"/>
  <c r="AK240" i="7"/>
  <c r="AK753" i="7"/>
  <c r="AK34" i="7"/>
  <c r="AK663" i="7"/>
  <c r="AK547" i="7"/>
  <c r="AK635" i="7"/>
  <c r="AK592" i="7"/>
  <c r="AK539" i="7"/>
  <c r="AK275" i="7"/>
  <c r="AK578" i="7"/>
  <c r="AK858" i="7"/>
  <c r="AK548" i="7"/>
  <c r="AK316" i="7"/>
  <c r="AK644" i="7"/>
  <c r="AK318" i="7"/>
  <c r="AK532" i="7"/>
  <c r="AK216" i="7"/>
  <c r="AK511" i="7"/>
  <c r="AK416" i="7"/>
  <c r="AK577" i="7"/>
  <c r="AK393" i="7"/>
  <c r="AK14" i="7"/>
  <c r="AK28" i="7"/>
  <c r="AK725" i="7"/>
  <c r="AK237" i="7"/>
  <c r="AK411" i="7"/>
  <c r="AK165" i="7"/>
  <c r="AK60" i="7"/>
  <c r="AK410" i="7"/>
  <c r="AK262" i="7"/>
  <c r="AK230" i="7"/>
  <c r="AK549" i="7"/>
  <c r="AK236" i="7"/>
  <c r="AK244" i="7"/>
  <c r="AK512" i="7"/>
  <c r="AK344" i="7"/>
  <c r="AK113" i="7"/>
  <c r="AK139" i="7"/>
  <c r="AK648" i="7"/>
  <c r="AK735" i="7"/>
  <c r="AK851" i="7"/>
  <c r="AK680" i="7"/>
  <c r="AK285" i="7"/>
  <c r="AK61" i="7"/>
  <c r="AK508" i="7"/>
  <c r="AK479" i="7"/>
  <c r="AK771" i="7"/>
  <c r="AK868" i="7"/>
  <c r="AK341" i="7"/>
  <c r="AK388" i="7"/>
  <c r="AK627" i="7"/>
  <c r="AK705" i="7"/>
  <c r="AK125" i="7"/>
  <c r="AK64" i="7"/>
  <c r="AK57" i="7"/>
  <c r="AK854" i="7"/>
  <c r="AK794" i="7"/>
  <c r="AK417" i="7"/>
  <c r="AK435" i="7"/>
  <c r="AK754" i="7"/>
  <c r="AK313" i="7"/>
  <c r="AK135" i="7"/>
  <c r="AK268" i="7"/>
  <c r="AK331" i="7"/>
  <c r="AK151" i="7"/>
  <c r="AK805" i="7"/>
  <c r="AK730" i="7"/>
  <c r="AK312" i="7"/>
  <c r="AK523" i="7"/>
  <c r="AK759" i="7"/>
  <c r="AK672" i="7"/>
  <c r="AK605" i="7"/>
  <c r="AK366" i="7"/>
  <c r="AK575" i="7"/>
  <c r="AK12" i="7"/>
  <c r="AK144" i="7"/>
  <c r="AK159" i="7"/>
  <c r="AK790" i="7"/>
  <c r="AK128" i="7"/>
  <c r="AK401" i="7"/>
  <c r="AK127" i="7"/>
  <c r="AK73" i="7"/>
  <c r="AK374" i="7"/>
  <c r="AK808" i="7"/>
  <c r="AK297" i="7"/>
  <c r="AK404" i="7"/>
  <c r="AK775" i="7"/>
  <c r="AK813" i="7"/>
  <c r="AK762" i="7"/>
  <c r="AK795" i="7"/>
  <c r="AK812" i="7"/>
  <c r="AK580" i="7"/>
  <c r="AK497" i="7"/>
  <c r="AK502" i="7"/>
  <c r="AK748" i="7"/>
  <c r="AK22" i="7"/>
  <c r="AK791" i="7"/>
  <c r="AK345" i="7"/>
  <c r="AK540" i="7"/>
  <c r="AK370" i="7"/>
  <c r="AK622" i="7"/>
  <c r="AK124" i="7"/>
  <c r="AK422" i="7"/>
  <c r="AK426" i="7"/>
  <c r="AK141" i="7"/>
  <c r="AK302" i="7"/>
  <c r="AK584" i="7"/>
  <c r="AK555" i="7"/>
  <c r="AK767" i="7"/>
  <c r="AK210" i="7"/>
  <c r="AK342" i="7"/>
  <c r="AK383" i="7"/>
  <c r="AK559" i="7"/>
  <c r="AK400" i="7"/>
  <c r="AK309" i="7"/>
  <c r="AK169" i="7"/>
  <c r="AK846" i="7"/>
  <c r="AK389" i="7"/>
  <c r="AK779" i="7"/>
  <c r="AK433" i="7"/>
  <c r="AK180" i="7"/>
  <c r="AK526" i="7"/>
  <c r="AK688" i="7"/>
  <c r="AK148" i="7"/>
  <c r="AK174" i="7"/>
  <c r="AK42" i="7"/>
  <c r="AK310" i="7"/>
  <c r="AK419" i="7"/>
  <c r="AK115" i="7"/>
  <c r="AK796" i="7"/>
  <c r="AK86" i="7"/>
  <c r="AK761" i="7"/>
  <c r="AK587" i="7"/>
  <c r="AK24" i="7"/>
  <c r="AK58" i="7"/>
  <c r="AK162" i="7"/>
  <c r="AK381" i="7"/>
  <c r="AK322" i="7"/>
  <c r="AK724" i="7"/>
  <c r="AK504" i="7"/>
  <c r="AK491" i="7"/>
  <c r="AK814" i="7"/>
  <c r="AK462" i="7"/>
  <c r="AK623" i="7"/>
  <c r="AK183" i="7"/>
  <c r="AK146" i="7"/>
  <c r="AK434" i="7"/>
  <c r="AK391" i="7"/>
  <c r="AK87" i="7"/>
  <c r="AK351" i="7"/>
  <c r="AK560" i="7"/>
  <c r="AK8" i="7"/>
  <c r="AK465" i="7"/>
  <c r="AK744" i="7"/>
  <c r="AK332" i="7"/>
  <c r="AK138" i="7"/>
  <c r="AK736" i="7"/>
  <c r="AK402" i="7"/>
  <c r="AK718" i="7"/>
  <c r="AK70" i="7"/>
  <c r="AK428" i="7"/>
  <c r="AK328" i="7"/>
  <c r="AK303" i="7"/>
  <c r="AK686" i="7"/>
  <c r="AK708" i="7"/>
  <c r="AK782" i="7"/>
  <c r="AK755" i="7"/>
  <c r="AK615" i="7"/>
  <c r="AK574" i="7"/>
  <c r="AK678" i="7"/>
  <c r="AK734" i="7"/>
  <c r="AK167" i="7"/>
  <c r="AK280" i="7"/>
  <c r="AK799" i="7"/>
  <c r="AK699" i="7"/>
  <c r="AK152" i="7"/>
  <c r="AK67" i="7"/>
  <c r="AK824" i="7"/>
  <c r="AK278" i="7"/>
  <c r="AK649" i="7"/>
  <c r="AK514" i="7"/>
  <c r="AK212" i="7"/>
  <c r="AK242" i="7"/>
  <c r="AK772" i="7"/>
  <c r="AK567" i="7"/>
  <c r="AK640" i="7"/>
  <c r="AK384" i="7"/>
  <c r="AK579" i="7"/>
  <c r="AK834" i="7"/>
  <c r="AK15" i="7"/>
  <c r="AK668" i="7"/>
  <c r="AK418" i="7"/>
  <c r="AK789" i="7"/>
  <c r="AK503" i="7"/>
  <c r="AK521" i="7"/>
  <c r="AK828" i="7"/>
  <c r="AK343" i="7"/>
  <c r="AK863" i="7"/>
  <c r="AK245" i="7"/>
  <c r="AK561" i="7"/>
  <c r="AK283" i="7"/>
  <c r="AK477" i="7"/>
  <c r="AK259" i="7"/>
  <c r="AK542" i="7"/>
  <c r="AK838" i="7"/>
  <c r="AK807" i="7"/>
  <c r="AK552" i="7"/>
  <c r="AK614" i="7"/>
  <c r="AK550" i="7"/>
  <c r="AK149" i="7"/>
  <c r="AK645" i="7"/>
  <c r="AK570" i="7"/>
  <c r="AK306" i="7"/>
  <c r="AK179" i="7"/>
  <c r="AK429" i="7"/>
  <c r="AK35" i="7"/>
  <c r="AK178" i="7"/>
  <c r="AK618" i="7"/>
  <c r="AK346" i="7"/>
  <c r="AK356" i="7"/>
  <c r="AK182" i="7"/>
  <c r="AK363" i="7"/>
  <c r="AK226" i="7"/>
  <c r="AK407" i="7"/>
  <c r="AK747" i="7"/>
  <c r="AK414" i="7"/>
  <c r="AK661" i="7"/>
  <c r="AK710" i="7"/>
  <c r="AK723" i="7"/>
  <c r="AK376" i="7"/>
  <c r="AK729" i="7"/>
  <c r="AK525" i="7"/>
  <c r="AK29" i="7"/>
  <c r="AK702" i="7"/>
  <c r="AK852" i="7"/>
  <c r="AK90" i="7"/>
  <c r="AK573" i="7"/>
  <c r="AK707" i="7"/>
  <c r="AK222" i="7"/>
  <c r="AK785" i="7"/>
  <c r="AK519" i="7"/>
  <c r="AK494" i="7"/>
  <c r="AK847" i="7"/>
  <c r="AK261" i="7"/>
  <c r="AK800" i="7"/>
  <c r="AK588" i="7"/>
  <c r="AK160" i="7"/>
  <c r="AK26" i="7"/>
  <c r="AK595" i="7"/>
  <c r="AK822" i="7"/>
  <c r="AK440" i="7"/>
  <c r="AK665" i="7"/>
  <c r="AK764" i="7"/>
  <c r="AK777" i="7"/>
  <c r="AK671" i="7"/>
  <c r="AK832" i="7"/>
  <c r="AK228" i="7"/>
  <c r="AK634" i="7"/>
  <c r="AK114" i="7"/>
  <c r="AK385" i="7"/>
  <c r="AK37" i="7"/>
  <c r="AK279" i="7"/>
  <c r="AK191" i="7"/>
  <c r="AK108" i="7"/>
  <c r="AK56" i="7"/>
  <c r="AK311" i="7"/>
  <c r="AK507" i="7"/>
  <c r="AK97" i="7"/>
  <c r="AK500" i="7"/>
  <c r="AK319" i="7"/>
  <c r="AK18" i="7"/>
  <c r="AK264" i="7"/>
  <c r="AK437" i="7"/>
  <c r="AK510" i="7"/>
  <c r="AK338" i="7"/>
  <c r="AK853" i="7"/>
  <c r="AK111" i="7"/>
  <c r="AK333" i="7"/>
  <c r="AK186" i="7"/>
  <c r="AK721" i="7"/>
  <c r="AK102" i="7"/>
  <c r="AK713" i="7"/>
  <c r="AK809" i="7"/>
  <c r="AK27" i="7"/>
  <c r="AK569" i="7"/>
  <c r="AK446" i="7"/>
  <c r="AK150" i="7"/>
  <c r="AK164" i="7"/>
  <c r="AK184" i="7"/>
  <c r="AK865" i="7"/>
  <c r="AK40" i="7"/>
  <c r="AK726" i="7"/>
  <c r="AK122" i="7"/>
  <c r="AK817" i="7"/>
  <c r="AK452" i="7"/>
  <c r="AK89" i="7"/>
  <c r="AK187" i="7"/>
  <c r="AK593" i="7"/>
  <c r="AK399" i="7"/>
  <c r="AK294" i="7"/>
  <c r="AK819" i="7"/>
  <c r="AK499" i="7"/>
  <c r="AK522" i="7"/>
  <c r="AK598" i="7"/>
  <c r="AK80" i="7"/>
  <c r="AK509" i="7"/>
  <c r="AK798" i="7"/>
  <c r="AK643" i="7"/>
  <c r="AK439" i="7"/>
  <c r="AK749" i="7"/>
  <c r="AK53" i="7"/>
  <c r="AK454" i="7"/>
  <c r="AK679" i="7"/>
  <c r="AK631" i="7"/>
  <c r="AK118" i="7"/>
  <c r="AK9" i="7"/>
  <c r="AK76" i="7"/>
  <c r="AK398" i="7"/>
  <c r="AK758" i="7"/>
  <c r="AK442" i="7"/>
  <c r="AK45" i="7"/>
  <c r="AK81" i="7"/>
  <c r="AK286" i="7"/>
  <c r="AK354" i="7"/>
  <c r="AK719" i="7"/>
  <c r="AK449" i="7"/>
  <c r="AK11" i="7"/>
  <c r="AK564" i="7"/>
  <c r="AK826" i="7"/>
  <c r="AK825" i="7"/>
  <c r="AK717" i="7"/>
  <c r="AK258" i="7"/>
  <c r="AK88" i="7"/>
  <c r="AK870" i="7"/>
  <c r="AK704" i="7"/>
  <c r="AK195" i="7"/>
  <c r="AK855" i="7"/>
  <c r="AK133" i="7"/>
  <c r="AK364" i="7"/>
  <c r="AK571" i="7"/>
  <c r="AK209" i="7"/>
  <c r="AK628" i="7"/>
  <c r="AK334" i="7"/>
  <c r="AK533" i="7"/>
  <c r="AK685" i="7"/>
  <c r="AK568" i="7"/>
  <c r="AK377" i="7"/>
  <c r="AK140" i="7"/>
  <c r="AK415" i="7"/>
  <c r="AK386" i="7"/>
  <c r="AK656" i="7"/>
  <c r="AK652" i="7"/>
  <c r="AK387" i="7"/>
  <c r="AK287" i="7"/>
  <c r="AK21" i="7"/>
  <c r="AK607" i="7"/>
  <c r="AK746" i="7"/>
  <c r="AK836" i="7"/>
  <c r="AK445" i="7"/>
  <c r="AK308" i="7"/>
  <c r="AK669" i="7"/>
  <c r="AK340" i="7"/>
  <c r="AK282" i="7"/>
  <c r="AK602" i="7"/>
  <c r="AK676" i="7"/>
  <c r="AK695" i="7"/>
  <c r="AK763" i="7"/>
  <c r="AK478" i="7"/>
  <c r="AK79" i="7"/>
  <c r="AK168" i="7"/>
  <c r="AK857" i="7"/>
  <c r="AK137" i="7"/>
  <c r="AK233" i="7"/>
  <c r="AK249" i="7"/>
  <c r="AK51" i="7"/>
  <c r="AK742" i="7"/>
  <c r="AK830" i="7"/>
  <c r="AK181" i="7"/>
  <c r="AK752" i="7"/>
  <c r="AK193" i="7"/>
  <c r="AK596" i="7"/>
  <c r="AK801" i="7"/>
  <c r="AK323" i="7"/>
  <c r="AK304" i="7"/>
  <c r="AK681" i="7"/>
  <c r="AK546" i="7"/>
  <c r="AK320" i="7"/>
  <c r="AK706" i="7"/>
  <c r="AK390" i="7"/>
  <c r="AK372" i="7"/>
  <c r="AK756" i="7"/>
  <c r="AK250" i="7"/>
  <c r="AK380" i="7"/>
  <c r="AK856" i="7"/>
  <c r="AK277" i="7"/>
  <c r="AK527" i="7"/>
  <c r="AK667" i="7"/>
  <c r="AK606" i="7"/>
  <c r="AK397" i="7"/>
  <c r="AK768" i="7"/>
  <c r="AK613" i="7"/>
  <c r="AK660" i="7"/>
  <c r="AK100" i="7"/>
  <c r="AK200" i="7"/>
  <c r="AK409" i="7"/>
  <c r="AK461" i="7"/>
  <c r="AK438" i="7"/>
  <c r="AK117" i="7"/>
  <c r="AK831" i="7"/>
  <c r="AK658" i="7"/>
  <c r="AK158" i="7"/>
  <c r="AK839" i="7"/>
  <c r="AK272" i="7"/>
  <c r="AK496" i="7"/>
  <c r="AK132" i="7"/>
  <c r="AK166" i="7"/>
  <c r="AK13" i="7"/>
  <c r="AK714" i="7"/>
  <c r="AK20" i="7"/>
  <c r="AK136" i="7"/>
  <c r="AK196" i="7"/>
  <c r="AK172" i="7"/>
  <c r="AK32" i="7"/>
  <c r="AK367" i="7"/>
  <c r="AK208" i="7"/>
  <c r="AK129" i="7"/>
  <c r="AK82" i="7"/>
  <c r="AK687" i="7"/>
  <c r="AK600" i="7"/>
  <c r="AK103" i="7"/>
  <c r="AK820" i="7"/>
  <c r="AK727" i="7"/>
  <c r="AK213" i="7"/>
  <c r="AK690" i="7"/>
  <c r="AK582" i="7"/>
  <c r="AK611" i="7"/>
  <c r="AK325" i="7"/>
  <c r="AK621" i="7"/>
  <c r="AK760" i="7"/>
  <c r="AK541" i="7"/>
  <c r="AK673" i="7"/>
  <c r="AK105" i="7"/>
  <c r="AK737" i="7"/>
  <c r="AK670" i="7"/>
  <c r="AK774" i="7"/>
  <c r="AK816" i="7"/>
  <c r="AK581" i="7"/>
  <c r="AK616" i="7"/>
  <c r="AK693" i="7"/>
  <c r="AK298" i="7"/>
  <c r="AK98" i="7"/>
  <c r="AK371" i="7"/>
  <c r="AK350" i="7"/>
  <c r="AK629" i="7"/>
  <c r="AK833" i="7"/>
  <c r="AK444" i="7"/>
  <c r="AK473" i="7"/>
  <c r="AK74" i="7"/>
  <c r="AK292" i="7"/>
  <c r="AK757" i="7"/>
  <c r="AK205" i="7"/>
  <c r="AK101" i="7"/>
  <c r="AK558" i="7"/>
  <c r="AK597" i="7"/>
  <c r="AK545" i="7"/>
  <c r="AK436" i="7"/>
  <c r="AK470" i="7"/>
  <c r="AK632" i="7"/>
  <c r="AK107" i="7"/>
  <c r="AK243" i="7"/>
  <c r="AK806" i="7"/>
  <c r="AK829" i="7"/>
  <c r="AK405" i="7"/>
  <c r="AK44" i="7"/>
  <c r="AK773" i="7"/>
  <c r="AK506" i="7"/>
  <c r="AK198" i="7"/>
  <c r="AK207" i="7"/>
  <c r="AK289" i="7"/>
  <c r="AK698" i="7"/>
  <c r="AK267" i="7"/>
  <c r="AK731" i="7"/>
  <c r="AK647" i="7"/>
  <c r="AK653" i="7"/>
  <c r="AK715" i="7"/>
  <c r="AK110" i="7"/>
  <c r="AK513" i="7"/>
  <c r="AK284" i="7"/>
  <c r="AK255" i="7"/>
  <c r="AK619" i="7"/>
  <c r="AK677" i="7"/>
  <c r="AK778" i="7"/>
  <c r="AK369" i="7"/>
  <c r="AK716" i="7"/>
  <c r="AK273" i="7"/>
  <c r="AK696" i="7"/>
  <c r="AK194" i="7"/>
  <c r="AK531" i="7"/>
  <c r="AK610" i="7"/>
  <c r="AK843" i="7"/>
  <c r="AK92" i="7"/>
  <c r="AK827" i="7"/>
  <c r="AK802" i="7"/>
  <c r="AK495" i="7"/>
  <c r="AK109" i="7"/>
  <c r="AK780" i="7"/>
  <c r="AK66" i="7"/>
  <c r="AK430" i="7"/>
  <c r="AK703" i="7"/>
  <c r="AK83" i="7"/>
  <c r="AK867" i="7"/>
  <c r="AK528" i="7"/>
  <c r="AK529" i="7"/>
  <c r="AK173" i="7"/>
  <c r="AK72" i="7"/>
  <c r="AK544" i="7"/>
  <c r="AK252" i="7"/>
  <c r="AK203" i="7"/>
  <c r="AK642" i="7"/>
  <c r="AK474" i="7"/>
  <c r="AK554" i="7"/>
  <c r="AK68" i="7"/>
  <c r="AK291" i="7"/>
  <c r="AK501" i="7"/>
  <c r="AK19" i="7"/>
  <c r="AK740" i="7"/>
  <c r="AK75" i="7"/>
  <c r="AK349" i="7"/>
  <c r="AK85" i="7"/>
  <c r="AK637" i="7"/>
  <c r="AK604" i="7"/>
  <c r="AK787" i="7"/>
  <c r="AK161" i="7"/>
  <c r="AK770" i="7"/>
  <c r="AK451" i="7"/>
  <c r="AK365" i="7"/>
  <c r="AK335" i="7"/>
  <c r="AK664" i="7"/>
  <c r="AK741" i="7"/>
  <c r="AK563" i="7"/>
  <c r="AK784" i="7"/>
  <c r="AK84" i="7"/>
  <c r="AK565" i="7"/>
  <c r="AK443" i="7"/>
  <c r="AK134" i="7"/>
  <c r="AK448" i="7"/>
  <c r="AK666" i="7"/>
  <c r="AK229" i="7"/>
  <c r="AK225" i="7"/>
  <c r="AK464" i="7"/>
  <c r="AK219" i="7"/>
  <c r="AK201" i="7"/>
  <c r="AK295" i="7"/>
  <c r="AK197" i="7"/>
  <c r="AK823" i="7"/>
  <c r="AK518" i="7"/>
  <c r="AK330" i="7"/>
  <c r="AK403" i="7"/>
  <c r="AK585" i="7"/>
  <c r="AK733" i="7"/>
  <c r="AK485" i="7"/>
  <c r="AK484" i="7"/>
  <c r="AK43" i="7"/>
  <c r="AK482" i="7"/>
  <c r="AK524" i="7"/>
  <c r="AK54" i="7"/>
  <c r="AK202" i="7"/>
  <c r="AK290" i="7"/>
  <c r="AK601" i="7"/>
  <c r="AK293" i="7"/>
  <c r="AK362" i="7"/>
  <c r="AK837" i="7"/>
  <c r="AK516" i="7"/>
  <c r="AK682" i="7"/>
  <c r="AK190" i="7"/>
  <c r="AK844" i="7"/>
  <c r="AK472" i="7"/>
  <c r="AK701" i="7"/>
  <c r="AK220" i="7"/>
  <c r="AK361" i="7"/>
  <c r="AK459" i="7"/>
  <c r="AK864" i="7"/>
  <c r="AK424" i="7"/>
  <c r="AK423" i="7"/>
  <c r="AK466" i="7"/>
  <c r="AK609" i="7"/>
  <c r="AK432" i="7"/>
  <c r="AK427" i="7"/>
  <c r="AK359" i="7"/>
  <c r="AK256" i="7"/>
  <c r="AG722" i="7"/>
  <c r="AG375" i="7"/>
  <c r="AG630" i="7"/>
  <c r="AG263" i="7"/>
  <c r="AG487" i="7"/>
  <c r="AG457" i="7"/>
  <c r="AG30" i="7"/>
  <c r="AG515" i="7"/>
  <c r="AG441" i="7"/>
  <c r="AG551" i="7"/>
  <c r="AG657" i="7"/>
  <c r="AG469" i="7"/>
  <c r="AG848" i="7"/>
  <c r="AG147" i="7"/>
  <c r="AG241" i="7"/>
  <c r="AG25" i="7"/>
  <c r="AG583" i="7"/>
  <c r="AG17" i="7"/>
  <c r="AG586" i="7"/>
  <c r="AG154" i="7"/>
  <c r="AG46" i="7"/>
  <c r="AG329" i="7"/>
  <c r="AG765" i="7"/>
  <c r="AG143" i="7"/>
  <c r="AG425" i="7"/>
  <c r="AG536" i="7"/>
  <c r="AG38" i="7"/>
  <c r="AG576" i="7"/>
  <c r="AG240" i="7"/>
  <c r="AG753" i="7"/>
  <c r="AG34" i="7"/>
  <c r="AG663" i="7"/>
  <c r="AG547" i="7"/>
  <c r="AG635" i="7"/>
  <c r="AG592" i="7"/>
  <c r="AG539" i="7"/>
  <c r="AG275" i="7"/>
  <c r="AG578" i="7"/>
  <c r="AG858" i="7"/>
  <c r="AG548" i="7"/>
  <c r="AG316" i="7"/>
  <c r="AG644" i="7"/>
  <c r="AG318" i="7"/>
  <c r="AG532" i="7"/>
  <c r="AG216" i="7"/>
  <c r="AG511" i="7"/>
  <c r="AG416" i="7"/>
  <c r="AG577" i="7"/>
  <c r="AG393" i="7"/>
  <c r="AG14" i="7"/>
  <c r="AG28" i="7"/>
  <c r="AG725" i="7"/>
  <c r="AG237" i="7"/>
  <c r="AG411" i="7"/>
  <c r="AG165" i="7"/>
  <c r="AG60" i="7"/>
  <c r="AG410" i="7"/>
  <c r="AG262" i="7"/>
  <c r="AG230" i="7"/>
  <c r="AG549" i="7"/>
  <c r="AG236" i="7"/>
  <c r="AG244" i="7"/>
  <c r="AG512" i="7"/>
  <c r="AG344" i="7"/>
  <c r="AG113" i="7"/>
  <c r="AG139" i="7"/>
  <c r="AG648" i="7"/>
  <c r="AG735" i="7"/>
  <c r="AG851" i="7"/>
  <c r="AG680" i="7"/>
  <c r="AG285" i="7"/>
  <c r="AG61" i="7"/>
  <c r="AG508" i="7"/>
  <c r="AG479" i="7"/>
  <c r="AG771" i="7"/>
  <c r="AG868" i="7"/>
  <c r="AG341" i="7"/>
  <c r="AG388" i="7"/>
  <c r="AG627" i="7"/>
  <c r="AG705" i="7"/>
  <c r="AG125" i="7"/>
  <c r="AG64" i="7"/>
  <c r="AG57" i="7"/>
  <c r="AG854" i="7"/>
  <c r="AG794" i="7"/>
  <c r="AG417" i="7"/>
  <c r="AG435" i="7"/>
  <c r="AG754" i="7"/>
  <c r="AG313" i="7"/>
  <c r="AG135" i="7"/>
  <c r="AG268" i="7"/>
  <c r="AG331" i="7"/>
  <c r="AG151" i="7"/>
  <c r="AG805" i="7"/>
  <c r="AG730" i="7"/>
  <c r="AG312" i="7"/>
  <c r="AG523" i="7"/>
  <c r="AG759" i="7"/>
  <c r="AG672" i="7"/>
  <c r="AG605" i="7"/>
  <c r="AG366" i="7"/>
  <c r="AG575" i="7"/>
  <c r="AG12" i="7"/>
  <c r="AG144" i="7"/>
  <c r="AG159" i="7"/>
  <c r="AG790" i="7"/>
  <c r="AG128" i="7"/>
  <c r="AG401" i="7"/>
  <c r="AG127" i="7"/>
  <c r="AG73" i="7"/>
  <c r="AG374" i="7"/>
  <c r="AG808" i="7"/>
  <c r="AG297" i="7"/>
  <c r="AG404" i="7"/>
  <c r="AG775" i="7"/>
  <c r="AG813" i="7"/>
  <c r="AG762" i="7"/>
  <c r="AG795" i="7"/>
  <c r="AG812" i="7"/>
  <c r="AG580" i="7"/>
  <c r="AG497" i="7"/>
  <c r="AG502" i="7"/>
  <c r="AG748" i="7"/>
  <c r="AG22" i="7"/>
  <c r="AG791" i="7"/>
  <c r="AG345" i="7"/>
  <c r="AG540" i="7"/>
  <c r="AG370" i="7"/>
  <c r="AG622" i="7"/>
  <c r="AG124" i="7"/>
  <c r="AG422" i="7"/>
  <c r="AG426" i="7"/>
  <c r="AG141" i="7"/>
  <c r="AG302" i="7"/>
  <c r="AG584" i="7"/>
  <c r="AG555" i="7"/>
  <c r="AG767" i="7"/>
  <c r="AG210" i="7"/>
  <c r="AG342" i="7"/>
  <c r="AG383" i="7"/>
  <c r="AG559" i="7"/>
  <c r="AG400" i="7"/>
  <c r="AG309" i="7"/>
  <c r="AG169" i="7"/>
  <c r="AG846" i="7"/>
  <c r="AG389" i="7"/>
  <c r="AG779" i="7"/>
  <c r="AG433" i="7"/>
  <c r="AG180" i="7"/>
  <c r="AG526" i="7"/>
  <c r="AG688" i="7"/>
  <c r="AG148" i="7"/>
  <c r="AG174" i="7"/>
  <c r="AG42" i="7"/>
  <c r="AG310" i="7"/>
  <c r="AG419" i="7"/>
  <c r="AG115" i="7"/>
  <c r="AG796" i="7"/>
  <c r="AG86" i="7"/>
  <c r="AG761" i="7"/>
  <c r="AG587" i="7"/>
  <c r="AG24" i="7"/>
  <c r="AG58" i="7"/>
  <c r="AG162" i="7"/>
  <c r="AG381" i="7"/>
  <c r="AG322" i="7"/>
  <c r="AG724" i="7"/>
  <c r="AG504" i="7"/>
  <c r="AG491" i="7"/>
  <c r="AG814" i="7"/>
  <c r="AG462" i="7"/>
  <c r="AG623" i="7"/>
  <c r="AG183" i="7"/>
  <c r="AG146" i="7"/>
  <c r="AG434" i="7"/>
  <c r="AG391" i="7"/>
  <c r="AG87" i="7"/>
  <c r="AG351" i="7"/>
  <c r="AG560" i="7"/>
  <c r="AG8" i="7"/>
  <c r="AG465" i="7"/>
  <c r="AG744" i="7"/>
  <c r="AG332" i="7"/>
  <c r="AG138" i="7"/>
  <c r="AG736" i="7"/>
  <c r="AG402" i="7"/>
  <c r="AG718" i="7"/>
  <c r="AG70" i="7"/>
  <c r="AG428" i="7"/>
  <c r="AG328" i="7"/>
  <c r="AG303" i="7"/>
  <c r="AG686" i="7"/>
  <c r="AG708" i="7"/>
  <c r="AG782" i="7"/>
  <c r="AG755" i="7"/>
  <c r="AG615" i="7"/>
  <c r="AG574" i="7"/>
  <c r="AG678" i="7"/>
  <c r="AG734" i="7"/>
  <c r="AG167" i="7"/>
  <c r="AG280" i="7"/>
  <c r="AG799" i="7"/>
  <c r="AG699" i="7"/>
  <c r="AG152" i="7"/>
  <c r="AG67" i="7"/>
  <c r="AG824" i="7"/>
  <c r="AG278" i="7"/>
  <c r="AG649" i="7"/>
  <c r="AG514" i="7"/>
  <c r="AG212" i="7"/>
  <c r="AG242" i="7"/>
  <c r="AG772" i="7"/>
  <c r="AG567" i="7"/>
  <c r="AG640" i="7"/>
  <c r="AG384" i="7"/>
  <c r="AG579" i="7"/>
  <c r="AG834" i="7"/>
  <c r="AG15" i="7"/>
  <c r="AG668" i="7"/>
  <c r="AG418" i="7"/>
  <c r="AG789" i="7"/>
  <c r="AG503" i="7"/>
  <c r="AG521" i="7"/>
  <c r="AG828" i="7"/>
  <c r="AG343" i="7"/>
  <c r="AG863" i="7"/>
  <c r="AG245" i="7"/>
  <c r="AG561" i="7"/>
  <c r="AG283" i="7"/>
  <c r="AG477" i="7"/>
  <c r="AG259" i="7"/>
  <c r="AG542" i="7"/>
  <c r="AG838" i="7"/>
  <c r="AG807" i="7"/>
  <c r="AG552" i="7"/>
  <c r="AG614" i="7"/>
  <c r="AG550" i="7"/>
  <c r="AG149" i="7"/>
  <c r="AG645" i="7"/>
  <c r="AG570" i="7"/>
  <c r="AG306" i="7"/>
  <c r="AG179" i="7"/>
  <c r="AG429" i="7"/>
  <c r="AG35" i="7"/>
  <c r="AG178" i="7"/>
  <c r="AG618" i="7"/>
  <c r="AG346" i="7"/>
  <c r="AG356" i="7"/>
  <c r="AG182" i="7"/>
  <c r="AG363" i="7"/>
  <c r="AG226" i="7"/>
  <c r="AG407" i="7"/>
  <c r="AG747" i="7"/>
  <c r="AG414" i="7"/>
  <c r="AG661" i="7"/>
  <c r="AG710" i="7"/>
  <c r="AG723" i="7"/>
  <c r="AG376" i="7"/>
  <c r="AG729" i="7"/>
  <c r="AG525" i="7"/>
  <c r="AG29" i="7"/>
  <c r="AG702" i="7"/>
  <c r="AG852" i="7"/>
  <c r="AG90" i="7"/>
  <c r="AG573" i="7"/>
  <c r="AG707" i="7"/>
  <c r="AG222" i="7"/>
  <c r="AG785" i="7"/>
  <c r="AG519" i="7"/>
  <c r="AG494" i="7"/>
  <c r="AG847" i="7"/>
  <c r="AG261" i="7"/>
  <c r="AG800" i="7"/>
  <c r="AG588" i="7"/>
  <c r="AG160" i="7"/>
  <c r="AG26" i="7"/>
  <c r="AG595" i="7"/>
  <c r="AG822" i="7"/>
  <c r="AG440" i="7"/>
  <c r="AG665" i="7"/>
  <c r="AG764" i="7"/>
  <c r="AG777" i="7"/>
  <c r="AG671" i="7"/>
  <c r="AG832" i="7"/>
  <c r="AG228" i="7"/>
  <c r="AG634" i="7"/>
  <c r="AG114" i="7"/>
  <c r="AG385" i="7"/>
  <c r="AG37" i="7"/>
  <c r="AG279" i="7"/>
  <c r="AG191" i="7"/>
  <c r="AG108" i="7"/>
  <c r="AG56" i="7"/>
  <c r="AG311" i="7"/>
  <c r="AG507" i="7"/>
  <c r="AG97" i="7"/>
  <c r="AG500" i="7"/>
  <c r="AG319" i="7"/>
  <c r="AG18" i="7"/>
  <c r="AG264" i="7"/>
  <c r="AG437" i="7"/>
  <c r="AG510" i="7"/>
  <c r="AG338" i="7"/>
  <c r="AG853" i="7"/>
  <c r="AG111" i="7"/>
  <c r="AG333" i="7"/>
  <c r="AG186" i="7"/>
  <c r="AG721" i="7"/>
  <c r="AG102" i="7"/>
  <c r="AG713" i="7"/>
  <c r="AG809" i="7"/>
  <c r="AG27" i="7"/>
  <c r="AG569" i="7"/>
  <c r="AG446" i="7"/>
  <c r="AG150" i="7"/>
  <c r="AG164" i="7"/>
  <c r="AG184" i="7"/>
  <c r="AG865" i="7"/>
  <c r="AG40" i="7"/>
  <c r="AG726" i="7"/>
  <c r="AG122" i="7"/>
  <c r="AG817" i="7"/>
  <c r="AG452" i="7"/>
  <c r="AG89" i="7"/>
  <c r="AG187" i="7"/>
  <c r="AG593" i="7"/>
  <c r="AG399" i="7"/>
  <c r="AG294" i="7"/>
  <c r="AG819" i="7"/>
  <c r="AG499" i="7"/>
  <c r="AG522" i="7"/>
  <c r="AG598" i="7"/>
  <c r="AG80" i="7"/>
  <c r="AG509" i="7"/>
  <c r="AG798" i="7"/>
  <c r="AG643" i="7"/>
  <c r="AG439" i="7"/>
  <c r="AG749" i="7"/>
  <c r="AG53" i="7"/>
  <c r="AG454" i="7"/>
  <c r="AG679" i="7"/>
  <c r="AG631" i="7"/>
  <c r="AG118" i="7"/>
  <c r="AG9" i="7"/>
  <c r="AG76" i="7"/>
  <c r="AG398" i="7"/>
  <c r="AG758" i="7"/>
  <c r="AG442" i="7"/>
  <c r="AG45" i="7"/>
  <c r="AG81" i="7"/>
  <c r="AG286" i="7"/>
  <c r="AG354" i="7"/>
  <c r="AG719" i="7"/>
  <c r="AG449" i="7"/>
  <c r="AG11" i="7"/>
  <c r="AG564" i="7"/>
  <c r="AG826" i="7"/>
  <c r="AG825" i="7"/>
  <c r="AG717" i="7"/>
  <c r="AG258" i="7"/>
  <c r="AG88" i="7"/>
  <c r="AG870" i="7"/>
  <c r="AG704" i="7"/>
  <c r="AG195" i="7"/>
  <c r="AG855" i="7"/>
  <c r="AG133" i="7"/>
  <c r="AG364" i="7"/>
  <c r="AG571" i="7"/>
  <c r="AG209" i="7"/>
  <c r="AG628" i="7"/>
  <c r="AG334" i="7"/>
  <c r="AG533" i="7"/>
  <c r="AG685" i="7"/>
  <c r="AG568" i="7"/>
  <c r="AG377" i="7"/>
  <c r="AG140" i="7"/>
  <c r="AG415" i="7"/>
  <c r="AG386" i="7"/>
  <c r="AG656" i="7"/>
  <c r="AG652" i="7"/>
  <c r="AG387" i="7"/>
  <c r="AG287" i="7"/>
  <c r="AG21" i="7"/>
  <c r="AG607" i="7"/>
  <c r="AG746" i="7"/>
  <c r="AG836" i="7"/>
  <c r="AG445" i="7"/>
  <c r="AG308" i="7"/>
  <c r="AG669" i="7"/>
  <c r="AG340" i="7"/>
  <c r="AG282" i="7"/>
  <c r="AG602" i="7"/>
  <c r="AG676" i="7"/>
  <c r="AG695" i="7"/>
  <c r="AG763" i="7"/>
  <c r="AG478" i="7"/>
  <c r="AG79" i="7"/>
  <c r="AG168" i="7"/>
  <c r="AG857" i="7"/>
  <c r="AG137" i="7"/>
  <c r="AG233" i="7"/>
  <c r="AG249" i="7"/>
  <c r="AG51" i="7"/>
  <c r="AG742" i="7"/>
  <c r="AG830" i="7"/>
  <c r="AG181" i="7"/>
  <c r="AG752" i="7"/>
  <c r="AG193" i="7"/>
  <c r="AG596" i="7"/>
  <c r="AG801" i="7"/>
  <c r="AG323" i="7"/>
  <c r="AG304" i="7"/>
  <c r="AG681" i="7"/>
  <c r="AG546" i="7"/>
  <c r="AG320" i="7"/>
  <c r="AG706" i="7"/>
  <c r="AG390" i="7"/>
  <c r="AG372" i="7"/>
  <c r="AG756" i="7"/>
  <c r="AG250" i="7"/>
  <c r="AG380" i="7"/>
  <c r="AG856" i="7"/>
  <c r="AG277" i="7"/>
  <c r="AG527" i="7"/>
  <c r="AG667" i="7"/>
  <c r="AG606" i="7"/>
  <c r="AG397" i="7"/>
  <c r="AG768" i="7"/>
  <c r="AG613" i="7"/>
  <c r="AG660" i="7"/>
  <c r="AG100" i="7"/>
  <c r="AG200" i="7"/>
  <c r="AG409" i="7"/>
  <c r="AG461" i="7"/>
  <c r="AG438" i="7"/>
  <c r="AG117" i="7"/>
  <c r="AG831" i="7"/>
  <c r="AG658" i="7"/>
  <c r="AG158" i="7"/>
  <c r="AG839" i="7"/>
  <c r="AG272" i="7"/>
  <c r="AG496" i="7"/>
  <c r="AG132" i="7"/>
  <c r="AG166" i="7"/>
  <c r="AG13" i="7"/>
  <c r="AG714" i="7"/>
  <c r="AG20" i="7"/>
  <c r="AG136" i="7"/>
  <c r="AG196" i="7"/>
  <c r="AG172" i="7"/>
  <c r="AG32" i="7"/>
  <c r="AG367" i="7"/>
  <c r="AG208" i="7"/>
  <c r="AG129" i="7"/>
  <c r="AG82" i="7"/>
  <c r="AG687" i="7"/>
  <c r="AG600" i="7"/>
  <c r="AG103" i="7"/>
  <c r="AG820" i="7"/>
  <c r="AG727" i="7"/>
  <c r="AG213" i="7"/>
  <c r="AG690" i="7"/>
  <c r="AG582" i="7"/>
  <c r="AG611" i="7"/>
  <c r="AG325" i="7"/>
  <c r="AG621" i="7"/>
  <c r="AG760" i="7"/>
  <c r="AG541" i="7"/>
  <c r="AG673" i="7"/>
  <c r="AG105" i="7"/>
  <c r="AG737" i="7"/>
  <c r="AG670" i="7"/>
  <c r="AG774" i="7"/>
  <c r="AG816" i="7"/>
  <c r="AG581" i="7"/>
  <c r="AG616" i="7"/>
  <c r="AG693" i="7"/>
  <c r="AG298" i="7"/>
  <c r="AG98" i="7"/>
  <c r="AG371" i="7"/>
  <c r="AG350" i="7"/>
  <c r="AG629" i="7"/>
  <c r="AG833" i="7"/>
  <c r="AG444" i="7"/>
  <c r="AG473" i="7"/>
  <c r="AG74" i="7"/>
  <c r="AG292" i="7"/>
  <c r="AG757" i="7"/>
  <c r="AG205" i="7"/>
  <c r="AG101" i="7"/>
  <c r="AG558" i="7"/>
  <c r="AG597" i="7"/>
  <c r="AG545" i="7"/>
  <c r="AG436" i="7"/>
  <c r="AG470" i="7"/>
  <c r="AG632" i="7"/>
  <c r="AG107" i="7"/>
  <c r="AG243" i="7"/>
  <c r="AG806" i="7"/>
  <c r="AG829" i="7"/>
  <c r="AG405" i="7"/>
  <c r="AG44" i="7"/>
  <c r="AG773" i="7"/>
  <c r="AG506" i="7"/>
  <c r="AG198" i="7"/>
  <c r="AG207" i="7"/>
  <c r="AG289" i="7"/>
  <c r="AG698" i="7"/>
  <c r="AG267" i="7"/>
  <c r="AG731" i="7"/>
  <c r="AG647" i="7"/>
  <c r="AG653" i="7"/>
  <c r="AG715" i="7"/>
  <c r="AG110" i="7"/>
  <c r="AG513" i="7"/>
  <c r="AG284" i="7"/>
  <c r="AG255" i="7"/>
  <c r="AG619" i="7"/>
  <c r="AG677" i="7"/>
  <c r="AG778" i="7"/>
  <c r="AG369" i="7"/>
  <c r="AG716" i="7"/>
  <c r="AG273" i="7"/>
  <c r="AG696" i="7"/>
  <c r="AG194" i="7"/>
  <c r="AG531" i="7"/>
  <c r="AG610" i="7"/>
  <c r="AG843" i="7"/>
  <c r="AG92" i="7"/>
  <c r="AG827" i="7"/>
  <c r="AG802" i="7"/>
  <c r="AG495" i="7"/>
  <c r="AG109" i="7"/>
  <c r="AG780" i="7"/>
  <c r="AG66" i="7"/>
  <c r="AG430" i="7"/>
  <c r="AG703" i="7"/>
  <c r="AG83" i="7"/>
  <c r="AG867" i="7"/>
  <c r="AG528" i="7"/>
  <c r="AG529" i="7"/>
  <c r="AG173" i="7"/>
  <c r="AG72" i="7"/>
  <c r="AG544" i="7"/>
  <c r="AG252" i="7"/>
  <c r="AG203" i="7"/>
  <c r="AG642" i="7"/>
  <c r="AG474" i="7"/>
  <c r="AG554" i="7"/>
  <c r="AG68" i="7"/>
  <c r="AG291" i="7"/>
  <c r="AG501" i="7"/>
  <c r="AG19" i="7"/>
  <c r="AG740" i="7"/>
  <c r="AG75" i="7"/>
  <c r="AG349" i="7"/>
  <c r="AG85" i="7"/>
  <c r="AG637" i="7"/>
  <c r="AG604" i="7"/>
  <c r="AG787" i="7"/>
  <c r="AG161" i="7"/>
  <c r="AG770" i="7"/>
  <c r="AG451" i="7"/>
  <c r="AG365" i="7"/>
  <c r="AG335" i="7"/>
  <c r="AG664" i="7"/>
  <c r="AG741" i="7"/>
  <c r="AG563" i="7"/>
  <c r="AG784" i="7"/>
  <c r="AG84" i="7"/>
  <c r="AG565" i="7"/>
  <c r="AG443" i="7"/>
  <c r="AG134" i="7"/>
  <c r="AG448" i="7"/>
  <c r="AG666" i="7"/>
  <c r="AG229" i="7"/>
  <c r="AG225" i="7"/>
  <c r="AG464" i="7"/>
  <c r="AG219" i="7"/>
  <c r="AG201" i="7"/>
  <c r="AG295" i="7"/>
  <c r="AG197" i="7"/>
  <c r="AG823" i="7"/>
  <c r="AG518" i="7"/>
  <c r="AG330" i="7"/>
  <c r="AG403" i="7"/>
  <c r="AG585" i="7"/>
  <c r="AG733" i="7"/>
  <c r="AG485" i="7"/>
  <c r="AG484" i="7"/>
  <c r="AG43" i="7"/>
  <c r="AG482" i="7"/>
  <c r="AG524" i="7"/>
  <c r="AG54" i="7"/>
  <c r="AG202" i="7"/>
  <c r="AG290" i="7"/>
  <c r="AG601" i="7"/>
  <c r="AG293" i="7"/>
  <c r="AG362" i="7"/>
  <c r="AG837" i="7"/>
  <c r="AG516" i="7"/>
  <c r="AG682" i="7"/>
  <c r="AG190" i="7"/>
  <c r="AG844" i="7"/>
  <c r="AG472" i="7"/>
  <c r="AG701" i="7"/>
  <c r="AG220" i="7"/>
  <c r="AG361" i="7"/>
  <c r="AG459" i="7"/>
  <c r="AG864" i="7"/>
  <c r="AG424" i="7"/>
  <c r="AG423" i="7"/>
  <c r="AG466" i="7"/>
  <c r="AG609" i="7"/>
  <c r="AG432" i="7"/>
  <c r="AG427" i="7"/>
  <c r="AG359" i="7"/>
  <c r="AG256" i="7"/>
  <c r="AD722" i="7"/>
  <c r="AD375" i="7"/>
  <c r="AD630" i="7"/>
  <c r="AD263" i="7"/>
  <c r="AD487" i="7"/>
  <c r="AD457" i="7"/>
  <c r="AD30" i="7"/>
  <c r="AD515" i="7"/>
  <c r="AD441" i="7"/>
  <c r="AD551" i="7"/>
  <c r="AD657" i="7"/>
  <c r="AD469" i="7"/>
  <c r="AD848" i="7"/>
  <c r="AD147" i="7"/>
  <c r="AD241" i="7"/>
  <c r="AD25" i="7"/>
  <c r="AD583" i="7"/>
  <c r="AD17" i="7"/>
  <c r="AD586" i="7"/>
  <c r="AD154" i="7"/>
  <c r="AD46" i="7"/>
  <c r="AD329" i="7"/>
  <c r="AD765" i="7"/>
  <c r="AD143" i="7"/>
  <c r="AD425" i="7"/>
  <c r="AD536" i="7"/>
  <c r="AD38" i="7"/>
  <c r="AD576" i="7"/>
  <c r="AD240" i="7"/>
  <c r="AD753" i="7"/>
  <c r="AD34" i="7"/>
  <c r="AD663" i="7"/>
  <c r="AD547" i="7"/>
  <c r="AD635" i="7"/>
  <c r="AD592" i="7"/>
  <c r="AD539" i="7"/>
  <c r="AD275" i="7"/>
  <c r="AD578" i="7"/>
  <c r="AD858" i="7"/>
  <c r="AD548" i="7"/>
  <c r="AD316" i="7"/>
  <c r="AD644" i="7"/>
  <c r="AD318" i="7"/>
  <c r="AD532" i="7"/>
  <c r="AD216" i="7"/>
  <c r="AD511" i="7"/>
  <c r="AD416" i="7"/>
  <c r="AD577" i="7"/>
  <c r="AD393" i="7"/>
  <c r="AD14" i="7"/>
  <c r="AD28" i="7"/>
  <c r="AD725" i="7"/>
  <c r="AD237" i="7"/>
  <c r="AD411" i="7"/>
  <c r="AD165" i="7"/>
  <c r="AD60" i="7"/>
  <c r="AD410" i="7"/>
  <c r="AD262" i="7"/>
  <c r="AD230" i="7"/>
  <c r="AD549" i="7"/>
  <c r="AD236" i="7"/>
  <c r="AD244" i="7"/>
  <c r="AD512" i="7"/>
  <c r="AD344" i="7"/>
  <c r="AD113" i="7"/>
  <c r="AD139" i="7"/>
  <c r="AD648" i="7"/>
  <c r="AD735" i="7"/>
  <c r="AD851" i="7"/>
  <c r="AD680" i="7"/>
  <c r="AD285" i="7"/>
  <c r="AD61" i="7"/>
  <c r="AD508" i="7"/>
  <c r="AD479" i="7"/>
  <c r="AD771" i="7"/>
  <c r="AD868" i="7"/>
  <c r="AD341" i="7"/>
  <c r="AD388" i="7"/>
  <c r="AD627" i="7"/>
  <c r="AD705" i="7"/>
  <c r="AD125" i="7"/>
  <c r="AD64" i="7"/>
  <c r="AD57" i="7"/>
  <c r="AD854" i="7"/>
  <c r="AD794" i="7"/>
  <c r="AD417" i="7"/>
  <c r="AD435" i="7"/>
  <c r="AD754" i="7"/>
  <c r="AD313" i="7"/>
  <c r="AD135" i="7"/>
  <c r="AD268" i="7"/>
  <c r="AD331" i="7"/>
  <c r="AD151" i="7"/>
  <c r="AD805" i="7"/>
  <c r="AD730" i="7"/>
  <c r="AD312" i="7"/>
  <c r="AD523" i="7"/>
  <c r="AD759" i="7"/>
  <c r="AD672" i="7"/>
  <c r="AD605" i="7"/>
  <c r="AD366" i="7"/>
  <c r="AD575" i="7"/>
  <c r="AD12" i="7"/>
  <c r="AD144" i="7"/>
  <c r="AD159" i="7"/>
  <c r="AD790" i="7"/>
  <c r="AD128" i="7"/>
  <c r="AD401" i="7"/>
  <c r="AD127" i="7"/>
  <c r="AD73" i="7"/>
  <c r="AD374" i="7"/>
  <c r="AD808" i="7"/>
  <c r="AD297" i="7"/>
  <c r="AD404" i="7"/>
  <c r="AD775" i="7"/>
  <c r="AD813" i="7"/>
  <c r="AD762" i="7"/>
  <c r="AD795" i="7"/>
  <c r="AD812" i="7"/>
  <c r="AD580" i="7"/>
  <c r="AD497" i="7"/>
  <c r="AD502" i="7"/>
  <c r="AD748" i="7"/>
  <c r="AD22" i="7"/>
  <c r="AD791" i="7"/>
  <c r="AD345" i="7"/>
  <c r="AD540" i="7"/>
  <c r="AD370" i="7"/>
  <c r="AD622" i="7"/>
  <c r="AD124" i="7"/>
  <c r="AD422" i="7"/>
  <c r="AD426" i="7"/>
  <c r="AD141" i="7"/>
  <c r="AD302" i="7"/>
  <c r="AD584" i="7"/>
  <c r="AD555" i="7"/>
  <c r="AD767" i="7"/>
  <c r="AD210" i="7"/>
  <c r="AD342" i="7"/>
  <c r="AD383" i="7"/>
  <c r="AD559" i="7"/>
  <c r="AD400" i="7"/>
  <c r="AD309" i="7"/>
  <c r="AD169" i="7"/>
  <c r="AD846" i="7"/>
  <c r="AD389" i="7"/>
  <c r="AD779" i="7"/>
  <c r="AD433" i="7"/>
  <c r="AD180" i="7"/>
  <c r="AD526" i="7"/>
  <c r="AD688" i="7"/>
  <c r="AD148" i="7"/>
  <c r="AD174" i="7"/>
  <c r="AD42" i="7"/>
  <c r="AD310" i="7"/>
  <c r="AD419" i="7"/>
  <c r="AD115" i="7"/>
  <c r="AD796" i="7"/>
  <c r="AD86" i="7"/>
  <c r="AD761" i="7"/>
  <c r="AD587" i="7"/>
  <c r="AD24" i="7"/>
  <c r="AD58" i="7"/>
  <c r="AD162" i="7"/>
  <c r="AD381" i="7"/>
  <c r="AD322" i="7"/>
  <c r="AD724" i="7"/>
  <c r="AD504" i="7"/>
  <c r="AD491" i="7"/>
  <c r="AD814" i="7"/>
  <c r="AD462" i="7"/>
  <c r="AD623" i="7"/>
  <c r="AD183" i="7"/>
  <c r="AD146" i="7"/>
  <c r="AD434" i="7"/>
  <c r="AD391" i="7"/>
  <c r="AD87" i="7"/>
  <c r="AD351" i="7"/>
  <c r="AD560" i="7"/>
  <c r="AD8" i="7"/>
  <c r="AD465" i="7"/>
  <c r="AD744" i="7"/>
  <c r="AD332" i="7"/>
  <c r="AD138" i="7"/>
  <c r="AD736" i="7"/>
  <c r="AD402" i="7"/>
  <c r="AD718" i="7"/>
  <c r="AD70" i="7"/>
  <c r="AD428" i="7"/>
  <c r="AD328" i="7"/>
  <c r="AD303" i="7"/>
  <c r="AD686" i="7"/>
  <c r="AD708" i="7"/>
  <c r="AD782" i="7"/>
  <c r="AD755" i="7"/>
  <c r="AD615" i="7"/>
  <c r="AD574" i="7"/>
  <c r="AD678" i="7"/>
  <c r="AD734" i="7"/>
  <c r="AD167" i="7"/>
  <c r="AD280" i="7"/>
  <c r="AD799" i="7"/>
  <c r="AD699" i="7"/>
  <c r="AD152" i="7"/>
  <c r="AD67" i="7"/>
  <c r="AD824" i="7"/>
  <c r="AD278" i="7"/>
  <c r="AD649" i="7"/>
  <c r="AD514" i="7"/>
  <c r="AD212" i="7"/>
  <c r="AD242" i="7"/>
  <c r="AD772" i="7"/>
  <c r="AD567" i="7"/>
  <c r="AD640" i="7"/>
  <c r="AD384" i="7"/>
  <c r="AD579" i="7"/>
  <c r="AD834" i="7"/>
  <c r="AD15" i="7"/>
  <c r="AD668" i="7"/>
  <c r="AD418" i="7"/>
  <c r="AD789" i="7"/>
  <c r="AD503" i="7"/>
  <c r="AD521" i="7"/>
  <c r="AD828" i="7"/>
  <c r="AD343" i="7"/>
  <c r="AD863" i="7"/>
  <c r="AD245" i="7"/>
  <c r="AD561" i="7"/>
  <c r="AD283" i="7"/>
  <c r="AD477" i="7"/>
  <c r="AD259" i="7"/>
  <c r="AD542" i="7"/>
  <c r="AD838" i="7"/>
  <c r="AD807" i="7"/>
  <c r="AD552" i="7"/>
  <c r="AD614" i="7"/>
  <c r="AD550" i="7"/>
  <c r="AD149" i="7"/>
  <c r="AD645" i="7"/>
  <c r="AD570" i="7"/>
  <c r="AD306" i="7"/>
  <c r="AD179" i="7"/>
  <c r="AD429" i="7"/>
  <c r="AD35" i="7"/>
  <c r="AD178" i="7"/>
  <c r="AD618" i="7"/>
  <c r="AD346" i="7"/>
  <c r="AD356" i="7"/>
  <c r="AD182" i="7"/>
  <c r="AD363" i="7"/>
  <c r="AD226" i="7"/>
  <c r="AD407" i="7"/>
  <c r="AD747" i="7"/>
  <c r="AD414" i="7"/>
  <c r="AD661" i="7"/>
  <c r="AD710" i="7"/>
  <c r="AD723" i="7"/>
  <c r="AD376" i="7"/>
  <c r="AD729" i="7"/>
  <c r="AD525" i="7"/>
  <c r="AD29" i="7"/>
  <c r="AD702" i="7"/>
  <c r="AD852" i="7"/>
  <c r="AD90" i="7"/>
  <c r="AD573" i="7"/>
  <c r="AD707" i="7"/>
  <c r="AD222" i="7"/>
  <c r="AD785" i="7"/>
  <c r="AD519" i="7"/>
  <c r="AD494" i="7"/>
  <c r="AD847" i="7"/>
  <c r="AD261" i="7"/>
  <c r="AD800" i="7"/>
  <c r="AD588" i="7"/>
  <c r="AD160" i="7"/>
  <c r="AD26" i="7"/>
  <c r="AD595" i="7"/>
  <c r="AD822" i="7"/>
  <c r="AD440" i="7"/>
  <c r="AD665" i="7"/>
  <c r="AD764" i="7"/>
  <c r="AD777" i="7"/>
  <c r="AD671" i="7"/>
  <c r="AD832" i="7"/>
  <c r="AD228" i="7"/>
  <c r="AD634" i="7"/>
  <c r="AD114" i="7"/>
  <c r="AD385" i="7"/>
  <c r="AD37" i="7"/>
  <c r="AD279" i="7"/>
  <c r="AD191" i="7"/>
  <c r="AD108" i="7"/>
  <c r="AD56" i="7"/>
  <c r="AD311" i="7"/>
  <c r="AD507" i="7"/>
  <c r="AD97" i="7"/>
  <c r="AD500" i="7"/>
  <c r="AD319" i="7"/>
  <c r="AD18" i="7"/>
  <c r="AD264" i="7"/>
  <c r="AD437" i="7"/>
  <c r="AD510" i="7"/>
  <c r="AD338" i="7"/>
  <c r="AD853" i="7"/>
  <c r="AD111" i="7"/>
  <c r="AD333" i="7"/>
  <c r="AD186" i="7"/>
  <c r="AD721" i="7"/>
  <c r="AD102" i="7"/>
  <c r="AD713" i="7"/>
  <c r="AD809" i="7"/>
  <c r="AD27" i="7"/>
  <c r="AD569" i="7"/>
  <c r="AD446" i="7"/>
  <c r="AD150" i="7"/>
  <c r="AD164" i="7"/>
  <c r="AD184" i="7"/>
  <c r="AD865" i="7"/>
  <c r="AD40" i="7"/>
  <c r="AD726" i="7"/>
  <c r="AD122" i="7"/>
  <c r="AD817" i="7"/>
  <c r="AD452" i="7"/>
  <c r="AD89" i="7"/>
  <c r="AD187" i="7"/>
  <c r="AD593" i="7"/>
  <c r="AD399" i="7"/>
  <c r="AD294" i="7"/>
  <c r="AD819" i="7"/>
  <c r="AD499" i="7"/>
  <c r="AD522" i="7"/>
  <c r="AD598" i="7"/>
  <c r="AD80" i="7"/>
  <c r="AD509" i="7"/>
  <c r="AD798" i="7"/>
  <c r="AD643" i="7"/>
  <c r="AD439" i="7"/>
  <c r="AD749" i="7"/>
  <c r="AD53" i="7"/>
  <c r="AD454" i="7"/>
  <c r="AD679" i="7"/>
  <c r="AD631" i="7"/>
  <c r="AD118" i="7"/>
  <c r="AD9" i="7"/>
  <c r="AD76" i="7"/>
  <c r="AD398" i="7"/>
  <c r="AD758" i="7"/>
  <c r="AD442" i="7"/>
  <c r="AD45" i="7"/>
  <c r="AD81" i="7"/>
  <c r="AD286" i="7"/>
  <c r="AD354" i="7"/>
  <c r="AD719" i="7"/>
  <c r="AD449" i="7"/>
  <c r="AD11" i="7"/>
  <c r="AD564" i="7"/>
  <c r="AD826" i="7"/>
  <c r="AD825" i="7"/>
  <c r="AD717" i="7"/>
  <c r="AD258" i="7"/>
  <c r="AD88" i="7"/>
  <c r="AD870" i="7"/>
  <c r="AD704" i="7"/>
  <c r="AD195" i="7"/>
  <c r="AD855" i="7"/>
  <c r="AD133" i="7"/>
  <c r="AD364" i="7"/>
  <c r="AD571" i="7"/>
  <c r="AD209" i="7"/>
  <c r="AD628" i="7"/>
  <c r="AD334" i="7"/>
  <c r="AD533" i="7"/>
  <c r="AD685" i="7"/>
  <c r="AD568" i="7"/>
  <c r="AD377" i="7"/>
  <c r="AD140" i="7"/>
  <c r="AD415" i="7"/>
  <c r="AD386" i="7"/>
  <c r="AD656" i="7"/>
  <c r="AD652" i="7"/>
  <c r="AD387" i="7"/>
  <c r="AD287" i="7"/>
  <c r="AD21" i="7"/>
  <c r="AD607" i="7"/>
  <c r="AD746" i="7"/>
  <c r="AD836" i="7"/>
  <c r="AD445" i="7"/>
  <c r="AD308" i="7"/>
  <c r="AD669" i="7"/>
  <c r="AD340" i="7"/>
  <c r="AD282" i="7"/>
  <c r="AD602" i="7"/>
  <c r="AD676" i="7"/>
  <c r="AD695" i="7"/>
  <c r="AD763" i="7"/>
  <c r="AD478" i="7"/>
  <c r="AD79" i="7"/>
  <c r="AD168" i="7"/>
  <c r="AD857" i="7"/>
  <c r="AD137" i="7"/>
  <c r="AD233" i="7"/>
  <c r="AD249" i="7"/>
  <c r="AD51" i="7"/>
  <c r="AD742" i="7"/>
  <c r="AD830" i="7"/>
  <c r="AD181" i="7"/>
  <c r="AD752" i="7"/>
  <c r="AD193" i="7"/>
  <c r="AD596" i="7"/>
  <c r="AD801" i="7"/>
  <c r="AD323" i="7"/>
  <c r="AD304" i="7"/>
  <c r="AD681" i="7"/>
  <c r="AD546" i="7"/>
  <c r="AD320" i="7"/>
  <c r="AD706" i="7"/>
  <c r="AD390" i="7"/>
  <c r="AD372" i="7"/>
  <c r="AD756" i="7"/>
  <c r="AD250" i="7"/>
  <c r="AD380" i="7"/>
  <c r="AD856" i="7"/>
  <c r="AD277" i="7"/>
  <c r="AD527" i="7"/>
  <c r="AD667" i="7"/>
  <c r="AD606" i="7"/>
  <c r="AD397" i="7"/>
  <c r="AD768" i="7"/>
  <c r="AD613" i="7"/>
  <c r="AD660" i="7"/>
  <c r="AD100" i="7"/>
  <c r="AD200" i="7"/>
  <c r="AD409" i="7"/>
  <c r="AD461" i="7"/>
  <c r="AD438" i="7"/>
  <c r="AD117" i="7"/>
  <c r="AD831" i="7"/>
  <c r="AD658" i="7"/>
  <c r="AD158" i="7"/>
  <c r="AD839" i="7"/>
  <c r="AD272" i="7"/>
  <c r="AD496" i="7"/>
  <c r="AD132" i="7"/>
  <c r="AD166" i="7"/>
  <c r="AD13" i="7"/>
  <c r="AD714" i="7"/>
  <c r="AD20" i="7"/>
  <c r="AD136" i="7"/>
  <c r="AD196" i="7"/>
  <c r="AD172" i="7"/>
  <c r="AD32" i="7"/>
  <c r="AD367" i="7"/>
  <c r="AD208" i="7"/>
  <c r="AD129" i="7"/>
  <c r="AD82" i="7"/>
  <c r="AD687" i="7"/>
  <c r="AD600" i="7"/>
  <c r="AD103" i="7"/>
  <c r="AD820" i="7"/>
  <c r="AD727" i="7"/>
  <c r="AD213" i="7"/>
  <c r="AD690" i="7"/>
  <c r="AD582" i="7"/>
  <c r="AD611" i="7"/>
  <c r="AD325" i="7"/>
  <c r="AD621" i="7"/>
  <c r="AD760" i="7"/>
  <c r="AD541" i="7"/>
  <c r="AD673" i="7"/>
  <c r="AD105" i="7"/>
  <c r="AD737" i="7"/>
  <c r="AD670" i="7"/>
  <c r="AD774" i="7"/>
  <c r="AD816" i="7"/>
  <c r="AD581" i="7"/>
  <c r="AD616" i="7"/>
  <c r="AD693" i="7"/>
  <c r="AD298" i="7"/>
  <c r="AD98" i="7"/>
  <c r="AD371" i="7"/>
  <c r="AD350" i="7"/>
  <c r="AD629" i="7"/>
  <c r="AD833" i="7"/>
  <c r="AD444" i="7"/>
  <c r="AD473" i="7"/>
  <c r="AD74" i="7"/>
  <c r="AD292" i="7"/>
  <c r="AD757" i="7"/>
  <c r="AD205" i="7"/>
  <c r="AD101" i="7"/>
  <c r="AD558" i="7"/>
  <c r="AD597" i="7"/>
  <c r="AD545" i="7"/>
  <c r="AD436" i="7"/>
  <c r="AD470" i="7"/>
  <c r="AD632" i="7"/>
  <c r="AD107" i="7"/>
  <c r="AD243" i="7"/>
  <c r="AD806" i="7"/>
  <c r="AD829" i="7"/>
  <c r="AD405" i="7"/>
  <c r="AD44" i="7"/>
  <c r="AD773" i="7"/>
  <c r="AD506" i="7"/>
  <c r="AD198" i="7"/>
  <c r="AD207" i="7"/>
  <c r="AD289" i="7"/>
  <c r="AD698" i="7"/>
  <c r="AD267" i="7"/>
  <c r="AD731" i="7"/>
  <c r="AD647" i="7"/>
  <c r="AD653" i="7"/>
  <c r="AD715" i="7"/>
  <c r="AD110" i="7"/>
  <c r="AD513" i="7"/>
  <c r="AD284" i="7"/>
  <c r="AD255" i="7"/>
  <c r="AD619" i="7"/>
  <c r="AD677" i="7"/>
  <c r="AD778" i="7"/>
  <c r="AD369" i="7"/>
  <c r="AD716" i="7"/>
  <c r="AD273" i="7"/>
  <c r="AD696" i="7"/>
  <c r="AD194" i="7"/>
  <c r="AD531" i="7"/>
  <c r="AD610" i="7"/>
  <c r="AD843" i="7"/>
  <c r="AD92" i="7"/>
  <c r="AD827" i="7"/>
  <c r="AD802" i="7"/>
  <c r="AD495" i="7"/>
  <c r="AD109" i="7"/>
  <c r="AD780" i="7"/>
  <c r="AD66" i="7"/>
  <c r="AD430" i="7"/>
  <c r="AD703" i="7"/>
  <c r="AD83" i="7"/>
  <c r="AD867" i="7"/>
  <c r="AD528" i="7"/>
  <c r="AD529" i="7"/>
  <c r="AD173" i="7"/>
  <c r="AD72" i="7"/>
  <c r="AD544" i="7"/>
  <c r="AD252" i="7"/>
  <c r="AD203" i="7"/>
  <c r="AD642" i="7"/>
  <c r="AD474" i="7"/>
  <c r="AD554" i="7"/>
  <c r="AD68" i="7"/>
  <c r="AD291" i="7"/>
  <c r="AD501" i="7"/>
  <c r="AD19" i="7"/>
  <c r="AD740" i="7"/>
  <c r="AD75" i="7"/>
  <c r="AD349" i="7"/>
  <c r="AD85" i="7"/>
  <c r="AD637" i="7"/>
  <c r="AD604" i="7"/>
  <c r="AD787" i="7"/>
  <c r="AD161" i="7"/>
  <c r="AD770" i="7"/>
  <c r="AD451" i="7"/>
  <c r="AD365" i="7"/>
  <c r="AD335" i="7"/>
  <c r="AD664" i="7"/>
  <c r="AD741" i="7"/>
  <c r="AD563" i="7"/>
  <c r="AD784" i="7"/>
  <c r="AD84" i="7"/>
  <c r="AD565" i="7"/>
  <c r="AD443" i="7"/>
  <c r="AD134" i="7"/>
  <c r="AD448" i="7"/>
  <c r="AD666" i="7"/>
  <c r="AD229" i="7"/>
  <c r="AD225" i="7"/>
  <c r="AD464" i="7"/>
  <c r="AD219" i="7"/>
  <c r="AD201" i="7"/>
  <c r="AD295" i="7"/>
  <c r="AD197" i="7"/>
  <c r="AD823" i="7"/>
  <c r="AD518" i="7"/>
  <c r="AD330" i="7"/>
  <c r="AD403" i="7"/>
  <c r="AD585" i="7"/>
  <c r="AD733" i="7"/>
  <c r="AD485" i="7"/>
  <c r="AD484" i="7"/>
  <c r="AD43" i="7"/>
  <c r="AD482" i="7"/>
  <c r="AD524" i="7"/>
  <c r="AD54" i="7"/>
  <c r="AD202" i="7"/>
  <c r="AD290" i="7"/>
  <c r="AD601" i="7"/>
  <c r="AD293" i="7"/>
  <c r="AD362" i="7"/>
  <c r="AD837" i="7"/>
  <c r="AD516" i="7"/>
  <c r="AD682" i="7"/>
  <c r="AD190" i="7"/>
  <c r="AD844" i="7"/>
  <c r="AD472" i="7"/>
  <c r="AD701" i="7"/>
  <c r="AD220" i="7"/>
  <c r="AD361" i="7"/>
  <c r="AD459" i="7"/>
  <c r="AD864" i="7"/>
  <c r="AD424" i="7"/>
  <c r="AD423" i="7"/>
  <c r="AD466" i="7"/>
  <c r="AD609" i="7"/>
  <c r="AD432" i="7"/>
  <c r="AD427" i="7"/>
  <c r="AD359" i="7"/>
  <c r="AD256" i="7"/>
  <c r="AA722" i="7"/>
  <c r="AA375" i="7"/>
  <c r="AA630" i="7"/>
  <c r="AA263" i="7"/>
  <c r="AA487" i="7"/>
  <c r="AA457" i="7"/>
  <c r="AA30" i="7"/>
  <c r="AA515" i="7"/>
  <c r="AA441" i="7"/>
  <c r="AA551" i="7"/>
  <c r="AA657" i="7"/>
  <c r="AA469" i="7"/>
  <c r="AA848" i="7"/>
  <c r="AA147" i="7"/>
  <c r="AA241" i="7"/>
  <c r="AA25" i="7"/>
  <c r="AA583" i="7"/>
  <c r="AA17" i="7"/>
  <c r="AA586" i="7"/>
  <c r="AA154" i="7"/>
  <c r="AA46" i="7"/>
  <c r="AA329" i="7"/>
  <c r="AA765" i="7"/>
  <c r="AA143" i="7"/>
  <c r="AA425" i="7"/>
  <c r="AA536" i="7"/>
  <c r="AA38" i="7"/>
  <c r="AA576" i="7"/>
  <c r="AA240" i="7"/>
  <c r="AA753" i="7"/>
  <c r="AA34" i="7"/>
  <c r="AA663" i="7"/>
  <c r="AA547" i="7"/>
  <c r="AA635" i="7"/>
  <c r="AA592" i="7"/>
  <c r="AA539" i="7"/>
  <c r="AA275" i="7"/>
  <c r="AA578" i="7"/>
  <c r="AA858" i="7"/>
  <c r="AA548" i="7"/>
  <c r="AA316" i="7"/>
  <c r="AA644" i="7"/>
  <c r="AA318" i="7"/>
  <c r="AA532" i="7"/>
  <c r="AA216" i="7"/>
  <c r="AA511" i="7"/>
  <c r="AA416" i="7"/>
  <c r="AA577" i="7"/>
  <c r="AA393" i="7"/>
  <c r="AA14" i="7"/>
  <c r="AA28" i="7"/>
  <c r="AA725" i="7"/>
  <c r="AA237" i="7"/>
  <c r="AA411" i="7"/>
  <c r="AA165" i="7"/>
  <c r="AA60" i="7"/>
  <c r="AA410" i="7"/>
  <c r="AA262" i="7"/>
  <c r="AA230" i="7"/>
  <c r="AA549" i="7"/>
  <c r="AA236" i="7"/>
  <c r="AA244" i="7"/>
  <c r="AA512" i="7"/>
  <c r="AA344" i="7"/>
  <c r="AA113" i="7"/>
  <c r="AA139" i="7"/>
  <c r="AA648" i="7"/>
  <c r="AA735" i="7"/>
  <c r="AA851" i="7"/>
  <c r="AA680" i="7"/>
  <c r="AA285" i="7"/>
  <c r="AA61" i="7"/>
  <c r="AA508" i="7"/>
  <c r="AA479" i="7"/>
  <c r="AA771" i="7"/>
  <c r="AA868" i="7"/>
  <c r="AA341" i="7"/>
  <c r="AA388" i="7"/>
  <c r="AA627" i="7"/>
  <c r="AA705" i="7"/>
  <c r="AA125" i="7"/>
  <c r="AA64" i="7"/>
  <c r="AA57" i="7"/>
  <c r="AA854" i="7"/>
  <c r="AA794" i="7"/>
  <c r="AA417" i="7"/>
  <c r="AA435" i="7"/>
  <c r="AA754" i="7"/>
  <c r="AA313" i="7"/>
  <c r="AA135" i="7"/>
  <c r="AA268" i="7"/>
  <c r="AA331" i="7"/>
  <c r="AA151" i="7"/>
  <c r="AA805" i="7"/>
  <c r="AA730" i="7"/>
  <c r="AA312" i="7"/>
  <c r="AA523" i="7"/>
  <c r="AA759" i="7"/>
  <c r="AA672" i="7"/>
  <c r="AA605" i="7"/>
  <c r="AA366" i="7"/>
  <c r="AA575" i="7"/>
  <c r="AA12" i="7"/>
  <c r="AA144" i="7"/>
  <c r="AA159" i="7"/>
  <c r="AA790" i="7"/>
  <c r="AA128" i="7"/>
  <c r="AA401" i="7"/>
  <c r="AA127" i="7"/>
  <c r="AA73" i="7"/>
  <c r="AA374" i="7"/>
  <c r="AA808" i="7"/>
  <c r="AA297" i="7"/>
  <c r="AA404" i="7"/>
  <c r="AA775" i="7"/>
  <c r="AA813" i="7"/>
  <c r="AA762" i="7"/>
  <c r="AA795" i="7"/>
  <c r="AA812" i="7"/>
  <c r="AA580" i="7"/>
  <c r="AA497" i="7"/>
  <c r="AA502" i="7"/>
  <c r="AA748" i="7"/>
  <c r="AA22" i="7"/>
  <c r="AA791" i="7"/>
  <c r="AA345" i="7"/>
  <c r="AA540" i="7"/>
  <c r="AA370" i="7"/>
  <c r="AA622" i="7"/>
  <c r="AA124" i="7"/>
  <c r="AA422" i="7"/>
  <c r="AA426" i="7"/>
  <c r="AA141" i="7"/>
  <c r="AA302" i="7"/>
  <c r="AA584" i="7"/>
  <c r="AA555" i="7"/>
  <c r="AA767" i="7"/>
  <c r="AA210" i="7"/>
  <c r="AA342" i="7"/>
  <c r="AA383" i="7"/>
  <c r="AA559" i="7"/>
  <c r="AA400" i="7"/>
  <c r="AA309" i="7"/>
  <c r="AA169" i="7"/>
  <c r="AA846" i="7"/>
  <c r="AA389" i="7"/>
  <c r="AA779" i="7"/>
  <c r="AA433" i="7"/>
  <c r="AA180" i="7"/>
  <c r="AA526" i="7"/>
  <c r="AA688" i="7"/>
  <c r="AA148" i="7"/>
  <c r="AA174" i="7"/>
  <c r="AA42" i="7"/>
  <c r="AA310" i="7"/>
  <c r="AA419" i="7"/>
  <c r="AA115" i="7"/>
  <c r="AA796" i="7"/>
  <c r="AA86" i="7"/>
  <c r="AA761" i="7"/>
  <c r="AA587" i="7"/>
  <c r="AA24" i="7"/>
  <c r="AA58" i="7"/>
  <c r="AA162" i="7"/>
  <c r="AA381" i="7"/>
  <c r="AA322" i="7"/>
  <c r="AA724" i="7"/>
  <c r="AA504" i="7"/>
  <c r="AA491" i="7"/>
  <c r="AA814" i="7"/>
  <c r="AA462" i="7"/>
  <c r="AA623" i="7"/>
  <c r="AA183" i="7"/>
  <c r="AA146" i="7"/>
  <c r="AA434" i="7"/>
  <c r="AA391" i="7"/>
  <c r="AA87" i="7"/>
  <c r="AA351" i="7"/>
  <c r="AA560" i="7"/>
  <c r="AA8" i="7"/>
  <c r="AA465" i="7"/>
  <c r="AA744" i="7"/>
  <c r="AA332" i="7"/>
  <c r="AA138" i="7"/>
  <c r="AA736" i="7"/>
  <c r="AA402" i="7"/>
  <c r="AA718" i="7"/>
  <c r="AA70" i="7"/>
  <c r="AA428" i="7"/>
  <c r="AA328" i="7"/>
  <c r="AA303" i="7"/>
  <c r="AA686" i="7"/>
  <c r="AA708" i="7"/>
  <c r="AA782" i="7"/>
  <c r="AA755" i="7"/>
  <c r="AA615" i="7"/>
  <c r="AA574" i="7"/>
  <c r="AA678" i="7"/>
  <c r="AA734" i="7"/>
  <c r="AA167" i="7"/>
  <c r="AA280" i="7"/>
  <c r="AA799" i="7"/>
  <c r="AA699" i="7"/>
  <c r="AA152" i="7"/>
  <c r="AA67" i="7"/>
  <c r="AA824" i="7"/>
  <c r="AA278" i="7"/>
  <c r="AA649" i="7"/>
  <c r="AA514" i="7"/>
  <c r="AA212" i="7"/>
  <c r="AA242" i="7"/>
  <c r="AA772" i="7"/>
  <c r="AA567" i="7"/>
  <c r="AA640" i="7"/>
  <c r="AA384" i="7"/>
  <c r="AA579" i="7"/>
  <c r="AA834" i="7"/>
  <c r="AA15" i="7"/>
  <c r="AA668" i="7"/>
  <c r="AA418" i="7"/>
  <c r="AA789" i="7"/>
  <c r="AA503" i="7"/>
  <c r="AA521" i="7"/>
  <c r="AA828" i="7"/>
  <c r="AA343" i="7"/>
  <c r="AA863" i="7"/>
  <c r="AA245" i="7"/>
  <c r="AA561" i="7"/>
  <c r="AA283" i="7"/>
  <c r="AA477" i="7"/>
  <c r="AA259" i="7"/>
  <c r="AA542" i="7"/>
  <c r="AA838" i="7"/>
  <c r="AA807" i="7"/>
  <c r="AA552" i="7"/>
  <c r="AA614" i="7"/>
  <c r="AA550" i="7"/>
  <c r="AA149" i="7"/>
  <c r="AA645" i="7"/>
  <c r="AA570" i="7"/>
  <c r="AA306" i="7"/>
  <c r="AA179" i="7"/>
  <c r="AA429" i="7"/>
  <c r="AA35" i="7"/>
  <c r="AA178" i="7"/>
  <c r="AA618" i="7"/>
  <c r="AA346" i="7"/>
  <c r="AA356" i="7"/>
  <c r="AA182" i="7"/>
  <c r="AA363" i="7"/>
  <c r="AA226" i="7"/>
  <c r="AA407" i="7"/>
  <c r="AA747" i="7"/>
  <c r="AA414" i="7"/>
  <c r="AA661" i="7"/>
  <c r="AA710" i="7"/>
  <c r="AA723" i="7"/>
  <c r="AA376" i="7"/>
  <c r="AA729" i="7"/>
  <c r="AA525" i="7"/>
  <c r="AA29" i="7"/>
  <c r="AA702" i="7"/>
  <c r="AA852" i="7"/>
  <c r="AA90" i="7"/>
  <c r="AA573" i="7"/>
  <c r="AA707" i="7"/>
  <c r="AA222" i="7"/>
  <c r="AA785" i="7"/>
  <c r="AA519" i="7"/>
  <c r="AA494" i="7"/>
  <c r="AA847" i="7"/>
  <c r="AA261" i="7"/>
  <c r="AA800" i="7"/>
  <c r="AA588" i="7"/>
  <c r="AA160" i="7"/>
  <c r="AA26" i="7"/>
  <c r="AA595" i="7"/>
  <c r="AA822" i="7"/>
  <c r="AA440" i="7"/>
  <c r="AA665" i="7"/>
  <c r="AA764" i="7"/>
  <c r="AA777" i="7"/>
  <c r="AA671" i="7"/>
  <c r="AA832" i="7"/>
  <c r="AA228" i="7"/>
  <c r="AA634" i="7"/>
  <c r="AA114" i="7"/>
  <c r="AA385" i="7"/>
  <c r="AA37" i="7"/>
  <c r="AA279" i="7"/>
  <c r="AA191" i="7"/>
  <c r="AA108" i="7"/>
  <c r="AA56" i="7"/>
  <c r="AA311" i="7"/>
  <c r="AA507" i="7"/>
  <c r="AA97" i="7"/>
  <c r="AA500" i="7"/>
  <c r="AA319" i="7"/>
  <c r="AA18" i="7"/>
  <c r="AA264" i="7"/>
  <c r="AA437" i="7"/>
  <c r="AA510" i="7"/>
  <c r="AA338" i="7"/>
  <c r="AA853" i="7"/>
  <c r="AA111" i="7"/>
  <c r="AA333" i="7"/>
  <c r="AA186" i="7"/>
  <c r="AA721" i="7"/>
  <c r="AA102" i="7"/>
  <c r="AA713" i="7"/>
  <c r="AA809" i="7"/>
  <c r="AA27" i="7"/>
  <c r="AA569" i="7"/>
  <c r="AA446" i="7"/>
  <c r="AA150" i="7"/>
  <c r="AA164" i="7"/>
  <c r="AA184" i="7"/>
  <c r="AA865" i="7"/>
  <c r="AA40" i="7"/>
  <c r="AA726" i="7"/>
  <c r="AA122" i="7"/>
  <c r="AA817" i="7"/>
  <c r="AA452" i="7"/>
  <c r="AA89" i="7"/>
  <c r="AA187" i="7"/>
  <c r="AA593" i="7"/>
  <c r="AA399" i="7"/>
  <c r="AA294" i="7"/>
  <c r="AA819" i="7"/>
  <c r="AA499" i="7"/>
  <c r="AA522" i="7"/>
  <c r="AA598" i="7"/>
  <c r="AA80" i="7"/>
  <c r="AA509" i="7"/>
  <c r="AA798" i="7"/>
  <c r="AA643" i="7"/>
  <c r="AA439" i="7"/>
  <c r="AA749" i="7"/>
  <c r="AA53" i="7"/>
  <c r="AA454" i="7"/>
  <c r="AA679" i="7"/>
  <c r="AA631" i="7"/>
  <c r="AA118" i="7"/>
  <c r="AA9" i="7"/>
  <c r="AA76" i="7"/>
  <c r="AA398" i="7"/>
  <c r="AA758" i="7"/>
  <c r="AA442" i="7"/>
  <c r="AA45" i="7"/>
  <c r="AA81" i="7"/>
  <c r="AA286" i="7"/>
  <c r="AA354" i="7"/>
  <c r="AA719" i="7"/>
  <c r="AA449" i="7"/>
  <c r="AA11" i="7"/>
  <c r="AA564" i="7"/>
  <c r="AA826" i="7"/>
  <c r="AA825" i="7"/>
  <c r="AA717" i="7"/>
  <c r="AA258" i="7"/>
  <c r="AA88" i="7"/>
  <c r="AA870" i="7"/>
  <c r="AA704" i="7"/>
  <c r="AA195" i="7"/>
  <c r="AA855" i="7"/>
  <c r="AA133" i="7"/>
  <c r="AA364" i="7"/>
  <c r="AA571" i="7"/>
  <c r="AA209" i="7"/>
  <c r="AA628" i="7"/>
  <c r="AA334" i="7"/>
  <c r="AA533" i="7"/>
  <c r="AA685" i="7"/>
  <c r="AA568" i="7"/>
  <c r="AA377" i="7"/>
  <c r="AA140" i="7"/>
  <c r="AA415" i="7"/>
  <c r="AA386" i="7"/>
  <c r="AA656" i="7"/>
  <c r="AA652" i="7"/>
  <c r="AA387" i="7"/>
  <c r="AA287" i="7"/>
  <c r="AA21" i="7"/>
  <c r="AA607" i="7"/>
  <c r="AA746" i="7"/>
  <c r="AA836" i="7"/>
  <c r="AA445" i="7"/>
  <c r="AA308" i="7"/>
  <c r="AA669" i="7"/>
  <c r="AA340" i="7"/>
  <c r="AA282" i="7"/>
  <c r="AA602" i="7"/>
  <c r="AA676" i="7"/>
  <c r="AA695" i="7"/>
  <c r="AA763" i="7"/>
  <c r="AA478" i="7"/>
  <c r="AA79" i="7"/>
  <c r="AA168" i="7"/>
  <c r="AA857" i="7"/>
  <c r="AA137" i="7"/>
  <c r="AA233" i="7"/>
  <c r="AA249" i="7"/>
  <c r="AA51" i="7"/>
  <c r="AA742" i="7"/>
  <c r="AA830" i="7"/>
  <c r="AA181" i="7"/>
  <c r="AA752" i="7"/>
  <c r="AA193" i="7"/>
  <c r="AA596" i="7"/>
  <c r="AA801" i="7"/>
  <c r="AA323" i="7"/>
  <c r="AA304" i="7"/>
  <c r="AA681" i="7"/>
  <c r="AA546" i="7"/>
  <c r="AA320" i="7"/>
  <c r="AA706" i="7"/>
  <c r="AA390" i="7"/>
  <c r="AA372" i="7"/>
  <c r="AA756" i="7"/>
  <c r="AA250" i="7"/>
  <c r="AA380" i="7"/>
  <c r="AA856" i="7"/>
  <c r="AA277" i="7"/>
  <c r="AA527" i="7"/>
  <c r="AA667" i="7"/>
  <c r="AA606" i="7"/>
  <c r="AA397" i="7"/>
  <c r="AA768" i="7"/>
  <c r="AA613" i="7"/>
  <c r="AA660" i="7"/>
  <c r="AA100" i="7"/>
  <c r="AA200" i="7"/>
  <c r="AA409" i="7"/>
  <c r="AA461" i="7"/>
  <c r="AA438" i="7"/>
  <c r="AA117" i="7"/>
  <c r="AA831" i="7"/>
  <c r="AA658" i="7"/>
  <c r="AA158" i="7"/>
  <c r="AA839" i="7"/>
  <c r="AA272" i="7"/>
  <c r="AA496" i="7"/>
  <c r="AA132" i="7"/>
  <c r="AA166" i="7"/>
  <c r="AA13" i="7"/>
  <c r="AA714" i="7"/>
  <c r="AA20" i="7"/>
  <c r="AA136" i="7"/>
  <c r="AA196" i="7"/>
  <c r="AA172" i="7"/>
  <c r="AA32" i="7"/>
  <c r="AA367" i="7"/>
  <c r="AA208" i="7"/>
  <c r="AA129" i="7"/>
  <c r="AA82" i="7"/>
  <c r="AA687" i="7"/>
  <c r="AA600" i="7"/>
  <c r="AA103" i="7"/>
  <c r="AA820" i="7"/>
  <c r="AA727" i="7"/>
  <c r="AA213" i="7"/>
  <c r="AA690" i="7"/>
  <c r="AA582" i="7"/>
  <c r="AA611" i="7"/>
  <c r="AA325" i="7"/>
  <c r="AA621" i="7"/>
  <c r="AA760" i="7"/>
  <c r="AA541" i="7"/>
  <c r="AA673" i="7"/>
  <c r="AA105" i="7"/>
  <c r="AA737" i="7"/>
  <c r="AA670" i="7"/>
  <c r="AA774" i="7"/>
  <c r="AA816" i="7"/>
  <c r="AA581" i="7"/>
  <c r="AA616" i="7"/>
  <c r="AA693" i="7"/>
  <c r="AA298" i="7"/>
  <c r="AA98" i="7"/>
  <c r="AA371" i="7"/>
  <c r="AA350" i="7"/>
  <c r="AA629" i="7"/>
  <c r="AA833" i="7"/>
  <c r="AA444" i="7"/>
  <c r="AA473" i="7"/>
  <c r="AA74" i="7"/>
  <c r="AA292" i="7"/>
  <c r="AA757" i="7"/>
  <c r="AA205" i="7"/>
  <c r="AA101" i="7"/>
  <c r="AA558" i="7"/>
  <c r="AA597" i="7"/>
  <c r="AA545" i="7"/>
  <c r="AA436" i="7"/>
  <c r="AA470" i="7"/>
  <c r="AA632" i="7"/>
  <c r="AA107" i="7"/>
  <c r="AA243" i="7"/>
  <c r="AA806" i="7"/>
  <c r="AA829" i="7"/>
  <c r="AA405" i="7"/>
  <c r="AA44" i="7"/>
  <c r="AA773" i="7"/>
  <c r="AA506" i="7"/>
  <c r="AA198" i="7"/>
  <c r="AA207" i="7"/>
  <c r="AA289" i="7"/>
  <c r="AA698" i="7"/>
  <c r="AA267" i="7"/>
  <c r="AA731" i="7"/>
  <c r="AA647" i="7"/>
  <c r="AA653" i="7"/>
  <c r="AA715" i="7"/>
  <c r="AA110" i="7"/>
  <c r="AA513" i="7"/>
  <c r="AA284" i="7"/>
  <c r="AA255" i="7"/>
  <c r="AA619" i="7"/>
  <c r="AA677" i="7"/>
  <c r="AA778" i="7"/>
  <c r="AA369" i="7"/>
  <c r="AA716" i="7"/>
  <c r="AA273" i="7"/>
  <c r="AA696" i="7"/>
  <c r="AA194" i="7"/>
  <c r="AA531" i="7"/>
  <c r="AA610" i="7"/>
  <c r="AA843" i="7"/>
  <c r="AA92" i="7"/>
  <c r="AA827" i="7"/>
  <c r="AA802" i="7"/>
  <c r="AA495" i="7"/>
  <c r="AA109" i="7"/>
  <c r="AA780" i="7"/>
  <c r="AA66" i="7"/>
  <c r="AA430" i="7"/>
  <c r="AA703" i="7"/>
  <c r="AA83" i="7"/>
  <c r="AA867" i="7"/>
  <c r="AA528" i="7"/>
  <c r="AA529" i="7"/>
  <c r="AA173" i="7"/>
  <c r="AA72" i="7"/>
  <c r="AA544" i="7"/>
  <c r="AA252" i="7"/>
  <c r="AA203" i="7"/>
  <c r="AA642" i="7"/>
  <c r="AA474" i="7"/>
  <c r="AA554" i="7"/>
  <c r="AA68" i="7"/>
  <c r="AA291" i="7"/>
  <c r="AA501" i="7"/>
  <c r="AA19" i="7"/>
  <c r="AA740" i="7"/>
  <c r="AA75" i="7"/>
  <c r="AA349" i="7"/>
  <c r="AA85" i="7"/>
  <c r="AA637" i="7"/>
  <c r="AA604" i="7"/>
  <c r="AA787" i="7"/>
  <c r="AA161" i="7"/>
  <c r="AA770" i="7"/>
  <c r="AA451" i="7"/>
  <c r="AA365" i="7"/>
  <c r="AA335" i="7"/>
  <c r="AA664" i="7"/>
  <c r="AA741" i="7"/>
  <c r="AA563" i="7"/>
  <c r="AA784" i="7"/>
  <c r="AA84" i="7"/>
  <c r="AA565" i="7"/>
  <c r="AA443" i="7"/>
  <c r="AA134" i="7"/>
  <c r="AA448" i="7"/>
  <c r="AA666" i="7"/>
  <c r="AA229" i="7"/>
  <c r="AA225" i="7"/>
  <c r="AA464" i="7"/>
  <c r="AA219" i="7"/>
  <c r="AA201" i="7"/>
  <c r="AA295" i="7"/>
  <c r="AA197" i="7"/>
  <c r="AA823" i="7"/>
  <c r="AA518" i="7"/>
  <c r="AA330" i="7"/>
  <c r="AA403" i="7"/>
  <c r="AA585" i="7"/>
  <c r="AA733" i="7"/>
  <c r="AA485" i="7"/>
  <c r="AA484" i="7"/>
  <c r="AA43" i="7"/>
  <c r="AA482" i="7"/>
  <c r="AA524" i="7"/>
  <c r="AA54" i="7"/>
  <c r="AA202" i="7"/>
  <c r="AA290" i="7"/>
  <c r="AA601" i="7"/>
  <c r="AA293" i="7"/>
  <c r="AA362" i="7"/>
  <c r="AA837" i="7"/>
  <c r="AA516" i="7"/>
  <c r="AA682" i="7"/>
  <c r="AA190" i="7"/>
  <c r="AA844" i="7"/>
  <c r="AA472" i="7"/>
  <c r="AA701" i="7"/>
  <c r="AA220" i="7"/>
  <c r="AA361" i="7"/>
  <c r="AA459" i="7"/>
  <c r="AA864" i="7"/>
  <c r="AA424" i="7"/>
  <c r="AA423" i="7"/>
  <c r="AA466" i="7"/>
  <c r="AA609" i="7"/>
  <c r="AA432" i="7"/>
  <c r="AA427" i="7"/>
  <c r="AA359" i="7"/>
  <c r="AA256" i="7"/>
  <c r="X722" i="7"/>
  <c r="X375" i="7"/>
  <c r="X630" i="7"/>
  <c r="X263" i="7"/>
  <c r="X487" i="7"/>
  <c r="X457" i="7"/>
  <c r="X30" i="7"/>
  <c r="X515" i="7"/>
  <c r="X441" i="7"/>
  <c r="X551" i="7"/>
  <c r="X657" i="7"/>
  <c r="X469" i="7"/>
  <c r="X848" i="7"/>
  <c r="X147" i="7"/>
  <c r="X241" i="7"/>
  <c r="X25" i="7"/>
  <c r="X583" i="7"/>
  <c r="X17" i="7"/>
  <c r="X586" i="7"/>
  <c r="X154" i="7"/>
  <c r="X46" i="7"/>
  <c r="X329" i="7"/>
  <c r="X765" i="7"/>
  <c r="X143" i="7"/>
  <c r="X425" i="7"/>
  <c r="X536" i="7"/>
  <c r="X38" i="7"/>
  <c r="X576" i="7"/>
  <c r="X240" i="7"/>
  <c r="X753" i="7"/>
  <c r="X34" i="7"/>
  <c r="X663" i="7"/>
  <c r="X547" i="7"/>
  <c r="X635" i="7"/>
  <c r="X592" i="7"/>
  <c r="X539" i="7"/>
  <c r="X275" i="7"/>
  <c r="X578" i="7"/>
  <c r="X858" i="7"/>
  <c r="X548" i="7"/>
  <c r="X316" i="7"/>
  <c r="X644" i="7"/>
  <c r="X318" i="7"/>
  <c r="X532" i="7"/>
  <c r="X216" i="7"/>
  <c r="X511" i="7"/>
  <c r="X416" i="7"/>
  <c r="X577" i="7"/>
  <c r="X393" i="7"/>
  <c r="X14" i="7"/>
  <c r="X28" i="7"/>
  <c r="X725" i="7"/>
  <c r="X237" i="7"/>
  <c r="X411" i="7"/>
  <c r="X165" i="7"/>
  <c r="X60" i="7"/>
  <c r="X410" i="7"/>
  <c r="X262" i="7"/>
  <c r="X230" i="7"/>
  <c r="X549" i="7"/>
  <c r="X236" i="7"/>
  <c r="X244" i="7"/>
  <c r="X512" i="7"/>
  <c r="X344" i="7"/>
  <c r="X113" i="7"/>
  <c r="X139" i="7"/>
  <c r="X648" i="7"/>
  <c r="X735" i="7"/>
  <c r="X851" i="7"/>
  <c r="X680" i="7"/>
  <c r="X285" i="7"/>
  <c r="X61" i="7"/>
  <c r="X508" i="7"/>
  <c r="X479" i="7"/>
  <c r="X771" i="7"/>
  <c r="X868" i="7"/>
  <c r="X341" i="7"/>
  <c r="X388" i="7"/>
  <c r="X627" i="7"/>
  <c r="X705" i="7"/>
  <c r="X125" i="7"/>
  <c r="X64" i="7"/>
  <c r="X57" i="7"/>
  <c r="X854" i="7"/>
  <c r="X794" i="7"/>
  <c r="X417" i="7"/>
  <c r="X435" i="7"/>
  <c r="X754" i="7"/>
  <c r="X313" i="7"/>
  <c r="X135" i="7"/>
  <c r="X268" i="7"/>
  <c r="X331" i="7"/>
  <c r="X151" i="7"/>
  <c r="X805" i="7"/>
  <c r="X730" i="7"/>
  <c r="X312" i="7"/>
  <c r="X523" i="7"/>
  <c r="X759" i="7"/>
  <c r="X672" i="7"/>
  <c r="X605" i="7"/>
  <c r="X366" i="7"/>
  <c r="X575" i="7"/>
  <c r="X12" i="7"/>
  <c r="X144" i="7"/>
  <c r="X159" i="7"/>
  <c r="X790" i="7"/>
  <c r="X128" i="7"/>
  <c r="X401" i="7"/>
  <c r="X127" i="7"/>
  <c r="X73" i="7"/>
  <c r="X374" i="7"/>
  <c r="X808" i="7"/>
  <c r="X297" i="7"/>
  <c r="X404" i="7"/>
  <c r="X775" i="7"/>
  <c r="X813" i="7"/>
  <c r="X762" i="7"/>
  <c r="X795" i="7"/>
  <c r="X812" i="7"/>
  <c r="X580" i="7"/>
  <c r="X497" i="7"/>
  <c r="X502" i="7"/>
  <c r="X748" i="7"/>
  <c r="X22" i="7"/>
  <c r="X791" i="7"/>
  <c r="X345" i="7"/>
  <c r="X540" i="7"/>
  <c r="X370" i="7"/>
  <c r="X622" i="7"/>
  <c r="X124" i="7"/>
  <c r="X422" i="7"/>
  <c r="X426" i="7"/>
  <c r="X141" i="7"/>
  <c r="X302" i="7"/>
  <c r="X584" i="7"/>
  <c r="X555" i="7"/>
  <c r="X767" i="7"/>
  <c r="X210" i="7"/>
  <c r="X342" i="7"/>
  <c r="X383" i="7"/>
  <c r="X559" i="7"/>
  <c r="X400" i="7"/>
  <c r="X309" i="7"/>
  <c r="X169" i="7"/>
  <c r="X846" i="7"/>
  <c r="X389" i="7"/>
  <c r="X779" i="7"/>
  <c r="X433" i="7"/>
  <c r="X180" i="7"/>
  <c r="X526" i="7"/>
  <c r="X688" i="7"/>
  <c r="X148" i="7"/>
  <c r="X174" i="7"/>
  <c r="X42" i="7"/>
  <c r="X310" i="7"/>
  <c r="X419" i="7"/>
  <c r="X115" i="7"/>
  <c r="X796" i="7"/>
  <c r="X86" i="7"/>
  <c r="X761" i="7"/>
  <c r="X587" i="7"/>
  <c r="X24" i="7"/>
  <c r="X58" i="7"/>
  <c r="X162" i="7"/>
  <c r="X381" i="7"/>
  <c r="X322" i="7"/>
  <c r="X724" i="7"/>
  <c r="X504" i="7"/>
  <c r="X491" i="7"/>
  <c r="X814" i="7"/>
  <c r="X462" i="7"/>
  <c r="X623" i="7"/>
  <c r="X183" i="7"/>
  <c r="X146" i="7"/>
  <c r="X434" i="7"/>
  <c r="X391" i="7"/>
  <c r="X87" i="7"/>
  <c r="X351" i="7"/>
  <c r="X560" i="7"/>
  <c r="X8" i="7"/>
  <c r="X465" i="7"/>
  <c r="X744" i="7"/>
  <c r="X332" i="7"/>
  <c r="X138" i="7"/>
  <c r="X736" i="7"/>
  <c r="X402" i="7"/>
  <c r="X718" i="7"/>
  <c r="X70" i="7"/>
  <c r="X428" i="7"/>
  <c r="X328" i="7"/>
  <c r="X303" i="7"/>
  <c r="X686" i="7"/>
  <c r="X708" i="7"/>
  <c r="X782" i="7"/>
  <c r="X755" i="7"/>
  <c r="X615" i="7"/>
  <c r="X574" i="7"/>
  <c r="X678" i="7"/>
  <c r="X734" i="7"/>
  <c r="X167" i="7"/>
  <c r="X280" i="7"/>
  <c r="X799" i="7"/>
  <c r="X699" i="7"/>
  <c r="X152" i="7"/>
  <c r="X67" i="7"/>
  <c r="X824" i="7"/>
  <c r="X278" i="7"/>
  <c r="X649" i="7"/>
  <c r="X514" i="7"/>
  <c r="X212" i="7"/>
  <c r="X242" i="7"/>
  <c r="X772" i="7"/>
  <c r="X567" i="7"/>
  <c r="X640" i="7"/>
  <c r="X384" i="7"/>
  <c r="X579" i="7"/>
  <c r="X834" i="7"/>
  <c r="X15" i="7"/>
  <c r="X668" i="7"/>
  <c r="X418" i="7"/>
  <c r="X789" i="7"/>
  <c r="X503" i="7"/>
  <c r="X521" i="7"/>
  <c r="X828" i="7"/>
  <c r="X343" i="7"/>
  <c r="X863" i="7"/>
  <c r="X245" i="7"/>
  <c r="X561" i="7"/>
  <c r="X283" i="7"/>
  <c r="X477" i="7"/>
  <c r="X259" i="7"/>
  <c r="X542" i="7"/>
  <c r="X838" i="7"/>
  <c r="X807" i="7"/>
  <c r="X552" i="7"/>
  <c r="X614" i="7"/>
  <c r="X550" i="7"/>
  <c r="X149" i="7"/>
  <c r="X645" i="7"/>
  <c r="X570" i="7"/>
  <c r="X306" i="7"/>
  <c r="X179" i="7"/>
  <c r="X429" i="7"/>
  <c r="X35" i="7"/>
  <c r="X178" i="7"/>
  <c r="X618" i="7"/>
  <c r="X346" i="7"/>
  <c r="X356" i="7"/>
  <c r="X182" i="7"/>
  <c r="X363" i="7"/>
  <c r="X226" i="7"/>
  <c r="X407" i="7"/>
  <c r="X747" i="7"/>
  <c r="X414" i="7"/>
  <c r="X661" i="7"/>
  <c r="X710" i="7"/>
  <c r="X723" i="7"/>
  <c r="X376" i="7"/>
  <c r="X729" i="7"/>
  <c r="X525" i="7"/>
  <c r="X29" i="7"/>
  <c r="X702" i="7"/>
  <c r="X852" i="7"/>
  <c r="X90" i="7"/>
  <c r="X573" i="7"/>
  <c r="X707" i="7"/>
  <c r="X222" i="7"/>
  <c r="X785" i="7"/>
  <c r="X519" i="7"/>
  <c r="X494" i="7"/>
  <c r="X847" i="7"/>
  <c r="X261" i="7"/>
  <c r="X800" i="7"/>
  <c r="X588" i="7"/>
  <c r="X160" i="7"/>
  <c r="X26" i="7"/>
  <c r="X595" i="7"/>
  <c r="X822" i="7"/>
  <c r="X440" i="7"/>
  <c r="X665" i="7"/>
  <c r="X764" i="7"/>
  <c r="X777" i="7"/>
  <c r="X671" i="7"/>
  <c r="X832" i="7"/>
  <c r="X228" i="7"/>
  <c r="X634" i="7"/>
  <c r="X114" i="7"/>
  <c r="X385" i="7"/>
  <c r="X37" i="7"/>
  <c r="X279" i="7"/>
  <c r="X191" i="7"/>
  <c r="X108" i="7"/>
  <c r="X56" i="7"/>
  <c r="X311" i="7"/>
  <c r="X507" i="7"/>
  <c r="X97" i="7"/>
  <c r="X500" i="7"/>
  <c r="X319" i="7"/>
  <c r="X18" i="7"/>
  <c r="X264" i="7"/>
  <c r="X437" i="7"/>
  <c r="X510" i="7"/>
  <c r="X338" i="7"/>
  <c r="X853" i="7"/>
  <c r="X111" i="7"/>
  <c r="X333" i="7"/>
  <c r="X186" i="7"/>
  <c r="X721" i="7"/>
  <c r="X102" i="7"/>
  <c r="X713" i="7"/>
  <c r="X809" i="7"/>
  <c r="X27" i="7"/>
  <c r="X569" i="7"/>
  <c r="X446" i="7"/>
  <c r="X150" i="7"/>
  <c r="X164" i="7"/>
  <c r="X184" i="7"/>
  <c r="X865" i="7"/>
  <c r="X40" i="7"/>
  <c r="X726" i="7"/>
  <c r="X122" i="7"/>
  <c r="X817" i="7"/>
  <c r="X452" i="7"/>
  <c r="X89" i="7"/>
  <c r="X187" i="7"/>
  <c r="X593" i="7"/>
  <c r="X399" i="7"/>
  <c r="X294" i="7"/>
  <c r="X819" i="7"/>
  <c r="X499" i="7"/>
  <c r="X522" i="7"/>
  <c r="X598" i="7"/>
  <c r="X80" i="7"/>
  <c r="X509" i="7"/>
  <c r="X798" i="7"/>
  <c r="X643" i="7"/>
  <c r="X439" i="7"/>
  <c r="X749" i="7"/>
  <c r="X53" i="7"/>
  <c r="X454" i="7"/>
  <c r="X679" i="7"/>
  <c r="X631" i="7"/>
  <c r="X118" i="7"/>
  <c r="X9" i="7"/>
  <c r="X76" i="7"/>
  <c r="X398" i="7"/>
  <c r="X758" i="7"/>
  <c r="X442" i="7"/>
  <c r="X45" i="7"/>
  <c r="X81" i="7"/>
  <c r="X286" i="7"/>
  <c r="X354" i="7"/>
  <c r="X719" i="7"/>
  <c r="X449" i="7"/>
  <c r="X11" i="7"/>
  <c r="X564" i="7"/>
  <c r="X826" i="7"/>
  <c r="X825" i="7"/>
  <c r="X717" i="7"/>
  <c r="X258" i="7"/>
  <c r="X88" i="7"/>
  <c r="X870" i="7"/>
  <c r="X704" i="7"/>
  <c r="X195" i="7"/>
  <c r="X855" i="7"/>
  <c r="X133" i="7"/>
  <c r="X364" i="7"/>
  <c r="X571" i="7"/>
  <c r="X209" i="7"/>
  <c r="X628" i="7"/>
  <c r="X334" i="7"/>
  <c r="X533" i="7"/>
  <c r="X685" i="7"/>
  <c r="X568" i="7"/>
  <c r="X377" i="7"/>
  <c r="X140" i="7"/>
  <c r="X415" i="7"/>
  <c r="X386" i="7"/>
  <c r="X656" i="7"/>
  <c r="X652" i="7"/>
  <c r="X387" i="7"/>
  <c r="X287" i="7"/>
  <c r="X21" i="7"/>
  <c r="X607" i="7"/>
  <c r="X746" i="7"/>
  <c r="X836" i="7"/>
  <c r="X445" i="7"/>
  <c r="X308" i="7"/>
  <c r="X669" i="7"/>
  <c r="X340" i="7"/>
  <c r="X282" i="7"/>
  <c r="X602" i="7"/>
  <c r="X676" i="7"/>
  <c r="X695" i="7"/>
  <c r="X763" i="7"/>
  <c r="X478" i="7"/>
  <c r="X79" i="7"/>
  <c r="X168" i="7"/>
  <c r="X857" i="7"/>
  <c r="X137" i="7"/>
  <c r="X233" i="7"/>
  <c r="X249" i="7"/>
  <c r="X51" i="7"/>
  <c r="X742" i="7"/>
  <c r="X830" i="7"/>
  <c r="X181" i="7"/>
  <c r="X752" i="7"/>
  <c r="X193" i="7"/>
  <c r="X596" i="7"/>
  <c r="X801" i="7"/>
  <c r="X323" i="7"/>
  <c r="X304" i="7"/>
  <c r="X681" i="7"/>
  <c r="X546" i="7"/>
  <c r="X320" i="7"/>
  <c r="X706" i="7"/>
  <c r="X390" i="7"/>
  <c r="X372" i="7"/>
  <c r="X756" i="7"/>
  <c r="X250" i="7"/>
  <c r="X380" i="7"/>
  <c r="X856" i="7"/>
  <c r="X277" i="7"/>
  <c r="X527" i="7"/>
  <c r="X667" i="7"/>
  <c r="X606" i="7"/>
  <c r="X397" i="7"/>
  <c r="X768" i="7"/>
  <c r="X613" i="7"/>
  <c r="X660" i="7"/>
  <c r="X100" i="7"/>
  <c r="X200" i="7"/>
  <c r="X409" i="7"/>
  <c r="X461" i="7"/>
  <c r="X438" i="7"/>
  <c r="X117" i="7"/>
  <c r="X831" i="7"/>
  <c r="X658" i="7"/>
  <c r="X158" i="7"/>
  <c r="X839" i="7"/>
  <c r="X272" i="7"/>
  <c r="X496" i="7"/>
  <c r="X132" i="7"/>
  <c r="X166" i="7"/>
  <c r="X13" i="7"/>
  <c r="X714" i="7"/>
  <c r="X20" i="7"/>
  <c r="X136" i="7"/>
  <c r="X196" i="7"/>
  <c r="X172" i="7"/>
  <c r="X32" i="7"/>
  <c r="X367" i="7"/>
  <c r="X208" i="7"/>
  <c r="X129" i="7"/>
  <c r="X82" i="7"/>
  <c r="X687" i="7"/>
  <c r="X600" i="7"/>
  <c r="X103" i="7"/>
  <c r="X820" i="7"/>
  <c r="X727" i="7"/>
  <c r="X213" i="7"/>
  <c r="X690" i="7"/>
  <c r="X582" i="7"/>
  <c r="X611" i="7"/>
  <c r="X325" i="7"/>
  <c r="X621" i="7"/>
  <c r="X760" i="7"/>
  <c r="X541" i="7"/>
  <c r="X673" i="7"/>
  <c r="X105" i="7"/>
  <c r="X737" i="7"/>
  <c r="X670" i="7"/>
  <c r="X774" i="7"/>
  <c r="X816" i="7"/>
  <c r="X581" i="7"/>
  <c r="X616" i="7"/>
  <c r="X693" i="7"/>
  <c r="X298" i="7"/>
  <c r="X98" i="7"/>
  <c r="X371" i="7"/>
  <c r="X350" i="7"/>
  <c r="X629" i="7"/>
  <c r="X833" i="7"/>
  <c r="X444" i="7"/>
  <c r="X473" i="7"/>
  <c r="X74" i="7"/>
  <c r="X292" i="7"/>
  <c r="X757" i="7"/>
  <c r="X205" i="7"/>
  <c r="X101" i="7"/>
  <c r="X558" i="7"/>
  <c r="X597" i="7"/>
  <c r="X545" i="7"/>
  <c r="X436" i="7"/>
  <c r="X470" i="7"/>
  <c r="X632" i="7"/>
  <c r="X107" i="7"/>
  <c r="X243" i="7"/>
  <c r="X806" i="7"/>
  <c r="X829" i="7"/>
  <c r="X405" i="7"/>
  <c r="X44" i="7"/>
  <c r="X773" i="7"/>
  <c r="X506" i="7"/>
  <c r="X198" i="7"/>
  <c r="X207" i="7"/>
  <c r="X289" i="7"/>
  <c r="X698" i="7"/>
  <c r="X267" i="7"/>
  <c r="X731" i="7"/>
  <c r="X647" i="7"/>
  <c r="X653" i="7"/>
  <c r="X715" i="7"/>
  <c r="X110" i="7"/>
  <c r="X513" i="7"/>
  <c r="X284" i="7"/>
  <c r="X255" i="7"/>
  <c r="X619" i="7"/>
  <c r="X677" i="7"/>
  <c r="X778" i="7"/>
  <c r="X369" i="7"/>
  <c r="X716" i="7"/>
  <c r="X273" i="7"/>
  <c r="X696" i="7"/>
  <c r="X194" i="7"/>
  <c r="X531" i="7"/>
  <c r="X610" i="7"/>
  <c r="X843" i="7"/>
  <c r="X92" i="7"/>
  <c r="X827" i="7"/>
  <c r="X802" i="7"/>
  <c r="X495" i="7"/>
  <c r="X109" i="7"/>
  <c r="X780" i="7"/>
  <c r="X66" i="7"/>
  <c r="X430" i="7"/>
  <c r="X703" i="7"/>
  <c r="X83" i="7"/>
  <c r="X867" i="7"/>
  <c r="X528" i="7"/>
  <c r="X529" i="7"/>
  <c r="X173" i="7"/>
  <c r="X72" i="7"/>
  <c r="X544" i="7"/>
  <c r="X252" i="7"/>
  <c r="X203" i="7"/>
  <c r="X642" i="7"/>
  <c r="X474" i="7"/>
  <c r="X554" i="7"/>
  <c r="X68" i="7"/>
  <c r="X291" i="7"/>
  <c r="X501" i="7"/>
  <c r="X19" i="7"/>
  <c r="X740" i="7"/>
  <c r="X75" i="7"/>
  <c r="X349" i="7"/>
  <c r="X85" i="7"/>
  <c r="X637" i="7"/>
  <c r="X604" i="7"/>
  <c r="X787" i="7"/>
  <c r="X161" i="7"/>
  <c r="X770" i="7"/>
  <c r="X451" i="7"/>
  <c r="X365" i="7"/>
  <c r="X335" i="7"/>
  <c r="X664" i="7"/>
  <c r="X741" i="7"/>
  <c r="X563" i="7"/>
  <c r="X784" i="7"/>
  <c r="X84" i="7"/>
  <c r="X565" i="7"/>
  <c r="X443" i="7"/>
  <c r="X134" i="7"/>
  <c r="X448" i="7"/>
  <c r="X666" i="7"/>
  <c r="X229" i="7"/>
  <c r="X225" i="7"/>
  <c r="X464" i="7"/>
  <c r="X219" i="7"/>
  <c r="X201" i="7"/>
  <c r="X295" i="7"/>
  <c r="X197" i="7"/>
  <c r="X823" i="7"/>
  <c r="X518" i="7"/>
  <c r="X330" i="7"/>
  <c r="X403" i="7"/>
  <c r="X585" i="7"/>
  <c r="X733" i="7"/>
  <c r="X485" i="7"/>
  <c r="X484" i="7"/>
  <c r="X43" i="7"/>
  <c r="X482" i="7"/>
  <c r="X524" i="7"/>
  <c r="X54" i="7"/>
  <c r="X202" i="7"/>
  <c r="X290" i="7"/>
  <c r="X601" i="7"/>
  <c r="X293" i="7"/>
  <c r="X362" i="7"/>
  <c r="X837" i="7"/>
  <c r="X516" i="7"/>
  <c r="X682" i="7"/>
  <c r="X190" i="7"/>
  <c r="X844" i="7"/>
  <c r="X472" i="7"/>
  <c r="X701" i="7"/>
  <c r="X220" i="7"/>
  <c r="X361" i="7"/>
  <c r="X459" i="7"/>
  <c r="X864" i="7"/>
  <c r="X424" i="7"/>
  <c r="X423" i="7"/>
  <c r="X466" i="7"/>
  <c r="X609" i="7"/>
  <c r="X432" i="7"/>
  <c r="X427" i="7"/>
  <c r="X359" i="7"/>
  <c r="X256" i="7"/>
  <c r="U722" i="7"/>
  <c r="U375" i="7"/>
  <c r="U630" i="7"/>
  <c r="U263" i="7"/>
  <c r="U487" i="7"/>
  <c r="U457" i="7"/>
  <c r="U30" i="7"/>
  <c r="U515" i="7"/>
  <c r="U441" i="7"/>
  <c r="U551" i="7"/>
  <c r="U657" i="7"/>
  <c r="U469" i="7"/>
  <c r="U848" i="7"/>
  <c r="U147" i="7"/>
  <c r="U241" i="7"/>
  <c r="U25" i="7"/>
  <c r="U583" i="7"/>
  <c r="U17" i="7"/>
  <c r="U586" i="7"/>
  <c r="U154" i="7"/>
  <c r="U46" i="7"/>
  <c r="U329" i="7"/>
  <c r="U765" i="7"/>
  <c r="U143" i="7"/>
  <c r="U425" i="7"/>
  <c r="U536" i="7"/>
  <c r="U38" i="7"/>
  <c r="U576" i="7"/>
  <c r="U240" i="7"/>
  <c r="U753" i="7"/>
  <c r="U34" i="7"/>
  <c r="U663" i="7"/>
  <c r="U547" i="7"/>
  <c r="U635" i="7"/>
  <c r="U592" i="7"/>
  <c r="U539" i="7"/>
  <c r="U275" i="7"/>
  <c r="U578" i="7"/>
  <c r="U858" i="7"/>
  <c r="U548" i="7"/>
  <c r="U316" i="7"/>
  <c r="U644" i="7"/>
  <c r="U318" i="7"/>
  <c r="U532" i="7"/>
  <c r="U216" i="7"/>
  <c r="U511" i="7"/>
  <c r="U416" i="7"/>
  <c r="U577" i="7"/>
  <c r="U393" i="7"/>
  <c r="U14" i="7"/>
  <c r="U28" i="7"/>
  <c r="U725" i="7"/>
  <c r="U237" i="7"/>
  <c r="U411" i="7"/>
  <c r="U165" i="7"/>
  <c r="U60" i="7"/>
  <c r="U410" i="7"/>
  <c r="U262" i="7"/>
  <c r="U230" i="7"/>
  <c r="U549" i="7"/>
  <c r="U236" i="7"/>
  <c r="U244" i="7"/>
  <c r="U512" i="7"/>
  <c r="U344" i="7"/>
  <c r="U113" i="7"/>
  <c r="U139" i="7"/>
  <c r="U648" i="7"/>
  <c r="U735" i="7"/>
  <c r="U851" i="7"/>
  <c r="U680" i="7"/>
  <c r="U285" i="7"/>
  <c r="U61" i="7"/>
  <c r="U508" i="7"/>
  <c r="U479" i="7"/>
  <c r="U771" i="7"/>
  <c r="U868" i="7"/>
  <c r="U341" i="7"/>
  <c r="U388" i="7"/>
  <c r="U627" i="7"/>
  <c r="U705" i="7"/>
  <c r="U125" i="7"/>
  <c r="U64" i="7"/>
  <c r="U57" i="7"/>
  <c r="U854" i="7"/>
  <c r="U794" i="7"/>
  <c r="U417" i="7"/>
  <c r="U435" i="7"/>
  <c r="U754" i="7"/>
  <c r="U313" i="7"/>
  <c r="U135" i="7"/>
  <c r="U268" i="7"/>
  <c r="U331" i="7"/>
  <c r="U151" i="7"/>
  <c r="U805" i="7"/>
  <c r="U730" i="7"/>
  <c r="U312" i="7"/>
  <c r="U523" i="7"/>
  <c r="U759" i="7"/>
  <c r="U672" i="7"/>
  <c r="U605" i="7"/>
  <c r="U366" i="7"/>
  <c r="U575" i="7"/>
  <c r="U12" i="7"/>
  <c r="U144" i="7"/>
  <c r="U159" i="7"/>
  <c r="U790" i="7"/>
  <c r="U128" i="7"/>
  <c r="U401" i="7"/>
  <c r="U127" i="7"/>
  <c r="U73" i="7"/>
  <c r="U374" i="7"/>
  <c r="U808" i="7"/>
  <c r="U297" i="7"/>
  <c r="U404" i="7"/>
  <c r="U775" i="7"/>
  <c r="U813" i="7"/>
  <c r="U762" i="7"/>
  <c r="U795" i="7"/>
  <c r="U812" i="7"/>
  <c r="U580" i="7"/>
  <c r="U497" i="7"/>
  <c r="U502" i="7"/>
  <c r="U748" i="7"/>
  <c r="U22" i="7"/>
  <c r="U791" i="7"/>
  <c r="U345" i="7"/>
  <c r="U540" i="7"/>
  <c r="U370" i="7"/>
  <c r="U622" i="7"/>
  <c r="U124" i="7"/>
  <c r="U422" i="7"/>
  <c r="U426" i="7"/>
  <c r="U141" i="7"/>
  <c r="U302" i="7"/>
  <c r="U584" i="7"/>
  <c r="U555" i="7"/>
  <c r="U767" i="7"/>
  <c r="U210" i="7"/>
  <c r="U342" i="7"/>
  <c r="U383" i="7"/>
  <c r="U559" i="7"/>
  <c r="U400" i="7"/>
  <c r="U309" i="7"/>
  <c r="U169" i="7"/>
  <c r="U846" i="7"/>
  <c r="U389" i="7"/>
  <c r="U779" i="7"/>
  <c r="U433" i="7"/>
  <c r="U180" i="7"/>
  <c r="U526" i="7"/>
  <c r="U688" i="7"/>
  <c r="U148" i="7"/>
  <c r="U174" i="7"/>
  <c r="U42" i="7"/>
  <c r="U310" i="7"/>
  <c r="U419" i="7"/>
  <c r="U115" i="7"/>
  <c r="U796" i="7"/>
  <c r="U86" i="7"/>
  <c r="U761" i="7"/>
  <c r="U587" i="7"/>
  <c r="U24" i="7"/>
  <c r="U58" i="7"/>
  <c r="U162" i="7"/>
  <c r="U381" i="7"/>
  <c r="U322" i="7"/>
  <c r="U724" i="7"/>
  <c r="U504" i="7"/>
  <c r="U491" i="7"/>
  <c r="U814" i="7"/>
  <c r="U462" i="7"/>
  <c r="U623" i="7"/>
  <c r="U183" i="7"/>
  <c r="U146" i="7"/>
  <c r="U434" i="7"/>
  <c r="U391" i="7"/>
  <c r="U87" i="7"/>
  <c r="U351" i="7"/>
  <c r="U560" i="7"/>
  <c r="U8" i="7"/>
  <c r="U465" i="7"/>
  <c r="U744" i="7"/>
  <c r="U332" i="7"/>
  <c r="U138" i="7"/>
  <c r="U736" i="7"/>
  <c r="U402" i="7"/>
  <c r="U718" i="7"/>
  <c r="U70" i="7"/>
  <c r="U428" i="7"/>
  <c r="U328" i="7"/>
  <c r="U303" i="7"/>
  <c r="U686" i="7"/>
  <c r="U708" i="7"/>
  <c r="U782" i="7"/>
  <c r="U755" i="7"/>
  <c r="U615" i="7"/>
  <c r="U574" i="7"/>
  <c r="U678" i="7"/>
  <c r="U734" i="7"/>
  <c r="U167" i="7"/>
  <c r="U280" i="7"/>
  <c r="U799" i="7"/>
  <c r="U699" i="7"/>
  <c r="U152" i="7"/>
  <c r="U67" i="7"/>
  <c r="U824" i="7"/>
  <c r="U278" i="7"/>
  <c r="U649" i="7"/>
  <c r="U514" i="7"/>
  <c r="U212" i="7"/>
  <c r="U242" i="7"/>
  <c r="U772" i="7"/>
  <c r="U567" i="7"/>
  <c r="U640" i="7"/>
  <c r="U384" i="7"/>
  <c r="U579" i="7"/>
  <c r="U834" i="7"/>
  <c r="U15" i="7"/>
  <c r="U668" i="7"/>
  <c r="U418" i="7"/>
  <c r="U789" i="7"/>
  <c r="U503" i="7"/>
  <c r="U521" i="7"/>
  <c r="U828" i="7"/>
  <c r="U343" i="7"/>
  <c r="U863" i="7"/>
  <c r="U245" i="7"/>
  <c r="U561" i="7"/>
  <c r="U283" i="7"/>
  <c r="U477" i="7"/>
  <c r="U259" i="7"/>
  <c r="U542" i="7"/>
  <c r="U838" i="7"/>
  <c r="U807" i="7"/>
  <c r="U552" i="7"/>
  <c r="U614" i="7"/>
  <c r="U550" i="7"/>
  <c r="U149" i="7"/>
  <c r="U645" i="7"/>
  <c r="U570" i="7"/>
  <c r="U306" i="7"/>
  <c r="U179" i="7"/>
  <c r="U429" i="7"/>
  <c r="U35" i="7"/>
  <c r="U178" i="7"/>
  <c r="U618" i="7"/>
  <c r="U346" i="7"/>
  <c r="U356" i="7"/>
  <c r="U182" i="7"/>
  <c r="U363" i="7"/>
  <c r="U226" i="7"/>
  <c r="U407" i="7"/>
  <c r="U747" i="7"/>
  <c r="U414" i="7"/>
  <c r="U661" i="7"/>
  <c r="U710" i="7"/>
  <c r="U723" i="7"/>
  <c r="U376" i="7"/>
  <c r="U729" i="7"/>
  <c r="U525" i="7"/>
  <c r="U29" i="7"/>
  <c r="U702" i="7"/>
  <c r="U852" i="7"/>
  <c r="U90" i="7"/>
  <c r="U573" i="7"/>
  <c r="U707" i="7"/>
  <c r="U222" i="7"/>
  <c r="U785" i="7"/>
  <c r="U519" i="7"/>
  <c r="U494" i="7"/>
  <c r="U847" i="7"/>
  <c r="U261" i="7"/>
  <c r="U800" i="7"/>
  <c r="U588" i="7"/>
  <c r="U160" i="7"/>
  <c r="U26" i="7"/>
  <c r="U595" i="7"/>
  <c r="U822" i="7"/>
  <c r="U440" i="7"/>
  <c r="U665" i="7"/>
  <c r="U764" i="7"/>
  <c r="U777" i="7"/>
  <c r="U671" i="7"/>
  <c r="U832" i="7"/>
  <c r="U228" i="7"/>
  <c r="U634" i="7"/>
  <c r="U114" i="7"/>
  <c r="U385" i="7"/>
  <c r="U37" i="7"/>
  <c r="U279" i="7"/>
  <c r="U191" i="7"/>
  <c r="U108" i="7"/>
  <c r="U56" i="7"/>
  <c r="U311" i="7"/>
  <c r="U507" i="7"/>
  <c r="U97" i="7"/>
  <c r="U500" i="7"/>
  <c r="U319" i="7"/>
  <c r="U18" i="7"/>
  <c r="U264" i="7"/>
  <c r="U437" i="7"/>
  <c r="U510" i="7"/>
  <c r="U338" i="7"/>
  <c r="U853" i="7"/>
  <c r="U111" i="7"/>
  <c r="U333" i="7"/>
  <c r="U186" i="7"/>
  <c r="U721" i="7"/>
  <c r="U102" i="7"/>
  <c r="U713" i="7"/>
  <c r="U809" i="7"/>
  <c r="U27" i="7"/>
  <c r="U569" i="7"/>
  <c r="U446" i="7"/>
  <c r="U150" i="7"/>
  <c r="U164" i="7"/>
  <c r="U184" i="7"/>
  <c r="U865" i="7"/>
  <c r="U40" i="7"/>
  <c r="U726" i="7"/>
  <c r="U122" i="7"/>
  <c r="U817" i="7"/>
  <c r="U452" i="7"/>
  <c r="U89" i="7"/>
  <c r="U187" i="7"/>
  <c r="U593" i="7"/>
  <c r="U399" i="7"/>
  <c r="U294" i="7"/>
  <c r="U819" i="7"/>
  <c r="U499" i="7"/>
  <c r="U522" i="7"/>
  <c r="U598" i="7"/>
  <c r="U80" i="7"/>
  <c r="U509" i="7"/>
  <c r="U798" i="7"/>
  <c r="U643" i="7"/>
  <c r="U439" i="7"/>
  <c r="U749" i="7"/>
  <c r="U53" i="7"/>
  <c r="U454" i="7"/>
  <c r="U679" i="7"/>
  <c r="U631" i="7"/>
  <c r="U118" i="7"/>
  <c r="U9" i="7"/>
  <c r="U76" i="7"/>
  <c r="U398" i="7"/>
  <c r="U758" i="7"/>
  <c r="U442" i="7"/>
  <c r="U45" i="7"/>
  <c r="U81" i="7"/>
  <c r="U286" i="7"/>
  <c r="U354" i="7"/>
  <c r="U719" i="7"/>
  <c r="U449" i="7"/>
  <c r="U11" i="7"/>
  <c r="U564" i="7"/>
  <c r="U826" i="7"/>
  <c r="U825" i="7"/>
  <c r="U717" i="7"/>
  <c r="U258" i="7"/>
  <c r="U88" i="7"/>
  <c r="U870" i="7"/>
  <c r="U704" i="7"/>
  <c r="U195" i="7"/>
  <c r="U855" i="7"/>
  <c r="U133" i="7"/>
  <c r="U364" i="7"/>
  <c r="U571" i="7"/>
  <c r="U209" i="7"/>
  <c r="U628" i="7"/>
  <c r="U334" i="7"/>
  <c r="U533" i="7"/>
  <c r="U685" i="7"/>
  <c r="U568" i="7"/>
  <c r="U377" i="7"/>
  <c r="U140" i="7"/>
  <c r="U415" i="7"/>
  <c r="U386" i="7"/>
  <c r="U656" i="7"/>
  <c r="U652" i="7"/>
  <c r="U387" i="7"/>
  <c r="U287" i="7"/>
  <c r="U21" i="7"/>
  <c r="U607" i="7"/>
  <c r="U746" i="7"/>
  <c r="U836" i="7"/>
  <c r="U445" i="7"/>
  <c r="U308" i="7"/>
  <c r="U669" i="7"/>
  <c r="U340" i="7"/>
  <c r="U282" i="7"/>
  <c r="U602" i="7"/>
  <c r="U676" i="7"/>
  <c r="U695" i="7"/>
  <c r="U763" i="7"/>
  <c r="U478" i="7"/>
  <c r="U79" i="7"/>
  <c r="U168" i="7"/>
  <c r="U857" i="7"/>
  <c r="U137" i="7"/>
  <c r="U233" i="7"/>
  <c r="U249" i="7"/>
  <c r="U51" i="7"/>
  <c r="U742" i="7"/>
  <c r="U830" i="7"/>
  <c r="U181" i="7"/>
  <c r="U752" i="7"/>
  <c r="U193" i="7"/>
  <c r="U596" i="7"/>
  <c r="U801" i="7"/>
  <c r="U323" i="7"/>
  <c r="U304" i="7"/>
  <c r="U681" i="7"/>
  <c r="U546" i="7"/>
  <c r="U320" i="7"/>
  <c r="U706" i="7"/>
  <c r="U390" i="7"/>
  <c r="U372" i="7"/>
  <c r="U756" i="7"/>
  <c r="U250" i="7"/>
  <c r="U380" i="7"/>
  <c r="U856" i="7"/>
  <c r="U277" i="7"/>
  <c r="U527" i="7"/>
  <c r="U667" i="7"/>
  <c r="U606" i="7"/>
  <c r="U397" i="7"/>
  <c r="U768" i="7"/>
  <c r="U613" i="7"/>
  <c r="U660" i="7"/>
  <c r="U100" i="7"/>
  <c r="U200" i="7"/>
  <c r="U409" i="7"/>
  <c r="U461" i="7"/>
  <c r="U438" i="7"/>
  <c r="U117" i="7"/>
  <c r="U831" i="7"/>
  <c r="U658" i="7"/>
  <c r="U158" i="7"/>
  <c r="U839" i="7"/>
  <c r="U272" i="7"/>
  <c r="U496" i="7"/>
  <c r="U132" i="7"/>
  <c r="U166" i="7"/>
  <c r="U13" i="7"/>
  <c r="U714" i="7"/>
  <c r="U20" i="7"/>
  <c r="U136" i="7"/>
  <c r="U196" i="7"/>
  <c r="U172" i="7"/>
  <c r="U32" i="7"/>
  <c r="U367" i="7"/>
  <c r="U208" i="7"/>
  <c r="U129" i="7"/>
  <c r="U82" i="7"/>
  <c r="U687" i="7"/>
  <c r="U600" i="7"/>
  <c r="U103" i="7"/>
  <c r="U820" i="7"/>
  <c r="U727" i="7"/>
  <c r="U213" i="7"/>
  <c r="U690" i="7"/>
  <c r="U582" i="7"/>
  <c r="U611" i="7"/>
  <c r="U325" i="7"/>
  <c r="U621" i="7"/>
  <c r="U760" i="7"/>
  <c r="U541" i="7"/>
  <c r="U673" i="7"/>
  <c r="U105" i="7"/>
  <c r="U737" i="7"/>
  <c r="U670" i="7"/>
  <c r="U774" i="7"/>
  <c r="U816" i="7"/>
  <c r="U581" i="7"/>
  <c r="U616" i="7"/>
  <c r="U693" i="7"/>
  <c r="U298" i="7"/>
  <c r="U98" i="7"/>
  <c r="U371" i="7"/>
  <c r="U350" i="7"/>
  <c r="U629" i="7"/>
  <c r="U833" i="7"/>
  <c r="U444" i="7"/>
  <c r="U473" i="7"/>
  <c r="U74" i="7"/>
  <c r="U292" i="7"/>
  <c r="U757" i="7"/>
  <c r="U205" i="7"/>
  <c r="U101" i="7"/>
  <c r="U558" i="7"/>
  <c r="U597" i="7"/>
  <c r="U545" i="7"/>
  <c r="U436" i="7"/>
  <c r="U470" i="7"/>
  <c r="U632" i="7"/>
  <c r="U107" i="7"/>
  <c r="U243" i="7"/>
  <c r="U806" i="7"/>
  <c r="U829" i="7"/>
  <c r="U405" i="7"/>
  <c r="U44" i="7"/>
  <c r="U773" i="7"/>
  <c r="U506" i="7"/>
  <c r="U198" i="7"/>
  <c r="U207" i="7"/>
  <c r="U289" i="7"/>
  <c r="U698" i="7"/>
  <c r="U267" i="7"/>
  <c r="U731" i="7"/>
  <c r="U647" i="7"/>
  <c r="U653" i="7"/>
  <c r="U715" i="7"/>
  <c r="U110" i="7"/>
  <c r="U513" i="7"/>
  <c r="U284" i="7"/>
  <c r="U255" i="7"/>
  <c r="U619" i="7"/>
  <c r="U677" i="7"/>
  <c r="U778" i="7"/>
  <c r="U369" i="7"/>
  <c r="U716" i="7"/>
  <c r="U273" i="7"/>
  <c r="U696" i="7"/>
  <c r="U194" i="7"/>
  <c r="U531" i="7"/>
  <c r="U610" i="7"/>
  <c r="U843" i="7"/>
  <c r="U92" i="7"/>
  <c r="U827" i="7"/>
  <c r="U802" i="7"/>
  <c r="U495" i="7"/>
  <c r="U109" i="7"/>
  <c r="U780" i="7"/>
  <c r="U66" i="7"/>
  <c r="U430" i="7"/>
  <c r="U703" i="7"/>
  <c r="U83" i="7"/>
  <c r="U867" i="7"/>
  <c r="U528" i="7"/>
  <c r="U529" i="7"/>
  <c r="U173" i="7"/>
  <c r="U72" i="7"/>
  <c r="U544" i="7"/>
  <c r="U252" i="7"/>
  <c r="U203" i="7"/>
  <c r="U642" i="7"/>
  <c r="U474" i="7"/>
  <c r="U554" i="7"/>
  <c r="U68" i="7"/>
  <c r="U291" i="7"/>
  <c r="U501" i="7"/>
  <c r="U19" i="7"/>
  <c r="U740" i="7"/>
  <c r="U75" i="7"/>
  <c r="U349" i="7"/>
  <c r="U85" i="7"/>
  <c r="U637" i="7"/>
  <c r="U604" i="7"/>
  <c r="U787" i="7"/>
  <c r="U161" i="7"/>
  <c r="U770" i="7"/>
  <c r="U451" i="7"/>
  <c r="U365" i="7"/>
  <c r="U335" i="7"/>
  <c r="U664" i="7"/>
  <c r="U741" i="7"/>
  <c r="U563" i="7"/>
  <c r="U784" i="7"/>
  <c r="U84" i="7"/>
  <c r="U565" i="7"/>
  <c r="U443" i="7"/>
  <c r="U134" i="7"/>
  <c r="U448" i="7"/>
  <c r="U666" i="7"/>
  <c r="U229" i="7"/>
  <c r="U225" i="7"/>
  <c r="U464" i="7"/>
  <c r="U219" i="7"/>
  <c r="U201" i="7"/>
  <c r="U295" i="7"/>
  <c r="U197" i="7"/>
  <c r="U823" i="7"/>
  <c r="U518" i="7"/>
  <c r="U330" i="7"/>
  <c r="U403" i="7"/>
  <c r="U585" i="7"/>
  <c r="U733" i="7"/>
  <c r="U485" i="7"/>
  <c r="U484" i="7"/>
  <c r="U43" i="7"/>
  <c r="U482" i="7"/>
  <c r="U524" i="7"/>
  <c r="U54" i="7"/>
  <c r="U202" i="7"/>
  <c r="U290" i="7"/>
  <c r="U601" i="7"/>
  <c r="U293" i="7"/>
  <c r="U362" i="7"/>
  <c r="U837" i="7"/>
  <c r="U516" i="7"/>
  <c r="U682" i="7"/>
  <c r="U190" i="7"/>
  <c r="U844" i="7"/>
  <c r="U472" i="7"/>
  <c r="U701" i="7"/>
  <c r="U220" i="7"/>
  <c r="U361" i="7"/>
  <c r="U459" i="7"/>
  <c r="U864" i="7"/>
  <c r="U424" i="7"/>
  <c r="U423" i="7"/>
  <c r="U466" i="7"/>
  <c r="U609" i="7"/>
  <c r="U432" i="7"/>
  <c r="U427" i="7"/>
  <c r="U359" i="7"/>
  <c r="U256" i="7"/>
  <c r="R722" i="7"/>
  <c r="R375" i="7"/>
  <c r="R630" i="7"/>
  <c r="R263" i="7"/>
  <c r="R487" i="7"/>
  <c r="R457" i="7"/>
  <c r="R30" i="7"/>
  <c r="R515" i="7"/>
  <c r="R441" i="7"/>
  <c r="R551" i="7"/>
  <c r="R657" i="7"/>
  <c r="R469" i="7"/>
  <c r="R848" i="7"/>
  <c r="R147" i="7"/>
  <c r="R241" i="7"/>
  <c r="R25" i="7"/>
  <c r="R583" i="7"/>
  <c r="R17" i="7"/>
  <c r="R586" i="7"/>
  <c r="R154" i="7"/>
  <c r="R46" i="7"/>
  <c r="R329" i="7"/>
  <c r="R765" i="7"/>
  <c r="R143" i="7"/>
  <c r="R425" i="7"/>
  <c r="R536" i="7"/>
  <c r="R38" i="7"/>
  <c r="R576" i="7"/>
  <c r="R240" i="7"/>
  <c r="R753" i="7"/>
  <c r="R34" i="7"/>
  <c r="R663" i="7"/>
  <c r="R547" i="7"/>
  <c r="R635" i="7"/>
  <c r="R592" i="7"/>
  <c r="R539" i="7"/>
  <c r="R275" i="7"/>
  <c r="R578" i="7"/>
  <c r="R858" i="7"/>
  <c r="R548" i="7"/>
  <c r="R316" i="7"/>
  <c r="R644" i="7"/>
  <c r="R318" i="7"/>
  <c r="R532" i="7"/>
  <c r="R216" i="7"/>
  <c r="R511" i="7"/>
  <c r="R416" i="7"/>
  <c r="R577" i="7"/>
  <c r="R393" i="7"/>
  <c r="R14" i="7"/>
  <c r="R28" i="7"/>
  <c r="R725" i="7"/>
  <c r="R237" i="7"/>
  <c r="R411" i="7"/>
  <c r="R165" i="7"/>
  <c r="R60" i="7"/>
  <c r="R410" i="7"/>
  <c r="R262" i="7"/>
  <c r="R230" i="7"/>
  <c r="R549" i="7"/>
  <c r="R236" i="7"/>
  <c r="R244" i="7"/>
  <c r="R512" i="7"/>
  <c r="R344" i="7"/>
  <c r="R113" i="7"/>
  <c r="R139" i="7"/>
  <c r="R648" i="7"/>
  <c r="R735" i="7"/>
  <c r="R851" i="7"/>
  <c r="R680" i="7"/>
  <c r="R285" i="7"/>
  <c r="R61" i="7"/>
  <c r="R508" i="7"/>
  <c r="R479" i="7"/>
  <c r="R771" i="7"/>
  <c r="R868" i="7"/>
  <c r="R341" i="7"/>
  <c r="R388" i="7"/>
  <c r="R627" i="7"/>
  <c r="R705" i="7"/>
  <c r="R125" i="7"/>
  <c r="R64" i="7"/>
  <c r="R57" i="7"/>
  <c r="R854" i="7"/>
  <c r="R794" i="7"/>
  <c r="R417" i="7"/>
  <c r="R435" i="7"/>
  <c r="R754" i="7"/>
  <c r="R313" i="7"/>
  <c r="R135" i="7"/>
  <c r="R268" i="7"/>
  <c r="R331" i="7"/>
  <c r="R151" i="7"/>
  <c r="R805" i="7"/>
  <c r="R730" i="7"/>
  <c r="R312" i="7"/>
  <c r="R523" i="7"/>
  <c r="R759" i="7"/>
  <c r="R672" i="7"/>
  <c r="R605" i="7"/>
  <c r="R366" i="7"/>
  <c r="R575" i="7"/>
  <c r="R12" i="7"/>
  <c r="R144" i="7"/>
  <c r="R159" i="7"/>
  <c r="R790" i="7"/>
  <c r="R128" i="7"/>
  <c r="R401" i="7"/>
  <c r="R127" i="7"/>
  <c r="R73" i="7"/>
  <c r="R374" i="7"/>
  <c r="R808" i="7"/>
  <c r="R297" i="7"/>
  <c r="R404" i="7"/>
  <c r="R775" i="7"/>
  <c r="R813" i="7"/>
  <c r="R762" i="7"/>
  <c r="R795" i="7"/>
  <c r="R812" i="7"/>
  <c r="R580" i="7"/>
  <c r="R497" i="7"/>
  <c r="R502" i="7"/>
  <c r="R748" i="7"/>
  <c r="R22" i="7"/>
  <c r="R791" i="7"/>
  <c r="R345" i="7"/>
  <c r="R540" i="7"/>
  <c r="R370" i="7"/>
  <c r="R622" i="7"/>
  <c r="R124" i="7"/>
  <c r="R422" i="7"/>
  <c r="R426" i="7"/>
  <c r="R141" i="7"/>
  <c r="R302" i="7"/>
  <c r="R584" i="7"/>
  <c r="R555" i="7"/>
  <c r="R767" i="7"/>
  <c r="R210" i="7"/>
  <c r="R342" i="7"/>
  <c r="R383" i="7"/>
  <c r="R559" i="7"/>
  <c r="R400" i="7"/>
  <c r="R309" i="7"/>
  <c r="R169" i="7"/>
  <c r="R846" i="7"/>
  <c r="R389" i="7"/>
  <c r="R779" i="7"/>
  <c r="R433" i="7"/>
  <c r="R180" i="7"/>
  <c r="R526" i="7"/>
  <c r="R688" i="7"/>
  <c r="R148" i="7"/>
  <c r="R174" i="7"/>
  <c r="R42" i="7"/>
  <c r="R310" i="7"/>
  <c r="R419" i="7"/>
  <c r="R115" i="7"/>
  <c r="R796" i="7"/>
  <c r="R86" i="7"/>
  <c r="R761" i="7"/>
  <c r="R587" i="7"/>
  <c r="R24" i="7"/>
  <c r="R58" i="7"/>
  <c r="R162" i="7"/>
  <c r="R381" i="7"/>
  <c r="R322" i="7"/>
  <c r="R724" i="7"/>
  <c r="R504" i="7"/>
  <c r="R491" i="7"/>
  <c r="R814" i="7"/>
  <c r="R462" i="7"/>
  <c r="R623" i="7"/>
  <c r="R183" i="7"/>
  <c r="R146" i="7"/>
  <c r="R434" i="7"/>
  <c r="R391" i="7"/>
  <c r="R87" i="7"/>
  <c r="R351" i="7"/>
  <c r="R560" i="7"/>
  <c r="R8" i="7"/>
  <c r="R465" i="7"/>
  <c r="R744" i="7"/>
  <c r="R332" i="7"/>
  <c r="R138" i="7"/>
  <c r="R736" i="7"/>
  <c r="R402" i="7"/>
  <c r="R718" i="7"/>
  <c r="R70" i="7"/>
  <c r="R428" i="7"/>
  <c r="R328" i="7"/>
  <c r="R303" i="7"/>
  <c r="R686" i="7"/>
  <c r="R708" i="7"/>
  <c r="R782" i="7"/>
  <c r="R755" i="7"/>
  <c r="R615" i="7"/>
  <c r="R574" i="7"/>
  <c r="R678" i="7"/>
  <c r="R734" i="7"/>
  <c r="R167" i="7"/>
  <c r="R280" i="7"/>
  <c r="R799" i="7"/>
  <c r="R699" i="7"/>
  <c r="R152" i="7"/>
  <c r="R67" i="7"/>
  <c r="R824" i="7"/>
  <c r="R278" i="7"/>
  <c r="R649" i="7"/>
  <c r="R514" i="7"/>
  <c r="R212" i="7"/>
  <c r="R242" i="7"/>
  <c r="R772" i="7"/>
  <c r="R567" i="7"/>
  <c r="R640" i="7"/>
  <c r="R384" i="7"/>
  <c r="R579" i="7"/>
  <c r="R834" i="7"/>
  <c r="R15" i="7"/>
  <c r="R668" i="7"/>
  <c r="R418" i="7"/>
  <c r="R789" i="7"/>
  <c r="R503" i="7"/>
  <c r="R521" i="7"/>
  <c r="R828" i="7"/>
  <c r="R343" i="7"/>
  <c r="R863" i="7"/>
  <c r="R245" i="7"/>
  <c r="R561" i="7"/>
  <c r="R283" i="7"/>
  <c r="R477" i="7"/>
  <c r="R259" i="7"/>
  <c r="R542" i="7"/>
  <c r="R838" i="7"/>
  <c r="R807" i="7"/>
  <c r="R552" i="7"/>
  <c r="R614" i="7"/>
  <c r="R550" i="7"/>
  <c r="R149" i="7"/>
  <c r="R645" i="7"/>
  <c r="R570" i="7"/>
  <c r="R306" i="7"/>
  <c r="R179" i="7"/>
  <c r="R429" i="7"/>
  <c r="R35" i="7"/>
  <c r="R178" i="7"/>
  <c r="R618" i="7"/>
  <c r="R346" i="7"/>
  <c r="R356" i="7"/>
  <c r="R182" i="7"/>
  <c r="R363" i="7"/>
  <c r="R226" i="7"/>
  <c r="R407" i="7"/>
  <c r="R747" i="7"/>
  <c r="R414" i="7"/>
  <c r="R661" i="7"/>
  <c r="R710" i="7"/>
  <c r="R723" i="7"/>
  <c r="R376" i="7"/>
  <c r="R729" i="7"/>
  <c r="R525" i="7"/>
  <c r="R29" i="7"/>
  <c r="R702" i="7"/>
  <c r="R852" i="7"/>
  <c r="R90" i="7"/>
  <c r="R573" i="7"/>
  <c r="R707" i="7"/>
  <c r="R222" i="7"/>
  <c r="R785" i="7"/>
  <c r="R519" i="7"/>
  <c r="R494" i="7"/>
  <c r="R847" i="7"/>
  <c r="R261" i="7"/>
  <c r="R800" i="7"/>
  <c r="R588" i="7"/>
  <c r="R160" i="7"/>
  <c r="R26" i="7"/>
  <c r="R595" i="7"/>
  <c r="R822" i="7"/>
  <c r="R440" i="7"/>
  <c r="R665" i="7"/>
  <c r="R764" i="7"/>
  <c r="R777" i="7"/>
  <c r="R671" i="7"/>
  <c r="R832" i="7"/>
  <c r="R228" i="7"/>
  <c r="R634" i="7"/>
  <c r="R114" i="7"/>
  <c r="R385" i="7"/>
  <c r="R37" i="7"/>
  <c r="R279" i="7"/>
  <c r="R191" i="7"/>
  <c r="R108" i="7"/>
  <c r="R56" i="7"/>
  <c r="R311" i="7"/>
  <c r="R507" i="7"/>
  <c r="R97" i="7"/>
  <c r="R500" i="7"/>
  <c r="R319" i="7"/>
  <c r="R18" i="7"/>
  <c r="R264" i="7"/>
  <c r="R437" i="7"/>
  <c r="R510" i="7"/>
  <c r="R338" i="7"/>
  <c r="R853" i="7"/>
  <c r="R111" i="7"/>
  <c r="R333" i="7"/>
  <c r="R186" i="7"/>
  <c r="R721" i="7"/>
  <c r="R102" i="7"/>
  <c r="R713" i="7"/>
  <c r="R809" i="7"/>
  <c r="R27" i="7"/>
  <c r="R569" i="7"/>
  <c r="R446" i="7"/>
  <c r="R150" i="7"/>
  <c r="R164" i="7"/>
  <c r="R184" i="7"/>
  <c r="R865" i="7"/>
  <c r="R40" i="7"/>
  <c r="R726" i="7"/>
  <c r="R122" i="7"/>
  <c r="R817" i="7"/>
  <c r="R452" i="7"/>
  <c r="R89" i="7"/>
  <c r="R187" i="7"/>
  <c r="R593" i="7"/>
  <c r="R399" i="7"/>
  <c r="R294" i="7"/>
  <c r="R819" i="7"/>
  <c r="R499" i="7"/>
  <c r="R522" i="7"/>
  <c r="R598" i="7"/>
  <c r="R80" i="7"/>
  <c r="R509" i="7"/>
  <c r="R798" i="7"/>
  <c r="R643" i="7"/>
  <c r="R439" i="7"/>
  <c r="R749" i="7"/>
  <c r="R53" i="7"/>
  <c r="R454" i="7"/>
  <c r="R679" i="7"/>
  <c r="R631" i="7"/>
  <c r="R118" i="7"/>
  <c r="R9" i="7"/>
  <c r="R76" i="7"/>
  <c r="R398" i="7"/>
  <c r="R758" i="7"/>
  <c r="R442" i="7"/>
  <c r="R45" i="7"/>
  <c r="R81" i="7"/>
  <c r="R286" i="7"/>
  <c r="R354" i="7"/>
  <c r="R719" i="7"/>
  <c r="R449" i="7"/>
  <c r="R11" i="7"/>
  <c r="R564" i="7"/>
  <c r="R826" i="7"/>
  <c r="R825" i="7"/>
  <c r="R717" i="7"/>
  <c r="R258" i="7"/>
  <c r="R88" i="7"/>
  <c r="R870" i="7"/>
  <c r="R704" i="7"/>
  <c r="R195" i="7"/>
  <c r="R855" i="7"/>
  <c r="R133" i="7"/>
  <c r="R364" i="7"/>
  <c r="R571" i="7"/>
  <c r="R209" i="7"/>
  <c r="R628" i="7"/>
  <c r="R334" i="7"/>
  <c r="R533" i="7"/>
  <c r="R685" i="7"/>
  <c r="R568" i="7"/>
  <c r="R377" i="7"/>
  <c r="R140" i="7"/>
  <c r="R415" i="7"/>
  <c r="R386" i="7"/>
  <c r="R656" i="7"/>
  <c r="R652" i="7"/>
  <c r="R387" i="7"/>
  <c r="R287" i="7"/>
  <c r="R21" i="7"/>
  <c r="R607" i="7"/>
  <c r="R746" i="7"/>
  <c r="R836" i="7"/>
  <c r="R445" i="7"/>
  <c r="R308" i="7"/>
  <c r="R669" i="7"/>
  <c r="R340" i="7"/>
  <c r="R282" i="7"/>
  <c r="R602" i="7"/>
  <c r="R676" i="7"/>
  <c r="R695" i="7"/>
  <c r="R763" i="7"/>
  <c r="R478" i="7"/>
  <c r="R79" i="7"/>
  <c r="R168" i="7"/>
  <c r="R857" i="7"/>
  <c r="R137" i="7"/>
  <c r="R233" i="7"/>
  <c r="R249" i="7"/>
  <c r="R51" i="7"/>
  <c r="R742" i="7"/>
  <c r="R830" i="7"/>
  <c r="R181" i="7"/>
  <c r="R752" i="7"/>
  <c r="R193" i="7"/>
  <c r="R596" i="7"/>
  <c r="R801" i="7"/>
  <c r="R323" i="7"/>
  <c r="R304" i="7"/>
  <c r="R681" i="7"/>
  <c r="R546" i="7"/>
  <c r="R320" i="7"/>
  <c r="R706" i="7"/>
  <c r="R390" i="7"/>
  <c r="R372" i="7"/>
  <c r="R756" i="7"/>
  <c r="R250" i="7"/>
  <c r="R380" i="7"/>
  <c r="R856" i="7"/>
  <c r="R277" i="7"/>
  <c r="R527" i="7"/>
  <c r="R667" i="7"/>
  <c r="R606" i="7"/>
  <c r="R397" i="7"/>
  <c r="R768" i="7"/>
  <c r="R613" i="7"/>
  <c r="R660" i="7"/>
  <c r="R100" i="7"/>
  <c r="R200" i="7"/>
  <c r="R409" i="7"/>
  <c r="R461" i="7"/>
  <c r="R438" i="7"/>
  <c r="R117" i="7"/>
  <c r="R831" i="7"/>
  <c r="R658" i="7"/>
  <c r="R158" i="7"/>
  <c r="R839" i="7"/>
  <c r="R272" i="7"/>
  <c r="R496" i="7"/>
  <c r="R132" i="7"/>
  <c r="R166" i="7"/>
  <c r="R13" i="7"/>
  <c r="R714" i="7"/>
  <c r="R20" i="7"/>
  <c r="R136" i="7"/>
  <c r="R196" i="7"/>
  <c r="R172" i="7"/>
  <c r="R32" i="7"/>
  <c r="R367" i="7"/>
  <c r="R208" i="7"/>
  <c r="R129" i="7"/>
  <c r="R82" i="7"/>
  <c r="R687" i="7"/>
  <c r="R600" i="7"/>
  <c r="R103" i="7"/>
  <c r="R820" i="7"/>
  <c r="R727" i="7"/>
  <c r="R213" i="7"/>
  <c r="R690" i="7"/>
  <c r="R582" i="7"/>
  <c r="R611" i="7"/>
  <c r="R325" i="7"/>
  <c r="R621" i="7"/>
  <c r="R760" i="7"/>
  <c r="R541" i="7"/>
  <c r="R673" i="7"/>
  <c r="R105" i="7"/>
  <c r="R737" i="7"/>
  <c r="R670" i="7"/>
  <c r="R774" i="7"/>
  <c r="R816" i="7"/>
  <c r="R581" i="7"/>
  <c r="R616" i="7"/>
  <c r="R693" i="7"/>
  <c r="R298" i="7"/>
  <c r="R98" i="7"/>
  <c r="R371" i="7"/>
  <c r="R350" i="7"/>
  <c r="R629" i="7"/>
  <c r="R833" i="7"/>
  <c r="R444" i="7"/>
  <c r="R473" i="7"/>
  <c r="R74" i="7"/>
  <c r="R292" i="7"/>
  <c r="R757" i="7"/>
  <c r="R205" i="7"/>
  <c r="R101" i="7"/>
  <c r="R558" i="7"/>
  <c r="R597" i="7"/>
  <c r="R545" i="7"/>
  <c r="R436" i="7"/>
  <c r="R470" i="7"/>
  <c r="R632" i="7"/>
  <c r="R107" i="7"/>
  <c r="R243" i="7"/>
  <c r="R806" i="7"/>
  <c r="R829" i="7"/>
  <c r="R405" i="7"/>
  <c r="R44" i="7"/>
  <c r="R773" i="7"/>
  <c r="R506" i="7"/>
  <c r="R198" i="7"/>
  <c r="R207" i="7"/>
  <c r="R289" i="7"/>
  <c r="R698" i="7"/>
  <c r="R267" i="7"/>
  <c r="R731" i="7"/>
  <c r="R647" i="7"/>
  <c r="R653" i="7"/>
  <c r="R715" i="7"/>
  <c r="R110" i="7"/>
  <c r="R513" i="7"/>
  <c r="R284" i="7"/>
  <c r="R255" i="7"/>
  <c r="R619" i="7"/>
  <c r="R677" i="7"/>
  <c r="R778" i="7"/>
  <c r="R369" i="7"/>
  <c r="R716" i="7"/>
  <c r="R273" i="7"/>
  <c r="R696" i="7"/>
  <c r="R194" i="7"/>
  <c r="R531" i="7"/>
  <c r="R610" i="7"/>
  <c r="R843" i="7"/>
  <c r="R92" i="7"/>
  <c r="R827" i="7"/>
  <c r="R802" i="7"/>
  <c r="R495" i="7"/>
  <c r="R109" i="7"/>
  <c r="R780" i="7"/>
  <c r="R66" i="7"/>
  <c r="R430" i="7"/>
  <c r="R703" i="7"/>
  <c r="R83" i="7"/>
  <c r="R867" i="7"/>
  <c r="R528" i="7"/>
  <c r="R529" i="7"/>
  <c r="R173" i="7"/>
  <c r="R72" i="7"/>
  <c r="R544" i="7"/>
  <c r="R252" i="7"/>
  <c r="R203" i="7"/>
  <c r="R642" i="7"/>
  <c r="R474" i="7"/>
  <c r="R554" i="7"/>
  <c r="R68" i="7"/>
  <c r="R291" i="7"/>
  <c r="R501" i="7"/>
  <c r="R19" i="7"/>
  <c r="R740" i="7"/>
  <c r="R75" i="7"/>
  <c r="R349" i="7"/>
  <c r="R85" i="7"/>
  <c r="R637" i="7"/>
  <c r="R604" i="7"/>
  <c r="R787" i="7"/>
  <c r="R161" i="7"/>
  <c r="R770" i="7"/>
  <c r="R451" i="7"/>
  <c r="R365" i="7"/>
  <c r="R335" i="7"/>
  <c r="R664" i="7"/>
  <c r="R741" i="7"/>
  <c r="R563" i="7"/>
  <c r="R784" i="7"/>
  <c r="R84" i="7"/>
  <c r="R565" i="7"/>
  <c r="R443" i="7"/>
  <c r="R134" i="7"/>
  <c r="R448" i="7"/>
  <c r="R666" i="7"/>
  <c r="R229" i="7"/>
  <c r="R225" i="7"/>
  <c r="R464" i="7"/>
  <c r="R219" i="7"/>
  <c r="R201" i="7"/>
  <c r="R295" i="7"/>
  <c r="R197" i="7"/>
  <c r="R823" i="7"/>
  <c r="R518" i="7"/>
  <c r="R330" i="7"/>
  <c r="R403" i="7"/>
  <c r="R585" i="7"/>
  <c r="R733" i="7"/>
  <c r="R485" i="7"/>
  <c r="R484" i="7"/>
  <c r="R43" i="7"/>
  <c r="R482" i="7"/>
  <c r="R524" i="7"/>
  <c r="R54" i="7"/>
  <c r="R202" i="7"/>
  <c r="R290" i="7"/>
  <c r="R601" i="7"/>
  <c r="R293" i="7"/>
  <c r="R362" i="7"/>
  <c r="R837" i="7"/>
  <c r="R516" i="7"/>
  <c r="R682" i="7"/>
  <c r="R190" i="7"/>
  <c r="R844" i="7"/>
  <c r="R472" i="7"/>
  <c r="R701" i="7"/>
  <c r="R220" i="7"/>
  <c r="R361" i="7"/>
  <c r="R459" i="7"/>
  <c r="R864" i="7"/>
  <c r="R424" i="7"/>
  <c r="R423" i="7"/>
  <c r="R466" i="7"/>
  <c r="R609" i="7"/>
  <c r="R432" i="7"/>
  <c r="R427" i="7"/>
  <c r="R359" i="7"/>
  <c r="R256" i="7"/>
  <c r="P722" i="7"/>
  <c r="P375" i="7"/>
  <c r="P630" i="7"/>
  <c r="P263" i="7"/>
  <c r="P487" i="7"/>
  <c r="P457" i="7"/>
  <c r="P30" i="7"/>
  <c r="P515" i="7"/>
  <c r="P441" i="7"/>
  <c r="P551" i="7"/>
  <c r="P657" i="7"/>
  <c r="P469" i="7"/>
  <c r="P848" i="7"/>
  <c r="P147" i="7"/>
  <c r="P241" i="7"/>
  <c r="P25" i="7"/>
  <c r="P583" i="7"/>
  <c r="P17" i="7"/>
  <c r="P586" i="7"/>
  <c r="P154" i="7"/>
  <c r="P46" i="7"/>
  <c r="P329" i="7"/>
  <c r="P765" i="7"/>
  <c r="P143" i="7"/>
  <c r="P425" i="7"/>
  <c r="P536" i="7"/>
  <c r="P38" i="7"/>
  <c r="P576" i="7"/>
  <c r="P240" i="7"/>
  <c r="P753" i="7"/>
  <c r="P34" i="7"/>
  <c r="P663" i="7"/>
  <c r="P547" i="7"/>
  <c r="P635" i="7"/>
  <c r="P592" i="7"/>
  <c r="P539" i="7"/>
  <c r="P275" i="7"/>
  <c r="P578" i="7"/>
  <c r="P858" i="7"/>
  <c r="P548" i="7"/>
  <c r="P316" i="7"/>
  <c r="P644" i="7"/>
  <c r="P318" i="7"/>
  <c r="P532" i="7"/>
  <c r="P216" i="7"/>
  <c r="P511" i="7"/>
  <c r="P416" i="7"/>
  <c r="P577" i="7"/>
  <c r="P393" i="7"/>
  <c r="P14" i="7"/>
  <c r="P28" i="7"/>
  <c r="P725" i="7"/>
  <c r="P237" i="7"/>
  <c r="P411" i="7"/>
  <c r="P165" i="7"/>
  <c r="P60" i="7"/>
  <c r="P410" i="7"/>
  <c r="P262" i="7"/>
  <c r="P230" i="7"/>
  <c r="P549" i="7"/>
  <c r="P236" i="7"/>
  <c r="P244" i="7"/>
  <c r="P512" i="7"/>
  <c r="P344" i="7"/>
  <c r="P113" i="7"/>
  <c r="P139" i="7"/>
  <c r="P648" i="7"/>
  <c r="P735" i="7"/>
  <c r="P851" i="7"/>
  <c r="P680" i="7"/>
  <c r="P285" i="7"/>
  <c r="P61" i="7"/>
  <c r="P508" i="7"/>
  <c r="P479" i="7"/>
  <c r="P771" i="7"/>
  <c r="P868" i="7"/>
  <c r="P341" i="7"/>
  <c r="P388" i="7"/>
  <c r="P627" i="7"/>
  <c r="P705" i="7"/>
  <c r="P125" i="7"/>
  <c r="P64" i="7"/>
  <c r="P57" i="7"/>
  <c r="P854" i="7"/>
  <c r="P794" i="7"/>
  <c r="P417" i="7"/>
  <c r="P435" i="7"/>
  <c r="P754" i="7"/>
  <c r="P313" i="7"/>
  <c r="P135" i="7"/>
  <c r="P268" i="7"/>
  <c r="P331" i="7"/>
  <c r="P151" i="7"/>
  <c r="P805" i="7"/>
  <c r="P730" i="7"/>
  <c r="P312" i="7"/>
  <c r="P523" i="7"/>
  <c r="P759" i="7"/>
  <c r="P672" i="7"/>
  <c r="P605" i="7"/>
  <c r="P366" i="7"/>
  <c r="P575" i="7"/>
  <c r="P12" i="7"/>
  <c r="P144" i="7"/>
  <c r="P159" i="7"/>
  <c r="P790" i="7"/>
  <c r="P128" i="7"/>
  <c r="P401" i="7"/>
  <c r="P127" i="7"/>
  <c r="P73" i="7"/>
  <c r="P374" i="7"/>
  <c r="P808" i="7"/>
  <c r="P297" i="7"/>
  <c r="P404" i="7"/>
  <c r="P775" i="7"/>
  <c r="P813" i="7"/>
  <c r="P762" i="7"/>
  <c r="P795" i="7"/>
  <c r="P812" i="7"/>
  <c r="P580" i="7"/>
  <c r="P497" i="7"/>
  <c r="P502" i="7"/>
  <c r="P748" i="7"/>
  <c r="P22" i="7"/>
  <c r="P791" i="7"/>
  <c r="P345" i="7"/>
  <c r="P540" i="7"/>
  <c r="P370" i="7"/>
  <c r="P622" i="7"/>
  <c r="P124" i="7"/>
  <c r="P422" i="7"/>
  <c r="P426" i="7"/>
  <c r="P141" i="7"/>
  <c r="P302" i="7"/>
  <c r="P584" i="7"/>
  <c r="P555" i="7"/>
  <c r="P767" i="7"/>
  <c r="P210" i="7"/>
  <c r="P342" i="7"/>
  <c r="P383" i="7"/>
  <c r="P559" i="7"/>
  <c r="P400" i="7"/>
  <c r="P309" i="7"/>
  <c r="P169" i="7"/>
  <c r="P846" i="7"/>
  <c r="P389" i="7"/>
  <c r="P779" i="7"/>
  <c r="P433" i="7"/>
  <c r="P180" i="7"/>
  <c r="P526" i="7"/>
  <c r="P688" i="7"/>
  <c r="P148" i="7"/>
  <c r="P174" i="7"/>
  <c r="P42" i="7"/>
  <c r="P310" i="7"/>
  <c r="P419" i="7"/>
  <c r="P115" i="7"/>
  <c r="P796" i="7"/>
  <c r="P86" i="7"/>
  <c r="P761" i="7"/>
  <c r="P587" i="7"/>
  <c r="P24" i="7"/>
  <c r="P58" i="7"/>
  <c r="P162" i="7"/>
  <c r="P381" i="7"/>
  <c r="P322" i="7"/>
  <c r="P724" i="7"/>
  <c r="P504" i="7"/>
  <c r="P491" i="7"/>
  <c r="P814" i="7"/>
  <c r="P462" i="7"/>
  <c r="P623" i="7"/>
  <c r="P183" i="7"/>
  <c r="P146" i="7"/>
  <c r="P434" i="7"/>
  <c r="P391" i="7"/>
  <c r="P87" i="7"/>
  <c r="P351" i="7"/>
  <c r="P560" i="7"/>
  <c r="P8" i="7"/>
  <c r="P465" i="7"/>
  <c r="P744" i="7"/>
  <c r="P332" i="7"/>
  <c r="P138" i="7"/>
  <c r="P736" i="7"/>
  <c r="P402" i="7"/>
  <c r="P718" i="7"/>
  <c r="P70" i="7"/>
  <c r="P428" i="7"/>
  <c r="P328" i="7"/>
  <c r="P303" i="7"/>
  <c r="P686" i="7"/>
  <c r="P708" i="7"/>
  <c r="P782" i="7"/>
  <c r="P755" i="7"/>
  <c r="P615" i="7"/>
  <c r="P574" i="7"/>
  <c r="P678" i="7"/>
  <c r="P734" i="7"/>
  <c r="P167" i="7"/>
  <c r="P280" i="7"/>
  <c r="P799" i="7"/>
  <c r="P699" i="7"/>
  <c r="P152" i="7"/>
  <c r="P67" i="7"/>
  <c r="P824" i="7"/>
  <c r="P278" i="7"/>
  <c r="P649" i="7"/>
  <c r="P514" i="7"/>
  <c r="P212" i="7"/>
  <c r="P242" i="7"/>
  <c r="P772" i="7"/>
  <c r="P567" i="7"/>
  <c r="P640" i="7"/>
  <c r="P384" i="7"/>
  <c r="P579" i="7"/>
  <c r="P834" i="7"/>
  <c r="P15" i="7"/>
  <c r="P668" i="7"/>
  <c r="P418" i="7"/>
  <c r="P789" i="7"/>
  <c r="P503" i="7"/>
  <c r="P521" i="7"/>
  <c r="P828" i="7"/>
  <c r="P343" i="7"/>
  <c r="P863" i="7"/>
  <c r="P245" i="7"/>
  <c r="P561" i="7"/>
  <c r="P283" i="7"/>
  <c r="P477" i="7"/>
  <c r="P259" i="7"/>
  <c r="P542" i="7"/>
  <c r="P838" i="7"/>
  <c r="P807" i="7"/>
  <c r="P552" i="7"/>
  <c r="P614" i="7"/>
  <c r="P550" i="7"/>
  <c r="P149" i="7"/>
  <c r="P645" i="7"/>
  <c r="P570" i="7"/>
  <c r="P306" i="7"/>
  <c r="P179" i="7"/>
  <c r="P429" i="7"/>
  <c r="P35" i="7"/>
  <c r="P178" i="7"/>
  <c r="P618" i="7"/>
  <c r="P346" i="7"/>
  <c r="P356" i="7"/>
  <c r="P182" i="7"/>
  <c r="P363" i="7"/>
  <c r="P226" i="7"/>
  <c r="P407" i="7"/>
  <c r="P747" i="7"/>
  <c r="P414" i="7"/>
  <c r="P661" i="7"/>
  <c r="P710" i="7"/>
  <c r="P723" i="7"/>
  <c r="P376" i="7"/>
  <c r="P729" i="7"/>
  <c r="P525" i="7"/>
  <c r="P29" i="7"/>
  <c r="P702" i="7"/>
  <c r="P852" i="7"/>
  <c r="P90" i="7"/>
  <c r="P573" i="7"/>
  <c r="P707" i="7"/>
  <c r="P222" i="7"/>
  <c r="P785" i="7"/>
  <c r="P519" i="7"/>
  <c r="P494" i="7"/>
  <c r="P847" i="7"/>
  <c r="P261" i="7"/>
  <c r="P800" i="7"/>
  <c r="P588" i="7"/>
  <c r="P160" i="7"/>
  <c r="P26" i="7"/>
  <c r="P595" i="7"/>
  <c r="P822" i="7"/>
  <c r="P440" i="7"/>
  <c r="P665" i="7"/>
  <c r="P764" i="7"/>
  <c r="P777" i="7"/>
  <c r="P671" i="7"/>
  <c r="P832" i="7"/>
  <c r="P228" i="7"/>
  <c r="P634" i="7"/>
  <c r="P114" i="7"/>
  <c r="P385" i="7"/>
  <c r="P37" i="7"/>
  <c r="P279" i="7"/>
  <c r="P191" i="7"/>
  <c r="P108" i="7"/>
  <c r="P56" i="7"/>
  <c r="P311" i="7"/>
  <c r="P507" i="7"/>
  <c r="P97" i="7"/>
  <c r="P500" i="7"/>
  <c r="P319" i="7"/>
  <c r="P18" i="7"/>
  <c r="P264" i="7"/>
  <c r="P437" i="7"/>
  <c r="P510" i="7"/>
  <c r="P338" i="7"/>
  <c r="P853" i="7"/>
  <c r="P111" i="7"/>
  <c r="P333" i="7"/>
  <c r="P186" i="7"/>
  <c r="P721" i="7"/>
  <c r="P102" i="7"/>
  <c r="P713" i="7"/>
  <c r="P809" i="7"/>
  <c r="P27" i="7"/>
  <c r="P569" i="7"/>
  <c r="P446" i="7"/>
  <c r="P150" i="7"/>
  <c r="P164" i="7"/>
  <c r="P184" i="7"/>
  <c r="P865" i="7"/>
  <c r="P40" i="7"/>
  <c r="P726" i="7"/>
  <c r="P122" i="7"/>
  <c r="P817" i="7"/>
  <c r="P452" i="7"/>
  <c r="P89" i="7"/>
  <c r="P187" i="7"/>
  <c r="P593" i="7"/>
  <c r="P399" i="7"/>
  <c r="P294" i="7"/>
  <c r="P819" i="7"/>
  <c r="P499" i="7"/>
  <c r="P522" i="7"/>
  <c r="P598" i="7"/>
  <c r="P80" i="7"/>
  <c r="P509" i="7"/>
  <c r="P798" i="7"/>
  <c r="P643" i="7"/>
  <c r="P439" i="7"/>
  <c r="P749" i="7"/>
  <c r="P53" i="7"/>
  <c r="P454" i="7"/>
  <c r="P679" i="7"/>
  <c r="P631" i="7"/>
  <c r="P118" i="7"/>
  <c r="P9" i="7"/>
  <c r="P76" i="7"/>
  <c r="P398" i="7"/>
  <c r="P758" i="7"/>
  <c r="P442" i="7"/>
  <c r="P45" i="7"/>
  <c r="P81" i="7"/>
  <c r="P286" i="7"/>
  <c r="P354" i="7"/>
  <c r="P719" i="7"/>
  <c r="P449" i="7"/>
  <c r="P11" i="7"/>
  <c r="P564" i="7"/>
  <c r="P826" i="7"/>
  <c r="P825" i="7"/>
  <c r="P717" i="7"/>
  <c r="P258" i="7"/>
  <c r="P88" i="7"/>
  <c r="P870" i="7"/>
  <c r="P704" i="7"/>
  <c r="P195" i="7"/>
  <c r="P855" i="7"/>
  <c r="P133" i="7"/>
  <c r="P364" i="7"/>
  <c r="P571" i="7"/>
  <c r="P209" i="7"/>
  <c r="P628" i="7"/>
  <c r="P334" i="7"/>
  <c r="P533" i="7"/>
  <c r="P685" i="7"/>
  <c r="P568" i="7"/>
  <c r="P377" i="7"/>
  <c r="P140" i="7"/>
  <c r="P415" i="7"/>
  <c r="P386" i="7"/>
  <c r="P656" i="7"/>
  <c r="P652" i="7"/>
  <c r="P387" i="7"/>
  <c r="P287" i="7"/>
  <c r="P21" i="7"/>
  <c r="P607" i="7"/>
  <c r="P746" i="7"/>
  <c r="P836" i="7"/>
  <c r="P445" i="7"/>
  <c r="P308" i="7"/>
  <c r="P669" i="7"/>
  <c r="P340" i="7"/>
  <c r="P282" i="7"/>
  <c r="P602" i="7"/>
  <c r="P676" i="7"/>
  <c r="P695" i="7"/>
  <c r="P763" i="7"/>
  <c r="P478" i="7"/>
  <c r="P79" i="7"/>
  <c r="P168" i="7"/>
  <c r="P857" i="7"/>
  <c r="P137" i="7"/>
  <c r="P233" i="7"/>
  <c r="P249" i="7"/>
  <c r="P51" i="7"/>
  <c r="P742" i="7"/>
  <c r="P830" i="7"/>
  <c r="P181" i="7"/>
  <c r="P752" i="7"/>
  <c r="P193" i="7"/>
  <c r="P596" i="7"/>
  <c r="P801" i="7"/>
  <c r="P323" i="7"/>
  <c r="P304" i="7"/>
  <c r="P681" i="7"/>
  <c r="P546" i="7"/>
  <c r="P320" i="7"/>
  <c r="P706" i="7"/>
  <c r="P390" i="7"/>
  <c r="P372" i="7"/>
  <c r="P756" i="7"/>
  <c r="P250" i="7"/>
  <c r="P380" i="7"/>
  <c r="P856" i="7"/>
  <c r="P277" i="7"/>
  <c r="P527" i="7"/>
  <c r="P667" i="7"/>
  <c r="P606" i="7"/>
  <c r="P397" i="7"/>
  <c r="P768" i="7"/>
  <c r="P613" i="7"/>
  <c r="P660" i="7"/>
  <c r="P100" i="7"/>
  <c r="P200" i="7"/>
  <c r="P409" i="7"/>
  <c r="P461" i="7"/>
  <c r="P438" i="7"/>
  <c r="P117" i="7"/>
  <c r="P831" i="7"/>
  <c r="P658" i="7"/>
  <c r="P158" i="7"/>
  <c r="P839" i="7"/>
  <c r="P272" i="7"/>
  <c r="P496" i="7"/>
  <c r="P132" i="7"/>
  <c r="P166" i="7"/>
  <c r="P13" i="7"/>
  <c r="P714" i="7"/>
  <c r="P20" i="7"/>
  <c r="P136" i="7"/>
  <c r="P196" i="7"/>
  <c r="P172" i="7"/>
  <c r="P32" i="7"/>
  <c r="P367" i="7"/>
  <c r="P208" i="7"/>
  <c r="P129" i="7"/>
  <c r="P82" i="7"/>
  <c r="P687" i="7"/>
  <c r="P600" i="7"/>
  <c r="P103" i="7"/>
  <c r="P820" i="7"/>
  <c r="P727" i="7"/>
  <c r="P213" i="7"/>
  <c r="P690" i="7"/>
  <c r="P582" i="7"/>
  <c r="P611" i="7"/>
  <c r="P325" i="7"/>
  <c r="P621" i="7"/>
  <c r="P760" i="7"/>
  <c r="P541" i="7"/>
  <c r="P673" i="7"/>
  <c r="P105" i="7"/>
  <c r="P737" i="7"/>
  <c r="P670" i="7"/>
  <c r="P774" i="7"/>
  <c r="P816" i="7"/>
  <c r="P581" i="7"/>
  <c r="P616" i="7"/>
  <c r="P693" i="7"/>
  <c r="P298" i="7"/>
  <c r="P98" i="7"/>
  <c r="P371" i="7"/>
  <c r="P350" i="7"/>
  <c r="P629" i="7"/>
  <c r="P833" i="7"/>
  <c r="P444" i="7"/>
  <c r="P473" i="7"/>
  <c r="P74" i="7"/>
  <c r="P292" i="7"/>
  <c r="P757" i="7"/>
  <c r="P205" i="7"/>
  <c r="P101" i="7"/>
  <c r="P558" i="7"/>
  <c r="P597" i="7"/>
  <c r="P545" i="7"/>
  <c r="P436" i="7"/>
  <c r="P470" i="7"/>
  <c r="P632" i="7"/>
  <c r="P107" i="7"/>
  <c r="P243" i="7"/>
  <c r="P806" i="7"/>
  <c r="P829" i="7"/>
  <c r="P405" i="7"/>
  <c r="P44" i="7"/>
  <c r="P773" i="7"/>
  <c r="P506" i="7"/>
  <c r="P198" i="7"/>
  <c r="P207" i="7"/>
  <c r="P289" i="7"/>
  <c r="P698" i="7"/>
  <c r="P267" i="7"/>
  <c r="P731" i="7"/>
  <c r="P647" i="7"/>
  <c r="P653" i="7"/>
  <c r="P715" i="7"/>
  <c r="P110" i="7"/>
  <c r="P513" i="7"/>
  <c r="P284" i="7"/>
  <c r="P255" i="7"/>
  <c r="P619" i="7"/>
  <c r="P677" i="7"/>
  <c r="P778" i="7"/>
  <c r="P369" i="7"/>
  <c r="P716" i="7"/>
  <c r="P273" i="7"/>
  <c r="P696" i="7"/>
  <c r="P194" i="7"/>
  <c r="P531" i="7"/>
  <c r="P610" i="7"/>
  <c r="P843" i="7"/>
  <c r="P92" i="7"/>
  <c r="P827" i="7"/>
  <c r="P802" i="7"/>
  <c r="P495" i="7"/>
  <c r="P109" i="7"/>
  <c r="P780" i="7"/>
  <c r="P66" i="7"/>
  <c r="P430" i="7"/>
  <c r="P703" i="7"/>
  <c r="P83" i="7"/>
  <c r="P867" i="7"/>
  <c r="P528" i="7"/>
  <c r="P529" i="7"/>
  <c r="P173" i="7"/>
  <c r="P72" i="7"/>
  <c r="P544" i="7"/>
  <c r="P252" i="7"/>
  <c r="P203" i="7"/>
  <c r="P642" i="7"/>
  <c r="P474" i="7"/>
  <c r="P554" i="7"/>
  <c r="P68" i="7"/>
  <c r="P291" i="7"/>
  <c r="P501" i="7"/>
  <c r="P19" i="7"/>
  <c r="P740" i="7"/>
  <c r="P75" i="7"/>
  <c r="P349" i="7"/>
  <c r="P85" i="7"/>
  <c r="P637" i="7"/>
  <c r="P604" i="7"/>
  <c r="P787" i="7"/>
  <c r="P161" i="7"/>
  <c r="P770" i="7"/>
  <c r="P451" i="7"/>
  <c r="P365" i="7"/>
  <c r="P335" i="7"/>
  <c r="P664" i="7"/>
  <c r="P741" i="7"/>
  <c r="P563" i="7"/>
  <c r="P784" i="7"/>
  <c r="P84" i="7"/>
  <c r="P565" i="7"/>
  <c r="P443" i="7"/>
  <c r="P134" i="7"/>
  <c r="P448" i="7"/>
  <c r="P666" i="7"/>
  <c r="P229" i="7"/>
  <c r="P225" i="7"/>
  <c r="P464" i="7"/>
  <c r="P219" i="7"/>
  <c r="P201" i="7"/>
  <c r="P295" i="7"/>
  <c r="P197" i="7"/>
  <c r="P823" i="7"/>
  <c r="P518" i="7"/>
  <c r="P330" i="7"/>
  <c r="P403" i="7"/>
  <c r="P585" i="7"/>
  <c r="P733" i="7"/>
  <c r="P485" i="7"/>
  <c r="P484" i="7"/>
  <c r="P43" i="7"/>
  <c r="P482" i="7"/>
  <c r="P524" i="7"/>
  <c r="P54" i="7"/>
  <c r="P202" i="7"/>
  <c r="P290" i="7"/>
  <c r="P601" i="7"/>
  <c r="P293" i="7"/>
  <c r="P362" i="7"/>
  <c r="P837" i="7"/>
  <c r="P516" i="7"/>
  <c r="P682" i="7"/>
  <c r="P190" i="7"/>
  <c r="P844" i="7"/>
  <c r="P472" i="7"/>
  <c r="P701" i="7"/>
  <c r="P220" i="7"/>
  <c r="P361" i="7"/>
  <c r="P459" i="7"/>
  <c r="P864" i="7"/>
  <c r="P424" i="7"/>
  <c r="P423" i="7"/>
  <c r="P466" i="7"/>
  <c r="P609" i="7"/>
  <c r="P432" i="7"/>
  <c r="P427" i="7"/>
  <c r="P359" i="7"/>
  <c r="P256" i="7"/>
  <c r="M722" i="7"/>
  <c r="M375" i="7"/>
  <c r="M630" i="7"/>
  <c r="M263" i="7"/>
  <c r="M487" i="7"/>
  <c r="M457" i="7"/>
  <c r="M30" i="7"/>
  <c r="M515" i="7"/>
  <c r="M441" i="7"/>
  <c r="M551" i="7"/>
  <c r="M657" i="7"/>
  <c r="M469" i="7"/>
  <c r="M848" i="7"/>
  <c r="M147" i="7"/>
  <c r="M241" i="7"/>
  <c r="M25" i="7"/>
  <c r="M583" i="7"/>
  <c r="M17" i="7"/>
  <c r="M586" i="7"/>
  <c r="M154" i="7"/>
  <c r="M46" i="7"/>
  <c r="M329" i="7"/>
  <c r="M765" i="7"/>
  <c r="M143" i="7"/>
  <c r="M425" i="7"/>
  <c r="M536" i="7"/>
  <c r="M38" i="7"/>
  <c r="M576" i="7"/>
  <c r="M240" i="7"/>
  <c r="M753" i="7"/>
  <c r="M34" i="7"/>
  <c r="M663" i="7"/>
  <c r="M547" i="7"/>
  <c r="M635" i="7"/>
  <c r="M592" i="7"/>
  <c r="M539" i="7"/>
  <c r="M275" i="7"/>
  <c r="M578" i="7"/>
  <c r="M858" i="7"/>
  <c r="M548" i="7"/>
  <c r="M316" i="7"/>
  <c r="M644" i="7"/>
  <c r="M318" i="7"/>
  <c r="M532" i="7"/>
  <c r="M216" i="7"/>
  <c r="M511" i="7"/>
  <c r="M416" i="7"/>
  <c r="M577" i="7"/>
  <c r="M393" i="7"/>
  <c r="M14" i="7"/>
  <c r="M28" i="7"/>
  <c r="M725" i="7"/>
  <c r="M237" i="7"/>
  <c r="M411" i="7"/>
  <c r="M165" i="7"/>
  <c r="M60" i="7"/>
  <c r="M410" i="7"/>
  <c r="M262" i="7"/>
  <c r="M230" i="7"/>
  <c r="M549" i="7"/>
  <c r="M236" i="7"/>
  <c r="M244" i="7"/>
  <c r="M512" i="7"/>
  <c r="M344" i="7"/>
  <c r="M113" i="7"/>
  <c r="M139" i="7"/>
  <c r="M648" i="7"/>
  <c r="M735" i="7"/>
  <c r="M851" i="7"/>
  <c r="M680" i="7"/>
  <c r="M285" i="7"/>
  <c r="M61" i="7"/>
  <c r="M508" i="7"/>
  <c r="M479" i="7"/>
  <c r="M771" i="7"/>
  <c r="M868" i="7"/>
  <c r="M341" i="7"/>
  <c r="M388" i="7"/>
  <c r="M627" i="7"/>
  <c r="M705" i="7"/>
  <c r="M125" i="7"/>
  <c r="M64" i="7"/>
  <c r="M57" i="7"/>
  <c r="M854" i="7"/>
  <c r="M794" i="7"/>
  <c r="M417" i="7"/>
  <c r="M435" i="7"/>
  <c r="M754" i="7"/>
  <c r="M313" i="7"/>
  <c r="M135" i="7"/>
  <c r="M268" i="7"/>
  <c r="M331" i="7"/>
  <c r="M151" i="7"/>
  <c r="M805" i="7"/>
  <c r="M730" i="7"/>
  <c r="M312" i="7"/>
  <c r="M523" i="7"/>
  <c r="M759" i="7"/>
  <c r="M672" i="7"/>
  <c r="M605" i="7"/>
  <c r="M366" i="7"/>
  <c r="M575" i="7"/>
  <c r="M12" i="7"/>
  <c r="M144" i="7"/>
  <c r="M159" i="7"/>
  <c r="M790" i="7"/>
  <c r="M128" i="7"/>
  <c r="M401" i="7"/>
  <c r="M127" i="7"/>
  <c r="M73" i="7"/>
  <c r="M374" i="7"/>
  <c r="M808" i="7"/>
  <c r="M297" i="7"/>
  <c r="M404" i="7"/>
  <c r="M775" i="7"/>
  <c r="M813" i="7"/>
  <c r="M762" i="7"/>
  <c r="M795" i="7"/>
  <c r="M812" i="7"/>
  <c r="M580" i="7"/>
  <c r="M497" i="7"/>
  <c r="M502" i="7"/>
  <c r="M748" i="7"/>
  <c r="M22" i="7"/>
  <c r="M791" i="7"/>
  <c r="M345" i="7"/>
  <c r="M540" i="7"/>
  <c r="M370" i="7"/>
  <c r="M622" i="7"/>
  <c r="M124" i="7"/>
  <c r="M422" i="7"/>
  <c r="M426" i="7"/>
  <c r="M141" i="7"/>
  <c r="M302" i="7"/>
  <c r="M584" i="7"/>
  <c r="M555" i="7"/>
  <c r="M767" i="7"/>
  <c r="M210" i="7"/>
  <c r="M342" i="7"/>
  <c r="M383" i="7"/>
  <c r="M559" i="7"/>
  <c r="M400" i="7"/>
  <c r="M309" i="7"/>
  <c r="M169" i="7"/>
  <c r="M846" i="7"/>
  <c r="M389" i="7"/>
  <c r="M779" i="7"/>
  <c r="M433" i="7"/>
  <c r="M180" i="7"/>
  <c r="M526" i="7"/>
  <c r="M688" i="7"/>
  <c r="M148" i="7"/>
  <c r="M174" i="7"/>
  <c r="M42" i="7"/>
  <c r="M310" i="7"/>
  <c r="M419" i="7"/>
  <c r="M115" i="7"/>
  <c r="M796" i="7"/>
  <c r="M86" i="7"/>
  <c r="M761" i="7"/>
  <c r="M587" i="7"/>
  <c r="M24" i="7"/>
  <c r="M58" i="7"/>
  <c r="M162" i="7"/>
  <c r="M381" i="7"/>
  <c r="M322" i="7"/>
  <c r="M724" i="7"/>
  <c r="M504" i="7"/>
  <c r="M491" i="7"/>
  <c r="M814" i="7"/>
  <c r="M462" i="7"/>
  <c r="M623" i="7"/>
  <c r="M183" i="7"/>
  <c r="M146" i="7"/>
  <c r="M434" i="7"/>
  <c r="M391" i="7"/>
  <c r="M87" i="7"/>
  <c r="M351" i="7"/>
  <c r="M560" i="7"/>
  <c r="M8" i="7"/>
  <c r="M465" i="7"/>
  <c r="M744" i="7"/>
  <c r="M332" i="7"/>
  <c r="M138" i="7"/>
  <c r="M736" i="7"/>
  <c r="M402" i="7"/>
  <c r="M718" i="7"/>
  <c r="M70" i="7"/>
  <c r="M428" i="7"/>
  <c r="M328" i="7"/>
  <c r="M303" i="7"/>
  <c r="M686" i="7"/>
  <c r="M708" i="7"/>
  <c r="M782" i="7"/>
  <c r="M755" i="7"/>
  <c r="M615" i="7"/>
  <c r="M574" i="7"/>
  <c r="M678" i="7"/>
  <c r="M734" i="7"/>
  <c r="M167" i="7"/>
  <c r="M280" i="7"/>
  <c r="M799" i="7"/>
  <c r="M699" i="7"/>
  <c r="M152" i="7"/>
  <c r="M67" i="7"/>
  <c r="M824" i="7"/>
  <c r="M278" i="7"/>
  <c r="M649" i="7"/>
  <c r="M514" i="7"/>
  <c r="M212" i="7"/>
  <c r="M242" i="7"/>
  <c r="M772" i="7"/>
  <c r="M567" i="7"/>
  <c r="M640" i="7"/>
  <c r="M384" i="7"/>
  <c r="M579" i="7"/>
  <c r="M834" i="7"/>
  <c r="M15" i="7"/>
  <c r="M668" i="7"/>
  <c r="M418" i="7"/>
  <c r="M789" i="7"/>
  <c r="M503" i="7"/>
  <c r="M521" i="7"/>
  <c r="M828" i="7"/>
  <c r="M343" i="7"/>
  <c r="M863" i="7"/>
  <c r="M245" i="7"/>
  <c r="M561" i="7"/>
  <c r="M283" i="7"/>
  <c r="M477" i="7"/>
  <c r="M259" i="7"/>
  <c r="M542" i="7"/>
  <c r="M838" i="7"/>
  <c r="M807" i="7"/>
  <c r="M552" i="7"/>
  <c r="M614" i="7"/>
  <c r="M550" i="7"/>
  <c r="M149" i="7"/>
  <c r="M645" i="7"/>
  <c r="M570" i="7"/>
  <c r="M306" i="7"/>
  <c r="M179" i="7"/>
  <c r="M429" i="7"/>
  <c r="M35" i="7"/>
  <c r="M178" i="7"/>
  <c r="M618" i="7"/>
  <c r="M346" i="7"/>
  <c r="M356" i="7"/>
  <c r="M182" i="7"/>
  <c r="M363" i="7"/>
  <c r="M226" i="7"/>
  <c r="M407" i="7"/>
  <c r="M747" i="7"/>
  <c r="M414" i="7"/>
  <c r="M661" i="7"/>
  <c r="M710" i="7"/>
  <c r="M723" i="7"/>
  <c r="M376" i="7"/>
  <c r="M729" i="7"/>
  <c r="M525" i="7"/>
  <c r="M29" i="7"/>
  <c r="M702" i="7"/>
  <c r="M852" i="7"/>
  <c r="M90" i="7"/>
  <c r="M573" i="7"/>
  <c r="M707" i="7"/>
  <c r="M222" i="7"/>
  <c r="M785" i="7"/>
  <c r="M519" i="7"/>
  <c r="M494" i="7"/>
  <c r="M847" i="7"/>
  <c r="M261" i="7"/>
  <c r="M800" i="7"/>
  <c r="M588" i="7"/>
  <c r="M160" i="7"/>
  <c r="M26" i="7"/>
  <c r="M595" i="7"/>
  <c r="M822" i="7"/>
  <c r="M440" i="7"/>
  <c r="M665" i="7"/>
  <c r="M764" i="7"/>
  <c r="M777" i="7"/>
  <c r="M671" i="7"/>
  <c r="M832" i="7"/>
  <c r="M228" i="7"/>
  <c r="M634" i="7"/>
  <c r="M114" i="7"/>
  <c r="M385" i="7"/>
  <c r="M37" i="7"/>
  <c r="M279" i="7"/>
  <c r="M191" i="7"/>
  <c r="M108" i="7"/>
  <c r="M56" i="7"/>
  <c r="M311" i="7"/>
  <c r="M507" i="7"/>
  <c r="M97" i="7"/>
  <c r="M500" i="7"/>
  <c r="M319" i="7"/>
  <c r="M18" i="7"/>
  <c r="M264" i="7"/>
  <c r="M437" i="7"/>
  <c r="M510" i="7"/>
  <c r="M338" i="7"/>
  <c r="M853" i="7"/>
  <c r="M111" i="7"/>
  <c r="M333" i="7"/>
  <c r="M186" i="7"/>
  <c r="M721" i="7"/>
  <c r="M102" i="7"/>
  <c r="M713" i="7"/>
  <c r="M809" i="7"/>
  <c r="M27" i="7"/>
  <c r="M569" i="7"/>
  <c r="M446" i="7"/>
  <c r="M150" i="7"/>
  <c r="M164" i="7"/>
  <c r="M184" i="7"/>
  <c r="M865" i="7"/>
  <c r="M40" i="7"/>
  <c r="M726" i="7"/>
  <c r="M122" i="7"/>
  <c r="M817" i="7"/>
  <c r="M452" i="7"/>
  <c r="M89" i="7"/>
  <c r="M187" i="7"/>
  <c r="M593" i="7"/>
  <c r="M399" i="7"/>
  <c r="M294" i="7"/>
  <c r="M819" i="7"/>
  <c r="M499" i="7"/>
  <c r="M522" i="7"/>
  <c r="M598" i="7"/>
  <c r="M80" i="7"/>
  <c r="M509" i="7"/>
  <c r="M798" i="7"/>
  <c r="M643" i="7"/>
  <c r="M439" i="7"/>
  <c r="M749" i="7"/>
  <c r="M53" i="7"/>
  <c r="M454" i="7"/>
  <c r="M679" i="7"/>
  <c r="M631" i="7"/>
  <c r="M118" i="7"/>
  <c r="M9" i="7"/>
  <c r="M76" i="7"/>
  <c r="M398" i="7"/>
  <c r="M758" i="7"/>
  <c r="M442" i="7"/>
  <c r="M45" i="7"/>
  <c r="M81" i="7"/>
  <c r="M286" i="7"/>
  <c r="M354" i="7"/>
  <c r="M719" i="7"/>
  <c r="M449" i="7"/>
  <c r="M11" i="7"/>
  <c r="M564" i="7"/>
  <c r="M826" i="7"/>
  <c r="M825" i="7"/>
  <c r="M717" i="7"/>
  <c r="M258" i="7"/>
  <c r="M88" i="7"/>
  <c r="M870" i="7"/>
  <c r="M704" i="7"/>
  <c r="M195" i="7"/>
  <c r="M855" i="7"/>
  <c r="M133" i="7"/>
  <c r="M364" i="7"/>
  <c r="M571" i="7"/>
  <c r="M209" i="7"/>
  <c r="M628" i="7"/>
  <c r="M334" i="7"/>
  <c r="M533" i="7"/>
  <c r="M685" i="7"/>
  <c r="M568" i="7"/>
  <c r="M377" i="7"/>
  <c r="M140" i="7"/>
  <c r="M415" i="7"/>
  <c r="M386" i="7"/>
  <c r="M656" i="7"/>
  <c r="M652" i="7"/>
  <c r="M387" i="7"/>
  <c r="M287" i="7"/>
  <c r="M21" i="7"/>
  <c r="M607" i="7"/>
  <c r="M746" i="7"/>
  <c r="M836" i="7"/>
  <c r="M445" i="7"/>
  <c r="M308" i="7"/>
  <c r="M669" i="7"/>
  <c r="M340" i="7"/>
  <c r="M282" i="7"/>
  <c r="M602" i="7"/>
  <c r="M676" i="7"/>
  <c r="M695" i="7"/>
  <c r="M763" i="7"/>
  <c r="M478" i="7"/>
  <c r="M79" i="7"/>
  <c r="M168" i="7"/>
  <c r="M857" i="7"/>
  <c r="M137" i="7"/>
  <c r="M233" i="7"/>
  <c r="M249" i="7"/>
  <c r="M51" i="7"/>
  <c r="M742" i="7"/>
  <c r="M830" i="7"/>
  <c r="M181" i="7"/>
  <c r="M752" i="7"/>
  <c r="M193" i="7"/>
  <c r="M596" i="7"/>
  <c r="M801" i="7"/>
  <c r="M323" i="7"/>
  <c r="M304" i="7"/>
  <c r="M681" i="7"/>
  <c r="M546" i="7"/>
  <c r="M320" i="7"/>
  <c r="M706" i="7"/>
  <c r="M390" i="7"/>
  <c r="M372" i="7"/>
  <c r="M756" i="7"/>
  <c r="M250" i="7"/>
  <c r="M380" i="7"/>
  <c r="M856" i="7"/>
  <c r="M277" i="7"/>
  <c r="M527" i="7"/>
  <c r="M667" i="7"/>
  <c r="M606" i="7"/>
  <c r="M397" i="7"/>
  <c r="M768" i="7"/>
  <c r="M613" i="7"/>
  <c r="M660" i="7"/>
  <c r="M100" i="7"/>
  <c r="M200" i="7"/>
  <c r="M409" i="7"/>
  <c r="M461" i="7"/>
  <c r="M438" i="7"/>
  <c r="M117" i="7"/>
  <c r="M831" i="7"/>
  <c r="M658" i="7"/>
  <c r="M158" i="7"/>
  <c r="M839" i="7"/>
  <c r="M272" i="7"/>
  <c r="M496" i="7"/>
  <c r="M132" i="7"/>
  <c r="M166" i="7"/>
  <c r="M13" i="7"/>
  <c r="M714" i="7"/>
  <c r="M20" i="7"/>
  <c r="M136" i="7"/>
  <c r="M196" i="7"/>
  <c r="M172" i="7"/>
  <c r="M32" i="7"/>
  <c r="M367" i="7"/>
  <c r="M208" i="7"/>
  <c r="M129" i="7"/>
  <c r="M82" i="7"/>
  <c r="M687" i="7"/>
  <c r="M600" i="7"/>
  <c r="M103" i="7"/>
  <c r="M820" i="7"/>
  <c r="M727" i="7"/>
  <c r="M213" i="7"/>
  <c r="M690" i="7"/>
  <c r="M582" i="7"/>
  <c r="M611" i="7"/>
  <c r="M325" i="7"/>
  <c r="M621" i="7"/>
  <c r="M760" i="7"/>
  <c r="M541" i="7"/>
  <c r="M673" i="7"/>
  <c r="M105" i="7"/>
  <c r="M737" i="7"/>
  <c r="M670" i="7"/>
  <c r="M774" i="7"/>
  <c r="M816" i="7"/>
  <c r="M581" i="7"/>
  <c r="M616" i="7"/>
  <c r="M693" i="7"/>
  <c r="M298" i="7"/>
  <c r="M98" i="7"/>
  <c r="M371" i="7"/>
  <c r="M350" i="7"/>
  <c r="M629" i="7"/>
  <c r="M833" i="7"/>
  <c r="M444" i="7"/>
  <c r="M473" i="7"/>
  <c r="M74" i="7"/>
  <c r="M292" i="7"/>
  <c r="M757" i="7"/>
  <c r="M205" i="7"/>
  <c r="M101" i="7"/>
  <c r="M558" i="7"/>
  <c r="M597" i="7"/>
  <c r="M545" i="7"/>
  <c r="M436" i="7"/>
  <c r="M470" i="7"/>
  <c r="M632" i="7"/>
  <c r="M107" i="7"/>
  <c r="M243" i="7"/>
  <c r="M806" i="7"/>
  <c r="M829" i="7"/>
  <c r="M405" i="7"/>
  <c r="M44" i="7"/>
  <c r="M773" i="7"/>
  <c r="M506" i="7"/>
  <c r="M198" i="7"/>
  <c r="M207" i="7"/>
  <c r="M289" i="7"/>
  <c r="M698" i="7"/>
  <c r="M267" i="7"/>
  <c r="M731" i="7"/>
  <c r="M647" i="7"/>
  <c r="M653" i="7"/>
  <c r="M715" i="7"/>
  <c r="M110" i="7"/>
  <c r="M513" i="7"/>
  <c r="M284" i="7"/>
  <c r="M255" i="7"/>
  <c r="M619" i="7"/>
  <c r="M677" i="7"/>
  <c r="M778" i="7"/>
  <c r="M369" i="7"/>
  <c r="M716" i="7"/>
  <c r="M273" i="7"/>
  <c r="M696" i="7"/>
  <c r="M194" i="7"/>
  <c r="M531" i="7"/>
  <c r="M610" i="7"/>
  <c r="M843" i="7"/>
  <c r="M92" i="7"/>
  <c r="M827" i="7"/>
  <c r="M802" i="7"/>
  <c r="M495" i="7"/>
  <c r="M109" i="7"/>
  <c r="M780" i="7"/>
  <c r="M66" i="7"/>
  <c r="M430" i="7"/>
  <c r="M703" i="7"/>
  <c r="M83" i="7"/>
  <c r="M867" i="7"/>
  <c r="M528" i="7"/>
  <c r="M529" i="7"/>
  <c r="M173" i="7"/>
  <c r="M72" i="7"/>
  <c r="M544" i="7"/>
  <c r="M252" i="7"/>
  <c r="M203" i="7"/>
  <c r="M642" i="7"/>
  <c r="M474" i="7"/>
  <c r="M554" i="7"/>
  <c r="M68" i="7"/>
  <c r="M291" i="7"/>
  <c r="M501" i="7"/>
  <c r="M19" i="7"/>
  <c r="M740" i="7"/>
  <c r="M75" i="7"/>
  <c r="M349" i="7"/>
  <c r="M85" i="7"/>
  <c r="M637" i="7"/>
  <c r="M604" i="7"/>
  <c r="M787" i="7"/>
  <c r="M161" i="7"/>
  <c r="M770" i="7"/>
  <c r="M451" i="7"/>
  <c r="M365" i="7"/>
  <c r="M335" i="7"/>
  <c r="M664" i="7"/>
  <c r="M741" i="7"/>
  <c r="M563" i="7"/>
  <c r="M784" i="7"/>
  <c r="M84" i="7"/>
  <c r="M565" i="7"/>
  <c r="M443" i="7"/>
  <c r="M134" i="7"/>
  <c r="M448" i="7"/>
  <c r="M666" i="7"/>
  <c r="M229" i="7"/>
  <c r="M225" i="7"/>
  <c r="M464" i="7"/>
  <c r="M219" i="7"/>
  <c r="M201" i="7"/>
  <c r="M295" i="7"/>
  <c r="M197" i="7"/>
  <c r="M823" i="7"/>
  <c r="M518" i="7"/>
  <c r="M330" i="7"/>
  <c r="M403" i="7"/>
  <c r="M585" i="7"/>
  <c r="M733" i="7"/>
  <c r="M485" i="7"/>
  <c r="M484" i="7"/>
  <c r="M43" i="7"/>
  <c r="M482" i="7"/>
  <c r="M524" i="7"/>
  <c r="M54" i="7"/>
  <c r="M202" i="7"/>
  <c r="M290" i="7"/>
  <c r="M601" i="7"/>
  <c r="M293" i="7"/>
  <c r="M362" i="7"/>
  <c r="M837" i="7"/>
  <c r="M516" i="7"/>
  <c r="M682" i="7"/>
  <c r="M190" i="7"/>
  <c r="M844" i="7"/>
  <c r="M472" i="7"/>
  <c r="M701" i="7"/>
  <c r="M220" i="7"/>
  <c r="M361" i="7"/>
  <c r="M459" i="7"/>
  <c r="M864" i="7"/>
  <c r="M424" i="7"/>
  <c r="M423" i="7"/>
  <c r="M466" i="7"/>
  <c r="M609" i="7"/>
  <c r="M432" i="7"/>
  <c r="M427" i="7"/>
  <c r="M359" i="7"/>
  <c r="M256" i="7"/>
  <c r="K722" i="7"/>
  <c r="K375" i="7"/>
  <c r="K630" i="7"/>
  <c r="K263" i="7"/>
  <c r="K487" i="7"/>
  <c r="K457" i="7"/>
  <c r="K30" i="7"/>
  <c r="K515" i="7"/>
  <c r="K441" i="7"/>
  <c r="K551" i="7"/>
  <c r="K657" i="7"/>
  <c r="K469" i="7"/>
  <c r="K848" i="7"/>
  <c r="K147" i="7"/>
  <c r="K241" i="7"/>
  <c r="K25" i="7"/>
  <c r="K583" i="7"/>
  <c r="K17" i="7"/>
  <c r="K586" i="7"/>
  <c r="K154" i="7"/>
  <c r="K46" i="7"/>
  <c r="K329" i="7"/>
  <c r="K765" i="7"/>
  <c r="K143" i="7"/>
  <c r="K425" i="7"/>
  <c r="K536" i="7"/>
  <c r="K38" i="7"/>
  <c r="K576" i="7"/>
  <c r="K240" i="7"/>
  <c r="K753" i="7"/>
  <c r="K34" i="7"/>
  <c r="K663" i="7"/>
  <c r="K547" i="7"/>
  <c r="K635" i="7"/>
  <c r="K592" i="7"/>
  <c r="K539" i="7"/>
  <c r="K275" i="7"/>
  <c r="K578" i="7"/>
  <c r="K858" i="7"/>
  <c r="K548" i="7"/>
  <c r="K316" i="7"/>
  <c r="K644" i="7"/>
  <c r="K318" i="7"/>
  <c r="K532" i="7"/>
  <c r="K216" i="7"/>
  <c r="K511" i="7"/>
  <c r="K416" i="7"/>
  <c r="K577" i="7"/>
  <c r="K393" i="7"/>
  <c r="K14" i="7"/>
  <c r="K28" i="7"/>
  <c r="K725" i="7"/>
  <c r="K237" i="7"/>
  <c r="K411" i="7"/>
  <c r="K165" i="7"/>
  <c r="K60" i="7"/>
  <c r="K410" i="7"/>
  <c r="K262" i="7"/>
  <c r="K230" i="7"/>
  <c r="K549" i="7"/>
  <c r="K236" i="7"/>
  <c r="K244" i="7"/>
  <c r="K512" i="7"/>
  <c r="K344" i="7"/>
  <c r="K113" i="7"/>
  <c r="K139" i="7"/>
  <c r="K648" i="7"/>
  <c r="K735" i="7"/>
  <c r="K851" i="7"/>
  <c r="K680" i="7"/>
  <c r="K285" i="7"/>
  <c r="K61" i="7"/>
  <c r="K508" i="7"/>
  <c r="K479" i="7"/>
  <c r="K771" i="7"/>
  <c r="K868" i="7"/>
  <c r="K341" i="7"/>
  <c r="K388" i="7"/>
  <c r="K627" i="7"/>
  <c r="K705" i="7"/>
  <c r="K125" i="7"/>
  <c r="K64" i="7"/>
  <c r="K57" i="7"/>
  <c r="K854" i="7"/>
  <c r="K794" i="7"/>
  <c r="K417" i="7"/>
  <c r="K435" i="7"/>
  <c r="K754" i="7"/>
  <c r="K313" i="7"/>
  <c r="K135" i="7"/>
  <c r="K268" i="7"/>
  <c r="K331" i="7"/>
  <c r="K151" i="7"/>
  <c r="K805" i="7"/>
  <c r="K730" i="7"/>
  <c r="K312" i="7"/>
  <c r="K523" i="7"/>
  <c r="K759" i="7"/>
  <c r="K672" i="7"/>
  <c r="K605" i="7"/>
  <c r="K366" i="7"/>
  <c r="K575" i="7"/>
  <c r="K12" i="7"/>
  <c r="K144" i="7"/>
  <c r="K159" i="7"/>
  <c r="K790" i="7"/>
  <c r="K128" i="7"/>
  <c r="K401" i="7"/>
  <c r="K127" i="7"/>
  <c r="K73" i="7"/>
  <c r="K374" i="7"/>
  <c r="K808" i="7"/>
  <c r="K297" i="7"/>
  <c r="K404" i="7"/>
  <c r="K775" i="7"/>
  <c r="K813" i="7"/>
  <c r="K762" i="7"/>
  <c r="K795" i="7"/>
  <c r="K812" i="7"/>
  <c r="K580" i="7"/>
  <c r="K497" i="7"/>
  <c r="K502" i="7"/>
  <c r="K748" i="7"/>
  <c r="K22" i="7"/>
  <c r="K791" i="7"/>
  <c r="K345" i="7"/>
  <c r="K540" i="7"/>
  <c r="K370" i="7"/>
  <c r="K622" i="7"/>
  <c r="K124" i="7"/>
  <c r="K422" i="7"/>
  <c r="K426" i="7"/>
  <c r="K141" i="7"/>
  <c r="K302" i="7"/>
  <c r="K584" i="7"/>
  <c r="K555" i="7"/>
  <c r="K767" i="7"/>
  <c r="K210" i="7"/>
  <c r="K342" i="7"/>
  <c r="K383" i="7"/>
  <c r="K559" i="7"/>
  <c r="K400" i="7"/>
  <c r="K309" i="7"/>
  <c r="K169" i="7"/>
  <c r="K846" i="7"/>
  <c r="K389" i="7"/>
  <c r="K779" i="7"/>
  <c r="K433" i="7"/>
  <c r="K180" i="7"/>
  <c r="K526" i="7"/>
  <c r="K688" i="7"/>
  <c r="K148" i="7"/>
  <c r="K174" i="7"/>
  <c r="K42" i="7"/>
  <c r="K310" i="7"/>
  <c r="K419" i="7"/>
  <c r="K115" i="7"/>
  <c r="K796" i="7"/>
  <c r="K86" i="7"/>
  <c r="K761" i="7"/>
  <c r="K587" i="7"/>
  <c r="K24" i="7"/>
  <c r="K58" i="7"/>
  <c r="K162" i="7"/>
  <c r="K381" i="7"/>
  <c r="K322" i="7"/>
  <c r="K724" i="7"/>
  <c r="K504" i="7"/>
  <c r="K491" i="7"/>
  <c r="K814" i="7"/>
  <c r="K462" i="7"/>
  <c r="K623" i="7"/>
  <c r="K183" i="7"/>
  <c r="K146" i="7"/>
  <c r="K434" i="7"/>
  <c r="K391" i="7"/>
  <c r="K87" i="7"/>
  <c r="K351" i="7"/>
  <c r="K560" i="7"/>
  <c r="K8" i="7"/>
  <c r="K465" i="7"/>
  <c r="K744" i="7"/>
  <c r="K332" i="7"/>
  <c r="K138" i="7"/>
  <c r="K736" i="7"/>
  <c r="K402" i="7"/>
  <c r="K718" i="7"/>
  <c r="K70" i="7"/>
  <c r="K428" i="7"/>
  <c r="K328" i="7"/>
  <c r="K303" i="7"/>
  <c r="K686" i="7"/>
  <c r="K708" i="7"/>
  <c r="K782" i="7"/>
  <c r="K755" i="7"/>
  <c r="K615" i="7"/>
  <c r="K574" i="7"/>
  <c r="K678" i="7"/>
  <c r="K734" i="7"/>
  <c r="K167" i="7"/>
  <c r="K280" i="7"/>
  <c r="K799" i="7"/>
  <c r="K699" i="7"/>
  <c r="K152" i="7"/>
  <c r="K67" i="7"/>
  <c r="K824" i="7"/>
  <c r="K278" i="7"/>
  <c r="K649" i="7"/>
  <c r="K514" i="7"/>
  <c r="K212" i="7"/>
  <c r="K242" i="7"/>
  <c r="K772" i="7"/>
  <c r="K567" i="7"/>
  <c r="K640" i="7"/>
  <c r="K384" i="7"/>
  <c r="K579" i="7"/>
  <c r="K834" i="7"/>
  <c r="K15" i="7"/>
  <c r="K668" i="7"/>
  <c r="K418" i="7"/>
  <c r="K789" i="7"/>
  <c r="K503" i="7"/>
  <c r="K521" i="7"/>
  <c r="K828" i="7"/>
  <c r="K343" i="7"/>
  <c r="K863" i="7"/>
  <c r="K245" i="7"/>
  <c r="K561" i="7"/>
  <c r="K283" i="7"/>
  <c r="K477" i="7"/>
  <c r="K259" i="7"/>
  <c r="K542" i="7"/>
  <c r="K838" i="7"/>
  <c r="K807" i="7"/>
  <c r="K552" i="7"/>
  <c r="K614" i="7"/>
  <c r="K550" i="7"/>
  <c r="K149" i="7"/>
  <c r="K645" i="7"/>
  <c r="K570" i="7"/>
  <c r="K306" i="7"/>
  <c r="K179" i="7"/>
  <c r="K429" i="7"/>
  <c r="K35" i="7"/>
  <c r="K178" i="7"/>
  <c r="K618" i="7"/>
  <c r="K346" i="7"/>
  <c r="K356" i="7"/>
  <c r="K182" i="7"/>
  <c r="K363" i="7"/>
  <c r="K226" i="7"/>
  <c r="K407" i="7"/>
  <c r="K747" i="7"/>
  <c r="K414" i="7"/>
  <c r="K661" i="7"/>
  <c r="K710" i="7"/>
  <c r="K723" i="7"/>
  <c r="K376" i="7"/>
  <c r="K729" i="7"/>
  <c r="K525" i="7"/>
  <c r="K29" i="7"/>
  <c r="K702" i="7"/>
  <c r="K852" i="7"/>
  <c r="K90" i="7"/>
  <c r="K573" i="7"/>
  <c r="K707" i="7"/>
  <c r="K222" i="7"/>
  <c r="K785" i="7"/>
  <c r="K519" i="7"/>
  <c r="K494" i="7"/>
  <c r="K847" i="7"/>
  <c r="K261" i="7"/>
  <c r="K800" i="7"/>
  <c r="K588" i="7"/>
  <c r="K160" i="7"/>
  <c r="K26" i="7"/>
  <c r="K595" i="7"/>
  <c r="K822" i="7"/>
  <c r="K440" i="7"/>
  <c r="K665" i="7"/>
  <c r="K764" i="7"/>
  <c r="K777" i="7"/>
  <c r="K671" i="7"/>
  <c r="K832" i="7"/>
  <c r="K228" i="7"/>
  <c r="K634" i="7"/>
  <c r="K114" i="7"/>
  <c r="K385" i="7"/>
  <c r="K37" i="7"/>
  <c r="K279" i="7"/>
  <c r="K191" i="7"/>
  <c r="K108" i="7"/>
  <c r="K56" i="7"/>
  <c r="K311" i="7"/>
  <c r="K507" i="7"/>
  <c r="K97" i="7"/>
  <c r="K500" i="7"/>
  <c r="K319" i="7"/>
  <c r="K18" i="7"/>
  <c r="K264" i="7"/>
  <c r="K437" i="7"/>
  <c r="K510" i="7"/>
  <c r="K338" i="7"/>
  <c r="K853" i="7"/>
  <c r="K111" i="7"/>
  <c r="K333" i="7"/>
  <c r="K186" i="7"/>
  <c r="K721" i="7"/>
  <c r="K102" i="7"/>
  <c r="K713" i="7"/>
  <c r="K809" i="7"/>
  <c r="K27" i="7"/>
  <c r="K569" i="7"/>
  <c r="K446" i="7"/>
  <c r="K150" i="7"/>
  <c r="K164" i="7"/>
  <c r="K184" i="7"/>
  <c r="K865" i="7"/>
  <c r="K40" i="7"/>
  <c r="K726" i="7"/>
  <c r="K122" i="7"/>
  <c r="K817" i="7"/>
  <c r="K452" i="7"/>
  <c r="K89" i="7"/>
  <c r="K187" i="7"/>
  <c r="K593" i="7"/>
  <c r="K399" i="7"/>
  <c r="K294" i="7"/>
  <c r="K819" i="7"/>
  <c r="K499" i="7"/>
  <c r="K522" i="7"/>
  <c r="K598" i="7"/>
  <c r="K80" i="7"/>
  <c r="K509" i="7"/>
  <c r="L509" i="7" s="1"/>
  <c r="K798" i="7"/>
  <c r="L798" i="7" s="1"/>
  <c r="K643" i="7"/>
  <c r="L643" i="7" s="1"/>
  <c r="K439" i="7"/>
  <c r="L439" i="7" s="1"/>
  <c r="K749" i="7"/>
  <c r="L749" i="7" s="1"/>
  <c r="K53" i="7"/>
  <c r="L53" i="7" s="1"/>
  <c r="K454" i="7"/>
  <c r="L454" i="7" s="1"/>
  <c r="K679" i="7"/>
  <c r="L679" i="7" s="1"/>
  <c r="K631" i="7"/>
  <c r="L631" i="7" s="1"/>
  <c r="K118" i="7"/>
  <c r="L118" i="7" s="1"/>
  <c r="K9" i="7"/>
  <c r="L9" i="7" s="1"/>
  <c r="K76" i="7"/>
  <c r="L76" i="7" s="1"/>
  <c r="K398" i="7"/>
  <c r="L398" i="7" s="1"/>
  <c r="K758" i="7"/>
  <c r="L758" i="7" s="1"/>
  <c r="K442" i="7"/>
  <c r="L442" i="7" s="1"/>
  <c r="K45" i="7"/>
  <c r="L45" i="7" s="1"/>
  <c r="K81" i="7"/>
  <c r="L81" i="7" s="1"/>
  <c r="K286" i="7"/>
  <c r="L286" i="7" s="1"/>
  <c r="K354" i="7"/>
  <c r="L354" i="7" s="1"/>
  <c r="K719" i="7"/>
  <c r="L719" i="7" s="1"/>
  <c r="K449" i="7"/>
  <c r="L449" i="7" s="1"/>
  <c r="K11" i="7"/>
  <c r="L11" i="7" s="1"/>
  <c r="K564" i="7"/>
  <c r="L564" i="7" s="1"/>
  <c r="K826" i="7"/>
  <c r="L826" i="7" s="1"/>
  <c r="K825" i="7"/>
  <c r="L825" i="7" s="1"/>
  <c r="K717" i="7"/>
  <c r="L717" i="7" s="1"/>
  <c r="K258" i="7"/>
  <c r="L258" i="7" s="1"/>
  <c r="K88" i="7"/>
  <c r="L88" i="7" s="1"/>
  <c r="K870" i="7"/>
  <c r="L870" i="7" s="1"/>
  <c r="K704" i="7"/>
  <c r="L704" i="7" s="1"/>
  <c r="K195" i="7"/>
  <c r="L195" i="7" s="1"/>
  <c r="K855" i="7"/>
  <c r="L855" i="7" s="1"/>
  <c r="K133" i="7"/>
  <c r="L133" i="7" s="1"/>
  <c r="K364" i="7"/>
  <c r="L364" i="7" s="1"/>
  <c r="K571" i="7"/>
  <c r="L571" i="7" s="1"/>
  <c r="K209" i="7"/>
  <c r="L209" i="7" s="1"/>
  <c r="K628" i="7"/>
  <c r="L628" i="7" s="1"/>
  <c r="K334" i="7"/>
  <c r="L334" i="7" s="1"/>
  <c r="K533" i="7"/>
  <c r="L533" i="7" s="1"/>
  <c r="K685" i="7"/>
  <c r="L685" i="7" s="1"/>
  <c r="K568" i="7"/>
  <c r="L568" i="7" s="1"/>
  <c r="K377" i="7"/>
  <c r="L377" i="7" s="1"/>
  <c r="K140" i="7"/>
  <c r="L140" i="7" s="1"/>
  <c r="K415" i="7"/>
  <c r="L415" i="7" s="1"/>
  <c r="K386" i="7"/>
  <c r="L386" i="7" s="1"/>
  <c r="K656" i="7"/>
  <c r="L656" i="7" s="1"/>
  <c r="K652" i="7"/>
  <c r="L652" i="7" s="1"/>
  <c r="K387" i="7"/>
  <c r="L387" i="7" s="1"/>
  <c r="K287" i="7"/>
  <c r="L287" i="7" s="1"/>
  <c r="K21" i="7"/>
  <c r="L21" i="7" s="1"/>
  <c r="K607" i="7"/>
  <c r="L607" i="7" s="1"/>
  <c r="K746" i="7"/>
  <c r="L746" i="7" s="1"/>
  <c r="K836" i="7"/>
  <c r="L836" i="7" s="1"/>
  <c r="K445" i="7"/>
  <c r="L445" i="7" s="1"/>
  <c r="K308" i="7"/>
  <c r="L308" i="7" s="1"/>
  <c r="K669" i="7"/>
  <c r="L669" i="7" s="1"/>
  <c r="K340" i="7"/>
  <c r="L340" i="7" s="1"/>
  <c r="K282" i="7"/>
  <c r="L282" i="7" s="1"/>
  <c r="K602" i="7"/>
  <c r="L602" i="7" s="1"/>
  <c r="K676" i="7"/>
  <c r="L676" i="7" s="1"/>
  <c r="K695" i="7"/>
  <c r="L695" i="7" s="1"/>
  <c r="K763" i="7"/>
  <c r="L763" i="7" s="1"/>
  <c r="K478" i="7"/>
  <c r="L478" i="7" s="1"/>
  <c r="K79" i="7"/>
  <c r="L79" i="7" s="1"/>
  <c r="K168" i="7"/>
  <c r="L168" i="7" s="1"/>
  <c r="K857" i="7"/>
  <c r="L857" i="7" s="1"/>
  <c r="K137" i="7"/>
  <c r="L137" i="7" s="1"/>
  <c r="K233" i="7"/>
  <c r="L233" i="7" s="1"/>
  <c r="K249" i="7"/>
  <c r="L249" i="7" s="1"/>
  <c r="K51" i="7"/>
  <c r="L51" i="7" s="1"/>
  <c r="K742" i="7"/>
  <c r="L742" i="7" s="1"/>
  <c r="K830" i="7"/>
  <c r="L830" i="7" s="1"/>
  <c r="K181" i="7"/>
  <c r="L181" i="7" s="1"/>
  <c r="K752" i="7"/>
  <c r="L752" i="7" s="1"/>
  <c r="K193" i="7"/>
  <c r="L193" i="7" s="1"/>
  <c r="K596" i="7"/>
  <c r="L596" i="7" s="1"/>
  <c r="K801" i="7"/>
  <c r="L801" i="7" s="1"/>
  <c r="K323" i="7"/>
  <c r="L323" i="7" s="1"/>
  <c r="K304" i="7"/>
  <c r="L304" i="7" s="1"/>
  <c r="K681" i="7"/>
  <c r="L681" i="7" s="1"/>
  <c r="K546" i="7"/>
  <c r="L546" i="7" s="1"/>
  <c r="K320" i="7"/>
  <c r="L320" i="7" s="1"/>
  <c r="K706" i="7"/>
  <c r="L706" i="7" s="1"/>
  <c r="K390" i="7"/>
  <c r="L390" i="7" s="1"/>
  <c r="K372" i="7"/>
  <c r="L372" i="7" s="1"/>
  <c r="K756" i="7"/>
  <c r="L756" i="7" s="1"/>
  <c r="K250" i="7"/>
  <c r="L250" i="7" s="1"/>
  <c r="K380" i="7"/>
  <c r="L380" i="7" s="1"/>
  <c r="K856" i="7"/>
  <c r="L856" i="7" s="1"/>
  <c r="K277" i="7"/>
  <c r="L277" i="7" s="1"/>
  <c r="K527" i="7"/>
  <c r="L527" i="7" s="1"/>
  <c r="K667" i="7"/>
  <c r="L667" i="7" s="1"/>
  <c r="K606" i="7"/>
  <c r="L606" i="7" s="1"/>
  <c r="K397" i="7"/>
  <c r="L397" i="7" s="1"/>
  <c r="K768" i="7"/>
  <c r="L768" i="7" s="1"/>
  <c r="K613" i="7"/>
  <c r="L613" i="7" s="1"/>
  <c r="K660" i="7"/>
  <c r="L660" i="7" s="1"/>
  <c r="K100" i="7"/>
  <c r="L100" i="7" s="1"/>
  <c r="K200" i="7"/>
  <c r="L200" i="7" s="1"/>
  <c r="K409" i="7"/>
  <c r="L409" i="7" s="1"/>
  <c r="K461" i="7"/>
  <c r="L461" i="7" s="1"/>
  <c r="K438" i="7"/>
  <c r="L438" i="7" s="1"/>
  <c r="K117" i="7"/>
  <c r="L117" i="7" s="1"/>
  <c r="K831" i="7"/>
  <c r="L831" i="7" s="1"/>
  <c r="K658" i="7"/>
  <c r="L658" i="7" s="1"/>
  <c r="K158" i="7"/>
  <c r="L158" i="7" s="1"/>
  <c r="K839" i="7"/>
  <c r="L839" i="7" s="1"/>
  <c r="K272" i="7"/>
  <c r="L272" i="7" s="1"/>
  <c r="K496" i="7"/>
  <c r="L496" i="7" s="1"/>
  <c r="K132" i="7"/>
  <c r="L132" i="7" s="1"/>
  <c r="K166" i="7"/>
  <c r="L166" i="7" s="1"/>
  <c r="K13" i="7"/>
  <c r="L13" i="7" s="1"/>
  <c r="K714" i="7"/>
  <c r="L714" i="7" s="1"/>
  <c r="K20" i="7"/>
  <c r="L20" i="7" s="1"/>
  <c r="K136" i="7"/>
  <c r="L136" i="7" s="1"/>
  <c r="K196" i="7"/>
  <c r="L196" i="7" s="1"/>
  <c r="K172" i="7"/>
  <c r="L172" i="7" s="1"/>
  <c r="K32" i="7"/>
  <c r="L32" i="7" s="1"/>
  <c r="K367" i="7"/>
  <c r="L367" i="7" s="1"/>
  <c r="K208" i="7"/>
  <c r="L208" i="7" s="1"/>
  <c r="K129" i="7"/>
  <c r="L129" i="7" s="1"/>
  <c r="K82" i="7"/>
  <c r="L82" i="7" s="1"/>
  <c r="K687" i="7"/>
  <c r="L687" i="7" s="1"/>
  <c r="K600" i="7"/>
  <c r="L600" i="7" s="1"/>
  <c r="K103" i="7"/>
  <c r="L103" i="7" s="1"/>
  <c r="K820" i="7"/>
  <c r="L820" i="7" s="1"/>
  <c r="K727" i="7"/>
  <c r="L727" i="7" s="1"/>
  <c r="K213" i="7"/>
  <c r="L213" i="7" s="1"/>
  <c r="K690" i="7"/>
  <c r="L690" i="7" s="1"/>
  <c r="K582" i="7"/>
  <c r="L582" i="7" s="1"/>
  <c r="K611" i="7"/>
  <c r="L611" i="7" s="1"/>
  <c r="K325" i="7"/>
  <c r="L325" i="7" s="1"/>
  <c r="K621" i="7"/>
  <c r="L621" i="7" s="1"/>
  <c r="K760" i="7"/>
  <c r="L760" i="7" s="1"/>
  <c r="K541" i="7"/>
  <c r="L541" i="7" s="1"/>
  <c r="K673" i="7"/>
  <c r="L673" i="7" s="1"/>
  <c r="K105" i="7"/>
  <c r="L105" i="7" s="1"/>
  <c r="K737" i="7"/>
  <c r="L737" i="7" s="1"/>
  <c r="K670" i="7"/>
  <c r="L670" i="7" s="1"/>
  <c r="K774" i="7"/>
  <c r="L774" i="7" s="1"/>
  <c r="K816" i="7"/>
  <c r="L816" i="7" s="1"/>
  <c r="K581" i="7"/>
  <c r="L581" i="7" s="1"/>
  <c r="K616" i="7"/>
  <c r="L616" i="7" s="1"/>
  <c r="K693" i="7"/>
  <c r="L693" i="7" s="1"/>
  <c r="K298" i="7"/>
  <c r="L298" i="7" s="1"/>
  <c r="K98" i="7"/>
  <c r="L98" i="7" s="1"/>
  <c r="K371" i="7"/>
  <c r="L371" i="7" s="1"/>
  <c r="K350" i="7"/>
  <c r="L350" i="7" s="1"/>
  <c r="K629" i="7"/>
  <c r="L629" i="7" s="1"/>
  <c r="K833" i="7"/>
  <c r="L833" i="7" s="1"/>
  <c r="K444" i="7"/>
  <c r="L444" i="7" s="1"/>
  <c r="K473" i="7"/>
  <c r="L473" i="7" s="1"/>
  <c r="K74" i="7"/>
  <c r="L74" i="7" s="1"/>
  <c r="K292" i="7"/>
  <c r="L292" i="7" s="1"/>
  <c r="K757" i="7"/>
  <c r="L757" i="7" s="1"/>
  <c r="K205" i="7"/>
  <c r="L205" i="7" s="1"/>
  <c r="K101" i="7"/>
  <c r="L101" i="7" s="1"/>
  <c r="K558" i="7"/>
  <c r="L558" i="7" s="1"/>
  <c r="K597" i="7"/>
  <c r="L597" i="7" s="1"/>
  <c r="K545" i="7"/>
  <c r="L545" i="7" s="1"/>
  <c r="K436" i="7"/>
  <c r="L436" i="7" s="1"/>
  <c r="K470" i="7"/>
  <c r="L470" i="7" s="1"/>
  <c r="K632" i="7"/>
  <c r="L632" i="7" s="1"/>
  <c r="K107" i="7"/>
  <c r="L107" i="7" s="1"/>
  <c r="K243" i="7"/>
  <c r="L243" i="7" s="1"/>
  <c r="K806" i="7"/>
  <c r="L806" i="7" s="1"/>
  <c r="K829" i="7"/>
  <c r="L829" i="7" s="1"/>
  <c r="K405" i="7"/>
  <c r="L405" i="7" s="1"/>
  <c r="K44" i="7"/>
  <c r="L44" i="7" s="1"/>
  <c r="K773" i="7"/>
  <c r="L773" i="7" s="1"/>
  <c r="K506" i="7"/>
  <c r="L506" i="7" s="1"/>
  <c r="K198" i="7"/>
  <c r="L198" i="7" s="1"/>
  <c r="K207" i="7"/>
  <c r="L207" i="7" s="1"/>
  <c r="K289" i="7"/>
  <c r="L289" i="7" s="1"/>
  <c r="K698" i="7"/>
  <c r="L698" i="7" s="1"/>
  <c r="K267" i="7"/>
  <c r="L267" i="7" s="1"/>
  <c r="K731" i="7"/>
  <c r="L731" i="7" s="1"/>
  <c r="K647" i="7"/>
  <c r="L647" i="7" s="1"/>
  <c r="K653" i="7"/>
  <c r="L653" i="7" s="1"/>
  <c r="K715" i="7"/>
  <c r="L715" i="7" s="1"/>
  <c r="K110" i="7"/>
  <c r="L110" i="7" s="1"/>
  <c r="K513" i="7"/>
  <c r="L513" i="7" s="1"/>
  <c r="K284" i="7"/>
  <c r="L284" i="7" s="1"/>
  <c r="K255" i="7"/>
  <c r="L255" i="7" s="1"/>
  <c r="K619" i="7"/>
  <c r="L619" i="7" s="1"/>
  <c r="K677" i="7"/>
  <c r="L677" i="7" s="1"/>
  <c r="K778" i="7"/>
  <c r="L778" i="7" s="1"/>
  <c r="K369" i="7"/>
  <c r="L369" i="7" s="1"/>
  <c r="K716" i="7"/>
  <c r="L716" i="7" s="1"/>
  <c r="K273" i="7"/>
  <c r="L273" i="7" s="1"/>
  <c r="K696" i="7"/>
  <c r="L696" i="7" s="1"/>
  <c r="K194" i="7"/>
  <c r="L194" i="7" s="1"/>
  <c r="K531" i="7"/>
  <c r="L531" i="7" s="1"/>
  <c r="K610" i="7"/>
  <c r="L610" i="7" s="1"/>
  <c r="K843" i="7"/>
  <c r="L843" i="7" s="1"/>
  <c r="K92" i="7"/>
  <c r="L92" i="7" s="1"/>
  <c r="K827" i="7"/>
  <c r="L827" i="7" s="1"/>
  <c r="K802" i="7"/>
  <c r="L802" i="7" s="1"/>
  <c r="K495" i="7"/>
  <c r="L495" i="7" s="1"/>
  <c r="K109" i="7"/>
  <c r="L109" i="7" s="1"/>
  <c r="K780" i="7"/>
  <c r="L780" i="7" s="1"/>
  <c r="K66" i="7"/>
  <c r="L66" i="7" s="1"/>
  <c r="K430" i="7"/>
  <c r="L430" i="7" s="1"/>
  <c r="K703" i="7"/>
  <c r="L703" i="7" s="1"/>
  <c r="K83" i="7"/>
  <c r="L83" i="7" s="1"/>
  <c r="K867" i="7"/>
  <c r="L867" i="7" s="1"/>
  <c r="K528" i="7"/>
  <c r="L528" i="7" s="1"/>
  <c r="K529" i="7"/>
  <c r="L529" i="7" s="1"/>
  <c r="K173" i="7"/>
  <c r="L173" i="7" s="1"/>
  <c r="K72" i="7"/>
  <c r="L72" i="7" s="1"/>
  <c r="K544" i="7"/>
  <c r="L544" i="7" s="1"/>
  <c r="K252" i="7"/>
  <c r="L252" i="7" s="1"/>
  <c r="K203" i="7"/>
  <c r="L203" i="7" s="1"/>
  <c r="K642" i="7"/>
  <c r="L642" i="7" s="1"/>
  <c r="K474" i="7"/>
  <c r="L474" i="7" s="1"/>
  <c r="K554" i="7"/>
  <c r="L554" i="7" s="1"/>
  <c r="K68" i="7"/>
  <c r="L68" i="7" s="1"/>
  <c r="K291" i="7"/>
  <c r="L291" i="7" s="1"/>
  <c r="K501" i="7"/>
  <c r="L501" i="7" s="1"/>
  <c r="K19" i="7"/>
  <c r="L19" i="7" s="1"/>
  <c r="K740" i="7"/>
  <c r="L740" i="7" s="1"/>
  <c r="K75" i="7"/>
  <c r="L75" i="7" s="1"/>
  <c r="K349" i="7"/>
  <c r="L349" i="7" s="1"/>
  <c r="K85" i="7"/>
  <c r="L85" i="7" s="1"/>
  <c r="K637" i="7"/>
  <c r="L637" i="7" s="1"/>
  <c r="K604" i="7"/>
  <c r="L604" i="7" s="1"/>
  <c r="K787" i="7"/>
  <c r="L787" i="7" s="1"/>
  <c r="K161" i="7"/>
  <c r="L161" i="7" s="1"/>
  <c r="K770" i="7"/>
  <c r="L770" i="7" s="1"/>
  <c r="K451" i="7"/>
  <c r="L451" i="7" s="1"/>
  <c r="K365" i="7"/>
  <c r="L365" i="7" s="1"/>
  <c r="K335" i="7"/>
  <c r="L335" i="7" s="1"/>
  <c r="K664" i="7"/>
  <c r="L664" i="7" s="1"/>
  <c r="K741" i="7"/>
  <c r="L741" i="7" s="1"/>
  <c r="K563" i="7"/>
  <c r="L563" i="7" s="1"/>
  <c r="K784" i="7"/>
  <c r="L784" i="7" s="1"/>
  <c r="K84" i="7"/>
  <c r="L84" i="7" s="1"/>
  <c r="K565" i="7"/>
  <c r="L565" i="7" s="1"/>
  <c r="K443" i="7"/>
  <c r="L443" i="7" s="1"/>
  <c r="K134" i="7"/>
  <c r="L134" i="7" s="1"/>
  <c r="K448" i="7"/>
  <c r="L448" i="7" s="1"/>
  <c r="K666" i="7"/>
  <c r="L666" i="7" s="1"/>
  <c r="K229" i="7"/>
  <c r="L229" i="7" s="1"/>
  <c r="K225" i="7"/>
  <c r="L225" i="7" s="1"/>
  <c r="K464" i="7"/>
  <c r="L464" i="7" s="1"/>
  <c r="K219" i="7"/>
  <c r="L219" i="7" s="1"/>
  <c r="K201" i="7"/>
  <c r="L201" i="7" s="1"/>
  <c r="K295" i="7"/>
  <c r="L295" i="7" s="1"/>
  <c r="K197" i="7"/>
  <c r="L197" i="7" s="1"/>
  <c r="K823" i="7"/>
  <c r="L823" i="7" s="1"/>
  <c r="K518" i="7"/>
  <c r="L518" i="7" s="1"/>
  <c r="K330" i="7"/>
  <c r="L330" i="7" s="1"/>
  <c r="K403" i="7"/>
  <c r="L403" i="7" s="1"/>
  <c r="K585" i="7"/>
  <c r="L585" i="7" s="1"/>
  <c r="K733" i="7"/>
  <c r="L733" i="7" s="1"/>
  <c r="K485" i="7"/>
  <c r="L485" i="7" s="1"/>
  <c r="K484" i="7"/>
  <c r="L484" i="7" s="1"/>
  <c r="K43" i="7"/>
  <c r="L43" i="7" s="1"/>
  <c r="K482" i="7"/>
  <c r="L482" i="7" s="1"/>
  <c r="K524" i="7"/>
  <c r="L524" i="7" s="1"/>
  <c r="K54" i="7"/>
  <c r="L54" i="7" s="1"/>
  <c r="K202" i="7"/>
  <c r="L202" i="7" s="1"/>
  <c r="K290" i="7"/>
  <c r="L290" i="7" s="1"/>
  <c r="K601" i="7"/>
  <c r="L601" i="7" s="1"/>
  <c r="K293" i="7"/>
  <c r="L293" i="7" s="1"/>
  <c r="K362" i="7"/>
  <c r="L362" i="7" s="1"/>
  <c r="K837" i="7"/>
  <c r="L837" i="7" s="1"/>
  <c r="K516" i="7"/>
  <c r="L516" i="7" s="1"/>
  <c r="K682" i="7"/>
  <c r="L682" i="7" s="1"/>
  <c r="K190" i="7"/>
  <c r="L190" i="7" s="1"/>
  <c r="K844" i="7"/>
  <c r="L844" i="7" s="1"/>
  <c r="K472" i="7"/>
  <c r="L472" i="7" s="1"/>
  <c r="K701" i="7"/>
  <c r="L701" i="7" s="1"/>
  <c r="K220" i="7"/>
  <c r="L220" i="7" s="1"/>
  <c r="K361" i="7"/>
  <c r="L361" i="7" s="1"/>
  <c r="K459" i="7"/>
  <c r="L459" i="7" s="1"/>
  <c r="K864" i="7"/>
  <c r="L864" i="7" s="1"/>
  <c r="K424" i="7"/>
  <c r="L424" i="7" s="1"/>
  <c r="K423" i="7"/>
  <c r="L423" i="7" s="1"/>
  <c r="K466" i="7"/>
  <c r="L466" i="7" s="1"/>
  <c r="K609" i="7"/>
  <c r="L609" i="7" s="1"/>
  <c r="K432" i="7"/>
  <c r="L432" i="7" s="1"/>
  <c r="K427" i="7"/>
  <c r="L427" i="7" s="1"/>
  <c r="K359" i="7"/>
  <c r="L359" i="7" s="1"/>
  <c r="K256" i="7"/>
  <c r="L256" i="7" s="1"/>
  <c r="J722" i="7"/>
  <c r="J375" i="7"/>
  <c r="J630" i="7"/>
  <c r="J263" i="7"/>
  <c r="J487" i="7"/>
  <c r="J457" i="7"/>
  <c r="J30" i="7"/>
  <c r="J515" i="7"/>
  <c r="J441" i="7"/>
  <c r="J551" i="7"/>
  <c r="J657" i="7"/>
  <c r="J469" i="7"/>
  <c r="J848" i="7"/>
  <c r="J147" i="7"/>
  <c r="J241" i="7"/>
  <c r="J25" i="7"/>
  <c r="J583" i="7"/>
  <c r="J17" i="7"/>
  <c r="J586" i="7"/>
  <c r="J154" i="7"/>
  <c r="J46" i="7"/>
  <c r="J329" i="7"/>
  <c r="J765" i="7"/>
  <c r="J143" i="7"/>
  <c r="J425" i="7"/>
  <c r="J536" i="7"/>
  <c r="J38" i="7"/>
  <c r="J576" i="7"/>
  <c r="J240" i="7"/>
  <c r="J753" i="7"/>
  <c r="J34" i="7"/>
  <c r="J663" i="7"/>
  <c r="J547" i="7"/>
  <c r="J635" i="7"/>
  <c r="J592" i="7"/>
  <c r="J539" i="7"/>
  <c r="J275" i="7"/>
  <c r="J578" i="7"/>
  <c r="J858" i="7"/>
  <c r="J548" i="7"/>
  <c r="J316" i="7"/>
  <c r="J644" i="7"/>
  <c r="J318" i="7"/>
  <c r="J532" i="7"/>
  <c r="J216" i="7"/>
  <c r="J511" i="7"/>
  <c r="J416" i="7"/>
  <c r="J577" i="7"/>
  <c r="J393" i="7"/>
  <c r="J14" i="7"/>
  <c r="J28" i="7"/>
  <c r="J725" i="7"/>
  <c r="J237" i="7"/>
  <c r="J411" i="7"/>
  <c r="J165" i="7"/>
  <c r="J60" i="7"/>
  <c r="J410" i="7"/>
  <c r="J262" i="7"/>
  <c r="J230" i="7"/>
  <c r="J549" i="7"/>
  <c r="J236" i="7"/>
  <c r="J244" i="7"/>
  <c r="J512" i="7"/>
  <c r="J344" i="7"/>
  <c r="J113" i="7"/>
  <c r="J139" i="7"/>
  <c r="J648" i="7"/>
  <c r="J735" i="7"/>
  <c r="J851" i="7"/>
  <c r="J680" i="7"/>
  <c r="J285" i="7"/>
  <c r="J61" i="7"/>
  <c r="J508" i="7"/>
  <c r="J479" i="7"/>
  <c r="J771" i="7"/>
  <c r="J868" i="7"/>
  <c r="J341" i="7"/>
  <c r="J388" i="7"/>
  <c r="J627" i="7"/>
  <c r="J705" i="7"/>
  <c r="J125" i="7"/>
  <c r="J64" i="7"/>
  <c r="J57" i="7"/>
  <c r="J854" i="7"/>
  <c r="J794" i="7"/>
  <c r="J417" i="7"/>
  <c r="J435" i="7"/>
  <c r="J754" i="7"/>
  <c r="J313" i="7"/>
  <c r="J135" i="7"/>
  <c r="J268" i="7"/>
  <c r="J331" i="7"/>
  <c r="J151" i="7"/>
  <c r="J805" i="7"/>
  <c r="J730" i="7"/>
  <c r="J312" i="7"/>
  <c r="J523" i="7"/>
  <c r="J759" i="7"/>
  <c r="J672" i="7"/>
  <c r="J605" i="7"/>
  <c r="J366" i="7"/>
  <c r="J575" i="7"/>
  <c r="J12" i="7"/>
  <c r="J144" i="7"/>
  <c r="J159" i="7"/>
  <c r="J790" i="7"/>
  <c r="J128" i="7"/>
  <c r="J401" i="7"/>
  <c r="J127" i="7"/>
  <c r="J73" i="7"/>
  <c r="J374" i="7"/>
  <c r="J808" i="7"/>
  <c r="J297" i="7"/>
  <c r="J404" i="7"/>
  <c r="J775" i="7"/>
  <c r="J813" i="7"/>
  <c r="J762" i="7"/>
  <c r="J795" i="7"/>
  <c r="J812" i="7"/>
  <c r="J580" i="7"/>
  <c r="J497" i="7"/>
  <c r="J502" i="7"/>
  <c r="J748" i="7"/>
  <c r="J22" i="7"/>
  <c r="J791" i="7"/>
  <c r="J345" i="7"/>
  <c r="J540" i="7"/>
  <c r="J370" i="7"/>
  <c r="J622" i="7"/>
  <c r="J124" i="7"/>
  <c r="J422" i="7"/>
  <c r="J426" i="7"/>
  <c r="J141" i="7"/>
  <c r="J302" i="7"/>
  <c r="J584" i="7"/>
  <c r="J555" i="7"/>
  <c r="J767" i="7"/>
  <c r="J210" i="7"/>
  <c r="J342" i="7"/>
  <c r="J383" i="7"/>
  <c r="J559" i="7"/>
  <c r="J400" i="7"/>
  <c r="J309" i="7"/>
  <c r="J169" i="7"/>
  <c r="J846" i="7"/>
  <c r="J389" i="7"/>
  <c r="J779" i="7"/>
  <c r="J433" i="7"/>
  <c r="J180" i="7"/>
  <c r="J526" i="7"/>
  <c r="J688" i="7"/>
  <c r="J148" i="7"/>
  <c r="J174" i="7"/>
  <c r="J42" i="7"/>
  <c r="J310" i="7"/>
  <c r="J419" i="7"/>
  <c r="J115" i="7"/>
  <c r="J796" i="7"/>
  <c r="J86" i="7"/>
  <c r="J761" i="7"/>
  <c r="J587" i="7"/>
  <c r="J24" i="7"/>
  <c r="J58" i="7"/>
  <c r="J162" i="7"/>
  <c r="J381" i="7"/>
  <c r="J322" i="7"/>
  <c r="J724" i="7"/>
  <c r="J504" i="7"/>
  <c r="J491" i="7"/>
  <c r="J814" i="7"/>
  <c r="J462" i="7"/>
  <c r="J623" i="7"/>
  <c r="J183" i="7"/>
  <c r="J146" i="7"/>
  <c r="J434" i="7"/>
  <c r="J391" i="7"/>
  <c r="J87" i="7"/>
  <c r="J351" i="7"/>
  <c r="J560" i="7"/>
  <c r="J8" i="7"/>
  <c r="J465" i="7"/>
  <c r="J744" i="7"/>
  <c r="J332" i="7"/>
  <c r="J138" i="7"/>
  <c r="J736" i="7"/>
  <c r="J402" i="7"/>
  <c r="J718" i="7"/>
  <c r="J70" i="7"/>
  <c r="J428" i="7"/>
  <c r="J328" i="7"/>
  <c r="J303" i="7"/>
  <c r="J686" i="7"/>
  <c r="J708" i="7"/>
  <c r="J782" i="7"/>
  <c r="J755" i="7"/>
  <c r="J615" i="7"/>
  <c r="J574" i="7"/>
  <c r="J678" i="7"/>
  <c r="J734" i="7"/>
  <c r="J167" i="7"/>
  <c r="J280" i="7"/>
  <c r="J799" i="7"/>
  <c r="J699" i="7"/>
  <c r="J152" i="7"/>
  <c r="J67" i="7"/>
  <c r="J824" i="7"/>
  <c r="J278" i="7"/>
  <c r="J649" i="7"/>
  <c r="J514" i="7"/>
  <c r="J212" i="7"/>
  <c r="J242" i="7"/>
  <c r="J772" i="7"/>
  <c r="J567" i="7"/>
  <c r="J640" i="7"/>
  <c r="J384" i="7"/>
  <c r="J579" i="7"/>
  <c r="J834" i="7"/>
  <c r="J15" i="7"/>
  <c r="J668" i="7"/>
  <c r="J418" i="7"/>
  <c r="J789" i="7"/>
  <c r="J503" i="7"/>
  <c r="J521" i="7"/>
  <c r="J828" i="7"/>
  <c r="J343" i="7"/>
  <c r="J863" i="7"/>
  <c r="J245" i="7"/>
  <c r="J561" i="7"/>
  <c r="J283" i="7"/>
  <c r="J477" i="7"/>
  <c r="J259" i="7"/>
  <c r="J542" i="7"/>
  <c r="J838" i="7"/>
  <c r="J807" i="7"/>
  <c r="J552" i="7"/>
  <c r="J614" i="7"/>
  <c r="J550" i="7"/>
  <c r="J149" i="7"/>
  <c r="J645" i="7"/>
  <c r="J570" i="7"/>
  <c r="J306" i="7"/>
  <c r="J179" i="7"/>
  <c r="J429" i="7"/>
  <c r="J35" i="7"/>
  <c r="J178" i="7"/>
  <c r="J618" i="7"/>
  <c r="J346" i="7"/>
  <c r="J356" i="7"/>
  <c r="J182" i="7"/>
  <c r="J363" i="7"/>
  <c r="J226" i="7"/>
  <c r="J407" i="7"/>
  <c r="J747" i="7"/>
  <c r="J414" i="7"/>
  <c r="J661" i="7"/>
  <c r="J710" i="7"/>
  <c r="J723" i="7"/>
  <c r="J376" i="7"/>
  <c r="J729" i="7"/>
  <c r="J525" i="7"/>
  <c r="J29" i="7"/>
  <c r="J702" i="7"/>
  <c r="J852" i="7"/>
  <c r="J90" i="7"/>
  <c r="J573" i="7"/>
  <c r="J707" i="7"/>
  <c r="J222" i="7"/>
  <c r="J785" i="7"/>
  <c r="J519" i="7"/>
  <c r="J494" i="7"/>
  <c r="J847" i="7"/>
  <c r="J261" i="7"/>
  <c r="J800" i="7"/>
  <c r="J588" i="7"/>
  <c r="J160" i="7"/>
  <c r="J26" i="7"/>
  <c r="J595" i="7"/>
  <c r="J822" i="7"/>
  <c r="J440" i="7"/>
  <c r="J665" i="7"/>
  <c r="J764" i="7"/>
  <c r="J777" i="7"/>
  <c r="J671" i="7"/>
  <c r="J832" i="7"/>
  <c r="J228" i="7"/>
  <c r="J634" i="7"/>
  <c r="J114" i="7"/>
  <c r="J385" i="7"/>
  <c r="J37" i="7"/>
  <c r="J279" i="7"/>
  <c r="J191" i="7"/>
  <c r="J108" i="7"/>
  <c r="J56" i="7"/>
  <c r="J311" i="7"/>
  <c r="J507" i="7"/>
  <c r="J97" i="7"/>
  <c r="J500" i="7"/>
  <c r="J319" i="7"/>
  <c r="J18" i="7"/>
  <c r="J264" i="7"/>
  <c r="J437" i="7"/>
  <c r="J510" i="7"/>
  <c r="J338" i="7"/>
  <c r="J853" i="7"/>
  <c r="J111" i="7"/>
  <c r="J333" i="7"/>
  <c r="J186" i="7"/>
  <c r="J721" i="7"/>
  <c r="J102" i="7"/>
  <c r="J713" i="7"/>
  <c r="J809" i="7"/>
  <c r="J27" i="7"/>
  <c r="J569" i="7"/>
  <c r="J446" i="7"/>
  <c r="J150" i="7"/>
  <c r="J164" i="7"/>
  <c r="J184" i="7"/>
  <c r="J865" i="7"/>
  <c r="J40" i="7"/>
  <c r="J726" i="7"/>
  <c r="J122" i="7"/>
  <c r="J817" i="7"/>
  <c r="J452" i="7"/>
  <c r="J89" i="7"/>
  <c r="J187" i="7"/>
  <c r="J593" i="7"/>
  <c r="J399" i="7"/>
  <c r="J294" i="7"/>
  <c r="J819" i="7"/>
  <c r="J499" i="7"/>
  <c r="J522" i="7"/>
  <c r="J598" i="7"/>
  <c r="J80" i="7"/>
  <c r="J509" i="7"/>
  <c r="J798" i="7"/>
  <c r="J643" i="7"/>
  <c r="J439" i="7"/>
  <c r="J749" i="7"/>
  <c r="J53" i="7"/>
  <c r="J454" i="7"/>
  <c r="J679" i="7"/>
  <c r="J631" i="7"/>
  <c r="J118" i="7"/>
  <c r="J9" i="7"/>
  <c r="J76" i="7"/>
  <c r="J398" i="7"/>
  <c r="J758" i="7"/>
  <c r="J442" i="7"/>
  <c r="J45" i="7"/>
  <c r="J81" i="7"/>
  <c r="J286" i="7"/>
  <c r="J354" i="7"/>
  <c r="J719" i="7"/>
  <c r="J449" i="7"/>
  <c r="J11" i="7"/>
  <c r="J564" i="7"/>
  <c r="J826" i="7"/>
  <c r="J825" i="7"/>
  <c r="J717" i="7"/>
  <c r="J258" i="7"/>
  <c r="J88" i="7"/>
  <c r="J870" i="7"/>
  <c r="J704" i="7"/>
  <c r="J195" i="7"/>
  <c r="J855" i="7"/>
  <c r="J133" i="7"/>
  <c r="J364" i="7"/>
  <c r="J571" i="7"/>
  <c r="J209" i="7"/>
  <c r="J628" i="7"/>
  <c r="J334" i="7"/>
  <c r="J533" i="7"/>
  <c r="J685" i="7"/>
  <c r="J568" i="7"/>
  <c r="J377" i="7"/>
  <c r="J140" i="7"/>
  <c r="J415" i="7"/>
  <c r="J386" i="7"/>
  <c r="J656" i="7"/>
  <c r="J652" i="7"/>
  <c r="J387" i="7"/>
  <c r="J287" i="7"/>
  <c r="J21" i="7"/>
  <c r="J607" i="7"/>
  <c r="J746" i="7"/>
  <c r="J836" i="7"/>
  <c r="J445" i="7"/>
  <c r="J308" i="7"/>
  <c r="J669" i="7"/>
  <c r="J340" i="7"/>
  <c r="J282" i="7"/>
  <c r="J602" i="7"/>
  <c r="J676" i="7"/>
  <c r="J695" i="7"/>
  <c r="J763" i="7"/>
  <c r="J478" i="7"/>
  <c r="J79" i="7"/>
  <c r="J168" i="7"/>
  <c r="J857" i="7"/>
  <c r="J137" i="7"/>
  <c r="J233" i="7"/>
  <c r="J249" i="7"/>
  <c r="J51" i="7"/>
  <c r="J742" i="7"/>
  <c r="J830" i="7"/>
  <c r="J181" i="7"/>
  <c r="J752" i="7"/>
  <c r="J193" i="7"/>
  <c r="J596" i="7"/>
  <c r="J801" i="7"/>
  <c r="J323" i="7"/>
  <c r="J304" i="7"/>
  <c r="J681" i="7"/>
  <c r="J546" i="7"/>
  <c r="J320" i="7"/>
  <c r="J706" i="7"/>
  <c r="J390" i="7"/>
  <c r="J372" i="7"/>
  <c r="J756" i="7"/>
  <c r="J250" i="7"/>
  <c r="J380" i="7"/>
  <c r="J856" i="7"/>
  <c r="J277" i="7"/>
  <c r="J527" i="7"/>
  <c r="J667" i="7"/>
  <c r="J606" i="7"/>
  <c r="J397" i="7"/>
  <c r="J768" i="7"/>
  <c r="J613" i="7"/>
  <c r="J660" i="7"/>
  <c r="J100" i="7"/>
  <c r="J200" i="7"/>
  <c r="J409" i="7"/>
  <c r="J461" i="7"/>
  <c r="J438" i="7"/>
  <c r="J117" i="7"/>
  <c r="J831" i="7"/>
  <c r="J658" i="7"/>
  <c r="J158" i="7"/>
  <c r="J839" i="7"/>
  <c r="J272" i="7"/>
  <c r="J496" i="7"/>
  <c r="J132" i="7"/>
  <c r="J166" i="7"/>
  <c r="J13" i="7"/>
  <c r="J714" i="7"/>
  <c r="J20" i="7"/>
  <c r="J136" i="7"/>
  <c r="J196" i="7"/>
  <c r="J172" i="7"/>
  <c r="J32" i="7"/>
  <c r="J367" i="7"/>
  <c r="J208" i="7"/>
  <c r="J129" i="7"/>
  <c r="J82" i="7"/>
  <c r="J687" i="7"/>
  <c r="J600" i="7"/>
  <c r="J103" i="7"/>
  <c r="J820" i="7"/>
  <c r="J727" i="7"/>
  <c r="J213" i="7"/>
  <c r="J690" i="7"/>
  <c r="J582" i="7"/>
  <c r="J611" i="7"/>
  <c r="J325" i="7"/>
  <c r="J621" i="7"/>
  <c r="J760" i="7"/>
  <c r="J541" i="7"/>
  <c r="J673" i="7"/>
  <c r="J105" i="7"/>
  <c r="J737" i="7"/>
  <c r="J670" i="7"/>
  <c r="J774" i="7"/>
  <c r="J816" i="7"/>
  <c r="J581" i="7"/>
  <c r="J616" i="7"/>
  <c r="J693" i="7"/>
  <c r="J298" i="7"/>
  <c r="J98" i="7"/>
  <c r="J371" i="7"/>
  <c r="J350" i="7"/>
  <c r="J629" i="7"/>
  <c r="J833" i="7"/>
  <c r="J444" i="7"/>
  <c r="J473" i="7"/>
  <c r="J74" i="7"/>
  <c r="J292" i="7"/>
  <c r="J757" i="7"/>
  <c r="J205" i="7"/>
  <c r="J101" i="7"/>
  <c r="J558" i="7"/>
  <c r="J597" i="7"/>
  <c r="J545" i="7"/>
  <c r="J436" i="7"/>
  <c r="J470" i="7"/>
  <c r="J632" i="7"/>
  <c r="J107" i="7"/>
  <c r="J243" i="7"/>
  <c r="J806" i="7"/>
  <c r="J829" i="7"/>
  <c r="J405" i="7"/>
  <c r="J44" i="7"/>
  <c r="J773" i="7"/>
  <c r="J506" i="7"/>
  <c r="J198" i="7"/>
  <c r="J207" i="7"/>
  <c r="J289" i="7"/>
  <c r="J698" i="7"/>
  <c r="J267" i="7"/>
  <c r="J731" i="7"/>
  <c r="J647" i="7"/>
  <c r="J653" i="7"/>
  <c r="J715" i="7"/>
  <c r="J110" i="7"/>
  <c r="J513" i="7"/>
  <c r="J284" i="7"/>
  <c r="J255" i="7"/>
  <c r="J619" i="7"/>
  <c r="J677" i="7"/>
  <c r="J778" i="7"/>
  <c r="J369" i="7"/>
  <c r="J716" i="7"/>
  <c r="J273" i="7"/>
  <c r="J696" i="7"/>
  <c r="J194" i="7"/>
  <c r="J531" i="7"/>
  <c r="J610" i="7"/>
  <c r="J843" i="7"/>
  <c r="J92" i="7"/>
  <c r="J827" i="7"/>
  <c r="J802" i="7"/>
  <c r="J495" i="7"/>
  <c r="J109" i="7"/>
  <c r="J780" i="7"/>
  <c r="J66" i="7"/>
  <c r="J430" i="7"/>
  <c r="J703" i="7"/>
  <c r="J83" i="7"/>
  <c r="J867" i="7"/>
  <c r="J528" i="7"/>
  <c r="J529" i="7"/>
  <c r="J173" i="7"/>
  <c r="J72" i="7"/>
  <c r="J544" i="7"/>
  <c r="J252" i="7"/>
  <c r="J203" i="7"/>
  <c r="J642" i="7"/>
  <c r="J474" i="7"/>
  <c r="J554" i="7"/>
  <c r="J68" i="7"/>
  <c r="J291" i="7"/>
  <c r="J501" i="7"/>
  <c r="J19" i="7"/>
  <c r="J740" i="7"/>
  <c r="J75" i="7"/>
  <c r="J349" i="7"/>
  <c r="J85" i="7"/>
  <c r="J637" i="7"/>
  <c r="J604" i="7"/>
  <c r="J787" i="7"/>
  <c r="J161" i="7"/>
  <c r="J770" i="7"/>
  <c r="J451" i="7"/>
  <c r="J365" i="7"/>
  <c r="J335" i="7"/>
  <c r="J664" i="7"/>
  <c r="J741" i="7"/>
  <c r="J563" i="7"/>
  <c r="J784" i="7"/>
  <c r="J84" i="7"/>
  <c r="J565" i="7"/>
  <c r="J443" i="7"/>
  <c r="J134" i="7"/>
  <c r="J448" i="7"/>
  <c r="J666" i="7"/>
  <c r="J229" i="7"/>
  <c r="J225" i="7"/>
  <c r="J464" i="7"/>
  <c r="J219" i="7"/>
  <c r="J201" i="7"/>
  <c r="J295" i="7"/>
  <c r="J197" i="7"/>
  <c r="J823" i="7"/>
  <c r="J518" i="7"/>
  <c r="J330" i="7"/>
  <c r="J403" i="7"/>
  <c r="J585" i="7"/>
  <c r="J733" i="7"/>
  <c r="J485" i="7"/>
  <c r="J484" i="7"/>
  <c r="J43" i="7"/>
  <c r="J482" i="7"/>
  <c r="J524" i="7"/>
  <c r="J54" i="7"/>
  <c r="J202" i="7"/>
  <c r="J290" i="7"/>
  <c r="J601" i="7"/>
  <c r="J293" i="7"/>
  <c r="J362" i="7"/>
  <c r="J837" i="7"/>
  <c r="J516" i="7"/>
  <c r="J682" i="7"/>
  <c r="J190" i="7"/>
  <c r="J844" i="7"/>
  <c r="J472" i="7"/>
  <c r="J701" i="7"/>
  <c r="J220" i="7"/>
  <c r="J361" i="7"/>
  <c r="J459" i="7"/>
  <c r="J864" i="7"/>
  <c r="J424" i="7"/>
  <c r="J423" i="7"/>
  <c r="J466" i="7"/>
  <c r="J609" i="7"/>
  <c r="J432" i="7"/>
  <c r="J427" i="7"/>
  <c r="J359" i="7"/>
  <c r="J256" i="7"/>
  <c r="G722" i="7"/>
  <c r="G375" i="7"/>
  <c r="G630" i="7"/>
  <c r="G263" i="7"/>
  <c r="G487" i="7"/>
  <c r="G457" i="7"/>
  <c r="G30" i="7"/>
  <c r="G515" i="7"/>
  <c r="G441" i="7"/>
  <c r="G551" i="7"/>
  <c r="G657" i="7"/>
  <c r="G469" i="7"/>
  <c r="G848" i="7"/>
  <c r="G147" i="7"/>
  <c r="G241" i="7"/>
  <c r="G25" i="7"/>
  <c r="G583" i="7"/>
  <c r="G17" i="7"/>
  <c r="G586" i="7"/>
  <c r="G154" i="7"/>
  <c r="G46" i="7"/>
  <c r="G329" i="7"/>
  <c r="G765" i="7"/>
  <c r="G143" i="7"/>
  <c r="G425" i="7"/>
  <c r="G536" i="7"/>
  <c r="G38" i="7"/>
  <c r="G576" i="7"/>
  <c r="G240" i="7"/>
  <c r="G753" i="7"/>
  <c r="G34" i="7"/>
  <c r="G663" i="7"/>
  <c r="G547" i="7"/>
  <c r="G635" i="7"/>
  <c r="G592" i="7"/>
  <c r="G539" i="7"/>
  <c r="G275" i="7"/>
  <c r="G578" i="7"/>
  <c r="G858" i="7"/>
  <c r="G548" i="7"/>
  <c r="G316" i="7"/>
  <c r="G644" i="7"/>
  <c r="G318" i="7"/>
  <c r="G532" i="7"/>
  <c r="G216" i="7"/>
  <c r="G511" i="7"/>
  <c r="G416" i="7"/>
  <c r="G577" i="7"/>
  <c r="G393" i="7"/>
  <c r="G14" i="7"/>
  <c r="G28" i="7"/>
  <c r="G725" i="7"/>
  <c r="G237" i="7"/>
  <c r="G411" i="7"/>
  <c r="G165" i="7"/>
  <c r="G60" i="7"/>
  <c r="G410" i="7"/>
  <c r="G262" i="7"/>
  <c r="G230" i="7"/>
  <c r="G549" i="7"/>
  <c r="G236" i="7"/>
  <c r="G244" i="7"/>
  <c r="G512" i="7"/>
  <c r="G344" i="7"/>
  <c r="G113" i="7"/>
  <c r="G139" i="7"/>
  <c r="G648" i="7"/>
  <c r="G735" i="7"/>
  <c r="G851" i="7"/>
  <c r="G680" i="7"/>
  <c r="G285" i="7"/>
  <c r="G61" i="7"/>
  <c r="G508" i="7"/>
  <c r="G479" i="7"/>
  <c r="G771" i="7"/>
  <c r="G868" i="7"/>
  <c r="G341" i="7"/>
  <c r="G388" i="7"/>
  <c r="G627" i="7"/>
  <c r="G705" i="7"/>
  <c r="G125" i="7"/>
  <c r="G64" i="7"/>
  <c r="G57" i="7"/>
  <c r="G854" i="7"/>
  <c r="G794" i="7"/>
  <c r="G417" i="7"/>
  <c r="G435" i="7"/>
  <c r="G754" i="7"/>
  <c r="G313" i="7"/>
  <c r="G135" i="7"/>
  <c r="G268" i="7"/>
  <c r="G331" i="7"/>
  <c r="G151" i="7"/>
  <c r="G805" i="7"/>
  <c r="G730" i="7"/>
  <c r="G312" i="7"/>
  <c r="G523" i="7"/>
  <c r="G759" i="7"/>
  <c r="G672" i="7"/>
  <c r="G605" i="7"/>
  <c r="G366" i="7"/>
  <c r="G575" i="7"/>
  <c r="G12" i="7"/>
  <c r="G144" i="7"/>
  <c r="G159" i="7"/>
  <c r="G790" i="7"/>
  <c r="G128" i="7"/>
  <c r="G401" i="7"/>
  <c r="G127" i="7"/>
  <c r="G73" i="7"/>
  <c r="G374" i="7"/>
  <c r="G808" i="7"/>
  <c r="G297" i="7"/>
  <c r="G404" i="7"/>
  <c r="G775" i="7"/>
  <c r="G813" i="7"/>
  <c r="G762" i="7"/>
  <c r="G795" i="7"/>
  <c r="G812" i="7"/>
  <c r="G580" i="7"/>
  <c r="G497" i="7"/>
  <c r="G502" i="7"/>
  <c r="G748" i="7"/>
  <c r="G22" i="7"/>
  <c r="G791" i="7"/>
  <c r="G345" i="7"/>
  <c r="G540" i="7"/>
  <c r="G370" i="7"/>
  <c r="G622" i="7"/>
  <c r="G124" i="7"/>
  <c r="G422" i="7"/>
  <c r="G426" i="7"/>
  <c r="G141" i="7"/>
  <c r="G302" i="7"/>
  <c r="G584" i="7"/>
  <c r="G555" i="7"/>
  <c r="G767" i="7"/>
  <c r="G210" i="7"/>
  <c r="G342" i="7"/>
  <c r="G383" i="7"/>
  <c r="G559" i="7"/>
  <c r="G400" i="7"/>
  <c r="G309" i="7"/>
  <c r="G169" i="7"/>
  <c r="G846" i="7"/>
  <c r="G389" i="7"/>
  <c r="G779" i="7"/>
  <c r="G433" i="7"/>
  <c r="G180" i="7"/>
  <c r="G526" i="7"/>
  <c r="G688" i="7"/>
  <c r="G148" i="7"/>
  <c r="G174" i="7"/>
  <c r="G42" i="7"/>
  <c r="G310" i="7"/>
  <c r="G419" i="7"/>
  <c r="G115" i="7"/>
  <c r="G796" i="7"/>
  <c r="G86" i="7"/>
  <c r="G761" i="7"/>
  <c r="G587" i="7"/>
  <c r="G24" i="7"/>
  <c r="G58" i="7"/>
  <c r="G162" i="7"/>
  <c r="G381" i="7"/>
  <c r="G322" i="7"/>
  <c r="G724" i="7"/>
  <c r="G504" i="7"/>
  <c r="G491" i="7"/>
  <c r="G814" i="7"/>
  <c r="G462" i="7"/>
  <c r="G623" i="7"/>
  <c r="G183" i="7"/>
  <c r="G146" i="7"/>
  <c r="G434" i="7"/>
  <c r="G391" i="7"/>
  <c r="G87" i="7"/>
  <c r="G351" i="7"/>
  <c r="G560" i="7"/>
  <c r="G8" i="7"/>
  <c r="G465" i="7"/>
  <c r="G744" i="7"/>
  <c r="G332" i="7"/>
  <c r="G138" i="7"/>
  <c r="G736" i="7"/>
  <c r="G402" i="7"/>
  <c r="G718" i="7"/>
  <c r="G70" i="7"/>
  <c r="G428" i="7"/>
  <c r="G328" i="7"/>
  <c r="G303" i="7"/>
  <c r="G686" i="7"/>
  <c r="G708" i="7"/>
  <c r="G782" i="7"/>
  <c r="G755" i="7"/>
  <c r="G615" i="7"/>
  <c r="G574" i="7"/>
  <c r="G678" i="7"/>
  <c r="G734" i="7"/>
  <c r="G167" i="7"/>
  <c r="G280" i="7"/>
  <c r="G799" i="7"/>
  <c r="G699" i="7"/>
  <c r="G152" i="7"/>
  <c r="G67" i="7"/>
  <c r="G824" i="7"/>
  <c r="G278" i="7"/>
  <c r="G649" i="7"/>
  <c r="G514" i="7"/>
  <c r="G212" i="7"/>
  <c r="G242" i="7"/>
  <c r="G772" i="7"/>
  <c r="G567" i="7"/>
  <c r="G640" i="7"/>
  <c r="G384" i="7"/>
  <c r="G579" i="7"/>
  <c r="G834" i="7"/>
  <c r="G15" i="7"/>
  <c r="G668" i="7"/>
  <c r="G418" i="7"/>
  <c r="G789" i="7"/>
  <c r="G503" i="7"/>
  <c r="G521" i="7"/>
  <c r="G828" i="7"/>
  <c r="G343" i="7"/>
  <c r="G863" i="7"/>
  <c r="G245" i="7"/>
  <c r="G561" i="7"/>
  <c r="G283" i="7"/>
  <c r="G477" i="7"/>
  <c r="G259" i="7"/>
  <c r="G542" i="7"/>
  <c r="G838" i="7"/>
  <c r="G807" i="7"/>
  <c r="G552" i="7"/>
  <c r="G614" i="7"/>
  <c r="G550" i="7"/>
  <c r="G149" i="7"/>
  <c r="G645" i="7"/>
  <c r="G570" i="7"/>
  <c r="G306" i="7"/>
  <c r="G179" i="7"/>
  <c r="G429" i="7"/>
  <c r="G35" i="7"/>
  <c r="G178" i="7"/>
  <c r="G618" i="7"/>
  <c r="G346" i="7"/>
  <c r="G356" i="7"/>
  <c r="G182" i="7"/>
  <c r="G363" i="7"/>
  <c r="G226" i="7"/>
  <c r="G407" i="7"/>
  <c r="G747" i="7"/>
  <c r="G414" i="7"/>
  <c r="G661" i="7"/>
  <c r="G710" i="7"/>
  <c r="G723" i="7"/>
  <c r="G376" i="7"/>
  <c r="G729" i="7"/>
  <c r="G525" i="7"/>
  <c r="G29" i="7"/>
  <c r="G702" i="7"/>
  <c r="G852" i="7"/>
  <c r="G90" i="7"/>
  <c r="G573" i="7"/>
  <c r="G707" i="7"/>
  <c r="G222" i="7"/>
  <c r="G785" i="7"/>
  <c r="G519" i="7"/>
  <c r="G494" i="7"/>
  <c r="G847" i="7"/>
  <c r="G261" i="7"/>
  <c r="G800" i="7"/>
  <c r="G588" i="7"/>
  <c r="G160" i="7"/>
  <c r="G26" i="7"/>
  <c r="G595" i="7"/>
  <c r="G822" i="7"/>
  <c r="G440" i="7"/>
  <c r="G665" i="7"/>
  <c r="G764" i="7"/>
  <c r="G777" i="7"/>
  <c r="G671" i="7"/>
  <c r="G832" i="7"/>
  <c r="G228" i="7"/>
  <c r="G634" i="7"/>
  <c r="G114" i="7"/>
  <c r="G385" i="7"/>
  <c r="G37" i="7"/>
  <c r="G279" i="7"/>
  <c r="G191" i="7"/>
  <c r="G108" i="7"/>
  <c r="G56" i="7"/>
  <c r="G311" i="7"/>
  <c r="G507" i="7"/>
  <c r="G97" i="7"/>
  <c r="G500" i="7"/>
  <c r="G319" i="7"/>
  <c r="G18" i="7"/>
  <c r="G264" i="7"/>
  <c r="G437" i="7"/>
  <c r="G510" i="7"/>
  <c r="G338" i="7"/>
  <c r="G853" i="7"/>
  <c r="G111" i="7"/>
  <c r="G333" i="7"/>
  <c r="G186" i="7"/>
  <c r="G721" i="7"/>
  <c r="G102" i="7"/>
  <c r="G713" i="7"/>
  <c r="G809" i="7"/>
  <c r="G27" i="7"/>
  <c r="G569" i="7"/>
  <c r="G446" i="7"/>
  <c r="G150" i="7"/>
  <c r="G164" i="7"/>
  <c r="G184" i="7"/>
  <c r="G865" i="7"/>
  <c r="G40" i="7"/>
  <c r="G726" i="7"/>
  <c r="G122" i="7"/>
  <c r="G817" i="7"/>
  <c r="G452" i="7"/>
  <c r="G89" i="7"/>
  <c r="G187" i="7"/>
  <c r="G593" i="7"/>
  <c r="G399" i="7"/>
  <c r="G294" i="7"/>
  <c r="G819" i="7"/>
  <c r="G499" i="7"/>
  <c r="G522" i="7"/>
  <c r="G598" i="7"/>
  <c r="G80" i="7"/>
  <c r="G509" i="7"/>
  <c r="G798" i="7"/>
  <c r="G643" i="7"/>
  <c r="G439" i="7"/>
  <c r="G749" i="7"/>
  <c r="G53" i="7"/>
  <c r="G454" i="7"/>
  <c r="G679" i="7"/>
  <c r="G631" i="7"/>
  <c r="G118" i="7"/>
  <c r="G9" i="7"/>
  <c r="G76" i="7"/>
  <c r="G398" i="7"/>
  <c r="G758" i="7"/>
  <c r="G442" i="7"/>
  <c r="G45" i="7"/>
  <c r="G81" i="7"/>
  <c r="G286" i="7"/>
  <c r="G354" i="7"/>
  <c r="G719" i="7"/>
  <c r="G449" i="7"/>
  <c r="G11" i="7"/>
  <c r="G564" i="7"/>
  <c r="G826" i="7"/>
  <c r="G825" i="7"/>
  <c r="G717" i="7"/>
  <c r="G258" i="7"/>
  <c r="G88" i="7"/>
  <c r="G870" i="7"/>
  <c r="G704" i="7"/>
  <c r="G195" i="7"/>
  <c r="G855" i="7"/>
  <c r="G133" i="7"/>
  <c r="G364" i="7"/>
  <c r="G571" i="7"/>
  <c r="G209" i="7"/>
  <c r="G628" i="7"/>
  <c r="G334" i="7"/>
  <c r="G533" i="7"/>
  <c r="G685" i="7"/>
  <c r="G568" i="7"/>
  <c r="G377" i="7"/>
  <c r="G140" i="7"/>
  <c r="G415" i="7"/>
  <c r="G386" i="7"/>
  <c r="G656" i="7"/>
  <c r="G652" i="7"/>
  <c r="G387" i="7"/>
  <c r="G287" i="7"/>
  <c r="G21" i="7"/>
  <c r="G607" i="7"/>
  <c r="G746" i="7"/>
  <c r="G836" i="7"/>
  <c r="G445" i="7"/>
  <c r="G308" i="7"/>
  <c r="G669" i="7"/>
  <c r="G340" i="7"/>
  <c r="G282" i="7"/>
  <c r="G602" i="7"/>
  <c r="G676" i="7"/>
  <c r="G695" i="7"/>
  <c r="G763" i="7"/>
  <c r="G478" i="7"/>
  <c r="G79" i="7"/>
  <c r="G168" i="7"/>
  <c r="G857" i="7"/>
  <c r="G137" i="7"/>
  <c r="G233" i="7"/>
  <c r="G249" i="7"/>
  <c r="G51" i="7"/>
  <c r="G742" i="7"/>
  <c r="G830" i="7"/>
  <c r="G181" i="7"/>
  <c r="G752" i="7"/>
  <c r="G193" i="7"/>
  <c r="G596" i="7"/>
  <c r="G801" i="7"/>
  <c r="G323" i="7"/>
  <c r="G304" i="7"/>
  <c r="G681" i="7"/>
  <c r="G546" i="7"/>
  <c r="G320" i="7"/>
  <c r="G706" i="7"/>
  <c r="G390" i="7"/>
  <c r="G372" i="7"/>
  <c r="G756" i="7"/>
  <c r="G250" i="7"/>
  <c r="G380" i="7"/>
  <c r="G856" i="7"/>
  <c r="G277" i="7"/>
  <c r="G527" i="7"/>
  <c r="G667" i="7"/>
  <c r="G606" i="7"/>
  <c r="G397" i="7"/>
  <c r="G768" i="7"/>
  <c r="G613" i="7"/>
  <c r="G660" i="7"/>
  <c r="G100" i="7"/>
  <c r="G200" i="7"/>
  <c r="G409" i="7"/>
  <c r="G461" i="7"/>
  <c r="G438" i="7"/>
  <c r="G117" i="7"/>
  <c r="G831" i="7"/>
  <c r="G658" i="7"/>
  <c r="G158" i="7"/>
  <c r="G839" i="7"/>
  <c r="G272" i="7"/>
  <c r="G496" i="7"/>
  <c r="G132" i="7"/>
  <c r="G166" i="7"/>
  <c r="G13" i="7"/>
  <c r="G714" i="7"/>
  <c r="G20" i="7"/>
  <c r="G136" i="7"/>
  <c r="G196" i="7"/>
  <c r="G172" i="7"/>
  <c r="G32" i="7"/>
  <c r="G367" i="7"/>
  <c r="G208" i="7"/>
  <c r="G129" i="7"/>
  <c r="G82" i="7"/>
  <c r="G687" i="7"/>
  <c r="G600" i="7"/>
  <c r="G103" i="7"/>
  <c r="G820" i="7"/>
  <c r="G727" i="7"/>
  <c r="G213" i="7"/>
  <c r="G690" i="7"/>
  <c r="G582" i="7"/>
  <c r="G611" i="7"/>
  <c r="G325" i="7"/>
  <c r="G621" i="7"/>
  <c r="G760" i="7"/>
  <c r="G541" i="7"/>
  <c r="G673" i="7"/>
  <c r="G105" i="7"/>
  <c r="G737" i="7"/>
  <c r="G670" i="7"/>
  <c r="G774" i="7"/>
  <c r="G816" i="7"/>
  <c r="G581" i="7"/>
  <c r="G616" i="7"/>
  <c r="G693" i="7"/>
  <c r="G298" i="7"/>
  <c r="G98" i="7"/>
  <c r="G371" i="7"/>
  <c r="G350" i="7"/>
  <c r="G629" i="7"/>
  <c r="G833" i="7"/>
  <c r="G444" i="7"/>
  <c r="G473" i="7"/>
  <c r="G74" i="7"/>
  <c r="G292" i="7"/>
  <c r="G757" i="7"/>
  <c r="G205" i="7"/>
  <c r="G101" i="7"/>
  <c r="G558" i="7"/>
  <c r="G597" i="7"/>
  <c r="G545" i="7"/>
  <c r="G436" i="7"/>
  <c r="G470" i="7"/>
  <c r="G632" i="7"/>
  <c r="G107" i="7"/>
  <c r="G243" i="7"/>
  <c r="G806" i="7"/>
  <c r="G829" i="7"/>
  <c r="G405" i="7"/>
  <c r="G44" i="7"/>
  <c r="G773" i="7"/>
  <c r="G506" i="7"/>
  <c r="G198" i="7"/>
  <c r="G207" i="7"/>
  <c r="G289" i="7"/>
  <c r="G698" i="7"/>
  <c r="G267" i="7"/>
  <c r="G731" i="7"/>
  <c r="G647" i="7"/>
  <c r="G653" i="7"/>
  <c r="G715" i="7"/>
  <c r="G110" i="7"/>
  <c r="G513" i="7"/>
  <c r="G284" i="7"/>
  <c r="G255" i="7"/>
  <c r="G619" i="7"/>
  <c r="G677" i="7"/>
  <c r="G778" i="7"/>
  <c r="G369" i="7"/>
  <c r="G716" i="7"/>
  <c r="G273" i="7"/>
  <c r="G696" i="7"/>
  <c r="G194" i="7"/>
  <c r="G531" i="7"/>
  <c r="G610" i="7"/>
  <c r="G843" i="7"/>
  <c r="G92" i="7"/>
  <c r="G827" i="7"/>
  <c r="G802" i="7"/>
  <c r="G495" i="7"/>
  <c r="G109" i="7"/>
  <c r="G780" i="7"/>
  <c r="G66" i="7"/>
  <c r="G430" i="7"/>
  <c r="G703" i="7"/>
  <c r="G83" i="7"/>
  <c r="G867" i="7"/>
  <c r="G528" i="7"/>
  <c r="G529" i="7"/>
  <c r="G173" i="7"/>
  <c r="G72" i="7"/>
  <c r="G544" i="7"/>
  <c r="G252" i="7"/>
  <c r="G203" i="7"/>
  <c r="G642" i="7"/>
  <c r="G474" i="7"/>
  <c r="G554" i="7"/>
  <c r="G68" i="7"/>
  <c r="G291" i="7"/>
  <c r="G501" i="7"/>
  <c r="G19" i="7"/>
  <c r="G740" i="7"/>
  <c r="G75" i="7"/>
  <c r="G349" i="7"/>
  <c r="G85" i="7"/>
  <c r="G637" i="7"/>
  <c r="G604" i="7"/>
  <c r="G787" i="7"/>
  <c r="G161" i="7"/>
  <c r="G770" i="7"/>
  <c r="G451" i="7"/>
  <c r="G365" i="7"/>
  <c r="G335" i="7"/>
  <c r="G664" i="7"/>
  <c r="G741" i="7"/>
  <c r="G563" i="7"/>
  <c r="G784" i="7"/>
  <c r="G84" i="7"/>
  <c r="G565" i="7"/>
  <c r="G443" i="7"/>
  <c r="G134" i="7"/>
  <c r="G448" i="7"/>
  <c r="G666" i="7"/>
  <c r="G229" i="7"/>
  <c r="G225" i="7"/>
  <c r="G464" i="7"/>
  <c r="G219" i="7"/>
  <c r="G201" i="7"/>
  <c r="G295" i="7"/>
  <c r="G197" i="7"/>
  <c r="G823" i="7"/>
  <c r="G518" i="7"/>
  <c r="G330" i="7"/>
  <c r="G403" i="7"/>
  <c r="G585" i="7"/>
  <c r="G733" i="7"/>
  <c r="G485" i="7"/>
  <c r="G484" i="7"/>
  <c r="G43" i="7"/>
  <c r="G482" i="7"/>
  <c r="G524" i="7"/>
  <c r="G54" i="7"/>
  <c r="G202" i="7"/>
  <c r="G290" i="7"/>
  <c r="G601" i="7"/>
  <c r="G293" i="7"/>
  <c r="G362" i="7"/>
  <c r="G837" i="7"/>
  <c r="G516" i="7"/>
  <c r="G682" i="7"/>
  <c r="G190" i="7"/>
  <c r="G844" i="7"/>
  <c r="G472" i="7"/>
  <c r="G701" i="7"/>
  <c r="G220" i="7"/>
  <c r="G361" i="7"/>
  <c r="G459" i="7"/>
  <c r="G864" i="7"/>
  <c r="G424" i="7"/>
  <c r="G423" i="7"/>
  <c r="G466" i="7"/>
  <c r="G609" i="7"/>
  <c r="G432" i="7"/>
  <c r="G427" i="7"/>
  <c r="G359" i="7"/>
  <c r="G256" i="7"/>
  <c r="D722" i="7"/>
  <c r="D375" i="7"/>
  <c r="D630" i="7"/>
  <c r="D263" i="7"/>
  <c r="D487" i="7"/>
  <c r="D457" i="7"/>
  <c r="D30" i="7"/>
  <c r="D515" i="7"/>
  <c r="D441" i="7"/>
  <c r="D551" i="7"/>
  <c r="D657" i="7"/>
  <c r="D469" i="7"/>
  <c r="D848" i="7"/>
  <c r="D147" i="7"/>
  <c r="D241" i="7"/>
  <c r="D25" i="7"/>
  <c r="D583" i="7"/>
  <c r="D17" i="7"/>
  <c r="D586" i="7"/>
  <c r="D154" i="7"/>
  <c r="D46" i="7"/>
  <c r="D329" i="7"/>
  <c r="D765" i="7"/>
  <c r="D143" i="7"/>
  <c r="D425" i="7"/>
  <c r="D536" i="7"/>
  <c r="D38" i="7"/>
  <c r="D576" i="7"/>
  <c r="D240" i="7"/>
  <c r="D753" i="7"/>
  <c r="D34" i="7"/>
  <c r="D663" i="7"/>
  <c r="D547" i="7"/>
  <c r="D635" i="7"/>
  <c r="D592" i="7"/>
  <c r="D539" i="7"/>
  <c r="D275" i="7"/>
  <c r="D578" i="7"/>
  <c r="D858" i="7"/>
  <c r="D548" i="7"/>
  <c r="D316" i="7"/>
  <c r="D644" i="7"/>
  <c r="D318" i="7"/>
  <c r="D532" i="7"/>
  <c r="D216" i="7"/>
  <c r="D511" i="7"/>
  <c r="D416" i="7"/>
  <c r="D577" i="7"/>
  <c r="D393" i="7"/>
  <c r="D14" i="7"/>
  <c r="D28" i="7"/>
  <c r="D725" i="7"/>
  <c r="D237" i="7"/>
  <c r="D411" i="7"/>
  <c r="D165" i="7"/>
  <c r="D60" i="7"/>
  <c r="D410" i="7"/>
  <c r="D262" i="7"/>
  <c r="D230" i="7"/>
  <c r="D549" i="7"/>
  <c r="D236" i="7"/>
  <c r="D244" i="7"/>
  <c r="D512" i="7"/>
  <c r="D344" i="7"/>
  <c r="D113" i="7"/>
  <c r="D139" i="7"/>
  <c r="D648" i="7"/>
  <c r="D735" i="7"/>
  <c r="D851" i="7"/>
  <c r="D680" i="7"/>
  <c r="D285" i="7"/>
  <c r="D61" i="7"/>
  <c r="D508" i="7"/>
  <c r="D479" i="7"/>
  <c r="D771" i="7"/>
  <c r="D868" i="7"/>
  <c r="D341" i="7"/>
  <c r="D388" i="7"/>
  <c r="D627" i="7"/>
  <c r="D705" i="7"/>
  <c r="D125" i="7"/>
  <c r="D64" i="7"/>
  <c r="D57" i="7"/>
  <c r="D854" i="7"/>
  <c r="D794" i="7"/>
  <c r="D417" i="7"/>
  <c r="D435" i="7"/>
  <c r="D754" i="7"/>
  <c r="D313" i="7"/>
  <c r="D135" i="7"/>
  <c r="D268" i="7"/>
  <c r="D331" i="7"/>
  <c r="D151" i="7"/>
  <c r="D805" i="7"/>
  <c r="D730" i="7"/>
  <c r="D312" i="7"/>
  <c r="D523" i="7"/>
  <c r="D759" i="7"/>
  <c r="D672" i="7"/>
  <c r="D605" i="7"/>
  <c r="D366" i="7"/>
  <c r="D575" i="7"/>
  <c r="D12" i="7"/>
  <c r="D144" i="7"/>
  <c r="D159" i="7"/>
  <c r="D790" i="7"/>
  <c r="D128" i="7"/>
  <c r="D401" i="7"/>
  <c r="D127" i="7"/>
  <c r="D73" i="7"/>
  <c r="D374" i="7"/>
  <c r="D808" i="7"/>
  <c r="D297" i="7"/>
  <c r="D404" i="7"/>
  <c r="D775" i="7"/>
  <c r="D813" i="7"/>
  <c r="D762" i="7"/>
  <c r="D795" i="7"/>
  <c r="D812" i="7"/>
  <c r="D580" i="7"/>
  <c r="D497" i="7"/>
  <c r="D502" i="7"/>
  <c r="D748" i="7"/>
  <c r="D22" i="7"/>
  <c r="D791" i="7"/>
  <c r="D345" i="7"/>
  <c r="D540" i="7"/>
  <c r="D370" i="7"/>
  <c r="D622" i="7"/>
  <c r="D124" i="7"/>
  <c r="D422" i="7"/>
  <c r="D426" i="7"/>
  <c r="D141" i="7"/>
  <c r="D302" i="7"/>
  <c r="D584" i="7"/>
  <c r="D555" i="7"/>
  <c r="D767" i="7"/>
  <c r="D210" i="7"/>
  <c r="D342" i="7"/>
  <c r="D383" i="7"/>
  <c r="D559" i="7"/>
  <c r="D400" i="7"/>
  <c r="D309" i="7"/>
  <c r="D169" i="7"/>
  <c r="D846" i="7"/>
  <c r="D389" i="7"/>
  <c r="D779" i="7"/>
  <c r="D433" i="7"/>
  <c r="D180" i="7"/>
  <c r="D526" i="7"/>
  <c r="D688" i="7"/>
  <c r="D148" i="7"/>
  <c r="D174" i="7"/>
  <c r="D42" i="7"/>
  <c r="D310" i="7"/>
  <c r="D419" i="7"/>
  <c r="D115" i="7"/>
  <c r="D796" i="7"/>
  <c r="D86" i="7"/>
  <c r="D761" i="7"/>
  <c r="D587" i="7"/>
  <c r="D24" i="7"/>
  <c r="D58" i="7"/>
  <c r="D162" i="7"/>
  <c r="D381" i="7"/>
  <c r="D322" i="7"/>
  <c r="D724" i="7"/>
  <c r="D504" i="7"/>
  <c r="D491" i="7"/>
  <c r="D814" i="7"/>
  <c r="D462" i="7"/>
  <c r="D623" i="7"/>
  <c r="D183" i="7"/>
  <c r="D146" i="7"/>
  <c r="D434" i="7"/>
  <c r="D391" i="7"/>
  <c r="D87" i="7"/>
  <c r="D351" i="7"/>
  <c r="D560" i="7"/>
  <c r="D8" i="7"/>
  <c r="D465" i="7"/>
  <c r="D744" i="7"/>
  <c r="D332" i="7"/>
  <c r="D138" i="7"/>
  <c r="D736" i="7"/>
  <c r="D402" i="7"/>
  <c r="D718" i="7"/>
  <c r="D70" i="7"/>
  <c r="D428" i="7"/>
  <c r="D328" i="7"/>
  <c r="D303" i="7"/>
  <c r="D686" i="7"/>
  <c r="D708" i="7"/>
  <c r="D782" i="7"/>
  <c r="D755" i="7"/>
  <c r="D615" i="7"/>
  <c r="D574" i="7"/>
  <c r="D678" i="7"/>
  <c r="D734" i="7"/>
  <c r="D167" i="7"/>
  <c r="D280" i="7"/>
  <c r="D799" i="7"/>
  <c r="D699" i="7"/>
  <c r="D152" i="7"/>
  <c r="D67" i="7"/>
  <c r="D824" i="7"/>
  <c r="D278" i="7"/>
  <c r="D649" i="7"/>
  <c r="D514" i="7"/>
  <c r="D212" i="7"/>
  <c r="D242" i="7"/>
  <c r="D772" i="7"/>
  <c r="D567" i="7"/>
  <c r="D640" i="7"/>
  <c r="D384" i="7"/>
  <c r="D579" i="7"/>
  <c r="D834" i="7"/>
  <c r="D15" i="7"/>
  <c r="D668" i="7"/>
  <c r="D418" i="7"/>
  <c r="D789" i="7"/>
  <c r="D503" i="7"/>
  <c r="D521" i="7"/>
  <c r="D828" i="7"/>
  <c r="D343" i="7"/>
  <c r="D863" i="7"/>
  <c r="D245" i="7"/>
  <c r="D561" i="7"/>
  <c r="D283" i="7"/>
  <c r="D477" i="7"/>
  <c r="D259" i="7"/>
  <c r="D542" i="7"/>
  <c r="D838" i="7"/>
  <c r="D807" i="7"/>
  <c r="D552" i="7"/>
  <c r="D614" i="7"/>
  <c r="D550" i="7"/>
  <c r="D149" i="7"/>
  <c r="D645" i="7"/>
  <c r="D570" i="7"/>
  <c r="D306" i="7"/>
  <c r="D179" i="7"/>
  <c r="D429" i="7"/>
  <c r="D35" i="7"/>
  <c r="D178" i="7"/>
  <c r="D618" i="7"/>
  <c r="D346" i="7"/>
  <c r="D356" i="7"/>
  <c r="D182" i="7"/>
  <c r="D363" i="7"/>
  <c r="D226" i="7"/>
  <c r="D407" i="7"/>
  <c r="D747" i="7"/>
  <c r="D414" i="7"/>
  <c r="D661" i="7"/>
  <c r="D710" i="7"/>
  <c r="D723" i="7"/>
  <c r="D376" i="7"/>
  <c r="D729" i="7"/>
  <c r="D525" i="7"/>
  <c r="D29" i="7"/>
  <c r="D702" i="7"/>
  <c r="D852" i="7"/>
  <c r="D90" i="7"/>
  <c r="D573" i="7"/>
  <c r="D707" i="7"/>
  <c r="D222" i="7"/>
  <c r="D785" i="7"/>
  <c r="D519" i="7"/>
  <c r="D494" i="7"/>
  <c r="D847" i="7"/>
  <c r="D261" i="7"/>
  <c r="D800" i="7"/>
  <c r="D588" i="7"/>
  <c r="D160" i="7"/>
  <c r="D26" i="7"/>
  <c r="D595" i="7"/>
  <c r="D822" i="7"/>
  <c r="D440" i="7"/>
  <c r="D665" i="7"/>
  <c r="D764" i="7"/>
  <c r="D777" i="7"/>
  <c r="D671" i="7"/>
  <c r="D832" i="7"/>
  <c r="D228" i="7"/>
  <c r="D634" i="7"/>
  <c r="D114" i="7"/>
  <c r="D385" i="7"/>
  <c r="D37" i="7"/>
  <c r="D279" i="7"/>
  <c r="D191" i="7"/>
  <c r="D108" i="7"/>
  <c r="D56" i="7"/>
  <c r="D311" i="7"/>
  <c r="D507" i="7"/>
  <c r="D97" i="7"/>
  <c r="D500" i="7"/>
  <c r="D319" i="7"/>
  <c r="D18" i="7"/>
  <c r="D264" i="7"/>
  <c r="D437" i="7"/>
  <c r="D510" i="7"/>
  <c r="D338" i="7"/>
  <c r="D853" i="7"/>
  <c r="D111" i="7"/>
  <c r="D333" i="7"/>
  <c r="D186" i="7"/>
  <c r="D721" i="7"/>
  <c r="D102" i="7"/>
  <c r="D713" i="7"/>
  <c r="D809" i="7"/>
  <c r="D27" i="7"/>
  <c r="D569" i="7"/>
  <c r="D446" i="7"/>
  <c r="D150" i="7"/>
  <c r="D164" i="7"/>
  <c r="D184" i="7"/>
  <c r="D865" i="7"/>
  <c r="D40" i="7"/>
  <c r="D726" i="7"/>
  <c r="D122" i="7"/>
  <c r="D817" i="7"/>
  <c r="D452" i="7"/>
  <c r="D89" i="7"/>
  <c r="D187" i="7"/>
  <c r="D593" i="7"/>
  <c r="D399" i="7"/>
  <c r="D294" i="7"/>
  <c r="D819" i="7"/>
  <c r="D499" i="7"/>
  <c r="D522" i="7"/>
  <c r="D598" i="7"/>
  <c r="D80" i="7"/>
  <c r="D509" i="7"/>
  <c r="D798" i="7"/>
  <c r="D643" i="7"/>
  <c r="D439" i="7"/>
  <c r="D749" i="7"/>
  <c r="D53" i="7"/>
  <c r="D454" i="7"/>
  <c r="D679" i="7"/>
  <c r="D631" i="7"/>
  <c r="D118" i="7"/>
  <c r="D9" i="7"/>
  <c r="D76" i="7"/>
  <c r="D398" i="7"/>
  <c r="D758" i="7"/>
  <c r="D442" i="7"/>
  <c r="D45" i="7"/>
  <c r="D81" i="7"/>
  <c r="D286" i="7"/>
  <c r="D354" i="7"/>
  <c r="D719" i="7"/>
  <c r="D449" i="7"/>
  <c r="D11" i="7"/>
  <c r="D564" i="7"/>
  <c r="D826" i="7"/>
  <c r="D825" i="7"/>
  <c r="D717" i="7"/>
  <c r="D258" i="7"/>
  <c r="D88" i="7"/>
  <c r="D870" i="7"/>
  <c r="D704" i="7"/>
  <c r="D195" i="7"/>
  <c r="D855" i="7"/>
  <c r="D133" i="7"/>
  <c r="D364" i="7"/>
  <c r="D571" i="7"/>
  <c r="D209" i="7"/>
  <c r="D628" i="7"/>
  <c r="D334" i="7"/>
  <c r="D533" i="7"/>
  <c r="D685" i="7"/>
  <c r="D568" i="7"/>
  <c r="D377" i="7"/>
  <c r="D140" i="7"/>
  <c r="D415" i="7"/>
  <c r="D386" i="7"/>
  <c r="D656" i="7"/>
  <c r="D652" i="7"/>
  <c r="D387" i="7"/>
  <c r="D287" i="7"/>
  <c r="D21" i="7"/>
  <c r="D607" i="7"/>
  <c r="D746" i="7"/>
  <c r="D836" i="7"/>
  <c r="D445" i="7"/>
  <c r="D308" i="7"/>
  <c r="D669" i="7"/>
  <c r="D340" i="7"/>
  <c r="D282" i="7"/>
  <c r="D602" i="7"/>
  <c r="D676" i="7"/>
  <c r="D695" i="7"/>
  <c r="D763" i="7"/>
  <c r="D478" i="7"/>
  <c r="D79" i="7"/>
  <c r="D168" i="7"/>
  <c r="D857" i="7"/>
  <c r="D137" i="7"/>
  <c r="D233" i="7"/>
  <c r="D249" i="7"/>
  <c r="D51" i="7"/>
  <c r="D742" i="7"/>
  <c r="D830" i="7"/>
  <c r="D181" i="7"/>
  <c r="D752" i="7"/>
  <c r="D193" i="7"/>
  <c r="D596" i="7"/>
  <c r="D801" i="7"/>
  <c r="D323" i="7"/>
  <c r="D304" i="7"/>
  <c r="D681" i="7"/>
  <c r="D546" i="7"/>
  <c r="D320" i="7"/>
  <c r="D706" i="7"/>
  <c r="D390" i="7"/>
  <c r="D372" i="7"/>
  <c r="D756" i="7"/>
  <c r="D250" i="7"/>
  <c r="D380" i="7"/>
  <c r="D856" i="7"/>
  <c r="D277" i="7"/>
  <c r="D527" i="7"/>
  <c r="D667" i="7"/>
  <c r="D606" i="7"/>
  <c r="D397" i="7"/>
  <c r="D768" i="7"/>
  <c r="D613" i="7"/>
  <c r="D660" i="7"/>
  <c r="D100" i="7"/>
  <c r="D200" i="7"/>
  <c r="D409" i="7"/>
  <c r="D461" i="7"/>
  <c r="D438" i="7"/>
  <c r="D117" i="7"/>
  <c r="D831" i="7"/>
  <c r="D658" i="7"/>
  <c r="D158" i="7"/>
  <c r="D839" i="7"/>
  <c r="D272" i="7"/>
  <c r="D496" i="7"/>
  <c r="D132" i="7"/>
  <c r="D166" i="7"/>
  <c r="D13" i="7"/>
  <c r="D714" i="7"/>
  <c r="D20" i="7"/>
  <c r="D136" i="7"/>
  <c r="D196" i="7"/>
  <c r="D172" i="7"/>
  <c r="D32" i="7"/>
  <c r="D367" i="7"/>
  <c r="D208" i="7"/>
  <c r="D129" i="7"/>
  <c r="D82" i="7"/>
  <c r="D687" i="7"/>
  <c r="D600" i="7"/>
  <c r="D103" i="7"/>
  <c r="D820" i="7"/>
  <c r="D727" i="7"/>
  <c r="D213" i="7"/>
  <c r="D690" i="7"/>
  <c r="D582" i="7"/>
  <c r="D611" i="7"/>
  <c r="D325" i="7"/>
  <c r="D621" i="7"/>
  <c r="D760" i="7"/>
  <c r="D541" i="7"/>
  <c r="D673" i="7"/>
  <c r="D105" i="7"/>
  <c r="D737" i="7"/>
  <c r="D670" i="7"/>
  <c r="D774" i="7"/>
  <c r="D816" i="7"/>
  <c r="D581" i="7"/>
  <c r="D616" i="7"/>
  <c r="D693" i="7"/>
  <c r="D298" i="7"/>
  <c r="D98" i="7"/>
  <c r="D371" i="7"/>
  <c r="D350" i="7"/>
  <c r="D629" i="7"/>
  <c r="D833" i="7"/>
  <c r="D444" i="7"/>
  <c r="D473" i="7"/>
  <c r="D74" i="7"/>
  <c r="D292" i="7"/>
  <c r="D757" i="7"/>
  <c r="D205" i="7"/>
  <c r="D101" i="7"/>
  <c r="D558" i="7"/>
  <c r="D597" i="7"/>
  <c r="D545" i="7"/>
  <c r="D436" i="7"/>
  <c r="D470" i="7"/>
  <c r="D632" i="7"/>
  <c r="D107" i="7"/>
  <c r="D243" i="7"/>
  <c r="D806" i="7"/>
  <c r="D829" i="7"/>
  <c r="D405" i="7"/>
  <c r="D44" i="7"/>
  <c r="D773" i="7"/>
  <c r="D506" i="7"/>
  <c r="D198" i="7"/>
  <c r="D207" i="7"/>
  <c r="D289" i="7"/>
  <c r="D698" i="7"/>
  <c r="D267" i="7"/>
  <c r="D731" i="7"/>
  <c r="D647" i="7"/>
  <c r="D653" i="7"/>
  <c r="D715" i="7"/>
  <c r="D110" i="7"/>
  <c r="D513" i="7"/>
  <c r="D284" i="7"/>
  <c r="D255" i="7"/>
  <c r="D619" i="7"/>
  <c r="D677" i="7"/>
  <c r="D778" i="7"/>
  <c r="D369" i="7"/>
  <c r="D716" i="7"/>
  <c r="D273" i="7"/>
  <c r="D696" i="7"/>
  <c r="D194" i="7"/>
  <c r="D531" i="7"/>
  <c r="D610" i="7"/>
  <c r="D843" i="7"/>
  <c r="D92" i="7"/>
  <c r="D827" i="7"/>
  <c r="D802" i="7"/>
  <c r="D495" i="7"/>
  <c r="D109" i="7"/>
  <c r="D780" i="7"/>
  <c r="D66" i="7"/>
  <c r="D430" i="7"/>
  <c r="D703" i="7"/>
  <c r="D83" i="7"/>
  <c r="D867" i="7"/>
  <c r="D528" i="7"/>
  <c r="D529" i="7"/>
  <c r="D173" i="7"/>
  <c r="D72" i="7"/>
  <c r="D544" i="7"/>
  <c r="D252" i="7"/>
  <c r="D203" i="7"/>
  <c r="D642" i="7"/>
  <c r="D474" i="7"/>
  <c r="D554" i="7"/>
  <c r="D68" i="7"/>
  <c r="D291" i="7"/>
  <c r="D501" i="7"/>
  <c r="D19" i="7"/>
  <c r="D740" i="7"/>
  <c r="D75" i="7"/>
  <c r="D349" i="7"/>
  <c r="D85" i="7"/>
  <c r="D637" i="7"/>
  <c r="D604" i="7"/>
  <c r="D787" i="7"/>
  <c r="D161" i="7"/>
  <c r="D770" i="7"/>
  <c r="D451" i="7"/>
  <c r="D365" i="7"/>
  <c r="D335" i="7"/>
  <c r="D664" i="7"/>
  <c r="D741" i="7"/>
  <c r="D563" i="7"/>
  <c r="D784" i="7"/>
  <c r="D84" i="7"/>
  <c r="D565" i="7"/>
  <c r="D443" i="7"/>
  <c r="D134" i="7"/>
  <c r="D448" i="7"/>
  <c r="D666" i="7"/>
  <c r="D229" i="7"/>
  <c r="D225" i="7"/>
  <c r="D464" i="7"/>
  <c r="D219" i="7"/>
  <c r="D201" i="7"/>
  <c r="D295" i="7"/>
  <c r="D197" i="7"/>
  <c r="D823" i="7"/>
  <c r="D518" i="7"/>
  <c r="D330" i="7"/>
  <c r="D403" i="7"/>
  <c r="D585" i="7"/>
  <c r="D733" i="7"/>
  <c r="D485" i="7"/>
  <c r="D484" i="7"/>
  <c r="D43" i="7"/>
  <c r="D482" i="7"/>
  <c r="D524" i="7"/>
  <c r="D54" i="7"/>
  <c r="D202" i="7"/>
  <c r="D290" i="7"/>
  <c r="D601" i="7"/>
  <c r="D293" i="7"/>
  <c r="D362" i="7"/>
  <c r="D837" i="7"/>
  <c r="D516" i="7"/>
  <c r="D682" i="7"/>
  <c r="D190" i="7"/>
  <c r="D844" i="7"/>
  <c r="D472" i="7"/>
  <c r="D701" i="7"/>
  <c r="D220" i="7"/>
  <c r="D361" i="7"/>
  <c r="D459" i="7"/>
  <c r="D864" i="7"/>
  <c r="D424" i="7"/>
  <c r="D423" i="7"/>
  <c r="D466" i="7"/>
  <c r="D609" i="7"/>
  <c r="D432" i="7"/>
  <c r="D427" i="7"/>
  <c r="D359" i="7"/>
  <c r="D256" i="7"/>
  <c r="C722" i="7"/>
  <c r="C375" i="7"/>
  <c r="C630" i="7"/>
  <c r="C263" i="7"/>
  <c r="C487" i="7"/>
  <c r="C457" i="7"/>
  <c r="C30" i="7"/>
  <c r="C515" i="7"/>
  <c r="C441" i="7"/>
  <c r="C551" i="7"/>
  <c r="C657" i="7"/>
  <c r="C469" i="7"/>
  <c r="C848" i="7"/>
  <c r="C147" i="7"/>
  <c r="C241" i="7"/>
  <c r="C25" i="7"/>
  <c r="C583" i="7"/>
  <c r="C17" i="7"/>
  <c r="C586" i="7"/>
  <c r="C154" i="7"/>
  <c r="C46" i="7"/>
  <c r="C329" i="7"/>
  <c r="C765" i="7"/>
  <c r="C143" i="7"/>
  <c r="C425" i="7"/>
  <c r="C536" i="7"/>
  <c r="C38" i="7"/>
  <c r="C576" i="7"/>
  <c r="C240" i="7"/>
  <c r="C753" i="7"/>
  <c r="C34" i="7"/>
  <c r="C663" i="7"/>
  <c r="C547" i="7"/>
  <c r="C635" i="7"/>
  <c r="C592" i="7"/>
  <c r="C539" i="7"/>
  <c r="C275" i="7"/>
  <c r="C578" i="7"/>
  <c r="C858" i="7"/>
  <c r="C548" i="7"/>
  <c r="C316" i="7"/>
  <c r="C644" i="7"/>
  <c r="C318" i="7"/>
  <c r="C532" i="7"/>
  <c r="C216" i="7"/>
  <c r="C511" i="7"/>
  <c r="C416" i="7"/>
  <c r="C577" i="7"/>
  <c r="C393" i="7"/>
  <c r="C14" i="7"/>
  <c r="C28" i="7"/>
  <c r="C725" i="7"/>
  <c r="C237" i="7"/>
  <c r="C411" i="7"/>
  <c r="C165" i="7"/>
  <c r="C60" i="7"/>
  <c r="C410" i="7"/>
  <c r="C262" i="7"/>
  <c r="C230" i="7"/>
  <c r="C549" i="7"/>
  <c r="C236" i="7"/>
  <c r="C244" i="7"/>
  <c r="C512" i="7"/>
  <c r="C344" i="7"/>
  <c r="C113" i="7"/>
  <c r="C139" i="7"/>
  <c r="C648" i="7"/>
  <c r="C735" i="7"/>
  <c r="C851" i="7"/>
  <c r="C680" i="7"/>
  <c r="C285" i="7"/>
  <c r="C61" i="7"/>
  <c r="C508" i="7"/>
  <c r="C479" i="7"/>
  <c r="C771" i="7"/>
  <c r="C868" i="7"/>
  <c r="C341" i="7"/>
  <c r="C388" i="7"/>
  <c r="C627" i="7"/>
  <c r="C705" i="7"/>
  <c r="C125" i="7"/>
  <c r="C64" i="7"/>
  <c r="C57" i="7"/>
  <c r="C854" i="7"/>
  <c r="C794" i="7"/>
  <c r="C417" i="7"/>
  <c r="C435" i="7"/>
  <c r="C754" i="7"/>
  <c r="C313" i="7"/>
  <c r="C135" i="7"/>
  <c r="C268" i="7"/>
  <c r="C331" i="7"/>
  <c r="C151" i="7"/>
  <c r="C805" i="7"/>
  <c r="C730" i="7"/>
  <c r="C312" i="7"/>
  <c r="C523" i="7"/>
  <c r="C759" i="7"/>
  <c r="C672" i="7"/>
  <c r="C605" i="7"/>
  <c r="C366" i="7"/>
  <c r="C575" i="7"/>
  <c r="C12" i="7"/>
  <c r="C144" i="7"/>
  <c r="C159" i="7"/>
  <c r="C790" i="7"/>
  <c r="C128" i="7"/>
  <c r="C401" i="7"/>
  <c r="C127" i="7"/>
  <c r="C73" i="7"/>
  <c r="C374" i="7"/>
  <c r="C808" i="7"/>
  <c r="C297" i="7"/>
  <c r="C404" i="7"/>
  <c r="C775" i="7"/>
  <c r="C813" i="7"/>
  <c r="C762" i="7"/>
  <c r="C795" i="7"/>
  <c r="C812" i="7"/>
  <c r="C580" i="7"/>
  <c r="C497" i="7"/>
  <c r="C502" i="7"/>
  <c r="C748" i="7"/>
  <c r="C22" i="7"/>
  <c r="C791" i="7"/>
  <c r="C345" i="7"/>
  <c r="C540" i="7"/>
  <c r="C370" i="7"/>
  <c r="C622" i="7"/>
  <c r="C124" i="7"/>
  <c r="C422" i="7"/>
  <c r="C426" i="7"/>
  <c r="C141" i="7"/>
  <c r="C302" i="7"/>
  <c r="C584" i="7"/>
  <c r="C555" i="7"/>
  <c r="C767" i="7"/>
  <c r="C210" i="7"/>
  <c r="C342" i="7"/>
  <c r="C383" i="7"/>
  <c r="C559" i="7"/>
  <c r="C400" i="7"/>
  <c r="C309" i="7"/>
  <c r="C169" i="7"/>
  <c r="C846" i="7"/>
  <c r="C389" i="7"/>
  <c r="C779" i="7"/>
  <c r="C433" i="7"/>
  <c r="C180" i="7"/>
  <c r="C526" i="7"/>
  <c r="C688" i="7"/>
  <c r="C148" i="7"/>
  <c r="C174" i="7"/>
  <c r="C42" i="7"/>
  <c r="C310" i="7"/>
  <c r="C419" i="7"/>
  <c r="C115" i="7"/>
  <c r="C796" i="7"/>
  <c r="C86" i="7"/>
  <c r="C761" i="7"/>
  <c r="C587" i="7"/>
  <c r="C24" i="7"/>
  <c r="C58" i="7"/>
  <c r="C162" i="7"/>
  <c r="C381" i="7"/>
  <c r="C322" i="7"/>
  <c r="C724" i="7"/>
  <c r="C504" i="7"/>
  <c r="C491" i="7"/>
  <c r="C814" i="7"/>
  <c r="C462" i="7"/>
  <c r="C623" i="7"/>
  <c r="C183" i="7"/>
  <c r="C146" i="7"/>
  <c r="C434" i="7"/>
  <c r="C391" i="7"/>
  <c r="C87" i="7"/>
  <c r="C351" i="7"/>
  <c r="C560" i="7"/>
  <c r="C8" i="7"/>
  <c r="C465" i="7"/>
  <c r="C744" i="7"/>
  <c r="C332" i="7"/>
  <c r="C138" i="7"/>
  <c r="C736" i="7"/>
  <c r="C402" i="7"/>
  <c r="C718" i="7"/>
  <c r="C70" i="7"/>
  <c r="C428" i="7"/>
  <c r="C328" i="7"/>
  <c r="C303" i="7"/>
  <c r="C686" i="7"/>
  <c r="C708" i="7"/>
  <c r="C782" i="7"/>
  <c r="C755" i="7"/>
  <c r="C615" i="7"/>
  <c r="C574" i="7"/>
  <c r="C678" i="7"/>
  <c r="C734" i="7"/>
  <c r="C167" i="7"/>
  <c r="C280" i="7"/>
  <c r="C799" i="7"/>
  <c r="C699" i="7"/>
  <c r="C152" i="7"/>
  <c r="C67" i="7"/>
  <c r="C824" i="7"/>
  <c r="C278" i="7"/>
  <c r="C649" i="7"/>
  <c r="C514" i="7"/>
  <c r="C212" i="7"/>
  <c r="C242" i="7"/>
  <c r="C772" i="7"/>
  <c r="C567" i="7"/>
  <c r="C640" i="7"/>
  <c r="C384" i="7"/>
  <c r="C579" i="7"/>
  <c r="C834" i="7"/>
  <c r="C15" i="7"/>
  <c r="C668" i="7"/>
  <c r="C418" i="7"/>
  <c r="C789" i="7"/>
  <c r="C503" i="7"/>
  <c r="C521" i="7"/>
  <c r="C828" i="7"/>
  <c r="C343" i="7"/>
  <c r="C863" i="7"/>
  <c r="C245" i="7"/>
  <c r="C561" i="7"/>
  <c r="C283" i="7"/>
  <c r="C477" i="7"/>
  <c r="C259" i="7"/>
  <c r="C542" i="7"/>
  <c r="C838" i="7"/>
  <c r="C807" i="7"/>
  <c r="C552" i="7"/>
  <c r="C614" i="7"/>
  <c r="C550" i="7"/>
  <c r="C149" i="7"/>
  <c r="C645" i="7"/>
  <c r="C570" i="7"/>
  <c r="C306" i="7"/>
  <c r="C179" i="7"/>
  <c r="C429" i="7"/>
  <c r="C35" i="7"/>
  <c r="C178" i="7"/>
  <c r="C618" i="7"/>
  <c r="C346" i="7"/>
  <c r="C356" i="7"/>
  <c r="C182" i="7"/>
  <c r="C363" i="7"/>
  <c r="C226" i="7"/>
  <c r="C407" i="7"/>
  <c r="C747" i="7"/>
  <c r="C414" i="7"/>
  <c r="C661" i="7"/>
  <c r="C710" i="7"/>
  <c r="C723" i="7"/>
  <c r="C376" i="7"/>
  <c r="C729" i="7"/>
  <c r="C525" i="7"/>
  <c r="C29" i="7"/>
  <c r="C702" i="7"/>
  <c r="C852" i="7"/>
  <c r="C90" i="7"/>
  <c r="C573" i="7"/>
  <c r="C707" i="7"/>
  <c r="C222" i="7"/>
  <c r="C785" i="7"/>
  <c r="C519" i="7"/>
  <c r="C494" i="7"/>
  <c r="C847" i="7"/>
  <c r="C261" i="7"/>
  <c r="C800" i="7"/>
  <c r="C588" i="7"/>
  <c r="C160" i="7"/>
  <c r="C26" i="7"/>
  <c r="C595" i="7"/>
  <c r="C822" i="7"/>
  <c r="C440" i="7"/>
  <c r="C665" i="7"/>
  <c r="C764" i="7"/>
  <c r="C777" i="7"/>
  <c r="C671" i="7"/>
  <c r="C832" i="7"/>
  <c r="C228" i="7"/>
  <c r="C634" i="7"/>
  <c r="C114" i="7"/>
  <c r="C385" i="7"/>
  <c r="C37" i="7"/>
  <c r="C279" i="7"/>
  <c r="C191" i="7"/>
  <c r="C108" i="7"/>
  <c r="C56" i="7"/>
  <c r="C311" i="7"/>
  <c r="C507" i="7"/>
  <c r="C97" i="7"/>
  <c r="C500" i="7"/>
  <c r="C319" i="7"/>
  <c r="C18" i="7"/>
  <c r="C264" i="7"/>
  <c r="C437" i="7"/>
  <c r="C510" i="7"/>
  <c r="C338" i="7"/>
  <c r="C853" i="7"/>
  <c r="C111" i="7"/>
  <c r="C333" i="7"/>
  <c r="C186" i="7"/>
  <c r="C721" i="7"/>
  <c r="C102" i="7"/>
  <c r="C713" i="7"/>
  <c r="C809" i="7"/>
  <c r="C27" i="7"/>
  <c r="C569" i="7"/>
  <c r="C446" i="7"/>
  <c r="C150" i="7"/>
  <c r="C164" i="7"/>
  <c r="C184" i="7"/>
  <c r="C865" i="7"/>
  <c r="C40" i="7"/>
  <c r="C726" i="7"/>
  <c r="C122" i="7"/>
  <c r="C817" i="7"/>
  <c r="C452" i="7"/>
  <c r="C89" i="7"/>
  <c r="C187" i="7"/>
  <c r="C593" i="7"/>
  <c r="C399" i="7"/>
  <c r="C294" i="7"/>
  <c r="C819" i="7"/>
  <c r="C499" i="7"/>
  <c r="C522" i="7"/>
  <c r="C598" i="7"/>
  <c r="C80" i="7"/>
  <c r="C509" i="7"/>
  <c r="BV509" i="7" s="1"/>
  <c r="C798" i="7"/>
  <c r="BV798" i="7" s="1"/>
  <c r="C643" i="7"/>
  <c r="BV643" i="7" s="1"/>
  <c r="C439" i="7"/>
  <c r="BV439" i="7" s="1"/>
  <c r="C749" i="7"/>
  <c r="BV749" i="7" s="1"/>
  <c r="C53" i="7"/>
  <c r="BV53" i="7" s="1"/>
  <c r="C454" i="7"/>
  <c r="BV454" i="7" s="1"/>
  <c r="C679" i="7"/>
  <c r="BV679" i="7" s="1"/>
  <c r="C631" i="7"/>
  <c r="BV631" i="7" s="1"/>
  <c r="C118" i="7"/>
  <c r="BV118" i="7" s="1"/>
  <c r="C9" i="7"/>
  <c r="BV9" i="7" s="1"/>
  <c r="C76" i="7"/>
  <c r="BV76" i="7" s="1"/>
  <c r="C398" i="7"/>
  <c r="BV398" i="7" s="1"/>
  <c r="C758" i="7"/>
  <c r="BV758" i="7" s="1"/>
  <c r="C442" i="7"/>
  <c r="BV442" i="7" s="1"/>
  <c r="C45" i="7"/>
  <c r="BV45" i="7" s="1"/>
  <c r="C81" i="7"/>
  <c r="BV81" i="7" s="1"/>
  <c r="C286" i="7"/>
  <c r="BV286" i="7" s="1"/>
  <c r="C354" i="7"/>
  <c r="BV354" i="7" s="1"/>
  <c r="C719" i="7"/>
  <c r="BV719" i="7" s="1"/>
  <c r="C449" i="7"/>
  <c r="BV449" i="7" s="1"/>
  <c r="C11" i="7"/>
  <c r="BV11" i="7" s="1"/>
  <c r="C564" i="7"/>
  <c r="BV564" i="7" s="1"/>
  <c r="C826" i="7"/>
  <c r="BV826" i="7" s="1"/>
  <c r="C825" i="7"/>
  <c r="BV825" i="7" s="1"/>
  <c r="C717" i="7"/>
  <c r="BV717" i="7" s="1"/>
  <c r="C258" i="7"/>
  <c r="BV258" i="7" s="1"/>
  <c r="C88" i="7"/>
  <c r="BV88" i="7" s="1"/>
  <c r="C870" i="7"/>
  <c r="BV870" i="7" s="1"/>
  <c r="C704" i="7"/>
  <c r="BV704" i="7" s="1"/>
  <c r="C195" i="7"/>
  <c r="BV195" i="7" s="1"/>
  <c r="C855" i="7"/>
  <c r="BV855" i="7" s="1"/>
  <c r="C133" i="7"/>
  <c r="BV133" i="7" s="1"/>
  <c r="C364" i="7"/>
  <c r="BV364" i="7" s="1"/>
  <c r="C571" i="7"/>
  <c r="BV571" i="7" s="1"/>
  <c r="C209" i="7"/>
  <c r="BV209" i="7" s="1"/>
  <c r="C628" i="7"/>
  <c r="BV628" i="7" s="1"/>
  <c r="C334" i="7"/>
  <c r="BV334" i="7" s="1"/>
  <c r="C533" i="7"/>
  <c r="BV533" i="7" s="1"/>
  <c r="C685" i="7"/>
  <c r="BV685" i="7" s="1"/>
  <c r="C568" i="7"/>
  <c r="BV568" i="7" s="1"/>
  <c r="C377" i="7"/>
  <c r="BV377" i="7" s="1"/>
  <c r="C140" i="7"/>
  <c r="BV140" i="7" s="1"/>
  <c r="C415" i="7"/>
  <c r="BV415" i="7" s="1"/>
  <c r="C386" i="7"/>
  <c r="BV386" i="7" s="1"/>
  <c r="C656" i="7"/>
  <c r="BV656" i="7" s="1"/>
  <c r="C652" i="7"/>
  <c r="BV652" i="7" s="1"/>
  <c r="C387" i="7"/>
  <c r="BV387" i="7" s="1"/>
  <c r="C287" i="7"/>
  <c r="BV287" i="7" s="1"/>
  <c r="C21" i="7"/>
  <c r="BV21" i="7" s="1"/>
  <c r="C607" i="7"/>
  <c r="BV607" i="7" s="1"/>
  <c r="C746" i="7"/>
  <c r="BV746" i="7" s="1"/>
  <c r="C836" i="7"/>
  <c r="BV836" i="7" s="1"/>
  <c r="C445" i="7"/>
  <c r="BV445" i="7" s="1"/>
  <c r="C308" i="7"/>
  <c r="BV308" i="7" s="1"/>
  <c r="C669" i="7"/>
  <c r="BV669" i="7" s="1"/>
  <c r="C340" i="7"/>
  <c r="BV340" i="7" s="1"/>
  <c r="C282" i="7"/>
  <c r="BV282" i="7" s="1"/>
  <c r="C602" i="7"/>
  <c r="BV602" i="7" s="1"/>
  <c r="C676" i="7"/>
  <c r="BV676" i="7" s="1"/>
  <c r="C695" i="7"/>
  <c r="BV695" i="7" s="1"/>
  <c r="C763" i="7"/>
  <c r="BV763" i="7" s="1"/>
  <c r="C478" i="7"/>
  <c r="BV478" i="7" s="1"/>
  <c r="C79" i="7"/>
  <c r="BV79" i="7" s="1"/>
  <c r="C168" i="7"/>
  <c r="BV168" i="7" s="1"/>
  <c r="C857" i="7"/>
  <c r="BV857" i="7" s="1"/>
  <c r="C137" i="7"/>
  <c r="BV137" i="7" s="1"/>
  <c r="C233" i="7"/>
  <c r="BV233" i="7" s="1"/>
  <c r="C249" i="7"/>
  <c r="BV249" i="7" s="1"/>
  <c r="C51" i="7"/>
  <c r="BV51" i="7" s="1"/>
  <c r="C742" i="7"/>
  <c r="BV742" i="7" s="1"/>
  <c r="C830" i="7"/>
  <c r="BV830" i="7" s="1"/>
  <c r="C181" i="7"/>
  <c r="BV181" i="7" s="1"/>
  <c r="C752" i="7"/>
  <c r="BV752" i="7" s="1"/>
  <c r="C193" i="7"/>
  <c r="BV193" i="7" s="1"/>
  <c r="C596" i="7"/>
  <c r="BV596" i="7" s="1"/>
  <c r="C801" i="7"/>
  <c r="BV801" i="7" s="1"/>
  <c r="C323" i="7"/>
  <c r="BV323" i="7" s="1"/>
  <c r="C304" i="7"/>
  <c r="BV304" i="7" s="1"/>
  <c r="C681" i="7"/>
  <c r="BV681" i="7" s="1"/>
  <c r="C546" i="7"/>
  <c r="BV546" i="7" s="1"/>
  <c r="C320" i="7"/>
  <c r="BV320" i="7" s="1"/>
  <c r="C706" i="7"/>
  <c r="BV706" i="7" s="1"/>
  <c r="C390" i="7"/>
  <c r="BV390" i="7" s="1"/>
  <c r="C372" i="7"/>
  <c r="BV372" i="7" s="1"/>
  <c r="C756" i="7"/>
  <c r="BV756" i="7" s="1"/>
  <c r="C250" i="7"/>
  <c r="BV250" i="7" s="1"/>
  <c r="C380" i="7"/>
  <c r="BV380" i="7" s="1"/>
  <c r="C856" i="7"/>
  <c r="BV856" i="7" s="1"/>
  <c r="C277" i="7"/>
  <c r="BV277" i="7" s="1"/>
  <c r="C527" i="7"/>
  <c r="BV527" i="7" s="1"/>
  <c r="C667" i="7"/>
  <c r="BV667" i="7" s="1"/>
  <c r="C606" i="7"/>
  <c r="BV606" i="7" s="1"/>
  <c r="C397" i="7"/>
  <c r="BV397" i="7" s="1"/>
  <c r="C768" i="7"/>
  <c r="BV768" i="7" s="1"/>
  <c r="C613" i="7"/>
  <c r="BV613" i="7" s="1"/>
  <c r="C660" i="7"/>
  <c r="BV660" i="7" s="1"/>
  <c r="C100" i="7"/>
  <c r="BV100" i="7" s="1"/>
  <c r="C200" i="7"/>
  <c r="BV200" i="7" s="1"/>
  <c r="C409" i="7"/>
  <c r="BV409" i="7" s="1"/>
  <c r="C461" i="7"/>
  <c r="BV461" i="7" s="1"/>
  <c r="C438" i="7"/>
  <c r="BV438" i="7" s="1"/>
  <c r="C117" i="7"/>
  <c r="BV117" i="7" s="1"/>
  <c r="C831" i="7"/>
  <c r="BV831" i="7" s="1"/>
  <c r="C658" i="7"/>
  <c r="BV658" i="7" s="1"/>
  <c r="C158" i="7"/>
  <c r="BV158" i="7" s="1"/>
  <c r="C839" i="7"/>
  <c r="BV839" i="7" s="1"/>
  <c r="C272" i="7"/>
  <c r="BV272" i="7" s="1"/>
  <c r="C496" i="7"/>
  <c r="BV496" i="7" s="1"/>
  <c r="C132" i="7"/>
  <c r="BV132" i="7" s="1"/>
  <c r="C166" i="7"/>
  <c r="BV166" i="7" s="1"/>
  <c r="C13" i="7"/>
  <c r="BV13" i="7" s="1"/>
  <c r="C714" i="7"/>
  <c r="BV714" i="7" s="1"/>
  <c r="C20" i="7"/>
  <c r="BV20" i="7" s="1"/>
  <c r="C136" i="7"/>
  <c r="BV136" i="7" s="1"/>
  <c r="C196" i="7"/>
  <c r="BV196" i="7" s="1"/>
  <c r="C172" i="7"/>
  <c r="BV172" i="7" s="1"/>
  <c r="C32" i="7"/>
  <c r="BV32" i="7" s="1"/>
  <c r="C367" i="7"/>
  <c r="BV367" i="7" s="1"/>
  <c r="C208" i="7"/>
  <c r="BV208" i="7" s="1"/>
  <c r="C129" i="7"/>
  <c r="BV129" i="7" s="1"/>
  <c r="C82" i="7"/>
  <c r="BV82" i="7" s="1"/>
  <c r="C687" i="7"/>
  <c r="BV687" i="7" s="1"/>
  <c r="C600" i="7"/>
  <c r="BV600" i="7" s="1"/>
  <c r="C103" i="7"/>
  <c r="BV103" i="7" s="1"/>
  <c r="C820" i="7"/>
  <c r="BV820" i="7" s="1"/>
  <c r="C727" i="7"/>
  <c r="BV727" i="7" s="1"/>
  <c r="C213" i="7"/>
  <c r="BV213" i="7" s="1"/>
  <c r="C690" i="7"/>
  <c r="BV690" i="7" s="1"/>
  <c r="C582" i="7"/>
  <c r="BV582" i="7" s="1"/>
  <c r="C611" i="7"/>
  <c r="BV611" i="7" s="1"/>
  <c r="C325" i="7"/>
  <c r="BV325" i="7" s="1"/>
  <c r="C621" i="7"/>
  <c r="BV621" i="7" s="1"/>
  <c r="C760" i="7"/>
  <c r="BV760" i="7" s="1"/>
  <c r="C541" i="7"/>
  <c r="BV541" i="7" s="1"/>
  <c r="C673" i="7"/>
  <c r="BV673" i="7" s="1"/>
  <c r="C105" i="7"/>
  <c r="BV105" i="7" s="1"/>
  <c r="C737" i="7"/>
  <c r="BV737" i="7" s="1"/>
  <c r="C670" i="7"/>
  <c r="BV670" i="7" s="1"/>
  <c r="C774" i="7"/>
  <c r="BV774" i="7" s="1"/>
  <c r="C816" i="7"/>
  <c r="BV816" i="7" s="1"/>
  <c r="C581" i="7"/>
  <c r="BV581" i="7" s="1"/>
  <c r="C616" i="7"/>
  <c r="BV616" i="7" s="1"/>
  <c r="C693" i="7"/>
  <c r="BV693" i="7" s="1"/>
  <c r="C298" i="7"/>
  <c r="BV298" i="7" s="1"/>
  <c r="C98" i="7"/>
  <c r="BV98" i="7" s="1"/>
  <c r="C371" i="7"/>
  <c r="BV371" i="7" s="1"/>
  <c r="C350" i="7"/>
  <c r="BV350" i="7" s="1"/>
  <c r="C629" i="7"/>
  <c r="BV629" i="7" s="1"/>
  <c r="C833" i="7"/>
  <c r="BV833" i="7" s="1"/>
  <c r="C444" i="7"/>
  <c r="BV444" i="7" s="1"/>
  <c r="C473" i="7"/>
  <c r="BV473" i="7" s="1"/>
  <c r="C74" i="7"/>
  <c r="BV74" i="7" s="1"/>
  <c r="C292" i="7"/>
  <c r="BV292" i="7" s="1"/>
  <c r="C757" i="7"/>
  <c r="BV757" i="7" s="1"/>
  <c r="C205" i="7"/>
  <c r="BV205" i="7" s="1"/>
  <c r="C101" i="7"/>
  <c r="BV101" i="7" s="1"/>
  <c r="C558" i="7"/>
  <c r="BV558" i="7" s="1"/>
  <c r="C597" i="7"/>
  <c r="BV597" i="7" s="1"/>
  <c r="C545" i="7"/>
  <c r="BV545" i="7" s="1"/>
  <c r="C436" i="7"/>
  <c r="BV436" i="7" s="1"/>
  <c r="C470" i="7"/>
  <c r="BV470" i="7" s="1"/>
  <c r="C632" i="7"/>
  <c r="BV632" i="7" s="1"/>
  <c r="C107" i="7"/>
  <c r="BV107" i="7" s="1"/>
  <c r="C243" i="7"/>
  <c r="BV243" i="7" s="1"/>
  <c r="C806" i="7"/>
  <c r="BV806" i="7" s="1"/>
  <c r="C829" i="7"/>
  <c r="BV829" i="7" s="1"/>
  <c r="C405" i="7"/>
  <c r="BV405" i="7" s="1"/>
  <c r="C44" i="7"/>
  <c r="BV44" i="7" s="1"/>
  <c r="C773" i="7"/>
  <c r="BV773" i="7" s="1"/>
  <c r="C506" i="7"/>
  <c r="BV506" i="7" s="1"/>
  <c r="C198" i="7"/>
  <c r="BV198" i="7" s="1"/>
  <c r="C207" i="7"/>
  <c r="BV207" i="7" s="1"/>
  <c r="C289" i="7"/>
  <c r="BV289" i="7" s="1"/>
  <c r="C698" i="7"/>
  <c r="BV698" i="7" s="1"/>
  <c r="C267" i="7"/>
  <c r="BV267" i="7" s="1"/>
  <c r="C731" i="7"/>
  <c r="BV731" i="7" s="1"/>
  <c r="C647" i="7"/>
  <c r="BV647" i="7" s="1"/>
  <c r="C653" i="7"/>
  <c r="BV653" i="7" s="1"/>
  <c r="C715" i="7"/>
  <c r="BV715" i="7" s="1"/>
  <c r="C110" i="7"/>
  <c r="BV110" i="7" s="1"/>
  <c r="C513" i="7"/>
  <c r="BV513" i="7" s="1"/>
  <c r="C284" i="7"/>
  <c r="BV284" i="7" s="1"/>
  <c r="C255" i="7"/>
  <c r="BV255" i="7" s="1"/>
  <c r="C619" i="7"/>
  <c r="BV619" i="7" s="1"/>
  <c r="C677" i="7"/>
  <c r="BV677" i="7" s="1"/>
  <c r="C778" i="7"/>
  <c r="BV778" i="7" s="1"/>
  <c r="C369" i="7"/>
  <c r="BV369" i="7" s="1"/>
  <c r="C716" i="7"/>
  <c r="BV716" i="7" s="1"/>
  <c r="C273" i="7"/>
  <c r="BV273" i="7" s="1"/>
  <c r="C696" i="7"/>
  <c r="BV696" i="7" s="1"/>
  <c r="C194" i="7"/>
  <c r="BV194" i="7" s="1"/>
  <c r="C531" i="7"/>
  <c r="BV531" i="7" s="1"/>
  <c r="C610" i="7"/>
  <c r="BV610" i="7" s="1"/>
  <c r="C843" i="7"/>
  <c r="BV843" i="7" s="1"/>
  <c r="C92" i="7"/>
  <c r="BV92" i="7" s="1"/>
  <c r="C827" i="7"/>
  <c r="BV827" i="7" s="1"/>
  <c r="C802" i="7"/>
  <c r="BV802" i="7" s="1"/>
  <c r="C495" i="7"/>
  <c r="BV495" i="7" s="1"/>
  <c r="C109" i="7"/>
  <c r="BV109" i="7" s="1"/>
  <c r="C780" i="7"/>
  <c r="BV780" i="7" s="1"/>
  <c r="C66" i="7"/>
  <c r="BV66" i="7" s="1"/>
  <c r="C430" i="7"/>
  <c r="BV430" i="7" s="1"/>
  <c r="C703" i="7"/>
  <c r="BV703" i="7" s="1"/>
  <c r="C83" i="7"/>
  <c r="BV83" i="7" s="1"/>
  <c r="C867" i="7"/>
  <c r="BV867" i="7" s="1"/>
  <c r="C528" i="7"/>
  <c r="BV528" i="7" s="1"/>
  <c r="C529" i="7"/>
  <c r="BV529" i="7" s="1"/>
  <c r="C173" i="7"/>
  <c r="BV173" i="7" s="1"/>
  <c r="C72" i="7"/>
  <c r="BV72" i="7" s="1"/>
  <c r="C544" i="7"/>
  <c r="BV544" i="7" s="1"/>
  <c r="C252" i="7"/>
  <c r="BV252" i="7" s="1"/>
  <c r="C203" i="7"/>
  <c r="BV203" i="7" s="1"/>
  <c r="C642" i="7"/>
  <c r="BV642" i="7" s="1"/>
  <c r="C474" i="7"/>
  <c r="BV474" i="7" s="1"/>
  <c r="C554" i="7"/>
  <c r="BV554" i="7" s="1"/>
  <c r="C68" i="7"/>
  <c r="BV68" i="7" s="1"/>
  <c r="C291" i="7"/>
  <c r="BV291" i="7" s="1"/>
  <c r="C501" i="7"/>
  <c r="BV501" i="7" s="1"/>
  <c r="C19" i="7"/>
  <c r="BV19" i="7" s="1"/>
  <c r="C740" i="7"/>
  <c r="BV740" i="7" s="1"/>
  <c r="C75" i="7"/>
  <c r="BV75" i="7" s="1"/>
  <c r="C349" i="7"/>
  <c r="BV349" i="7" s="1"/>
  <c r="C85" i="7"/>
  <c r="BV85" i="7" s="1"/>
  <c r="C637" i="7"/>
  <c r="BV637" i="7" s="1"/>
  <c r="C604" i="7"/>
  <c r="BV604" i="7" s="1"/>
  <c r="C787" i="7"/>
  <c r="BV787" i="7" s="1"/>
  <c r="C161" i="7"/>
  <c r="BV161" i="7" s="1"/>
  <c r="C770" i="7"/>
  <c r="BV770" i="7" s="1"/>
  <c r="C451" i="7"/>
  <c r="BV451" i="7" s="1"/>
  <c r="C365" i="7"/>
  <c r="BV365" i="7" s="1"/>
  <c r="C335" i="7"/>
  <c r="BV335" i="7" s="1"/>
  <c r="C664" i="7"/>
  <c r="BV664" i="7" s="1"/>
  <c r="C741" i="7"/>
  <c r="BV741" i="7" s="1"/>
  <c r="C563" i="7"/>
  <c r="BV563" i="7" s="1"/>
  <c r="C784" i="7"/>
  <c r="BV784" i="7" s="1"/>
  <c r="C84" i="7"/>
  <c r="BV84" i="7" s="1"/>
  <c r="C565" i="7"/>
  <c r="BV565" i="7" s="1"/>
  <c r="C443" i="7"/>
  <c r="BV443" i="7" s="1"/>
  <c r="C134" i="7"/>
  <c r="BV134" i="7" s="1"/>
  <c r="C448" i="7"/>
  <c r="BV448" i="7" s="1"/>
  <c r="C666" i="7"/>
  <c r="BV666" i="7" s="1"/>
  <c r="C229" i="7"/>
  <c r="BV229" i="7" s="1"/>
  <c r="C225" i="7"/>
  <c r="BV225" i="7" s="1"/>
  <c r="C464" i="7"/>
  <c r="BV464" i="7" s="1"/>
  <c r="C219" i="7"/>
  <c r="BV219" i="7" s="1"/>
  <c r="C201" i="7"/>
  <c r="BV201" i="7" s="1"/>
  <c r="C295" i="7"/>
  <c r="BV295" i="7" s="1"/>
  <c r="C197" i="7"/>
  <c r="BV197" i="7" s="1"/>
  <c r="C823" i="7"/>
  <c r="BV823" i="7" s="1"/>
  <c r="C518" i="7"/>
  <c r="BV518" i="7" s="1"/>
  <c r="C330" i="7"/>
  <c r="BV330" i="7" s="1"/>
  <c r="C403" i="7"/>
  <c r="BV403" i="7" s="1"/>
  <c r="C585" i="7"/>
  <c r="BV585" i="7" s="1"/>
  <c r="C733" i="7"/>
  <c r="BV733" i="7" s="1"/>
  <c r="C485" i="7"/>
  <c r="BV485" i="7" s="1"/>
  <c r="C484" i="7"/>
  <c r="BV484" i="7" s="1"/>
  <c r="C43" i="7"/>
  <c r="BV43" i="7" s="1"/>
  <c r="C482" i="7"/>
  <c r="BV482" i="7" s="1"/>
  <c r="C524" i="7"/>
  <c r="BV524" i="7" s="1"/>
  <c r="C54" i="7"/>
  <c r="BV54" i="7" s="1"/>
  <c r="C202" i="7"/>
  <c r="BV202" i="7" s="1"/>
  <c r="C290" i="7"/>
  <c r="BV290" i="7" s="1"/>
  <c r="C601" i="7"/>
  <c r="BV601" i="7" s="1"/>
  <c r="C293" i="7"/>
  <c r="BV293" i="7" s="1"/>
  <c r="C362" i="7"/>
  <c r="BV362" i="7" s="1"/>
  <c r="C837" i="7"/>
  <c r="BV837" i="7" s="1"/>
  <c r="C516" i="7"/>
  <c r="BV516" i="7" s="1"/>
  <c r="C682" i="7"/>
  <c r="BV682" i="7" s="1"/>
  <c r="C190" i="7"/>
  <c r="BV190" i="7" s="1"/>
  <c r="C844" i="7"/>
  <c r="BV844" i="7" s="1"/>
  <c r="C472" i="7"/>
  <c r="BV472" i="7" s="1"/>
  <c r="C701" i="7"/>
  <c r="BV701" i="7" s="1"/>
  <c r="C220" i="7"/>
  <c r="BV220" i="7" s="1"/>
  <c r="C361" i="7"/>
  <c r="BV361" i="7" s="1"/>
  <c r="C459" i="7"/>
  <c r="BV459" i="7" s="1"/>
  <c r="C864" i="7"/>
  <c r="BV864" i="7" s="1"/>
  <c r="C424" i="7"/>
  <c r="BV424" i="7" s="1"/>
  <c r="C423" i="7"/>
  <c r="BV423" i="7" s="1"/>
  <c r="C466" i="7"/>
  <c r="BV466" i="7" s="1"/>
  <c r="C609" i="7"/>
  <c r="BV609" i="7" s="1"/>
  <c r="C432" i="7"/>
  <c r="BV432" i="7" s="1"/>
  <c r="C427" i="7"/>
  <c r="BV427" i="7" s="1"/>
  <c r="C359" i="7"/>
  <c r="BV359" i="7" s="1"/>
  <c r="C256" i="7"/>
  <c r="BV256" i="7" s="1"/>
  <c r="L50" i="6"/>
  <c r="I49" i="6"/>
  <c r="B34" i="6"/>
  <c r="B35" i="6" s="1"/>
  <c r="B36" i="6" s="1"/>
  <c r="B37" i="6" s="1"/>
  <c r="B38" i="6" s="1"/>
  <c r="B39" i="6" s="1"/>
  <c r="B40" i="6" s="1"/>
  <c r="B41" i="6" s="1"/>
  <c r="B42" i="6" s="1"/>
  <c r="B43" i="6" s="1"/>
  <c r="B44" i="6" s="1"/>
  <c r="B45" i="6" s="1"/>
  <c r="B46" i="6" s="1"/>
  <c r="B47" i="6" s="1"/>
  <c r="B48" i="6" s="1"/>
  <c r="I31" i="6"/>
  <c r="F31" i="6"/>
  <c r="F50" i="6" s="1"/>
  <c r="N25" i="6"/>
  <c r="K25" i="6"/>
  <c r="N23" i="6"/>
  <c r="K23" i="6"/>
  <c r="K16" i="6"/>
  <c r="N15" i="6"/>
  <c r="K15" i="6"/>
  <c r="H15" i="6"/>
  <c r="N13" i="6"/>
  <c r="K13" i="6"/>
  <c r="H13" i="6"/>
  <c r="B9" i="6"/>
  <c r="B10" i="6" s="1"/>
  <c r="B11" i="6" s="1"/>
  <c r="B12" i="6" s="1"/>
  <c r="B13" i="6" s="1"/>
  <c r="B14" i="6" s="1"/>
  <c r="B15" i="6" s="1"/>
  <c r="B16" i="6" s="1"/>
  <c r="B17" i="6" s="1"/>
  <c r="B18" i="6" s="1"/>
  <c r="B19" i="6" s="1"/>
  <c r="B20" i="6" s="1"/>
  <c r="B21" i="6" s="1"/>
  <c r="B22" i="6" s="1"/>
  <c r="B23" i="6" s="1"/>
  <c r="B24" i="6" s="1"/>
  <c r="B25" i="6" s="1"/>
  <c r="B26" i="6" s="1"/>
  <c r="B27" i="6" s="1"/>
  <c r="B28" i="6" s="1"/>
  <c r="N8" i="6"/>
  <c r="K8" i="6"/>
  <c r="H8" i="6"/>
  <c r="BE441" i="7"/>
  <c r="BE551" i="7"/>
  <c r="BE46" i="7"/>
  <c r="BE329" i="7"/>
  <c r="BE547" i="7"/>
  <c r="BE635" i="7"/>
  <c r="BE532" i="7"/>
  <c r="BE216" i="7"/>
  <c r="BE60" i="7"/>
  <c r="BE410" i="7"/>
  <c r="BE735" i="7"/>
  <c r="BE851" i="7"/>
  <c r="BE627" i="7"/>
  <c r="BE705" i="7"/>
  <c r="BE584" i="7"/>
  <c r="BE729" i="7"/>
  <c r="BE652" i="7"/>
  <c r="BE323" i="7"/>
  <c r="BE768" i="7"/>
  <c r="BE613" i="7"/>
  <c r="BE166" i="7"/>
  <c r="BA55" i="7" l="1"/>
  <c r="BA131" i="7"/>
  <c r="BA188" i="7"/>
  <c r="BA189" i="7"/>
  <c r="BA223" i="7"/>
  <c r="BA743" i="7"/>
  <c r="BA47" i="7"/>
  <c r="BA553" i="7"/>
  <c r="BA49" i="7"/>
  <c r="BA458" i="7"/>
  <c r="BA493" i="7"/>
  <c r="BA142" i="7"/>
  <c r="BA156" i="7"/>
  <c r="BA572" i="7"/>
  <c r="BA739" i="7"/>
  <c r="BA192" i="7"/>
  <c r="BA121" i="7"/>
  <c r="BA471" i="7"/>
  <c r="BA357" i="7"/>
  <c r="BA48" i="7"/>
  <c r="BA65" i="7"/>
  <c r="BA505" i="7"/>
  <c r="BA155" i="7"/>
  <c r="BA157" i="7"/>
  <c r="BA337" i="7"/>
  <c r="BA379" i="7"/>
  <c r="BA353" i="7"/>
  <c r="BA327" i="7"/>
  <c r="BA224" i="7"/>
  <c r="BA296" i="7"/>
  <c r="BA130" i="7"/>
  <c r="BA217" i="7"/>
  <c r="BE188" i="7"/>
  <c r="BE493" i="7"/>
  <c r="BE142" i="7"/>
  <c r="BE155" i="7"/>
  <c r="BE121" i="7"/>
  <c r="BE353" i="7"/>
  <c r="BE223" i="7"/>
  <c r="BE296" i="7"/>
  <c r="BE55" i="7"/>
  <c r="BE130" i="7"/>
  <c r="BE48" i="7"/>
  <c r="BE217" i="7"/>
  <c r="BE327" i="7"/>
  <c r="BE224" i="7"/>
  <c r="BE743" i="7"/>
  <c r="BE131" i="7"/>
  <c r="BE553" i="7"/>
  <c r="BE458" i="7"/>
  <c r="BE739" i="7"/>
  <c r="BE192" i="7"/>
  <c r="BE572" i="7"/>
  <c r="BE471" i="7"/>
  <c r="BE357" i="7"/>
  <c r="BE47" i="7"/>
  <c r="BE49" i="7"/>
  <c r="BE65" i="7"/>
  <c r="BE505" i="7"/>
  <c r="BE156" i="7"/>
  <c r="BE157" i="7"/>
  <c r="BE337" i="7"/>
  <c r="BE379" i="7"/>
  <c r="BE189" i="7"/>
  <c r="BS189" i="7" s="1"/>
  <c r="BT189" i="7" s="1"/>
  <c r="M4" i="7"/>
  <c r="AG4" i="7"/>
  <c r="AD4" i="7"/>
  <c r="AA4" i="7"/>
  <c r="U4" i="7"/>
  <c r="R4" i="7"/>
  <c r="BA413" i="7"/>
  <c r="BA556" i="7"/>
  <c r="BA626" i="7"/>
  <c r="BA530" i="7"/>
  <c r="BA41" i="7"/>
  <c r="BA447" i="7"/>
  <c r="BA214" i="7"/>
  <c r="BA145" i="7"/>
  <c r="BA769" i="7"/>
  <c r="BA170" i="7"/>
  <c r="BA281" i="7"/>
  <c r="BA804" i="7"/>
  <c r="BA720" i="7"/>
  <c r="BA589" i="7"/>
  <c r="BA810" i="7"/>
  <c r="BA300" i="7"/>
  <c r="BA475" i="7"/>
  <c r="BA603" i="7"/>
  <c r="BA206" i="7"/>
  <c r="BA215" i="7"/>
  <c r="BA71" i="7"/>
  <c r="BA69" i="7"/>
  <c r="BA326" i="7"/>
  <c r="BA239" i="7"/>
  <c r="BA227" i="7"/>
  <c r="BA732" i="7"/>
  <c r="BA23" i="7"/>
  <c r="BA483" i="7"/>
  <c r="BA455" i="7"/>
  <c r="BA339" i="7"/>
  <c r="BA246" i="7"/>
  <c r="BA797" i="7"/>
  <c r="BA355" i="7"/>
  <c r="BA315" i="7"/>
  <c r="BA709" i="7"/>
  <c r="BA175" i="7"/>
  <c r="BA450" i="7"/>
  <c r="BA840" i="7"/>
  <c r="BA253" i="7"/>
  <c r="BA776" i="7"/>
  <c r="BA358" i="7"/>
  <c r="BA301" i="7"/>
  <c r="BA231" i="7"/>
  <c r="BA392" i="7"/>
  <c r="BA360" i="7"/>
  <c r="BA235" i="7"/>
  <c r="BA537" i="7"/>
  <c r="BA373" i="7"/>
  <c r="BA94" i="7"/>
  <c r="BA288" i="7"/>
  <c r="BA543" i="7"/>
  <c r="BA260" i="7"/>
  <c r="BA199" i="7"/>
  <c r="BA859" i="7"/>
  <c r="BA406" i="7"/>
  <c r="BA557" i="7"/>
  <c r="BA234" i="7"/>
  <c r="BA638" i="7"/>
  <c r="BA276" i="7"/>
  <c r="BA347" i="7"/>
  <c r="BA751" i="7"/>
  <c r="BA336" i="7"/>
  <c r="BA247" i="7"/>
  <c r="BA396" i="7"/>
  <c r="BA420" i="7"/>
  <c r="BA792" i="7"/>
  <c r="BA456" i="7"/>
  <c r="BA566" i="7"/>
  <c r="BA636" i="7"/>
  <c r="BA251" i="7"/>
  <c r="BA476" i="7"/>
  <c r="BA866" i="7"/>
  <c r="BA185" i="7"/>
  <c r="BA112" i="7"/>
  <c r="BA126" i="7"/>
  <c r="BA534" i="7"/>
  <c r="BA78" i="7"/>
  <c r="BA59" i="7"/>
  <c r="BA307" i="7"/>
  <c r="BA269" i="7"/>
  <c r="BA842" i="7"/>
  <c r="BA408" i="7"/>
  <c r="BA99" i="7"/>
  <c r="BA689" i="7"/>
  <c r="BA153" i="7"/>
  <c r="BA608" i="7"/>
  <c r="BA177" i="7"/>
  <c r="BA467" i="7"/>
  <c r="BA232" i="7"/>
  <c r="BA104" i="7"/>
  <c r="BA750" i="7"/>
  <c r="BA352" i="7"/>
  <c r="BA862" i="7"/>
  <c r="BA803" i="7"/>
  <c r="BA265" i="7"/>
  <c r="BA646" i="7"/>
  <c r="BA460" i="7"/>
  <c r="BA50" i="7"/>
  <c r="BA317" i="7"/>
  <c r="BA274" i="7"/>
  <c r="BA378" i="7"/>
  <c r="BA674" i="7"/>
  <c r="BA684" i="7"/>
  <c r="BA683" i="7"/>
  <c r="BA697" i="7"/>
  <c r="BA299" i="7"/>
  <c r="BA821" i="7"/>
  <c r="BA481" i="7"/>
  <c r="BA163" i="7"/>
  <c r="BA492" i="7"/>
  <c r="BA211" i="7"/>
  <c r="BA535" i="7"/>
  <c r="BA486" i="7"/>
  <c r="BA395" i="7"/>
  <c r="BA738" i="7"/>
  <c r="BA766" i="7"/>
  <c r="BA321" i="7"/>
  <c r="BA96" i="7"/>
  <c r="BA590" i="7"/>
  <c r="BA591" i="7"/>
  <c r="BA745" i="7"/>
  <c r="BA218" i="7"/>
  <c r="BA850" i="7"/>
  <c r="BA520" i="7"/>
  <c r="BA562" i="7"/>
  <c r="BA538" i="7"/>
  <c r="BA119" i="7"/>
  <c r="BA700" i="7"/>
  <c r="BA620" i="7"/>
  <c r="BA793" i="7"/>
  <c r="BA861" i="7"/>
  <c r="BA612" i="7"/>
  <c r="BA788" i="7"/>
  <c r="BA204" i="7"/>
  <c r="BA692" i="7"/>
  <c r="BA63" i="7"/>
  <c r="BA314" i="7"/>
  <c r="BA171" i="7"/>
  <c r="BA815" i="7"/>
  <c r="BA16" i="7"/>
  <c r="BA33" i="7"/>
  <c r="BA368" i="7"/>
  <c r="BA624" i="7"/>
  <c r="BA617" i="7"/>
  <c r="BA849" i="7"/>
  <c r="BA841" i="7"/>
  <c r="BA39" i="7"/>
  <c r="BA431" i="7"/>
  <c r="BA675" i="7"/>
  <c r="BA176" i="7"/>
  <c r="BA818" i="7"/>
  <c r="BA662" i="7"/>
  <c r="BA659" i="7"/>
  <c r="BA91" i="7"/>
  <c r="BA31" i="7"/>
  <c r="BA348" i="7"/>
  <c r="BA248" i="7"/>
  <c r="BA270" i="7"/>
  <c r="BA860" i="7"/>
  <c r="BA691" i="7"/>
  <c r="BA412" i="7"/>
  <c r="BA811" i="7"/>
  <c r="BA489" i="7"/>
  <c r="BA36" i="7"/>
  <c r="BA238" i="7"/>
  <c r="BA786" i="7"/>
  <c r="BA266" i="7"/>
  <c r="BA651" i="7"/>
  <c r="BA116" i="7"/>
  <c r="BA463" i="7"/>
  <c r="BA488" i="7"/>
  <c r="BA728" i="7"/>
  <c r="BA257" i="7"/>
  <c r="BA639" i="7"/>
  <c r="BA594" i="7"/>
  <c r="BA468" i="7"/>
  <c r="BA480" i="7"/>
  <c r="BA123" i="7"/>
  <c r="BA781" i="7"/>
  <c r="BA271" i="7"/>
  <c r="BA650" i="7"/>
  <c r="BA93" i="7"/>
  <c r="BA324" i="7"/>
  <c r="BA421" i="7"/>
  <c r="BA394" i="7"/>
  <c r="BA783" i="7"/>
  <c r="BA62" i="7"/>
  <c r="BA305" i="7"/>
  <c r="BA641" i="7"/>
  <c r="BA517" i="7"/>
  <c r="BA711" i="7"/>
  <c r="BA655" i="7"/>
  <c r="BA498" i="7"/>
  <c r="BE23" i="7"/>
  <c r="BE336" i="7"/>
  <c r="BE455" i="7"/>
  <c r="BE247" i="7"/>
  <c r="BE339" i="7"/>
  <c r="BE396" i="7"/>
  <c r="BE246" i="7"/>
  <c r="BE797" i="7"/>
  <c r="BE538" i="7"/>
  <c r="BE355" i="7"/>
  <c r="BE420" i="7"/>
  <c r="BE315" i="7"/>
  <c r="BE792" i="7"/>
  <c r="BE709" i="7"/>
  <c r="BE456" i="7"/>
  <c r="BE175" i="7"/>
  <c r="BE450" i="7"/>
  <c r="BE566" i="7"/>
  <c r="BE840" i="7"/>
  <c r="BE636" i="7"/>
  <c r="BE253" i="7"/>
  <c r="BE251" i="7"/>
  <c r="BE483" i="7"/>
  <c r="BE476" i="7"/>
  <c r="BE260" i="7"/>
  <c r="BE413" i="7"/>
  <c r="BE199" i="7"/>
  <c r="BE324" i="7"/>
  <c r="BE866" i="7"/>
  <c r="BE93" i="7"/>
  <c r="BE859" i="7"/>
  <c r="BE406" i="7"/>
  <c r="BE185" i="7"/>
  <c r="BE650" i="7"/>
  <c r="BE104" i="7"/>
  <c r="BE206" i="7"/>
  <c r="BE271" i="7"/>
  <c r="BE662" i="7"/>
  <c r="BE750" i="7"/>
  <c r="BE112" i="7"/>
  <c r="BE781" i="7"/>
  <c r="BE215" i="7"/>
  <c r="BE818" i="7"/>
  <c r="BE352" i="7"/>
  <c r="BE126" i="7"/>
  <c r="BE71" i="7"/>
  <c r="BE675" i="7"/>
  <c r="BE468" i="7"/>
  <c r="BE239" i="7"/>
  <c r="BE265" i="7"/>
  <c r="BE711" i="7"/>
  <c r="BE646" i="7"/>
  <c r="BE257" i="7"/>
  <c r="BE641" i="7"/>
  <c r="BE692" i="7"/>
  <c r="BE842" i="7"/>
  <c r="BE590" i="7"/>
  <c r="BE368" i="7"/>
  <c r="BE33" i="7"/>
  <c r="BE123" i="7"/>
  <c r="BE176" i="7"/>
  <c r="BE862" i="7"/>
  <c r="BE534" i="7"/>
  <c r="BE480" i="7"/>
  <c r="BE69" i="7"/>
  <c r="BE78" i="7"/>
  <c r="BE326" i="7"/>
  <c r="BE803" i="7"/>
  <c r="BE39" i="7"/>
  <c r="BE517" i="7"/>
  <c r="BE204" i="7"/>
  <c r="BE769" i="7"/>
  <c r="BE321" i="7"/>
  <c r="BE489" i="7"/>
  <c r="BE177" i="7"/>
  <c r="BE163" i="7"/>
  <c r="BE804" i="7"/>
  <c r="BE463" i="7"/>
  <c r="BE63" i="7"/>
  <c r="BE378" i="7"/>
  <c r="BE810" i="7"/>
  <c r="BE408" i="7"/>
  <c r="BE520" i="7"/>
  <c r="BE305" i="7"/>
  <c r="BE116" i="7"/>
  <c r="BE170" i="7"/>
  <c r="BE589" i="7"/>
  <c r="BE535" i="7"/>
  <c r="BE62" i="7"/>
  <c r="BE612" i="7"/>
  <c r="BE486" i="7"/>
  <c r="BE99" i="7"/>
  <c r="BE720" i="7"/>
  <c r="BE651" i="7"/>
  <c r="BE314" i="7"/>
  <c r="BE783" i="7"/>
  <c r="BE689" i="7"/>
  <c r="BE674" i="7"/>
  <c r="BE266" i="7"/>
  <c r="BE395" i="7"/>
  <c r="BE626" i="7"/>
  <c r="BE684" i="7"/>
  <c r="BE617" i="7"/>
  <c r="BE738" i="7"/>
  <c r="BE786" i="7"/>
  <c r="BE861" i="7"/>
  <c r="BE171" i="7"/>
  <c r="BE153" i="7"/>
  <c r="BE394" i="7"/>
  <c r="BE556" i="7"/>
  <c r="BE766" i="7"/>
  <c r="BE624" i="7"/>
  <c r="BE683" i="7"/>
  <c r="BE281" i="7"/>
  <c r="BE811" i="7"/>
  <c r="BE232" i="7"/>
  <c r="BE788" i="7"/>
  <c r="BE447" i="7"/>
  <c r="BE543" i="7"/>
  <c r="BE697" i="7"/>
  <c r="BE815" i="7"/>
  <c r="BE860" i="7"/>
  <c r="BE31" i="7"/>
  <c r="BE659" i="7"/>
  <c r="BE59" i="7"/>
  <c r="BE639" i="7"/>
  <c r="BE841" i="7"/>
  <c r="BE269" i="7"/>
  <c r="BE620" i="7"/>
  <c r="BE467" i="7"/>
  <c r="BE700" i="7"/>
  <c r="BE16" i="7"/>
  <c r="BE214" i="7"/>
  <c r="BE776" i="7"/>
  <c r="BE301" i="7"/>
  <c r="BE234" i="7"/>
  <c r="BE348" i="7"/>
  <c r="BE276" i="7"/>
  <c r="BE235" i="7"/>
  <c r="BE732" i="7"/>
  <c r="BE594" i="7"/>
  <c r="BE227" i="7"/>
  <c r="BE562" i="7"/>
  <c r="BE307" i="7"/>
  <c r="BE488" i="7"/>
  <c r="BE300" i="7"/>
  <c r="BE793" i="7"/>
  <c r="BE238" i="7"/>
  <c r="BE421" i="7"/>
  <c r="BE94" i="7"/>
  <c r="BE119" i="7"/>
  <c r="BE691" i="7"/>
  <c r="BE211" i="7"/>
  <c r="BE231" i="7"/>
  <c r="BE248" i="7"/>
  <c r="BE392" i="7"/>
  <c r="BE655" i="7"/>
  <c r="BE431" i="7"/>
  <c r="BE460" i="7"/>
  <c r="BE603" i="7"/>
  <c r="BE274" i="7"/>
  <c r="BE218" i="7"/>
  <c r="BE96" i="7"/>
  <c r="BE530" i="7"/>
  <c r="BE481" i="7"/>
  <c r="BE492" i="7"/>
  <c r="BE850" i="7"/>
  <c r="BE751" i="7"/>
  <c r="BE557" i="7"/>
  <c r="BE358" i="7"/>
  <c r="BE638" i="7"/>
  <c r="BE498" i="7"/>
  <c r="BE360" i="7"/>
  <c r="BE91" i="7"/>
  <c r="BE537" i="7"/>
  <c r="BE288" i="7"/>
  <c r="BE50" i="7"/>
  <c r="BE728" i="7"/>
  <c r="BE317" i="7"/>
  <c r="BE608" i="7"/>
  <c r="BE299" i="7"/>
  <c r="BE745" i="7"/>
  <c r="BE145" i="7"/>
  <c r="BE347" i="7"/>
  <c r="BE41" i="7"/>
  <c r="BE849" i="7"/>
  <c r="BE475" i="7"/>
  <c r="BE36" i="7"/>
  <c r="BE821" i="7"/>
  <c r="BE412" i="7"/>
  <c r="BE591" i="7"/>
  <c r="BE373" i="7"/>
  <c r="BE270" i="7"/>
  <c r="BE250" i="7"/>
  <c r="BE385" i="7"/>
  <c r="BE687" i="7"/>
  <c r="BE831" i="7"/>
  <c r="BE494" i="7"/>
  <c r="BE294" i="7"/>
  <c r="BE328" i="7"/>
  <c r="BE82" i="7"/>
  <c r="BE658" i="7"/>
  <c r="BE847" i="7"/>
  <c r="BE304" i="7"/>
  <c r="BE286" i="7"/>
  <c r="BE525" i="7"/>
  <c r="BE555" i="7"/>
  <c r="BE220" i="7"/>
  <c r="BE330" i="7"/>
  <c r="BE225" i="7"/>
  <c r="BE741" i="7"/>
  <c r="BE75" i="7"/>
  <c r="BE544" i="7"/>
  <c r="BE780" i="7"/>
  <c r="BE716" i="7"/>
  <c r="BE44" i="7"/>
  <c r="BE101" i="7"/>
  <c r="BE298" i="7"/>
  <c r="BE621" i="7"/>
  <c r="BE542" i="7"/>
  <c r="BE167" i="7"/>
  <c r="BE424" i="7"/>
  <c r="BE701" i="7"/>
  <c r="BE516" i="7"/>
  <c r="BE518" i="7"/>
  <c r="BE229" i="7"/>
  <c r="BE664" i="7"/>
  <c r="BE740" i="7"/>
  <c r="BE72" i="7"/>
  <c r="BE109" i="7"/>
  <c r="BE369" i="7"/>
  <c r="BE405" i="7"/>
  <c r="BE205" i="7"/>
  <c r="BE693" i="7"/>
  <c r="BE249" i="7"/>
  <c r="BE264" i="7"/>
  <c r="BE423" i="7"/>
  <c r="BE356" i="7"/>
  <c r="BE779" i="7"/>
  <c r="BE605" i="7"/>
  <c r="BE12" i="7"/>
  <c r="BE10" i="7"/>
  <c r="BE835" i="7"/>
  <c r="BE106" i="7"/>
  <c r="BE712" i="7"/>
  <c r="BE654" i="7"/>
  <c r="BE382" i="7"/>
  <c r="BE599" i="7"/>
  <c r="BE490" i="7"/>
  <c r="BE52" i="7"/>
  <c r="BE453" i="7"/>
  <c r="BE845" i="7"/>
  <c r="BE95" i="7"/>
  <c r="BE625" i="7"/>
  <c r="BE633" i="7"/>
  <c r="BE120" i="7"/>
  <c r="BE869" i="7"/>
  <c r="BE221" i="7"/>
  <c r="BE77" i="7"/>
  <c r="BE254" i="7"/>
  <c r="BE694" i="7"/>
  <c r="BA52" i="7"/>
  <c r="BA95" i="7"/>
  <c r="BA712" i="7"/>
  <c r="BA490" i="7"/>
  <c r="BA120" i="7"/>
  <c r="BA654" i="7"/>
  <c r="BA845" i="7"/>
  <c r="BA835" i="7"/>
  <c r="BA106" i="7"/>
  <c r="BA625" i="7"/>
  <c r="BA633" i="7"/>
  <c r="BA453" i="7"/>
  <c r="BA599" i="7"/>
  <c r="BA869" i="7"/>
  <c r="BA254" i="7"/>
  <c r="BA382" i="7"/>
  <c r="BA77" i="7"/>
  <c r="BA10" i="7"/>
  <c r="BA694" i="7"/>
  <c r="BA221" i="7"/>
  <c r="BE775" i="7"/>
  <c r="BE808" i="7"/>
  <c r="BE813" i="7"/>
  <c r="BE759" i="7"/>
  <c r="BE73" i="7"/>
  <c r="BE672" i="7"/>
  <c r="BE404" i="7"/>
  <c r="BE297" i="7"/>
  <c r="BE631" i="7"/>
  <c r="BE717" i="7"/>
  <c r="BE454" i="7"/>
  <c r="BE819" i="7"/>
  <c r="BE40" i="7"/>
  <c r="BE102" i="7"/>
  <c r="BE437" i="7"/>
  <c r="BE37" i="7"/>
  <c r="BE178" i="7"/>
  <c r="BE838" i="7"/>
  <c r="BE789" i="7"/>
  <c r="BE212" i="7"/>
  <c r="BE744" i="7"/>
  <c r="BE433" i="7"/>
  <c r="BE22" i="7"/>
  <c r="BE135" i="7"/>
  <c r="BE676" i="7"/>
  <c r="BE13" i="7"/>
  <c r="BE233" i="7"/>
  <c r="BE137" i="7"/>
  <c r="BE678" i="7"/>
  <c r="BE169" i="7"/>
  <c r="BE546" i="7"/>
  <c r="BE865" i="7"/>
  <c r="BE259" i="7"/>
  <c r="BE89" i="7"/>
  <c r="BE579" i="7"/>
  <c r="BE422" i="7"/>
  <c r="BE313" i="7"/>
  <c r="BE721" i="7"/>
  <c r="BE668" i="7"/>
  <c r="BE796" i="7"/>
  <c r="BE826" i="7"/>
  <c r="BE832" i="7"/>
  <c r="BE570" i="7"/>
  <c r="BE812" i="7"/>
  <c r="BE32" i="7"/>
  <c r="BE667" i="7"/>
  <c r="BE573" i="7"/>
  <c r="BE245" i="7"/>
  <c r="BE615" i="7"/>
  <c r="BE42" i="7"/>
  <c r="BE478" i="7"/>
  <c r="BE777" i="7"/>
  <c r="BE452" i="7"/>
  <c r="BE162" i="7"/>
  <c r="BE870" i="7"/>
  <c r="BE817" i="7"/>
  <c r="BE828" i="7"/>
  <c r="BE58" i="7"/>
  <c r="BE342" i="7"/>
  <c r="BE277" i="7"/>
  <c r="BE88" i="7"/>
  <c r="BE719" i="7"/>
  <c r="BE522" i="7"/>
  <c r="BE809" i="7"/>
  <c r="BE552" i="7"/>
  <c r="BE686" i="7"/>
  <c r="BE332" i="7"/>
  <c r="BE146" i="7"/>
  <c r="BE526" i="7"/>
  <c r="BE575" i="7"/>
  <c r="BE331" i="7"/>
  <c r="BE136" i="7"/>
  <c r="BE449" i="7"/>
  <c r="BE614" i="7"/>
  <c r="BE567" i="7"/>
  <c r="BE688" i="7"/>
  <c r="BE600" i="7"/>
  <c r="BE714" i="7"/>
  <c r="BE660" i="7"/>
  <c r="BE856" i="7"/>
  <c r="BE51" i="7"/>
  <c r="BE282" i="7"/>
  <c r="BE533" i="7"/>
  <c r="BE258" i="7"/>
  <c r="BE679" i="7"/>
  <c r="BE726" i="7"/>
  <c r="BE713" i="7"/>
  <c r="BE510" i="7"/>
  <c r="BE29" i="7"/>
  <c r="BE503" i="7"/>
  <c r="BE242" i="7"/>
  <c r="BE280" i="7"/>
  <c r="BE303" i="7"/>
  <c r="BE183" i="7"/>
  <c r="BE587" i="7"/>
  <c r="BE180" i="7"/>
  <c r="BE767" i="7"/>
  <c r="BE791" i="7"/>
  <c r="BE366" i="7"/>
  <c r="BE268" i="7"/>
  <c r="BE418" i="7"/>
  <c r="BE18" i="7"/>
  <c r="BE814" i="7"/>
  <c r="BE302" i="7"/>
  <c r="BE611" i="7"/>
  <c r="BE208" i="7"/>
  <c r="BE372" i="7"/>
  <c r="BE596" i="7"/>
  <c r="BE857" i="7"/>
  <c r="BE445" i="7"/>
  <c r="BE386" i="7"/>
  <c r="BE571" i="7"/>
  <c r="BE45" i="7"/>
  <c r="BE439" i="7"/>
  <c r="BE593" i="7"/>
  <c r="BE164" i="7"/>
  <c r="BE186" i="7"/>
  <c r="BE319" i="7"/>
  <c r="BE634" i="7"/>
  <c r="BE440" i="7"/>
  <c r="BE785" i="7"/>
  <c r="BE723" i="7"/>
  <c r="BE477" i="7"/>
  <c r="BE15" i="7"/>
  <c r="BE734" i="7"/>
  <c r="BE70" i="7"/>
  <c r="BE8" i="7"/>
  <c r="BE491" i="7"/>
  <c r="BE115" i="7"/>
  <c r="BE846" i="7"/>
  <c r="BE141" i="7"/>
  <c r="BE497" i="7"/>
  <c r="BE127" i="7"/>
  <c r="BE523" i="7"/>
  <c r="BE754" i="7"/>
  <c r="BE399" i="7"/>
  <c r="BE519" i="7"/>
  <c r="BE582" i="7"/>
  <c r="BE367" i="7"/>
  <c r="BE606" i="7"/>
  <c r="BE390" i="7"/>
  <c r="BE168" i="7"/>
  <c r="BE364" i="7"/>
  <c r="BE825" i="7"/>
  <c r="BE442" i="7"/>
  <c r="BE643" i="7"/>
  <c r="BE187" i="7"/>
  <c r="BE150" i="7"/>
  <c r="BE500" i="7"/>
  <c r="BE228" i="7"/>
  <c r="BE222" i="7"/>
  <c r="BE710" i="7"/>
  <c r="BE306" i="7"/>
  <c r="BE283" i="7"/>
  <c r="BE834" i="7"/>
  <c r="BE718" i="7"/>
  <c r="BE560" i="7"/>
  <c r="BE504" i="7"/>
  <c r="BE419" i="7"/>
  <c r="BE426" i="7"/>
  <c r="BE580" i="7"/>
  <c r="BE401" i="7"/>
  <c r="BE312" i="7"/>
  <c r="BE435" i="7"/>
  <c r="BE334" i="7"/>
  <c r="BE325" i="7"/>
  <c r="BE35" i="7"/>
  <c r="BE748" i="7"/>
  <c r="BE756" i="7"/>
  <c r="BE114" i="7"/>
  <c r="BE429" i="7"/>
  <c r="BE706" i="7"/>
  <c r="BE193" i="7"/>
  <c r="BE79" i="7"/>
  <c r="BE746" i="7"/>
  <c r="BE133" i="7"/>
  <c r="BE758" i="7"/>
  <c r="BE798" i="7"/>
  <c r="BE333" i="7"/>
  <c r="BE97" i="7"/>
  <c r="BE822" i="7"/>
  <c r="BE707" i="7"/>
  <c r="BE661" i="7"/>
  <c r="BE561" i="7"/>
  <c r="BE574" i="7"/>
  <c r="BE724" i="7"/>
  <c r="BE310" i="7"/>
  <c r="BE309" i="7"/>
  <c r="BE128" i="7"/>
  <c r="BE730" i="7"/>
  <c r="BE417" i="7"/>
  <c r="BE340" i="7"/>
  <c r="BE628" i="7"/>
  <c r="BE462" i="7"/>
  <c r="BE374" i="7"/>
  <c r="BE209" i="7"/>
  <c r="BE346" i="7"/>
  <c r="BE213" i="7"/>
  <c r="BE496" i="7"/>
  <c r="BE438" i="7"/>
  <c r="BE752" i="7"/>
  <c r="BE607" i="7"/>
  <c r="BE855" i="7"/>
  <c r="BE564" i="7"/>
  <c r="BE446" i="7"/>
  <c r="BE507" i="7"/>
  <c r="BE595" i="7"/>
  <c r="BE384" i="7"/>
  <c r="BE322" i="7"/>
  <c r="BE400" i="7"/>
  <c r="BE790" i="7"/>
  <c r="BE794" i="7"/>
  <c r="BE380" i="7"/>
  <c r="BE623" i="7"/>
  <c r="BE761" i="7"/>
  <c r="BE669" i="7"/>
  <c r="BE53" i="7"/>
  <c r="BE514" i="7"/>
  <c r="BE86" i="7"/>
  <c r="BE117" i="7"/>
  <c r="BE656" i="7"/>
  <c r="BE749" i="7"/>
  <c r="BE690" i="7"/>
  <c r="BE172" i="7"/>
  <c r="BE398" i="7"/>
  <c r="BE111" i="7"/>
  <c r="BE671" i="7"/>
  <c r="BE414" i="7"/>
  <c r="BE824" i="7"/>
  <c r="BE351" i="7"/>
  <c r="BE795" i="7"/>
  <c r="BE805" i="7"/>
  <c r="BE727" i="7"/>
  <c r="BE196" i="7"/>
  <c r="BE461" i="7"/>
  <c r="BE320" i="7"/>
  <c r="BE763" i="7"/>
  <c r="BE21" i="7"/>
  <c r="BE140" i="7"/>
  <c r="BE195" i="7"/>
  <c r="BE11" i="7"/>
  <c r="BE76" i="7"/>
  <c r="BE80" i="7"/>
  <c r="BE853" i="7"/>
  <c r="BE311" i="7"/>
  <c r="BE26" i="7"/>
  <c r="BE90" i="7"/>
  <c r="BE747" i="7"/>
  <c r="BE149" i="7"/>
  <c r="BE863" i="7"/>
  <c r="BE67" i="7"/>
  <c r="BE755" i="7"/>
  <c r="BE402" i="7"/>
  <c r="BE87" i="7"/>
  <c r="BE381" i="7"/>
  <c r="BE174" i="7"/>
  <c r="BE559" i="7"/>
  <c r="BE622" i="7"/>
  <c r="BE762" i="7"/>
  <c r="BE159" i="7"/>
  <c r="BE151" i="7"/>
  <c r="BE201" i="7"/>
  <c r="BE531" i="7"/>
  <c r="BE629" i="7"/>
  <c r="BE272" i="7"/>
  <c r="BE704" i="7"/>
  <c r="BE338" i="7"/>
  <c r="BE852" i="7"/>
  <c r="BE343" i="7"/>
  <c r="BE736" i="7"/>
  <c r="BE508" i="7"/>
  <c r="BE375" i="7"/>
  <c r="BE427" i="7"/>
  <c r="BE190" i="7"/>
  <c r="BE83" i="7"/>
  <c r="BE436" i="7"/>
  <c r="BE527" i="7"/>
  <c r="BE287" i="7"/>
  <c r="BE9" i="7"/>
  <c r="BE56" i="7"/>
  <c r="BE407" i="7"/>
  <c r="BE782" i="7"/>
  <c r="BE383" i="7"/>
  <c r="BE236" i="7"/>
  <c r="BE536" i="7"/>
  <c r="BE432" i="7"/>
  <c r="BE290" i="7"/>
  <c r="BE733" i="7"/>
  <c r="BE219" i="7"/>
  <c r="BE84" i="7"/>
  <c r="BE637" i="7"/>
  <c r="BE203" i="7"/>
  <c r="BE703" i="7"/>
  <c r="BE194" i="7"/>
  <c r="BE715" i="7"/>
  <c r="BE198" i="7"/>
  <c r="BE545" i="7"/>
  <c r="BE350" i="7"/>
  <c r="BE673" i="7"/>
  <c r="BE820" i="7"/>
  <c r="BE200" i="7"/>
  <c r="BE830" i="7"/>
  <c r="BE387" i="7"/>
  <c r="BE568" i="7"/>
  <c r="BE118" i="7"/>
  <c r="BE598" i="7"/>
  <c r="BE27" i="7"/>
  <c r="BE108" i="7"/>
  <c r="BE665" i="7"/>
  <c r="BE588" i="7"/>
  <c r="BE702" i="7"/>
  <c r="BE226" i="7"/>
  <c r="BE699" i="7"/>
  <c r="BE708" i="7"/>
  <c r="BE138" i="7"/>
  <c r="BE434" i="7"/>
  <c r="BE540" i="7"/>
  <c r="BE57" i="7"/>
  <c r="BE61" i="7"/>
  <c r="BE549" i="7"/>
  <c r="BE577" i="7"/>
  <c r="BE539" i="7"/>
  <c r="BE425" i="7"/>
  <c r="BE848" i="7"/>
  <c r="BE722" i="7"/>
  <c r="BE485" i="7"/>
  <c r="BE604" i="7"/>
  <c r="BE110" i="7"/>
  <c r="BE105" i="7"/>
  <c r="BE409" i="7"/>
  <c r="BE695" i="7"/>
  <c r="BE569" i="7"/>
  <c r="BE160" i="7"/>
  <c r="BE550" i="7"/>
  <c r="BE640" i="7"/>
  <c r="BE148" i="7"/>
  <c r="BE144" i="7"/>
  <c r="BE393" i="7"/>
  <c r="BE147" i="7"/>
  <c r="BE609" i="7"/>
  <c r="BE682" i="7"/>
  <c r="BE585" i="7"/>
  <c r="BE464" i="7"/>
  <c r="BE784" i="7"/>
  <c r="BE85" i="7"/>
  <c r="BE430" i="7"/>
  <c r="BE696" i="7"/>
  <c r="BE653" i="7"/>
  <c r="BE506" i="7"/>
  <c r="BE597" i="7"/>
  <c r="BE371" i="7"/>
  <c r="BE541" i="7"/>
  <c r="BE103" i="7"/>
  <c r="BE20" i="7"/>
  <c r="BE839" i="7"/>
  <c r="BE100" i="7"/>
  <c r="BE742" i="7"/>
  <c r="BE602" i="7"/>
  <c r="BE685" i="7"/>
  <c r="BE122" i="7"/>
  <c r="BE191" i="7"/>
  <c r="BE800" i="7"/>
  <c r="BE363" i="7"/>
  <c r="BE521" i="7"/>
  <c r="BE772" i="7"/>
  <c r="BE799" i="7"/>
  <c r="BE24" i="7"/>
  <c r="BE210" i="7"/>
  <c r="BE345" i="7"/>
  <c r="BE64" i="7"/>
  <c r="BE285" i="7"/>
  <c r="BE230" i="7"/>
  <c r="BE416" i="7"/>
  <c r="BE143" i="7"/>
  <c r="BE469" i="7"/>
  <c r="BE601" i="7"/>
  <c r="BE642" i="7"/>
  <c r="BE207" i="7"/>
  <c r="BE181" i="7"/>
  <c r="BE377" i="7"/>
  <c r="BE764" i="7"/>
  <c r="BE152" i="7"/>
  <c r="BE391" i="7"/>
  <c r="BE370" i="7"/>
  <c r="BE854" i="7"/>
  <c r="BE275" i="7"/>
  <c r="BE466" i="7"/>
  <c r="BE202" i="7"/>
  <c r="BE403" i="7"/>
  <c r="BE563" i="7"/>
  <c r="BE349" i="7"/>
  <c r="BE252" i="7"/>
  <c r="BE66" i="7"/>
  <c r="BE273" i="7"/>
  <c r="BE647" i="7"/>
  <c r="BE773" i="7"/>
  <c r="BE558" i="7"/>
  <c r="BE98" i="7"/>
  <c r="BE760" i="7"/>
  <c r="BE158" i="7"/>
  <c r="BE681" i="7"/>
  <c r="BE354" i="7"/>
  <c r="BE499" i="7"/>
  <c r="BE279" i="7"/>
  <c r="BE261" i="7"/>
  <c r="BE182" i="7"/>
  <c r="BE618" i="7"/>
  <c r="BE807" i="7"/>
  <c r="BE125" i="7"/>
  <c r="BE680" i="7"/>
  <c r="BE262" i="7"/>
  <c r="BE511" i="7"/>
  <c r="BE592" i="7"/>
  <c r="BE765" i="7"/>
  <c r="BE657" i="7"/>
  <c r="BE864" i="7"/>
  <c r="BE666" i="7"/>
  <c r="BE495" i="7"/>
  <c r="BE616" i="7"/>
  <c r="BE129" i="7"/>
  <c r="BE81" i="7"/>
  <c r="BE376" i="7"/>
  <c r="BE649" i="7"/>
  <c r="BE428" i="7"/>
  <c r="BE502" i="7"/>
  <c r="BE648" i="7"/>
  <c r="BE154" i="7"/>
  <c r="BE459" i="7"/>
  <c r="BE837" i="7"/>
  <c r="BE54" i="7"/>
  <c r="BE448" i="7"/>
  <c r="BE365" i="7"/>
  <c r="BE501" i="7"/>
  <c r="BE529" i="7"/>
  <c r="BE802" i="7"/>
  <c r="BE677" i="7"/>
  <c r="BE267" i="7"/>
  <c r="BE806" i="7"/>
  <c r="BE292" i="7"/>
  <c r="BE581" i="7"/>
  <c r="BE179" i="7"/>
  <c r="BE139" i="7"/>
  <c r="BE411" i="7"/>
  <c r="BE644" i="7"/>
  <c r="BE34" i="7"/>
  <c r="BE586" i="7"/>
  <c r="BE30" i="7"/>
  <c r="BE335" i="7"/>
  <c r="BE731" i="7"/>
  <c r="BE132" i="7"/>
  <c r="BE663" i="7"/>
  <c r="BE472" i="7"/>
  <c r="BE362" i="7"/>
  <c r="BE524" i="7"/>
  <c r="BE823" i="7"/>
  <c r="BE134" i="7"/>
  <c r="BE451" i="7"/>
  <c r="BE291" i="7"/>
  <c r="BE528" i="7"/>
  <c r="BE827" i="7"/>
  <c r="BE619" i="7"/>
  <c r="BE698" i="7"/>
  <c r="BE243" i="7"/>
  <c r="BE74" i="7"/>
  <c r="BE816" i="7"/>
  <c r="BE836" i="7"/>
  <c r="BE278" i="7"/>
  <c r="BE341" i="7"/>
  <c r="BE113" i="7"/>
  <c r="BE237" i="7"/>
  <c r="BE316" i="7"/>
  <c r="BE753" i="7"/>
  <c r="BE17" i="7"/>
  <c r="BE457" i="7"/>
  <c r="BE19" i="7"/>
  <c r="BE757" i="7"/>
  <c r="BE389" i="7"/>
  <c r="BE318" i="7"/>
  <c r="BE844" i="7"/>
  <c r="BE482" i="7"/>
  <c r="BE443" i="7"/>
  <c r="BE770" i="7"/>
  <c r="BE68" i="7"/>
  <c r="BE92" i="7"/>
  <c r="BE255" i="7"/>
  <c r="BE289" i="7"/>
  <c r="BE107" i="7"/>
  <c r="BE473" i="7"/>
  <c r="BE774" i="7"/>
  <c r="BE868" i="7"/>
  <c r="BE344" i="7"/>
  <c r="BE725" i="7"/>
  <c r="BE548" i="7"/>
  <c r="BE240" i="7"/>
  <c r="BE583" i="7"/>
  <c r="BE487" i="7"/>
  <c r="BE829" i="7"/>
  <c r="BE165" i="7"/>
  <c r="BE256" i="7"/>
  <c r="BE361" i="7"/>
  <c r="BE293" i="7"/>
  <c r="BE43" i="7"/>
  <c r="BE197" i="7"/>
  <c r="BE161" i="7"/>
  <c r="BE554" i="7"/>
  <c r="BE843" i="7"/>
  <c r="BE284" i="7"/>
  <c r="BE632" i="7"/>
  <c r="BE444" i="7"/>
  <c r="BE670" i="7"/>
  <c r="BE415" i="7"/>
  <c r="BE509" i="7"/>
  <c r="BE645" i="7"/>
  <c r="BE124" i="7"/>
  <c r="BE771" i="7"/>
  <c r="BE512" i="7"/>
  <c r="BE28" i="7"/>
  <c r="BE858" i="7"/>
  <c r="BE576" i="7"/>
  <c r="BE25" i="7"/>
  <c r="BE263" i="7"/>
  <c r="BE173" i="7"/>
  <c r="BE778" i="7"/>
  <c r="BE397" i="7"/>
  <c r="BE308" i="7"/>
  <c r="BE184" i="7"/>
  <c r="BE465" i="7"/>
  <c r="BE388" i="7"/>
  <c r="BE515" i="7"/>
  <c r="BE359" i="7"/>
  <c r="BE484" i="7"/>
  <c r="BE295" i="7"/>
  <c r="BE565" i="7"/>
  <c r="BE787" i="7"/>
  <c r="BE474" i="7"/>
  <c r="BE867" i="7"/>
  <c r="BE610" i="7"/>
  <c r="BE513" i="7"/>
  <c r="BE470" i="7"/>
  <c r="BE833" i="7"/>
  <c r="BE737" i="7"/>
  <c r="BE479" i="7"/>
  <c r="BE244" i="7"/>
  <c r="BE14" i="7"/>
  <c r="BE578" i="7"/>
  <c r="BE38" i="7"/>
  <c r="BE241" i="7"/>
  <c r="BE630" i="7"/>
  <c r="I50" i="6"/>
  <c r="BS55" i="7" l="1"/>
  <c r="BT55" i="7" s="1"/>
  <c r="BS49" i="7"/>
  <c r="BT49" i="7" s="1"/>
  <c r="BS493" i="7"/>
  <c r="BT493" i="7" s="1"/>
  <c r="BS353" i="7"/>
  <c r="BT353" i="7" s="1"/>
  <c r="BS65" i="7"/>
  <c r="BT65" i="7" s="1"/>
  <c r="BS121" i="7"/>
  <c r="BT121" i="7" s="1"/>
  <c r="BS47" i="7"/>
  <c r="BT47" i="7" s="1"/>
  <c r="BS572" i="7"/>
  <c r="BT572" i="7" s="1"/>
  <c r="BS224" i="7"/>
  <c r="BT224" i="7" s="1"/>
  <c r="BS505" i="7"/>
  <c r="BT505" i="7" s="1"/>
  <c r="BS157" i="7"/>
  <c r="BT157" i="7" s="1"/>
  <c r="BS188" i="7"/>
  <c r="BT188" i="7" s="1"/>
  <c r="BS471" i="7"/>
  <c r="BT471" i="7" s="1"/>
  <c r="BS743" i="7"/>
  <c r="BT743" i="7" s="1"/>
  <c r="BS142" i="7"/>
  <c r="BT142" i="7" s="1"/>
  <c r="BS458" i="7"/>
  <c r="BT458" i="7" s="1"/>
  <c r="BS130" i="7"/>
  <c r="BT130" i="7" s="1"/>
  <c r="BS223" i="7"/>
  <c r="BT223" i="7" s="1"/>
  <c r="BS48" i="7"/>
  <c r="BT48" i="7" s="1"/>
  <c r="BS217" i="7"/>
  <c r="BT217" i="7" s="1"/>
  <c r="BS156" i="7"/>
  <c r="BT156" i="7" s="1"/>
  <c r="BS296" i="7"/>
  <c r="BT296" i="7" s="1"/>
  <c r="BS327" i="7"/>
  <c r="BT327" i="7" s="1"/>
  <c r="BS553" i="7"/>
  <c r="BT553" i="7" s="1"/>
  <c r="BS155" i="7"/>
  <c r="BT155" i="7" s="1"/>
  <c r="BS357" i="7"/>
  <c r="BT357" i="7" s="1"/>
  <c r="BS379" i="7"/>
  <c r="BT379" i="7" s="1"/>
  <c r="BS337" i="7"/>
  <c r="BT337" i="7" s="1"/>
  <c r="BS192" i="7"/>
  <c r="BT192" i="7" s="1"/>
  <c r="BS739" i="7"/>
  <c r="BT739" i="7" s="1"/>
  <c r="BS131" i="7"/>
  <c r="BT131" i="7" s="1"/>
  <c r="S339" i="7"/>
  <c r="T339" i="7" s="1"/>
  <c r="S156" i="7"/>
  <c r="T156" i="7" s="1"/>
  <c r="S121" i="7"/>
  <c r="T121" i="7" s="1"/>
  <c r="S155" i="7"/>
  <c r="T155" i="7" s="1"/>
  <c r="S572" i="7"/>
  <c r="T572" i="7" s="1"/>
  <c r="S157" i="7"/>
  <c r="T157" i="7" s="1"/>
  <c r="S471" i="7"/>
  <c r="T471" i="7" s="1"/>
  <c r="S337" i="7"/>
  <c r="T337" i="7" s="1"/>
  <c r="S379" i="7"/>
  <c r="T379" i="7" s="1"/>
  <c r="S188" i="7"/>
  <c r="T188" i="7" s="1"/>
  <c r="S189" i="7"/>
  <c r="T189" i="7" s="1"/>
  <c r="S353" i="7"/>
  <c r="T353" i="7" s="1"/>
  <c r="S327" i="7"/>
  <c r="T327" i="7" s="1"/>
  <c r="S223" i="7"/>
  <c r="T223" i="7" s="1"/>
  <c r="S224" i="7"/>
  <c r="T224" i="7" s="1"/>
  <c r="S296" i="7"/>
  <c r="T296" i="7" s="1"/>
  <c r="S743" i="7"/>
  <c r="T743" i="7" s="1"/>
  <c r="S357" i="7"/>
  <c r="T357" i="7" s="1"/>
  <c r="S131" i="7"/>
  <c r="T131" i="7" s="1"/>
  <c r="S55" i="7"/>
  <c r="T55" i="7" s="1"/>
  <c r="S130" i="7"/>
  <c r="T130" i="7" s="1"/>
  <c r="S47" i="7"/>
  <c r="T47" i="7" s="1"/>
  <c r="S553" i="7"/>
  <c r="T553" i="7" s="1"/>
  <c r="S48" i="7"/>
  <c r="T48" i="7" s="1"/>
  <c r="S217" i="7"/>
  <c r="T217" i="7" s="1"/>
  <c r="S49" i="7"/>
  <c r="T49" i="7" s="1"/>
  <c r="S458" i="7"/>
  <c r="T458" i="7" s="1"/>
  <c r="S65" i="7"/>
  <c r="T65" i="7" s="1"/>
  <c r="S739" i="7"/>
  <c r="T739" i="7" s="1"/>
  <c r="S505" i="7"/>
  <c r="T505" i="7" s="1"/>
  <c r="S192" i="7"/>
  <c r="T192" i="7" s="1"/>
  <c r="S493" i="7"/>
  <c r="T493" i="7" s="1"/>
  <c r="S142" i="7"/>
  <c r="T142" i="7" s="1"/>
  <c r="V324" i="7"/>
  <c r="W324" i="7" s="1"/>
  <c r="V188" i="7"/>
  <c r="W188" i="7" s="1"/>
  <c r="V327" i="7"/>
  <c r="W327" i="7" s="1"/>
  <c r="V223" i="7"/>
  <c r="W223" i="7" s="1"/>
  <c r="V224" i="7"/>
  <c r="W224" i="7" s="1"/>
  <c r="V296" i="7"/>
  <c r="W296" i="7" s="1"/>
  <c r="V743" i="7"/>
  <c r="W743" i="7" s="1"/>
  <c r="V357" i="7"/>
  <c r="W357" i="7" s="1"/>
  <c r="V131" i="7"/>
  <c r="W131" i="7" s="1"/>
  <c r="V55" i="7"/>
  <c r="W55" i="7" s="1"/>
  <c r="V130" i="7"/>
  <c r="W130" i="7" s="1"/>
  <c r="V47" i="7"/>
  <c r="W47" i="7" s="1"/>
  <c r="V553" i="7"/>
  <c r="W553" i="7" s="1"/>
  <c r="V48" i="7"/>
  <c r="W48" i="7" s="1"/>
  <c r="V217" i="7"/>
  <c r="W217" i="7" s="1"/>
  <c r="V49" i="7"/>
  <c r="W49" i="7" s="1"/>
  <c r="V458" i="7"/>
  <c r="W458" i="7" s="1"/>
  <c r="V65" i="7"/>
  <c r="W65" i="7" s="1"/>
  <c r="V739" i="7"/>
  <c r="W739" i="7" s="1"/>
  <c r="V505" i="7"/>
  <c r="W505" i="7" s="1"/>
  <c r="V192" i="7"/>
  <c r="W192" i="7" s="1"/>
  <c r="V493" i="7"/>
  <c r="W493" i="7" s="1"/>
  <c r="V142" i="7"/>
  <c r="W142" i="7" s="1"/>
  <c r="V155" i="7"/>
  <c r="W155" i="7" s="1"/>
  <c r="V121" i="7"/>
  <c r="W121" i="7" s="1"/>
  <c r="V156" i="7"/>
  <c r="W156" i="7" s="1"/>
  <c r="V572" i="7"/>
  <c r="W572" i="7" s="1"/>
  <c r="V157" i="7"/>
  <c r="W157" i="7" s="1"/>
  <c r="V471" i="7"/>
  <c r="W471" i="7" s="1"/>
  <c r="V337" i="7"/>
  <c r="W337" i="7" s="1"/>
  <c r="V379" i="7"/>
  <c r="W379" i="7" s="1"/>
  <c r="V189" i="7"/>
  <c r="W189" i="7" s="1"/>
  <c r="V353" i="7"/>
  <c r="W353" i="7" s="1"/>
  <c r="Y246" i="7"/>
  <c r="Z246" i="7" s="1"/>
  <c r="Y223" i="7"/>
  <c r="Z223" i="7" s="1"/>
  <c r="Y47" i="7"/>
  <c r="Z47" i="7" s="1"/>
  <c r="Y553" i="7"/>
  <c r="Z553" i="7" s="1"/>
  <c r="Y48" i="7"/>
  <c r="Z48" i="7" s="1"/>
  <c r="Y217" i="7"/>
  <c r="Z217" i="7" s="1"/>
  <c r="Y49" i="7"/>
  <c r="Z49" i="7" s="1"/>
  <c r="Y458" i="7"/>
  <c r="Z458" i="7" s="1"/>
  <c r="Y65" i="7"/>
  <c r="Z65" i="7" s="1"/>
  <c r="Y739" i="7"/>
  <c r="Z739" i="7" s="1"/>
  <c r="Y505" i="7"/>
  <c r="Z505" i="7" s="1"/>
  <c r="Y192" i="7"/>
  <c r="Z192" i="7" s="1"/>
  <c r="Y493" i="7"/>
  <c r="Z493" i="7" s="1"/>
  <c r="Y142" i="7"/>
  <c r="Z142" i="7" s="1"/>
  <c r="Y155" i="7"/>
  <c r="Z155" i="7" s="1"/>
  <c r="Y121" i="7"/>
  <c r="Z121" i="7" s="1"/>
  <c r="Y156" i="7"/>
  <c r="Z156" i="7" s="1"/>
  <c r="Y572" i="7"/>
  <c r="Z572" i="7" s="1"/>
  <c r="Y157" i="7"/>
  <c r="Z157" i="7" s="1"/>
  <c r="Y471" i="7"/>
  <c r="Z471" i="7" s="1"/>
  <c r="Y337" i="7"/>
  <c r="Z337" i="7" s="1"/>
  <c r="Y379" i="7"/>
  <c r="Z379" i="7" s="1"/>
  <c r="Y188" i="7"/>
  <c r="Z188" i="7" s="1"/>
  <c r="Y189" i="7"/>
  <c r="Z189" i="7" s="1"/>
  <c r="Y353" i="7"/>
  <c r="Z353" i="7" s="1"/>
  <c r="Y327" i="7"/>
  <c r="Z327" i="7" s="1"/>
  <c r="Y224" i="7"/>
  <c r="Z224" i="7" s="1"/>
  <c r="Y296" i="7"/>
  <c r="Z296" i="7" s="1"/>
  <c r="Y743" i="7"/>
  <c r="Z743" i="7" s="1"/>
  <c r="Y357" i="7"/>
  <c r="Z357" i="7" s="1"/>
  <c r="Y131" i="7"/>
  <c r="Z131" i="7" s="1"/>
  <c r="Y55" i="7"/>
  <c r="Z55" i="7" s="1"/>
  <c r="Y130" i="7"/>
  <c r="Z130" i="7" s="1"/>
  <c r="AB776" i="7"/>
  <c r="AC776" i="7" s="1"/>
  <c r="AB55" i="7"/>
  <c r="AC55" i="7" s="1"/>
  <c r="AB131" i="7"/>
  <c r="AC131" i="7" s="1"/>
  <c r="AB157" i="7"/>
  <c r="AC157" i="7" s="1"/>
  <c r="AB471" i="7"/>
  <c r="AC471" i="7" s="1"/>
  <c r="AB337" i="7"/>
  <c r="AC337" i="7" s="1"/>
  <c r="AB379" i="7"/>
  <c r="AC379" i="7" s="1"/>
  <c r="AB188" i="7"/>
  <c r="AC188" i="7" s="1"/>
  <c r="AB189" i="7"/>
  <c r="AC189" i="7" s="1"/>
  <c r="AB353" i="7"/>
  <c r="AC353" i="7" s="1"/>
  <c r="AB327" i="7"/>
  <c r="AC327" i="7" s="1"/>
  <c r="AB223" i="7"/>
  <c r="AC223" i="7" s="1"/>
  <c r="AB224" i="7"/>
  <c r="AC224" i="7" s="1"/>
  <c r="AB296" i="7"/>
  <c r="AC296" i="7" s="1"/>
  <c r="AB743" i="7"/>
  <c r="AC743" i="7" s="1"/>
  <c r="AB357" i="7"/>
  <c r="AC357" i="7" s="1"/>
  <c r="AB130" i="7"/>
  <c r="AC130" i="7" s="1"/>
  <c r="AB47" i="7"/>
  <c r="AC47" i="7" s="1"/>
  <c r="AB553" i="7"/>
  <c r="AC553" i="7" s="1"/>
  <c r="AB48" i="7"/>
  <c r="AC48" i="7" s="1"/>
  <c r="AB217" i="7"/>
  <c r="AC217" i="7" s="1"/>
  <c r="AB49" i="7"/>
  <c r="AC49" i="7" s="1"/>
  <c r="AB458" i="7"/>
  <c r="AC458" i="7" s="1"/>
  <c r="AB65" i="7"/>
  <c r="AC65" i="7" s="1"/>
  <c r="AB739" i="7"/>
  <c r="AC739" i="7" s="1"/>
  <c r="AB505" i="7"/>
  <c r="AC505" i="7" s="1"/>
  <c r="AB192" i="7"/>
  <c r="AC192" i="7" s="1"/>
  <c r="AB493" i="7"/>
  <c r="AC493" i="7" s="1"/>
  <c r="AB142" i="7"/>
  <c r="AC142" i="7" s="1"/>
  <c r="AB155" i="7"/>
  <c r="AC155" i="7" s="1"/>
  <c r="AB121" i="7"/>
  <c r="AC121" i="7" s="1"/>
  <c r="AB156" i="7"/>
  <c r="AC156" i="7" s="1"/>
  <c r="AB572" i="7"/>
  <c r="AC572" i="7" s="1"/>
  <c r="AE231" i="7"/>
  <c r="AF231" i="7" s="1"/>
  <c r="AE65" i="7"/>
  <c r="AF65" i="7" s="1"/>
  <c r="AE458" i="7"/>
  <c r="AF458" i="7" s="1"/>
  <c r="AE224" i="7"/>
  <c r="AF224" i="7" s="1"/>
  <c r="AE296" i="7"/>
  <c r="AF296" i="7" s="1"/>
  <c r="AE743" i="7"/>
  <c r="AF743" i="7" s="1"/>
  <c r="AE357" i="7"/>
  <c r="AF357" i="7" s="1"/>
  <c r="AE131" i="7"/>
  <c r="AF131" i="7" s="1"/>
  <c r="AE55" i="7"/>
  <c r="AF55" i="7" s="1"/>
  <c r="AE130" i="7"/>
  <c r="AF130" i="7" s="1"/>
  <c r="AE47" i="7"/>
  <c r="AF47" i="7" s="1"/>
  <c r="AE553" i="7"/>
  <c r="AF553" i="7" s="1"/>
  <c r="AE48" i="7"/>
  <c r="AF48" i="7" s="1"/>
  <c r="AE217" i="7"/>
  <c r="AF217" i="7" s="1"/>
  <c r="AE49" i="7"/>
  <c r="AF49" i="7" s="1"/>
  <c r="AE739" i="7"/>
  <c r="AF739" i="7" s="1"/>
  <c r="AE505" i="7"/>
  <c r="AF505" i="7" s="1"/>
  <c r="AE192" i="7"/>
  <c r="AF192" i="7" s="1"/>
  <c r="AE493" i="7"/>
  <c r="AF493" i="7" s="1"/>
  <c r="AE142" i="7"/>
  <c r="AF142" i="7" s="1"/>
  <c r="AE155" i="7"/>
  <c r="AF155" i="7" s="1"/>
  <c r="AE121" i="7"/>
  <c r="AF121" i="7" s="1"/>
  <c r="AE156" i="7"/>
  <c r="AF156" i="7" s="1"/>
  <c r="AE572" i="7"/>
  <c r="AF572" i="7" s="1"/>
  <c r="AE157" i="7"/>
  <c r="AF157" i="7" s="1"/>
  <c r="AE471" i="7"/>
  <c r="AF471" i="7" s="1"/>
  <c r="AE337" i="7"/>
  <c r="AF337" i="7" s="1"/>
  <c r="AE379" i="7"/>
  <c r="AF379" i="7" s="1"/>
  <c r="AE188" i="7"/>
  <c r="AF188" i="7" s="1"/>
  <c r="AE189" i="7"/>
  <c r="AF189" i="7" s="1"/>
  <c r="AE353" i="7"/>
  <c r="AF353" i="7" s="1"/>
  <c r="AE327" i="7"/>
  <c r="AF327" i="7" s="1"/>
  <c r="AE223" i="7"/>
  <c r="AF223" i="7" s="1"/>
  <c r="AH62" i="7"/>
  <c r="AI62" i="7" s="1"/>
  <c r="AH156" i="7"/>
  <c r="AI156" i="7" s="1"/>
  <c r="AH121" i="7"/>
  <c r="AI121" i="7" s="1"/>
  <c r="AH49" i="7"/>
  <c r="AI49" i="7" s="1"/>
  <c r="AH458" i="7"/>
  <c r="AI458" i="7" s="1"/>
  <c r="AH65" i="7"/>
  <c r="AI65" i="7" s="1"/>
  <c r="AH739" i="7"/>
  <c r="AI739" i="7" s="1"/>
  <c r="AH505" i="7"/>
  <c r="AI505" i="7" s="1"/>
  <c r="AH192" i="7"/>
  <c r="AI192" i="7" s="1"/>
  <c r="AH493" i="7"/>
  <c r="AI493" i="7" s="1"/>
  <c r="AH142" i="7"/>
  <c r="AI142" i="7" s="1"/>
  <c r="AH155" i="7"/>
  <c r="AI155" i="7" s="1"/>
  <c r="AH572" i="7"/>
  <c r="AI572" i="7" s="1"/>
  <c r="AH157" i="7"/>
  <c r="AI157" i="7" s="1"/>
  <c r="AH471" i="7"/>
  <c r="AI471" i="7" s="1"/>
  <c r="AH337" i="7"/>
  <c r="AI337" i="7" s="1"/>
  <c r="AH379" i="7"/>
  <c r="AI379" i="7" s="1"/>
  <c r="AH188" i="7"/>
  <c r="AI188" i="7" s="1"/>
  <c r="AH189" i="7"/>
  <c r="AI189" i="7" s="1"/>
  <c r="AH353" i="7"/>
  <c r="AI353" i="7" s="1"/>
  <c r="AH327" i="7"/>
  <c r="AI327" i="7" s="1"/>
  <c r="AH223" i="7"/>
  <c r="AI223" i="7" s="1"/>
  <c r="AH224" i="7"/>
  <c r="AI224" i="7" s="1"/>
  <c r="AH743" i="7"/>
  <c r="AI743" i="7" s="1"/>
  <c r="AH357" i="7"/>
  <c r="AI357" i="7" s="1"/>
  <c r="AH131" i="7"/>
  <c r="AI131" i="7" s="1"/>
  <c r="AH55" i="7"/>
  <c r="AI55" i="7" s="1"/>
  <c r="AH130" i="7"/>
  <c r="AI130" i="7" s="1"/>
  <c r="AH47" i="7"/>
  <c r="AI47" i="7" s="1"/>
  <c r="AH553" i="7"/>
  <c r="AI553" i="7" s="1"/>
  <c r="AH48" i="7"/>
  <c r="AI48" i="7" s="1"/>
  <c r="AH296" i="7"/>
  <c r="AI296" i="7" s="1"/>
  <c r="AH217" i="7"/>
  <c r="AI217" i="7" s="1"/>
  <c r="AL235" i="7"/>
  <c r="AM235" i="7" s="1"/>
  <c r="AL55" i="7"/>
  <c r="AM55" i="7" s="1"/>
  <c r="AL131" i="7"/>
  <c r="AM131" i="7" s="1"/>
  <c r="BH156" i="7"/>
  <c r="BH121" i="7"/>
  <c r="AL743" i="7"/>
  <c r="AM743" i="7" s="1"/>
  <c r="AL357" i="7"/>
  <c r="AM357" i="7" s="1"/>
  <c r="AL130" i="7"/>
  <c r="AM130" i="7" s="1"/>
  <c r="BH505" i="7"/>
  <c r="BH192" i="7"/>
  <c r="AL47" i="7"/>
  <c r="AM47" i="7" s="1"/>
  <c r="AL553" i="7"/>
  <c r="AM553" i="7" s="1"/>
  <c r="BH493" i="7"/>
  <c r="BH142" i="7"/>
  <c r="AL48" i="7"/>
  <c r="AM48" i="7" s="1"/>
  <c r="AL217" i="7"/>
  <c r="AM217" i="7" s="1"/>
  <c r="AL49" i="7"/>
  <c r="AM49" i="7" s="1"/>
  <c r="AL458" i="7"/>
  <c r="AM458" i="7" s="1"/>
  <c r="AL65" i="7"/>
  <c r="AM65" i="7" s="1"/>
  <c r="AL739" i="7"/>
  <c r="AM739" i="7" s="1"/>
  <c r="AL505" i="7"/>
  <c r="AM505" i="7" s="1"/>
  <c r="AL192" i="7"/>
  <c r="AM192" i="7" s="1"/>
  <c r="AL493" i="7"/>
  <c r="AM493" i="7" s="1"/>
  <c r="AL142" i="7"/>
  <c r="AM142" i="7" s="1"/>
  <c r="AL155" i="7"/>
  <c r="AM155" i="7" s="1"/>
  <c r="AL121" i="7"/>
  <c r="AM121" i="7" s="1"/>
  <c r="BH189" i="7"/>
  <c r="AL157" i="7"/>
  <c r="AM157" i="7" s="1"/>
  <c r="AL471" i="7"/>
  <c r="AM471" i="7" s="1"/>
  <c r="BH327" i="7"/>
  <c r="AL379" i="7"/>
  <c r="AM379" i="7" s="1"/>
  <c r="BH224" i="7"/>
  <c r="AL188" i="7"/>
  <c r="AM188" i="7" s="1"/>
  <c r="AL353" i="7"/>
  <c r="AM353" i="7" s="1"/>
  <c r="BH357" i="7"/>
  <c r="BH131" i="7"/>
  <c r="AL327" i="7"/>
  <c r="AM327" i="7" s="1"/>
  <c r="AL223" i="7"/>
  <c r="AM223" i="7" s="1"/>
  <c r="BH47" i="7"/>
  <c r="BH553" i="7"/>
  <c r="AL224" i="7"/>
  <c r="AM224" i="7" s="1"/>
  <c r="AL189" i="7"/>
  <c r="AM189" i="7" s="1"/>
  <c r="BH223" i="7"/>
  <c r="AL296" i="7"/>
  <c r="AM296" i="7" s="1"/>
  <c r="BH296" i="7"/>
  <c r="AL572" i="7"/>
  <c r="AM572" i="7" s="1"/>
  <c r="BH743" i="7"/>
  <c r="BH130" i="7"/>
  <c r="BH217" i="7"/>
  <c r="BH458" i="7"/>
  <c r="BH739" i="7"/>
  <c r="BH572" i="7"/>
  <c r="BH471" i="7"/>
  <c r="BH55" i="7"/>
  <c r="BH48" i="7"/>
  <c r="BH49" i="7"/>
  <c r="BH65" i="7"/>
  <c r="BH155" i="7"/>
  <c r="BH157" i="7"/>
  <c r="BH337" i="7"/>
  <c r="BH379" i="7"/>
  <c r="AL156" i="7"/>
  <c r="AM156" i="7" s="1"/>
  <c r="BH188" i="7"/>
  <c r="AL337" i="7"/>
  <c r="AM337" i="7" s="1"/>
  <c r="BH353" i="7"/>
  <c r="AQ281" i="7"/>
  <c r="AO281" i="7" s="1"/>
  <c r="AQ55" i="7"/>
  <c r="AO55" i="7" s="1"/>
  <c r="AQ131" i="7"/>
  <c r="AO131" i="7" s="1"/>
  <c r="AQ493" i="7"/>
  <c r="AO493" i="7" s="1"/>
  <c r="AQ142" i="7"/>
  <c r="AO142" i="7" s="1"/>
  <c r="AQ155" i="7"/>
  <c r="AO155" i="7" s="1"/>
  <c r="AQ121" i="7"/>
  <c r="AO121" i="7" s="1"/>
  <c r="AQ156" i="7"/>
  <c r="AO156" i="7" s="1"/>
  <c r="AQ572" i="7"/>
  <c r="AO572" i="7" s="1"/>
  <c r="AQ157" i="7"/>
  <c r="AO157" i="7" s="1"/>
  <c r="AQ471" i="7"/>
  <c r="AO471" i="7" s="1"/>
  <c r="AQ337" i="7"/>
  <c r="AO337" i="7" s="1"/>
  <c r="AQ379" i="7"/>
  <c r="AO379" i="7" s="1"/>
  <c r="AQ188" i="7"/>
  <c r="AO188" i="7" s="1"/>
  <c r="AQ353" i="7"/>
  <c r="AO353" i="7" s="1"/>
  <c r="AQ223" i="7"/>
  <c r="AO223" i="7" s="1"/>
  <c r="AQ296" i="7"/>
  <c r="AO296" i="7" s="1"/>
  <c r="AQ743" i="7"/>
  <c r="AO743" i="7" s="1"/>
  <c r="AQ47" i="7"/>
  <c r="AO47" i="7" s="1"/>
  <c r="AQ553" i="7"/>
  <c r="AO553" i="7" s="1"/>
  <c r="AQ48" i="7"/>
  <c r="AO48" i="7" s="1"/>
  <c r="AQ217" i="7"/>
  <c r="AO217" i="7" s="1"/>
  <c r="AQ49" i="7"/>
  <c r="AO49" i="7" s="1"/>
  <c r="AQ458" i="7"/>
  <c r="AO458" i="7" s="1"/>
  <c r="AQ65" i="7"/>
  <c r="AO65" i="7" s="1"/>
  <c r="AQ739" i="7"/>
  <c r="AO739" i="7" s="1"/>
  <c r="AQ327" i="7"/>
  <c r="AO327" i="7" s="1"/>
  <c r="AQ224" i="7"/>
  <c r="AO224" i="7" s="1"/>
  <c r="AQ130" i="7"/>
  <c r="AO130" i="7" s="1"/>
  <c r="AQ192" i="7"/>
  <c r="AO192" i="7" s="1"/>
  <c r="AQ357" i="7"/>
  <c r="AO357" i="7" s="1"/>
  <c r="AQ505" i="7"/>
  <c r="AO505" i="7" s="1"/>
  <c r="AQ189" i="7"/>
  <c r="AO189" i="7" s="1"/>
  <c r="AS624" i="7"/>
  <c r="AT624" i="7" s="1"/>
  <c r="AS223" i="7"/>
  <c r="AT223" i="7" s="1"/>
  <c r="AS49" i="7"/>
  <c r="AT49" i="7" s="1"/>
  <c r="AS458" i="7"/>
  <c r="AT458" i="7" s="1"/>
  <c r="AS65" i="7"/>
  <c r="AT65" i="7" s="1"/>
  <c r="AS739" i="7"/>
  <c r="AT739" i="7" s="1"/>
  <c r="AS505" i="7"/>
  <c r="AT505" i="7" s="1"/>
  <c r="AS192" i="7"/>
  <c r="AT192" i="7" s="1"/>
  <c r="AS493" i="7"/>
  <c r="AT493" i="7" s="1"/>
  <c r="AS142" i="7"/>
  <c r="AT142" i="7" s="1"/>
  <c r="AS155" i="7"/>
  <c r="AT155" i="7" s="1"/>
  <c r="AS121" i="7"/>
  <c r="AT121" i="7" s="1"/>
  <c r="AS156" i="7"/>
  <c r="AT156" i="7" s="1"/>
  <c r="AS572" i="7"/>
  <c r="AT572" i="7" s="1"/>
  <c r="AS379" i="7"/>
  <c r="AT379" i="7" s="1"/>
  <c r="AS189" i="7"/>
  <c r="AT189" i="7" s="1"/>
  <c r="AS327" i="7"/>
  <c r="AT327" i="7" s="1"/>
  <c r="AS224" i="7"/>
  <c r="AT224" i="7" s="1"/>
  <c r="AS743" i="7"/>
  <c r="AT743" i="7" s="1"/>
  <c r="AS357" i="7"/>
  <c r="AT357" i="7" s="1"/>
  <c r="AS131" i="7"/>
  <c r="AT131" i="7" s="1"/>
  <c r="AS55" i="7"/>
  <c r="AT55" i="7" s="1"/>
  <c r="AS130" i="7"/>
  <c r="AT130" i="7" s="1"/>
  <c r="AS47" i="7"/>
  <c r="AT47" i="7" s="1"/>
  <c r="AS553" i="7"/>
  <c r="AT553" i="7" s="1"/>
  <c r="AS353" i="7"/>
  <c r="AT353" i="7" s="1"/>
  <c r="AS296" i="7"/>
  <c r="AT296" i="7" s="1"/>
  <c r="AS217" i="7"/>
  <c r="AT217" i="7" s="1"/>
  <c r="AS471" i="7"/>
  <c r="AT471" i="7" s="1"/>
  <c r="AS48" i="7"/>
  <c r="AT48" i="7" s="1"/>
  <c r="AS157" i="7"/>
  <c r="AT157" i="7" s="1"/>
  <c r="AS337" i="7"/>
  <c r="AT337" i="7" s="1"/>
  <c r="AS188" i="7"/>
  <c r="AT188" i="7" s="1"/>
  <c r="N626" i="7"/>
  <c r="O626" i="7" s="1"/>
  <c r="N357" i="7"/>
  <c r="O357" i="7" s="1"/>
  <c r="N743" i="7"/>
  <c r="O743" i="7" s="1"/>
  <c r="N55" i="7"/>
  <c r="O55" i="7" s="1"/>
  <c r="N131" i="7"/>
  <c r="O131" i="7" s="1"/>
  <c r="N47" i="7"/>
  <c r="O47" i="7" s="1"/>
  <c r="N130" i="7"/>
  <c r="O130" i="7" s="1"/>
  <c r="N48" i="7"/>
  <c r="O48" i="7" s="1"/>
  <c r="N553" i="7"/>
  <c r="O553" i="7" s="1"/>
  <c r="N49" i="7"/>
  <c r="O49" i="7" s="1"/>
  <c r="N217" i="7"/>
  <c r="O217" i="7" s="1"/>
  <c r="N65" i="7"/>
  <c r="O65" i="7" s="1"/>
  <c r="N458" i="7"/>
  <c r="O458" i="7" s="1"/>
  <c r="N505" i="7"/>
  <c r="O505" i="7" s="1"/>
  <c r="N739" i="7"/>
  <c r="O739" i="7" s="1"/>
  <c r="N493" i="7"/>
  <c r="O493" i="7" s="1"/>
  <c r="N192" i="7"/>
  <c r="O192" i="7" s="1"/>
  <c r="N155" i="7"/>
  <c r="O155" i="7" s="1"/>
  <c r="N142" i="7"/>
  <c r="O142" i="7" s="1"/>
  <c r="N156" i="7"/>
  <c r="O156" i="7" s="1"/>
  <c r="N121" i="7"/>
  <c r="O121" i="7" s="1"/>
  <c r="N157" i="7"/>
  <c r="O157" i="7" s="1"/>
  <c r="N572" i="7"/>
  <c r="O572" i="7" s="1"/>
  <c r="N337" i="7"/>
  <c r="O337" i="7" s="1"/>
  <c r="N471" i="7"/>
  <c r="O471" i="7" s="1"/>
  <c r="N379" i="7"/>
  <c r="O379" i="7" s="1"/>
  <c r="N188" i="7"/>
  <c r="O188" i="7" s="1"/>
  <c r="N189" i="7"/>
  <c r="O189" i="7" s="1"/>
  <c r="N353" i="7"/>
  <c r="O353" i="7" s="1"/>
  <c r="N327" i="7"/>
  <c r="O327" i="7" s="1"/>
  <c r="N223" i="7"/>
  <c r="O223" i="7" s="1"/>
  <c r="N224" i="7"/>
  <c r="O224" i="7" s="1"/>
  <c r="N296" i="7"/>
  <c r="O296" i="7" s="1"/>
  <c r="BH845" i="7"/>
  <c r="BH694" i="7"/>
  <c r="BH835" i="7"/>
  <c r="BH99" i="7"/>
  <c r="N625" i="7"/>
  <c r="O625" i="7" s="1"/>
  <c r="N728" i="7"/>
  <c r="O728" i="7" s="1"/>
  <c r="BH317" i="7"/>
  <c r="N177" i="7"/>
  <c r="O177" i="7" s="1"/>
  <c r="N520" i="7"/>
  <c r="O520" i="7" s="1"/>
  <c r="BH769" i="7"/>
  <c r="N489" i="7"/>
  <c r="O489" i="7" s="1"/>
  <c r="N589" i="7"/>
  <c r="O589" i="7" s="1"/>
  <c r="BH849" i="7"/>
  <c r="N869" i="7"/>
  <c r="O869" i="7" s="1"/>
  <c r="N612" i="7"/>
  <c r="O612" i="7" s="1"/>
  <c r="BH662" i="7"/>
  <c r="N745" i="7"/>
  <c r="O745" i="7" s="1"/>
  <c r="S590" i="7"/>
  <c r="T590" i="7" s="1"/>
  <c r="BH420" i="7"/>
  <c r="N591" i="7"/>
  <c r="O591" i="7" s="1"/>
  <c r="S766" i="7"/>
  <c r="T766" i="7" s="1"/>
  <c r="BH355" i="7"/>
  <c r="N860" i="7"/>
  <c r="O860" i="7" s="1"/>
  <c r="S689" i="7"/>
  <c r="T689" i="7" s="1"/>
  <c r="N804" i="7"/>
  <c r="O804" i="7" s="1"/>
  <c r="S170" i="7"/>
  <c r="T170" i="7" s="1"/>
  <c r="N16" i="7"/>
  <c r="O16" i="7" s="1"/>
  <c r="S269" i="7"/>
  <c r="T269" i="7" s="1"/>
  <c r="N199" i="7"/>
  <c r="O199" i="7" s="1"/>
  <c r="S732" i="7"/>
  <c r="T732" i="7" s="1"/>
  <c r="N431" i="7"/>
  <c r="O431" i="7" s="1"/>
  <c r="N41" i="7"/>
  <c r="O41" i="7" s="1"/>
  <c r="N562" i="7"/>
  <c r="O562" i="7" s="1"/>
  <c r="N639" i="7"/>
  <c r="O639" i="7" s="1"/>
  <c r="N641" i="7"/>
  <c r="O641" i="7" s="1"/>
  <c r="N204" i="7"/>
  <c r="O204" i="7" s="1"/>
  <c r="N769" i="7"/>
  <c r="O769" i="7" s="1"/>
  <c r="BH382" i="7"/>
  <c r="N408" i="7"/>
  <c r="O408" i="7" s="1"/>
  <c r="BH633" i="7"/>
  <c r="N535" i="7"/>
  <c r="O535" i="7" s="1"/>
  <c r="N104" i="7"/>
  <c r="O104" i="7" s="1"/>
  <c r="BH10" i="7"/>
  <c r="N238" i="7"/>
  <c r="O238" i="7" s="1"/>
  <c r="N153" i="7"/>
  <c r="O153" i="7" s="1"/>
  <c r="BH254" i="7"/>
  <c r="N31" i="7"/>
  <c r="O31" i="7" s="1"/>
  <c r="N382" i="7"/>
  <c r="O382" i="7" s="1"/>
  <c r="V535" i="7"/>
  <c r="W535" i="7" s="1"/>
  <c r="N655" i="7"/>
  <c r="O655" i="7" s="1"/>
  <c r="N254" i="7"/>
  <c r="O254" i="7" s="1"/>
  <c r="V163" i="7"/>
  <c r="W163" i="7" s="1"/>
  <c r="BH177" i="7"/>
  <c r="N276" i="7"/>
  <c r="O276" i="7" s="1"/>
  <c r="N77" i="7"/>
  <c r="O77" i="7" s="1"/>
  <c r="V646" i="7"/>
  <c r="W646" i="7" s="1"/>
  <c r="BH321" i="7"/>
  <c r="N235" i="7"/>
  <c r="O235" i="7" s="1"/>
  <c r="N776" i="7"/>
  <c r="O776" i="7" s="1"/>
  <c r="V204" i="7"/>
  <c r="W204" i="7" s="1"/>
  <c r="BH171" i="7"/>
  <c r="N537" i="7"/>
  <c r="O537" i="7" s="1"/>
  <c r="N348" i="7"/>
  <c r="O348" i="7" s="1"/>
  <c r="V93" i="7"/>
  <c r="W93" i="7" s="1"/>
  <c r="BH617" i="7"/>
  <c r="N751" i="7"/>
  <c r="O751" i="7" s="1"/>
  <c r="N91" i="7"/>
  <c r="O91" i="7" s="1"/>
  <c r="V776" i="7"/>
  <c r="W776" i="7" s="1"/>
  <c r="BH626" i="7"/>
  <c r="N538" i="7"/>
  <c r="O538" i="7" s="1"/>
  <c r="N840" i="7"/>
  <c r="O840" i="7" s="1"/>
  <c r="V276" i="7"/>
  <c r="W276" i="7" s="1"/>
  <c r="BH783" i="7"/>
  <c r="N636" i="7"/>
  <c r="O636" i="7" s="1"/>
  <c r="N253" i="7"/>
  <c r="O253" i="7" s="1"/>
  <c r="BH869" i="7"/>
  <c r="BH315" i="7"/>
  <c r="N850" i="7"/>
  <c r="O850" i="7" s="1"/>
  <c r="N841" i="7"/>
  <c r="O841" i="7" s="1"/>
  <c r="N394" i="7"/>
  <c r="O394" i="7" s="1"/>
  <c r="V603" i="7"/>
  <c r="W603" i="7" s="1"/>
  <c r="V247" i="7"/>
  <c r="W247" i="7" s="1"/>
  <c r="BH788" i="7"/>
  <c r="BH728" i="7"/>
  <c r="N691" i="7"/>
  <c r="O691" i="7" s="1"/>
  <c r="N251" i="7"/>
  <c r="O251" i="7" s="1"/>
  <c r="N305" i="7"/>
  <c r="O305" i="7" s="1"/>
  <c r="N476" i="7"/>
  <c r="O476" i="7" s="1"/>
  <c r="S288" i="7"/>
  <c r="T288" i="7" s="1"/>
  <c r="V769" i="7"/>
  <c r="W769" i="7" s="1"/>
  <c r="V840" i="7"/>
  <c r="W840" i="7" s="1"/>
  <c r="BH700" i="7"/>
  <c r="BH269" i="7"/>
  <c r="N368" i="7"/>
  <c r="O368" i="7" s="1"/>
  <c r="N260" i="7"/>
  <c r="O260" i="7" s="1"/>
  <c r="N170" i="7"/>
  <c r="O170" i="7" s="1"/>
  <c r="N413" i="7"/>
  <c r="O413" i="7" s="1"/>
  <c r="S265" i="7"/>
  <c r="T265" i="7" s="1"/>
  <c r="V274" i="7"/>
  <c r="W274" i="7" s="1"/>
  <c r="V781" i="7"/>
  <c r="W781" i="7" s="1"/>
  <c r="BH94" i="7"/>
  <c r="BH50" i="7"/>
  <c r="V483" i="7"/>
  <c r="W483" i="7" s="1"/>
  <c r="V557" i="7"/>
  <c r="W557" i="7" s="1"/>
  <c r="BH625" i="7"/>
  <c r="BH421" i="7"/>
  <c r="BH603" i="7"/>
  <c r="N700" i="7"/>
  <c r="O700" i="7" s="1"/>
  <c r="N324" i="7"/>
  <c r="O324" i="7" s="1"/>
  <c r="N720" i="7"/>
  <c r="O720" i="7" s="1"/>
  <c r="N271" i="7"/>
  <c r="O271" i="7" s="1"/>
  <c r="S204" i="7"/>
  <c r="T204" i="7" s="1"/>
  <c r="V206" i="7"/>
  <c r="W206" i="7" s="1"/>
  <c r="AB420" i="7"/>
  <c r="AC420" i="7" s="1"/>
  <c r="BH712" i="7"/>
  <c r="BH815" i="7"/>
  <c r="BH204" i="7"/>
  <c r="N421" i="7"/>
  <c r="O421" i="7" s="1"/>
  <c r="N859" i="7"/>
  <c r="O859" i="7" s="1"/>
  <c r="N314" i="7"/>
  <c r="O314" i="7" s="1"/>
  <c r="N112" i="7"/>
  <c r="O112" i="7" s="1"/>
  <c r="S336" i="7"/>
  <c r="T336" i="7" s="1"/>
  <c r="V91" i="7"/>
  <c r="W91" i="7" s="1"/>
  <c r="AB659" i="7"/>
  <c r="AC659" i="7" s="1"/>
  <c r="BH654" i="7"/>
  <c r="BH590" i="7"/>
  <c r="BH646" i="7"/>
  <c r="N815" i="7"/>
  <c r="O815" i="7" s="1"/>
  <c r="N185" i="7"/>
  <c r="O185" i="7" s="1"/>
  <c r="N395" i="7"/>
  <c r="O395" i="7" s="1"/>
  <c r="N215" i="7"/>
  <c r="O215" i="7" s="1"/>
  <c r="S396" i="7"/>
  <c r="T396" i="7" s="1"/>
  <c r="V339" i="7"/>
  <c r="W339" i="7" s="1"/>
  <c r="AB317" i="7"/>
  <c r="AC317" i="7" s="1"/>
  <c r="BH120" i="7"/>
  <c r="BH811" i="7"/>
  <c r="BH112" i="7"/>
  <c r="N530" i="7"/>
  <c r="O530" i="7" s="1"/>
  <c r="N650" i="7"/>
  <c r="O650" i="7" s="1"/>
  <c r="N684" i="7"/>
  <c r="O684" i="7" s="1"/>
  <c r="N352" i="7"/>
  <c r="O352" i="7" s="1"/>
  <c r="S276" i="7"/>
  <c r="T276" i="7" s="1"/>
  <c r="V797" i="7"/>
  <c r="W797" i="7" s="1"/>
  <c r="AB468" i="7"/>
  <c r="AC468" i="7" s="1"/>
  <c r="BH599" i="7"/>
  <c r="BH556" i="7"/>
  <c r="BH750" i="7"/>
  <c r="N620" i="7"/>
  <c r="O620" i="7" s="1"/>
  <c r="N206" i="7"/>
  <c r="O206" i="7" s="1"/>
  <c r="N617" i="7"/>
  <c r="O617" i="7" s="1"/>
  <c r="N603" i="7"/>
  <c r="O603" i="7" s="1"/>
  <c r="V709" i="7"/>
  <c r="W709" i="7" s="1"/>
  <c r="BH52" i="7"/>
  <c r="BH861" i="7"/>
  <c r="BH206" i="7"/>
  <c r="N106" i="7"/>
  <c r="O106" i="7" s="1"/>
  <c r="N145" i="7"/>
  <c r="O145" i="7" s="1"/>
  <c r="N59" i="7"/>
  <c r="O59" i="7" s="1"/>
  <c r="N835" i="7"/>
  <c r="O835" i="7" s="1"/>
  <c r="N317" i="7"/>
  <c r="O317" i="7" s="1"/>
  <c r="V99" i="7"/>
  <c r="W99" i="7" s="1"/>
  <c r="V254" i="7"/>
  <c r="W254" i="7" s="1"/>
  <c r="BH77" i="7"/>
  <c r="BH786" i="7"/>
  <c r="BH866" i="7"/>
  <c r="N492" i="7"/>
  <c r="O492" i="7" s="1"/>
  <c r="N234" i="7"/>
  <c r="O234" i="7" s="1"/>
  <c r="N239" i="7"/>
  <c r="O239" i="7" s="1"/>
  <c r="N633" i="7"/>
  <c r="O633" i="7" s="1"/>
  <c r="N488" i="7"/>
  <c r="O488" i="7" s="1"/>
  <c r="V811" i="7"/>
  <c r="W811" i="7" s="1"/>
  <c r="V625" i="7"/>
  <c r="W625" i="7" s="1"/>
  <c r="BH738" i="7"/>
  <c r="BH253" i="7"/>
  <c r="N163" i="7"/>
  <c r="O163" i="7" s="1"/>
  <c r="N392" i="7"/>
  <c r="O392" i="7" s="1"/>
  <c r="N711" i="7"/>
  <c r="O711" i="7" s="1"/>
  <c r="N95" i="7"/>
  <c r="O95" i="7" s="1"/>
  <c r="N274" i="7"/>
  <c r="O274" i="7" s="1"/>
  <c r="V815" i="7"/>
  <c r="W815" i="7" s="1"/>
  <c r="V36" i="7"/>
  <c r="W36" i="7" s="1"/>
  <c r="V489" i="7"/>
  <c r="W489" i="7" s="1"/>
  <c r="V591" i="7"/>
  <c r="W591" i="7" s="1"/>
  <c r="V530" i="7"/>
  <c r="W530" i="7" s="1"/>
  <c r="V119" i="7"/>
  <c r="W119" i="7" s="1"/>
  <c r="V33" i="7"/>
  <c r="W33" i="7" s="1"/>
  <c r="V177" i="7"/>
  <c r="W177" i="7" s="1"/>
  <c r="V234" i="7"/>
  <c r="W234" i="7" s="1"/>
  <c r="BH486" i="7"/>
  <c r="V691" i="7"/>
  <c r="W691" i="7" s="1"/>
  <c r="V520" i="7"/>
  <c r="W520" i="7" s="1"/>
  <c r="S368" i="7"/>
  <c r="T368" i="7" s="1"/>
  <c r="BH221" i="7"/>
  <c r="BH96" i="7"/>
  <c r="BH62" i="7"/>
  <c r="BH227" i="7"/>
  <c r="BH797" i="7"/>
  <c r="N467" i="7"/>
  <c r="O467" i="7" s="1"/>
  <c r="N483" i="7"/>
  <c r="O483" i="7" s="1"/>
  <c r="N50" i="7"/>
  <c r="O50" i="7" s="1"/>
  <c r="N231" i="7"/>
  <c r="O231" i="7" s="1"/>
  <c r="N378" i="7"/>
  <c r="O378" i="7" s="1"/>
  <c r="S185" i="7"/>
  <c r="T185" i="7" s="1"/>
  <c r="S163" i="7"/>
  <c r="T163" i="7" s="1"/>
  <c r="S489" i="7"/>
  <c r="T489" i="7" s="1"/>
  <c r="S675" i="7"/>
  <c r="T675" i="7" s="1"/>
  <c r="S712" i="7"/>
  <c r="T712" i="7" s="1"/>
  <c r="V421" i="7"/>
  <c r="W421" i="7" s="1"/>
  <c r="V566" i="7"/>
  <c r="W566" i="7" s="1"/>
  <c r="Y123" i="7"/>
  <c r="Z123" i="7" s="1"/>
  <c r="AB274" i="7"/>
  <c r="AC274" i="7" s="1"/>
  <c r="BH821" i="7"/>
  <c r="BH535" i="7"/>
  <c r="BH711" i="7"/>
  <c r="BH246" i="7"/>
  <c r="S254" i="7"/>
  <c r="T254" i="7" s="1"/>
  <c r="S177" i="7"/>
  <c r="T177" i="7" s="1"/>
  <c r="S238" i="7"/>
  <c r="T238" i="7" s="1"/>
  <c r="S232" i="7"/>
  <c r="T232" i="7" s="1"/>
  <c r="S845" i="7"/>
  <c r="T845" i="7" s="1"/>
  <c r="Y788" i="7"/>
  <c r="Z788" i="7" s="1"/>
  <c r="AB849" i="7"/>
  <c r="AC849" i="7" s="1"/>
  <c r="BH745" i="7"/>
  <c r="BH489" i="7"/>
  <c r="BH589" i="7"/>
  <c r="BH39" i="7"/>
  <c r="BH396" i="7"/>
  <c r="S869" i="7"/>
  <c r="T869" i="7" s="1"/>
  <c r="S530" i="7"/>
  <c r="T530" i="7" s="1"/>
  <c r="S608" i="7"/>
  <c r="T608" i="7" s="1"/>
  <c r="S420" i="7"/>
  <c r="T420" i="7" s="1"/>
  <c r="S382" i="7"/>
  <c r="T382" i="7" s="1"/>
  <c r="AB269" i="7"/>
  <c r="AC269" i="7" s="1"/>
  <c r="AB265" i="7"/>
  <c r="AC265" i="7" s="1"/>
  <c r="BH119" i="7"/>
  <c r="BH36" i="7"/>
  <c r="BH170" i="7"/>
  <c r="BH123" i="7"/>
  <c r="BH339" i="7"/>
  <c r="S119" i="7"/>
  <c r="T119" i="7" s="1"/>
  <c r="S299" i="7"/>
  <c r="T299" i="7" s="1"/>
  <c r="S793" i="7"/>
  <c r="T793" i="7" s="1"/>
  <c r="S709" i="7"/>
  <c r="T709" i="7" s="1"/>
  <c r="S490" i="7"/>
  <c r="T490" i="7" s="1"/>
  <c r="AB841" i="7"/>
  <c r="AC841" i="7" s="1"/>
  <c r="AB126" i="7"/>
  <c r="AC126" i="7" s="1"/>
  <c r="BH106" i="7"/>
  <c r="BH232" i="7"/>
  <c r="BH543" i="7"/>
  <c r="BH116" i="7"/>
  <c r="BH71" i="7"/>
  <c r="BH455" i="7"/>
  <c r="N651" i="7"/>
  <c r="O651" i="7" s="1"/>
  <c r="S412" i="7"/>
  <c r="T412" i="7" s="1"/>
  <c r="S697" i="7"/>
  <c r="T697" i="7" s="1"/>
  <c r="S624" i="7"/>
  <c r="T624" i="7" s="1"/>
  <c r="S840" i="7"/>
  <c r="T840" i="7" s="1"/>
  <c r="S633" i="7"/>
  <c r="T633" i="7" s="1"/>
  <c r="V860" i="7"/>
  <c r="W860" i="7" s="1"/>
  <c r="V697" i="7"/>
  <c r="W697" i="7" s="1"/>
  <c r="AB646" i="7"/>
  <c r="AC646" i="7" s="1"/>
  <c r="AB498" i="7"/>
  <c r="AC498" i="7" s="1"/>
  <c r="BH591" i="7"/>
  <c r="BH624" i="7"/>
  <c r="BH305" i="7"/>
  <c r="BH126" i="7"/>
  <c r="BH360" i="7"/>
  <c r="S811" i="7"/>
  <c r="T811" i="7" s="1"/>
  <c r="S556" i="7"/>
  <c r="T556" i="7" s="1"/>
  <c r="S394" i="7"/>
  <c r="T394" i="7" s="1"/>
  <c r="S260" i="7"/>
  <c r="T260" i="7" s="1"/>
  <c r="S120" i="7"/>
  <c r="T120" i="7" s="1"/>
  <c r="AB675" i="7"/>
  <c r="AC675" i="7" s="1"/>
  <c r="AE71" i="7"/>
  <c r="AF71" i="7" s="1"/>
  <c r="BH163" i="7"/>
  <c r="BH766" i="7"/>
  <c r="BH520" i="7"/>
  <c r="BH352" i="7"/>
  <c r="BH234" i="7"/>
  <c r="S850" i="7"/>
  <c r="T850" i="7" s="1"/>
  <c r="S36" i="7"/>
  <c r="T36" i="7" s="1"/>
  <c r="S488" i="7"/>
  <c r="T488" i="7" s="1"/>
  <c r="S171" i="7"/>
  <c r="T171" i="7" s="1"/>
  <c r="S557" i="7"/>
  <c r="T557" i="7" s="1"/>
  <c r="S248" i="7"/>
  <c r="T248" i="7" s="1"/>
  <c r="AB271" i="7"/>
  <c r="AC271" i="7" s="1"/>
  <c r="AE352" i="7"/>
  <c r="AF352" i="7" s="1"/>
  <c r="BH467" i="7"/>
  <c r="BH810" i="7"/>
  <c r="BH818" i="7"/>
  <c r="BH145" i="7"/>
  <c r="S804" i="7"/>
  <c r="T804" i="7" s="1"/>
  <c r="S543" i="7"/>
  <c r="T543" i="7" s="1"/>
  <c r="S849" i="7"/>
  <c r="T849" i="7" s="1"/>
  <c r="S626" i="7"/>
  <c r="T626" i="7" s="1"/>
  <c r="S659" i="7"/>
  <c r="T659" i="7" s="1"/>
  <c r="S358" i="7"/>
  <c r="T358" i="7" s="1"/>
  <c r="AB608" i="7"/>
  <c r="AC608" i="7" s="1"/>
  <c r="AH608" i="7"/>
  <c r="AI608" i="7" s="1"/>
  <c r="BH490" i="7"/>
  <c r="BH412" i="7"/>
  <c r="BH394" i="7"/>
  <c r="BH475" i="7"/>
  <c r="BH215" i="7"/>
  <c r="BH248" i="7"/>
  <c r="N793" i="7"/>
  <c r="O793" i="7" s="1"/>
  <c r="N358" i="7"/>
  <c r="O358" i="7" s="1"/>
  <c r="N781" i="7"/>
  <c r="O781" i="7" s="1"/>
  <c r="N689" i="7"/>
  <c r="O689" i="7" s="1"/>
  <c r="N866" i="7"/>
  <c r="O866" i="7" s="1"/>
  <c r="S492" i="7"/>
  <c r="T492" i="7" s="1"/>
  <c r="S153" i="7"/>
  <c r="T153" i="7" s="1"/>
  <c r="S641" i="7"/>
  <c r="T641" i="7" s="1"/>
  <c r="S274" i="7"/>
  <c r="T274" i="7" s="1"/>
  <c r="S537" i="7"/>
  <c r="T537" i="7" s="1"/>
  <c r="S638" i="7"/>
  <c r="T638" i="7" s="1"/>
  <c r="V639" i="7"/>
  <c r="W639" i="7" s="1"/>
  <c r="V467" i="7"/>
  <c r="W467" i="7" s="1"/>
  <c r="AB691" i="7"/>
  <c r="AC691" i="7" s="1"/>
  <c r="AL170" i="7"/>
  <c r="AM170" i="7" s="1"/>
  <c r="BH95" i="7"/>
  <c r="BH481" i="7"/>
  <c r="BH153" i="7"/>
  <c r="BH692" i="7"/>
  <c r="BH781" i="7"/>
  <c r="N490" i="7"/>
  <c r="O490" i="7" s="1"/>
  <c r="N638" i="7"/>
  <c r="O638" i="7" s="1"/>
  <c r="N71" i="7"/>
  <c r="O71" i="7" s="1"/>
  <c r="N266" i="7"/>
  <c r="O266" i="7" s="1"/>
  <c r="N406" i="7"/>
  <c r="O406" i="7" s="1"/>
  <c r="S467" i="7"/>
  <c r="T467" i="7" s="1"/>
  <c r="S617" i="7"/>
  <c r="T617" i="7" s="1"/>
  <c r="S841" i="7"/>
  <c r="T841" i="7" s="1"/>
  <c r="S769" i="7"/>
  <c r="T769" i="7" s="1"/>
  <c r="S751" i="7"/>
  <c r="T751" i="7" s="1"/>
  <c r="S31" i="7"/>
  <c r="T31" i="7" s="1"/>
  <c r="V307" i="7"/>
  <c r="W307" i="7" s="1"/>
  <c r="V232" i="7"/>
  <c r="W232" i="7" s="1"/>
  <c r="AB866" i="7"/>
  <c r="AC866" i="7" s="1"/>
  <c r="AL315" i="7"/>
  <c r="AM315" i="7" s="1"/>
  <c r="S821" i="7"/>
  <c r="T821" i="7" s="1"/>
  <c r="S99" i="7"/>
  <c r="T99" i="7" s="1"/>
  <c r="S41" i="7"/>
  <c r="T41" i="7" s="1"/>
  <c r="S603" i="7"/>
  <c r="T603" i="7" s="1"/>
  <c r="S247" i="7"/>
  <c r="T247" i="7" s="1"/>
  <c r="S235" i="7"/>
  <c r="T235" i="7" s="1"/>
  <c r="AB396" i="7"/>
  <c r="AC396" i="7" s="1"/>
  <c r="S460" i="7"/>
  <c r="T460" i="7" s="1"/>
  <c r="S810" i="7"/>
  <c r="T810" i="7" s="1"/>
  <c r="S431" i="7"/>
  <c r="T431" i="7" s="1"/>
  <c r="S307" i="7"/>
  <c r="T307" i="7" s="1"/>
  <c r="S246" i="7"/>
  <c r="T246" i="7" s="1"/>
  <c r="S23" i="7"/>
  <c r="T23" i="7" s="1"/>
  <c r="S646" i="7"/>
  <c r="T646" i="7" s="1"/>
  <c r="S728" i="7"/>
  <c r="T728" i="7" s="1"/>
  <c r="S78" i="7"/>
  <c r="T78" i="7" s="1"/>
  <c r="S517" i="7"/>
  <c r="T517" i="7" s="1"/>
  <c r="S538" i="7"/>
  <c r="T538" i="7" s="1"/>
  <c r="S455" i="7"/>
  <c r="T455" i="7" s="1"/>
  <c r="AB270" i="7"/>
  <c r="AC270" i="7" s="1"/>
  <c r="S594" i="7"/>
  <c r="T594" i="7" s="1"/>
  <c r="S694" i="7"/>
  <c r="T694" i="7" s="1"/>
  <c r="S123" i="7"/>
  <c r="T123" i="7" s="1"/>
  <c r="S562" i="7"/>
  <c r="T562" i="7" s="1"/>
  <c r="S355" i="7"/>
  <c r="T355" i="7" s="1"/>
  <c r="S797" i="7"/>
  <c r="T797" i="7" s="1"/>
  <c r="AB804" i="7"/>
  <c r="AC804" i="7" s="1"/>
  <c r="S326" i="7"/>
  <c r="T326" i="7" s="1"/>
  <c r="S453" i="7"/>
  <c r="T453" i="7" s="1"/>
  <c r="S750" i="7"/>
  <c r="T750" i="7" s="1"/>
  <c r="S227" i="7"/>
  <c r="T227" i="7" s="1"/>
  <c r="S175" i="7"/>
  <c r="T175" i="7" s="1"/>
  <c r="S862" i="7"/>
  <c r="T862" i="7" s="1"/>
  <c r="S860" i="7"/>
  <c r="T860" i="7" s="1"/>
  <c r="S94" i="7"/>
  <c r="T94" i="7" s="1"/>
  <c r="S239" i="7"/>
  <c r="T239" i="7" s="1"/>
  <c r="S77" i="7"/>
  <c r="T77" i="7" s="1"/>
  <c r="AB71" i="7"/>
  <c r="AC71" i="7" s="1"/>
  <c r="S126" i="7"/>
  <c r="T126" i="7" s="1"/>
  <c r="S481" i="7"/>
  <c r="T481" i="7" s="1"/>
  <c r="S206" i="7"/>
  <c r="T206" i="7" s="1"/>
  <c r="S599" i="7"/>
  <c r="T599" i="7" s="1"/>
  <c r="AB589" i="7"/>
  <c r="AC589" i="7" s="1"/>
  <c r="BH453" i="7"/>
  <c r="BH620" i="7"/>
  <c r="BH612" i="7"/>
  <c r="BH41" i="7"/>
  <c r="BH538" i="7"/>
  <c r="S112" i="7"/>
  <c r="T112" i="7" s="1"/>
  <c r="S16" i="7"/>
  <c r="T16" i="7" s="1"/>
  <c r="S815" i="7"/>
  <c r="T815" i="7" s="1"/>
  <c r="S620" i="7"/>
  <c r="T620" i="7" s="1"/>
  <c r="S52" i="7"/>
  <c r="T52" i="7" s="1"/>
  <c r="Y543" i="7"/>
  <c r="Z543" i="7" s="1"/>
  <c r="AB305" i="7"/>
  <c r="AC305" i="7" s="1"/>
  <c r="Y556" i="7"/>
  <c r="Z556" i="7" s="1"/>
  <c r="AL270" i="7"/>
  <c r="AM270" i="7" s="1"/>
  <c r="Y99" i="7"/>
  <c r="Z99" i="7" s="1"/>
  <c r="AL211" i="7"/>
  <c r="AM211" i="7" s="1"/>
  <c r="Y692" i="7"/>
  <c r="Z692" i="7" s="1"/>
  <c r="AL700" i="7"/>
  <c r="AM700" i="7" s="1"/>
  <c r="Y849" i="7"/>
  <c r="Z849" i="7" s="1"/>
  <c r="AL481" i="7"/>
  <c r="AM481" i="7" s="1"/>
  <c r="Y641" i="7"/>
  <c r="Z641" i="7" s="1"/>
  <c r="AL821" i="7"/>
  <c r="AM821" i="7" s="1"/>
  <c r="Y841" i="7"/>
  <c r="Z841" i="7" s="1"/>
  <c r="AL557" i="7"/>
  <c r="AM557" i="7" s="1"/>
  <c r="Y339" i="7"/>
  <c r="Z339" i="7" s="1"/>
  <c r="N120" i="7"/>
  <c r="O120" i="7" s="1"/>
  <c r="N468" i="7"/>
  <c r="O468" i="7" s="1"/>
  <c r="AB447" i="7"/>
  <c r="AC447" i="7" s="1"/>
  <c r="AB300" i="7"/>
  <c r="AC300" i="7" s="1"/>
  <c r="BH247" i="7"/>
  <c r="N301" i="7"/>
  <c r="O301" i="7" s="1"/>
  <c r="N463" i="7"/>
  <c r="O463" i="7" s="1"/>
  <c r="S650" i="7"/>
  <c r="T650" i="7" s="1"/>
  <c r="S625" i="7"/>
  <c r="T625" i="7" s="1"/>
  <c r="V537" i="7"/>
  <c r="W537" i="7" s="1"/>
  <c r="V315" i="7"/>
  <c r="W315" i="7" s="1"/>
  <c r="AB840" i="7"/>
  <c r="AC840" i="7" s="1"/>
  <c r="AB145" i="7"/>
  <c r="AC145" i="7" s="1"/>
  <c r="AE176" i="7"/>
  <c r="AF176" i="7" s="1"/>
  <c r="V720" i="7"/>
  <c r="W720" i="7" s="1"/>
  <c r="V31" i="7"/>
  <c r="W31" i="7" s="1"/>
  <c r="V126" i="7"/>
  <c r="W126" i="7" s="1"/>
  <c r="V845" i="7"/>
  <c r="W845" i="7" s="1"/>
  <c r="V638" i="7"/>
  <c r="W638" i="7" s="1"/>
  <c r="V360" i="7"/>
  <c r="W360" i="7" s="1"/>
  <c r="Y170" i="7"/>
  <c r="Z170" i="7" s="1"/>
  <c r="Y355" i="7"/>
  <c r="Z355" i="7" s="1"/>
  <c r="AB821" i="7"/>
  <c r="AC821" i="7" s="1"/>
  <c r="AB818" i="7"/>
  <c r="AC818" i="7" s="1"/>
  <c r="AB248" i="7"/>
  <c r="AC248" i="7" s="1"/>
  <c r="AE126" i="7"/>
  <c r="AF126" i="7" s="1"/>
  <c r="AH850" i="7"/>
  <c r="AI850" i="7" s="1"/>
  <c r="AL234" i="7"/>
  <c r="AM234" i="7" s="1"/>
  <c r="BH859" i="7"/>
  <c r="BH23" i="7"/>
  <c r="N788" i="7"/>
  <c r="O788" i="7" s="1"/>
  <c r="N821" i="7"/>
  <c r="O821" i="7" s="1"/>
  <c r="N336" i="7"/>
  <c r="O336" i="7" s="1"/>
  <c r="N818" i="7"/>
  <c r="O818" i="7" s="1"/>
  <c r="N269" i="7"/>
  <c r="O269" i="7" s="1"/>
  <c r="N786" i="7"/>
  <c r="O786" i="7" s="1"/>
  <c r="N498" i="7"/>
  <c r="O498" i="7" s="1"/>
  <c r="N534" i="7"/>
  <c r="O534" i="7" s="1"/>
  <c r="N738" i="7"/>
  <c r="O738" i="7" s="1"/>
  <c r="V314" i="7"/>
  <c r="W314" i="7" s="1"/>
  <c r="V655" i="7"/>
  <c r="W655" i="7" s="1"/>
  <c r="V862" i="7"/>
  <c r="W862" i="7" s="1"/>
  <c r="V382" i="7"/>
  <c r="W382" i="7" s="1"/>
  <c r="V235" i="7"/>
  <c r="W235" i="7" s="1"/>
  <c r="V23" i="7"/>
  <c r="W23" i="7" s="1"/>
  <c r="Y63" i="7"/>
  <c r="Z63" i="7" s="1"/>
  <c r="Y10" i="7"/>
  <c r="Z10" i="7" s="1"/>
  <c r="AB394" i="7"/>
  <c r="AC394" i="7" s="1"/>
  <c r="AB206" i="7"/>
  <c r="AC206" i="7" s="1"/>
  <c r="AB520" i="7"/>
  <c r="AC520" i="7" s="1"/>
  <c r="AE650" i="7"/>
  <c r="AF650" i="7" s="1"/>
  <c r="AH788" i="7"/>
  <c r="AI788" i="7" s="1"/>
  <c r="AL638" i="7"/>
  <c r="AM638" i="7" s="1"/>
  <c r="BH93" i="7"/>
  <c r="BH655" i="7"/>
  <c r="N119" i="7"/>
  <c r="O119" i="7" s="1"/>
  <c r="N321" i="7"/>
  <c r="O321" i="7" s="1"/>
  <c r="N455" i="7"/>
  <c r="O455" i="7" s="1"/>
  <c r="N126" i="7"/>
  <c r="O126" i="7" s="1"/>
  <c r="N849" i="7"/>
  <c r="O849" i="7" s="1"/>
  <c r="N171" i="7"/>
  <c r="O171" i="7" s="1"/>
  <c r="N360" i="7"/>
  <c r="O360" i="7" s="1"/>
  <c r="N69" i="7"/>
  <c r="O69" i="7" s="1"/>
  <c r="N861" i="7"/>
  <c r="O861" i="7" s="1"/>
  <c r="V689" i="7"/>
  <c r="W689" i="7" s="1"/>
  <c r="V659" i="7"/>
  <c r="W659" i="7" s="1"/>
  <c r="V69" i="7"/>
  <c r="W69" i="7" s="1"/>
  <c r="V633" i="7"/>
  <c r="W633" i="7" s="1"/>
  <c r="V732" i="7"/>
  <c r="W732" i="7" s="1"/>
  <c r="V355" i="7"/>
  <c r="W355" i="7" s="1"/>
  <c r="Y300" i="7"/>
  <c r="Z300" i="7" s="1"/>
  <c r="Y95" i="7"/>
  <c r="Z95" i="7" s="1"/>
  <c r="AB684" i="7"/>
  <c r="AC684" i="7" s="1"/>
  <c r="AB185" i="7"/>
  <c r="AC185" i="7" s="1"/>
  <c r="AB654" i="7"/>
  <c r="AC654" i="7" s="1"/>
  <c r="AE859" i="7"/>
  <c r="AF859" i="7" s="1"/>
  <c r="AH246" i="7"/>
  <c r="AI246" i="7" s="1"/>
  <c r="AL77" i="7"/>
  <c r="AM77" i="7" s="1"/>
  <c r="V674" i="7"/>
  <c r="W674" i="7" s="1"/>
  <c r="V336" i="7"/>
  <c r="W336" i="7" s="1"/>
  <c r="V675" i="7"/>
  <c r="W675" i="7" s="1"/>
  <c r="V77" i="7"/>
  <c r="W77" i="7" s="1"/>
  <c r="V455" i="7"/>
  <c r="W455" i="7" s="1"/>
  <c r="V253" i="7"/>
  <c r="W253" i="7" s="1"/>
  <c r="Y769" i="7"/>
  <c r="Z769" i="7" s="1"/>
  <c r="Y694" i="7"/>
  <c r="Z694" i="7" s="1"/>
  <c r="AB170" i="7"/>
  <c r="AC170" i="7" s="1"/>
  <c r="AB199" i="7"/>
  <c r="AC199" i="7" s="1"/>
  <c r="AB625" i="7"/>
  <c r="AC625" i="7" s="1"/>
  <c r="AE476" i="7"/>
  <c r="AF476" i="7" s="1"/>
  <c r="AH641" i="7"/>
  <c r="AI641" i="7" s="1"/>
  <c r="AL599" i="7"/>
  <c r="AM599" i="7" s="1"/>
  <c r="BH265" i="7"/>
  <c r="BH324" i="7"/>
  <c r="BH31" i="7"/>
  <c r="N94" i="7"/>
  <c r="O94" i="7" s="1"/>
  <c r="N218" i="7"/>
  <c r="O218" i="7" s="1"/>
  <c r="N355" i="7"/>
  <c r="O355" i="7" s="1"/>
  <c r="N176" i="7"/>
  <c r="O176" i="7" s="1"/>
  <c r="N692" i="7"/>
  <c r="O692" i="7" s="1"/>
  <c r="N556" i="7"/>
  <c r="O556" i="7" s="1"/>
  <c r="N732" i="7"/>
  <c r="O732" i="7" s="1"/>
  <c r="N803" i="7"/>
  <c r="O803" i="7" s="1"/>
  <c r="N766" i="7"/>
  <c r="O766" i="7" s="1"/>
  <c r="V395" i="7"/>
  <c r="W395" i="7" s="1"/>
  <c r="V396" i="7"/>
  <c r="W396" i="7" s="1"/>
  <c r="V59" i="7"/>
  <c r="W59" i="7" s="1"/>
  <c r="V10" i="7"/>
  <c r="W10" i="7" s="1"/>
  <c r="V420" i="7"/>
  <c r="W420" i="7" s="1"/>
  <c r="V199" i="7"/>
  <c r="W199" i="7" s="1"/>
  <c r="Y41" i="7"/>
  <c r="Z41" i="7" s="1"/>
  <c r="Y654" i="7"/>
  <c r="Z654" i="7" s="1"/>
  <c r="AB463" i="7"/>
  <c r="AC463" i="7" s="1"/>
  <c r="AB175" i="7"/>
  <c r="AC175" i="7" s="1"/>
  <c r="AB712" i="7"/>
  <c r="AC712" i="7" s="1"/>
  <c r="AE145" i="7"/>
  <c r="AF145" i="7" s="1"/>
  <c r="AH408" i="7"/>
  <c r="AI408" i="7" s="1"/>
  <c r="AQ315" i="7"/>
  <c r="AO315" i="7" s="1"/>
  <c r="BH239" i="7"/>
  <c r="BH199" i="7"/>
  <c r="BH498" i="7"/>
  <c r="N590" i="7"/>
  <c r="O590" i="7" s="1"/>
  <c r="N608" i="7"/>
  <c r="O608" i="7" s="1"/>
  <c r="N315" i="7"/>
  <c r="O315" i="7" s="1"/>
  <c r="N862" i="7"/>
  <c r="O862" i="7" s="1"/>
  <c r="N475" i="7"/>
  <c r="O475" i="7" s="1"/>
  <c r="N221" i="7"/>
  <c r="O221" i="7" s="1"/>
  <c r="N23" i="7"/>
  <c r="O23" i="7" s="1"/>
  <c r="N227" i="7"/>
  <c r="O227" i="7" s="1"/>
  <c r="V684" i="7"/>
  <c r="W684" i="7" s="1"/>
  <c r="V538" i="7"/>
  <c r="W538" i="7" s="1"/>
  <c r="V41" i="7"/>
  <c r="W41" i="7" s="1"/>
  <c r="V712" i="7"/>
  <c r="W712" i="7" s="1"/>
  <c r="V456" i="7"/>
  <c r="W456" i="7" s="1"/>
  <c r="V662" i="7"/>
  <c r="W662" i="7" s="1"/>
  <c r="Y265" i="7"/>
  <c r="Z265" i="7" s="1"/>
  <c r="Y52" i="7"/>
  <c r="Z52" i="7" s="1"/>
  <c r="AB692" i="7"/>
  <c r="AC692" i="7" s="1"/>
  <c r="AB315" i="7"/>
  <c r="AC315" i="7" s="1"/>
  <c r="AB599" i="7"/>
  <c r="AC599" i="7" s="1"/>
  <c r="AE301" i="7"/>
  <c r="AF301" i="7" s="1"/>
  <c r="AL163" i="7"/>
  <c r="AM163" i="7" s="1"/>
  <c r="AQ675" i="7"/>
  <c r="AO675" i="7" s="1"/>
  <c r="BH594" i="7"/>
  <c r="BH413" i="7"/>
  <c r="BH392" i="7"/>
  <c r="N211" i="7"/>
  <c r="O211" i="7" s="1"/>
  <c r="N96" i="7"/>
  <c r="O96" i="7" s="1"/>
  <c r="N486" i="7"/>
  <c r="O486" i="7" s="1"/>
  <c r="N709" i="7"/>
  <c r="O709" i="7" s="1"/>
  <c r="N480" i="7"/>
  <c r="O480" i="7" s="1"/>
  <c r="N447" i="7"/>
  <c r="O447" i="7" s="1"/>
  <c r="N52" i="7"/>
  <c r="O52" i="7" s="1"/>
  <c r="N247" i="7"/>
  <c r="O247" i="7" s="1"/>
  <c r="N646" i="7"/>
  <c r="O646" i="7" s="1"/>
  <c r="V786" i="7"/>
  <c r="W786" i="7" s="1"/>
  <c r="V450" i="7"/>
  <c r="W450" i="7" s="1"/>
  <c r="V257" i="7"/>
  <c r="W257" i="7" s="1"/>
  <c r="V265" i="7"/>
  <c r="W265" i="7" s="1"/>
  <c r="V413" i="7"/>
  <c r="W413" i="7" s="1"/>
  <c r="Y163" i="7"/>
  <c r="Z163" i="7" s="1"/>
  <c r="Y866" i="7"/>
  <c r="Z866" i="7" s="1"/>
  <c r="Y712" i="7"/>
  <c r="Z712" i="7" s="1"/>
  <c r="AB227" i="7"/>
  <c r="AC227" i="7" s="1"/>
  <c r="AB231" i="7"/>
  <c r="AC231" i="7" s="1"/>
  <c r="AE711" i="7"/>
  <c r="AF711" i="7" s="1"/>
  <c r="AE860" i="7"/>
  <c r="AF860" i="7" s="1"/>
  <c r="AL683" i="7"/>
  <c r="AM683" i="7" s="1"/>
  <c r="AQ468" i="7"/>
  <c r="AO468" i="7" s="1"/>
  <c r="BH59" i="7"/>
  <c r="BH260" i="7"/>
  <c r="BH638" i="7"/>
  <c r="N232" i="7"/>
  <c r="O232" i="7" s="1"/>
  <c r="N36" i="7"/>
  <c r="O36" i="7" s="1"/>
  <c r="N557" i="7"/>
  <c r="O557" i="7" s="1"/>
  <c r="N456" i="7"/>
  <c r="O456" i="7" s="1"/>
  <c r="N675" i="7"/>
  <c r="O675" i="7" s="1"/>
  <c r="N842" i="7"/>
  <c r="O842" i="7" s="1"/>
  <c r="N712" i="7"/>
  <c r="O712" i="7" s="1"/>
  <c r="N396" i="7"/>
  <c r="O396" i="7" s="1"/>
  <c r="N288" i="7"/>
  <c r="O288" i="7" s="1"/>
  <c r="V321" i="7"/>
  <c r="W321" i="7" s="1"/>
  <c r="V431" i="7"/>
  <c r="W431" i="7" s="1"/>
  <c r="V305" i="7"/>
  <c r="W305" i="7" s="1"/>
  <c r="V624" i="7"/>
  <c r="W624" i="7" s="1"/>
  <c r="V269" i="7"/>
  <c r="W269" i="7" s="1"/>
  <c r="Y535" i="7"/>
  <c r="Z535" i="7" s="1"/>
  <c r="Y861" i="7"/>
  <c r="Z861" i="7" s="1"/>
  <c r="AB720" i="7"/>
  <c r="AC720" i="7" s="1"/>
  <c r="AB534" i="7"/>
  <c r="AC534" i="7" s="1"/>
  <c r="AB395" i="7"/>
  <c r="AC395" i="7" s="1"/>
  <c r="AE232" i="7"/>
  <c r="AF232" i="7" s="1"/>
  <c r="AE378" i="7"/>
  <c r="AF378" i="7" s="1"/>
  <c r="AL300" i="7"/>
  <c r="AM300" i="7" s="1"/>
  <c r="AQ594" i="7"/>
  <c r="AO594" i="7" s="1"/>
  <c r="BH431" i="7"/>
  <c r="BH476" i="7"/>
  <c r="BH348" i="7"/>
  <c r="N811" i="7"/>
  <c r="O811" i="7" s="1"/>
  <c r="N697" i="7"/>
  <c r="O697" i="7" s="1"/>
  <c r="N214" i="7"/>
  <c r="O214" i="7" s="1"/>
  <c r="N450" i="7"/>
  <c r="O450" i="7" s="1"/>
  <c r="N78" i="7"/>
  <c r="O78" i="7" s="1"/>
  <c r="N300" i="7"/>
  <c r="O300" i="7" s="1"/>
  <c r="N654" i="7"/>
  <c r="O654" i="7" s="1"/>
  <c r="N792" i="7"/>
  <c r="O792" i="7" s="1"/>
  <c r="N460" i="7"/>
  <c r="O460" i="7" s="1"/>
  <c r="V299" i="7"/>
  <c r="W299" i="7" s="1"/>
  <c r="V594" i="7"/>
  <c r="W594" i="7" s="1"/>
  <c r="V301" i="7"/>
  <c r="W301" i="7" s="1"/>
  <c r="V793" i="7"/>
  <c r="W793" i="7" s="1"/>
  <c r="V488" i="7"/>
  <c r="W488" i="7" s="1"/>
  <c r="Y78" i="7"/>
  <c r="Z78" i="7" s="1"/>
  <c r="Y617" i="7"/>
  <c r="Z617" i="7" s="1"/>
  <c r="AB535" i="7"/>
  <c r="AC535" i="7" s="1"/>
  <c r="AB215" i="7"/>
  <c r="AC215" i="7" s="1"/>
  <c r="AB99" i="7"/>
  <c r="AC99" i="7" s="1"/>
  <c r="AE94" i="7"/>
  <c r="AF94" i="7" s="1"/>
  <c r="AE39" i="7"/>
  <c r="AF39" i="7" s="1"/>
  <c r="AL538" i="7"/>
  <c r="AM538" i="7" s="1"/>
  <c r="AQ486" i="7"/>
  <c r="AO486" i="7" s="1"/>
  <c r="BH326" i="7"/>
  <c r="BH483" i="7"/>
  <c r="BH358" i="7"/>
  <c r="N543" i="7"/>
  <c r="O543" i="7" s="1"/>
  <c r="N33" i="7"/>
  <c r="O33" i="7" s="1"/>
  <c r="N248" i="7"/>
  <c r="O248" i="7" s="1"/>
  <c r="N566" i="7"/>
  <c r="O566" i="7" s="1"/>
  <c r="N326" i="7"/>
  <c r="O326" i="7" s="1"/>
  <c r="N63" i="7"/>
  <c r="O63" i="7" s="1"/>
  <c r="N453" i="7"/>
  <c r="O453" i="7" s="1"/>
  <c r="N175" i="7"/>
  <c r="O175" i="7" s="1"/>
  <c r="N257" i="7"/>
  <c r="O257" i="7" s="1"/>
  <c r="V96" i="7"/>
  <c r="W96" i="7" s="1"/>
  <c r="V711" i="7"/>
  <c r="W711" i="7" s="1"/>
  <c r="V348" i="7"/>
  <c r="W348" i="7" s="1"/>
  <c r="V608" i="7"/>
  <c r="W608" i="7" s="1"/>
  <c r="V463" i="7"/>
  <c r="W463" i="7" s="1"/>
  <c r="Y104" i="7"/>
  <c r="Z104" i="7" s="1"/>
  <c r="Y395" i="7"/>
  <c r="Z395" i="7" s="1"/>
  <c r="AB810" i="7"/>
  <c r="AC810" i="7" s="1"/>
  <c r="AB750" i="7"/>
  <c r="AC750" i="7" s="1"/>
  <c r="AB62" i="7"/>
  <c r="AC62" i="7" s="1"/>
  <c r="AE590" i="7"/>
  <c r="AF590" i="7" s="1"/>
  <c r="AE594" i="7"/>
  <c r="AF594" i="7" s="1"/>
  <c r="AL412" i="7"/>
  <c r="AM412" i="7" s="1"/>
  <c r="AE543" i="7"/>
  <c r="AF543" i="7" s="1"/>
  <c r="AE326" i="7"/>
  <c r="AF326" i="7" s="1"/>
  <c r="AE624" i="7"/>
  <c r="AF624" i="7" s="1"/>
  <c r="AE675" i="7"/>
  <c r="AF675" i="7" s="1"/>
  <c r="Y119" i="7"/>
  <c r="Z119" i="7" s="1"/>
  <c r="Y269" i="7"/>
  <c r="Z269" i="7" s="1"/>
  <c r="AE266" i="7"/>
  <c r="AF266" i="7" s="1"/>
  <c r="AE123" i="7"/>
  <c r="AF123" i="7" s="1"/>
  <c r="AE215" i="7"/>
  <c r="AF215" i="7" s="1"/>
  <c r="AE247" i="7"/>
  <c r="AF247" i="7" s="1"/>
  <c r="Y738" i="7"/>
  <c r="Z738" i="7" s="1"/>
  <c r="Y460" i="7"/>
  <c r="Z460" i="7" s="1"/>
  <c r="AE206" i="7"/>
  <c r="AF206" i="7" s="1"/>
  <c r="AE77" i="7"/>
  <c r="AF77" i="7" s="1"/>
  <c r="Y227" i="7"/>
  <c r="Z227" i="7" s="1"/>
  <c r="Y662" i="7"/>
  <c r="Z662" i="7" s="1"/>
  <c r="AE175" i="7"/>
  <c r="AF175" i="7" s="1"/>
  <c r="AE382" i="7"/>
  <c r="AF382" i="7" s="1"/>
  <c r="V214" i="7"/>
  <c r="W214" i="7" s="1"/>
  <c r="V460" i="7"/>
  <c r="W460" i="7" s="1"/>
  <c r="Y266" i="7"/>
  <c r="Z266" i="7" s="1"/>
  <c r="Y537" i="7"/>
  <c r="Z537" i="7" s="1"/>
  <c r="AE468" i="7"/>
  <c r="AF468" i="7" s="1"/>
  <c r="AH700" i="7"/>
  <c r="AI700" i="7" s="1"/>
  <c r="AL842" i="7"/>
  <c r="AM842" i="7" s="1"/>
  <c r="V612" i="7"/>
  <c r="W612" i="7" s="1"/>
  <c r="V700" i="7"/>
  <c r="W700" i="7" s="1"/>
  <c r="V185" i="7"/>
  <c r="W185" i="7" s="1"/>
  <c r="V106" i="7"/>
  <c r="W106" i="7" s="1"/>
  <c r="V248" i="7"/>
  <c r="W248" i="7" s="1"/>
  <c r="V300" i="7"/>
  <c r="W300" i="7" s="1"/>
  <c r="Y651" i="7"/>
  <c r="Z651" i="7" s="1"/>
  <c r="Y336" i="7"/>
  <c r="Z336" i="7" s="1"/>
  <c r="AB738" i="7"/>
  <c r="AC738" i="7" s="1"/>
  <c r="AB480" i="7"/>
  <c r="AC480" i="7" s="1"/>
  <c r="AB392" i="7"/>
  <c r="AC392" i="7" s="1"/>
  <c r="AE69" i="7"/>
  <c r="AF69" i="7" s="1"/>
  <c r="AH691" i="7"/>
  <c r="AI691" i="7" s="1"/>
  <c r="AL750" i="7"/>
  <c r="AM750" i="7" s="1"/>
  <c r="BH270" i="7"/>
  <c r="BH238" i="7"/>
  <c r="BH395" i="7"/>
  <c r="BH378" i="7"/>
  <c r="BH257" i="7"/>
  <c r="BH468" i="7"/>
  <c r="BH104" i="7"/>
  <c r="BH636" i="7"/>
  <c r="BH751" i="7"/>
  <c r="BH776" i="7"/>
  <c r="S861" i="7"/>
  <c r="T861" i="7" s="1"/>
  <c r="S421" i="7"/>
  <c r="T421" i="7" s="1"/>
  <c r="S257" i="7"/>
  <c r="T257" i="7" s="1"/>
  <c r="S786" i="7"/>
  <c r="T786" i="7" s="1"/>
  <c r="S104" i="7"/>
  <c r="T104" i="7" s="1"/>
  <c r="S674" i="7"/>
  <c r="T674" i="7" s="1"/>
  <c r="S59" i="7"/>
  <c r="T59" i="7" s="1"/>
  <c r="S776" i="7"/>
  <c r="T776" i="7" s="1"/>
  <c r="S566" i="7"/>
  <c r="T566" i="7" s="1"/>
  <c r="S106" i="7"/>
  <c r="T106" i="7" s="1"/>
  <c r="S315" i="7"/>
  <c r="T315" i="7" s="1"/>
  <c r="V861" i="7"/>
  <c r="W861" i="7" s="1"/>
  <c r="V270" i="7"/>
  <c r="W270" i="7" s="1"/>
  <c r="V251" i="7"/>
  <c r="W251" i="7" s="1"/>
  <c r="V378" i="7"/>
  <c r="W378" i="7" s="1"/>
  <c r="V50" i="7"/>
  <c r="W50" i="7" s="1"/>
  <c r="V650" i="7"/>
  <c r="W650" i="7" s="1"/>
  <c r="V62" i="7"/>
  <c r="W62" i="7" s="1"/>
  <c r="V221" i="7"/>
  <c r="W221" i="7" s="1"/>
  <c r="V406" i="7"/>
  <c r="W406" i="7" s="1"/>
  <c r="V534" i="7"/>
  <c r="W534" i="7" s="1"/>
  <c r="Y530" i="7"/>
  <c r="Z530" i="7" s="1"/>
  <c r="Y468" i="7"/>
  <c r="Z468" i="7" s="1"/>
  <c r="Y33" i="7"/>
  <c r="Z33" i="7" s="1"/>
  <c r="Y650" i="7"/>
  <c r="Z650" i="7" s="1"/>
  <c r="Y248" i="7"/>
  <c r="Z248" i="7" s="1"/>
  <c r="AB455" i="7"/>
  <c r="AC455" i="7" s="1"/>
  <c r="AB176" i="7"/>
  <c r="AC176" i="7" s="1"/>
  <c r="AB119" i="7"/>
  <c r="AC119" i="7" s="1"/>
  <c r="AB850" i="7"/>
  <c r="AC850" i="7" s="1"/>
  <c r="AB352" i="7"/>
  <c r="AC352" i="7" s="1"/>
  <c r="AE270" i="7"/>
  <c r="AF270" i="7" s="1"/>
  <c r="AE355" i="7"/>
  <c r="AF355" i="7" s="1"/>
  <c r="AE691" i="7"/>
  <c r="AF691" i="7" s="1"/>
  <c r="AE455" i="7"/>
  <c r="AF455" i="7" s="1"/>
  <c r="AH781" i="7"/>
  <c r="AI781" i="7" s="1"/>
  <c r="AL41" i="7"/>
  <c r="AM41" i="7" s="1"/>
  <c r="AL530" i="7"/>
  <c r="AM530" i="7" s="1"/>
  <c r="AQ99" i="7"/>
  <c r="AO99" i="7" s="1"/>
  <c r="BH33" i="7"/>
  <c r="BH697" i="7"/>
  <c r="BH266" i="7"/>
  <c r="BH63" i="7"/>
  <c r="BH841" i="7"/>
  <c r="BH78" i="7"/>
  <c r="BH650" i="7"/>
  <c r="BH840" i="7"/>
  <c r="BH732" i="7"/>
  <c r="BH214" i="7"/>
  <c r="N481" i="7"/>
  <c r="O481" i="7" s="1"/>
  <c r="N412" i="7"/>
  <c r="O412" i="7" s="1"/>
  <c r="N299" i="7"/>
  <c r="O299" i="7" s="1"/>
  <c r="N659" i="7"/>
  <c r="O659" i="7" s="1"/>
  <c r="N93" i="7"/>
  <c r="O93" i="7" s="1"/>
  <c r="N39" i="7"/>
  <c r="O39" i="7" s="1"/>
  <c r="N810" i="7"/>
  <c r="O810" i="7" s="1"/>
  <c r="N845" i="7"/>
  <c r="O845" i="7" s="1"/>
  <c r="N347" i="7"/>
  <c r="O347" i="7" s="1"/>
  <c r="N123" i="7"/>
  <c r="O123" i="7" s="1"/>
  <c r="N116" i="7"/>
  <c r="O116" i="7" s="1"/>
  <c r="S395" i="7"/>
  <c r="T395" i="7" s="1"/>
  <c r="S96" i="7"/>
  <c r="T96" i="7" s="1"/>
  <c r="S639" i="7"/>
  <c r="T639" i="7" s="1"/>
  <c r="S266" i="7"/>
  <c r="T266" i="7" s="1"/>
  <c r="S93" i="7"/>
  <c r="T93" i="7" s="1"/>
  <c r="S783" i="7"/>
  <c r="T783" i="7" s="1"/>
  <c r="S468" i="7"/>
  <c r="T468" i="7" s="1"/>
  <c r="S301" i="7"/>
  <c r="T301" i="7" s="1"/>
  <c r="S253" i="7"/>
  <c r="T253" i="7" s="1"/>
  <c r="S10" i="7"/>
  <c r="T10" i="7" s="1"/>
  <c r="S456" i="7"/>
  <c r="T456" i="7" s="1"/>
  <c r="V153" i="7"/>
  <c r="W153" i="7" s="1"/>
  <c r="V821" i="7"/>
  <c r="W821" i="7" s="1"/>
  <c r="V260" i="7"/>
  <c r="W260" i="7" s="1"/>
  <c r="V116" i="7"/>
  <c r="W116" i="7" s="1"/>
  <c r="V447" i="7"/>
  <c r="W447" i="7" s="1"/>
  <c r="V215" i="7"/>
  <c r="W215" i="7" s="1"/>
  <c r="V486" i="7"/>
  <c r="W486" i="7" s="1"/>
  <c r="V481" i="7"/>
  <c r="W481" i="7" s="1"/>
  <c r="V271" i="7"/>
  <c r="W271" i="7" s="1"/>
  <c r="V803" i="7"/>
  <c r="W803" i="7" s="1"/>
  <c r="Y36" i="7"/>
  <c r="Z36" i="7" s="1"/>
  <c r="Y818" i="7"/>
  <c r="Z818" i="7" s="1"/>
  <c r="Y211" i="7"/>
  <c r="Z211" i="7" s="1"/>
  <c r="Y406" i="7"/>
  <c r="Z406" i="7" s="1"/>
  <c r="Y234" i="7"/>
  <c r="Z234" i="7" s="1"/>
  <c r="AB31" i="7"/>
  <c r="AC31" i="7" s="1"/>
  <c r="AB36" i="7"/>
  <c r="AC36" i="7" s="1"/>
  <c r="AB412" i="7"/>
  <c r="AC412" i="7" s="1"/>
  <c r="AB745" i="7"/>
  <c r="AC745" i="7" s="1"/>
  <c r="AB662" i="7"/>
  <c r="AC662" i="7" s="1"/>
  <c r="AE589" i="7"/>
  <c r="AF589" i="7" s="1"/>
  <c r="AE537" i="7"/>
  <c r="AF537" i="7" s="1"/>
  <c r="AE492" i="7"/>
  <c r="AF492" i="7" s="1"/>
  <c r="AE659" i="7"/>
  <c r="AF659" i="7" s="1"/>
  <c r="AH468" i="7"/>
  <c r="AI468" i="7" s="1"/>
  <c r="AL59" i="7"/>
  <c r="AM59" i="7" s="1"/>
  <c r="AL476" i="7"/>
  <c r="AM476" i="7" s="1"/>
  <c r="AQ786" i="7"/>
  <c r="AO786" i="7" s="1"/>
  <c r="BH860" i="7"/>
  <c r="BH218" i="7"/>
  <c r="BH674" i="7"/>
  <c r="BH463" i="7"/>
  <c r="BH460" i="7"/>
  <c r="BH675" i="7"/>
  <c r="BH185" i="7"/>
  <c r="BH566" i="7"/>
  <c r="BH537" i="7"/>
  <c r="BH557" i="7"/>
  <c r="S651" i="7"/>
  <c r="T651" i="7" s="1"/>
  <c r="S321" i="7"/>
  <c r="T321" i="7" s="1"/>
  <c r="S39" i="7"/>
  <c r="T39" i="7" s="1"/>
  <c r="S314" i="7"/>
  <c r="T314" i="7" s="1"/>
  <c r="S270" i="7"/>
  <c r="T270" i="7" s="1"/>
  <c r="S720" i="7"/>
  <c r="T720" i="7" s="1"/>
  <c r="S69" i="7"/>
  <c r="T69" i="7" s="1"/>
  <c r="S145" i="7"/>
  <c r="T145" i="7" s="1"/>
  <c r="S483" i="7"/>
  <c r="T483" i="7" s="1"/>
  <c r="S234" i="7"/>
  <c r="T234" i="7" s="1"/>
  <c r="S636" i="7"/>
  <c r="T636" i="7" s="1"/>
  <c r="V556" i="7"/>
  <c r="W556" i="7" s="1"/>
  <c r="V590" i="7"/>
  <c r="W590" i="7" s="1"/>
  <c r="V866" i="7"/>
  <c r="W866" i="7" s="1"/>
  <c r="V231" i="7"/>
  <c r="W231" i="7" s="1"/>
  <c r="V63" i="7"/>
  <c r="W63" i="7" s="1"/>
  <c r="V71" i="7"/>
  <c r="W71" i="7" s="1"/>
  <c r="V651" i="7"/>
  <c r="W651" i="7" s="1"/>
  <c r="V368" i="7"/>
  <c r="W368" i="7" s="1"/>
  <c r="V352" i="7"/>
  <c r="W352" i="7" s="1"/>
  <c r="V39" i="7"/>
  <c r="W39" i="7" s="1"/>
  <c r="Y689" i="7"/>
  <c r="Z689" i="7" s="1"/>
  <c r="Y750" i="7"/>
  <c r="Z750" i="7" s="1"/>
  <c r="Y368" i="7"/>
  <c r="Z368" i="7" s="1"/>
  <c r="Y93" i="7"/>
  <c r="Z93" i="7" s="1"/>
  <c r="Y392" i="7"/>
  <c r="Z392" i="7" s="1"/>
  <c r="AB234" i="7"/>
  <c r="AC234" i="7" s="1"/>
  <c r="AB281" i="7"/>
  <c r="AC281" i="7" s="1"/>
  <c r="AB177" i="7"/>
  <c r="AC177" i="7" s="1"/>
  <c r="AB211" i="7"/>
  <c r="AC211" i="7" s="1"/>
  <c r="AB650" i="7"/>
  <c r="AC650" i="7" s="1"/>
  <c r="AE408" i="7"/>
  <c r="AF408" i="7" s="1"/>
  <c r="AE36" i="7"/>
  <c r="AF36" i="7" s="1"/>
  <c r="AE412" i="7"/>
  <c r="AF412" i="7" s="1"/>
  <c r="AE235" i="7"/>
  <c r="AF235" i="7" s="1"/>
  <c r="AH646" i="7"/>
  <c r="AI646" i="7" s="1"/>
  <c r="AL804" i="7"/>
  <c r="AM804" i="7" s="1"/>
  <c r="AL456" i="7"/>
  <c r="AM456" i="7" s="1"/>
  <c r="AQ378" i="7"/>
  <c r="AO378" i="7" s="1"/>
  <c r="BH850" i="7"/>
  <c r="BH211" i="7"/>
  <c r="BH608" i="7"/>
  <c r="BH689" i="7"/>
  <c r="BH300" i="7"/>
  <c r="BH307" i="7"/>
  <c r="BH69" i="7"/>
  <c r="BH406" i="7"/>
  <c r="BH450" i="7"/>
  <c r="BH659" i="7"/>
  <c r="BH231" i="7"/>
  <c r="S62" i="7"/>
  <c r="T62" i="7" s="1"/>
  <c r="S683" i="7"/>
  <c r="T683" i="7" s="1"/>
  <c r="S803" i="7"/>
  <c r="T803" i="7" s="1"/>
  <c r="S612" i="7"/>
  <c r="T612" i="7" s="1"/>
  <c r="S33" i="7"/>
  <c r="T33" i="7" s="1"/>
  <c r="S486" i="7"/>
  <c r="T486" i="7" s="1"/>
  <c r="S534" i="7"/>
  <c r="T534" i="7" s="1"/>
  <c r="S348" i="7"/>
  <c r="T348" i="7" s="1"/>
  <c r="S413" i="7"/>
  <c r="T413" i="7" s="1"/>
  <c r="S692" i="7"/>
  <c r="T692" i="7" s="1"/>
  <c r="S476" i="7"/>
  <c r="T476" i="7" s="1"/>
  <c r="V766" i="7"/>
  <c r="W766" i="7" s="1"/>
  <c r="V94" i="7"/>
  <c r="W94" i="7" s="1"/>
  <c r="V859" i="7"/>
  <c r="W859" i="7" s="1"/>
  <c r="V358" i="7"/>
  <c r="W358" i="7" s="1"/>
  <c r="V480" i="7"/>
  <c r="W480" i="7" s="1"/>
  <c r="V490" i="7"/>
  <c r="W490" i="7" s="1"/>
  <c r="V783" i="7"/>
  <c r="W783" i="7" s="1"/>
  <c r="V869" i="7"/>
  <c r="W869" i="7" s="1"/>
  <c r="V78" i="7"/>
  <c r="W78" i="7" s="1"/>
  <c r="V517" i="7"/>
  <c r="W517" i="7" s="1"/>
  <c r="Y62" i="7"/>
  <c r="Z62" i="7" s="1"/>
  <c r="Y633" i="7"/>
  <c r="Z633" i="7" s="1"/>
  <c r="Y232" i="7"/>
  <c r="Z232" i="7" s="1"/>
  <c r="Y360" i="7"/>
  <c r="Z360" i="7" s="1"/>
  <c r="Y655" i="7"/>
  <c r="Z655" i="7" s="1"/>
  <c r="AB557" i="7"/>
  <c r="AC557" i="7" s="1"/>
  <c r="AB626" i="7"/>
  <c r="AC626" i="7" s="1"/>
  <c r="AB620" i="7"/>
  <c r="AC620" i="7" s="1"/>
  <c r="AB788" i="7"/>
  <c r="AC788" i="7" s="1"/>
  <c r="AB324" i="7"/>
  <c r="AC324" i="7" s="1"/>
  <c r="AE300" i="7"/>
  <c r="AF300" i="7" s="1"/>
  <c r="AE697" i="7"/>
  <c r="AF697" i="7" s="1"/>
  <c r="AE684" i="7"/>
  <c r="AF684" i="7" s="1"/>
  <c r="AE31" i="7"/>
  <c r="AF31" i="7" s="1"/>
  <c r="AH535" i="7"/>
  <c r="AI535" i="7" s="1"/>
  <c r="AL94" i="7"/>
  <c r="AM94" i="7" s="1"/>
  <c r="AL214" i="7"/>
  <c r="AM214" i="7" s="1"/>
  <c r="AQ520" i="7"/>
  <c r="AO520" i="7" s="1"/>
  <c r="BH842" i="7"/>
  <c r="BH517" i="7"/>
  <c r="BH480" i="7"/>
  <c r="BH175" i="7"/>
  <c r="BH347" i="7"/>
  <c r="S305" i="7"/>
  <c r="T305" i="7" s="1"/>
  <c r="S684" i="7"/>
  <c r="T684" i="7" s="1"/>
  <c r="S480" i="7"/>
  <c r="T480" i="7" s="1"/>
  <c r="S589" i="7"/>
  <c r="T589" i="7" s="1"/>
  <c r="S373" i="7"/>
  <c r="T373" i="7" s="1"/>
  <c r="S535" i="7"/>
  <c r="T535" i="7" s="1"/>
  <c r="S176" i="7"/>
  <c r="T176" i="7" s="1"/>
  <c r="S392" i="7"/>
  <c r="T392" i="7" s="1"/>
  <c r="S866" i="7"/>
  <c r="T866" i="7" s="1"/>
  <c r="S655" i="7"/>
  <c r="T655" i="7" s="1"/>
  <c r="S199" i="7"/>
  <c r="T199" i="7" s="1"/>
  <c r="V683" i="7"/>
  <c r="W683" i="7" s="1"/>
  <c r="V16" i="7"/>
  <c r="W16" i="7" s="1"/>
  <c r="V104" i="7"/>
  <c r="W104" i="7" s="1"/>
  <c r="V392" i="7"/>
  <c r="W392" i="7" s="1"/>
  <c r="V849" i="7"/>
  <c r="W849" i="7" s="1"/>
  <c r="V52" i="7"/>
  <c r="W52" i="7" s="1"/>
  <c r="V266" i="7"/>
  <c r="W266" i="7" s="1"/>
  <c r="V120" i="7"/>
  <c r="W120" i="7" s="1"/>
  <c r="V326" i="7"/>
  <c r="W326" i="7" s="1"/>
  <c r="V641" i="7"/>
  <c r="W641" i="7" s="1"/>
  <c r="Y274" i="7"/>
  <c r="Z274" i="7" s="1"/>
  <c r="Y860" i="7"/>
  <c r="Z860" i="7" s="1"/>
  <c r="Y94" i="7"/>
  <c r="Z94" i="7" s="1"/>
  <c r="Y659" i="7"/>
  <c r="Z659" i="7" s="1"/>
  <c r="Y23" i="7"/>
  <c r="Z23" i="7" s="1"/>
  <c r="AB697" i="7"/>
  <c r="AC697" i="7" s="1"/>
  <c r="AB408" i="7"/>
  <c r="AC408" i="7" s="1"/>
  <c r="AB153" i="7"/>
  <c r="AC153" i="7" s="1"/>
  <c r="AB591" i="7"/>
  <c r="AC591" i="7" s="1"/>
  <c r="AB413" i="7"/>
  <c r="AC413" i="7" s="1"/>
  <c r="AE692" i="7"/>
  <c r="AF692" i="7" s="1"/>
  <c r="AE281" i="7"/>
  <c r="AF281" i="7" s="1"/>
  <c r="AE674" i="7"/>
  <c r="AF674" i="7" s="1"/>
  <c r="AE453" i="7"/>
  <c r="AF453" i="7" s="1"/>
  <c r="AH783" i="7"/>
  <c r="AI783" i="7" s="1"/>
  <c r="AL689" i="7"/>
  <c r="AM689" i="7" s="1"/>
  <c r="AL358" i="7"/>
  <c r="AM358" i="7" s="1"/>
  <c r="AQ612" i="7"/>
  <c r="AO612" i="7" s="1"/>
  <c r="BH373" i="7"/>
  <c r="BH368" i="7"/>
  <c r="BH793" i="7"/>
  <c r="BH314" i="7"/>
  <c r="BH274" i="7"/>
  <c r="BH288" i="7"/>
  <c r="BH534" i="7"/>
  <c r="BH456" i="7"/>
  <c r="BH235" i="7"/>
  <c r="N783" i="7"/>
  <c r="O783" i="7" s="1"/>
  <c r="S463" i="7"/>
  <c r="T463" i="7" s="1"/>
  <c r="S475" i="7"/>
  <c r="T475" i="7" s="1"/>
  <c r="S352" i="7"/>
  <c r="T352" i="7" s="1"/>
  <c r="S408" i="7"/>
  <c r="T408" i="7" s="1"/>
  <c r="S788" i="7"/>
  <c r="T788" i="7" s="1"/>
  <c r="S116" i="7"/>
  <c r="T116" i="7" s="1"/>
  <c r="S71" i="7"/>
  <c r="T71" i="7" s="1"/>
  <c r="S498" i="7"/>
  <c r="T498" i="7" s="1"/>
  <c r="S859" i="7"/>
  <c r="T859" i="7" s="1"/>
  <c r="S450" i="7"/>
  <c r="T450" i="7" s="1"/>
  <c r="V176" i="7"/>
  <c r="W176" i="7" s="1"/>
  <c r="V281" i="7"/>
  <c r="W281" i="7" s="1"/>
  <c r="V804" i="7"/>
  <c r="W804" i="7" s="1"/>
  <c r="V112" i="7"/>
  <c r="W112" i="7" s="1"/>
  <c r="V347" i="7"/>
  <c r="W347" i="7" s="1"/>
  <c r="V810" i="7"/>
  <c r="W810" i="7" s="1"/>
  <c r="V95" i="7"/>
  <c r="W95" i="7" s="1"/>
  <c r="V626" i="7"/>
  <c r="W626" i="7" s="1"/>
  <c r="V412" i="7"/>
  <c r="W412" i="7" s="1"/>
  <c r="V239" i="7"/>
  <c r="W239" i="7" s="1"/>
  <c r="V317" i="7"/>
  <c r="W317" i="7" s="1"/>
  <c r="Y239" i="7"/>
  <c r="Z239" i="7" s="1"/>
  <c r="Y492" i="7"/>
  <c r="Z492" i="7" s="1"/>
  <c r="Y793" i="7"/>
  <c r="Z793" i="7" s="1"/>
  <c r="Y396" i="7"/>
  <c r="Z396" i="7" s="1"/>
  <c r="Y247" i="7"/>
  <c r="Z247" i="7" s="1"/>
  <c r="AB869" i="7"/>
  <c r="AC869" i="7" s="1"/>
  <c r="AB603" i="7"/>
  <c r="AC603" i="7" s="1"/>
  <c r="AB116" i="7"/>
  <c r="AC116" i="7" s="1"/>
  <c r="AB94" i="7"/>
  <c r="AC94" i="7" s="1"/>
  <c r="AB253" i="7"/>
  <c r="AC253" i="7" s="1"/>
  <c r="AE288" i="7"/>
  <c r="AF288" i="7" s="1"/>
  <c r="AE394" i="7"/>
  <c r="AF394" i="7" s="1"/>
  <c r="AE783" i="7"/>
  <c r="AF783" i="7" s="1"/>
  <c r="AE599" i="7"/>
  <c r="AF599" i="7" s="1"/>
  <c r="AH712" i="7"/>
  <c r="AI712" i="7" s="1"/>
  <c r="AL692" i="7"/>
  <c r="AM692" i="7" s="1"/>
  <c r="AL392" i="7"/>
  <c r="AM392" i="7" s="1"/>
  <c r="AQ153" i="7"/>
  <c r="AO153" i="7" s="1"/>
  <c r="BH804" i="7"/>
  <c r="BH492" i="7"/>
  <c r="BH281" i="7"/>
  <c r="BH651" i="7"/>
  <c r="BH447" i="7"/>
  <c r="BH639" i="7"/>
  <c r="BH862" i="7"/>
  <c r="BH709" i="7"/>
  <c r="BH91" i="7"/>
  <c r="N599" i="7"/>
  <c r="O599" i="7" s="1"/>
  <c r="N624" i="7"/>
  <c r="O624" i="7" s="1"/>
  <c r="N281" i="7"/>
  <c r="O281" i="7" s="1"/>
  <c r="N339" i="7"/>
  <c r="O339" i="7" s="1"/>
  <c r="N662" i="7"/>
  <c r="O662" i="7" s="1"/>
  <c r="N517" i="7"/>
  <c r="O517" i="7" s="1"/>
  <c r="N62" i="7"/>
  <c r="O62" i="7" s="1"/>
  <c r="N10" i="7"/>
  <c r="O10" i="7" s="1"/>
  <c r="N797" i="7"/>
  <c r="O797" i="7" s="1"/>
  <c r="N594" i="7"/>
  <c r="O594" i="7" s="1"/>
  <c r="N674" i="7"/>
  <c r="O674" i="7" s="1"/>
  <c r="S317" i="7"/>
  <c r="T317" i="7" s="1"/>
  <c r="S745" i="7"/>
  <c r="T745" i="7" s="1"/>
  <c r="S662" i="7"/>
  <c r="T662" i="7" s="1"/>
  <c r="S63" i="7"/>
  <c r="T63" i="7" s="1"/>
  <c r="S591" i="7"/>
  <c r="T591" i="7" s="1"/>
  <c r="S520" i="7"/>
  <c r="T520" i="7" s="1"/>
  <c r="S818" i="7"/>
  <c r="T818" i="7" s="1"/>
  <c r="S360" i="7"/>
  <c r="T360" i="7" s="1"/>
  <c r="S835" i="7"/>
  <c r="T835" i="7" s="1"/>
  <c r="S251" i="7"/>
  <c r="T251" i="7" s="1"/>
  <c r="V145" i="7"/>
  <c r="W145" i="7" s="1"/>
  <c r="V543" i="7"/>
  <c r="W543" i="7" s="1"/>
  <c r="V745" i="7"/>
  <c r="W745" i="7" s="1"/>
  <c r="V818" i="7"/>
  <c r="W818" i="7" s="1"/>
  <c r="V751" i="7"/>
  <c r="W751" i="7" s="1"/>
  <c r="V750" i="7"/>
  <c r="W750" i="7" s="1"/>
  <c r="V599" i="7"/>
  <c r="W599" i="7" s="1"/>
  <c r="V738" i="7"/>
  <c r="W738" i="7" s="1"/>
  <c r="V492" i="7"/>
  <c r="W492" i="7" s="1"/>
  <c r="V227" i="7"/>
  <c r="W227" i="7" s="1"/>
  <c r="V408" i="7"/>
  <c r="W408" i="7" s="1"/>
  <c r="Y59" i="7"/>
  <c r="Z59" i="7" s="1"/>
  <c r="Y177" i="7"/>
  <c r="Z177" i="7" s="1"/>
  <c r="Y281" i="7"/>
  <c r="Z281" i="7" s="1"/>
  <c r="Y31" i="7"/>
  <c r="Z31" i="7" s="1"/>
  <c r="Y420" i="7"/>
  <c r="Z420" i="7" s="1"/>
  <c r="AB633" i="7"/>
  <c r="AC633" i="7" s="1"/>
  <c r="AB517" i="7"/>
  <c r="AC517" i="7" s="1"/>
  <c r="AB378" i="7"/>
  <c r="AC378" i="7" s="1"/>
  <c r="AB590" i="7"/>
  <c r="AC590" i="7" s="1"/>
  <c r="AB732" i="7"/>
  <c r="AC732" i="7" s="1"/>
  <c r="AE59" i="7"/>
  <c r="AF59" i="7" s="1"/>
  <c r="AE395" i="7"/>
  <c r="AF395" i="7" s="1"/>
  <c r="AE651" i="7"/>
  <c r="AF651" i="7" s="1"/>
  <c r="AE835" i="7"/>
  <c r="AF835" i="7" s="1"/>
  <c r="AH732" i="7"/>
  <c r="AI732" i="7" s="1"/>
  <c r="AL406" i="7"/>
  <c r="AM406" i="7" s="1"/>
  <c r="AL453" i="7"/>
  <c r="AM453" i="7" s="1"/>
  <c r="AQ543" i="7"/>
  <c r="AO543" i="7" s="1"/>
  <c r="BH691" i="7"/>
  <c r="BH16" i="7"/>
  <c r="BH683" i="7"/>
  <c r="BH720" i="7"/>
  <c r="BH488" i="7"/>
  <c r="BH562" i="7"/>
  <c r="BH176" i="7"/>
  <c r="BH792" i="7"/>
  <c r="BH276" i="7"/>
  <c r="N373" i="7"/>
  <c r="O373" i="7" s="1"/>
  <c r="N270" i="7"/>
  <c r="O270" i="7" s="1"/>
  <c r="N683" i="7"/>
  <c r="O683" i="7" s="1"/>
  <c r="N246" i="7"/>
  <c r="O246" i="7" s="1"/>
  <c r="N750" i="7"/>
  <c r="O750" i="7" s="1"/>
  <c r="N307" i="7"/>
  <c r="O307" i="7" s="1"/>
  <c r="N99" i="7"/>
  <c r="O99" i="7" s="1"/>
  <c r="N694" i="7"/>
  <c r="O694" i="7" s="1"/>
  <c r="N420" i="7"/>
  <c r="O420" i="7" s="1"/>
  <c r="N265" i="7"/>
  <c r="O265" i="7" s="1"/>
  <c r="S50" i="7"/>
  <c r="T50" i="7" s="1"/>
  <c r="S691" i="7"/>
  <c r="T691" i="7" s="1"/>
  <c r="S406" i="7"/>
  <c r="T406" i="7" s="1"/>
  <c r="S842" i="7"/>
  <c r="T842" i="7" s="1"/>
  <c r="S700" i="7"/>
  <c r="T700" i="7" s="1"/>
  <c r="S378" i="7"/>
  <c r="T378" i="7" s="1"/>
  <c r="S781" i="7"/>
  <c r="T781" i="7" s="1"/>
  <c r="S91" i="7"/>
  <c r="T91" i="7" s="1"/>
  <c r="S221" i="7"/>
  <c r="T221" i="7" s="1"/>
  <c r="S231" i="7"/>
  <c r="T231" i="7" s="1"/>
  <c r="V498" i="7"/>
  <c r="W498" i="7" s="1"/>
  <c r="V218" i="7"/>
  <c r="W218" i="7" s="1"/>
  <c r="V453" i="7"/>
  <c r="W453" i="7" s="1"/>
  <c r="V123" i="7"/>
  <c r="W123" i="7" s="1"/>
  <c r="V246" i="7"/>
  <c r="W246" i="7" s="1"/>
  <c r="V728" i="7"/>
  <c r="W728" i="7" s="1"/>
  <c r="V835" i="7"/>
  <c r="W835" i="7" s="1"/>
  <c r="V171" i="7"/>
  <c r="W171" i="7" s="1"/>
  <c r="V373" i="7"/>
  <c r="W373" i="7" s="1"/>
  <c r="V288" i="7"/>
  <c r="W288" i="7" s="1"/>
  <c r="V842" i="7"/>
  <c r="W842" i="7" s="1"/>
  <c r="Y215" i="7"/>
  <c r="Z215" i="7" s="1"/>
  <c r="Y811" i="7"/>
  <c r="Z811" i="7" s="1"/>
  <c r="Y766" i="7"/>
  <c r="Z766" i="7" s="1"/>
  <c r="Y276" i="7"/>
  <c r="Z276" i="7" s="1"/>
  <c r="AB700" i="7"/>
  <c r="AC700" i="7" s="1"/>
  <c r="AB373" i="7"/>
  <c r="AC373" i="7" s="1"/>
  <c r="AB711" i="7"/>
  <c r="AC711" i="7" s="1"/>
  <c r="AB728" i="7"/>
  <c r="AC728" i="7" s="1"/>
  <c r="AB218" i="7"/>
  <c r="AC218" i="7" s="1"/>
  <c r="AB276" i="7"/>
  <c r="AC276" i="7" s="1"/>
  <c r="AE862" i="7"/>
  <c r="AF862" i="7" s="1"/>
  <c r="AE689" i="7"/>
  <c r="AF689" i="7" s="1"/>
  <c r="AE535" i="7"/>
  <c r="AF535" i="7" s="1"/>
  <c r="AE120" i="7"/>
  <c r="AF120" i="7" s="1"/>
  <c r="AH797" i="7"/>
  <c r="AI797" i="7" s="1"/>
  <c r="AL93" i="7"/>
  <c r="AM93" i="7" s="1"/>
  <c r="AL845" i="7"/>
  <c r="AM845" i="7" s="1"/>
  <c r="AQ815" i="7"/>
  <c r="AO815" i="7" s="1"/>
  <c r="S300" i="7"/>
  <c r="T300" i="7" s="1"/>
  <c r="S271" i="7"/>
  <c r="T271" i="7" s="1"/>
  <c r="S347" i="7"/>
  <c r="T347" i="7" s="1"/>
  <c r="S654" i="7"/>
  <c r="T654" i="7" s="1"/>
  <c r="S214" i="7"/>
  <c r="T214" i="7" s="1"/>
  <c r="V589" i="7"/>
  <c r="W589" i="7" s="1"/>
  <c r="V238" i="7"/>
  <c r="W238" i="7" s="1"/>
  <c r="V620" i="7"/>
  <c r="W620" i="7" s="1"/>
  <c r="V468" i="7"/>
  <c r="W468" i="7" s="1"/>
  <c r="V175" i="7"/>
  <c r="W175" i="7" s="1"/>
  <c r="V475" i="7"/>
  <c r="W475" i="7" s="1"/>
  <c r="V654" i="7"/>
  <c r="W654" i="7" s="1"/>
  <c r="V394" i="7"/>
  <c r="W394" i="7" s="1"/>
  <c r="V850" i="7"/>
  <c r="W850" i="7" s="1"/>
  <c r="V841" i="7"/>
  <c r="W841" i="7" s="1"/>
  <c r="V170" i="7"/>
  <c r="W170" i="7" s="1"/>
  <c r="Y254" i="7"/>
  <c r="Z254" i="7" s="1"/>
  <c r="Y153" i="7"/>
  <c r="Z153" i="7" s="1"/>
  <c r="Y394" i="7"/>
  <c r="Z394" i="7" s="1"/>
  <c r="Y235" i="7"/>
  <c r="Z235" i="7" s="1"/>
  <c r="AB766" i="7"/>
  <c r="AC766" i="7" s="1"/>
  <c r="AB467" i="7"/>
  <c r="AC467" i="7" s="1"/>
  <c r="AB326" i="7"/>
  <c r="AC326" i="7" s="1"/>
  <c r="AB639" i="7"/>
  <c r="AC639" i="7" s="1"/>
  <c r="AB556" i="7"/>
  <c r="AC556" i="7" s="1"/>
  <c r="AB360" i="7"/>
  <c r="AC360" i="7" s="1"/>
  <c r="AE211" i="7"/>
  <c r="AF211" i="7" s="1"/>
  <c r="AE62" i="7"/>
  <c r="AF62" i="7" s="1"/>
  <c r="AE170" i="7"/>
  <c r="AF170" i="7" s="1"/>
  <c r="AE254" i="7"/>
  <c r="AF254" i="7" s="1"/>
  <c r="AH413" i="7"/>
  <c r="AI413" i="7" s="1"/>
  <c r="AL450" i="7"/>
  <c r="AM450" i="7" s="1"/>
  <c r="AL776" i="7"/>
  <c r="AM776" i="7" s="1"/>
  <c r="AS475" i="7"/>
  <c r="AT475" i="7" s="1"/>
  <c r="AE112" i="7"/>
  <c r="AF112" i="7" s="1"/>
  <c r="AH543" i="7"/>
  <c r="AI543" i="7" s="1"/>
  <c r="AL620" i="7"/>
  <c r="AM620" i="7" s="1"/>
  <c r="AL307" i="7"/>
  <c r="AM307" i="7" s="1"/>
  <c r="AE538" i="7"/>
  <c r="AF538" i="7" s="1"/>
  <c r="AH498" i="7"/>
  <c r="AI498" i="7" s="1"/>
  <c r="AL171" i="7"/>
  <c r="AM171" i="7" s="1"/>
  <c r="AL468" i="7"/>
  <c r="AM468" i="7" s="1"/>
  <c r="BH530" i="7"/>
  <c r="BH299" i="7"/>
  <c r="BH684" i="7"/>
  <c r="BH408" i="7"/>
  <c r="BH641" i="7"/>
  <c r="BH803" i="7"/>
  <c r="BH271" i="7"/>
  <c r="BH251" i="7"/>
  <c r="BH336" i="7"/>
  <c r="BH301" i="7"/>
  <c r="S218" i="7"/>
  <c r="T218" i="7" s="1"/>
  <c r="S211" i="7"/>
  <c r="T211" i="7" s="1"/>
  <c r="S447" i="7"/>
  <c r="T447" i="7" s="1"/>
  <c r="S281" i="7"/>
  <c r="T281" i="7" s="1"/>
  <c r="S215" i="7"/>
  <c r="T215" i="7" s="1"/>
  <c r="S738" i="7"/>
  <c r="T738" i="7" s="1"/>
  <c r="S711" i="7"/>
  <c r="T711" i="7" s="1"/>
  <c r="S324" i="7"/>
  <c r="T324" i="7" s="1"/>
  <c r="S792" i="7"/>
  <c r="T792" i="7" s="1"/>
  <c r="S95" i="7"/>
  <c r="T95" i="7" s="1"/>
  <c r="V617" i="7"/>
  <c r="W617" i="7" s="1"/>
  <c r="V211" i="7"/>
  <c r="W211" i="7" s="1"/>
  <c r="V792" i="7"/>
  <c r="W792" i="7" s="1"/>
  <c r="V692" i="7"/>
  <c r="W692" i="7" s="1"/>
  <c r="V562" i="7"/>
  <c r="W562" i="7" s="1"/>
  <c r="V476" i="7"/>
  <c r="W476" i="7" s="1"/>
  <c r="V694" i="7"/>
  <c r="W694" i="7" s="1"/>
  <c r="V788" i="7"/>
  <c r="W788" i="7" s="1"/>
  <c r="V636" i="7"/>
  <c r="W636" i="7" s="1"/>
  <c r="Y850" i="7"/>
  <c r="Z850" i="7" s="1"/>
  <c r="Y317" i="7"/>
  <c r="Z317" i="7" s="1"/>
  <c r="Y185" i="7"/>
  <c r="Z185" i="7" s="1"/>
  <c r="Y562" i="7"/>
  <c r="Z562" i="7" s="1"/>
  <c r="Y453" i="7"/>
  <c r="Z453" i="7" s="1"/>
  <c r="AB406" i="7"/>
  <c r="AC406" i="7" s="1"/>
  <c r="AB204" i="7"/>
  <c r="AC204" i="7" s="1"/>
  <c r="AB860" i="7"/>
  <c r="AC860" i="7" s="1"/>
  <c r="AB339" i="7"/>
  <c r="AC339" i="7" s="1"/>
  <c r="AB78" i="7"/>
  <c r="AC78" i="7" s="1"/>
  <c r="AB10" i="7"/>
  <c r="AC10" i="7" s="1"/>
  <c r="AE866" i="7"/>
  <c r="AF866" i="7" s="1"/>
  <c r="AE33" i="7"/>
  <c r="AF33" i="7" s="1"/>
  <c r="AE246" i="7"/>
  <c r="AF246" i="7" s="1"/>
  <c r="AH347" i="7"/>
  <c r="AI347" i="7" s="1"/>
  <c r="AL684" i="7"/>
  <c r="AM684" i="7" s="1"/>
  <c r="AL112" i="7"/>
  <c r="AM112" i="7" s="1"/>
  <c r="AQ447" i="7"/>
  <c r="AO447" i="7" s="1"/>
  <c r="Y728" i="7"/>
  <c r="Z728" i="7" s="1"/>
  <c r="Y96" i="7"/>
  <c r="Z96" i="7" s="1"/>
  <c r="Y16" i="7"/>
  <c r="Z16" i="7" s="1"/>
  <c r="Y50" i="7"/>
  <c r="Z50" i="7" s="1"/>
  <c r="Y412" i="7"/>
  <c r="Z412" i="7" s="1"/>
  <c r="Y674" i="7"/>
  <c r="Z674" i="7" s="1"/>
  <c r="Y646" i="7"/>
  <c r="Z646" i="7" s="1"/>
  <c r="Y315" i="7"/>
  <c r="Z315" i="7" s="1"/>
  <c r="Y792" i="7"/>
  <c r="Z792" i="7" s="1"/>
  <c r="Y490" i="7"/>
  <c r="Z490" i="7" s="1"/>
  <c r="Y175" i="7"/>
  <c r="Z175" i="7" s="1"/>
  <c r="AB123" i="7"/>
  <c r="AC123" i="7" s="1"/>
  <c r="AB815" i="7"/>
  <c r="AC815" i="7" s="1"/>
  <c r="AB163" i="7"/>
  <c r="AC163" i="7" s="1"/>
  <c r="AB483" i="7"/>
  <c r="AC483" i="7" s="1"/>
  <c r="AB674" i="7"/>
  <c r="AC674" i="7" s="1"/>
  <c r="AB476" i="7"/>
  <c r="AC476" i="7" s="1"/>
  <c r="AB96" i="7"/>
  <c r="AC96" i="7" s="1"/>
  <c r="AB50" i="7"/>
  <c r="AC50" i="7" s="1"/>
  <c r="AB566" i="7"/>
  <c r="AC566" i="7" s="1"/>
  <c r="AB221" i="7"/>
  <c r="AC221" i="7" s="1"/>
  <c r="AE373" i="7"/>
  <c r="AF373" i="7" s="1"/>
  <c r="AE818" i="7"/>
  <c r="AF818" i="7" s="1"/>
  <c r="AE486" i="7"/>
  <c r="AF486" i="7" s="1"/>
  <c r="AE360" i="7"/>
  <c r="AF360" i="7" s="1"/>
  <c r="AE305" i="7"/>
  <c r="AF305" i="7" s="1"/>
  <c r="AE840" i="7"/>
  <c r="AF840" i="7" s="1"/>
  <c r="AE177" i="7"/>
  <c r="AF177" i="7" s="1"/>
  <c r="AE463" i="7"/>
  <c r="AF463" i="7" s="1"/>
  <c r="AE271" i="7"/>
  <c r="AF271" i="7" s="1"/>
  <c r="AE498" i="7"/>
  <c r="AF498" i="7" s="1"/>
  <c r="AE490" i="7"/>
  <c r="AF490" i="7" s="1"/>
  <c r="AH624" i="7"/>
  <c r="AI624" i="7" s="1"/>
  <c r="AH766" i="7"/>
  <c r="AI766" i="7" s="1"/>
  <c r="AH538" i="7"/>
  <c r="AI538" i="7" s="1"/>
  <c r="AH639" i="7"/>
  <c r="AI639" i="7" s="1"/>
  <c r="AH254" i="7"/>
  <c r="AI254" i="7" s="1"/>
  <c r="AH324" i="7"/>
  <c r="AI324" i="7" s="1"/>
  <c r="AQ260" i="7"/>
  <c r="AO260" i="7" s="1"/>
  <c r="AQ171" i="7"/>
  <c r="AO171" i="7" s="1"/>
  <c r="AS674" i="7"/>
  <c r="AT674" i="7" s="1"/>
  <c r="Y307" i="7"/>
  <c r="Z307" i="7" s="1"/>
  <c r="Y218" i="7"/>
  <c r="Z218" i="7" s="1"/>
  <c r="Y467" i="7"/>
  <c r="Z467" i="7" s="1"/>
  <c r="Y639" i="7"/>
  <c r="Z639" i="7" s="1"/>
  <c r="Y481" i="7"/>
  <c r="Z481" i="7" s="1"/>
  <c r="Y314" i="7"/>
  <c r="Z314" i="7" s="1"/>
  <c r="Y711" i="7"/>
  <c r="Z711" i="7" s="1"/>
  <c r="Y709" i="7"/>
  <c r="Z709" i="7" s="1"/>
  <c r="Y456" i="7"/>
  <c r="Z456" i="7" s="1"/>
  <c r="Y120" i="7"/>
  <c r="Z120" i="7" s="1"/>
  <c r="Y253" i="7"/>
  <c r="Z253" i="7" s="1"/>
  <c r="AB781" i="7"/>
  <c r="AC781" i="7" s="1"/>
  <c r="AB299" i="7"/>
  <c r="AC299" i="7" s="1"/>
  <c r="AB811" i="7"/>
  <c r="AC811" i="7" s="1"/>
  <c r="AB450" i="7"/>
  <c r="AC450" i="7" s="1"/>
  <c r="AB612" i="7"/>
  <c r="AC612" i="7" s="1"/>
  <c r="AB636" i="7"/>
  <c r="AC636" i="7" s="1"/>
  <c r="AB321" i="7"/>
  <c r="AC321" i="7" s="1"/>
  <c r="AB257" i="7"/>
  <c r="AC257" i="7" s="1"/>
  <c r="AB456" i="7"/>
  <c r="AC456" i="7" s="1"/>
  <c r="AB254" i="7"/>
  <c r="AC254" i="7" s="1"/>
  <c r="AE368" i="7"/>
  <c r="AF368" i="7" s="1"/>
  <c r="AE662" i="7"/>
  <c r="AF662" i="7" s="1"/>
  <c r="AE116" i="7"/>
  <c r="AF116" i="7" s="1"/>
  <c r="AE625" i="7"/>
  <c r="AF625" i="7" s="1"/>
  <c r="AE810" i="7"/>
  <c r="AF810" i="7" s="1"/>
  <c r="AE456" i="7"/>
  <c r="AF456" i="7" s="1"/>
  <c r="AE815" i="7"/>
  <c r="AF815" i="7" s="1"/>
  <c r="AE274" i="7"/>
  <c r="AF274" i="7" s="1"/>
  <c r="AE104" i="7"/>
  <c r="AF104" i="7" s="1"/>
  <c r="AE638" i="7"/>
  <c r="AF638" i="7" s="1"/>
  <c r="AE95" i="7"/>
  <c r="AF95" i="7" s="1"/>
  <c r="AH861" i="7"/>
  <c r="AI861" i="7" s="1"/>
  <c r="AH394" i="7"/>
  <c r="AI394" i="7" s="1"/>
  <c r="AH355" i="7"/>
  <c r="AI355" i="7" s="1"/>
  <c r="AH288" i="7"/>
  <c r="AI288" i="7" s="1"/>
  <c r="AH77" i="7"/>
  <c r="AI77" i="7" s="1"/>
  <c r="AH859" i="7"/>
  <c r="AI859" i="7" s="1"/>
  <c r="AL394" i="7"/>
  <c r="AM394" i="7" s="1"/>
  <c r="AL793" i="7"/>
  <c r="AM793" i="7" s="1"/>
  <c r="AL299" i="7"/>
  <c r="AM299" i="7" s="1"/>
  <c r="AL276" i="7"/>
  <c r="AM276" i="7" s="1"/>
  <c r="AQ336" i="7"/>
  <c r="AO336" i="7" s="1"/>
  <c r="AQ624" i="7"/>
  <c r="AO624" i="7" s="1"/>
  <c r="AS96" i="7"/>
  <c r="AT96" i="7" s="1"/>
  <c r="Y421" i="7"/>
  <c r="Z421" i="7" s="1"/>
  <c r="Y720" i="7"/>
  <c r="Z720" i="7" s="1"/>
  <c r="Y39" i="7"/>
  <c r="Z39" i="7" s="1"/>
  <c r="Y636" i="7"/>
  <c r="Z636" i="7" s="1"/>
  <c r="Y566" i="7"/>
  <c r="Z566" i="7" s="1"/>
  <c r="Y625" i="7"/>
  <c r="Z625" i="7" s="1"/>
  <c r="Y476" i="7"/>
  <c r="Z476" i="7" s="1"/>
  <c r="AB460" i="7"/>
  <c r="AC460" i="7" s="1"/>
  <c r="AB792" i="7"/>
  <c r="AC792" i="7" s="1"/>
  <c r="AB77" i="7"/>
  <c r="AC77" i="7" s="1"/>
  <c r="AE591" i="7"/>
  <c r="AF591" i="7" s="1"/>
  <c r="AE406" i="7"/>
  <c r="AF406" i="7" s="1"/>
  <c r="AE63" i="7"/>
  <c r="AF63" i="7" s="1"/>
  <c r="AE106" i="7"/>
  <c r="AF106" i="7" s="1"/>
  <c r="AE842" i="7"/>
  <c r="AF842" i="7" s="1"/>
  <c r="AE420" i="7"/>
  <c r="AF420" i="7" s="1"/>
  <c r="AE620" i="7"/>
  <c r="AF620" i="7" s="1"/>
  <c r="AE488" i="7"/>
  <c r="AF488" i="7" s="1"/>
  <c r="AE185" i="7"/>
  <c r="AF185" i="7" s="1"/>
  <c r="AE214" i="7"/>
  <c r="AF214" i="7" s="1"/>
  <c r="AE654" i="7"/>
  <c r="AF654" i="7" s="1"/>
  <c r="AH119" i="7"/>
  <c r="AI119" i="7" s="1"/>
  <c r="AH171" i="7"/>
  <c r="AI171" i="7" s="1"/>
  <c r="AH636" i="7"/>
  <c r="AI636" i="7" s="1"/>
  <c r="AH307" i="7"/>
  <c r="AI307" i="7" s="1"/>
  <c r="AH106" i="7"/>
  <c r="AI106" i="7" s="1"/>
  <c r="AH126" i="7"/>
  <c r="AI126" i="7" s="1"/>
  <c r="AL738" i="7"/>
  <c r="AM738" i="7" s="1"/>
  <c r="AL766" i="7"/>
  <c r="AM766" i="7" s="1"/>
  <c r="AL36" i="7"/>
  <c r="AM36" i="7" s="1"/>
  <c r="AL537" i="7"/>
  <c r="AM537" i="7" s="1"/>
  <c r="AQ537" i="7"/>
  <c r="AO537" i="7" s="1"/>
  <c r="AQ299" i="7"/>
  <c r="AO299" i="7" s="1"/>
  <c r="AS815" i="7"/>
  <c r="AT815" i="7" s="1"/>
  <c r="Y745" i="7"/>
  <c r="Z745" i="7" s="1"/>
  <c r="Y612" i="7"/>
  <c r="Z612" i="7" s="1"/>
  <c r="Y431" i="7"/>
  <c r="Z431" i="7" s="1"/>
  <c r="Y260" i="7"/>
  <c r="Z260" i="7" s="1"/>
  <c r="Y840" i="7"/>
  <c r="Z840" i="7" s="1"/>
  <c r="Y599" i="7"/>
  <c r="Z599" i="7" s="1"/>
  <c r="Y199" i="7"/>
  <c r="Z199" i="7" s="1"/>
  <c r="AB793" i="7"/>
  <c r="AC793" i="7" s="1"/>
  <c r="AB288" i="7"/>
  <c r="AC288" i="7" s="1"/>
  <c r="AB355" i="7"/>
  <c r="AC355" i="7" s="1"/>
  <c r="AB845" i="7"/>
  <c r="AC845" i="7" s="1"/>
  <c r="AE481" i="7"/>
  <c r="AF481" i="7" s="1"/>
  <c r="AE199" i="7"/>
  <c r="AF199" i="7" s="1"/>
  <c r="AE447" i="7"/>
  <c r="AF447" i="7" s="1"/>
  <c r="AE745" i="7"/>
  <c r="AF745" i="7" s="1"/>
  <c r="AE475" i="7"/>
  <c r="AF475" i="7" s="1"/>
  <c r="AE797" i="7"/>
  <c r="AF797" i="7" s="1"/>
  <c r="AE821" i="7"/>
  <c r="AF821" i="7" s="1"/>
  <c r="AE317" i="7"/>
  <c r="AF317" i="7" s="1"/>
  <c r="AE93" i="7"/>
  <c r="AF93" i="7" s="1"/>
  <c r="AE248" i="7"/>
  <c r="AF248" i="7" s="1"/>
  <c r="AE869" i="7"/>
  <c r="AF869" i="7" s="1"/>
  <c r="AH591" i="7"/>
  <c r="AI591" i="7" s="1"/>
  <c r="AH786" i="7"/>
  <c r="AI786" i="7" s="1"/>
  <c r="AH251" i="7"/>
  <c r="AI251" i="7" s="1"/>
  <c r="AH204" i="7"/>
  <c r="AI204" i="7" s="1"/>
  <c r="AH453" i="7"/>
  <c r="AI453" i="7" s="1"/>
  <c r="AH123" i="7"/>
  <c r="AI123" i="7" s="1"/>
  <c r="AL612" i="7"/>
  <c r="AM612" i="7" s="1"/>
  <c r="AL786" i="7"/>
  <c r="AM786" i="7" s="1"/>
  <c r="AL305" i="7"/>
  <c r="AM305" i="7" s="1"/>
  <c r="AL23" i="7"/>
  <c r="AM23" i="7" s="1"/>
  <c r="AQ638" i="7"/>
  <c r="AO638" i="7" s="1"/>
  <c r="AQ821" i="7"/>
  <c r="AO821" i="7" s="1"/>
  <c r="AS633" i="7"/>
  <c r="AT633" i="7" s="1"/>
  <c r="Y534" i="7"/>
  <c r="Z534" i="7" s="1"/>
  <c r="Y783" i="7"/>
  <c r="Z783" i="7" s="1"/>
  <c r="Y489" i="7"/>
  <c r="Z489" i="7" s="1"/>
  <c r="Y594" i="7"/>
  <c r="Z594" i="7" s="1"/>
  <c r="Y373" i="7"/>
  <c r="Z373" i="7" s="1"/>
  <c r="Y589" i="7"/>
  <c r="Z589" i="7" s="1"/>
  <c r="Y326" i="7"/>
  <c r="Z326" i="7" s="1"/>
  <c r="Y231" i="7"/>
  <c r="Z231" i="7" s="1"/>
  <c r="Y483" i="7"/>
  <c r="Z483" i="7" s="1"/>
  <c r="Y557" i="7"/>
  <c r="Z557" i="7" s="1"/>
  <c r="AB368" i="7"/>
  <c r="AC368" i="7" s="1"/>
  <c r="AB260" i="7"/>
  <c r="AC260" i="7" s="1"/>
  <c r="AB33" i="7"/>
  <c r="AC33" i="7" s="1"/>
  <c r="AB171" i="7"/>
  <c r="AC171" i="7" s="1"/>
  <c r="AB23" i="7"/>
  <c r="AC23" i="7" s="1"/>
  <c r="AB488" i="7"/>
  <c r="AC488" i="7" s="1"/>
  <c r="AB538" i="7"/>
  <c r="AC538" i="7" s="1"/>
  <c r="AB683" i="7"/>
  <c r="AC683" i="7" s="1"/>
  <c r="AB41" i="7"/>
  <c r="AC41" i="7" s="1"/>
  <c r="AB246" i="7"/>
  <c r="AC246" i="7" s="1"/>
  <c r="AB382" i="7"/>
  <c r="AC382" i="7" s="1"/>
  <c r="AE811" i="7"/>
  <c r="AF811" i="7" s="1"/>
  <c r="AE251" i="7"/>
  <c r="AF251" i="7" s="1"/>
  <c r="AE769" i="7"/>
  <c r="AF769" i="7" s="1"/>
  <c r="AE788" i="7"/>
  <c r="AF788" i="7" s="1"/>
  <c r="AE849" i="7"/>
  <c r="AF849" i="7" s="1"/>
  <c r="AE336" i="7"/>
  <c r="AF336" i="7" s="1"/>
  <c r="AE321" i="7"/>
  <c r="AF321" i="7" s="1"/>
  <c r="AE728" i="7"/>
  <c r="AF728" i="7" s="1"/>
  <c r="AE324" i="7"/>
  <c r="AF324" i="7" s="1"/>
  <c r="AE227" i="7"/>
  <c r="AF227" i="7" s="1"/>
  <c r="AE52" i="7"/>
  <c r="AF52" i="7" s="1"/>
  <c r="AH94" i="7"/>
  <c r="AI94" i="7" s="1"/>
  <c r="AH617" i="7"/>
  <c r="AI617" i="7" s="1"/>
  <c r="AH260" i="7"/>
  <c r="AI260" i="7" s="1"/>
  <c r="AH603" i="7"/>
  <c r="AI603" i="7" s="1"/>
  <c r="AH120" i="7"/>
  <c r="AI120" i="7" s="1"/>
  <c r="AH69" i="7"/>
  <c r="AI69" i="7" s="1"/>
  <c r="AL520" i="7"/>
  <c r="AM520" i="7" s="1"/>
  <c r="AL626" i="7"/>
  <c r="AM626" i="7" s="1"/>
  <c r="AL408" i="7"/>
  <c r="AM408" i="7" s="1"/>
  <c r="AL91" i="7"/>
  <c r="AM91" i="7" s="1"/>
  <c r="AQ420" i="7"/>
  <c r="AO420" i="7" s="1"/>
  <c r="AQ700" i="7"/>
  <c r="AO700" i="7" s="1"/>
  <c r="AS373" i="7"/>
  <c r="AT373" i="7" s="1"/>
  <c r="Y486" i="7"/>
  <c r="Z486" i="7" s="1"/>
  <c r="Y238" i="7"/>
  <c r="Z238" i="7" s="1"/>
  <c r="Y803" i="7"/>
  <c r="Z803" i="7" s="1"/>
  <c r="Y590" i="7"/>
  <c r="Z590" i="7" s="1"/>
  <c r="Y305" i="7"/>
  <c r="Z305" i="7" s="1"/>
  <c r="Y69" i="7"/>
  <c r="Z69" i="7" s="1"/>
  <c r="Y776" i="7"/>
  <c r="Z776" i="7" s="1"/>
  <c r="Y413" i="7"/>
  <c r="Z413" i="7" s="1"/>
  <c r="Y91" i="7"/>
  <c r="Z91" i="7" s="1"/>
  <c r="AB247" i="7"/>
  <c r="AC247" i="7" s="1"/>
  <c r="AB106" i="7"/>
  <c r="AC106" i="7" s="1"/>
  <c r="AE299" i="7"/>
  <c r="AF299" i="7" s="1"/>
  <c r="AE450" i="7"/>
  <c r="AF450" i="7" s="1"/>
  <c r="AE603" i="7"/>
  <c r="AF603" i="7" s="1"/>
  <c r="AE119" i="7"/>
  <c r="AF119" i="7" s="1"/>
  <c r="AE50" i="7"/>
  <c r="AF50" i="7" s="1"/>
  <c r="AE732" i="7"/>
  <c r="AF732" i="7" s="1"/>
  <c r="AE238" i="7"/>
  <c r="AF238" i="7" s="1"/>
  <c r="AE269" i="7"/>
  <c r="AF269" i="7" s="1"/>
  <c r="AE260" i="7"/>
  <c r="AF260" i="7" s="1"/>
  <c r="AE617" i="7"/>
  <c r="AF617" i="7" s="1"/>
  <c r="AE712" i="7"/>
  <c r="AF712" i="7" s="1"/>
  <c r="AH421" i="7"/>
  <c r="AI421" i="7" s="1"/>
  <c r="AH684" i="7"/>
  <c r="AI684" i="7" s="1"/>
  <c r="AH199" i="7"/>
  <c r="AI199" i="7" s="1"/>
  <c r="AH269" i="7"/>
  <c r="AI269" i="7" s="1"/>
  <c r="AH52" i="7"/>
  <c r="AI52" i="7" s="1"/>
  <c r="AH78" i="7"/>
  <c r="AI78" i="7" s="1"/>
  <c r="AL751" i="7"/>
  <c r="AM751" i="7" s="1"/>
  <c r="AQ797" i="7"/>
  <c r="AO797" i="7" s="1"/>
  <c r="AQ119" i="7"/>
  <c r="AO119" i="7" s="1"/>
  <c r="AS392" i="7"/>
  <c r="AT392" i="7" s="1"/>
  <c r="Y206" i="7"/>
  <c r="Z206" i="7" s="1"/>
  <c r="Y520" i="7"/>
  <c r="Z520" i="7" s="1"/>
  <c r="Y608" i="7"/>
  <c r="Z608" i="7" s="1"/>
  <c r="Y675" i="7"/>
  <c r="Z675" i="7" s="1"/>
  <c r="Y620" i="7"/>
  <c r="Z620" i="7" s="1"/>
  <c r="Y810" i="7"/>
  <c r="Z810" i="7" s="1"/>
  <c r="Y480" i="7"/>
  <c r="Z480" i="7" s="1"/>
  <c r="Y301" i="7"/>
  <c r="Z301" i="7" s="1"/>
  <c r="Y77" i="7"/>
  <c r="Z77" i="7" s="1"/>
  <c r="Y455" i="7"/>
  <c r="Z455" i="7" s="1"/>
  <c r="AB530" i="7"/>
  <c r="AC530" i="7" s="1"/>
  <c r="AB709" i="7"/>
  <c r="AC709" i="7" s="1"/>
  <c r="AB16" i="7"/>
  <c r="AC16" i="7" s="1"/>
  <c r="AB783" i="7"/>
  <c r="AC783" i="7" s="1"/>
  <c r="AB655" i="7"/>
  <c r="AC655" i="7" s="1"/>
  <c r="AB641" i="7"/>
  <c r="AC641" i="7" s="1"/>
  <c r="AB638" i="7"/>
  <c r="AC638" i="7" s="1"/>
  <c r="AB861" i="7"/>
  <c r="AC861" i="7" s="1"/>
  <c r="AB594" i="7"/>
  <c r="AC594" i="7" s="1"/>
  <c r="AB336" i="7"/>
  <c r="AC336" i="7" s="1"/>
  <c r="AB95" i="7"/>
  <c r="AC95" i="7" s="1"/>
  <c r="AE218" i="7"/>
  <c r="AF218" i="7" s="1"/>
  <c r="AE792" i="7"/>
  <c r="AF792" i="7" s="1"/>
  <c r="AE460" i="7"/>
  <c r="AF460" i="7" s="1"/>
  <c r="AE700" i="7"/>
  <c r="AF700" i="7" s="1"/>
  <c r="AE841" i="7"/>
  <c r="AF841" i="7" s="1"/>
  <c r="AE347" i="7"/>
  <c r="AF347" i="7" s="1"/>
  <c r="AE608" i="7"/>
  <c r="AF608" i="7" s="1"/>
  <c r="AE204" i="7"/>
  <c r="AF204" i="7" s="1"/>
  <c r="AE483" i="7"/>
  <c r="AF483" i="7" s="1"/>
  <c r="AE153" i="7"/>
  <c r="AF153" i="7" s="1"/>
  <c r="AE776" i="7"/>
  <c r="AF776" i="7" s="1"/>
  <c r="AH793" i="7"/>
  <c r="AI793" i="7" s="1"/>
  <c r="AH674" i="7"/>
  <c r="AI674" i="7" s="1"/>
  <c r="AH866" i="7"/>
  <c r="AI866" i="7" s="1"/>
  <c r="AH300" i="7"/>
  <c r="AI300" i="7" s="1"/>
  <c r="AH803" i="7"/>
  <c r="AI803" i="7" s="1"/>
  <c r="AH431" i="7"/>
  <c r="AI431" i="7" s="1"/>
  <c r="AL728" i="7"/>
  <c r="AM728" i="7" s="1"/>
  <c r="AL720" i="7"/>
  <c r="AM720" i="7" s="1"/>
  <c r="AL641" i="7"/>
  <c r="AM641" i="7" s="1"/>
  <c r="AL247" i="7"/>
  <c r="AM247" i="7" s="1"/>
  <c r="AQ455" i="7"/>
  <c r="AO455" i="7" s="1"/>
  <c r="AQ231" i="7"/>
  <c r="AO231" i="7" s="1"/>
  <c r="AS235" i="7"/>
  <c r="AT235" i="7" s="1"/>
  <c r="Y324" i="7"/>
  <c r="Z324" i="7" s="1"/>
  <c r="Y463" i="7"/>
  <c r="Z463" i="7" s="1"/>
  <c r="Y683" i="7"/>
  <c r="Z683" i="7" s="1"/>
  <c r="Y862" i="7"/>
  <c r="Z862" i="7" s="1"/>
  <c r="Y821" i="7"/>
  <c r="Z821" i="7" s="1"/>
  <c r="Y378" i="7"/>
  <c r="Z378" i="7" s="1"/>
  <c r="Y176" i="7"/>
  <c r="Z176" i="7" s="1"/>
  <c r="Y145" i="7"/>
  <c r="Z145" i="7" s="1"/>
  <c r="Y106" i="7"/>
  <c r="Z106" i="7" s="1"/>
  <c r="Y538" i="7"/>
  <c r="Z538" i="7" s="1"/>
  <c r="AB489" i="7"/>
  <c r="AC489" i="7" s="1"/>
  <c r="AB797" i="7"/>
  <c r="AC797" i="7" s="1"/>
  <c r="AB481" i="7"/>
  <c r="AC481" i="7" s="1"/>
  <c r="AB486" i="7"/>
  <c r="AC486" i="7" s="1"/>
  <c r="AB651" i="7"/>
  <c r="AC651" i="7" s="1"/>
  <c r="AB307" i="7"/>
  <c r="AC307" i="7" s="1"/>
  <c r="AB301" i="7"/>
  <c r="AC301" i="7" s="1"/>
  <c r="AB617" i="7"/>
  <c r="AC617" i="7" s="1"/>
  <c r="AB803" i="7"/>
  <c r="AC803" i="7" s="1"/>
  <c r="AB751" i="7"/>
  <c r="AC751" i="7" s="1"/>
  <c r="AB490" i="7"/>
  <c r="AC490" i="7" s="1"/>
  <c r="AE683" i="7"/>
  <c r="AF683" i="7" s="1"/>
  <c r="AE396" i="7"/>
  <c r="AF396" i="7" s="1"/>
  <c r="AE562" i="7"/>
  <c r="AF562" i="7" s="1"/>
  <c r="AE467" i="7"/>
  <c r="AF467" i="7" s="1"/>
  <c r="AE517" i="7"/>
  <c r="AF517" i="7" s="1"/>
  <c r="AE655" i="7"/>
  <c r="AF655" i="7" s="1"/>
  <c r="AE793" i="7"/>
  <c r="AF793" i="7" s="1"/>
  <c r="AE257" i="7"/>
  <c r="AF257" i="7" s="1"/>
  <c r="AE636" i="7"/>
  <c r="AF636" i="7" s="1"/>
  <c r="AE557" i="7"/>
  <c r="AF557" i="7" s="1"/>
  <c r="AE348" i="7"/>
  <c r="AF348" i="7" s="1"/>
  <c r="AH556" i="7"/>
  <c r="AI556" i="7" s="1"/>
  <c r="AH486" i="7"/>
  <c r="AI486" i="7" s="1"/>
  <c r="AH93" i="7"/>
  <c r="AI93" i="7" s="1"/>
  <c r="AH463" i="7"/>
  <c r="AI463" i="7" s="1"/>
  <c r="AH845" i="7"/>
  <c r="AI845" i="7" s="1"/>
  <c r="AH239" i="7"/>
  <c r="AI239" i="7" s="1"/>
  <c r="AL175" i="7"/>
  <c r="AM175" i="7" s="1"/>
  <c r="AL62" i="7"/>
  <c r="AM62" i="7" s="1"/>
  <c r="AL257" i="7"/>
  <c r="AM257" i="7" s="1"/>
  <c r="AL382" i="7"/>
  <c r="AM382" i="7" s="1"/>
  <c r="AQ392" i="7"/>
  <c r="AO392" i="7" s="1"/>
  <c r="AQ214" i="7"/>
  <c r="AO214" i="7" s="1"/>
  <c r="AS396" i="7"/>
  <c r="AT396" i="7" s="1"/>
  <c r="Y126" i="7"/>
  <c r="Z126" i="7" s="1"/>
  <c r="Y299" i="7"/>
  <c r="Z299" i="7" s="1"/>
  <c r="Y842" i="7"/>
  <c r="Z842" i="7" s="1"/>
  <c r="Y71" i="7"/>
  <c r="Z71" i="7" s="1"/>
  <c r="Y358" i="7"/>
  <c r="Z358" i="7" s="1"/>
  <c r="Y221" i="7"/>
  <c r="Z221" i="7" s="1"/>
  <c r="Y450" i="7"/>
  <c r="Z450" i="7" s="1"/>
  <c r="AB52" i="7"/>
  <c r="AC52" i="7" s="1"/>
  <c r="AE171" i="7"/>
  <c r="AF171" i="7" s="1"/>
  <c r="AE23" i="7"/>
  <c r="AF23" i="7" s="1"/>
  <c r="AE265" i="7"/>
  <c r="AF265" i="7" s="1"/>
  <c r="AE421" i="7"/>
  <c r="AF421" i="7" s="1"/>
  <c r="AE646" i="7"/>
  <c r="AF646" i="7" s="1"/>
  <c r="AE392" i="7"/>
  <c r="AF392" i="7" s="1"/>
  <c r="AE766" i="7"/>
  <c r="AF766" i="7" s="1"/>
  <c r="AE307" i="7"/>
  <c r="AF307" i="7" s="1"/>
  <c r="AE566" i="7"/>
  <c r="AF566" i="7" s="1"/>
  <c r="AE694" i="7"/>
  <c r="AF694" i="7" s="1"/>
  <c r="AH33" i="7"/>
  <c r="AI33" i="7" s="1"/>
  <c r="AH738" i="7"/>
  <c r="AI738" i="7" s="1"/>
  <c r="AH95" i="7"/>
  <c r="AI95" i="7" s="1"/>
  <c r="AH406" i="7"/>
  <c r="AI406" i="7" s="1"/>
  <c r="AH810" i="7"/>
  <c r="AI810" i="7" s="1"/>
  <c r="AH557" i="7"/>
  <c r="AI557" i="7" s="1"/>
  <c r="AH39" i="7"/>
  <c r="AI39" i="7" s="1"/>
  <c r="AQ348" i="7"/>
  <c r="AO348" i="7" s="1"/>
  <c r="AQ517" i="7"/>
  <c r="AO517" i="7" s="1"/>
  <c r="AS431" i="7"/>
  <c r="AT431" i="7" s="1"/>
  <c r="Y270" i="7"/>
  <c r="Z270" i="7" s="1"/>
  <c r="Y603" i="7"/>
  <c r="Z603" i="7" s="1"/>
  <c r="Y786" i="7"/>
  <c r="Z786" i="7" s="1"/>
  <c r="Y112" i="7"/>
  <c r="Z112" i="7" s="1"/>
  <c r="Y321" i="7"/>
  <c r="Z321" i="7" s="1"/>
  <c r="Y447" i="7"/>
  <c r="Z447" i="7" s="1"/>
  <c r="Y352" i="7"/>
  <c r="Z352" i="7" s="1"/>
  <c r="Y348" i="7"/>
  <c r="Z348" i="7" s="1"/>
  <c r="Y845" i="7"/>
  <c r="Z845" i="7" s="1"/>
  <c r="Y251" i="7"/>
  <c r="Z251" i="7" s="1"/>
  <c r="AB786" i="7"/>
  <c r="AC786" i="7" s="1"/>
  <c r="AB537" i="7"/>
  <c r="AC537" i="7" s="1"/>
  <c r="AB238" i="7"/>
  <c r="AC238" i="7" s="1"/>
  <c r="AB842" i="7"/>
  <c r="AC842" i="7" s="1"/>
  <c r="AB358" i="7"/>
  <c r="AC358" i="7" s="1"/>
  <c r="AB39" i="7"/>
  <c r="AC39" i="7" s="1"/>
  <c r="AB562" i="7"/>
  <c r="AC562" i="7" s="1"/>
  <c r="AB689" i="7"/>
  <c r="AC689" i="7" s="1"/>
  <c r="AB69" i="7"/>
  <c r="AC69" i="7" s="1"/>
  <c r="AB347" i="7"/>
  <c r="AC347" i="7" s="1"/>
  <c r="AB120" i="7"/>
  <c r="AC120" i="7" s="1"/>
  <c r="AE626" i="7"/>
  <c r="AF626" i="7" s="1"/>
  <c r="AE91" i="7"/>
  <c r="AF91" i="7" s="1"/>
  <c r="AE803" i="7"/>
  <c r="AF803" i="7" s="1"/>
  <c r="AE530" i="7"/>
  <c r="AF530" i="7" s="1"/>
  <c r="AE239" i="7"/>
  <c r="AF239" i="7" s="1"/>
  <c r="AE358" i="7"/>
  <c r="AF358" i="7" s="1"/>
  <c r="AE556" i="7"/>
  <c r="AF556" i="7" s="1"/>
  <c r="AE639" i="7"/>
  <c r="AF639" i="7" s="1"/>
  <c r="AE709" i="7"/>
  <c r="AF709" i="7" s="1"/>
  <c r="AE633" i="7"/>
  <c r="AF633" i="7" s="1"/>
  <c r="AH804" i="7"/>
  <c r="AI804" i="7" s="1"/>
  <c r="AH626" i="7"/>
  <c r="AI626" i="7" s="1"/>
  <c r="AH490" i="7"/>
  <c r="AI490" i="7" s="1"/>
  <c r="AH650" i="7"/>
  <c r="AI650" i="7" s="1"/>
  <c r="AH520" i="7"/>
  <c r="AI520" i="7" s="1"/>
  <c r="AH248" i="7"/>
  <c r="AI248" i="7" s="1"/>
  <c r="AH41" i="7"/>
  <c r="AI41" i="7" s="1"/>
  <c r="AL368" i="7"/>
  <c r="AM368" i="7" s="1"/>
  <c r="AL603" i="7"/>
  <c r="AM603" i="7" s="1"/>
  <c r="AL711" i="7"/>
  <c r="AM711" i="7" s="1"/>
  <c r="AL490" i="7"/>
  <c r="AM490" i="7" s="1"/>
  <c r="AQ413" i="7"/>
  <c r="AO413" i="7" s="1"/>
  <c r="AQ841" i="7"/>
  <c r="AO841" i="7" s="1"/>
  <c r="Y815" i="7"/>
  <c r="Z815" i="7" s="1"/>
  <c r="Y517" i="7"/>
  <c r="Z517" i="7" s="1"/>
  <c r="Y684" i="7"/>
  <c r="Z684" i="7" s="1"/>
  <c r="Y271" i="7"/>
  <c r="Z271" i="7" s="1"/>
  <c r="Y697" i="7"/>
  <c r="Z697" i="7" s="1"/>
  <c r="Y475" i="7"/>
  <c r="Z475" i="7" s="1"/>
  <c r="Y781" i="7"/>
  <c r="Z781" i="7" s="1"/>
  <c r="Y498" i="7"/>
  <c r="Z498" i="7" s="1"/>
  <c r="Y382" i="7"/>
  <c r="Z382" i="7" s="1"/>
  <c r="Y214" i="7"/>
  <c r="Z214" i="7" s="1"/>
  <c r="AB266" i="7"/>
  <c r="AC266" i="7" s="1"/>
  <c r="AB91" i="7"/>
  <c r="AC91" i="7" s="1"/>
  <c r="AB543" i="7"/>
  <c r="AC543" i="7" s="1"/>
  <c r="AB769" i="7"/>
  <c r="AC769" i="7" s="1"/>
  <c r="AB835" i="7"/>
  <c r="AC835" i="7" s="1"/>
  <c r="AB59" i="7"/>
  <c r="AC59" i="7" s="1"/>
  <c r="AB214" i="7"/>
  <c r="AC214" i="7" s="1"/>
  <c r="AB314" i="7"/>
  <c r="AC314" i="7" s="1"/>
  <c r="AB862" i="7"/>
  <c r="AC862" i="7" s="1"/>
  <c r="AB235" i="7"/>
  <c r="AC235" i="7" s="1"/>
  <c r="AB694" i="7"/>
  <c r="AC694" i="7" s="1"/>
  <c r="AE314" i="7"/>
  <c r="AF314" i="7" s="1"/>
  <c r="AE850" i="7"/>
  <c r="AF850" i="7" s="1"/>
  <c r="AE480" i="7"/>
  <c r="AF480" i="7" s="1"/>
  <c r="AE96" i="7"/>
  <c r="AF96" i="7" s="1"/>
  <c r="AE431" i="7"/>
  <c r="AF431" i="7" s="1"/>
  <c r="AE234" i="7"/>
  <c r="AF234" i="7" s="1"/>
  <c r="AE786" i="7"/>
  <c r="AF786" i="7" s="1"/>
  <c r="AE41" i="7"/>
  <c r="AF41" i="7" s="1"/>
  <c r="AE315" i="7"/>
  <c r="AF315" i="7" s="1"/>
  <c r="AE221" i="7"/>
  <c r="AF221" i="7" s="1"/>
  <c r="AH492" i="7"/>
  <c r="AI492" i="7" s="1"/>
  <c r="AH689" i="7"/>
  <c r="AI689" i="7" s="1"/>
  <c r="AH638" i="7"/>
  <c r="AI638" i="7" s="1"/>
  <c r="AH104" i="7"/>
  <c r="AI104" i="7" s="1"/>
  <c r="AH116" i="7"/>
  <c r="AI116" i="7" s="1"/>
  <c r="AH235" i="7"/>
  <c r="AI235" i="7" s="1"/>
  <c r="AH562" i="7"/>
  <c r="AI562" i="7" s="1"/>
  <c r="AL591" i="7"/>
  <c r="AM591" i="7" s="1"/>
  <c r="AL639" i="7"/>
  <c r="AM639" i="7" s="1"/>
  <c r="AL265" i="7"/>
  <c r="AM265" i="7" s="1"/>
  <c r="AL633" i="7"/>
  <c r="AM633" i="7" s="1"/>
  <c r="AQ352" i="7"/>
  <c r="AO352" i="7" s="1"/>
  <c r="AQ50" i="7"/>
  <c r="AO50" i="7" s="1"/>
  <c r="AH270" i="7"/>
  <c r="AI270" i="7" s="1"/>
  <c r="AH745" i="7"/>
  <c r="AI745" i="7" s="1"/>
  <c r="AH655" i="7"/>
  <c r="AI655" i="7" s="1"/>
  <c r="AH215" i="7"/>
  <c r="AI215" i="7" s="1"/>
  <c r="AH612" i="7"/>
  <c r="AI612" i="7" s="1"/>
  <c r="AH455" i="7"/>
  <c r="AI455" i="7" s="1"/>
  <c r="AH50" i="7"/>
  <c r="AI50" i="7" s="1"/>
  <c r="AH860" i="7"/>
  <c r="AI860" i="7" s="1"/>
  <c r="AH373" i="7"/>
  <c r="AI373" i="7" s="1"/>
  <c r="AH91" i="7"/>
  <c r="AI91" i="7" s="1"/>
  <c r="AH352" i="7"/>
  <c r="AI352" i="7" s="1"/>
  <c r="AH720" i="7"/>
  <c r="AI720" i="7" s="1"/>
  <c r="AH396" i="7"/>
  <c r="AI396" i="7" s="1"/>
  <c r="AH849" i="7"/>
  <c r="AI849" i="7" s="1"/>
  <c r="Y624" i="7"/>
  <c r="Z624" i="7" s="1"/>
  <c r="Y204" i="7"/>
  <c r="Z204" i="7" s="1"/>
  <c r="Y859" i="7"/>
  <c r="Z859" i="7" s="1"/>
  <c r="Y116" i="7"/>
  <c r="Z116" i="7" s="1"/>
  <c r="Y804" i="7"/>
  <c r="Z804" i="7" s="1"/>
  <c r="Y171" i="7"/>
  <c r="Z171" i="7" s="1"/>
  <c r="Y257" i="7"/>
  <c r="Z257" i="7" s="1"/>
  <c r="Y638" i="7"/>
  <c r="Z638" i="7" s="1"/>
  <c r="Y732" i="7"/>
  <c r="Z732" i="7" s="1"/>
  <c r="Y869" i="7"/>
  <c r="Z869" i="7" s="1"/>
  <c r="Y347" i="7"/>
  <c r="Z347" i="7" s="1"/>
  <c r="AB112" i="7"/>
  <c r="AC112" i="7" s="1"/>
  <c r="AB232" i="7"/>
  <c r="AC232" i="7" s="1"/>
  <c r="AB63" i="7"/>
  <c r="AC63" i="7" s="1"/>
  <c r="AB859" i="7"/>
  <c r="AC859" i="7" s="1"/>
  <c r="AB348" i="7"/>
  <c r="AC348" i="7" s="1"/>
  <c r="AB453" i="7"/>
  <c r="AC453" i="7" s="1"/>
  <c r="AE641" i="7"/>
  <c r="AF641" i="7" s="1"/>
  <c r="AE489" i="7"/>
  <c r="AF489" i="7" s="1"/>
  <c r="AE253" i="7"/>
  <c r="AF253" i="7" s="1"/>
  <c r="AE738" i="7"/>
  <c r="AF738" i="7" s="1"/>
  <c r="AE750" i="7"/>
  <c r="AF750" i="7" s="1"/>
  <c r="AE804" i="7"/>
  <c r="AF804" i="7" s="1"/>
  <c r="AE612" i="7"/>
  <c r="AF612" i="7" s="1"/>
  <c r="AE534" i="7"/>
  <c r="AF534" i="7" s="1"/>
  <c r="AE751" i="7"/>
  <c r="AF751" i="7" s="1"/>
  <c r="AE10" i="7"/>
  <c r="AF10" i="7" s="1"/>
  <c r="AH16" i="7"/>
  <c r="AI16" i="7" s="1"/>
  <c r="AH163" i="7"/>
  <c r="AI163" i="7" s="1"/>
  <c r="AH659" i="7"/>
  <c r="AI659" i="7" s="1"/>
  <c r="AH326" i="7"/>
  <c r="AI326" i="7" s="1"/>
  <c r="AH382" i="7"/>
  <c r="AI382" i="7" s="1"/>
  <c r="AH420" i="7"/>
  <c r="AI420" i="7" s="1"/>
  <c r="AH305" i="7"/>
  <c r="AI305" i="7" s="1"/>
  <c r="AQ63" i="7"/>
  <c r="AO63" i="7" s="1"/>
  <c r="AQ766" i="7"/>
  <c r="AO766" i="7" s="1"/>
  <c r="AH412" i="7"/>
  <c r="AI412" i="7" s="1"/>
  <c r="AH467" i="7"/>
  <c r="AI467" i="7" s="1"/>
  <c r="AH537" i="7"/>
  <c r="AI537" i="7" s="1"/>
  <c r="AH594" i="7"/>
  <c r="AI594" i="7" s="1"/>
  <c r="AH625" i="7"/>
  <c r="AI625" i="7" s="1"/>
  <c r="AH709" i="7"/>
  <c r="AI709" i="7" s="1"/>
  <c r="AH314" i="7"/>
  <c r="AI314" i="7" s="1"/>
  <c r="AH530" i="7"/>
  <c r="AI530" i="7" s="1"/>
  <c r="AH481" i="7"/>
  <c r="AI481" i="7" s="1"/>
  <c r="AH751" i="7"/>
  <c r="AI751" i="7" s="1"/>
  <c r="AH265" i="7"/>
  <c r="AI265" i="7" s="1"/>
  <c r="AH694" i="7"/>
  <c r="AI694" i="7" s="1"/>
  <c r="AH450" i="7"/>
  <c r="AI450" i="7" s="1"/>
  <c r="AH170" i="7"/>
  <c r="AI170" i="7" s="1"/>
  <c r="Y408" i="7"/>
  <c r="Z408" i="7" s="1"/>
  <c r="Y700" i="7"/>
  <c r="Z700" i="7" s="1"/>
  <c r="Y691" i="7"/>
  <c r="Z691" i="7" s="1"/>
  <c r="Y488" i="7"/>
  <c r="Z488" i="7" s="1"/>
  <c r="Y591" i="7"/>
  <c r="Z591" i="7" s="1"/>
  <c r="Y626" i="7"/>
  <c r="Z626" i="7" s="1"/>
  <c r="Y288" i="7"/>
  <c r="Z288" i="7" s="1"/>
  <c r="Y751" i="7"/>
  <c r="Z751" i="7" s="1"/>
  <c r="Y797" i="7"/>
  <c r="Z797" i="7" s="1"/>
  <c r="Y835" i="7"/>
  <c r="Z835" i="7" s="1"/>
  <c r="AB239" i="7"/>
  <c r="AC239" i="7" s="1"/>
  <c r="AB492" i="7"/>
  <c r="AC492" i="7" s="1"/>
  <c r="AB431" i="7"/>
  <c r="AC431" i="7" s="1"/>
  <c r="AB104" i="7"/>
  <c r="AC104" i="7" s="1"/>
  <c r="AB624" i="7"/>
  <c r="AC624" i="7" s="1"/>
  <c r="AB93" i="7"/>
  <c r="AC93" i="7" s="1"/>
  <c r="AB421" i="7"/>
  <c r="AC421" i="7" s="1"/>
  <c r="AB475" i="7"/>
  <c r="AC475" i="7" s="1"/>
  <c r="AB251" i="7"/>
  <c r="AC251" i="7" s="1"/>
  <c r="AE16" i="7"/>
  <c r="AF16" i="7" s="1"/>
  <c r="AE78" i="7"/>
  <c r="AF78" i="7" s="1"/>
  <c r="AE861" i="7"/>
  <c r="AF861" i="7" s="1"/>
  <c r="AE339" i="7"/>
  <c r="AF339" i="7" s="1"/>
  <c r="AE99" i="7"/>
  <c r="AF99" i="7" s="1"/>
  <c r="AE413" i="7"/>
  <c r="AF413" i="7" s="1"/>
  <c r="AE163" i="7"/>
  <c r="AF163" i="7" s="1"/>
  <c r="AE520" i="7"/>
  <c r="AF520" i="7" s="1"/>
  <c r="AE781" i="7"/>
  <c r="AF781" i="7" s="1"/>
  <c r="AE276" i="7"/>
  <c r="AF276" i="7" s="1"/>
  <c r="AE845" i="7"/>
  <c r="AF845" i="7" s="1"/>
  <c r="AH489" i="7"/>
  <c r="AI489" i="7" s="1"/>
  <c r="AH218" i="7"/>
  <c r="AI218" i="7" s="1"/>
  <c r="AH336" i="7"/>
  <c r="AI336" i="7" s="1"/>
  <c r="AH711" i="7"/>
  <c r="AI711" i="7" s="1"/>
  <c r="AH599" i="7"/>
  <c r="AI599" i="7" s="1"/>
  <c r="AH840" i="7"/>
  <c r="AI840" i="7" s="1"/>
  <c r="AL373" i="7"/>
  <c r="AM373" i="7" s="1"/>
  <c r="AL215" i="7"/>
  <c r="AM215" i="7" s="1"/>
  <c r="AL467" i="7"/>
  <c r="AM467" i="7" s="1"/>
  <c r="AL248" i="7"/>
  <c r="AM248" i="7" s="1"/>
  <c r="AL584" i="7"/>
  <c r="AQ314" i="7"/>
  <c r="AO314" i="7" s="1"/>
  <c r="AS254" i="7"/>
  <c r="AT254" i="7" s="1"/>
  <c r="AE720" i="7"/>
  <c r="AF720" i="7" s="1"/>
  <c r="AH266" i="7"/>
  <c r="AI266" i="7" s="1"/>
  <c r="AH368" i="7"/>
  <c r="AI368" i="7" s="1"/>
  <c r="AH214" i="7"/>
  <c r="AI214" i="7" s="1"/>
  <c r="AH247" i="7"/>
  <c r="AI247" i="7" s="1"/>
  <c r="AH271" i="7"/>
  <c r="AI271" i="7" s="1"/>
  <c r="AH460" i="7"/>
  <c r="AI460" i="7" s="1"/>
  <c r="AH651" i="7"/>
  <c r="AI651" i="7" s="1"/>
  <c r="AH589" i="7"/>
  <c r="AI589" i="7" s="1"/>
  <c r="AH253" i="7"/>
  <c r="AI253" i="7" s="1"/>
  <c r="AH517" i="7"/>
  <c r="AI517" i="7" s="1"/>
  <c r="AL266" i="7"/>
  <c r="AM266" i="7" s="1"/>
  <c r="AL274" i="7"/>
  <c r="AM274" i="7" s="1"/>
  <c r="AL116" i="7"/>
  <c r="AM116" i="7" s="1"/>
  <c r="AL815" i="7"/>
  <c r="AM815" i="7" s="1"/>
  <c r="AL480" i="7"/>
  <c r="AM480" i="7" s="1"/>
  <c r="AL301" i="7"/>
  <c r="AM301" i="7" s="1"/>
  <c r="AL360" i="7"/>
  <c r="AM360" i="7" s="1"/>
  <c r="AQ271" i="7"/>
  <c r="AO271" i="7" s="1"/>
  <c r="AQ811" i="7"/>
  <c r="AO811" i="7" s="1"/>
  <c r="AQ481" i="7"/>
  <c r="AO481" i="7" s="1"/>
  <c r="AS804" i="7"/>
  <c r="AT804" i="7" s="1"/>
  <c r="AS355" i="7"/>
  <c r="AT355" i="7" s="1"/>
  <c r="AH211" i="7"/>
  <c r="AI211" i="7" s="1"/>
  <c r="AH232" i="7"/>
  <c r="AI232" i="7" s="1"/>
  <c r="AH227" i="7"/>
  <c r="AI227" i="7" s="1"/>
  <c r="AH339" i="7"/>
  <c r="AI339" i="7" s="1"/>
  <c r="AH750" i="7"/>
  <c r="AI750" i="7" s="1"/>
  <c r="AH257" i="7"/>
  <c r="AI257" i="7" s="1"/>
  <c r="AH99" i="7"/>
  <c r="AI99" i="7" s="1"/>
  <c r="AH395" i="7"/>
  <c r="AI395" i="7" s="1"/>
  <c r="AH476" i="7"/>
  <c r="AI476" i="7" s="1"/>
  <c r="AH841" i="7"/>
  <c r="AI841" i="7" s="1"/>
  <c r="AL651" i="7"/>
  <c r="AM651" i="7" s="1"/>
  <c r="AL517" i="7"/>
  <c r="AM517" i="7" s="1"/>
  <c r="AL447" i="7"/>
  <c r="AM447" i="7" s="1"/>
  <c r="AL590" i="7"/>
  <c r="AM590" i="7" s="1"/>
  <c r="AL818" i="7"/>
  <c r="AM818" i="7" s="1"/>
  <c r="AL655" i="7"/>
  <c r="AM655" i="7" s="1"/>
  <c r="AL347" i="7"/>
  <c r="AM347" i="7" s="1"/>
  <c r="AQ112" i="7"/>
  <c r="AO112" i="7" s="1"/>
  <c r="AQ163" i="7"/>
  <c r="AO163" i="7" s="1"/>
  <c r="AQ232" i="7"/>
  <c r="AO232" i="7" s="1"/>
  <c r="AS860" i="7"/>
  <c r="AT860" i="7" s="1"/>
  <c r="AS476" i="7"/>
  <c r="AT476" i="7" s="1"/>
  <c r="AS845" i="7"/>
  <c r="AT845" i="7" s="1"/>
  <c r="AS490" i="7"/>
  <c r="AT490" i="7" s="1"/>
  <c r="AS78" i="7"/>
  <c r="AT78" i="7" s="1"/>
  <c r="AS538" i="7"/>
  <c r="AT538" i="7" s="1"/>
  <c r="AS654" i="7"/>
  <c r="AT654" i="7" s="1"/>
  <c r="AS641" i="7"/>
  <c r="AT641" i="7" s="1"/>
  <c r="AH177" i="7"/>
  <c r="AI177" i="7" s="1"/>
  <c r="AH231" i="7"/>
  <c r="AI231" i="7" s="1"/>
  <c r="AH315" i="7"/>
  <c r="AI315" i="7" s="1"/>
  <c r="AH71" i="7"/>
  <c r="AI71" i="7" s="1"/>
  <c r="AH728" i="7"/>
  <c r="AI728" i="7" s="1"/>
  <c r="AH869" i="7"/>
  <c r="AI869" i="7" s="1"/>
  <c r="AH145" i="7"/>
  <c r="AI145" i="7" s="1"/>
  <c r="AH185" i="7"/>
  <c r="AI185" i="7" s="1"/>
  <c r="AH317" i="7"/>
  <c r="AI317" i="7" s="1"/>
  <c r="AL650" i="7"/>
  <c r="AM650" i="7" s="1"/>
  <c r="AL78" i="7"/>
  <c r="AM78" i="7" s="1"/>
  <c r="AL281" i="7"/>
  <c r="AM281" i="7" s="1"/>
  <c r="AL176" i="7"/>
  <c r="AM176" i="7" s="1"/>
  <c r="AL221" i="7"/>
  <c r="AM221" i="7" s="1"/>
  <c r="AS636" i="7"/>
  <c r="AT636" i="7" s="1"/>
  <c r="AS625" i="7"/>
  <c r="AT625" i="7" s="1"/>
  <c r="AS171" i="7"/>
  <c r="AT171" i="7" s="1"/>
  <c r="AH815" i="7"/>
  <c r="AI815" i="7" s="1"/>
  <c r="AH590" i="7"/>
  <c r="AI590" i="7" s="1"/>
  <c r="AH811" i="7"/>
  <c r="AI811" i="7" s="1"/>
  <c r="AH776" i="7"/>
  <c r="AI776" i="7" s="1"/>
  <c r="AH792" i="7"/>
  <c r="AI792" i="7" s="1"/>
  <c r="AH176" i="7"/>
  <c r="AI176" i="7" s="1"/>
  <c r="AH769" i="7"/>
  <c r="AI769" i="7" s="1"/>
  <c r="AH633" i="7"/>
  <c r="AI633" i="7" s="1"/>
  <c r="AH348" i="7"/>
  <c r="AI348" i="7" s="1"/>
  <c r="AH206" i="7"/>
  <c r="AI206" i="7" s="1"/>
  <c r="AH475" i="7"/>
  <c r="AI475" i="7" s="1"/>
  <c r="AL50" i="7"/>
  <c r="AM50" i="7" s="1"/>
  <c r="AL199" i="7"/>
  <c r="AM199" i="7" s="1"/>
  <c r="AL534" i="7"/>
  <c r="AM534" i="7" s="1"/>
  <c r="AL556" i="7"/>
  <c r="AM556" i="7" s="1"/>
  <c r="AL271" i="7"/>
  <c r="AM271" i="7" s="1"/>
  <c r="AL694" i="7"/>
  <c r="AM694" i="7" s="1"/>
  <c r="AQ246" i="7"/>
  <c r="AO246" i="7" s="1"/>
  <c r="AQ307" i="7"/>
  <c r="AO307" i="7" s="1"/>
  <c r="AQ324" i="7"/>
  <c r="AO324" i="7" s="1"/>
  <c r="AS253" i="7"/>
  <c r="AT253" i="7" s="1"/>
  <c r="AS112" i="7"/>
  <c r="AT112" i="7" s="1"/>
  <c r="AS793" i="7"/>
  <c r="AT793" i="7" s="1"/>
  <c r="AH96" i="7"/>
  <c r="AI96" i="7" s="1"/>
  <c r="AH620" i="7"/>
  <c r="AI620" i="7" s="1"/>
  <c r="AH821" i="7"/>
  <c r="AI821" i="7" s="1"/>
  <c r="AH301" i="7"/>
  <c r="AI301" i="7" s="1"/>
  <c r="AH456" i="7"/>
  <c r="AI456" i="7" s="1"/>
  <c r="AH862" i="7"/>
  <c r="AI862" i="7" s="1"/>
  <c r="AH692" i="7"/>
  <c r="AI692" i="7" s="1"/>
  <c r="AH654" i="7"/>
  <c r="AI654" i="7" s="1"/>
  <c r="AH392" i="7"/>
  <c r="AI392" i="7" s="1"/>
  <c r="AH662" i="7"/>
  <c r="AI662" i="7" s="1"/>
  <c r="AH447" i="7"/>
  <c r="AI447" i="7" s="1"/>
  <c r="AL39" i="7"/>
  <c r="AM39" i="7" s="1"/>
  <c r="AL636" i="7"/>
  <c r="AM636" i="7" s="1"/>
  <c r="AL123" i="7"/>
  <c r="AM123" i="7" s="1"/>
  <c r="AL617" i="7"/>
  <c r="AM617" i="7" s="1"/>
  <c r="AL104" i="7"/>
  <c r="AM104" i="7" s="1"/>
  <c r="AL10" i="7"/>
  <c r="AM10" i="7" s="1"/>
  <c r="AQ31" i="7"/>
  <c r="AO31" i="7" s="1"/>
  <c r="AQ460" i="7"/>
  <c r="AO460" i="7" s="1"/>
  <c r="AQ818" i="7"/>
  <c r="AO818" i="7" s="1"/>
  <c r="AS662" i="7"/>
  <c r="AT662" i="7" s="1"/>
  <c r="AS842" i="7"/>
  <c r="AT842" i="7" s="1"/>
  <c r="AS16" i="7"/>
  <c r="AT16" i="7" s="1"/>
  <c r="AH238" i="7"/>
  <c r="AI238" i="7" s="1"/>
  <c r="AH36" i="7"/>
  <c r="AI36" i="7" s="1"/>
  <c r="AH299" i="7"/>
  <c r="AI299" i="7" s="1"/>
  <c r="AH234" i="7"/>
  <c r="AI234" i="7" s="1"/>
  <c r="AH175" i="7"/>
  <c r="AI175" i="7" s="1"/>
  <c r="AH480" i="7"/>
  <c r="AI480" i="7" s="1"/>
  <c r="AH488" i="7"/>
  <c r="AI488" i="7" s="1"/>
  <c r="AH10" i="7"/>
  <c r="AI10" i="7" s="1"/>
  <c r="AH31" i="7"/>
  <c r="AI31" i="7" s="1"/>
  <c r="AH112" i="7"/>
  <c r="AI112" i="7" s="1"/>
  <c r="AH842" i="7"/>
  <c r="AI842" i="7" s="1"/>
  <c r="AL69" i="7"/>
  <c r="AM69" i="7" s="1"/>
  <c r="AL709" i="7"/>
  <c r="AM709" i="7" s="1"/>
  <c r="AL781" i="7"/>
  <c r="AM781" i="7" s="1"/>
  <c r="AL674" i="7"/>
  <c r="AM674" i="7" s="1"/>
  <c r="AL185" i="7"/>
  <c r="AM185" i="7" s="1"/>
  <c r="AL254" i="7"/>
  <c r="AM254" i="7" s="1"/>
  <c r="AQ247" i="7"/>
  <c r="AO247" i="7" s="1"/>
  <c r="AQ641" i="7"/>
  <c r="AO641" i="7" s="1"/>
  <c r="AQ71" i="7"/>
  <c r="AO71" i="7" s="1"/>
  <c r="AS781" i="7"/>
  <c r="AT781" i="7" s="1"/>
  <c r="AS810" i="7"/>
  <c r="AT810" i="7" s="1"/>
  <c r="AH683" i="7"/>
  <c r="AI683" i="7" s="1"/>
  <c r="AH697" i="7"/>
  <c r="AI697" i="7" s="1"/>
  <c r="AH321" i="7"/>
  <c r="AI321" i="7" s="1"/>
  <c r="AH358" i="7"/>
  <c r="AI358" i="7" s="1"/>
  <c r="AH566" i="7"/>
  <c r="AI566" i="7" s="1"/>
  <c r="AH675" i="7"/>
  <c r="AI675" i="7" s="1"/>
  <c r="AH274" i="7"/>
  <c r="AI274" i="7" s="1"/>
  <c r="AH835" i="7"/>
  <c r="AI835" i="7" s="1"/>
  <c r="AH276" i="7"/>
  <c r="AI276" i="7" s="1"/>
  <c r="AH818" i="7"/>
  <c r="AI818" i="7" s="1"/>
  <c r="AH378" i="7"/>
  <c r="AI378" i="7" s="1"/>
  <c r="AL251" i="7"/>
  <c r="AM251" i="7" s="1"/>
  <c r="AL745" i="7"/>
  <c r="AM745" i="7" s="1"/>
  <c r="AL206" i="7"/>
  <c r="AM206" i="7" s="1"/>
  <c r="AL589" i="7"/>
  <c r="AM589" i="7" s="1"/>
  <c r="AL413" i="7"/>
  <c r="AM413" i="7" s="1"/>
  <c r="AL835" i="7"/>
  <c r="AM835" i="7" s="1"/>
  <c r="AQ732" i="7"/>
  <c r="AO732" i="7" s="1"/>
  <c r="AQ475" i="7"/>
  <c r="AO475" i="7" s="1"/>
  <c r="AQ78" i="7"/>
  <c r="AO78" i="7" s="1"/>
  <c r="AS352" i="7"/>
  <c r="AT352" i="7" s="1"/>
  <c r="AS689" i="7"/>
  <c r="AT689" i="7" s="1"/>
  <c r="AS468" i="7"/>
  <c r="AT468" i="7" s="1"/>
  <c r="AS395" i="7"/>
  <c r="AT395" i="7" s="1"/>
  <c r="AS803" i="7"/>
  <c r="AT803" i="7" s="1"/>
  <c r="AS590" i="7"/>
  <c r="AT590" i="7" s="1"/>
  <c r="AH153" i="7"/>
  <c r="AI153" i="7" s="1"/>
  <c r="AH281" i="7"/>
  <c r="AI281" i="7" s="1"/>
  <c r="AH360" i="7"/>
  <c r="AI360" i="7" s="1"/>
  <c r="AH483" i="7"/>
  <c r="AI483" i="7" s="1"/>
  <c r="AH59" i="7"/>
  <c r="AI59" i="7" s="1"/>
  <c r="AH63" i="7"/>
  <c r="AI63" i="7" s="1"/>
  <c r="AH221" i="7"/>
  <c r="AI221" i="7" s="1"/>
  <c r="AH23" i="7"/>
  <c r="AI23" i="7" s="1"/>
  <c r="AH534" i="7"/>
  <c r="AI534" i="7" s="1"/>
  <c r="AL860" i="7"/>
  <c r="AM860" i="7" s="1"/>
  <c r="AL811" i="7"/>
  <c r="AM811" i="7" s="1"/>
  <c r="AL260" i="7"/>
  <c r="AM260" i="7" s="1"/>
  <c r="AL63" i="7"/>
  <c r="AM63" i="7" s="1"/>
  <c r="AL420" i="7"/>
  <c r="AM420" i="7" s="1"/>
  <c r="AL625" i="7"/>
  <c r="AM625" i="7" s="1"/>
  <c r="AS692" i="7"/>
  <c r="AT692" i="7" s="1"/>
  <c r="AS412" i="7"/>
  <c r="AT412" i="7" s="1"/>
  <c r="AS63" i="7"/>
  <c r="AT63" i="7" s="1"/>
  <c r="AS745" i="7"/>
  <c r="AT745" i="7" s="1"/>
  <c r="AS314" i="7"/>
  <c r="AT314" i="7" s="1"/>
  <c r="AS348" i="7"/>
  <c r="AT348" i="7" s="1"/>
  <c r="AS299" i="7"/>
  <c r="AT299" i="7" s="1"/>
  <c r="AS91" i="7"/>
  <c r="AT91" i="7" s="1"/>
  <c r="AQ253" i="7"/>
  <c r="AO253" i="7" s="1"/>
  <c r="AQ751" i="7"/>
  <c r="AO751" i="7" s="1"/>
  <c r="AQ126" i="7"/>
  <c r="AO126" i="7" s="1"/>
  <c r="AQ603" i="7"/>
  <c r="AO603" i="7" s="1"/>
  <c r="AQ689" i="7"/>
  <c r="AO689" i="7" s="1"/>
  <c r="AQ590" i="7"/>
  <c r="AO590" i="7" s="1"/>
  <c r="AQ859" i="7"/>
  <c r="AO859" i="7" s="1"/>
  <c r="AQ728" i="7"/>
  <c r="AO728" i="7" s="1"/>
  <c r="AQ697" i="7"/>
  <c r="AO697" i="7" s="1"/>
  <c r="AS420" i="7"/>
  <c r="AT420" i="7" s="1"/>
  <c r="AS71" i="7"/>
  <c r="AT71" i="7" s="1"/>
  <c r="AS408" i="7"/>
  <c r="AT408" i="7" s="1"/>
  <c r="AS481" i="7"/>
  <c r="AT481" i="7" s="1"/>
  <c r="AS120" i="7"/>
  <c r="AT120" i="7" s="1"/>
  <c r="AS520" i="7"/>
  <c r="AT520" i="7" s="1"/>
  <c r="AS163" i="7"/>
  <c r="AT163" i="7" s="1"/>
  <c r="AS498" i="7"/>
  <c r="AT498" i="7" s="1"/>
  <c r="AS315" i="7"/>
  <c r="AT315" i="7" s="1"/>
  <c r="AS594" i="7"/>
  <c r="AT594" i="7" s="1"/>
  <c r="AS697" i="7"/>
  <c r="AT697" i="7" s="1"/>
  <c r="AQ450" i="7"/>
  <c r="AO450" i="7" s="1"/>
  <c r="AQ659" i="7"/>
  <c r="AO659" i="7" s="1"/>
  <c r="AQ123" i="7"/>
  <c r="AO123" i="7" s="1"/>
  <c r="AQ269" i="7"/>
  <c r="AO269" i="7" s="1"/>
  <c r="AQ674" i="7"/>
  <c r="AO674" i="7" s="1"/>
  <c r="AQ177" i="7"/>
  <c r="AO177" i="7" s="1"/>
  <c r="AQ185" i="7"/>
  <c r="AO185" i="7" s="1"/>
  <c r="AQ317" i="7"/>
  <c r="AO317" i="7" s="1"/>
  <c r="AQ36" i="7"/>
  <c r="AO36" i="7" s="1"/>
  <c r="AS792" i="7"/>
  <c r="AT792" i="7" s="1"/>
  <c r="AS176" i="7"/>
  <c r="AT176" i="7" s="1"/>
  <c r="AS305" i="7"/>
  <c r="AT305" i="7" s="1"/>
  <c r="AS467" i="7"/>
  <c r="AT467" i="7" s="1"/>
  <c r="AS835" i="7"/>
  <c r="AT835" i="7" s="1"/>
  <c r="AS170" i="7"/>
  <c r="AT170" i="7" s="1"/>
  <c r="AS591" i="7"/>
  <c r="AT591" i="7" s="1"/>
  <c r="AS31" i="7"/>
  <c r="AT31" i="7" s="1"/>
  <c r="AS456" i="7"/>
  <c r="AT456" i="7" s="1"/>
  <c r="AS39" i="7"/>
  <c r="AT39" i="7" s="1"/>
  <c r="AS489" i="7"/>
  <c r="AT489" i="7" s="1"/>
  <c r="AQ792" i="7"/>
  <c r="AO792" i="7" s="1"/>
  <c r="AQ91" i="7"/>
  <c r="AO91" i="7" s="1"/>
  <c r="AQ176" i="7"/>
  <c r="AO176" i="7" s="1"/>
  <c r="AQ849" i="7"/>
  <c r="AO849" i="7" s="1"/>
  <c r="AQ395" i="7"/>
  <c r="AO395" i="7" s="1"/>
  <c r="AQ421" i="7"/>
  <c r="AO421" i="7" s="1"/>
  <c r="AQ206" i="7"/>
  <c r="AO206" i="7" s="1"/>
  <c r="AQ488" i="7"/>
  <c r="AO488" i="7" s="1"/>
  <c r="AQ489" i="7"/>
  <c r="AO489" i="7" s="1"/>
  <c r="AS709" i="7"/>
  <c r="AT709" i="7" s="1"/>
  <c r="AS862" i="7"/>
  <c r="AT862" i="7" s="1"/>
  <c r="AS589" i="7"/>
  <c r="AT589" i="7" s="1"/>
  <c r="AS700" i="7"/>
  <c r="AT700" i="7" s="1"/>
  <c r="AS10" i="7"/>
  <c r="AT10" i="7" s="1"/>
  <c r="AS62" i="7"/>
  <c r="AT62" i="7" s="1"/>
  <c r="AS492" i="7"/>
  <c r="AT492" i="7" s="1"/>
  <c r="AS360" i="7"/>
  <c r="AT360" i="7" s="1"/>
  <c r="AS450" i="7"/>
  <c r="AT450" i="7" s="1"/>
  <c r="AS646" i="7"/>
  <c r="AT646" i="7" s="1"/>
  <c r="AS811" i="7"/>
  <c r="AT811" i="7" s="1"/>
  <c r="AL488" i="7"/>
  <c r="AM488" i="7" s="1"/>
  <c r="AL697" i="7"/>
  <c r="AM697" i="7" s="1"/>
  <c r="AL246" i="7"/>
  <c r="AM246" i="7" s="1"/>
  <c r="AL810" i="7"/>
  <c r="AM810" i="7" s="1"/>
  <c r="AL483" i="7"/>
  <c r="AM483" i="7" s="1"/>
  <c r="AL218" i="7"/>
  <c r="AM218" i="7" s="1"/>
  <c r="AL288" i="7"/>
  <c r="AM288" i="7" s="1"/>
  <c r="AL859" i="7"/>
  <c r="AM859" i="7" s="1"/>
  <c r="AL348" i="7"/>
  <c r="AM348" i="7" s="1"/>
  <c r="AL712" i="7"/>
  <c r="AM712" i="7" s="1"/>
  <c r="AQ251" i="7"/>
  <c r="AO251" i="7" s="1"/>
  <c r="AQ355" i="7"/>
  <c r="AO355" i="7" s="1"/>
  <c r="AQ655" i="7"/>
  <c r="AO655" i="7" s="1"/>
  <c r="AQ534" i="7"/>
  <c r="AO534" i="7" s="1"/>
  <c r="AQ769" i="7"/>
  <c r="AO769" i="7" s="1"/>
  <c r="AQ684" i="7"/>
  <c r="AO684" i="7" s="1"/>
  <c r="AQ412" i="7"/>
  <c r="AO412" i="7" s="1"/>
  <c r="AQ750" i="7"/>
  <c r="AO750" i="7" s="1"/>
  <c r="AQ274" i="7"/>
  <c r="AO274" i="7" s="1"/>
  <c r="AQ620" i="7"/>
  <c r="AO620" i="7" s="1"/>
  <c r="AS175" i="7"/>
  <c r="AT175" i="7" s="1"/>
  <c r="AS480" i="7"/>
  <c r="AT480" i="7" s="1"/>
  <c r="AS612" i="7"/>
  <c r="AT612" i="7" s="1"/>
  <c r="AS232" i="7"/>
  <c r="AT232" i="7" s="1"/>
  <c r="AS599" i="7"/>
  <c r="AT599" i="7" s="1"/>
  <c r="AS486" i="7"/>
  <c r="AT486" i="7" s="1"/>
  <c r="AS368" i="7"/>
  <c r="AT368" i="7" s="1"/>
  <c r="AS655" i="7"/>
  <c r="AT655" i="7" s="1"/>
  <c r="AS840" i="7"/>
  <c r="AT840" i="7" s="1"/>
  <c r="AS288" i="7"/>
  <c r="AT288" i="7" s="1"/>
  <c r="AS177" i="7"/>
  <c r="AT177" i="7" s="1"/>
  <c r="AL317" i="7"/>
  <c r="AM317" i="7" s="1"/>
  <c r="AL624" i="7"/>
  <c r="AM624" i="7" s="1"/>
  <c r="AL850" i="7"/>
  <c r="AM850" i="7" s="1"/>
  <c r="AL463" i="7"/>
  <c r="AM463" i="7" s="1"/>
  <c r="AL840" i="7"/>
  <c r="AM840" i="7" s="1"/>
  <c r="AL543" i="7"/>
  <c r="AM543" i="7" s="1"/>
  <c r="AL646" i="7"/>
  <c r="AM646" i="7" s="1"/>
  <c r="AL324" i="7"/>
  <c r="AM324" i="7" s="1"/>
  <c r="AL498" i="7"/>
  <c r="AM498" i="7" s="1"/>
  <c r="AL120" i="7"/>
  <c r="AM120" i="7" s="1"/>
  <c r="AQ175" i="7"/>
  <c r="AO175" i="7" s="1"/>
  <c r="AQ396" i="7"/>
  <c r="AO396" i="7" s="1"/>
  <c r="AQ498" i="7"/>
  <c r="AO498" i="7" s="1"/>
  <c r="AQ69" i="7"/>
  <c r="AO69" i="7" s="1"/>
  <c r="AQ692" i="7"/>
  <c r="AO692" i="7" s="1"/>
  <c r="AQ617" i="7"/>
  <c r="AO617" i="7" s="1"/>
  <c r="AQ467" i="7"/>
  <c r="AO467" i="7" s="1"/>
  <c r="AQ781" i="7"/>
  <c r="AO781" i="7" s="1"/>
  <c r="AQ300" i="7"/>
  <c r="AO300" i="7" s="1"/>
  <c r="AQ530" i="7"/>
  <c r="AO530" i="7" s="1"/>
  <c r="AS566" i="7"/>
  <c r="AT566" i="7" s="1"/>
  <c r="AS675" i="7"/>
  <c r="AT675" i="7" s="1"/>
  <c r="AS99" i="7"/>
  <c r="AT99" i="7" s="1"/>
  <c r="AS691" i="7"/>
  <c r="AT691" i="7" s="1"/>
  <c r="AS712" i="7"/>
  <c r="AT712" i="7" s="1"/>
  <c r="AS651" i="7"/>
  <c r="AT651" i="7" s="1"/>
  <c r="AS788" i="7"/>
  <c r="AT788" i="7" s="1"/>
  <c r="AS276" i="7"/>
  <c r="AT276" i="7" s="1"/>
  <c r="AS251" i="7"/>
  <c r="AT251" i="7" s="1"/>
  <c r="AS841" i="7"/>
  <c r="AT841" i="7" s="1"/>
  <c r="AS94" i="7"/>
  <c r="AT94" i="7" s="1"/>
  <c r="AS199" i="7"/>
  <c r="AT199" i="7" s="1"/>
  <c r="AS269" i="7"/>
  <c r="AT269" i="7" s="1"/>
  <c r="AS119" i="7"/>
  <c r="AT119" i="7" s="1"/>
  <c r="AL460" i="7"/>
  <c r="AM460" i="7" s="1"/>
  <c r="AL783" i="7"/>
  <c r="AM783" i="7" s="1"/>
  <c r="AL691" i="7"/>
  <c r="AM691" i="7" s="1"/>
  <c r="AL769" i="7"/>
  <c r="AM769" i="7" s="1"/>
  <c r="AL355" i="7"/>
  <c r="AM355" i="7" s="1"/>
  <c r="AL153" i="7"/>
  <c r="AM153" i="7" s="1"/>
  <c r="AL594" i="7"/>
  <c r="AM594" i="7" s="1"/>
  <c r="AL253" i="7"/>
  <c r="AM253" i="7" s="1"/>
  <c r="AL659" i="7"/>
  <c r="AM659" i="7" s="1"/>
  <c r="AL95" i="7"/>
  <c r="AM95" i="7" s="1"/>
  <c r="AQ23" i="7"/>
  <c r="AO23" i="7" s="1"/>
  <c r="AQ235" i="7"/>
  <c r="AO235" i="7" s="1"/>
  <c r="AQ234" i="7"/>
  <c r="AO234" i="7" s="1"/>
  <c r="AQ803" i="7"/>
  <c r="AO803" i="7" s="1"/>
  <c r="AQ842" i="7"/>
  <c r="AO842" i="7" s="1"/>
  <c r="AQ394" i="7"/>
  <c r="AO394" i="7" s="1"/>
  <c r="AQ16" i="7"/>
  <c r="AO16" i="7" s="1"/>
  <c r="AQ862" i="7"/>
  <c r="AO862" i="7" s="1"/>
  <c r="AQ170" i="7"/>
  <c r="AO170" i="7" s="1"/>
  <c r="AQ94" i="7"/>
  <c r="AO94" i="7" s="1"/>
  <c r="AS483" i="7"/>
  <c r="AT483" i="7" s="1"/>
  <c r="AS59" i="7"/>
  <c r="AT59" i="7" s="1"/>
  <c r="AS626" i="7"/>
  <c r="AT626" i="7" s="1"/>
  <c r="AS33" i="7"/>
  <c r="AT33" i="7" s="1"/>
  <c r="AS265" i="7"/>
  <c r="AT265" i="7" s="1"/>
  <c r="AS617" i="7"/>
  <c r="AT617" i="7" s="1"/>
  <c r="AS850" i="7"/>
  <c r="AT850" i="7" s="1"/>
  <c r="AS347" i="7"/>
  <c r="AT347" i="7" s="1"/>
  <c r="AS866" i="7"/>
  <c r="AT866" i="7" s="1"/>
  <c r="AS769" i="7"/>
  <c r="AT769" i="7" s="1"/>
  <c r="AS211" i="7"/>
  <c r="AT211" i="7" s="1"/>
  <c r="AL562" i="7"/>
  <c r="AM562" i="7" s="1"/>
  <c r="AL99" i="7"/>
  <c r="AM99" i="7" s="1"/>
  <c r="AL16" i="7"/>
  <c r="AM16" i="7" s="1"/>
  <c r="AL269" i="7"/>
  <c r="AM269" i="7" s="1"/>
  <c r="AL396" i="7"/>
  <c r="AM396" i="7" s="1"/>
  <c r="AL861" i="7"/>
  <c r="AM861" i="7" s="1"/>
  <c r="AL803" i="7"/>
  <c r="AM803" i="7" s="1"/>
  <c r="AL566" i="7"/>
  <c r="AM566" i="7" s="1"/>
  <c r="AL732" i="7"/>
  <c r="AM732" i="7" s="1"/>
  <c r="AL106" i="7"/>
  <c r="AM106" i="7" s="1"/>
  <c r="AQ347" i="7"/>
  <c r="AO347" i="7" s="1"/>
  <c r="AQ360" i="7"/>
  <c r="AO360" i="7" s="1"/>
  <c r="AQ301" i="7"/>
  <c r="AO301" i="7" s="1"/>
  <c r="AQ59" i="7"/>
  <c r="AO59" i="7" s="1"/>
  <c r="AQ463" i="7"/>
  <c r="AO463" i="7" s="1"/>
  <c r="AQ556" i="7"/>
  <c r="AO556" i="7" s="1"/>
  <c r="AQ492" i="7"/>
  <c r="AO492" i="7" s="1"/>
  <c r="AQ480" i="7"/>
  <c r="AO480" i="7" s="1"/>
  <c r="AQ535" i="7"/>
  <c r="AO535" i="7" s="1"/>
  <c r="AQ591" i="7"/>
  <c r="AO591" i="7" s="1"/>
  <c r="AS260" i="7"/>
  <c r="AT260" i="7" s="1"/>
  <c r="AS239" i="7"/>
  <c r="AT239" i="7" s="1"/>
  <c r="AS684" i="7"/>
  <c r="AT684" i="7" s="1"/>
  <c r="AS221" i="7"/>
  <c r="AT221" i="7" s="1"/>
  <c r="AS227" i="7"/>
  <c r="AT227" i="7" s="1"/>
  <c r="AS786" i="7"/>
  <c r="AT786" i="7" s="1"/>
  <c r="AS231" i="7"/>
  <c r="AT231" i="7" s="1"/>
  <c r="AS659" i="7"/>
  <c r="AT659" i="7" s="1"/>
  <c r="AS859" i="7"/>
  <c r="AT859" i="7" s="1"/>
  <c r="AS447" i="7"/>
  <c r="AT447" i="7" s="1"/>
  <c r="AS270" i="7"/>
  <c r="AT270" i="7" s="1"/>
  <c r="AS413" i="7"/>
  <c r="AT413" i="7" s="1"/>
  <c r="AS711" i="7"/>
  <c r="AT711" i="7" s="1"/>
  <c r="AS861" i="7"/>
  <c r="AT861" i="7" s="1"/>
  <c r="AS77" i="7"/>
  <c r="AT77" i="7" s="1"/>
  <c r="AS41" i="7"/>
  <c r="AT41" i="7" s="1"/>
  <c r="AS394" i="7"/>
  <c r="AT394" i="7" s="1"/>
  <c r="AS557" i="7"/>
  <c r="AT557" i="7" s="1"/>
  <c r="AS537" i="7"/>
  <c r="AT537" i="7" s="1"/>
  <c r="AS185" i="7"/>
  <c r="AT185" i="7" s="1"/>
  <c r="AS300" i="7"/>
  <c r="AT300" i="7" s="1"/>
  <c r="AL492" i="7"/>
  <c r="AM492" i="7" s="1"/>
  <c r="AL431" i="7"/>
  <c r="AM431" i="7" s="1"/>
  <c r="AL378" i="7"/>
  <c r="AM378" i="7" s="1"/>
  <c r="AL177" i="7"/>
  <c r="AM177" i="7" s="1"/>
  <c r="AL841" i="7"/>
  <c r="AM841" i="7" s="1"/>
  <c r="AL33" i="7"/>
  <c r="AM33" i="7" s="1"/>
  <c r="AL395" i="7"/>
  <c r="AM395" i="7" s="1"/>
  <c r="AL675" i="7"/>
  <c r="AM675" i="7" s="1"/>
  <c r="AL792" i="7"/>
  <c r="AM792" i="7" s="1"/>
  <c r="AL336" i="7"/>
  <c r="AM336" i="7" s="1"/>
  <c r="AL231" i="7"/>
  <c r="AM231" i="7" s="1"/>
  <c r="AQ358" i="7"/>
  <c r="AO358" i="7" s="1"/>
  <c r="AQ145" i="7"/>
  <c r="AO145" i="7" s="1"/>
  <c r="AQ199" i="7"/>
  <c r="AO199" i="7" s="1"/>
  <c r="AQ265" i="7"/>
  <c r="AO265" i="7" s="1"/>
  <c r="AQ810" i="7"/>
  <c r="AO810" i="7" s="1"/>
  <c r="AQ683" i="7"/>
  <c r="AO683" i="7" s="1"/>
  <c r="AQ691" i="7"/>
  <c r="AO691" i="7" s="1"/>
  <c r="AQ326" i="7"/>
  <c r="AO326" i="7" s="1"/>
  <c r="AQ720" i="7"/>
  <c r="AO720" i="7" s="1"/>
  <c r="AQ368" i="7"/>
  <c r="AO368" i="7" s="1"/>
  <c r="AS324" i="7"/>
  <c r="AT324" i="7" s="1"/>
  <c r="AS562" i="7"/>
  <c r="AT562" i="7" s="1"/>
  <c r="AS153" i="7"/>
  <c r="AT153" i="7" s="1"/>
  <c r="AS453" i="7"/>
  <c r="AT453" i="7" s="1"/>
  <c r="AS639" i="7"/>
  <c r="AT639" i="7" s="1"/>
  <c r="AS766" i="7"/>
  <c r="AT766" i="7" s="1"/>
  <c r="AS214" i="7"/>
  <c r="AT214" i="7" s="1"/>
  <c r="AS732" i="7"/>
  <c r="AT732" i="7" s="1"/>
  <c r="AS206" i="7"/>
  <c r="AT206" i="7" s="1"/>
  <c r="AS378" i="7"/>
  <c r="AT378" i="7" s="1"/>
  <c r="AQ776" i="7"/>
  <c r="AO776" i="7" s="1"/>
  <c r="AQ248" i="7"/>
  <c r="AO248" i="7" s="1"/>
  <c r="AQ866" i="7"/>
  <c r="AO866" i="7" s="1"/>
  <c r="AQ39" i="7"/>
  <c r="AO39" i="7" s="1"/>
  <c r="AQ408" i="7"/>
  <c r="AO408" i="7" s="1"/>
  <c r="AQ793" i="7"/>
  <c r="AO793" i="7" s="1"/>
  <c r="AQ788" i="7"/>
  <c r="AO788" i="7" s="1"/>
  <c r="AQ431" i="7"/>
  <c r="AO431" i="7" s="1"/>
  <c r="AQ783" i="7"/>
  <c r="AO783" i="7" s="1"/>
  <c r="AQ804" i="7"/>
  <c r="AO804" i="7" s="1"/>
  <c r="AS93" i="7"/>
  <c r="AT93" i="7" s="1"/>
  <c r="AS517" i="7"/>
  <c r="AT517" i="7" s="1"/>
  <c r="AS556" i="7"/>
  <c r="AT556" i="7" s="1"/>
  <c r="AS106" i="7"/>
  <c r="AT106" i="7" s="1"/>
  <c r="AS307" i="7"/>
  <c r="AT307" i="7" s="1"/>
  <c r="AS281" i="7"/>
  <c r="AT281" i="7" s="1"/>
  <c r="AS776" i="7"/>
  <c r="AT776" i="7" s="1"/>
  <c r="AS751" i="7"/>
  <c r="AT751" i="7" s="1"/>
  <c r="AS750" i="7"/>
  <c r="AT750" i="7" s="1"/>
  <c r="AS116" i="7"/>
  <c r="AT116" i="7" s="1"/>
  <c r="AL421" i="7"/>
  <c r="AM421" i="7" s="1"/>
  <c r="AL126" i="7"/>
  <c r="AM126" i="7" s="1"/>
  <c r="AL475" i="7"/>
  <c r="AM475" i="7" s="1"/>
  <c r="AL489" i="7"/>
  <c r="AM489" i="7" s="1"/>
  <c r="AL227" i="7"/>
  <c r="AM227" i="7" s="1"/>
  <c r="AL788" i="7"/>
  <c r="AM788" i="7" s="1"/>
  <c r="AL314" i="7"/>
  <c r="AM314" i="7" s="1"/>
  <c r="AL862" i="7"/>
  <c r="AM862" i="7" s="1"/>
  <c r="AL797" i="7"/>
  <c r="AM797" i="7" s="1"/>
  <c r="AL869" i="7"/>
  <c r="AM869" i="7" s="1"/>
  <c r="AL145" i="7"/>
  <c r="AM145" i="7" s="1"/>
  <c r="AQ476" i="7"/>
  <c r="AO476" i="7" s="1"/>
  <c r="AQ483" i="7"/>
  <c r="AO483" i="7" s="1"/>
  <c r="AQ93" i="7"/>
  <c r="AO93" i="7" s="1"/>
  <c r="AQ227" i="7"/>
  <c r="AO227" i="7" s="1"/>
  <c r="AQ305" i="7"/>
  <c r="AO305" i="7" s="1"/>
  <c r="AQ608" i="7"/>
  <c r="AO608" i="7" s="1"/>
  <c r="AQ211" i="7"/>
  <c r="AO211" i="7" s="1"/>
  <c r="AQ239" i="7"/>
  <c r="AO239" i="7" s="1"/>
  <c r="AQ266" i="7"/>
  <c r="AO266" i="7" s="1"/>
  <c r="AQ373" i="7"/>
  <c r="AO373" i="7" s="1"/>
  <c r="AS406" i="7"/>
  <c r="AT406" i="7" s="1"/>
  <c r="AS460" i="7"/>
  <c r="AT460" i="7" s="1"/>
  <c r="AS683" i="7"/>
  <c r="AT683" i="7" s="1"/>
  <c r="AS869" i="7"/>
  <c r="AT869" i="7" s="1"/>
  <c r="AS257" i="7"/>
  <c r="AT257" i="7" s="1"/>
  <c r="AS608" i="7"/>
  <c r="AT608" i="7" s="1"/>
  <c r="AS248" i="7"/>
  <c r="AT248" i="7" s="1"/>
  <c r="AS23" i="7"/>
  <c r="AT23" i="7" s="1"/>
  <c r="AS215" i="7"/>
  <c r="AT215" i="7" s="1"/>
  <c r="AS535" i="7"/>
  <c r="AT535" i="7" s="1"/>
  <c r="AL96" i="7"/>
  <c r="AM96" i="7" s="1"/>
  <c r="AL662" i="7"/>
  <c r="AM662" i="7" s="1"/>
  <c r="AL849" i="7"/>
  <c r="AM849" i="7" s="1"/>
  <c r="AL321" i="7"/>
  <c r="AM321" i="7" s="1"/>
  <c r="AL239" i="7"/>
  <c r="AM239" i="7" s="1"/>
  <c r="AL119" i="7"/>
  <c r="AM119" i="7" s="1"/>
  <c r="AL486" i="7"/>
  <c r="AM486" i="7" s="1"/>
  <c r="AL71" i="7"/>
  <c r="AM71" i="7" s="1"/>
  <c r="AL339" i="7"/>
  <c r="AM339" i="7" s="1"/>
  <c r="AL52" i="7"/>
  <c r="AM52" i="7" s="1"/>
  <c r="AL31" i="7"/>
  <c r="AM31" i="7" s="1"/>
  <c r="AQ840" i="7"/>
  <c r="AO840" i="7" s="1"/>
  <c r="AQ636" i="7"/>
  <c r="AO636" i="7" s="1"/>
  <c r="AQ406" i="7"/>
  <c r="AO406" i="7" s="1"/>
  <c r="AQ646" i="7"/>
  <c r="AO646" i="7" s="1"/>
  <c r="AQ116" i="7"/>
  <c r="AO116" i="7" s="1"/>
  <c r="AQ218" i="7"/>
  <c r="AO218" i="7" s="1"/>
  <c r="AQ860" i="7"/>
  <c r="AO860" i="7" s="1"/>
  <c r="AQ711" i="7"/>
  <c r="AO711" i="7" s="1"/>
  <c r="AQ626" i="7"/>
  <c r="AO626" i="7" s="1"/>
  <c r="AQ33" i="7"/>
  <c r="AO33" i="7" s="1"/>
  <c r="AS650" i="7"/>
  <c r="AT650" i="7" s="1"/>
  <c r="AS204" i="7"/>
  <c r="AT204" i="7" s="1"/>
  <c r="AS543" i="7"/>
  <c r="AT543" i="7" s="1"/>
  <c r="AS95" i="7"/>
  <c r="AT95" i="7" s="1"/>
  <c r="AS603" i="7"/>
  <c r="AT603" i="7" s="1"/>
  <c r="AS238" i="7"/>
  <c r="AT238" i="7" s="1"/>
  <c r="AS301" i="7"/>
  <c r="AT301" i="7" s="1"/>
  <c r="AS336" i="7"/>
  <c r="AT336" i="7" s="1"/>
  <c r="AS126" i="7"/>
  <c r="AT126" i="7" s="1"/>
  <c r="AS720" i="7"/>
  <c r="AT720" i="7" s="1"/>
  <c r="AL238" i="7"/>
  <c r="AM238" i="7" s="1"/>
  <c r="AL866" i="7"/>
  <c r="AM866" i="7" s="1"/>
  <c r="AL204" i="7"/>
  <c r="AM204" i="7" s="1"/>
  <c r="AL608" i="7"/>
  <c r="AM608" i="7" s="1"/>
  <c r="AL326" i="7"/>
  <c r="AM326" i="7" s="1"/>
  <c r="AL232" i="7"/>
  <c r="AM232" i="7" s="1"/>
  <c r="AL535" i="7"/>
  <c r="AM535" i="7" s="1"/>
  <c r="AL352" i="7"/>
  <c r="AM352" i="7" s="1"/>
  <c r="AL455" i="7"/>
  <c r="AM455" i="7" s="1"/>
  <c r="AL654" i="7"/>
  <c r="AM654" i="7" s="1"/>
  <c r="AQ456" i="7"/>
  <c r="AO456" i="7" s="1"/>
  <c r="AQ566" i="7"/>
  <c r="AO566" i="7" s="1"/>
  <c r="AQ650" i="7"/>
  <c r="AO650" i="7" s="1"/>
  <c r="AQ639" i="7"/>
  <c r="AO639" i="7" s="1"/>
  <c r="AQ589" i="7"/>
  <c r="AO589" i="7" s="1"/>
  <c r="AQ238" i="7"/>
  <c r="AO238" i="7" s="1"/>
  <c r="AQ745" i="7"/>
  <c r="AO745" i="7" s="1"/>
  <c r="AQ41" i="7"/>
  <c r="AO41" i="7" s="1"/>
  <c r="AQ738" i="7"/>
  <c r="AO738" i="7" s="1"/>
  <c r="AQ270" i="7"/>
  <c r="AO270" i="7" s="1"/>
  <c r="AS104" i="7"/>
  <c r="AT104" i="7" s="1"/>
  <c r="AS50" i="7"/>
  <c r="AT50" i="7" s="1"/>
  <c r="AS218" i="7"/>
  <c r="AT218" i="7" s="1"/>
  <c r="AS52" i="7"/>
  <c r="AT52" i="7" s="1"/>
  <c r="AS728" i="7"/>
  <c r="AT728" i="7" s="1"/>
  <c r="AS36" i="7"/>
  <c r="AT36" i="7" s="1"/>
  <c r="AS145" i="7"/>
  <c r="AT145" i="7" s="1"/>
  <c r="AS455" i="7"/>
  <c r="AT455" i="7" s="1"/>
  <c r="AS123" i="7"/>
  <c r="AT123" i="7" s="1"/>
  <c r="AS783" i="7"/>
  <c r="AT783" i="7" s="1"/>
  <c r="AQ538" i="7"/>
  <c r="AO538" i="7" s="1"/>
  <c r="AQ709" i="7"/>
  <c r="AO709" i="7" s="1"/>
  <c r="AQ104" i="7"/>
  <c r="AO104" i="7" s="1"/>
  <c r="AQ288" i="7"/>
  <c r="AO288" i="7" s="1"/>
  <c r="AQ62" i="7"/>
  <c r="AO62" i="7" s="1"/>
  <c r="AQ321" i="7"/>
  <c r="AO321" i="7" s="1"/>
  <c r="AQ850" i="7"/>
  <c r="AO850" i="7" s="1"/>
  <c r="AQ562" i="7"/>
  <c r="AO562" i="7" s="1"/>
  <c r="AQ861" i="7"/>
  <c r="AO861" i="7" s="1"/>
  <c r="AQ557" i="7"/>
  <c r="AO557" i="7" s="1"/>
  <c r="AS271" i="7"/>
  <c r="AT271" i="7" s="1"/>
  <c r="AS849" i="7"/>
  <c r="AT849" i="7" s="1"/>
  <c r="AS321" i="7"/>
  <c r="AT321" i="7" s="1"/>
  <c r="AS382" i="7"/>
  <c r="AT382" i="7" s="1"/>
  <c r="AS317" i="7"/>
  <c r="AT317" i="7" s="1"/>
  <c r="AS821" i="7"/>
  <c r="AT821" i="7" s="1"/>
  <c r="AS234" i="7"/>
  <c r="AT234" i="7" s="1"/>
  <c r="AS247" i="7"/>
  <c r="AT247" i="7" s="1"/>
  <c r="AS534" i="7"/>
  <c r="AT534" i="7" s="1"/>
  <c r="AS266" i="7"/>
  <c r="AT266" i="7" s="1"/>
  <c r="AS488" i="7"/>
  <c r="AT488" i="7" s="1"/>
  <c r="AS620" i="7"/>
  <c r="AT620" i="7" s="1"/>
  <c r="AS358" i="7"/>
  <c r="AT358" i="7" s="1"/>
  <c r="AS339" i="7"/>
  <c r="AT339" i="7" s="1"/>
  <c r="AS69" i="7"/>
  <c r="AT69" i="7" s="1"/>
  <c r="AS738" i="7"/>
  <c r="AT738" i="7" s="1"/>
  <c r="AQ276" i="7"/>
  <c r="AO276" i="7" s="1"/>
  <c r="AQ339" i="7"/>
  <c r="AO339" i="7" s="1"/>
  <c r="AQ215" i="7"/>
  <c r="AO215" i="7" s="1"/>
  <c r="AQ257" i="7"/>
  <c r="AO257" i="7" s="1"/>
  <c r="AQ651" i="7"/>
  <c r="AO651" i="7" s="1"/>
  <c r="AQ96" i="7"/>
  <c r="AO96" i="7" s="1"/>
  <c r="AQ662" i="7"/>
  <c r="AO662" i="7" s="1"/>
  <c r="AQ204" i="7"/>
  <c r="AO204" i="7" s="1"/>
  <c r="AS246" i="7"/>
  <c r="AT246" i="7" s="1"/>
  <c r="AS818" i="7"/>
  <c r="AT818" i="7" s="1"/>
  <c r="AS274" i="7"/>
  <c r="AT274" i="7" s="1"/>
  <c r="AS530" i="7"/>
  <c r="AT530" i="7" s="1"/>
  <c r="AS694" i="7"/>
  <c r="AT694" i="7" s="1"/>
  <c r="AS463" i="7"/>
  <c r="AT463" i="7" s="1"/>
  <c r="AS421" i="7"/>
  <c r="AT421" i="7" s="1"/>
  <c r="AS638" i="7"/>
  <c r="AT638" i="7" s="1"/>
  <c r="AS797" i="7"/>
  <c r="AT797" i="7" s="1"/>
  <c r="AS326" i="7"/>
  <c r="AT326" i="7" s="1"/>
  <c r="BS455" i="7"/>
  <c r="BT455" i="7" s="1"/>
  <c r="BS231" i="7"/>
  <c r="BT231" i="7" s="1"/>
  <c r="BS557" i="7"/>
  <c r="BT557" i="7" s="1"/>
  <c r="BS360" i="7"/>
  <c r="BT360" i="7" s="1"/>
  <c r="BS317" i="7"/>
  <c r="BT317" i="7" s="1"/>
  <c r="BS41" i="7"/>
  <c r="BT41" i="7" s="1"/>
  <c r="BS821" i="7"/>
  <c r="BT821" i="7" s="1"/>
  <c r="BS373" i="7"/>
  <c r="BT373" i="7" s="1"/>
  <c r="BS23" i="7"/>
  <c r="BT23" i="7" s="1"/>
  <c r="BS300" i="7"/>
  <c r="BT300" i="7" s="1"/>
  <c r="BS530" i="7"/>
  <c r="BT530" i="7" s="1"/>
  <c r="BS358" i="7"/>
  <c r="BT358" i="7" s="1"/>
  <c r="BS537" i="7"/>
  <c r="BT537" i="7" s="1"/>
  <c r="BS50" i="7"/>
  <c r="BT50" i="7" s="1"/>
  <c r="BS608" i="7"/>
  <c r="BT608" i="7" s="1"/>
  <c r="BS745" i="7"/>
  <c r="BT745" i="7" s="1"/>
  <c r="BS347" i="7"/>
  <c r="BT347" i="7" s="1"/>
  <c r="BS475" i="7"/>
  <c r="BT475" i="7" s="1"/>
  <c r="BS36" i="7"/>
  <c r="BT36" i="7" s="1"/>
  <c r="BS591" i="7"/>
  <c r="BT591" i="7" s="1"/>
  <c r="BS270" i="7"/>
  <c r="BT270" i="7" s="1"/>
  <c r="BS339" i="7"/>
  <c r="BT339" i="7" s="1"/>
  <c r="BS246" i="7"/>
  <c r="BT246" i="7" s="1"/>
  <c r="BS797" i="7"/>
  <c r="BT797" i="7" s="1"/>
  <c r="BS355" i="7"/>
  <c r="BT355" i="7" s="1"/>
  <c r="BS420" i="7"/>
  <c r="BT420" i="7" s="1"/>
  <c r="BS315" i="7"/>
  <c r="BT315" i="7" s="1"/>
  <c r="BS792" i="7"/>
  <c r="BT792" i="7" s="1"/>
  <c r="BS483" i="7"/>
  <c r="BT483" i="7" s="1"/>
  <c r="BS260" i="7"/>
  <c r="BT260" i="7" s="1"/>
  <c r="BS413" i="7"/>
  <c r="BT413" i="7" s="1"/>
  <c r="BS199" i="7"/>
  <c r="BT199" i="7" s="1"/>
  <c r="BS866" i="7"/>
  <c r="BT866" i="7" s="1"/>
  <c r="BS859" i="7"/>
  <c r="BT859" i="7" s="1"/>
  <c r="BS406" i="7"/>
  <c r="BT406" i="7" s="1"/>
  <c r="BS185" i="7"/>
  <c r="BT185" i="7" s="1"/>
  <c r="BS104" i="7"/>
  <c r="BT104" i="7" s="1"/>
  <c r="BS206" i="7"/>
  <c r="BT206" i="7" s="1"/>
  <c r="BS69" i="7"/>
  <c r="BT69" i="7" s="1"/>
  <c r="BS326" i="7"/>
  <c r="BT326" i="7" s="1"/>
  <c r="BS769" i="7"/>
  <c r="BT769" i="7" s="1"/>
  <c r="BS177" i="7"/>
  <c r="BT177" i="7" s="1"/>
  <c r="BS163" i="7"/>
  <c r="BT163" i="7" s="1"/>
  <c r="BS804" i="7"/>
  <c r="BT804" i="7" s="1"/>
  <c r="BS378" i="7"/>
  <c r="BT378" i="7" s="1"/>
  <c r="BS810" i="7"/>
  <c r="BT810" i="7" s="1"/>
  <c r="BS408" i="7"/>
  <c r="BT408" i="7" s="1"/>
  <c r="BS520" i="7"/>
  <c r="BT520" i="7" s="1"/>
  <c r="BS170" i="7"/>
  <c r="BT170" i="7" s="1"/>
  <c r="BS589" i="7"/>
  <c r="BT589" i="7" s="1"/>
  <c r="BS535" i="7"/>
  <c r="BT535" i="7" s="1"/>
  <c r="BS612" i="7"/>
  <c r="BT612" i="7" s="1"/>
  <c r="BS486" i="7"/>
  <c r="BT486" i="7" s="1"/>
  <c r="BS99" i="7"/>
  <c r="BT99" i="7" s="1"/>
  <c r="BS720" i="7"/>
  <c r="BT720" i="7" s="1"/>
  <c r="BS651" i="7"/>
  <c r="BT651" i="7" s="1"/>
  <c r="BS314" i="7"/>
  <c r="BT314" i="7" s="1"/>
  <c r="BS783" i="7"/>
  <c r="BT783" i="7" s="1"/>
  <c r="BS689" i="7"/>
  <c r="BT689" i="7" s="1"/>
  <c r="BS674" i="7"/>
  <c r="BT674" i="7" s="1"/>
  <c r="BS266" i="7"/>
  <c r="BT266" i="7" s="1"/>
  <c r="BS395" i="7"/>
  <c r="BT395" i="7" s="1"/>
  <c r="BS626" i="7"/>
  <c r="BT626" i="7" s="1"/>
  <c r="BS684" i="7"/>
  <c r="BT684" i="7" s="1"/>
  <c r="BS617" i="7"/>
  <c r="BT617" i="7" s="1"/>
  <c r="BS738" i="7"/>
  <c r="BT738" i="7" s="1"/>
  <c r="BS786" i="7"/>
  <c r="BT786" i="7" s="1"/>
  <c r="BS861" i="7"/>
  <c r="BT861" i="7" s="1"/>
  <c r="BS171" i="7"/>
  <c r="BT171" i="7" s="1"/>
  <c r="BS153" i="7"/>
  <c r="BT153" i="7" s="1"/>
  <c r="BS556" i="7"/>
  <c r="BT556" i="7" s="1"/>
  <c r="BS766" i="7"/>
  <c r="BT766" i="7" s="1"/>
  <c r="BS624" i="7"/>
  <c r="BT624" i="7" s="1"/>
  <c r="BS683" i="7"/>
  <c r="BT683" i="7" s="1"/>
  <c r="BS281" i="7"/>
  <c r="BT281" i="7" s="1"/>
  <c r="BS811" i="7"/>
  <c r="BT811" i="7" s="1"/>
  <c r="BS232" i="7"/>
  <c r="BT232" i="7" s="1"/>
  <c r="BS788" i="7"/>
  <c r="BT788" i="7" s="1"/>
  <c r="BS447" i="7"/>
  <c r="BT447" i="7" s="1"/>
  <c r="BS214" i="7"/>
  <c r="BT214" i="7" s="1"/>
  <c r="BS235" i="7"/>
  <c r="BT235" i="7" s="1"/>
  <c r="BS732" i="7"/>
  <c r="BT732" i="7" s="1"/>
  <c r="BS227" i="7"/>
  <c r="BT227" i="7" s="1"/>
  <c r="BS94" i="7"/>
  <c r="BT94" i="7" s="1"/>
  <c r="BS392" i="7"/>
  <c r="BT392" i="7" s="1"/>
  <c r="BS603" i="7"/>
  <c r="BT603" i="7" s="1"/>
  <c r="BS751" i="7"/>
  <c r="BT751" i="7" s="1"/>
  <c r="BS638" i="7"/>
  <c r="BT638" i="7" s="1"/>
  <c r="BS288" i="7"/>
  <c r="BT288" i="7" s="1"/>
  <c r="BS299" i="7"/>
  <c r="BT299" i="7" s="1"/>
  <c r="BS145" i="7"/>
  <c r="BT145" i="7" s="1"/>
  <c r="BS849" i="7"/>
  <c r="BT849" i="7" s="1"/>
  <c r="BS412" i="7"/>
  <c r="BT412" i="7" s="1"/>
  <c r="BS394" i="7"/>
  <c r="BT394" i="7" s="1"/>
  <c r="BS543" i="7"/>
  <c r="BT543" i="7" s="1"/>
  <c r="BS697" i="7"/>
  <c r="BT697" i="7" s="1"/>
  <c r="BS815" i="7"/>
  <c r="BT815" i="7" s="1"/>
  <c r="BS860" i="7"/>
  <c r="BT860" i="7" s="1"/>
  <c r="BS31" i="7"/>
  <c r="BT31" i="7" s="1"/>
  <c r="BS776" i="7"/>
  <c r="BT776" i="7" s="1"/>
  <c r="BS301" i="7"/>
  <c r="BT301" i="7" s="1"/>
  <c r="BS234" i="7"/>
  <c r="BT234" i="7" s="1"/>
  <c r="BS276" i="7"/>
  <c r="BT276" i="7" s="1"/>
  <c r="BS307" i="7"/>
  <c r="BT307" i="7" s="1"/>
  <c r="BS211" i="7"/>
  <c r="BT211" i="7" s="1"/>
  <c r="BS460" i="7"/>
  <c r="BT460" i="7" s="1"/>
  <c r="BS274" i="7"/>
  <c r="BT274" i="7" s="1"/>
  <c r="BS218" i="7"/>
  <c r="BT218" i="7" s="1"/>
  <c r="BS96" i="7"/>
  <c r="BT96" i="7" s="1"/>
  <c r="BS481" i="7"/>
  <c r="BT481" i="7" s="1"/>
  <c r="BS492" i="7"/>
  <c r="BT492" i="7" s="1"/>
  <c r="BS850" i="7"/>
  <c r="BT850" i="7" s="1"/>
  <c r="BS91" i="7"/>
  <c r="BT91" i="7" s="1"/>
  <c r="BS336" i="7"/>
  <c r="BT336" i="7" s="1"/>
  <c r="BS247" i="7"/>
  <c r="BT247" i="7" s="1"/>
  <c r="BS396" i="7"/>
  <c r="BT396" i="7" s="1"/>
  <c r="BS538" i="7"/>
  <c r="BT538" i="7" s="1"/>
  <c r="BS659" i="7"/>
  <c r="BT659" i="7" s="1"/>
  <c r="BS59" i="7"/>
  <c r="BT59" i="7" s="1"/>
  <c r="BS562" i="7"/>
  <c r="BT562" i="7" s="1"/>
  <c r="BS793" i="7"/>
  <c r="BT793" i="7" s="1"/>
  <c r="BS119" i="7"/>
  <c r="BT119" i="7" s="1"/>
  <c r="BS248" i="7"/>
  <c r="BT248" i="7" s="1"/>
  <c r="BS431" i="7"/>
  <c r="BT431" i="7" s="1"/>
  <c r="BS498" i="7"/>
  <c r="BT498" i="7" s="1"/>
  <c r="BS728" i="7"/>
  <c r="BT728" i="7" s="1"/>
  <c r="BS639" i="7"/>
  <c r="BT639" i="7" s="1"/>
  <c r="BS841" i="7"/>
  <c r="BT841" i="7" s="1"/>
  <c r="BS709" i="7"/>
  <c r="BT709" i="7" s="1"/>
  <c r="BS456" i="7"/>
  <c r="BT456" i="7" s="1"/>
  <c r="BS175" i="7"/>
  <c r="BT175" i="7" s="1"/>
  <c r="BS450" i="7"/>
  <c r="BT450" i="7" s="1"/>
  <c r="BS566" i="7"/>
  <c r="BT566" i="7" s="1"/>
  <c r="BS840" i="7"/>
  <c r="BT840" i="7" s="1"/>
  <c r="BS636" i="7"/>
  <c r="BT636" i="7" s="1"/>
  <c r="BS253" i="7"/>
  <c r="BT253" i="7" s="1"/>
  <c r="BS251" i="7"/>
  <c r="BT251" i="7" s="1"/>
  <c r="BS476" i="7"/>
  <c r="BT476" i="7" s="1"/>
  <c r="BS324" i="7"/>
  <c r="BT324" i="7" s="1"/>
  <c r="BS93" i="7"/>
  <c r="BT93" i="7" s="1"/>
  <c r="BS650" i="7"/>
  <c r="BT650" i="7" s="1"/>
  <c r="BS269" i="7"/>
  <c r="BT269" i="7" s="1"/>
  <c r="BS620" i="7"/>
  <c r="BT620" i="7" s="1"/>
  <c r="BS467" i="7"/>
  <c r="BT467" i="7" s="1"/>
  <c r="BS700" i="7"/>
  <c r="BT700" i="7" s="1"/>
  <c r="BS16" i="7"/>
  <c r="BT16" i="7" s="1"/>
  <c r="BS348" i="7"/>
  <c r="BT348" i="7" s="1"/>
  <c r="BS594" i="7"/>
  <c r="BT594" i="7" s="1"/>
  <c r="BS488" i="7"/>
  <c r="BT488" i="7" s="1"/>
  <c r="BS238" i="7"/>
  <c r="BT238" i="7" s="1"/>
  <c r="BS421" i="7"/>
  <c r="BT421" i="7" s="1"/>
  <c r="BS691" i="7"/>
  <c r="BT691" i="7" s="1"/>
  <c r="BS655" i="7"/>
  <c r="BT655" i="7" s="1"/>
  <c r="BS271" i="7"/>
  <c r="BT271" i="7" s="1"/>
  <c r="BS662" i="7"/>
  <c r="BT662" i="7" s="1"/>
  <c r="BS750" i="7"/>
  <c r="BT750" i="7" s="1"/>
  <c r="BS112" i="7"/>
  <c r="BT112" i="7" s="1"/>
  <c r="BS781" i="7"/>
  <c r="BT781" i="7" s="1"/>
  <c r="BS215" i="7"/>
  <c r="BT215" i="7" s="1"/>
  <c r="BS818" i="7"/>
  <c r="BT818" i="7" s="1"/>
  <c r="BS352" i="7"/>
  <c r="BT352" i="7" s="1"/>
  <c r="BS126" i="7"/>
  <c r="BT126" i="7" s="1"/>
  <c r="BS71" i="7"/>
  <c r="BT71" i="7" s="1"/>
  <c r="BS675" i="7"/>
  <c r="BT675" i="7" s="1"/>
  <c r="BS468" i="7"/>
  <c r="BT468" i="7" s="1"/>
  <c r="BS239" i="7"/>
  <c r="BT239" i="7" s="1"/>
  <c r="BS265" i="7"/>
  <c r="BT265" i="7" s="1"/>
  <c r="BS711" i="7"/>
  <c r="BT711" i="7" s="1"/>
  <c r="BS646" i="7"/>
  <c r="BT646" i="7" s="1"/>
  <c r="BS257" i="7"/>
  <c r="BT257" i="7" s="1"/>
  <c r="BS641" i="7"/>
  <c r="BT641" i="7" s="1"/>
  <c r="BS692" i="7"/>
  <c r="BT692" i="7" s="1"/>
  <c r="BS842" i="7"/>
  <c r="BT842" i="7" s="1"/>
  <c r="BS590" i="7"/>
  <c r="BT590" i="7" s="1"/>
  <c r="BS368" i="7"/>
  <c r="BT368" i="7" s="1"/>
  <c r="BS33" i="7"/>
  <c r="BT33" i="7" s="1"/>
  <c r="BS123" i="7"/>
  <c r="BT123" i="7" s="1"/>
  <c r="BS176" i="7"/>
  <c r="BT176" i="7" s="1"/>
  <c r="BS862" i="7"/>
  <c r="BT862" i="7" s="1"/>
  <c r="BS534" i="7"/>
  <c r="BT534" i="7" s="1"/>
  <c r="BS480" i="7"/>
  <c r="BT480" i="7" s="1"/>
  <c r="BS78" i="7"/>
  <c r="BT78" i="7" s="1"/>
  <c r="BS803" i="7"/>
  <c r="BT803" i="7" s="1"/>
  <c r="BS39" i="7"/>
  <c r="BT39" i="7" s="1"/>
  <c r="BS517" i="7"/>
  <c r="BT517" i="7" s="1"/>
  <c r="BS204" i="7"/>
  <c r="BT204" i="7" s="1"/>
  <c r="BS321" i="7"/>
  <c r="BT321" i="7" s="1"/>
  <c r="BS489" i="7"/>
  <c r="BT489" i="7" s="1"/>
  <c r="BS463" i="7"/>
  <c r="BT463" i="7" s="1"/>
  <c r="BS63" i="7"/>
  <c r="BT63" i="7" s="1"/>
  <c r="BS305" i="7"/>
  <c r="BT305" i="7" s="1"/>
  <c r="BS116" i="7"/>
  <c r="BT116" i="7" s="1"/>
  <c r="BS62" i="7"/>
  <c r="BT62" i="7" s="1"/>
  <c r="BC399" i="7"/>
  <c r="L399" i="7"/>
  <c r="BV399" i="7"/>
  <c r="BC522" i="7"/>
  <c r="L522" i="7"/>
  <c r="BV522" i="7"/>
  <c r="BC499" i="7"/>
  <c r="L499" i="7"/>
  <c r="BV499" i="7"/>
  <c r="BC819" i="7"/>
  <c r="L819" i="7"/>
  <c r="BV819" i="7"/>
  <c r="BC294" i="7"/>
  <c r="L294" i="7"/>
  <c r="BV294" i="7"/>
  <c r="BC80" i="7"/>
  <c r="L80" i="7"/>
  <c r="BV80" i="7"/>
  <c r="BC598" i="7"/>
  <c r="L598" i="7"/>
  <c r="BV598" i="7"/>
  <c r="BC593" i="7"/>
  <c r="L593" i="7"/>
  <c r="BV593" i="7"/>
  <c r="BC187" i="7"/>
  <c r="L187" i="7"/>
  <c r="BV187" i="7"/>
  <c r="BC89" i="7"/>
  <c r="L89" i="7"/>
  <c r="BV89" i="7"/>
  <c r="BC452" i="7"/>
  <c r="L452" i="7"/>
  <c r="BV452" i="7"/>
  <c r="BC817" i="7"/>
  <c r="L817" i="7"/>
  <c r="BV817" i="7"/>
  <c r="BC726" i="7"/>
  <c r="L726" i="7"/>
  <c r="BV726" i="7"/>
  <c r="BC40" i="7"/>
  <c r="L40" i="7"/>
  <c r="BV40" i="7"/>
  <c r="BC865" i="7"/>
  <c r="L865" i="7"/>
  <c r="BV865" i="7"/>
  <c r="BC184" i="7"/>
  <c r="L184" i="7"/>
  <c r="BV184" i="7"/>
  <c r="BC569" i="7"/>
  <c r="L569" i="7"/>
  <c r="BV569" i="7"/>
  <c r="BC164" i="7"/>
  <c r="L164" i="7"/>
  <c r="BV164" i="7"/>
  <c r="BC853" i="7"/>
  <c r="L853" i="7"/>
  <c r="BV853" i="7"/>
  <c r="BC150" i="7"/>
  <c r="L150" i="7"/>
  <c r="BV150" i="7"/>
  <c r="BC333" i="7"/>
  <c r="L333" i="7"/>
  <c r="BV333" i="7"/>
  <c r="BC338" i="7"/>
  <c r="L338" i="7"/>
  <c r="BV338" i="7"/>
  <c r="BC97" i="7"/>
  <c r="L97" i="7"/>
  <c r="BV97" i="7"/>
  <c r="BC264" i="7"/>
  <c r="L264" i="7"/>
  <c r="BV264" i="7"/>
  <c r="BC437" i="7"/>
  <c r="L437" i="7"/>
  <c r="BV437" i="7"/>
  <c r="BC510" i="7"/>
  <c r="L510" i="7"/>
  <c r="BV510" i="7"/>
  <c r="BC500" i="7"/>
  <c r="L500" i="7"/>
  <c r="BV500" i="7"/>
  <c r="BC319" i="7"/>
  <c r="L319" i="7"/>
  <c r="BV319" i="7"/>
  <c r="BC111" i="7"/>
  <c r="L111" i="7"/>
  <c r="BV111" i="7"/>
  <c r="BC56" i="7"/>
  <c r="L56" i="7"/>
  <c r="BV56" i="7"/>
  <c r="BC108" i="7"/>
  <c r="L108" i="7"/>
  <c r="BV108" i="7"/>
  <c r="BC191" i="7"/>
  <c r="L191" i="7"/>
  <c r="BV191" i="7"/>
  <c r="BC634" i="7"/>
  <c r="L634" i="7"/>
  <c r="BV634" i="7"/>
  <c r="BC446" i="7"/>
  <c r="L446" i="7"/>
  <c r="BV446" i="7"/>
  <c r="BC114" i="7"/>
  <c r="L114" i="7"/>
  <c r="BV114" i="7"/>
  <c r="BC832" i="7"/>
  <c r="L832" i="7"/>
  <c r="BV832" i="7"/>
  <c r="BC385" i="7"/>
  <c r="L385" i="7"/>
  <c r="BV385" i="7"/>
  <c r="BC671" i="7"/>
  <c r="L671" i="7"/>
  <c r="BV671" i="7"/>
  <c r="BC122" i="7"/>
  <c r="L122" i="7"/>
  <c r="BV122" i="7"/>
  <c r="BC102" i="7"/>
  <c r="L102" i="7"/>
  <c r="BV102" i="7"/>
  <c r="BC713" i="7"/>
  <c r="L713" i="7"/>
  <c r="BV713" i="7"/>
  <c r="BC721" i="7"/>
  <c r="L721" i="7"/>
  <c r="BV721" i="7"/>
  <c r="BC186" i="7"/>
  <c r="L186" i="7"/>
  <c r="BV186" i="7"/>
  <c r="BC18" i="7"/>
  <c r="L18" i="7"/>
  <c r="BV18" i="7"/>
  <c r="BC777" i="7"/>
  <c r="L777" i="7"/>
  <c r="BV777" i="7"/>
  <c r="BC279" i="7"/>
  <c r="L279" i="7"/>
  <c r="BV279" i="7"/>
  <c r="BC228" i="7"/>
  <c r="L228" i="7"/>
  <c r="BV228" i="7"/>
  <c r="BC822" i="7"/>
  <c r="L822" i="7"/>
  <c r="BV822" i="7"/>
  <c r="BC595" i="7"/>
  <c r="L595" i="7"/>
  <c r="BV595" i="7"/>
  <c r="BC507" i="7"/>
  <c r="L507" i="7"/>
  <c r="BV507" i="7"/>
  <c r="BC311" i="7"/>
  <c r="L311" i="7"/>
  <c r="BV311" i="7"/>
  <c r="BC588" i="7"/>
  <c r="L588" i="7"/>
  <c r="BV588" i="7"/>
  <c r="BC785" i="7"/>
  <c r="L785" i="7"/>
  <c r="BV785" i="7"/>
  <c r="BC573" i="7"/>
  <c r="L573" i="7"/>
  <c r="BV573" i="7"/>
  <c r="BC707" i="7"/>
  <c r="L707" i="7"/>
  <c r="BV707" i="7"/>
  <c r="BC37" i="7"/>
  <c r="L37" i="7"/>
  <c r="BV37" i="7"/>
  <c r="BC519" i="7"/>
  <c r="L519" i="7"/>
  <c r="BV519" i="7"/>
  <c r="BC847" i="7"/>
  <c r="L847" i="7"/>
  <c r="BV847" i="7"/>
  <c r="BC729" i="7"/>
  <c r="L729" i="7"/>
  <c r="BV729" i="7"/>
  <c r="BC90" i="7"/>
  <c r="L90" i="7"/>
  <c r="BV90" i="7"/>
  <c r="BC710" i="7"/>
  <c r="L710" i="7"/>
  <c r="BV710" i="7"/>
  <c r="BC800" i="7"/>
  <c r="L800" i="7"/>
  <c r="BV800" i="7"/>
  <c r="BC414" i="7"/>
  <c r="L414" i="7"/>
  <c r="BV414" i="7"/>
  <c r="BC747" i="7"/>
  <c r="L747" i="7"/>
  <c r="BV747" i="7"/>
  <c r="BC226" i="7"/>
  <c r="L226" i="7"/>
  <c r="BV226" i="7"/>
  <c r="BC661" i="7"/>
  <c r="L661" i="7"/>
  <c r="BV661" i="7"/>
  <c r="BC723" i="7"/>
  <c r="L723" i="7"/>
  <c r="BV723" i="7"/>
  <c r="BC27" i="7"/>
  <c r="L27" i="7"/>
  <c r="BV27" i="7"/>
  <c r="BC809" i="7"/>
  <c r="L809" i="7"/>
  <c r="BV809" i="7"/>
  <c r="BC440" i="7"/>
  <c r="L440" i="7"/>
  <c r="BV440" i="7"/>
  <c r="BC764" i="7"/>
  <c r="L764" i="7"/>
  <c r="BV764" i="7"/>
  <c r="BC852" i="7"/>
  <c r="L852" i="7"/>
  <c r="BV852" i="7"/>
  <c r="BC702" i="7"/>
  <c r="L702" i="7"/>
  <c r="BV702" i="7"/>
  <c r="BC29" i="7"/>
  <c r="L29" i="7"/>
  <c r="BV29" i="7"/>
  <c r="BC306" i="7"/>
  <c r="L306" i="7"/>
  <c r="BV306" i="7"/>
  <c r="BC346" i="7"/>
  <c r="L346" i="7"/>
  <c r="BV346" i="7"/>
  <c r="BC376" i="7"/>
  <c r="L376" i="7"/>
  <c r="BV376" i="7"/>
  <c r="BC494" i="7"/>
  <c r="L494" i="7"/>
  <c r="BV494" i="7"/>
  <c r="BC26" i="7"/>
  <c r="L26" i="7"/>
  <c r="BV26" i="7"/>
  <c r="BC222" i="7"/>
  <c r="L222" i="7"/>
  <c r="BV222" i="7"/>
  <c r="BC807" i="7"/>
  <c r="L807" i="7"/>
  <c r="BV807" i="7"/>
  <c r="BC477" i="7"/>
  <c r="L477" i="7"/>
  <c r="BV477" i="7"/>
  <c r="BC261" i="7"/>
  <c r="L261" i="7"/>
  <c r="BV261" i="7"/>
  <c r="BC356" i="7"/>
  <c r="L356" i="7"/>
  <c r="BV356" i="7"/>
  <c r="BC283" i="7"/>
  <c r="L283" i="7"/>
  <c r="BV283" i="7"/>
  <c r="BC407" i="7"/>
  <c r="L407" i="7"/>
  <c r="BV407" i="7"/>
  <c r="BC561" i="7"/>
  <c r="L561" i="7"/>
  <c r="BV561" i="7"/>
  <c r="BC525" i="7"/>
  <c r="L525" i="7"/>
  <c r="BV525" i="7"/>
  <c r="BC614" i="7"/>
  <c r="L614" i="7"/>
  <c r="BV614" i="7"/>
  <c r="BC552" i="7"/>
  <c r="L552" i="7"/>
  <c r="BV552" i="7"/>
  <c r="BC824" i="7"/>
  <c r="L824" i="7"/>
  <c r="BV824" i="7"/>
  <c r="BC15" i="7"/>
  <c r="L15" i="7"/>
  <c r="BV15" i="7"/>
  <c r="BC570" i="7"/>
  <c r="L570" i="7"/>
  <c r="BV570" i="7"/>
  <c r="BC521" i="7"/>
  <c r="L521" i="7"/>
  <c r="BV521" i="7"/>
  <c r="BC789" i="7"/>
  <c r="L789" i="7"/>
  <c r="BV789" i="7"/>
  <c r="BC418" i="7"/>
  <c r="L418" i="7"/>
  <c r="BV418" i="7"/>
  <c r="BC668" i="7"/>
  <c r="L668" i="7"/>
  <c r="BV668" i="7"/>
  <c r="BC503" i="7"/>
  <c r="L503" i="7"/>
  <c r="BV503" i="7"/>
  <c r="BC838" i="7"/>
  <c r="L838" i="7"/>
  <c r="BV838" i="7"/>
  <c r="BC542" i="7"/>
  <c r="L542" i="7"/>
  <c r="BV542" i="7"/>
  <c r="BC259" i="7"/>
  <c r="L259" i="7"/>
  <c r="BV259" i="7"/>
  <c r="BC615" i="7"/>
  <c r="L615" i="7"/>
  <c r="BV615" i="7"/>
  <c r="BC828" i="7"/>
  <c r="L828" i="7"/>
  <c r="BV828" i="7"/>
  <c r="BC734" i="7"/>
  <c r="L734" i="7"/>
  <c r="BV734" i="7"/>
  <c r="BC645" i="7"/>
  <c r="L645" i="7"/>
  <c r="BV645" i="7"/>
  <c r="BC245" i="7"/>
  <c r="L245" i="7"/>
  <c r="BV245" i="7"/>
  <c r="BC863" i="7"/>
  <c r="L863" i="7"/>
  <c r="BV863" i="7"/>
  <c r="BC343" i="7"/>
  <c r="L343" i="7"/>
  <c r="BV343" i="7"/>
  <c r="BC328" i="7"/>
  <c r="L328" i="7"/>
  <c r="BV328" i="7"/>
  <c r="BC514" i="7"/>
  <c r="L514" i="7"/>
  <c r="BV514" i="7"/>
  <c r="BC579" i="7"/>
  <c r="L579" i="7"/>
  <c r="BV579" i="7"/>
  <c r="BC384" i="7"/>
  <c r="L384" i="7"/>
  <c r="BV384" i="7"/>
  <c r="BC149" i="7"/>
  <c r="L149" i="7"/>
  <c r="BV149" i="7"/>
  <c r="BC550" i="7"/>
  <c r="L550" i="7"/>
  <c r="BV550" i="7"/>
  <c r="BC182" i="7"/>
  <c r="L182" i="7"/>
  <c r="BV182" i="7"/>
  <c r="BC351" i="7"/>
  <c r="L351" i="7"/>
  <c r="BV351" i="7"/>
  <c r="BC402" i="7"/>
  <c r="L402" i="7"/>
  <c r="BV402" i="7"/>
  <c r="BC755" i="7"/>
  <c r="L755" i="7"/>
  <c r="BV755" i="7"/>
  <c r="BC782" i="7"/>
  <c r="L782" i="7"/>
  <c r="BV782" i="7"/>
  <c r="BC708" i="7"/>
  <c r="L708" i="7"/>
  <c r="BV708" i="7"/>
  <c r="BC303" i="7"/>
  <c r="L303" i="7"/>
  <c r="BV303" i="7"/>
  <c r="BC640" i="7"/>
  <c r="L640" i="7"/>
  <c r="BV640" i="7"/>
  <c r="BC567" i="7"/>
  <c r="L567" i="7"/>
  <c r="BV567" i="7"/>
  <c r="BC772" i="7"/>
  <c r="L772" i="7"/>
  <c r="BV772" i="7"/>
  <c r="BC242" i="7"/>
  <c r="L242" i="7"/>
  <c r="BV242" i="7"/>
  <c r="BC212" i="7"/>
  <c r="L212" i="7"/>
  <c r="BV212" i="7"/>
  <c r="BC162" i="7"/>
  <c r="L162" i="7"/>
  <c r="BV162" i="7"/>
  <c r="BC491" i="7"/>
  <c r="L491" i="7"/>
  <c r="BV491" i="7"/>
  <c r="BC381" i="7"/>
  <c r="L381" i="7"/>
  <c r="BV381" i="7"/>
  <c r="BC146" i="7"/>
  <c r="L146" i="7"/>
  <c r="BV146" i="7"/>
  <c r="BC665" i="7"/>
  <c r="L665" i="7"/>
  <c r="BV665" i="7"/>
  <c r="BC152" i="7"/>
  <c r="L152" i="7"/>
  <c r="BV152" i="7"/>
  <c r="BC699" i="7"/>
  <c r="L699" i="7"/>
  <c r="BV699" i="7"/>
  <c r="BC400" i="7"/>
  <c r="L400" i="7"/>
  <c r="BV400" i="7"/>
  <c r="BC322" i="7"/>
  <c r="L322" i="7"/>
  <c r="BV322" i="7"/>
  <c r="BC799" i="7"/>
  <c r="L799" i="7"/>
  <c r="BV799" i="7"/>
  <c r="BC280" i="7"/>
  <c r="L280" i="7"/>
  <c r="BV280" i="7"/>
  <c r="BC167" i="7"/>
  <c r="L167" i="7"/>
  <c r="BV167" i="7"/>
  <c r="BC345" i="7"/>
  <c r="L345" i="7"/>
  <c r="BV345" i="7"/>
  <c r="BC148" i="7"/>
  <c r="L148" i="7"/>
  <c r="BV148" i="7"/>
  <c r="BC138" i="7"/>
  <c r="L138" i="7"/>
  <c r="BV138" i="7"/>
  <c r="BC332" i="7"/>
  <c r="L332" i="7"/>
  <c r="BV332" i="7"/>
  <c r="BC736" i="7"/>
  <c r="L736" i="7"/>
  <c r="BV736" i="7"/>
  <c r="BC587" i="7"/>
  <c r="L587" i="7"/>
  <c r="BV587" i="7"/>
  <c r="BC761" i="7"/>
  <c r="L761" i="7"/>
  <c r="BV761" i="7"/>
  <c r="BC86" i="7"/>
  <c r="L86" i="7"/>
  <c r="BV86" i="7"/>
  <c r="BC796" i="7"/>
  <c r="L796" i="7"/>
  <c r="BV796" i="7"/>
  <c r="BC115" i="7"/>
  <c r="L115" i="7"/>
  <c r="BV115" i="7"/>
  <c r="BC791" i="7"/>
  <c r="L791" i="7"/>
  <c r="BV791" i="7"/>
  <c r="BC426" i="7"/>
  <c r="L426" i="7"/>
  <c r="BV426" i="7"/>
  <c r="BC178" i="7"/>
  <c r="L178" i="7"/>
  <c r="BV178" i="7"/>
  <c r="BC35" i="7"/>
  <c r="L35" i="7"/>
  <c r="BV35" i="7"/>
  <c r="BC429" i="7"/>
  <c r="L429" i="7"/>
  <c r="BV429" i="7"/>
  <c r="BC179" i="7"/>
  <c r="L179" i="7"/>
  <c r="BV179" i="7"/>
  <c r="BC141" i="7"/>
  <c r="L141" i="7"/>
  <c r="BV141" i="7"/>
  <c r="BC419" i="7"/>
  <c r="L419" i="7"/>
  <c r="BV419" i="7"/>
  <c r="BC169" i="7"/>
  <c r="L169" i="7"/>
  <c r="BV169" i="7"/>
  <c r="BC428" i="7"/>
  <c r="L428" i="7"/>
  <c r="BV428" i="7"/>
  <c r="BC70" i="7"/>
  <c r="L70" i="7"/>
  <c r="BV70" i="7"/>
  <c r="BC718" i="7"/>
  <c r="L718" i="7"/>
  <c r="BV718" i="7"/>
  <c r="BC504" i="7"/>
  <c r="L504" i="7"/>
  <c r="BV504" i="7"/>
  <c r="BC22" i="7"/>
  <c r="L22" i="7"/>
  <c r="BV22" i="7"/>
  <c r="BC748" i="7"/>
  <c r="L748" i="7"/>
  <c r="BV748" i="7"/>
  <c r="BC779" i="7"/>
  <c r="L779" i="7"/>
  <c r="BV779" i="7"/>
  <c r="BC389" i="7"/>
  <c r="L389" i="7"/>
  <c r="BV389" i="7"/>
  <c r="BC846" i="7"/>
  <c r="L846" i="7"/>
  <c r="BV846" i="7"/>
  <c r="BC87" i="7"/>
  <c r="L87" i="7"/>
  <c r="BV87" i="7"/>
  <c r="BC391" i="7"/>
  <c r="L391" i="7"/>
  <c r="BV391" i="7"/>
  <c r="BC465" i="7"/>
  <c r="L465" i="7"/>
  <c r="BV465" i="7"/>
  <c r="BC622" i="7"/>
  <c r="L622" i="7"/>
  <c r="BV622" i="7"/>
  <c r="BC744" i="7"/>
  <c r="L744" i="7"/>
  <c r="BV744" i="7"/>
  <c r="BC8" i="7"/>
  <c r="L8" i="7"/>
  <c r="BV8" i="7"/>
  <c r="BC127" i="7"/>
  <c r="L127" i="7"/>
  <c r="BV127" i="7"/>
  <c r="BC795" i="7"/>
  <c r="L795" i="7"/>
  <c r="BV795" i="7"/>
  <c r="BC762" i="7"/>
  <c r="L762" i="7"/>
  <c r="BV762" i="7"/>
  <c r="BC559" i="7"/>
  <c r="L559" i="7"/>
  <c r="BV559" i="7"/>
  <c r="BC422" i="7"/>
  <c r="L422" i="7"/>
  <c r="BV422" i="7"/>
  <c r="BC363" i="7"/>
  <c r="L363" i="7"/>
  <c r="BV363" i="7"/>
  <c r="BC434" i="7"/>
  <c r="L434" i="7"/>
  <c r="BV434" i="7"/>
  <c r="BC813" i="7"/>
  <c r="L813" i="7"/>
  <c r="BV813" i="7"/>
  <c r="BC775" i="7"/>
  <c r="L775" i="7"/>
  <c r="BV775" i="7"/>
  <c r="BC374" i="7"/>
  <c r="L374" i="7"/>
  <c r="BV374" i="7"/>
  <c r="BC678" i="7"/>
  <c r="L678" i="7"/>
  <c r="BV678" i="7"/>
  <c r="BC574" i="7"/>
  <c r="L574" i="7"/>
  <c r="BV574" i="7"/>
  <c r="BC688" i="7"/>
  <c r="L688" i="7"/>
  <c r="BV688" i="7"/>
  <c r="BC297" i="7"/>
  <c r="L297" i="7"/>
  <c r="BV297" i="7"/>
  <c r="BC808" i="7"/>
  <c r="L808" i="7"/>
  <c r="BV808" i="7"/>
  <c r="BC24" i="7"/>
  <c r="L24" i="7"/>
  <c r="BV24" i="7"/>
  <c r="BC526" i="7"/>
  <c r="L526" i="7"/>
  <c r="BV526" i="7"/>
  <c r="BC73" i="7"/>
  <c r="L73" i="7"/>
  <c r="BV73" i="7"/>
  <c r="BC383" i="7"/>
  <c r="L383" i="7"/>
  <c r="BV383" i="7"/>
  <c r="BC342" i="7"/>
  <c r="L342" i="7"/>
  <c r="BV342" i="7"/>
  <c r="BC210" i="7"/>
  <c r="L210" i="7"/>
  <c r="BV210" i="7"/>
  <c r="BC523" i="7"/>
  <c r="L523" i="7"/>
  <c r="BV523" i="7"/>
  <c r="BC135" i="7"/>
  <c r="L135" i="7"/>
  <c r="BV135" i="7"/>
  <c r="BC313" i="7"/>
  <c r="L313" i="7"/>
  <c r="BV313" i="7"/>
  <c r="BC649" i="7"/>
  <c r="L649" i="7"/>
  <c r="BV649" i="7"/>
  <c r="BC278" i="7"/>
  <c r="L278" i="7"/>
  <c r="BV278" i="7"/>
  <c r="BC618" i="7"/>
  <c r="L618" i="7"/>
  <c r="BV618" i="7"/>
  <c r="BC560" i="7"/>
  <c r="L560" i="7"/>
  <c r="BV560" i="7"/>
  <c r="BC462" i="7"/>
  <c r="L462" i="7"/>
  <c r="BV462" i="7"/>
  <c r="BC767" i="7"/>
  <c r="L767" i="7"/>
  <c r="BV767" i="7"/>
  <c r="BC124" i="7"/>
  <c r="L124" i="7"/>
  <c r="BV124" i="7"/>
  <c r="BC144" i="7"/>
  <c r="L144" i="7"/>
  <c r="BV144" i="7"/>
  <c r="BC502" i="7"/>
  <c r="L502" i="7"/>
  <c r="BV502" i="7"/>
  <c r="BC310" i="7"/>
  <c r="L310" i="7"/>
  <c r="BV310" i="7"/>
  <c r="BC42" i="7"/>
  <c r="L42" i="7"/>
  <c r="BV42" i="7"/>
  <c r="BC174" i="7"/>
  <c r="L174" i="7"/>
  <c r="BV174" i="7"/>
  <c r="BC790" i="7"/>
  <c r="L790" i="7"/>
  <c r="BV790" i="7"/>
  <c r="BC754" i="7"/>
  <c r="L754" i="7"/>
  <c r="BV754" i="7"/>
  <c r="BC309" i="7"/>
  <c r="L309" i="7"/>
  <c r="BV309" i="7"/>
  <c r="BC605" i="7"/>
  <c r="L605" i="7"/>
  <c r="BV605" i="7"/>
  <c r="BC868" i="7"/>
  <c r="L868" i="7"/>
  <c r="BV868" i="7"/>
  <c r="BC128" i="7"/>
  <c r="L128" i="7"/>
  <c r="BV128" i="7"/>
  <c r="BC771" i="7"/>
  <c r="L771" i="7"/>
  <c r="BV771" i="7"/>
  <c r="BC159" i="7"/>
  <c r="L159" i="7"/>
  <c r="BV159" i="7"/>
  <c r="BC555" i="7"/>
  <c r="L555" i="7"/>
  <c r="BV555" i="7"/>
  <c r="BC584" i="7"/>
  <c r="L584" i="7"/>
  <c r="BV584" i="7"/>
  <c r="BC302" i="7"/>
  <c r="L302" i="7"/>
  <c r="BV302" i="7"/>
  <c r="BC575" i="7"/>
  <c r="L575" i="7"/>
  <c r="BV575" i="7"/>
  <c r="BC366" i="7"/>
  <c r="L366" i="7"/>
  <c r="BV366" i="7"/>
  <c r="BC57" i="7"/>
  <c r="L57" i="7"/>
  <c r="BV57" i="7"/>
  <c r="BC64" i="7"/>
  <c r="L64" i="7"/>
  <c r="BV64" i="7"/>
  <c r="BC125" i="7"/>
  <c r="L125" i="7"/>
  <c r="BV125" i="7"/>
  <c r="BC12" i="7"/>
  <c r="L12" i="7"/>
  <c r="BV12" i="7"/>
  <c r="BC312" i="7"/>
  <c r="L312" i="7"/>
  <c r="BV312" i="7"/>
  <c r="BC759" i="7"/>
  <c r="L759" i="7"/>
  <c r="BV759" i="7"/>
  <c r="BC433" i="7"/>
  <c r="L433" i="7"/>
  <c r="BV433" i="7"/>
  <c r="BC401" i="7"/>
  <c r="L401" i="7"/>
  <c r="BV401" i="7"/>
  <c r="BC851" i="7"/>
  <c r="L851" i="7"/>
  <c r="BV851" i="7"/>
  <c r="BC341" i="7"/>
  <c r="L341" i="7"/>
  <c r="BV341" i="7"/>
  <c r="BC236" i="7"/>
  <c r="L236" i="7"/>
  <c r="BV236" i="7"/>
  <c r="BC549" i="7"/>
  <c r="L549" i="7"/>
  <c r="BV549" i="7"/>
  <c r="BC580" i="7"/>
  <c r="L580" i="7"/>
  <c r="BV580" i="7"/>
  <c r="BC812" i="7"/>
  <c r="L812" i="7"/>
  <c r="BV812" i="7"/>
  <c r="BC735" i="7"/>
  <c r="L735" i="7"/>
  <c r="BV735" i="7"/>
  <c r="BC113" i="7"/>
  <c r="L113" i="7"/>
  <c r="BV113" i="7"/>
  <c r="BC344" i="7"/>
  <c r="L344" i="7"/>
  <c r="BV344" i="7"/>
  <c r="BC370" i="7"/>
  <c r="L370" i="7"/>
  <c r="BV370" i="7"/>
  <c r="BC540" i="7"/>
  <c r="L540" i="7"/>
  <c r="BV540" i="7"/>
  <c r="BC479" i="7"/>
  <c r="L479" i="7"/>
  <c r="BV479" i="7"/>
  <c r="BC730" i="7"/>
  <c r="L730" i="7"/>
  <c r="BV730" i="7"/>
  <c r="BC805" i="7"/>
  <c r="L805" i="7"/>
  <c r="BV805" i="7"/>
  <c r="BC151" i="7"/>
  <c r="L151" i="7"/>
  <c r="BV151" i="7"/>
  <c r="BC331" i="7"/>
  <c r="L331" i="7"/>
  <c r="BV331" i="7"/>
  <c r="BC268" i="7"/>
  <c r="L268" i="7"/>
  <c r="BV268" i="7"/>
  <c r="BC648" i="7"/>
  <c r="L648" i="7"/>
  <c r="BV648" i="7"/>
  <c r="BC139" i="7"/>
  <c r="L139" i="7"/>
  <c r="BV139" i="7"/>
  <c r="BC508" i="7"/>
  <c r="L508" i="7"/>
  <c r="BV508" i="7"/>
  <c r="BC61" i="7"/>
  <c r="L61" i="7"/>
  <c r="BV61" i="7"/>
  <c r="BC285" i="7"/>
  <c r="L285" i="7"/>
  <c r="BV285" i="7"/>
  <c r="BC411" i="7"/>
  <c r="L411" i="7"/>
  <c r="BV411" i="7"/>
  <c r="BC230" i="7"/>
  <c r="L230" i="7"/>
  <c r="BV230" i="7"/>
  <c r="BC262" i="7"/>
  <c r="L262" i="7"/>
  <c r="BV262" i="7"/>
  <c r="BC165" i="7"/>
  <c r="L165" i="7"/>
  <c r="BV165" i="7"/>
  <c r="BC410" i="7"/>
  <c r="L410" i="7"/>
  <c r="BV410" i="7"/>
  <c r="BC725" i="7"/>
  <c r="L725" i="7"/>
  <c r="BV725" i="7"/>
  <c r="BC28" i="7"/>
  <c r="L28" i="7"/>
  <c r="BV28" i="7"/>
  <c r="BC14" i="7"/>
  <c r="L14" i="7"/>
  <c r="BV14" i="7"/>
  <c r="BC393" i="7"/>
  <c r="L393" i="7"/>
  <c r="BV393" i="7"/>
  <c r="BC512" i="7"/>
  <c r="L512" i="7"/>
  <c r="BV512" i="7"/>
  <c r="BC244" i="7"/>
  <c r="L244" i="7"/>
  <c r="BV244" i="7"/>
  <c r="BC644" i="7"/>
  <c r="L644" i="7"/>
  <c r="BV644" i="7"/>
  <c r="BC858" i="7"/>
  <c r="L858" i="7"/>
  <c r="BV858" i="7"/>
  <c r="BC435" i="7"/>
  <c r="L435" i="7"/>
  <c r="BV435" i="7"/>
  <c r="BC417" i="7"/>
  <c r="L417" i="7"/>
  <c r="BV417" i="7"/>
  <c r="BC60" i="7"/>
  <c r="L60" i="7"/>
  <c r="BV60" i="7"/>
  <c r="BC705" i="7"/>
  <c r="L705" i="7"/>
  <c r="BV705" i="7"/>
  <c r="BC627" i="7"/>
  <c r="L627" i="7"/>
  <c r="BV627" i="7"/>
  <c r="BC388" i="7"/>
  <c r="L388" i="7"/>
  <c r="BV388" i="7"/>
  <c r="BC794" i="7"/>
  <c r="L794" i="7"/>
  <c r="BV794" i="7"/>
  <c r="BC854" i="7"/>
  <c r="L854" i="7"/>
  <c r="BV854" i="7"/>
  <c r="BC577" i="7"/>
  <c r="L577" i="7"/>
  <c r="BV577" i="7"/>
  <c r="BC416" i="7"/>
  <c r="L416" i="7"/>
  <c r="BV416" i="7"/>
  <c r="BC511" i="7"/>
  <c r="L511" i="7"/>
  <c r="BV511" i="7"/>
  <c r="BC216" i="7"/>
  <c r="L216" i="7"/>
  <c r="BV216" i="7"/>
  <c r="BC160" i="7"/>
  <c r="L160" i="7"/>
  <c r="BV160" i="7"/>
  <c r="BC834" i="7"/>
  <c r="L834" i="7"/>
  <c r="BV834" i="7"/>
  <c r="BC623" i="7"/>
  <c r="L623" i="7"/>
  <c r="BV623" i="7"/>
  <c r="BC814" i="7"/>
  <c r="L814" i="7"/>
  <c r="BV814" i="7"/>
  <c r="BC180" i="7"/>
  <c r="L180" i="7"/>
  <c r="BV180" i="7"/>
  <c r="BC686" i="7"/>
  <c r="L686" i="7"/>
  <c r="BV686" i="7"/>
  <c r="BC404" i="7"/>
  <c r="L404" i="7"/>
  <c r="BV404" i="7"/>
  <c r="BC183" i="7"/>
  <c r="L183" i="7"/>
  <c r="BV183" i="7"/>
  <c r="BC58" i="7"/>
  <c r="L58" i="7"/>
  <c r="BV58" i="7"/>
  <c r="BC67" i="7"/>
  <c r="L67" i="7"/>
  <c r="BV67" i="7"/>
  <c r="BC672" i="7"/>
  <c r="L672" i="7"/>
  <c r="BV672" i="7"/>
  <c r="BC497" i="7"/>
  <c r="L497" i="7"/>
  <c r="BV497" i="7"/>
  <c r="BC680" i="7"/>
  <c r="L680" i="7"/>
  <c r="BV680" i="7"/>
  <c r="BC548" i="7"/>
  <c r="L548" i="7"/>
  <c r="BV548" i="7"/>
  <c r="BC576" i="7"/>
  <c r="L576" i="7"/>
  <c r="BV576" i="7"/>
  <c r="BC237" i="7"/>
  <c r="L237" i="7"/>
  <c r="BV237" i="7"/>
  <c r="BC38" i="7"/>
  <c r="L38" i="7"/>
  <c r="BV38" i="7"/>
  <c r="BC532" i="7"/>
  <c r="L532" i="7"/>
  <c r="BV532" i="7"/>
  <c r="BC318" i="7"/>
  <c r="L318" i="7"/>
  <c r="BV318" i="7"/>
  <c r="BC275" i="7"/>
  <c r="L275" i="7"/>
  <c r="BV275" i="7"/>
  <c r="BC316" i="7"/>
  <c r="L316" i="7"/>
  <c r="BV316" i="7"/>
  <c r="BC592" i="7"/>
  <c r="L592" i="7"/>
  <c r="BV592" i="7"/>
  <c r="BC240" i="7"/>
  <c r="L240" i="7"/>
  <c r="BV240" i="7"/>
  <c r="BC578" i="7"/>
  <c r="L578" i="7"/>
  <c r="BV578" i="7"/>
  <c r="BC724" i="7"/>
  <c r="L724" i="7"/>
  <c r="BV724" i="7"/>
  <c r="BC329" i="7"/>
  <c r="L329" i="7"/>
  <c r="BV329" i="7"/>
  <c r="BC539" i="7"/>
  <c r="L539" i="7"/>
  <c r="BV539" i="7"/>
  <c r="BC536" i="7"/>
  <c r="L536" i="7"/>
  <c r="BV536" i="7"/>
  <c r="BC425" i="7"/>
  <c r="L425" i="7"/>
  <c r="BV425" i="7"/>
  <c r="BC143" i="7"/>
  <c r="L143" i="7"/>
  <c r="BV143" i="7"/>
  <c r="BC765" i="7"/>
  <c r="L765" i="7"/>
  <c r="BV765" i="7"/>
  <c r="BC46" i="7"/>
  <c r="L46" i="7"/>
  <c r="BV46" i="7"/>
  <c r="BC154" i="7"/>
  <c r="L154" i="7"/>
  <c r="BV154" i="7"/>
  <c r="BC147" i="7"/>
  <c r="L147" i="7"/>
  <c r="BV147" i="7"/>
  <c r="BC848" i="7"/>
  <c r="L848" i="7"/>
  <c r="BV848" i="7"/>
  <c r="BC657" i="7"/>
  <c r="L657" i="7"/>
  <c r="BV657" i="7"/>
  <c r="BC469" i="7"/>
  <c r="L469" i="7"/>
  <c r="BV469" i="7"/>
  <c r="BC551" i="7"/>
  <c r="L551" i="7"/>
  <c r="BV551" i="7"/>
  <c r="BC441" i="7"/>
  <c r="L441" i="7"/>
  <c r="BV441" i="7"/>
  <c r="BC515" i="7"/>
  <c r="L515" i="7"/>
  <c r="BV515" i="7"/>
  <c r="BC635" i="7"/>
  <c r="L635" i="7"/>
  <c r="BV635" i="7"/>
  <c r="BC547" i="7"/>
  <c r="L547" i="7"/>
  <c r="BV547" i="7"/>
  <c r="BC663" i="7"/>
  <c r="L663" i="7"/>
  <c r="BV663" i="7"/>
  <c r="BC34" i="7"/>
  <c r="L34" i="7"/>
  <c r="BV34" i="7"/>
  <c r="BC753" i="7"/>
  <c r="L753" i="7"/>
  <c r="BV753" i="7"/>
  <c r="BC586" i="7"/>
  <c r="L586" i="7"/>
  <c r="BV586" i="7"/>
  <c r="BC17" i="7"/>
  <c r="L17" i="7"/>
  <c r="BV17" i="7"/>
  <c r="BC583" i="7"/>
  <c r="L583" i="7"/>
  <c r="BV583" i="7"/>
  <c r="BC25" i="7"/>
  <c r="L25" i="7"/>
  <c r="BV25" i="7"/>
  <c r="BC241" i="7"/>
  <c r="L241" i="7"/>
  <c r="BV241" i="7"/>
  <c r="BC722" i="7"/>
  <c r="AJ4" i="7"/>
  <c r="L722" i="7"/>
  <c r="BV722" i="7"/>
  <c r="BC30" i="7"/>
  <c r="L30" i="7"/>
  <c r="BV30" i="7"/>
  <c r="BC457" i="7"/>
  <c r="L457" i="7"/>
  <c r="BV457" i="7"/>
  <c r="BC487" i="7"/>
  <c r="L487" i="7"/>
  <c r="BV487" i="7"/>
  <c r="BC263" i="7"/>
  <c r="L263" i="7"/>
  <c r="BV263" i="7"/>
  <c r="BC630" i="7"/>
  <c r="L630" i="7"/>
  <c r="BV630" i="7"/>
  <c r="BC375" i="7"/>
  <c r="L375" i="7"/>
  <c r="BV375" i="7"/>
  <c r="BA375" i="7" l="1"/>
  <c r="BA630" i="7"/>
  <c r="BA263" i="7"/>
  <c r="BA487" i="7"/>
  <c r="BA457" i="7"/>
  <c r="BA30" i="7"/>
  <c r="BA722" i="7"/>
  <c r="BA241" i="7"/>
  <c r="BA25" i="7"/>
  <c r="BA583" i="7"/>
  <c r="BA17" i="7"/>
  <c r="BA586" i="7"/>
  <c r="BA753" i="7"/>
  <c r="BA34" i="7"/>
  <c r="BA663" i="7"/>
  <c r="BA547" i="7"/>
  <c r="BA635" i="7"/>
  <c r="BA515" i="7"/>
  <c r="BA441" i="7"/>
  <c r="BA551" i="7"/>
  <c r="BA469" i="7"/>
  <c r="BA657" i="7"/>
  <c r="BA848" i="7"/>
  <c r="BA147" i="7"/>
  <c r="BA154" i="7"/>
  <c r="BA46" i="7"/>
  <c r="BA765" i="7"/>
  <c r="BA143" i="7"/>
  <c r="BA425" i="7"/>
  <c r="BA536" i="7"/>
  <c r="BA539" i="7"/>
  <c r="BA329" i="7"/>
  <c r="BA724" i="7"/>
  <c r="BA578" i="7"/>
  <c r="BA240" i="7"/>
  <c r="BA592" i="7"/>
  <c r="BA316" i="7"/>
  <c r="BA275" i="7"/>
  <c r="BA318" i="7"/>
  <c r="BA532" i="7"/>
  <c r="BA38" i="7"/>
  <c r="BA237" i="7"/>
  <c r="BA576" i="7"/>
  <c r="BA548" i="7"/>
  <c r="BA680" i="7"/>
  <c r="BA497" i="7"/>
  <c r="BA672" i="7"/>
  <c r="BA67" i="7"/>
  <c r="BA58" i="7"/>
  <c r="BA183" i="7"/>
  <c r="BA404" i="7"/>
  <c r="BA686" i="7"/>
  <c r="BA180" i="7"/>
  <c r="BA814" i="7"/>
  <c r="BA623" i="7"/>
  <c r="BA834" i="7"/>
  <c r="BA160" i="7"/>
  <c r="BA216" i="7"/>
  <c r="BA511" i="7"/>
  <c r="BA416" i="7"/>
  <c r="BA577" i="7"/>
  <c r="BA854" i="7"/>
  <c r="BA794" i="7"/>
  <c r="BA388" i="7"/>
  <c r="BA627" i="7"/>
  <c r="BA705" i="7"/>
  <c r="BA60" i="7"/>
  <c r="BA417" i="7"/>
  <c r="BA435" i="7"/>
  <c r="BA858" i="7"/>
  <c r="BA644" i="7"/>
  <c r="BA244" i="7"/>
  <c r="BA512" i="7"/>
  <c r="BA393" i="7"/>
  <c r="BA14" i="7"/>
  <c r="BA28" i="7"/>
  <c r="BA725" i="7"/>
  <c r="BA410" i="7"/>
  <c r="BA165" i="7"/>
  <c r="BA262" i="7"/>
  <c r="BA230" i="7"/>
  <c r="BA411" i="7"/>
  <c r="BA285" i="7"/>
  <c r="BA61" i="7"/>
  <c r="BA508" i="7"/>
  <c r="BA139" i="7"/>
  <c r="BA648" i="7"/>
  <c r="BA268" i="7"/>
  <c r="BA331" i="7"/>
  <c r="BA439" i="7"/>
  <c r="BA76" i="7"/>
  <c r="BA354" i="7"/>
  <c r="BA195" i="7"/>
  <c r="BA533" i="7"/>
  <c r="BA386" i="7"/>
  <c r="BA21" i="7"/>
  <c r="BA282" i="7"/>
  <c r="BA857" i="7"/>
  <c r="BA681" i="7"/>
  <c r="BA372" i="7"/>
  <c r="BA660" i="7"/>
  <c r="BA714" i="7"/>
  <c r="BA208" i="7"/>
  <c r="BA727" i="7"/>
  <c r="BA760" i="7"/>
  <c r="BA581" i="7"/>
  <c r="BA833" i="7"/>
  <c r="BA558" i="7"/>
  <c r="BA806" i="7"/>
  <c r="BA647" i="7"/>
  <c r="BA677" i="7"/>
  <c r="BA610" i="7"/>
  <c r="BA53" i="7"/>
  <c r="BA758" i="7"/>
  <c r="BA449" i="7"/>
  <c r="BA133" i="7"/>
  <c r="BA568" i="7"/>
  <c r="BA746" i="7"/>
  <c r="BA676" i="7"/>
  <c r="BA233" i="7"/>
  <c r="BA193" i="7"/>
  <c r="BA250" i="7"/>
  <c r="BA667" i="7"/>
  <c r="BA200" i="7"/>
  <c r="BA831" i="7"/>
  <c r="BA82" i="7"/>
  <c r="BA690" i="7"/>
  <c r="BA673" i="7"/>
  <c r="BA454" i="7"/>
  <c r="BA442" i="7"/>
  <c r="BA717" i="7"/>
  <c r="BA364" i="7"/>
  <c r="BA377" i="7"/>
  <c r="BA652" i="7"/>
  <c r="BA836" i="7"/>
  <c r="BA695" i="7"/>
  <c r="BA249" i="7"/>
  <c r="BA546" i="7"/>
  <c r="BA380" i="7"/>
  <c r="BA606" i="7"/>
  <c r="BA409" i="7"/>
  <c r="BA658" i="7"/>
  <c r="BA136" i="7"/>
  <c r="BA687" i="7"/>
  <c r="BA582" i="7"/>
  <c r="BA105" i="7"/>
  <c r="BA298" i="7"/>
  <c r="BA74" i="7"/>
  <c r="BA436" i="7"/>
  <c r="BA44" i="7"/>
  <c r="BA698" i="7"/>
  <c r="BA631" i="7"/>
  <c r="BA719" i="7"/>
  <c r="BA870" i="7"/>
  <c r="BA140" i="7"/>
  <c r="BA287" i="7"/>
  <c r="BA478" i="7"/>
  <c r="BA752" i="7"/>
  <c r="BA706" i="7"/>
  <c r="BA132" i="7"/>
  <c r="BA129" i="7"/>
  <c r="BA325" i="7"/>
  <c r="BA693" i="7"/>
  <c r="BA757" i="7"/>
  <c r="BA243" i="7"/>
  <c r="BA289" i="7"/>
  <c r="BA513" i="7"/>
  <c r="BA696" i="7"/>
  <c r="BA109" i="7"/>
  <c r="BA203" i="7"/>
  <c r="BA740" i="7"/>
  <c r="BA770" i="7"/>
  <c r="BA84" i="7"/>
  <c r="BA229" i="7"/>
  <c r="BA733" i="7"/>
  <c r="BA701" i="7"/>
  <c r="BA432" i="7"/>
  <c r="BA118" i="7"/>
  <c r="BA11" i="7"/>
  <c r="BA704" i="7"/>
  <c r="BA415" i="7"/>
  <c r="BA607" i="7"/>
  <c r="BA79" i="7"/>
  <c r="BA596" i="7"/>
  <c r="BA390" i="7"/>
  <c r="BA397" i="7"/>
  <c r="BA117" i="7"/>
  <c r="BA166" i="7"/>
  <c r="BA600" i="7"/>
  <c r="BA621" i="7"/>
  <c r="BA98" i="7"/>
  <c r="BA205" i="7"/>
  <c r="BA829" i="7"/>
  <c r="BA267" i="7"/>
  <c r="BA284" i="7"/>
  <c r="BA194" i="7"/>
  <c r="BA780" i="7"/>
  <c r="BA528" i="7"/>
  <c r="BA642" i="7"/>
  <c r="BA75" i="7"/>
  <c r="BA451" i="7"/>
  <c r="BA225" i="7"/>
  <c r="BA823" i="7"/>
  <c r="BA485" i="7"/>
  <c r="BA362" i="7"/>
  <c r="BA190" i="7"/>
  <c r="BA220" i="7"/>
  <c r="BA427" i="7"/>
  <c r="BA509" i="7"/>
  <c r="BA398" i="7"/>
  <c r="BA826" i="7"/>
  <c r="BA571" i="7"/>
  <c r="BA308" i="7"/>
  <c r="BA137" i="7"/>
  <c r="BA323" i="7"/>
  <c r="BA856" i="7"/>
  <c r="BA613" i="7"/>
  <c r="BA839" i="7"/>
  <c r="BA20" i="7"/>
  <c r="BA820" i="7"/>
  <c r="BA737" i="7"/>
  <c r="BA350" i="7"/>
  <c r="BA597" i="7"/>
  <c r="BA773" i="7"/>
  <c r="BA619" i="7"/>
  <c r="BA843" i="7"/>
  <c r="BA430" i="7"/>
  <c r="BA173" i="7"/>
  <c r="BA554" i="7"/>
  <c r="BA85" i="7"/>
  <c r="BA335" i="7"/>
  <c r="BA464" i="7"/>
  <c r="BA43" i="7"/>
  <c r="BA864" i="7"/>
  <c r="BA256" i="7"/>
  <c r="BA798" i="7"/>
  <c r="BA45" i="7"/>
  <c r="BA825" i="7"/>
  <c r="BA209" i="7"/>
  <c r="BA656" i="7"/>
  <c r="BA669" i="7"/>
  <c r="BA51" i="7"/>
  <c r="BA304" i="7"/>
  <c r="BA277" i="7"/>
  <c r="BA100" i="7"/>
  <c r="BA196" i="7"/>
  <c r="BA670" i="7"/>
  <c r="BA629" i="7"/>
  <c r="BA545" i="7"/>
  <c r="BA506" i="7"/>
  <c r="BA778" i="7"/>
  <c r="BA92" i="7"/>
  <c r="BA703" i="7"/>
  <c r="BA72" i="7"/>
  <c r="BA68" i="7"/>
  <c r="BA637" i="7"/>
  <c r="BA664" i="7"/>
  <c r="BA443" i="7"/>
  <c r="BA219" i="7"/>
  <c r="BA518" i="7"/>
  <c r="BA482" i="7"/>
  <c r="BA290" i="7"/>
  <c r="BA516" i="7"/>
  <c r="BA844" i="7"/>
  <c r="BA424" i="7"/>
  <c r="BA749" i="7"/>
  <c r="BA258" i="7"/>
  <c r="BA334" i="7"/>
  <c r="BA602" i="7"/>
  <c r="BA830" i="7"/>
  <c r="BA320" i="7"/>
  <c r="BA527" i="7"/>
  <c r="BA438" i="7"/>
  <c r="BA496" i="7"/>
  <c r="BA32" i="7"/>
  <c r="BA611" i="7"/>
  <c r="BA816" i="7"/>
  <c r="BA473" i="7"/>
  <c r="BA632" i="7"/>
  <c r="BA207" i="7"/>
  <c r="BA715" i="7"/>
  <c r="BA716" i="7"/>
  <c r="BA802" i="7"/>
  <c r="BA867" i="7"/>
  <c r="BA252" i="7"/>
  <c r="BA501" i="7"/>
  <c r="BA787" i="7"/>
  <c r="BA563" i="7"/>
  <c r="BA448" i="7"/>
  <c r="BA295" i="7"/>
  <c r="BA403" i="7"/>
  <c r="BA54" i="7"/>
  <c r="BA466" i="7"/>
  <c r="BA286" i="7"/>
  <c r="BA801" i="7"/>
  <c r="BA213" i="7"/>
  <c r="BA101" i="7"/>
  <c r="BA110" i="7"/>
  <c r="BA83" i="7"/>
  <c r="BA349" i="7"/>
  <c r="BA666" i="7"/>
  <c r="BA524" i="7"/>
  <c r="BA423" i="7"/>
  <c r="BA564" i="7"/>
  <c r="BA387" i="7"/>
  <c r="BA158" i="7"/>
  <c r="BA470" i="7"/>
  <c r="BA255" i="7"/>
  <c r="BA604" i="7"/>
  <c r="BA472" i="7"/>
  <c r="BA609" i="7"/>
  <c r="BA445" i="7"/>
  <c r="BA272" i="7"/>
  <c r="BA541" i="7"/>
  <c r="BA107" i="7"/>
  <c r="BA369" i="7"/>
  <c r="BA529" i="7"/>
  <c r="BA161" i="7"/>
  <c r="BA201" i="7"/>
  <c r="BA202" i="7"/>
  <c r="BA359" i="7"/>
  <c r="BA643" i="7"/>
  <c r="BA855" i="7"/>
  <c r="BA763" i="7"/>
  <c r="BA13" i="7"/>
  <c r="BA616" i="7"/>
  <c r="BA198" i="7"/>
  <c r="BA531" i="7"/>
  <c r="BA741" i="7"/>
  <c r="BA293" i="7"/>
  <c r="BA679" i="7"/>
  <c r="BA628" i="7"/>
  <c r="BA168" i="7"/>
  <c r="BA172" i="7"/>
  <c r="BA371" i="7"/>
  <c r="BA827" i="7"/>
  <c r="BA474" i="7"/>
  <c r="BA784" i="7"/>
  <c r="BA330" i="7"/>
  <c r="BA837" i="7"/>
  <c r="BA361" i="7"/>
  <c r="BA9" i="7"/>
  <c r="BA685" i="7"/>
  <c r="BA742" i="7"/>
  <c r="BA768" i="7"/>
  <c r="BA367" i="7"/>
  <c r="BA444" i="7"/>
  <c r="BA731" i="7"/>
  <c r="BA495" i="7"/>
  <c r="BA291" i="7"/>
  <c r="BA565" i="7"/>
  <c r="BA585" i="7"/>
  <c r="BA81" i="7"/>
  <c r="BA181" i="7"/>
  <c r="BA461" i="7"/>
  <c r="BA103" i="7"/>
  <c r="BA292" i="7"/>
  <c r="BA653" i="7"/>
  <c r="BA66" i="7"/>
  <c r="BA19" i="7"/>
  <c r="BA134" i="7"/>
  <c r="BA484" i="7"/>
  <c r="BA682" i="7"/>
  <c r="BA459" i="7"/>
  <c r="BA774" i="7"/>
  <c r="BA405" i="7"/>
  <c r="BA273" i="7"/>
  <c r="BA544" i="7"/>
  <c r="BA88" i="7"/>
  <c r="BA365" i="7"/>
  <c r="BA197" i="7"/>
  <c r="BA601" i="7"/>
  <c r="BA340" i="7"/>
  <c r="BA756" i="7"/>
  <c r="BA151" i="7"/>
  <c r="BA805" i="7"/>
  <c r="BA730" i="7"/>
  <c r="BA479" i="7"/>
  <c r="BA540" i="7"/>
  <c r="BA370" i="7"/>
  <c r="BA344" i="7"/>
  <c r="BA113" i="7"/>
  <c r="BA735" i="7"/>
  <c r="BA812" i="7"/>
  <c r="BA580" i="7"/>
  <c r="BA549" i="7"/>
  <c r="BA236" i="7"/>
  <c r="BA341" i="7"/>
  <c r="BA851" i="7"/>
  <c r="BA401" i="7"/>
  <c r="BA433" i="7"/>
  <c r="BA759" i="7"/>
  <c r="BA312" i="7"/>
  <c r="BA12" i="7"/>
  <c r="BA125" i="7"/>
  <c r="BA64" i="7"/>
  <c r="BA57" i="7"/>
  <c r="BA366" i="7"/>
  <c r="BA575" i="7"/>
  <c r="BA302" i="7"/>
  <c r="BA584" i="7"/>
  <c r="BA555" i="7"/>
  <c r="BA159" i="7"/>
  <c r="BA771" i="7"/>
  <c r="BA128" i="7"/>
  <c r="BA868" i="7"/>
  <c r="BA605" i="7"/>
  <c r="BA309" i="7"/>
  <c r="BA754" i="7"/>
  <c r="BA790" i="7"/>
  <c r="BA174" i="7"/>
  <c r="BA42" i="7"/>
  <c r="BA310" i="7"/>
  <c r="BA502" i="7"/>
  <c r="BA144" i="7"/>
  <c r="BA124" i="7"/>
  <c r="BA767" i="7"/>
  <c r="BA462" i="7"/>
  <c r="BA560" i="7"/>
  <c r="BA618" i="7"/>
  <c r="BA278" i="7"/>
  <c r="BA649" i="7"/>
  <c r="BA313" i="7"/>
  <c r="BA135" i="7"/>
  <c r="BA523" i="7"/>
  <c r="BA210" i="7"/>
  <c r="BA342" i="7"/>
  <c r="BA383" i="7"/>
  <c r="BA73" i="7"/>
  <c r="BA526" i="7"/>
  <c r="BA24" i="7"/>
  <c r="BA808" i="7"/>
  <c r="BA297" i="7"/>
  <c r="BA688" i="7"/>
  <c r="BA574" i="7"/>
  <c r="BA678" i="7"/>
  <c r="BA374" i="7"/>
  <c r="BA775" i="7"/>
  <c r="BA813" i="7"/>
  <c r="BA434" i="7"/>
  <c r="BA363" i="7"/>
  <c r="BA422" i="7"/>
  <c r="BA559" i="7"/>
  <c r="BA762" i="7"/>
  <c r="BA795" i="7"/>
  <c r="BA127" i="7"/>
  <c r="BA8" i="7"/>
  <c r="BA744" i="7"/>
  <c r="BA622" i="7"/>
  <c r="BA465" i="7"/>
  <c r="BA391" i="7"/>
  <c r="BA87" i="7"/>
  <c r="BA846" i="7"/>
  <c r="BA389" i="7"/>
  <c r="BA779" i="7"/>
  <c r="BA748" i="7"/>
  <c r="BA22" i="7"/>
  <c r="BA504" i="7"/>
  <c r="BA718" i="7"/>
  <c r="BA70" i="7"/>
  <c r="BA428" i="7"/>
  <c r="BA169" i="7"/>
  <c r="BA419" i="7"/>
  <c r="BA141" i="7"/>
  <c r="BA179" i="7"/>
  <c r="BA429" i="7"/>
  <c r="BA35" i="7"/>
  <c r="BA178" i="7"/>
  <c r="BA426" i="7"/>
  <c r="BA791" i="7"/>
  <c r="BA115" i="7"/>
  <c r="BA796" i="7"/>
  <c r="BA86" i="7"/>
  <c r="BA761" i="7"/>
  <c r="BA587" i="7"/>
  <c r="BA736" i="7"/>
  <c r="BA332" i="7"/>
  <c r="BA138" i="7"/>
  <c r="BA148" i="7"/>
  <c r="BA345" i="7"/>
  <c r="BA167" i="7"/>
  <c r="BA280" i="7"/>
  <c r="BA799" i="7"/>
  <c r="BA322" i="7"/>
  <c r="BA400" i="7"/>
  <c r="BA699" i="7"/>
  <c r="BA152" i="7"/>
  <c r="BA665" i="7"/>
  <c r="BA146" i="7"/>
  <c r="BA381" i="7"/>
  <c r="BA491" i="7"/>
  <c r="BA162" i="7"/>
  <c r="BA212" i="7"/>
  <c r="BA242" i="7"/>
  <c r="BA772" i="7"/>
  <c r="BA567" i="7"/>
  <c r="BA640" i="7"/>
  <c r="BA303" i="7"/>
  <c r="BA708" i="7"/>
  <c r="BA782" i="7"/>
  <c r="BA755" i="7"/>
  <c r="BA402" i="7"/>
  <c r="BA351" i="7"/>
  <c r="BA182" i="7"/>
  <c r="BA550" i="7"/>
  <c r="BA149" i="7"/>
  <c r="BA384" i="7"/>
  <c r="BA579" i="7"/>
  <c r="BA514" i="7"/>
  <c r="BA328" i="7"/>
  <c r="BA343" i="7"/>
  <c r="BA863" i="7"/>
  <c r="BA245" i="7"/>
  <c r="BA645" i="7"/>
  <c r="BA734" i="7"/>
  <c r="BA828" i="7"/>
  <c r="BA615" i="7"/>
  <c r="BA259" i="7"/>
  <c r="BA542" i="7"/>
  <c r="BA838" i="7"/>
  <c r="BA503" i="7"/>
  <c r="BA668" i="7"/>
  <c r="BA418" i="7"/>
  <c r="BA789" i="7"/>
  <c r="BA521" i="7"/>
  <c r="BA570" i="7"/>
  <c r="BA15" i="7"/>
  <c r="BA824" i="7"/>
  <c r="BA552" i="7"/>
  <c r="BA614" i="7"/>
  <c r="BA525" i="7"/>
  <c r="BA561" i="7"/>
  <c r="BA407" i="7"/>
  <c r="BA283" i="7"/>
  <c r="BA356" i="7"/>
  <c r="BA261" i="7"/>
  <c r="BA477" i="7"/>
  <c r="BA807" i="7"/>
  <c r="BA222" i="7"/>
  <c r="BA26" i="7"/>
  <c r="BA494" i="7"/>
  <c r="BA376" i="7"/>
  <c r="BA346" i="7"/>
  <c r="BA306" i="7"/>
  <c r="BA29" i="7"/>
  <c r="BA702" i="7"/>
  <c r="BA852" i="7"/>
  <c r="BA764" i="7"/>
  <c r="BA440" i="7"/>
  <c r="BA809" i="7"/>
  <c r="BA27" i="7"/>
  <c r="BA723" i="7"/>
  <c r="BA661" i="7"/>
  <c r="BA226" i="7"/>
  <c r="BA747" i="7"/>
  <c r="BA414" i="7"/>
  <c r="BA800" i="7"/>
  <c r="BA710" i="7"/>
  <c r="BA90" i="7"/>
  <c r="BA729" i="7"/>
  <c r="BA847" i="7"/>
  <c r="BA519" i="7"/>
  <c r="BA37" i="7"/>
  <c r="BA707" i="7"/>
  <c r="BA573" i="7"/>
  <c r="BA785" i="7"/>
  <c r="BA588" i="7"/>
  <c r="BA311" i="7"/>
  <c r="BA507" i="7"/>
  <c r="BA595" i="7"/>
  <c r="BA822" i="7"/>
  <c r="BA228" i="7"/>
  <c r="BA279" i="7"/>
  <c r="BA777" i="7"/>
  <c r="BA18" i="7"/>
  <c r="BA186" i="7"/>
  <c r="BA721" i="7"/>
  <c r="BA713" i="7"/>
  <c r="BA102" i="7"/>
  <c r="BA122" i="7"/>
  <c r="BA671" i="7"/>
  <c r="BA385" i="7"/>
  <c r="BA832" i="7"/>
  <c r="BA114" i="7"/>
  <c r="BA446" i="7"/>
  <c r="BA634" i="7"/>
  <c r="BA191" i="7"/>
  <c r="BA108" i="7"/>
  <c r="BA56" i="7"/>
  <c r="BA111" i="7"/>
  <c r="BA319" i="7"/>
  <c r="BA500" i="7"/>
  <c r="BA510" i="7"/>
  <c r="BA437" i="7"/>
  <c r="BA264" i="7"/>
  <c r="BA97" i="7"/>
  <c r="BA338" i="7"/>
  <c r="BA333" i="7"/>
  <c r="BA150" i="7"/>
  <c r="BA853" i="7"/>
  <c r="BA164" i="7"/>
  <c r="BA569" i="7"/>
  <c r="BA184" i="7"/>
  <c r="BA865" i="7"/>
  <c r="BA40" i="7"/>
  <c r="BA726" i="7"/>
  <c r="BA817" i="7"/>
  <c r="BA452" i="7"/>
  <c r="BA89" i="7"/>
  <c r="BA187" i="7"/>
  <c r="BA593" i="7"/>
  <c r="BA598" i="7"/>
  <c r="BA80" i="7"/>
  <c r="BA294" i="7"/>
  <c r="BA819" i="7"/>
  <c r="BA499" i="7"/>
  <c r="BA522" i="7"/>
  <c r="BA399" i="7"/>
  <c r="AW4" i="7"/>
  <c r="AY4" i="7"/>
  <c r="AU4" i="7"/>
  <c r="P4" i="7"/>
  <c r="AX4" i="7"/>
  <c r="AV4" i="7"/>
  <c r="BF505" i="7" l="1"/>
  <c r="BF493" i="7"/>
  <c r="BF192" i="7"/>
  <c r="BF156" i="7"/>
  <c r="BF55" i="7"/>
  <c r="BF155" i="7"/>
  <c r="BF157" i="7"/>
  <c r="BF131" i="7"/>
  <c r="BF121" i="7"/>
  <c r="BF379" i="7"/>
  <c r="BF337" i="7"/>
  <c r="BF189" i="7"/>
  <c r="BF188" i="7"/>
  <c r="BF353" i="7"/>
  <c r="BF327" i="7"/>
  <c r="BF296" i="7"/>
  <c r="BF743" i="7"/>
  <c r="BF130" i="7"/>
  <c r="BF458" i="7"/>
  <c r="BF65" i="7"/>
  <c r="BF553" i="7"/>
  <c r="BF217" i="7"/>
  <c r="BF739" i="7"/>
  <c r="BF142" i="7"/>
  <c r="BF572" i="7"/>
  <c r="BF223" i="7"/>
  <c r="BF471" i="7"/>
  <c r="BF224" i="7"/>
  <c r="BF357" i="7"/>
  <c r="BF47" i="7"/>
  <c r="BF49" i="7"/>
  <c r="BF48" i="7"/>
  <c r="BF231" i="7"/>
  <c r="BF557" i="7"/>
  <c r="BF214" i="7"/>
  <c r="BF776" i="7"/>
  <c r="BF248" i="7"/>
  <c r="BF301" i="7"/>
  <c r="BF145" i="7"/>
  <c r="BF234" i="7"/>
  <c r="BF358" i="7"/>
  <c r="BF348" i="7"/>
  <c r="BF638" i="7"/>
  <c r="BF392" i="7"/>
  <c r="BF498" i="7"/>
  <c r="BF31" i="7"/>
  <c r="BF360" i="7"/>
  <c r="BF655" i="7"/>
  <c r="BF276" i="7"/>
  <c r="BF91" i="7"/>
  <c r="BF235" i="7"/>
  <c r="BF347" i="7"/>
  <c r="BF659" i="7"/>
  <c r="BF537" i="7"/>
  <c r="BF732" i="7"/>
  <c r="BF751" i="7"/>
  <c r="BF23" i="7"/>
  <c r="BF336" i="7"/>
  <c r="BF455" i="7"/>
  <c r="BF247" i="7"/>
  <c r="BF339" i="7"/>
  <c r="BF396" i="7"/>
  <c r="BF246" i="7"/>
  <c r="BF797" i="7"/>
  <c r="BF538" i="7"/>
  <c r="BF355" i="7"/>
  <c r="BF420" i="7"/>
  <c r="BF315" i="7"/>
  <c r="BF792" i="7"/>
  <c r="BF709" i="7"/>
  <c r="BF456" i="7"/>
  <c r="BF175" i="7"/>
  <c r="BF450" i="7"/>
  <c r="BF566" i="7"/>
  <c r="BF840" i="7"/>
  <c r="BF636" i="7"/>
  <c r="BF253" i="7"/>
  <c r="BF251" i="7"/>
  <c r="BF483" i="7"/>
  <c r="BF476" i="7"/>
  <c r="BF260" i="7"/>
  <c r="BF413" i="7"/>
  <c r="BF199" i="7"/>
  <c r="BF324" i="7"/>
  <c r="BF866" i="7"/>
  <c r="BF93" i="7"/>
  <c r="BF859" i="7"/>
  <c r="BF406" i="7"/>
  <c r="BF185" i="7"/>
  <c r="BF650" i="7"/>
  <c r="BF104" i="7"/>
  <c r="BF206" i="7"/>
  <c r="BF271" i="7"/>
  <c r="BF662" i="7"/>
  <c r="BF750" i="7"/>
  <c r="BF112" i="7"/>
  <c r="BF781" i="7"/>
  <c r="BF215" i="7"/>
  <c r="BF818" i="7"/>
  <c r="BF352" i="7"/>
  <c r="BF126" i="7"/>
  <c r="BF71" i="7"/>
  <c r="BF123" i="7"/>
  <c r="BF176" i="7"/>
  <c r="BF862" i="7"/>
  <c r="BF534" i="7"/>
  <c r="BF480" i="7"/>
  <c r="BF69" i="7"/>
  <c r="BF675" i="7"/>
  <c r="BF78" i="7"/>
  <c r="BF468" i="7"/>
  <c r="BF326" i="7"/>
  <c r="BF803" i="7"/>
  <c r="BF431" i="7"/>
  <c r="BF59" i="7"/>
  <c r="BF594" i="7"/>
  <c r="BF239" i="7"/>
  <c r="BF265" i="7"/>
  <c r="BF39" i="7"/>
  <c r="BF711" i="7"/>
  <c r="BF227" i="7"/>
  <c r="BF41" i="7"/>
  <c r="BF646" i="7"/>
  <c r="BF562" i="7"/>
  <c r="BF639" i="7"/>
  <c r="BF288" i="7"/>
  <c r="BF517" i="7"/>
  <c r="BF307" i="7"/>
  <c r="BF460" i="7"/>
  <c r="BF841" i="7"/>
  <c r="BF257" i="7"/>
  <c r="BF204" i="7"/>
  <c r="BF641" i="7"/>
  <c r="BF603" i="7"/>
  <c r="BF50" i="7"/>
  <c r="BF269" i="7"/>
  <c r="BF728" i="7"/>
  <c r="BF849" i="7"/>
  <c r="BF769" i="7"/>
  <c r="BF317" i="7"/>
  <c r="BF692" i="7"/>
  <c r="BF475" i="7"/>
  <c r="BF488" i="7"/>
  <c r="BF447" i="7"/>
  <c r="BF274" i="7"/>
  <c r="BF842" i="7"/>
  <c r="BF300" i="7"/>
  <c r="BF463" i="7"/>
  <c r="BF63" i="7"/>
  <c r="BF378" i="7"/>
  <c r="BF810" i="7"/>
  <c r="BF408" i="7"/>
  <c r="BF520" i="7"/>
  <c r="BF305" i="7"/>
  <c r="BF116" i="7"/>
  <c r="BF170" i="7"/>
  <c r="BF589" i="7"/>
  <c r="BF535" i="7"/>
  <c r="BF62" i="7"/>
  <c r="BF612" i="7"/>
  <c r="BF486" i="7"/>
  <c r="BF99" i="7"/>
  <c r="BF720" i="7"/>
  <c r="BF651" i="7"/>
  <c r="BF314" i="7"/>
  <c r="BF783" i="7"/>
  <c r="BF689" i="7"/>
  <c r="BF674" i="7"/>
  <c r="BF266" i="7"/>
  <c r="BF395" i="7"/>
  <c r="BF626" i="7"/>
  <c r="BF684" i="7"/>
  <c r="BF617" i="7"/>
  <c r="BF738" i="7"/>
  <c r="BF786" i="7"/>
  <c r="BF861" i="7"/>
  <c r="BF171" i="7"/>
  <c r="BF153" i="7"/>
  <c r="BF394" i="7"/>
  <c r="BF556" i="7"/>
  <c r="BF766" i="7"/>
  <c r="BF624" i="7"/>
  <c r="BF683" i="7"/>
  <c r="BF281" i="7"/>
  <c r="BF793" i="7"/>
  <c r="BF543" i="7"/>
  <c r="BF608" i="7"/>
  <c r="BF218" i="7"/>
  <c r="BF697" i="7"/>
  <c r="BF238" i="7"/>
  <c r="BF321" i="7"/>
  <c r="BF36" i="7"/>
  <c r="BF299" i="7"/>
  <c r="BF489" i="7"/>
  <c r="BF821" i="7"/>
  <c r="BF96" i="7"/>
  <c r="BF620" i="7"/>
  <c r="BF811" i="7"/>
  <c r="BF530" i="7"/>
  <c r="BF590" i="7"/>
  <c r="BF815" i="7"/>
  <c r="BF177" i="7"/>
  <c r="BF421" i="7"/>
  <c r="BF481" i="7"/>
  <c r="BF412" i="7"/>
  <c r="BF467" i="7"/>
  <c r="BF94" i="7"/>
  <c r="BF163" i="7"/>
  <c r="BF700" i="7"/>
  <c r="BF591" i="7"/>
  <c r="BF16" i="7"/>
  <c r="BF232" i="7"/>
  <c r="BF492" i="7"/>
  <c r="BF119" i="7"/>
  <c r="BF368" i="7"/>
  <c r="BF691" i="7"/>
  <c r="BF788" i="7"/>
  <c r="BF804" i="7"/>
  <c r="BF211" i="7"/>
  <c r="BF373" i="7"/>
  <c r="BF860" i="7"/>
  <c r="BF745" i="7"/>
  <c r="BF33" i="7"/>
  <c r="BF850" i="7"/>
  <c r="BF270" i="7"/>
  <c r="AQ52" i="7"/>
  <c r="AO52" i="7" s="1"/>
  <c r="AQ869" i="7"/>
  <c r="AQ654" i="7"/>
  <c r="AO654" i="7" s="1"/>
  <c r="AQ77" i="7"/>
  <c r="AQ835" i="7"/>
  <c r="AO835" i="7" s="1"/>
  <c r="AQ221" i="7"/>
  <c r="AQ10" i="7"/>
  <c r="AQ625" i="7"/>
  <c r="AO625" i="7" s="1"/>
  <c r="AQ712" i="7"/>
  <c r="AQ490" i="7"/>
  <c r="AO490" i="7" s="1"/>
  <c r="AQ845" i="7"/>
  <c r="AO845" i="7" s="1"/>
  <c r="AQ254" i="7"/>
  <c r="AO254" i="7" s="1"/>
  <c r="AQ694" i="7"/>
  <c r="AO694" i="7" s="1"/>
  <c r="AQ106" i="7"/>
  <c r="AQ633" i="7"/>
  <c r="AQ382" i="7"/>
  <c r="AQ599" i="7"/>
  <c r="AQ120" i="7"/>
  <c r="AQ95" i="7"/>
  <c r="AQ453" i="7"/>
  <c r="BF453" i="7"/>
  <c r="BF106" i="7"/>
  <c r="BF599" i="7"/>
  <c r="BF120" i="7"/>
  <c r="BF95" i="7"/>
  <c r="BF490" i="7"/>
  <c r="BF254" i="7"/>
  <c r="BF52" i="7"/>
  <c r="BF835" i="7"/>
  <c r="BF633" i="7"/>
  <c r="BF654" i="7"/>
  <c r="BF382" i="7"/>
  <c r="BF694" i="7"/>
  <c r="BF77" i="7"/>
  <c r="BF869" i="7"/>
  <c r="BF221" i="7"/>
  <c r="BF10" i="7"/>
  <c r="BF712" i="7"/>
  <c r="BF845" i="7"/>
  <c r="BF625" i="7"/>
  <c r="AQ555" i="7"/>
  <c r="AO555" i="7" s="1"/>
  <c r="AQ22" i="7"/>
  <c r="AO22" i="7" s="1"/>
  <c r="AQ366" i="7"/>
  <c r="AO366" i="7" s="1"/>
  <c r="AQ805" i="7"/>
  <c r="AO805" i="7" s="1"/>
  <c r="AQ312" i="7"/>
  <c r="AO312" i="7" s="1"/>
  <c r="AQ174" i="7"/>
  <c r="AO174" i="7" s="1"/>
  <c r="AQ504" i="7"/>
  <c r="AO504" i="7" s="1"/>
  <c r="AQ559" i="7"/>
  <c r="AO559" i="7" s="1"/>
  <c r="AQ718" i="7"/>
  <c r="AO718" i="7" s="1"/>
  <c r="AQ343" i="7"/>
  <c r="AO343" i="7" s="1"/>
  <c r="AQ699" i="7"/>
  <c r="AO699" i="7" s="1"/>
  <c r="AQ561" i="7"/>
  <c r="AO561" i="7" s="1"/>
  <c r="AQ494" i="7"/>
  <c r="AO494" i="7" s="1"/>
  <c r="AQ595" i="7"/>
  <c r="AO595" i="7" s="1"/>
  <c r="AQ785" i="7"/>
  <c r="AO785" i="7" s="1"/>
  <c r="AQ618" i="7"/>
  <c r="AO618" i="7" s="1"/>
  <c r="AQ186" i="7"/>
  <c r="AO186" i="7" s="1"/>
  <c r="AQ749" i="7"/>
  <c r="AO749" i="7" s="1"/>
  <c r="AQ124" i="7"/>
  <c r="AO124" i="7" s="1"/>
  <c r="AQ748" i="7"/>
  <c r="AO748" i="7" s="1"/>
  <c r="AQ754" i="7"/>
  <c r="AO754" i="7" s="1"/>
  <c r="AQ759" i="7"/>
  <c r="AO759" i="7" s="1"/>
  <c r="AQ724" i="7"/>
  <c r="AO724" i="7" s="1"/>
  <c r="AQ623" i="7"/>
  <c r="AO623" i="7" s="1"/>
  <c r="AQ433" i="7"/>
  <c r="AO433" i="7" s="1"/>
  <c r="AQ138" i="7"/>
  <c r="AO138" i="7" s="1"/>
  <c r="AQ782" i="7"/>
  <c r="AO782" i="7" s="1"/>
  <c r="AQ550" i="7"/>
  <c r="AO550" i="7" s="1"/>
  <c r="AQ772" i="7"/>
  <c r="AO772" i="7" s="1"/>
  <c r="AQ376" i="7"/>
  <c r="AO376" i="7" s="1"/>
  <c r="AQ346" i="7"/>
  <c r="AO346" i="7" s="1"/>
  <c r="AQ822" i="7"/>
  <c r="AO822" i="7" s="1"/>
  <c r="AQ852" i="7"/>
  <c r="AO852" i="7" s="1"/>
  <c r="AQ807" i="7"/>
  <c r="AO807" i="7" s="1"/>
  <c r="AQ440" i="7"/>
  <c r="AO440" i="7" s="1"/>
  <c r="AQ108" i="7"/>
  <c r="AO108" i="7" s="1"/>
  <c r="AQ133" i="7"/>
  <c r="AO133" i="7" s="1"/>
  <c r="AQ258" i="7"/>
  <c r="AO258" i="7" s="1"/>
  <c r="AQ540" i="7"/>
  <c r="AO540" i="7" s="1"/>
  <c r="AQ374" i="7"/>
  <c r="AO374" i="7" s="1"/>
  <c r="AQ762" i="7"/>
  <c r="AO762" i="7" s="1"/>
  <c r="AQ128" i="7"/>
  <c r="AO128" i="7" s="1"/>
  <c r="AQ268" i="7"/>
  <c r="AO268" i="7" s="1"/>
  <c r="AQ180" i="7"/>
  <c r="AO180" i="7" s="1"/>
  <c r="AQ42" i="7"/>
  <c r="AO42" i="7" s="1"/>
  <c r="AQ846" i="7"/>
  <c r="AO846" i="7" s="1"/>
  <c r="AQ465" i="7"/>
  <c r="AO465" i="7" s="1"/>
  <c r="AQ521" i="7"/>
  <c r="AO521" i="7" s="1"/>
  <c r="AQ152" i="7"/>
  <c r="AO152" i="7" s="1"/>
  <c r="AQ429" i="7"/>
  <c r="AO429" i="7" s="1"/>
  <c r="AQ567" i="7"/>
  <c r="AO567" i="7" s="1"/>
  <c r="AQ384" i="7"/>
  <c r="AO384" i="7" s="1"/>
  <c r="AQ702" i="7"/>
  <c r="AO702" i="7" s="1"/>
  <c r="AQ29" i="7"/>
  <c r="AO29" i="7" s="1"/>
  <c r="AQ264" i="7"/>
  <c r="AO264" i="7" s="1"/>
  <c r="AQ97" i="7"/>
  <c r="AO97" i="7" s="1"/>
  <c r="AQ571" i="7"/>
  <c r="AO571" i="7" s="1"/>
  <c r="AQ717" i="7"/>
  <c r="AO717" i="7" s="1"/>
  <c r="AQ865" i="7"/>
  <c r="AO865" i="7" s="1"/>
  <c r="AQ825" i="7"/>
  <c r="AO825" i="7" s="1"/>
  <c r="AQ81" i="7"/>
  <c r="AO81" i="7" s="1"/>
  <c r="AQ282" i="7"/>
  <c r="AO282" i="7" s="1"/>
  <c r="AQ763" i="7"/>
  <c r="AO763" i="7" s="1"/>
  <c r="AQ813" i="7"/>
  <c r="AO813" i="7" s="1"/>
  <c r="AQ622" i="7"/>
  <c r="AO622" i="7" s="1"/>
  <c r="AQ135" i="7"/>
  <c r="AO135" i="7" s="1"/>
  <c r="AQ331" i="7"/>
  <c r="AO331" i="7" s="1"/>
  <c r="AQ24" i="7"/>
  <c r="AO24" i="7" s="1"/>
  <c r="AQ162" i="7"/>
  <c r="AO162" i="7" s="1"/>
  <c r="AQ242" i="7"/>
  <c r="AO242" i="7" s="1"/>
  <c r="AQ428" i="7"/>
  <c r="AO428" i="7" s="1"/>
  <c r="AQ363" i="7"/>
  <c r="AO363" i="7" s="1"/>
  <c r="AQ385" i="7"/>
  <c r="AO385" i="7" s="1"/>
  <c r="AQ525" i="7"/>
  <c r="AO525" i="7" s="1"/>
  <c r="AQ338" i="7"/>
  <c r="AO338" i="7" s="1"/>
  <c r="AQ855" i="7"/>
  <c r="AO855" i="7" s="1"/>
  <c r="AQ870" i="7"/>
  <c r="AO870" i="7" s="1"/>
  <c r="AQ399" i="7"/>
  <c r="AO399" i="7" s="1"/>
  <c r="AQ452" i="7"/>
  <c r="AO452" i="7" s="1"/>
  <c r="AQ721" i="7"/>
  <c r="AO721" i="7" s="1"/>
  <c r="AQ45" i="7"/>
  <c r="AO45" i="7" s="1"/>
  <c r="AQ695" i="7"/>
  <c r="AO695" i="7" s="1"/>
  <c r="AQ387" i="7"/>
  <c r="AO387" i="7" s="1"/>
  <c r="AQ681" i="7"/>
  <c r="AO681" i="7" s="1"/>
  <c r="AQ233" i="7"/>
  <c r="AO233" i="7" s="1"/>
  <c r="AQ768" i="7"/>
  <c r="AO768" i="7" s="1"/>
  <c r="AQ367" i="7"/>
  <c r="AO367" i="7" s="1"/>
  <c r="AQ272" i="7"/>
  <c r="AO272" i="7" s="1"/>
  <c r="AQ117" i="7"/>
  <c r="AO117" i="7" s="1"/>
  <c r="AQ409" i="7"/>
  <c r="AO409" i="7" s="1"/>
  <c r="AQ740" i="7"/>
  <c r="AO740" i="7" s="1"/>
  <c r="AQ44" i="7"/>
  <c r="AO44" i="7" s="1"/>
  <c r="AQ298" i="7"/>
  <c r="AO298" i="7" s="1"/>
  <c r="AQ642" i="7"/>
  <c r="AO642" i="7" s="1"/>
  <c r="AQ335" i="7"/>
  <c r="AO335" i="7" s="1"/>
  <c r="AQ653" i="7"/>
  <c r="AO653" i="7" s="1"/>
  <c r="AQ197" i="7"/>
  <c r="AO197" i="7" s="1"/>
  <c r="AQ647" i="7"/>
  <c r="AO647" i="7" s="1"/>
  <c r="AQ284" i="7"/>
  <c r="AO284" i="7" s="1"/>
  <c r="AQ837" i="7"/>
  <c r="AO837" i="7" s="1"/>
  <c r="AQ424" i="7"/>
  <c r="AO424" i="7" s="1"/>
  <c r="AQ34" i="7"/>
  <c r="AO34" i="7" s="1"/>
  <c r="AQ765" i="7"/>
  <c r="AO765" i="7" s="1"/>
  <c r="AQ46" i="7"/>
  <c r="AO46" i="7" s="1"/>
  <c r="AQ165" i="7"/>
  <c r="AO165" i="7" s="1"/>
  <c r="AQ536" i="7"/>
  <c r="AO536" i="7" s="1"/>
  <c r="AQ487" i="7"/>
  <c r="AO487" i="7" s="1"/>
  <c r="AQ539" i="7"/>
  <c r="AO539" i="7" s="1"/>
  <c r="AQ584" i="7"/>
  <c r="AO584" i="7" s="1"/>
  <c r="AQ580" i="7"/>
  <c r="AO580" i="7" s="1"/>
  <c r="AQ12" i="7"/>
  <c r="AO12" i="7" s="1"/>
  <c r="AQ313" i="7"/>
  <c r="AO313" i="7" s="1"/>
  <c r="AQ434" i="7"/>
  <c r="AO434" i="7" s="1"/>
  <c r="AQ779" i="7"/>
  <c r="AO779" i="7" s="1"/>
  <c r="AQ169" i="7"/>
  <c r="AO169" i="7" s="1"/>
  <c r="AQ278" i="7"/>
  <c r="AO278" i="7" s="1"/>
  <c r="AQ838" i="7"/>
  <c r="AO838" i="7" s="1"/>
  <c r="AQ245" i="7"/>
  <c r="AO245" i="7" s="1"/>
  <c r="AQ588" i="7"/>
  <c r="AO588" i="7" s="1"/>
  <c r="AQ661" i="7"/>
  <c r="AO661" i="7" s="1"/>
  <c r="AQ306" i="7"/>
  <c r="AO306" i="7" s="1"/>
  <c r="AQ56" i="7"/>
  <c r="AO56" i="7" s="1"/>
  <c r="AQ89" i="7"/>
  <c r="AO89" i="7" s="1"/>
  <c r="AQ809" i="7"/>
  <c r="AO809" i="7" s="1"/>
  <c r="AQ522" i="7"/>
  <c r="AO522" i="7" s="1"/>
  <c r="AQ798" i="7"/>
  <c r="AO798" i="7" s="1"/>
  <c r="AQ354" i="7"/>
  <c r="AO354" i="7" s="1"/>
  <c r="AQ380" i="7"/>
  <c r="AO380" i="7" s="1"/>
  <c r="AQ308" i="7"/>
  <c r="AO308" i="7" s="1"/>
  <c r="AQ656" i="7"/>
  <c r="AO656" i="7" s="1"/>
  <c r="AQ193" i="7"/>
  <c r="AO193" i="7" s="1"/>
  <c r="AQ21" i="7"/>
  <c r="AO21" i="7" s="1"/>
  <c r="AQ496" i="7"/>
  <c r="AO496" i="7" s="1"/>
  <c r="AQ839" i="7"/>
  <c r="AO839" i="7" s="1"/>
  <c r="AQ438" i="7"/>
  <c r="AO438" i="7" s="1"/>
  <c r="AQ129" i="7"/>
  <c r="AO129" i="7" s="1"/>
  <c r="AQ200" i="7"/>
  <c r="AO200" i="7" s="1"/>
  <c r="AQ501" i="7"/>
  <c r="AO501" i="7" s="1"/>
  <c r="AQ474" i="7"/>
  <c r="AO474" i="7" s="1"/>
  <c r="AQ255" i="7"/>
  <c r="AO255" i="7" s="1"/>
  <c r="AQ495" i="7"/>
  <c r="AO495" i="7" s="1"/>
  <c r="AQ770" i="7"/>
  <c r="AO770" i="7" s="1"/>
  <c r="AQ497" i="7"/>
  <c r="AO497" i="7" s="1"/>
  <c r="AQ417" i="7"/>
  <c r="AO417" i="7" s="1"/>
  <c r="AQ523" i="7"/>
  <c r="AO523" i="7" s="1"/>
  <c r="AQ322" i="7"/>
  <c r="AO322" i="7" s="1"/>
  <c r="AQ183" i="7"/>
  <c r="AO183" i="7" s="1"/>
  <c r="AQ542" i="7"/>
  <c r="AO542" i="7" s="1"/>
  <c r="AQ665" i="7"/>
  <c r="AO665" i="7" s="1"/>
  <c r="AQ615" i="7"/>
  <c r="AO615" i="7" s="1"/>
  <c r="AQ755" i="7"/>
  <c r="AO755" i="7" s="1"/>
  <c r="AQ283" i="7"/>
  <c r="AO283" i="7" s="1"/>
  <c r="AQ747" i="7"/>
  <c r="AO747" i="7" s="1"/>
  <c r="AQ195" i="7"/>
  <c r="AO195" i="7" s="1"/>
  <c r="AQ726" i="7"/>
  <c r="AO726" i="7" s="1"/>
  <c r="AQ758" i="7"/>
  <c r="AO758" i="7" s="1"/>
  <c r="AQ415" i="7"/>
  <c r="AO415" i="7" s="1"/>
  <c r="AQ478" i="7"/>
  <c r="AO478" i="7" s="1"/>
  <c r="AQ546" i="7"/>
  <c r="AO546" i="7" s="1"/>
  <c r="AQ250" i="7"/>
  <c r="AO250" i="7" s="1"/>
  <c r="AQ831" i="7"/>
  <c r="AO831" i="7" s="1"/>
  <c r="AQ621" i="7"/>
  <c r="AO621" i="7" s="1"/>
  <c r="AQ289" i="7"/>
  <c r="AO289" i="7" s="1"/>
  <c r="AQ506" i="7"/>
  <c r="AO506" i="7" s="1"/>
  <c r="AQ198" i="7"/>
  <c r="AO198" i="7" s="1"/>
  <c r="AQ802" i="7"/>
  <c r="AO802" i="7" s="1"/>
  <c r="AQ637" i="7"/>
  <c r="AO637" i="7" s="1"/>
  <c r="AQ619" i="7"/>
  <c r="AO619" i="7" s="1"/>
  <c r="AQ444" i="7"/>
  <c r="AO444" i="7" s="1"/>
  <c r="AQ252" i="7"/>
  <c r="AO252" i="7" s="1"/>
  <c r="AQ780" i="7"/>
  <c r="AO780" i="7" s="1"/>
  <c r="AQ205" i="7"/>
  <c r="AO205" i="7" s="1"/>
  <c r="AQ459" i="7"/>
  <c r="AO459" i="7" s="1"/>
  <c r="AQ423" i="7"/>
  <c r="AO423" i="7" s="1"/>
  <c r="AQ663" i="7"/>
  <c r="AO663" i="7" s="1"/>
  <c r="AQ627" i="7"/>
  <c r="AO627" i="7" s="1"/>
  <c r="AQ125" i="7"/>
  <c r="AO125" i="7" s="1"/>
  <c r="AQ411" i="7"/>
  <c r="AO411" i="7" s="1"/>
  <c r="AQ262" i="7"/>
  <c r="AO262" i="7" s="1"/>
  <c r="AQ868" i="7"/>
  <c r="AO868" i="7" s="1"/>
  <c r="AQ375" i="7"/>
  <c r="AO375" i="7" s="1"/>
  <c r="AQ547" i="7"/>
  <c r="AO547" i="7" s="1"/>
  <c r="AQ113" i="7"/>
  <c r="AO113" i="7" s="1"/>
  <c r="AQ154" i="7"/>
  <c r="AO154" i="7" s="1"/>
  <c r="AQ416" i="7"/>
  <c r="AO416" i="7" s="1"/>
  <c r="AQ735" i="7"/>
  <c r="AO735" i="7" s="1"/>
  <c r="AQ285" i="7"/>
  <c r="AO285" i="7" s="1"/>
  <c r="AQ551" i="7"/>
  <c r="AO551" i="7" s="1"/>
  <c r="AQ383" i="7"/>
  <c r="AO383" i="7" s="1"/>
  <c r="AQ127" i="7"/>
  <c r="AO127" i="7" s="1"/>
  <c r="AQ790" i="7"/>
  <c r="AO790" i="7" s="1"/>
  <c r="AQ58" i="7"/>
  <c r="AO58" i="7" s="1"/>
  <c r="AQ814" i="7"/>
  <c r="AO814" i="7" s="1"/>
  <c r="AQ503" i="7"/>
  <c r="AO503" i="7" s="1"/>
  <c r="AQ832" i="7"/>
  <c r="AO832" i="7" s="1"/>
  <c r="AQ847" i="7"/>
  <c r="AO847" i="7" s="1"/>
  <c r="AQ853" i="7"/>
  <c r="AO853" i="7" s="1"/>
  <c r="AQ27" i="7"/>
  <c r="AO27" i="7" s="1"/>
  <c r="AQ643" i="7"/>
  <c r="AO643" i="7" s="1"/>
  <c r="AQ398" i="7"/>
  <c r="AO398" i="7" s="1"/>
  <c r="AQ140" i="7"/>
  <c r="AO140" i="7" s="1"/>
  <c r="AQ304" i="7"/>
  <c r="AO304" i="7" s="1"/>
  <c r="AQ386" i="7"/>
  <c r="AO386" i="7" s="1"/>
  <c r="AQ249" i="7"/>
  <c r="AO249" i="7" s="1"/>
  <c r="AQ137" i="7"/>
  <c r="AO137" i="7" s="1"/>
  <c r="AQ667" i="7"/>
  <c r="AO667" i="7" s="1"/>
  <c r="AQ606" i="7"/>
  <c r="AO606" i="7" s="1"/>
  <c r="AQ690" i="7"/>
  <c r="AO690" i="7" s="1"/>
  <c r="AQ32" i="7"/>
  <c r="AO32" i="7" s="1"/>
  <c r="AQ784" i="7"/>
  <c r="AO784" i="7" s="1"/>
  <c r="AQ371" i="7"/>
  <c r="AO371" i="7" s="1"/>
  <c r="AQ72" i="7"/>
  <c r="AO72" i="7" s="1"/>
  <c r="AQ827" i="7"/>
  <c r="AO827" i="7" s="1"/>
  <c r="AQ597" i="7"/>
  <c r="AO597" i="7" s="1"/>
  <c r="AQ604" i="7"/>
  <c r="AO604" i="7" s="1"/>
  <c r="AQ565" i="7"/>
  <c r="AO565" i="7" s="1"/>
  <c r="AQ731" i="7"/>
  <c r="AO731" i="7" s="1"/>
  <c r="AQ528" i="7"/>
  <c r="AO528" i="7" s="1"/>
  <c r="AQ787" i="7"/>
  <c r="AO787" i="7" s="1"/>
  <c r="AQ370" i="7"/>
  <c r="AO370" i="7" s="1"/>
  <c r="AQ297" i="7"/>
  <c r="AO297" i="7" s="1"/>
  <c r="AQ730" i="7"/>
  <c r="AO730" i="7" s="1"/>
  <c r="AQ159" i="7"/>
  <c r="AO159" i="7" s="1"/>
  <c r="AQ419" i="7"/>
  <c r="AO419" i="7" s="1"/>
  <c r="AQ389" i="7"/>
  <c r="AO389" i="7" s="1"/>
  <c r="AQ789" i="7"/>
  <c r="AO789" i="7" s="1"/>
  <c r="AQ402" i="7"/>
  <c r="AO402" i="7" s="1"/>
  <c r="AQ686" i="7"/>
  <c r="AO686" i="7" s="1"/>
  <c r="AQ552" i="7"/>
  <c r="AO552" i="7" s="1"/>
  <c r="AQ824" i="7"/>
  <c r="AO824" i="7" s="1"/>
  <c r="AQ18" i="7"/>
  <c r="AO18" i="7" s="1"/>
  <c r="AQ442" i="7"/>
  <c r="AO442" i="7" s="1"/>
  <c r="AQ631" i="7"/>
  <c r="AO631" i="7" s="1"/>
  <c r="AQ377" i="7"/>
  <c r="AO377" i="7" s="1"/>
  <c r="AQ320" i="7"/>
  <c r="AO320" i="7" s="1"/>
  <c r="AQ652" i="7"/>
  <c r="AO652" i="7" s="1"/>
  <c r="AQ166" i="7"/>
  <c r="AO166" i="7" s="1"/>
  <c r="AQ105" i="7"/>
  <c r="AO105" i="7" s="1"/>
  <c r="AQ136" i="7"/>
  <c r="AO136" i="7" s="1"/>
  <c r="AQ225" i="7"/>
  <c r="AO225" i="7" s="1"/>
  <c r="AQ693" i="7"/>
  <c r="AO693" i="7" s="1"/>
  <c r="AQ202" i="7"/>
  <c r="AO202" i="7" s="1"/>
  <c r="AQ92" i="7"/>
  <c r="AO92" i="7" s="1"/>
  <c r="AQ558" i="7"/>
  <c r="AO558" i="7" s="1"/>
  <c r="AQ778" i="7"/>
  <c r="AO778" i="7" s="1"/>
  <c r="AQ267" i="7"/>
  <c r="AO267" i="7" s="1"/>
  <c r="AQ544" i="7"/>
  <c r="AO544" i="7" s="1"/>
  <c r="AQ107" i="7"/>
  <c r="AO107" i="7" s="1"/>
  <c r="AQ293" i="7"/>
  <c r="AO293" i="7" s="1"/>
  <c r="AQ794" i="7"/>
  <c r="AO794" i="7" s="1"/>
  <c r="AQ777" i="7"/>
  <c r="AO777" i="7" s="1"/>
  <c r="AQ26" i="7"/>
  <c r="AO26" i="7" s="1"/>
  <c r="AQ210" i="7"/>
  <c r="AO210" i="7" s="1"/>
  <c r="AQ808" i="7"/>
  <c r="AO808" i="7" s="1"/>
  <c r="AQ87" i="7"/>
  <c r="AO87" i="7" s="1"/>
  <c r="AQ148" i="7"/>
  <c r="AO148" i="7" s="1"/>
  <c r="AQ332" i="7"/>
  <c r="AO332" i="7" s="1"/>
  <c r="AQ734" i="7"/>
  <c r="AO734" i="7" s="1"/>
  <c r="AQ67" i="7"/>
  <c r="AO67" i="7" s="1"/>
  <c r="AQ259" i="7"/>
  <c r="AO259" i="7" s="1"/>
  <c r="AQ477" i="7"/>
  <c r="AO477" i="7" s="1"/>
  <c r="AQ226" i="7"/>
  <c r="AO226" i="7" s="1"/>
  <c r="AQ342" i="7"/>
  <c r="AO342" i="7" s="1"/>
  <c r="AQ426" i="7"/>
  <c r="AO426" i="7" s="1"/>
  <c r="AQ146" i="7"/>
  <c r="AO146" i="7" s="1"/>
  <c r="AQ381" i="7"/>
  <c r="AO381" i="7" s="1"/>
  <c r="AQ8" i="7"/>
  <c r="AO8" i="7" s="1"/>
  <c r="AQ178" i="7"/>
  <c r="AO178" i="7" s="1"/>
  <c r="AQ645" i="7"/>
  <c r="AO645" i="7" s="1"/>
  <c r="AQ414" i="7"/>
  <c r="AO414" i="7" s="1"/>
  <c r="AQ707" i="7"/>
  <c r="AO707" i="7" s="1"/>
  <c r="AQ507" i="7"/>
  <c r="AO507" i="7" s="1"/>
  <c r="AQ449" i="7"/>
  <c r="AO449" i="7" s="1"/>
  <c r="AQ857" i="7"/>
  <c r="AO857" i="7" s="1"/>
  <c r="AQ669" i="7"/>
  <c r="AO669" i="7" s="1"/>
  <c r="AQ801" i="7"/>
  <c r="AO801" i="7" s="1"/>
  <c r="AQ658" i="7"/>
  <c r="AO658" i="7" s="1"/>
  <c r="AQ20" i="7"/>
  <c r="AO20" i="7" s="1"/>
  <c r="AQ727" i="7"/>
  <c r="AO727" i="7" s="1"/>
  <c r="AQ325" i="7"/>
  <c r="AO325" i="7" s="1"/>
  <c r="AQ74" i="7"/>
  <c r="AO74" i="7" s="1"/>
  <c r="AQ485" i="7"/>
  <c r="AO485" i="7" s="1"/>
  <c r="AQ518" i="7"/>
  <c r="AO518" i="7" s="1"/>
  <c r="AQ482" i="7"/>
  <c r="AO482" i="7" s="1"/>
  <c r="AQ295" i="7"/>
  <c r="AO295" i="7" s="1"/>
  <c r="AQ350" i="7"/>
  <c r="AO350" i="7" s="1"/>
  <c r="AQ38" i="7"/>
  <c r="AO38" i="7" s="1"/>
  <c r="AQ14" i="7"/>
  <c r="AO14" i="7" s="1"/>
  <c r="AQ388" i="7"/>
  <c r="AO388" i="7" s="1"/>
  <c r="AQ57" i="7"/>
  <c r="AO57" i="7" s="1"/>
  <c r="AQ30" i="7"/>
  <c r="AO30" i="7" s="1"/>
  <c r="AQ657" i="7"/>
  <c r="AO657" i="7" s="1"/>
  <c r="AQ37" i="7"/>
  <c r="AO37" i="7" s="1"/>
  <c r="AQ713" i="7"/>
  <c r="AO713" i="7" s="1"/>
  <c r="AQ390" i="7"/>
  <c r="AO390" i="7" s="1"/>
  <c r="AQ660" i="7"/>
  <c r="AO660" i="7" s="1"/>
  <c r="AQ582" i="7"/>
  <c r="AO582" i="7" s="1"/>
  <c r="AQ774" i="7"/>
  <c r="AO774" i="7" s="1"/>
  <c r="AQ470" i="7"/>
  <c r="AO470" i="7" s="1"/>
  <c r="AQ66" i="7"/>
  <c r="AO66" i="7" s="1"/>
  <c r="AQ359" i="7"/>
  <c r="AO359" i="7" s="1"/>
  <c r="AQ263" i="7"/>
  <c r="AO263" i="7" s="1"/>
  <c r="AQ858" i="7"/>
  <c r="AO858" i="7" s="1"/>
  <c r="AQ201" i="7"/>
  <c r="AO201" i="7" s="1"/>
  <c r="AQ83" i="7"/>
  <c r="AO83" i="7" s="1"/>
  <c r="AQ472" i="7"/>
  <c r="AO472" i="7" s="1"/>
  <c r="AQ427" i="7"/>
  <c r="AO427" i="7" s="1"/>
  <c r="AQ753" i="7"/>
  <c r="AO753" i="7" s="1"/>
  <c r="AQ310" i="7"/>
  <c r="AO310" i="7" s="1"/>
  <c r="AQ649" i="7"/>
  <c r="AO649" i="7" s="1"/>
  <c r="AQ222" i="7"/>
  <c r="AO222" i="7" s="1"/>
  <c r="AQ323" i="7"/>
  <c r="AO323" i="7" s="1"/>
  <c r="AQ158" i="7"/>
  <c r="AO158" i="7" s="1"/>
  <c r="AQ666" i="7"/>
  <c r="AO666" i="7" s="1"/>
  <c r="AQ524" i="7"/>
  <c r="AO524" i="7" s="1"/>
  <c r="AQ430" i="7"/>
  <c r="AO430" i="7" s="1"/>
  <c r="AQ548" i="7"/>
  <c r="AO548" i="7" s="1"/>
  <c r="AQ236" i="7"/>
  <c r="AO236" i="7" s="1"/>
  <c r="AQ435" i="7"/>
  <c r="AO435" i="7" s="1"/>
  <c r="AQ764" i="7"/>
  <c r="AO764" i="7" s="1"/>
  <c r="AQ723" i="7"/>
  <c r="AO723" i="7" s="1"/>
  <c r="AQ569" i="7"/>
  <c r="AO569" i="7" s="1"/>
  <c r="AQ118" i="7"/>
  <c r="AO118" i="7" s="1"/>
  <c r="AQ607" i="7"/>
  <c r="AO607" i="7" s="1"/>
  <c r="AQ600" i="7"/>
  <c r="AO600" i="7" s="1"/>
  <c r="AQ19" i="7"/>
  <c r="AO19" i="7" s="1"/>
  <c r="AQ484" i="7"/>
  <c r="AO484" i="7" s="1"/>
  <c r="AQ316" i="7"/>
  <c r="AO316" i="7" s="1"/>
  <c r="AQ28" i="7"/>
  <c r="AO28" i="7" s="1"/>
  <c r="AQ688" i="7"/>
  <c r="AO688" i="7" s="1"/>
  <c r="AQ828" i="7"/>
  <c r="AO828" i="7" s="1"/>
  <c r="AQ509" i="7"/>
  <c r="AO509" i="7" s="1"/>
  <c r="AQ628" i="7"/>
  <c r="AO628" i="7" s="1"/>
  <c r="AQ757" i="7"/>
  <c r="AO757" i="7" s="1"/>
  <c r="AQ508" i="7"/>
  <c r="AO508" i="7" s="1"/>
  <c r="AQ575" i="7"/>
  <c r="AO575" i="7" s="1"/>
  <c r="AQ640" i="7"/>
  <c r="AO640" i="7" s="1"/>
  <c r="AQ863" i="7"/>
  <c r="AO863" i="7" s="1"/>
  <c r="AQ704" i="7"/>
  <c r="AO704" i="7" s="1"/>
  <c r="AQ568" i="7"/>
  <c r="AO568" i="7" s="1"/>
  <c r="AQ756" i="7"/>
  <c r="AO756" i="7" s="1"/>
  <c r="AQ843" i="7"/>
  <c r="AO843" i="7" s="1"/>
  <c r="AQ581" i="7"/>
  <c r="AO581" i="7" s="1"/>
  <c r="AQ161" i="7"/>
  <c r="AO161" i="7" s="1"/>
  <c r="AQ466" i="7"/>
  <c r="AO466" i="7" s="1"/>
  <c r="AQ577" i="7"/>
  <c r="AO577" i="7" s="1"/>
  <c r="AQ422" i="7"/>
  <c r="AO422" i="7" s="1"/>
  <c r="AQ328" i="7"/>
  <c r="AO328" i="7" s="1"/>
  <c r="AQ228" i="7"/>
  <c r="AO228" i="7" s="1"/>
  <c r="AQ437" i="7"/>
  <c r="AO437" i="7" s="1"/>
  <c r="AQ826" i="7"/>
  <c r="AO826" i="7" s="1"/>
  <c r="AQ372" i="7"/>
  <c r="AO372" i="7" s="1"/>
  <c r="AQ585" i="7"/>
  <c r="AO585" i="7" s="1"/>
  <c r="AQ716" i="7"/>
  <c r="AO716" i="7" s="1"/>
  <c r="AQ190" i="7"/>
  <c r="AO190" i="7" s="1"/>
  <c r="AQ864" i="7"/>
  <c r="AO864" i="7" s="1"/>
  <c r="AQ512" i="7"/>
  <c r="AO512" i="7" s="1"/>
  <c r="AQ502" i="7"/>
  <c r="AO502" i="7" s="1"/>
  <c r="AQ144" i="7"/>
  <c r="AO144" i="7" s="1"/>
  <c r="AQ391" i="7"/>
  <c r="AO391" i="7" s="1"/>
  <c r="AQ400" i="7"/>
  <c r="AO400" i="7" s="1"/>
  <c r="AQ834" i="7"/>
  <c r="AO834" i="7" s="1"/>
  <c r="AQ167" i="7"/>
  <c r="AO167" i="7" s="1"/>
  <c r="AQ710" i="7"/>
  <c r="AO710" i="7" s="1"/>
  <c r="AQ191" i="7"/>
  <c r="AO191" i="7" s="1"/>
  <c r="AQ122" i="7"/>
  <c r="AO122" i="7" s="1"/>
  <c r="AQ719" i="7"/>
  <c r="AO719" i="7" s="1"/>
  <c r="AQ742" i="7"/>
  <c r="AO742" i="7" s="1"/>
  <c r="AQ856" i="7"/>
  <c r="AO856" i="7" s="1"/>
  <c r="AQ760" i="7"/>
  <c r="AO760" i="7" s="1"/>
  <c r="AQ554" i="7"/>
  <c r="AO554" i="7" s="1"/>
  <c r="AQ403" i="7"/>
  <c r="AO403" i="7" s="1"/>
  <c r="AQ867" i="7"/>
  <c r="AO867" i="7" s="1"/>
  <c r="AQ361" i="7"/>
  <c r="AO361" i="7" s="1"/>
  <c r="AQ576" i="7"/>
  <c r="AO576" i="7" s="1"/>
  <c r="AQ64" i="7"/>
  <c r="AO64" i="7" s="1"/>
  <c r="AQ549" i="7"/>
  <c r="AO549" i="7" s="1"/>
  <c r="AQ203" i="7"/>
  <c r="AO203" i="7" s="1"/>
  <c r="AQ529" i="7"/>
  <c r="AO529" i="7" s="1"/>
  <c r="AQ479" i="7"/>
  <c r="AO479" i="7" s="1"/>
  <c r="AQ630" i="7"/>
  <c r="AO630" i="7" s="1"/>
  <c r="AQ605" i="7"/>
  <c r="AO605" i="7" s="1"/>
  <c r="AQ212" i="7"/>
  <c r="AO212" i="7" s="1"/>
  <c r="AQ76" i="7"/>
  <c r="AO76" i="7" s="1"/>
  <c r="AQ746" i="7"/>
  <c r="AO746" i="7" s="1"/>
  <c r="AQ473" i="7"/>
  <c r="AO473" i="7" s="1"/>
  <c r="AQ451" i="7"/>
  <c r="AO451" i="7" s="1"/>
  <c r="AQ733" i="7"/>
  <c r="AO733" i="7" s="1"/>
  <c r="AQ147" i="7"/>
  <c r="AO147" i="7" s="1"/>
  <c r="AQ25" i="7"/>
  <c r="AO25" i="7" s="1"/>
  <c r="AQ795" i="7"/>
  <c r="AO795" i="7" s="1"/>
  <c r="AQ799" i="7"/>
  <c r="AO799" i="7" s="1"/>
  <c r="AQ35" i="7"/>
  <c r="AO35" i="7" s="1"/>
  <c r="AQ311" i="7"/>
  <c r="AO311" i="7" s="1"/>
  <c r="AQ80" i="7"/>
  <c r="AO80" i="7" s="1"/>
  <c r="AQ168" i="7"/>
  <c r="AO168" i="7" s="1"/>
  <c r="AQ132" i="7"/>
  <c r="AO132" i="7" s="1"/>
  <c r="AQ698" i="7"/>
  <c r="AO698" i="7" s="1"/>
  <c r="AQ109" i="7"/>
  <c r="AO109" i="7" s="1"/>
  <c r="AQ513" i="7"/>
  <c r="AO513" i="7" s="1"/>
  <c r="AQ330" i="7"/>
  <c r="AO330" i="7" s="1"/>
  <c r="AQ851" i="7"/>
  <c r="AO851" i="7" s="1"/>
  <c r="AQ583" i="7"/>
  <c r="AO583" i="7" s="1"/>
  <c r="AQ345" i="7"/>
  <c r="AO345" i="7" s="1"/>
  <c r="AQ736" i="7"/>
  <c r="AO736" i="7" s="1"/>
  <c r="AQ15" i="7"/>
  <c r="AO15" i="7" s="1"/>
  <c r="AQ729" i="7"/>
  <c r="AO729" i="7" s="1"/>
  <c r="AQ187" i="7"/>
  <c r="AO187" i="7" s="1"/>
  <c r="AQ277" i="7"/>
  <c r="AO277" i="7" s="1"/>
  <c r="AQ673" i="7"/>
  <c r="AO673" i="7" s="1"/>
  <c r="AQ443" i="7"/>
  <c r="AO443" i="7" s="1"/>
  <c r="AQ292" i="7"/>
  <c r="AO292" i="7" s="1"/>
  <c r="AQ220" i="7"/>
  <c r="AO220" i="7" s="1"/>
  <c r="AQ644" i="7"/>
  <c r="AO644" i="7" s="1"/>
  <c r="AQ143" i="7"/>
  <c r="AO143" i="7" s="1"/>
  <c r="AQ17" i="7"/>
  <c r="AO17" i="7" s="1"/>
  <c r="AQ775" i="7"/>
  <c r="AO775" i="7" s="1"/>
  <c r="AQ114" i="7"/>
  <c r="AO114" i="7" s="1"/>
  <c r="AQ560" i="7"/>
  <c r="AO560" i="7" s="1"/>
  <c r="AQ333" i="7"/>
  <c r="AO333" i="7" s="1"/>
  <c r="AQ294" i="7"/>
  <c r="AO294" i="7" s="1"/>
  <c r="AQ533" i="7"/>
  <c r="AO533" i="7" s="1"/>
  <c r="AQ670" i="7"/>
  <c r="AO670" i="7" s="1"/>
  <c r="AQ349" i="7"/>
  <c r="AO349" i="7" s="1"/>
  <c r="AQ207" i="7"/>
  <c r="AO207" i="7" s="1"/>
  <c r="AQ629" i="7"/>
  <c r="AO629" i="7" s="1"/>
  <c r="AQ329" i="7"/>
  <c r="AO329" i="7" s="1"/>
  <c r="AQ60" i="7"/>
  <c r="AO60" i="7" s="1"/>
  <c r="AQ151" i="7"/>
  <c r="AO151" i="7" s="1"/>
  <c r="AQ668" i="7"/>
  <c r="AO668" i="7" s="1"/>
  <c r="AQ261" i="7"/>
  <c r="AO261" i="7" s="1"/>
  <c r="AQ439" i="7"/>
  <c r="AO439" i="7" s="1"/>
  <c r="AQ209" i="7"/>
  <c r="AO209" i="7" s="1"/>
  <c r="AQ103" i="7"/>
  <c r="AO103" i="7" s="1"/>
  <c r="AQ98" i="7"/>
  <c r="AO98" i="7" s="1"/>
  <c r="AQ703" i="7"/>
  <c r="AO703" i="7" s="1"/>
  <c r="AQ61" i="7"/>
  <c r="AO61" i="7" s="1"/>
  <c r="AQ275" i="7"/>
  <c r="AO275" i="7" s="1"/>
  <c r="AQ767" i="7"/>
  <c r="AO767" i="7" s="1"/>
  <c r="AQ73" i="7"/>
  <c r="AO73" i="7" s="1"/>
  <c r="AQ796" i="7"/>
  <c r="AO796" i="7" s="1"/>
  <c r="AQ309" i="7"/>
  <c r="AO309" i="7" s="1"/>
  <c r="AQ70" i="7"/>
  <c r="AO70" i="7" s="1"/>
  <c r="AQ671" i="7"/>
  <c r="AO671" i="7" s="1"/>
  <c r="AQ407" i="7"/>
  <c r="AO407" i="7" s="1"/>
  <c r="AQ90" i="7"/>
  <c r="AO90" i="7" s="1"/>
  <c r="AQ279" i="7"/>
  <c r="AO279" i="7" s="1"/>
  <c r="AQ40" i="7"/>
  <c r="AO40" i="7" s="1"/>
  <c r="AQ817" i="7"/>
  <c r="AO817" i="7" s="1"/>
  <c r="AQ679" i="7"/>
  <c r="AO679" i="7" s="1"/>
  <c r="AQ79" i="7"/>
  <c r="AO79" i="7" s="1"/>
  <c r="AQ287" i="7"/>
  <c r="AO287" i="7" s="1"/>
  <c r="AQ613" i="7"/>
  <c r="AO613" i="7" s="1"/>
  <c r="AQ687" i="7"/>
  <c r="AO687" i="7" s="1"/>
  <c r="AQ243" i="7"/>
  <c r="AO243" i="7" s="1"/>
  <c r="AQ43" i="7"/>
  <c r="AO43" i="7" s="1"/>
  <c r="AQ773" i="7"/>
  <c r="AO773" i="7" s="1"/>
  <c r="AQ240" i="7"/>
  <c r="AO240" i="7" s="1"/>
  <c r="AQ441" i="7"/>
  <c r="AO441" i="7" s="1"/>
  <c r="AQ404" i="7"/>
  <c r="AO404" i="7" s="1"/>
  <c r="AQ462" i="7"/>
  <c r="AO462" i="7" s="1"/>
  <c r="AQ678" i="7"/>
  <c r="AO678" i="7" s="1"/>
  <c r="AQ102" i="7"/>
  <c r="AO102" i="7" s="1"/>
  <c r="AQ181" i="7"/>
  <c r="AO181" i="7" s="1"/>
  <c r="AQ208" i="7"/>
  <c r="AO208" i="7" s="1"/>
  <c r="AQ405" i="7"/>
  <c r="AO405" i="7" s="1"/>
  <c r="AQ85" i="7"/>
  <c r="AO85" i="7" s="1"/>
  <c r="AQ771" i="7"/>
  <c r="AO771" i="7" s="1"/>
  <c r="AQ491" i="7"/>
  <c r="AO491" i="7" s="1"/>
  <c r="AQ708" i="7"/>
  <c r="AO708" i="7" s="1"/>
  <c r="AQ836" i="7"/>
  <c r="AO836" i="7" s="1"/>
  <c r="AQ172" i="7"/>
  <c r="AO172" i="7" s="1"/>
  <c r="AQ715" i="7"/>
  <c r="AO715" i="7" s="1"/>
  <c r="AQ701" i="7"/>
  <c r="AO701" i="7" s="1"/>
  <c r="AQ680" i="7"/>
  <c r="AO680" i="7" s="1"/>
  <c r="AQ182" i="7"/>
  <c r="AO182" i="7" s="1"/>
  <c r="AQ364" i="7"/>
  <c r="AO364" i="7" s="1"/>
  <c r="AQ53" i="7"/>
  <c r="AO53" i="7" s="1"/>
  <c r="AQ369" i="7"/>
  <c r="AO369" i="7" s="1"/>
  <c r="AQ545" i="7"/>
  <c r="AO545" i="7" s="1"/>
  <c r="AQ273" i="7"/>
  <c r="AO273" i="7" s="1"/>
  <c r="AQ139" i="7"/>
  <c r="AO139" i="7" s="1"/>
  <c r="AQ587" i="7"/>
  <c r="AO587" i="7" s="1"/>
  <c r="AQ579" i="7"/>
  <c r="AO579" i="7" s="1"/>
  <c r="AQ9" i="7"/>
  <c r="AO9" i="7" s="1"/>
  <c r="AQ611" i="7"/>
  <c r="AO611" i="7" s="1"/>
  <c r="AQ616" i="7"/>
  <c r="AO616" i="7" s="1"/>
  <c r="AQ563" i="7"/>
  <c r="AO563" i="7" s="1"/>
  <c r="AQ682" i="7"/>
  <c r="AO682" i="7" s="1"/>
  <c r="AQ609" i="7"/>
  <c r="AO609" i="7" s="1"/>
  <c r="AQ848" i="7"/>
  <c r="AO848" i="7" s="1"/>
  <c r="AQ115" i="7"/>
  <c r="AO115" i="7" s="1"/>
  <c r="AQ593" i="7"/>
  <c r="AO593" i="7" s="1"/>
  <c r="AQ752" i="7"/>
  <c r="AO752" i="7" s="1"/>
  <c r="AQ461" i="7"/>
  <c r="AO461" i="7" s="1"/>
  <c r="AQ816" i="7"/>
  <c r="AO816" i="7" s="1"/>
  <c r="AQ531" i="7"/>
  <c r="AO531" i="7" s="1"/>
  <c r="AQ705" i="7"/>
  <c r="AO705" i="7" s="1"/>
  <c r="AQ410" i="7"/>
  <c r="AO410" i="7" s="1"/>
  <c r="AQ86" i="7"/>
  <c r="AO86" i="7" s="1"/>
  <c r="AQ514" i="7"/>
  <c r="AO514" i="7" s="1"/>
  <c r="AQ319" i="7"/>
  <c r="AO319" i="7" s="1"/>
  <c r="AQ286" i="7"/>
  <c r="AO286" i="7" s="1"/>
  <c r="AQ596" i="7"/>
  <c r="AO596" i="7" s="1"/>
  <c r="AQ173" i="7"/>
  <c r="AO173" i="7" s="1"/>
  <c r="AQ436" i="7"/>
  <c r="AO436" i="7" s="1"/>
  <c r="AQ290" i="7"/>
  <c r="AO290" i="7" s="1"/>
  <c r="AQ256" i="7"/>
  <c r="AO256" i="7" s="1"/>
  <c r="AQ244" i="7"/>
  <c r="AO244" i="7" s="1"/>
  <c r="AQ722" i="7"/>
  <c r="AO722" i="7" s="1"/>
  <c r="AQ526" i="7"/>
  <c r="AO526" i="7" s="1"/>
  <c r="AQ574" i="7"/>
  <c r="AO574" i="7" s="1"/>
  <c r="AQ500" i="7"/>
  <c r="AO500" i="7" s="1"/>
  <c r="AQ164" i="7"/>
  <c r="AO164" i="7" s="1"/>
  <c r="AQ830" i="7"/>
  <c r="AO830" i="7" s="1"/>
  <c r="AQ100" i="7"/>
  <c r="AO100" i="7" s="1"/>
  <c r="AQ75" i="7"/>
  <c r="AO75" i="7" s="1"/>
  <c r="AQ291" i="7"/>
  <c r="AO291" i="7" s="1"/>
  <c r="AQ648" i="7"/>
  <c r="AO648" i="7" s="1"/>
  <c r="AQ469" i="7"/>
  <c r="AO469" i="7" s="1"/>
  <c r="AQ184" i="7"/>
  <c r="AO184" i="7" s="1"/>
  <c r="AQ527" i="7"/>
  <c r="AO527" i="7" s="1"/>
  <c r="AQ464" i="7"/>
  <c r="AO464" i="7" s="1"/>
  <c r="AQ854" i="7"/>
  <c r="AO854" i="7" s="1"/>
  <c r="AQ302" i="7"/>
  <c r="AO302" i="7" s="1"/>
  <c r="AQ351" i="7"/>
  <c r="AO351" i="7" s="1"/>
  <c r="AQ418" i="7"/>
  <c r="AO418" i="7" s="1"/>
  <c r="AQ111" i="7"/>
  <c r="AO111" i="7" s="1"/>
  <c r="AQ454" i="7"/>
  <c r="AO454" i="7" s="1"/>
  <c r="AQ51" i="7"/>
  <c r="AO51" i="7" s="1"/>
  <c r="AQ196" i="7"/>
  <c r="AO196" i="7" s="1"/>
  <c r="AQ448" i="7"/>
  <c r="AO448" i="7" s="1"/>
  <c r="AQ68" i="7"/>
  <c r="AO68" i="7" s="1"/>
  <c r="AQ601" i="7"/>
  <c r="AO601" i="7" s="1"/>
  <c r="AQ586" i="7"/>
  <c r="AO586" i="7" s="1"/>
  <c r="AQ457" i="7"/>
  <c r="AO457" i="7" s="1"/>
  <c r="AQ141" i="7"/>
  <c r="AO141" i="7" s="1"/>
  <c r="AQ744" i="7"/>
  <c r="AO744" i="7" s="1"/>
  <c r="AQ634" i="7"/>
  <c r="AO634" i="7" s="1"/>
  <c r="AQ150" i="7"/>
  <c r="AO150" i="7" s="1"/>
  <c r="AQ602" i="7"/>
  <c r="AO602" i="7" s="1"/>
  <c r="AQ820" i="7"/>
  <c r="AO820" i="7" s="1"/>
  <c r="AQ829" i="7"/>
  <c r="AO829" i="7" s="1"/>
  <c r="AQ635" i="7"/>
  <c r="AO635" i="7" s="1"/>
  <c r="AQ344" i="7"/>
  <c r="AO344" i="7" s="1"/>
  <c r="AQ812" i="7"/>
  <c r="AO812" i="7" s="1"/>
  <c r="AQ356" i="7"/>
  <c r="AO356" i="7" s="1"/>
  <c r="AQ213" i="7"/>
  <c r="AO213" i="7" s="1"/>
  <c r="AQ365" i="7"/>
  <c r="AO365" i="7" s="1"/>
  <c r="AQ362" i="7"/>
  <c r="AO362" i="7" s="1"/>
  <c r="AQ725" i="7"/>
  <c r="AO725" i="7" s="1"/>
  <c r="AQ88" i="7"/>
  <c r="AO88" i="7" s="1"/>
  <c r="AQ676" i="7"/>
  <c r="AO676" i="7" s="1"/>
  <c r="AQ541" i="7"/>
  <c r="AO541" i="7" s="1"/>
  <c r="AQ664" i="7"/>
  <c r="AO664" i="7" s="1"/>
  <c r="AQ823" i="7"/>
  <c r="AO823" i="7" s="1"/>
  <c r="AQ844" i="7"/>
  <c r="AO844" i="7" s="1"/>
  <c r="AQ592" i="7"/>
  <c r="AO592" i="7" s="1"/>
  <c r="AQ237" i="7"/>
  <c r="AO237" i="7" s="1"/>
  <c r="AQ397" i="7"/>
  <c r="AO397" i="7" s="1"/>
  <c r="AQ54" i="7"/>
  <c r="AO54" i="7" s="1"/>
  <c r="AQ229" i="7"/>
  <c r="AO229" i="7" s="1"/>
  <c r="AQ511" i="7"/>
  <c r="AO511" i="7" s="1"/>
  <c r="AQ791" i="7"/>
  <c r="AO791" i="7" s="1"/>
  <c r="AQ800" i="7"/>
  <c r="AO800" i="7" s="1"/>
  <c r="AQ685" i="7"/>
  <c r="AO685" i="7" s="1"/>
  <c r="AQ806" i="7"/>
  <c r="AO806" i="7" s="1"/>
  <c r="AQ110" i="7"/>
  <c r="AO110" i="7" s="1"/>
  <c r="AQ578" i="7"/>
  <c r="AO578" i="7" s="1"/>
  <c r="AQ303" i="7"/>
  <c r="AO303" i="7" s="1"/>
  <c r="AQ160" i="7"/>
  <c r="AO160" i="7" s="1"/>
  <c r="AQ134" i="7"/>
  <c r="AO134" i="7" s="1"/>
  <c r="AQ610" i="7"/>
  <c r="AO610" i="7" s="1"/>
  <c r="AQ149" i="7"/>
  <c r="AO149" i="7" s="1"/>
  <c r="AQ510" i="7"/>
  <c r="AO510" i="7" s="1"/>
  <c r="AQ445" i="7"/>
  <c r="AO445" i="7" s="1"/>
  <c r="AQ219" i="7"/>
  <c r="AO219" i="7" s="1"/>
  <c r="AQ833" i="7"/>
  <c r="AO833" i="7" s="1"/>
  <c r="AQ432" i="7"/>
  <c r="AO432" i="7" s="1"/>
  <c r="AQ515" i="7"/>
  <c r="AO515" i="7" s="1"/>
  <c r="AQ401" i="7"/>
  <c r="AO401" i="7" s="1"/>
  <c r="AQ179" i="7"/>
  <c r="AO179" i="7" s="1"/>
  <c r="AQ570" i="7"/>
  <c r="AO570" i="7" s="1"/>
  <c r="AQ446" i="7"/>
  <c r="AO446" i="7" s="1"/>
  <c r="AQ706" i="7"/>
  <c r="AO706" i="7" s="1"/>
  <c r="AQ741" i="7"/>
  <c r="AO741" i="7" s="1"/>
  <c r="AQ516" i="7"/>
  <c r="AO516" i="7" s="1"/>
  <c r="AQ341" i="7"/>
  <c r="AO341" i="7" s="1"/>
  <c r="AQ425" i="7"/>
  <c r="AO425" i="7" s="1"/>
  <c r="AQ280" i="7"/>
  <c r="AO280" i="7" s="1"/>
  <c r="AQ519" i="7"/>
  <c r="AO519" i="7" s="1"/>
  <c r="AQ11" i="7"/>
  <c r="AO11" i="7" s="1"/>
  <c r="AQ334" i="7"/>
  <c r="AO334" i="7" s="1"/>
  <c r="AQ714" i="7"/>
  <c r="AO714" i="7" s="1"/>
  <c r="AQ101" i="7"/>
  <c r="AO101" i="7" s="1"/>
  <c r="AQ194" i="7"/>
  <c r="AO194" i="7" s="1"/>
  <c r="AQ216" i="7"/>
  <c r="AO216" i="7" s="1"/>
  <c r="AQ532" i="7"/>
  <c r="AO532" i="7" s="1"/>
  <c r="AQ672" i="7"/>
  <c r="AO672" i="7" s="1"/>
  <c r="AQ614" i="7"/>
  <c r="AO614" i="7" s="1"/>
  <c r="AQ573" i="7"/>
  <c r="AO573" i="7" s="1"/>
  <c r="AQ819" i="7"/>
  <c r="AO819" i="7" s="1"/>
  <c r="AQ340" i="7"/>
  <c r="AO340" i="7" s="1"/>
  <c r="AQ84" i="7"/>
  <c r="AO84" i="7" s="1"/>
  <c r="AQ230" i="7"/>
  <c r="AO230" i="7" s="1"/>
  <c r="AQ499" i="7"/>
  <c r="AO499" i="7" s="1"/>
  <c r="AQ13" i="7"/>
  <c r="AO13" i="7" s="1"/>
  <c r="AQ632" i="7"/>
  <c r="AO632" i="7" s="1"/>
  <c r="AQ598" i="7"/>
  <c r="AO598" i="7" s="1"/>
  <c r="AQ737" i="7"/>
  <c r="AO737" i="7" s="1"/>
  <c r="AQ696" i="7"/>
  <c r="AO696" i="7" s="1"/>
  <c r="AQ393" i="7"/>
  <c r="AO393" i="7" s="1"/>
  <c r="AQ241" i="7"/>
  <c r="AO241" i="7" s="1"/>
  <c r="AQ761" i="7"/>
  <c r="AO761" i="7" s="1"/>
  <c r="AQ564" i="7"/>
  <c r="AO564" i="7" s="1"/>
  <c r="AQ82" i="7"/>
  <c r="AO82" i="7" s="1"/>
  <c r="AQ677" i="7"/>
  <c r="AO677" i="7" s="1"/>
  <c r="AQ318" i="7"/>
  <c r="AO318" i="7" s="1"/>
  <c r="AL225" i="7"/>
  <c r="AM225" i="7" s="1"/>
  <c r="AL527" i="7"/>
  <c r="AM527" i="7" s="1"/>
  <c r="AL736" i="7"/>
  <c r="AM736" i="7" s="1"/>
  <c r="AL602" i="7"/>
  <c r="AM602" i="7" s="1"/>
  <c r="AL765" i="7"/>
  <c r="AM765" i="7" s="1"/>
  <c r="AL263" i="7"/>
  <c r="AM263" i="7" s="1"/>
  <c r="AL660" i="7"/>
  <c r="AM660" i="7" s="1"/>
  <c r="AL304" i="7"/>
  <c r="AM304" i="7" s="1"/>
  <c r="AL342" i="7"/>
  <c r="AM342" i="7" s="1"/>
  <c r="AL503" i="7"/>
  <c r="AM503" i="7" s="1"/>
  <c r="AL322" i="7"/>
  <c r="AM322" i="7" s="1"/>
  <c r="AL280" i="7"/>
  <c r="AM280" i="7" s="1"/>
  <c r="AL340" i="7"/>
  <c r="AM340" i="7" s="1"/>
  <c r="AL755" i="7"/>
  <c r="AM755" i="7" s="1"/>
  <c r="AL579" i="7"/>
  <c r="AM579" i="7" s="1"/>
  <c r="AL465" i="7"/>
  <c r="AM465" i="7" s="1"/>
  <c r="AL150" i="7"/>
  <c r="AM150" i="7" s="1"/>
  <c r="AL11" i="7"/>
  <c r="AM11" i="7" s="1"/>
  <c r="AL491" i="7"/>
  <c r="AM491" i="7" s="1"/>
  <c r="AL533" i="7"/>
  <c r="AM533" i="7" s="1"/>
  <c r="AL688" i="7"/>
  <c r="AM688" i="7" s="1"/>
  <c r="AL8" i="7"/>
  <c r="AM8" i="7" s="1"/>
  <c r="AL374" i="7"/>
  <c r="AM374" i="7" s="1"/>
  <c r="AL344" i="7"/>
  <c r="AM344" i="7" s="1"/>
  <c r="AL725" i="7"/>
  <c r="AM725" i="7" s="1"/>
  <c r="AL343" i="7"/>
  <c r="AM343" i="7" s="1"/>
  <c r="AL742" i="7"/>
  <c r="AM742" i="7" s="1"/>
  <c r="AL283" i="7"/>
  <c r="AM283" i="7" s="1"/>
  <c r="AL574" i="7"/>
  <c r="AM574" i="7" s="1"/>
  <c r="AL256" i="7"/>
  <c r="AM256" i="7" s="1"/>
  <c r="AL220" i="7"/>
  <c r="AM220" i="7" s="1"/>
  <c r="AL417" i="7"/>
  <c r="AM417" i="7" s="1"/>
  <c r="AL17" i="7"/>
  <c r="AM17" i="7" s="1"/>
  <c r="AL600" i="7"/>
  <c r="AM600" i="7" s="1"/>
  <c r="AL407" i="7"/>
  <c r="AM407" i="7" s="1"/>
  <c r="AL82" i="7"/>
  <c r="AM82" i="7" s="1"/>
  <c r="AL846" i="7"/>
  <c r="AM846" i="7" s="1"/>
  <c r="AL727" i="7"/>
  <c r="AM727" i="7" s="1"/>
  <c r="AL800" i="7"/>
  <c r="AM800" i="7" s="1"/>
  <c r="AL183" i="7"/>
  <c r="AM183" i="7" s="1"/>
  <c r="AL759" i="7"/>
  <c r="AM759" i="7" s="1"/>
  <c r="AL523" i="7"/>
  <c r="AM523" i="7" s="1"/>
  <c r="AL213" i="7"/>
  <c r="AM213" i="7" s="1"/>
  <c r="AL763" i="7"/>
  <c r="AM763" i="7" s="1"/>
  <c r="AL308" i="7"/>
  <c r="AM308" i="7" s="1"/>
  <c r="AL333" i="7"/>
  <c r="AM333" i="7" s="1"/>
  <c r="AL853" i="7"/>
  <c r="AM853" i="7" s="1"/>
  <c r="AL275" i="7"/>
  <c r="AM275" i="7" s="1"/>
  <c r="AL287" i="7"/>
  <c r="AM287" i="7" s="1"/>
  <c r="AL630" i="7"/>
  <c r="AM630" i="7" s="1"/>
  <c r="AL832" i="7"/>
  <c r="AM832" i="7" s="1"/>
  <c r="AL514" i="7"/>
  <c r="AM514" i="7" s="1"/>
  <c r="AL35" i="7"/>
  <c r="AM35" i="7" s="1"/>
  <c r="AL258" i="7"/>
  <c r="AM258" i="7" s="1"/>
  <c r="AL681" i="7"/>
  <c r="AM681" i="7" s="1"/>
  <c r="AL760" i="7"/>
  <c r="AM760" i="7" s="1"/>
  <c r="AL564" i="7"/>
  <c r="AM564" i="7" s="1"/>
  <c r="AL354" i="7"/>
  <c r="AM354" i="7" s="1"/>
  <c r="AL233" i="7"/>
  <c r="AM233" i="7" s="1"/>
  <c r="AL137" i="7"/>
  <c r="AM137" i="7" s="1"/>
  <c r="AL474" i="7"/>
  <c r="AM474" i="7" s="1"/>
  <c r="AL298" i="7"/>
  <c r="AM298" i="7" s="1"/>
  <c r="AL585" i="7"/>
  <c r="AM585" i="7" s="1"/>
  <c r="AL267" i="7"/>
  <c r="AM267" i="7" s="1"/>
  <c r="AL829" i="7"/>
  <c r="AM829" i="7" s="1"/>
  <c r="AL524" i="7"/>
  <c r="AM524" i="7" s="1"/>
  <c r="AL632" i="7"/>
  <c r="AM632" i="7" s="1"/>
  <c r="AL715" i="7"/>
  <c r="AM715" i="7" s="1"/>
  <c r="AL518" i="7"/>
  <c r="AM518" i="7" s="1"/>
  <c r="AL295" i="7"/>
  <c r="AM295" i="7" s="1"/>
  <c r="AL610" i="7"/>
  <c r="AM610" i="7" s="1"/>
  <c r="AL330" i="7"/>
  <c r="AM330" i="7" s="1"/>
  <c r="AL334" i="7"/>
  <c r="AM334" i="7" s="1"/>
  <c r="AL428" i="7"/>
  <c r="AM428" i="7" s="1"/>
  <c r="AL500" i="7"/>
  <c r="AM500" i="7" s="1"/>
  <c r="AL457" i="7"/>
  <c r="AM457" i="7" s="1"/>
  <c r="AL568" i="7"/>
  <c r="AM568" i="7" s="1"/>
  <c r="AL592" i="7"/>
  <c r="AM592" i="7" s="1"/>
  <c r="AL290" i="7"/>
  <c r="AM290" i="7" s="1"/>
  <c r="AL146" i="7"/>
  <c r="AM146" i="7" s="1"/>
  <c r="AL718" i="7"/>
  <c r="AM718" i="7" s="1"/>
  <c r="AL706" i="7"/>
  <c r="AM706" i="7" s="1"/>
  <c r="AL705" i="7"/>
  <c r="AM705" i="7" s="1"/>
  <c r="AL494" i="7"/>
  <c r="AM494" i="7" s="1"/>
  <c r="AL851" i="7"/>
  <c r="AM851" i="7" s="1"/>
  <c r="AL508" i="7"/>
  <c r="AM508" i="7" s="1"/>
  <c r="AL158" i="7"/>
  <c r="AM158" i="7" s="1"/>
  <c r="AL668" i="7"/>
  <c r="AM668" i="7" s="1"/>
  <c r="AL425" i="7"/>
  <c r="AM425" i="7" s="1"/>
  <c r="AL615" i="7"/>
  <c r="AM615" i="7" s="1"/>
  <c r="AL868" i="7"/>
  <c r="AM868" i="7" s="1"/>
  <c r="AL857" i="7"/>
  <c r="AM857" i="7" s="1"/>
  <c r="AL152" i="7"/>
  <c r="AM152" i="7" s="1"/>
  <c r="AL446" i="7"/>
  <c r="AM446" i="7" s="1"/>
  <c r="AL286" i="7"/>
  <c r="AM286" i="7" s="1"/>
  <c r="AL502" i="7"/>
  <c r="AM502" i="7" s="1"/>
  <c r="AL115" i="7"/>
  <c r="AM115" i="7" s="1"/>
  <c r="AL812" i="7"/>
  <c r="AM812" i="7" s="1"/>
  <c r="AL297" i="7"/>
  <c r="AM297" i="7" s="1"/>
  <c r="AL779" i="7"/>
  <c r="AM779" i="7" s="1"/>
  <c r="AL237" i="7"/>
  <c r="AM237" i="7" s="1"/>
  <c r="AL613" i="7"/>
  <c r="AM613" i="7" s="1"/>
  <c r="AL143" i="7"/>
  <c r="AM143" i="7" s="1"/>
  <c r="AL836" i="7"/>
  <c r="AM836" i="7" s="1"/>
  <c r="AL669" i="7"/>
  <c r="AM669" i="7" s="1"/>
  <c r="AL561" i="7"/>
  <c r="AM561" i="7" s="1"/>
  <c r="AL838" i="7"/>
  <c r="AM838" i="7" s="1"/>
  <c r="AL362" i="7"/>
  <c r="AM362" i="7" s="1"/>
  <c r="AL605" i="7"/>
  <c r="AM605" i="7" s="1"/>
  <c r="AL103" i="7"/>
  <c r="AM103" i="7" s="1"/>
  <c r="AL414" i="7"/>
  <c r="AM414" i="7" s="1"/>
  <c r="AL754" i="7"/>
  <c r="AM754" i="7" s="1"/>
  <c r="AL172" i="7"/>
  <c r="AM172" i="7" s="1"/>
  <c r="AL433" i="7"/>
  <c r="AM433" i="7" s="1"/>
  <c r="AL807" i="7"/>
  <c r="AM807" i="7" s="1"/>
  <c r="AL136" i="7"/>
  <c r="AM136" i="7" s="1"/>
  <c r="AL575" i="7"/>
  <c r="AM575" i="7" s="1"/>
  <c r="AL90" i="7"/>
  <c r="AM90" i="7" s="1"/>
  <c r="AL159" i="7"/>
  <c r="AM159" i="7" s="1"/>
  <c r="AL102" i="7"/>
  <c r="AM102" i="7" s="1"/>
  <c r="AL768" i="7"/>
  <c r="AM768" i="7" s="1"/>
  <c r="AL13" i="7"/>
  <c r="AM13" i="7" s="1"/>
  <c r="AL549" i="7"/>
  <c r="AM549" i="7" s="1"/>
  <c r="AL21" i="7"/>
  <c r="AM21" i="7" s="1"/>
  <c r="AL147" i="7"/>
  <c r="AM147" i="7" s="1"/>
  <c r="AL442" i="7"/>
  <c r="AM442" i="7" s="1"/>
  <c r="AL323" i="7"/>
  <c r="AM323" i="7" s="1"/>
  <c r="AL839" i="7"/>
  <c r="AM839" i="7" s="1"/>
  <c r="AL546" i="7"/>
  <c r="AM546" i="7" s="1"/>
  <c r="AL870" i="7"/>
  <c r="AM870" i="7" s="1"/>
  <c r="AL596" i="7"/>
  <c r="AM596" i="7" s="1"/>
  <c r="AL80" i="7"/>
  <c r="AM80" i="7" s="1"/>
  <c r="AL122" i="7"/>
  <c r="AM122" i="7" s="1"/>
  <c r="AL631" i="7"/>
  <c r="AM631" i="7" s="1"/>
  <c r="AL719" i="7"/>
  <c r="AM719" i="7" s="1"/>
  <c r="AL722" i="7"/>
  <c r="AM722" i="7" s="1"/>
  <c r="AL774" i="7"/>
  <c r="AM774" i="7" s="1"/>
  <c r="AL72" i="7"/>
  <c r="AM72" i="7" s="1"/>
  <c r="AL98" i="7"/>
  <c r="AM98" i="7" s="1"/>
  <c r="AL731" i="7"/>
  <c r="AM731" i="7" s="1"/>
  <c r="AL597" i="7"/>
  <c r="AM597" i="7" s="1"/>
  <c r="AL484" i="7"/>
  <c r="AM484" i="7" s="1"/>
  <c r="AL565" i="7"/>
  <c r="AM565" i="7" s="1"/>
  <c r="AL54" i="7"/>
  <c r="AM54" i="7" s="1"/>
  <c r="AL545" i="7"/>
  <c r="AM545" i="7" s="1"/>
  <c r="AL403" i="7"/>
  <c r="AM403" i="7" s="1"/>
  <c r="AL867" i="7"/>
  <c r="AM867" i="7" s="1"/>
  <c r="AL273" i="7"/>
  <c r="AM273" i="7" s="1"/>
  <c r="AL780" i="7"/>
  <c r="AM780" i="7" s="1"/>
  <c r="AL205" i="7"/>
  <c r="AM205" i="7" s="1"/>
  <c r="AL386" i="7"/>
  <c r="AM386" i="7" s="1"/>
  <c r="AL149" i="7"/>
  <c r="AM149" i="7" s="1"/>
  <c r="AL319" i="7"/>
  <c r="AM319" i="7" s="1"/>
  <c r="AL657" i="7"/>
  <c r="AM657" i="7" s="1"/>
  <c r="AL209" i="7"/>
  <c r="AM209" i="7" s="1"/>
  <c r="AL459" i="7"/>
  <c r="AM459" i="7" s="1"/>
  <c r="AL784" i="7"/>
  <c r="AM784" i="7" s="1"/>
  <c r="AL138" i="7"/>
  <c r="AM138" i="7" s="1"/>
  <c r="AL216" i="7"/>
  <c r="AM216" i="7" s="1"/>
  <c r="AL328" i="7"/>
  <c r="AM328" i="7" s="1"/>
  <c r="AL154" i="7"/>
  <c r="AM154" i="7" s="1"/>
  <c r="AL577" i="7"/>
  <c r="AM577" i="7" s="1"/>
  <c r="AL303" i="7"/>
  <c r="AM303" i="7" s="1"/>
  <c r="AL680" i="7"/>
  <c r="AM680" i="7" s="1"/>
  <c r="AL536" i="7"/>
  <c r="AM536" i="7" s="1"/>
  <c r="AL858" i="7"/>
  <c r="AM858" i="7" s="1"/>
  <c r="AL285" i="7"/>
  <c r="AM285" i="7" s="1"/>
  <c r="AL695" i="7"/>
  <c r="AM695" i="7" s="1"/>
  <c r="AL704" i="7"/>
  <c r="AM704" i="7" s="1"/>
  <c r="AL809" i="7"/>
  <c r="AM809" i="7" s="1"/>
  <c r="AL164" i="7"/>
  <c r="AM164" i="7" s="1"/>
  <c r="AL587" i="7"/>
  <c r="AM587" i="7" s="1"/>
  <c r="AL58" i="7"/>
  <c r="AM58" i="7" s="1"/>
  <c r="AL402" i="7"/>
  <c r="AM402" i="7" s="1"/>
  <c r="AL762" i="7"/>
  <c r="AM762" i="7" s="1"/>
  <c r="AL236" i="7"/>
  <c r="AM236" i="7" s="1"/>
  <c r="AL367" i="7"/>
  <c r="AM367" i="7" s="1"/>
  <c r="AL249" i="7"/>
  <c r="AM249" i="7" s="1"/>
  <c r="AL844" i="7"/>
  <c r="AM844" i="7" s="1"/>
  <c r="AL208" i="7"/>
  <c r="AM208" i="7" s="1"/>
  <c r="AL196" i="7"/>
  <c r="AM196" i="7" s="1"/>
  <c r="AL730" i="7"/>
  <c r="AM730" i="7" s="1"/>
  <c r="AL135" i="7"/>
  <c r="AM135" i="7" s="1"/>
  <c r="AL723" i="7"/>
  <c r="AM723" i="7" s="1"/>
  <c r="AL519" i="7"/>
  <c r="AM519" i="7" s="1"/>
  <c r="AL525" i="7"/>
  <c r="AM525" i="7" s="1"/>
  <c r="AL313" i="7"/>
  <c r="AM313" i="7" s="1"/>
  <c r="AL791" i="7"/>
  <c r="AM791" i="7" s="1"/>
  <c r="AL790" i="7"/>
  <c r="AM790" i="7" s="1"/>
  <c r="AL753" i="7"/>
  <c r="AM753" i="7" s="1"/>
  <c r="AL167" i="7"/>
  <c r="AM167" i="7" s="1"/>
  <c r="AL682" i="7"/>
  <c r="AM682" i="7" s="1"/>
  <c r="AL100" i="7"/>
  <c r="AM100" i="7" s="1"/>
  <c r="AL746" i="7"/>
  <c r="AM746" i="7" s="1"/>
  <c r="AL84" i="7"/>
  <c r="AM84" i="7" s="1"/>
  <c r="AL133" i="7"/>
  <c r="AM133" i="7" s="1"/>
  <c r="AL744" i="7"/>
  <c r="AM744" i="7" s="1"/>
  <c r="AL184" i="7"/>
  <c r="AM184" i="7" s="1"/>
  <c r="AL671" i="7"/>
  <c r="AM671" i="7" s="1"/>
  <c r="AL618" i="7"/>
  <c r="AM618" i="7" s="1"/>
  <c r="AL320" i="7"/>
  <c r="AM320" i="7" s="1"/>
  <c r="AL187" i="7"/>
  <c r="AM187" i="7" s="1"/>
  <c r="AL509" i="7"/>
  <c r="AM509" i="7" s="1"/>
  <c r="AL817" i="7"/>
  <c r="AM817" i="7" s="1"/>
  <c r="AL452" i="7"/>
  <c r="AM452" i="7" s="1"/>
  <c r="AL801" i="7"/>
  <c r="AM801" i="7" s="1"/>
  <c r="AL385" i="7"/>
  <c r="AM385" i="7" s="1"/>
  <c r="AL864" i="7"/>
  <c r="AM864" i="7" s="1"/>
  <c r="AL679" i="7"/>
  <c r="AM679" i="7" s="1"/>
  <c r="AL200" i="7"/>
  <c r="AM200" i="7" s="1"/>
  <c r="AL255" i="7"/>
  <c r="AM255" i="7" s="1"/>
  <c r="AL202" i="7"/>
  <c r="AM202" i="7" s="1"/>
  <c r="AL443" i="7"/>
  <c r="AM443" i="7" s="1"/>
  <c r="AL563" i="7"/>
  <c r="AM563" i="7" s="1"/>
  <c r="AL558" i="7"/>
  <c r="AM558" i="7" s="1"/>
  <c r="AL291" i="7"/>
  <c r="AM291" i="7" s="1"/>
  <c r="AL581" i="7"/>
  <c r="AM581" i="7" s="1"/>
  <c r="AL203" i="7"/>
  <c r="AM203" i="7" s="1"/>
  <c r="AL83" i="7"/>
  <c r="AM83" i="7" s="1"/>
  <c r="AL787" i="7"/>
  <c r="AM787" i="7" s="1"/>
  <c r="AL107" i="7"/>
  <c r="AM107" i="7" s="1"/>
  <c r="AL833" i="7"/>
  <c r="AM833" i="7" s="1"/>
  <c r="AL30" i="7"/>
  <c r="AM30" i="7" s="1"/>
  <c r="AL356" i="7"/>
  <c r="AM356" i="7" s="1"/>
  <c r="AL108" i="7"/>
  <c r="AM108" i="7" s="1"/>
  <c r="AL279" i="7"/>
  <c r="AM279" i="7" s="1"/>
  <c r="AL415" i="7"/>
  <c r="AM415" i="7" s="1"/>
  <c r="AL380" i="7"/>
  <c r="AM380" i="7" s="1"/>
  <c r="AM584" i="7"/>
  <c r="AL601" i="7"/>
  <c r="AM601" i="7" s="1"/>
  <c r="AL548" i="7"/>
  <c r="AM548" i="7" s="1"/>
  <c r="AL38" i="7"/>
  <c r="AM38" i="7" s="1"/>
  <c r="AL511" i="7"/>
  <c r="AM511" i="7" s="1"/>
  <c r="AL383" i="7"/>
  <c r="AM383" i="7" s="1"/>
  <c r="AL46" i="7"/>
  <c r="AM46" i="7" s="1"/>
  <c r="AL740" i="7"/>
  <c r="AM740" i="7" s="1"/>
  <c r="AL411" i="7"/>
  <c r="AM411" i="7" s="1"/>
  <c r="AL422" i="7"/>
  <c r="AM422" i="7" s="1"/>
  <c r="AL57" i="7"/>
  <c r="AM57" i="7" s="1"/>
  <c r="AL686" i="7"/>
  <c r="AM686" i="7" s="1"/>
  <c r="AL673" i="7"/>
  <c r="AM673" i="7" s="1"/>
  <c r="AL570" i="7"/>
  <c r="AM570" i="7" s="1"/>
  <c r="AL449" i="7"/>
  <c r="AM449" i="7" s="1"/>
  <c r="AL277" i="7"/>
  <c r="AM277" i="7" s="1"/>
  <c r="AL496" i="7"/>
  <c r="AM496" i="7" s="1"/>
  <c r="AL132" i="7"/>
  <c r="AM132" i="7" s="1"/>
  <c r="AL419" i="7"/>
  <c r="AM419" i="7" s="1"/>
  <c r="AL623" i="7"/>
  <c r="AM623" i="7" s="1"/>
  <c r="AL401" i="7"/>
  <c r="AM401" i="7" s="1"/>
  <c r="AL466" i="7"/>
  <c r="AM466" i="7" s="1"/>
  <c r="AL622" i="7"/>
  <c r="AM622" i="7" s="1"/>
  <c r="AL526" i="7"/>
  <c r="AM526" i="7" s="1"/>
  <c r="AL12" i="7"/>
  <c r="AM12" i="7" s="1"/>
  <c r="AL272" i="7"/>
  <c r="AM272" i="7" s="1"/>
  <c r="AL363" i="7"/>
  <c r="AM363" i="7" s="1"/>
  <c r="AL477" i="7"/>
  <c r="AM477" i="7" s="1"/>
  <c r="AL226" i="7"/>
  <c r="AM226" i="7" s="1"/>
  <c r="AL611" i="7"/>
  <c r="AM611" i="7" s="1"/>
  <c r="AL128" i="7"/>
  <c r="AM128" i="7" s="1"/>
  <c r="AL169" i="7"/>
  <c r="AM169" i="7" s="1"/>
  <c r="AL729" i="7"/>
  <c r="AM729" i="7" s="1"/>
  <c r="AL29" i="7"/>
  <c r="AM29" i="7" s="1"/>
  <c r="AL435" i="7"/>
  <c r="AM435" i="7" s="1"/>
  <c r="AL151" i="7"/>
  <c r="AM151" i="7" s="1"/>
  <c r="AL268" i="7"/>
  <c r="AM268" i="7" s="1"/>
  <c r="AL222" i="7"/>
  <c r="AM222" i="7" s="1"/>
  <c r="AL666" i="7"/>
  <c r="AM666" i="7" s="1"/>
  <c r="AL259" i="7"/>
  <c r="AM259" i="7" s="1"/>
  <c r="AL416" i="7"/>
  <c r="AM416" i="7" s="1"/>
  <c r="AL560" i="7"/>
  <c r="AM560" i="7" s="1"/>
  <c r="AL190" i="7"/>
  <c r="AM190" i="7" s="1"/>
  <c r="AL837" i="7"/>
  <c r="AM837" i="7" s="1"/>
  <c r="AL607" i="7"/>
  <c r="AM607" i="7" s="1"/>
  <c r="AL806" i="7"/>
  <c r="AM806" i="7" s="1"/>
  <c r="AL364" i="7"/>
  <c r="AM364" i="7" s="1"/>
  <c r="AL685" i="7"/>
  <c r="AM685" i="7" s="1"/>
  <c r="AL372" i="7"/>
  <c r="AM372" i="7" s="1"/>
  <c r="AL67" i="7"/>
  <c r="AM67" i="7" s="1"/>
  <c r="AL219" i="7"/>
  <c r="AM219" i="7" s="1"/>
  <c r="AL375" i="7"/>
  <c r="AM375" i="7" s="1"/>
  <c r="AL399" i="7"/>
  <c r="AM399" i="7" s="1"/>
  <c r="AL798" i="7"/>
  <c r="AM798" i="7" s="1"/>
  <c r="AL515" i="7"/>
  <c r="AM515" i="7" s="1"/>
  <c r="AL9" i="7"/>
  <c r="AM9" i="7" s="1"/>
  <c r="AL621" i="7"/>
  <c r="AM621" i="7" s="1"/>
  <c r="AL721" i="7"/>
  <c r="AM721" i="7" s="1"/>
  <c r="AL250" i="7"/>
  <c r="AM250" i="7" s="1"/>
  <c r="AL76" i="7"/>
  <c r="AM76" i="7" s="1"/>
  <c r="AL325" i="7"/>
  <c r="AM325" i="7" s="1"/>
  <c r="AL173" i="7"/>
  <c r="AM173" i="7" s="1"/>
  <c r="AL405" i="7"/>
  <c r="AM405" i="7" s="1"/>
  <c r="AL802" i="7"/>
  <c r="AM802" i="7" s="1"/>
  <c r="AL716" i="7"/>
  <c r="AM716" i="7" s="1"/>
  <c r="AL207" i="7"/>
  <c r="AM207" i="7" s="1"/>
  <c r="AL68" i="7"/>
  <c r="AM68" i="7" s="1"/>
  <c r="AL773" i="7"/>
  <c r="AM773" i="7" s="1"/>
  <c r="AL816" i="7"/>
  <c r="AM816" i="7" s="1"/>
  <c r="AL451" i="7"/>
  <c r="AM451" i="7" s="1"/>
  <c r="AL85" i="7"/>
  <c r="AM85" i="7" s="1"/>
  <c r="AL161" i="7"/>
  <c r="AM161" i="7" s="1"/>
  <c r="AL350" i="7"/>
  <c r="AM350" i="7" s="1"/>
  <c r="AL629" i="7"/>
  <c r="AM629" i="7" s="1"/>
  <c r="AL70" i="7"/>
  <c r="AM70" i="7" s="1"/>
  <c r="AL532" i="7"/>
  <c r="AM532" i="7" s="1"/>
  <c r="AL426" i="7"/>
  <c r="AM426" i="7" s="1"/>
  <c r="AL97" i="7"/>
  <c r="AM97" i="7" s="1"/>
  <c r="AL756" i="7"/>
  <c r="AM756" i="7" s="1"/>
  <c r="AL635" i="7"/>
  <c r="AM635" i="7" s="1"/>
  <c r="AL854" i="7"/>
  <c r="AM854" i="7" s="1"/>
  <c r="AL799" i="7"/>
  <c r="AM799" i="7" s="1"/>
  <c r="AL341" i="7"/>
  <c r="AM341" i="7" s="1"/>
  <c r="AL186" i="7"/>
  <c r="AM186" i="7" s="1"/>
  <c r="AL391" i="7"/>
  <c r="AM391" i="7" s="1"/>
  <c r="AL627" i="7"/>
  <c r="AM627" i="7" s="1"/>
  <c r="AL14" i="7"/>
  <c r="AM14" i="7" s="1"/>
  <c r="AL724" i="7"/>
  <c r="AM724" i="7" s="1"/>
  <c r="AL771" i="7"/>
  <c r="AM771" i="7" s="1"/>
  <c r="AL64" i="7"/>
  <c r="AM64" i="7" s="1"/>
  <c r="AL648" i="7"/>
  <c r="AM648" i="7" s="1"/>
  <c r="AL139" i="7"/>
  <c r="AM139" i="7" s="1"/>
  <c r="AL735" i="7"/>
  <c r="AM735" i="7" s="1"/>
  <c r="AL737" i="7"/>
  <c r="AM737" i="7" s="1"/>
  <c r="AL384" i="7"/>
  <c r="AM384" i="7" s="1"/>
  <c r="AL569" i="7"/>
  <c r="AM569" i="7" s="1"/>
  <c r="AL168" i="7"/>
  <c r="AM168" i="7" s="1"/>
  <c r="AL734" i="7"/>
  <c r="AM734" i="7" s="1"/>
  <c r="AL856" i="7"/>
  <c r="AM856" i="7" s="1"/>
  <c r="AL310" i="7"/>
  <c r="AM310" i="7" s="1"/>
  <c r="AL542" i="7"/>
  <c r="AM542" i="7" s="1"/>
  <c r="AL345" i="7"/>
  <c r="AM345" i="7" s="1"/>
  <c r="AL24" i="7"/>
  <c r="AM24" i="7" s="1"/>
  <c r="AL497" i="7"/>
  <c r="AM497" i="7" s="1"/>
  <c r="AL775" i="7"/>
  <c r="AM775" i="7" s="1"/>
  <c r="AL397" i="7"/>
  <c r="AM397" i="7" s="1"/>
  <c r="AL361" i="7"/>
  <c r="AM361" i="7" s="1"/>
  <c r="AL22" i="7"/>
  <c r="AM22" i="7" s="1"/>
  <c r="AL86" i="7"/>
  <c r="AM86" i="7" s="1"/>
  <c r="AL606" i="7"/>
  <c r="AM606" i="7" s="1"/>
  <c r="AL162" i="7"/>
  <c r="AM162" i="7" s="1"/>
  <c r="AL25" i="7"/>
  <c r="AM25" i="7" s="1"/>
  <c r="AL144" i="7"/>
  <c r="AM144" i="7" s="1"/>
  <c r="AL822" i="7"/>
  <c r="AM822" i="7" s="1"/>
  <c r="AL690" i="7"/>
  <c r="AM690" i="7" s="1"/>
  <c r="AL687" i="7"/>
  <c r="AM687" i="7" s="1"/>
  <c r="AL702" i="7"/>
  <c r="AM702" i="7" s="1"/>
  <c r="AL261" i="7"/>
  <c r="AM261" i="7" s="1"/>
  <c r="AL805" i="7"/>
  <c r="AM805" i="7" s="1"/>
  <c r="AL710" i="7"/>
  <c r="AM710" i="7" s="1"/>
  <c r="AL331" i="7"/>
  <c r="AM331" i="7" s="1"/>
  <c r="AL461" i="7"/>
  <c r="AM461" i="7" s="1"/>
  <c r="AL478" i="7"/>
  <c r="AM478" i="7" s="1"/>
  <c r="AL777" i="7"/>
  <c r="AM777" i="7" s="1"/>
  <c r="AL752" i="7"/>
  <c r="AM752" i="7" s="1"/>
  <c r="AL501" i="7"/>
  <c r="AM501" i="7" s="1"/>
  <c r="AL506" i="7"/>
  <c r="AM506" i="7" s="1"/>
  <c r="AL27" i="7"/>
  <c r="AM27" i="7" s="1"/>
  <c r="AL134" i="7"/>
  <c r="AM134" i="7" s="1"/>
  <c r="AL228" i="7"/>
  <c r="AM228" i="7" s="1"/>
  <c r="AL429" i="7"/>
  <c r="AM429" i="7" s="1"/>
  <c r="AL302" i="7"/>
  <c r="AM302" i="7" s="1"/>
  <c r="AL19" i="7"/>
  <c r="AM19" i="7" s="1"/>
  <c r="AL643" i="7"/>
  <c r="AM643" i="7" s="1"/>
  <c r="AL522" i="7"/>
  <c r="AM522" i="7" s="1"/>
  <c r="AL830" i="7"/>
  <c r="AM830" i="7" s="1"/>
  <c r="AL865" i="7"/>
  <c r="AM865" i="7" s="1"/>
  <c r="AL826" i="7"/>
  <c r="AM826" i="7" s="1"/>
  <c r="AL814" i="7"/>
  <c r="AM814" i="7" s="1"/>
  <c r="AL541" i="7"/>
  <c r="AM541" i="7" s="1"/>
  <c r="AL53" i="7"/>
  <c r="AM53" i="7" s="1"/>
  <c r="AL74" i="7"/>
  <c r="AM74" i="7" s="1"/>
  <c r="AL642" i="7"/>
  <c r="AM642" i="7" s="1"/>
  <c r="AL827" i="7"/>
  <c r="AM827" i="7" s="1"/>
  <c r="AL365" i="7"/>
  <c r="AM365" i="7" s="1"/>
  <c r="AL770" i="7"/>
  <c r="AM770" i="7" s="1"/>
  <c r="AL619" i="7"/>
  <c r="AM619" i="7" s="1"/>
  <c r="AL444" i="7"/>
  <c r="AM444" i="7" s="1"/>
  <c r="AL823" i="7"/>
  <c r="AM823" i="7" s="1"/>
  <c r="AL252" i="7"/>
  <c r="AM252" i="7" s="1"/>
  <c r="AL110" i="7"/>
  <c r="AM110" i="7" s="1"/>
  <c r="AL529" i="7"/>
  <c r="AM529" i="7" s="1"/>
  <c r="AL614" i="7"/>
  <c r="AM614" i="7" s="1"/>
  <c r="AL552" i="7"/>
  <c r="AM552" i="7" s="1"/>
  <c r="AL551" i="7"/>
  <c r="AM551" i="7" s="1"/>
  <c r="AL507" i="7"/>
  <c r="AM507" i="7" s="1"/>
  <c r="AL540" i="7"/>
  <c r="AM540" i="7" s="1"/>
  <c r="AL332" i="7"/>
  <c r="AM332" i="7" s="1"/>
  <c r="AL240" i="7"/>
  <c r="AM240" i="7" s="1"/>
  <c r="AL125" i="7"/>
  <c r="AM125" i="7" s="1"/>
  <c r="AL789" i="7"/>
  <c r="AM789" i="7" s="1"/>
  <c r="AL262" i="7"/>
  <c r="AM262" i="7" s="1"/>
  <c r="AL855" i="7"/>
  <c r="AM855" i="7" s="1"/>
  <c r="AL717" i="7"/>
  <c r="AM717" i="7" s="1"/>
  <c r="AL244" i="7"/>
  <c r="AM244" i="7" s="1"/>
  <c r="AL580" i="7"/>
  <c r="AM580" i="7" s="1"/>
  <c r="AL245" i="7"/>
  <c r="AM245" i="7" s="1"/>
  <c r="AL182" i="7"/>
  <c r="AM182" i="7" s="1"/>
  <c r="AL432" i="7"/>
  <c r="AM432" i="7" s="1"/>
  <c r="AL583" i="7"/>
  <c r="AM583" i="7" s="1"/>
  <c r="AL785" i="7"/>
  <c r="AM785" i="7" s="1"/>
  <c r="AL852" i="7"/>
  <c r="AM852" i="7" s="1"/>
  <c r="AL111" i="7"/>
  <c r="AM111" i="7" s="1"/>
  <c r="AL346" i="7"/>
  <c r="AM346" i="7" s="1"/>
  <c r="AL831" i="7"/>
  <c r="AM831" i="7" s="1"/>
  <c r="AL89" i="7"/>
  <c r="AM89" i="7" s="1"/>
  <c r="AL124" i="7"/>
  <c r="AM124" i="7" s="1"/>
  <c r="AL51" i="7"/>
  <c r="AM51" i="7" s="1"/>
  <c r="AL824" i="7"/>
  <c r="AM824" i="7" s="1"/>
  <c r="AL693" i="7"/>
  <c r="AM693" i="7" s="1"/>
  <c r="AL349" i="7"/>
  <c r="AM349" i="7" s="1"/>
  <c r="AL430" i="7"/>
  <c r="AM430" i="7" s="1"/>
  <c r="AL741" i="7"/>
  <c r="AM741" i="7" s="1"/>
  <c r="AL229" i="7"/>
  <c r="AM229" i="7" s="1"/>
  <c r="AL441" i="7"/>
  <c r="AM441" i="7" s="1"/>
  <c r="AL191" i="7"/>
  <c r="AM191" i="7" s="1"/>
  <c r="AL370" i="7"/>
  <c r="AM370" i="7" s="1"/>
  <c r="AL316" i="7"/>
  <c r="AM316" i="7" s="1"/>
  <c r="AL113" i="7"/>
  <c r="AM113" i="7" s="1"/>
  <c r="AL264" i="7"/>
  <c r="AM264" i="7" s="1"/>
  <c r="AL782" i="7"/>
  <c r="AM782" i="7" s="1"/>
  <c r="AL387" i="7"/>
  <c r="AM387" i="7" s="1"/>
  <c r="AL843" i="7"/>
  <c r="AM843" i="7" s="1"/>
  <c r="AL37" i="7"/>
  <c r="AM37" i="7" s="1"/>
  <c r="AL586" i="7"/>
  <c r="AM586" i="7" s="1"/>
  <c r="AL761" i="7"/>
  <c r="AM761" i="7" s="1"/>
  <c r="AL376" i="7"/>
  <c r="AM376" i="7" s="1"/>
  <c r="AL20" i="7"/>
  <c r="AM20" i="7" s="1"/>
  <c r="AL400" i="7"/>
  <c r="AM400" i="7" s="1"/>
  <c r="AL389" i="7"/>
  <c r="AM389" i="7" s="1"/>
  <c r="AL312" i="7"/>
  <c r="AM312" i="7" s="1"/>
  <c r="AL423" i="7"/>
  <c r="AM423" i="7" s="1"/>
  <c r="AL351" i="7"/>
  <c r="AM351" i="7" s="1"/>
  <c r="AL640" i="7"/>
  <c r="AM640" i="7" s="1"/>
  <c r="AL628" i="7"/>
  <c r="AM628" i="7" s="1"/>
  <c r="AL43" i="7"/>
  <c r="AM43" i="7" s="1"/>
  <c r="AL758" i="7"/>
  <c r="AM758" i="7" s="1"/>
  <c r="AL371" i="7"/>
  <c r="AM371" i="7" s="1"/>
  <c r="AL495" i="7"/>
  <c r="AM495" i="7" s="1"/>
  <c r="AL201" i="7"/>
  <c r="AM201" i="7" s="1"/>
  <c r="AL513" i="7"/>
  <c r="AM513" i="7" s="1"/>
  <c r="AL528" i="7"/>
  <c r="AM528" i="7" s="1"/>
  <c r="AL733" i="7"/>
  <c r="AM733" i="7" s="1"/>
  <c r="AL699" i="7"/>
  <c r="AM699" i="7" s="1"/>
  <c r="AL649" i="7"/>
  <c r="AM649" i="7" s="1"/>
  <c r="AL377" i="7"/>
  <c r="AM377" i="7" s="1"/>
  <c r="AL644" i="7"/>
  <c r="AM644" i="7" s="1"/>
  <c r="AL658" i="7"/>
  <c r="AM658" i="7" s="1"/>
  <c r="AL665" i="7"/>
  <c r="AM665" i="7" s="1"/>
  <c r="AL418" i="7"/>
  <c r="AM418" i="7" s="1"/>
  <c r="AL713" i="7"/>
  <c r="AM713" i="7" s="1"/>
  <c r="AL555" i="7"/>
  <c r="AM555" i="7" s="1"/>
  <c r="AL764" i="7"/>
  <c r="AM764" i="7" s="1"/>
  <c r="AL60" i="7"/>
  <c r="AM60" i="7" s="1"/>
  <c r="AL678" i="7"/>
  <c r="AM678" i="7" s="1"/>
  <c r="AL794" i="7"/>
  <c r="AM794" i="7" s="1"/>
  <c r="AL747" i="7"/>
  <c r="AM747" i="7" s="1"/>
  <c r="AL582" i="7"/>
  <c r="AM582" i="7" s="1"/>
  <c r="AL32" i="7"/>
  <c r="AM32" i="7" s="1"/>
  <c r="AL440" i="7"/>
  <c r="AM440" i="7" s="1"/>
  <c r="AL516" i="7"/>
  <c r="AM516" i="7" s="1"/>
  <c r="AL749" i="7"/>
  <c r="AM749" i="7" s="1"/>
  <c r="AL178" i="7"/>
  <c r="AM178" i="7" s="1"/>
  <c r="AL40" i="7"/>
  <c r="AM40" i="7" s="1"/>
  <c r="AL454" i="7"/>
  <c r="AM454" i="7" s="1"/>
  <c r="AL554" i="7"/>
  <c r="AM554" i="7" s="1"/>
  <c r="AL92" i="7"/>
  <c r="AM92" i="7" s="1"/>
  <c r="AL653" i="7"/>
  <c r="AM653" i="7" s="1"/>
  <c r="AL197" i="7"/>
  <c r="AM197" i="7" s="1"/>
  <c r="AL284" i="7"/>
  <c r="AM284" i="7" s="1"/>
  <c r="AL645" i="7"/>
  <c r="AM645" i="7" s="1"/>
  <c r="AL306" i="7"/>
  <c r="AM306" i="7" s="1"/>
  <c r="AL140" i="7"/>
  <c r="AM140" i="7" s="1"/>
  <c r="AL114" i="7"/>
  <c r="AM114" i="7" s="1"/>
  <c r="AL329" i="7"/>
  <c r="AM329" i="7" s="1"/>
  <c r="AL393" i="7"/>
  <c r="AM393" i="7" s="1"/>
  <c r="AL61" i="7"/>
  <c r="AM61" i="7" s="1"/>
  <c r="AL521" i="7"/>
  <c r="AM521" i="7" s="1"/>
  <c r="AL338" i="7"/>
  <c r="AM338" i="7" s="1"/>
  <c r="AL179" i="7"/>
  <c r="AM179" i="7" s="1"/>
  <c r="AL767" i="7"/>
  <c r="AM767" i="7" s="1"/>
  <c r="AL808" i="7"/>
  <c r="AM808" i="7" s="1"/>
  <c r="AL148" i="7"/>
  <c r="AM148" i="7" s="1"/>
  <c r="AL410" i="7"/>
  <c r="AM410" i="7" s="1"/>
  <c r="AL595" i="7"/>
  <c r="AM595" i="7" s="1"/>
  <c r="AL381" i="7"/>
  <c r="AM381" i="7" s="1"/>
  <c r="AL438" i="7"/>
  <c r="AM438" i="7" s="1"/>
  <c r="AL309" i="7"/>
  <c r="AM309" i="7" s="1"/>
  <c r="AL847" i="7"/>
  <c r="AM847" i="7" s="1"/>
  <c r="AL409" i="7"/>
  <c r="AM409" i="7" s="1"/>
  <c r="AL193" i="7"/>
  <c r="AM193" i="7" s="1"/>
  <c r="AL571" i="7"/>
  <c r="AM571" i="7" s="1"/>
  <c r="AL44" i="7"/>
  <c r="AM44" i="7" s="1"/>
  <c r="AL726" i="7"/>
  <c r="AM726" i="7" s="1"/>
  <c r="AL819" i="7"/>
  <c r="AM819" i="7" s="1"/>
  <c r="AL634" i="7"/>
  <c r="AM634" i="7" s="1"/>
  <c r="AL75" i="7"/>
  <c r="AM75" i="7" s="1"/>
  <c r="AL677" i="7"/>
  <c r="AM677" i="7" s="1"/>
  <c r="AL482" i="7"/>
  <c r="AM482" i="7" s="1"/>
  <c r="AL544" i="7"/>
  <c r="AM544" i="7" s="1"/>
  <c r="AL703" i="7"/>
  <c r="AM703" i="7" s="1"/>
  <c r="AL18" i="7"/>
  <c r="AM18" i="7" s="1"/>
  <c r="AL547" i="7"/>
  <c r="AM547" i="7" s="1"/>
  <c r="AL282" i="7"/>
  <c r="AM282" i="7" s="1"/>
  <c r="AL212" i="7"/>
  <c r="AM212" i="7" s="1"/>
  <c r="AL828" i="7"/>
  <c r="AM828" i="7" s="1"/>
  <c r="AL708" i="7"/>
  <c r="AM708" i="7" s="1"/>
  <c r="AL166" i="7"/>
  <c r="AM166" i="7" s="1"/>
  <c r="AL174" i="7"/>
  <c r="AM174" i="7" s="1"/>
  <c r="AL795" i="7"/>
  <c r="AM795" i="7" s="1"/>
  <c r="AL504" i="7"/>
  <c r="AM504" i="7" s="1"/>
  <c r="AL230" i="7"/>
  <c r="AM230" i="7" s="1"/>
  <c r="AL366" i="7"/>
  <c r="AM366" i="7" s="1"/>
  <c r="AL462" i="7"/>
  <c r="AM462" i="7" s="1"/>
  <c r="AL863" i="7"/>
  <c r="AM863" i="7" s="1"/>
  <c r="AL160" i="7"/>
  <c r="AM160" i="7" s="1"/>
  <c r="AL672" i="7"/>
  <c r="AM672" i="7" s="1"/>
  <c r="AL79" i="7"/>
  <c r="AM79" i="7" s="1"/>
  <c r="AL714" i="7"/>
  <c r="AM714" i="7" s="1"/>
  <c r="AL701" i="7"/>
  <c r="AM701" i="7" s="1"/>
  <c r="AL311" i="7"/>
  <c r="AM311" i="7" s="1"/>
  <c r="AL243" i="7"/>
  <c r="AM243" i="7" s="1"/>
  <c r="AL593" i="7"/>
  <c r="AM593" i="7" s="1"/>
  <c r="AL825" i="7"/>
  <c r="AM825" i="7" s="1"/>
  <c r="AL469" i="7"/>
  <c r="AM469" i="7" s="1"/>
  <c r="AL109" i="7"/>
  <c r="AM109" i="7" s="1"/>
  <c r="AL664" i="7"/>
  <c r="AM664" i="7" s="1"/>
  <c r="AL637" i="7"/>
  <c r="AM637" i="7" s="1"/>
  <c r="AL647" i="7"/>
  <c r="AM647" i="7" s="1"/>
  <c r="AL424" i="7"/>
  <c r="AM424" i="7" s="1"/>
  <c r="AL609" i="7"/>
  <c r="AM609" i="7" s="1"/>
  <c r="AL289" i="7"/>
  <c r="AM289" i="7" s="1"/>
  <c r="AL576" i="7"/>
  <c r="AM576" i="7" s="1"/>
  <c r="AL437" i="7"/>
  <c r="AM437" i="7" s="1"/>
  <c r="AL796" i="7"/>
  <c r="AM796" i="7" s="1"/>
  <c r="AL748" i="7"/>
  <c r="AM748" i="7" s="1"/>
  <c r="AL539" i="7"/>
  <c r="AM539" i="7" s="1"/>
  <c r="AL573" i="7"/>
  <c r="AM573" i="7" s="1"/>
  <c r="AL772" i="7"/>
  <c r="AM772" i="7" s="1"/>
  <c r="AL652" i="7"/>
  <c r="AM652" i="7" s="1"/>
  <c r="AL88" i="7"/>
  <c r="AM88" i="7" s="1"/>
  <c r="AL398" i="7"/>
  <c r="AM398" i="7" s="1"/>
  <c r="AL335" i="7"/>
  <c r="AM335" i="7" s="1"/>
  <c r="AL531" i="7"/>
  <c r="AM531" i="7" s="1"/>
  <c r="AL56" i="7"/>
  <c r="AM56" i="7" s="1"/>
  <c r="AL663" i="7"/>
  <c r="AM663" i="7" s="1"/>
  <c r="AL388" i="7"/>
  <c r="AM388" i="7" s="1"/>
  <c r="AL472" i="7"/>
  <c r="AM472" i="7" s="1"/>
  <c r="AL42" i="7"/>
  <c r="AM42" i="7" s="1"/>
  <c r="AL661" i="7"/>
  <c r="AM661" i="7" s="1"/>
  <c r="AL181" i="7"/>
  <c r="AM181" i="7" s="1"/>
  <c r="AL848" i="7"/>
  <c r="AM848" i="7" s="1"/>
  <c r="AL294" i="7"/>
  <c r="AM294" i="7" s="1"/>
  <c r="AL81" i="7"/>
  <c r="AM81" i="7" s="1"/>
  <c r="AL485" i="7"/>
  <c r="AM485" i="7" s="1"/>
  <c r="AL194" i="7"/>
  <c r="AM194" i="7" s="1"/>
  <c r="AL34" i="7"/>
  <c r="AM34" i="7" s="1"/>
  <c r="AL479" i="7"/>
  <c r="AM479" i="7" s="1"/>
  <c r="AL369" i="7"/>
  <c r="AM369" i="7" s="1"/>
  <c r="AL667" i="7"/>
  <c r="AM667" i="7" s="1"/>
  <c r="AL510" i="7"/>
  <c r="AM510" i="7" s="1"/>
  <c r="AL129" i="7"/>
  <c r="AM129" i="7" s="1"/>
  <c r="AL242" i="7"/>
  <c r="AM242" i="7" s="1"/>
  <c r="AL195" i="7"/>
  <c r="AM195" i="7" s="1"/>
  <c r="AL757" i="7"/>
  <c r="AM757" i="7" s="1"/>
  <c r="AL118" i="7"/>
  <c r="AM118" i="7" s="1"/>
  <c r="AL778" i="7"/>
  <c r="AM778" i="7" s="1"/>
  <c r="AL66" i="7"/>
  <c r="AM66" i="7" s="1"/>
  <c r="AL293" i="7"/>
  <c r="AM293" i="7" s="1"/>
  <c r="AL241" i="7"/>
  <c r="AM241" i="7" s="1"/>
  <c r="AL141" i="7"/>
  <c r="AM141" i="7" s="1"/>
  <c r="AL26" i="7"/>
  <c r="AM26" i="7" s="1"/>
  <c r="AL707" i="7"/>
  <c r="AM707" i="7" s="1"/>
  <c r="AL28" i="7"/>
  <c r="AM28" i="7" s="1"/>
  <c r="AL499" i="7"/>
  <c r="AM499" i="7" s="1"/>
  <c r="AL45" i="7"/>
  <c r="AM45" i="7" s="1"/>
  <c r="AL696" i="7"/>
  <c r="AM696" i="7" s="1"/>
  <c r="AL656" i="7"/>
  <c r="AM656" i="7" s="1"/>
  <c r="AL676" i="7"/>
  <c r="AM676" i="7" s="1"/>
  <c r="AL834" i="7"/>
  <c r="AM834" i="7" s="1"/>
  <c r="AL813" i="7"/>
  <c r="AM813" i="7" s="1"/>
  <c r="AL127" i="7"/>
  <c r="AM127" i="7" s="1"/>
  <c r="AL820" i="7"/>
  <c r="AM820" i="7" s="1"/>
  <c r="AL105" i="7"/>
  <c r="AM105" i="7" s="1"/>
  <c r="AL470" i="7"/>
  <c r="AM470" i="7" s="1"/>
  <c r="AL436" i="7"/>
  <c r="AM436" i="7" s="1"/>
  <c r="AL359" i="7"/>
  <c r="AM359" i="7" s="1"/>
  <c r="AL434" i="7"/>
  <c r="AM434" i="7" s="1"/>
  <c r="AL165" i="7"/>
  <c r="AM165" i="7" s="1"/>
  <c r="AL180" i="7"/>
  <c r="AM180" i="7" s="1"/>
  <c r="AL512" i="7"/>
  <c r="AM512" i="7" s="1"/>
  <c r="AL559" i="7"/>
  <c r="AM559" i="7" s="1"/>
  <c r="AL278" i="7"/>
  <c r="AM278" i="7" s="1"/>
  <c r="AL698" i="7"/>
  <c r="AM698" i="7" s="1"/>
  <c r="AL567" i="7"/>
  <c r="AM567" i="7" s="1"/>
  <c r="AL487" i="7"/>
  <c r="AM487" i="7" s="1"/>
  <c r="AL404" i="7"/>
  <c r="AM404" i="7" s="1"/>
  <c r="AL117" i="7"/>
  <c r="AM117" i="7" s="1"/>
  <c r="AL550" i="7"/>
  <c r="AM550" i="7" s="1"/>
  <c r="AL445" i="7"/>
  <c r="AM445" i="7" s="1"/>
  <c r="AL578" i="7"/>
  <c r="AM578" i="7" s="1"/>
  <c r="AL448" i="7"/>
  <c r="AM448" i="7" s="1"/>
  <c r="AL427" i="7"/>
  <c r="AM427" i="7" s="1"/>
  <c r="AL87" i="7"/>
  <c r="AM87" i="7" s="1"/>
  <c r="AL73" i="7"/>
  <c r="AM73" i="7" s="1"/>
  <c r="AL616" i="7"/>
  <c r="AM616" i="7" s="1"/>
  <c r="AL318" i="7"/>
  <c r="AM318" i="7" s="1"/>
  <c r="AL473" i="7"/>
  <c r="AM473" i="7" s="1"/>
  <c r="AL101" i="7"/>
  <c r="AM101" i="7" s="1"/>
  <c r="AL210" i="7"/>
  <c r="AM210" i="7" s="1"/>
  <c r="AL588" i="7"/>
  <c r="AM588" i="7" s="1"/>
  <c r="AL439" i="7"/>
  <c r="AM439" i="7" s="1"/>
  <c r="AL604" i="7"/>
  <c r="AM604" i="7" s="1"/>
  <c r="AL292" i="7"/>
  <c r="AM292" i="7" s="1"/>
  <c r="AL464" i="7"/>
  <c r="AM464" i="7" s="1"/>
  <c r="AL15" i="7"/>
  <c r="AM15" i="7" s="1"/>
  <c r="AL390" i="7"/>
  <c r="AM390" i="7" s="1"/>
  <c r="AL198" i="7"/>
  <c r="AM198" i="7" s="1"/>
  <c r="AL598" i="7"/>
  <c r="AM598" i="7" s="1"/>
  <c r="AL670" i="7"/>
  <c r="AM670" i="7" s="1"/>
  <c r="AS225" i="7"/>
  <c r="AT225" i="7" s="1"/>
  <c r="AS527" i="7"/>
  <c r="AT527" i="7" s="1"/>
  <c r="AS736" i="7"/>
  <c r="AT736" i="7" s="1"/>
  <c r="AS602" i="7"/>
  <c r="AT602" i="7" s="1"/>
  <c r="AS765" i="7"/>
  <c r="AT765" i="7" s="1"/>
  <c r="AS263" i="7"/>
  <c r="AT263" i="7" s="1"/>
  <c r="AS660" i="7"/>
  <c r="AT660" i="7" s="1"/>
  <c r="AS304" i="7"/>
  <c r="AT304" i="7" s="1"/>
  <c r="AS342" i="7"/>
  <c r="AT342" i="7" s="1"/>
  <c r="AS503" i="7"/>
  <c r="AT503" i="7" s="1"/>
  <c r="AS322" i="7"/>
  <c r="AT322" i="7" s="1"/>
  <c r="AS280" i="7"/>
  <c r="AT280" i="7" s="1"/>
  <c r="AS340" i="7"/>
  <c r="AT340" i="7" s="1"/>
  <c r="AS755" i="7"/>
  <c r="AT755" i="7" s="1"/>
  <c r="AS579" i="7"/>
  <c r="AT579" i="7" s="1"/>
  <c r="AS465" i="7"/>
  <c r="AT465" i="7" s="1"/>
  <c r="AS150" i="7"/>
  <c r="AT150" i="7" s="1"/>
  <c r="AS11" i="7"/>
  <c r="AT11" i="7" s="1"/>
  <c r="AS491" i="7"/>
  <c r="AT491" i="7" s="1"/>
  <c r="AS533" i="7"/>
  <c r="AT533" i="7" s="1"/>
  <c r="AS688" i="7"/>
  <c r="AT688" i="7" s="1"/>
  <c r="AS8" i="7"/>
  <c r="AT8" i="7" s="1"/>
  <c r="AS374" i="7"/>
  <c r="AT374" i="7" s="1"/>
  <c r="AS344" i="7"/>
  <c r="AT344" i="7" s="1"/>
  <c r="AS725" i="7"/>
  <c r="AT725" i="7" s="1"/>
  <c r="AS343" i="7"/>
  <c r="AT343" i="7" s="1"/>
  <c r="AS742" i="7"/>
  <c r="AT742" i="7" s="1"/>
  <c r="AS283" i="7"/>
  <c r="AT283" i="7" s="1"/>
  <c r="AS574" i="7"/>
  <c r="AT574" i="7" s="1"/>
  <c r="AS256" i="7"/>
  <c r="AT256" i="7" s="1"/>
  <c r="AS220" i="7"/>
  <c r="AT220" i="7" s="1"/>
  <c r="AS417" i="7"/>
  <c r="AT417" i="7" s="1"/>
  <c r="AS17" i="7"/>
  <c r="AT17" i="7" s="1"/>
  <c r="AS600" i="7"/>
  <c r="AT600" i="7" s="1"/>
  <c r="AS407" i="7"/>
  <c r="AT407" i="7" s="1"/>
  <c r="AS82" i="7"/>
  <c r="AT82" i="7" s="1"/>
  <c r="AS846" i="7"/>
  <c r="AT846" i="7" s="1"/>
  <c r="AS727" i="7"/>
  <c r="AT727" i="7" s="1"/>
  <c r="AS800" i="7"/>
  <c r="AT800" i="7" s="1"/>
  <c r="AS183" i="7"/>
  <c r="AT183" i="7" s="1"/>
  <c r="AS759" i="7"/>
  <c r="AT759" i="7" s="1"/>
  <c r="AS523" i="7"/>
  <c r="AT523" i="7" s="1"/>
  <c r="AS213" i="7"/>
  <c r="AT213" i="7" s="1"/>
  <c r="AS763" i="7"/>
  <c r="AT763" i="7" s="1"/>
  <c r="AS308" i="7"/>
  <c r="AT308" i="7" s="1"/>
  <c r="AS333" i="7"/>
  <c r="AT333" i="7" s="1"/>
  <c r="AS853" i="7"/>
  <c r="AT853" i="7" s="1"/>
  <c r="AS275" i="7"/>
  <c r="AT275" i="7" s="1"/>
  <c r="AS287" i="7"/>
  <c r="AT287" i="7" s="1"/>
  <c r="AS630" i="7"/>
  <c r="AT630" i="7" s="1"/>
  <c r="AS832" i="7"/>
  <c r="AT832" i="7" s="1"/>
  <c r="AS514" i="7"/>
  <c r="AT514" i="7" s="1"/>
  <c r="AS35" i="7"/>
  <c r="AT35" i="7" s="1"/>
  <c r="AS258" i="7"/>
  <c r="AT258" i="7" s="1"/>
  <c r="AS681" i="7"/>
  <c r="AT681" i="7" s="1"/>
  <c r="AS760" i="7"/>
  <c r="AT760" i="7" s="1"/>
  <c r="AS564" i="7"/>
  <c r="AT564" i="7" s="1"/>
  <c r="AS354" i="7"/>
  <c r="AT354" i="7" s="1"/>
  <c r="AS233" i="7"/>
  <c r="AT233" i="7" s="1"/>
  <c r="AS137" i="7"/>
  <c r="AT137" i="7" s="1"/>
  <c r="AS474" i="7"/>
  <c r="AT474" i="7" s="1"/>
  <c r="AS298" i="7"/>
  <c r="AT298" i="7" s="1"/>
  <c r="AS585" i="7"/>
  <c r="AT585" i="7" s="1"/>
  <c r="AS267" i="7"/>
  <c r="AT267" i="7" s="1"/>
  <c r="AS829" i="7"/>
  <c r="AT829" i="7" s="1"/>
  <c r="AS524" i="7"/>
  <c r="AT524" i="7" s="1"/>
  <c r="AS632" i="7"/>
  <c r="AT632" i="7" s="1"/>
  <c r="AS715" i="7"/>
  <c r="AT715" i="7" s="1"/>
  <c r="AS518" i="7"/>
  <c r="AT518" i="7" s="1"/>
  <c r="AS295" i="7"/>
  <c r="AT295" i="7" s="1"/>
  <c r="AS610" i="7"/>
  <c r="AT610" i="7" s="1"/>
  <c r="AS330" i="7"/>
  <c r="AT330" i="7" s="1"/>
  <c r="AS568" i="7"/>
  <c r="AT568" i="7" s="1"/>
  <c r="AS592" i="7"/>
  <c r="AT592" i="7" s="1"/>
  <c r="AS290" i="7"/>
  <c r="AT290" i="7" s="1"/>
  <c r="AS146" i="7"/>
  <c r="AT146" i="7" s="1"/>
  <c r="AS718" i="7"/>
  <c r="AT718" i="7" s="1"/>
  <c r="AS706" i="7"/>
  <c r="AT706" i="7" s="1"/>
  <c r="AS705" i="7"/>
  <c r="AT705" i="7" s="1"/>
  <c r="AS494" i="7"/>
  <c r="AT494" i="7" s="1"/>
  <c r="AS851" i="7"/>
  <c r="AT851" i="7" s="1"/>
  <c r="AS508" i="7"/>
  <c r="AT508" i="7" s="1"/>
  <c r="AS158" i="7"/>
  <c r="AT158" i="7" s="1"/>
  <c r="AS668" i="7"/>
  <c r="AT668" i="7" s="1"/>
  <c r="AS425" i="7"/>
  <c r="AT425" i="7" s="1"/>
  <c r="AS615" i="7"/>
  <c r="AT615" i="7" s="1"/>
  <c r="AS868" i="7"/>
  <c r="AT868" i="7" s="1"/>
  <c r="AS857" i="7"/>
  <c r="AT857" i="7" s="1"/>
  <c r="AS152" i="7"/>
  <c r="AT152" i="7" s="1"/>
  <c r="AS446" i="7"/>
  <c r="AT446" i="7" s="1"/>
  <c r="AS286" i="7"/>
  <c r="AT286" i="7" s="1"/>
  <c r="AS502" i="7"/>
  <c r="AT502" i="7" s="1"/>
  <c r="AS115" i="7"/>
  <c r="AT115" i="7" s="1"/>
  <c r="AS812" i="7"/>
  <c r="AT812" i="7" s="1"/>
  <c r="AS297" i="7"/>
  <c r="AT297" i="7" s="1"/>
  <c r="AS779" i="7"/>
  <c r="AT779" i="7" s="1"/>
  <c r="AS237" i="7"/>
  <c r="AT237" i="7" s="1"/>
  <c r="AS613" i="7"/>
  <c r="AT613" i="7" s="1"/>
  <c r="AS143" i="7"/>
  <c r="AT143" i="7" s="1"/>
  <c r="AS836" i="7"/>
  <c r="AT836" i="7" s="1"/>
  <c r="AS669" i="7"/>
  <c r="AT669" i="7" s="1"/>
  <c r="AS561" i="7"/>
  <c r="AT561" i="7" s="1"/>
  <c r="AS838" i="7"/>
  <c r="AT838" i="7" s="1"/>
  <c r="AS362" i="7"/>
  <c r="AT362" i="7" s="1"/>
  <c r="AS605" i="7"/>
  <c r="AT605" i="7" s="1"/>
  <c r="AS103" i="7"/>
  <c r="AT103" i="7" s="1"/>
  <c r="AS414" i="7"/>
  <c r="AT414" i="7" s="1"/>
  <c r="AS754" i="7"/>
  <c r="AT754" i="7" s="1"/>
  <c r="AS172" i="7"/>
  <c r="AT172" i="7" s="1"/>
  <c r="AS433" i="7"/>
  <c r="AT433" i="7" s="1"/>
  <c r="AS807" i="7"/>
  <c r="AT807" i="7" s="1"/>
  <c r="AS136" i="7"/>
  <c r="AT136" i="7" s="1"/>
  <c r="AS575" i="7"/>
  <c r="AT575" i="7" s="1"/>
  <c r="AS90" i="7"/>
  <c r="AT90" i="7" s="1"/>
  <c r="AS159" i="7"/>
  <c r="AT159" i="7" s="1"/>
  <c r="AS102" i="7"/>
  <c r="AT102" i="7" s="1"/>
  <c r="AS768" i="7"/>
  <c r="AT768" i="7" s="1"/>
  <c r="AS13" i="7"/>
  <c r="AT13" i="7" s="1"/>
  <c r="AS549" i="7"/>
  <c r="AT549" i="7" s="1"/>
  <c r="AS21" i="7"/>
  <c r="AT21" i="7" s="1"/>
  <c r="AS147" i="7"/>
  <c r="AT147" i="7" s="1"/>
  <c r="AS442" i="7"/>
  <c r="AT442" i="7" s="1"/>
  <c r="AS323" i="7"/>
  <c r="AT323" i="7" s="1"/>
  <c r="AS839" i="7"/>
  <c r="AT839" i="7" s="1"/>
  <c r="AS546" i="7"/>
  <c r="AT546" i="7" s="1"/>
  <c r="AS870" i="7"/>
  <c r="AT870" i="7" s="1"/>
  <c r="AS596" i="7"/>
  <c r="AT596" i="7" s="1"/>
  <c r="AS80" i="7"/>
  <c r="AT80" i="7" s="1"/>
  <c r="AS122" i="7"/>
  <c r="AT122" i="7" s="1"/>
  <c r="AS631" i="7"/>
  <c r="AT631" i="7" s="1"/>
  <c r="AS719" i="7"/>
  <c r="AT719" i="7" s="1"/>
  <c r="AS722" i="7"/>
  <c r="AT722" i="7" s="1"/>
  <c r="AS774" i="7"/>
  <c r="AT774" i="7" s="1"/>
  <c r="AS72" i="7"/>
  <c r="AT72" i="7" s="1"/>
  <c r="AS98" i="7"/>
  <c r="AT98" i="7" s="1"/>
  <c r="AS731" i="7"/>
  <c r="AT731" i="7" s="1"/>
  <c r="AS597" i="7"/>
  <c r="AT597" i="7" s="1"/>
  <c r="AS484" i="7"/>
  <c r="AT484" i="7" s="1"/>
  <c r="AS565" i="7"/>
  <c r="AT565" i="7" s="1"/>
  <c r="AS54" i="7"/>
  <c r="AT54" i="7" s="1"/>
  <c r="AS377" i="7"/>
  <c r="AT377" i="7" s="1"/>
  <c r="AS663" i="7"/>
  <c r="AT663" i="7" s="1"/>
  <c r="AS540" i="7"/>
  <c r="AT540" i="7" s="1"/>
  <c r="AS114" i="7"/>
  <c r="AT114" i="7" s="1"/>
  <c r="AS282" i="7"/>
  <c r="AT282" i="7" s="1"/>
  <c r="AS316" i="7"/>
  <c r="AT316" i="7" s="1"/>
  <c r="AS676" i="7"/>
  <c r="AT676" i="7" s="1"/>
  <c r="AS576" i="7"/>
  <c r="AT576" i="7" s="1"/>
  <c r="AS658" i="7"/>
  <c r="AT658" i="7" s="1"/>
  <c r="AS479" i="7"/>
  <c r="AT479" i="7" s="1"/>
  <c r="AS125" i="7"/>
  <c r="AT125" i="7" s="1"/>
  <c r="AS61" i="7"/>
  <c r="AT61" i="7" s="1"/>
  <c r="AS782" i="7"/>
  <c r="AT782" i="7" s="1"/>
  <c r="AS165" i="7"/>
  <c r="AT165" i="7" s="1"/>
  <c r="AS388" i="7"/>
  <c r="AT388" i="7" s="1"/>
  <c r="AS418" i="7"/>
  <c r="AT418" i="7" s="1"/>
  <c r="AS241" i="7"/>
  <c r="AT241" i="7" s="1"/>
  <c r="AS855" i="7"/>
  <c r="AT855" i="7" s="1"/>
  <c r="AS166" i="7"/>
  <c r="AT166" i="7" s="1"/>
  <c r="AS37" i="7"/>
  <c r="AT37" i="7" s="1"/>
  <c r="AS796" i="7"/>
  <c r="AT796" i="7" s="1"/>
  <c r="AS667" i="7"/>
  <c r="AT667" i="7" s="1"/>
  <c r="AS555" i="7"/>
  <c r="AT555" i="7" s="1"/>
  <c r="AS278" i="7"/>
  <c r="AT278" i="7" s="1"/>
  <c r="AS580" i="7"/>
  <c r="AT580" i="7" s="1"/>
  <c r="AS808" i="7"/>
  <c r="AT808" i="7" s="1"/>
  <c r="AS504" i="7"/>
  <c r="AT504" i="7" s="1"/>
  <c r="AS42" i="7"/>
  <c r="AT42" i="7" s="1"/>
  <c r="AS141" i="7"/>
  <c r="AT141" i="7" s="1"/>
  <c r="AS60" i="7"/>
  <c r="AT60" i="7" s="1"/>
  <c r="AS73" i="7"/>
  <c r="AT73" i="7" s="1"/>
  <c r="AS432" i="7"/>
  <c r="AT432" i="7" s="1"/>
  <c r="AS595" i="7"/>
  <c r="AT595" i="7" s="1"/>
  <c r="AS366" i="7"/>
  <c r="AT366" i="7" s="1"/>
  <c r="AS20" i="7"/>
  <c r="AT20" i="7" s="1"/>
  <c r="AS747" i="7"/>
  <c r="AT747" i="7" s="1"/>
  <c r="AS852" i="7"/>
  <c r="AT852" i="7" s="1"/>
  <c r="AS309" i="7"/>
  <c r="AT309" i="7" s="1"/>
  <c r="AS160" i="7"/>
  <c r="AT160" i="7" s="1"/>
  <c r="AS389" i="7"/>
  <c r="AT389" i="7" s="1"/>
  <c r="AS707" i="7"/>
  <c r="AT707" i="7" s="1"/>
  <c r="AS670" i="7"/>
  <c r="AT670" i="7" s="1"/>
  <c r="AS440" i="7"/>
  <c r="AT440" i="7" s="1"/>
  <c r="AS698" i="7"/>
  <c r="AT698" i="7" s="1"/>
  <c r="AS714" i="7"/>
  <c r="AT714" i="7" s="1"/>
  <c r="AS351" i="7"/>
  <c r="AT351" i="7" s="1"/>
  <c r="AS516" i="7"/>
  <c r="AT516" i="7" s="1"/>
  <c r="AS652" i="7"/>
  <c r="AT652" i="7" s="1"/>
  <c r="AS831" i="7"/>
  <c r="AT831" i="7" s="1"/>
  <c r="AS571" i="7"/>
  <c r="AT571" i="7" s="1"/>
  <c r="AS243" i="7"/>
  <c r="AT243" i="7" s="1"/>
  <c r="AS640" i="7"/>
  <c r="AT640" i="7" s="1"/>
  <c r="AS439" i="7"/>
  <c r="AT439" i="7" s="1"/>
  <c r="AS198" i="7"/>
  <c r="AT198" i="7" s="1"/>
  <c r="AS40" i="7"/>
  <c r="AT40" i="7" s="1"/>
  <c r="AS294" i="7"/>
  <c r="AT294" i="7" s="1"/>
  <c r="AS819" i="7"/>
  <c r="AT819" i="7" s="1"/>
  <c r="AS758" i="7"/>
  <c r="AT758" i="7" s="1"/>
  <c r="AS105" i="7"/>
  <c r="AT105" i="7" s="1"/>
  <c r="AS398" i="7"/>
  <c r="AT398" i="7" s="1"/>
  <c r="AS454" i="7"/>
  <c r="AT454" i="7" s="1"/>
  <c r="AS118" i="7"/>
  <c r="AT118" i="7" s="1"/>
  <c r="AS693" i="7"/>
  <c r="AT693" i="7" s="1"/>
  <c r="AS75" i="7"/>
  <c r="AT75" i="7" s="1"/>
  <c r="AS109" i="7"/>
  <c r="AT109" i="7" s="1"/>
  <c r="AS495" i="7"/>
  <c r="AT495" i="7" s="1"/>
  <c r="AS101" i="7"/>
  <c r="AT101" i="7" s="1"/>
  <c r="AS485" i="7"/>
  <c r="AT485" i="7" s="1"/>
  <c r="AS696" i="7"/>
  <c r="AT696" i="7" s="1"/>
  <c r="AS430" i="7"/>
  <c r="AT430" i="7" s="1"/>
  <c r="AS482" i="7"/>
  <c r="AT482" i="7" s="1"/>
  <c r="AS528" i="7"/>
  <c r="AT528" i="7" s="1"/>
  <c r="AS531" i="7"/>
  <c r="AT531" i="7" s="1"/>
  <c r="AS66" i="7"/>
  <c r="AT66" i="7" s="1"/>
  <c r="AS284" i="7"/>
  <c r="AT284" i="7" s="1"/>
  <c r="AS487" i="7"/>
  <c r="AT487" i="7" s="1"/>
  <c r="AS140" i="7"/>
  <c r="AT140" i="7" s="1"/>
  <c r="AS547" i="7"/>
  <c r="AT547" i="7" s="1"/>
  <c r="AS370" i="7"/>
  <c r="AT370" i="7" s="1"/>
  <c r="AS293" i="7"/>
  <c r="AT293" i="7" s="1"/>
  <c r="AS87" i="7"/>
  <c r="AT87" i="7" s="1"/>
  <c r="AS644" i="7"/>
  <c r="AT644" i="7" s="1"/>
  <c r="AS434" i="7"/>
  <c r="AT434" i="7" s="1"/>
  <c r="AS240" i="7"/>
  <c r="AT240" i="7" s="1"/>
  <c r="AS393" i="7"/>
  <c r="AT393" i="7" s="1"/>
  <c r="AS264" i="7"/>
  <c r="AT264" i="7" s="1"/>
  <c r="AS318" i="7"/>
  <c r="AT318" i="7" s="1"/>
  <c r="AS834" i="7"/>
  <c r="AT834" i="7" s="1"/>
  <c r="AS665" i="7"/>
  <c r="AT665" i="7" s="1"/>
  <c r="AS437" i="7"/>
  <c r="AT437" i="7" s="1"/>
  <c r="AS262" i="7"/>
  <c r="AT262" i="7" s="1"/>
  <c r="AS338" i="7"/>
  <c r="AT338" i="7" s="1"/>
  <c r="AS708" i="7"/>
  <c r="AT708" i="7" s="1"/>
  <c r="AS843" i="7"/>
  <c r="AT843" i="7" s="1"/>
  <c r="AS390" i="7"/>
  <c r="AT390" i="7" s="1"/>
  <c r="AS180" i="7"/>
  <c r="AT180" i="7" s="1"/>
  <c r="AS713" i="7"/>
  <c r="AT713" i="7" s="1"/>
  <c r="AS472" i="7"/>
  <c r="AT472" i="7" s="1"/>
  <c r="AS244" i="7"/>
  <c r="AT244" i="7" s="1"/>
  <c r="AS767" i="7"/>
  <c r="AT767" i="7" s="1"/>
  <c r="AS795" i="7"/>
  <c r="AT795" i="7" s="1"/>
  <c r="AS127" i="7"/>
  <c r="AT127" i="7" s="1"/>
  <c r="AS748" i="7"/>
  <c r="AT748" i="7" s="1"/>
  <c r="AS510" i="7"/>
  <c r="AT510" i="7" s="1"/>
  <c r="AS182" i="7"/>
  <c r="AT182" i="7" s="1"/>
  <c r="AS410" i="7"/>
  <c r="AT410" i="7" s="1"/>
  <c r="AS230" i="7"/>
  <c r="AT230" i="7" s="1"/>
  <c r="AS376" i="7"/>
  <c r="AT376" i="7" s="1"/>
  <c r="AS794" i="7"/>
  <c r="AT794" i="7" s="1"/>
  <c r="AS26" i="7"/>
  <c r="AT26" i="7" s="1"/>
  <c r="AS785" i="7"/>
  <c r="AT785" i="7" s="1"/>
  <c r="AS438" i="7"/>
  <c r="AT438" i="7" s="1"/>
  <c r="AS863" i="7"/>
  <c r="AT863" i="7" s="1"/>
  <c r="AS573" i="7"/>
  <c r="AT573" i="7" s="1"/>
  <c r="AS129" i="7"/>
  <c r="AT129" i="7" s="1"/>
  <c r="AS32" i="7"/>
  <c r="AT32" i="7" s="1"/>
  <c r="AS409" i="7"/>
  <c r="AT409" i="7" s="1"/>
  <c r="AS79" i="7"/>
  <c r="AT79" i="7" s="1"/>
  <c r="AS423" i="7"/>
  <c r="AT423" i="7" s="1"/>
  <c r="AS181" i="7"/>
  <c r="AT181" i="7" s="1"/>
  <c r="AS28" i="7"/>
  <c r="AT28" i="7" s="1"/>
  <c r="AS578" i="7"/>
  <c r="AT578" i="7" s="1"/>
  <c r="AS346" i="7"/>
  <c r="AT346" i="7" s="1"/>
  <c r="AS311" i="7"/>
  <c r="AT311" i="7" s="1"/>
  <c r="AS195" i="7"/>
  <c r="AT195" i="7" s="1"/>
  <c r="AS473" i="7"/>
  <c r="AT473" i="7" s="1"/>
  <c r="AS178" i="7"/>
  <c r="AT178" i="7" s="1"/>
  <c r="AS124" i="7"/>
  <c r="AT124" i="7" s="1"/>
  <c r="AS726" i="7"/>
  <c r="AT726" i="7" s="1"/>
  <c r="AS593" i="7"/>
  <c r="AT593" i="7" s="1"/>
  <c r="AS43" i="7"/>
  <c r="AT43" i="7" s="1"/>
  <c r="AS499" i="7"/>
  <c r="AT499" i="7" s="1"/>
  <c r="AS567" i="7"/>
  <c r="AT567" i="7" s="1"/>
  <c r="AS117" i="7"/>
  <c r="AT117" i="7" s="1"/>
  <c r="AS824" i="7"/>
  <c r="AT824" i="7" s="1"/>
  <c r="AS469" i="7"/>
  <c r="AT469" i="7" s="1"/>
  <c r="AS371" i="7"/>
  <c r="AT371" i="7" s="1"/>
  <c r="AS448" i="7"/>
  <c r="AT448" i="7" s="1"/>
  <c r="AS470" i="7"/>
  <c r="AT470" i="7" s="1"/>
  <c r="AS92" i="7"/>
  <c r="AT92" i="7" s="1"/>
  <c r="AS335" i="7"/>
  <c r="AT335" i="7" s="1"/>
  <c r="AS459" i="7"/>
  <c r="AT459" i="7" s="1"/>
  <c r="AS784" i="7"/>
  <c r="AT784" i="7" s="1"/>
  <c r="AS216" i="7"/>
  <c r="AT216" i="7" s="1"/>
  <c r="AS577" i="7"/>
  <c r="AT577" i="7" s="1"/>
  <c r="AS680" i="7"/>
  <c r="AT680" i="7" s="1"/>
  <c r="AS858" i="7"/>
  <c r="AT858" i="7" s="1"/>
  <c r="AS704" i="7"/>
  <c r="AT704" i="7" s="1"/>
  <c r="AS164" i="7"/>
  <c r="AT164" i="7" s="1"/>
  <c r="AS587" i="7"/>
  <c r="AT587" i="7" s="1"/>
  <c r="AS402" i="7"/>
  <c r="AT402" i="7" s="1"/>
  <c r="AS208" i="7"/>
  <c r="AT208" i="7" s="1"/>
  <c r="AS730" i="7"/>
  <c r="AT730" i="7" s="1"/>
  <c r="AS519" i="7"/>
  <c r="AT519" i="7" s="1"/>
  <c r="AS313" i="7"/>
  <c r="AT313" i="7" s="1"/>
  <c r="AS790" i="7"/>
  <c r="AT790" i="7" s="1"/>
  <c r="AS167" i="7"/>
  <c r="AT167" i="7" s="1"/>
  <c r="AS682" i="7"/>
  <c r="AT682" i="7" s="1"/>
  <c r="AS84" i="7"/>
  <c r="AT84" i="7" s="1"/>
  <c r="AS744" i="7"/>
  <c r="AT744" i="7" s="1"/>
  <c r="AS671" i="7"/>
  <c r="AT671" i="7" s="1"/>
  <c r="AS320" i="7"/>
  <c r="AT320" i="7" s="1"/>
  <c r="AS817" i="7"/>
  <c r="AT817" i="7" s="1"/>
  <c r="AS801" i="7"/>
  <c r="AT801" i="7" s="1"/>
  <c r="AS864" i="7"/>
  <c r="AT864" i="7" s="1"/>
  <c r="AS200" i="7"/>
  <c r="AT200" i="7" s="1"/>
  <c r="AS202" i="7"/>
  <c r="AT202" i="7" s="1"/>
  <c r="AS563" i="7"/>
  <c r="AT563" i="7" s="1"/>
  <c r="AS581" i="7"/>
  <c r="AT581" i="7" s="1"/>
  <c r="AS464" i="7"/>
  <c r="AT464" i="7" s="1"/>
  <c r="AS544" i="7"/>
  <c r="AT544" i="7" s="1"/>
  <c r="AS107" i="7"/>
  <c r="AT107" i="7" s="1"/>
  <c r="AS703" i="7"/>
  <c r="AT703" i="7" s="1"/>
  <c r="AS550" i="7"/>
  <c r="AT550" i="7" s="1"/>
  <c r="AS645" i="7"/>
  <c r="AT645" i="7" s="1"/>
  <c r="AS427" i="7"/>
  <c r="AT427" i="7" s="1"/>
  <c r="AS191" i="7"/>
  <c r="AT191" i="7" s="1"/>
  <c r="AS415" i="7"/>
  <c r="AT415" i="7" s="1"/>
  <c r="AS584" i="7"/>
  <c r="AT584" i="7" s="1"/>
  <c r="AS601" i="7"/>
  <c r="AT601" i="7" s="1"/>
  <c r="AS511" i="7"/>
  <c r="AT511" i="7" s="1"/>
  <c r="AS740" i="7"/>
  <c r="AT740" i="7" s="1"/>
  <c r="AS411" i="7"/>
  <c r="AT411" i="7" s="1"/>
  <c r="AS57" i="7"/>
  <c r="AT57" i="7" s="1"/>
  <c r="AS673" i="7"/>
  <c r="AT673" i="7" s="1"/>
  <c r="AS570" i="7"/>
  <c r="AT570" i="7" s="1"/>
  <c r="AS277" i="7"/>
  <c r="AT277" i="7" s="1"/>
  <c r="AS419" i="7"/>
  <c r="AT419" i="7" s="1"/>
  <c r="AS401" i="7"/>
  <c r="AT401" i="7" s="1"/>
  <c r="AS272" i="7"/>
  <c r="AT272" i="7" s="1"/>
  <c r="AS477" i="7"/>
  <c r="AT477" i="7" s="1"/>
  <c r="AS611" i="7"/>
  <c r="AT611" i="7" s="1"/>
  <c r="AS169" i="7"/>
  <c r="AT169" i="7" s="1"/>
  <c r="AS29" i="7"/>
  <c r="AT29" i="7" s="1"/>
  <c r="AS151" i="7"/>
  <c r="AT151" i="7" s="1"/>
  <c r="AS222" i="7"/>
  <c r="AT222" i="7" s="1"/>
  <c r="AS259" i="7"/>
  <c r="AT259" i="7" s="1"/>
  <c r="AS560" i="7"/>
  <c r="AT560" i="7" s="1"/>
  <c r="AS190" i="7"/>
  <c r="AT190" i="7" s="1"/>
  <c r="AS837" i="7"/>
  <c r="AT837" i="7" s="1"/>
  <c r="AS806" i="7"/>
  <c r="AT806" i="7" s="1"/>
  <c r="AS685" i="7"/>
  <c r="AT685" i="7" s="1"/>
  <c r="AS67" i="7"/>
  <c r="AT67" i="7" s="1"/>
  <c r="AS375" i="7"/>
  <c r="AT375" i="7" s="1"/>
  <c r="AS515" i="7"/>
  <c r="AT515" i="7" s="1"/>
  <c r="AS621" i="7"/>
  <c r="AT621" i="7" s="1"/>
  <c r="AS250" i="7"/>
  <c r="AT250" i="7" s="1"/>
  <c r="AS325" i="7"/>
  <c r="AT325" i="7" s="1"/>
  <c r="AS405" i="7"/>
  <c r="AT405" i="7" s="1"/>
  <c r="AS716" i="7"/>
  <c r="AT716" i="7" s="1"/>
  <c r="AS207" i="7"/>
  <c r="AT207" i="7" s="1"/>
  <c r="AS604" i="7"/>
  <c r="AT604" i="7" s="1"/>
  <c r="AS816" i="7"/>
  <c r="AT816" i="7" s="1"/>
  <c r="AS823" i="7"/>
  <c r="AT823" i="7" s="1"/>
  <c r="AS273" i="7"/>
  <c r="AT273" i="7" s="1"/>
  <c r="AS350" i="7"/>
  <c r="AT350" i="7" s="1"/>
  <c r="AS334" i="7"/>
  <c r="AT334" i="7" s="1"/>
  <c r="AS428" i="7"/>
  <c r="AT428" i="7" s="1"/>
  <c r="AS500" i="7"/>
  <c r="AT500" i="7" s="1"/>
  <c r="AS457" i="7"/>
  <c r="AT457" i="7" s="1"/>
  <c r="AS854" i="7"/>
  <c r="AT854" i="7" s="1"/>
  <c r="AS341" i="7"/>
  <c r="AT341" i="7" s="1"/>
  <c r="AS391" i="7"/>
  <c r="AT391" i="7" s="1"/>
  <c r="AS14" i="7"/>
  <c r="AT14" i="7" s="1"/>
  <c r="AS724" i="7"/>
  <c r="AT724" i="7" s="1"/>
  <c r="AS64" i="7"/>
  <c r="AT64" i="7" s="1"/>
  <c r="AS139" i="7"/>
  <c r="AT139" i="7" s="1"/>
  <c r="AS737" i="7"/>
  <c r="AT737" i="7" s="1"/>
  <c r="AS569" i="7"/>
  <c r="AT569" i="7" s="1"/>
  <c r="AS734" i="7"/>
  <c r="AT734" i="7" s="1"/>
  <c r="AS310" i="7"/>
  <c r="AT310" i="7" s="1"/>
  <c r="AS345" i="7"/>
  <c r="AT345" i="7" s="1"/>
  <c r="AS497" i="7"/>
  <c r="AT497" i="7" s="1"/>
  <c r="AS397" i="7"/>
  <c r="AT397" i="7" s="1"/>
  <c r="AS22" i="7"/>
  <c r="AT22" i="7" s="1"/>
  <c r="AS606" i="7"/>
  <c r="AT606" i="7" s="1"/>
  <c r="AS162" i="7"/>
  <c r="AT162" i="7" s="1"/>
  <c r="AS25" i="7"/>
  <c r="AT25" i="7" s="1"/>
  <c r="AS144" i="7"/>
  <c r="AT144" i="7" s="1"/>
  <c r="AS690" i="7"/>
  <c r="AT690" i="7" s="1"/>
  <c r="AS702" i="7"/>
  <c r="AT702" i="7" s="1"/>
  <c r="AS710" i="7"/>
  <c r="AT710" i="7" s="1"/>
  <c r="AS461" i="7"/>
  <c r="AT461" i="7" s="1"/>
  <c r="AS777" i="7"/>
  <c r="AT777" i="7" s="1"/>
  <c r="AS27" i="7"/>
  <c r="AT27" i="7" s="1"/>
  <c r="AS228" i="7"/>
  <c r="AT228" i="7" s="1"/>
  <c r="AS302" i="7"/>
  <c r="AT302" i="7" s="1"/>
  <c r="AS643" i="7"/>
  <c r="AT643" i="7" s="1"/>
  <c r="AS830" i="7"/>
  <c r="AT830" i="7" s="1"/>
  <c r="AS826" i="7"/>
  <c r="AT826" i="7" s="1"/>
  <c r="AS541" i="7"/>
  <c r="AT541" i="7" s="1"/>
  <c r="AS74" i="7"/>
  <c r="AT74" i="7" s="1"/>
  <c r="AS642" i="7"/>
  <c r="AT642" i="7" s="1"/>
  <c r="AS365" i="7"/>
  <c r="AT365" i="7" s="1"/>
  <c r="AS677" i="7"/>
  <c r="AT677" i="7" s="1"/>
  <c r="AS292" i="7"/>
  <c r="AT292" i="7" s="1"/>
  <c r="AS741" i="7"/>
  <c r="AT741" i="7" s="1"/>
  <c r="AS787" i="7"/>
  <c r="AT787" i="7" s="1"/>
  <c r="AS229" i="7"/>
  <c r="AT229" i="7" s="1"/>
  <c r="AS656" i="7"/>
  <c r="AT656" i="7" s="1"/>
  <c r="AS149" i="7"/>
  <c r="AT149" i="7" s="1"/>
  <c r="AS319" i="7"/>
  <c r="AT319" i="7" s="1"/>
  <c r="AS657" i="7"/>
  <c r="AT657" i="7" s="1"/>
  <c r="AS289" i="7"/>
  <c r="AT289" i="7" s="1"/>
  <c r="AS332" i="7"/>
  <c r="AT332" i="7" s="1"/>
  <c r="AS212" i="7"/>
  <c r="AT212" i="7" s="1"/>
  <c r="AS789" i="7"/>
  <c r="AT789" i="7" s="1"/>
  <c r="AS828" i="7"/>
  <c r="AT828" i="7" s="1"/>
  <c r="AS369" i="7"/>
  <c r="AT369" i="7" s="1"/>
  <c r="AS717" i="7"/>
  <c r="AT717" i="7" s="1"/>
  <c r="AS174" i="7"/>
  <c r="AT174" i="7" s="1"/>
  <c r="AS764" i="7"/>
  <c r="AT764" i="7" s="1"/>
  <c r="AS245" i="7"/>
  <c r="AT245" i="7" s="1"/>
  <c r="AS445" i="7"/>
  <c r="AT445" i="7" s="1"/>
  <c r="AS678" i="7"/>
  <c r="AT678" i="7" s="1"/>
  <c r="AS583" i="7"/>
  <c r="AT583" i="7" s="1"/>
  <c r="AS462" i="7"/>
  <c r="AT462" i="7" s="1"/>
  <c r="AS588" i="7"/>
  <c r="AT588" i="7" s="1"/>
  <c r="AS582" i="7"/>
  <c r="AT582" i="7" s="1"/>
  <c r="AS111" i="7"/>
  <c r="AT111" i="7" s="1"/>
  <c r="AS672" i="7"/>
  <c r="AT672" i="7" s="1"/>
  <c r="AS820" i="7"/>
  <c r="AT820" i="7" s="1"/>
  <c r="AS701" i="7"/>
  <c r="AT701" i="7" s="1"/>
  <c r="AS749" i="7"/>
  <c r="AT749" i="7" s="1"/>
  <c r="AS89" i="7"/>
  <c r="AT89" i="7" s="1"/>
  <c r="AS88" i="7"/>
  <c r="AT88" i="7" s="1"/>
  <c r="AS51" i="7"/>
  <c r="AT51" i="7" s="1"/>
  <c r="AS825" i="7"/>
  <c r="AT825" i="7" s="1"/>
  <c r="AS81" i="7"/>
  <c r="AT81" i="7" s="1"/>
  <c r="AS554" i="7"/>
  <c r="AT554" i="7" s="1"/>
  <c r="AS349" i="7"/>
  <c r="AT349" i="7" s="1"/>
  <c r="AS664" i="7"/>
  <c r="AT664" i="7" s="1"/>
  <c r="AS619" i="7"/>
  <c r="AT619" i="7" s="1"/>
  <c r="AS773" i="7"/>
  <c r="AT773" i="7" s="1"/>
  <c r="AS444" i="7"/>
  <c r="AT444" i="7" s="1"/>
  <c r="AS867" i="7"/>
  <c r="AT867" i="7" s="1"/>
  <c r="AS161" i="7"/>
  <c r="AT161" i="7" s="1"/>
  <c r="AS529" i="7"/>
  <c r="AT529" i="7" s="1"/>
  <c r="AS386" i="7"/>
  <c r="AT386" i="7" s="1"/>
  <c r="AS356" i="7"/>
  <c r="AT356" i="7" s="1"/>
  <c r="AS108" i="7"/>
  <c r="AT108" i="7" s="1"/>
  <c r="AS279" i="7"/>
  <c r="AT279" i="7" s="1"/>
  <c r="AS209" i="7"/>
  <c r="AT209" i="7" s="1"/>
  <c r="AS138" i="7"/>
  <c r="AT138" i="7" s="1"/>
  <c r="AS328" i="7"/>
  <c r="AT328" i="7" s="1"/>
  <c r="AS154" i="7"/>
  <c r="AT154" i="7" s="1"/>
  <c r="AS303" i="7"/>
  <c r="AT303" i="7" s="1"/>
  <c r="AS536" i="7"/>
  <c r="AT536" i="7" s="1"/>
  <c r="AS285" i="7"/>
  <c r="AT285" i="7" s="1"/>
  <c r="AS695" i="7"/>
  <c r="AT695" i="7" s="1"/>
  <c r="AS809" i="7"/>
  <c r="AT809" i="7" s="1"/>
  <c r="AS58" i="7"/>
  <c r="AT58" i="7" s="1"/>
  <c r="AS762" i="7"/>
  <c r="AT762" i="7" s="1"/>
  <c r="AS236" i="7"/>
  <c r="AT236" i="7" s="1"/>
  <c r="AS367" i="7"/>
  <c r="AT367" i="7" s="1"/>
  <c r="AS249" i="7"/>
  <c r="AT249" i="7" s="1"/>
  <c r="AS844" i="7"/>
  <c r="AT844" i="7" s="1"/>
  <c r="AS196" i="7"/>
  <c r="AT196" i="7" s="1"/>
  <c r="AS135" i="7"/>
  <c r="AT135" i="7" s="1"/>
  <c r="AS723" i="7"/>
  <c r="AT723" i="7" s="1"/>
  <c r="AS525" i="7"/>
  <c r="AT525" i="7" s="1"/>
  <c r="AS791" i="7"/>
  <c r="AT791" i="7" s="1"/>
  <c r="AS753" i="7"/>
  <c r="AT753" i="7" s="1"/>
  <c r="AS100" i="7"/>
  <c r="AT100" i="7" s="1"/>
  <c r="AS746" i="7"/>
  <c r="AT746" i="7" s="1"/>
  <c r="AS133" i="7"/>
  <c r="AT133" i="7" s="1"/>
  <c r="AS184" i="7"/>
  <c r="AT184" i="7" s="1"/>
  <c r="AS618" i="7"/>
  <c r="AT618" i="7" s="1"/>
  <c r="AS187" i="7"/>
  <c r="AT187" i="7" s="1"/>
  <c r="AS509" i="7"/>
  <c r="AT509" i="7" s="1"/>
  <c r="AS452" i="7"/>
  <c r="AT452" i="7" s="1"/>
  <c r="AS385" i="7"/>
  <c r="AT385" i="7" s="1"/>
  <c r="AS679" i="7"/>
  <c r="AT679" i="7" s="1"/>
  <c r="AS255" i="7"/>
  <c r="AT255" i="7" s="1"/>
  <c r="AS443" i="7"/>
  <c r="AT443" i="7" s="1"/>
  <c r="AS558" i="7"/>
  <c r="AT558" i="7" s="1"/>
  <c r="AS778" i="7"/>
  <c r="AT778" i="7" s="1"/>
  <c r="AS513" i="7"/>
  <c r="AT513" i="7" s="1"/>
  <c r="AS436" i="7"/>
  <c r="AT436" i="7" s="1"/>
  <c r="AS83" i="7"/>
  <c r="AT83" i="7" s="1"/>
  <c r="AS194" i="7"/>
  <c r="AT194" i="7" s="1"/>
  <c r="AS733" i="7"/>
  <c r="AT733" i="7" s="1"/>
  <c r="AS30" i="7"/>
  <c r="AT30" i="7" s="1"/>
  <c r="AS532" i="7"/>
  <c r="AT532" i="7" s="1"/>
  <c r="AS426" i="7"/>
  <c r="AT426" i="7" s="1"/>
  <c r="AS97" i="7"/>
  <c r="AT97" i="7" s="1"/>
  <c r="AS756" i="7"/>
  <c r="AT756" i="7" s="1"/>
  <c r="AS635" i="7"/>
  <c r="AT635" i="7" s="1"/>
  <c r="AS799" i="7"/>
  <c r="AT799" i="7" s="1"/>
  <c r="AS186" i="7"/>
  <c r="AT186" i="7" s="1"/>
  <c r="AS627" i="7"/>
  <c r="AT627" i="7" s="1"/>
  <c r="AS771" i="7"/>
  <c r="AT771" i="7" s="1"/>
  <c r="AS648" i="7"/>
  <c r="AT648" i="7" s="1"/>
  <c r="AS735" i="7"/>
  <c r="AT735" i="7" s="1"/>
  <c r="AS384" i="7"/>
  <c r="AT384" i="7" s="1"/>
  <c r="AS168" i="7"/>
  <c r="AT168" i="7" s="1"/>
  <c r="AS856" i="7"/>
  <c r="AT856" i="7" s="1"/>
  <c r="AS542" i="7"/>
  <c r="AT542" i="7" s="1"/>
  <c r="AS24" i="7"/>
  <c r="AT24" i="7" s="1"/>
  <c r="AS775" i="7"/>
  <c r="AT775" i="7" s="1"/>
  <c r="AS361" i="7"/>
  <c r="AT361" i="7" s="1"/>
  <c r="AS86" i="7"/>
  <c r="AT86" i="7" s="1"/>
  <c r="AS822" i="7"/>
  <c r="AT822" i="7" s="1"/>
  <c r="AS687" i="7"/>
  <c r="AT687" i="7" s="1"/>
  <c r="AS261" i="7"/>
  <c r="AT261" i="7" s="1"/>
  <c r="AS805" i="7"/>
  <c r="AT805" i="7" s="1"/>
  <c r="AS331" i="7"/>
  <c r="AT331" i="7" s="1"/>
  <c r="AS478" i="7"/>
  <c r="AT478" i="7" s="1"/>
  <c r="AS752" i="7"/>
  <c r="AT752" i="7" s="1"/>
  <c r="AS501" i="7"/>
  <c r="AT501" i="7" s="1"/>
  <c r="AS506" i="7"/>
  <c r="AT506" i="7" s="1"/>
  <c r="AS134" i="7"/>
  <c r="AT134" i="7" s="1"/>
  <c r="AS429" i="7"/>
  <c r="AT429" i="7" s="1"/>
  <c r="AS19" i="7"/>
  <c r="AT19" i="7" s="1"/>
  <c r="AS522" i="7"/>
  <c r="AT522" i="7" s="1"/>
  <c r="AS865" i="7"/>
  <c r="AT865" i="7" s="1"/>
  <c r="AS814" i="7"/>
  <c r="AT814" i="7" s="1"/>
  <c r="AS53" i="7"/>
  <c r="AT53" i="7" s="1"/>
  <c r="AS827" i="7"/>
  <c r="AT827" i="7" s="1"/>
  <c r="AS770" i="7"/>
  <c r="AT770" i="7" s="1"/>
  <c r="AS68" i="7"/>
  <c r="AT68" i="7" s="1"/>
  <c r="AS653" i="7"/>
  <c r="AT653" i="7" s="1"/>
  <c r="AS203" i="7"/>
  <c r="AT203" i="7" s="1"/>
  <c r="AS197" i="7"/>
  <c r="AT197" i="7" s="1"/>
  <c r="AS647" i="7"/>
  <c r="AT647" i="7" s="1"/>
  <c r="AS833" i="7"/>
  <c r="AT833" i="7" s="1"/>
  <c r="AS424" i="7"/>
  <c r="AT424" i="7" s="1"/>
  <c r="AS699" i="7"/>
  <c r="AT699" i="7" s="1"/>
  <c r="AS359" i="7"/>
  <c r="AT359" i="7" s="1"/>
  <c r="AS56" i="7"/>
  <c r="AT56" i="7" s="1"/>
  <c r="AS306" i="7"/>
  <c r="AT306" i="7" s="1"/>
  <c r="AS380" i="7"/>
  <c r="AT380" i="7" s="1"/>
  <c r="AS383" i="7"/>
  <c r="AT383" i="7" s="1"/>
  <c r="AS686" i="7"/>
  <c r="AT686" i="7" s="1"/>
  <c r="AS132" i="7"/>
  <c r="AT132" i="7" s="1"/>
  <c r="AS526" i="7"/>
  <c r="AT526" i="7" s="1"/>
  <c r="AS128" i="7"/>
  <c r="AT128" i="7" s="1"/>
  <c r="AS666" i="7"/>
  <c r="AT666" i="7" s="1"/>
  <c r="AS607" i="7"/>
  <c r="AT607" i="7" s="1"/>
  <c r="AS399" i="7"/>
  <c r="AT399" i="7" s="1"/>
  <c r="AS76" i="7"/>
  <c r="AT76" i="7" s="1"/>
  <c r="AS291" i="7"/>
  <c r="AT291" i="7" s="1"/>
  <c r="AS110" i="7"/>
  <c r="AT110" i="7" s="1"/>
  <c r="AS18" i="7"/>
  <c r="AT18" i="7" s="1"/>
  <c r="AS34" i="7"/>
  <c r="AT34" i="7" s="1"/>
  <c r="AS15" i="7"/>
  <c r="AT15" i="7" s="1"/>
  <c r="AS404" i="7"/>
  <c r="AT404" i="7" s="1"/>
  <c r="AS559" i="7"/>
  <c r="AT559" i="7" s="1"/>
  <c r="AS772" i="7"/>
  <c r="AT772" i="7" s="1"/>
  <c r="AS848" i="7"/>
  <c r="AT848" i="7" s="1"/>
  <c r="AS757" i="7"/>
  <c r="AT757" i="7" s="1"/>
  <c r="AS45" i="7"/>
  <c r="AT45" i="7" s="1"/>
  <c r="AS637" i="7"/>
  <c r="AT637" i="7" s="1"/>
  <c r="AS780" i="7"/>
  <c r="AT780" i="7" s="1"/>
  <c r="AS551" i="7"/>
  <c r="AT551" i="7" s="1"/>
  <c r="AS46" i="7"/>
  <c r="AT46" i="7" s="1"/>
  <c r="AS623" i="7"/>
  <c r="AT623" i="7" s="1"/>
  <c r="AS12" i="7"/>
  <c r="AT12" i="7" s="1"/>
  <c r="AS729" i="7"/>
  <c r="AT729" i="7" s="1"/>
  <c r="AS416" i="7"/>
  <c r="AT416" i="7" s="1"/>
  <c r="AS364" i="7"/>
  <c r="AT364" i="7" s="1"/>
  <c r="AS798" i="7"/>
  <c r="AT798" i="7" s="1"/>
  <c r="AS173" i="7"/>
  <c r="AT173" i="7" s="1"/>
  <c r="AS205" i="7"/>
  <c r="AT205" i="7" s="1"/>
  <c r="AS609" i="7"/>
  <c r="AT609" i="7" s="1"/>
  <c r="AS210" i="7"/>
  <c r="AT210" i="7" s="1"/>
  <c r="AS813" i="7"/>
  <c r="AT813" i="7" s="1"/>
  <c r="AS512" i="7"/>
  <c r="AT512" i="7" s="1"/>
  <c r="AS539" i="7"/>
  <c r="AT539" i="7" s="1"/>
  <c r="AS661" i="7"/>
  <c r="AT661" i="7" s="1"/>
  <c r="AS242" i="7"/>
  <c r="AT242" i="7" s="1"/>
  <c r="AS598" i="7"/>
  <c r="AT598" i="7" s="1"/>
  <c r="AS616" i="7"/>
  <c r="AT616" i="7" s="1"/>
  <c r="AS545" i="7"/>
  <c r="AT545" i="7" s="1"/>
  <c r="AS629" i="7"/>
  <c r="AT629" i="7" s="1"/>
  <c r="AS507" i="7"/>
  <c r="AT507" i="7" s="1"/>
  <c r="AS38" i="7"/>
  <c r="AT38" i="7" s="1"/>
  <c r="AS422" i="7"/>
  <c r="AT422" i="7" s="1"/>
  <c r="AS496" i="7"/>
  <c r="AT496" i="7" s="1"/>
  <c r="AS622" i="7"/>
  <c r="AT622" i="7" s="1"/>
  <c r="AS226" i="7"/>
  <c r="AT226" i="7" s="1"/>
  <c r="AS268" i="7"/>
  <c r="AT268" i="7" s="1"/>
  <c r="AS219" i="7"/>
  <c r="AT219" i="7" s="1"/>
  <c r="AS721" i="7"/>
  <c r="AT721" i="7" s="1"/>
  <c r="AS85" i="7"/>
  <c r="AT85" i="7" s="1"/>
  <c r="AS441" i="7"/>
  <c r="AT441" i="7" s="1"/>
  <c r="AS113" i="7"/>
  <c r="AT113" i="7" s="1"/>
  <c r="AS148" i="7"/>
  <c r="AT148" i="7" s="1"/>
  <c r="AS614" i="7"/>
  <c r="AT614" i="7" s="1"/>
  <c r="AS761" i="7"/>
  <c r="AT761" i="7" s="1"/>
  <c r="AS193" i="7"/>
  <c r="AT193" i="7" s="1"/>
  <c r="AS802" i="7"/>
  <c r="AT802" i="7" s="1"/>
  <c r="AS552" i="7"/>
  <c r="AT552" i="7" s="1"/>
  <c r="AS521" i="7"/>
  <c r="AT521" i="7" s="1"/>
  <c r="AS363" i="7"/>
  <c r="AT363" i="7" s="1"/>
  <c r="AS649" i="7"/>
  <c r="AT649" i="7" s="1"/>
  <c r="AS387" i="7"/>
  <c r="AT387" i="7" s="1"/>
  <c r="AS381" i="7"/>
  <c r="AT381" i="7" s="1"/>
  <c r="AS372" i="7"/>
  <c r="AT372" i="7" s="1"/>
  <c r="AS201" i="7"/>
  <c r="AT201" i="7" s="1"/>
  <c r="AS548" i="7"/>
  <c r="AT548" i="7" s="1"/>
  <c r="AS586" i="7"/>
  <c r="AT586" i="7" s="1"/>
  <c r="AS847" i="7"/>
  <c r="AT847" i="7" s="1"/>
  <c r="AS9" i="7"/>
  <c r="AT9" i="7" s="1"/>
  <c r="AS252" i="7"/>
  <c r="AT252" i="7" s="1"/>
  <c r="AS435" i="7"/>
  <c r="AT435" i="7" s="1"/>
  <c r="AS312" i="7"/>
  <c r="AT312" i="7" s="1"/>
  <c r="AS44" i="7"/>
  <c r="AT44" i="7" s="1"/>
  <c r="AS329" i="7"/>
  <c r="AT329" i="7" s="1"/>
  <c r="AS628" i="7"/>
  <c r="AT628" i="7" s="1"/>
  <c r="AS466" i="7"/>
  <c r="AT466" i="7" s="1"/>
  <c r="AS451" i="7"/>
  <c r="AT451" i="7" s="1"/>
  <c r="AS400" i="7"/>
  <c r="AT400" i="7" s="1"/>
  <c r="AS70" i="7"/>
  <c r="AT70" i="7" s="1"/>
  <c r="AS449" i="7"/>
  <c r="AT449" i="7" s="1"/>
  <c r="AS179" i="7"/>
  <c r="AT179" i="7" s="1"/>
  <c r="AS634" i="7"/>
  <c r="AT634" i="7" s="1"/>
  <c r="AS403" i="7"/>
  <c r="AT403" i="7" s="1"/>
  <c r="AE415" i="7"/>
  <c r="AF415" i="7" s="1"/>
  <c r="AE380" i="7"/>
  <c r="AF380" i="7" s="1"/>
  <c r="AE584" i="7"/>
  <c r="AF584" i="7" s="1"/>
  <c r="AE601" i="7"/>
  <c r="AF601" i="7" s="1"/>
  <c r="AE548" i="7"/>
  <c r="AF548" i="7" s="1"/>
  <c r="AE38" i="7"/>
  <c r="AF38" i="7" s="1"/>
  <c r="AE511" i="7"/>
  <c r="AF511" i="7" s="1"/>
  <c r="AE383" i="7"/>
  <c r="AF383" i="7" s="1"/>
  <c r="AE46" i="7"/>
  <c r="AF46" i="7" s="1"/>
  <c r="AE740" i="7"/>
  <c r="AF740" i="7" s="1"/>
  <c r="AE411" i="7"/>
  <c r="AF411" i="7" s="1"/>
  <c r="AE422" i="7"/>
  <c r="AF422" i="7" s="1"/>
  <c r="AE57" i="7"/>
  <c r="AF57" i="7" s="1"/>
  <c r="AE686" i="7"/>
  <c r="AF686" i="7" s="1"/>
  <c r="AE673" i="7"/>
  <c r="AF673" i="7" s="1"/>
  <c r="AE570" i="7"/>
  <c r="AF570" i="7" s="1"/>
  <c r="AE449" i="7"/>
  <c r="AF449" i="7" s="1"/>
  <c r="AE277" i="7"/>
  <c r="AF277" i="7" s="1"/>
  <c r="AE496" i="7"/>
  <c r="AF496" i="7" s="1"/>
  <c r="AE132" i="7"/>
  <c r="AF132" i="7" s="1"/>
  <c r="AE419" i="7"/>
  <c r="AF419" i="7" s="1"/>
  <c r="AE623" i="7"/>
  <c r="AF623" i="7" s="1"/>
  <c r="AE401" i="7"/>
  <c r="AF401" i="7" s="1"/>
  <c r="AE466" i="7"/>
  <c r="AF466" i="7" s="1"/>
  <c r="AE622" i="7"/>
  <c r="AF622" i="7" s="1"/>
  <c r="AE526" i="7"/>
  <c r="AF526" i="7" s="1"/>
  <c r="AE12" i="7"/>
  <c r="AF12" i="7" s="1"/>
  <c r="AE272" i="7"/>
  <c r="AF272" i="7" s="1"/>
  <c r="AE363" i="7"/>
  <c r="AF363" i="7" s="1"/>
  <c r="AE477" i="7"/>
  <c r="AF477" i="7" s="1"/>
  <c r="AE226" i="7"/>
  <c r="AF226" i="7" s="1"/>
  <c r="AE611" i="7"/>
  <c r="AF611" i="7" s="1"/>
  <c r="AE128" i="7"/>
  <c r="AF128" i="7" s="1"/>
  <c r="AE169" i="7"/>
  <c r="AF169" i="7" s="1"/>
  <c r="AE729" i="7"/>
  <c r="AF729" i="7" s="1"/>
  <c r="AE29" i="7"/>
  <c r="AF29" i="7" s="1"/>
  <c r="AE435" i="7"/>
  <c r="AF435" i="7" s="1"/>
  <c r="AE151" i="7"/>
  <c r="AF151" i="7" s="1"/>
  <c r="AE268" i="7"/>
  <c r="AF268" i="7" s="1"/>
  <c r="AE222" i="7"/>
  <c r="AF222" i="7" s="1"/>
  <c r="AE666" i="7"/>
  <c r="AF666" i="7" s="1"/>
  <c r="AE259" i="7"/>
  <c r="AF259" i="7" s="1"/>
  <c r="AE416" i="7"/>
  <c r="AF416" i="7" s="1"/>
  <c r="AE560" i="7"/>
  <c r="AF560" i="7" s="1"/>
  <c r="AE190" i="7"/>
  <c r="AF190" i="7" s="1"/>
  <c r="AE837" i="7"/>
  <c r="AF837" i="7" s="1"/>
  <c r="AE607" i="7"/>
  <c r="AF607" i="7" s="1"/>
  <c r="AE806" i="7"/>
  <c r="AF806" i="7" s="1"/>
  <c r="AE364" i="7"/>
  <c r="AF364" i="7" s="1"/>
  <c r="AE685" i="7"/>
  <c r="AF685" i="7" s="1"/>
  <c r="AE372" i="7"/>
  <c r="AF372" i="7" s="1"/>
  <c r="AE67" i="7"/>
  <c r="AF67" i="7" s="1"/>
  <c r="AE219" i="7"/>
  <c r="AF219" i="7" s="1"/>
  <c r="AE375" i="7"/>
  <c r="AF375" i="7" s="1"/>
  <c r="AE399" i="7"/>
  <c r="AF399" i="7" s="1"/>
  <c r="AE798" i="7"/>
  <c r="AF798" i="7" s="1"/>
  <c r="AE515" i="7"/>
  <c r="AF515" i="7" s="1"/>
  <c r="AE9" i="7"/>
  <c r="AF9" i="7" s="1"/>
  <c r="AE621" i="7"/>
  <c r="AF621" i="7" s="1"/>
  <c r="AE721" i="7"/>
  <c r="AF721" i="7" s="1"/>
  <c r="AE250" i="7"/>
  <c r="AF250" i="7" s="1"/>
  <c r="AE76" i="7"/>
  <c r="AF76" i="7" s="1"/>
  <c r="AE325" i="7"/>
  <c r="AF325" i="7" s="1"/>
  <c r="AE173" i="7"/>
  <c r="AF173" i="7" s="1"/>
  <c r="AE405" i="7"/>
  <c r="AF405" i="7" s="1"/>
  <c r="AE802" i="7"/>
  <c r="AF802" i="7" s="1"/>
  <c r="AE716" i="7"/>
  <c r="AF716" i="7" s="1"/>
  <c r="AE207" i="7"/>
  <c r="AF207" i="7" s="1"/>
  <c r="AE68" i="7"/>
  <c r="AF68" i="7" s="1"/>
  <c r="AE773" i="7"/>
  <c r="AF773" i="7" s="1"/>
  <c r="AE816" i="7"/>
  <c r="AF816" i="7" s="1"/>
  <c r="AE451" i="7"/>
  <c r="AF451" i="7" s="1"/>
  <c r="AE85" i="7"/>
  <c r="AF85" i="7" s="1"/>
  <c r="AE161" i="7"/>
  <c r="AF161" i="7" s="1"/>
  <c r="AE350" i="7"/>
  <c r="AF350" i="7" s="1"/>
  <c r="AE629" i="7"/>
  <c r="AF629" i="7" s="1"/>
  <c r="AE70" i="7"/>
  <c r="AF70" i="7" s="1"/>
  <c r="AE532" i="7"/>
  <c r="AF532" i="7" s="1"/>
  <c r="AE426" i="7"/>
  <c r="AF426" i="7" s="1"/>
  <c r="AE97" i="7"/>
  <c r="AF97" i="7" s="1"/>
  <c r="AE756" i="7"/>
  <c r="AF756" i="7" s="1"/>
  <c r="AE377" i="7"/>
  <c r="AF377" i="7" s="1"/>
  <c r="AE663" i="7"/>
  <c r="AF663" i="7" s="1"/>
  <c r="AE540" i="7"/>
  <c r="AF540" i="7" s="1"/>
  <c r="AE114" i="7"/>
  <c r="AF114" i="7" s="1"/>
  <c r="AE282" i="7"/>
  <c r="AF282" i="7" s="1"/>
  <c r="AE316" i="7"/>
  <c r="AF316" i="7" s="1"/>
  <c r="AE676" i="7"/>
  <c r="AF676" i="7" s="1"/>
  <c r="AE576" i="7"/>
  <c r="AF576" i="7" s="1"/>
  <c r="AE658" i="7"/>
  <c r="AF658" i="7" s="1"/>
  <c r="AE479" i="7"/>
  <c r="AF479" i="7" s="1"/>
  <c r="AE125" i="7"/>
  <c r="AF125" i="7" s="1"/>
  <c r="AE61" i="7"/>
  <c r="AF61" i="7" s="1"/>
  <c r="AE782" i="7"/>
  <c r="AF782" i="7" s="1"/>
  <c r="AE165" i="7"/>
  <c r="AF165" i="7" s="1"/>
  <c r="AE388" i="7"/>
  <c r="AF388" i="7" s="1"/>
  <c r="AE418" i="7"/>
  <c r="AF418" i="7" s="1"/>
  <c r="AE241" i="7"/>
  <c r="AF241" i="7" s="1"/>
  <c r="AE855" i="7"/>
  <c r="AF855" i="7" s="1"/>
  <c r="AE166" i="7"/>
  <c r="AF166" i="7" s="1"/>
  <c r="AE37" i="7"/>
  <c r="AF37" i="7" s="1"/>
  <c r="AE796" i="7"/>
  <c r="AF796" i="7" s="1"/>
  <c r="AE667" i="7"/>
  <c r="AF667" i="7" s="1"/>
  <c r="AE555" i="7"/>
  <c r="AF555" i="7" s="1"/>
  <c r="AE278" i="7"/>
  <c r="AF278" i="7" s="1"/>
  <c r="AE580" i="7"/>
  <c r="AF580" i="7" s="1"/>
  <c r="AE808" i="7"/>
  <c r="AF808" i="7" s="1"/>
  <c r="AE504" i="7"/>
  <c r="AF504" i="7" s="1"/>
  <c r="AE42" i="7"/>
  <c r="AF42" i="7" s="1"/>
  <c r="AE141" i="7"/>
  <c r="AF141" i="7" s="1"/>
  <c r="AE60" i="7"/>
  <c r="AF60" i="7" s="1"/>
  <c r="AE73" i="7"/>
  <c r="AF73" i="7" s="1"/>
  <c r="AE432" i="7"/>
  <c r="AF432" i="7" s="1"/>
  <c r="AE595" i="7"/>
  <c r="AF595" i="7" s="1"/>
  <c r="AE366" i="7"/>
  <c r="AF366" i="7" s="1"/>
  <c r="AE20" i="7"/>
  <c r="AF20" i="7" s="1"/>
  <c r="AE747" i="7"/>
  <c r="AF747" i="7" s="1"/>
  <c r="AE852" i="7"/>
  <c r="AF852" i="7" s="1"/>
  <c r="AE309" i="7"/>
  <c r="AF309" i="7" s="1"/>
  <c r="AE160" i="7"/>
  <c r="AF160" i="7" s="1"/>
  <c r="AE389" i="7"/>
  <c r="AF389" i="7" s="1"/>
  <c r="AE707" i="7"/>
  <c r="AF707" i="7" s="1"/>
  <c r="AE670" i="7"/>
  <c r="AF670" i="7" s="1"/>
  <c r="AE440" i="7"/>
  <c r="AF440" i="7" s="1"/>
  <c r="AE698" i="7"/>
  <c r="AF698" i="7" s="1"/>
  <c r="AE714" i="7"/>
  <c r="AF714" i="7" s="1"/>
  <c r="AE351" i="7"/>
  <c r="AF351" i="7" s="1"/>
  <c r="AE516" i="7"/>
  <c r="AF516" i="7" s="1"/>
  <c r="AE652" i="7"/>
  <c r="AF652" i="7" s="1"/>
  <c r="AE831" i="7"/>
  <c r="AF831" i="7" s="1"/>
  <c r="AE571" i="7"/>
  <c r="AF571" i="7" s="1"/>
  <c r="AE243" i="7"/>
  <c r="AF243" i="7" s="1"/>
  <c r="AE640" i="7"/>
  <c r="AF640" i="7" s="1"/>
  <c r="AE439" i="7"/>
  <c r="AF439" i="7" s="1"/>
  <c r="AE198" i="7"/>
  <c r="AF198" i="7" s="1"/>
  <c r="AE40" i="7"/>
  <c r="AF40" i="7" s="1"/>
  <c r="AE294" i="7"/>
  <c r="AF294" i="7" s="1"/>
  <c r="AE819" i="7"/>
  <c r="AF819" i="7" s="1"/>
  <c r="AE758" i="7"/>
  <c r="AF758" i="7" s="1"/>
  <c r="AE105" i="7"/>
  <c r="AF105" i="7" s="1"/>
  <c r="AE398" i="7"/>
  <c r="AF398" i="7" s="1"/>
  <c r="AE454" i="7"/>
  <c r="AF454" i="7" s="1"/>
  <c r="AE118" i="7"/>
  <c r="AF118" i="7" s="1"/>
  <c r="AE693" i="7"/>
  <c r="AF693" i="7" s="1"/>
  <c r="AE75" i="7"/>
  <c r="AF75" i="7" s="1"/>
  <c r="AE109" i="7"/>
  <c r="AF109" i="7" s="1"/>
  <c r="AE495" i="7"/>
  <c r="AF495" i="7" s="1"/>
  <c r="AE101" i="7"/>
  <c r="AF101" i="7" s="1"/>
  <c r="AE485" i="7"/>
  <c r="AF485" i="7" s="1"/>
  <c r="AE696" i="7"/>
  <c r="AF696" i="7" s="1"/>
  <c r="AE430" i="7"/>
  <c r="AF430" i="7" s="1"/>
  <c r="AE482" i="7"/>
  <c r="AF482" i="7" s="1"/>
  <c r="AE528" i="7"/>
  <c r="AF528" i="7" s="1"/>
  <c r="AE531" i="7"/>
  <c r="AF531" i="7" s="1"/>
  <c r="AE66" i="7"/>
  <c r="AF66" i="7" s="1"/>
  <c r="AE284" i="7"/>
  <c r="AF284" i="7" s="1"/>
  <c r="AE487" i="7"/>
  <c r="AF487" i="7" s="1"/>
  <c r="AE441" i="7"/>
  <c r="AF441" i="7" s="1"/>
  <c r="AE18" i="7"/>
  <c r="AF18" i="7" s="1"/>
  <c r="AE609" i="7"/>
  <c r="AF609" i="7" s="1"/>
  <c r="AE649" i="7"/>
  <c r="AF649" i="7" s="1"/>
  <c r="AE140" i="7"/>
  <c r="AF140" i="7" s="1"/>
  <c r="AE547" i="7"/>
  <c r="AF547" i="7" s="1"/>
  <c r="AE370" i="7"/>
  <c r="AF370" i="7" s="1"/>
  <c r="AE293" i="7"/>
  <c r="AF293" i="7" s="1"/>
  <c r="AE87" i="7"/>
  <c r="AF87" i="7" s="1"/>
  <c r="AE644" i="7"/>
  <c r="AF644" i="7" s="1"/>
  <c r="AE434" i="7"/>
  <c r="AF434" i="7" s="1"/>
  <c r="AE240" i="7"/>
  <c r="AF240" i="7" s="1"/>
  <c r="AE393" i="7"/>
  <c r="AF393" i="7" s="1"/>
  <c r="AE264" i="7"/>
  <c r="AF264" i="7" s="1"/>
  <c r="AE318" i="7"/>
  <c r="AF318" i="7" s="1"/>
  <c r="AE834" i="7"/>
  <c r="AF834" i="7" s="1"/>
  <c r="AE665" i="7"/>
  <c r="AF665" i="7" s="1"/>
  <c r="AE437" i="7"/>
  <c r="AF437" i="7" s="1"/>
  <c r="AE262" i="7"/>
  <c r="AF262" i="7" s="1"/>
  <c r="AE338" i="7"/>
  <c r="AF338" i="7" s="1"/>
  <c r="AE708" i="7"/>
  <c r="AF708" i="7" s="1"/>
  <c r="AE843" i="7"/>
  <c r="AF843" i="7" s="1"/>
  <c r="AE390" i="7"/>
  <c r="AF390" i="7" s="1"/>
  <c r="AE180" i="7"/>
  <c r="AF180" i="7" s="1"/>
  <c r="AE713" i="7"/>
  <c r="AF713" i="7" s="1"/>
  <c r="AE472" i="7"/>
  <c r="AF472" i="7" s="1"/>
  <c r="AE244" i="7"/>
  <c r="AF244" i="7" s="1"/>
  <c r="AE767" i="7"/>
  <c r="AF767" i="7" s="1"/>
  <c r="AE795" i="7"/>
  <c r="AF795" i="7" s="1"/>
  <c r="AE127" i="7"/>
  <c r="AF127" i="7" s="1"/>
  <c r="AE748" i="7"/>
  <c r="AF748" i="7" s="1"/>
  <c r="AE510" i="7"/>
  <c r="AF510" i="7" s="1"/>
  <c r="AE182" i="7"/>
  <c r="AF182" i="7" s="1"/>
  <c r="AE410" i="7"/>
  <c r="AF410" i="7" s="1"/>
  <c r="AE230" i="7"/>
  <c r="AF230" i="7" s="1"/>
  <c r="AE376" i="7"/>
  <c r="AF376" i="7" s="1"/>
  <c r="AE794" i="7"/>
  <c r="AF794" i="7" s="1"/>
  <c r="AE26" i="7"/>
  <c r="AF26" i="7" s="1"/>
  <c r="AE785" i="7"/>
  <c r="AF785" i="7" s="1"/>
  <c r="AE438" i="7"/>
  <c r="AF438" i="7" s="1"/>
  <c r="AE863" i="7"/>
  <c r="AF863" i="7" s="1"/>
  <c r="AE573" i="7"/>
  <c r="AF573" i="7" s="1"/>
  <c r="AE129" i="7"/>
  <c r="AF129" i="7" s="1"/>
  <c r="AE32" i="7"/>
  <c r="AF32" i="7" s="1"/>
  <c r="AE409" i="7"/>
  <c r="AF409" i="7" s="1"/>
  <c r="AE79" i="7"/>
  <c r="AF79" i="7" s="1"/>
  <c r="AE423" i="7"/>
  <c r="AF423" i="7" s="1"/>
  <c r="AE181" i="7"/>
  <c r="AF181" i="7" s="1"/>
  <c r="AE28" i="7"/>
  <c r="AF28" i="7" s="1"/>
  <c r="AE578" i="7"/>
  <c r="AF578" i="7" s="1"/>
  <c r="AE346" i="7"/>
  <c r="AF346" i="7" s="1"/>
  <c r="AE311" i="7"/>
  <c r="AF311" i="7" s="1"/>
  <c r="AE195" i="7"/>
  <c r="AF195" i="7" s="1"/>
  <c r="AE473" i="7"/>
  <c r="AF473" i="7" s="1"/>
  <c r="AE178" i="7"/>
  <c r="AF178" i="7" s="1"/>
  <c r="AE124" i="7"/>
  <c r="AF124" i="7" s="1"/>
  <c r="AE726" i="7"/>
  <c r="AF726" i="7" s="1"/>
  <c r="AE593" i="7"/>
  <c r="AF593" i="7" s="1"/>
  <c r="AE43" i="7"/>
  <c r="AF43" i="7" s="1"/>
  <c r="AE499" i="7"/>
  <c r="AF499" i="7" s="1"/>
  <c r="AE567" i="7"/>
  <c r="AF567" i="7" s="1"/>
  <c r="AE117" i="7"/>
  <c r="AF117" i="7" s="1"/>
  <c r="AE824" i="7"/>
  <c r="AF824" i="7" s="1"/>
  <c r="AE469" i="7"/>
  <c r="AF469" i="7" s="1"/>
  <c r="AE371" i="7"/>
  <c r="AF371" i="7" s="1"/>
  <c r="AE448" i="7"/>
  <c r="AF448" i="7" s="1"/>
  <c r="AE470" i="7"/>
  <c r="AF470" i="7" s="1"/>
  <c r="AE92" i="7"/>
  <c r="AF92" i="7" s="1"/>
  <c r="AE335" i="7"/>
  <c r="AF335" i="7" s="1"/>
  <c r="AE677" i="7"/>
  <c r="AF677" i="7" s="1"/>
  <c r="AE637" i="7"/>
  <c r="AF637" i="7" s="1"/>
  <c r="AE513" i="7"/>
  <c r="AF513" i="7" s="1"/>
  <c r="AE292" i="7"/>
  <c r="AF292" i="7" s="1"/>
  <c r="AE464" i="7"/>
  <c r="AF464" i="7" s="1"/>
  <c r="AE197" i="7"/>
  <c r="AF197" i="7" s="1"/>
  <c r="AE194" i="7"/>
  <c r="AF194" i="7" s="1"/>
  <c r="AE229" i="7"/>
  <c r="AF229" i="7" s="1"/>
  <c r="AE703" i="7"/>
  <c r="AF703" i="7" s="1"/>
  <c r="AE424" i="7"/>
  <c r="AF424" i="7" s="1"/>
  <c r="AE699" i="7"/>
  <c r="AF699" i="7" s="1"/>
  <c r="AE359" i="7"/>
  <c r="AF359" i="7" s="1"/>
  <c r="AE56" i="7"/>
  <c r="AF56" i="7" s="1"/>
  <c r="AE306" i="7"/>
  <c r="AF306" i="7" s="1"/>
  <c r="AE635" i="7"/>
  <c r="AF635" i="7" s="1"/>
  <c r="AE854" i="7"/>
  <c r="AF854" i="7" s="1"/>
  <c r="AE799" i="7"/>
  <c r="AF799" i="7" s="1"/>
  <c r="AE341" i="7"/>
  <c r="AF341" i="7" s="1"/>
  <c r="AE186" i="7"/>
  <c r="AF186" i="7" s="1"/>
  <c r="AE391" i="7"/>
  <c r="AF391" i="7" s="1"/>
  <c r="AE627" i="7"/>
  <c r="AF627" i="7" s="1"/>
  <c r="AE14" i="7"/>
  <c r="AF14" i="7" s="1"/>
  <c r="AE724" i="7"/>
  <c r="AF724" i="7" s="1"/>
  <c r="AE771" i="7"/>
  <c r="AF771" i="7" s="1"/>
  <c r="AE64" i="7"/>
  <c r="AF64" i="7" s="1"/>
  <c r="AE648" i="7"/>
  <c r="AF648" i="7" s="1"/>
  <c r="AE139" i="7"/>
  <c r="AF139" i="7" s="1"/>
  <c r="AE735" i="7"/>
  <c r="AF735" i="7" s="1"/>
  <c r="AE737" i="7"/>
  <c r="AF737" i="7" s="1"/>
  <c r="AE384" i="7"/>
  <c r="AF384" i="7" s="1"/>
  <c r="AE569" i="7"/>
  <c r="AF569" i="7" s="1"/>
  <c r="AE168" i="7"/>
  <c r="AF168" i="7" s="1"/>
  <c r="AE734" i="7"/>
  <c r="AF734" i="7" s="1"/>
  <c r="AE856" i="7"/>
  <c r="AF856" i="7" s="1"/>
  <c r="AE310" i="7"/>
  <c r="AF310" i="7" s="1"/>
  <c r="AE542" i="7"/>
  <c r="AF542" i="7" s="1"/>
  <c r="AE345" i="7"/>
  <c r="AF345" i="7" s="1"/>
  <c r="AE24" i="7"/>
  <c r="AF24" i="7" s="1"/>
  <c r="AE497" i="7"/>
  <c r="AF497" i="7" s="1"/>
  <c r="AE775" i="7"/>
  <c r="AF775" i="7" s="1"/>
  <c r="AE397" i="7"/>
  <c r="AF397" i="7" s="1"/>
  <c r="AE361" i="7"/>
  <c r="AF361" i="7" s="1"/>
  <c r="AE22" i="7"/>
  <c r="AF22" i="7" s="1"/>
  <c r="AE86" i="7"/>
  <c r="AF86" i="7" s="1"/>
  <c r="AE606" i="7"/>
  <c r="AF606" i="7" s="1"/>
  <c r="AE162" i="7"/>
  <c r="AF162" i="7" s="1"/>
  <c r="AE25" i="7"/>
  <c r="AF25" i="7" s="1"/>
  <c r="AE144" i="7"/>
  <c r="AF144" i="7" s="1"/>
  <c r="AE822" i="7"/>
  <c r="AF822" i="7" s="1"/>
  <c r="AE690" i="7"/>
  <c r="AF690" i="7" s="1"/>
  <c r="AE687" i="7"/>
  <c r="AF687" i="7" s="1"/>
  <c r="AE702" i="7"/>
  <c r="AF702" i="7" s="1"/>
  <c r="AE261" i="7"/>
  <c r="AF261" i="7" s="1"/>
  <c r="AE805" i="7"/>
  <c r="AF805" i="7" s="1"/>
  <c r="AE710" i="7"/>
  <c r="AF710" i="7" s="1"/>
  <c r="AE331" i="7"/>
  <c r="AF331" i="7" s="1"/>
  <c r="AE461" i="7"/>
  <c r="AF461" i="7" s="1"/>
  <c r="AE478" i="7"/>
  <c r="AF478" i="7" s="1"/>
  <c r="AE777" i="7"/>
  <c r="AF777" i="7" s="1"/>
  <c r="AE752" i="7"/>
  <c r="AF752" i="7" s="1"/>
  <c r="AE501" i="7"/>
  <c r="AF501" i="7" s="1"/>
  <c r="AE506" i="7"/>
  <c r="AF506" i="7" s="1"/>
  <c r="AE27" i="7"/>
  <c r="AF27" i="7" s="1"/>
  <c r="AE134" i="7"/>
  <c r="AF134" i="7" s="1"/>
  <c r="AE228" i="7"/>
  <c r="AF228" i="7" s="1"/>
  <c r="AE429" i="7"/>
  <c r="AF429" i="7" s="1"/>
  <c r="AE302" i="7"/>
  <c r="AF302" i="7" s="1"/>
  <c r="AE19" i="7"/>
  <c r="AF19" i="7" s="1"/>
  <c r="AE643" i="7"/>
  <c r="AF643" i="7" s="1"/>
  <c r="AE522" i="7"/>
  <c r="AF522" i="7" s="1"/>
  <c r="AE830" i="7"/>
  <c r="AF830" i="7" s="1"/>
  <c r="AE865" i="7"/>
  <c r="AF865" i="7" s="1"/>
  <c r="AE826" i="7"/>
  <c r="AF826" i="7" s="1"/>
  <c r="AE814" i="7"/>
  <c r="AF814" i="7" s="1"/>
  <c r="AE541" i="7"/>
  <c r="AF541" i="7" s="1"/>
  <c r="AE53" i="7"/>
  <c r="AF53" i="7" s="1"/>
  <c r="AE74" i="7"/>
  <c r="AF74" i="7" s="1"/>
  <c r="AE642" i="7"/>
  <c r="AF642" i="7" s="1"/>
  <c r="AE827" i="7"/>
  <c r="AF827" i="7" s="1"/>
  <c r="AE365" i="7"/>
  <c r="AF365" i="7" s="1"/>
  <c r="AE770" i="7"/>
  <c r="AF770" i="7" s="1"/>
  <c r="AE619" i="7"/>
  <c r="AF619" i="7" s="1"/>
  <c r="AE444" i="7"/>
  <c r="AF444" i="7" s="1"/>
  <c r="AE823" i="7"/>
  <c r="AF823" i="7" s="1"/>
  <c r="AE252" i="7"/>
  <c r="AF252" i="7" s="1"/>
  <c r="AE110" i="7"/>
  <c r="AF110" i="7" s="1"/>
  <c r="AE529" i="7"/>
  <c r="AF529" i="7" s="1"/>
  <c r="AE614" i="7"/>
  <c r="AF614" i="7" s="1"/>
  <c r="AE552" i="7"/>
  <c r="AF552" i="7" s="1"/>
  <c r="AE551" i="7"/>
  <c r="AF551" i="7" s="1"/>
  <c r="AE507" i="7"/>
  <c r="AF507" i="7" s="1"/>
  <c r="AE568" i="7"/>
  <c r="AF568" i="7" s="1"/>
  <c r="AE592" i="7"/>
  <c r="AF592" i="7" s="1"/>
  <c r="AE290" i="7"/>
  <c r="AF290" i="7" s="1"/>
  <c r="AE146" i="7"/>
  <c r="AF146" i="7" s="1"/>
  <c r="AE718" i="7"/>
  <c r="AF718" i="7" s="1"/>
  <c r="AE706" i="7"/>
  <c r="AF706" i="7" s="1"/>
  <c r="AE705" i="7"/>
  <c r="AF705" i="7" s="1"/>
  <c r="AE494" i="7"/>
  <c r="AF494" i="7" s="1"/>
  <c r="AE851" i="7"/>
  <c r="AF851" i="7" s="1"/>
  <c r="AE508" i="7"/>
  <c r="AF508" i="7" s="1"/>
  <c r="AE158" i="7"/>
  <c r="AF158" i="7" s="1"/>
  <c r="AE668" i="7"/>
  <c r="AF668" i="7" s="1"/>
  <c r="AE425" i="7"/>
  <c r="AF425" i="7" s="1"/>
  <c r="AE615" i="7"/>
  <c r="AF615" i="7" s="1"/>
  <c r="AE868" i="7"/>
  <c r="AF868" i="7" s="1"/>
  <c r="AE857" i="7"/>
  <c r="AF857" i="7" s="1"/>
  <c r="AE152" i="7"/>
  <c r="AF152" i="7" s="1"/>
  <c r="AE446" i="7"/>
  <c r="AF446" i="7" s="1"/>
  <c r="AE286" i="7"/>
  <c r="AF286" i="7" s="1"/>
  <c r="AE502" i="7"/>
  <c r="AF502" i="7" s="1"/>
  <c r="AE115" i="7"/>
  <c r="AF115" i="7" s="1"/>
  <c r="AE812" i="7"/>
  <c r="AF812" i="7" s="1"/>
  <c r="AE297" i="7"/>
  <c r="AF297" i="7" s="1"/>
  <c r="AE779" i="7"/>
  <c r="AF779" i="7" s="1"/>
  <c r="AE237" i="7"/>
  <c r="AF237" i="7" s="1"/>
  <c r="AE613" i="7"/>
  <c r="AF613" i="7" s="1"/>
  <c r="AE143" i="7"/>
  <c r="AF143" i="7" s="1"/>
  <c r="AE836" i="7"/>
  <c r="AF836" i="7" s="1"/>
  <c r="AE669" i="7"/>
  <c r="AF669" i="7" s="1"/>
  <c r="AE561" i="7"/>
  <c r="AF561" i="7" s="1"/>
  <c r="AE838" i="7"/>
  <c r="AF838" i="7" s="1"/>
  <c r="AE362" i="7"/>
  <c r="AF362" i="7" s="1"/>
  <c r="AE605" i="7"/>
  <c r="AF605" i="7" s="1"/>
  <c r="AE103" i="7"/>
  <c r="AF103" i="7" s="1"/>
  <c r="AE414" i="7"/>
  <c r="AF414" i="7" s="1"/>
  <c r="AE754" i="7"/>
  <c r="AF754" i="7" s="1"/>
  <c r="AE172" i="7"/>
  <c r="AF172" i="7" s="1"/>
  <c r="AE433" i="7"/>
  <c r="AF433" i="7" s="1"/>
  <c r="AE807" i="7"/>
  <c r="AF807" i="7" s="1"/>
  <c r="AE136" i="7"/>
  <c r="AF136" i="7" s="1"/>
  <c r="AE575" i="7"/>
  <c r="AF575" i="7" s="1"/>
  <c r="AE90" i="7"/>
  <c r="AF90" i="7" s="1"/>
  <c r="AE159" i="7"/>
  <c r="AF159" i="7" s="1"/>
  <c r="AE102" i="7"/>
  <c r="AF102" i="7" s="1"/>
  <c r="AE768" i="7"/>
  <c r="AF768" i="7" s="1"/>
  <c r="AE13" i="7"/>
  <c r="AF13" i="7" s="1"/>
  <c r="AE549" i="7"/>
  <c r="AF549" i="7" s="1"/>
  <c r="AE21" i="7"/>
  <c r="AF21" i="7" s="1"/>
  <c r="AE147" i="7"/>
  <c r="AF147" i="7" s="1"/>
  <c r="AE442" i="7"/>
  <c r="AF442" i="7" s="1"/>
  <c r="AE323" i="7"/>
  <c r="AF323" i="7" s="1"/>
  <c r="AE839" i="7"/>
  <c r="AF839" i="7" s="1"/>
  <c r="AE546" i="7"/>
  <c r="AF546" i="7" s="1"/>
  <c r="AE870" i="7"/>
  <c r="AF870" i="7" s="1"/>
  <c r="AE596" i="7"/>
  <c r="AF596" i="7" s="1"/>
  <c r="AE80" i="7"/>
  <c r="AF80" i="7" s="1"/>
  <c r="AE122" i="7"/>
  <c r="AF122" i="7" s="1"/>
  <c r="AE631" i="7"/>
  <c r="AF631" i="7" s="1"/>
  <c r="AE719" i="7"/>
  <c r="AF719" i="7" s="1"/>
  <c r="AE722" i="7"/>
  <c r="AF722" i="7" s="1"/>
  <c r="AE774" i="7"/>
  <c r="AF774" i="7" s="1"/>
  <c r="AE72" i="7"/>
  <c r="AF72" i="7" s="1"/>
  <c r="AE98" i="7"/>
  <c r="AF98" i="7" s="1"/>
  <c r="AE731" i="7"/>
  <c r="AF731" i="7" s="1"/>
  <c r="AE597" i="7"/>
  <c r="AF597" i="7" s="1"/>
  <c r="AE484" i="7"/>
  <c r="AF484" i="7" s="1"/>
  <c r="AE565" i="7"/>
  <c r="AF565" i="7" s="1"/>
  <c r="AE54" i="7"/>
  <c r="AF54" i="7" s="1"/>
  <c r="AE545" i="7"/>
  <c r="AF545" i="7" s="1"/>
  <c r="AE403" i="7"/>
  <c r="AF403" i="7" s="1"/>
  <c r="AE867" i="7"/>
  <c r="AF867" i="7" s="1"/>
  <c r="AE273" i="7"/>
  <c r="AF273" i="7" s="1"/>
  <c r="AE780" i="7"/>
  <c r="AF780" i="7" s="1"/>
  <c r="AE205" i="7"/>
  <c r="AF205" i="7" s="1"/>
  <c r="AE386" i="7"/>
  <c r="AF386" i="7" s="1"/>
  <c r="AE149" i="7"/>
  <c r="AF149" i="7" s="1"/>
  <c r="AE319" i="7"/>
  <c r="AF319" i="7" s="1"/>
  <c r="AE657" i="7"/>
  <c r="AF657" i="7" s="1"/>
  <c r="AE332" i="7"/>
  <c r="AF332" i="7" s="1"/>
  <c r="AE138" i="7"/>
  <c r="AF138" i="7" s="1"/>
  <c r="AE304" i="7"/>
  <c r="AF304" i="7" s="1"/>
  <c r="AE789" i="7"/>
  <c r="AF789" i="7" s="1"/>
  <c r="AE536" i="7"/>
  <c r="AF536" i="7" s="1"/>
  <c r="AE579" i="7"/>
  <c r="AF579" i="7" s="1"/>
  <c r="AE717" i="7"/>
  <c r="AF717" i="7" s="1"/>
  <c r="AE8" i="7"/>
  <c r="AF8" i="7" s="1"/>
  <c r="AE245" i="7"/>
  <c r="AF245" i="7" s="1"/>
  <c r="AE236" i="7"/>
  <c r="AF236" i="7" s="1"/>
  <c r="AE256" i="7"/>
  <c r="AF256" i="7" s="1"/>
  <c r="AE583" i="7"/>
  <c r="AF583" i="7" s="1"/>
  <c r="AE196" i="7"/>
  <c r="AF196" i="7" s="1"/>
  <c r="AE846" i="7"/>
  <c r="AF846" i="7" s="1"/>
  <c r="AE111" i="7"/>
  <c r="AF111" i="7" s="1"/>
  <c r="AE791" i="7"/>
  <c r="AF791" i="7" s="1"/>
  <c r="AE763" i="7"/>
  <c r="AF763" i="7" s="1"/>
  <c r="AE100" i="7"/>
  <c r="AF100" i="7" s="1"/>
  <c r="AE630" i="7"/>
  <c r="AF630" i="7" s="1"/>
  <c r="AE89" i="7"/>
  <c r="AF89" i="7" s="1"/>
  <c r="AE618" i="7"/>
  <c r="AF618" i="7" s="1"/>
  <c r="AE681" i="7"/>
  <c r="AF681" i="7" s="1"/>
  <c r="AE51" i="7"/>
  <c r="AF51" i="7" s="1"/>
  <c r="AE385" i="7"/>
  <c r="AF385" i="7" s="1"/>
  <c r="AE137" i="7"/>
  <c r="AF137" i="7" s="1"/>
  <c r="AE349" i="7"/>
  <c r="AF349" i="7" s="1"/>
  <c r="AE558" i="7"/>
  <c r="AF558" i="7" s="1"/>
  <c r="AE632" i="7"/>
  <c r="AF632" i="7" s="1"/>
  <c r="AE741" i="7"/>
  <c r="AF741" i="7" s="1"/>
  <c r="AE107" i="7"/>
  <c r="AF107" i="7" s="1"/>
  <c r="AE334" i="7"/>
  <c r="AF334" i="7" s="1"/>
  <c r="AE191" i="7"/>
  <c r="AF191" i="7" s="1"/>
  <c r="AE527" i="7"/>
  <c r="AF527" i="7" s="1"/>
  <c r="AE329" i="7"/>
  <c r="AF329" i="7" s="1"/>
  <c r="AE216" i="7"/>
  <c r="AF216" i="7" s="1"/>
  <c r="AE521" i="7"/>
  <c r="AF521" i="7" s="1"/>
  <c r="AE858" i="7"/>
  <c r="AF858" i="7" s="1"/>
  <c r="AE465" i="7"/>
  <c r="AF465" i="7" s="1"/>
  <c r="AE179" i="7"/>
  <c r="AF179" i="7" s="1"/>
  <c r="AE587" i="7"/>
  <c r="AF587" i="7" s="1"/>
  <c r="AE374" i="7"/>
  <c r="AF374" i="7" s="1"/>
  <c r="AE148" i="7"/>
  <c r="AF148" i="7" s="1"/>
  <c r="AE220" i="7"/>
  <c r="AF220" i="7" s="1"/>
  <c r="AE381" i="7"/>
  <c r="AF381" i="7" s="1"/>
  <c r="AE730" i="7"/>
  <c r="AF730" i="7" s="1"/>
  <c r="AE727" i="7"/>
  <c r="AF727" i="7" s="1"/>
  <c r="AE847" i="7"/>
  <c r="AF847" i="7" s="1"/>
  <c r="AE790" i="7"/>
  <c r="AF790" i="7" s="1"/>
  <c r="AE308" i="7"/>
  <c r="AF308" i="7" s="1"/>
  <c r="AE193" i="7"/>
  <c r="AF193" i="7" s="1"/>
  <c r="AE44" i="7"/>
  <c r="AF44" i="7" s="1"/>
  <c r="AE320" i="7"/>
  <c r="AF320" i="7" s="1"/>
  <c r="AE634" i="7"/>
  <c r="AF634" i="7" s="1"/>
  <c r="AE864" i="7"/>
  <c r="AF864" i="7" s="1"/>
  <c r="AE474" i="7"/>
  <c r="AF474" i="7" s="1"/>
  <c r="AE715" i="7"/>
  <c r="AF715" i="7" s="1"/>
  <c r="AE544" i="7"/>
  <c r="AF544" i="7" s="1"/>
  <c r="AE833" i="7"/>
  <c r="AF833" i="7" s="1"/>
  <c r="AE428" i="7"/>
  <c r="AF428" i="7" s="1"/>
  <c r="AE289" i="7"/>
  <c r="AF289" i="7" s="1"/>
  <c r="AE765" i="7"/>
  <c r="AF765" i="7" s="1"/>
  <c r="AE154" i="7"/>
  <c r="AF154" i="7" s="1"/>
  <c r="AE322" i="7"/>
  <c r="AF322" i="7" s="1"/>
  <c r="AE369" i="7"/>
  <c r="AF369" i="7" s="1"/>
  <c r="AE695" i="7"/>
  <c r="AF695" i="7" s="1"/>
  <c r="AE11" i="7"/>
  <c r="AF11" i="7" s="1"/>
  <c r="AE58" i="7"/>
  <c r="AF58" i="7" s="1"/>
  <c r="AE343" i="7"/>
  <c r="AF343" i="7" s="1"/>
  <c r="AE445" i="7"/>
  <c r="AF445" i="7" s="1"/>
  <c r="AE249" i="7"/>
  <c r="AF249" i="7" s="1"/>
  <c r="AE600" i="7"/>
  <c r="AF600" i="7" s="1"/>
  <c r="AE588" i="7"/>
  <c r="AF588" i="7" s="1"/>
  <c r="AE723" i="7"/>
  <c r="AF723" i="7" s="1"/>
  <c r="AE820" i="7"/>
  <c r="AF820" i="7" s="1"/>
  <c r="AE753" i="7"/>
  <c r="AF753" i="7" s="1"/>
  <c r="AE133" i="7"/>
  <c r="AF133" i="7" s="1"/>
  <c r="AE88" i="7"/>
  <c r="AF88" i="7" s="1"/>
  <c r="AE509" i="7"/>
  <c r="AF509" i="7" s="1"/>
  <c r="AE760" i="7"/>
  <c r="AF760" i="7" s="1"/>
  <c r="AE81" i="7"/>
  <c r="AF81" i="7" s="1"/>
  <c r="AE255" i="7"/>
  <c r="AF255" i="7" s="1"/>
  <c r="AE267" i="7"/>
  <c r="AF267" i="7" s="1"/>
  <c r="AE778" i="7"/>
  <c r="AF778" i="7" s="1"/>
  <c r="AE581" i="7"/>
  <c r="AF581" i="7" s="1"/>
  <c r="AE656" i="7"/>
  <c r="AF656" i="7" s="1"/>
  <c r="AE356" i="7"/>
  <c r="AF356" i="7" s="1"/>
  <c r="AE225" i="7"/>
  <c r="AF225" i="7" s="1"/>
  <c r="AE784" i="7"/>
  <c r="AF784" i="7" s="1"/>
  <c r="AE660" i="7"/>
  <c r="AF660" i="7" s="1"/>
  <c r="AE210" i="7"/>
  <c r="AF210" i="7" s="1"/>
  <c r="AE680" i="7"/>
  <c r="AF680" i="7" s="1"/>
  <c r="AE755" i="7"/>
  <c r="AF755" i="7" s="1"/>
  <c r="AE813" i="7"/>
  <c r="AF813" i="7" s="1"/>
  <c r="AE164" i="7"/>
  <c r="AF164" i="7" s="1"/>
  <c r="AE688" i="7"/>
  <c r="AF688" i="7" s="1"/>
  <c r="AE512" i="7"/>
  <c r="AF512" i="7" s="1"/>
  <c r="AE574" i="7"/>
  <c r="AF574" i="7" s="1"/>
  <c r="AE539" i="7"/>
  <c r="AF539" i="7" s="1"/>
  <c r="AE208" i="7"/>
  <c r="AF208" i="7" s="1"/>
  <c r="AE82" i="7"/>
  <c r="AF82" i="7" s="1"/>
  <c r="AE661" i="7"/>
  <c r="AF661" i="7" s="1"/>
  <c r="AE313" i="7"/>
  <c r="AF313" i="7" s="1"/>
  <c r="AE213" i="7"/>
  <c r="AF213" i="7" s="1"/>
  <c r="AE242" i="7"/>
  <c r="AF242" i="7" s="1"/>
  <c r="AE682" i="7"/>
  <c r="AF682" i="7" s="1"/>
  <c r="AE287" i="7"/>
  <c r="AF287" i="7" s="1"/>
  <c r="AE671" i="7"/>
  <c r="AF671" i="7" s="1"/>
  <c r="AE258" i="7"/>
  <c r="AF258" i="7" s="1"/>
  <c r="AE598" i="7"/>
  <c r="AF598" i="7" s="1"/>
  <c r="AE801" i="7"/>
  <c r="AF801" i="7" s="1"/>
  <c r="AE233" i="7"/>
  <c r="AF233" i="7" s="1"/>
  <c r="AE616" i="7"/>
  <c r="AF616" i="7" s="1"/>
  <c r="AE563" i="7"/>
  <c r="AF563" i="7" s="1"/>
  <c r="AE436" i="7"/>
  <c r="AF436" i="7" s="1"/>
  <c r="AE787" i="7"/>
  <c r="AF787" i="7" s="1"/>
  <c r="AE427" i="7"/>
  <c r="AF427" i="7" s="1"/>
  <c r="AE34" i="7"/>
  <c r="AF34" i="7" s="1"/>
  <c r="AE577" i="7"/>
  <c r="AF577" i="7" s="1"/>
  <c r="AE15" i="7"/>
  <c r="AF15" i="7" s="1"/>
  <c r="AE491" i="7"/>
  <c r="AF491" i="7" s="1"/>
  <c r="AE402" i="7"/>
  <c r="AF402" i="7" s="1"/>
  <c r="AE519" i="7"/>
  <c r="AF519" i="7" s="1"/>
  <c r="AE772" i="7"/>
  <c r="AF772" i="7" s="1"/>
  <c r="AE853" i="7"/>
  <c r="AF853" i="7" s="1"/>
  <c r="AE744" i="7"/>
  <c r="AF744" i="7" s="1"/>
  <c r="AE757" i="7"/>
  <c r="AF757" i="7" s="1"/>
  <c r="AE564" i="7"/>
  <c r="AF564" i="7" s="1"/>
  <c r="AE202" i="7"/>
  <c r="AF202" i="7" s="1"/>
  <c r="AE604" i="7"/>
  <c r="AF604" i="7" s="1"/>
  <c r="AE610" i="7"/>
  <c r="AF610" i="7" s="1"/>
  <c r="AE108" i="7"/>
  <c r="AF108" i="7" s="1"/>
  <c r="AE459" i="7"/>
  <c r="AF459" i="7" s="1"/>
  <c r="AE113" i="7"/>
  <c r="AF113" i="7" s="1"/>
  <c r="AE503" i="7"/>
  <c r="AF503" i="7" s="1"/>
  <c r="AE586" i="7"/>
  <c r="AF586" i="7" s="1"/>
  <c r="AE725" i="7"/>
  <c r="AF725" i="7" s="1"/>
  <c r="AE400" i="7"/>
  <c r="AF400" i="7" s="1"/>
  <c r="AE183" i="7"/>
  <c r="AF183" i="7" s="1"/>
  <c r="AE832" i="7"/>
  <c r="AF832" i="7" s="1"/>
  <c r="AE585" i="7"/>
  <c r="AF585" i="7" s="1"/>
  <c r="AE733" i="7"/>
  <c r="AF733" i="7" s="1"/>
  <c r="AE457" i="7"/>
  <c r="AF457" i="7" s="1"/>
  <c r="AE263" i="7"/>
  <c r="AF263" i="7" s="1"/>
  <c r="AE303" i="7"/>
  <c r="AF303" i="7" s="1"/>
  <c r="AE533" i="7"/>
  <c r="AF533" i="7" s="1"/>
  <c r="AE762" i="7"/>
  <c r="AF762" i="7" s="1"/>
  <c r="AE678" i="7"/>
  <c r="AF678" i="7" s="1"/>
  <c r="AE407" i="7"/>
  <c r="AF407" i="7" s="1"/>
  <c r="AE525" i="7"/>
  <c r="AF525" i="7" s="1"/>
  <c r="AE275" i="7"/>
  <c r="AF275" i="7" s="1"/>
  <c r="AE184" i="7"/>
  <c r="AF184" i="7" s="1"/>
  <c r="AE354" i="7"/>
  <c r="AF354" i="7" s="1"/>
  <c r="AE443" i="7"/>
  <c r="AF443" i="7" s="1"/>
  <c r="AE653" i="7"/>
  <c r="AF653" i="7" s="1"/>
  <c r="AE330" i="7"/>
  <c r="AF330" i="7" s="1"/>
  <c r="AE279" i="7"/>
  <c r="AF279" i="7" s="1"/>
  <c r="AE736" i="7"/>
  <c r="AF736" i="7" s="1"/>
  <c r="AE328" i="7"/>
  <c r="AF328" i="7" s="1"/>
  <c r="AE828" i="7"/>
  <c r="AF828" i="7" s="1"/>
  <c r="AE150" i="7"/>
  <c r="AF150" i="7" s="1"/>
  <c r="AE417" i="7"/>
  <c r="AF417" i="7" s="1"/>
  <c r="AE135" i="7"/>
  <c r="AF135" i="7" s="1"/>
  <c r="AE672" i="7"/>
  <c r="AF672" i="7" s="1"/>
  <c r="AE333" i="7"/>
  <c r="AF333" i="7" s="1"/>
  <c r="AE746" i="7"/>
  <c r="AF746" i="7" s="1"/>
  <c r="AE679" i="7"/>
  <c r="AF679" i="7" s="1"/>
  <c r="AE664" i="7"/>
  <c r="AF664" i="7" s="1"/>
  <c r="AE518" i="7"/>
  <c r="AF518" i="7" s="1"/>
  <c r="AE30" i="7"/>
  <c r="AF30" i="7" s="1"/>
  <c r="AE280" i="7"/>
  <c r="AF280" i="7" s="1"/>
  <c r="AE704" i="7"/>
  <c r="AF704" i="7" s="1"/>
  <c r="AE404" i="7"/>
  <c r="AF404" i="7" s="1"/>
  <c r="AE742" i="7"/>
  <c r="AF742" i="7" s="1"/>
  <c r="AE559" i="7"/>
  <c r="AF559" i="7" s="1"/>
  <c r="AE759" i="7"/>
  <c r="AF759" i="7" s="1"/>
  <c r="AE167" i="7"/>
  <c r="AF167" i="7" s="1"/>
  <c r="AE848" i="7"/>
  <c r="AF848" i="7" s="1"/>
  <c r="AE514" i="7"/>
  <c r="AF514" i="7" s="1"/>
  <c r="AE817" i="7"/>
  <c r="AF817" i="7" s="1"/>
  <c r="AE45" i="7"/>
  <c r="AF45" i="7" s="1"/>
  <c r="AE829" i="7"/>
  <c r="AF829" i="7" s="1"/>
  <c r="AE203" i="7"/>
  <c r="AF203" i="7" s="1"/>
  <c r="AE550" i="7"/>
  <c r="AF550" i="7" s="1"/>
  <c r="AE340" i="7"/>
  <c r="AF340" i="7" s="1"/>
  <c r="AE809" i="7"/>
  <c r="AF809" i="7" s="1"/>
  <c r="AE764" i="7"/>
  <c r="AF764" i="7" s="1"/>
  <c r="AE283" i="7"/>
  <c r="AF283" i="7" s="1"/>
  <c r="AE844" i="7"/>
  <c r="AF844" i="7" s="1"/>
  <c r="AE582" i="7"/>
  <c r="AF582" i="7" s="1"/>
  <c r="AE523" i="7"/>
  <c r="AF523" i="7" s="1"/>
  <c r="AE749" i="7"/>
  <c r="AF749" i="7" s="1"/>
  <c r="AE35" i="7"/>
  <c r="AF35" i="7" s="1"/>
  <c r="AE452" i="7"/>
  <c r="AF452" i="7" s="1"/>
  <c r="AE554" i="7"/>
  <c r="AF554" i="7" s="1"/>
  <c r="AE524" i="7"/>
  <c r="AF524" i="7" s="1"/>
  <c r="AE83" i="7"/>
  <c r="AF83" i="7" s="1"/>
  <c r="AE645" i="7"/>
  <c r="AF645" i="7" s="1"/>
  <c r="AE761" i="7"/>
  <c r="AF761" i="7" s="1"/>
  <c r="AE200" i="7"/>
  <c r="AF200" i="7" s="1"/>
  <c r="AE342" i="7"/>
  <c r="AF342" i="7" s="1"/>
  <c r="AE367" i="7"/>
  <c r="AF367" i="7" s="1"/>
  <c r="AE701" i="7"/>
  <c r="AF701" i="7" s="1"/>
  <c r="AE298" i="7"/>
  <c r="AF298" i="7" s="1"/>
  <c r="AE387" i="7"/>
  <c r="AF387" i="7" s="1"/>
  <c r="AE17" i="7"/>
  <c r="AF17" i="7" s="1"/>
  <c r="AE84" i="7"/>
  <c r="AF84" i="7" s="1"/>
  <c r="AE201" i="7"/>
  <c r="AF201" i="7" s="1"/>
  <c r="AE285" i="7"/>
  <c r="AF285" i="7" s="1"/>
  <c r="AE462" i="7"/>
  <c r="AF462" i="7" s="1"/>
  <c r="AE291" i="7"/>
  <c r="AF291" i="7" s="1"/>
  <c r="AE628" i="7"/>
  <c r="AF628" i="7" s="1"/>
  <c r="AE295" i="7"/>
  <c r="AF295" i="7" s="1"/>
  <c r="AE209" i="7"/>
  <c r="AF209" i="7" s="1"/>
  <c r="AE174" i="7"/>
  <c r="AF174" i="7" s="1"/>
  <c r="AE800" i="7"/>
  <c r="AF800" i="7" s="1"/>
  <c r="AE187" i="7"/>
  <c r="AF187" i="7" s="1"/>
  <c r="AE647" i="7"/>
  <c r="AF647" i="7" s="1"/>
  <c r="AE602" i="7"/>
  <c r="AF602" i="7" s="1"/>
  <c r="AE312" i="7"/>
  <c r="AF312" i="7" s="1"/>
  <c r="AE825" i="7"/>
  <c r="AF825" i="7" s="1"/>
  <c r="AE500" i="7"/>
  <c r="AF500" i="7" s="1"/>
  <c r="AE212" i="7"/>
  <c r="AF212" i="7" s="1"/>
  <c r="AE344" i="7"/>
  <c r="AF344" i="7" s="1"/>
  <c r="Y568" i="7"/>
  <c r="Z568" i="7" s="1"/>
  <c r="Y592" i="7"/>
  <c r="Z592" i="7" s="1"/>
  <c r="Y290" i="7"/>
  <c r="Z290" i="7" s="1"/>
  <c r="Y146" i="7"/>
  <c r="Z146" i="7" s="1"/>
  <c r="Y718" i="7"/>
  <c r="Z718" i="7" s="1"/>
  <c r="Y706" i="7"/>
  <c r="Z706" i="7" s="1"/>
  <c r="Y705" i="7"/>
  <c r="Z705" i="7" s="1"/>
  <c r="Y494" i="7"/>
  <c r="Z494" i="7" s="1"/>
  <c r="Y851" i="7"/>
  <c r="Z851" i="7" s="1"/>
  <c r="Y508" i="7"/>
  <c r="Z508" i="7" s="1"/>
  <c r="Y158" i="7"/>
  <c r="Z158" i="7" s="1"/>
  <c r="Y668" i="7"/>
  <c r="Z668" i="7" s="1"/>
  <c r="Y425" i="7"/>
  <c r="Z425" i="7" s="1"/>
  <c r="Y615" i="7"/>
  <c r="Z615" i="7" s="1"/>
  <c r="Y868" i="7"/>
  <c r="Z868" i="7" s="1"/>
  <c r="Y857" i="7"/>
  <c r="Z857" i="7" s="1"/>
  <c r="Y152" i="7"/>
  <c r="Z152" i="7" s="1"/>
  <c r="Y446" i="7"/>
  <c r="Z446" i="7" s="1"/>
  <c r="Y286" i="7"/>
  <c r="Z286" i="7" s="1"/>
  <c r="Y502" i="7"/>
  <c r="Z502" i="7" s="1"/>
  <c r="Y115" i="7"/>
  <c r="Z115" i="7" s="1"/>
  <c r="Y812" i="7"/>
  <c r="Z812" i="7" s="1"/>
  <c r="Y297" i="7"/>
  <c r="Z297" i="7" s="1"/>
  <c r="Y779" i="7"/>
  <c r="Z779" i="7" s="1"/>
  <c r="Y237" i="7"/>
  <c r="Z237" i="7" s="1"/>
  <c r="Y613" i="7"/>
  <c r="Z613" i="7" s="1"/>
  <c r="Y143" i="7"/>
  <c r="Z143" i="7" s="1"/>
  <c r="Y836" i="7"/>
  <c r="Z836" i="7" s="1"/>
  <c r="Y209" i="7"/>
  <c r="Z209" i="7" s="1"/>
  <c r="Y459" i="7"/>
  <c r="Z459" i="7" s="1"/>
  <c r="Y784" i="7"/>
  <c r="Z784" i="7" s="1"/>
  <c r="Y138" i="7"/>
  <c r="Z138" i="7" s="1"/>
  <c r="Y216" i="7"/>
  <c r="Z216" i="7" s="1"/>
  <c r="Y328" i="7"/>
  <c r="Z328" i="7" s="1"/>
  <c r="Y154" i="7"/>
  <c r="Z154" i="7" s="1"/>
  <c r="Y577" i="7"/>
  <c r="Z577" i="7" s="1"/>
  <c r="Y303" i="7"/>
  <c r="Z303" i="7" s="1"/>
  <c r="Y680" i="7"/>
  <c r="Z680" i="7" s="1"/>
  <c r="Y536" i="7"/>
  <c r="Z536" i="7" s="1"/>
  <c r="Y858" i="7"/>
  <c r="Z858" i="7" s="1"/>
  <c r="Y285" i="7"/>
  <c r="Z285" i="7" s="1"/>
  <c r="Y695" i="7"/>
  <c r="Z695" i="7" s="1"/>
  <c r="Y704" i="7"/>
  <c r="Z704" i="7" s="1"/>
  <c r="Y809" i="7"/>
  <c r="Z809" i="7" s="1"/>
  <c r="Y164" i="7"/>
  <c r="Z164" i="7" s="1"/>
  <c r="Y587" i="7"/>
  <c r="Z587" i="7" s="1"/>
  <c r="Y58" i="7"/>
  <c r="Z58" i="7" s="1"/>
  <c r="Y402" i="7"/>
  <c r="Z402" i="7" s="1"/>
  <c r="Y762" i="7"/>
  <c r="Z762" i="7" s="1"/>
  <c r="Y236" i="7"/>
  <c r="Z236" i="7" s="1"/>
  <c r="Y367" i="7"/>
  <c r="Z367" i="7" s="1"/>
  <c r="Y249" i="7"/>
  <c r="Z249" i="7" s="1"/>
  <c r="Y415" i="7"/>
  <c r="Z415" i="7" s="1"/>
  <c r="Y380" i="7"/>
  <c r="Z380" i="7" s="1"/>
  <c r="Y584" i="7"/>
  <c r="Z584" i="7" s="1"/>
  <c r="Y601" i="7"/>
  <c r="Z601" i="7" s="1"/>
  <c r="Y548" i="7"/>
  <c r="Z548" i="7" s="1"/>
  <c r="Y38" i="7"/>
  <c r="Z38" i="7" s="1"/>
  <c r="Y511" i="7"/>
  <c r="Z511" i="7" s="1"/>
  <c r="Y383" i="7"/>
  <c r="Z383" i="7" s="1"/>
  <c r="Y46" i="7"/>
  <c r="Z46" i="7" s="1"/>
  <c r="Y740" i="7"/>
  <c r="Z740" i="7" s="1"/>
  <c r="Y411" i="7"/>
  <c r="Z411" i="7" s="1"/>
  <c r="Y422" i="7"/>
  <c r="Z422" i="7" s="1"/>
  <c r="Y57" i="7"/>
  <c r="Z57" i="7" s="1"/>
  <c r="Y686" i="7"/>
  <c r="Z686" i="7" s="1"/>
  <c r="Y673" i="7"/>
  <c r="Z673" i="7" s="1"/>
  <c r="Y570" i="7"/>
  <c r="Z570" i="7" s="1"/>
  <c r="Y449" i="7"/>
  <c r="Z449" i="7" s="1"/>
  <c r="Y277" i="7"/>
  <c r="Z277" i="7" s="1"/>
  <c r="Y496" i="7"/>
  <c r="Z496" i="7" s="1"/>
  <c r="Y132" i="7"/>
  <c r="Z132" i="7" s="1"/>
  <c r="Y419" i="7"/>
  <c r="Z419" i="7" s="1"/>
  <c r="Y623" i="7"/>
  <c r="Z623" i="7" s="1"/>
  <c r="Y401" i="7"/>
  <c r="Z401" i="7" s="1"/>
  <c r="Y466" i="7"/>
  <c r="Z466" i="7" s="1"/>
  <c r="Y622" i="7"/>
  <c r="Z622" i="7" s="1"/>
  <c r="Y377" i="7"/>
  <c r="Z377" i="7" s="1"/>
  <c r="Y663" i="7"/>
  <c r="Z663" i="7" s="1"/>
  <c r="Y540" i="7"/>
  <c r="Z540" i="7" s="1"/>
  <c r="Y140" i="7"/>
  <c r="Z140" i="7" s="1"/>
  <c r="Y547" i="7"/>
  <c r="Z547" i="7" s="1"/>
  <c r="Y370" i="7"/>
  <c r="Z370" i="7" s="1"/>
  <c r="Y293" i="7"/>
  <c r="Z293" i="7" s="1"/>
  <c r="Y87" i="7"/>
  <c r="Z87" i="7" s="1"/>
  <c r="Y644" i="7"/>
  <c r="Z644" i="7" s="1"/>
  <c r="Y434" i="7"/>
  <c r="Z434" i="7" s="1"/>
  <c r="Y240" i="7"/>
  <c r="Z240" i="7" s="1"/>
  <c r="Y393" i="7"/>
  <c r="Z393" i="7" s="1"/>
  <c r="Y264" i="7"/>
  <c r="Z264" i="7" s="1"/>
  <c r="Y318" i="7"/>
  <c r="Z318" i="7" s="1"/>
  <c r="Y834" i="7"/>
  <c r="Z834" i="7" s="1"/>
  <c r="Y665" i="7"/>
  <c r="Z665" i="7" s="1"/>
  <c r="Y437" i="7"/>
  <c r="Z437" i="7" s="1"/>
  <c r="Y262" i="7"/>
  <c r="Z262" i="7" s="1"/>
  <c r="Y338" i="7"/>
  <c r="Z338" i="7" s="1"/>
  <c r="Y708" i="7"/>
  <c r="Z708" i="7" s="1"/>
  <c r="Y843" i="7"/>
  <c r="Z843" i="7" s="1"/>
  <c r="Y390" i="7"/>
  <c r="Z390" i="7" s="1"/>
  <c r="Y180" i="7"/>
  <c r="Z180" i="7" s="1"/>
  <c r="Y713" i="7"/>
  <c r="Z713" i="7" s="1"/>
  <c r="Y472" i="7"/>
  <c r="Z472" i="7" s="1"/>
  <c r="Y244" i="7"/>
  <c r="Z244" i="7" s="1"/>
  <c r="Y767" i="7"/>
  <c r="Z767" i="7" s="1"/>
  <c r="Y795" i="7"/>
  <c r="Z795" i="7" s="1"/>
  <c r="Y127" i="7"/>
  <c r="Z127" i="7" s="1"/>
  <c r="Y748" i="7"/>
  <c r="Z748" i="7" s="1"/>
  <c r="Y510" i="7"/>
  <c r="Z510" i="7" s="1"/>
  <c r="Y182" i="7"/>
  <c r="Z182" i="7" s="1"/>
  <c r="Y410" i="7"/>
  <c r="Z410" i="7" s="1"/>
  <c r="Y230" i="7"/>
  <c r="Z230" i="7" s="1"/>
  <c r="Y376" i="7"/>
  <c r="Z376" i="7" s="1"/>
  <c r="Y282" i="7"/>
  <c r="Z282" i="7" s="1"/>
  <c r="Y676" i="7"/>
  <c r="Z676" i="7" s="1"/>
  <c r="Y658" i="7"/>
  <c r="Z658" i="7" s="1"/>
  <c r="Y125" i="7"/>
  <c r="Z125" i="7" s="1"/>
  <c r="Y165" i="7"/>
  <c r="Z165" i="7" s="1"/>
  <c r="Y418" i="7"/>
  <c r="Z418" i="7" s="1"/>
  <c r="Y855" i="7"/>
  <c r="Z855" i="7" s="1"/>
  <c r="Y166" i="7"/>
  <c r="Z166" i="7" s="1"/>
  <c r="Y796" i="7"/>
  <c r="Z796" i="7" s="1"/>
  <c r="Y555" i="7"/>
  <c r="Z555" i="7" s="1"/>
  <c r="Y580" i="7"/>
  <c r="Z580" i="7" s="1"/>
  <c r="Y504" i="7"/>
  <c r="Z504" i="7" s="1"/>
  <c r="Y42" i="7"/>
  <c r="Z42" i="7" s="1"/>
  <c r="Y60" i="7"/>
  <c r="Z60" i="7" s="1"/>
  <c r="Y838" i="7"/>
  <c r="Z838" i="7" s="1"/>
  <c r="Y366" i="7"/>
  <c r="Z366" i="7" s="1"/>
  <c r="Y20" i="7"/>
  <c r="Z20" i="7" s="1"/>
  <c r="Y747" i="7"/>
  <c r="Z747" i="7" s="1"/>
  <c r="Y852" i="7"/>
  <c r="Z852" i="7" s="1"/>
  <c r="Y309" i="7"/>
  <c r="Z309" i="7" s="1"/>
  <c r="Y160" i="7"/>
  <c r="Z160" i="7" s="1"/>
  <c r="Y389" i="7"/>
  <c r="Z389" i="7" s="1"/>
  <c r="Y707" i="7"/>
  <c r="Z707" i="7" s="1"/>
  <c r="Y670" i="7"/>
  <c r="Z670" i="7" s="1"/>
  <c r="Y440" i="7"/>
  <c r="Z440" i="7" s="1"/>
  <c r="Y698" i="7"/>
  <c r="Z698" i="7" s="1"/>
  <c r="Y714" i="7"/>
  <c r="Z714" i="7" s="1"/>
  <c r="Y351" i="7"/>
  <c r="Z351" i="7" s="1"/>
  <c r="Y516" i="7"/>
  <c r="Z516" i="7" s="1"/>
  <c r="Y652" i="7"/>
  <c r="Z652" i="7" s="1"/>
  <c r="Y831" i="7"/>
  <c r="Z831" i="7" s="1"/>
  <c r="Y571" i="7"/>
  <c r="Z571" i="7" s="1"/>
  <c r="Y243" i="7"/>
  <c r="Z243" i="7" s="1"/>
  <c r="Y640" i="7"/>
  <c r="Z640" i="7" s="1"/>
  <c r="Y439" i="7"/>
  <c r="Z439" i="7" s="1"/>
  <c r="Y198" i="7"/>
  <c r="Z198" i="7" s="1"/>
  <c r="Y40" i="7"/>
  <c r="Z40" i="7" s="1"/>
  <c r="Y294" i="7"/>
  <c r="Z294" i="7" s="1"/>
  <c r="Y819" i="7"/>
  <c r="Z819" i="7" s="1"/>
  <c r="Y758" i="7"/>
  <c r="Z758" i="7" s="1"/>
  <c r="Y105" i="7"/>
  <c r="Z105" i="7" s="1"/>
  <c r="Y398" i="7"/>
  <c r="Z398" i="7" s="1"/>
  <c r="Y454" i="7"/>
  <c r="Z454" i="7" s="1"/>
  <c r="Y118" i="7"/>
  <c r="Z118" i="7" s="1"/>
  <c r="Y693" i="7"/>
  <c r="Z693" i="7" s="1"/>
  <c r="Y75" i="7"/>
  <c r="Z75" i="7" s="1"/>
  <c r="Y109" i="7"/>
  <c r="Z109" i="7" s="1"/>
  <c r="Y495" i="7"/>
  <c r="Z495" i="7" s="1"/>
  <c r="Y101" i="7"/>
  <c r="Z101" i="7" s="1"/>
  <c r="Y485" i="7"/>
  <c r="Z485" i="7" s="1"/>
  <c r="Y696" i="7"/>
  <c r="Z696" i="7" s="1"/>
  <c r="Y430" i="7"/>
  <c r="Z430" i="7" s="1"/>
  <c r="Y482" i="7"/>
  <c r="Z482" i="7" s="1"/>
  <c r="Y528" i="7"/>
  <c r="Z528" i="7" s="1"/>
  <c r="Y531" i="7"/>
  <c r="Z531" i="7" s="1"/>
  <c r="Y66" i="7"/>
  <c r="Z66" i="7" s="1"/>
  <c r="Y284" i="7"/>
  <c r="Z284" i="7" s="1"/>
  <c r="Y487" i="7"/>
  <c r="Z487" i="7" s="1"/>
  <c r="Y441" i="7"/>
  <c r="Z441" i="7" s="1"/>
  <c r="Y18" i="7"/>
  <c r="Z18" i="7" s="1"/>
  <c r="Y609" i="7"/>
  <c r="Z609" i="7" s="1"/>
  <c r="Y649" i="7"/>
  <c r="Z649" i="7" s="1"/>
  <c r="Y854" i="7"/>
  <c r="Z854" i="7" s="1"/>
  <c r="Y341" i="7"/>
  <c r="Z341" i="7" s="1"/>
  <c r="Y391" i="7"/>
  <c r="Z391" i="7" s="1"/>
  <c r="Y14" i="7"/>
  <c r="Z14" i="7" s="1"/>
  <c r="Y724" i="7"/>
  <c r="Z724" i="7" s="1"/>
  <c r="Y64" i="7"/>
  <c r="Z64" i="7" s="1"/>
  <c r="Y139" i="7"/>
  <c r="Z139" i="7" s="1"/>
  <c r="Y737" i="7"/>
  <c r="Z737" i="7" s="1"/>
  <c r="Y569" i="7"/>
  <c r="Z569" i="7" s="1"/>
  <c r="Y734" i="7"/>
  <c r="Z734" i="7" s="1"/>
  <c r="Y310" i="7"/>
  <c r="Z310" i="7" s="1"/>
  <c r="Y345" i="7"/>
  <c r="Z345" i="7" s="1"/>
  <c r="Y497" i="7"/>
  <c r="Z497" i="7" s="1"/>
  <c r="Y397" i="7"/>
  <c r="Z397" i="7" s="1"/>
  <c r="Y22" i="7"/>
  <c r="Z22" i="7" s="1"/>
  <c r="Y606" i="7"/>
  <c r="Z606" i="7" s="1"/>
  <c r="Y256" i="7"/>
  <c r="Z256" i="7" s="1"/>
  <c r="Y12" i="7"/>
  <c r="Z12" i="7" s="1"/>
  <c r="Y794" i="7"/>
  <c r="Z794" i="7" s="1"/>
  <c r="Y26" i="7"/>
  <c r="Z26" i="7" s="1"/>
  <c r="Y785" i="7"/>
  <c r="Z785" i="7" s="1"/>
  <c r="Y438" i="7"/>
  <c r="Z438" i="7" s="1"/>
  <c r="Y863" i="7"/>
  <c r="Z863" i="7" s="1"/>
  <c r="Y573" i="7"/>
  <c r="Z573" i="7" s="1"/>
  <c r="Y129" i="7"/>
  <c r="Z129" i="7" s="1"/>
  <c r="Y32" i="7"/>
  <c r="Z32" i="7" s="1"/>
  <c r="Y409" i="7"/>
  <c r="Z409" i="7" s="1"/>
  <c r="Y79" i="7"/>
  <c r="Z79" i="7" s="1"/>
  <c r="Y423" i="7"/>
  <c r="Z423" i="7" s="1"/>
  <c r="Y181" i="7"/>
  <c r="Z181" i="7" s="1"/>
  <c r="Y28" i="7"/>
  <c r="Z28" i="7" s="1"/>
  <c r="Y578" i="7"/>
  <c r="Z578" i="7" s="1"/>
  <c r="Y346" i="7"/>
  <c r="Z346" i="7" s="1"/>
  <c r="Y311" i="7"/>
  <c r="Z311" i="7" s="1"/>
  <c r="Y195" i="7"/>
  <c r="Z195" i="7" s="1"/>
  <c r="Y473" i="7"/>
  <c r="Z473" i="7" s="1"/>
  <c r="Y178" i="7"/>
  <c r="Z178" i="7" s="1"/>
  <c r="Y124" i="7"/>
  <c r="Z124" i="7" s="1"/>
  <c r="Y726" i="7"/>
  <c r="Z726" i="7" s="1"/>
  <c r="Y593" i="7"/>
  <c r="Z593" i="7" s="1"/>
  <c r="Y43" i="7"/>
  <c r="Z43" i="7" s="1"/>
  <c r="Y499" i="7"/>
  <c r="Z499" i="7" s="1"/>
  <c r="Y567" i="7"/>
  <c r="Z567" i="7" s="1"/>
  <c r="Y117" i="7"/>
  <c r="Z117" i="7" s="1"/>
  <c r="Y824" i="7"/>
  <c r="Z824" i="7" s="1"/>
  <c r="Y469" i="7"/>
  <c r="Z469" i="7" s="1"/>
  <c r="Y371" i="7"/>
  <c r="Z371" i="7" s="1"/>
  <c r="Y448" i="7"/>
  <c r="Z448" i="7" s="1"/>
  <c r="Y470" i="7"/>
  <c r="Z470" i="7" s="1"/>
  <c r="Y92" i="7"/>
  <c r="Z92" i="7" s="1"/>
  <c r="Y335" i="7"/>
  <c r="Z335" i="7" s="1"/>
  <c r="Y677" i="7"/>
  <c r="Z677" i="7" s="1"/>
  <c r="Y637" i="7"/>
  <c r="Z637" i="7" s="1"/>
  <c r="Y513" i="7"/>
  <c r="Z513" i="7" s="1"/>
  <c r="Y292" i="7"/>
  <c r="Z292" i="7" s="1"/>
  <c r="Y464" i="7"/>
  <c r="Z464" i="7" s="1"/>
  <c r="Y197" i="7"/>
  <c r="Z197" i="7" s="1"/>
  <c r="Y194" i="7"/>
  <c r="Z194" i="7" s="1"/>
  <c r="Y229" i="7"/>
  <c r="Z229" i="7" s="1"/>
  <c r="Y703" i="7"/>
  <c r="Z703" i="7" s="1"/>
  <c r="Y424" i="7"/>
  <c r="Z424" i="7" s="1"/>
  <c r="Y699" i="7"/>
  <c r="Z699" i="7" s="1"/>
  <c r="Y359" i="7"/>
  <c r="Z359" i="7" s="1"/>
  <c r="Y56" i="7"/>
  <c r="Z56" i="7" s="1"/>
  <c r="Y306" i="7"/>
  <c r="Z306" i="7" s="1"/>
  <c r="Y332" i="7"/>
  <c r="Z332" i="7" s="1"/>
  <c r="Y212" i="7"/>
  <c r="Z212" i="7" s="1"/>
  <c r="Y789" i="7"/>
  <c r="Z789" i="7" s="1"/>
  <c r="Y828" i="7"/>
  <c r="Z828" i="7" s="1"/>
  <c r="Y369" i="7"/>
  <c r="Z369" i="7" s="1"/>
  <c r="Y717" i="7"/>
  <c r="Z717" i="7" s="1"/>
  <c r="Y174" i="7"/>
  <c r="Z174" i="7" s="1"/>
  <c r="Y764" i="7"/>
  <c r="Z764" i="7" s="1"/>
  <c r="Y245" i="7"/>
  <c r="Z245" i="7" s="1"/>
  <c r="Y445" i="7"/>
  <c r="Z445" i="7" s="1"/>
  <c r="Y561" i="7"/>
  <c r="Z561" i="7" s="1"/>
  <c r="Y595" i="7"/>
  <c r="Z595" i="7" s="1"/>
  <c r="Y25" i="7"/>
  <c r="Z25" i="7" s="1"/>
  <c r="Y144" i="7"/>
  <c r="Z144" i="7" s="1"/>
  <c r="Y822" i="7"/>
  <c r="Z822" i="7" s="1"/>
  <c r="Y690" i="7"/>
  <c r="Z690" i="7" s="1"/>
  <c r="Y687" i="7"/>
  <c r="Z687" i="7" s="1"/>
  <c r="Y702" i="7"/>
  <c r="Z702" i="7" s="1"/>
  <c r="Y261" i="7"/>
  <c r="Z261" i="7" s="1"/>
  <c r="Y805" i="7"/>
  <c r="Z805" i="7" s="1"/>
  <c r="Y710" i="7"/>
  <c r="Z710" i="7" s="1"/>
  <c r="Y331" i="7"/>
  <c r="Z331" i="7" s="1"/>
  <c r="Y461" i="7"/>
  <c r="Z461" i="7" s="1"/>
  <c r="Y478" i="7"/>
  <c r="Z478" i="7" s="1"/>
  <c r="Y777" i="7"/>
  <c r="Z777" i="7" s="1"/>
  <c r="Y752" i="7"/>
  <c r="Z752" i="7" s="1"/>
  <c r="Y501" i="7"/>
  <c r="Z501" i="7" s="1"/>
  <c r="Y506" i="7"/>
  <c r="Z506" i="7" s="1"/>
  <c r="Y27" i="7"/>
  <c r="Z27" i="7" s="1"/>
  <c r="Y134" i="7"/>
  <c r="Z134" i="7" s="1"/>
  <c r="Y228" i="7"/>
  <c r="Z228" i="7" s="1"/>
  <c r="Y429" i="7"/>
  <c r="Z429" i="7" s="1"/>
  <c r="Y302" i="7"/>
  <c r="Z302" i="7" s="1"/>
  <c r="Y19" i="7"/>
  <c r="Z19" i="7" s="1"/>
  <c r="Y643" i="7"/>
  <c r="Z643" i="7" s="1"/>
  <c r="Y522" i="7"/>
  <c r="Z522" i="7" s="1"/>
  <c r="Y830" i="7"/>
  <c r="Z830" i="7" s="1"/>
  <c r="Y865" i="7"/>
  <c r="Z865" i="7" s="1"/>
  <c r="Y826" i="7"/>
  <c r="Z826" i="7" s="1"/>
  <c r="Y814" i="7"/>
  <c r="Z814" i="7" s="1"/>
  <c r="Y541" i="7"/>
  <c r="Z541" i="7" s="1"/>
  <c r="Y53" i="7"/>
  <c r="Z53" i="7" s="1"/>
  <c r="Y74" i="7"/>
  <c r="Z74" i="7" s="1"/>
  <c r="Y642" i="7"/>
  <c r="Z642" i="7" s="1"/>
  <c r="Y827" i="7"/>
  <c r="Z827" i="7" s="1"/>
  <c r="Y365" i="7"/>
  <c r="Z365" i="7" s="1"/>
  <c r="Y770" i="7"/>
  <c r="Z770" i="7" s="1"/>
  <c r="Y619" i="7"/>
  <c r="Z619" i="7" s="1"/>
  <c r="Y444" i="7"/>
  <c r="Z444" i="7" s="1"/>
  <c r="Y823" i="7"/>
  <c r="Z823" i="7" s="1"/>
  <c r="Y252" i="7"/>
  <c r="Z252" i="7" s="1"/>
  <c r="Y110" i="7"/>
  <c r="Z110" i="7" s="1"/>
  <c r="Y529" i="7"/>
  <c r="Z529" i="7" s="1"/>
  <c r="Y614" i="7"/>
  <c r="Z614" i="7" s="1"/>
  <c r="Y552" i="7"/>
  <c r="Z552" i="7" s="1"/>
  <c r="Y551" i="7"/>
  <c r="Z551" i="7" s="1"/>
  <c r="Y507" i="7"/>
  <c r="Z507" i="7" s="1"/>
  <c r="Y527" i="7"/>
  <c r="Z527" i="7" s="1"/>
  <c r="Y602" i="7"/>
  <c r="Z602" i="7" s="1"/>
  <c r="Y660" i="7"/>
  <c r="Z660" i="7" s="1"/>
  <c r="Y503" i="7"/>
  <c r="Z503" i="7" s="1"/>
  <c r="Y280" i="7"/>
  <c r="Z280" i="7" s="1"/>
  <c r="Y755" i="7"/>
  <c r="Z755" i="7" s="1"/>
  <c r="Y465" i="7"/>
  <c r="Z465" i="7" s="1"/>
  <c r="Y491" i="7"/>
  <c r="Z491" i="7" s="1"/>
  <c r="Y688" i="7"/>
  <c r="Z688" i="7" s="1"/>
  <c r="Y374" i="7"/>
  <c r="Z374" i="7" s="1"/>
  <c r="Y725" i="7"/>
  <c r="Z725" i="7" s="1"/>
  <c r="Y742" i="7"/>
  <c r="Z742" i="7" s="1"/>
  <c r="Y574" i="7"/>
  <c r="Z574" i="7" s="1"/>
  <c r="Y583" i="7"/>
  <c r="Z583" i="7" s="1"/>
  <c r="Y381" i="7"/>
  <c r="Z381" i="7" s="1"/>
  <c r="Y462" i="7"/>
  <c r="Z462" i="7" s="1"/>
  <c r="Y400" i="7"/>
  <c r="Z400" i="7" s="1"/>
  <c r="Y588" i="7"/>
  <c r="Z588" i="7" s="1"/>
  <c r="Y559" i="7"/>
  <c r="Z559" i="7" s="1"/>
  <c r="Y582" i="7"/>
  <c r="Z582" i="7" s="1"/>
  <c r="Y661" i="7"/>
  <c r="Z661" i="7" s="1"/>
  <c r="Y111" i="7"/>
  <c r="Z111" i="7" s="1"/>
  <c r="Y847" i="7"/>
  <c r="Z847" i="7" s="1"/>
  <c r="Y672" i="7"/>
  <c r="Z672" i="7" s="1"/>
  <c r="Y312" i="7"/>
  <c r="Z312" i="7" s="1"/>
  <c r="Y820" i="7"/>
  <c r="Z820" i="7" s="1"/>
  <c r="Y772" i="7"/>
  <c r="Z772" i="7" s="1"/>
  <c r="Y242" i="7"/>
  <c r="Z242" i="7" s="1"/>
  <c r="Y193" i="7"/>
  <c r="Z193" i="7" s="1"/>
  <c r="Y701" i="7"/>
  <c r="Z701" i="7" s="1"/>
  <c r="Y848" i="7"/>
  <c r="Z848" i="7" s="1"/>
  <c r="Y749" i="7"/>
  <c r="Z749" i="7" s="1"/>
  <c r="Y89" i="7"/>
  <c r="Z89" i="7" s="1"/>
  <c r="Y44" i="7"/>
  <c r="Z44" i="7" s="1"/>
  <c r="Y628" i="7"/>
  <c r="Z628" i="7" s="1"/>
  <c r="Y88" i="7"/>
  <c r="Z88" i="7" s="1"/>
  <c r="Y757" i="7"/>
  <c r="Z757" i="7" s="1"/>
  <c r="Y598" i="7"/>
  <c r="Z598" i="7" s="1"/>
  <c r="Y51" i="7"/>
  <c r="Z51" i="7" s="1"/>
  <c r="Y634" i="7"/>
  <c r="Z634" i="7" s="1"/>
  <c r="Y825" i="7"/>
  <c r="Z825" i="7" s="1"/>
  <c r="Y81" i="7"/>
  <c r="Z81" i="7" s="1"/>
  <c r="Y45" i="7"/>
  <c r="Z45" i="7" s="1"/>
  <c r="Y554" i="7"/>
  <c r="Z554" i="7" s="1"/>
  <c r="Y616" i="7"/>
  <c r="Z616" i="7" s="1"/>
  <c r="Y349" i="7"/>
  <c r="Z349" i="7" s="1"/>
  <c r="Y664" i="7"/>
  <c r="Z664" i="7" s="1"/>
  <c r="Y201" i="7"/>
  <c r="Z201" i="7" s="1"/>
  <c r="Y778" i="7"/>
  <c r="Z778" i="7" s="1"/>
  <c r="Y604" i="7"/>
  <c r="Z604" i="7" s="1"/>
  <c r="Y653" i="7"/>
  <c r="Z653" i="7" s="1"/>
  <c r="Y436" i="7"/>
  <c r="Z436" i="7" s="1"/>
  <c r="Y741" i="7"/>
  <c r="Z741" i="7" s="1"/>
  <c r="Y544" i="7"/>
  <c r="Z544" i="7" s="1"/>
  <c r="Y647" i="7"/>
  <c r="Z647" i="7" s="1"/>
  <c r="Y733" i="7"/>
  <c r="Z733" i="7" s="1"/>
  <c r="Y656" i="7"/>
  <c r="Z656" i="7" s="1"/>
  <c r="Y550" i="7"/>
  <c r="Z550" i="7" s="1"/>
  <c r="Y645" i="7"/>
  <c r="Z645" i="7" s="1"/>
  <c r="Y427" i="7"/>
  <c r="Z427" i="7" s="1"/>
  <c r="Y191" i="7"/>
  <c r="Z191" i="7" s="1"/>
  <c r="Y289" i="7"/>
  <c r="Z289" i="7" s="1"/>
  <c r="Y114" i="7"/>
  <c r="Z114" i="7" s="1"/>
  <c r="Y316" i="7"/>
  <c r="Z316" i="7" s="1"/>
  <c r="Y576" i="7"/>
  <c r="Z576" i="7" s="1"/>
  <c r="Y479" i="7"/>
  <c r="Z479" i="7" s="1"/>
  <c r="Y61" i="7"/>
  <c r="Z61" i="7" s="1"/>
  <c r="Y782" i="7"/>
  <c r="Z782" i="7" s="1"/>
  <c r="Y388" i="7"/>
  <c r="Z388" i="7" s="1"/>
  <c r="Y241" i="7"/>
  <c r="Z241" i="7" s="1"/>
  <c r="Y37" i="7"/>
  <c r="Z37" i="7" s="1"/>
  <c r="Y667" i="7"/>
  <c r="Z667" i="7" s="1"/>
  <c r="Y278" i="7"/>
  <c r="Z278" i="7" s="1"/>
  <c r="Y808" i="7"/>
  <c r="Z808" i="7" s="1"/>
  <c r="Y141" i="7"/>
  <c r="Z141" i="7" s="1"/>
  <c r="Y669" i="7"/>
  <c r="Z669" i="7" s="1"/>
  <c r="Y432" i="7"/>
  <c r="Z432" i="7" s="1"/>
  <c r="Y539" i="7"/>
  <c r="Z539" i="7" s="1"/>
  <c r="Y17" i="7"/>
  <c r="Z17" i="7" s="1"/>
  <c r="Y600" i="7"/>
  <c r="Z600" i="7" s="1"/>
  <c r="Y407" i="7"/>
  <c r="Z407" i="7" s="1"/>
  <c r="Y82" i="7"/>
  <c r="Z82" i="7" s="1"/>
  <c r="Y846" i="7"/>
  <c r="Z846" i="7" s="1"/>
  <c r="Y727" i="7"/>
  <c r="Z727" i="7" s="1"/>
  <c r="Y800" i="7"/>
  <c r="Z800" i="7" s="1"/>
  <c r="Y183" i="7"/>
  <c r="Z183" i="7" s="1"/>
  <c r="Y759" i="7"/>
  <c r="Z759" i="7" s="1"/>
  <c r="Y523" i="7"/>
  <c r="Z523" i="7" s="1"/>
  <c r="Y213" i="7"/>
  <c r="Z213" i="7" s="1"/>
  <c r="Y763" i="7"/>
  <c r="Z763" i="7" s="1"/>
  <c r="Y308" i="7"/>
  <c r="Z308" i="7" s="1"/>
  <c r="Y333" i="7"/>
  <c r="Z333" i="7" s="1"/>
  <c r="Y853" i="7"/>
  <c r="Z853" i="7" s="1"/>
  <c r="Y275" i="7"/>
  <c r="Z275" i="7" s="1"/>
  <c r="Y287" i="7"/>
  <c r="Z287" i="7" s="1"/>
  <c r="Y630" i="7"/>
  <c r="Z630" i="7" s="1"/>
  <c r="Y832" i="7"/>
  <c r="Z832" i="7" s="1"/>
  <c r="Y514" i="7"/>
  <c r="Z514" i="7" s="1"/>
  <c r="Y35" i="7"/>
  <c r="Z35" i="7" s="1"/>
  <c r="Y258" i="7"/>
  <c r="Z258" i="7" s="1"/>
  <c r="Y681" i="7"/>
  <c r="Z681" i="7" s="1"/>
  <c r="Y760" i="7"/>
  <c r="Z760" i="7" s="1"/>
  <c r="Y564" i="7"/>
  <c r="Z564" i="7" s="1"/>
  <c r="Y354" i="7"/>
  <c r="Z354" i="7" s="1"/>
  <c r="Y233" i="7"/>
  <c r="Z233" i="7" s="1"/>
  <c r="Y137" i="7"/>
  <c r="Z137" i="7" s="1"/>
  <c r="Y474" i="7"/>
  <c r="Z474" i="7" s="1"/>
  <c r="Y298" i="7"/>
  <c r="Z298" i="7" s="1"/>
  <c r="Y585" i="7"/>
  <c r="Z585" i="7" s="1"/>
  <c r="Y267" i="7"/>
  <c r="Z267" i="7" s="1"/>
  <c r="Y829" i="7"/>
  <c r="Z829" i="7" s="1"/>
  <c r="Y524" i="7"/>
  <c r="Z524" i="7" s="1"/>
  <c r="Y632" i="7"/>
  <c r="Z632" i="7" s="1"/>
  <c r="Y715" i="7"/>
  <c r="Z715" i="7" s="1"/>
  <c r="Y518" i="7"/>
  <c r="Z518" i="7" s="1"/>
  <c r="Y295" i="7"/>
  <c r="Z295" i="7" s="1"/>
  <c r="Y610" i="7"/>
  <c r="Z610" i="7" s="1"/>
  <c r="Y330" i="7"/>
  <c r="Z330" i="7" s="1"/>
  <c r="Y334" i="7"/>
  <c r="Z334" i="7" s="1"/>
  <c r="Y428" i="7"/>
  <c r="Z428" i="7" s="1"/>
  <c r="Y500" i="7"/>
  <c r="Z500" i="7" s="1"/>
  <c r="Y457" i="7"/>
  <c r="Z457" i="7" s="1"/>
  <c r="Y225" i="7"/>
  <c r="Z225" i="7" s="1"/>
  <c r="Y799" i="7"/>
  <c r="Z799" i="7" s="1"/>
  <c r="Y186" i="7"/>
  <c r="Z186" i="7" s="1"/>
  <c r="Y627" i="7"/>
  <c r="Z627" i="7" s="1"/>
  <c r="Y771" i="7"/>
  <c r="Z771" i="7" s="1"/>
  <c r="Y648" i="7"/>
  <c r="Z648" i="7" s="1"/>
  <c r="Y735" i="7"/>
  <c r="Z735" i="7" s="1"/>
  <c r="Y384" i="7"/>
  <c r="Z384" i="7" s="1"/>
  <c r="Y168" i="7"/>
  <c r="Z168" i="7" s="1"/>
  <c r="Y856" i="7"/>
  <c r="Z856" i="7" s="1"/>
  <c r="Y542" i="7"/>
  <c r="Z542" i="7" s="1"/>
  <c r="Y24" i="7"/>
  <c r="Z24" i="7" s="1"/>
  <c r="Y775" i="7"/>
  <c r="Z775" i="7" s="1"/>
  <c r="Y361" i="7"/>
  <c r="Z361" i="7" s="1"/>
  <c r="Y86" i="7"/>
  <c r="Z86" i="7" s="1"/>
  <c r="Y526" i="7"/>
  <c r="Z526" i="7" s="1"/>
  <c r="Y162" i="7"/>
  <c r="Z162" i="7" s="1"/>
  <c r="Y417" i="7"/>
  <c r="Z417" i="7" s="1"/>
  <c r="Y362" i="7"/>
  <c r="Z362" i="7" s="1"/>
  <c r="Y605" i="7"/>
  <c r="Z605" i="7" s="1"/>
  <c r="Y103" i="7"/>
  <c r="Z103" i="7" s="1"/>
  <c r="Y414" i="7"/>
  <c r="Z414" i="7" s="1"/>
  <c r="Y754" i="7"/>
  <c r="Z754" i="7" s="1"/>
  <c r="Y172" i="7"/>
  <c r="Z172" i="7" s="1"/>
  <c r="Y433" i="7"/>
  <c r="Z433" i="7" s="1"/>
  <c r="Y807" i="7"/>
  <c r="Z807" i="7" s="1"/>
  <c r="Y136" i="7"/>
  <c r="Z136" i="7" s="1"/>
  <c r="Y575" i="7"/>
  <c r="Z575" i="7" s="1"/>
  <c r="Y90" i="7"/>
  <c r="Z90" i="7" s="1"/>
  <c r="Y159" i="7"/>
  <c r="Z159" i="7" s="1"/>
  <c r="Y102" i="7"/>
  <c r="Z102" i="7" s="1"/>
  <c r="Y768" i="7"/>
  <c r="Z768" i="7" s="1"/>
  <c r="Y13" i="7"/>
  <c r="Z13" i="7" s="1"/>
  <c r="Y549" i="7"/>
  <c r="Z549" i="7" s="1"/>
  <c r="Y21" i="7"/>
  <c r="Z21" i="7" s="1"/>
  <c r="Y147" i="7"/>
  <c r="Z147" i="7" s="1"/>
  <c r="Y442" i="7"/>
  <c r="Z442" i="7" s="1"/>
  <c r="Y323" i="7"/>
  <c r="Z323" i="7" s="1"/>
  <c r="Y839" i="7"/>
  <c r="Z839" i="7" s="1"/>
  <c r="Y546" i="7"/>
  <c r="Z546" i="7" s="1"/>
  <c r="Y870" i="7"/>
  <c r="Z870" i="7" s="1"/>
  <c r="Y596" i="7"/>
  <c r="Z596" i="7" s="1"/>
  <c r="Y80" i="7"/>
  <c r="Z80" i="7" s="1"/>
  <c r="Y122" i="7"/>
  <c r="Z122" i="7" s="1"/>
  <c r="Y631" i="7"/>
  <c r="Z631" i="7" s="1"/>
  <c r="Y719" i="7"/>
  <c r="Z719" i="7" s="1"/>
  <c r="Y722" i="7"/>
  <c r="Z722" i="7" s="1"/>
  <c r="Y774" i="7"/>
  <c r="Z774" i="7" s="1"/>
  <c r="Y72" i="7"/>
  <c r="Z72" i="7" s="1"/>
  <c r="Y98" i="7"/>
  <c r="Z98" i="7" s="1"/>
  <c r="Y731" i="7"/>
  <c r="Z731" i="7" s="1"/>
  <c r="Y597" i="7"/>
  <c r="Z597" i="7" s="1"/>
  <c r="Y484" i="7"/>
  <c r="Z484" i="7" s="1"/>
  <c r="Y565" i="7"/>
  <c r="Z565" i="7" s="1"/>
  <c r="Y54" i="7"/>
  <c r="Z54" i="7" s="1"/>
  <c r="Y545" i="7"/>
  <c r="Z545" i="7" s="1"/>
  <c r="Y403" i="7"/>
  <c r="Z403" i="7" s="1"/>
  <c r="Y867" i="7"/>
  <c r="Z867" i="7" s="1"/>
  <c r="Y273" i="7"/>
  <c r="Z273" i="7" s="1"/>
  <c r="Y780" i="7"/>
  <c r="Z780" i="7" s="1"/>
  <c r="Y205" i="7"/>
  <c r="Z205" i="7" s="1"/>
  <c r="Y386" i="7"/>
  <c r="Z386" i="7" s="1"/>
  <c r="Y149" i="7"/>
  <c r="Z149" i="7" s="1"/>
  <c r="Y319" i="7"/>
  <c r="Z319" i="7" s="1"/>
  <c r="Y657" i="7"/>
  <c r="Z657" i="7" s="1"/>
  <c r="Y635" i="7"/>
  <c r="Z635" i="7" s="1"/>
  <c r="Y329" i="7"/>
  <c r="Z329" i="7" s="1"/>
  <c r="Y113" i="7"/>
  <c r="Z113" i="7" s="1"/>
  <c r="Y210" i="7"/>
  <c r="Z210" i="7" s="1"/>
  <c r="Y521" i="7"/>
  <c r="Z521" i="7" s="1"/>
  <c r="Y387" i="7"/>
  <c r="Z387" i="7" s="1"/>
  <c r="Y15" i="7"/>
  <c r="Z15" i="7" s="1"/>
  <c r="Y813" i="7"/>
  <c r="Z813" i="7" s="1"/>
  <c r="Y179" i="7"/>
  <c r="Z179" i="7" s="1"/>
  <c r="Y586" i="7"/>
  <c r="Z586" i="7" s="1"/>
  <c r="Y404" i="7"/>
  <c r="Z404" i="7" s="1"/>
  <c r="Y512" i="7"/>
  <c r="Z512" i="7" s="1"/>
  <c r="Y148" i="7"/>
  <c r="Z148" i="7" s="1"/>
  <c r="Y761" i="7"/>
  <c r="Z761" i="7" s="1"/>
  <c r="Y73" i="7"/>
  <c r="Z73" i="7" s="1"/>
  <c r="Y678" i="7"/>
  <c r="Z678" i="7" s="1"/>
  <c r="Y844" i="7"/>
  <c r="Z844" i="7" s="1"/>
  <c r="Y208" i="7"/>
  <c r="Z208" i="7" s="1"/>
  <c r="Y196" i="7"/>
  <c r="Z196" i="7" s="1"/>
  <c r="Y730" i="7"/>
  <c r="Z730" i="7" s="1"/>
  <c r="Y135" i="7"/>
  <c r="Z135" i="7" s="1"/>
  <c r="Y723" i="7"/>
  <c r="Z723" i="7" s="1"/>
  <c r="Y519" i="7"/>
  <c r="Z519" i="7" s="1"/>
  <c r="Y525" i="7"/>
  <c r="Z525" i="7" s="1"/>
  <c r="Y313" i="7"/>
  <c r="Z313" i="7" s="1"/>
  <c r="Y791" i="7"/>
  <c r="Z791" i="7" s="1"/>
  <c r="Y790" i="7"/>
  <c r="Z790" i="7" s="1"/>
  <c r="Y753" i="7"/>
  <c r="Z753" i="7" s="1"/>
  <c r="Y167" i="7"/>
  <c r="Z167" i="7" s="1"/>
  <c r="Y682" i="7"/>
  <c r="Z682" i="7" s="1"/>
  <c r="Y100" i="7"/>
  <c r="Z100" i="7" s="1"/>
  <c r="Y746" i="7"/>
  <c r="Z746" i="7" s="1"/>
  <c r="Y84" i="7"/>
  <c r="Z84" i="7" s="1"/>
  <c r="Y133" i="7"/>
  <c r="Z133" i="7" s="1"/>
  <c r="Y744" i="7"/>
  <c r="Z744" i="7" s="1"/>
  <c r="Y184" i="7"/>
  <c r="Z184" i="7" s="1"/>
  <c r="Y671" i="7"/>
  <c r="Z671" i="7" s="1"/>
  <c r="Y618" i="7"/>
  <c r="Z618" i="7" s="1"/>
  <c r="Y320" i="7"/>
  <c r="Z320" i="7" s="1"/>
  <c r="Y187" i="7"/>
  <c r="Z187" i="7" s="1"/>
  <c r="Y509" i="7"/>
  <c r="Z509" i="7" s="1"/>
  <c r="Y817" i="7"/>
  <c r="Z817" i="7" s="1"/>
  <c r="Y452" i="7"/>
  <c r="Z452" i="7" s="1"/>
  <c r="Y801" i="7"/>
  <c r="Z801" i="7" s="1"/>
  <c r="Y385" i="7"/>
  <c r="Z385" i="7" s="1"/>
  <c r="Y864" i="7"/>
  <c r="Z864" i="7" s="1"/>
  <c r="Y679" i="7"/>
  <c r="Z679" i="7" s="1"/>
  <c r="Y200" i="7"/>
  <c r="Z200" i="7" s="1"/>
  <c r="Y255" i="7"/>
  <c r="Z255" i="7" s="1"/>
  <c r="Y202" i="7"/>
  <c r="Z202" i="7" s="1"/>
  <c r="Y443" i="7"/>
  <c r="Z443" i="7" s="1"/>
  <c r="Y563" i="7"/>
  <c r="Z563" i="7" s="1"/>
  <c r="Y558" i="7"/>
  <c r="Z558" i="7" s="1"/>
  <c r="Y291" i="7"/>
  <c r="Z291" i="7" s="1"/>
  <c r="Y581" i="7"/>
  <c r="Z581" i="7" s="1"/>
  <c r="Y203" i="7"/>
  <c r="Z203" i="7" s="1"/>
  <c r="Y83" i="7"/>
  <c r="Z83" i="7" s="1"/>
  <c r="Y787" i="7"/>
  <c r="Z787" i="7" s="1"/>
  <c r="Y107" i="7"/>
  <c r="Z107" i="7" s="1"/>
  <c r="Y833" i="7"/>
  <c r="Z833" i="7" s="1"/>
  <c r="Y30" i="7"/>
  <c r="Z30" i="7" s="1"/>
  <c r="Y356" i="7"/>
  <c r="Z356" i="7" s="1"/>
  <c r="Y108" i="7"/>
  <c r="Z108" i="7" s="1"/>
  <c r="Y279" i="7"/>
  <c r="Z279" i="7" s="1"/>
  <c r="Y736" i="7"/>
  <c r="Z736" i="7" s="1"/>
  <c r="Y150" i="7"/>
  <c r="Z150" i="7" s="1"/>
  <c r="Y220" i="7"/>
  <c r="Z220" i="7" s="1"/>
  <c r="Y729" i="7"/>
  <c r="Z729" i="7" s="1"/>
  <c r="Y416" i="7"/>
  <c r="Z416" i="7" s="1"/>
  <c r="Y364" i="7"/>
  <c r="Z364" i="7" s="1"/>
  <c r="Y798" i="7"/>
  <c r="Z798" i="7" s="1"/>
  <c r="Y173" i="7"/>
  <c r="Z173" i="7" s="1"/>
  <c r="Y816" i="7"/>
  <c r="Z816" i="7" s="1"/>
  <c r="Y426" i="7"/>
  <c r="Z426" i="7" s="1"/>
  <c r="Y765" i="7"/>
  <c r="Z765" i="7" s="1"/>
  <c r="Y11" i="7"/>
  <c r="Z11" i="7" s="1"/>
  <c r="Y272" i="7"/>
  <c r="Z272" i="7" s="1"/>
  <c r="Y29" i="7"/>
  <c r="Z29" i="7" s="1"/>
  <c r="Y560" i="7"/>
  <c r="Z560" i="7" s="1"/>
  <c r="Y685" i="7"/>
  <c r="Z685" i="7" s="1"/>
  <c r="Y515" i="7"/>
  <c r="Z515" i="7" s="1"/>
  <c r="Y405" i="7"/>
  <c r="Z405" i="7" s="1"/>
  <c r="Y451" i="7"/>
  <c r="Z451" i="7" s="1"/>
  <c r="Y97" i="7"/>
  <c r="Z97" i="7" s="1"/>
  <c r="Y263" i="7"/>
  <c r="Z263" i="7" s="1"/>
  <c r="Y533" i="7"/>
  <c r="Z533" i="7" s="1"/>
  <c r="Y363" i="7"/>
  <c r="Z363" i="7" s="1"/>
  <c r="Y435" i="7"/>
  <c r="Z435" i="7" s="1"/>
  <c r="Y372" i="7"/>
  <c r="Z372" i="7" s="1"/>
  <c r="Y9" i="7"/>
  <c r="Z9" i="7" s="1"/>
  <c r="Y802" i="7"/>
  <c r="Z802" i="7" s="1"/>
  <c r="Y85" i="7"/>
  <c r="Z85" i="7" s="1"/>
  <c r="Y756" i="7"/>
  <c r="Z756" i="7" s="1"/>
  <c r="Y304" i="7"/>
  <c r="Z304" i="7" s="1"/>
  <c r="Y8" i="7"/>
  <c r="Z8" i="7" s="1"/>
  <c r="Y477" i="7"/>
  <c r="Z477" i="7" s="1"/>
  <c r="Y151" i="7"/>
  <c r="Z151" i="7" s="1"/>
  <c r="Y190" i="7"/>
  <c r="Z190" i="7" s="1"/>
  <c r="Y67" i="7"/>
  <c r="Z67" i="7" s="1"/>
  <c r="Y621" i="7"/>
  <c r="Z621" i="7" s="1"/>
  <c r="Y716" i="7"/>
  <c r="Z716" i="7" s="1"/>
  <c r="Y161" i="7"/>
  <c r="Z161" i="7" s="1"/>
  <c r="Y342" i="7"/>
  <c r="Z342" i="7" s="1"/>
  <c r="Y344" i="7"/>
  <c r="Z344" i="7" s="1"/>
  <c r="Y226" i="7"/>
  <c r="Z226" i="7" s="1"/>
  <c r="Y268" i="7"/>
  <c r="Z268" i="7" s="1"/>
  <c r="Y219" i="7"/>
  <c r="Z219" i="7" s="1"/>
  <c r="Y721" i="7"/>
  <c r="Z721" i="7" s="1"/>
  <c r="Y350" i="7"/>
  <c r="Z350" i="7" s="1"/>
  <c r="Y322" i="7"/>
  <c r="Z322" i="7" s="1"/>
  <c r="Y343" i="7"/>
  <c r="Z343" i="7" s="1"/>
  <c r="Y611" i="7"/>
  <c r="Z611" i="7" s="1"/>
  <c r="Y222" i="7"/>
  <c r="Z222" i="7" s="1"/>
  <c r="Y837" i="7"/>
  <c r="Z837" i="7" s="1"/>
  <c r="Y375" i="7"/>
  <c r="Z375" i="7" s="1"/>
  <c r="Y250" i="7"/>
  <c r="Z250" i="7" s="1"/>
  <c r="Y207" i="7"/>
  <c r="Z207" i="7" s="1"/>
  <c r="Y629" i="7"/>
  <c r="Z629" i="7" s="1"/>
  <c r="Y340" i="7"/>
  <c r="Z340" i="7" s="1"/>
  <c r="Y283" i="7"/>
  <c r="Z283" i="7" s="1"/>
  <c r="Y128" i="7"/>
  <c r="Z128" i="7" s="1"/>
  <c r="Y666" i="7"/>
  <c r="Z666" i="7" s="1"/>
  <c r="Y607" i="7"/>
  <c r="Z607" i="7" s="1"/>
  <c r="Y399" i="7"/>
  <c r="Z399" i="7" s="1"/>
  <c r="Y76" i="7"/>
  <c r="Z76" i="7" s="1"/>
  <c r="Y68" i="7"/>
  <c r="Z68" i="7" s="1"/>
  <c r="Y70" i="7"/>
  <c r="Z70" i="7" s="1"/>
  <c r="Y325" i="7"/>
  <c r="Z325" i="7" s="1"/>
  <c r="Y34" i="7"/>
  <c r="Z34" i="7" s="1"/>
  <c r="Y773" i="7"/>
  <c r="Z773" i="7" s="1"/>
  <c r="Y579" i="7"/>
  <c r="Z579" i="7" s="1"/>
  <c r="Y532" i="7"/>
  <c r="Z532" i="7" s="1"/>
  <c r="Y169" i="7"/>
  <c r="Z169" i="7" s="1"/>
  <c r="Y259" i="7"/>
  <c r="Z259" i="7" s="1"/>
  <c r="Y806" i="7"/>
  <c r="Z806" i="7" s="1"/>
  <c r="S377" i="7"/>
  <c r="T377" i="7" s="1"/>
  <c r="S663" i="7"/>
  <c r="T663" i="7" s="1"/>
  <c r="S540" i="7"/>
  <c r="T540" i="7" s="1"/>
  <c r="S114" i="7"/>
  <c r="T114" i="7" s="1"/>
  <c r="S282" i="7"/>
  <c r="T282" i="7" s="1"/>
  <c r="S316" i="7"/>
  <c r="T316" i="7" s="1"/>
  <c r="S676" i="7"/>
  <c r="T676" i="7" s="1"/>
  <c r="S576" i="7"/>
  <c r="T576" i="7" s="1"/>
  <c r="S658" i="7"/>
  <c r="T658" i="7" s="1"/>
  <c r="S479" i="7"/>
  <c r="T479" i="7" s="1"/>
  <c r="S125" i="7"/>
  <c r="T125" i="7" s="1"/>
  <c r="S61" i="7"/>
  <c r="T61" i="7" s="1"/>
  <c r="S782" i="7"/>
  <c r="T782" i="7" s="1"/>
  <c r="S165" i="7"/>
  <c r="T165" i="7" s="1"/>
  <c r="S388" i="7"/>
  <c r="T388" i="7" s="1"/>
  <c r="S418" i="7"/>
  <c r="T418" i="7" s="1"/>
  <c r="S241" i="7"/>
  <c r="T241" i="7" s="1"/>
  <c r="S855" i="7"/>
  <c r="T855" i="7" s="1"/>
  <c r="S166" i="7"/>
  <c r="T166" i="7" s="1"/>
  <c r="S37" i="7"/>
  <c r="T37" i="7" s="1"/>
  <c r="S796" i="7"/>
  <c r="T796" i="7" s="1"/>
  <c r="S667" i="7"/>
  <c r="T667" i="7" s="1"/>
  <c r="S555" i="7"/>
  <c r="T555" i="7" s="1"/>
  <c r="S278" i="7"/>
  <c r="T278" i="7" s="1"/>
  <c r="S580" i="7"/>
  <c r="T580" i="7" s="1"/>
  <c r="S808" i="7"/>
  <c r="T808" i="7" s="1"/>
  <c r="S504" i="7"/>
  <c r="T504" i="7" s="1"/>
  <c r="S42" i="7"/>
  <c r="T42" i="7" s="1"/>
  <c r="S141" i="7"/>
  <c r="T141" i="7" s="1"/>
  <c r="S60" i="7"/>
  <c r="T60" i="7" s="1"/>
  <c r="S73" i="7"/>
  <c r="T73" i="7" s="1"/>
  <c r="S432" i="7"/>
  <c r="T432" i="7" s="1"/>
  <c r="S595" i="7"/>
  <c r="T595" i="7" s="1"/>
  <c r="S366" i="7"/>
  <c r="T366" i="7" s="1"/>
  <c r="S20" i="7"/>
  <c r="T20" i="7" s="1"/>
  <c r="S747" i="7"/>
  <c r="T747" i="7" s="1"/>
  <c r="S852" i="7"/>
  <c r="T852" i="7" s="1"/>
  <c r="S309" i="7"/>
  <c r="T309" i="7" s="1"/>
  <c r="S160" i="7"/>
  <c r="T160" i="7" s="1"/>
  <c r="S389" i="7"/>
  <c r="T389" i="7" s="1"/>
  <c r="S707" i="7"/>
  <c r="T707" i="7" s="1"/>
  <c r="S670" i="7"/>
  <c r="T670" i="7" s="1"/>
  <c r="S440" i="7"/>
  <c r="T440" i="7" s="1"/>
  <c r="S698" i="7"/>
  <c r="T698" i="7" s="1"/>
  <c r="S714" i="7"/>
  <c r="T714" i="7" s="1"/>
  <c r="S351" i="7"/>
  <c r="T351" i="7" s="1"/>
  <c r="S516" i="7"/>
  <c r="T516" i="7" s="1"/>
  <c r="S652" i="7"/>
  <c r="T652" i="7" s="1"/>
  <c r="S831" i="7"/>
  <c r="T831" i="7" s="1"/>
  <c r="S571" i="7"/>
  <c r="T571" i="7" s="1"/>
  <c r="S243" i="7"/>
  <c r="T243" i="7" s="1"/>
  <c r="S640" i="7"/>
  <c r="T640" i="7" s="1"/>
  <c r="S439" i="7"/>
  <c r="T439" i="7" s="1"/>
  <c r="S198" i="7"/>
  <c r="T198" i="7" s="1"/>
  <c r="S40" i="7"/>
  <c r="T40" i="7" s="1"/>
  <c r="S294" i="7"/>
  <c r="T294" i="7" s="1"/>
  <c r="S819" i="7"/>
  <c r="T819" i="7" s="1"/>
  <c r="S758" i="7"/>
  <c r="T758" i="7" s="1"/>
  <c r="S105" i="7"/>
  <c r="T105" i="7" s="1"/>
  <c r="S398" i="7"/>
  <c r="T398" i="7" s="1"/>
  <c r="S454" i="7"/>
  <c r="T454" i="7" s="1"/>
  <c r="S118" i="7"/>
  <c r="T118" i="7" s="1"/>
  <c r="S693" i="7"/>
  <c r="T693" i="7" s="1"/>
  <c r="S75" i="7"/>
  <c r="T75" i="7" s="1"/>
  <c r="S109" i="7"/>
  <c r="T109" i="7" s="1"/>
  <c r="S495" i="7"/>
  <c r="T495" i="7" s="1"/>
  <c r="S101" i="7"/>
  <c r="T101" i="7" s="1"/>
  <c r="S485" i="7"/>
  <c r="T485" i="7" s="1"/>
  <c r="S696" i="7"/>
  <c r="T696" i="7" s="1"/>
  <c r="S430" i="7"/>
  <c r="T430" i="7" s="1"/>
  <c r="S482" i="7"/>
  <c r="T482" i="7" s="1"/>
  <c r="S528" i="7"/>
  <c r="T528" i="7" s="1"/>
  <c r="S531" i="7"/>
  <c r="T531" i="7" s="1"/>
  <c r="S66" i="7"/>
  <c r="T66" i="7" s="1"/>
  <c r="S284" i="7"/>
  <c r="T284" i="7" s="1"/>
  <c r="S487" i="7"/>
  <c r="T487" i="7" s="1"/>
  <c r="S441" i="7"/>
  <c r="T441" i="7" s="1"/>
  <c r="S18" i="7"/>
  <c r="T18" i="7" s="1"/>
  <c r="S609" i="7"/>
  <c r="T609" i="7" s="1"/>
  <c r="S649" i="7"/>
  <c r="T649" i="7" s="1"/>
  <c r="S140" i="7"/>
  <c r="T140" i="7" s="1"/>
  <c r="S547" i="7"/>
  <c r="T547" i="7" s="1"/>
  <c r="S370" i="7"/>
  <c r="T370" i="7" s="1"/>
  <c r="S293" i="7"/>
  <c r="T293" i="7" s="1"/>
  <c r="S87" i="7"/>
  <c r="T87" i="7" s="1"/>
  <c r="S644" i="7"/>
  <c r="T644" i="7" s="1"/>
  <c r="S434" i="7"/>
  <c r="T434" i="7" s="1"/>
  <c r="S240" i="7"/>
  <c r="T240" i="7" s="1"/>
  <c r="S393" i="7"/>
  <c r="T393" i="7" s="1"/>
  <c r="S264" i="7"/>
  <c r="T264" i="7" s="1"/>
  <c r="S318" i="7"/>
  <c r="T318" i="7" s="1"/>
  <c r="S834" i="7"/>
  <c r="T834" i="7" s="1"/>
  <c r="S665" i="7"/>
  <c r="T665" i="7" s="1"/>
  <c r="S437" i="7"/>
  <c r="T437" i="7" s="1"/>
  <c r="S262" i="7"/>
  <c r="T262" i="7" s="1"/>
  <c r="S338" i="7"/>
  <c r="T338" i="7" s="1"/>
  <c r="S708" i="7"/>
  <c r="T708" i="7" s="1"/>
  <c r="S843" i="7"/>
  <c r="T843" i="7" s="1"/>
  <c r="S390" i="7"/>
  <c r="T390" i="7" s="1"/>
  <c r="S180" i="7"/>
  <c r="T180" i="7" s="1"/>
  <c r="S713" i="7"/>
  <c r="T713" i="7" s="1"/>
  <c r="S472" i="7"/>
  <c r="T472" i="7" s="1"/>
  <c r="S244" i="7"/>
  <c r="T244" i="7" s="1"/>
  <c r="S767" i="7"/>
  <c r="T767" i="7" s="1"/>
  <c r="S795" i="7"/>
  <c r="T795" i="7" s="1"/>
  <c r="S127" i="7"/>
  <c r="T127" i="7" s="1"/>
  <c r="S748" i="7"/>
  <c r="T748" i="7" s="1"/>
  <c r="S510" i="7"/>
  <c r="T510" i="7" s="1"/>
  <c r="S182" i="7"/>
  <c r="T182" i="7" s="1"/>
  <c r="S410" i="7"/>
  <c r="T410" i="7" s="1"/>
  <c r="S230" i="7"/>
  <c r="T230" i="7" s="1"/>
  <c r="S376" i="7"/>
  <c r="T376" i="7" s="1"/>
  <c r="S794" i="7"/>
  <c r="T794" i="7" s="1"/>
  <c r="S26" i="7"/>
  <c r="T26" i="7" s="1"/>
  <c r="S785" i="7"/>
  <c r="T785" i="7" s="1"/>
  <c r="S438" i="7"/>
  <c r="T438" i="7" s="1"/>
  <c r="S863" i="7"/>
  <c r="T863" i="7" s="1"/>
  <c r="S573" i="7"/>
  <c r="T573" i="7" s="1"/>
  <c r="S129" i="7"/>
  <c r="T129" i="7" s="1"/>
  <c r="S32" i="7"/>
  <c r="T32" i="7" s="1"/>
  <c r="S409" i="7"/>
  <c r="T409" i="7" s="1"/>
  <c r="S79" i="7"/>
  <c r="T79" i="7" s="1"/>
  <c r="S423" i="7"/>
  <c r="T423" i="7" s="1"/>
  <c r="S181" i="7"/>
  <c r="T181" i="7" s="1"/>
  <c r="S28" i="7"/>
  <c r="T28" i="7" s="1"/>
  <c r="S578" i="7"/>
  <c r="T578" i="7" s="1"/>
  <c r="S346" i="7"/>
  <c r="T346" i="7" s="1"/>
  <c r="S311" i="7"/>
  <c r="T311" i="7" s="1"/>
  <c r="S195" i="7"/>
  <c r="T195" i="7" s="1"/>
  <c r="S473" i="7"/>
  <c r="T473" i="7" s="1"/>
  <c r="S178" i="7"/>
  <c r="T178" i="7" s="1"/>
  <c r="S124" i="7"/>
  <c r="T124" i="7" s="1"/>
  <c r="S726" i="7"/>
  <c r="T726" i="7" s="1"/>
  <c r="S593" i="7"/>
  <c r="T593" i="7" s="1"/>
  <c r="S43" i="7"/>
  <c r="T43" i="7" s="1"/>
  <c r="S499" i="7"/>
  <c r="T499" i="7" s="1"/>
  <c r="S567" i="7"/>
  <c r="T567" i="7" s="1"/>
  <c r="S117" i="7"/>
  <c r="T117" i="7" s="1"/>
  <c r="S824" i="7"/>
  <c r="T824" i="7" s="1"/>
  <c r="S469" i="7"/>
  <c r="T469" i="7" s="1"/>
  <c r="S371" i="7"/>
  <c r="T371" i="7" s="1"/>
  <c r="S448" i="7"/>
  <c r="T448" i="7" s="1"/>
  <c r="S470" i="7"/>
  <c r="T470" i="7" s="1"/>
  <c r="S92" i="7"/>
  <c r="T92" i="7" s="1"/>
  <c r="S335" i="7"/>
  <c r="T335" i="7" s="1"/>
  <c r="S677" i="7"/>
  <c r="T677" i="7" s="1"/>
  <c r="S637" i="7"/>
  <c r="T637" i="7" s="1"/>
  <c r="S513" i="7"/>
  <c r="T513" i="7" s="1"/>
  <c r="S292" i="7"/>
  <c r="T292" i="7" s="1"/>
  <c r="S464" i="7"/>
  <c r="T464" i="7" s="1"/>
  <c r="S197" i="7"/>
  <c r="T197" i="7" s="1"/>
  <c r="S194" i="7"/>
  <c r="T194" i="7" s="1"/>
  <c r="S229" i="7"/>
  <c r="T229" i="7" s="1"/>
  <c r="S703" i="7"/>
  <c r="T703" i="7" s="1"/>
  <c r="S424" i="7"/>
  <c r="T424" i="7" s="1"/>
  <c r="S699" i="7"/>
  <c r="T699" i="7" s="1"/>
  <c r="S359" i="7"/>
  <c r="T359" i="7" s="1"/>
  <c r="S56" i="7"/>
  <c r="T56" i="7" s="1"/>
  <c r="S306" i="7"/>
  <c r="T306" i="7" s="1"/>
  <c r="S635" i="7"/>
  <c r="T635" i="7" s="1"/>
  <c r="S854" i="7"/>
  <c r="T854" i="7" s="1"/>
  <c r="S799" i="7"/>
  <c r="T799" i="7" s="1"/>
  <c r="S341" i="7"/>
  <c r="T341" i="7" s="1"/>
  <c r="S186" i="7"/>
  <c r="T186" i="7" s="1"/>
  <c r="S391" i="7"/>
  <c r="T391" i="7" s="1"/>
  <c r="S627" i="7"/>
  <c r="T627" i="7" s="1"/>
  <c r="S14" i="7"/>
  <c r="T14" i="7" s="1"/>
  <c r="S724" i="7"/>
  <c r="T724" i="7" s="1"/>
  <c r="S771" i="7"/>
  <c r="T771" i="7" s="1"/>
  <c r="S64" i="7"/>
  <c r="T64" i="7" s="1"/>
  <c r="S648" i="7"/>
  <c r="T648" i="7" s="1"/>
  <c r="S139" i="7"/>
  <c r="T139" i="7" s="1"/>
  <c r="S735" i="7"/>
  <c r="T735" i="7" s="1"/>
  <c r="S737" i="7"/>
  <c r="T737" i="7" s="1"/>
  <c r="S384" i="7"/>
  <c r="T384" i="7" s="1"/>
  <c r="S569" i="7"/>
  <c r="T569" i="7" s="1"/>
  <c r="S168" i="7"/>
  <c r="T168" i="7" s="1"/>
  <c r="S734" i="7"/>
  <c r="T734" i="7" s="1"/>
  <c r="S856" i="7"/>
  <c r="T856" i="7" s="1"/>
  <c r="S310" i="7"/>
  <c r="T310" i="7" s="1"/>
  <c r="S542" i="7"/>
  <c r="T542" i="7" s="1"/>
  <c r="S345" i="7"/>
  <c r="T345" i="7" s="1"/>
  <c r="S24" i="7"/>
  <c r="T24" i="7" s="1"/>
  <c r="S497" i="7"/>
  <c r="T497" i="7" s="1"/>
  <c r="S775" i="7"/>
  <c r="T775" i="7" s="1"/>
  <c r="S397" i="7"/>
  <c r="T397" i="7" s="1"/>
  <c r="S361" i="7"/>
  <c r="T361" i="7" s="1"/>
  <c r="S22" i="7"/>
  <c r="T22" i="7" s="1"/>
  <c r="S86" i="7"/>
  <c r="T86" i="7" s="1"/>
  <c r="S606" i="7"/>
  <c r="T606" i="7" s="1"/>
  <c r="S162" i="7"/>
  <c r="T162" i="7" s="1"/>
  <c r="S25" i="7"/>
  <c r="T25" i="7" s="1"/>
  <c r="S144" i="7"/>
  <c r="T144" i="7" s="1"/>
  <c r="S822" i="7"/>
  <c r="T822" i="7" s="1"/>
  <c r="S690" i="7"/>
  <c r="T690" i="7" s="1"/>
  <c r="S687" i="7"/>
  <c r="T687" i="7" s="1"/>
  <c r="S702" i="7"/>
  <c r="T702" i="7" s="1"/>
  <c r="S261" i="7"/>
  <c r="T261" i="7" s="1"/>
  <c r="S805" i="7"/>
  <c r="T805" i="7" s="1"/>
  <c r="S710" i="7"/>
  <c r="T710" i="7" s="1"/>
  <c r="S331" i="7"/>
  <c r="T331" i="7" s="1"/>
  <c r="S461" i="7"/>
  <c r="T461" i="7" s="1"/>
  <c r="S478" i="7"/>
  <c r="T478" i="7" s="1"/>
  <c r="S777" i="7"/>
  <c r="T777" i="7" s="1"/>
  <c r="S752" i="7"/>
  <c r="T752" i="7" s="1"/>
  <c r="S501" i="7"/>
  <c r="T501" i="7" s="1"/>
  <c r="S506" i="7"/>
  <c r="T506" i="7" s="1"/>
  <c r="S27" i="7"/>
  <c r="T27" i="7" s="1"/>
  <c r="S134" i="7"/>
  <c r="T134" i="7" s="1"/>
  <c r="S228" i="7"/>
  <c r="T228" i="7" s="1"/>
  <c r="S429" i="7"/>
  <c r="T429" i="7" s="1"/>
  <c r="S302" i="7"/>
  <c r="T302" i="7" s="1"/>
  <c r="S19" i="7"/>
  <c r="T19" i="7" s="1"/>
  <c r="S643" i="7"/>
  <c r="T643" i="7" s="1"/>
  <c r="S522" i="7"/>
  <c r="T522" i="7" s="1"/>
  <c r="S830" i="7"/>
  <c r="T830" i="7" s="1"/>
  <c r="S865" i="7"/>
  <c r="T865" i="7" s="1"/>
  <c r="S826" i="7"/>
  <c r="T826" i="7" s="1"/>
  <c r="S814" i="7"/>
  <c r="T814" i="7" s="1"/>
  <c r="S541" i="7"/>
  <c r="T541" i="7" s="1"/>
  <c r="S53" i="7"/>
  <c r="T53" i="7" s="1"/>
  <c r="S74" i="7"/>
  <c r="T74" i="7" s="1"/>
  <c r="S642" i="7"/>
  <c r="T642" i="7" s="1"/>
  <c r="S827" i="7"/>
  <c r="T827" i="7" s="1"/>
  <c r="S365" i="7"/>
  <c r="T365" i="7" s="1"/>
  <c r="S770" i="7"/>
  <c r="T770" i="7" s="1"/>
  <c r="S619" i="7"/>
  <c r="T619" i="7" s="1"/>
  <c r="S444" i="7"/>
  <c r="T444" i="7" s="1"/>
  <c r="S823" i="7"/>
  <c r="T823" i="7" s="1"/>
  <c r="S252" i="7"/>
  <c r="T252" i="7" s="1"/>
  <c r="S110" i="7"/>
  <c r="T110" i="7" s="1"/>
  <c r="S529" i="7"/>
  <c r="T529" i="7" s="1"/>
  <c r="S614" i="7"/>
  <c r="T614" i="7" s="1"/>
  <c r="S552" i="7"/>
  <c r="T552" i="7" s="1"/>
  <c r="S551" i="7"/>
  <c r="T551" i="7" s="1"/>
  <c r="S507" i="7"/>
  <c r="T507" i="7" s="1"/>
  <c r="S289" i="7"/>
  <c r="T289" i="7" s="1"/>
  <c r="S34" i="7"/>
  <c r="T34" i="7" s="1"/>
  <c r="S332" i="7"/>
  <c r="T332" i="7" s="1"/>
  <c r="S329" i="7"/>
  <c r="T329" i="7" s="1"/>
  <c r="S212" i="7"/>
  <c r="T212" i="7" s="1"/>
  <c r="S113" i="7"/>
  <c r="T113" i="7" s="1"/>
  <c r="S210" i="7"/>
  <c r="T210" i="7" s="1"/>
  <c r="S789" i="7"/>
  <c r="T789" i="7" s="1"/>
  <c r="S521" i="7"/>
  <c r="T521" i="7" s="1"/>
  <c r="S828" i="7"/>
  <c r="T828" i="7" s="1"/>
  <c r="S387" i="7"/>
  <c r="T387" i="7" s="1"/>
  <c r="S369" i="7"/>
  <c r="T369" i="7" s="1"/>
  <c r="S15" i="7"/>
  <c r="T15" i="7" s="1"/>
  <c r="S813" i="7"/>
  <c r="T813" i="7" s="1"/>
  <c r="S717" i="7"/>
  <c r="T717" i="7" s="1"/>
  <c r="S179" i="7"/>
  <c r="T179" i="7" s="1"/>
  <c r="S174" i="7"/>
  <c r="T174" i="7" s="1"/>
  <c r="S586" i="7"/>
  <c r="T586" i="7" s="1"/>
  <c r="S404" i="7"/>
  <c r="T404" i="7" s="1"/>
  <c r="S764" i="7"/>
  <c r="T764" i="7" s="1"/>
  <c r="S512" i="7"/>
  <c r="T512" i="7" s="1"/>
  <c r="S245" i="7"/>
  <c r="T245" i="7" s="1"/>
  <c r="S148" i="7"/>
  <c r="T148" i="7" s="1"/>
  <c r="S761" i="7"/>
  <c r="T761" i="7" s="1"/>
  <c r="S445" i="7"/>
  <c r="T445" i="7" s="1"/>
  <c r="S678" i="7"/>
  <c r="T678" i="7" s="1"/>
  <c r="S539" i="7"/>
  <c r="T539" i="7" s="1"/>
  <c r="S583" i="7"/>
  <c r="T583" i="7" s="1"/>
  <c r="S381" i="7"/>
  <c r="T381" i="7" s="1"/>
  <c r="S462" i="7"/>
  <c r="T462" i="7" s="1"/>
  <c r="S400" i="7"/>
  <c r="T400" i="7" s="1"/>
  <c r="S588" i="7"/>
  <c r="T588" i="7" s="1"/>
  <c r="S559" i="7"/>
  <c r="T559" i="7" s="1"/>
  <c r="S582" i="7"/>
  <c r="T582" i="7" s="1"/>
  <c r="S661" i="7"/>
  <c r="T661" i="7" s="1"/>
  <c r="S111" i="7"/>
  <c r="T111" i="7" s="1"/>
  <c r="S847" i="7"/>
  <c r="T847" i="7" s="1"/>
  <c r="S672" i="7"/>
  <c r="T672" i="7" s="1"/>
  <c r="S312" i="7"/>
  <c r="T312" i="7" s="1"/>
  <c r="S820" i="7"/>
  <c r="T820" i="7" s="1"/>
  <c r="S772" i="7"/>
  <c r="T772" i="7" s="1"/>
  <c r="S242" i="7"/>
  <c r="T242" i="7" s="1"/>
  <c r="S193" i="7"/>
  <c r="T193" i="7" s="1"/>
  <c r="S701" i="7"/>
  <c r="T701" i="7" s="1"/>
  <c r="S848" i="7"/>
  <c r="T848" i="7" s="1"/>
  <c r="S749" i="7"/>
  <c r="T749" i="7" s="1"/>
  <c r="S89" i="7"/>
  <c r="T89" i="7" s="1"/>
  <c r="S44" i="7"/>
  <c r="T44" i="7" s="1"/>
  <c r="S628" i="7"/>
  <c r="T628" i="7" s="1"/>
  <c r="S88" i="7"/>
  <c r="T88" i="7" s="1"/>
  <c r="S757" i="7"/>
  <c r="T757" i="7" s="1"/>
  <c r="S598" i="7"/>
  <c r="T598" i="7" s="1"/>
  <c r="S51" i="7"/>
  <c r="T51" i="7" s="1"/>
  <c r="S634" i="7"/>
  <c r="T634" i="7" s="1"/>
  <c r="S825" i="7"/>
  <c r="T825" i="7" s="1"/>
  <c r="S81" i="7"/>
  <c r="T81" i="7" s="1"/>
  <c r="S45" i="7"/>
  <c r="T45" i="7" s="1"/>
  <c r="S554" i="7"/>
  <c r="T554" i="7" s="1"/>
  <c r="S616" i="7"/>
  <c r="T616" i="7" s="1"/>
  <c r="S349" i="7"/>
  <c r="T349" i="7" s="1"/>
  <c r="S664" i="7"/>
  <c r="T664" i="7" s="1"/>
  <c r="S201" i="7"/>
  <c r="T201" i="7" s="1"/>
  <c r="S778" i="7"/>
  <c r="T778" i="7" s="1"/>
  <c r="S604" i="7"/>
  <c r="T604" i="7" s="1"/>
  <c r="S653" i="7"/>
  <c r="T653" i="7" s="1"/>
  <c r="S436" i="7"/>
  <c r="T436" i="7" s="1"/>
  <c r="S741" i="7"/>
  <c r="T741" i="7" s="1"/>
  <c r="S544" i="7"/>
  <c r="T544" i="7" s="1"/>
  <c r="S647" i="7"/>
  <c r="T647" i="7" s="1"/>
  <c r="S733" i="7"/>
  <c r="T733" i="7" s="1"/>
  <c r="S656" i="7"/>
  <c r="T656" i="7" s="1"/>
  <c r="S550" i="7"/>
  <c r="T550" i="7" s="1"/>
  <c r="S645" i="7"/>
  <c r="T645" i="7" s="1"/>
  <c r="S427" i="7"/>
  <c r="T427" i="7" s="1"/>
  <c r="S191" i="7"/>
  <c r="T191" i="7" s="1"/>
  <c r="S225" i="7"/>
  <c r="T225" i="7" s="1"/>
  <c r="S527" i="7"/>
  <c r="T527" i="7" s="1"/>
  <c r="S736" i="7"/>
  <c r="T736" i="7" s="1"/>
  <c r="S602" i="7"/>
  <c r="T602" i="7" s="1"/>
  <c r="S765" i="7"/>
  <c r="T765" i="7" s="1"/>
  <c r="S263" i="7"/>
  <c r="T263" i="7" s="1"/>
  <c r="S660" i="7"/>
  <c r="T660" i="7" s="1"/>
  <c r="S304" i="7"/>
  <c r="T304" i="7" s="1"/>
  <c r="S342" i="7"/>
  <c r="T342" i="7" s="1"/>
  <c r="S503" i="7"/>
  <c r="T503" i="7" s="1"/>
  <c r="S322" i="7"/>
  <c r="T322" i="7" s="1"/>
  <c r="S280" i="7"/>
  <c r="T280" i="7" s="1"/>
  <c r="S340" i="7"/>
  <c r="T340" i="7" s="1"/>
  <c r="S755" i="7"/>
  <c r="T755" i="7" s="1"/>
  <c r="S579" i="7"/>
  <c r="T579" i="7" s="1"/>
  <c r="S465" i="7"/>
  <c r="T465" i="7" s="1"/>
  <c r="S150" i="7"/>
  <c r="T150" i="7" s="1"/>
  <c r="S11" i="7"/>
  <c r="T11" i="7" s="1"/>
  <c r="S491" i="7"/>
  <c r="T491" i="7" s="1"/>
  <c r="S533" i="7"/>
  <c r="T533" i="7" s="1"/>
  <c r="S688" i="7"/>
  <c r="T688" i="7" s="1"/>
  <c r="S8" i="7"/>
  <c r="T8" i="7" s="1"/>
  <c r="S374" i="7"/>
  <c r="T374" i="7" s="1"/>
  <c r="S344" i="7"/>
  <c r="T344" i="7" s="1"/>
  <c r="S725" i="7"/>
  <c r="T725" i="7" s="1"/>
  <c r="S343" i="7"/>
  <c r="T343" i="7" s="1"/>
  <c r="S742" i="7"/>
  <c r="T742" i="7" s="1"/>
  <c r="S283" i="7"/>
  <c r="T283" i="7" s="1"/>
  <c r="S574" i="7"/>
  <c r="T574" i="7" s="1"/>
  <c r="S256" i="7"/>
  <c r="T256" i="7" s="1"/>
  <c r="S220" i="7"/>
  <c r="T220" i="7" s="1"/>
  <c r="S417" i="7"/>
  <c r="T417" i="7" s="1"/>
  <c r="S17" i="7"/>
  <c r="T17" i="7" s="1"/>
  <c r="S600" i="7"/>
  <c r="T600" i="7" s="1"/>
  <c r="S407" i="7"/>
  <c r="T407" i="7" s="1"/>
  <c r="S82" i="7"/>
  <c r="T82" i="7" s="1"/>
  <c r="S846" i="7"/>
  <c r="T846" i="7" s="1"/>
  <c r="S727" i="7"/>
  <c r="T727" i="7" s="1"/>
  <c r="S800" i="7"/>
  <c r="T800" i="7" s="1"/>
  <c r="S183" i="7"/>
  <c r="T183" i="7" s="1"/>
  <c r="S759" i="7"/>
  <c r="T759" i="7" s="1"/>
  <c r="S523" i="7"/>
  <c r="T523" i="7" s="1"/>
  <c r="S213" i="7"/>
  <c r="T213" i="7" s="1"/>
  <c r="S763" i="7"/>
  <c r="T763" i="7" s="1"/>
  <c r="S308" i="7"/>
  <c r="T308" i="7" s="1"/>
  <c r="S333" i="7"/>
  <c r="T333" i="7" s="1"/>
  <c r="S853" i="7"/>
  <c r="T853" i="7" s="1"/>
  <c r="S275" i="7"/>
  <c r="T275" i="7" s="1"/>
  <c r="S287" i="7"/>
  <c r="T287" i="7" s="1"/>
  <c r="S630" i="7"/>
  <c r="T630" i="7" s="1"/>
  <c r="S832" i="7"/>
  <c r="T832" i="7" s="1"/>
  <c r="S514" i="7"/>
  <c r="T514" i="7" s="1"/>
  <c r="S35" i="7"/>
  <c r="T35" i="7" s="1"/>
  <c r="S258" i="7"/>
  <c r="T258" i="7" s="1"/>
  <c r="S681" i="7"/>
  <c r="T681" i="7" s="1"/>
  <c r="S760" i="7"/>
  <c r="T760" i="7" s="1"/>
  <c r="S564" i="7"/>
  <c r="T564" i="7" s="1"/>
  <c r="S354" i="7"/>
  <c r="T354" i="7" s="1"/>
  <c r="S233" i="7"/>
  <c r="T233" i="7" s="1"/>
  <c r="S137" i="7"/>
  <c r="T137" i="7" s="1"/>
  <c r="S474" i="7"/>
  <c r="T474" i="7" s="1"/>
  <c r="S298" i="7"/>
  <c r="T298" i="7" s="1"/>
  <c r="S585" i="7"/>
  <c r="T585" i="7" s="1"/>
  <c r="S267" i="7"/>
  <c r="T267" i="7" s="1"/>
  <c r="S829" i="7"/>
  <c r="T829" i="7" s="1"/>
  <c r="S524" i="7"/>
  <c r="T524" i="7" s="1"/>
  <c r="S632" i="7"/>
  <c r="T632" i="7" s="1"/>
  <c r="S715" i="7"/>
  <c r="T715" i="7" s="1"/>
  <c r="S518" i="7"/>
  <c r="T518" i="7" s="1"/>
  <c r="S295" i="7"/>
  <c r="T295" i="7" s="1"/>
  <c r="S610" i="7"/>
  <c r="T610" i="7" s="1"/>
  <c r="S330" i="7"/>
  <c r="T330" i="7" s="1"/>
  <c r="S334" i="7"/>
  <c r="T334" i="7" s="1"/>
  <c r="S428" i="7"/>
  <c r="T428" i="7" s="1"/>
  <c r="S500" i="7"/>
  <c r="T500" i="7" s="1"/>
  <c r="S457" i="7"/>
  <c r="T457" i="7" s="1"/>
  <c r="S568" i="7"/>
  <c r="T568" i="7" s="1"/>
  <c r="S592" i="7"/>
  <c r="T592" i="7" s="1"/>
  <c r="S290" i="7"/>
  <c r="T290" i="7" s="1"/>
  <c r="S146" i="7"/>
  <c r="T146" i="7" s="1"/>
  <c r="S718" i="7"/>
  <c r="T718" i="7" s="1"/>
  <c r="S706" i="7"/>
  <c r="T706" i="7" s="1"/>
  <c r="S705" i="7"/>
  <c r="T705" i="7" s="1"/>
  <c r="S494" i="7"/>
  <c r="T494" i="7" s="1"/>
  <c r="S851" i="7"/>
  <c r="T851" i="7" s="1"/>
  <c r="S508" i="7"/>
  <c r="T508" i="7" s="1"/>
  <c r="S158" i="7"/>
  <c r="T158" i="7" s="1"/>
  <c r="S668" i="7"/>
  <c r="T668" i="7" s="1"/>
  <c r="S425" i="7"/>
  <c r="T425" i="7" s="1"/>
  <c r="S615" i="7"/>
  <c r="T615" i="7" s="1"/>
  <c r="S868" i="7"/>
  <c r="T868" i="7" s="1"/>
  <c r="S857" i="7"/>
  <c r="T857" i="7" s="1"/>
  <c r="S152" i="7"/>
  <c r="T152" i="7" s="1"/>
  <c r="S446" i="7"/>
  <c r="T446" i="7" s="1"/>
  <c r="S286" i="7"/>
  <c r="T286" i="7" s="1"/>
  <c r="S502" i="7"/>
  <c r="T502" i="7" s="1"/>
  <c r="S115" i="7"/>
  <c r="T115" i="7" s="1"/>
  <c r="S812" i="7"/>
  <c r="T812" i="7" s="1"/>
  <c r="S297" i="7"/>
  <c r="T297" i="7" s="1"/>
  <c r="S779" i="7"/>
  <c r="T779" i="7" s="1"/>
  <c r="S237" i="7"/>
  <c r="T237" i="7" s="1"/>
  <c r="S613" i="7"/>
  <c r="T613" i="7" s="1"/>
  <c r="S143" i="7"/>
  <c r="T143" i="7" s="1"/>
  <c r="S836" i="7"/>
  <c r="T836" i="7" s="1"/>
  <c r="S669" i="7"/>
  <c r="T669" i="7" s="1"/>
  <c r="S561" i="7"/>
  <c r="T561" i="7" s="1"/>
  <c r="S838" i="7"/>
  <c r="T838" i="7" s="1"/>
  <c r="S362" i="7"/>
  <c r="T362" i="7" s="1"/>
  <c r="S605" i="7"/>
  <c r="T605" i="7" s="1"/>
  <c r="S103" i="7"/>
  <c r="T103" i="7" s="1"/>
  <c r="S414" i="7"/>
  <c r="T414" i="7" s="1"/>
  <c r="S754" i="7"/>
  <c r="T754" i="7" s="1"/>
  <c r="S172" i="7"/>
  <c r="T172" i="7" s="1"/>
  <c r="S433" i="7"/>
  <c r="T433" i="7" s="1"/>
  <c r="S807" i="7"/>
  <c r="T807" i="7" s="1"/>
  <c r="S136" i="7"/>
  <c r="T136" i="7" s="1"/>
  <c r="S575" i="7"/>
  <c r="T575" i="7" s="1"/>
  <c r="S90" i="7"/>
  <c r="T90" i="7" s="1"/>
  <c r="S159" i="7"/>
  <c r="T159" i="7" s="1"/>
  <c r="S102" i="7"/>
  <c r="T102" i="7" s="1"/>
  <c r="S768" i="7"/>
  <c r="T768" i="7" s="1"/>
  <c r="S13" i="7"/>
  <c r="T13" i="7" s="1"/>
  <c r="S549" i="7"/>
  <c r="T549" i="7" s="1"/>
  <c r="S21" i="7"/>
  <c r="T21" i="7" s="1"/>
  <c r="S147" i="7"/>
  <c r="T147" i="7" s="1"/>
  <c r="S442" i="7"/>
  <c r="T442" i="7" s="1"/>
  <c r="S323" i="7"/>
  <c r="T323" i="7" s="1"/>
  <c r="S839" i="7"/>
  <c r="T839" i="7" s="1"/>
  <c r="S546" i="7"/>
  <c r="T546" i="7" s="1"/>
  <c r="S870" i="7"/>
  <c r="T870" i="7" s="1"/>
  <c r="S596" i="7"/>
  <c r="T596" i="7" s="1"/>
  <c r="S80" i="7"/>
  <c r="T80" i="7" s="1"/>
  <c r="S122" i="7"/>
  <c r="T122" i="7" s="1"/>
  <c r="S631" i="7"/>
  <c r="T631" i="7" s="1"/>
  <c r="S719" i="7"/>
  <c r="T719" i="7" s="1"/>
  <c r="S722" i="7"/>
  <c r="T722" i="7" s="1"/>
  <c r="S774" i="7"/>
  <c r="T774" i="7" s="1"/>
  <c r="S72" i="7"/>
  <c r="T72" i="7" s="1"/>
  <c r="S98" i="7"/>
  <c r="T98" i="7" s="1"/>
  <c r="S731" i="7"/>
  <c r="T731" i="7" s="1"/>
  <c r="S597" i="7"/>
  <c r="T597" i="7" s="1"/>
  <c r="S484" i="7"/>
  <c r="T484" i="7" s="1"/>
  <c r="S565" i="7"/>
  <c r="T565" i="7" s="1"/>
  <c r="S54" i="7"/>
  <c r="T54" i="7" s="1"/>
  <c r="S545" i="7"/>
  <c r="T545" i="7" s="1"/>
  <c r="S403" i="7"/>
  <c r="T403" i="7" s="1"/>
  <c r="S867" i="7"/>
  <c r="T867" i="7" s="1"/>
  <c r="S273" i="7"/>
  <c r="T273" i="7" s="1"/>
  <c r="S780" i="7"/>
  <c r="T780" i="7" s="1"/>
  <c r="S205" i="7"/>
  <c r="T205" i="7" s="1"/>
  <c r="S386" i="7"/>
  <c r="T386" i="7" s="1"/>
  <c r="S149" i="7"/>
  <c r="T149" i="7" s="1"/>
  <c r="S319" i="7"/>
  <c r="T319" i="7" s="1"/>
  <c r="S657" i="7"/>
  <c r="T657" i="7" s="1"/>
  <c r="S209" i="7"/>
  <c r="T209" i="7" s="1"/>
  <c r="S459" i="7"/>
  <c r="T459" i="7" s="1"/>
  <c r="S784" i="7"/>
  <c r="T784" i="7" s="1"/>
  <c r="S138" i="7"/>
  <c r="T138" i="7" s="1"/>
  <c r="S216" i="7"/>
  <c r="T216" i="7" s="1"/>
  <c r="S328" i="7"/>
  <c r="T328" i="7" s="1"/>
  <c r="S154" i="7"/>
  <c r="T154" i="7" s="1"/>
  <c r="S577" i="7"/>
  <c r="T577" i="7" s="1"/>
  <c r="S303" i="7"/>
  <c r="T303" i="7" s="1"/>
  <c r="S680" i="7"/>
  <c r="T680" i="7" s="1"/>
  <c r="S536" i="7"/>
  <c r="T536" i="7" s="1"/>
  <c r="S858" i="7"/>
  <c r="T858" i="7" s="1"/>
  <c r="S285" i="7"/>
  <c r="T285" i="7" s="1"/>
  <c r="S695" i="7"/>
  <c r="T695" i="7" s="1"/>
  <c r="S704" i="7"/>
  <c r="T704" i="7" s="1"/>
  <c r="S809" i="7"/>
  <c r="T809" i="7" s="1"/>
  <c r="S164" i="7"/>
  <c r="T164" i="7" s="1"/>
  <c r="S587" i="7"/>
  <c r="T587" i="7" s="1"/>
  <c r="S58" i="7"/>
  <c r="T58" i="7" s="1"/>
  <c r="S402" i="7"/>
  <c r="T402" i="7" s="1"/>
  <c r="S762" i="7"/>
  <c r="T762" i="7" s="1"/>
  <c r="S236" i="7"/>
  <c r="T236" i="7" s="1"/>
  <c r="S367" i="7"/>
  <c r="T367" i="7" s="1"/>
  <c r="S249" i="7"/>
  <c r="T249" i="7" s="1"/>
  <c r="S844" i="7"/>
  <c r="T844" i="7" s="1"/>
  <c r="S208" i="7"/>
  <c r="T208" i="7" s="1"/>
  <c r="S196" i="7"/>
  <c r="T196" i="7" s="1"/>
  <c r="S730" i="7"/>
  <c r="T730" i="7" s="1"/>
  <c r="S135" i="7"/>
  <c r="T135" i="7" s="1"/>
  <c r="S723" i="7"/>
  <c r="T723" i="7" s="1"/>
  <c r="S519" i="7"/>
  <c r="T519" i="7" s="1"/>
  <c r="S525" i="7"/>
  <c r="T525" i="7" s="1"/>
  <c r="S313" i="7"/>
  <c r="T313" i="7" s="1"/>
  <c r="S791" i="7"/>
  <c r="T791" i="7" s="1"/>
  <c r="S790" i="7"/>
  <c r="T790" i="7" s="1"/>
  <c r="S753" i="7"/>
  <c r="T753" i="7" s="1"/>
  <c r="S167" i="7"/>
  <c r="T167" i="7" s="1"/>
  <c r="S682" i="7"/>
  <c r="T682" i="7" s="1"/>
  <c r="S100" i="7"/>
  <c r="T100" i="7" s="1"/>
  <c r="S746" i="7"/>
  <c r="T746" i="7" s="1"/>
  <c r="S84" i="7"/>
  <c r="T84" i="7" s="1"/>
  <c r="S133" i="7"/>
  <c r="T133" i="7" s="1"/>
  <c r="S744" i="7"/>
  <c r="T744" i="7" s="1"/>
  <c r="S184" i="7"/>
  <c r="T184" i="7" s="1"/>
  <c r="S671" i="7"/>
  <c r="T671" i="7" s="1"/>
  <c r="S618" i="7"/>
  <c r="T618" i="7" s="1"/>
  <c r="S320" i="7"/>
  <c r="T320" i="7" s="1"/>
  <c r="S187" i="7"/>
  <c r="T187" i="7" s="1"/>
  <c r="S509" i="7"/>
  <c r="T509" i="7" s="1"/>
  <c r="S817" i="7"/>
  <c r="T817" i="7" s="1"/>
  <c r="S452" i="7"/>
  <c r="T452" i="7" s="1"/>
  <c r="S801" i="7"/>
  <c r="T801" i="7" s="1"/>
  <c r="S385" i="7"/>
  <c r="T385" i="7" s="1"/>
  <c r="S864" i="7"/>
  <c r="T864" i="7" s="1"/>
  <c r="S679" i="7"/>
  <c r="T679" i="7" s="1"/>
  <c r="S200" i="7"/>
  <c r="T200" i="7" s="1"/>
  <c r="S255" i="7"/>
  <c r="T255" i="7" s="1"/>
  <c r="S202" i="7"/>
  <c r="T202" i="7" s="1"/>
  <c r="S443" i="7"/>
  <c r="T443" i="7" s="1"/>
  <c r="S563" i="7"/>
  <c r="T563" i="7" s="1"/>
  <c r="S558" i="7"/>
  <c r="T558" i="7" s="1"/>
  <c r="S291" i="7"/>
  <c r="T291" i="7" s="1"/>
  <c r="S581" i="7"/>
  <c r="T581" i="7" s="1"/>
  <c r="S203" i="7"/>
  <c r="T203" i="7" s="1"/>
  <c r="S83" i="7"/>
  <c r="T83" i="7" s="1"/>
  <c r="S787" i="7"/>
  <c r="T787" i="7" s="1"/>
  <c r="S107" i="7"/>
  <c r="T107" i="7" s="1"/>
  <c r="S833" i="7"/>
  <c r="T833" i="7" s="1"/>
  <c r="S30" i="7"/>
  <c r="T30" i="7" s="1"/>
  <c r="S356" i="7"/>
  <c r="T356" i="7" s="1"/>
  <c r="S108" i="7"/>
  <c r="T108" i="7" s="1"/>
  <c r="S279" i="7"/>
  <c r="T279" i="7" s="1"/>
  <c r="S548" i="7"/>
  <c r="T548" i="7" s="1"/>
  <c r="S449" i="7"/>
  <c r="T449" i="7" s="1"/>
  <c r="S466" i="7"/>
  <c r="T466" i="7" s="1"/>
  <c r="S363" i="7"/>
  <c r="T363" i="7" s="1"/>
  <c r="S435" i="7"/>
  <c r="T435" i="7" s="1"/>
  <c r="S372" i="7"/>
  <c r="T372" i="7" s="1"/>
  <c r="S9" i="7"/>
  <c r="T9" i="7" s="1"/>
  <c r="S802" i="7"/>
  <c r="T802" i="7" s="1"/>
  <c r="S85" i="7"/>
  <c r="T85" i="7" s="1"/>
  <c r="S756" i="7"/>
  <c r="T756" i="7" s="1"/>
  <c r="S601" i="7"/>
  <c r="T601" i="7" s="1"/>
  <c r="S272" i="7"/>
  <c r="T272" i="7" s="1"/>
  <c r="S685" i="7"/>
  <c r="T685" i="7" s="1"/>
  <c r="S97" i="7"/>
  <c r="T97" i="7" s="1"/>
  <c r="S411" i="7"/>
  <c r="T411" i="7" s="1"/>
  <c r="S277" i="7"/>
  <c r="T277" i="7" s="1"/>
  <c r="S477" i="7"/>
  <c r="T477" i="7" s="1"/>
  <c r="S151" i="7"/>
  <c r="T151" i="7" s="1"/>
  <c r="S190" i="7"/>
  <c r="T190" i="7" s="1"/>
  <c r="S67" i="7"/>
  <c r="T67" i="7" s="1"/>
  <c r="S621" i="7"/>
  <c r="T621" i="7" s="1"/>
  <c r="S716" i="7"/>
  <c r="T716" i="7" s="1"/>
  <c r="S161" i="7"/>
  <c r="T161" i="7" s="1"/>
  <c r="S740" i="7"/>
  <c r="T740" i="7" s="1"/>
  <c r="S38" i="7"/>
  <c r="T38" i="7" s="1"/>
  <c r="S422" i="7"/>
  <c r="T422" i="7" s="1"/>
  <c r="S496" i="7"/>
  <c r="T496" i="7" s="1"/>
  <c r="S622" i="7"/>
  <c r="T622" i="7" s="1"/>
  <c r="S226" i="7"/>
  <c r="T226" i="7" s="1"/>
  <c r="S268" i="7"/>
  <c r="T268" i="7" s="1"/>
  <c r="S219" i="7"/>
  <c r="T219" i="7" s="1"/>
  <c r="S721" i="7"/>
  <c r="T721" i="7" s="1"/>
  <c r="S350" i="7"/>
  <c r="T350" i="7" s="1"/>
  <c r="S415" i="7"/>
  <c r="T415" i="7" s="1"/>
  <c r="S511" i="7"/>
  <c r="T511" i="7" s="1"/>
  <c r="S57" i="7"/>
  <c r="T57" i="7" s="1"/>
  <c r="S611" i="7"/>
  <c r="T611" i="7" s="1"/>
  <c r="S222" i="7"/>
  <c r="T222" i="7" s="1"/>
  <c r="S837" i="7"/>
  <c r="T837" i="7" s="1"/>
  <c r="S375" i="7"/>
  <c r="T375" i="7" s="1"/>
  <c r="S250" i="7"/>
  <c r="T250" i="7" s="1"/>
  <c r="S207" i="7"/>
  <c r="T207" i="7" s="1"/>
  <c r="S629" i="7"/>
  <c r="T629" i="7" s="1"/>
  <c r="S380" i="7"/>
  <c r="T380" i="7" s="1"/>
  <c r="S383" i="7"/>
  <c r="T383" i="7" s="1"/>
  <c r="S686" i="7"/>
  <c r="T686" i="7" s="1"/>
  <c r="S132" i="7"/>
  <c r="T132" i="7" s="1"/>
  <c r="S526" i="7"/>
  <c r="T526" i="7" s="1"/>
  <c r="S128" i="7"/>
  <c r="T128" i="7" s="1"/>
  <c r="S666" i="7"/>
  <c r="T666" i="7" s="1"/>
  <c r="S607" i="7"/>
  <c r="T607" i="7" s="1"/>
  <c r="S399" i="7"/>
  <c r="T399" i="7" s="1"/>
  <c r="S76" i="7"/>
  <c r="T76" i="7" s="1"/>
  <c r="S68" i="7"/>
  <c r="T68" i="7" s="1"/>
  <c r="S70" i="7"/>
  <c r="T70" i="7" s="1"/>
  <c r="S29" i="7"/>
  <c r="T29" i="7" s="1"/>
  <c r="S405" i="7"/>
  <c r="T405" i="7" s="1"/>
  <c r="S584" i="7"/>
  <c r="T584" i="7" s="1"/>
  <c r="S673" i="7"/>
  <c r="T673" i="7" s="1"/>
  <c r="S419" i="7"/>
  <c r="T419" i="7" s="1"/>
  <c r="S169" i="7"/>
  <c r="T169" i="7" s="1"/>
  <c r="S259" i="7"/>
  <c r="T259" i="7" s="1"/>
  <c r="S806" i="7"/>
  <c r="T806" i="7" s="1"/>
  <c r="S325" i="7"/>
  <c r="T325" i="7" s="1"/>
  <c r="S773" i="7"/>
  <c r="T773" i="7" s="1"/>
  <c r="S532" i="7"/>
  <c r="T532" i="7" s="1"/>
  <c r="S401" i="7"/>
  <c r="T401" i="7" s="1"/>
  <c r="S560" i="7"/>
  <c r="T560" i="7" s="1"/>
  <c r="S451" i="7"/>
  <c r="T451" i="7" s="1"/>
  <c r="S46" i="7"/>
  <c r="T46" i="7" s="1"/>
  <c r="S623" i="7"/>
  <c r="T623" i="7" s="1"/>
  <c r="S12" i="7"/>
  <c r="T12" i="7" s="1"/>
  <c r="S729" i="7"/>
  <c r="T729" i="7" s="1"/>
  <c r="S416" i="7"/>
  <c r="T416" i="7" s="1"/>
  <c r="S364" i="7"/>
  <c r="T364" i="7" s="1"/>
  <c r="S798" i="7"/>
  <c r="T798" i="7" s="1"/>
  <c r="S173" i="7"/>
  <c r="T173" i="7" s="1"/>
  <c r="S816" i="7"/>
  <c r="T816" i="7" s="1"/>
  <c r="S426" i="7"/>
  <c r="T426" i="7" s="1"/>
  <c r="S570" i="7"/>
  <c r="T570" i="7" s="1"/>
  <c r="S515" i="7"/>
  <c r="T515" i="7" s="1"/>
  <c r="N415" i="7"/>
  <c r="O415" i="7" s="1"/>
  <c r="N380" i="7"/>
  <c r="O380" i="7" s="1"/>
  <c r="N584" i="7"/>
  <c r="O584" i="7" s="1"/>
  <c r="N601" i="7"/>
  <c r="O601" i="7" s="1"/>
  <c r="N548" i="7"/>
  <c r="O548" i="7" s="1"/>
  <c r="N38" i="7"/>
  <c r="O38" i="7" s="1"/>
  <c r="N511" i="7"/>
  <c r="O511" i="7" s="1"/>
  <c r="N383" i="7"/>
  <c r="O383" i="7" s="1"/>
  <c r="N46" i="7"/>
  <c r="O46" i="7" s="1"/>
  <c r="N740" i="7"/>
  <c r="O740" i="7" s="1"/>
  <c r="N411" i="7"/>
  <c r="O411" i="7" s="1"/>
  <c r="N422" i="7"/>
  <c r="O422" i="7" s="1"/>
  <c r="N57" i="7"/>
  <c r="O57" i="7" s="1"/>
  <c r="N686" i="7"/>
  <c r="O686" i="7" s="1"/>
  <c r="N673" i="7"/>
  <c r="O673" i="7" s="1"/>
  <c r="N570" i="7"/>
  <c r="O570" i="7" s="1"/>
  <c r="N449" i="7"/>
  <c r="O449" i="7" s="1"/>
  <c r="N277" i="7"/>
  <c r="O277" i="7" s="1"/>
  <c r="N496" i="7"/>
  <c r="O496" i="7" s="1"/>
  <c r="N132" i="7"/>
  <c r="O132" i="7" s="1"/>
  <c r="N419" i="7"/>
  <c r="O419" i="7" s="1"/>
  <c r="N623" i="7"/>
  <c r="O623" i="7" s="1"/>
  <c r="N401" i="7"/>
  <c r="O401" i="7" s="1"/>
  <c r="N466" i="7"/>
  <c r="O466" i="7" s="1"/>
  <c r="N622" i="7"/>
  <c r="O622" i="7" s="1"/>
  <c r="N526" i="7"/>
  <c r="O526" i="7" s="1"/>
  <c r="N12" i="7"/>
  <c r="O12" i="7" s="1"/>
  <c r="N272" i="7"/>
  <c r="O272" i="7" s="1"/>
  <c r="N363" i="7"/>
  <c r="O363" i="7" s="1"/>
  <c r="N477" i="7"/>
  <c r="O477" i="7" s="1"/>
  <c r="N226" i="7"/>
  <c r="O226" i="7" s="1"/>
  <c r="N611" i="7"/>
  <c r="O611" i="7" s="1"/>
  <c r="N128" i="7"/>
  <c r="O128" i="7" s="1"/>
  <c r="N169" i="7"/>
  <c r="O169" i="7" s="1"/>
  <c r="N729" i="7"/>
  <c r="O729" i="7" s="1"/>
  <c r="N29" i="7"/>
  <c r="O29" i="7" s="1"/>
  <c r="N435" i="7"/>
  <c r="O435" i="7" s="1"/>
  <c r="N151" i="7"/>
  <c r="O151" i="7" s="1"/>
  <c r="N268" i="7"/>
  <c r="O268" i="7" s="1"/>
  <c r="N222" i="7"/>
  <c r="O222" i="7" s="1"/>
  <c r="N666" i="7"/>
  <c r="O666" i="7" s="1"/>
  <c r="N259" i="7"/>
  <c r="O259" i="7" s="1"/>
  <c r="N416" i="7"/>
  <c r="O416" i="7" s="1"/>
  <c r="N560" i="7"/>
  <c r="O560" i="7" s="1"/>
  <c r="N190" i="7"/>
  <c r="O190" i="7" s="1"/>
  <c r="N837" i="7"/>
  <c r="O837" i="7" s="1"/>
  <c r="N607" i="7"/>
  <c r="O607" i="7" s="1"/>
  <c r="N806" i="7"/>
  <c r="O806" i="7" s="1"/>
  <c r="N364" i="7"/>
  <c r="O364" i="7" s="1"/>
  <c r="N685" i="7"/>
  <c r="O685" i="7" s="1"/>
  <c r="N372" i="7"/>
  <c r="O372" i="7" s="1"/>
  <c r="N67" i="7"/>
  <c r="O67" i="7" s="1"/>
  <c r="N219" i="7"/>
  <c r="O219" i="7" s="1"/>
  <c r="N375" i="7"/>
  <c r="O375" i="7" s="1"/>
  <c r="N399" i="7"/>
  <c r="O399" i="7" s="1"/>
  <c r="N798" i="7"/>
  <c r="O798" i="7" s="1"/>
  <c r="N515" i="7"/>
  <c r="O515" i="7" s="1"/>
  <c r="N9" i="7"/>
  <c r="O9" i="7" s="1"/>
  <c r="N621" i="7"/>
  <c r="O621" i="7" s="1"/>
  <c r="N721" i="7"/>
  <c r="O721" i="7" s="1"/>
  <c r="N250" i="7"/>
  <c r="O250" i="7" s="1"/>
  <c r="N76" i="7"/>
  <c r="O76" i="7" s="1"/>
  <c r="N325" i="7"/>
  <c r="O325" i="7" s="1"/>
  <c r="N173" i="7"/>
  <c r="O173" i="7" s="1"/>
  <c r="N405" i="7"/>
  <c r="O405" i="7" s="1"/>
  <c r="N802" i="7"/>
  <c r="O802" i="7" s="1"/>
  <c r="N716" i="7"/>
  <c r="O716" i="7" s="1"/>
  <c r="N207" i="7"/>
  <c r="O207" i="7" s="1"/>
  <c r="N68" i="7"/>
  <c r="O68" i="7" s="1"/>
  <c r="N773" i="7"/>
  <c r="O773" i="7" s="1"/>
  <c r="N816" i="7"/>
  <c r="O816" i="7" s="1"/>
  <c r="N451" i="7"/>
  <c r="O451" i="7" s="1"/>
  <c r="N85" i="7"/>
  <c r="O85" i="7" s="1"/>
  <c r="N161" i="7"/>
  <c r="O161" i="7" s="1"/>
  <c r="N350" i="7"/>
  <c r="O350" i="7" s="1"/>
  <c r="N629" i="7"/>
  <c r="O629" i="7" s="1"/>
  <c r="N70" i="7"/>
  <c r="O70" i="7" s="1"/>
  <c r="N532" i="7"/>
  <c r="O532" i="7" s="1"/>
  <c r="N426" i="7"/>
  <c r="O426" i="7" s="1"/>
  <c r="N97" i="7"/>
  <c r="O97" i="7" s="1"/>
  <c r="N756" i="7"/>
  <c r="O756" i="7" s="1"/>
  <c r="N377" i="7"/>
  <c r="O377" i="7" s="1"/>
  <c r="N663" i="7"/>
  <c r="O663" i="7" s="1"/>
  <c r="N540" i="7"/>
  <c r="O540" i="7" s="1"/>
  <c r="N114" i="7"/>
  <c r="O114" i="7" s="1"/>
  <c r="N282" i="7"/>
  <c r="O282" i="7" s="1"/>
  <c r="N316" i="7"/>
  <c r="O316" i="7" s="1"/>
  <c r="N676" i="7"/>
  <c r="O676" i="7" s="1"/>
  <c r="N576" i="7"/>
  <c r="O576" i="7" s="1"/>
  <c r="N658" i="7"/>
  <c r="O658" i="7" s="1"/>
  <c r="N479" i="7"/>
  <c r="O479" i="7" s="1"/>
  <c r="N125" i="7"/>
  <c r="O125" i="7" s="1"/>
  <c r="N61" i="7"/>
  <c r="O61" i="7" s="1"/>
  <c r="N782" i="7"/>
  <c r="O782" i="7" s="1"/>
  <c r="N165" i="7"/>
  <c r="O165" i="7" s="1"/>
  <c r="N388" i="7"/>
  <c r="O388" i="7" s="1"/>
  <c r="N418" i="7"/>
  <c r="O418" i="7" s="1"/>
  <c r="N241" i="7"/>
  <c r="O241" i="7" s="1"/>
  <c r="N855" i="7"/>
  <c r="O855" i="7" s="1"/>
  <c r="N166" i="7"/>
  <c r="O166" i="7" s="1"/>
  <c r="N37" i="7"/>
  <c r="O37" i="7" s="1"/>
  <c r="N796" i="7"/>
  <c r="O796" i="7" s="1"/>
  <c r="N667" i="7"/>
  <c r="O667" i="7" s="1"/>
  <c r="N555" i="7"/>
  <c r="O555" i="7" s="1"/>
  <c r="N278" i="7"/>
  <c r="O278" i="7" s="1"/>
  <c r="N580" i="7"/>
  <c r="O580" i="7" s="1"/>
  <c r="N808" i="7"/>
  <c r="O808" i="7" s="1"/>
  <c r="N504" i="7"/>
  <c r="O504" i="7" s="1"/>
  <c r="N42" i="7"/>
  <c r="O42" i="7" s="1"/>
  <c r="N141" i="7"/>
  <c r="O141" i="7" s="1"/>
  <c r="N60" i="7"/>
  <c r="O60" i="7" s="1"/>
  <c r="N73" i="7"/>
  <c r="O73" i="7" s="1"/>
  <c r="N432" i="7"/>
  <c r="O432" i="7" s="1"/>
  <c r="N595" i="7"/>
  <c r="O595" i="7" s="1"/>
  <c r="N366" i="7"/>
  <c r="O366" i="7" s="1"/>
  <c r="N20" i="7"/>
  <c r="O20" i="7" s="1"/>
  <c r="N747" i="7"/>
  <c r="O747" i="7" s="1"/>
  <c r="N852" i="7"/>
  <c r="O852" i="7" s="1"/>
  <c r="N309" i="7"/>
  <c r="O309" i="7" s="1"/>
  <c r="N160" i="7"/>
  <c r="O160" i="7" s="1"/>
  <c r="N389" i="7"/>
  <c r="O389" i="7" s="1"/>
  <c r="N707" i="7"/>
  <c r="O707" i="7" s="1"/>
  <c r="N670" i="7"/>
  <c r="O670" i="7" s="1"/>
  <c r="N440" i="7"/>
  <c r="O440" i="7" s="1"/>
  <c r="N698" i="7"/>
  <c r="O698" i="7" s="1"/>
  <c r="N714" i="7"/>
  <c r="O714" i="7" s="1"/>
  <c r="N351" i="7"/>
  <c r="O351" i="7" s="1"/>
  <c r="N516" i="7"/>
  <c r="O516" i="7" s="1"/>
  <c r="N652" i="7"/>
  <c r="O652" i="7" s="1"/>
  <c r="N831" i="7"/>
  <c r="O831" i="7" s="1"/>
  <c r="N571" i="7"/>
  <c r="O571" i="7" s="1"/>
  <c r="N243" i="7"/>
  <c r="O243" i="7" s="1"/>
  <c r="N640" i="7"/>
  <c r="O640" i="7" s="1"/>
  <c r="N439" i="7"/>
  <c r="O439" i="7" s="1"/>
  <c r="N198" i="7"/>
  <c r="O198" i="7" s="1"/>
  <c r="N40" i="7"/>
  <c r="O40" i="7" s="1"/>
  <c r="N294" i="7"/>
  <c r="O294" i="7" s="1"/>
  <c r="N819" i="7"/>
  <c r="O819" i="7" s="1"/>
  <c r="N758" i="7"/>
  <c r="O758" i="7" s="1"/>
  <c r="N105" i="7"/>
  <c r="O105" i="7" s="1"/>
  <c r="N398" i="7"/>
  <c r="O398" i="7" s="1"/>
  <c r="N454" i="7"/>
  <c r="O454" i="7" s="1"/>
  <c r="N118" i="7"/>
  <c r="O118" i="7" s="1"/>
  <c r="N693" i="7"/>
  <c r="O693" i="7" s="1"/>
  <c r="N75" i="7"/>
  <c r="O75" i="7" s="1"/>
  <c r="N109" i="7"/>
  <c r="O109" i="7" s="1"/>
  <c r="N495" i="7"/>
  <c r="O495" i="7" s="1"/>
  <c r="N101" i="7"/>
  <c r="O101" i="7" s="1"/>
  <c r="N485" i="7"/>
  <c r="O485" i="7" s="1"/>
  <c r="N696" i="7"/>
  <c r="O696" i="7" s="1"/>
  <c r="N430" i="7"/>
  <c r="O430" i="7" s="1"/>
  <c r="N482" i="7"/>
  <c r="O482" i="7" s="1"/>
  <c r="N528" i="7"/>
  <c r="O528" i="7" s="1"/>
  <c r="N531" i="7"/>
  <c r="O531" i="7" s="1"/>
  <c r="N66" i="7"/>
  <c r="O66" i="7" s="1"/>
  <c r="N284" i="7"/>
  <c r="O284" i="7" s="1"/>
  <c r="N487" i="7"/>
  <c r="O487" i="7" s="1"/>
  <c r="N441" i="7"/>
  <c r="O441" i="7" s="1"/>
  <c r="N18" i="7"/>
  <c r="O18" i="7" s="1"/>
  <c r="N609" i="7"/>
  <c r="O609" i="7" s="1"/>
  <c r="N649" i="7"/>
  <c r="O649" i="7" s="1"/>
  <c r="N140" i="7"/>
  <c r="O140" i="7" s="1"/>
  <c r="N547" i="7"/>
  <c r="O547" i="7" s="1"/>
  <c r="N370" i="7"/>
  <c r="O370" i="7" s="1"/>
  <c r="N293" i="7"/>
  <c r="O293" i="7" s="1"/>
  <c r="N87" i="7"/>
  <c r="O87" i="7" s="1"/>
  <c r="N644" i="7"/>
  <c r="O644" i="7" s="1"/>
  <c r="N434" i="7"/>
  <c r="O434" i="7" s="1"/>
  <c r="N240" i="7"/>
  <c r="O240" i="7" s="1"/>
  <c r="N393" i="7"/>
  <c r="O393" i="7" s="1"/>
  <c r="N264" i="7"/>
  <c r="O264" i="7" s="1"/>
  <c r="N318" i="7"/>
  <c r="O318" i="7" s="1"/>
  <c r="N834" i="7"/>
  <c r="O834" i="7" s="1"/>
  <c r="N665" i="7"/>
  <c r="O665" i="7" s="1"/>
  <c r="N437" i="7"/>
  <c r="O437" i="7" s="1"/>
  <c r="N262" i="7"/>
  <c r="O262" i="7" s="1"/>
  <c r="N338" i="7"/>
  <c r="O338" i="7" s="1"/>
  <c r="N708" i="7"/>
  <c r="O708" i="7" s="1"/>
  <c r="N843" i="7"/>
  <c r="O843" i="7" s="1"/>
  <c r="N390" i="7"/>
  <c r="O390" i="7" s="1"/>
  <c r="N180" i="7"/>
  <c r="O180" i="7" s="1"/>
  <c r="N713" i="7"/>
  <c r="O713" i="7" s="1"/>
  <c r="N472" i="7"/>
  <c r="O472" i="7" s="1"/>
  <c r="N244" i="7"/>
  <c r="O244" i="7" s="1"/>
  <c r="N767" i="7"/>
  <c r="O767" i="7" s="1"/>
  <c r="N795" i="7"/>
  <c r="O795" i="7" s="1"/>
  <c r="N127" i="7"/>
  <c r="O127" i="7" s="1"/>
  <c r="N748" i="7"/>
  <c r="O748" i="7" s="1"/>
  <c r="N510" i="7"/>
  <c r="O510" i="7" s="1"/>
  <c r="N182" i="7"/>
  <c r="O182" i="7" s="1"/>
  <c r="N410" i="7"/>
  <c r="O410" i="7" s="1"/>
  <c r="N230" i="7"/>
  <c r="O230" i="7" s="1"/>
  <c r="N376" i="7"/>
  <c r="O376" i="7" s="1"/>
  <c r="N794" i="7"/>
  <c r="O794" i="7" s="1"/>
  <c r="N26" i="7"/>
  <c r="O26" i="7" s="1"/>
  <c r="N785" i="7"/>
  <c r="O785" i="7" s="1"/>
  <c r="N438" i="7"/>
  <c r="O438" i="7" s="1"/>
  <c r="N863" i="7"/>
  <c r="O863" i="7" s="1"/>
  <c r="N573" i="7"/>
  <c r="O573" i="7" s="1"/>
  <c r="N129" i="7"/>
  <c r="O129" i="7" s="1"/>
  <c r="N32" i="7"/>
  <c r="O32" i="7" s="1"/>
  <c r="N409" i="7"/>
  <c r="O409" i="7" s="1"/>
  <c r="N79" i="7"/>
  <c r="O79" i="7" s="1"/>
  <c r="N423" i="7"/>
  <c r="O423" i="7" s="1"/>
  <c r="N181" i="7"/>
  <c r="O181" i="7" s="1"/>
  <c r="N28" i="7"/>
  <c r="O28" i="7" s="1"/>
  <c r="N578" i="7"/>
  <c r="O578" i="7" s="1"/>
  <c r="N346" i="7"/>
  <c r="O346" i="7" s="1"/>
  <c r="N311" i="7"/>
  <c r="O311" i="7" s="1"/>
  <c r="N195" i="7"/>
  <c r="O195" i="7" s="1"/>
  <c r="N473" i="7"/>
  <c r="O473" i="7" s="1"/>
  <c r="N178" i="7"/>
  <c r="O178" i="7" s="1"/>
  <c r="N124" i="7"/>
  <c r="O124" i="7" s="1"/>
  <c r="N726" i="7"/>
  <c r="O726" i="7" s="1"/>
  <c r="N593" i="7"/>
  <c r="O593" i="7" s="1"/>
  <c r="N43" i="7"/>
  <c r="O43" i="7" s="1"/>
  <c r="N499" i="7"/>
  <c r="O499" i="7" s="1"/>
  <c r="N567" i="7"/>
  <c r="O567" i="7" s="1"/>
  <c r="N117" i="7"/>
  <c r="O117" i="7" s="1"/>
  <c r="N824" i="7"/>
  <c r="O824" i="7" s="1"/>
  <c r="N469" i="7"/>
  <c r="O469" i="7" s="1"/>
  <c r="N371" i="7"/>
  <c r="O371" i="7" s="1"/>
  <c r="N448" i="7"/>
  <c r="O448" i="7" s="1"/>
  <c r="N470" i="7"/>
  <c r="O470" i="7" s="1"/>
  <c r="N92" i="7"/>
  <c r="O92" i="7" s="1"/>
  <c r="N335" i="7"/>
  <c r="O335" i="7" s="1"/>
  <c r="N677" i="7"/>
  <c r="O677" i="7" s="1"/>
  <c r="N637" i="7"/>
  <c r="O637" i="7" s="1"/>
  <c r="N513" i="7"/>
  <c r="O513" i="7" s="1"/>
  <c r="N292" i="7"/>
  <c r="O292" i="7" s="1"/>
  <c r="N464" i="7"/>
  <c r="O464" i="7" s="1"/>
  <c r="N197" i="7"/>
  <c r="O197" i="7" s="1"/>
  <c r="N194" i="7"/>
  <c r="O194" i="7" s="1"/>
  <c r="N229" i="7"/>
  <c r="O229" i="7" s="1"/>
  <c r="N703" i="7"/>
  <c r="O703" i="7" s="1"/>
  <c r="N424" i="7"/>
  <c r="O424" i="7" s="1"/>
  <c r="N699" i="7"/>
  <c r="O699" i="7" s="1"/>
  <c r="N359" i="7"/>
  <c r="O359" i="7" s="1"/>
  <c r="N56" i="7"/>
  <c r="O56" i="7" s="1"/>
  <c r="N306" i="7"/>
  <c r="O306" i="7" s="1"/>
  <c r="N635" i="7"/>
  <c r="O635" i="7" s="1"/>
  <c r="N854" i="7"/>
  <c r="O854" i="7" s="1"/>
  <c r="N799" i="7"/>
  <c r="O799" i="7" s="1"/>
  <c r="N341" i="7"/>
  <c r="O341" i="7" s="1"/>
  <c r="N186" i="7"/>
  <c r="O186" i="7" s="1"/>
  <c r="N391" i="7"/>
  <c r="O391" i="7" s="1"/>
  <c r="N627" i="7"/>
  <c r="O627" i="7" s="1"/>
  <c r="N14" i="7"/>
  <c r="O14" i="7" s="1"/>
  <c r="N724" i="7"/>
  <c r="O724" i="7" s="1"/>
  <c r="N771" i="7"/>
  <c r="O771" i="7" s="1"/>
  <c r="N64" i="7"/>
  <c r="O64" i="7" s="1"/>
  <c r="N648" i="7"/>
  <c r="O648" i="7" s="1"/>
  <c r="N139" i="7"/>
  <c r="O139" i="7" s="1"/>
  <c r="N735" i="7"/>
  <c r="O735" i="7" s="1"/>
  <c r="N737" i="7"/>
  <c r="O737" i="7" s="1"/>
  <c r="N384" i="7"/>
  <c r="O384" i="7" s="1"/>
  <c r="N569" i="7"/>
  <c r="O569" i="7" s="1"/>
  <c r="N168" i="7"/>
  <c r="O168" i="7" s="1"/>
  <c r="N734" i="7"/>
  <c r="O734" i="7" s="1"/>
  <c r="N856" i="7"/>
  <c r="O856" i="7" s="1"/>
  <c r="N310" i="7"/>
  <c r="O310" i="7" s="1"/>
  <c r="N542" i="7"/>
  <c r="O542" i="7" s="1"/>
  <c r="N345" i="7"/>
  <c r="O345" i="7" s="1"/>
  <c r="N24" i="7"/>
  <c r="O24" i="7" s="1"/>
  <c r="N497" i="7"/>
  <c r="O497" i="7" s="1"/>
  <c r="N775" i="7"/>
  <c r="O775" i="7" s="1"/>
  <c r="N397" i="7"/>
  <c r="O397" i="7" s="1"/>
  <c r="N361" i="7"/>
  <c r="O361" i="7" s="1"/>
  <c r="N22" i="7"/>
  <c r="O22" i="7" s="1"/>
  <c r="N86" i="7"/>
  <c r="O86" i="7" s="1"/>
  <c r="N606" i="7"/>
  <c r="O606" i="7" s="1"/>
  <c r="N162" i="7"/>
  <c r="O162" i="7" s="1"/>
  <c r="N25" i="7"/>
  <c r="O25" i="7" s="1"/>
  <c r="N144" i="7"/>
  <c r="O144" i="7" s="1"/>
  <c r="N822" i="7"/>
  <c r="O822" i="7" s="1"/>
  <c r="N690" i="7"/>
  <c r="O690" i="7" s="1"/>
  <c r="N687" i="7"/>
  <c r="O687" i="7" s="1"/>
  <c r="N702" i="7"/>
  <c r="O702" i="7" s="1"/>
  <c r="N261" i="7"/>
  <c r="O261" i="7" s="1"/>
  <c r="N805" i="7"/>
  <c r="O805" i="7" s="1"/>
  <c r="N710" i="7"/>
  <c r="O710" i="7" s="1"/>
  <c r="N331" i="7"/>
  <c r="O331" i="7" s="1"/>
  <c r="N461" i="7"/>
  <c r="O461" i="7" s="1"/>
  <c r="N478" i="7"/>
  <c r="O478" i="7" s="1"/>
  <c r="N777" i="7"/>
  <c r="O777" i="7" s="1"/>
  <c r="N752" i="7"/>
  <c r="O752" i="7" s="1"/>
  <c r="N501" i="7"/>
  <c r="O501" i="7" s="1"/>
  <c r="N506" i="7"/>
  <c r="O506" i="7" s="1"/>
  <c r="N27" i="7"/>
  <c r="O27" i="7" s="1"/>
  <c r="N134" i="7"/>
  <c r="O134" i="7" s="1"/>
  <c r="N228" i="7"/>
  <c r="O228" i="7" s="1"/>
  <c r="N429" i="7"/>
  <c r="O429" i="7" s="1"/>
  <c r="N302" i="7"/>
  <c r="O302" i="7" s="1"/>
  <c r="N19" i="7"/>
  <c r="O19" i="7" s="1"/>
  <c r="N643" i="7"/>
  <c r="O643" i="7" s="1"/>
  <c r="N522" i="7"/>
  <c r="O522" i="7" s="1"/>
  <c r="N830" i="7"/>
  <c r="O830" i="7" s="1"/>
  <c r="N865" i="7"/>
  <c r="O865" i="7" s="1"/>
  <c r="N826" i="7"/>
  <c r="O826" i="7" s="1"/>
  <c r="N814" i="7"/>
  <c r="O814" i="7" s="1"/>
  <c r="N541" i="7"/>
  <c r="O541" i="7" s="1"/>
  <c r="N53" i="7"/>
  <c r="O53" i="7" s="1"/>
  <c r="N74" i="7"/>
  <c r="O74" i="7" s="1"/>
  <c r="N642" i="7"/>
  <c r="O642" i="7" s="1"/>
  <c r="N827" i="7"/>
  <c r="O827" i="7" s="1"/>
  <c r="N365" i="7"/>
  <c r="O365" i="7" s="1"/>
  <c r="N770" i="7"/>
  <c r="O770" i="7" s="1"/>
  <c r="N619" i="7"/>
  <c r="O619" i="7" s="1"/>
  <c r="N444" i="7"/>
  <c r="O444" i="7" s="1"/>
  <c r="N823" i="7"/>
  <c r="O823" i="7" s="1"/>
  <c r="N252" i="7"/>
  <c r="O252" i="7" s="1"/>
  <c r="N110" i="7"/>
  <c r="O110" i="7" s="1"/>
  <c r="N529" i="7"/>
  <c r="O529" i="7" s="1"/>
  <c r="N614" i="7"/>
  <c r="O614" i="7" s="1"/>
  <c r="N552" i="7"/>
  <c r="O552" i="7" s="1"/>
  <c r="N551" i="7"/>
  <c r="O551" i="7" s="1"/>
  <c r="N507" i="7"/>
  <c r="O507" i="7" s="1"/>
  <c r="N289" i="7"/>
  <c r="O289" i="7" s="1"/>
  <c r="N34" i="7"/>
  <c r="O34" i="7" s="1"/>
  <c r="N332" i="7"/>
  <c r="O332" i="7" s="1"/>
  <c r="N329" i="7"/>
  <c r="O329" i="7" s="1"/>
  <c r="N212" i="7"/>
  <c r="O212" i="7" s="1"/>
  <c r="N113" i="7"/>
  <c r="O113" i="7" s="1"/>
  <c r="N210" i="7"/>
  <c r="O210" i="7" s="1"/>
  <c r="N789" i="7"/>
  <c r="O789" i="7" s="1"/>
  <c r="N521" i="7"/>
  <c r="O521" i="7" s="1"/>
  <c r="N828" i="7"/>
  <c r="O828" i="7" s="1"/>
  <c r="N387" i="7"/>
  <c r="O387" i="7" s="1"/>
  <c r="N369" i="7"/>
  <c r="O369" i="7" s="1"/>
  <c r="N15" i="7"/>
  <c r="O15" i="7" s="1"/>
  <c r="N813" i="7"/>
  <c r="O813" i="7" s="1"/>
  <c r="N717" i="7"/>
  <c r="O717" i="7" s="1"/>
  <c r="N179" i="7"/>
  <c r="O179" i="7" s="1"/>
  <c r="N174" i="7"/>
  <c r="O174" i="7" s="1"/>
  <c r="N586" i="7"/>
  <c r="O586" i="7" s="1"/>
  <c r="N404" i="7"/>
  <c r="O404" i="7" s="1"/>
  <c r="N764" i="7"/>
  <c r="O764" i="7" s="1"/>
  <c r="N512" i="7"/>
  <c r="O512" i="7" s="1"/>
  <c r="N245" i="7"/>
  <c r="O245" i="7" s="1"/>
  <c r="N148" i="7"/>
  <c r="O148" i="7" s="1"/>
  <c r="N761" i="7"/>
  <c r="O761" i="7" s="1"/>
  <c r="N445" i="7"/>
  <c r="O445" i="7" s="1"/>
  <c r="N678" i="7"/>
  <c r="O678" i="7" s="1"/>
  <c r="N539" i="7"/>
  <c r="O539" i="7" s="1"/>
  <c r="N583" i="7"/>
  <c r="O583" i="7" s="1"/>
  <c r="N381" i="7"/>
  <c r="O381" i="7" s="1"/>
  <c r="N462" i="7"/>
  <c r="O462" i="7" s="1"/>
  <c r="N400" i="7"/>
  <c r="O400" i="7" s="1"/>
  <c r="N588" i="7"/>
  <c r="O588" i="7" s="1"/>
  <c r="N559" i="7"/>
  <c r="O559" i="7" s="1"/>
  <c r="N582" i="7"/>
  <c r="O582" i="7" s="1"/>
  <c r="N661" i="7"/>
  <c r="O661" i="7" s="1"/>
  <c r="N111" i="7"/>
  <c r="O111" i="7" s="1"/>
  <c r="N847" i="7"/>
  <c r="O847" i="7" s="1"/>
  <c r="N672" i="7"/>
  <c r="O672" i="7" s="1"/>
  <c r="N312" i="7"/>
  <c r="O312" i="7" s="1"/>
  <c r="N820" i="7"/>
  <c r="O820" i="7" s="1"/>
  <c r="N772" i="7"/>
  <c r="O772" i="7" s="1"/>
  <c r="N242" i="7"/>
  <c r="O242" i="7" s="1"/>
  <c r="N193" i="7"/>
  <c r="O193" i="7" s="1"/>
  <c r="N701" i="7"/>
  <c r="O701" i="7" s="1"/>
  <c r="N848" i="7"/>
  <c r="O848" i="7" s="1"/>
  <c r="N749" i="7"/>
  <c r="O749" i="7" s="1"/>
  <c r="N89" i="7"/>
  <c r="O89" i="7" s="1"/>
  <c r="N44" i="7"/>
  <c r="O44" i="7" s="1"/>
  <c r="N628" i="7"/>
  <c r="O628" i="7" s="1"/>
  <c r="N88" i="7"/>
  <c r="O88" i="7" s="1"/>
  <c r="N757" i="7"/>
  <c r="O757" i="7" s="1"/>
  <c r="N598" i="7"/>
  <c r="O598" i="7" s="1"/>
  <c r="N51" i="7"/>
  <c r="O51" i="7" s="1"/>
  <c r="N634" i="7"/>
  <c r="O634" i="7" s="1"/>
  <c r="N825" i="7"/>
  <c r="O825" i="7" s="1"/>
  <c r="N81" i="7"/>
  <c r="O81" i="7" s="1"/>
  <c r="N45" i="7"/>
  <c r="O45" i="7" s="1"/>
  <c r="N554" i="7"/>
  <c r="O554" i="7" s="1"/>
  <c r="N616" i="7"/>
  <c r="O616" i="7" s="1"/>
  <c r="N349" i="7"/>
  <c r="O349" i="7" s="1"/>
  <c r="N664" i="7"/>
  <c r="O664" i="7" s="1"/>
  <c r="N201" i="7"/>
  <c r="O201" i="7" s="1"/>
  <c r="N778" i="7"/>
  <c r="O778" i="7" s="1"/>
  <c r="N604" i="7"/>
  <c r="O604" i="7" s="1"/>
  <c r="N653" i="7"/>
  <c r="O653" i="7" s="1"/>
  <c r="N436" i="7"/>
  <c r="O436" i="7" s="1"/>
  <c r="N741" i="7"/>
  <c r="O741" i="7" s="1"/>
  <c r="N544" i="7"/>
  <c r="O544" i="7" s="1"/>
  <c r="N647" i="7"/>
  <c r="O647" i="7" s="1"/>
  <c r="N733" i="7"/>
  <c r="O733" i="7" s="1"/>
  <c r="N656" i="7"/>
  <c r="O656" i="7" s="1"/>
  <c r="N550" i="7"/>
  <c r="O550" i="7" s="1"/>
  <c r="N645" i="7"/>
  <c r="O645" i="7" s="1"/>
  <c r="N427" i="7"/>
  <c r="O427" i="7" s="1"/>
  <c r="N191" i="7"/>
  <c r="O191" i="7" s="1"/>
  <c r="N225" i="7"/>
  <c r="O225" i="7" s="1"/>
  <c r="N527" i="7"/>
  <c r="O527" i="7" s="1"/>
  <c r="N736" i="7"/>
  <c r="O736" i="7" s="1"/>
  <c r="N602" i="7"/>
  <c r="O602" i="7" s="1"/>
  <c r="N765" i="7"/>
  <c r="O765" i="7" s="1"/>
  <c r="N263" i="7"/>
  <c r="O263" i="7" s="1"/>
  <c r="N660" i="7"/>
  <c r="O660" i="7" s="1"/>
  <c r="N304" i="7"/>
  <c r="O304" i="7" s="1"/>
  <c r="N342" i="7"/>
  <c r="O342" i="7" s="1"/>
  <c r="N503" i="7"/>
  <c r="O503" i="7" s="1"/>
  <c r="N322" i="7"/>
  <c r="O322" i="7" s="1"/>
  <c r="N280" i="7"/>
  <c r="O280" i="7" s="1"/>
  <c r="N340" i="7"/>
  <c r="O340" i="7" s="1"/>
  <c r="N755" i="7"/>
  <c r="O755" i="7" s="1"/>
  <c r="N579" i="7"/>
  <c r="O579" i="7" s="1"/>
  <c r="N465" i="7"/>
  <c r="O465" i="7" s="1"/>
  <c r="N150" i="7"/>
  <c r="O150" i="7" s="1"/>
  <c r="N11" i="7"/>
  <c r="O11" i="7" s="1"/>
  <c r="N491" i="7"/>
  <c r="O491" i="7" s="1"/>
  <c r="N533" i="7"/>
  <c r="O533" i="7" s="1"/>
  <c r="N688" i="7"/>
  <c r="O688" i="7" s="1"/>
  <c r="N8" i="7"/>
  <c r="O8" i="7" s="1"/>
  <c r="N374" i="7"/>
  <c r="O374" i="7" s="1"/>
  <c r="N344" i="7"/>
  <c r="O344" i="7" s="1"/>
  <c r="N725" i="7"/>
  <c r="O725" i="7" s="1"/>
  <c r="N343" i="7"/>
  <c r="O343" i="7" s="1"/>
  <c r="N742" i="7"/>
  <c r="O742" i="7" s="1"/>
  <c r="N283" i="7"/>
  <c r="O283" i="7" s="1"/>
  <c r="N574" i="7"/>
  <c r="O574" i="7" s="1"/>
  <c r="N256" i="7"/>
  <c r="O256" i="7" s="1"/>
  <c r="N220" i="7"/>
  <c r="O220" i="7" s="1"/>
  <c r="N417" i="7"/>
  <c r="O417" i="7" s="1"/>
  <c r="N17" i="7"/>
  <c r="O17" i="7" s="1"/>
  <c r="N600" i="7"/>
  <c r="O600" i="7" s="1"/>
  <c r="N407" i="7"/>
  <c r="O407" i="7" s="1"/>
  <c r="N82" i="7"/>
  <c r="O82" i="7" s="1"/>
  <c r="N846" i="7"/>
  <c r="O846" i="7" s="1"/>
  <c r="N727" i="7"/>
  <c r="O727" i="7" s="1"/>
  <c r="N800" i="7"/>
  <c r="O800" i="7" s="1"/>
  <c r="N183" i="7"/>
  <c r="O183" i="7" s="1"/>
  <c r="N759" i="7"/>
  <c r="O759" i="7" s="1"/>
  <c r="N523" i="7"/>
  <c r="O523" i="7" s="1"/>
  <c r="N213" i="7"/>
  <c r="O213" i="7" s="1"/>
  <c r="N763" i="7"/>
  <c r="O763" i="7" s="1"/>
  <c r="N308" i="7"/>
  <c r="O308" i="7" s="1"/>
  <c r="N333" i="7"/>
  <c r="O333" i="7" s="1"/>
  <c r="N853" i="7"/>
  <c r="O853" i="7" s="1"/>
  <c r="N275" i="7"/>
  <c r="O275" i="7" s="1"/>
  <c r="N287" i="7"/>
  <c r="O287" i="7" s="1"/>
  <c r="N630" i="7"/>
  <c r="O630" i="7" s="1"/>
  <c r="N832" i="7"/>
  <c r="O832" i="7" s="1"/>
  <c r="N514" i="7"/>
  <c r="O514" i="7" s="1"/>
  <c r="N35" i="7"/>
  <c r="O35" i="7" s="1"/>
  <c r="N258" i="7"/>
  <c r="O258" i="7" s="1"/>
  <c r="N681" i="7"/>
  <c r="O681" i="7" s="1"/>
  <c r="N760" i="7"/>
  <c r="O760" i="7" s="1"/>
  <c r="N564" i="7"/>
  <c r="O564" i="7" s="1"/>
  <c r="N354" i="7"/>
  <c r="O354" i="7" s="1"/>
  <c r="N233" i="7"/>
  <c r="O233" i="7" s="1"/>
  <c r="N137" i="7"/>
  <c r="O137" i="7" s="1"/>
  <c r="N474" i="7"/>
  <c r="O474" i="7" s="1"/>
  <c r="N298" i="7"/>
  <c r="O298" i="7" s="1"/>
  <c r="N585" i="7"/>
  <c r="O585" i="7" s="1"/>
  <c r="N267" i="7"/>
  <c r="O267" i="7" s="1"/>
  <c r="N829" i="7"/>
  <c r="O829" i="7" s="1"/>
  <c r="N524" i="7"/>
  <c r="O524" i="7" s="1"/>
  <c r="N632" i="7"/>
  <c r="O632" i="7" s="1"/>
  <c r="N715" i="7"/>
  <c r="O715" i="7" s="1"/>
  <c r="N518" i="7"/>
  <c r="O518" i="7" s="1"/>
  <c r="N295" i="7"/>
  <c r="O295" i="7" s="1"/>
  <c r="N610" i="7"/>
  <c r="O610" i="7" s="1"/>
  <c r="N330" i="7"/>
  <c r="O330" i="7" s="1"/>
  <c r="N334" i="7"/>
  <c r="O334" i="7" s="1"/>
  <c r="N428" i="7"/>
  <c r="O428" i="7" s="1"/>
  <c r="N500" i="7"/>
  <c r="O500" i="7" s="1"/>
  <c r="N457" i="7"/>
  <c r="O457" i="7" s="1"/>
  <c r="N568" i="7"/>
  <c r="O568" i="7" s="1"/>
  <c r="N592" i="7"/>
  <c r="O592" i="7" s="1"/>
  <c r="N290" i="7"/>
  <c r="O290" i="7" s="1"/>
  <c r="N146" i="7"/>
  <c r="O146" i="7" s="1"/>
  <c r="N718" i="7"/>
  <c r="O718" i="7" s="1"/>
  <c r="N706" i="7"/>
  <c r="O706" i="7" s="1"/>
  <c r="N705" i="7"/>
  <c r="O705" i="7" s="1"/>
  <c r="N494" i="7"/>
  <c r="O494" i="7" s="1"/>
  <c r="N851" i="7"/>
  <c r="O851" i="7" s="1"/>
  <c r="N508" i="7"/>
  <c r="O508" i="7" s="1"/>
  <c r="N158" i="7"/>
  <c r="O158" i="7" s="1"/>
  <c r="N668" i="7"/>
  <c r="O668" i="7" s="1"/>
  <c r="N425" i="7"/>
  <c r="O425" i="7" s="1"/>
  <c r="N615" i="7"/>
  <c r="O615" i="7" s="1"/>
  <c r="N868" i="7"/>
  <c r="O868" i="7" s="1"/>
  <c r="N857" i="7"/>
  <c r="O857" i="7" s="1"/>
  <c r="N152" i="7"/>
  <c r="O152" i="7" s="1"/>
  <c r="N446" i="7"/>
  <c r="O446" i="7" s="1"/>
  <c r="N286" i="7"/>
  <c r="O286" i="7" s="1"/>
  <c r="N502" i="7"/>
  <c r="O502" i="7" s="1"/>
  <c r="N115" i="7"/>
  <c r="O115" i="7" s="1"/>
  <c r="N812" i="7"/>
  <c r="O812" i="7" s="1"/>
  <c r="N297" i="7"/>
  <c r="O297" i="7" s="1"/>
  <c r="N779" i="7"/>
  <c r="O779" i="7" s="1"/>
  <c r="N237" i="7"/>
  <c r="O237" i="7" s="1"/>
  <c r="N613" i="7"/>
  <c r="O613" i="7" s="1"/>
  <c r="N143" i="7"/>
  <c r="O143" i="7" s="1"/>
  <c r="N836" i="7"/>
  <c r="O836" i="7" s="1"/>
  <c r="N669" i="7"/>
  <c r="O669" i="7" s="1"/>
  <c r="N561" i="7"/>
  <c r="O561" i="7" s="1"/>
  <c r="N838" i="7"/>
  <c r="O838" i="7" s="1"/>
  <c r="N362" i="7"/>
  <c r="O362" i="7" s="1"/>
  <c r="N605" i="7"/>
  <c r="O605" i="7" s="1"/>
  <c r="N103" i="7"/>
  <c r="O103" i="7" s="1"/>
  <c r="N414" i="7"/>
  <c r="O414" i="7" s="1"/>
  <c r="N754" i="7"/>
  <c r="O754" i="7" s="1"/>
  <c r="N172" i="7"/>
  <c r="O172" i="7" s="1"/>
  <c r="N433" i="7"/>
  <c r="O433" i="7" s="1"/>
  <c r="N807" i="7"/>
  <c r="O807" i="7" s="1"/>
  <c r="N136" i="7"/>
  <c r="O136" i="7" s="1"/>
  <c r="N575" i="7"/>
  <c r="O575" i="7" s="1"/>
  <c r="N90" i="7"/>
  <c r="O90" i="7" s="1"/>
  <c r="N159" i="7"/>
  <c r="O159" i="7" s="1"/>
  <c r="N102" i="7"/>
  <c r="O102" i="7" s="1"/>
  <c r="N768" i="7"/>
  <c r="O768" i="7" s="1"/>
  <c r="N13" i="7"/>
  <c r="O13" i="7" s="1"/>
  <c r="N549" i="7"/>
  <c r="O549" i="7" s="1"/>
  <c r="N21" i="7"/>
  <c r="O21" i="7" s="1"/>
  <c r="N147" i="7"/>
  <c r="O147" i="7" s="1"/>
  <c r="N442" i="7"/>
  <c r="O442" i="7" s="1"/>
  <c r="N323" i="7"/>
  <c r="O323" i="7" s="1"/>
  <c r="N839" i="7"/>
  <c r="O839" i="7" s="1"/>
  <c r="N546" i="7"/>
  <c r="O546" i="7" s="1"/>
  <c r="N870" i="7"/>
  <c r="O870" i="7" s="1"/>
  <c r="N596" i="7"/>
  <c r="O596" i="7" s="1"/>
  <c r="N80" i="7"/>
  <c r="O80" i="7" s="1"/>
  <c r="N122" i="7"/>
  <c r="O122" i="7" s="1"/>
  <c r="N631" i="7"/>
  <c r="O631" i="7" s="1"/>
  <c r="N719" i="7"/>
  <c r="O719" i="7" s="1"/>
  <c r="N722" i="7"/>
  <c r="O722" i="7" s="1"/>
  <c r="N774" i="7"/>
  <c r="O774" i="7" s="1"/>
  <c r="N72" i="7"/>
  <c r="O72" i="7" s="1"/>
  <c r="N98" i="7"/>
  <c r="O98" i="7" s="1"/>
  <c r="N731" i="7"/>
  <c r="O731" i="7" s="1"/>
  <c r="N597" i="7"/>
  <c r="O597" i="7" s="1"/>
  <c r="N484" i="7"/>
  <c r="O484" i="7" s="1"/>
  <c r="N565" i="7"/>
  <c r="O565" i="7" s="1"/>
  <c r="N54" i="7"/>
  <c r="O54" i="7" s="1"/>
  <c r="N545" i="7"/>
  <c r="O545" i="7" s="1"/>
  <c r="N403" i="7"/>
  <c r="O403" i="7" s="1"/>
  <c r="N867" i="7"/>
  <c r="O867" i="7" s="1"/>
  <c r="N273" i="7"/>
  <c r="O273" i="7" s="1"/>
  <c r="N780" i="7"/>
  <c r="O780" i="7" s="1"/>
  <c r="N205" i="7"/>
  <c r="O205" i="7" s="1"/>
  <c r="N386" i="7"/>
  <c r="O386" i="7" s="1"/>
  <c r="N149" i="7"/>
  <c r="O149" i="7" s="1"/>
  <c r="N319" i="7"/>
  <c r="O319" i="7" s="1"/>
  <c r="N657" i="7"/>
  <c r="O657" i="7" s="1"/>
  <c r="N459" i="7"/>
  <c r="O459" i="7" s="1"/>
  <c r="N84" i="7"/>
  <c r="O84" i="7" s="1"/>
  <c r="N200" i="7"/>
  <c r="O200" i="7" s="1"/>
  <c r="N285" i="7"/>
  <c r="O285" i="7" s="1"/>
  <c r="N187" i="7"/>
  <c r="O187" i="7" s="1"/>
  <c r="N154" i="7"/>
  <c r="O154" i="7" s="1"/>
  <c r="N695" i="7"/>
  <c r="O695" i="7" s="1"/>
  <c r="N58" i="7"/>
  <c r="O58" i="7" s="1"/>
  <c r="N249" i="7"/>
  <c r="O249" i="7" s="1"/>
  <c r="N723" i="7"/>
  <c r="O723" i="7" s="1"/>
  <c r="N753" i="7"/>
  <c r="O753" i="7" s="1"/>
  <c r="N133" i="7"/>
  <c r="O133" i="7" s="1"/>
  <c r="N509" i="7"/>
  <c r="O509" i="7" s="1"/>
  <c r="N255" i="7"/>
  <c r="O255" i="7" s="1"/>
  <c r="N581" i="7"/>
  <c r="O581" i="7" s="1"/>
  <c r="N356" i="7"/>
  <c r="O356" i="7" s="1"/>
  <c r="N209" i="7"/>
  <c r="O209" i="7" s="1"/>
  <c r="N577" i="7"/>
  <c r="O577" i="7" s="1"/>
  <c r="N704" i="7"/>
  <c r="O704" i="7" s="1"/>
  <c r="N402" i="7"/>
  <c r="O402" i="7" s="1"/>
  <c r="N519" i="7"/>
  <c r="O519" i="7" s="1"/>
  <c r="N167" i="7"/>
  <c r="O167" i="7" s="1"/>
  <c r="N744" i="7"/>
  <c r="O744" i="7" s="1"/>
  <c r="N817" i="7"/>
  <c r="O817" i="7" s="1"/>
  <c r="N202" i="7"/>
  <c r="O202" i="7" s="1"/>
  <c r="N203" i="7"/>
  <c r="O203" i="7" s="1"/>
  <c r="N108" i="7"/>
  <c r="O108" i="7" s="1"/>
  <c r="N303" i="7"/>
  <c r="O303" i="7" s="1"/>
  <c r="N809" i="7"/>
  <c r="O809" i="7" s="1"/>
  <c r="N762" i="7"/>
  <c r="O762" i="7" s="1"/>
  <c r="N844" i="7"/>
  <c r="O844" i="7" s="1"/>
  <c r="N525" i="7"/>
  <c r="O525" i="7" s="1"/>
  <c r="N184" i="7"/>
  <c r="O184" i="7" s="1"/>
  <c r="N452" i="7"/>
  <c r="O452" i="7" s="1"/>
  <c r="N443" i="7"/>
  <c r="O443" i="7" s="1"/>
  <c r="N83" i="7"/>
  <c r="O83" i="7" s="1"/>
  <c r="N279" i="7"/>
  <c r="O279" i="7" s="1"/>
  <c r="N135" i="7"/>
  <c r="O135" i="7" s="1"/>
  <c r="N30" i="7"/>
  <c r="O30" i="7" s="1"/>
  <c r="N784" i="7"/>
  <c r="O784" i="7" s="1"/>
  <c r="N680" i="7"/>
  <c r="O680" i="7" s="1"/>
  <c r="N164" i="7"/>
  <c r="O164" i="7" s="1"/>
  <c r="N208" i="7"/>
  <c r="O208" i="7" s="1"/>
  <c r="N313" i="7"/>
  <c r="O313" i="7" s="1"/>
  <c r="N682" i="7"/>
  <c r="O682" i="7" s="1"/>
  <c r="N671" i="7"/>
  <c r="O671" i="7" s="1"/>
  <c r="N801" i="7"/>
  <c r="O801" i="7" s="1"/>
  <c r="N563" i="7"/>
  <c r="O563" i="7" s="1"/>
  <c r="N787" i="7"/>
  <c r="O787" i="7" s="1"/>
  <c r="N367" i="7"/>
  <c r="O367" i="7" s="1"/>
  <c r="N291" i="7"/>
  <c r="O291" i="7" s="1"/>
  <c r="N138" i="7"/>
  <c r="O138" i="7" s="1"/>
  <c r="N536" i="7"/>
  <c r="O536" i="7" s="1"/>
  <c r="N236" i="7"/>
  <c r="O236" i="7" s="1"/>
  <c r="N196" i="7"/>
  <c r="O196" i="7" s="1"/>
  <c r="N791" i="7"/>
  <c r="O791" i="7" s="1"/>
  <c r="N100" i="7"/>
  <c r="O100" i="7" s="1"/>
  <c r="N618" i="7"/>
  <c r="O618" i="7" s="1"/>
  <c r="N385" i="7"/>
  <c r="O385" i="7" s="1"/>
  <c r="N558" i="7"/>
  <c r="O558" i="7" s="1"/>
  <c r="N107" i="7"/>
  <c r="O107" i="7" s="1"/>
  <c r="N679" i="7"/>
  <c r="O679" i="7" s="1"/>
  <c r="N216" i="7"/>
  <c r="O216" i="7" s="1"/>
  <c r="N858" i="7"/>
  <c r="O858" i="7" s="1"/>
  <c r="N587" i="7"/>
  <c r="O587" i="7" s="1"/>
  <c r="N730" i="7"/>
  <c r="O730" i="7" s="1"/>
  <c r="N790" i="7"/>
  <c r="O790" i="7" s="1"/>
  <c r="N320" i="7"/>
  <c r="O320" i="7" s="1"/>
  <c r="N864" i="7"/>
  <c r="O864" i="7" s="1"/>
  <c r="N833" i="7"/>
  <c r="O833" i="7" s="1"/>
  <c r="N328" i="7"/>
  <c r="O328" i="7" s="1"/>
  <c r="N746" i="7"/>
  <c r="O746" i="7" s="1"/>
  <c r="V289" i="7"/>
  <c r="W289" i="7" s="1"/>
  <c r="V34" i="7"/>
  <c r="W34" i="7" s="1"/>
  <c r="V332" i="7"/>
  <c r="W332" i="7" s="1"/>
  <c r="V329" i="7"/>
  <c r="W329" i="7" s="1"/>
  <c r="V212" i="7"/>
  <c r="W212" i="7" s="1"/>
  <c r="V113" i="7"/>
  <c r="W113" i="7" s="1"/>
  <c r="V210" i="7"/>
  <c r="W210" i="7" s="1"/>
  <c r="V789" i="7"/>
  <c r="W789" i="7" s="1"/>
  <c r="V521" i="7"/>
  <c r="W521" i="7" s="1"/>
  <c r="V828" i="7"/>
  <c r="W828" i="7" s="1"/>
  <c r="V387" i="7"/>
  <c r="W387" i="7" s="1"/>
  <c r="V369" i="7"/>
  <c r="W369" i="7" s="1"/>
  <c r="V15" i="7"/>
  <c r="W15" i="7" s="1"/>
  <c r="V813" i="7"/>
  <c r="W813" i="7" s="1"/>
  <c r="V717" i="7"/>
  <c r="W717" i="7" s="1"/>
  <c r="V179" i="7"/>
  <c r="W179" i="7" s="1"/>
  <c r="V174" i="7"/>
  <c r="W174" i="7" s="1"/>
  <c r="V586" i="7"/>
  <c r="W586" i="7" s="1"/>
  <c r="V404" i="7"/>
  <c r="W404" i="7" s="1"/>
  <c r="V764" i="7"/>
  <c r="W764" i="7" s="1"/>
  <c r="V512" i="7"/>
  <c r="W512" i="7" s="1"/>
  <c r="V245" i="7"/>
  <c r="W245" i="7" s="1"/>
  <c r="V148" i="7"/>
  <c r="W148" i="7" s="1"/>
  <c r="V761" i="7"/>
  <c r="W761" i="7" s="1"/>
  <c r="V445" i="7"/>
  <c r="W445" i="7" s="1"/>
  <c r="V678" i="7"/>
  <c r="W678" i="7" s="1"/>
  <c r="V539" i="7"/>
  <c r="W539" i="7" s="1"/>
  <c r="V583" i="7"/>
  <c r="W583" i="7" s="1"/>
  <c r="V381" i="7"/>
  <c r="W381" i="7" s="1"/>
  <c r="V462" i="7"/>
  <c r="W462" i="7" s="1"/>
  <c r="V400" i="7"/>
  <c r="W400" i="7" s="1"/>
  <c r="V588" i="7"/>
  <c r="W588" i="7" s="1"/>
  <c r="V559" i="7"/>
  <c r="W559" i="7" s="1"/>
  <c r="V582" i="7"/>
  <c r="W582" i="7" s="1"/>
  <c r="V661" i="7"/>
  <c r="W661" i="7" s="1"/>
  <c r="V111" i="7"/>
  <c r="W111" i="7" s="1"/>
  <c r="V847" i="7"/>
  <c r="W847" i="7" s="1"/>
  <c r="V672" i="7"/>
  <c r="W672" i="7" s="1"/>
  <c r="V312" i="7"/>
  <c r="W312" i="7" s="1"/>
  <c r="V820" i="7"/>
  <c r="W820" i="7" s="1"/>
  <c r="V772" i="7"/>
  <c r="W772" i="7" s="1"/>
  <c r="V242" i="7"/>
  <c r="W242" i="7" s="1"/>
  <c r="V193" i="7"/>
  <c r="W193" i="7" s="1"/>
  <c r="V701" i="7"/>
  <c r="W701" i="7" s="1"/>
  <c r="V848" i="7"/>
  <c r="W848" i="7" s="1"/>
  <c r="V749" i="7"/>
  <c r="W749" i="7" s="1"/>
  <c r="V89" i="7"/>
  <c r="W89" i="7" s="1"/>
  <c r="V44" i="7"/>
  <c r="W44" i="7" s="1"/>
  <c r="V628" i="7"/>
  <c r="W628" i="7" s="1"/>
  <c r="V88" i="7"/>
  <c r="W88" i="7" s="1"/>
  <c r="V757" i="7"/>
  <c r="W757" i="7" s="1"/>
  <c r="V598" i="7"/>
  <c r="W598" i="7" s="1"/>
  <c r="V51" i="7"/>
  <c r="W51" i="7" s="1"/>
  <c r="V634" i="7"/>
  <c r="W634" i="7" s="1"/>
  <c r="V825" i="7"/>
  <c r="W825" i="7" s="1"/>
  <c r="V81" i="7"/>
  <c r="W81" i="7" s="1"/>
  <c r="V45" i="7"/>
  <c r="W45" i="7" s="1"/>
  <c r="V554" i="7"/>
  <c r="W554" i="7" s="1"/>
  <c r="V616" i="7"/>
  <c r="W616" i="7" s="1"/>
  <c r="V349" i="7"/>
  <c r="W349" i="7" s="1"/>
  <c r="V664" i="7"/>
  <c r="W664" i="7" s="1"/>
  <c r="V201" i="7"/>
  <c r="W201" i="7" s="1"/>
  <c r="V778" i="7"/>
  <c r="W778" i="7" s="1"/>
  <c r="V604" i="7"/>
  <c r="W604" i="7" s="1"/>
  <c r="V653" i="7"/>
  <c r="W653" i="7" s="1"/>
  <c r="V436" i="7"/>
  <c r="W436" i="7" s="1"/>
  <c r="V741" i="7"/>
  <c r="W741" i="7" s="1"/>
  <c r="V544" i="7"/>
  <c r="W544" i="7" s="1"/>
  <c r="V647" i="7"/>
  <c r="W647" i="7" s="1"/>
  <c r="V733" i="7"/>
  <c r="W733" i="7" s="1"/>
  <c r="V656" i="7"/>
  <c r="W656" i="7" s="1"/>
  <c r="V550" i="7"/>
  <c r="W550" i="7" s="1"/>
  <c r="V645" i="7"/>
  <c r="W645" i="7" s="1"/>
  <c r="V427" i="7"/>
  <c r="W427" i="7" s="1"/>
  <c r="V191" i="7"/>
  <c r="W191" i="7" s="1"/>
  <c r="V225" i="7"/>
  <c r="W225" i="7" s="1"/>
  <c r="V527" i="7"/>
  <c r="W527" i="7" s="1"/>
  <c r="V736" i="7"/>
  <c r="W736" i="7" s="1"/>
  <c r="V602" i="7"/>
  <c r="W602" i="7" s="1"/>
  <c r="V765" i="7"/>
  <c r="W765" i="7" s="1"/>
  <c r="V263" i="7"/>
  <c r="W263" i="7" s="1"/>
  <c r="V660" i="7"/>
  <c r="W660" i="7" s="1"/>
  <c r="V304" i="7"/>
  <c r="W304" i="7" s="1"/>
  <c r="V342" i="7"/>
  <c r="W342" i="7" s="1"/>
  <c r="V503" i="7"/>
  <c r="W503" i="7" s="1"/>
  <c r="V322" i="7"/>
  <c r="W322" i="7" s="1"/>
  <c r="V280" i="7"/>
  <c r="W280" i="7" s="1"/>
  <c r="V340" i="7"/>
  <c r="W340" i="7" s="1"/>
  <c r="V755" i="7"/>
  <c r="W755" i="7" s="1"/>
  <c r="V579" i="7"/>
  <c r="W579" i="7" s="1"/>
  <c r="V465" i="7"/>
  <c r="W465" i="7" s="1"/>
  <c r="V150" i="7"/>
  <c r="W150" i="7" s="1"/>
  <c r="V11" i="7"/>
  <c r="W11" i="7" s="1"/>
  <c r="V491" i="7"/>
  <c r="W491" i="7" s="1"/>
  <c r="V533" i="7"/>
  <c r="W533" i="7" s="1"/>
  <c r="V688" i="7"/>
  <c r="W688" i="7" s="1"/>
  <c r="V8" i="7"/>
  <c r="W8" i="7" s="1"/>
  <c r="V374" i="7"/>
  <c r="W374" i="7" s="1"/>
  <c r="V344" i="7"/>
  <c r="W344" i="7" s="1"/>
  <c r="V725" i="7"/>
  <c r="W725" i="7" s="1"/>
  <c r="V343" i="7"/>
  <c r="W343" i="7" s="1"/>
  <c r="V742" i="7"/>
  <c r="W742" i="7" s="1"/>
  <c r="V283" i="7"/>
  <c r="W283" i="7" s="1"/>
  <c r="V574" i="7"/>
  <c r="W574" i="7" s="1"/>
  <c r="V256" i="7"/>
  <c r="W256" i="7" s="1"/>
  <c r="V220" i="7"/>
  <c r="W220" i="7" s="1"/>
  <c r="V417" i="7"/>
  <c r="W417" i="7" s="1"/>
  <c r="V17" i="7"/>
  <c r="W17" i="7" s="1"/>
  <c r="V600" i="7"/>
  <c r="W600" i="7" s="1"/>
  <c r="V407" i="7"/>
  <c r="W407" i="7" s="1"/>
  <c r="V82" i="7"/>
  <c r="W82" i="7" s="1"/>
  <c r="V846" i="7"/>
  <c r="W846" i="7" s="1"/>
  <c r="V727" i="7"/>
  <c r="W727" i="7" s="1"/>
  <c r="V800" i="7"/>
  <c r="W800" i="7" s="1"/>
  <c r="V183" i="7"/>
  <c r="W183" i="7" s="1"/>
  <c r="V759" i="7"/>
  <c r="W759" i="7" s="1"/>
  <c r="V523" i="7"/>
  <c r="W523" i="7" s="1"/>
  <c r="V213" i="7"/>
  <c r="W213" i="7" s="1"/>
  <c r="V763" i="7"/>
  <c r="W763" i="7" s="1"/>
  <c r="V308" i="7"/>
  <c r="W308" i="7" s="1"/>
  <c r="V333" i="7"/>
  <c r="W333" i="7" s="1"/>
  <c r="V853" i="7"/>
  <c r="W853" i="7" s="1"/>
  <c r="V275" i="7"/>
  <c r="W275" i="7" s="1"/>
  <c r="V287" i="7"/>
  <c r="W287" i="7" s="1"/>
  <c r="V630" i="7"/>
  <c r="W630" i="7" s="1"/>
  <c r="V832" i="7"/>
  <c r="W832" i="7" s="1"/>
  <c r="V514" i="7"/>
  <c r="W514" i="7" s="1"/>
  <c r="V35" i="7"/>
  <c r="W35" i="7" s="1"/>
  <c r="V258" i="7"/>
  <c r="W258" i="7" s="1"/>
  <c r="V681" i="7"/>
  <c r="W681" i="7" s="1"/>
  <c r="V760" i="7"/>
  <c r="W760" i="7" s="1"/>
  <c r="V564" i="7"/>
  <c r="W564" i="7" s="1"/>
  <c r="V354" i="7"/>
  <c r="W354" i="7" s="1"/>
  <c r="V233" i="7"/>
  <c r="W233" i="7" s="1"/>
  <c r="V137" i="7"/>
  <c r="W137" i="7" s="1"/>
  <c r="V474" i="7"/>
  <c r="W474" i="7" s="1"/>
  <c r="V298" i="7"/>
  <c r="W298" i="7" s="1"/>
  <c r="V585" i="7"/>
  <c r="W585" i="7" s="1"/>
  <c r="V267" i="7"/>
  <c r="W267" i="7" s="1"/>
  <c r="V829" i="7"/>
  <c r="W829" i="7" s="1"/>
  <c r="V524" i="7"/>
  <c r="W524" i="7" s="1"/>
  <c r="V632" i="7"/>
  <c r="W632" i="7" s="1"/>
  <c r="V715" i="7"/>
  <c r="W715" i="7" s="1"/>
  <c r="V518" i="7"/>
  <c r="W518" i="7" s="1"/>
  <c r="V295" i="7"/>
  <c r="W295" i="7" s="1"/>
  <c r="V610" i="7"/>
  <c r="W610" i="7" s="1"/>
  <c r="V330" i="7"/>
  <c r="W330" i="7" s="1"/>
  <c r="V334" i="7"/>
  <c r="W334" i="7" s="1"/>
  <c r="V428" i="7"/>
  <c r="W428" i="7" s="1"/>
  <c r="V500" i="7"/>
  <c r="W500" i="7" s="1"/>
  <c r="V457" i="7"/>
  <c r="W457" i="7" s="1"/>
  <c r="V568" i="7"/>
  <c r="W568" i="7" s="1"/>
  <c r="V592" i="7"/>
  <c r="W592" i="7" s="1"/>
  <c r="V290" i="7"/>
  <c r="W290" i="7" s="1"/>
  <c r="V146" i="7"/>
  <c r="W146" i="7" s="1"/>
  <c r="V718" i="7"/>
  <c r="W718" i="7" s="1"/>
  <c r="V706" i="7"/>
  <c r="W706" i="7" s="1"/>
  <c r="V705" i="7"/>
  <c r="W705" i="7" s="1"/>
  <c r="V494" i="7"/>
  <c r="W494" i="7" s="1"/>
  <c r="V851" i="7"/>
  <c r="W851" i="7" s="1"/>
  <c r="V508" i="7"/>
  <c r="W508" i="7" s="1"/>
  <c r="V158" i="7"/>
  <c r="W158" i="7" s="1"/>
  <c r="V668" i="7"/>
  <c r="W668" i="7" s="1"/>
  <c r="V425" i="7"/>
  <c r="W425" i="7" s="1"/>
  <c r="V615" i="7"/>
  <c r="W615" i="7" s="1"/>
  <c r="V868" i="7"/>
  <c r="W868" i="7" s="1"/>
  <c r="V857" i="7"/>
  <c r="W857" i="7" s="1"/>
  <c r="V152" i="7"/>
  <c r="W152" i="7" s="1"/>
  <c r="V446" i="7"/>
  <c r="W446" i="7" s="1"/>
  <c r="V286" i="7"/>
  <c r="W286" i="7" s="1"/>
  <c r="V502" i="7"/>
  <c r="W502" i="7" s="1"/>
  <c r="V115" i="7"/>
  <c r="W115" i="7" s="1"/>
  <c r="V812" i="7"/>
  <c r="W812" i="7" s="1"/>
  <c r="V297" i="7"/>
  <c r="W297" i="7" s="1"/>
  <c r="V779" i="7"/>
  <c r="W779" i="7" s="1"/>
  <c r="V237" i="7"/>
  <c r="W237" i="7" s="1"/>
  <c r="V613" i="7"/>
  <c r="W613" i="7" s="1"/>
  <c r="V143" i="7"/>
  <c r="W143" i="7" s="1"/>
  <c r="V836" i="7"/>
  <c r="W836" i="7" s="1"/>
  <c r="V669" i="7"/>
  <c r="W669" i="7" s="1"/>
  <c r="V561" i="7"/>
  <c r="W561" i="7" s="1"/>
  <c r="V838" i="7"/>
  <c r="W838" i="7" s="1"/>
  <c r="V362" i="7"/>
  <c r="W362" i="7" s="1"/>
  <c r="V605" i="7"/>
  <c r="W605" i="7" s="1"/>
  <c r="V103" i="7"/>
  <c r="W103" i="7" s="1"/>
  <c r="V414" i="7"/>
  <c r="W414" i="7" s="1"/>
  <c r="V754" i="7"/>
  <c r="W754" i="7" s="1"/>
  <c r="V172" i="7"/>
  <c r="W172" i="7" s="1"/>
  <c r="V433" i="7"/>
  <c r="W433" i="7" s="1"/>
  <c r="V807" i="7"/>
  <c r="W807" i="7" s="1"/>
  <c r="V136" i="7"/>
  <c r="W136" i="7" s="1"/>
  <c r="V575" i="7"/>
  <c r="W575" i="7" s="1"/>
  <c r="V90" i="7"/>
  <c r="W90" i="7" s="1"/>
  <c r="V159" i="7"/>
  <c r="W159" i="7" s="1"/>
  <c r="V102" i="7"/>
  <c r="W102" i="7" s="1"/>
  <c r="V768" i="7"/>
  <c r="W768" i="7" s="1"/>
  <c r="V13" i="7"/>
  <c r="W13" i="7" s="1"/>
  <c r="V549" i="7"/>
  <c r="W549" i="7" s="1"/>
  <c r="V21" i="7"/>
  <c r="W21" i="7" s="1"/>
  <c r="V147" i="7"/>
  <c r="W147" i="7" s="1"/>
  <c r="V442" i="7"/>
  <c r="W442" i="7" s="1"/>
  <c r="V323" i="7"/>
  <c r="W323" i="7" s="1"/>
  <c r="V839" i="7"/>
  <c r="W839" i="7" s="1"/>
  <c r="V546" i="7"/>
  <c r="W546" i="7" s="1"/>
  <c r="V870" i="7"/>
  <c r="W870" i="7" s="1"/>
  <c r="V596" i="7"/>
  <c r="W596" i="7" s="1"/>
  <c r="V80" i="7"/>
  <c r="W80" i="7" s="1"/>
  <c r="V122" i="7"/>
  <c r="W122" i="7" s="1"/>
  <c r="V631" i="7"/>
  <c r="W631" i="7" s="1"/>
  <c r="V719" i="7"/>
  <c r="W719" i="7" s="1"/>
  <c r="V722" i="7"/>
  <c r="W722" i="7" s="1"/>
  <c r="V774" i="7"/>
  <c r="W774" i="7" s="1"/>
  <c r="V72" i="7"/>
  <c r="W72" i="7" s="1"/>
  <c r="V98" i="7"/>
  <c r="W98" i="7" s="1"/>
  <c r="V731" i="7"/>
  <c r="W731" i="7" s="1"/>
  <c r="V597" i="7"/>
  <c r="W597" i="7" s="1"/>
  <c r="V484" i="7"/>
  <c r="W484" i="7" s="1"/>
  <c r="V565" i="7"/>
  <c r="W565" i="7" s="1"/>
  <c r="V54" i="7"/>
  <c r="W54" i="7" s="1"/>
  <c r="V545" i="7"/>
  <c r="W545" i="7" s="1"/>
  <c r="V403" i="7"/>
  <c r="W403" i="7" s="1"/>
  <c r="V867" i="7"/>
  <c r="W867" i="7" s="1"/>
  <c r="V273" i="7"/>
  <c r="W273" i="7" s="1"/>
  <c r="V780" i="7"/>
  <c r="W780" i="7" s="1"/>
  <c r="V205" i="7"/>
  <c r="W205" i="7" s="1"/>
  <c r="V386" i="7"/>
  <c r="W386" i="7" s="1"/>
  <c r="V149" i="7"/>
  <c r="W149" i="7" s="1"/>
  <c r="V319" i="7"/>
  <c r="W319" i="7" s="1"/>
  <c r="V657" i="7"/>
  <c r="W657" i="7" s="1"/>
  <c r="V209" i="7"/>
  <c r="W209" i="7" s="1"/>
  <c r="V459" i="7"/>
  <c r="W459" i="7" s="1"/>
  <c r="V784" i="7"/>
  <c r="W784" i="7" s="1"/>
  <c r="V138" i="7"/>
  <c r="W138" i="7" s="1"/>
  <c r="V216" i="7"/>
  <c r="W216" i="7" s="1"/>
  <c r="V328" i="7"/>
  <c r="W328" i="7" s="1"/>
  <c r="V154" i="7"/>
  <c r="W154" i="7" s="1"/>
  <c r="V577" i="7"/>
  <c r="W577" i="7" s="1"/>
  <c r="V303" i="7"/>
  <c r="W303" i="7" s="1"/>
  <c r="V680" i="7"/>
  <c r="W680" i="7" s="1"/>
  <c r="V536" i="7"/>
  <c r="W536" i="7" s="1"/>
  <c r="V858" i="7"/>
  <c r="W858" i="7" s="1"/>
  <c r="V285" i="7"/>
  <c r="W285" i="7" s="1"/>
  <c r="V695" i="7"/>
  <c r="W695" i="7" s="1"/>
  <c r="V704" i="7"/>
  <c r="W704" i="7" s="1"/>
  <c r="V809" i="7"/>
  <c r="W809" i="7" s="1"/>
  <c r="V164" i="7"/>
  <c r="W164" i="7" s="1"/>
  <c r="V587" i="7"/>
  <c r="W587" i="7" s="1"/>
  <c r="V58" i="7"/>
  <c r="W58" i="7" s="1"/>
  <c r="V402" i="7"/>
  <c r="W402" i="7" s="1"/>
  <c r="V762" i="7"/>
  <c r="W762" i="7" s="1"/>
  <c r="V236" i="7"/>
  <c r="W236" i="7" s="1"/>
  <c r="V367" i="7"/>
  <c r="W367" i="7" s="1"/>
  <c r="V249" i="7"/>
  <c r="W249" i="7" s="1"/>
  <c r="V844" i="7"/>
  <c r="W844" i="7" s="1"/>
  <c r="V208" i="7"/>
  <c r="W208" i="7" s="1"/>
  <c r="V196" i="7"/>
  <c r="W196" i="7" s="1"/>
  <c r="V730" i="7"/>
  <c r="W730" i="7" s="1"/>
  <c r="V135" i="7"/>
  <c r="W135" i="7" s="1"/>
  <c r="V723" i="7"/>
  <c r="W723" i="7" s="1"/>
  <c r="V519" i="7"/>
  <c r="W519" i="7" s="1"/>
  <c r="V525" i="7"/>
  <c r="W525" i="7" s="1"/>
  <c r="V313" i="7"/>
  <c r="W313" i="7" s="1"/>
  <c r="V791" i="7"/>
  <c r="W791" i="7" s="1"/>
  <c r="V790" i="7"/>
  <c r="W790" i="7" s="1"/>
  <c r="V753" i="7"/>
  <c r="W753" i="7" s="1"/>
  <c r="V167" i="7"/>
  <c r="W167" i="7" s="1"/>
  <c r="V682" i="7"/>
  <c r="W682" i="7" s="1"/>
  <c r="V100" i="7"/>
  <c r="W100" i="7" s="1"/>
  <c r="V746" i="7"/>
  <c r="W746" i="7" s="1"/>
  <c r="V84" i="7"/>
  <c r="W84" i="7" s="1"/>
  <c r="V133" i="7"/>
  <c r="W133" i="7" s="1"/>
  <c r="V744" i="7"/>
  <c r="W744" i="7" s="1"/>
  <c r="V184" i="7"/>
  <c r="W184" i="7" s="1"/>
  <c r="V671" i="7"/>
  <c r="W671" i="7" s="1"/>
  <c r="V618" i="7"/>
  <c r="W618" i="7" s="1"/>
  <c r="V320" i="7"/>
  <c r="W320" i="7" s="1"/>
  <c r="V187" i="7"/>
  <c r="W187" i="7" s="1"/>
  <c r="V509" i="7"/>
  <c r="W509" i="7" s="1"/>
  <c r="V817" i="7"/>
  <c r="W817" i="7" s="1"/>
  <c r="V452" i="7"/>
  <c r="W452" i="7" s="1"/>
  <c r="V801" i="7"/>
  <c r="W801" i="7" s="1"/>
  <c r="V385" i="7"/>
  <c r="W385" i="7" s="1"/>
  <c r="V864" i="7"/>
  <c r="W864" i="7" s="1"/>
  <c r="V679" i="7"/>
  <c r="W679" i="7" s="1"/>
  <c r="V200" i="7"/>
  <c r="W200" i="7" s="1"/>
  <c r="V255" i="7"/>
  <c r="W255" i="7" s="1"/>
  <c r="V202" i="7"/>
  <c r="W202" i="7" s="1"/>
  <c r="V443" i="7"/>
  <c r="W443" i="7" s="1"/>
  <c r="V563" i="7"/>
  <c r="W563" i="7" s="1"/>
  <c r="V558" i="7"/>
  <c r="W558" i="7" s="1"/>
  <c r="V291" i="7"/>
  <c r="W291" i="7" s="1"/>
  <c r="V581" i="7"/>
  <c r="W581" i="7" s="1"/>
  <c r="V203" i="7"/>
  <c r="W203" i="7" s="1"/>
  <c r="V83" i="7"/>
  <c r="W83" i="7" s="1"/>
  <c r="V787" i="7"/>
  <c r="W787" i="7" s="1"/>
  <c r="V107" i="7"/>
  <c r="W107" i="7" s="1"/>
  <c r="V833" i="7"/>
  <c r="W833" i="7" s="1"/>
  <c r="V30" i="7"/>
  <c r="W30" i="7" s="1"/>
  <c r="V356" i="7"/>
  <c r="W356" i="7" s="1"/>
  <c r="V108" i="7"/>
  <c r="W108" i="7" s="1"/>
  <c r="V279" i="7"/>
  <c r="W279" i="7" s="1"/>
  <c r="V415" i="7"/>
  <c r="W415" i="7" s="1"/>
  <c r="V380" i="7"/>
  <c r="W380" i="7" s="1"/>
  <c r="V584" i="7"/>
  <c r="W584" i="7" s="1"/>
  <c r="V601" i="7"/>
  <c r="W601" i="7" s="1"/>
  <c r="V548" i="7"/>
  <c r="W548" i="7" s="1"/>
  <c r="V38" i="7"/>
  <c r="W38" i="7" s="1"/>
  <c r="V511" i="7"/>
  <c r="W511" i="7" s="1"/>
  <c r="V383" i="7"/>
  <c r="W383" i="7" s="1"/>
  <c r="V46" i="7"/>
  <c r="W46" i="7" s="1"/>
  <c r="V740" i="7"/>
  <c r="W740" i="7" s="1"/>
  <c r="V411" i="7"/>
  <c r="W411" i="7" s="1"/>
  <c r="V422" i="7"/>
  <c r="W422" i="7" s="1"/>
  <c r="V57" i="7"/>
  <c r="W57" i="7" s="1"/>
  <c r="V686" i="7"/>
  <c r="W686" i="7" s="1"/>
  <c r="V673" i="7"/>
  <c r="W673" i="7" s="1"/>
  <c r="V570" i="7"/>
  <c r="W570" i="7" s="1"/>
  <c r="V449" i="7"/>
  <c r="W449" i="7" s="1"/>
  <c r="V277" i="7"/>
  <c r="W277" i="7" s="1"/>
  <c r="V496" i="7"/>
  <c r="W496" i="7" s="1"/>
  <c r="V132" i="7"/>
  <c r="W132" i="7" s="1"/>
  <c r="V419" i="7"/>
  <c r="W419" i="7" s="1"/>
  <c r="V623" i="7"/>
  <c r="W623" i="7" s="1"/>
  <c r="V401" i="7"/>
  <c r="W401" i="7" s="1"/>
  <c r="V466" i="7"/>
  <c r="W466" i="7" s="1"/>
  <c r="V622" i="7"/>
  <c r="W622" i="7" s="1"/>
  <c r="V526" i="7"/>
  <c r="W526" i="7" s="1"/>
  <c r="V12" i="7"/>
  <c r="W12" i="7" s="1"/>
  <c r="V272" i="7"/>
  <c r="W272" i="7" s="1"/>
  <c r="V363" i="7"/>
  <c r="W363" i="7" s="1"/>
  <c r="V477" i="7"/>
  <c r="W477" i="7" s="1"/>
  <c r="V226" i="7"/>
  <c r="W226" i="7" s="1"/>
  <c r="V611" i="7"/>
  <c r="W611" i="7" s="1"/>
  <c r="V128" i="7"/>
  <c r="W128" i="7" s="1"/>
  <c r="V169" i="7"/>
  <c r="W169" i="7" s="1"/>
  <c r="V729" i="7"/>
  <c r="W729" i="7" s="1"/>
  <c r="V29" i="7"/>
  <c r="W29" i="7" s="1"/>
  <c r="V435" i="7"/>
  <c r="W435" i="7" s="1"/>
  <c r="V151" i="7"/>
  <c r="W151" i="7" s="1"/>
  <c r="V268" i="7"/>
  <c r="W268" i="7" s="1"/>
  <c r="V222" i="7"/>
  <c r="W222" i="7" s="1"/>
  <c r="V666" i="7"/>
  <c r="W666" i="7" s="1"/>
  <c r="V259" i="7"/>
  <c r="W259" i="7" s="1"/>
  <c r="V416" i="7"/>
  <c r="W416" i="7" s="1"/>
  <c r="V560" i="7"/>
  <c r="W560" i="7" s="1"/>
  <c r="V190" i="7"/>
  <c r="W190" i="7" s="1"/>
  <c r="V837" i="7"/>
  <c r="W837" i="7" s="1"/>
  <c r="V607" i="7"/>
  <c r="W607" i="7" s="1"/>
  <c r="V806" i="7"/>
  <c r="W806" i="7" s="1"/>
  <c r="V364" i="7"/>
  <c r="W364" i="7" s="1"/>
  <c r="V685" i="7"/>
  <c r="W685" i="7" s="1"/>
  <c r="V372" i="7"/>
  <c r="W372" i="7" s="1"/>
  <c r="V67" i="7"/>
  <c r="W67" i="7" s="1"/>
  <c r="V219" i="7"/>
  <c r="W219" i="7" s="1"/>
  <c r="V375" i="7"/>
  <c r="W375" i="7" s="1"/>
  <c r="V399" i="7"/>
  <c r="W399" i="7" s="1"/>
  <c r="V798" i="7"/>
  <c r="W798" i="7" s="1"/>
  <c r="V515" i="7"/>
  <c r="W515" i="7" s="1"/>
  <c r="V9" i="7"/>
  <c r="W9" i="7" s="1"/>
  <c r="V621" i="7"/>
  <c r="W621" i="7" s="1"/>
  <c r="V721" i="7"/>
  <c r="W721" i="7" s="1"/>
  <c r="V250" i="7"/>
  <c r="W250" i="7" s="1"/>
  <c r="V76" i="7"/>
  <c r="W76" i="7" s="1"/>
  <c r="V325" i="7"/>
  <c r="W325" i="7" s="1"/>
  <c r="V173" i="7"/>
  <c r="W173" i="7" s="1"/>
  <c r="V405" i="7"/>
  <c r="W405" i="7" s="1"/>
  <c r="V802" i="7"/>
  <c r="W802" i="7" s="1"/>
  <c r="V716" i="7"/>
  <c r="W716" i="7" s="1"/>
  <c r="V207" i="7"/>
  <c r="W207" i="7" s="1"/>
  <c r="V68" i="7"/>
  <c r="W68" i="7" s="1"/>
  <c r="V773" i="7"/>
  <c r="W773" i="7" s="1"/>
  <c r="V816" i="7"/>
  <c r="W816" i="7" s="1"/>
  <c r="V451" i="7"/>
  <c r="W451" i="7" s="1"/>
  <c r="V85" i="7"/>
  <c r="W85" i="7" s="1"/>
  <c r="V161" i="7"/>
  <c r="W161" i="7" s="1"/>
  <c r="V350" i="7"/>
  <c r="W350" i="7" s="1"/>
  <c r="V629" i="7"/>
  <c r="W629" i="7" s="1"/>
  <c r="V70" i="7"/>
  <c r="W70" i="7" s="1"/>
  <c r="V532" i="7"/>
  <c r="W532" i="7" s="1"/>
  <c r="V426" i="7"/>
  <c r="W426" i="7" s="1"/>
  <c r="V97" i="7"/>
  <c r="W97" i="7" s="1"/>
  <c r="V756" i="7"/>
  <c r="W756" i="7" s="1"/>
  <c r="V377" i="7"/>
  <c r="W377" i="7" s="1"/>
  <c r="V663" i="7"/>
  <c r="W663" i="7" s="1"/>
  <c r="V540" i="7"/>
  <c r="W540" i="7" s="1"/>
  <c r="V114" i="7"/>
  <c r="W114" i="7" s="1"/>
  <c r="V282" i="7"/>
  <c r="W282" i="7" s="1"/>
  <c r="V316" i="7"/>
  <c r="W316" i="7" s="1"/>
  <c r="V676" i="7"/>
  <c r="W676" i="7" s="1"/>
  <c r="V576" i="7"/>
  <c r="W576" i="7" s="1"/>
  <c r="V658" i="7"/>
  <c r="W658" i="7" s="1"/>
  <c r="V479" i="7"/>
  <c r="W479" i="7" s="1"/>
  <c r="V125" i="7"/>
  <c r="W125" i="7" s="1"/>
  <c r="V61" i="7"/>
  <c r="W61" i="7" s="1"/>
  <c r="V782" i="7"/>
  <c r="W782" i="7" s="1"/>
  <c r="V165" i="7"/>
  <c r="W165" i="7" s="1"/>
  <c r="V388" i="7"/>
  <c r="W388" i="7" s="1"/>
  <c r="V418" i="7"/>
  <c r="W418" i="7" s="1"/>
  <c r="V241" i="7"/>
  <c r="W241" i="7" s="1"/>
  <c r="V855" i="7"/>
  <c r="W855" i="7" s="1"/>
  <c r="V166" i="7"/>
  <c r="W166" i="7" s="1"/>
  <c r="V37" i="7"/>
  <c r="W37" i="7" s="1"/>
  <c r="V796" i="7"/>
  <c r="W796" i="7" s="1"/>
  <c r="V667" i="7"/>
  <c r="W667" i="7" s="1"/>
  <c r="V555" i="7"/>
  <c r="W555" i="7" s="1"/>
  <c r="V278" i="7"/>
  <c r="W278" i="7" s="1"/>
  <c r="V580" i="7"/>
  <c r="W580" i="7" s="1"/>
  <c r="V808" i="7"/>
  <c r="W808" i="7" s="1"/>
  <c r="V504" i="7"/>
  <c r="W504" i="7" s="1"/>
  <c r="V42" i="7"/>
  <c r="W42" i="7" s="1"/>
  <c r="V141" i="7"/>
  <c r="W141" i="7" s="1"/>
  <c r="V60" i="7"/>
  <c r="W60" i="7" s="1"/>
  <c r="V73" i="7"/>
  <c r="W73" i="7" s="1"/>
  <c r="V432" i="7"/>
  <c r="W432" i="7" s="1"/>
  <c r="V595" i="7"/>
  <c r="W595" i="7" s="1"/>
  <c r="V366" i="7"/>
  <c r="W366" i="7" s="1"/>
  <c r="V20" i="7"/>
  <c r="W20" i="7" s="1"/>
  <c r="V747" i="7"/>
  <c r="W747" i="7" s="1"/>
  <c r="V852" i="7"/>
  <c r="W852" i="7" s="1"/>
  <c r="V309" i="7"/>
  <c r="W309" i="7" s="1"/>
  <c r="V160" i="7"/>
  <c r="W160" i="7" s="1"/>
  <c r="V389" i="7"/>
  <c r="W389" i="7" s="1"/>
  <c r="V707" i="7"/>
  <c r="W707" i="7" s="1"/>
  <c r="V670" i="7"/>
  <c r="W670" i="7" s="1"/>
  <c r="V440" i="7"/>
  <c r="W440" i="7" s="1"/>
  <c r="V698" i="7"/>
  <c r="W698" i="7" s="1"/>
  <c r="V714" i="7"/>
  <c r="W714" i="7" s="1"/>
  <c r="V351" i="7"/>
  <c r="W351" i="7" s="1"/>
  <c r="V516" i="7"/>
  <c r="W516" i="7" s="1"/>
  <c r="V652" i="7"/>
  <c r="W652" i="7" s="1"/>
  <c r="V831" i="7"/>
  <c r="W831" i="7" s="1"/>
  <c r="V571" i="7"/>
  <c r="W571" i="7" s="1"/>
  <c r="V243" i="7"/>
  <c r="W243" i="7" s="1"/>
  <c r="V640" i="7"/>
  <c r="W640" i="7" s="1"/>
  <c r="V439" i="7"/>
  <c r="W439" i="7" s="1"/>
  <c r="V198" i="7"/>
  <c r="W198" i="7" s="1"/>
  <c r="V40" i="7"/>
  <c r="W40" i="7" s="1"/>
  <c r="V294" i="7"/>
  <c r="W294" i="7" s="1"/>
  <c r="V819" i="7"/>
  <c r="W819" i="7" s="1"/>
  <c r="V758" i="7"/>
  <c r="W758" i="7" s="1"/>
  <c r="V105" i="7"/>
  <c r="W105" i="7" s="1"/>
  <c r="V398" i="7"/>
  <c r="W398" i="7" s="1"/>
  <c r="V454" i="7"/>
  <c r="W454" i="7" s="1"/>
  <c r="V118" i="7"/>
  <c r="W118" i="7" s="1"/>
  <c r="V693" i="7"/>
  <c r="W693" i="7" s="1"/>
  <c r="V75" i="7"/>
  <c r="W75" i="7" s="1"/>
  <c r="V109" i="7"/>
  <c r="W109" i="7" s="1"/>
  <c r="V495" i="7"/>
  <c r="W495" i="7" s="1"/>
  <c r="V101" i="7"/>
  <c r="W101" i="7" s="1"/>
  <c r="V485" i="7"/>
  <c r="W485" i="7" s="1"/>
  <c r="V696" i="7"/>
  <c r="W696" i="7" s="1"/>
  <c r="V430" i="7"/>
  <c r="W430" i="7" s="1"/>
  <c r="V482" i="7"/>
  <c r="W482" i="7" s="1"/>
  <c r="V528" i="7"/>
  <c r="W528" i="7" s="1"/>
  <c r="V531" i="7"/>
  <c r="W531" i="7" s="1"/>
  <c r="V66" i="7"/>
  <c r="W66" i="7" s="1"/>
  <c r="V284" i="7"/>
  <c r="W284" i="7" s="1"/>
  <c r="V487" i="7"/>
  <c r="W487" i="7" s="1"/>
  <c r="V441" i="7"/>
  <c r="W441" i="7" s="1"/>
  <c r="V18" i="7"/>
  <c r="W18" i="7" s="1"/>
  <c r="V609" i="7"/>
  <c r="W609" i="7" s="1"/>
  <c r="V649" i="7"/>
  <c r="W649" i="7" s="1"/>
  <c r="V140" i="7"/>
  <c r="W140" i="7" s="1"/>
  <c r="V547" i="7"/>
  <c r="W547" i="7" s="1"/>
  <c r="V370" i="7"/>
  <c r="W370" i="7" s="1"/>
  <c r="V293" i="7"/>
  <c r="W293" i="7" s="1"/>
  <c r="V87" i="7"/>
  <c r="W87" i="7" s="1"/>
  <c r="V644" i="7"/>
  <c r="W644" i="7" s="1"/>
  <c r="V434" i="7"/>
  <c r="W434" i="7" s="1"/>
  <c r="V240" i="7"/>
  <c r="W240" i="7" s="1"/>
  <c r="V393" i="7"/>
  <c r="W393" i="7" s="1"/>
  <c r="V264" i="7"/>
  <c r="W264" i="7" s="1"/>
  <c r="V318" i="7"/>
  <c r="W318" i="7" s="1"/>
  <c r="V834" i="7"/>
  <c r="W834" i="7" s="1"/>
  <c r="V665" i="7"/>
  <c r="W665" i="7" s="1"/>
  <c r="V437" i="7"/>
  <c r="W437" i="7" s="1"/>
  <c r="V262" i="7"/>
  <c r="W262" i="7" s="1"/>
  <c r="V338" i="7"/>
  <c r="W338" i="7" s="1"/>
  <c r="V708" i="7"/>
  <c r="W708" i="7" s="1"/>
  <c r="V843" i="7"/>
  <c r="W843" i="7" s="1"/>
  <c r="V390" i="7"/>
  <c r="W390" i="7" s="1"/>
  <c r="V180" i="7"/>
  <c r="W180" i="7" s="1"/>
  <c r="V713" i="7"/>
  <c r="W713" i="7" s="1"/>
  <c r="V472" i="7"/>
  <c r="W472" i="7" s="1"/>
  <c r="V244" i="7"/>
  <c r="W244" i="7" s="1"/>
  <c r="V767" i="7"/>
  <c r="W767" i="7" s="1"/>
  <c r="V795" i="7"/>
  <c r="W795" i="7" s="1"/>
  <c r="V127" i="7"/>
  <c r="W127" i="7" s="1"/>
  <c r="V748" i="7"/>
  <c r="W748" i="7" s="1"/>
  <c r="V510" i="7"/>
  <c r="W510" i="7" s="1"/>
  <c r="V182" i="7"/>
  <c r="W182" i="7" s="1"/>
  <c r="V410" i="7"/>
  <c r="W410" i="7" s="1"/>
  <c r="V230" i="7"/>
  <c r="W230" i="7" s="1"/>
  <c r="V376" i="7"/>
  <c r="W376" i="7" s="1"/>
  <c r="V794" i="7"/>
  <c r="W794" i="7" s="1"/>
  <c r="V26" i="7"/>
  <c r="W26" i="7" s="1"/>
  <c r="V785" i="7"/>
  <c r="W785" i="7" s="1"/>
  <c r="V438" i="7"/>
  <c r="W438" i="7" s="1"/>
  <c r="V863" i="7"/>
  <c r="W863" i="7" s="1"/>
  <c r="V573" i="7"/>
  <c r="W573" i="7" s="1"/>
  <c r="V129" i="7"/>
  <c r="W129" i="7" s="1"/>
  <c r="V32" i="7"/>
  <c r="W32" i="7" s="1"/>
  <c r="V409" i="7"/>
  <c r="W409" i="7" s="1"/>
  <c r="V79" i="7"/>
  <c r="W79" i="7" s="1"/>
  <c r="V423" i="7"/>
  <c r="W423" i="7" s="1"/>
  <c r="V181" i="7"/>
  <c r="W181" i="7" s="1"/>
  <c r="V28" i="7"/>
  <c r="W28" i="7" s="1"/>
  <c r="V578" i="7"/>
  <c r="W578" i="7" s="1"/>
  <c r="V346" i="7"/>
  <c r="W346" i="7" s="1"/>
  <c r="V311" i="7"/>
  <c r="W311" i="7" s="1"/>
  <c r="V195" i="7"/>
  <c r="W195" i="7" s="1"/>
  <c r="V473" i="7"/>
  <c r="W473" i="7" s="1"/>
  <c r="V178" i="7"/>
  <c r="W178" i="7" s="1"/>
  <c r="V124" i="7"/>
  <c r="W124" i="7" s="1"/>
  <c r="V726" i="7"/>
  <c r="W726" i="7" s="1"/>
  <c r="V593" i="7"/>
  <c r="W593" i="7" s="1"/>
  <c r="V43" i="7"/>
  <c r="W43" i="7" s="1"/>
  <c r="V499" i="7"/>
  <c r="W499" i="7" s="1"/>
  <c r="V567" i="7"/>
  <c r="W567" i="7" s="1"/>
  <c r="V117" i="7"/>
  <c r="W117" i="7" s="1"/>
  <c r="V824" i="7"/>
  <c r="W824" i="7" s="1"/>
  <c r="V469" i="7"/>
  <c r="W469" i="7" s="1"/>
  <c r="V371" i="7"/>
  <c r="W371" i="7" s="1"/>
  <c r="V448" i="7"/>
  <c r="W448" i="7" s="1"/>
  <c r="V470" i="7"/>
  <c r="W470" i="7" s="1"/>
  <c r="V92" i="7"/>
  <c r="W92" i="7" s="1"/>
  <c r="V335" i="7"/>
  <c r="W335" i="7" s="1"/>
  <c r="V677" i="7"/>
  <c r="W677" i="7" s="1"/>
  <c r="V637" i="7"/>
  <c r="W637" i="7" s="1"/>
  <c r="V513" i="7"/>
  <c r="W513" i="7" s="1"/>
  <c r="V292" i="7"/>
  <c r="W292" i="7" s="1"/>
  <c r="V464" i="7"/>
  <c r="W464" i="7" s="1"/>
  <c r="V197" i="7"/>
  <c r="W197" i="7" s="1"/>
  <c r="V194" i="7"/>
  <c r="W194" i="7" s="1"/>
  <c r="V229" i="7"/>
  <c r="W229" i="7" s="1"/>
  <c r="V703" i="7"/>
  <c r="W703" i="7" s="1"/>
  <c r="V424" i="7"/>
  <c r="W424" i="7" s="1"/>
  <c r="V699" i="7"/>
  <c r="W699" i="7" s="1"/>
  <c r="V359" i="7"/>
  <c r="W359" i="7" s="1"/>
  <c r="V56" i="7"/>
  <c r="W56" i="7" s="1"/>
  <c r="V306" i="7"/>
  <c r="W306" i="7" s="1"/>
  <c r="V186" i="7"/>
  <c r="W186" i="7" s="1"/>
  <c r="V648" i="7"/>
  <c r="W648" i="7" s="1"/>
  <c r="V856" i="7"/>
  <c r="W856" i="7" s="1"/>
  <c r="V361" i="7"/>
  <c r="W361" i="7" s="1"/>
  <c r="V805" i="7"/>
  <c r="W805" i="7" s="1"/>
  <c r="V752" i="7"/>
  <c r="W752" i="7" s="1"/>
  <c r="V134" i="7"/>
  <c r="W134" i="7" s="1"/>
  <c r="V865" i="7"/>
  <c r="W865" i="7" s="1"/>
  <c r="V827" i="7"/>
  <c r="W827" i="7" s="1"/>
  <c r="V252" i="7"/>
  <c r="W252" i="7" s="1"/>
  <c r="V64" i="7"/>
  <c r="W64" i="7" s="1"/>
  <c r="V391" i="7"/>
  <c r="W391" i="7" s="1"/>
  <c r="V139" i="7"/>
  <c r="W139" i="7" s="1"/>
  <c r="V310" i="7"/>
  <c r="W310" i="7" s="1"/>
  <c r="V22" i="7"/>
  <c r="W22" i="7" s="1"/>
  <c r="V144" i="7"/>
  <c r="W144" i="7" s="1"/>
  <c r="V710" i="7"/>
  <c r="W710" i="7" s="1"/>
  <c r="V228" i="7"/>
  <c r="W228" i="7" s="1"/>
  <c r="V826" i="7"/>
  <c r="W826" i="7" s="1"/>
  <c r="V365" i="7"/>
  <c r="W365" i="7" s="1"/>
  <c r="V110" i="7"/>
  <c r="W110" i="7" s="1"/>
  <c r="V627" i="7"/>
  <c r="W627" i="7" s="1"/>
  <c r="V735" i="7"/>
  <c r="W735" i="7" s="1"/>
  <c r="V542" i="7"/>
  <c r="W542" i="7" s="1"/>
  <c r="V86" i="7"/>
  <c r="W86" i="7" s="1"/>
  <c r="V822" i="7"/>
  <c r="W822" i="7" s="1"/>
  <c r="V331" i="7"/>
  <c r="W331" i="7" s="1"/>
  <c r="V429" i="7"/>
  <c r="W429" i="7" s="1"/>
  <c r="V814" i="7"/>
  <c r="W814" i="7" s="1"/>
  <c r="V770" i="7"/>
  <c r="W770" i="7" s="1"/>
  <c r="V529" i="7"/>
  <c r="W529" i="7" s="1"/>
  <c r="V14" i="7"/>
  <c r="W14" i="7" s="1"/>
  <c r="V737" i="7"/>
  <c r="W737" i="7" s="1"/>
  <c r="V345" i="7"/>
  <c r="W345" i="7" s="1"/>
  <c r="V606" i="7"/>
  <c r="W606" i="7" s="1"/>
  <c r="V690" i="7"/>
  <c r="W690" i="7" s="1"/>
  <c r="V461" i="7"/>
  <c r="W461" i="7" s="1"/>
  <c r="V302" i="7"/>
  <c r="W302" i="7" s="1"/>
  <c r="V541" i="7"/>
  <c r="W541" i="7" s="1"/>
  <c r="V619" i="7"/>
  <c r="W619" i="7" s="1"/>
  <c r="V341" i="7"/>
  <c r="W341" i="7" s="1"/>
  <c r="V635" i="7"/>
  <c r="W635" i="7" s="1"/>
  <c r="V384" i="7"/>
  <c r="W384" i="7" s="1"/>
  <c r="V24" i="7"/>
  <c r="W24" i="7" s="1"/>
  <c r="V687" i="7"/>
  <c r="W687" i="7" s="1"/>
  <c r="V478" i="7"/>
  <c r="W478" i="7" s="1"/>
  <c r="V501" i="7"/>
  <c r="W501" i="7" s="1"/>
  <c r="V19" i="7"/>
  <c r="W19" i="7" s="1"/>
  <c r="V53" i="7"/>
  <c r="W53" i="7" s="1"/>
  <c r="V614" i="7"/>
  <c r="W614" i="7" s="1"/>
  <c r="V734" i="7"/>
  <c r="W734" i="7" s="1"/>
  <c r="V25" i="7"/>
  <c r="W25" i="7" s="1"/>
  <c r="V27" i="7"/>
  <c r="W27" i="7" s="1"/>
  <c r="V823" i="7"/>
  <c r="W823" i="7" s="1"/>
  <c r="V854" i="7"/>
  <c r="W854" i="7" s="1"/>
  <c r="V724" i="7"/>
  <c r="W724" i="7" s="1"/>
  <c r="V569" i="7"/>
  <c r="W569" i="7" s="1"/>
  <c r="V497" i="7"/>
  <c r="W497" i="7" s="1"/>
  <c r="V162" i="7"/>
  <c r="W162" i="7" s="1"/>
  <c r="V702" i="7"/>
  <c r="W702" i="7" s="1"/>
  <c r="V643" i="7"/>
  <c r="W643" i="7" s="1"/>
  <c r="V74" i="7"/>
  <c r="W74" i="7" s="1"/>
  <c r="V552" i="7"/>
  <c r="W552" i="7" s="1"/>
  <c r="V397" i="7"/>
  <c r="W397" i="7" s="1"/>
  <c r="V777" i="7"/>
  <c r="W777" i="7" s="1"/>
  <c r="V642" i="7"/>
  <c r="W642" i="7" s="1"/>
  <c r="V799" i="7"/>
  <c r="W799" i="7" s="1"/>
  <c r="V771" i="7"/>
  <c r="W771" i="7" s="1"/>
  <c r="V168" i="7"/>
  <c r="W168" i="7" s="1"/>
  <c r="V775" i="7"/>
  <c r="W775" i="7" s="1"/>
  <c r="V261" i="7"/>
  <c r="W261" i="7" s="1"/>
  <c r="V506" i="7"/>
  <c r="W506" i="7" s="1"/>
  <c r="V522" i="7"/>
  <c r="W522" i="7" s="1"/>
  <c r="V444" i="7"/>
  <c r="W444" i="7" s="1"/>
  <c r="V551" i="7"/>
  <c r="W551" i="7" s="1"/>
  <c r="V830" i="7"/>
  <c r="W830" i="7" s="1"/>
  <c r="V507" i="7"/>
  <c r="W507" i="7" s="1"/>
  <c r="AH209" i="7"/>
  <c r="AI209" i="7" s="1"/>
  <c r="AH459" i="7"/>
  <c r="AI459" i="7" s="1"/>
  <c r="AH784" i="7"/>
  <c r="AI784" i="7" s="1"/>
  <c r="AH138" i="7"/>
  <c r="AI138" i="7" s="1"/>
  <c r="AH216" i="7"/>
  <c r="AI216" i="7" s="1"/>
  <c r="AH328" i="7"/>
  <c r="AI328" i="7" s="1"/>
  <c r="AH154" i="7"/>
  <c r="AI154" i="7" s="1"/>
  <c r="AH577" i="7"/>
  <c r="AI577" i="7" s="1"/>
  <c r="AH303" i="7"/>
  <c r="AI303" i="7" s="1"/>
  <c r="AH680" i="7"/>
  <c r="AI680" i="7" s="1"/>
  <c r="AH536" i="7"/>
  <c r="AI536" i="7" s="1"/>
  <c r="AH858" i="7"/>
  <c r="AI858" i="7" s="1"/>
  <c r="AH285" i="7"/>
  <c r="AI285" i="7" s="1"/>
  <c r="AH695" i="7"/>
  <c r="AI695" i="7" s="1"/>
  <c r="AH704" i="7"/>
  <c r="AI704" i="7" s="1"/>
  <c r="AH809" i="7"/>
  <c r="AI809" i="7" s="1"/>
  <c r="AH164" i="7"/>
  <c r="AI164" i="7" s="1"/>
  <c r="AH587" i="7"/>
  <c r="AI587" i="7" s="1"/>
  <c r="AH58" i="7"/>
  <c r="AI58" i="7" s="1"/>
  <c r="AH402" i="7"/>
  <c r="AI402" i="7" s="1"/>
  <c r="AH762" i="7"/>
  <c r="AI762" i="7" s="1"/>
  <c r="AH236" i="7"/>
  <c r="AI236" i="7" s="1"/>
  <c r="AH367" i="7"/>
  <c r="AI367" i="7" s="1"/>
  <c r="AH249" i="7"/>
  <c r="AI249" i="7" s="1"/>
  <c r="AH844" i="7"/>
  <c r="AI844" i="7" s="1"/>
  <c r="AH208" i="7"/>
  <c r="AI208" i="7" s="1"/>
  <c r="AH196" i="7"/>
  <c r="AI196" i="7" s="1"/>
  <c r="AH730" i="7"/>
  <c r="AI730" i="7" s="1"/>
  <c r="AH135" i="7"/>
  <c r="AI135" i="7" s="1"/>
  <c r="AH723" i="7"/>
  <c r="AI723" i="7" s="1"/>
  <c r="AH519" i="7"/>
  <c r="AI519" i="7" s="1"/>
  <c r="AH525" i="7"/>
  <c r="AI525" i="7" s="1"/>
  <c r="AH313" i="7"/>
  <c r="AI313" i="7" s="1"/>
  <c r="AH791" i="7"/>
  <c r="AI791" i="7" s="1"/>
  <c r="AH790" i="7"/>
  <c r="AI790" i="7" s="1"/>
  <c r="AH753" i="7"/>
  <c r="AI753" i="7" s="1"/>
  <c r="AH167" i="7"/>
  <c r="AI167" i="7" s="1"/>
  <c r="AH682" i="7"/>
  <c r="AI682" i="7" s="1"/>
  <c r="AH100" i="7"/>
  <c r="AI100" i="7" s="1"/>
  <c r="AH746" i="7"/>
  <c r="AI746" i="7" s="1"/>
  <c r="AH84" i="7"/>
  <c r="AI84" i="7" s="1"/>
  <c r="AH133" i="7"/>
  <c r="AI133" i="7" s="1"/>
  <c r="AH744" i="7"/>
  <c r="AI744" i="7" s="1"/>
  <c r="AH184" i="7"/>
  <c r="AI184" i="7" s="1"/>
  <c r="AH671" i="7"/>
  <c r="AI671" i="7" s="1"/>
  <c r="AH618" i="7"/>
  <c r="AI618" i="7" s="1"/>
  <c r="AH320" i="7"/>
  <c r="AI320" i="7" s="1"/>
  <c r="AH187" i="7"/>
  <c r="AI187" i="7" s="1"/>
  <c r="AH509" i="7"/>
  <c r="AI509" i="7" s="1"/>
  <c r="AH817" i="7"/>
  <c r="AI817" i="7" s="1"/>
  <c r="AH452" i="7"/>
  <c r="AI452" i="7" s="1"/>
  <c r="AH801" i="7"/>
  <c r="AI801" i="7" s="1"/>
  <c r="AH385" i="7"/>
  <c r="AI385" i="7" s="1"/>
  <c r="AH864" i="7"/>
  <c r="AI864" i="7" s="1"/>
  <c r="AH679" i="7"/>
  <c r="AI679" i="7" s="1"/>
  <c r="AH200" i="7"/>
  <c r="AI200" i="7" s="1"/>
  <c r="AH255" i="7"/>
  <c r="AI255" i="7" s="1"/>
  <c r="AH202" i="7"/>
  <c r="AI202" i="7" s="1"/>
  <c r="AH443" i="7"/>
  <c r="AI443" i="7" s="1"/>
  <c r="AH563" i="7"/>
  <c r="AI563" i="7" s="1"/>
  <c r="AH558" i="7"/>
  <c r="AI558" i="7" s="1"/>
  <c r="AH291" i="7"/>
  <c r="AI291" i="7" s="1"/>
  <c r="AH581" i="7"/>
  <c r="AI581" i="7" s="1"/>
  <c r="AH203" i="7"/>
  <c r="AI203" i="7" s="1"/>
  <c r="AH83" i="7"/>
  <c r="AI83" i="7" s="1"/>
  <c r="AH787" i="7"/>
  <c r="AI787" i="7" s="1"/>
  <c r="AH107" i="7"/>
  <c r="AI107" i="7" s="1"/>
  <c r="AH833" i="7"/>
  <c r="AI833" i="7" s="1"/>
  <c r="AH30" i="7"/>
  <c r="AI30" i="7" s="1"/>
  <c r="AH356" i="7"/>
  <c r="AI356" i="7" s="1"/>
  <c r="AH108" i="7"/>
  <c r="AI108" i="7" s="1"/>
  <c r="AH279" i="7"/>
  <c r="AI279" i="7" s="1"/>
  <c r="AH415" i="7"/>
  <c r="AI415" i="7" s="1"/>
  <c r="AH380" i="7"/>
  <c r="AI380" i="7" s="1"/>
  <c r="AH584" i="7"/>
  <c r="AI584" i="7" s="1"/>
  <c r="AH601" i="7"/>
  <c r="AI601" i="7" s="1"/>
  <c r="AH548" i="7"/>
  <c r="AI548" i="7" s="1"/>
  <c r="AH38" i="7"/>
  <c r="AI38" i="7" s="1"/>
  <c r="AH511" i="7"/>
  <c r="AI511" i="7" s="1"/>
  <c r="AH383" i="7"/>
  <c r="AI383" i="7" s="1"/>
  <c r="AH46" i="7"/>
  <c r="AI46" i="7" s="1"/>
  <c r="AH740" i="7"/>
  <c r="AI740" i="7" s="1"/>
  <c r="AH411" i="7"/>
  <c r="AI411" i="7" s="1"/>
  <c r="AH422" i="7"/>
  <c r="AI422" i="7" s="1"/>
  <c r="AH57" i="7"/>
  <c r="AI57" i="7" s="1"/>
  <c r="AH686" i="7"/>
  <c r="AI686" i="7" s="1"/>
  <c r="AH673" i="7"/>
  <c r="AI673" i="7" s="1"/>
  <c r="AH570" i="7"/>
  <c r="AI570" i="7" s="1"/>
  <c r="AH449" i="7"/>
  <c r="AI449" i="7" s="1"/>
  <c r="AH277" i="7"/>
  <c r="AI277" i="7" s="1"/>
  <c r="AH496" i="7"/>
  <c r="AI496" i="7" s="1"/>
  <c r="AH132" i="7"/>
  <c r="AI132" i="7" s="1"/>
  <c r="AH419" i="7"/>
  <c r="AI419" i="7" s="1"/>
  <c r="AH623" i="7"/>
  <c r="AI623" i="7" s="1"/>
  <c r="AH401" i="7"/>
  <c r="AI401" i="7" s="1"/>
  <c r="AH466" i="7"/>
  <c r="AI466" i="7" s="1"/>
  <c r="AH622" i="7"/>
  <c r="AI622" i="7" s="1"/>
  <c r="AH526" i="7"/>
  <c r="AI526" i="7" s="1"/>
  <c r="AH12" i="7"/>
  <c r="AI12" i="7" s="1"/>
  <c r="AH272" i="7"/>
  <c r="AI272" i="7" s="1"/>
  <c r="AH363" i="7"/>
  <c r="AI363" i="7" s="1"/>
  <c r="AH477" i="7"/>
  <c r="AI477" i="7" s="1"/>
  <c r="AH226" i="7"/>
  <c r="AI226" i="7" s="1"/>
  <c r="AH611" i="7"/>
  <c r="AI611" i="7" s="1"/>
  <c r="AH128" i="7"/>
  <c r="AI128" i="7" s="1"/>
  <c r="AH169" i="7"/>
  <c r="AI169" i="7" s="1"/>
  <c r="AH729" i="7"/>
  <c r="AI729" i="7" s="1"/>
  <c r="AH29" i="7"/>
  <c r="AI29" i="7" s="1"/>
  <c r="AH435" i="7"/>
  <c r="AI435" i="7" s="1"/>
  <c r="AH151" i="7"/>
  <c r="AI151" i="7" s="1"/>
  <c r="AH268" i="7"/>
  <c r="AI268" i="7" s="1"/>
  <c r="AH222" i="7"/>
  <c r="AI222" i="7" s="1"/>
  <c r="AH666" i="7"/>
  <c r="AI666" i="7" s="1"/>
  <c r="AH259" i="7"/>
  <c r="AI259" i="7" s="1"/>
  <c r="AH416" i="7"/>
  <c r="AI416" i="7" s="1"/>
  <c r="AH560" i="7"/>
  <c r="AI560" i="7" s="1"/>
  <c r="AH190" i="7"/>
  <c r="AI190" i="7" s="1"/>
  <c r="AH837" i="7"/>
  <c r="AI837" i="7" s="1"/>
  <c r="AH607" i="7"/>
  <c r="AI607" i="7" s="1"/>
  <c r="AH806" i="7"/>
  <c r="AI806" i="7" s="1"/>
  <c r="AH364" i="7"/>
  <c r="AI364" i="7" s="1"/>
  <c r="AH685" i="7"/>
  <c r="AI685" i="7" s="1"/>
  <c r="AH372" i="7"/>
  <c r="AI372" i="7" s="1"/>
  <c r="AH67" i="7"/>
  <c r="AI67" i="7" s="1"/>
  <c r="AH219" i="7"/>
  <c r="AI219" i="7" s="1"/>
  <c r="AH375" i="7"/>
  <c r="AI375" i="7" s="1"/>
  <c r="AH399" i="7"/>
  <c r="AI399" i="7" s="1"/>
  <c r="AH798" i="7"/>
  <c r="AI798" i="7" s="1"/>
  <c r="AH515" i="7"/>
  <c r="AI515" i="7" s="1"/>
  <c r="AH9" i="7"/>
  <c r="AI9" i="7" s="1"/>
  <c r="AH621" i="7"/>
  <c r="AI621" i="7" s="1"/>
  <c r="AH721" i="7"/>
  <c r="AI721" i="7" s="1"/>
  <c r="AH250" i="7"/>
  <c r="AI250" i="7" s="1"/>
  <c r="AH76" i="7"/>
  <c r="AI76" i="7" s="1"/>
  <c r="AH325" i="7"/>
  <c r="AI325" i="7" s="1"/>
  <c r="AH173" i="7"/>
  <c r="AI173" i="7" s="1"/>
  <c r="AH405" i="7"/>
  <c r="AI405" i="7" s="1"/>
  <c r="AH802" i="7"/>
  <c r="AI802" i="7" s="1"/>
  <c r="AH716" i="7"/>
  <c r="AI716" i="7" s="1"/>
  <c r="AH207" i="7"/>
  <c r="AI207" i="7" s="1"/>
  <c r="AH68" i="7"/>
  <c r="AI68" i="7" s="1"/>
  <c r="AH773" i="7"/>
  <c r="AI773" i="7" s="1"/>
  <c r="AH816" i="7"/>
  <c r="AI816" i="7" s="1"/>
  <c r="AH451" i="7"/>
  <c r="AI451" i="7" s="1"/>
  <c r="AH85" i="7"/>
  <c r="AI85" i="7" s="1"/>
  <c r="AH161" i="7"/>
  <c r="AI161" i="7" s="1"/>
  <c r="AH350" i="7"/>
  <c r="AI350" i="7" s="1"/>
  <c r="AH629" i="7"/>
  <c r="AI629" i="7" s="1"/>
  <c r="AH70" i="7"/>
  <c r="AI70" i="7" s="1"/>
  <c r="AH532" i="7"/>
  <c r="AI532" i="7" s="1"/>
  <c r="AH426" i="7"/>
  <c r="AI426" i="7" s="1"/>
  <c r="AH97" i="7"/>
  <c r="AI97" i="7" s="1"/>
  <c r="AH756" i="7"/>
  <c r="AI756" i="7" s="1"/>
  <c r="AH377" i="7"/>
  <c r="AI377" i="7" s="1"/>
  <c r="AH663" i="7"/>
  <c r="AI663" i="7" s="1"/>
  <c r="AH540" i="7"/>
  <c r="AI540" i="7" s="1"/>
  <c r="AH114" i="7"/>
  <c r="AI114" i="7" s="1"/>
  <c r="AH282" i="7"/>
  <c r="AI282" i="7" s="1"/>
  <c r="AH316" i="7"/>
  <c r="AI316" i="7" s="1"/>
  <c r="AH676" i="7"/>
  <c r="AI676" i="7" s="1"/>
  <c r="AH576" i="7"/>
  <c r="AI576" i="7" s="1"/>
  <c r="AH658" i="7"/>
  <c r="AI658" i="7" s="1"/>
  <c r="AH479" i="7"/>
  <c r="AI479" i="7" s="1"/>
  <c r="AH125" i="7"/>
  <c r="AI125" i="7" s="1"/>
  <c r="AH61" i="7"/>
  <c r="AI61" i="7" s="1"/>
  <c r="AH782" i="7"/>
  <c r="AI782" i="7" s="1"/>
  <c r="AH165" i="7"/>
  <c r="AI165" i="7" s="1"/>
  <c r="AH388" i="7"/>
  <c r="AI388" i="7" s="1"/>
  <c r="AH418" i="7"/>
  <c r="AI418" i="7" s="1"/>
  <c r="AH241" i="7"/>
  <c r="AI241" i="7" s="1"/>
  <c r="AH855" i="7"/>
  <c r="AI855" i="7" s="1"/>
  <c r="AH166" i="7"/>
  <c r="AI166" i="7" s="1"/>
  <c r="AH37" i="7"/>
  <c r="AI37" i="7" s="1"/>
  <c r="AH796" i="7"/>
  <c r="AI796" i="7" s="1"/>
  <c r="AH667" i="7"/>
  <c r="AI667" i="7" s="1"/>
  <c r="AH555" i="7"/>
  <c r="AI555" i="7" s="1"/>
  <c r="AH278" i="7"/>
  <c r="AI278" i="7" s="1"/>
  <c r="AH580" i="7"/>
  <c r="AI580" i="7" s="1"/>
  <c r="AH808" i="7"/>
  <c r="AI808" i="7" s="1"/>
  <c r="AH504" i="7"/>
  <c r="AI504" i="7" s="1"/>
  <c r="AH42" i="7"/>
  <c r="AI42" i="7" s="1"/>
  <c r="AH141" i="7"/>
  <c r="AI141" i="7" s="1"/>
  <c r="AH60" i="7"/>
  <c r="AI60" i="7" s="1"/>
  <c r="AH73" i="7"/>
  <c r="AI73" i="7" s="1"/>
  <c r="AH432" i="7"/>
  <c r="AI432" i="7" s="1"/>
  <c r="AH595" i="7"/>
  <c r="AI595" i="7" s="1"/>
  <c r="AH366" i="7"/>
  <c r="AI366" i="7" s="1"/>
  <c r="AH20" i="7"/>
  <c r="AI20" i="7" s="1"/>
  <c r="AH747" i="7"/>
  <c r="AI747" i="7" s="1"/>
  <c r="AH852" i="7"/>
  <c r="AI852" i="7" s="1"/>
  <c r="AH309" i="7"/>
  <c r="AI309" i="7" s="1"/>
  <c r="AH160" i="7"/>
  <c r="AI160" i="7" s="1"/>
  <c r="AH389" i="7"/>
  <c r="AI389" i="7" s="1"/>
  <c r="AH707" i="7"/>
  <c r="AI707" i="7" s="1"/>
  <c r="AH670" i="7"/>
  <c r="AI670" i="7" s="1"/>
  <c r="AH440" i="7"/>
  <c r="AI440" i="7" s="1"/>
  <c r="AH698" i="7"/>
  <c r="AI698" i="7" s="1"/>
  <c r="AH714" i="7"/>
  <c r="AI714" i="7" s="1"/>
  <c r="AH351" i="7"/>
  <c r="AI351" i="7" s="1"/>
  <c r="AH516" i="7"/>
  <c r="AI516" i="7" s="1"/>
  <c r="AH652" i="7"/>
  <c r="AI652" i="7" s="1"/>
  <c r="AH831" i="7"/>
  <c r="AI831" i="7" s="1"/>
  <c r="AH571" i="7"/>
  <c r="AI571" i="7" s="1"/>
  <c r="AH243" i="7"/>
  <c r="AI243" i="7" s="1"/>
  <c r="AH640" i="7"/>
  <c r="AI640" i="7" s="1"/>
  <c r="AH439" i="7"/>
  <c r="AI439" i="7" s="1"/>
  <c r="AH198" i="7"/>
  <c r="AI198" i="7" s="1"/>
  <c r="AH40" i="7"/>
  <c r="AI40" i="7" s="1"/>
  <c r="AH294" i="7"/>
  <c r="AI294" i="7" s="1"/>
  <c r="AH819" i="7"/>
  <c r="AI819" i="7" s="1"/>
  <c r="AH758" i="7"/>
  <c r="AI758" i="7" s="1"/>
  <c r="AH105" i="7"/>
  <c r="AI105" i="7" s="1"/>
  <c r="AH398" i="7"/>
  <c r="AI398" i="7" s="1"/>
  <c r="AH454" i="7"/>
  <c r="AI454" i="7" s="1"/>
  <c r="AH118" i="7"/>
  <c r="AI118" i="7" s="1"/>
  <c r="AH693" i="7"/>
  <c r="AI693" i="7" s="1"/>
  <c r="AH75" i="7"/>
  <c r="AI75" i="7" s="1"/>
  <c r="AH109" i="7"/>
  <c r="AI109" i="7" s="1"/>
  <c r="AH495" i="7"/>
  <c r="AI495" i="7" s="1"/>
  <c r="AH101" i="7"/>
  <c r="AI101" i="7" s="1"/>
  <c r="AH485" i="7"/>
  <c r="AI485" i="7" s="1"/>
  <c r="AH696" i="7"/>
  <c r="AI696" i="7" s="1"/>
  <c r="AH430" i="7"/>
  <c r="AI430" i="7" s="1"/>
  <c r="AH482" i="7"/>
  <c r="AI482" i="7" s="1"/>
  <c r="AH528" i="7"/>
  <c r="AI528" i="7" s="1"/>
  <c r="AH531" i="7"/>
  <c r="AI531" i="7" s="1"/>
  <c r="AH66" i="7"/>
  <c r="AI66" i="7" s="1"/>
  <c r="AH284" i="7"/>
  <c r="AI284" i="7" s="1"/>
  <c r="AH487" i="7"/>
  <c r="AI487" i="7" s="1"/>
  <c r="AH441" i="7"/>
  <c r="AI441" i="7" s="1"/>
  <c r="AH18" i="7"/>
  <c r="AI18" i="7" s="1"/>
  <c r="AH609" i="7"/>
  <c r="AI609" i="7" s="1"/>
  <c r="AH649" i="7"/>
  <c r="AI649" i="7" s="1"/>
  <c r="AH140" i="7"/>
  <c r="AI140" i="7" s="1"/>
  <c r="AH547" i="7"/>
  <c r="AI547" i="7" s="1"/>
  <c r="AH370" i="7"/>
  <c r="AI370" i="7" s="1"/>
  <c r="AH293" i="7"/>
  <c r="AI293" i="7" s="1"/>
  <c r="AH87" i="7"/>
  <c r="AI87" i="7" s="1"/>
  <c r="AH644" i="7"/>
  <c r="AI644" i="7" s="1"/>
  <c r="AH434" i="7"/>
  <c r="AI434" i="7" s="1"/>
  <c r="AH240" i="7"/>
  <c r="AI240" i="7" s="1"/>
  <c r="AH393" i="7"/>
  <c r="AI393" i="7" s="1"/>
  <c r="AH264" i="7"/>
  <c r="AI264" i="7" s="1"/>
  <c r="AH318" i="7"/>
  <c r="AI318" i="7" s="1"/>
  <c r="AH834" i="7"/>
  <c r="AI834" i="7" s="1"/>
  <c r="AH665" i="7"/>
  <c r="AI665" i="7" s="1"/>
  <c r="AH437" i="7"/>
  <c r="AI437" i="7" s="1"/>
  <c r="AH262" i="7"/>
  <c r="AI262" i="7" s="1"/>
  <c r="AH338" i="7"/>
  <c r="AI338" i="7" s="1"/>
  <c r="AH708" i="7"/>
  <c r="AI708" i="7" s="1"/>
  <c r="AH843" i="7"/>
  <c r="AI843" i="7" s="1"/>
  <c r="AH390" i="7"/>
  <c r="AI390" i="7" s="1"/>
  <c r="AH180" i="7"/>
  <c r="AI180" i="7" s="1"/>
  <c r="AH713" i="7"/>
  <c r="AI713" i="7" s="1"/>
  <c r="AH472" i="7"/>
  <c r="AI472" i="7" s="1"/>
  <c r="AH244" i="7"/>
  <c r="AI244" i="7" s="1"/>
  <c r="AH767" i="7"/>
  <c r="AI767" i="7" s="1"/>
  <c r="AH795" i="7"/>
  <c r="AI795" i="7" s="1"/>
  <c r="AH127" i="7"/>
  <c r="AI127" i="7" s="1"/>
  <c r="AH748" i="7"/>
  <c r="AI748" i="7" s="1"/>
  <c r="AH510" i="7"/>
  <c r="AI510" i="7" s="1"/>
  <c r="AH182" i="7"/>
  <c r="AI182" i="7" s="1"/>
  <c r="AH410" i="7"/>
  <c r="AI410" i="7" s="1"/>
  <c r="AH230" i="7"/>
  <c r="AI230" i="7" s="1"/>
  <c r="AH376" i="7"/>
  <c r="AI376" i="7" s="1"/>
  <c r="AH794" i="7"/>
  <c r="AI794" i="7" s="1"/>
  <c r="AH26" i="7"/>
  <c r="AI26" i="7" s="1"/>
  <c r="AH785" i="7"/>
  <c r="AI785" i="7" s="1"/>
  <c r="AH438" i="7"/>
  <c r="AI438" i="7" s="1"/>
  <c r="AH863" i="7"/>
  <c r="AI863" i="7" s="1"/>
  <c r="AH573" i="7"/>
  <c r="AI573" i="7" s="1"/>
  <c r="AH129" i="7"/>
  <c r="AI129" i="7" s="1"/>
  <c r="AH32" i="7"/>
  <c r="AI32" i="7" s="1"/>
  <c r="AH409" i="7"/>
  <c r="AI409" i="7" s="1"/>
  <c r="AH79" i="7"/>
  <c r="AI79" i="7" s="1"/>
  <c r="AH423" i="7"/>
  <c r="AI423" i="7" s="1"/>
  <c r="AH181" i="7"/>
  <c r="AI181" i="7" s="1"/>
  <c r="AH28" i="7"/>
  <c r="AI28" i="7" s="1"/>
  <c r="AH578" i="7"/>
  <c r="AI578" i="7" s="1"/>
  <c r="AH346" i="7"/>
  <c r="AI346" i="7" s="1"/>
  <c r="AH311" i="7"/>
  <c r="AI311" i="7" s="1"/>
  <c r="AH195" i="7"/>
  <c r="AI195" i="7" s="1"/>
  <c r="AH473" i="7"/>
  <c r="AI473" i="7" s="1"/>
  <c r="AH178" i="7"/>
  <c r="AI178" i="7" s="1"/>
  <c r="AH124" i="7"/>
  <c r="AI124" i="7" s="1"/>
  <c r="AH726" i="7"/>
  <c r="AI726" i="7" s="1"/>
  <c r="AH593" i="7"/>
  <c r="AI593" i="7" s="1"/>
  <c r="AH43" i="7"/>
  <c r="AI43" i="7" s="1"/>
  <c r="AH499" i="7"/>
  <c r="AI499" i="7" s="1"/>
  <c r="AH567" i="7"/>
  <c r="AI567" i="7" s="1"/>
  <c r="AH117" i="7"/>
  <c r="AI117" i="7" s="1"/>
  <c r="AH824" i="7"/>
  <c r="AI824" i="7" s="1"/>
  <c r="AH469" i="7"/>
  <c r="AI469" i="7" s="1"/>
  <c r="AH371" i="7"/>
  <c r="AI371" i="7" s="1"/>
  <c r="AH448" i="7"/>
  <c r="AI448" i="7" s="1"/>
  <c r="AH470" i="7"/>
  <c r="AI470" i="7" s="1"/>
  <c r="AH92" i="7"/>
  <c r="AI92" i="7" s="1"/>
  <c r="AH335" i="7"/>
  <c r="AI335" i="7" s="1"/>
  <c r="AH677" i="7"/>
  <c r="AI677" i="7" s="1"/>
  <c r="AH637" i="7"/>
  <c r="AI637" i="7" s="1"/>
  <c r="AH513" i="7"/>
  <c r="AI513" i="7" s="1"/>
  <c r="AH292" i="7"/>
  <c r="AI292" i="7" s="1"/>
  <c r="AH464" i="7"/>
  <c r="AI464" i="7" s="1"/>
  <c r="AH197" i="7"/>
  <c r="AI197" i="7" s="1"/>
  <c r="AH194" i="7"/>
  <c r="AI194" i="7" s="1"/>
  <c r="AH229" i="7"/>
  <c r="AI229" i="7" s="1"/>
  <c r="AH703" i="7"/>
  <c r="AI703" i="7" s="1"/>
  <c r="AH424" i="7"/>
  <c r="AI424" i="7" s="1"/>
  <c r="AH699" i="7"/>
  <c r="AI699" i="7" s="1"/>
  <c r="AH359" i="7"/>
  <c r="AI359" i="7" s="1"/>
  <c r="AH56" i="7"/>
  <c r="AI56" i="7" s="1"/>
  <c r="AH306" i="7"/>
  <c r="AI306" i="7" s="1"/>
  <c r="AH225" i="7"/>
  <c r="AI225" i="7" s="1"/>
  <c r="AH527" i="7"/>
  <c r="AI527" i="7" s="1"/>
  <c r="AH736" i="7"/>
  <c r="AI736" i="7" s="1"/>
  <c r="AH602" i="7"/>
  <c r="AI602" i="7" s="1"/>
  <c r="AH765" i="7"/>
  <c r="AI765" i="7" s="1"/>
  <c r="AH263" i="7"/>
  <c r="AI263" i="7" s="1"/>
  <c r="AH660" i="7"/>
  <c r="AI660" i="7" s="1"/>
  <c r="AH304" i="7"/>
  <c r="AI304" i="7" s="1"/>
  <c r="AH342" i="7"/>
  <c r="AI342" i="7" s="1"/>
  <c r="AH503" i="7"/>
  <c r="AI503" i="7" s="1"/>
  <c r="AH322" i="7"/>
  <c r="AI322" i="7" s="1"/>
  <c r="AH280" i="7"/>
  <c r="AI280" i="7" s="1"/>
  <c r="AH340" i="7"/>
  <c r="AI340" i="7" s="1"/>
  <c r="AH755" i="7"/>
  <c r="AI755" i="7" s="1"/>
  <c r="AH579" i="7"/>
  <c r="AI579" i="7" s="1"/>
  <c r="AH465" i="7"/>
  <c r="AI465" i="7" s="1"/>
  <c r="AH150" i="7"/>
  <c r="AI150" i="7" s="1"/>
  <c r="AH11" i="7"/>
  <c r="AI11" i="7" s="1"/>
  <c r="AH491" i="7"/>
  <c r="AI491" i="7" s="1"/>
  <c r="AH533" i="7"/>
  <c r="AI533" i="7" s="1"/>
  <c r="AH688" i="7"/>
  <c r="AI688" i="7" s="1"/>
  <c r="AH8" i="7"/>
  <c r="AI8" i="7" s="1"/>
  <c r="AH374" i="7"/>
  <c r="AI374" i="7" s="1"/>
  <c r="AH344" i="7"/>
  <c r="AI344" i="7" s="1"/>
  <c r="AH725" i="7"/>
  <c r="AI725" i="7" s="1"/>
  <c r="AH343" i="7"/>
  <c r="AI343" i="7" s="1"/>
  <c r="AH742" i="7"/>
  <c r="AI742" i="7" s="1"/>
  <c r="AH283" i="7"/>
  <c r="AI283" i="7" s="1"/>
  <c r="AH574" i="7"/>
  <c r="AI574" i="7" s="1"/>
  <c r="AH256" i="7"/>
  <c r="AI256" i="7" s="1"/>
  <c r="AH220" i="7"/>
  <c r="AI220" i="7" s="1"/>
  <c r="AH417" i="7"/>
  <c r="AI417" i="7" s="1"/>
  <c r="AH17" i="7"/>
  <c r="AI17" i="7" s="1"/>
  <c r="AH600" i="7"/>
  <c r="AI600" i="7" s="1"/>
  <c r="AH407" i="7"/>
  <c r="AI407" i="7" s="1"/>
  <c r="AH82" i="7"/>
  <c r="AI82" i="7" s="1"/>
  <c r="AH846" i="7"/>
  <c r="AI846" i="7" s="1"/>
  <c r="AH727" i="7"/>
  <c r="AI727" i="7" s="1"/>
  <c r="AH800" i="7"/>
  <c r="AI800" i="7" s="1"/>
  <c r="AH183" i="7"/>
  <c r="AI183" i="7" s="1"/>
  <c r="AH759" i="7"/>
  <c r="AI759" i="7" s="1"/>
  <c r="AH523" i="7"/>
  <c r="AI523" i="7" s="1"/>
  <c r="AH213" i="7"/>
  <c r="AI213" i="7" s="1"/>
  <c r="AH763" i="7"/>
  <c r="AI763" i="7" s="1"/>
  <c r="AH308" i="7"/>
  <c r="AI308" i="7" s="1"/>
  <c r="AH333" i="7"/>
  <c r="AI333" i="7" s="1"/>
  <c r="AH853" i="7"/>
  <c r="AI853" i="7" s="1"/>
  <c r="AH275" i="7"/>
  <c r="AI275" i="7" s="1"/>
  <c r="AH287" i="7"/>
  <c r="AI287" i="7" s="1"/>
  <c r="AH630" i="7"/>
  <c r="AI630" i="7" s="1"/>
  <c r="AH832" i="7"/>
  <c r="AI832" i="7" s="1"/>
  <c r="AH514" i="7"/>
  <c r="AI514" i="7" s="1"/>
  <c r="AH35" i="7"/>
  <c r="AI35" i="7" s="1"/>
  <c r="AH258" i="7"/>
  <c r="AI258" i="7" s="1"/>
  <c r="AH681" i="7"/>
  <c r="AI681" i="7" s="1"/>
  <c r="AH760" i="7"/>
  <c r="AI760" i="7" s="1"/>
  <c r="AH564" i="7"/>
  <c r="AI564" i="7" s="1"/>
  <c r="AH354" i="7"/>
  <c r="AI354" i="7" s="1"/>
  <c r="AH233" i="7"/>
  <c r="AI233" i="7" s="1"/>
  <c r="AH137" i="7"/>
  <c r="AI137" i="7" s="1"/>
  <c r="AH474" i="7"/>
  <c r="AI474" i="7" s="1"/>
  <c r="AH298" i="7"/>
  <c r="AI298" i="7" s="1"/>
  <c r="AH585" i="7"/>
  <c r="AI585" i="7" s="1"/>
  <c r="AH267" i="7"/>
  <c r="AI267" i="7" s="1"/>
  <c r="AH829" i="7"/>
  <c r="AI829" i="7" s="1"/>
  <c r="AH524" i="7"/>
  <c r="AI524" i="7" s="1"/>
  <c r="AH632" i="7"/>
  <c r="AI632" i="7" s="1"/>
  <c r="AH715" i="7"/>
  <c r="AI715" i="7" s="1"/>
  <c r="AH518" i="7"/>
  <c r="AI518" i="7" s="1"/>
  <c r="AH295" i="7"/>
  <c r="AI295" i="7" s="1"/>
  <c r="AH610" i="7"/>
  <c r="AI610" i="7" s="1"/>
  <c r="AH330" i="7"/>
  <c r="AI330" i="7" s="1"/>
  <c r="AH334" i="7"/>
  <c r="AI334" i="7" s="1"/>
  <c r="AH428" i="7"/>
  <c r="AI428" i="7" s="1"/>
  <c r="AH500" i="7"/>
  <c r="AI500" i="7" s="1"/>
  <c r="AH457" i="7"/>
  <c r="AI457" i="7" s="1"/>
  <c r="AH568" i="7"/>
  <c r="AI568" i="7" s="1"/>
  <c r="AH391" i="7"/>
  <c r="AI391" i="7" s="1"/>
  <c r="AH494" i="7"/>
  <c r="AI494" i="7" s="1"/>
  <c r="AH210" i="7"/>
  <c r="AI210" i="7" s="1"/>
  <c r="AH139" i="7"/>
  <c r="AI139" i="7" s="1"/>
  <c r="AH868" i="7"/>
  <c r="AI868" i="7" s="1"/>
  <c r="AH813" i="7"/>
  <c r="AI813" i="7" s="1"/>
  <c r="AH310" i="7"/>
  <c r="AI310" i="7" s="1"/>
  <c r="AH115" i="7"/>
  <c r="AI115" i="7" s="1"/>
  <c r="AH512" i="7"/>
  <c r="AI512" i="7" s="1"/>
  <c r="AH22" i="7"/>
  <c r="AI22" i="7" s="1"/>
  <c r="AH669" i="7"/>
  <c r="AI669" i="7" s="1"/>
  <c r="AH539" i="7"/>
  <c r="AI539" i="7" s="1"/>
  <c r="AH144" i="7"/>
  <c r="AI144" i="7" s="1"/>
  <c r="AH754" i="7"/>
  <c r="AI754" i="7" s="1"/>
  <c r="AH661" i="7"/>
  <c r="AI661" i="7" s="1"/>
  <c r="AH710" i="7"/>
  <c r="AI710" i="7" s="1"/>
  <c r="AH102" i="7"/>
  <c r="AI102" i="7" s="1"/>
  <c r="AH242" i="7"/>
  <c r="AI242" i="7" s="1"/>
  <c r="AH21" i="7"/>
  <c r="AI21" i="7" s="1"/>
  <c r="AH228" i="7"/>
  <c r="AI228" i="7" s="1"/>
  <c r="AH870" i="7"/>
  <c r="AI870" i="7" s="1"/>
  <c r="AH598" i="7"/>
  <c r="AI598" i="7" s="1"/>
  <c r="AH826" i="7"/>
  <c r="AI826" i="7" s="1"/>
  <c r="AH722" i="7"/>
  <c r="AI722" i="7" s="1"/>
  <c r="AH616" i="7"/>
  <c r="AI616" i="7" s="1"/>
  <c r="AH365" i="7"/>
  <c r="AI365" i="7" s="1"/>
  <c r="AH565" i="7"/>
  <c r="AI565" i="7" s="1"/>
  <c r="AH436" i="7"/>
  <c r="AI436" i="7" s="1"/>
  <c r="AH110" i="7"/>
  <c r="AI110" i="7" s="1"/>
  <c r="AH386" i="7"/>
  <c r="AI386" i="7" s="1"/>
  <c r="AH427" i="7"/>
  <c r="AI427" i="7" s="1"/>
  <c r="AH635" i="7"/>
  <c r="AI635" i="7" s="1"/>
  <c r="AH290" i="7"/>
  <c r="AI290" i="7" s="1"/>
  <c r="AH212" i="7"/>
  <c r="AI212" i="7" s="1"/>
  <c r="AH508" i="7"/>
  <c r="AI508" i="7" s="1"/>
  <c r="AH828" i="7"/>
  <c r="AI828" i="7" s="1"/>
  <c r="AH384" i="7"/>
  <c r="AI384" i="7" s="1"/>
  <c r="AH152" i="7"/>
  <c r="AI152" i="7" s="1"/>
  <c r="AH174" i="7"/>
  <c r="AI174" i="7" s="1"/>
  <c r="AH24" i="7"/>
  <c r="AI24" i="7" s="1"/>
  <c r="AH779" i="7"/>
  <c r="AI779" i="7" s="1"/>
  <c r="AH462" i="7"/>
  <c r="AI462" i="7" s="1"/>
  <c r="AH687" i="7"/>
  <c r="AI687" i="7" s="1"/>
  <c r="AH807" i="7"/>
  <c r="AI807" i="7" s="1"/>
  <c r="AH672" i="7"/>
  <c r="AI672" i="7" s="1"/>
  <c r="AH478" i="7"/>
  <c r="AI478" i="7" s="1"/>
  <c r="AH701" i="7"/>
  <c r="AI701" i="7" s="1"/>
  <c r="AH501" i="7"/>
  <c r="AI501" i="7" s="1"/>
  <c r="AH19" i="7"/>
  <c r="AI19" i="7" s="1"/>
  <c r="AH122" i="7"/>
  <c r="AI122" i="7" s="1"/>
  <c r="AH825" i="7"/>
  <c r="AI825" i="7" s="1"/>
  <c r="AH53" i="7"/>
  <c r="AI53" i="7" s="1"/>
  <c r="AH98" i="7"/>
  <c r="AI98" i="7" s="1"/>
  <c r="AH664" i="7"/>
  <c r="AI664" i="7" s="1"/>
  <c r="AH403" i="7"/>
  <c r="AI403" i="7" s="1"/>
  <c r="AH647" i="7"/>
  <c r="AI647" i="7" s="1"/>
  <c r="AH614" i="7"/>
  <c r="AI614" i="7" s="1"/>
  <c r="AH319" i="7"/>
  <c r="AI319" i="7" s="1"/>
  <c r="AH34" i="7"/>
  <c r="AI34" i="7" s="1"/>
  <c r="AH341" i="7"/>
  <c r="AI341" i="7" s="1"/>
  <c r="AH706" i="7"/>
  <c r="AI706" i="7" s="1"/>
  <c r="AH64" i="7"/>
  <c r="AI64" i="7" s="1"/>
  <c r="AH425" i="7"/>
  <c r="AI425" i="7" s="1"/>
  <c r="AH15" i="7"/>
  <c r="AI15" i="7" s="1"/>
  <c r="AH734" i="7"/>
  <c r="AI734" i="7" s="1"/>
  <c r="AH502" i="7"/>
  <c r="AI502" i="7" s="1"/>
  <c r="AH404" i="7"/>
  <c r="AI404" i="7" s="1"/>
  <c r="AH397" i="7"/>
  <c r="AI397" i="7" s="1"/>
  <c r="AH143" i="7"/>
  <c r="AI143" i="7" s="1"/>
  <c r="AH25" i="7"/>
  <c r="AI25" i="7" s="1"/>
  <c r="AH103" i="7"/>
  <c r="AI103" i="7" s="1"/>
  <c r="AH559" i="7"/>
  <c r="AI559" i="7" s="1"/>
  <c r="AH90" i="7"/>
  <c r="AI90" i="7" s="1"/>
  <c r="AH772" i="7"/>
  <c r="AI772" i="7" s="1"/>
  <c r="AH777" i="7"/>
  <c r="AI777" i="7" s="1"/>
  <c r="AH848" i="7"/>
  <c r="AI848" i="7" s="1"/>
  <c r="AH27" i="7"/>
  <c r="AI27" i="7" s="1"/>
  <c r="AH839" i="7"/>
  <c r="AI839" i="7" s="1"/>
  <c r="AH757" i="7"/>
  <c r="AI757" i="7" s="1"/>
  <c r="AH830" i="7"/>
  <c r="AI830" i="7" s="1"/>
  <c r="AH631" i="7"/>
  <c r="AI631" i="7" s="1"/>
  <c r="AH45" i="7"/>
  <c r="AI45" i="7" s="1"/>
  <c r="AH642" i="7"/>
  <c r="AI642" i="7" s="1"/>
  <c r="AH597" i="7"/>
  <c r="AI597" i="7" s="1"/>
  <c r="AH604" i="7"/>
  <c r="AI604" i="7" s="1"/>
  <c r="AH823" i="7"/>
  <c r="AI823" i="7" s="1"/>
  <c r="AH780" i="7"/>
  <c r="AI780" i="7" s="1"/>
  <c r="AH550" i="7"/>
  <c r="AI550" i="7" s="1"/>
  <c r="AH507" i="7"/>
  <c r="AI507" i="7" s="1"/>
  <c r="AH592" i="7"/>
  <c r="AI592" i="7" s="1"/>
  <c r="AH332" i="7"/>
  <c r="AI332" i="7" s="1"/>
  <c r="AH627" i="7"/>
  <c r="AI627" i="7" s="1"/>
  <c r="AH789" i="7"/>
  <c r="AI789" i="7" s="1"/>
  <c r="AH735" i="7"/>
  <c r="AI735" i="7" s="1"/>
  <c r="AH717" i="7"/>
  <c r="AI717" i="7" s="1"/>
  <c r="AH542" i="7"/>
  <c r="AI542" i="7" s="1"/>
  <c r="AH812" i="7"/>
  <c r="AI812" i="7" s="1"/>
  <c r="AH245" i="7"/>
  <c r="AI245" i="7" s="1"/>
  <c r="AH86" i="7"/>
  <c r="AI86" i="7" s="1"/>
  <c r="AH561" i="7"/>
  <c r="AI561" i="7" s="1"/>
  <c r="AH583" i="7"/>
  <c r="AI583" i="7" s="1"/>
  <c r="AH822" i="7"/>
  <c r="AI822" i="7" s="1"/>
  <c r="AH172" i="7"/>
  <c r="AI172" i="7" s="1"/>
  <c r="AH111" i="7"/>
  <c r="AI111" i="7" s="1"/>
  <c r="AH331" i="7"/>
  <c r="AI331" i="7" s="1"/>
  <c r="AH768" i="7"/>
  <c r="AI768" i="7" s="1"/>
  <c r="AH147" i="7"/>
  <c r="AI147" i="7" s="1"/>
  <c r="AH89" i="7"/>
  <c r="AI89" i="7" s="1"/>
  <c r="AH429" i="7"/>
  <c r="AI429" i="7" s="1"/>
  <c r="AH596" i="7"/>
  <c r="AI596" i="7" s="1"/>
  <c r="AH51" i="7"/>
  <c r="AI51" i="7" s="1"/>
  <c r="AH814" i="7"/>
  <c r="AI814" i="7" s="1"/>
  <c r="AH774" i="7"/>
  <c r="AI774" i="7" s="1"/>
  <c r="AH349" i="7"/>
  <c r="AI349" i="7" s="1"/>
  <c r="AH770" i="7"/>
  <c r="AI770" i="7" s="1"/>
  <c r="AH54" i="7"/>
  <c r="AI54" i="7" s="1"/>
  <c r="AH741" i="7"/>
  <c r="AI741" i="7" s="1"/>
  <c r="AH529" i="7"/>
  <c r="AI529" i="7" s="1"/>
  <c r="AH191" i="7"/>
  <c r="AI191" i="7" s="1"/>
  <c r="AH329" i="7"/>
  <c r="AI329" i="7" s="1"/>
  <c r="AH14" i="7"/>
  <c r="AI14" i="7" s="1"/>
  <c r="AH851" i="7"/>
  <c r="AI851" i="7" s="1"/>
  <c r="AH521" i="7"/>
  <c r="AI521" i="7" s="1"/>
  <c r="AH737" i="7"/>
  <c r="AI737" i="7" s="1"/>
  <c r="AH857" i="7"/>
  <c r="AI857" i="7" s="1"/>
  <c r="AH179" i="7"/>
  <c r="AI179" i="7" s="1"/>
  <c r="AH345" i="7"/>
  <c r="AI345" i="7" s="1"/>
  <c r="AH297" i="7"/>
  <c r="AI297" i="7" s="1"/>
  <c r="AH148" i="7"/>
  <c r="AI148" i="7" s="1"/>
  <c r="AH606" i="7"/>
  <c r="AI606" i="7" s="1"/>
  <c r="AH838" i="7"/>
  <c r="AI838" i="7" s="1"/>
  <c r="AH381" i="7"/>
  <c r="AI381" i="7" s="1"/>
  <c r="AH690" i="7"/>
  <c r="AI690" i="7" s="1"/>
  <c r="AH433" i="7"/>
  <c r="AI433" i="7" s="1"/>
  <c r="AH847" i="7"/>
  <c r="AI847" i="7" s="1"/>
  <c r="AH461" i="7"/>
  <c r="AI461" i="7" s="1"/>
  <c r="AH193" i="7"/>
  <c r="AI193" i="7" s="1"/>
  <c r="AH442" i="7"/>
  <c r="AI442" i="7" s="1"/>
  <c r="AH44" i="7"/>
  <c r="AI44" i="7" s="1"/>
  <c r="AH302" i="7"/>
  <c r="AI302" i="7" s="1"/>
  <c r="AH80" i="7"/>
  <c r="AI80" i="7" s="1"/>
  <c r="AH634" i="7"/>
  <c r="AI634" i="7" s="1"/>
  <c r="AH541" i="7"/>
  <c r="AI541" i="7" s="1"/>
  <c r="AH72" i="7"/>
  <c r="AI72" i="7" s="1"/>
  <c r="AH619" i="7"/>
  <c r="AI619" i="7" s="1"/>
  <c r="AH545" i="7"/>
  <c r="AI545" i="7" s="1"/>
  <c r="AH544" i="7"/>
  <c r="AI544" i="7" s="1"/>
  <c r="AH149" i="7"/>
  <c r="AI149" i="7" s="1"/>
  <c r="AH718" i="7"/>
  <c r="AI718" i="7" s="1"/>
  <c r="AH648" i="7"/>
  <c r="AI648" i="7" s="1"/>
  <c r="AH446" i="7"/>
  <c r="AI446" i="7" s="1"/>
  <c r="AH775" i="7"/>
  <c r="AI775" i="7" s="1"/>
  <c r="AH678" i="7"/>
  <c r="AI678" i="7" s="1"/>
  <c r="AH702" i="7"/>
  <c r="AI702" i="7" s="1"/>
  <c r="AH820" i="7"/>
  <c r="AI820" i="7" s="1"/>
  <c r="AH628" i="7"/>
  <c r="AI628" i="7" s="1"/>
  <c r="AH827" i="7"/>
  <c r="AI827" i="7" s="1"/>
  <c r="AH867" i="7"/>
  <c r="AI867" i="7" s="1"/>
  <c r="AH551" i="7"/>
  <c r="AI551" i="7" s="1"/>
  <c r="AH113" i="7"/>
  <c r="AI113" i="7" s="1"/>
  <c r="AH668" i="7"/>
  <c r="AI668" i="7" s="1"/>
  <c r="AH856" i="7"/>
  <c r="AI856" i="7" s="1"/>
  <c r="AH237" i="7"/>
  <c r="AI237" i="7" s="1"/>
  <c r="AH582" i="7"/>
  <c r="AI582" i="7" s="1"/>
  <c r="AH546" i="7"/>
  <c r="AI546" i="7" s="1"/>
  <c r="AH731" i="7"/>
  <c r="AI731" i="7" s="1"/>
  <c r="AH252" i="7"/>
  <c r="AI252" i="7" s="1"/>
  <c r="AH657" i="7"/>
  <c r="AI657" i="7" s="1"/>
  <c r="AH289" i="7"/>
  <c r="AI289" i="7" s="1"/>
  <c r="AH705" i="7"/>
  <c r="AI705" i="7" s="1"/>
  <c r="AH387" i="7"/>
  <c r="AI387" i="7" s="1"/>
  <c r="AH286" i="7"/>
  <c r="AI286" i="7" s="1"/>
  <c r="AH361" i="7"/>
  <c r="AI361" i="7" s="1"/>
  <c r="AH362" i="7"/>
  <c r="AI362" i="7" s="1"/>
  <c r="AH261" i="7"/>
  <c r="AI261" i="7" s="1"/>
  <c r="AH88" i="7"/>
  <c r="AI88" i="7" s="1"/>
  <c r="AH719" i="7"/>
  <c r="AI719" i="7" s="1"/>
  <c r="AH201" i="7"/>
  <c r="AI201" i="7" s="1"/>
  <c r="AH273" i="7"/>
  <c r="AI273" i="7" s="1"/>
  <c r="AH854" i="7"/>
  <c r="AI854" i="7" s="1"/>
  <c r="AH615" i="7"/>
  <c r="AI615" i="7" s="1"/>
  <c r="AH586" i="7"/>
  <c r="AI586" i="7" s="1"/>
  <c r="AH613" i="7"/>
  <c r="AI613" i="7" s="1"/>
  <c r="AH136" i="7"/>
  <c r="AI136" i="7" s="1"/>
  <c r="AH749" i="7"/>
  <c r="AI749" i="7" s="1"/>
  <c r="AH643" i="7"/>
  <c r="AI643" i="7" s="1"/>
  <c r="AH81" i="7"/>
  <c r="AI81" i="7" s="1"/>
  <c r="AH484" i="7"/>
  <c r="AI484" i="7" s="1"/>
  <c r="AH733" i="7"/>
  <c r="AI733" i="7" s="1"/>
  <c r="AH724" i="7"/>
  <c r="AI724" i="7" s="1"/>
  <c r="AH369" i="7"/>
  <c r="AI369" i="7" s="1"/>
  <c r="AH761" i="7"/>
  <c r="AI761" i="7" s="1"/>
  <c r="AH605" i="7"/>
  <c r="AI605" i="7" s="1"/>
  <c r="AH805" i="7"/>
  <c r="AI805" i="7" s="1"/>
  <c r="AH13" i="7"/>
  <c r="AI13" i="7" s="1"/>
  <c r="AH506" i="7"/>
  <c r="AI506" i="7" s="1"/>
  <c r="AH74" i="7"/>
  <c r="AI74" i="7" s="1"/>
  <c r="AH778" i="7"/>
  <c r="AI778" i="7" s="1"/>
  <c r="AH205" i="7"/>
  <c r="AI205" i="7" s="1"/>
  <c r="AH799" i="7"/>
  <c r="AI799" i="7" s="1"/>
  <c r="AH569" i="7"/>
  <c r="AI569" i="7" s="1"/>
  <c r="AH836" i="7"/>
  <c r="AI836" i="7" s="1"/>
  <c r="AH400" i="7"/>
  <c r="AI400" i="7" s="1"/>
  <c r="AH575" i="7"/>
  <c r="AI575" i="7" s="1"/>
  <c r="AH752" i="7"/>
  <c r="AI752" i="7" s="1"/>
  <c r="AH522" i="7"/>
  <c r="AI522" i="7" s="1"/>
  <c r="AH554" i="7"/>
  <c r="AI554" i="7" s="1"/>
  <c r="AH656" i="7"/>
  <c r="AI656" i="7" s="1"/>
  <c r="AH771" i="7"/>
  <c r="AI771" i="7" s="1"/>
  <c r="AH414" i="7"/>
  <c r="AI414" i="7" s="1"/>
  <c r="AH158" i="7"/>
  <c r="AI158" i="7" s="1"/>
  <c r="AH588" i="7"/>
  <c r="AI588" i="7" s="1"/>
  <c r="AH865" i="7"/>
  <c r="AI865" i="7" s="1"/>
  <c r="AH312" i="7"/>
  <c r="AI312" i="7" s="1"/>
  <c r="AH168" i="7"/>
  <c r="AI168" i="7" s="1"/>
  <c r="AH159" i="7"/>
  <c r="AI159" i="7" s="1"/>
  <c r="AH497" i="7"/>
  <c r="AI497" i="7" s="1"/>
  <c r="AH549" i="7"/>
  <c r="AI549" i="7" s="1"/>
  <c r="AH653" i="7"/>
  <c r="AI653" i="7" s="1"/>
  <c r="AH146" i="7"/>
  <c r="AI146" i="7" s="1"/>
  <c r="AH445" i="7"/>
  <c r="AI445" i="7" s="1"/>
  <c r="AH134" i="7"/>
  <c r="AI134" i="7" s="1"/>
  <c r="AH552" i="7"/>
  <c r="AI552" i="7" s="1"/>
  <c r="AH186" i="7"/>
  <c r="AI186" i="7" s="1"/>
  <c r="AH162" i="7"/>
  <c r="AI162" i="7" s="1"/>
  <c r="AH323" i="7"/>
  <c r="AI323" i="7" s="1"/>
  <c r="AH645" i="7"/>
  <c r="AI645" i="7" s="1"/>
  <c r="AH444" i="7"/>
  <c r="AI444" i="7" s="1"/>
  <c r="AH764" i="7"/>
  <c r="AI764" i="7" s="1"/>
  <c r="AB289" i="7"/>
  <c r="AC289" i="7" s="1"/>
  <c r="AB34" i="7"/>
  <c r="AC34" i="7" s="1"/>
  <c r="AB332" i="7"/>
  <c r="AC332" i="7" s="1"/>
  <c r="AB329" i="7"/>
  <c r="AC329" i="7" s="1"/>
  <c r="AB212" i="7"/>
  <c r="AC212" i="7" s="1"/>
  <c r="AB113" i="7"/>
  <c r="AC113" i="7" s="1"/>
  <c r="AB210" i="7"/>
  <c r="AC210" i="7" s="1"/>
  <c r="AB789" i="7"/>
  <c r="AC789" i="7" s="1"/>
  <c r="AB521" i="7"/>
  <c r="AC521" i="7" s="1"/>
  <c r="AB828" i="7"/>
  <c r="AC828" i="7" s="1"/>
  <c r="AB387" i="7"/>
  <c r="AC387" i="7" s="1"/>
  <c r="AB369" i="7"/>
  <c r="AC369" i="7" s="1"/>
  <c r="AB15" i="7"/>
  <c r="AC15" i="7" s="1"/>
  <c r="AB813" i="7"/>
  <c r="AC813" i="7" s="1"/>
  <c r="AB717" i="7"/>
  <c r="AC717" i="7" s="1"/>
  <c r="AB179" i="7"/>
  <c r="AC179" i="7" s="1"/>
  <c r="AB174" i="7"/>
  <c r="AC174" i="7" s="1"/>
  <c r="AB586" i="7"/>
  <c r="AC586" i="7" s="1"/>
  <c r="AB404" i="7"/>
  <c r="AC404" i="7" s="1"/>
  <c r="AB764" i="7"/>
  <c r="AC764" i="7" s="1"/>
  <c r="AB512" i="7"/>
  <c r="AC512" i="7" s="1"/>
  <c r="AB245" i="7"/>
  <c r="AC245" i="7" s="1"/>
  <c r="AB148" i="7"/>
  <c r="AC148" i="7" s="1"/>
  <c r="AB761" i="7"/>
  <c r="AC761" i="7" s="1"/>
  <c r="AB445" i="7"/>
  <c r="AC445" i="7" s="1"/>
  <c r="AB678" i="7"/>
  <c r="AC678" i="7" s="1"/>
  <c r="AB539" i="7"/>
  <c r="AC539" i="7" s="1"/>
  <c r="AB583" i="7"/>
  <c r="AC583" i="7" s="1"/>
  <c r="AB381" i="7"/>
  <c r="AC381" i="7" s="1"/>
  <c r="AB462" i="7"/>
  <c r="AC462" i="7" s="1"/>
  <c r="AB400" i="7"/>
  <c r="AC400" i="7" s="1"/>
  <c r="AB588" i="7"/>
  <c r="AC588" i="7" s="1"/>
  <c r="AB559" i="7"/>
  <c r="AC559" i="7" s="1"/>
  <c r="AB582" i="7"/>
  <c r="AC582" i="7" s="1"/>
  <c r="AB661" i="7"/>
  <c r="AC661" i="7" s="1"/>
  <c r="AB111" i="7"/>
  <c r="AC111" i="7" s="1"/>
  <c r="AB847" i="7"/>
  <c r="AC847" i="7" s="1"/>
  <c r="AB672" i="7"/>
  <c r="AC672" i="7" s="1"/>
  <c r="AB312" i="7"/>
  <c r="AC312" i="7" s="1"/>
  <c r="AB820" i="7"/>
  <c r="AC820" i="7" s="1"/>
  <c r="AB772" i="7"/>
  <c r="AC772" i="7" s="1"/>
  <c r="AB242" i="7"/>
  <c r="AC242" i="7" s="1"/>
  <c r="AB193" i="7"/>
  <c r="AC193" i="7" s="1"/>
  <c r="AB701" i="7"/>
  <c r="AC701" i="7" s="1"/>
  <c r="AB848" i="7"/>
  <c r="AC848" i="7" s="1"/>
  <c r="AB749" i="7"/>
  <c r="AC749" i="7" s="1"/>
  <c r="AB89" i="7"/>
  <c r="AC89" i="7" s="1"/>
  <c r="AB44" i="7"/>
  <c r="AC44" i="7" s="1"/>
  <c r="AB628" i="7"/>
  <c r="AC628" i="7" s="1"/>
  <c r="AB88" i="7"/>
  <c r="AC88" i="7" s="1"/>
  <c r="AB757" i="7"/>
  <c r="AC757" i="7" s="1"/>
  <c r="AB598" i="7"/>
  <c r="AC598" i="7" s="1"/>
  <c r="AB51" i="7"/>
  <c r="AC51" i="7" s="1"/>
  <c r="AB634" i="7"/>
  <c r="AC634" i="7" s="1"/>
  <c r="AB825" i="7"/>
  <c r="AC825" i="7" s="1"/>
  <c r="AB81" i="7"/>
  <c r="AC81" i="7" s="1"/>
  <c r="AB45" i="7"/>
  <c r="AC45" i="7" s="1"/>
  <c r="AB554" i="7"/>
  <c r="AC554" i="7" s="1"/>
  <c r="AB616" i="7"/>
  <c r="AC616" i="7" s="1"/>
  <c r="AB349" i="7"/>
  <c r="AC349" i="7" s="1"/>
  <c r="AB664" i="7"/>
  <c r="AC664" i="7" s="1"/>
  <c r="AB201" i="7"/>
  <c r="AC201" i="7" s="1"/>
  <c r="AB778" i="7"/>
  <c r="AC778" i="7" s="1"/>
  <c r="AB604" i="7"/>
  <c r="AC604" i="7" s="1"/>
  <c r="AB653" i="7"/>
  <c r="AC653" i="7" s="1"/>
  <c r="AB436" i="7"/>
  <c r="AC436" i="7" s="1"/>
  <c r="AB741" i="7"/>
  <c r="AC741" i="7" s="1"/>
  <c r="AB544" i="7"/>
  <c r="AC544" i="7" s="1"/>
  <c r="AB647" i="7"/>
  <c r="AC647" i="7" s="1"/>
  <c r="AB733" i="7"/>
  <c r="AC733" i="7" s="1"/>
  <c r="AB656" i="7"/>
  <c r="AC656" i="7" s="1"/>
  <c r="AB550" i="7"/>
  <c r="AC550" i="7" s="1"/>
  <c r="AB645" i="7"/>
  <c r="AC645" i="7" s="1"/>
  <c r="AB427" i="7"/>
  <c r="AC427" i="7" s="1"/>
  <c r="AB191" i="7"/>
  <c r="AC191" i="7" s="1"/>
  <c r="AB225" i="7"/>
  <c r="AC225" i="7" s="1"/>
  <c r="AB527" i="7"/>
  <c r="AC527" i="7" s="1"/>
  <c r="AB736" i="7"/>
  <c r="AC736" i="7" s="1"/>
  <c r="AB602" i="7"/>
  <c r="AC602" i="7" s="1"/>
  <c r="AB765" i="7"/>
  <c r="AC765" i="7" s="1"/>
  <c r="AB263" i="7"/>
  <c r="AC263" i="7" s="1"/>
  <c r="AB660" i="7"/>
  <c r="AC660" i="7" s="1"/>
  <c r="AB304" i="7"/>
  <c r="AC304" i="7" s="1"/>
  <c r="AB342" i="7"/>
  <c r="AC342" i="7" s="1"/>
  <c r="AB503" i="7"/>
  <c r="AC503" i="7" s="1"/>
  <c r="AB322" i="7"/>
  <c r="AC322" i="7" s="1"/>
  <c r="AB280" i="7"/>
  <c r="AC280" i="7" s="1"/>
  <c r="AB340" i="7"/>
  <c r="AC340" i="7" s="1"/>
  <c r="AB755" i="7"/>
  <c r="AC755" i="7" s="1"/>
  <c r="AB579" i="7"/>
  <c r="AC579" i="7" s="1"/>
  <c r="AB465" i="7"/>
  <c r="AC465" i="7" s="1"/>
  <c r="AB150" i="7"/>
  <c r="AC150" i="7" s="1"/>
  <c r="AB11" i="7"/>
  <c r="AC11" i="7" s="1"/>
  <c r="AB491" i="7"/>
  <c r="AC491" i="7" s="1"/>
  <c r="AB533" i="7"/>
  <c r="AC533" i="7" s="1"/>
  <c r="AB688" i="7"/>
  <c r="AC688" i="7" s="1"/>
  <c r="AB8" i="7"/>
  <c r="AC8" i="7" s="1"/>
  <c r="AB374" i="7"/>
  <c r="AC374" i="7" s="1"/>
  <c r="AB344" i="7"/>
  <c r="AC344" i="7" s="1"/>
  <c r="AB725" i="7"/>
  <c r="AC725" i="7" s="1"/>
  <c r="AB343" i="7"/>
  <c r="AC343" i="7" s="1"/>
  <c r="AB742" i="7"/>
  <c r="AC742" i="7" s="1"/>
  <c r="AB283" i="7"/>
  <c r="AC283" i="7" s="1"/>
  <c r="AB574" i="7"/>
  <c r="AC574" i="7" s="1"/>
  <c r="AB256" i="7"/>
  <c r="AC256" i="7" s="1"/>
  <c r="AB220" i="7"/>
  <c r="AC220" i="7" s="1"/>
  <c r="AB417" i="7"/>
  <c r="AC417" i="7" s="1"/>
  <c r="AB17" i="7"/>
  <c r="AC17" i="7" s="1"/>
  <c r="AB600" i="7"/>
  <c r="AC600" i="7" s="1"/>
  <c r="AB407" i="7"/>
  <c r="AC407" i="7" s="1"/>
  <c r="AB82" i="7"/>
  <c r="AC82" i="7" s="1"/>
  <c r="AB846" i="7"/>
  <c r="AC846" i="7" s="1"/>
  <c r="AB727" i="7"/>
  <c r="AC727" i="7" s="1"/>
  <c r="AB800" i="7"/>
  <c r="AC800" i="7" s="1"/>
  <c r="AB183" i="7"/>
  <c r="AC183" i="7" s="1"/>
  <c r="AB759" i="7"/>
  <c r="AC759" i="7" s="1"/>
  <c r="AB523" i="7"/>
  <c r="AC523" i="7" s="1"/>
  <c r="AB213" i="7"/>
  <c r="AC213" i="7" s="1"/>
  <c r="AB763" i="7"/>
  <c r="AC763" i="7" s="1"/>
  <c r="AB308" i="7"/>
  <c r="AC308" i="7" s="1"/>
  <c r="AB333" i="7"/>
  <c r="AC333" i="7" s="1"/>
  <c r="AB853" i="7"/>
  <c r="AC853" i="7" s="1"/>
  <c r="AB275" i="7"/>
  <c r="AC275" i="7" s="1"/>
  <c r="AB287" i="7"/>
  <c r="AC287" i="7" s="1"/>
  <c r="AB630" i="7"/>
  <c r="AC630" i="7" s="1"/>
  <c r="AB832" i="7"/>
  <c r="AC832" i="7" s="1"/>
  <c r="AB514" i="7"/>
  <c r="AC514" i="7" s="1"/>
  <c r="AB35" i="7"/>
  <c r="AC35" i="7" s="1"/>
  <c r="AB258" i="7"/>
  <c r="AC258" i="7" s="1"/>
  <c r="AB681" i="7"/>
  <c r="AC681" i="7" s="1"/>
  <c r="AB760" i="7"/>
  <c r="AC760" i="7" s="1"/>
  <c r="AB564" i="7"/>
  <c r="AC564" i="7" s="1"/>
  <c r="AB354" i="7"/>
  <c r="AC354" i="7" s="1"/>
  <c r="AB233" i="7"/>
  <c r="AC233" i="7" s="1"/>
  <c r="AB137" i="7"/>
  <c r="AC137" i="7" s="1"/>
  <c r="AB474" i="7"/>
  <c r="AC474" i="7" s="1"/>
  <c r="AB298" i="7"/>
  <c r="AC298" i="7" s="1"/>
  <c r="AB585" i="7"/>
  <c r="AC585" i="7" s="1"/>
  <c r="AB267" i="7"/>
  <c r="AC267" i="7" s="1"/>
  <c r="AB829" i="7"/>
  <c r="AC829" i="7" s="1"/>
  <c r="AB524" i="7"/>
  <c r="AC524" i="7" s="1"/>
  <c r="AB632" i="7"/>
  <c r="AC632" i="7" s="1"/>
  <c r="AB715" i="7"/>
  <c r="AC715" i="7" s="1"/>
  <c r="AB518" i="7"/>
  <c r="AC518" i="7" s="1"/>
  <c r="AB295" i="7"/>
  <c r="AC295" i="7" s="1"/>
  <c r="AB610" i="7"/>
  <c r="AC610" i="7" s="1"/>
  <c r="AB330" i="7"/>
  <c r="AC330" i="7" s="1"/>
  <c r="AB334" i="7"/>
  <c r="AC334" i="7" s="1"/>
  <c r="AB428" i="7"/>
  <c r="AC428" i="7" s="1"/>
  <c r="AB500" i="7"/>
  <c r="AC500" i="7" s="1"/>
  <c r="AB457" i="7"/>
  <c r="AC457" i="7" s="1"/>
  <c r="AB568" i="7"/>
  <c r="AC568" i="7" s="1"/>
  <c r="AB592" i="7"/>
  <c r="AC592" i="7" s="1"/>
  <c r="AB290" i="7"/>
  <c r="AC290" i="7" s="1"/>
  <c r="AB146" i="7"/>
  <c r="AC146" i="7" s="1"/>
  <c r="AB718" i="7"/>
  <c r="AC718" i="7" s="1"/>
  <c r="AB706" i="7"/>
  <c r="AC706" i="7" s="1"/>
  <c r="AB705" i="7"/>
  <c r="AC705" i="7" s="1"/>
  <c r="AB494" i="7"/>
  <c r="AC494" i="7" s="1"/>
  <c r="AB851" i="7"/>
  <c r="AC851" i="7" s="1"/>
  <c r="AB508" i="7"/>
  <c r="AC508" i="7" s="1"/>
  <c r="AB158" i="7"/>
  <c r="AC158" i="7" s="1"/>
  <c r="AB668" i="7"/>
  <c r="AC668" i="7" s="1"/>
  <c r="AB425" i="7"/>
  <c r="AC425" i="7" s="1"/>
  <c r="AB615" i="7"/>
  <c r="AC615" i="7" s="1"/>
  <c r="AB868" i="7"/>
  <c r="AC868" i="7" s="1"/>
  <c r="AB857" i="7"/>
  <c r="AC857" i="7" s="1"/>
  <c r="AB152" i="7"/>
  <c r="AC152" i="7" s="1"/>
  <c r="AB446" i="7"/>
  <c r="AC446" i="7" s="1"/>
  <c r="AB286" i="7"/>
  <c r="AC286" i="7" s="1"/>
  <c r="AB502" i="7"/>
  <c r="AC502" i="7" s="1"/>
  <c r="AB115" i="7"/>
  <c r="AC115" i="7" s="1"/>
  <c r="AB812" i="7"/>
  <c r="AC812" i="7" s="1"/>
  <c r="AB297" i="7"/>
  <c r="AC297" i="7" s="1"/>
  <c r="AB779" i="7"/>
  <c r="AC779" i="7" s="1"/>
  <c r="AB237" i="7"/>
  <c r="AC237" i="7" s="1"/>
  <c r="AB613" i="7"/>
  <c r="AC613" i="7" s="1"/>
  <c r="AB143" i="7"/>
  <c r="AC143" i="7" s="1"/>
  <c r="AB836" i="7"/>
  <c r="AC836" i="7" s="1"/>
  <c r="AB669" i="7"/>
  <c r="AC669" i="7" s="1"/>
  <c r="AB561" i="7"/>
  <c r="AC561" i="7" s="1"/>
  <c r="AB838" i="7"/>
  <c r="AC838" i="7" s="1"/>
  <c r="AB362" i="7"/>
  <c r="AC362" i="7" s="1"/>
  <c r="AB605" i="7"/>
  <c r="AC605" i="7" s="1"/>
  <c r="AB103" i="7"/>
  <c r="AC103" i="7" s="1"/>
  <c r="AB414" i="7"/>
  <c r="AC414" i="7" s="1"/>
  <c r="AB754" i="7"/>
  <c r="AC754" i="7" s="1"/>
  <c r="AB172" i="7"/>
  <c r="AC172" i="7" s="1"/>
  <c r="AB433" i="7"/>
  <c r="AC433" i="7" s="1"/>
  <c r="AB807" i="7"/>
  <c r="AC807" i="7" s="1"/>
  <c r="AB136" i="7"/>
  <c r="AC136" i="7" s="1"/>
  <c r="AB575" i="7"/>
  <c r="AC575" i="7" s="1"/>
  <c r="AB90" i="7"/>
  <c r="AC90" i="7" s="1"/>
  <c r="AB159" i="7"/>
  <c r="AC159" i="7" s="1"/>
  <c r="AB102" i="7"/>
  <c r="AC102" i="7" s="1"/>
  <c r="AB768" i="7"/>
  <c r="AC768" i="7" s="1"/>
  <c r="AB13" i="7"/>
  <c r="AC13" i="7" s="1"/>
  <c r="AB549" i="7"/>
  <c r="AC549" i="7" s="1"/>
  <c r="AB21" i="7"/>
  <c r="AC21" i="7" s="1"/>
  <c r="AB147" i="7"/>
  <c r="AC147" i="7" s="1"/>
  <c r="AB442" i="7"/>
  <c r="AC442" i="7" s="1"/>
  <c r="AB323" i="7"/>
  <c r="AC323" i="7" s="1"/>
  <c r="AB839" i="7"/>
  <c r="AC839" i="7" s="1"/>
  <c r="AB546" i="7"/>
  <c r="AC546" i="7" s="1"/>
  <c r="AB870" i="7"/>
  <c r="AC870" i="7" s="1"/>
  <c r="AB596" i="7"/>
  <c r="AC596" i="7" s="1"/>
  <c r="AB80" i="7"/>
  <c r="AC80" i="7" s="1"/>
  <c r="AB122" i="7"/>
  <c r="AC122" i="7" s="1"/>
  <c r="AB631" i="7"/>
  <c r="AC631" i="7" s="1"/>
  <c r="AB719" i="7"/>
  <c r="AC719" i="7" s="1"/>
  <c r="AB722" i="7"/>
  <c r="AC722" i="7" s="1"/>
  <c r="AB774" i="7"/>
  <c r="AC774" i="7" s="1"/>
  <c r="AB72" i="7"/>
  <c r="AC72" i="7" s="1"/>
  <c r="AB98" i="7"/>
  <c r="AC98" i="7" s="1"/>
  <c r="AB731" i="7"/>
  <c r="AC731" i="7" s="1"/>
  <c r="AB597" i="7"/>
  <c r="AC597" i="7" s="1"/>
  <c r="AB484" i="7"/>
  <c r="AC484" i="7" s="1"/>
  <c r="AB565" i="7"/>
  <c r="AC565" i="7" s="1"/>
  <c r="AB54" i="7"/>
  <c r="AC54" i="7" s="1"/>
  <c r="AB545" i="7"/>
  <c r="AC545" i="7" s="1"/>
  <c r="AB403" i="7"/>
  <c r="AC403" i="7" s="1"/>
  <c r="AB867" i="7"/>
  <c r="AC867" i="7" s="1"/>
  <c r="AB273" i="7"/>
  <c r="AC273" i="7" s="1"/>
  <c r="AB780" i="7"/>
  <c r="AC780" i="7" s="1"/>
  <c r="AB205" i="7"/>
  <c r="AC205" i="7" s="1"/>
  <c r="AB386" i="7"/>
  <c r="AC386" i="7" s="1"/>
  <c r="AB149" i="7"/>
  <c r="AC149" i="7" s="1"/>
  <c r="AB319" i="7"/>
  <c r="AC319" i="7" s="1"/>
  <c r="AB657" i="7"/>
  <c r="AC657" i="7" s="1"/>
  <c r="AB209" i="7"/>
  <c r="AC209" i="7" s="1"/>
  <c r="AB459" i="7"/>
  <c r="AC459" i="7" s="1"/>
  <c r="AB784" i="7"/>
  <c r="AC784" i="7" s="1"/>
  <c r="AB138" i="7"/>
  <c r="AC138" i="7" s="1"/>
  <c r="AB216" i="7"/>
  <c r="AC216" i="7" s="1"/>
  <c r="AB328" i="7"/>
  <c r="AC328" i="7" s="1"/>
  <c r="AB154" i="7"/>
  <c r="AC154" i="7" s="1"/>
  <c r="AB577" i="7"/>
  <c r="AC577" i="7" s="1"/>
  <c r="AB303" i="7"/>
  <c r="AC303" i="7" s="1"/>
  <c r="AB680" i="7"/>
  <c r="AC680" i="7" s="1"/>
  <c r="AB536" i="7"/>
  <c r="AC536" i="7" s="1"/>
  <c r="AB858" i="7"/>
  <c r="AC858" i="7" s="1"/>
  <c r="AB285" i="7"/>
  <c r="AC285" i="7" s="1"/>
  <c r="AB695" i="7"/>
  <c r="AC695" i="7" s="1"/>
  <c r="AB704" i="7"/>
  <c r="AC704" i="7" s="1"/>
  <c r="AB809" i="7"/>
  <c r="AC809" i="7" s="1"/>
  <c r="AB164" i="7"/>
  <c r="AC164" i="7" s="1"/>
  <c r="AB587" i="7"/>
  <c r="AC587" i="7" s="1"/>
  <c r="AB58" i="7"/>
  <c r="AC58" i="7" s="1"/>
  <c r="AB402" i="7"/>
  <c r="AC402" i="7" s="1"/>
  <c r="AB762" i="7"/>
  <c r="AC762" i="7" s="1"/>
  <c r="AB236" i="7"/>
  <c r="AC236" i="7" s="1"/>
  <c r="AB367" i="7"/>
  <c r="AC367" i="7" s="1"/>
  <c r="AB249" i="7"/>
  <c r="AC249" i="7" s="1"/>
  <c r="AB844" i="7"/>
  <c r="AC844" i="7" s="1"/>
  <c r="AB208" i="7"/>
  <c r="AC208" i="7" s="1"/>
  <c r="AB196" i="7"/>
  <c r="AC196" i="7" s="1"/>
  <c r="AB730" i="7"/>
  <c r="AC730" i="7" s="1"/>
  <c r="AB135" i="7"/>
  <c r="AC135" i="7" s="1"/>
  <c r="AB723" i="7"/>
  <c r="AC723" i="7" s="1"/>
  <c r="AB519" i="7"/>
  <c r="AC519" i="7" s="1"/>
  <c r="AB525" i="7"/>
  <c r="AC525" i="7" s="1"/>
  <c r="AB313" i="7"/>
  <c r="AC313" i="7" s="1"/>
  <c r="AB791" i="7"/>
  <c r="AC791" i="7" s="1"/>
  <c r="AB790" i="7"/>
  <c r="AC790" i="7" s="1"/>
  <c r="AB753" i="7"/>
  <c r="AC753" i="7" s="1"/>
  <c r="AB167" i="7"/>
  <c r="AC167" i="7" s="1"/>
  <c r="AB682" i="7"/>
  <c r="AC682" i="7" s="1"/>
  <c r="AB100" i="7"/>
  <c r="AC100" i="7" s="1"/>
  <c r="AB746" i="7"/>
  <c r="AC746" i="7" s="1"/>
  <c r="AB84" i="7"/>
  <c r="AC84" i="7" s="1"/>
  <c r="AB133" i="7"/>
  <c r="AC133" i="7" s="1"/>
  <c r="AB744" i="7"/>
  <c r="AC744" i="7" s="1"/>
  <c r="AB184" i="7"/>
  <c r="AC184" i="7" s="1"/>
  <c r="AB671" i="7"/>
  <c r="AC671" i="7" s="1"/>
  <c r="AB618" i="7"/>
  <c r="AC618" i="7" s="1"/>
  <c r="AB320" i="7"/>
  <c r="AC320" i="7" s="1"/>
  <c r="AB187" i="7"/>
  <c r="AC187" i="7" s="1"/>
  <c r="AB509" i="7"/>
  <c r="AC509" i="7" s="1"/>
  <c r="AB817" i="7"/>
  <c r="AC817" i="7" s="1"/>
  <c r="AB452" i="7"/>
  <c r="AC452" i="7" s="1"/>
  <c r="AB801" i="7"/>
  <c r="AC801" i="7" s="1"/>
  <c r="AB385" i="7"/>
  <c r="AC385" i="7" s="1"/>
  <c r="AB864" i="7"/>
  <c r="AC864" i="7" s="1"/>
  <c r="AB679" i="7"/>
  <c r="AC679" i="7" s="1"/>
  <c r="AB200" i="7"/>
  <c r="AC200" i="7" s="1"/>
  <c r="AB255" i="7"/>
  <c r="AC255" i="7" s="1"/>
  <c r="AB202" i="7"/>
  <c r="AC202" i="7" s="1"/>
  <c r="AB443" i="7"/>
  <c r="AC443" i="7" s="1"/>
  <c r="AB563" i="7"/>
  <c r="AC563" i="7" s="1"/>
  <c r="AB558" i="7"/>
  <c r="AC558" i="7" s="1"/>
  <c r="AB291" i="7"/>
  <c r="AC291" i="7" s="1"/>
  <c r="AB581" i="7"/>
  <c r="AC581" i="7" s="1"/>
  <c r="AB203" i="7"/>
  <c r="AC203" i="7" s="1"/>
  <c r="AB83" i="7"/>
  <c r="AC83" i="7" s="1"/>
  <c r="AB787" i="7"/>
  <c r="AC787" i="7" s="1"/>
  <c r="AB107" i="7"/>
  <c r="AC107" i="7" s="1"/>
  <c r="AB833" i="7"/>
  <c r="AC833" i="7" s="1"/>
  <c r="AB30" i="7"/>
  <c r="AC30" i="7" s="1"/>
  <c r="AB356" i="7"/>
  <c r="AC356" i="7" s="1"/>
  <c r="AB108" i="7"/>
  <c r="AC108" i="7" s="1"/>
  <c r="AB279" i="7"/>
  <c r="AC279" i="7" s="1"/>
  <c r="AB140" i="7"/>
  <c r="AC140" i="7" s="1"/>
  <c r="AB547" i="7"/>
  <c r="AC547" i="7" s="1"/>
  <c r="AB370" i="7"/>
  <c r="AC370" i="7" s="1"/>
  <c r="AB293" i="7"/>
  <c r="AC293" i="7" s="1"/>
  <c r="AB87" i="7"/>
  <c r="AC87" i="7" s="1"/>
  <c r="AB644" i="7"/>
  <c r="AC644" i="7" s="1"/>
  <c r="AB434" i="7"/>
  <c r="AC434" i="7" s="1"/>
  <c r="AB240" i="7"/>
  <c r="AC240" i="7" s="1"/>
  <c r="AB393" i="7"/>
  <c r="AC393" i="7" s="1"/>
  <c r="AB264" i="7"/>
  <c r="AC264" i="7" s="1"/>
  <c r="AB318" i="7"/>
  <c r="AC318" i="7" s="1"/>
  <c r="AB834" i="7"/>
  <c r="AC834" i="7" s="1"/>
  <c r="AB665" i="7"/>
  <c r="AC665" i="7" s="1"/>
  <c r="AB437" i="7"/>
  <c r="AC437" i="7" s="1"/>
  <c r="AB262" i="7"/>
  <c r="AC262" i="7" s="1"/>
  <c r="AB338" i="7"/>
  <c r="AC338" i="7" s="1"/>
  <c r="AB708" i="7"/>
  <c r="AC708" i="7" s="1"/>
  <c r="AB843" i="7"/>
  <c r="AC843" i="7" s="1"/>
  <c r="AB390" i="7"/>
  <c r="AC390" i="7" s="1"/>
  <c r="AB180" i="7"/>
  <c r="AC180" i="7" s="1"/>
  <c r="AB713" i="7"/>
  <c r="AC713" i="7" s="1"/>
  <c r="AB472" i="7"/>
  <c r="AC472" i="7" s="1"/>
  <c r="AB244" i="7"/>
  <c r="AC244" i="7" s="1"/>
  <c r="AB767" i="7"/>
  <c r="AC767" i="7" s="1"/>
  <c r="AB795" i="7"/>
  <c r="AC795" i="7" s="1"/>
  <c r="AB127" i="7"/>
  <c r="AC127" i="7" s="1"/>
  <c r="AB748" i="7"/>
  <c r="AC748" i="7" s="1"/>
  <c r="AB510" i="7"/>
  <c r="AC510" i="7" s="1"/>
  <c r="AB182" i="7"/>
  <c r="AC182" i="7" s="1"/>
  <c r="AB410" i="7"/>
  <c r="AC410" i="7" s="1"/>
  <c r="AB230" i="7"/>
  <c r="AC230" i="7" s="1"/>
  <c r="AB376" i="7"/>
  <c r="AC376" i="7" s="1"/>
  <c r="AB794" i="7"/>
  <c r="AC794" i="7" s="1"/>
  <c r="AB26" i="7"/>
  <c r="AC26" i="7" s="1"/>
  <c r="AB785" i="7"/>
  <c r="AC785" i="7" s="1"/>
  <c r="AB438" i="7"/>
  <c r="AC438" i="7" s="1"/>
  <c r="AB863" i="7"/>
  <c r="AC863" i="7" s="1"/>
  <c r="AB573" i="7"/>
  <c r="AC573" i="7" s="1"/>
  <c r="AB129" i="7"/>
  <c r="AC129" i="7" s="1"/>
  <c r="AB32" i="7"/>
  <c r="AC32" i="7" s="1"/>
  <c r="AB409" i="7"/>
  <c r="AC409" i="7" s="1"/>
  <c r="AB79" i="7"/>
  <c r="AC79" i="7" s="1"/>
  <c r="AB423" i="7"/>
  <c r="AC423" i="7" s="1"/>
  <c r="AB181" i="7"/>
  <c r="AC181" i="7" s="1"/>
  <c r="AB28" i="7"/>
  <c r="AC28" i="7" s="1"/>
  <c r="AB578" i="7"/>
  <c r="AC578" i="7" s="1"/>
  <c r="AB346" i="7"/>
  <c r="AC346" i="7" s="1"/>
  <c r="AB311" i="7"/>
  <c r="AC311" i="7" s="1"/>
  <c r="AB195" i="7"/>
  <c r="AC195" i="7" s="1"/>
  <c r="AB473" i="7"/>
  <c r="AC473" i="7" s="1"/>
  <c r="AB178" i="7"/>
  <c r="AC178" i="7" s="1"/>
  <c r="AB124" i="7"/>
  <c r="AC124" i="7" s="1"/>
  <c r="AB726" i="7"/>
  <c r="AC726" i="7" s="1"/>
  <c r="AB593" i="7"/>
  <c r="AC593" i="7" s="1"/>
  <c r="AB43" i="7"/>
  <c r="AC43" i="7" s="1"/>
  <c r="AB499" i="7"/>
  <c r="AC499" i="7" s="1"/>
  <c r="AB567" i="7"/>
  <c r="AC567" i="7" s="1"/>
  <c r="AB117" i="7"/>
  <c r="AC117" i="7" s="1"/>
  <c r="AB824" i="7"/>
  <c r="AC824" i="7" s="1"/>
  <c r="AB469" i="7"/>
  <c r="AC469" i="7" s="1"/>
  <c r="AB371" i="7"/>
  <c r="AC371" i="7" s="1"/>
  <c r="AB448" i="7"/>
  <c r="AC448" i="7" s="1"/>
  <c r="AB470" i="7"/>
  <c r="AC470" i="7" s="1"/>
  <c r="AB92" i="7"/>
  <c r="AC92" i="7" s="1"/>
  <c r="AB335" i="7"/>
  <c r="AC335" i="7" s="1"/>
  <c r="AB677" i="7"/>
  <c r="AC677" i="7" s="1"/>
  <c r="AB637" i="7"/>
  <c r="AC637" i="7" s="1"/>
  <c r="AB513" i="7"/>
  <c r="AC513" i="7" s="1"/>
  <c r="AB292" i="7"/>
  <c r="AC292" i="7" s="1"/>
  <c r="AB464" i="7"/>
  <c r="AC464" i="7" s="1"/>
  <c r="AB197" i="7"/>
  <c r="AC197" i="7" s="1"/>
  <c r="AB194" i="7"/>
  <c r="AC194" i="7" s="1"/>
  <c r="AB229" i="7"/>
  <c r="AC229" i="7" s="1"/>
  <c r="AB703" i="7"/>
  <c r="AC703" i="7" s="1"/>
  <c r="AB424" i="7"/>
  <c r="AC424" i="7" s="1"/>
  <c r="AB699" i="7"/>
  <c r="AC699" i="7" s="1"/>
  <c r="AB359" i="7"/>
  <c r="AC359" i="7" s="1"/>
  <c r="AB56" i="7"/>
  <c r="AC56" i="7" s="1"/>
  <c r="AB306" i="7"/>
  <c r="AC306" i="7" s="1"/>
  <c r="AB584" i="7"/>
  <c r="AC584" i="7" s="1"/>
  <c r="AB341" i="7"/>
  <c r="AC341" i="7" s="1"/>
  <c r="AB576" i="7"/>
  <c r="AC576" i="7" s="1"/>
  <c r="AB64" i="7"/>
  <c r="AC64" i="7" s="1"/>
  <c r="AB388" i="7"/>
  <c r="AC388" i="7" s="1"/>
  <c r="AB673" i="7"/>
  <c r="AC673" i="7" s="1"/>
  <c r="AB734" i="7"/>
  <c r="AC734" i="7" s="1"/>
  <c r="AB667" i="7"/>
  <c r="AC667" i="7" s="1"/>
  <c r="AB419" i="7"/>
  <c r="AC419" i="7" s="1"/>
  <c r="AB397" i="7"/>
  <c r="AC397" i="7" s="1"/>
  <c r="AB141" i="7"/>
  <c r="AC141" i="7" s="1"/>
  <c r="AB25" i="7"/>
  <c r="AC25" i="7" s="1"/>
  <c r="AB169" i="7"/>
  <c r="AC169" i="7" s="1"/>
  <c r="AB670" i="7"/>
  <c r="AC670" i="7" s="1"/>
  <c r="AB259" i="7"/>
  <c r="AC259" i="7" s="1"/>
  <c r="AB777" i="7"/>
  <c r="AC777" i="7" s="1"/>
  <c r="AB806" i="7"/>
  <c r="AC806" i="7" s="1"/>
  <c r="AB27" i="7"/>
  <c r="AC27" i="7" s="1"/>
  <c r="AB198" i="7"/>
  <c r="AC198" i="7" s="1"/>
  <c r="AB830" i="7"/>
  <c r="AC830" i="7" s="1"/>
  <c r="AB398" i="7"/>
  <c r="AC398" i="7" s="1"/>
  <c r="AB325" i="7"/>
  <c r="AC325" i="7" s="1"/>
  <c r="AB642" i="7"/>
  <c r="AC642" i="7" s="1"/>
  <c r="AB485" i="7"/>
  <c r="AC485" i="7" s="1"/>
  <c r="AB773" i="7"/>
  <c r="AC773" i="7" s="1"/>
  <c r="AB823" i="7"/>
  <c r="AC823" i="7" s="1"/>
  <c r="AB66" i="7"/>
  <c r="AC66" i="7" s="1"/>
  <c r="AB532" i="7"/>
  <c r="AC532" i="7" s="1"/>
  <c r="AB507" i="7"/>
  <c r="AC507" i="7" s="1"/>
  <c r="AB540" i="7"/>
  <c r="AC540" i="7" s="1"/>
  <c r="AB548" i="7"/>
  <c r="AC548" i="7" s="1"/>
  <c r="AB627" i="7"/>
  <c r="AC627" i="7" s="1"/>
  <c r="AB125" i="7"/>
  <c r="AC125" i="7" s="1"/>
  <c r="AB735" i="7"/>
  <c r="AC735" i="7" s="1"/>
  <c r="AB855" i="7"/>
  <c r="AC855" i="7" s="1"/>
  <c r="AB449" i="7"/>
  <c r="AC449" i="7" s="1"/>
  <c r="AB542" i="7"/>
  <c r="AC542" i="7" s="1"/>
  <c r="AB580" i="7"/>
  <c r="AC580" i="7" s="1"/>
  <c r="AB466" i="7"/>
  <c r="AC466" i="7" s="1"/>
  <c r="AB86" i="7"/>
  <c r="AC86" i="7" s="1"/>
  <c r="AB432" i="7"/>
  <c r="AC432" i="7" s="1"/>
  <c r="AB363" i="7"/>
  <c r="AC363" i="7" s="1"/>
  <c r="AB822" i="7"/>
  <c r="AC822" i="7" s="1"/>
  <c r="AB852" i="7"/>
  <c r="AC852" i="7" s="1"/>
  <c r="AB435" i="7"/>
  <c r="AC435" i="7" s="1"/>
  <c r="AB331" i="7"/>
  <c r="AC331" i="7" s="1"/>
  <c r="AB831" i="7"/>
  <c r="AC831" i="7" s="1"/>
  <c r="AB372" i="7"/>
  <c r="AC372" i="7" s="1"/>
  <c r="AB429" i="7"/>
  <c r="AC429" i="7" s="1"/>
  <c r="AB9" i="7"/>
  <c r="AC9" i="7" s="1"/>
  <c r="AB814" i="7"/>
  <c r="AC814" i="7" s="1"/>
  <c r="AB693" i="7"/>
  <c r="AC693" i="7" s="1"/>
  <c r="AB802" i="7"/>
  <c r="AC802" i="7" s="1"/>
  <c r="AB770" i="7"/>
  <c r="AC770" i="7" s="1"/>
  <c r="AB430" i="7"/>
  <c r="AC430" i="7" s="1"/>
  <c r="AB85" i="7"/>
  <c r="AC85" i="7" s="1"/>
  <c r="AB529" i="7"/>
  <c r="AC529" i="7" s="1"/>
  <c r="AB441" i="7"/>
  <c r="AC441" i="7" s="1"/>
  <c r="AB756" i="7"/>
  <c r="AC756" i="7" s="1"/>
  <c r="AB415" i="7"/>
  <c r="AC415" i="7" s="1"/>
  <c r="AB854" i="7"/>
  <c r="AC854" i="7" s="1"/>
  <c r="AB316" i="7"/>
  <c r="AC316" i="7" s="1"/>
  <c r="AB511" i="7"/>
  <c r="AC511" i="7" s="1"/>
  <c r="AB724" i="7"/>
  <c r="AC724" i="7" s="1"/>
  <c r="AB782" i="7"/>
  <c r="AC782" i="7" s="1"/>
  <c r="AB57" i="7"/>
  <c r="AC57" i="7" s="1"/>
  <c r="AB569" i="7"/>
  <c r="AC569" i="7" s="1"/>
  <c r="AB37" i="7"/>
  <c r="AC37" i="7" s="1"/>
  <c r="AB497" i="7"/>
  <c r="AC497" i="7" s="1"/>
  <c r="AB162" i="7"/>
  <c r="AC162" i="7" s="1"/>
  <c r="AB20" i="7"/>
  <c r="AC20" i="7" s="1"/>
  <c r="AB611" i="7"/>
  <c r="AC611" i="7" s="1"/>
  <c r="AB702" i="7"/>
  <c r="AC702" i="7" s="1"/>
  <c r="AB389" i="7"/>
  <c r="AC389" i="7" s="1"/>
  <c r="AB222" i="7"/>
  <c r="AC222" i="7" s="1"/>
  <c r="AB351" i="7"/>
  <c r="AC351" i="7" s="1"/>
  <c r="AB837" i="7"/>
  <c r="AC837" i="7" s="1"/>
  <c r="AB640" i="7"/>
  <c r="AC640" i="7" s="1"/>
  <c r="AB375" i="7"/>
  <c r="AC375" i="7" s="1"/>
  <c r="AB643" i="7"/>
  <c r="AC643" i="7" s="1"/>
  <c r="AB758" i="7"/>
  <c r="AC758" i="7" s="1"/>
  <c r="AB250" i="7"/>
  <c r="AC250" i="7" s="1"/>
  <c r="AB74" i="7"/>
  <c r="AC74" i="7" s="1"/>
  <c r="AB495" i="7"/>
  <c r="AC495" i="7" s="1"/>
  <c r="AB207" i="7"/>
  <c r="AC207" i="7" s="1"/>
  <c r="AB528" i="7"/>
  <c r="AC528" i="7" s="1"/>
  <c r="AB629" i="7"/>
  <c r="AC629" i="7" s="1"/>
  <c r="AB552" i="7"/>
  <c r="AC552" i="7" s="1"/>
  <c r="AB649" i="7"/>
  <c r="AC649" i="7" s="1"/>
  <c r="AB377" i="7"/>
  <c r="AC377" i="7" s="1"/>
  <c r="AB186" i="7"/>
  <c r="AC186" i="7" s="1"/>
  <c r="AB658" i="7"/>
  <c r="AC658" i="7" s="1"/>
  <c r="AB46" i="7"/>
  <c r="AC46" i="7" s="1"/>
  <c r="AB648" i="7"/>
  <c r="AC648" i="7" s="1"/>
  <c r="AB418" i="7"/>
  <c r="AC418" i="7" s="1"/>
  <c r="AB856" i="7"/>
  <c r="AC856" i="7" s="1"/>
  <c r="AB555" i="7"/>
  <c r="AC555" i="7" s="1"/>
  <c r="AB623" i="7"/>
  <c r="AC623" i="7" s="1"/>
  <c r="AB361" i="7"/>
  <c r="AC361" i="7" s="1"/>
  <c r="AB60" i="7"/>
  <c r="AC60" i="7" s="1"/>
  <c r="AB12" i="7"/>
  <c r="AC12" i="7" s="1"/>
  <c r="AB747" i="7"/>
  <c r="AC747" i="7" s="1"/>
  <c r="AB729" i="7"/>
  <c r="AC729" i="7" s="1"/>
  <c r="AB805" i="7"/>
  <c r="AC805" i="7" s="1"/>
  <c r="AB440" i="7"/>
  <c r="AC440" i="7" s="1"/>
  <c r="AB416" i="7"/>
  <c r="AC416" i="7" s="1"/>
  <c r="AB752" i="7"/>
  <c r="AC752" i="7" s="1"/>
  <c r="AB516" i="7"/>
  <c r="AC516" i="7" s="1"/>
  <c r="AB364" i="7"/>
  <c r="AC364" i="7" s="1"/>
  <c r="AB134" i="7"/>
  <c r="AC134" i="7" s="1"/>
  <c r="AB40" i="7"/>
  <c r="AC40" i="7" s="1"/>
  <c r="AB798" i="7"/>
  <c r="AC798" i="7" s="1"/>
  <c r="AB865" i="7"/>
  <c r="AC865" i="7" s="1"/>
  <c r="AB454" i="7"/>
  <c r="AC454" i="7" s="1"/>
  <c r="AB173" i="7"/>
  <c r="AC173" i="7" s="1"/>
  <c r="AB827" i="7"/>
  <c r="AC827" i="7" s="1"/>
  <c r="AB816" i="7"/>
  <c r="AC816" i="7" s="1"/>
  <c r="AB252" i="7"/>
  <c r="AC252" i="7" s="1"/>
  <c r="AB284" i="7"/>
  <c r="AC284" i="7" s="1"/>
  <c r="AB426" i="7"/>
  <c r="AC426" i="7" s="1"/>
  <c r="AB114" i="7"/>
  <c r="AC114" i="7" s="1"/>
  <c r="AB14" i="7"/>
  <c r="AC14" i="7" s="1"/>
  <c r="AB61" i="7"/>
  <c r="AC61" i="7" s="1"/>
  <c r="AB411" i="7"/>
  <c r="AC411" i="7" s="1"/>
  <c r="AB737" i="7"/>
  <c r="AC737" i="7" s="1"/>
  <c r="AB277" i="7"/>
  <c r="AC277" i="7" s="1"/>
  <c r="AB345" i="7"/>
  <c r="AC345" i="7" s="1"/>
  <c r="AB808" i="7"/>
  <c r="AC808" i="7" s="1"/>
  <c r="AB606" i="7"/>
  <c r="AC606" i="7" s="1"/>
  <c r="AB595" i="7"/>
  <c r="AC595" i="7" s="1"/>
  <c r="AB477" i="7"/>
  <c r="AC477" i="7" s="1"/>
  <c r="AB690" i="7"/>
  <c r="AC690" i="7" s="1"/>
  <c r="AB309" i="7"/>
  <c r="AC309" i="7" s="1"/>
  <c r="AB151" i="7"/>
  <c r="AC151" i="7" s="1"/>
  <c r="AB461" i="7"/>
  <c r="AC461" i="7" s="1"/>
  <c r="AB190" i="7"/>
  <c r="AC190" i="7" s="1"/>
  <c r="AB571" i="7"/>
  <c r="AC571" i="7" s="1"/>
  <c r="AB67" i="7"/>
  <c r="AC67" i="7" s="1"/>
  <c r="AB302" i="7"/>
  <c r="AC302" i="7" s="1"/>
  <c r="AB819" i="7"/>
  <c r="AC819" i="7" s="1"/>
  <c r="AB621" i="7"/>
  <c r="AC621" i="7" s="1"/>
  <c r="AB541" i="7"/>
  <c r="AC541" i="7" s="1"/>
  <c r="AB75" i="7"/>
  <c r="AC75" i="7" s="1"/>
  <c r="AB716" i="7"/>
  <c r="AC716" i="7" s="1"/>
  <c r="AB619" i="7"/>
  <c r="AC619" i="7" s="1"/>
  <c r="AB482" i="7"/>
  <c r="AC482" i="7" s="1"/>
  <c r="AB161" i="7"/>
  <c r="AC161" i="7" s="1"/>
  <c r="AB18" i="7"/>
  <c r="AC18" i="7" s="1"/>
  <c r="AB663" i="7"/>
  <c r="AC663" i="7" s="1"/>
  <c r="AB601" i="7"/>
  <c r="AC601" i="7" s="1"/>
  <c r="AB391" i="7"/>
  <c r="AC391" i="7" s="1"/>
  <c r="AB479" i="7"/>
  <c r="AC479" i="7" s="1"/>
  <c r="AB740" i="7"/>
  <c r="AC740" i="7" s="1"/>
  <c r="AB139" i="7"/>
  <c r="AC139" i="7" s="1"/>
  <c r="AB241" i="7"/>
  <c r="AC241" i="7" s="1"/>
  <c r="AB570" i="7"/>
  <c r="AC570" i="7" s="1"/>
  <c r="AB310" i="7"/>
  <c r="AC310" i="7" s="1"/>
  <c r="AB278" i="7"/>
  <c r="AC278" i="7" s="1"/>
  <c r="AB401" i="7"/>
  <c r="AC401" i="7" s="1"/>
  <c r="AB22" i="7"/>
  <c r="AC22" i="7" s="1"/>
  <c r="AB73" i="7"/>
  <c r="AC73" i="7" s="1"/>
  <c r="AB272" i="7"/>
  <c r="AC272" i="7" s="1"/>
  <c r="AB144" i="7"/>
  <c r="AC144" i="7" s="1"/>
  <c r="AB29" i="7"/>
  <c r="AC29" i="7" s="1"/>
  <c r="AB710" i="7"/>
  <c r="AC710" i="7" s="1"/>
  <c r="AB698" i="7"/>
  <c r="AC698" i="7" s="1"/>
  <c r="AB560" i="7"/>
  <c r="AC560" i="7" s="1"/>
  <c r="AB652" i="7"/>
  <c r="AC652" i="7" s="1"/>
  <c r="AB685" i="7"/>
  <c r="AC685" i="7" s="1"/>
  <c r="AB228" i="7"/>
  <c r="AC228" i="7" s="1"/>
  <c r="AB294" i="7"/>
  <c r="AC294" i="7" s="1"/>
  <c r="AB515" i="7"/>
  <c r="AC515" i="7" s="1"/>
  <c r="AB826" i="7"/>
  <c r="AC826" i="7" s="1"/>
  <c r="AB118" i="7"/>
  <c r="AC118" i="7" s="1"/>
  <c r="AB405" i="7"/>
  <c r="AC405" i="7" s="1"/>
  <c r="AB365" i="7"/>
  <c r="AC365" i="7" s="1"/>
  <c r="AB696" i="7"/>
  <c r="AC696" i="7" s="1"/>
  <c r="AB451" i="7"/>
  <c r="AC451" i="7" s="1"/>
  <c r="AB110" i="7"/>
  <c r="AC110" i="7" s="1"/>
  <c r="AB487" i="7"/>
  <c r="AC487" i="7" s="1"/>
  <c r="AB97" i="7"/>
  <c r="AC97" i="7" s="1"/>
  <c r="AB799" i="7"/>
  <c r="AC799" i="7" s="1"/>
  <c r="AB165" i="7"/>
  <c r="AC165" i="7" s="1"/>
  <c r="AB132" i="7"/>
  <c r="AC132" i="7" s="1"/>
  <c r="AB707" i="7"/>
  <c r="AC707" i="7" s="1"/>
  <c r="AB607" i="7"/>
  <c r="AC607" i="7" s="1"/>
  <c r="AB522" i="7"/>
  <c r="AC522" i="7" s="1"/>
  <c r="AB101" i="7"/>
  <c r="AC101" i="7" s="1"/>
  <c r="AB70" i="7"/>
  <c r="AC70" i="7" s="1"/>
  <c r="AB282" i="7"/>
  <c r="AC282" i="7" s="1"/>
  <c r="AB422" i="7"/>
  <c r="AC422" i="7" s="1"/>
  <c r="AB24" i="7"/>
  <c r="AC24" i="7" s="1"/>
  <c r="AB366" i="7"/>
  <c r="AC366" i="7" s="1"/>
  <c r="AB268" i="7"/>
  <c r="AC268" i="7" s="1"/>
  <c r="AB501" i="7"/>
  <c r="AC501" i="7" s="1"/>
  <c r="AB614" i="7"/>
  <c r="AC614" i="7" s="1"/>
  <c r="AB676" i="7"/>
  <c r="AC676" i="7" s="1"/>
  <c r="AB686" i="7"/>
  <c r="AC686" i="7" s="1"/>
  <c r="AB775" i="7"/>
  <c r="AC775" i="7" s="1"/>
  <c r="AB666" i="7"/>
  <c r="AC666" i="7" s="1"/>
  <c r="AB506" i="7"/>
  <c r="AC506" i="7" s="1"/>
  <c r="AB105" i="7"/>
  <c r="AC105" i="7" s="1"/>
  <c r="AB68" i="7"/>
  <c r="AC68" i="7" s="1"/>
  <c r="AB551" i="7"/>
  <c r="AC551" i="7" s="1"/>
  <c r="AB38" i="7"/>
  <c r="AC38" i="7" s="1"/>
  <c r="AB384" i="7"/>
  <c r="AC384" i="7" s="1"/>
  <c r="AB504" i="7"/>
  <c r="AC504" i="7" s="1"/>
  <c r="AB226" i="7"/>
  <c r="AC226" i="7" s="1"/>
  <c r="AB478" i="7"/>
  <c r="AC478" i="7" s="1"/>
  <c r="AB243" i="7"/>
  <c r="AC243" i="7" s="1"/>
  <c r="AB721" i="7"/>
  <c r="AC721" i="7" s="1"/>
  <c r="AB609" i="7"/>
  <c r="AC609" i="7" s="1"/>
  <c r="AB383" i="7"/>
  <c r="AC383" i="7" s="1"/>
  <c r="AB168" i="7"/>
  <c r="AC168" i="7" s="1"/>
  <c r="AB42" i="7"/>
  <c r="AC42" i="7" s="1"/>
  <c r="AB128" i="7"/>
  <c r="AC128" i="7" s="1"/>
  <c r="AB439" i="7"/>
  <c r="AC439" i="7" s="1"/>
  <c r="AB76" i="7"/>
  <c r="AC76" i="7" s="1"/>
  <c r="AB444" i="7"/>
  <c r="AC444" i="7" s="1"/>
  <c r="AB166" i="7"/>
  <c r="AC166" i="7" s="1"/>
  <c r="AB622" i="7"/>
  <c r="AC622" i="7" s="1"/>
  <c r="AB687" i="7"/>
  <c r="AC687" i="7" s="1"/>
  <c r="AB714" i="7"/>
  <c r="AC714" i="7" s="1"/>
  <c r="AB219" i="7"/>
  <c r="AC219" i="7" s="1"/>
  <c r="AB53" i="7"/>
  <c r="AC53" i="7" s="1"/>
  <c r="AB380" i="7"/>
  <c r="AC380" i="7" s="1"/>
  <c r="AB771" i="7"/>
  <c r="AC771" i="7" s="1"/>
  <c r="AB796" i="7"/>
  <c r="AC796" i="7" s="1"/>
  <c r="AB526" i="7"/>
  <c r="AC526" i="7" s="1"/>
  <c r="AB261" i="7"/>
  <c r="AC261" i="7" s="1"/>
  <c r="AB399" i="7"/>
  <c r="AC399" i="7" s="1"/>
  <c r="AB531" i="7"/>
  <c r="AC531" i="7" s="1"/>
  <c r="AB160" i="7"/>
  <c r="AC160" i="7" s="1"/>
  <c r="AB19" i="7"/>
  <c r="AC19" i="7" s="1"/>
  <c r="AB109" i="7"/>
  <c r="AC109" i="7" s="1"/>
  <c r="AB635" i="7"/>
  <c r="AC635" i="7" s="1"/>
  <c r="AB350" i="7"/>
  <c r="AC350" i="7" s="1"/>
  <c r="AB496" i="7"/>
  <c r="AC496" i="7" s="1"/>
  <c r="AP4" i="7"/>
  <c r="AQ4" i="7"/>
  <c r="Q4" i="7"/>
  <c r="BH779" i="7"/>
  <c r="BH399" i="7"/>
  <c r="BH652" i="7"/>
  <c r="BH173" i="7"/>
  <c r="BH294" i="7"/>
  <c r="BH132" i="7"/>
  <c r="BH72" i="7"/>
  <c r="BH819" i="7"/>
  <c r="BH166" i="7"/>
  <c r="BH13" i="7"/>
  <c r="BH616" i="7"/>
  <c r="BH518" i="7"/>
  <c r="BH864" i="7"/>
  <c r="BH114" i="7"/>
  <c r="BH717" i="7"/>
  <c r="BH606" i="7"/>
  <c r="BH690" i="7"/>
  <c r="BH284" i="7"/>
  <c r="BH664" i="7"/>
  <c r="BH159" i="7"/>
  <c r="BH500" i="7"/>
  <c r="BH582" i="7"/>
  <c r="BH741" i="7"/>
  <c r="BH790" i="7"/>
  <c r="BH855" i="7"/>
  <c r="BH397" i="7"/>
  <c r="BH737" i="7"/>
  <c r="BH128" i="7"/>
  <c r="BH111" i="7"/>
  <c r="BH133" i="7"/>
  <c r="BH768" i="7"/>
  <c r="BH670" i="7"/>
  <c r="BH610" i="7"/>
  <c r="BH401" i="7"/>
  <c r="BH515" i="7"/>
  <c r="BH143" i="7"/>
  <c r="BH73" i="7"/>
  <c r="BH425" i="7"/>
  <c r="BH374" i="7"/>
  <c r="BH753" i="7"/>
  <c r="BH322" i="7"/>
  <c r="BH391" i="7"/>
  <c r="BH237" i="7"/>
  <c r="BH825" i="7"/>
  <c r="BH613" i="7"/>
  <c r="BH243" i="7"/>
  <c r="BH330" i="7"/>
  <c r="BH424" i="7"/>
  <c r="BH66" i="7"/>
  <c r="BH602" i="7"/>
  <c r="BH516" i="7"/>
  <c r="BH770" i="7"/>
  <c r="BH356" i="7"/>
  <c r="BH660" i="7"/>
  <c r="BH43" i="7"/>
  <c r="BH427" i="7"/>
  <c r="BH714" i="7"/>
  <c r="BH687" i="7"/>
  <c r="BH182" i="7"/>
  <c r="BH829" i="7"/>
  <c r="BH482" i="7"/>
  <c r="BH308" i="7"/>
  <c r="BH32" i="7"/>
  <c r="BH82" i="7"/>
  <c r="BH190" i="7"/>
  <c r="BH205" i="7"/>
  <c r="BH365" i="7"/>
  <c r="BH335" i="7"/>
  <c r="BH414" i="7"/>
  <c r="BH405" i="7"/>
  <c r="BH524" i="7"/>
  <c r="BH661" i="7"/>
  <c r="BH293" i="7"/>
  <c r="BH430" i="7"/>
  <c r="BH528" i="7"/>
  <c r="BH529" i="7"/>
  <c r="BH451" i="7"/>
  <c r="BH710" i="7"/>
  <c r="BH723" i="7"/>
  <c r="BH763" i="7"/>
  <c r="BH376" i="7"/>
  <c r="BH478" i="7"/>
  <c r="BH713" i="7"/>
  <c r="BH742" i="7"/>
  <c r="BH446" i="7"/>
  <c r="BH101" i="7"/>
  <c r="BH187" i="7"/>
  <c r="BH596" i="7"/>
  <c r="BH558" i="7"/>
  <c r="BH593" i="7"/>
  <c r="BH681" i="7"/>
  <c r="BH107" i="7"/>
  <c r="BH472" i="7"/>
  <c r="BH428" i="7"/>
  <c r="BH785" i="7"/>
  <c r="BH784" i="7"/>
  <c r="BH802" i="7"/>
  <c r="BH34" i="7"/>
  <c r="BH563" i="7"/>
  <c r="BH501" i="7"/>
  <c r="BH586" i="7"/>
  <c r="BH110" i="7"/>
  <c r="BH546" i="7"/>
  <c r="BH338" i="7"/>
  <c r="BH736" i="7"/>
  <c r="BH536" i="7"/>
  <c r="BH568" i="7"/>
  <c r="BH588" i="7"/>
  <c r="BH540" i="7"/>
  <c r="BH20" i="7"/>
  <c r="BH122" i="7"/>
  <c r="BH332" i="7"/>
  <c r="BH416" i="7"/>
  <c r="BH760" i="7"/>
  <c r="BH499" i="7"/>
  <c r="BH511" i="7"/>
  <c r="BH823" i="7"/>
  <c r="BH836" i="7"/>
  <c r="BH278" i="7"/>
  <c r="BH316" i="7"/>
  <c r="BH570" i="7"/>
  <c r="BH725" i="7"/>
  <c r="BH398" i="7"/>
  <c r="BH351" i="7"/>
  <c r="BH263" i="7"/>
  <c r="BH867" i="7"/>
  <c r="BH11" i="7"/>
  <c r="BH149" i="7"/>
  <c r="BH780" i="7"/>
  <c r="BH37" i="7"/>
  <c r="BH433" i="7"/>
  <c r="BH551" i="7"/>
  <c r="BH701" i="7"/>
  <c r="BH323" i="7"/>
  <c r="BH748" i="7"/>
  <c r="BH801" i="7"/>
  <c r="BH649" i="7"/>
  <c r="BH663" i="7"/>
  <c r="BH611" i="7"/>
  <c r="BH402" i="7"/>
  <c r="BH380" i="7"/>
  <c r="BH319" i="7"/>
  <c r="BH440" i="7"/>
  <c r="BH704" i="7"/>
  <c r="BH699" i="7"/>
  <c r="BH609" i="7"/>
  <c r="BH404" i="7"/>
  <c r="BH667" i="7"/>
  <c r="BH573" i="7"/>
  <c r="BH87" i="7"/>
  <c r="BH109" i="7"/>
  <c r="BH532" i="7"/>
  <c r="BH179" i="7"/>
  <c r="BH474" i="7"/>
  <c r="BH550" i="7"/>
  <c r="BH84" i="7"/>
  <c r="BH138" i="7"/>
  <c r="BH282" i="7"/>
  <c r="BH367" i="7"/>
  <c r="BH812" i="7"/>
  <c r="BH174" i="7"/>
  <c r="BH851" i="7"/>
  <c r="BH514" i="7"/>
  <c r="BH102" i="7"/>
  <c r="BH513" i="7"/>
  <c r="BH343" i="7"/>
  <c r="BH27" i="7"/>
  <c r="BH268" i="7"/>
  <c r="BH752" i="7"/>
  <c r="BH559" i="7"/>
  <c r="BH334" i="7"/>
  <c r="BH519" i="7"/>
  <c r="BH328" i="7"/>
  <c r="BH806" i="7"/>
  <c r="BH642" i="7"/>
  <c r="BH236" i="7"/>
  <c r="BH676" i="7"/>
  <c r="BH552" i="7"/>
  <c r="BH125" i="7"/>
  <c r="BH306" i="7"/>
  <c r="BH79" i="7"/>
  <c r="BH245" i="7"/>
  <c r="BH484" i="7"/>
  <c r="BH622" i="7"/>
  <c r="BH648" i="7"/>
  <c r="BH731" i="7"/>
  <c r="BH497" i="7"/>
  <c r="BH381" i="7"/>
  <c r="BH152" i="7"/>
  <c r="BH285" i="7"/>
  <c r="BH773" i="7"/>
  <c r="BH435" i="7"/>
  <c r="BH68" i="7"/>
  <c r="BH868" i="7"/>
  <c r="BH747" i="7"/>
  <c r="BH75" i="7"/>
  <c r="BH462" i="7"/>
  <c r="BH259" i="7"/>
  <c r="BH656" i="7"/>
  <c r="BH411" i="7"/>
  <c r="BH569" i="7"/>
  <c r="BH703" i="7"/>
  <c r="BH342" i="7"/>
  <c r="BH682" i="7"/>
  <c r="BH230" i="7"/>
  <c r="BH98" i="7"/>
  <c r="BH341" i="7"/>
  <c r="BH564" i="7"/>
  <c r="BH437" i="7"/>
  <c r="BH250" i="7"/>
  <c r="BH677" i="7"/>
  <c r="BH816" i="7"/>
  <c r="BH477" i="7"/>
  <c r="BH772" i="7"/>
  <c r="BH292" i="7"/>
  <c r="BH30" i="7"/>
  <c r="BH208" i="7"/>
  <c r="BH207" i="7"/>
  <c r="BH56" i="7"/>
  <c r="BH162" i="7"/>
  <c r="BH147" i="7"/>
  <c r="BH702" i="7"/>
  <c r="BH775" i="7"/>
  <c r="BH585" i="7"/>
  <c r="BH839" i="7"/>
  <c r="BH809" i="7"/>
  <c r="BH146" i="7"/>
  <c r="BH600" i="7"/>
  <c r="BH726" i="7"/>
  <c r="BH183" i="7"/>
  <c r="BH592" i="7"/>
  <c r="BH134" i="7"/>
  <c r="BH678" i="7"/>
  <c r="BH17" i="7"/>
  <c r="BH92" i="7"/>
  <c r="BH826" i="7"/>
  <c r="BH548" i="7"/>
  <c r="BH632" i="7"/>
  <c r="BH509" i="7"/>
  <c r="BH400" i="7"/>
  <c r="BH76" i="7"/>
  <c r="BH863" i="7"/>
  <c r="BH479" i="7"/>
  <c r="BH716" i="7"/>
  <c r="BH555" i="7"/>
  <c r="BH494" i="7"/>
  <c r="BH672" i="7"/>
  <c r="BH137" i="7"/>
  <c r="BH154" i="7"/>
  <c r="BH857" i="7"/>
  <c r="BH225" i="7"/>
  <c r="BH197" i="7"/>
  <c r="BH571" i="7"/>
  <c r="BH629" i="7"/>
  <c r="BH287" i="7"/>
  <c r="BH370" i="7"/>
  <c r="BH733" i="7"/>
  <c r="BH57" i="7"/>
  <c r="BH403" i="7"/>
  <c r="BH767" i="7"/>
  <c r="BH504" i="7"/>
  <c r="BH724" i="7"/>
  <c r="BH671" i="7"/>
  <c r="BH621" i="7"/>
  <c r="BH35" i="7"/>
  <c r="BH796" i="7"/>
  <c r="BH423" i="7"/>
  <c r="BH658" i="7"/>
  <c r="BH693" i="7"/>
  <c r="BH813" i="7"/>
  <c r="BH219" i="7"/>
  <c r="BH118" i="7"/>
  <c r="BH800" i="7"/>
  <c r="BH29" i="7"/>
  <c r="BH419" i="7"/>
  <c r="BH309" i="7"/>
  <c r="BH256" i="7"/>
  <c r="BH794" i="7"/>
  <c r="BH196" i="7"/>
  <c r="BH135" i="7"/>
  <c r="BH60" i="7"/>
  <c r="BH721" i="7"/>
  <c r="BH844" i="7"/>
  <c r="BH584" i="7"/>
  <c r="BH598" i="7"/>
  <c r="BH653" i="7"/>
  <c r="BH297" i="7"/>
  <c r="BH706" i="7"/>
  <c r="BH438" i="7"/>
  <c r="BH241" i="7"/>
  <c r="BH304" i="7"/>
  <c r="BH759" i="7"/>
  <c r="BH384" i="7"/>
  <c r="BH432" i="7"/>
  <c r="BH88" i="7"/>
  <c r="BH366" i="7"/>
  <c r="BH222" i="7"/>
  <c r="BH512" i="7"/>
  <c r="BH461" i="7"/>
  <c r="BH167" i="7"/>
  <c r="BH53" i="7"/>
  <c r="BH127" i="7"/>
  <c r="BH757" i="7"/>
  <c r="BH8" i="7"/>
  <c r="BH9" i="7"/>
  <c r="BH637" i="7"/>
  <c r="BH539" i="7"/>
  <c r="BH597" i="7"/>
  <c r="BH730" i="7"/>
  <c r="BH26" i="7"/>
  <c r="BH46" i="7"/>
  <c r="BH778" i="7"/>
  <c r="BH302" i="7"/>
  <c r="BH756" i="7"/>
  <c r="BH141" i="7"/>
  <c r="BH272" i="7"/>
  <c r="BH848" i="7"/>
  <c r="BH719" i="7"/>
  <c r="BH242" i="7"/>
  <c r="BH390" i="7"/>
  <c r="BH417" i="7"/>
  <c r="BH161" i="7"/>
  <c r="BH858" i="7"/>
  <c r="BH90" i="7"/>
  <c r="BH216" i="7"/>
  <c r="BH310" i="7"/>
  <c r="BH459" i="7"/>
  <c r="BH409" i="7"/>
  <c r="BH108" i="7"/>
  <c r="BH541" i="7"/>
  <c r="BH280" i="7"/>
  <c r="BH415" i="7"/>
  <c r="BH762" i="7"/>
  <c r="BH635" i="7"/>
  <c r="BH264" i="7"/>
  <c r="BH129" i="7"/>
  <c r="BH186" i="7"/>
  <c r="BH696" i="7"/>
  <c r="BH531" i="7"/>
  <c r="BH275" i="7"/>
  <c r="BH387" i="7"/>
  <c r="BH103" i="7"/>
  <c r="BH679" i="7"/>
  <c r="BH362" i="7"/>
  <c r="BH615" i="7"/>
  <c r="BH787" i="7"/>
  <c r="BH151" i="7"/>
  <c r="BH761" i="7"/>
  <c r="BH385" i="7"/>
  <c r="BH117" i="7"/>
  <c r="BH567" i="7"/>
  <c r="BH581" i="7"/>
  <c r="BH228" i="7"/>
  <c r="BH54" i="7"/>
  <c r="BH70" i="7"/>
  <c r="BH273" i="7"/>
  <c r="BH220" i="7"/>
  <c r="BH372" i="7"/>
  <c r="BH436" i="7"/>
  <c r="BH181" i="7"/>
  <c r="BH764" i="7"/>
  <c r="BH148" i="7"/>
  <c r="BH375" i="7"/>
  <c r="BH290" i="7"/>
  <c r="BH194" i="7"/>
  <c r="BH870" i="7"/>
  <c r="BH226" i="7"/>
  <c r="BH12" i="7"/>
  <c r="BH464" i="7"/>
  <c r="BH100" i="7"/>
  <c r="BH24" i="7"/>
  <c r="BH469" i="7"/>
  <c r="BH158" i="7"/>
  <c r="BH279" i="7"/>
  <c r="BH587" i="7"/>
  <c r="BH765" i="7"/>
  <c r="BH291" i="7"/>
  <c r="BH364" i="7"/>
  <c r="BH718" i="7"/>
  <c r="BH457" i="7"/>
  <c r="BH255" i="7"/>
  <c r="BH758" i="7"/>
  <c r="BH574" i="7"/>
  <c r="BH240" i="7"/>
  <c r="BH444" i="7"/>
  <c r="BH124" i="7"/>
  <c r="BH470" i="7"/>
  <c r="BH80" i="7"/>
  <c r="BH244" i="7"/>
  <c r="BH774" i="7"/>
  <c r="BH44" i="7"/>
  <c r="BH525" i="7"/>
  <c r="BH22" i="7"/>
  <c r="BH669" i="7"/>
  <c r="BH729" i="7"/>
  <c r="BH313" i="7"/>
  <c r="BH209" i="7"/>
  <c r="BH465" i="7"/>
  <c r="BH523" i="7"/>
  <c r="BH485" i="7"/>
  <c r="BH852" i="7"/>
  <c r="BH614" i="7"/>
  <c r="BH85" i="7"/>
  <c r="BH210" i="7"/>
  <c r="BH261" i="7"/>
  <c r="BH619" i="7"/>
  <c r="BH473" i="7"/>
  <c r="BH487" i="7"/>
  <c r="BH172" i="7"/>
  <c r="BH727" i="7"/>
  <c r="BH578" i="7"/>
  <c r="BH605" i="7"/>
  <c r="BH628" i="7"/>
  <c r="BH184" i="7"/>
  <c r="BH454" i="7"/>
  <c r="BH644" i="7"/>
  <c r="BH554" i="7"/>
  <c r="BH377" i="7"/>
  <c r="BH61" i="7"/>
  <c r="BH51" i="7"/>
  <c r="BH150" i="7"/>
  <c r="BH496" i="7"/>
  <c r="BH853" i="7"/>
  <c r="BH789" i="7"/>
  <c r="BH542" i="7"/>
  <c r="BH666" i="7"/>
  <c r="BH734" i="7"/>
  <c r="BH847" i="7"/>
  <c r="BH295" i="7"/>
  <c r="BH169" i="7"/>
  <c r="BH771" i="7"/>
  <c r="BH212" i="7"/>
  <c r="BH19" i="7"/>
  <c r="BH233" i="7"/>
  <c r="BH832" i="7"/>
  <c r="BH15" i="7"/>
  <c r="BH817" i="7"/>
  <c r="BH363" i="7"/>
  <c r="BH807" i="7"/>
  <c r="BH193" i="7"/>
  <c r="BH361" i="7"/>
  <c r="BH777" i="7"/>
  <c r="BH547" i="7"/>
  <c r="BH42" i="7"/>
  <c r="BH604" i="7"/>
  <c r="BH508" i="7"/>
  <c r="BH503" i="7"/>
  <c r="BH97" i="7"/>
  <c r="BH28" i="7"/>
  <c r="BH445" i="7"/>
  <c r="BH491" i="7"/>
  <c r="BH320" i="7"/>
  <c r="BH371" i="7"/>
  <c r="BH533" i="7"/>
  <c r="BH822" i="7"/>
  <c r="BH21" i="7"/>
  <c r="BH744" i="7"/>
  <c r="BH346" i="7"/>
  <c r="BH45" i="7"/>
  <c r="BH754" i="7"/>
  <c r="BH452" i="7"/>
  <c r="BH203" i="7"/>
  <c r="BH688" i="7"/>
  <c r="BH631" i="7"/>
  <c r="BH354" i="7"/>
  <c r="BH707" i="7"/>
  <c r="BH576" i="7"/>
  <c r="BH140" i="7"/>
  <c r="BH623" i="7"/>
  <c r="BH144" i="7"/>
  <c r="BH448" i="7"/>
  <c r="BH837" i="7"/>
  <c r="BH527" i="7"/>
  <c r="BH665" i="7"/>
  <c r="BH799" i="7"/>
  <c r="BH466" i="7"/>
  <c r="BH262" i="7"/>
  <c r="BH834" i="7"/>
  <c r="BH25" i="7"/>
  <c r="BH195" i="7"/>
  <c r="BH329" i="7"/>
  <c r="BH86" i="7"/>
  <c r="BH318" i="7"/>
  <c r="BH686" i="7"/>
  <c r="BH267" i="7"/>
  <c r="BH846" i="7"/>
  <c r="BH510" i="7"/>
  <c r="BH386" i="7"/>
  <c r="BH601" i="7"/>
  <c r="BH695" i="7"/>
  <c r="BH160" i="7"/>
  <c r="BH383" i="7"/>
  <c r="BH715" i="7"/>
  <c r="BH200" i="7"/>
  <c r="BH449" i="7"/>
  <c r="BH277" i="7"/>
  <c r="BH191" i="7"/>
  <c r="BH526" i="7"/>
  <c r="BH202" i="7"/>
  <c r="BH180" i="7"/>
  <c r="BH657" i="7"/>
  <c r="BH827" i="7"/>
  <c r="BH442" i="7"/>
  <c r="BH560" i="7"/>
  <c r="BH289" i="7"/>
  <c r="BH583" i="7"/>
  <c r="BH213" i="7"/>
  <c r="BH507" i="7"/>
  <c r="BH795" i="7"/>
  <c r="BH833" i="7"/>
  <c r="BH67" i="7"/>
  <c r="BH14" i="7"/>
  <c r="BH298" i="7"/>
  <c r="BH178" i="7"/>
  <c r="BH808" i="7"/>
  <c r="BH627" i="7"/>
  <c r="BH749" i="7"/>
  <c r="BH814" i="7"/>
  <c r="BH113" i="7"/>
  <c r="BH249" i="7"/>
  <c r="BH856" i="7"/>
  <c r="BH643" i="7"/>
  <c r="BH798" i="7"/>
  <c r="BH805" i="7"/>
  <c r="BH359" i="7"/>
  <c r="BH755" i="7"/>
  <c r="BH838" i="7"/>
  <c r="BH740" i="7"/>
  <c r="BH735" i="7"/>
  <c r="BH634" i="7"/>
  <c r="BH439" i="7"/>
  <c r="BH164" i="7"/>
  <c r="BH105" i="7"/>
  <c r="BH407" i="7"/>
  <c r="BH198" i="7"/>
  <c r="BH828" i="7"/>
  <c r="BH345" i="7"/>
  <c r="BH791" i="7"/>
  <c r="BH698" i="7"/>
  <c r="BH89" i="7"/>
  <c r="BH595" i="7"/>
  <c r="BH38" i="7"/>
  <c r="BH502" i="7"/>
  <c r="BH229" i="7"/>
  <c r="BH201" i="7"/>
  <c r="BH545" i="7"/>
  <c r="BH549" i="7"/>
  <c r="BH685" i="7"/>
  <c r="BH618" i="7"/>
  <c r="BH74" i="7"/>
  <c r="BH422" i="7"/>
  <c r="BH311" i="7"/>
  <c r="BH705" i="7"/>
  <c r="BH418" i="7"/>
  <c r="BH18" i="7"/>
  <c r="BH115" i="7"/>
  <c r="BH136" i="7"/>
  <c r="BH854" i="7"/>
  <c r="BH577" i="7"/>
  <c r="BH506" i="7"/>
  <c r="BH575" i="7"/>
  <c r="BH349" i="7"/>
  <c r="BH426" i="7"/>
  <c r="BH333" i="7"/>
  <c r="BH630" i="7"/>
  <c r="BH340" i="7"/>
  <c r="BH369" i="7"/>
  <c r="BH495" i="7"/>
  <c r="BH81" i="7"/>
  <c r="BH561" i="7"/>
  <c r="BH429" i="7"/>
  <c r="BH830" i="7"/>
  <c r="BH434" i="7"/>
  <c r="BH331" i="7"/>
  <c r="BH252" i="7"/>
  <c r="BH580" i="7"/>
  <c r="BH645" i="7"/>
  <c r="BH410" i="7"/>
  <c r="BH865" i="7"/>
  <c r="BH388" i="7"/>
  <c r="BH139" i="7"/>
  <c r="BH579" i="7"/>
  <c r="BH389" i="7"/>
  <c r="BH640" i="7"/>
  <c r="BH350" i="7"/>
  <c r="BH58" i="7"/>
  <c r="BH64" i="7"/>
  <c r="BH647" i="7"/>
  <c r="BH312" i="7"/>
  <c r="BH443" i="7"/>
  <c r="BH607" i="7"/>
  <c r="BH286" i="7"/>
  <c r="BH325" i="7"/>
  <c r="BH441" i="7"/>
  <c r="BH708" i="7"/>
  <c r="BH83" i="7"/>
  <c r="BH393" i="7"/>
  <c r="BH673" i="7"/>
  <c r="BH722" i="7"/>
  <c r="BH521" i="7"/>
  <c r="BH258" i="7"/>
  <c r="BH680" i="7"/>
  <c r="BH283" i="7"/>
  <c r="BH746" i="7"/>
  <c r="BH824" i="7"/>
  <c r="BH565" i="7"/>
  <c r="BH40" i="7"/>
  <c r="BH831" i="7"/>
  <c r="BH165" i="7"/>
  <c r="BH782" i="7"/>
  <c r="BH820" i="7"/>
  <c r="BH522" i="7"/>
  <c r="BH303" i="7"/>
  <c r="BH168" i="7"/>
  <c r="BH344" i="7"/>
  <c r="BH843" i="7"/>
  <c r="BH544" i="7"/>
  <c r="BH668" i="7"/>
  <c r="BF643" i="7"/>
  <c r="BF9" i="7"/>
  <c r="BF286" i="7"/>
  <c r="BF825" i="7"/>
  <c r="BF704" i="7"/>
  <c r="BF334" i="7"/>
  <c r="BF287" i="7"/>
  <c r="BF340" i="7"/>
  <c r="BF168" i="7"/>
  <c r="BF181" i="7"/>
  <c r="BF304" i="7"/>
  <c r="BF390" i="7"/>
  <c r="BF527" i="7"/>
  <c r="BF613" i="7"/>
  <c r="BF272" i="7"/>
  <c r="BF13" i="7"/>
  <c r="BF367" i="7"/>
  <c r="BF621" i="7"/>
  <c r="BF816" i="7"/>
  <c r="BF629" i="7"/>
  <c r="BF101" i="7"/>
  <c r="BF243" i="7"/>
  <c r="BF207" i="7"/>
  <c r="BF619" i="7"/>
  <c r="BF531" i="7"/>
  <c r="BF780" i="7"/>
  <c r="BF528" i="7"/>
  <c r="BF642" i="7"/>
  <c r="BF75" i="7"/>
  <c r="BF451" i="7"/>
  <c r="BF225" i="7"/>
  <c r="BF823" i="7"/>
  <c r="BF485" i="7"/>
  <c r="BF362" i="7"/>
  <c r="BF190" i="7"/>
  <c r="BF220" i="7"/>
  <c r="BF427" i="7"/>
  <c r="BF439" i="7"/>
  <c r="BF76" i="7"/>
  <c r="BF354" i="7"/>
  <c r="BF195" i="7"/>
  <c r="BF533" i="7"/>
  <c r="BF386" i="7"/>
  <c r="BF21" i="7"/>
  <c r="BF282" i="7"/>
  <c r="BF857" i="7"/>
  <c r="BF681" i="7"/>
  <c r="BF372" i="7"/>
  <c r="BF660" i="7"/>
  <c r="BF714" i="7"/>
  <c r="BF208" i="7"/>
  <c r="BF727" i="7"/>
  <c r="BF760" i="7"/>
  <c r="BF581" i="7"/>
  <c r="BF53" i="7"/>
  <c r="BF758" i="7"/>
  <c r="BF449" i="7"/>
  <c r="BF133" i="7"/>
  <c r="BF568" i="7"/>
  <c r="BF746" i="7"/>
  <c r="BF676" i="7"/>
  <c r="BF233" i="7"/>
  <c r="BF193" i="7"/>
  <c r="BF250" i="7"/>
  <c r="BF667" i="7"/>
  <c r="BF200" i="7"/>
  <c r="BF831" i="7"/>
  <c r="BF82" i="7"/>
  <c r="BF690" i="7"/>
  <c r="BF673" i="7"/>
  <c r="BF693" i="7"/>
  <c r="BF473" i="7"/>
  <c r="BF545" i="7"/>
  <c r="BF405" i="7"/>
  <c r="BF289" i="7"/>
  <c r="BF715" i="7"/>
  <c r="BF369" i="7"/>
  <c r="BF92" i="7"/>
  <c r="BF703" i="7"/>
  <c r="BF72" i="7"/>
  <c r="BF68" i="7"/>
  <c r="BF637" i="7"/>
  <c r="BF664" i="7"/>
  <c r="BF443" i="7"/>
  <c r="BF219" i="7"/>
  <c r="BF518" i="7"/>
  <c r="BF482" i="7"/>
  <c r="BF290" i="7"/>
  <c r="BF516" i="7"/>
  <c r="BF844" i="7"/>
  <c r="BF424" i="7"/>
  <c r="BF454" i="7"/>
  <c r="BF442" i="7"/>
  <c r="BF717" i="7"/>
  <c r="BF364" i="7"/>
  <c r="BF377" i="7"/>
  <c r="BF652" i="7"/>
  <c r="BF836" i="7"/>
  <c r="BF695" i="7"/>
  <c r="BF249" i="7"/>
  <c r="BF546" i="7"/>
  <c r="BF380" i="7"/>
  <c r="BF606" i="7"/>
  <c r="BF409" i="7"/>
  <c r="BF658" i="7"/>
  <c r="BF136" i="7"/>
  <c r="BF687" i="7"/>
  <c r="BF582" i="7"/>
  <c r="BF105" i="7"/>
  <c r="BF298" i="7"/>
  <c r="BF74" i="7"/>
  <c r="BF436" i="7"/>
  <c r="BF44" i="7"/>
  <c r="BF698" i="7"/>
  <c r="BF110" i="7"/>
  <c r="BF716" i="7"/>
  <c r="BF827" i="7"/>
  <c r="BF83" i="7"/>
  <c r="BF544" i="7"/>
  <c r="BF291" i="7"/>
  <c r="BF604" i="7"/>
  <c r="BF741" i="7"/>
  <c r="BF134" i="7"/>
  <c r="BF201" i="7"/>
  <c r="BF330" i="7"/>
  <c r="BF524" i="7"/>
  <c r="BF601" i="7"/>
  <c r="BF472" i="7"/>
  <c r="BF423" i="7"/>
  <c r="BF509" i="7"/>
  <c r="BF631" i="7"/>
  <c r="BF81" i="7"/>
  <c r="BF564" i="7"/>
  <c r="BF88" i="7"/>
  <c r="BF209" i="7"/>
  <c r="BF415" i="7"/>
  <c r="BF308" i="7"/>
  <c r="BF478" i="7"/>
  <c r="BF742" i="7"/>
  <c r="BF801" i="7"/>
  <c r="BF277" i="7"/>
  <c r="BF397" i="7"/>
  <c r="BF438" i="7"/>
  <c r="BF839" i="7"/>
  <c r="BF132" i="7"/>
  <c r="BF172" i="7"/>
  <c r="BF103" i="7"/>
  <c r="BF670" i="7"/>
  <c r="BF371" i="7"/>
  <c r="BF757" i="7"/>
  <c r="BF632" i="7"/>
  <c r="BF506" i="7"/>
  <c r="BF731" i="7"/>
  <c r="BF284" i="7"/>
  <c r="BF696" i="7"/>
  <c r="BF495" i="7"/>
  <c r="BF19" i="7"/>
  <c r="BF161" i="7"/>
  <c r="BF784" i="7"/>
  <c r="BF666" i="7"/>
  <c r="BF197" i="7"/>
  <c r="BF585" i="7"/>
  <c r="BF293" i="7"/>
  <c r="BF682" i="7"/>
  <c r="BF361" i="7"/>
  <c r="BF609" i="7"/>
  <c r="BF679" i="7"/>
  <c r="BF763" i="7"/>
  <c r="BF768" i="7"/>
  <c r="BF213" i="7"/>
  <c r="BF350" i="7"/>
  <c r="BF107" i="7"/>
  <c r="BF194" i="7"/>
  <c r="BF740" i="7"/>
  <c r="BF84" i="7"/>
  <c r="BF432" i="7"/>
  <c r="BF398" i="7"/>
  <c r="BF870" i="7"/>
  <c r="BF137" i="7"/>
  <c r="BF706" i="7"/>
  <c r="BF461" i="7"/>
  <c r="BF20" i="7"/>
  <c r="BF325" i="7"/>
  <c r="BF444" i="7"/>
  <c r="BF829" i="7"/>
  <c r="BF653" i="7"/>
  <c r="BF843" i="7"/>
  <c r="BF173" i="7"/>
  <c r="BF85" i="7"/>
  <c r="BF256" i="7"/>
  <c r="BF45" i="7"/>
  <c r="BF855" i="7"/>
  <c r="BF387" i="7"/>
  <c r="BF51" i="7"/>
  <c r="BF756" i="7"/>
  <c r="BF196" i="7"/>
  <c r="BF541" i="7"/>
  <c r="BF292" i="7"/>
  <c r="BF773" i="7"/>
  <c r="BF513" i="7"/>
  <c r="BF802" i="7"/>
  <c r="BF252" i="7"/>
  <c r="BF787" i="7"/>
  <c r="BF448" i="7"/>
  <c r="BF403" i="7"/>
  <c r="BF719" i="7"/>
  <c r="BF628" i="7"/>
  <c r="BF445" i="7"/>
  <c r="BF752" i="7"/>
  <c r="BF158" i="7"/>
  <c r="BF129" i="7"/>
  <c r="BF774" i="7"/>
  <c r="BF558" i="7"/>
  <c r="BF677" i="7"/>
  <c r="BF66" i="7"/>
  <c r="BF474" i="7"/>
  <c r="BF365" i="7"/>
  <c r="BF484" i="7"/>
  <c r="BF837" i="7"/>
  <c r="BF459" i="7"/>
  <c r="BF607" i="7"/>
  <c r="BF856" i="7"/>
  <c r="BF32" i="7"/>
  <c r="BF205" i="7"/>
  <c r="BF255" i="7"/>
  <c r="BF203" i="7"/>
  <c r="BF229" i="7"/>
  <c r="BF11" i="7"/>
  <c r="BF669" i="7"/>
  <c r="BF600" i="7"/>
  <c r="BF597" i="7"/>
  <c r="BF778" i="7"/>
  <c r="BF554" i="7"/>
  <c r="BF464" i="7"/>
  <c r="BF826" i="7"/>
  <c r="BF602" i="7"/>
  <c r="BF820" i="7"/>
  <c r="BF470" i="7"/>
  <c r="BF273" i="7"/>
  <c r="BF501" i="7"/>
  <c r="BF295" i="7"/>
  <c r="BF258" i="7"/>
  <c r="BF79" i="7"/>
  <c r="BF100" i="7"/>
  <c r="BF611" i="7"/>
  <c r="BF806" i="7"/>
  <c r="BF610" i="7"/>
  <c r="BF349" i="7"/>
  <c r="BF571" i="7"/>
  <c r="BF830" i="7"/>
  <c r="BF117" i="7"/>
  <c r="BF737" i="7"/>
  <c r="BF198" i="7"/>
  <c r="BF109" i="7"/>
  <c r="BF770" i="7"/>
  <c r="BF733" i="7"/>
  <c r="BF701" i="7"/>
  <c r="BF798" i="7"/>
  <c r="BF685" i="7"/>
  <c r="BF596" i="7"/>
  <c r="BF616" i="7"/>
  <c r="BF430" i="7"/>
  <c r="BF335" i="7"/>
  <c r="BF43" i="7"/>
  <c r="BF864" i="7"/>
  <c r="BF656" i="7"/>
  <c r="BF647" i="7"/>
  <c r="BF323" i="7"/>
  <c r="BF867" i="7"/>
  <c r="BF466" i="7"/>
  <c r="BF320" i="7"/>
  <c r="BF529" i="7"/>
  <c r="BF359" i="7"/>
  <c r="BF496" i="7"/>
  <c r="BF563" i="7"/>
  <c r="BF166" i="7"/>
  <c r="BF565" i="7"/>
  <c r="BF749" i="7"/>
  <c r="BF98" i="7"/>
  <c r="BF54" i="7"/>
  <c r="BF118" i="7"/>
  <c r="BF140" i="7"/>
  <c r="BF833" i="7"/>
  <c r="BF267" i="7"/>
  <c r="BF202" i="7"/>
  <c r="BF375" i="7"/>
  <c r="BF469" i="7"/>
  <c r="BF583" i="7"/>
  <c r="BF657" i="7"/>
  <c r="BF630" i="7"/>
  <c r="BF441" i="7"/>
  <c r="BF627" i="7"/>
  <c r="BF794" i="7"/>
  <c r="BF765" i="7"/>
  <c r="BF814" i="7"/>
  <c r="BF154" i="7"/>
  <c r="BF686" i="7"/>
  <c r="BF848" i="7"/>
  <c r="BF404" i="7"/>
  <c r="BF425" i="7"/>
  <c r="BF147" i="7"/>
  <c r="BF388" i="7"/>
  <c r="BF183" i="7"/>
  <c r="BF672" i="7"/>
  <c r="BF551" i="7"/>
  <c r="BF592" i="7"/>
  <c r="BF536" i="7"/>
  <c r="BF417" i="7"/>
  <c r="BF834" i="7"/>
  <c r="BF275" i="7"/>
  <c r="BF578" i="7"/>
  <c r="BF216" i="7"/>
  <c r="BF143" i="7"/>
  <c r="BF60" i="7"/>
  <c r="BF724" i="7"/>
  <c r="BF329" i="7"/>
  <c r="BF180" i="7"/>
  <c r="BF46" i="7"/>
  <c r="BF705" i="7"/>
  <c r="BF623" i="7"/>
  <c r="BF539" i="7"/>
  <c r="BF547" i="7"/>
  <c r="BF680" i="7"/>
  <c r="BF635" i="7"/>
  <c r="BF58" i="7"/>
  <c r="BF515" i="7"/>
  <c r="BF663" i="7"/>
  <c r="BF576" i="7"/>
  <c r="BF586" i="7"/>
  <c r="BF577" i="7"/>
  <c r="BF67" i="7"/>
  <c r="BF34" i="7"/>
  <c r="BF497" i="7"/>
  <c r="BF17" i="7"/>
  <c r="BF318" i="7"/>
  <c r="BF30" i="7"/>
  <c r="BF511" i="7"/>
  <c r="BF548" i="7"/>
  <c r="BF241" i="7"/>
  <c r="BF753" i="7"/>
  <c r="BF25" i="7"/>
  <c r="BF416" i="7"/>
  <c r="BF854" i="7"/>
  <c r="BF722" i="7"/>
  <c r="BF316" i="7"/>
  <c r="BF263" i="7"/>
  <c r="BF237" i="7"/>
  <c r="BF487" i="7"/>
  <c r="BF38" i="7"/>
  <c r="BF457" i="7"/>
  <c r="BF240" i="7"/>
  <c r="BF435" i="7"/>
  <c r="BF160" i="7"/>
  <c r="BF532" i="7"/>
  <c r="BF550" i="7"/>
  <c r="BF244" i="7"/>
  <c r="BF127" i="7"/>
  <c r="BF410" i="7"/>
  <c r="BF744" i="7"/>
  <c r="BF212" i="7"/>
  <c r="BF755" i="7"/>
  <c r="BF429" i="7"/>
  <c r="BF186" i="7"/>
  <c r="BF479" i="7"/>
  <c r="BF587" i="7"/>
  <c r="BF381" i="7"/>
  <c r="BF853" i="7"/>
  <c r="BF322" i="7"/>
  <c r="BF366" i="7"/>
  <c r="BF569" i="7"/>
  <c r="BF313" i="7"/>
  <c r="BF863" i="7"/>
  <c r="BF573" i="7"/>
  <c r="BF519" i="7"/>
  <c r="BF500" i="7"/>
  <c r="BF437" i="7"/>
  <c r="BF767" i="7"/>
  <c r="BF151" i="7"/>
  <c r="BF268" i="7"/>
  <c r="BF135" i="7"/>
  <c r="BF491" i="7"/>
  <c r="BF124" i="7"/>
  <c r="BF383" i="7"/>
  <c r="BF789" i="7"/>
  <c r="BF699" i="7"/>
  <c r="BF852" i="7"/>
  <c r="BF549" i="7"/>
  <c r="BF113" i="7"/>
  <c r="BF526" i="7"/>
  <c r="BF389" i="7"/>
  <c r="BF162" i="7"/>
  <c r="BF559" i="7"/>
  <c r="BF303" i="7"/>
  <c r="BF279" i="7"/>
  <c r="BF414" i="7"/>
  <c r="BF851" i="7"/>
  <c r="BF230" i="7"/>
  <c r="BF152" i="7"/>
  <c r="BF407" i="7"/>
  <c r="BF507" i="7"/>
  <c r="BF311" i="7"/>
  <c r="BF707" i="7"/>
  <c r="BF422" i="7"/>
  <c r="BF433" i="7"/>
  <c r="BF828" i="7"/>
  <c r="BF499" i="7"/>
  <c r="BF125" i="7"/>
  <c r="BF128" i="7"/>
  <c r="BF555" i="7"/>
  <c r="BF302" i="7"/>
  <c r="BF108" i="7"/>
  <c r="BF363" i="7"/>
  <c r="BF772" i="7"/>
  <c r="BF70" i="7"/>
  <c r="BF87" i="7"/>
  <c r="BF402" i="7"/>
  <c r="BF645" i="7"/>
  <c r="BF18" i="7"/>
  <c r="BF822" i="7"/>
  <c r="BF791" i="7"/>
  <c r="BF668" i="7"/>
  <c r="BF567" i="7"/>
  <c r="BF502" i="7"/>
  <c r="BF812" i="7"/>
  <c r="BF762" i="7"/>
  <c r="BF42" i="7"/>
  <c r="BF400" i="7"/>
  <c r="BF588" i="7"/>
  <c r="BF779" i="7"/>
  <c r="BF824" i="7"/>
  <c r="BF615" i="7"/>
  <c r="BF634" i="7"/>
  <c r="BF775" i="7"/>
  <c r="BF8" i="7"/>
  <c r="BF846" i="7"/>
  <c r="BF678" i="7"/>
  <c r="BF167" i="7"/>
  <c r="BF401" i="7"/>
  <c r="BF144" i="7"/>
  <c r="BF514" i="7"/>
  <c r="BF504" i="7"/>
  <c r="BF150" i="7"/>
  <c r="BF356" i="7"/>
  <c r="BF510" i="7"/>
  <c r="BF28" i="7"/>
  <c r="BF465" i="7"/>
  <c r="BF665" i="7"/>
  <c r="BF312" i="7"/>
  <c r="BF748" i="7"/>
  <c r="BF462" i="7"/>
  <c r="BF222" i="7"/>
  <c r="BF283" i="7"/>
  <c r="BF718" i="7"/>
  <c r="BF807" i="7"/>
  <c r="BF264" i="7"/>
  <c r="BF297" i="7"/>
  <c r="BF644" i="7"/>
  <c r="BF165" i="7"/>
  <c r="BF344" i="7"/>
  <c r="BF182" i="7"/>
  <c r="BF605" i="7"/>
  <c r="BF86" i="7"/>
  <c r="BF618" i="7"/>
  <c r="BF809" i="7"/>
  <c r="BF346" i="7"/>
  <c r="BF169" i="7"/>
  <c r="BF259" i="7"/>
  <c r="BF26" i="7"/>
  <c r="BF333" i="7"/>
  <c r="BF393" i="7"/>
  <c r="BF411" i="7"/>
  <c r="BF580" i="7"/>
  <c r="BF148" i="7"/>
  <c r="BF790" i="7"/>
  <c r="BF280" i="7"/>
  <c r="BF278" i="7"/>
  <c r="BF384" i="7"/>
  <c r="BF178" i="7"/>
  <c r="BF261" i="7"/>
  <c r="BF376" i="7"/>
  <c r="BF164" i="7"/>
  <c r="BF759" i="7"/>
  <c r="BF331" i="7"/>
  <c r="BF508" i="7"/>
  <c r="BF310" i="7"/>
  <c r="BF391" i="7"/>
  <c r="BF523" i="7"/>
  <c r="BF702" i="7"/>
  <c r="BF734" i="7"/>
  <c r="BF115" i="7"/>
  <c r="BF29" i="7"/>
  <c r="BF726" i="7"/>
  <c r="BF338" i="7"/>
  <c r="BF730" i="7"/>
  <c r="BF725" i="7"/>
  <c r="BF560" i="7"/>
  <c r="BF796" i="7"/>
  <c r="BF61" i="7"/>
  <c r="BF868" i="7"/>
  <c r="BF795" i="7"/>
  <c r="BF428" i="7"/>
  <c r="BF64" i="7"/>
  <c r="BF210" i="7"/>
  <c r="BF146" i="7"/>
  <c r="BF149" i="7"/>
  <c r="BF24" i="7"/>
  <c r="BF328" i="7"/>
  <c r="BF27" i="7"/>
  <c r="BF477" i="7"/>
  <c r="BF761" i="7"/>
  <c r="BF494" i="7"/>
  <c r="BF747" i="7"/>
  <c r="BF838" i="7"/>
  <c r="BF122" i="7"/>
  <c r="BF187" i="7"/>
  <c r="BF777" i="7"/>
  <c r="BF40" i="7"/>
  <c r="BF649" i="7"/>
  <c r="BF813" i="7"/>
  <c r="BF342" i="7"/>
  <c r="BF648" i="7"/>
  <c r="BF341" i="7"/>
  <c r="BF22" i="7"/>
  <c r="BF242" i="7"/>
  <c r="BF575" i="7"/>
  <c r="BF73" i="7"/>
  <c r="BF35" i="7"/>
  <c r="BF688" i="7"/>
  <c r="BF245" i="7"/>
  <c r="BF521" i="7"/>
  <c r="BF865" i="7"/>
  <c r="BF593" i="7"/>
  <c r="BF332" i="7"/>
  <c r="BF306" i="7"/>
  <c r="BF37" i="7"/>
  <c r="BF418" i="7"/>
  <c r="BF723" i="7"/>
  <c r="BF385" i="7"/>
  <c r="BF721" i="7"/>
  <c r="BF452" i="7"/>
  <c r="BF262" i="7"/>
  <c r="BF285" i="7"/>
  <c r="BF858" i="7"/>
  <c r="BF540" i="7"/>
  <c r="BF57" i="7"/>
  <c r="BF141" i="7"/>
  <c r="BF640" i="7"/>
  <c r="BF584" i="7"/>
  <c r="BF808" i="7"/>
  <c r="BF426" i="7"/>
  <c r="BF319" i="7"/>
  <c r="BF374" i="7"/>
  <c r="BF503" i="7"/>
  <c r="BF440" i="7"/>
  <c r="BF817" i="7"/>
  <c r="BF80" i="7"/>
  <c r="BF345" i="7"/>
  <c r="BF710" i="7"/>
  <c r="BF595" i="7"/>
  <c r="BF570" i="7"/>
  <c r="BF226" i="7"/>
  <c r="BF114" i="7"/>
  <c r="BF819" i="7"/>
  <c r="BF102" i="7"/>
  <c r="BF89" i="7"/>
  <c r="BF139" i="7"/>
  <c r="BF512" i="7"/>
  <c r="BF309" i="7"/>
  <c r="BF805" i="7"/>
  <c r="BF159" i="7"/>
  <c r="BF542" i="7"/>
  <c r="BF525" i="7"/>
  <c r="BF771" i="7"/>
  <c r="BF574" i="7"/>
  <c r="BF754" i="7"/>
  <c r="BF434" i="7"/>
  <c r="BF614" i="7"/>
  <c r="BF351" i="7"/>
  <c r="BF622" i="7"/>
  <c r="BF799" i="7"/>
  <c r="BF847" i="7"/>
  <c r="BF713" i="7"/>
  <c r="BF552" i="7"/>
  <c r="BF800" i="7"/>
  <c r="BF191" i="7"/>
  <c r="BF399" i="7"/>
  <c r="BF671" i="7"/>
  <c r="BF598" i="7"/>
  <c r="BF97" i="7"/>
  <c r="BF446" i="7"/>
  <c r="BF561" i="7"/>
  <c r="BF729" i="7"/>
  <c r="BF111" i="7"/>
  <c r="BF661" i="7"/>
  <c r="BF294" i="7"/>
  <c r="BF522" i="7"/>
  <c r="BF90" i="7"/>
  <c r="BF56" i="7"/>
  <c r="BF174" i="7"/>
  <c r="BF370" i="7"/>
  <c r="BF14" i="7"/>
  <c r="BF735" i="7"/>
  <c r="BF12" i="7"/>
  <c r="BF782" i="7"/>
  <c r="BF236" i="7"/>
  <c r="BF419" i="7"/>
  <c r="BF138" i="7"/>
  <c r="BF736" i="7"/>
  <c r="BF832" i="7"/>
  <c r="BF15" i="7"/>
  <c r="BF579" i="7"/>
  <c r="BF179" i="7"/>
  <c r="BF708" i="7"/>
  <c r="BF764" i="7"/>
  <c r="BF343" i="7"/>
  <c r="BF228" i="7"/>
  <c r="BF184" i="7"/>
  <c r="BF785" i="7"/>
  <c r="BG247" i="7" l="1"/>
  <c r="BG496" i="7"/>
  <c r="BG279" i="7"/>
  <c r="BG111" i="7"/>
  <c r="BG442" i="7"/>
  <c r="BG77" i="7"/>
  <c r="BG211" i="7"/>
  <c r="BG530" i="7"/>
  <c r="BG394" i="7"/>
  <c r="BG62" i="7"/>
  <c r="BG769" i="7"/>
  <c r="BG39" i="7"/>
  <c r="BG818" i="7"/>
  <c r="BG483" i="7"/>
  <c r="BG455" i="7"/>
  <c r="BG145" i="7"/>
  <c r="BG458" i="7"/>
  <c r="BI458" i="7"/>
  <c r="BG464" i="7"/>
  <c r="BG558" i="7"/>
  <c r="BG179" i="7"/>
  <c r="BG729" i="7"/>
  <c r="BG525" i="7"/>
  <c r="BG374" i="7"/>
  <c r="BG593" i="7"/>
  <c r="BG747" i="7"/>
  <c r="BG726" i="7"/>
  <c r="BG580" i="7"/>
  <c r="BG283" i="7"/>
  <c r="BG634" i="7"/>
  <c r="BG363" i="7"/>
  <c r="BG559" i="7"/>
  <c r="BG863" i="7"/>
  <c r="BG435" i="7"/>
  <c r="BG34" i="7"/>
  <c r="BG216" i="7"/>
  <c r="BG627" i="7"/>
  <c r="BG529" i="7"/>
  <c r="BG737" i="7"/>
  <c r="BG778" i="7"/>
  <c r="BG774" i="7"/>
  <c r="BG855" i="7"/>
  <c r="BG107" i="7"/>
  <c r="BG506" i="7"/>
  <c r="BG81" i="7"/>
  <c r="BG436" i="7"/>
  <c r="BG454" i="7"/>
  <c r="BG473" i="7"/>
  <c r="BG727" i="7"/>
  <c r="BG823" i="7"/>
  <c r="BG390" i="7"/>
  <c r="BG694" i="7"/>
  <c r="BG804" i="7"/>
  <c r="BG811" i="7"/>
  <c r="BG153" i="7"/>
  <c r="BG535" i="7"/>
  <c r="BG849" i="7"/>
  <c r="BG265" i="7"/>
  <c r="BG215" i="7"/>
  <c r="BG251" i="7"/>
  <c r="BG336" i="7"/>
  <c r="BG301" i="7"/>
  <c r="BG130" i="7"/>
  <c r="BI130" i="7"/>
  <c r="BG615" i="7"/>
  <c r="BG320" i="7"/>
  <c r="BG597" i="7"/>
  <c r="BG693" i="7"/>
  <c r="BG225" i="7"/>
  <c r="BG304" i="7"/>
  <c r="BG382" i="7"/>
  <c r="BG788" i="7"/>
  <c r="BG620" i="7"/>
  <c r="BG171" i="7"/>
  <c r="BG589" i="7"/>
  <c r="BG728" i="7"/>
  <c r="BG239" i="7"/>
  <c r="BG781" i="7"/>
  <c r="BG253" i="7"/>
  <c r="BG23" i="7"/>
  <c r="BG248" i="7"/>
  <c r="BG743" i="7"/>
  <c r="BI743" i="7"/>
  <c r="BG532" i="7"/>
  <c r="BG332" i="7"/>
  <c r="BG579" i="7"/>
  <c r="BG108" i="7"/>
  <c r="BG117" i="7"/>
  <c r="BG521" i="7"/>
  <c r="BG393" i="7"/>
  <c r="BG462" i="7"/>
  <c r="BG824" i="7"/>
  <c r="BG302" i="7"/>
  <c r="BG389" i="7"/>
  <c r="BG569" i="7"/>
  <c r="BG457" i="7"/>
  <c r="BG577" i="7"/>
  <c r="BG275" i="7"/>
  <c r="BG630" i="7"/>
  <c r="BG466" i="7"/>
  <c r="BG830" i="7"/>
  <c r="BG600" i="7"/>
  <c r="BG158" i="7"/>
  <c r="BG256" i="7"/>
  <c r="BG213" i="7"/>
  <c r="BG757" i="7"/>
  <c r="BG509" i="7"/>
  <c r="BG298" i="7"/>
  <c r="BG844" i="7"/>
  <c r="BG673" i="7"/>
  <c r="BG714" i="7"/>
  <c r="BG451" i="7"/>
  <c r="BG181" i="7"/>
  <c r="BG654" i="7"/>
  <c r="BG691" i="7"/>
  <c r="BG96" i="7"/>
  <c r="BG861" i="7"/>
  <c r="BG170" i="7"/>
  <c r="BG269" i="7"/>
  <c r="BG594" i="7"/>
  <c r="BG112" i="7"/>
  <c r="BG636" i="7"/>
  <c r="BG751" i="7"/>
  <c r="BG776" i="7"/>
  <c r="BG296" i="7"/>
  <c r="BI296" i="7"/>
  <c r="BG519" i="7"/>
  <c r="BG717" i="7"/>
  <c r="BG317" i="7"/>
  <c r="BG143" i="7"/>
  <c r="BG865" i="7"/>
  <c r="BG67" i="7"/>
  <c r="BG632" i="7"/>
  <c r="BG159" i="7"/>
  <c r="BG832" i="7"/>
  <c r="BG97" i="7"/>
  <c r="BG805" i="7"/>
  <c r="BG808" i="7"/>
  <c r="BG245" i="7"/>
  <c r="BG477" i="7"/>
  <c r="BG734" i="7"/>
  <c r="BG333" i="7"/>
  <c r="BG748" i="7"/>
  <c r="BG779" i="7"/>
  <c r="BG555" i="7"/>
  <c r="BG526" i="7"/>
  <c r="BG366" i="7"/>
  <c r="BG38" i="7"/>
  <c r="BG586" i="7"/>
  <c r="BG834" i="7"/>
  <c r="BG657" i="7"/>
  <c r="BG867" i="7"/>
  <c r="BG571" i="7"/>
  <c r="BG669" i="7"/>
  <c r="BG752" i="7"/>
  <c r="BG85" i="7"/>
  <c r="BG768" i="7"/>
  <c r="BG371" i="7"/>
  <c r="BG423" i="7"/>
  <c r="BG105" i="7"/>
  <c r="BG516" i="7"/>
  <c r="BG690" i="7"/>
  <c r="BG660" i="7"/>
  <c r="BG75" i="7"/>
  <c r="BG168" i="7"/>
  <c r="BG633" i="7"/>
  <c r="BG368" i="7"/>
  <c r="BG821" i="7"/>
  <c r="BG786" i="7"/>
  <c r="BG116" i="7"/>
  <c r="BG50" i="7"/>
  <c r="BG59" i="7"/>
  <c r="BG750" i="7"/>
  <c r="BG840" i="7"/>
  <c r="BG732" i="7"/>
  <c r="BG214" i="7"/>
  <c r="BG327" i="7"/>
  <c r="BI327" i="7"/>
  <c r="BG790" i="7"/>
  <c r="BG284" i="7"/>
  <c r="BG65" i="7"/>
  <c r="BI65" i="7"/>
  <c r="BG718" i="7"/>
  <c r="BG554" i="7"/>
  <c r="BG29" i="7"/>
  <c r="BG441" i="7"/>
  <c r="BG129" i="7"/>
  <c r="BG426" i="7"/>
  <c r="BG736" i="7"/>
  <c r="BG598" i="7"/>
  <c r="BG309" i="7"/>
  <c r="BG584" i="7"/>
  <c r="BG688" i="7"/>
  <c r="BG27" i="7"/>
  <c r="BG702" i="7"/>
  <c r="BG26" i="7"/>
  <c r="BG312" i="7"/>
  <c r="BG588" i="7"/>
  <c r="BG128" i="7"/>
  <c r="BG113" i="7"/>
  <c r="BG322" i="7"/>
  <c r="BG487" i="7"/>
  <c r="BG576" i="7"/>
  <c r="BG417" i="7"/>
  <c r="BG583" i="7"/>
  <c r="BG323" i="7"/>
  <c r="BG349" i="7"/>
  <c r="BG11" i="7"/>
  <c r="BG445" i="7"/>
  <c r="BG173" i="7"/>
  <c r="BG763" i="7"/>
  <c r="BG670" i="7"/>
  <c r="BG472" i="7"/>
  <c r="BG582" i="7"/>
  <c r="BG290" i="7"/>
  <c r="BG82" i="7"/>
  <c r="BG372" i="7"/>
  <c r="BG642" i="7"/>
  <c r="BG340" i="7"/>
  <c r="BG835" i="7"/>
  <c r="BG119" i="7"/>
  <c r="BG489" i="7"/>
  <c r="BG738" i="7"/>
  <c r="BG305" i="7"/>
  <c r="BG603" i="7"/>
  <c r="BG431" i="7"/>
  <c r="BG662" i="7"/>
  <c r="BG566" i="7"/>
  <c r="BG537" i="7"/>
  <c r="BG557" i="7"/>
  <c r="BG353" i="7"/>
  <c r="BI353" i="7"/>
  <c r="BG440" i="7"/>
  <c r="BG17" i="7"/>
  <c r="BG88" i="7"/>
  <c r="BG556" i="7"/>
  <c r="BG148" i="7"/>
  <c r="BG44" i="7"/>
  <c r="BG411" i="7"/>
  <c r="BG208" i="7"/>
  <c r="BG138" i="7"/>
  <c r="BG671" i="7"/>
  <c r="BG512" i="7"/>
  <c r="BG640" i="7"/>
  <c r="BG35" i="7"/>
  <c r="BG328" i="7"/>
  <c r="BG523" i="7"/>
  <c r="BG259" i="7"/>
  <c r="BG665" i="7"/>
  <c r="BG400" i="7"/>
  <c r="BG125" i="7"/>
  <c r="BG549" i="7"/>
  <c r="BG853" i="7"/>
  <c r="BG237" i="7"/>
  <c r="BG663" i="7"/>
  <c r="BG536" i="7"/>
  <c r="BG469" i="7"/>
  <c r="BG647" i="7"/>
  <c r="BG610" i="7"/>
  <c r="BG229" i="7"/>
  <c r="BG628" i="7"/>
  <c r="BG843" i="7"/>
  <c r="BG679" i="7"/>
  <c r="BG103" i="7"/>
  <c r="BG601" i="7"/>
  <c r="BG687" i="7"/>
  <c r="BG482" i="7"/>
  <c r="BG831" i="7"/>
  <c r="BG681" i="7"/>
  <c r="BG528" i="7"/>
  <c r="BG287" i="7"/>
  <c r="BG52" i="7"/>
  <c r="BG492" i="7"/>
  <c r="BG299" i="7"/>
  <c r="BG617" i="7"/>
  <c r="BG520" i="7"/>
  <c r="BG641" i="7"/>
  <c r="BG803" i="7"/>
  <c r="BG271" i="7"/>
  <c r="BG450" i="7"/>
  <c r="BG659" i="7"/>
  <c r="BG231" i="7"/>
  <c r="BG188" i="7"/>
  <c r="BI188" i="7"/>
  <c r="BG807" i="7"/>
  <c r="BG677" i="7"/>
  <c r="BG476" i="7"/>
  <c r="BG503" i="7"/>
  <c r="BG573" i="7"/>
  <c r="BG731" i="7"/>
  <c r="BG542" i="7"/>
  <c r="BG240" i="7"/>
  <c r="BG45" i="7"/>
  <c r="BG761" i="7"/>
  <c r="BG419" i="7"/>
  <c r="BG399" i="7"/>
  <c r="BG139" i="7"/>
  <c r="BG141" i="7"/>
  <c r="BG73" i="7"/>
  <c r="BG24" i="7"/>
  <c r="BG391" i="7"/>
  <c r="BG169" i="7"/>
  <c r="BG465" i="7"/>
  <c r="BG42" i="7"/>
  <c r="BG499" i="7"/>
  <c r="BG852" i="7"/>
  <c r="BG381" i="7"/>
  <c r="BG263" i="7"/>
  <c r="BG515" i="7"/>
  <c r="BG592" i="7"/>
  <c r="BG375" i="7"/>
  <c r="BG656" i="7"/>
  <c r="BG806" i="7"/>
  <c r="BG203" i="7"/>
  <c r="BG719" i="7"/>
  <c r="BG653" i="7"/>
  <c r="BG609" i="7"/>
  <c r="BG172" i="7"/>
  <c r="BG524" i="7"/>
  <c r="BG136" i="7"/>
  <c r="BG518" i="7"/>
  <c r="BG200" i="7"/>
  <c r="BG857" i="7"/>
  <c r="BG780" i="7"/>
  <c r="BG334" i="7"/>
  <c r="BG254" i="7"/>
  <c r="BG232" i="7"/>
  <c r="BG36" i="7"/>
  <c r="BG684" i="7"/>
  <c r="BG408" i="7"/>
  <c r="BG204" i="7"/>
  <c r="BG326" i="7"/>
  <c r="BG206" i="7"/>
  <c r="BG175" i="7"/>
  <c r="BG347" i="7"/>
  <c r="BG48" i="7"/>
  <c r="BI48" i="7"/>
  <c r="BG189" i="7"/>
  <c r="BI189" i="7"/>
  <c r="BG8" i="7"/>
  <c r="BG51" i="7"/>
  <c r="BG711" i="7"/>
  <c r="BG794" i="7"/>
  <c r="BG319" i="7"/>
  <c r="BG313" i="7"/>
  <c r="BG631" i="7"/>
  <c r="BG446" i="7"/>
  <c r="BG236" i="7"/>
  <c r="BG191" i="7"/>
  <c r="BG89" i="7"/>
  <c r="BG57" i="7"/>
  <c r="BG575" i="7"/>
  <c r="BG149" i="7"/>
  <c r="BG310" i="7"/>
  <c r="BG346" i="7"/>
  <c r="BG28" i="7"/>
  <c r="BG762" i="7"/>
  <c r="BG828" i="7"/>
  <c r="BG699" i="7"/>
  <c r="BG587" i="7"/>
  <c r="BG316" i="7"/>
  <c r="BG58" i="7"/>
  <c r="BG551" i="7"/>
  <c r="BG202" i="7"/>
  <c r="BG864" i="7"/>
  <c r="BG611" i="7"/>
  <c r="BG255" i="7"/>
  <c r="BG403" i="7"/>
  <c r="BG829" i="7"/>
  <c r="BG361" i="7"/>
  <c r="BG132" i="7"/>
  <c r="BG330" i="7"/>
  <c r="BG658" i="7"/>
  <c r="BG219" i="7"/>
  <c r="BG667" i="7"/>
  <c r="BG282" i="7"/>
  <c r="BG531" i="7"/>
  <c r="BG704" i="7"/>
  <c r="BG490" i="7"/>
  <c r="BG16" i="7"/>
  <c r="BG321" i="7"/>
  <c r="BG626" i="7"/>
  <c r="BG810" i="7"/>
  <c r="BG257" i="7"/>
  <c r="BG468" i="7"/>
  <c r="BG104" i="7"/>
  <c r="BG456" i="7"/>
  <c r="BG235" i="7"/>
  <c r="BG49" i="7"/>
  <c r="BI49" i="7"/>
  <c r="BG337" i="7"/>
  <c r="BI337" i="7"/>
  <c r="BG306" i="7"/>
  <c r="BG765" i="7"/>
  <c r="BG405" i="7"/>
  <c r="BG590" i="7"/>
  <c r="BG338" i="7"/>
  <c r="BG564" i="7"/>
  <c r="BG494" i="7"/>
  <c r="BG578" i="7"/>
  <c r="BG350" i="7"/>
  <c r="BG15" i="7"/>
  <c r="BG782" i="7"/>
  <c r="BG800" i="7"/>
  <c r="BG102" i="7"/>
  <c r="BG540" i="7"/>
  <c r="BG242" i="7"/>
  <c r="BG146" i="7"/>
  <c r="BG508" i="7"/>
  <c r="BG809" i="7"/>
  <c r="BG510" i="7"/>
  <c r="BG812" i="7"/>
  <c r="BG433" i="7"/>
  <c r="BG789" i="7"/>
  <c r="BG479" i="7"/>
  <c r="BG722" i="7"/>
  <c r="BG635" i="7"/>
  <c r="BG672" i="7"/>
  <c r="BG267" i="7"/>
  <c r="BG43" i="7"/>
  <c r="BG100" i="7"/>
  <c r="BG205" i="7"/>
  <c r="BG448" i="7"/>
  <c r="BG444" i="7"/>
  <c r="BG682" i="7"/>
  <c r="BG839" i="7"/>
  <c r="BG201" i="7"/>
  <c r="BG409" i="7"/>
  <c r="BG443" i="7"/>
  <c r="BG250" i="7"/>
  <c r="BG21" i="7"/>
  <c r="BG619" i="7"/>
  <c r="BG825" i="7"/>
  <c r="BG95" i="7"/>
  <c r="BG591" i="7"/>
  <c r="BG238" i="7"/>
  <c r="BG395" i="7"/>
  <c r="BG378" i="7"/>
  <c r="BG841" i="7"/>
  <c r="BG78" i="7"/>
  <c r="BG650" i="7"/>
  <c r="BG709" i="7"/>
  <c r="BG91" i="7"/>
  <c r="BG47" i="7"/>
  <c r="BI47" i="7"/>
  <c r="BG379" i="7"/>
  <c r="BI379" i="7"/>
  <c r="BG574" i="7"/>
  <c r="BG60" i="7"/>
  <c r="BG362" i="7"/>
  <c r="BG612" i="7"/>
  <c r="BG771" i="7"/>
  <c r="BG497" i="7"/>
  <c r="BG545" i="7"/>
  <c r="BG561" i="7"/>
  <c r="BG162" i="7"/>
  <c r="BG74" i="7"/>
  <c r="BG115" i="7"/>
  <c r="BG12" i="7"/>
  <c r="BG552" i="7"/>
  <c r="BG819" i="7"/>
  <c r="BG858" i="7"/>
  <c r="BG22" i="7"/>
  <c r="BG210" i="7"/>
  <c r="BG331" i="7"/>
  <c r="BG618" i="7"/>
  <c r="BG356" i="7"/>
  <c r="BG502" i="7"/>
  <c r="BG422" i="7"/>
  <c r="BG383" i="7"/>
  <c r="BG186" i="7"/>
  <c r="BG854" i="7"/>
  <c r="BG680" i="7"/>
  <c r="BG183" i="7"/>
  <c r="BG833" i="7"/>
  <c r="BG335" i="7"/>
  <c r="BG79" i="7"/>
  <c r="BG32" i="7"/>
  <c r="BG787" i="7"/>
  <c r="BG325" i="7"/>
  <c r="BG293" i="7"/>
  <c r="BG438" i="7"/>
  <c r="BG134" i="7"/>
  <c r="BG606" i="7"/>
  <c r="BG664" i="7"/>
  <c r="BG193" i="7"/>
  <c r="BG386" i="7"/>
  <c r="BG207" i="7"/>
  <c r="BG286" i="7"/>
  <c r="BG120" i="7"/>
  <c r="BG700" i="7"/>
  <c r="BG697" i="7"/>
  <c r="BG266" i="7"/>
  <c r="BG63" i="7"/>
  <c r="BG460" i="7"/>
  <c r="BG675" i="7"/>
  <c r="BG185" i="7"/>
  <c r="BG792" i="7"/>
  <c r="BG276" i="7"/>
  <c r="BG357" i="7"/>
  <c r="BI357" i="7"/>
  <c r="BG121" i="7"/>
  <c r="BI121" i="7"/>
  <c r="BG234" i="7"/>
  <c r="BG772" i="7"/>
  <c r="BG194" i="7"/>
  <c r="BG222" i="7"/>
  <c r="BG424" i="7"/>
  <c r="BG735" i="7"/>
  <c r="BG713" i="7"/>
  <c r="BG114" i="7"/>
  <c r="BG285" i="7"/>
  <c r="BG341" i="7"/>
  <c r="BG64" i="7"/>
  <c r="BG759" i="7"/>
  <c r="BG86" i="7"/>
  <c r="BG150" i="7"/>
  <c r="BG567" i="7"/>
  <c r="BG707" i="7"/>
  <c r="BG124" i="7"/>
  <c r="BG429" i="7"/>
  <c r="BG416" i="7"/>
  <c r="BG547" i="7"/>
  <c r="BG388" i="7"/>
  <c r="BG140" i="7"/>
  <c r="BG430" i="7"/>
  <c r="BG258" i="7"/>
  <c r="BG856" i="7"/>
  <c r="BG252" i="7"/>
  <c r="BG20" i="7"/>
  <c r="BG585" i="7"/>
  <c r="BG397" i="7"/>
  <c r="BG741" i="7"/>
  <c r="BG380" i="7"/>
  <c r="BG637" i="7"/>
  <c r="BG233" i="7"/>
  <c r="BG533" i="7"/>
  <c r="BG243" i="7"/>
  <c r="BG9" i="7"/>
  <c r="Q49" i="7"/>
  <c r="BL49" i="7" s="1"/>
  <c r="BM49" i="7" s="1"/>
  <c r="Q217" i="7"/>
  <c r="BL217" i="7" s="1"/>
  <c r="BM217" i="7" s="1"/>
  <c r="Q65" i="7"/>
  <c r="BL65" i="7" s="1"/>
  <c r="BM65" i="7" s="1"/>
  <c r="Q458" i="7"/>
  <c r="BL458" i="7" s="1"/>
  <c r="BM458" i="7" s="1"/>
  <c r="Q505" i="7"/>
  <c r="BL505" i="7" s="1"/>
  <c r="BM505" i="7" s="1"/>
  <c r="Q739" i="7"/>
  <c r="BL739" i="7" s="1"/>
  <c r="BM739" i="7" s="1"/>
  <c r="Q493" i="7"/>
  <c r="BL493" i="7" s="1"/>
  <c r="BM493" i="7" s="1"/>
  <c r="Q192" i="7"/>
  <c r="BL192" i="7" s="1"/>
  <c r="BM192" i="7" s="1"/>
  <c r="Q188" i="7"/>
  <c r="BL188" i="7" s="1"/>
  <c r="BM188" i="7" s="1"/>
  <c r="Q357" i="7"/>
  <c r="BL357" i="7" s="1"/>
  <c r="BM357" i="7" s="1"/>
  <c r="Q743" i="7"/>
  <c r="BL743" i="7" s="1"/>
  <c r="BM743" i="7" s="1"/>
  <c r="Q55" i="7"/>
  <c r="BL55" i="7" s="1"/>
  <c r="BM55" i="7" s="1"/>
  <c r="Q131" i="7"/>
  <c r="BL131" i="7" s="1"/>
  <c r="BM131" i="7" s="1"/>
  <c r="Q47" i="7"/>
  <c r="BL47" i="7" s="1"/>
  <c r="BM47" i="7" s="1"/>
  <c r="Q130" i="7"/>
  <c r="BL130" i="7" s="1"/>
  <c r="BM130" i="7" s="1"/>
  <c r="Q48" i="7"/>
  <c r="BL48" i="7" s="1"/>
  <c r="BM48" i="7" s="1"/>
  <c r="Q155" i="7"/>
  <c r="BL155" i="7" s="1"/>
  <c r="BM155" i="7" s="1"/>
  <c r="Q156" i="7"/>
  <c r="BL156" i="7" s="1"/>
  <c r="BM156" i="7" s="1"/>
  <c r="Q157" i="7"/>
  <c r="BL157" i="7" s="1"/>
  <c r="BM157" i="7" s="1"/>
  <c r="Q337" i="7"/>
  <c r="BL337" i="7" s="1"/>
  <c r="BM337" i="7" s="1"/>
  <c r="Q379" i="7"/>
  <c r="BL379" i="7" s="1"/>
  <c r="BM379" i="7" s="1"/>
  <c r="Q189" i="7"/>
  <c r="BL189" i="7" s="1"/>
  <c r="BM189" i="7" s="1"/>
  <c r="Q353" i="7"/>
  <c r="BL353" i="7" s="1"/>
  <c r="BM353" i="7" s="1"/>
  <c r="Q327" i="7"/>
  <c r="BL327" i="7" s="1"/>
  <c r="BM327" i="7" s="1"/>
  <c r="Q223" i="7"/>
  <c r="BL223" i="7" s="1"/>
  <c r="BM223" i="7" s="1"/>
  <c r="Q224" i="7"/>
  <c r="BL224" i="7" s="1"/>
  <c r="BM224" i="7" s="1"/>
  <c r="Q296" i="7"/>
  <c r="BL296" i="7" s="1"/>
  <c r="BM296" i="7" s="1"/>
  <c r="Q553" i="7"/>
  <c r="BL553" i="7" s="1"/>
  <c r="BM553" i="7" s="1"/>
  <c r="Q142" i="7"/>
  <c r="BL142" i="7" s="1"/>
  <c r="BM142" i="7" s="1"/>
  <c r="Q121" i="7"/>
  <c r="BL121" i="7" s="1"/>
  <c r="BM121" i="7" s="1"/>
  <c r="Q572" i="7"/>
  <c r="BL572" i="7" s="1"/>
  <c r="BM572" i="7" s="1"/>
  <c r="Q471" i="7"/>
  <c r="BL471" i="7" s="1"/>
  <c r="BM471" i="7" s="1"/>
  <c r="BG599" i="7"/>
  <c r="BG163" i="7"/>
  <c r="BG218" i="7"/>
  <c r="BG674" i="7"/>
  <c r="BG463" i="7"/>
  <c r="BG307" i="7"/>
  <c r="BG69" i="7"/>
  <c r="BG406" i="7"/>
  <c r="BG315" i="7"/>
  <c r="BG655" i="7"/>
  <c r="BG224" i="7"/>
  <c r="BI224" i="7"/>
  <c r="BG131" i="7"/>
  <c r="BI131" i="7"/>
  <c r="BG740" i="7"/>
  <c r="BG198" i="7"/>
  <c r="BG847" i="7"/>
  <c r="BG262" i="7"/>
  <c r="BG428" i="7"/>
  <c r="BG605" i="7"/>
  <c r="BG668" i="7"/>
  <c r="BG491" i="7"/>
  <c r="BG25" i="7"/>
  <c r="BG147" i="7"/>
  <c r="BG616" i="7"/>
  <c r="BG607" i="7"/>
  <c r="BG461" i="7"/>
  <c r="BG277" i="7"/>
  <c r="BG546" i="7"/>
  <c r="BG68" i="7"/>
  <c r="BG676" i="7"/>
  <c r="BG195" i="7"/>
  <c r="BG643" i="7"/>
  <c r="BG106" i="7"/>
  <c r="BG94" i="7"/>
  <c r="BG608" i="7"/>
  <c r="BG689" i="7"/>
  <c r="BG300" i="7"/>
  <c r="BG517" i="7"/>
  <c r="BG480" i="7"/>
  <c r="BG859" i="7"/>
  <c r="BG420" i="7"/>
  <c r="BG360" i="7"/>
  <c r="BG471" i="7"/>
  <c r="BI471" i="7"/>
  <c r="BG157" i="7"/>
  <c r="BI157" i="7"/>
  <c r="BG730" i="7"/>
  <c r="BG869" i="7"/>
  <c r="BG485" i="7"/>
  <c r="BG226" i="7"/>
  <c r="BG648" i="7"/>
  <c r="BG164" i="7"/>
  <c r="BG504" i="7"/>
  <c r="BG311" i="7"/>
  <c r="BG755" i="7"/>
  <c r="BG539" i="7"/>
  <c r="BG118" i="7"/>
  <c r="BG295" i="7"/>
  <c r="BG802" i="7"/>
  <c r="BG197" i="7"/>
  <c r="BG604" i="7"/>
  <c r="BG101" i="7"/>
  <c r="BG370" i="7"/>
  <c r="BG799" i="7"/>
  <c r="BG570" i="7"/>
  <c r="BG452" i="7"/>
  <c r="BG342" i="7"/>
  <c r="BG795" i="7"/>
  <c r="BG376" i="7"/>
  <c r="BG182" i="7"/>
  <c r="BG514" i="7"/>
  <c r="BG791" i="7"/>
  <c r="BG507" i="7"/>
  <c r="BG135" i="7"/>
  <c r="BG212" i="7"/>
  <c r="BG753" i="7"/>
  <c r="BG623" i="7"/>
  <c r="BG425" i="7"/>
  <c r="BG54" i="7"/>
  <c r="BG596" i="7"/>
  <c r="BG501" i="7"/>
  <c r="BG459" i="7"/>
  <c r="BG513" i="7"/>
  <c r="BG706" i="7"/>
  <c r="BG666" i="7"/>
  <c r="BG801" i="7"/>
  <c r="BG291" i="7"/>
  <c r="BG249" i="7"/>
  <c r="BG72" i="7"/>
  <c r="BG746" i="7"/>
  <c r="BG354" i="7"/>
  <c r="BG629" i="7"/>
  <c r="AP188" i="7"/>
  <c r="AP224" i="7"/>
  <c r="AP296" i="7"/>
  <c r="AP743" i="7"/>
  <c r="AP357" i="7"/>
  <c r="AP131" i="7"/>
  <c r="AP55" i="7"/>
  <c r="AP130" i="7"/>
  <c r="AP47" i="7"/>
  <c r="AP553" i="7"/>
  <c r="AP48" i="7"/>
  <c r="AP217" i="7"/>
  <c r="AP65" i="7"/>
  <c r="AP739" i="7"/>
  <c r="AP493" i="7"/>
  <c r="AP142" i="7"/>
  <c r="AP156" i="7"/>
  <c r="AP572" i="7"/>
  <c r="AP157" i="7"/>
  <c r="AP471" i="7"/>
  <c r="AP379" i="7"/>
  <c r="AP189" i="7"/>
  <c r="AP353" i="7"/>
  <c r="AP327" i="7"/>
  <c r="AP49" i="7"/>
  <c r="AP505" i="7"/>
  <c r="AP155" i="7"/>
  <c r="AP337" i="7"/>
  <c r="AP223" i="7"/>
  <c r="AP458" i="7"/>
  <c r="AP192" i="7"/>
  <c r="AP121" i="7"/>
  <c r="BG453" i="7"/>
  <c r="BG467" i="7"/>
  <c r="BG543" i="7"/>
  <c r="BG783" i="7"/>
  <c r="BG842" i="7"/>
  <c r="BG288" i="7"/>
  <c r="BG534" i="7"/>
  <c r="BG93" i="7"/>
  <c r="BG355" i="7"/>
  <c r="BG31" i="7"/>
  <c r="BG223" i="7"/>
  <c r="BI223" i="7"/>
  <c r="BG155" i="7"/>
  <c r="BI155" i="7"/>
  <c r="BG661" i="7"/>
  <c r="BG613" i="7"/>
  <c r="BG303" i="7"/>
  <c r="BG622" i="7"/>
  <c r="BG868" i="7"/>
  <c r="BG822" i="7"/>
  <c r="BG241" i="7"/>
  <c r="BG98" i="7"/>
  <c r="BG273" i="7"/>
  <c r="BG837" i="7"/>
  <c r="BG773" i="7"/>
  <c r="BG137" i="7"/>
  <c r="BG784" i="7"/>
  <c r="BG742" i="7"/>
  <c r="BG544" i="7"/>
  <c r="BG695" i="7"/>
  <c r="BG703" i="7"/>
  <c r="BG568" i="7"/>
  <c r="BG76" i="7"/>
  <c r="BG816" i="7"/>
  <c r="BG625" i="7"/>
  <c r="BG270" i="7"/>
  <c r="BG412" i="7"/>
  <c r="BG793" i="7"/>
  <c r="BG314" i="7"/>
  <c r="BG274" i="7"/>
  <c r="BG639" i="7"/>
  <c r="BG862" i="7"/>
  <c r="BG866" i="7"/>
  <c r="BG538" i="7"/>
  <c r="BG498" i="7"/>
  <c r="BG572" i="7"/>
  <c r="BI572" i="7"/>
  <c r="BG55" i="7"/>
  <c r="BI55" i="7"/>
  <c r="BG764" i="7"/>
  <c r="BG581" i="7"/>
  <c r="BG721" i="7"/>
  <c r="BG144" i="7"/>
  <c r="BG744" i="7"/>
  <c r="BG351" i="7"/>
  <c r="BG178" i="7"/>
  <c r="BG151" i="7"/>
  <c r="BG749" i="7"/>
  <c r="BG870" i="7"/>
  <c r="BG836" i="7"/>
  <c r="BG621" i="7"/>
  <c r="BG845" i="7"/>
  <c r="BG850" i="7"/>
  <c r="BG481" i="7"/>
  <c r="BG281" i="7"/>
  <c r="BG651" i="7"/>
  <c r="BG447" i="7"/>
  <c r="BG562" i="7"/>
  <c r="BG176" i="7"/>
  <c r="BG324" i="7"/>
  <c r="BG797" i="7"/>
  <c r="BG392" i="7"/>
  <c r="BG142" i="7"/>
  <c r="BI142" i="7"/>
  <c r="BG156" i="7"/>
  <c r="BI156" i="7"/>
  <c r="BG70" i="7"/>
  <c r="BG698" i="7"/>
  <c r="BG352" i="7"/>
  <c r="BG838" i="7"/>
  <c r="BG359" i="7"/>
  <c r="BG527" i="7"/>
  <c r="BG174" i="7"/>
  <c r="BG261" i="7"/>
  <c r="BG268" i="7"/>
  <c r="BG404" i="7"/>
  <c r="BG56" i="7"/>
  <c r="BG649" i="7"/>
  <c r="BG401" i="7"/>
  <c r="BG410" i="7"/>
  <c r="BG848" i="7"/>
  <c r="BG484" i="7"/>
  <c r="BG478" i="7"/>
  <c r="BG133" i="7"/>
  <c r="BG184" i="7"/>
  <c r="BG90" i="7"/>
  <c r="BG614" i="7"/>
  <c r="BG345" i="7"/>
  <c r="BG723" i="7"/>
  <c r="BG40" i="7"/>
  <c r="BG796" i="7"/>
  <c r="BG384" i="7"/>
  <c r="BG644" i="7"/>
  <c r="BG167" i="7"/>
  <c r="BG645" i="7"/>
  <c r="BG230" i="7"/>
  <c r="BG767" i="7"/>
  <c r="BG127" i="7"/>
  <c r="BG511" i="7"/>
  <c r="BG180" i="7"/>
  <c r="BG686" i="7"/>
  <c r="BG565" i="7"/>
  <c r="BG701" i="7"/>
  <c r="BG820" i="7"/>
  <c r="BG365" i="7"/>
  <c r="BG541" i="7"/>
  <c r="BG398" i="7"/>
  <c r="BG19" i="7"/>
  <c r="BG308" i="7"/>
  <c r="BG827" i="7"/>
  <c r="BG652" i="7"/>
  <c r="BG369" i="7"/>
  <c r="BG449" i="7"/>
  <c r="BG427" i="7"/>
  <c r="BG367" i="7"/>
  <c r="BG712" i="7"/>
  <c r="BG33" i="7"/>
  <c r="BG421" i="7"/>
  <c r="BG683" i="7"/>
  <c r="BG720" i="7"/>
  <c r="BG488" i="7"/>
  <c r="BG646" i="7"/>
  <c r="BG123" i="7"/>
  <c r="BG199" i="7"/>
  <c r="BG246" i="7"/>
  <c r="BG638" i="7"/>
  <c r="BG739" i="7"/>
  <c r="BI739" i="7"/>
  <c r="BG192" i="7"/>
  <c r="BI192" i="7"/>
  <c r="BG122" i="7"/>
  <c r="BG109" i="7"/>
  <c r="BG373" i="7"/>
  <c r="BG708" i="7"/>
  <c r="BG160" i="7"/>
  <c r="BG760" i="7"/>
  <c r="BG595" i="7"/>
  <c r="BG344" i="7"/>
  <c r="BG705" i="7"/>
  <c r="BG785" i="7"/>
  <c r="BG385" i="7"/>
  <c r="BG165" i="7"/>
  <c r="BG152" i="7"/>
  <c r="BG46" i="7"/>
  <c r="BG470" i="7"/>
  <c r="BG161" i="7"/>
  <c r="BG92" i="7"/>
  <c r="BG228" i="7"/>
  <c r="BG522" i="7"/>
  <c r="BG434" i="7"/>
  <c r="BG80" i="7"/>
  <c r="BG418" i="7"/>
  <c r="BG777" i="7"/>
  <c r="BG560" i="7"/>
  <c r="BG278" i="7"/>
  <c r="BG297" i="7"/>
  <c r="BG678" i="7"/>
  <c r="BG402" i="7"/>
  <c r="BG851" i="7"/>
  <c r="BG437" i="7"/>
  <c r="BG244" i="7"/>
  <c r="BG30" i="7"/>
  <c r="BG329" i="7"/>
  <c r="BG154" i="7"/>
  <c r="BG166" i="7"/>
  <c r="BG733" i="7"/>
  <c r="BG602" i="7"/>
  <c r="BG474" i="7"/>
  <c r="BG196" i="7"/>
  <c r="BG432" i="7"/>
  <c r="BG495" i="7"/>
  <c r="BG415" i="7"/>
  <c r="BG716" i="7"/>
  <c r="BG377" i="7"/>
  <c r="BG715" i="7"/>
  <c r="BG758" i="7"/>
  <c r="BG220" i="7"/>
  <c r="BG13" i="7"/>
  <c r="BG10" i="7"/>
  <c r="BG745" i="7"/>
  <c r="BG177" i="7"/>
  <c r="BG624" i="7"/>
  <c r="BG99" i="7"/>
  <c r="BG475" i="7"/>
  <c r="BG41" i="7"/>
  <c r="BG71" i="7"/>
  <c r="BG413" i="7"/>
  <c r="BG396" i="7"/>
  <c r="BG348" i="7"/>
  <c r="BG217" i="7"/>
  <c r="BI217" i="7"/>
  <c r="BG493" i="7"/>
  <c r="BI493" i="7"/>
  <c r="BG775" i="7"/>
  <c r="BG387" i="7"/>
  <c r="BG14" i="7"/>
  <c r="BG813" i="7"/>
  <c r="BG407" i="7"/>
  <c r="BG685" i="7"/>
  <c r="BG710" i="7"/>
  <c r="BG61" i="7"/>
  <c r="BG18" i="7"/>
  <c r="BG548" i="7"/>
  <c r="BG798" i="7"/>
  <c r="BG292" i="7"/>
  <c r="BG83" i="7"/>
  <c r="BG439" i="7"/>
  <c r="BG343" i="7"/>
  <c r="BG294" i="7"/>
  <c r="BG754" i="7"/>
  <c r="BG817" i="7"/>
  <c r="BG37" i="7"/>
  <c r="BG187" i="7"/>
  <c r="BG725" i="7"/>
  <c r="BG280" i="7"/>
  <c r="BG264" i="7"/>
  <c r="BG846" i="7"/>
  <c r="BG87" i="7"/>
  <c r="BG414" i="7"/>
  <c r="BG500" i="7"/>
  <c r="BG550" i="7"/>
  <c r="BG318" i="7"/>
  <c r="BG724" i="7"/>
  <c r="BG814" i="7"/>
  <c r="BG563" i="7"/>
  <c r="BG770" i="7"/>
  <c r="BG826" i="7"/>
  <c r="BG66" i="7"/>
  <c r="BG756" i="7"/>
  <c r="BG84" i="7"/>
  <c r="BG696" i="7"/>
  <c r="BG209" i="7"/>
  <c r="BG110" i="7"/>
  <c r="BG364" i="7"/>
  <c r="BG289" i="7"/>
  <c r="BG53" i="7"/>
  <c r="BG190" i="7"/>
  <c r="BG272" i="7"/>
  <c r="BG221" i="7"/>
  <c r="BG860" i="7"/>
  <c r="BG815" i="7"/>
  <c r="BG766" i="7"/>
  <c r="BG486" i="7"/>
  <c r="BG692" i="7"/>
  <c r="BG227" i="7"/>
  <c r="BG126" i="7"/>
  <c r="BG260" i="7"/>
  <c r="BG339" i="7"/>
  <c r="BG358" i="7"/>
  <c r="BG553" i="7"/>
  <c r="BI553" i="7"/>
  <c r="BG505" i="7"/>
  <c r="BI505" i="7"/>
  <c r="AP145" i="7"/>
  <c r="AP235" i="7"/>
  <c r="AP455" i="7"/>
  <c r="AP206" i="7"/>
  <c r="AP594" i="7"/>
  <c r="AP170" i="7"/>
  <c r="AP314" i="7"/>
  <c r="AP738" i="7"/>
  <c r="AP543" i="7"/>
  <c r="AP591" i="7"/>
  <c r="AP804" i="7"/>
  <c r="AP638" i="7"/>
  <c r="AP276" i="7"/>
  <c r="AP23" i="7"/>
  <c r="AP420" i="7"/>
  <c r="AP215" i="7"/>
  <c r="AP431" i="7"/>
  <c r="AP266" i="7"/>
  <c r="AP281" i="7"/>
  <c r="AP815" i="7"/>
  <c r="AP860" i="7"/>
  <c r="AP498" i="7"/>
  <c r="AP91" i="7"/>
  <c r="AP732" i="7"/>
  <c r="AP246" i="7"/>
  <c r="AP71" i="7"/>
  <c r="AP69" i="7"/>
  <c r="AP265" i="7"/>
  <c r="AP603" i="7"/>
  <c r="AP720" i="7"/>
  <c r="AP684" i="7"/>
  <c r="AP373" i="7"/>
  <c r="AP751" i="7"/>
  <c r="AP406" i="7"/>
  <c r="AP176" i="7"/>
  <c r="AP78" i="7"/>
  <c r="AP41" i="7"/>
  <c r="AP305" i="7"/>
  <c r="AP36" i="7"/>
  <c r="AP412" i="7"/>
  <c r="AP368" i="7"/>
  <c r="AP33" i="7"/>
  <c r="AP231" i="7"/>
  <c r="AP214" i="7"/>
  <c r="AP776" i="7"/>
  <c r="AP301" i="7"/>
  <c r="AP392" i="7"/>
  <c r="AP655" i="7"/>
  <c r="AP247" i="7"/>
  <c r="AP792" i="7"/>
  <c r="AP483" i="7"/>
  <c r="AP866" i="7"/>
  <c r="AP185" i="7"/>
  <c r="AP126" i="7"/>
  <c r="AP862" i="7"/>
  <c r="AP326" i="7"/>
  <c r="AP239" i="7"/>
  <c r="AP841" i="7"/>
  <c r="AP728" i="7"/>
  <c r="AP317" i="7"/>
  <c r="AP488" i="7"/>
  <c r="AP842" i="7"/>
  <c r="AP520" i="7"/>
  <c r="AP535" i="7"/>
  <c r="AP783" i="7"/>
  <c r="AP153" i="7"/>
  <c r="AP766" i="7"/>
  <c r="AP811" i="7"/>
  <c r="AP177" i="7"/>
  <c r="AP94" i="7"/>
  <c r="AP492" i="7"/>
  <c r="AP396" i="7"/>
  <c r="AP355" i="7"/>
  <c r="AP566" i="7"/>
  <c r="AP253" i="7"/>
  <c r="AP260" i="7"/>
  <c r="AP859" i="7"/>
  <c r="AP480" i="7"/>
  <c r="AP39" i="7"/>
  <c r="AP646" i="7"/>
  <c r="AP517" i="7"/>
  <c r="AP204" i="7"/>
  <c r="AP50" i="7"/>
  <c r="AP849" i="7"/>
  <c r="AP63" i="7"/>
  <c r="AP486" i="7"/>
  <c r="AP689" i="7"/>
  <c r="AP626" i="7"/>
  <c r="AP786" i="7"/>
  <c r="AP238" i="7"/>
  <c r="AP489" i="7"/>
  <c r="AP620" i="7"/>
  <c r="AP481" i="7"/>
  <c r="AP788" i="7"/>
  <c r="AP557" i="7"/>
  <c r="AP248" i="7"/>
  <c r="AP234" i="7"/>
  <c r="AP348" i="7"/>
  <c r="AP31" i="7"/>
  <c r="AP537" i="7"/>
  <c r="AP336" i="7"/>
  <c r="AP797" i="7"/>
  <c r="AP175" i="7"/>
  <c r="AP251" i="7"/>
  <c r="AP413" i="7"/>
  <c r="AP93" i="7"/>
  <c r="AP104" i="7"/>
  <c r="AP781" i="7"/>
  <c r="AP352" i="7"/>
  <c r="AP123" i="7"/>
  <c r="AP59" i="7"/>
  <c r="AP460" i="7"/>
  <c r="AP269" i="7"/>
  <c r="AP475" i="7"/>
  <c r="AP463" i="7"/>
  <c r="AP408" i="7"/>
  <c r="AP589" i="7"/>
  <c r="AP612" i="7"/>
  <c r="AP395" i="7"/>
  <c r="AP861" i="7"/>
  <c r="AP394" i="7"/>
  <c r="AP608" i="7"/>
  <c r="AP299" i="7"/>
  <c r="AP530" i="7"/>
  <c r="AP421" i="7"/>
  <c r="AP467" i="7"/>
  <c r="AP232" i="7"/>
  <c r="AP691" i="7"/>
  <c r="AP358" i="7"/>
  <c r="AP360" i="7"/>
  <c r="AP347" i="7"/>
  <c r="AP538" i="7"/>
  <c r="AP709" i="7"/>
  <c r="AP636" i="7"/>
  <c r="AP476" i="7"/>
  <c r="AP288" i="7"/>
  <c r="AP274" i="7"/>
  <c r="AP99" i="7"/>
  <c r="AP793" i="7"/>
  <c r="AP96" i="7"/>
  <c r="AP163" i="7"/>
  <c r="AP16" i="7"/>
  <c r="AP270" i="7"/>
  <c r="AP659" i="7"/>
  <c r="AP339" i="7"/>
  <c r="AP450" i="7"/>
  <c r="AP324" i="7"/>
  <c r="AP650" i="7"/>
  <c r="AP112" i="7"/>
  <c r="AP818" i="7"/>
  <c r="AP534" i="7"/>
  <c r="AP675" i="7"/>
  <c r="AP803" i="7"/>
  <c r="AP711" i="7"/>
  <c r="AP562" i="7"/>
  <c r="AP307" i="7"/>
  <c r="AP641" i="7"/>
  <c r="AP769" i="7"/>
  <c r="AP810" i="7"/>
  <c r="AP116" i="7"/>
  <c r="AP651" i="7"/>
  <c r="AP674" i="7"/>
  <c r="AP617" i="7"/>
  <c r="AP171" i="7"/>
  <c r="AP683" i="7"/>
  <c r="AP218" i="7"/>
  <c r="AP321" i="7"/>
  <c r="AP821" i="7"/>
  <c r="AP211" i="7"/>
  <c r="AP850" i="7"/>
  <c r="AP315" i="7"/>
  <c r="AP840" i="7"/>
  <c r="AP199" i="7"/>
  <c r="AP750" i="7"/>
  <c r="AP468" i="7"/>
  <c r="AP639" i="7"/>
  <c r="AP257" i="7"/>
  <c r="AP447" i="7"/>
  <c r="AP378" i="7"/>
  <c r="AP556" i="7"/>
  <c r="AP697" i="7"/>
  <c r="AP119" i="7"/>
  <c r="AP745" i="7"/>
  <c r="AP456" i="7"/>
  <c r="AP271" i="7"/>
  <c r="AP227" i="7"/>
  <c r="AP692" i="7"/>
  <c r="AP300" i="7"/>
  <c r="AP62" i="7"/>
  <c r="AP624" i="7"/>
  <c r="AP590" i="7"/>
  <c r="AP700" i="7"/>
  <c r="AP662" i="7"/>
  <c r="BI231" i="7"/>
  <c r="BI557" i="7"/>
  <c r="BI214" i="7"/>
  <c r="BI776" i="7"/>
  <c r="BI248" i="7"/>
  <c r="BI301" i="7"/>
  <c r="BI145" i="7"/>
  <c r="BI234" i="7"/>
  <c r="BI358" i="7"/>
  <c r="BI348" i="7"/>
  <c r="BI638" i="7"/>
  <c r="BI392" i="7"/>
  <c r="BI498" i="7"/>
  <c r="BI31" i="7"/>
  <c r="BI360" i="7"/>
  <c r="BI655" i="7"/>
  <c r="BI276" i="7"/>
  <c r="BI91" i="7"/>
  <c r="BI235" i="7"/>
  <c r="BI347" i="7"/>
  <c r="BI659" i="7"/>
  <c r="BI537" i="7"/>
  <c r="BI732" i="7"/>
  <c r="BI751" i="7"/>
  <c r="BI23" i="7"/>
  <c r="BI336" i="7"/>
  <c r="BI455" i="7"/>
  <c r="BI247" i="7"/>
  <c r="BI339" i="7"/>
  <c r="BI396" i="7"/>
  <c r="BI246" i="7"/>
  <c r="BI797" i="7"/>
  <c r="BI538" i="7"/>
  <c r="BI355" i="7"/>
  <c r="BI420" i="7"/>
  <c r="BI315" i="7"/>
  <c r="BI792" i="7"/>
  <c r="BI709" i="7"/>
  <c r="BI456" i="7"/>
  <c r="BI175" i="7"/>
  <c r="BI450" i="7"/>
  <c r="BI566" i="7"/>
  <c r="BI840" i="7"/>
  <c r="BI636" i="7"/>
  <c r="BI253" i="7"/>
  <c r="BI251" i="7"/>
  <c r="BI483" i="7"/>
  <c r="BI476" i="7"/>
  <c r="BI260" i="7"/>
  <c r="BI413" i="7"/>
  <c r="BI199" i="7"/>
  <c r="BI324" i="7"/>
  <c r="BI866" i="7"/>
  <c r="BI93" i="7"/>
  <c r="BI859" i="7"/>
  <c r="BI406" i="7"/>
  <c r="BI185" i="7"/>
  <c r="BI650" i="7"/>
  <c r="BI104" i="7"/>
  <c r="BI206" i="7"/>
  <c r="BI271" i="7"/>
  <c r="BI662" i="7"/>
  <c r="BI750" i="7"/>
  <c r="BI112" i="7"/>
  <c r="BI781" i="7"/>
  <c r="BI215" i="7"/>
  <c r="BI818" i="7"/>
  <c r="BI352" i="7"/>
  <c r="BI126" i="7"/>
  <c r="BI71" i="7"/>
  <c r="BI123" i="7"/>
  <c r="BI176" i="7"/>
  <c r="BI862" i="7"/>
  <c r="BI534" i="7"/>
  <c r="BI480" i="7"/>
  <c r="BI69" i="7"/>
  <c r="BI675" i="7"/>
  <c r="BI78" i="7"/>
  <c r="BI468" i="7"/>
  <c r="BI326" i="7"/>
  <c r="BI803" i="7"/>
  <c r="BI431" i="7"/>
  <c r="BI59" i="7"/>
  <c r="BI594" i="7"/>
  <c r="BI239" i="7"/>
  <c r="BI265" i="7"/>
  <c r="BI39" i="7"/>
  <c r="BI711" i="7"/>
  <c r="BI227" i="7"/>
  <c r="BI41" i="7"/>
  <c r="BI646" i="7"/>
  <c r="BI562" i="7"/>
  <c r="BI639" i="7"/>
  <c r="BI288" i="7"/>
  <c r="BI517" i="7"/>
  <c r="BI307" i="7"/>
  <c r="BI460" i="7"/>
  <c r="BI841" i="7"/>
  <c r="BI257" i="7"/>
  <c r="BI204" i="7"/>
  <c r="BI641" i="7"/>
  <c r="BI603" i="7"/>
  <c r="BI50" i="7"/>
  <c r="BI269" i="7"/>
  <c r="BI728" i="7"/>
  <c r="BI849" i="7"/>
  <c r="BI769" i="7"/>
  <c r="BI317" i="7"/>
  <c r="BI692" i="7"/>
  <c r="BI475" i="7"/>
  <c r="BI488" i="7"/>
  <c r="BI447" i="7"/>
  <c r="BI274" i="7"/>
  <c r="BI842" i="7"/>
  <c r="BI300" i="7"/>
  <c r="BI463" i="7"/>
  <c r="BI63" i="7"/>
  <c r="BI378" i="7"/>
  <c r="BI810" i="7"/>
  <c r="BI408" i="7"/>
  <c r="BI520" i="7"/>
  <c r="BI305" i="7"/>
  <c r="BI116" i="7"/>
  <c r="BI170" i="7"/>
  <c r="BI589" i="7"/>
  <c r="BI535" i="7"/>
  <c r="BI62" i="7"/>
  <c r="BI612" i="7"/>
  <c r="BI486" i="7"/>
  <c r="BI99" i="7"/>
  <c r="BI720" i="7"/>
  <c r="BI651" i="7"/>
  <c r="BI314" i="7"/>
  <c r="BI783" i="7"/>
  <c r="BI689" i="7"/>
  <c r="BI674" i="7"/>
  <c r="BI266" i="7"/>
  <c r="BI395" i="7"/>
  <c r="BI626" i="7"/>
  <c r="BI684" i="7"/>
  <c r="BI617" i="7"/>
  <c r="BI738" i="7"/>
  <c r="BI786" i="7"/>
  <c r="BI861" i="7"/>
  <c r="BI171" i="7"/>
  <c r="BI153" i="7"/>
  <c r="BI394" i="7"/>
  <c r="BI556" i="7"/>
  <c r="BI766" i="7"/>
  <c r="BI624" i="7"/>
  <c r="BI683" i="7"/>
  <c r="BI281" i="7"/>
  <c r="BI793" i="7"/>
  <c r="BI543" i="7"/>
  <c r="BI608" i="7"/>
  <c r="BI218" i="7"/>
  <c r="BI697" i="7"/>
  <c r="BI238" i="7"/>
  <c r="BI321" i="7"/>
  <c r="BI36" i="7"/>
  <c r="BI299" i="7"/>
  <c r="BI489" i="7"/>
  <c r="BI821" i="7"/>
  <c r="BI96" i="7"/>
  <c r="BI620" i="7"/>
  <c r="BI811" i="7"/>
  <c r="BI530" i="7"/>
  <c r="BI590" i="7"/>
  <c r="BI815" i="7"/>
  <c r="BI177" i="7"/>
  <c r="BI421" i="7"/>
  <c r="BI481" i="7"/>
  <c r="BI412" i="7"/>
  <c r="BI467" i="7"/>
  <c r="BI94" i="7"/>
  <c r="BI163" i="7"/>
  <c r="BI700" i="7"/>
  <c r="BI591" i="7"/>
  <c r="BI16" i="7"/>
  <c r="BI232" i="7"/>
  <c r="BI492" i="7"/>
  <c r="BI119" i="7"/>
  <c r="BI368" i="7"/>
  <c r="BI691" i="7"/>
  <c r="BI788" i="7"/>
  <c r="BI804" i="7"/>
  <c r="BI211" i="7"/>
  <c r="BI373" i="7"/>
  <c r="BI860" i="7"/>
  <c r="BI745" i="7"/>
  <c r="BI33" i="7"/>
  <c r="BI850" i="7"/>
  <c r="BI270" i="7"/>
  <c r="Q751" i="7"/>
  <c r="BL751" i="7" s="1"/>
  <c r="BM751" i="7" s="1"/>
  <c r="Q23" i="7"/>
  <c r="BL23" i="7" s="1"/>
  <c r="BM23" i="7" s="1"/>
  <c r="Q336" i="7"/>
  <c r="BL336" i="7" s="1"/>
  <c r="BM336" i="7" s="1"/>
  <c r="Q455" i="7"/>
  <c r="BL455" i="7" s="1"/>
  <c r="BM455" i="7" s="1"/>
  <c r="Q247" i="7"/>
  <c r="BL247" i="7" s="1"/>
  <c r="BM247" i="7" s="1"/>
  <c r="Q339" i="7"/>
  <c r="BL339" i="7" s="1"/>
  <c r="BM339" i="7" s="1"/>
  <c r="Q396" i="7"/>
  <c r="BL396" i="7" s="1"/>
  <c r="BM396" i="7" s="1"/>
  <c r="Q246" i="7"/>
  <c r="BL246" i="7" s="1"/>
  <c r="BM246" i="7" s="1"/>
  <c r="Q797" i="7"/>
  <c r="BL797" i="7" s="1"/>
  <c r="BM797" i="7" s="1"/>
  <c r="Q538" i="7"/>
  <c r="BL538" i="7" s="1"/>
  <c r="BM538" i="7" s="1"/>
  <c r="Q355" i="7"/>
  <c r="BL355" i="7" s="1"/>
  <c r="BM355" i="7" s="1"/>
  <c r="Q420" i="7"/>
  <c r="BL420" i="7" s="1"/>
  <c r="BM420" i="7" s="1"/>
  <c r="Q315" i="7"/>
  <c r="BL315" i="7" s="1"/>
  <c r="BM315" i="7" s="1"/>
  <c r="Q792" i="7"/>
  <c r="BL792" i="7" s="1"/>
  <c r="BM792" i="7" s="1"/>
  <c r="Q709" i="7"/>
  <c r="BL709" i="7" s="1"/>
  <c r="BM709" i="7" s="1"/>
  <c r="Q456" i="7"/>
  <c r="BL456" i="7" s="1"/>
  <c r="BM456" i="7" s="1"/>
  <c r="Q175" i="7"/>
  <c r="BL175" i="7" s="1"/>
  <c r="BM175" i="7" s="1"/>
  <c r="Q450" i="7"/>
  <c r="BL450" i="7" s="1"/>
  <c r="BM450" i="7" s="1"/>
  <c r="Q566" i="7"/>
  <c r="BL566" i="7" s="1"/>
  <c r="BM566" i="7" s="1"/>
  <c r="Q840" i="7"/>
  <c r="BL840" i="7" s="1"/>
  <c r="BM840" i="7" s="1"/>
  <c r="Q636" i="7"/>
  <c r="BL636" i="7" s="1"/>
  <c r="BM636" i="7" s="1"/>
  <c r="Q253" i="7"/>
  <c r="BL253" i="7" s="1"/>
  <c r="BM253" i="7" s="1"/>
  <c r="Q251" i="7"/>
  <c r="BL251" i="7" s="1"/>
  <c r="BM251" i="7" s="1"/>
  <c r="Q483" i="7"/>
  <c r="BL483" i="7" s="1"/>
  <c r="BM483" i="7" s="1"/>
  <c r="Q476" i="7"/>
  <c r="BL476" i="7" s="1"/>
  <c r="BM476" i="7" s="1"/>
  <c r="Q260" i="7"/>
  <c r="BL260" i="7" s="1"/>
  <c r="BM260" i="7" s="1"/>
  <c r="Q413" i="7"/>
  <c r="BL413" i="7" s="1"/>
  <c r="BM413" i="7" s="1"/>
  <c r="Q199" i="7"/>
  <c r="BL199" i="7" s="1"/>
  <c r="BM199" i="7" s="1"/>
  <c r="Q324" i="7"/>
  <c r="BL324" i="7" s="1"/>
  <c r="BM324" i="7" s="1"/>
  <c r="Q866" i="7"/>
  <c r="BL866" i="7" s="1"/>
  <c r="BM866" i="7" s="1"/>
  <c r="Q93" i="7"/>
  <c r="BL93" i="7" s="1"/>
  <c r="BM93" i="7" s="1"/>
  <c r="Q859" i="7"/>
  <c r="BL859" i="7" s="1"/>
  <c r="BM859" i="7" s="1"/>
  <c r="Q406" i="7"/>
  <c r="BL406" i="7" s="1"/>
  <c r="BM406" i="7" s="1"/>
  <c r="Q185" i="7"/>
  <c r="BL185" i="7" s="1"/>
  <c r="BM185" i="7" s="1"/>
  <c r="Q650" i="7"/>
  <c r="BL650" i="7" s="1"/>
  <c r="BM650" i="7" s="1"/>
  <c r="Q104" i="7"/>
  <c r="BL104" i="7" s="1"/>
  <c r="BM104" i="7" s="1"/>
  <c r="Q206" i="7"/>
  <c r="BL206" i="7" s="1"/>
  <c r="BM206" i="7" s="1"/>
  <c r="Q271" i="7"/>
  <c r="BL271" i="7" s="1"/>
  <c r="BM271" i="7" s="1"/>
  <c r="Q662" i="7"/>
  <c r="BL662" i="7" s="1"/>
  <c r="BM662" i="7" s="1"/>
  <c r="Q750" i="7"/>
  <c r="BL750" i="7" s="1"/>
  <c r="BM750" i="7" s="1"/>
  <c r="Q112" i="7"/>
  <c r="BL112" i="7" s="1"/>
  <c r="BM112" i="7" s="1"/>
  <c r="Q781" i="7"/>
  <c r="BL781" i="7" s="1"/>
  <c r="BM781" i="7" s="1"/>
  <c r="Q215" i="7"/>
  <c r="BL215" i="7" s="1"/>
  <c r="BM215" i="7" s="1"/>
  <c r="Q818" i="7"/>
  <c r="BL818" i="7" s="1"/>
  <c r="BM818" i="7" s="1"/>
  <c r="Q352" i="7"/>
  <c r="BL352" i="7" s="1"/>
  <c r="BM352" i="7" s="1"/>
  <c r="Q126" i="7"/>
  <c r="BL126" i="7" s="1"/>
  <c r="BM126" i="7" s="1"/>
  <c r="Q71" i="7"/>
  <c r="BL71" i="7" s="1"/>
  <c r="BM71" i="7" s="1"/>
  <c r="Q123" i="7"/>
  <c r="BL123" i="7" s="1"/>
  <c r="BM123" i="7" s="1"/>
  <c r="Q176" i="7"/>
  <c r="BL176" i="7" s="1"/>
  <c r="BM176" i="7" s="1"/>
  <c r="Q862" i="7"/>
  <c r="BL862" i="7" s="1"/>
  <c r="BM862" i="7" s="1"/>
  <c r="Q534" i="7"/>
  <c r="BL534" i="7" s="1"/>
  <c r="BM534" i="7" s="1"/>
  <c r="Q480" i="7"/>
  <c r="BL480" i="7" s="1"/>
  <c r="BM480" i="7" s="1"/>
  <c r="Q69" i="7"/>
  <c r="BL69" i="7" s="1"/>
  <c r="BM69" i="7" s="1"/>
  <c r="Q675" i="7"/>
  <c r="BL675" i="7" s="1"/>
  <c r="BM675" i="7" s="1"/>
  <c r="Q78" i="7"/>
  <c r="BL78" i="7" s="1"/>
  <c r="BM78" i="7" s="1"/>
  <c r="Q468" i="7"/>
  <c r="BL468" i="7" s="1"/>
  <c r="BM468" i="7" s="1"/>
  <c r="Q326" i="7"/>
  <c r="BL326" i="7" s="1"/>
  <c r="BM326" i="7" s="1"/>
  <c r="Q803" i="7"/>
  <c r="BL803" i="7" s="1"/>
  <c r="BM803" i="7" s="1"/>
  <c r="Q431" i="7"/>
  <c r="BL431" i="7" s="1"/>
  <c r="BM431" i="7" s="1"/>
  <c r="Q59" i="7"/>
  <c r="BL59" i="7" s="1"/>
  <c r="BM59" i="7" s="1"/>
  <c r="Q594" i="7"/>
  <c r="BL594" i="7" s="1"/>
  <c r="BM594" i="7" s="1"/>
  <c r="Q239" i="7"/>
  <c r="BL239" i="7" s="1"/>
  <c r="BM239" i="7" s="1"/>
  <c r="Q265" i="7"/>
  <c r="BL265" i="7" s="1"/>
  <c r="BM265" i="7" s="1"/>
  <c r="Q39" i="7"/>
  <c r="BL39" i="7" s="1"/>
  <c r="BM39" i="7" s="1"/>
  <c r="Q711" i="7"/>
  <c r="BL711" i="7" s="1"/>
  <c r="BM711" i="7" s="1"/>
  <c r="Q227" i="7"/>
  <c r="BL227" i="7" s="1"/>
  <c r="BM227" i="7" s="1"/>
  <c r="Q41" i="7"/>
  <c r="BL41" i="7" s="1"/>
  <c r="BM41" i="7" s="1"/>
  <c r="Q646" i="7"/>
  <c r="BL646" i="7" s="1"/>
  <c r="BM646" i="7" s="1"/>
  <c r="Q562" i="7"/>
  <c r="BL562" i="7" s="1"/>
  <c r="BM562" i="7" s="1"/>
  <c r="Q639" i="7"/>
  <c r="BL639" i="7" s="1"/>
  <c r="BM639" i="7" s="1"/>
  <c r="Q288" i="7"/>
  <c r="BL288" i="7" s="1"/>
  <c r="BM288" i="7" s="1"/>
  <c r="Q517" i="7"/>
  <c r="BL517" i="7" s="1"/>
  <c r="BM517" i="7" s="1"/>
  <c r="Q307" i="7"/>
  <c r="BL307" i="7" s="1"/>
  <c r="BM307" i="7" s="1"/>
  <c r="Q460" i="7"/>
  <c r="BL460" i="7" s="1"/>
  <c r="BM460" i="7" s="1"/>
  <c r="Q841" i="7"/>
  <c r="BL841" i="7" s="1"/>
  <c r="BM841" i="7" s="1"/>
  <c r="Q257" i="7"/>
  <c r="BL257" i="7" s="1"/>
  <c r="BM257" i="7" s="1"/>
  <c r="Q204" i="7"/>
  <c r="BL204" i="7" s="1"/>
  <c r="BM204" i="7" s="1"/>
  <c r="Q641" i="7"/>
  <c r="BL641" i="7" s="1"/>
  <c r="BM641" i="7" s="1"/>
  <c r="Q603" i="7"/>
  <c r="BL603" i="7" s="1"/>
  <c r="BM603" i="7" s="1"/>
  <c r="Q50" i="7"/>
  <c r="BL50" i="7" s="1"/>
  <c r="BM50" i="7" s="1"/>
  <c r="Q269" i="7"/>
  <c r="BL269" i="7" s="1"/>
  <c r="BM269" i="7" s="1"/>
  <c r="Q728" i="7"/>
  <c r="BL728" i="7" s="1"/>
  <c r="BM728" i="7" s="1"/>
  <c r="Q849" i="7"/>
  <c r="BL849" i="7" s="1"/>
  <c r="BM849" i="7" s="1"/>
  <c r="Q769" i="7"/>
  <c r="BL769" i="7" s="1"/>
  <c r="BM769" i="7" s="1"/>
  <c r="Q317" i="7"/>
  <c r="BL317" i="7" s="1"/>
  <c r="BM317" i="7" s="1"/>
  <c r="Q692" i="7"/>
  <c r="BL692" i="7" s="1"/>
  <c r="BM692" i="7" s="1"/>
  <c r="Q475" i="7"/>
  <c r="BL475" i="7" s="1"/>
  <c r="BM475" i="7" s="1"/>
  <c r="Q488" i="7"/>
  <c r="BL488" i="7" s="1"/>
  <c r="BM488" i="7" s="1"/>
  <c r="Q447" i="7"/>
  <c r="BL447" i="7" s="1"/>
  <c r="BM447" i="7" s="1"/>
  <c r="Q274" i="7"/>
  <c r="BL274" i="7" s="1"/>
  <c r="BM274" i="7" s="1"/>
  <c r="Q842" i="7"/>
  <c r="BL842" i="7" s="1"/>
  <c r="BM842" i="7" s="1"/>
  <c r="Q300" i="7"/>
  <c r="BL300" i="7" s="1"/>
  <c r="BM300" i="7" s="1"/>
  <c r="Q463" i="7"/>
  <c r="BL463" i="7" s="1"/>
  <c r="BM463" i="7" s="1"/>
  <c r="Q63" i="7"/>
  <c r="BL63" i="7" s="1"/>
  <c r="BM63" i="7" s="1"/>
  <c r="Q378" i="7"/>
  <c r="BL378" i="7" s="1"/>
  <c r="BM378" i="7" s="1"/>
  <c r="Q810" i="7"/>
  <c r="BL810" i="7" s="1"/>
  <c r="BM810" i="7" s="1"/>
  <c r="Q408" i="7"/>
  <c r="BL408" i="7" s="1"/>
  <c r="BM408" i="7" s="1"/>
  <c r="Q520" i="7"/>
  <c r="BL520" i="7" s="1"/>
  <c r="BM520" i="7" s="1"/>
  <c r="Q305" i="7"/>
  <c r="BL305" i="7" s="1"/>
  <c r="BM305" i="7" s="1"/>
  <c r="Q116" i="7"/>
  <c r="BL116" i="7" s="1"/>
  <c r="BM116" i="7" s="1"/>
  <c r="Q170" i="7"/>
  <c r="BL170" i="7" s="1"/>
  <c r="BM170" i="7" s="1"/>
  <c r="Q589" i="7"/>
  <c r="BL589" i="7" s="1"/>
  <c r="BM589" i="7" s="1"/>
  <c r="Q535" i="7"/>
  <c r="BL535" i="7" s="1"/>
  <c r="BM535" i="7" s="1"/>
  <c r="Q62" i="7"/>
  <c r="BL62" i="7" s="1"/>
  <c r="BM62" i="7" s="1"/>
  <c r="Q612" i="7"/>
  <c r="BL612" i="7" s="1"/>
  <c r="BM612" i="7" s="1"/>
  <c r="Q486" i="7"/>
  <c r="BL486" i="7" s="1"/>
  <c r="BM486" i="7" s="1"/>
  <c r="Q99" i="7"/>
  <c r="BL99" i="7" s="1"/>
  <c r="BM99" i="7" s="1"/>
  <c r="Q720" i="7"/>
  <c r="BL720" i="7" s="1"/>
  <c r="BM720" i="7" s="1"/>
  <c r="Q651" i="7"/>
  <c r="BL651" i="7" s="1"/>
  <c r="BM651" i="7" s="1"/>
  <c r="Q314" i="7"/>
  <c r="BL314" i="7" s="1"/>
  <c r="BM314" i="7" s="1"/>
  <c r="Q783" i="7"/>
  <c r="BL783" i="7" s="1"/>
  <c r="BM783" i="7" s="1"/>
  <c r="Q689" i="7"/>
  <c r="BL689" i="7" s="1"/>
  <c r="BM689" i="7" s="1"/>
  <c r="Q674" i="7"/>
  <c r="BL674" i="7" s="1"/>
  <c r="BM674" i="7" s="1"/>
  <c r="Q266" i="7"/>
  <c r="BL266" i="7" s="1"/>
  <c r="BM266" i="7" s="1"/>
  <c r="Q395" i="7"/>
  <c r="BL395" i="7" s="1"/>
  <c r="BM395" i="7" s="1"/>
  <c r="Q626" i="7"/>
  <c r="BL626" i="7" s="1"/>
  <c r="BM626" i="7" s="1"/>
  <c r="Q684" i="7"/>
  <c r="BL684" i="7" s="1"/>
  <c r="BM684" i="7" s="1"/>
  <c r="Q617" i="7"/>
  <c r="BL617" i="7" s="1"/>
  <c r="BM617" i="7" s="1"/>
  <c r="Q738" i="7"/>
  <c r="BL738" i="7" s="1"/>
  <c r="BM738" i="7" s="1"/>
  <c r="Q786" i="7"/>
  <c r="BL786" i="7" s="1"/>
  <c r="BM786" i="7" s="1"/>
  <c r="Q861" i="7"/>
  <c r="BL861" i="7" s="1"/>
  <c r="BM861" i="7" s="1"/>
  <c r="Q171" i="7"/>
  <c r="BL171" i="7" s="1"/>
  <c r="BM171" i="7" s="1"/>
  <c r="Q153" i="7"/>
  <c r="BL153" i="7" s="1"/>
  <c r="BM153" i="7" s="1"/>
  <c r="Q394" i="7"/>
  <c r="BL394" i="7" s="1"/>
  <c r="BM394" i="7" s="1"/>
  <c r="Q556" i="7"/>
  <c r="BL556" i="7" s="1"/>
  <c r="BM556" i="7" s="1"/>
  <c r="Q766" i="7"/>
  <c r="BL766" i="7" s="1"/>
  <c r="BM766" i="7" s="1"/>
  <c r="Q624" i="7"/>
  <c r="BL624" i="7" s="1"/>
  <c r="BM624" i="7" s="1"/>
  <c r="Q683" i="7"/>
  <c r="BL683" i="7" s="1"/>
  <c r="BM683" i="7" s="1"/>
  <c r="Q281" i="7"/>
  <c r="BL281" i="7" s="1"/>
  <c r="BM281" i="7" s="1"/>
  <c r="Q793" i="7"/>
  <c r="BL793" i="7" s="1"/>
  <c r="BM793" i="7" s="1"/>
  <c r="Q543" i="7"/>
  <c r="BL543" i="7" s="1"/>
  <c r="BM543" i="7" s="1"/>
  <c r="Q608" i="7"/>
  <c r="BL608" i="7" s="1"/>
  <c r="BM608" i="7" s="1"/>
  <c r="Q218" i="7"/>
  <c r="BL218" i="7" s="1"/>
  <c r="BM218" i="7" s="1"/>
  <c r="Q697" i="7"/>
  <c r="BL697" i="7" s="1"/>
  <c r="BM697" i="7" s="1"/>
  <c r="Q238" i="7"/>
  <c r="BL238" i="7" s="1"/>
  <c r="BM238" i="7" s="1"/>
  <c r="Q321" i="7"/>
  <c r="BL321" i="7" s="1"/>
  <c r="BM321" i="7" s="1"/>
  <c r="Q36" i="7"/>
  <c r="BL36" i="7" s="1"/>
  <c r="BM36" i="7" s="1"/>
  <c r="Q299" i="7"/>
  <c r="BL299" i="7" s="1"/>
  <c r="BM299" i="7" s="1"/>
  <c r="Q489" i="7"/>
  <c r="BL489" i="7" s="1"/>
  <c r="BM489" i="7" s="1"/>
  <c r="Q821" i="7"/>
  <c r="BL821" i="7" s="1"/>
  <c r="BM821" i="7" s="1"/>
  <c r="Q96" i="7"/>
  <c r="BL96" i="7" s="1"/>
  <c r="BM96" i="7" s="1"/>
  <c r="Q620" i="7"/>
  <c r="BL620" i="7" s="1"/>
  <c r="BM620" i="7" s="1"/>
  <c r="Q811" i="7"/>
  <c r="BL811" i="7" s="1"/>
  <c r="BM811" i="7" s="1"/>
  <c r="Q530" i="7"/>
  <c r="BL530" i="7" s="1"/>
  <c r="BM530" i="7" s="1"/>
  <c r="Q590" i="7"/>
  <c r="BL590" i="7" s="1"/>
  <c r="BM590" i="7" s="1"/>
  <c r="Q815" i="7"/>
  <c r="BL815" i="7" s="1"/>
  <c r="BM815" i="7" s="1"/>
  <c r="Q177" i="7"/>
  <c r="BL177" i="7" s="1"/>
  <c r="BM177" i="7" s="1"/>
  <c r="Q421" i="7"/>
  <c r="BL421" i="7" s="1"/>
  <c r="BM421" i="7" s="1"/>
  <c r="Q481" i="7"/>
  <c r="BL481" i="7" s="1"/>
  <c r="BM481" i="7" s="1"/>
  <c r="Q412" i="7"/>
  <c r="BL412" i="7" s="1"/>
  <c r="BM412" i="7" s="1"/>
  <c r="Q467" i="7"/>
  <c r="BL467" i="7" s="1"/>
  <c r="BM467" i="7" s="1"/>
  <c r="Q94" i="7"/>
  <c r="BL94" i="7" s="1"/>
  <c r="BM94" i="7" s="1"/>
  <c r="Q163" i="7"/>
  <c r="BL163" i="7" s="1"/>
  <c r="BM163" i="7" s="1"/>
  <c r="Q700" i="7"/>
  <c r="BL700" i="7" s="1"/>
  <c r="BM700" i="7" s="1"/>
  <c r="Q591" i="7"/>
  <c r="BL591" i="7" s="1"/>
  <c r="BM591" i="7" s="1"/>
  <c r="Q16" i="7"/>
  <c r="BL16" i="7" s="1"/>
  <c r="BM16" i="7" s="1"/>
  <c r="Q232" i="7"/>
  <c r="BL232" i="7" s="1"/>
  <c r="BM232" i="7" s="1"/>
  <c r="Q492" i="7"/>
  <c r="BL492" i="7" s="1"/>
  <c r="BM492" i="7" s="1"/>
  <c r="Q119" i="7"/>
  <c r="BL119" i="7" s="1"/>
  <c r="BM119" i="7" s="1"/>
  <c r="Q368" i="7"/>
  <c r="BL368" i="7" s="1"/>
  <c r="BM368" i="7" s="1"/>
  <c r="Q691" i="7"/>
  <c r="BL691" i="7" s="1"/>
  <c r="BM691" i="7" s="1"/>
  <c r="Q788" i="7"/>
  <c r="BL788" i="7" s="1"/>
  <c r="BM788" i="7" s="1"/>
  <c r="Q804" i="7"/>
  <c r="BL804" i="7" s="1"/>
  <c r="BM804" i="7" s="1"/>
  <c r="Q211" i="7"/>
  <c r="BL211" i="7" s="1"/>
  <c r="BM211" i="7" s="1"/>
  <c r="Q373" i="7"/>
  <c r="BL373" i="7" s="1"/>
  <c r="BM373" i="7" s="1"/>
  <c r="Q860" i="7"/>
  <c r="BL860" i="7" s="1"/>
  <c r="BM860" i="7" s="1"/>
  <c r="Q745" i="7"/>
  <c r="BL745" i="7" s="1"/>
  <c r="BM745" i="7" s="1"/>
  <c r="Q33" i="7"/>
  <c r="BL33" i="7" s="1"/>
  <c r="BM33" i="7" s="1"/>
  <c r="Q850" i="7"/>
  <c r="BL850" i="7" s="1"/>
  <c r="BM850" i="7" s="1"/>
  <c r="Q270" i="7"/>
  <c r="BL270" i="7" s="1"/>
  <c r="BM270" i="7" s="1"/>
  <c r="Q231" i="7"/>
  <c r="BL231" i="7" s="1"/>
  <c r="BM231" i="7" s="1"/>
  <c r="Q557" i="7"/>
  <c r="BL557" i="7" s="1"/>
  <c r="BM557" i="7" s="1"/>
  <c r="Q214" i="7"/>
  <c r="BL214" i="7" s="1"/>
  <c r="BM214" i="7" s="1"/>
  <c r="Q776" i="7"/>
  <c r="BL776" i="7" s="1"/>
  <c r="BM776" i="7" s="1"/>
  <c r="Q248" i="7"/>
  <c r="BL248" i="7" s="1"/>
  <c r="BM248" i="7" s="1"/>
  <c r="Q301" i="7"/>
  <c r="BL301" i="7" s="1"/>
  <c r="BM301" i="7" s="1"/>
  <c r="Q145" i="7"/>
  <c r="BL145" i="7" s="1"/>
  <c r="BM145" i="7" s="1"/>
  <c r="Q234" i="7"/>
  <c r="BL234" i="7" s="1"/>
  <c r="BM234" i="7" s="1"/>
  <c r="Q358" i="7"/>
  <c r="BL358" i="7" s="1"/>
  <c r="BM358" i="7" s="1"/>
  <c r="Q348" i="7"/>
  <c r="BL348" i="7" s="1"/>
  <c r="BM348" i="7" s="1"/>
  <c r="Q638" i="7"/>
  <c r="BL638" i="7" s="1"/>
  <c r="BM638" i="7" s="1"/>
  <c r="Q392" i="7"/>
  <c r="BL392" i="7" s="1"/>
  <c r="BM392" i="7" s="1"/>
  <c r="Q498" i="7"/>
  <c r="BL498" i="7" s="1"/>
  <c r="BM498" i="7" s="1"/>
  <c r="Q31" i="7"/>
  <c r="BL31" i="7" s="1"/>
  <c r="BM31" i="7" s="1"/>
  <c r="Q360" i="7"/>
  <c r="BL360" i="7" s="1"/>
  <c r="BM360" i="7" s="1"/>
  <c r="Q655" i="7"/>
  <c r="BL655" i="7" s="1"/>
  <c r="BM655" i="7" s="1"/>
  <c r="Q276" i="7"/>
  <c r="BL276" i="7" s="1"/>
  <c r="BM276" i="7" s="1"/>
  <c r="Q91" i="7"/>
  <c r="BL91" i="7" s="1"/>
  <c r="BM91" i="7" s="1"/>
  <c r="Q235" i="7"/>
  <c r="BL235" i="7" s="1"/>
  <c r="BM235" i="7" s="1"/>
  <c r="Q347" i="7"/>
  <c r="BL347" i="7" s="1"/>
  <c r="BM347" i="7" s="1"/>
  <c r="Q659" i="7"/>
  <c r="BL659" i="7" s="1"/>
  <c r="BM659" i="7" s="1"/>
  <c r="Q537" i="7"/>
  <c r="BL537" i="7" s="1"/>
  <c r="BM537" i="7" s="1"/>
  <c r="Q732" i="7"/>
  <c r="BL732" i="7" s="1"/>
  <c r="BM732" i="7" s="1"/>
  <c r="BI712" i="7"/>
  <c r="BI120" i="7"/>
  <c r="AO599" i="7"/>
  <c r="AO106" i="7"/>
  <c r="BI221" i="7"/>
  <c r="BI654" i="7"/>
  <c r="BI599" i="7"/>
  <c r="BI625" i="7"/>
  <c r="BI869" i="7"/>
  <c r="BI633" i="7"/>
  <c r="BI694" i="7"/>
  <c r="AO453" i="7"/>
  <c r="AO869" i="7"/>
  <c r="BI382" i="7"/>
  <c r="BI52" i="7"/>
  <c r="AO633" i="7"/>
  <c r="AO712" i="7"/>
  <c r="AO10" i="7"/>
  <c r="AP869" i="7"/>
  <c r="AP654" i="7"/>
  <c r="AP221" i="7"/>
  <c r="AP694" i="7"/>
  <c r="AP453" i="7"/>
  <c r="AP712" i="7"/>
  <c r="AP599" i="7"/>
  <c r="AP120" i="7"/>
  <c r="AP106" i="7"/>
  <c r="AP52" i="7"/>
  <c r="AP835" i="7"/>
  <c r="AP95" i="7"/>
  <c r="AP633" i="7"/>
  <c r="AP625" i="7"/>
  <c r="AP10" i="7"/>
  <c r="AP845" i="7"/>
  <c r="AP490" i="7"/>
  <c r="AP382" i="7"/>
  <c r="AP254" i="7"/>
  <c r="AP77" i="7"/>
  <c r="BI254" i="7"/>
  <c r="BI106" i="7"/>
  <c r="AO95" i="7"/>
  <c r="AO221" i="7"/>
  <c r="BI95" i="7"/>
  <c r="Q120" i="7"/>
  <c r="Q77" i="7"/>
  <c r="Q52" i="7"/>
  <c r="BL52" i="7" s="1"/>
  <c r="BM52" i="7" s="1"/>
  <c r="Q453" i="7"/>
  <c r="Q490" i="7"/>
  <c r="BL490" i="7" s="1"/>
  <c r="BM490" i="7" s="1"/>
  <c r="Q10" i="7"/>
  <c r="Q712" i="7"/>
  <c r="Q599" i="7"/>
  <c r="Q254" i="7"/>
  <c r="BL254" i="7" s="1"/>
  <c r="BM254" i="7" s="1"/>
  <c r="Q654" i="7"/>
  <c r="BL654" i="7" s="1"/>
  <c r="BM654" i="7" s="1"/>
  <c r="Q694" i="7"/>
  <c r="BL694" i="7" s="1"/>
  <c r="BM694" i="7" s="1"/>
  <c r="Q625" i="7"/>
  <c r="BL625" i="7" s="1"/>
  <c r="BM625" i="7" s="1"/>
  <c r="Q95" i="7"/>
  <c r="Q106" i="7"/>
  <c r="Q845" i="7"/>
  <c r="BL845" i="7" s="1"/>
  <c r="BM845" i="7" s="1"/>
  <c r="Q835" i="7"/>
  <c r="BL835" i="7" s="1"/>
  <c r="BM835" i="7" s="1"/>
  <c r="Q633" i="7"/>
  <c r="Q382" i="7"/>
  <c r="Q869" i="7"/>
  <c r="Q221" i="7"/>
  <c r="BI845" i="7"/>
  <c r="BI10" i="7"/>
  <c r="BI453" i="7"/>
  <c r="AO120" i="7"/>
  <c r="AO77" i="7"/>
  <c r="BI77" i="7"/>
  <c r="BI835" i="7"/>
  <c r="BI490" i="7"/>
  <c r="AO382" i="7"/>
  <c r="BI15" i="7"/>
  <c r="BI30" i="7"/>
  <c r="BI422" i="7"/>
  <c r="BI540" i="7"/>
  <c r="BI388" i="7"/>
  <c r="BI787" i="7"/>
  <c r="BI816" i="7"/>
  <c r="BI759" i="7"/>
  <c r="BI445" i="7"/>
  <c r="BI752" i="7"/>
  <c r="BI515" i="7"/>
  <c r="BI58" i="7"/>
  <c r="BI183" i="7"/>
  <c r="BI193" i="7"/>
  <c r="BI318" i="7"/>
  <c r="BI598" i="7"/>
  <c r="BI868" i="7"/>
  <c r="BI519" i="7"/>
  <c r="BI244" i="7"/>
  <c r="BI17" i="7"/>
  <c r="BI657" i="7"/>
  <c r="BI802" i="7"/>
  <c r="BI678" i="7"/>
  <c r="BI699" i="7"/>
  <c r="BI832" i="7"/>
  <c r="BI465" i="7"/>
  <c r="BI263" i="7"/>
  <c r="BI89" i="7"/>
  <c r="BI61" i="7"/>
  <c r="BI550" i="7"/>
  <c r="BI425" i="7"/>
  <c r="BI737" i="7"/>
  <c r="BI79" i="7"/>
  <c r="BI118" i="7"/>
  <c r="BI477" i="7"/>
  <c r="BI342" i="7"/>
  <c r="BI351" i="7"/>
  <c r="BI775" i="7"/>
  <c r="BI446" i="7"/>
  <c r="BI306" i="7"/>
  <c r="BI773" i="7"/>
  <c r="BI397" i="7"/>
  <c r="BI795" i="7"/>
  <c r="BI734" i="7"/>
  <c r="BI440" i="7"/>
  <c r="BI702" i="7"/>
  <c r="BI8" i="7"/>
  <c r="BI559" i="7"/>
  <c r="BI134" i="7"/>
  <c r="BI384" i="7"/>
  <c r="BI668" i="7"/>
  <c r="BI302" i="7"/>
  <c r="BI785" i="7"/>
  <c r="BI80" i="7"/>
  <c r="BI722" i="7"/>
  <c r="BI754" i="7"/>
  <c r="BI854" i="7"/>
  <c r="BI292" i="7"/>
  <c r="BI84" i="7"/>
  <c r="BI484" i="7"/>
  <c r="BI867" i="7"/>
  <c r="BI365" i="7"/>
  <c r="BI195" i="7"/>
  <c r="BI284" i="7"/>
  <c r="BI606" i="7"/>
  <c r="BI295" i="7"/>
  <c r="BI320" i="7"/>
  <c r="BI513" i="7"/>
  <c r="BI335" i="7"/>
  <c r="BI309" i="7"/>
  <c r="BI747" i="7"/>
  <c r="BI474" i="7"/>
  <c r="BI529" i="7"/>
  <c r="BI172" i="7"/>
  <c r="BI364" i="7"/>
  <c r="BI372" i="7"/>
  <c r="BI528" i="7"/>
  <c r="BI647" i="7"/>
  <c r="BI714" i="7"/>
  <c r="BI190" i="7"/>
  <c r="BI704" i="7"/>
  <c r="BI117" i="7"/>
  <c r="BI601" i="7"/>
  <c r="BI644" i="7"/>
  <c r="BI54" i="7"/>
  <c r="BI201" i="7"/>
  <c r="BI381" i="7"/>
  <c r="BI546" i="7"/>
  <c r="BI359" i="7"/>
  <c r="BI290" i="7"/>
  <c r="BI256" i="7"/>
  <c r="BI409" i="7"/>
  <c r="BI451" i="7"/>
  <c r="BI258" i="7"/>
  <c r="BI203" i="7"/>
  <c r="BI857" i="7"/>
  <c r="BI826" i="7"/>
  <c r="BI837" i="7"/>
  <c r="BI132" i="7"/>
  <c r="BI81" i="7"/>
  <c r="BI637" i="7"/>
  <c r="BI411" i="7"/>
  <c r="BI401" i="7"/>
  <c r="BI400" i="7"/>
  <c r="BI140" i="7"/>
  <c r="BI115" i="7"/>
  <c r="BI279" i="7"/>
  <c r="BI261" i="7"/>
  <c r="BI70" i="7"/>
  <c r="BI127" i="7"/>
  <c r="BI147" i="7"/>
  <c r="BI630" i="7"/>
  <c r="BI554" i="7"/>
  <c r="BI174" i="7"/>
  <c r="BI858" i="7"/>
  <c r="BI32" i="7"/>
  <c r="BI677" i="7"/>
  <c r="BI137" i="7"/>
  <c r="BI399" i="7"/>
  <c r="BI194" i="7"/>
  <c r="BI362" i="7"/>
  <c r="BI825" i="7"/>
  <c r="BI346" i="7"/>
  <c r="BI152" i="7"/>
  <c r="BI834" i="7"/>
  <c r="BI864" i="7"/>
  <c r="BI725" i="7"/>
  <c r="BI790" i="7"/>
  <c r="BI755" i="7"/>
  <c r="BI43" i="7"/>
  <c r="BI83" i="7"/>
  <c r="BI661" i="7"/>
  <c r="BI713" i="7"/>
  <c r="BI338" i="7"/>
  <c r="BI361" i="7"/>
  <c r="BI415" i="7"/>
  <c r="BI472" i="7"/>
  <c r="BI219" i="7"/>
  <c r="BI377" i="7"/>
  <c r="BI727" i="7"/>
  <c r="BI386" i="7"/>
  <c r="BI213" i="7"/>
  <c r="BI698" i="7"/>
  <c r="BI75" i="7"/>
  <c r="BI833" i="7"/>
  <c r="BI209" i="7"/>
  <c r="BI828" i="7"/>
  <c r="BI444" i="7"/>
  <c r="BI57" i="7"/>
  <c r="BI616" i="7"/>
  <c r="BI524" i="7"/>
  <c r="BI656" i="7"/>
  <c r="BI631" i="7"/>
  <c r="BI44" i="7"/>
  <c r="BI509" i="7"/>
  <c r="BI262" i="7"/>
  <c r="BI161" i="7"/>
  <c r="BI478" i="7"/>
  <c r="BI308" i="7"/>
  <c r="BI660" i="7"/>
  <c r="BI843" i="7"/>
  <c r="BI350" i="7"/>
  <c r="BI510" i="7"/>
  <c r="BI679" i="7"/>
  <c r="BI267" i="7"/>
  <c r="BI611" i="7"/>
  <c r="BI158" i="7"/>
  <c r="BI676" i="7"/>
  <c r="BI162" i="7"/>
  <c r="BI583" i="7"/>
  <c r="BI570" i="7"/>
  <c r="BI18" i="7"/>
  <c r="BI576" i="7"/>
  <c r="BI708" i="7"/>
  <c r="BI726" i="7"/>
  <c r="BI241" i="7"/>
  <c r="BI252" i="7"/>
  <c r="BI829" i="7"/>
  <c r="BI495" i="7"/>
  <c r="BI289" i="7"/>
  <c r="BI667" i="7"/>
  <c r="BI758" i="7"/>
  <c r="BI681" i="7"/>
  <c r="BI629" i="7"/>
  <c r="BI181" i="7"/>
  <c r="BI393" i="7"/>
  <c r="BI293" i="7"/>
  <c r="BI442" i="7"/>
  <c r="BI545" i="7"/>
  <c r="BI428" i="7"/>
  <c r="BI165" i="7"/>
  <c r="BI762" i="7"/>
  <c r="BI443" i="7"/>
  <c r="BI473" i="7"/>
  <c r="BI760" i="7"/>
  <c r="BI418" i="7"/>
  <c r="BI744" i="7"/>
  <c r="BI454" i="7"/>
  <c r="BI85" i="7"/>
  <c r="BI103" i="7"/>
  <c r="BI167" i="7"/>
  <c r="BI423" i="7"/>
  <c r="BI672" i="7"/>
  <c r="BI250" i="7"/>
  <c r="BI37" i="7"/>
  <c r="BI332" i="7"/>
  <c r="BI405" i="7"/>
  <c r="BI356" i="7"/>
  <c r="BI736" i="7"/>
  <c r="BI587" i="7"/>
  <c r="BI778" i="7"/>
  <c r="BI673" i="7"/>
  <c r="BI705" i="7"/>
  <c r="BI229" i="7"/>
  <c r="BI808" i="7"/>
  <c r="BI363" i="7"/>
  <c r="BI469" i="7"/>
  <c r="BI541" i="7"/>
  <c r="BI780" i="7"/>
  <c r="BI13" i="7"/>
  <c r="BI507" i="7"/>
  <c r="BI749" i="7"/>
  <c r="BI666" i="7"/>
  <c r="BI757" i="7"/>
  <c r="BI325" i="7"/>
  <c r="BI628" i="7"/>
  <c r="BI525" i="7"/>
  <c r="BI24" i="7"/>
  <c r="BI35" i="7"/>
  <c r="BI555" i="7"/>
  <c r="BI20" i="7"/>
  <c r="BI166" i="7"/>
  <c r="BI813" i="7"/>
  <c r="BI273" i="7"/>
  <c r="BI619" i="7"/>
  <c r="BI522" i="7"/>
  <c r="BI286" i="7"/>
  <c r="BI298" i="7"/>
  <c r="BI719" i="7"/>
  <c r="BI328" i="7"/>
  <c r="BI516" i="7"/>
  <c r="BI819" i="7"/>
  <c r="AP243" i="7"/>
  <c r="AP806" i="7"/>
  <c r="AP814" i="7"/>
  <c r="AP209" i="7"/>
  <c r="AP457" i="7"/>
  <c r="AP100" i="7"/>
  <c r="AP432" i="7"/>
  <c r="AP733" i="7"/>
  <c r="AP118" i="7"/>
  <c r="AP665" i="7"/>
  <c r="AP828" i="7"/>
  <c r="AP58" i="7"/>
  <c r="AP425" i="7"/>
  <c r="AP637" i="7"/>
  <c r="AP434" i="7"/>
  <c r="AP350" i="7"/>
  <c r="AP870" i="7"/>
  <c r="AP614" i="7"/>
  <c r="AP848" i="7"/>
  <c r="AP203" i="7"/>
  <c r="AP108" i="7"/>
  <c r="AP57" i="7"/>
  <c r="AP673" i="7"/>
  <c r="AP449" i="7"/>
  <c r="AP688" i="7"/>
  <c r="AP722" i="7"/>
  <c r="AP290" i="7"/>
  <c r="AP703" i="7"/>
  <c r="AP820" i="7"/>
  <c r="AP830" i="7"/>
  <c r="AP567" i="7"/>
  <c r="AP61" i="7"/>
  <c r="AP605" i="7"/>
  <c r="AP194" i="7"/>
  <c r="AP588" i="7"/>
  <c r="AP342" i="7"/>
  <c r="AP598" i="7"/>
  <c r="AP699" i="7"/>
  <c r="AP549" i="7"/>
  <c r="AP715" i="7"/>
  <c r="AP676" i="7"/>
  <c r="AP817" i="7"/>
  <c r="AP702" i="7"/>
  <c r="AP540" i="7"/>
  <c r="AP219" i="7"/>
  <c r="AP708" i="7"/>
  <c r="AP577" i="7"/>
  <c r="AP84" i="7"/>
  <c r="AP27" i="7"/>
  <c r="AP138" i="7"/>
  <c r="AP539" i="7"/>
  <c r="AP226" i="7"/>
  <c r="AP563" i="7"/>
  <c r="AP773" i="7"/>
  <c r="AP158" i="7"/>
  <c r="AP726" i="7"/>
  <c r="AP29" i="7"/>
  <c r="AP280" i="7"/>
  <c r="AP767" i="7"/>
  <c r="AP680" i="7"/>
  <c r="AP544" i="7"/>
  <c r="AP298" i="7"/>
  <c r="AP380" i="7"/>
  <c r="AP717" i="7"/>
  <c r="AP437" i="7"/>
  <c r="AP178" i="7"/>
  <c r="AP744" i="7"/>
  <c r="AP851" i="7"/>
  <c r="AP349" i="7"/>
  <c r="AP558" i="7"/>
  <c r="AP660" i="7"/>
  <c r="AP533" i="7"/>
  <c r="AP713" i="7"/>
  <c r="AP182" i="7"/>
  <c r="AP303" i="7"/>
  <c r="AP791" i="7"/>
  <c r="AP262" i="7"/>
  <c r="AP200" i="7"/>
  <c r="AP775" i="7"/>
  <c r="AP780" i="7"/>
  <c r="AP621" i="7"/>
  <c r="AP304" i="7"/>
  <c r="AP286" i="7"/>
  <c r="AP37" i="7"/>
  <c r="AP838" i="7"/>
  <c r="AP623" i="7"/>
  <c r="AP410" i="7"/>
  <c r="AP252" i="7"/>
  <c r="AP98" i="7"/>
  <c r="AP856" i="7"/>
  <c r="AP258" i="7"/>
  <c r="AP510" i="7"/>
  <c r="AP618" i="7"/>
  <c r="AP297" i="7"/>
  <c r="AP511" i="7"/>
  <c r="AP12" i="7"/>
  <c r="AP202" i="7"/>
  <c r="AP66" i="7"/>
  <c r="AP760" i="7"/>
  <c r="AP681" i="7"/>
  <c r="AP354" i="7"/>
  <c r="AP279" i="7"/>
  <c r="AP807" i="7"/>
  <c r="AP183" i="7"/>
  <c r="AP366" i="7"/>
  <c r="AP592" i="7"/>
  <c r="AP198" i="7"/>
  <c r="AP225" i="7"/>
  <c r="AP13" i="7"/>
  <c r="AP340" i="7"/>
  <c r="AP819" i="7"/>
  <c r="AP847" i="7"/>
  <c r="AP212" i="7"/>
  <c r="AP433" i="7"/>
  <c r="AP329" i="7"/>
  <c r="AP545" i="7"/>
  <c r="AP466" i="7"/>
  <c r="AP403" i="7"/>
  <c r="AP273" i="7"/>
  <c r="AP600" i="7"/>
  <c r="AP51" i="7"/>
  <c r="AP679" i="7"/>
  <c r="AP503" i="7"/>
  <c r="AP587" i="7"/>
  <c r="AP268" i="7"/>
  <c r="AP765" i="7"/>
  <c r="AP242" i="7"/>
  <c r="AP741" i="7"/>
  <c r="AP658" i="7"/>
  <c r="AP167" i="7"/>
  <c r="AP518" i="7"/>
  <c r="AP369" i="7"/>
  <c r="AP82" i="7"/>
  <c r="AP233" i="7"/>
  <c r="AP53" i="7"/>
  <c r="AP418" i="7"/>
  <c r="AP86" i="7"/>
  <c r="AP313" i="7"/>
  <c r="AP46" i="7"/>
  <c r="AP282" i="7"/>
  <c r="AP125" i="7"/>
  <c r="AP75" i="7"/>
  <c r="AP613" i="7"/>
  <c r="AP216" i="7"/>
  <c r="AP424" i="7"/>
  <c r="AP387" i="7"/>
  <c r="AP647" i="7"/>
  <c r="AP423" i="7"/>
  <c r="AP716" i="7"/>
  <c r="AP454" i="7"/>
  <c r="AP525" i="7"/>
  <c r="AP229" i="7"/>
  <c r="AP166" i="7"/>
  <c r="AP669" i="7"/>
  <c r="AP294" i="7"/>
  <c r="AP494" i="7"/>
  <c r="AP514" i="7"/>
  <c r="AP779" i="7"/>
  <c r="AP627" i="7"/>
  <c r="AP441" i="7"/>
  <c r="AP44" i="7"/>
  <c r="AP635" i="7"/>
  <c r="AP568" i="7"/>
  <c r="AP261" i="7"/>
  <c r="AP356" i="7"/>
  <c r="AP761" i="7"/>
  <c r="AP551" i="7"/>
  <c r="AP664" i="7"/>
  <c r="AP405" i="7"/>
  <c r="AP831" i="7"/>
  <c r="AP865" i="7"/>
  <c r="AP729" i="7"/>
  <c r="AP584" i="7"/>
  <c r="AP735" i="7"/>
  <c r="AP101" i="7"/>
  <c r="AP249" i="7"/>
  <c r="AP40" i="7"/>
  <c r="AP135" i="7"/>
  <c r="AP180" i="7"/>
  <c r="AP701" i="7"/>
  <c r="AP740" i="7"/>
  <c r="AP205" i="7"/>
  <c r="AP768" i="7"/>
  <c r="AP628" i="7"/>
  <c r="AP328" i="7"/>
  <c r="AP748" i="7"/>
  <c r="AP60" i="7"/>
  <c r="AP714" i="7"/>
  <c r="AP220" i="7"/>
  <c r="AP102" i="7"/>
  <c r="AP555" i="7"/>
  <c r="AP705" i="7"/>
  <c r="AP462" i="7"/>
  <c r="AP499" i="7"/>
  <c r="AP789" i="7"/>
  <c r="AP459" i="7"/>
  <c r="AP532" i="7"/>
  <c r="AP516" i="7"/>
  <c r="AP35" i="7"/>
  <c r="AP448" i="7"/>
  <c r="AP250" i="7"/>
  <c r="AP547" i="7"/>
  <c r="AP72" i="7"/>
  <c r="AP542" i="7"/>
  <c r="AP808" i="7"/>
  <c r="AP365" i="7"/>
  <c r="AP109" i="7"/>
  <c r="AP323" i="7"/>
  <c r="AP374" i="7"/>
  <c r="AP330" i="7"/>
  <c r="AP652" i="7"/>
  <c r="AP501" i="7"/>
  <c r="AP657" i="7"/>
  <c r="AP693" i="7"/>
  <c r="AP264" i="7"/>
  <c r="AP672" i="7"/>
  <c r="AP687" i="7"/>
  <c r="AP325" i="7"/>
  <c r="AP54" i="7"/>
  <c r="AP22" i="7"/>
  <c r="AP385" i="7"/>
  <c r="AP482" i="7"/>
  <c r="AP92" i="7"/>
  <c r="AP690" i="7"/>
  <c r="AP193" i="7"/>
  <c r="AP758" i="7"/>
  <c r="AP832" i="7"/>
  <c r="AP561" i="7"/>
  <c r="AP724" i="7"/>
  <c r="AP730" i="7"/>
  <c r="AP240" i="7"/>
  <c r="AP837" i="7"/>
  <c r="AP255" i="7"/>
  <c r="AP529" i="7"/>
  <c r="AP443" i="7"/>
  <c r="AP289" i="7"/>
  <c r="AP746" i="7"/>
  <c r="AP89" i="7"/>
  <c r="AP309" i="7"/>
  <c r="AP868" i="7"/>
  <c r="AP487" i="7"/>
  <c r="AP451" i="7"/>
  <c r="AP770" i="7"/>
  <c r="AP107" i="7"/>
  <c r="AP661" i="7"/>
  <c r="AP574" i="7"/>
  <c r="AP422" i="7"/>
  <c r="AP774" i="7"/>
  <c r="AP706" i="7"/>
  <c r="AP826" i="7"/>
  <c r="AP97" i="7"/>
  <c r="AP570" i="7"/>
  <c r="AP128" i="7"/>
  <c r="AP548" i="7"/>
  <c r="AP310" i="7"/>
  <c r="AP496" i="7"/>
  <c r="AP607" i="7"/>
  <c r="AP573" i="7"/>
  <c r="AP824" i="7"/>
  <c r="AP400" i="7"/>
  <c r="AP771" i="7"/>
  <c r="AP263" i="7"/>
  <c r="AP427" i="7"/>
  <c r="AP201" i="7"/>
  <c r="AP207" i="7"/>
  <c r="AP272" i="7"/>
  <c r="AP287" i="7"/>
  <c r="AP452" i="7"/>
  <c r="AP852" i="7"/>
  <c r="AP152" i="7"/>
  <c r="AP383" i="7"/>
  <c r="AP508" i="7"/>
  <c r="AP725" i="7"/>
  <c r="AP359" i="7"/>
  <c r="AP295" i="7"/>
  <c r="AP513" i="7"/>
  <c r="AP196" i="7"/>
  <c r="AP763" i="7"/>
  <c r="AP80" i="7"/>
  <c r="AP26" i="7"/>
  <c r="AP174" i="7"/>
  <c r="AP241" i="7"/>
  <c r="AP361" i="7"/>
  <c r="AP161" i="7"/>
  <c r="AP632" i="7"/>
  <c r="AP438" i="7"/>
  <c r="AP415" i="7"/>
  <c r="AP446" i="7"/>
  <c r="AP414" i="7"/>
  <c r="AP615" i="7"/>
  <c r="AP124" i="7"/>
  <c r="AP512" i="7"/>
  <c r="AP604" i="7"/>
  <c r="AP436" i="7"/>
  <c r="AP409" i="7"/>
  <c r="AP377" i="7"/>
  <c r="AP569" i="7"/>
  <c r="AP407" i="7"/>
  <c r="AP782" i="7"/>
  <c r="AP370" i="7"/>
  <c r="AP236" i="7"/>
  <c r="AP473" i="7"/>
  <c r="AP79" i="7"/>
  <c r="AP333" i="7"/>
  <c r="AP812" i="7"/>
  <c r="AP565" i="7"/>
  <c r="AP21" i="7"/>
  <c r="AP90" i="7"/>
  <c r="AP67" i="7"/>
  <c r="AP559" i="7"/>
  <c r="AP479" i="7"/>
  <c r="AP630" i="7"/>
  <c r="AP579" i="7"/>
  <c r="AP583" i="7"/>
  <c r="AP554" i="7"/>
  <c r="AP444" i="7"/>
  <c r="AP855" i="7"/>
  <c r="AP111" i="7"/>
  <c r="AP795" i="7"/>
  <c r="AP28" i="7"/>
  <c r="AP642" i="7"/>
  <c r="AP629" i="7"/>
  <c r="AP527" i="7"/>
  <c r="AP704" i="7"/>
  <c r="AP338" i="7"/>
  <c r="AP736" i="7"/>
  <c r="AP813" i="7"/>
  <c r="AP393" i="7"/>
  <c r="AP844" i="7"/>
  <c r="AP787" i="7"/>
  <c r="AP470" i="7"/>
  <c r="AP461" i="7"/>
  <c r="AP140" i="7"/>
  <c r="AP747" i="7"/>
  <c r="AP755" i="7"/>
  <c r="AP622" i="7"/>
  <c r="AP244" i="7"/>
  <c r="AP293" i="7"/>
  <c r="AP670" i="7"/>
  <c r="AP564" i="7"/>
  <c r="AP507" i="7"/>
  <c r="AP645" i="7"/>
  <c r="AP351" i="7"/>
  <c r="AP790" i="7"/>
  <c r="AP858" i="7"/>
  <c r="AP190" i="7"/>
  <c r="AP83" i="7"/>
  <c r="AP105" i="7"/>
  <c r="AP546" i="7"/>
  <c r="AP56" i="7"/>
  <c r="AP550" i="7"/>
  <c r="AP391" i="7"/>
  <c r="AP144" i="7"/>
  <c r="AP275" i="7"/>
  <c r="AP334" i="7"/>
  <c r="AP32" i="7"/>
  <c r="AP133" i="7"/>
  <c r="AP822" i="7"/>
  <c r="AP146" i="7"/>
  <c r="AP68" i="7"/>
  <c r="AP667" i="7"/>
  <c r="AP344" i="7"/>
  <c r="AP197" i="7"/>
  <c r="AP284" i="7"/>
  <c r="AP172" i="7"/>
  <c r="AP478" i="7"/>
  <c r="AP509" i="7"/>
  <c r="AP595" i="7"/>
  <c r="AP384" i="7"/>
  <c r="AP42" i="7"/>
  <c r="AP794" i="7"/>
  <c r="AP25" i="7"/>
  <c r="AP485" i="7"/>
  <c r="AP110" i="7"/>
  <c r="AP136" i="7"/>
  <c r="AP160" i="7"/>
  <c r="AP640" i="7"/>
  <c r="AP148" i="7"/>
  <c r="AP854" i="7"/>
  <c r="AP147" i="7"/>
  <c r="AP798" i="7"/>
  <c r="AP484" i="7"/>
  <c r="AP610" i="7"/>
  <c r="AP727" i="7"/>
  <c r="AP76" i="7"/>
  <c r="AP777" i="7"/>
  <c r="AP863" i="7"/>
  <c r="AP381" i="7"/>
  <c r="AP151" i="7"/>
  <c r="AP38" i="7"/>
  <c r="AP398" i="7"/>
  <c r="AP867" i="7"/>
  <c r="AP320" i="7"/>
  <c r="AP149" i="7"/>
  <c r="AP578" i="7"/>
  <c r="AP179" i="7"/>
  <c r="AP778" i="7"/>
  <c r="AP129" i="7"/>
  <c r="AP308" i="7"/>
  <c r="AP721" i="7"/>
  <c r="AP429" i="7"/>
  <c r="AP465" i="7"/>
  <c r="AP759" i="7"/>
  <c r="AP154" i="7"/>
  <c r="AP571" i="7"/>
  <c r="AP440" i="7"/>
  <c r="AP734" i="7"/>
  <c r="AP127" i="7"/>
  <c r="AP34" i="7"/>
  <c r="AP823" i="7"/>
  <c r="AP560" i="7"/>
  <c r="AP312" i="7"/>
  <c r="AP753" i="7"/>
  <c r="AP707" i="7"/>
  <c r="AP162" i="7"/>
  <c r="AP682" i="7"/>
  <c r="AP371" i="7"/>
  <c r="AP719" i="7"/>
  <c r="AP191" i="7"/>
  <c r="AP552" i="7"/>
  <c r="AP24" i="7"/>
  <c r="AP331" i="7"/>
  <c r="AP143" i="7"/>
  <c r="AP491" i="7"/>
  <c r="AP267" i="7"/>
  <c r="AP698" i="7"/>
  <c r="AP439" i="7"/>
  <c r="AP827" i="7"/>
  <c r="AP245" i="7"/>
  <c r="AP833" i="7"/>
  <c r="AP853" i="7"/>
  <c r="AP762" i="7"/>
  <c r="AP754" i="7"/>
  <c r="AP731" i="7"/>
  <c r="AP132" i="7"/>
  <c r="AP656" i="7"/>
  <c r="AP18" i="7"/>
  <c r="AP259" i="7"/>
  <c r="AP796" i="7"/>
  <c r="AP388" i="7"/>
  <c r="AP515" i="7"/>
  <c r="AP785" i="7"/>
  <c r="AP70" i="7"/>
  <c r="AP523" i="7"/>
  <c r="AP586" i="7"/>
  <c r="AP134" i="7"/>
  <c r="AP606" i="7"/>
  <c r="AP364" i="7"/>
  <c r="AP500" i="7"/>
  <c r="AP306" i="7"/>
  <c r="AP504" i="7"/>
  <c r="AP435" i="7"/>
  <c r="AP17" i="7"/>
  <c r="AP278" i="7"/>
  <c r="AP857" i="7"/>
  <c r="AP43" i="7"/>
  <c r="AP805" i="7"/>
  <c r="AP536" i="7"/>
  <c r="AP430" i="7"/>
  <c r="AP541" i="7"/>
  <c r="AP742" i="7"/>
  <c r="AP631" i="7"/>
  <c r="AP521" i="7"/>
  <c r="AP526" i="7"/>
  <c r="AP64" i="7"/>
  <c r="AP469" i="7"/>
  <c r="AP666" i="7"/>
  <c r="AP519" i="7"/>
  <c r="AP737" i="7"/>
  <c r="AP311" i="7"/>
  <c r="AP159" i="7"/>
  <c r="AP9" i="7"/>
  <c r="AP585" i="7"/>
  <c r="AP829" i="7"/>
  <c r="AP117" i="7"/>
  <c r="AP114" i="7"/>
  <c r="AP668" i="7"/>
  <c r="AP389" i="7"/>
  <c r="AP648" i="7"/>
  <c r="AP292" i="7"/>
  <c r="AP372" i="7"/>
  <c r="AP45" i="7"/>
  <c r="AP723" i="7"/>
  <c r="AP8" i="7"/>
  <c r="AP30" i="7"/>
  <c r="AP74" i="7"/>
  <c r="AP390" i="7"/>
  <c r="AP825" i="7"/>
  <c r="AP228" i="7"/>
  <c r="AP283" i="7"/>
  <c r="AP419" i="7"/>
  <c r="AP341" i="7"/>
  <c r="AP752" i="7"/>
  <c r="AP601" i="7"/>
  <c r="AP609" i="7"/>
  <c r="AP696" i="7"/>
  <c r="AP103" i="7"/>
  <c r="AP602" i="7"/>
  <c r="AP522" i="7"/>
  <c r="AP800" i="7"/>
  <c r="AP772" i="7"/>
  <c r="AP210" i="7"/>
  <c r="AP285" i="7"/>
  <c r="AP335" i="7"/>
  <c r="AP611" i="7"/>
  <c r="AP291" i="7"/>
  <c r="AP843" i="7"/>
  <c r="AP195" i="7"/>
  <c r="AP402" i="7"/>
  <c r="AP343" i="7"/>
  <c r="AP757" i="7"/>
  <c r="AP397" i="7"/>
  <c r="AP81" i="7"/>
  <c r="AP649" i="7"/>
  <c r="AP302" i="7"/>
  <c r="AP165" i="7"/>
  <c r="AP634" i="7"/>
  <c r="AP581" i="7"/>
  <c r="AP596" i="7"/>
  <c r="AP593" i="7"/>
  <c r="AP115" i="7"/>
  <c r="AP139" i="7"/>
  <c r="AP749" i="7"/>
  <c r="AP472" i="7"/>
  <c r="AP816" i="7"/>
  <c r="AP442" i="7"/>
  <c r="AP834" i="7"/>
  <c r="AP169" i="7"/>
  <c r="AP113" i="7"/>
  <c r="AP495" i="7"/>
  <c r="AP671" i="7"/>
  <c r="AP464" i="7"/>
  <c r="AP653" i="7"/>
  <c r="AP20" i="7"/>
  <c r="AP122" i="7"/>
  <c r="AP799" i="7"/>
  <c r="AP345" i="7"/>
  <c r="AP230" i="7"/>
  <c r="AP19" i="7"/>
  <c r="AP528" i="7"/>
  <c r="AP643" i="7"/>
  <c r="AP864" i="7"/>
  <c r="AP164" i="7"/>
  <c r="AP256" i="7"/>
  <c r="AP11" i="7"/>
  <c r="AP87" i="7"/>
  <c r="AP531" i="7"/>
  <c r="AP181" i="7"/>
  <c r="AP616" i="7"/>
  <c r="AP756" i="7"/>
  <c r="AP399" i="7"/>
  <c r="AP376" i="7"/>
  <c r="AP502" i="7"/>
  <c r="AP318" i="7"/>
  <c r="AP208" i="7"/>
  <c r="AP445" i="7"/>
  <c r="AP186" i="7"/>
  <c r="AP477" i="7"/>
  <c r="AP846" i="7"/>
  <c r="AP411" i="7"/>
  <c r="AP141" i="7"/>
  <c r="AP362" i="7"/>
  <c r="AP582" i="7"/>
  <c r="AP168" i="7"/>
  <c r="AP187" i="7"/>
  <c r="AP222" i="7"/>
  <c r="AP678" i="7"/>
  <c r="AP426" i="7"/>
  <c r="AP237" i="7"/>
  <c r="AP417" i="7"/>
  <c r="AP322" i="7"/>
  <c r="AP375" i="7"/>
  <c r="AP695" i="7"/>
  <c r="AP784" i="7"/>
  <c r="AP506" i="7"/>
  <c r="AP839" i="7"/>
  <c r="AP685" i="7"/>
  <c r="AP809" i="7"/>
  <c r="AP363" i="7"/>
  <c r="AP686" i="7"/>
  <c r="AP404" i="7"/>
  <c r="AP416" i="7"/>
  <c r="AP173" i="7"/>
  <c r="AP497" i="7"/>
  <c r="AP213" i="7"/>
  <c r="AP576" i="7"/>
  <c r="AP474" i="7"/>
  <c r="AP14" i="7"/>
  <c r="AP801" i="7"/>
  <c r="AP184" i="7"/>
  <c r="AP346" i="7"/>
  <c r="AP428" i="7"/>
  <c r="AP73" i="7"/>
  <c r="AP663" i="7"/>
  <c r="AP386" i="7"/>
  <c r="AP319" i="7"/>
  <c r="AP15" i="7"/>
  <c r="AP644" i="7"/>
  <c r="AP524" i="7"/>
  <c r="AP367" i="7"/>
  <c r="AP836" i="7"/>
  <c r="AP150" i="7"/>
  <c r="AP710" i="7"/>
  <c r="AP718" i="7"/>
  <c r="AP580" i="7"/>
  <c r="AP316" i="7"/>
  <c r="AP802" i="7"/>
  <c r="AP401" i="7"/>
  <c r="AP764" i="7"/>
  <c r="AP85" i="7"/>
  <c r="AP597" i="7"/>
  <c r="AP277" i="7"/>
  <c r="AP88" i="7"/>
  <c r="AP332" i="7"/>
  <c r="AP575" i="7"/>
  <c r="AP677" i="7"/>
  <c r="AP619" i="7"/>
  <c r="AP137" i="7"/>
  <c r="BI124" i="7"/>
  <c r="BI686" i="7"/>
  <c r="BI371" i="7"/>
  <c r="BI385" i="7"/>
  <c r="BI597" i="7"/>
  <c r="BI809" i="7"/>
  <c r="BI72" i="7"/>
  <c r="BI114" i="7"/>
  <c r="BI721" i="7"/>
  <c r="BI491" i="7"/>
  <c r="BI25" i="7"/>
  <c r="BI403" i="7"/>
  <c r="BI230" i="7"/>
  <c r="BI609" i="7"/>
  <c r="BI90" i="7"/>
  <c r="BI777" i="7"/>
  <c r="BI249" i="7"/>
  <c r="BI86" i="7"/>
  <c r="BI687" i="7"/>
  <c r="BI294" i="7"/>
  <c r="BI319" i="7"/>
  <c r="BI125" i="7"/>
  <c r="BI569" i="7"/>
  <c r="BI592" i="7"/>
  <c r="BI855" i="7"/>
  <c r="BI827" i="7"/>
  <c r="BI715" i="7"/>
  <c r="BI200" i="7"/>
  <c r="BI449" i="7"/>
  <c r="BI439" i="7"/>
  <c r="BI584" i="7"/>
  <c r="BI784" i="7"/>
  <c r="Q363" i="7"/>
  <c r="BL363" i="7" s="1"/>
  <c r="Q252" i="7"/>
  <c r="BL252" i="7" s="1"/>
  <c r="Q143" i="7"/>
  <c r="BL143" i="7" s="1"/>
  <c r="Q12" i="7"/>
  <c r="BL12" i="7" s="1"/>
  <c r="Q499" i="7"/>
  <c r="BL499" i="7" s="1"/>
  <c r="Q742" i="7"/>
  <c r="BL742" i="7" s="1"/>
  <c r="Q673" i="7"/>
  <c r="BL673" i="7" s="1"/>
  <c r="Q511" i="7"/>
  <c r="BL511" i="7" s="1"/>
  <c r="Q345" i="7"/>
  <c r="BL345" i="7" s="1"/>
  <c r="Q699" i="7"/>
  <c r="BL699" i="7" s="1"/>
  <c r="Q856" i="7"/>
  <c r="BL856" i="7" s="1"/>
  <c r="Q597" i="7"/>
  <c r="BL597" i="7" s="1"/>
  <c r="Q784" i="7"/>
  <c r="BL784" i="7" s="1"/>
  <c r="Q393" i="7"/>
  <c r="BL393" i="7" s="1"/>
  <c r="Q242" i="7"/>
  <c r="BL242" i="7" s="1"/>
  <c r="Q449" i="7"/>
  <c r="BL449" i="7" s="1"/>
  <c r="Q527" i="7"/>
  <c r="BL527" i="7" s="1"/>
  <c r="Q84" i="7"/>
  <c r="BL84" i="7" s="1"/>
  <c r="Q822" i="7"/>
  <c r="BL822" i="7" s="1"/>
  <c r="Q309" i="7"/>
  <c r="BL309" i="7" s="1"/>
  <c r="Q344" i="7"/>
  <c r="BL344" i="7" s="1"/>
  <c r="Q133" i="7"/>
  <c r="BL133" i="7" s="1"/>
  <c r="Q730" i="7"/>
  <c r="BL730" i="7" s="1"/>
  <c r="Q770" i="7"/>
  <c r="BL770" i="7" s="1"/>
  <c r="Q240" i="7"/>
  <c r="BL240" i="7" s="1"/>
  <c r="Q97" i="7"/>
  <c r="BL97" i="7" s="1"/>
  <c r="Q725" i="7"/>
  <c r="BL725" i="7" s="1"/>
  <c r="Q107" i="7"/>
  <c r="BL107" i="7" s="1"/>
  <c r="Q574" i="7"/>
  <c r="BL574" i="7" s="1"/>
  <c r="Q487" i="7"/>
  <c r="BL487" i="7" s="1"/>
  <c r="Q707" i="7"/>
  <c r="BL707" i="7" s="1"/>
  <c r="Q583" i="7"/>
  <c r="BL583" i="7" s="1"/>
  <c r="Q32" i="7"/>
  <c r="BL32" i="7" s="1"/>
  <c r="Q310" i="7"/>
  <c r="BL310" i="7" s="1"/>
  <c r="Q570" i="7"/>
  <c r="BL570" i="7" s="1"/>
  <c r="Q193" i="7"/>
  <c r="BL193" i="7" s="1"/>
  <c r="Q812" i="7"/>
  <c r="BL812" i="7" s="1"/>
  <c r="Q774" i="7"/>
  <c r="BL774" i="7" s="1"/>
  <c r="Q422" i="7"/>
  <c r="BL422" i="7" s="1"/>
  <c r="Q190" i="7"/>
  <c r="BL190" i="7" s="1"/>
  <c r="Q68" i="7"/>
  <c r="BL68" i="7" s="1"/>
  <c r="Q867" i="7"/>
  <c r="BL867" i="7" s="1"/>
  <c r="Q737" i="7"/>
  <c r="BL737" i="7" s="1"/>
  <c r="Q320" i="7"/>
  <c r="BL320" i="7" s="1"/>
  <c r="Q11" i="7"/>
  <c r="BL11" i="7" s="1"/>
  <c r="Q311" i="7"/>
  <c r="BL311" i="7" s="1"/>
  <c r="Q149" i="7"/>
  <c r="BL149" i="7" s="1"/>
  <c r="Q87" i="7"/>
  <c r="BL87" i="7" s="1"/>
  <c r="Q159" i="7"/>
  <c r="BL159" i="7" s="1"/>
  <c r="Q578" i="7"/>
  <c r="BL578" i="7" s="1"/>
  <c r="Q642" i="7"/>
  <c r="BL642" i="7" s="1"/>
  <c r="Q682" i="7"/>
  <c r="BL682" i="7" s="1"/>
  <c r="Q826" i="7"/>
  <c r="BL826" i="7" s="1"/>
  <c r="Q695" i="7"/>
  <c r="BL695" i="7" s="1"/>
  <c r="Q289" i="7"/>
  <c r="BL289" i="7" s="1"/>
  <c r="Q464" i="7"/>
  <c r="BL464" i="7" s="1"/>
  <c r="Q473" i="7"/>
  <c r="BL473" i="7" s="1"/>
  <c r="Q724" i="7"/>
  <c r="BL724" i="7" s="1"/>
  <c r="Q359" i="7"/>
  <c r="BL359" i="7" s="1"/>
  <c r="Q484" i="7"/>
  <c r="BL484" i="7" s="1"/>
  <c r="Q610" i="7"/>
  <c r="BL610" i="7" s="1"/>
  <c r="Q727" i="7"/>
  <c r="BL727" i="7" s="1"/>
  <c r="Q76" i="7"/>
  <c r="BL76" i="7" s="1"/>
  <c r="Q777" i="7"/>
  <c r="BL777" i="7" s="1"/>
  <c r="Q863" i="7"/>
  <c r="BL863" i="7" s="1"/>
  <c r="Q381" i="7"/>
  <c r="BL381" i="7" s="1"/>
  <c r="Q151" i="7"/>
  <c r="BL151" i="7" s="1"/>
  <c r="Q38" i="7"/>
  <c r="BL38" i="7" s="1"/>
  <c r="Q287" i="7"/>
  <c r="BL287" i="7" s="1"/>
  <c r="Q333" i="7"/>
  <c r="BL333" i="7" s="1"/>
  <c r="Q506" i="7"/>
  <c r="BL506" i="7" s="1"/>
  <c r="Q513" i="7"/>
  <c r="BL513" i="7" s="1"/>
  <c r="Q122" i="7"/>
  <c r="BL122" i="7" s="1"/>
  <c r="Q798" i="7"/>
  <c r="BL798" i="7" s="1"/>
  <c r="Q706" i="7"/>
  <c r="BL706" i="7" s="1"/>
  <c r="Q128" i="7"/>
  <c r="BL128" i="7" s="1"/>
  <c r="Q295" i="7"/>
  <c r="BL295" i="7" s="1"/>
  <c r="Q196" i="7"/>
  <c r="BL196" i="7" s="1"/>
  <c r="Q763" i="7"/>
  <c r="BL763" i="7" s="1"/>
  <c r="Q80" i="7"/>
  <c r="BL80" i="7" s="1"/>
  <c r="Q26" i="7"/>
  <c r="BL26" i="7" s="1"/>
  <c r="Q174" i="7"/>
  <c r="BL174" i="7" s="1"/>
  <c r="Q241" i="7"/>
  <c r="BL241" i="7" s="1"/>
  <c r="Q764" i="7"/>
  <c r="BL764" i="7" s="1"/>
  <c r="Q772" i="7"/>
  <c r="BL772" i="7" s="1"/>
  <c r="Q255" i="7"/>
  <c r="BL255" i="7" s="1"/>
  <c r="Q736" i="7"/>
  <c r="BL736" i="7" s="1"/>
  <c r="Q210" i="7"/>
  <c r="BL210" i="7" s="1"/>
  <c r="Q773" i="7"/>
  <c r="BL773" i="7" s="1"/>
  <c r="Q667" i="7"/>
  <c r="BL667" i="7" s="1"/>
  <c r="Q758" i="7"/>
  <c r="BL758" i="7" s="1"/>
  <c r="Q868" i="7"/>
  <c r="BL868" i="7" s="1"/>
  <c r="Q565" i="7"/>
  <c r="BL565" i="7" s="1"/>
  <c r="Q21" i="7"/>
  <c r="BL21" i="7" s="1"/>
  <c r="Q90" i="7"/>
  <c r="BL90" i="7" s="1"/>
  <c r="Q67" i="7"/>
  <c r="BL67" i="7" s="1"/>
  <c r="Q559" i="7"/>
  <c r="BL559" i="7" s="1"/>
  <c r="Q479" i="7"/>
  <c r="BL479" i="7" s="1"/>
  <c r="Q630" i="7"/>
  <c r="BL630" i="7" s="1"/>
  <c r="Q482" i="7"/>
  <c r="BL482" i="7" s="1"/>
  <c r="Q746" i="7"/>
  <c r="BL746" i="7" s="1"/>
  <c r="Q660" i="7"/>
  <c r="BL660" i="7" s="1"/>
  <c r="Q844" i="7"/>
  <c r="BL844" i="7" s="1"/>
  <c r="Q92" i="7"/>
  <c r="BL92" i="7" s="1"/>
  <c r="Q531" i="7"/>
  <c r="BL531" i="7" s="1"/>
  <c r="Q338" i="7"/>
  <c r="BL338" i="7" s="1"/>
  <c r="Q290" i="7"/>
  <c r="BL290" i="7" s="1"/>
  <c r="Q870" i="7"/>
  <c r="BL870" i="7" s="1"/>
  <c r="Q828" i="7"/>
  <c r="BL828" i="7" s="1"/>
  <c r="Q417" i="7"/>
  <c r="BL417" i="7" s="1"/>
  <c r="Q755" i="7"/>
  <c r="BL755" i="7" s="1"/>
  <c r="Q79" i="7"/>
  <c r="BL79" i="7" s="1"/>
  <c r="Q852" i="7"/>
  <c r="BL852" i="7" s="1"/>
  <c r="Q508" i="7"/>
  <c r="BL508" i="7" s="1"/>
  <c r="Q715" i="7"/>
  <c r="BL715" i="7" s="1"/>
  <c r="Q540" i="7"/>
  <c r="BL540" i="7" s="1"/>
  <c r="Q461" i="7"/>
  <c r="BL461" i="7" s="1"/>
  <c r="Q402" i="7"/>
  <c r="BL402" i="7" s="1"/>
  <c r="Q690" i="7"/>
  <c r="BL690" i="7" s="1"/>
  <c r="Q733" i="7"/>
  <c r="BL733" i="7" s="1"/>
  <c r="Q588" i="7"/>
  <c r="BL588" i="7" s="1"/>
  <c r="Q577" i="7"/>
  <c r="BL577" i="7" s="1"/>
  <c r="Q282" i="7"/>
  <c r="BL282" i="7" s="1"/>
  <c r="Q343" i="7"/>
  <c r="BL343" i="7" s="1"/>
  <c r="Q105" i="7"/>
  <c r="BL105" i="7" s="1"/>
  <c r="Q152" i="7"/>
  <c r="BL152" i="7" s="1"/>
  <c r="Q275" i="7"/>
  <c r="BL275" i="7" s="1"/>
  <c r="Q118" i="7"/>
  <c r="BL118" i="7" s="1"/>
  <c r="Q832" i="7"/>
  <c r="BL832" i="7" s="1"/>
  <c r="Q140" i="7"/>
  <c r="BL140" i="7" s="1"/>
  <c r="Q622" i="7"/>
  <c r="BL622" i="7" s="1"/>
  <c r="Q89" i="7"/>
  <c r="BL89" i="7" s="1"/>
  <c r="Q579" i="7"/>
  <c r="BL579" i="7" s="1"/>
  <c r="Q182" i="7"/>
  <c r="BL182" i="7" s="1"/>
  <c r="Q432" i="7"/>
  <c r="BL432" i="7" s="1"/>
  <c r="Q545" i="7"/>
  <c r="BL545" i="7" s="1"/>
  <c r="Q702" i="7"/>
  <c r="BL702" i="7" s="1"/>
  <c r="Q708" i="7"/>
  <c r="BL708" i="7" s="1"/>
  <c r="Q775" i="7"/>
  <c r="BL775" i="7" s="1"/>
  <c r="Q539" i="7"/>
  <c r="BL539" i="7" s="1"/>
  <c r="Q661" i="7"/>
  <c r="BL661" i="7" s="1"/>
  <c r="Q195" i="7"/>
  <c r="BL195" i="7" s="1"/>
  <c r="Q762" i="7"/>
  <c r="BL762" i="7" s="1"/>
  <c r="Q561" i="7"/>
  <c r="BL561" i="7" s="1"/>
  <c r="Q262" i="7"/>
  <c r="BL262" i="7" s="1"/>
  <c r="Q160" i="7"/>
  <c r="BL160" i="7" s="1"/>
  <c r="Q83" i="7"/>
  <c r="BL83" i="7" s="1"/>
  <c r="Q637" i="7"/>
  <c r="BL637" i="7" s="1"/>
  <c r="Q350" i="7"/>
  <c r="BL350" i="7" s="1"/>
  <c r="Q830" i="7"/>
  <c r="BL830" i="7" s="1"/>
  <c r="Q226" i="7"/>
  <c r="BL226" i="7" s="1"/>
  <c r="Q138" i="7"/>
  <c r="BL138" i="7" s="1"/>
  <c r="Q425" i="7"/>
  <c r="BL425" i="7" s="1"/>
  <c r="Q548" i="7"/>
  <c r="BL548" i="7" s="1"/>
  <c r="Q817" i="7"/>
  <c r="BL817" i="7" s="1"/>
  <c r="Q162" i="7"/>
  <c r="BL162" i="7" s="1"/>
  <c r="Q787" i="7"/>
  <c r="BL787" i="7" s="1"/>
  <c r="Q853" i="7"/>
  <c r="BL853" i="7" s="1"/>
  <c r="Q665" i="7"/>
  <c r="BL665" i="7" s="1"/>
  <c r="Q377" i="7"/>
  <c r="BL377" i="7" s="1"/>
  <c r="Q203" i="7"/>
  <c r="BL203" i="7" s="1"/>
  <c r="Q820" i="7"/>
  <c r="BL820" i="7" s="1"/>
  <c r="Q443" i="7"/>
  <c r="BL443" i="7" s="1"/>
  <c r="Q452" i="7"/>
  <c r="BL452" i="7" s="1"/>
  <c r="Q370" i="7"/>
  <c r="BL370" i="7" s="1"/>
  <c r="Q614" i="7"/>
  <c r="BL614" i="7" s="1"/>
  <c r="Q800" i="7"/>
  <c r="BL800" i="7" s="1"/>
  <c r="Q391" i="7"/>
  <c r="BL391" i="7" s="1"/>
  <c r="Q676" i="7"/>
  <c r="BL676" i="7" s="1"/>
  <c r="Q704" i="7"/>
  <c r="BL704" i="7" s="1"/>
  <c r="Q85" i="7"/>
  <c r="BL85" i="7" s="1"/>
  <c r="Q371" i="7"/>
  <c r="BL371" i="7" s="1"/>
  <c r="Q631" i="7"/>
  <c r="BL631" i="7" s="1"/>
  <c r="Q686" i="7"/>
  <c r="BL686" i="7" s="1"/>
  <c r="Q404" i="7"/>
  <c r="BL404" i="7" s="1"/>
  <c r="Q144" i="7"/>
  <c r="BL144" i="7" s="1"/>
  <c r="Q747" i="7"/>
  <c r="BL747" i="7" s="1"/>
  <c r="Q567" i="7"/>
  <c r="BL567" i="7" s="1"/>
  <c r="Q536" i="7"/>
  <c r="BL536" i="7" s="1"/>
  <c r="Q58" i="7"/>
  <c r="BL58" i="7" s="1"/>
  <c r="Q848" i="7"/>
  <c r="BL848" i="7" s="1"/>
  <c r="Q485" i="7"/>
  <c r="BL485" i="7" s="1"/>
  <c r="Q541" i="7"/>
  <c r="BL541" i="7" s="1"/>
  <c r="Q522" i="7"/>
  <c r="BL522" i="7" s="1"/>
  <c r="BM522" i="7" s="1"/>
  <c r="Q332" i="7"/>
  <c r="BL332" i="7" s="1"/>
  <c r="Q575" i="7"/>
  <c r="BL575" i="7" s="1"/>
  <c r="Q469" i="7"/>
  <c r="BL469" i="7" s="1"/>
  <c r="Q568" i="7"/>
  <c r="BL568" i="7" s="1"/>
  <c r="Q550" i="7"/>
  <c r="BL550" i="7" s="1"/>
  <c r="Q688" i="7"/>
  <c r="BL688" i="7" s="1"/>
  <c r="Q604" i="7"/>
  <c r="BL604" i="7" s="1"/>
  <c r="Q430" i="7"/>
  <c r="BL430" i="7" s="1"/>
  <c r="Q146" i="7"/>
  <c r="BL146" i="7" s="1"/>
  <c r="Q64" i="7"/>
  <c r="BL64" i="7" s="1"/>
  <c r="Q147" i="7"/>
  <c r="BL147" i="7" s="1"/>
  <c r="Q598" i="7"/>
  <c r="BL598" i="7" s="1"/>
  <c r="Q20" i="7"/>
  <c r="BL20" i="7" s="1"/>
  <c r="Q552" i="7"/>
  <c r="BL552" i="7" s="1"/>
  <c r="Q474" i="7"/>
  <c r="BL474" i="7" s="1"/>
  <c r="Q767" i="7"/>
  <c r="BL767" i="7" s="1"/>
  <c r="Q409" i="7"/>
  <c r="BL409" i="7" s="1"/>
  <c r="Q436" i="7"/>
  <c r="BL436" i="7" s="1"/>
  <c r="Q696" i="7"/>
  <c r="BL696" i="7" s="1"/>
  <c r="Q24" i="7"/>
  <c r="BL24" i="7" s="1"/>
  <c r="Q285" i="7"/>
  <c r="BL285" i="7" s="1"/>
  <c r="Q470" i="7"/>
  <c r="BL470" i="7" s="1"/>
  <c r="Q194" i="7"/>
  <c r="BL194" i="7" s="1"/>
  <c r="Q57" i="7"/>
  <c r="BL57" i="7" s="1"/>
  <c r="Q14" i="7"/>
  <c r="BL14" i="7" s="1"/>
  <c r="Q546" i="7"/>
  <c r="BL546" i="7" s="1"/>
  <c r="Q61" i="7"/>
  <c r="BL61" i="7" s="1"/>
  <c r="Q629" i="7"/>
  <c r="BL629" i="7" s="1"/>
  <c r="Q791" i="7"/>
  <c r="BL791" i="7" s="1"/>
  <c r="Q375" i="7"/>
  <c r="BL375" i="7" s="1"/>
  <c r="Q813" i="7"/>
  <c r="BL813" i="7" s="1"/>
  <c r="Q244" i="7"/>
  <c r="BL244" i="7" s="1"/>
  <c r="Q526" i="7"/>
  <c r="BL526" i="7" s="1"/>
  <c r="Q403" i="7"/>
  <c r="BL403" i="7" s="1"/>
  <c r="Q158" i="7"/>
  <c r="BL158" i="7" s="1"/>
  <c r="Q280" i="7"/>
  <c r="BL280" i="7" s="1"/>
  <c r="Q833" i="7"/>
  <c r="BL833" i="7" s="1"/>
  <c r="Q609" i="7"/>
  <c r="BL609" i="7" s="1"/>
  <c r="Q191" i="7"/>
  <c r="BL191" i="7" s="1"/>
  <c r="Q354" i="7"/>
  <c r="BL354" i="7" s="1"/>
  <c r="Q297" i="7"/>
  <c r="BL297" i="7" s="1"/>
  <c r="Q592" i="7"/>
  <c r="BL592" i="7" s="1"/>
  <c r="Q110" i="7"/>
  <c r="BL110" i="7" s="1"/>
  <c r="Q236" i="7"/>
  <c r="BL236" i="7" s="1"/>
  <c r="Q9" i="7"/>
  <c r="BL9" i="7" s="1"/>
  <c r="Q272" i="7"/>
  <c r="BL272" i="7" s="1"/>
  <c r="Q839" i="7"/>
  <c r="BL839" i="7" s="1"/>
  <c r="Q466" i="7"/>
  <c r="BL466" i="7" s="1"/>
  <c r="Q558" i="7"/>
  <c r="BL558" i="7" s="1"/>
  <c r="Q261" i="7"/>
  <c r="BL261" i="7" s="1"/>
  <c r="Q303" i="7"/>
  <c r="BL303" i="7" s="1"/>
  <c r="Q569" i="7"/>
  <c r="BL569" i="7" s="1"/>
  <c r="Q782" i="7"/>
  <c r="BL782" i="7" s="1"/>
  <c r="Q181" i="7"/>
  <c r="BL181" i="7" s="1"/>
  <c r="Q703" i="7"/>
  <c r="BL703" i="7" s="1"/>
  <c r="Q563" i="7"/>
  <c r="BL563" i="7" s="1"/>
  <c r="Q681" i="7"/>
  <c r="BL681" i="7" s="1"/>
  <c r="Q679" i="7"/>
  <c r="BL679" i="7" s="1"/>
  <c r="Q366" i="7"/>
  <c r="BL366" i="7" s="1"/>
  <c r="Q765" i="7"/>
  <c r="BL765" i="7" s="1"/>
  <c r="Q103" i="7"/>
  <c r="BL103" i="7" s="1"/>
  <c r="Q148" i="7"/>
  <c r="BL148" i="7" s="1"/>
  <c r="Q98" i="7"/>
  <c r="BL98" i="7" s="1"/>
  <c r="Q29" i="7"/>
  <c r="BL29" i="7" s="1"/>
  <c r="Q423" i="7"/>
  <c r="BL423" i="7" s="1"/>
  <c r="Q330" i="7"/>
  <c r="BL330" i="7" s="1"/>
  <c r="Q716" i="7"/>
  <c r="BL716" i="7" s="1"/>
  <c r="Q687" i="7"/>
  <c r="BL687" i="7" s="1"/>
  <c r="Q249" i="7"/>
  <c r="BL249" i="7" s="1"/>
  <c r="Q454" i="7"/>
  <c r="BL454" i="7" s="1"/>
  <c r="Q789" i="7"/>
  <c r="BL789" i="7" s="1"/>
  <c r="Q761" i="7"/>
  <c r="BL761" i="7" s="1"/>
  <c r="Q135" i="7"/>
  <c r="BL135" i="7" s="1"/>
  <c r="Q329" i="7"/>
  <c r="BL329" i="7" s="1"/>
  <c r="Q585" i="7"/>
  <c r="BL585" i="7" s="1"/>
  <c r="Q277" i="7"/>
  <c r="BL277" i="7" s="1"/>
  <c r="Q349" i="7"/>
  <c r="BL349" i="7" s="1"/>
  <c r="Q51" i="7"/>
  <c r="BL51" i="7" s="1"/>
  <c r="Q268" i="7"/>
  <c r="BL268" i="7" s="1"/>
  <c r="Q602" i="7"/>
  <c r="BL602" i="7" s="1"/>
  <c r="Q521" i="7"/>
  <c r="BL521" i="7" s="1"/>
  <c r="Q434" i="7"/>
  <c r="BL434" i="7" s="1"/>
  <c r="Q760" i="7"/>
  <c r="BL760" i="7" s="1"/>
  <c r="Q726" i="7"/>
  <c r="BL726" i="7" s="1"/>
  <c r="Q587" i="7"/>
  <c r="BL587" i="7" s="1"/>
  <c r="Q56" i="7"/>
  <c r="BL56" i="7" s="1"/>
  <c r="Q685" i="7"/>
  <c r="BL685" i="7" s="1"/>
  <c r="Q331" i="7"/>
  <c r="BL331" i="7" s="1"/>
  <c r="Q799" i="7"/>
  <c r="BL799" i="7" s="1"/>
  <c r="Q273" i="7"/>
  <c r="BL273" i="7" s="1"/>
  <c r="Q503" i="7"/>
  <c r="BL503" i="7" s="1"/>
  <c r="Q680" i="7"/>
  <c r="BL680" i="7" s="1"/>
  <c r="Q108" i="7"/>
  <c r="BL108" i="7" s="1"/>
  <c r="Q653" i="7"/>
  <c r="BL653" i="7" s="1"/>
  <c r="Q719" i="7"/>
  <c r="BL719" i="7" s="1"/>
  <c r="Q202" i="7"/>
  <c r="BL202" i="7" s="1"/>
  <c r="Q647" i="7"/>
  <c r="BL647" i="7" s="1"/>
  <c r="Q714" i="7"/>
  <c r="BL714" i="7" s="1"/>
  <c r="Q533" i="7"/>
  <c r="BL533" i="7" s="1"/>
  <c r="Q510" i="7"/>
  <c r="BL510" i="7" s="1"/>
  <c r="Q183" i="7"/>
  <c r="BL183" i="7" s="1"/>
  <c r="Q437" i="7"/>
  <c r="BL437" i="7" s="1"/>
  <c r="Q838" i="7"/>
  <c r="BL838" i="7" s="1"/>
  <c r="Q705" i="7"/>
  <c r="BL705" i="7" s="1"/>
  <c r="Q549" i="7"/>
  <c r="BL549" i="7" s="1"/>
  <c r="Q342" i="7"/>
  <c r="BL342" i="7" s="1"/>
  <c r="Q294" i="7"/>
  <c r="BL294" i="7" s="1"/>
  <c r="Q600" i="7"/>
  <c r="BL600" i="7" s="1"/>
  <c r="Q658" i="7"/>
  <c r="BL658" i="7" s="1"/>
  <c r="Q334" i="7"/>
  <c r="BL334" i="7" s="1"/>
  <c r="Q433" i="7"/>
  <c r="BL433" i="7" s="1"/>
  <c r="Q230" i="7"/>
  <c r="BL230" i="7" s="1"/>
  <c r="Q229" i="7"/>
  <c r="BL229" i="7" s="1"/>
  <c r="Q166" i="7"/>
  <c r="BL166" i="7" s="1"/>
  <c r="Q669" i="7"/>
  <c r="BL669" i="7" s="1"/>
  <c r="Q494" i="7"/>
  <c r="BL494" i="7" s="1"/>
  <c r="Q514" i="7"/>
  <c r="BL514" i="7" s="1"/>
  <c r="Q779" i="7"/>
  <c r="BL779" i="7" s="1"/>
  <c r="Q627" i="7"/>
  <c r="BL627" i="7" s="1"/>
  <c r="Q441" i="7"/>
  <c r="BL441" i="7" s="1"/>
  <c r="Q495" i="7"/>
  <c r="BL495" i="7" s="1"/>
  <c r="Q801" i="7"/>
  <c r="BL801" i="7" s="1"/>
  <c r="Q81" i="7"/>
  <c r="BL81" i="7" s="1"/>
  <c r="Q114" i="7"/>
  <c r="BL114" i="7" s="1"/>
  <c r="Q427" i="7"/>
  <c r="BL427" i="7" s="1"/>
  <c r="Q717" i="7"/>
  <c r="BL717" i="7" s="1"/>
  <c r="Q37" i="7"/>
  <c r="BL37" i="7" s="1"/>
  <c r="Q851" i="7"/>
  <c r="BL851" i="7" s="1"/>
  <c r="Q125" i="7"/>
  <c r="BL125" i="7" s="1"/>
  <c r="Q225" i="7"/>
  <c r="BL225" i="7" s="1"/>
  <c r="Q44" i="7"/>
  <c r="BL44" i="7" s="1"/>
  <c r="Q613" i="7"/>
  <c r="BL613" i="7" s="1"/>
  <c r="Q212" i="7"/>
  <c r="BL212" i="7" s="1"/>
  <c r="Q555" i="7"/>
  <c r="BL555" i="7" s="1"/>
  <c r="Q664" i="7"/>
  <c r="BL664" i="7" s="1"/>
  <c r="Q405" i="7"/>
  <c r="BL405" i="7" s="1"/>
  <c r="Q831" i="7"/>
  <c r="BL831" i="7" s="1"/>
  <c r="Q865" i="7"/>
  <c r="BL865" i="7" s="1"/>
  <c r="Q729" i="7"/>
  <c r="BL729" i="7" s="1"/>
  <c r="Q584" i="7"/>
  <c r="BL584" i="7" s="1"/>
  <c r="BM584" i="7" s="1"/>
  <c r="Q735" i="7"/>
  <c r="BL735" i="7" s="1"/>
  <c r="Q380" i="7"/>
  <c r="BL380" i="7" s="1"/>
  <c r="Q286" i="7"/>
  <c r="BL286" i="7" s="1"/>
  <c r="Q410" i="7"/>
  <c r="BL410" i="7" s="1"/>
  <c r="Q741" i="7"/>
  <c r="BL741" i="7" s="1"/>
  <c r="Q101" i="7"/>
  <c r="BL101" i="7" s="1"/>
  <c r="Q847" i="7"/>
  <c r="BL847" i="7" s="1"/>
  <c r="Q167" i="7"/>
  <c r="BL167" i="7" s="1"/>
  <c r="Q22" i="7"/>
  <c r="BL22" i="7" s="1"/>
  <c r="Q216" i="7"/>
  <c r="BL216" i="7" s="1"/>
  <c r="Q601" i="7"/>
  <c r="BL601" i="7" s="1"/>
  <c r="Q701" i="7"/>
  <c r="BL701" i="7" s="1"/>
  <c r="Q740" i="7"/>
  <c r="BL740" i="7" s="1"/>
  <c r="Q205" i="7"/>
  <c r="BL205" i="7" s="1"/>
  <c r="Q768" i="7"/>
  <c r="BL768" i="7" s="1"/>
  <c r="Q628" i="7"/>
  <c r="BL628" i="7" s="1"/>
  <c r="Q328" i="7"/>
  <c r="BL328" i="7" s="1"/>
  <c r="Q748" i="7"/>
  <c r="BL748" i="7" s="1"/>
  <c r="Q60" i="7"/>
  <c r="BL60" i="7" s="1"/>
  <c r="Q666" i="7"/>
  <c r="BL666" i="7" s="1"/>
  <c r="Q731" i="7"/>
  <c r="BL731" i="7" s="1"/>
  <c r="Q132" i="7"/>
  <c r="BL132" i="7" s="1"/>
  <c r="Q308" i="7"/>
  <c r="BL308" i="7" s="1"/>
  <c r="Q399" i="7"/>
  <c r="BL399" i="7" s="1"/>
  <c r="Q519" i="7"/>
  <c r="BL519" i="7" s="1"/>
  <c r="Q649" i="7"/>
  <c r="BL649" i="7" s="1"/>
  <c r="Q389" i="7"/>
  <c r="BL389" i="7" s="1"/>
  <c r="Q388" i="7"/>
  <c r="BL388" i="7" s="1"/>
  <c r="Q515" i="7"/>
  <c r="BL515" i="7" s="1"/>
  <c r="Q713" i="7"/>
  <c r="BL713" i="7" s="1"/>
  <c r="Q407" i="7"/>
  <c r="BL407" i="7" s="1"/>
  <c r="Q298" i="7"/>
  <c r="BL298" i="7" s="1"/>
  <c r="Q304" i="7"/>
  <c r="BL304" i="7" s="1"/>
  <c r="Q136" i="7"/>
  <c r="BL136" i="7" s="1"/>
  <c r="Q201" i="7"/>
  <c r="BL201" i="7" s="1"/>
  <c r="Q416" i="7"/>
  <c r="BL416" i="7" s="1"/>
  <c r="Q66" i="7"/>
  <c r="BL66" i="7" s="1"/>
  <c r="Q75" i="7"/>
  <c r="BL75" i="7" s="1"/>
  <c r="Q819" i="7"/>
  <c r="BL819" i="7" s="1"/>
  <c r="Q525" i="7"/>
  <c r="BL525" i="7" s="1"/>
  <c r="Q808" i="7"/>
  <c r="BL808" i="7" s="1"/>
  <c r="Q635" i="7"/>
  <c r="BL635" i="7" s="1"/>
  <c r="Q387" i="7"/>
  <c r="BL387" i="7" s="1"/>
  <c r="Q207" i="7"/>
  <c r="BL207" i="7" s="1"/>
  <c r="Q219" i="7"/>
  <c r="BL219" i="7" s="1"/>
  <c r="Q516" i="7"/>
  <c r="BL516" i="7" s="1"/>
  <c r="Q72" i="7"/>
  <c r="BL72" i="7" s="1"/>
  <c r="Q693" i="7"/>
  <c r="BL693" i="7" s="1"/>
  <c r="Q250" i="7"/>
  <c r="BL250" i="7" s="1"/>
  <c r="Q264" i="7"/>
  <c r="BL264" i="7" s="1"/>
  <c r="Q35" i="7"/>
  <c r="BL35" i="7" s="1"/>
  <c r="Q374" i="7"/>
  <c r="BL374" i="7" s="1"/>
  <c r="Q532" i="7"/>
  <c r="BL532" i="7" s="1"/>
  <c r="Q335" i="7"/>
  <c r="BL335" i="7" s="1"/>
  <c r="Q829" i="7"/>
  <c r="BL829" i="7" s="1"/>
  <c r="Q117" i="7"/>
  <c r="BL117" i="7" s="1"/>
  <c r="Q656" i="7"/>
  <c r="BL656" i="7" s="1"/>
  <c r="Q184" i="7"/>
  <c r="BL184" i="7" s="1"/>
  <c r="Q376" i="7"/>
  <c r="BL376" i="7" s="1"/>
  <c r="Q302" i="7"/>
  <c r="BL302" i="7" s="1"/>
  <c r="Q648" i="7"/>
  <c r="BL648" i="7" s="1"/>
  <c r="Q780" i="7"/>
  <c r="BL780" i="7" s="1"/>
  <c r="Q178" i="7"/>
  <c r="BL178" i="7" s="1"/>
  <c r="Q623" i="7"/>
  <c r="BL623" i="7" s="1"/>
  <c r="Q551" i="7"/>
  <c r="BL551" i="7" s="1"/>
  <c r="Q854" i="7"/>
  <c r="BL854" i="7" s="1"/>
  <c r="Q279" i="7"/>
  <c r="BL279" i="7" s="1"/>
  <c r="Q258" i="7"/>
  <c r="BL258" i="7" s="1"/>
  <c r="Q180" i="7"/>
  <c r="BL180" i="7" s="1"/>
  <c r="Q13" i="7"/>
  <c r="BL13" i="7" s="1"/>
  <c r="Q652" i="7"/>
  <c r="BL652" i="7" s="1"/>
  <c r="Q102" i="7"/>
  <c r="BL102" i="7" s="1"/>
  <c r="Q722" i="7"/>
  <c r="BL722" i="7" s="1"/>
  <c r="Q383" i="7"/>
  <c r="BL383" i="7" s="1"/>
  <c r="Q640" i="7"/>
  <c r="BL640" i="7" s="1"/>
  <c r="Q424" i="7"/>
  <c r="BL424" i="7" s="1"/>
  <c r="Q518" i="7"/>
  <c r="BL518" i="7" s="1"/>
  <c r="Q369" i="7"/>
  <c r="BL369" i="7" s="1"/>
  <c r="Q82" i="7"/>
  <c r="BL82" i="7" s="1"/>
  <c r="Q233" i="7"/>
  <c r="BL233" i="7" s="1"/>
  <c r="Q53" i="7"/>
  <c r="BL53" i="7" s="1"/>
  <c r="Q418" i="7"/>
  <c r="BL418" i="7" s="1"/>
  <c r="Q86" i="7"/>
  <c r="BL86" i="7" s="1"/>
  <c r="Q313" i="7"/>
  <c r="BL313" i="7" s="1"/>
  <c r="Q46" i="7"/>
  <c r="BL46" i="7" s="1"/>
  <c r="Q27" i="7"/>
  <c r="BL27" i="7" s="1"/>
  <c r="Q616" i="7"/>
  <c r="BL616" i="7" s="1"/>
  <c r="Q18" i="7"/>
  <c r="BL18" i="7" s="1"/>
  <c r="Q668" i="7"/>
  <c r="BL668" i="7" s="1"/>
  <c r="Q165" i="7"/>
  <c r="BL165" i="7" s="1"/>
  <c r="Q267" i="7"/>
  <c r="BL267" i="7" s="1"/>
  <c r="Q390" i="7"/>
  <c r="BL390" i="7" s="1"/>
  <c r="Q40" i="7"/>
  <c r="BL40" i="7" s="1"/>
  <c r="Q462" i="7"/>
  <c r="BL462" i="7" s="1"/>
  <c r="Q448" i="7"/>
  <c r="BL448" i="7" s="1"/>
  <c r="Q445" i="7"/>
  <c r="BL445" i="7" s="1"/>
  <c r="Q593" i="7"/>
  <c r="BL593" i="7" s="1"/>
  <c r="Q785" i="7"/>
  <c r="BL785" i="7" s="1"/>
  <c r="Q846" i="7"/>
  <c r="BL846" i="7" s="1"/>
  <c r="Q30" i="7"/>
  <c r="BL30" i="7" s="1"/>
  <c r="Q362" i="7"/>
  <c r="BL362" i="7" s="1"/>
  <c r="Q528" i="7"/>
  <c r="BL528" i="7" s="1"/>
  <c r="Q816" i="7"/>
  <c r="BL816" i="7" s="1"/>
  <c r="Q825" i="7"/>
  <c r="BL825" i="7" s="1"/>
  <c r="Q500" i="7"/>
  <c r="BL500" i="7" s="1"/>
  <c r="Q306" i="7"/>
  <c r="BL306" i="7" s="1"/>
  <c r="Q560" i="7"/>
  <c r="BL560" i="7" s="1"/>
  <c r="Q401" i="7"/>
  <c r="BL401" i="7" s="1"/>
  <c r="Q316" i="7"/>
  <c r="BL316" i="7" s="1"/>
  <c r="Q361" i="7"/>
  <c r="BL361" i="7" s="1"/>
  <c r="Q161" i="7"/>
  <c r="BL161" i="7" s="1"/>
  <c r="Q632" i="7"/>
  <c r="BL632" i="7" s="1"/>
  <c r="Q438" i="7"/>
  <c r="BL438" i="7" s="1"/>
  <c r="Q415" i="7"/>
  <c r="BL415" i="7" s="1"/>
  <c r="Q446" i="7"/>
  <c r="BL446" i="7" s="1"/>
  <c r="Q414" i="7"/>
  <c r="BL414" i="7" s="1"/>
  <c r="Q615" i="7"/>
  <c r="BL615" i="7" s="1"/>
  <c r="Q124" i="7"/>
  <c r="BL124" i="7" s="1"/>
  <c r="Q512" i="7"/>
  <c r="BL512" i="7" s="1"/>
  <c r="Q502" i="7"/>
  <c r="BL502" i="7" s="1"/>
  <c r="Q318" i="7"/>
  <c r="BL318" i="7" s="1"/>
  <c r="Q200" i="7"/>
  <c r="BL200" i="7" s="1"/>
  <c r="Q129" i="7"/>
  <c r="BL129" i="7" s="1"/>
  <c r="Q209" i="7"/>
  <c r="BL209" i="7" s="1"/>
  <c r="Q365" i="7"/>
  <c r="BL365" i="7" s="1"/>
  <c r="Q806" i="7"/>
  <c r="BL806" i="7" s="1"/>
  <c r="Q386" i="7"/>
  <c r="BL386" i="7" s="1"/>
  <c r="Q164" i="7"/>
  <c r="BL164" i="7" s="1"/>
  <c r="Q723" i="7"/>
  <c r="BL723" i="7" s="1"/>
  <c r="Q734" i="7"/>
  <c r="BL734" i="7" s="1"/>
  <c r="Q141" i="7"/>
  <c r="BL141" i="7" s="1"/>
  <c r="Q139" i="7"/>
  <c r="BL139" i="7" s="1"/>
  <c r="Q524" i="7"/>
  <c r="BL524" i="7" s="1"/>
  <c r="Q827" i="7"/>
  <c r="BL827" i="7" s="1"/>
  <c r="Q582" i="7"/>
  <c r="BL582" i="7" s="1"/>
  <c r="Q442" i="7"/>
  <c r="BL442" i="7" s="1"/>
  <c r="Q228" i="7"/>
  <c r="BL228" i="7" s="1"/>
  <c r="Q283" i="7"/>
  <c r="BL283" i="7" s="1"/>
  <c r="Q504" i="7"/>
  <c r="BL504" i="7" s="1"/>
  <c r="Q312" i="7"/>
  <c r="BL312" i="7" s="1"/>
  <c r="Q753" i="7"/>
  <c r="BL753" i="7" s="1"/>
  <c r="Q554" i="7"/>
  <c r="BL554" i="7" s="1"/>
  <c r="Q444" i="7"/>
  <c r="BL444" i="7" s="1"/>
  <c r="Q855" i="7"/>
  <c r="BL855" i="7" s="1"/>
  <c r="Q111" i="7"/>
  <c r="BL111" i="7" s="1"/>
  <c r="Q795" i="7"/>
  <c r="BL795" i="7" s="1"/>
  <c r="Q28" i="7"/>
  <c r="BL28" i="7" s="1"/>
  <c r="Q220" i="7"/>
  <c r="BL220" i="7" s="1"/>
  <c r="Q88" i="7"/>
  <c r="BL88" i="7" s="1"/>
  <c r="Q109" i="7"/>
  <c r="BL109" i="7" s="1"/>
  <c r="Q672" i="7"/>
  <c r="BL672" i="7" s="1"/>
  <c r="Q19" i="7"/>
  <c r="BL19" i="7" s="1"/>
  <c r="Q428" i="7"/>
  <c r="BL428" i="7" s="1"/>
  <c r="Q73" i="7"/>
  <c r="BL73" i="7" s="1"/>
  <c r="Q663" i="7"/>
  <c r="BL663" i="7" s="1"/>
  <c r="Q17" i="7"/>
  <c r="BL17" i="7" s="1"/>
  <c r="Q544" i="7"/>
  <c r="BL544" i="7" s="1"/>
  <c r="Q356" i="7"/>
  <c r="BL356" i="7" s="1"/>
  <c r="Q864" i="7"/>
  <c r="BL864" i="7" s="1"/>
  <c r="Q173" i="7"/>
  <c r="BL173" i="7" s="1"/>
  <c r="Q501" i="7"/>
  <c r="BL501" i="7" s="1"/>
  <c r="Q292" i="7"/>
  <c r="BL292" i="7" s="1"/>
  <c r="Q571" i="7"/>
  <c r="BL571" i="7" s="1"/>
  <c r="Q186" i="7"/>
  <c r="BL186" i="7" s="1"/>
  <c r="Q70" i="7"/>
  <c r="BL70" i="7" s="1"/>
  <c r="Q497" i="7"/>
  <c r="BL497" i="7" s="1"/>
  <c r="Q411" i="7"/>
  <c r="BL411" i="7" s="1"/>
  <c r="Q823" i="7"/>
  <c r="BL823" i="7" s="1"/>
  <c r="Q619" i="7"/>
  <c r="BL619" i="7" s="1"/>
  <c r="Q367" i="7"/>
  <c r="BL367" i="7" s="1"/>
  <c r="Q168" i="7"/>
  <c r="BL168" i="7" s="1"/>
  <c r="Q643" i="7"/>
  <c r="BL643" i="7" s="1"/>
  <c r="Q834" i="7"/>
  <c r="BL834" i="7" s="1"/>
  <c r="Q419" i="7"/>
  <c r="BL419" i="7" s="1"/>
  <c r="Q435" i="7"/>
  <c r="BL435" i="7" s="1"/>
  <c r="Q293" i="7"/>
  <c r="BL293" i="7" s="1"/>
  <c r="Q670" i="7"/>
  <c r="BL670" i="7" s="1"/>
  <c r="Q564" i="7"/>
  <c r="BL564" i="7" s="1"/>
  <c r="Q507" i="7"/>
  <c r="BL507" i="7" s="1"/>
  <c r="Q645" i="7"/>
  <c r="BL645" i="7" s="1"/>
  <c r="Q351" i="7"/>
  <c r="BL351" i="7" s="1"/>
  <c r="Q790" i="7"/>
  <c r="BL790" i="7" s="1"/>
  <c r="Q858" i="7"/>
  <c r="BL858" i="7" s="1"/>
  <c r="Q744" i="7"/>
  <c r="BL744" i="7" s="1"/>
  <c r="Q385" i="7"/>
  <c r="BL385" i="7" s="1"/>
  <c r="Q749" i="7"/>
  <c r="BL749" i="7" s="1"/>
  <c r="Q346" i="7"/>
  <c r="BL346" i="7" s="1"/>
  <c r="Q465" i="7"/>
  <c r="BL465" i="7" s="1"/>
  <c r="Q759" i="7"/>
  <c r="BL759" i="7" s="1"/>
  <c r="Q154" i="7"/>
  <c r="BL154" i="7" s="1"/>
  <c r="Q698" i="7"/>
  <c r="BL698" i="7" s="1"/>
  <c r="Q621" i="7"/>
  <c r="BL621" i="7" s="1"/>
  <c r="Q325" i="7"/>
  <c r="BL325" i="7" s="1"/>
  <c r="Q778" i="7"/>
  <c r="BL778" i="7" s="1"/>
  <c r="Q397" i="7"/>
  <c r="BL397" i="7" s="1"/>
  <c r="Q657" i="7"/>
  <c r="BL657" i="7" s="1"/>
  <c r="Q340" i="7"/>
  <c r="BL340" i="7" s="1"/>
  <c r="Q605" i="7"/>
  <c r="BL605" i="7" s="1"/>
  <c r="Q618" i="7"/>
  <c r="BL618" i="7" s="1"/>
  <c r="Q100" i="7"/>
  <c r="BL100" i="7" s="1"/>
  <c r="Q323" i="7"/>
  <c r="BL323" i="7" s="1"/>
  <c r="Q542" i="7"/>
  <c r="BL542" i="7" s="1"/>
  <c r="Q721" i="7"/>
  <c r="BL721" i="7" s="1"/>
  <c r="Q259" i="7"/>
  <c r="BL259" i="7" s="1"/>
  <c r="Q796" i="7"/>
  <c r="BL796" i="7" s="1"/>
  <c r="Q263" i="7"/>
  <c r="BL263" i="7" s="1"/>
  <c r="Q757" i="7"/>
  <c r="BL757" i="7" s="1"/>
  <c r="Q137" i="7"/>
  <c r="BL137" i="7" s="1"/>
  <c r="Q459" i="7"/>
  <c r="BL459" i="7" s="1"/>
  <c r="Q677" i="7"/>
  <c r="BL677" i="7" s="1"/>
  <c r="Q208" i="7"/>
  <c r="BL208" i="7" s="1"/>
  <c r="Q857" i="7"/>
  <c r="BL857" i="7" s="1"/>
  <c r="Q439" i="7"/>
  <c r="BL439" i="7" s="1"/>
  <c r="Q440" i="7"/>
  <c r="BL440" i="7" s="1"/>
  <c r="Q15" i="7"/>
  <c r="BL15" i="7" s="1"/>
  <c r="Q115" i="7"/>
  <c r="BL115" i="7" s="1"/>
  <c r="Q754" i="7"/>
  <c r="BL754" i="7" s="1"/>
  <c r="Q586" i="7"/>
  <c r="BL586" i="7" s="1"/>
  <c r="Q472" i="7"/>
  <c r="BL472" i="7" s="1"/>
  <c r="Q291" i="7"/>
  <c r="BL291" i="7" s="1"/>
  <c r="Q74" i="7"/>
  <c r="BL74" i="7" s="1"/>
  <c r="Q606" i="7"/>
  <c r="BL606" i="7" s="1"/>
  <c r="Q364" i="7"/>
  <c r="BL364" i="7" s="1"/>
  <c r="Q718" i="7"/>
  <c r="BL718" i="7" s="1"/>
  <c r="Q580" i="7"/>
  <c r="BL580" i="7" s="1"/>
  <c r="Q237" i="7"/>
  <c r="BL237" i="7" s="1"/>
  <c r="Q496" i="7"/>
  <c r="BL496" i="7" s="1"/>
  <c r="Q607" i="7"/>
  <c r="BL607" i="7" s="1"/>
  <c r="Q573" i="7"/>
  <c r="BL573" i="7" s="1"/>
  <c r="Q824" i="7"/>
  <c r="BL824" i="7" s="1"/>
  <c r="Q400" i="7"/>
  <c r="BL400" i="7" s="1"/>
  <c r="Q771" i="7"/>
  <c r="BL771" i="7" s="1"/>
  <c r="Q127" i="7"/>
  <c r="BL127" i="7" s="1"/>
  <c r="Q451" i="7"/>
  <c r="BL451" i="7" s="1"/>
  <c r="Q150" i="7"/>
  <c r="BL150" i="7" s="1"/>
  <c r="Q169" i="7"/>
  <c r="BL169" i="7" s="1"/>
  <c r="Q322" i="7"/>
  <c r="BL322" i="7" s="1"/>
  <c r="Q25" i="7"/>
  <c r="BL25" i="7" s="1"/>
  <c r="Q802" i="7"/>
  <c r="BL802" i="7" s="1"/>
  <c r="Q634" i="7"/>
  <c r="BL634" i="7" s="1"/>
  <c r="Q256" i="7"/>
  <c r="BL256" i="7" s="1"/>
  <c r="Q509" i="7"/>
  <c r="BL509" i="7" s="1"/>
  <c r="Q547" i="7"/>
  <c r="BL547" i="7" s="1"/>
  <c r="Q581" i="7"/>
  <c r="BL581" i="7" s="1"/>
  <c r="Q523" i="7"/>
  <c r="BL523" i="7" s="1"/>
  <c r="Q222" i="7"/>
  <c r="BL222" i="7" s="1"/>
  <c r="Q426" i="7"/>
  <c r="BL426" i="7" s="1"/>
  <c r="Q42" i="7"/>
  <c r="BL42" i="7" s="1"/>
  <c r="Q429" i="7"/>
  <c r="BL429" i="7" s="1"/>
  <c r="Q243" i="7"/>
  <c r="BL243" i="7" s="1"/>
  <c r="Q213" i="7"/>
  <c r="BL213" i="7" s="1"/>
  <c r="Q671" i="7"/>
  <c r="BL671" i="7" s="1"/>
  <c r="Q807" i="7"/>
  <c r="BL807" i="7" s="1"/>
  <c r="Q809" i="7"/>
  <c r="BL809" i="7" s="1"/>
  <c r="Q611" i="7"/>
  <c r="BL611" i="7" s="1"/>
  <c r="Q179" i="7"/>
  <c r="BL179" i="7" s="1"/>
  <c r="Q644" i="7"/>
  <c r="BL644" i="7" s="1"/>
  <c r="Q710" i="7"/>
  <c r="BL710" i="7" s="1"/>
  <c r="Q814" i="7"/>
  <c r="BL814" i="7" s="1"/>
  <c r="Q372" i="7"/>
  <c r="BL372" i="7" s="1"/>
  <c r="Q341" i="7"/>
  <c r="BL341" i="7" s="1"/>
  <c r="Q43" i="7"/>
  <c r="BL43" i="7" s="1"/>
  <c r="Q172" i="7"/>
  <c r="BL172" i="7" s="1"/>
  <c r="Q595" i="7"/>
  <c r="BL595" i="7" s="1"/>
  <c r="Q198" i="7"/>
  <c r="BL198" i="7" s="1"/>
  <c r="Q477" i="7"/>
  <c r="BL477" i="7" s="1"/>
  <c r="Q34" i="7"/>
  <c r="BL34" i="7" s="1"/>
  <c r="Q805" i="7"/>
  <c r="BL805" i="7" s="1"/>
  <c r="BM805" i="7" s="1"/>
  <c r="Q596" i="7"/>
  <c r="BL596" i="7" s="1"/>
  <c r="Q8" i="7"/>
  <c r="BL8" i="7" s="1"/>
  <c r="Q836" i="7"/>
  <c r="BL836" i="7" s="1"/>
  <c r="Q113" i="7"/>
  <c r="BL113" i="7" s="1"/>
  <c r="Q197" i="7"/>
  <c r="BL197" i="7" s="1"/>
  <c r="Q752" i="7"/>
  <c r="BL752" i="7" s="1"/>
  <c r="Q837" i="7"/>
  <c r="BL837" i="7" s="1"/>
  <c r="Q278" i="7"/>
  <c r="BL278" i="7" s="1"/>
  <c r="Q245" i="7"/>
  <c r="BL245" i="7" s="1"/>
  <c r="Q794" i="7"/>
  <c r="BL794" i="7" s="1"/>
  <c r="Q491" i="7"/>
  <c r="BL491" i="7" s="1"/>
  <c r="Q457" i="7"/>
  <c r="BL457" i="7" s="1"/>
  <c r="Q843" i="7"/>
  <c r="BL843" i="7" s="1"/>
  <c r="Q478" i="7"/>
  <c r="BL478" i="7" s="1"/>
  <c r="Q54" i="7"/>
  <c r="BL54" i="7" s="1"/>
  <c r="Q45" i="7"/>
  <c r="BL45" i="7" s="1"/>
  <c r="Q134" i="7"/>
  <c r="BL134" i="7" s="1"/>
  <c r="Q187" i="7"/>
  <c r="BL187" i="7" s="1"/>
  <c r="Q678" i="7"/>
  <c r="BL678" i="7" s="1"/>
  <c r="Q384" i="7"/>
  <c r="BL384" i="7" s="1"/>
  <c r="Q576" i="7"/>
  <c r="BL576" i="7" s="1"/>
  <c r="Q756" i="7"/>
  <c r="BL756" i="7" s="1"/>
  <c r="Q529" i="7"/>
  <c r="BL529" i="7" s="1"/>
  <c r="Q319" i="7"/>
  <c r="BL319" i="7" s="1"/>
  <c r="Q284" i="7"/>
  <c r="BL284" i="7" s="1"/>
  <c r="Q398" i="7"/>
  <c r="BL398" i="7" s="1"/>
  <c r="BI580" i="7"/>
  <c r="BI45" i="7"/>
  <c r="BI427" i="7"/>
  <c r="BI615" i="7"/>
  <c r="BI791" i="7"/>
  <c r="BI536" i="7"/>
  <c r="BI154" i="7"/>
  <c r="BI549" i="7"/>
  <c r="BI814" i="7"/>
  <c r="BI512" i="7"/>
  <c r="BI341" i="7"/>
  <c r="BI303" i="7"/>
  <c r="BI297" i="7"/>
  <c r="BI316" i="7"/>
  <c r="BI523" i="7"/>
  <c r="BI138" i="7"/>
  <c r="BI34" i="7"/>
  <c r="BI735" i="7"/>
  <c r="BI329" i="7"/>
  <c r="BI452" i="7"/>
  <c r="BI245" i="7"/>
  <c r="BI310" i="7"/>
  <c r="BI863" i="7"/>
  <c r="BI186" i="7"/>
  <c r="BI160" i="7"/>
  <c r="BI67" i="7"/>
  <c r="BI64" i="7"/>
  <c r="BI369" i="7"/>
  <c r="BI799" i="7"/>
  <c r="BI122" i="7"/>
  <c r="BI768" i="7"/>
  <c r="BI376" i="7"/>
  <c r="BI333" i="7"/>
  <c r="BI593" i="7"/>
  <c r="BI311" i="7"/>
  <c r="BI680" i="7"/>
  <c r="BI503" i="7"/>
  <c r="BI383" i="7"/>
  <c r="BI578" i="7"/>
  <c r="BI504" i="7"/>
  <c r="BI435" i="7"/>
  <c r="BI577" i="7"/>
  <c r="BI462" i="7"/>
  <c r="BI665" i="7"/>
  <c r="BI853" i="7"/>
  <c r="BI466" i="7"/>
  <c r="BI146" i="7"/>
  <c r="BI97" i="7"/>
  <c r="BI817" i="7"/>
  <c r="BI500" i="7"/>
  <c r="BI575" i="7"/>
  <c r="BI664" i="7"/>
  <c r="BI139" i="7"/>
  <c r="BI648" i="7"/>
  <c r="BI748" i="7"/>
  <c r="BI634" i="7"/>
  <c r="BI226" i="7"/>
  <c r="BI113" i="7"/>
  <c r="BI605" i="7"/>
  <c r="BI370" i="7"/>
  <c r="BI502" i="7"/>
  <c r="BI671" i="7"/>
  <c r="BI410" i="7"/>
  <c r="BI479" i="7"/>
  <c r="BI539" i="7"/>
  <c r="BI847" i="7"/>
  <c r="BI846" i="7"/>
  <c r="BI707" i="7"/>
  <c r="BI22" i="7"/>
  <c r="BI494" i="7"/>
  <c r="BI614" i="7"/>
  <c r="BI28" i="7"/>
  <c r="BI56" i="7"/>
  <c r="BI259" i="7"/>
  <c r="BI228" i="7"/>
  <c r="BI278" i="7"/>
  <c r="BI150" i="7"/>
  <c r="BI375" i="7"/>
  <c r="BI461" i="7"/>
  <c r="BI506" i="7"/>
  <c r="BI426" i="7"/>
  <c r="BI718" i="7"/>
  <c r="BI429" i="7"/>
  <c r="BI417" i="7"/>
  <c r="BI98" i="7"/>
  <c r="BI632" i="7"/>
  <c r="BI585" i="7"/>
  <c r="BI682" i="7"/>
  <c r="BI102" i="7"/>
  <c r="BI101" i="7"/>
  <c r="BI424" i="7"/>
  <c r="BI236" i="7"/>
  <c r="BI771" i="7"/>
  <c r="BI128" i="7"/>
  <c r="BI798" i="7"/>
  <c r="BI68" i="7"/>
  <c r="BI531" i="7"/>
  <c r="BI685" i="7"/>
  <c r="BI233" i="7"/>
  <c r="BI264" i="7"/>
  <c r="BI205" i="7"/>
  <c r="BI149" i="7"/>
  <c r="BI148" i="7"/>
  <c r="BI753" i="7"/>
  <c r="BI565" i="7"/>
  <c r="BI607" i="7"/>
  <c r="BI604" i="7"/>
  <c r="BI740" i="7"/>
  <c r="BI547" i="7"/>
  <c r="BI635" i="7"/>
  <c r="BI717" i="7"/>
  <c r="BI12" i="7"/>
  <c r="BI111" i="7"/>
  <c r="BI595" i="7"/>
  <c r="BI640" i="7"/>
  <c r="BI723" i="7"/>
  <c r="BI73" i="7"/>
  <c r="BI144" i="7"/>
  <c r="BI588" i="7"/>
  <c r="BI645" i="7"/>
  <c r="BI499" i="7"/>
  <c r="BI151" i="7"/>
  <c r="BI38" i="7"/>
  <c r="BI663" i="7"/>
  <c r="BI765" i="7"/>
  <c r="BI349" i="7"/>
  <c r="BI470" i="7"/>
  <c r="BI558" i="7"/>
  <c r="BI756" i="7"/>
  <c r="BI870" i="7"/>
  <c r="BI670" i="7"/>
  <c r="BI291" i="7"/>
  <c r="BI582" i="7"/>
  <c r="BI836" i="7"/>
  <c r="BI703" i="7"/>
  <c r="BI568" i="7"/>
  <c r="BI544" i="7"/>
  <c r="BI340" i="7"/>
  <c r="BI345" i="7"/>
  <c r="BI838" i="7"/>
  <c r="BI526" i="7"/>
  <c r="BI623" i="7"/>
  <c r="BI313" i="7"/>
  <c r="BI285" i="7"/>
  <c r="BI851" i="7"/>
  <c r="BI701" i="7"/>
  <c r="BI742" i="7"/>
  <c r="BI82" i="7"/>
  <c r="BI613" i="7"/>
  <c r="BI652" i="7"/>
  <c r="BI812" i="7"/>
  <c r="BI198" i="7"/>
  <c r="BI482" i="7"/>
  <c r="BI437" i="7"/>
  <c r="BI168" i="7"/>
  <c r="BI178" i="7"/>
  <c r="BI497" i="7"/>
  <c r="BI27" i="7"/>
  <c r="BI807" i="7"/>
  <c r="BI108" i="7"/>
  <c r="BI573" i="7"/>
  <c r="BI255" i="7"/>
  <c r="BI282" i="7"/>
  <c r="BI642" i="7"/>
  <c r="BI287" i="7"/>
  <c r="BI653" i="7"/>
  <c r="BI649" i="7"/>
  <c r="BI560" i="7"/>
  <c r="BI848" i="7"/>
  <c r="BI571" i="7"/>
  <c r="BI436" i="7"/>
  <c r="BI464" i="7"/>
  <c r="BI88" i="7"/>
  <c r="BI688" i="7"/>
  <c r="BI800" i="7"/>
  <c r="BI225" i="7"/>
  <c r="BI772" i="7"/>
  <c r="BI730" i="7"/>
  <c r="BI618" i="7"/>
  <c r="BI824" i="7"/>
  <c r="BI240" i="7"/>
  <c r="BI501" i="7"/>
  <c r="BI801" i="7"/>
  <c r="BI690" i="7"/>
  <c r="BI220" i="7"/>
  <c r="BI330" i="7"/>
  <c r="BI782" i="7"/>
  <c r="BI180" i="7"/>
  <c r="BI105" i="7"/>
  <c r="BI430" i="7"/>
  <c r="BI179" i="7"/>
  <c r="BI159" i="7"/>
  <c r="BI710" i="7"/>
  <c r="BI141" i="7"/>
  <c r="BI29" i="7"/>
  <c r="BI182" i="7"/>
  <c r="BI402" i="7"/>
  <c r="BI852" i="7"/>
  <c r="BI366" i="7"/>
  <c r="BI487" i="7"/>
  <c r="BI548" i="7"/>
  <c r="BI724" i="7"/>
  <c r="BI794" i="7"/>
  <c r="BI563" i="7"/>
  <c r="BI733" i="7"/>
  <c r="BI610" i="7"/>
  <c r="BI820" i="7"/>
  <c r="BI459" i="7"/>
  <c r="BI774" i="7"/>
  <c r="BI51" i="7"/>
  <c r="BI173" i="7"/>
  <c r="BI398" i="7"/>
  <c r="BI107" i="7"/>
  <c r="BI19" i="7"/>
  <c r="BI844" i="7"/>
  <c r="BI92" i="7"/>
  <c r="BI133" i="7"/>
  <c r="BI354" i="7"/>
  <c r="BI485" i="7"/>
  <c r="BI207" i="7"/>
  <c r="BI527" i="7"/>
  <c r="BI9" i="7"/>
  <c r="BI831" i="7"/>
  <c r="BI191" i="7"/>
  <c r="BI212" i="7"/>
  <c r="BI542" i="7"/>
  <c r="BI729" i="7"/>
  <c r="BI46" i="7"/>
  <c r="BI304" i="7"/>
  <c r="BI60" i="7"/>
  <c r="BI693" i="7"/>
  <c r="BI552" i="7"/>
  <c r="BI532" i="7"/>
  <c r="BI551" i="7"/>
  <c r="BI441" i="7"/>
  <c r="BI26" i="7"/>
  <c r="BI110" i="7"/>
  <c r="BI434" i="7"/>
  <c r="BI438" i="7"/>
  <c r="BI564" i="7"/>
  <c r="BI581" i="7"/>
  <c r="BI621" i="7"/>
  <c r="BI184" i="7"/>
  <c r="BI796" i="7"/>
  <c r="BI391" i="7"/>
  <c r="BI169" i="7"/>
  <c r="BI567" i="7"/>
  <c r="BI407" i="7"/>
  <c r="BI275" i="7"/>
  <c r="BI830" i="7"/>
  <c r="BI763" i="7"/>
  <c r="BI731" i="7"/>
  <c r="BI100" i="7"/>
  <c r="BI696" i="7"/>
  <c r="BI716" i="7"/>
  <c r="BI404" i="7"/>
  <c r="BI602" i="7"/>
  <c r="BI419" i="7"/>
  <c r="BI389" i="7"/>
  <c r="BI596" i="7"/>
  <c r="BI21" i="7"/>
  <c r="BI367" i="7"/>
  <c r="BI865" i="7"/>
  <c r="BI761" i="7"/>
  <c r="BI839" i="7"/>
  <c r="BI374" i="7"/>
  <c r="BI574" i="7"/>
  <c r="BI280" i="7"/>
  <c r="BI66" i="7"/>
  <c r="BI706" i="7"/>
  <c r="BI197" i="7"/>
  <c r="BI74" i="7"/>
  <c r="BI208" i="7"/>
  <c r="BI521" i="7"/>
  <c r="BI343" i="7"/>
  <c r="BI283" i="7"/>
  <c r="BI822" i="7"/>
  <c r="BI586" i="7"/>
  <c r="BI856" i="7"/>
  <c r="BI196" i="7"/>
  <c r="BI746" i="7"/>
  <c r="BI533" i="7"/>
  <c r="BI272" i="7"/>
  <c r="BI334" i="7"/>
  <c r="BI764" i="7"/>
  <c r="BI187" i="7"/>
  <c r="BI508" i="7"/>
  <c r="BI222" i="7"/>
  <c r="BI414" i="7"/>
  <c r="BI268" i="7"/>
  <c r="BI457" i="7"/>
  <c r="BI600" i="7"/>
  <c r="BI695" i="7"/>
  <c r="BI216" i="7"/>
  <c r="BI514" i="7"/>
  <c r="BI323" i="7"/>
  <c r="BI143" i="7"/>
  <c r="BI579" i="7"/>
  <c r="BI14" i="7"/>
  <c r="BI561" i="7"/>
  <c r="BI622" i="7"/>
  <c r="BI805" i="7"/>
  <c r="BI242" i="7"/>
  <c r="BI164" i="7"/>
  <c r="BI344" i="7"/>
  <c r="BI312" i="7"/>
  <c r="BI42" i="7"/>
  <c r="BI87" i="7"/>
  <c r="BI767" i="7"/>
  <c r="BI322" i="7"/>
  <c r="BI237" i="7"/>
  <c r="BI511" i="7"/>
  <c r="BI202" i="7"/>
  <c r="BI496" i="7"/>
  <c r="BI770" i="7"/>
  <c r="BI806" i="7"/>
  <c r="BI11" i="7"/>
  <c r="BI129" i="7"/>
  <c r="BI448" i="7"/>
  <c r="BI387" i="7"/>
  <c r="BI432" i="7"/>
  <c r="BI136" i="7"/>
  <c r="BI76" i="7"/>
  <c r="BI823" i="7"/>
  <c r="BI243" i="7"/>
  <c r="BI390" i="7"/>
  <c r="BI643" i="7"/>
  <c r="BI40" i="7"/>
  <c r="BI331" i="7"/>
  <c r="BI627" i="7"/>
  <c r="BI277" i="7"/>
  <c r="BI789" i="7"/>
  <c r="BI210" i="7"/>
  <c r="BI669" i="7"/>
  <c r="BI53" i="7"/>
  <c r="BI135" i="7"/>
  <c r="BI658" i="7"/>
  <c r="BI109" i="7"/>
  <c r="BI380" i="7"/>
  <c r="BI433" i="7"/>
  <c r="BI416" i="7"/>
  <c r="BI741" i="7"/>
  <c r="BI518" i="7"/>
  <c r="BI779" i="7"/>
  <c r="BJ65" i="7" l="1"/>
  <c r="BX65" i="7" s="1"/>
  <c r="BJ357" i="7"/>
  <c r="BX357" i="7" s="1"/>
  <c r="BJ553" i="7"/>
  <c r="BX553" i="7" s="1"/>
  <c r="BJ505" i="7"/>
  <c r="BX505" i="7" s="1"/>
  <c r="BJ493" i="7"/>
  <c r="BX493" i="7" s="1"/>
  <c r="BJ189" i="7"/>
  <c r="BX189" i="7" s="1"/>
  <c r="BJ157" i="7"/>
  <c r="BX157" i="7" s="1"/>
  <c r="BJ327" i="7"/>
  <c r="BX327" i="7" s="1"/>
  <c r="BJ458" i="7"/>
  <c r="BX458" i="7" s="1"/>
  <c r="BJ471" i="7"/>
  <c r="BX471" i="7" s="1"/>
  <c r="BJ192" i="7"/>
  <c r="BX192" i="7" s="1"/>
  <c r="BJ739" i="7"/>
  <c r="BX739" i="7" s="1"/>
  <c r="BJ156" i="7"/>
  <c r="BX156" i="7" s="1"/>
  <c r="BJ337" i="7"/>
  <c r="BX337" i="7" s="1"/>
  <c r="BJ353" i="7"/>
  <c r="BX353" i="7" s="1"/>
  <c r="BJ142" i="7"/>
  <c r="BX142" i="7" s="1"/>
  <c r="BJ155" i="7"/>
  <c r="BX155" i="7" s="1"/>
  <c r="BJ49" i="7"/>
  <c r="BX49" i="7" s="1"/>
  <c r="BJ217" i="7"/>
  <c r="BX217" i="7" s="1"/>
  <c r="BJ223" i="7"/>
  <c r="BX223" i="7" s="1"/>
  <c r="BJ379" i="7"/>
  <c r="BX379" i="7" s="1"/>
  <c r="BJ296" i="7"/>
  <c r="BX296" i="7" s="1"/>
  <c r="BJ55" i="7"/>
  <c r="BX55" i="7" s="1"/>
  <c r="BJ131" i="7"/>
  <c r="BX131" i="7" s="1"/>
  <c r="BJ47" i="7"/>
  <c r="BX47" i="7" s="1"/>
  <c r="BJ48" i="7"/>
  <c r="BX48" i="7" s="1"/>
  <c r="BJ188" i="7"/>
  <c r="BX188" i="7" s="1"/>
  <c r="BJ130" i="7"/>
  <c r="BX130" i="7" s="1"/>
  <c r="BJ572" i="7"/>
  <c r="BX572" i="7" s="1"/>
  <c r="BJ224" i="7"/>
  <c r="BX224" i="7" s="1"/>
  <c r="BJ121" i="7"/>
  <c r="BX121" i="7" s="1"/>
  <c r="BJ743" i="7"/>
  <c r="BX743" i="7" s="1"/>
  <c r="BJ646" i="7"/>
  <c r="BX646" i="7" s="1"/>
  <c r="BJ231" i="7"/>
  <c r="BX231" i="7" s="1"/>
  <c r="BJ557" i="7"/>
  <c r="BX557" i="7" s="1"/>
  <c r="BJ214" i="7"/>
  <c r="BX214" i="7" s="1"/>
  <c r="BJ776" i="7"/>
  <c r="BX776" i="7" s="1"/>
  <c r="BJ248" i="7"/>
  <c r="BX248" i="7" s="1"/>
  <c r="BJ638" i="7"/>
  <c r="BX638" i="7" s="1"/>
  <c r="BJ498" i="7"/>
  <c r="BX498" i="7" s="1"/>
  <c r="BJ360" i="7"/>
  <c r="BX360" i="7" s="1"/>
  <c r="BJ91" i="7"/>
  <c r="BX91" i="7" s="1"/>
  <c r="BJ253" i="7"/>
  <c r="BX253" i="7" s="1"/>
  <c r="BJ476" i="7"/>
  <c r="BX476" i="7" s="1"/>
  <c r="BJ594" i="7"/>
  <c r="BX594" i="7" s="1"/>
  <c r="BJ39" i="7"/>
  <c r="BX39" i="7" s="1"/>
  <c r="BJ728" i="7"/>
  <c r="BX728" i="7" s="1"/>
  <c r="BJ317" i="7"/>
  <c r="BX317" i="7" s="1"/>
  <c r="BJ783" i="7"/>
  <c r="BX783" i="7" s="1"/>
  <c r="BJ674" i="7"/>
  <c r="BX674" i="7" s="1"/>
  <c r="BJ394" i="7"/>
  <c r="BX394" i="7" s="1"/>
  <c r="BJ691" i="7"/>
  <c r="BX691" i="7" s="1"/>
  <c r="BJ211" i="7"/>
  <c r="BX211" i="7" s="1"/>
  <c r="BJ860" i="7"/>
  <c r="BX860" i="7" s="1"/>
  <c r="BJ33" i="7"/>
  <c r="BX33" i="7" s="1"/>
  <c r="BJ71" i="7"/>
  <c r="BX71" i="7" s="1"/>
  <c r="BJ123" i="7"/>
  <c r="BX123" i="7" s="1"/>
  <c r="BJ176" i="7"/>
  <c r="BX176" i="7" s="1"/>
  <c r="BJ862" i="7"/>
  <c r="BX862" i="7" s="1"/>
  <c r="BJ534" i="7"/>
  <c r="BX534" i="7" s="1"/>
  <c r="BJ480" i="7"/>
  <c r="BX480" i="7" s="1"/>
  <c r="BJ69" i="7"/>
  <c r="BX69" i="7" s="1"/>
  <c r="BJ675" i="7"/>
  <c r="BX675" i="7" s="1"/>
  <c r="BJ78" i="7"/>
  <c r="BX78" i="7" s="1"/>
  <c r="BJ468" i="7"/>
  <c r="BX468" i="7" s="1"/>
  <c r="BJ326" i="7"/>
  <c r="BX326" i="7" s="1"/>
  <c r="BJ803" i="7"/>
  <c r="BX803" i="7" s="1"/>
  <c r="BJ59" i="7"/>
  <c r="BX59" i="7" s="1"/>
  <c r="BJ641" i="7"/>
  <c r="BX641" i="7" s="1"/>
  <c r="BJ300" i="7"/>
  <c r="BX300" i="7" s="1"/>
  <c r="BJ589" i="7"/>
  <c r="BX589" i="7" s="1"/>
  <c r="BJ689" i="7"/>
  <c r="BX689" i="7" s="1"/>
  <c r="BJ395" i="7"/>
  <c r="BX395" i="7" s="1"/>
  <c r="BJ617" i="7"/>
  <c r="BX617" i="7" s="1"/>
  <c r="BJ786" i="7"/>
  <c r="BX786" i="7" s="1"/>
  <c r="BJ16" i="7"/>
  <c r="BX16" i="7" s="1"/>
  <c r="BJ281" i="7"/>
  <c r="BX281" i="7" s="1"/>
  <c r="BJ793" i="7"/>
  <c r="BX793" i="7" s="1"/>
  <c r="BJ543" i="7"/>
  <c r="BX543" i="7" s="1"/>
  <c r="BJ608" i="7"/>
  <c r="BX608" i="7" s="1"/>
  <c r="BJ218" i="7"/>
  <c r="BX218" i="7" s="1"/>
  <c r="BJ697" i="7"/>
  <c r="BX697" i="7" s="1"/>
  <c r="BJ238" i="7"/>
  <c r="BX238" i="7" s="1"/>
  <c r="BJ321" i="7"/>
  <c r="BX321" i="7" s="1"/>
  <c r="BJ36" i="7"/>
  <c r="BX36" i="7" s="1"/>
  <c r="BJ299" i="7"/>
  <c r="BX299" i="7" s="1"/>
  <c r="BJ489" i="7"/>
  <c r="BX489" i="7" s="1"/>
  <c r="BJ821" i="7"/>
  <c r="BX821" i="7" s="1"/>
  <c r="BJ96" i="7"/>
  <c r="BX96" i="7" s="1"/>
  <c r="BJ620" i="7"/>
  <c r="BX620" i="7" s="1"/>
  <c r="BJ811" i="7"/>
  <c r="BX811" i="7" s="1"/>
  <c r="BJ530" i="7"/>
  <c r="BX530" i="7" s="1"/>
  <c r="BJ590" i="7"/>
  <c r="BX590" i="7" s="1"/>
  <c r="BJ815" i="7"/>
  <c r="BX815" i="7" s="1"/>
  <c r="BJ177" i="7"/>
  <c r="BX177" i="7" s="1"/>
  <c r="BJ421" i="7"/>
  <c r="BX421" i="7" s="1"/>
  <c r="BJ481" i="7"/>
  <c r="BX481" i="7" s="1"/>
  <c r="BJ412" i="7"/>
  <c r="BX412" i="7" s="1"/>
  <c r="BJ467" i="7"/>
  <c r="BX467" i="7" s="1"/>
  <c r="BJ94" i="7"/>
  <c r="BX94" i="7" s="1"/>
  <c r="BJ163" i="7"/>
  <c r="BX163" i="7" s="1"/>
  <c r="BJ700" i="7"/>
  <c r="BX700" i="7" s="1"/>
  <c r="BJ145" i="7"/>
  <c r="BX145" i="7" s="1"/>
  <c r="BJ348" i="7"/>
  <c r="BX348" i="7" s="1"/>
  <c r="BJ23" i="7"/>
  <c r="BX23" i="7" s="1"/>
  <c r="BJ455" i="7"/>
  <c r="BX455" i="7" s="1"/>
  <c r="BJ396" i="7"/>
  <c r="BX396" i="7" s="1"/>
  <c r="BJ538" i="7"/>
  <c r="BX538" i="7" s="1"/>
  <c r="BJ840" i="7"/>
  <c r="BX840" i="7" s="1"/>
  <c r="BJ251" i="7"/>
  <c r="BX251" i="7" s="1"/>
  <c r="BJ93" i="7"/>
  <c r="BX93" i="7" s="1"/>
  <c r="BJ408" i="7"/>
  <c r="BX408" i="7" s="1"/>
  <c r="BJ305" i="7"/>
  <c r="BX305" i="7" s="1"/>
  <c r="BJ651" i="7"/>
  <c r="BX651" i="7" s="1"/>
  <c r="BJ314" i="7"/>
  <c r="BX314" i="7" s="1"/>
  <c r="BJ738" i="7"/>
  <c r="BX738" i="7" s="1"/>
  <c r="BJ683" i="7"/>
  <c r="BX683" i="7" s="1"/>
  <c r="BJ804" i="7"/>
  <c r="BX804" i="7" s="1"/>
  <c r="BJ31" i="7"/>
  <c r="BX31" i="7" s="1"/>
  <c r="BJ339" i="7"/>
  <c r="BX339" i="7" s="1"/>
  <c r="BJ420" i="7"/>
  <c r="BX420" i="7" s="1"/>
  <c r="BJ260" i="7"/>
  <c r="BX260" i="7" s="1"/>
  <c r="BJ185" i="7"/>
  <c r="BX185" i="7" s="1"/>
  <c r="BJ206" i="7"/>
  <c r="BX206" i="7" s="1"/>
  <c r="BJ352" i="7"/>
  <c r="BX352" i="7" s="1"/>
  <c r="BJ692" i="7"/>
  <c r="BX692" i="7" s="1"/>
  <c r="BJ488" i="7"/>
  <c r="BX488" i="7" s="1"/>
  <c r="BJ170" i="7"/>
  <c r="BX170" i="7" s="1"/>
  <c r="BJ535" i="7"/>
  <c r="BX535" i="7" s="1"/>
  <c r="BJ486" i="7"/>
  <c r="BX486" i="7" s="1"/>
  <c r="BJ266" i="7"/>
  <c r="BX266" i="7" s="1"/>
  <c r="BJ153" i="7"/>
  <c r="BX153" i="7" s="1"/>
  <c r="BJ556" i="7"/>
  <c r="BX556" i="7" s="1"/>
  <c r="BJ788" i="7"/>
  <c r="BX788" i="7" s="1"/>
  <c r="BJ709" i="7"/>
  <c r="BX709" i="7" s="1"/>
  <c r="BJ781" i="7"/>
  <c r="BX781" i="7" s="1"/>
  <c r="BJ239" i="7"/>
  <c r="BX239" i="7" s="1"/>
  <c r="BJ288" i="7"/>
  <c r="BX288" i="7" s="1"/>
  <c r="BJ460" i="7"/>
  <c r="BX460" i="7" s="1"/>
  <c r="BJ849" i="7"/>
  <c r="BX849" i="7" s="1"/>
  <c r="BJ745" i="7"/>
  <c r="BX745" i="7" s="1"/>
  <c r="BJ234" i="7"/>
  <c r="BX234" i="7" s="1"/>
  <c r="BJ392" i="7"/>
  <c r="BX392" i="7" s="1"/>
  <c r="BJ659" i="7"/>
  <c r="BX659" i="7" s="1"/>
  <c r="BJ247" i="7"/>
  <c r="BX247" i="7" s="1"/>
  <c r="BJ797" i="7"/>
  <c r="BX797" i="7" s="1"/>
  <c r="BJ355" i="7"/>
  <c r="BX355" i="7" s="1"/>
  <c r="BJ456" i="7"/>
  <c r="BX456" i="7" s="1"/>
  <c r="BJ450" i="7"/>
  <c r="BX450" i="7" s="1"/>
  <c r="BJ636" i="7"/>
  <c r="BX636" i="7" s="1"/>
  <c r="BJ842" i="7"/>
  <c r="BX842" i="7" s="1"/>
  <c r="BJ63" i="7"/>
  <c r="BX63" i="7" s="1"/>
  <c r="BJ171" i="7"/>
  <c r="BX171" i="7" s="1"/>
  <c r="BJ276" i="7"/>
  <c r="BX276" i="7" s="1"/>
  <c r="BJ347" i="7"/>
  <c r="BX347" i="7" s="1"/>
  <c r="BJ732" i="7"/>
  <c r="BX732" i="7" s="1"/>
  <c r="BJ792" i="7"/>
  <c r="BX792" i="7" s="1"/>
  <c r="BJ175" i="7"/>
  <c r="BX175" i="7" s="1"/>
  <c r="BJ566" i="7"/>
  <c r="BX566" i="7" s="1"/>
  <c r="BJ324" i="7"/>
  <c r="BX324" i="7" s="1"/>
  <c r="BJ711" i="7"/>
  <c r="BX711" i="7" s="1"/>
  <c r="BJ41" i="7"/>
  <c r="BX41" i="7" s="1"/>
  <c r="BJ257" i="7"/>
  <c r="BX257" i="7" s="1"/>
  <c r="BJ603" i="7"/>
  <c r="BX603" i="7" s="1"/>
  <c r="BJ447" i="7"/>
  <c r="BX447" i="7" s="1"/>
  <c r="BJ626" i="7"/>
  <c r="BX626" i="7" s="1"/>
  <c r="BJ766" i="7"/>
  <c r="BX766" i="7" s="1"/>
  <c r="BJ591" i="7"/>
  <c r="BX591" i="7" s="1"/>
  <c r="BJ492" i="7"/>
  <c r="BX492" i="7" s="1"/>
  <c r="BJ270" i="7"/>
  <c r="BX270" i="7" s="1"/>
  <c r="BJ358" i="7"/>
  <c r="BX358" i="7" s="1"/>
  <c r="BJ751" i="7"/>
  <c r="BX751" i="7" s="1"/>
  <c r="BJ315" i="7"/>
  <c r="BX315" i="7" s="1"/>
  <c r="BJ406" i="7"/>
  <c r="BX406" i="7" s="1"/>
  <c r="BJ112" i="7"/>
  <c r="BX112" i="7" s="1"/>
  <c r="BJ818" i="7"/>
  <c r="BX818" i="7" s="1"/>
  <c r="BJ431" i="7"/>
  <c r="BX431" i="7" s="1"/>
  <c r="BJ116" i="7"/>
  <c r="BX116" i="7" s="1"/>
  <c r="BJ861" i="7"/>
  <c r="BX861" i="7" s="1"/>
  <c r="BJ232" i="7"/>
  <c r="BX232" i="7" s="1"/>
  <c r="BJ119" i="7"/>
  <c r="BX119" i="7" s="1"/>
  <c r="BJ850" i="7"/>
  <c r="BX850" i="7" s="1"/>
  <c r="BJ301" i="7"/>
  <c r="BX301" i="7" s="1"/>
  <c r="BJ413" i="7"/>
  <c r="BX413" i="7" s="1"/>
  <c r="BJ104" i="7"/>
  <c r="BX104" i="7" s="1"/>
  <c r="BJ271" i="7"/>
  <c r="BX271" i="7" s="1"/>
  <c r="BJ750" i="7"/>
  <c r="BX750" i="7" s="1"/>
  <c r="BJ215" i="7"/>
  <c r="BX215" i="7" s="1"/>
  <c r="BJ639" i="7"/>
  <c r="BX639" i="7" s="1"/>
  <c r="BJ307" i="7"/>
  <c r="BX307" i="7" s="1"/>
  <c r="BJ269" i="7"/>
  <c r="BX269" i="7" s="1"/>
  <c r="BJ769" i="7"/>
  <c r="BX769" i="7" s="1"/>
  <c r="BJ475" i="7"/>
  <c r="BX475" i="7" s="1"/>
  <c r="BJ810" i="7"/>
  <c r="BX810" i="7" s="1"/>
  <c r="BJ62" i="7"/>
  <c r="BX62" i="7" s="1"/>
  <c r="BJ99" i="7"/>
  <c r="BX99" i="7" s="1"/>
  <c r="BJ684" i="7"/>
  <c r="BX684" i="7" s="1"/>
  <c r="BJ624" i="7"/>
  <c r="BX624" i="7" s="1"/>
  <c r="BJ373" i="7"/>
  <c r="BX373" i="7" s="1"/>
  <c r="BJ655" i="7"/>
  <c r="BX655" i="7" s="1"/>
  <c r="BJ235" i="7"/>
  <c r="BX235" i="7" s="1"/>
  <c r="BJ537" i="7"/>
  <c r="BX537" i="7" s="1"/>
  <c r="BJ483" i="7"/>
  <c r="BX483" i="7" s="1"/>
  <c r="BJ199" i="7"/>
  <c r="BX199" i="7" s="1"/>
  <c r="BJ866" i="7"/>
  <c r="BX866" i="7" s="1"/>
  <c r="BJ859" i="7"/>
  <c r="BX859" i="7" s="1"/>
  <c r="BJ650" i="7"/>
  <c r="BX650" i="7" s="1"/>
  <c r="BJ126" i="7"/>
  <c r="BX126" i="7" s="1"/>
  <c r="BJ265" i="7"/>
  <c r="BX265" i="7" s="1"/>
  <c r="BJ227" i="7"/>
  <c r="BX227" i="7" s="1"/>
  <c r="BJ336" i="7"/>
  <c r="BX336" i="7" s="1"/>
  <c r="BJ246" i="7"/>
  <c r="BX246" i="7" s="1"/>
  <c r="BJ662" i="7"/>
  <c r="BX662" i="7" s="1"/>
  <c r="BJ562" i="7"/>
  <c r="BX562" i="7" s="1"/>
  <c r="BJ517" i="7"/>
  <c r="BX517" i="7" s="1"/>
  <c r="BJ841" i="7"/>
  <c r="BX841" i="7" s="1"/>
  <c r="BJ204" i="7"/>
  <c r="BX204" i="7" s="1"/>
  <c r="BJ50" i="7"/>
  <c r="BX50" i="7" s="1"/>
  <c r="BJ274" i="7"/>
  <c r="BX274" i="7" s="1"/>
  <c r="BJ463" i="7"/>
  <c r="BX463" i="7" s="1"/>
  <c r="BJ378" i="7"/>
  <c r="BX378" i="7" s="1"/>
  <c r="BJ520" i="7"/>
  <c r="BX520" i="7" s="1"/>
  <c r="BJ612" i="7"/>
  <c r="BX612" i="7" s="1"/>
  <c r="BJ720" i="7"/>
  <c r="BX720" i="7" s="1"/>
  <c r="BJ368" i="7"/>
  <c r="BX368" i="7" s="1"/>
  <c r="BL453" i="7"/>
  <c r="BM453" i="7" s="1"/>
  <c r="BL633" i="7"/>
  <c r="BM633" i="7" s="1"/>
  <c r="BL10" i="7"/>
  <c r="BM10" i="7" s="1"/>
  <c r="BL869" i="7"/>
  <c r="BM869" i="7" s="1"/>
  <c r="BL599" i="7"/>
  <c r="BM599" i="7" s="1"/>
  <c r="BR869" i="7"/>
  <c r="BS869" i="7" s="1"/>
  <c r="BR77" i="7"/>
  <c r="BS77" i="7" s="1"/>
  <c r="BR10" i="7"/>
  <c r="BS10" i="7" s="1"/>
  <c r="BR712" i="7"/>
  <c r="BS712" i="7" s="1"/>
  <c r="BR52" i="7"/>
  <c r="BS52" i="7" s="1"/>
  <c r="BR95" i="7"/>
  <c r="BS95" i="7" s="1"/>
  <c r="BR845" i="7"/>
  <c r="BS845" i="7" s="1"/>
  <c r="BR221" i="7"/>
  <c r="BS221" i="7" s="1"/>
  <c r="BR599" i="7"/>
  <c r="BS599" i="7" s="1"/>
  <c r="BR254" i="7"/>
  <c r="BS254" i="7" s="1"/>
  <c r="BR835" i="7"/>
  <c r="BS835" i="7" s="1"/>
  <c r="BR453" i="7"/>
  <c r="BS453" i="7" s="1"/>
  <c r="BR694" i="7"/>
  <c r="BS694" i="7" s="1"/>
  <c r="BR654" i="7"/>
  <c r="BS654" i="7" s="1"/>
  <c r="BR106" i="7"/>
  <c r="BS106" i="7" s="1"/>
  <c r="BR120" i="7"/>
  <c r="BS120" i="7" s="1"/>
  <c r="BR382" i="7"/>
  <c r="BS382" i="7" s="1"/>
  <c r="BR633" i="7"/>
  <c r="BS633" i="7" s="1"/>
  <c r="BR490" i="7"/>
  <c r="BS490" i="7" s="1"/>
  <c r="BR625" i="7"/>
  <c r="BS625" i="7" s="1"/>
  <c r="BL712" i="7"/>
  <c r="BM712" i="7" s="1"/>
  <c r="BL106" i="7"/>
  <c r="BM106" i="7" s="1"/>
  <c r="BJ490" i="7"/>
  <c r="BJ835" i="7"/>
  <c r="BL77" i="7"/>
  <c r="BM77" i="7" s="1"/>
  <c r="BJ52" i="7"/>
  <c r="BJ453" i="7"/>
  <c r="BJ77" i="7"/>
  <c r="BJ254" i="7"/>
  <c r="BL221" i="7"/>
  <c r="BM221" i="7" s="1"/>
  <c r="BJ845" i="7"/>
  <c r="BL95" i="7"/>
  <c r="BM95" i="7" s="1"/>
  <c r="BL120" i="7"/>
  <c r="BM120" i="7" s="1"/>
  <c r="BJ633" i="7"/>
  <c r="BJ625" i="7"/>
  <c r="BJ654" i="7"/>
  <c r="BJ221" i="7"/>
  <c r="BJ106" i="7"/>
  <c r="BJ120" i="7"/>
  <c r="BJ10" i="7"/>
  <c r="BJ599" i="7"/>
  <c r="BJ694" i="7"/>
  <c r="BJ712" i="7"/>
  <c r="BL382" i="7"/>
  <c r="BM382" i="7" s="1"/>
  <c r="BJ95" i="7"/>
  <c r="BJ382" i="7"/>
  <c r="BJ869" i="7"/>
  <c r="BM546" i="7"/>
  <c r="BM794" i="7"/>
  <c r="BM277" i="7"/>
  <c r="BM622" i="7"/>
  <c r="BM230" i="7"/>
  <c r="BM602" i="7"/>
  <c r="BM151" i="7"/>
  <c r="BM222" i="7"/>
  <c r="BM309" i="7"/>
  <c r="BM159" i="7"/>
  <c r="BM148" i="7"/>
  <c r="BM853" i="7"/>
  <c r="BM292" i="7"/>
  <c r="BM28" i="7"/>
  <c r="BM724" i="7"/>
  <c r="BM706" i="7"/>
  <c r="BM401" i="7"/>
  <c r="BM496" i="7"/>
  <c r="BM571" i="7"/>
  <c r="BM544" i="7"/>
  <c r="BM424" i="7"/>
  <c r="BM796" i="7"/>
  <c r="BM779" i="7"/>
  <c r="BM665" i="7"/>
  <c r="BM342" i="7"/>
  <c r="BM82" i="7"/>
  <c r="BM527" i="7"/>
  <c r="BM868" i="7"/>
  <c r="BM798" i="7"/>
  <c r="BM570" i="7"/>
  <c r="BM244" i="7"/>
  <c r="BM772" i="7"/>
  <c r="BM38" i="7"/>
  <c r="BM415" i="7"/>
  <c r="BM255" i="7"/>
  <c r="BM778" i="7"/>
  <c r="BM205" i="7"/>
  <c r="BM828" i="7"/>
  <c r="BM325" i="7"/>
  <c r="BM303" i="7"/>
  <c r="BM726" i="7"/>
  <c r="BM449" i="7"/>
  <c r="BM532" i="7"/>
  <c r="BM752" i="7"/>
  <c r="BM43" i="7"/>
  <c r="BM445" i="7"/>
  <c r="BM501" i="7"/>
  <c r="BM364" i="7"/>
  <c r="BM741" i="7"/>
  <c r="BM433" i="7"/>
  <c r="BM372" i="7"/>
  <c r="BM435" i="7"/>
  <c r="BM212" i="7"/>
  <c r="BM807" i="7"/>
  <c r="BM703" i="7"/>
  <c r="BM167" i="7"/>
  <c r="BM258" i="7"/>
  <c r="BM356" i="7"/>
  <c r="BM12" i="7"/>
  <c r="BM545" i="7"/>
  <c r="BM754" i="7"/>
  <c r="BM236" i="7"/>
  <c r="BM541" i="7"/>
  <c r="BM747" i="7"/>
  <c r="BM560" i="7"/>
  <c r="BM24" i="7"/>
  <c r="BM375" i="7"/>
  <c r="BM160" i="7"/>
  <c r="BM832" i="7"/>
  <c r="BM101" i="7"/>
  <c r="BM37" i="7"/>
  <c r="BM228" i="7"/>
  <c r="BM391" i="7"/>
  <c r="BM345" i="7"/>
  <c r="BM369" i="7"/>
  <c r="BM446" i="7"/>
  <c r="BM377" i="7"/>
  <c r="BM780" i="7"/>
  <c r="BM330" i="7"/>
  <c r="BM322" i="7"/>
  <c r="BM574" i="7"/>
  <c r="BM398" i="7"/>
  <c r="BM661" i="7"/>
  <c r="BM607" i="7"/>
  <c r="BM70" i="7"/>
  <c r="BM831" i="7"/>
  <c r="BM761" i="7"/>
  <c r="BM510" i="7"/>
  <c r="BM647" i="7"/>
  <c r="BM577" i="7"/>
  <c r="BM550" i="7"/>
  <c r="BM670" i="7"/>
  <c r="BM182" i="7"/>
  <c r="BM190" i="7"/>
  <c r="BM210" i="7"/>
  <c r="BM146" i="7"/>
  <c r="BM536" i="7"/>
  <c r="BM755" i="7"/>
  <c r="BM686" i="7"/>
  <c r="BM487" i="7"/>
  <c r="BM20" i="7"/>
  <c r="BM381" i="7"/>
  <c r="BM331" i="7"/>
  <c r="BM143" i="7"/>
  <c r="BM746" i="7"/>
  <c r="BM640" i="7"/>
  <c r="BM195" i="7"/>
  <c r="BM404" i="7"/>
  <c r="BM13" i="7"/>
  <c r="BM795" i="7"/>
  <c r="BM561" i="7"/>
  <c r="BM312" i="7"/>
  <c r="BM774" i="7"/>
  <c r="BM306" i="7"/>
  <c r="BM844" i="7"/>
  <c r="BM698" i="7"/>
  <c r="BM137" i="7"/>
  <c r="BM465" i="7"/>
  <c r="BM744" i="7"/>
  <c r="BM419" i="7"/>
  <c r="BM677" i="7"/>
  <c r="BM588" i="7"/>
  <c r="BM229" i="7"/>
  <c r="BM734" i="7"/>
  <c r="BM847" i="7"/>
  <c r="BM721" i="7"/>
  <c r="BM542" i="7"/>
  <c r="BM760" i="7"/>
  <c r="BM605" i="7"/>
  <c r="BM656" i="7"/>
  <c r="BM856" i="7"/>
  <c r="BM118" i="7"/>
  <c r="BM713" i="7"/>
  <c r="BM158" i="7"/>
  <c r="BM775" i="7"/>
  <c r="BM568" i="7"/>
  <c r="BM581" i="7"/>
  <c r="BM365" i="7"/>
  <c r="BM21" i="7"/>
  <c r="BM67" i="7"/>
  <c r="BM839" i="7"/>
  <c r="BM506" i="7"/>
  <c r="BM363" i="7"/>
  <c r="BM370" i="7"/>
  <c r="BM863" i="7"/>
  <c r="BM149" i="7"/>
  <c r="BM332" i="7"/>
  <c r="BM509" i="7"/>
  <c r="BM169" i="7"/>
  <c r="BM293" i="7"/>
  <c r="BM837" i="7"/>
  <c r="BM278" i="7"/>
  <c r="BM825" i="7"/>
  <c r="BM294" i="7"/>
  <c r="BM504" i="7"/>
  <c r="BM113" i="7"/>
  <c r="BM139" i="7"/>
  <c r="BM627" i="7"/>
  <c r="BM834" i="7"/>
  <c r="BM838" i="7"/>
  <c r="BM73" i="7"/>
  <c r="BM663" i="7"/>
  <c r="BM208" i="7"/>
  <c r="BM86" i="7"/>
  <c r="BM701" i="7"/>
  <c r="BM268" i="7"/>
  <c r="BM411" i="7"/>
  <c r="BM688" i="7"/>
  <c r="BM98" i="7"/>
  <c r="BM495" i="7"/>
  <c r="BM533" i="7"/>
  <c r="BM108" i="7"/>
  <c r="BM773" i="7"/>
  <c r="BM225" i="7"/>
  <c r="BM817" i="7"/>
  <c r="BM434" i="7"/>
  <c r="BM731" i="7"/>
  <c r="BM799" i="7"/>
  <c r="BM295" i="7"/>
  <c r="BM763" i="7"/>
  <c r="BM241" i="7"/>
  <c r="BM83" i="7"/>
  <c r="BM162" i="7"/>
  <c r="BM809" i="7"/>
  <c r="BM782" i="7"/>
  <c r="BM777" i="7"/>
  <c r="BM521" i="7"/>
  <c r="BM508" i="7"/>
  <c r="BM311" i="7"/>
  <c r="BM390" i="7"/>
  <c r="BM833" i="7"/>
  <c r="BM478" i="7"/>
  <c r="BM107" i="7"/>
  <c r="BM583" i="7"/>
  <c r="BM237" i="7"/>
  <c r="BM758" i="7"/>
  <c r="BM816" i="7"/>
  <c r="BM74" i="7"/>
  <c r="BM283" i="7"/>
  <c r="BM286" i="7"/>
  <c r="BM135" i="7"/>
  <c r="BM426" i="7"/>
  <c r="BM448" i="7"/>
  <c r="BM134" i="7"/>
  <c r="BM264" i="7"/>
  <c r="BM567" i="7"/>
  <c r="BM502" i="7"/>
  <c r="BM350" i="7"/>
  <c r="BM173" i="7"/>
  <c r="BM716" i="7"/>
  <c r="BM66" i="7"/>
  <c r="BM635" i="7"/>
  <c r="BM679" i="7"/>
  <c r="BM733" i="7"/>
  <c r="BM203" i="7"/>
  <c r="BM252" i="7"/>
  <c r="BM614" i="7"/>
  <c r="BM660" i="7"/>
  <c r="BM432" i="7"/>
  <c r="BM563" i="7"/>
  <c r="BM657" i="7"/>
  <c r="BM425" i="7"/>
  <c r="BM84" i="7"/>
  <c r="BM802" i="7"/>
  <c r="BM865" i="7"/>
  <c r="BM801" i="7"/>
  <c r="BM430" i="7"/>
  <c r="BM615" i="7"/>
  <c r="BM374" i="7"/>
  <c r="BM90" i="7"/>
  <c r="BM642" i="7"/>
  <c r="BM343" i="7"/>
  <c r="BM140" i="7"/>
  <c r="BM685" i="7"/>
  <c r="BM513" i="7"/>
  <c r="BM407" i="7"/>
  <c r="BM76" i="7"/>
  <c r="BM383" i="7"/>
  <c r="BM11" i="7"/>
  <c r="BM852" i="7"/>
  <c r="BM474" i="7"/>
  <c r="BM172" i="7"/>
  <c r="BM770" i="7"/>
  <c r="BM621" i="7"/>
  <c r="BM417" i="7"/>
  <c r="BM500" i="7"/>
  <c r="BM111" i="7"/>
  <c r="BM193" i="7"/>
  <c r="BM623" i="7"/>
  <c r="BM725" i="7"/>
  <c r="BM178" i="7"/>
  <c r="BM864" i="7"/>
  <c r="BM551" i="7"/>
  <c r="BM678" i="7"/>
  <c r="BM115" i="7"/>
  <c r="BM249" i="7"/>
  <c r="BM643" i="7"/>
  <c r="BM184" i="7"/>
  <c r="BM664" i="7"/>
  <c r="BM154" i="7"/>
  <c r="BM649" i="7"/>
  <c r="BM267" i="7"/>
  <c r="BM313" i="7"/>
  <c r="BM722" i="7"/>
  <c r="BM466" i="7"/>
  <c r="BM462" i="7"/>
  <c r="BM558" i="7"/>
  <c r="BM323" i="7"/>
  <c r="BM125" i="7"/>
  <c r="BM127" i="7"/>
  <c r="BM387" i="7"/>
  <c r="BM616" i="7"/>
  <c r="BM519" i="7"/>
  <c r="BM285" i="7"/>
  <c r="BM630" i="7"/>
  <c r="BM843" i="7"/>
  <c r="BM764" i="7"/>
  <c r="BM461" i="7"/>
  <c r="BM100" i="7"/>
  <c r="BM289" i="7"/>
  <c r="BM384" i="7"/>
  <c r="BM569" i="7"/>
  <c r="BM631" i="7"/>
  <c r="BM152" i="7"/>
  <c r="BM320" i="7"/>
  <c r="BM452" i="7"/>
  <c r="BM136" i="7"/>
  <c r="BM88" i="7"/>
  <c r="BM284" i="7"/>
  <c r="BM858" i="7"/>
  <c r="BM310" i="7"/>
  <c r="BM606" i="7"/>
  <c r="BM855" i="7"/>
  <c r="BM690" i="7"/>
  <c r="BM497" i="7"/>
  <c r="BM808" i="7"/>
  <c r="BM812" i="7"/>
  <c r="BM442" i="7"/>
  <c r="BM141" i="7"/>
  <c r="BM710" i="7"/>
  <c r="BM179" i="7"/>
  <c r="BM723" i="7"/>
  <c r="BM168" i="7"/>
  <c r="BM666" i="7"/>
  <c r="BM717" i="7"/>
  <c r="BM829" i="7"/>
  <c r="BM117" i="7"/>
  <c r="BM340" i="7"/>
  <c r="BM346" i="7"/>
  <c r="BM250" i="7"/>
  <c r="BM729" i="7"/>
  <c r="BM329" i="7"/>
  <c r="BM46" i="7"/>
  <c r="BM366" i="7"/>
  <c r="BM598" i="7"/>
  <c r="BM58" i="7"/>
  <c r="BM418" i="7"/>
  <c r="BM349" i="7"/>
  <c r="BM549" i="7"/>
  <c r="BM768" i="7"/>
  <c r="BM180" i="7"/>
  <c r="BM870" i="7"/>
  <c r="BM397" i="7"/>
  <c r="BM15" i="7"/>
  <c r="BM704" i="7"/>
  <c r="BM552" i="7"/>
  <c r="BM191" i="7"/>
  <c r="BM441" i="7"/>
  <c r="BM719" i="7"/>
  <c r="BM9" i="7"/>
  <c r="BM470" i="7"/>
  <c r="BM597" i="7"/>
  <c r="BM727" i="7"/>
  <c r="BM742" i="7"/>
  <c r="BM287" i="7"/>
  <c r="BM737" i="7"/>
  <c r="BM576" i="7"/>
  <c r="BM201" i="7"/>
  <c r="BM42" i="7"/>
  <c r="BM371" i="7"/>
  <c r="BM197" i="7"/>
  <c r="BM790" i="7"/>
  <c r="BM579" i="7"/>
  <c r="BM611" i="7"/>
  <c r="BM92" i="7"/>
  <c r="BM548" i="7"/>
  <c r="BM302" i="7"/>
  <c r="BM771" i="7"/>
  <c r="BM652" i="7"/>
  <c r="BM304" i="7"/>
  <c r="BM459" i="7"/>
  <c r="BM150" i="7"/>
  <c r="BM806" i="7"/>
  <c r="BM439" i="7"/>
  <c r="BM367" i="7"/>
  <c r="BM823" i="7"/>
  <c r="BM51" i="7"/>
  <c r="BM525" i="7"/>
  <c r="BM437" i="7"/>
  <c r="BM454" i="7"/>
  <c r="BM699" i="7"/>
  <c r="BM503" i="7"/>
  <c r="BM592" i="7"/>
  <c r="BM385" i="7"/>
  <c r="BM830" i="7"/>
  <c r="BM789" i="7"/>
  <c r="BM848" i="7"/>
  <c r="BM687" i="7"/>
  <c r="BM242" i="7"/>
  <c r="BM715" i="7"/>
  <c r="BM226" i="7"/>
  <c r="BM386" i="7"/>
  <c r="BM318" i="7"/>
  <c r="BM846" i="7"/>
  <c r="BM559" i="7"/>
  <c r="BM784" i="7"/>
  <c r="BM575" i="7"/>
  <c r="BM122" i="7"/>
  <c r="BM813" i="7"/>
  <c r="BM181" i="7"/>
  <c r="BM787" i="7"/>
  <c r="BM85" i="7"/>
  <c r="BM405" i="7"/>
  <c r="BM438" i="7"/>
  <c r="BM409" i="7"/>
  <c r="BM610" i="7"/>
  <c r="BM103" i="7"/>
  <c r="BM272" i="7"/>
  <c r="BM867" i="7"/>
  <c r="BM60" i="7"/>
  <c r="BM414" i="7"/>
  <c r="BM351" i="7"/>
  <c r="BM822" i="7"/>
  <c r="BM516" i="7"/>
  <c r="BM444" i="7"/>
  <c r="BM482" i="7"/>
  <c r="BM128" i="7"/>
  <c r="BM187" i="7"/>
  <c r="BM400" i="7"/>
  <c r="BM819" i="7"/>
  <c r="BM582" i="7"/>
  <c r="BM34" i="7"/>
  <c r="BM681" i="7"/>
  <c r="BM220" i="7"/>
  <c r="BM54" i="7"/>
  <c r="BM619" i="7"/>
  <c r="BM740" i="7"/>
  <c r="BM759" i="7"/>
  <c r="BM658" i="7"/>
  <c r="BM587" i="7"/>
  <c r="BM429" i="7"/>
  <c r="BM600" i="7"/>
  <c r="BM216" i="7"/>
  <c r="BM22" i="7"/>
  <c r="BM202" i="7"/>
  <c r="BM586" i="7"/>
  <c r="BM399" i="7"/>
  <c r="BM511" i="7"/>
  <c r="BM194" i="7"/>
  <c r="BM676" i="7"/>
  <c r="BM138" i="7"/>
  <c r="BM680" i="7"/>
  <c r="BM298" i="7"/>
  <c r="BM261" i="7"/>
  <c r="BM40" i="7"/>
  <c r="BM80" i="7"/>
  <c r="BM736" i="7"/>
  <c r="BM275" i="7"/>
  <c r="BM393" i="7"/>
  <c r="BM144" i="7"/>
  <c r="BM601" i="7"/>
  <c r="BM64" i="7"/>
  <c r="BM89" i="7"/>
  <c r="BM436" i="7"/>
  <c r="BM484" i="7"/>
  <c r="BM696" i="7"/>
  <c r="BM207" i="7"/>
  <c r="BM316" i="7"/>
  <c r="BM14" i="7"/>
  <c r="BM682" i="7"/>
  <c r="BM344" i="7"/>
  <c r="BM233" i="7"/>
  <c r="BM645" i="7"/>
  <c r="BM718" i="7"/>
  <c r="BM554" i="7"/>
  <c r="BM165" i="7"/>
  <c r="BM440" i="7"/>
  <c r="BM824" i="7"/>
  <c r="BM333" i="7"/>
  <c r="BM45" i="7"/>
  <c r="BM827" i="7"/>
  <c r="BM634" i="7"/>
  <c r="BM388" i="7"/>
  <c r="BM757" i="7"/>
  <c r="BM423" i="7"/>
  <c r="BM523" i="7"/>
  <c r="BM428" i="7"/>
  <c r="BM814" i="7"/>
  <c r="BM596" i="7"/>
  <c r="BM259" i="7"/>
  <c r="BM200" i="7"/>
  <c r="BM672" i="7"/>
  <c r="BM61" i="7"/>
  <c r="BM297" i="7"/>
  <c r="BM380" i="7"/>
  <c r="BM334" i="7"/>
  <c r="BM290" i="7"/>
  <c r="BM767" i="7"/>
  <c r="BM702" i="7"/>
  <c r="BM499" i="7"/>
  <c r="BM494" i="7"/>
  <c r="BM335" i="7"/>
  <c r="BM565" i="7"/>
  <c r="BM174" i="7"/>
  <c r="BM56" i="7"/>
  <c r="BM338" i="7"/>
  <c r="BM485" i="7"/>
  <c r="BM595" i="7"/>
  <c r="BM531" i="7"/>
  <c r="BM526" i="7"/>
  <c r="BM19" i="7"/>
  <c r="BM604" i="7"/>
  <c r="BM359" i="7"/>
  <c r="BM585" i="7"/>
  <c r="BM25" i="7"/>
  <c r="BM762" i="7"/>
  <c r="BM110" i="7"/>
  <c r="BM422" i="7"/>
  <c r="BM753" i="7"/>
  <c r="BM507" i="7"/>
  <c r="BM79" i="7"/>
  <c r="BM362" i="7"/>
  <c r="BM341" i="7"/>
  <c r="BM477" i="7"/>
  <c r="BM573" i="7"/>
  <c r="BM133" i="7"/>
  <c r="BM17" i="7"/>
  <c r="BM524" i="7"/>
  <c r="BM529" i="7"/>
  <c r="BM164" i="7"/>
  <c r="BM243" i="7"/>
  <c r="BM81" i="7"/>
  <c r="BM555" i="7"/>
  <c r="BM102" i="7"/>
  <c r="BM785" i="7"/>
  <c r="BM749" i="7"/>
  <c r="BM114" i="7"/>
  <c r="BM514" i="7"/>
  <c r="BM851" i="7"/>
  <c r="BM735" i="7"/>
  <c r="BM765" i="7"/>
  <c r="BM354" i="7"/>
  <c r="BM539" i="7"/>
  <c r="BM262" i="7"/>
  <c r="BM280" i="7"/>
  <c r="BM637" i="7"/>
  <c r="BM282" i="7"/>
  <c r="BM27" i="7"/>
  <c r="BM668" i="7"/>
  <c r="BM256" i="7"/>
  <c r="BM105" i="7"/>
  <c r="BM629" i="7"/>
  <c r="BM707" i="7"/>
  <c r="BM427" i="7"/>
  <c r="BM632" i="7"/>
  <c r="BM512" i="7"/>
  <c r="BM800" i="7"/>
  <c r="BM469" i="7"/>
  <c r="BM245" i="7"/>
  <c r="BM609" i="7"/>
  <c r="BM124" i="7"/>
  <c r="BM147" i="7"/>
  <c r="BM402" i="7"/>
  <c r="BM528" i="7"/>
  <c r="BM564" i="7"/>
  <c r="BM32" i="7"/>
  <c r="BM319" i="7"/>
  <c r="BM240" i="7"/>
  <c r="BM97" i="7"/>
  <c r="BM328" i="7"/>
  <c r="BM667" i="7"/>
  <c r="BM857" i="7"/>
  <c r="BM451" i="7"/>
  <c r="BM376" i="7"/>
  <c r="BM44" i="7"/>
  <c r="BM18" i="7"/>
  <c r="BM756" i="7"/>
  <c r="BM209" i="7"/>
  <c r="BM183" i="7"/>
  <c r="BM547" i="7"/>
  <c r="BM540" i="7"/>
  <c r="BM273" i="7"/>
  <c r="BM279" i="7"/>
  <c r="BM72" i="7"/>
  <c r="BM628" i="7"/>
  <c r="BM820" i="7"/>
  <c r="BM618" i="7"/>
  <c r="BM129" i="7"/>
  <c r="BM791" i="7"/>
  <c r="BM29" i="7"/>
  <c r="BM673" i="7"/>
  <c r="BM714" i="7"/>
  <c r="BM57" i="7"/>
  <c r="BM708" i="7"/>
  <c r="BM491" i="7"/>
  <c r="BM186" i="7"/>
  <c r="BM479" i="7"/>
  <c r="BM26" i="7"/>
  <c r="BM416" i="7"/>
  <c r="BM361" i="7"/>
  <c r="BM671" i="7"/>
  <c r="BM161" i="7"/>
  <c r="BM578" i="7"/>
  <c r="BM213" i="7"/>
  <c r="BM854" i="7"/>
  <c r="BM291" i="7"/>
  <c r="BM518" i="7"/>
  <c r="BM730" i="7"/>
  <c r="BM826" i="7"/>
  <c r="BM457" i="7"/>
  <c r="BM75" i="7"/>
  <c r="BM410" i="7"/>
  <c r="BM593" i="7"/>
  <c r="BM30" i="7"/>
  <c r="BM515" i="7"/>
  <c r="BM748" i="7"/>
  <c r="BM648" i="7"/>
  <c r="BM219" i="7"/>
  <c r="BM403" i="7"/>
  <c r="BM613" i="7"/>
  <c r="BM198" i="7"/>
  <c r="BM389" i="7"/>
  <c r="BR518" i="7"/>
  <c r="BS518" i="7" s="1"/>
  <c r="BR405" i="7"/>
  <c r="BS405" i="7" s="1"/>
  <c r="BM166" i="7"/>
  <c r="BM464" i="7"/>
  <c r="BM443" i="7"/>
  <c r="BM705" i="7"/>
  <c r="BM308" i="7"/>
  <c r="BM580" i="7"/>
  <c r="BM644" i="7"/>
  <c r="BM473" i="7"/>
  <c r="BM196" i="7"/>
  <c r="BM653" i="7"/>
  <c r="BM68" i="7"/>
  <c r="BM8" i="7"/>
  <c r="BM669" i="7"/>
  <c r="BM109" i="7"/>
  <c r="BM87" i="7"/>
  <c r="BM836" i="7"/>
  <c r="BM35" i="7"/>
  <c r="BM695" i="7"/>
  <c r="BM472" i="7"/>
  <c r="BM132" i="7"/>
  <c r="BM53" i="7"/>
  <c r="BM263" i="7"/>
  <c r="BM693" i="7"/>
  <c r="BR459" i="7"/>
  <c r="BS459" i="7" s="1"/>
  <c r="BR365" i="7"/>
  <c r="BS365" i="7" s="1"/>
  <c r="BR581" i="7"/>
  <c r="BS581" i="7" s="1"/>
  <c r="BR857" i="7"/>
  <c r="BS857" i="7" s="1"/>
  <c r="BR75" i="7"/>
  <c r="BS75" i="7" s="1"/>
  <c r="BR621" i="7"/>
  <c r="BS621" i="7" s="1"/>
  <c r="BR340" i="7"/>
  <c r="BS340" i="7" s="1"/>
  <c r="BR203" i="7"/>
  <c r="BS203" i="7" s="1"/>
  <c r="BR820" i="7"/>
  <c r="BS820" i="7" s="1"/>
  <c r="BR361" i="7"/>
  <c r="BS361" i="7" s="1"/>
  <c r="BR172" i="7"/>
  <c r="BS172" i="7" s="1"/>
  <c r="BR415" i="7"/>
  <c r="BS415" i="7" s="1"/>
  <c r="BR802" i="7"/>
  <c r="BS802" i="7" s="1"/>
  <c r="BR571" i="7"/>
  <c r="BS571" i="7" s="1"/>
  <c r="BR601" i="7"/>
  <c r="BS601" i="7" s="1"/>
  <c r="BR110" i="7"/>
  <c r="BS110" i="7" s="1"/>
  <c r="BR409" i="7"/>
  <c r="BS409" i="7" s="1"/>
  <c r="BR250" i="7"/>
  <c r="BS250" i="7" s="1"/>
  <c r="BR843" i="7"/>
  <c r="BS843" i="7" s="1"/>
  <c r="BR829" i="7"/>
  <c r="BS829" i="7" s="1"/>
  <c r="BR443" i="7"/>
  <c r="BS443" i="7" s="1"/>
  <c r="BR473" i="7"/>
  <c r="BS473" i="7" s="1"/>
  <c r="BR193" i="7"/>
  <c r="BS193" i="7" s="1"/>
  <c r="BR749" i="7"/>
  <c r="BS749" i="7" s="1"/>
  <c r="BR610" i="7"/>
  <c r="BS610" i="7" s="1"/>
  <c r="BR362" i="7"/>
  <c r="BS362" i="7" s="1"/>
  <c r="BR619" i="7"/>
  <c r="BS619" i="7" s="1"/>
  <c r="BR825" i="7"/>
  <c r="BS825" i="7" s="1"/>
  <c r="BR387" i="7"/>
  <c r="BS387" i="7" s="1"/>
  <c r="BR294" i="7"/>
  <c r="BS294" i="7" s="1"/>
  <c r="BR586" i="7"/>
  <c r="BS586" i="7" s="1"/>
  <c r="BR512" i="7"/>
  <c r="BS512" i="7" s="1"/>
  <c r="BR723" i="7"/>
  <c r="BS723" i="7" s="1"/>
  <c r="BR113" i="7"/>
  <c r="BS113" i="7" s="1"/>
  <c r="BR851" i="7"/>
  <c r="BS851" i="7" s="1"/>
  <c r="BR89" i="7"/>
  <c r="BS89" i="7" s="1"/>
  <c r="BR186" i="7"/>
  <c r="BS186" i="7" s="1"/>
  <c r="BR532" i="7"/>
  <c r="BS532" i="7" s="1"/>
  <c r="BR280" i="7"/>
  <c r="BS280" i="7" s="1"/>
  <c r="BR807" i="7"/>
  <c r="BS807" i="7" s="1"/>
  <c r="BR755" i="7"/>
  <c r="BS755" i="7" s="1"/>
  <c r="BR162" i="7"/>
  <c r="BS162" i="7" s="1"/>
  <c r="BR363" i="7"/>
  <c r="BS363" i="7" s="1"/>
  <c r="BR789" i="7"/>
  <c r="BS789" i="7" s="1"/>
  <c r="BR622" i="7"/>
  <c r="BS622" i="7" s="1"/>
  <c r="BR435" i="7"/>
  <c r="BS435" i="7" s="1"/>
  <c r="BR343" i="7"/>
  <c r="BS343" i="7" s="1"/>
  <c r="BR487" i="7"/>
  <c r="BS487" i="7" s="1"/>
  <c r="BR785" i="7"/>
  <c r="BS785" i="7" s="1"/>
  <c r="BR645" i="7"/>
  <c r="BS645" i="7" s="1"/>
  <c r="BR341" i="7"/>
  <c r="BS341" i="7" s="1"/>
  <c r="BR575" i="7"/>
  <c r="BS575" i="7" s="1"/>
  <c r="BR722" i="7"/>
  <c r="BS722" i="7" s="1"/>
  <c r="BR173" i="7"/>
  <c r="BS173" i="7" s="1"/>
  <c r="BR219" i="7"/>
  <c r="BS219" i="7" s="1"/>
  <c r="BR545" i="7"/>
  <c r="BS545" i="7" s="1"/>
  <c r="BR457" i="7"/>
  <c r="BS457" i="7" s="1"/>
  <c r="BR710" i="7"/>
  <c r="BS710" i="7" s="1"/>
  <c r="BR734" i="7"/>
  <c r="BS734" i="7" s="1"/>
  <c r="BR852" i="7"/>
  <c r="BS852" i="7" s="1"/>
  <c r="BR268" i="7"/>
  <c r="BS268" i="7" s="1"/>
  <c r="BR374" i="7"/>
  <c r="BS374" i="7" s="1"/>
  <c r="BR721" i="7"/>
  <c r="BS721" i="7" s="1"/>
  <c r="BR183" i="7"/>
  <c r="BS183" i="7" s="1"/>
  <c r="BR261" i="7"/>
  <c r="BS261" i="7" s="1"/>
  <c r="BR226" i="7"/>
  <c r="BS226" i="7" s="1"/>
  <c r="BR526" i="7"/>
  <c r="BS526" i="7" s="1"/>
  <c r="BR761" i="7"/>
  <c r="BS761" i="7" s="1"/>
  <c r="BR615" i="7"/>
  <c r="BS615" i="7" s="1"/>
  <c r="BR237" i="7"/>
  <c r="BS237" i="7" s="1"/>
  <c r="BR587" i="7"/>
  <c r="BS587" i="7" s="1"/>
  <c r="BR765" i="7"/>
  <c r="BS765" i="7" s="1"/>
  <c r="BR555" i="7"/>
  <c r="BS555" i="7" s="1"/>
  <c r="BR494" i="7"/>
  <c r="BS494" i="7" s="1"/>
  <c r="BR794" i="7"/>
  <c r="BS794" i="7" s="1"/>
  <c r="BR383" i="7"/>
  <c r="BS383" i="7" s="1"/>
  <c r="BR653" i="7"/>
  <c r="BS653" i="7" s="1"/>
  <c r="BR444" i="7"/>
  <c r="BS444" i="7" s="1"/>
  <c r="BR376" i="7"/>
  <c r="BS376" i="7" s="1"/>
  <c r="BR303" i="7"/>
  <c r="BS303" i="7" s="1"/>
  <c r="BR160" i="7"/>
  <c r="BS160" i="7" s="1"/>
  <c r="BR73" i="7"/>
  <c r="BS73" i="7" s="1"/>
  <c r="BR834" i="7"/>
  <c r="BS834" i="7" s="1"/>
  <c r="BR500" i="7"/>
  <c r="BS500" i="7" s="1"/>
  <c r="BR853" i="7"/>
  <c r="BS853" i="7" s="1"/>
  <c r="BR37" i="7"/>
  <c r="BS37" i="7" s="1"/>
  <c r="BR552" i="7"/>
  <c r="BS552" i="7" s="1"/>
  <c r="BR708" i="7"/>
  <c r="BS708" i="7" s="1"/>
  <c r="BR426" i="7"/>
  <c r="BS426" i="7" s="1"/>
  <c r="BR312" i="7"/>
  <c r="BS312" i="7" s="1"/>
  <c r="BR127" i="7"/>
  <c r="BS127" i="7" s="1"/>
  <c r="BR70" i="7"/>
  <c r="BS70" i="7" s="1"/>
  <c r="BR583" i="7"/>
  <c r="BS583" i="7" s="1"/>
  <c r="BR573" i="7"/>
  <c r="BS573" i="7" s="1"/>
  <c r="BR230" i="7"/>
  <c r="BS230" i="7" s="1"/>
  <c r="BR178" i="7"/>
  <c r="BS178" i="7" s="1"/>
  <c r="BR627" i="7"/>
  <c r="BS627" i="7" s="1"/>
  <c r="BR688" i="7"/>
  <c r="BS688" i="7" s="1"/>
  <c r="BR496" i="7"/>
  <c r="BS496" i="7" s="1"/>
  <c r="BR100" i="7"/>
  <c r="BS100" i="7" s="1"/>
  <c r="BR693" i="7"/>
  <c r="BS693" i="7" s="1"/>
  <c r="BR719" i="7"/>
  <c r="BS719" i="7" s="1"/>
  <c r="BR195" i="7"/>
  <c r="BS195" i="7" s="1"/>
  <c r="BR768" i="7"/>
  <c r="BS768" i="7" s="1"/>
  <c r="BR585" i="7"/>
  <c r="BS585" i="7" s="1"/>
  <c r="BR506" i="7"/>
  <c r="BS506" i="7" s="1"/>
  <c r="BR277" i="7"/>
  <c r="BS277" i="7" s="1"/>
  <c r="BR631" i="7"/>
  <c r="BS631" i="7" s="1"/>
  <c r="BR295" i="7"/>
  <c r="BS295" i="7" s="1"/>
  <c r="BR470" i="7"/>
  <c r="BS470" i="7" s="1"/>
  <c r="BR320" i="7"/>
  <c r="BS320" i="7" s="1"/>
  <c r="BR423" i="7"/>
  <c r="BS423" i="7" s="1"/>
  <c r="BR741" i="7"/>
  <c r="BS741" i="7" s="1"/>
  <c r="BR298" i="7"/>
  <c r="BS298" i="7" s="1"/>
  <c r="BR187" i="7"/>
  <c r="BS187" i="7" s="1"/>
  <c r="BR642" i="7"/>
  <c r="BS642" i="7" s="1"/>
  <c r="BR258" i="7"/>
  <c r="BS258" i="7" s="1"/>
  <c r="BR528" i="7"/>
  <c r="BS528" i="7" s="1"/>
  <c r="BR137" i="7"/>
  <c r="BS137" i="7" s="1"/>
  <c r="BR607" i="7"/>
  <c r="BS607" i="7" s="1"/>
  <c r="BR685" i="7"/>
  <c r="BS685" i="7" s="1"/>
  <c r="BR558" i="7"/>
  <c r="BS558" i="7" s="1"/>
  <c r="BR681" i="7"/>
  <c r="BS681" i="7" s="1"/>
  <c r="BR427" i="7"/>
  <c r="BS427" i="7" s="1"/>
  <c r="BR629" i="7"/>
  <c r="BS629" i="7" s="1"/>
  <c r="BR181" i="7"/>
  <c r="BS181" i="7" s="1"/>
  <c r="BR770" i="7"/>
  <c r="BS770" i="7" s="1"/>
  <c r="BR774" i="7"/>
  <c r="BS774" i="7" s="1"/>
  <c r="BR79" i="7"/>
  <c r="BS79" i="7" s="1"/>
  <c r="BR19" i="7"/>
  <c r="BS19" i="7" s="1"/>
  <c r="BR308" i="7"/>
  <c r="BS308" i="7" s="1"/>
  <c r="BR252" i="7"/>
  <c r="BS252" i="7" s="1"/>
  <c r="BR600" i="7"/>
  <c r="BS600" i="7" s="1"/>
  <c r="BR472" i="7"/>
  <c r="BS472" i="7" s="1"/>
  <c r="BR827" i="7"/>
  <c r="BS827" i="7" s="1"/>
  <c r="BR364" i="7"/>
  <c r="BS364" i="7" s="1"/>
  <c r="BR290" i="7"/>
  <c r="BS290" i="7" s="1"/>
  <c r="BR715" i="7"/>
  <c r="BS715" i="7" s="1"/>
  <c r="BR200" i="7"/>
  <c r="BS200" i="7" s="1"/>
  <c r="BR449" i="7"/>
  <c r="BS449" i="7" s="1"/>
  <c r="BR322" i="7"/>
  <c r="BS322" i="7" s="1"/>
  <c r="BR302" i="7"/>
  <c r="BS302" i="7" s="1"/>
  <c r="BR771" i="7"/>
  <c r="BS771" i="7" s="1"/>
  <c r="BR385" i="7"/>
  <c r="BS385" i="7" s="1"/>
  <c r="BR174" i="7"/>
  <c r="BS174" i="7" s="1"/>
  <c r="BR515" i="7"/>
  <c r="BS515" i="7" s="1"/>
  <c r="BR748" i="7"/>
  <c r="BS748" i="7" s="1"/>
  <c r="BR539" i="7"/>
  <c r="BS539" i="7" s="1"/>
  <c r="BR502" i="7"/>
  <c r="BS502" i="7" s="1"/>
  <c r="BR404" i="7"/>
  <c r="BS404" i="7" s="1"/>
  <c r="BR240" i="7"/>
  <c r="BS240" i="7" s="1"/>
  <c r="BR147" i="7"/>
  <c r="BS147" i="7" s="1"/>
  <c r="BR584" i="7"/>
  <c r="BS584" i="7" s="1"/>
  <c r="BR570" i="7"/>
  <c r="BS570" i="7" s="1"/>
  <c r="BR143" i="7"/>
  <c r="BS143" i="7" s="1"/>
  <c r="BR796" i="7"/>
  <c r="BS796" i="7" s="1"/>
  <c r="BR306" i="7"/>
  <c r="BS306" i="7" s="1"/>
  <c r="BR417" i="7"/>
  <c r="BS417" i="7" s="1"/>
  <c r="BR577" i="7"/>
  <c r="BS577" i="7" s="1"/>
  <c r="BR333" i="7"/>
  <c r="BS333" i="7" s="1"/>
  <c r="BR97" i="7"/>
  <c r="BS97" i="7" s="1"/>
  <c r="BR686" i="7"/>
  <c r="BS686" i="7" s="1"/>
  <c r="BR389" i="7"/>
  <c r="BS389" i="7" s="1"/>
  <c r="BR228" i="7"/>
  <c r="BS228" i="7" s="1"/>
  <c r="BR381" i="7"/>
  <c r="BS381" i="7" s="1"/>
  <c r="BR388" i="7"/>
  <c r="BS388" i="7" s="1"/>
  <c r="BR356" i="7"/>
  <c r="BS356" i="7" s="1"/>
  <c r="BR398" i="7"/>
  <c r="BS398" i="7" s="1"/>
  <c r="BR256" i="7"/>
  <c r="BS256" i="7" s="1"/>
  <c r="BR359" i="7"/>
  <c r="BS359" i="7" s="1"/>
  <c r="BR565" i="7"/>
  <c r="BS565" i="7" s="1"/>
  <c r="BR833" i="7"/>
  <c r="BS833" i="7" s="1"/>
  <c r="BR451" i="7"/>
  <c r="BS451" i="7" s="1"/>
  <c r="BR816" i="7"/>
  <c r="BS816" i="7" s="1"/>
  <c r="BR168" i="7"/>
  <c r="BS168" i="7" s="1"/>
  <c r="BR740" i="7"/>
  <c r="BS740" i="7" s="1"/>
  <c r="BR325" i="7"/>
  <c r="BS325" i="7" s="1"/>
  <c r="BR669" i="7"/>
  <c r="BS669" i="7" s="1"/>
  <c r="BR103" i="7"/>
  <c r="BS103" i="7" s="1"/>
  <c r="BR867" i="7"/>
  <c r="BS867" i="7" s="1"/>
  <c r="BR196" i="7"/>
  <c r="BS196" i="7" s="1"/>
  <c r="BR140" i="7"/>
  <c r="BS140" i="7" s="1"/>
  <c r="BR716" i="7"/>
  <c r="BS716" i="7" s="1"/>
  <c r="BR658" i="7"/>
  <c r="BS658" i="7" s="1"/>
  <c r="BR717" i="7"/>
  <c r="BS717" i="7" s="1"/>
  <c r="BR482" i="7"/>
  <c r="BS482" i="7" s="1"/>
  <c r="BR289" i="7"/>
  <c r="BS289" i="7" s="1"/>
  <c r="BR667" i="7"/>
  <c r="BS667" i="7" s="1"/>
  <c r="BR758" i="7"/>
  <c r="BS758" i="7" s="1"/>
  <c r="BR148" i="7"/>
  <c r="BS148" i="7" s="1"/>
  <c r="BR125" i="7"/>
  <c r="BS125" i="7" s="1"/>
  <c r="BR151" i="7"/>
  <c r="BS151" i="7" s="1"/>
  <c r="BR579" i="7"/>
  <c r="BS579" i="7" s="1"/>
  <c r="BR649" i="7"/>
  <c r="BS649" i="7" s="1"/>
  <c r="BR865" i="7"/>
  <c r="BS865" i="7" s="1"/>
  <c r="BR401" i="7"/>
  <c r="BS401" i="7" s="1"/>
  <c r="BR407" i="7"/>
  <c r="BS407" i="7" s="1"/>
  <c r="BR12" i="7"/>
  <c r="BS12" i="7" s="1"/>
  <c r="BR22" i="7"/>
  <c r="BS22" i="7" s="1"/>
  <c r="BR236" i="7"/>
  <c r="BS236" i="7" s="1"/>
  <c r="BR522" i="7"/>
  <c r="BS522" i="7" s="1"/>
  <c r="BR42" i="7"/>
  <c r="BS42" i="7" s="1"/>
  <c r="BR135" i="7"/>
  <c r="BS135" i="7" s="1"/>
  <c r="BR80" i="7"/>
  <c r="BS80" i="7" s="1"/>
  <c r="BR279" i="7"/>
  <c r="BS279" i="7" s="1"/>
  <c r="BR523" i="7"/>
  <c r="BS523" i="7" s="1"/>
  <c r="BR61" i="7"/>
  <c r="BS61" i="7" s="1"/>
  <c r="BR800" i="7"/>
  <c r="BS800" i="7" s="1"/>
  <c r="BR560" i="7"/>
  <c r="BS560" i="7" s="1"/>
  <c r="BR854" i="7"/>
  <c r="BS854" i="7" s="1"/>
  <c r="BR514" i="7"/>
  <c r="BS514" i="7" s="1"/>
  <c r="BR663" i="7"/>
  <c r="BS663" i="7" s="1"/>
  <c r="BR824" i="7"/>
  <c r="BS824" i="7" s="1"/>
  <c r="BR122" i="7"/>
  <c r="BS122" i="7" s="1"/>
  <c r="BR446" i="7"/>
  <c r="BS446" i="7" s="1"/>
  <c r="BR578" i="7"/>
  <c r="BS578" i="7" s="1"/>
  <c r="BR838" i="7"/>
  <c r="BS838" i="7" s="1"/>
  <c r="BR414" i="7"/>
  <c r="BS414" i="7" s="1"/>
  <c r="BR724" i="7"/>
  <c r="BS724" i="7" s="1"/>
  <c r="BR349" i="7"/>
  <c r="BS349" i="7" s="1"/>
  <c r="BR132" i="7"/>
  <c r="BS132" i="7" s="1"/>
  <c r="BR524" i="7"/>
  <c r="BS524" i="7" s="1"/>
  <c r="BR344" i="7"/>
  <c r="BS344" i="7" s="1"/>
  <c r="BR319" i="7"/>
  <c r="BS319" i="7" s="1"/>
  <c r="BR21" i="7"/>
  <c r="BS21" i="7" s="1"/>
  <c r="BR166" i="7"/>
  <c r="BS166" i="7" s="1"/>
  <c r="BR88" i="7"/>
  <c r="BS88" i="7" s="1"/>
  <c r="BR44" i="7"/>
  <c r="BS44" i="7" s="1"/>
  <c r="BR795" i="7"/>
  <c r="BS795" i="7" s="1"/>
  <c r="BR141" i="7"/>
  <c r="BS141" i="7" s="1"/>
  <c r="BR399" i="7"/>
  <c r="BS399" i="7" s="1"/>
  <c r="BR541" i="7"/>
  <c r="BS541" i="7" s="1"/>
  <c r="BR129" i="7"/>
  <c r="BS129" i="7" s="1"/>
  <c r="BR529" i="7"/>
  <c r="BS529" i="7" s="1"/>
  <c r="BR208" i="7"/>
  <c r="BS208" i="7" s="1"/>
  <c r="BR386" i="7"/>
  <c r="BS386" i="7" s="1"/>
  <c r="BR220" i="7"/>
  <c r="BS220" i="7" s="1"/>
  <c r="BR780" i="7"/>
  <c r="BS780" i="7" s="1"/>
  <c r="BR13" i="7"/>
  <c r="BS13" i="7" s="1"/>
  <c r="BR334" i="7"/>
  <c r="BS334" i="7" s="1"/>
  <c r="BR194" i="7"/>
  <c r="BS194" i="7" s="1"/>
  <c r="BR870" i="7"/>
  <c r="BS870" i="7" s="1"/>
  <c r="BR293" i="7"/>
  <c r="BS293" i="7" s="1"/>
  <c r="BR284" i="7"/>
  <c r="BS284" i="7" s="1"/>
  <c r="BR438" i="7"/>
  <c r="BS438" i="7" s="1"/>
  <c r="BR564" i="7"/>
  <c r="BS564" i="7" s="1"/>
  <c r="BR54" i="7"/>
  <c r="BS54" i="7" s="1"/>
  <c r="BR267" i="7"/>
  <c r="BS267" i="7" s="1"/>
  <c r="BR45" i="7"/>
  <c r="BS45" i="7" s="1"/>
  <c r="BR201" i="7"/>
  <c r="BS201" i="7" s="1"/>
  <c r="BR436" i="7"/>
  <c r="BS436" i="7" s="1"/>
  <c r="BR546" i="7"/>
  <c r="BS546" i="7" s="1"/>
  <c r="BR424" i="7"/>
  <c r="BS424" i="7" s="1"/>
  <c r="BR664" i="7"/>
  <c r="BS664" i="7" s="1"/>
  <c r="BR233" i="7"/>
  <c r="BS233" i="7" s="1"/>
  <c r="BR809" i="7"/>
  <c r="BS809" i="7" s="1"/>
  <c r="BR623" i="7"/>
  <c r="BS623" i="7" s="1"/>
  <c r="BR747" i="7"/>
  <c r="BS747" i="7" s="1"/>
  <c r="BR28" i="7"/>
  <c r="BS28" i="7" s="1"/>
  <c r="BR782" i="7"/>
  <c r="BS782" i="7" s="1"/>
  <c r="BR184" i="7"/>
  <c r="BS184" i="7" s="1"/>
  <c r="BR242" i="7"/>
  <c r="BS242" i="7" s="1"/>
  <c r="BR128" i="7"/>
  <c r="BS128" i="7" s="1"/>
  <c r="BR822" i="7"/>
  <c r="BS822" i="7" s="1"/>
  <c r="BR8" i="7"/>
  <c r="BS8" i="7" s="1"/>
  <c r="BR511" i="7"/>
  <c r="BS511" i="7" s="1"/>
  <c r="BR216" i="7"/>
  <c r="BS216" i="7" s="1"/>
  <c r="BR779" i="7"/>
  <c r="BS779" i="7" s="1"/>
  <c r="BR411" i="7"/>
  <c r="BS411" i="7" s="1"/>
  <c r="BR26" i="7"/>
  <c r="BS26" i="7" s="1"/>
  <c r="BR422" i="7"/>
  <c r="BS422" i="7" s="1"/>
  <c r="BR510" i="7"/>
  <c r="BS510" i="7" s="1"/>
  <c r="BR762" i="7"/>
  <c r="BS762" i="7" s="1"/>
  <c r="BR212" i="7"/>
  <c r="BS212" i="7" s="1"/>
  <c r="BR328" i="7"/>
  <c r="BS328" i="7" s="1"/>
  <c r="BR497" i="7"/>
  <c r="BS497" i="7" s="1"/>
  <c r="BR549" i="7"/>
  <c r="BS549" i="7" s="1"/>
  <c r="BR735" i="7"/>
  <c r="BS735" i="7" s="1"/>
  <c r="BR699" i="7"/>
  <c r="BS699" i="7" s="1"/>
  <c r="BR756" i="7"/>
  <c r="BS756" i="7" s="1"/>
  <c r="BR752" i="7"/>
  <c r="BS752" i="7" s="1"/>
  <c r="BR602" i="7"/>
  <c r="BS602" i="7" s="1"/>
  <c r="BR656" i="7"/>
  <c r="BS656" i="7" s="1"/>
  <c r="BR66" i="7"/>
  <c r="BS66" i="7" s="1"/>
  <c r="BR714" i="7"/>
  <c r="BS714" i="7" s="1"/>
  <c r="BR533" i="7"/>
  <c r="BS533" i="7" s="1"/>
  <c r="BR190" i="7"/>
  <c r="BS190" i="7" s="1"/>
  <c r="BR531" i="7"/>
  <c r="BS531" i="7" s="1"/>
  <c r="BR272" i="7"/>
  <c r="BS272" i="7" s="1"/>
  <c r="BR704" i="7"/>
  <c r="BS704" i="7" s="1"/>
  <c r="BR255" i="7"/>
  <c r="BS255" i="7" s="1"/>
  <c r="BR826" i="7"/>
  <c r="BS826" i="7" s="1"/>
  <c r="BR731" i="7"/>
  <c r="BS731" i="7" s="1"/>
  <c r="BR397" i="7"/>
  <c r="BS397" i="7" s="1"/>
  <c r="BR81" i="7"/>
  <c r="BS81" i="7" s="1"/>
  <c r="BR403" i="7"/>
  <c r="BS403" i="7" s="1"/>
  <c r="BR773" i="7"/>
  <c r="BS773" i="7" s="1"/>
  <c r="BR856" i="7"/>
  <c r="BS856" i="7" s="1"/>
  <c r="BR679" i="7"/>
  <c r="BS679" i="7" s="1"/>
  <c r="BR134" i="7"/>
  <c r="BS134" i="7" s="1"/>
  <c r="BR74" i="7"/>
  <c r="BS74" i="7" s="1"/>
  <c r="BR637" i="7"/>
  <c r="BS637" i="7" s="1"/>
  <c r="BR673" i="7"/>
  <c r="BS673" i="7" s="1"/>
  <c r="BR676" i="7"/>
  <c r="BS676" i="7" s="1"/>
  <c r="BR551" i="7"/>
  <c r="BS551" i="7" s="1"/>
  <c r="BR35" i="7"/>
  <c r="BS35" i="7" s="1"/>
  <c r="BR313" i="7"/>
  <c r="BS313" i="7" s="1"/>
  <c r="BR46" i="7"/>
  <c r="BS46" i="7" s="1"/>
  <c r="BR863" i="7"/>
  <c r="BS863" i="7" s="1"/>
  <c r="BR56" i="7"/>
  <c r="BS56" i="7" s="1"/>
  <c r="BR729" i="7"/>
  <c r="BS729" i="7" s="1"/>
  <c r="BR150" i="7"/>
  <c r="BS150" i="7" s="1"/>
  <c r="BR419" i="7"/>
  <c r="BS419" i="7" s="1"/>
  <c r="BR678" i="7"/>
  <c r="BS678" i="7" s="1"/>
  <c r="BR311" i="7"/>
  <c r="BS311" i="7" s="1"/>
  <c r="BR38" i="7"/>
  <c r="BS38" i="7" s="1"/>
  <c r="BR283" i="7"/>
  <c r="BS283" i="7" s="1"/>
  <c r="BR705" i="7"/>
  <c r="BS705" i="7" s="1"/>
  <c r="BR592" i="7"/>
  <c r="BS592" i="7" s="1"/>
  <c r="BR588" i="7"/>
  <c r="BS588" i="7" s="1"/>
  <c r="BR813" i="7"/>
  <c r="BS813" i="7" s="1"/>
  <c r="BR90" i="7"/>
  <c r="BS90" i="7" s="1"/>
  <c r="BR169" i="7"/>
  <c r="BS169" i="7" s="1"/>
  <c r="BR777" i="7"/>
  <c r="BS777" i="7" s="1"/>
  <c r="BR146" i="7"/>
  <c r="BS146" i="7" s="1"/>
  <c r="BR154" i="7"/>
  <c r="BS154" i="7" s="1"/>
  <c r="BR331" i="7"/>
  <c r="BS331" i="7" s="1"/>
  <c r="BR428" i="7"/>
  <c r="BS428" i="7" s="1"/>
  <c r="BR138" i="7"/>
  <c r="BS138" i="7" s="1"/>
  <c r="BR241" i="7"/>
  <c r="BS241" i="7" s="1"/>
  <c r="BR58" i="7"/>
  <c r="BS58" i="7" s="1"/>
  <c r="BR753" i="7"/>
  <c r="BS753" i="7" s="1"/>
  <c r="BR469" i="7"/>
  <c r="BS469" i="7" s="1"/>
  <c r="BR367" i="7"/>
  <c r="BS367" i="7" s="1"/>
  <c r="BR839" i="7"/>
  <c r="BS839" i="7" s="1"/>
  <c r="BR11" i="7"/>
  <c r="BS11" i="7" s="1"/>
  <c r="BR598" i="7"/>
  <c r="BS598" i="7" s="1"/>
  <c r="BR441" i="7"/>
  <c r="BS441" i="7" s="1"/>
  <c r="BR618" i="7"/>
  <c r="BS618" i="7" s="1"/>
  <c r="BR855" i="7"/>
  <c r="BS855" i="7" s="1"/>
  <c r="BR864" i="7"/>
  <c r="BS864" i="7" s="1"/>
  <c r="BR249" i="7"/>
  <c r="BS249" i="7" s="1"/>
  <c r="BR68" i="7"/>
  <c r="BS68" i="7" s="1"/>
  <c r="BR690" i="7"/>
  <c r="BS690" i="7" s="1"/>
  <c r="BR746" i="7"/>
  <c r="BS746" i="7" s="1"/>
  <c r="BR393" i="7"/>
  <c r="BS393" i="7" s="1"/>
  <c r="BR567" i="7"/>
  <c r="BS567" i="7" s="1"/>
  <c r="BR507" i="7"/>
  <c r="BS507" i="7" s="1"/>
  <c r="BR25" i="7"/>
  <c r="BS25" i="7" s="1"/>
  <c r="BR559" i="7"/>
  <c r="BS559" i="7" s="1"/>
  <c r="BR114" i="7"/>
  <c r="BS114" i="7" s="1"/>
  <c r="BR309" i="7"/>
  <c r="BS309" i="7" s="1"/>
  <c r="BR817" i="7"/>
  <c r="BS817" i="7" s="1"/>
  <c r="BR57" i="7"/>
  <c r="BS57" i="7" s="1"/>
  <c r="BR64" i="7"/>
  <c r="BS64" i="7" s="1"/>
  <c r="BR418" i="7"/>
  <c r="BS418" i="7" s="1"/>
  <c r="BR754" i="7"/>
  <c r="BS754" i="7" s="1"/>
  <c r="BR86" i="7"/>
  <c r="BS86" i="7" s="1"/>
  <c r="BR521" i="7"/>
  <c r="BS521" i="7" s="1"/>
  <c r="BR27" i="7"/>
  <c r="BS27" i="7" s="1"/>
  <c r="BR24" i="7"/>
  <c r="BS24" i="7" s="1"/>
  <c r="BR87" i="7"/>
  <c r="BS87" i="7" s="1"/>
  <c r="BR159" i="7"/>
  <c r="BS159" i="7" s="1"/>
  <c r="BR790" i="7"/>
  <c r="BS790" i="7" s="1"/>
  <c r="BR547" i="7"/>
  <c r="BS547" i="7" s="1"/>
  <c r="BR345" i="7"/>
  <c r="BS345" i="7" s="1"/>
  <c r="BR702" i="7"/>
  <c r="BS702" i="7" s="1"/>
  <c r="BR384" i="7"/>
  <c r="BS384" i="7" s="1"/>
  <c r="BR465" i="7"/>
  <c r="BS465" i="7" s="1"/>
  <c r="BR614" i="7"/>
  <c r="BS614" i="7" s="1"/>
  <c r="BR149" i="7"/>
  <c r="BS149" i="7" s="1"/>
  <c r="BR491" i="7"/>
  <c r="BS491" i="7" s="1"/>
  <c r="BR499" i="7"/>
  <c r="BS499" i="7" s="1"/>
  <c r="BR108" i="7"/>
  <c r="BS108" i="7" s="1"/>
  <c r="BR85" i="7"/>
  <c r="BS85" i="7" s="1"/>
  <c r="BR287" i="7"/>
  <c r="BS287" i="7" s="1"/>
  <c r="BR209" i="7"/>
  <c r="BS209" i="7" s="1"/>
  <c r="BR606" i="7"/>
  <c r="BS606" i="7" s="1"/>
  <c r="BR400" i="7"/>
  <c r="BS400" i="7" s="1"/>
  <c r="BR628" i="7"/>
  <c r="BS628" i="7" s="1"/>
  <c r="BR380" i="7"/>
  <c r="BS380" i="7" s="1"/>
  <c r="BR43" i="7"/>
  <c r="BS43" i="7" s="1"/>
  <c r="BR837" i="7"/>
  <c r="BS837" i="7" s="1"/>
  <c r="BR677" i="7"/>
  <c r="BS677" i="7" s="1"/>
  <c r="BR613" i="7"/>
  <c r="BS613" i="7" s="1"/>
  <c r="BR286" i="7"/>
  <c r="BS286" i="7" s="1"/>
  <c r="BR733" i="7"/>
  <c r="BS733" i="7" s="1"/>
  <c r="BR198" i="7"/>
  <c r="BS198" i="7" s="1"/>
  <c r="BR118" i="7"/>
  <c r="BS118" i="7" s="1"/>
  <c r="BR197" i="7"/>
  <c r="BS197" i="7" s="1"/>
  <c r="BR632" i="7"/>
  <c r="BS632" i="7" s="1"/>
  <c r="BR509" i="7"/>
  <c r="BS509" i="7" s="1"/>
  <c r="BR448" i="7"/>
  <c r="BS448" i="7" s="1"/>
  <c r="BR292" i="7"/>
  <c r="BS292" i="7" s="1"/>
  <c r="BR596" i="7"/>
  <c r="BS596" i="7" s="1"/>
  <c r="BR604" i="7"/>
  <c r="BS604" i="7" s="1"/>
  <c r="BR105" i="7"/>
  <c r="BS105" i="7" s="1"/>
  <c r="BR695" i="7"/>
  <c r="BS695" i="7" s="1"/>
  <c r="BR72" i="7"/>
  <c r="BS72" i="7" s="1"/>
  <c r="BR82" i="7"/>
  <c r="BS82" i="7" s="1"/>
  <c r="BR318" i="7"/>
  <c r="BS318" i="7" s="1"/>
  <c r="BR847" i="7"/>
  <c r="BS847" i="7" s="1"/>
  <c r="BR67" i="7"/>
  <c r="BS67" i="7" s="1"/>
  <c r="BR164" i="7"/>
  <c r="BS164" i="7" s="1"/>
  <c r="BR576" i="7"/>
  <c r="BS576" i="7" s="1"/>
  <c r="BR540" i="7"/>
  <c r="BS540" i="7" s="1"/>
  <c r="BR707" i="7"/>
  <c r="BS707" i="7" s="1"/>
  <c r="BR595" i="7"/>
  <c r="BS595" i="7" s="1"/>
  <c r="BR630" i="7"/>
  <c r="BS630" i="7" s="1"/>
  <c r="BR179" i="7"/>
  <c r="BS179" i="7" s="1"/>
  <c r="BR759" i="7"/>
  <c r="BS759" i="7" s="1"/>
  <c r="BR832" i="7"/>
  <c r="BS832" i="7" s="1"/>
  <c r="BR462" i="7"/>
  <c r="BS462" i="7" s="1"/>
  <c r="BR661" i="7"/>
  <c r="BS661" i="7" s="1"/>
  <c r="BR329" i="7"/>
  <c r="BS329" i="7" s="1"/>
  <c r="BR858" i="7"/>
  <c r="BS858" i="7" s="1"/>
  <c r="BR550" i="7"/>
  <c r="BS550" i="7" s="1"/>
  <c r="BR332" i="7"/>
  <c r="BS332" i="7" s="1"/>
  <c r="BR846" i="7"/>
  <c r="BS846" i="7" s="1"/>
  <c r="BR152" i="7"/>
  <c r="BS152" i="7" s="1"/>
  <c r="BR634" i="7"/>
  <c r="BS634" i="7" s="1"/>
  <c r="BR245" i="7"/>
  <c r="BS245" i="7" s="1"/>
  <c r="BR167" i="7"/>
  <c r="BS167" i="7" s="1"/>
  <c r="BR648" i="7"/>
  <c r="BS648" i="7" s="1"/>
  <c r="BR115" i="7"/>
  <c r="BS115" i="7" s="1"/>
  <c r="BR805" i="7"/>
  <c r="BS805" i="7" s="1"/>
  <c r="BR53" i="7"/>
  <c r="BS53" i="7" s="1"/>
  <c r="BR495" i="7"/>
  <c r="BS495" i="7" s="1"/>
  <c r="BR698" i="7"/>
  <c r="BS698" i="7" s="1"/>
  <c r="BR701" i="7"/>
  <c r="BS701" i="7" s="1"/>
  <c r="BR513" i="7"/>
  <c r="BS513" i="7" s="1"/>
  <c r="BR464" i="7"/>
  <c r="BS464" i="7" s="1"/>
  <c r="BR335" i="7"/>
  <c r="BS335" i="7" s="1"/>
  <c r="BR554" i="7"/>
  <c r="BS554" i="7" s="1"/>
  <c r="BR430" i="7"/>
  <c r="BS430" i="7" s="1"/>
  <c r="BR202" i="7"/>
  <c r="BS202" i="7" s="1"/>
  <c r="BR647" i="7"/>
  <c r="BS647" i="7" s="1"/>
  <c r="BR660" i="7"/>
  <c r="BS660" i="7" s="1"/>
  <c r="BR354" i="7"/>
  <c r="BS354" i="7" s="1"/>
  <c r="BR485" i="7"/>
  <c r="BS485" i="7" s="1"/>
  <c r="BR207" i="7"/>
  <c r="BS207" i="7" s="1"/>
  <c r="BR527" i="7"/>
  <c r="BS527" i="7" s="1"/>
  <c r="BR9" i="7"/>
  <c r="BS9" i="7" s="1"/>
  <c r="BR107" i="7"/>
  <c r="BS107" i="7" s="1"/>
  <c r="BR706" i="7"/>
  <c r="BS706" i="7" s="1"/>
  <c r="BR798" i="7"/>
  <c r="BS798" i="7" s="1"/>
  <c r="BR666" i="7"/>
  <c r="BS666" i="7" s="1"/>
  <c r="BR757" i="7"/>
  <c r="BS757" i="7" s="1"/>
  <c r="BR801" i="7"/>
  <c r="BS801" i="7" s="1"/>
  <c r="BR466" i="7"/>
  <c r="BS466" i="7" s="1"/>
  <c r="BR563" i="7"/>
  <c r="BS563" i="7" s="1"/>
  <c r="BR98" i="7"/>
  <c r="BS98" i="7" s="1"/>
  <c r="BR51" i="7"/>
  <c r="BS51" i="7" s="1"/>
  <c r="BR291" i="7"/>
  <c r="BS291" i="7" s="1"/>
  <c r="BR582" i="7"/>
  <c r="BS582" i="7" s="1"/>
  <c r="BR836" i="7"/>
  <c r="BS836" i="7" s="1"/>
  <c r="BR703" i="7"/>
  <c r="BS703" i="7" s="1"/>
  <c r="BR568" i="7"/>
  <c r="BS568" i="7" s="1"/>
  <c r="BR316" i="7"/>
  <c r="BS316" i="7" s="1"/>
  <c r="BR644" i="7"/>
  <c r="BS644" i="7" s="1"/>
  <c r="BR429" i="7"/>
  <c r="BS429" i="7" s="1"/>
  <c r="BR764" i="7"/>
  <c r="BS764" i="7" s="1"/>
  <c r="BR665" i="7"/>
  <c r="BS665" i="7" s="1"/>
  <c r="BR574" i="7"/>
  <c r="BS574" i="7" s="1"/>
  <c r="BR799" i="7"/>
  <c r="BS799" i="7" s="1"/>
  <c r="BR635" i="7"/>
  <c r="BS635" i="7" s="1"/>
  <c r="BR370" i="7"/>
  <c r="BS370" i="7" s="1"/>
  <c r="BR18" i="7"/>
  <c r="BS18" i="7" s="1"/>
  <c r="BR726" i="7"/>
  <c r="BS726" i="7" s="1"/>
  <c r="BR503" i="7"/>
  <c r="BS503" i="7" s="1"/>
  <c r="BR605" i="7"/>
  <c r="BS605" i="7" s="1"/>
  <c r="BR504" i="7"/>
  <c r="BS504" i="7" s="1"/>
  <c r="BR819" i="7"/>
  <c r="BS819" i="7" s="1"/>
  <c r="BR772" i="7"/>
  <c r="BS772" i="7" s="1"/>
  <c r="BR244" i="7"/>
  <c r="BS244" i="7" s="1"/>
  <c r="BR144" i="7"/>
  <c r="BS144" i="7" s="1"/>
  <c r="BR15" i="7"/>
  <c r="BS15" i="7" s="1"/>
  <c r="BR519" i="7"/>
  <c r="BS519" i="7" s="1"/>
  <c r="BR680" i="7"/>
  <c r="BS680" i="7" s="1"/>
  <c r="BR730" i="7"/>
  <c r="BS730" i="7" s="1"/>
  <c r="BR828" i="7"/>
  <c r="BS828" i="7" s="1"/>
  <c r="BR580" i="7"/>
  <c r="BS580" i="7" s="1"/>
  <c r="BR191" i="7"/>
  <c r="BS191" i="7" s="1"/>
  <c r="BR808" i="7"/>
  <c r="BS808" i="7" s="1"/>
  <c r="BR342" i="7"/>
  <c r="BS342" i="7" s="1"/>
  <c r="BR593" i="7"/>
  <c r="BS593" i="7" s="1"/>
  <c r="BR814" i="7"/>
  <c r="BS814" i="7" s="1"/>
  <c r="BR548" i="7"/>
  <c r="BS548" i="7" s="1"/>
  <c r="BR569" i="7"/>
  <c r="BS569" i="7" s="1"/>
  <c r="BR34" i="7"/>
  <c r="BS34" i="7" s="1"/>
  <c r="BR282" i="7"/>
  <c r="BS282" i="7" s="1"/>
  <c r="BR158" i="7"/>
  <c r="BS158" i="7" s="1"/>
  <c r="BR479" i="7"/>
  <c r="BS479" i="7" s="1"/>
  <c r="BR561" i="7"/>
  <c r="BS561" i="7" s="1"/>
  <c r="BR727" i="7"/>
  <c r="BS727" i="7" s="1"/>
  <c r="BR682" i="7"/>
  <c r="BS682" i="7" s="1"/>
  <c r="BR461" i="7"/>
  <c r="BS461" i="7" s="1"/>
  <c r="BR454" i="7"/>
  <c r="BS454" i="7" s="1"/>
  <c r="BR713" i="7"/>
  <c r="BS713" i="7" s="1"/>
  <c r="BR778" i="7"/>
  <c r="BS778" i="7" s="1"/>
  <c r="BR597" i="7"/>
  <c r="BS597" i="7" s="1"/>
  <c r="BR616" i="7"/>
  <c r="BS616" i="7" s="1"/>
  <c r="BR484" i="7"/>
  <c r="BS484" i="7" s="1"/>
  <c r="BR76" i="7"/>
  <c r="BS76" i="7" s="1"/>
  <c r="BR823" i="7"/>
  <c r="BS823" i="7" s="1"/>
  <c r="BR243" i="7"/>
  <c r="BS243" i="7" s="1"/>
  <c r="BR390" i="7"/>
  <c r="BS390" i="7" s="1"/>
  <c r="BR643" i="7"/>
  <c r="BS643" i="7" s="1"/>
  <c r="BR229" i="7"/>
  <c r="BS229" i="7" s="1"/>
  <c r="BR205" i="7"/>
  <c r="BS205" i="7" s="1"/>
  <c r="BR323" i="7"/>
  <c r="BS323" i="7" s="1"/>
  <c r="BR609" i="7"/>
  <c r="BS609" i="7" s="1"/>
  <c r="BR784" i="7"/>
  <c r="BS784" i="7" s="1"/>
  <c r="BR371" i="7"/>
  <c r="BS371" i="7" s="1"/>
  <c r="BR742" i="7"/>
  <c r="BS742" i="7" s="1"/>
  <c r="BR787" i="7"/>
  <c r="BS787" i="7" s="1"/>
  <c r="BR737" i="7"/>
  <c r="BS737" i="7" s="1"/>
  <c r="BR763" i="7"/>
  <c r="BS763" i="7" s="1"/>
  <c r="BR544" i="7"/>
  <c r="BS544" i="7" s="1"/>
  <c r="BR687" i="7"/>
  <c r="BS687" i="7" s="1"/>
  <c r="BR652" i="7"/>
  <c r="BS652" i="7" s="1"/>
  <c r="BR844" i="7"/>
  <c r="BS844" i="7" s="1"/>
  <c r="BR92" i="7"/>
  <c r="BS92" i="7" s="1"/>
  <c r="BR133" i="7"/>
  <c r="BS133" i="7" s="1"/>
  <c r="BR124" i="7"/>
  <c r="BS124" i="7" s="1"/>
  <c r="BR671" i="7"/>
  <c r="BS671" i="7" s="1"/>
  <c r="BR542" i="7"/>
  <c r="BS542" i="7" s="1"/>
  <c r="BR14" i="7"/>
  <c r="BS14" i="7" s="1"/>
  <c r="BR111" i="7"/>
  <c r="BS111" i="7" s="1"/>
  <c r="BR285" i="7"/>
  <c r="BS285" i="7" s="1"/>
  <c r="BR668" i="7"/>
  <c r="BS668" i="7" s="1"/>
  <c r="BR210" i="7"/>
  <c r="BS210" i="7" s="1"/>
  <c r="BR508" i="7"/>
  <c r="BS508" i="7" s="1"/>
  <c r="BR351" i="7"/>
  <c r="BS351" i="7" s="1"/>
  <c r="BR391" i="7"/>
  <c r="BS391" i="7" s="1"/>
  <c r="BR139" i="7"/>
  <c r="BS139" i="7" s="1"/>
  <c r="BR718" i="7"/>
  <c r="BS718" i="7" s="1"/>
  <c r="BR440" i="7"/>
  <c r="BS440" i="7" s="1"/>
  <c r="BR180" i="7"/>
  <c r="BS180" i="7" s="1"/>
  <c r="BR452" i="7"/>
  <c r="BS452" i="7" s="1"/>
  <c r="BR259" i="7"/>
  <c r="BS259" i="7" s="1"/>
  <c r="BR182" i="7"/>
  <c r="BS182" i="7" s="1"/>
  <c r="BR725" i="7"/>
  <c r="BS725" i="7" s="1"/>
  <c r="BR297" i="7"/>
  <c r="BS297" i="7" s="1"/>
  <c r="BR165" i="7"/>
  <c r="BS165" i="7" s="1"/>
  <c r="BR791" i="7"/>
  <c r="BS791" i="7" s="1"/>
  <c r="BR433" i="7"/>
  <c r="BS433" i="7" s="1"/>
  <c r="BR434" i="7"/>
  <c r="BS434" i="7" s="1"/>
  <c r="BR17" i="7"/>
  <c r="BS17" i="7" s="1"/>
  <c r="BR848" i="7"/>
  <c r="BS848" i="7" s="1"/>
  <c r="BR868" i="7"/>
  <c r="BS868" i="7" s="1"/>
  <c r="BR760" i="7"/>
  <c r="BS760" i="7" s="1"/>
  <c r="BR32" i="7"/>
  <c r="BS32" i="7" s="1"/>
  <c r="BR273" i="7"/>
  <c r="BS273" i="7" s="1"/>
  <c r="BR442" i="7"/>
  <c r="BS442" i="7" s="1"/>
  <c r="BR366" i="7"/>
  <c r="BS366" i="7" s="1"/>
  <c r="BR474" i="7"/>
  <c r="BS474" i="7" s="1"/>
  <c r="BR109" i="7"/>
  <c r="BS109" i="7" s="1"/>
  <c r="BR696" i="7"/>
  <c r="BS696" i="7" s="1"/>
  <c r="BR330" i="7"/>
  <c r="BS330" i="7" s="1"/>
  <c r="BR213" i="7"/>
  <c r="BS213" i="7" s="1"/>
  <c r="BR20" i="7"/>
  <c r="BS20" i="7" s="1"/>
  <c r="BR117" i="7"/>
  <c r="BS117" i="7" s="1"/>
  <c r="BR806" i="7"/>
  <c r="BS806" i="7" s="1"/>
  <c r="BR372" i="7"/>
  <c r="BS372" i="7" s="1"/>
  <c r="BR439" i="7"/>
  <c r="BS439" i="7" s="1"/>
  <c r="BR225" i="7"/>
  <c r="BS225" i="7" s="1"/>
  <c r="BR101" i="7"/>
  <c r="BS101" i="7" s="1"/>
  <c r="BR304" i="7"/>
  <c r="BS304" i="7" s="1"/>
  <c r="BR432" i="7"/>
  <c r="BS432" i="7" s="1"/>
  <c r="BR84" i="7"/>
  <c r="BS84" i="7" s="1"/>
  <c r="BR350" i="7"/>
  <c r="BS350" i="7" s="1"/>
  <c r="BR830" i="7"/>
  <c r="BS830" i="7" s="1"/>
  <c r="BR161" i="7"/>
  <c r="BS161" i="7" s="1"/>
  <c r="BR670" i="7"/>
  <c r="BS670" i="7" s="1"/>
  <c r="BR478" i="7"/>
  <c r="BS478" i="7" s="1"/>
  <c r="BR501" i="7"/>
  <c r="BS501" i="7" s="1"/>
  <c r="BR611" i="7"/>
  <c r="BS611" i="7" s="1"/>
  <c r="BR445" i="7"/>
  <c r="BS445" i="7" s="1"/>
  <c r="BR83" i="7"/>
  <c r="BS83" i="7" s="1"/>
  <c r="BR136" i="7"/>
  <c r="BS136" i="7" s="1"/>
  <c r="BR377" i="7"/>
  <c r="BS377" i="7" s="1"/>
  <c r="BR516" i="7"/>
  <c r="BS516" i="7" s="1"/>
  <c r="BR369" i="7"/>
  <c r="BS369" i="7" s="1"/>
  <c r="BR831" i="7"/>
  <c r="BS831" i="7" s="1"/>
  <c r="BR672" i="7"/>
  <c r="BS672" i="7" s="1"/>
  <c r="BR102" i="7"/>
  <c r="BS102" i="7" s="1"/>
  <c r="BR437" i="7"/>
  <c r="BS437" i="7" s="1"/>
  <c r="BR536" i="7"/>
  <c r="BS536" i="7" s="1"/>
  <c r="BR767" i="7"/>
  <c r="BS767" i="7" s="1"/>
  <c r="BR744" i="7"/>
  <c r="BS744" i="7" s="1"/>
  <c r="BR275" i="7"/>
  <c r="BS275" i="7" s="1"/>
  <c r="BR40" i="7"/>
  <c r="BS40" i="7" s="1"/>
  <c r="BR264" i="7"/>
  <c r="BS264" i="7" s="1"/>
  <c r="BR30" i="7"/>
  <c r="BS30" i="7" s="1"/>
  <c r="BR775" i="7"/>
  <c r="BS775" i="7" s="1"/>
  <c r="BR338" i="7"/>
  <c r="BS338" i="7" s="1"/>
  <c r="BR278" i="7"/>
  <c r="BS278" i="7" s="1"/>
  <c r="BR222" i="7"/>
  <c r="BS222" i="7" s="1"/>
  <c r="BR525" i="7"/>
  <c r="BS525" i="7" s="1"/>
  <c r="BR657" i="7"/>
  <c r="BS657" i="7" s="1"/>
  <c r="BR416" i="7"/>
  <c r="BS416" i="7" s="1"/>
  <c r="BR736" i="7"/>
  <c r="BS736" i="7" s="1"/>
  <c r="BR402" i="7"/>
  <c r="BS402" i="7" s="1"/>
  <c r="BR262" i="7"/>
  <c r="BS262" i="7" s="1"/>
  <c r="BR375" i="7"/>
  <c r="BS375" i="7" s="1"/>
  <c r="BR640" i="7"/>
  <c r="BS640" i="7" s="1"/>
  <c r="BR425" i="7"/>
  <c r="BS425" i="7" s="1"/>
  <c r="BR263" i="7"/>
  <c r="BS263" i="7" s="1"/>
  <c r="BR310" i="7"/>
  <c r="BS310" i="7" s="1"/>
  <c r="BR346" i="7"/>
  <c r="BS346" i="7" s="1"/>
  <c r="BR410" i="7"/>
  <c r="BS410" i="7" s="1"/>
  <c r="BR29" i="7"/>
  <c r="BS29" i="7" s="1"/>
  <c r="BR477" i="7"/>
  <c r="BS477" i="7" s="1"/>
  <c r="BR60" i="7"/>
  <c r="BS60" i="7" s="1"/>
  <c r="BR812" i="7"/>
  <c r="BS812" i="7" s="1"/>
  <c r="BJ722" i="7"/>
  <c r="BJ848" i="7"/>
  <c r="BJ425" i="7"/>
  <c r="BJ539" i="7"/>
  <c r="BJ577" i="7"/>
  <c r="BJ549" i="7"/>
  <c r="BJ61" i="7"/>
  <c r="BJ57" i="7"/>
  <c r="BJ12" i="7"/>
  <c r="BJ775" i="7"/>
  <c r="BJ540" i="7"/>
  <c r="BJ342" i="7"/>
  <c r="BJ688" i="7"/>
  <c r="BJ58" i="7"/>
  <c r="BJ434" i="7"/>
  <c r="BJ138" i="7"/>
  <c r="BJ708" i="7"/>
  <c r="BJ699" i="7"/>
  <c r="BJ567" i="7"/>
  <c r="BJ828" i="7"/>
  <c r="BJ614" i="7"/>
  <c r="BJ226" i="7"/>
  <c r="BJ702" i="7"/>
  <c r="BJ588" i="7"/>
  <c r="BJ665" i="7"/>
  <c r="BJ108" i="7"/>
  <c r="BJ27" i="7"/>
  <c r="BJ817" i="7"/>
  <c r="BJ598" i="7"/>
  <c r="BJ118" i="7"/>
  <c r="BJ449" i="7"/>
  <c r="BJ870" i="7"/>
  <c r="BJ568" i="7"/>
  <c r="BJ387" i="7"/>
  <c r="BJ676" i="7"/>
  <c r="BJ830" i="7"/>
  <c r="BJ200" i="7"/>
  <c r="BJ820" i="7"/>
  <c r="BJ673" i="7"/>
  <c r="BJ350" i="7"/>
  <c r="BJ545" i="7"/>
  <c r="BJ198" i="7"/>
  <c r="BJ715" i="7"/>
  <c r="BJ194" i="7"/>
  <c r="BJ703" i="7"/>
  <c r="BJ203" i="7"/>
  <c r="BJ637" i="7"/>
  <c r="BJ84" i="7"/>
  <c r="BJ219" i="7"/>
  <c r="BJ733" i="7"/>
  <c r="BJ290" i="7"/>
  <c r="BJ432" i="7"/>
  <c r="BJ165" i="7"/>
  <c r="BJ796" i="7"/>
  <c r="BJ465" i="7"/>
  <c r="BJ668" i="7"/>
  <c r="BJ259" i="7"/>
  <c r="BJ346" i="7"/>
  <c r="BJ721" i="7"/>
  <c r="BJ399" i="7"/>
  <c r="BJ81" i="7"/>
  <c r="BJ209" i="7"/>
  <c r="BJ308" i="7"/>
  <c r="BJ801" i="7"/>
  <c r="BJ397" i="7"/>
  <c r="BJ132" i="7"/>
  <c r="BJ757" i="7"/>
  <c r="BJ829" i="7"/>
  <c r="BJ778" i="7"/>
  <c r="BJ19" i="7"/>
  <c r="BJ375" i="7"/>
  <c r="BJ147" i="7"/>
  <c r="BJ536" i="7"/>
  <c r="BJ275" i="7"/>
  <c r="BJ393" i="7"/>
  <c r="BJ236" i="7"/>
  <c r="BJ508" i="7"/>
  <c r="BJ854" i="7"/>
  <c r="BJ144" i="7"/>
  <c r="BJ813" i="7"/>
  <c r="BJ370" i="7"/>
  <c r="BJ383" i="7"/>
  <c r="BJ148" i="7"/>
  <c r="BJ162" i="7"/>
  <c r="BJ391" i="7"/>
  <c r="BJ736" i="7"/>
  <c r="BJ782" i="7"/>
  <c r="BJ152" i="7"/>
  <c r="BJ640" i="7"/>
  <c r="BJ343" i="7"/>
  <c r="BJ550" i="7"/>
  <c r="BJ407" i="7"/>
  <c r="BJ852" i="7"/>
  <c r="BJ160" i="7"/>
  <c r="BJ764" i="7"/>
  <c r="BJ56" i="7"/>
  <c r="BJ338" i="7"/>
  <c r="BJ569" i="7"/>
  <c r="BJ452" i="7"/>
  <c r="BJ9" i="7"/>
  <c r="BJ704" i="7"/>
  <c r="BJ377" i="7"/>
  <c r="BJ287" i="7"/>
  <c r="BJ695" i="7"/>
  <c r="BJ181" i="7"/>
  <c r="BJ546" i="7"/>
  <c r="BJ527" i="7"/>
  <c r="BJ409" i="7"/>
  <c r="BJ272" i="7"/>
  <c r="BJ136" i="7"/>
  <c r="BJ105" i="7"/>
  <c r="BJ629" i="7"/>
  <c r="BJ436" i="7"/>
  <c r="BJ207" i="7"/>
  <c r="BJ110" i="7"/>
  <c r="BJ531" i="7"/>
  <c r="BJ83" i="7"/>
  <c r="BJ642" i="7"/>
  <c r="BJ604" i="7"/>
  <c r="BJ201" i="7"/>
  <c r="BJ485" i="7"/>
  <c r="BJ601" i="7"/>
  <c r="BJ190" i="7"/>
  <c r="BJ427" i="7"/>
  <c r="BJ630" i="7"/>
  <c r="BJ241" i="7"/>
  <c r="BJ38" i="7"/>
  <c r="BJ578" i="7"/>
  <c r="BJ14" i="7"/>
  <c r="BJ244" i="7"/>
  <c r="BJ479" i="7"/>
  <c r="BJ151" i="7"/>
  <c r="BJ159" i="7"/>
  <c r="BJ762" i="7"/>
  <c r="BJ622" i="7"/>
  <c r="BJ559" i="7"/>
  <c r="BJ174" i="7"/>
  <c r="BJ381" i="7"/>
  <c r="BJ87" i="7"/>
  <c r="BJ402" i="7"/>
  <c r="BJ755" i="7"/>
  <c r="BJ67" i="7"/>
  <c r="BJ863" i="7"/>
  <c r="BJ149" i="7"/>
  <c r="BJ747" i="7"/>
  <c r="BJ90" i="7"/>
  <c r="BJ26" i="7"/>
  <c r="BJ777" i="7"/>
  <c r="BJ311" i="7"/>
  <c r="BJ853" i="7"/>
  <c r="BJ80" i="7"/>
  <c r="BJ76" i="7"/>
  <c r="BJ11" i="7"/>
  <c r="BJ195" i="7"/>
  <c r="BJ140" i="7"/>
  <c r="BJ21" i="7"/>
  <c r="BJ763" i="7"/>
  <c r="BJ320" i="7"/>
  <c r="BJ461" i="7"/>
  <c r="BJ196" i="7"/>
  <c r="BJ727" i="7"/>
  <c r="BJ737" i="7"/>
  <c r="BJ833" i="7"/>
  <c r="BJ470" i="7"/>
  <c r="BJ513" i="7"/>
  <c r="BJ610" i="7"/>
  <c r="BJ867" i="7"/>
  <c r="BJ474" i="7"/>
  <c r="BJ787" i="7"/>
  <c r="BJ565" i="7"/>
  <c r="BJ295" i="7"/>
  <c r="BJ484" i="7"/>
  <c r="BJ359" i="7"/>
  <c r="BJ263" i="7"/>
  <c r="BJ25" i="7"/>
  <c r="BJ576" i="7"/>
  <c r="BJ858" i="7"/>
  <c r="BJ28" i="7"/>
  <c r="BJ512" i="7"/>
  <c r="BJ771" i="7"/>
  <c r="BJ794" i="7"/>
  <c r="BJ805" i="7"/>
  <c r="BJ790" i="7"/>
  <c r="BJ795" i="7"/>
  <c r="BJ124" i="7"/>
  <c r="BJ400" i="7"/>
  <c r="BJ42" i="7"/>
  <c r="BJ322" i="7"/>
  <c r="BJ351" i="7"/>
  <c r="BJ615" i="7"/>
  <c r="BJ824" i="7"/>
  <c r="BJ384" i="7"/>
  <c r="BJ245" i="7"/>
  <c r="BJ645" i="7"/>
  <c r="BJ414" i="7"/>
  <c r="BJ573" i="7"/>
  <c r="BJ595" i="7"/>
  <c r="BJ671" i="7"/>
  <c r="BJ507" i="7"/>
  <c r="BJ111" i="7"/>
  <c r="BJ446" i="7"/>
  <c r="BJ509" i="7"/>
  <c r="BJ398" i="7"/>
  <c r="BJ564" i="7"/>
  <c r="BJ855" i="7"/>
  <c r="BJ415" i="7"/>
  <c r="BJ607" i="7"/>
  <c r="BJ478" i="7"/>
  <c r="BJ752" i="7"/>
  <c r="BJ438" i="7"/>
  <c r="BJ496" i="7"/>
  <c r="BJ172" i="7"/>
  <c r="BJ213" i="7"/>
  <c r="BJ670" i="7"/>
  <c r="BJ444" i="7"/>
  <c r="BJ632" i="7"/>
  <c r="BJ284" i="7"/>
  <c r="BJ843" i="7"/>
  <c r="BJ554" i="7"/>
  <c r="BJ161" i="7"/>
  <c r="BJ197" i="7"/>
  <c r="BJ43" i="7"/>
  <c r="BJ293" i="7"/>
  <c r="BJ361" i="7"/>
  <c r="BJ256" i="7"/>
  <c r="BJ487" i="7"/>
  <c r="BJ583" i="7"/>
  <c r="BJ240" i="7"/>
  <c r="BJ548" i="7"/>
  <c r="BJ725" i="7"/>
  <c r="BJ344" i="7"/>
  <c r="BJ868" i="7"/>
  <c r="BJ417" i="7"/>
  <c r="BJ730" i="7"/>
  <c r="BJ128" i="7"/>
  <c r="BJ812" i="7"/>
  <c r="BJ422" i="7"/>
  <c r="BJ309" i="7"/>
  <c r="BJ310" i="7"/>
  <c r="BJ724" i="7"/>
  <c r="BJ574" i="7"/>
  <c r="BJ579" i="7"/>
  <c r="BJ561" i="7"/>
  <c r="BJ570" i="7"/>
  <c r="BJ661" i="7"/>
  <c r="BJ707" i="7"/>
  <c r="BJ822" i="7"/>
  <c r="BJ832" i="7"/>
  <c r="BJ97" i="7"/>
  <c r="BJ333" i="7"/>
  <c r="BJ89" i="7"/>
  <c r="BJ798" i="7"/>
  <c r="BJ758" i="7"/>
  <c r="BJ826" i="7"/>
  <c r="BJ133" i="7"/>
  <c r="BJ746" i="7"/>
  <c r="BJ79" i="7"/>
  <c r="BJ193" i="7"/>
  <c r="BJ706" i="7"/>
  <c r="BJ667" i="7"/>
  <c r="BJ32" i="7"/>
  <c r="BJ690" i="7"/>
  <c r="BJ774" i="7"/>
  <c r="BJ473" i="7"/>
  <c r="BJ107" i="7"/>
  <c r="BJ289" i="7"/>
  <c r="BJ255" i="7"/>
  <c r="BJ92" i="7"/>
  <c r="BJ68" i="7"/>
  <c r="BJ770" i="7"/>
  <c r="BJ443" i="7"/>
  <c r="BJ482" i="7"/>
  <c r="BJ844" i="7"/>
  <c r="BJ457" i="7"/>
  <c r="BJ17" i="7"/>
  <c r="BJ753" i="7"/>
  <c r="BJ316" i="7"/>
  <c r="BJ237" i="7"/>
  <c r="BJ113" i="7"/>
  <c r="BJ341" i="7"/>
  <c r="BJ435" i="7"/>
  <c r="BJ312" i="7"/>
  <c r="BJ401" i="7"/>
  <c r="BJ580" i="7"/>
  <c r="BJ426" i="7"/>
  <c r="BJ169" i="7"/>
  <c r="BJ419" i="7"/>
  <c r="BJ504" i="7"/>
  <c r="BJ560" i="7"/>
  <c r="BJ718" i="7"/>
  <c r="BJ678" i="7"/>
  <c r="BJ278" i="7"/>
  <c r="BJ834" i="7"/>
  <c r="BJ283" i="7"/>
  <c r="BJ306" i="7"/>
  <c r="BJ710" i="7"/>
  <c r="BJ222" i="7"/>
  <c r="BJ228" i="7"/>
  <c r="BJ500" i="7"/>
  <c r="BJ150" i="7"/>
  <c r="BJ187" i="7"/>
  <c r="BJ643" i="7"/>
  <c r="BJ442" i="7"/>
  <c r="BJ825" i="7"/>
  <c r="BJ364" i="7"/>
  <c r="BJ836" i="7"/>
  <c r="BJ168" i="7"/>
  <c r="BJ390" i="7"/>
  <c r="BJ606" i="7"/>
  <c r="BJ367" i="7"/>
  <c r="BJ582" i="7"/>
  <c r="BJ816" i="7"/>
  <c r="BJ74" i="7"/>
  <c r="BJ243" i="7"/>
  <c r="BJ698" i="7"/>
  <c r="BJ619" i="7"/>
  <c r="BJ827" i="7"/>
  <c r="BJ528" i="7"/>
  <c r="BJ291" i="7"/>
  <c r="BJ451" i="7"/>
  <c r="BJ134" i="7"/>
  <c r="BJ823" i="7"/>
  <c r="BJ524" i="7"/>
  <c r="BJ362" i="7"/>
  <c r="BJ472" i="7"/>
  <c r="BJ648" i="7"/>
  <c r="BJ502" i="7"/>
  <c r="BJ302" i="7"/>
  <c r="BJ389" i="7"/>
  <c r="BJ814" i="7"/>
  <c r="BJ428" i="7"/>
  <c r="BJ649" i="7"/>
  <c r="BJ429" i="7"/>
  <c r="BJ376" i="7"/>
  <c r="BJ519" i="7"/>
  <c r="BJ114" i="7"/>
  <c r="BJ18" i="7"/>
  <c r="BJ184" i="7"/>
  <c r="BJ749" i="7"/>
  <c r="BJ656" i="7"/>
  <c r="BJ137" i="7"/>
  <c r="BJ756" i="7"/>
  <c r="BJ117" i="7"/>
  <c r="BJ129" i="7"/>
  <c r="BJ616" i="7"/>
  <c r="BJ731" i="7"/>
  <c r="BJ495" i="7"/>
  <c r="BJ30" i="7"/>
  <c r="BJ586" i="7"/>
  <c r="BJ34" i="7"/>
  <c r="BJ644" i="7"/>
  <c r="BJ411" i="7"/>
  <c r="BJ139" i="7"/>
  <c r="BJ754" i="7"/>
  <c r="BJ523" i="7"/>
  <c r="BJ127" i="7"/>
  <c r="BJ497" i="7"/>
  <c r="BJ141" i="7"/>
  <c r="BJ846" i="7"/>
  <c r="BJ115" i="7"/>
  <c r="BJ491" i="7"/>
  <c r="BJ8" i="7"/>
  <c r="BJ70" i="7"/>
  <c r="BJ734" i="7"/>
  <c r="BJ15" i="7"/>
  <c r="BJ477" i="7"/>
  <c r="BJ179" i="7"/>
  <c r="BJ723" i="7"/>
  <c r="BJ785" i="7"/>
  <c r="BJ440" i="7"/>
  <c r="BJ634" i="7"/>
  <c r="BJ319" i="7"/>
  <c r="BJ186" i="7"/>
  <c r="BJ164" i="7"/>
  <c r="BJ593" i="7"/>
  <c r="BJ439" i="7"/>
  <c r="BJ45" i="7"/>
  <c r="BJ571" i="7"/>
  <c r="BJ386" i="7"/>
  <c r="BJ445" i="7"/>
  <c r="BJ857" i="7"/>
  <c r="BJ596" i="7"/>
  <c r="BJ372" i="7"/>
  <c r="BJ208" i="7"/>
  <c r="BJ611" i="7"/>
  <c r="BJ581" i="7"/>
  <c r="BJ292" i="7"/>
  <c r="BJ806" i="7"/>
  <c r="BJ267" i="7"/>
  <c r="BJ677" i="7"/>
  <c r="BJ802" i="7"/>
  <c r="BJ529" i="7"/>
  <c r="BJ501" i="7"/>
  <c r="BJ365" i="7"/>
  <c r="BJ448" i="7"/>
  <c r="BJ54" i="7"/>
  <c r="BJ837" i="7"/>
  <c r="BJ459" i="7"/>
  <c r="BJ551" i="7"/>
  <c r="BJ329" i="7"/>
  <c r="BJ635" i="7"/>
  <c r="BJ216" i="7"/>
  <c r="BJ410" i="7"/>
  <c r="BJ851" i="7"/>
  <c r="BJ705" i="7"/>
  <c r="BJ135" i="7"/>
  <c r="BJ605" i="7"/>
  <c r="BJ808" i="7"/>
  <c r="BJ22" i="7"/>
  <c r="BJ555" i="7"/>
  <c r="BJ433" i="7"/>
  <c r="BJ761" i="7"/>
  <c r="BJ623" i="7"/>
  <c r="BJ744" i="7"/>
  <c r="BJ167" i="7"/>
  <c r="BJ212" i="7"/>
  <c r="BJ789" i="7"/>
  <c r="BJ838" i="7"/>
  <c r="BJ178" i="7"/>
  <c r="BJ356" i="7"/>
  <c r="BJ525" i="7"/>
  <c r="BJ847" i="7"/>
  <c r="BJ37" i="7"/>
  <c r="BJ437" i="7"/>
  <c r="BJ102" i="7"/>
  <c r="BJ40" i="7"/>
  <c r="BJ819" i="7"/>
  <c r="BJ454" i="7"/>
  <c r="BJ286" i="7"/>
  <c r="BJ717" i="7"/>
  <c r="BJ334" i="7"/>
  <c r="BJ652" i="7"/>
  <c r="BJ340" i="7"/>
  <c r="BJ249" i="7"/>
  <c r="BJ304" i="7"/>
  <c r="BJ380" i="7"/>
  <c r="BJ613" i="7"/>
  <c r="BJ658" i="7"/>
  <c r="BJ13" i="7"/>
  <c r="BJ687" i="7"/>
  <c r="BJ621" i="7"/>
  <c r="BJ298" i="7"/>
  <c r="BJ101" i="7"/>
  <c r="BJ44" i="7"/>
  <c r="BJ716" i="7"/>
  <c r="BJ780" i="7"/>
  <c r="BJ544" i="7"/>
  <c r="BJ75" i="7"/>
  <c r="BJ741" i="7"/>
  <c r="BJ225" i="7"/>
  <c r="BJ330" i="7"/>
  <c r="BJ220" i="7"/>
  <c r="BJ423" i="7"/>
  <c r="BJ657" i="7"/>
  <c r="BJ765" i="7"/>
  <c r="BJ592" i="7"/>
  <c r="BJ511" i="7"/>
  <c r="BJ262" i="7"/>
  <c r="BJ680" i="7"/>
  <c r="BJ125" i="7"/>
  <c r="BJ268" i="7"/>
  <c r="BJ366" i="7"/>
  <c r="BJ297" i="7"/>
  <c r="BJ791" i="7"/>
  <c r="BJ767" i="7"/>
  <c r="BJ180" i="7"/>
  <c r="BJ587" i="7"/>
  <c r="BJ183" i="7"/>
  <c r="BJ303" i="7"/>
  <c r="BJ280" i="7"/>
  <c r="BJ242" i="7"/>
  <c r="BJ503" i="7"/>
  <c r="BJ807" i="7"/>
  <c r="BJ618" i="7"/>
  <c r="BJ182" i="7"/>
  <c r="BJ29" i="7"/>
  <c r="BJ261" i="7"/>
  <c r="BJ279" i="7"/>
  <c r="BJ510" i="7"/>
  <c r="BJ713" i="7"/>
  <c r="BJ726" i="7"/>
  <c r="BJ499" i="7"/>
  <c r="BJ679" i="7"/>
  <c r="BJ354" i="7"/>
  <c r="BJ258" i="7"/>
  <c r="BJ533" i="7"/>
  <c r="BJ282" i="7"/>
  <c r="BJ51" i="7"/>
  <c r="BJ681" i="7"/>
  <c r="BJ856" i="7"/>
  <c r="BJ660" i="7"/>
  <c r="BJ158" i="7"/>
  <c r="BJ714" i="7"/>
  <c r="BJ600" i="7"/>
  <c r="BJ760" i="7"/>
  <c r="BJ98" i="7"/>
  <c r="BJ558" i="7"/>
  <c r="BJ773" i="7"/>
  <c r="BJ647" i="7"/>
  <c r="BJ273" i="7"/>
  <c r="BJ66" i="7"/>
  <c r="BJ252" i="7"/>
  <c r="BJ349" i="7"/>
  <c r="BJ563" i="7"/>
  <c r="BJ403" i="7"/>
  <c r="BJ202" i="7"/>
  <c r="BJ466" i="7"/>
  <c r="BJ469" i="7"/>
  <c r="BJ143" i="7"/>
  <c r="BJ416" i="7"/>
  <c r="BJ230" i="7"/>
  <c r="BJ285" i="7"/>
  <c r="BJ64" i="7"/>
  <c r="BJ331" i="7"/>
  <c r="BJ575" i="7"/>
  <c r="BJ404" i="7"/>
  <c r="BJ345" i="7"/>
  <c r="BJ210" i="7"/>
  <c r="BJ526" i="7"/>
  <c r="BJ24" i="7"/>
  <c r="BJ146" i="7"/>
  <c r="BJ332" i="7"/>
  <c r="BJ686" i="7"/>
  <c r="BJ799" i="7"/>
  <c r="BJ772" i="7"/>
  <c r="BJ521" i="7"/>
  <c r="BJ552" i="7"/>
  <c r="BJ363" i="7"/>
  <c r="BJ800" i="7"/>
  <c r="BJ191" i="7"/>
  <c r="BJ809" i="7"/>
  <c r="BJ122" i="7"/>
  <c r="BJ522" i="7"/>
  <c r="BJ631" i="7"/>
  <c r="BJ719" i="7"/>
  <c r="BJ88" i="7"/>
  <c r="BJ685" i="7"/>
  <c r="BJ602" i="7"/>
  <c r="BJ742" i="7"/>
  <c r="BJ277" i="7"/>
  <c r="BJ100" i="7"/>
  <c r="BJ839" i="7"/>
  <c r="BJ20" i="7"/>
  <c r="BJ103" i="7"/>
  <c r="BJ541" i="7"/>
  <c r="BJ371" i="7"/>
  <c r="BJ597" i="7"/>
  <c r="BJ506" i="7"/>
  <c r="BJ653" i="7"/>
  <c r="BJ696" i="7"/>
  <c r="BJ430" i="7"/>
  <c r="BJ85" i="7"/>
  <c r="BJ784" i="7"/>
  <c r="BJ464" i="7"/>
  <c r="BJ585" i="7"/>
  <c r="BJ682" i="7"/>
  <c r="BJ609" i="7"/>
  <c r="BJ515" i="7"/>
  <c r="BJ328" i="7"/>
  <c r="BJ768" i="7"/>
  <c r="BJ72" i="7"/>
  <c r="BJ441" i="7"/>
  <c r="BJ313" i="7"/>
  <c r="BJ865" i="7"/>
  <c r="BJ831" i="7"/>
  <c r="BJ740" i="7"/>
  <c r="BJ701" i="7"/>
  <c r="BJ154" i="7"/>
  <c r="BJ759" i="7"/>
  <c r="BJ514" i="7"/>
  <c r="BJ294" i="7"/>
  <c r="BJ166" i="7"/>
  <c r="BJ335" i="7"/>
  <c r="BJ46" i="7"/>
  <c r="BJ672" i="7"/>
  <c r="BJ418" i="7"/>
  <c r="BJ53" i="7"/>
  <c r="BJ82" i="7"/>
  <c r="BJ664" i="7"/>
  <c r="BJ663" i="7"/>
  <c r="BJ73" i="7"/>
  <c r="BJ542" i="7"/>
  <c r="BJ325" i="7"/>
  <c r="BJ666" i="7"/>
  <c r="BJ547" i="7"/>
  <c r="BJ374" i="7"/>
  <c r="BJ35" i="7"/>
  <c r="BJ693" i="7"/>
  <c r="BJ229" i="7"/>
  <c r="BJ318" i="7"/>
  <c r="BJ748" i="7"/>
  <c r="BJ628" i="7"/>
  <c r="BJ205" i="7"/>
  <c r="BJ864" i="7"/>
  <c r="BJ532" i="7"/>
  <c r="BJ584" i="7"/>
  <c r="BJ729" i="7"/>
  <c r="BJ405" i="7"/>
  <c r="BJ518" i="7"/>
  <c r="BJ424" i="7"/>
  <c r="BJ60" i="7"/>
  <c r="BJ779" i="7"/>
  <c r="BJ494" i="7"/>
  <c r="BJ669" i="7"/>
  <c r="BJ735" i="7"/>
  <c r="BJ86" i="7"/>
  <c r="BJ233" i="7"/>
  <c r="BJ369" i="7"/>
  <c r="BJ388" i="7"/>
  <c r="BJ462" i="7"/>
  <c r="BJ385" i="7"/>
  <c r="BJ323" i="7"/>
  <c r="BJ109" i="7"/>
  <c r="BJ627" i="7"/>
  <c r="BJ264" i="7"/>
  <c r="BJ250" i="7"/>
  <c r="BJ173" i="7"/>
  <c r="BJ516" i="7"/>
  <c r="BN23" i="7" l="1"/>
  <c r="BN353" i="7"/>
  <c r="CA353" i="7" s="1"/>
  <c r="BN155" i="7"/>
  <c r="BN357" i="7"/>
  <c r="BN121" i="7"/>
  <c r="BN505" i="7"/>
  <c r="BN223" i="7"/>
  <c r="BN743" i="7"/>
  <c r="BN157" i="7"/>
  <c r="BN572" i="7"/>
  <c r="BN739" i="7"/>
  <c r="BN337" i="7"/>
  <c r="BN224" i="7"/>
  <c r="BN55" i="7"/>
  <c r="BN471" i="7"/>
  <c r="BN156" i="7"/>
  <c r="BN49" i="7"/>
  <c r="BN493" i="7"/>
  <c r="BN379" i="7"/>
  <c r="BN296" i="7"/>
  <c r="BN131" i="7"/>
  <c r="BN217" i="7"/>
  <c r="BN192" i="7"/>
  <c r="BN47" i="7"/>
  <c r="BN189" i="7"/>
  <c r="BN553" i="7"/>
  <c r="BN130" i="7"/>
  <c r="BN458" i="7"/>
  <c r="BN188" i="7"/>
  <c r="BN65" i="7"/>
  <c r="BN327" i="7"/>
  <c r="BN142" i="7"/>
  <c r="BN48" i="7"/>
  <c r="BN751" i="7"/>
  <c r="BN455" i="7"/>
  <c r="BN420" i="7"/>
  <c r="CA420" i="7" s="1"/>
  <c r="BN175" i="7"/>
  <c r="BN251" i="7"/>
  <c r="BN93" i="7"/>
  <c r="BN750" i="7"/>
  <c r="BN123" i="7"/>
  <c r="BY123" i="7" s="1"/>
  <c r="BN78" i="7"/>
  <c r="BY78" i="7" s="1"/>
  <c r="BN239" i="7"/>
  <c r="BN307" i="7"/>
  <c r="CA307" i="7" s="1"/>
  <c r="BN849" i="7"/>
  <c r="CA849" i="7" s="1"/>
  <c r="BN810" i="7"/>
  <c r="BN486" i="7"/>
  <c r="BN288" i="7"/>
  <c r="BN488" i="7"/>
  <c r="CC488" i="7" s="1"/>
  <c r="BN116" i="7"/>
  <c r="CB116" i="7" s="1"/>
  <c r="BN566" i="7"/>
  <c r="CA566" i="7" s="1"/>
  <c r="BN260" i="7"/>
  <c r="BN859" i="7"/>
  <c r="CC859" i="7" s="1"/>
  <c r="BN271" i="7"/>
  <c r="BN126" i="7"/>
  <c r="CC126" i="7" s="1"/>
  <c r="BN534" i="7"/>
  <c r="CA534" i="7" s="1"/>
  <c r="BN431" i="7"/>
  <c r="BN41" i="7"/>
  <c r="BN841" i="7"/>
  <c r="BZ841" i="7" s="1"/>
  <c r="BN728" i="7"/>
  <c r="BY728" i="7" s="1"/>
  <c r="BN300" i="7"/>
  <c r="BY300" i="7" s="1"/>
  <c r="BN651" i="7"/>
  <c r="BN314" i="7"/>
  <c r="BZ314" i="7" s="1"/>
  <c r="BN783" i="7"/>
  <c r="BN689" i="7"/>
  <c r="BN674" i="7"/>
  <c r="BN266" i="7"/>
  <c r="BN395" i="7"/>
  <c r="CB395" i="7" s="1"/>
  <c r="BN626" i="7"/>
  <c r="BN684" i="7"/>
  <c r="BZ684" i="7" s="1"/>
  <c r="BN617" i="7"/>
  <c r="BN738" i="7"/>
  <c r="BN786" i="7"/>
  <c r="BN861" i="7"/>
  <c r="CC861" i="7" s="1"/>
  <c r="BN171" i="7"/>
  <c r="BZ171" i="7" s="1"/>
  <c r="BN153" i="7"/>
  <c r="BY153" i="7" s="1"/>
  <c r="BN394" i="7"/>
  <c r="BN556" i="7"/>
  <c r="BN766" i="7"/>
  <c r="CB766" i="7" s="1"/>
  <c r="BN624" i="7"/>
  <c r="BN683" i="7"/>
  <c r="BZ683" i="7" s="1"/>
  <c r="BN281" i="7"/>
  <c r="BN793" i="7"/>
  <c r="CA793" i="7" s="1"/>
  <c r="BN543" i="7"/>
  <c r="BN608" i="7"/>
  <c r="BN218" i="7"/>
  <c r="BN697" i="7"/>
  <c r="BN238" i="7"/>
  <c r="BN321" i="7"/>
  <c r="BN36" i="7"/>
  <c r="BN299" i="7"/>
  <c r="BN489" i="7"/>
  <c r="BN821" i="7"/>
  <c r="BN96" i="7"/>
  <c r="BN620" i="7"/>
  <c r="CC620" i="7" s="1"/>
  <c r="BN811" i="7"/>
  <c r="BN530" i="7"/>
  <c r="BN590" i="7"/>
  <c r="BN815" i="7"/>
  <c r="BN177" i="7"/>
  <c r="BY177" i="7" s="1"/>
  <c r="BN421" i="7"/>
  <c r="BN481" i="7"/>
  <c r="BN412" i="7"/>
  <c r="BN467" i="7"/>
  <c r="CA467" i="7" s="1"/>
  <c r="BN94" i="7"/>
  <c r="CB94" i="7" s="1"/>
  <c r="BN163" i="7"/>
  <c r="BN700" i="7"/>
  <c r="BN591" i="7"/>
  <c r="BZ591" i="7" s="1"/>
  <c r="BN16" i="7"/>
  <c r="BZ16" i="7" s="1"/>
  <c r="BN232" i="7"/>
  <c r="BN492" i="7"/>
  <c r="BY492" i="7" s="1"/>
  <c r="BN119" i="7"/>
  <c r="BN368" i="7"/>
  <c r="BN691" i="7"/>
  <c r="BN788" i="7"/>
  <c r="BN804" i="7"/>
  <c r="BN211" i="7"/>
  <c r="BN373" i="7"/>
  <c r="CB373" i="7" s="1"/>
  <c r="BN860" i="7"/>
  <c r="BN745" i="7"/>
  <c r="BZ745" i="7" s="1"/>
  <c r="BN33" i="7"/>
  <c r="BN850" i="7"/>
  <c r="BN270" i="7"/>
  <c r="BN231" i="7"/>
  <c r="BY231" i="7" s="1"/>
  <c r="BN557" i="7"/>
  <c r="BZ557" i="7" s="1"/>
  <c r="BN214" i="7"/>
  <c r="BN776" i="7"/>
  <c r="BN248" i="7"/>
  <c r="BN301" i="7"/>
  <c r="BN145" i="7"/>
  <c r="BN234" i="7"/>
  <c r="BN358" i="7"/>
  <c r="BN348" i="7"/>
  <c r="BN638" i="7"/>
  <c r="BZ638" i="7" s="1"/>
  <c r="BN392" i="7"/>
  <c r="CB392" i="7" s="1"/>
  <c r="BN498" i="7"/>
  <c r="BN31" i="7"/>
  <c r="BN360" i="7"/>
  <c r="BN655" i="7"/>
  <c r="CC655" i="7" s="1"/>
  <c r="BN276" i="7"/>
  <c r="BN91" i="7"/>
  <c r="BN235" i="7"/>
  <c r="BN347" i="7"/>
  <c r="BY347" i="7" s="1"/>
  <c r="BN659" i="7"/>
  <c r="BN537" i="7"/>
  <c r="CC537" i="7" s="1"/>
  <c r="BN732" i="7"/>
  <c r="BY732" i="7" s="1"/>
  <c r="BN339" i="7"/>
  <c r="BN797" i="7"/>
  <c r="BN709" i="7"/>
  <c r="CD709" i="7" s="1"/>
  <c r="BN636" i="7"/>
  <c r="BN413" i="7"/>
  <c r="BY413" i="7" s="1"/>
  <c r="BN185" i="7"/>
  <c r="BN112" i="7"/>
  <c r="BN480" i="7"/>
  <c r="BN594" i="7"/>
  <c r="CA594" i="7" s="1"/>
  <c r="BN562" i="7"/>
  <c r="BN641" i="7"/>
  <c r="CC641" i="7" s="1"/>
  <c r="BN769" i="7"/>
  <c r="BN63" i="7"/>
  <c r="BZ63" i="7" s="1"/>
  <c r="BN62" i="7"/>
  <c r="BN792" i="7"/>
  <c r="CB792" i="7" s="1"/>
  <c r="BN483" i="7"/>
  <c r="CD483" i="7" s="1"/>
  <c r="BN324" i="7"/>
  <c r="CA324" i="7" s="1"/>
  <c r="BN206" i="7"/>
  <c r="CD206" i="7" s="1"/>
  <c r="BN352" i="7"/>
  <c r="BN39" i="7"/>
  <c r="BN460" i="7"/>
  <c r="BY460" i="7" s="1"/>
  <c r="BN269" i="7"/>
  <c r="BN842" i="7"/>
  <c r="BZ842" i="7" s="1"/>
  <c r="BN170" i="7"/>
  <c r="BZ170" i="7" s="1"/>
  <c r="BN50" i="7"/>
  <c r="CA50" i="7" s="1"/>
  <c r="BN463" i="7"/>
  <c r="BY463" i="7" s="1"/>
  <c r="BN99" i="7"/>
  <c r="BZ99" i="7" s="1"/>
  <c r="BN104" i="7"/>
  <c r="CD104" i="7" s="1"/>
  <c r="BN71" i="7"/>
  <c r="CA71" i="7" s="1"/>
  <c r="BN468" i="7"/>
  <c r="CC468" i="7" s="1"/>
  <c r="BN227" i="7"/>
  <c r="BZ227" i="7" s="1"/>
  <c r="BN603" i="7"/>
  <c r="BY603" i="7" s="1"/>
  <c r="BN447" i="7"/>
  <c r="BN305" i="7"/>
  <c r="BZ305" i="7" s="1"/>
  <c r="BN247" i="7"/>
  <c r="BY247" i="7" s="1"/>
  <c r="BN246" i="7"/>
  <c r="CA246" i="7" s="1"/>
  <c r="BN355" i="7"/>
  <c r="BN315" i="7"/>
  <c r="CD315" i="7" s="1"/>
  <c r="BN450" i="7"/>
  <c r="CA450" i="7" s="1"/>
  <c r="BN476" i="7"/>
  <c r="BN406" i="7"/>
  <c r="BN215" i="7"/>
  <c r="BZ215" i="7" s="1"/>
  <c r="BN862" i="7"/>
  <c r="CC862" i="7" s="1"/>
  <c r="BN803" i="7"/>
  <c r="BN639" i="7"/>
  <c r="BN274" i="7"/>
  <c r="CA274" i="7" s="1"/>
  <c r="BN589" i="7"/>
  <c r="BZ589" i="7" s="1"/>
  <c r="BN336" i="7"/>
  <c r="BY336" i="7" s="1"/>
  <c r="BN396" i="7"/>
  <c r="CC396" i="7" s="1"/>
  <c r="BN538" i="7"/>
  <c r="BN456" i="7"/>
  <c r="CA456" i="7" s="1"/>
  <c r="BN840" i="7"/>
  <c r="BN199" i="7"/>
  <c r="CD199" i="7" s="1"/>
  <c r="BN650" i="7"/>
  <c r="BN781" i="7"/>
  <c r="BN675" i="7"/>
  <c r="BN59" i="7"/>
  <c r="BY59" i="7" s="1"/>
  <c r="BN646" i="7"/>
  <c r="BY646" i="7" s="1"/>
  <c r="BN204" i="7"/>
  <c r="CA204" i="7" s="1"/>
  <c r="BN317" i="7"/>
  <c r="BN378" i="7"/>
  <c r="CB378" i="7" s="1"/>
  <c r="BN535" i="7"/>
  <c r="BN818" i="7"/>
  <c r="CC818" i="7" s="1"/>
  <c r="BN69" i="7"/>
  <c r="BN265" i="7"/>
  <c r="BN517" i="7"/>
  <c r="BN692" i="7"/>
  <c r="BZ692" i="7" s="1"/>
  <c r="BN408" i="7"/>
  <c r="BY408" i="7" s="1"/>
  <c r="BN612" i="7"/>
  <c r="CC612" i="7" s="1"/>
  <c r="BN253" i="7"/>
  <c r="CD253" i="7" s="1"/>
  <c r="BN866" i="7"/>
  <c r="BZ866" i="7" s="1"/>
  <c r="BN662" i="7"/>
  <c r="CC662" i="7" s="1"/>
  <c r="BN176" i="7"/>
  <c r="BZ176" i="7" s="1"/>
  <c r="BN326" i="7"/>
  <c r="BY326" i="7" s="1"/>
  <c r="BN711" i="7"/>
  <c r="BN257" i="7"/>
  <c r="BN475" i="7"/>
  <c r="CB475" i="7" s="1"/>
  <c r="BN520" i="7"/>
  <c r="CA520" i="7" s="1"/>
  <c r="BN720" i="7"/>
  <c r="BZ720" i="7" s="1"/>
  <c r="BT694" i="7"/>
  <c r="BX694" i="7" s="1"/>
  <c r="BT869" i="7"/>
  <c r="BX869" i="7" s="1"/>
  <c r="BN254" i="7"/>
  <c r="CB254" i="7" s="1"/>
  <c r="BN382" i="7"/>
  <c r="CD382" i="7" s="1"/>
  <c r="BT52" i="7"/>
  <c r="BX52" i="7" s="1"/>
  <c r="BT654" i="7"/>
  <c r="BX654" i="7" s="1"/>
  <c r="BT453" i="7"/>
  <c r="BX453" i="7" s="1"/>
  <c r="BT95" i="7"/>
  <c r="BX95" i="7" s="1"/>
  <c r="BN712" i="7"/>
  <c r="CD712" i="7" s="1"/>
  <c r="BT221" i="7"/>
  <c r="BX221" i="7" s="1"/>
  <c r="BT625" i="7"/>
  <c r="BX625" i="7" s="1"/>
  <c r="BT845" i="7"/>
  <c r="BX845" i="7" s="1"/>
  <c r="BN52" i="7"/>
  <c r="BT599" i="7"/>
  <c r="BX599" i="7" s="1"/>
  <c r="BT106" i="7"/>
  <c r="BX106" i="7" s="1"/>
  <c r="BN845" i="7"/>
  <c r="BN120" i="7"/>
  <c r="CA120" i="7" s="1"/>
  <c r="BN95" i="7"/>
  <c r="BT77" i="7"/>
  <c r="BX77" i="7" s="1"/>
  <c r="BT633" i="7"/>
  <c r="BX633" i="7" s="1"/>
  <c r="BN106" i="7"/>
  <c r="CA106" i="7" s="1"/>
  <c r="BN77" i="7"/>
  <c r="BN869" i="7"/>
  <c r="BT712" i="7"/>
  <c r="BX712" i="7" s="1"/>
  <c r="BN599" i="7"/>
  <c r="BZ599" i="7" s="1"/>
  <c r="BN633" i="7"/>
  <c r="BT382" i="7"/>
  <c r="BX382" i="7" s="1"/>
  <c r="BN221" i="7"/>
  <c r="CD221" i="7" s="1"/>
  <c r="BT835" i="7"/>
  <c r="BX835" i="7" s="1"/>
  <c r="BN694" i="7"/>
  <c r="BT10" i="7"/>
  <c r="BX10" i="7" s="1"/>
  <c r="BN654" i="7"/>
  <c r="CC654" i="7" s="1"/>
  <c r="BN490" i="7"/>
  <c r="CA490" i="7" s="1"/>
  <c r="BN625" i="7"/>
  <c r="BZ625" i="7" s="1"/>
  <c r="BT490" i="7"/>
  <c r="BX490" i="7" s="1"/>
  <c r="BT254" i="7"/>
  <c r="BX254" i="7" s="1"/>
  <c r="BN453" i="7"/>
  <c r="BN835" i="7"/>
  <c r="CC835" i="7" s="1"/>
  <c r="BT120" i="7"/>
  <c r="BX120" i="7" s="1"/>
  <c r="BN10" i="7"/>
  <c r="CD10" i="7" s="1"/>
  <c r="BN584" i="7"/>
  <c r="BY584" i="7" s="1"/>
  <c r="BT377" i="7"/>
  <c r="BX377" i="7" s="1"/>
  <c r="BN399" i="7"/>
  <c r="BN144" i="7"/>
  <c r="CD144" i="7" s="1"/>
  <c r="BN138" i="7"/>
  <c r="CB138" i="7" s="1"/>
  <c r="BN813" i="7"/>
  <c r="BN261" i="7"/>
  <c r="BN600" i="7"/>
  <c r="BN34" i="7"/>
  <c r="BN405" i="7"/>
  <c r="BN386" i="7"/>
  <c r="CB386" i="7" s="1"/>
  <c r="BN592" i="7"/>
  <c r="BN806" i="7"/>
  <c r="CA806" i="7" s="1"/>
  <c r="BN611" i="7"/>
  <c r="BN727" i="7"/>
  <c r="BN704" i="7"/>
  <c r="CA704" i="7" s="1"/>
  <c r="BN598" i="7"/>
  <c r="BN666" i="7"/>
  <c r="BN497" i="7"/>
  <c r="BN320" i="7"/>
  <c r="BN345" i="7"/>
  <c r="BN558" i="7"/>
  <c r="BZ558" i="7" s="1"/>
  <c r="BN649" i="7"/>
  <c r="BN725" i="7"/>
  <c r="CB725" i="7" s="1"/>
  <c r="BN474" i="7"/>
  <c r="BN343" i="7"/>
  <c r="BN657" i="7"/>
  <c r="BN716" i="7"/>
  <c r="CC716" i="7" s="1"/>
  <c r="BN286" i="7"/>
  <c r="BN107" i="7"/>
  <c r="BN805" i="7"/>
  <c r="BY805" i="7" s="1"/>
  <c r="BN701" i="7"/>
  <c r="CB701" i="7" s="1"/>
  <c r="BN139" i="7"/>
  <c r="BN837" i="7"/>
  <c r="BY837" i="7" s="1"/>
  <c r="BN863" i="7"/>
  <c r="CC863" i="7" s="1"/>
  <c r="BN365" i="7"/>
  <c r="BN419" i="7"/>
  <c r="CA419" i="7" s="1"/>
  <c r="BN561" i="7"/>
  <c r="BN143" i="7"/>
  <c r="BN527" i="7"/>
  <c r="BN258" i="7"/>
  <c r="BN212" i="7"/>
  <c r="BY212" i="7" s="1"/>
  <c r="BN706" i="7"/>
  <c r="CD706" i="7" s="1"/>
  <c r="BN43" i="7"/>
  <c r="CC43" i="7" s="1"/>
  <c r="BN196" i="7"/>
  <c r="CD196" i="7" s="1"/>
  <c r="BN303" i="7"/>
  <c r="BN748" i="7"/>
  <c r="BN607" i="7"/>
  <c r="BN416" i="7"/>
  <c r="BY416" i="7" s="1"/>
  <c r="BN29" i="7"/>
  <c r="BY29" i="7" s="1"/>
  <c r="BN183" i="7"/>
  <c r="CD183" i="7" s="1"/>
  <c r="BN580" i="7"/>
  <c r="BN322" i="7"/>
  <c r="BN632" i="7"/>
  <c r="BZ632" i="7" s="1"/>
  <c r="BN282" i="7"/>
  <c r="BY282" i="7" s="1"/>
  <c r="BN735" i="7"/>
  <c r="CA735" i="7" s="1"/>
  <c r="BN529" i="7"/>
  <c r="CB529" i="7" s="1"/>
  <c r="BN753" i="7"/>
  <c r="CC753" i="7" s="1"/>
  <c r="BN526" i="7"/>
  <c r="BN798" i="7"/>
  <c r="CD798" i="7" s="1"/>
  <c r="BN436" i="7"/>
  <c r="BN298" i="7"/>
  <c r="CB298" i="7" s="1"/>
  <c r="BN429" i="7"/>
  <c r="BN582" i="7"/>
  <c r="BN85" i="7"/>
  <c r="BN226" i="7"/>
  <c r="BN150" i="7"/>
  <c r="CC150" i="7" s="1"/>
  <c r="BN579" i="7"/>
  <c r="BN377" i="7"/>
  <c r="BN366" i="7"/>
  <c r="BN168" i="7"/>
  <c r="BN690" i="7"/>
  <c r="CD690" i="7" s="1"/>
  <c r="BN152" i="7"/>
  <c r="BN630" i="7"/>
  <c r="BN154" i="7"/>
  <c r="BN695" i="7"/>
  <c r="BY695" i="7" s="1"/>
  <c r="BN642" i="7"/>
  <c r="BY642" i="7" s="1"/>
  <c r="BN563" i="7"/>
  <c r="BN173" i="7"/>
  <c r="BN283" i="7"/>
  <c r="BN478" i="7"/>
  <c r="BN809" i="7"/>
  <c r="CD809" i="7" s="1"/>
  <c r="BN434" i="7"/>
  <c r="CC434" i="7" s="1"/>
  <c r="BN113" i="7"/>
  <c r="BN293" i="7"/>
  <c r="BN370" i="7"/>
  <c r="BN581" i="7"/>
  <c r="BN605" i="7"/>
  <c r="BN744" i="7"/>
  <c r="BN795" i="7"/>
  <c r="BN331" i="7"/>
  <c r="BN190" i="7"/>
  <c r="BN665" i="7"/>
  <c r="BZ665" i="7" s="1"/>
  <c r="BN8" i="7"/>
  <c r="BN501" i="7"/>
  <c r="CB501" i="7" s="1"/>
  <c r="BN159" i="7"/>
  <c r="CC159" i="7" s="1"/>
  <c r="BN831" i="7"/>
  <c r="CB831" i="7" s="1"/>
  <c r="BN457" i="7"/>
  <c r="BN854" i="7"/>
  <c r="BZ854" i="7" s="1"/>
  <c r="BN26" i="7"/>
  <c r="BN209" i="7"/>
  <c r="BN667" i="7"/>
  <c r="BY667" i="7" s="1"/>
  <c r="BN330" i="7"/>
  <c r="CA330" i="7" s="1"/>
  <c r="BN427" i="7"/>
  <c r="CC427" i="7" s="1"/>
  <c r="BN637" i="7"/>
  <c r="BN851" i="7"/>
  <c r="CC851" i="7" s="1"/>
  <c r="BN524" i="7"/>
  <c r="BN422" i="7"/>
  <c r="BN531" i="7"/>
  <c r="CA531" i="7" s="1"/>
  <c r="BN388" i="7"/>
  <c r="CC388" i="7" s="1"/>
  <c r="BN645" i="7"/>
  <c r="BN89" i="7"/>
  <c r="CD89" i="7" s="1"/>
  <c r="BN680" i="7"/>
  <c r="BN587" i="7"/>
  <c r="CB587" i="7" s="1"/>
  <c r="BN819" i="7"/>
  <c r="BN787" i="7"/>
  <c r="BN715" i="7"/>
  <c r="BN459" i="7"/>
  <c r="BN790" i="7"/>
  <c r="CA790" i="7" s="1"/>
  <c r="BN446" i="7"/>
  <c r="BN15" i="7"/>
  <c r="BN46" i="7"/>
  <c r="CD46" i="7" s="1"/>
  <c r="BN723" i="7"/>
  <c r="BN855" i="7"/>
  <c r="CA855" i="7" s="1"/>
  <c r="BN631" i="7"/>
  <c r="BN285" i="7"/>
  <c r="BN664" i="7"/>
  <c r="CC664" i="7" s="1"/>
  <c r="BN623" i="7"/>
  <c r="BN852" i="7"/>
  <c r="CC852" i="7" s="1"/>
  <c r="BN90" i="7"/>
  <c r="BN432" i="7"/>
  <c r="BY432" i="7" s="1"/>
  <c r="BN350" i="7"/>
  <c r="BN817" i="7"/>
  <c r="BN86" i="7"/>
  <c r="BN705" i="7"/>
  <c r="BN169" i="7"/>
  <c r="BN464" i="7"/>
  <c r="BY464" i="7" s="1"/>
  <c r="BN568" i="7"/>
  <c r="CD568" i="7" s="1"/>
  <c r="BN166" i="7"/>
  <c r="CA166" i="7" s="1"/>
  <c r="BN381" i="7"/>
  <c r="CD381" i="7" s="1"/>
  <c r="BN754" i="7"/>
  <c r="CB754" i="7" s="1"/>
  <c r="BN167" i="7"/>
  <c r="CC167" i="7" s="1"/>
  <c r="BN435" i="7"/>
  <c r="CB435" i="7" s="1"/>
  <c r="BN724" i="7"/>
  <c r="BN309" i="7"/>
  <c r="CA309" i="7" s="1"/>
  <c r="BN550" i="7"/>
  <c r="BN510" i="7"/>
  <c r="CB510" i="7" s="1"/>
  <c r="BN515" i="7"/>
  <c r="CD515" i="7" s="1"/>
  <c r="BN826" i="7"/>
  <c r="BN213" i="7"/>
  <c r="CB213" i="7" s="1"/>
  <c r="BN479" i="7"/>
  <c r="CB479" i="7" s="1"/>
  <c r="BN791" i="7"/>
  <c r="BN402" i="7"/>
  <c r="BN707" i="7"/>
  <c r="BN280" i="7"/>
  <c r="CD280" i="7" s="1"/>
  <c r="BN514" i="7"/>
  <c r="BZ514" i="7" s="1"/>
  <c r="BN17" i="7"/>
  <c r="CC17" i="7" s="1"/>
  <c r="BN110" i="7"/>
  <c r="BY110" i="7" s="1"/>
  <c r="BN595" i="7"/>
  <c r="CC595" i="7" s="1"/>
  <c r="BN499" i="7"/>
  <c r="CB499" i="7" s="1"/>
  <c r="BN200" i="7"/>
  <c r="CD200" i="7" s="1"/>
  <c r="BN634" i="7"/>
  <c r="BN233" i="7"/>
  <c r="BN64" i="7"/>
  <c r="CA64" i="7" s="1"/>
  <c r="BN414" i="7"/>
  <c r="CD414" i="7" s="1"/>
  <c r="BN181" i="7"/>
  <c r="BN242" i="7"/>
  <c r="CC242" i="7" s="1"/>
  <c r="BN503" i="7"/>
  <c r="BN304" i="7"/>
  <c r="CD304" i="7" s="1"/>
  <c r="BN780" i="7"/>
  <c r="CC780" i="7" s="1"/>
  <c r="BN397" i="7"/>
  <c r="BN329" i="7"/>
  <c r="CD329" i="7" s="1"/>
  <c r="BN179" i="7"/>
  <c r="BN606" i="7"/>
  <c r="CD606" i="7" s="1"/>
  <c r="BN391" i="7"/>
  <c r="BN462" i="7"/>
  <c r="BN184" i="7"/>
  <c r="CD184" i="7" s="1"/>
  <c r="BN472" i="7"/>
  <c r="CB472" i="7" s="1"/>
  <c r="BN11" i="7"/>
  <c r="BN374" i="7"/>
  <c r="CB374" i="7" s="1"/>
  <c r="BN660" i="7"/>
  <c r="BN502" i="7"/>
  <c r="BN833" i="7"/>
  <c r="BZ833" i="7" s="1"/>
  <c r="BN162" i="7"/>
  <c r="BN225" i="7"/>
  <c r="BN37" i="7"/>
  <c r="BN560" i="7"/>
  <c r="BN465" i="7"/>
  <c r="CA465" i="7" s="1"/>
  <c r="BN236" i="7"/>
  <c r="BY236" i="7" s="1"/>
  <c r="BN703" i="7"/>
  <c r="BN372" i="7"/>
  <c r="BN28" i="7"/>
  <c r="BZ28" i="7" s="1"/>
  <c r="BN222" i="7"/>
  <c r="CD222" i="7" s="1"/>
  <c r="BN546" i="7"/>
  <c r="BN30" i="7"/>
  <c r="CA30" i="7" s="1"/>
  <c r="BN578" i="7"/>
  <c r="BN129" i="7"/>
  <c r="CD129" i="7" s="1"/>
  <c r="BN756" i="7"/>
  <c r="BN328" i="7"/>
  <c r="BN147" i="7"/>
  <c r="BN114" i="7"/>
  <c r="CB114" i="7" s="1"/>
  <c r="BN133" i="7"/>
  <c r="BY133" i="7" s="1"/>
  <c r="BN485" i="7"/>
  <c r="BN702" i="7"/>
  <c r="BN827" i="7"/>
  <c r="BY827" i="7" s="1"/>
  <c r="BN344" i="7"/>
  <c r="BY344" i="7" s="1"/>
  <c r="BN676" i="7"/>
  <c r="BN658" i="7"/>
  <c r="BN400" i="7"/>
  <c r="BN699" i="7"/>
  <c r="BZ699" i="7" s="1"/>
  <c r="BN197" i="7"/>
  <c r="BN597" i="7"/>
  <c r="BN870" i="7"/>
  <c r="CD870" i="7" s="1"/>
  <c r="BN729" i="7"/>
  <c r="CD729" i="7" s="1"/>
  <c r="BN710" i="7"/>
  <c r="BN310" i="7"/>
  <c r="CD310" i="7" s="1"/>
  <c r="BN569" i="7"/>
  <c r="CC569" i="7" s="1"/>
  <c r="BN643" i="7"/>
  <c r="CA643" i="7" s="1"/>
  <c r="BN193" i="7"/>
  <c r="BN383" i="7"/>
  <c r="CA383" i="7" s="1"/>
  <c r="BN614" i="7"/>
  <c r="BN567" i="7"/>
  <c r="BN74" i="7"/>
  <c r="BN773" i="7"/>
  <c r="CA773" i="7" s="1"/>
  <c r="BN308" i="7"/>
  <c r="BN504" i="7"/>
  <c r="BN509" i="7"/>
  <c r="BN363" i="7"/>
  <c r="BN760" i="7"/>
  <c r="CA760" i="7" s="1"/>
  <c r="BN137" i="7"/>
  <c r="BY137" i="7" s="1"/>
  <c r="BN13" i="7"/>
  <c r="BN20" i="7"/>
  <c r="BN545" i="7"/>
  <c r="BN433" i="7"/>
  <c r="BN151" i="7"/>
  <c r="BN389" i="7"/>
  <c r="BN325" i="7"/>
  <c r="CB325" i="7" s="1"/>
  <c r="BN730" i="7"/>
  <c r="BN398" i="7"/>
  <c r="BN618" i="7"/>
  <c r="BN18" i="7"/>
  <c r="BY18" i="7" s="1"/>
  <c r="BN97" i="7"/>
  <c r="BN124" i="7"/>
  <c r="CD124" i="7" s="1"/>
  <c r="BN629" i="7"/>
  <c r="BN262" i="7"/>
  <c r="CC262" i="7" s="1"/>
  <c r="BN573" i="7"/>
  <c r="BN762" i="7"/>
  <c r="BN767" i="7"/>
  <c r="CB767" i="7" s="1"/>
  <c r="BN259" i="7"/>
  <c r="BY259" i="7" s="1"/>
  <c r="BN45" i="7"/>
  <c r="BN682" i="7"/>
  <c r="BN194" i="7"/>
  <c r="BN759" i="7"/>
  <c r="CB759" i="7" s="1"/>
  <c r="BN187" i="7"/>
  <c r="BY187" i="7" s="1"/>
  <c r="BN60" i="7"/>
  <c r="BN122" i="7"/>
  <c r="CA122" i="7" s="1"/>
  <c r="BN687" i="7"/>
  <c r="CD687" i="7" s="1"/>
  <c r="BN454" i="7"/>
  <c r="BN652" i="7"/>
  <c r="BN371" i="7"/>
  <c r="CB371" i="7" s="1"/>
  <c r="BN470" i="7"/>
  <c r="BN693" i="7"/>
  <c r="BN250" i="7"/>
  <c r="BN141" i="7"/>
  <c r="BN858" i="7"/>
  <c r="CB858" i="7" s="1"/>
  <c r="BN384" i="7"/>
  <c r="CD384" i="7" s="1"/>
  <c r="BN519" i="7"/>
  <c r="CC519" i="7" s="1"/>
  <c r="BN466" i="7"/>
  <c r="CB466" i="7" s="1"/>
  <c r="BN249" i="7"/>
  <c r="BN111" i="7"/>
  <c r="CC111" i="7" s="1"/>
  <c r="BN615" i="7"/>
  <c r="BN252" i="7"/>
  <c r="BN264" i="7"/>
  <c r="BN390" i="7"/>
  <c r="CD390" i="7" s="1"/>
  <c r="BN83" i="7"/>
  <c r="CB83" i="7" s="1"/>
  <c r="BN108" i="7"/>
  <c r="CC108" i="7" s="1"/>
  <c r="BN208" i="7"/>
  <c r="CB208" i="7" s="1"/>
  <c r="BN294" i="7"/>
  <c r="BZ294" i="7" s="1"/>
  <c r="BN332" i="7"/>
  <c r="BN747" i="7"/>
  <c r="BN775" i="7"/>
  <c r="CC775" i="7" s="1"/>
  <c r="BN542" i="7"/>
  <c r="CA542" i="7" s="1"/>
  <c r="BN487" i="7"/>
  <c r="BY487" i="7" s="1"/>
  <c r="BN12" i="7"/>
  <c r="BN109" i="7"/>
  <c r="BN741" i="7"/>
  <c r="CC741" i="7" s="1"/>
  <c r="BN670" i="7"/>
  <c r="CD670" i="7" s="1"/>
  <c r="BN653" i="7"/>
  <c r="CB653" i="7" s="1"/>
  <c r="BN532" i="7"/>
  <c r="BN761" i="7"/>
  <c r="BN593" i="7"/>
  <c r="CD593" i="7" s="1"/>
  <c r="BN644" i="7"/>
  <c r="BZ644" i="7" s="1"/>
  <c r="BN161" i="7"/>
  <c r="CA161" i="7" s="1"/>
  <c r="BN820" i="7"/>
  <c r="BN44" i="7"/>
  <c r="CB44" i="7" s="1"/>
  <c r="BN105" i="7"/>
  <c r="BN749" i="7"/>
  <c r="CD749" i="7" s="1"/>
  <c r="BN477" i="7"/>
  <c r="CD477" i="7" s="1"/>
  <c r="BN338" i="7"/>
  <c r="CD338" i="7" s="1"/>
  <c r="BN290" i="7"/>
  <c r="CD290" i="7" s="1"/>
  <c r="BN596" i="7"/>
  <c r="CB596" i="7" s="1"/>
  <c r="BN333" i="7"/>
  <c r="BN511" i="7"/>
  <c r="BN740" i="7"/>
  <c r="BZ740" i="7" s="1"/>
  <c r="BN128" i="7"/>
  <c r="CD128" i="7" s="1"/>
  <c r="BN867" i="7"/>
  <c r="BN437" i="7"/>
  <c r="CC437" i="7" s="1"/>
  <c r="BN42" i="7"/>
  <c r="BN9" i="7"/>
  <c r="CD9" i="7" s="1"/>
  <c r="BN180" i="7"/>
  <c r="CD180" i="7" s="1"/>
  <c r="BN346" i="7"/>
  <c r="BN369" i="7"/>
  <c r="BY369" i="7" s="1"/>
  <c r="BN289" i="7"/>
  <c r="BN616" i="7"/>
  <c r="BZ616" i="7" s="1"/>
  <c r="BN722" i="7"/>
  <c r="BN115" i="7"/>
  <c r="BN500" i="7"/>
  <c r="BN76" i="7"/>
  <c r="CD76" i="7" s="1"/>
  <c r="BN430" i="7"/>
  <c r="BN203" i="7"/>
  <c r="BN816" i="7"/>
  <c r="BY816" i="7" s="1"/>
  <c r="BN311" i="7"/>
  <c r="CB311" i="7" s="1"/>
  <c r="BN241" i="7"/>
  <c r="BZ241" i="7" s="1"/>
  <c r="BN533" i="7"/>
  <c r="CD533" i="7" s="1"/>
  <c r="BN663" i="7"/>
  <c r="BN158" i="7"/>
  <c r="BN721" i="7"/>
  <c r="BZ721" i="7" s="1"/>
  <c r="BN698" i="7"/>
  <c r="BN686" i="7"/>
  <c r="BN807" i="7"/>
  <c r="BN292" i="7"/>
  <c r="CA292" i="7" s="1"/>
  <c r="BN602" i="7"/>
  <c r="BY602" i="7" s="1"/>
  <c r="BN577" i="7"/>
  <c r="BN403" i="7"/>
  <c r="BN255" i="7"/>
  <c r="BN38" i="7"/>
  <c r="BN186" i="7"/>
  <c r="CC186" i="7" s="1"/>
  <c r="BN628" i="7"/>
  <c r="BY628" i="7" s="1"/>
  <c r="BN376" i="7"/>
  <c r="CB376" i="7" s="1"/>
  <c r="BN240" i="7"/>
  <c r="CA240" i="7" s="1"/>
  <c r="BN609" i="7"/>
  <c r="BN785" i="7"/>
  <c r="BN570" i="7"/>
  <c r="CD570" i="7" s="1"/>
  <c r="BN25" i="7"/>
  <c r="CB25" i="7" s="1"/>
  <c r="BN56" i="7"/>
  <c r="CC56" i="7" s="1"/>
  <c r="BN334" i="7"/>
  <c r="BN814" i="7"/>
  <c r="BN824" i="7"/>
  <c r="CD824" i="7" s="1"/>
  <c r="BN14" i="7"/>
  <c r="CD14" i="7" s="1"/>
  <c r="BN601" i="7"/>
  <c r="BY601" i="7" s="1"/>
  <c r="BN619" i="7"/>
  <c r="BN482" i="7"/>
  <c r="BN272" i="7"/>
  <c r="CD272" i="7" s="1"/>
  <c r="BN575" i="7"/>
  <c r="BY575" i="7" s="1"/>
  <c r="BN848" i="7"/>
  <c r="BN525" i="7"/>
  <c r="CD525" i="7" s="1"/>
  <c r="BN771" i="7"/>
  <c r="CC771" i="7" s="1"/>
  <c r="BN201" i="7"/>
  <c r="BY201" i="7" s="1"/>
  <c r="BN719" i="7"/>
  <c r="BN768" i="7"/>
  <c r="BY768" i="7" s="1"/>
  <c r="BN340" i="7"/>
  <c r="CD340" i="7" s="1"/>
  <c r="BN442" i="7"/>
  <c r="BN284" i="7"/>
  <c r="BN100" i="7"/>
  <c r="BN387" i="7"/>
  <c r="CD387" i="7" s="1"/>
  <c r="BN313" i="7"/>
  <c r="BN678" i="7"/>
  <c r="CA678" i="7" s="1"/>
  <c r="BN417" i="7"/>
  <c r="BN407" i="7"/>
  <c r="CC407" i="7" s="1"/>
  <c r="BN801" i="7"/>
  <c r="BN733" i="7"/>
  <c r="BN758" i="7"/>
  <c r="BN508" i="7"/>
  <c r="CD508" i="7" s="1"/>
  <c r="BN763" i="7"/>
  <c r="BN495" i="7"/>
  <c r="BZ495" i="7" s="1"/>
  <c r="BN73" i="7"/>
  <c r="CD73" i="7" s="1"/>
  <c r="BN825" i="7"/>
  <c r="BN160" i="7"/>
  <c r="CC160" i="7" s="1"/>
  <c r="BN506" i="7"/>
  <c r="BN847" i="7"/>
  <c r="BN844" i="7"/>
  <c r="CD844" i="7" s="1"/>
  <c r="BN404" i="7"/>
  <c r="CD404" i="7" s="1"/>
  <c r="BN755" i="7"/>
  <c r="CD755" i="7" s="1"/>
  <c r="BN82" i="7"/>
  <c r="BY82" i="7" s="1"/>
  <c r="BN779" i="7"/>
  <c r="BN571" i="7"/>
  <c r="BN752" i="7"/>
  <c r="CC752" i="7" s="1"/>
  <c r="BN198" i="7"/>
  <c r="CC198" i="7" s="1"/>
  <c r="BN828" i="7"/>
  <c r="BN410" i="7"/>
  <c r="BN772" i="7"/>
  <c r="BN491" i="7"/>
  <c r="BN72" i="7"/>
  <c r="CC72" i="7" s="1"/>
  <c r="BN319" i="7"/>
  <c r="CC319" i="7" s="1"/>
  <c r="BN245" i="7"/>
  <c r="BN256" i="7"/>
  <c r="CD256" i="7" s="1"/>
  <c r="BN539" i="7"/>
  <c r="BN102" i="7"/>
  <c r="CD102" i="7" s="1"/>
  <c r="BN341" i="7"/>
  <c r="BZ341" i="7" s="1"/>
  <c r="BN380" i="7"/>
  <c r="BZ380" i="7" s="1"/>
  <c r="BN428" i="7"/>
  <c r="BN440" i="7"/>
  <c r="BN316" i="7"/>
  <c r="BZ316" i="7" s="1"/>
  <c r="BN586" i="7"/>
  <c r="BN54" i="7"/>
  <c r="BN444" i="7"/>
  <c r="BN103" i="7"/>
  <c r="CD103" i="7" s="1"/>
  <c r="BN784" i="7"/>
  <c r="CA784" i="7" s="1"/>
  <c r="BN51" i="7"/>
  <c r="CC51" i="7" s="1"/>
  <c r="BN302" i="7"/>
  <c r="BY302" i="7" s="1"/>
  <c r="BN576" i="7"/>
  <c r="BN441" i="7"/>
  <c r="BN549" i="7"/>
  <c r="BY549" i="7" s="1"/>
  <c r="BN88" i="7"/>
  <c r="BZ88" i="7" s="1"/>
  <c r="BN461" i="7"/>
  <c r="CA461" i="7" s="1"/>
  <c r="BN127" i="7"/>
  <c r="BN53" i="7"/>
  <c r="BN551" i="7"/>
  <c r="BN621" i="7"/>
  <c r="BN513" i="7"/>
  <c r="BN865" i="7"/>
  <c r="BN679" i="7"/>
  <c r="BN134" i="7"/>
  <c r="CB134" i="7" s="1"/>
  <c r="BN521" i="7"/>
  <c r="CA521" i="7" s="1"/>
  <c r="BN295" i="7"/>
  <c r="BN98" i="7"/>
  <c r="BN101" i="7"/>
  <c r="CB101" i="7" s="1"/>
  <c r="BN443" i="7"/>
  <c r="BY443" i="7" s="1"/>
  <c r="BN541" i="7"/>
  <c r="BZ541" i="7" s="1"/>
  <c r="BN713" i="7"/>
  <c r="CA713" i="7" s="1"/>
  <c r="BN734" i="7"/>
  <c r="BY734" i="7" s="1"/>
  <c r="BN195" i="7"/>
  <c r="BN536" i="7"/>
  <c r="CC536" i="7" s="1"/>
  <c r="BN796" i="7"/>
  <c r="BN364" i="7"/>
  <c r="BN230" i="7"/>
  <c r="BN647" i="7"/>
  <c r="BN219" i="7"/>
  <c r="BY219" i="7" s="1"/>
  <c r="BN75" i="7"/>
  <c r="BZ75" i="7" s="1"/>
  <c r="BN518" i="7"/>
  <c r="BN522" i="7"/>
  <c r="BN708" i="7"/>
  <c r="BN279" i="7"/>
  <c r="BN451" i="7"/>
  <c r="BN32" i="7"/>
  <c r="BN354" i="7"/>
  <c r="BZ354" i="7" s="1"/>
  <c r="BN555" i="7"/>
  <c r="CC555" i="7" s="1"/>
  <c r="BN585" i="7"/>
  <c r="CC585" i="7" s="1"/>
  <c r="BN174" i="7"/>
  <c r="BN297" i="7"/>
  <c r="BN523" i="7"/>
  <c r="CA523" i="7" s="1"/>
  <c r="BN393" i="7"/>
  <c r="CA393" i="7" s="1"/>
  <c r="BN40" i="7"/>
  <c r="BN202" i="7"/>
  <c r="BY202" i="7" s="1"/>
  <c r="BN220" i="7"/>
  <c r="CD220" i="7" s="1"/>
  <c r="BN516" i="7"/>
  <c r="CC516" i="7" s="1"/>
  <c r="BN610" i="7"/>
  <c r="BN559" i="7"/>
  <c r="CD559" i="7" s="1"/>
  <c r="BN789" i="7"/>
  <c r="CB789" i="7" s="1"/>
  <c r="BN823" i="7"/>
  <c r="BN548" i="7"/>
  <c r="BZ548" i="7" s="1"/>
  <c r="BN737" i="7"/>
  <c r="BN191" i="7"/>
  <c r="BN349" i="7"/>
  <c r="BN117" i="7"/>
  <c r="BY117" i="7" s="1"/>
  <c r="BN812" i="7"/>
  <c r="CB812" i="7" s="1"/>
  <c r="BN764" i="7"/>
  <c r="CC764" i="7" s="1"/>
  <c r="BN125" i="7"/>
  <c r="CC125" i="7" s="1"/>
  <c r="BN267" i="7"/>
  <c r="BZ267" i="7" s="1"/>
  <c r="BN864" i="7"/>
  <c r="BN770" i="7"/>
  <c r="CA770" i="7" s="1"/>
  <c r="BN868" i="7"/>
  <c r="BN802" i="7"/>
  <c r="BY802" i="7" s="1"/>
  <c r="BN635" i="7"/>
  <c r="BN448" i="7"/>
  <c r="BN237" i="7"/>
  <c r="BY237" i="7" s="1"/>
  <c r="BN777" i="7"/>
  <c r="BN799" i="7"/>
  <c r="BN688" i="7"/>
  <c r="CB688" i="7" s="1"/>
  <c r="BN838" i="7"/>
  <c r="BN278" i="7"/>
  <c r="CD278" i="7" s="1"/>
  <c r="BN149" i="7"/>
  <c r="BZ149" i="7" s="1"/>
  <c r="BN839" i="7"/>
  <c r="BN118" i="7"/>
  <c r="BN229" i="7"/>
  <c r="CC229" i="7" s="1"/>
  <c r="BN306" i="7"/>
  <c r="BN640" i="7"/>
  <c r="BN146" i="7"/>
  <c r="CD146" i="7" s="1"/>
  <c r="BN342" i="7"/>
  <c r="BN669" i="7"/>
  <c r="CD669" i="7" s="1"/>
  <c r="BN68" i="7"/>
  <c r="BN445" i="7"/>
  <c r="CD445" i="7" s="1"/>
  <c r="BN622" i="7"/>
  <c r="BN449" i="7"/>
  <c r="CA449" i="7" s="1"/>
  <c r="BN205" i="7"/>
  <c r="BN70" i="7"/>
  <c r="CA70" i="7" s="1"/>
  <c r="BN661" i="7"/>
  <c r="BN671" i="7"/>
  <c r="CD671" i="7" s="1"/>
  <c r="BN57" i="7"/>
  <c r="BN273" i="7"/>
  <c r="BY273" i="7" s="1"/>
  <c r="BN857" i="7"/>
  <c r="CB857" i="7" s="1"/>
  <c r="BN564" i="7"/>
  <c r="BN469" i="7"/>
  <c r="CA469" i="7" s="1"/>
  <c r="BN668" i="7"/>
  <c r="BN81" i="7"/>
  <c r="CA81" i="7" s="1"/>
  <c r="BN362" i="7"/>
  <c r="BN359" i="7"/>
  <c r="CA359" i="7" s="1"/>
  <c r="BN565" i="7"/>
  <c r="BN165" i="7"/>
  <c r="BN207" i="7"/>
  <c r="BY207" i="7" s="1"/>
  <c r="BN275" i="7"/>
  <c r="BN22" i="7"/>
  <c r="BN822" i="7"/>
  <c r="BY822" i="7" s="1"/>
  <c r="BN409" i="7"/>
  <c r="BN846" i="7"/>
  <c r="CC846" i="7" s="1"/>
  <c r="BN830" i="7"/>
  <c r="BN367" i="7"/>
  <c r="BN92" i="7"/>
  <c r="CB92" i="7" s="1"/>
  <c r="BN287" i="7"/>
  <c r="BN418" i="7"/>
  <c r="CA418" i="7" s="1"/>
  <c r="BN829" i="7"/>
  <c r="BZ829" i="7" s="1"/>
  <c r="BN263" i="7"/>
  <c r="CA263" i="7" s="1"/>
  <c r="BN136" i="7"/>
  <c r="BN843" i="7"/>
  <c r="BN228" i="7"/>
  <c r="BN172" i="7"/>
  <c r="BN685" i="7"/>
  <c r="BN84" i="7"/>
  <c r="BN66" i="7"/>
  <c r="CB66" i="7" s="1"/>
  <c r="BN426" i="7"/>
  <c r="BN583" i="7"/>
  <c r="BN782" i="7"/>
  <c r="CB782" i="7" s="1"/>
  <c r="BN731" i="7"/>
  <c r="CA731" i="7" s="1"/>
  <c r="BN411" i="7"/>
  <c r="BN834" i="7"/>
  <c r="CD834" i="7" s="1"/>
  <c r="BN832" i="7"/>
  <c r="BN375" i="7"/>
  <c r="BN67" i="7"/>
  <c r="BN856" i="7"/>
  <c r="BY856" i="7" s="1"/>
  <c r="BN588" i="7"/>
  <c r="CB588" i="7" s="1"/>
  <c r="BN774" i="7"/>
  <c r="CD774" i="7" s="1"/>
  <c r="BN746" i="7"/>
  <c r="CD746" i="7" s="1"/>
  <c r="BN210" i="7"/>
  <c r="CA210" i="7" s="1"/>
  <c r="BN182" i="7"/>
  <c r="CD182" i="7" s="1"/>
  <c r="BN424" i="7"/>
  <c r="BN496" i="7"/>
  <c r="BN853" i="7"/>
  <c r="BN277" i="7"/>
  <c r="BN726" i="7"/>
  <c r="BN648" i="7"/>
  <c r="BN415" i="7"/>
  <c r="CD415" i="7" s="1"/>
  <c r="BN361" i="7"/>
  <c r="BN714" i="7"/>
  <c r="CD714" i="7" s="1"/>
  <c r="BN540" i="7"/>
  <c r="BN528" i="7"/>
  <c r="CA528" i="7" s="1"/>
  <c r="BN800" i="7"/>
  <c r="BN27" i="7"/>
  <c r="CD27" i="7" s="1"/>
  <c r="BN765" i="7"/>
  <c r="BN243" i="7"/>
  <c r="BZ243" i="7" s="1"/>
  <c r="BN79" i="7"/>
  <c r="CC79" i="7" s="1"/>
  <c r="BN604" i="7"/>
  <c r="BN335" i="7"/>
  <c r="BZ335" i="7" s="1"/>
  <c r="BN61" i="7"/>
  <c r="CC61" i="7" s="1"/>
  <c r="BN423" i="7"/>
  <c r="BY423" i="7" s="1"/>
  <c r="BN554" i="7"/>
  <c r="BY554" i="7" s="1"/>
  <c r="BN696" i="7"/>
  <c r="BN736" i="7"/>
  <c r="CC736" i="7" s="1"/>
  <c r="BN216" i="7"/>
  <c r="CA216" i="7" s="1"/>
  <c r="BN681" i="7"/>
  <c r="CB681" i="7" s="1"/>
  <c r="BN351" i="7"/>
  <c r="CD351" i="7" s="1"/>
  <c r="BN438" i="7"/>
  <c r="BN318" i="7"/>
  <c r="CA318" i="7" s="1"/>
  <c r="BN385" i="7"/>
  <c r="BY385" i="7" s="1"/>
  <c r="BN439" i="7"/>
  <c r="BN742" i="7"/>
  <c r="CD742" i="7" s="1"/>
  <c r="BN552" i="7"/>
  <c r="BZ552" i="7" s="1"/>
  <c r="BN58" i="7"/>
  <c r="BN717" i="7"/>
  <c r="BN808" i="7"/>
  <c r="BN452" i="7"/>
  <c r="BZ452" i="7" s="1"/>
  <c r="BN323" i="7"/>
  <c r="CC323" i="7" s="1"/>
  <c r="BN132" i="7"/>
  <c r="CB132" i="7" s="1"/>
  <c r="BN178" i="7"/>
  <c r="CC178" i="7" s="1"/>
  <c r="BN140" i="7"/>
  <c r="CD140" i="7" s="1"/>
  <c r="BN425" i="7"/>
  <c r="BN35" i="7"/>
  <c r="CA35" i="7" s="1"/>
  <c r="BN135" i="7"/>
  <c r="CB135" i="7" s="1"/>
  <c r="BN836" i="7"/>
  <c r="BY836" i="7" s="1"/>
  <c r="BN268" i="7"/>
  <c r="BN627" i="7"/>
  <c r="BN24" i="7"/>
  <c r="BN21" i="7"/>
  <c r="CD21" i="7" s="1"/>
  <c r="BN656" i="7"/>
  <c r="BN677" i="7"/>
  <c r="CB677" i="7" s="1"/>
  <c r="BN312" i="7"/>
  <c r="BN87" i="7"/>
  <c r="BN356" i="7"/>
  <c r="BN544" i="7"/>
  <c r="BN401" i="7"/>
  <c r="BN148" i="7"/>
  <c r="BN794" i="7"/>
  <c r="BY794" i="7" s="1"/>
  <c r="BN613" i="7"/>
  <c r="BN778" i="7"/>
  <c r="BN473" i="7"/>
  <c r="BN291" i="7"/>
  <c r="CA291" i="7" s="1"/>
  <c r="BN244" i="7"/>
  <c r="BN673" i="7"/>
  <c r="BN547" i="7"/>
  <c r="BN574" i="7"/>
  <c r="BN512" i="7"/>
  <c r="BN164" i="7"/>
  <c r="BN507" i="7"/>
  <c r="CA507" i="7" s="1"/>
  <c r="BN19" i="7"/>
  <c r="BN494" i="7"/>
  <c r="BN672" i="7"/>
  <c r="BN757" i="7"/>
  <c r="BN718" i="7"/>
  <c r="BN484" i="7"/>
  <c r="BN80" i="7"/>
  <c r="CD80" i="7" s="1"/>
  <c r="BT343" i="7"/>
  <c r="BX343" i="7" s="1"/>
  <c r="BT115" i="7"/>
  <c r="BX115" i="7" s="1"/>
  <c r="BT26" i="7"/>
  <c r="BX26" i="7" s="1"/>
  <c r="BT143" i="7"/>
  <c r="BX143" i="7" s="1"/>
  <c r="BT203" i="7"/>
  <c r="BX203" i="7" s="1"/>
  <c r="BT279" i="7"/>
  <c r="BX279" i="7" s="1"/>
  <c r="BT152" i="7"/>
  <c r="BX152" i="7" s="1"/>
  <c r="BT814" i="7"/>
  <c r="BX814" i="7" s="1"/>
  <c r="BT573" i="7"/>
  <c r="BX573" i="7" s="1"/>
  <c r="BT169" i="7"/>
  <c r="BX169" i="7" s="1"/>
  <c r="BT449" i="7"/>
  <c r="BX449" i="7" s="1"/>
  <c r="BT832" i="7"/>
  <c r="BX832" i="7" s="1"/>
  <c r="BT28" i="7"/>
  <c r="BX28" i="7" s="1"/>
  <c r="BT858" i="7"/>
  <c r="BX858" i="7" s="1"/>
  <c r="BT446" i="7"/>
  <c r="BX446" i="7" s="1"/>
  <c r="BT548" i="7"/>
  <c r="BX548" i="7" s="1"/>
  <c r="BT767" i="7"/>
  <c r="BX767" i="7" s="1"/>
  <c r="BT200" i="7"/>
  <c r="BX200" i="7" s="1"/>
  <c r="BT722" i="7"/>
  <c r="BX722" i="7" s="1"/>
  <c r="BT375" i="7"/>
  <c r="BX375" i="7" s="1"/>
  <c r="BT308" i="7"/>
  <c r="BX308" i="7" s="1"/>
  <c r="BT197" i="7"/>
  <c r="BX197" i="7" s="1"/>
  <c r="BT262" i="7"/>
  <c r="BX262" i="7" s="1"/>
  <c r="BT319" i="7"/>
  <c r="BX319" i="7" s="1"/>
  <c r="BT558" i="7"/>
  <c r="BX558" i="7" s="1"/>
  <c r="BT83" i="7"/>
  <c r="BX83" i="7" s="1"/>
  <c r="BT477" i="7"/>
  <c r="BX477" i="7" s="1"/>
  <c r="BT671" i="7"/>
  <c r="BX671" i="7" s="1"/>
  <c r="BT429" i="7"/>
  <c r="BX429" i="7" s="1"/>
  <c r="BT601" i="7"/>
  <c r="BX601" i="7" s="1"/>
  <c r="BT184" i="7"/>
  <c r="BX184" i="7" s="1"/>
  <c r="BT630" i="7"/>
  <c r="BX630" i="7" s="1"/>
  <c r="BT773" i="7"/>
  <c r="BX773" i="7" s="1"/>
  <c r="BT775" i="7"/>
  <c r="BX775" i="7" s="1"/>
  <c r="BT867" i="7"/>
  <c r="BX867" i="7" s="1"/>
  <c r="BT648" i="7"/>
  <c r="BX648" i="7" s="1"/>
  <c r="BT754" i="7"/>
  <c r="BX754" i="7" s="1"/>
  <c r="BT390" i="7"/>
  <c r="BX390" i="7" s="1"/>
  <c r="BT17" i="7"/>
  <c r="BX17" i="7" s="1"/>
  <c r="BT615" i="7"/>
  <c r="BX615" i="7" s="1"/>
  <c r="BT285" i="7"/>
  <c r="BX285" i="7" s="1"/>
  <c r="BT512" i="7"/>
  <c r="BX512" i="7" s="1"/>
  <c r="BT400" i="7"/>
  <c r="BX400" i="7" s="1"/>
  <c r="BT202" i="7"/>
  <c r="BX202" i="7" s="1"/>
  <c r="BT320" i="7"/>
  <c r="BX320" i="7" s="1"/>
  <c r="BT721" i="7"/>
  <c r="BX721" i="7" s="1"/>
  <c r="BT303" i="7"/>
  <c r="BX303" i="7" s="1"/>
  <c r="BT551" i="7"/>
  <c r="BX551" i="7" s="1"/>
  <c r="BT561" i="7"/>
  <c r="BX561" i="7" s="1"/>
  <c r="BT110" i="7"/>
  <c r="BX110" i="7" s="1"/>
  <c r="BT825" i="7"/>
  <c r="BX825" i="7" s="1"/>
  <c r="BT500" i="7"/>
  <c r="BX500" i="7" s="1"/>
  <c r="BT578" i="7"/>
  <c r="BX578" i="7" s="1"/>
  <c r="BT559" i="7"/>
  <c r="BX559" i="7" s="1"/>
  <c r="BT598" i="7"/>
  <c r="BX598" i="7" s="1"/>
  <c r="BT442" i="7"/>
  <c r="BX442" i="7" s="1"/>
  <c r="BT763" i="7"/>
  <c r="BX763" i="7" s="1"/>
  <c r="BT72" i="7"/>
  <c r="BX72" i="7" s="1"/>
  <c r="BT523" i="7"/>
  <c r="BX523" i="7" s="1"/>
  <c r="BT154" i="7"/>
  <c r="BX154" i="7" s="1"/>
  <c r="BT140" i="7"/>
  <c r="BX140" i="7" s="1"/>
  <c r="BT606" i="7"/>
  <c r="BX606" i="7" s="1"/>
  <c r="BT681" i="7"/>
  <c r="BX681" i="7" s="1"/>
  <c r="BT643" i="7"/>
  <c r="BX643" i="7" s="1"/>
  <c r="BT546" i="7"/>
  <c r="BX546" i="7" s="1"/>
  <c r="BT782" i="7"/>
  <c r="BX782" i="7" s="1"/>
  <c r="BT522" i="7"/>
  <c r="BX522" i="7" s="1"/>
  <c r="BT32" i="7"/>
  <c r="BX32" i="7" s="1"/>
  <c r="BT703" i="7"/>
  <c r="BX703" i="7" s="1"/>
  <c r="BT118" i="7"/>
  <c r="BX118" i="7" s="1"/>
  <c r="BT531" i="7"/>
  <c r="BX531" i="7" s="1"/>
  <c r="BT389" i="7"/>
  <c r="BX389" i="7" s="1"/>
  <c r="BT574" i="7"/>
  <c r="BX574" i="7" s="1"/>
  <c r="BT487" i="7"/>
  <c r="BX487" i="7" s="1"/>
  <c r="BT419" i="7"/>
  <c r="BX419" i="7" s="1"/>
  <c r="BT465" i="7"/>
  <c r="BX465" i="7" s="1"/>
  <c r="BT514" i="7"/>
  <c r="BX514" i="7" s="1"/>
  <c r="BT560" i="7"/>
  <c r="BX560" i="7" s="1"/>
  <c r="BT497" i="7"/>
  <c r="BX497" i="7" s="1"/>
  <c r="BT272" i="7"/>
  <c r="BX272" i="7" s="1"/>
  <c r="BT856" i="7"/>
  <c r="BX856" i="7" s="1"/>
  <c r="BT411" i="7"/>
  <c r="BX411" i="7" s="1"/>
  <c r="BT663" i="7"/>
  <c r="BX663" i="7" s="1"/>
  <c r="BT848" i="7"/>
  <c r="BX848" i="7" s="1"/>
  <c r="BT725" i="7"/>
  <c r="BX725" i="7" s="1"/>
  <c r="BT244" i="7"/>
  <c r="BX244" i="7" s="1"/>
  <c r="BT579" i="7"/>
  <c r="BX579" i="7" s="1"/>
  <c r="BT863" i="7"/>
  <c r="BX863" i="7" s="1"/>
  <c r="BT150" i="7"/>
  <c r="BX150" i="7" s="1"/>
  <c r="BT230" i="7"/>
  <c r="BX230" i="7" s="1"/>
  <c r="BT309" i="7"/>
  <c r="BX309" i="7" s="1"/>
  <c r="BT160" i="7"/>
  <c r="BX160" i="7" s="1"/>
  <c r="BT759" i="7"/>
  <c r="BX759" i="7" s="1"/>
  <c r="BT329" i="7"/>
  <c r="BX329" i="7" s="1"/>
  <c r="BT434" i="7"/>
  <c r="BX434" i="7" s="1"/>
  <c r="BT345" i="7"/>
  <c r="BX345" i="7" s="1"/>
  <c r="BT713" i="7"/>
  <c r="BX713" i="7" s="1"/>
  <c r="BT800" i="7"/>
  <c r="BX800" i="7" s="1"/>
  <c r="BT226" i="7"/>
  <c r="BX226" i="7" s="1"/>
  <c r="BT363" i="7"/>
  <c r="BX363" i="7" s="1"/>
  <c r="BT302" i="7"/>
  <c r="BX302" i="7" s="1"/>
  <c r="BT853" i="7"/>
  <c r="BX853" i="7" s="1"/>
  <c r="BT425" i="7"/>
  <c r="BX425" i="7" s="1"/>
  <c r="BT550" i="7"/>
  <c r="BX550" i="7" s="1"/>
  <c r="BT312" i="7"/>
  <c r="BX312" i="7" s="1"/>
  <c r="BT661" i="7"/>
  <c r="BX661" i="7" s="1"/>
  <c r="BT173" i="7"/>
  <c r="BX173" i="7" s="1"/>
  <c r="BT451" i="7"/>
  <c r="BX451" i="7" s="1"/>
  <c r="BT84" i="7"/>
  <c r="BX84" i="7" s="1"/>
  <c r="BT757" i="7"/>
  <c r="BX757" i="7" s="1"/>
  <c r="BT837" i="7"/>
  <c r="BX837" i="7" s="1"/>
  <c r="BT496" i="7"/>
  <c r="BX496" i="7" s="1"/>
  <c r="BT539" i="7"/>
  <c r="BX539" i="7" s="1"/>
  <c r="BT707" i="7"/>
  <c r="BX707" i="7" s="1"/>
  <c r="BT38" i="7"/>
  <c r="BX38" i="7" s="1"/>
  <c r="BT374" i="7"/>
  <c r="BX374" i="7" s="1"/>
  <c r="BT469" i="7"/>
  <c r="BX469" i="7" s="1"/>
  <c r="BT21" i="7"/>
  <c r="BX21" i="7" s="1"/>
  <c r="BT85" i="7"/>
  <c r="BX85" i="7" s="1"/>
  <c r="BT432" i="7"/>
  <c r="BX432" i="7" s="1"/>
  <c r="BT666" i="7"/>
  <c r="BX666" i="7" s="1"/>
  <c r="BT43" i="7"/>
  <c r="BX43" i="7" s="1"/>
  <c r="BT569" i="7"/>
  <c r="BX569" i="7" s="1"/>
  <c r="BT178" i="7"/>
  <c r="BX178" i="7" s="1"/>
  <c r="BT580" i="7"/>
  <c r="BX580" i="7" s="1"/>
  <c r="BT519" i="7"/>
  <c r="BX519" i="7" s="1"/>
  <c r="BT595" i="7"/>
  <c r="BX595" i="7" s="1"/>
  <c r="BT510" i="7"/>
  <c r="BX510" i="7" s="1"/>
  <c r="BT213" i="7"/>
  <c r="BX213" i="7" s="1"/>
  <c r="BT647" i="7"/>
  <c r="BX647" i="7" s="1"/>
  <c r="BT423" i="7"/>
  <c r="BX423" i="7" s="1"/>
  <c r="BT88" i="7"/>
  <c r="BX88" i="7" s="1"/>
  <c r="BT808" i="7"/>
  <c r="BX808" i="7" s="1"/>
  <c r="BT708" i="7"/>
  <c r="BX708" i="7" s="1"/>
  <c r="BT686" i="7"/>
  <c r="BX686" i="7" s="1"/>
  <c r="BT794" i="7"/>
  <c r="BX794" i="7" s="1"/>
  <c r="BT146" i="7"/>
  <c r="BX146" i="7" s="1"/>
  <c r="BT441" i="7"/>
  <c r="BX441" i="7" s="1"/>
  <c r="BT499" i="7"/>
  <c r="BX499" i="7" s="1"/>
  <c r="BT316" i="7"/>
  <c r="BX316" i="7" s="1"/>
  <c r="BT828" i="7"/>
  <c r="BX828" i="7" s="1"/>
  <c r="BT571" i="7"/>
  <c r="BX571" i="7" s="1"/>
  <c r="BT340" i="7"/>
  <c r="BX340" i="7" s="1"/>
  <c r="BT758" i="7"/>
  <c r="BX758" i="7" s="1"/>
  <c r="BT715" i="7"/>
  <c r="BX715" i="7" s="1"/>
  <c r="BT19" i="7"/>
  <c r="BX19" i="7" s="1"/>
  <c r="BT445" i="7"/>
  <c r="BX445" i="7" s="1"/>
  <c r="BT304" i="7"/>
  <c r="BX304" i="7" s="1"/>
  <c r="BT737" i="7"/>
  <c r="BX737" i="7" s="1"/>
  <c r="BT243" i="7"/>
  <c r="BX243" i="7" s="1"/>
  <c r="BT798" i="7"/>
  <c r="BX798" i="7" s="1"/>
  <c r="BT430" i="7"/>
  <c r="BX430" i="7" s="1"/>
  <c r="BT695" i="7"/>
  <c r="BX695" i="7" s="1"/>
  <c r="BT470" i="7"/>
  <c r="BX470" i="7" s="1"/>
  <c r="BT619" i="7"/>
  <c r="BX619" i="7" s="1"/>
  <c r="BT403" i="7"/>
  <c r="BX403" i="7" s="1"/>
  <c r="BT190" i="7"/>
  <c r="BX190" i="7" s="1"/>
  <c r="BT436" i="7"/>
  <c r="BX436" i="7" s="1"/>
  <c r="BT194" i="7"/>
  <c r="BX194" i="7" s="1"/>
  <c r="BT129" i="7"/>
  <c r="BX129" i="7" s="1"/>
  <c r="BT193" i="7"/>
  <c r="BX193" i="7" s="1"/>
  <c r="BT839" i="7"/>
  <c r="BX839" i="7" s="1"/>
  <c r="BT727" i="7"/>
  <c r="BX727" i="7" s="1"/>
  <c r="BT592" i="7"/>
  <c r="BX592" i="7" s="1"/>
  <c r="BT237" i="7"/>
  <c r="BX237" i="7" s="1"/>
  <c r="BT22" i="7"/>
  <c r="BX22" i="7" s="1"/>
  <c r="BT417" i="7"/>
  <c r="BX417" i="7" s="1"/>
  <c r="BT34" i="7"/>
  <c r="BX34" i="7" s="1"/>
  <c r="BT576" i="7"/>
  <c r="BX576" i="7" s="1"/>
  <c r="BT698" i="7"/>
  <c r="BX698" i="7" s="1"/>
  <c r="BT127" i="7"/>
  <c r="BX127" i="7" s="1"/>
  <c r="BT278" i="7"/>
  <c r="BX278" i="7" s="1"/>
  <c r="BT122" i="7"/>
  <c r="BX122" i="7" s="1"/>
  <c r="BT40" i="7"/>
  <c r="BX40" i="7" s="1"/>
  <c r="BT809" i="7"/>
  <c r="BX809" i="7" s="1"/>
  <c r="BT724" i="7"/>
  <c r="BX724" i="7" s="1"/>
  <c r="BT547" i="7"/>
  <c r="BX547" i="7" s="1"/>
  <c r="BT524" i="7"/>
  <c r="BX524" i="7" s="1"/>
  <c r="BT103" i="7"/>
  <c r="BX103" i="7" s="1"/>
  <c r="BT787" i="7"/>
  <c r="BX787" i="7" s="1"/>
  <c r="BT836" i="7"/>
  <c r="BX836" i="7" s="1"/>
  <c r="BT706" i="7"/>
  <c r="BX706" i="7" s="1"/>
  <c r="BT554" i="7"/>
  <c r="BX554" i="7" s="1"/>
  <c r="BT105" i="7"/>
  <c r="BX105" i="7" s="1"/>
  <c r="BT198" i="7"/>
  <c r="BX198" i="7" s="1"/>
  <c r="BT295" i="7"/>
  <c r="BX295" i="7" s="1"/>
  <c r="BT362" i="7"/>
  <c r="BX362" i="7" s="1"/>
  <c r="BT81" i="7"/>
  <c r="BX81" i="7" s="1"/>
  <c r="BT533" i="7"/>
  <c r="BX533" i="7" s="1"/>
  <c r="BT201" i="7"/>
  <c r="BX201" i="7" s="1"/>
  <c r="BT541" i="7"/>
  <c r="BX541" i="7" s="1"/>
  <c r="BT473" i="7"/>
  <c r="BX473" i="7" s="1"/>
  <c r="BT696" i="7"/>
  <c r="BX696" i="7" s="1"/>
  <c r="BT474" i="7"/>
  <c r="BX474" i="7" s="1"/>
  <c r="BT128" i="7"/>
  <c r="BX128" i="7" s="1"/>
  <c r="BT418" i="7"/>
  <c r="BX418" i="7" s="1"/>
  <c r="BT772" i="7"/>
  <c r="BX772" i="7" s="1"/>
  <c r="BT618" i="7"/>
  <c r="BX618" i="7" s="1"/>
  <c r="BT164" i="7"/>
  <c r="BX164" i="7" s="1"/>
  <c r="BT61" i="7"/>
  <c r="BX61" i="7" s="1"/>
  <c r="BT640" i="7"/>
  <c r="BX640" i="7" s="1"/>
  <c r="BT552" i="7"/>
  <c r="BX552" i="7" s="1"/>
  <c r="BT174" i="7"/>
  <c r="BX174" i="7" s="1"/>
  <c r="BT847" i="7"/>
  <c r="BX847" i="7" s="1"/>
  <c r="BT622" i="7"/>
  <c r="BX622" i="7" s="1"/>
  <c r="BT667" i="7"/>
  <c r="BX667" i="7" s="1"/>
  <c r="BT833" i="7"/>
  <c r="BX833" i="7" s="1"/>
  <c r="BT817" i="7"/>
  <c r="BX817" i="7" s="1"/>
  <c r="BT868" i="7"/>
  <c r="BX868" i="7" s="1"/>
  <c r="BT180" i="7"/>
  <c r="BX180" i="7" s="1"/>
  <c r="BT125" i="7"/>
  <c r="BX125" i="7" s="1"/>
  <c r="BT90" i="7"/>
  <c r="BX90" i="7" s="1"/>
  <c r="BT789" i="7"/>
  <c r="BX789" i="7" s="1"/>
  <c r="BT440" i="7"/>
  <c r="BX440" i="7" s="1"/>
  <c r="BT263" i="7"/>
  <c r="BX263" i="7" s="1"/>
  <c r="BT777" i="7"/>
  <c r="BX777" i="7" s="1"/>
  <c r="BT186" i="7"/>
  <c r="BX186" i="7" s="1"/>
  <c r="BT165" i="7"/>
  <c r="BX165" i="7" s="1"/>
  <c r="BT64" i="7"/>
  <c r="BX64" i="7" s="1"/>
  <c r="BT723" i="7"/>
  <c r="BX723" i="7" s="1"/>
  <c r="BT264" i="7"/>
  <c r="BX264" i="7" s="1"/>
  <c r="BT313" i="7"/>
  <c r="BX313" i="7" s="1"/>
  <c r="BT306" i="7"/>
  <c r="BX306" i="7" s="1"/>
  <c r="BT179" i="7"/>
  <c r="BX179" i="7" s="1"/>
  <c r="BT710" i="7"/>
  <c r="BX710" i="7" s="1"/>
  <c r="BT433" i="7"/>
  <c r="BX433" i="7" s="1"/>
  <c r="BT261" i="7"/>
  <c r="BX261" i="7" s="1"/>
  <c r="BT147" i="7"/>
  <c r="BX147" i="7" s="1"/>
  <c r="BT187" i="7"/>
  <c r="BX187" i="7" s="1"/>
  <c r="BT259" i="7"/>
  <c r="BX259" i="7" s="1"/>
  <c r="BT141" i="7"/>
  <c r="BX141" i="7" s="1"/>
  <c r="BT14" i="7"/>
  <c r="BX14" i="7" s="1"/>
  <c r="BT148" i="7"/>
  <c r="BX148" i="7" s="1"/>
  <c r="BT779" i="7"/>
  <c r="BX779" i="7" s="1"/>
  <c r="BT549" i="7"/>
  <c r="BX549" i="7" s="1"/>
  <c r="BT258" i="7"/>
  <c r="BX258" i="7" s="1"/>
  <c r="BT287" i="7"/>
  <c r="BX287" i="7" s="1"/>
  <c r="BT802" i="7"/>
  <c r="BX802" i="7" s="1"/>
  <c r="BT75" i="7"/>
  <c r="BX75" i="7" s="1"/>
  <c r="BT289" i="7"/>
  <c r="BX289" i="7" s="1"/>
  <c r="BT565" i="7"/>
  <c r="BX565" i="7" s="1"/>
  <c r="BT364" i="7"/>
  <c r="BX364" i="7" s="1"/>
  <c r="BT79" i="7"/>
  <c r="BX79" i="7" s="1"/>
  <c r="BT607" i="7"/>
  <c r="BX607" i="7" s="1"/>
  <c r="BT501" i="7"/>
  <c r="BX501" i="7" s="1"/>
  <c r="BT225" i="7"/>
  <c r="BX225" i="7" s="1"/>
  <c r="BT76" i="7"/>
  <c r="BX76" i="7" s="1"/>
  <c r="BT582" i="7"/>
  <c r="BX582" i="7" s="1"/>
  <c r="BT107" i="7"/>
  <c r="BX107" i="7" s="1"/>
  <c r="BT335" i="7"/>
  <c r="BX335" i="7" s="1"/>
  <c r="BT604" i="7"/>
  <c r="BX604" i="7" s="1"/>
  <c r="BT733" i="7"/>
  <c r="BX733" i="7" s="1"/>
  <c r="BT631" i="7"/>
  <c r="BX631" i="7" s="1"/>
  <c r="BT195" i="7"/>
  <c r="BX195" i="7" s="1"/>
  <c r="BT676" i="7"/>
  <c r="BX676" i="7" s="1"/>
  <c r="BT397" i="7"/>
  <c r="BX397" i="7" s="1"/>
  <c r="BT714" i="7"/>
  <c r="BX714" i="7" s="1"/>
  <c r="BT45" i="7"/>
  <c r="BX45" i="7" s="1"/>
  <c r="BT334" i="7"/>
  <c r="BX334" i="7" s="1"/>
  <c r="BT443" i="7"/>
  <c r="BX443" i="7" s="1"/>
  <c r="BT682" i="7"/>
  <c r="BX682" i="7" s="1"/>
  <c r="BT149" i="7"/>
  <c r="BX149" i="7" s="1"/>
  <c r="BT60" i="7"/>
  <c r="BX60" i="7" s="1"/>
  <c r="BT437" i="7"/>
  <c r="BX437" i="7" s="1"/>
  <c r="BT24" i="7"/>
  <c r="BX24" i="7" s="1"/>
  <c r="BT799" i="7"/>
  <c r="BX799" i="7" s="1"/>
  <c r="BT819" i="7"/>
  <c r="BX819" i="7" s="1"/>
  <c r="BT812" i="7"/>
  <c r="BX812" i="7" s="1"/>
  <c r="BT402" i="7"/>
  <c r="BX402" i="7" s="1"/>
  <c r="BT587" i="7"/>
  <c r="BX587" i="7" s="1"/>
  <c r="BT15" i="7"/>
  <c r="BX15" i="7" s="1"/>
  <c r="BT108" i="7"/>
  <c r="BX108" i="7" s="1"/>
  <c r="BT401" i="7"/>
  <c r="BX401" i="7" s="1"/>
  <c r="BT191" i="7"/>
  <c r="BX191" i="7" s="1"/>
  <c r="BT611" i="7"/>
  <c r="BX611" i="7" s="1"/>
  <c r="BT823" i="7"/>
  <c r="BX823" i="7" s="1"/>
  <c r="BT42" i="7"/>
  <c r="BX42" i="7" s="1"/>
  <c r="BT102" i="7"/>
  <c r="BX102" i="7" s="1"/>
  <c r="BT331" i="7"/>
  <c r="BX331" i="7" s="1"/>
  <c r="BT80" i="7"/>
  <c r="BX80" i="7" s="1"/>
  <c r="BT854" i="7"/>
  <c r="BX854" i="7" s="1"/>
  <c r="BT838" i="7"/>
  <c r="BX838" i="7" s="1"/>
  <c r="BT755" i="7"/>
  <c r="BX755" i="7" s="1"/>
  <c r="BT222" i="7"/>
  <c r="BX222" i="7" s="1"/>
  <c r="BT384" i="7"/>
  <c r="BX384" i="7" s="1"/>
  <c r="BT761" i="7"/>
  <c r="BX761" i="7" s="1"/>
  <c r="BT212" i="7"/>
  <c r="BX212" i="7" s="1"/>
  <c r="BT494" i="7"/>
  <c r="BX494" i="7" s="1"/>
  <c r="BT678" i="7"/>
  <c r="BX678" i="7" s="1"/>
  <c r="BT245" i="7"/>
  <c r="BX245" i="7" s="1"/>
  <c r="BT584" i="7"/>
  <c r="BX584" i="7" s="1"/>
  <c r="BT852" i="7"/>
  <c r="BX852" i="7" s="1"/>
  <c r="BT318" i="7"/>
  <c r="BX318" i="7" s="1"/>
  <c r="BT753" i="7"/>
  <c r="BX753" i="7" s="1"/>
  <c r="BT627" i="7"/>
  <c r="BX627" i="7" s="1"/>
  <c r="BT366" i="7"/>
  <c r="BX366" i="7" s="1"/>
  <c r="BT507" i="7"/>
  <c r="BX507" i="7" s="1"/>
  <c r="BT702" i="7"/>
  <c r="BX702" i="7" s="1"/>
  <c r="BT338" i="7"/>
  <c r="BX338" i="7" s="1"/>
  <c r="BT744" i="7"/>
  <c r="BX744" i="7" s="1"/>
  <c r="BT370" i="7"/>
  <c r="BX370" i="7" s="1"/>
  <c r="BT342" i="7"/>
  <c r="BX342" i="7" s="1"/>
  <c r="BT726" i="7"/>
  <c r="BX726" i="7" s="1"/>
  <c r="BT158" i="7"/>
  <c r="BX158" i="7" s="1"/>
  <c r="BT482" i="7"/>
  <c r="BX482" i="7" s="1"/>
  <c r="BT359" i="7"/>
  <c r="BX359" i="7" s="1"/>
  <c r="BT774" i="7"/>
  <c r="BX774" i="7" s="1"/>
  <c r="BT137" i="7"/>
  <c r="BX137" i="7" s="1"/>
  <c r="BT439" i="7"/>
  <c r="BX439" i="7" s="1"/>
  <c r="BT133" i="7"/>
  <c r="BX133" i="7" s="1"/>
  <c r="BT742" i="7"/>
  <c r="BX742" i="7" s="1"/>
  <c r="BT291" i="7"/>
  <c r="BX291" i="7" s="1"/>
  <c r="BT464" i="7"/>
  <c r="BX464" i="7" s="1"/>
  <c r="BT286" i="7"/>
  <c r="BX286" i="7" s="1"/>
  <c r="BT746" i="7"/>
  <c r="BX746" i="7" s="1"/>
  <c r="BT277" i="7"/>
  <c r="BX277" i="7" s="1"/>
  <c r="BT673" i="7"/>
  <c r="BX673" i="7" s="1"/>
  <c r="BT731" i="7"/>
  <c r="BX731" i="7" s="1"/>
  <c r="BT66" i="7"/>
  <c r="BX66" i="7" s="1"/>
  <c r="BT13" i="7"/>
  <c r="BX13" i="7" s="1"/>
  <c r="BT454" i="7"/>
  <c r="BX454" i="7" s="1"/>
  <c r="BT628" i="7"/>
  <c r="BX628" i="7" s="1"/>
  <c r="BT444" i="7"/>
  <c r="BX444" i="7" s="1"/>
  <c r="BT718" i="7"/>
  <c r="BX718" i="7" s="1"/>
  <c r="BT685" i="7"/>
  <c r="BX685" i="7" s="1"/>
  <c r="BT346" i="7"/>
  <c r="BX346" i="7" s="1"/>
  <c r="BT734" i="7"/>
  <c r="BX734" i="7" s="1"/>
  <c r="BT796" i="7"/>
  <c r="BX796" i="7" s="1"/>
  <c r="BT280" i="7"/>
  <c r="BX280" i="7" s="1"/>
  <c r="BT570" i="7"/>
  <c r="BX570" i="7" s="1"/>
  <c r="BT730" i="7"/>
  <c r="BX730" i="7" s="1"/>
  <c r="BT644" i="7"/>
  <c r="BX644" i="7" s="1"/>
  <c r="BT555" i="7"/>
  <c r="BX555" i="7" s="1"/>
  <c r="BT18" i="7"/>
  <c r="BX18" i="7" s="1"/>
  <c r="BT210" i="7"/>
  <c r="BX210" i="7" s="1"/>
  <c r="BT614" i="7"/>
  <c r="BX614" i="7" s="1"/>
  <c r="BT813" i="7"/>
  <c r="BX813" i="7" s="1"/>
  <c r="BT502" i="7"/>
  <c r="BX502" i="7" s="1"/>
  <c r="BT297" i="7"/>
  <c r="BX297" i="7" s="1"/>
  <c r="BT834" i="7"/>
  <c r="BX834" i="7" s="1"/>
  <c r="BT540" i="7"/>
  <c r="BX540" i="7" s="1"/>
  <c r="BT162" i="7"/>
  <c r="BX162" i="7" s="1"/>
  <c r="BT479" i="7"/>
  <c r="BX479" i="7" s="1"/>
  <c r="BT356" i="7"/>
  <c r="BX356" i="7" s="1"/>
  <c r="BT58" i="7"/>
  <c r="BX58" i="7" s="1"/>
  <c r="BT311" i="7"/>
  <c r="BX311" i="7" s="1"/>
  <c r="BT124" i="7"/>
  <c r="BX124" i="7" s="1"/>
  <c r="BT536" i="7"/>
  <c r="BX536" i="7" s="1"/>
  <c r="BT12" i="7"/>
  <c r="BX12" i="7" s="1"/>
  <c r="BT273" i="7"/>
  <c r="BX273" i="7" s="1"/>
  <c r="BT642" i="7"/>
  <c r="BX642" i="7" s="1"/>
  <c r="BT53" i="7"/>
  <c r="BX53" i="7" s="1"/>
  <c r="BT415" i="7"/>
  <c r="BX415" i="7" s="1"/>
  <c r="BT857" i="7"/>
  <c r="BX857" i="7" s="1"/>
  <c r="BT717" i="7"/>
  <c r="BX717" i="7" s="1"/>
  <c r="BT669" i="7"/>
  <c r="BX669" i="7" s="1"/>
  <c r="BT256" i="7"/>
  <c r="BX256" i="7" s="1"/>
  <c r="BT827" i="7"/>
  <c r="BX827" i="7" s="1"/>
  <c r="BT770" i="7"/>
  <c r="BX770" i="7" s="1"/>
  <c r="BT478" i="7"/>
  <c r="BX478" i="7" s="1"/>
  <c r="BT372" i="7"/>
  <c r="BX372" i="7" s="1"/>
  <c r="BT371" i="7"/>
  <c r="BX371" i="7" s="1"/>
  <c r="BT9" i="7"/>
  <c r="BX9" i="7" s="1"/>
  <c r="BT596" i="7"/>
  <c r="BX596" i="7" s="1"/>
  <c r="BT613" i="7"/>
  <c r="BX613" i="7" s="1"/>
  <c r="BT690" i="7"/>
  <c r="BX690" i="7" s="1"/>
  <c r="BT506" i="7"/>
  <c r="BX506" i="7" s="1"/>
  <c r="BT610" i="7"/>
  <c r="BX610" i="7" s="1"/>
  <c r="BT637" i="7"/>
  <c r="BX637" i="7" s="1"/>
  <c r="BT267" i="7"/>
  <c r="BX267" i="7" s="1"/>
  <c r="BT780" i="7"/>
  <c r="BX780" i="7" s="1"/>
  <c r="BT380" i="7"/>
  <c r="BX380" i="7" s="1"/>
  <c r="BT166" i="7"/>
  <c r="BX166" i="7" s="1"/>
  <c r="BT829" i="7"/>
  <c r="BX829" i="7" s="1"/>
  <c r="BT268" i="7"/>
  <c r="BX268" i="7" s="1"/>
  <c r="BT416" i="7"/>
  <c r="BX416" i="7" s="1"/>
  <c r="BT575" i="7"/>
  <c r="BX575" i="7" s="1"/>
  <c r="BT67" i="7"/>
  <c r="BX67" i="7" s="1"/>
  <c r="BT525" i="7"/>
  <c r="BX525" i="7" s="1"/>
  <c r="BT322" i="7"/>
  <c r="BX322" i="7" s="1"/>
  <c r="BT57" i="7"/>
  <c r="BX57" i="7" s="1"/>
  <c r="BT785" i="7"/>
  <c r="BX785" i="7" s="1"/>
  <c r="BT310" i="7"/>
  <c r="BX310" i="7" s="1"/>
  <c r="BT567" i="7"/>
  <c r="BX567" i="7" s="1"/>
  <c r="BT765" i="7"/>
  <c r="BX765" i="7" s="1"/>
  <c r="BT428" i="7"/>
  <c r="BX428" i="7" s="1"/>
  <c r="BT167" i="7"/>
  <c r="BX167" i="7" s="1"/>
  <c r="BT635" i="7"/>
  <c r="BX635" i="7" s="1"/>
  <c r="BT139" i="7"/>
  <c r="BX139" i="7" s="1"/>
  <c r="BT736" i="7"/>
  <c r="BX736" i="7" s="1"/>
  <c r="BT241" i="7"/>
  <c r="BX241" i="7" s="1"/>
  <c r="BT56" i="7"/>
  <c r="BX56" i="7" s="1"/>
  <c r="BT503" i="7"/>
  <c r="BX503" i="7" s="1"/>
  <c r="BT399" i="7"/>
  <c r="BX399" i="7" s="1"/>
  <c r="BT657" i="7"/>
  <c r="BX657" i="7" s="1"/>
  <c r="BT344" i="7"/>
  <c r="BX344" i="7" s="1"/>
  <c r="BT771" i="7"/>
  <c r="BX771" i="7" s="1"/>
  <c r="BT275" i="7"/>
  <c r="BX275" i="7" s="1"/>
  <c r="BT623" i="7"/>
  <c r="BX623" i="7" s="1"/>
  <c r="BT824" i="7"/>
  <c r="BX824" i="7" s="1"/>
  <c r="BT250" i="7"/>
  <c r="BX250" i="7" s="1"/>
  <c r="BT172" i="7"/>
  <c r="BX172" i="7" s="1"/>
  <c r="BT581" i="7"/>
  <c r="BX581" i="7" s="1"/>
  <c r="BT658" i="7"/>
  <c r="BX658" i="7" s="1"/>
  <c r="BT325" i="7"/>
  <c r="BX325" i="7" s="1"/>
  <c r="BT398" i="7"/>
  <c r="BX398" i="7" s="1"/>
  <c r="BT472" i="7"/>
  <c r="BX472" i="7" s="1"/>
  <c r="BT831" i="7"/>
  <c r="BX831" i="7" s="1"/>
  <c r="BT670" i="7"/>
  <c r="BX670" i="7" s="1"/>
  <c r="BT806" i="7"/>
  <c r="BX806" i="7" s="1"/>
  <c r="BT92" i="7"/>
  <c r="BX92" i="7" s="1"/>
  <c r="BT784" i="7"/>
  <c r="BX784" i="7" s="1"/>
  <c r="BT484" i="7"/>
  <c r="BX484" i="7" s="1"/>
  <c r="BT51" i="7"/>
  <c r="BX51" i="7" s="1"/>
  <c r="BT527" i="7"/>
  <c r="BX527" i="7" s="1"/>
  <c r="BT292" i="7"/>
  <c r="BX292" i="7" s="1"/>
  <c r="BT68" i="7"/>
  <c r="BX68" i="7" s="1"/>
  <c r="BT585" i="7"/>
  <c r="BX585" i="7" s="1"/>
  <c r="BT826" i="7"/>
  <c r="BX826" i="7" s="1"/>
  <c r="BT656" i="7"/>
  <c r="BX656" i="7" s="1"/>
  <c r="BT54" i="7"/>
  <c r="BX54" i="7" s="1"/>
  <c r="BT220" i="7"/>
  <c r="BX220" i="7" s="1"/>
  <c r="BT44" i="7"/>
  <c r="BX44" i="7" s="1"/>
  <c r="BT109" i="7"/>
  <c r="BX109" i="7" s="1"/>
  <c r="BT653" i="7"/>
  <c r="BX653" i="7" s="1"/>
  <c r="BT46" i="7"/>
  <c r="BX46" i="7" s="1"/>
  <c r="BT526" i="7"/>
  <c r="BX526" i="7" s="1"/>
  <c r="BT73" i="7"/>
  <c r="BX73" i="7" s="1"/>
  <c r="BT577" i="7"/>
  <c r="BX577" i="7" s="1"/>
  <c r="BT183" i="7"/>
  <c r="BX183" i="7" s="1"/>
  <c r="BT25" i="7"/>
  <c r="BX25" i="7" s="1"/>
  <c r="BT381" i="7"/>
  <c r="BX381" i="7" s="1"/>
  <c r="BT113" i="7"/>
  <c r="BX113" i="7" s="1"/>
  <c r="BT144" i="7"/>
  <c r="BX144" i="7" s="1"/>
  <c r="BT621" i="7"/>
  <c r="BX621" i="7" s="1"/>
  <c r="BT101" i="7"/>
  <c r="BX101" i="7" s="1"/>
  <c r="BT182" i="7"/>
  <c r="BX182" i="7" s="1"/>
  <c r="BT87" i="7"/>
  <c r="BX87" i="7" s="1"/>
  <c r="BT672" i="7"/>
  <c r="BX672" i="7" s="1"/>
  <c r="BT383" i="7"/>
  <c r="BX383" i="7" s="1"/>
  <c r="BT583" i="7"/>
  <c r="BX583" i="7" s="1"/>
  <c r="BT790" i="7"/>
  <c r="BX790" i="7" s="1"/>
  <c r="BT805" i="7"/>
  <c r="BX805" i="7" s="1"/>
  <c r="BT159" i="7"/>
  <c r="BX159" i="7" s="1"/>
  <c r="BT586" i="7"/>
  <c r="BX586" i="7" s="1"/>
  <c r="BT135" i="7"/>
  <c r="BX135" i="7" s="1"/>
  <c r="BT114" i="7"/>
  <c r="BX114" i="7" s="1"/>
  <c r="BT515" i="7"/>
  <c r="BX515" i="7" s="1"/>
  <c r="BT236" i="7"/>
  <c r="BX236" i="7" s="1"/>
  <c r="BT86" i="7"/>
  <c r="BX86" i="7" s="1"/>
  <c r="BT391" i="7"/>
  <c r="BX391" i="7" s="1"/>
  <c r="BT393" i="7"/>
  <c r="BX393" i="7" s="1"/>
  <c r="BT111" i="7"/>
  <c r="BX111" i="7" s="1"/>
  <c r="BT668" i="7"/>
  <c r="BX668" i="7" s="1"/>
  <c r="BT521" i="7"/>
  <c r="BX521" i="7" s="1"/>
  <c r="BT491" i="7"/>
  <c r="BX491" i="7" s="1"/>
  <c r="BT414" i="7"/>
  <c r="BX414" i="7" s="1"/>
  <c r="BT27" i="7"/>
  <c r="BX27" i="7" s="1"/>
  <c r="BT407" i="7"/>
  <c r="BX407" i="7" s="1"/>
  <c r="BT688" i="7"/>
  <c r="BX688" i="7" s="1"/>
  <c r="BT511" i="7"/>
  <c r="BX511" i="7" s="1"/>
  <c r="BT209" i="7"/>
  <c r="BX209" i="7" s="1"/>
  <c r="BT282" i="7"/>
  <c r="BX282" i="7" s="1"/>
  <c r="BT405" i="7"/>
  <c r="BX405" i="7" s="1"/>
  <c r="BT365" i="7"/>
  <c r="BX365" i="7" s="1"/>
  <c r="BT716" i="7"/>
  <c r="BX716" i="7" s="1"/>
  <c r="BT740" i="7"/>
  <c r="BX740" i="7" s="1"/>
  <c r="BT181" i="7"/>
  <c r="BX181" i="7" s="1"/>
  <c r="BT369" i="7"/>
  <c r="BX369" i="7" s="1"/>
  <c r="BT161" i="7"/>
  <c r="BX161" i="7" s="1"/>
  <c r="BT844" i="7"/>
  <c r="BX844" i="7" s="1"/>
  <c r="BT609" i="7"/>
  <c r="BX609" i="7" s="1"/>
  <c r="BT616" i="7"/>
  <c r="BX616" i="7" s="1"/>
  <c r="BT98" i="7"/>
  <c r="BX98" i="7" s="1"/>
  <c r="BT207" i="7"/>
  <c r="BX207" i="7" s="1"/>
  <c r="BT448" i="7"/>
  <c r="BX448" i="7" s="1"/>
  <c r="BT864" i="7"/>
  <c r="BX864" i="7" s="1"/>
  <c r="BT602" i="7"/>
  <c r="BX602" i="7" s="1"/>
  <c r="BT564" i="7"/>
  <c r="BX564" i="7" s="1"/>
  <c r="BT386" i="7"/>
  <c r="BX386" i="7" s="1"/>
  <c r="BT330" i="7"/>
  <c r="BX330" i="7" s="1"/>
  <c r="BT701" i="7"/>
  <c r="BX701" i="7" s="1"/>
  <c r="BT843" i="7"/>
  <c r="BX843" i="7" s="1"/>
  <c r="BT791" i="7"/>
  <c r="BX791" i="7" s="1"/>
  <c r="BT290" i="7"/>
  <c r="BX290" i="7" s="1"/>
  <c r="BT138" i="7"/>
  <c r="BX138" i="7" s="1"/>
  <c r="BT228" i="7"/>
  <c r="BX228" i="7" s="1"/>
  <c r="BT649" i="7"/>
  <c r="BX649" i="7" s="1"/>
  <c r="BT699" i="7"/>
  <c r="BX699" i="7" s="1"/>
  <c r="BT89" i="7"/>
  <c r="BX89" i="7" s="1"/>
  <c r="BT388" i="7"/>
  <c r="BX388" i="7" s="1"/>
  <c r="BT542" i="7"/>
  <c r="BX542" i="7" s="1"/>
  <c r="BT851" i="7"/>
  <c r="BX851" i="7" s="1"/>
  <c r="BT807" i="7"/>
  <c r="BX807" i="7" s="1"/>
  <c r="BT426" i="7"/>
  <c r="BX426" i="7" s="1"/>
  <c r="BT35" i="7"/>
  <c r="BX35" i="7" s="1"/>
  <c r="BT404" i="7"/>
  <c r="BX404" i="7" s="1"/>
  <c r="BT435" i="7"/>
  <c r="BX435" i="7" s="1"/>
  <c r="BT588" i="7"/>
  <c r="BX588" i="7" s="1"/>
  <c r="BT385" i="7"/>
  <c r="BX385" i="7" s="1"/>
  <c r="BT376" i="7"/>
  <c r="BX376" i="7" s="1"/>
  <c r="BT748" i="7"/>
  <c r="BX748" i="7" s="1"/>
  <c r="BT410" i="7"/>
  <c r="BX410" i="7" s="1"/>
  <c r="BT764" i="7"/>
  <c r="BX764" i="7" s="1"/>
  <c r="BT634" i="7"/>
  <c r="BX634" i="7" s="1"/>
  <c r="BT593" i="7"/>
  <c r="BX593" i="7" s="1"/>
  <c r="BT865" i="7"/>
  <c r="BX865" i="7" s="1"/>
  <c r="BT333" i="7"/>
  <c r="BX333" i="7" s="1"/>
  <c r="BT294" i="7"/>
  <c r="BX294" i="7" s="1"/>
  <c r="BT665" i="7"/>
  <c r="BX665" i="7" s="1"/>
  <c r="BT328" i="7"/>
  <c r="BX328" i="7" s="1"/>
  <c r="BT132" i="7"/>
  <c r="BX132" i="7" s="1"/>
  <c r="BT760" i="7"/>
  <c r="BX760" i="7" s="1"/>
  <c r="BT518" i="7"/>
  <c r="BX518" i="7" s="1"/>
  <c r="BT361" i="7"/>
  <c r="BX361" i="7" s="1"/>
  <c r="BT459" i="7"/>
  <c r="BX459" i="7" s="1"/>
  <c r="BT600" i="7"/>
  <c r="BX600" i="7" s="1"/>
  <c r="BT629" i="7"/>
  <c r="BX629" i="7" s="1"/>
  <c r="BT516" i="7"/>
  <c r="BX516" i="7" s="1"/>
  <c r="BT652" i="7"/>
  <c r="BX652" i="7" s="1"/>
  <c r="BT323" i="7"/>
  <c r="BX323" i="7" s="1"/>
  <c r="BT597" i="7"/>
  <c r="BX597" i="7" s="1"/>
  <c r="BT563" i="7"/>
  <c r="BX563" i="7" s="1"/>
  <c r="BT485" i="7"/>
  <c r="BX485" i="7" s="1"/>
  <c r="BT509" i="7"/>
  <c r="BX509" i="7" s="1"/>
  <c r="BT249" i="7"/>
  <c r="BX249" i="7" s="1"/>
  <c r="BT768" i="7"/>
  <c r="BX768" i="7" s="1"/>
  <c r="BT749" i="7"/>
  <c r="BX749" i="7" s="1"/>
  <c r="BT74" i="7"/>
  <c r="BX74" i="7" s="1"/>
  <c r="BT255" i="7"/>
  <c r="BX255" i="7" s="1"/>
  <c r="BT752" i="7"/>
  <c r="BX752" i="7" s="1"/>
  <c r="BT233" i="7"/>
  <c r="BX233" i="7" s="1"/>
  <c r="BT438" i="7"/>
  <c r="BX438" i="7" s="1"/>
  <c r="BT208" i="7"/>
  <c r="BX208" i="7" s="1"/>
  <c r="BT11" i="7"/>
  <c r="BX11" i="7" s="1"/>
  <c r="BT747" i="7"/>
  <c r="BX747" i="7" s="1"/>
  <c r="BT387" i="7"/>
  <c r="BX387" i="7" s="1"/>
  <c r="BT168" i="7"/>
  <c r="BX168" i="7" s="1"/>
  <c r="BT252" i="7"/>
  <c r="BX252" i="7" s="1"/>
  <c r="BT830" i="7"/>
  <c r="BX830" i="7" s="1"/>
  <c r="BT117" i="7"/>
  <c r="BX117" i="7" s="1"/>
  <c r="BT687" i="7"/>
  <c r="BX687" i="7" s="1"/>
  <c r="BT205" i="7"/>
  <c r="BX205" i="7" s="1"/>
  <c r="BT466" i="7"/>
  <c r="BX466" i="7" s="1"/>
  <c r="BT354" i="7"/>
  <c r="BX354" i="7" s="1"/>
  <c r="BT298" i="7"/>
  <c r="BX298" i="7" s="1"/>
  <c r="BT719" i="7"/>
  <c r="BX719" i="7" s="1"/>
  <c r="BT134" i="7"/>
  <c r="BX134" i="7" s="1"/>
  <c r="BT756" i="7"/>
  <c r="BX756" i="7" s="1"/>
  <c r="BT693" i="7"/>
  <c r="BX693" i="7" s="1"/>
  <c r="BT284" i="7"/>
  <c r="BX284" i="7" s="1"/>
  <c r="BT529" i="7"/>
  <c r="BX529" i="7" s="1"/>
  <c r="BT461" i="7"/>
  <c r="BX461" i="7" s="1"/>
  <c r="BT367" i="7"/>
  <c r="BX367" i="7" s="1"/>
  <c r="BT151" i="7"/>
  <c r="BX151" i="7" s="1"/>
  <c r="BT605" i="7"/>
  <c r="BX605" i="7" s="1"/>
  <c r="BT545" i="7"/>
  <c r="BX545" i="7" s="1"/>
  <c r="BT495" i="7"/>
  <c r="BX495" i="7" s="1"/>
  <c r="BT349" i="7"/>
  <c r="BX349" i="7" s="1"/>
  <c r="BT70" i="7"/>
  <c r="BX70" i="7" s="1"/>
  <c r="BT240" i="7"/>
  <c r="BX240" i="7" s="1"/>
  <c r="BT97" i="7"/>
  <c r="BX97" i="7" s="1"/>
  <c r="BT457" i="7"/>
  <c r="BX457" i="7" s="1"/>
  <c r="BT705" i="7"/>
  <c r="BX705" i="7" s="1"/>
  <c r="BT729" i="7"/>
  <c r="BX729" i="7" s="1"/>
  <c r="BT37" i="7"/>
  <c r="BX37" i="7" s="1"/>
  <c r="BT341" i="7"/>
  <c r="BX341" i="7" s="1"/>
  <c r="BT532" i="7"/>
  <c r="BX532" i="7" s="1"/>
  <c r="BT452" i="7"/>
  <c r="BX452" i="7" s="1"/>
  <c r="BT283" i="7"/>
  <c r="BX283" i="7" s="1"/>
  <c r="BT29" i="7"/>
  <c r="BX29" i="7" s="1"/>
  <c r="BT762" i="7"/>
  <c r="BX762" i="7" s="1"/>
  <c r="BT735" i="7"/>
  <c r="BX735" i="7" s="1"/>
  <c r="BT242" i="7"/>
  <c r="BX242" i="7" s="1"/>
  <c r="BT504" i="7"/>
  <c r="BX504" i="7" s="1"/>
  <c r="BT30" i="7"/>
  <c r="BX30" i="7" s="1"/>
  <c r="BT462" i="7"/>
  <c r="BX462" i="7" s="1"/>
  <c r="BT216" i="7"/>
  <c r="BX216" i="7" s="1"/>
  <c r="BT422" i="7"/>
  <c r="BX422" i="7" s="1"/>
  <c r="BT332" i="7"/>
  <c r="BX332" i="7" s="1"/>
  <c r="BT8" i="7"/>
  <c r="BX8" i="7" s="1"/>
  <c r="BT645" i="7"/>
  <c r="BX645" i="7" s="1"/>
  <c r="BT795" i="7"/>
  <c r="BX795" i="7" s="1"/>
  <c r="BT351" i="7"/>
  <c r="BX351" i="7" s="1"/>
  <c r="BT508" i="7"/>
  <c r="BX508" i="7" s="1"/>
  <c r="BT846" i="7"/>
  <c r="BX846" i="7" s="1"/>
  <c r="BT680" i="7"/>
  <c r="BX680" i="7" s="1"/>
  <c r="BT822" i="7"/>
  <c r="BX822" i="7" s="1"/>
  <c r="BT219" i="7"/>
  <c r="BX219" i="7" s="1"/>
  <c r="BT409" i="7"/>
  <c r="BX409" i="7" s="1"/>
  <c r="BT820" i="7"/>
  <c r="BX820" i="7" s="1"/>
  <c r="BT196" i="7"/>
  <c r="BX196" i="7" s="1"/>
  <c r="BT816" i="7"/>
  <c r="BX816" i="7" s="1"/>
  <c r="BT427" i="7"/>
  <c r="BX427" i="7" s="1"/>
  <c r="BT136" i="7"/>
  <c r="BX136" i="7" s="1"/>
  <c r="BT350" i="7"/>
  <c r="BX350" i="7" s="1"/>
  <c r="BT20" i="7"/>
  <c r="BX20" i="7" s="1"/>
  <c r="BT544" i="7"/>
  <c r="BX544" i="7" s="1"/>
  <c r="BT229" i="7"/>
  <c r="BX229" i="7" s="1"/>
  <c r="BT778" i="7"/>
  <c r="BX778" i="7" s="1"/>
  <c r="BT568" i="7"/>
  <c r="BX568" i="7" s="1"/>
  <c r="BT801" i="7"/>
  <c r="BX801" i="7" s="1"/>
  <c r="BT660" i="7"/>
  <c r="BX660" i="7" s="1"/>
  <c r="BT82" i="7"/>
  <c r="BX82" i="7" s="1"/>
  <c r="BT632" i="7"/>
  <c r="BX632" i="7" s="1"/>
  <c r="BT677" i="7"/>
  <c r="BX677" i="7" s="1"/>
  <c r="BT741" i="7"/>
  <c r="BX741" i="7" s="1"/>
  <c r="BT855" i="7"/>
  <c r="BX855" i="7" s="1"/>
  <c r="BT679" i="7"/>
  <c r="BX679" i="7" s="1"/>
  <c r="BT704" i="7"/>
  <c r="BX704" i="7" s="1"/>
  <c r="BT664" i="7"/>
  <c r="BX664" i="7" s="1"/>
  <c r="BT293" i="7"/>
  <c r="BX293" i="7" s="1"/>
  <c r="BT513" i="7"/>
  <c r="BX513" i="7" s="1"/>
  <c r="BT528" i="7"/>
  <c r="BX528" i="7" s="1"/>
  <c r="BT424" i="7"/>
  <c r="BX424" i="7" s="1"/>
  <c r="BT870" i="7"/>
  <c r="BX870" i="7" s="1"/>
  <c r="BT100" i="7"/>
  <c r="BX100" i="7" s="1"/>
  <c r="BW353" i="7" l="1"/>
  <c r="CC93" i="7"/>
  <c r="CD93" i="7"/>
  <c r="BW296" i="7"/>
  <c r="BY296" i="7"/>
  <c r="BZ19" i="7"/>
  <c r="BY19" i="7"/>
  <c r="CA622" i="7"/>
  <c r="CD622" i="7"/>
  <c r="CA179" i="7"/>
  <c r="CC179" i="7"/>
  <c r="CB139" i="7"/>
  <c r="BZ139" i="7"/>
  <c r="BZ556" i="7"/>
  <c r="CC556" i="7"/>
  <c r="CD379" i="7"/>
  <c r="BW379" i="7"/>
  <c r="CD707" i="7"/>
  <c r="BY707" i="7"/>
  <c r="BY194" i="7"/>
  <c r="CB194" i="7"/>
  <c r="BY31" i="7"/>
  <c r="CD31" i="7"/>
  <c r="CA431" i="7"/>
  <c r="BY431" i="7"/>
  <c r="BY493" i="7"/>
  <c r="BW493" i="7"/>
  <c r="CD615" i="7"/>
  <c r="CA615" i="7"/>
  <c r="CB372" i="7"/>
  <c r="BY372" i="7"/>
  <c r="BZ562" i="7"/>
  <c r="CA562" i="7"/>
  <c r="CB498" i="7"/>
  <c r="BZ498" i="7"/>
  <c r="BY49" i="7"/>
  <c r="BW49" i="7"/>
  <c r="BZ426" i="7"/>
  <c r="CA426" i="7"/>
  <c r="CB807" i="7"/>
  <c r="CC807" i="7"/>
  <c r="CA703" i="7"/>
  <c r="BY703" i="7"/>
  <c r="CD366" i="7"/>
  <c r="CB366" i="7"/>
  <c r="BY156" i="7"/>
  <c r="BW156" i="7"/>
  <c r="CC361" i="7"/>
  <c r="CA361" i="7"/>
  <c r="CB400" i="7"/>
  <c r="CD400" i="7"/>
  <c r="CC744" i="7"/>
  <c r="BZ744" i="7"/>
  <c r="CD377" i="7"/>
  <c r="CA377" i="7"/>
  <c r="BY271" i="7"/>
  <c r="CD271" i="7"/>
  <c r="BW471" i="7"/>
  <c r="CC471" i="7"/>
  <c r="CD611" i="7"/>
  <c r="CA611" i="7"/>
  <c r="BZ547" i="7"/>
  <c r="CC547" i="7"/>
  <c r="CD277" i="7"/>
  <c r="BZ277" i="7"/>
  <c r="BY417" i="7"/>
  <c r="CD417" i="7"/>
  <c r="CA503" i="7"/>
  <c r="CD503" i="7"/>
  <c r="CA605" i="7"/>
  <c r="CD605" i="7"/>
  <c r="CC348" i="7"/>
  <c r="BZ348" i="7"/>
  <c r="BZ786" i="7"/>
  <c r="CC786" i="7"/>
  <c r="BW55" i="7"/>
  <c r="BZ55" i="7"/>
  <c r="CA447" i="7"/>
  <c r="BZ447" i="7"/>
  <c r="CC517" i="7"/>
  <c r="CB517" i="7"/>
  <c r="CD185" i="7"/>
  <c r="CC185" i="7"/>
  <c r="BZ489" i="7"/>
  <c r="CC489" i="7"/>
  <c r="BW48" i="7"/>
  <c r="BY48" i="7"/>
  <c r="BY224" i="7"/>
  <c r="BW224" i="7"/>
  <c r="CB438" i="7"/>
  <c r="BY438" i="7"/>
  <c r="CD496" i="7"/>
  <c r="CA496" i="7"/>
  <c r="BZ306" i="7"/>
  <c r="CB306" i="7"/>
  <c r="BZ573" i="7"/>
  <c r="CD573" i="7"/>
  <c r="CC37" i="7"/>
  <c r="CA37" i="7"/>
  <c r="BY343" i="7"/>
  <c r="CC343" i="7"/>
  <c r="BW142" i="7"/>
  <c r="CD142" i="7"/>
  <c r="BW337" i="7"/>
  <c r="BY337" i="7"/>
  <c r="BZ663" i="7"/>
  <c r="CA663" i="7"/>
  <c r="BZ225" i="7"/>
  <c r="CC225" i="7"/>
  <c r="CC69" i="7"/>
  <c r="CA69" i="7"/>
  <c r="BY36" i="7"/>
  <c r="CA36" i="7"/>
  <c r="BY327" i="7"/>
  <c r="BW327" i="7"/>
  <c r="BW739" i="7"/>
  <c r="CA739" i="7"/>
  <c r="CD668" i="7"/>
  <c r="CC668" i="7"/>
  <c r="CB586" i="7"/>
  <c r="CA586" i="7"/>
  <c r="CC162" i="7"/>
  <c r="CB162" i="7"/>
  <c r="BW65" i="7"/>
  <c r="CA65" i="7"/>
  <c r="BW572" i="7"/>
  <c r="BZ572" i="7"/>
  <c r="BZ284" i="7"/>
  <c r="BY284" i="7"/>
  <c r="CA485" i="7"/>
  <c r="BY485" i="7"/>
  <c r="CC649" i="7"/>
  <c r="CA649" i="7"/>
  <c r="CA535" i="7"/>
  <c r="BZ535" i="7"/>
  <c r="BY188" i="7"/>
  <c r="BW188" i="7"/>
  <c r="BY157" i="7"/>
  <c r="BW157" i="7"/>
  <c r="CA136" i="7"/>
  <c r="CD136" i="7"/>
  <c r="CA679" i="7"/>
  <c r="BZ679" i="7"/>
  <c r="BY339" i="7"/>
  <c r="CC339" i="7"/>
  <c r="BZ776" i="7"/>
  <c r="CC776" i="7"/>
  <c r="BZ700" i="7"/>
  <c r="CC700" i="7"/>
  <c r="BZ486" i="7"/>
  <c r="BY486" i="7"/>
  <c r="BW458" i="7"/>
  <c r="CA458" i="7"/>
  <c r="BW743" i="7"/>
  <c r="CA743" i="7"/>
  <c r="CA660" i="7"/>
  <c r="CD660" i="7"/>
  <c r="CD15" i="7"/>
  <c r="CA15" i="7"/>
  <c r="CD209" i="7"/>
  <c r="BZ209" i="7"/>
  <c r="CC478" i="7"/>
  <c r="CD478" i="7"/>
  <c r="CC345" i="7"/>
  <c r="CD345" i="7"/>
  <c r="BZ39" i="7"/>
  <c r="CA39" i="7"/>
  <c r="BW130" i="7"/>
  <c r="CA130" i="7"/>
  <c r="BY223" i="7"/>
  <c r="BW223" i="7"/>
  <c r="BZ608" i="7"/>
  <c r="CC608" i="7"/>
  <c r="BZ553" i="7"/>
  <c r="BW553" i="7"/>
  <c r="BW505" i="7"/>
  <c r="CA505" i="7"/>
  <c r="CA401" i="7"/>
  <c r="CD401" i="7"/>
  <c r="CD57" i="7"/>
  <c r="CB57" i="7"/>
  <c r="BY430" i="7"/>
  <c r="CC430" i="7"/>
  <c r="CD526" i="7"/>
  <c r="CA526" i="7"/>
  <c r="BZ543" i="7"/>
  <c r="CC543" i="7"/>
  <c r="BY189" i="7"/>
  <c r="BW189" i="7"/>
  <c r="BW121" i="7"/>
  <c r="BZ121" i="7"/>
  <c r="CB457" i="7"/>
  <c r="CA457" i="7"/>
  <c r="CA270" i="7"/>
  <c r="BZ270" i="7"/>
  <c r="BW47" i="7"/>
  <c r="BY47" i="7"/>
  <c r="CA357" i="7"/>
  <c r="BW357" i="7"/>
  <c r="CA484" i="7"/>
  <c r="BY484" i="7"/>
  <c r="BZ53" i="7"/>
  <c r="BY53" i="7"/>
  <c r="BY675" i="7"/>
  <c r="CB675" i="7"/>
  <c r="BZ850" i="7"/>
  <c r="CC850" i="7"/>
  <c r="BZ651" i="7"/>
  <c r="BY651" i="7"/>
  <c r="BW192" i="7"/>
  <c r="CA192" i="7"/>
  <c r="BY155" i="7"/>
  <c r="BW155" i="7"/>
  <c r="CA127" i="7"/>
  <c r="CD127" i="7"/>
  <c r="BZ38" i="7"/>
  <c r="CA38" i="7"/>
  <c r="CB421" i="7"/>
  <c r="CA421" i="7"/>
  <c r="BW217" i="7"/>
  <c r="CA217" i="7"/>
  <c r="CA544" i="7"/>
  <c r="CC544" i="7"/>
  <c r="BZ67" i="7"/>
  <c r="CD67" i="7"/>
  <c r="CC312" i="7"/>
  <c r="BY312" i="7"/>
  <c r="CD151" i="7"/>
  <c r="BY151" i="7"/>
  <c r="BY710" i="7"/>
  <c r="CD710" i="7"/>
  <c r="BY624" i="7"/>
  <c r="CC624" i="7"/>
  <c r="BW131" i="7"/>
  <c r="CA131" i="7"/>
  <c r="BY696" i="7"/>
  <c r="CB696" i="7"/>
  <c r="CD504" i="7"/>
  <c r="BY504" i="7"/>
  <c r="BZ550" i="7"/>
  <c r="BY550" i="7"/>
  <c r="BY370" i="7"/>
  <c r="CC370" i="7"/>
  <c r="CD226" i="7"/>
  <c r="BY226" i="7"/>
  <c r="CC303" i="7"/>
  <c r="CA303" i="7"/>
  <c r="CC813" i="7"/>
  <c r="CD813" i="7"/>
  <c r="CA639" i="7"/>
  <c r="BZ639" i="7"/>
  <c r="BZ50" i="7"/>
  <c r="BY50" i="7"/>
  <c r="CA358" i="7"/>
  <c r="CC358" i="7"/>
  <c r="BY738" i="7"/>
  <c r="BZ738" i="7"/>
  <c r="BY853" i="7"/>
  <c r="CB853" i="7"/>
  <c r="BY32" i="7"/>
  <c r="CD32" i="7"/>
  <c r="CB779" i="7"/>
  <c r="CA779" i="7"/>
  <c r="BY308" i="7"/>
  <c r="CD308" i="7"/>
  <c r="BZ234" i="7"/>
  <c r="CD234" i="7"/>
  <c r="BZ299" i="7"/>
  <c r="CC299" i="7"/>
  <c r="BY617" i="7"/>
  <c r="BZ617" i="7"/>
  <c r="CA182" i="7"/>
  <c r="CC182" i="7"/>
  <c r="CA451" i="7"/>
  <c r="CC451" i="7"/>
  <c r="CA141" i="7"/>
  <c r="CB141" i="7"/>
  <c r="CC724" i="7"/>
  <c r="CA724" i="7"/>
  <c r="CC382" i="7"/>
  <c r="CA382" i="7"/>
  <c r="CB818" i="7"/>
  <c r="BZ818" i="7"/>
  <c r="BY842" i="7"/>
  <c r="CA842" i="7"/>
  <c r="BY636" i="7"/>
  <c r="CD636" i="7"/>
  <c r="CA232" i="7"/>
  <c r="BZ232" i="7"/>
  <c r="CC116" i="7"/>
  <c r="BZ116" i="7"/>
  <c r="BY821" i="7"/>
  <c r="BZ821" i="7"/>
  <c r="CC233" i="7"/>
  <c r="CD233" i="7"/>
  <c r="CC429" i="7"/>
  <c r="BZ429" i="7"/>
  <c r="CC269" i="7"/>
  <c r="BY269" i="7"/>
  <c r="CA321" i="7"/>
  <c r="BZ321" i="7"/>
  <c r="CA626" i="7"/>
  <c r="CC626" i="7"/>
  <c r="BZ488" i="7"/>
  <c r="BY488" i="7"/>
  <c r="CB708" i="7"/>
  <c r="CD708" i="7"/>
  <c r="CD634" i="7"/>
  <c r="CB634" i="7"/>
  <c r="CA77" i="7"/>
  <c r="CC77" i="7"/>
  <c r="CD406" i="7"/>
  <c r="BZ406" i="7"/>
  <c r="CC685" i="7"/>
  <c r="BZ685" i="7"/>
  <c r="CD748" i="7"/>
  <c r="CB748" i="7"/>
  <c r="BY132" i="7"/>
  <c r="CD132" i="7"/>
  <c r="CD522" i="7"/>
  <c r="BZ522" i="7"/>
  <c r="CB865" i="7"/>
  <c r="BZ865" i="7"/>
  <c r="CC428" i="7"/>
  <c r="CA428" i="7"/>
  <c r="CA614" i="7"/>
  <c r="BY614" i="7"/>
  <c r="BZ317" i="7"/>
  <c r="CA317" i="7"/>
  <c r="BY266" i="7"/>
  <c r="BZ266" i="7"/>
  <c r="CB112" i="7"/>
  <c r="BY112" i="7"/>
  <c r="CC148" i="7"/>
  <c r="CA148" i="7"/>
  <c r="BY588" i="7"/>
  <c r="CD588" i="7"/>
  <c r="BY823" i="7"/>
  <c r="CA823" i="7"/>
  <c r="BY518" i="7"/>
  <c r="BZ518" i="7"/>
  <c r="CA513" i="7"/>
  <c r="CC513" i="7"/>
  <c r="CC847" i="7"/>
  <c r="CD847" i="7"/>
  <c r="CA747" i="7"/>
  <c r="BY747" i="7"/>
  <c r="BY147" i="7"/>
  <c r="CD147" i="7"/>
  <c r="BY446" i="7"/>
  <c r="CC446" i="7"/>
  <c r="BY26" i="7"/>
  <c r="CD26" i="7"/>
  <c r="BZ527" i="7"/>
  <c r="BY527" i="7"/>
  <c r="BZ352" i="7"/>
  <c r="BY352" i="7"/>
  <c r="CB214" i="7"/>
  <c r="BZ214" i="7"/>
  <c r="CA674" i="7"/>
  <c r="BY674" i="7"/>
  <c r="CB673" i="7"/>
  <c r="CD673" i="7"/>
  <c r="CD762" i="7"/>
  <c r="CC762" i="7"/>
  <c r="CA621" i="7"/>
  <c r="BZ621" i="7"/>
  <c r="CD332" i="7"/>
  <c r="CA332" i="7"/>
  <c r="CA328" i="7"/>
  <c r="CD328" i="7"/>
  <c r="CD11" i="7"/>
  <c r="BY11" i="7"/>
  <c r="CD497" i="7"/>
  <c r="CA497" i="7"/>
  <c r="CA646" i="7"/>
  <c r="BZ646" i="7"/>
  <c r="CA717" i="7"/>
  <c r="CC717" i="7"/>
  <c r="CD799" i="7"/>
  <c r="BY799" i="7"/>
  <c r="CB454" i="7"/>
  <c r="CD454" i="7"/>
  <c r="CC730" i="7"/>
  <c r="CA730" i="7"/>
  <c r="CB643" i="7"/>
  <c r="CD643" i="7"/>
  <c r="CC756" i="7"/>
  <c r="CB756" i="7"/>
  <c r="BZ753" i="7"/>
  <c r="BY753" i="7"/>
  <c r="BZ666" i="7"/>
  <c r="CC666" i="7"/>
  <c r="BZ95" i="7"/>
  <c r="CD95" i="7"/>
  <c r="CA59" i="7"/>
  <c r="CB59" i="7"/>
  <c r="CB355" i="7"/>
  <c r="CC355" i="7"/>
  <c r="BZ324" i="7"/>
  <c r="CD324" i="7"/>
  <c r="CC231" i="7"/>
  <c r="BZ231" i="7"/>
  <c r="BZ356" i="7"/>
  <c r="BY356" i="7"/>
  <c r="CA610" i="7"/>
  <c r="CC610" i="7"/>
  <c r="BY647" i="7"/>
  <c r="CC647" i="7"/>
  <c r="BZ598" i="7"/>
  <c r="BY598" i="7"/>
  <c r="CB246" i="7"/>
  <c r="CD246" i="7"/>
  <c r="BY261" i="7"/>
  <c r="CB261" i="7"/>
  <c r="CD830" i="7"/>
  <c r="CC830" i="7"/>
  <c r="CD115" i="7"/>
  <c r="CB115" i="7"/>
  <c r="CB105" i="7"/>
  <c r="CD105" i="7"/>
  <c r="CA389" i="7"/>
  <c r="CD389" i="7"/>
  <c r="CB578" i="7"/>
  <c r="CC578" i="7"/>
  <c r="CB787" i="7"/>
  <c r="CA787" i="7"/>
  <c r="BZ711" i="7"/>
  <c r="BY711" i="7"/>
  <c r="BZ781" i="7"/>
  <c r="CC781" i="7"/>
  <c r="CD235" i="7"/>
  <c r="CC235" i="7"/>
  <c r="CA481" i="7"/>
  <c r="BZ481" i="7"/>
  <c r="BY281" i="7"/>
  <c r="BZ281" i="7"/>
  <c r="CA78" i="7"/>
  <c r="BZ78" i="7"/>
  <c r="CD364" i="7"/>
  <c r="CA364" i="7"/>
  <c r="CC245" i="7"/>
  <c r="CA245" i="7"/>
  <c r="CC255" i="7"/>
  <c r="CB255" i="7"/>
  <c r="BY722" i="7"/>
  <c r="CA722" i="7"/>
  <c r="CC60" i="7"/>
  <c r="BY60" i="7"/>
  <c r="CC391" i="7"/>
  <c r="BY391" i="7"/>
  <c r="CD819" i="7"/>
  <c r="BZ819" i="7"/>
  <c r="BZ154" i="7"/>
  <c r="CC154" i="7"/>
  <c r="CC282" i="7"/>
  <c r="CA282" i="7"/>
  <c r="CD727" i="7"/>
  <c r="CA727" i="7"/>
  <c r="BZ123" i="7"/>
  <c r="CA123" i="7"/>
  <c r="BZ403" i="7"/>
  <c r="BY403" i="7"/>
  <c r="CD433" i="7"/>
  <c r="CC433" i="7"/>
  <c r="BY62" i="7"/>
  <c r="BZ62" i="7"/>
  <c r="CD276" i="7"/>
  <c r="BZ276" i="7"/>
  <c r="BY745" i="7"/>
  <c r="CA745" i="7"/>
  <c r="CD577" i="7"/>
  <c r="CC577" i="7"/>
  <c r="CB289" i="7"/>
  <c r="BZ289" i="7"/>
  <c r="CC264" i="7"/>
  <c r="CD264" i="7"/>
  <c r="CD817" i="7"/>
  <c r="BZ817" i="7"/>
  <c r="CB52" i="7"/>
  <c r="CA52" i="7"/>
  <c r="CA860" i="7"/>
  <c r="CC860" i="7"/>
  <c r="BZ766" i="7"/>
  <c r="CC766" i="7"/>
  <c r="CD494" i="7"/>
  <c r="CB494" i="7"/>
  <c r="BZ868" i="7"/>
  <c r="CD868" i="7"/>
  <c r="BY252" i="7"/>
  <c r="CB252" i="7"/>
  <c r="CB580" i="7"/>
  <c r="CC580" i="7"/>
  <c r="CC590" i="7"/>
  <c r="BZ590" i="7"/>
  <c r="CA41" i="7"/>
  <c r="BZ41" i="7"/>
  <c r="CD24" i="7"/>
  <c r="CB24" i="7"/>
  <c r="CC583" i="7"/>
  <c r="CB583" i="7"/>
  <c r="BZ772" i="7"/>
  <c r="CC772" i="7"/>
  <c r="CC733" i="7"/>
  <c r="CB733" i="7"/>
  <c r="CB346" i="7"/>
  <c r="CD346" i="7"/>
  <c r="BZ645" i="7"/>
  <c r="CB645" i="7"/>
  <c r="BZ211" i="7"/>
  <c r="BY211" i="7"/>
  <c r="BZ394" i="7"/>
  <c r="BY394" i="7"/>
  <c r="CC175" i="7"/>
  <c r="BY175" i="7"/>
  <c r="CA463" i="7"/>
  <c r="CC463" i="7"/>
  <c r="BY164" i="7"/>
  <c r="CD164" i="7"/>
  <c r="CD627" i="7"/>
  <c r="CC627" i="7"/>
  <c r="BY795" i="7"/>
  <c r="CC795" i="7"/>
  <c r="BY405" i="7"/>
  <c r="CB405" i="7"/>
  <c r="BZ71" i="7"/>
  <c r="CC71" i="7"/>
  <c r="CC804" i="7"/>
  <c r="BY804" i="7"/>
  <c r="BZ811" i="7"/>
  <c r="CC811" i="7"/>
  <c r="BZ153" i="7"/>
  <c r="CC153" i="7"/>
  <c r="BY534" i="7"/>
  <c r="BZ534" i="7"/>
  <c r="BY676" i="7"/>
  <c r="BZ676" i="7"/>
  <c r="CB268" i="7"/>
  <c r="CA268" i="7"/>
  <c r="CC236" i="7"/>
  <c r="CA236" i="7"/>
  <c r="BY104" i="7"/>
  <c r="CA104" i="7"/>
  <c r="BZ620" i="7"/>
  <c r="CB620" i="7"/>
  <c r="CD216" i="7"/>
  <c r="CB216" i="7"/>
  <c r="CA84" i="7"/>
  <c r="BZ84" i="7"/>
  <c r="BY698" i="7"/>
  <c r="BZ698" i="7"/>
  <c r="CA42" i="7"/>
  <c r="CD42" i="7"/>
  <c r="BY363" i="7"/>
  <c r="CA363" i="7"/>
  <c r="CD465" i="7"/>
  <c r="CB465" i="7"/>
  <c r="CC600" i="7"/>
  <c r="CA600" i="7"/>
  <c r="CA691" i="7"/>
  <c r="BZ691" i="7"/>
  <c r="BZ96" i="7"/>
  <c r="CA96" i="7"/>
  <c r="BY751" i="7"/>
  <c r="CD751" i="7"/>
  <c r="BY455" i="7"/>
  <c r="CD455" i="7"/>
  <c r="CC420" i="7"/>
  <c r="CD420" i="7"/>
  <c r="BZ251" i="7"/>
  <c r="CD251" i="7"/>
  <c r="BZ93" i="7"/>
  <c r="CA93" i="7"/>
  <c r="CC750" i="7"/>
  <c r="BZ750" i="7"/>
  <c r="CA239" i="7"/>
  <c r="BZ239" i="7"/>
  <c r="BZ307" i="7"/>
  <c r="BY307" i="7"/>
  <c r="CC810" i="7"/>
  <c r="BZ810" i="7"/>
  <c r="CC486" i="7"/>
  <c r="CB486" i="7"/>
  <c r="BY288" i="7"/>
  <c r="BZ288" i="7"/>
  <c r="CD566" i="7"/>
  <c r="BY566" i="7"/>
  <c r="CD260" i="7"/>
  <c r="BZ260" i="7"/>
  <c r="CD859" i="7"/>
  <c r="BZ859" i="7"/>
  <c r="BY126" i="7"/>
  <c r="BZ126" i="7"/>
  <c r="BZ728" i="7"/>
  <c r="CA728" i="7"/>
  <c r="CC783" i="7"/>
  <c r="BZ783" i="7"/>
  <c r="CC689" i="7"/>
  <c r="BZ689" i="7"/>
  <c r="BY786" i="7"/>
  <c r="CA786" i="7"/>
  <c r="BZ861" i="7"/>
  <c r="BY861" i="7"/>
  <c r="BY171" i="7"/>
  <c r="CB171" i="7"/>
  <c r="CC683" i="7"/>
  <c r="CA683" i="7"/>
  <c r="BZ793" i="7"/>
  <c r="BY793" i="7"/>
  <c r="BY608" i="7"/>
  <c r="CB608" i="7"/>
  <c r="BZ218" i="7"/>
  <c r="BY218" i="7"/>
  <c r="BZ697" i="7"/>
  <c r="BY697" i="7"/>
  <c r="BZ238" i="7"/>
  <c r="CB238" i="7"/>
  <c r="CB530" i="7"/>
  <c r="BZ530" i="7"/>
  <c r="BZ815" i="7"/>
  <c r="CC815" i="7"/>
  <c r="BZ177" i="7"/>
  <c r="CB177" i="7"/>
  <c r="CC412" i="7"/>
  <c r="CB412" i="7"/>
  <c r="BZ467" i="7"/>
  <c r="CC467" i="7"/>
  <c r="BZ163" i="7"/>
  <c r="BY163" i="7"/>
  <c r="CA700" i="7"/>
  <c r="BY700" i="7"/>
  <c r="BY16" i="7"/>
  <c r="CA16" i="7"/>
  <c r="BZ492" i="7"/>
  <c r="CA492" i="7"/>
  <c r="BY119" i="7"/>
  <c r="BZ119" i="7"/>
  <c r="CB368" i="7"/>
  <c r="BZ368" i="7"/>
  <c r="BZ788" i="7"/>
  <c r="CC788" i="7"/>
  <c r="CC373" i="7"/>
  <c r="CA373" i="7"/>
  <c r="CA33" i="7"/>
  <c r="BZ33" i="7"/>
  <c r="CA557" i="7"/>
  <c r="CC557" i="7"/>
  <c r="CA776" i="7"/>
  <c r="BY776" i="7"/>
  <c r="CC248" i="7"/>
  <c r="BY248" i="7"/>
  <c r="CB301" i="7"/>
  <c r="BY301" i="7"/>
  <c r="CD145" i="7"/>
  <c r="BZ145" i="7"/>
  <c r="CA348" i="7"/>
  <c r="BY348" i="7"/>
  <c r="CC638" i="7"/>
  <c r="CA638" i="7"/>
  <c r="CD392" i="7"/>
  <c r="BY392" i="7"/>
  <c r="CB31" i="7"/>
  <c r="BZ31" i="7"/>
  <c r="CD360" i="7"/>
  <c r="BZ360" i="7"/>
  <c r="BZ655" i="7"/>
  <c r="CB655" i="7"/>
  <c r="CC91" i="7"/>
  <c r="CB91" i="7"/>
  <c r="CC659" i="7"/>
  <c r="BZ659" i="7"/>
  <c r="CB732" i="7"/>
  <c r="CC732" i="7"/>
  <c r="CB797" i="7"/>
  <c r="BY797" i="7"/>
  <c r="CD413" i="7"/>
  <c r="BZ413" i="7"/>
  <c r="BZ480" i="7"/>
  <c r="CB480" i="7"/>
  <c r="BY594" i="7"/>
  <c r="BZ594" i="7"/>
  <c r="CB641" i="7"/>
  <c r="BZ641" i="7"/>
  <c r="BY769" i="7"/>
  <c r="BZ769" i="7"/>
  <c r="CA63" i="7"/>
  <c r="BY63" i="7"/>
  <c r="CB23" i="7"/>
  <c r="CD23" i="7"/>
  <c r="CA483" i="7"/>
  <c r="CC483" i="7"/>
  <c r="BZ460" i="7"/>
  <c r="CA460" i="7"/>
  <c r="BZ468" i="7"/>
  <c r="BY468" i="7"/>
  <c r="CC603" i="7"/>
  <c r="CA603" i="7"/>
  <c r="CB305" i="7"/>
  <c r="CA305" i="7"/>
  <c r="CC247" i="7"/>
  <c r="CD247" i="7"/>
  <c r="CB315" i="7"/>
  <c r="CA315" i="7"/>
  <c r="CB476" i="7"/>
  <c r="BY476" i="7"/>
  <c r="BZ862" i="7"/>
  <c r="BY862" i="7"/>
  <c r="CA803" i="7"/>
  <c r="BY803" i="7"/>
  <c r="BY274" i="7"/>
  <c r="BZ274" i="7"/>
  <c r="CA336" i="7"/>
  <c r="CD336" i="7"/>
  <c r="CA396" i="7"/>
  <c r="CD396" i="7"/>
  <c r="CD538" i="7"/>
  <c r="CB538" i="7"/>
  <c r="CB456" i="7"/>
  <c r="BY456" i="7"/>
  <c r="BZ840" i="7"/>
  <c r="CB840" i="7"/>
  <c r="BZ199" i="7"/>
  <c r="BY199" i="7"/>
  <c r="BZ650" i="7"/>
  <c r="CB650" i="7"/>
  <c r="BY204" i="7"/>
  <c r="BZ204" i="7"/>
  <c r="CA378" i="7"/>
  <c r="BY378" i="7"/>
  <c r="BY535" i="7"/>
  <c r="CC535" i="7"/>
  <c r="CA265" i="7"/>
  <c r="BZ265" i="7"/>
  <c r="BZ517" i="7"/>
  <c r="CA517" i="7"/>
  <c r="BZ408" i="7"/>
  <c r="CC408" i="7"/>
  <c r="BZ612" i="7"/>
  <c r="BY612" i="7"/>
  <c r="CC257" i="7"/>
  <c r="BY257" i="7"/>
  <c r="CC475" i="7"/>
  <c r="BY475" i="7"/>
  <c r="BY520" i="7"/>
  <c r="BZ520" i="7"/>
  <c r="BY720" i="7"/>
  <c r="CA720" i="7"/>
  <c r="CC845" i="7"/>
  <c r="CA845" i="7"/>
  <c r="BZ106" i="7"/>
  <c r="CC106" i="7"/>
  <c r="CD869" i="7"/>
  <c r="BZ869" i="7"/>
  <c r="CB654" i="7"/>
  <c r="BZ654" i="7"/>
  <c r="BZ584" i="7"/>
  <c r="CC584" i="7"/>
  <c r="CA320" i="7"/>
  <c r="CB320" i="7"/>
  <c r="CC286" i="7"/>
  <c r="CD286" i="7"/>
  <c r="CD139" i="7"/>
  <c r="CC139" i="7"/>
  <c r="CA863" i="7"/>
  <c r="CB863" i="7"/>
  <c r="CD582" i="7"/>
  <c r="BY582" i="7"/>
  <c r="CD150" i="7"/>
  <c r="BY150" i="7"/>
  <c r="CC152" i="7"/>
  <c r="CD152" i="7"/>
  <c r="BY283" i="7"/>
  <c r="CC283" i="7"/>
  <c r="CC113" i="7"/>
  <c r="CD113" i="7"/>
  <c r="CC331" i="7"/>
  <c r="BY331" i="7"/>
  <c r="BY190" i="7"/>
  <c r="CB190" i="7"/>
  <c r="CC8" i="7"/>
  <c r="CB8" i="7"/>
  <c r="CC209" i="7"/>
  <c r="CA209" i="7"/>
  <c r="CD587" i="7"/>
  <c r="CA587" i="7"/>
  <c r="CC715" i="7"/>
  <c r="BZ715" i="7"/>
  <c r="BZ285" i="7"/>
  <c r="CD285" i="7"/>
  <c r="CA90" i="7"/>
  <c r="BY90" i="7"/>
  <c r="CB86" i="7"/>
  <c r="CD86" i="7"/>
  <c r="CA705" i="7"/>
  <c r="CD705" i="7"/>
  <c r="BZ169" i="7"/>
  <c r="BY169" i="7"/>
  <c r="CB167" i="7"/>
  <c r="CD167" i="7"/>
  <c r="BZ309" i="7"/>
  <c r="CD309" i="7"/>
  <c r="BY791" i="7"/>
  <c r="CA791" i="7"/>
  <c r="CD181" i="7"/>
  <c r="BY181" i="7"/>
  <c r="BY242" i="7"/>
  <c r="CD242" i="7"/>
  <c r="CA304" i="7"/>
  <c r="CC304" i="7"/>
  <c r="CA462" i="7"/>
  <c r="CD462" i="7"/>
  <c r="CD472" i="7"/>
  <c r="BY472" i="7"/>
  <c r="CB502" i="7"/>
  <c r="CD502" i="7"/>
  <c r="CB560" i="7"/>
  <c r="CC560" i="7"/>
  <c r="CA546" i="7"/>
  <c r="CD546" i="7"/>
  <c r="CA702" i="7"/>
  <c r="CD702" i="7"/>
  <c r="CD344" i="7"/>
  <c r="CB344" i="7"/>
  <c r="CB597" i="7"/>
  <c r="BY597" i="7"/>
  <c r="CB74" i="7"/>
  <c r="BY74" i="7"/>
  <c r="BY509" i="7"/>
  <c r="CB509" i="7"/>
  <c r="CC137" i="7"/>
  <c r="CD137" i="7"/>
  <c r="BY13" i="7"/>
  <c r="CD13" i="7"/>
  <c r="CC20" i="7"/>
  <c r="CD20" i="7"/>
  <c r="BZ398" i="7"/>
  <c r="CB398" i="7"/>
  <c r="CB187" i="7"/>
  <c r="BZ187" i="7"/>
  <c r="BY470" i="7"/>
  <c r="BZ470" i="7"/>
  <c r="CD250" i="7"/>
  <c r="CB250" i="7"/>
  <c r="CC384" i="7"/>
  <c r="CB384" i="7"/>
  <c r="BZ519" i="7"/>
  <c r="CD519" i="7"/>
  <c r="BZ532" i="7"/>
  <c r="CA532" i="7"/>
  <c r="BY820" i="7"/>
  <c r="CB820" i="7"/>
  <c r="CB500" i="7"/>
  <c r="CA500" i="7"/>
  <c r="CC203" i="7"/>
  <c r="BY203" i="7"/>
  <c r="CC602" i="7"/>
  <c r="BZ602" i="7"/>
  <c r="CD785" i="7"/>
  <c r="CA785" i="7"/>
  <c r="CB619" i="7"/>
  <c r="BY619" i="7"/>
  <c r="CC201" i="7"/>
  <c r="BZ201" i="7"/>
  <c r="CD442" i="7"/>
  <c r="CB442" i="7"/>
  <c r="BY758" i="7"/>
  <c r="BZ758" i="7"/>
  <c r="BY160" i="7"/>
  <c r="CD160" i="7"/>
  <c r="CA404" i="7"/>
  <c r="CC404" i="7"/>
  <c r="BZ828" i="7"/>
  <c r="CC828" i="7"/>
  <c r="BZ72" i="7"/>
  <c r="CA72" i="7"/>
  <c r="BY102" i="7"/>
  <c r="CC102" i="7"/>
  <c r="BY586" i="7"/>
  <c r="CC586" i="7"/>
  <c r="BZ54" i="7"/>
  <c r="BY54" i="7"/>
  <c r="CD51" i="7"/>
  <c r="BY51" i="7"/>
  <c r="BY441" i="7"/>
  <c r="CC441" i="7"/>
  <c r="CB88" i="7"/>
  <c r="BY88" i="7"/>
  <c r="CA536" i="7"/>
  <c r="BZ536" i="7"/>
  <c r="CD555" i="7"/>
  <c r="CB555" i="7"/>
  <c r="CC174" i="7"/>
  <c r="CD174" i="7"/>
  <c r="BZ40" i="7"/>
  <c r="CB40" i="7"/>
  <c r="CA789" i="7"/>
  <c r="CC789" i="7"/>
  <c r="BZ191" i="7"/>
  <c r="CB191" i="7"/>
  <c r="CC812" i="7"/>
  <c r="BY812" i="7"/>
  <c r="CA864" i="7"/>
  <c r="CC864" i="7"/>
  <c r="BY770" i="7"/>
  <c r="CB770" i="7"/>
  <c r="CD635" i="7"/>
  <c r="BZ635" i="7"/>
  <c r="BZ777" i="7"/>
  <c r="CC777" i="7"/>
  <c r="BY149" i="7"/>
  <c r="CC149" i="7"/>
  <c r="CD839" i="7"/>
  <c r="CA839" i="7"/>
  <c r="BZ640" i="7"/>
  <c r="CD640" i="7"/>
  <c r="CA342" i="7"/>
  <c r="CD342" i="7"/>
  <c r="BY68" i="7"/>
  <c r="BZ68" i="7"/>
  <c r="CC661" i="7"/>
  <c r="CD661" i="7"/>
  <c r="CD857" i="7"/>
  <c r="BY857" i="7"/>
  <c r="CD409" i="7"/>
  <c r="CA409" i="7"/>
  <c r="BZ846" i="7"/>
  <c r="CD846" i="7"/>
  <c r="CB367" i="7"/>
  <c r="CA367" i="7"/>
  <c r="CC287" i="7"/>
  <c r="BZ287" i="7"/>
  <c r="CB172" i="7"/>
  <c r="CD172" i="7"/>
  <c r="CA782" i="7"/>
  <c r="CD782" i="7"/>
  <c r="BZ726" i="7"/>
  <c r="BY726" i="7"/>
  <c r="BZ648" i="7"/>
  <c r="CC648" i="7"/>
  <c r="BY800" i="7"/>
  <c r="CD800" i="7"/>
  <c r="BZ604" i="7"/>
  <c r="CC604" i="7"/>
  <c r="BY351" i="7"/>
  <c r="CB351" i="7"/>
  <c r="CA87" i="7"/>
  <c r="CD87" i="7"/>
  <c r="BZ613" i="7"/>
  <c r="CD613" i="7"/>
  <c r="CA778" i="7"/>
  <c r="CB778" i="7"/>
  <c r="CA244" i="7"/>
  <c r="CC244" i="7"/>
  <c r="CC120" i="7"/>
  <c r="CD120" i="7"/>
  <c r="BY221" i="7"/>
  <c r="CA221" i="7"/>
  <c r="BZ144" i="7"/>
  <c r="CC144" i="7"/>
  <c r="BZ138" i="7"/>
  <c r="BY138" i="7"/>
  <c r="CD592" i="7"/>
  <c r="BZ592" i="7"/>
  <c r="BY806" i="7"/>
  <c r="BZ806" i="7"/>
  <c r="BY474" i="7"/>
  <c r="BZ474" i="7"/>
  <c r="BY657" i="7"/>
  <c r="CA657" i="7"/>
  <c r="CB107" i="7"/>
  <c r="CA107" i="7"/>
  <c r="BZ837" i="7"/>
  <c r="CB837" i="7"/>
  <c r="BZ365" i="7"/>
  <c r="BY365" i="7"/>
  <c r="CA143" i="7"/>
  <c r="CC143" i="7"/>
  <c r="CB258" i="7"/>
  <c r="CD258" i="7"/>
  <c r="BZ212" i="7"/>
  <c r="CD212" i="7"/>
  <c r="BZ43" i="7"/>
  <c r="CA43" i="7"/>
  <c r="CC607" i="7"/>
  <c r="CD607" i="7"/>
  <c r="CB436" i="7"/>
  <c r="BZ436" i="7"/>
  <c r="BZ85" i="7"/>
  <c r="CB85" i="7"/>
  <c r="CC579" i="7"/>
  <c r="CD579" i="7"/>
  <c r="CA563" i="7"/>
  <c r="BY563" i="7"/>
  <c r="CD293" i="7"/>
  <c r="CC293" i="7"/>
  <c r="CA501" i="7"/>
  <c r="BY501" i="7"/>
  <c r="BZ427" i="7"/>
  <c r="BY427" i="7"/>
  <c r="CA89" i="7"/>
  <c r="CB89" i="7"/>
  <c r="BZ631" i="7"/>
  <c r="CD631" i="7"/>
  <c r="CA852" i="7"/>
  <c r="BY852" i="7"/>
  <c r="BZ350" i="7"/>
  <c r="CA350" i="7"/>
  <c r="CC568" i="7"/>
  <c r="BZ568" i="7"/>
  <c r="CC166" i="7"/>
  <c r="CD166" i="7"/>
  <c r="BZ435" i="7"/>
  <c r="BY435" i="7"/>
  <c r="BZ479" i="7"/>
  <c r="CC479" i="7"/>
  <c r="BY499" i="7"/>
  <c r="BZ499" i="7"/>
  <c r="BZ374" i="7"/>
  <c r="CA374" i="7"/>
  <c r="CA133" i="7"/>
  <c r="CD133" i="7"/>
  <c r="BZ400" i="7"/>
  <c r="CC400" i="7"/>
  <c r="BY699" i="7"/>
  <c r="CA699" i="7"/>
  <c r="BZ197" i="7"/>
  <c r="BY197" i="7"/>
  <c r="BZ193" i="7"/>
  <c r="CD193" i="7"/>
  <c r="BZ383" i="7"/>
  <c r="CC383" i="7"/>
  <c r="BZ618" i="7"/>
  <c r="CA618" i="7"/>
  <c r="BZ762" i="7"/>
  <c r="BY762" i="7"/>
  <c r="BY767" i="7"/>
  <c r="CC767" i="7"/>
  <c r="BZ259" i="7"/>
  <c r="CB259" i="7"/>
  <c r="CA45" i="7"/>
  <c r="CB45" i="7"/>
  <c r="BZ759" i="7"/>
  <c r="CD759" i="7"/>
  <c r="CB122" i="7"/>
  <c r="CD122" i="7"/>
  <c r="BZ371" i="7"/>
  <c r="CA371" i="7"/>
  <c r="BY466" i="7"/>
  <c r="CA466" i="7"/>
  <c r="CD249" i="7"/>
  <c r="BY249" i="7"/>
  <c r="BZ108" i="7"/>
  <c r="BY108" i="7"/>
  <c r="CB294" i="7"/>
  <c r="CD294" i="7"/>
  <c r="BZ487" i="7"/>
  <c r="CB487" i="7"/>
  <c r="BZ12" i="7"/>
  <c r="CD12" i="7"/>
  <c r="CB109" i="7"/>
  <c r="BY109" i="7"/>
  <c r="CC44" i="7"/>
  <c r="CA44" i="7"/>
  <c r="CD333" i="7"/>
  <c r="CC333" i="7"/>
  <c r="CA9" i="7"/>
  <c r="BZ9" i="7"/>
  <c r="BZ807" i="7"/>
  <c r="BY807" i="7"/>
  <c r="CD186" i="7"/>
  <c r="CA186" i="7"/>
  <c r="CC628" i="7"/>
  <c r="BZ628" i="7"/>
  <c r="BZ376" i="7"/>
  <c r="CA376" i="7"/>
  <c r="CA609" i="7"/>
  <c r="BY609" i="7"/>
  <c r="CA25" i="7"/>
  <c r="BY25" i="7"/>
  <c r="BY334" i="7"/>
  <c r="BZ334" i="7"/>
  <c r="BZ814" i="7"/>
  <c r="CD814" i="7"/>
  <c r="BZ575" i="7"/>
  <c r="CD575" i="7"/>
  <c r="BY848" i="7"/>
  <c r="CB848" i="7"/>
  <c r="BY100" i="7"/>
  <c r="CD100" i="7"/>
  <c r="CC678" i="7"/>
  <c r="CD678" i="7"/>
  <c r="CA801" i="7"/>
  <c r="CD801" i="7"/>
  <c r="CC763" i="7"/>
  <c r="BZ763" i="7"/>
  <c r="CA571" i="7"/>
  <c r="CD571" i="7"/>
  <c r="BY752" i="7"/>
  <c r="CB752" i="7"/>
  <c r="BZ491" i="7"/>
  <c r="CD491" i="7"/>
  <c r="CA539" i="7"/>
  <c r="CC539" i="7"/>
  <c r="BZ428" i="7"/>
  <c r="CB428" i="7"/>
  <c r="CC295" i="7"/>
  <c r="BZ295" i="7"/>
  <c r="BZ98" i="7"/>
  <c r="CA98" i="7"/>
  <c r="BZ713" i="7"/>
  <c r="CD713" i="7"/>
  <c r="BZ734" i="7"/>
  <c r="CC734" i="7"/>
  <c r="BZ219" i="7"/>
  <c r="CC219" i="7"/>
  <c r="BZ523" i="7"/>
  <c r="BY523" i="7"/>
  <c r="BZ202" i="7"/>
  <c r="CC202" i="7"/>
  <c r="BZ516" i="7"/>
  <c r="CB516" i="7"/>
  <c r="CD548" i="7"/>
  <c r="CA548" i="7"/>
  <c r="BZ125" i="7"/>
  <c r="CD125" i="7"/>
  <c r="CA237" i="7"/>
  <c r="CB237" i="7"/>
  <c r="CC838" i="7"/>
  <c r="BY838" i="7"/>
  <c r="BZ278" i="7"/>
  <c r="BY278" i="7"/>
  <c r="CA118" i="7"/>
  <c r="CD118" i="7"/>
  <c r="BZ229" i="7"/>
  <c r="CB229" i="7"/>
  <c r="CA205" i="7"/>
  <c r="BZ205" i="7"/>
  <c r="CD362" i="7"/>
  <c r="BY362" i="7"/>
  <c r="CA565" i="7"/>
  <c r="CB565" i="7"/>
  <c r="CA165" i="7"/>
  <c r="BZ165" i="7"/>
  <c r="CA207" i="7"/>
  <c r="BZ207" i="7"/>
  <c r="CC843" i="7"/>
  <c r="BZ843" i="7"/>
  <c r="CC746" i="7"/>
  <c r="BZ746" i="7"/>
  <c r="CC714" i="7"/>
  <c r="BY714" i="7"/>
  <c r="BY540" i="7"/>
  <c r="CD540" i="7"/>
  <c r="CB528" i="7"/>
  <c r="BY528" i="7"/>
  <c r="CD61" i="7"/>
  <c r="CA61" i="7"/>
  <c r="CD439" i="7"/>
  <c r="CB439" i="7"/>
  <c r="CC21" i="7"/>
  <c r="BZ21" i="7"/>
  <c r="BZ312" i="7"/>
  <c r="CD312" i="7"/>
  <c r="CC512" i="7"/>
  <c r="BY512" i="7"/>
  <c r="BZ672" i="7"/>
  <c r="CD672" i="7"/>
  <c r="CA757" i="7"/>
  <c r="BZ757" i="7"/>
  <c r="CB718" i="7"/>
  <c r="BY718" i="7"/>
  <c r="BW751" i="7"/>
  <c r="BZ751" i="7"/>
  <c r="BW455" i="7"/>
  <c r="BZ455" i="7"/>
  <c r="BW420" i="7"/>
  <c r="BZ420" i="7"/>
  <c r="BW175" i="7"/>
  <c r="BZ175" i="7"/>
  <c r="BW251" i="7"/>
  <c r="BY251" i="7"/>
  <c r="BW93" i="7"/>
  <c r="CB93" i="7"/>
  <c r="BW750" i="7"/>
  <c r="CD750" i="7"/>
  <c r="BW123" i="7"/>
  <c r="CD123" i="7"/>
  <c r="BW78" i="7"/>
  <c r="CD78" i="7"/>
  <c r="BW239" i="7"/>
  <c r="CD239" i="7"/>
  <c r="BW307" i="7"/>
  <c r="CD307" i="7"/>
  <c r="BW849" i="7"/>
  <c r="CD849" i="7"/>
  <c r="BW810" i="7"/>
  <c r="CD810" i="7"/>
  <c r="BW486" i="7"/>
  <c r="CD486" i="7"/>
  <c r="BW288" i="7"/>
  <c r="CD288" i="7"/>
  <c r="BW488" i="7"/>
  <c r="CD488" i="7"/>
  <c r="BW116" i="7"/>
  <c r="CD116" i="7"/>
  <c r="BW566" i="7"/>
  <c r="CC566" i="7"/>
  <c r="BW260" i="7"/>
  <c r="CC260" i="7"/>
  <c r="BW859" i="7"/>
  <c r="CB859" i="7"/>
  <c r="BW271" i="7"/>
  <c r="BZ271" i="7"/>
  <c r="BW126" i="7"/>
  <c r="CD126" i="7"/>
  <c r="BW534" i="7"/>
  <c r="CD534" i="7"/>
  <c r="BW431" i="7"/>
  <c r="CD431" i="7"/>
  <c r="BW41" i="7"/>
  <c r="CD41" i="7"/>
  <c r="BW841" i="7"/>
  <c r="CD841" i="7"/>
  <c r="BW728" i="7"/>
  <c r="CD728" i="7"/>
  <c r="BW300" i="7"/>
  <c r="CD300" i="7"/>
  <c r="BW651" i="7"/>
  <c r="CD651" i="7"/>
  <c r="BW314" i="7"/>
  <c r="CD314" i="7"/>
  <c r="BW783" i="7"/>
  <c r="CD783" i="7"/>
  <c r="BW689" i="7"/>
  <c r="CD689" i="7"/>
  <c r="BW674" i="7"/>
  <c r="CD674" i="7"/>
  <c r="BW266" i="7"/>
  <c r="CD266" i="7"/>
  <c r="BW395" i="7"/>
  <c r="CD395" i="7"/>
  <c r="BW626" i="7"/>
  <c r="CD626" i="7"/>
  <c r="BW684" i="7"/>
  <c r="CD684" i="7"/>
  <c r="BW617" i="7"/>
  <c r="CD617" i="7"/>
  <c r="BW738" i="7"/>
  <c r="CD738" i="7"/>
  <c r="BW786" i="7"/>
  <c r="CD786" i="7"/>
  <c r="BW861" i="7"/>
  <c r="CD861" i="7"/>
  <c r="BW171" i="7"/>
  <c r="CD171" i="7"/>
  <c r="BW153" i="7"/>
  <c r="CD153" i="7"/>
  <c r="BW394" i="7"/>
  <c r="CD394" i="7"/>
  <c r="BW556" i="7"/>
  <c r="CD556" i="7"/>
  <c r="BW766" i="7"/>
  <c r="CD766" i="7"/>
  <c r="BW624" i="7"/>
  <c r="CD624" i="7"/>
  <c r="BW683" i="7"/>
  <c r="CD683" i="7"/>
  <c r="BW281" i="7"/>
  <c r="CD281" i="7"/>
  <c r="BW793" i="7"/>
  <c r="CD793" i="7"/>
  <c r="BW543" i="7"/>
  <c r="CD543" i="7"/>
  <c r="BW608" i="7"/>
  <c r="CD608" i="7"/>
  <c r="BW218" i="7"/>
  <c r="CD218" i="7"/>
  <c r="BW697" i="7"/>
  <c r="CD697" i="7"/>
  <c r="BW238" i="7"/>
  <c r="CD238" i="7"/>
  <c r="BW321" i="7"/>
  <c r="CD321" i="7"/>
  <c r="BW36" i="7"/>
  <c r="CD36" i="7"/>
  <c r="BW299" i="7"/>
  <c r="CD299" i="7"/>
  <c r="BW489" i="7"/>
  <c r="CD489" i="7"/>
  <c r="BW821" i="7"/>
  <c r="CD821" i="7"/>
  <c r="BW96" i="7"/>
  <c r="CD96" i="7"/>
  <c r="BW620" i="7"/>
  <c r="CD620" i="7"/>
  <c r="BW811" i="7"/>
  <c r="CD811" i="7"/>
  <c r="BW530" i="7"/>
  <c r="CD530" i="7"/>
  <c r="BW590" i="7"/>
  <c r="CD590" i="7"/>
  <c r="BW815" i="7"/>
  <c r="CD815" i="7"/>
  <c r="BW177" i="7"/>
  <c r="CD177" i="7"/>
  <c r="BW421" i="7"/>
  <c r="CD421" i="7"/>
  <c r="BW481" i="7"/>
  <c r="CD481" i="7"/>
  <c r="BW412" i="7"/>
  <c r="CD412" i="7"/>
  <c r="BW467" i="7"/>
  <c r="CD467" i="7"/>
  <c r="BW94" i="7"/>
  <c r="CD94" i="7"/>
  <c r="BW163" i="7"/>
  <c r="CD163" i="7"/>
  <c r="BW700" i="7"/>
  <c r="CD700" i="7"/>
  <c r="BW591" i="7"/>
  <c r="CD591" i="7"/>
  <c r="BW16" i="7"/>
  <c r="CD16" i="7"/>
  <c r="BW232" i="7"/>
  <c r="CD232" i="7"/>
  <c r="BW492" i="7"/>
  <c r="CD492" i="7"/>
  <c r="BW119" i="7"/>
  <c r="CD119" i="7"/>
  <c r="BW368" i="7"/>
  <c r="CD368" i="7"/>
  <c r="BW691" i="7"/>
  <c r="CD691" i="7"/>
  <c r="BW788" i="7"/>
  <c r="CD788" i="7"/>
  <c r="BW804" i="7"/>
  <c r="CD804" i="7"/>
  <c r="BW211" i="7"/>
  <c r="CD211" i="7"/>
  <c r="BW373" i="7"/>
  <c r="CD373" i="7"/>
  <c r="BW860" i="7"/>
  <c r="CD860" i="7"/>
  <c r="BW745" i="7"/>
  <c r="CD745" i="7"/>
  <c r="BW33" i="7"/>
  <c r="CD33" i="7"/>
  <c r="BW850" i="7"/>
  <c r="CD850" i="7"/>
  <c r="BW270" i="7"/>
  <c r="CD270" i="7"/>
  <c r="BW231" i="7"/>
  <c r="CD231" i="7"/>
  <c r="BW557" i="7"/>
  <c r="CD557" i="7"/>
  <c r="BW214" i="7"/>
  <c r="CD214" i="7"/>
  <c r="BW776" i="7"/>
  <c r="CD776" i="7"/>
  <c r="BW248" i="7"/>
  <c r="CB248" i="7"/>
  <c r="BW301" i="7"/>
  <c r="CD301" i="7"/>
  <c r="BW145" i="7"/>
  <c r="CB145" i="7"/>
  <c r="BW234" i="7"/>
  <c r="CB234" i="7"/>
  <c r="BW358" i="7"/>
  <c r="CB358" i="7"/>
  <c r="BW348" i="7"/>
  <c r="CB348" i="7"/>
  <c r="BW638" i="7"/>
  <c r="CB638" i="7"/>
  <c r="BW392" i="7"/>
  <c r="BZ392" i="7"/>
  <c r="BW498" i="7"/>
  <c r="CA498" i="7"/>
  <c r="BW31" i="7"/>
  <c r="CA31" i="7"/>
  <c r="BW360" i="7"/>
  <c r="CA360" i="7"/>
  <c r="BW655" i="7"/>
  <c r="CA655" i="7"/>
  <c r="BW276" i="7"/>
  <c r="CA276" i="7"/>
  <c r="BW91" i="7"/>
  <c r="CA91" i="7"/>
  <c r="BW235" i="7"/>
  <c r="CA235" i="7"/>
  <c r="BW347" i="7"/>
  <c r="CA347" i="7"/>
  <c r="BW659" i="7"/>
  <c r="CA659" i="7"/>
  <c r="BW537" i="7"/>
  <c r="CD537" i="7"/>
  <c r="BW732" i="7"/>
  <c r="BZ732" i="7"/>
  <c r="BW339" i="7"/>
  <c r="BZ339" i="7"/>
  <c r="BW797" i="7"/>
  <c r="BZ797" i="7"/>
  <c r="BW709" i="7"/>
  <c r="BZ709" i="7"/>
  <c r="BW636" i="7"/>
  <c r="BZ636" i="7"/>
  <c r="BW413" i="7"/>
  <c r="CC413" i="7"/>
  <c r="BW185" i="7"/>
  <c r="BZ185" i="7"/>
  <c r="BW112" i="7"/>
  <c r="CD112" i="7"/>
  <c r="BW480" i="7"/>
  <c r="CD480" i="7"/>
  <c r="BW594" i="7"/>
  <c r="CD594" i="7"/>
  <c r="BW562" i="7"/>
  <c r="CD562" i="7"/>
  <c r="BW641" i="7"/>
  <c r="CD641" i="7"/>
  <c r="BW769" i="7"/>
  <c r="CD769" i="7"/>
  <c r="BW63" i="7"/>
  <c r="CD63" i="7"/>
  <c r="BW62" i="7"/>
  <c r="CD62" i="7"/>
  <c r="BW23" i="7"/>
  <c r="BZ23" i="7"/>
  <c r="BW792" i="7"/>
  <c r="BZ792" i="7"/>
  <c r="BW483" i="7"/>
  <c r="BZ483" i="7"/>
  <c r="BW324" i="7"/>
  <c r="CC324" i="7"/>
  <c r="BW206" i="7"/>
  <c r="BZ206" i="7"/>
  <c r="BW352" i="7"/>
  <c r="CD352" i="7"/>
  <c r="BW39" i="7"/>
  <c r="CD39" i="7"/>
  <c r="BW460" i="7"/>
  <c r="CD460" i="7"/>
  <c r="BW269" i="7"/>
  <c r="CD269" i="7"/>
  <c r="BW842" i="7"/>
  <c r="CD842" i="7"/>
  <c r="BW170" i="7"/>
  <c r="CD170" i="7"/>
  <c r="BW50" i="7"/>
  <c r="CD50" i="7"/>
  <c r="BW463" i="7"/>
  <c r="CD463" i="7"/>
  <c r="BW99" i="7"/>
  <c r="CD99" i="7"/>
  <c r="BW104" i="7"/>
  <c r="CB104" i="7"/>
  <c r="BW71" i="7"/>
  <c r="CD71" i="7"/>
  <c r="BW468" i="7"/>
  <c r="CD468" i="7"/>
  <c r="BW227" i="7"/>
  <c r="CD227" i="7"/>
  <c r="BW603" i="7"/>
  <c r="CD603" i="7"/>
  <c r="BW447" i="7"/>
  <c r="CD447" i="7"/>
  <c r="BW305" i="7"/>
  <c r="CD305" i="7"/>
  <c r="BW247" i="7"/>
  <c r="BZ247" i="7"/>
  <c r="BW246" i="7"/>
  <c r="BZ246" i="7"/>
  <c r="BW355" i="7"/>
  <c r="BZ355" i="7"/>
  <c r="BW315" i="7"/>
  <c r="BZ315" i="7"/>
  <c r="BW450" i="7"/>
  <c r="BZ450" i="7"/>
  <c r="BW476" i="7"/>
  <c r="CA476" i="7"/>
  <c r="BW406" i="7"/>
  <c r="BY406" i="7"/>
  <c r="BW215" i="7"/>
  <c r="CD215" i="7"/>
  <c r="BW862" i="7"/>
  <c r="CD862" i="7"/>
  <c r="BW803" i="7"/>
  <c r="CD803" i="7"/>
  <c r="BW639" i="7"/>
  <c r="CD639" i="7"/>
  <c r="BW274" i="7"/>
  <c r="CD274" i="7"/>
  <c r="BW589" i="7"/>
  <c r="CD589" i="7"/>
  <c r="BW336" i="7"/>
  <c r="BZ336" i="7"/>
  <c r="BW396" i="7"/>
  <c r="BZ396" i="7"/>
  <c r="BW538" i="7"/>
  <c r="BZ538" i="7"/>
  <c r="BW456" i="7"/>
  <c r="BZ456" i="7"/>
  <c r="BW840" i="7"/>
  <c r="BY840" i="7"/>
  <c r="BW199" i="7"/>
  <c r="CC199" i="7"/>
  <c r="BW650" i="7"/>
  <c r="BY650" i="7"/>
  <c r="BW781" i="7"/>
  <c r="CD781" i="7"/>
  <c r="BW675" i="7"/>
  <c r="CD675" i="7"/>
  <c r="BW59" i="7"/>
  <c r="CD59" i="7"/>
  <c r="BW646" i="7"/>
  <c r="CD646" i="7"/>
  <c r="BW204" i="7"/>
  <c r="CD204" i="7"/>
  <c r="BW317" i="7"/>
  <c r="CD317" i="7"/>
  <c r="BW378" i="7"/>
  <c r="CD378" i="7"/>
  <c r="BW535" i="7"/>
  <c r="CD535" i="7"/>
  <c r="BW818" i="7"/>
  <c r="CD818" i="7"/>
  <c r="BW69" i="7"/>
  <c r="CD69" i="7"/>
  <c r="BW265" i="7"/>
  <c r="CD265" i="7"/>
  <c r="BW517" i="7"/>
  <c r="CD517" i="7"/>
  <c r="BW692" i="7"/>
  <c r="CD692" i="7"/>
  <c r="BW408" i="7"/>
  <c r="CD408" i="7"/>
  <c r="BW612" i="7"/>
  <c r="CD612" i="7"/>
  <c r="BW253" i="7"/>
  <c r="CB253" i="7"/>
  <c r="BW866" i="7"/>
  <c r="CD866" i="7"/>
  <c r="BW662" i="7"/>
  <c r="CD662" i="7"/>
  <c r="BW176" i="7"/>
  <c r="CD176" i="7"/>
  <c r="BW326" i="7"/>
  <c r="CD326" i="7"/>
  <c r="BW711" i="7"/>
  <c r="CD711" i="7"/>
  <c r="BW257" i="7"/>
  <c r="CD257" i="7"/>
  <c r="BW475" i="7"/>
  <c r="CD475" i="7"/>
  <c r="BW520" i="7"/>
  <c r="CD520" i="7"/>
  <c r="BW720" i="7"/>
  <c r="CD720" i="7"/>
  <c r="BY254" i="7"/>
  <c r="BZ254" i="7"/>
  <c r="BY52" i="7"/>
  <c r="BZ52" i="7"/>
  <c r="BY835" i="7"/>
  <c r="BZ835" i="7"/>
  <c r="CB399" i="7"/>
  <c r="CD399" i="7"/>
  <c r="BZ813" i="7"/>
  <c r="CA813" i="7"/>
  <c r="CA34" i="7"/>
  <c r="BY34" i="7"/>
  <c r="CC386" i="7"/>
  <c r="BZ386" i="7"/>
  <c r="CB727" i="7"/>
  <c r="BY727" i="7"/>
  <c r="BZ497" i="7"/>
  <c r="BY497" i="7"/>
  <c r="BZ345" i="7"/>
  <c r="BY345" i="7"/>
  <c r="CC558" i="7"/>
  <c r="CB558" i="7"/>
  <c r="BY649" i="7"/>
  <c r="BZ649" i="7"/>
  <c r="CA725" i="7"/>
  <c r="BY725" i="7"/>
  <c r="BZ805" i="7"/>
  <c r="CC805" i="7"/>
  <c r="CD701" i="7"/>
  <c r="CC701" i="7"/>
  <c r="BZ419" i="7"/>
  <c r="BY419" i="7"/>
  <c r="CD527" i="7"/>
  <c r="CB527" i="7"/>
  <c r="CA706" i="7"/>
  <c r="CB706" i="7"/>
  <c r="BZ748" i="7"/>
  <c r="BY748" i="7"/>
  <c r="CD416" i="7"/>
  <c r="CB416" i="7"/>
  <c r="BZ183" i="7"/>
  <c r="BY183" i="7"/>
  <c r="BZ580" i="7"/>
  <c r="BY580" i="7"/>
  <c r="BZ526" i="7"/>
  <c r="BY526" i="7"/>
  <c r="CA798" i="7"/>
  <c r="BZ798" i="7"/>
  <c r="BY429" i="7"/>
  <c r="CD429" i="7"/>
  <c r="BZ366" i="7"/>
  <c r="BY366" i="7"/>
  <c r="CC168" i="7"/>
  <c r="CB168" i="7"/>
  <c r="BY152" i="7"/>
  <c r="BZ152" i="7"/>
  <c r="BY630" i="7"/>
  <c r="CA630" i="7"/>
  <c r="CC695" i="7"/>
  <c r="BZ695" i="7"/>
  <c r="BZ581" i="7"/>
  <c r="CB581" i="7"/>
  <c r="BZ605" i="7"/>
  <c r="BY605" i="7"/>
  <c r="BY744" i="7"/>
  <c r="CA744" i="7"/>
  <c r="BZ795" i="7"/>
  <c r="CA795" i="7"/>
  <c r="BZ331" i="7"/>
  <c r="CD331" i="7"/>
  <c r="CD190" i="7"/>
  <c r="BZ190" i="7"/>
  <c r="BZ159" i="7"/>
  <c r="BY159" i="7"/>
  <c r="BZ524" i="7"/>
  <c r="CA524" i="7"/>
  <c r="BY645" i="7"/>
  <c r="CA645" i="7"/>
  <c r="BZ587" i="7"/>
  <c r="BY587" i="7"/>
  <c r="CA819" i="7"/>
  <c r="BY819" i="7"/>
  <c r="CB715" i="7"/>
  <c r="CA715" i="7"/>
  <c r="BZ790" i="7"/>
  <c r="BY790" i="7"/>
  <c r="BZ623" i="7"/>
  <c r="BY623" i="7"/>
  <c r="CD432" i="7"/>
  <c r="CB432" i="7"/>
  <c r="BZ86" i="7"/>
  <c r="BY86" i="7"/>
  <c r="CA464" i="7"/>
  <c r="BZ464" i="7"/>
  <c r="BZ381" i="7"/>
  <c r="BY381" i="7"/>
  <c r="BZ754" i="7"/>
  <c r="CD754" i="7"/>
  <c r="BY515" i="7"/>
  <c r="CB515" i="7"/>
  <c r="CB826" i="7"/>
  <c r="BZ826" i="7"/>
  <c r="BZ707" i="7"/>
  <c r="CB707" i="7"/>
  <c r="BY17" i="7"/>
  <c r="CA17" i="7"/>
  <c r="CA634" i="7"/>
  <c r="BZ634" i="7"/>
  <c r="BY503" i="7"/>
  <c r="BZ503" i="7"/>
  <c r="CC397" i="7"/>
  <c r="BY397" i="7"/>
  <c r="BY179" i="7"/>
  <c r="BZ179" i="7"/>
  <c r="BZ462" i="7"/>
  <c r="BY462" i="7"/>
  <c r="BZ502" i="7"/>
  <c r="BY502" i="7"/>
  <c r="CA833" i="7"/>
  <c r="BY833" i="7"/>
  <c r="BZ162" i="7"/>
  <c r="BY162" i="7"/>
  <c r="BZ37" i="7"/>
  <c r="CD37" i="7"/>
  <c r="BZ222" i="7"/>
  <c r="BY222" i="7"/>
  <c r="CA114" i="7"/>
  <c r="BZ114" i="7"/>
  <c r="CB870" i="7"/>
  <c r="BZ870" i="7"/>
  <c r="BZ310" i="7"/>
  <c r="BY310" i="7"/>
  <c r="CD569" i="7"/>
  <c r="BY569" i="7"/>
  <c r="BZ643" i="7"/>
  <c r="BY643" i="7"/>
  <c r="BY567" i="7"/>
  <c r="CA567" i="7"/>
  <c r="CC308" i="7"/>
  <c r="BZ308" i="7"/>
  <c r="BZ504" i="7"/>
  <c r="CA504" i="7"/>
  <c r="BZ760" i="7"/>
  <c r="CB760" i="7"/>
  <c r="BY545" i="7"/>
  <c r="CB545" i="7"/>
  <c r="BZ433" i="7"/>
  <c r="BY433" i="7"/>
  <c r="BZ151" i="7"/>
  <c r="CC151" i="7"/>
  <c r="BZ389" i="7"/>
  <c r="BY389" i="7"/>
  <c r="BZ730" i="7"/>
  <c r="BY730" i="7"/>
  <c r="CC97" i="7"/>
  <c r="BZ97" i="7"/>
  <c r="BY124" i="7"/>
  <c r="BZ124" i="7"/>
  <c r="CA629" i="7"/>
  <c r="BZ629" i="7"/>
  <c r="CA262" i="7"/>
  <c r="BZ262" i="7"/>
  <c r="CD682" i="7"/>
  <c r="BZ682" i="7"/>
  <c r="BZ194" i="7"/>
  <c r="CA194" i="7"/>
  <c r="CB60" i="7"/>
  <c r="CA60" i="7"/>
  <c r="CC652" i="7"/>
  <c r="BZ652" i="7"/>
  <c r="CD111" i="7"/>
  <c r="CA111" i="7"/>
  <c r="CA390" i="7"/>
  <c r="CC390" i="7"/>
  <c r="BY332" i="7"/>
  <c r="BZ332" i="7"/>
  <c r="BZ775" i="7"/>
  <c r="CA775" i="7"/>
  <c r="CA653" i="7"/>
  <c r="BZ653" i="7"/>
  <c r="BZ761" i="7"/>
  <c r="BY761" i="7"/>
  <c r="CB593" i="7"/>
  <c r="BY593" i="7"/>
  <c r="CA644" i="7"/>
  <c r="CB644" i="7"/>
  <c r="BZ477" i="7"/>
  <c r="CB477" i="7"/>
  <c r="CD596" i="7"/>
  <c r="CA596" i="7"/>
  <c r="CD511" i="7"/>
  <c r="CA511" i="7"/>
  <c r="BZ128" i="7"/>
  <c r="BY128" i="7"/>
  <c r="BZ42" i="7"/>
  <c r="BY42" i="7"/>
  <c r="BZ180" i="7"/>
  <c r="BY180" i="7"/>
  <c r="BZ115" i="7"/>
  <c r="BY115" i="7"/>
  <c r="BZ816" i="7"/>
  <c r="CB816" i="7"/>
  <c r="CA721" i="7"/>
  <c r="CD721" i="7"/>
  <c r="BY570" i="7"/>
  <c r="BZ570" i="7"/>
  <c r="BY824" i="7"/>
  <c r="BZ824" i="7"/>
  <c r="BZ482" i="7"/>
  <c r="CA482" i="7"/>
  <c r="CA272" i="7"/>
  <c r="BY272" i="7"/>
  <c r="CB719" i="7"/>
  <c r="CA719" i="7"/>
  <c r="BZ313" i="7"/>
  <c r="CD313" i="7"/>
  <c r="BZ417" i="7"/>
  <c r="CC417" i="7"/>
  <c r="CC508" i="7"/>
  <c r="CB508" i="7"/>
  <c r="CA495" i="7"/>
  <c r="CC495" i="7"/>
  <c r="BZ73" i="7"/>
  <c r="CA73" i="7"/>
  <c r="CB825" i="7"/>
  <c r="BZ825" i="7"/>
  <c r="BZ404" i="7"/>
  <c r="BY404" i="7"/>
  <c r="BZ779" i="7"/>
  <c r="BY779" i="7"/>
  <c r="CD410" i="7"/>
  <c r="CA410" i="7"/>
  <c r="CA444" i="7"/>
  <c r="BZ444" i="7"/>
  <c r="CD302" i="7"/>
  <c r="BZ302" i="7"/>
  <c r="CD549" i="7"/>
  <c r="BZ549" i="7"/>
  <c r="BZ127" i="7"/>
  <c r="BY127" i="7"/>
  <c r="CA53" i="7"/>
  <c r="CD53" i="7"/>
  <c r="CA551" i="7"/>
  <c r="BY551" i="7"/>
  <c r="BZ513" i="7"/>
  <c r="BY513" i="7"/>
  <c r="CD195" i="7"/>
  <c r="CC195" i="7"/>
  <c r="BZ796" i="7"/>
  <c r="BY796" i="7"/>
  <c r="CB647" i="7"/>
  <c r="BZ647" i="7"/>
  <c r="CA522" i="7"/>
  <c r="BY522" i="7"/>
  <c r="BY279" i="7"/>
  <c r="BZ279" i="7"/>
  <c r="BZ174" i="7"/>
  <c r="BY174" i="7"/>
  <c r="BZ297" i="7"/>
  <c r="BY297" i="7"/>
  <c r="CD393" i="7"/>
  <c r="CB393" i="7"/>
  <c r="BZ559" i="7"/>
  <c r="CA559" i="7"/>
  <c r="BY789" i="7"/>
  <c r="BZ789" i="7"/>
  <c r="BZ823" i="7"/>
  <c r="CB823" i="7"/>
  <c r="BZ812" i="7"/>
  <c r="CA812" i="7"/>
  <c r="BZ770" i="7"/>
  <c r="CC770" i="7"/>
  <c r="CC868" i="7"/>
  <c r="CB868" i="7"/>
  <c r="BZ802" i="7"/>
  <c r="CC802" i="7"/>
  <c r="BZ448" i="7"/>
  <c r="CC448" i="7"/>
  <c r="BZ688" i="7"/>
  <c r="BY688" i="7"/>
  <c r="BZ839" i="7"/>
  <c r="CB839" i="7"/>
  <c r="BY306" i="7"/>
  <c r="CA306" i="7"/>
  <c r="BY640" i="7"/>
  <c r="CA640" i="7"/>
  <c r="BZ146" i="7"/>
  <c r="CA146" i="7"/>
  <c r="CA671" i="7"/>
  <c r="BZ671" i="7"/>
  <c r="CC57" i="7"/>
  <c r="CA57" i="7"/>
  <c r="CD564" i="7"/>
  <c r="CC564" i="7"/>
  <c r="BZ22" i="7"/>
  <c r="CD22" i="7"/>
  <c r="CB409" i="7"/>
  <c r="BY409" i="7"/>
  <c r="CA228" i="7"/>
  <c r="BZ228" i="7"/>
  <c r="CB426" i="7"/>
  <c r="BY426" i="7"/>
  <c r="BY583" i="7"/>
  <c r="CA583" i="7"/>
  <c r="CA832" i="7"/>
  <c r="BZ832" i="7"/>
  <c r="BY375" i="7"/>
  <c r="CA375" i="7"/>
  <c r="BY67" i="7"/>
  <c r="CA67" i="7"/>
  <c r="CB496" i="7"/>
  <c r="BY496" i="7"/>
  <c r="CA726" i="7"/>
  <c r="CD726" i="7"/>
  <c r="CD765" i="7"/>
  <c r="CA765" i="7"/>
  <c r="BY243" i="7"/>
  <c r="CA243" i="7"/>
  <c r="CC423" i="7"/>
  <c r="CB423" i="7"/>
  <c r="CA554" i="7"/>
  <c r="BZ554" i="7"/>
  <c r="CA385" i="7"/>
  <c r="BZ385" i="7"/>
  <c r="CA552" i="7"/>
  <c r="BY552" i="7"/>
  <c r="BZ58" i="7"/>
  <c r="CC58" i="7"/>
  <c r="BZ808" i="7"/>
  <c r="BY808" i="7"/>
  <c r="CD323" i="7"/>
  <c r="CA323" i="7"/>
  <c r="BY178" i="7"/>
  <c r="CD178" i="7"/>
  <c r="BZ425" i="7"/>
  <c r="CA425" i="7"/>
  <c r="BY35" i="7"/>
  <c r="BZ35" i="7"/>
  <c r="BZ135" i="7"/>
  <c r="CC135" i="7"/>
  <c r="BZ268" i="7"/>
  <c r="CD268" i="7"/>
  <c r="BZ24" i="7"/>
  <c r="BY24" i="7"/>
  <c r="CC656" i="7"/>
  <c r="BZ656" i="7"/>
  <c r="BZ401" i="7"/>
  <c r="BY401" i="7"/>
  <c r="BZ148" i="7"/>
  <c r="BY148" i="7"/>
  <c r="BZ794" i="7"/>
  <c r="CC794" i="7"/>
  <c r="CC613" i="7"/>
  <c r="BY613" i="7"/>
  <c r="CA473" i="7"/>
  <c r="BY473" i="7"/>
  <c r="CB507" i="7"/>
  <c r="BZ507" i="7"/>
  <c r="CC693" i="7"/>
  <c r="BZ693" i="7"/>
  <c r="BZ771" i="7"/>
  <c r="CD771" i="7"/>
  <c r="BZ64" i="7"/>
  <c r="CD64" i="7"/>
  <c r="BZ680" i="7"/>
  <c r="CC680" i="7"/>
  <c r="CC405" i="7"/>
  <c r="BZ405" i="7"/>
  <c r="CA654" i="7"/>
  <c r="BY654" i="7"/>
  <c r="CB140" i="7"/>
  <c r="CC140" i="7"/>
  <c r="CD275" i="7"/>
  <c r="BZ275" i="7"/>
  <c r="CB669" i="7"/>
  <c r="CC669" i="7"/>
  <c r="CA341" i="7"/>
  <c r="CC341" i="7"/>
  <c r="CC506" i="7"/>
  <c r="BZ506" i="7"/>
  <c r="CA158" i="7"/>
  <c r="BZ158" i="7"/>
  <c r="BZ76" i="7"/>
  <c r="BY76" i="7"/>
  <c r="CC13" i="7"/>
  <c r="CB13" i="7"/>
  <c r="CC129" i="7"/>
  <c r="CA129" i="7"/>
  <c r="BZ809" i="7"/>
  <c r="CA809" i="7"/>
  <c r="BZ694" i="7"/>
  <c r="BY694" i="7"/>
  <c r="CA439" i="7"/>
  <c r="BZ439" i="7"/>
  <c r="CB207" i="7"/>
  <c r="CC207" i="7"/>
  <c r="CC103" i="7"/>
  <c r="CA103" i="7"/>
  <c r="BZ633" i="7"/>
  <c r="BY633" i="7"/>
  <c r="CA599" i="7"/>
  <c r="BY599" i="7"/>
  <c r="BZ712" i="7"/>
  <c r="BY712" i="7"/>
  <c r="CB415" i="7"/>
  <c r="CC415" i="7"/>
  <c r="CD117" i="7"/>
  <c r="BZ117" i="7"/>
  <c r="BZ364" i="7"/>
  <c r="CB364" i="7"/>
  <c r="CA454" i="7"/>
  <c r="BZ454" i="7"/>
  <c r="CD578" i="7"/>
  <c r="BZ578" i="7"/>
  <c r="CC660" i="7"/>
  <c r="BZ660" i="7"/>
  <c r="CB200" i="7"/>
  <c r="CA200" i="7"/>
  <c r="BY479" i="7"/>
  <c r="CD479" i="7"/>
  <c r="CA388" i="7"/>
  <c r="CD388" i="7"/>
  <c r="CD318" i="7"/>
  <c r="BZ318" i="7"/>
  <c r="CC856" i="7"/>
  <c r="BZ856" i="7"/>
  <c r="BZ387" i="7"/>
  <c r="CC387" i="7"/>
  <c r="CC107" i="7"/>
  <c r="BY107" i="7"/>
  <c r="BZ10" i="7"/>
  <c r="BY10" i="7"/>
  <c r="CA95" i="7"/>
  <c r="CC95" i="7"/>
  <c r="CC100" i="7"/>
  <c r="CB100" i="7"/>
  <c r="CA325" i="7"/>
  <c r="BZ325" i="7"/>
  <c r="CD459" i="7"/>
  <c r="BZ459" i="7"/>
  <c r="CA854" i="7"/>
  <c r="CD854" i="7"/>
  <c r="CB377" i="7"/>
  <c r="CC377" i="7"/>
  <c r="CB445" i="7"/>
  <c r="CC445" i="7"/>
  <c r="BY541" i="7"/>
  <c r="CA541" i="7"/>
  <c r="CD737" i="7"/>
  <c r="BZ737" i="7"/>
  <c r="CC609" i="7"/>
  <c r="CB609" i="7"/>
  <c r="CC533" i="7"/>
  <c r="BY533" i="7"/>
  <c r="CA289" i="7"/>
  <c r="BY289" i="7"/>
  <c r="BZ457" i="7"/>
  <c r="BY457" i="7"/>
  <c r="CA625" i="7"/>
  <c r="BY625" i="7"/>
  <c r="CC869" i="7"/>
  <c r="BY869" i="7"/>
  <c r="CC277" i="7"/>
  <c r="CA277" i="7"/>
  <c r="CC359" i="7"/>
  <c r="BY359" i="7"/>
  <c r="CC82" i="7"/>
  <c r="CA82" i="7"/>
  <c r="CD240" i="7"/>
  <c r="BZ240" i="7"/>
  <c r="CD241" i="7"/>
  <c r="CA241" i="7"/>
  <c r="BY105" i="7"/>
  <c r="BZ105" i="7"/>
  <c r="CA184" i="7"/>
  <c r="BZ184" i="7"/>
  <c r="BY831" i="7"/>
  <c r="BZ831" i="7"/>
  <c r="BZ150" i="7"/>
  <c r="CA150" i="7"/>
  <c r="BZ490" i="7"/>
  <c r="BY490" i="7"/>
  <c r="CC698" i="7"/>
  <c r="CB698" i="7"/>
  <c r="BZ27" i="7"/>
  <c r="CA27" i="7"/>
  <c r="CB340" i="7"/>
  <c r="CC340" i="7"/>
  <c r="CD858" i="7"/>
  <c r="BZ858" i="7"/>
  <c r="BZ77" i="7"/>
  <c r="BY77" i="7"/>
  <c r="CB836" i="7"/>
  <c r="CC836" i="7"/>
  <c r="CD411" i="7"/>
  <c r="BZ411" i="7"/>
  <c r="CD864" i="7"/>
  <c r="BZ864" i="7"/>
  <c r="CD576" i="7"/>
  <c r="BZ576" i="7"/>
  <c r="CC768" i="7"/>
  <c r="CB768" i="7"/>
  <c r="CB773" i="7"/>
  <c r="BY773" i="7"/>
  <c r="CD658" i="7"/>
  <c r="BZ658" i="7"/>
  <c r="BZ851" i="7"/>
  <c r="CD851" i="7"/>
  <c r="BZ382" i="7"/>
  <c r="BY382" i="7"/>
  <c r="CA673" i="7"/>
  <c r="BZ673" i="7"/>
  <c r="CC424" i="7"/>
  <c r="CA424" i="7"/>
  <c r="BZ453" i="7"/>
  <c r="CC453" i="7"/>
  <c r="BZ845" i="7"/>
  <c r="BY845" i="7"/>
  <c r="CC84" i="7"/>
  <c r="BY84" i="7"/>
  <c r="CC444" i="7"/>
  <c r="CB444" i="7"/>
  <c r="BZ593" i="7"/>
  <c r="CA593" i="7"/>
  <c r="BZ132" i="7"/>
  <c r="CC132" i="7"/>
  <c r="CA604" i="7"/>
  <c r="BY604" i="7"/>
  <c r="CC92" i="7"/>
  <c r="BZ92" i="7"/>
  <c r="BZ349" i="7"/>
  <c r="CC349" i="7"/>
  <c r="BZ32" i="7"/>
  <c r="CC32" i="7"/>
  <c r="CA295" i="7"/>
  <c r="BY295" i="7"/>
  <c r="CD88" i="7"/>
  <c r="CA88" i="7"/>
  <c r="BZ272" i="7"/>
  <c r="CC272" i="7"/>
  <c r="CA602" i="7"/>
  <c r="CB602" i="7"/>
  <c r="BZ722" i="7"/>
  <c r="CD722" i="7"/>
  <c r="BZ687" i="7"/>
  <c r="CC687" i="7"/>
  <c r="CA780" i="7"/>
  <c r="BZ780" i="7"/>
  <c r="CD499" i="7"/>
  <c r="CA499" i="7"/>
  <c r="BZ213" i="7"/>
  <c r="CC213" i="7"/>
  <c r="CB173" i="7"/>
  <c r="BZ173" i="7"/>
  <c r="CC98" i="7"/>
  <c r="BY98" i="7"/>
  <c r="BY323" i="7"/>
  <c r="BZ323" i="7"/>
  <c r="BZ438" i="7"/>
  <c r="CC438" i="7"/>
  <c r="CA79" i="7"/>
  <c r="BZ79" i="7"/>
  <c r="BY648" i="7"/>
  <c r="CA648" i="7"/>
  <c r="BZ172" i="7"/>
  <c r="CC172" i="7"/>
  <c r="BZ367" i="7"/>
  <c r="CC367" i="7"/>
  <c r="BZ451" i="7"/>
  <c r="BY451" i="7"/>
  <c r="BY571" i="7"/>
  <c r="BZ571" i="7"/>
  <c r="CC292" i="7"/>
  <c r="BZ292" i="7"/>
  <c r="CC616" i="7"/>
  <c r="CA616" i="7"/>
  <c r="CC867" i="7"/>
  <c r="BZ867" i="7"/>
  <c r="BZ749" i="7"/>
  <c r="CA749" i="7"/>
  <c r="BY294" i="7"/>
  <c r="CA294" i="7"/>
  <c r="BZ122" i="7"/>
  <c r="BY122" i="7"/>
  <c r="BZ30" i="7"/>
  <c r="BY30" i="7"/>
  <c r="BZ11" i="7"/>
  <c r="CA11" i="7"/>
  <c r="BY304" i="7"/>
  <c r="BZ304" i="7"/>
  <c r="BY826" i="7"/>
  <c r="CA826" i="7"/>
  <c r="BZ563" i="7"/>
  <c r="CC563" i="7"/>
  <c r="BZ286" i="7"/>
  <c r="CA286" i="7"/>
  <c r="CD598" i="7"/>
  <c r="CA598" i="7"/>
  <c r="CC243" i="7"/>
  <c r="CB243" i="7"/>
  <c r="BZ375" i="7"/>
  <c r="CD375" i="7"/>
  <c r="CA830" i="7"/>
  <c r="BZ830" i="7"/>
  <c r="BZ565" i="7"/>
  <c r="BY565" i="7"/>
  <c r="BZ319" i="7"/>
  <c r="CA319" i="7"/>
  <c r="CA763" i="7"/>
  <c r="CB763" i="7"/>
  <c r="CA619" i="7"/>
  <c r="BZ619" i="7"/>
  <c r="BZ208" i="7"/>
  <c r="CC208" i="7"/>
  <c r="BZ509" i="7"/>
  <c r="CA509" i="7"/>
  <c r="CB133" i="7"/>
  <c r="BZ133" i="7"/>
  <c r="BZ110" i="7"/>
  <c r="CB110" i="7"/>
  <c r="BZ515" i="7"/>
  <c r="CA515" i="7"/>
  <c r="CB531" i="7"/>
  <c r="BZ531" i="7"/>
  <c r="CB642" i="7"/>
  <c r="CA642" i="7"/>
  <c r="CB716" i="7"/>
  <c r="BZ716" i="7"/>
  <c r="BZ704" i="7"/>
  <c r="CD704" i="7"/>
  <c r="CC436" i="7"/>
  <c r="CA436" i="7"/>
  <c r="BZ80" i="7"/>
  <c r="CA80" i="7"/>
  <c r="CB544" i="7"/>
  <c r="BZ544" i="7"/>
  <c r="CD452" i="7"/>
  <c r="BY452" i="7"/>
  <c r="BY681" i="7"/>
  <c r="BZ681" i="7"/>
  <c r="BZ118" i="7"/>
  <c r="BY118" i="7"/>
  <c r="BY868" i="7"/>
  <c r="CA868" i="7"/>
  <c r="BZ195" i="7"/>
  <c r="CA195" i="7"/>
  <c r="CA134" i="7"/>
  <c r="CC134" i="7"/>
  <c r="BY508" i="7"/>
  <c r="CA508" i="7"/>
  <c r="BZ442" i="7"/>
  <c r="BY442" i="7"/>
  <c r="BZ601" i="7"/>
  <c r="CD601" i="7"/>
  <c r="CC740" i="7"/>
  <c r="CA740" i="7"/>
  <c r="CD187" i="7"/>
  <c r="CA187" i="7"/>
  <c r="BY546" i="7"/>
  <c r="BZ546" i="7"/>
  <c r="BZ510" i="7"/>
  <c r="BY510" i="7"/>
  <c r="BZ664" i="7"/>
  <c r="CB664" i="7"/>
  <c r="CC581" i="7"/>
  <c r="CA581" i="7"/>
  <c r="BZ657" i="7"/>
  <c r="CB657" i="7"/>
  <c r="BZ727" i="7"/>
  <c r="CC727" i="7"/>
  <c r="BZ111" i="7"/>
  <c r="BY111" i="7"/>
  <c r="BZ484" i="7"/>
  <c r="CC484" i="7"/>
  <c r="BZ409" i="7"/>
  <c r="CC409" i="7"/>
  <c r="CC205" i="7"/>
  <c r="CB205" i="7"/>
  <c r="CD679" i="7"/>
  <c r="BY679" i="7"/>
  <c r="BZ441" i="7"/>
  <c r="CA441" i="7"/>
  <c r="CB758" i="7"/>
  <c r="CA758" i="7"/>
  <c r="CA311" i="7"/>
  <c r="BZ311" i="7"/>
  <c r="CB369" i="7"/>
  <c r="BZ369" i="7"/>
  <c r="BZ741" i="7"/>
  <c r="BY741" i="7"/>
  <c r="BY83" i="7"/>
  <c r="BZ83" i="7"/>
  <c r="CC629" i="7"/>
  <c r="CB629" i="7"/>
  <c r="CA308" i="7"/>
  <c r="CB308" i="7"/>
  <c r="CA181" i="7"/>
  <c r="BZ181" i="7"/>
  <c r="BZ787" i="7"/>
  <c r="CC787" i="7"/>
  <c r="CA607" i="7"/>
  <c r="CB607" i="7"/>
  <c r="CD40" i="7"/>
  <c r="CA40" i="7"/>
  <c r="CA752" i="7"/>
  <c r="BZ752" i="7"/>
  <c r="BZ446" i="7"/>
  <c r="CA446" i="7"/>
  <c r="BZ717" i="7"/>
  <c r="CD717" i="7"/>
  <c r="BZ496" i="7"/>
  <c r="CC496" i="7"/>
  <c r="CB843" i="7"/>
  <c r="CA843" i="7"/>
  <c r="BZ81" i="7"/>
  <c r="BY81" i="7"/>
  <c r="BZ449" i="7"/>
  <c r="CD449" i="7"/>
  <c r="CA518" i="7"/>
  <c r="CB518" i="7"/>
  <c r="CD865" i="7"/>
  <c r="CA865" i="7"/>
  <c r="CC816" i="7"/>
  <c r="CA816" i="7"/>
  <c r="CA109" i="7"/>
  <c r="BZ109" i="7"/>
  <c r="BY390" i="7"/>
  <c r="BZ390" i="7"/>
  <c r="BZ569" i="7"/>
  <c r="CA569" i="7"/>
  <c r="BY285" i="7"/>
  <c r="CA285" i="7"/>
  <c r="CB474" i="7"/>
  <c r="CA474" i="7"/>
  <c r="CC806" i="7"/>
  <c r="CB806" i="7"/>
  <c r="BZ399" i="7"/>
  <c r="CA399" i="7"/>
  <c r="CA287" i="7"/>
  <c r="CB287" i="7"/>
  <c r="BY825" i="7"/>
  <c r="CA825" i="7"/>
  <c r="CC757" i="7"/>
  <c r="CB757" i="7"/>
  <c r="CC528" i="7"/>
  <c r="BZ528" i="7"/>
  <c r="BY731" i="7"/>
  <c r="BZ731" i="7"/>
  <c r="BZ136" i="7"/>
  <c r="CC136" i="7"/>
  <c r="CA267" i="7"/>
  <c r="CB267" i="7"/>
  <c r="CB585" i="7"/>
  <c r="BZ585" i="7"/>
  <c r="CC75" i="7"/>
  <c r="CA75" i="7"/>
  <c r="BY380" i="7"/>
  <c r="CC380" i="7"/>
  <c r="CA733" i="7"/>
  <c r="BZ733" i="7"/>
  <c r="BZ719" i="7"/>
  <c r="BY719" i="7"/>
  <c r="BY250" i="7"/>
  <c r="BZ250" i="7"/>
  <c r="CA676" i="7"/>
  <c r="CB676" i="7"/>
  <c r="BZ147" i="7"/>
  <c r="CB147" i="7"/>
  <c r="CA372" i="7"/>
  <c r="BZ372" i="7"/>
  <c r="CA817" i="7"/>
  <c r="BY817" i="7"/>
  <c r="CB631" i="7"/>
  <c r="BY631" i="7"/>
  <c r="BZ637" i="7"/>
  <c r="CC637" i="7"/>
  <c r="BY85" i="7"/>
  <c r="CC85" i="7"/>
  <c r="CC529" i="7"/>
  <c r="BZ529" i="7"/>
  <c r="BZ273" i="7"/>
  <c r="CA273" i="7"/>
  <c r="BZ258" i="7"/>
  <c r="CA258" i="7"/>
  <c r="CA696" i="7"/>
  <c r="BZ696" i="7"/>
  <c r="BZ263" i="7"/>
  <c r="CD263" i="7"/>
  <c r="BY125" i="7"/>
  <c r="CA125" i="7"/>
  <c r="CB610" i="7"/>
  <c r="BZ610" i="7"/>
  <c r="CA51" i="7"/>
  <c r="BZ51" i="7"/>
  <c r="BY801" i="7"/>
  <c r="BZ801" i="7"/>
  <c r="CB201" i="7"/>
  <c r="CA201" i="7"/>
  <c r="CB334" i="7"/>
  <c r="CC334" i="7"/>
  <c r="BZ203" i="7"/>
  <c r="CA203" i="7"/>
  <c r="CB9" i="7"/>
  <c r="BY9" i="7"/>
  <c r="BZ820" i="7"/>
  <c r="CC820" i="7"/>
  <c r="BZ18" i="7"/>
  <c r="CB18" i="7"/>
  <c r="CC545" i="7"/>
  <c r="BZ545" i="7"/>
  <c r="CB703" i="7"/>
  <c r="BZ703" i="7"/>
  <c r="BZ606" i="7"/>
  <c r="CC606" i="7"/>
  <c r="BZ855" i="7"/>
  <c r="CD855" i="7"/>
  <c r="BZ501" i="7"/>
  <c r="CC501" i="7"/>
  <c r="BZ630" i="7"/>
  <c r="CD630" i="7"/>
  <c r="BZ196" i="7"/>
  <c r="CC196" i="7"/>
  <c r="CA837" i="7"/>
  <c r="CD837" i="7"/>
  <c r="CA386" i="7"/>
  <c r="BY386" i="7"/>
  <c r="CB291" i="7"/>
  <c r="CC291" i="7"/>
  <c r="CA677" i="7"/>
  <c r="BZ677" i="7"/>
  <c r="CC829" i="7"/>
  <c r="BY829" i="7"/>
  <c r="BZ469" i="7"/>
  <c r="BY469" i="7"/>
  <c r="CB68" i="7"/>
  <c r="CC68" i="7"/>
  <c r="CA516" i="7"/>
  <c r="CD516" i="7"/>
  <c r="CA443" i="7"/>
  <c r="BZ443" i="7"/>
  <c r="BZ551" i="7"/>
  <c r="CC551" i="7"/>
  <c r="BZ56" i="7"/>
  <c r="BY56" i="7"/>
  <c r="CA255" i="7"/>
  <c r="BZ255" i="7"/>
  <c r="CB430" i="7"/>
  <c r="BZ430" i="7"/>
  <c r="BY596" i="7"/>
  <c r="BZ596" i="7"/>
  <c r="CC252" i="7"/>
  <c r="BZ252" i="7"/>
  <c r="CC470" i="7"/>
  <c r="CA470" i="7"/>
  <c r="BZ45" i="7"/>
  <c r="CD45" i="7"/>
  <c r="CC74" i="7"/>
  <c r="CA74" i="7"/>
  <c r="BY756" i="7"/>
  <c r="BZ756" i="7"/>
  <c r="CC833" i="7"/>
  <c r="CB833" i="7"/>
  <c r="BZ330" i="7"/>
  <c r="CC330" i="7"/>
  <c r="BZ582" i="7"/>
  <c r="CC582" i="7"/>
  <c r="BZ282" i="7"/>
  <c r="CB282" i="7"/>
  <c r="BY139" i="7"/>
  <c r="CA139" i="7"/>
  <c r="BZ461" i="7"/>
  <c r="CC461" i="7"/>
  <c r="CC19" i="7"/>
  <c r="CA19" i="7"/>
  <c r="CC473" i="7"/>
  <c r="BZ473" i="7"/>
  <c r="CA656" i="7"/>
  <c r="BY656" i="7"/>
  <c r="CA746" i="7"/>
  <c r="CB746" i="7"/>
  <c r="BZ564" i="7"/>
  <c r="CA564" i="7"/>
  <c r="CA354" i="7"/>
  <c r="CB354" i="7"/>
  <c r="BZ784" i="7"/>
  <c r="BY784" i="7"/>
  <c r="BZ161" i="7"/>
  <c r="CC161" i="7"/>
  <c r="CC371" i="7"/>
  <c r="BY371" i="7"/>
  <c r="BY870" i="7"/>
  <c r="CA870" i="7"/>
  <c r="CA827" i="7"/>
  <c r="BZ827" i="7"/>
  <c r="CA233" i="7"/>
  <c r="BZ233" i="7"/>
  <c r="BY89" i="7"/>
  <c r="BZ89" i="7"/>
  <c r="BZ667" i="7"/>
  <c r="CC667" i="7"/>
  <c r="BZ690" i="7"/>
  <c r="CC690" i="7"/>
  <c r="CC632" i="7"/>
  <c r="CA632" i="7"/>
  <c r="BZ164" i="7"/>
  <c r="CA164" i="7"/>
  <c r="CC778" i="7"/>
  <c r="BZ778" i="7"/>
  <c r="CA21" i="7"/>
  <c r="CB21" i="7"/>
  <c r="BY61" i="7"/>
  <c r="BZ61" i="7"/>
  <c r="CC774" i="7"/>
  <c r="BZ774" i="7"/>
  <c r="CC66" i="7"/>
  <c r="BZ66" i="7"/>
  <c r="CA857" i="7"/>
  <c r="BZ857" i="7"/>
  <c r="CC101" i="7"/>
  <c r="BZ101" i="7"/>
  <c r="BZ102" i="7"/>
  <c r="CA102" i="7"/>
  <c r="BZ848" i="7"/>
  <c r="CA848" i="7"/>
  <c r="CB403" i="7"/>
  <c r="CA403" i="7"/>
  <c r="BZ500" i="7"/>
  <c r="BY500" i="7"/>
  <c r="CD398" i="7"/>
  <c r="CA398" i="7"/>
  <c r="CA137" i="7"/>
  <c r="BZ137" i="7"/>
  <c r="CC597" i="7"/>
  <c r="CA597" i="7"/>
  <c r="CC350" i="7"/>
  <c r="CB350" i="7"/>
  <c r="CA478" i="7"/>
  <c r="BZ478" i="7"/>
  <c r="CC298" i="7"/>
  <c r="BZ298" i="7"/>
  <c r="BY320" i="7"/>
  <c r="BZ320" i="7"/>
  <c r="BY57" i="7"/>
  <c r="BZ57" i="7"/>
  <c r="BY393" i="7"/>
  <c r="BZ393" i="7"/>
  <c r="BZ283" i="7"/>
  <c r="CD283" i="7"/>
  <c r="BW221" i="7"/>
  <c r="CB221" i="7"/>
  <c r="BY318" i="7"/>
  <c r="CC318" i="7"/>
  <c r="BY387" i="7"/>
  <c r="CA387" i="7"/>
  <c r="BW106" i="7"/>
  <c r="BY106" i="7"/>
  <c r="BZ363" i="7"/>
  <c r="CB363" i="7"/>
  <c r="BZ261" i="7"/>
  <c r="CA261" i="7"/>
  <c r="BZ512" i="7"/>
  <c r="CD512" i="7"/>
  <c r="CA351" i="7"/>
  <c r="BZ351" i="7"/>
  <c r="BZ661" i="7"/>
  <c r="CB661" i="7"/>
  <c r="BY737" i="7"/>
  <c r="CC737" i="7"/>
  <c r="BY536" i="7"/>
  <c r="CD536" i="7"/>
  <c r="BZ533" i="7"/>
  <c r="CB533" i="7"/>
  <c r="BZ60" i="7"/>
  <c r="CD60" i="7"/>
  <c r="CA560" i="7"/>
  <c r="BZ560" i="7"/>
  <c r="BZ472" i="7"/>
  <c r="CC472" i="7"/>
  <c r="CA568" i="7"/>
  <c r="BY568" i="7"/>
  <c r="BZ852" i="7"/>
  <c r="CB852" i="7"/>
  <c r="CA459" i="7"/>
  <c r="CC459" i="7"/>
  <c r="BY854" i="7"/>
  <c r="CB854" i="7"/>
  <c r="BY377" i="7"/>
  <c r="BZ377" i="7"/>
  <c r="BZ29" i="7"/>
  <c r="CB29" i="7"/>
  <c r="BZ143" i="7"/>
  <c r="CD143" i="7"/>
  <c r="CB633" i="7"/>
  <c r="BW633" i="7"/>
  <c r="BW95" i="7"/>
  <c r="CB95" i="7"/>
  <c r="BW52" i="7"/>
  <c r="CD52" i="7"/>
  <c r="BW382" i="7"/>
  <c r="CB382" i="7"/>
  <c r="BZ432" i="7"/>
  <c r="CC432" i="7"/>
  <c r="BY635" i="7"/>
  <c r="CC635" i="7"/>
  <c r="CA100" i="7"/>
  <c r="BZ100" i="7"/>
  <c r="CA527" i="7"/>
  <c r="CC527" i="7"/>
  <c r="BZ765" i="7"/>
  <c r="CC765" i="7"/>
  <c r="BY708" i="7"/>
  <c r="BZ708" i="7"/>
  <c r="CA549" i="7"/>
  <c r="CC549" i="7"/>
  <c r="BY316" i="7"/>
  <c r="CD316" i="7"/>
  <c r="BZ82" i="7"/>
  <c r="CB82" i="7"/>
  <c r="BY240" i="7"/>
  <c r="CC240" i="7"/>
  <c r="BY241" i="7"/>
  <c r="CC241" i="7"/>
  <c r="BZ670" i="7"/>
  <c r="CC670" i="7"/>
  <c r="BY384" i="7"/>
  <c r="BZ384" i="7"/>
  <c r="BY262" i="7"/>
  <c r="CD262" i="7"/>
  <c r="CA242" i="7"/>
  <c r="BZ242" i="7"/>
  <c r="BZ17" i="7"/>
  <c r="CD17" i="7"/>
  <c r="BY579" i="7"/>
  <c r="BZ579" i="7"/>
  <c r="CA416" i="7"/>
  <c r="BZ416" i="7"/>
  <c r="BZ561" i="7"/>
  <c r="CD561" i="7"/>
  <c r="BW694" i="7"/>
  <c r="CD694" i="7"/>
  <c r="CD254" i="7"/>
  <c r="BW254" i="7"/>
  <c r="BZ256" i="7"/>
  <c r="CC256" i="7"/>
  <c r="BY388" i="7"/>
  <c r="CB388" i="7"/>
  <c r="BZ600" i="7"/>
  <c r="CB600" i="7"/>
  <c r="BY627" i="7"/>
  <c r="BZ627" i="7"/>
  <c r="BZ245" i="7"/>
  <c r="CD245" i="7"/>
  <c r="BY663" i="7"/>
  <c r="CD663" i="7"/>
  <c r="BZ466" i="7"/>
  <c r="CD466" i="7"/>
  <c r="CA193" i="7"/>
  <c r="BY193" i="7"/>
  <c r="BZ90" i="7"/>
  <c r="CB90" i="7"/>
  <c r="BZ26" i="7"/>
  <c r="CA26" i="7"/>
  <c r="BY216" i="7"/>
  <c r="BZ216" i="7"/>
  <c r="CA853" i="7"/>
  <c r="BZ853" i="7"/>
  <c r="BY834" i="7"/>
  <c r="BZ834" i="7"/>
  <c r="BZ362" i="7"/>
  <c r="CA362" i="7"/>
  <c r="BZ440" i="7"/>
  <c r="CB440" i="7"/>
  <c r="BY755" i="7"/>
  <c r="BZ755" i="7"/>
  <c r="BY340" i="7"/>
  <c r="CA340" i="7"/>
  <c r="BY14" i="7"/>
  <c r="BZ14" i="7"/>
  <c r="BY511" i="7"/>
  <c r="BZ511" i="7"/>
  <c r="BY858" i="7"/>
  <c r="CC858" i="7"/>
  <c r="BY422" i="7"/>
  <c r="BZ422" i="7"/>
  <c r="CA695" i="7"/>
  <c r="CB695" i="7"/>
  <c r="BZ249" i="7"/>
  <c r="CA249" i="7"/>
  <c r="BY521" i="7"/>
  <c r="BZ521" i="7"/>
  <c r="BZ586" i="7"/>
  <c r="CD586" i="7"/>
  <c r="BZ595" i="7"/>
  <c r="CA595" i="7"/>
  <c r="BZ166" i="7"/>
  <c r="CB166" i="7"/>
  <c r="BZ574" i="7"/>
  <c r="CD574" i="7"/>
  <c r="BY548" i="7"/>
  <c r="CC548" i="7"/>
  <c r="BZ718" i="7"/>
  <c r="CA718" i="7"/>
  <c r="BY547" i="7"/>
  <c r="CD547" i="7"/>
  <c r="BZ836" i="7"/>
  <c r="CA836" i="7"/>
  <c r="BZ800" i="7"/>
  <c r="CA800" i="7"/>
  <c r="BY411" i="7"/>
  <c r="CC411" i="7"/>
  <c r="BZ822" i="7"/>
  <c r="CA822" i="7"/>
  <c r="CA734" i="7"/>
  <c r="CD734" i="7"/>
  <c r="BY576" i="7"/>
  <c r="CC576" i="7"/>
  <c r="CA768" i="7"/>
  <c r="BZ768" i="7"/>
  <c r="BY686" i="7"/>
  <c r="BZ686" i="7"/>
  <c r="CA346" i="7"/>
  <c r="BZ346" i="7"/>
  <c r="BZ141" i="7"/>
  <c r="BY141" i="7"/>
  <c r="BY658" i="7"/>
  <c r="CC658" i="7"/>
  <c r="CA28" i="7"/>
  <c r="CD28" i="7"/>
  <c r="CA391" i="7"/>
  <c r="BZ391" i="7"/>
  <c r="BZ414" i="7"/>
  <c r="CB414" i="7"/>
  <c r="BY280" i="7"/>
  <c r="BZ280" i="7"/>
  <c r="BY705" i="7"/>
  <c r="BZ705" i="7"/>
  <c r="CA370" i="7"/>
  <c r="BZ370" i="7"/>
  <c r="BZ343" i="7"/>
  <c r="CD343" i="7"/>
  <c r="BZ611" i="7"/>
  <c r="CC611" i="7"/>
  <c r="BW625" i="7"/>
  <c r="CD625" i="7"/>
  <c r="BY673" i="7"/>
  <c r="CC673" i="7"/>
  <c r="BY87" i="7"/>
  <c r="BZ87" i="7"/>
  <c r="BZ736" i="7"/>
  <c r="CD736" i="7"/>
  <c r="BZ622" i="7"/>
  <c r="BY622" i="7"/>
  <c r="BZ844" i="7"/>
  <c r="CC844" i="7"/>
  <c r="BY186" i="7"/>
  <c r="BZ186" i="7"/>
  <c r="BY724" i="7"/>
  <c r="BZ724" i="7"/>
  <c r="BY851" i="7"/>
  <c r="CA851" i="7"/>
  <c r="BY293" i="7"/>
  <c r="BZ293" i="7"/>
  <c r="BY154" i="7"/>
  <c r="CD154" i="7"/>
  <c r="BZ226" i="7"/>
  <c r="CB226" i="7"/>
  <c r="CA753" i="7"/>
  <c r="CD753" i="7"/>
  <c r="CD490" i="7"/>
  <c r="BW490" i="7"/>
  <c r="CB712" i="7"/>
  <c r="BW712" i="7"/>
  <c r="BZ244" i="7"/>
  <c r="CD244" i="7"/>
  <c r="BZ182" i="7"/>
  <c r="CB182" i="7"/>
  <c r="BY782" i="7"/>
  <c r="BZ782" i="7"/>
  <c r="BY668" i="7"/>
  <c r="BZ668" i="7"/>
  <c r="BZ445" i="7"/>
  <c r="CA445" i="7"/>
  <c r="BZ838" i="7"/>
  <c r="CA838" i="7"/>
  <c r="BZ847" i="7"/>
  <c r="CB847" i="7"/>
  <c r="BY38" i="7"/>
  <c r="CD38" i="7"/>
  <c r="CA333" i="7"/>
  <c r="BZ333" i="7"/>
  <c r="BY264" i="7"/>
  <c r="BZ264" i="7"/>
  <c r="CA682" i="7"/>
  <c r="CC682" i="7"/>
  <c r="BZ710" i="7"/>
  <c r="CB710" i="7"/>
  <c r="BY328" i="7"/>
  <c r="BZ328" i="7"/>
  <c r="BZ402" i="7"/>
  <c r="CD402" i="7"/>
  <c r="BY113" i="7"/>
  <c r="BZ113" i="7"/>
  <c r="BY303" i="7"/>
  <c r="BZ303" i="7"/>
  <c r="BZ863" i="7"/>
  <c r="CD863" i="7"/>
  <c r="BZ725" i="7"/>
  <c r="CD725" i="7"/>
  <c r="CA592" i="7"/>
  <c r="BY592" i="7"/>
  <c r="BY120" i="7"/>
  <c r="BW120" i="7"/>
  <c r="BZ494" i="7"/>
  <c r="CA494" i="7"/>
  <c r="BY425" i="7"/>
  <c r="CD425" i="7"/>
  <c r="BZ742" i="7"/>
  <c r="CA742" i="7"/>
  <c r="CA540" i="7"/>
  <c r="BZ540" i="7"/>
  <c r="BY210" i="7"/>
  <c r="BZ210" i="7"/>
  <c r="BZ583" i="7"/>
  <c r="CD583" i="7"/>
  <c r="BZ764" i="7"/>
  <c r="CD764" i="7"/>
  <c r="BZ555" i="7"/>
  <c r="CA555" i="7"/>
  <c r="BZ410" i="7"/>
  <c r="CC410" i="7"/>
  <c r="BZ407" i="7"/>
  <c r="CB407" i="7"/>
  <c r="BY771" i="7"/>
  <c r="CB771" i="7"/>
  <c r="BZ20" i="7"/>
  <c r="CB20" i="7"/>
  <c r="BZ729" i="7"/>
  <c r="CB729" i="7"/>
  <c r="BZ344" i="7"/>
  <c r="CC344" i="7"/>
  <c r="BY64" i="7"/>
  <c r="CB64" i="7"/>
  <c r="CA167" i="7"/>
  <c r="BZ167" i="7"/>
  <c r="BY735" i="7"/>
  <c r="BZ735" i="7"/>
  <c r="BW10" i="7"/>
  <c r="CB10" i="7"/>
  <c r="CD654" i="7"/>
  <c r="BW654" i="7"/>
  <c r="CB599" i="7"/>
  <c r="BW599" i="7"/>
  <c r="BY140" i="7"/>
  <c r="BZ140" i="7"/>
  <c r="CA423" i="7"/>
  <c r="CD423" i="7"/>
  <c r="CA714" i="7"/>
  <c r="BZ714" i="7"/>
  <c r="BY418" i="7"/>
  <c r="BZ418" i="7"/>
  <c r="CA275" i="7"/>
  <c r="CC275" i="7"/>
  <c r="BZ669" i="7"/>
  <c r="CA669" i="7"/>
  <c r="BZ799" i="7"/>
  <c r="CB799" i="7"/>
  <c r="BZ220" i="7"/>
  <c r="BY220" i="7"/>
  <c r="BZ230" i="7"/>
  <c r="CD230" i="7"/>
  <c r="BY341" i="7"/>
  <c r="CB341" i="7"/>
  <c r="BY828" i="7"/>
  <c r="CD828" i="7"/>
  <c r="BZ525" i="7"/>
  <c r="CB525" i="7"/>
  <c r="BZ25" i="7"/>
  <c r="CD25" i="7"/>
  <c r="BY158" i="7"/>
  <c r="CC158" i="7"/>
  <c r="CA290" i="7"/>
  <c r="BZ290" i="7"/>
  <c r="BZ542" i="7"/>
  <c r="CB542" i="7"/>
  <c r="BY615" i="7"/>
  <c r="BZ615" i="7"/>
  <c r="CA13" i="7"/>
  <c r="BZ13" i="7"/>
  <c r="BZ129" i="7"/>
  <c r="CB129" i="7"/>
  <c r="BZ236" i="7"/>
  <c r="CD236" i="7"/>
  <c r="BZ329" i="7"/>
  <c r="CC329" i="7"/>
  <c r="BZ723" i="7"/>
  <c r="CB723" i="7"/>
  <c r="BY680" i="7"/>
  <c r="CB680" i="7"/>
  <c r="BZ8" i="7"/>
  <c r="CD8" i="7"/>
  <c r="CA434" i="7"/>
  <c r="BZ434" i="7"/>
  <c r="BW835" i="7"/>
  <c r="CD835" i="7"/>
  <c r="BW453" i="7"/>
  <c r="CB453" i="7"/>
  <c r="BW869" i="7"/>
  <c r="CB869" i="7"/>
  <c r="BZ361" i="7"/>
  <c r="CD361" i="7"/>
  <c r="BY342" i="7"/>
  <c r="BZ342" i="7"/>
  <c r="CA777" i="7"/>
  <c r="CD777" i="7"/>
  <c r="BZ103" i="7"/>
  <c r="CB103" i="7"/>
  <c r="BZ160" i="7"/>
  <c r="CA160" i="7"/>
  <c r="BZ678" i="7"/>
  <c r="BY678" i="7"/>
  <c r="BY437" i="7"/>
  <c r="BZ437" i="7"/>
  <c r="BY338" i="7"/>
  <c r="BZ338" i="7"/>
  <c r="BY644" i="7"/>
  <c r="CD644" i="7"/>
  <c r="CA652" i="7"/>
  <c r="BY652" i="7"/>
  <c r="BZ767" i="7"/>
  <c r="CA767" i="7"/>
  <c r="BZ397" i="7"/>
  <c r="CB397" i="7"/>
  <c r="BZ791" i="7"/>
  <c r="CC791" i="7"/>
  <c r="BY46" i="7"/>
  <c r="BZ46" i="7"/>
  <c r="BY665" i="7"/>
  <c r="CA665" i="7"/>
  <c r="BZ706" i="7"/>
  <c r="BY706" i="7"/>
  <c r="CA701" i="7"/>
  <c r="BY701" i="7"/>
  <c r="BW845" i="7"/>
  <c r="CD845" i="7"/>
  <c r="CA613" i="7"/>
  <c r="CB613" i="7"/>
  <c r="BY415" i="7"/>
  <c r="BZ415" i="7"/>
  <c r="BZ588" i="7"/>
  <c r="CA588" i="7"/>
  <c r="BY165" i="7"/>
  <c r="CD165" i="7"/>
  <c r="BZ237" i="7"/>
  <c r="CD237" i="7"/>
  <c r="BZ539" i="7"/>
  <c r="CD539" i="7"/>
  <c r="BZ785" i="7"/>
  <c r="CB785" i="7"/>
  <c r="BY577" i="7"/>
  <c r="BZ577" i="7"/>
  <c r="BZ747" i="7"/>
  <c r="CD747" i="7"/>
  <c r="BZ702" i="7"/>
  <c r="CB702" i="7"/>
  <c r="CA578" i="7"/>
  <c r="BY578" i="7"/>
  <c r="BZ465" i="7"/>
  <c r="BY465" i="7"/>
  <c r="BY660" i="7"/>
  <c r="CB660" i="7"/>
  <c r="BY15" i="7"/>
  <c r="BZ15" i="7"/>
  <c r="CA190" i="7"/>
  <c r="CC190" i="7"/>
  <c r="BZ168" i="7"/>
  <c r="CA168" i="7"/>
  <c r="BY322" i="7"/>
  <c r="BZ322" i="7"/>
  <c r="BZ34" i="7"/>
  <c r="CD34" i="7"/>
  <c r="BW77" i="7"/>
  <c r="CB77" i="7"/>
  <c r="BW306" i="7"/>
  <c r="CD306" i="7"/>
  <c r="BW649" i="7"/>
  <c r="CD649" i="7"/>
  <c r="BW19" i="7"/>
  <c r="CD19" i="7"/>
  <c r="BW473" i="7"/>
  <c r="CD473" i="7"/>
  <c r="BW656" i="7"/>
  <c r="CD656" i="7"/>
  <c r="BW426" i="7"/>
  <c r="CD426" i="7"/>
  <c r="BW784" i="7"/>
  <c r="CD784" i="7"/>
  <c r="BW506" i="7"/>
  <c r="CD506" i="7"/>
  <c r="BW161" i="7"/>
  <c r="CD161" i="7"/>
  <c r="BW371" i="7"/>
  <c r="CD371" i="7"/>
  <c r="BW259" i="7"/>
  <c r="CD259" i="7"/>
  <c r="BW827" i="7"/>
  <c r="CD827" i="7"/>
  <c r="BW330" i="7"/>
  <c r="CD330" i="7"/>
  <c r="BW43" i="7"/>
  <c r="CD43" i="7"/>
  <c r="BW558" i="7"/>
  <c r="CD558" i="7"/>
  <c r="BW405" i="7"/>
  <c r="CD405" i="7"/>
  <c r="BW507" i="7"/>
  <c r="CD507" i="7"/>
  <c r="BW778" i="7"/>
  <c r="CD778" i="7"/>
  <c r="BW66" i="7"/>
  <c r="CD66" i="7"/>
  <c r="BW207" i="7"/>
  <c r="CD207" i="7"/>
  <c r="BW202" i="7"/>
  <c r="CD202" i="7"/>
  <c r="BW101" i="7"/>
  <c r="CD101" i="7"/>
  <c r="BW198" i="7"/>
  <c r="CD198" i="7"/>
  <c r="BW403" i="7"/>
  <c r="CD403" i="7"/>
  <c r="BW500" i="7"/>
  <c r="CD500" i="7"/>
  <c r="BW614" i="7"/>
  <c r="CD614" i="7"/>
  <c r="BW597" i="7"/>
  <c r="CD597" i="7"/>
  <c r="BW632" i="7"/>
  <c r="CD632" i="7"/>
  <c r="BW335" i="7"/>
  <c r="CD335" i="7"/>
  <c r="BW84" i="7"/>
  <c r="CD84" i="7"/>
  <c r="BW273" i="7"/>
  <c r="CD273" i="7"/>
  <c r="BW98" i="7"/>
  <c r="CD98" i="7"/>
  <c r="BW444" i="7"/>
  <c r="CD444" i="7"/>
  <c r="BW197" i="7"/>
  <c r="CD197" i="7"/>
  <c r="BW350" i="7"/>
  <c r="CD350" i="7"/>
  <c r="BW645" i="7"/>
  <c r="CD645" i="7"/>
  <c r="BW298" i="7"/>
  <c r="CD298" i="7"/>
  <c r="BW604" i="7"/>
  <c r="CD604" i="7"/>
  <c r="BW92" i="7"/>
  <c r="CD92" i="7"/>
  <c r="BW448" i="7"/>
  <c r="CD448" i="7"/>
  <c r="BW349" i="7"/>
  <c r="CD349" i="7"/>
  <c r="BW295" i="7"/>
  <c r="CD295" i="7"/>
  <c r="BW54" i="7"/>
  <c r="CD54" i="7"/>
  <c r="BW485" i="7"/>
  <c r="CD485" i="7"/>
  <c r="BW780" i="7"/>
  <c r="CD780" i="7"/>
  <c r="BW436" i="7"/>
  <c r="CD436" i="7"/>
  <c r="BW191" i="7"/>
  <c r="CD191" i="7"/>
  <c r="BW451" i="7"/>
  <c r="CD451" i="7"/>
  <c r="BW495" i="7"/>
  <c r="CD495" i="7"/>
  <c r="BW482" i="7"/>
  <c r="CD482" i="7"/>
  <c r="BW292" i="7"/>
  <c r="CD292" i="7"/>
  <c r="BW616" i="7"/>
  <c r="CD616" i="7"/>
  <c r="BW867" i="7"/>
  <c r="CD867" i="7"/>
  <c r="BW532" i="7"/>
  <c r="CD532" i="7"/>
  <c r="BW699" i="7"/>
  <c r="CD699" i="7"/>
  <c r="BW30" i="7"/>
  <c r="CD30" i="7"/>
  <c r="BW173" i="7"/>
  <c r="CD173" i="7"/>
  <c r="BW107" i="7"/>
  <c r="CD107" i="7"/>
  <c r="BW666" i="7"/>
  <c r="CD666" i="7"/>
  <c r="BW243" i="7"/>
  <c r="CD243" i="7"/>
  <c r="BW565" i="7"/>
  <c r="CD565" i="7"/>
  <c r="BW229" i="7"/>
  <c r="CD229" i="7"/>
  <c r="BW802" i="7"/>
  <c r="CD802" i="7"/>
  <c r="BW279" i="7"/>
  <c r="CD279" i="7"/>
  <c r="BW319" i="7"/>
  <c r="CD319" i="7"/>
  <c r="BW763" i="7"/>
  <c r="CD763" i="7"/>
  <c r="BW284" i="7"/>
  <c r="CD284" i="7"/>
  <c r="BW619" i="7"/>
  <c r="CD619" i="7"/>
  <c r="BW609" i="7"/>
  <c r="CD609" i="7"/>
  <c r="BW289" i="7"/>
  <c r="CD289" i="7"/>
  <c r="BW653" i="7"/>
  <c r="CD653" i="7"/>
  <c r="BW110" i="7"/>
  <c r="CD110" i="7"/>
  <c r="BW563" i="7"/>
  <c r="CD563" i="7"/>
  <c r="BW544" i="7"/>
  <c r="CD544" i="7"/>
  <c r="BW359" i="7"/>
  <c r="CD359" i="7"/>
  <c r="BW70" i="7"/>
  <c r="CD70" i="7"/>
  <c r="BW134" i="7"/>
  <c r="CD134" i="7"/>
  <c r="BW740" i="7"/>
  <c r="CD740" i="7"/>
  <c r="BW108" i="7"/>
  <c r="CD108" i="7"/>
  <c r="BW114" i="7"/>
  <c r="CD114" i="7"/>
  <c r="BW464" i="7"/>
  <c r="CD464" i="7"/>
  <c r="BW531" i="7"/>
  <c r="CD531" i="7"/>
  <c r="BW457" i="7"/>
  <c r="CD457" i="7"/>
  <c r="BW642" i="7"/>
  <c r="CD642" i="7"/>
  <c r="BW716" i="7"/>
  <c r="CD716" i="7"/>
  <c r="BW484" i="7"/>
  <c r="CD484" i="7"/>
  <c r="BW356" i="7"/>
  <c r="CD356" i="7"/>
  <c r="BW205" i="7"/>
  <c r="CD205" i="7"/>
  <c r="BW770" i="7"/>
  <c r="CD770" i="7"/>
  <c r="BW823" i="7"/>
  <c r="CD823" i="7"/>
  <c r="BW441" i="7"/>
  <c r="CD441" i="7"/>
  <c r="BW72" i="7"/>
  <c r="CD72" i="7"/>
  <c r="BW311" i="7"/>
  <c r="CD311" i="7"/>
  <c r="BW369" i="7"/>
  <c r="CD369" i="7"/>
  <c r="BW741" i="7"/>
  <c r="CD741" i="7"/>
  <c r="BW83" i="7"/>
  <c r="CD83" i="7"/>
  <c r="BW629" i="7"/>
  <c r="CD629" i="7"/>
  <c r="BW550" i="7"/>
  <c r="CD550" i="7"/>
  <c r="BW664" i="7"/>
  <c r="CD664" i="7"/>
  <c r="BW715" i="7"/>
  <c r="CD715" i="7"/>
  <c r="BW581" i="7"/>
  <c r="CD581" i="7"/>
  <c r="BW657" i="7"/>
  <c r="CD657" i="7"/>
  <c r="BW138" i="7"/>
  <c r="CD138" i="7"/>
  <c r="BW843" i="7"/>
  <c r="CD843" i="7"/>
  <c r="BW149" i="7"/>
  <c r="CD149" i="7"/>
  <c r="BW518" i="7"/>
  <c r="CD518" i="7"/>
  <c r="BW428" i="7"/>
  <c r="CD428" i="7"/>
  <c r="BW816" i="7"/>
  <c r="CD816" i="7"/>
  <c r="BW109" i="7"/>
  <c r="CD109" i="7"/>
  <c r="BW194" i="7"/>
  <c r="CD194" i="7"/>
  <c r="BW773" i="7"/>
  <c r="CD773" i="7"/>
  <c r="BW787" i="7"/>
  <c r="CD787" i="7"/>
  <c r="BW524" i="7"/>
  <c r="CD524" i="7"/>
  <c r="BW757" i="7"/>
  <c r="CD757" i="7"/>
  <c r="BW528" i="7"/>
  <c r="CD528" i="7"/>
  <c r="BW424" i="7"/>
  <c r="CD424" i="7"/>
  <c r="BW731" i="7"/>
  <c r="CD731" i="7"/>
  <c r="BW267" i="7"/>
  <c r="CD267" i="7"/>
  <c r="BW585" i="7"/>
  <c r="CD585" i="7"/>
  <c r="BW75" i="7"/>
  <c r="CD75" i="7"/>
  <c r="BW513" i="7"/>
  <c r="CD513" i="7"/>
  <c r="BW772" i="7"/>
  <c r="CD772" i="7"/>
  <c r="BW733" i="7"/>
  <c r="CD733" i="7"/>
  <c r="BW44" i="7"/>
  <c r="CD44" i="7"/>
  <c r="BW97" i="7"/>
  <c r="CD97" i="7"/>
  <c r="BW225" i="7"/>
  <c r="CD225" i="7"/>
  <c r="BW365" i="7"/>
  <c r="CD365" i="7"/>
  <c r="BW474" i="7"/>
  <c r="CD474" i="7"/>
  <c r="BW806" i="7"/>
  <c r="CD806" i="7"/>
  <c r="BW552" i="7"/>
  <c r="CD552" i="7"/>
  <c r="BW696" i="7"/>
  <c r="CD696" i="7"/>
  <c r="BW610" i="7"/>
  <c r="CD610" i="7"/>
  <c r="BW219" i="7"/>
  <c r="CD219" i="7"/>
  <c r="BW201" i="7"/>
  <c r="CD201" i="7"/>
  <c r="BW334" i="7"/>
  <c r="CD334" i="7"/>
  <c r="BW698" i="7"/>
  <c r="CD698" i="7"/>
  <c r="BW203" i="7"/>
  <c r="CD203" i="7"/>
  <c r="BW487" i="7"/>
  <c r="CD487" i="7"/>
  <c r="BW693" i="7"/>
  <c r="CD693" i="7"/>
  <c r="BW18" i="7"/>
  <c r="CD18" i="7"/>
  <c r="BW545" i="7"/>
  <c r="CD545" i="7"/>
  <c r="BW703" i="7"/>
  <c r="CD703" i="7"/>
  <c r="BW637" i="7"/>
  <c r="CD637" i="7"/>
  <c r="BW85" i="7"/>
  <c r="CD85" i="7"/>
  <c r="BW529" i="7"/>
  <c r="CD529" i="7"/>
  <c r="BW291" i="7"/>
  <c r="CD291" i="7"/>
  <c r="BW677" i="7"/>
  <c r="CD677" i="7"/>
  <c r="BW554" i="7"/>
  <c r="CD554" i="7"/>
  <c r="BW829" i="7"/>
  <c r="CD829" i="7"/>
  <c r="BW68" i="7"/>
  <c r="CD68" i="7"/>
  <c r="BW647" i="7"/>
  <c r="CD647" i="7"/>
  <c r="BW443" i="7"/>
  <c r="CD443" i="7"/>
  <c r="BW551" i="7"/>
  <c r="CD551" i="7"/>
  <c r="BW56" i="7"/>
  <c r="CD56" i="7"/>
  <c r="BW255" i="7"/>
  <c r="CD255" i="7"/>
  <c r="BW430" i="7"/>
  <c r="CD430" i="7"/>
  <c r="BW252" i="7"/>
  <c r="CD252" i="7"/>
  <c r="BW470" i="7"/>
  <c r="CD470" i="7"/>
  <c r="BW74" i="7"/>
  <c r="CD74" i="7"/>
  <c r="BW756" i="7"/>
  <c r="CD756" i="7"/>
  <c r="BW833" i="7"/>
  <c r="CD833" i="7"/>
  <c r="BW427" i="7"/>
  <c r="CD427" i="7"/>
  <c r="BW501" i="7"/>
  <c r="CD501" i="7"/>
  <c r="BW386" i="7"/>
  <c r="CD386" i="7"/>
  <c r="BW354" i="7"/>
  <c r="CC354" i="7"/>
  <c r="BW53" i="7"/>
  <c r="CC53" i="7"/>
  <c r="BW76" i="7"/>
  <c r="CC76" i="7"/>
  <c r="BW870" i="7"/>
  <c r="CC870" i="7"/>
  <c r="BW439" i="7"/>
  <c r="CC439" i="7"/>
  <c r="BW848" i="7"/>
  <c r="CC848" i="7"/>
  <c r="BW398" i="7"/>
  <c r="CC398" i="7"/>
  <c r="BW634" i="7"/>
  <c r="CC634" i="7"/>
  <c r="BW89" i="7"/>
  <c r="CC89" i="7"/>
  <c r="BW825" i="7"/>
  <c r="CC825" i="7"/>
  <c r="BW200" i="7"/>
  <c r="CC200" i="7"/>
  <c r="BW88" i="7"/>
  <c r="CC88" i="7"/>
  <c r="BW722" i="7"/>
  <c r="CC722" i="7"/>
  <c r="BW499" i="7"/>
  <c r="CC499" i="7"/>
  <c r="BW258" i="7"/>
  <c r="CC258" i="7"/>
  <c r="BW671" i="7"/>
  <c r="CC671" i="7"/>
  <c r="BW571" i="7"/>
  <c r="CC571" i="7"/>
  <c r="BW749" i="7"/>
  <c r="CC749" i="7"/>
  <c r="BW294" i="7"/>
  <c r="CC294" i="7"/>
  <c r="BW122" i="7"/>
  <c r="CC122" i="7"/>
  <c r="BW325" i="7"/>
  <c r="CC325" i="7"/>
  <c r="BW826" i="7"/>
  <c r="CC826" i="7"/>
  <c r="BW798" i="7"/>
  <c r="CC798" i="7"/>
  <c r="BW40" i="7"/>
  <c r="CC40" i="7"/>
  <c r="BW364" i="7"/>
  <c r="CC364" i="7"/>
  <c r="BW760" i="7"/>
  <c r="CC760" i="7"/>
  <c r="BW726" i="7"/>
  <c r="CC726" i="7"/>
  <c r="BW375" i="7"/>
  <c r="CC375" i="7"/>
  <c r="BW228" i="7"/>
  <c r="CC228" i="7"/>
  <c r="BW509" i="7"/>
  <c r="CC509" i="7"/>
  <c r="BW643" i="7"/>
  <c r="CC643" i="7"/>
  <c r="BW133" i="7"/>
  <c r="CC133" i="7"/>
  <c r="BW515" i="7"/>
  <c r="CC515" i="7"/>
  <c r="BW598" i="7"/>
  <c r="CC598" i="7"/>
  <c r="BW117" i="7"/>
  <c r="CC117" i="7"/>
  <c r="BW593" i="7"/>
  <c r="CC593" i="7"/>
  <c r="BW454" i="7"/>
  <c r="CC454" i="7"/>
  <c r="BW320" i="7"/>
  <c r="CC320" i="7"/>
  <c r="BW80" i="7"/>
  <c r="CC80" i="7"/>
  <c r="BW452" i="7"/>
  <c r="CC452" i="7"/>
  <c r="BW681" i="7"/>
  <c r="CC681" i="7"/>
  <c r="BW832" i="7"/>
  <c r="CC832" i="7"/>
  <c r="BW118" i="7"/>
  <c r="CC118" i="7"/>
  <c r="BW442" i="7"/>
  <c r="CC442" i="7"/>
  <c r="BW105" i="7"/>
  <c r="CC105" i="7"/>
  <c r="BW187" i="7"/>
  <c r="CC187" i="7"/>
  <c r="BW546" i="7"/>
  <c r="CC546" i="7"/>
  <c r="BW184" i="7"/>
  <c r="CC184" i="7"/>
  <c r="BW839" i="7"/>
  <c r="CC839" i="7"/>
  <c r="BW522" i="7"/>
  <c r="CC522" i="7"/>
  <c r="BW679" i="7"/>
  <c r="CC679" i="7"/>
  <c r="BW758" i="7"/>
  <c r="CC758" i="7"/>
  <c r="BW831" i="7"/>
  <c r="CC831" i="7"/>
  <c r="BW81" i="7"/>
  <c r="CC81" i="7"/>
  <c r="BW865" i="7"/>
  <c r="CC865" i="7"/>
  <c r="BW302" i="7"/>
  <c r="CC302" i="7"/>
  <c r="BW719" i="7"/>
  <c r="CC719" i="7"/>
  <c r="BW250" i="7"/>
  <c r="CC250" i="7"/>
  <c r="BW676" i="7"/>
  <c r="CC676" i="7"/>
  <c r="BW147" i="7"/>
  <c r="CC147" i="7"/>
  <c r="BW372" i="7"/>
  <c r="CC372" i="7"/>
  <c r="BW399" i="7"/>
  <c r="CC399" i="7"/>
  <c r="BW541" i="7"/>
  <c r="CC541" i="7"/>
  <c r="BW621" i="7"/>
  <c r="CC621" i="7"/>
  <c r="BW9" i="7"/>
  <c r="CC9" i="7"/>
  <c r="BW817" i="7"/>
  <c r="CC817" i="7"/>
  <c r="BW631" i="7"/>
  <c r="CC631" i="7"/>
  <c r="BW819" i="7"/>
  <c r="CC819" i="7"/>
  <c r="BW469" i="7"/>
  <c r="CC469" i="7"/>
  <c r="BW721" i="7"/>
  <c r="CC721" i="7"/>
  <c r="BW596" i="7"/>
  <c r="CC596" i="7"/>
  <c r="BW45" i="7"/>
  <c r="CC45" i="7"/>
  <c r="BW630" i="7"/>
  <c r="CC630" i="7"/>
  <c r="BW79" i="7"/>
  <c r="CB79" i="7"/>
  <c r="BW564" i="7"/>
  <c r="CB564" i="7"/>
  <c r="BW567" i="7"/>
  <c r="CB567" i="7"/>
  <c r="BW233" i="7"/>
  <c r="CB233" i="7"/>
  <c r="BW152" i="7"/>
  <c r="CB152" i="7"/>
  <c r="BW478" i="7"/>
  <c r="CB478" i="7"/>
  <c r="BW856" i="7"/>
  <c r="CB856" i="7"/>
  <c r="BW286" i="7"/>
  <c r="CB286" i="7"/>
  <c r="BW774" i="7"/>
  <c r="CB774" i="7"/>
  <c r="BW102" i="7"/>
  <c r="CB102" i="7"/>
  <c r="BW570" i="7"/>
  <c r="CB570" i="7"/>
  <c r="BW137" i="7"/>
  <c r="CB137" i="7"/>
  <c r="BW809" i="7"/>
  <c r="CB809" i="7"/>
  <c r="BW429" i="7"/>
  <c r="CB429" i="7"/>
  <c r="BW178" i="7"/>
  <c r="CB178" i="7"/>
  <c r="BW209" i="7"/>
  <c r="CB209" i="7"/>
  <c r="BW685" i="7"/>
  <c r="CB685" i="7"/>
  <c r="BW446" i="7"/>
  <c r="CB446" i="7"/>
  <c r="BW67" i="7"/>
  <c r="CB67" i="7"/>
  <c r="BW277" i="7"/>
  <c r="CB277" i="7"/>
  <c r="BW195" i="7"/>
  <c r="CB195" i="7"/>
  <c r="BW601" i="7"/>
  <c r="CB601" i="7"/>
  <c r="BW704" i="7"/>
  <c r="CB704" i="7"/>
  <c r="BW27" i="7"/>
  <c r="CB27" i="7"/>
  <c r="BW514" i="7"/>
  <c r="CB514" i="7"/>
  <c r="BW150" i="7"/>
  <c r="CB150" i="7"/>
  <c r="BW717" i="7"/>
  <c r="CB717" i="7"/>
  <c r="BW449" i="7"/>
  <c r="CB449" i="7"/>
  <c r="BW864" i="7"/>
  <c r="CB864" i="7"/>
  <c r="BW824" i="7"/>
  <c r="CB824" i="7"/>
  <c r="BW628" i="7"/>
  <c r="CB628" i="7"/>
  <c r="BW390" i="7"/>
  <c r="CB390" i="7"/>
  <c r="BW124" i="7"/>
  <c r="CB124" i="7"/>
  <c r="BW569" i="7"/>
  <c r="CB569" i="7"/>
  <c r="BW37" i="7"/>
  <c r="CB37" i="7"/>
  <c r="BW385" i="7"/>
  <c r="CB385" i="7"/>
  <c r="BW640" i="7"/>
  <c r="CB640" i="7"/>
  <c r="BW332" i="7"/>
  <c r="CB332" i="7"/>
  <c r="BW323" i="7"/>
  <c r="CB323" i="7"/>
  <c r="BW830" i="7"/>
  <c r="CB830" i="7"/>
  <c r="BW713" i="7"/>
  <c r="CB713" i="7"/>
  <c r="BW380" i="7"/>
  <c r="CB380" i="7"/>
  <c r="BW814" i="7"/>
  <c r="CB814" i="7"/>
  <c r="BW11" i="7"/>
  <c r="CB11" i="7"/>
  <c r="BW744" i="7"/>
  <c r="CB744" i="7"/>
  <c r="BW35" i="7"/>
  <c r="CB35" i="7"/>
  <c r="BW51" i="7"/>
  <c r="CB51" i="7"/>
  <c r="BW801" i="7"/>
  <c r="CB801" i="7"/>
  <c r="BW164" i="7"/>
  <c r="CB164" i="7"/>
  <c r="BW618" i="7"/>
  <c r="CB618" i="7"/>
  <c r="BW179" i="7"/>
  <c r="CB179" i="7"/>
  <c r="BW855" i="7"/>
  <c r="CB855" i="7"/>
  <c r="BW752" i="7"/>
  <c r="BW423" i="7"/>
  <c r="BW714" i="7"/>
  <c r="BW746" i="7"/>
  <c r="BW275" i="7"/>
  <c r="BW290" i="7"/>
  <c r="BW13" i="7"/>
  <c r="BW434" i="7"/>
  <c r="BW602" i="7"/>
  <c r="BW351" i="7"/>
  <c r="BW560" i="7"/>
  <c r="BW568" i="7"/>
  <c r="BW459" i="7"/>
  <c r="BW777" i="7"/>
  <c r="BW613" i="7"/>
  <c r="BW287" i="7"/>
  <c r="BW549" i="7"/>
  <c r="BW242" i="7"/>
  <c r="BW416" i="7"/>
  <c r="BW190" i="7"/>
  <c r="BW193" i="7"/>
  <c r="BW853" i="7"/>
  <c r="BW308" i="7"/>
  <c r="BW181" i="7"/>
  <c r="BW695" i="7"/>
  <c r="BW578" i="7"/>
  <c r="BW734" i="7"/>
  <c r="BW768" i="7"/>
  <c r="BW346" i="7"/>
  <c r="BW28" i="7"/>
  <c r="BW391" i="7"/>
  <c r="BW370" i="7"/>
  <c r="BW607" i="7"/>
  <c r="BW527" i="7"/>
  <c r="BW753" i="7"/>
  <c r="BW21" i="7"/>
  <c r="BW652" i="7"/>
  <c r="BW701" i="7"/>
  <c r="BW333" i="7"/>
  <c r="BW682" i="7"/>
  <c r="BW592" i="7"/>
  <c r="BW857" i="7"/>
  <c r="BW100" i="7"/>
  <c r="BW540" i="7"/>
  <c r="BW516" i="7"/>
  <c r="BW167" i="7"/>
  <c r="BW837" i="7"/>
  <c r="BW669" i="7"/>
  <c r="BW799" i="7"/>
  <c r="BW220" i="7"/>
  <c r="BW230" i="7"/>
  <c r="BW417" i="7"/>
  <c r="BW525" i="7"/>
  <c r="BW25" i="7"/>
  <c r="BW542" i="7"/>
  <c r="BW129" i="7"/>
  <c r="BW236" i="7"/>
  <c r="BW329" i="7"/>
  <c r="BW754" i="7"/>
  <c r="BW723" i="7"/>
  <c r="BW8" i="7"/>
  <c r="BW582" i="7"/>
  <c r="BW282" i="7"/>
  <c r="BW361" i="7"/>
  <c r="BW812" i="7"/>
  <c r="BW127" i="7"/>
  <c r="BW103" i="7"/>
  <c r="BW160" i="7"/>
  <c r="BW678" i="7"/>
  <c r="BW775" i="7"/>
  <c r="BW767" i="7"/>
  <c r="BW502" i="7"/>
  <c r="BW397" i="7"/>
  <c r="BW791" i="7"/>
  <c r="BW381" i="7"/>
  <c r="BW667" i="7"/>
  <c r="BW690" i="7"/>
  <c r="BW706" i="7"/>
  <c r="BW345" i="7"/>
  <c r="BW24" i="7"/>
  <c r="BW588" i="7"/>
  <c r="BW146" i="7"/>
  <c r="BW237" i="7"/>
  <c r="BW461" i="7"/>
  <c r="BW539" i="7"/>
  <c r="BW313" i="7"/>
  <c r="BW575" i="7"/>
  <c r="BW785" i="7"/>
  <c r="BW115" i="7"/>
  <c r="BW747" i="7"/>
  <c r="BW111" i="7"/>
  <c r="BW730" i="7"/>
  <c r="BW702" i="7"/>
  <c r="BW465" i="7"/>
  <c r="BW168" i="7"/>
  <c r="BW212" i="7"/>
  <c r="BW34" i="7"/>
  <c r="BW794" i="7"/>
  <c r="BW132" i="7"/>
  <c r="BW32" i="7"/>
  <c r="BW796" i="7"/>
  <c r="BW256" i="7"/>
  <c r="BW73" i="7"/>
  <c r="BW272" i="7"/>
  <c r="BW477" i="7"/>
  <c r="BW761" i="7"/>
  <c r="BW249" i="7"/>
  <c r="BW687" i="7"/>
  <c r="BW762" i="7"/>
  <c r="BW383" i="7"/>
  <c r="BW374" i="7"/>
  <c r="BW213" i="7"/>
  <c r="BW584" i="7"/>
  <c r="BW432" i="7"/>
  <c r="BW331" i="7"/>
  <c r="BW283" i="7"/>
  <c r="BW366" i="7"/>
  <c r="BW580" i="7"/>
  <c r="BW805" i="7"/>
  <c r="BW497" i="7"/>
  <c r="BW600" i="7"/>
  <c r="BW148" i="7"/>
  <c r="BW438" i="7"/>
  <c r="BW172" i="7"/>
  <c r="BW367" i="7"/>
  <c r="BW586" i="7"/>
  <c r="BW245" i="7"/>
  <c r="BW466" i="7"/>
  <c r="BW573" i="7"/>
  <c r="BW363" i="7"/>
  <c r="BW595" i="7"/>
  <c r="BW166" i="7"/>
  <c r="BW90" i="7"/>
  <c r="BW790" i="7"/>
  <c r="BW26" i="7"/>
  <c r="BW795" i="7"/>
  <c r="BW183" i="7"/>
  <c r="BW261" i="7"/>
  <c r="BW512" i="7"/>
  <c r="BW401" i="7"/>
  <c r="BW268" i="7"/>
  <c r="BW661" i="7"/>
  <c r="BW779" i="7"/>
  <c r="BW533" i="7"/>
  <c r="BW128" i="7"/>
  <c r="BW208" i="7"/>
  <c r="BW519" i="7"/>
  <c r="BW60" i="7"/>
  <c r="BW389" i="7"/>
  <c r="BW472" i="7"/>
  <c r="BW852" i="7"/>
  <c r="BW29" i="7"/>
  <c r="BW143" i="7"/>
  <c r="BW813" i="7"/>
  <c r="BW574" i="7"/>
  <c r="BW765" i="7"/>
  <c r="BW846" i="7"/>
  <c r="BW523" i="7"/>
  <c r="BW82" i="7"/>
  <c r="BW807" i="7"/>
  <c r="BW670" i="7"/>
  <c r="BW151" i="7"/>
  <c r="BW504" i="7"/>
  <c r="BW17" i="7"/>
  <c r="BW510" i="7"/>
  <c r="BW623" i="7"/>
  <c r="BW605" i="7"/>
  <c r="BW561" i="7"/>
  <c r="BW808" i="7"/>
  <c r="BW409" i="7"/>
  <c r="BW362" i="7"/>
  <c r="BW297" i="7"/>
  <c r="BW440" i="7"/>
  <c r="BW376" i="7"/>
  <c r="BW759" i="7"/>
  <c r="BW400" i="7"/>
  <c r="BW222" i="7"/>
  <c r="BW462" i="7"/>
  <c r="BW169" i="7"/>
  <c r="BW419" i="7"/>
  <c r="BW727" i="7"/>
  <c r="BW718" i="7"/>
  <c r="BW836" i="7"/>
  <c r="BW800" i="7"/>
  <c r="BW496" i="7"/>
  <c r="BW822" i="7"/>
  <c r="BW174" i="7"/>
  <c r="BW491" i="7"/>
  <c r="BW404" i="7"/>
  <c r="BW141" i="7"/>
  <c r="BW433" i="7"/>
  <c r="BW414" i="7"/>
  <c r="BW309" i="7"/>
  <c r="BW526" i="7"/>
  <c r="BW343" i="7"/>
  <c r="BW611" i="7"/>
  <c r="BW144" i="7"/>
  <c r="BW135" i="7"/>
  <c r="BW58" i="7"/>
  <c r="BW736" i="7"/>
  <c r="BW136" i="7"/>
  <c r="BW622" i="7"/>
  <c r="BW278" i="7"/>
  <c r="BW559" i="7"/>
  <c r="BW844" i="7"/>
  <c r="BW180" i="7"/>
  <c r="BW12" i="7"/>
  <c r="BW310" i="7"/>
  <c r="BW707" i="7"/>
  <c r="BW86" i="7"/>
  <c r="BW226" i="7"/>
  <c r="BW748" i="7"/>
  <c r="BW312" i="7"/>
  <c r="BW263" i="7"/>
  <c r="BW22" i="7"/>
  <c r="BW445" i="7"/>
  <c r="BW838" i="7"/>
  <c r="BW847" i="7"/>
  <c r="BW820" i="7"/>
  <c r="BW710" i="7"/>
  <c r="BW162" i="7"/>
  <c r="BW606" i="7"/>
  <c r="BW402" i="7"/>
  <c r="BW435" i="7"/>
  <c r="BW159" i="7"/>
  <c r="BW863" i="7"/>
  <c r="BW725" i="7"/>
  <c r="BW672" i="7"/>
  <c r="BW244" i="7"/>
  <c r="BW182" i="7"/>
  <c r="BW494" i="7"/>
  <c r="BW742" i="7"/>
  <c r="BW583" i="7"/>
  <c r="BW688" i="7"/>
  <c r="BW764" i="7"/>
  <c r="BW555" i="7"/>
  <c r="BW410" i="7"/>
  <c r="BW407" i="7"/>
  <c r="BW42" i="7"/>
  <c r="BW20" i="7"/>
  <c r="BW729" i="7"/>
  <c r="BW344" i="7"/>
  <c r="BW587" i="7"/>
  <c r="BW196" i="7"/>
  <c r="BW140" i="7"/>
  <c r="BW418" i="7"/>
  <c r="BW341" i="7"/>
  <c r="BW828" i="7"/>
  <c r="BW158" i="7"/>
  <c r="BW615" i="7"/>
  <c r="BW680" i="7"/>
  <c r="BW139" i="7"/>
  <c r="BW61" i="7"/>
  <c r="BW342" i="7"/>
  <c r="BW437" i="7"/>
  <c r="BW338" i="7"/>
  <c r="BW644" i="7"/>
  <c r="BW46" i="7"/>
  <c r="BW665" i="7"/>
  <c r="BW415" i="7"/>
  <c r="BW627" i="7"/>
  <c r="BW635" i="7"/>
  <c r="BW377" i="7"/>
  <c r="BW868" i="7"/>
  <c r="BW548" i="7"/>
  <c r="BW708" i="7"/>
  <c r="BW316" i="7"/>
  <c r="BW508" i="7"/>
  <c r="BW240" i="7"/>
  <c r="BW241" i="7"/>
  <c r="BW384" i="7"/>
  <c r="BW262" i="7"/>
  <c r="BW579" i="7"/>
  <c r="BW648" i="7"/>
  <c r="BW663" i="7"/>
  <c r="BW304" i="7"/>
  <c r="BW503" i="7"/>
  <c r="BW854" i="7"/>
  <c r="BW216" i="7"/>
  <c r="BW834" i="7"/>
  <c r="BW755" i="7"/>
  <c r="BW340" i="7"/>
  <c r="BW14" i="7"/>
  <c r="BW511" i="7"/>
  <c r="BW858" i="7"/>
  <c r="BW422" i="7"/>
  <c r="BW577" i="7"/>
  <c r="BW479" i="7"/>
  <c r="BW388" i="7"/>
  <c r="BW521" i="7"/>
  <c r="BW737" i="7"/>
  <c r="BW547" i="7"/>
  <c r="BW411" i="7"/>
  <c r="BW789" i="7"/>
  <c r="BW576" i="7"/>
  <c r="BW686" i="7"/>
  <c r="BW658" i="7"/>
  <c r="BW280" i="7"/>
  <c r="BW705" i="7"/>
  <c r="BW660" i="7"/>
  <c r="BW15" i="7"/>
  <c r="BW322" i="7"/>
  <c r="BW393" i="7"/>
  <c r="BW536" i="7"/>
  <c r="BW673" i="7"/>
  <c r="BW87" i="7"/>
  <c r="BW186" i="7"/>
  <c r="BW724" i="7"/>
  <c r="BW285" i="7"/>
  <c r="BW851" i="7"/>
  <c r="BW293" i="7"/>
  <c r="BW154" i="7"/>
  <c r="BW165" i="7"/>
  <c r="BW782" i="7"/>
  <c r="BW668" i="7"/>
  <c r="BW125" i="7"/>
  <c r="BW38" i="7"/>
  <c r="BW264" i="7"/>
  <c r="BW328" i="7"/>
  <c r="BW113" i="7"/>
  <c r="BW303" i="7"/>
  <c r="BW318" i="7"/>
  <c r="BW57" i="7"/>
  <c r="BW387" i="7"/>
  <c r="BW425" i="7"/>
  <c r="BW210" i="7"/>
  <c r="BW771" i="7"/>
  <c r="BW64" i="7"/>
  <c r="BW735" i="7"/>
  <c r="CG20" i="7" a="1"/>
  <c r="CG20" i="7" s="1"/>
  <c r="CG18" i="7"/>
  <c r="CG16" i="7"/>
  <c r="CG14" i="7"/>
  <c r="CG12" i="7"/>
  <c r="CG10" i="7"/>
  <c r="CA3" i="7" l="1"/>
  <c r="BY3" i="7"/>
  <c r="BZ3" i="7"/>
  <c r="CD3" i="7"/>
  <c r="CB3" i="7"/>
  <c r="CC3" i="7"/>
  <c r="CD6" i="7"/>
  <c r="CC6" i="7"/>
  <c r="CB6" i="7"/>
  <c r="BY6" i="7"/>
  <c r="CA6" i="7"/>
  <c r="BZ6" i="7"/>
  <c r="CF20" i="7" a="1"/>
  <c r="CF20" i="7" s="1"/>
  <c r="CF14" i="7"/>
  <c r="CF16" i="7"/>
  <c r="CF18" i="7"/>
  <c r="CF10" i="7"/>
  <c r="CF12"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<sst xmlns="http://schemas.openxmlformats.org/spreadsheetml/2006/main" count="55500" uniqueCount="12920">
  <si>
    <t>FMS ID</t>
  </si>
  <si>
    <t>062000001</t>
  </si>
  <si>
    <t>Harris</t>
  </si>
  <si>
    <t>12040104</t>
  </si>
  <si>
    <t>Other</t>
  </si>
  <si>
    <t>No</t>
  </si>
  <si>
    <t>Yes</t>
  </si>
  <si>
    <t>Alignment with RFPG goals and TWDB guidance principles.</t>
  </si>
  <si>
    <t>062000002</t>
  </si>
  <si>
    <t>062000003</t>
  </si>
  <si>
    <t>062000004</t>
  </si>
  <si>
    <t>062000005</t>
  </si>
  <si>
    <t>Periodically distribute messages to residents warning of dangers of walking or playing in floodwaters. Develop a plan with local schools to educate children to avoid walking, playing, or riding bicycles in floodwaters.</t>
  </si>
  <si>
    <t>Education and Outreach</t>
  </si>
  <si>
    <t>062000006</t>
  </si>
  <si>
    <t>City of Bunker Hill Community Outreach</t>
  </si>
  <si>
    <t>Community Outreach (flooded street identification, marking and signage)</t>
  </si>
  <si>
    <t>120401040303</t>
  </si>
  <si>
    <t>062000007</t>
  </si>
  <si>
    <t>City of Bunker Hill Dam/Levee Maintenance and Monitoring  Plan</t>
  </si>
  <si>
    <t>Minimize the risk of dam/levee failure and related damage to existing and proposed structures by monitoring the maintenance and inspection schedules.</t>
  </si>
  <si>
    <t>06000001,06000015</t>
  </si>
  <si>
    <t>062000008</t>
  </si>
  <si>
    <t>Harris County Hazard Mitigation Action AW-3</t>
  </si>
  <si>
    <t>Utilizing the existing public outreach capability to develop, deploy, and disseminate targeted outreach projects promoting risk communication, mitigation and resilience to all the hazards of concern.</t>
  </si>
  <si>
    <t>062000009</t>
  </si>
  <si>
    <t>Harris County Hazard Mitigation Action AW-4</t>
  </si>
  <si>
    <t>Strive to capture time-sensitive data such as high-water marks, extent and location of hazard, and loss information to support future updates to risk assessments as well as other plans and programs that utilize hazard extent data.</t>
  </si>
  <si>
    <t>Flood Measurement and Warning</t>
  </si>
  <si>
    <t>062000010</t>
  </si>
  <si>
    <t>Harris County Hazard Mitigation Action AW-5</t>
  </si>
  <si>
    <t>Continue to develop, improve, and implement an enhanced mass public warning and alert system within the Harris County Joint Information Center to provide warning capability throughout Harris County to support the emergency management of all hazards.</t>
  </si>
  <si>
    <t>062000011</t>
  </si>
  <si>
    <t>Harris County Hazard Mitigation Action AW-6</t>
  </si>
  <si>
    <t xml:space="preserve">Utilize viable and relevant information, data and tools (Hazus models) developed as part of the update to the risk assessment of this plan update to support training and exercise of the County's preparedness, response and recovery programs. </t>
  </si>
  <si>
    <t>062000012</t>
  </si>
  <si>
    <t xml:space="preserve">City of Alvin CRS Application </t>
  </si>
  <si>
    <t xml:space="preserve">Apply and once accepted maintain and/or improve CRS status. Cost is time, data and preparation of a CRS application.  Benefit, if approved homeowner with flood insurance could receive a discount based on the City's CRS score. </t>
  </si>
  <si>
    <t>Brazoria</t>
  </si>
  <si>
    <t>12040204</t>
  </si>
  <si>
    <t>062000013</t>
  </si>
  <si>
    <t>Brazoria County Increased Cost of Compliance Education</t>
  </si>
  <si>
    <t xml:space="preserve">Implement campaign on public education of ICC (Increased Cost of Compliance) coverage. </t>
  </si>
  <si>
    <t>062000014</t>
  </si>
  <si>
    <t xml:space="preserve">City of Galveston NFIP CRS Rating </t>
  </si>
  <si>
    <t>Maintain membership of the NFIP's CRS</t>
  </si>
  <si>
    <t>Galveston</t>
  </si>
  <si>
    <t>062000015</t>
  </si>
  <si>
    <t>Develop Applicable Plans and Studies to Address Hazard Mitigation in Galveston County</t>
  </si>
  <si>
    <t xml:space="preserve">Review planning needs annually to include, but not be limited to, CEMP, debris management, stormwater management, master plan, drainage, drought, GIS mapping, complete study to locate areas prone to expansive soils and land subsidence, etc. </t>
  </si>
  <si>
    <t>Regulatory and Guidance</t>
  </si>
  <si>
    <t>062000016</t>
  </si>
  <si>
    <t>Waller County Elevation Certificate Requirement</t>
  </si>
  <si>
    <t>Waller</t>
  </si>
  <si>
    <t>062000017</t>
  </si>
  <si>
    <t>Develop Program to Optimize Operation of the Flood Gates at Second Cut Outlet in City of Kemah</t>
  </si>
  <si>
    <t>Develop program to integrate with the Harris County Flood Control District for the purpose of optimizing the operation of the flood gates at second cut outlet.</t>
  </si>
  <si>
    <t>062000018</t>
  </si>
  <si>
    <t>Galveston County-wide Education and Outreach</t>
  </si>
  <si>
    <t>Provide educational information related to preparedness, mitigation, response, and recovery to the public.</t>
  </si>
  <si>
    <t>062000019</t>
  </si>
  <si>
    <t>Public Information and Awareness in City of New Waverly</t>
  </si>
  <si>
    <t>Rewrite, improve, and implement new local floodplain regulations, to include a public information campaign on regulatory awareness.</t>
  </si>
  <si>
    <t>Walker</t>
  </si>
  <si>
    <t>12040103</t>
  </si>
  <si>
    <t>120401030101</t>
  </si>
  <si>
    <t>062000020</t>
  </si>
  <si>
    <t>Promotion of Flood Insurance in City of Arcola</t>
  </si>
  <si>
    <t>Promote the purchase of flood insurance. Advertise the availability, cost, and coverage of flood insurance through the NFIP.</t>
  </si>
  <si>
    <t>Fort Bend</t>
  </si>
  <si>
    <t>120402040400</t>
  </si>
  <si>
    <t>062000021</t>
  </si>
  <si>
    <t>City of Todd Mission Public Outreach &amp; Education</t>
  </si>
  <si>
    <t>Grimes</t>
  </si>
  <si>
    <t>12040102</t>
  </si>
  <si>
    <t>062000022</t>
  </si>
  <si>
    <t>Increase Public Awareness of Hazards in City of Arcola</t>
  </si>
  <si>
    <t>Increase public awareness of hazards and hazardous areas. Distribute public awareness information regarding flood hazards.</t>
  </si>
  <si>
    <t>062000023</t>
  </si>
  <si>
    <t>Expand Development of Emergency Notification System in Liberty County</t>
  </si>
  <si>
    <t>Expand development of emergency notification system/work to establish public awareness of emergency notification process.</t>
  </si>
  <si>
    <t>Liberty</t>
  </si>
  <si>
    <t>062000025</t>
  </si>
  <si>
    <t>Galveston County Stormproof/Retrofit Infrastructure</t>
  </si>
  <si>
    <t>Stormproof/retrofit critical facilities and infrastructure for county-owned properties and unincorporated areas.</t>
  </si>
  <si>
    <t>Infrastructure Projects</t>
  </si>
  <si>
    <t>062000026</t>
  </si>
  <si>
    <t>Implement Stormwater Management Plan in City of Bayou Vista</t>
  </si>
  <si>
    <t>Implement stormwater management plan to improve drainage during flood and other weather events.</t>
  </si>
  <si>
    <t>120402040200</t>
  </si>
  <si>
    <t>062000027</t>
  </si>
  <si>
    <t>Walker County Public Information and Awareness</t>
  </si>
  <si>
    <t>Purchase high water (flood) indicators for low water river crossing for county roads.</t>
  </si>
  <si>
    <t>062000028</t>
  </si>
  <si>
    <t>City of Bayou Vista Severe Weather Warning Systems</t>
  </si>
  <si>
    <t>Purchase and install severe weather warning systems</t>
  </si>
  <si>
    <t>062000029</t>
  </si>
  <si>
    <t>Natural Infrastructure Project Barker Reservoir Headwater Acquisition and Restoration</t>
  </si>
  <si>
    <t>Property Acquisition and Structural Elevation</t>
  </si>
  <si>
    <t>062000030</t>
  </si>
  <si>
    <t>Natural Infrastructure Project Mound Creek Conservation</t>
  </si>
  <si>
    <t>062000031</t>
  </si>
  <si>
    <t xml:space="preserve">Brazoria County Structure Elevation </t>
  </si>
  <si>
    <t>062000032</t>
  </si>
  <si>
    <t>Brazoria County Non-structural Mitigation / Land Preservation</t>
  </si>
  <si>
    <t>062000033</t>
  </si>
  <si>
    <t>City of Bellaire Flood Rescue Plan</t>
  </si>
  <si>
    <t>062000034</t>
  </si>
  <si>
    <t xml:space="preserve">Brazoria County Dam and Levee Failure Outreach and Education campaign </t>
  </si>
  <si>
    <t xml:space="preserve">Implement an outreach and education campaign to educate the public on mitigation techniques for dam and levee failure to reduce loss of life and property. </t>
  </si>
  <si>
    <t>062000035</t>
  </si>
  <si>
    <t>Amending Grimes County Floodplain Ordinance</t>
  </si>
  <si>
    <t>Prohibit the building of any new structures located down-stream of high hazard dams by amending the floodplain ordinance.</t>
  </si>
  <si>
    <t>062000036</t>
  </si>
  <si>
    <t xml:space="preserve">Grimes County Property Acquisition </t>
  </si>
  <si>
    <t>Per NFIP participation, the acquisition of structures located in the 100-year flood plain and in dam inundation areas.</t>
  </si>
  <si>
    <t>062000037</t>
  </si>
  <si>
    <t>Property Acquisition Down-Stream of High Hazard Dams in Grimes County</t>
  </si>
  <si>
    <t>062000039</t>
  </si>
  <si>
    <t>City of Santa Fe Stormproof/retrofit New Critical Infrastructure</t>
  </si>
  <si>
    <t>New construction and existing critical facilities and infrastructure should include advanced mitigation techniques.</t>
  </si>
  <si>
    <t>062000040</t>
  </si>
  <si>
    <t>Waller County Drainage System Maintenance</t>
  </si>
  <si>
    <t>Project will clear obstacles, widen and reshape ditches, and upgrade culverts to restore adequate drainage to mitigate flooding in all participating jurisdictions.</t>
  </si>
  <si>
    <t>062000041</t>
  </si>
  <si>
    <t>Waller County Flood Hazard Public Information Campaign</t>
  </si>
  <si>
    <t>062000042</t>
  </si>
  <si>
    <t>Waller County Freeboard Requirement Update</t>
  </si>
  <si>
    <t>The county may increase its freeboard requirement to 24-in from 18-in above the base flood elevation. County may require that all new lots within a platted subdivision be located fully outside of the floodplain. Applicable to all floodplain development.</t>
  </si>
  <si>
    <t>062000043</t>
  </si>
  <si>
    <t>Install Outdoor Early warning System in Walker County</t>
  </si>
  <si>
    <t>Install Outdoor Early warning System to provide citizens early warning of an impending disaster, or an event that would affect the life and/or property of the citizens.</t>
  </si>
  <si>
    <t>062000044</t>
  </si>
  <si>
    <t xml:space="preserve">Walker County Public Hazard Information and Awareness Campaign </t>
  </si>
  <si>
    <t>The county and participating jurisdiction will create and implement an education campaign to educate the public on mitigation techniques for all hazards.</t>
  </si>
  <si>
    <t>062000045</t>
  </si>
  <si>
    <t>Retrofit and Harden the Emergency Operations Center Serving Walker County</t>
  </si>
  <si>
    <t>Retrofit and harden the Emergency Operations Center serving Walker county including city of Huntsville, New Waverly, and Riverside.</t>
  </si>
  <si>
    <t>062000046</t>
  </si>
  <si>
    <t>City of Cleveland Drainage Maintenance</t>
  </si>
  <si>
    <t>062000047</t>
  </si>
  <si>
    <t xml:space="preserve">City of Hilcrest Village Land Acquisition </t>
  </si>
  <si>
    <t xml:space="preserve">Purchase additional land for retention pond construction to mitigate flooding in flood zones. </t>
  </si>
  <si>
    <t>062000048</t>
  </si>
  <si>
    <t>062000049</t>
  </si>
  <si>
    <t>062000050</t>
  </si>
  <si>
    <t>Debris generated by many hazards if the level of intensity allows. Implement plan to remove debris throughout the canal system especially since Bayou Vista is a residential canal community.</t>
  </si>
  <si>
    <t>062000051</t>
  </si>
  <si>
    <t>Maintain Drainage Systems and Culverts in City of Friendswood</t>
  </si>
  <si>
    <t>City of League City Property Acquisition and Relocation</t>
  </si>
  <si>
    <t>Buying and removing property from the floodplain will reduce long-term, repetitive flood loss. The open space created by the removal of insured property will facilitate drainage and allow for the creation of recreation areas.</t>
  </si>
  <si>
    <t>062000053</t>
  </si>
  <si>
    <t>062000054</t>
  </si>
  <si>
    <t>Keep areas of concern free of unnecessary debris as needed. Implement and maintain tree, vegetation trimming/removal near, infrastructure, drainage systems and roadside areas.</t>
  </si>
  <si>
    <t>062000055</t>
  </si>
  <si>
    <t>Acquisition of property in the floodplain.</t>
  </si>
  <si>
    <t>062000056</t>
  </si>
  <si>
    <t xml:space="preserve">City of Galveston Floodplain Manager Increase </t>
  </si>
  <si>
    <t xml:space="preserve">Increase and maintain number of floodplain managers in the building division through training and certification. </t>
  </si>
  <si>
    <t>062000057</t>
  </si>
  <si>
    <t>City of Galveston SRL and RL Property Mitigation</t>
  </si>
  <si>
    <t>062000058</t>
  </si>
  <si>
    <t>City of Bunker Hill Village Non-Structural Mitigation Projects</t>
  </si>
  <si>
    <t>Non-structural mitigation measure - buried powerlines, tree management and generators</t>
  </si>
  <si>
    <t>062000059</t>
  </si>
  <si>
    <t xml:space="preserve">Protecting critical facilities such as hospitals, fire stations, police stations and water treatment plants can help keep them operational during severe storms. </t>
  </si>
  <si>
    <t>062000060</t>
  </si>
  <si>
    <t>Harris County Mitigation Buyout and Relocation Program</t>
  </si>
  <si>
    <t xml:space="preserve">This program is designed to assist owners whose properties were damaged by a natural disaster and or in an area that is designated hopelessly deep in the floodplain and repetitively flooded, to relocate outside the threat of flooding. </t>
  </si>
  <si>
    <t xml:space="preserve">City of Alvin Full Time Floodplain Administrator </t>
  </si>
  <si>
    <t>Hire a full-time floodplain administrator who can support CRS application, NFIP, mapping and community floodplain support.  A dedicated employee could help the community obtain CRS status and full time flood plain support.</t>
  </si>
  <si>
    <t xml:space="preserve">City of Pearland SRL and RL Property Acquisition </t>
  </si>
  <si>
    <t xml:space="preserve">Continue working with County and State officials to identify repetitive loss and severe repetitive loss properties, and pursue mitigation projects to reduce risk. </t>
  </si>
  <si>
    <t>062000063</t>
  </si>
  <si>
    <t>Harris County Wide Voluntary Buyout Program</t>
  </si>
  <si>
    <t>Targeted home buyouts to reduce flood damages in areas several feet deep in the floodplain where structural projects to reduce flooding are not cost-effective and/or beneficial.</t>
  </si>
  <si>
    <t>062000064</t>
  </si>
  <si>
    <t xml:space="preserve">Grant funding through HMGP may be used to mitigate RFC and SRL properties. Mitigation option will be implemented with property owners as funding and opportunities arise. </t>
  </si>
  <si>
    <t>062000065</t>
  </si>
  <si>
    <t>Liberty County Regional Coordination</t>
  </si>
  <si>
    <t>Work with adjoining counties regarding flooding and drainage issues.</t>
  </si>
  <si>
    <t>FMS_ID</t>
  </si>
  <si>
    <t>FMS_NAME</t>
  </si>
  <si>
    <t>FMS_DESCR</t>
  </si>
  <si>
    <t>RFPG_NUM</t>
  </si>
  <si>
    <t>RFPG_NAME</t>
  </si>
  <si>
    <t>COUNTY</t>
  </si>
  <si>
    <t>HUC8</t>
  </si>
  <si>
    <t>HUC10</t>
  </si>
  <si>
    <t>HUC12</t>
  </si>
  <si>
    <t>WS_ID</t>
  </si>
  <si>
    <t>GOAL_ID</t>
  </si>
  <si>
    <t>AREA_SQMI</t>
  </si>
  <si>
    <t>FLD_TP_RIV</t>
  </si>
  <si>
    <t>FLD_TP_CST</t>
  </si>
  <si>
    <t>FLD_TP_LOC</t>
  </si>
  <si>
    <t>FLD_TP_PLY</t>
  </si>
  <si>
    <t>FLD_TP_OTH</t>
  </si>
  <si>
    <t>SPONSOR</t>
  </si>
  <si>
    <t>ENTITY_ID</t>
  </si>
  <si>
    <t>EMER_NEED</t>
  </si>
  <si>
    <t>FMS_TYPE</t>
  </si>
  <si>
    <t>FMS_COST</t>
  </si>
  <si>
    <t>NRNC_COST</t>
  </si>
  <si>
    <t>FUND</t>
  </si>
  <si>
    <t>FUND_SRC</t>
  </si>
  <si>
    <t>FUND_AMNT</t>
  </si>
  <si>
    <t>AREA_100</t>
  </si>
  <si>
    <t>AREA_500</t>
  </si>
  <si>
    <t>AREA_PRONE</t>
  </si>
  <si>
    <t>STRUCT_100</t>
  </si>
  <si>
    <t>STRUCT_500</t>
  </si>
  <si>
    <t>RES_STRUCT100</t>
  </si>
  <si>
    <t>POP_DAY100</t>
  </si>
  <si>
    <t>POP_NIGHT100</t>
  </si>
  <si>
    <t>POP100</t>
  </si>
  <si>
    <t>CRITFAC100</t>
  </si>
  <si>
    <t>LWC</t>
  </si>
  <si>
    <t>ROAD_MILES100</t>
  </si>
  <si>
    <t>ROADCLS</t>
  </si>
  <si>
    <t>FARMACRE100</t>
  </si>
  <si>
    <t>FATAL</t>
  </si>
  <si>
    <t>INJURY</t>
  </si>
  <si>
    <t>DAMAGE</t>
  </si>
  <si>
    <t>REDSTRUCT100</t>
  </si>
  <si>
    <t>REMSTRC100</t>
  </si>
  <si>
    <t>REMSTRC500</t>
  </si>
  <si>
    <t>REMRESSTRC100</t>
  </si>
  <si>
    <t>REMPOP100</t>
  </si>
  <si>
    <t>REMCRITFAC100</t>
  </si>
  <si>
    <t>REMLWC100</t>
  </si>
  <si>
    <t>REMRDLEN100</t>
  </si>
  <si>
    <t>REMROADCLS</t>
  </si>
  <si>
    <t>REMFRMACRE100</t>
  </si>
  <si>
    <t>REMFATAL</t>
  </si>
  <si>
    <t>REMINJR</t>
  </si>
  <si>
    <t>REMDAMAGE</t>
  </si>
  <si>
    <t>COSTSTRUCT</t>
  </si>
  <si>
    <t>OTH_BENEFT</t>
  </si>
  <si>
    <t>NEG_IMPACT</t>
  </si>
  <si>
    <t>NEG_DESC</t>
  </si>
  <si>
    <t>NEG_MITIG</t>
  </si>
  <si>
    <t>WATER_SUP</t>
  </si>
  <si>
    <t>WSUP_DESCR</t>
  </si>
  <si>
    <t>NATURE</t>
  </si>
  <si>
    <t>TRAFFIC</t>
  </si>
  <si>
    <t>ASSOCIATED</t>
  </si>
  <si>
    <t>ASSCFME_ID</t>
  </si>
  <si>
    <t>ASSCFMS_ID</t>
  </si>
  <si>
    <t>ASSCFMP_ID</t>
  </si>
  <si>
    <t>ASSC_DESC</t>
  </si>
  <si>
    <t>COMPARISON</t>
  </si>
  <si>
    <t>COMPFME_ID</t>
  </si>
  <si>
    <t>COMPFMS_ID</t>
  </si>
  <si>
    <t>COMPFMP_ID</t>
  </si>
  <si>
    <t>COMP_DESC</t>
  </si>
  <si>
    <t>RECOMMEND</t>
  </si>
  <si>
    <t>REC_DESC</t>
  </si>
  <si>
    <t>MODEL_ID</t>
  </si>
  <si>
    <t>San Jacinto</t>
  </si>
  <si>
    <t>12040101,12040102,12040103,12040104,12040203,12040204</t>
  </si>
  <si>
    <t>1204010105,1204010104,1204010201,1204010202,1204010301,1204010302,1204010304,1204010406,1204010407,1204010404,1204010401,1204010402,1204010403,1204010405,1204020301,1204020302,1204020401</t>
  </si>
  <si>
    <t>00000310</t>
  </si>
  <si>
    <t>Mitigate Repetitive Flood Claim &amp; Severe Repetititve Loss Properties in Galveston County</t>
  </si>
  <si>
    <t>1204020402</t>
  </si>
  <si>
    <t>06000107,06000107</t>
  </si>
  <si>
    <t>06000001,06000011,06000012,06000015</t>
  </si>
  <si>
    <t>00000006</t>
  </si>
  <si>
    <t>00000006,06002809,06003145,06002810,06003146,06003149,00003345</t>
  </si>
  <si>
    <t>12040103,12040203</t>
  </si>
  <si>
    <t>1204010301,1204010302,1204010304,1204020301</t>
  </si>
  <si>
    <t>120401030201,120401030108,120401030109,120401030205,120401030402,120401030203,120401030204,120401030202,120401030401,120402030104,120402030103,120402030102,120402030101</t>
  </si>
  <si>
    <t>06000056,06000056,06000053,06000054,06000060,06000070,06000058,06000059,06000057,06000069,06000102,06000101,06000100,06000099</t>
  </si>
  <si>
    <t>00000033</t>
  </si>
  <si>
    <t>062000061</t>
  </si>
  <si>
    <t>Brazoria,Galveston,Fort Bend</t>
  </si>
  <si>
    <t>1204020401,1204020402,1204020403,1204020404</t>
  </si>
  <si>
    <t>120402040300,120402040200,120402040400,120402040100</t>
  </si>
  <si>
    <t>06000108,06000108,06000107,06000109,06000106</t>
  </si>
  <si>
    <t>06000001,06000007,06000015</t>
  </si>
  <si>
    <t>00003020</t>
  </si>
  <si>
    <t>062000062</t>
  </si>
  <si>
    <t>Brazoria,Fort Bend,Harris</t>
  </si>
  <si>
    <t>12040104,12040204</t>
  </si>
  <si>
    <t>1204010405,1204020401,1204020402,1204020404</t>
  </si>
  <si>
    <t>120401040501,120402040200,120402040400,120402040100</t>
  </si>
  <si>
    <t>06000085,06000085,06000107,06000109,06000106</t>
  </si>
  <si>
    <t>06002790</t>
  </si>
  <si>
    <t>00000003,06001583,06002790</t>
  </si>
  <si>
    <t>06000001,06000005,06000006,06000010,06000015</t>
  </si>
  <si>
    <t>00000020</t>
  </si>
  <si>
    <t>Public Education</t>
  </si>
  <si>
    <t>06000001,06000010,06000015</t>
  </si>
  <si>
    <t>12040104,12040104</t>
  </si>
  <si>
    <t>1204010404,1204010404</t>
  </si>
  <si>
    <t>120401040402,120401040401,120401040402,120401040401</t>
  </si>
  <si>
    <t>06000084,06000083,06000084,06000083</t>
  </si>
  <si>
    <t>06002854</t>
  </si>
  <si>
    <t>00000020,00000310,06002854</t>
  </si>
  <si>
    <t>Bonds/Other Financing</t>
  </si>
  <si>
    <t>Public Uplift</t>
  </si>
  <si>
    <t>00000020,06002854</t>
  </si>
  <si>
    <t>General Revenue</t>
  </si>
  <si>
    <t>1204010403,1204010403</t>
  </si>
  <si>
    <t>120401040303,120401040303</t>
  </si>
  <si>
    <t>06000080,06000080</t>
  </si>
  <si>
    <t>06002856</t>
  </si>
  <si>
    <t>00000020,00000310,06002856</t>
  </si>
  <si>
    <t>1204020401,1204020402,1204020404</t>
  </si>
  <si>
    <t>120402040200,120402040400,120402040100</t>
  </si>
  <si>
    <t>06000107,06000107,06000109,06000106</t>
  </si>
  <si>
    <t>00000003,00003020</t>
  </si>
  <si>
    <t>06002806</t>
  </si>
  <si>
    <t>1204020404</t>
  </si>
  <si>
    <t>06000109,06000109</t>
  </si>
  <si>
    <t>00002557</t>
  </si>
  <si>
    <t>00000009,00002557</t>
  </si>
  <si>
    <t>1204010202</t>
  </si>
  <si>
    <t>120401020203,120401020206</t>
  </si>
  <si>
    <t>06000035,06000035,06000038</t>
  </si>
  <si>
    <t>06003415</t>
  </si>
  <si>
    <t>1204010301</t>
  </si>
  <si>
    <t>06000046,06000046</t>
  </si>
  <si>
    <t>06003391</t>
  </si>
  <si>
    <t>00000053,06003391</t>
  </si>
  <si>
    <t>1204020401,1204020402</t>
  </si>
  <si>
    <t>120402040200,120402040100</t>
  </si>
  <si>
    <t>06000107,06000107,06000106</t>
  </si>
  <si>
    <t>06000001,06000007,06000010,06000015</t>
  </si>
  <si>
    <t>06003396</t>
  </si>
  <si>
    <t>00000006,00000020,06003396</t>
  </si>
  <si>
    <t>Require and maintain FEMA elevation certificates for all new/improved building in the special flood hazard area (SFHA).</t>
  </si>
  <si>
    <t>12040101,12040103</t>
  </si>
  <si>
    <t>1204010101,1204010102,1204010301,1204010303</t>
  </si>
  <si>
    <t>120401010104,120401010101,120401010102,120401010103,120401010201,120401010202,120401010203,120401010204,120401030101,120401030106,120401030303,120401030305,120401030301,120401030302</t>
  </si>
  <si>
    <t>06000004,06000004,06000001,06000002,06000003,06000005,06000006,06000007,06000008,06000046,06000051,06000063,06000065,06000061,06000062</t>
  </si>
  <si>
    <t>00000024</t>
  </si>
  <si>
    <t>00000474,06002794,00000053,00000024</t>
  </si>
  <si>
    <t>00000053</t>
  </si>
  <si>
    <t>Galveston,Harris</t>
  </si>
  <si>
    <t>06000001,06000003,06000004,06000015</t>
  </si>
  <si>
    <t>00000006,06002809</t>
  </si>
  <si>
    <t>00000003</t>
  </si>
  <si>
    <t>1204020402,1204020403,1204020404,1204020405</t>
  </si>
  <si>
    <t>120402040300,120402040200,120402040400,120402040500</t>
  </si>
  <si>
    <t>06000108,06000108,06000107,06000109,06000110</t>
  </si>
  <si>
    <t>600000106000015</t>
  </si>
  <si>
    <t>06002809</t>
  </si>
  <si>
    <t>Elevate structures in flood zone. Over 70% of these structures are pre-firm and do not meet current FEMA elevation standards. FEMA estimates that over 400 structures may be substantially damaged and must be elevated to meet current standards.</t>
  </si>
  <si>
    <t>00003020,00000003,06002993,06002790</t>
  </si>
  <si>
    <t xml:space="preserve">Up to 35,0000 acres of land could be purchased to help reduce the impacts of natrual hazards by converting the space to floodwater storage, groundwater recharge, erosion, drought mitigation, in the form of public green space. </t>
  </si>
  <si>
    <t>Environmental, Low Impact Development Features</t>
  </si>
  <si>
    <t>1204010404</t>
  </si>
  <si>
    <t>120401040402,120401040401</t>
  </si>
  <si>
    <t>06000084,06000084,06000083</t>
  </si>
  <si>
    <t>Purchase and restore agricultutal &amp; natural lands at the headwater of Barker Reservoir. Manage land for agricultual use, restore native landscape like grasslands and wetlands, and enhance management practices. Provides natural flood mitigation benefits.</t>
  </si>
  <si>
    <t>12040102,12040104</t>
  </si>
  <si>
    <t>1204010201,1204010401</t>
  </si>
  <si>
    <t>120401020103,120401040101</t>
  </si>
  <si>
    <t>06000028,06000028,06000071</t>
  </si>
  <si>
    <t>06000001,06000013,06000014</t>
  </si>
  <si>
    <t>00000020,00000310,00000024</t>
  </si>
  <si>
    <t>Purhase conservation easement from landowner to permanently conserve as agricultural/natural areas. KPC to ensure land remains undeveloped agriculutural land and maintain conservation. Would provide multiple benefits such as flood mitigation, and more.</t>
  </si>
  <si>
    <t>Harris,Waller</t>
  </si>
  <si>
    <t>1204010201</t>
  </si>
  <si>
    <t>120401020103,120401020101</t>
  </si>
  <si>
    <t>06000028,06000028,06000026</t>
  </si>
  <si>
    <t>Environmental</t>
  </si>
  <si>
    <t>12040101,12040102</t>
  </si>
  <si>
    <t>1204010101,1204010103,1204010202</t>
  </si>
  <si>
    <t>120401010101,120401010301,120401010302,120401010303,120401010103,120401010304,120401010305,120401010306,120401020202,120401020203,120401020207,120401020206</t>
  </si>
  <si>
    <t>06000001,06000001,06000012,06000013,06000014,06000003,06000015,06000016,06000017,06000034,06000035,06000039,06000038</t>
  </si>
  <si>
    <t>00000044</t>
  </si>
  <si>
    <t>00000044,06003415</t>
  </si>
  <si>
    <t>1204020402,1204020403</t>
  </si>
  <si>
    <t>120402040300,120402040200</t>
  </si>
  <si>
    <t>06000108,06000108,06000107</t>
  </si>
  <si>
    <t>06003149</t>
  </si>
  <si>
    <t>Acquire homes located down-stream of high hazard dams.</t>
  </si>
  <si>
    <t>Posting of signage at high profile locations and use of social media to communicate threats/concers. Flood gauges for common flooded road crossings. Burn ban signs.</t>
  </si>
  <si>
    <t>1204010201,1204010202,1204010401,1204010402</t>
  </si>
  <si>
    <t>120401020102,120401020103,120401020204,120401020101,120401020201,120401020202,120401020203,120401020205,120401020207,120401020206,120401040102,120401040103,120401040101,120401040203</t>
  </si>
  <si>
    <t>06000027,06000027,06000028,06000036,06000026,06000033,06000034,06000035,06000037,06000039,06000038,06000072,06000073,06000071,06000077</t>
  </si>
  <si>
    <t>00000053,00002584,06003391</t>
  </si>
  <si>
    <t>00000053,00002584</t>
  </si>
  <si>
    <t>Removal of debris, silt and vegetation obstacles in drainageways. Project will clear obstacles, mow and reshape ditches, and upgrade culverts to restore adequate drainage to mitigate flooding.</t>
  </si>
  <si>
    <t>Liberty,Montgomery,San Jacinto</t>
  </si>
  <si>
    <t>1204010301,1204010302,1204010304</t>
  </si>
  <si>
    <t>120401030201,120401030108,120401030109,120401030203,120401030202,120401030401</t>
  </si>
  <si>
    <t>06000056,06000056,06000053,06000054,06000058,06000057,06000069</t>
  </si>
  <si>
    <t>06002530</t>
  </si>
  <si>
    <t>06002530,06000037,00000047</t>
  </si>
  <si>
    <t>06003026</t>
  </si>
  <si>
    <t xml:space="preserve">City of Manvel Propery Acquisition </t>
  </si>
  <si>
    <t>Acquire Repetitive Loss (RL) and Severe Repetitive Loss (SRL) properties in the 100-year flood plain, as identified by FEMA and NFIP.</t>
  </si>
  <si>
    <t>06002985</t>
  </si>
  <si>
    <t>00000310,06002854</t>
  </si>
  <si>
    <t>City of Bayou Vista Management Practices for Securing Windblown Debris in Canals</t>
  </si>
  <si>
    <t>Clean &amp; recut drainage ditches, complete work orders related to conveyance systems. Pursue sub-regional drainage improvements.</t>
  </si>
  <si>
    <t>06002833</t>
  </si>
  <si>
    <t>00000020,00000006,06002833</t>
  </si>
  <si>
    <t>06003147</t>
  </si>
  <si>
    <t>City of Santa Fe - Harden Existing Critical Facilites and Infrastructure</t>
  </si>
  <si>
    <t>Harden existing critical facilites and infrastructure. Specifically City Hall, Maintenance Building, Library, and Community Center.</t>
  </si>
  <si>
    <t xml:space="preserve">City of Santa Fe - Drainge System Maintenance </t>
  </si>
  <si>
    <t>Liberty County Floodplain Acquistion</t>
  </si>
  <si>
    <t xml:space="preserve">Liberty </t>
  </si>
  <si>
    <t>00002531,00000033</t>
  </si>
  <si>
    <t>Elevation, acquisition or other mitigation of identified Repetitive Loss and Severe Repeditive Loss properties and structures damaged by flooding.</t>
  </si>
  <si>
    <t>1204010403</t>
  </si>
  <si>
    <t>Low Impact Development Features</t>
  </si>
  <si>
    <t>Hardening of Critical Facilites in City of Mission Todd</t>
  </si>
  <si>
    <t>No = 0; Yes = 1</t>
  </si>
  <si>
    <t>092000004</t>
  </si>
  <si>
    <t>Colorado City Ordinance Update SFHA regulation</t>
  </si>
  <si>
    <t>Increase freeboard requirements for permitting structures in the SFHA; Adopt no-rise in BFE</t>
  </si>
  <si>
    <t>Upper Colorado</t>
  </si>
  <si>
    <t>Mitchell</t>
  </si>
  <si>
    <t>12080002</t>
  </si>
  <si>
    <t>1208000210</t>
  </si>
  <si>
    <t>120800021001,120800021002,120800021003</t>
  </si>
  <si>
    <t>09000009,09000055,09000202,09000249,09000250</t>
  </si>
  <si>
    <t>09000011</t>
  </si>
  <si>
    <t>00000172</t>
  </si>
  <si>
    <t>00000172,00000278,09003443</t>
  </si>
  <si>
    <t>TBD</t>
  </si>
  <si>
    <t>Important for flood management activities</t>
  </si>
  <si>
    <t>09000004</t>
  </si>
  <si>
    <t>092000006</t>
  </si>
  <si>
    <t>Mitchell County DCM</t>
  </si>
  <si>
    <t>Incorporate higher standards for hazard resistance in local application of the building code.</t>
  </si>
  <si>
    <t>12080002,12080008,12080007</t>
  </si>
  <si>
    <t>1208000206,1208000207,1208000208,1208000209,1208000210,1208000801,1208000802,1208000702,1208000701</t>
  </si>
  <si>
    <t>09000009,09000011,09000023,09000048,09000052,09000053,09000054,09000055,09000062,09000063,09000129,09000130,09000201,09000202,09000207,09000208,09000213,09000214,09000245,09000246,09000247,09000248,09000249,09000250,09000254,09000256,09000257,09000258</t>
  </si>
  <si>
    <t>00000115</t>
  </si>
  <si>
    <t>00000115,00000116,09000147,09000149,00000170,00000172,09000173,00000261,00000272,00000278,00000284,00000295,00000445,09003443,09003448,09003449</t>
  </si>
  <si>
    <t>092000007</t>
  </si>
  <si>
    <t>Scurry County Ordinance Update SFHA</t>
  </si>
  <si>
    <t>Increase freeboard requirements for structures in the SFHA; adopt a ""no-rise"" in BFE in the 100-year floodplain.</t>
  </si>
  <si>
    <t>Scurry</t>
  </si>
  <si>
    <t>12050004,12060102,12080002</t>
  </si>
  <si>
    <t>1205000405,1205000407,1206010201,1206010202,1208000204,1208000206,1208000205,1208000207,1208000210</t>
  </si>
  <si>
    <t>120800020407,120800020507,120800020509,120800020510,120800020601,120800020602,120800020603,120800020604,120800020605,120800020606,120800020607,120800020702,120800020703,120800020704,120800020705,120800020706,120800021002</t>
  </si>
  <si>
    <t>09000009,09000046,09000048,09000051,09000052,09000055,09000201,09000203,09000211,09000215,09000216,09000241,09000242,09000250,09000251,09000252,09000253,09000254,09000255,09000256,09000257,09000258,09000259,09000260,09000262</t>
  </si>
  <si>
    <t>09000015</t>
  </si>
  <si>
    <t>00000115,00000116,00000170,00000172,00000183,00000272,00000275,00000278,09000288,00000295,00000445,09003309</t>
  </si>
  <si>
    <t>092000008</t>
  </si>
  <si>
    <t>Mitchell County Flood Insurance Policy Program</t>
  </si>
  <si>
    <t>Undertake an initiative to increase the number of flood insurance policies.</t>
  </si>
  <si>
    <t>092000009</t>
  </si>
  <si>
    <t>Mitchell County Early Warning System</t>
  </si>
  <si>
    <t>Purchase and install a flood early warning system along flood-prone waterways in unincorporated areas of the county.</t>
  </si>
  <si>
    <t>09000006</t>
  </si>
  <si>
    <t>092000010</t>
  </si>
  <si>
    <t>Scurry County Stormwater Channel Maintenance Program</t>
  </si>
  <si>
    <t>Retain and maintain natural vegetation in stormwater channels</t>
  </si>
  <si>
    <t>092000011</t>
  </si>
  <si>
    <t>Town of Loraine NFIP Application</t>
  </si>
  <si>
    <t>Join the NFIP.</t>
  </si>
  <si>
    <t>1208000209</t>
  </si>
  <si>
    <t>120800020902</t>
  </si>
  <si>
    <t>09000009,09000054,09000247</t>
  </si>
  <si>
    <t>00000172,00000278,09003448</t>
  </si>
  <si>
    <t>092000012</t>
  </si>
  <si>
    <t>City of Blackwell NFIP Application</t>
  </si>
  <si>
    <t>Nolan,Coke</t>
  </si>
  <si>
    <t>12080008</t>
  </si>
  <si>
    <t>1208000803</t>
  </si>
  <si>
    <t>120800080304,120800080306</t>
  </si>
  <si>
    <t>09000011,09000064,09000315,09000333</t>
  </si>
  <si>
    <t>09000147</t>
  </si>
  <si>
    <t>09000147,00000170,00000261,00000278,00000284,09000499,09000852,09002581</t>
  </si>
  <si>
    <t>092000013</t>
  </si>
  <si>
    <t>City of Westbrook NFIP Application</t>
  </si>
  <si>
    <t>Join the NFIP</t>
  </si>
  <si>
    <t>1208000208</t>
  </si>
  <si>
    <t>120800020807</t>
  </si>
  <si>
    <t>09000009,09000053,09000246</t>
  </si>
  <si>
    <t>00000172,00000278,09003449</t>
  </si>
  <si>
    <t>092000014</t>
  </si>
  <si>
    <t>Borden County NFIP Application</t>
  </si>
  <si>
    <t>Application to join NFIP.</t>
  </si>
  <si>
    <t>Borden</t>
  </si>
  <si>
    <t xml:space="preserve">12080002,12080006
</t>
  </si>
  <si>
    <t xml:space="preserve">1208000204,1208000202,1208000206,1208000201,1208000203,1208000205,1208000207,1208000608
</t>
  </si>
  <si>
    <t>09000009,09000024,09000046,09000047,09000048,09000049,09000050,09000051,09000052,09000138,09000203,09000206,09000210,09000212,09000216,09000219,09000221,09000222,09000223,09000224,09000225,09000226,09000227,09000230,09000231,09000232,09000236,09000237</t>
  </si>
  <si>
    <t>00000115,00000116,00000117,00000172,09000173,09000174,00000183,00000184,00000272,00000275,00000278,00000295,00000445</t>
  </si>
  <si>
    <t>092000015</t>
  </si>
  <si>
    <t>Dawson County NFIP Application</t>
  </si>
  <si>
    <t>Application to join NFIP</t>
  </si>
  <si>
    <t>Dawson</t>
  </si>
  <si>
    <t xml:space="preserve">12080002,12080004,12080006
</t>
  </si>
  <si>
    <t xml:space="preserve">1208000204,1208000202,1208000201,1208000203,1208000205,1208000406,1208000407,1208000605,1208000606,1208000607,1208000608
</t>
  </si>
  <si>
    <t>09000009,09000021,09000024,09000046,09000047,09000049,09000050,09000051,09000117,09000118,09000132,09000136,09000137,09000138,09000209,09000212,09000218,09000219,09000220,09000221,09000222,09000227,09000228,09000229,09000230,09000231,09000233,09000234</t>
  </si>
  <si>
    <t>00000115,00000117,09000118,09000173,09000174,00000184,00000205,00000272,00000275,00000295,00000308,09001828,09002888,09003125,09003482,09003575</t>
  </si>
  <si>
    <t>092000016</t>
  </si>
  <si>
    <t>Scurry County NFIP Application</t>
  </si>
  <si>
    <t>092000017</t>
  </si>
  <si>
    <t>Borden County DCM</t>
  </si>
  <si>
    <t>Outreach Program: Discuss Stormwater Criteria Design Manual</t>
  </si>
  <si>
    <t>12080002,12080006</t>
  </si>
  <si>
    <t>092000018</t>
  </si>
  <si>
    <t>Andrews County NFIP Application</t>
  </si>
  <si>
    <t>Application to join the NFIP.</t>
  </si>
  <si>
    <t>Andrews</t>
  </si>
  <si>
    <t>12080005,12080003,12080004</t>
  </si>
  <si>
    <t xml:space="preserve">1208000501,1208000502,1208000307,1208000309,1208000308,1208000408,1208000407,1208000409,1208000410
</t>
  </si>
  <si>
    <t>09000010,09000021,09000056,09000057,09000110,09000111,09000115,09000118,09000119,09000120,09000268,09000269,09000280,09000286,09000288,09000289,09000294,09000306,09000307,09000308,09000578,09000582,09000584,09000585,09000586,09000587,09000595,09000596</t>
  </si>
  <si>
    <t>00000102</t>
  </si>
  <si>
    <t>00000102,09000118,00000151,00000152,00000154,09000174,00000272,09001828,09002972</t>
  </si>
  <si>
    <t>092000019</t>
  </si>
  <si>
    <t>City of Ackerly NFIP Application</t>
  </si>
  <si>
    <t>Martin,Dawson</t>
  </si>
  <si>
    <t>12080006</t>
  </si>
  <si>
    <t>1208000607</t>
  </si>
  <si>
    <t>120800060703</t>
  </si>
  <si>
    <t>09000024,09000137,09000714</t>
  </si>
  <si>
    <t>00000117</t>
  </si>
  <si>
    <t>00000117,09000174,00000272,09003575</t>
  </si>
  <si>
    <t>092000020</t>
  </si>
  <si>
    <t>City of Andrews DCM</t>
  </si>
  <si>
    <t xml:space="preserve">12080005,12080004
</t>
  </si>
  <si>
    <t xml:space="preserve">1208000501,1208000409
</t>
  </si>
  <si>
    <t xml:space="preserve">120800040901,120800040902,120800050102 
</t>
  </si>
  <si>
    <t>09000010,09000021,09000056,09000119,09000268,09000649,09000652</t>
  </si>
  <si>
    <t>00000102,00000272,09002972</t>
  </si>
  <si>
    <t>092000021</t>
  </si>
  <si>
    <t>City of Brownfield DCM</t>
  </si>
  <si>
    <t>Terry</t>
  </si>
  <si>
    <t>12080001</t>
  </si>
  <si>
    <t>1208000104,1208000105</t>
  </si>
  <si>
    <t>09000019,09000099,09000102,09000561,09000562,09000563</t>
  </si>
  <si>
    <t>00000205</t>
  </si>
  <si>
    <t>00000205,00000275,00000308,09003111</t>
  </si>
  <si>
    <t>092000022</t>
  </si>
  <si>
    <t>City of Lamesa DCM</t>
  </si>
  <si>
    <t>1208000203,1208000605</t>
  </si>
  <si>
    <t xml:space="preserve">120800020303,120800060503,120800060504,120800060507
</t>
  </si>
  <si>
    <t>09000009,09000024,09000050,09000132,09000235,09000695,09000713,09000726</t>
  </si>
  <si>
    <t>00000117,00000272,00000308,09003125</t>
  </si>
  <si>
    <t>092000023</t>
  </si>
  <si>
    <t>City of Colorado City DCM</t>
  </si>
  <si>
    <t xml:space="preserve">Outreach Program: Discuss Stormwater Criteria Design Manual
</t>
  </si>
  <si>
    <t>092000024</t>
  </si>
  <si>
    <t>City of Seminole DCM</t>
  </si>
  <si>
    <t>Gaines</t>
  </si>
  <si>
    <t>12080003</t>
  </si>
  <si>
    <t>1208000305,1208000308</t>
  </si>
  <si>
    <t>120800030503,120800030801</t>
  </si>
  <si>
    <t>09000107,09000111,09000588,09000592</t>
  </si>
  <si>
    <t>09000118</t>
  </si>
  <si>
    <t>09000118,00000272,09001828,09003231</t>
  </si>
  <si>
    <t>092000025</t>
  </si>
  <si>
    <t>City of Snyder DCM</t>
  </si>
  <si>
    <t>1208000206</t>
  </si>
  <si>
    <t>09000009,09000048,09000251,09000252</t>
  </si>
  <si>
    <t>00000116</t>
  </si>
  <si>
    <t>00000116,00000278,09000288,09003309</t>
  </si>
  <si>
    <t>092000026</t>
  </si>
  <si>
    <t>City of O'Donnell NFIP Application</t>
  </si>
  <si>
    <t>Lynn,Dawson</t>
  </si>
  <si>
    <t>1208000201</t>
  </si>
  <si>
    <t>120800020106</t>
  </si>
  <si>
    <t>09000009,09000049,09000228</t>
  </si>
  <si>
    <t>00000117,00000184,00000272,00000275,00000295,00000308,09003482</t>
  </si>
  <si>
    <t>092000027</t>
  </si>
  <si>
    <t>City of Wellman NFIP Application</t>
  </si>
  <si>
    <t>1208000604</t>
  </si>
  <si>
    <t>09000024,09000135,09000693</t>
  </si>
  <si>
    <t>00000205,00000275,09003112</t>
  </si>
  <si>
    <t>092000028</t>
  </si>
  <si>
    <t>Dawson County DCM</t>
  </si>
  <si>
    <t>12080002,12080004,12080006</t>
  </si>
  <si>
    <t>092000029</t>
  </si>
  <si>
    <t>Gaines County NFIP Application</t>
  </si>
  <si>
    <t xml:space="preserve">12080002,12080003,12080004,12080006
</t>
  </si>
  <si>
    <t xml:space="preserve">1208000203,1208000307,1208000303,1208000306,1208000304,1208000305,1208000301,1208000302,1208000309,1208000308,1208000405,1208000404,1208000406,1208000407,1208000605,1208000606
</t>
  </si>
  <si>
    <t>09000009,09000021,09000024,09000050,09000106,09000107,09000110,09000111,09000114,09000116,09000117,09000118,09000132,09000136,09000233,09000568,09000570,09000571,09000575,09000576,09000578,09000579,09000582,09000583,09000584,09000585,09000586,09000587</t>
  </si>
  <si>
    <t>00000102,00000117,09000118,09000174,00000205,09000206,00000272,00000275,09001828,09002681,09002684,09003231</t>
  </si>
  <si>
    <t>092000030</t>
  </si>
  <si>
    <t>Hockley County DCM</t>
  </si>
  <si>
    <t>Hockley</t>
  </si>
  <si>
    <t>12080001,12080002</t>
  </si>
  <si>
    <t>1208000103,1208000104,1208000207</t>
  </si>
  <si>
    <t>120800010304,120800010305,120800010307,120800010406,120800010701</t>
  </si>
  <si>
    <t>09000019,09000099,09000101,09000541,09000551,09000554,09000559</t>
  </si>
  <si>
    <t>00000184</t>
  </si>
  <si>
    <t>00000184,00000186,00000187,00000205,09000206,00000275,00000295,00000308,09003169</t>
  </si>
  <si>
    <t>092000031</t>
  </si>
  <si>
    <t>Lynn County DCM</t>
  </si>
  <si>
    <t>Lynn</t>
  </si>
  <si>
    <t>12080002,12080001</t>
  </si>
  <si>
    <t>1208000201,1208000203,1208000205,1208000103,1208000105</t>
  </si>
  <si>
    <t>09000009,09000019,09000049,09000050,09000051,09000101,09000102,09000204,09000205,09000210,09000217,09000218,09000220,09000227,09000228,09000234,09000544,09000557,09000563,09000564</t>
  </si>
  <si>
    <t>00000115,00000117,00000183,00000184,00000186,00000205,00000272,00000275,00000295,00000308,00000445,09003482</t>
  </si>
  <si>
    <t>092000032</t>
  </si>
  <si>
    <t>Martin County NFIP Application</t>
  </si>
  <si>
    <t>Martin</t>
  </si>
  <si>
    <t>12080002,12080005,12080004,12080006</t>
  </si>
  <si>
    <t>1208000204,1208000501,1208000502,1208000506,1208000408,1208000407,1208000409,1208000410,1208000411,1208000605,1208000606,1208000607,1208000608</t>
  </si>
  <si>
    <t>09000009,09000010,09000021,09000024,09000046,09000056,09000057,09000058,09000115,09000118,09000119,09000120,09000121,09000132,09000136,09000137,09000138,09000222,09000280,09000281,09000292,09000295,09000608,09000611,09000621,09000624,09000625,09000626</t>
  </si>
  <si>
    <t>00000102,00000115,00000117,09000118,09000150,00000151,09000173,09000174,00000272,09000405,09002738,09002838,09003575</t>
  </si>
  <si>
    <t>092000033</t>
  </si>
  <si>
    <t>Nolan County Ordinance Update SFHA</t>
  </si>
  <si>
    <t>Adopt higher standards for new construction, increase freeboard requirements for structures in the SFHA; adopt a “no-rise” in BFE in the 100-year floodplain.  Update local flood ordinance to prohibit granting of variance in SFHA; Include “cumulative</t>
  </si>
  <si>
    <t>Nolan</t>
  </si>
  <si>
    <t>12080002,12080008,12090101</t>
  </si>
  <si>
    <t>1208000209,1208000801,1208000802,1208000803,1209010102</t>
  </si>
  <si>
    <t>120800020901,120800020902,120800020903,120800080305,120800080306,120800080307,120800080102,120800080103,120800080104,120800080109,120800080201,120800080202,120800080204,120800080301,120800080302,120800080303,120800080304,120901010201,120901010202</t>
  </si>
  <si>
    <t>09000009,09000011,09000012,09000054,09000062,09000063,09000064,09000067,09000244,09000247,09000248,09000314,09000315,09000316,09000324,09000327,09000328,09000329,09000332,09000333,09000334,09000335,09000338,09000339,09000340,09000345,09000353</t>
  </si>
  <si>
    <t>00000116,00000145,09000147,00000168,00000170,00000172,00000261,00000278,00000284,00000295,09000499,09000852,09002581</t>
  </si>
  <si>
    <t>092000034</t>
  </si>
  <si>
    <t>Terry County DCM</t>
  </si>
  <si>
    <t>12050004,12080002,12080001,12080004,12080006</t>
  </si>
  <si>
    <t>1205000401,1208000201,1208000203,1208000104,1208000103,1208000105,1208000404,1208000406,1208000407,1208000605,1208000603,1208000604</t>
  </si>
  <si>
    <t>09000009,09000019,09000021,09000024,09000049,09000050,09000099,09000101,09000102,09000116,09000117,09000118,09000132,09000134,09000135,09000204,09000205,09000218,09000233,09000234,09000541,09000543,09000544,09000552,09000553,09000554,09000557,09000558</t>
  </si>
  <si>
    <t>00000117,09000118,00000184,00000186,00000187,00000205,09000206,00000272,00000275,00000295,00000308,09001828,09003111,09003112,09003317</t>
  </si>
  <si>
    <t>092000035</t>
  </si>
  <si>
    <t>Yoakum County NFIP Application</t>
  </si>
  <si>
    <t>Yoakum</t>
  </si>
  <si>
    <t>12080001,12080003,12080004,12080006</t>
  </si>
  <si>
    <t>1208000104,1208000305,1208000301,1208000403,1208000402,1208000405,1208000404,1208000407,1208000602,1208000601,1208000603,1208000604</t>
  </si>
  <si>
    <t>09000019,09000021,09000024,09000099,09000107,09000114,09000116,09000118,09000134,09000135,09000548,09000559,09000560,09000565,09000566,09000567,09000571,09000590,09000602,09000603,09000606,09000612,09000613,09000617,09000619,09000627,09000630,09000636</t>
  </si>
  <si>
    <t>09000118,00000186,00000187,00000205,09000206,00000272,00000275,09001828,09002479,09002681</t>
  </si>
  <si>
    <t>092000036</t>
  </si>
  <si>
    <t>Taylor County Detention Program</t>
  </si>
  <si>
    <t xml:space="preserve">Adopt on-site retention basin program in conjunction with development to address excessive stormwater / firefighting water source. </t>
  </si>
  <si>
    <t>Taylor</t>
  </si>
  <si>
    <t>12090108,12060102,12090101</t>
  </si>
  <si>
    <t>1209010801,1206010207,1209010102,1209010103,1209010104</t>
  </si>
  <si>
    <t>120901010201,120901010202,120901010203,120901010301,120901010304,120901010305,120901010306,120901010401</t>
  </si>
  <si>
    <t>09000012,09000067,09000068,09000069,09000345,09000353,09000359,09000361,09000366,09000368,09000369,09000371</t>
  </si>
  <si>
    <t>00000144</t>
  </si>
  <si>
    <t>00000144,00000145,00000168,00000170,00000278,00000284,00000295,00000307</t>
  </si>
  <si>
    <t>092000037</t>
  </si>
  <si>
    <t>Taylor County New Ordinance - Wetlands and Watershed Ordinance</t>
  </si>
  <si>
    <t xml:space="preserve">Adopt wetlands development regulations; Implement a Comprehensive Watershed Ordinance for new development. 
</t>
  </si>
  <si>
    <t>00000050</t>
  </si>
  <si>
    <t>092000040</t>
  </si>
  <si>
    <t>Tom Green County Flood Insurance Awareness</t>
  </si>
  <si>
    <t>Develop flood insurance and awareness program; disseminate materials with new permits and place in the library at City Hall</t>
  </si>
  <si>
    <t>Tom Green</t>
  </si>
  <si>
    <t>12090101,12090102,12090103,12090104,12090105</t>
  </si>
  <si>
    <t>1209010101,1209010202,1209010203,1209010204,1209010205,1209010311,1209010308,1209010309,1209010310,1209010405,1209010404,1209010501,1209010502,1209010503,1209010504</t>
  </si>
  <si>
    <t>09000012,09000013,09000014,09000015,09000016,09000066,09000072,09000073,09000074,09000075,09000078,09000079,09000080,09000081,09000088,09000091,09000092,09000093,09000094,09000095,09000344,09000356,09000372,09000374,09000378,09000382,09000383,09000384</t>
  </si>
  <si>
    <t>00000050,00000051,09000068,00000124,09000131,00000145,00000261,00000278,00000284,09000496,09000497,09000539,09000775,09000969,09002069,09003257</t>
  </si>
  <si>
    <t>092000041</t>
  </si>
  <si>
    <t xml:space="preserve">Cochran County Drainage Mainace </t>
  </si>
  <si>
    <t>Create a maintenance program for the ditches and culverts throughout Cochran</t>
  </si>
  <si>
    <t>Cochran</t>
  </si>
  <si>
    <t xml:space="preserve">1208000102,1208000104,1208000101,1208000103
</t>
  </si>
  <si>
    <t xml:space="preserve">120800010106,120800010107,120800010108,120800010109,120800010110,120800010207,120800010208,120800010209,120800010210,120800010211,120800010301,120800010302,120800010303,120800010304,120800010401,120800010402,120800010406,120800010407
</t>
  </si>
  <si>
    <t>09000019,09000099,09000101,09000536,09000537,09000538,09000539,09000540,09000542,09000545,09000547,09000548,09000551,09000555,09000556,09000559,09000560,09000565</t>
  </si>
  <si>
    <t>09000002</t>
  </si>
  <si>
    <t>00000186</t>
  </si>
  <si>
    <t>00000186,00000187,00000205,09000206,00000275,00000295</t>
  </si>
  <si>
    <t>092000042</t>
  </si>
  <si>
    <t xml:space="preserve">Cochran County Inundation Awareness </t>
  </si>
  <si>
    <t>Develop programs for school students, civic groups, and the general public about the dangers of flash flooding in the county; to include printed materials placed throughout the county</t>
  </si>
  <si>
    <t>092000043</t>
  </si>
  <si>
    <t>Cochran County DCM</t>
  </si>
  <si>
    <t xml:space="preserve">Develop, Pass, and Enforce a Commissioners Court Order prohibiting any dumping in ditches and culverts throughout Cochran County to ensure that flood waters don’t accumulate and flood roadways or buildings. </t>
  </si>
  <si>
    <t>1205000401,1205000109,1208000102,1208000104,1208000101,1208000103</t>
  </si>
  <si>
    <t>092000044</t>
  </si>
  <si>
    <t xml:space="preserve">Concho County CTP Program </t>
  </si>
  <si>
    <t>Develop Cooperating Technical Partners. The CTP Program is an innovative approach to creating partnerships between FEMA and participating NFIP communities</t>
  </si>
  <si>
    <t>Concho</t>
  </si>
  <si>
    <t xml:space="preserve">12090101,12090105
</t>
  </si>
  <si>
    <t xml:space="preserve">1209010105,1209010501,1209010502,1209010503,1209010504
</t>
  </si>
  <si>
    <t>09000012,09000016,09000070,09000092,09000093,09000094,09000095,09000347,09000348,09000500,09000503,09000507,09000509,09000516,09000517,09000518,09000519,09000520,09000521,09000522,09000523,09000524,09000525,09000526,09000527</t>
  </si>
  <si>
    <t>00000050,00000051,00000124,09000131,00000144,00000145,00000261,00000278,00000284,00000301,00000307,09002653</t>
  </si>
  <si>
    <t>Ector</t>
  </si>
  <si>
    <t>12080005</t>
  </si>
  <si>
    <t>1208000503</t>
  </si>
  <si>
    <t>120800050301</t>
  </si>
  <si>
    <t>09000010,09000059,09000296</t>
  </si>
  <si>
    <t>00000152</t>
  </si>
  <si>
    <t>00000152,00000272,09003576</t>
  </si>
  <si>
    <t>092000046</t>
  </si>
  <si>
    <t>City of Colorado City</t>
  </si>
  <si>
    <t xml:space="preserve">Establish, adopt, and implement a "green infrastructure" program for parks, nature preserves, greenbelts, etc. </t>
  </si>
  <si>
    <t>092000047</t>
  </si>
  <si>
    <t>Provide how-to information to residents for install backflow valves to prevent reverse flow floods.</t>
  </si>
  <si>
    <t xml:space="preserve">Adopt and implement a program for clearing debris from bridges, drains and culverts. </t>
  </si>
  <si>
    <t>092000049</t>
  </si>
  <si>
    <t>Nolan County</t>
  </si>
  <si>
    <t xml:space="preserve">Implement a program for clearing debris from drains, culverts and watershed streams for the purposes of flood reduction and to enhance water run-off throughout the County. </t>
  </si>
  <si>
    <t>00000116,09000147,00000170,00000172,00000261,00000278,00000284,00000295,00000445,09000499,09000852,09002581</t>
  </si>
  <si>
    <t>092000050</t>
  </si>
  <si>
    <t xml:space="preserve">City of Blackwell </t>
  </si>
  <si>
    <t xml:space="preserve">Establish, adopt and implement a “green infrastructure” program for parks, nature preserves, greenbelts, etc. </t>
  </si>
  <si>
    <t>Runnels</t>
  </si>
  <si>
    <t>09000011,09000012,09000016,09000064,09000065,09000066,09000067,09000068,09000069,09000070,09000093,09000095,09000309,09000316,09000318,09000343,09000344,09000346,09000347,09000348,09000349,09000350,09000351,09000352,09000353,09000354,09000355,09000356</t>
  </si>
  <si>
    <t>00000124</t>
  </si>
  <si>
    <t>00000124,09000131,00000145,09000147,00000168,00000170,00000261,00000278,00000284,00000307,09000539,09002162,09002451,09003374,09003442</t>
  </si>
  <si>
    <t>092000055</t>
  </si>
  <si>
    <t>Taylor County</t>
  </si>
  <si>
    <t>Establish, adopt, and implement a "green infrastructure" program for parks, nature preserve, greenbelts, etc.</t>
  </si>
  <si>
    <t>00000145</t>
  </si>
  <si>
    <t>00000145,00000168,00000170,00000278,00000284,00000295,00000307</t>
  </si>
  <si>
    <t>092000056</t>
  </si>
  <si>
    <t>Create and implement a flood awareness program by providing FEMA/NFIP materials to mortgage lenders, real agents and insurance agents and place in local libraries.</t>
  </si>
  <si>
    <t>092000057</t>
  </si>
  <si>
    <t>Update FIS and FIRM maps once BLE is available</t>
  </si>
  <si>
    <t>092000061</t>
  </si>
  <si>
    <t>City of Odessa Rain Guage Program</t>
  </si>
  <si>
    <t>Install Rain gauges at eight (8) locations around city to collect data and improve warning system.</t>
  </si>
  <si>
    <t>Midland,Ector</t>
  </si>
  <si>
    <t>1208000503,1208000504</t>
  </si>
  <si>
    <t>120800050304,120800050305,120800050306,120800050402,120800050403,120800050404</t>
  </si>
  <si>
    <t>09000010,09000059,09000060,09000270,09000287,09000298,09000300,09000304,09000305</t>
  </si>
  <si>
    <t>00000151</t>
  </si>
  <si>
    <t>00000151,00000152,00000272,09000288,09001698,09002836,09002838</t>
  </si>
  <si>
    <t>092000062</t>
  </si>
  <si>
    <t>Cochran County Road Signs Program</t>
  </si>
  <si>
    <t>Purchase trailer mounted dynamic road signs to warn motorists of a potential hazard or 
dangers on or near the roadway, which could be rapidly positioned by County personnel 
before, during or after an event.</t>
  </si>
  <si>
    <t>00000187</t>
  </si>
  <si>
    <t>00000187,09000206,00000275,00000295</t>
  </si>
  <si>
    <t>092000065</t>
  </si>
  <si>
    <t xml:space="preserve">City of Robert Lee Flood Insurance Awareness Program </t>
  </si>
  <si>
    <t xml:space="preserve">Establish public awareness program regarding availability of flood insurance by disseminating brochures in public places, such as City Hall. </t>
  </si>
  <si>
    <t>Coke</t>
  </si>
  <si>
    <t>1208000804</t>
  </si>
  <si>
    <t xml:space="preserve">120800080401,120800080402
</t>
  </si>
  <si>
    <t>09000011,09000065,09000317,09000319</t>
  </si>
  <si>
    <t>09000147,00000261,00000284,09002685</t>
  </si>
  <si>
    <t>092000066</t>
  </si>
  <si>
    <t>Concho County Flood Awareness Program</t>
  </si>
  <si>
    <t xml:space="preserve">Establish education program regarding benefits of flood insurance as it pertains to elevating structures in the SFHA and in accordance with the local Floodplain Ordinance </t>
  </si>
  <si>
    <t>12090101,12090105</t>
  </si>
  <si>
    <t>1209010105,1209010501,1209010502,1209010503,1209010504</t>
  </si>
  <si>
    <t>00000124,09000131,00000144,00000145,00000261,00000278,00000284,00000301,00000307,09002653</t>
  </si>
  <si>
    <t>092000067</t>
  </si>
  <si>
    <t>Crockett County Flood Warning Systen</t>
  </si>
  <si>
    <t xml:space="preserve">Enhance early warning system. Assist water district with rainfall observer. Educate community on dangers of low water crossings. </t>
  </si>
  <si>
    <t>Crockett</t>
  </si>
  <si>
    <t xml:space="preserve">12090102,12090103
</t>
  </si>
  <si>
    <t xml:space="preserve">1209010201,1209010309
</t>
  </si>
  <si>
    <t xml:space="preserve">120901020101,120901020102,120901020103,120901020104,120901020105,120901030901
</t>
  </si>
  <si>
    <t>09000013,09000014,09000071,09000080,09000376,09000377,09000385,09000387,09000404,09000431</t>
  </si>
  <si>
    <t>00000051</t>
  </si>
  <si>
    <t>00000051,00000052,09000068,00000126,00000127,00000261,00000272,00000284,00000684</t>
  </si>
  <si>
    <t>092000068</t>
  </si>
  <si>
    <t>Crockett County Flood Insurance Awareness Program</t>
  </si>
  <si>
    <t>092000069</t>
  </si>
  <si>
    <t>City of Goldsmith TADD Program</t>
  </si>
  <si>
    <t xml:space="preserve">Promote Turn Around Don’t Drown (TADD) </t>
  </si>
  <si>
    <t>092000072</t>
  </si>
  <si>
    <t>Irion County Flood Warning System</t>
  </si>
  <si>
    <t>Draft flood warning system</t>
  </si>
  <si>
    <t>Irion</t>
  </si>
  <si>
    <t>12090102,12090103</t>
  </si>
  <si>
    <t>1209010201,1209010202,1209010203,1209010204,1209010307,1209010311,1209010308,1209010309,1209010310</t>
  </si>
  <si>
    <t>09000013,09000014,09000071,09000072,09000073,09000074,09000077,09000078,09000079,09000080,09000081,09000373,09000374,09000376,09000377,09000386,09000387,09000388,09000389,09000392,09000393,09000397,09000398,09000403,09000404,09000407,09000413,09000414</t>
  </si>
  <si>
    <t>09000008,090000011</t>
  </si>
  <si>
    <t>09000068</t>
  </si>
  <si>
    <t>09000068,00000126,09000131,00000261,00000284,00001240,09002400</t>
  </si>
  <si>
    <t>092000073</t>
  </si>
  <si>
    <t>Irion County Flood Insurance Education Program</t>
  </si>
  <si>
    <t>092000074</t>
  </si>
  <si>
    <t>Irion County NFIP Compliance Evaluation</t>
  </si>
  <si>
    <t>Organize planning committee to review language of flood ordinance to ensure minimum NFIP compliance standards and develop higher regulatory standards for permitting in flood prone areas of the County.</t>
  </si>
  <si>
    <t>092000075</t>
  </si>
  <si>
    <t>Irion County CTP Program</t>
  </si>
  <si>
    <t>Draft CTP program</t>
  </si>
  <si>
    <t>092000076</t>
  </si>
  <si>
    <t>Lynn County Portable Pumps Program</t>
  </si>
  <si>
    <t>This action proposes purchasing portable pumps that can be deployed as needed to mitigate the potential impacts of future flood events.</t>
  </si>
  <si>
    <t>00000184,00000186,00000205,00000272,00000275,00000295,00000308,00000445,09003482</t>
  </si>
  <si>
    <t>092000077</t>
  </si>
  <si>
    <t>City of Westbrook TADD Program</t>
  </si>
  <si>
    <t xml:space="preserve">Educate community on the dangers of low water crossings through the installation of warning signs and promotion of “Turn Around, Don’t Drown” (TADD) Program. </t>
  </si>
  <si>
    <t>092000078</t>
  </si>
  <si>
    <t>Town of Loraine Flood Awareness Program</t>
  </si>
  <si>
    <t xml:space="preserve">Establish a public awareness program regarding availability of flood insurance by disseminating brochures in public places, such as City Hall. </t>
  </si>
  <si>
    <t>092000079</t>
  </si>
  <si>
    <t>Nolan County Flood Awareness Program</t>
  </si>
  <si>
    <t>Implement education and awareness program utilizing media, social media, bulletins, flyers, etc. to educate citizens of hazards that can threaten the area and mitigation measures to reduce injuries, fatalities, and property damages.</t>
  </si>
  <si>
    <t>092000080</t>
  </si>
  <si>
    <t>City of Blackwell Flood Insurance Awareness Program</t>
  </si>
  <si>
    <t xml:space="preserve">Implement a public awareness program regarding availability of flood insurance. </t>
  </si>
  <si>
    <t>092000081</t>
  </si>
  <si>
    <t>City of Big Lake Flood Warning System</t>
  </si>
  <si>
    <t xml:space="preserve">Implement an education program to inform and notify residents of evacuation routes and dangers of driving into flooded roads and low-water crossings  </t>
  </si>
  <si>
    <t>Reagan</t>
  </si>
  <si>
    <t>12090103</t>
  </si>
  <si>
    <t>1209010306,1209010307</t>
  </si>
  <si>
    <t>120901030602,120901030701</t>
  </si>
  <si>
    <t>09000014,09000076,09000077,09000432,09000433</t>
  </si>
  <si>
    <t>00000126</t>
  </si>
  <si>
    <t>00000126,00000261,00001240,09003500</t>
  </si>
  <si>
    <t>092000082</t>
  </si>
  <si>
    <t>City of Big Lake CTP Program</t>
  </si>
  <si>
    <t>092000083</t>
  </si>
  <si>
    <t>Reagan County Flood Awareness Program</t>
  </si>
  <si>
    <t>Develop flood education and awareness program; disseminate materials with new permits and place in the library at City Hall</t>
  </si>
  <si>
    <t>1209010306,1209010307,1209010308,1209010309,1209010305,1209010302,1209010301,1209010303,1209010304</t>
  </si>
  <si>
    <t>09000014,09000076,09000077,09000079,09000080,09000082,09000083,09000084,09000085,09000086,09000405,09000406,09000407,09000408,09000409,09000410,09000411,09000412,09000418,09000419,09000420,09000422,09000428,09000429,09000430,09000431,09000432,09000433</t>
  </si>
  <si>
    <t>00000126,00000127,09000150,00000151,00000261,00000272,00000684,00001240,09003500</t>
  </si>
  <si>
    <t>092000084</t>
  </si>
  <si>
    <t>Reagan County CTP Program</t>
  </si>
  <si>
    <t>092000085</t>
  </si>
  <si>
    <t>City of Miles Flood Awareness Program</t>
  </si>
  <si>
    <t>Draft flood awareness program</t>
  </si>
  <si>
    <t>12090105</t>
  </si>
  <si>
    <t>1209010502</t>
  </si>
  <si>
    <t>09000016,09000093,09000515</t>
  </si>
  <si>
    <t>00000145,00000278,00000284,09000539,09003442</t>
  </si>
  <si>
    <t>092000086</t>
  </si>
  <si>
    <t>City of Winters Flood Awareness Program</t>
  </si>
  <si>
    <t xml:space="preserve">Implement education and awareness program utilizing media, social media, bulletins, flyers, etc. to educate citizens of hazards that can threaten the area and mitigation measures to reduce injuries, fatalities, and property damages.  </t>
  </si>
  <si>
    <t>12090101</t>
  </si>
  <si>
    <t>1209010103,1209010104</t>
  </si>
  <si>
    <t>09000012,09000068,09000069,09000361,09000364,09000369,09000370</t>
  </si>
  <si>
    <t>00000145,00000278,00000284,09003374</t>
  </si>
  <si>
    <t>092000087</t>
  </si>
  <si>
    <t>Runnels County Flood Awareness Program</t>
  </si>
  <si>
    <t>12090108,12080008,12090101,12090105,12090106</t>
  </si>
  <si>
    <t>1209010801,1208000803,1208000804,1209010101,1209010102,1209010103,1209010104,1209010105,1209010502,1209010504,1209010601</t>
  </si>
  <si>
    <t>092000088</t>
  </si>
  <si>
    <t>Runnels County Higher Standareds Program</t>
  </si>
  <si>
    <t xml:space="preserve">Adopt higher floodplain standards. Restrict future development in high risk areas. </t>
  </si>
  <si>
    <t>092000089</t>
  </si>
  <si>
    <t>City of Ballinger Flood Awareness Program</t>
  </si>
  <si>
    <t xml:space="preserve">Implement program to cross-train Building Inspectors and Code Enforcement officer regarding NFIP Compliance regulations pertaining to permitting and inspections. </t>
  </si>
  <si>
    <t>1209010102,1209010104</t>
  </si>
  <si>
    <t>09000012,09000067,09000069,09000346,09000349,09000354</t>
  </si>
  <si>
    <t>00000145,00000278,00000284,09002451</t>
  </si>
  <si>
    <t>092000091</t>
  </si>
  <si>
    <t>City of Ballinger NFIP Cross-Train Program</t>
  </si>
  <si>
    <t xml:space="preserve">Establish a hazard mitigation library or hazard information center for use by local residents and schools to educate the public about the top natural hazards affecting the CVCOG region. </t>
  </si>
  <si>
    <t>092000092</t>
  </si>
  <si>
    <t>El Dorado Flood Awareness Program</t>
  </si>
  <si>
    <t>Promote flood education and dangers of driving into flooded roadways through Turn Around Don’t Drown program.</t>
  </si>
  <si>
    <t>Schleicher</t>
  </si>
  <si>
    <t>12090102</t>
  </si>
  <si>
    <t>1209010204</t>
  </si>
  <si>
    <t>09000013,09000074,09000379</t>
  </si>
  <si>
    <t>00000051,00000261,00000284,09003113</t>
  </si>
  <si>
    <t>092000093</t>
  </si>
  <si>
    <t>Schleicher County Flood Insurance Education Program</t>
  </si>
  <si>
    <t>Draft flood insurance education program</t>
  </si>
  <si>
    <t>13040301,12090109,12090102,12090105</t>
  </si>
  <si>
    <t>1304030101,1304030102,1304030104,1209010901,1209010903,1209010904,1209010201,1209010202,1209010203,1209010204,1209010205,1209010503</t>
  </si>
  <si>
    <t>09000013,09000016,09000071,09000072,09000073,09000074,09000075,09000094,09000375,09000379,09000380,09000381,09000386,09000387,09000390,09000392,09000393,09000396,09000399,09000400,09000401,09000402,09000403,09000525</t>
  </si>
  <si>
    <t>00000051,00000052,09000068,09000131,00000261,00000284,00000307,09003113</t>
  </si>
  <si>
    <t>092000095</t>
  </si>
  <si>
    <t>Snyder Flood Insurance Awareness Program</t>
  </si>
  <si>
    <t xml:space="preserve">Implement a public awareness program to inform the public about the availability of flood insurance. </t>
  </si>
  <si>
    <t>092000096</t>
  </si>
  <si>
    <t>Scurry County New Development Criteria</t>
  </si>
  <si>
    <t xml:space="preserve">Require new public buildings to be sited on low risk parcels. </t>
  </si>
  <si>
    <t>00000115,00000116,00000183,00000272,00000275,00000278,09000288,00000295,00000445,09003309</t>
  </si>
  <si>
    <t>092000097</t>
  </si>
  <si>
    <t>Scurry County Flood Awareness Program</t>
  </si>
  <si>
    <t>Implement education and awareness program utilizing media, social media, bulletins, flyers, etc. to educate citizens of hazards that can threaten the area and mitigation measures to reduce injuries, fatalities, and property damages</t>
  </si>
  <si>
    <t>092000098</t>
  </si>
  <si>
    <t>Sterling Flood Insurance Education Program</t>
  </si>
  <si>
    <t>Sterling</t>
  </si>
  <si>
    <t>12090104</t>
  </si>
  <si>
    <t>1209010403</t>
  </si>
  <si>
    <t>09000015,09000090,09000479</t>
  </si>
  <si>
    <t>09000149</t>
  </si>
  <si>
    <t>09000149,00000261,00000284,09002715</t>
  </si>
  <si>
    <t>092000099</t>
  </si>
  <si>
    <t>Sterling TADD Program</t>
  </si>
  <si>
    <t>Establish public awareness program regarding dangers of driving across low water crossings through Turn Around Don’t Drown.</t>
  </si>
  <si>
    <t>092000100</t>
  </si>
  <si>
    <t>City of San Angelo LWC Awareness Program</t>
  </si>
  <si>
    <t>12090102,12090104,12090105</t>
  </si>
  <si>
    <t>1209010205,1209010405,1209010502</t>
  </si>
  <si>
    <t>09000013,09000015,09000016,09000075,09000088,09000093,09000378,09000382,09000384,09000394,09000495,09000498,09000508,09000512,09000513</t>
  </si>
  <si>
    <t>09000131</t>
  </si>
  <si>
    <t>09000131,00000261,00000284,09003257</t>
  </si>
  <si>
    <t>092000001</t>
  </si>
  <si>
    <t>Andrews County DCM</t>
  </si>
  <si>
    <t xml:space="preserve">12080005,12080003,12080004
</t>
  </si>
  <si>
    <t>092000002</t>
  </si>
  <si>
    <t>Midland County DCM</t>
  </si>
  <si>
    <t>Midland</t>
  </si>
  <si>
    <t>12080005,12090103,12080004</t>
  </si>
  <si>
    <t>1208000501,1208000502,1208000506,1208000503,1208000504,1208000505,1209010302,1209010301,1208000410</t>
  </si>
  <si>
    <t>09000010,09000014,09000021,09000056,09000057,09000058,09000059,09000060,09000061,09000083,09000084,09000120,09000269,09000271,09000272,09000273,09000274,09000276,09000277,09000279,09000280,09000281,09000283,09000284,09000285,09000287,09000290,09000291</t>
  </si>
  <si>
    <t>00000102,00000126,00000127,09000150,00000151,00000152,09000174,00000272,09000288,00000684,09000692,09001049,09002050,09002836,09002838</t>
  </si>
  <si>
    <t>092000003</t>
  </si>
  <si>
    <t>Runnels County NFIP Application and compliance</t>
  </si>
  <si>
    <t>Join the NFIP. Examine local flood ordinance to ensure minimum NFIP standards are included for program compliance and to consider possible higher regulatory standards.</t>
  </si>
  <si>
    <t>09000002,9000004</t>
  </si>
  <si>
    <t>00000124,09000131,00000144,00000145,09000147,00000168,00000170,00000261,00000278,00000284,00000307,09000539,09002451,09003374,09003442</t>
  </si>
  <si>
    <t>092000102</t>
  </si>
  <si>
    <t>Coke County DCM</t>
  </si>
  <si>
    <t xml:space="preserve">12080008,12090101,12090104,12090105
</t>
  </si>
  <si>
    <t>1208000801,1208000802,1208000803,1208000804,1209010101,1209010404,1209010405,1209010502</t>
  </si>
  <si>
    <t>9000999</t>
  </si>
  <si>
    <t>09000999</t>
  </si>
  <si>
    <t>092000103</t>
  </si>
  <si>
    <t>Town of Bronte Flood Insurance Awareness Program</t>
  </si>
  <si>
    <t>Develop flood insurance and awareness 
program; disseminate materials with new 
permits and place in the library at City Hall.</t>
  </si>
  <si>
    <t xml:space="preserve">120800080406,120800080407
</t>
  </si>
  <si>
    <t>09003477</t>
  </si>
  <si>
    <t>092000105</t>
  </si>
  <si>
    <t>Concho County DCM</t>
  </si>
  <si>
    <t>092000104</t>
  </si>
  <si>
    <t>Concho County NFIP Application</t>
  </si>
  <si>
    <t xml:space="preserve">Join the National Flood Insurance Program (NFIP). </t>
  </si>
  <si>
    <t>092000106</t>
  </si>
  <si>
    <t>Town of Paint Rock NFIP Application</t>
  </si>
  <si>
    <t>1209010504</t>
  </si>
  <si>
    <t>120901050403</t>
  </si>
  <si>
    <t>09002653</t>
  </si>
  <si>
    <t>092000107</t>
  </si>
  <si>
    <t>Crockett County DCM</t>
  </si>
  <si>
    <t>Outreach Program: Discuss Drainage Criteria Manual</t>
  </si>
  <si>
    <t xml:space="preserve">12090102,12090103 
</t>
  </si>
  <si>
    <t>00000052</t>
  </si>
  <si>
    <t>092000118</t>
  </si>
  <si>
    <t>Reagan County DCM</t>
  </si>
  <si>
    <t>092000120</t>
  </si>
  <si>
    <t>Schleicher County NFIP Application</t>
  </si>
  <si>
    <t>12090102,12090105</t>
  </si>
  <si>
    <t>092000124</t>
  </si>
  <si>
    <t>Sterling County CTP Program</t>
  </si>
  <si>
    <t>12080007,12080008,12090103,12090104</t>
  </si>
  <si>
    <t>092000123</t>
  </si>
  <si>
    <t>Sterling County DCM</t>
  </si>
  <si>
    <t>092000122</t>
  </si>
  <si>
    <t>Sterling County NFIP Application</t>
  </si>
  <si>
    <t>092000114</t>
  </si>
  <si>
    <t>City of Mertzon NFIP Application</t>
  </si>
  <si>
    <t>Join The NFIP.</t>
  </si>
  <si>
    <t>1209010202</t>
  </si>
  <si>
    <t>120901020203</t>
  </si>
  <si>
    <t>09000013,09000072</t>
  </si>
  <si>
    <t>09002400</t>
  </si>
  <si>
    <t>092000101</t>
  </si>
  <si>
    <t>Cochran County NFIP Application</t>
  </si>
  <si>
    <t xml:space="preserve">1208000102,1208000104,1208000101,1208000103 
</t>
  </si>
  <si>
    <t xml:space="preserve">120800010106,120800010107,120800010108,120800010109,120800010110,120800010207,120800010208,120800010209,120800010210,120800010211,120800010301,120800010302,120800010303,120800010304,120800010401,120800010402,120800010406,120800010407 
</t>
  </si>
  <si>
    <t>092000108</t>
  </si>
  <si>
    <t>Ector County DCM</t>
  </si>
  <si>
    <t xml:space="preserve">1208000501,1208000502,1208000503,1208000504
</t>
  </si>
  <si>
    <t>092000109</t>
  </si>
  <si>
    <t>Gaines County DCM</t>
  </si>
  <si>
    <t>092000111</t>
  </si>
  <si>
    <t>Glasscock County DCM</t>
  </si>
  <si>
    <t>Glasscock</t>
  </si>
  <si>
    <t>12080004,12080005,12080006,12080007,12090103,12090104</t>
  </si>
  <si>
    <t>09000150</t>
  </si>
  <si>
    <t>092000110</t>
  </si>
  <si>
    <t>Glasscock County NFIP Application</t>
  </si>
  <si>
    <t>092000113</t>
  </si>
  <si>
    <t>Howard County DCM</t>
  </si>
  <si>
    <t>Howard</t>
  </si>
  <si>
    <t>12080002,12080004,12080006,12080007,12090104</t>
  </si>
  <si>
    <t>1208000204,1208000207,1208000208,1208000411,1208000607,1208000608,1208000701,1208000702,1209010401</t>
  </si>
  <si>
    <t>09000173</t>
  </si>
  <si>
    <t>092000115</t>
  </si>
  <si>
    <t>Irion County NFIP Application</t>
  </si>
  <si>
    <t>092000116</t>
  </si>
  <si>
    <t>Martin County DCM</t>
  </si>
  <si>
    <t>09000174</t>
  </si>
  <si>
    <t>092000119</t>
  </si>
  <si>
    <t>Runnels County CRS Participation</t>
  </si>
  <si>
    <t>Join the FEMA Community Rating System.</t>
  </si>
  <si>
    <t>092000130</t>
  </si>
  <si>
    <t>Tom Green County DCM</t>
  </si>
  <si>
    <t>092000125</t>
  </si>
  <si>
    <t>Town of Meadow NFIP Application</t>
  </si>
  <si>
    <t>Application to join NFIP. Encourage adopting minimum FEMA Standards</t>
  </si>
  <si>
    <t>09003317</t>
  </si>
  <si>
    <t>092000127</t>
  </si>
  <si>
    <t>Upton County DCM</t>
  </si>
  <si>
    <t>Upton</t>
  </si>
  <si>
    <t>12080005,12090103</t>
  </si>
  <si>
    <t>00000127</t>
  </si>
  <si>
    <t>092000126</t>
  </si>
  <si>
    <t>Upton County NFIP Application</t>
  </si>
  <si>
    <t>092000128</t>
  </si>
  <si>
    <t>Yoakum County DCM</t>
  </si>
  <si>
    <t>12080001,12080004,12080006</t>
  </si>
  <si>
    <t>09000206</t>
  </si>
  <si>
    <t>092000064</t>
  </si>
  <si>
    <t>Reagan County NFIP Application</t>
  </si>
  <si>
    <t>092000090</t>
  </si>
  <si>
    <t>City of Ballinger DCM</t>
  </si>
  <si>
    <t>Consider stormwater criteria for infrastructure and floodplain ordinances to avoid new exposure to flood hazards.</t>
  </si>
  <si>
    <t>092000060</t>
  </si>
  <si>
    <t>Nolan County Warning Siren Program</t>
  </si>
  <si>
    <t>Install county-wide outdoor warning sirens for any emergency of natural and/or man-made hazardous events.  The warning sirens would be strategically placed in the following locations within the County: Cities of Sweetwater, Roscoe, Blackwell, Nolan, Maryn</t>
  </si>
  <si>
    <t>00000170</t>
  </si>
  <si>
    <t>092000071</t>
  </si>
  <si>
    <t>City of Mertzon Local Ordinance Evaluation</t>
  </si>
  <si>
    <t xml:space="preserve">Examine local flood ordinance to ensure minimum NFIP standards are included for program compliance and to consider possible higher regulatory standards. </t>
  </si>
  <si>
    <t>092000059</t>
  </si>
  <si>
    <t>Taylor County Gauge/Flood Barrier Program</t>
  </si>
  <si>
    <t xml:space="preserve">Install automated creek rain gauges and automated barriers for flooded roadways. </t>
  </si>
  <si>
    <t>00000168</t>
  </si>
  <si>
    <t>092000112</t>
  </si>
  <si>
    <t>Howard County NFIP Application</t>
  </si>
  <si>
    <t>Application to join the NFIP</t>
  </si>
  <si>
    <t>092000121</t>
  </si>
  <si>
    <t>Schleicher County DCM</t>
  </si>
  <si>
    <t>092000117</t>
  </si>
  <si>
    <t>City of Blackwell Warning System</t>
  </si>
  <si>
    <t>Install a warning system including outdoor siren to notify residents of severe weather events and implement area-wide telephone Emergency Notification System (“Reverse 911”).</t>
  </si>
  <si>
    <t>092000094</t>
  </si>
  <si>
    <t>Schleicher County CTP Program</t>
  </si>
  <si>
    <t>Develop a Cooperating Technical Partners program with FEMA to facilitate FEMA Mapping updates.</t>
  </si>
  <si>
    <t>092000063</t>
  </si>
  <si>
    <t>Coke County NFIP Application</t>
  </si>
  <si>
    <t>12080008,12090101,12090104,12090105</t>
  </si>
  <si>
    <t>092000051</t>
  </si>
  <si>
    <t>City of Blackwell Debris Program</t>
  </si>
  <si>
    <t>Implement maintenance program for clearing debris from drains/culverts.</t>
  </si>
  <si>
    <t>092000053</t>
  </si>
  <si>
    <t>Reagan County Sediment Cleanout Program</t>
  </si>
  <si>
    <t>092000058</t>
  </si>
  <si>
    <t>Taylor County Debris Clearing Program</t>
  </si>
  <si>
    <t>FMS Name</t>
  </si>
  <si>
    <t>FMS Description</t>
  </si>
  <si>
    <t>N/A</t>
  </si>
  <si>
    <t>Score 7: Water Supply</t>
  </si>
  <si>
    <t>Score 5: Critical Facilities Damage Reduction</t>
  </si>
  <si>
    <t>Score 8: Social Vulnerability</t>
  </si>
  <si>
    <t>Score 11: O&amp;M</t>
  </si>
  <si>
    <t>Score 12: Admin, Regulatory Obstacles</t>
  </si>
  <si>
    <t>Criteria Name</t>
  </si>
  <si>
    <t>Criteria Type</t>
  </si>
  <si>
    <t>Emergency Need</t>
  </si>
  <si>
    <t>Flood Risk</t>
  </si>
  <si>
    <t>Number of low water crossings at flood risk (#)</t>
  </si>
  <si>
    <t>Estimated number of road closures (#)</t>
  </si>
  <si>
    <t>Flood Risk Reduction</t>
  </si>
  <si>
    <t>Score 1: Severity - Pre-Project Average Depth of Flooding (100-year)</t>
  </si>
  <si>
    <t>Score 2: Severity - Community Need (% Population)</t>
  </si>
  <si>
    <t>Score 6: Life and Safety</t>
  </si>
  <si>
    <t>Score 9: Nature-Based Solution</t>
  </si>
  <si>
    <t>Score 14: Environmental Impact</t>
  </si>
  <si>
    <t>Score 15: Mobility</t>
  </si>
  <si>
    <t>FMS Ranking Criteria</t>
  </si>
  <si>
    <t>FMS Ranking Percent Weight</t>
  </si>
  <si>
    <t>Emergency Need Raw</t>
  </si>
  <si>
    <t>Res Structure Raw</t>
  </si>
  <si>
    <t>LWC Raw</t>
  </si>
  <si>
    <t>Water Supply Raw</t>
  </si>
  <si>
    <t>No=0; Yes=1</t>
  </si>
  <si>
    <t>062000052</t>
  </si>
  <si>
    <t>About This Workbook</t>
  </si>
  <si>
    <t>Contains the following Sheets:</t>
  </si>
  <si>
    <t>FMS_InputData</t>
  </si>
  <si>
    <t>Other Benefits</t>
  </si>
  <si>
    <t>Residential structures at 100-year risk</t>
  </si>
  <si>
    <t>Region Number</t>
  </si>
  <si>
    <t>A</t>
  </si>
  <si>
    <t>B</t>
  </si>
  <si>
    <t>Emergency Need (Y/N)</t>
  </si>
  <si>
    <t>Estimated number of structures at 100yr flood risk</t>
  </si>
  <si>
    <t>Residential structures at 100-year flood risk</t>
  </si>
  <si>
    <t>Estimated Population at 100-year flood risk</t>
  </si>
  <si>
    <t>Critical facilities at 100-year flood risk (#)</t>
  </si>
  <si>
    <t>Estimated length of roads at 100-year flood risk (Miles)</t>
  </si>
  <si>
    <t>Estimated farm &amp; ranch land at 100-year flood risk (acres)</t>
  </si>
  <si>
    <t>Estimated reduction in road closure occurrences</t>
  </si>
  <si>
    <t>Percent Nature-based Solution (by cost)</t>
  </si>
  <si>
    <t>Benefit-Cost Ratio</t>
  </si>
  <si>
    <t>Water Supply Benefit (Y/N)</t>
  </si>
  <si>
    <t xml:space="preserve"> Estimated population at risk
(100-year)</t>
  </si>
  <si>
    <t>Critical Facilities at risk (100-year)</t>
  </si>
  <si>
    <t>Percent Nature-Based Solution (by cost)</t>
  </si>
  <si>
    <t>Water Supply Benefit</t>
  </si>
  <si>
    <t>Critical Facilities Raw</t>
  </si>
  <si>
    <t>Ag Land Raw</t>
  </si>
  <si>
    <t>Reduced Structures Raw</t>
  </si>
  <si>
    <t>Removed Pop Raw</t>
  </si>
  <si>
    <t>Removed Crit Fac Raw</t>
  </si>
  <si>
    <t>Removed LWC Raw</t>
  </si>
  <si>
    <t>Reduced Closures Raw</t>
  </si>
  <si>
    <t>Ag Removed Raw</t>
  </si>
  <si>
    <t>Cost per Structure Raw</t>
  </si>
  <si>
    <t>Number of structures removed from 100yr (1% annual chance) Floodplain</t>
  </si>
  <si>
    <t>Residential structures removed from 100yr (1% annual chance) Floodplain</t>
  </si>
  <si>
    <t>Estimated Population removed from 100yr (1% annual chance) Floodplain</t>
  </si>
  <si>
    <t>Critical facilities removed from 100yr (1% annual chance) Floodplain (#)</t>
  </si>
  <si>
    <t>Number of low water crossings removed from 100yr (1% annual chance) Floodplain (#)</t>
  </si>
  <si>
    <t>Estimated length of roads removed from 100yr floodplain (Miles)</t>
  </si>
  <si>
    <t>Estimated farm &amp; ranch land removed from 100yr floodplain (acres)</t>
  </si>
  <si>
    <t>Cost per structure removed from 100-year floodplain</t>
  </si>
  <si>
    <t>Number of structures with reduced 100yr (1% annual chance) Floodplain</t>
  </si>
  <si>
    <t>Estimated number of structures at 100yr flood risk
(100-year)</t>
  </si>
  <si>
    <t>012000002</t>
  </si>
  <si>
    <t>Quitaque NFIP Involvement</t>
  </si>
  <si>
    <t>Application to join NFIP or adopt equivalent standards</t>
  </si>
  <si>
    <t>Briscoe</t>
  </si>
  <si>
    <t>11130103</t>
  </si>
  <si>
    <t>1113010302, 1113010303</t>
  </si>
  <si>
    <t>111301030209, 111301030304</t>
  </si>
  <si>
    <t>01000345, 01000347</t>
  </si>
  <si>
    <t>01000009, 01000010</t>
  </si>
  <si>
    <t>01002682</t>
  </si>
  <si>
    <t>01000236, 00000271, 00000294, 01002682</t>
  </si>
  <si>
    <t>None</t>
  </si>
  <si>
    <t>Action aligns with goals and meets TWDB guidance</t>
  </si>
  <si>
    <t>012000003</t>
  </si>
  <si>
    <t>Dean NFIP Involvement</t>
  </si>
  <si>
    <t>Clay</t>
  </si>
  <si>
    <t>11130206, 11130209</t>
  </si>
  <si>
    <t>1113020605, 1113020905</t>
  </si>
  <si>
    <t>111302060501, 111302090503, 111302090505</t>
  </si>
  <si>
    <t>01000468, 01000538, 01000540</t>
  </si>
  <si>
    <t>01002549</t>
  </si>
  <si>
    <t>00000194, 00000269, 00000294, 01002549</t>
  </si>
  <si>
    <t>012000004</t>
  </si>
  <si>
    <t>Jolly NFIP Involvement</t>
  </si>
  <si>
    <t>11130209</t>
  </si>
  <si>
    <t>1113020905</t>
  </si>
  <si>
    <t>111302090503, 111302090504, 111302090505</t>
  </si>
  <si>
    <t>01000538, 01000539, 01000540</t>
  </si>
  <si>
    <t>01003239</t>
  </si>
  <si>
    <t>00000194, 00000269, 00000294, 01002549, 01003239</t>
  </si>
  <si>
    <t>012000005</t>
  </si>
  <si>
    <t>Mobeetie NFIP Involvement</t>
  </si>
  <si>
    <t>Wheeler</t>
  </si>
  <si>
    <t>11120302</t>
  </si>
  <si>
    <t>1112030202</t>
  </si>
  <si>
    <t>111203020203, 111203020204</t>
  </si>
  <si>
    <t>01000569, 01000570</t>
  </si>
  <si>
    <t>01003342</t>
  </si>
  <si>
    <t>01000245, 00000271, 00000294, 01000637, 01003342</t>
  </si>
  <si>
    <t>012000006</t>
  </si>
  <si>
    <t>Hedley NFIP Involvement</t>
  </si>
  <si>
    <t>Donley</t>
  </si>
  <si>
    <t>11120105, 11120202</t>
  </si>
  <si>
    <t>1112010504, 1112020201</t>
  </si>
  <si>
    <t>111201050401, 111202020101</t>
  </si>
  <si>
    <t>01000556, 01000855</t>
  </si>
  <si>
    <t>01002569</t>
  </si>
  <si>
    <t>01000241, 00000271, 00000294, 01001282, 01002569</t>
  </si>
  <si>
    <t>012000007</t>
  </si>
  <si>
    <t>Nazareth NFIP Involvement</t>
  </si>
  <si>
    <t>Castro</t>
  </si>
  <si>
    <t>11120104</t>
  </si>
  <si>
    <t>1112010402</t>
  </si>
  <si>
    <t>111201040202</t>
  </si>
  <si>
    <t>01000277</t>
  </si>
  <si>
    <t>01002818</t>
  </si>
  <si>
    <t>00000238, 00000271, 00000294, 01002818</t>
  </si>
  <si>
    <t>012000008</t>
  </si>
  <si>
    <t>Texhoma NFIP Involvement</t>
  </si>
  <si>
    <t>Sherman</t>
  </si>
  <si>
    <t>11100101, 11100103</t>
  </si>
  <si>
    <t>1110010108, 1110010304</t>
  </si>
  <si>
    <t>111001010804, 111001030407, 111001030408</t>
  </si>
  <si>
    <t>01000638, 01000742, 01000746</t>
  </si>
  <si>
    <t>01002804</t>
  </si>
  <si>
    <t>01000247, 00000271, 01002804</t>
  </si>
  <si>
    <t>012000009</t>
  </si>
  <si>
    <t>Lakeview NFIP Involvement</t>
  </si>
  <si>
    <t>Hall</t>
  </si>
  <si>
    <t>11120105</t>
  </si>
  <si>
    <t>1112010502</t>
  </si>
  <si>
    <t>111201050206</t>
  </si>
  <si>
    <t>01000845</t>
  </si>
  <si>
    <t>01002383</t>
  </si>
  <si>
    <t>01000235, 00000271, 00000294, 01001282, 01002383</t>
  </si>
  <si>
    <t>012000010</t>
  </si>
  <si>
    <t>Estelline NFIP Involvement</t>
  </si>
  <si>
    <t>1112010503</t>
  </si>
  <si>
    <t>111201050301</t>
  </si>
  <si>
    <t>01000869</t>
  </si>
  <si>
    <t>01002928</t>
  </si>
  <si>
    <t>01000235, 00000271, 00000294, 01001282, 01002928</t>
  </si>
  <si>
    <t>012000011</t>
  </si>
  <si>
    <t>Stratford NFIP Involvement</t>
  </si>
  <si>
    <t>11100103</t>
  </si>
  <si>
    <t>1110010302, 1110010304</t>
  </si>
  <si>
    <t>111001030209, 111001030403, 111001030404</t>
  </si>
  <si>
    <t>01000715, 01000730, 01000735</t>
  </si>
  <si>
    <t>01002803</t>
  </si>
  <si>
    <t>01000247, 00000271, 01002803</t>
  </si>
  <si>
    <t>012000012</t>
  </si>
  <si>
    <t>Windthorst NFIP Involvement</t>
  </si>
  <si>
    <t>Clay, Archer</t>
  </si>
  <si>
    <t>1113020903</t>
  </si>
  <si>
    <t>111302090301, 111302090302</t>
  </si>
  <si>
    <t>01000520, 01000530</t>
  </si>
  <si>
    <t>01002591</t>
  </si>
  <si>
    <t>00000194, 00000223, 00000269, 00000294, 01002591</t>
  </si>
  <si>
    <t>012000013</t>
  </si>
  <si>
    <t>Bellevue NFIP Involvement</t>
  </si>
  <si>
    <t>11130201, 11130209</t>
  </si>
  <si>
    <t>1113020102, 1113020904</t>
  </si>
  <si>
    <t>111302010203, 111302090403</t>
  </si>
  <si>
    <t>01000532, 01000618</t>
  </si>
  <si>
    <t>01002547</t>
  </si>
  <si>
    <t>00000194, 00000269, 00000294, 01002547</t>
  </si>
  <si>
    <t>012000014</t>
  </si>
  <si>
    <t>Adrian NFIP Involvement</t>
  </si>
  <si>
    <t>Oldham</t>
  </si>
  <si>
    <t>11090101</t>
  </si>
  <si>
    <t>1109010107</t>
  </si>
  <si>
    <t>110901010703</t>
  </si>
  <si>
    <t>01000664</t>
  </si>
  <si>
    <t>01002845</t>
  </si>
  <si>
    <t>01000228, 00000271, 00000294, 01000330, 01002845</t>
  </si>
  <si>
    <t>012000015</t>
  </si>
  <si>
    <t>Cashion NFIP Involvement</t>
  </si>
  <si>
    <t>Wichita</t>
  </si>
  <si>
    <t>11130102, 11130206</t>
  </si>
  <si>
    <t>1113010203, 1113020605</t>
  </si>
  <si>
    <t>111301020304, 111302060501</t>
  </si>
  <si>
    <t>01000468, 01000597</t>
  </si>
  <si>
    <t>01003332</t>
  </si>
  <si>
    <t>01000195, 00000269, 00000294, 01002977, 01003332</t>
  </si>
  <si>
    <t>012000016</t>
  </si>
  <si>
    <t>Dodson NFIP Involvement</t>
  </si>
  <si>
    <t>Collingsworth</t>
  </si>
  <si>
    <t>11130101</t>
  </si>
  <si>
    <t>1113010103</t>
  </si>
  <si>
    <t>111301010301, 111301010303</t>
  </si>
  <si>
    <t>01000885, 01000886</t>
  </si>
  <si>
    <t>01003419</t>
  </si>
  <si>
    <t>01000240, 00000271, 00000294, 01001282, 01003419</t>
  </si>
  <si>
    <t>012000017</t>
  </si>
  <si>
    <t>Silverton NFIP Involvement</t>
  </si>
  <si>
    <t>1113010301</t>
  </si>
  <si>
    <t>111301030101</t>
  </si>
  <si>
    <t>01000350</t>
  </si>
  <si>
    <t>01002683</t>
  </si>
  <si>
    <t>01000236, 00000271, 00000294, 01002683</t>
  </si>
  <si>
    <t>012000018</t>
  </si>
  <si>
    <t>Lockney NFIP Involvement</t>
  </si>
  <si>
    <t>Floyd</t>
  </si>
  <si>
    <t>1113010302</t>
  </si>
  <si>
    <t>111301030203</t>
  </si>
  <si>
    <t>01000357</t>
  </si>
  <si>
    <t>00003100</t>
  </si>
  <si>
    <t>00000199, 00000275, 00000294, 00000295, 00003100</t>
  </si>
  <si>
    <t>012000019</t>
  </si>
  <si>
    <t>Chillicothe NFIP Involvement</t>
  </si>
  <si>
    <t>Hardeman</t>
  </si>
  <si>
    <t>1113010104</t>
  </si>
  <si>
    <t>111301010404</t>
  </si>
  <si>
    <t>01000880</t>
  </si>
  <si>
    <t>01003222</t>
  </si>
  <si>
    <t>01000204, 00000269, 00000294, 01001282, 01003222</t>
  </si>
  <si>
    <t>012000020</t>
  </si>
  <si>
    <t>Vega NFIP Involvement</t>
  </si>
  <si>
    <t>11090105, 11120102</t>
  </si>
  <si>
    <t>1109010501, 1112010202</t>
  </si>
  <si>
    <t>110901050101, 111201020205, 111201020206</t>
  </si>
  <si>
    <t>01000152, 01000689, 01000699</t>
  </si>
  <si>
    <t>01002846</t>
  </si>
  <si>
    <t>01000228, 00000271, 00000294, 01000330, 01002846</t>
  </si>
  <si>
    <t>012000021</t>
  </si>
  <si>
    <t>McLean NFIP Involvement</t>
  </si>
  <si>
    <t>Gray</t>
  </si>
  <si>
    <t>11120301, 11120304</t>
  </si>
  <si>
    <t>1112030102, 1112030401</t>
  </si>
  <si>
    <t>111203010208, 111203040102</t>
  </si>
  <si>
    <t>01000329, 01000588</t>
  </si>
  <si>
    <t>01003129</t>
  </si>
  <si>
    <t>01000246, 00000271, 00000294, 01003129</t>
  </si>
  <si>
    <t>012000022</t>
  </si>
  <si>
    <t>Stinnett NFIP Involvement</t>
  </si>
  <si>
    <t>Hutchinson</t>
  </si>
  <si>
    <t>11090106</t>
  </si>
  <si>
    <t>1109010601</t>
  </si>
  <si>
    <t>110901060106, 110901060108</t>
  </si>
  <si>
    <t>01000070, 01000085</t>
  </si>
  <si>
    <t>01002814</t>
  </si>
  <si>
    <t>01000231, 00000271, 00000294, 01002814</t>
  </si>
  <si>
    <t>012000023</t>
  </si>
  <si>
    <t>Sanford NFIP Involvement</t>
  </si>
  <si>
    <t>110901060105</t>
  </si>
  <si>
    <t>01000069</t>
  </si>
  <si>
    <t>01002813</t>
  </si>
  <si>
    <t>01000231, 00000271, 00000294, 01002813</t>
  </si>
  <si>
    <t>012000025</t>
  </si>
  <si>
    <t>Perryton NFIP Involvement</t>
  </si>
  <si>
    <t>Ochiltree</t>
  </si>
  <si>
    <t>11100201</t>
  </si>
  <si>
    <t>1110020102, 1110020103</t>
  </si>
  <si>
    <t>111002010201, 111002010301, 111002010302</t>
  </si>
  <si>
    <t>01000014, 01000015, 01000019</t>
  </si>
  <si>
    <t>01003570</t>
  </si>
  <si>
    <t>01000251, 00000271, 01003570</t>
  </si>
  <si>
    <t>012000026</t>
  </si>
  <si>
    <t>Miami NFIP Involvement</t>
  </si>
  <si>
    <t>Roberts</t>
  </si>
  <si>
    <t>1109010606</t>
  </si>
  <si>
    <t>110901060604, 110901060605, 110901060606</t>
  </si>
  <si>
    <t>01000086, 01000103, 01000104</t>
  </si>
  <si>
    <t>01003091</t>
  </si>
  <si>
    <t>01000230, 00000271, 00000294, 01003091</t>
  </si>
  <si>
    <t>012000027</t>
  </si>
  <si>
    <t>Skellytown NFIP Involvement</t>
  </si>
  <si>
    <t>Carson</t>
  </si>
  <si>
    <t>1109010603</t>
  </si>
  <si>
    <t>110901060302, 110901060307</t>
  </si>
  <si>
    <t>01000043, 01000083</t>
  </si>
  <si>
    <t>01003056</t>
  </si>
  <si>
    <t>01000226, 00000271, 00000294, 01003056</t>
  </si>
  <si>
    <t>012000028</t>
  </si>
  <si>
    <t>Claude NFIP Involvement</t>
  </si>
  <si>
    <t>Armstrong</t>
  </si>
  <si>
    <t>11120103</t>
  </si>
  <si>
    <t>1112010305</t>
  </si>
  <si>
    <t>111201030504, 111201030505</t>
  </si>
  <si>
    <t>01000247, 01000258</t>
  </si>
  <si>
    <t>01003436</t>
  </si>
  <si>
    <t>01000242, 00000271, 00000294, 01003436</t>
  </si>
  <si>
    <t>012000029</t>
  </si>
  <si>
    <t>Matador NFIP Involvement</t>
  </si>
  <si>
    <t>Motley</t>
  </si>
  <si>
    <t>11130104</t>
  </si>
  <si>
    <t>1113010404</t>
  </si>
  <si>
    <t>111301040402</t>
  </si>
  <si>
    <t>01000387</t>
  </si>
  <si>
    <t>01002470</t>
  </si>
  <si>
    <t>01000198, 00000275, 00000294, 01000875, 01002470</t>
  </si>
  <si>
    <t>012000030</t>
  </si>
  <si>
    <t>Cottle County NFIP Involvement</t>
  </si>
  <si>
    <t>Cottle</t>
  </si>
  <si>
    <t>11130101, 11130103, 11130104, 11130105, 11130204</t>
  </si>
  <si>
    <t>1113010101, 1113010304, 1113010305, 1113010403, 1113010404, 1113010405, 1113010501, 1113020401, 1113020402</t>
  </si>
  <si>
    <t>01000197</t>
  </si>
  <si>
    <t>01000197, 00000269, 00000271, 00000294, 01001282, 01003564</t>
  </si>
  <si>
    <t>012000031</t>
  </si>
  <si>
    <t>Hardeman County NFIP Involvement</t>
  </si>
  <si>
    <t>11120105, 11130101, 11130105</t>
  </si>
  <si>
    <t>1112010505, 1113010101, 1113010102, 1113010104, 1113010106, 1113010501, 1113010502</t>
  </si>
  <si>
    <t>01000204</t>
  </si>
  <si>
    <t>01000204, 00000269, 00000294, 01001282, 01003222, 01003562</t>
  </si>
  <si>
    <t>012000032</t>
  </si>
  <si>
    <t>Knox County NFIP Involvement</t>
  </si>
  <si>
    <t>Knox</t>
  </si>
  <si>
    <t>11130204, 11130205, 11130206</t>
  </si>
  <si>
    <t>1113020402, 1113020403, 1113020502, 1113020601</t>
  </si>
  <si>
    <t>111302040206, 111302040301, 111302040302, 111302040303, 111302040304, 111302040305, 111302040306, 111302050204, 111302050205, 111302050206, 111302050207, 111302050208, 111302060103</t>
  </si>
  <si>
    <t>01000428, 01000431, 01000432, 01000442, 01000449, 01000450, 01000451, 01000452, 01000453, 01000454, 01000465, 01000466, 01000492</t>
  </si>
  <si>
    <t>00000217</t>
  </si>
  <si>
    <t>00000217, 00000269, 00000275, 00000278, 00000294, 00000295, 00000841</t>
  </si>
  <si>
    <t>012000033</t>
  </si>
  <si>
    <t>Carson County NFIP Involvement</t>
  </si>
  <si>
    <t>11090105, 11090106, 11120103, 11120201, 11120301</t>
  </si>
  <si>
    <t>1109010504, 1109010507, 1109010601, 1109010602, 1109010603, 1109010606, 1112010305, 1112020101, 1112030101, 1112030102, 1112030103</t>
  </si>
  <si>
    <t>01000226</t>
  </si>
  <si>
    <t>01000226, 00000271, 00000294, 01000312, 01002837, 01003056, 01003084, 01003227</t>
  </si>
  <si>
    <t>012000034</t>
  </si>
  <si>
    <t>Hemphill County NFIP Involvement</t>
  </si>
  <si>
    <t>Hemphill</t>
  </si>
  <si>
    <t>11090106, 11090201, 11100203, 11120302, 11130301</t>
  </si>
  <si>
    <t>1109010606, 1109010607, 1109010608, 1109020101, 1110020301, 1112030202, 1113030101, 1113030102</t>
  </si>
  <si>
    <t>01000229</t>
  </si>
  <si>
    <t>01000229, 00000271, 00000294, 01002529</t>
  </si>
  <si>
    <t>012000035</t>
  </si>
  <si>
    <t>Roberts County NFIP Involvement</t>
  </si>
  <si>
    <t>11090106, 11120302, 11130301</t>
  </si>
  <si>
    <t>1109010603, 1109010604, 1109010605, 1109010606, 1109010607, 1112030202, 1113030101</t>
  </si>
  <si>
    <t>01000230</t>
  </si>
  <si>
    <t>01000230, 00000271, 00000294, 01000342, 01003091</t>
  </si>
  <si>
    <t>012000036</t>
  </si>
  <si>
    <t>Hutchinson County NFIP Involvement</t>
  </si>
  <si>
    <t>11090105, 11090106, 11100104, 11100202</t>
  </si>
  <si>
    <t>1109010506, 1109010507, 1109010601, 1109010602, 1109010603, 1109010604, 1110010401, 1110010402, 1110010403, 1110020201</t>
  </si>
  <si>
    <t>01000231</t>
  </si>
  <si>
    <t>01000231, 00000271, 00000294, 00000308, 01000312, 01002811, 01002812, 01002813, 01002814</t>
  </si>
  <si>
    <t>012000037</t>
  </si>
  <si>
    <t>Moore County NFIP Involvement</t>
  </si>
  <si>
    <t>Moore</t>
  </si>
  <si>
    <t>11090105, 11100104</t>
  </si>
  <si>
    <t>1109010502, 1109010503, 1109010505, 1109010506, 1109010507, 1110010401, 1110010402</t>
  </si>
  <si>
    <t>01000232</t>
  </si>
  <si>
    <t>01000232, 00000271, 00000294, 01000312, 01002742, 01002743, 01002744, 01002812</t>
  </si>
  <si>
    <t>012000038</t>
  </si>
  <si>
    <t>Hartley County NFIP Involvement</t>
  </si>
  <si>
    <t>Hartley</t>
  </si>
  <si>
    <t>11090101, 11090102, 11090103, 11090104, 11090105, 11100103, 11100104</t>
  </si>
  <si>
    <t>1109010101, 1109010102, 1109010106, 1109010107, 1109010203, 1109010204, 1109010205, 1109010206, 1109010207, 1109010304, 1109010305, 1109010404, 1109010501, 1109010502, 1109010505, 1110010303, 1110010401, 1110010402</t>
  </si>
  <si>
    <t>01000233</t>
  </si>
  <si>
    <t>01000233, 00000271, 00000294, 01002382, 01002481</t>
  </si>
  <si>
    <t>012000039</t>
  </si>
  <si>
    <t>Briscoe County NFIP Involvement</t>
  </si>
  <si>
    <t>11120103, 11120104, 11120105, 11130103</t>
  </si>
  <si>
    <t>1112010303, 1112010304, 1112010306, 1112010405, 1112010406, 1112010501, 1113010301, 1113010302, 1113010303</t>
  </si>
  <si>
    <t>01000236</t>
  </si>
  <si>
    <t>01000236, 00000271, 00000294, 01000305, 01001282, 01002682, 01002683</t>
  </si>
  <si>
    <t>012000040</t>
  </si>
  <si>
    <t>Donley County NFIP Involvement</t>
  </si>
  <si>
    <t>11120103, 11120105, 11120201, 11120202, 11120301, 11120304</t>
  </si>
  <si>
    <t>1112010304, 1112010306, 1112010502, 1112010503, 1112010504, 1112020101, 1112020102, 1112020201, 1112030102, 1112030401</t>
  </si>
  <si>
    <t>01000241</t>
  </si>
  <si>
    <t>01000241, 00000271, 00000294, 01001282, 01002569, 01002571, 01002579</t>
  </si>
  <si>
    <t>012000041</t>
  </si>
  <si>
    <t>Armstrong County NFIP Involvement</t>
  </si>
  <si>
    <t>11120103, 11120201, 11120301</t>
  </si>
  <si>
    <t>1112010301, 1112010302, 1112010303, 1112010304, 1112010305, 1112010306, 1112020101, 1112030102</t>
  </si>
  <si>
    <t>01000242</t>
  </si>
  <si>
    <t>012000043</t>
  </si>
  <si>
    <t>Wheeler County NFIP Involvement</t>
  </si>
  <si>
    <t>11120202, 11120301, 11120302, 11120304, 11130301</t>
  </si>
  <si>
    <t>1112020201, 1112030102, 1112030201, 1112030202, 1112030203, 1112030401, 1113030101, 1113030102</t>
  </si>
  <si>
    <t>01000245</t>
  </si>
  <si>
    <t>01000245, 00000271, 00000294, 01000637, 01001282, 01003342, 01003497, 01003498</t>
  </si>
  <si>
    <t>012000044</t>
  </si>
  <si>
    <t>Sherman County NFIP Involvement</t>
  </si>
  <si>
    <t>11100101, 11100103, 11100104</t>
  </si>
  <si>
    <t>1110010108, 1110010302, 1110010303, 1110010304, 1110010305, 1110010401, 1110010402, 1110010403</t>
  </si>
  <si>
    <t>01000247</t>
  </si>
  <si>
    <t>01000247, 00000271, 00000294, 01000312, 01002742, 01002803, 01002804</t>
  </si>
  <si>
    <t>012000045</t>
  </si>
  <si>
    <t>Dallam County NFIP Involvement</t>
  </si>
  <si>
    <t>Dallam</t>
  </si>
  <si>
    <t>11090102, 11090103, 11090104, 11100101, 11100103, 11100104</t>
  </si>
  <si>
    <t>1109010205, 1109010301, 1109010302, 1109010303, 1109010304, 1109010305, 1109010403, 1109010404, 1110010106, 1110010108, 1110010301, 1110010302, 1110010303, 1110010304, 1110010401</t>
  </si>
  <si>
    <t>01000248</t>
  </si>
  <si>
    <t>01000248, 00000271, 00000294, 01002481, 01002728</t>
  </si>
  <si>
    <t>012000046</t>
  </si>
  <si>
    <t>Lipscomb County NFIP Involvement</t>
  </si>
  <si>
    <t>Lipscomb</t>
  </si>
  <si>
    <t>11090106, 11090201, 11100201, 11100202, 11100203</t>
  </si>
  <si>
    <t>1109010607, 1109010608, 1109020101, 1110020102, 1110020103, 1110020104, 1110020106, 1110020202, 1110020203, 1110020301, 1110020302, 1110020304</t>
  </si>
  <si>
    <t>01000250</t>
  </si>
  <si>
    <t>01000250, 00000271, 00000294, 01002768, 01003547, 01003548, 01003565</t>
  </si>
  <si>
    <t>012000047</t>
  </si>
  <si>
    <t>Ochiltree County NFIP Involvement</t>
  </si>
  <si>
    <t>11090106, 11100102, 11100104, 11100201, 11100202</t>
  </si>
  <si>
    <t>1109010604, 1109010605, 1109010607, 1110010205, 1110010405, 1110020101, 1110020102, 1110020103, 1110020105, 1110020201, 1110020202, 1110020203</t>
  </si>
  <si>
    <t>01000251</t>
  </si>
  <si>
    <t>01000251, 00000271, 00000294, 01000312, 01003565, 01003570</t>
  </si>
  <si>
    <t>012000062</t>
  </si>
  <si>
    <t>Channing NFIP Involvement</t>
  </si>
  <si>
    <t>Canadian-Upper Red</t>
  </si>
  <si>
    <t xml:space="preserve">11090105, 11090102_x000D_
</t>
  </si>
  <si>
    <t>1109010501, 1109010207</t>
  </si>
  <si>
    <t>110901050104, 110901020702</t>
  </si>
  <si>
    <t>01000156, 01000792</t>
  </si>
  <si>
    <t>01002382</t>
  </si>
  <si>
    <t>01002382, 01000233, 00000271, 00000294</t>
  </si>
  <si>
    <t>012000042</t>
  </si>
  <si>
    <t>Deaf Smith County NFIP Involvement</t>
  </si>
  <si>
    <t>Deaf Smith</t>
  </si>
  <si>
    <t>11090101, 11120101, 11120102, 11120104</t>
  </si>
  <si>
    <t>1109010103, 1109010104, 1109010105, 1109010107, 1112010102, 1112010104, 1112010105, 1112010106, 1112010201, 1112010202, 1112010203, 1112010401, 1112010403</t>
  </si>
  <si>
    <t>01000244</t>
  </si>
  <si>
    <t>01000244, 00000271, 00000294, 01000330, 01000572, 01002643</t>
  </si>
  <si>
    <t>012000048</t>
  </si>
  <si>
    <t>Region-Wide Turn Around/Don't Drown</t>
  </si>
  <si>
    <t xml:space="preserve">Educate public on Turn Around/Don’t Drown program </t>
  </si>
  <si>
    <t>01000005, 01000006</t>
  </si>
  <si>
    <t>00000271</t>
  </si>
  <si>
    <t>012000049</t>
  </si>
  <si>
    <t>Region-Wide Public Awareness</t>
  </si>
  <si>
    <t xml:space="preserve">Educate public on flood safety </t>
  </si>
  <si>
    <t>012000054</t>
  </si>
  <si>
    <t>City of Canyon Establish Stormwater Utility Fee </t>
  </si>
  <si>
    <t>Perform stormwater utility rate evaluation and implement a stormwater utility fee to create a dedicated funding source for stormwater projects and storm sewer maintenance</t>
  </si>
  <si>
    <t>Randall</t>
  </si>
  <si>
    <t>11120101, 11120102, 11120103</t>
  </si>
  <si>
    <t>1112010106, 1112010203, 1112010301</t>
  </si>
  <si>
    <t>111201010609, 111201020303, 111201020304, 111201030101</t>
  </si>
  <si>
    <t>01000211, 01000685, 01000696, 01000832</t>
  </si>
  <si>
    <t>01000011, 01000012</t>
  </si>
  <si>
    <t>01003426, 01000243</t>
  </si>
  <si>
    <t>01000243, 00000271, 00000294, 01003426</t>
  </si>
  <si>
    <t>012000055</t>
  </si>
  <si>
    <t>City of Canyon Acquire, Buyout, and Flood-Proofing Program</t>
  </si>
  <si>
    <t>Develop a program to identify and either acquire (buy out/relocate) or elevate structures in the floodplain</t>
  </si>
  <si>
    <t>01000003, 01000004</t>
  </si>
  <si>
    <t>012000056</t>
  </si>
  <si>
    <t>City of Canyon Flood Warning Gages </t>
  </si>
  <si>
    <t>Install flood warning gages to protect Canyon citizens and downstream communities</t>
  </si>
  <si>
    <t>012000057</t>
  </si>
  <si>
    <t>City of Canyon Stream and Culvert Maintenance</t>
  </si>
  <si>
    <t>Perform stream and culvert maintenance</t>
  </si>
  <si>
    <t>012000058</t>
  </si>
  <si>
    <t>City of Canyon Floodplain Regulation and Higher Standards (CRS) </t>
  </si>
  <si>
    <t>Evaluate existing ordinances and development criteria and update as necessary to implement protective floodplain management standards and consider CRS participation</t>
  </si>
  <si>
    <t>012000059</t>
  </si>
  <si>
    <t>City of Canyon Installation of LWC Gates on Flood-Prone Roadways </t>
  </si>
  <si>
    <t>Barrier installation keeps the public from entering high-water areas during flooding events. </t>
  </si>
  <si>
    <t>012000063</t>
  </si>
  <si>
    <t>Region-Wide Initiative to  Increase Communities with Dedicated Funding Sources for Operations &amp; Maintenance of Storm Drainage System</t>
  </si>
  <si>
    <t>Provide resources and assistance for communities looking to developing funding sources for drainage</t>
  </si>
  <si>
    <t>012000050</t>
  </si>
  <si>
    <t>City of Amarillo Update Stormwater Criteria </t>
  </si>
  <si>
    <t>Update stormwater criteria based on recommendations identified in the 2019 Drainage Master Plan</t>
  </si>
  <si>
    <t>Potter, Randall</t>
  </si>
  <si>
    <t>11090105, 11120103, 11120301</t>
  </si>
  <si>
    <t>1109010503, 1109010504, 1112010301, 1112030101</t>
  </si>
  <si>
    <t>110901050308, 110901050309, 110901050402, 111201030101, 111201030102, 111201030106, 111201030107, 111203010101, 111203010102</t>
  </si>
  <si>
    <t>01000110, 01000121, 01000124, 01000211, 01000212, 01000215, 01000220, 01000323, 01000325</t>
  </si>
  <si>
    <t>01002770, 01000243</t>
  </si>
  <si>
    <t>01000227, 01000243, 00000271, 00000294, 00000308, 01002770</t>
  </si>
  <si>
    <t>Randall, Amarillo</t>
  </si>
  <si>
    <t>012000051</t>
  </si>
  <si>
    <t>City of Amarillo Develop Criteria for Playa Development</t>
  </si>
  <si>
    <t>Address sustainable playa development; establish modelling standard </t>
  </si>
  <si>
    <t>Environmental benefits</t>
  </si>
  <si>
    <t>012000052</t>
  </si>
  <si>
    <t>City of Amarillo Gages for Playas </t>
  </si>
  <si>
    <t>Install gages on playa lakes </t>
  </si>
  <si>
    <t>01000001, 01000002</t>
  </si>
  <si>
    <t>012000053</t>
  </si>
  <si>
    <t>City of Amarillo Flood Warning System</t>
  </si>
  <si>
    <t>Implement flood warning system in the north side of town</t>
  </si>
  <si>
    <t>012000060</t>
  </si>
  <si>
    <t>Wichita County Ordinance Development</t>
  </si>
  <si>
    <t>Update subdivision ordiance for enhanced consideration for floodplain management</t>
  </si>
  <si>
    <t>11130102, 11130206, 11130207, 11130209</t>
  </si>
  <si>
    <t>1113010201, 1113010202, 1113010203, 1113020602, 1113020603, 1113020604, 1113020605, 1113020704, 1113020905</t>
  </si>
  <si>
    <t>01000195</t>
  </si>
  <si>
    <t>00000194, 01000195, 01000203, 00000220, 00000223, 00000269, 00000294, 01001522, 01001535, 01002977, 01003048, 01003049, 01003050, 01003331, 01003332, 01003496</t>
  </si>
  <si>
    <t>022000001</t>
  </si>
  <si>
    <t>City of Avinger NFIP Involvement</t>
  </si>
  <si>
    <t xml:space="preserve">Application to join NFIP or adoption of equivalent standards </t>
  </si>
  <si>
    <t>Lower Red-Sulphur-Cypress</t>
  </si>
  <si>
    <t>Cass</t>
  </si>
  <si>
    <t>11140305,11140306</t>
  </si>
  <si>
    <t>111403050405,111403060206,111403060207</t>
  </si>
  <si>
    <t>02000101,02000112,02000129</t>
  </si>
  <si>
    <t>02004001. 02004002</t>
  </si>
  <si>
    <t>City of Avinger</t>
  </si>
  <si>
    <t>02003082</t>
  </si>
  <si>
    <t>No negative impact</t>
  </si>
  <si>
    <t>Improves understanding of flood risk, reduces future risks, and makes flood insurance available   </t>
  </si>
  <si>
    <t>022000002</t>
  </si>
  <si>
    <t>City of Bells NFIP Involvement</t>
  </si>
  <si>
    <t>Grayson</t>
  </si>
  <si>
    <t>11140101</t>
  </si>
  <si>
    <t>111401010105,111401010403</t>
  </si>
  <si>
    <t>02000274,02000285</t>
  </si>
  <si>
    <t>City of Bells</t>
  </si>
  <si>
    <t xml:space="preserve">02003240_x000D_
</t>
  </si>
  <si>
    <t>Improves understanding of flood risk, reduces future risks, and makes flood insurance available</t>
  </si>
  <si>
    <t>022000003</t>
  </si>
  <si>
    <t>City of Cooper NFIP Involvement</t>
  </si>
  <si>
    <t>Delta</t>
  </si>
  <si>
    <t>11140301</t>
  </si>
  <si>
    <t>111403010207,111403010401</t>
  </si>
  <si>
    <t>02000047,02000054</t>
  </si>
  <si>
    <t>City of Cooper</t>
  </si>
  <si>
    <t xml:space="preserve">02002940_x000D_
</t>
  </si>
  <si>
    <t>022000004</t>
  </si>
  <si>
    <t>City of Domino NFIP Involvement</t>
  </si>
  <si>
    <t>11140302</t>
  </si>
  <si>
    <t>1114030207</t>
  </si>
  <si>
    <t>111403020702,111403020703</t>
  </si>
  <si>
    <t>02000205,02000208</t>
  </si>
  <si>
    <t>City of Domino</t>
  </si>
  <si>
    <t xml:space="preserve">02002629_x000D_
</t>
  </si>
  <si>
    <t>022000006</t>
  </si>
  <si>
    <t>City of Douglassville NFIP Involvement</t>
  </si>
  <si>
    <t>1114030206</t>
  </si>
  <si>
    <t>111403020605,111403020606</t>
  </si>
  <si>
    <t>02000221,02000236</t>
  </si>
  <si>
    <t>City of Douglassville</t>
  </si>
  <si>
    <t xml:space="preserve">02002630_x000D_
</t>
  </si>
  <si>
    <t>022000008</t>
  </si>
  <si>
    <t>City of Marietta NFIP Involvement</t>
  </si>
  <si>
    <t>11140306</t>
  </si>
  <si>
    <t>1114030602</t>
  </si>
  <si>
    <t>111403060202</t>
  </si>
  <si>
    <t>02000108</t>
  </si>
  <si>
    <t>City of Marietta</t>
  </si>
  <si>
    <t xml:space="preserve">02002667_x000D_
</t>
  </si>
  <si>
    <t>022000009</t>
  </si>
  <si>
    <t>City of Sherman NFIP Involvement</t>
  </si>
  <si>
    <t>12030106,11130210,11140101</t>
  </si>
  <si>
    <t>120301060201,111302100402,111302100403,111401010106,111401010101,111401010102,111401010103,111401010104</t>
  </si>
  <si>
    <t>02000189,02000248,02000249,02000261,02000275,02000276,02000277,02000278</t>
  </si>
  <si>
    <t>City of Sherman</t>
  </si>
  <si>
    <t xml:space="preserve">02003121_x000D_
</t>
  </si>
  <si>
    <t>022000011</t>
  </si>
  <si>
    <t>City of Wolfe NFIP Involvement</t>
  </si>
  <si>
    <t>Hunt</t>
  </si>
  <si>
    <t>1114030101</t>
  </si>
  <si>
    <t>111403010103</t>
  </si>
  <si>
    <t>02000039</t>
  </si>
  <si>
    <t>City of Wolfe</t>
  </si>
  <si>
    <t xml:space="preserve">02003079_x000D_
</t>
  </si>
  <si>
    <t>022000012</t>
  </si>
  <si>
    <t>Bowie County NFIP Involvement</t>
  </si>
  <si>
    <t>Bowie</t>
  </si>
  <si>
    <t>11140106,11140201,11140302</t>
  </si>
  <si>
    <t xml:space="preserve"> </t>
  </si>
  <si>
    <t>Bowie County</t>
  </si>
  <si>
    <t xml:space="preserve">02000216_x000D_
</t>
  </si>
  <si>
    <t>022000013</t>
  </si>
  <si>
    <t>Camp County NFIP Involvement</t>
  </si>
  <si>
    <t>Camp</t>
  </si>
  <si>
    <t>11140305,11140307</t>
  </si>
  <si>
    <t>111403050203,111403050201,111403050310,111403050302,111403050204,111403050303,111403050307,111403050401,111403050304,111403050202,111403050301,111403050308,111403070105,111403070106,111403070107</t>
  </si>
  <si>
    <t>02000082,02000084,02000087,02000088,02000089,02000090,02000093,02000096,02000102,02000103,02000104,02000105,02000139,02000140,02000141</t>
  </si>
  <si>
    <t>Camp County</t>
  </si>
  <si>
    <t xml:space="preserve">02000178_x000D_
</t>
  </si>
  <si>
    <t>022000014</t>
  </si>
  <si>
    <t>Cass County NFIP Involvement</t>
  </si>
  <si>
    <t>11140303,11140305,11140306,11140304,11140302</t>
  </si>
  <si>
    <t>Cass County</t>
  </si>
  <si>
    <t xml:space="preserve">02000249_x000D_
</t>
  </si>
  <si>
    <t>022000016</t>
  </si>
  <si>
    <t>Delta County NFIP Involvement</t>
  </si>
  <si>
    <t>11140301,11140302</t>
  </si>
  <si>
    <t>111403010106,111403010206,111403010407,111403010204,111403010404,111403010207,111403010203,111403010205,111403010208,111403010401,111403010305,111403010304,111403010306,111403010308,111403010402,111403010403,111403010406,111403020103</t>
  </si>
  <si>
    <t>02000037,02000041,02000042,02000043,02000044,02000047,02000050,02000051,02000052,02000054,02000055,02000056,02000057,02000059,02000060,02000061,02000062,02000242</t>
  </si>
  <si>
    <t>Delta County</t>
  </si>
  <si>
    <t>02000215</t>
  </si>
  <si>
    <t>022000017</t>
  </si>
  <si>
    <t>Fannin County NFIP Involvement</t>
  </si>
  <si>
    <t>Fannin</t>
  </si>
  <si>
    <t>11140301,12030106,11140101</t>
  </si>
  <si>
    <t>Fannin County</t>
  </si>
  <si>
    <t>00000188</t>
  </si>
  <si>
    <t>022000018</t>
  </si>
  <si>
    <t>Franklin County NFIP Involvement</t>
  </si>
  <si>
    <t>Franklin</t>
  </si>
  <si>
    <t>11140301,11140303,11140305,12010002,11140302</t>
  </si>
  <si>
    <t>02000042,02000063,02000064,02000065,02000072,02000073,02000074,02000082,02000083,02000084,02000085,02000086,02000089,02000103,02000172,02000173,02000214,02000215,02000242</t>
  </si>
  <si>
    <t>Franklin County</t>
  </si>
  <si>
    <t>00000213</t>
  </si>
  <si>
    <t>022000019</t>
  </si>
  <si>
    <t>Grayson County NFIP Involvement</t>
  </si>
  <si>
    <t>12030103,12030106,11130210,11140101</t>
  </si>
  <si>
    <t>Grayson County</t>
  </si>
  <si>
    <t>00000190</t>
  </si>
  <si>
    <t>022000021</t>
  </si>
  <si>
    <t>Harrison County NFIP Involvement</t>
  </si>
  <si>
    <t>Harrison</t>
  </si>
  <si>
    <t>11140305,11140306,11140307,12010002,11140304</t>
  </si>
  <si>
    <t>Harrison County</t>
  </si>
  <si>
    <t>00000109</t>
  </si>
  <si>
    <t>022000022</t>
  </si>
  <si>
    <t>Hopkins County NFIP Involvement</t>
  </si>
  <si>
    <t>Hopkins</t>
  </si>
  <si>
    <t>11140301,11140303,11140305,12010002,12010003,11140302</t>
  </si>
  <si>
    <t>02000035,02000037,02000042,02000052,02000054,02000060,02000061,02000064,02000065,02000066,02000067,02000068,02000069,02000070,02000071,02000072,02000079,02000080,02000081,02000085,02000086,02000172,02000176,02000177,02000178,02000179,02000180,02000242</t>
  </si>
  <si>
    <t>Hopkins County</t>
  </si>
  <si>
    <t>00000210</t>
  </si>
  <si>
    <t>022000024</t>
  </si>
  <si>
    <t>Lamar County NFIP Involvement</t>
  </si>
  <si>
    <t>Lamar</t>
  </si>
  <si>
    <t>11140106,11140301,11140302,11140101</t>
  </si>
  <si>
    <t>Lamar County</t>
  </si>
  <si>
    <t xml:space="preserve">02000192_x000D_
</t>
  </si>
  <si>
    <t>022000025</t>
  </si>
  <si>
    <t>Marion County NFIP Involvement</t>
  </si>
  <si>
    <t>Marion</t>
  </si>
  <si>
    <t>11140305,11140306,11140307</t>
  </si>
  <si>
    <t>02000095,02000096,02000097,02000098,02000099,02000100,02000101,02000106,02000113,02000115,02000117,02000120,02000121,02000122,02000125,02000127,02000128,02000129,02000131,02000132,02000133,02000134,02000146,02000150,02000152</t>
  </si>
  <si>
    <t>Marion County</t>
  </si>
  <si>
    <t xml:space="preserve">02000120_x000D_
</t>
  </si>
  <si>
    <t>022000026</t>
  </si>
  <si>
    <t>Morris County NFIP Involvement</t>
  </si>
  <si>
    <t>Morris</t>
  </si>
  <si>
    <t>11140303,11140305,11140306,11140302</t>
  </si>
  <si>
    <t>111403030207,111403030208,111403050310,111403050305,111403050306,111403050309,111403050401,111403050403,111403050402,111403050304,111403060201,111403060202,111403060203,111403060206,111403020302,111403020303,111403020404,111403020402</t>
  </si>
  <si>
    <t>02000075,02000078,02000087,02000091,02000092,02000094,02000096,02000097,02000100,02000102,02000107,02000108,02000110,02000112,02000223,02000226,02000228,02000229</t>
  </si>
  <si>
    <t>Morris County</t>
  </si>
  <si>
    <t xml:space="preserve">02000211_x000D_
</t>
  </si>
  <si>
    <t>022000027</t>
  </si>
  <si>
    <t>Red River County NFIP Involvement</t>
  </si>
  <si>
    <t>Red River</t>
  </si>
  <si>
    <t>11140106,11140302,11140101</t>
  </si>
  <si>
    <t>Red River County</t>
  </si>
  <si>
    <t xml:space="preserve">02000193_x000D_
</t>
  </si>
  <si>
    <t>022000028</t>
  </si>
  <si>
    <t>Titus County NFIP Involvement</t>
  </si>
  <si>
    <t>Titus</t>
  </si>
  <si>
    <t>11140303,11140305,11140302</t>
  </si>
  <si>
    <t>02000073,02000074,02000075,02000076,02000077,02000078,02000082,02000088,02000089,02000090,02000091,02000092,02000102,02000103,02000104,02000211,02000214,02000215,02000216,02000223</t>
  </si>
  <si>
    <t>Titus County</t>
  </si>
  <si>
    <t xml:space="preserve">02000214_x000D_
</t>
  </si>
  <si>
    <t>022000079</t>
  </si>
  <si>
    <t>Upshur County NFIP</t>
  </si>
  <si>
    <t>The County Hazard Mitigation Officer will assist those cities within the county that are not participating in NFIP to take appropriate actions to qualify for and maintain participation in NFIP to have 100% participation within the county</t>
  </si>
  <si>
    <t>Upshur</t>
  </si>
  <si>
    <t>11140305,11140307,12010002</t>
  </si>
  <si>
    <t>02000087,02000093,02000095,02000096,02000098,02000100,02000105,02000135,02000136,02000137,02000138,02000139,02000140,02000141,02000142,02000143,02000144,02000147,02000151,02000158,02000161,02000162,02000163,02000165,02000166</t>
  </si>
  <si>
    <t>Upshur County</t>
  </si>
  <si>
    <t>00000119</t>
  </si>
  <si>
    <t>Reduces Flood Risk</t>
  </si>
  <si>
    <t>022000031</t>
  </si>
  <si>
    <t>City of Commerce CRS Involvement</t>
  </si>
  <si>
    <t>Become an NFIP Community Rating System (CRS) Community</t>
  </si>
  <si>
    <t>111403010105,111403010104,111403010106,111403010202,111403010201,111403010203</t>
  </si>
  <si>
    <t>02000035,02000036,02000037,02000045,02000049,02000050</t>
  </si>
  <si>
    <t>City of Commerce</t>
  </si>
  <si>
    <t xml:space="preserve">02003478_x000D_
</t>
  </si>
  <si>
    <t>022000032</t>
  </si>
  <si>
    <t>City of Whitewright CRS Involvement</t>
  </si>
  <si>
    <t>12030106,11140101</t>
  </si>
  <si>
    <t>120301060104,111401010501</t>
  </si>
  <si>
    <t>02000186,02000280</t>
  </si>
  <si>
    <t>City of Whitewright</t>
  </si>
  <si>
    <t>00003229</t>
  </si>
  <si>
    <t>022000052</t>
  </si>
  <si>
    <t>City of Sherman Emergency Alerts</t>
  </si>
  <si>
    <t>Maintain and Operate Early Alert System - an outdoor warning system composed of nine sirens throughout the City. Public announcements through the reverse telephonic system and through broadcasting local cable channels.</t>
  </si>
  <si>
    <t>02002001. 02002002</t>
  </si>
  <si>
    <t>02003121</t>
  </si>
  <si>
    <t>022000070</t>
  </si>
  <si>
    <t>Grayson County Flood Warning and Public Safety Improvements</t>
  </si>
  <si>
    <t>Create an improved gauge notification system. Increase public awareness before occurrences and during flooding.</t>
  </si>
  <si>
    <t>02002001, 02002002</t>
  </si>
  <si>
    <t>022000071</t>
  </si>
  <si>
    <t>City of Bonham Floodplain Manager</t>
  </si>
  <si>
    <t>Establish a floodplain manager for the city to regulate floodplain development and provide public information concerning flood areas.</t>
  </si>
  <si>
    <t>1114010105</t>
  </si>
  <si>
    <t>111401010504,111401010503</t>
  </si>
  <si>
    <t>02000287,02000288</t>
  </si>
  <si>
    <t>City of Bonham</t>
  </si>
  <si>
    <t xml:space="preserve">02003063_x000D_
</t>
  </si>
  <si>
    <t>022000073</t>
  </si>
  <si>
    <t>Fannin County Floodplain Manager</t>
  </si>
  <si>
    <t>Apply for assistance in establishing a Certified Countywide Floodplain Manager position.   Funding for the continuation of the position would be from permit fees and local budgets. The focus of this role would be to mitigate flooding and protect the flood</t>
  </si>
  <si>
    <t>022000074</t>
  </si>
  <si>
    <t xml:space="preserve">City of Sadler Lift Station Flood-Proofing </t>
  </si>
  <si>
    <t>Raise electrical panels and connections on lift stations above expected flood levels in flood-prone areas.</t>
  </si>
  <si>
    <t>11130210</t>
  </si>
  <si>
    <t>1113021004</t>
  </si>
  <si>
    <t>111302100401</t>
  </si>
  <si>
    <t>02000247</t>
  </si>
  <si>
    <t>02005003, 02005004</t>
  </si>
  <si>
    <t>City of Sadler</t>
  </si>
  <si>
    <t xml:space="preserve">02003151_x000D_
</t>
  </si>
  <si>
    <t>022000076</t>
  </si>
  <si>
    <t>City of Winfield NFIP</t>
  </si>
  <si>
    <t>Participate in NFIP</t>
  </si>
  <si>
    <t>11140303,11140305</t>
  </si>
  <si>
    <t>111403030203,111403050204</t>
  </si>
  <si>
    <t>02000074,02000089</t>
  </si>
  <si>
    <t>02003534</t>
  </si>
  <si>
    <t>022000029</t>
  </si>
  <si>
    <t>Upshur County NFIP Involvement</t>
  </si>
  <si>
    <t>022000010</t>
  </si>
  <si>
    <t>City of Tom Bean NFIP Involvement</t>
  </si>
  <si>
    <t>120301060104,111401010105</t>
  </si>
  <si>
    <t>02000186,02000274</t>
  </si>
  <si>
    <t>City of Tom Bean</t>
  </si>
  <si>
    <t>00003154</t>
  </si>
  <si>
    <t>022000083</t>
  </si>
  <si>
    <t>Creation of Region Wide Stormwater Management Manual</t>
  </si>
  <si>
    <t>Creation of stormwater management manual and assistance to Region 2 communities for adoption.</t>
  </si>
  <si>
    <t>Lower Red-Sulphur-Cypess</t>
  </si>
  <si>
    <t>Bowie, Camp, Cass, Cooke, Delta, Fannin, Franklin, Grayson, Gregg, Harrison, Hopkins, Hunt, Lamar, Marion, Morris, Panola, Red River, Titus, Upshur, Wood</t>
  </si>
  <si>
    <t>11140106,11140301,11140303,11140305,11140306,11140307,12010001,12010002,12010003,12030103,12030106,11130201,11140201,11140304,11140302,11130210,11140101</t>
  </si>
  <si>
    <t>02004003. 02004004</t>
  </si>
  <si>
    <t>Ark - Tex Council of Goverments</t>
  </si>
  <si>
    <t>00000256</t>
  </si>
  <si>
    <t>022000080</t>
  </si>
  <si>
    <t>Turn Around/Don't Drown</t>
  </si>
  <si>
    <t>Educate the public on the Turn-Around/Don’t Drown program</t>
  </si>
  <si>
    <t>02001001, 02001002</t>
  </si>
  <si>
    <t>022000082</t>
  </si>
  <si>
    <t>Public NFIP Education</t>
  </si>
  <si>
    <t>Educate the public on the NFIP program and the importance of purchasing flood insurance</t>
  </si>
  <si>
    <t>022000084</t>
  </si>
  <si>
    <t>Regional Flood Warning System Study</t>
  </si>
  <si>
    <t>Evaluate the potential for future flood warning systems in the region</t>
  </si>
  <si>
    <t>022000081</t>
  </si>
  <si>
    <t>Flood Safety Awareness Education</t>
  </si>
  <si>
    <t>Educate the public on flood safety </t>
  </si>
  <si>
    <t>11140101, 11130210</t>
  </si>
  <si>
    <t>111302100402, 111302100504, 111302100505, 111401010106, 111401010104, 111401010201, 111401010202</t>
  </si>
  <si>
    <t>02000248, 02000252, 02000257, 02000261, 02000278, 02000301, 02000302</t>
  </si>
  <si>
    <t>City of Denison</t>
  </si>
  <si>
    <t xml:space="preserve">02003119_x000D_
</t>
  </si>
  <si>
    <t>032000059</t>
  </si>
  <si>
    <t>Anderson County Floodplain Acquisition and Preservation Program</t>
  </si>
  <si>
    <t>Acquire and preserve open spaces adjacent to floodplain areas.</t>
  </si>
  <si>
    <t>Trinity</t>
  </si>
  <si>
    <t>Anderson</t>
  </si>
  <si>
    <t>12030201,12030105,12020001</t>
  </si>
  <si>
    <t>03000194,03000330,03000343,03000344,03000345,03000346,03000347,03000348,03000349,03000350,03000351,03000352,03000353,03000354,03000355,03000356,03000357,03000358,03000359,03000371,03000372</t>
  </si>
  <si>
    <t>03000013, 03000014, 03000021, 03000022, 03000027, 03000028</t>
  </si>
  <si>
    <t>00000156</t>
  </si>
  <si>
    <t>No negative impact.</t>
  </si>
  <si>
    <t>&lt;Null&gt;</t>
  </si>
  <si>
    <t>032000075</t>
  </si>
  <si>
    <t>Anderson County Flood Education Program</t>
  </si>
  <si>
    <t>Coordinate and implement a natural hazards public awareness campaign. Educate community on the dangers of low water crossings through the installation of warning signs and promotion of “Turn Around, Don’t Drown” Program.</t>
  </si>
  <si>
    <t xml:space="preserve">Anderson </t>
  </si>
  <si>
    <t>03000003, 03000004, 03000037, 03000038</t>
  </si>
  <si>
    <t>032000020</t>
  </si>
  <si>
    <t>Anderson County Structure Permitting Requirement Update</t>
  </si>
  <si>
    <t>Increase freeboard requirements for permitting structures in the SFHA; Adopt a “no-rise” in BFE in the 100-year floodplain; Update local flood ordinance to prohibit granting of variance in SFHA</t>
  </si>
  <si>
    <t>03000011, 03000012, 03000025, 03000026</t>
  </si>
  <si>
    <t>032000060</t>
  </si>
  <si>
    <t>Collin County Property and Structures Buyout Program</t>
  </si>
  <si>
    <t>Develop and implement a buyout program for personal properties and structures located in the floodplain</t>
  </si>
  <si>
    <t xml:space="preserve">Collin </t>
  </si>
  <si>
    <t>12030106,12030103,12030105,12010001</t>
  </si>
  <si>
    <t>03000013, 03000014</t>
  </si>
  <si>
    <t>00000207</t>
  </si>
  <si>
    <t>032000077</t>
  </si>
  <si>
    <t>Cooke County Flood Education and Flood Insurance Public Awareness Program</t>
  </si>
  <si>
    <t>Education of the public on the importance of Flood Insurance. “Turn Around Don’t Drown” campaign.</t>
  </si>
  <si>
    <t xml:space="preserve">Cooke </t>
  </si>
  <si>
    <t>12030103,12030104,11130210,11130201</t>
  </si>
  <si>
    <t>03000037, 03000038, 03000039, 03000040</t>
  </si>
  <si>
    <t>00000189</t>
  </si>
  <si>
    <t>032000061</t>
  </si>
  <si>
    <t xml:space="preserve">Cooke County Acquisition of Repetitive Loss and Damaged Properties </t>
  </si>
  <si>
    <t>Purchase and removal of damaged homes that are located in the floodplain. Buyout of repetitive flood loss properties in the Wilson Court area.</t>
  </si>
  <si>
    <t>032000033</t>
  </si>
  <si>
    <t>Valley View Floodplain Regulation Updates</t>
  </si>
  <si>
    <t>Update local ordinances to include regulation of floodplain so that the community may participate in NFIP program.</t>
  </si>
  <si>
    <t>12030103</t>
  </si>
  <si>
    <t>1203010304</t>
  </si>
  <si>
    <t>120301030402,120301030404</t>
  </si>
  <si>
    <t>03000110,03000112</t>
  </si>
  <si>
    <t>03003212</t>
  </si>
  <si>
    <t>032000062</t>
  </si>
  <si>
    <t xml:space="preserve">Dallas County Acquisition of Flood-Prone and Repetitive Loss Properties </t>
  </si>
  <si>
    <t>Acquisition / demolition of 46 flood-prone and repetitive loss properties.</t>
  </si>
  <si>
    <t xml:space="preserve">Dallas </t>
  </si>
  <si>
    <t>12030106,12030103,12030109,12030104,12030102,12030105</t>
  </si>
  <si>
    <t>03000225</t>
  </si>
  <si>
    <t>032000097</t>
  </si>
  <si>
    <t>Dallas County Open Space System Program and Dallas Trails Program</t>
  </si>
  <si>
    <t>Adopt and implement Dallas County Open Space System Program and Dallas Trails Program.</t>
  </si>
  <si>
    <t>03000021, 03000022, 03000027, 03000028</t>
  </si>
  <si>
    <t>032000019</t>
  </si>
  <si>
    <t xml:space="preserve">Dallas County Floodplain Management </t>
  </si>
  <si>
    <t>Manage the Floodplain beyond the minimum requirements. This action will include developing an incentive program for building above the required freeboard minimum</t>
  </si>
  <si>
    <t>03000005, 03000006</t>
  </si>
  <si>
    <t>032000024</t>
  </si>
  <si>
    <t>Freestone County Flood Damage Prevention Ordinance</t>
  </si>
  <si>
    <t>Develop and Implement a Flood Damage Prevention Ordinance </t>
  </si>
  <si>
    <t xml:space="preserve">Freestone </t>
  </si>
  <si>
    <t>12030201,12070103,12030105,12030108</t>
  </si>
  <si>
    <t>00000143</t>
  </si>
  <si>
    <t>032000087</t>
  </si>
  <si>
    <t>Jack County Flood Education</t>
  </si>
  <si>
    <t>Implement a flood awareness program by providing FEMA / NFIP materials to mortgage lenders, real estate agents and insurance agents</t>
  </si>
  <si>
    <t xml:space="preserve">Jack </t>
  </si>
  <si>
    <t>12060201,12030101</t>
  </si>
  <si>
    <t>03000001,03000002,03000003,03000004,03000007,03000008,03000009,03000010,03000011,03000012,03000013,03000014,03000015,03000016,03000017,03000018,03000019,03000020,03000021,03000022,03000023,03000025,03000026,03000027,03000029,03000033,03000040</t>
  </si>
  <si>
    <t>00000253</t>
  </si>
  <si>
    <t>032000088</t>
  </si>
  <si>
    <t>Kaufman County Flood Education Program</t>
  </si>
  <si>
    <t>Conduct countywide outreach to educate residents on flood hazards, mitigation techniques and promote availability of NFIP flood insurance.</t>
  </si>
  <si>
    <t xml:space="preserve">Kaufman </t>
  </si>
  <si>
    <t>12030106,12030107,12030105,12010001</t>
  </si>
  <si>
    <t>00000108</t>
  </si>
  <si>
    <t>032000038</t>
  </si>
  <si>
    <t>Kaufman County Regulation Standards to Protect Open Space Flood-Prone Areas</t>
  </si>
  <si>
    <t>Conduct program in conjunction with local communities to incorporate regulatory standards to protect open space flood-prone areas</t>
  </si>
  <si>
    <t>03000021, 03000022, 03000025, 03000026, 03000027, 03000028</t>
  </si>
  <si>
    <t>032000043</t>
  </si>
  <si>
    <t xml:space="preserve">Kaufman County Agreement to Monitor High Hazard Dams </t>
  </si>
  <si>
    <t>Develop a mutual aid agreement with the City of Terrell, City of Kemp, City of Kaufman to monitor High hazard dams with automated monitor to minimize potential dam failure of the structure</t>
  </si>
  <si>
    <t>03000001, 03000002, 03000025, 03000026</t>
  </si>
  <si>
    <t>00000108, 03002666, 03003382, 03003379</t>
  </si>
  <si>
    <t>032000100</t>
  </si>
  <si>
    <t>City of Euless Stream Bank Protection Program</t>
  </si>
  <si>
    <t>Develop a plan to reduce stream bank erosion impacts due to flooding along specific creeks</t>
  </si>
  <si>
    <t xml:space="preserve">Tarrant  </t>
  </si>
  <si>
    <t>12030102</t>
  </si>
  <si>
    <t>03000075,03000076,03000077,03000085,03000094</t>
  </si>
  <si>
    <t>03000031, 03000032</t>
  </si>
  <si>
    <t>03003590</t>
  </si>
  <si>
    <t>032000003</t>
  </si>
  <si>
    <t>Addition of Low Water Crossing Signs and Gates - City of Irving</t>
  </si>
  <si>
    <t>Identify and add low water crossing signs and gates to low water crossing areas as described in The Road to The Future Report.</t>
  </si>
  <si>
    <t>12030103,12030102,12030105</t>
  </si>
  <si>
    <t>03000077,03000078,03000094,03000096,03000097,03000148,03000149,03000168</t>
  </si>
  <si>
    <t>03000001, 03000002, 03000003, 03000004</t>
  </si>
  <si>
    <t>03002563</t>
  </si>
  <si>
    <t>032000068</t>
  </si>
  <si>
    <t>City of Mansfield Property Acquisition Program</t>
  </si>
  <si>
    <t>Acquire properties at risk of flooding and permanently remove them from special flood hazard areas.</t>
  </si>
  <si>
    <t>03000080,03000087,03000089,03000090,03000091</t>
  </si>
  <si>
    <t>03003013</t>
  </si>
  <si>
    <t>032000004</t>
  </si>
  <si>
    <t xml:space="preserve">Richardson Flood Warning and Public Safety Improvements </t>
  </si>
  <si>
    <t>Monitor streams and waterways for potential flooding problems including installation of gauges, sensors, and precipitation measuring sites.</t>
  </si>
  <si>
    <t>12030106,12030105</t>
  </si>
  <si>
    <t>03000173,03000174,03000205,03000206,03000229,03000232</t>
  </si>
  <si>
    <t>03000001, 03000002</t>
  </si>
  <si>
    <t>03002820</t>
  </si>
  <si>
    <t>032000005</t>
  </si>
  <si>
    <t>Timber Creek Flood Warning System Installation</t>
  </si>
  <si>
    <t>Purchase and Install Flood Warning Systems in Key Areas Along Timber Creek</t>
  </si>
  <si>
    <t xml:space="preserve">Denton </t>
  </si>
  <si>
    <t>1203010310</t>
  </si>
  <si>
    <t>120301031002</t>
  </si>
  <si>
    <t>03000146</t>
  </si>
  <si>
    <t>03003354</t>
  </si>
  <si>
    <t>032000008</t>
  </si>
  <si>
    <t xml:space="preserve">City of Kemp Siren Notification System </t>
  </si>
  <si>
    <t>Install siren notification system for disasters, including dam failure of Kemp Lake Dam</t>
  </si>
  <si>
    <t>12030107</t>
  </si>
  <si>
    <t>03000239,03000249,03000250,03000256,03000258</t>
  </si>
  <si>
    <t>03003382</t>
  </si>
  <si>
    <t>032000010</t>
  </si>
  <si>
    <t>Rockwall County Warning Signs and Flood Control Gates</t>
  </si>
  <si>
    <t>Install automatic flood warning gates to prevent access into flooded areas. Install warning signs and flood control</t>
  </si>
  <si>
    <t xml:space="preserve">Rockwall </t>
  </si>
  <si>
    <t>12030106,12030107,12010001</t>
  </si>
  <si>
    <t>03000204,03000205,03000226,03000231,03000233,03000240,03000241</t>
  </si>
  <si>
    <t>00000175</t>
  </si>
  <si>
    <t>032000013</t>
  </si>
  <si>
    <t>Dalworthington Flood Warning System</t>
  </si>
  <si>
    <t>Purchase and install a technological based high water detection system for low water crossings to mitigate the hazards when the location floods</t>
  </si>
  <si>
    <t>1203010204</t>
  </si>
  <si>
    <t>120301020405</t>
  </si>
  <si>
    <t>03000080</t>
  </si>
  <si>
    <t>03003519</t>
  </si>
  <si>
    <t>032000014</t>
  </si>
  <si>
    <t>Colleyville Flood Warning System</t>
  </si>
  <si>
    <t>Enhance high water warning system by adding automatic gates on the streets that normally flood</t>
  </si>
  <si>
    <t>03000075,03000076,03000085</t>
  </si>
  <si>
    <t>03002385</t>
  </si>
  <si>
    <t>032000023</t>
  </si>
  <si>
    <t>Hill County Flooding Regulations Update</t>
  </si>
  <si>
    <t>Catalog, evaluate, and update any floodplain regulations within the City to comply with the latest FEMA regulations.</t>
  </si>
  <si>
    <t xml:space="preserve">Hill </t>
  </si>
  <si>
    <t>12030109,12070103,12030108,12060202</t>
  </si>
  <si>
    <t>03000268,03000269,03000270,03000271,03000272,03000273,03000274,03000275,03000276,03000277,03000278,03000280,03000284,03000305,03000309,03000318,03000319</t>
  </si>
  <si>
    <t>00000161</t>
  </si>
  <si>
    <t>032000030</t>
  </si>
  <si>
    <t>Town of Westlake's Floodplain Mitigation Ordinances Review</t>
  </si>
  <si>
    <t>Review and enhance the Town of Westlake’s floodplain mitigation ordinances and policies as needed</t>
  </si>
  <si>
    <t>12030104</t>
  </si>
  <si>
    <t>1203010403</t>
  </si>
  <si>
    <t>120301040305</t>
  </si>
  <si>
    <t>03000163</t>
  </si>
  <si>
    <t>03000025, 03000026</t>
  </si>
  <si>
    <t>03002860</t>
  </si>
  <si>
    <t>032000093</t>
  </si>
  <si>
    <t>Tarrant County Flood Education Program</t>
  </si>
  <si>
    <t>Conduct NFIP community workshops to provide information and incentives for property owners to acquire flood insurance.</t>
  </si>
  <si>
    <t>12030103,12030104,12030101,12030102</t>
  </si>
  <si>
    <t>03000224</t>
  </si>
  <si>
    <t>032000095</t>
  </si>
  <si>
    <t xml:space="preserve">Walker County Floodplain Regulatory Awareness Public Information Campaign </t>
  </si>
  <si>
    <t>Rewrite, improve, and implement new local floodplain regulations, to include a public information campaign on regulatory awareness</t>
  </si>
  <si>
    <t xml:space="preserve">Walker </t>
  </si>
  <si>
    <t>12040103,12040101,12030202</t>
  </si>
  <si>
    <t>03000397,03000398,03000399,03000401,03000402,03000403,03000404,03000407,03000408,03000416,03000421,03000422,03000427,03000428,03000429,03000430,03000431,03000432</t>
  </si>
  <si>
    <t>03000025, 03000026, 03000037, 03000038</t>
  </si>
  <si>
    <t>032000092</t>
  </si>
  <si>
    <t>Tarrant County Flood Education</t>
  </si>
  <si>
    <t>Provide flood risk and mitigation risk mapping materials for property owners in floodplains. Include mitigation techniques</t>
  </si>
  <si>
    <t>1203010201</t>
  </si>
  <si>
    <t>120301020105</t>
  </si>
  <si>
    <t>03000056</t>
  </si>
  <si>
    <t>03000037, 03000038</t>
  </si>
  <si>
    <t>03003566</t>
  </si>
  <si>
    <t>032000084</t>
  </si>
  <si>
    <t>Hill County Flooding Education and Outreach Program</t>
  </si>
  <si>
    <t>Develop a coordinated education, outreach, and training program to inform and educate the public about the dangers of flooding and how to prevent flood damages to property.</t>
  </si>
  <si>
    <t>032000011</t>
  </si>
  <si>
    <t xml:space="preserve">Chambers Creek Stream Flow Monitoring System </t>
  </si>
  <si>
    <t>Implement a Stream Flow Monitoring system that will allow for historical tracking and constant monitoring of water levels to assist with  early warnings to residents</t>
  </si>
  <si>
    <t>120301020403</t>
  </si>
  <si>
    <t>03000074</t>
  </si>
  <si>
    <t>03003521</t>
  </si>
  <si>
    <t>032000039</t>
  </si>
  <si>
    <t>Tarrant County Promotion of Open Space and LID</t>
  </si>
  <si>
    <t>Promote the inclusion of low impact development requirements in local and regional ordinances</t>
  </si>
  <si>
    <t>03000027, 03000028</t>
  </si>
  <si>
    <t>00000270</t>
  </si>
  <si>
    <t>032000046</t>
  </si>
  <si>
    <t xml:space="preserve">Navarro County Waterways Clearing </t>
  </si>
  <si>
    <t>Develop a maintenance program to clear waterways of debris and prevent further collection of debris in waterways</t>
  </si>
  <si>
    <t xml:space="preserve">Navarro  </t>
  </si>
  <si>
    <t>12030109,12030108</t>
  </si>
  <si>
    <t>03000283,03000292,03000293,03000301,03000302,03000303</t>
  </si>
  <si>
    <t>03003281</t>
  </si>
  <si>
    <t>032000051</t>
  </si>
  <si>
    <t xml:space="preserve">Acquire and Protect Red Oak Creek, Bentle Branch Creek, and Balcones Escarpment </t>
  </si>
  <si>
    <t>Acquire areas in the floodplain and protect environmentally sensitive areas and convert them into open space land</t>
  </si>
  <si>
    <t>12030109,12030102,12030105</t>
  </si>
  <si>
    <t>03000089,03000092,03000178,03000181,03000297</t>
  </si>
  <si>
    <t>03002747</t>
  </si>
  <si>
    <t>Acquire areas in the floodplain and protect environmentally sensitive areas and convert them into open space land.</t>
  </si>
  <si>
    <t>032000052</t>
  </si>
  <si>
    <t>Ten Mile Creek Comprehensive Loss Reduction Program</t>
  </si>
  <si>
    <t>Develop a comprehensive loss reduction program, involving buy outs and relocation in areas along Ten Mile Creek to reduce losses and repetitive damages. Buyout structures that are in the floodplain. Land Acquisition for repetitive loss structures</t>
  </si>
  <si>
    <t>12030105</t>
  </si>
  <si>
    <t>03000171,03000172,03000176,03000177,03000178,03000185</t>
  </si>
  <si>
    <t>03000013, 03000014, 03000021, 03000022</t>
  </si>
  <si>
    <t>03002564</t>
  </si>
  <si>
    <t>032000053</t>
  </si>
  <si>
    <t>Midway Property Acquisition and Elevation Program</t>
  </si>
  <si>
    <t>Acquire existing homes located in the identified special flood hazard area (the 100-year floodplain).</t>
  </si>
  <si>
    <t xml:space="preserve">Madison </t>
  </si>
  <si>
    <t>12030202</t>
  </si>
  <si>
    <t>03000401,03000405</t>
  </si>
  <si>
    <t>03002815</t>
  </si>
  <si>
    <t>032000071</t>
  </si>
  <si>
    <t>Wise County Repetitive Flood Loss Buyout Program</t>
  </si>
  <si>
    <t>Develop a buyout program for repetitive flood loss areas within the county</t>
  </si>
  <si>
    <t xml:space="preserve">Wise </t>
  </si>
  <si>
    <t>03000209</t>
  </si>
  <si>
    <t>032000070</t>
  </si>
  <si>
    <t>Walker County Voluntary Buyout Program</t>
  </si>
  <si>
    <t>The county and partnering jurisdictions will begin a voluntary buyout program for insured severe repetitive loss properties that are in the floodplain</t>
  </si>
  <si>
    <t>00000053, 03003392</t>
  </si>
  <si>
    <t>032000069</t>
  </si>
  <si>
    <t>Tarrant County Property Acquisition Program</t>
  </si>
  <si>
    <t xml:space="preserve">Create a Buyout Program for Repetitive Loss Properties </t>
  </si>
  <si>
    <t>032000050</t>
  </si>
  <si>
    <t xml:space="preserve">Hazard Hardening Retrofit for Polk County Facilities </t>
  </si>
  <si>
    <t xml:space="preserve">Polk </t>
  </si>
  <si>
    <t>12020002,12020006,12020007,12030202</t>
  </si>
  <si>
    <t>03000423,03000424,03000425,03000426,03000433,03000434,03000435,03000436,03000437,03000439,03000440,03000441,03000442,03000443,03000445,03000446,03000447,03000448,03000449,03000450</t>
  </si>
  <si>
    <t>03000019, 03000020</t>
  </si>
  <si>
    <t>00000058, 03002554, 03003502, 03002519, 03003430</t>
  </si>
  <si>
    <t>032000067</t>
  </si>
  <si>
    <t>City of Kennedale Property Acquisition Program - Village Creek</t>
  </si>
  <si>
    <t>Acquire all private property located within the Village Creek 100-year floodplain in the City of Kennedale</t>
  </si>
  <si>
    <t>120301020403,120301020404,120301020405</t>
  </si>
  <si>
    <t>03000074,03000079,03000080</t>
  </si>
  <si>
    <t>03003586</t>
  </si>
  <si>
    <t>032000041</t>
  </si>
  <si>
    <t>Dallas County Land Use Program</t>
  </si>
  <si>
    <t>Continue to develop and maintain special use parks and green belt areas as flooding mitigation strategies &amp; further prohibiting development in the floodplain.</t>
  </si>
  <si>
    <t>032000090</t>
  </si>
  <si>
    <t>Parker County Flood and Dam Education</t>
  </si>
  <si>
    <t>Create and implement a community-wide educational campaign to educate residents about the NFIP and dam safety</t>
  </si>
  <si>
    <t xml:space="preserve">Parker </t>
  </si>
  <si>
    <t>12060201,12030101,12030102</t>
  </si>
  <si>
    <t>03000027,03000028,03000035,03000038,03000049,03000050,03000051,03000053,03000054,03000055,03000057,03000058,03000059,03000060,03000061,03000062,03000063,03000064,03000065,03000066,03000067,03000069,03000070</t>
  </si>
  <si>
    <t>00003292, 03003491, 03003160, 00000122</t>
  </si>
  <si>
    <t>032000098</t>
  </si>
  <si>
    <t>Parker County Nature-Based Practices for Flood Control</t>
  </si>
  <si>
    <t>Implement the use of green infrastructure</t>
  </si>
  <si>
    <t>00000122, 03003491</t>
  </si>
  <si>
    <t>Implement the use of green infrastructure.</t>
  </si>
  <si>
    <t>032000056</t>
  </si>
  <si>
    <t>San Jacinto County Voluntary Property Acquisition &amp; Elevation Program</t>
  </si>
  <si>
    <t>Pursue voluntary acquisition projects for flood prone properties. Elevate homes in low lying or flood prone areas.</t>
  </si>
  <si>
    <t xml:space="preserve">San Jacinto </t>
  </si>
  <si>
    <t>1203020212</t>
  </si>
  <si>
    <t>03000444,03000450</t>
  </si>
  <si>
    <t>03003515, 00000047</t>
  </si>
  <si>
    <t>032000058</t>
  </si>
  <si>
    <t>Acquisition of Repetitive Loss Properties in the Deep River Plantation Subdivision</t>
  </si>
  <si>
    <t>Acquire repetitive flood loss properties and properties prone to flooding in the Deep River Plantation Subdivision</t>
  </si>
  <si>
    <t>032000074</t>
  </si>
  <si>
    <t>City of Hurst Buyout Program</t>
  </si>
  <si>
    <t>107 total structures across the Lorean, Valley View, and Walker watersheds</t>
  </si>
  <si>
    <t>03000076,03000085,03000086</t>
  </si>
  <si>
    <t>03003588</t>
  </si>
  <si>
    <t>032000001</t>
  </si>
  <si>
    <t>Lavon Warning System</t>
  </si>
  <si>
    <t>Expand the Early Warning Sirens and Local Warning System to notify new populations of impending severe weather or imminent hazards to reduce the loss of life and mitigate the effects of the hazards</t>
  </si>
  <si>
    <t>12030106</t>
  </si>
  <si>
    <t>03000225,03000226</t>
  </si>
  <si>
    <t>03003139</t>
  </si>
  <si>
    <t>032000002</t>
  </si>
  <si>
    <t>Lindsay Flood Warning and Public Safety Improvements</t>
  </si>
  <si>
    <t>Citywide “reverse 911” to enable local emergency officials to notify emergency information pertaining to flood advisories, flood warnings, and flood evacuations.</t>
  </si>
  <si>
    <t>Cooke</t>
  </si>
  <si>
    <t>12030103,11130201</t>
  </si>
  <si>
    <t>03000102,03000111</t>
  </si>
  <si>
    <t>00003210</t>
  </si>
  <si>
    <t>032000006</t>
  </si>
  <si>
    <t>Houston County Stream and Rain Gauge Installation</t>
  </si>
  <si>
    <t>Install stream and rain gauges in flood prone areas and waterways as part of new alert notification system</t>
  </si>
  <si>
    <t xml:space="preserve">Houston </t>
  </si>
  <si>
    <t>12020002,12030201,12020001,12030202</t>
  </si>
  <si>
    <t>03000327,03000328,03000329,03000330,03000358,03000371,03000372,03000373,03000384,03000385,03000386,03000387,03000388,03000390,03000406,03000407,03000408,03000409,03000410,03000411,03000412,03000413,03000414,03000416,03000417,03000428</t>
  </si>
  <si>
    <t>00000128</t>
  </si>
  <si>
    <t>032000007</t>
  </si>
  <si>
    <t>Hunt County Flood Warning and Public Safety</t>
  </si>
  <si>
    <t>Adopt and Promote the program of “Turn Around Don’t Drown Campaign.” Implement early warning program.</t>
  </si>
  <si>
    <t>12030106,11140301,12030107,12010003,12010001</t>
  </si>
  <si>
    <t>03000207,03000208,03000241</t>
  </si>
  <si>
    <t>00000212</t>
  </si>
  <si>
    <t>032000009</t>
  </si>
  <si>
    <t>Leon County Local Flood Warning System</t>
  </si>
  <si>
    <t>This action proposes a local flood warning system to reduce the potential impacts of future flood events</t>
  </si>
  <si>
    <t>Leon</t>
  </si>
  <si>
    <t>12030201,12070103,12030202</t>
  </si>
  <si>
    <t>03000330,03000357,03000359,03000360,03000362,03000363,03000364,03000365,03000369,03000370,03000371,03000375,03000376,03000377,03000378,03000379,03000380,03000381,03000382,03000383,03000384,03000387,03000389,03000390,03000391</t>
  </si>
  <si>
    <t>00000132</t>
  </si>
  <si>
    <t>032000015</t>
  </si>
  <si>
    <t>Haslet Flood Warning System</t>
  </si>
  <si>
    <t>Install flood warning devices to low water crossing.</t>
  </si>
  <si>
    <t xml:space="preserve">Tarrant </t>
  </si>
  <si>
    <t>12030104,12030102</t>
  </si>
  <si>
    <t>03000075,03000083,03000159,03000160</t>
  </si>
  <si>
    <t>03002832</t>
  </si>
  <si>
    <t>032000017</t>
  </si>
  <si>
    <t>Additional Low Water Crossing Flashing Lights and Automated Gates</t>
  </si>
  <si>
    <t>Duncan Perry Road between Ave K and Sherwood Drive, Riverside Pkwy LWC (lights already in place need gates added), SW 3rd from Phillips Ct to Dickey Road (gates being added in September 2021)</t>
  </si>
  <si>
    <t>Dallas</t>
  </si>
  <si>
    <t>03000077,03000078,03000087,03000088,03000089,03000091,03000092,03000093,03000094,03000095</t>
  </si>
  <si>
    <t>03000003, 03000004</t>
  </si>
  <si>
    <t>03002761</t>
  </si>
  <si>
    <t>032000016</t>
  </si>
  <si>
    <t>Additional Rain/Stream Gauges for 13 locations</t>
  </si>
  <si>
    <t>032000012</t>
  </si>
  <si>
    <t>Creek Level Monitoring Systems and Weather Stations Installation</t>
  </si>
  <si>
    <t>Install creek level monitoring systems and weather stations</t>
  </si>
  <si>
    <t>032000018</t>
  </si>
  <si>
    <t>Create improved gauge notification system. Increased Public Awareness prior to occurrences and during flooding.</t>
  </si>
  <si>
    <t>12030106,11140101,12030103,11130210</t>
  </si>
  <si>
    <t>03000103,03000104,03000108,03000120,03000121,03000122,03000123,03000129,03000131,03000132,03000210,03000211,03000212,03000213,03000215,03000220,03000221</t>
  </si>
  <si>
    <t>032000022</t>
  </si>
  <si>
    <t>Flood Protection Ordinance Updates</t>
  </si>
  <si>
    <t>Develop and Implement a City and Town flood protection ordinance</t>
  </si>
  <si>
    <t>Denton</t>
  </si>
  <si>
    <t>03000130,03000133,03000138,03000140,03000141,03000142,03000143,03000144,03000145,03000147</t>
  </si>
  <si>
    <t>03002487, 03002740, 03002414, 03003350, 03003359, 03003352</t>
  </si>
  <si>
    <t>032000025</t>
  </si>
  <si>
    <t>Caney City Floodproofing Ordinances</t>
  </si>
  <si>
    <t>Implement ordinances to ensure new housing developments meet current floodproofing, as well as ensure that critical facilities owned by jurisdiction are protected from flood.</t>
  </si>
  <si>
    <t>Henderson</t>
  </si>
  <si>
    <t>1203010703</t>
  </si>
  <si>
    <t>120301070307,120301070309</t>
  </si>
  <si>
    <t>03000262,03000264</t>
  </si>
  <si>
    <t>03002892</t>
  </si>
  <si>
    <t>032000026</t>
  </si>
  <si>
    <t>Leon County Floodplain Construction Restrictions Re-Evaluation</t>
  </si>
  <si>
    <t>This action proposes a re-evaluation of all existing floodplain construction restrictions to identify strengths and weaknesses in order to reduce future damages during flood events</t>
  </si>
  <si>
    <t>032000028</t>
  </si>
  <si>
    <t>San Jacinto County Ordinance to Control Location of Development</t>
  </si>
  <si>
    <t>Strengthen ordinance(s)/code(s) to control location of development, especially in low lying flood hazard areas</t>
  </si>
  <si>
    <t>12040103,12030202</t>
  </si>
  <si>
    <t>03000441,03000442,03000444,03000450</t>
  </si>
  <si>
    <t>03000021, 03000022, 03000025, 03000026</t>
  </si>
  <si>
    <t>00000047, 03003515, 00003513, 03003514</t>
  </si>
  <si>
    <t>032000029</t>
  </si>
  <si>
    <t>Montague County Floodplain Policy Update</t>
  </si>
  <si>
    <t>Increase freeboard requirements for permitting structures in the SFHA; Update local flood ordinance to prohibit granting of variance in SFHA</t>
  </si>
  <si>
    <t xml:space="preserve">Montague </t>
  </si>
  <si>
    <t>12030103,12030104,12030101,11130209,11130201</t>
  </si>
  <si>
    <t>03000011, 03000012, 03000021, 03000022, 03000025, 03000026</t>
  </si>
  <si>
    <t>00000191</t>
  </si>
  <si>
    <t>032000031</t>
  </si>
  <si>
    <t>Wills Point Structure Permitting Requirement Update</t>
  </si>
  <si>
    <t>Increase freeboard requirements for permitting structures in the SFHA; Adopt a “no-rise” in BFE in the 100-year floodplain; Update local flood ordinance</t>
  </si>
  <si>
    <t>Van Zandt</t>
  </si>
  <si>
    <t>12030107,12010001</t>
  </si>
  <si>
    <t>03000253</t>
  </si>
  <si>
    <t>00002589</t>
  </si>
  <si>
    <t>032000034</t>
  </si>
  <si>
    <t>City of Sachse Parks Construction Along Low Lying Areas</t>
  </si>
  <si>
    <t>Establish city parks along low-lying areas</t>
  </si>
  <si>
    <t>1203010604</t>
  </si>
  <si>
    <t>03000205,03000229,03000230</t>
  </si>
  <si>
    <t>03003577</t>
  </si>
  <si>
    <t>Establish city parks along low-lying areas.</t>
  </si>
  <si>
    <t>032000035</t>
  </si>
  <si>
    <t xml:space="preserve">Carrollton Targeted Flood Remediation </t>
  </si>
  <si>
    <t>Plan for and establish City-owned stand-by contracts for targeted flood remediation of private homes if authorized by City Administration.</t>
  </si>
  <si>
    <t>12030103,12030104,12030105</t>
  </si>
  <si>
    <t>03000145,03000146,03000147,03000148,03000149,03000167,03000170</t>
  </si>
  <si>
    <t>03000013, 03000014, 03000025, 03000026</t>
  </si>
  <si>
    <t>03003353</t>
  </si>
  <si>
    <t>032000036</t>
  </si>
  <si>
    <t>Sunnyvale Floodplain Preservation Program</t>
  </si>
  <si>
    <t>Restrict future development in high risk areas.</t>
  </si>
  <si>
    <t>120301060409,120301060501,120301060503</t>
  </si>
  <si>
    <t>03000231,03000232,03000234</t>
  </si>
  <si>
    <t>03002565</t>
  </si>
  <si>
    <t>032000037</t>
  </si>
  <si>
    <t>Itasca Zoning Regulations and Land Use Planning Mechanisms</t>
  </si>
  <si>
    <t>Establish zoning regulations to prohibit residential construction in flood prone areas. Implement strategic land-use planning mechanisms to ensure flood-resistant development occurs in flood-prone areas</t>
  </si>
  <si>
    <t>Hill</t>
  </si>
  <si>
    <t>12030109,12060202</t>
  </si>
  <si>
    <t>03000319</t>
  </si>
  <si>
    <t>00002606</t>
  </si>
  <si>
    <t>032000042</t>
  </si>
  <si>
    <t>Houston County Maintenance Program</t>
  </si>
  <si>
    <t>Houston</t>
  </si>
  <si>
    <t>03000029, 03000030</t>
  </si>
  <si>
    <t>032000044</t>
  </si>
  <si>
    <t>Rowlett Creek Tributary Maintenance Program</t>
  </si>
  <si>
    <t>Develop a maintenance program including routine channel maintenance and erosion control for Rowlett Creek Tributary (Stream 2D13). Keep creek and inlets clear of debris and overgrown vegetation.</t>
  </si>
  <si>
    <t>03000174,03000204,03000205,03000206,03000229,03000230,03000231,03000232</t>
  </si>
  <si>
    <t>032000045</t>
  </si>
  <si>
    <t>Addison-Carrollton Debris Cleaning Program</t>
  </si>
  <si>
    <t>Develop and implement a program for clearing debris from bridges, drains and culverts.</t>
  </si>
  <si>
    <t>03000145,03000146,03000147,03000148,03000149,03000167,03000170,03000173</t>
  </si>
  <si>
    <t>00000156, 03003353</t>
  </si>
  <si>
    <t>032000047</t>
  </si>
  <si>
    <t>Weatherford Biannual Dam Inspection Program</t>
  </si>
  <si>
    <t>Create and implement a biannual inspection program to inspect the city-owned dams to help prevent dam failure</t>
  </si>
  <si>
    <t>Parker</t>
  </si>
  <si>
    <t>12060201,12030102</t>
  </si>
  <si>
    <t>03000054,03000059,03000060,03000061,03000062,03000063</t>
  </si>
  <si>
    <t>03000033, 03000034</t>
  </si>
  <si>
    <t>00003292</t>
  </si>
  <si>
    <t>032000048</t>
  </si>
  <si>
    <t>Richland Hills Semi-Annual Levee Inspections</t>
  </si>
  <si>
    <t>Prepare an inspection program of the levee to look for any maintenance problems or levee failure issues</t>
  </si>
  <si>
    <t>1203010205</t>
  </si>
  <si>
    <t>03000083,03000085,03000086</t>
  </si>
  <si>
    <t>03003560</t>
  </si>
  <si>
    <t>032000054</t>
  </si>
  <si>
    <t>Montague County Property Acquisition and Land Preservation Program</t>
  </si>
  <si>
    <t>Acquire and preserve open space adjacent to floodplain areas.</t>
  </si>
  <si>
    <t>032000055</t>
  </si>
  <si>
    <t>Montague County Sewage Treatment Plants and Sewage Lift Stations Flood-Proofing Program</t>
  </si>
  <si>
    <t>Flood-proof sewage treatment plants in flood hazard / low-lying areas within Region 3. Raise electrical components of sewage lift stations above the Base Flood Elevation (BFE)</t>
  </si>
  <si>
    <t>032000057</t>
  </si>
  <si>
    <t>Johnson County Acquisition of Flood Prone Structures</t>
  </si>
  <si>
    <t>Acquire, relocate, and/or elevate flood prone structures</t>
  </si>
  <si>
    <t xml:space="preserve">Johnson </t>
  </si>
  <si>
    <t>12030109,12060201,12030102,12060202</t>
  </si>
  <si>
    <t>03000065,03000066,03000067,03000068,03000072,03000073,03000087,03000088,03000089,03000090,03000091,03000313,03000314,03000315,03000318,03000319</t>
  </si>
  <si>
    <t>00000104</t>
  </si>
  <si>
    <t>032000063</t>
  </si>
  <si>
    <t>Grayson County Buyout of Repetitive Flood Properties</t>
  </si>
  <si>
    <t>Buyout of repetitive flood properties, which includes any structures found to be located in flood areas that aren't incorporated in NFIP areas.</t>
  </si>
  <si>
    <t xml:space="preserve">Grayson </t>
  </si>
  <si>
    <t>032000064</t>
  </si>
  <si>
    <t>Terrell Property Acquisition Program</t>
  </si>
  <si>
    <t>Acquire high risk and repetitive flood-prone structures</t>
  </si>
  <si>
    <t>1203010701</t>
  </si>
  <si>
    <t>03000240,03000241,03000242,03000244,03000245,03000246</t>
  </si>
  <si>
    <t>03002666</t>
  </si>
  <si>
    <t>032000065</t>
  </si>
  <si>
    <t>Leon County Property Acquisition Program</t>
  </si>
  <si>
    <t>Acquire any repetitive loss structures located below the high hazard dams and homes located in the floodplain.</t>
  </si>
  <si>
    <t xml:space="preserve">Leon </t>
  </si>
  <si>
    <t>032000072</t>
  </si>
  <si>
    <t>City of Chico Property Acquisition Program</t>
  </si>
  <si>
    <t>City will acquire property and structures in the flood zone along Dry Creek and its tributaries and remove structures to prevent loss of life and property during flooding events.</t>
  </si>
  <si>
    <t>Wise</t>
  </si>
  <si>
    <t>12030101</t>
  </si>
  <si>
    <t>1203010104</t>
  </si>
  <si>
    <t>120301010410,120301010411</t>
  </si>
  <si>
    <t>03000030,03000031</t>
  </si>
  <si>
    <t>03002960</t>
  </si>
  <si>
    <t>032000073</t>
  </si>
  <si>
    <t>Town Creek Warren Park Extension (Property Acquisition Program)</t>
  </si>
  <si>
    <t>Create a buyout program</t>
  </si>
  <si>
    <t>Tarrant</t>
  </si>
  <si>
    <t>12030109,12030102,12060202</t>
  </si>
  <si>
    <t>03000068,03000072,03000073,03000090,03000313</t>
  </si>
  <si>
    <t>00003009</t>
  </si>
  <si>
    <t>032000078</t>
  </si>
  <si>
    <t>Glenn Heights-Seagoville-Wilmer Flood Safety Improvements and Education</t>
  </si>
  <si>
    <t>Educate community on the dangers of low water crossings through the installation of warning signs and promotion of "Turn Around, Don't Drown" Program</t>
  </si>
  <si>
    <t>03000171,03000172,03000179,03000180,03000181,03000185,03000236,03000238</t>
  </si>
  <si>
    <t>03002748, 03003579, 03002566</t>
  </si>
  <si>
    <t>032000079</t>
  </si>
  <si>
    <t>Implement "Turn Around, Don't Drown" campaign.</t>
  </si>
  <si>
    <t>1203010308</t>
  </si>
  <si>
    <t>03000134,03000136</t>
  </si>
  <si>
    <t>03002413</t>
  </si>
  <si>
    <t>032000080</t>
  </si>
  <si>
    <t>Fannin County Flood Safety Education</t>
  </si>
  <si>
    <t>Education programs such as “Turn around Don’t Drown.” Work with local newspaper to run flood safety information. Public education via water bills, social media, and webpage to promote flood safety.</t>
  </si>
  <si>
    <t>12030106,11140101,11140301,11140102</t>
  </si>
  <si>
    <t>03000207,03000208,03000209,03000210</t>
  </si>
  <si>
    <t>032000081</t>
  </si>
  <si>
    <t>Fannin County Flood Insurance Education</t>
  </si>
  <si>
    <t>Develop and distribute information about the availability and need for flood insurance. Public awareness of NFIP.</t>
  </si>
  <si>
    <t>032000082</t>
  </si>
  <si>
    <t>Grayson County Flood Insurance and Flood Safety Education Program</t>
  </si>
  <si>
    <t>Educate residents on NFIP program and importance of purchasing flood insurance. Turn Around Don’t Drown Campaign. Educate property owners near high hazard dams of potential dam failure. Better inform residents of mitigation activities to implement in h</t>
  </si>
  <si>
    <t>032000085</t>
  </si>
  <si>
    <t>Houston County Flood Insurance and Dam Education Program</t>
  </si>
  <si>
    <t>Develop and implement NFIP public education program for residents affected by high flood risk areas. Educate the Public on mitigation activities that can help protect their properties in the event of structural failures and extreme flooding.</t>
  </si>
  <si>
    <t>032000089</t>
  </si>
  <si>
    <t>Montague County Flood Education</t>
  </si>
  <si>
    <t>Implement a flood awareness program by providing FEMA / NFIP materials to mortgage lenders, real estate agents and insurance agents and place them in local libraries.</t>
  </si>
  <si>
    <t>032000091</t>
  </si>
  <si>
    <t>Livingston Flood Damage Mitigation Educational Program</t>
  </si>
  <si>
    <t>Establish an educational program to teach citizens how to mitigate flood damage to their property</t>
  </si>
  <si>
    <t>1203020210</t>
  </si>
  <si>
    <t>120302021005</t>
  </si>
  <si>
    <t>03000436</t>
  </si>
  <si>
    <t>03003502</t>
  </si>
  <si>
    <t>032000096</t>
  </si>
  <si>
    <t>City of Chico NFIP Education Program</t>
  </si>
  <si>
    <t>Distribute information to downstream property owners educating homeowners about the National Flood Insurance Program.</t>
  </si>
  <si>
    <t>032000099</t>
  </si>
  <si>
    <t>Krugerville waterways stabilization program</t>
  </si>
  <si>
    <t>Develop waterways stabilization program</t>
  </si>
  <si>
    <t>03000114,03000131,03000133,03000139,03000140</t>
  </si>
  <si>
    <t>03002412</t>
  </si>
  <si>
    <t>032000101</t>
  </si>
  <si>
    <t>Lewisville Storm Water Utility Fee</t>
  </si>
  <si>
    <t>Conduct a study to evaluate the implementation of levying a storm water fee for developers to fund developments to the storm water drainage systems</t>
  </si>
  <si>
    <t>12030103,12030104</t>
  </si>
  <si>
    <t>03000138,03000144,03000145,03000146,03000147,03000167</t>
  </si>
  <si>
    <t>03000041, 03000042</t>
  </si>
  <si>
    <t>032000102</t>
  </si>
  <si>
    <t>City of Retreat NFIP Floodplain Ordinance</t>
  </si>
  <si>
    <t>Develop a floodplain ordinance that meets or exceeds FEMA's minimum standards</t>
  </si>
  <si>
    <t>Navarro</t>
  </si>
  <si>
    <t>03000283,03000290,03000292,03000302</t>
  </si>
  <si>
    <t>03002635</t>
  </si>
  <si>
    <t>032000103</t>
  </si>
  <si>
    <t>City of Streetman NFIP Floodplain Ordinance</t>
  </si>
  <si>
    <t>12030201,12030108</t>
  </si>
  <si>
    <t>03000291,03000292,03000336</t>
  </si>
  <si>
    <t>03002600</t>
  </si>
  <si>
    <t>032000104</t>
  </si>
  <si>
    <t>City of Alma NFIP Floodplain Ordinance</t>
  </si>
  <si>
    <t>Ellis</t>
  </si>
  <si>
    <t>12030109,12030105</t>
  </si>
  <si>
    <t>120301050404,120301090401</t>
  </si>
  <si>
    <t>03000199,03000325</t>
  </si>
  <si>
    <t>03002750</t>
  </si>
  <si>
    <t>032000105</t>
  </si>
  <si>
    <t>City of Alvord NFIP Floodplain Ordinance</t>
  </si>
  <si>
    <t>1203010105</t>
  </si>
  <si>
    <t>120301010507,120301010509</t>
  </si>
  <si>
    <t>03000042,03000044</t>
  </si>
  <si>
    <t>03002958</t>
  </si>
  <si>
    <t>032000106</t>
  </si>
  <si>
    <t>City of Angus NFIP Floodplain Ordinance</t>
  </si>
  <si>
    <t>12030108</t>
  </si>
  <si>
    <t>1203010804</t>
  </si>
  <si>
    <t>03000290,03000292</t>
  </si>
  <si>
    <t>03002572</t>
  </si>
  <si>
    <t>032000107</t>
  </si>
  <si>
    <t>City of Bedias NFIP Floodplain Ordinance</t>
  </si>
  <si>
    <t>03000374,03000398</t>
  </si>
  <si>
    <t>03003304</t>
  </si>
  <si>
    <t>032000108</t>
  </si>
  <si>
    <t>City of Bynum NFIP Floodplain Ordinance</t>
  </si>
  <si>
    <t>1203010801</t>
  </si>
  <si>
    <t>03000273,03000275</t>
  </si>
  <si>
    <t>03002597</t>
  </si>
  <si>
    <t>032000109</t>
  </si>
  <si>
    <t>Carl's Corner NFIP Floodplain Ordinance</t>
  </si>
  <si>
    <t>12030108,12060202</t>
  </si>
  <si>
    <t>03000271,03000272</t>
  </si>
  <si>
    <t>00002598</t>
  </si>
  <si>
    <t>032000110</t>
  </si>
  <si>
    <t>City of Combine NFIP Floodplain Ordinance</t>
  </si>
  <si>
    <t>03000180,03000238</t>
  </si>
  <si>
    <t>03003578</t>
  </si>
  <si>
    <t>032000111</t>
  </si>
  <si>
    <t>Cayote Flats NFIP Floodplain Ordinance</t>
  </si>
  <si>
    <t>Johnson</t>
  </si>
  <si>
    <t>03000313,03000318</t>
  </si>
  <si>
    <t>00003263</t>
  </si>
  <si>
    <t>032000112</t>
  </si>
  <si>
    <t>City of Dorchester NFIP Floodplain Ordinance</t>
  </si>
  <si>
    <t>12030106,11140101,12030103</t>
  </si>
  <si>
    <t>03000120,03000211</t>
  </si>
  <si>
    <t>00003242</t>
  </si>
  <si>
    <t>032000114</t>
  </si>
  <si>
    <t>City of Emhouse NFIP Floodplain Ordinance</t>
  </si>
  <si>
    <t>12030109</t>
  </si>
  <si>
    <t>1203010904</t>
  </si>
  <si>
    <t>120301090404,120301090402</t>
  </si>
  <si>
    <t>03000301,03000326</t>
  </si>
  <si>
    <t>03002603</t>
  </si>
  <si>
    <t>032000115</t>
  </si>
  <si>
    <t>City of Eureka NFIP Floodplain Ordinance</t>
  </si>
  <si>
    <t>03000293,03000294,03000303,03000304</t>
  </si>
  <si>
    <t>03003282</t>
  </si>
  <si>
    <t>032000116</t>
  </si>
  <si>
    <t>City of Goodlow NFIP Floodplain Ordinance</t>
  </si>
  <si>
    <t>1203010505</t>
  </si>
  <si>
    <t>120301050503</t>
  </si>
  <si>
    <t>03000191</t>
  </si>
  <si>
    <t>03003283</t>
  </si>
  <si>
    <t>032000117</t>
  </si>
  <si>
    <t>Grays Prairie NFIP Floodplain Ordinance</t>
  </si>
  <si>
    <t>Kaufman</t>
  </si>
  <si>
    <t>12030107,12030105</t>
  </si>
  <si>
    <t>03000200,03000201,03000247,03000249</t>
  </si>
  <si>
    <t>03002660</t>
  </si>
  <si>
    <t>032000118</t>
  </si>
  <si>
    <t>City of Hebron NFIP Floodplain Ordinance</t>
  </si>
  <si>
    <t>120301031003</t>
  </si>
  <si>
    <t>03000147</t>
  </si>
  <si>
    <t>03003358</t>
  </si>
  <si>
    <t>032000119</t>
  </si>
  <si>
    <t>City of Iola NFIP Floodplain Ordinance</t>
  </si>
  <si>
    <t>12070103,12030202</t>
  </si>
  <si>
    <t>03000394</t>
  </si>
  <si>
    <t>00003186</t>
  </si>
  <si>
    <t>032000120</t>
  </si>
  <si>
    <t>City of Kirvin NFIP Floodplain Ordinance</t>
  </si>
  <si>
    <t>Freestone</t>
  </si>
  <si>
    <t>12030201</t>
  </si>
  <si>
    <t>1203020101</t>
  </si>
  <si>
    <t>120302010103,120302010105</t>
  </si>
  <si>
    <t>03000333,03000335</t>
  </si>
  <si>
    <t>03002463</t>
  </si>
  <si>
    <t>032000121</t>
  </si>
  <si>
    <t>City of Latexo NFIP Floodplain Ordinance</t>
  </si>
  <si>
    <t>1203020107</t>
  </si>
  <si>
    <t>120302010705</t>
  </si>
  <si>
    <t>03000328</t>
  </si>
  <si>
    <t>03002533</t>
  </si>
  <si>
    <t>032000122</t>
  </si>
  <si>
    <t>City of Leona NFIP Floodplain Ordinance</t>
  </si>
  <si>
    <t>1203020202</t>
  </si>
  <si>
    <t>120302020202</t>
  </si>
  <si>
    <t>03000380</t>
  </si>
  <si>
    <t>03002642</t>
  </si>
  <si>
    <t>032000123</t>
  </si>
  <si>
    <t>City of Midway NFIP Floodplain Ordinance</t>
  </si>
  <si>
    <t>Madison</t>
  </si>
  <si>
    <t>032000137</t>
  </si>
  <si>
    <t>Mobile City NFIP Floodplain Ordinance</t>
  </si>
  <si>
    <t>Rockwall</t>
  </si>
  <si>
    <t>120301060401</t>
  </si>
  <si>
    <t>03000226</t>
  </si>
  <si>
    <t>03003165</t>
  </si>
  <si>
    <t>032000124</t>
  </si>
  <si>
    <t>City of Mustang NFIP Floodplain Ordinance</t>
  </si>
  <si>
    <t>120301080403</t>
  </si>
  <si>
    <t>03000292</t>
  </si>
  <si>
    <t>03002632</t>
  </si>
  <si>
    <t>032000125</t>
  </si>
  <si>
    <t>City of Nevada NFIP Floodplain Ordinance</t>
  </si>
  <si>
    <t>Collin</t>
  </si>
  <si>
    <t>12030106,12010001</t>
  </si>
  <si>
    <t>00002657</t>
  </si>
  <si>
    <t>032000126</t>
  </si>
  <si>
    <t>Oak Grove NFIP Floodplain Ordinance</t>
  </si>
  <si>
    <t>03000247,03000248</t>
  </si>
  <si>
    <t>03002661</t>
  </si>
  <si>
    <t>032000127</t>
  </si>
  <si>
    <t>Oak Valley NFIP Floodplain Ordinance</t>
  </si>
  <si>
    <t>1203010802</t>
  </si>
  <si>
    <t>120301080206</t>
  </si>
  <si>
    <t>03000283</t>
  </si>
  <si>
    <t>03002633</t>
  </si>
  <si>
    <t>032000128</t>
  </si>
  <si>
    <t>City of Penelope NFIP Floodplain Ordinance</t>
  </si>
  <si>
    <t>120301080106</t>
  </si>
  <si>
    <t>03000273</t>
  </si>
  <si>
    <t>03002609</t>
  </si>
  <si>
    <t>032000129</t>
  </si>
  <si>
    <t>Post Oak Bend NFIP Floodplain Ordinance</t>
  </si>
  <si>
    <t>120301070106,120301070107</t>
  </si>
  <si>
    <t>03000245,03000246</t>
  </si>
  <si>
    <t>03002663</t>
  </si>
  <si>
    <t>032000130</t>
  </si>
  <si>
    <t>Providence Village NFIP Floodplain Ordinance</t>
  </si>
  <si>
    <t>03000131,03000133,03000140</t>
  </si>
  <si>
    <t>03003205</t>
  </si>
  <si>
    <t>032000132</t>
  </si>
  <si>
    <t>City of Rosser NFIP Floodplain Ordinance</t>
  </si>
  <si>
    <t>1203010504</t>
  </si>
  <si>
    <t>03000197,03000198,03000200</t>
  </si>
  <si>
    <t>03003383</t>
  </si>
  <si>
    <t>032000133</t>
  </si>
  <si>
    <t>City of Tehuacana NFIP Floodplain Ordinance</t>
  </si>
  <si>
    <t>Limestone</t>
  </si>
  <si>
    <t>12030201,12070103,12030108</t>
  </si>
  <si>
    <t>03000286,03000331</t>
  </si>
  <si>
    <t>00002949</t>
  </si>
  <si>
    <t>032000113</t>
  </si>
  <si>
    <t>Draper NFIP Floodplain Ordinance</t>
  </si>
  <si>
    <t>120301040304</t>
  </si>
  <si>
    <t>03000162</t>
  </si>
  <si>
    <t>03003422</t>
  </si>
  <si>
    <t>032000134</t>
  </si>
  <si>
    <t>City of Dallas Buyout of Repetitive Loss Properties</t>
  </si>
  <si>
    <t>Develop a buyout program for repetitive loss properties within the city.</t>
  </si>
  <si>
    <t>12030106,12030103,12030102,12030105</t>
  </si>
  <si>
    <t>03002819</t>
  </si>
  <si>
    <t>032000135</t>
  </si>
  <si>
    <t>City of Fort Worth HROM Program</t>
  </si>
  <si>
    <t>Implement a Hazardous Roadway Overtopping Mitigation (HROM) Program to prioritize hazardous roadway overtopping and identify acceptable, affordable, and effective solutions for construction to maximize impact of available funding and reduce risks.</t>
  </si>
  <si>
    <t>12030104,12030101,12030102</t>
  </si>
  <si>
    <t>03000013, 03000014, 03000031, 03000032</t>
  </si>
  <si>
    <t>03002831</t>
  </si>
  <si>
    <t>032000136</t>
  </si>
  <si>
    <t>City of Lindsay Flood Monitoring System</t>
  </si>
  <si>
    <t>Install flood monitoring equipment throughout the City of Lindsay.</t>
  </si>
  <si>
    <t>Entity Budget/Funds</t>
  </si>
  <si>
    <t>032000131</t>
  </si>
  <si>
    <t>Town of Road Runner NFIP Floodplain Ordinance</t>
  </si>
  <si>
    <t>120301030404</t>
  </si>
  <si>
    <t>03000112</t>
  </si>
  <si>
    <t>03002987</t>
  </si>
  <si>
    <t>032000138</t>
  </si>
  <si>
    <t>City of Fort Worth Open Space Conservation</t>
  </si>
  <si>
    <t>Acquire open space to preserve floodplains and upland watershed areas.</t>
  </si>
  <si>
    <t>Acquire open space to preserve floodplains and upland watershed areas</t>
  </si>
  <si>
    <t>032000139</t>
  </si>
  <si>
    <t>City of Burleson Flood Warning and Safety Improvements</t>
  </si>
  <si>
    <t>Safety improvements at SE Tarrant Ave, N Warren St, SW Johnson Ave, and SE Newton Dr. Safety improvements may include, but are not limited to, high-water warning flashers, staff gauges, flood hazard signs, and additional light fixtures.</t>
  </si>
  <si>
    <t>03000068,03000072,03000073</t>
  </si>
  <si>
    <t>032000027</t>
  </si>
  <si>
    <t xml:space="preserve">Rockwall County Flood Prevention Ordinance </t>
  </si>
  <si>
    <t>Update Flood Prevention ordinance, adopting a “no-rise” in Base Flood Elevation in the 100-year floodplain</t>
  </si>
  <si>
    <t>032000094</t>
  </si>
  <si>
    <t>Van Zandt County Flood Safety Improvements and Education</t>
  </si>
  <si>
    <t>Educate community on the dangers of low water crossings</t>
  </si>
  <si>
    <t xml:space="preserve">Van Zandt </t>
  </si>
  <si>
    <t>12030107,12020001,12010001</t>
  </si>
  <si>
    <t>03000239,03000252,03000253,03000254,03000255,03000257,03000259,03000260,03000261,03000262</t>
  </si>
  <si>
    <t>00000110</t>
  </si>
  <si>
    <t>032000140</t>
  </si>
  <si>
    <t>City of Grand Prairie CIP Program</t>
  </si>
  <si>
    <t>Improvement projects throughout the City of Grand Prairie</t>
  </si>
  <si>
    <t>03000007, 03000008, 03000031, 03000032, 03000035, 03000036</t>
  </si>
  <si>
    <t>031000184,031000185,031000186,031000187, 031000188,031000189,031000190,031000191, 031000192,031000193,031000194,031000195, 031000196,031000197,031000198,031000199, 031000200,031000201,031000202,031000203, 031000204,031000205,031000206,031000207,031000208,</t>
  </si>
  <si>
    <t>032000141</t>
  </si>
  <si>
    <t xml:space="preserve">Drainage improvement projects throughout the City of Hurst. </t>
  </si>
  <si>
    <t>031000175,031000176,031000177,031000178,031000179,031000180</t>
  </si>
  <si>
    <t>032000142</t>
  </si>
  <si>
    <t xml:space="preserve">Drainage improvement projects throughout the City of Garland. </t>
  </si>
  <si>
    <t>03003265</t>
  </si>
  <si>
    <t>031000098,031000099,031000100,031000101,031000102,031000103,031000104,031000105,031000106,031000107,031000108,031000109,031000110,031000111,031000112,031000113,031000114,031000115,031000116,031000117,031000118,031000119</t>
  </si>
  <si>
    <t>032000143</t>
  </si>
  <si>
    <t>Infrastructure improvements throughout the City of Terrell.</t>
  </si>
  <si>
    <t>120301070105</t>
  </si>
  <si>
    <t>03000244</t>
  </si>
  <si>
    <t>Still pending formal vote.</t>
  </si>
  <si>
    <t>Sabine</t>
  </si>
  <si>
    <t>12010001</t>
  </si>
  <si>
    <t>120100010407, 120100010503, 120100010501, 120100010502, 120100010504, 120100010601, 120100010507, 120100010603, 120100010608, 120100010605, 120100010607, 120100010505, 120100010405, 120100010604</t>
  </si>
  <si>
    <t>04000019, 04000022, 04000020, 04000021, 04000023, 04000027, 04000026, 04000029, 04000034, 04000031, 04000033, 04000024, 04000017, 04000030</t>
  </si>
  <si>
    <t>Avoidance of Future Flood Risk</t>
  </si>
  <si>
    <t>Non-Structural</t>
  </si>
  <si>
    <t>999999</t>
  </si>
  <si>
    <t>Aligns with RFPG Goals</t>
  </si>
  <si>
    <t>1201000103</t>
  </si>
  <si>
    <t>1201000105</t>
  </si>
  <si>
    <t>04002462</t>
  </si>
  <si>
    <t>1201000106</t>
  </si>
  <si>
    <t>120100010608, 120100010607</t>
  </si>
  <si>
    <t>04000034, 04000033</t>
  </si>
  <si>
    <t>00002538</t>
  </si>
  <si>
    <t>042000017</t>
  </si>
  <si>
    <t>City of Van Flood Infrastructure Maintenance</t>
  </si>
  <si>
    <t>Adopt and implement a program for clearing debris from bridges, drains and culverts.</t>
  </si>
  <si>
    <t>04000011</t>
  </si>
  <si>
    <t>04002588</t>
  </si>
  <si>
    <t>120100010501, 120100010502</t>
  </si>
  <si>
    <t>04000020, 04000021</t>
  </si>
  <si>
    <t>042000022</t>
  </si>
  <si>
    <t>City of Wills Point Flood Infrastructure Maintenance</t>
  </si>
  <si>
    <t>Gregg, Upshur</t>
  </si>
  <si>
    <t>12010002</t>
  </si>
  <si>
    <t>1201000204, 1201000204, 1201000204</t>
  </si>
  <si>
    <t>120100020402, 120100020403, 120100020405</t>
  </si>
  <si>
    <t>04000052, 04000053, 04000055</t>
  </si>
  <si>
    <t>04002773</t>
  </si>
  <si>
    <t>042000028</t>
  </si>
  <si>
    <t>City of Gladewater Flood Infrastructure Maintenance Program</t>
  </si>
  <si>
    <t>Implement program to remove debris from drainage culverts when needed to alleviate potential flooding hazards</t>
  </si>
  <si>
    <t>04002775</t>
  </si>
  <si>
    <t>042000033</t>
  </si>
  <si>
    <t>City of Clarksville City Flood Infrastructure Inspection and Maintenance Program</t>
  </si>
  <si>
    <t>Monitor flood-prone areas and remove debris from drainage culverts when needed to alleviate potential flooding hazards.</t>
  </si>
  <si>
    <t>1201000204</t>
  </si>
  <si>
    <t>120100020405</t>
  </si>
  <si>
    <t>04000055</t>
  </si>
  <si>
    <t>04003052</t>
  </si>
  <si>
    <t>Smith</t>
  </si>
  <si>
    <t>1201000201</t>
  </si>
  <si>
    <t>120100020102</t>
  </si>
  <si>
    <t>04000036</t>
  </si>
  <si>
    <t>00003178</t>
  </si>
  <si>
    <t>042000052</t>
  </si>
  <si>
    <t>Orange</t>
  </si>
  <si>
    <t>12010005</t>
  </si>
  <si>
    <t>1201000510</t>
  </si>
  <si>
    <t>120100051005,120100051004,120100051100,120100051003</t>
  </si>
  <si>
    <t>04000195,04000194,04000196,04000193</t>
  </si>
  <si>
    <t>042000008</t>
  </si>
  <si>
    <t>Orange County Emergency Response Staging Area</t>
  </si>
  <si>
    <t>Staging Area and “lily pads” for use during disaster events.</t>
  </si>
  <si>
    <t>00000512</t>
  </si>
  <si>
    <t>042000012</t>
  </si>
  <si>
    <t>City of Edgewood Flood Infrastructure Maintenance</t>
  </si>
  <si>
    <t>Adopt and implement a program for clearing debris from bridges, drains, and culverts</t>
  </si>
  <si>
    <t>12020001</t>
  </si>
  <si>
    <t>120100010502,120100010504</t>
  </si>
  <si>
    <t>04000021,04000023</t>
  </si>
  <si>
    <t>042000019</t>
  </si>
  <si>
    <t xml:space="preserve">Adopt and implement a program for clearing debris from bridges, drains, and culverts_x000D_
</t>
  </si>
  <si>
    <t>120100010601,</t>
  </si>
  <si>
    <t xml:space="preserve">04000027,04000031_x000D_
</t>
  </si>
  <si>
    <t xml:space="preserve">12010001_x000D_
</t>
  </si>
  <si>
    <t xml:space="preserve">1201000103_x000D_
</t>
  </si>
  <si>
    <t>120100010301</t>
  </si>
  <si>
    <t>00002648</t>
  </si>
  <si>
    <t>042000045</t>
  </si>
  <si>
    <t xml:space="preserve">City of Hideaway Dam Reliability Program_x000D_
</t>
  </si>
  <si>
    <t xml:space="preserve">The city will remove trees from earthen dams on hideaway lakes #2 and #3 to mitigate erosion and assist with soil adhesion._x000D_
</t>
  </si>
  <si>
    <t>042000025</t>
  </si>
  <si>
    <t xml:space="preserve">Develop and implement a county-wide pre-disaster debris removal and monitoring contracts_x000D_
</t>
  </si>
  <si>
    <t>04000010</t>
  </si>
  <si>
    <t>042000032</t>
  </si>
  <si>
    <t>City of Kilgore Flood Infrastructure Inspection and Maintenance Program</t>
  </si>
  <si>
    <t xml:space="preserve">Investigate the current condition of culverts, headwalls, and repairs to culverts and headwalls_x000D_
</t>
  </si>
  <si>
    <t>Rusk</t>
  </si>
  <si>
    <t>1201000204,1201000205</t>
  </si>
  <si>
    <t>120100020502,120100020503,120100020506,120100020405</t>
  </si>
  <si>
    <t xml:space="preserve">04000061,04000055,04000057,04000058
</t>
  </si>
  <si>
    <t>052000128</t>
  </si>
  <si>
    <t>City of Henderson Flood Infrastructure Maintenance</t>
  </si>
  <si>
    <t>Establish a plan to conduct various flood control maintenance improvements throughout the City</t>
  </si>
  <si>
    <t>Neches</t>
  </si>
  <si>
    <t>12020004</t>
  </si>
  <si>
    <t>1202000404</t>
  </si>
  <si>
    <t>120200040401</t>
  </si>
  <si>
    <t>05000144</t>
  </si>
  <si>
    <t>05000007,05000008,05000011,05000012,05000013,05000014</t>
  </si>
  <si>
    <t>00002895</t>
  </si>
  <si>
    <t>Complies with RFPG Goals</t>
  </si>
  <si>
    <t>Jefferson</t>
  </si>
  <si>
    <t>05000005,05000006,05000007,05000008</t>
  </si>
  <si>
    <t>Cherokee</t>
  </si>
  <si>
    <t>1202000402,1202000404</t>
  </si>
  <si>
    <t>120200040207,120200040405</t>
  </si>
  <si>
    <t>05000126,05000137</t>
  </si>
  <si>
    <t>05002866</t>
  </si>
  <si>
    <t>Angelina</t>
  </si>
  <si>
    <t>12020002</t>
  </si>
  <si>
    <t>1202000203</t>
  </si>
  <si>
    <t>12020007</t>
  </si>
  <si>
    <t>1202000701</t>
  </si>
  <si>
    <t>120200070109,120200070106,120200070108</t>
  </si>
  <si>
    <t>05000229,05000236,05000238</t>
  </si>
  <si>
    <t>05000007,05000008</t>
  </si>
  <si>
    <t>05002480</t>
  </si>
  <si>
    <t>1202000304,1201000510,1204020105</t>
  </si>
  <si>
    <t>05000001,05000002,05000003,05000004,05000005,05000025,05000256,05000257,05000258</t>
  </si>
  <si>
    <t>Nacogdoches</t>
  </si>
  <si>
    <t>12020004,12020005</t>
  </si>
  <si>
    <t>1202000407,1202000501,1202000502</t>
  </si>
  <si>
    <t>120200040704,120200050101,120200050102,120200050106,120200050201</t>
  </si>
  <si>
    <t>05000118,05000159,05000160,05000162,05000166</t>
  </si>
  <si>
    <t>05000011,05000012,05000013,05000014</t>
  </si>
  <si>
    <t>05002929</t>
  </si>
  <si>
    <t>1202000101,1202000102,1202000103</t>
  </si>
  <si>
    <t>120200010201,120200010203,120200010205,120200010206,120200010301,120200010101,120200010102,120200010103,120200010105,120200010202,120200010204</t>
  </si>
  <si>
    <t>05000031,05000032,05000038,05000039,05000040,05000044,05000045,05000046,05000048,05000049,05000050</t>
  </si>
  <si>
    <t>052000093</t>
  </si>
  <si>
    <t>Anderson County Dam Inspection and Maintenance Program</t>
  </si>
  <si>
    <t xml:space="preserve">Work with dam owners to keep dams in excellent condition by visiting dam locations and doing inspections with owners to ensure that dams are properly maintained and failure possibilities are greatly reduced. </t>
  </si>
  <si>
    <t>1202000103,1202000104,1202000105,1202000107</t>
  </si>
  <si>
    <t>05000027,05000028,05000029,05000030,05000033,05000034,05000035,05000036,05000037,05000053,05000055,05000056,05000057,05000058,05000059,05000060,05000061,05000064,05000065,05000069,05000070</t>
  </si>
  <si>
    <t>12020007,12030203,12040201,12040202</t>
  </si>
  <si>
    <t>1202000701,1202000702,1204020101,1204020201,1204020202,1203020302</t>
  </si>
  <si>
    <t>120200070109,120200070102,120200070101,120200070110,120200070104,120200070105,120200070107,120200070106,120200070103,120200070108,120200070201,120302030202,120402020100,120402020200,120402010100</t>
  </si>
  <si>
    <t>05000229,05000230,05000231,05000232,05000233,05000234,05000235,05000236,05000237,05000238,05000239,05000248,05000250,05000252,05000259</t>
  </si>
  <si>
    <t>12020003,12020007,12040201,12040202</t>
  </si>
  <si>
    <t>Chambers</t>
  </si>
  <si>
    <t>12040201,12040202,12040203,12040204</t>
  </si>
  <si>
    <t>1204020101,1204020201,1204020202,1204020203,1204020204</t>
  </si>
  <si>
    <t>120402030200,120402020100,120402020400,120402020500,120402020200,120402020300,120402040200,120402010100</t>
  </si>
  <si>
    <t>05000249,05000250,05000251,05000252,05000253,05000254,05000259,05000262</t>
  </si>
  <si>
    <t>00000013</t>
  </si>
  <si>
    <t>052000053</t>
  </si>
  <si>
    <t>Jefferson County Property Elevation</t>
  </si>
  <si>
    <t>FIF Application; aimed to elevate houses within county subject to inundation from flooding.</t>
  </si>
  <si>
    <t>1204020101,1204020102,1204020103,1204020105,1204020202,1204020203,1204020205,1202000304,1202000701,1202000702,1202000703</t>
  </si>
  <si>
    <t>120200030407,120200030405,120200030406,120200070110,120200070105,120200070201,120200070205,120200070304,120200070303,120402020500,120402020200,120402020300,120402010500,120402010100,120402010200,120402010300</t>
  </si>
  <si>
    <t>05000001,05000003,05000004,05000232,05000234,05000239,05000242,05000244,05000246,05000252,05000253,05000258,05000259,05000260,05000261,05000262</t>
  </si>
  <si>
    <t>05000025</t>
  </si>
  <si>
    <t>052000054</t>
  </si>
  <si>
    <t xml:space="preserve">Liberty County Property Acquisition </t>
  </si>
  <si>
    <t>Acquire property located in the floodplain including properties located in subdivisions along the Trinity River.</t>
  </si>
  <si>
    <t>Polk</t>
  </si>
  <si>
    <t>12020002,12020006,12020007</t>
  </si>
  <si>
    <t>1202000203,1202000204,1202000205,1202000601,1202000602,1202000604,1202000702</t>
  </si>
  <si>
    <t>05000081,05000085,05000086,05000087,05000091,05000092,05000093,05000095,05000096,05000097,05000098,05000101,05000102,05000203,05000206,05000209,05000210,05000211,05000220,05000222,05000224,05000225,05000240</t>
  </si>
  <si>
    <t>00000058</t>
  </si>
  <si>
    <t>1202000202,1202000203,1202000204</t>
  </si>
  <si>
    <t>120200020203,120200020207,120200020205,120200020206,120200020204,120200020304,120200020303,120200020305,120200020306,120200020402,120200020401,120200020403,120200020404,120200020405,120200020407,120200020202</t>
  </si>
  <si>
    <t>05000075,05000076,05000077,05000078,05000079,05000080,05000084,05000086,05000087,05000088,05000089,05000090,05000091,05000093,05000096,05000110</t>
  </si>
  <si>
    <t>00000065</t>
  </si>
  <si>
    <t>052000059</t>
  </si>
  <si>
    <t>Trinity County Buyout Program Implementation</t>
  </si>
  <si>
    <t>Develop and implement a program to buyout repetitive loss properties and convert to open space, parks, boating access, trails, and/or as a general community asset.</t>
  </si>
  <si>
    <t>05000001,05000002</t>
  </si>
  <si>
    <t>052000044</t>
  </si>
  <si>
    <t>Angelina County Property Elevation</t>
  </si>
  <si>
    <t>Elevate properties in the floodplain.</t>
  </si>
  <si>
    <t>12020002,12020003,12020004,12020005</t>
  </si>
  <si>
    <t>1202000201,1202000202,1202000203,1202000205,1202000301,1202000406,1202000407,1202000501,1202000502,1202000506,1202000509</t>
  </si>
  <si>
    <t>05000125</t>
  </si>
  <si>
    <t>052000043</t>
  </si>
  <si>
    <t>Angelina County Property Acquisition</t>
  </si>
  <si>
    <t>Acquire repetitive loss properties.</t>
  </si>
  <si>
    <t>1202000201,1202000202,1202000203,1202000205,1202000301,1202000406,1202000407,1202000501,1202000502,1202000506,1202000509,1202000510</t>
  </si>
  <si>
    <t>05000125,05002807,05003561,05003199</t>
  </si>
  <si>
    <t>05000125,05002807,05003195,05003196,05003198,05003561,05003199</t>
  </si>
  <si>
    <t>12020001,12020002</t>
  </si>
  <si>
    <t>1202000105,1202000107,1202000201,1202000202,1202000204</t>
  </si>
  <si>
    <t>120200010509,120200010705,120200010701,120200010702,120200010703,120200020101,120200020203,120200020206,120200020204,120200020402,120200020401,120200020102,120200020103,120200020104,120200020106,120200020202</t>
  </si>
  <si>
    <t>05000030,05000037,05000069,05000070,05000071,05000073,05000075,05000078,05000079,05000088,05000089,05000105,05000106,05000107,05000108,05000110</t>
  </si>
  <si>
    <t>1202000202</t>
  </si>
  <si>
    <t>San Augustine</t>
  </si>
  <si>
    <t>12020005</t>
  </si>
  <si>
    <t>1202000504,1202000505,1202000506,1202000507,1202000508,1202000509</t>
  </si>
  <si>
    <t>05000158,05000168,05000169,05000170,05000171,05000172,05000175,05000176,05000177,05000178,05000179,05000183,05000184,05000185,05000186,05000189,05000190,05000191,05000192,05000193,05000194,05000199,05000200,05000201</t>
  </si>
  <si>
    <t>00000136</t>
  </si>
  <si>
    <t>00000136,05003236,05003487</t>
  </si>
  <si>
    <t>052000057</t>
  </si>
  <si>
    <t>San Augustine County Structure Elevation</t>
  </si>
  <si>
    <t>Elevate existing flood prone structures above the base flood elevation to reduce flood losses. Flood proof historical structures at risk from flooding.</t>
  </si>
  <si>
    <t>052000056</t>
  </si>
  <si>
    <t>San Augustine County Acquisition and Conversion of Flood Prone Properties</t>
  </si>
  <si>
    <t>Acquire flood prone/repetitive loss properties and convert to open space, parks, boating access, trails, agricultural projects, and/or as a general community asset.</t>
  </si>
  <si>
    <t>Shelby</t>
  </si>
  <si>
    <t>1202000503,1202000504,1202000507</t>
  </si>
  <si>
    <t>120200050303,120200050301,120200050307,120200050401,120200050402,120200050403,120200050404,120200050405,120200050701</t>
  </si>
  <si>
    <t>05000150,05000152,05000156,05000157,05000158,05000169,05000170,05000171,05000176</t>
  </si>
  <si>
    <t>00000153</t>
  </si>
  <si>
    <t>052000058</t>
  </si>
  <si>
    <t>Shelby County Property Acquisition</t>
  </si>
  <si>
    <t>Acquire flood prone/repetitive loss properties and convert to open space, parks, boating access, trails, agricultural projects, and/or as a general community asset</t>
  </si>
  <si>
    <t>12020001,12020004</t>
  </si>
  <si>
    <t>1202000106,1202000402</t>
  </si>
  <si>
    <t>120200010601,120200010602,120200040206,120200040207</t>
  </si>
  <si>
    <t>05000066,05000067,05000125,05000126</t>
  </si>
  <si>
    <t>05002867</t>
  </si>
  <si>
    <t>052000055</t>
  </si>
  <si>
    <t>City of Nacogdoches Study and Ranking of Repetitive Loss Structures</t>
  </si>
  <si>
    <t xml:space="preserve">Analyze flood-prone properties in the City of Nacogdoches and identify appropriate mitigation options for each repetitive loss structure. </t>
  </si>
  <si>
    <t>1202000103,1202000104</t>
  </si>
  <si>
    <t>120200010404,120200010307</t>
  </si>
  <si>
    <t>05000033,05000053</t>
  </si>
  <si>
    <t>05003405</t>
  </si>
  <si>
    <t>1202000204</t>
  </si>
  <si>
    <t>120200020403</t>
  </si>
  <si>
    <t>05000090</t>
  </si>
  <si>
    <t>00003580</t>
  </si>
  <si>
    <t>052000060</t>
  </si>
  <si>
    <t xml:space="preserve">City of Groveton Buyout Program Implementation  </t>
  </si>
  <si>
    <t>052000098</t>
  </si>
  <si>
    <t>Chambers County Property Protection</t>
  </si>
  <si>
    <t>Project will clear obstacles, widen and reshape ditches, and upgrade culverts to restore adequate drainage to mitigate flooding throughout all participating jurisdictions</t>
  </si>
  <si>
    <t>05000001,05000002,05000007,05000008</t>
  </si>
  <si>
    <t>052000123</t>
  </si>
  <si>
    <t>Liberty County Drainage Projects</t>
  </si>
  <si>
    <t>The county will work with partnering jurisdictions and engineers in order to implement drainage projects throughout the county- including adding ditches, detention ponds and detention basins in identified locations throughout the county.</t>
  </si>
  <si>
    <t>05000001,05000002,05000003,05000004</t>
  </si>
  <si>
    <t>00000033,05002614,00003330,05002480</t>
  </si>
  <si>
    <t>052000126</t>
  </si>
  <si>
    <t>Polk County Facilities Hazard Hardening Retrofit</t>
  </si>
  <si>
    <t>Activities may include but are not limited to: flood proofing, impact resistant windows, storm shutters, roof straps, structural bracing, low-flow plumbing fixtures, roll-up door reinforcement, grounding systems, and surge-protection.</t>
  </si>
  <si>
    <t>052000127</t>
  </si>
  <si>
    <t>Polk County Flood Infrastructure Improvements</t>
  </si>
  <si>
    <t>Implement program to elevate and reinforce roadways and bridges prone to inundation from flooding. Projects may include general road elevation; upgrading culverts and installing headwalls; upgrades and reinforcement of bridges and bridge footings.</t>
  </si>
  <si>
    <t>052000140</t>
  </si>
  <si>
    <t>Trinity County Flood Infrastructure Upgrades</t>
  </si>
  <si>
    <t>Within the county, develop a plan to install/improve culverts and headwalls in addition to expanding stormwater ditches and canals</t>
  </si>
  <si>
    <t>052000141</t>
  </si>
  <si>
    <t>Trinity County Flood-prone Infrastructure Upgrades</t>
  </si>
  <si>
    <t>Develop a program to upgrade flood infrastructure in the county. May include general roadway elevation upgrading culverts and installing headwalls; upgrades and reinforcement of bridges and bridge footings; etc.</t>
  </si>
  <si>
    <t>052000144</t>
  </si>
  <si>
    <t>Van Zandt County Flood Infrastructure Maintenance</t>
  </si>
  <si>
    <t>Adopt and Implement a Program for Clearing Debris from Bridges, Drains and Culverts. Reduce damages caused by flooding by maintaining or restoring drainage capacity.</t>
  </si>
  <si>
    <t>052000145</t>
  </si>
  <si>
    <t>Van Zandt County Road Elevation</t>
  </si>
  <si>
    <t>Develop a program to elevate roads and bridges including installing, upsizing culverts and headwalls, and bridge upgrades.</t>
  </si>
  <si>
    <t>052000143</t>
  </si>
  <si>
    <t>Van Zandt County Drainage Capacity Upgrades</t>
  </si>
  <si>
    <t>Establish a plan to increase Drainage Capacity; possible actions include installing French Drains, Building Elevation, and Upgrading Undersized Pipe under State Hwy for Water to Run into Creek.</t>
  </si>
  <si>
    <t>052000096</t>
  </si>
  <si>
    <t>Angelina County Culvert Improvements</t>
  </si>
  <si>
    <t>Develop plan to upgrade major culvert areas which are prone to flooding.</t>
  </si>
  <si>
    <t>052000120</t>
  </si>
  <si>
    <t>Houston County Flood Infrastructure Maintenance</t>
  </si>
  <si>
    <t>Clear debris from bridges, box culverts, and drainage systems throughout unincorporated county.</t>
  </si>
  <si>
    <t>052000119</t>
  </si>
  <si>
    <t>Houston County Drainage Culvert Upgrades</t>
  </si>
  <si>
    <t>Develop a plan to expand/upgrade drainage culverts to prevent flooded roadways and add signage in low-water crossings.</t>
  </si>
  <si>
    <t>052000121</t>
  </si>
  <si>
    <t>City of Grapeland Critical Facilities Flood-Proofing</t>
  </si>
  <si>
    <t>Flood proof critical facilities to the 500-year flood that are located in flood-prone areas of the city.</t>
  </si>
  <si>
    <t>1202000107</t>
  </si>
  <si>
    <t>052000122</t>
  </si>
  <si>
    <t>City of Kennard Ditch Maintenance Program</t>
  </si>
  <si>
    <t>Implement program to routinely remove debris from drainage ways and roadside ditches to prevent back up of flood velocity and improve conveyance of stream during flood events.</t>
  </si>
  <si>
    <t>05002532</t>
  </si>
  <si>
    <t>052000131</t>
  </si>
  <si>
    <t>San Augustine County Facilities Hazard Hardening Retrofit</t>
  </si>
  <si>
    <t>Actions can include but are not limited to: installing window screens, storm shutters, window film reinforcements, roof straps, and flood proofing.</t>
  </si>
  <si>
    <t>052000129</t>
  </si>
  <si>
    <t>San Augustine County Bridge Improvements</t>
  </si>
  <si>
    <t>052000130</t>
  </si>
  <si>
    <t>San Augustine County Culvert Upgrades</t>
  </si>
  <si>
    <t>Establish a plan to upgrade culverts in county extent. Actions can include but are not limited to: installing/upgrading culverts and headwalls; and enlarging storm water ditches and canals.</t>
  </si>
  <si>
    <t>052000132</t>
  </si>
  <si>
    <t>San Augustine County Detention and Retention Pond Construction</t>
  </si>
  <si>
    <t>Construct storm water detention/retention ponds at strategic locations for improved stormwater storage to hold storm water run-off and as a mitigation measure for drought and wildfire.</t>
  </si>
  <si>
    <t>052000137</t>
  </si>
  <si>
    <t>Shelby County Roadway/Bridge Elevation</t>
  </si>
  <si>
    <t>052000136</t>
  </si>
  <si>
    <t>Shelby County Facilities Hazard Hardening Retrofit</t>
  </si>
  <si>
    <t>Establish a plan to storm-harden and/or retrofit existing and newly constructed critical facilities</t>
  </si>
  <si>
    <t>052000135</t>
  </si>
  <si>
    <t>Shelby County Drainage Upgrades</t>
  </si>
  <si>
    <t>Establish a plan to upgrade stormwater conveyance capacity via drainage improvement projects</t>
  </si>
  <si>
    <t>052000134</t>
  </si>
  <si>
    <t>Shelby County Detention and Retention Pond Construction</t>
  </si>
  <si>
    <t>Establish a plan and necessary standards to construct storm water detention/retention ponds at strategic locations for improved stormwater storage to hold storm water run-off and as a mitigation measure for drought and wildfire</t>
  </si>
  <si>
    <t>05000001,05000002,05000003,05000004,05000007,05000008,05000009,05000010</t>
  </si>
  <si>
    <t>052000092</t>
  </si>
  <si>
    <t>Anderson County Culvert Improvements</t>
  </si>
  <si>
    <t>Widen culverts to mitigate against future drainage issues that lead to flooding.</t>
  </si>
  <si>
    <t>052000099</t>
  </si>
  <si>
    <t>Cherokee County Culvert Upgrades</t>
  </si>
  <si>
    <t>12020001,12020002,12020004</t>
  </si>
  <si>
    <t>1202000103,1202000104,1202000105,1202000106,1202000107,1202000201,1202000202,1202000401,1202000402,1202000403,1202000405,1202000406</t>
  </si>
  <si>
    <t>05000159</t>
  </si>
  <si>
    <t>12020003,12010005,12040201</t>
  </si>
  <si>
    <t>120200030407,120200030404,120200030405,120200030406,120200030402,120200030403,120100051005,120100051004,120402010500</t>
  </si>
  <si>
    <t>052000125</t>
  </si>
  <si>
    <t>OCDD Flood Infrastructure Improvements</t>
  </si>
  <si>
    <t>Support regional efforts to plan, design, and construct large scale flood control / storm surge protection improvements</t>
  </si>
  <si>
    <t>052000124</t>
  </si>
  <si>
    <t>City of Daisetta Culvert Maintenance and Upgrades</t>
  </si>
  <si>
    <t>Removal of debris, silt and vegetation obstacles in drainage ways. Project will clear obstacles, mow and reshape ditches, and upgrade culverts to restore adequate drainage to mitigate flooding.</t>
  </si>
  <si>
    <t>052000100</t>
  </si>
  <si>
    <t>City of Alto Culvert Improvements</t>
  </si>
  <si>
    <t>Develop plan to increase drainage capacity in sites that are prone to flooding.</t>
  </si>
  <si>
    <t>1202000201</t>
  </si>
  <si>
    <t>120200020101,120200020105</t>
  </si>
  <si>
    <t>05000073,05000074</t>
  </si>
  <si>
    <t>05002862</t>
  </si>
  <si>
    <t>052000101</t>
  </si>
  <si>
    <t>City of Reklaw Drainage System Upgrades</t>
  </si>
  <si>
    <t>Establish plan to increase drainage capacity in sites that are prone to flooding.</t>
  </si>
  <si>
    <t>052000102</t>
  </si>
  <si>
    <t>City of Rusk Culvert Improvements</t>
  </si>
  <si>
    <t>052000103</t>
  </si>
  <si>
    <t>City of Wells Culvert Improvements</t>
  </si>
  <si>
    <t>120200020106,120200020201</t>
  </si>
  <si>
    <t>05000108,05000109</t>
  </si>
  <si>
    <t>05002868</t>
  </si>
  <si>
    <t>052000139</t>
  </si>
  <si>
    <t>City of Whitehouse Drainage Capacity Upgrades</t>
  </si>
  <si>
    <t>Establish a plan to increase stormwater drainage capacity by completing a hydraulic study, evaluating historical water drainage, then constructing needed improvements.</t>
  </si>
  <si>
    <t>1202000401</t>
  </si>
  <si>
    <t>120200040106,120200040105,120200040103</t>
  </si>
  <si>
    <t>05000121,05000131,05000146</t>
  </si>
  <si>
    <t>05003033</t>
  </si>
  <si>
    <t>052000097</t>
  </si>
  <si>
    <t>City of Burke Drainage Ditch Capacity Upgrades</t>
  </si>
  <si>
    <t>Establish a plan and necessary standards to increase the capacity of drainage ditches along all city streets and roads</t>
  </si>
  <si>
    <t>120200020307,120200020302,120200020306</t>
  </si>
  <si>
    <t>05000081,05000083,05000087</t>
  </si>
  <si>
    <t>05003195</t>
  </si>
  <si>
    <t>052000133</t>
  </si>
  <si>
    <t>City of San Augustine and City of Broaddus County Facilities Hazard Hardening Retrofit</t>
  </si>
  <si>
    <t>Construct flood protection, winter storm-hardening, and expansive soils mitigation projects for water distribution networks and wastewater facilities for Cities of Broaddus and San Augustine.</t>
  </si>
  <si>
    <t>1202000505,1202000507,1202000509</t>
  </si>
  <si>
    <t>120200050901,120200050503</t>
  </si>
  <si>
    <t>05000176,05000184,05000200</t>
  </si>
  <si>
    <t>05003487</t>
  </si>
  <si>
    <t>05003236,05003487</t>
  </si>
  <si>
    <t>052000095</t>
  </si>
  <si>
    <t>City of Palestine Drainage System Expansion and Maintenance</t>
  </si>
  <si>
    <t>Establish plan and necessary standards to increase the capacity of drainage ditches along all city streets and roads</t>
  </si>
  <si>
    <t>1202000105</t>
  </si>
  <si>
    <t>120200010502,120200010504</t>
  </si>
  <si>
    <t>05000029,05000034</t>
  </si>
  <si>
    <t>00003346</t>
  </si>
  <si>
    <t>052000138</t>
  </si>
  <si>
    <t>City of Tyler Open Channel Improvements</t>
  </si>
  <si>
    <t>Implement a program to enclose open channels that are contributing to flooding.  Priority locations are: 1) Ashmore subdivision between Ashmore and Salisbury and 2) Fleishel Ave. between 6th and 8th Streets.</t>
  </si>
  <si>
    <t>1202000101,1202000103,1202000401</t>
  </si>
  <si>
    <t>120200010301,120200010302,120200010104,120200010105,120200040104,120200040103</t>
  </si>
  <si>
    <t>05000040,05000041,05000047,05000048,05000130,05000146</t>
  </si>
  <si>
    <t>00003371</t>
  </si>
  <si>
    <t>052000094</t>
  </si>
  <si>
    <t>City of Frankston Culvert Improvements</t>
  </si>
  <si>
    <t>052000142</t>
  </si>
  <si>
    <t>City of Groveton Flood Infrastructure Upgrades</t>
  </si>
  <si>
    <t>Within the city, develop a plan to install/improve culverts and headwalls in addition to expanding stormwater ditches and canals</t>
  </si>
  <si>
    <t>052000109</t>
  </si>
  <si>
    <t>City of Kountze General Drainage Improvements</t>
  </si>
  <si>
    <t>Increase drainage capacity; add stormwater detention basins and stormwater pumping stations where gravity flow is not feasible.</t>
  </si>
  <si>
    <t>Hardin</t>
  </si>
  <si>
    <t>12020006</t>
  </si>
  <si>
    <t>1202000604</t>
  </si>
  <si>
    <t>120200060405</t>
  </si>
  <si>
    <t>05000202</t>
  </si>
  <si>
    <t>05003028</t>
  </si>
  <si>
    <t>052000047</t>
  </si>
  <si>
    <t>City of Kountze Flood Buyout</t>
  </si>
  <si>
    <t xml:space="preserve">Voluntary flood buyouts. 
</t>
  </si>
  <si>
    <t>052000108</t>
  </si>
  <si>
    <t>City of Kountze Elevate Roads and Bridges</t>
  </si>
  <si>
    <t>052000107</t>
  </si>
  <si>
    <t>City of Kountze Culverts and Ditches</t>
  </si>
  <si>
    <t>12020006,12020007</t>
  </si>
  <si>
    <t>1202000604,1202000703</t>
  </si>
  <si>
    <t>120200060407,120200070302,120200070303</t>
  </si>
  <si>
    <t>05000205,05000243,05000246</t>
  </si>
  <si>
    <t>05002488</t>
  </si>
  <si>
    <t>052000048</t>
  </si>
  <si>
    <t>City of Lumberton Voluntary Flood Buyout</t>
  </si>
  <si>
    <t>Voluntary flood buyouts.</t>
  </si>
  <si>
    <t>052000110</t>
  </si>
  <si>
    <t>City of Lumberton Culverts, Ditches, and Channels</t>
  </si>
  <si>
    <t>052000049</t>
  </si>
  <si>
    <t>City of Rose Hill Acres Voluntary Flood Buyout</t>
  </si>
  <si>
    <t>1202000703</t>
  </si>
  <si>
    <t>120200070303</t>
  </si>
  <si>
    <t>05000246</t>
  </si>
  <si>
    <t>05003029</t>
  </si>
  <si>
    <t>052000050</t>
  </si>
  <si>
    <t>City of Rose Hill Acres Voluntary Residential Structure Elevation</t>
  </si>
  <si>
    <t>Voluntary elevations of flood prone properties in Rose Hill Acres.</t>
  </si>
  <si>
    <t>052000112</t>
  </si>
  <si>
    <t>City of Rose Hill Acres General Drainage Improvements</t>
  </si>
  <si>
    <t>Establish criteria to increase drainage capacity; add stormwater detention basins, box culverts and/or pipes to increase drainage capacity.</t>
  </si>
  <si>
    <t>052000111</t>
  </si>
  <si>
    <t>City of Rose Hill Acres Flood Control Improvements</t>
  </si>
  <si>
    <t>Develop a program to upgrade flood control structures (barriers, berms) for the purpose of protecting critical facilities, potable water sources, and agricultural resources from water contamination and saltwater intrusion.</t>
  </si>
  <si>
    <t>052000114</t>
  </si>
  <si>
    <t>City of Silsbee Drainage Ditches</t>
  </si>
  <si>
    <t>Develop a program to upgrade drainage ditches and explore converting necessary ditches into curb / sewer construction.</t>
  </si>
  <si>
    <t>12020003,12020006</t>
  </si>
  <si>
    <t>1202000304,1202000604</t>
  </si>
  <si>
    <t>120200030401,120200060406,120200060407</t>
  </si>
  <si>
    <t>05000024,05000204,05000205</t>
  </si>
  <si>
    <t>05000001,05000002,05000005,05000006</t>
  </si>
  <si>
    <t>05002932</t>
  </si>
  <si>
    <t>052000115</t>
  </si>
  <si>
    <t>City of Silsbee Flood Mitigation for Hendrix Development</t>
  </si>
  <si>
    <t>Explore, plan, and implement flood mitigation strategies within the Hendrix Development.</t>
  </si>
  <si>
    <t>052000113</t>
  </si>
  <si>
    <t>City of Silsbee Detention, Culverts, Ditches and Channels</t>
  </si>
  <si>
    <t>052000051</t>
  </si>
  <si>
    <t>City of Silsbee Voluntary Flood Buyout</t>
  </si>
  <si>
    <t>052000117</t>
  </si>
  <si>
    <t>City of Sour Lake Drainage Outfalls</t>
  </si>
  <si>
    <t>Advance a plan to rectify, enlarge, and maintain outfall channels for the City of Sour Lake, including excavating interior roadside ditches.</t>
  </si>
  <si>
    <t>1202000701,1202000702</t>
  </si>
  <si>
    <t>120200070201,120200070204,120200070105</t>
  </si>
  <si>
    <t>05000234,05000239,05000245</t>
  </si>
  <si>
    <t>05002933</t>
  </si>
  <si>
    <t>052000118</t>
  </si>
  <si>
    <t>City of Sour Lake Stormwater Detention</t>
  </si>
  <si>
    <t>Establish criteria and standards to construct water retention ponds to collect stormwater run-off and reduce flooding.</t>
  </si>
  <si>
    <t>052000116</t>
  </si>
  <si>
    <t>City of Sour Lake Channel Improvements</t>
  </si>
  <si>
    <t>Establish criteria and standards for installing large concrete channels, box culvert, concrete pipe, and/or mechanisms as needed to mitigate drainage ditch erosion and improve water capacity and conveyance.</t>
  </si>
  <si>
    <t>052000052</t>
  </si>
  <si>
    <t>City of Sour Lake Voluntary Flood Buyout</t>
  </si>
  <si>
    <t>052000046</t>
  </si>
  <si>
    <t>Hardin County Voluntary Residential Structure Elevation</t>
  </si>
  <si>
    <t>Voluntary elevations of flood prone properties in Hardin County.</t>
  </si>
  <si>
    <t>12020003,12020006,12020007</t>
  </si>
  <si>
    <t>1202000303,1202000304,1202000601,1202000602,1202000603,1202000604,1202000701,1202000702,1202000703</t>
  </si>
  <si>
    <t>00000035</t>
  </si>
  <si>
    <t>052000045</t>
  </si>
  <si>
    <t>Hardin County Voluntary Flood Buyout</t>
  </si>
  <si>
    <t>052000104</t>
  </si>
  <si>
    <t>Hardin County Culverts, Ditches, and Channel</t>
  </si>
  <si>
    <t>Establish plan to upgrade storm water capacity by installing/upgrading culverts and enlarging storm water channels.</t>
  </si>
  <si>
    <t>052000106</t>
  </si>
  <si>
    <t xml:space="preserve">Hardin County Elevate Roads and Bridges_x000D_
</t>
  </si>
  <si>
    <t>052000105</t>
  </si>
  <si>
    <t>Hardin County Detention Ponds</t>
  </si>
  <si>
    <t>Develop a program to construct water retention ponds to collect stormwater run-off, reduce flooding, and use as an alternate water source throughout Hardin County.</t>
  </si>
  <si>
    <t xml:space="preserve">City of Bellaire Roadway and Drainage Improvements_x000D_
</t>
  </si>
  <si>
    <t>Perform engineering services in support of the local drainage asset management planning, to repair or reconstruct antiquated local drainage and associated road infrastructure. Including design of storm sewers, roadways, and overland storage/conveyance.</t>
  </si>
  <si>
    <t xml:space="preserve">City of Bellaire Non-Structural Flood Risk Reduction Strategies_x000D_
</t>
  </si>
  <si>
    <t xml:space="preserve">Conduct planning and outreach efforts to identify residents interested in buy-out, home elevation, or flood proofing programs, and develop plans or grant applications to support interested parties._x000D_
</t>
  </si>
  <si>
    <t xml:space="preserve">City of Bellaire Drainage Requirements and Flood Damage Prevention Ordinance _x000D_
</t>
  </si>
  <si>
    <t>Develop updates to Bellaire's residential and non-residential drainage requirements and the City's flood damage prevention ordinance, in alignment with Bellaire's broader flood risk management goals and objectives.</t>
  </si>
  <si>
    <t xml:space="preserve">City of Bellaire Floodwater Public Awareness Initiatives_x000D_
</t>
  </si>
  <si>
    <t>City of Bellaire Flood Early Warning System</t>
  </si>
  <si>
    <t>Develop Flood Early Warning System for the City of Bellaire to inform emergency responders and to assist residents in making safe decisions during major storm events.</t>
  </si>
  <si>
    <t>00000020,00000310,00002853,06003602</t>
  </si>
  <si>
    <t>00000013,00000020,06003147,00000047,06003602</t>
  </si>
  <si>
    <t>00000020,06003602</t>
  </si>
  <si>
    <t xml:space="preserve">City of Bellaire Surrounding Area Drainage Improvements_x000D_
</t>
  </si>
  <si>
    <t xml:space="preserve">Partner with surrounding municipalities/governmental agencies to identify drainage improvements (conveyance or detention) which could minimize extreme event sheet flow entering into Bellaire. </t>
  </si>
  <si>
    <t>00000033,06003602</t>
  </si>
  <si>
    <t>Develop a plan to address rescues from both one-story and two-story homes. This includes evacuating disabled/physically impaired/elderly individuals from homes in advance of anticipated extreme rainfall events.</t>
  </si>
  <si>
    <t>00004002</t>
  </si>
  <si>
    <t>072000049</t>
  </si>
  <si>
    <t>Upper Brazos Warning System Outreach Program</t>
  </si>
  <si>
    <t>Basin wide Study Program: Reach out to proper authorities with jurisdiction to improve on Warning signs, lights, or systems.</t>
  </si>
  <si>
    <t>Upper Brazos</t>
  </si>
  <si>
    <t>All</t>
  </si>
  <si>
    <t>12050004, 12060105, 12060104, 12060101, 12050003, 12060103, 12050007, 12060102, 12050006</t>
  </si>
  <si>
    <t>1206010401,1206010402,1205000406,1205000407,1205000408,1205000409,1206010102,1206010103,1206010104,1206010105,1206010107,1206010108,1206010301,1206010302,1206010303,1206010304,1206010201,1206010202,1206010204,1206010206,1206010208,1206010209,1205000705</t>
  </si>
  <si>
    <t>120601020802, 120601020803, 120601020805, 120601020806, 120601020901, 120601020903, 120601020904, 120601020905, 120601020906, 120601020907, 120601020908, 120601030305, 120601040103, 120601040104, 120601040105, 120601040106, 120601040107, 120601040108</t>
  </si>
  <si>
    <t>7000001,7000002,7000003,7000004,7000005,7000006,7000007,7000008,7000009,7000010,7000011,7000012,7000013,7000014,7000015,7000016,7000017,7000018,7000019,7000020,7000021,7000022,7000023,7000024,7000025,7000026,7000027,7000028,7000029,7000030,7000031</t>
  </si>
  <si>
    <t>7000063</t>
  </si>
  <si>
    <t>00000275</t>
  </si>
  <si>
    <t>n/a</t>
  </si>
  <si>
    <t>Alignment with Region Goals</t>
  </si>
  <si>
    <t>070000000001, 070000000002, 070000000003, 070000000004</t>
  </si>
  <si>
    <t>072000048</t>
  </si>
  <si>
    <t>Upper Brazos Stormwater Maintenance Outreach Program</t>
  </si>
  <si>
    <t>Outreach Program: Encourage maintenance programs on storm water infrastructure, Dams, ditches, and channels.</t>
  </si>
  <si>
    <t>072000045</t>
  </si>
  <si>
    <t>Upper Brazos Building Codes Outreach Program</t>
  </si>
  <si>
    <t>Outreach Program: Encourage communities to adopt current building codes, adopt new construction codes for setting the minimum floor elevation</t>
  </si>
  <si>
    <t>072000035</t>
  </si>
  <si>
    <t>Jones County Tax Incentive Program</t>
  </si>
  <si>
    <t>Consider program of tax incentives for development of low-hazard land parcels.</t>
  </si>
  <si>
    <t>Jones</t>
  </si>
  <si>
    <t>12050004, 12060102, 12060103</t>
  </si>
  <si>
    <t>1205000409, 1206010203, 1206010204, 1206010205, 1206010206, 1206010207, 1206010208, 1206010209, 1206010301, 1206010302, 1206010303</t>
  </si>
  <si>
    <t>120500040901, 120601020310, 120601020404, 120601020504, 120601020505, 120601020601, 120601020602, 120601020603, 120601020604, 120601020605, 120601020606, 120601020607, 120601020709, 120601020710, 120601020711, 120601020712, 120601020802, 120601020803, 12</t>
  </si>
  <si>
    <t>07000065, 07000246, 07000247, 07000248, 07000249, 07000250, 07000252, 07000253, 07000254, 07000256, 07000258, 07000261, 07000262, 07000266, 07000267, 07000268, 07000269, 07000277, 07000278, 07000279, 07000280, 07000281, 07000287, 07000293, 07000294, 0700</t>
  </si>
  <si>
    <t>7000085</t>
  </si>
  <si>
    <t>07000112</t>
  </si>
  <si>
    <t>070000000001</t>
  </si>
  <si>
    <t>072000034</t>
  </si>
  <si>
    <t>Haskell County NFIP Cross Train Program</t>
  </si>
  <si>
    <t>Cross-train Code Officers and Building Inspectors regarding permitting, inspection, and record-keeping requirements of the NFIP Program.</t>
  </si>
  <si>
    <t>Haskell</t>
  </si>
  <si>
    <t>12050004, 12060101, 12060102, 12060103</t>
  </si>
  <si>
    <t>1205000409, 1206010102, 1206010103, 1206010104, 1206010105, 1206010209, 1206010302, 1206010303, 1206010304</t>
  </si>
  <si>
    <t>120500040903, 120500040904, 120500040906, 120500040907, 120601010201, 120601010203, 120601010206, 120601010301, 120601010302, 120601010303, 120601010304, 120601010401, 120601010402, 120601010404, 120601010405, 120601010501, 120601010502, 120601010503, 12</t>
  </si>
  <si>
    <t>07000062, 07000063, 07000069, 07000083, 07000174, 07000177, 07000178, 07000180, 07000184, 07000185, 07000186, 07000187, 07000190, 07000198, 07000203, 07000204, 07000207, 07000210, 07000211, 07000212, 07000259, 07000260, 07000296, 07000297, 07000298, 0700</t>
  </si>
  <si>
    <t>07000081, 07000082</t>
  </si>
  <si>
    <t>07000180</t>
  </si>
  <si>
    <t>072000039</t>
  </si>
  <si>
    <t>Scurry County NFIP Participation</t>
  </si>
  <si>
    <t>Application to join NFIP or adoption of equivalent standards.</t>
  </si>
  <si>
    <t>12050004, 12060102, 12080002</t>
  </si>
  <si>
    <t>1205000405, 1205000406, 1205000407, 1206010201, 1206010202, 1208000204, 1208000205, 1208000206, 1208000207, 1208000210</t>
  </si>
  <si>
    <t>120500040504, 120500040505, 120500040506, 120500040602, 120500040605, 120500040606, 120500040607, 120500040701, 120500040702, 120500040703, 120500040704, 120601020102, 120601020201, 120601020202, 120601020203, 120601020204, 120800020407, 120800020506, 12</t>
  </si>
  <si>
    <t>07000048, 07000049, 07000051, 07000052, 07000053, 07000054, 07000058, 07000066, 07000073, 07000074, 07000076, 07000238, 07000242, 07000243, 07000244, 07000245</t>
  </si>
  <si>
    <t>072000031</t>
  </si>
  <si>
    <t>Fisher County NFIP Participation</t>
  </si>
  <si>
    <t>Fisher</t>
  </si>
  <si>
    <t>1205000406, 1205000407, 1205000408, 1205000409, 1206010201, 1206010202, 1206010203, 1206010204, 1206010206, 1206010301</t>
  </si>
  <si>
    <t>120500040607, 120500040704, 120500040801, 120500040802, 120500040803, 120500040805, 120500040806, 120500040807, 120500040901, 120601020102, 120601020103, 120601020104, 120601020105, 120601020106, 120601020201, 120601020202, 120601020203, 120601020204, 12</t>
  </si>
  <si>
    <t>07000049, 07000055, 07000056, 07000058, 07000059, 07000060, 07000061, 07000064, 07000065, 07000231, 07000232, 07000235, 07000237, 07000238, 07000239, 07000240, 07000241, 07000242, 07000243, 07000244, 07000245, 07000246, 07000251, 07000284, 07000285, 0700</t>
  </si>
  <si>
    <t>07000114</t>
  </si>
  <si>
    <t>072000003</t>
  </si>
  <si>
    <t>Callahan County NFIP Coordination Program</t>
  </si>
  <si>
    <t>County NFIP Compliance program to coordinate and assist local jurisdictions with reviewing the NFIP components to ensure continued compliance.</t>
  </si>
  <si>
    <t>Callahan</t>
  </si>
  <si>
    <t>12060102, 12060105, 12070201, 12090107, 12090108</t>
  </si>
  <si>
    <t>1206010207, 1206010208, 1206010501, 1206010503, 1206010504, 1207020101, 1207020104, 1209010701, 1209010702, 1209010703, 1209010801</t>
  </si>
  <si>
    <t>120601020707, 120601020709, 120601020710, 120601020801, 120601020802, 120601020803, 120601050101, 120601050102, 120601050103, 120601050104, 120601050105, 120601050106, 120601050301, 120601050302, 120601050303, 120601050401, 120601050402, 120601050406, 12</t>
  </si>
  <si>
    <t>07000265, 07000266, 07000267, 07000275, 07000277, 07000278, 07000338, 07000339, 07000340, 07000341, 07000342, 07000344, 07000345, 07000347, 07000348, 07000352, 07000363, 07000365</t>
  </si>
  <si>
    <t>00000165</t>
  </si>
  <si>
    <t>072000017</t>
  </si>
  <si>
    <t>City of Lubbock Turn Around, Don't Drown</t>
  </si>
  <si>
    <t>Encourage annual public outreach and education activities to improve awareness of flood hazards using Turn Around, Don't Drown program</t>
  </si>
  <si>
    <t>Lubbock</t>
  </si>
  <si>
    <t>12050001, 12050002, 12050003</t>
  </si>
  <si>
    <t>1205000113, 1205000205, 1205000301, 1205000302, 1205000303, 1205000304</t>
  </si>
  <si>
    <t>120500011305, 120500020508, 120500030102, 120500030103, 120500030104, 120500030201, 120500030202, 120500030203, 120500030302, 120500030401</t>
  </si>
  <si>
    <t>07000002, 07000003, 07000004, 07000006, 07000007, 07000014, 07000023, 07000024, 07000378, 07000416</t>
  </si>
  <si>
    <t>07003269</t>
  </si>
  <si>
    <t>070000000002, 070000000003, 070000000004</t>
  </si>
  <si>
    <t>072000005</t>
  </si>
  <si>
    <t>City of Abilene Turn Around, Don't Drown</t>
  </si>
  <si>
    <t>12060102</t>
  </si>
  <si>
    <t>1206010207, 1206010208</t>
  </si>
  <si>
    <t>120601020704, 120601020705, 120601020706, 120601020707, 120601020708, 120601020709, 120601020710, 120601020711, 120601020712, 120601020803, 120601020804</t>
  </si>
  <si>
    <t>07000250, 07000267, 07000270, 07000271, 07000274, 07000275, 07000276, 07000277, 07000278, 07000279, 07000280</t>
  </si>
  <si>
    <t>07002425</t>
  </si>
  <si>
    <t>072000004</t>
  </si>
  <si>
    <t>City of Abilene Creek Gauge Program</t>
  </si>
  <si>
    <t>Install automated creek rain gauges and automated barriers for flooded road ways.</t>
  </si>
  <si>
    <t>07000021, 07000022</t>
  </si>
  <si>
    <t>072000027</t>
  </si>
  <si>
    <t>City of Sweetwater Turn Around, Don't Drown</t>
  </si>
  <si>
    <t>1206010203</t>
  </si>
  <si>
    <t>120601020302, 120601020303, 120601020304</t>
  </si>
  <si>
    <t>07000233, 07000234, 07000235</t>
  </si>
  <si>
    <t>07002583</t>
  </si>
  <si>
    <t>072000010</t>
  </si>
  <si>
    <t>City of Clyde Stream Restoration Program</t>
  </si>
  <si>
    <t>Implement stream restoration / channelization program to ensure adequate drainage / diversion of stormwater.</t>
  </si>
  <si>
    <t>12060102, 12090107</t>
  </si>
  <si>
    <t>1206010208, 1209010701</t>
  </si>
  <si>
    <t>120601020801, 120901070101</t>
  </si>
  <si>
    <t>07000265</t>
  </si>
  <si>
    <t>07000041, 07000042</t>
  </si>
  <si>
    <t>00002754</t>
  </si>
  <si>
    <t>072000025</t>
  </si>
  <si>
    <t>City of Roby NFIP Participation</t>
  </si>
  <si>
    <t>1206010201, 1206010202</t>
  </si>
  <si>
    <t>120601020106, 120601020206</t>
  </si>
  <si>
    <t>07000232, 07000241</t>
  </si>
  <si>
    <t>07003485</t>
  </si>
  <si>
    <t>072000018</t>
  </si>
  <si>
    <t>City of Lueders NFIP Participation</t>
  </si>
  <si>
    <t>Jones, Shackelford</t>
  </si>
  <si>
    <t>1206010209</t>
  </si>
  <si>
    <t>120601020902, 120601020904</t>
  </si>
  <si>
    <t>07000253, 07000256</t>
  </si>
  <si>
    <t>07003441</t>
  </si>
  <si>
    <t>072000041</t>
  </si>
  <si>
    <t>Town of Impact NFIP Participation</t>
  </si>
  <si>
    <t>1206010207</t>
  </si>
  <si>
    <t>120601020711</t>
  </si>
  <si>
    <t>07000279</t>
  </si>
  <si>
    <t>07003516</t>
  </si>
  <si>
    <t>072000047</t>
  </si>
  <si>
    <t>Upper Brazos Industry Flood Losses Outreach Program</t>
  </si>
  <si>
    <t>Encourage best practices to reduce the vulnerability of agriculture, ranching, energy and forestry to flood-related losses through community outreach.</t>
  </si>
  <si>
    <t xml:space="preserve"> 12050004, 12060105, 12060104, 12060101, 12050003, 12060103, 12050007, 12060102, 12050006</t>
  </si>
  <si>
    <t>07000051, 07000052</t>
  </si>
  <si>
    <t>072000046</t>
  </si>
  <si>
    <t>Upper Brazos Public Awareness Outreach Program</t>
  </si>
  <si>
    <t>Encourage annual public outreach and education activities to improve awareness of flood hazards, flood planning, and projects associated with emergency response associated with flooding.</t>
  </si>
  <si>
    <t>072000051</t>
  </si>
  <si>
    <t>Fisher County Flood Protection Dam</t>
  </si>
  <si>
    <t>Flood protection dams north of Rotan</t>
  </si>
  <si>
    <t>1206010202</t>
  </si>
  <si>
    <t>120601020205</t>
  </si>
  <si>
    <t>07000231</t>
  </si>
  <si>
    <t>7000032</t>
  </si>
  <si>
    <t>072000052</t>
  </si>
  <si>
    <t>South Lake Improvements Dam Hardening</t>
  </si>
  <si>
    <t>Dam hardening</t>
  </si>
  <si>
    <t>12060103</t>
  </si>
  <si>
    <t>1206010301</t>
  </si>
  <si>
    <t>120601030102</t>
  </si>
  <si>
    <t>07000314</t>
  </si>
  <si>
    <t>072000058</t>
  </si>
  <si>
    <t>City of Lubbock Traffic Signal Mitigation</t>
  </si>
  <si>
    <t>Replace regulatory and warning traffic signs, install breakaway poles within the City limits, and install pavement markings at intersections and school zones to mitigate flood velocity damage during flooding events.</t>
  </si>
  <si>
    <t>1205000113, 1205000205, 1205000301, 1205000302, 1205000303</t>
  </si>
  <si>
    <t>120500011305, 120500020508, 120500030102, 120500030103, 120500030104, 120500030201, 120500030202, 120500030203, 120500030302</t>
  </si>
  <si>
    <t>07000002, 07000003, 07000004, 07000006, 07000007, 07000023, 07000024, 07000378, 07000416</t>
  </si>
  <si>
    <t>072000060</t>
  </si>
  <si>
    <t>Install automated creek rain gauges and automated barriers for flooded roadways.</t>
  </si>
  <si>
    <t>12060102, 12090101, 12090107, 12090108</t>
  </si>
  <si>
    <t>1206010205, 1206010206, 1206010207, 1206010208, 1209010102, 1209010103, 1209010104, 1209010701, 1209010801</t>
  </si>
  <si>
    <t>120601020501, 120601020502, 120601020503, 120601020504, 120601020505, 120601020601, 120601020604, 120601020605, 120601020701, 120601020702, 120601020703, 120601020704, 120601020705, 120601020706, 120601020707, 120601020708, 120601020709, 120601020710, 12</t>
  </si>
  <si>
    <t>07000261, 07000263, 07000264, 07000267, 07000269, 07000270, 07000271, 07000272, 07000273, 07000274, 07000275, 07000276, 07000277, 07000278, 07000279, 07000280, 07000291, 07000292, 07000293, 07000294, 07000295</t>
  </si>
  <si>
    <t xml:space="preserve">07000021, 07000022_x000D_
</t>
  </si>
  <si>
    <t>072000061</t>
  </si>
  <si>
    <t>Nolan County Warning System</t>
  </si>
  <si>
    <t>Install county-wide outdoor warning sirens for any emergency of natural and/or man-made hazardous events.  The warning sirens would be strategically placed in the following locations within the County: Cities of Sweetwater, Roscoe, Blackwell, Nolan, Mary</t>
  </si>
  <si>
    <t>12060102, 12080002, 12080008, 12090101</t>
  </si>
  <si>
    <t>1206010201, 1206010202, 1206010203, 1206010205, 1206010206, 1206010207, 1208000209, 1208000801, 1208000802, 1208000803, 1209010102</t>
  </si>
  <si>
    <t>120601020101, 120601020102, 120601020103, 120601020104, 120601020201, 120601020301, 120601020302, 120601020303, 120601020304, 120601020305, 120601020306, 120601020307, 120601020308, 120601020309, 120601020310, 120601020502, 120601020601, 120601020701, 12</t>
  </si>
  <si>
    <t>07000230, 07000233, 07000234, 07000235, 07000236, 07000237, 07000238, 07000239, 07000242, 07000246, 07000272, 07000282, 07000283, 07000284, 07000285, 07000286, 07000291, 07000295</t>
  </si>
  <si>
    <t>07000021, 07000022, 07000063</t>
  </si>
  <si>
    <t>072000032</t>
  </si>
  <si>
    <t>Floyd County NFIP Participation</t>
  </si>
  <si>
    <t>11130103, 11130104, 12050005, 12050006, 12050007</t>
  </si>
  <si>
    <t>1113010301, 1113010302, 1113010303, 1113010401, 1113010402, 1205000505, 1205000601, 1205000603, 1205000703</t>
  </si>
  <si>
    <t>111301030104, 111301030106, 111301030201, 111301030202, 111301030203, 111301030204, 111301030205, 111301030206, 111301030207, 111301030208, 111301030209, 111301030301, 111301030302, 111301030303, 111301040101, 111301040102, 111301040103, 111301040104, 11</t>
  </si>
  <si>
    <t>07000091, 07000095, 07000096, 07000103, 07000109, 07000110, 07000111, 07000112, 07000152, 07000442, 07000450, 07000461, 07000462</t>
  </si>
  <si>
    <t>00000199</t>
  </si>
  <si>
    <t>072000037</t>
  </si>
  <si>
    <t>King County NFIP Participation</t>
  </si>
  <si>
    <t>King</t>
  </si>
  <si>
    <t>12050007, 12060101</t>
  </si>
  <si>
    <t>1113020401, 1113020402, 1113020501, 1113020502, 1205000707, 1206010101, 1206010102</t>
  </si>
  <si>
    <t>111302040102, 111302040103, 111302040104, 111302040108, 111302040204, 111302040205, 111302040206, 111302050102, 111302050103, 111302050104, 111302050105, 111302050106, 111302050107, 111302050201, 111302050202, 111302050203, 111302050204, 120500070702, 12</t>
  </si>
  <si>
    <t>07000136, 07000140, 07000141, 07000175, 07000193, 07000194, 07000195, 07000196, 07000197, 07000200, 07000203, 07000205, 07000206</t>
  </si>
  <si>
    <t>00000218</t>
  </si>
  <si>
    <t>072000002</t>
  </si>
  <si>
    <t>Borden County NFIP Participation</t>
  </si>
  <si>
    <t>12050004, 12080002, 12080006</t>
  </si>
  <si>
    <t>1205000403, 1205000404, 1205000405, 1208000201, 1208000202, 1208000203, 1208000204, 1208000205, 1208000206, 1208000207, 1208000608</t>
  </si>
  <si>
    <t>120500040306, 120500040308, 120500040406, 120500040501, 120500040503, 120500040504, 120800020108, 120800020109, 120800020202, 120800020203, 120800020204, 120800020304, 120800020305, 120800020306, 120800020401, 120800020402, 120800020403, 120800020404, 12</t>
  </si>
  <si>
    <t>07000041, 07000045, 07000046, 07000066, 07000078, 07000082</t>
  </si>
  <si>
    <t>072000029</t>
  </si>
  <si>
    <t>Crosby County NFIP Participation</t>
  </si>
  <si>
    <t>Crosby</t>
  </si>
  <si>
    <t>12050003, 12050006, 12050007</t>
  </si>
  <si>
    <t>1113010402, 1205000302, 1205000303, 1205000305, 1205000603, 1205000604, 1205000605, 1205000701, 1205000702, 1205000703, 1205000704</t>
  </si>
  <si>
    <t>111301040202, 120500030203, 120500030305, 120500030306, 120500030307, 120500030308, 120500030501, 120500060303, 120500060304, 120500060305, 120500060307, 120500060308, 120500060401, 120500060402, 120500060403, 120500060404, 120500060405, 120500060501, 12</t>
  </si>
  <si>
    <t>07000006, 07000010, 07000013, 07000016, 07000021, 07000022, 07000087, 07000088, 07000089, 07000091, 07000097, 07000098, 07000108, 07000110, 07000111, 07000112, 07000113, 07000114, 07000115, 07000116, 07000117, 07000118, 07000147, 07000151, 07000152, 0700</t>
  </si>
  <si>
    <t>00000221</t>
  </si>
  <si>
    <t>072000030</t>
  </si>
  <si>
    <t>Dawson County NFIP Participation</t>
  </si>
  <si>
    <t>12050004</t>
  </si>
  <si>
    <t>1205000403, 1208000201, 1208000202, 1208000203, 1208000204, 1208000205, 1208000406, 1208000407, 1208000605, 1208000606, 1208000607, 1208000608</t>
  </si>
  <si>
    <t>120500040305, 120500040306, 120800020102, 120800020105, 120800020106, 120800020107, 120800020108, 120800020109, 120800020201, 120800020202, 120800020203, 120800020301, 120800020302, 120800020303, 120800020304, 120800020305, 120800020306, 120800020401, 12</t>
  </si>
  <si>
    <t>07000029, 07000078</t>
  </si>
  <si>
    <t>072000033</t>
  </si>
  <si>
    <t>Garza County NFIP Participation</t>
  </si>
  <si>
    <t>Garza</t>
  </si>
  <si>
    <t>12050003, 12050004, 12050006, 12050007, 12080002</t>
  </si>
  <si>
    <t>1205000302, 1205000303, 1205000304, 1205000305, 1205000402, 1205000403, 1205000404, 1205000405, 1205000605, 1205000701, 1208000205</t>
  </si>
  <si>
    <t>120500030203, 120500030308, 120500030403, 120500030501, 120500030502, 120500030503, 120500030504, 120500030505, 120500030506, 120500040210, 120500040308, 120500040402, 120500040403, 120500040404, 120500040405, 120500040406, 120500040501, 120500040502, 12</t>
  </si>
  <si>
    <t>07000001, 07000006, 07000011, 07000015, 07000016, 07000017, 07000018, 07000019, 07000022, 07000038, 07000041, 07000042, 07000043, 07000044, 07000045, 07000046, 07000066, 07000071, 07000073, 07000074, 07000077, 07000082, 07000084, 07000097, 07000098, 0700</t>
  </si>
  <si>
    <t>00000183</t>
  </si>
  <si>
    <t>072000036</t>
  </si>
  <si>
    <t>Kent County NFIP Cross Train Program</t>
  </si>
  <si>
    <t>Kent</t>
  </si>
  <si>
    <t>12050003, 12050004, 12050006, 12050007</t>
  </si>
  <si>
    <t>1205000305, 1205000405, 1205000406, 1205000407, 1205000408, 1205000605, 1205000701, 1205000702, 1205000704, 1205000705, 1205000706, 1205000707</t>
  </si>
  <si>
    <t>120500030506, 120500040505, 120500040506, 120500040507, 120500040601, 120500040602, 120500040603, 120500040604, 120500040605, 120500040606, 120500040607, 120500040702, 120500040801, 120500040803, 120500060505, 120500060506, 120500070110, 120500070201, 12</t>
  </si>
  <si>
    <t>07000001, 07000048, 07000049, 07000050, 07000051, 07000054, 07000059, 07000060, 07000071, 07000072, 07000073, 07000074, 07000075, 07000076, 07000097, 07000098, 07000120, 07000121, 07000122, 07000123, 07000124, 07000125, 07000126, 07000129, 07000130, 0700</t>
  </si>
  <si>
    <t>07000181</t>
  </si>
  <si>
    <t>072000038</t>
  </si>
  <si>
    <t>Knox County NFIP Participation</t>
  </si>
  <si>
    <t>11130204, 11130205, 11130206, 12060101</t>
  </si>
  <si>
    <t>1113020402, 1113020403, 1113020502, 1113020601, 1206010102, 1206010103, 1206010104, 1206010105, 1206010106</t>
  </si>
  <si>
    <t>111302040206, 111302040301, 111302040302, 111302040303, 111302040304, 111302040305, 111302040306, 111302050204, 111302050205, 111302050206, 111302050207, 111302050208, 111302060103, 120601010202, 120601010203, 120601010204, 120601010205, 120601010206, 12</t>
  </si>
  <si>
    <t>07000174, 07000178, 07000179, 07000180, 07000181, 07000182, 07000183, 07000185, 07000187, 07000190, 07000192, 07000200, 07000203, 07000204, 07000205, 07000206, 07000211, 07000212</t>
  </si>
  <si>
    <t>072000001</t>
  </si>
  <si>
    <t>Bailey County NFIP Participation</t>
  </si>
  <si>
    <t>Bailey</t>
  </si>
  <si>
    <t>12050001, 12050002</t>
  </si>
  <si>
    <t>1205000105, 1205000106, 1205000107, 1205000108, 1205000110, 1205000111, 1205000201, 1205000202, 1205000203, 1205000204</t>
  </si>
  <si>
    <t>120500010504, 120500010505, 120500010506, 120500010507, 120500010610, 120500010611, 120500010701, 120500010702, 120500010703, 120500010704, 120500010801, 120500010802, 120500010803, 120500010805, 120500011001, 120500011002, 120500011006, 120500011103, 12</t>
  </si>
  <si>
    <t>07000369, 07000383, 07000384, 07000387, 07000388, 07000390, 07000393, 07000394, 07000396, 07000397, 07000398, 07000399, 07000402, 07000406, 07000407, 07000408, 07000409, 07000410, 07000411, 07000412, 07000413, 07000414, 07000418, 07000425, 07000426, 0700</t>
  </si>
  <si>
    <t>07000202</t>
  </si>
  <si>
    <t>072000022</t>
  </si>
  <si>
    <t>City of Plainview Turn Around, Don't Drown</t>
  </si>
  <si>
    <t>Hale</t>
  </si>
  <si>
    <t>12050005</t>
  </si>
  <si>
    <t>1205000505</t>
  </si>
  <si>
    <t>120500050501, 120500050505, 120500050506</t>
  </si>
  <si>
    <t>07000451, 07000461, 07000462</t>
  </si>
  <si>
    <t>07003159</t>
  </si>
  <si>
    <t>072000016</t>
  </si>
  <si>
    <t>City of Levelland Turn Around, Don't Drown</t>
  </si>
  <si>
    <t>12050001, 12050004</t>
  </si>
  <si>
    <t>1205000112, 1205000402</t>
  </si>
  <si>
    <t>120500011201, 120500040201, 120500040202, 120500040203, 120500040204</t>
  </si>
  <si>
    <t>07000026, 07000035, 07000036, 07000079, 07000379</t>
  </si>
  <si>
    <t>07003166</t>
  </si>
  <si>
    <t>072000007</t>
  </si>
  <si>
    <t>City of Anson NFIP Cross Train Program</t>
  </si>
  <si>
    <t>1206010303</t>
  </si>
  <si>
    <t>120601030301</t>
  </si>
  <si>
    <t>07000299</t>
  </si>
  <si>
    <t>07002478</t>
  </si>
  <si>
    <t>072000040</t>
  </si>
  <si>
    <t>Town of Aspermont NFIP Participation</t>
  </si>
  <si>
    <t>Stonewall</t>
  </si>
  <si>
    <t>12050004, 12050007</t>
  </si>
  <si>
    <t>1205000409, 1205000707</t>
  </si>
  <si>
    <t>120500040905, 120500070706, 120500070707</t>
  </si>
  <si>
    <t>07000068, 07000119, 07000143</t>
  </si>
  <si>
    <t>07002782</t>
  </si>
  <si>
    <t>072000015</t>
  </si>
  <si>
    <t>City of Jayton NFIP Participation</t>
  </si>
  <si>
    <t>12050007</t>
  </si>
  <si>
    <t>1205000705, 1205000706</t>
  </si>
  <si>
    <t>120500070501, 120500070502, 120500070607</t>
  </si>
  <si>
    <t>07000121, 07000137, 07000138</t>
  </si>
  <si>
    <t>07002528</t>
  </si>
  <si>
    <t>072000042</t>
  </si>
  <si>
    <t>Town of Lockney NFIP Participation</t>
  </si>
  <si>
    <t>11130103, 12050006</t>
  </si>
  <si>
    <t>1113010302, 1205000603</t>
  </si>
  <si>
    <t>111301030203, 120500060306</t>
  </si>
  <si>
    <t>07000109</t>
  </si>
  <si>
    <t>072000013</t>
  </si>
  <si>
    <t>City of Goree NFIP Participation</t>
  </si>
  <si>
    <t>12060101</t>
  </si>
  <si>
    <t>1206010103</t>
  </si>
  <si>
    <t>120601010304</t>
  </si>
  <si>
    <t>07000212</t>
  </si>
  <si>
    <t>07003324</t>
  </si>
  <si>
    <t>072000014</t>
  </si>
  <si>
    <t>City of Hale Center NFIP Participation</t>
  </si>
  <si>
    <t>12050006</t>
  </si>
  <si>
    <t>1205000601</t>
  </si>
  <si>
    <t>120500060103</t>
  </si>
  <si>
    <t>07000092</t>
  </si>
  <si>
    <t>07003157</t>
  </si>
  <si>
    <t>072000020</t>
  </si>
  <si>
    <t>City of Munday NFIP Participation</t>
  </si>
  <si>
    <t>1206010104</t>
  </si>
  <si>
    <t>120601010405</t>
  </si>
  <si>
    <t>07000174</t>
  </si>
  <si>
    <t>07002758</t>
  </si>
  <si>
    <t>072000024</t>
  </si>
  <si>
    <t>City of Ralls NFIP Participation</t>
  </si>
  <si>
    <t>1205000604, 1205000605</t>
  </si>
  <si>
    <t>120500060404, 120500060502</t>
  </si>
  <si>
    <t>07000087, 07000088</t>
  </si>
  <si>
    <t>07002418</t>
  </si>
  <si>
    <t>072000009</t>
  </si>
  <si>
    <t>City of Bovina NFIP Participation</t>
  </si>
  <si>
    <t>Parmer</t>
  </si>
  <si>
    <t>1205000501</t>
  </si>
  <si>
    <t>120500050108, 120500050109</t>
  </si>
  <si>
    <t>07000452, 07000453</t>
  </si>
  <si>
    <t>07002801</t>
  </si>
  <si>
    <t>072000008</t>
  </si>
  <si>
    <t>City of Benjamin NFIP Participation</t>
  </si>
  <si>
    <t>120601010403</t>
  </si>
  <si>
    <t>07000179</t>
  </si>
  <si>
    <t>07002771</t>
  </si>
  <si>
    <t>072000023</t>
  </si>
  <si>
    <t>City of Putnam NFIP Participation</t>
  </si>
  <si>
    <t>12060105</t>
  </si>
  <si>
    <t>1206010501</t>
  </si>
  <si>
    <t>120601050101, 120601050104</t>
  </si>
  <si>
    <t>07000338, 07000341</t>
  </si>
  <si>
    <t>07002763</t>
  </si>
  <si>
    <t>072000011</t>
  </si>
  <si>
    <t>City of Dickens NFIP Participation</t>
  </si>
  <si>
    <t>Dickens</t>
  </si>
  <si>
    <t>1205000706</t>
  </si>
  <si>
    <t>120500070603</t>
  </si>
  <si>
    <t>07000128</t>
  </si>
  <si>
    <t>07002386</t>
  </si>
  <si>
    <t>072000006</t>
  </si>
  <si>
    <t>City of Amherst NFIP Participation</t>
  </si>
  <si>
    <t>Lamb</t>
  </si>
  <si>
    <t>12050001</t>
  </si>
  <si>
    <t>1205000111</t>
  </si>
  <si>
    <t>120500011103, 120500011104</t>
  </si>
  <si>
    <t>07000367, 07000387</t>
  </si>
  <si>
    <t>07002968</t>
  </si>
  <si>
    <t>072000021</t>
  </si>
  <si>
    <t>City of Petersburg NFIP Participation</t>
  </si>
  <si>
    <t>1205000603</t>
  </si>
  <si>
    <t>120500060301, 120500060302</t>
  </si>
  <si>
    <t>07000095, 07000096</t>
  </si>
  <si>
    <t>07003158</t>
  </si>
  <si>
    <t>072000044</t>
  </si>
  <si>
    <t>Town of Smyer NFIP Participation</t>
  </si>
  <si>
    <t>12050003</t>
  </si>
  <si>
    <t>1205000301</t>
  </si>
  <si>
    <t>120500030101, 120500030103</t>
  </si>
  <si>
    <t>07000003, 07000020</t>
  </si>
  <si>
    <t>07003435</t>
  </si>
  <si>
    <t>072000028</t>
  </si>
  <si>
    <t>City of Weinert NFIP Participation</t>
  </si>
  <si>
    <t>120601010302</t>
  </si>
  <si>
    <t>07000207</t>
  </si>
  <si>
    <t>07003539</t>
  </si>
  <si>
    <t>072000012</t>
  </si>
  <si>
    <t>City of Edmonson NFIP Participation</t>
  </si>
  <si>
    <t>1205000504</t>
  </si>
  <si>
    <t>120500050404</t>
  </si>
  <si>
    <t>07000440</t>
  </si>
  <si>
    <t>07003328</t>
  </si>
  <si>
    <t>072000019</t>
  </si>
  <si>
    <t>City of Moran NFIP Participation</t>
  </si>
  <si>
    <t>Shackelford</t>
  </si>
  <si>
    <t>120601050105, 120601050106</t>
  </si>
  <si>
    <t>07000344, 07000363</t>
  </si>
  <si>
    <t>07003395</t>
  </si>
  <si>
    <t>072000026</t>
  </si>
  <si>
    <t>City of Ropesville NFIP Participation</t>
  </si>
  <si>
    <t>1205000401</t>
  </si>
  <si>
    <t>120500040103</t>
  </si>
  <si>
    <t>07000027</t>
  </si>
  <si>
    <t>07003168</t>
  </si>
  <si>
    <t>072000043</t>
  </si>
  <si>
    <t>Town of Rochester NFIP Participation</t>
  </si>
  <si>
    <t>120601010401</t>
  </si>
  <si>
    <t>07000177</t>
  </si>
  <si>
    <t>07002899</t>
  </si>
  <si>
    <t>072000050</t>
  </si>
  <si>
    <t>John T. Montford Dam Rehab</t>
  </si>
  <si>
    <t>Enhance lake capacity and harden dam structure.  Placeholder for anticipated construction cost.  Detailed costs following FME.</t>
  </si>
  <si>
    <t>1205000405</t>
  </si>
  <si>
    <t>120500040507</t>
  </si>
  <si>
    <t>07000071</t>
  </si>
  <si>
    <t>00000183, 07000222</t>
  </si>
  <si>
    <t>072000053</t>
  </si>
  <si>
    <t>South Lake Improvements Water Diversion</t>
  </si>
  <si>
    <t>Water diversion</t>
  </si>
  <si>
    <t>07000021, 07000022, 07000041, 07000042</t>
  </si>
  <si>
    <t>072000054</t>
  </si>
  <si>
    <t>Lake Benjamin Improvements</t>
  </si>
  <si>
    <t>Reinforcement of slopes and dam spillway</t>
  </si>
  <si>
    <t>072000055</t>
  </si>
  <si>
    <t>Lake Stamford Improvements</t>
  </si>
  <si>
    <t>Expand spillway</t>
  </si>
  <si>
    <t>1206010302</t>
  </si>
  <si>
    <t>120601030208</t>
  </si>
  <si>
    <t>07000298</t>
  </si>
  <si>
    <t>072000059</t>
  </si>
  <si>
    <t>McMillian Dam High Risk Repairs</t>
  </si>
  <si>
    <t>Make repairs to McMillan Dam as identified as high risk by TCEQ to prevent failure.</t>
  </si>
  <si>
    <t>120500030104</t>
  </si>
  <si>
    <t>07000024</t>
  </si>
  <si>
    <t>07000222</t>
  </si>
  <si>
    <t>072000056</t>
  </si>
  <si>
    <t>McMillan Dam Warning System</t>
  </si>
  <si>
    <t>Enhance and expand existing limited alert system equipment currently in place at McMillan Dam</t>
  </si>
  <si>
    <t>07003505, 07003508</t>
  </si>
  <si>
    <t>072000057</t>
  </si>
  <si>
    <t>Ransom Canyon Evacuation Route</t>
  </si>
  <si>
    <t>As part of the Village's Emergency Operations Plan, construct an alternate evacuation route for residents affected by McMillan Dam failure</t>
  </si>
  <si>
    <t>07003508</t>
  </si>
  <si>
    <t>072000063</t>
  </si>
  <si>
    <t>Dredging Canyon Lakes</t>
  </si>
  <si>
    <t>1205000301, 1205000113, 1205000205</t>
  </si>
  <si>
    <t>120500030102, 120500020508, 120500011305, 120500030103</t>
  </si>
  <si>
    <t xml:space="preserve"> 07000002, 07000003,  07000378, 07000416</t>
  </si>
  <si>
    <t xml:space="preserve">07000052 </t>
  </si>
  <si>
    <t>070000000002, 070000000003</t>
  </si>
  <si>
    <t>072000062</t>
  </si>
  <si>
    <t>Buffalo Springs Lake Warning System</t>
  </si>
  <si>
    <t>Flood Warning signals - Sponsor Wish List.</t>
  </si>
  <si>
    <t>07000021</t>
  </si>
  <si>
    <t>07003505</t>
  </si>
  <si>
    <t>082001143</t>
  </si>
  <si>
    <t>City of Waco Property Acquisition</t>
  </si>
  <si>
    <t>Buyout program for structures located in flood hazard areas.</t>
  </si>
  <si>
    <t>Lower Brazos</t>
  </si>
  <si>
    <t>McLennan</t>
  </si>
  <si>
    <t>12060202,12060203,12060204,12070101</t>
  </si>
  <si>
    <t>1206020206,1206020207,1206020208,1206020301,1206020302,1206020303,1206020404,1207010101</t>
  </si>
  <si>
    <t>120602020706,120602020708,120602020801,120602020802,120602020605,120602020803,120602020804,120602020805,120602030202,120602030105,120602030302,120602030303,120602040406,120602040407,120701010101</t>
  </si>
  <si>
    <t>08000002,08000003,08000004,08000005</t>
  </si>
  <si>
    <t>08000009</t>
  </si>
  <si>
    <t>08002914</t>
  </si>
  <si>
    <t>Local, TWDB FIF, TWDB CWSRF, FEMA HMGP, FEMA BRIC, FEMA FMA, HUD CDBG-MIT</t>
  </si>
  <si>
    <t>081000884</t>
  </si>
  <si>
    <t>082001130</t>
  </si>
  <si>
    <t>Provided by sponsor and is in line with the TWDB requirements.</t>
  </si>
  <si>
    <t>Flood risk reduction, increased participation in the NFIP</t>
  </si>
  <si>
    <t>Activities not limited to implementing/improving flood education and awareness programs for residents, elected officials, and real estate agents/developers; and flood insurance campaigns to reduce flood risk and increase NFIP participation.</t>
  </si>
  <si>
    <t>Flood risk reduction and nature based solutions</t>
  </si>
  <si>
    <t>112000186</t>
  </si>
  <si>
    <t>Guadalupe</t>
  </si>
  <si>
    <t>Lavaca, Gonzales, Guadalupe, Bandera, Comal, Real, Caldwell, Kendall, Fayette, Kerr, Hays, Bastrop, Gillespie, Blanco, Travis, Refugio, Calhoun, Goliad, Victoria, Karnes, De Witt, Wilson</t>
  </si>
  <si>
    <t>12100201,12100202,12100203,12100204, 12100303,12100403</t>
  </si>
  <si>
    <t>11000133,11000130,11000136,11000140,11000137,11000141,11000138,11000139,11000146,11000148,11000149,11000142,11000143,11000144,11000145,11000147,11000150,11000134,11000135,11000131,11000132,11000129,11000125,11000124,11000126,11000127,11000128,11000151</t>
  </si>
  <si>
    <t>11000001</t>
  </si>
  <si>
    <t>11003546</t>
  </si>
  <si>
    <t>Meets minimum TWDB requirements</t>
  </si>
  <si>
    <t>112000187</t>
  </si>
  <si>
    <t>Property Acquisitions and Structural Elevation</t>
  </si>
  <si>
    <t>Develop and implement a voluntary buyout or structural elevation assistance programs to eliminate repetitive loss structures and implementing programs to purchase/preserve open space to protect riparian corridors.</t>
  </si>
  <si>
    <t>11000003, 11000009</t>
  </si>
  <si>
    <t>112000188</t>
  </si>
  <si>
    <t>Regularly review and update floodplain ordnances, land use/zoning, development criteria, and enforcement. Develop and implement higher standards, green infrastructure program, and use best available data (eg. BLE) to manage floodplains</t>
  </si>
  <si>
    <t>11000003, 11000005, 11000009</t>
  </si>
  <si>
    <t>112000189</t>
  </si>
  <si>
    <t>Develop or implement programs to increase flood warning including reverse 911 systems; evacuation/emergency management plans and personnel training; NOAA all-hazards radios, and programs to increase safety at low water crossings (signs, flashers, gages)</t>
  </si>
  <si>
    <t>11000001, 11000009</t>
  </si>
  <si>
    <t>Public safety</t>
  </si>
  <si>
    <t>112000190</t>
  </si>
  <si>
    <t>Develop programs to preserve system functionality (storm drains, culverts, bridges); enhance riparian corridors &amp; preserve floodplain capacity: and infrastructure improvements programs that identify and prioritize flood risk reduction projects</t>
  </si>
  <si>
    <t>11000003, 11000009, 11000011</t>
  </si>
  <si>
    <t>Flood Risk Reduction and Public safety</t>
  </si>
  <si>
    <t>122000001</t>
  </si>
  <si>
    <t>Study the San Antonio River and its tributes</t>
  </si>
  <si>
    <t>San Antonio</t>
  </si>
  <si>
    <t>Karnes</t>
  </si>
  <si>
    <t>12100303</t>
  </si>
  <si>
    <t>1210030302</t>
  </si>
  <si>
    <t>121003030204,121003030202</t>
  </si>
  <si>
    <t>12000027,12000030</t>
  </si>
  <si>
    <t>12000007</t>
  </si>
  <si>
    <t>12002974</t>
  </si>
  <si>
    <t>00000095 , 00000255 , 00000282 , 12002974</t>
  </si>
  <si>
    <t>Halff Identification Process</t>
  </si>
  <si>
    <t>122000002</t>
  </si>
  <si>
    <t>San Antonio River drainage ownership study</t>
  </si>
  <si>
    <t>12000001</t>
  </si>
  <si>
    <t>122000003, 122000002</t>
  </si>
  <si>
    <t>122000003</t>
  </si>
  <si>
    <t>San Antonio River drainage ownership mapping</t>
  </si>
  <si>
    <t>1210030302,1210030304</t>
  </si>
  <si>
    <t>121003030401,121003030402,121003030403,121003030205,121003030206</t>
  </si>
  <si>
    <t>12000020,12000021,12000022,12000034,12000037</t>
  </si>
  <si>
    <t>12002756</t>
  </si>
  <si>
    <t>00000095 , 00000255 , 00000282 , 00000519 , 12002756</t>
  </si>
  <si>
    <t>122000002, 122000004, 122000005</t>
  </si>
  <si>
    <t>122000004</t>
  </si>
  <si>
    <t>1210030304</t>
  </si>
  <si>
    <t>121003030402</t>
  </si>
  <si>
    <t>12000021</t>
  </si>
  <si>
    <t>12002975</t>
  </si>
  <si>
    <t>00000095 , 00000255 , 00000282 , 00000519 , 12002975</t>
  </si>
  <si>
    <t>122000005</t>
  </si>
  <si>
    <t>1210030303,1210030304</t>
  </si>
  <si>
    <t>121003030306,121003030404</t>
  </si>
  <si>
    <t>12000016,12000023</t>
  </si>
  <si>
    <t>12002757</t>
  </si>
  <si>
    <t>00000095 , 00000255 , 00000282 , 00001006 , 12002757</t>
  </si>
  <si>
    <t>122000002, 122000003, 122000005</t>
  </si>
  <si>
    <t>122000006</t>
  </si>
  <si>
    <t>Strengthen floodplain management ordinances</t>
  </si>
  <si>
    <t>Adopt higher floodplain standards for new development</t>
  </si>
  <si>
    <t>Wilson</t>
  </si>
  <si>
    <t>1210030301,1210030302</t>
  </si>
  <si>
    <t>121003030204,121003030105</t>
  </si>
  <si>
    <t>12000027,12000035</t>
  </si>
  <si>
    <t>12000021, 12000022</t>
  </si>
  <si>
    <t>12003181</t>
  </si>
  <si>
    <t>00000100 , 00000255 , 00000282 , 12003181</t>
  </si>
  <si>
    <t>122000007, 122000008, 122000009</t>
  </si>
  <si>
    <t>122000007</t>
  </si>
  <si>
    <t>Education Signage</t>
  </si>
  <si>
    <t>Install educational signage such as "Turn around don't drown" at high risk low water crossings.</t>
  </si>
  <si>
    <t>12000005</t>
  </si>
  <si>
    <t>122000006, 122000008, 122000009</t>
  </si>
  <si>
    <t>122000008</t>
  </si>
  <si>
    <t>Digital signage for communication</t>
  </si>
  <si>
    <t>Coordinate with school district to use sign on US 181  for emergency info and safety directions during hazard events.</t>
  </si>
  <si>
    <t>122000009</t>
  </si>
  <si>
    <t>Early warning system education</t>
  </si>
  <si>
    <t>Alert the population through education material, media and other methods about enrolling in the early warning system</t>
  </si>
  <si>
    <t>122000006, 122000007, 122000008</t>
  </si>
  <si>
    <t>122000010</t>
  </si>
  <si>
    <t>Development of a Streamscaping Program for Flood Risk Management in Texas</t>
  </si>
  <si>
    <t>Increase the number of public outreach and education activities to improve awareness of flood hazards and benefits of flood planning in the Flood Planning Region. Promote nature-based solution training</t>
  </si>
  <si>
    <t>12100301,12100303,12100304,12110110,12100302</t>
  </si>
  <si>
    <t>1210030103,1210030101,1210030102,1210030301,1210030401,1210030402,1210030403,1211011002,1210030205,1210030204</t>
  </si>
  <si>
    <t>12000001,12000002,12000003,12000004,12000005,12000006,12000007,12000008,12000009,12000010,12000011,12000012,12000013,12000029,12000055,12000056,12000063,12000064,12000066,12000069,12000071,12000076,12000078,12000094,12000104,12000105</t>
  </si>
  <si>
    <t>12000014</t>
  </si>
  <si>
    <t>122000011</t>
  </si>
  <si>
    <t>Automatic low water crossings and gauges</t>
  </si>
  <si>
    <t xml:space="preserve">Add automatic low water crossings and gauges at various locations, providing real time flood information to the region.  This would include development of a plan to identify locations, followed by installation. </t>
  </si>
  <si>
    <t>Bexar,Bandera,Comal,Kendall,Kerr</t>
  </si>
  <si>
    <t>12100304,12100201,12100302</t>
  </si>
  <si>
    <t>1210030401,1210020102,1210020103,1210020104,1210030202,1210030203</t>
  </si>
  <si>
    <t>12000058,12000062,12000063,12000095,12000096</t>
  </si>
  <si>
    <t>00000017</t>
  </si>
  <si>
    <t>00000007 , 00000017 , 00000022 , 00000255 , 00000282 , 00000291 , 00000297 , 00000339 , 00000936 , 12000937 , 12001324 , 12002226 , 12002367 , 12002436 , 12002855</t>
  </si>
  <si>
    <t>122000012</t>
  </si>
  <si>
    <t>Update flood information and policies</t>
  </si>
  <si>
    <t>Identify and compile information on flood hazard areas and residential property in flood zones, establish and implement a volunteer acquisition / elevation program based on FEMA protocol in association with SARA studies, and review permitting process bas</t>
  </si>
  <si>
    <t>122000002, 122000003, 122000004, 122000005</t>
  </si>
  <si>
    <t>122000013</t>
  </si>
  <si>
    <t>Shelter requirement for RV parks</t>
  </si>
  <si>
    <t>Adopt and implement an ordinance to require RV Parks to provide shelter facilities.</t>
  </si>
  <si>
    <t>Atascosa,De Witt,Wilson,Goliad,Karnes</t>
  </si>
  <si>
    <t>12100204,12100303,12100304,12100202,12100406,12110110,12110111</t>
  </si>
  <si>
    <t>1210020402,1210030302,1210030303,1210030304,1210030305,1210030404,1210020205,1210040601,1210040602,1211011005,1211011003,1211011101</t>
  </si>
  <si>
    <t>12000014,12000016,12000019,12000020,12000021,12000022,12000023,12000024,12000025,12000026,12000027,12000030,12000034,12000037,12000040,12000041,12000042,12000043,12000045,12000052,12000057,12000070</t>
  </si>
  <si>
    <t>00000095</t>
  </si>
  <si>
    <t>00000095 , 00000096 , 00000099 , 00000100 , 00000255 , 00000260 , 00000264 , 00000282 , 00000290 , 00000291 , 00000519 , 00000526 , 00001006 , 12002756 , 12002757 , 12002974 , 12002975</t>
  </si>
  <si>
    <t>Non-structural strategy</t>
  </si>
  <si>
    <t>HDR Identification Process</t>
  </si>
  <si>
    <t>122000014</t>
  </si>
  <si>
    <t>Public Education &amp; Outreach</t>
  </si>
  <si>
    <t>Create a program to educate the public about specific mitigation actions for flooding hazards</t>
  </si>
  <si>
    <t>Medina</t>
  </si>
  <si>
    <t>12100302</t>
  </si>
  <si>
    <t>1210030205</t>
  </si>
  <si>
    <t>121003020501,121003020503</t>
  </si>
  <si>
    <t>12000081,12000108</t>
  </si>
  <si>
    <t>12000001, 12000012</t>
  </si>
  <si>
    <t>12002954</t>
  </si>
  <si>
    <t>00000005 , 00000255 , 12002954</t>
  </si>
  <si>
    <t>122000015</t>
  </si>
  <si>
    <t>Public education and outreach</t>
  </si>
  <si>
    <t>Implement public education and outreach programs to educate citizens about mitigation against (flood) hazards; seek partnership with county neighboring communities and San Antonio River Authority.</t>
  </si>
  <si>
    <t>12100304</t>
  </si>
  <si>
    <t>1210030403</t>
  </si>
  <si>
    <t>121003040304,121003040302</t>
  </si>
  <si>
    <t>12000053,12000056</t>
  </si>
  <si>
    <t>12003180</t>
  </si>
  <si>
    <t>00000100 , 00000255 , 00000282 , 00000392 , 12001595 , 12003180</t>
  </si>
  <si>
    <t>1220000016, 1220000017</t>
  </si>
  <si>
    <t>122000016</t>
  </si>
  <si>
    <t>Citizen flood education outreach</t>
  </si>
  <si>
    <t>Educate citizens about mitigation strategies prior to any flood conditions, including dangers of debris flooding roads and how to best floodproof homes and businesses.</t>
  </si>
  <si>
    <t>1210030301</t>
  </si>
  <si>
    <t>121003030102,121003030103</t>
  </si>
  <si>
    <t>12000028,12000033</t>
  </si>
  <si>
    <t>12002925</t>
  </si>
  <si>
    <t>00000100 , 00000255 , 00000282 , 12000592 , 12002925</t>
  </si>
  <si>
    <t>1220000015, 1220000017</t>
  </si>
  <si>
    <t>122000017</t>
  </si>
  <si>
    <t>Updating floodplain ordinances and development code</t>
  </si>
  <si>
    <t>12000011</t>
  </si>
  <si>
    <t>1220000015, 1220000016</t>
  </si>
  <si>
    <t>122000019</t>
  </si>
  <si>
    <t>Conservation Easement Program</t>
  </si>
  <si>
    <t>Develop a Conservation Easement Program.</t>
  </si>
  <si>
    <t>Medina,Bexar</t>
  </si>
  <si>
    <t>12110107,12110109,12100302</t>
  </si>
  <si>
    <t>1211010701,1211010901,1210030205,1210030203</t>
  </si>
  <si>
    <t>121101070108,121101090101,121003020307,121003020501,121003020304,121003020305,121003020502,121003020503</t>
  </si>
  <si>
    <t>12000075,12000081,12000099,12000100,12000107,12000108</t>
  </si>
  <si>
    <t>00000005</t>
  </si>
  <si>
    <t>00000005 , 00000255 , 00000290 , 00000299 , 12002954 , 12003377</t>
  </si>
  <si>
    <t>122000020</t>
  </si>
  <si>
    <t>City of Floresville Floodplain Ordinance and Development Code Update</t>
  </si>
  <si>
    <t xml:space="preserve">Create a floodplain ordinance and update development code
</t>
  </si>
  <si>
    <t>132000001</t>
  </si>
  <si>
    <t>Create a public outreach program to educate the community on the benefits of building code enforcement and flood hazard mitigation strategies. Also, coordinate regionally regarding flood early warning systems currently implemented in our region.</t>
  </si>
  <si>
    <t>Nueces</t>
  </si>
  <si>
    <t>12110107</t>
  </si>
  <si>
    <t>1211010701,1211010702</t>
  </si>
  <si>
    <t>121101070109,121101070201,121101070202,121101070203,121101070204</t>
  </si>
  <si>
    <t>13000322,13000325,13000329,13000330,13000333</t>
  </si>
  <si>
    <t>13000024</t>
  </si>
  <si>
    <t>13002953</t>
  </si>
  <si>
    <t>00000005,00000255,00000290,13002953</t>
  </si>
  <si>
    <t>Nonstructural - no negative impact</t>
  </si>
  <si>
    <t>high need, in vulnerable area</t>
  </si>
  <si>
    <t>132000002</t>
  </si>
  <si>
    <t>Review and Adoption of Updated Building Codes</t>
  </si>
  <si>
    <t>13000016</t>
  </si>
  <si>
    <t>132000003</t>
  </si>
  <si>
    <t>Subdivision Ordinance Revision</t>
  </si>
  <si>
    <t>Create new Subdivision Ordinance and development standards to ensure the city is proactive in our regulatory practices and to ensure that the standards align with flood hazard mitigation strategies.</t>
  </si>
  <si>
    <t>132000004</t>
  </si>
  <si>
    <t>Update City’s Flood Hazard Mitigation Ordinance</t>
  </si>
  <si>
    <t>Update the City’s Flood Hazard Mitigation Ordinance to ensure proper regulation of NFIP requirements and to implement higher standards of floodplain management.</t>
  </si>
  <si>
    <t>132000006</t>
  </si>
  <si>
    <t>Atascosa McMullen Hazard Mitigation Plan - Atascosa County Action #1</t>
  </si>
  <si>
    <t>Place flood gauges upstream of flood-prone areas to alert citizens to quickly rising waters.</t>
  </si>
  <si>
    <t>Atascosa,Wilson,Medina,Bexar,La Salle,McMullen,Live Oak,Frio,Karnes</t>
  </si>
  <si>
    <t>12110108,12110109,12110110,12100302</t>
  </si>
  <si>
    <t>1211010804,1211010805,1211010905,1211010903,1211010904,1211011005,1211011004,1211011002,1211011001,1211011003,1210030205</t>
  </si>
  <si>
    <t>13000007</t>
  </si>
  <si>
    <t>00000096</t>
  </si>
  <si>
    <t>00000005,00000007,13000086,13000089,13000093,00000096,00000100,00000255,00000260,00000282,00000290,00000299,00000392,13002446,13003116,13003117,13003118,13003214,13003215</t>
  </si>
  <si>
    <t>high need area</t>
  </si>
  <si>
    <t>132000007</t>
  </si>
  <si>
    <t>Atascosa McMullen Hazard Mitigation Plan - Atascosa County Action #5</t>
  </si>
  <si>
    <t>Inventory of all low water crossing in the county and develop a prioritize projects in a COP for upgrades or replacement.</t>
  </si>
  <si>
    <t>13000001</t>
  </si>
  <si>
    <t>132000009</t>
  </si>
  <si>
    <t>Atascosa McMullen Hazard Mitigation Plan - Atascosa County Action #12</t>
  </si>
  <si>
    <t>13000013, 13000020</t>
  </si>
  <si>
    <t>132000011</t>
  </si>
  <si>
    <t>Atascosa McMullen Hazard Mitigation Plan - City of Charlotte Action #7</t>
  </si>
  <si>
    <t>The enforcement of the flood damage prevention ordinance</t>
  </si>
  <si>
    <t>Atascosa</t>
  </si>
  <si>
    <t>12110109,12110110</t>
  </si>
  <si>
    <t>1211010904,1211011004</t>
  </si>
  <si>
    <t>121101090402,121101090404,121101100401</t>
  </si>
  <si>
    <t>13000397,13000399,13000426</t>
  </si>
  <si>
    <t>13003214</t>
  </si>
  <si>
    <t>00000096,00000255,00000290,13003214</t>
  </si>
  <si>
    <t>132000014</t>
  </si>
  <si>
    <t>Atascosa McMullen Hazard Mitigation Plan - City of Jourdanton Action #3</t>
  </si>
  <si>
    <t>Enforcement of flood damage prevention ordinance</t>
  </si>
  <si>
    <t>12110110</t>
  </si>
  <si>
    <t>1211011004,1211011002</t>
  </si>
  <si>
    <t>121101100206,121101100402,121101100405</t>
  </si>
  <si>
    <t>13000419,13000427,13000428</t>
  </si>
  <si>
    <t>13003116</t>
  </si>
  <si>
    <t>00000096,00000255,00000290,13003116</t>
  </si>
  <si>
    <t>132000015</t>
  </si>
  <si>
    <t>Atascosa McMullen Hazard Mitigation Plan - City of Jourdanton Action #6</t>
  </si>
  <si>
    <t>Install educational signage such as "turn around don't drown" at high risk low water crossings</t>
  </si>
  <si>
    <t>13000002</t>
  </si>
  <si>
    <t>132000016</t>
  </si>
  <si>
    <t>Atascosa McMullen Hazard Mitigation Plan - City of Jourdanton Action #4</t>
  </si>
  <si>
    <t>Maintain Storm Drainage System</t>
  </si>
  <si>
    <t>13000013</t>
  </si>
  <si>
    <t>132000024</t>
  </si>
  <si>
    <t>Atascosa McMullen Hazard Mitigation Plan - City of Poteet Action #2</t>
  </si>
  <si>
    <t>Increase local enforcement of the flood damage prevention ordinance by hiring a more full time staff</t>
  </si>
  <si>
    <t>1211011002</t>
  </si>
  <si>
    <t>121101100203</t>
  </si>
  <si>
    <t>13000416</t>
  </si>
  <si>
    <t>13003118</t>
  </si>
  <si>
    <t>00000096,00000255,00000290,13003118</t>
  </si>
  <si>
    <t>132000027</t>
  </si>
  <si>
    <t xml:space="preserve">City of Alice &amp; Jim Wells County Multi-Hazard Mitigation Plan - Create a Buyout Program for Repetitive Loss Properties  </t>
  </si>
  <si>
    <t xml:space="preserve">This action will develop and implement a program to buyout repetitive loss properties to expand drainage systems. </t>
  </si>
  <si>
    <t>Jim Wells</t>
  </si>
  <si>
    <t>12110204</t>
  </si>
  <si>
    <t>1211020404</t>
  </si>
  <si>
    <t>121102040404,121102040405</t>
  </si>
  <si>
    <t>13000496,13000513</t>
  </si>
  <si>
    <t>13003128</t>
  </si>
  <si>
    <t>13000080,00000260,00000290,13001788,13003128</t>
  </si>
  <si>
    <t>132000028</t>
  </si>
  <si>
    <t>City of Alice &amp; Jim Wells County Multi-Hazard Mitigation Plan - Restrict development in high hazard areas (City of Alice)</t>
  </si>
  <si>
    <t>The City of Alice will re-evaluate all existing floodplain construction restrictions to identify strengths and weaknesses and update.</t>
  </si>
  <si>
    <t>132000030</t>
  </si>
  <si>
    <t xml:space="preserve">City of Alice &amp; Jim Wells County Multi-Hazard Mitigation Plan - Mandate Freeboard on Structures to Reduce Flooding Damage </t>
  </si>
  <si>
    <t xml:space="preserve">Jim Wells County will re-evaluate all existing floodplain construction restrictions to identify strengths and weaknesses in order to produce a new ordinance, update its existing flood damage prevention ordinance, and / or update its zoning code. </t>
  </si>
  <si>
    <t>Brooks,Kleberg,Nueces,Duval,Jim Wells,San Patricio,Live Oak</t>
  </si>
  <si>
    <t>12110111,12110204,12110205,12110206</t>
  </si>
  <si>
    <t>1211011105,1211011106,1211011107,1211020402,1211020401,1211020403,1211020404,1211020501,1211020507,1211020504,1211020505,1211020506,1211020603</t>
  </si>
  <si>
    <t>13000080</t>
  </si>
  <si>
    <t>13000079,13000080,13000081,13000089,00000260,00000290,13000409,13000585,13000779,13000842,13001666,13001741,13001788,13003127,13003128,13003130,13003131</t>
  </si>
  <si>
    <t>132000036</t>
  </si>
  <si>
    <t>Jim Wells County Flood Warning System</t>
  </si>
  <si>
    <t>A county wide flood warning system</t>
  </si>
  <si>
    <t>132000037</t>
  </si>
  <si>
    <t>Citywide Stormwater System Inspection</t>
  </si>
  <si>
    <t>Inspect the City's storm water infrastructure to determine needed repairs.</t>
  </si>
  <si>
    <t>Kleberg,Nueces,San Patricio</t>
  </si>
  <si>
    <t>12110111,12110201,12110202,12110203</t>
  </si>
  <si>
    <t>1211011107,1211020100,1211020201,1211020202,1211020203,1211020301,1211020302</t>
  </si>
  <si>
    <t>121101110706,121101110705,121101110707,121102010001,121102010003,121102010005,121102010004,121102020200,121102020106,121102020104,121102020101,121102020105,121102020102,121102020103,121102020107,121102020300,121102030100,121102030200</t>
  </si>
  <si>
    <t>13000442,13000447,13000448,13000479,13000481,13000482,13000608,13000609,13000610,13000611,13000612,13000613,13000614,13000615,13000616,13000617,13000618,13000619,13000620,13000621,13000622,13000623,13000624</t>
  </si>
  <si>
    <t>13002900</t>
  </si>
  <si>
    <t>13000077,13000078,13000081,00000260,00000290,13000409,13000585,13000876,13000981,13000982,13001739,13002900,13002930,13003368</t>
  </si>
  <si>
    <t xml:space="preserve">High risk area </t>
  </si>
  <si>
    <t>132000038</t>
  </si>
  <si>
    <t>Flood Mitigation Public Education</t>
  </si>
  <si>
    <t>Design and implement a program for public education. The program will educate citizens on methods of hazard mitigation and risk reduction. To be incorporated into Aransas County's floodplain management program as part of CRS.</t>
  </si>
  <si>
    <t>Nueces,San Patricio,Aransas,Refugio</t>
  </si>
  <si>
    <t>12100404,12100407,12100403,12100405</t>
  </si>
  <si>
    <t>1210040400,1210040704,1210040302,1210040501,1210040502,1210040503,1210040504,1210040505</t>
  </si>
  <si>
    <t>121004040000,121004070404,121004070402,121004030200,121004050400,121004050203,121004050305,121004050204,121004050304,121004050306,121004050307,121004050308,121004050303,121004050205,121004050302,121004050102,121004050103,121004050500</t>
  </si>
  <si>
    <t>13000026,13000028,13000592,13000594,13000595,13000596,13000597,13000598,13000599,13000600,13000602,13000603,13000606,13000607,13000627</t>
  </si>
  <si>
    <t>13000022</t>
  </si>
  <si>
    <t>00000083</t>
  </si>
  <si>
    <t>13000078,13000081,00000083,00000084,00000260,00000264,00000290,00000291,13000381,13000409,13000576,13000585,13000586,00000714,13000727,00000758,13000881,13000981,13001044,00001608,13002735,13002900,13003368,13003450,13003451</t>
  </si>
  <si>
    <t>132000039</t>
  </si>
  <si>
    <t xml:space="preserve">Aransas County Wetlands Preservation Plan </t>
  </si>
  <si>
    <t>Aransas County Texas Multi-Jurisdisctinal Hazard Mitigation Action Plan - Action #4: Create a county-wide wetlands preservation plan</t>
  </si>
  <si>
    <t>13000008, 13000020</t>
  </si>
  <si>
    <t xml:space="preserve">Nature Based Solution </t>
  </si>
  <si>
    <t>132000040</t>
  </si>
  <si>
    <t>Aransas County Flood Warning System</t>
  </si>
  <si>
    <t>The county needs flood warning systems throughout the region.</t>
  </si>
  <si>
    <t>132000041</t>
  </si>
  <si>
    <t>Bee County Emergency Warning System</t>
  </si>
  <si>
    <t>COASTAL BEND MITIGATION ACTION PLAN - BE - 05: Emergency Warning and Public Information System, Bee County and the City of Beeville's capacity to communicate warnings and emergency information to residents is limited to a siren in Beeville's city limits.</t>
  </si>
  <si>
    <t>San Patricio,Refugio,Bee,Live Oak,Goliad,Karnes</t>
  </si>
  <si>
    <t>12100406,12100407,12110111</t>
  </si>
  <si>
    <t>1210040603,1210040601,1210040602,1210040701,1210040702,1210040704,1211011101,1211011103,1211011102,1211011106,1211011107</t>
  </si>
  <si>
    <t>13000087, 13002711</t>
  </si>
  <si>
    <t>13000087,13000089,00000090,00000095,00000255,00000260,00000264,00000282,00000290,13000409,13000585,00000714,00000758,13001487,13001488,13002711</t>
  </si>
  <si>
    <t>132000042</t>
  </si>
  <si>
    <t>San Patricio County Dam Failure Education Program</t>
  </si>
  <si>
    <t xml:space="preserve">San Patricio County Hazard Mitigation Action Plan - San Patricio County, Action #5: Develop and implement a dam failure hazard education program to provide information on the potential for dam failure and the areas at greatest risk. </t>
  </si>
  <si>
    <t>Nueces,Jim Wells,San Patricio,Aransas,Refugio,Bee,Live Oak</t>
  </si>
  <si>
    <t>12100407,12110111,12110201,12100405</t>
  </si>
  <si>
    <t>1210040703,1210040702,1210040704,1211011106,1211011107,1211020100,1210040502,1210040504</t>
  </si>
  <si>
    <t>13000081</t>
  </si>
  <si>
    <t>132000043</t>
  </si>
  <si>
    <t>Ingleside on the Bay Flood Mitigation Policy</t>
  </si>
  <si>
    <t>San Patricio County Hazard Mitigation Action Plan - City of Ingleside on the Bay, Action #11: Adopt ASFPM’s “No Adverse Impact” policy to mitigate local flooding. </t>
  </si>
  <si>
    <t>Nueces,San Patricio</t>
  </si>
  <si>
    <t>12110201</t>
  </si>
  <si>
    <t>1211020100</t>
  </si>
  <si>
    <t>121102010003,121102010005</t>
  </si>
  <si>
    <t>13000481,13000482</t>
  </si>
  <si>
    <t>13003248</t>
  </si>
  <si>
    <t>13000078,13000081,00000260,00000290,13000409,13000585,13000586,13002900,13002930,13003248</t>
  </si>
  <si>
    <t xml:space="preserve">provide regional support of local policies </t>
  </si>
  <si>
    <t>132000044</t>
  </si>
  <si>
    <t>Odem Flood Mitigation Policy</t>
  </si>
  <si>
    <t>San Patricio County Hazard Mitigation Action Plan - City of Odem, Action #5: Adopt higher floodplain standards above the minimum requirements to provide additional flood protection to new development. </t>
  </si>
  <si>
    <t>San Patricio</t>
  </si>
  <si>
    <t>12100407,12110201</t>
  </si>
  <si>
    <t>1210040703,1211020100</t>
  </si>
  <si>
    <t>121004070302,121102010001</t>
  </si>
  <si>
    <t>13000031,13000479</t>
  </si>
  <si>
    <t>13003412</t>
  </si>
  <si>
    <t>13000081,00000260,00000290,13000409,13000585,13000586,13003412</t>
  </si>
  <si>
    <t>132000045</t>
  </si>
  <si>
    <t>Odem Flood Awareness Program</t>
  </si>
  <si>
    <t>San Patricio County Hazard Mitigation Action Plan - City of Odem, Action #15: Implement a flood awareness  program by providing FEMA/NFIP materials to mortgage lenders, real estate agents and insurance agents and place them in local libraries. </t>
  </si>
  <si>
    <t>132000046</t>
  </si>
  <si>
    <t>Portland Flood Mitigation Policy</t>
  </si>
  <si>
    <t>San Patricio County Hazard Mitigation Action Plan - City of Portland, Action #4: Adopt higher floodplain standards above the minimum requirements to provide additional flood protection to new development. </t>
  </si>
  <si>
    <t>1210040704,1211020100</t>
  </si>
  <si>
    <t>121004070403,121102010002,121102010003,121102010005,121102010004</t>
  </si>
  <si>
    <t>13000043,13000480,13000481,13000482,13000624</t>
  </si>
  <si>
    <t>13003233</t>
  </si>
  <si>
    <t>13000078,13000081,00000260,00000290,13000409,13000585,13000586,13002900,13003233</t>
  </si>
  <si>
    <t>132000047</t>
  </si>
  <si>
    <t>Sinton Flood Mitigation Policy</t>
  </si>
  <si>
    <t>San Patricio County Hazard Mitigation Action Plan - City of Sinton, Action #2: Adopt higher floodplain standards above the minimum requirements to provide additional flood protection to new development. </t>
  </si>
  <si>
    <t>12100407</t>
  </si>
  <si>
    <t>1210040703</t>
  </si>
  <si>
    <t>121004070302,121004070303,121004070304</t>
  </si>
  <si>
    <t>13000031,13000034,13000046</t>
  </si>
  <si>
    <t>13002864</t>
  </si>
  <si>
    <t>13000081,00000260,00000290,13000409,13000585,13002864</t>
  </si>
  <si>
    <t>132000048</t>
  </si>
  <si>
    <t>Floodplain Management Training</t>
  </si>
  <si>
    <t>San Patricio County Hazard Mitigation Action Plan - City of Sinton, Action #14: Cross‐train  building  inspectors  in  floodplain management requirements. </t>
  </si>
  <si>
    <t>132000049</t>
  </si>
  <si>
    <t>Taft Flood Awareness Program</t>
  </si>
  <si>
    <t>San Patricio County Hazard Mitigation Action Plan - City of Taft, Action #11: Educate community on the dangers of low water crossings through the installation of warning signs and promotion of “Turn Around, Don’t Drown” program</t>
  </si>
  <si>
    <t>1210040703,1210040704</t>
  </si>
  <si>
    <t>121004070403,121004070305</t>
  </si>
  <si>
    <t>13000043,13000044</t>
  </si>
  <si>
    <t>13000007, 13000022</t>
  </si>
  <si>
    <t>13002882</t>
  </si>
  <si>
    <t>13000081,00000260,00000290,13000409,13000585,13000586,13002882</t>
  </si>
  <si>
    <t>132000050</t>
  </si>
  <si>
    <t>Nueces Basin Minimum Flood Management Standards</t>
  </si>
  <si>
    <t xml:space="preserve">Promote minimum flood management standards ) and identify and promote best practices to maintain drainage structures. Minimum flood management standards to require 1 ft above 100-year BFE or based on local ordinances, whichever is more stringent. </t>
  </si>
  <si>
    <t>Atascosa,Wilson,Kinney,Uvalde,Medina,Bexar,Bandera,Real,Edwards,Kerr,Brooks,Kenedy,Jim Hogg,Kleberg,Nueces,Duval,Jim Wells,San Patricio,Webb,Aransas,Refugio,Dimmit,La Salle,McMullen,Bee,Live Oak,Goliad,Maverick,Zavala,Frio,Karnes</t>
  </si>
  <si>
    <t>00000290</t>
  </si>
  <si>
    <t>13000001,00000005,00000007,00000011,00000015,00000021,00000022,00000073,00000074,00000076,13000077,13000078,13000079,13000080,13000081,00000082,00000083,00000084,13000085,13000086,13000087,13000089,00000090,00000091,13000092,13000093,00000095,00000096,000</t>
  </si>
  <si>
    <t>needed to meet Goal 6 (min. flood standards)</t>
  </si>
  <si>
    <t>132000051</t>
  </si>
  <si>
    <t>Nueces Basin flood public information campaign</t>
  </si>
  <si>
    <t xml:space="preserve">Identify local, subregional workgroups aligned with flooding issues.  Develop public information campaign templates with relevant flood-related communications. </t>
  </si>
  <si>
    <t>13000028</t>
  </si>
  <si>
    <t>needed to meet Goal 8 (flood public information campaign)</t>
  </si>
  <si>
    <t>132000052</t>
  </si>
  <si>
    <t>Shell Point Ranch Wetlands Protection</t>
  </si>
  <si>
    <t>Texas Coastal Resiliency Master Plan - R3-5: Acquisition of approx 400 acres of coastal habitats and the southernmost extents of mima mounds at Shell Point Ranch. The acquisition also would mitigate flooding and storm surge damage to the area.</t>
  </si>
  <si>
    <t>Aransas</t>
  </si>
  <si>
    <t>12100405,12100405</t>
  </si>
  <si>
    <t>1210040501,1210040502</t>
  </si>
  <si>
    <t>121004050103,121004050205</t>
  </si>
  <si>
    <t>13000607,13000627</t>
  </si>
  <si>
    <t>13000020</t>
  </si>
  <si>
    <t>00003593</t>
  </si>
  <si>
    <t>00000083,00000260,13003452</t>
  </si>
  <si>
    <t>Nature based solution</t>
  </si>
  <si>
    <t>132000053</t>
  </si>
  <si>
    <t>Aransas County Coastal Erosion Response Plan</t>
  </si>
  <si>
    <t>Aransas County Texas Multi-Jurisdisctinal Hazard Mitigation Action Plan - Action #9: Create an erosion response plan. New and existing buildings and infrastructure will benefit from coastal erosion protection</t>
  </si>
  <si>
    <t>12100407,12100407,12100405,12100405,12100405,12100405,12100405,12100405,12100405,12100405,12100405,12100405,12100405,12100405,12110202,12100405</t>
  </si>
  <si>
    <t>1210040704,1210040704,1210040504,1210040502,1210040503,1210040502,1210040503,1210040503,1210040503,1210040503,1210040503,1210040503,1210040501,1210040501,1211020202,1210040502</t>
  </si>
  <si>
    <t>121004070404,121004070402,121004050400,121004050203,121004050305,121004050204,121004050304,121004050306,121004050307,121004050308,121004050303,121004050302,121004050102,121004050103,121102020200,121004050205</t>
  </si>
  <si>
    <t>13000026,13000028,13000592,13000594,13000595,13000596,13000597,13000598,13000599,13000600,13000602,13000603,13000606,13000607,13000608,13000627</t>
  </si>
  <si>
    <t>County and Municipal Budgets, Coastal Management Program (CMP) Grant</t>
  </si>
  <si>
    <t>priority based on stakeholder interview</t>
  </si>
  <si>
    <t>132000054</t>
  </si>
  <si>
    <t>Aransas County Educational Signage Program</t>
  </si>
  <si>
    <t>Aransas County Multi-Jurisdictional Floodplain Managment Plan - Action 3.1.e: Develop and install educatinal signage regarding flood safety to located along low areas of roadways likey to flood.</t>
  </si>
  <si>
    <t>Local Budget, GOMA Award</t>
  </si>
  <si>
    <t>sponsor requested; vulnerable area</t>
  </si>
  <si>
    <t>132000055</t>
  </si>
  <si>
    <t>Aransas Pass Flood Mitigation Policy</t>
  </si>
  <si>
    <t xml:space="preserve">Incorporate higher floodplain management standards into City of Aransas Pass comprehensive plan update. </t>
  </si>
  <si>
    <t>12100405,12100405,12110202</t>
  </si>
  <si>
    <t>1210040504,1210040502,1211020202</t>
  </si>
  <si>
    <t>121004050400,121004050204,121102020200</t>
  </si>
  <si>
    <t>13000592,13000596,13000608</t>
  </si>
  <si>
    <t>13000017</t>
  </si>
  <si>
    <t>13002735</t>
  </si>
  <si>
    <t>132000056</t>
  </si>
  <si>
    <t xml:space="preserve">Duval County Master Plan- Refine City of Freer Earthen Channel Maintenance Program </t>
  </si>
  <si>
    <t>Revamp maintenance program for clearing excess debris and vegetation from the earthen channel. Prioritize the cross drains on the upstream side of the earthen channel.</t>
  </si>
  <si>
    <t>Duval</t>
  </si>
  <si>
    <t>12110105</t>
  </si>
  <si>
    <t>1211010510</t>
  </si>
  <si>
    <t>121101051001</t>
  </si>
  <si>
    <t>13000224</t>
  </si>
  <si>
    <t>13000025</t>
  </si>
  <si>
    <t>13000079</t>
  </si>
  <si>
    <t>13000079,00000260,13001665,13003411,13003452</t>
  </si>
  <si>
    <t>Vulnerable area</t>
  </si>
  <si>
    <t>132000057</t>
  </si>
  <si>
    <t>Duval County Master Plan- Adopt and Enforce Design Standards and Ordinances in Freer</t>
  </si>
  <si>
    <t>Adopt and enforce design standards and ordinances for new construction projects. Separate design standards exclusively about drainage should be considered.</t>
  </si>
  <si>
    <t>13000079,00000260,00000290,13001665,13001666,13003411,13003452</t>
  </si>
  <si>
    <t>132000058</t>
  </si>
  <si>
    <t>Duval County Master Plan- Procure Easements for Drainage Infrastructure in Freer</t>
  </si>
  <si>
    <t>Significant structures in Freer’s drainage system are on private property, and the city does not have an access or maintenance easement. Freer should procure easements to these locations so structures can be maintained without private party involvement.</t>
  </si>
  <si>
    <t>132000059</t>
  </si>
  <si>
    <t>Duval County Master Plan- Clean and Maintain Drainage Infrastructure in San Diego</t>
  </si>
  <si>
    <t>Clear, clean, and maintain current stormwater drainage infrastructure such as curbs and gutters on roads, culverts, ditches, inlets, and outfalls into San Diego Creek.</t>
  </si>
  <si>
    <t>Duval,Jim Wells</t>
  </si>
  <si>
    <t>1211020403</t>
  </si>
  <si>
    <t>121102040304,121102040309,121102040310</t>
  </si>
  <si>
    <t>13000505,13000508,13000509</t>
  </si>
  <si>
    <t>13000079, 13000080</t>
  </si>
  <si>
    <t>13000079,13000080,00000260,00000290,13001666,13001741,13003127,13003452</t>
  </si>
  <si>
    <t>High risk area</t>
  </si>
  <si>
    <t>132000060</t>
  </si>
  <si>
    <t>Duval County Master Plan-  Adopt and Enforce Design Standards and Ordinances in San Diego</t>
  </si>
  <si>
    <t>152000001</t>
  </si>
  <si>
    <t>Bayiew Action #19</t>
  </si>
  <si>
    <t>Upgrade the Town’s website to include local information on hazards, risks, mitigation, protective actions, and applicable ordinances</t>
  </si>
  <si>
    <t>Lower Rio Grande</t>
  </si>
  <si>
    <t>Cameron</t>
  </si>
  <si>
    <t>12110208</t>
  </si>
  <si>
    <t>Strategy complies with the TWDB criteria fro FMSs.</t>
  </si>
  <si>
    <t>152000002</t>
  </si>
  <si>
    <t>Bayiew Action #7</t>
  </si>
  <si>
    <t>Approve and Adopt FEMA Flood Insurance Rate Maps</t>
  </si>
  <si>
    <t>152000003</t>
  </si>
  <si>
    <t>Bayiew Action #8</t>
  </si>
  <si>
    <t>Develop cooperative agreement with state and county to address flood risk to roadways leading in and out of town – outside of jurisdictional boundaries</t>
  </si>
  <si>
    <t>15000005, 15000006</t>
  </si>
  <si>
    <t>152000004</t>
  </si>
  <si>
    <t>Bayiew Action #9</t>
  </si>
  <si>
    <t>Participate in the National Flood Insurance Program</t>
  </si>
  <si>
    <t>152000024</t>
  </si>
  <si>
    <t>Alamo # 4-1.1</t>
  </si>
  <si>
    <t>Develop plan to create A Working Evacuation List For Emergency Situations.  Prioritize Flood Prone Areas</t>
  </si>
  <si>
    <t>Hidalgo</t>
  </si>
  <si>
    <t>15000062</t>
  </si>
  <si>
    <t>152000025</t>
  </si>
  <si>
    <t>Alamo #5-1.1</t>
  </si>
  <si>
    <t>Develop a Program To Provide Links To Weather Alerts And Departmental Phone Listings With Contact Personnel For Residents.</t>
  </si>
  <si>
    <t>152000051</t>
  </si>
  <si>
    <t>Alamo # 4-1.2</t>
  </si>
  <si>
    <t>Develop a plan to Provide Traffic Control And Evacuation Assistance During Emergency Situations</t>
  </si>
  <si>
    <t>152000006</t>
  </si>
  <si>
    <t>Brownsville PUB Action #8</t>
  </si>
  <si>
    <t xml:space="preserve"> Develop program to annually remove buildup of silt  in area Resacas that become cutoff from the river  and contribute to flooding during severe flood or hurricane event</t>
  </si>
  <si>
    <t>152000007</t>
  </si>
  <si>
    <t>City of Brownsville Action #2</t>
  </si>
  <si>
    <t>Join the Community Rating System program to reduce risk and flood insurance premiums to residents</t>
  </si>
  <si>
    <t>152000026</t>
  </si>
  <si>
    <t>Edcouch #3-1.1</t>
  </si>
  <si>
    <t>Complete Activities Required To Be A Nfip Participating Community</t>
  </si>
  <si>
    <t>15000063</t>
  </si>
  <si>
    <t>152000027</t>
  </si>
  <si>
    <t>Edcouch #5-1.1</t>
  </si>
  <si>
    <t>152000028</t>
  </si>
  <si>
    <t>Edcouch #7-1.1</t>
  </si>
  <si>
    <t>Develop Procedures For Mass Notifications To Citizens And Merchants During Natural Hazard Incident.</t>
  </si>
  <si>
    <t>152000029</t>
  </si>
  <si>
    <t>Edinburg #1-1.2</t>
  </si>
  <si>
    <t>Develop a Reverse 9-1-1 System</t>
  </si>
  <si>
    <t>15000089</t>
  </si>
  <si>
    <t>152000030</t>
  </si>
  <si>
    <t>Edinburg #7-1.1</t>
  </si>
  <si>
    <t>152000031</t>
  </si>
  <si>
    <t>Edinburg #9-1.2</t>
  </si>
  <si>
    <t>152000032</t>
  </si>
  <si>
    <t>Hidalgo #5-1.1</t>
  </si>
  <si>
    <t>15000068</t>
  </si>
  <si>
    <t>15000003</t>
  </si>
  <si>
    <t>152000033</t>
  </si>
  <si>
    <t>Hidalgo County #11-1.2</t>
  </si>
  <si>
    <t>Develop a An Inspection, Maintenance, And Enforcement Program To Ensure Continued Structural Integrity of Dams And Levees.</t>
  </si>
  <si>
    <t>15000021, 15000022</t>
  </si>
  <si>
    <t>152000034</t>
  </si>
  <si>
    <t>Hidalgo County #12-1.1</t>
  </si>
  <si>
    <t>152000035</t>
  </si>
  <si>
    <t>Hidalgo County #14-1.1</t>
  </si>
  <si>
    <t>152000036</t>
  </si>
  <si>
    <t>Hidalgo County #2-2.1</t>
  </si>
  <si>
    <t>Incorporate Assessments of Hazards, Including Hurricane, Flood, Wild Land Fires, And Severe Storms, Into Site Selection And Design For New Buildings And When Siting Or Leasing County Facilities</t>
  </si>
  <si>
    <t>152000037</t>
  </si>
  <si>
    <t>Hidalgo County #3-1.2</t>
  </si>
  <si>
    <t>Enhance The Appropriate Websites To Provide Convenient Access To Most Current Hazard Maps.</t>
  </si>
  <si>
    <t>152000005</t>
  </si>
  <si>
    <t>Indian Lake Action #2</t>
  </si>
  <si>
    <t>Educate property owners about residential mitigation measures for all natural hazards such as the need to elevate structures, implementing residential mitigation measures, install retaining walls, and avoid building in high hazard areas</t>
  </si>
  <si>
    <t>152000008</t>
  </si>
  <si>
    <t>Indian Lake Action #11</t>
  </si>
  <si>
    <t>Adopt revised floodplain ordinance to include model ordinance language and higher NFIP standards such as freeboard</t>
  </si>
  <si>
    <t>15000053</t>
  </si>
  <si>
    <t>152000009</t>
  </si>
  <si>
    <t>Indian Lake Action #9</t>
  </si>
  <si>
    <t>Prepare and advertise local evacuation plan and procedures</t>
  </si>
  <si>
    <t>152000038</t>
  </si>
  <si>
    <t>La Villa #6-1.1</t>
  </si>
  <si>
    <t>152000039</t>
  </si>
  <si>
    <t>La Villa #8-1.1</t>
  </si>
  <si>
    <t>152000040</t>
  </si>
  <si>
    <t>McAllen #11-1.1</t>
  </si>
  <si>
    <t>152000041</t>
  </si>
  <si>
    <t>McAllen #1-2.1</t>
  </si>
  <si>
    <t>Develop Emergency Notification Awareness System For Traveling Public Via Transportation System In The Event of Severe Weather In McAllen</t>
  </si>
  <si>
    <t>152000042</t>
  </si>
  <si>
    <t>Develop a plan to provide A Means of Disseminating Emergency Information To The Citizens of McAllen</t>
  </si>
  <si>
    <t>152000043</t>
  </si>
  <si>
    <t>Mercedes #11-1.1</t>
  </si>
  <si>
    <t>15000070</t>
  </si>
  <si>
    <t>152000044</t>
  </si>
  <si>
    <t>Mercedes #9-1.1</t>
  </si>
  <si>
    <t>152000045</t>
  </si>
  <si>
    <t>Mission #1-1.1</t>
  </si>
  <si>
    <t>152000046</t>
  </si>
  <si>
    <t>Mission #7-1.1</t>
  </si>
  <si>
    <t>152000047</t>
  </si>
  <si>
    <t>Palmview #5-1.1</t>
  </si>
  <si>
    <t>15000071</t>
  </si>
  <si>
    <t>152000048</t>
  </si>
  <si>
    <t>Palmview #7-1.1</t>
  </si>
  <si>
    <t>152000049</t>
  </si>
  <si>
    <t>Pharr #10-1.1</t>
  </si>
  <si>
    <t>152000050</t>
  </si>
  <si>
    <t>Pharr #8-1.1</t>
  </si>
  <si>
    <t>152000010</t>
  </si>
  <si>
    <t>Port Isabel Action #10</t>
  </si>
  <si>
    <t>Prepare local evacuation plan</t>
  </si>
  <si>
    <t>152000011</t>
  </si>
  <si>
    <t>Port Isabel Action #11</t>
  </si>
  <si>
    <t>Update floodplain management ordinances to include higher standards required to join the CRS program; Join the CRS program upon adoption of ordinance</t>
  </si>
  <si>
    <t>152000012</t>
  </si>
  <si>
    <t>Port Isabel Action #12</t>
  </si>
  <si>
    <t>Adopt NFIP model ordinance with higher floodplain standards</t>
  </si>
  <si>
    <t>152000013</t>
  </si>
  <si>
    <t>Port Isabel Action #21</t>
  </si>
  <si>
    <t>Develop a plan to use the internet and social media to warn citizens of disasters and extreme weather on a regular basis as well as how to prepare for such events and mitigate damages</t>
  </si>
  <si>
    <t>152000014</t>
  </si>
  <si>
    <t>Port Isabel Action #25</t>
  </si>
  <si>
    <t>Develop an early warning system for residents to notify of natural disasters</t>
  </si>
  <si>
    <t>152000015</t>
  </si>
  <si>
    <t>Primera Action #1</t>
  </si>
  <si>
    <t>Amend subdivision ordinances to require retention or detention ponds in any new subdivision</t>
  </si>
  <si>
    <t>152000016</t>
  </si>
  <si>
    <t>Primera Action #10</t>
  </si>
  <si>
    <t>Adopt higher floodplain standards such as freeboard and cumulative substantial damage</t>
  </si>
  <si>
    <t>152000017</t>
  </si>
  <si>
    <t>Primera Action #8</t>
  </si>
  <si>
    <t>Develop an early warning system to new areas of the jurisdiction to alert residents of impending severe weather</t>
  </si>
  <si>
    <t>152000018</t>
  </si>
  <si>
    <t>Rancho Viejo Action #3</t>
  </si>
  <si>
    <t>Adopt the International Building Code (IBC) and International Residential Code (IRC); revise and update regulatory floodplain maps; adopt higher standards in floodplain ordinances including freeboard, no-rise in the floodplain, cumulative substantial dam</t>
  </si>
  <si>
    <t>152000019</t>
  </si>
  <si>
    <t>Rancho Viejo Action #11</t>
  </si>
  <si>
    <t>Update website with maps and information including StormReady data and links; Mail educational brochures to residents in hazard-prone areas on mitigation measures to reduce damages</t>
  </si>
  <si>
    <t>152000020</t>
  </si>
  <si>
    <t>Rio Hondo Action #4</t>
  </si>
  <si>
    <t>Adopt ASCE24-05 Flood Resistant Design and Construction to reduce flooding caused by Storm Surge</t>
  </si>
  <si>
    <t>152000021</t>
  </si>
  <si>
    <t>San Benito Action #13</t>
  </si>
  <si>
    <t>Adopt higher standards into the flood damage prevention ordinance to limit floodplain development and provide higher protection to structures in the floodplain</t>
  </si>
  <si>
    <t>152000022</t>
  </si>
  <si>
    <t>South Padre Island #13</t>
  </si>
  <si>
    <t>Adopt higher floodplain standards in local floodplain ordinance</t>
  </si>
  <si>
    <t>15000052</t>
  </si>
  <si>
    <t>152000023</t>
  </si>
  <si>
    <t>South Padre Island #3</t>
  </si>
  <si>
    <t>Adoption erosion control ordinance and prohibit development in high-hazard areas</t>
  </si>
  <si>
    <t>Ranking Based on Normalized Reported Flood Risk Factors</t>
  </si>
  <si>
    <t>Flood Risk Weighted Score Based on Normalized Reported Factors</t>
  </si>
  <si>
    <t>Flood Risk Reduction Weighted Score Based on Normalized Reported Factors</t>
  </si>
  <si>
    <t>Ranking_Criteria</t>
  </si>
  <si>
    <r>
      <rPr>
        <b/>
        <sz val="11"/>
        <color theme="1"/>
        <rFont val="Calibri"/>
        <family val="2"/>
        <scheme val="minor"/>
      </rPr>
      <t>Purpose</t>
    </r>
    <r>
      <rPr>
        <sz val="11"/>
        <color theme="1"/>
        <rFont val="Calibri"/>
        <family val="2"/>
        <scheme val="minor"/>
      </rPr>
      <t>: Workbook to score and rank recommended Flood Management Solutions (FMS).</t>
    </r>
  </si>
  <si>
    <t>FMS Ranking Tool</t>
  </si>
  <si>
    <t>Criteria Grouping</t>
  </si>
  <si>
    <t>FME Ranking Criteria</t>
  </si>
  <si>
    <t>FME Grouping Weight</t>
  </si>
  <si>
    <t>FMP Grouping Weight</t>
  </si>
  <si>
    <t>Mobility</t>
  </si>
  <si>
    <t>Agriculture</t>
  </si>
  <si>
    <t>REPORTED DATA FROM FME, FMP and FMS FEATURE CLASSES</t>
  </si>
  <si>
    <t>FMP PROJECT DETAILS SCORING (COMPUTED BY RFPG, SOME DUPLICATION MAY EXIST)</t>
  </si>
  <si>
    <t>FMS Grouping Weight</t>
  </si>
  <si>
    <t>Subtotal</t>
  </si>
  <si>
    <t>See above</t>
  </si>
  <si>
    <t>Texas Water Code Sec. 16.061, “(b) The state flood plan must include: … (2) a statewide, ranked list of ongoing and proposed flood control and mitigation projects and strategies necessary to protect against the loss of life and property from flooding…”</t>
  </si>
  <si>
    <t>Please refer to RFP Exhibit C (pages 114 - 135) for definition of Project Details Scoring:</t>
  </si>
  <si>
    <t xml:space="preserve">Exhibit C: Technical Guidelines for Regional Flood Planning  </t>
  </si>
  <si>
    <t>Severity Ranking - Pre-Project Average Depth of Flooding (100-year): Ranking of severity based on the baseline/pre-project average 100-year flood depth.</t>
  </si>
  <si>
    <t>Severity Ranking - Community Need (% Population): Ranking of severity based on a community’s need by percentage of project community affected by population.</t>
  </si>
  <si>
    <t>Flood Risk Reduction: Ranking of reduced flood risk by percentage of  structures removed from the 100-year floodplain in post- project condition.</t>
  </si>
  <si>
    <t>Flood Damage Reduction:  Ranking of flood risk reduction (property protection) by a percentage of 100-year damage reduction calculation.</t>
  </si>
  <si>
    <t>Critical Facilities Damage Reduction: indication of reduced flood risk by percentage of critical facilities removed from the 100-year floodplain in post-project condition.</t>
  </si>
  <si>
    <t>Life and Safety Ranking (Injury/Loss of life): Ranking project based on life/injury risk percentage using estimates of area hazard rating, area vulnerability rating, and historical loss of life injury data for project.</t>
  </si>
  <si>
    <t>Water Supply Ranking: Ranking project based on a project’s water supply benefits to direct or indirect water availability and/or supply.</t>
  </si>
  <si>
    <t>Social Vulnerability Ranking: A ranking based on the Center for Disease Control SVI data for Texas, by calculating an average project SVI by census tract and classifying the vulnerability level.</t>
  </si>
  <si>
    <t>Green/Nature-Based Solution Ranking: Ranking by the percentage of project cost that qualifies as green/nature based as reported by RFPG.</t>
  </si>
  <si>
    <t>Multiple Benefit Ranking: Ranking a project based on the reporting of significant, measurable, expected benefits to: recreation, transportation, social and quality of life, local economic impacts, meeting sustainability goals, and/or project resilience goals.</t>
  </si>
  <si>
    <t>Operations and Maintenance Ranking: Project ranking by expected level of O&amp;M needs and annual costs provided.</t>
  </si>
  <si>
    <t>Administrative, Regulatory, and other implementation obstacles/difficulty ranking: Ranking based on anticipated project limitations and/or requirements in terms of administrative, regulatory, and other implementation obstacles.</t>
  </si>
  <si>
    <t>Environmental Benefit Ranking: Ranking of expected level of environmental benefits to be delivered by project to water quality, cultural heritage, habitat, air quality, natural resources, agricultural resources, and soils/erosion and sedimentation.</t>
  </si>
  <si>
    <t>Environmental Impact Ranking: Ranking of expected level of adverse environmental impacts due to project affecting water quality, cultural heritage, habitat, air quality, natural resource protection, agricultural resources, and erosion and sedimentation.</t>
  </si>
  <si>
    <t>Technical Complexity Ranking: Ranking of estimated project design, modeling, and construction requirements.</t>
  </si>
  <si>
    <t>Mobility Ranking: Ranking project improvement and protection of mobility during flood events, with particular emphasis on emergency service access and major access routes.</t>
  </si>
  <si>
    <t>Water Supply Score (Normalized)</t>
  </si>
  <si>
    <t>Emergency Need (Normalized)</t>
  </si>
  <si>
    <t>Score 4: Flood Damage Reduction</t>
  </si>
  <si>
    <t>Life, Safety and Structures</t>
  </si>
  <si>
    <t>This column does not allow for ties?</t>
  </si>
  <si>
    <t>ArcSinh2</t>
  </si>
  <si>
    <t>ArcSinh10</t>
  </si>
  <si>
    <t>Log</t>
  </si>
  <si>
    <t>Score</t>
  </si>
  <si>
    <t>Log Rank</t>
  </si>
  <si>
    <t>FMS Project Type</t>
  </si>
  <si>
    <t>Project Type</t>
  </si>
  <si>
    <t>(10 points) Flood Measurement and Warning, 
(8 points) Regulatory and Guidance,
(6 points) Education and Outreach, 
(4 points) Property Acquisition and Structural Elevation,
(4 points) Infrastructure Projects,
(2 points) Other</t>
  </si>
  <si>
    <t>Shape_Length</t>
  </si>
  <si>
    <t>Shape_Area</t>
  </si>
  <si>
    <t>PHOLD_REMOVED</t>
  </si>
  <si>
    <t>152000052</t>
  </si>
  <si>
    <t>Starr County Hazard Mittigation Plan Action #2</t>
  </si>
  <si>
    <t>Develop needs assessment to identify and fund improvements to flood proof critical facilities such as lift stations and treatment plants.</t>
  </si>
  <si>
    <t>Starr</t>
  </si>
  <si>
    <t>13090001,13090001</t>
  </si>
  <si>
    <t>1309000111,1309000115</t>
  </si>
  <si>
    <t>130900011112,130900011502</t>
  </si>
  <si>
    <t xml:space="preserve">15000003, 15000005_x000D_
</t>
  </si>
  <si>
    <t>15000022,00001609,15000081,15000101,00000276,15000003</t>
  </si>
  <si>
    <t>152000053</t>
  </si>
  <si>
    <t>Starr County Hazard Mittigation Plan Action #6</t>
  </si>
  <si>
    <t>Building a shelter within a community to serve for flood situations in Rio Grande City.</t>
  </si>
  <si>
    <t>13090001</t>
  </si>
  <si>
    <t>1309000115</t>
  </si>
  <si>
    <t>130900011502</t>
  </si>
  <si>
    <t>152000054</t>
  </si>
  <si>
    <t>Starr County Hazard Mitigation Plan Action #10</t>
  </si>
  <si>
    <t>Retrofit community center as shelter for flooding events. (Roma)</t>
  </si>
  <si>
    <t>1309000111</t>
  </si>
  <si>
    <t>130900011109</t>
  </si>
  <si>
    <t>15000022,00001609,15000040,15000041,15000101,00000276,15000003</t>
  </si>
  <si>
    <t>152000055</t>
  </si>
  <si>
    <t>Starr County Hazard Mitigation Plan Action #19</t>
  </si>
  <si>
    <t>Develop maintenance schedule for creeks within jurisdiction</t>
  </si>
  <si>
    <t>13090001,13090001,13090001,13090001,13090001</t>
  </si>
  <si>
    <t>1309000111,1309000111,1309000111,1309000111,1309000115</t>
  </si>
  <si>
    <t>130900011108,130900011109,130900011110,130900011112,130900011502</t>
  </si>
  <si>
    <t>15000022,00001609,15000041,15000081,15000101,00000276,15000003</t>
  </si>
  <si>
    <t>152000056</t>
  </si>
  <si>
    <t>City of Laguna Vista - Laguna Vista Establish/Join Drainage District</t>
  </si>
  <si>
    <t>Develop strategy to secure funding to become/join drainage district</t>
  </si>
  <si>
    <t>12110208,12110208,12110208</t>
  </si>
  <si>
    <t>1211020808,1211020809,1211020810</t>
  </si>
  <si>
    <t>121102080800,121102080900,121102081000</t>
  </si>
  <si>
    <t>15000039, 15000040</t>
  </si>
  <si>
    <t>15000048</t>
  </si>
  <si>
    <t>00001609,15000048,15000101,15000006,15000001</t>
  </si>
  <si>
    <t>152000057</t>
  </si>
  <si>
    <t>Willacy County Drainage District - Re-negotiate El Sauz contractual agreement</t>
  </si>
  <si>
    <t>Re-negotiate agreement with El Sauz Ranch to facilitate more outfall volume</t>
  </si>
  <si>
    <t>Willacy</t>
  </si>
  <si>
    <t>1211020805</t>
  </si>
  <si>
    <t>121102080500</t>
  </si>
  <si>
    <t>15000007, 15000008, 15000039</t>
  </si>
  <si>
    <t>15000021</t>
  </si>
  <si>
    <t>00001609,15000006,15000002</t>
  </si>
  <si>
    <t>152000058</t>
  </si>
  <si>
    <t>Cameron County Drainage District No. 5 - Cameron County Levee Certification</t>
  </si>
  <si>
    <t>Coordinate with all on-going FIFs in Cameron County, provide a summary analysis for internal drainage and submit Levee Certifiaction to FEMA. Utlize IBWC data for application. Manage review process and coordinate between County, IBWC, and FEMA.</t>
  </si>
  <si>
    <t>1211020809</t>
  </si>
  <si>
    <t>121102080900</t>
  </si>
  <si>
    <t>15000021,15000022</t>
  </si>
  <si>
    <t>15000030</t>
  </si>
  <si>
    <t>00001609,15000072,15000101,15000006,15000001</t>
  </si>
  <si>
    <t>152000059</t>
  </si>
  <si>
    <t>Sewer Manhole Rainguards</t>
  </si>
  <si>
    <t>Installation of rainguards in existing manholes will keep rainwater from entering sewer collection system.</t>
  </si>
  <si>
    <t>1211020804</t>
  </si>
  <si>
    <t>121102080400</t>
  </si>
  <si>
    <t>15000001, 15000002</t>
  </si>
  <si>
    <t>15000004</t>
  </si>
  <si>
    <t>15000015,00001609,15000082,15000101,15000006,15000004</t>
  </si>
  <si>
    <t>152000060</t>
  </si>
  <si>
    <t>City of Progreso - Progreso Storm Ditch improvement Equipment</t>
  </si>
  <si>
    <t>Develop maintenance plan and identify funding strategy to acquire heavy equipment (dozer, long reach excavator) for ditch cleaning operations</t>
  </si>
  <si>
    <t>1211020806</t>
  </si>
  <si>
    <t>121102080600</t>
  </si>
  <si>
    <t>15000008,00001609,15000070,15000099,15000101,15000006,15000004</t>
  </si>
  <si>
    <t>152000061</t>
  </si>
  <si>
    <t>City of Indian Lake - Indian lake Drainage Infrastructure Funding Study</t>
  </si>
  <si>
    <t>Develop Plan for funding for future drainage infrastructure</t>
  </si>
  <si>
    <t>15000046</t>
  </si>
  <si>
    <t>15000013,15000025,15000029,00001609,15000046,15000101,15000006,15000001</t>
  </si>
  <si>
    <t>152000062</t>
  </si>
  <si>
    <t>Cameron County Drainage District No.1 - San Martin Lake dredging</t>
  </si>
  <si>
    <t>Develop plan to fund and dredge lake to increase storage capacity</t>
  </si>
  <si>
    <t>15000029</t>
  </si>
  <si>
    <t>15000029,00001609,15000101,15000006,15000001</t>
  </si>
  <si>
    <t>152000063</t>
  </si>
  <si>
    <t>Cameron County Drainage District No.1 - Ditch 1 outfall dredging</t>
  </si>
  <si>
    <t>Develop plan to fund and dredge sediment from outfall in Bahia Grande ( in Navigation dist/port of Brownsville)</t>
  </si>
  <si>
    <t>00001609,15000101,15000006,15000001</t>
  </si>
  <si>
    <t>152000064</t>
  </si>
  <si>
    <t>City of South Padre Island - SPI Sand Dune restoration/protection program</t>
  </si>
  <si>
    <t>Establish Beach Protection/replenishing program. Build up dunes to protect against tidal surge</t>
  </si>
  <si>
    <t>1211020810</t>
  </si>
  <si>
    <t>121102081000</t>
  </si>
  <si>
    <t>15000045</t>
  </si>
  <si>
    <t>00001609,15000045,15000101,15000006,15000001</t>
  </si>
  <si>
    <t>152000065</t>
  </si>
  <si>
    <t>Willacy County Drainage District No.1 -  WCDD1 pump station improvements</t>
  </si>
  <si>
    <t>Perform assessment of pump station to make it flood proof and resilient.</t>
  </si>
  <si>
    <t>12110208,12110208</t>
  </si>
  <si>
    <t>1211020804,1211020805</t>
  </si>
  <si>
    <t>121102080400,121102080500</t>
  </si>
  <si>
    <t>15000007,15000023,00001609,15000077,15000006,15000002</t>
  </si>
  <si>
    <t>1211020808,1211020809</t>
  </si>
  <si>
    <t>121102080800,121102080900</t>
  </si>
  <si>
    <t>15000009,15000010,15000013,15000014,15000015,15000016</t>
  </si>
  <si>
    <t>15000074</t>
  </si>
  <si>
    <t>15000010,15000029,00001609,15000074,15000101,15000006,15000001</t>
  </si>
  <si>
    <t>15000019,15000020</t>
  </si>
  <si>
    <t>15000005,15000006</t>
  </si>
  <si>
    <t>15000023,15000024</t>
  </si>
  <si>
    <t>1211020801,1211020803</t>
  </si>
  <si>
    <t>121102080100,121102080300</t>
  </si>
  <si>
    <t>15000055</t>
  </si>
  <si>
    <t>15000017,15000027,00001609,15000055,15000069,15000087,15000099,15000101,15000006,15000004</t>
  </si>
  <si>
    <t>15000013,15000014</t>
  </si>
  <si>
    <t>12110208,12110208,13090002,13090002</t>
  </si>
  <si>
    <t>1211020808,1211020809,1309000204,1309000205</t>
  </si>
  <si>
    <t>121102080800,121102080900,130900020403,130900020501</t>
  </si>
  <si>
    <t>15000072</t>
  </si>
  <si>
    <t>15000010,15000012,15000013,15000024,15000026,15000029,15000031,15000032,00001609,15000035,15000036,15000037,15000049,15000051,15000053,15000072,15000073,15000074,15000093,15000101,15000006,15000001</t>
  </si>
  <si>
    <t>15000027,15000028</t>
  </si>
  <si>
    <t>1211020803</t>
  </si>
  <si>
    <t>121102080300</t>
  </si>
  <si>
    <t>15000056</t>
  </si>
  <si>
    <t>00001609,15000056,15000057,15000091,15000099,15000101,15000006,15000004</t>
  </si>
  <si>
    <t>1211020802,1211020803,1211020804</t>
  </si>
  <si>
    <t>121102080200,121102080300,121102080400</t>
  </si>
  <si>
    <t>15000082</t>
  </si>
  <si>
    <t>15000009,15000015,15000017,15000019,00001609,15000082,15000084,15000086,15000099,15000101,15000006,15000004</t>
  </si>
  <si>
    <t>12110208,13090002,13090002</t>
  </si>
  <si>
    <t>1211020801,1309000203,1309000203</t>
  </si>
  <si>
    <t>121102080100,130900020305,130900020311</t>
  </si>
  <si>
    <t>15000061</t>
  </si>
  <si>
    <t>15000017,00001609,15000061,15000084,15000086,15000099,15000101,15000006,15000004</t>
  </si>
  <si>
    <t>12110207,12110208,12110208,12110208,12110208,12110208,12110208,13090001,13090001,13090001,13090001,13090001,13090001,13090002,13090002,13090002,13090002</t>
  </si>
  <si>
    <t>1211020701,1211020801,1211020802,1211020803,1211020804,1211020805,1211020806,1309000117,1309000117,1309000117,1309000117,1309000117,1309000117,1309000203,1309000203,1309000203,1309000204</t>
  </si>
  <si>
    <t>121102070100,121102080100,121102080200,121102080300,121102080400,121102080500,121102080600,130900011701,130900011702,130900011703,130900011704,130900011705,130900011706,130900020301,130900020305,130900020311,130900020401</t>
  </si>
  <si>
    <t>15000013,15000014,15000037,15000038</t>
  </si>
  <si>
    <t>15000037,15000038</t>
  </si>
  <si>
    <t>15000025,15000026</t>
  </si>
  <si>
    <t>00001609,15000089,15000091,15000099,15000101,15000006,15000004</t>
  </si>
  <si>
    <t>12110208,12110208,12110208,12110208,13090002</t>
  </si>
  <si>
    <t>1211020801,1211020802,1211020803,1211020804,1309000203</t>
  </si>
  <si>
    <t>121102080100,121102080200,121102080300,121102080400,130900020305</t>
  </si>
  <si>
    <t>15000084</t>
  </si>
  <si>
    <t>15000015,15000017,15000019,15000028,00001609,15000061,15000071,15000082,15000083,15000084,15000085,15000086,15000088,15000099,15000101,15000006,15000004</t>
  </si>
  <si>
    <t>1211020801,1211020803,1211020806</t>
  </si>
  <si>
    <t>121102080100,121102080300,121102080600</t>
  </si>
  <si>
    <t>15000008,00001609,15000063,15000068,15000091,15000099,15000101,15000006,15000004</t>
  </si>
  <si>
    <t>12110208,12110208,12110208,13090002,13090002</t>
  </si>
  <si>
    <t>1211020801,1211020802,1211020803,1309000203,1309000203</t>
  </si>
  <si>
    <t>121102080100,121102080200,121102080300,130900020301,130900020305</t>
  </si>
  <si>
    <t>15000085</t>
  </si>
  <si>
    <t>15000018,15000028,00001609,15000064,15000071,15000084,15000085,15000099,15000101,15000006,15000004</t>
  </si>
  <si>
    <t>1211020801,1211020802,1211020803</t>
  </si>
  <si>
    <t>121102080100,121102080200,121102080300</t>
  </si>
  <si>
    <t>15000064</t>
  </si>
  <si>
    <t>15000018,00001609,15000064,15000085,15000090,15000099,15000101,15000006,15000004</t>
  </si>
  <si>
    <t>12110208,12110208,13090002</t>
  </si>
  <si>
    <t>1211020801,1211020803,1309000203</t>
  </si>
  <si>
    <t>121102080100,121102080300,130900020311</t>
  </si>
  <si>
    <t>15000086</t>
  </si>
  <si>
    <t>15000017,00001609,15000061,15000082,15000084,15000086,15000087,15000099,15000101,15000006,15000004</t>
  </si>
  <si>
    <t>1211020809,1211020810</t>
  </si>
  <si>
    <t>121102080900,121102081000</t>
  </si>
  <si>
    <t>15000051</t>
  </si>
  <si>
    <t>00001609,15000048,15000051,15000072,15000101,15000006,15000001</t>
  </si>
  <si>
    <t>15000025,15000026,15000027,15000038</t>
  </si>
  <si>
    <t>15000009,15000010</t>
  </si>
  <si>
    <t>1211020807</t>
  </si>
  <si>
    <t>121102080700</t>
  </si>
  <si>
    <t>15000030,15000034,00001609,15000043,15000044,15000052,15000075,15000098,15000100,15000101,15000006,15000001</t>
  </si>
  <si>
    <t>15000013,15000029,00001609,15000053,15000072,15000093,15000101,15000006,15000001</t>
  </si>
  <si>
    <t>15000009,15000010,15000015,15000016</t>
  </si>
  <si>
    <t>15000054</t>
  </si>
  <si>
    <t>15000012,15000024,00001609,15000054,15000100,15000101,15000006,15000001</t>
  </si>
  <si>
    <t>12110208,12110208,12110208,12110208</t>
  </si>
  <si>
    <t>1211020806,1211020807,1211020808,1211020809</t>
  </si>
  <si>
    <t>121102080600,121102080700,121102080800,121102080900</t>
  </si>
  <si>
    <t>15000073</t>
  </si>
  <si>
    <t>15000012,15000024,15000026,00001609,15000043,15000072,15000073,15000101,15000006,15000001</t>
  </si>
  <si>
    <t>1211020810,1211020811</t>
  </si>
  <si>
    <t>121102081000,121102081100</t>
  </si>
  <si>
    <t>152000066</t>
  </si>
  <si>
    <t>City of Harlingen - Flood Warning System, planning, operation &amp; maintenance</t>
  </si>
  <si>
    <t>Develop and Implement a Flood Warning System, planning, operation &amp; Maintenance plan</t>
  </si>
  <si>
    <t>1211020806, 1211020809, 1211020807</t>
  </si>
  <si>
    <t>121102080600, 121102080700, 121102080900</t>
  </si>
  <si>
    <t>15000097, 15000120, 15000189</t>
  </si>
  <si>
    <t>Harlingen</t>
  </si>
  <si>
    <t>15000043</t>
  </si>
  <si>
    <t>Strategy complies with the RFPG &amp; TWDB criteria for FMSs</t>
  </si>
  <si>
    <t>152000071</t>
  </si>
  <si>
    <t>City of La Feria - Flood Warning System, planning, operation &amp; maintenance</t>
  </si>
  <si>
    <t>15000120</t>
  </si>
  <si>
    <t>La Feria</t>
  </si>
  <si>
    <t>15000047</t>
  </si>
  <si>
    <t>152000073</t>
  </si>
  <si>
    <t>City of Los Fresnos - Flood Warning System, planning, operation &amp; maintenance</t>
  </si>
  <si>
    <t>1211020808, 1211020809</t>
  </si>
  <si>
    <t>121102080800, 121102080900</t>
  </si>
  <si>
    <t>15000097, 15000121</t>
  </si>
  <si>
    <t>Los Fresnos</t>
  </si>
  <si>
    <t>15000049</t>
  </si>
  <si>
    <t>152000070</t>
  </si>
  <si>
    <t>City of Primera - planning, operation &amp; maintenance</t>
  </si>
  <si>
    <t>Develop and Implement a planning, operation &amp; Maintenance plan</t>
  </si>
  <si>
    <t>15000189</t>
  </si>
  <si>
    <t>Primera</t>
  </si>
  <si>
    <t>152000080</t>
  </si>
  <si>
    <t>City of Alamo - Planning, operation &amp; maintenance</t>
  </si>
  <si>
    <t>1211020803, 1211020801</t>
  </si>
  <si>
    <t>121102080100, 121102080300</t>
  </si>
  <si>
    <t>15000119, 15000146</t>
  </si>
  <si>
    <t>Alamo</t>
  </si>
  <si>
    <t>152000086</t>
  </si>
  <si>
    <t>City of Elsa - Flood Warning System, planning, operation &amp; maintenance</t>
  </si>
  <si>
    <t>15000146</t>
  </si>
  <si>
    <t>Elsa</t>
  </si>
  <si>
    <t>15000057</t>
  </si>
  <si>
    <t>152000072</t>
  </si>
  <si>
    <t>City of La Joya - Flood Warning System, planning, operation &amp; maintenance</t>
  </si>
  <si>
    <t>12110208, 13090001, 13090002</t>
  </si>
  <si>
    <t>1211020802, 1309000203, 1211020801, 1309000117</t>
  </si>
  <si>
    <t>121102080100, 121102080200, 130900011705, 130900020301</t>
  </si>
  <si>
    <t>15000075, 15000094, 15000119, 15000124</t>
  </si>
  <si>
    <t>La Joya</t>
  </si>
  <si>
    <t>152000074</t>
  </si>
  <si>
    <t>City of Mercedes - Planning, operation &amp; maintenance</t>
  </si>
  <si>
    <t>1211020803, 1211020801, 1211020806</t>
  </si>
  <si>
    <t>121102080100, 121102080300, 121102080600</t>
  </si>
  <si>
    <t>15000119, 15000120, 15000146</t>
  </si>
  <si>
    <t>Mercedes</t>
  </si>
  <si>
    <t>152000076</t>
  </si>
  <si>
    <t>City of Palmview - Planning, operation &amp; maintenance</t>
  </si>
  <si>
    <t>1211020802, 1211020803, 1211020801</t>
  </si>
  <si>
    <t>121102080100, 121102080200, 121102080300</t>
  </si>
  <si>
    <t>15000075, 15000119, 15000146</t>
  </si>
  <si>
    <t>Palmview</t>
  </si>
  <si>
    <t>152000079</t>
  </si>
  <si>
    <t>City of Weslaco - Flood Warning System, planning, operation &amp; maintenance</t>
  </si>
  <si>
    <t>Weslaco</t>
  </si>
  <si>
    <t>152000085</t>
  </si>
  <si>
    <t>City of Donna - Flood Warning System, planning, operation &amp; maintenance</t>
  </si>
  <si>
    <t>Donna</t>
  </si>
  <si>
    <t>15000069</t>
  </si>
  <si>
    <t>152000075</t>
  </si>
  <si>
    <t>City of Palmhurst - Flood Warning System, planning, operation &amp; maintenance</t>
  </si>
  <si>
    <t>1211020802, 1211020803</t>
  </si>
  <si>
    <t>121102080200, 121102080300</t>
  </si>
  <si>
    <t>15000075, 15000146</t>
  </si>
  <si>
    <t>Palmhurst</t>
  </si>
  <si>
    <t>152000082</t>
  </si>
  <si>
    <t>City of Brownsville - Flood Warning System, planning, operation &amp; maintenance</t>
  </si>
  <si>
    <t>12110208, 13090002</t>
  </si>
  <si>
    <t>1309000205, 1309000204, 1211020808, 1211020809</t>
  </si>
  <si>
    <t>121102080800, 121102080900, 130900020501, 130900020403</t>
  </si>
  <si>
    <t>15000097, 15000121, 15000124</t>
  </si>
  <si>
    <t>Brownsville</t>
  </si>
  <si>
    <t>152000077</t>
  </si>
  <si>
    <t>City of San Benito - Flood Warning System, planning, operation &amp; maintenance</t>
  </si>
  <si>
    <t>1211020806, 1211020808, 1211020809, 1211020807</t>
  </si>
  <si>
    <t>121102080600, 121102080700, 121102080800, 121102080900</t>
  </si>
  <si>
    <t>15000097, 15000120, 15000121, 15000189</t>
  </si>
  <si>
    <t>San Benito</t>
  </si>
  <si>
    <t>152000084</t>
  </si>
  <si>
    <t>City of Combes - Flood Warning System, planning, operation &amp; maintenance</t>
  </si>
  <si>
    <t>1211020803, 1211020807</t>
  </si>
  <si>
    <t>121102080300, 121102080700</t>
  </si>
  <si>
    <t>15000146, 15000189</t>
  </si>
  <si>
    <t>Combes</t>
  </si>
  <si>
    <t>15000075</t>
  </si>
  <si>
    <t>152000067</t>
  </si>
  <si>
    <t>City of Edinburg - Flood Warning System, planning, operation &amp; maintenance</t>
  </si>
  <si>
    <t>1211020802, 1211020803, 1211020804</t>
  </si>
  <si>
    <t>121102080200, 121102080300, 121102080400</t>
  </si>
  <si>
    <t>15000075, 15000096, 15000146</t>
  </si>
  <si>
    <t>Edinburg</t>
  </si>
  <si>
    <t>152000069</t>
  </si>
  <si>
    <t>City of Mission - planning, operation &amp; maintenance</t>
  </si>
  <si>
    <t>1211020802, 1211020803, 1309000203, 1211020801</t>
  </si>
  <si>
    <t>121102080100, 121102080200, 121102080300, 130900020305, 130900020301</t>
  </si>
  <si>
    <t>15000075, 15000119, 15000124, 15000146</t>
  </si>
  <si>
    <t>Mission</t>
  </si>
  <si>
    <t>152000078</t>
  </si>
  <si>
    <t>City of San Juan - Flood Warning System, planning, operation &amp; maintenance</t>
  </si>
  <si>
    <t>San Juan</t>
  </si>
  <si>
    <t>15000087</t>
  </si>
  <si>
    <t>152000081</t>
  </si>
  <si>
    <t>City of Alton - Flood Warning System, planning, operation &amp; maintenance</t>
  </si>
  <si>
    <t>Alton</t>
  </si>
  <si>
    <t>15000088</t>
  </si>
  <si>
    <t>152000068</t>
  </si>
  <si>
    <t>City of La Villa - planning, operation &amp; maintenance</t>
  </si>
  <si>
    <t>La Villa</t>
  </si>
  <si>
    <t>152000083</t>
  </si>
  <si>
    <t>Cameron County - Flood Warning System, planning, operation &amp; maintenance</t>
  </si>
  <si>
    <t>1211020803, 1309000205, 1309000204, 1211020805, 1211020806, 1211020808, 1211020809, 1211020810, 1211020807, 1211020811</t>
  </si>
  <si>
    <t>121102080300, 121102080500, 121102080600, 121102080700, 121102080800, 121102080900, 121102081000, 130900020501, 130900020403, 130900020401, 130900020504, 121102081100</t>
  </si>
  <si>
    <t>15000097, 15000120, 15000121, 15000122, 15000123, 15000124, 15000146, 15000189</t>
  </si>
  <si>
    <t>15000001</t>
  </si>
  <si>
    <t>1114030504, 1114030602</t>
  </si>
  <si>
    <t>1114010104, 1114010101</t>
  </si>
  <si>
    <t>1114030102, 1114030104</t>
  </si>
  <si>
    <t>1203010602, 1113021004, 1114010101</t>
  </si>
  <si>
    <t>1114010605, 1114010606, 1114010604, 1114020102, 1114030205, 1114030207, 1114030203, 1114030204, 1114030206</t>
  </si>
  <si>
    <t>1114030503, 1114030502, 1114030504, 1114030701</t>
  </si>
  <si>
    <t>1114030302, 1114030503, 1114030504, 1114030603, 1114030602, 1114030402, 1114030207, 1114030204, 1114030206</t>
  </si>
  <si>
    <t>1114030101, 1114030102, 1114030103, 1114030104, 1114030201</t>
  </si>
  <si>
    <t>1114030101, 1114030102, 1114030103, 1203010601, 1114010103, 1114010108, 1114010105, 1114010102, 1114010104, 1114010101, 1114010106</t>
  </si>
  <si>
    <t>1114030104, 1114030301, 1114030302, 1114030501, 1114030502, 1201000202, 1114030201</t>
  </si>
  <si>
    <t>1203010302, 1203010307, 1203010303, 1203010601, 1203010603, 1203010602, 1113021004, 1113021002, 1113021005, 1113021003, 1114010105, 1114010102, 1114010104, 1114010101</t>
  </si>
  <si>
    <t>1114030504, 1114030604, 1114030601, 1114030702, 1201000206, 1201000207, 1201000209, 1201000211, 1114030404, 1114030405</t>
  </si>
  <si>
    <t>1114030101, 1114030102, 1114030104, 1114030301, 1114030302, 1114030501, 1201000202, 1201000301, 1201000302, 1114030201</t>
  </si>
  <si>
    <t>1114010601, 1114030103, 1114030104, 1114030201, 1114030202, 1114010108, 1114010105, 1114010107, 1114010106</t>
  </si>
  <si>
    <t>1114030504, 1114030603, 1114030604, 1114030601, 1114030602, 1114030702</t>
  </si>
  <si>
    <t>1114030302, 1114030503, 1114030504, 1114030602, 1114030203, 1114030204</t>
  </si>
  <si>
    <t>1114010602, 1114010601, 1114010603, 1114010604, 1114030201, 1114030205, 1114030203, 1114030202, 1114010108, 1114010107</t>
  </si>
  <si>
    <t>1114030302, 1114030503, 1114030502, 1114030201, 1114030203, 1114030202</t>
  </si>
  <si>
    <t>1114030503, 1114030504, 1114030701, 1114030702, 1201000204, 1201000205, 1201000201, 1201000202</t>
  </si>
  <si>
    <t>1114030101, 1114030102</t>
  </si>
  <si>
    <t>1203010601, 1114010105</t>
  </si>
  <si>
    <t>1114030302, 1114030502</t>
  </si>
  <si>
    <t>1203010601, 1203010603, 1114010101</t>
  </si>
  <si>
    <t>Grayson, Fannin</t>
  </si>
  <si>
    <t>1114030103, 1113021004, 1113021005, 1114010105, 1114010102, 1114010101</t>
  </si>
  <si>
    <t>1203020103, 1202000105, 1203020104, 1203010505, 1203020107, 1202000103, 1202000104, 1202000107, 1203020102</t>
  </si>
  <si>
    <t>Anderson County</t>
  </si>
  <si>
    <t>1203010501, 1201000103, 1203010602, 1203010309, 1201000102, 1203010307, 1203010603, 1203010604, 1203010310, 1203010601</t>
  </si>
  <si>
    <t>Collin County</t>
  </si>
  <si>
    <t>1203010305, 1203010401, 1203010306, 1113020107, 1203010303, 1113021004, 1113021002, 1113021003, 1203010304, 1203010301, 1203010307, 1203010302, 1113020105</t>
  </si>
  <si>
    <t>Cooke County</t>
  </si>
  <si>
    <t>Valley View</t>
  </si>
  <si>
    <t>1203010501, 1203010605, 1203010207, 1203010502, 1203010903, 1203010604, 1203010310, 1203010503, 1203010206, 1203010403</t>
  </si>
  <si>
    <t>Dallas County</t>
  </si>
  <si>
    <t>1203020103, 1203020106, 1203020101, 1203020104, 1203010505, 1203020107, 1203010804, 1203020105, 1207010303</t>
  </si>
  <si>
    <t>Freestone County</t>
  </si>
  <si>
    <t>1206020111, 1206020102, 1203010103, 1203010105, 1206020106, 1203010101, 1203010104, 1203010102</t>
  </si>
  <si>
    <t>Jack County</t>
  </si>
  <si>
    <t>1203010702, 1201000103, 1203010504, 1203010605, 1201000104, 1203010703, 1203010505, 1203010701, 1201000105, 1203010502, 1203010604</t>
  </si>
  <si>
    <t>Kaufman County</t>
  </si>
  <si>
    <t>Kaufman County, Terrell, Kemp, Kaufman</t>
  </si>
  <si>
    <t>1203010207, 1203010205</t>
  </si>
  <si>
    <t>Euless</t>
  </si>
  <si>
    <t>1203010501, 1203010207, 1203010310</t>
  </si>
  <si>
    <t>Irving</t>
  </si>
  <si>
    <t>1203010204, 1203010206</t>
  </si>
  <si>
    <t>Mansfield</t>
  </si>
  <si>
    <t>1203010501, 1203010605, 1203010604</t>
  </si>
  <si>
    <t>Richardson</t>
  </si>
  <si>
    <t>Lewisville</t>
  </si>
  <si>
    <t>1203010702, 1203010703, 1203010701</t>
  </si>
  <si>
    <t>Kemp</t>
  </si>
  <si>
    <t>1201000103, 1203010605, 1203010701, 1203010604</t>
  </si>
  <si>
    <t>Rockwall County</t>
  </si>
  <si>
    <t>Dalworthington Gardens</t>
  </si>
  <si>
    <t>Colleyville</t>
  </si>
  <si>
    <t>1203010901, 1206020206, 1206020203, 1203010802, 1207010301, 1203010803, 1203010902, 1203010801, 1206020204, 1206020207, 1206020202, 1206020205</t>
  </si>
  <si>
    <t>Hill County</t>
  </si>
  <si>
    <t>Westlake</t>
  </si>
  <si>
    <t>1203010201, 1203010204, 1203010207, 1203010205, 1203010202, 1203010203, 1203010310, 1203010206, 1203010106, 1203010403</t>
  </si>
  <si>
    <t xml:space="preserve">Tarrant County </t>
  </si>
  <si>
    <t>1203020207, 1204010101, 1203020204, 1203020205, 1203020208, 1204010303, 1203020206, 1204010102, 1204010301</t>
  </si>
  <si>
    <t>Walker County</t>
  </si>
  <si>
    <t>River Oaks</t>
  </si>
  <si>
    <t>Everman</t>
  </si>
  <si>
    <t>North Central Texas Council of Govt</t>
  </si>
  <si>
    <t>1203010802, 1203010904, 1203010804</t>
  </si>
  <si>
    <t>Corsicana</t>
  </si>
  <si>
    <t>1203010502, 1203010903, 1203010503, 1203010206</t>
  </si>
  <si>
    <t>Cedar Hill</t>
  </si>
  <si>
    <t>1203010501, 1203010502, 1203010503</t>
  </si>
  <si>
    <t>Lancaster</t>
  </si>
  <si>
    <t>1203020205, 1203020206</t>
  </si>
  <si>
    <t>Midway</t>
  </si>
  <si>
    <t>1203010308, 1203010305, 1203010401, 1203010105, 1203010402, 1203010104, 1203010202, 1203010106, 1203010403</t>
  </si>
  <si>
    <t>Wise County</t>
  </si>
  <si>
    <t>Walker County, New Waverly, Riverside</t>
  </si>
  <si>
    <t>Flood-proofing, impact resistant windows, storm shutter, roof strap, structural bracing, low-flow plumbing fixture, roll-up door reinforcement, grounding system, surge-protection, data back-up systems, plumbing reinforcement and insulation, heat resistant</t>
  </si>
  <si>
    <t>1203020210, 1202000701, 1203020211, 1202000601, 1202000204, 1202000205, 1202000602, 1203020209, 1202000203, 1202000604, 1203020212, 1202000702</t>
  </si>
  <si>
    <t>Polk County, Corrigan, Goodrich, Livingston, Onalaska, Seven Oaks</t>
  </si>
  <si>
    <t>Kennedale</t>
  </si>
  <si>
    <t>1206020111, 1203010201, 1206020106, 1203010104, 1206020112, 1203010202, 1206020113, 1203010203, 1206020110, 1203010106</t>
  </si>
  <si>
    <t>Weatherford, Hudson Oaks, Aledo, Parker County</t>
  </si>
  <si>
    <t>Parker County, Hudson Oaks</t>
  </si>
  <si>
    <t>Shepherd, San Jacinto County</t>
  </si>
  <si>
    <t xml:space="preserve"> Hurst</t>
  </si>
  <si>
    <t>1203010603, 1203010604</t>
  </si>
  <si>
    <t>Lavon</t>
  </si>
  <si>
    <t>1113020107, 1203010304, 1203010301</t>
  </si>
  <si>
    <t>Lindsay</t>
  </si>
  <si>
    <t>1203020207, 1202000105, 1202000201, 1203020208, 1202000204, 1203020203, 1203020104, 1203020206, 1202000202, 1203020107, 1202000107</t>
  </si>
  <si>
    <t>Houston County</t>
  </si>
  <si>
    <t>1201000103, 1201000104, 1114030101, 1201000101, 1201000102, 1203010701, 1114030102, 1201000301, 1203010601</t>
  </si>
  <si>
    <t>Hunt County</t>
  </si>
  <si>
    <t>1207010304, 1203020204, 1203020106, 1203020202, 1207010305, 1203020203, 1203020104, 1203020107, 1203020201, 1203020105, 1207010303</t>
  </si>
  <si>
    <t>Leon County</t>
  </si>
  <si>
    <t>1203010207, 1203010205, 1203010403</t>
  </si>
  <si>
    <t>Haslet</t>
  </si>
  <si>
    <t>1203010207, 1203010206</t>
  </si>
  <si>
    <t>Grand Prairie</t>
  </si>
  <si>
    <t>West Fork Trinity River at MacArthur Blvd, Bowman Creek at Mirabella Blvd, Cottonwood Creek at Robinson Road, Johnson Creek at Duncan Perry Road, Foster Branch at Seeton Road, Mountain Creek at county road FM 661, Carrier Parkway underneath I-20, Robinson</t>
  </si>
  <si>
    <t>1114010101, 1203010602, 1203010303, 1113021004, 1113021002, 1113021003, 1114010102, 1114010105, 1203010307, 1203010603, 1203010302, 1114010104, 1113021005, 1203010601</t>
  </si>
  <si>
    <t>1203010308, 1203010309, 1203010307, 1203010310</t>
  </si>
  <si>
    <t>Corinth, Hickory Creek, Lake Dallas, Little Elm, Shady Shores, The Colony</t>
  </si>
  <si>
    <t>Caney City</t>
  </si>
  <si>
    <t>1203020211, 1204010303, 1203020212</t>
  </si>
  <si>
    <t>San Jacinto County, Shepherd, Coldspring, Point Blank</t>
  </si>
  <si>
    <t>1113020905, 1203010305, 1203010401, 1203010105, 1113020107, 1203010104, 1203010301, 1113020102, 1113020105</t>
  </si>
  <si>
    <t>Montague County</t>
  </si>
  <si>
    <t>1203010702, 1201000105</t>
  </si>
  <si>
    <t>Wills Point</t>
  </si>
  <si>
    <t>Sachse</t>
  </si>
  <si>
    <t>1203010501, 1203010310, 1203010403</t>
  </si>
  <si>
    <t>Carrollton</t>
  </si>
  <si>
    <t>1203010605, 1203010604</t>
  </si>
  <si>
    <t>Sunnyvale</t>
  </si>
  <si>
    <t>1203010901, 1206020205</t>
  </si>
  <si>
    <t>Itasca</t>
  </si>
  <si>
    <t>Develop a maintenance program to clear debris from bridges, box culverts, and drainage systems throughout. Implement program to clear debris from flood-prone areas, bridges, drains and culverts to prevent overtopping and backup during flash floods</t>
  </si>
  <si>
    <t>Addison, Carrollton</t>
  </si>
  <si>
    <t>1203010201, 1206020112, 1203010202</t>
  </si>
  <si>
    <t>Weatherford</t>
  </si>
  <si>
    <t>Richland Hills</t>
  </si>
  <si>
    <t>1203010901, 1206020203, 1203010204, 1206020202, 1206020113, 1203010203, 1203010206, 1206020205</t>
  </si>
  <si>
    <t>Johnson County</t>
  </si>
  <si>
    <t>Terrell</t>
  </si>
  <si>
    <t>Chico</t>
  </si>
  <si>
    <t>1203010901, 1203010204, 1206020202, 1203010203, 1203010206</t>
  </si>
  <si>
    <t xml:space="preserve"> Burleson</t>
  </si>
  <si>
    <t>1203010605, 1203010502, 1203010503</t>
  </si>
  <si>
    <t>Glenn Heights, Seagoville, Wilmer</t>
  </si>
  <si>
    <t>Krum "Turn Around, Don't Drown" Campaign</t>
  </si>
  <si>
    <t>Krum</t>
  </si>
  <si>
    <t>1114010108, 1114030103, 1114010101, 1114030101, 1114010106, 1114010103, 1114010102, 1114010105, 1114010202, 1114030102, 1114010104, 1203010601</t>
  </si>
  <si>
    <t>Livingston</t>
  </si>
  <si>
    <t>1203010309, 1203010304, 1203010307</t>
  </si>
  <si>
    <t>Krugerville</t>
  </si>
  <si>
    <t>1203010308, 1203010309, 1203010310, 1203010403</t>
  </si>
  <si>
    <t>Retreat</t>
  </si>
  <si>
    <t>Freestone, Navarro</t>
  </si>
  <si>
    <t>1203020101, 1203010804</t>
  </si>
  <si>
    <t>Streetman</t>
  </si>
  <si>
    <t>1203010904, 1203010504</t>
  </si>
  <si>
    <t>Alma</t>
  </si>
  <si>
    <t>Alvord</t>
  </si>
  <si>
    <t>Angus</t>
  </si>
  <si>
    <t>1203020204, 1203020205</t>
  </si>
  <si>
    <t>Bedias</t>
  </si>
  <si>
    <t>Bynum</t>
  </si>
  <si>
    <t>1203010801, 1206020205</t>
  </si>
  <si>
    <t>Carl's Corner</t>
  </si>
  <si>
    <t>Dallas, Kaufman</t>
  </si>
  <si>
    <t>1203010605, 1203010502</t>
  </si>
  <si>
    <t>Combine</t>
  </si>
  <si>
    <t>1203010901, 1206020202</t>
  </si>
  <si>
    <t>Coyote Flats</t>
  </si>
  <si>
    <t>1114010101, 1203010602, 1203010302</t>
  </si>
  <si>
    <t>Dorchester</t>
  </si>
  <si>
    <t>Emhouse</t>
  </si>
  <si>
    <t>1203010904, 1203010804</t>
  </si>
  <si>
    <t>Eureka</t>
  </si>
  <si>
    <t>Goodlow</t>
  </si>
  <si>
    <t>1203010504, 1203010701</t>
  </si>
  <si>
    <t>Grays Prairie</t>
  </si>
  <si>
    <t>Hebron</t>
  </si>
  <si>
    <t>1203020204, 1207010306</t>
  </si>
  <si>
    <t>Iola</t>
  </si>
  <si>
    <t>Kirvin</t>
  </si>
  <si>
    <t>Latexo</t>
  </si>
  <si>
    <t>Leona</t>
  </si>
  <si>
    <t>Mobile City</t>
  </si>
  <si>
    <t>Mustang</t>
  </si>
  <si>
    <t>1201000103, 1203010603, 1203010604</t>
  </si>
  <si>
    <t>Nevada</t>
  </si>
  <si>
    <t>Oak Grove</t>
  </si>
  <si>
    <t>Oak Valley</t>
  </si>
  <si>
    <t>Penelope</t>
  </si>
  <si>
    <t>Post Oak Bend</t>
  </si>
  <si>
    <t>1203010309, 1203010307</t>
  </si>
  <si>
    <t>Providence Village</t>
  </si>
  <si>
    <t>Rosser</t>
  </si>
  <si>
    <t>1207010301, 1203010803, 1203020101</t>
  </si>
  <si>
    <t>Tehuacana</t>
  </si>
  <si>
    <t>Draper</t>
  </si>
  <si>
    <t>1203010501, 1203010605, 1203010207, 1203010502, 1203010604, 1203010310, 1203010206</t>
  </si>
  <si>
    <t>1203010201, 1203010204, 1203010207, 1203010205, 1203010202, 1203010203, 1203010206, 1203010106, 1203010403</t>
  </si>
  <si>
    <t>Fort Worth</t>
  </si>
  <si>
    <t>Road Runner</t>
  </si>
  <si>
    <t>1203010204, 1203010203</t>
  </si>
  <si>
    <t>1203010702, 1201000106, 1202000102, 1201000104, 1203010703, 1201000105, 1202000103, 1202000101</t>
  </si>
  <si>
    <t>Van Zandt County</t>
  </si>
  <si>
    <t xml:space="preserve"> Grand Prairie</t>
  </si>
  <si>
    <t>Drainage improvement projects throughout the City of Hurst. One improvement includes a detention pond.</t>
  </si>
  <si>
    <t>Drainage improvement projects throughout the City of Garland. Some alternatives include detention ponds.</t>
  </si>
  <si>
    <t xml:space="preserve"> Garland</t>
  </si>
  <si>
    <t>Infrastructure improvements throughout the City of Terrell such as storm drain updates, channel improvements, culvert improvements, railroad crossing upsizing, and street improvements. One improvement includes enhancing a channel with natural grass.</t>
  </si>
  <si>
    <t>032000146</t>
  </si>
  <si>
    <t>Trinity Basin Stakeholder Nature-based Solutions Project Planning and Analysis </t>
  </si>
  <si>
    <t xml:space="preserve">Multi-jurisdictional stakeholder engagement, planning and analysis will further refine priority NBS areas and identify as well as prepare a portfolio of priority NBS flood mitigation, projects, and strategies. </t>
  </si>
  <si>
    <t>Anderson, Archer, Chambers, Clay, Collin, Cooke, Dallas, Denton, Ellis, Fannin, Freestone, Grayson, Grimes, Hardin, Henderson, Hill, Hood, Houston, Hunt, Jack, Johnson, Kaufman, Leon, Liberty, Limestone, Madison, Montague, Navarro, Parker, Polk, Rockwall,</t>
  </si>
  <si>
    <t>12030101, 12030102, 12030103, 12030104, 12030105, 12030106, 12030107, 12030108, 12030109, 12030201, 12030202, 12030203</t>
  </si>
  <si>
    <t>1203010101, 1203010102, 1203010103, 1203010104, 1203010105, 1203010106, 1203010201, 1203010202, 1203010203, 1203010204, 1203010205, 1203010206, 1203010207, 1203010301, 1203010302, 1203010303, 1203010304, 1203010305, 1203010306, 1203010307, 1203010308, 120</t>
  </si>
  <si>
    <t>03000005, 03000006, 03000027, 03000028</t>
  </si>
  <si>
    <t>The Nature Conservancy (TNC)</t>
  </si>
  <si>
    <t>00004008</t>
  </si>
  <si>
    <t>State, Other</t>
  </si>
  <si>
    <t>Identify NBS projects</t>
  </si>
  <si>
    <t>032000147</t>
  </si>
  <si>
    <t>Balch Springs Buyout</t>
  </si>
  <si>
    <t>Buyout of six (6) flood-prone properties selected on proximity to creek, flood depths, and frequency of flooding</t>
  </si>
  <si>
    <t>1203010502, 1203010605</t>
  </si>
  <si>
    <t xml:space="preserve">Balch Springs </t>
  </si>
  <si>
    <t>03002823</t>
  </si>
  <si>
    <t>Local, State</t>
  </si>
  <si>
    <t>032000066</t>
  </si>
  <si>
    <t>City of Fate Floodplain Acquisition and Preservation Program</t>
  </si>
  <si>
    <t>Acquire, reuse, and preserve open spaces adjacent to floodplain areas to reduce the impacts of flooding</t>
  </si>
  <si>
    <t>12010001, 12030106, 12030107</t>
  </si>
  <si>
    <t>Fate</t>
  </si>
  <si>
    <t>042000053</t>
  </si>
  <si>
    <t>Kaufman,Van Zandt,Rockwall,Rains,Collin,Hopkins,Hunt</t>
  </si>
  <si>
    <t>12010001,12010003</t>
  </si>
  <si>
    <t>1201000101,1201000102,1201000103,1201000104,1201000301</t>
  </si>
  <si>
    <t>120100010406,120100010407,120100010103,120100010101,120100010102,120100010104,120100010203,120100010201,120100010202,120100010204,120100010301,120100010303,120100010401,120100010402,120100010404,120100010302,120100010403,120100010405,120100030101,12010003</t>
  </si>
  <si>
    <t>04000018,04000019,04000004,04000002,04000003,04000005,04000008,04000006,04000007,04000009,04000010,04000012,04000013,04000014,04000016,04000011,04000015,04000017,04000106,04000107</t>
  </si>
  <si>
    <t>04000015, 04000016</t>
  </si>
  <si>
    <t>042000054</t>
  </si>
  <si>
    <t>Kaufman,Rockwall,Collin,Hunt</t>
  </si>
  <si>
    <t>120100010301,120100010302</t>
  </si>
  <si>
    <t>04000010,04000011</t>
  </si>
  <si>
    <t>04000015, 04000016, 04000017</t>
  </si>
  <si>
    <t>042000055</t>
  </si>
  <si>
    <t>Rockwall County Flood Prevention Ordinance</t>
  </si>
  <si>
    <t>04000018</t>
  </si>
  <si>
    <t>042000056</t>
  </si>
  <si>
    <t>120100010501,120100010502</t>
  </si>
  <si>
    <t>04000020,04000021</t>
  </si>
  <si>
    <t>042000057</t>
  </si>
  <si>
    <t>Kaufman,Van Zandt,Rockwall,Hunt</t>
  </si>
  <si>
    <t>1201000103,1201000104,1201000105</t>
  </si>
  <si>
    <t>120100010501,120100010303,120100010404,120100010302,120100010405</t>
  </si>
  <si>
    <t>04000020,04000012,04000016,04000011,04000017</t>
  </si>
  <si>
    <t>042000058</t>
  </si>
  <si>
    <t>042000060</t>
  </si>
  <si>
    <t>04000009, 04000010</t>
  </si>
  <si>
    <t>042000061</t>
  </si>
  <si>
    <t>042000062</t>
  </si>
  <si>
    <t>Smith,Kaufman,Van Zandt,Rains,Wood,Hunt</t>
  </si>
  <si>
    <t>1201000104,1201000105,1201000106</t>
  </si>
  <si>
    <t>04000007, 04000008</t>
  </si>
  <si>
    <t>042000059</t>
  </si>
  <si>
    <t>City of Kilgore Property Acquisition</t>
  </si>
  <si>
    <t xml:space="preserve">Implementation of program to purchase properties and repetitive loss homes in floodplain areas to reserve them from development. </t>
  </si>
  <si>
    <t>Gregg,Rusk</t>
  </si>
  <si>
    <t>1201000205,1201000206</t>
  </si>
  <si>
    <t>120100020501, 120100020506, 120100020502, 120100020503, 120100020601</t>
  </si>
  <si>
    <t>04000056,04000061,04000057,04000058,04000062</t>
  </si>
  <si>
    <t>04000005, 04000006</t>
  </si>
  <si>
    <t>040000000001</t>
  </si>
  <si>
    <t>Sabine Flood Measurement Gages</t>
  </si>
  <si>
    <t>Install flood measurement gages in Upper Sabine Basin</t>
  </si>
  <si>
    <t>Smith,Gregg,Kaufman,Harrison,Van Zandt,Upshur,Shelby,Rusk,Panola,Rockwall,Rains,Wood,Collin,Hopkins,Hunt,Franklin</t>
  </si>
  <si>
    <t>11140206,12010001,12010002,12010003,12010004</t>
  </si>
  <si>
    <t>1114020601,1201000101,1201000102,1201000103,1201000104,1201000105,1201000106,1201000201,1201000202,1201000203,1201000204,1201000205,1201000206,1201000207,1201000208,1201000209,1201000210,1201000211,1201000301,1201000302,1201000303,1201000402,1201000403</t>
  </si>
  <si>
    <t>00000293</t>
  </si>
  <si>
    <t>062000066</t>
  </si>
  <si>
    <t>Warren Ranch Preservation</t>
  </si>
  <si>
    <t>Acquisition of remaining private interest stake in the 6,004-acre Warren Ranch for floodplain preservation and conservation. Place a conservation easement on the Ranch to conserve ag and natural habitat.</t>
  </si>
  <si>
    <t>120401020103</t>
  </si>
  <si>
    <t>06000028</t>
  </si>
  <si>
    <t>06000012,06000013</t>
  </si>
  <si>
    <t>00000310,00000020</t>
  </si>
  <si>
    <t>Public access and recreation, agriculture, habitat preservation</t>
  </si>
  <si>
    <t>062000067</t>
  </si>
  <si>
    <t>Cypress Creek Headwater Acquisition and PReservation</t>
  </si>
  <si>
    <t>Acquisition and restoration of 1,074-acres of ag and natural lands at the headwaters of Cypress Creek.</t>
  </si>
  <si>
    <t>120401020102,120401020103</t>
  </si>
  <si>
    <t>06000027,06000028</t>
  </si>
  <si>
    <t>072000064</t>
  </si>
  <si>
    <t>City of Idalou Ordinance Updates</t>
  </si>
  <si>
    <t>Updates to the City Ordinance to assist with the acquisition, use, preservation, and continuance of playas and other natural resources within or influenced by the City</t>
  </si>
  <si>
    <t>1205000303</t>
  </si>
  <si>
    <t>120500030303, 120500030304</t>
  </si>
  <si>
    <t>07000052, 07000085</t>
  </si>
  <si>
    <t>07003506</t>
  </si>
  <si>
    <t>Aligns with RFPG, TWDB goals</t>
  </si>
  <si>
    <t>When the San Antonio River floods, the city is cutoff from the rest of the county (hospital and EMS) with islands lasting over a week. Install stream gauges and develop a study to identify solutions to flooding. SARA completed a study but County official</t>
  </si>
  <si>
    <t>Develop ownership and access understanding parcels fronting the San Antonio River and major tributaries to have better agreements and access to areas that need flood control mitigation and erosion control</t>
  </si>
  <si>
    <t>Wilson,Bexar,Goliad,Karnes</t>
  </si>
  <si>
    <t>00000282</t>
  </si>
  <si>
    <t>12100406,12100407,12110101,12110102,12110103,12110104,12110105,12110106,12110107,12110108,12110109,12110110,12110111,12110201,12110204,12110205,12110206,12100405,12110202,12110203</t>
  </si>
  <si>
    <t>Proposed 2024 State Flood Plan Flood Management Evaluation (FME), Flood Mitigation Project (FMP) and Flood Management Strategy (FMS) Ranking Criteria and Weight</t>
  </si>
  <si>
    <t>Statewide 1% Annual Chance Flood Risk Data (aggregated from 15 RFPGs)</t>
  </si>
  <si>
    <t xml:space="preserve">FME Ranking Weight </t>
  </si>
  <si>
    <t xml:space="preserve">FMP Ranking Criteria
</t>
  </si>
  <si>
    <t xml:space="preserve">FMP Ranking Percent Weight
</t>
  </si>
  <si>
    <t>Max Score</t>
  </si>
  <si>
    <t>Area (sqmi)</t>
  </si>
  <si>
    <t>Area in Floodplain (sqmi)</t>
  </si>
  <si>
    <t xml:space="preserve">Number of Structures in Floodplain </t>
  </si>
  <si>
    <t>Residential Structures in Floodplain</t>
  </si>
  <si>
    <t xml:space="preserve">1% Population (Highest) </t>
  </si>
  <si>
    <t>Roadway Stream Crossings (#)</t>
  </si>
  <si>
    <t>Roadways Segments (miles)</t>
  </si>
  <si>
    <t>Agricultural Areas (sqmi)</t>
  </si>
  <si>
    <t>Critical Facilities (#)</t>
  </si>
  <si>
    <t>LWC (#)</t>
  </si>
  <si>
    <r>
      <t>Percent of structures removed from 100yr (1% annual chance) Floodplain (</t>
    </r>
    <r>
      <rPr>
        <b/>
        <sz val="12"/>
        <color rgb="FFFF0000"/>
        <rFont val="Calibri"/>
        <family val="2"/>
        <scheme val="minor"/>
      </rPr>
      <t>Calculated</t>
    </r>
    <r>
      <rPr>
        <sz val="12"/>
        <color theme="1"/>
        <rFont val="Calibri"/>
        <family val="2"/>
        <scheme val="minor"/>
      </rPr>
      <t xml:space="preserve"> by TWDB from reported data)</t>
    </r>
  </si>
  <si>
    <t xml:space="preserve"> Mobility</t>
  </si>
  <si>
    <t xml:space="preserve">Score 3: Flood Risk Reduction </t>
  </si>
  <si>
    <t>Score 10: Multiple Benefits</t>
  </si>
  <si>
    <t>Score 13: Environmental Benefit</t>
  </si>
  <si>
    <t>Score 16: Regional (Geographic Distribution)</t>
  </si>
  <si>
    <t>Total (Must add up to 100%)</t>
  </si>
  <si>
    <t>Do not modify</t>
  </si>
  <si>
    <t>FMS Type</t>
  </si>
  <si>
    <t>(10 points) Flood Measurement and Warning, 
(8 points) Regulatory and Guidance, 
(6 points) Education and Outreach, 
(4 points) Property Acquisition and Structural Elevation,
(4 points) Infrastructure Projects,
(2 points) Other</t>
  </si>
  <si>
    <t>FMS_Type Score</t>
  </si>
  <si>
    <t>FMS_Type Score Weighted</t>
  </si>
  <si>
    <t>ArcSinh</t>
  </si>
  <si>
    <t>A + B + Emergency Need Score + Nature Based Solution Score + Water Suppy Score + FMS Type Score</t>
  </si>
  <si>
    <t>Region Number2</t>
  </si>
  <si>
    <t>Log Total Score</t>
  </si>
  <si>
    <t>Log Score Based on Normalized Reported Factors</t>
  </si>
  <si>
    <t>ArcSinh Score Based on Normalized Reported Factors</t>
  </si>
  <si>
    <t>ArcSinh Regional Rank</t>
  </si>
  <si>
    <t>Log Regional Rank</t>
  </si>
  <si>
    <t>Log Total Score + NBS + Water Supply points</t>
  </si>
  <si>
    <t>Original Regional Rank</t>
  </si>
  <si>
    <t>FMS_Ranking</t>
  </si>
  <si>
    <t>ArcSinh Rank Residual</t>
  </si>
  <si>
    <t>Log Rank Residual</t>
  </si>
  <si>
    <t>Residual Stats</t>
  </si>
  <si>
    <t>Average</t>
  </si>
  <si>
    <t>Min</t>
  </si>
  <si>
    <t>Max</t>
  </si>
  <si>
    <t>Standard Deviation</t>
  </si>
  <si>
    <t>Median</t>
  </si>
  <si>
    <t>Mode</t>
  </si>
  <si>
    <t>Residual Calculations</t>
  </si>
  <si>
    <t>Positive value: Lower ranking under new method.
Negative value: Higher ranking under new method.</t>
  </si>
  <si>
    <t>Flood Measurement and warning</t>
  </si>
  <si>
    <t>Average rank</t>
  </si>
  <si>
    <t>Non-Recurring Non-Capital Cost</t>
  </si>
  <si>
    <t>Structures at risk, ArcSinh (0-10)</t>
  </si>
  <si>
    <t>Population at risk, ArcSinh (0-10)</t>
  </si>
  <si>
    <t>Critical facilities at risk, ArcSinh (0-10)</t>
  </si>
  <si>
    <t>LWC, ArcSInh (0-10)</t>
  </si>
  <si>
    <t>Road closures, ArcSinh (0-10)</t>
  </si>
  <si>
    <t>Length of roads at risk, ArcSinh (0-10)</t>
  </si>
  <si>
    <t>Farm &amp; ranch land, ArcSinh (0-10)</t>
  </si>
  <si>
    <t>Structures removed, ArcSinh (0-10)</t>
  </si>
  <si>
    <t>Removed population, ArcSinh (0-10)</t>
  </si>
  <si>
    <t>Estimated Total Cost of Implementation</t>
  </si>
  <si>
    <t xml:space="preserve">All flood risk and risk reduction information are for 1% annual chance storm. </t>
  </si>
  <si>
    <t>New Criteria</t>
  </si>
  <si>
    <t>FMP Project Type</t>
  </si>
  <si>
    <t>(10 points) Low water crossing
(4 points) Preparedness</t>
  </si>
  <si>
    <t>Total Score 
(with linear
normalization)</t>
  </si>
  <si>
    <t>Rank
(with linear
normalization)</t>
  </si>
  <si>
    <t>Ranking Factor?</t>
  </si>
  <si>
    <t>Max Values for Score Normalization</t>
  </si>
  <si>
    <t>Weight Value</t>
  </si>
  <si>
    <t>Ranking Criteria</t>
  </si>
  <si>
    <t>% NBS Raw</t>
  </si>
  <si>
    <t>% NBS Score (Normalized)</t>
  </si>
  <si>
    <t>Rank (with ArcSinh normalization of select criteria)</t>
  </si>
  <si>
    <t>Total Score (with ArcSinh normalization of select criteria)</t>
  </si>
  <si>
    <t>Structure at Risk Raw</t>
  </si>
  <si>
    <t>Pop at Risk Raw</t>
  </si>
  <si>
    <t>Road Closures Raw</t>
  </si>
  <si>
    <t>Road Miles Raw</t>
  </si>
  <si>
    <t>Structures Removed Raw</t>
  </si>
  <si>
    <t>ArcSinh (Weighted) Removed Pop</t>
  </si>
  <si>
    <t>ArcSinh (Weighted) Structures Removed</t>
  </si>
  <si>
    <t>ArcSinh (Weighted) Ag Land</t>
  </si>
  <si>
    <t>ArcSinh (Weighted) Road Miles</t>
  </si>
  <si>
    <t>ArcSinh (Weighted) Road Closures</t>
  </si>
  <si>
    <t>ArcSinh (Weighted) LWC</t>
  </si>
  <si>
    <t>ArcSinh (Weighted) Critical Facilities</t>
  </si>
  <si>
    <t>ArcSinh (Weighted) Pop at Risk</t>
  </si>
  <si>
    <t>ArcSinh (Weighted) Structure at Risk</t>
  </si>
  <si>
    <t>ArcSinh (Weighted) Residential Structures Removed</t>
  </si>
  <si>
    <t>ArcSinh Res struct removed 0-10</t>
  </si>
  <si>
    <t>Residential Structures Removed Raw</t>
  </si>
  <si>
    <t>Number of residential structures removed from 100yr (1% annual chance) Floodplain</t>
  </si>
  <si>
    <t>Project_Type_Scoring</t>
  </si>
  <si>
    <t xml:space="preserve">This is the raw input data obtained from the recommended FMS feature class in the GIS database submitted to TWDB. </t>
  </si>
  <si>
    <t>TWDB rules state that the state flood plan shall incorporate “a statewide, ranked list of recommended FMEs, FMPs, and FMSs that have associated one-time capital costs derived from the Board-approved RFPs (31 TAC § 362.4 (c)(5)).</t>
  </si>
  <si>
    <t xml:space="preserve">Ranking Criteria and Weights across FME, FMP, and FMS. Only the values in the "FMS Ranking Percent Weight" column are adjustable and feed into the "FMS_Ranking" sheet. See the separate FME and FMP ranking workbooks to test different weights for their respective criteria. For more information on proposed criteria, please see the separate "Primer" document available for download on the TWDB website: https://wwwdev.twdb.texas.gov/flood/planning/sfp/index.asp </t>
  </si>
  <si>
    <t>Raw data reads from "FMS_InputData" and "Project_Type_Scoring", and computes scoring and ranking based on the Weight inputs from the "Ranking_Criteria" tab. Contents of this tab are locked.</t>
  </si>
  <si>
    <t>A table of FMS project types and scoring, used by the "FMS_InputData" and "FMS_Ranking" tabs to determine points awarded for project type.</t>
  </si>
  <si>
    <t>*All reported data were transformed using an inverse hyperbolic sine (arcsinh) function for better distribution of scores, so that the lower scores are not dwarfed by the large numbers and scored from 0-10.</t>
  </si>
  <si>
    <t>INCL_NATURE</t>
  </si>
  <si>
    <t>Gregg</t>
  </si>
  <si>
    <t>00003055</t>
  </si>
  <si>
    <t>042000001</t>
  </si>
  <si>
    <t>Orange County Drainage District Design Criteria</t>
  </si>
  <si>
    <t>Update Design Criteria</t>
  </si>
  <si>
    <t>1201000510, 1201000511</t>
  </si>
  <si>
    <t>120100051100,120100051003,120100051004,120100051005</t>
  </si>
  <si>
    <t>04000193,04000194,04000195,04000196</t>
  </si>
  <si>
    <t>04000009,04000018,04000019</t>
  </si>
  <si>
    <t>00000027</t>
  </si>
  <si>
    <t>042000002</t>
  </si>
  <si>
    <t>Administer program to acquire flood prone/repetitive loss properties and convert to open space, parks, boating access, trails, agricultural projects, and/or as a general community asset.</t>
  </si>
  <si>
    <t>04000005</t>
  </si>
  <si>
    <t>042000003</t>
  </si>
  <si>
    <t>Orange County Drainage District Flood Warning System</t>
  </si>
  <si>
    <t>Improvement of existing flood warning system</t>
  </si>
  <si>
    <t>04000015</t>
  </si>
  <si>
    <t>042000004</t>
  </si>
  <si>
    <t>Orange County Detention Ponds Throughout County</t>
  </si>
  <si>
    <t xml:space="preserve">Series of detention ponds to prevent flooding along IH‐10, Hwy 12, Hwy 62, and Hwy 87 – the County’s evacuation routes.  </t>
  </si>
  <si>
    <t>04000007</t>
  </si>
  <si>
    <t>042000005</t>
  </si>
  <si>
    <t>Van Zandt County Wide Floodplain Development Regulations</t>
  </si>
  <si>
    <t>Incorporate higher standards for flood hazard resiliency in local application of the building code.</t>
  </si>
  <si>
    <t>1201000104, 1201000105,1201000106</t>
  </si>
  <si>
    <t>04000009,04000018</t>
  </si>
  <si>
    <t>042000006</t>
  </si>
  <si>
    <t>Rockwall Countywide Flood Awareness Program</t>
  </si>
  <si>
    <t>Develop a public education and awareness website to educate and inform Rockwall County residents/businesses about the natural hazards and the potential ways to mitigate them and the ecological and societal benefits of flooding.</t>
  </si>
  <si>
    <t>120100010301, 120100010302</t>
  </si>
  <si>
    <t>04000010, 04000011</t>
  </si>
  <si>
    <t>04000009</t>
  </si>
  <si>
    <t>042000009</t>
  </si>
  <si>
    <t>Orange County Elevation of Residential Structures Program</t>
  </si>
  <si>
    <t>042000010</t>
  </si>
  <si>
    <t>Orange County Drainage District Additional Gages And Warning Systems</t>
  </si>
  <si>
    <t>Incorporation of additional rain gauges and flood sensors throughout jurisdiction.</t>
  </si>
  <si>
    <t>1201000510,1201000511</t>
  </si>
  <si>
    <t>120100051003,120100051004,120100051005,120100051100</t>
  </si>
  <si>
    <t>042000013</t>
  </si>
  <si>
    <t>City of Greenville NFIP Participation</t>
  </si>
  <si>
    <t xml:space="preserve">Increase NFIP Participation.  Greenville participates in the NFIP program and needs to strongly encourage through education additional residents and businesses to purchase and maintain flood insurance.   </t>
  </si>
  <si>
    <t>1201000101, 1201000101, 1201000102, 1201000104</t>
  </si>
  <si>
    <t>120100010103, 120100010102, 120100010204, 120100010401</t>
  </si>
  <si>
    <t>04000004, 04000003, 04000009, 04000013</t>
  </si>
  <si>
    <t>04002514</t>
  </si>
  <si>
    <t>042000014</t>
  </si>
  <si>
    <t>City of Fruitvale "StormReady" Program</t>
  </si>
  <si>
    <t>Obtain certification in the National Weather Service StormReady Program.</t>
  </si>
  <si>
    <t>1201000105, 1201000106</t>
  </si>
  <si>
    <t>120100010504, 120100010601</t>
  </si>
  <si>
    <t>04000023, 04000027</t>
  </si>
  <si>
    <t>04002537</t>
  </si>
  <si>
    <t>042000015</t>
  </si>
  <si>
    <t>City of Fruitvale Flood Emergency Notification System</t>
  </si>
  <si>
    <t>Implement and enhance an area-wide telephone Emergency Notification System (“Reverse 911”).</t>
  </si>
  <si>
    <t>04000015,04000009</t>
  </si>
  <si>
    <t>042000016</t>
  </si>
  <si>
    <t>City of Van "StormReady" Program</t>
  </si>
  <si>
    <t>042000018</t>
  </si>
  <si>
    <t>City of Grand Saline "StormReady" Program</t>
  </si>
  <si>
    <t>120100010601, 120100010605</t>
  </si>
  <si>
    <t>04000027, 04000031</t>
  </si>
  <si>
    <t>042000020</t>
  </si>
  <si>
    <t>City of Wills Point "StormReady" Program</t>
  </si>
  <si>
    <t>042000021</t>
  </si>
  <si>
    <t>City of Wills Point Flood Emergency Notification System</t>
  </si>
  <si>
    <t>042000023</t>
  </si>
  <si>
    <t>City of Wills Point Flood Awareness Program</t>
  </si>
  <si>
    <t>Educate community on the dangers of low water crossings through the installation of warning signs and promotion of “Turn Around, Don’t Drown” Program.</t>
  </si>
  <si>
    <t>04000009,04000017</t>
  </si>
  <si>
    <t>042000026</t>
  </si>
  <si>
    <t>City of Gladewater Flood Awareness Program</t>
  </si>
  <si>
    <t>Develop and implement a public education campaign to inform the public about mitigation actions they can take to make their family and home safer. Put information and links to outside resources on city websites and facebook pages.</t>
  </si>
  <si>
    <t>042000027</t>
  </si>
  <si>
    <t>Develop and implement the "Turn Around, Don’t Drown Program"</t>
  </si>
  <si>
    <t>042000029</t>
  </si>
  <si>
    <t>Develop, implement and promote a public education campaign to encourage the public to register for the Nixle warning system; put link on city websites and facebook pages.</t>
  </si>
  <si>
    <t>042000030</t>
  </si>
  <si>
    <t>City of Kilgore "StormReady" Program</t>
  </si>
  <si>
    <t>Obtain awareness materials from Texas Floodplain Management Association for distribution to the public. Post public awareness content on social media platforms prior to and during flooding.</t>
  </si>
  <si>
    <t>Gregg, Rusk</t>
  </si>
  <si>
    <t>1201000205, 1201000204, 1201000205, 1201000205</t>
  </si>
  <si>
    <t>120100020506, 120100020405, 120100020502, 120100020503</t>
  </si>
  <si>
    <t>04000061, 04000055, 04000057, 04000058</t>
  </si>
  <si>
    <t>042000034</t>
  </si>
  <si>
    <t>City of Longview Flood Awareness Program</t>
  </si>
  <si>
    <t xml:space="preserve">Promote the “Turn Around Don’t Drown” campaign, in partnership with DPS. </t>
  </si>
  <si>
    <t>1201000205, 1201000206, 1201000205, 1201000205, 1201000206</t>
  </si>
  <si>
    <t>120100020506, 120100020601, 120100020504, 120100020505, 120100020602</t>
  </si>
  <si>
    <t>04000061, 04000062, 04000059, 04000060, 04000063</t>
  </si>
  <si>
    <t>042000035</t>
  </si>
  <si>
    <t>City of Longview Flood Mitigation Training Program</t>
  </si>
  <si>
    <t xml:space="preserve">Seek state and FEMA sponsored training in flood mitigation for key personnel. </t>
  </si>
  <si>
    <t>042000039</t>
  </si>
  <si>
    <t>City of Longview Property Acquisition Program</t>
  </si>
  <si>
    <t xml:space="preserve">Implementation of program to purchase properties and severe loss-repetitive loss homes in floodplain areas to reserve them from development. </t>
  </si>
  <si>
    <t>042000041</t>
  </si>
  <si>
    <t>City of Longview Dam Development</t>
  </si>
  <si>
    <t>Promote FEMA-recommended construction methods for any new dam</t>
  </si>
  <si>
    <t>042000042</t>
  </si>
  <si>
    <t>City of Hideaway Flood Awareness Program</t>
  </si>
  <si>
    <t xml:space="preserve">Conduct public outreach to educate homeowners on flood mitigation measures for their homes. </t>
  </si>
  <si>
    <t>042000043</t>
  </si>
  <si>
    <t>City of Hideaway Floodplain Development Regulations</t>
  </si>
  <si>
    <t>Mandate 2 FT Freeboard on Hideaway Lakes Dams</t>
  </si>
  <si>
    <t>042000044</t>
  </si>
  <si>
    <t xml:space="preserve">Public Awareness of Evacuation Routes from rising water from dam failure. </t>
  </si>
  <si>
    <t>042000046</t>
  </si>
  <si>
    <t>City of Winona Flood Awareness Program</t>
  </si>
  <si>
    <t xml:space="preserve">Conduct public outreach to homeowners and residents on flood mitigation measures for their residents. </t>
  </si>
  <si>
    <t>1201000201, 1201000203</t>
  </si>
  <si>
    <t>120100020107, 120100020303</t>
  </si>
  <si>
    <t>04000041, 04000050</t>
  </si>
  <si>
    <t>04003179</t>
  </si>
  <si>
    <t>042000047</t>
  </si>
  <si>
    <t>City of Royse City Floodplain Management Ordinances</t>
  </si>
  <si>
    <t xml:space="preserve">Update Flood Prevention ordinance, adopting a “no-rise” in Base Flood Elevation in the 100-year floodplain. </t>
  </si>
  <si>
    <t>Rockwall, Collin, Hunt</t>
  </si>
  <si>
    <t>1201000102, 1201000103</t>
  </si>
  <si>
    <t>120100010202, 120100010301, 120100010302</t>
  </si>
  <si>
    <t>04000007, 04000010, 04000011</t>
  </si>
  <si>
    <t>04003312</t>
  </si>
  <si>
    <t>042000048</t>
  </si>
  <si>
    <t>City of Royse City "StormReady" Program</t>
  </si>
  <si>
    <t xml:space="preserve">Achieve certification by the National Weather Service as a “StormReady” Community. </t>
  </si>
  <si>
    <t>042000049</t>
  </si>
  <si>
    <t>City of Como Flood Awareness Program</t>
  </si>
  <si>
    <t>Disseminate PSA’s, Newspaper Articles through local media about dangers of flooded county roads and to “Turn Around; Don’t Drown.”</t>
  </si>
  <si>
    <t>12010003</t>
  </si>
  <si>
    <t>1201000302</t>
  </si>
  <si>
    <t>120100030201</t>
  </si>
  <si>
    <t>04000113</t>
  </si>
  <si>
    <t>00003418</t>
  </si>
  <si>
    <t>City of Cumby Flood Awareness Program</t>
  </si>
  <si>
    <t>1201000301, 1201000301</t>
  </si>
  <si>
    <t>120100030101, 120100030104</t>
  </si>
  <si>
    <t>04000106, 04000109</t>
  </si>
  <si>
    <t>00003433</t>
  </si>
  <si>
    <t>042000051</t>
  </si>
  <si>
    <t>Disseminate PSA’s, Newspaper Articles through local media about dangers of flooded county roads</t>
  </si>
  <si>
    <t>08000019</t>
  </si>
  <si>
    <t>08000016</t>
  </si>
  <si>
    <t>08000007</t>
  </si>
  <si>
    <t>08000012</t>
  </si>
  <si>
    <t>12070101,12070103</t>
  </si>
  <si>
    <t>08000005,08000007</t>
  </si>
  <si>
    <t>Brazos</t>
  </si>
  <si>
    <t>08000003</t>
  </si>
  <si>
    <t>Local, TWDB FIF, FEMA HMGP, FEMA BRIC, FEMA FMA</t>
  </si>
  <si>
    <t>Williamson</t>
  </si>
  <si>
    <t>12070205</t>
  </si>
  <si>
    <t>1207020501,1207020502,1207020503,1207020504,1207020505</t>
  </si>
  <si>
    <t>08002580</t>
  </si>
  <si>
    <t>082001136</t>
  </si>
  <si>
    <t>1207020501,1207020502,1207020504</t>
  </si>
  <si>
    <t>120702050402,120702050106,120702050401,120702050203</t>
  </si>
  <si>
    <t>00003457</t>
  </si>
  <si>
    <t>12070104,12040205</t>
  </si>
  <si>
    <t>1207010404,1207010405,1207010403,1204020503,1204020501,1204020502</t>
  </si>
  <si>
    <t>120701040404,120701040405,120701040406,120701040403,120701040408,120701040409,120701040407,120701040501,120701040402,120701040401,120701040309,120701040307,120701040308,120402050100,120402050300,120402050200</t>
  </si>
  <si>
    <t>08000013,08000014</t>
  </si>
  <si>
    <t>00000009</t>
  </si>
  <si>
    <t>00000009,00002044</t>
  </si>
  <si>
    <t>082000059</t>
  </si>
  <si>
    <t>Evaluation of Flood Control Projects Phase 2</t>
  </si>
  <si>
    <t>Implement design, construction, and maintenance criteria for new City-owned flood control projects; Document retrofitting/non-structural control activities on existing City-owned flood control structures</t>
  </si>
  <si>
    <t>1207010404,1204020501,1204020502</t>
  </si>
  <si>
    <t>120701040403,120701040408,120701040402,120402050100,120402050200</t>
  </si>
  <si>
    <t>00002517</t>
  </si>
  <si>
    <t>Local, TWDB FIF, FEMA HMGP, FEMA BRIC, FEMA FMA, HUD CDBG-MIT</t>
  </si>
  <si>
    <t>082000071</t>
  </si>
  <si>
    <t>Sugar Land MDP - Early Flood Warning System</t>
  </si>
  <si>
    <t>Engage regional partners in developing a flood warning system.</t>
  </si>
  <si>
    <t>082000074</t>
  </si>
  <si>
    <t xml:space="preserve">Sugar Land MDP - Regional Drainage &amp; Drainage Entities_x000D_
</t>
  </si>
  <si>
    <t>Consider establishing a single regional drainage entity to manage all aspects of drainage.</t>
  </si>
  <si>
    <t>082000857</t>
  </si>
  <si>
    <t>Project Brazos</t>
  </si>
  <si>
    <t>Stabilization efforts for 11 identified locations along the Brazos River throughout Fort Bend County</t>
  </si>
  <si>
    <t>081000633</t>
  </si>
  <si>
    <t>082000928</t>
  </si>
  <si>
    <t>City of Georgetown Lift Station Floodproofing</t>
  </si>
  <si>
    <t>Flood proof city lift stations and manholes located in the SFHA.</t>
  </si>
  <si>
    <t>120702050502,120702050302,120702050403,120702050106,120702050401,120702050404,120702050501,120702050203,120702050105,120702050303</t>
  </si>
  <si>
    <t>082000933</t>
  </si>
  <si>
    <t>City of Hutto Acquire Flood Prone Land</t>
  </si>
  <si>
    <t>Dedicate acquired, undeveloped land to open space areas to prevent development.</t>
  </si>
  <si>
    <t>1207020504</t>
  </si>
  <si>
    <t>120702050404,120702050405,120702050406</t>
  </si>
  <si>
    <t>08002577</t>
  </si>
  <si>
    <t>Local, TWDB FIF, FEMA HMGP, TWDB CWSRF, FEMA BRIC, FEMA FMA</t>
  </si>
  <si>
    <t>Creation of recreation areas.</t>
  </si>
  <si>
    <t>082000938</t>
  </si>
  <si>
    <t>City of Leander Automated Barriers</t>
  </si>
  <si>
    <t>Install low water crossing automated barriers and warning signs.</t>
  </si>
  <si>
    <t>082001113</t>
  </si>
  <si>
    <t>City of College Station Early Flood Warning System</t>
  </si>
  <si>
    <t>Implement system to monitor flood waters, notify public officials of flooded roadways, and trigger automatic warnings for road users.</t>
  </si>
  <si>
    <t>1207010107,1207010307</t>
  </si>
  <si>
    <t>120701010703,120701010705,120701030704,120701030702,120701030707</t>
  </si>
  <si>
    <t>08003439</t>
  </si>
  <si>
    <t>082001140</t>
  </si>
  <si>
    <t>City of College Station Property Acquisition</t>
  </si>
  <si>
    <t>081000706</t>
  </si>
  <si>
    <t>082001125,082001139</t>
  </si>
  <si>
    <t>ID_with_x</t>
  </si>
  <si>
    <t>ENT_TYPE</t>
  </si>
  <si>
    <t>ENT_NAME</t>
  </si>
  <si>
    <t>Name_w_County</t>
  </si>
  <si>
    <t>00000002</t>
  </si>
  <si>
    <t>County</t>
  </si>
  <si>
    <t>Lavaca</t>
  </si>
  <si>
    <t>00000007</t>
  </si>
  <si>
    <t>Bexar</t>
  </si>
  <si>
    <t>00000008</t>
  </si>
  <si>
    <t>Gonzales</t>
  </si>
  <si>
    <t>00000010</t>
  </si>
  <si>
    <t>00000011</t>
  </si>
  <si>
    <t>Bandera</t>
  </si>
  <si>
    <t>00000014</t>
  </si>
  <si>
    <t>Comal</t>
  </si>
  <si>
    <t>00000015</t>
  </si>
  <si>
    <t>Real</t>
  </si>
  <si>
    <t>00000016</t>
  </si>
  <si>
    <t>Caldwell</t>
  </si>
  <si>
    <t>Kendall</t>
  </si>
  <si>
    <t>00000018</t>
  </si>
  <si>
    <t>Austin</t>
  </si>
  <si>
    <t>00000019</t>
  </si>
  <si>
    <t>Fayette</t>
  </si>
  <si>
    <t>00000021</t>
  </si>
  <si>
    <t>Edwards</t>
  </si>
  <si>
    <t>Edwards County</t>
  </si>
  <si>
    <t>00000022</t>
  </si>
  <si>
    <t>Kerr</t>
  </si>
  <si>
    <t>00000023</t>
  </si>
  <si>
    <t>Val Verde</t>
  </si>
  <si>
    <t>Val Verde County</t>
  </si>
  <si>
    <t>00000026</t>
  </si>
  <si>
    <t>Hays</t>
  </si>
  <si>
    <t>00000028</t>
  </si>
  <si>
    <t>Bastrop</t>
  </si>
  <si>
    <t>00000029</t>
  </si>
  <si>
    <t>Washington</t>
  </si>
  <si>
    <t>00000030</t>
  </si>
  <si>
    <t>Gillespie</t>
  </si>
  <si>
    <t>00000031</t>
  </si>
  <si>
    <t>Blanco</t>
  </si>
  <si>
    <t>00000032</t>
  </si>
  <si>
    <t>Lee</t>
  </si>
  <si>
    <t>00000034</t>
  </si>
  <si>
    <t>Travis</t>
  </si>
  <si>
    <t>00000038</t>
  </si>
  <si>
    <t>Sutton</t>
  </si>
  <si>
    <t>Sutton County</t>
  </si>
  <si>
    <t>00000043</t>
  </si>
  <si>
    <t>00000047</t>
  </si>
  <si>
    <t>00000049</t>
  </si>
  <si>
    <t>Burnet</t>
  </si>
  <si>
    <t>Menard</t>
  </si>
  <si>
    <t>Schleicher County</t>
  </si>
  <si>
    <t>Crockett County</t>
  </si>
  <si>
    <t>00000055</t>
  </si>
  <si>
    <t>00000059</t>
  </si>
  <si>
    <t>Jasper</t>
  </si>
  <si>
    <t>00000061</t>
  </si>
  <si>
    <t>Newton</t>
  </si>
  <si>
    <t>00000064</t>
  </si>
  <si>
    <t>Lampasas</t>
  </si>
  <si>
    <t>00000073</t>
  </si>
  <si>
    <t>Brooks</t>
  </si>
  <si>
    <t>00000074</t>
  </si>
  <si>
    <t>Kenedy</t>
  </si>
  <si>
    <t>00000076</t>
  </si>
  <si>
    <t>Jim Hogg</t>
  </si>
  <si>
    <t>00000082</t>
  </si>
  <si>
    <t>Webb</t>
  </si>
  <si>
    <t>00000084</t>
  </si>
  <si>
    <t>Refugio</t>
  </si>
  <si>
    <t>00000088</t>
  </si>
  <si>
    <t>Calhoun</t>
  </si>
  <si>
    <t>00000090</t>
  </si>
  <si>
    <t>Goliad</t>
  </si>
  <si>
    <t>00000091</t>
  </si>
  <si>
    <t>Maverick</t>
  </si>
  <si>
    <t>00000094</t>
  </si>
  <si>
    <t>Victoria</t>
  </si>
  <si>
    <t>00000099</t>
  </si>
  <si>
    <t>De Witt</t>
  </si>
  <si>
    <t>00000100</t>
  </si>
  <si>
    <t>00000101</t>
  </si>
  <si>
    <t>Kinney</t>
  </si>
  <si>
    <t>Andrews County</t>
  </si>
  <si>
    <t>00000103</t>
  </si>
  <si>
    <t>Hood</t>
  </si>
  <si>
    <t>00000106</t>
  </si>
  <si>
    <t>00000107</t>
  </si>
  <si>
    <t>00000113</t>
  </si>
  <si>
    <t>Stephens</t>
  </si>
  <si>
    <t>Wood</t>
  </si>
  <si>
    <t>00000122</t>
  </si>
  <si>
    <t>Reagan County</t>
  </si>
  <si>
    <t>Upton County</t>
  </si>
  <si>
    <t>00000134</t>
  </si>
  <si>
    <t>Mills</t>
  </si>
  <si>
    <t>00000135</t>
  </si>
  <si>
    <t>00000137</t>
  </si>
  <si>
    <t>Coleman</t>
  </si>
  <si>
    <t>00000146</t>
  </si>
  <si>
    <t>Brown</t>
  </si>
  <si>
    <t>Midland County</t>
  </si>
  <si>
    <t>Ector County</t>
  </si>
  <si>
    <t>00000154</t>
  </si>
  <si>
    <t>Winkler County</t>
  </si>
  <si>
    <t>Winkler</t>
  </si>
  <si>
    <t>00000160</t>
  </si>
  <si>
    <t>Comanche</t>
  </si>
  <si>
    <t>00000164</t>
  </si>
  <si>
    <t>00000166</t>
  </si>
  <si>
    <t>00000167</t>
  </si>
  <si>
    <t>Eastland</t>
  </si>
  <si>
    <t>00000171</t>
  </si>
  <si>
    <t>Panola</t>
  </si>
  <si>
    <t>00000177</t>
  </si>
  <si>
    <t>00000185</t>
  </si>
  <si>
    <t>Young</t>
  </si>
  <si>
    <t>Montague</t>
  </si>
  <si>
    <t>00000194</t>
  </si>
  <si>
    <t>00000200</t>
  </si>
  <si>
    <t>00000219</t>
  </si>
  <si>
    <t>00000220</t>
  </si>
  <si>
    <t>Baylor</t>
  </si>
  <si>
    <t>00000223</t>
  </si>
  <si>
    <t>Archer</t>
  </si>
  <si>
    <t>00000237</t>
  </si>
  <si>
    <t>Swisher</t>
  </si>
  <si>
    <t>00000238</t>
  </si>
  <si>
    <t>00000239</t>
  </si>
  <si>
    <t xml:space="preserve"> Maypearl</t>
  </si>
  <si>
    <t xml:space="preserve"> Midlothian</t>
  </si>
  <si>
    <t xml:space="preserve"> Milford</t>
  </si>
  <si>
    <t xml:space="preserve"> Oak Leaf</t>
  </si>
  <si>
    <t xml:space="preserve"> Ovilla</t>
  </si>
  <si>
    <t xml:space="preserve"> Palmer</t>
  </si>
  <si>
    <t xml:space="preserve"> Red Oak</t>
  </si>
  <si>
    <t xml:space="preserve"> Waxahachie</t>
  </si>
  <si>
    <t>Jack</t>
  </si>
  <si>
    <t>00000254</t>
  </si>
  <si>
    <t>Dimmit</t>
  </si>
  <si>
    <t>00000255</t>
  </si>
  <si>
    <t>Alamo Area Council of Governments</t>
  </si>
  <si>
    <t>Ark-Tex Council of Governments</t>
  </si>
  <si>
    <t>00000257</t>
  </si>
  <si>
    <t>Brazos Valley Council of Governments</t>
  </si>
  <si>
    <t>00000258</t>
  </si>
  <si>
    <t>Capital Area Council of Governments</t>
  </si>
  <si>
    <t>00000259</t>
  </si>
  <si>
    <t>Central Texas Council of Governments</t>
  </si>
  <si>
    <t>00000260</t>
  </si>
  <si>
    <t>Coastal Bend Council of Governments</t>
  </si>
  <si>
    <t>00000261</t>
  </si>
  <si>
    <t>Concho Valley Council of Governments</t>
  </si>
  <si>
    <t>00000262</t>
  </si>
  <si>
    <t>Deep East Texas Council of Governments</t>
  </si>
  <si>
    <t>00000263</t>
  </si>
  <si>
    <t>East Texas Council of Governments</t>
  </si>
  <si>
    <t>00000264</t>
  </si>
  <si>
    <t>Golden Crescent Regional Planning Commission</t>
  </si>
  <si>
    <t>00000265</t>
  </si>
  <si>
    <t>Heart of Texas Council of Governments</t>
  </si>
  <si>
    <t>00000266</t>
  </si>
  <si>
    <t>Houston-Galveston Area Council</t>
  </si>
  <si>
    <t>00000268</t>
  </si>
  <si>
    <t>Middle Rio Grande Development Council</t>
  </si>
  <si>
    <t>00000269</t>
  </si>
  <si>
    <t>Nortex Regional Planning Commission</t>
  </si>
  <si>
    <t>North Central Texas Council of Governments</t>
  </si>
  <si>
    <t>Panhandle Regional Planning Commission</t>
  </si>
  <si>
    <t>00000272</t>
  </si>
  <si>
    <t>Permian Basin Regional Planning Commission</t>
  </si>
  <si>
    <t>00000274</t>
  </si>
  <si>
    <t>South East Texas Regional Planning Commission</t>
  </si>
  <si>
    <t>South Plains Association of Governments</t>
  </si>
  <si>
    <t>00000276</t>
  </si>
  <si>
    <t>South Texas Development Council</t>
  </si>
  <si>
    <t>00000277</t>
  </si>
  <si>
    <t>Texoma Council of Governments</t>
  </si>
  <si>
    <t>00000278</t>
  </si>
  <si>
    <t>West Central Texas Council of Governments</t>
  </si>
  <si>
    <t>00000280</t>
  </si>
  <si>
    <t>River Authority</t>
  </si>
  <si>
    <t>Trinity River Authority of Texas</t>
  </si>
  <si>
    <t>00000281</t>
  </si>
  <si>
    <t>Sulphur River Basin Authority</t>
  </si>
  <si>
    <t>San Antonio River Authority</t>
  </si>
  <si>
    <t>00000284</t>
  </si>
  <si>
    <t>Upper Colorado River Authority</t>
  </si>
  <si>
    <t>00000285</t>
  </si>
  <si>
    <t>Angelina &amp; Neches River Authority</t>
  </si>
  <si>
    <t>00000287</t>
  </si>
  <si>
    <t>San Jacinto River Authority</t>
  </si>
  <si>
    <t>Nueces River Authority</t>
  </si>
  <si>
    <t>00000291</t>
  </si>
  <si>
    <t>Guadalupe-Blanco River Authority</t>
  </si>
  <si>
    <t>Sabine River Authority</t>
  </si>
  <si>
    <t>00000294</t>
  </si>
  <si>
    <t>Red River Authority of Texas</t>
  </si>
  <si>
    <t>00000295</t>
  </si>
  <si>
    <t>Brazos River Authority</t>
  </si>
  <si>
    <t>00000296</t>
  </si>
  <si>
    <t>Upper Neches River Municipal Water Authority</t>
  </si>
  <si>
    <t>00000297</t>
  </si>
  <si>
    <t>Upper Guadalupe River Authority</t>
  </si>
  <si>
    <t>00000299</t>
  </si>
  <si>
    <t>Bexar-Medina-Atascosa Counties WCID 1</t>
  </si>
  <si>
    <t>00000300</t>
  </si>
  <si>
    <t>Gulf Coast Water Authority</t>
  </si>
  <si>
    <t>00000301</t>
  </si>
  <si>
    <t>Central Colorado River Authority</t>
  </si>
  <si>
    <t>00000302</t>
  </si>
  <si>
    <t>Lower Neches Valley Authority</t>
  </si>
  <si>
    <t>00000303</t>
  </si>
  <si>
    <t>Sulphur River Municipal Water District</t>
  </si>
  <si>
    <t>00000304</t>
  </si>
  <si>
    <t>North Texas MWD</t>
  </si>
  <si>
    <t>00000307</t>
  </si>
  <si>
    <t>Lower Colorado River Authority</t>
  </si>
  <si>
    <t>00000308</t>
  </si>
  <si>
    <t>Canadian River Municipal Water Authority</t>
  </si>
  <si>
    <t>Flood District</t>
  </si>
  <si>
    <t>Harris County Flood Control District</t>
  </si>
  <si>
    <t>00000314</t>
  </si>
  <si>
    <t>Victoria County Drainage District 3</t>
  </si>
  <si>
    <t>00000316</t>
  </si>
  <si>
    <t>Bistone Municipal Water Supply District</t>
  </si>
  <si>
    <t>00000338</t>
  </si>
  <si>
    <t>Clear Creek Watershed Authority</t>
  </si>
  <si>
    <t>00000339</t>
  </si>
  <si>
    <t>Bandera County River Authority</t>
  </si>
  <si>
    <t>00000345</t>
  </si>
  <si>
    <t>Farmers Creek Watershed Authority</t>
  </si>
  <si>
    <t>00000369</t>
  </si>
  <si>
    <t>Upper Brushy Creek WCID</t>
  </si>
  <si>
    <t>00000374</t>
  </si>
  <si>
    <t>Panola County FWSD 1</t>
  </si>
  <si>
    <t>00000386</t>
  </si>
  <si>
    <t>Tuscola - Taylor County WCID 1</t>
  </si>
  <si>
    <t>00000389</t>
  </si>
  <si>
    <t>Fort Bend County MUD 134 C</t>
  </si>
  <si>
    <t>00000392</t>
  </si>
  <si>
    <t>Canyon Regional Water Authority</t>
  </si>
  <si>
    <t>00000414</t>
  </si>
  <si>
    <t>Cinco Southwest MUD 3</t>
  </si>
  <si>
    <t>00000426</t>
  </si>
  <si>
    <t>Williamson County Water Sewer Irrigation and Drainage Dist 3</t>
  </si>
  <si>
    <t>00000445</t>
  </si>
  <si>
    <t>Salt Fork Water Quality District</t>
  </si>
  <si>
    <t>00000448</t>
  </si>
  <si>
    <t>Lakeside MUD 5</t>
  </si>
  <si>
    <t>00000474</t>
  </si>
  <si>
    <t>Brookshire Katy Drainage District</t>
  </si>
  <si>
    <t>00000481</t>
  </si>
  <si>
    <t>Cinco Southwest MUD 2</t>
  </si>
  <si>
    <t>00000487</t>
  </si>
  <si>
    <t>West Keegans Bayou Improvement District</t>
  </si>
  <si>
    <t>00000498</t>
  </si>
  <si>
    <t>Quail Valley Utility District</t>
  </si>
  <si>
    <t>00000505</t>
  </si>
  <si>
    <t>Sienna Plantation LID</t>
  </si>
  <si>
    <t>Orange County Drainage District</t>
  </si>
  <si>
    <t>00000519</t>
  </si>
  <si>
    <t>Escondido Watershed District</t>
  </si>
  <si>
    <t>00000526</t>
  </si>
  <si>
    <t>Hondo Creek Watershed Improvement District</t>
  </si>
  <si>
    <t>00000527</t>
  </si>
  <si>
    <t>Chambers County Improvement District 3</t>
  </si>
  <si>
    <t>00000538</t>
  </si>
  <si>
    <t>West Side Calhoun County Navigation District</t>
  </si>
  <si>
    <t>00000548</t>
  </si>
  <si>
    <t>Southeast Texas Agricultural Development District</t>
  </si>
  <si>
    <t>00000552</t>
  </si>
  <si>
    <t>Gulf Coast Waste Disposal Authority</t>
  </si>
  <si>
    <t>00000555</t>
  </si>
  <si>
    <t>Dickens County WCID 1</t>
  </si>
  <si>
    <t>00000577</t>
  </si>
  <si>
    <t>Port Freeport</t>
  </si>
  <si>
    <t>00000578</t>
  </si>
  <si>
    <t>Port of Houston Authority</t>
  </si>
  <si>
    <t>00000580</t>
  </si>
  <si>
    <t>Victoria County Drainage District 2</t>
  </si>
  <si>
    <t>00000582</t>
  </si>
  <si>
    <t>Chambers-Liberty Counties Navigation District</t>
  </si>
  <si>
    <t>00000588</t>
  </si>
  <si>
    <t>Victoria County Navigation District</t>
  </si>
  <si>
    <t>00000597</t>
  </si>
  <si>
    <t>Fort Bend County MUD 21</t>
  </si>
  <si>
    <t>00000614</t>
  </si>
  <si>
    <t>Upper Sabine Valley SWMD</t>
  </si>
  <si>
    <t>00000627</t>
  </si>
  <si>
    <t>Lavon Special Utility District</t>
  </si>
  <si>
    <t>00000632</t>
  </si>
  <si>
    <t>Little Cypress Utility District</t>
  </si>
  <si>
    <t>00000653</t>
  </si>
  <si>
    <t>Brazos Bend Water Authority</t>
  </si>
  <si>
    <t>00000677</t>
  </si>
  <si>
    <t>Waller County MUD 1</t>
  </si>
  <si>
    <t>00000684</t>
  </si>
  <si>
    <t>Upton County Water District</t>
  </si>
  <si>
    <t>00000703</t>
  </si>
  <si>
    <t>Trinity Bay Conservation District</t>
  </si>
  <si>
    <t>00000710</t>
  </si>
  <si>
    <t>Chambers County Improvement District 1</t>
  </si>
  <si>
    <t>00000714</t>
  </si>
  <si>
    <t>Refugio County WCID 2</t>
  </si>
  <si>
    <t>00000720</t>
  </si>
  <si>
    <t>Coastal Water Authority</t>
  </si>
  <si>
    <t>00000758</t>
  </si>
  <si>
    <t>Refugio County Navigation District</t>
  </si>
  <si>
    <t>00000781</t>
  </si>
  <si>
    <t>Ranch at Cypress Creek MUD 1</t>
  </si>
  <si>
    <t>00000821</t>
  </si>
  <si>
    <t>Green Valley SUD</t>
  </si>
  <si>
    <t>00000836</t>
  </si>
  <si>
    <t>Jack County WCID 1</t>
  </si>
  <si>
    <t>00000841</t>
  </si>
  <si>
    <t>Knox County WCID 1</t>
  </si>
  <si>
    <t>00000846</t>
  </si>
  <si>
    <t>Sulphur Springs Water District</t>
  </si>
  <si>
    <t>00000847</t>
  </si>
  <si>
    <t>Houston County WCID 1</t>
  </si>
  <si>
    <t>00000854</t>
  </si>
  <si>
    <t>Aquilla Hackberry Creek CD</t>
  </si>
  <si>
    <t>00000860</t>
  </si>
  <si>
    <t>Fort Bend County WCID 2</t>
  </si>
  <si>
    <t>00000862</t>
  </si>
  <si>
    <t>Sunfield MUD 1</t>
  </si>
  <si>
    <t>00000865</t>
  </si>
  <si>
    <t>Van Zandt County Waste Disposal District</t>
  </si>
  <si>
    <t>00000884</t>
  </si>
  <si>
    <t>Lee-Fayette Counties Cummins Creek WCID 1</t>
  </si>
  <si>
    <t>00000887</t>
  </si>
  <si>
    <t>Brazoria County Drainage District 5</t>
  </si>
  <si>
    <t>00000890</t>
  </si>
  <si>
    <t>Choctaw Watershed WID</t>
  </si>
  <si>
    <t>00000896</t>
  </si>
  <si>
    <t>Johnson County SUD</t>
  </si>
  <si>
    <t>00000915</t>
  </si>
  <si>
    <t>Mauriceville Municipal Utility District</t>
  </si>
  <si>
    <t>00000918</t>
  </si>
  <si>
    <t>Fort Bend County FWSD 2</t>
  </si>
  <si>
    <t>00000919</t>
  </si>
  <si>
    <t>Orange County Navigation and Port District</t>
  </si>
  <si>
    <t>00000922</t>
  </si>
  <si>
    <t>Upper Jasper County Water Authority</t>
  </si>
  <si>
    <t>00000926</t>
  </si>
  <si>
    <t>Palmer Plantation MUD 2</t>
  </si>
  <si>
    <t>00000927</t>
  </si>
  <si>
    <t>Thunderbird Utility District</t>
  </si>
  <si>
    <t>00000936</t>
  </si>
  <si>
    <t>Kendall County WCID 2</t>
  </si>
  <si>
    <t>00000951</t>
  </si>
  <si>
    <t>Maverick County WCID 1</t>
  </si>
  <si>
    <t>00000960</t>
  </si>
  <si>
    <t>Lake Granbury Water Improvement District</t>
  </si>
  <si>
    <t>00000965</t>
  </si>
  <si>
    <t>Wells Branch MUD</t>
  </si>
  <si>
    <t>00000979</t>
  </si>
  <si>
    <t>North Austin MUD 1</t>
  </si>
  <si>
    <t>00000985</t>
  </si>
  <si>
    <t>Williamson-Travis Counties MUD 1</t>
  </si>
  <si>
    <t>00001006</t>
  </si>
  <si>
    <t>Ecleto Creek Watershed District</t>
  </si>
  <si>
    <t>00001008</t>
  </si>
  <si>
    <t>Anderson Mill Limited District</t>
  </si>
  <si>
    <t>00001043</t>
  </si>
  <si>
    <t>Brazoria County FWSD 1</t>
  </si>
  <si>
    <t>00001048</t>
  </si>
  <si>
    <t>East Keechi Creek WCID 1</t>
  </si>
  <si>
    <t>00001060</t>
  </si>
  <si>
    <t>Sunfield MUD 2</t>
  </si>
  <si>
    <t>00001082</t>
  </si>
  <si>
    <t>Shelby County FWSD 1</t>
  </si>
  <si>
    <t>00001104</t>
  </si>
  <si>
    <t>Fort Bend County FWSD 1</t>
  </si>
  <si>
    <t>00001108</t>
  </si>
  <si>
    <t>Franklin County Water District</t>
  </si>
  <si>
    <t>00001133</t>
  </si>
  <si>
    <t>Sunfield MUD 3</t>
  </si>
  <si>
    <t>00001153</t>
  </si>
  <si>
    <t>Fort Bend County LID 12</t>
  </si>
  <si>
    <t>00001176</t>
  </si>
  <si>
    <t>Burney Road MUD</t>
  </si>
  <si>
    <t>00001195</t>
  </si>
  <si>
    <t>Meadowcreek MUD</t>
  </si>
  <si>
    <t>00001210</t>
  </si>
  <si>
    <t>Fort Bend County MUD 23</t>
  </si>
  <si>
    <t>00001213</t>
  </si>
  <si>
    <t>Phelps SUD</t>
  </si>
  <si>
    <t>00001216</t>
  </si>
  <si>
    <t>Bowie Water Supply District</t>
  </si>
  <si>
    <t>00001240</t>
  </si>
  <si>
    <t>Reagan County WSD</t>
  </si>
  <si>
    <t>00001265</t>
  </si>
  <si>
    <t>Rockwall County Consolidated MUD 1</t>
  </si>
  <si>
    <t>00001276</t>
  </si>
  <si>
    <t>North Mission Glen MUD</t>
  </si>
  <si>
    <t>00001281</t>
  </si>
  <si>
    <t>Greater Texoma Utility Authortiy</t>
  </si>
  <si>
    <t>00001302</t>
  </si>
  <si>
    <t>Lakeside MUD 3</t>
  </si>
  <si>
    <t>00001323</t>
  </si>
  <si>
    <t>South Buda WCID 1</t>
  </si>
  <si>
    <t>00001347</t>
  </si>
  <si>
    <t>Rockwall County MUD 9</t>
  </si>
  <si>
    <t>00001348</t>
  </si>
  <si>
    <t>Caddo Basin SUD</t>
  </si>
  <si>
    <t>00001356</t>
  </si>
  <si>
    <t>Anthem MUD</t>
  </si>
  <si>
    <t>00001399</t>
  </si>
  <si>
    <t>Fort Bend County MUD 2</t>
  </si>
  <si>
    <t>00001401</t>
  </si>
  <si>
    <t>Gillespie County WCID 1</t>
  </si>
  <si>
    <t>00001414</t>
  </si>
  <si>
    <t>Grand Mission MUD 2</t>
  </si>
  <si>
    <t>00001446</t>
  </si>
  <si>
    <t>Tarkington SUD</t>
  </si>
  <si>
    <t>00001464</t>
  </si>
  <si>
    <t>Fort Bend County MUD 30</t>
  </si>
  <si>
    <t>00001475</t>
  </si>
  <si>
    <t>Southwest Fannin County SUD</t>
  </si>
  <si>
    <t>00001482</t>
  </si>
  <si>
    <t>Brazoria County Drainage District 8</t>
  </si>
  <si>
    <t>00001485</t>
  </si>
  <si>
    <t>Cibolo Creek Municipal Authority</t>
  </si>
  <si>
    <t>00001514</t>
  </si>
  <si>
    <t>Orange County WCID 1</t>
  </si>
  <si>
    <t>00001558</t>
  </si>
  <si>
    <t>Grand Mission MUD 1</t>
  </si>
  <si>
    <t>00001608</t>
  </si>
  <si>
    <t>Refugio County Drainage District 1</t>
  </si>
  <si>
    <t>00001609</t>
  </si>
  <si>
    <t>Rio Grande Regional Water Authority</t>
  </si>
  <si>
    <t>00001610</t>
  </si>
  <si>
    <t>Cypress Valley Navigation District</t>
  </si>
  <si>
    <t>00001636</t>
  </si>
  <si>
    <t>North Zulch MUD</t>
  </si>
  <si>
    <t>00001648</t>
  </si>
  <si>
    <t>Fort Bend County MUD 45</t>
  </si>
  <si>
    <t>00001672</t>
  </si>
  <si>
    <t>Port O'Connor MUD</t>
  </si>
  <si>
    <t>00001673</t>
  </si>
  <si>
    <t>Calhoun County WCID 1</t>
  </si>
  <si>
    <t>00001702</t>
  </si>
  <si>
    <t>Kings Crossing MUD</t>
  </si>
  <si>
    <t>00001752</t>
  </si>
  <si>
    <t>Fort Bend County MUD 131</t>
  </si>
  <si>
    <t>00001765</t>
  </si>
  <si>
    <t>Baytown Area Water Authority</t>
  </si>
  <si>
    <t>00001801</t>
  </si>
  <si>
    <t>West Brazoria County Drainage District</t>
  </si>
  <si>
    <t>00001824</t>
  </si>
  <si>
    <t>Attoyac Bayou Watershed Authority</t>
  </si>
  <si>
    <t>00001838</t>
  </si>
  <si>
    <t>Fort Bend County MUD 50</t>
  </si>
  <si>
    <t>00001842</t>
  </si>
  <si>
    <t>Fort Bend County MUD 156</t>
  </si>
  <si>
    <t>00001844</t>
  </si>
  <si>
    <t>Fort Bend County MUD 142</t>
  </si>
  <si>
    <t>00001930</t>
  </si>
  <si>
    <t>Fort Bend County MUD 173</t>
  </si>
  <si>
    <t>00001978</t>
  </si>
  <si>
    <t>Fort Bend County MUD 206</t>
  </si>
  <si>
    <t>00001990</t>
  </si>
  <si>
    <t>Lakeside WCID 2-A</t>
  </si>
  <si>
    <t>00002012</t>
  </si>
  <si>
    <t>Fort Bend County MUD 48</t>
  </si>
  <si>
    <t>00002023</t>
  </si>
  <si>
    <t>Kingsbridge MUD</t>
  </si>
  <si>
    <t>00002028</t>
  </si>
  <si>
    <t>Fort Bend County MUD 189</t>
  </si>
  <si>
    <t>00002044</t>
  </si>
  <si>
    <t>Fort Bend County Drainage District</t>
  </si>
  <si>
    <t>00002045</t>
  </si>
  <si>
    <t>Fort Bend County MUD 182</t>
  </si>
  <si>
    <t>00002046</t>
  </si>
  <si>
    <t>North Fort Bend Water Authority</t>
  </si>
  <si>
    <t>00002047</t>
  </si>
  <si>
    <t>Fulshear MUD 3</t>
  </si>
  <si>
    <t>00002089</t>
  </si>
  <si>
    <t>Tryon Road SUD</t>
  </si>
  <si>
    <t>00002121</t>
  </si>
  <si>
    <t>Comal County WCID 6</t>
  </si>
  <si>
    <t>00002127</t>
  </si>
  <si>
    <t>Fort Bend Coutny MUD 133</t>
  </si>
  <si>
    <t>Fort Bend County MUD 133</t>
  </si>
  <si>
    <t>00002185</t>
  </si>
  <si>
    <t>Missouri City Management District 1</t>
  </si>
  <si>
    <t>00002198</t>
  </si>
  <si>
    <t>Brazoria County MUD 70</t>
  </si>
  <si>
    <t>00002213</t>
  </si>
  <si>
    <t>Fort Bend County MUD 141</t>
  </si>
  <si>
    <t>00002222</t>
  </si>
  <si>
    <t>Chambers County MUD 3</t>
  </si>
  <si>
    <t>00002224</t>
  </si>
  <si>
    <t>Waller County MUD 34</t>
  </si>
  <si>
    <t>00002236</t>
  </si>
  <si>
    <t>Liberty County Drainage District</t>
  </si>
  <si>
    <t>00002280</t>
  </si>
  <si>
    <t>Brazoria County MUD 77</t>
  </si>
  <si>
    <t>00002281</t>
  </si>
  <si>
    <t>Cresson Crossroads MUD 2</t>
  </si>
  <si>
    <t>00002294</t>
  </si>
  <si>
    <t>Texas Heritage Parkway ID</t>
  </si>
  <si>
    <t>00002305</t>
  </si>
  <si>
    <t>Brazoria County MD 1</t>
  </si>
  <si>
    <t>Brazoria County MUD 1</t>
  </si>
  <si>
    <t>00002341</t>
  </si>
  <si>
    <t>Waller County WCID 3</t>
  </si>
  <si>
    <t>00002356</t>
  </si>
  <si>
    <t>Chambers County MUD 2</t>
  </si>
  <si>
    <t>00002402</t>
  </si>
  <si>
    <t>Municipality</t>
  </si>
  <si>
    <t>Nordheim</t>
  </si>
  <si>
    <t>00002408</t>
  </si>
  <si>
    <t>Goldthwaite</t>
  </si>
  <si>
    <t>00002427</t>
  </si>
  <si>
    <t>Joshua</t>
  </si>
  <si>
    <t>00002428</t>
  </si>
  <si>
    <t>00002459</t>
  </si>
  <si>
    <t>Farmersville</t>
  </si>
  <si>
    <t>00002464</t>
  </si>
  <si>
    <t>Teague</t>
  </si>
  <si>
    <t>00002484</t>
  </si>
  <si>
    <t>East Mountain</t>
  </si>
  <si>
    <t>00002516</t>
  </si>
  <si>
    <t>Rosenberg</t>
  </si>
  <si>
    <t>Sugar Land</t>
  </si>
  <si>
    <t>00002520</t>
  </si>
  <si>
    <t>Winnsboro</t>
  </si>
  <si>
    <t>00002522</t>
  </si>
  <si>
    <t>Overton</t>
  </si>
  <si>
    <t>00002527</t>
  </si>
  <si>
    <t>Grapeland</t>
  </si>
  <si>
    <t>00002531</t>
  </si>
  <si>
    <t>Dayton</t>
  </si>
  <si>
    <t>Van</t>
  </si>
  <si>
    <t>00002541</t>
  </si>
  <si>
    <t>00002542</t>
  </si>
  <si>
    <t>Vidor</t>
  </si>
  <si>
    <t>00002551</t>
  </si>
  <si>
    <t>Lometa</t>
  </si>
  <si>
    <t>Arcola</t>
  </si>
  <si>
    <t>00002584</t>
  </si>
  <si>
    <t>Huntsville</t>
  </si>
  <si>
    <t>00002590</t>
  </si>
  <si>
    <t>Canton</t>
  </si>
  <si>
    <t>00002614</t>
  </si>
  <si>
    <t>Devers</t>
  </si>
  <si>
    <t>00002615</t>
  </si>
  <si>
    <t>Cibolo</t>
  </si>
  <si>
    <t>00002650</t>
  </si>
  <si>
    <t>Megargel</t>
  </si>
  <si>
    <t>00002655</t>
  </si>
  <si>
    <t>Sealy</t>
  </si>
  <si>
    <t>00002658</t>
  </si>
  <si>
    <t>Wallis</t>
  </si>
  <si>
    <t>00002669</t>
  </si>
  <si>
    <t>Bulverde</t>
  </si>
  <si>
    <t>00002670</t>
  </si>
  <si>
    <t>New Braunfels</t>
  </si>
  <si>
    <t>00002671</t>
  </si>
  <si>
    <t>Schertz</t>
  </si>
  <si>
    <t>00002700</t>
  </si>
  <si>
    <t>00002703</t>
  </si>
  <si>
    <t>Mountain City</t>
  </si>
  <si>
    <t>Clyde</t>
  </si>
  <si>
    <t>00002765</t>
  </si>
  <si>
    <t>Cisco</t>
  </si>
  <si>
    <t>00002789</t>
  </si>
  <si>
    <t>Missouri City</t>
  </si>
  <si>
    <t>00002797</t>
  </si>
  <si>
    <t>St. Jo</t>
  </si>
  <si>
    <t>00002799</t>
  </si>
  <si>
    <t>Buda</t>
  </si>
  <si>
    <t>00002800</t>
  </si>
  <si>
    <t>Kyle</t>
  </si>
  <si>
    <t>00002826</t>
  </si>
  <si>
    <t>Athens</t>
  </si>
  <si>
    <t>00002853</t>
  </si>
  <si>
    <t>00002897</t>
  </si>
  <si>
    <t>New London</t>
  </si>
  <si>
    <t>00002909</t>
  </si>
  <si>
    <t>Normangee</t>
  </si>
  <si>
    <t>00002918</t>
  </si>
  <si>
    <t>Timpson</t>
  </si>
  <si>
    <t>00002919</t>
  </si>
  <si>
    <t>Bridge City</t>
  </si>
  <si>
    <t>00002921</t>
  </si>
  <si>
    <t>Beasley</t>
  </si>
  <si>
    <t>00002923</t>
  </si>
  <si>
    <t>Fulshear</t>
  </si>
  <si>
    <t>00002935</t>
  </si>
  <si>
    <t>Needville</t>
  </si>
  <si>
    <t>00002942</t>
  </si>
  <si>
    <t>Seymour</t>
  </si>
  <si>
    <t>00002946</t>
  </si>
  <si>
    <t>Coolidge</t>
  </si>
  <si>
    <t>00002948</t>
  </si>
  <si>
    <t>Mexia</t>
  </si>
  <si>
    <t>00002973</t>
  </si>
  <si>
    <t>New Berlin</t>
  </si>
  <si>
    <t>00002981</t>
  </si>
  <si>
    <t>Lake Jackson</t>
  </si>
  <si>
    <t>00002984</t>
  </si>
  <si>
    <t>Freeport</t>
  </si>
  <si>
    <t>00003007</t>
  </si>
  <si>
    <t>Campbell</t>
  </si>
  <si>
    <t>Burleson</t>
  </si>
  <si>
    <t>00003012</t>
  </si>
  <si>
    <t>Keene</t>
  </si>
  <si>
    <t>Alvin</t>
  </si>
  <si>
    <t>00003023</t>
  </si>
  <si>
    <t>00003042</t>
  </si>
  <si>
    <t>Longview</t>
  </si>
  <si>
    <t>00003059</t>
  </si>
  <si>
    <t>Carmine</t>
  </si>
  <si>
    <t>00003060</t>
  </si>
  <si>
    <t>Flatonia</t>
  </si>
  <si>
    <t>00003068</t>
  </si>
  <si>
    <t>Leonard</t>
  </si>
  <si>
    <t>Lockney</t>
  </si>
  <si>
    <t>00003107</t>
  </si>
  <si>
    <t>00003143</t>
  </si>
  <si>
    <t>Giddings</t>
  </si>
  <si>
    <t>00003144</t>
  </si>
  <si>
    <t>West Columbia</t>
  </si>
  <si>
    <t>Tom Bean</t>
  </si>
  <si>
    <t>00003156</t>
  </si>
  <si>
    <t>Whitesboro</t>
  </si>
  <si>
    <t>00003173</t>
  </si>
  <si>
    <t>Jewett</t>
  </si>
  <si>
    <t>Hideaway</t>
  </si>
  <si>
    <t>00003183</t>
  </si>
  <si>
    <t>Cresson</t>
  </si>
  <si>
    <t>00003189</t>
  </si>
  <si>
    <t>Creedmoor</t>
  </si>
  <si>
    <t>00003191</t>
  </si>
  <si>
    <t>Round Rock</t>
  </si>
  <si>
    <t>00003202</t>
  </si>
  <si>
    <t>Mustang Ridge</t>
  </si>
  <si>
    <t>00003204</t>
  </si>
  <si>
    <t>Gainesville</t>
  </si>
  <si>
    <t>00003207</t>
  </si>
  <si>
    <t>Trenton</t>
  </si>
  <si>
    <t>00003209</t>
  </si>
  <si>
    <t>Callisburg</t>
  </si>
  <si>
    <t>Whitewright</t>
  </si>
  <si>
    <t>00003235</t>
  </si>
  <si>
    <t>Garden Ridge</t>
  </si>
  <si>
    <t>00003244</t>
  </si>
  <si>
    <t>Howe</t>
  </si>
  <si>
    <t>00003276</t>
  </si>
  <si>
    <t>Santa Clara</t>
  </si>
  <si>
    <t>00003277</t>
  </si>
  <si>
    <t>Victoria ISD</t>
  </si>
  <si>
    <t>00003278</t>
  </si>
  <si>
    <t>Edwards Aquifer Authority</t>
  </si>
  <si>
    <t>00003330</t>
  </si>
  <si>
    <t>00003343</t>
  </si>
  <si>
    <t>Baytown</t>
  </si>
  <si>
    <t>00003344</t>
  </si>
  <si>
    <t>Beach City</t>
  </si>
  <si>
    <t>00003345</t>
  </si>
  <si>
    <t>Texas City</t>
  </si>
  <si>
    <t>Palestine</t>
  </si>
  <si>
    <t>00003369</t>
  </si>
  <si>
    <t>Lindale</t>
  </si>
  <si>
    <t>Tyler</t>
  </si>
  <si>
    <t>00003373</t>
  </si>
  <si>
    <t>00003390</t>
  </si>
  <si>
    <t>Prairie View</t>
  </si>
  <si>
    <t>00003409</t>
  </si>
  <si>
    <t>Sulphur Springs</t>
  </si>
  <si>
    <t>Como</t>
  </si>
  <si>
    <t>Cumby</t>
  </si>
  <si>
    <t>00003454</t>
  </si>
  <si>
    <t>Cedar Park</t>
  </si>
  <si>
    <t>Leander</t>
  </si>
  <si>
    <t>00003458</t>
  </si>
  <si>
    <t>Pflugerville</t>
  </si>
  <si>
    <t>00003513</t>
  </si>
  <si>
    <t>Coldspring</t>
  </si>
  <si>
    <t>00003553</t>
  </si>
  <si>
    <t>Tuscola</t>
  </si>
  <si>
    <t>00003554</t>
  </si>
  <si>
    <t>Marshall</t>
  </si>
  <si>
    <t>00003555</t>
  </si>
  <si>
    <t>Scottsville</t>
  </si>
  <si>
    <t>00003571</t>
  </si>
  <si>
    <t>Anahuac</t>
  </si>
  <si>
    <t>00003573</t>
  </si>
  <si>
    <t>Mont Belvieu</t>
  </si>
  <si>
    <t>00003574</t>
  </si>
  <si>
    <t>Coupland</t>
  </si>
  <si>
    <t>Groveton</t>
  </si>
  <si>
    <t>00003592</t>
  </si>
  <si>
    <t>Rocksprings</t>
  </si>
  <si>
    <t>Texas Parks and Wildlife Department</t>
  </si>
  <si>
    <t>00003596</t>
  </si>
  <si>
    <t>Stafford</t>
  </si>
  <si>
    <t>00004000</t>
  </si>
  <si>
    <t>Southeast Texas Flood Control District</t>
  </si>
  <si>
    <t>00004001</t>
  </si>
  <si>
    <t>Gulf Coast Protection District</t>
  </si>
  <si>
    <t>Coastal Prairie Conservancy</t>
  </si>
  <si>
    <t>00004003</t>
  </si>
  <si>
    <t>Upper Elm-Red SWCD</t>
  </si>
  <si>
    <t>00004004</t>
  </si>
  <si>
    <t>Kaufman-Van Zandt SWCD</t>
  </si>
  <si>
    <t>00004005</t>
  </si>
  <si>
    <t>Jack SWCD</t>
  </si>
  <si>
    <t>00004006</t>
  </si>
  <si>
    <t>Collin County SWCD</t>
  </si>
  <si>
    <t>00004007</t>
  </si>
  <si>
    <t>Upper Sabine SWCD</t>
  </si>
  <si>
    <t>The Nature Conservancy</t>
  </si>
  <si>
    <t>00004009</t>
  </si>
  <si>
    <t>Hale County SWCD</t>
  </si>
  <si>
    <t>00004010</t>
  </si>
  <si>
    <t>Running Water SWCD</t>
  </si>
  <si>
    <t>00004011</t>
  </si>
  <si>
    <t>Parmer SWCD</t>
  </si>
  <si>
    <t>00004012</t>
  </si>
  <si>
    <t>Fannin County SWCD</t>
  </si>
  <si>
    <t>01000196</t>
  </si>
  <si>
    <t>Foard</t>
  </si>
  <si>
    <t>01000198</t>
  </si>
  <si>
    <t>01000203</t>
  </si>
  <si>
    <t>Wilbarger</t>
  </si>
  <si>
    <t>01000227</t>
  </si>
  <si>
    <t>Potter</t>
  </si>
  <si>
    <t>01000228</t>
  </si>
  <si>
    <t>01000234</t>
  </si>
  <si>
    <t>Childress</t>
  </si>
  <si>
    <t>01000235</t>
  </si>
  <si>
    <t>01000240</t>
  </si>
  <si>
    <t>01000243</t>
  </si>
  <si>
    <t>01000246</t>
  </si>
  <si>
    <t>01000252</t>
  </si>
  <si>
    <t>Hansford</t>
  </si>
  <si>
    <t>01000305</t>
  </si>
  <si>
    <t>Mackenzie Municipal Water Authority</t>
  </si>
  <si>
    <t>01000312</t>
  </si>
  <si>
    <t>Palo Duro River Authority</t>
  </si>
  <si>
    <t>01000330</t>
  </si>
  <si>
    <t>Llano Estacado Water District</t>
  </si>
  <si>
    <t>01000342</t>
  </si>
  <si>
    <t>Roberts County FWSD 1</t>
  </si>
  <si>
    <t>01000385</t>
  </si>
  <si>
    <t>Randall County MUD 1</t>
  </si>
  <si>
    <t>01000572</t>
  </si>
  <si>
    <t>Deaf Smith County FWSD 1</t>
  </si>
  <si>
    <t>01000637</t>
  </si>
  <si>
    <t>Wheeler County Water Supply District</t>
  </si>
  <si>
    <t>01000671</t>
  </si>
  <si>
    <t>Potter County FWSD 1</t>
  </si>
  <si>
    <t>01000694</t>
  </si>
  <si>
    <t>Gray County MUD 1</t>
  </si>
  <si>
    <t>01000875</t>
  </si>
  <si>
    <t>Matador Water District</t>
  </si>
  <si>
    <t>01001282</t>
  </si>
  <si>
    <t>Greenbelt Municipal &amp; Industrial Water Authority</t>
  </si>
  <si>
    <t>01001522</t>
  </si>
  <si>
    <t>Archer County MUD 1</t>
  </si>
  <si>
    <t>01001535</t>
  </si>
  <si>
    <t>Wichita County Water Improvement District 2</t>
  </si>
  <si>
    <t>Channing</t>
  </si>
  <si>
    <t>Lakeview</t>
  </si>
  <si>
    <t>01002384</t>
  </si>
  <si>
    <t>Memphis</t>
  </si>
  <si>
    <t>01002391</t>
  </si>
  <si>
    <t>Crowell</t>
  </si>
  <si>
    <t>01002426</t>
  </si>
  <si>
    <t>Pampa</t>
  </si>
  <si>
    <t>Matador</t>
  </si>
  <si>
    <t>01002471</t>
  </si>
  <si>
    <t>Roaring Springs</t>
  </si>
  <si>
    <t>01002481</t>
  </si>
  <si>
    <t>Dalhart</t>
  </si>
  <si>
    <t>01002513</t>
  </si>
  <si>
    <t>01002523</t>
  </si>
  <si>
    <t>Henrietta</t>
  </si>
  <si>
    <t>01002524</t>
  </si>
  <si>
    <t>Petrolia</t>
  </si>
  <si>
    <t>01002529</t>
  </si>
  <si>
    <t>Canadian</t>
  </si>
  <si>
    <t>Bellevue</t>
  </si>
  <si>
    <t>01002548</t>
  </si>
  <si>
    <t>Byers</t>
  </si>
  <si>
    <t>Dean</t>
  </si>
  <si>
    <t>Hedley</t>
  </si>
  <si>
    <t>01002571</t>
  </si>
  <si>
    <t>Clarendon</t>
  </si>
  <si>
    <t>01002579</t>
  </si>
  <si>
    <t>Howardwick</t>
  </si>
  <si>
    <t>01002586</t>
  </si>
  <si>
    <t>Tulia</t>
  </si>
  <si>
    <t>01002587</t>
  </si>
  <si>
    <t>Kress</t>
  </si>
  <si>
    <t>Windthorst</t>
  </si>
  <si>
    <t>01002643</t>
  </si>
  <si>
    <t>Hereford</t>
  </si>
  <si>
    <t>01002651</t>
  </si>
  <si>
    <t>Scotland</t>
  </si>
  <si>
    <t>01002659</t>
  </si>
  <si>
    <t>Lefors</t>
  </si>
  <si>
    <t>Quitaque</t>
  </si>
  <si>
    <t>Silverton</t>
  </si>
  <si>
    <t>01002728</t>
  </si>
  <si>
    <t>Texline</t>
  </si>
  <si>
    <t>01002742</t>
  </si>
  <si>
    <t>Cactus</t>
  </si>
  <si>
    <t>01002743</t>
  </si>
  <si>
    <t>Dumas</t>
  </si>
  <si>
    <t>01002744</t>
  </si>
  <si>
    <t>Sunray</t>
  </si>
  <si>
    <t>01002768</t>
  </si>
  <si>
    <t>Follett</t>
  </si>
  <si>
    <t>01002770</t>
  </si>
  <si>
    <t>Amarillo</t>
  </si>
  <si>
    <t>Stratford</t>
  </si>
  <si>
    <t>Texhoma</t>
  </si>
  <si>
    <t>01002811</t>
  </si>
  <si>
    <t>Borger</t>
  </si>
  <si>
    <t>01002812</t>
  </si>
  <si>
    <t>Fritch</t>
  </si>
  <si>
    <t>Sanford</t>
  </si>
  <si>
    <t>Stinnett</t>
  </si>
  <si>
    <t>Nazareth</t>
  </si>
  <si>
    <t>01002837</t>
  </si>
  <si>
    <t>White Deer</t>
  </si>
  <si>
    <t>Adrian</t>
  </si>
  <si>
    <t>Vega</t>
  </si>
  <si>
    <t>Estelline</t>
  </si>
  <si>
    <t>01002977</t>
  </si>
  <si>
    <t>Burkburnett</t>
  </si>
  <si>
    <t>01003015</t>
  </si>
  <si>
    <t>Friona</t>
  </si>
  <si>
    <t>01003041</t>
  </si>
  <si>
    <t>Happy</t>
  </si>
  <si>
    <t>01003043</t>
  </si>
  <si>
    <t>Nocona</t>
  </si>
  <si>
    <t>01003048</t>
  </si>
  <si>
    <t>Electra</t>
  </si>
  <si>
    <t>01003049</t>
  </si>
  <si>
    <t>Pleasant Valley</t>
  </si>
  <si>
    <t>01003050</t>
  </si>
  <si>
    <t>Iowa Park</t>
  </si>
  <si>
    <t>Skellytown</t>
  </si>
  <si>
    <t>01003057</t>
  </si>
  <si>
    <t>Palisades</t>
  </si>
  <si>
    <t>01003058</t>
  </si>
  <si>
    <t>Timbercreek Canyon</t>
  </si>
  <si>
    <t>01003084</t>
  </si>
  <si>
    <t>Panhandle</t>
  </si>
  <si>
    <t>Miami</t>
  </si>
  <si>
    <t>01003101</t>
  </si>
  <si>
    <t>Bishop Hills</t>
  </si>
  <si>
    <t>McLean</t>
  </si>
  <si>
    <t>01003197</t>
  </si>
  <si>
    <t>Spearman</t>
  </si>
  <si>
    <t>Chillicothe</t>
  </si>
  <si>
    <t>01003227</t>
  </si>
  <si>
    <t>Groom</t>
  </si>
  <si>
    <t>Jolly</t>
  </si>
  <si>
    <t>01003325</t>
  </si>
  <si>
    <t>Vernon</t>
  </si>
  <si>
    <t>01003331</t>
  </si>
  <si>
    <t>Wichita Falls</t>
  </si>
  <si>
    <t>Cashion Community</t>
  </si>
  <si>
    <t>01003335</t>
  </si>
  <si>
    <t>Gruver</t>
  </si>
  <si>
    <t>Mobeetie</t>
  </si>
  <si>
    <t>Dodson</t>
  </si>
  <si>
    <t>01003420</t>
  </si>
  <si>
    <t>Wellington</t>
  </si>
  <si>
    <t>01003426</t>
  </si>
  <si>
    <t>Canyon</t>
  </si>
  <si>
    <t>01003427</t>
  </si>
  <si>
    <t>Lake Tanglewood</t>
  </si>
  <si>
    <t>Claude</t>
  </si>
  <si>
    <t>01003479</t>
  </si>
  <si>
    <t>Archer City</t>
  </si>
  <si>
    <t>01003495</t>
  </si>
  <si>
    <t>Holliday</t>
  </si>
  <si>
    <t>01003496</t>
  </si>
  <si>
    <t>Lakeside City</t>
  </si>
  <si>
    <t>01003497</t>
  </si>
  <si>
    <t>Shamrock</t>
  </si>
  <si>
    <t>01003498</t>
  </si>
  <si>
    <t>01003547</t>
  </si>
  <si>
    <t>Darrouzett</t>
  </si>
  <si>
    <t>01003548</t>
  </si>
  <si>
    <t>Higgins</t>
  </si>
  <si>
    <t>01003562</t>
  </si>
  <si>
    <t>Quanah</t>
  </si>
  <si>
    <t>01003564</t>
  </si>
  <si>
    <t>Paducah</t>
  </si>
  <si>
    <t>01003565</t>
  </si>
  <si>
    <t>Booker</t>
  </si>
  <si>
    <t>01003568</t>
  </si>
  <si>
    <t>Turkey</t>
  </si>
  <si>
    <t>Perryton</t>
  </si>
  <si>
    <t>01003571</t>
  </si>
  <si>
    <t>Gray County SWCD</t>
  </si>
  <si>
    <t>01003572</t>
  </si>
  <si>
    <t>Donley County SWCD</t>
  </si>
  <si>
    <t>01003573</t>
  </si>
  <si>
    <t>Roberts County SWCD</t>
  </si>
  <si>
    <t>01003574</t>
  </si>
  <si>
    <t>Hall Childress SWCD</t>
  </si>
  <si>
    <t>01003576</t>
  </si>
  <si>
    <t>Windthorst WSC</t>
  </si>
  <si>
    <t>02000120</t>
  </si>
  <si>
    <t>02000178</t>
  </si>
  <si>
    <t>02000192</t>
  </si>
  <si>
    <t>02000193</t>
  </si>
  <si>
    <t>02000211</t>
  </si>
  <si>
    <t>02000214</t>
  </si>
  <si>
    <t>02000216</t>
  </si>
  <si>
    <t>02000249</t>
  </si>
  <si>
    <t>02000283</t>
  </si>
  <si>
    <t>Titus County FWSD 1</t>
  </si>
  <si>
    <t>02000309</t>
  </si>
  <si>
    <t>Northeast Texas Municipal Water District</t>
  </si>
  <si>
    <t>02000322</t>
  </si>
  <si>
    <t>Jefferson Water - Sewer Dist</t>
  </si>
  <si>
    <t>02000329</t>
  </si>
  <si>
    <t>Lannius MUD</t>
  </si>
  <si>
    <t>02000351</t>
  </si>
  <si>
    <t>Lake Texoma MUD 1</t>
  </si>
  <si>
    <t>02000364</t>
  </si>
  <si>
    <t>North Hunt SUD</t>
  </si>
  <si>
    <t>02000391</t>
  </si>
  <si>
    <t>Delta County MUD</t>
  </si>
  <si>
    <t>02000471</t>
  </si>
  <si>
    <t>Lamar County WCID 1 - Auds Creek</t>
  </si>
  <si>
    <t>02000509</t>
  </si>
  <si>
    <t>Northwest Grayson County WCID 1</t>
  </si>
  <si>
    <t>02000514</t>
  </si>
  <si>
    <t>Red River County  WCID 1-Langford Creek</t>
  </si>
  <si>
    <t>02000524</t>
  </si>
  <si>
    <t>Fannin County WCID 1</t>
  </si>
  <si>
    <t>02000584</t>
  </si>
  <si>
    <t>Lamar County Water Supply District</t>
  </si>
  <si>
    <t>02000744</t>
  </si>
  <si>
    <t>Bowie County LID 1</t>
  </si>
  <si>
    <t>Lamar County WCID 3 - Pine Creek</t>
  </si>
  <si>
    <t>02001336</t>
  </si>
  <si>
    <t>Browns Ranch MUD 1 of Grayson County</t>
  </si>
  <si>
    <t>02001495</t>
  </si>
  <si>
    <t>Delta County LID 1</t>
  </si>
  <si>
    <t>02001496</t>
  </si>
  <si>
    <t>Lamar County LID 1</t>
  </si>
  <si>
    <t>02001679</t>
  </si>
  <si>
    <t>Commerce Water District</t>
  </si>
  <si>
    <t>02001780</t>
  </si>
  <si>
    <t>Bois DArc MUD</t>
  </si>
  <si>
    <t>02001793</t>
  </si>
  <si>
    <t>Gober MUD</t>
  </si>
  <si>
    <t>02001794</t>
  </si>
  <si>
    <t>Logan Slough Creek Improvement District 2</t>
  </si>
  <si>
    <t>02002034</t>
  </si>
  <si>
    <t>Hopkins County LID 3</t>
  </si>
  <si>
    <t>02002172</t>
  </si>
  <si>
    <t>Macedonia-Eylau MUD 1</t>
  </si>
  <si>
    <t>02002397</t>
  </si>
  <si>
    <t>Maud</t>
  </si>
  <si>
    <t>02002424</t>
  </si>
  <si>
    <t>Texarkana</t>
  </si>
  <si>
    <t>02002482</t>
  </si>
  <si>
    <t>Miller's Cove</t>
  </si>
  <si>
    <t>02002483</t>
  </si>
  <si>
    <t>Mount Pleasant</t>
  </si>
  <si>
    <t>02002485</t>
  </si>
  <si>
    <t>Ravenna</t>
  </si>
  <si>
    <t>02002496</t>
  </si>
  <si>
    <t>Red Lick</t>
  </si>
  <si>
    <t>02002501</t>
  </si>
  <si>
    <t>Paris</t>
  </si>
  <si>
    <t>02002503</t>
  </si>
  <si>
    <t>Rocky Mound</t>
  </si>
  <si>
    <t>02002543</t>
  </si>
  <si>
    <t>Gilmer</t>
  </si>
  <si>
    <t>02002593</t>
  </si>
  <si>
    <t>Deport</t>
  </si>
  <si>
    <t>02002594</t>
  </si>
  <si>
    <t>Annona</t>
  </si>
  <si>
    <t>02002595</t>
  </si>
  <si>
    <t>Avery</t>
  </si>
  <si>
    <t>02002596</t>
  </si>
  <si>
    <t>Bogata</t>
  </si>
  <si>
    <t>02002620</t>
  </si>
  <si>
    <t>Clarksville</t>
  </si>
  <si>
    <t>02002621</t>
  </si>
  <si>
    <t>Detroit</t>
  </si>
  <si>
    <t>02002628</t>
  </si>
  <si>
    <t>Bloomburg</t>
  </si>
  <si>
    <t>02002629</t>
  </si>
  <si>
    <t>Domino</t>
  </si>
  <si>
    <t>02002630</t>
  </si>
  <si>
    <t>Douglassville</t>
  </si>
  <si>
    <t>02002639</t>
  </si>
  <si>
    <t>Naples</t>
  </si>
  <si>
    <t>02002640</t>
  </si>
  <si>
    <t>Omaha</t>
  </si>
  <si>
    <t>02002667</t>
  </si>
  <si>
    <t>Marietta</t>
  </si>
  <si>
    <t>02002699</t>
  </si>
  <si>
    <t>Waskom</t>
  </si>
  <si>
    <t>02002745</t>
  </si>
  <si>
    <t>Reno</t>
  </si>
  <si>
    <t>02002746</t>
  </si>
  <si>
    <t>Blossom</t>
  </si>
  <si>
    <t>02002780</t>
  </si>
  <si>
    <t>Roxton</t>
  </si>
  <si>
    <t>02002781</t>
  </si>
  <si>
    <t>Toco</t>
  </si>
  <si>
    <t>02002940</t>
  </si>
  <si>
    <t>Cooper</t>
  </si>
  <si>
    <t>02002941</t>
  </si>
  <si>
    <t>Pecan Gap</t>
  </si>
  <si>
    <t>02002998</t>
  </si>
  <si>
    <t>Leary</t>
  </si>
  <si>
    <t>02002999</t>
  </si>
  <si>
    <t>Redwater</t>
  </si>
  <si>
    <t>02003063</t>
  </si>
  <si>
    <t>Bonham</t>
  </si>
  <si>
    <t>02003064</t>
  </si>
  <si>
    <t>Dodd City</t>
  </si>
  <si>
    <t>02003065</t>
  </si>
  <si>
    <t>02003066</t>
  </si>
  <si>
    <t>Honey Grove</t>
  </si>
  <si>
    <t>02003067</t>
  </si>
  <si>
    <t>Ladonia</t>
  </si>
  <si>
    <t>02003071</t>
  </si>
  <si>
    <t>02003077</t>
  </si>
  <si>
    <t>Neylandville</t>
  </si>
  <si>
    <t>02003079</t>
  </si>
  <si>
    <t>Wolfe City</t>
  </si>
  <si>
    <t>02003081</t>
  </si>
  <si>
    <t>Atlanta</t>
  </si>
  <si>
    <t>Avinger</t>
  </si>
  <si>
    <t>02003083</t>
  </si>
  <si>
    <t>Hughes Springs</t>
  </si>
  <si>
    <t>02003092</t>
  </si>
  <si>
    <t>Linden</t>
  </si>
  <si>
    <t>02003095</t>
  </si>
  <si>
    <t>Windom</t>
  </si>
  <si>
    <t>02003119</t>
  </si>
  <si>
    <t>Denison</t>
  </si>
  <si>
    <t>02003120</t>
  </si>
  <si>
    <t>Knollwood</t>
  </si>
  <si>
    <t>02003150</t>
  </si>
  <si>
    <t>Pottsboro</t>
  </si>
  <si>
    <t>02003151</t>
  </si>
  <si>
    <t>Sadler</t>
  </si>
  <si>
    <t>02003152</t>
  </si>
  <si>
    <t>Southmayd</t>
  </si>
  <si>
    <t>02003206</t>
  </si>
  <si>
    <t>Savoy</t>
  </si>
  <si>
    <t>02003213</t>
  </si>
  <si>
    <t>Queen City</t>
  </si>
  <si>
    <t>02003216</t>
  </si>
  <si>
    <t>De Kalb</t>
  </si>
  <si>
    <t>02003217</t>
  </si>
  <si>
    <t>Hooks</t>
  </si>
  <si>
    <t>02003218</t>
  </si>
  <si>
    <t>Nash</t>
  </si>
  <si>
    <t>02003219</t>
  </si>
  <si>
    <t>New Boston</t>
  </si>
  <si>
    <t>02003237</t>
  </si>
  <si>
    <t>Wake Village</t>
  </si>
  <si>
    <t>02003240</t>
  </si>
  <si>
    <t>Bells</t>
  </si>
  <si>
    <t>02003347</t>
  </si>
  <si>
    <t>Sun Valley</t>
  </si>
  <si>
    <t>02003408</t>
  </si>
  <si>
    <t>Lone Star</t>
  </si>
  <si>
    <t>02003434</t>
  </si>
  <si>
    <t>Tira</t>
  </si>
  <si>
    <t>02003444</t>
  </si>
  <si>
    <t>Ore City</t>
  </si>
  <si>
    <t>02003462</t>
  </si>
  <si>
    <t>Pittsburg</t>
  </si>
  <si>
    <t>02003478</t>
  </si>
  <si>
    <t>Commerce</t>
  </si>
  <si>
    <t>02003533</t>
  </si>
  <si>
    <t>Talco</t>
  </si>
  <si>
    <t>Winfield</t>
  </si>
  <si>
    <t>02003535</t>
  </si>
  <si>
    <t>02003543</t>
  </si>
  <si>
    <t>Mount Vernon</t>
  </si>
  <si>
    <t>02003549</t>
  </si>
  <si>
    <t>Daingerfield</t>
  </si>
  <si>
    <t>02003556</t>
  </si>
  <si>
    <t>Uncertain</t>
  </si>
  <si>
    <t>02003557</t>
  </si>
  <si>
    <t>Diana Special Utility District</t>
  </si>
  <si>
    <t>03000000</t>
  </si>
  <si>
    <t>Trinity Flood Planning Region</t>
  </si>
  <si>
    <t>03000105</t>
  </si>
  <si>
    <t>03000208</t>
  </si>
  <si>
    <t>03000286</t>
  </si>
  <si>
    <t>Tarrant Regional Water District</t>
  </si>
  <si>
    <t>03000289</t>
  </si>
  <si>
    <t>Dallas County Utility &amp; Reclamation District</t>
  </si>
  <si>
    <t>03000311</t>
  </si>
  <si>
    <t>Las Lomas MUD 3</t>
  </si>
  <si>
    <t>03000315</t>
  </si>
  <si>
    <t>West Cedar Creek MUD</t>
  </si>
  <si>
    <t>03000323</t>
  </si>
  <si>
    <t>Johnson County FWSD 2</t>
  </si>
  <si>
    <t>03000324</t>
  </si>
  <si>
    <t>The Lakes FWSD of Denton County</t>
  </si>
  <si>
    <t>03000343</t>
  </si>
  <si>
    <t>Rolling V Ranch WCID 1 of Wise County</t>
  </si>
  <si>
    <t>03000352</t>
  </si>
  <si>
    <t>Prosper Management District 1</t>
  </si>
  <si>
    <t>03000356</t>
  </si>
  <si>
    <t>Kaufman County Parks Improvement District</t>
  </si>
  <si>
    <t>03000382</t>
  </si>
  <si>
    <t>Kaufman County LID 1</t>
  </si>
  <si>
    <t>03000400</t>
  </si>
  <si>
    <t>Irving Flood Control District Section 1</t>
  </si>
  <si>
    <t>03000401</t>
  </si>
  <si>
    <t>Irving Flood Control District Section 3</t>
  </si>
  <si>
    <t>03000402</t>
  </si>
  <si>
    <t>Liberty County WCID 5</t>
  </si>
  <si>
    <t>03000403</t>
  </si>
  <si>
    <t>Raywood Drainage District 2</t>
  </si>
  <si>
    <t>03000406</t>
  </si>
  <si>
    <t>Muenster Water District</t>
  </si>
  <si>
    <t>03000431</t>
  </si>
  <si>
    <t>Burns Branch MUD 1</t>
  </si>
  <si>
    <t>03000437</t>
  </si>
  <si>
    <t>Van Alstyne MUD 2 of Collin County</t>
  </si>
  <si>
    <t>03000439</t>
  </si>
  <si>
    <t>New Park MMD</t>
  </si>
  <si>
    <t>03000455</t>
  </si>
  <si>
    <t>Valwood Improvement Authority</t>
  </si>
  <si>
    <t>03000466</t>
  </si>
  <si>
    <t>Valencia on the Lake WCID</t>
  </si>
  <si>
    <t>03000473</t>
  </si>
  <si>
    <t>Ellis County LID 4</t>
  </si>
  <si>
    <t>03000477</t>
  </si>
  <si>
    <t>Denton County LID 1</t>
  </si>
  <si>
    <t>03000484</t>
  </si>
  <si>
    <t>Alpha Ranch WCID</t>
  </si>
  <si>
    <t>03000485</t>
  </si>
  <si>
    <t>Kaufman County MUD 5</t>
  </si>
  <si>
    <t>03000486</t>
  </si>
  <si>
    <t>Kaufman County MUD 6</t>
  </si>
  <si>
    <t>03000493</t>
  </si>
  <si>
    <t>Circle T MUD 2</t>
  </si>
  <si>
    <t>03000507</t>
  </si>
  <si>
    <t>Frisco Square Management District</t>
  </si>
  <si>
    <t>03000508</t>
  </si>
  <si>
    <t>Denton County MUD 6</t>
  </si>
  <si>
    <t>03000521</t>
  </si>
  <si>
    <t>Polk County FWSD 2</t>
  </si>
  <si>
    <t>03000531</t>
  </si>
  <si>
    <t>Live Oak Creek MUD 1 of Tarrant County</t>
  </si>
  <si>
    <t>03000533</t>
  </si>
  <si>
    <t>Northwest Dallas County FCD</t>
  </si>
  <si>
    <t>03000554</t>
  </si>
  <si>
    <t>Ellis County FWSD 3</t>
  </si>
  <si>
    <t>03000573</t>
  </si>
  <si>
    <t>Four Seasons Ranch MUD 1</t>
  </si>
  <si>
    <t>03000603</t>
  </si>
  <si>
    <t>Ellis County LID 3</t>
  </si>
  <si>
    <t>03000605</t>
  </si>
  <si>
    <t>Ellis County FWSD 2</t>
  </si>
  <si>
    <t>03000613</t>
  </si>
  <si>
    <t>Van Alstyne MUD 1 of Grayson County</t>
  </si>
  <si>
    <t>03000615</t>
  </si>
  <si>
    <t>Twin Lakes MUD 1 of Kaufman County</t>
  </si>
  <si>
    <t>03000624</t>
  </si>
  <si>
    <t>Canyon Falls MUD 1</t>
  </si>
  <si>
    <t>03000635</t>
  </si>
  <si>
    <t>Navarro County LID 11</t>
  </si>
  <si>
    <t>03000636</t>
  </si>
  <si>
    <t>Preston Summit MUD 1</t>
  </si>
  <si>
    <t>03000641</t>
  </si>
  <si>
    <t>Gunter MUD 1</t>
  </si>
  <si>
    <t>03000642</t>
  </si>
  <si>
    <t>Gunter MUD 2</t>
  </si>
  <si>
    <t>03000646</t>
  </si>
  <si>
    <t>Tradition MUD 2 of Denton County</t>
  </si>
  <si>
    <t>03000647</t>
  </si>
  <si>
    <t>Triple Creek Municipal Management District</t>
  </si>
  <si>
    <t>03000660</t>
  </si>
  <si>
    <t>Fairfields MUD</t>
  </si>
  <si>
    <t>03000661</t>
  </si>
  <si>
    <t>Henderson County LID 1</t>
  </si>
  <si>
    <t>03000670</t>
  </si>
  <si>
    <t>Navarro County LID 10</t>
  </si>
  <si>
    <t>03000681</t>
  </si>
  <si>
    <t>Morningstar Ranch MUD 1 of Parker County</t>
  </si>
  <si>
    <t>03000682</t>
  </si>
  <si>
    <t>Belmont FWSD 1 of Denton County</t>
  </si>
  <si>
    <t>03000683</t>
  </si>
  <si>
    <t>Tradition MUD 1 of Denton County</t>
  </si>
  <si>
    <t>03000686</t>
  </si>
  <si>
    <t>Lake Weatherford MUD 1</t>
  </si>
  <si>
    <t>03000687</t>
  </si>
  <si>
    <t>Lake Weatherford MUD 2</t>
  </si>
  <si>
    <t>03000700</t>
  </si>
  <si>
    <t>Lakeside Utillity &amp; Reclamation District</t>
  </si>
  <si>
    <t>03000706</t>
  </si>
  <si>
    <t>Viridian Municipal Management District</t>
  </si>
  <si>
    <t>03000719</t>
  </si>
  <si>
    <t>Kaufman County FWSD 1D</t>
  </si>
  <si>
    <t>03000730</t>
  </si>
  <si>
    <t>Circle T MUD 1</t>
  </si>
  <si>
    <t>03000732</t>
  </si>
  <si>
    <t>Dallas County Improvement District</t>
  </si>
  <si>
    <t>03000733</t>
  </si>
  <si>
    <t>Northlake MMD 1</t>
  </si>
  <si>
    <t>03000737</t>
  </si>
  <si>
    <t>Denton County MUD 7</t>
  </si>
  <si>
    <t>03000738</t>
  </si>
  <si>
    <t>Double Platinum Ranch WCID 1 of Grasyon County</t>
  </si>
  <si>
    <t>03000740</t>
  </si>
  <si>
    <t>Ellis County FWSD 1</t>
  </si>
  <si>
    <t>03000743</t>
  </si>
  <si>
    <t>Polo Ridge FWSD</t>
  </si>
  <si>
    <t>03000755</t>
  </si>
  <si>
    <t>North Oak Cliff Municipal Management District</t>
  </si>
  <si>
    <t>03000771</t>
  </si>
  <si>
    <t>Great Southwest Improvement District</t>
  </si>
  <si>
    <t>03000778</t>
  </si>
  <si>
    <t>Denton County FWSD 7</t>
  </si>
  <si>
    <t>03000789</t>
  </si>
  <si>
    <t>Liberty County MUD 5</t>
  </si>
  <si>
    <t>03000799</t>
  </si>
  <si>
    <t>East Cedar Creek FWSD</t>
  </si>
  <si>
    <t>03000831</t>
  </si>
  <si>
    <t>Lake Kiowa SUD</t>
  </si>
  <si>
    <t>03000837</t>
  </si>
  <si>
    <t>Sangani Ranch MUD 1</t>
  </si>
  <si>
    <t>03000838</t>
  </si>
  <si>
    <t>Kimberlin Ranch MUD 1</t>
  </si>
  <si>
    <t>03000871</t>
  </si>
  <si>
    <t>Somerset MUD 2</t>
  </si>
  <si>
    <t>03000872</t>
  </si>
  <si>
    <t>Somerset MUD 1</t>
  </si>
  <si>
    <t>03000877</t>
  </si>
  <si>
    <t>Kimberlin Ranch MUD 3</t>
  </si>
  <si>
    <t>03000878</t>
  </si>
  <si>
    <t>Kimberlin Ranch MUD 2</t>
  </si>
  <si>
    <t>03000879</t>
  </si>
  <si>
    <t>Collin County MUD 1</t>
  </si>
  <si>
    <t>03000880</t>
  </si>
  <si>
    <t>Kaufman County FWSD 2</t>
  </si>
  <si>
    <t>03000904</t>
  </si>
  <si>
    <t>Benbrook Water Authority</t>
  </si>
  <si>
    <t>03000911</t>
  </si>
  <si>
    <t>Henderson County LID 3</t>
  </si>
  <si>
    <t>03000912</t>
  </si>
  <si>
    <t>Upper Trinity Regional Water District</t>
  </si>
  <si>
    <t>03000973</t>
  </si>
  <si>
    <t>Cape Royale Utility District</t>
  </si>
  <si>
    <t>03000984</t>
  </si>
  <si>
    <t>Lake Cities Municipal Utility Authority</t>
  </si>
  <si>
    <t>03000993</t>
  </si>
  <si>
    <t>Arlington Entertainment Area Management District</t>
  </si>
  <si>
    <t>03000994</t>
  </si>
  <si>
    <t>Tarrant County FWSD 1</t>
  </si>
  <si>
    <t>03000995</t>
  </si>
  <si>
    <t>Circle T MUD 3</t>
  </si>
  <si>
    <t>03001035</t>
  </si>
  <si>
    <t>Kaufman County MUD 3</t>
  </si>
  <si>
    <t>03001050</t>
  </si>
  <si>
    <t>Trophy Club MUD 1</t>
  </si>
  <si>
    <t>03001058</t>
  </si>
  <si>
    <t>Memorial Point Utility District</t>
  </si>
  <si>
    <t>03001059</t>
  </si>
  <si>
    <t>Walnut Creek SUD</t>
  </si>
  <si>
    <t>03001077</t>
  </si>
  <si>
    <t>Oak Point WCID 2</t>
  </si>
  <si>
    <t>03001080</t>
  </si>
  <si>
    <t>Morningstar Ranch MUD 2 of Parker County</t>
  </si>
  <si>
    <t>03001103</t>
  </si>
  <si>
    <t>East Fork SUD</t>
  </si>
  <si>
    <t>03001141</t>
  </si>
  <si>
    <t>Lancaster MUD 1</t>
  </si>
  <si>
    <t>03001163</t>
  </si>
  <si>
    <t>Las Lomas MUD 1</t>
  </si>
  <si>
    <t>03001164</t>
  </si>
  <si>
    <t>Las Lomas MUD 2</t>
  </si>
  <si>
    <t>03001174</t>
  </si>
  <si>
    <t>Rockwall County WCID 2</t>
  </si>
  <si>
    <t>03001179</t>
  </si>
  <si>
    <t>Liberty County WCID 1</t>
  </si>
  <si>
    <t>03001188</t>
  </si>
  <si>
    <t>Rockwall County WCID 1</t>
  </si>
  <si>
    <t>03001189</t>
  </si>
  <si>
    <t>Buena Vista-Bethel SUD</t>
  </si>
  <si>
    <t>03001219</t>
  </si>
  <si>
    <t>Denton County FWSD 1-H</t>
  </si>
  <si>
    <t>03001220</t>
  </si>
  <si>
    <t>Denton County FWSD 1-F</t>
  </si>
  <si>
    <t>03001233</t>
  </si>
  <si>
    <t>Ellis County WCID 1</t>
  </si>
  <si>
    <t>03001238</t>
  </si>
  <si>
    <t>Denton County FWSD 8-B</t>
  </si>
  <si>
    <t>03001244</t>
  </si>
  <si>
    <t>Westwood Shores MUD</t>
  </si>
  <si>
    <t>03001245</t>
  </si>
  <si>
    <t>Kaufman County FWSD 4A</t>
  </si>
  <si>
    <t>03001253</t>
  </si>
  <si>
    <t>East Fork FWSD 1</t>
  </si>
  <si>
    <t>03001258</t>
  </si>
  <si>
    <t>Falcons Lair Utility &amp; Reclamation District</t>
  </si>
  <si>
    <t>03001288</t>
  </si>
  <si>
    <t>Denton County FWSD 2-C</t>
  </si>
  <si>
    <t>03001289</t>
  </si>
  <si>
    <t>Meadow Road Improvement District</t>
  </si>
  <si>
    <t>03001295</t>
  </si>
  <si>
    <t>Kaufman County FWSD 1C</t>
  </si>
  <si>
    <t>03001296</t>
  </si>
  <si>
    <t>Kaufman County FWSD 1B</t>
  </si>
  <si>
    <t>03001303</t>
  </si>
  <si>
    <t>Kaufman County WCID 1</t>
  </si>
  <si>
    <t>03001304</t>
  </si>
  <si>
    <t>Kaufman County MUD 14</t>
  </si>
  <si>
    <t>03001322</t>
  </si>
  <si>
    <t>Waterwood MUD 1</t>
  </si>
  <si>
    <t>03001346</t>
  </si>
  <si>
    <t>Rockwall County MUD 8</t>
  </si>
  <si>
    <t>03001364</t>
  </si>
  <si>
    <t>Liberty County WCID 6</t>
  </si>
  <si>
    <t>03001379</t>
  </si>
  <si>
    <t>Bethany SUD</t>
  </si>
  <si>
    <t>03001384</t>
  </si>
  <si>
    <t>Kaufman County MUD 4</t>
  </si>
  <si>
    <t>03001385</t>
  </si>
  <si>
    <t>Kaufman County MUD 2</t>
  </si>
  <si>
    <t>03001418</t>
  </si>
  <si>
    <t>Denton County MUD 8</t>
  </si>
  <si>
    <t>03001447</t>
  </si>
  <si>
    <t>Kaufman County FWSD 5</t>
  </si>
  <si>
    <t>03001449</t>
  </si>
  <si>
    <t>Kaufman County FWSD 6</t>
  </si>
  <si>
    <t>03001476</t>
  </si>
  <si>
    <t>Parker County FWSD 1</t>
  </si>
  <si>
    <t>03001489</t>
  </si>
  <si>
    <t>Denton County FWSD 11-B</t>
  </si>
  <si>
    <t>03001490</t>
  </si>
  <si>
    <t>Denton County FWSD 11-C</t>
  </si>
  <si>
    <t>03001491</t>
  </si>
  <si>
    <t>Denton County FWSD 10</t>
  </si>
  <si>
    <t>03001492</t>
  </si>
  <si>
    <t>Denton County FWSD 11-A</t>
  </si>
  <si>
    <t>03001493</t>
  </si>
  <si>
    <t>Denton County FWSD 8-A</t>
  </si>
  <si>
    <t>03001510</t>
  </si>
  <si>
    <t>Wise County WSD</t>
  </si>
  <si>
    <t>03001511</t>
  </si>
  <si>
    <t>Rockett SUD</t>
  </si>
  <si>
    <t>03001512</t>
  </si>
  <si>
    <t>Mountain Peak SUD</t>
  </si>
  <si>
    <t>03001532</t>
  </si>
  <si>
    <t>Old River Drainage District 1-Liberty County</t>
  </si>
  <si>
    <t>03001536</t>
  </si>
  <si>
    <t>Kaufman County LID 4</t>
  </si>
  <si>
    <t>03001539</t>
  </si>
  <si>
    <t>Providence Village WCID of Denton County</t>
  </si>
  <si>
    <t>03001541</t>
  </si>
  <si>
    <t>Denton County MUD 5</t>
  </si>
  <si>
    <t>03001546</t>
  </si>
  <si>
    <t>Kaufman County FWSD 4B</t>
  </si>
  <si>
    <t>03001599</t>
  </si>
  <si>
    <t>Kaufman County MUD 7</t>
  </si>
  <si>
    <t>03001600</t>
  </si>
  <si>
    <t>Kaufman County MUD 9</t>
  </si>
  <si>
    <t>03001601</t>
  </si>
  <si>
    <t>Kaufman County MUD 10</t>
  </si>
  <si>
    <t>03001602</t>
  </si>
  <si>
    <t>Kaufman County MUD 11</t>
  </si>
  <si>
    <t>03001603</t>
  </si>
  <si>
    <t>Kaufman County MUD 12</t>
  </si>
  <si>
    <t>03001620</t>
  </si>
  <si>
    <t>Dallas County Park Cities MUD</t>
  </si>
  <si>
    <t>03001649</t>
  </si>
  <si>
    <t>Denton County Road Utility District 1</t>
  </si>
  <si>
    <t>03001667</t>
  </si>
  <si>
    <t>Grand Prairie Metropolitan Utility &amp; Reclamation District</t>
  </si>
  <si>
    <t>03001671</t>
  </si>
  <si>
    <t>Seis Lagos Utility District</t>
  </si>
  <si>
    <t>03001686</t>
  </si>
  <si>
    <t>Belmont FWSD 2 of Denton County</t>
  </si>
  <si>
    <t>03001695</t>
  </si>
  <si>
    <t>Denton County FWSD 4-A</t>
  </si>
  <si>
    <t>03001696</t>
  </si>
  <si>
    <t>Denton County FWSD 2-A</t>
  </si>
  <si>
    <t>03001697</t>
  </si>
  <si>
    <t>Denton County FWSD 6</t>
  </si>
  <si>
    <t>03001755</t>
  </si>
  <si>
    <t>Oak Point WCID 3</t>
  </si>
  <si>
    <t>03001756</t>
  </si>
  <si>
    <t>Oak Point WCID 4</t>
  </si>
  <si>
    <t>03001759</t>
  </si>
  <si>
    <t>North Fort Worth WCID 1</t>
  </si>
  <si>
    <t>03001772</t>
  </si>
  <si>
    <t>Rockwall County Consolidated MUD 2</t>
  </si>
  <si>
    <t>03001774</t>
  </si>
  <si>
    <t>Oak Point WCID 1</t>
  </si>
  <si>
    <t>03001802</t>
  </si>
  <si>
    <t>Denton County FWSD 3</t>
  </si>
  <si>
    <t>03001825</t>
  </si>
  <si>
    <t>Dallas County LID14</t>
  </si>
  <si>
    <t>03001826</t>
  </si>
  <si>
    <t>Denton County Development District 4</t>
  </si>
  <si>
    <t>03001827</t>
  </si>
  <si>
    <t>Ellis County Drainage District 1</t>
  </si>
  <si>
    <t>03001832</t>
  </si>
  <si>
    <t>McKinney MUD 2 of Collin County</t>
  </si>
  <si>
    <t>03001836</t>
  </si>
  <si>
    <t>Denton County MUD 10</t>
  </si>
  <si>
    <t>03001862</t>
  </si>
  <si>
    <t>River Ranch ID</t>
  </si>
  <si>
    <t>03001863</t>
  </si>
  <si>
    <t>Riverside MUD</t>
  </si>
  <si>
    <t>03001874</t>
  </si>
  <si>
    <t>Howe MUD 1</t>
  </si>
  <si>
    <t>03001875</t>
  </si>
  <si>
    <t>Grayson County MUD 2</t>
  </si>
  <si>
    <t>03001887</t>
  </si>
  <si>
    <t>Canyon Falls WCID 2</t>
  </si>
  <si>
    <t>03001907</t>
  </si>
  <si>
    <t>River Ranch MUD 1</t>
  </si>
  <si>
    <t>03001908</t>
  </si>
  <si>
    <t>River Ranch MUD 2</t>
  </si>
  <si>
    <t>03001909</t>
  </si>
  <si>
    <t>River Ranch MUD 3</t>
  </si>
  <si>
    <t>03001910</t>
  </si>
  <si>
    <t>River Ranch MUD 4</t>
  </si>
  <si>
    <t>03001916</t>
  </si>
  <si>
    <t>Denton County FWSD 1-A</t>
  </si>
  <si>
    <t>03001929</t>
  </si>
  <si>
    <t>Collin County MUD 2</t>
  </si>
  <si>
    <t>03001938</t>
  </si>
  <si>
    <t>River Ranch MUD 10</t>
  </si>
  <si>
    <t>03001943</t>
  </si>
  <si>
    <t>Mesquite Medical Center Management District</t>
  </si>
  <si>
    <t>03001945</t>
  </si>
  <si>
    <t>River Ranch MUD 11</t>
  </si>
  <si>
    <t>03001948</t>
  </si>
  <si>
    <t>River Ranch MUD 12</t>
  </si>
  <si>
    <t>03001950</t>
  </si>
  <si>
    <t>River Ranch MUD 5</t>
  </si>
  <si>
    <t>03001951</t>
  </si>
  <si>
    <t>River Ranch MUD 6</t>
  </si>
  <si>
    <t>03001952</t>
  </si>
  <si>
    <t>River Ranch MUD 7</t>
  </si>
  <si>
    <t>03001953</t>
  </si>
  <si>
    <t>River Ranch MUD 8</t>
  </si>
  <si>
    <t>03001954</t>
  </si>
  <si>
    <t>River Ranch MUD 9</t>
  </si>
  <si>
    <t>03001961</t>
  </si>
  <si>
    <t>South Denton County WCID 1</t>
  </si>
  <si>
    <t>03001976</t>
  </si>
  <si>
    <t>Platinum Ranch MUD 1A</t>
  </si>
  <si>
    <t>03001977</t>
  </si>
  <si>
    <t>Platinum Ranch MUD 1B</t>
  </si>
  <si>
    <t>03001986</t>
  </si>
  <si>
    <t>Kaufman County FWSD 1E</t>
  </si>
  <si>
    <t>03001987</t>
  </si>
  <si>
    <t>Walden Pond WCID</t>
  </si>
  <si>
    <t>03001992</t>
  </si>
  <si>
    <t>Denton County FWSD 1-E</t>
  </si>
  <si>
    <t>03001993</t>
  </si>
  <si>
    <t>Denton County FWSD 1-B</t>
  </si>
  <si>
    <t>03002001</t>
  </si>
  <si>
    <t>Denton County FWSD 1-G</t>
  </si>
  <si>
    <t>03002017</t>
  </si>
  <si>
    <t>Lazy W District 1</t>
  </si>
  <si>
    <t>03002018</t>
  </si>
  <si>
    <t>Wilmer MUD 1</t>
  </si>
  <si>
    <t>03002024</t>
  </si>
  <si>
    <t>Celina MMD 3</t>
  </si>
  <si>
    <t>03002031</t>
  </si>
  <si>
    <t>Talley Ranch WCID 1 of Denton County</t>
  </si>
  <si>
    <t>03002032</t>
  </si>
  <si>
    <t>Ellis County MUD 1</t>
  </si>
  <si>
    <t>03002040</t>
  </si>
  <si>
    <t>Collin County WCID 3</t>
  </si>
  <si>
    <t>03002041</t>
  </si>
  <si>
    <t>Lakehaven MUD</t>
  </si>
  <si>
    <t>03002086</t>
  </si>
  <si>
    <t>Mobberly MUD</t>
  </si>
  <si>
    <t>03002092</t>
  </si>
  <si>
    <t>Las Lomas MUD 4A of Kaufman County</t>
  </si>
  <si>
    <t>03002093</t>
  </si>
  <si>
    <t>Las Lomas MUD 4B of Kaufman County</t>
  </si>
  <si>
    <t>03002094</t>
  </si>
  <si>
    <t>Las Lomas MUD 4C of Kaufman County</t>
  </si>
  <si>
    <t>03002097</t>
  </si>
  <si>
    <t>Highway 380 MMD 1</t>
  </si>
  <si>
    <t>03002103</t>
  </si>
  <si>
    <t>McKinney MUD 1 of Collin County</t>
  </si>
  <si>
    <t>03002111</t>
  </si>
  <si>
    <t>Dallas County FCD 1</t>
  </si>
  <si>
    <t>03002116</t>
  </si>
  <si>
    <t>Frisco West WCID</t>
  </si>
  <si>
    <t>03002135</t>
  </si>
  <si>
    <t>River Ranch MUD 13</t>
  </si>
  <si>
    <t>03002136</t>
  </si>
  <si>
    <t>River Ranch MUD 15</t>
  </si>
  <si>
    <t>03002137</t>
  </si>
  <si>
    <t>River Ranch MUD 14</t>
  </si>
  <si>
    <t>03002141</t>
  </si>
  <si>
    <t>Kaufman County FWSD 1F</t>
  </si>
  <si>
    <t>03002153</t>
  </si>
  <si>
    <t>Lake View Management and Development District</t>
  </si>
  <si>
    <t>03002164</t>
  </si>
  <si>
    <t>Denton County Reclamation &amp; Road District</t>
  </si>
  <si>
    <t>03002178</t>
  </si>
  <si>
    <t>Far North Fort Worth MUD 1</t>
  </si>
  <si>
    <t>03002191</t>
  </si>
  <si>
    <t>Smiley Road WCID 2</t>
  </si>
  <si>
    <t>03002192</t>
  </si>
  <si>
    <t>Smiley Road WCID 1</t>
  </si>
  <si>
    <t>03002200</t>
  </si>
  <si>
    <t>Celina MMD 2</t>
  </si>
  <si>
    <t>03002201</t>
  </si>
  <si>
    <t>New Fairview MUD 1</t>
  </si>
  <si>
    <t>03002202</t>
  </si>
  <si>
    <t>Windsor Hills MMD 1</t>
  </si>
  <si>
    <t>03002211</t>
  </si>
  <si>
    <t>Kaufman County FWSD 7</t>
  </si>
  <si>
    <t>03002216</t>
  </si>
  <si>
    <t>Hunter Ranch Improvement District 1</t>
  </si>
  <si>
    <t>03002218</t>
  </si>
  <si>
    <t>Denton County MUD 4</t>
  </si>
  <si>
    <t>03002220</t>
  </si>
  <si>
    <t>Denton County Fresh Water Supply District 12</t>
  </si>
  <si>
    <t>03002234</t>
  </si>
  <si>
    <t>Denton County FWSD 1-C</t>
  </si>
  <si>
    <t>03002235</t>
  </si>
  <si>
    <t>Denton County FWSD 1-D</t>
  </si>
  <si>
    <t>03002255</t>
  </si>
  <si>
    <t>Grayson County MUD 3</t>
  </si>
  <si>
    <t>03002263</t>
  </si>
  <si>
    <t>Prairie Ridge MMD 1</t>
  </si>
  <si>
    <t>03002264</t>
  </si>
  <si>
    <t>Midlothian MMD 3</t>
  </si>
  <si>
    <t>03002268</t>
  </si>
  <si>
    <t>Wise County MUD 4</t>
  </si>
  <si>
    <t>03002270</t>
  </si>
  <si>
    <t>SoGood Cedars MMD</t>
  </si>
  <si>
    <t>03002277</t>
  </si>
  <si>
    <t>North Celina MMD 3</t>
  </si>
  <si>
    <t>03002283</t>
  </si>
  <si>
    <t>Big Sky MUD</t>
  </si>
  <si>
    <t>03002306</t>
  </si>
  <si>
    <t>Denton County MUD 9</t>
  </si>
  <si>
    <t>03002311</t>
  </si>
  <si>
    <t>University Hills MMD</t>
  </si>
  <si>
    <t>03002329</t>
  </si>
  <si>
    <t>Bear Creek Ranch MUD 1</t>
  </si>
  <si>
    <t>03002334</t>
  </si>
  <si>
    <t>Kaufman County FWSD 1A</t>
  </si>
  <si>
    <t>03002335</t>
  </si>
  <si>
    <t>Double M MUD</t>
  </si>
  <si>
    <t>03002336</t>
  </si>
  <si>
    <t>Grayson County MUD 1</t>
  </si>
  <si>
    <t>03002337</t>
  </si>
  <si>
    <t>Oak Farms MMD</t>
  </si>
  <si>
    <t>03002338</t>
  </si>
  <si>
    <t>Moore Farm WCID 1</t>
  </si>
  <si>
    <t>03002344</t>
  </si>
  <si>
    <t>La La Ranch MUD</t>
  </si>
  <si>
    <t>03002346</t>
  </si>
  <si>
    <t>Dove Valley Ranch MUD</t>
  </si>
  <si>
    <t>03002347</t>
  </si>
  <si>
    <t>Grayson County MUD 5</t>
  </si>
  <si>
    <t>03002348</t>
  </si>
  <si>
    <t>Dallas County MUD 4</t>
  </si>
  <si>
    <t>03002349</t>
  </si>
  <si>
    <t>Ranch at FM 1385 MUD</t>
  </si>
  <si>
    <t>03002357</t>
  </si>
  <si>
    <t>Northlake MMD 2</t>
  </si>
  <si>
    <t>03002363</t>
  </si>
  <si>
    <t>Cole Ranch ID 1</t>
  </si>
  <si>
    <t>03002375</t>
  </si>
  <si>
    <t>Karis MMD</t>
  </si>
  <si>
    <t>03002411</t>
  </si>
  <si>
    <t>Justin</t>
  </si>
  <si>
    <t>03002414</t>
  </si>
  <si>
    <t>Lake Dallas</t>
  </si>
  <si>
    <t>03002415</t>
  </si>
  <si>
    <t>Lakewood Village</t>
  </si>
  <si>
    <t>03002429</t>
  </si>
  <si>
    <t>Bridgeport</t>
  </si>
  <si>
    <t>03002430</t>
  </si>
  <si>
    <t>Rhome</t>
  </si>
  <si>
    <t>03002434</t>
  </si>
  <si>
    <t>Bardwell</t>
  </si>
  <si>
    <t>03002435</t>
  </si>
  <si>
    <t>Italy</t>
  </si>
  <si>
    <t>03002447</t>
  </si>
  <si>
    <t>Argyle</t>
  </si>
  <si>
    <t>03002448</t>
  </si>
  <si>
    <t>Aubrey</t>
  </si>
  <si>
    <t>03002449</t>
  </si>
  <si>
    <t>Bartonville</t>
  </si>
  <si>
    <t>03002458</t>
  </si>
  <si>
    <t>Allen</t>
  </si>
  <si>
    <t>03002460</t>
  </si>
  <si>
    <t>Frisco</t>
  </si>
  <si>
    <t>03002461</t>
  </si>
  <si>
    <t>New Hope</t>
  </si>
  <si>
    <t>03002465</t>
  </si>
  <si>
    <t>Wortham</t>
  </si>
  <si>
    <t>03002466</t>
  </si>
  <si>
    <t>Midlothian</t>
  </si>
  <si>
    <t>03002467</t>
  </si>
  <si>
    <t>Oak Leaf</t>
  </si>
  <si>
    <t>03002468</t>
  </si>
  <si>
    <t>Pecan Hill</t>
  </si>
  <si>
    <t>03002469</t>
  </si>
  <si>
    <t>Red Oak</t>
  </si>
  <si>
    <t>03002486</t>
  </si>
  <si>
    <t>Copper Canyon</t>
  </si>
  <si>
    <t>03002487</t>
  </si>
  <si>
    <t>Corinth</t>
  </si>
  <si>
    <t>03002489</t>
  </si>
  <si>
    <t>Alvarado</t>
  </si>
  <si>
    <t>03002490</t>
  </si>
  <si>
    <t>Briaroaks</t>
  </si>
  <si>
    <t>03002491</t>
  </si>
  <si>
    <t>Double Oak</t>
  </si>
  <si>
    <t>03002492</t>
  </si>
  <si>
    <t>Hackberry</t>
  </si>
  <si>
    <t>03002497</t>
  </si>
  <si>
    <t>Cross Timber</t>
  </si>
  <si>
    <t>03002498</t>
  </si>
  <si>
    <t>Crowley</t>
  </si>
  <si>
    <t>03002519</t>
  </si>
  <si>
    <t>Onalaska</t>
  </si>
  <si>
    <t>03002521</t>
  </si>
  <si>
    <t>Highland Village</t>
  </si>
  <si>
    <t>03002552</t>
  </si>
  <si>
    <t>Fairfield</t>
  </si>
  <si>
    <t>03002554</t>
  </si>
  <si>
    <t>Goodrich</t>
  </si>
  <si>
    <t>03002560</t>
  </si>
  <si>
    <t>Duncanville</t>
  </si>
  <si>
    <t>03002561</t>
  </si>
  <si>
    <t>Farmers Branch</t>
  </si>
  <si>
    <t>03002562</t>
  </si>
  <si>
    <t>Hutchins</t>
  </si>
  <si>
    <t>03002566</t>
  </si>
  <si>
    <t>Wilmer</t>
  </si>
  <si>
    <t>03002573</t>
  </si>
  <si>
    <t>03002599</t>
  </si>
  <si>
    <t>Lovelady</t>
  </si>
  <si>
    <t>03002601</t>
  </si>
  <si>
    <t>Blooming Grove</t>
  </si>
  <si>
    <t>03002602</t>
  </si>
  <si>
    <t>03002605</t>
  </si>
  <si>
    <t>Hubbard</t>
  </si>
  <si>
    <t>03002607</t>
  </si>
  <si>
    <t>Mertens</t>
  </si>
  <si>
    <t>03002611</t>
  </si>
  <si>
    <t>Frost</t>
  </si>
  <si>
    <t>03002613</t>
  </si>
  <si>
    <t>Dayton Lakes</t>
  </si>
  <si>
    <t>03002622</t>
  </si>
  <si>
    <t>Princeton</t>
  </si>
  <si>
    <t>03002623</t>
  </si>
  <si>
    <t>Prosper</t>
  </si>
  <si>
    <t>03002624</t>
  </si>
  <si>
    <t>McKinney</t>
  </si>
  <si>
    <t>03002627</t>
  </si>
  <si>
    <t>Cottonwood</t>
  </si>
  <si>
    <t>03002631</t>
  </si>
  <si>
    <t>Kerens</t>
  </si>
  <si>
    <t>03002634</t>
  </si>
  <si>
    <t>Powell</t>
  </si>
  <si>
    <t>03002636</t>
  </si>
  <si>
    <t>Rice</t>
  </si>
  <si>
    <t>03002637</t>
  </si>
  <si>
    <t>Richland</t>
  </si>
  <si>
    <t>03002644</t>
  </si>
  <si>
    <t>Kenefick</t>
  </si>
  <si>
    <t>03002645</t>
  </si>
  <si>
    <t>03002652</t>
  </si>
  <si>
    <t>Sanctuary</t>
  </si>
  <si>
    <t>03002656</t>
  </si>
  <si>
    <t>Murphy</t>
  </si>
  <si>
    <t>03002662</t>
  </si>
  <si>
    <t>Oak Ridge</t>
  </si>
  <si>
    <t>Post Oak Bend City</t>
  </si>
  <si>
    <t>03002664</t>
  </si>
  <si>
    <t>03002665</t>
  </si>
  <si>
    <t>Talty</t>
  </si>
  <si>
    <t>03002668</t>
  </si>
  <si>
    <t>Barry</t>
  </si>
  <si>
    <t>03002697</t>
  </si>
  <si>
    <t>Muenster</t>
  </si>
  <si>
    <t>03002706</t>
  </si>
  <si>
    <t>03002739</t>
  </si>
  <si>
    <t>Cross Roads</t>
  </si>
  <si>
    <t>03002740</t>
  </si>
  <si>
    <t>Hickory Creek</t>
  </si>
  <si>
    <t>03002748</t>
  </si>
  <si>
    <t>Glenn Heights</t>
  </si>
  <si>
    <t>03002751</t>
  </si>
  <si>
    <t>Ennis</t>
  </si>
  <si>
    <t>03002752</t>
  </si>
  <si>
    <t>Garrett</t>
  </si>
  <si>
    <t>03002759</t>
  </si>
  <si>
    <t>Milford</t>
  </si>
  <si>
    <t>03002760</t>
  </si>
  <si>
    <t>Palmer</t>
  </si>
  <si>
    <t>03002762</t>
  </si>
  <si>
    <t>Maypearl</t>
  </si>
  <si>
    <t>03002791</t>
  </si>
  <si>
    <t>Runaway Bay</t>
  </si>
  <si>
    <t>03002821</t>
  </si>
  <si>
    <t>Grapevine</t>
  </si>
  <si>
    <t>03002822</t>
  </si>
  <si>
    <t>Rowlett</t>
  </si>
  <si>
    <t>Balch Springs</t>
  </si>
  <si>
    <t>03002824</t>
  </si>
  <si>
    <t>Cockrell Hill</t>
  </si>
  <si>
    <t>03002825</t>
  </si>
  <si>
    <t>DeSoto</t>
  </si>
  <si>
    <t>03002827</t>
  </si>
  <si>
    <t>Log Cabin</t>
  </si>
  <si>
    <t>03002829</t>
  </si>
  <si>
    <t>Tool</t>
  </si>
  <si>
    <t>03002850</t>
  </si>
  <si>
    <t>University Park</t>
  </si>
  <si>
    <t>03002851</t>
  </si>
  <si>
    <t>Addison</t>
  </si>
  <si>
    <t>03002852</t>
  </si>
  <si>
    <t>Mesquite</t>
  </si>
  <si>
    <t>03002859</t>
  </si>
  <si>
    <t>Trophy Club</t>
  </si>
  <si>
    <t>03002861</t>
  </si>
  <si>
    <t>03002871</t>
  </si>
  <si>
    <t>Payne Springs</t>
  </si>
  <si>
    <t>03002872</t>
  </si>
  <si>
    <t>Trinidad</t>
  </si>
  <si>
    <t>03002874</t>
  </si>
  <si>
    <t>Pilot Point</t>
  </si>
  <si>
    <t>03002879</t>
  </si>
  <si>
    <t>Ponder</t>
  </si>
  <si>
    <t>03002880</t>
  </si>
  <si>
    <t>Roanoke</t>
  </si>
  <si>
    <t>03002881</t>
  </si>
  <si>
    <t>Northlake</t>
  </si>
  <si>
    <t>03002885</t>
  </si>
  <si>
    <t>Star Harbor</t>
  </si>
  <si>
    <t>03002886</t>
  </si>
  <si>
    <t>Gun Barrel City</t>
  </si>
  <si>
    <t>03002901</t>
  </si>
  <si>
    <t>Newark</t>
  </si>
  <si>
    <t>03002903</t>
  </si>
  <si>
    <t>Enchanted Oaks</t>
  </si>
  <si>
    <t>03002904</t>
  </si>
  <si>
    <t>Eustace</t>
  </si>
  <si>
    <t>03002905</t>
  </si>
  <si>
    <t>Malakoff</t>
  </si>
  <si>
    <t>03002908</t>
  </si>
  <si>
    <t>St. Paul</t>
  </si>
  <si>
    <t>03002959</t>
  </si>
  <si>
    <t>Aurora</t>
  </si>
  <si>
    <t>03002961</t>
  </si>
  <si>
    <t>Decatur</t>
  </si>
  <si>
    <t>03002962</t>
  </si>
  <si>
    <t>Lake Bridgeport</t>
  </si>
  <si>
    <t>03002963</t>
  </si>
  <si>
    <t>New Fairview</t>
  </si>
  <si>
    <t>03002964</t>
  </si>
  <si>
    <t>Paradise</t>
  </si>
  <si>
    <t>03002965</t>
  </si>
  <si>
    <t>Boyd</t>
  </si>
  <si>
    <t>03003011</t>
  </si>
  <si>
    <t>Grandview</t>
  </si>
  <si>
    <t>03003014</t>
  </si>
  <si>
    <t>Venus</t>
  </si>
  <si>
    <t>03003032</t>
  </si>
  <si>
    <t>Highland Park</t>
  </si>
  <si>
    <t>03003080</t>
  </si>
  <si>
    <t>Forney</t>
  </si>
  <si>
    <t>03003134</t>
  </si>
  <si>
    <t>Blue Ridge</t>
  </si>
  <si>
    <t>03003135</t>
  </si>
  <si>
    <t>Celina</t>
  </si>
  <si>
    <t>03003140</t>
  </si>
  <si>
    <t>Melissa</t>
  </si>
  <si>
    <t>03003153</t>
  </si>
  <si>
    <t>Tioga</t>
  </si>
  <si>
    <t>03003160</t>
  </si>
  <si>
    <t>Aledo</t>
  </si>
  <si>
    <t>03003161</t>
  </si>
  <si>
    <t>Annetta</t>
  </si>
  <si>
    <t>03003164</t>
  </si>
  <si>
    <t>McLendon-Chisholm</t>
  </si>
  <si>
    <t>03003170</t>
  </si>
  <si>
    <t>Oakwood</t>
  </si>
  <si>
    <t>03003171</t>
  </si>
  <si>
    <t>Buffalo</t>
  </si>
  <si>
    <t>03003172</t>
  </si>
  <si>
    <t>Centerville</t>
  </si>
  <si>
    <t>03003211</t>
  </si>
  <si>
    <t>03003241</t>
  </si>
  <si>
    <t>Collinsville</t>
  </si>
  <si>
    <t>03003243</t>
  </si>
  <si>
    <t>Gunter</t>
  </si>
  <si>
    <t>03003264</t>
  </si>
  <si>
    <t>Ferris</t>
  </si>
  <si>
    <t>Garland</t>
  </si>
  <si>
    <t>03003266</t>
  </si>
  <si>
    <t>Ovilla</t>
  </si>
  <si>
    <t>03003267</t>
  </si>
  <si>
    <t>Wylie</t>
  </si>
  <si>
    <t>03003272</t>
  </si>
  <si>
    <t>Anna</t>
  </si>
  <si>
    <t>03003273</t>
  </si>
  <si>
    <t>Fairview</t>
  </si>
  <si>
    <t>03003274</t>
  </si>
  <si>
    <t>Lowry Crossing</t>
  </si>
  <si>
    <t>03003275</t>
  </si>
  <si>
    <t>Lucas</t>
  </si>
  <si>
    <t>03003284</t>
  </si>
  <si>
    <t>Mildred</t>
  </si>
  <si>
    <t>03003285</t>
  </si>
  <si>
    <t>Azle</t>
  </si>
  <si>
    <t>03003286</t>
  </si>
  <si>
    <t>Saginaw</t>
  </si>
  <si>
    <t>03003287</t>
  </si>
  <si>
    <t>Watauga</t>
  </si>
  <si>
    <t>03003288</t>
  </si>
  <si>
    <t>Westworth Village</t>
  </si>
  <si>
    <t>03003311</t>
  </si>
  <si>
    <t>03003313</t>
  </si>
  <si>
    <t>Van Alstyne</t>
  </si>
  <si>
    <t>03003314</t>
  </si>
  <si>
    <t>Weston</t>
  </si>
  <si>
    <t>03003321</t>
  </si>
  <si>
    <t>Keller</t>
  </si>
  <si>
    <t>03003323</t>
  </si>
  <si>
    <t>Ames</t>
  </si>
  <si>
    <t>03003348</t>
  </si>
  <si>
    <t>Sanger</t>
  </si>
  <si>
    <t>03003349</t>
  </si>
  <si>
    <t>Oak Point</t>
  </si>
  <si>
    <t>03003350</t>
  </si>
  <si>
    <t>Little Elm</t>
  </si>
  <si>
    <t>03003351</t>
  </si>
  <si>
    <t>Flower Mound</t>
  </si>
  <si>
    <t>03003352</t>
  </si>
  <si>
    <t>The Colony</t>
  </si>
  <si>
    <t>03003355</t>
  </si>
  <si>
    <t>03003356</t>
  </si>
  <si>
    <t>Southlake</t>
  </si>
  <si>
    <t>03003357</t>
  </si>
  <si>
    <t>Coppell</t>
  </si>
  <si>
    <t>03003359</t>
  </si>
  <si>
    <t>Shady Shores</t>
  </si>
  <si>
    <t>03003360</t>
  </si>
  <si>
    <t>Plano</t>
  </si>
  <si>
    <t>03003362</t>
  </si>
  <si>
    <t>Arlington</t>
  </si>
  <si>
    <t>03003363</t>
  </si>
  <si>
    <t>North Richland Hills</t>
  </si>
  <si>
    <t>03003367</t>
  </si>
  <si>
    <t>Malone</t>
  </si>
  <si>
    <t>03003372</t>
  </si>
  <si>
    <t>Heath</t>
  </si>
  <si>
    <t>03003376</t>
  </si>
  <si>
    <t>DISH</t>
  </si>
  <si>
    <t>03003379</t>
  </si>
  <si>
    <t>03003380</t>
  </si>
  <si>
    <t>Mabank</t>
  </si>
  <si>
    <t>03003381</t>
  </si>
  <si>
    <t>Seven Points</t>
  </si>
  <si>
    <t>03003384</t>
  </si>
  <si>
    <t>Crandall</t>
  </si>
  <si>
    <t>03003392</t>
  </si>
  <si>
    <t>Riverside</t>
  </si>
  <si>
    <t>03003401</t>
  </si>
  <si>
    <t>Waxahachie</t>
  </si>
  <si>
    <t>03003404</t>
  </si>
  <si>
    <t>Elkhart</t>
  </si>
  <si>
    <t>03003430</t>
  </si>
  <si>
    <t>Seven Oaks</t>
  </si>
  <si>
    <t>03003489</t>
  </si>
  <si>
    <t>Annetta North</t>
  </si>
  <si>
    <t>03003490</t>
  </si>
  <si>
    <t>Annetta South</t>
  </si>
  <si>
    <t>03003491</t>
  </si>
  <si>
    <t>Hudson Oaks</t>
  </si>
  <si>
    <t>03003492</t>
  </si>
  <si>
    <t>Springtown</t>
  </si>
  <si>
    <t>03003493</t>
  </si>
  <si>
    <t>Madisonville</t>
  </si>
  <si>
    <t>03003514</t>
  </si>
  <si>
    <t>Point Blank</t>
  </si>
  <si>
    <t>03003515</t>
  </si>
  <si>
    <t>Shepherd</t>
  </si>
  <si>
    <t>03003518</t>
  </si>
  <si>
    <t>Blue Mound</t>
  </si>
  <si>
    <t>03003520</t>
  </si>
  <si>
    <t>Edgecliff Village</t>
  </si>
  <si>
    <t>03003522</t>
  </si>
  <si>
    <t>Forest Hill</t>
  </si>
  <si>
    <t>03003523</t>
  </si>
  <si>
    <t>Lakeside</t>
  </si>
  <si>
    <t>03003537</t>
  </si>
  <si>
    <t>Willow Park</t>
  </si>
  <si>
    <t>03003557</t>
  </si>
  <si>
    <t>Lake Worth</t>
  </si>
  <si>
    <t>03003558</t>
  </si>
  <si>
    <t>Pantego</t>
  </si>
  <si>
    <t>03003559</t>
  </si>
  <si>
    <t>Pelican Bay</t>
  </si>
  <si>
    <t>03003569</t>
  </si>
  <si>
    <t>Jacksboro</t>
  </si>
  <si>
    <t>03003572</t>
  </si>
  <si>
    <t>Cove</t>
  </si>
  <si>
    <t>03003579</t>
  </si>
  <si>
    <t>Seagoville</t>
  </si>
  <si>
    <t>03003581</t>
  </si>
  <si>
    <t>03003582</t>
  </si>
  <si>
    <t>Bedford</t>
  </si>
  <si>
    <t>03003583</t>
  </si>
  <si>
    <t>Sansom Park</t>
  </si>
  <si>
    <t>03003584</t>
  </si>
  <si>
    <t>White Settlement</t>
  </si>
  <si>
    <t>03003585</t>
  </si>
  <si>
    <t>Benbrook</t>
  </si>
  <si>
    <t>03003587</t>
  </si>
  <si>
    <t>Westover Hills</t>
  </si>
  <si>
    <t>Hurst</t>
  </si>
  <si>
    <t>03003589</t>
  </si>
  <si>
    <t>Haltom City</t>
  </si>
  <si>
    <t>03003591</t>
  </si>
  <si>
    <t>Old River-Winfree</t>
  </si>
  <si>
    <t>03003592</t>
  </si>
  <si>
    <t>Westminster</t>
  </si>
  <si>
    <t>03003593</t>
  </si>
  <si>
    <t>Dalworth SWCD</t>
  </si>
  <si>
    <t>03003594</t>
  </si>
  <si>
    <t>Denton County SWCD</t>
  </si>
  <si>
    <t>03003595</t>
  </si>
  <si>
    <t>Wise SWCD</t>
  </si>
  <si>
    <t>04000176</t>
  </si>
  <si>
    <t>Rains</t>
  </si>
  <si>
    <t>04000372</t>
  </si>
  <si>
    <t>Sunrise MUD of Hunt County</t>
  </si>
  <si>
    <t>04000522</t>
  </si>
  <si>
    <t>Smith County Economic Development District</t>
  </si>
  <si>
    <t>04000590</t>
  </si>
  <si>
    <t>Union Valley Ranch MUD of Hunt County</t>
  </si>
  <si>
    <t>04000844</t>
  </si>
  <si>
    <t>Jasper County WCID 1</t>
  </si>
  <si>
    <t>04000971</t>
  </si>
  <si>
    <t>East Texas MUD</t>
  </si>
  <si>
    <t>04001056</t>
  </si>
  <si>
    <t>Chalk Hill SUD</t>
  </si>
  <si>
    <t>04001247</t>
  </si>
  <si>
    <t>Verandah MUD</t>
  </si>
  <si>
    <t>04001306</t>
  </si>
  <si>
    <t>New Hope SUD</t>
  </si>
  <si>
    <t>04001308</t>
  </si>
  <si>
    <t>Rockwall County MUD 7</t>
  </si>
  <si>
    <t>04001345</t>
  </si>
  <si>
    <t>Rockwall County MUD 6</t>
  </si>
  <si>
    <t>04001477</t>
  </si>
  <si>
    <t>Orange County WCID 2</t>
  </si>
  <si>
    <t>04001534</t>
  </si>
  <si>
    <t>Combined Consumers SUD</t>
  </si>
  <si>
    <t>04001939</t>
  </si>
  <si>
    <t>South Rains SUD</t>
  </si>
  <si>
    <t>04002082</t>
  </si>
  <si>
    <t>Double R MUD 1</t>
  </si>
  <si>
    <t>04002148</t>
  </si>
  <si>
    <t>Liberty-Danville FWSD 2</t>
  </si>
  <si>
    <t>04002271</t>
  </si>
  <si>
    <t>Caddo Mills MMD 1</t>
  </si>
  <si>
    <t>04002361</t>
  </si>
  <si>
    <t>Hunt Co MUD 3</t>
  </si>
  <si>
    <t>04002410</t>
  </si>
  <si>
    <t>Yantis</t>
  </si>
  <si>
    <t>04002416</t>
  </si>
  <si>
    <t>Big Sandy</t>
  </si>
  <si>
    <t>Edgewood</t>
  </si>
  <si>
    <t>Greenville</t>
  </si>
  <si>
    <t>Fruitvale</t>
  </si>
  <si>
    <t>04002539</t>
  </si>
  <si>
    <t>Alba</t>
  </si>
  <si>
    <t>04002567</t>
  </si>
  <si>
    <t>Huxley</t>
  </si>
  <si>
    <t>Grand Saline</t>
  </si>
  <si>
    <t>04002692</t>
  </si>
  <si>
    <t>Union Valley</t>
  </si>
  <si>
    <t>04002710</t>
  </si>
  <si>
    <t>Gladewater</t>
  </si>
  <si>
    <t>04002774</t>
  </si>
  <si>
    <t>White Oak</t>
  </si>
  <si>
    <t>Kilgore</t>
  </si>
  <si>
    <t>04002915</t>
  </si>
  <si>
    <t>Center</t>
  </si>
  <si>
    <t>04002916</t>
  </si>
  <si>
    <t>Joaquin</t>
  </si>
  <si>
    <t>04002917</t>
  </si>
  <si>
    <t>Tenaha</t>
  </si>
  <si>
    <t>04002920</t>
  </si>
  <si>
    <t>West Orange</t>
  </si>
  <si>
    <t>04003001</t>
  </si>
  <si>
    <t>Caddo Mills</t>
  </si>
  <si>
    <t>04003008</t>
  </si>
  <si>
    <t>Hawk Cove</t>
  </si>
  <si>
    <t>04003017</t>
  </si>
  <si>
    <t>Pinehurst</t>
  </si>
  <si>
    <t>04003046</t>
  </si>
  <si>
    <t>Tatum</t>
  </si>
  <si>
    <t>04003051</t>
  </si>
  <si>
    <t>Easton</t>
  </si>
  <si>
    <t>Clarksville City</t>
  </si>
  <si>
    <t>04003053</t>
  </si>
  <si>
    <t>Lakeport</t>
  </si>
  <si>
    <t>04003054</t>
  </si>
  <si>
    <t>Warren City</t>
  </si>
  <si>
    <t>04003072</t>
  </si>
  <si>
    <t>Lone Oak</t>
  </si>
  <si>
    <t>04003074</t>
  </si>
  <si>
    <t>East Tawakoni</t>
  </si>
  <si>
    <t>04003075</t>
  </si>
  <si>
    <t>Emory</t>
  </si>
  <si>
    <t>04003076</t>
  </si>
  <si>
    <t>Point</t>
  </si>
  <si>
    <t>04003078</t>
  </si>
  <si>
    <t>Quinlan</t>
  </si>
  <si>
    <t>04003138</t>
  </si>
  <si>
    <t>Josephine</t>
  </si>
  <si>
    <t>Winona</t>
  </si>
  <si>
    <t>04003262</t>
  </si>
  <si>
    <t>West Tawakoni</t>
  </si>
  <si>
    <t>04003308</t>
  </si>
  <si>
    <t>Celeste</t>
  </si>
  <si>
    <t>Royse City</t>
  </si>
  <si>
    <t>04003337</t>
  </si>
  <si>
    <t>Kirbyville</t>
  </si>
  <si>
    <t>04003361</t>
  </si>
  <si>
    <t>Beckville</t>
  </si>
  <si>
    <t>04003402</t>
  </si>
  <si>
    <t>Mineola</t>
  </si>
  <si>
    <t>04003445</t>
  </si>
  <si>
    <t>Union Grove</t>
  </si>
  <si>
    <t>04003446</t>
  </si>
  <si>
    <t>Hawkins</t>
  </si>
  <si>
    <t>04003447</t>
  </si>
  <si>
    <t>Quitman</t>
  </si>
  <si>
    <t>04003469</t>
  </si>
  <si>
    <t>Carthage</t>
  </si>
  <si>
    <t>04003470</t>
  </si>
  <si>
    <t>Gary</t>
  </si>
  <si>
    <t>04003475</t>
  </si>
  <si>
    <t>04003529</t>
  </si>
  <si>
    <t>Hallsville</t>
  </si>
  <si>
    <t>05000057</t>
  </si>
  <si>
    <t>05000139</t>
  </si>
  <si>
    <t>05000376</t>
  </si>
  <si>
    <t>Port Of Beaumont Navigation District</t>
  </si>
  <si>
    <t>05000390</t>
  </si>
  <si>
    <t>Athens MWA</t>
  </si>
  <si>
    <t>05000397</t>
  </si>
  <si>
    <t>Jefferson County Drainage District 3</t>
  </si>
  <si>
    <t>05000416</t>
  </si>
  <si>
    <t>Idlewood WCID 1</t>
  </si>
  <si>
    <t>05000472</t>
  </si>
  <si>
    <t>Port Bolivar Improvement District</t>
  </si>
  <si>
    <t>05000510</t>
  </si>
  <si>
    <t>Sabine Pass Port Authority</t>
  </si>
  <si>
    <t>05000840</t>
  </si>
  <si>
    <t>Hull FWSD</t>
  </si>
  <si>
    <t>05000868</t>
  </si>
  <si>
    <t>Anderson County FWSD 1</t>
  </si>
  <si>
    <t>05000873</t>
  </si>
  <si>
    <t>Pineland Municipal Water Supply District</t>
  </si>
  <si>
    <t>05000888</t>
  </si>
  <si>
    <t>Hardin County WCID 1</t>
  </si>
  <si>
    <t>05000921</t>
  </si>
  <si>
    <t>Sabine-Neches Navigation District of Jefferson County</t>
  </si>
  <si>
    <t>05000941</t>
  </si>
  <si>
    <t>Nacogdoches County MUD 1</t>
  </si>
  <si>
    <t>05001097</t>
  </si>
  <si>
    <t>Emerald Bay MUD</t>
  </si>
  <si>
    <t>05001246</t>
  </si>
  <si>
    <t>Smith Road WCID 1 of Jefferson County</t>
  </si>
  <si>
    <t>05001352</t>
  </si>
  <si>
    <t>Bolivar Peninsula SUD</t>
  </si>
  <si>
    <t>05001360</t>
  </si>
  <si>
    <t>Jefferson County Navigation District</t>
  </si>
  <si>
    <t>05001361</t>
  </si>
  <si>
    <t>Jefferson County WCID 14</t>
  </si>
  <si>
    <t>05001362</t>
  </si>
  <si>
    <t>Port of Port Arthur Navigation District</t>
  </si>
  <si>
    <t>05001363</t>
  </si>
  <si>
    <t>Northwest Forest MUD</t>
  </si>
  <si>
    <t>05001509</t>
  </si>
  <si>
    <t>Cade Ranch WCID 1</t>
  </si>
  <si>
    <t>05001540</t>
  </si>
  <si>
    <t>Evadale WCID 1</t>
  </si>
  <si>
    <t>05001570</t>
  </si>
  <si>
    <t>West Jefferson County Municipal Water District</t>
  </si>
  <si>
    <t>05001571</t>
  </si>
  <si>
    <t>Meeker Municipal Water District</t>
  </si>
  <si>
    <t>05001585</t>
  </si>
  <si>
    <t>Jefferson County Drainage District 7</t>
  </si>
  <si>
    <t>05001635</t>
  </si>
  <si>
    <t>Central WCID of Angelina County</t>
  </si>
  <si>
    <t>05001639</t>
  </si>
  <si>
    <t>Cardinal Meadows Improvement District</t>
  </si>
  <si>
    <t>05001676</t>
  </si>
  <si>
    <t>Rayburn Country MUD</t>
  </si>
  <si>
    <t>05001731</t>
  </si>
  <si>
    <t>Jefferson County Drainage District 6</t>
  </si>
  <si>
    <t>05001935</t>
  </si>
  <si>
    <t>Jefferson County WCID 10</t>
  </si>
  <si>
    <t>05001969</t>
  </si>
  <si>
    <t>Lumberton MUD</t>
  </si>
  <si>
    <t>05002110</t>
  </si>
  <si>
    <t>Brookeland MUD</t>
  </si>
  <si>
    <t>05002231</t>
  </si>
  <si>
    <t>Beaumont Municipal Management District 1</t>
  </si>
  <si>
    <t>05002273</t>
  </si>
  <si>
    <t>Angelina County FWSD 1</t>
  </si>
  <si>
    <t>Daisetta</t>
  </si>
  <si>
    <t>Lumberton</t>
  </si>
  <si>
    <t>05002504</t>
  </si>
  <si>
    <t>Garrison</t>
  </si>
  <si>
    <t>Kennard</t>
  </si>
  <si>
    <t>05002575</t>
  </si>
  <si>
    <t>Colmesneil</t>
  </si>
  <si>
    <t>05002672</t>
  </si>
  <si>
    <t>Bullard</t>
  </si>
  <si>
    <t>05002673</t>
  </si>
  <si>
    <t>Troup</t>
  </si>
  <si>
    <t>05002707</t>
  </si>
  <si>
    <t>Edom</t>
  </si>
  <si>
    <t>05002769</t>
  </si>
  <si>
    <t>Beaumont</t>
  </si>
  <si>
    <t>05002807</t>
  </si>
  <si>
    <t>Hudson</t>
  </si>
  <si>
    <t>05002828</t>
  </si>
  <si>
    <t>Moore Station</t>
  </si>
  <si>
    <t>05002839</t>
  </si>
  <si>
    <t>China</t>
  </si>
  <si>
    <t>05002840</t>
  </si>
  <si>
    <t>Groves</t>
  </si>
  <si>
    <t>05002841</t>
  </si>
  <si>
    <t>Nome</t>
  </si>
  <si>
    <t>05002843</t>
  </si>
  <si>
    <t>Taylor Landing</t>
  </si>
  <si>
    <t>Alto</t>
  </si>
  <si>
    <t>05002863</t>
  </si>
  <si>
    <t>Cuney</t>
  </si>
  <si>
    <t>05002865</t>
  </si>
  <si>
    <t>New Summerfield</t>
  </si>
  <si>
    <t>Reklaw</t>
  </si>
  <si>
    <t>Wells</t>
  </si>
  <si>
    <t>05002870</t>
  </si>
  <si>
    <t>Coffee City</t>
  </si>
  <si>
    <t>05002884</t>
  </si>
  <si>
    <t>Murchison</t>
  </si>
  <si>
    <t>05002890</t>
  </si>
  <si>
    <t>Berryville</t>
  </si>
  <si>
    <t>05002891</t>
  </si>
  <si>
    <t>Brownsboro</t>
  </si>
  <si>
    <t>05002896</t>
  </si>
  <si>
    <t>Mount Enterprise</t>
  </si>
  <si>
    <t>05002902</t>
  </si>
  <si>
    <t>Chandler</t>
  </si>
  <si>
    <t>Silsbee</t>
  </si>
  <si>
    <t>Sour Lake</t>
  </si>
  <si>
    <t>05002943</t>
  </si>
  <si>
    <t>Chester</t>
  </si>
  <si>
    <t>05002951</t>
  </si>
  <si>
    <t>Woodville</t>
  </si>
  <si>
    <t>05003016</t>
  </si>
  <si>
    <t>Pine Forest</t>
  </si>
  <si>
    <t>05003019</t>
  </si>
  <si>
    <t>Rose City</t>
  </si>
  <si>
    <t>Kountze</t>
  </si>
  <si>
    <t>Rose Hill Acres</t>
  </si>
  <si>
    <t>Whitehouse</t>
  </si>
  <si>
    <t>05003034</t>
  </si>
  <si>
    <t>New Chapel Hill</t>
  </si>
  <si>
    <t>05003047</t>
  </si>
  <si>
    <t>Chireno</t>
  </si>
  <si>
    <t>05003085</t>
  </si>
  <si>
    <t>Bevil Oaks</t>
  </si>
  <si>
    <t>05003086</t>
  </si>
  <si>
    <t>Nederland</t>
  </si>
  <si>
    <t>05003087</t>
  </si>
  <si>
    <t>Port Arthur</t>
  </si>
  <si>
    <t>05003088</t>
  </si>
  <si>
    <t>Port Neches</t>
  </si>
  <si>
    <t>05003105</t>
  </si>
  <si>
    <t>Pineland</t>
  </si>
  <si>
    <t>05003114</t>
  </si>
  <si>
    <t>Cushing</t>
  </si>
  <si>
    <t>05003177</t>
  </si>
  <si>
    <t>Arp</t>
  </si>
  <si>
    <t>Burke</t>
  </si>
  <si>
    <t>05003196</t>
  </si>
  <si>
    <t>Diboll</t>
  </si>
  <si>
    <t>05003198</t>
  </si>
  <si>
    <t>Huntington</t>
  </si>
  <si>
    <t>05003199</t>
  </si>
  <si>
    <t>Zavalla</t>
  </si>
  <si>
    <t>05003236</t>
  </si>
  <si>
    <t>Broaddus</t>
  </si>
  <si>
    <t>05003271</t>
  </si>
  <si>
    <t>Ivanhoe</t>
  </si>
  <si>
    <t>05003310</t>
  </si>
  <si>
    <t>Gallatin</t>
  </si>
  <si>
    <t>05003333</t>
  </si>
  <si>
    <t>Browndell</t>
  </si>
  <si>
    <t>05003336</t>
  </si>
  <si>
    <t>05003370</t>
  </si>
  <si>
    <t>Noonday</t>
  </si>
  <si>
    <t>Frankston</t>
  </si>
  <si>
    <t>05003437</t>
  </si>
  <si>
    <t>Poynor</t>
  </si>
  <si>
    <t>05003472</t>
  </si>
  <si>
    <t>Jacksonville</t>
  </si>
  <si>
    <t>05003501</t>
  </si>
  <si>
    <t>Corrigan</t>
  </si>
  <si>
    <t>05003540</t>
  </si>
  <si>
    <t>Appleby</t>
  </si>
  <si>
    <t>05003561</t>
  </si>
  <si>
    <t>Lufkin</t>
  </si>
  <si>
    <t>06000000</t>
  </si>
  <si>
    <t>San Jacinto Region Boundary</t>
  </si>
  <si>
    <t>06000037</t>
  </si>
  <si>
    <t>Montgomery</t>
  </si>
  <si>
    <t>06000279</t>
  </si>
  <si>
    <t>North Harris County Regional Water Authority</t>
  </si>
  <si>
    <t>06000313</t>
  </si>
  <si>
    <t>Spring Branch Management District</t>
  </si>
  <si>
    <t>06000326</t>
  </si>
  <si>
    <t>Harris County MUD 571</t>
  </si>
  <si>
    <t>06000331</t>
  </si>
  <si>
    <t>Galveston County Navigation District 1</t>
  </si>
  <si>
    <t>06000333</t>
  </si>
  <si>
    <t>West Harris County MUD 5</t>
  </si>
  <si>
    <t>06000334</t>
  </si>
  <si>
    <t>Trail of the Lakes MUD</t>
  </si>
  <si>
    <t>06000335</t>
  </si>
  <si>
    <t>Harris County MUD 458</t>
  </si>
  <si>
    <t>06000336</t>
  </si>
  <si>
    <t>West Harris County MUD 1</t>
  </si>
  <si>
    <t>06000341</t>
  </si>
  <si>
    <t>Sunbelt FWSD</t>
  </si>
  <si>
    <t>06000344</t>
  </si>
  <si>
    <t>East Montgomery County Improvement District</t>
  </si>
  <si>
    <t>06000346</t>
  </si>
  <si>
    <t>Greater East End MGMT District</t>
  </si>
  <si>
    <t>06000347</t>
  </si>
  <si>
    <t>Harris County MUD 200</t>
  </si>
  <si>
    <t>06000349</t>
  </si>
  <si>
    <t>Harris County Improvement District 20</t>
  </si>
  <si>
    <t>06000350</t>
  </si>
  <si>
    <t>Harris County Improvement District 21</t>
  </si>
  <si>
    <t>06000361</t>
  </si>
  <si>
    <t>Harris County Improvement District 5</t>
  </si>
  <si>
    <t>06000362</t>
  </si>
  <si>
    <t>Harris County Improvement District 9</t>
  </si>
  <si>
    <t>06000363</t>
  </si>
  <si>
    <t>International Management District</t>
  </si>
  <si>
    <t>06000365</t>
  </si>
  <si>
    <t>Montgomery County MUD 125</t>
  </si>
  <si>
    <t>06000368</t>
  </si>
  <si>
    <t>Brazoria County MUD 57</t>
  </si>
  <si>
    <t>06000371</t>
  </si>
  <si>
    <t>Kickapoo FWSD of Waller County</t>
  </si>
  <si>
    <t>06000373</t>
  </si>
  <si>
    <t>Harris County MUD 393</t>
  </si>
  <si>
    <t>06000375</t>
  </si>
  <si>
    <t>Plum Creek FWSD 1</t>
  </si>
  <si>
    <t>06000379</t>
  </si>
  <si>
    <t>Towne Lake Management District</t>
  </si>
  <si>
    <t>06000380</t>
  </si>
  <si>
    <t>Northwest Harris County MUD 36</t>
  </si>
  <si>
    <t>06000383</t>
  </si>
  <si>
    <t>NASA Area Management District</t>
  </si>
  <si>
    <t>06000393</t>
  </si>
  <si>
    <t>Galveston County MUD 34</t>
  </si>
  <si>
    <t>06000394</t>
  </si>
  <si>
    <t>Harris County MUD 415</t>
  </si>
  <si>
    <t>06000395</t>
  </si>
  <si>
    <t>Baybrook Management District</t>
  </si>
  <si>
    <t>06000396</t>
  </si>
  <si>
    <t>Harris County Improvement District 1</t>
  </si>
  <si>
    <t>06000399</t>
  </si>
  <si>
    <t>Brazoria County MUD 29</t>
  </si>
  <si>
    <t>06000410</t>
  </si>
  <si>
    <t>Central Harris County Regional Water Authority</t>
  </si>
  <si>
    <t>06000411</t>
  </si>
  <si>
    <t>Montgomery County MUD 132</t>
  </si>
  <si>
    <t>06000412</t>
  </si>
  <si>
    <t>Harris County MUD 531</t>
  </si>
  <si>
    <t>06000413</t>
  </si>
  <si>
    <t>Harris County MUD 360</t>
  </si>
  <si>
    <t>06000415</t>
  </si>
  <si>
    <t>Harris County MUD 460</t>
  </si>
  <si>
    <t>06000417</t>
  </si>
  <si>
    <t>Magnolia Woods MUD 1</t>
  </si>
  <si>
    <t>06000421</t>
  </si>
  <si>
    <t>Galveston County MUD 61</t>
  </si>
  <si>
    <t>06000422</t>
  </si>
  <si>
    <t>Galveston County MUD 62</t>
  </si>
  <si>
    <t>06000423</t>
  </si>
  <si>
    <t>Galveston County MUD 63</t>
  </si>
  <si>
    <t>06000424</t>
  </si>
  <si>
    <t>Harris County MUD 319</t>
  </si>
  <si>
    <t>06000427</t>
  </si>
  <si>
    <t>Harris County MUD 491</t>
  </si>
  <si>
    <t>06000429</t>
  </si>
  <si>
    <t>Montgomery County MUD 115</t>
  </si>
  <si>
    <t>06000430</t>
  </si>
  <si>
    <t>Harris County MUD 401</t>
  </si>
  <si>
    <t>06000433</t>
  </si>
  <si>
    <t>Harris County WCID 119</t>
  </si>
  <si>
    <t>06000435</t>
  </si>
  <si>
    <t>Harris County MUD 233</t>
  </si>
  <si>
    <t>06000436</t>
  </si>
  <si>
    <t>Harris County MUD 557</t>
  </si>
  <si>
    <t>06000440</t>
  </si>
  <si>
    <t>06000441</t>
  </si>
  <si>
    <t>Porter SUD</t>
  </si>
  <si>
    <t>06000443</t>
  </si>
  <si>
    <t>Galveston County WCID 1</t>
  </si>
  <si>
    <t>06000446</t>
  </si>
  <si>
    <t>Bauer Landing WCID</t>
  </si>
  <si>
    <t>06000449</t>
  </si>
  <si>
    <t>Harris County MUD 476</t>
  </si>
  <si>
    <t>06000450</t>
  </si>
  <si>
    <t>Harris County MUD 520</t>
  </si>
  <si>
    <t>06000452</t>
  </si>
  <si>
    <t>Harris County MUD 1</t>
  </si>
  <si>
    <t>06000453</t>
  </si>
  <si>
    <t>Harris County MUD 388</t>
  </si>
  <si>
    <t>06000454</t>
  </si>
  <si>
    <t>CNP Utility District</t>
  </si>
  <si>
    <t>06000458</t>
  </si>
  <si>
    <t>Harris County MUD 497</t>
  </si>
  <si>
    <t>06000460</t>
  </si>
  <si>
    <t>Harris County MUD 477</t>
  </si>
  <si>
    <t>06000464</t>
  </si>
  <si>
    <t>West Harris County MUD 11</t>
  </si>
  <si>
    <t>06000468</t>
  </si>
  <si>
    <t>Harborside Management District</t>
  </si>
  <si>
    <t>06000469</t>
  </si>
  <si>
    <t>Harris County Improvement District 7</t>
  </si>
  <si>
    <t>06000470</t>
  </si>
  <si>
    <t>Airline Improvement District</t>
  </si>
  <si>
    <t>06000482</t>
  </si>
  <si>
    <t>Montgomery County MUD 161</t>
  </si>
  <si>
    <t>06000483</t>
  </si>
  <si>
    <t>Galveston County MUD 72</t>
  </si>
  <si>
    <t>06000488</t>
  </si>
  <si>
    <t>West Harris County RWA</t>
  </si>
  <si>
    <t>06000489</t>
  </si>
  <si>
    <t>Montgomery County MUD 83</t>
  </si>
  <si>
    <t>06000490</t>
  </si>
  <si>
    <t>Harris County MUD 144</t>
  </si>
  <si>
    <t>06000491</t>
  </si>
  <si>
    <t>Harris County MUD 11</t>
  </si>
  <si>
    <t>06000495</t>
  </si>
  <si>
    <t>Interstate MUD</t>
  </si>
  <si>
    <t>06000501</t>
  </si>
  <si>
    <t>Galveston County Consolidated Drainage District</t>
  </si>
  <si>
    <t>06000502</t>
  </si>
  <si>
    <t>Greater Sharpstown Management District</t>
  </si>
  <si>
    <t>06000503</t>
  </si>
  <si>
    <t>Harris County MUD 104</t>
  </si>
  <si>
    <t>06000504</t>
  </si>
  <si>
    <t>Kleinwood MUD</t>
  </si>
  <si>
    <t>06000511</t>
  </si>
  <si>
    <t>West Galveston Island Conservation District</t>
  </si>
  <si>
    <t>06000516</t>
  </si>
  <si>
    <t>Terranova West MUD</t>
  </si>
  <si>
    <t>06000517</t>
  </si>
  <si>
    <t>Harris County MUD 82</t>
  </si>
  <si>
    <t>06000518</t>
  </si>
  <si>
    <t>Greenspoint District</t>
  </si>
  <si>
    <t>06000523</t>
  </si>
  <si>
    <t>Greater Northside Management District</t>
  </si>
  <si>
    <t>06000528</t>
  </si>
  <si>
    <t>Liberty County MUD 6</t>
  </si>
  <si>
    <t>06000529</t>
  </si>
  <si>
    <t>Fort Bend-Waller Counties MUD 2</t>
  </si>
  <si>
    <t>06000530</t>
  </si>
  <si>
    <t>Montgomery County Management District 1</t>
  </si>
  <si>
    <t>06000534</t>
  </si>
  <si>
    <t>Brazoria County MUD 38</t>
  </si>
  <si>
    <t>06000535</t>
  </si>
  <si>
    <t>Montgomery County MUD 162</t>
  </si>
  <si>
    <t>06000536</t>
  </si>
  <si>
    <t>Montgomery County MUD 163</t>
  </si>
  <si>
    <t>06000537</t>
  </si>
  <si>
    <t>Fort Bend County MUD 57</t>
  </si>
  <si>
    <t>06000543</t>
  </si>
  <si>
    <t>Harris County WCID 96</t>
  </si>
  <si>
    <t>06000544</t>
  </si>
  <si>
    <t>Brazoria County MUD 25</t>
  </si>
  <si>
    <t>06000545</t>
  </si>
  <si>
    <t>Harris County Utility District 16</t>
  </si>
  <si>
    <t>06000547</t>
  </si>
  <si>
    <t>Harris County MUD 439</t>
  </si>
  <si>
    <t>06000549</t>
  </si>
  <si>
    <t>Montgomery County MUD 15</t>
  </si>
  <si>
    <t>06000553</t>
  </si>
  <si>
    <t>Harris County MUD 382</t>
  </si>
  <si>
    <t>06000557</t>
  </si>
  <si>
    <t>Harris County MUD 148</t>
  </si>
  <si>
    <t>06000558</t>
  </si>
  <si>
    <t>Montgomery County MUD 6</t>
  </si>
  <si>
    <t>06000559</t>
  </si>
  <si>
    <t>Harris County MUD 421</t>
  </si>
  <si>
    <t>06000560</t>
  </si>
  <si>
    <t>Cinco MUD 14</t>
  </si>
  <si>
    <t>06000561</t>
  </si>
  <si>
    <t>Fort Bend County MUD 161</t>
  </si>
  <si>
    <t>06000575</t>
  </si>
  <si>
    <t>Roman Forest Consolidated MUD</t>
  </si>
  <si>
    <t>06000587</t>
  </si>
  <si>
    <t>Spectrum Management District</t>
  </si>
  <si>
    <t>06000594</t>
  </si>
  <si>
    <t>East Montgomery County MUD 13</t>
  </si>
  <si>
    <t>06000598</t>
  </si>
  <si>
    <t>Green Trails MUD</t>
  </si>
  <si>
    <t>06000599</t>
  </si>
  <si>
    <t>Faulkey Gully MUD</t>
  </si>
  <si>
    <t>06000600</t>
  </si>
  <si>
    <t>Emerald Forest Utility District</t>
  </si>
  <si>
    <t>06000601</t>
  </si>
  <si>
    <t>Harris County MUD 536</t>
  </si>
  <si>
    <t>06000602</t>
  </si>
  <si>
    <t>Chambers County Improvement District 2</t>
  </si>
  <si>
    <t>06000609</t>
  </si>
  <si>
    <t>Harris County MUD 502</t>
  </si>
  <si>
    <t>06000610</t>
  </si>
  <si>
    <t>Waller Town Center Management District</t>
  </si>
  <si>
    <t>06000611</t>
  </si>
  <si>
    <t>Waller County MUD 9</t>
  </si>
  <si>
    <t>06000616</t>
  </si>
  <si>
    <t>CY Fair Community Improvement District</t>
  </si>
  <si>
    <t>06000617</t>
  </si>
  <si>
    <t>Harris County MUD 503</t>
  </si>
  <si>
    <t>06000618</t>
  </si>
  <si>
    <t>Harris County MUD 518</t>
  </si>
  <si>
    <t>06000619</t>
  </si>
  <si>
    <t>Harris County MUD 525</t>
  </si>
  <si>
    <t>06000620</t>
  </si>
  <si>
    <t>Southern Montgomery County MUD</t>
  </si>
  <si>
    <t>06000625</t>
  </si>
  <si>
    <t>Montgomery County MUD 103</t>
  </si>
  <si>
    <t>06000626</t>
  </si>
  <si>
    <t>Harris County MUD 505</t>
  </si>
  <si>
    <t>06000628</t>
  </si>
  <si>
    <t>Brazoria County MUD 2</t>
  </si>
  <si>
    <t>06000629</t>
  </si>
  <si>
    <t>West Park MUD</t>
  </si>
  <si>
    <t>06000630</t>
  </si>
  <si>
    <t>Harris County MUD 504</t>
  </si>
  <si>
    <t>06000631</t>
  </si>
  <si>
    <t>Montgomery County MUD 107</t>
  </si>
  <si>
    <t>06000634</t>
  </si>
  <si>
    <t>Montgomery County MUD 101</t>
  </si>
  <si>
    <t>06000638</t>
  </si>
  <si>
    <t>Northwest Harris County MUD 32</t>
  </si>
  <si>
    <t>06000639</t>
  </si>
  <si>
    <t>Northeast Harris County MUD 1</t>
  </si>
  <si>
    <t>06000640</t>
  </si>
  <si>
    <t>Harris County MUD 127</t>
  </si>
  <si>
    <t>06000643</t>
  </si>
  <si>
    <t>Harris County MUD 437</t>
  </si>
  <si>
    <t>06000654</t>
  </si>
  <si>
    <t>East Montgomery County MUD 8</t>
  </si>
  <si>
    <t>06000655</t>
  </si>
  <si>
    <t>East Montgomery County MUD 9</t>
  </si>
  <si>
    <t>06000656</t>
  </si>
  <si>
    <t>East Montgomery County MUD 10</t>
  </si>
  <si>
    <t>06000657</t>
  </si>
  <si>
    <t>East Montgomery County MUD 11</t>
  </si>
  <si>
    <t>06000664</t>
  </si>
  <si>
    <t>Montgomery County WCID 1</t>
  </si>
  <si>
    <t>06000665</t>
  </si>
  <si>
    <t>Clear Lake City Water Authority</t>
  </si>
  <si>
    <t>06000667</t>
  </si>
  <si>
    <t>Hardin Store Road MUD 1</t>
  </si>
  <si>
    <t>06000672</t>
  </si>
  <si>
    <t>Chambers-Liberty Counties Improvement District</t>
  </si>
  <si>
    <t>06000673</t>
  </si>
  <si>
    <t>Galveston County MUD 64</t>
  </si>
  <si>
    <t>06000676</t>
  </si>
  <si>
    <t>Brazoria-Fort Bend County MUD 1</t>
  </si>
  <si>
    <t>06000679</t>
  </si>
  <si>
    <t>Harris County MUD 191</t>
  </si>
  <si>
    <t>06000685</t>
  </si>
  <si>
    <t>Cinco Southwest MUD 4</t>
  </si>
  <si>
    <t>06000695</t>
  </si>
  <si>
    <t>Harris County Improvement District 8</t>
  </si>
  <si>
    <t>06000696</t>
  </si>
  <si>
    <t>Harris County Improvement District 13</t>
  </si>
  <si>
    <t>06000697</t>
  </si>
  <si>
    <t>Harris County Improvement District 15</t>
  </si>
  <si>
    <t>06000701</t>
  </si>
  <si>
    <t>Harris County MUD 290</t>
  </si>
  <si>
    <t>06000702</t>
  </si>
  <si>
    <t>Montgomery County MUD 84</t>
  </si>
  <si>
    <t>06000711</t>
  </si>
  <si>
    <t>Chambers County MUD 1</t>
  </si>
  <si>
    <t>06000713</t>
  </si>
  <si>
    <t>Montgomery County MUD 102</t>
  </si>
  <si>
    <t>06000715</t>
  </si>
  <si>
    <t>Harris County MUD 427</t>
  </si>
  <si>
    <t>06000716</t>
  </si>
  <si>
    <t>Harris County MUD 428</t>
  </si>
  <si>
    <t>06000717</t>
  </si>
  <si>
    <t>Harris County MUD 429</t>
  </si>
  <si>
    <t>06000721</t>
  </si>
  <si>
    <t>Harris County Municipal Management District 1</t>
  </si>
  <si>
    <t>06000722</t>
  </si>
  <si>
    <t>Galveston County WCID 8</t>
  </si>
  <si>
    <t>06000724</t>
  </si>
  <si>
    <t>Montgomery County MUD 98</t>
  </si>
  <si>
    <t>06000725</t>
  </si>
  <si>
    <t>Montgomery County MUD 94</t>
  </si>
  <si>
    <t>06000726</t>
  </si>
  <si>
    <t>Harris County MUD 572</t>
  </si>
  <si>
    <t>06000734</t>
  </si>
  <si>
    <t>Montgomery County MUD 177</t>
  </si>
  <si>
    <t>06000739</t>
  </si>
  <si>
    <t>East Montgomery County MUD 14</t>
  </si>
  <si>
    <t>06000742</t>
  </si>
  <si>
    <t>Galveston County MUD 65</t>
  </si>
  <si>
    <t>06000746</t>
  </si>
  <si>
    <t>Montgomery County MUD 128</t>
  </si>
  <si>
    <t>06000747</t>
  </si>
  <si>
    <t>Montgomery County MUD 124</t>
  </si>
  <si>
    <t>06000748</t>
  </si>
  <si>
    <t>Montgomery County WCID 3</t>
  </si>
  <si>
    <t>06000749</t>
  </si>
  <si>
    <t>Southeast Montgomery County MUD 1</t>
  </si>
  <si>
    <t>06000753</t>
  </si>
  <si>
    <t>Montgomery County MUD 127</t>
  </si>
  <si>
    <t>06000756</t>
  </si>
  <si>
    <t>Harris County MUD 478</t>
  </si>
  <si>
    <t>06000757</t>
  </si>
  <si>
    <t>Montgomery County MUD 130</t>
  </si>
  <si>
    <t>06000760</t>
  </si>
  <si>
    <t>Luce Bayou PUD</t>
  </si>
  <si>
    <t>06000761</t>
  </si>
  <si>
    <t>Galveston County MUD 54</t>
  </si>
  <si>
    <t>06000765</t>
  </si>
  <si>
    <t>Brazoria County MUD 34</t>
  </si>
  <si>
    <t>06000766</t>
  </si>
  <si>
    <t>Harris County MUD 498</t>
  </si>
  <si>
    <t>06000768</t>
  </si>
  <si>
    <t>Addicks Utility District</t>
  </si>
  <si>
    <t>06000770</t>
  </si>
  <si>
    <t>Brazoria County MUD 31</t>
  </si>
  <si>
    <t>06000773</t>
  </si>
  <si>
    <t>Highland MUD</t>
  </si>
  <si>
    <t>06000774</t>
  </si>
  <si>
    <t>Montgomery County MUD 100</t>
  </si>
  <si>
    <t>06000776</t>
  </si>
  <si>
    <t>Harris County Road Improvement District 2</t>
  </si>
  <si>
    <t>06000777</t>
  </si>
  <si>
    <t>Harris County MUD 499</t>
  </si>
  <si>
    <t>06000782</t>
  </si>
  <si>
    <t>Prestonwood Forest Utility District</t>
  </si>
  <si>
    <t>06000790</t>
  </si>
  <si>
    <t>Montgomery County MUD 104</t>
  </si>
  <si>
    <t>06000791</t>
  </si>
  <si>
    <t>Montgomery County MUD 117</t>
  </si>
  <si>
    <t>06000792</t>
  </si>
  <si>
    <t>Harris County MUD 189</t>
  </si>
  <si>
    <t>06000794</t>
  </si>
  <si>
    <t>Spring West MUD</t>
  </si>
  <si>
    <t>06000795</t>
  </si>
  <si>
    <t>Harris County WCID 132</t>
  </si>
  <si>
    <t>06000797</t>
  </si>
  <si>
    <t>Harris-Waller Counties MUD 2</t>
  </si>
  <si>
    <t>06000798</t>
  </si>
  <si>
    <t>Spring Creek Utility District</t>
  </si>
  <si>
    <t>06000800</t>
  </si>
  <si>
    <t>Westwood Magnolia Parkway Improvement District</t>
  </si>
  <si>
    <t>06000802</t>
  </si>
  <si>
    <t>Blaketree MUD 1 of Montgomery County</t>
  </si>
  <si>
    <t>06000803</t>
  </si>
  <si>
    <t>Harris County MUD 286</t>
  </si>
  <si>
    <t>06000804</t>
  </si>
  <si>
    <t>Harris County MUD 70</t>
  </si>
  <si>
    <t>06000805</t>
  </si>
  <si>
    <t>Brazoria County MUD 3</t>
  </si>
  <si>
    <t>06000806</t>
  </si>
  <si>
    <t>Harris County MUD 186</t>
  </si>
  <si>
    <t>06000807</t>
  </si>
  <si>
    <t>Harris County MUD 257</t>
  </si>
  <si>
    <t>06000808</t>
  </si>
  <si>
    <t>Harris County MUD 231</t>
  </si>
  <si>
    <t>06000809</t>
  </si>
  <si>
    <t>Camfield MUD</t>
  </si>
  <si>
    <t>06000810</t>
  </si>
  <si>
    <t>Harris County MUD 346</t>
  </si>
  <si>
    <t>06000811</t>
  </si>
  <si>
    <t>Montgomery County MUD 85</t>
  </si>
  <si>
    <t>06000813</t>
  </si>
  <si>
    <t>Montgomery County MUD 87</t>
  </si>
  <si>
    <t>06000814</t>
  </si>
  <si>
    <t>Harris County MUD 342</t>
  </si>
  <si>
    <t>06000819</t>
  </si>
  <si>
    <t>Fort Bend County MUD 37</t>
  </si>
  <si>
    <t>06000820</t>
  </si>
  <si>
    <t>Galveston County MUD 13</t>
  </si>
  <si>
    <t>06000822</t>
  </si>
  <si>
    <t>Harris County MUD 19</t>
  </si>
  <si>
    <t>06000823</t>
  </si>
  <si>
    <t>Harris County MUD 6</t>
  </si>
  <si>
    <t>06000824</t>
  </si>
  <si>
    <t>Harris County MUD 69</t>
  </si>
  <si>
    <t>06000825</t>
  </si>
  <si>
    <t>Harris County MUD 535</t>
  </si>
  <si>
    <t>06000826</t>
  </si>
  <si>
    <t>Liberty Lakes FWSD 1</t>
  </si>
  <si>
    <t>06000828</t>
  </si>
  <si>
    <t>Cinco MUD 8</t>
  </si>
  <si>
    <t>06000829</t>
  </si>
  <si>
    <t>Rolling Creek Utility District</t>
  </si>
  <si>
    <t>06000830</t>
  </si>
  <si>
    <t>Harris County MUD 150</t>
  </si>
  <si>
    <t>06000839</t>
  </si>
  <si>
    <t>Harris County Improvement District 16</t>
  </si>
  <si>
    <t>06000848</t>
  </si>
  <si>
    <t>Harris Fort Bend Counties MUD 1</t>
  </si>
  <si>
    <t>06000849</t>
  </si>
  <si>
    <t>Grand Northwest MUD</t>
  </si>
  <si>
    <t>06000850</t>
  </si>
  <si>
    <t>Harris County FWSD 6</t>
  </si>
  <si>
    <t>06000855</t>
  </si>
  <si>
    <t>Windfern Forest Utility District</t>
  </si>
  <si>
    <t>06000856</t>
  </si>
  <si>
    <t>Porter MUD</t>
  </si>
  <si>
    <t>06000858</t>
  </si>
  <si>
    <t>Brazoria County MUD 26</t>
  </si>
  <si>
    <t>06000859</t>
  </si>
  <si>
    <t>Town Center Improvement District</t>
  </si>
  <si>
    <t>06000861</t>
  </si>
  <si>
    <t>Chimney Hill MUD</t>
  </si>
  <si>
    <t>06000866</t>
  </si>
  <si>
    <t>Fort Bend County MUD 199</t>
  </si>
  <si>
    <t>06000869</t>
  </si>
  <si>
    <t>Harris County MUD 368</t>
  </si>
  <si>
    <t>06000885</t>
  </si>
  <si>
    <t>Timberlake Improvement District</t>
  </si>
  <si>
    <t>06000886</t>
  </si>
  <si>
    <t>Harris County WCID 136</t>
  </si>
  <si>
    <t>06000889</t>
  </si>
  <si>
    <t>Grimes County MUD 1</t>
  </si>
  <si>
    <t>06000892</t>
  </si>
  <si>
    <t>Galveston County FWSD 6</t>
  </si>
  <si>
    <t>06000893</t>
  </si>
  <si>
    <t>South Shore Harbor MUD 6</t>
  </si>
  <si>
    <t>06000894</t>
  </si>
  <si>
    <t>Harris County MUD 515</t>
  </si>
  <si>
    <t>06000898</t>
  </si>
  <si>
    <t>Harris County MUD 354</t>
  </si>
  <si>
    <t>06000899</t>
  </si>
  <si>
    <t>Harris County MUD 359</t>
  </si>
  <si>
    <t>06000900</t>
  </si>
  <si>
    <t>Harris County WCID 133</t>
  </si>
  <si>
    <t>06000901</t>
  </si>
  <si>
    <t>Harris County WCID 74</t>
  </si>
  <si>
    <t>06000905</t>
  </si>
  <si>
    <t>Brazoria County MUD 55</t>
  </si>
  <si>
    <t>06000906</t>
  </si>
  <si>
    <t>Harris County WCID 160</t>
  </si>
  <si>
    <t>06000907</t>
  </si>
  <si>
    <t>Harris County MUD 514</t>
  </si>
  <si>
    <t>06000913</t>
  </si>
  <si>
    <t>Harris County MUD 250</t>
  </si>
  <si>
    <t>06000920</t>
  </si>
  <si>
    <t>Cinco MUD 7</t>
  </si>
  <si>
    <t>06000928</t>
  </si>
  <si>
    <t>Willow Fork Drainage District</t>
  </si>
  <si>
    <t>06000929</t>
  </si>
  <si>
    <t>Harris County MUD 275</t>
  </si>
  <si>
    <t>06000930</t>
  </si>
  <si>
    <t>Fort Bend County MUD 124</t>
  </si>
  <si>
    <t>06000931</t>
  </si>
  <si>
    <t>San Leon MUD</t>
  </si>
  <si>
    <t>06000932</t>
  </si>
  <si>
    <t>Galveston County MUD 3</t>
  </si>
  <si>
    <t>06000933</t>
  </si>
  <si>
    <t>Galveston County MUD 2</t>
  </si>
  <si>
    <t>06000934</t>
  </si>
  <si>
    <t>Galveston County MUD 12</t>
  </si>
  <si>
    <t>06000942</t>
  </si>
  <si>
    <t>Corinthian Point MUD 2</t>
  </si>
  <si>
    <t>06000943</t>
  </si>
  <si>
    <t>Chateau Woods MUD</t>
  </si>
  <si>
    <t>06000944</t>
  </si>
  <si>
    <t>Montgomery County Utility District 3</t>
  </si>
  <si>
    <t>06000945</t>
  </si>
  <si>
    <t>Wood Trace MUD 3</t>
  </si>
  <si>
    <t>06000946</t>
  </si>
  <si>
    <t>River Plantation MUD</t>
  </si>
  <si>
    <t>06000952</t>
  </si>
  <si>
    <t>Flamingo Isles MUD</t>
  </si>
  <si>
    <t>06000953</t>
  </si>
  <si>
    <t>Bayview MUD</t>
  </si>
  <si>
    <t>06000954</t>
  </si>
  <si>
    <t>Bacliff MUD</t>
  </si>
  <si>
    <t>06000955</t>
  </si>
  <si>
    <t>Cinco MUD 9</t>
  </si>
  <si>
    <t>06000956</t>
  </si>
  <si>
    <t>Cinco MUD 6</t>
  </si>
  <si>
    <t>06000958</t>
  </si>
  <si>
    <t>Grand Lakes MUD 4</t>
  </si>
  <si>
    <t>06000961</t>
  </si>
  <si>
    <t>Harris County FWSD 48</t>
  </si>
  <si>
    <t>06000963</t>
  </si>
  <si>
    <t>Harris County Improvement District 12</t>
  </si>
  <si>
    <t>06000964</t>
  </si>
  <si>
    <t>Fall Creek Management District</t>
  </si>
  <si>
    <t>06000975</t>
  </si>
  <si>
    <t>East Plantation Utility District</t>
  </si>
  <si>
    <t>06000983</t>
  </si>
  <si>
    <t>Harris County WCID-Fondren Road</t>
  </si>
  <si>
    <t>06000986</t>
  </si>
  <si>
    <t>Kirkmont MUD</t>
  </si>
  <si>
    <t>06000987</t>
  </si>
  <si>
    <t>Klein PUD</t>
  </si>
  <si>
    <t>06000988</t>
  </si>
  <si>
    <t>Pine Bough PUD</t>
  </si>
  <si>
    <t>06000996</t>
  </si>
  <si>
    <t>Harris County WCID 50</t>
  </si>
  <si>
    <t>06000997</t>
  </si>
  <si>
    <t>Harris County WCID 145</t>
  </si>
  <si>
    <t>06000998</t>
  </si>
  <si>
    <t>Harris County WCID 89</t>
  </si>
  <si>
    <t>06000999</t>
  </si>
  <si>
    <t>Harris County WCID 113</t>
  </si>
  <si>
    <t>06001010</t>
  </si>
  <si>
    <t>League City Improvement District</t>
  </si>
  <si>
    <t>06001015</t>
  </si>
  <si>
    <t>Harris County MUD 321</t>
  </si>
  <si>
    <t>06001021</t>
  </si>
  <si>
    <t>Waller County WCID 2</t>
  </si>
  <si>
    <t>06001026</t>
  </si>
  <si>
    <t>Galveston County MUD 52</t>
  </si>
  <si>
    <t>06001027</t>
  </si>
  <si>
    <t>Cinco Southwest MUD 1</t>
  </si>
  <si>
    <t>06001029</t>
  </si>
  <si>
    <t>Galveston County MUD 68</t>
  </si>
  <si>
    <t>06001032</t>
  </si>
  <si>
    <t>Montgomery County MUD 92</t>
  </si>
  <si>
    <t>06001033</t>
  </si>
  <si>
    <t>Galveston County MUD 46</t>
  </si>
  <si>
    <t>06001036</t>
  </si>
  <si>
    <t>Montgomery County Drainage District 10</t>
  </si>
  <si>
    <t>06001037</t>
  </si>
  <si>
    <t>Pearland Municpal Management Dist 1</t>
  </si>
  <si>
    <t>06001039</t>
  </si>
  <si>
    <t>Crosby MUD</t>
  </si>
  <si>
    <t>06001051</t>
  </si>
  <si>
    <t>The Woodlands MUD 1</t>
  </si>
  <si>
    <t>06001052</t>
  </si>
  <si>
    <t>Texas National MUD</t>
  </si>
  <si>
    <t>06001053</t>
  </si>
  <si>
    <t>Roman Forest PUD 4</t>
  </si>
  <si>
    <t>06001054</t>
  </si>
  <si>
    <t>Roman Forest PUD 3</t>
  </si>
  <si>
    <t>06001055</t>
  </si>
  <si>
    <t>New Caney MUD</t>
  </si>
  <si>
    <t>06001061</t>
  </si>
  <si>
    <t>Harris County MUD 463</t>
  </si>
  <si>
    <t>06001062</t>
  </si>
  <si>
    <t>Galveston County MUD 55</t>
  </si>
  <si>
    <t>06001063</t>
  </si>
  <si>
    <t>Galveston County MUD 57</t>
  </si>
  <si>
    <t>06001064</t>
  </si>
  <si>
    <t>Harris County FWSD 52</t>
  </si>
  <si>
    <t>06001065</t>
  </si>
  <si>
    <t>Harris County MUD 370</t>
  </si>
  <si>
    <t>06001066</t>
  </si>
  <si>
    <t>Northwest Harris County MUD 29</t>
  </si>
  <si>
    <t>06001067</t>
  </si>
  <si>
    <t>Weston MUD</t>
  </si>
  <si>
    <t>06001068</t>
  </si>
  <si>
    <t>West Memorial MUD</t>
  </si>
  <si>
    <t>06001069</t>
  </si>
  <si>
    <t>Woodcreek MUD</t>
  </si>
  <si>
    <t>06001070</t>
  </si>
  <si>
    <t>Tara Glen MUD</t>
  </si>
  <si>
    <t>06001075</t>
  </si>
  <si>
    <t>Harris County MUD 468</t>
  </si>
  <si>
    <t>06001076</t>
  </si>
  <si>
    <t>Harris County MUD 454</t>
  </si>
  <si>
    <t>06001078</t>
  </si>
  <si>
    <t>Galveston County Management District 1</t>
  </si>
  <si>
    <t>06001081</t>
  </si>
  <si>
    <t>North Park PUD</t>
  </si>
  <si>
    <t>06001084</t>
  </si>
  <si>
    <t>Harris County MUD 537</t>
  </si>
  <si>
    <t>06001087</t>
  </si>
  <si>
    <t>Harris County MUD 154</t>
  </si>
  <si>
    <t>06001089</t>
  </si>
  <si>
    <t>Harris County MUD 261</t>
  </si>
  <si>
    <t>06001090</t>
  </si>
  <si>
    <t>Brazoria County MUD 30</t>
  </si>
  <si>
    <t>06001094</t>
  </si>
  <si>
    <t>Bissonnet MUD</t>
  </si>
  <si>
    <t>06001099</t>
  </si>
  <si>
    <t>Parkway Utility District</t>
  </si>
  <si>
    <t>06001100</t>
  </si>
  <si>
    <t>Montgomery County MUD 99</t>
  </si>
  <si>
    <t>06001105</t>
  </si>
  <si>
    <t>Five Corners Improvement District</t>
  </si>
  <si>
    <t>06001107</t>
  </si>
  <si>
    <t>Harris County Improvement District 10A</t>
  </si>
  <si>
    <t>06001109</t>
  </si>
  <si>
    <t>Horsepen Bayou MUD</t>
  </si>
  <si>
    <t>06001110</t>
  </si>
  <si>
    <t>East Aldine Management District</t>
  </si>
  <si>
    <t>06001111</t>
  </si>
  <si>
    <t>Post Wood MUD</t>
  </si>
  <si>
    <t>06001116</t>
  </si>
  <si>
    <t>Ponderosa Forest Utility District</t>
  </si>
  <si>
    <t>06001117</t>
  </si>
  <si>
    <t>Brazoria County MUD 16</t>
  </si>
  <si>
    <t>06001119</t>
  </si>
  <si>
    <t>Montgomery County MUD 116</t>
  </si>
  <si>
    <t>06001120</t>
  </si>
  <si>
    <t>Harris County MUD 425</t>
  </si>
  <si>
    <t>06001121</t>
  </si>
  <si>
    <t>Harris County MUD 426</t>
  </si>
  <si>
    <t>06001122</t>
  </si>
  <si>
    <t>Harris County MUD 485</t>
  </si>
  <si>
    <t>06001123</t>
  </si>
  <si>
    <t>Harris County MUD 483</t>
  </si>
  <si>
    <t>06001124</t>
  </si>
  <si>
    <t>Harris County MUD 484</t>
  </si>
  <si>
    <t>06001128</t>
  </si>
  <si>
    <t>Harris County WCID 158</t>
  </si>
  <si>
    <t>06001136</t>
  </si>
  <si>
    <t>Lake MUD</t>
  </si>
  <si>
    <t>06001137</t>
  </si>
  <si>
    <t>Harris County MUD 282</t>
  </si>
  <si>
    <t>06001138</t>
  </si>
  <si>
    <t>H-M-W SUD</t>
  </si>
  <si>
    <t>06001142</t>
  </si>
  <si>
    <t>Harris County MUD 433</t>
  </si>
  <si>
    <t>06001143</t>
  </si>
  <si>
    <t>Harris County MUD 449</t>
  </si>
  <si>
    <t>06001144</t>
  </si>
  <si>
    <t>Clear Brook City MUD</t>
  </si>
  <si>
    <t>06001146</t>
  </si>
  <si>
    <t>Harris County MUD 106</t>
  </si>
  <si>
    <t>06001148</t>
  </si>
  <si>
    <t>Galveston County MUD 30</t>
  </si>
  <si>
    <t>06001149</t>
  </si>
  <si>
    <t>Smith Ridge MUD</t>
  </si>
  <si>
    <t>06001151</t>
  </si>
  <si>
    <t>Harris County MUD 211</t>
  </si>
  <si>
    <t>06001155</t>
  </si>
  <si>
    <t>Galveston County MUD 18</t>
  </si>
  <si>
    <t>06001157</t>
  </si>
  <si>
    <t>Sheldon Road MUD</t>
  </si>
  <si>
    <t>06001158</t>
  </si>
  <si>
    <t>Heatherloch MUD</t>
  </si>
  <si>
    <t>06001159</t>
  </si>
  <si>
    <t>Kings Manor MUD</t>
  </si>
  <si>
    <t>06001161</t>
  </si>
  <si>
    <t>Cypress Forest PUD</t>
  </si>
  <si>
    <t>06001162</t>
  </si>
  <si>
    <t>Harris County WCID 157</t>
  </si>
  <si>
    <t>06001165</t>
  </si>
  <si>
    <t>Brazoria County MUD 36</t>
  </si>
  <si>
    <t>06001166</t>
  </si>
  <si>
    <t>Harris County MUD 167</t>
  </si>
  <si>
    <t>06001169</t>
  </si>
  <si>
    <t>Harris County MUD 271</t>
  </si>
  <si>
    <t>06001170</t>
  </si>
  <si>
    <t>Harris County Improvement District 4</t>
  </si>
  <si>
    <t>06001171</t>
  </si>
  <si>
    <t>Harris County MUD 372</t>
  </si>
  <si>
    <t>06001172</t>
  </si>
  <si>
    <t>Oakmont Public Utility District</t>
  </si>
  <si>
    <t>06001175</t>
  </si>
  <si>
    <t>Harris County MUD 130</t>
  </si>
  <si>
    <t>06001177</t>
  </si>
  <si>
    <t>Grand Lakes MUD 2</t>
  </si>
  <si>
    <t>06001178</t>
  </si>
  <si>
    <t>Grand Lakes WCID</t>
  </si>
  <si>
    <t>06001180</t>
  </si>
  <si>
    <t>Liberty County MUD 7</t>
  </si>
  <si>
    <t>06001190</t>
  </si>
  <si>
    <t>Rolling Fork PUD</t>
  </si>
  <si>
    <t>06001191</t>
  </si>
  <si>
    <t>Southwest Harris County MUD 1</t>
  </si>
  <si>
    <t>06001192</t>
  </si>
  <si>
    <t>Spencer Road PUD</t>
  </si>
  <si>
    <t>06001193</t>
  </si>
  <si>
    <t>Spring Creek Forest PUD</t>
  </si>
  <si>
    <t>06001194</t>
  </si>
  <si>
    <t>Tattor Road MUD</t>
  </si>
  <si>
    <t>06001196</t>
  </si>
  <si>
    <t>Bay Colony West MUD</t>
  </si>
  <si>
    <t>06001197</t>
  </si>
  <si>
    <t>Brazoria County MUD 35</t>
  </si>
  <si>
    <t>06001198</t>
  </si>
  <si>
    <t>Grand Oaks MUD</t>
  </si>
  <si>
    <t>06001199</t>
  </si>
  <si>
    <t>Ricewood MUD</t>
  </si>
  <si>
    <t>06001203</t>
  </si>
  <si>
    <t>Galveston County MUD 44</t>
  </si>
  <si>
    <t>06001212</t>
  </si>
  <si>
    <t>Harris County MUD 173</t>
  </si>
  <si>
    <t>06001214</t>
  </si>
  <si>
    <t>Harris County MUD 239</t>
  </si>
  <si>
    <t>06001222</t>
  </si>
  <si>
    <t>Harris County WCID 99</t>
  </si>
  <si>
    <t>06001223</t>
  </si>
  <si>
    <t>Timber Lane Utility District</t>
  </si>
  <si>
    <t>06001224</t>
  </si>
  <si>
    <t>Harris County MUD 287</t>
  </si>
  <si>
    <t>06001225</t>
  </si>
  <si>
    <t>Harris County MUD 36</t>
  </si>
  <si>
    <t>06001226</t>
  </si>
  <si>
    <t>Fort Bend County MUD 26</t>
  </si>
  <si>
    <t>06001227</t>
  </si>
  <si>
    <t>Harris County MUD 55</t>
  </si>
  <si>
    <t>06001229</t>
  </si>
  <si>
    <t>Harris County MUD 432</t>
  </si>
  <si>
    <t>06001230</t>
  </si>
  <si>
    <t>Harris County MUD 457</t>
  </si>
  <si>
    <t>06001232</t>
  </si>
  <si>
    <t>Harris Fort Bend Counties MUD 5</t>
  </si>
  <si>
    <t>06001234</t>
  </si>
  <si>
    <t>Harris Fort Bend Counties MUD 3</t>
  </si>
  <si>
    <t>06001235</t>
  </si>
  <si>
    <t>Harris County WCID 156</t>
  </si>
  <si>
    <t>06001236</t>
  </si>
  <si>
    <t>Mission Bend MUD 2</t>
  </si>
  <si>
    <t>06001237</t>
  </si>
  <si>
    <t>North Green MUD</t>
  </si>
  <si>
    <t>06001239</t>
  </si>
  <si>
    <t>Galveston County MUD 45</t>
  </si>
  <si>
    <t>06001242</t>
  </si>
  <si>
    <t>Harris County MUD 71</t>
  </si>
  <si>
    <t>06001243</t>
  </si>
  <si>
    <t>Harris County MUD 61</t>
  </si>
  <si>
    <t>06001249</t>
  </si>
  <si>
    <t>Cimarron MUD</t>
  </si>
  <si>
    <t>06001250</t>
  </si>
  <si>
    <t>Intercontinental MUD</t>
  </si>
  <si>
    <t>06001251</t>
  </si>
  <si>
    <t>Montgomery County Utility District 4</t>
  </si>
  <si>
    <t>06001252</t>
  </si>
  <si>
    <t>Northwest Harris County MUD 12</t>
  </si>
  <si>
    <t>06001257</t>
  </si>
  <si>
    <t>Harris County MUD 188</t>
  </si>
  <si>
    <t>06001259</t>
  </si>
  <si>
    <t>Harris County WCID 159</t>
  </si>
  <si>
    <t>06001263</t>
  </si>
  <si>
    <t>Harris County MUD 58</t>
  </si>
  <si>
    <t>06001274</t>
  </si>
  <si>
    <t>Fort Bend County MUD 123</t>
  </si>
  <si>
    <t>06001275</t>
  </si>
  <si>
    <t>Northwest Park MUD</t>
  </si>
  <si>
    <t>06001277</t>
  </si>
  <si>
    <t>Northwest Harris County MUD 21</t>
  </si>
  <si>
    <t>06001278</t>
  </si>
  <si>
    <t>Northwest Harris County MUD 24</t>
  </si>
  <si>
    <t>06001279</t>
  </si>
  <si>
    <t>Northwest Harris County MUD 28</t>
  </si>
  <si>
    <t>06001280</t>
  </si>
  <si>
    <t>Harris County MUD 53</t>
  </si>
  <si>
    <t>06001287</t>
  </si>
  <si>
    <t>Harris County MUD 281</t>
  </si>
  <si>
    <t>06001291</t>
  </si>
  <si>
    <t>Northwest Harris County MUD 5</t>
  </si>
  <si>
    <t>06001292</t>
  </si>
  <si>
    <t>Harris County MUD 451</t>
  </si>
  <si>
    <t>06001293</t>
  </si>
  <si>
    <t>Montgomery County MUD 68</t>
  </si>
  <si>
    <t>06001298</t>
  </si>
  <si>
    <t>West Harris County MUD 2</t>
  </si>
  <si>
    <t>06001305</t>
  </si>
  <si>
    <t>Harris County MUD 371</t>
  </si>
  <si>
    <t>06001309</t>
  </si>
  <si>
    <t>Galveston County MUD 14</t>
  </si>
  <si>
    <t>06001313</t>
  </si>
  <si>
    <t>Harris County MUD 96</t>
  </si>
  <si>
    <t>06001314</t>
  </si>
  <si>
    <t>Harris County MUD 364</t>
  </si>
  <si>
    <t>06001315</t>
  </si>
  <si>
    <t>Harris County MUD 405</t>
  </si>
  <si>
    <t>06001316</t>
  </si>
  <si>
    <t>Harris County MUD 411</t>
  </si>
  <si>
    <t>06001317</t>
  </si>
  <si>
    <t>Brazoria County MUD 6</t>
  </si>
  <si>
    <t>06001318</t>
  </si>
  <si>
    <t>Brazoria County MUD 23</t>
  </si>
  <si>
    <t>06001320</t>
  </si>
  <si>
    <t>Cypress Creek Utility District</t>
  </si>
  <si>
    <t>06001321</t>
  </si>
  <si>
    <t>Northwest Harris County MUD 9</t>
  </si>
  <si>
    <t>06001326</t>
  </si>
  <si>
    <t>Harris County MUD 422</t>
  </si>
  <si>
    <t>06001327</t>
  </si>
  <si>
    <t>Harris County MUD 462</t>
  </si>
  <si>
    <t>06001328</t>
  </si>
  <si>
    <t>Memorial Hills Utility District</t>
  </si>
  <si>
    <t>06001329</t>
  </si>
  <si>
    <t>Harris County MUD 238</t>
  </si>
  <si>
    <t>06001331</t>
  </si>
  <si>
    <t>Harris County MUD 205</t>
  </si>
  <si>
    <t>06001333</t>
  </si>
  <si>
    <t>Harris County MUD 172</t>
  </si>
  <si>
    <t>06001334</t>
  </si>
  <si>
    <t>Harris County MUD 390</t>
  </si>
  <si>
    <t>06001341</t>
  </si>
  <si>
    <t>Harris County MUD 285</t>
  </si>
  <si>
    <t>06001342</t>
  </si>
  <si>
    <t>Harris County WCID 92</t>
  </si>
  <si>
    <t>06001343</t>
  </si>
  <si>
    <t>Fort Bend County MUD 151</t>
  </si>
  <si>
    <t>06001344</t>
  </si>
  <si>
    <t>Richey Road MUD</t>
  </si>
  <si>
    <t>06001349</t>
  </si>
  <si>
    <t>Galveston County Drainage District 1</t>
  </si>
  <si>
    <t>06001353</t>
  </si>
  <si>
    <t>Harris County MUD 280</t>
  </si>
  <si>
    <t>06001354</t>
  </si>
  <si>
    <t>Harris County WCID 110</t>
  </si>
  <si>
    <t>06001355</t>
  </si>
  <si>
    <t>Fallbrook Utility District</t>
  </si>
  <si>
    <t>06001357</t>
  </si>
  <si>
    <t>Harris County MUD 171</t>
  </si>
  <si>
    <t>06001359</t>
  </si>
  <si>
    <t>Forest Hills MUD</t>
  </si>
  <si>
    <t>06001365</t>
  </si>
  <si>
    <t>Harris County MUD 153</t>
  </si>
  <si>
    <t>06001366</t>
  </si>
  <si>
    <t>Harris County MUD 355</t>
  </si>
  <si>
    <t>06001369</t>
  </si>
  <si>
    <t>Montgomery County MUD 18</t>
  </si>
  <si>
    <t>06001370</t>
  </si>
  <si>
    <t>Galveston County MUD 60</t>
  </si>
  <si>
    <t>06001371</t>
  </si>
  <si>
    <t>Galveston County MUD 32</t>
  </si>
  <si>
    <t>06001374</t>
  </si>
  <si>
    <t>Harris County MUD 375</t>
  </si>
  <si>
    <t>06001375</t>
  </si>
  <si>
    <t>Harris County MUD 410</t>
  </si>
  <si>
    <t>06001378</t>
  </si>
  <si>
    <t>Harris County MUD 473</t>
  </si>
  <si>
    <t>06001380</t>
  </si>
  <si>
    <t>Harris County MUD 25</t>
  </si>
  <si>
    <t>06001381</t>
  </si>
  <si>
    <t>Montgomery County MUD 137</t>
  </si>
  <si>
    <t>06001386</t>
  </si>
  <si>
    <t>Harris County WCID 36</t>
  </si>
  <si>
    <t>06001387</t>
  </si>
  <si>
    <t>Montgomery County MUD 138</t>
  </si>
  <si>
    <t>06001388</t>
  </si>
  <si>
    <t>Montgomery County MUD 142</t>
  </si>
  <si>
    <t>06001389</t>
  </si>
  <si>
    <t>Royalwood MUD</t>
  </si>
  <si>
    <t>06001390</t>
  </si>
  <si>
    <t>Baybrook MUD 1</t>
  </si>
  <si>
    <t>06001391</t>
  </si>
  <si>
    <t>Lake Conroe Hills MUD</t>
  </si>
  <si>
    <t>06001394</t>
  </si>
  <si>
    <t>Harris County MUD 452</t>
  </si>
  <si>
    <t>06001395</t>
  </si>
  <si>
    <t>Near Northside Management District</t>
  </si>
  <si>
    <t>06001396</t>
  </si>
  <si>
    <t>Montrose Management District</t>
  </si>
  <si>
    <t>06001400</t>
  </si>
  <si>
    <t>Westchase District</t>
  </si>
  <si>
    <t>06001402</t>
  </si>
  <si>
    <t>Harris County FWSD 47</t>
  </si>
  <si>
    <t>06001403</t>
  </si>
  <si>
    <t>Montgomery County MUD 7</t>
  </si>
  <si>
    <t>06001404</t>
  </si>
  <si>
    <t>Montgomery County MUD 9</t>
  </si>
  <si>
    <t>06001405</t>
  </si>
  <si>
    <t>Montgomery County MUD 39</t>
  </si>
  <si>
    <t>06001406</t>
  </si>
  <si>
    <t>Harris County MUD 91</t>
  </si>
  <si>
    <t>06001409</t>
  </si>
  <si>
    <t>Harris County MUD 119</t>
  </si>
  <si>
    <t>06001410</t>
  </si>
  <si>
    <t>Harris County MUD 132</t>
  </si>
  <si>
    <t>06001411</t>
  </si>
  <si>
    <t>Harris County MUD 149</t>
  </si>
  <si>
    <t>06001412</t>
  </si>
  <si>
    <t>Harris County MUD 180</t>
  </si>
  <si>
    <t>06001413</t>
  </si>
  <si>
    <t>Reid Road MUD 1</t>
  </si>
  <si>
    <t>06001415</t>
  </si>
  <si>
    <t>Harris County WCID 70</t>
  </si>
  <si>
    <t>06001416</t>
  </si>
  <si>
    <t>Harris County MUD 65</t>
  </si>
  <si>
    <t>06001421</t>
  </si>
  <si>
    <t>Harris County FWSD 1-B</t>
  </si>
  <si>
    <t>06001422</t>
  </si>
  <si>
    <t>Harris County MUD 344</t>
  </si>
  <si>
    <t>06001423</t>
  </si>
  <si>
    <t>Harris County MUD 276</t>
  </si>
  <si>
    <t>06001429</t>
  </si>
  <si>
    <t>Montgomery County MUD 16</t>
  </si>
  <si>
    <t>06001430</t>
  </si>
  <si>
    <t>Martin Creek MUD</t>
  </si>
  <si>
    <t>06001432</t>
  </si>
  <si>
    <t>Galveston County MUD 58</t>
  </si>
  <si>
    <t>06001433</t>
  </si>
  <si>
    <t>Galveston County MUD 43</t>
  </si>
  <si>
    <t>06001434</t>
  </si>
  <si>
    <t>Harris County MUD 185</t>
  </si>
  <si>
    <t>06001435</t>
  </si>
  <si>
    <t>Harris County MUD 389</t>
  </si>
  <si>
    <t>06001436</t>
  </si>
  <si>
    <t>Sagemeadow Utility District</t>
  </si>
  <si>
    <t>06001437</t>
  </si>
  <si>
    <t>Harris County MUD 48</t>
  </si>
  <si>
    <t>06001439</t>
  </si>
  <si>
    <t>Montgomery County MUD 19</t>
  </si>
  <si>
    <t>06001441</t>
  </si>
  <si>
    <t>Harris County MUD 450</t>
  </si>
  <si>
    <t>06001442</t>
  </si>
  <si>
    <t>Galveston County MUD 53</t>
  </si>
  <si>
    <t>06001445</t>
  </si>
  <si>
    <t>Harris County MUD 489</t>
  </si>
  <si>
    <t>06001448</t>
  </si>
  <si>
    <t>Cinco MUD 12</t>
  </si>
  <si>
    <t>06001450</t>
  </si>
  <si>
    <t>Montgomery County MUD 56</t>
  </si>
  <si>
    <t>06001451</t>
  </si>
  <si>
    <t>Montgomery County FWSD 6</t>
  </si>
  <si>
    <t>06001452</t>
  </si>
  <si>
    <t>Montgomery County Drainage District 9</t>
  </si>
  <si>
    <t>06001453</t>
  </si>
  <si>
    <t>Harris County FWSD 45</t>
  </si>
  <si>
    <t>06001454</t>
  </si>
  <si>
    <t>Mission Bend MUD 1</t>
  </si>
  <si>
    <t>06001455</t>
  </si>
  <si>
    <t>Memorial MUD</t>
  </si>
  <si>
    <t>06001456</t>
  </si>
  <si>
    <t>Beechnut  MUD</t>
  </si>
  <si>
    <t>06001457</t>
  </si>
  <si>
    <t>Mayde Creek MUD</t>
  </si>
  <si>
    <t>06001458</t>
  </si>
  <si>
    <t>Mason Creek Utility District</t>
  </si>
  <si>
    <t>06001459</t>
  </si>
  <si>
    <t>Harris County FWSD 51</t>
  </si>
  <si>
    <t>06001460</t>
  </si>
  <si>
    <t>Harris County MUD 170</t>
  </si>
  <si>
    <t>06001461</t>
  </si>
  <si>
    <t>Harris County MUD 168</t>
  </si>
  <si>
    <t>06001462</t>
  </si>
  <si>
    <t>Harris County MUD 500</t>
  </si>
  <si>
    <t>06001465</t>
  </si>
  <si>
    <t>Memorial Villiages Water Authority</t>
  </si>
  <si>
    <t>06001466</t>
  </si>
  <si>
    <t>Morton Road MUD</t>
  </si>
  <si>
    <t>06001467</t>
  </si>
  <si>
    <t>Harris County MUD 221</t>
  </si>
  <si>
    <t>06001468</t>
  </si>
  <si>
    <t>Langham Creek Utility District</t>
  </si>
  <si>
    <t>06001469</t>
  </si>
  <si>
    <t>Point Aquarius MUD</t>
  </si>
  <si>
    <t>06001472</t>
  </si>
  <si>
    <t>Stanley Lake MUD</t>
  </si>
  <si>
    <t>06001473</t>
  </si>
  <si>
    <t>Galveston County MUD 6</t>
  </si>
  <si>
    <t>06001474</t>
  </si>
  <si>
    <t>Northwest Harris County MUD 20</t>
  </si>
  <si>
    <t>06001478</t>
  </si>
  <si>
    <t>Brazoria County MUD 19</t>
  </si>
  <si>
    <t>06001480</t>
  </si>
  <si>
    <t>Harris Fort Bend Counties MUD 4</t>
  </si>
  <si>
    <t>06001481</t>
  </si>
  <si>
    <t>Near Northwest Management District</t>
  </si>
  <si>
    <t>06001494</t>
  </si>
  <si>
    <t>Galveston County Drainage District 2</t>
  </si>
  <si>
    <t>06001499</t>
  </si>
  <si>
    <t>Harris County MUD 163</t>
  </si>
  <si>
    <t>06001500</t>
  </si>
  <si>
    <t>Harris County MUD 162</t>
  </si>
  <si>
    <t>06001501</t>
  </si>
  <si>
    <t>Harris County MUD 16</t>
  </si>
  <si>
    <t>06001502</t>
  </si>
  <si>
    <t>Harris County MUD 155</t>
  </si>
  <si>
    <t>06001503</t>
  </si>
  <si>
    <t>Harris County MUD 152</t>
  </si>
  <si>
    <t>06001504</t>
  </si>
  <si>
    <t>Harris County MUD 151</t>
  </si>
  <si>
    <t>06001505</t>
  </si>
  <si>
    <t>Harris County MUD 122</t>
  </si>
  <si>
    <t>06001506</t>
  </si>
  <si>
    <t>Harris County MUD 118</t>
  </si>
  <si>
    <t>06001507</t>
  </si>
  <si>
    <t>Harris County MUD 50</t>
  </si>
  <si>
    <t>06001508</t>
  </si>
  <si>
    <t>Harris County MUD 46</t>
  </si>
  <si>
    <t>06001513</t>
  </si>
  <si>
    <t>Harris County MUD 438</t>
  </si>
  <si>
    <t>06001515</t>
  </si>
  <si>
    <t>Harris County MUD 494</t>
  </si>
  <si>
    <t>06001516</t>
  </si>
  <si>
    <t>06001523</t>
  </si>
  <si>
    <t>Harris County MUD 243</t>
  </si>
  <si>
    <t>06001524</t>
  </si>
  <si>
    <t>Harris County MUD 225</t>
  </si>
  <si>
    <t>06001525</t>
  </si>
  <si>
    <t>Harris County MUD 213</t>
  </si>
  <si>
    <t>06001526</t>
  </si>
  <si>
    <t>Harris County MUD 166</t>
  </si>
  <si>
    <t>06001527</t>
  </si>
  <si>
    <t>Harris County MUD 156</t>
  </si>
  <si>
    <t>06001528</t>
  </si>
  <si>
    <t>Harris County MUD 147</t>
  </si>
  <si>
    <t>06001529</t>
  </si>
  <si>
    <t>Harris County MUD 101</t>
  </si>
  <si>
    <t>06001531</t>
  </si>
  <si>
    <t>Northgate Crossing Road Utility District</t>
  </si>
  <si>
    <t>06001533</t>
  </si>
  <si>
    <t>Montgomery County MUD 36</t>
  </si>
  <si>
    <t>06001542</t>
  </si>
  <si>
    <t>Harris County MUD 358</t>
  </si>
  <si>
    <t>06001543</t>
  </si>
  <si>
    <t>Reid Road MUD 2</t>
  </si>
  <si>
    <t>06001544</t>
  </si>
  <si>
    <t>Harris County MUD 49</t>
  </si>
  <si>
    <t>06001547</t>
  </si>
  <si>
    <t>Montgomery County MUD 123</t>
  </si>
  <si>
    <t>06001548</t>
  </si>
  <si>
    <t>Montgomery County Drainage District 6</t>
  </si>
  <si>
    <t>06001549</t>
  </si>
  <si>
    <t>Harris County MUD 44</t>
  </si>
  <si>
    <t>06001550</t>
  </si>
  <si>
    <t>Harris County MUD 345</t>
  </si>
  <si>
    <t>06001551</t>
  </si>
  <si>
    <t>Harris County MUD 341</t>
  </si>
  <si>
    <t>06001552</t>
  </si>
  <si>
    <t>Harris County MUD 33</t>
  </si>
  <si>
    <t>06001553</t>
  </si>
  <si>
    <t>Harris County MUD 316</t>
  </si>
  <si>
    <t>06001554</t>
  </si>
  <si>
    <t>Harris County MUD 284</t>
  </si>
  <si>
    <t>06001555</t>
  </si>
  <si>
    <t>Harris County MUD 264</t>
  </si>
  <si>
    <t>06001556</t>
  </si>
  <si>
    <t>Harris County MUD 255</t>
  </si>
  <si>
    <t>06001557</t>
  </si>
  <si>
    <t>Galveston County MUD 29</t>
  </si>
  <si>
    <t>06001559</t>
  </si>
  <si>
    <t>Bilma PUD</t>
  </si>
  <si>
    <t>06001560</t>
  </si>
  <si>
    <t>Harris County MUD 26</t>
  </si>
  <si>
    <t>06001564</t>
  </si>
  <si>
    <t>Harris County MUD 278</t>
  </si>
  <si>
    <t>06001566</t>
  </si>
  <si>
    <t>Rankin Road West MUD</t>
  </si>
  <si>
    <t>06001567</t>
  </si>
  <si>
    <t>Baker Road MUD</t>
  </si>
  <si>
    <t>06001568</t>
  </si>
  <si>
    <t>Jackrabbit Road PUD</t>
  </si>
  <si>
    <t>06001569</t>
  </si>
  <si>
    <t>Louetta Road Utility Dristrict</t>
  </si>
  <si>
    <t>06001572</t>
  </si>
  <si>
    <t>North Channel Water Authority</t>
  </si>
  <si>
    <t>06001573</t>
  </si>
  <si>
    <t>Harris County Improvement District 18</t>
  </si>
  <si>
    <t>06001576</t>
  </si>
  <si>
    <t>Harris County FWSD 61</t>
  </si>
  <si>
    <t>06001577</t>
  </si>
  <si>
    <t>Waller County Road Improvement District 1</t>
  </si>
  <si>
    <t>06001579</t>
  </si>
  <si>
    <t>Harris-Liberty Counties MUD 1</t>
  </si>
  <si>
    <t>06001580</t>
  </si>
  <si>
    <t>La Porte Area Water Authority</t>
  </si>
  <si>
    <t>06001583</t>
  </si>
  <si>
    <t>Brazoria Drainage District 4</t>
  </si>
  <si>
    <t>06001589</t>
  </si>
  <si>
    <t>Liberty County MUD 2</t>
  </si>
  <si>
    <t>06001590</t>
  </si>
  <si>
    <t>Liberty County MUD 3</t>
  </si>
  <si>
    <t>06001592</t>
  </si>
  <si>
    <t>Galveston County MUD 35</t>
  </si>
  <si>
    <t>06001594</t>
  </si>
  <si>
    <t>East Montgomery County MUD 4</t>
  </si>
  <si>
    <t>06001596</t>
  </si>
  <si>
    <t>Harris County MUD 404</t>
  </si>
  <si>
    <t>06001597</t>
  </si>
  <si>
    <t>Galveston County MUD 51</t>
  </si>
  <si>
    <t>06001598</t>
  </si>
  <si>
    <t>Harris County MUD 403</t>
  </si>
  <si>
    <t>06001604</t>
  </si>
  <si>
    <t>Pine Foest MUD</t>
  </si>
  <si>
    <t>06001605</t>
  </si>
  <si>
    <t>Pine Village PUD</t>
  </si>
  <si>
    <t>06001606</t>
  </si>
  <si>
    <t>Renn Road MUD</t>
  </si>
  <si>
    <t>06001611</t>
  </si>
  <si>
    <t>Sedona Lakes MUD 1 of Brazoria County</t>
  </si>
  <si>
    <t>06001615</t>
  </si>
  <si>
    <t>Cinco MUD 2</t>
  </si>
  <si>
    <t>06001621</t>
  </si>
  <si>
    <t>Inverness Forest Improvement District</t>
  </si>
  <si>
    <t>06001622</t>
  </si>
  <si>
    <t>Harris County WCID 116</t>
  </si>
  <si>
    <t>06001623</t>
  </si>
  <si>
    <t>Harris County WCID 1</t>
  </si>
  <si>
    <t>06001624</t>
  </si>
  <si>
    <t>Houston Downtown Management District</t>
  </si>
  <si>
    <t>06001625</t>
  </si>
  <si>
    <t>West Harris County MUD 6</t>
  </si>
  <si>
    <t>06001626</t>
  </si>
  <si>
    <t>West Harris County MUD 4</t>
  </si>
  <si>
    <t>06001627</t>
  </si>
  <si>
    <t>West Harris County MUD 16</t>
  </si>
  <si>
    <t>06001628</t>
  </si>
  <si>
    <t>West Harris County MUD 14</t>
  </si>
  <si>
    <t>06001629</t>
  </si>
  <si>
    <t>West Harris County MUD 10</t>
  </si>
  <si>
    <t>06001630</t>
  </si>
  <si>
    <t>Spanish Cove PUD</t>
  </si>
  <si>
    <t>06001631</t>
  </si>
  <si>
    <t>Southbend MUD</t>
  </si>
  <si>
    <t>06001632</t>
  </si>
  <si>
    <t>Sequoia Improvement District</t>
  </si>
  <si>
    <t>06001633</t>
  </si>
  <si>
    <t>Robin PUD</t>
  </si>
  <si>
    <t>06001634</t>
  </si>
  <si>
    <t>Northwest Harris County MUD 27</t>
  </si>
  <si>
    <t>06001640</t>
  </si>
  <si>
    <t>Cinco MUD 5</t>
  </si>
  <si>
    <t>06001641</t>
  </si>
  <si>
    <t>Cinco MUD 3</t>
  </si>
  <si>
    <t>06001642</t>
  </si>
  <si>
    <t>Cinco MUD 10</t>
  </si>
  <si>
    <t>06001643</t>
  </si>
  <si>
    <t>Cinco MUD 1</t>
  </si>
  <si>
    <t>06001644</t>
  </si>
  <si>
    <t>Chelford City MUD</t>
  </si>
  <si>
    <t>06001645</t>
  </si>
  <si>
    <t>Blue Ridge West MUD</t>
  </si>
  <si>
    <t>06001646</t>
  </si>
  <si>
    <t>Fort Bend County MUD 53</t>
  </si>
  <si>
    <t>06001651</t>
  </si>
  <si>
    <t>Galveston County WCID 19</t>
  </si>
  <si>
    <t>06001652</t>
  </si>
  <si>
    <t>Harris County MUD 23</t>
  </si>
  <si>
    <t>06001653</t>
  </si>
  <si>
    <t>Harris County MUD 222</t>
  </si>
  <si>
    <t>06001654</t>
  </si>
  <si>
    <t>Harris County MUD 215</t>
  </si>
  <si>
    <t>06001655</t>
  </si>
  <si>
    <t>Harris County MUD 322</t>
  </si>
  <si>
    <t>06001656</t>
  </si>
  <si>
    <t>Harris County MUD 208</t>
  </si>
  <si>
    <t>06001657</t>
  </si>
  <si>
    <t>Harris County MUD 183</t>
  </si>
  <si>
    <t>06001658</t>
  </si>
  <si>
    <t>Harris County MUD 179</t>
  </si>
  <si>
    <t>06001659</t>
  </si>
  <si>
    <t>Northwest Freeway MUD</t>
  </si>
  <si>
    <t>06001660</t>
  </si>
  <si>
    <t>Northwest Harris County MUD 22</t>
  </si>
  <si>
    <t>06001661</t>
  </si>
  <si>
    <t>Northwood MUD 1</t>
  </si>
  <si>
    <t>06001662</t>
  </si>
  <si>
    <t>Clear Creek Forest MUD 2</t>
  </si>
  <si>
    <t>06001663</t>
  </si>
  <si>
    <t>Clear Creek Forest MUD 1</t>
  </si>
  <si>
    <t>06001664</t>
  </si>
  <si>
    <t>El Dorado Utility District</t>
  </si>
  <si>
    <t>06001681</t>
  </si>
  <si>
    <t>Clovercreek MUD</t>
  </si>
  <si>
    <t>06001682</t>
  </si>
  <si>
    <t>Lazy River Improvement District</t>
  </si>
  <si>
    <t>06001683</t>
  </si>
  <si>
    <t>Montgomery County Utility District 2</t>
  </si>
  <si>
    <t>06001684</t>
  </si>
  <si>
    <t>Brazoria County MUD 17</t>
  </si>
  <si>
    <t>06001685</t>
  </si>
  <si>
    <t>Harris County MUD 407</t>
  </si>
  <si>
    <t>06001687</t>
  </si>
  <si>
    <t>Fort Bend County MUD 35</t>
  </si>
  <si>
    <t>06001692</t>
  </si>
  <si>
    <t>Harris County MUD 480</t>
  </si>
  <si>
    <t>06001693</t>
  </si>
  <si>
    <t>Harris County MUD 374</t>
  </si>
  <si>
    <t>06001694</t>
  </si>
  <si>
    <t>The Woodlands Metro Center MUD</t>
  </si>
  <si>
    <t>06001699</t>
  </si>
  <si>
    <t>Harris County MUD 373</t>
  </si>
  <si>
    <t>06001700</t>
  </si>
  <si>
    <t>Harris County MUD 273</t>
  </si>
  <si>
    <t>06001701</t>
  </si>
  <si>
    <t>Harris County MUD 459</t>
  </si>
  <si>
    <t>06001704</t>
  </si>
  <si>
    <t>Nottingham Country MUD</t>
  </si>
  <si>
    <t>06001705</t>
  </si>
  <si>
    <t>Northgate Crossing MUD 1</t>
  </si>
  <si>
    <t>06001706</t>
  </si>
  <si>
    <t>Harris County MUD 81</t>
  </si>
  <si>
    <t>06001707</t>
  </si>
  <si>
    <t>Harris County MUD 62</t>
  </si>
  <si>
    <t>06001708</t>
  </si>
  <si>
    <t>West Harris County MUD 9</t>
  </si>
  <si>
    <t>06001709</t>
  </si>
  <si>
    <t>Westador MUD</t>
  </si>
  <si>
    <t>06001710</t>
  </si>
  <si>
    <t>Harris County WCID 91</t>
  </si>
  <si>
    <t>06001711</t>
  </si>
  <si>
    <t>Harris County Utility District 15</t>
  </si>
  <si>
    <t>06001712</t>
  </si>
  <si>
    <t>Harris County Utility District 14</t>
  </si>
  <si>
    <t>06001713</t>
  </si>
  <si>
    <t>Shasla PUD</t>
  </si>
  <si>
    <t>06001714</t>
  </si>
  <si>
    <t>Harris County WCID 84</t>
  </si>
  <si>
    <t>06001716</t>
  </si>
  <si>
    <t>Fry Road MUD</t>
  </si>
  <si>
    <t>06001717</t>
  </si>
  <si>
    <t>Conroe MMD 3</t>
  </si>
  <si>
    <t>06001718</t>
  </si>
  <si>
    <t>Montgomery County MUD 167</t>
  </si>
  <si>
    <t>06001719</t>
  </si>
  <si>
    <t>Enchanted Place PUD</t>
  </si>
  <si>
    <t>06001720</t>
  </si>
  <si>
    <t>Castlewood MUD</t>
  </si>
  <si>
    <t>06001727</t>
  </si>
  <si>
    <t>Oak Manor MUD</t>
  </si>
  <si>
    <t>06001729</t>
  </si>
  <si>
    <t>Brazoria County MUD 7</t>
  </si>
  <si>
    <t>06001732</t>
  </si>
  <si>
    <t>Village at Katy Development District</t>
  </si>
  <si>
    <t>06001738</t>
  </si>
  <si>
    <t>South Shore Harbor MUD 7</t>
  </si>
  <si>
    <t>06001740</t>
  </si>
  <si>
    <t>Montgomery County MUD 8</t>
  </si>
  <si>
    <t>06001743</t>
  </si>
  <si>
    <t>Harris County MUD 409</t>
  </si>
  <si>
    <t>06001745</t>
  </si>
  <si>
    <t>Harris County MUD 318</t>
  </si>
  <si>
    <t>06001746</t>
  </si>
  <si>
    <t>Harris County MUD 317</t>
  </si>
  <si>
    <t>06001747</t>
  </si>
  <si>
    <t>Spring Meadows MUD</t>
  </si>
  <si>
    <t>06001748</t>
  </si>
  <si>
    <t>Bear Creek MUD</t>
  </si>
  <si>
    <t>06001749</t>
  </si>
  <si>
    <t>Tower Oaks Plaza MUD</t>
  </si>
  <si>
    <t>06001750</t>
  </si>
  <si>
    <t>Old Town Spring Improvement District</t>
  </si>
  <si>
    <t>06001751</t>
  </si>
  <si>
    <t>Cedar Bayou Park Utility District</t>
  </si>
  <si>
    <t>06001753</t>
  </si>
  <si>
    <t>Harris County MUD 217</t>
  </si>
  <si>
    <t>06001754</t>
  </si>
  <si>
    <t>West Ranch Managment District</t>
  </si>
  <si>
    <t>06001760</t>
  </si>
  <si>
    <t>Montgomery County MUD 96</t>
  </si>
  <si>
    <t>06001761</t>
  </si>
  <si>
    <t>Briar Ridge MUD</t>
  </si>
  <si>
    <t>06001762</t>
  </si>
  <si>
    <t>Beltway 8 MUD 3</t>
  </si>
  <si>
    <t>06001763</t>
  </si>
  <si>
    <t>Beltway 8 MUD 2</t>
  </si>
  <si>
    <t>06001764</t>
  </si>
  <si>
    <t>Beltway 8 MUD 1</t>
  </si>
  <si>
    <t>06001766</t>
  </si>
  <si>
    <t>Cypresswood Utility District</t>
  </si>
  <si>
    <t>06001767</t>
  </si>
  <si>
    <t>Cornerstones MUD</t>
  </si>
  <si>
    <t>06001768</t>
  </si>
  <si>
    <t>Clay Road MUD</t>
  </si>
  <si>
    <t>06001769</t>
  </si>
  <si>
    <t>Chelford One MUD</t>
  </si>
  <si>
    <t>06001770</t>
  </si>
  <si>
    <t>Harris County MUD 80</t>
  </si>
  <si>
    <t>06001771</t>
  </si>
  <si>
    <t>Harris County FWSD 27</t>
  </si>
  <si>
    <t>06001773</t>
  </si>
  <si>
    <t>Harris County MUD 63</t>
  </si>
  <si>
    <t>06001775</t>
  </si>
  <si>
    <t>Galveston County WCID 12</t>
  </si>
  <si>
    <t>06001778</t>
  </si>
  <si>
    <t>Grand Lakes MUD 1</t>
  </si>
  <si>
    <t>06001781</t>
  </si>
  <si>
    <t>Harris County MUD 516</t>
  </si>
  <si>
    <t>06001782</t>
  </si>
  <si>
    <t>Harris County MUD 517</t>
  </si>
  <si>
    <t>06001783</t>
  </si>
  <si>
    <t>Harris County MUD 436</t>
  </si>
  <si>
    <t>06001784</t>
  </si>
  <si>
    <t>Far Hills Utility District</t>
  </si>
  <si>
    <t>06001795</t>
  </si>
  <si>
    <t>Montgomery County MUD 86</t>
  </si>
  <si>
    <t>06001796</t>
  </si>
  <si>
    <t>Montgomery County MUD 66</t>
  </si>
  <si>
    <t>06001797</t>
  </si>
  <si>
    <t>Wood Trace MUD 2</t>
  </si>
  <si>
    <t>06001798</t>
  </si>
  <si>
    <t>Wood Trace MUD 1</t>
  </si>
  <si>
    <t>06001800</t>
  </si>
  <si>
    <t>Galveston County MUD 66</t>
  </si>
  <si>
    <t>06001803</t>
  </si>
  <si>
    <t>Aldine PUD</t>
  </si>
  <si>
    <t>06001804</t>
  </si>
  <si>
    <t>Arcadian Gardens MUD</t>
  </si>
  <si>
    <t>06001807</t>
  </si>
  <si>
    <t>Westlake MUD 1</t>
  </si>
  <si>
    <t>06001808</t>
  </si>
  <si>
    <t>Montgomery County MUD 30</t>
  </si>
  <si>
    <t>06001809</t>
  </si>
  <si>
    <t>Montgomery County MUD 38</t>
  </si>
  <si>
    <t>06001810</t>
  </si>
  <si>
    <t>Montgomery County MUD 45</t>
  </si>
  <si>
    <t>06001812</t>
  </si>
  <si>
    <t>Harris County MUD 136</t>
  </si>
  <si>
    <t>06001813</t>
  </si>
  <si>
    <t>Woodcreek Reserve MUD</t>
  </si>
  <si>
    <t>06001815</t>
  </si>
  <si>
    <t>Montgomery County FWSD 7</t>
  </si>
  <si>
    <t>06001817</t>
  </si>
  <si>
    <t>Harris County MUD 43</t>
  </si>
  <si>
    <t>06001818</t>
  </si>
  <si>
    <t>Forests Edge MUD</t>
  </si>
  <si>
    <t>06001819</t>
  </si>
  <si>
    <t>Harris County MUD 306</t>
  </si>
  <si>
    <t>06001820</t>
  </si>
  <si>
    <t>Harris County MUD 327</t>
  </si>
  <si>
    <t>06001821</t>
  </si>
  <si>
    <t>Harris County MUD 8</t>
  </si>
  <si>
    <t>06001822</t>
  </si>
  <si>
    <t>Harris County MUD 366</t>
  </si>
  <si>
    <t>06001837</t>
  </si>
  <si>
    <t>Montgomery County MUD 111</t>
  </si>
  <si>
    <t>06001839</t>
  </si>
  <si>
    <t>Montgomery County MUD 164</t>
  </si>
  <si>
    <t>06001840</t>
  </si>
  <si>
    <t>Harris County WCID 163</t>
  </si>
  <si>
    <t>06001851</t>
  </si>
  <si>
    <t>Waller County MUD 17</t>
  </si>
  <si>
    <t>06001854</t>
  </si>
  <si>
    <t>Northwest Harris County MUD 19</t>
  </si>
  <si>
    <t>06001857</t>
  </si>
  <si>
    <t>Harris County MUD 220</t>
  </si>
  <si>
    <t>06001858</t>
  </si>
  <si>
    <t>Cypress Hill MUD 1</t>
  </si>
  <si>
    <t>06001859</t>
  </si>
  <si>
    <t>Fort Bend County MUD 163</t>
  </si>
  <si>
    <t>06001860</t>
  </si>
  <si>
    <t>Blaketree MUD 2 of Montgomery County</t>
  </si>
  <si>
    <t>06001861</t>
  </si>
  <si>
    <t>Conroe MUD 1</t>
  </si>
  <si>
    <t>06001864</t>
  </si>
  <si>
    <t>Harris County MUD 105</t>
  </si>
  <si>
    <t>06001865</t>
  </si>
  <si>
    <t>Mills Road MUD</t>
  </si>
  <si>
    <t>06001866</t>
  </si>
  <si>
    <t>Harris County MUD 216</t>
  </si>
  <si>
    <t>06001867</t>
  </si>
  <si>
    <t>Harris County MUD 109</t>
  </si>
  <si>
    <t>06001869</t>
  </si>
  <si>
    <t>Harris County MUD 492</t>
  </si>
  <si>
    <t>06001870</t>
  </si>
  <si>
    <t>Harris County MUD 554</t>
  </si>
  <si>
    <t>06001871</t>
  </si>
  <si>
    <t>Harris County MUD 506</t>
  </si>
  <si>
    <t>06001872</t>
  </si>
  <si>
    <t>Harris County MUD 542</t>
  </si>
  <si>
    <t>06001873</t>
  </si>
  <si>
    <t>Richfield Ranch Management District</t>
  </si>
  <si>
    <t>06001877</t>
  </si>
  <si>
    <t>Harris County MUD 566</t>
  </si>
  <si>
    <t>06001878</t>
  </si>
  <si>
    <t>Willow Point MUD</t>
  </si>
  <si>
    <t>06001880</t>
  </si>
  <si>
    <t>East Montgomery County MUD 6</t>
  </si>
  <si>
    <t>06001881</t>
  </si>
  <si>
    <t>East Montgomery County MUD 7</t>
  </si>
  <si>
    <t>06001882</t>
  </si>
  <si>
    <t>Montgomery County MUD 24</t>
  </si>
  <si>
    <t>06001883</t>
  </si>
  <si>
    <t>Montgomery County MUD 42</t>
  </si>
  <si>
    <t>06001885</t>
  </si>
  <si>
    <t>Harris County MUD 416</t>
  </si>
  <si>
    <t>06001886</t>
  </si>
  <si>
    <t>Harris County MUD 418</t>
  </si>
  <si>
    <t>06001890</t>
  </si>
  <si>
    <t>Charterwood MUD</t>
  </si>
  <si>
    <t>06001891</t>
  </si>
  <si>
    <t>Brazoria County MUD 53</t>
  </si>
  <si>
    <t>06001892</t>
  </si>
  <si>
    <t>Harris County MUD 558</t>
  </si>
  <si>
    <t>06001894</t>
  </si>
  <si>
    <t>Harris County MUD 461</t>
  </si>
  <si>
    <t>06001896</t>
  </si>
  <si>
    <t>Montgomery County MUD 95</t>
  </si>
  <si>
    <t>06001897</t>
  </si>
  <si>
    <t>Montgomery County MUD 106</t>
  </si>
  <si>
    <t>06001898</t>
  </si>
  <si>
    <t>Montgomery County MUD 90</t>
  </si>
  <si>
    <t>06001899</t>
  </si>
  <si>
    <t>Montgomery County MUD 46</t>
  </si>
  <si>
    <t>06001900</t>
  </si>
  <si>
    <t>Brazoria County MUD 28</t>
  </si>
  <si>
    <t>06001901</t>
  </si>
  <si>
    <t>Brazoria County MUD 39</t>
  </si>
  <si>
    <t>06001904</t>
  </si>
  <si>
    <t>Harris County MUD 391</t>
  </si>
  <si>
    <t>06001905</t>
  </si>
  <si>
    <t>Harris County MUD 493</t>
  </si>
  <si>
    <t>06001906</t>
  </si>
  <si>
    <t>White Oak Bend MUD</t>
  </si>
  <si>
    <t>06001911</t>
  </si>
  <si>
    <t>Harris County MUD 434</t>
  </si>
  <si>
    <t>06001913</t>
  </si>
  <si>
    <t>Harris County MUD 387</t>
  </si>
  <si>
    <t>06001914</t>
  </si>
  <si>
    <t>West Harris County MUD 15</t>
  </si>
  <si>
    <t>06001915</t>
  </si>
  <si>
    <t>Harris County WCID 155</t>
  </si>
  <si>
    <t>06001917</t>
  </si>
  <si>
    <t>Fort Bend County MUD 185</t>
  </si>
  <si>
    <t>06001920</t>
  </si>
  <si>
    <t>Greenwood Utility District</t>
  </si>
  <si>
    <t>06001921</t>
  </si>
  <si>
    <t>Montgomery County MUD 89</t>
  </si>
  <si>
    <t>06001922</t>
  </si>
  <si>
    <t>Montgomery County MUD 88</t>
  </si>
  <si>
    <t>06001923</t>
  </si>
  <si>
    <t>Charleston MUD</t>
  </si>
  <si>
    <t>06001924</t>
  </si>
  <si>
    <t>Harris County MUD 481</t>
  </si>
  <si>
    <t>06001925</t>
  </si>
  <si>
    <t>Brazoria County MUD 32</t>
  </si>
  <si>
    <t>06001926</t>
  </si>
  <si>
    <t>Harris County MUD 424</t>
  </si>
  <si>
    <t>06001927</t>
  </si>
  <si>
    <t>Harris County MUD 482</t>
  </si>
  <si>
    <t>06001928</t>
  </si>
  <si>
    <t>Galveston County MUD 36</t>
  </si>
  <si>
    <t>06001931</t>
  </si>
  <si>
    <t>Harris County MUD 249</t>
  </si>
  <si>
    <t>06001932</t>
  </si>
  <si>
    <t>Bammel Utility district</t>
  </si>
  <si>
    <t>06001933</t>
  </si>
  <si>
    <t>Fort Bend-Waller Counties MUD 3</t>
  </si>
  <si>
    <t>06001937</t>
  </si>
  <si>
    <t>Montgomery County MUD 114</t>
  </si>
  <si>
    <t>06001941</t>
  </si>
  <si>
    <t>Harris County MUD 532</t>
  </si>
  <si>
    <t>06001942</t>
  </si>
  <si>
    <t>Harris County MUD 519</t>
  </si>
  <si>
    <t>06001944</t>
  </si>
  <si>
    <t>Montgomery County MUD 135</t>
  </si>
  <si>
    <t>06001946</t>
  </si>
  <si>
    <t>Montgomery County MUD 139</t>
  </si>
  <si>
    <t>06001947</t>
  </si>
  <si>
    <t>Montgomery County MUD 136</t>
  </si>
  <si>
    <t>06001949</t>
  </si>
  <si>
    <t>Harris-Brazoria Counties MUD 509</t>
  </si>
  <si>
    <t>06001956</t>
  </si>
  <si>
    <t>Harris County Utility District 6</t>
  </si>
  <si>
    <t>06001957</t>
  </si>
  <si>
    <t>Harris County MUD 158</t>
  </si>
  <si>
    <t>06001958</t>
  </si>
  <si>
    <t>Harris County WCID 109</t>
  </si>
  <si>
    <t>06001959</t>
  </si>
  <si>
    <t>Woodridge MUD</t>
  </si>
  <si>
    <t>06001963</t>
  </si>
  <si>
    <t>Harris County MUD 412</t>
  </si>
  <si>
    <t>06001966</t>
  </si>
  <si>
    <t>Longhorn Town Utility District</t>
  </si>
  <si>
    <t>06001967</t>
  </si>
  <si>
    <t>Fort Bend County MUD 168</t>
  </si>
  <si>
    <t>06001968</t>
  </si>
  <si>
    <t>Midtown Management District</t>
  </si>
  <si>
    <t>06001970</t>
  </si>
  <si>
    <t>Harris County Improvement District 3</t>
  </si>
  <si>
    <t>06001971</t>
  </si>
  <si>
    <t>Hunter's Glen MUD</t>
  </si>
  <si>
    <t>06001972</t>
  </si>
  <si>
    <t>Montgomery County MUD 131</t>
  </si>
  <si>
    <t>06001979</t>
  </si>
  <si>
    <t>Brazoria County MUD 48</t>
  </si>
  <si>
    <t>06001981</t>
  </si>
  <si>
    <t>Brazoria County MUD 49</t>
  </si>
  <si>
    <t>06001984</t>
  </si>
  <si>
    <t>Brazoria County MUD 50</t>
  </si>
  <si>
    <t>06001985</t>
  </si>
  <si>
    <t>Northwest Harris County MUD 30</t>
  </si>
  <si>
    <t>06001988</t>
  </si>
  <si>
    <t>Brazoria County MUD 43</t>
  </si>
  <si>
    <t>06001989</t>
  </si>
  <si>
    <t>Newport MUD</t>
  </si>
  <si>
    <t>06001995</t>
  </si>
  <si>
    <t>Barker Cypress MUD</t>
  </si>
  <si>
    <t>06001997</t>
  </si>
  <si>
    <t>East Montgomery County MUD 5</t>
  </si>
  <si>
    <t>06001998</t>
  </si>
  <si>
    <t>Harris County MUD 465</t>
  </si>
  <si>
    <t>06002000</t>
  </si>
  <si>
    <t>Northwest Harris County MUD 16</t>
  </si>
  <si>
    <t>06002004</t>
  </si>
  <si>
    <t>Northwest Harris County MUD 23</t>
  </si>
  <si>
    <t>06002007</t>
  </si>
  <si>
    <t>Harris County MUD 5</t>
  </si>
  <si>
    <t>06002008</t>
  </si>
  <si>
    <t>Fort Bend County MUD 58</t>
  </si>
  <si>
    <t>06002009</t>
  </si>
  <si>
    <t>Harris County MUD 86</t>
  </si>
  <si>
    <t>06002014</t>
  </si>
  <si>
    <t>Harris County MUD 547</t>
  </si>
  <si>
    <t>06002015</t>
  </si>
  <si>
    <t>Magnolia East MUD</t>
  </si>
  <si>
    <t>06002019</t>
  </si>
  <si>
    <t>Brazoria County MUD 42</t>
  </si>
  <si>
    <t>06002020</t>
  </si>
  <si>
    <t>Conroe MMD 1</t>
  </si>
  <si>
    <t>06002021</t>
  </si>
  <si>
    <t>Harris County MUD 441</t>
  </si>
  <si>
    <t>06002022</t>
  </si>
  <si>
    <t>Montgomery County MUD 140</t>
  </si>
  <si>
    <t>06002026</t>
  </si>
  <si>
    <t>Harris County MUD 399</t>
  </si>
  <si>
    <t>06002027</t>
  </si>
  <si>
    <t>Harris County MUD 419</t>
  </si>
  <si>
    <t>06002029</t>
  </si>
  <si>
    <t>Harris County MUD 304</t>
  </si>
  <si>
    <t>06002033</t>
  </si>
  <si>
    <t>Harris County MUD 397</t>
  </si>
  <si>
    <t>06002036</t>
  </si>
  <si>
    <t>Harris County MUD 406</t>
  </si>
  <si>
    <t>06002037</t>
  </si>
  <si>
    <t>Cypress-Klein Utiltiy District</t>
  </si>
  <si>
    <t>06002038</t>
  </si>
  <si>
    <t>Brazoria County MUD 56</t>
  </si>
  <si>
    <t>06002039</t>
  </si>
  <si>
    <t>Harris County MUD 365</t>
  </si>
  <si>
    <t>06002042</t>
  </si>
  <si>
    <t>Westwood Management District</t>
  </si>
  <si>
    <t>06002048</t>
  </si>
  <si>
    <t>Montgomery County MUD 113</t>
  </si>
  <si>
    <t>06002053</t>
  </si>
  <si>
    <t>Grant Road PUD</t>
  </si>
  <si>
    <t>06002054</t>
  </si>
  <si>
    <t>Galveston County MUD 31</t>
  </si>
  <si>
    <t>06002055</t>
  </si>
  <si>
    <t>Harris County WCID 161</t>
  </si>
  <si>
    <t>06002057</t>
  </si>
  <si>
    <t>East Montgomery County MUD 3</t>
  </si>
  <si>
    <t>06002058</t>
  </si>
  <si>
    <t>Harris County MUD 530</t>
  </si>
  <si>
    <t>06002059</t>
  </si>
  <si>
    <t>Harris County MUD 529</t>
  </si>
  <si>
    <t>06002061</t>
  </si>
  <si>
    <t>Waller County Improvement District 2</t>
  </si>
  <si>
    <t>06002062</t>
  </si>
  <si>
    <t>Harris County MUD 120</t>
  </si>
  <si>
    <t>06002063</t>
  </si>
  <si>
    <t>Harris County MUD 501</t>
  </si>
  <si>
    <t>06002064</t>
  </si>
  <si>
    <t>Bridgestone MUD</t>
  </si>
  <si>
    <t>06002065</t>
  </si>
  <si>
    <t>Harris County MUD 538</t>
  </si>
  <si>
    <t>06002066</t>
  </si>
  <si>
    <t>Harris County MUD 551</t>
  </si>
  <si>
    <t>06002067</t>
  </si>
  <si>
    <t>Brazoria County MUD 66</t>
  </si>
  <si>
    <t>06002070</t>
  </si>
  <si>
    <t>Harris County MUD 18</t>
  </si>
  <si>
    <t>06002072</t>
  </si>
  <si>
    <t>Lake Forest Utility District</t>
  </si>
  <si>
    <t>06002073</t>
  </si>
  <si>
    <t>Harris County WCID 114</t>
  </si>
  <si>
    <t>06002074</t>
  </si>
  <si>
    <t>Harris County MUD 379</t>
  </si>
  <si>
    <t>06002075</t>
  </si>
  <si>
    <t>Montgomery County MUD 178</t>
  </si>
  <si>
    <t>06002078</t>
  </si>
  <si>
    <t>Harris County MUD 534</t>
  </si>
  <si>
    <t>06002079</t>
  </si>
  <si>
    <t>Harris County MUD 533</t>
  </si>
  <si>
    <t>06002080</t>
  </si>
  <si>
    <t>Brazoria County MUD 61</t>
  </si>
  <si>
    <t>06002081</t>
  </si>
  <si>
    <t>Harris County MUD 367</t>
  </si>
  <si>
    <t>06002083</t>
  </si>
  <si>
    <t>Willow Creek Farms MUD</t>
  </si>
  <si>
    <t>06002084</t>
  </si>
  <si>
    <t>Harris-montgomery Counties MUD 386</t>
  </si>
  <si>
    <t>06002088</t>
  </si>
  <si>
    <t>Dowdell PUD</t>
  </si>
  <si>
    <t>06002091</t>
  </si>
  <si>
    <t>Harris County MUD 400</t>
  </si>
  <si>
    <t>06002098</t>
  </si>
  <si>
    <t>Montgomery County MUD 47</t>
  </si>
  <si>
    <t>06002099</t>
  </si>
  <si>
    <t>Fort Bend County MUD 130</t>
  </si>
  <si>
    <t>06002102</t>
  </si>
  <si>
    <t>Meadowhill Regional MUD</t>
  </si>
  <si>
    <t>06002104</t>
  </si>
  <si>
    <t>Harris County MUD 376</t>
  </si>
  <si>
    <t>06002105</t>
  </si>
  <si>
    <t>Harris County MUD 378</t>
  </si>
  <si>
    <t>06002106</t>
  </si>
  <si>
    <t>Harris County MUD 396</t>
  </si>
  <si>
    <t>06002107</t>
  </si>
  <si>
    <t>Harris County Road Improvement District 1</t>
  </si>
  <si>
    <t>06002109</t>
  </si>
  <si>
    <t>Rayford Road MUD</t>
  </si>
  <si>
    <t>06002112</t>
  </si>
  <si>
    <t>West Harris County MUD 7</t>
  </si>
  <si>
    <t>06002113</t>
  </si>
  <si>
    <t>Harris County MUD 102</t>
  </si>
  <si>
    <t>06002114</t>
  </si>
  <si>
    <t>Harris County MUD 381</t>
  </si>
  <si>
    <t>06002115</t>
  </si>
  <si>
    <t>Fountainhead MUD</t>
  </si>
  <si>
    <t>06002118</t>
  </si>
  <si>
    <t>Waller County Improvement District 1</t>
  </si>
  <si>
    <t>06002120</t>
  </si>
  <si>
    <t>Brazoria County MUD 22</t>
  </si>
  <si>
    <t>06002129</t>
  </si>
  <si>
    <t>Montgomery County MUD 67</t>
  </si>
  <si>
    <t>06002130</t>
  </si>
  <si>
    <t>Montgomery County MUD 126</t>
  </si>
  <si>
    <t>06002131</t>
  </si>
  <si>
    <t>North Forest MUD</t>
  </si>
  <si>
    <t>06002132</t>
  </si>
  <si>
    <t>Montgomery County MUD 119</t>
  </si>
  <si>
    <t>06002133</t>
  </si>
  <si>
    <t>Harris County FWSD 58</t>
  </si>
  <si>
    <t>06002134</t>
  </si>
  <si>
    <t>Harris County MUD 182</t>
  </si>
  <si>
    <t>06002138</t>
  </si>
  <si>
    <t>Louetta North PUD</t>
  </si>
  <si>
    <t>06002139</t>
  </si>
  <si>
    <t>Lago Bello MUD 1</t>
  </si>
  <si>
    <t>06002142</t>
  </si>
  <si>
    <t>Harris County MUD 570</t>
  </si>
  <si>
    <t>06002144</t>
  </si>
  <si>
    <t>Valley Ranch MUD 1</t>
  </si>
  <si>
    <t>06002145</t>
  </si>
  <si>
    <t>Galveston County MUD 15</t>
  </si>
  <si>
    <t>06002151</t>
  </si>
  <si>
    <t>Fort Bend County MUD 190</t>
  </si>
  <si>
    <t>06002152</t>
  </si>
  <si>
    <t>Mount Houston Road MUD</t>
  </si>
  <si>
    <t>06002154</t>
  </si>
  <si>
    <t>Harris County WCID 21</t>
  </si>
  <si>
    <t>06002157</t>
  </si>
  <si>
    <t>Galveston County MUD 76</t>
  </si>
  <si>
    <t>06002158</t>
  </si>
  <si>
    <t>North Belt Utility District</t>
  </si>
  <si>
    <t>06002159</t>
  </si>
  <si>
    <t>Northgate Crossing MUD 2</t>
  </si>
  <si>
    <t>06002160</t>
  </si>
  <si>
    <t>Harris County MUD 490</t>
  </si>
  <si>
    <t>06002161</t>
  </si>
  <si>
    <t>Harris County MUD 361</t>
  </si>
  <si>
    <t>06002163</t>
  </si>
  <si>
    <t>East Downtown Mgmt District</t>
  </si>
  <si>
    <t>06002165</t>
  </si>
  <si>
    <t>Brazoria County MUD 18</t>
  </si>
  <si>
    <t>06002166</t>
  </si>
  <si>
    <t>Brazoria County MUD 21</t>
  </si>
  <si>
    <t>06002167</t>
  </si>
  <si>
    <t>Fort Bend County MUD 122</t>
  </si>
  <si>
    <t>06002168</t>
  </si>
  <si>
    <t>Galveston County MUD 39</t>
  </si>
  <si>
    <t>06002171</t>
  </si>
  <si>
    <t>Big Oaks MUD</t>
  </si>
  <si>
    <t>06002173</t>
  </si>
  <si>
    <t>Greater Southeast Management District</t>
  </si>
  <si>
    <t>06002174</t>
  </si>
  <si>
    <t>Montgomery County MUD 60</t>
  </si>
  <si>
    <t>06002175</t>
  </si>
  <si>
    <t>Northpointe WCID</t>
  </si>
  <si>
    <t>06002176</t>
  </si>
  <si>
    <t>Northwest Harris County MUD 6</t>
  </si>
  <si>
    <t>06002181</t>
  </si>
  <si>
    <t>Generation Park Management District</t>
  </si>
  <si>
    <t>06002182</t>
  </si>
  <si>
    <t>Harris County MUD 496</t>
  </si>
  <si>
    <t>06002183</t>
  </si>
  <si>
    <t>Harris County MUD 420</t>
  </si>
  <si>
    <t>06002184</t>
  </si>
  <si>
    <t>Harris County MUD 383</t>
  </si>
  <si>
    <t>06002187</t>
  </si>
  <si>
    <t>Harris County MUD 544</t>
  </si>
  <si>
    <t>06002188</t>
  </si>
  <si>
    <t>Harris County MUD 540</t>
  </si>
  <si>
    <t>06002189</t>
  </si>
  <si>
    <t>Waller County MUD 33</t>
  </si>
  <si>
    <t>06002193</t>
  </si>
  <si>
    <t>Montgomery County MUD 154A</t>
  </si>
  <si>
    <t>06002194</t>
  </si>
  <si>
    <t>Brazoria County MUD 73</t>
  </si>
  <si>
    <t>06002195</t>
  </si>
  <si>
    <t>Harris County MUD 495</t>
  </si>
  <si>
    <t>06002196</t>
  </si>
  <si>
    <t>Harris County Improvemend District 25</t>
  </si>
  <si>
    <t>06002197</t>
  </si>
  <si>
    <t>Harris County MUD 64</t>
  </si>
  <si>
    <t>06002199</t>
  </si>
  <si>
    <t>Trinity Lakes MUD of Montgomery County</t>
  </si>
  <si>
    <t>06002205</t>
  </si>
  <si>
    <t>Brazoria County MUD 40</t>
  </si>
  <si>
    <t>06002206</t>
  </si>
  <si>
    <t>Greens Parkway MUD</t>
  </si>
  <si>
    <t>06002207</t>
  </si>
  <si>
    <t>Harris County MUD 230</t>
  </si>
  <si>
    <t>06002209</t>
  </si>
  <si>
    <t>Harris County MUD 196</t>
  </si>
  <si>
    <t>06002210</t>
  </si>
  <si>
    <t>Montgomery County MUD 180</t>
  </si>
  <si>
    <t>06002212</t>
  </si>
  <si>
    <t>Harris County MUD 423</t>
  </si>
  <si>
    <t>06002214</t>
  </si>
  <si>
    <t>Montgomery County MUD 108</t>
  </si>
  <si>
    <t>06002215</t>
  </si>
  <si>
    <t>Montgomery County MUD 166</t>
  </si>
  <si>
    <t>06002219</t>
  </si>
  <si>
    <t>Galveston County MUD 56</t>
  </si>
  <si>
    <t>06002228</t>
  </si>
  <si>
    <t>Green Tree Park MUD</t>
  </si>
  <si>
    <t>06002230</t>
  </si>
  <si>
    <t>Harris County MUD 553</t>
  </si>
  <si>
    <t>06002232</t>
  </si>
  <si>
    <t>East Montgomery County MUD 12</t>
  </si>
  <si>
    <t>06002237</t>
  </si>
  <si>
    <t>City of Kemah MMD 1</t>
  </si>
  <si>
    <t>06002238</t>
  </si>
  <si>
    <t>Montgomery County MUD 158</t>
  </si>
  <si>
    <t>06002239</t>
  </si>
  <si>
    <t>Montgomery County MUD 179</t>
  </si>
  <si>
    <t>06002240</t>
  </si>
  <si>
    <t>Fort Bend County MUD 34</t>
  </si>
  <si>
    <t>06002242</t>
  </si>
  <si>
    <t>Harris County Improvement District 14</t>
  </si>
  <si>
    <t>06002243</t>
  </si>
  <si>
    <t>Harris County MUD 157</t>
  </si>
  <si>
    <t>06002244</t>
  </si>
  <si>
    <t>Brazoria County MUD 24</t>
  </si>
  <si>
    <t>06002245</t>
  </si>
  <si>
    <t>Harris County MUD 24</t>
  </si>
  <si>
    <t>06002246</t>
  </si>
  <si>
    <t>Montgomery County MUD 155</t>
  </si>
  <si>
    <t>06002252</t>
  </si>
  <si>
    <t>CY Champ PUD</t>
  </si>
  <si>
    <t>06002253</t>
  </si>
  <si>
    <t>Galveston County MUD 59</t>
  </si>
  <si>
    <t>06002254</t>
  </si>
  <si>
    <t>West Harris County MUD 17</t>
  </si>
  <si>
    <t>06002256</t>
  </si>
  <si>
    <t>Tarkington Management District 1</t>
  </si>
  <si>
    <t>06002257</t>
  </si>
  <si>
    <t>Plum Creek Management District 1</t>
  </si>
  <si>
    <t>06002258</t>
  </si>
  <si>
    <t>Montgomery County MUD 176</t>
  </si>
  <si>
    <t>06002259</t>
  </si>
  <si>
    <t>Harris County Improvement District 24</t>
  </si>
  <si>
    <t>06002260</t>
  </si>
  <si>
    <t>Harris County MUD 165</t>
  </si>
  <si>
    <t>06002261</t>
  </si>
  <si>
    <t>Northwest Harris County MUD 15</t>
  </si>
  <si>
    <t>06002262</t>
  </si>
  <si>
    <t>West Harris County MUD 21</t>
  </si>
  <si>
    <t>06002269</t>
  </si>
  <si>
    <t>Liberty County MMD 1</t>
  </si>
  <si>
    <t>06002272</t>
  </si>
  <si>
    <t>06002274</t>
  </si>
  <si>
    <t>Harris County FWSD 1A</t>
  </si>
  <si>
    <t>06002276</t>
  </si>
  <si>
    <t>Montgomery County WCID 4</t>
  </si>
  <si>
    <t>06002278</t>
  </si>
  <si>
    <t>Harris County MUD 565</t>
  </si>
  <si>
    <t>06002279</t>
  </si>
  <si>
    <t>Harris Waller Counties MUD 4</t>
  </si>
  <si>
    <t>06002287</t>
  </si>
  <si>
    <t>Harris County MUD 248</t>
  </si>
  <si>
    <t>06002288</t>
  </si>
  <si>
    <t>Northwest Harris County MUD 10</t>
  </si>
  <si>
    <t>06002290</t>
  </si>
  <si>
    <t>Lakewood MUD 2</t>
  </si>
  <si>
    <t>06002291</t>
  </si>
  <si>
    <t>Montgomery County MUD 105</t>
  </si>
  <si>
    <t>06002292</t>
  </si>
  <si>
    <t>Montgomery County MUD 112</t>
  </si>
  <si>
    <t>06002293</t>
  </si>
  <si>
    <t>Montgomery County MUD 121</t>
  </si>
  <si>
    <t>06002297</t>
  </si>
  <si>
    <t>Montgomery County MUD 159</t>
  </si>
  <si>
    <t>06002298</t>
  </si>
  <si>
    <t>Lakewood MUD 3</t>
  </si>
  <si>
    <t>06002299</t>
  </si>
  <si>
    <t>Lakewood Improvement District</t>
  </si>
  <si>
    <t>06002303</t>
  </si>
  <si>
    <t>Harris County MUD 552</t>
  </si>
  <si>
    <t>06002304</t>
  </si>
  <si>
    <t>Brazoria County MUD 69</t>
  </si>
  <si>
    <t>06002307</t>
  </si>
  <si>
    <t>Harris County MUD 569</t>
  </si>
  <si>
    <t>06002310</t>
  </si>
  <si>
    <t>Montgomery County MUD 175</t>
  </si>
  <si>
    <t>06002312</t>
  </si>
  <si>
    <t>Harris County MUD 555</t>
  </si>
  <si>
    <t>06002313</t>
  </si>
  <si>
    <t>Encanto Real Utility District</t>
  </si>
  <si>
    <t>06002314</t>
  </si>
  <si>
    <t>Wood Trace WCID of Montgomery County</t>
  </si>
  <si>
    <t>06002317</t>
  </si>
  <si>
    <t>Northampton MUD</t>
  </si>
  <si>
    <t>06002318</t>
  </si>
  <si>
    <t>Wood Trace MUD 4</t>
  </si>
  <si>
    <t>06002321</t>
  </si>
  <si>
    <t>Brazoria-Fort Bend Counties MUD 3</t>
  </si>
  <si>
    <t>06002324</t>
  </si>
  <si>
    <t>Harris Montgomery Counties Management District</t>
  </si>
  <si>
    <t>06002325</t>
  </si>
  <si>
    <t>Montgomery County MUD 174</t>
  </si>
  <si>
    <t>06002328</t>
  </si>
  <si>
    <t>Wood Trace Management District</t>
  </si>
  <si>
    <t>06002330</t>
  </si>
  <si>
    <t>Malcomson Road Utility District</t>
  </si>
  <si>
    <t>06002332</t>
  </si>
  <si>
    <t>Harris County Improvement District 27</t>
  </si>
  <si>
    <t>06002339</t>
  </si>
  <si>
    <t>Harris County MUD 568</t>
  </si>
  <si>
    <t>06002340</t>
  </si>
  <si>
    <t>Conroe MMD 2</t>
  </si>
  <si>
    <t>06002342</t>
  </si>
  <si>
    <t>Liberty Grand MUD 1</t>
  </si>
  <si>
    <t>06002350</t>
  </si>
  <si>
    <t>Remington MUD 1</t>
  </si>
  <si>
    <t>06002351</t>
  </si>
  <si>
    <t>Montgomery County MUD 165</t>
  </si>
  <si>
    <t>06002353</t>
  </si>
  <si>
    <t>Galveston County MUD 73</t>
  </si>
  <si>
    <t>06002354</t>
  </si>
  <si>
    <t>Galveston County MUD 74</t>
  </si>
  <si>
    <t>06002355</t>
  </si>
  <si>
    <t>Brazoria County MUD 51</t>
  </si>
  <si>
    <t>06002358</t>
  </si>
  <si>
    <t>Waller County MUD 35</t>
  </si>
  <si>
    <t>06002360</t>
  </si>
  <si>
    <t>Harris-Waller Counties MUD 3</t>
  </si>
  <si>
    <t>06002362</t>
  </si>
  <si>
    <t>Lakewood MUD 1</t>
  </si>
  <si>
    <t>06002365</t>
  </si>
  <si>
    <t>Harris County MUD 202</t>
  </si>
  <si>
    <t>06002368</t>
  </si>
  <si>
    <t>Montgomery County MUD 157</t>
  </si>
  <si>
    <t>06002369</t>
  </si>
  <si>
    <t>Montgomery County MUD 173</t>
  </si>
  <si>
    <t>06002370</t>
  </si>
  <si>
    <t>Richfield Ranch WCID</t>
  </si>
  <si>
    <t>06002371</t>
  </si>
  <si>
    <t>Harris County MUD 377</t>
  </si>
  <si>
    <t>06002372</t>
  </si>
  <si>
    <t>Harris County MUD 380</t>
  </si>
  <si>
    <t>06002373</t>
  </si>
  <si>
    <t>Montgomery County MUD 148</t>
  </si>
  <si>
    <t>06002419</t>
  </si>
  <si>
    <t>Patton Village</t>
  </si>
  <si>
    <t>06002420</t>
  </si>
  <si>
    <t>Roman Forest</t>
  </si>
  <si>
    <t>06002421</t>
  </si>
  <si>
    <t>Shenandoah</t>
  </si>
  <si>
    <t>06002422</t>
  </si>
  <si>
    <t>Woodbranch Village</t>
  </si>
  <si>
    <t>06002452</t>
  </si>
  <si>
    <t>Galena Park</t>
  </si>
  <si>
    <t>06002453</t>
  </si>
  <si>
    <t>Hedwig Village</t>
  </si>
  <si>
    <t>06002454</t>
  </si>
  <si>
    <t>Hilshire Village</t>
  </si>
  <si>
    <t>06002455</t>
  </si>
  <si>
    <t>Hunters Creek Village</t>
  </si>
  <si>
    <t>06002456</t>
  </si>
  <si>
    <t>Jacinto City</t>
  </si>
  <si>
    <t>06002457</t>
  </si>
  <si>
    <t>Jersey Village</t>
  </si>
  <si>
    <t>06002493</t>
  </si>
  <si>
    <t>Morgan's Point</t>
  </si>
  <si>
    <t>06002494</t>
  </si>
  <si>
    <t>Nassau Bay</t>
  </si>
  <si>
    <t>06002495</t>
  </si>
  <si>
    <t>Piney Point Village</t>
  </si>
  <si>
    <t>06002502</t>
  </si>
  <si>
    <t>South Houston</t>
  </si>
  <si>
    <t>Cleveland</t>
  </si>
  <si>
    <t>06002534</t>
  </si>
  <si>
    <t>Magnolia</t>
  </si>
  <si>
    <t>06002535</t>
  </si>
  <si>
    <t>Oak Ridge North</t>
  </si>
  <si>
    <t>06002536</t>
  </si>
  <si>
    <t>Panorama Village</t>
  </si>
  <si>
    <t>06002638</t>
  </si>
  <si>
    <t>Willis</t>
  </si>
  <si>
    <t>06002641</t>
  </si>
  <si>
    <t>Stagecoach</t>
  </si>
  <si>
    <t>06002646</t>
  </si>
  <si>
    <t>North Cleveland</t>
  </si>
  <si>
    <t>06002647</t>
  </si>
  <si>
    <t>Plum Grove</t>
  </si>
  <si>
    <t>Pearland</t>
  </si>
  <si>
    <t>06002794</t>
  </si>
  <si>
    <t>Katy</t>
  </si>
  <si>
    <t>06002795</t>
  </si>
  <si>
    <t>Bayou Vista</t>
  </si>
  <si>
    <t>06002808</t>
  </si>
  <si>
    <t>Clear Lake Shores</t>
  </si>
  <si>
    <t>06002810</t>
  </si>
  <si>
    <t>Jamaica Beach</t>
  </si>
  <si>
    <t>Friendswood</t>
  </si>
  <si>
    <t>06002834</t>
  </si>
  <si>
    <t>La Porte</t>
  </si>
  <si>
    <t>Bellaire</t>
  </si>
  <si>
    <t>Bunker Hill Village</t>
  </si>
  <si>
    <t>06002857</t>
  </si>
  <si>
    <t>Deer Park</t>
  </si>
  <si>
    <t>06002858</t>
  </si>
  <si>
    <t>El Lago</t>
  </si>
  <si>
    <t>06002934</t>
  </si>
  <si>
    <t>Meadows Place</t>
  </si>
  <si>
    <t>06002950</t>
  </si>
  <si>
    <t>Plantersville</t>
  </si>
  <si>
    <t>Manvel</t>
  </si>
  <si>
    <t>06002993</t>
  </si>
  <si>
    <t>Iowa Colony</t>
  </si>
  <si>
    <t>06003018</t>
  </si>
  <si>
    <t>Cut and Shoot</t>
  </si>
  <si>
    <t>06003024</t>
  </si>
  <si>
    <t>Brookside Village</t>
  </si>
  <si>
    <t>Hillcrest Village</t>
  </si>
  <si>
    <t>06003027</t>
  </si>
  <si>
    <t>Liverpool</t>
  </si>
  <si>
    <t>06003030</t>
  </si>
  <si>
    <t>Conroe</t>
  </si>
  <si>
    <t>06003031</t>
  </si>
  <si>
    <t>Splendora</t>
  </si>
  <si>
    <t>06003037</t>
  </si>
  <si>
    <t>Woodloch</t>
  </si>
  <si>
    <t>06003145</t>
  </si>
  <si>
    <t>Hitchcock</t>
  </si>
  <si>
    <t>06003146</t>
  </si>
  <si>
    <t>La Marque</t>
  </si>
  <si>
    <t>League City</t>
  </si>
  <si>
    <t>Santa Fe</t>
  </si>
  <si>
    <t>06003268</t>
  </si>
  <si>
    <t>06003302</t>
  </si>
  <si>
    <t>Tomball</t>
  </si>
  <si>
    <t>06003305</t>
  </si>
  <si>
    <t>Southside Place</t>
  </si>
  <si>
    <t>06003306</t>
  </si>
  <si>
    <t>Webster</t>
  </si>
  <si>
    <t>06003307</t>
  </si>
  <si>
    <t>Pasadena</t>
  </si>
  <si>
    <t>New Waverly</t>
  </si>
  <si>
    <t>Kemah</t>
  </si>
  <si>
    <t>06003397</t>
  </si>
  <si>
    <t>Tiki Island</t>
  </si>
  <si>
    <t>06003398</t>
  </si>
  <si>
    <t>Dickinson</t>
  </si>
  <si>
    <t>Todd Mission</t>
  </si>
  <si>
    <t>06003512</t>
  </si>
  <si>
    <t>Seabrook</t>
  </si>
  <si>
    <t>06003544</t>
  </si>
  <si>
    <t>Shoreacres</t>
  </si>
  <si>
    <t>06003593</t>
  </si>
  <si>
    <t>Spring Valley Village</t>
  </si>
  <si>
    <t>06003594</t>
  </si>
  <si>
    <t>Taylor Lake Village</t>
  </si>
  <si>
    <t>06003595</t>
  </si>
  <si>
    <t>West University Place</t>
  </si>
  <si>
    <t>06003597</t>
  </si>
  <si>
    <t>Humble</t>
  </si>
  <si>
    <t>06003598</t>
  </si>
  <si>
    <t>Woodlands Water Agency</t>
  </si>
  <si>
    <t>06003600</t>
  </si>
  <si>
    <t>Spring</t>
  </si>
  <si>
    <t>06003601</t>
  </si>
  <si>
    <t>The Woodlands</t>
  </si>
  <si>
    <t>06003602</t>
  </si>
  <si>
    <t>Liberty County Water Control District 1</t>
  </si>
  <si>
    <t>07000111</t>
  </si>
  <si>
    <t>07000182</t>
  </si>
  <si>
    <t>Throckmorton</t>
  </si>
  <si>
    <t>07000201</t>
  </si>
  <si>
    <t>North Central Texas MWA</t>
  </si>
  <si>
    <t>07000306</t>
  </si>
  <si>
    <t>West Central Texas Municipal Water District</t>
  </si>
  <si>
    <t>07000444</t>
  </si>
  <si>
    <t>Fort Griffin SUD</t>
  </si>
  <si>
    <t>07000541</t>
  </si>
  <si>
    <t>Stonewall County WCID 1</t>
  </si>
  <si>
    <t>07000644</t>
  </si>
  <si>
    <t>Haskell County WSD 1</t>
  </si>
  <si>
    <t>07000649</t>
  </si>
  <si>
    <t>White River MWD</t>
  </si>
  <si>
    <t>07000663</t>
  </si>
  <si>
    <t>Knox County Drainage District 1</t>
  </si>
  <si>
    <t>07000668</t>
  </si>
  <si>
    <t>Lytle Lake WCID</t>
  </si>
  <si>
    <t>07001587</t>
  </si>
  <si>
    <t>Lake Alan Henry Water District</t>
  </si>
  <si>
    <t>07001789</t>
  </si>
  <si>
    <t>Rotan Municipal Water Authority</t>
  </si>
  <si>
    <t>07002150</t>
  </si>
  <si>
    <t>Lubbock County WCID 1</t>
  </si>
  <si>
    <t>07002387</t>
  </si>
  <si>
    <t>Spur</t>
  </si>
  <si>
    <t>07002417</t>
  </si>
  <si>
    <t>Crosbyton</t>
  </si>
  <si>
    <t>Ralls</t>
  </si>
  <si>
    <t>Abilene</t>
  </si>
  <si>
    <t>07002445</t>
  </si>
  <si>
    <t>Hawley</t>
  </si>
  <si>
    <t>07002472</t>
  </si>
  <si>
    <t>O'Brien</t>
  </si>
  <si>
    <t>07002473</t>
  </si>
  <si>
    <t>Stamford</t>
  </si>
  <si>
    <t>Anson</t>
  </si>
  <si>
    <t>Jayton</t>
  </si>
  <si>
    <t>07002545</t>
  </si>
  <si>
    <t>Rotan</t>
  </si>
  <si>
    <t>07002582</t>
  </si>
  <si>
    <t>Roscoe</t>
  </si>
  <si>
    <t>Sweetwater</t>
  </si>
  <si>
    <t>07002649</t>
  </si>
  <si>
    <t>Tahoka</t>
  </si>
  <si>
    <t>07002724</t>
  </si>
  <si>
    <t>Floydada</t>
  </si>
  <si>
    <t>07002725</t>
  </si>
  <si>
    <t>Breckenridge</t>
  </si>
  <si>
    <t>07002741</t>
  </si>
  <si>
    <t>Anton</t>
  </si>
  <si>
    <t>07002753</t>
  </si>
  <si>
    <t>Lorenzo</t>
  </si>
  <si>
    <t>Munday</t>
  </si>
  <si>
    <t>Putnam</t>
  </si>
  <si>
    <t>Benjamin</t>
  </si>
  <si>
    <t>07002772</t>
  </si>
  <si>
    <t>Knox City</t>
  </si>
  <si>
    <t>07002779</t>
  </si>
  <si>
    <t>Post</t>
  </si>
  <si>
    <t>Aspermont</t>
  </si>
  <si>
    <t>Bovina</t>
  </si>
  <si>
    <t>07002802</t>
  </si>
  <si>
    <t>Farwell</t>
  </si>
  <si>
    <t>07002816</t>
  </si>
  <si>
    <t>Dimmitt</t>
  </si>
  <si>
    <t>07002817</t>
  </si>
  <si>
    <t>Hart</t>
  </si>
  <si>
    <t>07002898</t>
  </si>
  <si>
    <t>Rochester</t>
  </si>
  <si>
    <t>07002907</t>
  </si>
  <si>
    <t>Morton</t>
  </si>
  <si>
    <t>07002931</t>
  </si>
  <si>
    <t>Muleshoe</t>
  </si>
  <si>
    <t>Amherst</t>
  </si>
  <si>
    <t>07002969</t>
  </si>
  <si>
    <t>Earth</t>
  </si>
  <si>
    <t>07002970</t>
  </si>
  <si>
    <t>Springlake</t>
  </si>
  <si>
    <t>07002971</t>
  </si>
  <si>
    <t>Sudan</t>
  </si>
  <si>
    <t>07002978</t>
  </si>
  <si>
    <t>Tye</t>
  </si>
  <si>
    <t>07002980</t>
  </si>
  <si>
    <t>07003155</t>
  </si>
  <si>
    <t>Abernathy</t>
  </si>
  <si>
    <t>Hale Center</t>
  </si>
  <si>
    <t>Petersburg</t>
  </si>
  <si>
    <t>Plainview</t>
  </si>
  <si>
    <t>Levelland</t>
  </si>
  <si>
    <t>07003167</t>
  </si>
  <si>
    <t>Opdyke West</t>
  </si>
  <si>
    <t>Ropesville</t>
  </si>
  <si>
    <t>07003270</t>
  </si>
  <si>
    <t>Wolfforth</t>
  </si>
  <si>
    <t>07003278</t>
  </si>
  <si>
    <t>Woodson</t>
  </si>
  <si>
    <t>Goree</t>
  </si>
  <si>
    <t>Edmonson</t>
  </si>
  <si>
    <t>07003394</t>
  </si>
  <si>
    <t>Albany</t>
  </si>
  <si>
    <t>Moran</t>
  </si>
  <si>
    <t>Smyer</t>
  </si>
  <si>
    <t>Lueders</t>
  </si>
  <si>
    <t>07003452</t>
  </si>
  <si>
    <t>Baird</t>
  </si>
  <si>
    <t>07003481</t>
  </si>
  <si>
    <t>07003483</t>
  </si>
  <si>
    <t>New Home</t>
  </si>
  <si>
    <t>07003484</t>
  </si>
  <si>
    <t>Hamlin</t>
  </si>
  <si>
    <t>Roby</t>
  </si>
  <si>
    <t>07003503</t>
  </si>
  <si>
    <t>Littlefield</t>
  </si>
  <si>
    <t>07003504</t>
  </si>
  <si>
    <t>Olton</t>
  </si>
  <si>
    <t>Buffalo Springs</t>
  </si>
  <si>
    <t>Idalou</t>
  </si>
  <si>
    <t>07003507</t>
  </si>
  <si>
    <t>New Deal</t>
  </si>
  <si>
    <t>Ransom Canyon</t>
  </si>
  <si>
    <t>07003509</t>
  </si>
  <si>
    <t>Shallowater</t>
  </si>
  <si>
    <t>07003510</t>
  </si>
  <si>
    <t>Buffalo Gap</t>
  </si>
  <si>
    <t>Impact</t>
  </si>
  <si>
    <t>07003538</t>
  </si>
  <si>
    <t>Rule</t>
  </si>
  <si>
    <t>Weinert</t>
  </si>
  <si>
    <t>07003541</t>
  </si>
  <si>
    <t>Newcastle</t>
  </si>
  <si>
    <t>07003546</t>
  </si>
  <si>
    <t>Whiteface</t>
  </si>
  <si>
    <t>07003550</t>
  </si>
  <si>
    <t>Slaton</t>
  </si>
  <si>
    <t>07003551</t>
  </si>
  <si>
    <t>Merkel</t>
  </si>
  <si>
    <t>07003552</t>
  </si>
  <si>
    <t>Trent</t>
  </si>
  <si>
    <t>08000042</t>
  </si>
  <si>
    <t>08000048</t>
  </si>
  <si>
    <t>08000054</t>
  </si>
  <si>
    <t>Milam</t>
  </si>
  <si>
    <t>08000060</t>
  </si>
  <si>
    <t>Bell</t>
  </si>
  <si>
    <t>08000063</t>
  </si>
  <si>
    <t>Robertson</t>
  </si>
  <si>
    <t>08000121</t>
  </si>
  <si>
    <t>Palo Pinto</t>
  </si>
  <si>
    <t>08000123</t>
  </si>
  <si>
    <t>Falls</t>
  </si>
  <si>
    <t>08000133</t>
  </si>
  <si>
    <t>Coryell</t>
  </si>
  <si>
    <t>08000138</t>
  </si>
  <si>
    <t>08000140</t>
  </si>
  <si>
    <t>Hamilton</t>
  </si>
  <si>
    <t>08000158</t>
  </si>
  <si>
    <t>Bosque</t>
  </si>
  <si>
    <t>08000162</t>
  </si>
  <si>
    <t>Somervell</t>
  </si>
  <si>
    <t>08000169</t>
  </si>
  <si>
    <t>Erath</t>
  </si>
  <si>
    <t>08000321</t>
  </si>
  <si>
    <t>Fort Bend County MUD 238</t>
  </si>
  <si>
    <t>08000327</t>
  </si>
  <si>
    <t>Northeast Burnet County Water District 1</t>
  </si>
  <si>
    <t>08000328</t>
  </si>
  <si>
    <t>Fort Bend County MUD 222</t>
  </si>
  <si>
    <t>08000337</t>
  </si>
  <si>
    <t>Sienna Plantation Management District</t>
  </si>
  <si>
    <t>08000348</t>
  </si>
  <si>
    <t>Imperial Redevelopment District</t>
  </si>
  <si>
    <t>08000353</t>
  </si>
  <si>
    <t>San Gabriel MUD 1</t>
  </si>
  <si>
    <t>08000354</t>
  </si>
  <si>
    <t>Seven Oaks Ranch MUD</t>
  </si>
  <si>
    <t>08000359</t>
  </si>
  <si>
    <t>Fort Bend County MUD 187</t>
  </si>
  <si>
    <t>08000366</t>
  </si>
  <si>
    <t>South Fork Ranch MUD</t>
  </si>
  <si>
    <t>08000370</t>
  </si>
  <si>
    <t>White Bluff WCID</t>
  </si>
  <si>
    <t>08000388</t>
  </si>
  <si>
    <t>Fort Bend County MUD 143</t>
  </si>
  <si>
    <t>08000407</t>
  </si>
  <si>
    <t>Fort Bend County Improvement District 24</t>
  </si>
  <si>
    <t>08000418</t>
  </si>
  <si>
    <t>Brazoria County MUD 44</t>
  </si>
  <si>
    <t>08000425</t>
  </si>
  <si>
    <t>Brookshire Municipal Water District</t>
  </si>
  <si>
    <t>08000432</t>
  </si>
  <si>
    <t>Las Damas Management District</t>
  </si>
  <si>
    <t>08000434</t>
  </si>
  <si>
    <t>Paloma Lake MUD 1</t>
  </si>
  <si>
    <t>08000438</t>
  </si>
  <si>
    <t>Wright Farm MMD</t>
  </si>
  <si>
    <t>08000447</t>
  </si>
  <si>
    <t>Fort Bend County MUD 134D</t>
  </si>
  <si>
    <t>08000456</t>
  </si>
  <si>
    <t>West Fort Bend Management  District</t>
  </si>
  <si>
    <t>08000457</t>
  </si>
  <si>
    <t>Williamson County WCID 3</t>
  </si>
  <si>
    <t>08000459</t>
  </si>
  <si>
    <t>CLL MUD 1</t>
  </si>
  <si>
    <t>08000461</t>
  </si>
  <si>
    <t>West Williamson County MUD 1</t>
  </si>
  <si>
    <t>08000465</t>
  </si>
  <si>
    <t>Williamson County MUD 23</t>
  </si>
  <si>
    <t>08000500</t>
  </si>
  <si>
    <t>Donahoe Creek Watershed Authority</t>
  </si>
  <si>
    <t>08000513</t>
  </si>
  <si>
    <t>Palo Pinto County WCID 1</t>
  </si>
  <si>
    <t>08000515</t>
  </si>
  <si>
    <t>Williamson County MUD 18</t>
  </si>
  <si>
    <t>08000525</t>
  </si>
  <si>
    <t>Angleton Drainage District</t>
  </si>
  <si>
    <t>08000551</t>
  </si>
  <si>
    <t>Fort Bend County MUD 200</t>
  </si>
  <si>
    <t>08000574</t>
  </si>
  <si>
    <t>Fort Bend County WCID 10</t>
  </si>
  <si>
    <t>08000579</t>
  </si>
  <si>
    <t>Velasco Drainage District</t>
  </si>
  <si>
    <t>08000591</t>
  </si>
  <si>
    <t>Waller County MUD 3</t>
  </si>
  <si>
    <t>08000595</t>
  </si>
  <si>
    <t>Fort Bend County MUD 146</t>
  </si>
  <si>
    <t>08000596</t>
  </si>
  <si>
    <t>Fort Bend County MUD 145</t>
  </si>
  <si>
    <t>08000608</t>
  </si>
  <si>
    <t>Brazoria County MUD 65</t>
  </si>
  <si>
    <t>08000612</t>
  </si>
  <si>
    <t>Waller County MUD 2</t>
  </si>
  <si>
    <t>08000623</t>
  </si>
  <si>
    <t>Fort Bend County MUD 198</t>
  </si>
  <si>
    <t>08000645</t>
  </si>
  <si>
    <t>Lake Proctor Irrigation Authority</t>
  </si>
  <si>
    <t>08000651</t>
  </si>
  <si>
    <t>Acton MUD</t>
  </si>
  <si>
    <t>08000658</t>
  </si>
  <si>
    <t>Erath County Development District 1</t>
  </si>
  <si>
    <t>08000666</t>
  </si>
  <si>
    <t>Falls County WCID 1</t>
  </si>
  <si>
    <t>08000678</t>
  </si>
  <si>
    <t>Fort Bend County MUD 47</t>
  </si>
  <si>
    <t>08000680</t>
  </si>
  <si>
    <t>Bell County WCID 6</t>
  </si>
  <si>
    <t>08000688</t>
  </si>
  <si>
    <t>Fort Bend County MUD 204</t>
  </si>
  <si>
    <t>08000689</t>
  </si>
  <si>
    <t>Fort Bend County MUD 203</t>
  </si>
  <si>
    <t>08000690</t>
  </si>
  <si>
    <t>Fort Bend County MUD 202</t>
  </si>
  <si>
    <t>08000691</t>
  </si>
  <si>
    <t>Fort Bend County MUD 201</t>
  </si>
  <si>
    <t>08000693</t>
  </si>
  <si>
    <t>Brazoria County MUD 64</t>
  </si>
  <si>
    <t>08000698</t>
  </si>
  <si>
    <t>Hood County Grandbury MUD 1</t>
  </si>
  <si>
    <t>08000704</t>
  </si>
  <si>
    <t>Fort Bend County MUD 132</t>
  </si>
  <si>
    <t>08000718</t>
  </si>
  <si>
    <t>First Colony MUD 10</t>
  </si>
  <si>
    <t>08000728</t>
  </si>
  <si>
    <t>Brazoria County MUD 62</t>
  </si>
  <si>
    <t>08000741</t>
  </si>
  <si>
    <t>Fort Bend County MUD 183</t>
  </si>
  <si>
    <t>08000750</t>
  </si>
  <si>
    <t>Waller County MUD 13</t>
  </si>
  <si>
    <t>08000751</t>
  </si>
  <si>
    <t>Waller County MUD 14</t>
  </si>
  <si>
    <t>08000752</t>
  </si>
  <si>
    <t>Waller County MUD 15</t>
  </si>
  <si>
    <t>08000762</t>
  </si>
  <si>
    <t>Fort Bend County MUD 139</t>
  </si>
  <si>
    <t>08000763</t>
  </si>
  <si>
    <t>Highlands at Mayfield Ranch MUD</t>
  </si>
  <si>
    <t>08000767</t>
  </si>
  <si>
    <t>Fort Bend County MUD 215</t>
  </si>
  <si>
    <t>08000772</t>
  </si>
  <si>
    <t>Booth Ranch MUD</t>
  </si>
  <si>
    <t>08000783</t>
  </si>
  <si>
    <t>Williamson County MUD 16</t>
  </si>
  <si>
    <t>08000793</t>
  </si>
  <si>
    <t>Fort Bend County MUD 188</t>
  </si>
  <si>
    <t>08000796</t>
  </si>
  <si>
    <t>Bell County MUD 1</t>
  </si>
  <si>
    <t>08000801</t>
  </si>
  <si>
    <t>Fort Bend County MUD 207</t>
  </si>
  <si>
    <t>08000812</t>
  </si>
  <si>
    <t>Fort Bend County MUD 117</t>
  </si>
  <si>
    <t>08000816</t>
  </si>
  <si>
    <t>Fort Bend County MUD 67</t>
  </si>
  <si>
    <t>08000817</t>
  </si>
  <si>
    <t>Fort Bend County MUD 42</t>
  </si>
  <si>
    <t>08000818</t>
  </si>
  <si>
    <t>Fort Bend County LID 7</t>
  </si>
  <si>
    <t>08000832</t>
  </si>
  <si>
    <t>Fort Bend County MUD 209</t>
  </si>
  <si>
    <t>08000833</t>
  </si>
  <si>
    <t>Fort Bend County MUD 208</t>
  </si>
  <si>
    <t>08000834</t>
  </si>
  <si>
    <t>Fort Bend County MUD 184</t>
  </si>
  <si>
    <t>08000835</t>
  </si>
  <si>
    <t>Fort Bend County MUD 213</t>
  </si>
  <si>
    <t>08000853</t>
  </si>
  <si>
    <t>Aquilla WSD</t>
  </si>
  <si>
    <t>08000857</t>
  </si>
  <si>
    <t>Bell County WCID 1</t>
  </si>
  <si>
    <t>08000863</t>
  </si>
  <si>
    <t>Williamson County MUD 12</t>
  </si>
  <si>
    <t>08000864</t>
  </si>
  <si>
    <t>Fort Bend County MUD 118</t>
  </si>
  <si>
    <t>08000867</t>
  </si>
  <si>
    <t>Brazoria County FWSD 2</t>
  </si>
  <si>
    <t>08000897</t>
  </si>
  <si>
    <t>Fort Bend County MUD 81</t>
  </si>
  <si>
    <t>08000914</t>
  </si>
  <si>
    <t>Fort Bend County MUD 41</t>
  </si>
  <si>
    <t>08000916</t>
  </si>
  <si>
    <t>Fort Bend County MUD 51</t>
  </si>
  <si>
    <t>08000924</t>
  </si>
  <si>
    <t>Plantation MUD</t>
  </si>
  <si>
    <t>08000925</t>
  </si>
  <si>
    <t>Palmer Plantation MUD 1</t>
  </si>
  <si>
    <t>08000935</t>
  </si>
  <si>
    <t>Sienna Plantation MUD 7</t>
  </si>
  <si>
    <t>08000938</t>
  </si>
  <si>
    <t>Sportsmans World MUD</t>
  </si>
  <si>
    <t>08000939</t>
  </si>
  <si>
    <t>Palo Pinto County Municipal Water District 1</t>
  </si>
  <si>
    <t>08000957</t>
  </si>
  <si>
    <t>Fort Bend County MUD 94</t>
  </si>
  <si>
    <t>08000976</t>
  </si>
  <si>
    <t>Eastland County Water Supply District</t>
  </si>
  <si>
    <t>08000977</t>
  </si>
  <si>
    <t>Bell County WCID 2</t>
  </si>
  <si>
    <t>08000978</t>
  </si>
  <si>
    <t>Jonah Water SUD</t>
  </si>
  <si>
    <t>08000991</t>
  </si>
  <si>
    <t>Bell County WCID 3</t>
  </si>
  <si>
    <t>08000992</t>
  </si>
  <si>
    <t>Brazoria County MUD 15</t>
  </si>
  <si>
    <t>08001000</t>
  </si>
  <si>
    <t>Williamson County MUD 9</t>
  </si>
  <si>
    <t>08001005</t>
  </si>
  <si>
    <t>Graham WSD</t>
  </si>
  <si>
    <t>08001007</t>
  </si>
  <si>
    <t>Chisholm Trail SUD</t>
  </si>
  <si>
    <t>08001011</t>
  </si>
  <si>
    <t>Fort Bend County WCID 3</t>
  </si>
  <si>
    <t>08001014</t>
  </si>
  <si>
    <t>Castleman Creek Watershed Association</t>
  </si>
  <si>
    <t>08001016</t>
  </si>
  <si>
    <t>Williamson County MUD 14</t>
  </si>
  <si>
    <t>08001020</t>
  </si>
  <si>
    <t>Oak Hill FWSD 1</t>
  </si>
  <si>
    <t>08001030</t>
  </si>
  <si>
    <t>Fort Bend County MUD 176</t>
  </si>
  <si>
    <t>08001031</t>
  </si>
  <si>
    <t>Northwest Williamson County MUD 1</t>
  </si>
  <si>
    <t>08001038</t>
  </si>
  <si>
    <t>Fort Bend County MUD 165</t>
  </si>
  <si>
    <t>08001041</t>
  </si>
  <si>
    <t>Brazoria County MUD 13</t>
  </si>
  <si>
    <t>08001042</t>
  </si>
  <si>
    <t>Brazoria County MUD 12</t>
  </si>
  <si>
    <t>08001046</t>
  </si>
  <si>
    <t>Brushy Creek MUD</t>
  </si>
  <si>
    <t>08001095</t>
  </si>
  <si>
    <t>Williamson County MUD 11</t>
  </si>
  <si>
    <t>08001125</t>
  </si>
  <si>
    <t>Williamson County MUD 15</t>
  </si>
  <si>
    <t>08001126</t>
  </si>
  <si>
    <t>Siena MUD 1</t>
  </si>
  <si>
    <t>08001131</t>
  </si>
  <si>
    <t>Sonterra MUD</t>
  </si>
  <si>
    <t>08001135</t>
  </si>
  <si>
    <t>Fort Bend County MUD 126</t>
  </si>
  <si>
    <t>08001145</t>
  </si>
  <si>
    <t>Fort Bend County LID 11</t>
  </si>
  <si>
    <t>08001152</t>
  </si>
  <si>
    <t>Fort Bend County LID 14</t>
  </si>
  <si>
    <t>08001154</t>
  </si>
  <si>
    <t>Fort Bend County LID 17</t>
  </si>
  <si>
    <t>08001156</t>
  </si>
  <si>
    <t>Fort Bend County MUD 106</t>
  </si>
  <si>
    <t>08001160</t>
  </si>
  <si>
    <t>Fort Bend County MUD 119</t>
  </si>
  <si>
    <t>08001168</t>
  </si>
  <si>
    <t>Fort Bend County MUD 77</t>
  </si>
  <si>
    <t>08001200</t>
  </si>
  <si>
    <t>Fort Bend County MUD 148</t>
  </si>
  <si>
    <t>08001204</t>
  </si>
  <si>
    <t>Brazos County MUD 2</t>
  </si>
  <si>
    <t>08001205</t>
  </si>
  <si>
    <t>Williamson County MUD 17</t>
  </si>
  <si>
    <t>08001206</t>
  </si>
  <si>
    <t>Sienna Plantation MUD 1</t>
  </si>
  <si>
    <t>08001209</t>
  </si>
  <si>
    <t>Fort Bend County MUD 109</t>
  </si>
  <si>
    <t>08001218</t>
  </si>
  <si>
    <t>Fort Bend County MUD 194</t>
  </si>
  <si>
    <t>08001221</t>
  </si>
  <si>
    <t>Fort Bend County MUD 214</t>
  </si>
  <si>
    <t>08001228</t>
  </si>
  <si>
    <t>Williamson County WCID 2</t>
  </si>
  <si>
    <t>08001231</t>
  </si>
  <si>
    <t>Fort Bend County MUD 5</t>
  </si>
  <si>
    <t>08001254</t>
  </si>
  <si>
    <t>Fulshear MUD 1</t>
  </si>
  <si>
    <t>08001260</t>
  </si>
  <si>
    <t>Fort Bend County MUD 170</t>
  </si>
  <si>
    <t>08001261</t>
  </si>
  <si>
    <t>Fort Bend County MUD 172</t>
  </si>
  <si>
    <t>08001262</t>
  </si>
  <si>
    <t>Fort Bend County MUD 169</t>
  </si>
  <si>
    <t>08001273</t>
  </si>
  <si>
    <t>Sienna Plantation MUD 13</t>
  </si>
  <si>
    <t>08001284</t>
  </si>
  <si>
    <t>Fort Bend County MUD 79</t>
  </si>
  <si>
    <t>08001285</t>
  </si>
  <si>
    <t>Fort Bend County MUD 52</t>
  </si>
  <si>
    <t>08001286</t>
  </si>
  <si>
    <t>Fort Bend County MUD 121</t>
  </si>
  <si>
    <t>08001299</t>
  </si>
  <si>
    <t>Shell Road MUD</t>
  </si>
  <si>
    <t>08001300</t>
  </si>
  <si>
    <t>Pecan Grove MUD</t>
  </si>
  <si>
    <t>08001301</t>
  </si>
  <si>
    <t>Sienna Plantation MUD 2</t>
  </si>
  <si>
    <t>08001310</t>
  </si>
  <si>
    <t>Fort Bend County MUD 140</t>
  </si>
  <si>
    <t>08001311</t>
  </si>
  <si>
    <t>Fort Bend County MUD 158</t>
  </si>
  <si>
    <t>08001319</t>
  </si>
  <si>
    <t>Southeast Williamson County MUD 1</t>
  </si>
  <si>
    <t>08001332</t>
  </si>
  <si>
    <t>Fort Bend County MUD 155</t>
  </si>
  <si>
    <t>08001335</t>
  </si>
  <si>
    <t>Alden Lake Management District</t>
  </si>
  <si>
    <t>08001350</t>
  </si>
  <si>
    <t>Somervell County Water District</t>
  </si>
  <si>
    <t>08001358</t>
  </si>
  <si>
    <t>First Colony Management District</t>
  </si>
  <si>
    <t>08001373</t>
  </si>
  <si>
    <t>Williamson-Liberty Hill MUD</t>
  </si>
  <si>
    <t>08001376</t>
  </si>
  <si>
    <t>Walsh Ranch MUD</t>
  </si>
  <si>
    <t>08001377</t>
  </si>
  <si>
    <t>Stonewall Ranch MUD</t>
  </si>
  <si>
    <t>08001382</t>
  </si>
  <si>
    <t>Fort Bend County MUD 137</t>
  </si>
  <si>
    <t>08001383</t>
  </si>
  <si>
    <t>Fort Bend County MUD 136</t>
  </si>
  <si>
    <t>08001392</t>
  </si>
  <si>
    <t>Fort Bend County MUD 115</t>
  </si>
  <si>
    <t>08001397</t>
  </si>
  <si>
    <t>Lone Star Regional Water Authority</t>
  </si>
  <si>
    <t>08001398</t>
  </si>
  <si>
    <t>Fort Bend County MUD 167</t>
  </si>
  <si>
    <t>08001407</t>
  </si>
  <si>
    <t>Fort Bend County MUD 66</t>
  </si>
  <si>
    <t>08001408</t>
  </si>
  <si>
    <t>Fort Bend County MUD 65</t>
  </si>
  <si>
    <t>08001419</t>
  </si>
  <si>
    <t>Williamson County MUD 26</t>
  </si>
  <si>
    <t>08001426</t>
  </si>
  <si>
    <t>Meadows at Chandler Creek MUD</t>
  </si>
  <si>
    <t>08001427</t>
  </si>
  <si>
    <t>Block House MUD</t>
  </si>
  <si>
    <t>08001431</t>
  </si>
  <si>
    <t>Fort Bend County MUD 108</t>
  </si>
  <si>
    <t>08001463</t>
  </si>
  <si>
    <t>Fort Bend County MUD 192</t>
  </si>
  <si>
    <t>08001483</t>
  </si>
  <si>
    <t>Blue Water MUD</t>
  </si>
  <si>
    <t>08001517</t>
  </si>
  <si>
    <t>West Williamson County MUD 2</t>
  </si>
  <si>
    <t>08001518</t>
  </si>
  <si>
    <t>Williams Ranch MUD 1</t>
  </si>
  <si>
    <t>08001538</t>
  </si>
  <si>
    <t>Sienna Plantation MUD 5</t>
  </si>
  <si>
    <t>08001574</t>
  </si>
  <si>
    <t>Fort Bend County MUD 24</t>
  </si>
  <si>
    <t>08001575</t>
  </si>
  <si>
    <t>Maverick Improvement District of Palo Pinto County</t>
  </si>
  <si>
    <t>08001581</t>
  </si>
  <si>
    <t>Fort Bend County MUD 69</t>
  </si>
  <si>
    <t>08001582</t>
  </si>
  <si>
    <t>Fort Bend County MUD 68</t>
  </si>
  <si>
    <t>08001584</t>
  </si>
  <si>
    <t>Beaver Creek WCID 1</t>
  </si>
  <si>
    <t>08001588</t>
  </si>
  <si>
    <t>Lakeside Water Supply District</t>
  </si>
  <si>
    <t>08001591</t>
  </si>
  <si>
    <t>Siena MUD 2</t>
  </si>
  <si>
    <t>08001593</t>
  </si>
  <si>
    <t>Williamson County MUD 19C</t>
  </si>
  <si>
    <t>08001607</t>
  </si>
  <si>
    <t>Williamson County MUD 10</t>
  </si>
  <si>
    <t>08001613</t>
  </si>
  <si>
    <t>Fern Bluff MUD</t>
  </si>
  <si>
    <t>08001614</t>
  </si>
  <si>
    <t>Sienna Plantation MUD 12</t>
  </si>
  <si>
    <t>08001616</t>
  </si>
  <si>
    <t>Fort Bend County LID 8</t>
  </si>
  <si>
    <t>08001617</t>
  </si>
  <si>
    <t>Fort Bend County LID 2</t>
  </si>
  <si>
    <t>08001618</t>
  </si>
  <si>
    <t>First Colony LID 2</t>
  </si>
  <si>
    <t>08001619</t>
  </si>
  <si>
    <t>Fort Bend County MUD 111</t>
  </si>
  <si>
    <t>08001637</t>
  </si>
  <si>
    <t>Lee County FWSD 1</t>
  </si>
  <si>
    <t>08001647</t>
  </si>
  <si>
    <t>Fort Bend County MUD 49</t>
  </si>
  <si>
    <t>08001675</t>
  </si>
  <si>
    <t>Burleson County MUD 1</t>
  </si>
  <si>
    <t>08001688</t>
  </si>
  <si>
    <t>Fort Bend County MUD 112</t>
  </si>
  <si>
    <t>08001689</t>
  </si>
  <si>
    <t>Fort Bend County MUD 56</t>
  </si>
  <si>
    <t>08001690</t>
  </si>
  <si>
    <t>Fort Bend County MUD 19</t>
  </si>
  <si>
    <t>08001703</t>
  </si>
  <si>
    <t>Fort Bend County MUD 129</t>
  </si>
  <si>
    <t>08001715</t>
  </si>
  <si>
    <t>First Colony LID</t>
  </si>
  <si>
    <t>08001723</t>
  </si>
  <si>
    <t>Wickson Creek SUD</t>
  </si>
  <si>
    <t>08001724</t>
  </si>
  <si>
    <t>Varner Creek Utility District</t>
  </si>
  <si>
    <t>08001725</t>
  </si>
  <si>
    <t>Treasure Island MUD</t>
  </si>
  <si>
    <t>08001726</t>
  </si>
  <si>
    <t>Rancho Isabella MUD</t>
  </si>
  <si>
    <t>08001728</t>
  </si>
  <si>
    <t>Commodore Cove Improvement District</t>
  </si>
  <si>
    <t>08001730</t>
  </si>
  <si>
    <t>Brazoria County MUD 14</t>
  </si>
  <si>
    <t>08001758</t>
  </si>
  <si>
    <t>Paloma Lake MUD 2</t>
  </si>
  <si>
    <t>08001785</t>
  </si>
  <si>
    <t>Sienna Plantation MUD 4</t>
  </si>
  <si>
    <t>08001786</t>
  </si>
  <si>
    <t>Williamson County MUD 25</t>
  </si>
  <si>
    <t>08001791</t>
  </si>
  <si>
    <t>Sienna Plantation MUD 6</t>
  </si>
  <si>
    <t>08001792</t>
  </si>
  <si>
    <t>3 B&amp;J MUD</t>
  </si>
  <si>
    <t>08001805</t>
  </si>
  <si>
    <t>Bellfort PUD</t>
  </si>
  <si>
    <t>08001814</t>
  </si>
  <si>
    <t>Twinwood MUD</t>
  </si>
  <si>
    <t>08001830</t>
  </si>
  <si>
    <t>Watch Hill MUD</t>
  </si>
  <si>
    <t>08001834</t>
  </si>
  <si>
    <t>Rock Prairie Management District 2</t>
  </si>
  <si>
    <t>08001835</t>
  </si>
  <si>
    <t>08001841</t>
  </si>
  <si>
    <t>Fort Bend County MUD 152</t>
  </si>
  <si>
    <t>08001843</t>
  </si>
  <si>
    <t>Fort Bend County MUD 171</t>
  </si>
  <si>
    <t>08001849</t>
  </si>
  <si>
    <t>Leander Todd MUD 1</t>
  </si>
  <si>
    <t>08001850</t>
  </si>
  <si>
    <t>Rock Prairie Management District 1</t>
  </si>
  <si>
    <t>08001879</t>
  </si>
  <si>
    <t>Fort Bend County MUD 195</t>
  </si>
  <si>
    <t>08001888</t>
  </si>
  <si>
    <t>Fort Bend County MUD 225</t>
  </si>
  <si>
    <t>08001893</t>
  </si>
  <si>
    <t>Fort Bend County MUD 239</t>
  </si>
  <si>
    <t>08001895</t>
  </si>
  <si>
    <t>Fort Bend County MUD 138</t>
  </si>
  <si>
    <t>08001903</t>
  </si>
  <si>
    <t>Brazos County MUD 1</t>
  </si>
  <si>
    <t>08001912</t>
  </si>
  <si>
    <t>Parkside at Mayfield Ranch MUD</t>
  </si>
  <si>
    <t>08001918</t>
  </si>
  <si>
    <t>Williamson County MUD 30</t>
  </si>
  <si>
    <t>08001934</t>
  </si>
  <si>
    <t>Fort Bend County MUD 134E</t>
  </si>
  <si>
    <t>08001936</t>
  </si>
  <si>
    <t>Fulshear MUD 2</t>
  </si>
  <si>
    <t>08001940</t>
  </si>
  <si>
    <t>Fort Bend County MUD 210</t>
  </si>
  <si>
    <t>08001955</t>
  </si>
  <si>
    <t>Sienna Plantation MUD 3</t>
  </si>
  <si>
    <t>08001960</t>
  </si>
  <si>
    <t>Fort Bend County MUD 166</t>
  </si>
  <si>
    <t>08001974</t>
  </si>
  <si>
    <t>Fort Bend County MUD 46</t>
  </si>
  <si>
    <t>08001980</t>
  </si>
  <si>
    <t>First Colony MUD 9</t>
  </si>
  <si>
    <t>08001982</t>
  </si>
  <si>
    <t>Fort Bend County MUD 149</t>
  </si>
  <si>
    <t>08001983</t>
  </si>
  <si>
    <t>Fort Bend County MUD 233</t>
  </si>
  <si>
    <t>08001994</t>
  </si>
  <si>
    <t>Denton County FWSD 2-B</t>
  </si>
  <si>
    <t>08001996</t>
  </si>
  <si>
    <t>Fort Bend County WCID 8</t>
  </si>
  <si>
    <t>08002005</t>
  </si>
  <si>
    <t>Williamson County MUD 19A</t>
  </si>
  <si>
    <t>08002010</t>
  </si>
  <si>
    <t>Williamson County MUD 19B</t>
  </si>
  <si>
    <t>08002013</t>
  </si>
  <si>
    <t>Northwest Williamson County MUD 2</t>
  </si>
  <si>
    <t>08002025</t>
  </si>
  <si>
    <t>Fort Bend County LID 19</t>
  </si>
  <si>
    <t>08002030</t>
  </si>
  <si>
    <t>Fort Bend County MUD 159</t>
  </si>
  <si>
    <t>08002052</t>
  </si>
  <si>
    <t>Fort Bend County MUD 128</t>
  </si>
  <si>
    <t>08002056</t>
  </si>
  <si>
    <t>Fort Bend County MUD 211</t>
  </si>
  <si>
    <t>08002060</t>
  </si>
  <si>
    <t>Fort Bend County MUD 212</t>
  </si>
  <si>
    <t>08002068</t>
  </si>
  <si>
    <t>Williamson County MUD 22</t>
  </si>
  <si>
    <t>08002071</t>
  </si>
  <si>
    <t>Fort Bend County MUD 116</t>
  </si>
  <si>
    <t>08002085</t>
  </si>
  <si>
    <t>Williamson County MUD 13</t>
  </si>
  <si>
    <t>08002087</t>
  </si>
  <si>
    <t>Bell County MUD 2</t>
  </si>
  <si>
    <t>08002095</t>
  </si>
  <si>
    <t>Leander MUD 2</t>
  </si>
  <si>
    <t>08002096</t>
  </si>
  <si>
    <t>Leander MUD 1</t>
  </si>
  <si>
    <t>08002122</t>
  </si>
  <si>
    <t>Fort Bend County LID 6</t>
  </si>
  <si>
    <t>08002123</t>
  </si>
  <si>
    <t>Sienna Plantation MUD 10</t>
  </si>
  <si>
    <t>08002124</t>
  </si>
  <si>
    <t>Fort Bend County MMD 1</t>
  </si>
  <si>
    <t>08002125</t>
  </si>
  <si>
    <t>Palmera Ridge MUD</t>
  </si>
  <si>
    <t>08002126</t>
  </si>
  <si>
    <t>Fort Bend County MUD 25</t>
  </si>
  <si>
    <t>08002128</t>
  </si>
  <si>
    <t>Fort Bend County MUD 134 A</t>
  </si>
  <si>
    <t>08002143</t>
  </si>
  <si>
    <t>Fort Bend County MUD 144</t>
  </si>
  <si>
    <t>08002147</t>
  </si>
  <si>
    <t>Fort Bend County LID 10</t>
  </si>
  <si>
    <t>08002155</t>
  </si>
  <si>
    <t>Fort Bend County MUD 174</t>
  </si>
  <si>
    <t>08002156</t>
  </si>
  <si>
    <t>Fort Bend County MUD 220</t>
  </si>
  <si>
    <t>08002179</t>
  </si>
  <si>
    <t>Williamson County MUD 34</t>
  </si>
  <si>
    <t>08002180</t>
  </si>
  <si>
    <t>Brazoria County MUD 67</t>
  </si>
  <si>
    <t>08002190</t>
  </si>
  <si>
    <t>Cool Water MUD</t>
  </si>
  <si>
    <t>08002203</t>
  </si>
  <si>
    <t>East Williamson County MUD 1</t>
  </si>
  <si>
    <t>08002204</t>
  </si>
  <si>
    <t>Williamson County MUD 19</t>
  </si>
  <si>
    <t>08002208</t>
  </si>
  <si>
    <t>Leander MUD 3</t>
  </si>
  <si>
    <t>08002221</t>
  </si>
  <si>
    <t>Fort Bend County MUD 147</t>
  </si>
  <si>
    <t>08002223</t>
  </si>
  <si>
    <t>Fort Bend County Management District 3</t>
  </si>
  <si>
    <t>08002225</t>
  </si>
  <si>
    <t>Fort Bend County LID 15</t>
  </si>
  <si>
    <t>08002227</t>
  </si>
  <si>
    <t>Fort Bend County MUD 242</t>
  </si>
  <si>
    <t>08002229</t>
  </si>
  <si>
    <t>Fort Bend County LID 20</t>
  </si>
  <si>
    <t>08002233</t>
  </si>
  <si>
    <t>Williamson County MUD 31</t>
  </si>
  <si>
    <t>08002241</t>
  </si>
  <si>
    <t>Fort Bend County MUD 134 B</t>
  </si>
  <si>
    <t>08002249</t>
  </si>
  <si>
    <t>Round Rock MUD 2</t>
  </si>
  <si>
    <t>08002266</t>
  </si>
  <si>
    <t>Fort Bend County MUD 157</t>
  </si>
  <si>
    <t>08002267</t>
  </si>
  <si>
    <t>Fort Bend County MMD 2</t>
  </si>
  <si>
    <t>08002275</t>
  </si>
  <si>
    <t>Round Rock MUD 1</t>
  </si>
  <si>
    <t>08002289</t>
  </si>
  <si>
    <t>Waller County MUD 19</t>
  </si>
  <si>
    <t>08002295</t>
  </si>
  <si>
    <t>Fort Bend County MUD 241</t>
  </si>
  <si>
    <t>08002296</t>
  </si>
  <si>
    <t>Fort Bend County MUD 216</t>
  </si>
  <si>
    <t>08002300</t>
  </si>
  <si>
    <t>Orchard MUD 1</t>
  </si>
  <si>
    <t>08002301</t>
  </si>
  <si>
    <t>Fort Bend County MUD 237</t>
  </si>
  <si>
    <t>08002302</t>
  </si>
  <si>
    <t>Fort Bend County MUD 224</t>
  </si>
  <si>
    <t>08002308</t>
  </si>
  <si>
    <t>Williamson County MUD 28</t>
  </si>
  <si>
    <t>08002316</t>
  </si>
  <si>
    <t>Brazoria County MUD 76</t>
  </si>
  <si>
    <t>08002319</t>
  </si>
  <si>
    <t>Fort Bend County MUD 229</t>
  </si>
  <si>
    <t>08002320</t>
  </si>
  <si>
    <t>Fort Bend County MUD 240</t>
  </si>
  <si>
    <t>08002323</t>
  </si>
  <si>
    <t>Fort Bend County MUD 234</t>
  </si>
  <si>
    <t>08002327</t>
  </si>
  <si>
    <t>Fort Bend County MUD 162</t>
  </si>
  <si>
    <t>08002331</t>
  </si>
  <si>
    <t>Orchard Management District 1</t>
  </si>
  <si>
    <t>08002345</t>
  </si>
  <si>
    <t>Belmont MUD</t>
  </si>
  <si>
    <t>08002352</t>
  </si>
  <si>
    <t>Berry Creek Highlands MUD</t>
  </si>
  <si>
    <t>08002359</t>
  </si>
  <si>
    <t>Williamson County MUD 32</t>
  </si>
  <si>
    <t>08002364</t>
  </si>
  <si>
    <t>Williamson County MUD 29</t>
  </si>
  <si>
    <t>08002366</t>
  </si>
  <si>
    <t>Cresson MUD 1 of Hood County</t>
  </si>
  <si>
    <t>08002374</t>
  </si>
  <si>
    <t>Fort Bend County MUD 235</t>
  </si>
  <si>
    <t>08002379</t>
  </si>
  <si>
    <t>Gorman</t>
  </si>
  <si>
    <t>08002380</t>
  </si>
  <si>
    <t>08002381</t>
  </si>
  <si>
    <t>Gustine</t>
  </si>
  <si>
    <t>08002398</t>
  </si>
  <si>
    <t>Bremond</t>
  </si>
  <si>
    <t>08002399</t>
  </si>
  <si>
    <t>Hearne</t>
  </si>
  <si>
    <t>08002407</t>
  </si>
  <si>
    <t>Carbon</t>
  </si>
  <si>
    <t>08002423</t>
  </si>
  <si>
    <t>Temple</t>
  </si>
  <si>
    <t>08002431</t>
  </si>
  <si>
    <t>Salado</t>
  </si>
  <si>
    <t>08002477</t>
  </si>
  <si>
    <t>Mart</t>
  </si>
  <si>
    <t>08002499</t>
  </si>
  <si>
    <t>Godley</t>
  </si>
  <si>
    <t>08002500</t>
  </si>
  <si>
    <t>Rio Vista</t>
  </si>
  <si>
    <t>08002515</t>
  </si>
  <si>
    <t>Richmond</t>
  </si>
  <si>
    <t>08002518</t>
  </si>
  <si>
    <t>De Leon</t>
  </si>
  <si>
    <t>08002544</t>
  </si>
  <si>
    <t>08002550</t>
  </si>
  <si>
    <t>Kempner</t>
  </si>
  <si>
    <t>08002559</t>
  </si>
  <si>
    <t>Mingus</t>
  </si>
  <si>
    <t>08002568</t>
  </si>
  <si>
    <t>Thrall</t>
  </si>
  <si>
    <t>08002570</t>
  </si>
  <si>
    <t>Cool</t>
  </si>
  <si>
    <t>08002576</t>
  </si>
  <si>
    <t>Florence</t>
  </si>
  <si>
    <t>Hutto</t>
  </si>
  <si>
    <t>Georgetown</t>
  </si>
  <si>
    <t>08002592</t>
  </si>
  <si>
    <t>Walnut Springs</t>
  </si>
  <si>
    <t>08002604</t>
  </si>
  <si>
    <t>Covington</t>
  </si>
  <si>
    <t>08002608</t>
  </si>
  <si>
    <t>Mount Calm</t>
  </si>
  <si>
    <t>08002610</t>
  </si>
  <si>
    <t>Whitney</t>
  </si>
  <si>
    <t>08002654</t>
  </si>
  <si>
    <t>Bellville</t>
  </si>
  <si>
    <t>08002713</t>
  </si>
  <si>
    <t>Copperas Cove</t>
  </si>
  <si>
    <t>08002714</t>
  </si>
  <si>
    <t>Strawn</t>
  </si>
  <si>
    <t>08002723</t>
  </si>
  <si>
    <t>Golinda</t>
  </si>
  <si>
    <t>08002736</t>
  </si>
  <si>
    <t>Robinson</t>
  </si>
  <si>
    <t>08002737</t>
  </si>
  <si>
    <t>Harker Heights</t>
  </si>
  <si>
    <t>08002749</t>
  </si>
  <si>
    <t>Kurten</t>
  </si>
  <si>
    <t>08002766</t>
  </si>
  <si>
    <t>08002767</t>
  </si>
  <si>
    <t>Ranger</t>
  </si>
  <si>
    <t>08002783</t>
  </si>
  <si>
    <t>Clifton</t>
  </si>
  <si>
    <t>08002784</t>
  </si>
  <si>
    <t>Cranfills Gap</t>
  </si>
  <si>
    <t>08002785</t>
  </si>
  <si>
    <t>Iredell</t>
  </si>
  <si>
    <t>08002786</t>
  </si>
  <si>
    <t>Meridian</t>
  </si>
  <si>
    <t>08002787</t>
  </si>
  <si>
    <t>Valley Mills</t>
  </si>
  <si>
    <t>08002788</t>
  </si>
  <si>
    <t>Glen Rose</t>
  </si>
  <si>
    <t>08002796</t>
  </si>
  <si>
    <t>Brookshire</t>
  </si>
  <si>
    <t>08002805</t>
  </si>
  <si>
    <t>Abbott</t>
  </si>
  <si>
    <t>08002830</t>
  </si>
  <si>
    <t>Liberty Hill</t>
  </si>
  <si>
    <t>08002835</t>
  </si>
  <si>
    <t>Weir</t>
  </si>
  <si>
    <t>08002869</t>
  </si>
  <si>
    <t>Jarrell</t>
  </si>
  <si>
    <t>08002877</t>
  </si>
  <si>
    <t>Belton</t>
  </si>
  <si>
    <t>08002878</t>
  </si>
  <si>
    <t>Little River-Academy</t>
  </si>
  <si>
    <t>08002883</t>
  </si>
  <si>
    <t>Nolanville</t>
  </si>
  <si>
    <t>08002893</t>
  </si>
  <si>
    <t>Evant</t>
  </si>
  <si>
    <t>08002894</t>
  </si>
  <si>
    <t>South Mountain</t>
  </si>
  <si>
    <t>08002906</t>
  </si>
  <si>
    <t>Stephenville</t>
  </si>
  <si>
    <t>08002912</t>
  </si>
  <si>
    <t>Thorndale</t>
  </si>
  <si>
    <t>08002913</t>
  </si>
  <si>
    <t>Leroy</t>
  </si>
  <si>
    <t>Waco</t>
  </si>
  <si>
    <t>08002922</t>
  </si>
  <si>
    <t>Fairchilds</t>
  </si>
  <si>
    <t>08002936</t>
  </si>
  <si>
    <t>Orchard</t>
  </si>
  <si>
    <t>08002937</t>
  </si>
  <si>
    <t>Pleak</t>
  </si>
  <si>
    <t>08002938</t>
  </si>
  <si>
    <t>Simonton</t>
  </si>
  <si>
    <t>08002939</t>
  </si>
  <si>
    <t>Thompsons</t>
  </si>
  <si>
    <t>08002947</t>
  </si>
  <si>
    <t>Kosse</t>
  </si>
  <si>
    <t>08002956</t>
  </si>
  <si>
    <t>Bruceville-Eddy</t>
  </si>
  <si>
    <t>08002957</t>
  </si>
  <si>
    <t>Lott</t>
  </si>
  <si>
    <t>08002976</t>
  </si>
  <si>
    <t>Granger</t>
  </si>
  <si>
    <t>08002979</t>
  </si>
  <si>
    <t>Hallsburg</t>
  </si>
  <si>
    <t>08002983</t>
  </si>
  <si>
    <t>Angleton</t>
  </si>
  <si>
    <t>08002990</t>
  </si>
  <si>
    <t>South Frydek</t>
  </si>
  <si>
    <t>08002991</t>
  </si>
  <si>
    <t>Oglesby</t>
  </si>
  <si>
    <t>08002994</t>
  </si>
  <si>
    <t>Clute</t>
  </si>
  <si>
    <t>08002995</t>
  </si>
  <si>
    <t>Holiday Lakes</t>
  </si>
  <si>
    <t>08002997</t>
  </si>
  <si>
    <t>Stockton Bend</t>
  </si>
  <si>
    <t>08003010</t>
  </si>
  <si>
    <t>Cleburne</t>
  </si>
  <si>
    <t>08003021</t>
  </si>
  <si>
    <t>Bailey's Prairie</t>
  </si>
  <si>
    <t>08003022</t>
  </si>
  <si>
    <t>Bonney</t>
  </si>
  <si>
    <t>08003025</t>
  </si>
  <si>
    <t>Danbury</t>
  </si>
  <si>
    <t>08003035</t>
  </si>
  <si>
    <t>Buckholts</t>
  </si>
  <si>
    <t>08003036</t>
  </si>
  <si>
    <t>08003039</t>
  </si>
  <si>
    <t>Marlin</t>
  </si>
  <si>
    <t>08003040</t>
  </si>
  <si>
    <t>Rosebud</t>
  </si>
  <si>
    <t>08003044</t>
  </si>
  <si>
    <t>Milano</t>
  </si>
  <si>
    <t>08003045</t>
  </si>
  <si>
    <t>Rockdale</t>
  </si>
  <si>
    <t>08003093</t>
  </si>
  <si>
    <t>Oyster Creek</t>
  </si>
  <si>
    <t>08003094</t>
  </si>
  <si>
    <t>Quintana</t>
  </si>
  <si>
    <t>08003097</t>
  </si>
  <si>
    <t>Richwood</t>
  </si>
  <si>
    <t>08003098</t>
  </si>
  <si>
    <t>Surfside Beach</t>
  </si>
  <si>
    <t>08003102</t>
  </si>
  <si>
    <t>Dublin</t>
  </si>
  <si>
    <t>08003106</t>
  </si>
  <si>
    <t>Bertram</t>
  </si>
  <si>
    <t>08003126</t>
  </si>
  <si>
    <t>Gordon</t>
  </si>
  <si>
    <t>08003133</t>
  </si>
  <si>
    <t>08003137</t>
  </si>
  <si>
    <t>Graford</t>
  </si>
  <si>
    <t>08003174</t>
  </si>
  <si>
    <t>Marquez</t>
  </si>
  <si>
    <t>08003184</t>
  </si>
  <si>
    <t>Tolar</t>
  </si>
  <si>
    <t>08003185</t>
  </si>
  <si>
    <t>Granbury</t>
  </si>
  <si>
    <t>08003200</t>
  </si>
  <si>
    <t>Morgan</t>
  </si>
  <si>
    <t>08003223</t>
  </si>
  <si>
    <t>Sandy Point</t>
  </si>
  <si>
    <t>08003224</t>
  </si>
  <si>
    <t>Lipan</t>
  </si>
  <si>
    <t>08003225</t>
  </si>
  <si>
    <t>DeCordova</t>
  </si>
  <si>
    <t>08003226</t>
  </si>
  <si>
    <t>Bryson</t>
  </si>
  <si>
    <t>08003252</t>
  </si>
  <si>
    <t>Bellmead</t>
  </si>
  <si>
    <t>08003253</t>
  </si>
  <si>
    <t>Beverly Hills</t>
  </si>
  <si>
    <t>08003254</t>
  </si>
  <si>
    <t>Crawford</t>
  </si>
  <si>
    <t>08003255</t>
  </si>
  <si>
    <t>Gholson</t>
  </si>
  <si>
    <t>08003256</t>
  </si>
  <si>
    <t>Hewitt</t>
  </si>
  <si>
    <t>08003261</t>
  </si>
  <si>
    <t>Weston Lakes</t>
  </si>
  <si>
    <t>08003290</t>
  </si>
  <si>
    <t>Millsap</t>
  </si>
  <si>
    <t>08003291</t>
  </si>
  <si>
    <t>Mineral Wells</t>
  </si>
  <si>
    <t>08003293</t>
  </si>
  <si>
    <t>Gatesville</t>
  </si>
  <si>
    <t>08003294</t>
  </si>
  <si>
    <t>McGregor</t>
  </si>
  <si>
    <t>08003295</t>
  </si>
  <si>
    <t>Hico</t>
  </si>
  <si>
    <t>08003297</t>
  </si>
  <si>
    <t>Lacy-Lakeview</t>
  </si>
  <si>
    <t>08003298</t>
  </si>
  <si>
    <t>Lorena</t>
  </si>
  <si>
    <t>08003299</t>
  </si>
  <si>
    <t>Moody</t>
  </si>
  <si>
    <t>08003300</t>
  </si>
  <si>
    <t>Riesel</t>
  </si>
  <si>
    <t>08003301</t>
  </si>
  <si>
    <t>Ross</t>
  </si>
  <si>
    <t>08003303</t>
  </si>
  <si>
    <t>West</t>
  </si>
  <si>
    <t>08003315</t>
  </si>
  <si>
    <t>Rising Star</t>
  </si>
  <si>
    <t>08003319</t>
  </si>
  <si>
    <t>Groesbeck</t>
  </si>
  <si>
    <t>08003320</t>
  </si>
  <si>
    <t>Thornton</t>
  </si>
  <si>
    <t>08003334</t>
  </si>
  <si>
    <t>Woodway</t>
  </si>
  <si>
    <t>08003340</t>
  </si>
  <si>
    <t>08003341</t>
  </si>
  <si>
    <t>08003364</t>
  </si>
  <si>
    <t>Aquilla</t>
  </si>
  <si>
    <t>08003365</t>
  </si>
  <si>
    <t>Blum</t>
  </si>
  <si>
    <t>08003366</t>
  </si>
  <si>
    <t>Hillsboro</t>
  </si>
  <si>
    <t>08003387</t>
  </si>
  <si>
    <t>Hempstead</t>
  </si>
  <si>
    <t>08003388</t>
  </si>
  <si>
    <t>Pattison</t>
  </si>
  <si>
    <t>08003389</t>
  </si>
  <si>
    <t>Pine Island</t>
  </si>
  <si>
    <t>08003399</t>
  </si>
  <si>
    <t>Brazos Country</t>
  </si>
  <si>
    <t>08003400</t>
  </si>
  <si>
    <t>Industry</t>
  </si>
  <si>
    <t>08003403</t>
  </si>
  <si>
    <t>Lexington</t>
  </si>
  <si>
    <t>08003406</t>
  </si>
  <si>
    <t>Graham</t>
  </si>
  <si>
    <t>08003407</t>
  </si>
  <si>
    <t>Olney</t>
  </si>
  <si>
    <t>08003413</t>
  </si>
  <si>
    <t>Navasota</t>
  </si>
  <si>
    <t>08003416</t>
  </si>
  <si>
    <t>Calvert</t>
  </si>
  <si>
    <t>08003417</t>
  </si>
  <si>
    <t>08003423</t>
  </si>
  <si>
    <t>San Felipe</t>
  </si>
  <si>
    <t>08003424</t>
  </si>
  <si>
    <t>Brenham</t>
  </si>
  <si>
    <t>08003425</t>
  </si>
  <si>
    <t>Burton</t>
  </si>
  <si>
    <t>08003438</t>
  </si>
  <si>
    <t>Bryan</t>
  </si>
  <si>
    <t>College Station</t>
  </si>
  <si>
    <t>08003440</t>
  </si>
  <si>
    <t>Wixon Valley</t>
  </si>
  <si>
    <t>08003471</t>
  </si>
  <si>
    <t>Snook</t>
  </si>
  <si>
    <t>08003480</t>
  </si>
  <si>
    <t>08003488</t>
  </si>
  <si>
    <t>Somerville</t>
  </si>
  <si>
    <t>08003524</t>
  </si>
  <si>
    <t>Bartlett</t>
  </si>
  <si>
    <t>08003525</t>
  </si>
  <si>
    <t>Holland</t>
  </si>
  <si>
    <t>08003526</t>
  </si>
  <si>
    <t>Rogers</t>
  </si>
  <si>
    <t>08003527</t>
  </si>
  <si>
    <t>Troy</t>
  </si>
  <si>
    <t>08003530</t>
  </si>
  <si>
    <t>Killeen</t>
  </si>
  <si>
    <t>08003531</t>
  </si>
  <si>
    <t>Morgan's Point Resort</t>
  </si>
  <si>
    <t>08003532</t>
  </si>
  <si>
    <t>Lower Brushy Creek WC&amp;ID</t>
  </si>
  <si>
    <t>09000288</t>
  </si>
  <si>
    <t>Colorado River MWD</t>
  </si>
  <si>
    <t>09000405</t>
  </si>
  <si>
    <t>Martin County FWSD 1</t>
  </si>
  <si>
    <t>09000496</t>
  </si>
  <si>
    <t>Tom Green County FWSD 2</t>
  </si>
  <si>
    <t>09000497</t>
  </si>
  <si>
    <t>Tom Green County FWSD 1</t>
  </si>
  <si>
    <t>09000499</t>
  </si>
  <si>
    <t>Nolan County FWSD 1</t>
  </si>
  <si>
    <t>09000539</t>
  </si>
  <si>
    <t>Willow Creek Water Control District</t>
  </si>
  <si>
    <t>09000692</t>
  </si>
  <si>
    <t>Downtown Midland Management District</t>
  </si>
  <si>
    <t>09000775</t>
  </si>
  <si>
    <t>Tom Green County WCID 1</t>
  </si>
  <si>
    <t>09000852</t>
  </si>
  <si>
    <t>Valley Creek Water Control District</t>
  </si>
  <si>
    <t>09000969</t>
  </si>
  <si>
    <t>Red Creek MUD</t>
  </si>
  <si>
    <t>09001049</t>
  </si>
  <si>
    <t>Midland County FWSD 1</t>
  </si>
  <si>
    <t>09001680</t>
  </si>
  <si>
    <t>Howard County WCID 1</t>
  </si>
  <si>
    <t>09001698</t>
  </si>
  <si>
    <t>Ector County Utility District</t>
  </si>
  <si>
    <t>09001828</t>
  </si>
  <si>
    <t>Gaines County SWMD</t>
  </si>
  <si>
    <t>09002050</t>
  </si>
  <si>
    <t>Midland County Utility District</t>
  </si>
  <si>
    <t>09002069</t>
  </si>
  <si>
    <t>Tom Green County FWSD 3</t>
  </si>
  <si>
    <t>09002162</t>
  </si>
  <si>
    <t>Coke County Kickapoo WCID 1</t>
  </si>
  <si>
    <t>Mertzon</t>
  </si>
  <si>
    <t>09002451</t>
  </si>
  <si>
    <t>Ballinger</t>
  </si>
  <si>
    <t>09002479</t>
  </si>
  <si>
    <t>Plains</t>
  </si>
  <si>
    <t>09002581</t>
  </si>
  <si>
    <t>Blackwell</t>
  </si>
  <si>
    <t>Paint Rock</t>
  </si>
  <si>
    <t>09002681</t>
  </si>
  <si>
    <t>Denver City</t>
  </si>
  <si>
    <t>09002684</t>
  </si>
  <si>
    <t>Seagraves</t>
  </si>
  <si>
    <t>09002685</t>
  </si>
  <si>
    <t>Robert Lee</t>
  </si>
  <si>
    <t>09002715</t>
  </si>
  <si>
    <t>Sterling City</t>
  </si>
  <si>
    <t>09002738</t>
  </si>
  <si>
    <t>Stanton</t>
  </si>
  <si>
    <t>09002836</t>
  </si>
  <si>
    <t>Odessa</t>
  </si>
  <si>
    <t>09002838</t>
  </si>
  <si>
    <t>09002888</t>
  </si>
  <si>
    <t>Los Ybanez</t>
  </si>
  <si>
    <t>09002972</t>
  </si>
  <si>
    <t>09003111</t>
  </si>
  <si>
    <t>Brownfield</t>
  </si>
  <si>
    <t>09003112</t>
  </si>
  <si>
    <t>Wellman</t>
  </si>
  <si>
    <t>09003113</t>
  </si>
  <si>
    <t>Eldorado</t>
  </si>
  <si>
    <t>09003125</t>
  </si>
  <si>
    <t>Lamesa</t>
  </si>
  <si>
    <t>09003169</t>
  </si>
  <si>
    <t>Sundown</t>
  </si>
  <si>
    <t>09003231</t>
  </si>
  <si>
    <t>Seminole</t>
  </si>
  <si>
    <t>09003257</t>
  </si>
  <si>
    <t>San Angelo</t>
  </si>
  <si>
    <t>09003309</t>
  </si>
  <si>
    <t>Snyder</t>
  </si>
  <si>
    <t>Meadow</t>
  </si>
  <si>
    <t>09003374</t>
  </si>
  <si>
    <t>Winters</t>
  </si>
  <si>
    <t>09003385</t>
  </si>
  <si>
    <t>Coahoma</t>
  </si>
  <si>
    <t>09003386</t>
  </si>
  <si>
    <t>Forsan</t>
  </si>
  <si>
    <t>09003421</t>
  </si>
  <si>
    <t>Big Spring</t>
  </si>
  <si>
    <t>09003442</t>
  </si>
  <si>
    <t>Miles</t>
  </si>
  <si>
    <t>09003443</t>
  </si>
  <si>
    <t>Colorado City</t>
  </si>
  <si>
    <t>09003448</t>
  </si>
  <si>
    <t>Loraine</t>
  </si>
  <si>
    <t>09003449</t>
  </si>
  <si>
    <t>Westbrook</t>
  </si>
  <si>
    <t>Bronte</t>
  </si>
  <si>
    <t>09003482</t>
  </si>
  <si>
    <t>O'Donnell</t>
  </si>
  <si>
    <t>09003500</t>
  </si>
  <si>
    <t>Big Lake</t>
  </si>
  <si>
    <t>09003575</t>
  </si>
  <si>
    <t>Ackerly</t>
  </si>
  <si>
    <t>09003576</t>
  </si>
  <si>
    <t>Goldsmith</t>
  </si>
  <si>
    <t>10000004</t>
  </si>
  <si>
    <t>Wharton</t>
  </si>
  <si>
    <t>10000012</t>
  </si>
  <si>
    <t>Colorado</t>
  </si>
  <si>
    <t>10000039</t>
  </si>
  <si>
    <t>Kimble</t>
  </si>
  <si>
    <t>10000045</t>
  </si>
  <si>
    <t xml:space="preserve">Llano </t>
  </si>
  <si>
    <t>10000046</t>
  </si>
  <si>
    <t>Mason</t>
  </si>
  <si>
    <t>10000066</t>
  </si>
  <si>
    <t>San Saba</t>
  </si>
  <si>
    <t>10000067</t>
  </si>
  <si>
    <t>McCulloch</t>
  </si>
  <si>
    <t>10000097</t>
  </si>
  <si>
    <t>Matagorda</t>
  </si>
  <si>
    <t>10000098</t>
  </si>
  <si>
    <t>Jackson</t>
  </si>
  <si>
    <t>10000292</t>
  </si>
  <si>
    <t>Lavaca - Navidad River Authority</t>
  </si>
  <si>
    <t>10000325</t>
  </si>
  <si>
    <t>Fort Bend County MUD 231</t>
  </si>
  <si>
    <t>10000357</t>
  </si>
  <si>
    <t>Jackson County Navigation District</t>
  </si>
  <si>
    <t>10000367</t>
  </si>
  <si>
    <t>Lazy Nine MUD 1E</t>
  </si>
  <si>
    <t>10000377</t>
  </si>
  <si>
    <t>Saddletree WCID</t>
  </si>
  <si>
    <t>10000398</t>
  </si>
  <si>
    <t>Matagorda County Drainage District 3</t>
  </si>
  <si>
    <t>10000408</t>
  </si>
  <si>
    <t>Matagorda County Navigation District 1</t>
  </si>
  <si>
    <t>10000419</t>
  </si>
  <si>
    <t>Calhoun County Drainage District 10</t>
  </si>
  <si>
    <t>10000420</t>
  </si>
  <si>
    <t>Calhoun County Drainage District 11</t>
  </si>
  <si>
    <t>10000428</t>
  </si>
  <si>
    <t>New Sweden MUD 1</t>
  </si>
  <si>
    <t>10000442</t>
  </si>
  <si>
    <t>Burnet County WCID 1</t>
  </si>
  <si>
    <t>10000463</t>
  </si>
  <si>
    <t>Waterford MUD 1</t>
  </si>
  <si>
    <t>10000467</t>
  </si>
  <si>
    <t>Bastrop County MUD 1</t>
  </si>
  <si>
    <t>10000476</t>
  </si>
  <si>
    <t>Calhoun County Drainage District 6</t>
  </si>
  <si>
    <t>10000492</t>
  </si>
  <si>
    <t>Greenhawe WCID 2</t>
  </si>
  <si>
    <t>10000506</t>
  </si>
  <si>
    <t>The Colony MUD 1D</t>
  </si>
  <si>
    <t>10000532</t>
  </si>
  <si>
    <t>Wharton County WCID 1</t>
  </si>
  <si>
    <t>10000540</t>
  </si>
  <si>
    <t>South Central Calhoun County WCID 1</t>
  </si>
  <si>
    <t>10000593</t>
  </si>
  <si>
    <t>Deerhaven WCID</t>
  </si>
  <si>
    <t>10000633</t>
  </si>
  <si>
    <t>Mason County River Authority</t>
  </si>
  <si>
    <t>10000669</t>
  </si>
  <si>
    <t>Matagorda County Drainage District 4</t>
  </si>
  <si>
    <t>10000705</t>
  </si>
  <si>
    <t>Cypress Ranch WCID 1</t>
  </si>
  <si>
    <t>10000708</t>
  </si>
  <si>
    <t>Pilot Knob MUD 5</t>
  </si>
  <si>
    <t>10000709</t>
  </si>
  <si>
    <t>Pilot Knob MUD 4</t>
  </si>
  <si>
    <t>10000712</t>
  </si>
  <si>
    <t>Pilot Knob MUD 2</t>
  </si>
  <si>
    <t>10000723</t>
  </si>
  <si>
    <t>Matagorda County Drainage District 2</t>
  </si>
  <si>
    <t>10000735</t>
  </si>
  <si>
    <t>SH130 MMD 1</t>
  </si>
  <si>
    <t>10000764</t>
  </si>
  <si>
    <t>Travis County Improvement District 1</t>
  </si>
  <si>
    <t>10000769</t>
  </si>
  <si>
    <t>Kingsland MUD</t>
  </si>
  <si>
    <t>10000780</t>
  </si>
  <si>
    <t>Pilot Knob MUD 1</t>
  </si>
  <si>
    <t>10000787</t>
  </si>
  <si>
    <t>Hays County MUD 5</t>
  </si>
  <si>
    <t>10000815</t>
  </si>
  <si>
    <t>Bastrop County MUD 2</t>
  </si>
  <si>
    <t>10000827</t>
  </si>
  <si>
    <t>The Colony MUD 1E</t>
  </si>
  <si>
    <t>10000870</t>
  </si>
  <si>
    <t>Garfield MUD 1</t>
  </si>
  <si>
    <t>10000891</t>
  </si>
  <si>
    <t>Stonewall WCID</t>
  </si>
  <si>
    <t>10000895</t>
  </si>
  <si>
    <t>Lost Creek MUD</t>
  </si>
  <si>
    <t>10000917</t>
  </si>
  <si>
    <t>Lakeway MUD</t>
  </si>
  <si>
    <t>10000947</t>
  </si>
  <si>
    <t>Menard County WCID 1</t>
  </si>
  <si>
    <t>10000950</t>
  </si>
  <si>
    <t>Richland SUD</t>
  </si>
  <si>
    <t>10000962</t>
  </si>
  <si>
    <t>West Travis County MUD 8</t>
  </si>
  <si>
    <t>10000966</t>
  </si>
  <si>
    <t>Northtown MUD</t>
  </si>
  <si>
    <t>10000967</t>
  </si>
  <si>
    <t>Travis County MUD 8</t>
  </si>
  <si>
    <t>10000968</t>
  </si>
  <si>
    <t>Travis County MUD 5</t>
  </si>
  <si>
    <t>10000974</t>
  </si>
  <si>
    <t>Beach Road MUD</t>
  </si>
  <si>
    <t>10000990</t>
  </si>
  <si>
    <t>Hays County MUD 6</t>
  </si>
  <si>
    <t>10001001</t>
  </si>
  <si>
    <t>Matagorda County WCID 6</t>
  </si>
  <si>
    <t>10001002</t>
  </si>
  <si>
    <t>Matagorda County WCID 5</t>
  </si>
  <si>
    <t>10001003</t>
  </si>
  <si>
    <t>Matagorda County WCID 2</t>
  </si>
  <si>
    <t>10001004</t>
  </si>
  <si>
    <t>Markham MUD</t>
  </si>
  <si>
    <t>10001009</t>
  </si>
  <si>
    <t>Jackson County Countywide Drainage District</t>
  </si>
  <si>
    <t>10001012</t>
  </si>
  <si>
    <t>Cottonwood Creek MUD 1</t>
  </si>
  <si>
    <t>10001017</t>
  </si>
  <si>
    <t>Wharton County WCID 2</t>
  </si>
  <si>
    <t>10001018</t>
  </si>
  <si>
    <t>Hungerford MUD 1</t>
  </si>
  <si>
    <t>10001019</t>
  </si>
  <si>
    <t>Isaacson MUD</t>
  </si>
  <si>
    <t>10001023</t>
  </si>
  <si>
    <t>Victoria County WCID 2</t>
  </si>
  <si>
    <t>10001025</t>
  </si>
  <si>
    <t>Kelly Lane WCID 2 of Travis Co.</t>
  </si>
  <si>
    <t>10001028</t>
  </si>
  <si>
    <t>Lazy Nine MUD 1B</t>
  </si>
  <si>
    <t>10001034</t>
  </si>
  <si>
    <t>Volente MUD</t>
  </si>
  <si>
    <t>10001047</t>
  </si>
  <si>
    <t>Caney Creek MUD of Matagorda County</t>
  </si>
  <si>
    <t>10001071</t>
  </si>
  <si>
    <t>Travis County WCID - Point Venture</t>
  </si>
  <si>
    <t>10001072</t>
  </si>
  <si>
    <t>Travis County MUD 9</t>
  </si>
  <si>
    <t>10001073</t>
  </si>
  <si>
    <t>Travis County MUD 7</t>
  </si>
  <si>
    <t>10001074</t>
  </si>
  <si>
    <t>Travis County MUD 6</t>
  </si>
  <si>
    <t>10001079</t>
  </si>
  <si>
    <t>Kelly Lane WCID 1 of Travis Co</t>
  </si>
  <si>
    <t>10001088</t>
  </si>
  <si>
    <t>Lakeside WCID 1</t>
  </si>
  <si>
    <t>10001091</t>
  </si>
  <si>
    <t>Elgin MUD 1</t>
  </si>
  <si>
    <t>10001092</t>
  </si>
  <si>
    <t>Elgin MUD 2</t>
  </si>
  <si>
    <t>10001096</t>
  </si>
  <si>
    <t>Northeast Growth Corridor WSI&amp;D District 2</t>
  </si>
  <si>
    <t>10001101</t>
  </si>
  <si>
    <t>The Calhoun Port Authority</t>
  </si>
  <si>
    <t>10001102</t>
  </si>
  <si>
    <t>Bella Vista MUD</t>
  </si>
  <si>
    <t>10001106</t>
  </si>
  <si>
    <t>Shady Hollow MUD</t>
  </si>
  <si>
    <t>10001112</t>
  </si>
  <si>
    <t>Southeast Travis County MUD 1</t>
  </si>
  <si>
    <t>10001113</t>
  </si>
  <si>
    <t>Southeast Travis County MUD 4</t>
  </si>
  <si>
    <t>10001114</t>
  </si>
  <si>
    <t>Southeast Travis County MUD 3</t>
  </si>
  <si>
    <t>10001115</t>
  </si>
  <si>
    <t>Southeast Travis County MUD 2</t>
  </si>
  <si>
    <t>10001118</t>
  </si>
  <si>
    <t>Williamson-Travis Counties WCID 1-G</t>
  </si>
  <si>
    <t>10001127</t>
  </si>
  <si>
    <t>Travis County WCID 17</t>
  </si>
  <si>
    <t>10001129</t>
  </si>
  <si>
    <t>New Sweden MUD 3</t>
  </si>
  <si>
    <t>10001139</t>
  </si>
  <si>
    <t>Travis County MUD 10</t>
  </si>
  <si>
    <t>10001140</t>
  </si>
  <si>
    <t>Belvedere MUD</t>
  </si>
  <si>
    <t>10001147</t>
  </si>
  <si>
    <t>Lakeside WCID 2-D</t>
  </si>
  <si>
    <t>10001167</t>
  </si>
  <si>
    <t>Hurst Creek MUD</t>
  </si>
  <si>
    <t>10001173</t>
  </si>
  <si>
    <t>Lakeside WCID 2-B</t>
  </si>
  <si>
    <t>10001202</t>
  </si>
  <si>
    <t>Travis County MUD 23</t>
  </si>
  <si>
    <t>10001211</t>
  </si>
  <si>
    <t>Travis County WCID 19</t>
  </si>
  <si>
    <t>10001215</t>
  </si>
  <si>
    <t>Bastrop County WCID 2</t>
  </si>
  <si>
    <t>10001248</t>
  </si>
  <si>
    <t>Backbone Creek MUD 1</t>
  </si>
  <si>
    <t>10001256</t>
  </si>
  <si>
    <t>Travis County MUD 13</t>
  </si>
  <si>
    <t>10001264</t>
  </si>
  <si>
    <t>Hays County WCID 1</t>
  </si>
  <si>
    <t>10001272</t>
  </si>
  <si>
    <t>Senna Hills MUD</t>
  </si>
  <si>
    <t>10001283</t>
  </si>
  <si>
    <t>Travis County WCID 10</t>
  </si>
  <si>
    <t>10001290</t>
  </si>
  <si>
    <t>West Bastrop Village MUD</t>
  </si>
  <si>
    <t>10001294</t>
  </si>
  <si>
    <t>Williamson-Travis Counties WCID 1-F</t>
  </si>
  <si>
    <t>10001297</t>
  </si>
  <si>
    <t>Travis County MUD 18</t>
  </si>
  <si>
    <t>10001307</t>
  </si>
  <si>
    <t>Travis County MUD 16</t>
  </si>
  <si>
    <t>10001312</t>
  </si>
  <si>
    <t>Travis County MUD 12</t>
  </si>
  <si>
    <t>10001325</t>
  </si>
  <si>
    <t>New Sweden MUD 2</t>
  </si>
  <si>
    <t>10001330</t>
  </si>
  <si>
    <t>Wilbarger Creek MUD 2</t>
  </si>
  <si>
    <t>10001337</t>
  </si>
  <si>
    <t>Burnet County MUD 3</t>
  </si>
  <si>
    <t>10001338</t>
  </si>
  <si>
    <t>Clearwater Ranch MUD 1</t>
  </si>
  <si>
    <t>10001339</t>
  </si>
  <si>
    <t>Driftwood Economic Development Municipal Management District</t>
  </si>
  <si>
    <t>10001340</t>
  </si>
  <si>
    <t>Hudson Ranch Water District</t>
  </si>
  <si>
    <t>10001367</t>
  </si>
  <si>
    <t>West Cypress Hills WCID 1</t>
  </si>
  <si>
    <t>10001368</t>
  </si>
  <si>
    <t>Travis County MUD 11</t>
  </si>
  <si>
    <t>10001372</t>
  </si>
  <si>
    <t>Headwaters MUD</t>
  </si>
  <si>
    <t>10001417</t>
  </si>
  <si>
    <t>Lazy Nine MUD 1C</t>
  </si>
  <si>
    <t>10001420</t>
  </si>
  <si>
    <t>Travis County WCID 20</t>
  </si>
  <si>
    <t>10001424</t>
  </si>
  <si>
    <t>Travis County MUD 3</t>
  </si>
  <si>
    <t>10001425</t>
  </si>
  <si>
    <t>Travis County MUD 4</t>
  </si>
  <si>
    <t>10001428</t>
  </si>
  <si>
    <t>Moores Crossing MUD</t>
  </si>
  <si>
    <t>10001440</t>
  </si>
  <si>
    <t>The Colony MUD 1C</t>
  </si>
  <si>
    <t>10001444</t>
  </si>
  <si>
    <t>Presidential Glen MUD</t>
  </si>
  <si>
    <t>10001470</t>
  </si>
  <si>
    <t>Travis-Creedmoor MUD</t>
  </si>
  <si>
    <t>10001498</t>
  </si>
  <si>
    <t>Boling MWD</t>
  </si>
  <si>
    <t>10001519</t>
  </si>
  <si>
    <t>Bastrop County WCID 3</t>
  </si>
  <si>
    <t>10001537</t>
  </si>
  <si>
    <t>Travis County MUD 17</t>
  </si>
  <si>
    <t>10001545</t>
  </si>
  <si>
    <t>Travis County WCID 18</t>
  </si>
  <si>
    <t>10001561</t>
  </si>
  <si>
    <t>Wilbarger Creek MUD 1</t>
  </si>
  <si>
    <t>10001563</t>
  </si>
  <si>
    <t>Travis County MUD 2</t>
  </si>
  <si>
    <t>10001669</t>
  </si>
  <si>
    <t>Glidden FWSD 1</t>
  </si>
  <si>
    <t>10001670</t>
  </si>
  <si>
    <t>Colorado County WCID 2</t>
  </si>
  <si>
    <t>10001674</t>
  </si>
  <si>
    <t>Calhoun County Drainage District 8</t>
  </si>
  <si>
    <t>10001677</t>
  </si>
  <si>
    <t>Jackson County WCID 1</t>
  </si>
  <si>
    <t>10001678</t>
  </si>
  <si>
    <t>Jackson County WCID 2</t>
  </si>
  <si>
    <t>10001691</t>
  </si>
  <si>
    <t>Cottonwood Creek WCID 2</t>
  </si>
  <si>
    <t>10001721</t>
  </si>
  <si>
    <t>Brown County Water Improvement District 1</t>
  </si>
  <si>
    <t>10001722</t>
  </si>
  <si>
    <t>Brookesmith SUD</t>
  </si>
  <si>
    <t>10001736</t>
  </si>
  <si>
    <t>West Travis County MUD 1</t>
  </si>
  <si>
    <t>10001737</t>
  </si>
  <si>
    <t>West Travis County MUD 2</t>
  </si>
  <si>
    <t>10001742</t>
  </si>
  <si>
    <t>The Falls MUD</t>
  </si>
  <si>
    <t>10001757</t>
  </si>
  <si>
    <t>Lakeside MUD 6</t>
  </si>
  <si>
    <t>10001776</t>
  </si>
  <si>
    <t>Horseshoe Bay WCID 3</t>
  </si>
  <si>
    <t>10001779</t>
  </si>
  <si>
    <t>Fayette County WCID - Monument Hill</t>
  </si>
  <si>
    <t>10001790</t>
  </si>
  <si>
    <t>Horseshoe Bay WCID 1</t>
  </si>
  <si>
    <t>10001799</t>
  </si>
  <si>
    <t>Northeast Growth Corridor WSI&amp;D District 1</t>
  </si>
  <si>
    <t>10001806</t>
  </si>
  <si>
    <t>Llano County MUD 1</t>
  </si>
  <si>
    <t>10001811</t>
  </si>
  <si>
    <t>West Travis County MUD 7</t>
  </si>
  <si>
    <t>10001816</t>
  </si>
  <si>
    <t>Cottonwood Creek WCID 3</t>
  </si>
  <si>
    <t>10001823</t>
  </si>
  <si>
    <t>Wharton County Drainage District</t>
  </si>
  <si>
    <t>10001829</t>
  </si>
  <si>
    <t>Burnet County MUD 2</t>
  </si>
  <si>
    <t>10001833</t>
  </si>
  <si>
    <t>Reunion Ranch WCID</t>
  </si>
  <si>
    <t>10001845</t>
  </si>
  <si>
    <t>Travis County MUD 19</t>
  </si>
  <si>
    <t>10001846</t>
  </si>
  <si>
    <t>Lazy Nine MUD 1D</t>
  </si>
  <si>
    <t>10001847</t>
  </si>
  <si>
    <t>Greenhawe WCID 1</t>
  </si>
  <si>
    <t>10001848</t>
  </si>
  <si>
    <t>Lavaca County Flood Control District 3</t>
  </si>
  <si>
    <t>10001855</t>
  </si>
  <si>
    <t>West Travis County MUD 6</t>
  </si>
  <si>
    <t>10001868</t>
  </si>
  <si>
    <t>Travis County MUD 22</t>
  </si>
  <si>
    <t>10001876</t>
  </si>
  <si>
    <t>Springhollow MUD</t>
  </si>
  <si>
    <t>10001884</t>
  </si>
  <si>
    <t>Hays County WCID 2</t>
  </si>
  <si>
    <t>10001902</t>
  </si>
  <si>
    <t>Burnet County ID 1</t>
  </si>
  <si>
    <t>10001919</t>
  </si>
  <si>
    <t>Vista MUD</t>
  </si>
  <si>
    <t>10001962</t>
  </si>
  <si>
    <t>10001964</t>
  </si>
  <si>
    <t>The Colony MUD 1A</t>
  </si>
  <si>
    <t>10001965</t>
  </si>
  <si>
    <t>The Colony MUD 1B</t>
  </si>
  <si>
    <t>10001973</t>
  </si>
  <si>
    <t>Lazy Nine MUD 1A</t>
  </si>
  <si>
    <t>10001991</t>
  </si>
  <si>
    <t>Lakeside WCID 2-C</t>
  </si>
  <si>
    <t>10002002</t>
  </si>
  <si>
    <t>The Colony MUD 1G</t>
  </si>
  <si>
    <t>10002003</t>
  </si>
  <si>
    <t>The Colony MUD 1F</t>
  </si>
  <si>
    <t>10002006</t>
  </si>
  <si>
    <t>River Place MUD</t>
  </si>
  <si>
    <t>10002011</t>
  </si>
  <si>
    <t>XS Ranch MUD</t>
  </si>
  <si>
    <t>10002016</t>
  </si>
  <si>
    <t>Travis County MUD 21</t>
  </si>
  <si>
    <t>10002035</t>
  </si>
  <si>
    <t>Hays County Development District 1</t>
  </si>
  <si>
    <t>10002043</t>
  </si>
  <si>
    <t>Cascades MUD 1</t>
  </si>
  <si>
    <t>10002076</t>
  </si>
  <si>
    <t>Northeast Travis County Utility District</t>
  </si>
  <si>
    <t>10002077</t>
  </si>
  <si>
    <t>Travis County MUD 20</t>
  </si>
  <si>
    <t>10002090</t>
  </si>
  <si>
    <t>Kendleton Improvement District</t>
  </si>
  <si>
    <t>10002108</t>
  </si>
  <si>
    <t>Hays County MUD 4</t>
  </si>
  <si>
    <t>10002117</t>
  </si>
  <si>
    <t>Onion Creek Metro Park District</t>
  </si>
  <si>
    <t>10002119</t>
  </si>
  <si>
    <t>Lake LBJ WCID 1</t>
  </si>
  <si>
    <t>10002146</t>
  </si>
  <si>
    <t>West Travis County MUD 5</t>
  </si>
  <si>
    <t>10002149</t>
  </si>
  <si>
    <t>West Travis County MUD 3</t>
  </si>
  <si>
    <t>10002169</t>
  </si>
  <si>
    <t>Travis County MUD 14</t>
  </si>
  <si>
    <t>10002170</t>
  </si>
  <si>
    <t>Travis County MUD 15</t>
  </si>
  <si>
    <t>10002177</t>
  </si>
  <si>
    <t>Travis County MUD 24</t>
  </si>
  <si>
    <t>10002250</t>
  </si>
  <si>
    <t>Altessa MUD</t>
  </si>
  <si>
    <t>10002251</t>
  </si>
  <si>
    <t>Driftwood Conservation District</t>
  </si>
  <si>
    <t>10002284</t>
  </si>
  <si>
    <t>Brickston MUD</t>
  </si>
  <si>
    <t>10002286</t>
  </si>
  <si>
    <t>Rio de Vida MUD 1</t>
  </si>
  <si>
    <t>10002309</t>
  </si>
  <si>
    <t>Driftwood MUD 1</t>
  </si>
  <si>
    <t>10002315</t>
  </si>
  <si>
    <t>Travis County MUD 25</t>
  </si>
  <si>
    <t>10002376</t>
  </si>
  <si>
    <t>Gateway Park MMD</t>
  </si>
  <si>
    <t>10002377</t>
  </si>
  <si>
    <t>Pilot Knob MUD 3</t>
  </si>
  <si>
    <t>10002409</t>
  </si>
  <si>
    <t>Mullin</t>
  </si>
  <si>
    <t>10002433</t>
  </si>
  <si>
    <t>East Bernard</t>
  </si>
  <si>
    <t>10002474</t>
  </si>
  <si>
    <t>Blanket</t>
  </si>
  <si>
    <t>10002505</t>
  </si>
  <si>
    <t>Novice</t>
  </si>
  <si>
    <t>10002525</t>
  </si>
  <si>
    <t>Brady</t>
  </si>
  <si>
    <t>10002526</t>
  </si>
  <si>
    <t>Smithville</t>
  </si>
  <si>
    <t>10002578</t>
  </si>
  <si>
    <t>Port Lavaca</t>
  </si>
  <si>
    <t>10002612</t>
  </si>
  <si>
    <t>Lago Vista</t>
  </si>
  <si>
    <t>10002676</t>
  </si>
  <si>
    <t>10002677</t>
  </si>
  <si>
    <t>Santa Anna</t>
  </si>
  <si>
    <t>10002696</t>
  </si>
  <si>
    <t>Edna</t>
  </si>
  <si>
    <t>10002698</t>
  </si>
  <si>
    <t>Ganado</t>
  </si>
  <si>
    <t>10002701</t>
  </si>
  <si>
    <t>Dripping Springs</t>
  </si>
  <si>
    <t>10002702</t>
  </si>
  <si>
    <t>10002705</t>
  </si>
  <si>
    <t>La Ward</t>
  </si>
  <si>
    <t>10002720</t>
  </si>
  <si>
    <t>10002726</t>
  </si>
  <si>
    <t>Richland Springs</t>
  </si>
  <si>
    <t>10002727</t>
  </si>
  <si>
    <t>10002755</t>
  </si>
  <si>
    <t>Cross Plains</t>
  </si>
  <si>
    <t>10002764</t>
  </si>
  <si>
    <t>10002776</t>
  </si>
  <si>
    <t>Shiner</t>
  </si>
  <si>
    <t>10002777</t>
  </si>
  <si>
    <t>Moulton</t>
  </si>
  <si>
    <t>10002778</t>
  </si>
  <si>
    <t>Fayetteville</t>
  </si>
  <si>
    <t>10002798</t>
  </si>
  <si>
    <t>Bear Creek</t>
  </si>
  <si>
    <t>10002842</t>
  </si>
  <si>
    <t>Highland Haven</t>
  </si>
  <si>
    <t>10002873</t>
  </si>
  <si>
    <t>Hallettsville</t>
  </si>
  <si>
    <t>10002887</t>
  </si>
  <si>
    <t>Brownwood</t>
  </si>
  <si>
    <t>10002910</t>
  </si>
  <si>
    <t>Fredericksburg</t>
  </si>
  <si>
    <t>10002924</t>
  </si>
  <si>
    <t>Kendleton</t>
  </si>
  <si>
    <t>10002982</t>
  </si>
  <si>
    <t>Jones Creek</t>
  </si>
  <si>
    <t>10003061</t>
  </si>
  <si>
    <t>La Grange</t>
  </si>
  <si>
    <t>10003062</t>
  </si>
  <si>
    <t>Round Top</t>
  </si>
  <si>
    <t>10003069</t>
  </si>
  <si>
    <t>Eagle Lake</t>
  </si>
  <si>
    <t>10003070</t>
  </si>
  <si>
    <t>Weimar</t>
  </si>
  <si>
    <t>10003089</t>
  </si>
  <si>
    <t>Bangs</t>
  </si>
  <si>
    <t>10003090</t>
  </si>
  <si>
    <t>Early</t>
  </si>
  <si>
    <t>10003099</t>
  </si>
  <si>
    <t>Sweeny</t>
  </si>
  <si>
    <t>10003104</t>
  </si>
  <si>
    <t>10003108</t>
  </si>
  <si>
    <t>Cottonwood Shores</t>
  </si>
  <si>
    <t>10003109</t>
  </si>
  <si>
    <t>Marble Falls</t>
  </si>
  <si>
    <t>10003110</t>
  </si>
  <si>
    <t>Meadowlakes</t>
  </si>
  <si>
    <t>10003115</t>
  </si>
  <si>
    <t>Schulenburg</t>
  </si>
  <si>
    <t>10003136</t>
  </si>
  <si>
    <t>El Campo</t>
  </si>
  <si>
    <t>10003176</t>
  </si>
  <si>
    <t>Point Comfort</t>
  </si>
  <si>
    <t>10003187</t>
  </si>
  <si>
    <t>Melvin</t>
  </si>
  <si>
    <t>10003188</t>
  </si>
  <si>
    <t>Briarcliff</t>
  </si>
  <si>
    <t>10003190</t>
  </si>
  <si>
    <t>Rollingwood</t>
  </si>
  <si>
    <t>10003192</t>
  </si>
  <si>
    <t>San Leanna</t>
  </si>
  <si>
    <t>10003193</t>
  </si>
  <si>
    <t>The Hills</t>
  </si>
  <si>
    <t>10003194</t>
  </si>
  <si>
    <t>Webberville</t>
  </si>
  <si>
    <t>10003201</t>
  </si>
  <si>
    <t>Elgin</t>
  </si>
  <si>
    <t>10003203</t>
  </si>
  <si>
    <t>10003221</t>
  </si>
  <si>
    <t>Manor</t>
  </si>
  <si>
    <t>10003228</t>
  </si>
  <si>
    <t>Columbus</t>
  </si>
  <si>
    <t>10003259</t>
  </si>
  <si>
    <t>Llano</t>
  </si>
  <si>
    <t>10003322</t>
  </si>
  <si>
    <t>Eden</t>
  </si>
  <si>
    <t>10003338</t>
  </si>
  <si>
    <t>Johnson City</t>
  </si>
  <si>
    <t>10003339</t>
  </si>
  <si>
    <t>Round Mountain</t>
  </si>
  <si>
    <t>10003393</t>
  </si>
  <si>
    <t>Bay City</t>
  </si>
  <si>
    <t>10003429</t>
  </si>
  <si>
    <t>Granite Shoals</t>
  </si>
  <si>
    <t>10003431</t>
  </si>
  <si>
    <t>10003453</t>
  </si>
  <si>
    <t>Bee Cave</t>
  </si>
  <si>
    <t>10003455</t>
  </si>
  <si>
    <t>Jonestown</t>
  </si>
  <si>
    <t>10003456</t>
  </si>
  <si>
    <t>Lakeway</t>
  </si>
  <si>
    <t>10003459</t>
  </si>
  <si>
    <t>Sunset Valley</t>
  </si>
  <si>
    <t>10003460</t>
  </si>
  <si>
    <t>West Lake Hills</t>
  </si>
  <si>
    <t>10003461</t>
  </si>
  <si>
    <t>Volente</t>
  </si>
  <si>
    <t>10003476</t>
  </si>
  <si>
    <t>Horseshoe Bay</t>
  </si>
  <si>
    <t>10003494</t>
  </si>
  <si>
    <t>Palacios</t>
  </si>
  <si>
    <t>10003499</t>
  </si>
  <si>
    <t>Junction</t>
  </si>
  <si>
    <t>10003517</t>
  </si>
  <si>
    <t>Lawn</t>
  </si>
  <si>
    <t>10003528</t>
  </si>
  <si>
    <t>Point Venture</t>
  </si>
  <si>
    <t>10003567</t>
  </si>
  <si>
    <t>Sunrise Beach Village</t>
  </si>
  <si>
    <t>11000387</t>
  </si>
  <si>
    <t>Upper San Marcos Watershed Reclamation &amp; FCD</t>
  </si>
  <si>
    <t>11000462</t>
  </si>
  <si>
    <t>Comal County Water Improvement District 2</t>
  </si>
  <si>
    <t>11000478</t>
  </si>
  <si>
    <t>Dewitt County Drainage District 1</t>
  </si>
  <si>
    <t>11000494</t>
  </si>
  <si>
    <t>Rebecca Creek MUD</t>
  </si>
  <si>
    <t>11000556</t>
  </si>
  <si>
    <t>Comal County Water Improvement District 1</t>
  </si>
  <si>
    <t>11000583</t>
  </si>
  <si>
    <t>Comal County Water Recreational District 1</t>
  </si>
  <si>
    <t>11000589</t>
  </si>
  <si>
    <t>York Valley MUD</t>
  </si>
  <si>
    <t>11000607</t>
  </si>
  <si>
    <t>Caldwell County MUD 1</t>
  </si>
  <si>
    <t>11000662</t>
  </si>
  <si>
    <t>Kerr County-Center Point-WCID</t>
  </si>
  <si>
    <t>11000882</t>
  </si>
  <si>
    <t>Guadalupe County Development Management District</t>
  </si>
  <si>
    <t>11000923</t>
  </si>
  <si>
    <t>Kendall County WCID 1</t>
  </si>
  <si>
    <t>11001013</t>
  </si>
  <si>
    <t>True Ranch MUD 1</t>
  </si>
  <si>
    <t>11001022</t>
  </si>
  <si>
    <t>Victoria County WCID 1</t>
  </si>
  <si>
    <t>11001045</t>
  </si>
  <si>
    <t>Guadalupe County MUD 3</t>
  </si>
  <si>
    <t>11001134</t>
  </si>
  <si>
    <t>Sunfield MUD 4</t>
  </si>
  <si>
    <t>11001201</t>
  </si>
  <si>
    <t>Meyer Ranch MUD</t>
  </si>
  <si>
    <t>11001438</t>
  </si>
  <si>
    <t>LaSalle MUD 3</t>
  </si>
  <si>
    <t>11001443</t>
  </si>
  <si>
    <t>LaSalle MUD 2</t>
  </si>
  <si>
    <t>11001471</t>
  </si>
  <si>
    <t>Calhoun County MUD 1</t>
  </si>
  <si>
    <t>11001787</t>
  </si>
  <si>
    <t>Quail Creek MUD</t>
  </si>
  <si>
    <t>11001852</t>
  </si>
  <si>
    <t>Comal County WID 3</t>
  </si>
  <si>
    <t>11001853</t>
  </si>
  <si>
    <t>Crosswinds MUD</t>
  </si>
  <si>
    <t>11001856</t>
  </si>
  <si>
    <t>Parklands MUD 1</t>
  </si>
  <si>
    <t>11001889</t>
  </si>
  <si>
    <t>Cotton Center MUD 1</t>
  </si>
  <si>
    <t>11001975</t>
  </si>
  <si>
    <t>Cotton Center MUD 2</t>
  </si>
  <si>
    <t>11002049</t>
  </si>
  <si>
    <t>Ranch at Clear Fork Creek MUD 2</t>
  </si>
  <si>
    <t>11002051</t>
  </si>
  <si>
    <t>LaSalle MUD 1</t>
  </si>
  <si>
    <t>11002100</t>
  </si>
  <si>
    <t>Caldwell Valley MUD 1</t>
  </si>
  <si>
    <t>11002101</t>
  </si>
  <si>
    <t>Ranch At Clear Fork Creek MUD 1</t>
  </si>
  <si>
    <t>11002140</t>
  </si>
  <si>
    <t>North Hays County MUD 1</t>
  </si>
  <si>
    <t>11002217</t>
  </si>
  <si>
    <t>North Hays County MUD 2</t>
  </si>
  <si>
    <t>11002265</t>
  </si>
  <si>
    <t>Lake Dunlap WCID</t>
  </si>
  <si>
    <t>11002282</t>
  </si>
  <si>
    <t>LaSalle MUD 4</t>
  </si>
  <si>
    <t>11002285</t>
  </si>
  <si>
    <t>LaSalle MUD 5</t>
  </si>
  <si>
    <t>11002322</t>
  </si>
  <si>
    <t>Lone Oak Farm MUD</t>
  </si>
  <si>
    <t>11002333</t>
  </si>
  <si>
    <t>Caldwell County MUD 2</t>
  </si>
  <si>
    <t>11002343</t>
  </si>
  <si>
    <t>Maxwell SUD</t>
  </si>
  <si>
    <t>11002393</t>
  </si>
  <si>
    <t>Nixon</t>
  </si>
  <si>
    <t>11002394</t>
  </si>
  <si>
    <t>Smiley</t>
  </si>
  <si>
    <t>11002395</t>
  </si>
  <si>
    <t>Waelder</t>
  </si>
  <si>
    <t>11002401</t>
  </si>
  <si>
    <t>Cuero</t>
  </si>
  <si>
    <t>11002432</t>
  </si>
  <si>
    <t>Wimberley</t>
  </si>
  <si>
    <t>11002585</t>
  </si>
  <si>
    <t>Kerrville</t>
  </si>
  <si>
    <t>11002616</t>
  </si>
  <si>
    <t>Seguin</t>
  </si>
  <si>
    <t>11002680</t>
  </si>
  <si>
    <t>Niederwald</t>
  </si>
  <si>
    <t>11002686</t>
  </si>
  <si>
    <t>Uhland</t>
  </si>
  <si>
    <t>11002704</t>
  </si>
  <si>
    <t>Woodcreek</t>
  </si>
  <si>
    <t>11002722</t>
  </si>
  <si>
    <t>Yorktown</t>
  </si>
  <si>
    <t>11002992</t>
  </si>
  <si>
    <t>11002996</t>
  </si>
  <si>
    <t>11003162</t>
  </si>
  <si>
    <t>Lockhart</t>
  </si>
  <si>
    <t>11003163</t>
  </si>
  <si>
    <t>San Marcos</t>
  </si>
  <si>
    <t>11003277</t>
  </si>
  <si>
    <t>Staples</t>
  </si>
  <si>
    <t>11003473</t>
  </si>
  <si>
    <t>Martindale</t>
  </si>
  <si>
    <t>11003474</t>
  </si>
  <si>
    <t>Luling</t>
  </si>
  <si>
    <t>11003486</t>
  </si>
  <si>
    <t>Ingram</t>
  </si>
  <si>
    <t>11003511</t>
  </si>
  <si>
    <t>Kingsbury</t>
  </si>
  <si>
    <t>11003532</t>
  </si>
  <si>
    <t>Spring Branch</t>
  </si>
  <si>
    <t>11003533</t>
  </si>
  <si>
    <t>Plum Creek Conservation District</t>
  </si>
  <si>
    <t>11003534</t>
  </si>
  <si>
    <t>Lockhart ISD</t>
  </si>
  <si>
    <t>11003535</t>
  </si>
  <si>
    <t>Luling ISD</t>
  </si>
  <si>
    <t>11003536</t>
  </si>
  <si>
    <t>Martindale Water Supply Corporation</t>
  </si>
  <si>
    <t>11003537</t>
  </si>
  <si>
    <t>Comal Master WID</t>
  </si>
  <si>
    <t>11003539</t>
  </si>
  <si>
    <t>Caldwell County Emergency Service District #1</t>
  </si>
  <si>
    <t>11003540</t>
  </si>
  <si>
    <t>Caldwell County Emergency Service District #3</t>
  </si>
  <si>
    <t>11003541</t>
  </si>
  <si>
    <t>Caldwell County Emergency Service District #4</t>
  </si>
  <si>
    <t>11003542</t>
  </si>
  <si>
    <t>Center Point ISD</t>
  </si>
  <si>
    <t>11003543</t>
  </si>
  <si>
    <t>Hunt ISD</t>
  </si>
  <si>
    <t>11003544</t>
  </si>
  <si>
    <t>Ingram ISD</t>
  </si>
  <si>
    <t>11003545</t>
  </si>
  <si>
    <t>Kerrville ISD</t>
  </si>
  <si>
    <t>Guadalupe Regional Flood Planning Group</t>
  </si>
  <si>
    <t>12000480</t>
  </si>
  <si>
    <t>Falcon Point WCID 1</t>
  </si>
  <si>
    <t>12000546</t>
  </si>
  <si>
    <t>Medina County WCID 1</t>
  </si>
  <si>
    <t>12000592</t>
  </si>
  <si>
    <t>Wilson County FWSD 1 of Wilson County Texas</t>
  </si>
  <si>
    <t>12000648</t>
  </si>
  <si>
    <t>Westside 211 Special Improvement District</t>
  </si>
  <si>
    <t>12000731</t>
  </si>
  <si>
    <t>Crosswinds at South Lake Special Improvement District</t>
  </si>
  <si>
    <t>12000874</t>
  </si>
  <si>
    <t>Medina County FWSD 1</t>
  </si>
  <si>
    <t>12000937</t>
  </si>
  <si>
    <t>Kendall County WCID 2A</t>
  </si>
  <si>
    <t>12000959</t>
  </si>
  <si>
    <t>Cibolo Canyon Conservation and Improvement District 1</t>
  </si>
  <si>
    <t>12001057</t>
  </si>
  <si>
    <t>Refugio County WCID 1</t>
  </si>
  <si>
    <t>12001130</t>
  </si>
  <si>
    <t>La Salle WCID 1-A</t>
  </si>
  <si>
    <t>12001132</t>
  </si>
  <si>
    <t>La Salle WCID 1-B</t>
  </si>
  <si>
    <t>12001324</t>
  </si>
  <si>
    <t>Lerin Hills MUD</t>
  </si>
  <si>
    <t>12001484</t>
  </si>
  <si>
    <t>San Antonio MUD 1</t>
  </si>
  <si>
    <t>12001486</t>
  </si>
  <si>
    <t>Bexar County WCID 10</t>
  </si>
  <si>
    <t>12001520</t>
  </si>
  <si>
    <t>Flying L PUD</t>
  </si>
  <si>
    <t>12001521</t>
  </si>
  <si>
    <t>Bandera County FWSD 1</t>
  </si>
  <si>
    <t>12001530</t>
  </si>
  <si>
    <t>Northeast Medina County WCID 1</t>
  </si>
  <si>
    <t>12001578</t>
  </si>
  <si>
    <t>Johnson Ranch MUD</t>
  </si>
  <si>
    <t>12001595</t>
  </si>
  <si>
    <t>East Central SUD</t>
  </si>
  <si>
    <t>12001650</t>
  </si>
  <si>
    <t>Espada Development District</t>
  </si>
  <si>
    <t>12002226</t>
  </si>
  <si>
    <t>Kendall County WCID 4</t>
  </si>
  <si>
    <t>12002367</t>
  </si>
  <si>
    <t>Kendall County WCID 3</t>
  </si>
  <si>
    <t>12002436</t>
  </si>
  <si>
    <t>Fair Oaks Ranch</t>
  </si>
  <si>
    <t>12002437</t>
  </si>
  <si>
    <t>Alamo Heights</t>
  </si>
  <si>
    <t>12002438</t>
  </si>
  <si>
    <t>Balcones Heights</t>
  </si>
  <si>
    <t>12002439</t>
  </si>
  <si>
    <t>Castle Hills</t>
  </si>
  <si>
    <t>12002440</t>
  </si>
  <si>
    <t>China Grove</t>
  </si>
  <si>
    <t>12002441</t>
  </si>
  <si>
    <t>Converse</t>
  </si>
  <si>
    <t>12002442</t>
  </si>
  <si>
    <t>Elmendorf</t>
  </si>
  <si>
    <t>12002475</t>
  </si>
  <si>
    <t>Terrell Hills</t>
  </si>
  <si>
    <t>12002476</t>
  </si>
  <si>
    <t>Windcrest</t>
  </si>
  <si>
    <t>12002506</t>
  </si>
  <si>
    <t>Grey Forest</t>
  </si>
  <si>
    <t>12002507</t>
  </si>
  <si>
    <t>Hill Country Village</t>
  </si>
  <si>
    <t>12002508</t>
  </si>
  <si>
    <t>Hollywood Park</t>
  </si>
  <si>
    <t>12002510</t>
  </si>
  <si>
    <t>Kirby</t>
  </si>
  <si>
    <t>12002511</t>
  </si>
  <si>
    <t>Leon Valley</t>
  </si>
  <si>
    <t>12002512</t>
  </si>
  <si>
    <t>Live Oak</t>
  </si>
  <si>
    <t>Karnes City</t>
  </si>
  <si>
    <t>Runge</t>
  </si>
  <si>
    <t>12002855</t>
  </si>
  <si>
    <t>Boerne</t>
  </si>
  <si>
    <t>12002889</t>
  </si>
  <si>
    <t>Olmos Park</t>
  </si>
  <si>
    <t>Floresville</t>
  </si>
  <si>
    <t>LaCoste</t>
  </si>
  <si>
    <t>12002966</t>
  </si>
  <si>
    <t>12002967</t>
  </si>
  <si>
    <t>Universal City</t>
  </si>
  <si>
    <t>Falls City</t>
  </si>
  <si>
    <t>12002986</t>
  </si>
  <si>
    <t>12003000</t>
  </si>
  <si>
    <t>Shavano Park</t>
  </si>
  <si>
    <t>12003002</t>
  </si>
  <si>
    <t>Helotes</t>
  </si>
  <si>
    <t>12003003</t>
  </si>
  <si>
    <t>Somerset</t>
  </si>
  <si>
    <t>12003004</t>
  </si>
  <si>
    <t>St. Hedwig</t>
  </si>
  <si>
    <t>12003103</t>
  </si>
  <si>
    <t>Austwell</t>
  </si>
  <si>
    <t>12003175</t>
  </si>
  <si>
    <t>Seadrift</t>
  </si>
  <si>
    <t>La Vernia</t>
  </si>
  <si>
    <t>Poth</t>
  </si>
  <si>
    <t>12003182</t>
  </si>
  <si>
    <t>Stockdale</t>
  </si>
  <si>
    <t>12003220</t>
  </si>
  <si>
    <t>Sandy Oaks</t>
  </si>
  <si>
    <t>12003258</t>
  </si>
  <si>
    <t>Selma</t>
  </si>
  <si>
    <t>12003318</t>
  </si>
  <si>
    <t>Von Ormy</t>
  </si>
  <si>
    <t>12003327</t>
  </si>
  <si>
    <t>12003377</t>
  </si>
  <si>
    <t>Castroville</t>
  </si>
  <si>
    <t>12003414</t>
  </si>
  <si>
    <t>Uvalde</t>
  </si>
  <si>
    <t>13000077</t>
  </si>
  <si>
    <t>Kleberg</t>
  </si>
  <si>
    <t>13000078</t>
  </si>
  <si>
    <t>13000085</t>
  </si>
  <si>
    <t>La Salle</t>
  </si>
  <si>
    <t>13000086</t>
  </si>
  <si>
    <t>McMullen</t>
  </si>
  <si>
    <t>13000087</t>
  </si>
  <si>
    <t>Bee</t>
  </si>
  <si>
    <t>13000089</t>
  </si>
  <si>
    <t>13000092</t>
  </si>
  <si>
    <t>Zavala</t>
  </si>
  <si>
    <t>13000093</t>
  </si>
  <si>
    <t>Frio</t>
  </si>
  <si>
    <t>13000381</t>
  </si>
  <si>
    <t>Aransas County Navigation District</t>
  </si>
  <si>
    <t>13000384</t>
  </si>
  <si>
    <t>Nueces County Bishop Driscoll Drainage District 3</t>
  </si>
  <si>
    <t>13000409</t>
  </si>
  <si>
    <t>Port of Corpus Christi Authority</t>
  </si>
  <si>
    <t>13000576</t>
  </si>
  <si>
    <t>San Patricio County Navigation District 1</t>
  </si>
  <si>
    <t>13000585</t>
  </si>
  <si>
    <t>San Patricio County Drainage District</t>
  </si>
  <si>
    <t>13000586</t>
  </si>
  <si>
    <t>San Patricio MWD</t>
  </si>
  <si>
    <t>13000674</t>
  </si>
  <si>
    <t>Riviera WCID</t>
  </si>
  <si>
    <t>13000727</t>
  </si>
  <si>
    <t>Aransas County WCID 1</t>
  </si>
  <si>
    <t>13000779</t>
  </si>
  <si>
    <t>South Texas Water Authority</t>
  </si>
  <si>
    <t>13000842</t>
  </si>
  <si>
    <t>Jim Wells County FWSD 1</t>
  </si>
  <si>
    <t>13000843</t>
  </si>
  <si>
    <t>Jim Hogg County WCID  2</t>
  </si>
  <si>
    <t>13000851</t>
  </si>
  <si>
    <t>Three Rivers Water District</t>
  </si>
  <si>
    <t>13000876</t>
  </si>
  <si>
    <t>Padre Island Gateway Municipal Management District</t>
  </si>
  <si>
    <t>13000881</t>
  </si>
  <si>
    <t>Aransas County MUD 1</t>
  </si>
  <si>
    <t>13000902</t>
  </si>
  <si>
    <t>Zavala County WCID  1</t>
  </si>
  <si>
    <t>13000940</t>
  </si>
  <si>
    <t>Nueces County Drainage &amp; Conservation District 2</t>
  </si>
  <si>
    <t>13000948</t>
  </si>
  <si>
    <t>Medina County WCID 2</t>
  </si>
  <si>
    <t>13000949</t>
  </si>
  <si>
    <t>McMullen County WCID 1</t>
  </si>
  <si>
    <t>13000972</t>
  </si>
  <si>
    <t>San Patricio County MUD 1</t>
  </si>
  <si>
    <t>13000980</t>
  </si>
  <si>
    <t>Nueces County WCID 5</t>
  </si>
  <si>
    <t>13000981</t>
  </si>
  <si>
    <t>Nueces County WCID 4</t>
  </si>
  <si>
    <t>13000982</t>
  </si>
  <si>
    <t>Nueces County WCID 3</t>
  </si>
  <si>
    <t>13001044</t>
  </si>
  <si>
    <t>Lamar Improvement District</t>
  </si>
  <si>
    <t>13001487</t>
  </si>
  <si>
    <t>Pettus MUD</t>
  </si>
  <si>
    <t>13001488</t>
  </si>
  <si>
    <t>Beeville Water Supply District</t>
  </si>
  <si>
    <t>13001665</t>
  </si>
  <si>
    <t>Freer WCID</t>
  </si>
  <si>
    <t>13001666</t>
  </si>
  <si>
    <t>Duval County Conservation &amp; Reclamation District</t>
  </si>
  <si>
    <t>13001739</t>
  </si>
  <si>
    <t>Corpus Christi Downtown Management District</t>
  </si>
  <si>
    <t>13001741</t>
  </si>
  <si>
    <t>San Diego MUD 1</t>
  </si>
  <si>
    <t>13001788</t>
  </si>
  <si>
    <t>Alice Water Authority</t>
  </si>
  <si>
    <t>13002378</t>
  </si>
  <si>
    <t>Kingsville</t>
  </si>
  <si>
    <t>13002388</t>
  </si>
  <si>
    <t>Bishop</t>
  </si>
  <si>
    <t>13002389</t>
  </si>
  <si>
    <t>Driscoll</t>
  </si>
  <si>
    <t>13002390</t>
  </si>
  <si>
    <t>Petronila</t>
  </si>
  <si>
    <t>13002392</t>
  </si>
  <si>
    <t>Robstown</t>
  </si>
  <si>
    <t>13002446</t>
  </si>
  <si>
    <t>Lytle</t>
  </si>
  <si>
    <t>13002540</t>
  </si>
  <si>
    <t>Three Rivers</t>
  </si>
  <si>
    <t>13002546</t>
  </si>
  <si>
    <t>Agua Dulce</t>
  </si>
  <si>
    <t>13002553</t>
  </si>
  <si>
    <t>Big Wells</t>
  </si>
  <si>
    <t>13002555</t>
  </si>
  <si>
    <t>Asherton</t>
  </si>
  <si>
    <t>13002556</t>
  </si>
  <si>
    <t>Carrizo Springs</t>
  </si>
  <si>
    <t>13002558</t>
  </si>
  <si>
    <t>Gregory</t>
  </si>
  <si>
    <t>13002625</t>
  </si>
  <si>
    <t>Camp Wood</t>
  </si>
  <si>
    <t>13002626</t>
  </si>
  <si>
    <t>Leakey</t>
  </si>
  <si>
    <t>13002711</t>
  </si>
  <si>
    <t>Beeville</t>
  </si>
  <si>
    <t>Aransas Pass</t>
  </si>
  <si>
    <t>Sinton</t>
  </si>
  <si>
    <t>Taft</t>
  </si>
  <si>
    <t>Corpus Christi</t>
  </si>
  <si>
    <t>13002930</t>
  </si>
  <si>
    <t>Ingleside</t>
  </si>
  <si>
    <t>13002952</t>
  </si>
  <si>
    <t>Hondo</t>
  </si>
  <si>
    <t>13002955</t>
  </si>
  <si>
    <t>Natalia</t>
  </si>
  <si>
    <t>13003005</t>
  </si>
  <si>
    <t>Cotulla</t>
  </si>
  <si>
    <t>13003006</t>
  </si>
  <si>
    <t>Encinal</t>
  </si>
  <si>
    <t>13003038</t>
  </si>
  <si>
    <t>Falfurrias</t>
  </si>
  <si>
    <t>13003073</t>
  </si>
  <si>
    <t>Dilley</t>
  </si>
  <si>
    <t>13003096</t>
  </si>
  <si>
    <t>George West</t>
  </si>
  <si>
    <t>Jourdanton</t>
  </si>
  <si>
    <t>13003117</t>
  </si>
  <si>
    <t>Pleasanton</t>
  </si>
  <si>
    <t>Poteet</t>
  </si>
  <si>
    <t>13003122</t>
  </si>
  <si>
    <t>Bayside</t>
  </si>
  <si>
    <t>13003123</t>
  </si>
  <si>
    <t>13003124</t>
  </si>
  <si>
    <t>Woodsboro</t>
  </si>
  <si>
    <t>13003127</t>
  </si>
  <si>
    <t>San Diego</t>
  </si>
  <si>
    <t>Alice</t>
  </si>
  <si>
    <t>13003130</t>
  </si>
  <si>
    <t>Orange Grove</t>
  </si>
  <si>
    <t>13003131</t>
  </si>
  <si>
    <t>Premont</t>
  </si>
  <si>
    <t>Charlotte</t>
  </si>
  <si>
    <t>13003215</t>
  </si>
  <si>
    <t>Christine</t>
  </si>
  <si>
    <t>13003230</t>
  </si>
  <si>
    <t>Pearsall</t>
  </si>
  <si>
    <t>Portland</t>
  </si>
  <si>
    <t>13003234</t>
  </si>
  <si>
    <t>Ingleside on the Bay</t>
  </si>
  <si>
    <t>13003249</t>
  </si>
  <si>
    <t>Lake City</t>
  </si>
  <si>
    <t>13003250</t>
  </si>
  <si>
    <t>13003251</t>
  </si>
  <si>
    <t>Mathis</t>
  </si>
  <si>
    <t>13003329</t>
  </si>
  <si>
    <t>Sabinal</t>
  </si>
  <si>
    <t>13003368</t>
  </si>
  <si>
    <t>Port Aransas</t>
  </si>
  <si>
    <t>13003378</t>
  </si>
  <si>
    <t>Devine</t>
  </si>
  <si>
    <t>13003410</t>
  </si>
  <si>
    <t>Benavides</t>
  </si>
  <si>
    <t>13003411</t>
  </si>
  <si>
    <t>Freer</t>
  </si>
  <si>
    <t>Odem</t>
  </si>
  <si>
    <t>13003432</t>
  </si>
  <si>
    <t>Crystal City</t>
  </si>
  <si>
    <t>13003450</t>
  </si>
  <si>
    <t>Fulton</t>
  </si>
  <si>
    <t>13003451</t>
  </si>
  <si>
    <t>Rockport</t>
  </si>
  <si>
    <t>13003452</t>
  </si>
  <si>
    <t>Region 13 - Nueces Regional Flood Planning Group</t>
  </si>
  <si>
    <t>13003453</t>
  </si>
  <si>
    <t>Uvalde County UWCD</t>
  </si>
  <si>
    <t>13003454</t>
  </si>
  <si>
    <t>Banquete</t>
  </si>
  <si>
    <t>14000000</t>
  </si>
  <si>
    <t>Upper Rio Grande Regional Flood Planning Group</t>
  </si>
  <si>
    <t>14000036</t>
  </si>
  <si>
    <t>Terrell County</t>
  </si>
  <si>
    <t>14000040</t>
  </si>
  <si>
    <t>Brewster County</t>
  </si>
  <si>
    <t>14000041</t>
  </si>
  <si>
    <t>Presidio County</t>
  </si>
  <si>
    <t>14000056</t>
  </si>
  <si>
    <t>Jeff Davis County</t>
  </si>
  <si>
    <t>14000062</t>
  </si>
  <si>
    <t>Pecos County</t>
  </si>
  <si>
    <t>14000129</t>
  </si>
  <si>
    <t>Crane County</t>
  </si>
  <si>
    <t>14000130</t>
  </si>
  <si>
    <t>Ward County</t>
  </si>
  <si>
    <t>14000141</t>
  </si>
  <si>
    <t>Loving County</t>
  </si>
  <si>
    <t>14000142</t>
  </si>
  <si>
    <t>Reeves County</t>
  </si>
  <si>
    <t>14000148</t>
  </si>
  <si>
    <t>Culberson County</t>
  </si>
  <si>
    <t>14000155</t>
  </si>
  <si>
    <t>Hudspeth County</t>
  </si>
  <si>
    <t>14000157</t>
  </si>
  <si>
    <t>El Paso County</t>
  </si>
  <si>
    <t>14000273</t>
  </si>
  <si>
    <t>Rio Grande Council of Governments</t>
  </si>
  <si>
    <t>14000332</t>
  </si>
  <si>
    <t>Loving County WID 1</t>
  </si>
  <si>
    <t>14000355</t>
  </si>
  <si>
    <t>Tornillo Management District</t>
  </si>
  <si>
    <t>14000358</t>
  </si>
  <si>
    <t>Pecos County WCID 1</t>
  </si>
  <si>
    <t>14000479</t>
  </si>
  <si>
    <t>El Paso County Tornillo WID</t>
  </si>
  <si>
    <t>14000604</t>
  </si>
  <si>
    <t>Reeves County WID 2</t>
  </si>
  <si>
    <t>14000621</t>
  </si>
  <si>
    <t>El Paso County MUD 3</t>
  </si>
  <si>
    <t>14000622</t>
  </si>
  <si>
    <t>El Paso County MUD 4</t>
  </si>
  <si>
    <t>14000659</t>
  </si>
  <si>
    <t>Esperanza FWSD 1 of Hudspeth County</t>
  </si>
  <si>
    <t>14000675</t>
  </si>
  <si>
    <t>Ward County Irrigation District 1</t>
  </si>
  <si>
    <t>14000699</t>
  </si>
  <si>
    <t>Hudspeth County Conservation &amp; Reclamation District 1</t>
  </si>
  <si>
    <t>14000707</t>
  </si>
  <si>
    <t>El Paso County WID 1</t>
  </si>
  <si>
    <t>14000736</t>
  </si>
  <si>
    <t>West Pecos Management District</t>
  </si>
  <si>
    <t>14000759</t>
  </si>
  <si>
    <t>Ward County WID 2</t>
  </si>
  <si>
    <t>14000845</t>
  </si>
  <si>
    <t>Hudspeth County WCID 1</t>
  </si>
  <si>
    <t>14000883</t>
  </si>
  <si>
    <t>Horizon Regional MUD</t>
  </si>
  <si>
    <t>14000970</t>
  </si>
  <si>
    <t>Terrell County WCID 1</t>
  </si>
  <si>
    <t>14001024</t>
  </si>
  <si>
    <t>Val Verde County WCID-Comstock</t>
  </si>
  <si>
    <t>14001040</t>
  </si>
  <si>
    <t>Crane County Water District</t>
  </si>
  <si>
    <t>14001083</t>
  </si>
  <si>
    <t>Lower Valley Water District</t>
  </si>
  <si>
    <t>14001085</t>
  </si>
  <si>
    <t>Paseo Del Este MUD 3</t>
  </si>
  <si>
    <t>14001086</t>
  </si>
  <si>
    <t>Paseo Del Este MUD 1</t>
  </si>
  <si>
    <t>14001150</t>
  </si>
  <si>
    <t>El Paso County WCID 4</t>
  </si>
  <si>
    <t>14001181</t>
  </si>
  <si>
    <t>Pecos County WID 2</t>
  </si>
  <si>
    <t>14001182</t>
  </si>
  <si>
    <t>Pecos County WID 3</t>
  </si>
  <si>
    <t>14001241</t>
  </si>
  <si>
    <t>Paseo Del Este MUD 8</t>
  </si>
  <si>
    <t>14001266</t>
  </si>
  <si>
    <t>Paseo Del Este MUD 2</t>
  </si>
  <si>
    <t>14001267</t>
  </si>
  <si>
    <t>Paseo Del Este MUD 5</t>
  </si>
  <si>
    <t>14001268</t>
  </si>
  <si>
    <t>Paseo Del Este MUD 6</t>
  </si>
  <si>
    <t>14001269</t>
  </si>
  <si>
    <t>Paseo Del Este MUD 7</t>
  </si>
  <si>
    <t>14001270</t>
  </si>
  <si>
    <t>Paseo Del Este MUD 4</t>
  </si>
  <si>
    <t>14001271</t>
  </si>
  <si>
    <t>Paseo Del Este MUD 9</t>
  </si>
  <si>
    <t>14001479</t>
  </si>
  <si>
    <t>Paseo Del Este MUD 10</t>
  </si>
  <si>
    <t>14001497</t>
  </si>
  <si>
    <t>Presidio County WID 1</t>
  </si>
  <si>
    <t>14001562</t>
  </si>
  <si>
    <t>Fort Hancock WCID</t>
  </si>
  <si>
    <t>14001612</t>
  </si>
  <si>
    <t>Paseo Del Este MUD 11</t>
  </si>
  <si>
    <t>14001668</t>
  </si>
  <si>
    <t>Crockett County WCID 1</t>
  </si>
  <si>
    <t>14001744</t>
  </si>
  <si>
    <t>El Paso Downtown Management District</t>
  </si>
  <si>
    <t>14001777</t>
  </si>
  <si>
    <t>Haciendas Del Norte WID</t>
  </si>
  <si>
    <t>14001831</t>
  </si>
  <si>
    <t>Montecillo MMD 1</t>
  </si>
  <si>
    <t>14002247</t>
  </si>
  <si>
    <t>Butterfield Trail MUD 1</t>
  </si>
  <si>
    <t>14002248</t>
  </si>
  <si>
    <t>Butterfield Trail MUD 2</t>
  </si>
  <si>
    <t>14002326</t>
  </si>
  <si>
    <t>City of El Paso MMD 1</t>
  </si>
  <si>
    <t>14002406</t>
  </si>
  <si>
    <t>Van Horn town</t>
  </si>
  <si>
    <t>14002443</t>
  </si>
  <si>
    <t>Anthony town</t>
  </si>
  <si>
    <t>14002444</t>
  </si>
  <si>
    <t>El Paso city</t>
  </si>
  <si>
    <t>14002509</t>
  </si>
  <si>
    <t>Valentine town</t>
  </si>
  <si>
    <t>14002574</t>
  </si>
  <si>
    <t>Monahans city</t>
  </si>
  <si>
    <t>14002721</t>
  </si>
  <si>
    <t>San Elizario city</t>
  </si>
  <si>
    <t>14002792</t>
  </si>
  <si>
    <t>Sonora city</t>
  </si>
  <si>
    <t>14002793</t>
  </si>
  <si>
    <t>McCamey city</t>
  </si>
  <si>
    <t>14002847</t>
  </si>
  <si>
    <t>Horizon City city</t>
  </si>
  <si>
    <t>14002848</t>
  </si>
  <si>
    <t>Socorro city</t>
  </si>
  <si>
    <t>14002849</t>
  </si>
  <si>
    <t>Vinton village</t>
  </si>
  <si>
    <t>14002911</t>
  </si>
  <si>
    <t>Kermit city</t>
  </si>
  <si>
    <t>14002944</t>
  </si>
  <si>
    <t>Barstow city</t>
  </si>
  <si>
    <t>14002945</t>
  </si>
  <si>
    <t>Pyote town</t>
  </si>
  <si>
    <t>14003142</t>
  </si>
  <si>
    <t>Clint town</t>
  </si>
  <si>
    <t>14003148</t>
  </si>
  <si>
    <t>Toyah town</t>
  </si>
  <si>
    <t>14003208</t>
  </si>
  <si>
    <t>Alpine city</t>
  </si>
  <si>
    <t>14003232</t>
  </si>
  <si>
    <t>Fort Stockton city</t>
  </si>
  <si>
    <t>14003238</t>
  </si>
  <si>
    <t>Iraan city</t>
  </si>
  <si>
    <t>14003245</t>
  </si>
  <si>
    <t>Grandfalls town</t>
  </si>
  <si>
    <t>14003246</t>
  </si>
  <si>
    <t>Thorntonville town</t>
  </si>
  <si>
    <t>14003247</t>
  </si>
  <si>
    <t>Wickett town</t>
  </si>
  <si>
    <t>14003260</t>
  </si>
  <si>
    <t>Crane city</t>
  </si>
  <si>
    <t>14003279</t>
  </si>
  <si>
    <t>Balmorhea city</t>
  </si>
  <si>
    <t>14003280</t>
  </si>
  <si>
    <t>Pecos city</t>
  </si>
  <si>
    <t>14003289</t>
  </si>
  <si>
    <t>Dell City city</t>
  </si>
  <si>
    <t>14003326</t>
  </si>
  <si>
    <t>Marfa city</t>
  </si>
  <si>
    <t>14003375</t>
  </si>
  <si>
    <t>Presidio city</t>
  </si>
  <si>
    <t>14003536</t>
  </si>
  <si>
    <t>Wink city</t>
  </si>
  <si>
    <t>14003563</t>
  </si>
  <si>
    <t>Rankin city</t>
  </si>
  <si>
    <t>14003564</t>
  </si>
  <si>
    <t>Amistad National Recreation Area</t>
  </si>
  <si>
    <t>14003565</t>
  </si>
  <si>
    <t>Balmorhea SP</t>
  </si>
  <si>
    <t>14003566</t>
  </si>
  <si>
    <t>Big Bend National Park</t>
  </si>
  <si>
    <t>14003567</t>
  </si>
  <si>
    <t>Big Bend Ranch SP</t>
  </si>
  <si>
    <t>14003568</t>
  </si>
  <si>
    <t>Black Gap WMA</t>
  </si>
  <si>
    <t>14003569</t>
  </si>
  <si>
    <t>Chamizal National Memorial</t>
  </si>
  <si>
    <t>14003570</t>
  </si>
  <si>
    <t>Chinati Mountains SNA</t>
  </si>
  <si>
    <t>14003571</t>
  </si>
  <si>
    <t>Davis Mountains SP</t>
  </si>
  <si>
    <t>14003572</t>
  </si>
  <si>
    <t>Devils River SNA - Big Satan Unit</t>
  </si>
  <si>
    <t>14003573</t>
  </si>
  <si>
    <t>Devils River SNA - Del Norte Unit</t>
  </si>
  <si>
    <t>14003574</t>
  </si>
  <si>
    <t>Elephant Mountain WMA</t>
  </si>
  <si>
    <t>14003575</t>
  </si>
  <si>
    <t>Fort Bliss, U.S. Army</t>
  </si>
  <si>
    <t>14003576</t>
  </si>
  <si>
    <t>Fort Davis National Historic Site</t>
  </si>
  <si>
    <t>14003577</t>
  </si>
  <si>
    <t>Fort Leaton SHS</t>
  </si>
  <si>
    <t>14003578</t>
  </si>
  <si>
    <t>Franklin Mountains SP</t>
  </si>
  <si>
    <t>14003579</t>
  </si>
  <si>
    <t>Guadalupe Mountains National Park</t>
  </si>
  <si>
    <t>14003580</t>
  </si>
  <si>
    <t>Hueco Tanks SP &amp; SHS</t>
  </si>
  <si>
    <t>14003581</t>
  </si>
  <si>
    <t>Monahans Sandhills SP</t>
  </si>
  <si>
    <t>14003582</t>
  </si>
  <si>
    <t>Red Bluff Water Power Control District</t>
  </si>
  <si>
    <t>14003583</t>
  </si>
  <si>
    <t>Rio Grande Wild and Scenic River</t>
  </si>
  <si>
    <t>14003584</t>
  </si>
  <si>
    <t>Seminole Canyon SP &amp; SHS</t>
  </si>
  <si>
    <t>14003585</t>
  </si>
  <si>
    <t>Sierra Diablo WMA</t>
  </si>
  <si>
    <t>14003586</t>
  </si>
  <si>
    <t>Ward County Irrigation District 3</t>
  </si>
  <si>
    <t>14003587</t>
  </si>
  <si>
    <t>Doña Ana County</t>
  </si>
  <si>
    <t>14003588</t>
  </si>
  <si>
    <t>Elephant Butte Irrigation District, Precinct 9</t>
  </si>
  <si>
    <t>15000002</t>
  </si>
  <si>
    <t>15000005</t>
  </si>
  <si>
    <t>Zapata</t>
  </si>
  <si>
    <t>15000006</t>
  </si>
  <si>
    <t>Lower Rio Grande Valley Development Council</t>
  </si>
  <si>
    <t>Delta Lake Irrigation District</t>
  </si>
  <si>
    <t>15000008</t>
  </si>
  <si>
    <t>Hidalgo County Irrigation District 5</t>
  </si>
  <si>
    <t>15000009</t>
  </si>
  <si>
    <t>Hidalgo County Irrigation District 13</t>
  </si>
  <si>
    <t>15000010</t>
  </si>
  <si>
    <t>Bayview Irrigation District 11</t>
  </si>
  <si>
    <t>15000011</t>
  </si>
  <si>
    <t>Webb County Drainage District 1</t>
  </si>
  <si>
    <t>15000012</t>
  </si>
  <si>
    <t>Cameron County Irrigation District 2</t>
  </si>
  <si>
    <t>15000013</t>
  </si>
  <si>
    <t>Cameron County Irrigation District 6</t>
  </si>
  <si>
    <t>15000014</t>
  </si>
  <si>
    <t>Engelman Irrigation District</t>
  </si>
  <si>
    <t>15000015</t>
  </si>
  <si>
    <t>Hidalgo County Irrigation District 1</t>
  </si>
  <si>
    <t>15000016</t>
  </si>
  <si>
    <t>Hidalgo County Irrigation District 16</t>
  </si>
  <si>
    <t>15000017</t>
  </si>
  <si>
    <t>Hidalgo County Irrigation District 2</t>
  </si>
  <si>
    <t>15000018</t>
  </si>
  <si>
    <t>Hidalgo County Irrigation District 6</t>
  </si>
  <si>
    <t>15000019</t>
  </si>
  <si>
    <t>Santa Cruz Irrigation District 15</t>
  </si>
  <si>
    <t>15000020</t>
  </si>
  <si>
    <t>Valley Acres Irrigation District</t>
  </si>
  <si>
    <t>Willacy County Drainage District 1</t>
  </si>
  <si>
    <t>15000022</t>
  </si>
  <si>
    <t>Starr County Drainage District</t>
  </si>
  <si>
    <t>15000023</t>
  </si>
  <si>
    <t>Willacy County Drainage District 2</t>
  </si>
  <si>
    <t>15000024</t>
  </si>
  <si>
    <t>Cameron County Drainage District 3</t>
  </si>
  <si>
    <t>15000025</t>
  </si>
  <si>
    <t>Cameron County Drainage District 4</t>
  </si>
  <si>
    <t>15000026</t>
  </si>
  <si>
    <t>Cameron County Irrigation District 16</t>
  </si>
  <si>
    <t>15000027</t>
  </si>
  <si>
    <t>Donna Irrigation District Hidalgo County 1</t>
  </si>
  <si>
    <t>15000028</t>
  </si>
  <si>
    <t>United Irrigation District</t>
  </si>
  <si>
    <t>Cameron County Drainage District 1</t>
  </si>
  <si>
    <t>Cameron County Drainage District 5</t>
  </si>
  <si>
    <t>15000031</t>
  </si>
  <si>
    <t>Los Fresnos MUD 1</t>
  </si>
  <si>
    <t>15000032</t>
  </si>
  <si>
    <t>Brownsville Irrigation District</t>
  </si>
  <si>
    <t>15000033</t>
  </si>
  <si>
    <t>Los Fresnos MUD 2</t>
  </si>
  <si>
    <t>15000034</t>
  </si>
  <si>
    <t>La Feria Irrigation District Cameron County 3</t>
  </si>
  <si>
    <t>15000035</t>
  </si>
  <si>
    <t>Paseo De La Resaca MUD 1</t>
  </si>
  <si>
    <t>15000036</t>
  </si>
  <si>
    <t>Paseo De La Resaca MUD 2</t>
  </si>
  <si>
    <t>15000037</t>
  </si>
  <si>
    <t>Paseo De La Resaca MUD 3</t>
  </si>
  <si>
    <t>15000038</t>
  </si>
  <si>
    <t>Del Rio</t>
  </si>
  <si>
    <t>15000039</t>
  </si>
  <si>
    <t>La Grulla</t>
  </si>
  <si>
    <t>15000040</t>
  </si>
  <si>
    <t>Roma</t>
  </si>
  <si>
    <t>15000041</t>
  </si>
  <si>
    <t>Escobares</t>
  </si>
  <si>
    <t>15000042</t>
  </si>
  <si>
    <t>Eagle Pass</t>
  </si>
  <si>
    <t>15000044</t>
  </si>
  <si>
    <t>Palm Valley</t>
  </si>
  <si>
    <t>South Padre Island</t>
  </si>
  <si>
    <t>Indian Lake</t>
  </si>
  <si>
    <t>Laguna Vista</t>
  </si>
  <si>
    <t>15000050</t>
  </si>
  <si>
    <t>Los Indios</t>
  </si>
  <si>
    <t>Port Isabel</t>
  </si>
  <si>
    <t>Rancho Viejo</t>
  </si>
  <si>
    <t>Rio Hondo</t>
  </si>
  <si>
    <t>Edcouch</t>
  </si>
  <si>
    <t>15000058</t>
  </si>
  <si>
    <t>Laredo</t>
  </si>
  <si>
    <t>15000059</t>
  </si>
  <si>
    <t>Rio Bravo</t>
  </si>
  <si>
    <t>15000060</t>
  </si>
  <si>
    <t>Santa Rosa</t>
  </si>
  <si>
    <t>15000065</t>
  </si>
  <si>
    <t>Penitas</t>
  </si>
  <si>
    <t>15000066</t>
  </si>
  <si>
    <t>Progreso Lakes</t>
  </si>
  <si>
    <t>15000067</t>
  </si>
  <si>
    <t>Sullivan City</t>
  </si>
  <si>
    <t>Progreso</t>
  </si>
  <si>
    <t>Bayview</t>
  </si>
  <si>
    <t>15000076</t>
  </si>
  <si>
    <t>Lyford</t>
  </si>
  <si>
    <t>15000077</t>
  </si>
  <si>
    <t>Raymondville</t>
  </si>
  <si>
    <t>15000078</t>
  </si>
  <si>
    <t>Spofford</t>
  </si>
  <si>
    <t>15000079</t>
  </si>
  <si>
    <t>El Cenizo</t>
  </si>
  <si>
    <t>15000080</t>
  </si>
  <si>
    <t>San Perlita</t>
  </si>
  <si>
    <t>15000081</t>
  </si>
  <si>
    <t>Rio Grande City</t>
  </si>
  <si>
    <t>15000083</t>
  </si>
  <si>
    <t>Granjeno</t>
  </si>
  <si>
    <t>McAllen</t>
  </si>
  <si>
    <t>Pharr</t>
  </si>
  <si>
    <t>15000090</t>
  </si>
  <si>
    <t>Hidalgo County MUD 1</t>
  </si>
  <si>
    <t>15000091</t>
  </si>
  <si>
    <t>Hidalgo &amp; Cameron Counties Irrigation District 9</t>
  </si>
  <si>
    <t>15000092</t>
  </si>
  <si>
    <t>San Ygnacio MUD</t>
  </si>
  <si>
    <t>15000093</t>
  </si>
  <si>
    <t>Valley MUD 2</t>
  </si>
  <si>
    <t>15000094</t>
  </si>
  <si>
    <t>Sebastian MUD</t>
  </si>
  <si>
    <t>15000095</t>
  </si>
  <si>
    <t>Fort Clark MUD</t>
  </si>
  <si>
    <t>15000096</t>
  </si>
  <si>
    <t>Brackettville</t>
  </si>
  <si>
    <t>15000097</t>
  </si>
  <si>
    <t>Rangerville</t>
  </si>
  <si>
    <t>15000098</t>
  </si>
  <si>
    <t>Cameron County Drainage District 6</t>
  </si>
  <si>
    <t>15000099</t>
  </si>
  <si>
    <t>Hidalgo County Drainage District 1</t>
  </si>
  <si>
    <t>15000100</t>
  </si>
  <si>
    <t>Harlingen Irrigation District</t>
  </si>
  <si>
    <t>15000101</t>
  </si>
  <si>
    <t>International Boundary and Water Commission</t>
  </si>
  <si>
    <t>SPONSOR_LIST</t>
  </si>
  <si>
    <t>Sponsor_list_tranform</t>
  </si>
  <si>
    <t>Sponsor_list_transform_2</t>
  </si>
  <si>
    <t>Sponsor_1_num</t>
  </si>
  <si>
    <t>Sponsor_2_num</t>
  </si>
  <si>
    <t>Sponsor_3_num</t>
  </si>
  <si>
    <t>Sponsor_4_num</t>
  </si>
  <si>
    <t>Sponsor_5_num</t>
  </si>
  <si>
    <t>Sponsor_6_num</t>
  </si>
  <si>
    <t>Sponsor_1</t>
  </si>
  <si>
    <t>Sponsor_2</t>
  </si>
  <si>
    <t>Sponsor_3</t>
  </si>
  <si>
    <t>Sponsor_4</t>
  </si>
  <si>
    <t>Sponsor_5</t>
  </si>
  <si>
    <t>Sponsor_6</t>
  </si>
  <si>
    <t>Sponsor_name_concat</t>
  </si>
  <si>
    <t>x00000310</t>
  </si>
  <si>
    <t>x06003147</t>
  </si>
  <si>
    <t>x00000020</t>
  </si>
  <si>
    <t>x00004002</t>
  </si>
  <si>
    <t>x13003128</t>
  </si>
  <si>
    <t>x00000083</t>
  </si>
  <si>
    <t>x00000183</t>
  </si>
  <si>
    <t>x07000222</t>
  </si>
  <si>
    <t>x00000003</t>
  </si>
  <si>
    <t>x11003546</t>
  </si>
  <si>
    <t>x00000006</t>
  </si>
  <si>
    <t>x08002914</t>
  </si>
  <si>
    <t>x01003426</t>
  </si>
  <si>
    <t>x01000243</t>
  </si>
  <si>
    <t>x00000096</t>
  </si>
  <si>
    <t>x13003118</t>
  </si>
  <si>
    <t>x05000125</t>
  </si>
  <si>
    <t>x05000025</t>
  </si>
  <si>
    <t>x00000033</t>
  </si>
  <si>
    <t>x00000217</t>
  </si>
  <si>
    <t>x07003508</t>
  </si>
  <si>
    <t>x15000003</t>
  </si>
  <si>
    <t>x07000180</t>
  </si>
  <si>
    <t>x00000170</t>
  </si>
  <si>
    <t>x13002953</t>
  </si>
  <si>
    <t>x00000108</t>
  </si>
  <si>
    <t>x07003269</t>
  </si>
  <si>
    <t>x00000212</t>
  </si>
  <si>
    <t>x00000175</t>
  </si>
  <si>
    <t>x06003149</t>
  </si>
  <si>
    <t>x06002530</t>
  </si>
  <si>
    <t>x00002754</t>
  </si>
  <si>
    <t>x12002974</t>
  </si>
  <si>
    <t>x13000080</t>
  </si>
  <si>
    <t>x13002900</t>
  </si>
  <si>
    <t>x13000087</t>
  </si>
  <si>
    <t>x13002711</t>
  </si>
  <si>
    <t>x15000030</t>
  </si>
  <si>
    <t>x13000079</t>
  </si>
  <si>
    <t>x00000013</t>
  </si>
  <si>
    <t>x00000035</t>
  </si>
  <si>
    <t>x00000512</t>
  </si>
  <si>
    <t>x00000058</t>
  </si>
  <si>
    <t>x00000136</t>
  </si>
  <si>
    <t>x00000153</t>
  </si>
  <si>
    <t>x00003371</t>
  </si>
  <si>
    <t>x00000065</t>
  </si>
  <si>
    <t>x00000110</t>
  </si>
  <si>
    <t>x00000053</t>
  </si>
  <si>
    <t>x00000184</t>
  </si>
  <si>
    <t>x07002425</t>
  </si>
  <si>
    <t>x06002985</t>
  </si>
  <si>
    <t>x00000168</t>
  </si>
  <si>
    <t>x06002854</t>
  </si>
  <si>
    <t>x00000282</t>
  </si>
  <si>
    <t>x00000024</t>
  </si>
  <si>
    <t>x00000128</t>
  </si>
  <si>
    <t>x15000029</t>
  </si>
  <si>
    <t>x15000045</t>
  </si>
  <si>
    <t>x09000131</t>
  </si>
  <si>
    <t>x01002682</t>
  </si>
  <si>
    <t>x01002549</t>
  </si>
  <si>
    <t>x01003239</t>
  </si>
  <si>
    <t>x01003342</t>
  </si>
  <si>
    <t>x01002569</t>
  </si>
  <si>
    <t>x01002818</t>
  </si>
  <si>
    <t>x01002804</t>
  </si>
  <si>
    <t>x01002383</t>
  </si>
  <si>
    <t>x01002928</t>
  </si>
  <si>
    <t>x01002803</t>
  </si>
  <si>
    <t>x01002591</t>
  </si>
  <si>
    <t>x01002547</t>
  </si>
  <si>
    <t>x01002845</t>
  </si>
  <si>
    <t>x01003332</t>
  </si>
  <si>
    <t>x01003419</t>
  </si>
  <si>
    <t>x01002683</t>
  </si>
  <si>
    <t>x00003100</t>
  </si>
  <si>
    <t>x01003222</t>
  </si>
  <si>
    <t>x01002846</t>
  </si>
  <si>
    <t>x01003129</t>
  </si>
  <si>
    <t>x01002814</t>
  </si>
  <si>
    <t>x01002813</t>
  </si>
  <si>
    <t>x01003570</t>
  </si>
  <si>
    <t>x01003091</t>
  </si>
  <si>
    <t>x01003056</t>
  </si>
  <si>
    <t>x01003436</t>
  </si>
  <si>
    <t>x01002470</t>
  </si>
  <si>
    <t>x01000197</t>
  </si>
  <si>
    <t>x01000204</t>
  </si>
  <si>
    <t>x01000226</t>
  </si>
  <si>
    <t>x01000229</t>
  </si>
  <si>
    <t>x01000230</t>
  </si>
  <si>
    <t>x01000231</t>
  </si>
  <si>
    <t>x01000232</t>
  </si>
  <si>
    <t>x01000233</t>
  </si>
  <si>
    <t>x01000236</t>
  </si>
  <si>
    <t>x01000241</t>
  </si>
  <si>
    <t>x01000242</t>
  </si>
  <si>
    <t>x01000244</t>
  </si>
  <si>
    <t>x01000245</t>
  </si>
  <si>
    <t>x01000247</t>
  </si>
  <si>
    <t>x01000248</t>
  </si>
  <si>
    <t>x01000250</t>
  </si>
  <si>
    <t>x01000251</t>
  </si>
  <si>
    <t>x01002770</t>
  </si>
  <si>
    <t>x01000195</t>
  </si>
  <si>
    <t>x01002382</t>
  </si>
  <si>
    <t>x00000271</t>
  </si>
  <si>
    <t>x04002462</t>
  </si>
  <si>
    <t>x04002588</t>
  </si>
  <si>
    <t>x00002648</t>
  </si>
  <si>
    <t>x00002589</t>
  </si>
  <si>
    <t>x00002657</t>
  </si>
  <si>
    <t>x05002929</t>
  </si>
  <si>
    <t>x00000156</t>
  </si>
  <si>
    <t>x05003405</t>
  </si>
  <si>
    <t>x00003346</t>
  </si>
  <si>
    <t>x05003195</t>
  </si>
  <si>
    <t>x05002866</t>
  </si>
  <si>
    <t>x05003028</t>
  </si>
  <si>
    <t>x05002488</t>
  </si>
  <si>
    <t>x05003029</t>
  </si>
  <si>
    <t>x05002932</t>
  </si>
  <si>
    <t>x05002933</t>
  </si>
  <si>
    <t>x05002480</t>
  </si>
  <si>
    <t>x05003487</t>
  </si>
  <si>
    <t>x05003033</t>
  </si>
  <si>
    <t>x00003580</t>
  </si>
  <si>
    <t>x00000044</t>
  </si>
  <si>
    <t>x00000275</t>
  </si>
  <si>
    <t>x00000102</t>
  </si>
  <si>
    <t>x00000115</t>
  </si>
  <si>
    <t>x00000205</t>
  </si>
  <si>
    <t>x00000117</t>
  </si>
  <si>
    <t>x00000172</t>
  </si>
  <si>
    <t>x09000118</t>
  </si>
  <si>
    <t>x00000116</t>
  </si>
  <si>
    <t>x00000144</t>
  </si>
  <si>
    <t>x00000186</t>
  </si>
  <si>
    <t>x09000147</t>
  </si>
  <si>
    <t>x09000068</t>
  </si>
  <si>
    <t>x00000124</t>
  </si>
  <si>
    <t>x00000145</t>
  </si>
  <si>
    <t>x00000052</t>
  </si>
  <si>
    <t>x00000152</t>
  </si>
  <si>
    <t>x09000150</t>
  </si>
  <si>
    <t>x09000173</t>
  </si>
  <si>
    <t>x09000174</t>
  </si>
  <si>
    <t>x00000126</t>
  </si>
  <si>
    <t>x00000051</t>
  </si>
  <si>
    <t>x09000149</t>
  </si>
  <si>
    <t>x00000127</t>
  </si>
  <si>
    <t>x09000206</t>
  </si>
  <si>
    <t>x00000017</t>
  </si>
  <si>
    <t>x12002975</t>
  </si>
  <si>
    <t>x12002925</t>
  </si>
  <si>
    <t>x13003248</t>
  </si>
  <si>
    <t>x13003412</t>
  </si>
  <si>
    <t>x13003233</t>
  </si>
  <si>
    <t>x13002864</t>
  </si>
  <si>
    <t>x00000290</t>
  </si>
  <si>
    <t>x00003593</t>
  </si>
  <si>
    <t>x13002735</t>
  </si>
  <si>
    <t>x05000159</t>
  </si>
  <si>
    <t>x15000021</t>
  </si>
  <si>
    <t>x07002899</t>
  </si>
  <si>
    <t>x07000114</t>
  </si>
  <si>
    <t>x13003214</t>
  </si>
  <si>
    <t>x13003116</t>
  </si>
  <si>
    <t>x06002833</t>
  </si>
  <si>
    <t>x00003178</t>
  </si>
  <si>
    <t>x00002538</t>
  </si>
  <si>
    <t>x00000293</t>
  </si>
  <si>
    <t>x04002775</t>
  </si>
  <si>
    <t>x05002532</t>
  </si>
  <si>
    <t>x00002895</t>
  </si>
  <si>
    <t>x07000202</t>
  </si>
  <si>
    <t>x07002968</t>
  </si>
  <si>
    <t>x07002771</t>
  </si>
  <si>
    <t>x07002801</t>
  </si>
  <si>
    <t>x07002386</t>
  </si>
  <si>
    <t>x07003328</t>
  </si>
  <si>
    <t>x07003324</t>
  </si>
  <si>
    <t>x07003157</t>
  </si>
  <si>
    <t>x07002528</t>
  </si>
  <si>
    <t>x07003166</t>
  </si>
  <si>
    <t>x07003441</t>
  </si>
  <si>
    <t>x07003395</t>
  </si>
  <si>
    <t>x07002758</t>
  </si>
  <si>
    <t>x07003158</t>
  </si>
  <si>
    <t>x07003159</t>
  </si>
  <si>
    <t>x07002763</t>
  </si>
  <si>
    <t>x07002418</t>
  </si>
  <si>
    <t>x07003485</t>
  </si>
  <si>
    <t>x07003168</t>
  </si>
  <si>
    <t>x07002583</t>
  </si>
  <si>
    <t>x07003539</t>
  </si>
  <si>
    <t>x00000221</t>
  </si>
  <si>
    <t>x00000199</t>
  </si>
  <si>
    <t>x00000218</t>
  </si>
  <si>
    <t>x07002782</t>
  </si>
  <si>
    <t>x07003516</t>
  </si>
  <si>
    <t>x07003435</t>
  </si>
  <si>
    <t>x07000112</t>
  </si>
  <si>
    <t>x07003505</t>
  </si>
  <si>
    <t>x07003506</t>
  </si>
  <si>
    <t>x12003180</t>
  </si>
  <si>
    <t>x00000005</t>
  </si>
  <si>
    <t>x13000081</t>
  </si>
  <si>
    <t>x15000048</t>
  </si>
  <si>
    <t>x15000004</t>
  </si>
  <si>
    <t>x15000070</t>
  </si>
  <si>
    <t>x00000187</t>
  </si>
  <si>
    <t>x12002954</t>
  </si>
  <si>
    <t>x00000050</t>
  </si>
  <si>
    <t>x09002400</t>
  </si>
  <si>
    <t>x12002756</t>
  </si>
  <si>
    <t>x12002757</t>
  </si>
  <si>
    <t>x06002856</t>
  </si>
  <si>
    <t>x00000165</t>
  </si>
  <si>
    <t>x07002478</t>
  </si>
  <si>
    <t>x07000181</t>
  </si>
  <si>
    <t>x12003181</t>
  </si>
  <si>
    <t>x13002882</t>
  </si>
  <si>
    <t>x15000046</t>
  </si>
  <si>
    <t>x04002773</t>
  </si>
  <si>
    <t>x04003052</t>
  </si>
  <si>
    <t>x00000151</t>
  </si>
  <si>
    <t>x06003026</t>
  </si>
  <si>
    <t>x06002790</t>
  </si>
  <si>
    <t>x00000095</t>
  </si>
  <si>
    <t>x06002809</t>
  </si>
  <si>
    <t>x05002862</t>
  </si>
  <si>
    <t>x05002867</t>
  </si>
  <si>
    <t>x05002868</t>
  </si>
  <si>
    <t>x06003396</t>
  </si>
  <si>
    <t>x06002806</t>
  </si>
  <si>
    <t>x00003020</t>
  </si>
  <si>
    <t>x09002653</t>
  </si>
  <si>
    <t>x09003317</t>
  </si>
  <si>
    <t>x09003477</t>
  </si>
  <si>
    <t>x00002557</t>
  </si>
  <si>
    <t>x06003415</t>
  </si>
  <si>
    <t>x15000074</t>
  </si>
  <si>
    <t>x15000072</t>
  </si>
  <si>
    <t>x15000051</t>
  </si>
  <si>
    <t>x15000052</t>
  </si>
  <si>
    <t>x15000053</t>
  </si>
  <si>
    <t>x15000054</t>
  </si>
  <si>
    <t>x15000073</t>
  </si>
  <si>
    <t>x15000055</t>
  </si>
  <si>
    <t>x15000056</t>
  </si>
  <si>
    <t>x15000082</t>
  </si>
  <si>
    <t>x15000061</t>
  </si>
  <si>
    <t>x15000089</t>
  </si>
  <si>
    <t>x15000084</t>
  </si>
  <si>
    <t>x15000063</t>
  </si>
  <si>
    <t>x15000085</t>
  </si>
  <si>
    <t>x15000064</t>
  </si>
  <si>
    <t>x15000086</t>
  </si>
  <si>
    <t>x06003391</t>
  </si>
  <si>
    <t>The two lookup tabs were created to fill in the Sponsor names in the FME_Ranking tab based on the FME's sponsors listed in the FME_Input tab.</t>
  </si>
  <si>
    <t>The steps were performed.</t>
  </si>
  <si>
    <t>Entity_Lookup tab:</t>
  </si>
  <si>
    <t>1. Entities attribute table (certain columns) was copied to tab "Entity_Lookup"</t>
  </si>
  <si>
    <t>2. New column created to add "County" to county names</t>
  </si>
  <si>
    <t>3. New column with x in front of ID and ensuring 8 numerical digits. This is to avoid numerous Excel issues with all numeric in text field</t>
  </si>
  <si>
    <t>Sponsor_Lookup tab</t>
  </si>
  <si>
    <t>1. FME_ID and SPONSOR copied from FME_Input to Sponsor_Lookup</t>
  </si>
  <si>
    <t>2. SPONSOR renamed Sponsor_List because may be comma separated list</t>
  </si>
  <si>
    <t>3. Sponsor_List_Transform (1 and 2) add an "x" before each Entity ID and make sure it is 9 numeric digits. This is empy if Sponsor List starts with a name instead of a number</t>
  </si>
  <si>
    <r>
      <t xml:space="preserve">4. Copy the </t>
    </r>
    <r>
      <rPr>
        <b/>
        <sz val="11"/>
        <color theme="1"/>
        <rFont val="Calibri"/>
        <family val="2"/>
        <scheme val="minor"/>
      </rPr>
      <t>values only</t>
    </r>
    <r>
      <rPr>
        <sz val="11"/>
        <color theme="1"/>
        <rFont val="Calibri"/>
        <family val="2"/>
        <scheme val="minor"/>
      </rPr>
      <t xml:space="preserve"> from the transform 2 column to Sponsor_1_num column. (Manual step)</t>
    </r>
  </si>
  <si>
    <t>5. On Sponsor_1_num column, use Text to Columns from Data tools tab. The output will replace this column and as many columns to the right as are in the longest comma separated list.</t>
  </si>
  <si>
    <t>6. For Sponsor_1, lookup name in Entity_Lookup corresponding to Sponsor_1_num</t>
  </si>
  <si>
    <t>7. Concatenate all the sponsor names. If a name was supplied in the first place, get that name.</t>
  </si>
  <si>
    <t>8. One entry listed an Entity_ID followed by a text name. Manually handled this and put comment on cell.</t>
  </si>
  <si>
    <t>FME_Ranking</t>
  </si>
  <si>
    <t>1. Use xlookup to pull sponsor name from final column in Sponsor_Lookkup</t>
  </si>
  <si>
    <t>x00000027</t>
  </si>
  <si>
    <t>x04002514</t>
  </si>
  <si>
    <t>x04002537</t>
  </si>
  <si>
    <t>x00003055</t>
  </si>
  <si>
    <t>x04003179</t>
  </si>
  <si>
    <t>x04003312</t>
  </si>
  <si>
    <t>x00003418</t>
  </si>
  <si>
    <t>x00003433</t>
  </si>
  <si>
    <t>x00002517</t>
  </si>
  <si>
    <t>x00000009</t>
  </si>
  <si>
    <t>x08002580</t>
  </si>
  <si>
    <t>x08002577</t>
  </si>
  <si>
    <t>x00003457</t>
  </si>
  <si>
    <t>x08003439</t>
  </si>
  <si>
    <t>Rank Year</t>
  </si>
  <si>
    <t>Previous Rank</t>
  </si>
  <si>
    <t>FMS_Type</t>
  </si>
  <si>
    <t>FMS_RANK_YEAR</t>
  </si>
  <si>
    <t>2023 Amended Plan</t>
  </si>
  <si>
    <t>15000009,15000010,15000013,15000014</t>
  </si>
  <si>
    <t>152000087</t>
  </si>
  <si>
    <t>Hidalgo County Drainage District #1 - Action #1</t>
  </si>
  <si>
    <t>Purchase NOAA All-Hazard Radios</t>
  </si>
  <si>
    <t>12110208,13090002,13090001</t>
  </si>
  <si>
    <t>1211020802,1211020803,1309000203,1309000204,1211020801,1211020805,1211020804,1211020806,1309000117</t>
  </si>
  <si>
    <t>130900020305,130900011705,121102080100,121102080600,121102080300,121102080400,130900020301,130900020401,130900020311,121102080200,121102080500</t>
  </si>
  <si>
    <t>15000075,15000094,15000096,15000119,15000120,15000122,15000124,15000146</t>
  </si>
  <si>
    <t>15000013, 15000014</t>
  </si>
  <si>
    <t>15000007,15000008,15000009,15000014,15000015,15000016,15000017,15000018,15000019,15000020,15000027,15000028,15000055,15000056,15000057,15000061,15000062,15000063,15000064,15000065,15000066,15000068,15000069,15000070,15000071,15000082,15000083,15000084</t>
  </si>
  <si>
    <t>2025 Amended Plan</t>
  </si>
  <si>
    <t>152000088</t>
  </si>
  <si>
    <t>Hidalgo County Drainage District #1 - Action #10</t>
  </si>
  <si>
    <t>Adopt and implement program for cleaning debris from bridges, drains, culverts</t>
  </si>
  <si>
    <t>152000089</t>
  </si>
  <si>
    <t>Hidalgo County Drainage District #1 - Action #124</t>
  </si>
  <si>
    <t>Increase communication with local municipalities</t>
  </si>
  <si>
    <t>15000037, 15000038</t>
  </si>
  <si>
    <t>152000090</t>
  </si>
  <si>
    <t>Hidalgo County Drainage District #1 - Action #105</t>
  </si>
  <si>
    <t xml:space="preserve">Coordinate a debris removal program </t>
  </si>
  <si>
    <t>152000091</t>
  </si>
  <si>
    <t>Hidalgo County Drainage District #1 - Action #91</t>
  </si>
  <si>
    <t>Projects to increase cyber security</t>
  </si>
  <si>
    <t>152000092</t>
  </si>
  <si>
    <t>Hidalgo County Drainage District #1 - Action #106</t>
  </si>
  <si>
    <t>Develop a program to provide hyperlinks to weather data</t>
  </si>
  <si>
    <t>15000009, 15000010</t>
  </si>
  <si>
    <t>152000093</t>
  </si>
  <si>
    <t>Hidalgo County Drainage District #1 - Action #14</t>
  </si>
  <si>
    <t>Develop Acquisition/ buy-out program</t>
  </si>
  <si>
    <t>15000031, 15000032</t>
  </si>
  <si>
    <t>152000094</t>
  </si>
  <si>
    <t>Hidalgo County Drainage District #1 - Action #36</t>
  </si>
  <si>
    <t>Develop Hazardous Material Spills Prevention and Contingency Plan</t>
  </si>
  <si>
    <t>152000095</t>
  </si>
  <si>
    <t>Hidalgo County Drainage District #1 - Action #107</t>
  </si>
  <si>
    <t>Develop procedures for mass notifications</t>
  </si>
  <si>
    <t>152000096</t>
  </si>
  <si>
    <t>Hidalgo County Drainage District #1 - Action #17</t>
  </si>
  <si>
    <t>Identify flood-prone and repetitive loss properties</t>
  </si>
  <si>
    <t>15000019, 15000020</t>
  </si>
  <si>
    <t>152000097</t>
  </si>
  <si>
    <t>Hidalgo County Drainage District #1 - Action #90</t>
  </si>
  <si>
    <t>Illegal dumping outreach program</t>
  </si>
  <si>
    <t>152000098</t>
  </si>
  <si>
    <t>Hidalgo County Drainage District #1 - Action #16</t>
  </si>
  <si>
    <t>Incorporate Higher standards for hazard resistance</t>
  </si>
  <si>
    <t>15000025, 15000026</t>
  </si>
  <si>
    <t>152000099</t>
  </si>
  <si>
    <t>Hidalgo County Drainage District #1 - Action #35</t>
  </si>
  <si>
    <t>Install lightning protection systems</t>
  </si>
  <si>
    <t>152000100</t>
  </si>
  <si>
    <t>Hidalgo County Drainage District #1 - Action #121</t>
  </si>
  <si>
    <t>Remote Operations/Monitoring of Stormwater Pumps</t>
  </si>
  <si>
    <t>152000101</t>
  </si>
  <si>
    <t xml:space="preserve">City of La Joya </t>
  </si>
  <si>
    <t>FMS 2 - Assessment, development, and updating of the City's ordinances, orders, policies, engineering specifications, guidance documents and other flood management tools.</t>
  </si>
  <si>
    <t>1211020802,1309000203,1211020801,1309000117</t>
  </si>
  <si>
    <t>130900011705,130900011706,121102080100,130900020301,121102080200</t>
  </si>
  <si>
    <t>15000075,15000094,15000119,15000124,15000143</t>
  </si>
  <si>
    <t>15000018,00001609,15000062,15000065,15000099,15000101,15000006,15000004</t>
  </si>
  <si>
    <t>152000102</t>
  </si>
  <si>
    <t>City of Elsa</t>
  </si>
  <si>
    <t>15000014,15000027,00001609,15000056,15000057,15000091,15000099,15000101,15000006,15000004</t>
  </si>
  <si>
    <t>152000103</t>
  </si>
  <si>
    <t>City of Edcouch</t>
  </si>
  <si>
    <t>152000104</t>
  </si>
  <si>
    <t>City of Primera</t>
  </si>
  <si>
    <t>15000030,15000034,00001609,15000043,15000052,15000075,15000098,15000100,15000101,15000006,15000001</t>
  </si>
  <si>
    <t>152000105</t>
  </si>
  <si>
    <t>City of San Benito</t>
  </si>
  <si>
    <t>1211020806,1211020808,1211020809,1211020807</t>
  </si>
  <si>
    <t>121102080800,121102080600,121102080700,121102080900</t>
  </si>
  <si>
    <t>15000097,15000120,15000121,15000189</t>
  </si>
  <si>
    <t>15000012,15000024,15000026,00001609,15000043,15000073,15000101,15000006,15000001</t>
  </si>
  <si>
    <t>152000106</t>
  </si>
  <si>
    <t>City of Weslaco</t>
  </si>
  <si>
    <t>1211020803,1211020801</t>
  </si>
  <si>
    <t>15000119,15000146</t>
  </si>
  <si>
    <t>152000107</t>
  </si>
  <si>
    <t>City of Los Fresnos</t>
  </si>
  <si>
    <t>15000097,15000121</t>
  </si>
  <si>
    <t>15000013,15000024,15000025,15000029,15000031,15000033,00001609,15000049,15000072,15000101,15000006,15000001</t>
  </si>
  <si>
    <t>152000108</t>
  </si>
  <si>
    <t>Cameron County Drainage District #1</t>
  </si>
  <si>
    <t>15000010,15000013,15000024,15000025,15000029,15000031,15000032,15000033,00001609,15000035,15000036,15000037,15000046,15000049,15000053,15000072,15000074,15000093,15000101,15000006,15000001</t>
  </si>
  <si>
    <t>152000109</t>
  </si>
  <si>
    <t>City of La Feria</t>
  </si>
  <si>
    <t>15000034,00001609,15000047,15000091,15000098,15000101,15000006,15000001,15000004</t>
  </si>
  <si>
    <t>152000110</t>
  </si>
  <si>
    <t>City of Escobares</t>
  </si>
  <si>
    <t>130900011109,130900011108</t>
  </si>
  <si>
    <t>15000042,15000068</t>
  </si>
  <si>
    <t>15000022,00001609,15000041,15000101,00000276,15000003</t>
  </si>
  <si>
    <t>152000111</t>
  </si>
  <si>
    <t>City of La Grulla</t>
  </si>
  <si>
    <t>1309000116</t>
  </si>
  <si>
    <t>130900011607</t>
  </si>
  <si>
    <t>15000142</t>
  </si>
  <si>
    <t>15000022,00001609,15000039,15000101,00000276,15000003</t>
  </si>
  <si>
    <t>152000112</t>
  </si>
  <si>
    <t>City of Palmview</t>
  </si>
  <si>
    <t>1211020802,1211020803,1211020801</t>
  </si>
  <si>
    <t>121102080100,121102080300,121102080200</t>
  </si>
  <si>
    <t>15000075,15000119,15000146</t>
  </si>
  <si>
    <t>152000113</t>
  </si>
  <si>
    <t>City of Alton</t>
  </si>
  <si>
    <t>1211020802,1211020803</t>
  </si>
  <si>
    <t>121102080300,121102080200</t>
  </si>
  <si>
    <t>15000075,15000146</t>
  </si>
  <si>
    <t>15000018,15000028,00001609,15000071,15000084,15000088,15000099,15000101,15000006,15000004</t>
  </si>
  <si>
    <t>152000114</t>
  </si>
  <si>
    <t>Willacy County</t>
  </si>
  <si>
    <t>12110207,12110208</t>
  </si>
  <si>
    <t>1211020803,1211020805,1211020701,1211020804,1211020808,1211020810,1211020807,1211020811,1211020702</t>
  </si>
  <si>
    <t>121102080800,121102081000,121102080300,121102080400,121102080700,121102080500,121102070100,121102081100,121102070200</t>
  </si>
  <si>
    <t>15000096,15000121,15000122,15000123,15000146,15000147,15000189</t>
  </si>
  <si>
    <t>15000007,15000012,15000021,15000023,15000024,00001609,15000076,15000077,15000080,15000094,15000101,00000260,15000006,15000001,15000002,15000004</t>
  </si>
  <si>
    <t>152000115</t>
  </si>
  <si>
    <t>City of Edinburg</t>
  </si>
  <si>
    <t>121102080300,121102080400,121102080200</t>
  </si>
  <si>
    <t>15000075,15000096,15000146</t>
  </si>
  <si>
    <t>152000116</t>
  </si>
  <si>
    <t>City of Mission</t>
  </si>
  <si>
    <t>12110208,13090002</t>
  </si>
  <si>
    <t>1211020802,1211020803,1309000203,1211020801</t>
  </si>
  <si>
    <t>130900020305,121102080100,121102080300,130900020301,121102080200</t>
  </si>
  <si>
    <t>15000075,15000119,15000124,15000146</t>
  </si>
  <si>
    <t>152000117</t>
  </si>
  <si>
    <t>City of San Juan</t>
  </si>
  <si>
    <t>15000017,00001609,15000055,15000086,15000087,15000099,15000101,15000006,15000004</t>
  </si>
  <si>
    <t>152000118</t>
  </si>
  <si>
    <t>City of Donna</t>
  </si>
  <si>
    <t>1211020803,1309000203,1211020801</t>
  </si>
  <si>
    <t>15000119,15000124,15000146</t>
  </si>
  <si>
    <t>15000027,00001609,15000055,15000068,15000069,15000091,15000099,15000101,15000006,15000004</t>
  </si>
  <si>
    <t>152000119</t>
  </si>
  <si>
    <t xml:space="preserve">City of Harlingen </t>
  </si>
  <si>
    <t>1211020803,1211020806,1211020809,1211020807</t>
  </si>
  <si>
    <t>121102080600,121102080300,121102080700,121102080900</t>
  </si>
  <si>
    <t>15000097,15000120,15000146,15000189</t>
  </si>
  <si>
    <t>15000012,15000024,15000030,15000034,00001609,15000043,15000044,15000052,15000073,15000075,15000097,15000098,15000100,15000101,15000006,15000001</t>
  </si>
  <si>
    <t>152000120</t>
  </si>
  <si>
    <t>City of Alamo</t>
  </si>
  <si>
    <t>152000121</t>
  </si>
  <si>
    <t>County of Kenedy</t>
  </si>
  <si>
    <t>12110205,12110206,12110203,12110207,12110208</t>
  </si>
  <si>
    <t>1211020805,1211020508,1211020701,1211020301,1211020507,1211020605,1211020702</t>
  </si>
  <si>
    <t>121102030100,121102050706,121102060501,121102060502,121102050807,121102080500,121102070100,121102070200</t>
  </si>
  <si>
    <t>15000076,15000122,15000147</t>
  </si>
  <si>
    <t>00001609,15000101,00000260,15000006,15000002,15000004,00000074</t>
  </si>
  <si>
    <t>Establish and implement a voluntary "acquistion and demo program" to address repetitive loss to floodprone properties.</t>
  </si>
  <si>
    <t>City of Corpus Christi Storm Water Fund</t>
  </si>
  <si>
    <t>042000063</t>
  </si>
  <si>
    <t>West Orange Property Acquisition</t>
  </si>
  <si>
    <t>Acquisition and demolition of structures for flood prevention activities</t>
  </si>
  <si>
    <t>1201000511</t>
  </si>
  <si>
    <t>120100051100</t>
  </si>
  <si>
    <t>04000196</t>
  </si>
  <si>
    <t>042000064</t>
  </si>
  <si>
    <t>West Orange Drainage Improvements</t>
  </si>
  <si>
    <t>Regrading, reshaping of ditches, replacement of culverts, and concrete lining of channels throughout the city</t>
  </si>
  <si>
    <t>042000068</t>
  </si>
  <si>
    <t>West Orange Safe Room</t>
  </si>
  <si>
    <t>Safe room construction for displaced citizens during flood events</t>
  </si>
  <si>
    <t>042000065</t>
  </si>
  <si>
    <t>Coopers Gulley FMA Acquisition</t>
  </si>
  <si>
    <t>120100051004,120100051005,120100051100</t>
  </si>
  <si>
    <t>04000194,04000195,04000196</t>
  </si>
  <si>
    <t>042000066</t>
  </si>
  <si>
    <t>City of Bridge City Flood Management Strategy</t>
  </si>
  <si>
    <t>Identifying and implementing a set of measures that aim to reduce the overall risk of flooding within City of Bridge City</t>
  </si>
  <si>
    <t>042000067</t>
  </si>
  <si>
    <t>City of Orange Updates to Flood-Related Ordinances and Criteria</t>
  </si>
  <si>
    <t>Improve the long-range management and use of flood-prone areas by the adoption and enforcement of local ordinances to regulate new development within the floodplain. Review and revise ordinances, when needed.</t>
  </si>
  <si>
    <t>042000011</t>
  </si>
  <si>
    <t>City of Edgewood Emergency Siren Program</t>
  </si>
  <si>
    <t>Purchase and install outdoor warning sirens.</t>
  </si>
  <si>
    <t>120100010502, 120100010504</t>
  </si>
  <si>
    <t>04000021, 04000023</t>
  </si>
  <si>
    <t>042000036</t>
  </si>
  <si>
    <t>Longview Flood Mitigation Floodplain Development Regulations</t>
  </si>
  <si>
    <t xml:space="preserve">Improve the long-range management and use of flood-prone areas by the adoption and enforcement of local ordinances to regulate new development within the floodplain. Review and revise ordinances, when needed. </t>
  </si>
  <si>
    <t>042000037</t>
  </si>
  <si>
    <t>City of Longview Online Flood Awareness Program</t>
  </si>
  <si>
    <t xml:space="preserve">Place links on local websites to free FEMA training for independent study via the internet, such as 15-271 “Anticipating Hazardous Weather and Community Risk.” </t>
  </si>
  <si>
    <t>042000038</t>
  </si>
  <si>
    <t>City of Longview Regulatory Flood Hazard Map Program</t>
  </si>
  <si>
    <t xml:space="preserve">Work with state and federal agencies to maintain current flood maps. </t>
  </si>
  <si>
    <t>042000050</t>
  </si>
  <si>
    <t>Orange County Property Acquisition</t>
  </si>
  <si>
    <t>Program to elevation of homes within Floodplains throughout County.</t>
  </si>
  <si>
    <t>City of Grand Saline Flood Infrastructure Maintenance</t>
  </si>
  <si>
    <t>042000024</t>
  </si>
  <si>
    <t xml:space="preserve">City of Fate Flood Access Improvement_x000D_
</t>
  </si>
  <si>
    <t xml:space="preserve">Add secondary entry/access roads to existing neighborhoods where possible/enforce two entry/access road requirements in existing code for new construction_x000D_
</t>
  </si>
  <si>
    <t xml:space="preserve">04000010_x000D_
</t>
  </si>
  <si>
    <t>City of Fate Flood Infrastructure Maintenance</t>
  </si>
  <si>
    <t>052000078</t>
  </si>
  <si>
    <t>JCDD7 Storm Water Management Plan</t>
  </si>
  <si>
    <t>Help to establish and allow District to enforce development regulations within existing flood zones.</t>
  </si>
  <si>
    <t>12020003,12040201</t>
  </si>
  <si>
    <t>1204020102,1204020103,1202000304,</t>
  </si>
  <si>
    <t>120200030407,120200030406,120402010200,120402010300</t>
  </si>
  <si>
    <t>05000001,05000004,05000260,05000261</t>
  </si>
  <si>
    <t>052000066</t>
  </si>
  <si>
    <t>City of Reklaw Improved Enforcement of Ordinances</t>
  </si>
  <si>
    <t>Improve the long-range management and use of flood-prone areas by the adoption and enforcement of local ordinances to regulate new development within the floodplain.  Review and revise ordinances, when needed.</t>
  </si>
  <si>
    <t>05000003,05000004,05000007,05000008</t>
  </si>
  <si>
    <t>052000061</t>
  </si>
  <si>
    <t>City of Diboll Ordinance and Regulation Update</t>
  </si>
  <si>
    <t xml:space="preserve">Update building code and subdivision ordinance to include restrictions on the distance a structure can be built from active streams and creeks. </t>
  </si>
  <si>
    <t>120200020307,120200020306</t>
  </si>
  <si>
    <t>05000081,05000087</t>
  </si>
  <si>
    <t>052000064</t>
  </si>
  <si>
    <t>City of Gallatin Multi-Jurisdiction Coordination</t>
  </si>
  <si>
    <t xml:space="preserve">Work with County or TXDOT to increase drainage capacity in sites that are prone to flooding. </t>
  </si>
  <si>
    <t>1202000402</t>
  </si>
  <si>
    <t>120200040204,120200040205</t>
  </si>
  <si>
    <t>05000123,05000124</t>
  </si>
  <si>
    <t>05000001,05000002,05000005,05000006,05000007,05000008</t>
  </si>
  <si>
    <t>052000080</t>
  </si>
  <si>
    <t>City of Daisetta Property Elevation Ordinance</t>
  </si>
  <si>
    <t>The city shall adopt a land use ordinance which requires any structure within the 100-year floodplain to be elevated 2 feet above base flood elevation.</t>
  </si>
  <si>
    <t>052000079</t>
  </si>
  <si>
    <t>City of Daisetta Property Construction Ordinance</t>
  </si>
  <si>
    <t>The city shall adopt a land-use ordinance which prohibits building residential or commercial structures in the 100-year floodplain.</t>
  </si>
  <si>
    <t>052000084</t>
  </si>
  <si>
    <t>OCDD Drainage Criteria Manual and Regulations Enforcement</t>
  </si>
  <si>
    <t>Implement and enforce the Drainage Criteria Manual and Regulations for regulation of the effects of new developments and stormwater runoff.</t>
  </si>
  <si>
    <t>12010005,12020003,12040201</t>
  </si>
  <si>
    <t>120100051004,120100051005,120200030402,120200030403,120200030404,120200030405,120200030406,120200030407,120402010500</t>
  </si>
  <si>
    <t>052000082</t>
  </si>
  <si>
    <t>City of Nacogdoches Stormwater Drainage Fee Implementation</t>
  </si>
  <si>
    <t>Implement stormwater drainage fee to assist funding of flood mitigation infrastructure projects</t>
  </si>
  <si>
    <t>052000081</t>
  </si>
  <si>
    <t>City of Hardin Subdivision Ordinance Implementation</t>
  </si>
  <si>
    <t>Implement subdivision ordinance regulations concerning building in flood-prone areas.</t>
  </si>
  <si>
    <t>120200070108</t>
  </si>
  <si>
    <t>05000238</t>
  </si>
  <si>
    <t>052000091</t>
  </si>
  <si>
    <t>Van Zandt County Higher Standards Incorporation</t>
  </si>
  <si>
    <t>Incorporate Higher Standards for Hazard Resistance in Local Application of the Building Code.</t>
  </si>
  <si>
    <t>052000089</t>
  </si>
  <si>
    <t>City of Troup Floodplain Ordinance Update</t>
  </si>
  <si>
    <t>Adopt and enforce a stricter floodplain ordinance that no new structures are allowed in the 100-year floodway. Adopted by City Council action.</t>
  </si>
  <si>
    <t>1202000401,1202000402</t>
  </si>
  <si>
    <t>120200040106,120200040202</t>
  </si>
  <si>
    <t>05000121,05000147</t>
  </si>
  <si>
    <t>052000147</t>
  </si>
  <si>
    <t>Liberty County Drainage District Multi-County Coordination</t>
  </si>
  <si>
    <t>Work with adjoining counties regarding flood and drainage issues.</t>
  </si>
  <si>
    <t>05000001,05000002,05000003,05000004,05000005,05000006,05000007,05000008,05000009,05000010,05000011,05000012</t>
  </si>
  <si>
    <t>052000077</t>
  </si>
  <si>
    <t xml:space="preserve">JCDD6 Severe Weather Action Plan </t>
  </si>
  <si>
    <t>Create severe weather action plan, conduct drills, identify and promulgate evacuation and sheltering options.</t>
  </si>
  <si>
    <t>1204020101,1204020102,1204020103,1204020202,1204020203,1202000304,1202000701,1202000702,1202000703</t>
  </si>
  <si>
    <t>120200030405,120200030406,120200070110,120200070105,120200070201,120200070205,120200070304,120200070303,120402020200,120402020300,120402010100,120402010200,120402010300</t>
  </si>
  <si>
    <t>05000003,05000004,05000232,05000234,05000239,05000242,05000244,05000246,05000252,05000253,05000259,05000260,05000261</t>
  </si>
  <si>
    <t>05000024,05000025</t>
  </si>
  <si>
    <t>052000076</t>
  </si>
  <si>
    <t>JCDD6 Multi-Jurisdiction Coordination</t>
  </si>
  <si>
    <t>Increase coordination with the City and County regarding flood predictions and post event recovery.</t>
  </si>
  <si>
    <t>05000025,05001731,05002769</t>
  </si>
  <si>
    <t>052000063</t>
  </si>
  <si>
    <t>City of Cuney Seek NFIP Participation</t>
  </si>
  <si>
    <t>Pass appropriate Resolutions and Ordinances for participation in the National Flood Insurance Program.</t>
  </si>
  <si>
    <t>1202000104</t>
  </si>
  <si>
    <t>120200010402</t>
  </si>
  <si>
    <t>05000055</t>
  </si>
  <si>
    <t>052000083</t>
  </si>
  <si>
    <t>City of Nacogdoches Codes and Ordinances Update</t>
  </si>
  <si>
    <t>Review and update, if necessary, all City codes and ordinances pertaining to floodplain management to ensure their compliance with state and federal laws and to achieve cohesion with the mitigation strategies contained herein.</t>
  </si>
  <si>
    <t xml:space="preserve">Nacogdoches </t>
  </si>
  <si>
    <t>052000020</t>
  </si>
  <si>
    <t>City of Nacogdoches Public Education Program</t>
  </si>
  <si>
    <t>Develop and promote a public education program regarding flood hazards, NFIP, and flood plain regulations.</t>
  </si>
  <si>
    <t>052000088</t>
  </si>
  <si>
    <t>City of Lindale No Adverse Impact Implementation</t>
  </si>
  <si>
    <t>Incorporate "no adverse impact“ design requirements in community development. Provide awareness to stakeholders and design engineers; building code adoption and plan approval process.</t>
  </si>
  <si>
    <t>1202000101</t>
  </si>
  <si>
    <t>120200010104</t>
  </si>
  <si>
    <t>05000047</t>
  </si>
  <si>
    <t>05000003,05000004,05000024,05000025</t>
  </si>
  <si>
    <t>052000087</t>
  </si>
  <si>
    <t>City of Lindale Natural Runoff Policies Implementation</t>
  </si>
  <si>
    <t>Incorporate “natural run-off” policies. Calculate cumulative effect of development, increase capacity of storm water drainage systems, institute regular drain system maintenance.</t>
  </si>
  <si>
    <t>05000003,05000004</t>
  </si>
  <si>
    <t>052000005</t>
  </si>
  <si>
    <t>Chambers County Public Education on Mitigation Techniques</t>
  </si>
  <si>
    <t>Implement an outreach and education campaign to educate the public on mitigation techniques for all hazards to reduce loss of life and property.</t>
  </si>
  <si>
    <t>052000021</t>
  </si>
  <si>
    <t>Polk County Public Education Campaign</t>
  </si>
  <si>
    <t>Initiate public education campaign to improve the community’s understanding and access to information on natural hazards and how to improve level of protection for their homes.</t>
  </si>
  <si>
    <t>052000025</t>
  </si>
  <si>
    <t>Trinity County Public Education on Mitigation Actions</t>
  </si>
  <si>
    <t>Create a program to educate the public about specific mitigation actions for multiple hazards</t>
  </si>
  <si>
    <t>052000090</t>
  </si>
  <si>
    <t xml:space="preserve">Trinity County Dam/Levee Failure Data Collection </t>
  </si>
  <si>
    <t>Develop and implement standard operating procedures for collecting and sharing data to provide extent of dam/levee failure</t>
  </si>
  <si>
    <t>052000004</t>
  </si>
  <si>
    <t>Angelina County Public Education on Mitigation Techniques</t>
  </si>
  <si>
    <t xml:space="preserve">Publish educational materials to inform the public in methods of mitigating private property against natural hazard damage. </t>
  </si>
  <si>
    <t>052000016</t>
  </si>
  <si>
    <t>Houston County Public Education Program on Emergency Evacuation</t>
  </si>
  <si>
    <t>Conduct public education program and advertise Houston County Emergency Evacuation Plan, such as escape routes in coordination with TxDOT.</t>
  </si>
  <si>
    <t>00000128,00000847,00002527,05002532</t>
  </si>
  <si>
    <t>052000015</t>
  </si>
  <si>
    <t>Houston County Property Elevation and Public Education on NFIP</t>
  </si>
  <si>
    <t>Conduct program to educate residents on NFIP/availability of flood insurance and elevating new construction in and outside of mapped floodplain areas.</t>
  </si>
  <si>
    <t>052000017</t>
  </si>
  <si>
    <t>City of Kennard Public Awareness Program</t>
  </si>
  <si>
    <t>Conduct public awareness program and distribute NFIP education information to citizens including availability of flood insurance.</t>
  </si>
  <si>
    <t>052000022</t>
  </si>
  <si>
    <t>San Augustine County Public Education on Mitigation Techniques</t>
  </si>
  <si>
    <t>Includes programs in schools and senior citizen centers, pamphlets, and community meetings.</t>
  </si>
  <si>
    <t>052000086</t>
  </si>
  <si>
    <t>San Augustine County Continue NFIP Participation</t>
  </si>
  <si>
    <t>Continue participation in the National Flood Insurance Program (NFIP) and expand administration and monitoring capabilities</t>
  </si>
  <si>
    <t>052000023</t>
  </si>
  <si>
    <t>Shelby County Public Education on Hazards</t>
  </si>
  <si>
    <t>Educate the residents of Shelby County and participating jurisdictions on safety and planning for the hazards identified in this plan</t>
  </si>
  <si>
    <t>052000002</t>
  </si>
  <si>
    <t>Anderson County Natural Hazards Education Program Development</t>
  </si>
  <si>
    <t>Develop, enhance and implement education programs to increase awareness of natural hazards and to inform residents of mitigation actions to reduce risk to citizens, public infrastructure, private property owners, businesses and schools.</t>
  </si>
  <si>
    <t>052000001</t>
  </si>
  <si>
    <t xml:space="preserve">Anderson County Flood Education Program </t>
  </si>
  <si>
    <t>Educate homeowners to increase awareness about the hazard of flooding and to inform residents of mitigation actions to reduce risk.</t>
  </si>
  <si>
    <t>052000009</t>
  </si>
  <si>
    <t>Henderson County Emergency Training Program</t>
  </si>
  <si>
    <t xml:space="preserve">Increase training opportunities for citizens to encourage their involvement in mitigation efforts. </t>
  </si>
  <si>
    <t>1202000101,1202000102,1202000103,1202000104</t>
  </si>
  <si>
    <t>120200010203,120200010404,120200010205,120200010206,120200010301,120200010302,120200010304,120200010103,120200010202,120200010204,120200010305,120200010303,120200010307,120200010403,120200010405</t>
  </si>
  <si>
    <t>05000032,05000033,05000038,05000039,05000040,05000041,05000042,05000046,05000049,05000050,05000051,05000052,05000053,05000056,05000057</t>
  </si>
  <si>
    <t>052000018</t>
  </si>
  <si>
    <t>JCDD6 Public Education Material Distribution</t>
  </si>
  <si>
    <t>Develop distribution centers in local libraries, DD6 facilities, DD6 website and other public buildings where information and safety guidance on natural and manmade hazards as well as ways to mitigate hazards can be provided to citizens</t>
  </si>
  <si>
    <t>052000019</t>
  </si>
  <si>
    <t xml:space="preserve">City of Daisetta Education of City Council on Mitigation Benefits </t>
  </si>
  <si>
    <t>Educate City Council on benefits of mitigation and encourage council members to become more involved.</t>
  </si>
  <si>
    <t>052000008</t>
  </si>
  <si>
    <t>City of Rusk “Turn Around Don’t Drown” Campaign</t>
  </si>
  <si>
    <t>Promote the “Turn Around Don’t Drown” campaign in partnership with DPS.</t>
  </si>
  <si>
    <t>052000067</t>
  </si>
  <si>
    <t>City of Rusk Flood Maps Maintenance and Update</t>
  </si>
  <si>
    <t>05000015,05000016</t>
  </si>
  <si>
    <t>052000010</t>
  </si>
  <si>
    <t>City of Berryville Public Education on Mitigation Techniques</t>
  </si>
  <si>
    <t xml:space="preserve">Provide materials and data sources to educate citizens of all potential hazards in the planning area and methods to mitigate hazards and increase awareness. </t>
  </si>
  <si>
    <t>1202000103</t>
  </si>
  <si>
    <t>120200010307</t>
  </si>
  <si>
    <t>05000053</t>
  </si>
  <si>
    <t>052000011</t>
  </si>
  <si>
    <t>City of Brownsboro Flood Mitigation Education for City Officials and Citizens</t>
  </si>
  <si>
    <t xml:space="preserve">Seek FEMA and State training in flood mitigation to assist with NFIP and encourage awareness of flood hazard and National Flood Insurance Program assistance to citizens </t>
  </si>
  <si>
    <t>1202000102</t>
  </si>
  <si>
    <t>120200010205,120200010206</t>
  </si>
  <si>
    <t>05000038,05000039</t>
  </si>
  <si>
    <t>052000012</t>
  </si>
  <si>
    <t>City of Brownsboro Public Education on Mitigation Techniques</t>
  </si>
  <si>
    <t>Provide materials and data sources to educate citizens of all potential hazards in the planning area and methods to mitigate hazards and increase awareness.</t>
  </si>
  <si>
    <t>052000014</t>
  </si>
  <si>
    <t>City of Chandler Public Education on Code Red System</t>
  </si>
  <si>
    <t xml:space="preserve">Provide public training and education materials about the Code Red system and how to register for the warning system notifications </t>
  </si>
  <si>
    <t>1202000102,1202000103</t>
  </si>
  <si>
    <t>120200010206,120200010301,120200010302</t>
  </si>
  <si>
    <t>05000039,05000040,05000041</t>
  </si>
  <si>
    <t>052000013</t>
  </si>
  <si>
    <t xml:space="preserve">City of Chandler Citizen/Business/City Mitigation Strategy Planning </t>
  </si>
  <si>
    <t xml:space="preserve">Encourage the development of public and private partnership with businesses, service organizations and other community groups to work together on mitigation </t>
  </si>
  <si>
    <t>052000006</t>
  </si>
  <si>
    <t>City of Gallatin “Turn Around Don’t Drown” Campaign</t>
  </si>
  <si>
    <t>052000003</t>
  </si>
  <si>
    <t xml:space="preserve">City of Frankston Flood Education Program </t>
  </si>
  <si>
    <t>The City will provide public education on the dangers of flash flooding, and to inform residents of mitigation actions to reduce risk to citizens, public infrastructure, private property owners, businesses and schools.</t>
  </si>
  <si>
    <t>052000065</t>
  </si>
  <si>
    <t>City of Jacksonville Multi-Jurisdiction Coordination</t>
  </si>
  <si>
    <t>1202000105,1202000402</t>
  </si>
  <si>
    <t>120200010506,120200040201,120200040204</t>
  </si>
  <si>
    <t>05000062,05000122,05000123</t>
  </si>
  <si>
    <t>052000007</t>
  </si>
  <si>
    <t>City of Jacksonville Public Education on Mitigation Actions</t>
  </si>
  <si>
    <t>Develop and implement public education program to educate the public on mitigation actions to reduce their risk, along with posting updated pertinent weather information on City social media during weather events.</t>
  </si>
  <si>
    <t>052000024</t>
  </si>
  <si>
    <t>City of Groveton Public Education on Mitigation Actions</t>
  </si>
  <si>
    <t>052000146</t>
  </si>
  <si>
    <t>Liberty County Topographical Mapping Update</t>
  </si>
  <si>
    <t>Purchase updated topographical maps/complete LiDAR aerial survey for drainage plan.</t>
  </si>
  <si>
    <t>052000038</t>
  </si>
  <si>
    <t>Polk County Improved Hazard Communication</t>
  </si>
  <si>
    <t>Upgrade and expand implementation of natural hazard warning systems and methods.</t>
  </si>
  <si>
    <t>052000042</t>
  </si>
  <si>
    <t>Van Zandt County Warning System Acquisition</t>
  </si>
  <si>
    <t>Acquire and Install Warning Systems throughout the County, including Incorporated Jurisdictions. Reduce risk to citizens through improved communications and early warning.</t>
  </si>
  <si>
    <t>052000027</t>
  </si>
  <si>
    <t>Angelina County Siren Warning System Installation</t>
  </si>
  <si>
    <t>Install warning siren system.</t>
  </si>
  <si>
    <t>052000028</t>
  </si>
  <si>
    <t>Houston County Alert/Notification System Installation</t>
  </si>
  <si>
    <t>Purchase and install I-info alert/notification system including one user license per jurisdiction or participating entity.</t>
  </si>
  <si>
    <t>052000029</t>
  </si>
  <si>
    <t>Houston County Gage Installation and Monitoring</t>
  </si>
  <si>
    <t>Install stream and rain gauges in flood prone areas and waterways as part of overall rainfall tracking, recording program, and new alert notification system.</t>
  </si>
  <si>
    <t>05000017,05000018</t>
  </si>
  <si>
    <t>052000075</t>
  </si>
  <si>
    <t>Houston County Mobile Home Inspection</t>
  </si>
  <si>
    <t>Conduct routine inspection of manufactured home/mobile homes in flood-prone area to ensure proper tie-downs per Flood Damage Ordinance.</t>
  </si>
  <si>
    <t>052000030</t>
  </si>
  <si>
    <t>Houston County Rainfall Observer Program</t>
  </si>
  <si>
    <t>Implement rainfall observer program utilizing volunteers.</t>
  </si>
  <si>
    <t>052000040</t>
  </si>
  <si>
    <t>Shelby County Warning Siren Installation</t>
  </si>
  <si>
    <t>Install warning sirens at strategic locations for use during disaster events</t>
  </si>
  <si>
    <t>052000039</t>
  </si>
  <si>
    <t>Shelby County Electronic Hazard Warning Message Board Acquisition</t>
  </si>
  <si>
    <t>Acquire electronic message board for use during disaster response and recovery operations</t>
  </si>
  <si>
    <t>052000026</t>
  </si>
  <si>
    <t>Anderson County Code Red System</t>
  </si>
  <si>
    <t>Plan and implement a new publicity campaign to expand enrollment in CODE RED notification system; use CODE RED to warn of impending hazard events.</t>
  </si>
  <si>
    <t>052000037</t>
  </si>
  <si>
    <t>OCDD Installing Additional Stream Gages</t>
  </si>
  <si>
    <t>Add stream gauges to the major watersheds to increase flood predictive capability for streams and creeks that affect OCDD (stream gages)</t>
  </si>
  <si>
    <t>052000036</t>
  </si>
  <si>
    <t>OCDD Hazard Notification System Development</t>
  </si>
  <si>
    <t>Develop employee emergency notification system to warn staff of imminent hazards/risks.</t>
  </si>
  <si>
    <t>052000035</t>
  </si>
  <si>
    <t>JCDD7 Update Data Operation System-Control Center</t>
  </si>
  <si>
    <t>Will allow officials to see what pump stations are operating in real time, monitor pumps/generator conditions and status</t>
  </si>
  <si>
    <t>1204020103</t>
  </si>
  <si>
    <t>052000034</t>
  </si>
  <si>
    <t>JCDD6 Increase Flood Predictive Capability for Streams and Creeks</t>
  </si>
  <si>
    <t>Utilize ALERT stations and work with National Weather Service to help citizens of the Bevil Oaks community better understand the flood warnings and predictions.</t>
  </si>
  <si>
    <t>052000062</t>
  </si>
  <si>
    <t>City of Cuney Bridge and Culvert Inspection Program</t>
  </si>
  <si>
    <t>Plan and implement a program to regularly inspect low-lying bridges and highway culverts, clear debris, and create safe pathways for excess water runoff, to avoid flooding.</t>
  </si>
  <si>
    <t>05000007,05000008,05000022,05000023</t>
  </si>
  <si>
    <t>052000033</t>
  </si>
  <si>
    <t>City of Murchison Warning Siren System Installation</t>
  </si>
  <si>
    <t>Obtain early warning siren system installment inside jurisdiction to assist in public notification of hazard prior to hazard occurrence</t>
  </si>
  <si>
    <t>120200010204,120200010303</t>
  </si>
  <si>
    <t>05000050,05000052</t>
  </si>
  <si>
    <t>052000031</t>
  </si>
  <si>
    <t>City of Brownsboro Code Red System Implementation</t>
  </si>
  <si>
    <t>Obtain access and/or incorporate the use of the automated emergency calling system, Code Red, into local emergency management plan</t>
  </si>
  <si>
    <t>052000032</t>
  </si>
  <si>
    <t>City of Chandler Warning Siren Maintenance</t>
  </si>
  <si>
    <t>Check the location and condition of warning sirens; determine if repairs are needed</t>
  </si>
  <si>
    <t>052000041</t>
  </si>
  <si>
    <t>City of Groveton Warning System Upgrades</t>
  </si>
  <si>
    <t>Implement, upgrade, expand, and integrate digital methods for storm notification to include all methods of communication including: cell phones, text messages, land-lines, internet networking sites, television, and radio.</t>
  </si>
  <si>
    <t>052000070</t>
  </si>
  <si>
    <t xml:space="preserve">City of Kountze Continued NFIP Participation </t>
  </si>
  <si>
    <t>Continue participation in the NFIP and initiate participation in CRS. Includes improvement of flood mapping and elevation data, mitigation for repetitive loss properties, and instituting higher regulatory standards for future floodplain development.</t>
  </si>
  <si>
    <t>052000071</t>
  </si>
  <si>
    <t>City of Lumberton Continued NFIP Participation</t>
  </si>
  <si>
    <t>052000072</t>
  </si>
  <si>
    <t>City of Rose Hill Acres Continued NFIP Participation</t>
  </si>
  <si>
    <t>052000073</t>
  </si>
  <si>
    <t>City of Silsbee Continued NFIP Participation</t>
  </si>
  <si>
    <t>052000074</t>
  </si>
  <si>
    <t>City of Sour Lake Continued NFIP Participation</t>
  </si>
  <si>
    <t>052000069</t>
  </si>
  <si>
    <t>Hardin County Drainage District</t>
  </si>
  <si>
    <t>Form Drainage District: Purpose would be to oversee/ maintain, and construct required drainage projects for the County. Regulate stormwater mitigation for new and future developments.</t>
  </si>
  <si>
    <t>05000013,05000014</t>
  </si>
  <si>
    <t>052000068</t>
  </si>
  <si>
    <t>Hardin County Continued NFIP Participation</t>
  </si>
  <si>
    <t>052000085</t>
  </si>
  <si>
    <t>OCDD Support/Create Stricter Floodplain Ordinances</t>
  </si>
  <si>
    <t>Work with Communities to support ordinances or create ordinances that help to protect new structures from being built in the floodplain or floodway</t>
  </si>
  <si>
    <t>052000148</t>
  </si>
  <si>
    <t>SE Texas R.A.I.N. Gage Network Improvements</t>
  </si>
  <si>
    <t>Re-location and installation of rain and stream gages throughout jurisdiction.</t>
  </si>
  <si>
    <t>Chambers,Jefferson,Liberty</t>
  </si>
  <si>
    <t>12020007,12030203,12040202,12040201</t>
  </si>
  <si>
    <t>1202000701,1203020302,1204020201,1204020202,1204020203,1204020101,1204020204</t>
  </si>
  <si>
    <t>120200070110,120302030202,120402020100,120402020200,120402020300,120402010100,120402020400</t>
  </si>
  <si>
    <t>05000232,05000248,05000250,05000252,05000253,05000259,05000251</t>
  </si>
  <si>
    <t>Will provide for more accurate flood forecasting.</t>
  </si>
  <si>
    <t>052000149</t>
  </si>
  <si>
    <t>Community Rating System</t>
  </si>
  <si>
    <t>Join the Community Rating System to reduce flood insurance premiums and flood risk for residents.</t>
  </si>
  <si>
    <t>052000150</t>
  </si>
  <si>
    <t>Flood Model and Map Management System</t>
  </si>
  <si>
    <t>Develop and implement a web-based system to manage flood models and mapping and regulate future development.</t>
  </si>
  <si>
    <t>05000015,05000016,05000024,05000025</t>
  </si>
  <si>
    <t>Will serve to deter future development within the floodplain.</t>
  </si>
  <si>
    <t>052000151</t>
  </si>
  <si>
    <t>Chambers County Property Acquisition</t>
  </si>
  <si>
    <t>Avoidance of Future Flood Risk and Preservation of Natural Floodplain</t>
  </si>
  <si>
    <t>052000152</t>
  </si>
  <si>
    <t>Chambers County Drainage Criteria Manual Update</t>
  </si>
  <si>
    <t>Update Drainage Criteria Manual for the County to minimize and eliminate the possibility of future development adversely impacting downstream communities.</t>
  </si>
  <si>
    <t>Will serve to deter future development within the floodplain and prevent future flood risk.</t>
  </si>
  <si>
    <t>052000153</t>
  </si>
  <si>
    <t>City of Vidor Flood Insurance Education Program</t>
  </si>
  <si>
    <t>Conduct program to educate residents on the details and availability of flood insurance.</t>
  </si>
  <si>
    <t>12020003,12010005</t>
  </si>
  <si>
    <t>1202000304,1201000510</t>
  </si>
  <si>
    <t>120200030405,120100051004,120100051003,120200030404,120200030406</t>
  </si>
  <si>
    <t>05000002,05000003,05000004</t>
  </si>
  <si>
    <t>052000154</t>
  </si>
  <si>
    <t>City of Vidor Flood Preparedness Education Program</t>
  </si>
  <si>
    <t>052000155</t>
  </si>
  <si>
    <t>City of Vidor Flood Property Acquisition &amp; Buyout</t>
  </si>
  <si>
    <t>Voluntary acquisition of repetitive and severe repetitive loss properties in Vidor.</t>
  </si>
  <si>
    <t>052000157</t>
  </si>
  <si>
    <t>City of Vidor Flood Property Elevation</t>
  </si>
  <si>
    <t>Voluntary elevation of repetitive and severe repetitive loss properties in Vidor.</t>
  </si>
  <si>
    <t>052000156</t>
  </si>
  <si>
    <t>City of Vidor Demolition and Clearance of Flood Damaged Commerical Structures</t>
  </si>
  <si>
    <t xml:space="preserve">Demolition and clearance of flood damaged commerical structures within the City of Vidor. </t>
  </si>
  <si>
    <t>062000070</t>
  </si>
  <si>
    <t>Chambers County Community Rating System</t>
  </si>
  <si>
    <t>12040203</t>
  </si>
  <si>
    <t>1204020302, 1203020303, 1204020301</t>
  </si>
  <si>
    <t>120302030304, 120302030306, 120302030307, 120402030105, 120402030104, 120402030106, 120402030200</t>
  </si>
  <si>
    <t>06000103, 06000102, 06000104, 06000105</t>
  </si>
  <si>
    <t>00000013, 00000020, 00000033, 00003343, 00003344, 00003573, 06000000, 00000582, 00000552, 00000578, 00000310, 00000266, 00000527, 06000602, 06000672, 00000710, 06000711, 00000720, 00001765, 00002222, 00002356, 00000280, 00004001, 06003602</t>
  </si>
  <si>
    <t>Alignment with RFPG goals and TWDB guidance principles. Accepted by SJRFPG in March 2025.</t>
  </si>
  <si>
    <t>062000072</t>
  </si>
  <si>
    <t>This flood management strategy proposes that funds be established for Chambers County to implement a county-wide voluntary property acquisition program for structures located within the 100-year floodplain or the floodway of an existing watercourse.</t>
  </si>
  <si>
    <t>Potential to encourage development of public spaces and revitalization efforts</t>
  </si>
  <si>
    <t>062000071</t>
  </si>
  <si>
    <t>Chambers County Flood Model and Map Management System</t>
  </si>
  <si>
    <t>062000073</t>
  </si>
  <si>
    <t>06000001,06000007,06000011,06000012,06000015</t>
  </si>
  <si>
    <t>062000074</t>
  </si>
  <si>
    <t xml:space="preserve">West Fork San Jacinto River floodplain preservation_x000D_
</t>
  </si>
  <si>
    <t>Partnerships to acquire/place conservation easements on high-quality floodplain parcels upstream of the West Fork San Jacinto River. This pre-disaster strategy enhances resilience and floodplain function per ASFPM best practices.</t>
  </si>
  <si>
    <t>12040101</t>
  </si>
  <si>
    <t>1204010103, 1204010105, 1204010102, 1204010104, 1204010202, 1204010301</t>
  </si>
  <si>
    <t>120401030110, 120401010207, 120401010308, 120401010401, 120401010402, 120401010403, 120401020211, 120401020213, 120401030104, 120401030102, 120401030105, 120401010205, 120401010206, 120401010404, 120401010501</t>
  </si>
  <si>
    <t>06000011, 06000022, 06000019, 06000020, 06000021, 06000024, 06000009, 06000010, 06000023, 06000043, 06000045, 06000055, 06000047, 06000049, 06000050</t>
  </si>
  <si>
    <t>06000001,06000011,06000012, 06000013,06000014,06000015</t>
  </si>
  <si>
    <t>06003603</t>
  </si>
  <si>
    <t>062000075</t>
  </si>
  <si>
    <t xml:space="preserve">Spring Creek floodplain preservation_x000D_
</t>
  </si>
  <si>
    <t>Partnerships to acquire/place conservation easements on high-quality floodplain parcels below Lake Conroe and upstream of Spring Creek. This pre-disaster strategy enhances resilience and floodplain function per ASFPM best practices.</t>
  </si>
  <si>
    <t>Harris, Waller, Montgomery, Grimes</t>
  </si>
  <si>
    <t>1207010401, 1204010103, 1204010104, 1204010201, 1204010202, 1207010108</t>
  </si>
  <si>
    <t>06000016, 06000017, 06000018, 06000019, 06000020, 06000021, 06000023, 06000031, 06000036, 06000026, 06000030, 06000032, 06000033, 06000034, 06000035, 06000037, 06000039, 06000038, 06000042, 06000040, 06000041, 06000043, 06000044, 06000045</t>
  </si>
  <si>
    <t>062000076</t>
  </si>
  <si>
    <t>Lake Creek floodplain preservation</t>
  </si>
  <si>
    <t>Montgomery, Grimes</t>
  </si>
  <si>
    <t>1204010103, 1203020205, 1204010101, 1204010102, 1204010104, 1204010202, 1207010108, 1207010307, 1207010308</t>
  </si>
  <si>
    <t>06000001, 06000011, 06000012, 06000013, 06000014, 06000003, 06000007, 06000015, 06000016, 06000017, 06000018, 06000019, 06000020, 06000009, 06000010, 06000039, 06000038, 06000043</t>
  </si>
  <si>
    <t>06000037, 00000044, 06002950, 06003268, 06000000, 00000257, 00000287, 00000295, 06002324, 00000266, 06000365, 06000800, 06000802, 06000889, 06001430, 06001547, 06001718, 06001860, 06001937, 06001946, 06002048, 06002210, 06002215, 06002293, 06002310</t>
  </si>
  <si>
    <t>062000077</t>
  </si>
  <si>
    <t>Updates to San Jacinto River Authority Lake Conroe Reservoir Forecast Tool</t>
  </si>
  <si>
    <t>Update to forecasting tool, including the incorporation of latest modeling analyses and methodologies, latest software, and/or additional stream gauge data to increase accuracy and accessibility.</t>
  </si>
  <si>
    <t>Montgomery, Grimes, Walker</t>
  </si>
  <si>
    <t>1204010103, 1203020205, 1203020208, 1204010101, 1204010102, 1204010104, 1204010301, 1204010303</t>
  </si>
  <si>
    <t>06000004, 06000001, 06000002, 06000011, 06000012, 06000014, 06000003, 06000005, 06000006, 06000007, 06000018, 06000019, 06000020, 06000008, 06000009, 06000010, 06000047, 06000046, 06000062</t>
  </si>
  <si>
    <t>062000078</t>
  </si>
  <si>
    <t>San Jacinto River Watershed Gage Network Expansion</t>
  </si>
  <si>
    <t>Install up to 48 rain/stream gages in Montgomery, Waller, Grimes, Walker, San Jacinto, and Liberty counties to enhance flood warning in the San Jacinto River Watershed.</t>
  </si>
  <si>
    <t>Waller, Liberty, Montgomery, Grimes, San Jacinto, Walker</t>
  </si>
  <si>
    <t>12030202, 12030203, 12040101, 12040102, 12040103, 12040104, 12040203, 12070101, 12070103, 12070104, 12040205</t>
  </si>
  <si>
    <t>06000001</t>
  </si>
  <si>
    <t>062000079</t>
  </si>
  <si>
    <t>Harris County Community Based Catastrophe Insurance</t>
  </si>
  <si>
    <t>Community Based Catastrophe Insurance to reduce impact of flood damages in areas several feet deep in the floodplain where structural projects to reduce flooding are not cost effective</t>
  </si>
  <si>
    <t>12040101, 12040102, 12040103, 12040104, 12040203, 12070104, 12040204</t>
  </si>
  <si>
    <t>1207010401, 1204020302, 1204010105, 1204010104, 1204010201, 1204010202, 1204010301, 1204010302, 1204010304, 1204010405, 1204020301, 1204020401, 1204010403, 1204010404, 1204010406, 1204010407, 1204010401, 1204010402</t>
  </si>
  <si>
    <t>062000080</t>
  </si>
  <si>
    <t>Harris County Flood Control District's Flood Warning System</t>
  </si>
  <si>
    <t>The Harris County Flood Control District’s Flood Warning System relies on 188 gage stations strategically placed throughout Harris County bayous and their tributaries that contain sensors that transmit flows and water levels during times of heavy rainfall</t>
  </si>
  <si>
    <t>082001139</t>
  </si>
  <si>
    <t>City of Bryan Property Acquisition</t>
  </si>
  <si>
    <t>1207010107,1207010306,1207010307</t>
  </si>
  <si>
    <t>120701010702,120701010703,120701010705,120701030603,120701030602,120701030704,120701030702</t>
  </si>
  <si>
    <t>081000706,081000718,081000716,081001004,081000693,081000689,081001002,081001005</t>
  </si>
  <si>
    <t>082001125,08200140</t>
  </si>
  <si>
    <t>082001306</t>
  </si>
  <si>
    <t>EWS Implementation Study and Installation Gages and Repeater</t>
  </si>
  <si>
    <t>Study to determine optimal placement of gages and repeater within the County. Includes coordination with Harris County Flood Control District to integrate proposed gages into their early flood warning system.</t>
  </si>
  <si>
    <t>1207010108,1207010305,1207010306,1207010307,1207010308</t>
  </si>
  <si>
    <t>120701010801,120701010802,120701010803,120701010804,120701030701,120701030804,120701030801,120701030802,120701030803,120701030510,120701030601,120701030604,120701030704,120701030703,120701030705,120701030706,120701030707</t>
  </si>
  <si>
    <t>None.</t>
  </si>
  <si>
    <t>Provided by sponsor and is in line with TWDB and RFPG requirements.</t>
  </si>
  <si>
    <t>082001307</t>
  </si>
  <si>
    <t>Grimes County Property Acquisition</t>
  </si>
  <si>
    <t>Property acquisition program for structures located in Zone A areas, areas of known flooding, and dam inundation areas to prevent repetitive losses.</t>
  </si>
  <si>
    <t>082001308</t>
  </si>
  <si>
    <t>City of Killeen Flood-Prone/Repetitive Loss Properties</t>
  </si>
  <si>
    <t>Acquire homes and properties in flood-prone areas to reduce loss of property and life in the event of a flood. This project will contribute to the elimination of flood risk damages to high-risk structures and prevent future losses in flood hazard areas.</t>
  </si>
  <si>
    <t>Bell,Coryell</t>
  </si>
  <si>
    <t>12070201,12070202,12070203</t>
  </si>
  <si>
    <t>1207020111,1207020203,1207020305,1207020304</t>
  </si>
  <si>
    <t>120702011101,120702020303,120702030403,120702030507,120702030509,120702030510</t>
  </si>
  <si>
    <t>08000008,08000009,08000010</t>
  </si>
  <si>
    <t>082001309</t>
  </si>
  <si>
    <t>Brazos County Drainage Criteria Manual Development</t>
  </si>
  <si>
    <t>Creation and adoption of a county drainage criteria manual.</t>
  </si>
  <si>
    <t>12070101,12070102,12070103</t>
  </si>
  <si>
    <t>1207010106,1207010107,1207010108,1207010205,1207010305,1207010306,1207010307,1207010308</t>
  </si>
  <si>
    <t>08000005,08000006,08000007</t>
  </si>
  <si>
    <t>08000001, 08000003</t>
  </si>
  <si>
    <t>082001310</t>
  </si>
  <si>
    <t>Brazos County Early Flood Warning System</t>
  </si>
  <si>
    <t>Development of an early flood warning system for Brazos County including identification of potential gauge placements, development of any necessary software and GUI to monitor risk at gauged locations, and incorporation with County's existing systems.</t>
  </si>
  <si>
    <t>082001325</t>
  </si>
  <si>
    <t>Brazos County warning system will work to incorporate any existing flood warning data from communities within the County.</t>
  </si>
  <si>
    <t>082001311</t>
  </si>
  <si>
    <t>Regrading and Clear Out of College Station Creeks</t>
  </si>
  <si>
    <t xml:space="preserve">Assessment and performance of potential impacts and benefits associated with the recovery of creek capacity through sedimentation removal and similar efforts. </t>
  </si>
  <si>
    <t>Potential for negatives impacts will be assessed and mitigated as part of identification of creeks viable for regrading.</t>
  </si>
  <si>
    <t>082001312</t>
  </si>
  <si>
    <t>College Station Drainage Criteria Update</t>
  </si>
  <si>
    <t>Update to reflect latest data, industry practices, and technology advancements. Including a detailed assessment of the functionality of existing detention facilities in the city and any potential improvements to the regulation of detention pond design.</t>
  </si>
  <si>
    <t>082001313</t>
  </si>
  <si>
    <t>City of Killeen Stream Gauge Installation - Emergency Management</t>
  </si>
  <si>
    <t>Install stream gauges at multiple locations along the Little Nolan and South Nolan Creeks. Gauges would be used to monitor water levels and start the development of a city-wide flood alert system to assist emergency management decisions.</t>
  </si>
  <si>
    <t>1207020110,1207020111,1207020203,1207020305</t>
  </si>
  <si>
    <t>120702011005,120702011101,120702011104,120702011103,120702011102,120702011105,120702011106,120702020303,120702020304,120702020306,120702020307,120702030507,120702030509,120702030510,120702030511</t>
  </si>
  <si>
    <t>082001314</t>
  </si>
  <si>
    <t>Cedar Park Drainage Infrastructure Assessment</t>
  </si>
  <si>
    <t>City-wide inventory and assessment of drainage related infrastructure.</t>
  </si>
  <si>
    <t>Travis,Williamson</t>
  </si>
  <si>
    <t>120702050402,120702050401</t>
  </si>
  <si>
    <t>08000013</t>
  </si>
  <si>
    <t>082001315</t>
  </si>
  <si>
    <t>Cedar Park Property Acquisition</t>
  </si>
  <si>
    <t>Property acquisition program with a prioritization of residential structures in the FEMA regulatory floodway and floodplain.</t>
  </si>
  <si>
    <t>082001316</t>
  </si>
  <si>
    <t>Cedar Park Drainage Criteria Manual</t>
  </si>
  <si>
    <t>Creation and adoption of a draiange criteria manual for the City of Cedar Park.</t>
  </si>
  <si>
    <t>082001317</t>
  </si>
  <si>
    <t>Cedar Park Outreach and Education Program</t>
  </si>
  <si>
    <t>Development of interactive stormwater models and virtual education programs to inform public of flood related risk.</t>
  </si>
  <si>
    <t>082001318</t>
  </si>
  <si>
    <t>Cedar Park Early Flood Warning System</t>
  </si>
  <si>
    <t>Development of an early flood warning system for City of Cedar Park including identification of potential gauge placements, development of necessary software and GUI to monitor risk at gauged locations, and incorporation with existing systems.</t>
  </si>
  <si>
    <t>082001319</t>
  </si>
  <si>
    <t>City of Round Rock Regional Stormwater Management Program Fee Study</t>
  </si>
  <si>
    <t>Develop a fee calculation method to correlate pond construction and land costs with development impervious cover and land area. Develop recommendations for cost indices to update the fees on an annual basis in the City’s Annual Fee Ordinance.</t>
  </si>
  <si>
    <t>1207020504,1207020505</t>
  </si>
  <si>
    <t>120702050402,120702050502,120702050403,120702050404</t>
  </si>
  <si>
    <t>082001320</t>
  </si>
  <si>
    <t>Community Rating System Application</t>
  </si>
  <si>
    <t>Prepare and submit City's CRS application.</t>
  </si>
  <si>
    <t>082001321</t>
  </si>
  <si>
    <t>Open Channel System Inventory and Assessment</t>
  </si>
  <si>
    <t>Map, catalog and assess the City's open channel systems to assist creation of a recurring open channel maintenance plan.</t>
  </si>
  <si>
    <t>082001322</t>
  </si>
  <si>
    <t>Ordinance Development for a Voluntary Buyout Program</t>
  </si>
  <si>
    <t>Ordinance creation to establish a Voluntary Buyout Program.</t>
  </si>
  <si>
    <t>082001323</t>
  </si>
  <si>
    <t>Williamson County Drainage Criteria Manual</t>
  </si>
  <si>
    <t xml:space="preserve">Update of the County drainage criteria manual, including an assessment of guidelines pertaining to regional detention. </t>
  </si>
  <si>
    <t>12070102,12070203,12070204,12070205</t>
  </si>
  <si>
    <t>1207010201,1207020305,1207020304,1207020401,1207020501,1207020502,1207020503,1207020504,1207020505</t>
  </si>
  <si>
    <t>08000006,08000010,08000011,08000012</t>
  </si>
  <si>
    <t>082001324</t>
  </si>
  <si>
    <t>Urban Storm System Assessment and Mapping</t>
  </si>
  <si>
    <t>Assessment (includes cleaning and CCTV video) of the City's downtown urban storm system will allow evaluation and prioritization of storm infrastructure needs.</t>
  </si>
  <si>
    <t>12060202</t>
  </si>
  <si>
    <t>1206020208</t>
  </si>
  <si>
    <t>120602020803</t>
  </si>
  <si>
    <t>08000002</t>
  </si>
  <si>
    <t>City of Bryan - Flood Early Warning System ("B-FEWS") Phase 2</t>
  </si>
  <si>
    <t>Gauging improvements and upgrades (software and hardware) to the existing flood early warning system with the potential for additional sensors in newly identified areas of need.</t>
  </si>
  <si>
    <t>1207010106,1207010107,1207010306,1207010307</t>
  </si>
  <si>
    <t>120701010610,120701010613,120701010701,120701010702,120701010703,120701010705,120701030603,120701030602,120701030704,120701030702</t>
  </si>
  <si>
    <t>102000001</t>
  </si>
  <si>
    <t>Floodplain Management and Regulation</t>
  </si>
  <si>
    <t>Education, outreach and direct technical assistance to cities and counties throughout Region 10, with a particular focus on providing targeted assistance cities that are eligible but not currently participatng in the NFIP.</t>
  </si>
  <si>
    <t>Lower Colorado-Lavaca</t>
  </si>
  <si>
    <t>-</t>
  </si>
  <si>
    <t>10000012, 10000014, 10000016, 10000018</t>
  </si>
  <si>
    <t>Unknown</t>
  </si>
  <si>
    <t>Meets TWDB criteria and RFPG Goals</t>
  </si>
  <si>
    <t>102000002</t>
  </si>
  <si>
    <t>Flood Awareness and Preparation Education and Outreach</t>
  </si>
  <si>
    <t>10000002</t>
  </si>
  <si>
    <t>102000003</t>
  </si>
  <si>
    <t>Low Water Crossing Assessment, Prioritization, and Mitigation</t>
  </si>
  <si>
    <t xml:space="preserve">Similar to the recommended regional strategy to conduct outreach and provide technical assistance to those with floodplain management and regulation, this strategy is to provide technical assistance with the assessment of flood risk at LWCs. </t>
  </si>
  <si>
    <t>10000027</t>
  </si>
  <si>
    <t>102000004</t>
  </si>
  <si>
    <t>Stream Corridor Protection and Restoration</t>
  </si>
  <si>
    <t xml:space="preserve">The essence of this strategy is open space acquisition, either through fee simple purchases of property within sensitive stream corridors or through voluntary agreements  between governmental and/or non-governmental organizations and private landowners. </t>
  </si>
  <si>
    <t>10000023</t>
  </si>
  <si>
    <t>Public Safety</t>
  </si>
  <si>
    <t>102000005</t>
  </si>
  <si>
    <t>Watershed Modeling and Floodplain Mapping</t>
  </si>
  <si>
    <t>142000002</t>
  </si>
  <si>
    <t>Irrigation and Recharge Application of Captured Rainwater Runoff at Alpine</t>
  </si>
  <si>
    <t>Construct rainwater basins at 3 locations around Kokernot Park to drain neighboring streets, impound runoff volume, promote infiltration and aquifer recharge, reduce landscaping water costs, and remediate pollutants.</t>
  </si>
  <si>
    <t>Upper Rio Grande</t>
  </si>
  <si>
    <t>Brewster</t>
  </si>
  <si>
    <t>13070006</t>
  </si>
  <si>
    <t>130700060101</t>
  </si>
  <si>
    <t>14012001, 14013001</t>
  </si>
  <si>
    <t>City of Alpine, Brewster County</t>
  </si>
  <si>
    <t>14003208,14000040</t>
  </si>
  <si>
    <t>State, Local</t>
  </si>
  <si>
    <t>Non-Structural FMS</t>
  </si>
  <si>
    <t>Recommended in Region E Water Plan as Strategy E-2 (2021). Water plan documents contribution of 70 ac-ft of water saved on landscaping irrigation in an average drought year.</t>
  </si>
  <si>
    <t>Aligns with RFPG and stakeholder goals</t>
  </si>
  <si>
    <t>142000001</t>
  </si>
  <si>
    <t>FEMA Levee Accreditation for All Rio Grande Levees at El Paso</t>
  </si>
  <si>
    <t>Coordination needed between USIBWC, FEMA, El Paso Water, El Paso County, Doña Ana County, and Hudspeth County to certify and accredit all remaining levee segments through El Paso County. Interior drainage studies are needed in Hudspeth and Doña Ana.</t>
  </si>
  <si>
    <t>El Paso</t>
  </si>
  <si>
    <t>13030102, 13040100</t>
  </si>
  <si>
    <t>130301020802, 130301020803, 130301020804, 130301020904, 130301020905, 130301020906, 130401000107, 130401000203, 130401000204, 130401000306, 130401000707, 130401000307, 130401000410</t>
  </si>
  <si>
    <t>14004001</t>
  </si>
  <si>
    <t>USIBWC, El Paso Water, El Paso County, Doña Ana County, Hudspeth County</t>
  </si>
  <si>
    <t>14003649,14003604,14000157,14003587,14000155</t>
  </si>
  <si>
    <t>Federal, State, Local</t>
  </si>
  <si>
    <t>142000004</t>
  </si>
  <si>
    <t>Coordination with Ft. Bliss for FMP Permitting and Maintenance Access</t>
  </si>
  <si>
    <t>El Paso Water designed NE7 on Ft. Bliss near unexploded ordinances (UXOs), and has an easement to maintain Fusselman and Northgate Dams, but can’t access them due to UXOs. El Paso County designed MON1 on Ft. Bliss near a training ground and potential U</t>
  </si>
  <si>
    <t>13040100</t>
  </si>
  <si>
    <t>130401000101, 130401000103, 130401000203</t>
  </si>
  <si>
    <t>14007003, 14011001, 14009001, 14009003,14010001, 14010002</t>
  </si>
  <si>
    <t>El Paso Water, El Paso County, U.S. Army</t>
  </si>
  <si>
    <t>14003604,14000157,14003650</t>
  </si>
  <si>
    <t>No Negative Impacts</t>
  </si>
  <si>
    <t>142000008</t>
  </si>
  <si>
    <t>Develop Certification Package for Cibolo Creek Channel and Levee</t>
  </si>
  <si>
    <t>Perform planning and design required by FEMA for levee accreditation, then complete certification package for Cibolo Creek levee in vicinity of City of Presidio.  Package includes O&amp;M Plan.</t>
  </si>
  <si>
    <t>Presidio</t>
  </si>
  <si>
    <t>13040201</t>
  </si>
  <si>
    <t>130402011307, 130402011403, 130402011406</t>
  </si>
  <si>
    <t>14015001, 14007000, 14004002</t>
  </si>
  <si>
    <t>USACE, Presidio County, City of Presidio</t>
  </si>
  <si>
    <t>14003602,14000041</t>
  </si>
  <si>
    <t>141000002</t>
  </si>
  <si>
    <t>142000013</t>
  </si>
  <si>
    <t>Staff augmentation support or funding for at risk communities to join and/or enforce the NFIP</t>
  </si>
  <si>
    <t>Prioritize and provide staff augmentation support or funding for at risk communities not currently participating in the NFIP or communities with limited resources to enforce the NFIP. Aid communities in implementing recommended minimum standards.</t>
  </si>
  <si>
    <t>Presidio, Hudspeth, Reeves, Andrews, Edwards, Pecos, Winkler</t>
  </si>
  <si>
    <t>14001001, 14001002</t>
  </si>
  <si>
    <t>RGCOG</t>
  </si>
  <si>
    <t>14000041,14000155,14000142,00000102,00000021,14000062,00000154,14003208,14002792,14002944,14002911,14003563,14003246,14002509,14003247,14003536</t>
  </si>
  <si>
    <t>142000007</t>
  </si>
  <si>
    <t>Study to plan the management of saltcedar growth and debris in channels in/adjacent to City of Pecos</t>
  </si>
  <si>
    <t>Study to identify and characterize alternatives to manage vegetation in natural drainages in and adjacent to the City of Pecos to increase conveyance and reduce flooding within the City of Pecos.</t>
  </si>
  <si>
    <t>Reeves</t>
  </si>
  <si>
    <t>13060007, 13060011, 13040212, 13070002, 13070003, 13070006, 13070008, 13070009, 13070010, 13070011, 13070012, 13070001, 13070007</t>
  </si>
  <si>
    <t>14012001</t>
  </si>
  <si>
    <t>City of Pecos, Reeves County</t>
  </si>
  <si>
    <t>14003280,14000142</t>
  </si>
  <si>
    <t xml:space="preserve">Yes </t>
  </si>
  <si>
    <t>141000010</t>
  </si>
  <si>
    <t>142000005</t>
  </si>
  <si>
    <t>142000003</t>
  </si>
  <si>
    <t>Implement Colonia-wide Drainage System and Maintenance and Outreach Program for Roadside Swales and Driveway Culverts at Fort Hancock</t>
  </si>
  <si>
    <t>Construct drainage improvements as detailed in FME ID: 141000014; maintain existing roadside ditches/swales to ensure positive drainage; and develop an outreach program to encourage residents to maintain and repair driveway culverts.</t>
  </si>
  <si>
    <t>Hudspeth</t>
  </si>
  <si>
    <t>130401000801</t>
  </si>
  <si>
    <t>14007001, 14007002, 14014001, 14009002, 14009004, 14010001, 14010002</t>
  </si>
  <si>
    <t>City of Fort Hancock, Hudspeth County</t>
  </si>
  <si>
    <t>14003589,14000142</t>
  </si>
  <si>
    <t>141000014</t>
  </si>
  <si>
    <t>Maintenance Program to control Salt Cedar vegetation along Rio Grande upstream of Presidio</t>
  </si>
  <si>
    <t>Study to develop alternatives to clear vegetation along the Rio Grande between Candelaria and City of Presidio to allow for proper drainage for communities located along FM 170. Coordination needed between RGCOG, Presidio County, TXDOT, USACE and USIBWC.</t>
  </si>
  <si>
    <t>14007003, 14012001</t>
  </si>
  <si>
    <t>RGCOG, Presidio County, TXDOT, USIBWC, USACE</t>
  </si>
  <si>
    <t>14000041,14003601,14003649,14003602</t>
  </si>
  <si>
    <t>142000006</t>
  </si>
  <si>
    <t>Study Binational Streamflow Recommendations for Big Bend Reach of Rio Grande/Rio Bravo</t>
  </si>
  <si>
    <t>Conduct study with recommendations for binationally beneficial stream flows for Big Bend reach of the Rio Grande/Rio Bravo. Study will identify stream flows to support the river’s ecological environment in state and federal parks in the U.S. and Mexico</t>
  </si>
  <si>
    <t>Presidio, Brewster</t>
  </si>
  <si>
    <t>13040203,13040204,13040205,13040202, 13040201</t>
  </si>
  <si>
    <t>Presidio County, USIBWC,  RG/B Basin Flows Collaboration, Rio Grande Joint Venture</t>
  </si>
  <si>
    <t>14003375,14000041,14000040,14003566,14003583,14003567,14003568,14003652,14003653,14003654</t>
  </si>
  <si>
    <t>Federal, State</t>
  </si>
  <si>
    <t>141000008</t>
  </si>
  <si>
    <t>142000009</t>
  </si>
  <si>
    <t>Regulatory Review of Off-Road Traffic on State Lands</t>
  </si>
  <si>
    <t>Coordination should take place between EPCWID1, El Paso County, and State land owners to discuss enforcement of restrictions associated with off-road motor vehicles on undeveloped land.</t>
  </si>
  <si>
    <t>13040100, 13050003</t>
  </si>
  <si>
    <t xml:space="preserve"> 14002001, 14007003</t>
  </si>
  <si>
    <t>EPCWID1, El Paso County, Texas GLO</t>
  </si>
  <si>
    <t>14000707,14000157,14003651</t>
  </si>
  <si>
    <t xml:space="preserve"> State, Local</t>
  </si>
  <si>
    <t>142000010</t>
  </si>
  <si>
    <t>Regulatory Review of Impervious Cover on New Development in El Paso County</t>
  </si>
  <si>
    <t>Coordination should take place between EPCWID1, El Paso County, and Texas GLO land owners to discuss revisions to development regulations associated with detention and impervious cover.</t>
  </si>
  <si>
    <t>14001001, 14007003</t>
  </si>
  <si>
    <t>142000015</t>
  </si>
  <si>
    <t>Develop and design standard options for addressing identified development-related flooding in El Paso</t>
  </si>
  <si>
    <t>Evaluate COEP and El Paso County drainage design standards for inlets, curb cuts, requirements for on-site storage in new developments, addressing as-built elevations, protecting remaining on-site storage and recovering original storage for existing dev*</t>
  </si>
  <si>
    <t>13030102, 13040100, 13050003</t>
  </si>
  <si>
    <t>14002001, 14003001</t>
  </si>
  <si>
    <t>El Paso Water, El Paso County</t>
  </si>
  <si>
    <t>14003604,14000157</t>
  </si>
  <si>
    <t>142000019</t>
  </si>
  <si>
    <t>Initiate program to develop integrated solutions to improve irrigation system/ stormwater conveyance system interaction in El Paso area</t>
  </si>
  <si>
    <t>14014001, 14007000</t>
  </si>
  <si>
    <t>El Paso Water, El Paso County, EPCWID1</t>
  </si>
  <si>
    <t>14003604,14000157,14000707</t>
  </si>
  <si>
    <t>142000021</t>
  </si>
  <si>
    <t>Develop and Improve Early Warning System for City of Pecos</t>
  </si>
  <si>
    <t>Conduct study to evaluate and propose improvements to Early Warning Systems (EWSs) for City of Pecos and adjacent Lindsay Census Designated Place. Includes assessment of existing flood EWS.</t>
  </si>
  <si>
    <t>13070003, 13070001</t>
  </si>
  <si>
    <t>130700010903, 130700010904, 130700030402</t>
  </si>
  <si>
    <t>14006001, 1400602</t>
  </si>
  <si>
    <t>142000020</t>
  </si>
  <si>
    <t>Develop and Improve Early Warning System for El Paso City/ County interior drainage</t>
  </si>
  <si>
    <t>Conduct study to evaluate and proposed improvements to Early Warning Systems (EWSs) for interior drainage in El Paso City and El Paso County. Includes assessment of existing flood EWS.</t>
  </si>
  <si>
    <t>El Paso Water, COEP, El Paso County, EPCWID1</t>
  </si>
  <si>
    <t>14003604,14002444,14000157,14000707</t>
  </si>
  <si>
    <t>142000024</t>
  </si>
  <si>
    <t>Develop and Improve Early Warning System for City of Fort Stockton</t>
  </si>
  <si>
    <t>Conduct study to evaluate and propose improvements to Early Warning Systems (EWSs) for City of Fort Stockton. Includes assessment of existing flood EWS.</t>
  </si>
  <si>
    <t>Pecos</t>
  </si>
  <si>
    <t>13070007</t>
  </si>
  <si>
    <t>130700071801, 130700071802, 130700072004</t>
  </si>
  <si>
    <t>City of Fort Stockton, Pecos County</t>
  </si>
  <si>
    <t>14003232,14000062</t>
  </si>
  <si>
    <t>142000023</t>
  </si>
  <si>
    <t>Develop and Improve Early Warning System for City of Presidio, Presidio County</t>
  </si>
  <si>
    <t>Identify and design access routes and bridges/culverts to provide emergency access during extreme flood events in the City of Presidio.</t>
  </si>
  <si>
    <t>130402011406</t>
  </si>
  <si>
    <t>City of Presidio, Presidio County</t>
  </si>
  <si>
    <t>14003375,14000041</t>
  </si>
  <si>
    <t>142000022</t>
  </si>
  <si>
    <t>Develop and Improve Early Warning System for City of Alpine</t>
  </si>
  <si>
    <t>Conduct study to evaluate and propose improvements to Early Warning Systems (EWSs) for City of Alpine. Includes assessment of existing flood EWS.</t>
  </si>
  <si>
    <t>130700060101, 130700060102, 130700060103</t>
  </si>
  <si>
    <t>142000014</t>
  </si>
  <si>
    <t>Develop new flood gages throughout the region</t>
  </si>
  <si>
    <t>Prioritize, fund, and develop new flood gages (rainfall and/or stream gages) throughout the region to support flood warning system improvements and improve ability to validate or calibrate existing and new flood models</t>
  </si>
  <si>
    <t>All of Region 14</t>
  </si>
  <si>
    <t>14005001, 14006001, 1400602</t>
  </si>
  <si>
    <t>142000025</t>
  </si>
  <si>
    <t>Develop and Improve Early Warning System for City of Marfa, Presidio County</t>
  </si>
  <si>
    <t>Identify and design access routes and bridges/culverts to provide emergency access during extreme flood events in Marfa. Southeast Marfa and dirt portion of FM2810 were identified as problem areas by Presidio County Office of Emergency Management.</t>
  </si>
  <si>
    <t>13040202</t>
  </si>
  <si>
    <t>130,402,020,103,130,000,000,000,000,000,000,000</t>
  </si>
  <si>
    <t>City of Marfa, Presidio County</t>
  </si>
  <si>
    <t>14003326,14000041</t>
  </si>
  <si>
    <t>143000007</t>
  </si>
  <si>
    <t>This FMS and FMP ID: 143000007 both include early warning systems for Marfa. There is not overlap. The FMP includes low water crossing road closure gates and does not include recurring costs.  City of Marfa would decide based on preference.</t>
  </si>
  <si>
    <t>142000017</t>
  </si>
  <si>
    <t>Develop solutions to address city/county stormwater conveyance into the Rio Grande (El Paso County)</t>
  </si>
  <si>
    <t>Refine agency action coordination in conveyance of interior flooding to the Rio Grande. Develop FMP designs and costs for improvements of conveyance from river terrace storm water infrastructure, considering high ground water.</t>
  </si>
  <si>
    <t>13030102, 13040100, 13040201, 13040202, 13040203, 13040204, 13040205, 13040206, 13040207, 13040208, 13040209, 13040210, 13040211, 13040212, 13070006, 13070008, 13070010, 13070012, 13050003, 13050004, 13070007</t>
  </si>
  <si>
    <t>14006001, 14004001, 14004002, 14007003</t>
  </si>
  <si>
    <t>141000018</t>
  </si>
  <si>
    <t>142000016</t>
  </si>
  <si>
    <t>Develop regional solutions to address erosion issues in natural channels affecting stormwater conveyance</t>
  </si>
  <si>
    <t>Develop consensus region-specific erosion-resistant designs to prevent removal of material from drainage conveyances, with functional comparisons to aid selection of best practices.</t>
  </si>
  <si>
    <t>14007003, 14002001, 14003001, 14007001, 14007002</t>
  </si>
  <si>
    <t>141000015</t>
  </si>
  <si>
    <t>03000098,03000099,03000100,03000101,03000102,03000103,03000104,03000105,03000106,03000107,03000108,03000109,03000110,03000111,03000112,03000113,03000115,03000116,03000117,03000118,03000119,03000122,03000123,03000124,03000125,03000126,03000131,03000152</t>
  </si>
  <si>
    <t>120301020704,120301020505,120301020701,120301020705,120301020703</t>
  </si>
  <si>
    <t>120301031006,120301020706,120301031005,120301031004,120301031007,120301020701,120301020705,120301050101</t>
  </si>
  <si>
    <t>120301020603,120301020601,120301020604,120301020605,120301020405</t>
  </si>
  <si>
    <t>120301060406,120301060407,120301050105,120301050104,120301060501,120301060403</t>
  </si>
  <si>
    <t>120301070206,120301070302,120301070110,120301070111,120301070303</t>
  </si>
  <si>
    <t>120301060409,120301060402,120301060502,120301060401,120100010301,120301070101,120301060403,120301070102,120100010302</t>
  </si>
  <si>
    <t>120301020704,120301020505,120301020703</t>
  </si>
  <si>
    <t>120301080108,120301080106</t>
  </si>
  <si>
    <t>120301080403,120301090404,120301090405,120301080404,120301080206,120301090406</t>
  </si>
  <si>
    <t>120301020603,120301050301,120301020606,120301050201,120301090301</t>
  </si>
  <si>
    <t>120301050107,120301050201,120301050202,120301050108,120301050305,120301050203</t>
  </si>
  <si>
    <t>120302020601,120302020504</t>
  </si>
  <si>
    <t>120302021207,120302021201</t>
  </si>
  <si>
    <t>120301020506,120301020704,120301020505</t>
  </si>
  <si>
    <t>120301060401,120301060307</t>
  </si>
  <si>
    <t>120301030403,120301030106,111302010707</t>
  </si>
  <si>
    <t>120301040301,120301040302,120301020703,120301020503</t>
  </si>
  <si>
    <t>120301020603,120301020606,120301020607,120301020601,120301020706,120301020701,120301020702,120301020705,120301020605,120301020602</t>
  </si>
  <si>
    <t>120301030905,120301030705,120301030904,120301030906,120301030902,120301031003,120301030703,120301031001,120301030805,120301030903</t>
  </si>
  <si>
    <t>120302021104,120302021105,120401030307,120302021207,120302021201</t>
  </si>
  <si>
    <t>03000021,03000032,03000033,03000034,03000039,03000040,03000041,03000042,03000043,03000115,03000116,03000117,03000119,03000150,03000151,03000152,03000165,03000166</t>
  </si>
  <si>
    <t>120301070203,120100010501</t>
  </si>
  <si>
    <t>120301060406,120301060408,120301060403</t>
  </si>
  <si>
    <t>120301040307,120301031002,120301031005,120301031004,120301031003,120301031001,120301050103</t>
  </si>
  <si>
    <t>120602020501,120301090107</t>
  </si>
  <si>
    <t>120301060409,120301060402,120301060406,120301060407,120301050105,120301060408,120301060501,120301060403</t>
  </si>
  <si>
    <t>120301040307,120301031002,120301031005,120301031004,120301031003,120301031001,120301050104,120301050103</t>
  </si>
  <si>
    <t>120301020205,120602011201,120301020103,120301020203,120301020206,120301020207,120301020204</t>
  </si>
  <si>
    <t>120301020506,120301020505,120301020503</t>
  </si>
  <si>
    <t>120301070105,120301070103,120301070106,120301070107,120301070101,120301070102</t>
  </si>
  <si>
    <t>120301020401,120602020202,120301090101,120301020304,120301020604,120301020402</t>
  </si>
  <si>
    <t>120301050301,120301050204,120301050202,120301060505,120301060507,120301050205,120301050305,120301050203</t>
  </si>
  <si>
    <t>120301030803,120301030801</t>
  </si>
  <si>
    <t>120301030705,120301030406,120301030901,120301030902,120301030704</t>
  </si>
  <si>
    <t>120301040307,120301031002,120301030906,120301031003,120301031001,120301030805</t>
  </si>
  <si>
    <t>120301080403,120301080401,120301090405,120301080206</t>
  </si>
  <si>
    <t>120301080403,120302010106,120301080402</t>
  </si>
  <si>
    <t>120301080403,120301080401</t>
  </si>
  <si>
    <t>120302020501,120302020407</t>
  </si>
  <si>
    <t>120301080105,120602020502,120301080104</t>
  </si>
  <si>
    <t>120301060507,120301050205</t>
  </si>
  <si>
    <t>120301090101,120301090106,120602020204</t>
  </si>
  <si>
    <t>120301060201,120301030203,111401010101</t>
  </si>
  <si>
    <t>120301090407,120301080404,120301090406,120301080405</t>
  </si>
  <si>
    <t>120301050405,120301050406,120301070110,120301070108</t>
  </si>
  <si>
    <t>120701030604,120302020405,120701030601</t>
  </si>
  <si>
    <t>120301060401,120301060307,120100010301</t>
  </si>
  <si>
    <t>120301070109,120301070108</t>
  </si>
  <si>
    <t>120301030705,120301030902,120301030704</t>
  </si>
  <si>
    <t>120301050402,120301050405,120301050403</t>
  </si>
  <si>
    <t>120701030104,120301080303,120302010101</t>
  </si>
  <si>
    <t>120301020401,120301020304,120301020402</t>
  </si>
  <si>
    <t>120301050204, 120301050205, 120301060504, 120301060505</t>
  </si>
  <si>
    <t>03000172, 03000179, 03000235, 03000236</t>
  </si>
  <si>
    <t>03000240, 03000226, 03000233, 03000240</t>
  </si>
  <si>
    <t>032000148</t>
  </si>
  <si>
    <t>Chambers, Liberty</t>
  </si>
  <si>
    <t>12030203,12040203</t>
  </si>
  <si>
    <t>1203020301,1203020302,1203020303,1204020302</t>
  </si>
  <si>
    <t>120302030108,120302030109,120302030201,120302030203,120302030204,120302030301,120302030302,120302030303,120302030304,120302030305,120302030306,120302030202,120302030307,120402030200</t>
  </si>
  <si>
    <t>03000451,03000459,03000460,03000461,03000462,03000463,03000464,03000465,03000466,03000467,03000468,03000470,03000471,03000472</t>
  </si>
  <si>
    <t>03000001,03000002,03000005,03000006</t>
  </si>
  <si>
    <t>032000149</t>
  </si>
  <si>
    <t>1203020302,1203020303,1204020302</t>
  </si>
  <si>
    <t>120302030203,120302030204,120302030304,120302030306,120302030202,120302030307,120402030200</t>
  </si>
  <si>
    <t>03000461,03000462,03000466,03000468,03000470,03000471,03000472</t>
  </si>
  <si>
    <t>03000011,03000012,03000025,03000026</t>
  </si>
  <si>
    <t>032000150</t>
  </si>
  <si>
    <t>032000151</t>
  </si>
  <si>
    <t>032000152</t>
  </si>
  <si>
    <t>032000153</t>
  </si>
  <si>
    <t>Liberty County WCID #5 Drainage Criteria Manual Update</t>
  </si>
  <si>
    <t>Update Drainage Criteria Manual for Liberty County WCID #5 to minimize and eliminate the possibility of future development adversely impacting downstream communities.</t>
  </si>
  <si>
    <t>12030203</t>
  </si>
  <si>
    <t>1203020302,1203020303</t>
  </si>
  <si>
    <t>120302030201,120302030203,120302030204,120302030301,120302030302,120302030303,120302030305</t>
  </si>
  <si>
    <t>03000460,03000461,03000462,03000463,03000464,03000465,03000467</t>
  </si>
  <si>
    <t>03000009,03000010</t>
  </si>
  <si>
    <t>092000005</t>
  </si>
  <si>
    <t>Colorado City Sediment Cleanout Program</t>
  </si>
  <si>
    <t>Adopt and implement a program for cleaning debris from bridges, drains, and culverts.</t>
  </si>
  <si>
    <t>092000038</t>
  </si>
  <si>
    <t>Upper Colorado Building Codes Outreach Program</t>
  </si>
  <si>
    <t xml:space="preserve">Outreach Program: Encourage communities to adopt current building codes, adopt new construction codes for setting the minimum floor elevation
</t>
  </si>
  <si>
    <t>Taylor,Nolan,Mitchell,Howard,Martin,Andrews,Borden,Scurry,Menard,Schleicher,Crockett,Irion,Concho,Reagan,Upton,Tom Green,Coleman,Runnels,Coke,Sterling,Glasscock,Midland,Ector,Winkler,Hockley,Cochran,Garza,Lynn,Terry,Yoakum,Dawson,Gaines</t>
  </si>
  <si>
    <t>13040301,13070008,13070011,12090108,12090109,12090110,12050004,12060102,12080002,12080005,12080008,12090101,12090102,12090103,12090104,12090105,12090106,12050001,12080001,12080003,12080004,13070007,12080007,12080006</t>
  </si>
  <si>
    <t>09000009,09000010,09000011,09000012,09000013,09000014,09000015,09000016,09000019,09000021,09000023,09000024,09000046,09000047,09000048,09000049,09000050,09000051,09000052,09000053,09000054,09000055,09000056,09000057,09000058,09000059,09000060,09000061</t>
  </si>
  <si>
    <t>00000050,00000051,00000052,09000068,00000102,00000115,00000116,00000117,09000118,00000124,00000126,00000127,09000131,00000144,00000145,09000147,09000149,09000150,00000151,00000152,00000154,00000168,00000170,00000172,09000173,09000174,00000183,00000184</t>
  </si>
  <si>
    <t>092000039</t>
  </si>
  <si>
    <t>Stormwater Maintenance</t>
  </si>
  <si>
    <t xml:space="preserve">Outreach Program: Encourage maintenance programs on storm water infrastructure, Dams, ditches, and channels.
</t>
  </si>
  <si>
    <t>092000045</t>
  </si>
  <si>
    <t xml:space="preserve">City of Goldsmith Mainace Program </t>
  </si>
  <si>
    <t>Clear debris and street clean up streets in town after severe flood</t>
  </si>
  <si>
    <t>092000048</t>
  </si>
  <si>
    <t>City of Westbrook</t>
  </si>
  <si>
    <t>092000054</t>
  </si>
  <si>
    <t>Runnels County</t>
  </si>
  <si>
    <t>12080008,12090101,12090105</t>
  </si>
  <si>
    <t>1208000803,1208000804,1209010101,1209010102,1209010103,1209010104,1209010105,1209010502,1209010504</t>
  </si>
  <si>
    <t>092000070</t>
  </si>
  <si>
    <t>City of Odessa NFIP Education Program</t>
  </si>
  <si>
    <t xml:space="preserve">Annually distribute flood protection/NFIP pamphlets to owners of flood-prone properties.  Conduct workshops for local lending agencies, insurance agents, surveyors and title companies to promote availability of and understanding of flood insurance. </t>
  </si>
  <si>
    <t>00000151,00000152,00000272,09000288,09002836</t>
  </si>
  <si>
    <t>092000129</t>
  </si>
  <si>
    <t>Upper Colorado Playa Lake Preservation Program</t>
  </si>
  <si>
    <t>Improve the health of playa lakes via collaborative effort between communities in the region.</t>
  </si>
  <si>
    <t>Andrews,Borden,Cochran,Coke,Coleman,Concho,Crockett,Dawson,Ector,Gaines,Garza,Glasscock,Hockley,Howard,Irion,Lynn,Martin,Menard,Midland,Mitchell,Nolan,Reagan,Runnels,Schleicher,Scurry,Sterling,Taylor Terry,Tom Green,Upton,Winkler,Yoakum</t>
  </si>
  <si>
    <t>092000052</t>
  </si>
  <si>
    <t>City of Big Lake Debris Cleaning Program</t>
  </si>
  <si>
    <t>092000132</t>
  </si>
  <si>
    <t>Midland County Panel B Projects</t>
  </si>
  <si>
    <t>Proposed pipe system connecting existing playas, drainage basins, and caliche pits, connecting to a culvert under I-20 through to a constructed ditch</t>
  </si>
  <si>
    <t>1208000504</t>
  </si>
  <si>
    <t>120800050402,120800050403,120800050404</t>
  </si>
  <si>
    <t>092000133</t>
  </si>
  <si>
    <t>Midland County Panel C Projects</t>
  </si>
  <si>
    <t>Proposed easements/channels to carry flow from I-20 to large playa south of Odessa</t>
  </si>
  <si>
    <t>120800050403,120800050404</t>
  </si>
  <si>
    <t>092000134</t>
  </si>
  <si>
    <t>Midland County Panel D Projects</t>
  </si>
  <si>
    <t>Floodway definition, easements, and a constructed channel</t>
  </si>
  <si>
    <t>1208000503,1208000504,1208000505</t>
  </si>
  <si>
    <t>120800050306,120800050307,120800050401,120800050402,120800050403,120800050404,120800050405,120800050501,120800050503,120800050504</t>
  </si>
  <si>
    <t>092000135</t>
  </si>
  <si>
    <t>Midland County Panel E Projects</t>
  </si>
  <si>
    <t>Proposed easements to protect playa to the west of South County Road 1232</t>
  </si>
  <si>
    <t>1208000504,1208000505</t>
  </si>
  <si>
    <t>120800050403,120800050404,120800050405,120800050406,120800050504,120800050505</t>
  </si>
  <si>
    <t>092000136</t>
  </si>
  <si>
    <t>Midland County Panel G Projects</t>
  </si>
  <si>
    <t>Proposed overflow channel for playa North of I20 through caliche pit and second small playa, terminating in a large deep playa west of South County Road 1210 (Midkiff Road). System of ditches to connect three caliche pits to ease flooding on Midkiff Road</t>
  </si>
  <si>
    <t>1208000504,1208000506</t>
  </si>
  <si>
    <t>120800050405,120800050602</t>
  </si>
  <si>
    <t>092000139</t>
  </si>
  <si>
    <t>Midland County Panel F Projects</t>
  </si>
  <si>
    <t>Potential Projects identified in Monahans draw near confluence of Midland Draw.  Proposed solutions to be further developed in Flood Planning Study.</t>
  </si>
  <si>
    <t>1208000504,1208000505,1208000506,</t>
  </si>
  <si>
    <t>120800050405,120800050406,120800050505,120800050506,120800050509,120800050602,1208000500603,120800050604</t>
  </si>
  <si>
    <t>092000137</t>
  </si>
  <si>
    <t>Midland County Panel H Projects</t>
  </si>
  <si>
    <t>Potential projects identified in South Draw from Cotton Flad Road to FM 715.  Proposed solutions to be further developed in Flood Planning Study.</t>
  </si>
  <si>
    <t>120800050405,120800050406,120800050601,120800050602</t>
  </si>
  <si>
    <t>092000138</t>
  </si>
  <si>
    <t>Midland County Panel I Projects</t>
  </si>
  <si>
    <t>Potential projects identified on South Draw near its confluence with Midland Draw. Proposed solutions to be further developed in Flood Planning Study.</t>
  </si>
  <si>
    <t xml:space="preserve">Upper Colorado </t>
  </si>
  <si>
    <t>12080004,12080005</t>
  </si>
  <si>
    <t>1208000410,1208000504,1208000506</t>
  </si>
  <si>
    <t>120800041008,120800050406,120800050601,120800050602,120800050603</t>
  </si>
  <si>
    <t>092000144</t>
  </si>
  <si>
    <t>Upper Colorado Stream Gauge Analysis</t>
  </si>
  <si>
    <t>Expand stream gauge network through out the upper colorado planning region. The placement of 10 additional stream gauges across the region in San Angelo, Big Spring, Snyder, and in Irion County to better monitor the flooding occuring.</t>
  </si>
  <si>
    <t>Howard, Irion, Scurry, Tom Green</t>
  </si>
  <si>
    <t>12080002,12080007,12090102,12090103,12090105</t>
  </si>
  <si>
    <t>1208000206, 1208000701, 1209010202, 1209010205, 1209010310, 1209010501, 1209010502</t>
  </si>
  <si>
    <t>09000009,09000023, 09000013, 09000014, 09000016</t>
  </si>
  <si>
    <t>RFPG Upper Colorado</t>
  </si>
  <si>
    <t>N\A</t>
  </si>
  <si>
    <t>0</t>
  </si>
  <si>
    <t>Prev Score</t>
  </si>
  <si>
    <t>Prev Rank</t>
  </si>
  <si>
    <t>Prev_Rank</t>
  </si>
  <si>
    <t>FMS rankings from the previous project ranking iteration. Only applies to those FMSs that were previously recommended and had non-zero value for NRNC.</t>
  </si>
  <si>
    <t>Sponsor ID</t>
  </si>
  <si>
    <t>SPONSOR NAME</t>
  </si>
  <si>
    <t>Bee, Beeville</t>
  </si>
  <si>
    <t>Duval, Jim Wells</t>
  </si>
  <si>
    <t>Canyon, Randall</t>
  </si>
  <si>
    <t>Amarillo, Randall</t>
  </si>
  <si>
    <t>Bayou Land Conservancy</t>
  </si>
  <si>
    <t>Garza, Lubbock</t>
  </si>
  <si>
    <t>Buffalo Springs, Ransom Canyon</t>
  </si>
  <si>
    <t>No Sponsor Identified</t>
  </si>
  <si>
    <t>Sponsor Name</t>
  </si>
  <si>
    <t>NOTE: The Information in this workbook is representative of the data provided by Regions 1 and 3-15 in their second and third amended 2023 regional flood plans that were due to the TWDB on April 1, 2025.</t>
  </si>
  <si>
    <r>
      <rPr>
        <b/>
        <sz val="11"/>
        <color rgb="FFFF0000"/>
        <rFont val="Calibri"/>
        <family val="2"/>
        <scheme val="minor"/>
      </rPr>
      <t>Important Note</t>
    </r>
    <r>
      <rPr>
        <sz val="11"/>
        <color rgb="FFFF0000"/>
        <rFont val="Calibri"/>
        <family val="2"/>
        <scheme val="minor"/>
      </rPr>
      <t xml:space="preserve">: The Information in this workbook is representative of the data provided by Regions 1 and 3-15 in their second amended 2023 regional flood plans that were due to the TWDB on April 1, 2025 and Region 15 Lower Rio Grande's third amended 2023 regional flood plan. The Board approved the second amendments on March 31, 2026. As of April 20, the third Region 15 amended 2023 regional flood plan has not been approved by the Board. This data is considered the </t>
    </r>
    <r>
      <rPr>
        <u/>
        <sz val="11"/>
        <color rgb="FFFF0000"/>
        <rFont val="Calibri"/>
        <family val="2"/>
        <scheme val="minor"/>
      </rPr>
      <t>working FIUP version</t>
    </r>
    <r>
      <rPr>
        <sz val="11"/>
        <color rgb="FFFF0000"/>
        <rFont val="Calibri"/>
        <family val="2"/>
        <scheme val="minor"/>
      </rPr>
      <t xml:space="preserve"> and has been released for usage in the </t>
    </r>
    <r>
      <rPr>
        <u/>
        <sz val="11"/>
        <color rgb="FFFF0000"/>
        <rFont val="Calibri"/>
        <family val="2"/>
        <scheme val="minor"/>
      </rPr>
      <t>SFY 2026-2027 FIF IUP Cycle</t>
    </r>
    <r>
      <rPr>
        <sz val="11"/>
        <color rgb="FFFF0000"/>
        <rFont val="Calibri"/>
        <family val="2"/>
        <scheme val="minor"/>
      </rPr>
      <t xml:space="preserve">. Only those recommended FMS that include a non-zero value for non-recurring, non-capital costs (NRNC) are ranked.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</si>
</sst>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quot;$&quot;#,##0"/>
    <numFmt numFmtId="167" formatCode="0.0%"/>
    <numFmt numFmtId="168" formatCode="00000000"/>
  </numFmts>
  <fonts count="29" x14ac:knownFonts="1">
    <font>
      <sz val="11"/>
      <color theme="1"/>
      <name val="Calibri"/>
      <family val="2"/>
      <scheme val="minor"/>
    </font>
    <font>
      <sz val="12"/>
      <color theme="1"/>
      <name val="Calibri"/>
      <family val="2"/>
      <scheme val="minor"/>
    </font>
    <font>
      <sz val="10"/>
      <color theme="1"/>
      <name val="Calibri"/>
      <family val="2"/>
      <scheme val="minor"/>
    </font>
    <font>
      <sz val="12"/>
      <name val="Calibri"/>
      <family val="2"/>
      <scheme val="minor"/>
    </font>
    <font>
      <sz val="11"/>
      <color theme="1"/>
      <name val="Calibri"/>
      <family val="2"/>
      <scheme val="minor"/>
    </font>
    <font>
      <b/>
      <sz val="11"/>
      <color theme="1"/>
      <name val="Calibri"/>
      <family val="2"/>
      <scheme val="minor"/>
    </font>
    <font>
      <sz val="8"/>
      <name val="Calibri"/>
      <family val="2"/>
      <scheme val="minor"/>
    </font>
    <font>
      <sz val="10"/>
      <color rgb="FFFF0000"/>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b/>
      <sz val="12"/>
      <name val="Calibri"/>
      <family val="2"/>
    </font>
    <font>
      <b/>
      <sz val="12"/>
      <color theme="1"/>
      <name val="Calibri"/>
      <family val="2"/>
      <scheme val="minor"/>
    </font>
    <font>
      <u/>
      <sz val="11"/>
      <color theme="3" tint="-0.499984740745262"/>
      <name val="Calibri"/>
      <family val="2"/>
      <scheme val="minor"/>
    </font>
    <font>
      <sz val="11"/>
      <color theme="3" tint="-0.499984740745262"/>
      <name val="Calibri"/>
      <family val="2"/>
      <scheme val="minor"/>
    </font>
    <font>
      <b/>
      <sz val="11"/>
      <name val="Calibri"/>
      <family val="2"/>
      <scheme val="minor"/>
    </font>
    <font>
      <u/>
      <sz val="11"/>
      <color theme="10"/>
      <name val="Calibri"/>
      <family val="2"/>
      <scheme val="minor"/>
    </font>
    <font>
      <u/>
      <sz val="11"/>
      <color rgb="FFFF0000"/>
      <name val="Calibri"/>
      <family val="2"/>
      <scheme val="minor"/>
    </font>
    <font>
      <sz val="12"/>
      <color rgb="FFFF0000"/>
      <name val="Calibri"/>
      <family val="2"/>
      <scheme val="minor"/>
    </font>
    <font>
      <b/>
      <sz val="12"/>
      <color rgb="FFFF0000"/>
      <name val="Calibri"/>
      <family val="2"/>
      <scheme val="minor"/>
    </font>
    <font>
      <sz val="11"/>
      <color rgb="FF006100"/>
      <name val="Calibri"/>
      <family val="2"/>
      <scheme val="minor"/>
    </font>
    <font>
      <sz val="11"/>
      <color rgb="FF9C0006"/>
      <name val="Calibri"/>
      <family val="2"/>
      <scheme val="minor"/>
    </font>
    <font>
      <b/>
      <sz val="12"/>
      <name val="Calibri"/>
      <family val="2"/>
      <scheme val="minor"/>
    </font>
    <font>
      <b/>
      <u/>
      <sz val="12"/>
      <color rgb="FF0070C0"/>
      <name val="Calibri"/>
      <family val="2"/>
      <scheme val="minor"/>
    </font>
    <font>
      <b/>
      <sz val="11"/>
      <color theme="0"/>
      <name val="Calibri"/>
      <family val="2"/>
    </font>
    <font>
      <sz val="10"/>
      <color theme="0"/>
      <name val="Calibri"/>
      <family val="2"/>
      <scheme val="minor"/>
    </font>
    <font>
      <sz val="11"/>
      <color rgb="FF000000"/>
      <name val="Calibri"/>
      <family val="2"/>
      <scheme val="minor"/>
    </font>
    <font>
      <b/>
      <sz val="16"/>
      <color theme="1"/>
      <name val="Calibri"/>
      <family val="2"/>
      <scheme val="minor"/>
    </font>
    <font>
      <b/>
      <sz val="11"/>
      <name val="Calibri"/>
    </font>
  </fonts>
  <fills count="22">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rgb="FFF4B084"/>
        <bgColor indexed="64"/>
      </patternFill>
    </fill>
    <fill>
      <patternFill patternType="solid">
        <fgColor rgb="FFE6E6E6"/>
        <bgColor rgb="FFE6E6E6"/>
      </patternFill>
    </fill>
    <fill>
      <patternFill patternType="solid">
        <fgColor theme="0" tint="-0.14999847407452621"/>
        <bgColor indexed="64"/>
      </patternFill>
    </fill>
    <fill>
      <patternFill patternType="solid">
        <fgColor rgb="FFBDD7EE"/>
        <bgColor indexed="64"/>
      </patternFill>
    </fill>
    <fill>
      <patternFill patternType="solid">
        <fgColor rgb="FFD9ACA7"/>
        <bgColor indexed="64"/>
      </patternFill>
    </fill>
    <fill>
      <patternFill patternType="solid">
        <fgColor theme="0" tint="-0.14999847407452621"/>
        <bgColor theme="0" tint="-0.14999847407452621"/>
      </patternFill>
    </fill>
    <fill>
      <patternFill patternType="solid">
        <fgColor rgb="FFC6EFCE"/>
      </patternFill>
    </fill>
    <fill>
      <patternFill patternType="solid">
        <fgColor rgb="FFFFC7CE"/>
      </patternFill>
    </fill>
    <fill>
      <patternFill patternType="solid">
        <fgColor rgb="FFCCFFFF"/>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E699"/>
        <bgColor indexed="64"/>
      </patternFill>
    </fill>
    <fill>
      <patternFill patternType="solid">
        <fgColor theme="4" tint="0.59999389629810485"/>
        <bgColor theme="4" tint="0.59999389629810485"/>
      </patternFill>
    </fill>
    <fill>
      <patternFill patternType="solid">
        <fgColor rgb="FFFFFF00"/>
        <bgColor rgb="FFFFF2CC"/>
      </patternFill>
    </fill>
  </fills>
  <borders count="90">
    <border>
      <left/>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auto="1"/>
      </right>
      <top style="thin">
        <color auto="1"/>
      </top>
      <bottom style="medium">
        <color indexed="64"/>
      </bottom>
      <diagonal/>
    </border>
    <border>
      <left style="medium">
        <color indexed="64"/>
      </left>
      <right style="medium">
        <color auto="1"/>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bottom style="medium">
        <color rgb="FF000000"/>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1"/>
      </left>
      <right style="thin">
        <color theme="1"/>
      </right>
      <top style="thin">
        <color theme="1"/>
      </top>
      <bottom style="thin">
        <color theme="1"/>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auto="1"/>
      </top>
      <bottom style="medium">
        <color indexed="64"/>
      </bottom>
      <diagonal/>
    </border>
    <border>
      <left/>
      <right style="thin">
        <color indexed="64"/>
      </right>
      <top style="thin">
        <color indexed="64"/>
      </top>
      <bottom style="medium">
        <color indexed="64"/>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bottom style="thin">
        <color theme="0" tint="-0.34998626667073579"/>
      </bottom>
      <diagonal/>
    </border>
    <border>
      <left style="thin">
        <color indexed="64"/>
      </left>
      <right style="thin">
        <color indexed="64"/>
      </right>
      <top/>
      <bottom style="thin">
        <color theme="0" tint="-0.34998626667073579"/>
      </bottom>
      <diagonal/>
    </border>
    <border>
      <left/>
      <right style="thin">
        <color indexed="64"/>
      </right>
      <top/>
      <bottom style="thin">
        <color theme="0" tint="-0.34998626667073579"/>
      </bottom>
      <diagonal/>
    </border>
    <border>
      <left/>
      <right/>
      <top/>
      <bottom style="thin">
        <color theme="0" tint="-0.34998626667073579"/>
      </bottom>
      <diagonal/>
    </border>
    <border>
      <left/>
      <right style="medium">
        <color indexed="64"/>
      </right>
      <top/>
      <bottom style="thin">
        <color theme="0" tint="-0.34998626667073579"/>
      </bottom>
      <diagonal/>
    </border>
    <border>
      <left style="medium">
        <color indexed="64"/>
      </left>
      <right/>
      <top/>
      <bottom style="thin">
        <color theme="0" tint="-0.34998626667073579"/>
      </bottom>
      <diagonal/>
    </border>
    <border>
      <left style="medium">
        <color indexed="64"/>
      </left>
      <right style="thin">
        <color indexed="64"/>
      </right>
      <top/>
      <bottom style="thin">
        <color theme="0" tint="-0.34998626667073579"/>
      </bottom>
      <diagonal/>
    </border>
    <border>
      <left style="medium">
        <color indexed="64"/>
      </left>
      <right style="medium">
        <color indexed="64"/>
      </right>
      <top/>
      <bottom style="thin">
        <color theme="0" tint="-0.34998626667073579"/>
      </bottom>
      <diagonal/>
    </border>
    <border>
      <left/>
      <right/>
      <top style="medium">
        <color indexed="64"/>
      </top>
      <bottom style="thin">
        <color indexed="64"/>
      </bottom>
      <diagonal/>
    </border>
    <border>
      <left style="medium">
        <color indexed="64"/>
      </left>
      <right style="thin">
        <color indexed="64"/>
      </right>
      <top style="thin">
        <color indexed="64"/>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theme="4" tint="0.39997558519241921"/>
      </left>
      <right/>
      <top style="thin">
        <color theme="4" tint="0.39997558519241921"/>
      </top>
      <bottom style="thin">
        <color theme="4" tint="0.39997558519241921"/>
      </bottom>
      <diagonal/>
    </border>
    <border>
      <left/>
      <right/>
      <top style="medium">
        <color rgb="FF00000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7">
    <xf numFmtId="0" fontId="0" fillId="0" borderId="0"/>
    <xf numFmtId="9" fontId="4" fillId="0" borderId="0" applyFont="0" applyFill="0" applyBorder="0" applyAlignment="0" applyProtection="0"/>
    <xf numFmtId="0" fontId="11" fillId="7" borderId="39">
      <alignment horizontal="left"/>
    </xf>
    <xf numFmtId="0" fontId="16" fillId="0" borderId="0" applyNumberFormat="0" applyFill="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6" fillId="0" borderId="0"/>
  </cellStyleXfs>
  <cellXfs count="442">
    <xf numFmtId="0" fontId="0" fillId="0" borderId="0" xfId="0"/>
    <xf numFmtId="0" fontId="1" fillId="0" borderId="0" xfId="0" applyFont="1"/>
    <xf numFmtId="0" fontId="2" fillId="0" borderId="0" xfId="0" applyFont="1"/>
    <xf numFmtId="0" fontId="2" fillId="0" borderId="0" xfId="0" applyFont="1" applyAlignment="1">
      <alignment wrapText="1"/>
    </xf>
    <xf numFmtId="1" fontId="0" fillId="0" borderId="0" xfId="0" applyNumberFormat="1"/>
    <xf numFmtId="0" fontId="0" fillId="2" borderId="0" xfId="0" applyFill="1" applyAlignment="1">
      <alignment horizontal="center"/>
    </xf>
    <xf numFmtId="0" fontId="0" fillId="2" borderId="0" xfId="0" applyFill="1"/>
    <xf numFmtId="0" fontId="5" fillId="0" borderId="16" xfId="0" applyFont="1" applyBorder="1" applyAlignment="1">
      <alignment horizontal="center" vertical="center" wrapText="1"/>
    </xf>
    <xf numFmtId="0" fontId="0" fillId="0" borderId="0" xfId="0" applyAlignment="1">
      <alignment horizontal="center" vertical="top" wrapText="1"/>
    </xf>
    <xf numFmtId="0" fontId="5" fillId="0" borderId="0" xfId="0" applyFont="1"/>
    <xf numFmtId="0" fontId="7" fillId="0" borderId="0" xfId="0" applyFont="1" applyAlignment="1">
      <alignment wrapText="1"/>
    </xf>
    <xf numFmtId="0" fontId="0" fillId="0" borderId="0" xfId="0" applyAlignment="1">
      <alignment textRotation="90"/>
    </xf>
    <xf numFmtId="0" fontId="8" fillId="2" borderId="0" xfId="0" applyFont="1" applyFill="1"/>
    <xf numFmtId="0" fontId="0" fillId="0" borderId="0" xfId="0" applyAlignment="1">
      <alignment horizontal="center"/>
    </xf>
    <xf numFmtId="0" fontId="0" fillId="2" borderId="0" xfId="0" applyFill="1" applyAlignment="1">
      <alignment horizontal="left" indent="6"/>
    </xf>
    <xf numFmtId="0" fontId="0" fillId="0" borderId="0" xfId="0" applyAlignment="1">
      <alignment horizontal="center" vertical="center"/>
    </xf>
    <xf numFmtId="1" fontId="0" fillId="0" borderId="0" xfId="0" applyNumberFormat="1" applyAlignment="1">
      <alignment horizontal="right"/>
    </xf>
    <xf numFmtId="0" fontId="12" fillId="0" borderId="0" xfId="0" applyFont="1" applyAlignment="1">
      <alignment vertical="top"/>
    </xf>
    <xf numFmtId="0" fontId="5"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vertical="top" wrapText="1"/>
    </xf>
    <xf numFmtId="0" fontId="13" fillId="0" borderId="0" xfId="0" applyFont="1" applyAlignment="1">
      <alignment horizontal="right" vertical="top" wrapText="1"/>
    </xf>
    <xf numFmtId="0" fontId="14" fillId="0" borderId="0" xfId="0" applyFont="1" applyAlignment="1">
      <alignment horizontal="left" vertical="top" wrapText="1"/>
    </xf>
    <xf numFmtId="0" fontId="0" fillId="0" borderId="44" xfId="0" applyBorder="1" applyAlignment="1">
      <alignment horizontal="center" vertical="center"/>
    </xf>
    <xf numFmtId="3" fontId="0" fillId="0" borderId="12" xfId="0" applyNumberFormat="1" applyBorder="1" applyAlignment="1">
      <alignment horizontal="center" vertical="center"/>
    </xf>
    <xf numFmtId="164" fontId="0" fillId="0" borderId="9" xfId="0" applyNumberFormat="1" applyBorder="1" applyAlignment="1">
      <alignment horizontal="center" vertical="center"/>
    </xf>
    <xf numFmtId="0" fontId="5" fillId="2" borderId="9" xfId="1" applyNumberFormat="1" applyFont="1" applyFill="1" applyBorder="1" applyAlignment="1">
      <alignment horizontal="center" vertical="center" wrapText="1"/>
    </xf>
    <xf numFmtId="164" fontId="0" fillId="0" borderId="12" xfId="0" applyNumberFormat="1" applyBorder="1" applyAlignment="1">
      <alignment horizontal="center" vertical="center"/>
    </xf>
    <xf numFmtId="0" fontId="1" fillId="0" borderId="6" xfId="0" applyFont="1" applyBorder="1" applyAlignment="1" applyProtection="1">
      <alignment horizontal="center"/>
      <protection locked="0"/>
    </xf>
    <xf numFmtId="0" fontId="1" fillId="0" borderId="30" xfId="0" applyFont="1" applyBorder="1" applyAlignment="1" applyProtection="1">
      <alignment horizontal="center"/>
      <protection locked="0"/>
    </xf>
    <xf numFmtId="0" fontId="1" fillId="5" borderId="14" xfId="0" applyFont="1" applyFill="1" applyBorder="1" applyAlignment="1">
      <alignment horizontal="center"/>
    </xf>
    <xf numFmtId="0" fontId="1" fillId="0" borderId="18" xfId="0" applyFont="1" applyBorder="1" applyAlignment="1" applyProtection="1">
      <alignment horizontal="center"/>
      <protection locked="0"/>
    </xf>
    <xf numFmtId="0" fontId="1" fillId="0" borderId="44" xfId="0" applyFont="1" applyBorder="1" applyAlignment="1">
      <alignment horizontal="center"/>
    </xf>
    <xf numFmtId="0" fontId="1" fillId="0" borderId="12" xfId="0" applyFont="1" applyBorder="1" applyAlignment="1">
      <alignment horizontal="center"/>
    </xf>
    <xf numFmtId="0" fontId="1" fillId="0" borderId="42" xfId="0" applyFont="1" applyBorder="1" applyAlignment="1">
      <alignment horizontal="center"/>
    </xf>
    <xf numFmtId="9" fontId="0" fillId="0" borderId="42" xfId="1" applyFont="1" applyFill="1" applyBorder="1" applyAlignment="1">
      <alignment horizontal="center" vertical="center"/>
    </xf>
    <xf numFmtId="9" fontId="0" fillId="0" borderId="10" xfId="1" applyFont="1" applyFill="1" applyBorder="1" applyAlignment="1">
      <alignment horizontal="center" vertical="center"/>
    </xf>
    <xf numFmtId="9" fontId="0" fillId="0" borderId="12" xfId="1" applyFont="1" applyFill="1" applyBorder="1" applyAlignment="1">
      <alignment horizontal="center" vertical="center"/>
    </xf>
    <xf numFmtId="9" fontId="0" fillId="0" borderId="9" xfId="1" applyFont="1" applyFill="1" applyBorder="1" applyAlignment="1">
      <alignment horizontal="center" vertical="center"/>
    </xf>
    <xf numFmtId="0" fontId="15" fillId="2" borderId="14"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0" fillId="0" borderId="0" xfId="0" applyAlignment="1">
      <alignment horizontal="center" wrapText="1"/>
    </xf>
    <xf numFmtId="3" fontId="0" fillId="0" borderId="9" xfId="0" applyNumberFormat="1" applyBorder="1" applyAlignment="1">
      <alignment horizontal="center" vertical="center"/>
    </xf>
    <xf numFmtId="0" fontId="0" fillId="6" borderId="44" xfId="0" applyFill="1" applyBorder="1" applyAlignment="1">
      <alignment horizontal="center" vertical="center"/>
    </xf>
    <xf numFmtId="4" fontId="0" fillId="0" borderId="9" xfId="0" applyNumberFormat="1" applyBorder="1" applyAlignment="1">
      <alignment horizontal="center" vertical="center"/>
    </xf>
    <xf numFmtId="167" fontId="1" fillId="0" borderId="2" xfId="1" applyNumberFormat="1" applyFont="1" applyBorder="1" applyAlignment="1" applyProtection="1">
      <alignment horizontal="center"/>
    </xf>
    <xf numFmtId="167" fontId="1" fillId="0" borderId="3" xfId="1" applyNumberFormat="1" applyFont="1" applyBorder="1" applyAlignment="1" applyProtection="1">
      <alignment horizontal="center"/>
    </xf>
    <xf numFmtId="167" fontId="1" fillId="5" borderId="3" xfId="0" applyNumberFormat="1" applyFont="1" applyFill="1" applyBorder="1" applyAlignment="1">
      <alignment horizontal="center"/>
    </xf>
    <xf numFmtId="0" fontId="0" fillId="0" borderId="0" xfId="0" applyAlignment="1">
      <alignment vertical="center"/>
    </xf>
    <xf numFmtId="0" fontId="0" fillId="11" borderId="59" xfId="0" applyFill="1" applyBorder="1"/>
    <xf numFmtId="0" fontId="0" fillId="0" borderId="59" xfId="0" applyBorder="1"/>
    <xf numFmtId="0" fontId="12" fillId="0" borderId="0" xfId="0" applyFont="1"/>
    <xf numFmtId="0" fontId="0" fillId="0" borderId="0" xfId="0" applyAlignment="1" applyProtection="1">
      <alignment horizontal="center"/>
      <protection locked="0"/>
    </xf>
    <xf numFmtId="0" fontId="8" fillId="2" borderId="0" xfId="0" applyFont="1" applyFill="1" applyAlignment="1">
      <alignment horizontal="center"/>
    </xf>
    <xf numFmtId="0" fontId="8" fillId="2" borderId="0" xfId="0" quotePrefix="1" applyFont="1" applyFill="1" applyAlignment="1" applyProtection="1">
      <alignment horizontal="center"/>
      <protection locked="0"/>
    </xf>
    <xf numFmtId="0" fontId="8" fillId="2" borderId="0" xfId="0" applyFont="1" applyFill="1" applyAlignment="1" applyProtection="1">
      <alignment horizontal="center"/>
      <protection locked="0"/>
    </xf>
    <xf numFmtId="0" fontId="5" fillId="0" borderId="56" xfId="0" applyFont="1" applyBorder="1"/>
    <xf numFmtId="0" fontId="5" fillId="0" borderId="57" xfId="0" applyFont="1" applyBorder="1"/>
    <xf numFmtId="0" fontId="5" fillId="0" borderId="58" xfId="0" applyFont="1" applyBorder="1"/>
    <xf numFmtId="0" fontId="8" fillId="0" borderId="0" xfId="0" applyFont="1"/>
    <xf numFmtId="0" fontId="5" fillId="2" borderId="46" xfId="0" applyFont="1" applyFill="1" applyBorder="1" applyAlignment="1">
      <alignment vertical="center" textRotation="90" wrapText="1"/>
    </xf>
    <xf numFmtId="0" fontId="12" fillId="0" borderId="28" xfId="0" applyFont="1" applyBorder="1" applyAlignment="1">
      <alignment horizontal="center" vertical="top" wrapText="1"/>
    </xf>
    <xf numFmtId="0" fontId="12" fillId="0" borderId="16" xfId="0" applyFont="1" applyBorder="1" applyAlignment="1">
      <alignment horizontal="center" vertical="center" wrapText="1"/>
    </xf>
    <xf numFmtId="0" fontId="12" fillId="0" borderId="24" xfId="0" applyFont="1" applyBorder="1" applyAlignment="1">
      <alignment horizontal="center" vertical="center" wrapText="1"/>
    </xf>
    <xf numFmtId="0" fontId="1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12" fillId="14" borderId="15" xfId="0" applyFont="1" applyFill="1" applyBorder="1" applyAlignment="1" applyProtection="1">
      <alignment horizontal="center" vertical="center" wrapText="1"/>
      <protection locked="0"/>
    </xf>
    <xf numFmtId="0" fontId="12" fillId="14" borderId="16" xfId="0" applyFont="1" applyFill="1" applyBorder="1" applyAlignment="1" applyProtection="1">
      <alignment horizontal="center" vertical="center" wrapText="1"/>
      <protection locked="0"/>
    </xf>
    <xf numFmtId="0" fontId="22" fillId="14" borderId="1" xfId="0" applyFont="1" applyFill="1" applyBorder="1" applyAlignment="1">
      <alignment horizontal="center" vertical="center" wrapText="1"/>
    </xf>
    <xf numFmtId="0" fontId="12" fillId="10" borderId="15" xfId="0" applyFont="1" applyFill="1" applyBorder="1" applyAlignment="1">
      <alignment horizontal="center" vertical="center" wrapText="1"/>
    </xf>
    <xf numFmtId="0" fontId="12" fillId="10" borderId="16" xfId="0" applyFont="1" applyFill="1" applyBorder="1" applyAlignment="1">
      <alignment horizontal="center" vertical="center" wrapText="1"/>
    </xf>
    <xf numFmtId="0" fontId="22" fillId="10" borderId="1" xfId="0" applyFont="1" applyFill="1" applyBorder="1" applyAlignment="1">
      <alignment horizontal="center" vertical="center" wrapText="1"/>
    </xf>
    <xf numFmtId="0" fontId="12" fillId="0" borderId="46" xfId="0" applyFont="1" applyBorder="1" applyAlignment="1">
      <alignment horizontal="center" vertical="center" wrapText="1"/>
    </xf>
    <xf numFmtId="0" fontId="5" fillId="0" borderId="15" xfId="0" applyFont="1" applyBorder="1" applyAlignment="1">
      <alignment horizontal="center" vertical="center" wrapText="1"/>
    </xf>
    <xf numFmtId="0" fontId="16" fillId="0" borderId="1" xfId="3" applyFill="1" applyBorder="1" applyAlignment="1" applyProtection="1">
      <alignment horizontal="center" vertical="center" wrapText="1"/>
    </xf>
    <xf numFmtId="0" fontId="1" fillId="0" borderId="61" xfId="0" applyFont="1" applyBorder="1" applyAlignment="1">
      <alignment horizontal="center" vertical="center"/>
    </xf>
    <xf numFmtId="9" fontId="12" fillId="0" borderId="34" xfId="1" applyFont="1" applyFill="1" applyBorder="1" applyAlignment="1" applyProtection="1">
      <alignment vertical="center"/>
    </xf>
    <xf numFmtId="167" fontId="12" fillId="0" borderId="34" xfId="1" applyNumberFormat="1" applyFont="1" applyFill="1" applyBorder="1" applyAlignment="1" applyProtection="1">
      <alignment horizontal="center" vertical="center"/>
    </xf>
    <xf numFmtId="9" fontId="1" fillId="0" borderId="34" xfId="1" applyFont="1" applyBorder="1" applyAlignment="1" applyProtection="1">
      <alignment horizontal="center" vertical="center"/>
    </xf>
    <xf numFmtId="164" fontId="5" fillId="3" borderId="15" xfId="0" applyNumberFormat="1" applyFont="1" applyFill="1" applyBorder="1"/>
    <xf numFmtId="164" fontId="5" fillId="3" borderId="16" xfId="0" applyNumberFormat="1" applyFont="1" applyFill="1" applyBorder="1"/>
    <xf numFmtId="164" fontId="5" fillId="3" borderId="1" xfId="0" applyNumberFormat="1" applyFont="1" applyFill="1" applyBorder="1"/>
    <xf numFmtId="0" fontId="1" fillId="5" borderId="6" xfId="0" applyFont="1" applyFill="1" applyBorder="1" applyAlignment="1">
      <alignment horizontal="center" vertical="top"/>
    </xf>
    <xf numFmtId="167" fontId="1" fillId="5" borderId="3" xfId="0" applyNumberFormat="1" applyFont="1" applyFill="1" applyBorder="1" applyAlignment="1">
      <alignment horizontal="center" vertical="top"/>
    </xf>
    <xf numFmtId="167" fontId="1" fillId="0" borderId="3" xfId="1" applyNumberFormat="1" applyFont="1" applyBorder="1" applyAlignment="1">
      <alignment horizontal="center"/>
    </xf>
    <xf numFmtId="167" fontId="0" fillId="0" borderId="0" xfId="0" applyNumberFormat="1"/>
    <xf numFmtId="0" fontId="1" fillId="5" borderId="6" xfId="0" applyFont="1" applyFill="1" applyBorder="1" applyAlignment="1">
      <alignment horizontal="center" vertical="center"/>
    </xf>
    <xf numFmtId="167" fontId="1" fillId="5" borderId="3" xfId="0" applyNumberFormat="1" applyFont="1" applyFill="1" applyBorder="1" applyAlignment="1">
      <alignment horizontal="center" vertical="center"/>
    </xf>
    <xf numFmtId="0" fontId="1" fillId="0" borderId="53" xfId="0" applyFont="1" applyBorder="1" applyAlignment="1">
      <alignment horizontal="center" vertical="top"/>
    </xf>
    <xf numFmtId="0" fontId="1" fillId="2" borderId="3" xfId="0" applyFont="1" applyFill="1" applyBorder="1" applyAlignment="1">
      <alignment vertical="top" wrapText="1"/>
    </xf>
    <xf numFmtId="0" fontId="3" fillId="2" borderId="3" xfId="0" applyFont="1" applyFill="1" applyBorder="1" applyAlignment="1">
      <alignment vertical="top"/>
    </xf>
    <xf numFmtId="0" fontId="3" fillId="2" borderId="4" xfId="0" applyFont="1" applyFill="1" applyBorder="1"/>
    <xf numFmtId="167" fontId="12" fillId="0" borderId="14" xfId="1" applyNumberFormat="1" applyFont="1" applyFill="1" applyBorder="1" applyAlignment="1" applyProtection="1">
      <alignment horizontal="center" vertical="top"/>
    </xf>
    <xf numFmtId="9" fontId="1" fillId="0" borderId="14" xfId="1" applyFont="1" applyBorder="1" applyAlignment="1" applyProtection="1">
      <alignment horizontal="center" vertical="top"/>
    </xf>
    <xf numFmtId="0" fontId="1" fillId="5" borderId="14" xfId="0" applyFont="1" applyFill="1" applyBorder="1" applyAlignment="1">
      <alignment horizontal="center" vertical="top"/>
    </xf>
    <xf numFmtId="0" fontId="1" fillId="0" borderId="7" xfId="0" applyFont="1" applyBorder="1" applyAlignment="1">
      <alignment horizontal="center" vertical="top"/>
    </xf>
    <xf numFmtId="0" fontId="1" fillId="2" borderId="11" xfId="0" applyFont="1" applyFill="1" applyBorder="1" applyAlignment="1">
      <alignment vertical="top" wrapText="1"/>
    </xf>
    <xf numFmtId="0" fontId="3" fillId="2" borderId="11" xfId="0" applyFont="1" applyFill="1" applyBorder="1" applyAlignment="1">
      <alignment vertical="top"/>
    </xf>
    <xf numFmtId="0" fontId="1" fillId="0" borderId="49" xfId="0" applyFont="1" applyBorder="1"/>
    <xf numFmtId="0" fontId="1" fillId="5" borderId="43" xfId="0" applyFont="1" applyFill="1" applyBorder="1" applyAlignment="1">
      <alignment horizontal="center" vertical="top"/>
    </xf>
    <xf numFmtId="167" fontId="1" fillId="5" borderId="11" xfId="0" applyNumberFormat="1" applyFont="1" applyFill="1" applyBorder="1" applyAlignment="1">
      <alignment horizontal="center" vertical="top"/>
    </xf>
    <xf numFmtId="0" fontId="1" fillId="5" borderId="41" xfId="0" applyFont="1" applyFill="1" applyBorder="1"/>
    <xf numFmtId="9" fontId="12" fillId="0" borderId="41" xfId="1" applyFont="1" applyFill="1" applyBorder="1" applyAlignment="1" applyProtection="1">
      <alignment horizontal="center" vertical="top"/>
    </xf>
    <xf numFmtId="9" fontId="1" fillId="0" borderId="41" xfId="1" applyFont="1" applyBorder="1" applyAlignment="1" applyProtection="1">
      <alignment horizontal="center" vertical="top"/>
    </xf>
    <xf numFmtId="0" fontId="1" fillId="0" borderId="30" xfId="0" applyFont="1" applyBorder="1" applyAlignment="1">
      <alignment horizontal="center" vertical="top"/>
    </xf>
    <xf numFmtId="0" fontId="3" fillId="2" borderId="22" xfId="0" applyFont="1" applyFill="1" applyBorder="1" applyAlignment="1">
      <alignment vertical="top"/>
    </xf>
    <xf numFmtId="0" fontId="1" fillId="0" borderId="38" xfId="0" applyFont="1" applyBorder="1"/>
    <xf numFmtId="0" fontId="1" fillId="5" borderId="14" xfId="0" applyFont="1" applyFill="1" applyBorder="1"/>
    <xf numFmtId="9" fontId="1" fillId="0" borderId="38" xfId="1" applyFont="1" applyBorder="1" applyAlignment="1" applyProtection="1">
      <alignment horizontal="center" vertical="top"/>
    </xf>
    <xf numFmtId="0" fontId="1" fillId="0" borderId="5" xfId="0" applyFont="1" applyBorder="1" applyAlignment="1">
      <alignment vertical="center"/>
    </xf>
    <xf numFmtId="0" fontId="12" fillId="0" borderId="5" xfId="0" applyFont="1" applyBorder="1" applyAlignment="1">
      <alignment vertical="center"/>
    </xf>
    <xf numFmtId="0" fontId="1" fillId="0" borderId="5" xfId="0" applyFont="1" applyBorder="1"/>
    <xf numFmtId="0" fontId="0" fillId="0" borderId="46" xfId="0" applyBorder="1" applyAlignment="1">
      <alignment vertical="center"/>
    </xf>
    <xf numFmtId="0" fontId="0" fillId="0" borderId="0" xfId="0" applyAlignment="1">
      <alignment vertical="top" textRotation="90"/>
    </xf>
    <xf numFmtId="0" fontId="1" fillId="0" borderId="0" xfId="0" applyFont="1" applyAlignment="1">
      <alignment vertical="top" textRotation="90"/>
    </xf>
    <xf numFmtId="0" fontId="1" fillId="0" borderId="0" xfId="0" applyFont="1" applyAlignment="1" applyProtection="1">
      <alignment vertical="top" textRotation="90"/>
      <protection locked="0"/>
    </xf>
    <xf numFmtId="0" fontId="1" fillId="0" borderId="44" xfId="0" applyFont="1" applyBorder="1" applyAlignment="1">
      <alignment horizontal="center" vertical="top"/>
    </xf>
    <xf numFmtId="0" fontId="1" fillId="0" borderId="61" xfId="0" applyFont="1" applyBorder="1" applyAlignment="1">
      <alignment vertical="top" wrapText="1"/>
    </xf>
    <xf numFmtId="0" fontId="1" fillId="0" borderId="19" xfId="0" applyFont="1" applyBorder="1" applyAlignment="1">
      <alignment vertical="top"/>
    </xf>
    <xf numFmtId="0" fontId="1" fillId="0" borderId="23" xfId="0" applyFont="1" applyBorder="1" applyAlignment="1">
      <alignment wrapText="1"/>
    </xf>
    <xf numFmtId="0" fontId="1" fillId="5" borderId="18" xfId="0" applyFont="1" applyFill="1" applyBorder="1" applyAlignment="1">
      <alignment horizontal="center" vertical="top"/>
    </xf>
    <xf numFmtId="0" fontId="1" fillId="5" borderId="19" xfId="0" applyFont="1" applyFill="1" applyBorder="1" applyAlignment="1">
      <alignment horizontal="center" vertical="top"/>
    </xf>
    <xf numFmtId="0" fontId="1" fillId="5" borderId="20" xfId="0" applyFont="1" applyFill="1" applyBorder="1"/>
    <xf numFmtId="167" fontId="12" fillId="0" borderId="20" xfId="1" applyNumberFormat="1" applyFont="1" applyFill="1" applyBorder="1" applyAlignment="1" applyProtection="1">
      <alignment horizontal="center" vertical="top"/>
    </xf>
    <xf numFmtId="0" fontId="1" fillId="5" borderId="20" xfId="0" applyFont="1" applyFill="1" applyBorder="1" applyAlignment="1">
      <alignment horizontal="center" vertical="top"/>
    </xf>
    <xf numFmtId="0" fontId="1" fillId="0" borderId="12" xfId="0" applyFont="1" applyBorder="1" applyAlignment="1">
      <alignment horizontal="center" vertical="top"/>
    </xf>
    <xf numFmtId="0" fontId="1" fillId="0" borderId="53" xfId="0" applyFont="1" applyBorder="1" applyAlignment="1">
      <alignment vertical="top" wrapText="1"/>
    </xf>
    <xf numFmtId="0" fontId="1" fillId="0" borderId="3" xfId="0" applyFont="1" applyBorder="1" applyAlignment="1">
      <alignment vertical="top"/>
    </xf>
    <xf numFmtId="0" fontId="1" fillId="0" borderId="4" xfId="0" applyFont="1" applyBorder="1" applyAlignment="1">
      <alignment wrapText="1"/>
    </xf>
    <xf numFmtId="0" fontId="1" fillId="5" borderId="3" xfId="0" applyFont="1" applyFill="1" applyBorder="1" applyAlignment="1">
      <alignment horizontal="center" vertical="top"/>
    </xf>
    <xf numFmtId="0" fontId="1" fillId="0" borderId="3" xfId="0" applyFont="1" applyBorder="1" applyAlignment="1">
      <alignment vertical="top" wrapText="1"/>
    </xf>
    <xf numFmtId="0" fontId="1" fillId="2" borderId="4" xfId="0" applyFont="1" applyFill="1" applyBorder="1"/>
    <xf numFmtId="0" fontId="1" fillId="2" borderId="3" xfId="0" applyFont="1" applyFill="1" applyBorder="1" applyAlignment="1">
      <alignment vertical="top"/>
    </xf>
    <xf numFmtId="9" fontId="1" fillId="5" borderId="14" xfId="0" applyNumberFormat="1" applyFont="1" applyFill="1" applyBorder="1"/>
    <xf numFmtId="0" fontId="1" fillId="0" borderId="4" xfId="0" applyFont="1" applyBorder="1"/>
    <xf numFmtId="0" fontId="1" fillId="0" borderId="47" xfId="0" applyFont="1" applyBorder="1" applyAlignment="1">
      <alignment horizontal="center" vertical="top"/>
    </xf>
    <xf numFmtId="0" fontId="1" fillId="0" borderId="63" xfId="0" applyFont="1" applyBorder="1" applyAlignment="1">
      <alignment vertical="top" wrapText="1"/>
    </xf>
    <xf numFmtId="0" fontId="1" fillId="2" borderId="22" xfId="0" applyFont="1" applyFill="1" applyBorder="1" applyAlignment="1">
      <alignment vertical="top"/>
    </xf>
    <xf numFmtId="0" fontId="1" fillId="5" borderId="30" xfId="0" applyFont="1" applyFill="1" applyBorder="1" applyAlignment="1">
      <alignment horizontal="center" vertical="top"/>
    </xf>
    <xf numFmtId="9" fontId="1" fillId="5" borderId="22" xfId="0" applyNumberFormat="1" applyFont="1" applyFill="1" applyBorder="1" applyAlignment="1">
      <alignment horizontal="center" vertical="top"/>
    </xf>
    <xf numFmtId="9" fontId="1" fillId="5" borderId="27" xfId="0" applyNumberFormat="1" applyFont="1" applyFill="1" applyBorder="1" applyAlignment="1">
      <alignment horizontal="center" vertical="top"/>
    </xf>
    <xf numFmtId="167" fontId="12" fillId="0" borderId="27" xfId="1" applyNumberFormat="1" applyFont="1" applyFill="1" applyBorder="1" applyAlignment="1" applyProtection="1">
      <alignment horizontal="center" vertical="top"/>
    </xf>
    <xf numFmtId="0" fontId="1" fillId="5" borderId="22" xfId="0" applyFont="1" applyFill="1" applyBorder="1" applyAlignment="1">
      <alignment horizontal="center" vertical="top"/>
    </xf>
    <xf numFmtId="0" fontId="1" fillId="5" borderId="27" xfId="0" applyFont="1" applyFill="1" applyBorder="1" applyAlignment="1">
      <alignment horizontal="center" vertical="top"/>
    </xf>
    <xf numFmtId="0" fontId="1" fillId="0" borderId="21" xfId="0" applyFont="1" applyBorder="1" applyAlignment="1">
      <alignment vertical="center"/>
    </xf>
    <xf numFmtId="0" fontId="0" fillId="0" borderId="13" xfId="0" applyBorder="1"/>
    <xf numFmtId="0" fontId="0" fillId="0" borderId="21" xfId="0" applyBorder="1" applyAlignment="1">
      <alignment vertical="center" textRotation="90"/>
    </xf>
    <xf numFmtId="0" fontId="0" fillId="0" borderId="31" xfId="0" applyBorder="1"/>
    <xf numFmtId="0" fontId="22" fillId="0" borderId="0" xfId="0" applyFont="1"/>
    <xf numFmtId="0" fontId="1" fillId="0" borderId="0" xfId="0" applyFont="1" applyAlignment="1">
      <alignment horizontal="center"/>
    </xf>
    <xf numFmtId="0" fontId="1" fillId="0" borderId="0" xfId="0" applyFont="1" applyAlignment="1" applyProtection="1">
      <alignment horizontal="center"/>
      <protection locked="0"/>
    </xf>
    <xf numFmtId="0" fontId="23" fillId="0" borderId="0" xfId="3" applyFont="1" applyAlignment="1" applyProtection="1">
      <alignment horizontal="left" vertical="center" indent="10"/>
    </xf>
    <xf numFmtId="0" fontId="1" fillId="0" borderId="0" xfId="0" applyFont="1" applyAlignment="1">
      <alignment horizontal="right"/>
    </xf>
    <xf numFmtId="0" fontId="0" fillId="0" borderId="0" xfId="0" applyAlignment="1">
      <alignment wrapText="1"/>
    </xf>
    <xf numFmtId="0" fontId="15" fillId="17" borderId="37" xfId="0" applyFont="1" applyFill="1" applyBorder="1" applyAlignment="1">
      <alignment horizontal="center" vertical="center" wrapText="1"/>
    </xf>
    <xf numFmtId="0" fontId="24" fillId="0" borderId="2" xfId="0" applyFont="1" applyBorder="1" applyAlignment="1">
      <alignment horizontal="center" vertical="top"/>
    </xf>
    <xf numFmtId="0" fontId="25" fillId="0" borderId="0" xfId="0" applyFont="1" applyAlignment="1">
      <alignment vertical="center" wrapText="1"/>
    </xf>
    <xf numFmtId="0" fontId="5" fillId="0" borderId="0" xfId="0" applyFont="1" applyAlignment="1">
      <alignment horizontal="center"/>
    </xf>
    <xf numFmtId="0" fontId="15" fillId="0" borderId="0" xfId="0" applyFont="1" applyAlignment="1">
      <alignment horizontal="center" vertical="center" wrapText="1"/>
    </xf>
    <xf numFmtId="0" fontId="1" fillId="10" borderId="53" xfId="0" applyFont="1" applyFill="1" applyBorder="1" applyAlignment="1">
      <alignment horizontal="center" vertical="top"/>
    </xf>
    <xf numFmtId="0" fontId="3" fillId="10" borderId="3" xfId="0" applyFont="1" applyFill="1" applyBorder="1" applyAlignment="1">
      <alignment vertical="top" wrapText="1"/>
    </xf>
    <xf numFmtId="0" fontId="1" fillId="10" borderId="3" xfId="0" applyFont="1" applyFill="1" applyBorder="1" applyAlignment="1">
      <alignment vertical="top" wrapText="1"/>
    </xf>
    <xf numFmtId="0" fontId="1" fillId="10" borderId="4" xfId="0" applyFont="1" applyFill="1" applyBorder="1" applyAlignment="1">
      <alignment horizontal="center" vertical="center" wrapText="1"/>
    </xf>
    <xf numFmtId="167" fontId="1" fillId="10" borderId="14" xfId="0" applyNumberFormat="1" applyFont="1" applyFill="1" applyBorder="1" applyAlignment="1">
      <alignment horizontal="center" vertical="center" wrapText="1"/>
    </xf>
    <xf numFmtId="0" fontId="1" fillId="9" borderId="53" xfId="0" applyFont="1" applyFill="1" applyBorder="1" applyAlignment="1">
      <alignment horizontal="center" vertical="center"/>
    </xf>
    <xf numFmtId="167" fontId="1" fillId="9" borderId="14" xfId="0" applyNumberFormat="1" applyFont="1" applyFill="1" applyBorder="1" applyAlignment="1">
      <alignment horizontal="center" vertical="center"/>
    </xf>
    <xf numFmtId="0" fontId="1" fillId="0" borderId="33" xfId="0" applyFont="1" applyBorder="1" applyAlignment="1">
      <alignment horizontal="center"/>
    </xf>
    <xf numFmtId="167" fontId="1" fillId="2" borderId="2" xfId="1" applyNumberFormat="1" applyFont="1" applyFill="1" applyBorder="1" applyAlignment="1" applyProtection="1">
      <alignment horizontal="center"/>
    </xf>
    <xf numFmtId="0" fontId="1" fillId="0" borderId="6" xfId="0" applyFont="1" applyBorder="1" applyAlignment="1">
      <alignment horizontal="center"/>
    </xf>
    <xf numFmtId="167" fontId="1" fillId="2" borderId="3" xfId="1" applyNumberFormat="1" applyFont="1" applyFill="1" applyBorder="1" applyAlignment="1" applyProtection="1">
      <alignment horizontal="center"/>
    </xf>
    <xf numFmtId="0" fontId="1" fillId="0" borderId="19" xfId="0" applyFont="1" applyBorder="1" applyAlignment="1">
      <alignment wrapText="1"/>
    </xf>
    <xf numFmtId="0" fontId="1" fillId="2" borderId="19" xfId="0" applyFont="1" applyFill="1" applyBorder="1"/>
    <xf numFmtId="0" fontId="1" fillId="2" borderId="23" xfId="0" applyFont="1" applyFill="1" applyBorder="1"/>
    <xf numFmtId="0" fontId="1" fillId="9" borderId="3" xfId="0" applyFont="1" applyFill="1" applyBorder="1" applyAlignment="1">
      <alignment wrapText="1"/>
    </xf>
    <xf numFmtId="0" fontId="1" fillId="9" borderId="3" xfId="0" applyFont="1" applyFill="1" applyBorder="1"/>
    <xf numFmtId="0" fontId="1" fillId="9" borderId="4" xfId="0" applyFont="1" applyFill="1" applyBorder="1" applyAlignment="1">
      <alignment horizontal="center"/>
    </xf>
    <xf numFmtId="0" fontId="1" fillId="0" borderId="33" xfId="0" applyFont="1" applyBorder="1" applyAlignment="1" applyProtection="1">
      <alignment horizontal="center"/>
      <protection locked="0"/>
    </xf>
    <xf numFmtId="167" fontId="1" fillId="0" borderId="2" xfId="1" applyNumberFormat="1" applyFont="1" applyFill="1" applyBorder="1" applyAlignment="1" applyProtection="1">
      <alignment horizontal="center"/>
      <protection locked="0"/>
    </xf>
    <xf numFmtId="167" fontId="1" fillId="0" borderId="3" xfId="1" applyNumberFormat="1" applyFont="1" applyFill="1" applyBorder="1" applyAlignment="1" applyProtection="1">
      <alignment horizontal="center"/>
      <protection locked="0"/>
    </xf>
    <xf numFmtId="0" fontId="1" fillId="0" borderId="43" xfId="0" applyFont="1" applyBorder="1" applyAlignment="1" applyProtection="1">
      <alignment horizontal="center"/>
      <protection locked="0"/>
    </xf>
    <xf numFmtId="0" fontId="1" fillId="5" borderId="6" xfId="0" applyFont="1" applyFill="1" applyBorder="1" applyAlignment="1">
      <alignment horizontal="center"/>
    </xf>
    <xf numFmtId="0" fontId="1" fillId="0" borderId="43" xfId="0" applyFont="1" applyBorder="1" applyAlignment="1">
      <alignment horizontal="center"/>
    </xf>
    <xf numFmtId="0" fontId="1" fillId="0" borderId="22" xfId="0" applyFont="1" applyBorder="1" applyAlignment="1">
      <alignment horizontal="center"/>
    </xf>
    <xf numFmtId="0" fontId="1" fillId="0" borderId="47" xfId="0" applyFont="1" applyBorder="1" applyAlignment="1">
      <alignment horizontal="center"/>
    </xf>
    <xf numFmtId="167" fontId="21" fillId="13" borderId="3" xfId="5" applyNumberFormat="1" applyBorder="1" applyAlignment="1" applyProtection="1">
      <alignment horizontal="center"/>
    </xf>
    <xf numFmtId="167" fontId="20" fillId="12" borderId="3" xfId="4" applyNumberFormat="1" applyBorder="1" applyAlignment="1" applyProtection="1">
      <alignment horizontal="center"/>
    </xf>
    <xf numFmtId="167" fontId="20" fillId="12" borderId="3" xfId="4" applyNumberFormat="1" applyBorder="1" applyAlignment="1">
      <alignment horizontal="center"/>
    </xf>
    <xf numFmtId="167" fontId="12" fillId="0" borderId="3" xfId="1" applyNumberFormat="1" applyFont="1" applyBorder="1" applyAlignment="1" applyProtection="1">
      <alignment horizontal="center"/>
    </xf>
    <xf numFmtId="0" fontId="0" fillId="0" borderId="0" xfId="0" applyAlignment="1">
      <alignment vertical="center" textRotation="90"/>
    </xf>
    <xf numFmtId="0" fontId="1" fillId="0" borderId="0" xfId="0" applyFont="1" applyAlignment="1">
      <alignment vertical="center"/>
    </xf>
    <xf numFmtId="0" fontId="12" fillId="0" borderId="0" xfId="0" applyFont="1" applyAlignment="1">
      <alignment vertical="center"/>
    </xf>
    <xf numFmtId="167" fontId="12" fillId="0" borderId="0" xfId="0" applyNumberFormat="1" applyFont="1" applyAlignment="1">
      <alignment horizontal="center" vertical="center"/>
    </xf>
    <xf numFmtId="167" fontId="12" fillId="0" borderId="0" xfId="0" applyNumberFormat="1" applyFont="1" applyAlignment="1" applyProtection="1">
      <alignment horizontal="center" vertical="center"/>
      <protection locked="0"/>
    </xf>
    <xf numFmtId="167" fontId="3" fillId="0" borderId="19" xfId="1" applyNumberFormat="1" applyFont="1" applyFill="1" applyBorder="1" applyAlignment="1" applyProtection="1">
      <alignment horizontal="center"/>
      <protection locked="0"/>
    </xf>
    <xf numFmtId="167" fontId="3" fillId="0" borderId="3" xfId="1" applyNumberFormat="1" applyFont="1" applyFill="1" applyBorder="1" applyAlignment="1" applyProtection="1">
      <alignment horizontal="center"/>
      <protection locked="0"/>
    </xf>
    <xf numFmtId="167" fontId="3" fillId="0" borderId="22" xfId="1" applyNumberFormat="1" applyFont="1" applyFill="1" applyBorder="1" applyAlignment="1" applyProtection="1">
      <alignment horizontal="center"/>
      <protection locked="0"/>
    </xf>
    <xf numFmtId="167" fontId="20" fillId="12" borderId="3" xfId="4" applyNumberFormat="1" applyBorder="1" applyAlignment="1" applyProtection="1">
      <alignment horizontal="center"/>
      <protection locked="0"/>
    </xf>
    <xf numFmtId="167" fontId="21" fillId="13" borderId="3" xfId="5" applyNumberFormat="1" applyBorder="1" applyAlignment="1" applyProtection="1">
      <alignment horizontal="center"/>
      <protection locked="0"/>
    </xf>
    <xf numFmtId="165" fontId="0" fillId="0" borderId="6" xfId="0" applyNumberFormat="1" applyBorder="1" applyAlignment="1">
      <alignment horizontal="center"/>
    </xf>
    <xf numFmtId="1" fontId="0" fillId="0" borderId="6" xfId="0" applyNumberFormat="1" applyBorder="1" applyAlignment="1">
      <alignment horizontal="center"/>
    </xf>
    <xf numFmtId="1" fontId="0" fillId="0" borderId="0" xfId="0" applyNumberFormat="1" applyAlignment="1">
      <alignment horizontal="center"/>
    </xf>
    <xf numFmtId="165" fontId="0" fillId="0" borderId="0" xfId="0" applyNumberFormat="1"/>
    <xf numFmtId="2" fontId="0" fillId="0" borderId="0" xfId="0" applyNumberFormat="1"/>
    <xf numFmtId="3" fontId="0" fillId="0" borderId="68" xfId="0" applyNumberFormat="1" applyBorder="1" applyAlignment="1">
      <alignment horizontal="center" wrapText="1"/>
    </xf>
    <xf numFmtId="3" fontId="0" fillId="0" borderId="68" xfId="0" applyNumberFormat="1" applyBorder="1" applyAlignment="1">
      <alignment horizontal="center"/>
    </xf>
    <xf numFmtId="3" fontId="10" fillId="0" borderId="0" xfId="0" applyNumberFormat="1" applyFont="1" applyAlignment="1">
      <alignment horizontal="center" vertical="center" wrapText="1"/>
    </xf>
    <xf numFmtId="1" fontId="0" fillId="0" borderId="0" xfId="0" applyNumberFormat="1" applyAlignment="1">
      <alignment wrapText="1"/>
    </xf>
    <xf numFmtId="0" fontId="0" fillId="0" borderId="80" xfId="0" applyBorder="1" applyAlignment="1">
      <alignment horizontal="center" vertical="center"/>
    </xf>
    <xf numFmtId="1" fontId="15" fillId="2" borderId="35" xfId="0" applyNumberFormat="1" applyFont="1" applyFill="1" applyBorder="1" applyAlignment="1">
      <alignment horizontal="center" vertical="center" wrapText="1"/>
    </xf>
    <xf numFmtId="1" fontId="15" fillId="2" borderId="2" xfId="0" applyNumberFormat="1" applyFont="1" applyFill="1" applyBorder="1" applyAlignment="1">
      <alignment horizontal="center" vertical="center" wrapText="1"/>
    </xf>
    <xf numFmtId="1" fontId="15" fillId="2" borderId="52" xfId="0" applyNumberFormat="1" applyFont="1" applyFill="1" applyBorder="1" applyAlignment="1">
      <alignment horizontal="center" vertical="center" wrapText="1"/>
    </xf>
    <xf numFmtId="1" fontId="15" fillId="2" borderId="19" xfId="0" applyNumberFormat="1" applyFont="1" applyFill="1" applyBorder="1" applyAlignment="1">
      <alignment horizontal="center" vertical="center" wrapText="1"/>
    </xf>
    <xf numFmtId="1" fontId="15" fillId="2" borderId="50" xfId="0" applyNumberFormat="1" applyFont="1" applyFill="1" applyBorder="1" applyAlignment="1">
      <alignment horizontal="center" vertical="center" wrapText="1"/>
    </xf>
    <xf numFmtId="0" fontId="15" fillId="17" borderId="34" xfId="0" applyFont="1" applyFill="1" applyBorder="1" applyAlignment="1">
      <alignment horizontal="center" vertical="top" wrapText="1"/>
    </xf>
    <xf numFmtId="0" fontId="15" fillId="17" borderId="34" xfId="0" applyFont="1" applyFill="1" applyBorder="1" applyAlignment="1">
      <alignment horizontal="center" vertical="center" wrapText="1"/>
    </xf>
    <xf numFmtId="0" fontId="15" fillId="10" borderId="34" xfId="0" applyFont="1" applyFill="1" applyBorder="1" applyAlignment="1">
      <alignment horizontal="center" vertical="center" wrapText="1"/>
    </xf>
    <xf numFmtId="0" fontId="15" fillId="15" borderId="34" xfId="0" applyFont="1" applyFill="1" applyBorder="1" applyAlignment="1">
      <alignment horizontal="center" vertical="center" wrapText="1"/>
    </xf>
    <xf numFmtId="0" fontId="5" fillId="2" borderId="12" xfId="1"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15" borderId="4" xfId="0" applyFont="1" applyFill="1" applyBorder="1" applyAlignment="1">
      <alignment horizontal="center" vertical="center" wrapText="1"/>
    </xf>
    <xf numFmtId="0" fontId="15" fillId="16" borderId="9" xfId="0" applyFont="1" applyFill="1" applyBorder="1" applyAlignment="1">
      <alignment horizontal="center" vertical="center" wrapText="1"/>
    </xf>
    <xf numFmtId="0" fontId="15" fillId="15" borderId="9"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4" xfId="0" applyFont="1" applyFill="1" applyBorder="1" applyAlignment="1">
      <alignment horizontal="center" vertical="center" wrapText="1"/>
    </xf>
    <xf numFmtId="1" fontId="10" fillId="0" borderId="73" xfId="0" applyNumberFormat="1" applyFont="1" applyBorder="1" applyAlignment="1">
      <alignment horizontal="center" wrapText="1"/>
    </xf>
    <xf numFmtId="1" fontId="10" fillId="0" borderId="72" xfId="0" applyNumberFormat="1" applyFont="1" applyBorder="1" applyAlignment="1">
      <alignment horizontal="left" wrapText="1"/>
    </xf>
    <xf numFmtId="166" fontId="10" fillId="0" borderId="73" xfId="0" applyNumberFormat="1" applyFont="1" applyBorder="1" applyAlignment="1">
      <alignment horizontal="right" wrapText="1"/>
    </xf>
    <xf numFmtId="166" fontId="10" fillId="0" borderId="75" xfId="0" applyNumberFormat="1" applyFont="1" applyBorder="1" applyAlignment="1">
      <alignment horizontal="right" wrapText="1"/>
    </xf>
    <xf numFmtId="3" fontId="10" fillId="0" borderId="78" xfId="0" applyNumberFormat="1" applyFont="1" applyBorder="1" applyAlignment="1">
      <alignment horizontal="center" wrapText="1"/>
    </xf>
    <xf numFmtId="3" fontId="10" fillId="0" borderId="73" xfId="0" applyNumberFormat="1" applyFont="1" applyBorder="1" applyAlignment="1">
      <alignment horizontal="center" wrapText="1"/>
    </xf>
    <xf numFmtId="3" fontId="10" fillId="0" borderId="78" xfId="0" applyNumberFormat="1" applyFont="1" applyBorder="1" applyAlignment="1">
      <alignment horizontal="right" wrapText="1"/>
    </xf>
    <xf numFmtId="4" fontId="10" fillId="0" borderId="73" xfId="0" applyNumberFormat="1" applyFont="1" applyBorder="1" applyAlignment="1">
      <alignment horizontal="right" wrapText="1"/>
    </xf>
    <xf numFmtId="4" fontId="10" fillId="0" borderId="74" xfId="0" applyNumberFormat="1" applyFont="1" applyBorder="1" applyAlignment="1">
      <alignment horizontal="right" wrapText="1"/>
    </xf>
    <xf numFmtId="4" fontId="10" fillId="0" borderId="78" xfId="0" applyNumberFormat="1" applyFont="1" applyBorder="1" applyAlignment="1">
      <alignment horizontal="right" wrapText="1"/>
    </xf>
    <xf numFmtId="3" fontId="10" fillId="0" borderId="77" xfId="0" applyNumberFormat="1" applyFont="1" applyBorder="1" applyAlignment="1">
      <alignment horizontal="right" wrapText="1"/>
    </xf>
    <xf numFmtId="3" fontId="10" fillId="0" borderId="73" xfId="0" applyNumberFormat="1" applyFont="1" applyBorder="1" applyAlignment="1">
      <alignment horizontal="right" wrapText="1"/>
    </xf>
    <xf numFmtId="3" fontId="10" fillId="0" borderId="75" xfId="0" applyNumberFormat="1" applyFont="1" applyBorder="1" applyAlignment="1">
      <alignment horizontal="right" wrapText="1"/>
    </xf>
    <xf numFmtId="3" fontId="10" fillId="0" borderId="79" xfId="0" applyNumberFormat="1" applyFont="1" applyBorder="1" applyAlignment="1">
      <alignment horizontal="right" wrapText="1"/>
    </xf>
    <xf numFmtId="4" fontId="10" fillId="0" borderId="76" xfId="0" applyNumberFormat="1" applyFont="1" applyBorder="1" applyAlignment="1">
      <alignment horizontal="right" wrapText="1"/>
    </xf>
    <xf numFmtId="3" fontId="10" fillId="0" borderId="72" xfId="0" applyNumberFormat="1" applyFont="1" applyBorder="1" applyAlignment="1">
      <alignment horizontal="center" wrapText="1"/>
    </xf>
    <xf numFmtId="3" fontId="10" fillId="0" borderId="77" xfId="0" applyNumberFormat="1" applyFont="1" applyBorder="1" applyAlignment="1">
      <alignment horizontal="center" wrapText="1"/>
    </xf>
    <xf numFmtId="3" fontId="10" fillId="0" borderId="79" xfId="0" applyNumberFormat="1" applyFont="1" applyBorder="1" applyAlignment="1">
      <alignment horizontal="center" wrapText="1"/>
    </xf>
    <xf numFmtId="1" fontId="10" fillId="0" borderId="69" xfId="0" applyNumberFormat="1" applyFont="1" applyBorder="1" applyAlignment="1">
      <alignment horizontal="center" wrapText="1"/>
    </xf>
    <xf numFmtId="1" fontId="10" fillId="0" borderId="64" xfId="0" applyNumberFormat="1" applyFont="1" applyBorder="1" applyAlignment="1">
      <alignment horizontal="left" wrapText="1"/>
    </xf>
    <xf numFmtId="1" fontId="10" fillId="0" borderId="70" xfId="0" applyNumberFormat="1" applyFont="1" applyBorder="1" applyAlignment="1">
      <alignment horizontal="left" wrapText="1"/>
    </xf>
    <xf numFmtId="166" fontId="10" fillId="0" borderId="69" xfId="0" applyNumberFormat="1" applyFont="1" applyBorder="1" applyAlignment="1">
      <alignment horizontal="right" wrapText="1"/>
    </xf>
    <xf numFmtId="166" fontId="10" fillId="0" borderId="64" xfId="0" applyNumberFormat="1" applyFont="1" applyBorder="1" applyAlignment="1">
      <alignment horizontal="right" wrapText="1"/>
    </xf>
    <xf numFmtId="3" fontId="10" fillId="0" borderId="68" xfId="0" applyNumberFormat="1" applyFont="1" applyBorder="1" applyAlignment="1">
      <alignment horizontal="center" wrapText="1"/>
    </xf>
    <xf numFmtId="3" fontId="10" fillId="0" borderId="69" xfId="0" applyNumberFormat="1" applyFont="1" applyBorder="1" applyAlignment="1">
      <alignment horizontal="center" wrapText="1"/>
    </xf>
    <xf numFmtId="3" fontId="10" fillId="0" borderId="68" xfId="0" applyNumberFormat="1" applyFont="1" applyBorder="1" applyAlignment="1">
      <alignment horizontal="right" wrapText="1"/>
    </xf>
    <xf numFmtId="4" fontId="10" fillId="0" borderId="67" xfId="0" applyNumberFormat="1" applyFont="1" applyBorder="1" applyAlignment="1">
      <alignment horizontal="right" wrapText="1"/>
    </xf>
    <xf numFmtId="4" fontId="10" fillId="0" borderId="69" xfId="0" applyNumberFormat="1" applyFont="1" applyBorder="1" applyAlignment="1">
      <alignment horizontal="right" wrapText="1"/>
    </xf>
    <xf numFmtId="4" fontId="10" fillId="0" borderId="71" xfId="0" applyNumberFormat="1" applyFont="1" applyBorder="1" applyAlignment="1">
      <alignment horizontal="right" wrapText="1"/>
    </xf>
    <xf numFmtId="4" fontId="10" fillId="0" borderId="68" xfId="0" applyNumberFormat="1" applyFont="1" applyBorder="1" applyAlignment="1">
      <alignment horizontal="right" wrapText="1"/>
    </xf>
    <xf numFmtId="3" fontId="10" fillId="0" borderId="67" xfId="0" applyNumberFormat="1" applyFont="1" applyBorder="1" applyAlignment="1">
      <alignment horizontal="right" wrapText="1"/>
    </xf>
    <xf numFmtId="3" fontId="10" fillId="0" borderId="69" xfId="0" applyNumberFormat="1" applyFont="1" applyBorder="1" applyAlignment="1">
      <alignment horizontal="right" wrapText="1"/>
    </xf>
    <xf numFmtId="4" fontId="10" fillId="0" borderId="64" xfId="0" applyNumberFormat="1" applyFont="1" applyBorder="1" applyAlignment="1">
      <alignment horizontal="right" wrapText="1"/>
    </xf>
    <xf numFmtId="3" fontId="10" fillId="0" borderId="64" xfId="0" applyNumberFormat="1" applyFont="1" applyBorder="1" applyAlignment="1">
      <alignment horizontal="right" wrapText="1"/>
    </xf>
    <xf numFmtId="4" fontId="10" fillId="0" borderId="65" xfId="0" applyNumberFormat="1" applyFont="1" applyBorder="1" applyAlignment="1">
      <alignment horizontal="right" wrapText="1"/>
    </xf>
    <xf numFmtId="4" fontId="10" fillId="0" borderId="66" xfId="0" applyNumberFormat="1" applyFont="1" applyBorder="1" applyAlignment="1">
      <alignment horizontal="right" wrapText="1"/>
    </xf>
    <xf numFmtId="3" fontId="10" fillId="0" borderId="66" xfId="0" applyNumberFormat="1" applyFont="1" applyBorder="1" applyAlignment="1">
      <alignment horizontal="right" wrapText="1"/>
    </xf>
    <xf numFmtId="3" fontId="10" fillId="0" borderId="70" xfId="0" applyNumberFormat="1" applyFont="1" applyBorder="1" applyAlignment="1">
      <alignment horizontal="center" wrapText="1"/>
    </xf>
    <xf numFmtId="3" fontId="10" fillId="0" borderId="67" xfId="0" applyNumberFormat="1" applyFont="1" applyBorder="1" applyAlignment="1">
      <alignment horizontal="center" wrapText="1"/>
    </xf>
    <xf numFmtId="3" fontId="10" fillId="0" borderId="66" xfId="0" applyNumberFormat="1" applyFont="1" applyBorder="1" applyAlignment="1">
      <alignment horizontal="center" wrapText="1"/>
    </xf>
    <xf numFmtId="165" fontId="0" fillId="0" borderId="68" xfId="0" applyNumberFormat="1" applyBorder="1" applyAlignment="1">
      <alignment horizontal="center"/>
    </xf>
    <xf numFmtId="3" fontId="0" fillId="0" borderId="64" xfId="0" applyNumberFormat="1" applyBorder="1" applyAlignment="1">
      <alignment horizontal="center" wrapText="1"/>
    </xf>
    <xf numFmtId="4" fontId="0" fillId="0" borderId="68" xfId="0" applyNumberFormat="1" applyBorder="1" applyAlignment="1">
      <alignment horizontal="center" wrapText="1"/>
    </xf>
    <xf numFmtId="1" fontId="0" fillId="0" borderId="64" xfId="0" applyNumberFormat="1" applyBorder="1" applyAlignment="1">
      <alignment horizontal="center"/>
    </xf>
    <xf numFmtId="4" fontId="0" fillId="0" borderId="68" xfId="0" applyNumberFormat="1" applyBorder="1" applyAlignment="1">
      <alignment horizontal="center"/>
    </xf>
    <xf numFmtId="1" fontId="0" fillId="0" borderId="64" xfId="0" applyNumberFormat="1" applyBorder="1" applyAlignment="1">
      <alignment horizontal="center" wrapText="1"/>
    </xf>
    <xf numFmtId="0" fontId="5" fillId="8" borderId="44" xfId="0" applyFont="1" applyFill="1" applyBorder="1" applyAlignment="1">
      <alignment horizontal="right" vertical="center" wrapText="1"/>
    </xf>
    <xf numFmtId="0" fontId="5" fillId="8" borderId="12" xfId="0" applyFont="1" applyFill="1" applyBorder="1" applyAlignment="1">
      <alignment horizontal="right" vertical="center" wrapText="1"/>
    </xf>
    <xf numFmtId="0" fontId="15" fillId="2" borderId="32"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15" borderId="49" xfId="0" applyFont="1" applyFill="1" applyBorder="1" applyAlignment="1">
      <alignment horizontal="center" vertical="center" wrapText="1"/>
    </xf>
    <xf numFmtId="3" fontId="10" fillId="0" borderId="81" xfId="0" applyNumberFormat="1" applyFont="1" applyBorder="1" applyAlignment="1">
      <alignment horizontal="right" wrapText="1"/>
    </xf>
    <xf numFmtId="4" fontId="10" fillId="0" borderId="83" xfId="0" applyNumberFormat="1" applyFont="1" applyBorder="1" applyAlignment="1">
      <alignment horizontal="right" wrapText="1"/>
    </xf>
    <xf numFmtId="167" fontId="0" fillId="0" borderId="0" xfId="0" applyNumberFormat="1" applyAlignment="1">
      <alignment horizontal="center" vertical="center"/>
    </xf>
    <xf numFmtId="167" fontId="10" fillId="0" borderId="3" xfId="5" applyNumberFormat="1" applyFont="1" applyFill="1" applyBorder="1" applyAlignment="1" applyProtection="1">
      <alignment horizontal="center"/>
    </xf>
    <xf numFmtId="167" fontId="22" fillId="0" borderId="11" xfId="5" applyNumberFormat="1" applyFont="1" applyFill="1" applyBorder="1" applyAlignment="1" applyProtection="1">
      <alignment horizontal="center"/>
    </xf>
    <xf numFmtId="167" fontId="22" fillId="0" borderId="22" xfId="4" applyNumberFormat="1" applyFont="1" applyFill="1" applyBorder="1" applyAlignment="1" applyProtection="1">
      <alignment horizontal="center"/>
    </xf>
    <xf numFmtId="0" fontId="3" fillId="2" borderId="22" xfId="0" applyFont="1" applyFill="1" applyBorder="1" applyAlignment="1">
      <alignment vertical="top" wrapText="1"/>
    </xf>
    <xf numFmtId="0" fontId="24" fillId="0" borderId="3" xfId="0" applyFont="1" applyBorder="1" applyAlignment="1">
      <alignment horizontal="center" vertical="top"/>
    </xf>
    <xf numFmtId="1" fontId="10" fillId="0" borderId="70" xfId="0" applyNumberFormat="1" applyFont="1" applyBorder="1" applyAlignment="1">
      <alignment horizontal="center" wrapText="1"/>
    </xf>
    <xf numFmtId="166" fontId="10" fillId="0" borderId="71" xfId="0" applyNumberFormat="1" applyFont="1" applyBorder="1" applyAlignment="1">
      <alignment horizontal="right" wrapText="1"/>
    </xf>
    <xf numFmtId="3" fontId="10" fillId="0" borderId="71" xfId="0" applyNumberFormat="1" applyFont="1" applyBorder="1" applyAlignment="1">
      <alignment horizontal="center" wrapText="1"/>
    </xf>
    <xf numFmtId="4" fontId="10" fillId="0" borderId="84" xfId="0" applyNumberFormat="1" applyFont="1" applyBorder="1" applyAlignment="1">
      <alignment horizontal="right" wrapText="1"/>
    </xf>
    <xf numFmtId="165" fontId="0" fillId="0" borderId="67" xfId="0" applyNumberFormat="1" applyBorder="1" applyAlignment="1">
      <alignment horizontal="center"/>
    </xf>
    <xf numFmtId="3" fontId="10" fillId="0" borderId="64" xfId="0" applyNumberFormat="1" applyFont="1" applyBorder="1" applyAlignment="1">
      <alignment horizontal="center" wrapText="1"/>
    </xf>
    <xf numFmtId="3" fontId="10" fillId="2" borderId="64" xfId="0" applyNumberFormat="1" applyFont="1" applyFill="1" applyBorder="1" applyAlignment="1">
      <alignment horizontal="center" wrapText="1"/>
    </xf>
    <xf numFmtId="165" fontId="0" fillId="2" borderId="68" xfId="0" applyNumberFormat="1" applyFill="1" applyBorder="1" applyAlignment="1">
      <alignment horizontal="center"/>
    </xf>
    <xf numFmtId="165" fontId="0" fillId="2" borderId="67" xfId="0" applyNumberFormat="1" applyFill="1" applyBorder="1" applyAlignment="1">
      <alignment horizontal="center"/>
    </xf>
    <xf numFmtId="3" fontId="10" fillId="0" borderId="84" xfId="0" applyNumberFormat="1" applyFont="1" applyBorder="1" applyAlignment="1">
      <alignment horizontal="center" wrapText="1"/>
    </xf>
    <xf numFmtId="4" fontId="10" fillId="0" borderId="64" xfId="0" applyNumberFormat="1" applyFont="1" applyBorder="1" applyAlignment="1">
      <alignment horizontal="center" wrapText="1"/>
    </xf>
    <xf numFmtId="4" fontId="10" fillId="0" borderId="65" xfId="0" applyNumberFormat="1" applyFont="1" applyBorder="1" applyAlignment="1">
      <alignment horizontal="center" wrapText="1"/>
    </xf>
    <xf numFmtId="168" fontId="11" fillId="7" borderId="0" xfId="2" applyNumberFormat="1" applyBorder="1" applyAlignment="1">
      <alignment horizontal="left" wrapText="1"/>
    </xf>
    <xf numFmtId="168" fontId="11" fillId="0" borderId="0" xfId="2" applyNumberFormat="1" applyFill="1" applyBorder="1" applyAlignment="1">
      <alignment horizontal="left" wrapText="1"/>
    </xf>
    <xf numFmtId="0" fontId="11" fillId="7" borderId="39" xfId="2" applyAlignment="1">
      <alignment horizontal="left" wrapText="1"/>
    </xf>
    <xf numFmtId="168" fontId="0" fillId="0" borderId="85" xfId="0" applyNumberFormat="1" applyBorder="1"/>
    <xf numFmtId="168" fontId="0" fillId="0" borderId="0" xfId="0" applyNumberFormat="1"/>
    <xf numFmtId="168" fontId="0" fillId="18" borderId="85" xfId="0" applyNumberFormat="1" applyFill="1" applyBorder="1"/>
    <xf numFmtId="168" fontId="0" fillId="18" borderId="0" xfId="0" applyNumberFormat="1" applyFill="1"/>
    <xf numFmtId="1" fontId="10" fillId="0" borderId="75" xfId="0" applyNumberFormat="1" applyFont="1" applyBorder="1" applyAlignment="1">
      <alignment wrapText="1"/>
    </xf>
    <xf numFmtId="1" fontId="10" fillId="0" borderId="73" xfId="0" applyNumberFormat="1" applyFont="1" applyBorder="1" applyAlignment="1">
      <alignment wrapText="1"/>
    </xf>
    <xf numFmtId="1" fontId="10" fillId="0" borderId="64" xfId="0" applyNumberFormat="1" applyFont="1" applyBorder="1" applyAlignment="1">
      <alignment wrapText="1"/>
    </xf>
    <xf numFmtId="1" fontId="10" fillId="0" borderId="69" xfId="0" applyNumberFormat="1" applyFont="1" applyBorder="1" applyAlignment="1">
      <alignment wrapText="1"/>
    </xf>
    <xf numFmtId="0" fontId="15" fillId="17" borderId="51" xfId="0" applyFont="1" applyFill="1" applyBorder="1" applyAlignment="1">
      <alignment horizontal="center" vertical="center" wrapText="1"/>
    </xf>
    <xf numFmtId="0" fontId="15" fillId="19" borderId="51" xfId="0" applyFont="1" applyFill="1" applyBorder="1" applyAlignment="1">
      <alignment horizontal="center" vertical="center" wrapText="1"/>
    </xf>
    <xf numFmtId="1" fontId="10" fillId="0" borderId="82" xfId="0" applyNumberFormat="1" applyFont="1" applyBorder="1" applyAlignment="1">
      <alignment wrapText="1"/>
    </xf>
    <xf numFmtId="0" fontId="0" fillId="20" borderId="87" xfId="0" applyFill="1" applyBorder="1"/>
    <xf numFmtId="1" fontId="15" fillId="2" borderId="86" xfId="0" applyNumberFormat="1" applyFont="1" applyFill="1" applyBorder="1" applyAlignment="1">
      <alignment horizontal="center" vertical="center" wrapText="1"/>
    </xf>
    <xf numFmtId="1" fontId="10" fillId="11" borderId="74" xfId="0" applyNumberFormat="1" applyFont="1" applyFill="1" applyBorder="1" applyAlignment="1">
      <alignment horizontal="left" wrapText="1"/>
    </xf>
    <xf numFmtId="1" fontId="10" fillId="0" borderId="71" xfId="0" applyNumberFormat="1" applyFont="1" applyBorder="1" applyAlignment="1">
      <alignment horizontal="left" wrapText="1"/>
    </xf>
    <xf numFmtId="1" fontId="10" fillId="11" borderId="71" xfId="0" applyNumberFormat="1" applyFont="1" applyFill="1" applyBorder="1" applyAlignment="1">
      <alignment horizontal="left" wrapText="1"/>
    </xf>
    <xf numFmtId="1" fontId="10" fillId="11" borderId="64" xfId="0" applyNumberFormat="1" applyFont="1" applyFill="1" applyBorder="1" applyAlignment="1">
      <alignment horizontal="left" wrapText="1"/>
    </xf>
    <xf numFmtId="0" fontId="0" fillId="20" borderId="87" xfId="0" applyFill="1" applyBorder="1" applyAlignment="1">
      <alignment wrapText="1"/>
    </xf>
    <xf numFmtId="0" fontId="0" fillId="20" borderId="89" xfId="0" applyFill="1" applyBorder="1"/>
    <xf numFmtId="3" fontId="0" fillId="2" borderId="64" xfId="0" applyNumberFormat="1" applyFill="1" applyBorder="1" applyAlignment="1">
      <alignment horizontal="center" wrapText="1"/>
    </xf>
    <xf numFmtId="1" fontId="10" fillId="0" borderId="70" xfId="0" applyNumberFormat="1" applyFont="1" applyBorder="1" applyAlignment="1">
      <alignment wrapText="1"/>
    </xf>
    <xf numFmtId="3" fontId="10" fillId="0" borderId="65" xfId="0" applyNumberFormat="1" applyFont="1" applyBorder="1" applyAlignment="1">
      <alignment horizontal="center" wrapText="1"/>
    </xf>
    <xf numFmtId="4" fontId="10" fillId="0" borderId="68" xfId="0" applyNumberFormat="1" applyFont="1" applyBorder="1" applyAlignment="1">
      <alignment horizontal="center" wrapText="1"/>
    </xf>
    <xf numFmtId="3" fontId="0" fillId="0" borderId="84" xfId="0" applyNumberFormat="1" applyBorder="1" applyAlignment="1">
      <alignment horizontal="center"/>
    </xf>
    <xf numFmtId="3" fontId="0" fillId="0" borderId="84" xfId="0" applyNumberFormat="1" applyBorder="1" applyAlignment="1">
      <alignment horizontal="center" wrapText="1"/>
    </xf>
    <xf numFmtId="3" fontId="0" fillId="0" borderId="64" xfId="0" applyNumberFormat="1" applyBorder="1" applyAlignment="1">
      <alignment horizontal="center"/>
    </xf>
    <xf numFmtId="4" fontId="0" fillId="0" borderId="64" xfId="0" applyNumberFormat="1" applyBorder="1" applyAlignment="1">
      <alignment horizontal="center"/>
    </xf>
    <xf numFmtId="4" fontId="0" fillId="0" borderId="64" xfId="0" applyNumberFormat="1" applyBorder="1" applyAlignment="1">
      <alignment horizontal="center" wrapText="1"/>
    </xf>
    <xf numFmtId="4" fontId="0" fillId="0" borderId="65" xfId="0" applyNumberFormat="1" applyBorder="1" applyAlignment="1">
      <alignment horizontal="center"/>
    </xf>
    <xf numFmtId="4" fontId="0" fillId="0" borderId="65" xfId="0" applyNumberFormat="1" applyBorder="1" applyAlignment="1">
      <alignment horizontal="center" wrapText="1"/>
    </xf>
    <xf numFmtId="3" fontId="0" fillId="0" borderId="65" xfId="0" applyNumberFormat="1" applyBorder="1" applyAlignment="1">
      <alignment horizontal="center"/>
    </xf>
    <xf numFmtId="3" fontId="0" fillId="0" borderId="65" xfId="0" applyNumberFormat="1" applyBorder="1" applyAlignment="1">
      <alignment horizontal="center" wrapText="1"/>
    </xf>
    <xf numFmtId="3" fontId="0" fillId="0" borderId="70" xfId="0" applyNumberFormat="1" applyBorder="1" applyAlignment="1">
      <alignment horizontal="center"/>
    </xf>
    <xf numFmtId="3" fontId="0" fillId="0" borderId="70" xfId="0" applyNumberFormat="1" applyBorder="1" applyAlignment="1">
      <alignment horizontal="center" wrapText="1"/>
    </xf>
    <xf numFmtId="1" fontId="0" fillId="0" borderId="33" xfId="0" applyNumberFormat="1" applyBorder="1" applyAlignment="1">
      <alignment horizontal="center"/>
    </xf>
    <xf numFmtId="0" fontId="0" fillId="20" borderId="0" xfId="0" applyFill="1"/>
    <xf numFmtId="0" fontId="0" fillId="0" borderId="87" xfId="0" applyBorder="1"/>
    <xf numFmtId="0" fontId="0" fillId="20" borderId="88" xfId="0" applyFill="1" applyBorder="1"/>
    <xf numFmtId="0" fontId="10" fillId="0" borderId="73" xfId="0" applyFont="1" applyBorder="1" applyAlignment="1">
      <alignment horizontal="left" wrapText="1"/>
    </xf>
    <xf numFmtId="0" fontId="10" fillId="0" borderId="69" xfId="0" applyFont="1" applyBorder="1" applyAlignment="1">
      <alignment horizontal="left" wrapText="1"/>
    </xf>
    <xf numFmtId="0" fontId="10" fillId="0" borderId="70" xfId="0" applyFont="1" applyBorder="1" applyAlignment="1">
      <alignment horizontal="left" wrapText="1"/>
    </xf>
    <xf numFmtId="0" fontId="8" fillId="0" borderId="87" xfId="0" applyFont="1" applyBorder="1"/>
    <xf numFmtId="0" fontId="8" fillId="20" borderId="87" xfId="0" applyFont="1" applyFill="1" applyBorder="1"/>
    <xf numFmtId="0" fontId="7" fillId="0" borderId="0" xfId="0" applyFont="1"/>
    <xf numFmtId="1" fontId="10" fillId="0" borderId="69" xfId="0" applyNumberFormat="1" applyFont="1" applyBorder="1" applyAlignment="1">
      <alignment horizontal="left" wrapText="1"/>
    </xf>
    <xf numFmtId="3" fontId="10" fillId="0" borderId="82" xfId="0" applyNumberFormat="1" applyFont="1" applyBorder="1" applyAlignment="1">
      <alignment horizontal="right" wrapText="1"/>
    </xf>
    <xf numFmtId="165" fontId="0" fillId="0" borderId="78" xfId="0" applyNumberFormat="1" applyBorder="1" applyAlignment="1">
      <alignment horizontal="center"/>
    </xf>
    <xf numFmtId="3" fontId="0" fillId="0" borderId="75" xfId="0" applyNumberFormat="1" applyBorder="1" applyAlignment="1">
      <alignment horizontal="center" wrapText="1"/>
    </xf>
    <xf numFmtId="3" fontId="0" fillId="0" borderId="78" xfId="0" applyNumberFormat="1" applyBorder="1" applyAlignment="1">
      <alignment horizontal="center" wrapText="1"/>
    </xf>
    <xf numFmtId="4" fontId="0" fillId="0" borderId="78" xfId="0" applyNumberFormat="1" applyBorder="1" applyAlignment="1">
      <alignment horizontal="center" wrapText="1"/>
    </xf>
    <xf numFmtId="4" fontId="10" fillId="0" borderId="66" xfId="0" applyNumberFormat="1" applyFont="1" applyBorder="1" applyAlignment="1">
      <alignment horizontal="center" wrapText="1"/>
    </xf>
    <xf numFmtId="0" fontId="28" fillId="0" borderId="2" xfId="0" applyFont="1" applyBorder="1" applyAlignment="1">
      <alignment horizontal="center" vertical="top"/>
    </xf>
    <xf numFmtId="0" fontId="28" fillId="21" borderId="2" xfId="0" applyFont="1" applyFill="1" applyBorder="1" applyAlignment="1">
      <alignment horizontal="center" vertical="top"/>
    </xf>
    <xf numFmtId="1" fontId="27" fillId="0" borderId="56" xfId="0" applyNumberFormat="1" applyFont="1" applyBorder="1" applyAlignment="1">
      <alignment horizontal="left" vertical="top"/>
    </xf>
    <xf numFmtId="1" fontId="27" fillId="0" borderId="57" xfId="0" applyNumberFormat="1" applyFont="1" applyBorder="1" applyAlignment="1">
      <alignment horizontal="left" vertical="top"/>
    </xf>
    <xf numFmtId="1" fontId="27" fillId="0" borderId="58" xfId="0" applyNumberFormat="1" applyFont="1" applyBorder="1" applyAlignment="1">
      <alignment horizontal="left" vertical="top"/>
    </xf>
    <xf numFmtId="1" fontId="27" fillId="0" borderId="36" xfId="0" applyNumberFormat="1" applyFont="1" applyBorder="1" applyAlignment="1">
      <alignment horizontal="left" vertical="top"/>
    </xf>
    <xf numFmtId="1" fontId="27" fillId="0" borderId="0" xfId="0" applyNumberFormat="1" applyFont="1" applyAlignment="1">
      <alignment horizontal="left" vertical="top"/>
    </xf>
    <xf numFmtId="1" fontId="27" fillId="0" borderId="54" xfId="0" applyNumberFormat="1" applyFont="1" applyBorder="1" applyAlignment="1">
      <alignment horizontal="left" vertical="top"/>
    </xf>
    <xf numFmtId="1" fontId="27" fillId="0" borderId="21" xfId="0" applyNumberFormat="1" applyFont="1" applyBorder="1" applyAlignment="1">
      <alignment horizontal="left" vertical="top"/>
    </xf>
    <xf numFmtId="1" fontId="27" fillId="0" borderId="5" xfId="0" applyNumberFormat="1" applyFont="1" applyBorder="1" applyAlignment="1">
      <alignment horizontal="left" vertical="top"/>
    </xf>
    <xf numFmtId="1" fontId="27" fillId="0" borderId="55" xfId="0" applyNumberFormat="1" applyFont="1" applyBorder="1" applyAlignment="1">
      <alignment horizontal="left" vertical="top"/>
    </xf>
    <xf numFmtId="0" fontId="5" fillId="2" borderId="12" xfId="1" applyNumberFormat="1" applyFont="1" applyFill="1" applyBorder="1" applyAlignment="1">
      <alignment horizontal="center" vertical="center" wrapText="1"/>
    </xf>
    <xf numFmtId="0" fontId="0" fillId="0" borderId="36" xfId="0" applyBorder="1" applyAlignment="1">
      <alignment horizontal="left" vertical="center" wrapText="1"/>
    </xf>
    <xf numFmtId="0" fontId="0" fillId="0" borderId="54" xfId="0" applyBorder="1" applyAlignment="1">
      <alignment horizontal="left" vertical="center" wrapText="1"/>
    </xf>
    <xf numFmtId="167" fontId="0" fillId="0" borderId="6" xfId="1" applyNumberFormat="1" applyFont="1" applyFill="1" applyBorder="1" applyAlignment="1">
      <alignment horizontal="center" vertical="center"/>
    </xf>
    <xf numFmtId="167" fontId="0" fillId="0" borderId="14" xfId="1" applyNumberFormat="1" applyFont="1" applyFill="1" applyBorder="1" applyAlignment="1">
      <alignment horizontal="center" vertical="center"/>
    </xf>
    <xf numFmtId="0" fontId="0" fillId="0" borderId="25" xfId="0" applyBorder="1" applyAlignment="1">
      <alignment horizontal="center" vertical="center"/>
    </xf>
    <xf numFmtId="0" fontId="0" fillId="0" borderId="51" xfId="0" applyBorder="1" applyAlignment="1">
      <alignment horizontal="center" vertical="center"/>
    </xf>
    <xf numFmtId="9" fontId="5" fillId="2" borderId="40" xfId="1" applyFont="1" applyFill="1" applyBorder="1" applyAlignment="1">
      <alignment horizontal="center" vertical="center" wrapText="1"/>
    </xf>
    <xf numFmtId="9" fontId="5" fillId="2" borderId="26" xfId="1" applyFont="1" applyFill="1" applyBorder="1" applyAlignment="1">
      <alignment horizontal="center" vertical="center" wrapText="1"/>
    </xf>
    <xf numFmtId="0" fontId="5" fillId="2" borderId="26" xfId="1" applyNumberFormat="1" applyFont="1" applyFill="1" applyBorder="1" applyAlignment="1">
      <alignment horizontal="center" vertical="center" wrapText="1"/>
    </xf>
    <xf numFmtId="0" fontId="5" fillId="2" borderId="40" xfId="1" applyNumberFormat="1" applyFont="1" applyFill="1" applyBorder="1" applyAlignment="1">
      <alignment horizontal="center" vertical="center" wrapText="1"/>
    </xf>
    <xf numFmtId="9" fontId="0" fillId="0" borderId="26" xfId="1" applyFont="1" applyFill="1" applyBorder="1" applyAlignment="1">
      <alignment horizontal="center" vertical="center"/>
    </xf>
    <xf numFmtId="9" fontId="0" fillId="0" borderId="9" xfId="1" applyFont="1" applyFill="1" applyBorder="1" applyAlignment="1">
      <alignment horizontal="center" vertical="center"/>
    </xf>
    <xf numFmtId="0" fontId="5" fillId="2" borderId="9" xfId="1" applyNumberFormat="1" applyFont="1" applyFill="1" applyBorder="1" applyAlignment="1">
      <alignment horizontal="center" vertical="center" wrapText="1"/>
    </xf>
    <xf numFmtId="0" fontId="0" fillId="0" borderId="80" xfId="0" applyBorder="1" applyAlignment="1">
      <alignment horizontal="center" vertical="center"/>
    </xf>
    <xf numFmtId="3" fontId="0" fillId="0" borderId="26" xfId="0" applyNumberFormat="1" applyBorder="1" applyAlignment="1">
      <alignment horizontal="center" vertical="center"/>
    </xf>
    <xf numFmtId="3" fontId="0" fillId="0" borderId="9" xfId="0" applyNumberFormat="1" applyBorder="1" applyAlignment="1">
      <alignment horizontal="center" vertical="center"/>
    </xf>
    <xf numFmtId="0" fontId="0" fillId="0" borderId="9" xfId="0" applyBorder="1" applyAlignment="1">
      <alignment horizontal="center" vertical="center"/>
    </xf>
    <xf numFmtId="0" fontId="0" fillId="0" borderId="26" xfId="0" applyBorder="1" applyAlignment="1">
      <alignment horizontal="center" vertical="center"/>
    </xf>
    <xf numFmtId="0" fontId="0" fillId="0" borderId="40" xfId="0" applyBorder="1" applyAlignment="1">
      <alignment horizontal="center" vertical="center"/>
    </xf>
    <xf numFmtId="0" fontId="0" fillId="0" borderId="6" xfId="0" applyBorder="1" applyAlignment="1">
      <alignment horizontal="center" vertical="center"/>
    </xf>
    <xf numFmtId="0" fontId="0" fillId="0" borderId="14" xfId="0" applyBorder="1" applyAlignment="1">
      <alignment horizontal="center" vertical="center"/>
    </xf>
    <xf numFmtId="9" fontId="0" fillId="0" borderId="10" xfId="1" applyFont="1" applyFill="1" applyBorder="1" applyAlignment="1">
      <alignment horizontal="center" vertical="center"/>
    </xf>
    <xf numFmtId="9" fontId="0" fillId="0" borderId="40" xfId="1" applyFont="1" applyFill="1" applyBorder="1" applyAlignment="1">
      <alignment horizontal="center" vertical="center"/>
    </xf>
    <xf numFmtId="9" fontId="0" fillId="0" borderId="6" xfId="1" applyFont="1" applyFill="1" applyBorder="1" applyAlignment="1">
      <alignment horizontal="center" vertical="center"/>
    </xf>
    <xf numFmtId="0" fontId="0" fillId="0" borderId="14" xfId="1" applyNumberFormat="1" applyFont="1" applyFill="1" applyBorder="1" applyAlignment="1">
      <alignment horizontal="center" vertical="center"/>
    </xf>
    <xf numFmtId="9" fontId="0" fillId="0" borderId="26" xfId="1" applyFont="1" applyFill="1" applyBorder="1" applyAlignment="1">
      <alignment horizontal="center" vertical="center" wrapText="1"/>
    </xf>
    <xf numFmtId="9" fontId="0" fillId="0" borderId="9" xfId="1" applyFont="1" applyFill="1" applyBorder="1" applyAlignment="1">
      <alignment horizontal="center" vertical="center" wrapText="1"/>
    </xf>
    <xf numFmtId="0" fontId="5" fillId="0" borderId="0" xfId="0" applyFont="1" applyAlignment="1">
      <alignment horizontal="center"/>
    </xf>
    <xf numFmtId="0" fontId="0" fillId="0" borderId="0" xfId="0" applyAlignment="1">
      <alignment horizontal="center" vertical="center" wrapText="1"/>
    </xf>
    <xf numFmtId="0" fontId="0" fillId="0" borderId="5" xfId="0" applyBorder="1" applyAlignment="1">
      <alignment horizontal="center" vertical="center" wrapText="1"/>
    </xf>
    <xf numFmtId="0" fontId="5" fillId="0" borderId="0" xfId="0" applyFont="1" applyAlignment="1">
      <alignment horizontal="center" vertical="center"/>
    </xf>
    <xf numFmtId="0" fontId="8" fillId="0" borderId="0" xfId="0" applyFont="1" applyAlignment="1">
      <alignment horizontal="left" wrapText="1"/>
    </xf>
    <xf numFmtId="0" fontId="18" fillId="0" borderId="0" xfId="0" applyFont="1" applyAlignment="1">
      <alignment horizontal="center" vertical="center"/>
    </xf>
    <xf numFmtId="167" fontId="12" fillId="14" borderId="8" xfId="0" applyNumberFormat="1" applyFont="1" applyFill="1" applyBorder="1" applyAlignment="1" applyProtection="1">
      <alignment horizontal="center" vertical="center"/>
      <protection locked="0"/>
    </xf>
    <xf numFmtId="167" fontId="12" fillId="14" borderId="17" xfId="0" applyNumberFormat="1" applyFont="1" applyFill="1" applyBorder="1" applyAlignment="1" applyProtection="1">
      <alignment horizontal="center" vertical="center"/>
      <protection locked="0"/>
    </xf>
    <xf numFmtId="167" fontId="12" fillId="14" borderId="45" xfId="0" applyNumberFormat="1" applyFont="1" applyFill="1" applyBorder="1" applyAlignment="1" applyProtection="1">
      <alignment horizontal="center" vertical="center"/>
      <protection locked="0"/>
    </xf>
    <xf numFmtId="167" fontId="12" fillId="10" borderId="8" xfId="0" applyNumberFormat="1" applyFont="1" applyFill="1" applyBorder="1" applyAlignment="1">
      <alignment horizontal="center" vertical="center"/>
    </xf>
    <xf numFmtId="167" fontId="12" fillId="10" borderId="17" xfId="0" applyNumberFormat="1" applyFont="1" applyFill="1" applyBorder="1" applyAlignment="1">
      <alignment horizontal="center" vertical="center"/>
    </xf>
    <xf numFmtId="167" fontId="12" fillId="10" borderId="45" xfId="0" applyNumberFormat="1" applyFont="1" applyFill="1" applyBorder="1" applyAlignment="1">
      <alignment horizontal="center" vertical="center"/>
    </xf>
    <xf numFmtId="167" fontId="3" fillId="10" borderId="41" xfId="0" applyNumberFormat="1" applyFont="1" applyFill="1" applyBorder="1" applyAlignment="1">
      <alignment horizontal="center" vertical="center"/>
    </xf>
    <xf numFmtId="167" fontId="3" fillId="10" borderId="37" xfId="0" applyNumberFormat="1" applyFont="1" applyFill="1" applyBorder="1" applyAlignment="1">
      <alignment horizontal="center" vertical="center"/>
    </xf>
    <xf numFmtId="167" fontId="3" fillId="10" borderId="34" xfId="0" applyNumberFormat="1" applyFont="1" applyFill="1" applyBorder="1" applyAlignment="1">
      <alignment horizontal="center" vertical="center"/>
    </xf>
    <xf numFmtId="0" fontId="1" fillId="10" borderId="4" xfId="0" applyFont="1" applyFill="1" applyBorder="1" applyAlignment="1">
      <alignment horizontal="center" vertical="center" wrapText="1"/>
    </xf>
    <xf numFmtId="0" fontId="1" fillId="5" borderId="41" xfId="0" applyFont="1" applyFill="1" applyBorder="1" applyAlignment="1">
      <alignment horizontal="center"/>
    </xf>
    <xf numFmtId="0" fontId="1" fillId="5" borderId="34" xfId="0" applyFont="1" applyFill="1" applyBorder="1" applyAlignment="1">
      <alignment horizontal="center"/>
    </xf>
    <xf numFmtId="167" fontId="1" fillId="10" borderId="14" xfId="0" applyNumberFormat="1" applyFont="1" applyFill="1" applyBorder="1" applyAlignment="1">
      <alignment horizontal="center" vertical="center" wrapText="1"/>
    </xf>
    <xf numFmtId="0" fontId="12" fillId="8" borderId="13" xfId="0" applyFont="1" applyFill="1" applyBorder="1" applyAlignment="1">
      <alignment horizontal="center" vertical="center" textRotation="90"/>
    </xf>
    <xf numFmtId="0" fontId="12" fillId="8" borderId="29" xfId="0" applyFont="1" applyFill="1" applyBorder="1" applyAlignment="1">
      <alignment horizontal="center" vertical="center" textRotation="90"/>
    </xf>
    <xf numFmtId="0" fontId="12" fillId="8" borderId="31" xfId="0" applyFont="1" applyFill="1" applyBorder="1" applyAlignment="1">
      <alignment horizontal="center" vertical="center" textRotation="90"/>
    </xf>
    <xf numFmtId="0" fontId="1" fillId="9" borderId="41" xfId="0" applyFont="1" applyFill="1" applyBorder="1" applyAlignment="1">
      <alignment horizontal="center" wrapText="1"/>
    </xf>
    <xf numFmtId="0" fontId="1" fillId="9" borderId="37" xfId="0" applyFont="1" applyFill="1" applyBorder="1" applyAlignment="1">
      <alignment horizontal="center" wrapText="1"/>
    </xf>
    <xf numFmtId="0" fontId="1" fillId="9" borderId="34" xfId="0" applyFont="1" applyFill="1" applyBorder="1" applyAlignment="1">
      <alignment horizontal="center" wrapText="1"/>
    </xf>
    <xf numFmtId="167" fontId="1" fillId="9" borderId="41" xfId="0" applyNumberFormat="1" applyFont="1" applyFill="1" applyBorder="1" applyAlignment="1">
      <alignment horizontal="center" vertical="center"/>
    </xf>
    <xf numFmtId="167" fontId="1" fillId="9" borderId="37" xfId="0" applyNumberFormat="1" applyFont="1" applyFill="1" applyBorder="1" applyAlignment="1">
      <alignment horizontal="center" vertical="center"/>
    </xf>
    <xf numFmtId="167" fontId="1" fillId="9" borderId="34" xfId="0" applyNumberFormat="1" applyFont="1" applyFill="1" applyBorder="1" applyAlignment="1">
      <alignment horizontal="center" vertical="center"/>
    </xf>
    <xf numFmtId="0" fontId="1" fillId="9" borderId="4" xfId="0" applyFont="1" applyFill="1" applyBorder="1" applyAlignment="1">
      <alignment horizontal="center" wrapText="1"/>
    </xf>
    <xf numFmtId="167" fontId="1" fillId="9" borderId="14" xfId="0" applyNumberFormat="1" applyFont="1" applyFill="1" applyBorder="1" applyAlignment="1">
      <alignment horizontal="center" vertical="center"/>
    </xf>
    <xf numFmtId="0" fontId="3" fillId="10" borderId="41" xfId="0" applyFont="1" applyFill="1" applyBorder="1" applyAlignment="1">
      <alignment horizontal="center" vertical="center" wrapText="1"/>
    </xf>
    <xf numFmtId="0" fontId="3" fillId="10" borderId="37" xfId="0" applyFont="1" applyFill="1" applyBorder="1" applyAlignment="1">
      <alignment horizontal="center" vertical="center" wrapText="1"/>
    </xf>
    <xf numFmtId="0" fontId="3" fillId="10" borderId="34" xfId="0" applyFont="1" applyFill="1" applyBorder="1" applyAlignment="1">
      <alignment horizontal="center" vertical="center" wrapText="1"/>
    </xf>
    <xf numFmtId="0" fontId="1" fillId="5" borderId="37" xfId="0" applyFont="1" applyFill="1" applyBorder="1" applyAlignment="1">
      <alignment horizontal="center"/>
    </xf>
    <xf numFmtId="167" fontId="12" fillId="4" borderId="62" xfId="0" applyNumberFormat="1" applyFont="1" applyFill="1" applyBorder="1" applyAlignment="1">
      <alignment horizontal="center" vertical="center"/>
    </xf>
    <xf numFmtId="167" fontId="12" fillId="4" borderId="48" xfId="0" applyNumberFormat="1" applyFont="1" applyFill="1" applyBorder="1" applyAlignment="1">
      <alignment horizontal="center" vertical="center"/>
    </xf>
    <xf numFmtId="167" fontId="12" fillId="4" borderId="60" xfId="0" applyNumberFormat="1" applyFont="1" applyFill="1" applyBorder="1" applyAlignment="1">
      <alignment horizontal="center" vertical="center"/>
    </xf>
    <xf numFmtId="167" fontId="22" fillId="14" borderId="8" xfId="0" applyNumberFormat="1" applyFont="1" applyFill="1" applyBorder="1" applyAlignment="1" applyProtection="1">
      <alignment horizontal="center" vertical="center"/>
      <protection locked="0"/>
    </xf>
    <xf numFmtId="167" fontId="22" fillId="14" borderId="17" xfId="0" applyNumberFormat="1" applyFont="1" applyFill="1" applyBorder="1" applyAlignment="1" applyProtection="1">
      <alignment horizontal="center" vertical="center"/>
      <protection locked="0"/>
    </xf>
    <xf numFmtId="167" fontId="22" fillId="14" borderId="45" xfId="0" applyNumberFormat="1" applyFont="1" applyFill="1" applyBorder="1" applyAlignment="1" applyProtection="1">
      <alignment horizontal="center" vertical="center"/>
      <protection locked="0"/>
    </xf>
    <xf numFmtId="0" fontId="0" fillId="0" borderId="0" xfId="0" applyAlignment="1">
      <alignment horizontal="left" vertical="center" wrapText="1"/>
    </xf>
    <xf numFmtId="0" fontId="3" fillId="2" borderId="0" xfId="0" applyFont="1" applyFill="1" applyAlignment="1">
      <alignment horizontal="left" vertical="center" wrapText="1"/>
    </xf>
    <xf numFmtId="0" fontId="0" fillId="0" borderId="0" xfId="0" applyAlignment="1">
      <alignment horizontal="left" wrapText="1"/>
    </xf>
    <xf numFmtId="0" fontId="12" fillId="8" borderId="13" xfId="0" applyFont="1" applyFill="1" applyBorder="1" applyAlignment="1">
      <alignment horizontal="center" vertical="center" textRotation="90" wrapText="1"/>
    </xf>
    <xf numFmtId="0" fontId="12" fillId="8" borderId="29" xfId="0" applyFont="1" applyFill="1" applyBorder="1" applyAlignment="1">
      <alignment horizontal="center" vertical="center" textRotation="90" wrapText="1"/>
    </xf>
    <xf numFmtId="0" fontId="12" fillId="8" borderId="31" xfId="0" applyFont="1" applyFill="1" applyBorder="1" applyAlignment="1">
      <alignment horizontal="center" vertical="center" textRotation="90" wrapText="1"/>
    </xf>
    <xf numFmtId="167" fontId="12" fillId="4" borderId="8" xfId="0" applyNumberFormat="1" applyFont="1" applyFill="1" applyBorder="1" applyAlignment="1">
      <alignment horizontal="center" vertical="center"/>
    </xf>
    <xf numFmtId="167" fontId="12" fillId="4" borderId="17" xfId="0" applyNumberFormat="1" applyFont="1" applyFill="1" applyBorder="1" applyAlignment="1">
      <alignment horizontal="center" vertical="center"/>
    </xf>
    <xf numFmtId="167" fontId="12" fillId="4" borderId="45" xfId="0" applyNumberFormat="1" applyFont="1" applyFill="1" applyBorder="1" applyAlignment="1">
      <alignment horizontal="center" vertical="center"/>
    </xf>
    <xf numFmtId="0" fontId="0" fillId="0" borderId="0" xfId="0" applyAlignment="1">
      <alignment horizontal="center"/>
    </xf>
  </cellXfs>
  <cellStyles count="7">
    <cellStyle name="Bad" xfId="5" builtinId="27"/>
    <cellStyle name="Good" xfId="4" builtinId="26"/>
    <cellStyle name="Hyperlink" xfId="3" builtinId="8"/>
    <cellStyle name="Normal" xfId="0" builtinId="0"/>
    <cellStyle name="Normal 2" xfId="6" xr:uid="{7898CFCB-87E9-4204-8B7A-CA89A9C7A859}"/>
    <cellStyle name="Percent" xfId="1" builtinId="5"/>
    <cellStyle name="Style0" xfId="2" xr:uid="{554CB26E-8EA1-41F8-949E-436C8A2177F1}"/>
  </cellStyles>
  <dxfs count="285">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006100"/>
      </font>
      <fill>
        <patternFill patternType="none">
          <bgColor auto="1"/>
        </patternFill>
      </fill>
    </dxf>
    <dxf>
      <font>
        <color theme="7" tint="-0.499984740745262"/>
      </font>
      <fill>
        <patternFill patternType="solid">
          <bgColor rgb="FFDDF0C8"/>
        </patternFill>
      </fill>
    </dxf>
    <dxf>
      <font>
        <color theme="7" tint="-0.499984740745262"/>
      </font>
      <fill>
        <patternFill patternType="solid">
          <bgColor rgb="FFDDF0C8"/>
        </patternFill>
      </fill>
    </dxf>
    <dxf>
      <font>
        <color rgb="FF9C0006"/>
      </font>
      <fill>
        <patternFill patternType="solid">
          <bgColor rgb="FFFFAFAF"/>
        </patternFill>
      </fill>
    </dxf>
    <dxf>
      <fill>
        <patternFill>
          <bgColor theme="4" tint="0.79998168889431442"/>
        </patternFill>
      </fill>
    </dxf>
    <dxf>
      <font>
        <color rgb="FF9C0006"/>
      </font>
      <fill>
        <patternFill patternType="none">
          <bgColor auto="1"/>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006100"/>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none">
          <bgColor auto="1"/>
        </patternFill>
      </fill>
    </dxf>
    <dxf>
      <font>
        <color rgb="FF9C0006"/>
      </font>
      <fill>
        <patternFill patternType="none">
          <bgColor auto="1"/>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patternType="none">
          <bgColor auto="1"/>
        </patternFill>
      </fill>
    </dxf>
    <dxf>
      <font>
        <color rgb="FF006100"/>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patternType="none">
          <bgColor auto="1"/>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patternType="none">
          <bgColor auto="1"/>
        </patternFill>
      </fill>
    </dxf>
    <dxf>
      <font>
        <b/>
        <i val="0"/>
      </font>
    </dxf>
    <dxf>
      <font>
        <color rgb="FF006100"/>
      </font>
      <fill>
        <patternFill patternType="solid">
          <bgColor theme="7" tint="0.79998168889431442"/>
        </patternFill>
      </fill>
    </dxf>
    <dxf>
      <font>
        <color rgb="FFFF00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patternType="none">
          <bgColor auto="1"/>
        </patternFill>
      </fill>
    </dxf>
    <dxf>
      <font>
        <color rgb="FF9C0006"/>
      </font>
      <fill>
        <patternFill patternType="none">
          <bgColor auto="1"/>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patternType="none">
          <bgColor auto="1"/>
        </patternFill>
      </fill>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68" formatCode="000000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168" formatCode="00000000"/>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
      <numFmt numFmtId="0" formatCode="General"/>
    </dxf>
    <dxf>
      <numFmt numFmtId="168" formatCode="00000000"/>
    </dxf>
    <dxf>
      <font>
        <b val="0"/>
        <i val="0"/>
        <strike val="0"/>
        <condense val="0"/>
        <extend val="0"/>
        <outline val="0"/>
        <shadow val="0"/>
        <u val="none"/>
        <vertAlign val="baseline"/>
        <sz val="11"/>
        <color theme="1"/>
        <name val="Calibri"/>
        <family val="2"/>
        <scheme val="minor"/>
      </font>
      <numFmt numFmtId="168" formatCode="00000000"/>
      <fill>
        <patternFill patternType="none">
          <fgColor indexed="64"/>
          <bgColor indexed="65"/>
        </patternFill>
      </fill>
    </dxf>
    <dxf>
      <numFmt numFmtId="168" formatCode="00000000"/>
    </dxf>
    <dxf>
      <font>
        <b val="0"/>
        <i val="0"/>
        <strike val="0"/>
        <condense val="0"/>
        <extend val="0"/>
        <outline val="0"/>
        <shadow val="0"/>
        <u val="none"/>
        <vertAlign val="baseline"/>
        <sz val="11"/>
        <color auto="1"/>
        <name val="Calibri"/>
        <family val="2"/>
        <scheme val="minor"/>
      </font>
      <numFmt numFmtId="1" formatCode="0"/>
      <fill>
        <patternFill patternType="solid">
          <fgColor theme="0" tint="-0.14999847407452621"/>
          <bgColor theme="0" tint="-0.14999847407452621"/>
        </patternFill>
      </fill>
      <alignment horizontal="left" vertical="bottom" textRotation="0" wrapText="1" indent="0" justifyLastLine="0" shrinkToFit="0" readingOrder="0"/>
      <border diagonalUp="0" diagonalDown="0">
        <left/>
        <right/>
        <top style="thin">
          <color theme="0" tint="-0.34998626667073579"/>
        </top>
        <bottom style="thin">
          <color theme="0" tint="-0.34998626667073579"/>
        </bottom>
        <vertical/>
        <horizontal/>
      </border>
    </dxf>
    <dxf>
      <border outline="0">
        <left style="medium">
          <color rgb="FF000000"/>
        </left>
      </border>
    </dxf>
    <dxf>
      <fill>
        <patternFill patternType="solid">
          <fgColor theme="0" tint="-0.14999847407452621"/>
          <bgColor theme="0" tint="-0.14999847407452621"/>
        </patternFill>
      </fill>
      <border diagonalUp="0" diagonalDown="0">
        <left style="thin">
          <color theme="1"/>
        </left>
        <right style="thin">
          <color theme="1"/>
        </right>
        <top style="thin">
          <color theme="1"/>
        </top>
        <bottom style="thin">
          <color theme="1"/>
        </bottom>
        <vertical/>
        <horizontal/>
      </border>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scheme val="none"/>
      </font>
      <alignment horizontal="center"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border outline="0">
        <top style="thin">
          <color theme="0"/>
        </top>
      </border>
    </dxf>
    <dxf>
      <border outline="0">
        <bottom style="thin">
          <color theme="0"/>
        </bottom>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dxf>
    <dxf>
      <border outline="0">
        <bottom style="thin">
          <color auto="1"/>
        </bottom>
      </border>
    </dxf>
    <dxf>
      <font>
        <b/>
        <i val="0"/>
        <strike val="0"/>
        <condense val="0"/>
        <extend val="0"/>
        <outline val="0"/>
        <shadow val="0"/>
        <u val="none"/>
        <vertAlign val="baseline"/>
        <sz val="11"/>
        <color theme="0"/>
        <name val="Calibri"/>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thin">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center" vertical="bottom" textRotation="0" wrapText="1" indent="0" justifyLastLine="0" shrinkToFit="0" readingOrder="0"/>
      <border diagonalUp="0" diagonalDown="0">
        <left style="medium">
          <color indexed="64"/>
        </left>
        <right style="thin">
          <color indexed="64"/>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auto="1"/>
        <name val="Calibri"/>
        <family val="2"/>
        <scheme val="minor"/>
      </font>
      <numFmt numFmtId="4" formatCode="#,##0.00"/>
      <alignment horizontal="center" vertical="bottom" textRotation="0" wrapText="1" indent="0" justifyLastLine="0" shrinkToFit="0" readingOrder="0"/>
      <border diagonalUp="0" diagonalDown="0">
        <left style="medium">
          <color indexed="64"/>
        </left>
        <right style="thin">
          <color indexed="64"/>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center" vertical="bottom" textRotation="0" wrapText="1" indent="0" justifyLastLine="0" shrinkToFit="0" readingOrder="0"/>
      <border diagonalUp="0" diagonalDown="0" outline="0">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center" vertical="bottom" textRotation="0" wrapText="1"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thin">
          <color indexed="64"/>
        </left>
        <right style="medium">
          <color indexed="64"/>
        </right>
        <top style="thin">
          <color theme="0" tint="-0.34998626667073579"/>
        </top>
        <bottom style="thin">
          <color theme="0" tint="-0.34998626667073579"/>
        </bottom>
      </border>
    </dxf>
    <dxf>
      <font>
        <strike val="0"/>
        <outline val="0"/>
        <shadow val="0"/>
        <u val="none"/>
        <vertAlign val="baseline"/>
        <sz val="11"/>
        <name val="Calibri"/>
        <family val="2"/>
        <scheme val="minor"/>
      </font>
      <numFmt numFmtId="165" formatCode="0.000"/>
      <alignment horizontal="center" vertical="bottom" textRotation="0" wrapText="0"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strike val="0"/>
        <outline val="0"/>
        <shadow val="0"/>
        <u val="none"/>
        <vertAlign val="baseline"/>
        <sz val="11"/>
        <name val="Calibri"/>
        <family val="2"/>
        <scheme val="minor"/>
      </font>
      <numFmt numFmtId="165" formatCode="0.000"/>
      <alignment horizontal="center" vertical="bottom" textRotation="0" wrapText="0"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right/>
        <top style="thin">
          <color theme="0" tint="-0.34998626667073579"/>
        </top>
        <bottom style="thin">
          <color theme="0" tint="-0.34998626667073579"/>
        </bottom>
      </border>
    </dxf>
    <dxf>
      <font>
        <strike val="0"/>
        <outline val="0"/>
        <shadow val="0"/>
        <u val="none"/>
        <vertAlign val="baseline"/>
        <sz val="11"/>
        <name val="Calibri"/>
        <family val="2"/>
        <scheme val="minor"/>
      </font>
      <numFmt numFmtId="165" formatCode="0.000"/>
      <alignment horizontal="center" vertical="bottom" textRotation="0"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thin">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left style="medium">
          <color indexed="64"/>
        </left>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left style="medium">
          <color indexed="64"/>
        </left>
        <right style="thin">
          <color indexed="64"/>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left style="medium">
          <color indexed="64"/>
        </left>
        <right/>
        <top style="thin">
          <color theme="0" tint="-0.34998626667073579"/>
        </top>
        <bottom style="thin">
          <color theme="0" tint="-0.34998626667073579"/>
        </bottom>
        <horizontal style="thin">
          <color theme="0" tint="-0.34998626667073579"/>
        </horizontal>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theme="0" tint="-0.34998626667073579"/>
        </top>
        <bottom style="thin">
          <color theme="0" tint="-0.34998626667073579"/>
        </bottom>
        <horizontal style="thin">
          <color theme="0" tint="-0.34998626667073579"/>
        </horizontal>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left style="medium">
          <color indexed="64"/>
        </left>
        <right style="thin">
          <color indexed="64"/>
        </right>
        <top style="thin">
          <color theme="0" tint="-0.34998626667073579"/>
        </top>
        <bottom style="thin">
          <color theme="0" tint="-0.34998626667073579"/>
        </bottom>
        <vertical/>
        <horizontal style="thin">
          <color theme="0" tint="-0.34998626667073579"/>
        </horizontal>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66" formatCode="&quot;$&quot;#,##0"/>
      <alignment horizontal="right"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66" formatCode="&quot;$&quot;#,##0"/>
      <alignment horizontal="right"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general"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general" vertical="bottom" textRotation="0" wrapText="1" indent="0" justifyLastLine="0" shrinkToFit="0" readingOrder="0"/>
      <border diagonalUp="0" diagonalDown="0">
        <left style="thin">
          <color indexed="64"/>
        </left>
        <right style="thin">
          <color indexed="64"/>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auto="1"/>
        <name val="Calibri"/>
        <family val="2"/>
        <scheme val="minor"/>
      </font>
      <numFmt numFmtId="1" formatCode="0"/>
      <alignment horizontal="general" vertical="bottom" textRotation="0" wrapText="1" indent="0" justifyLastLine="0" shrinkToFit="0" readingOrder="0"/>
      <border diagonalUp="0" diagonalDown="0">
        <left style="thin">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general" vertical="bottom" textRotation="0" wrapText="1" indent="0" justifyLastLine="0" shrinkToFit="0" readingOrder="0"/>
      <border diagonalUp="0" diagonalDown="0">
        <left style="thin">
          <color indexed="64"/>
        </left>
        <right style="thin">
          <color indexed="64"/>
        </right>
        <top style="thin">
          <color theme="0" tint="-0.34998626667073579"/>
        </top>
        <bottom style="thin">
          <color theme="0" tint="-0.34998626667073579"/>
        </bottom>
        <vertical/>
        <horizontal style="thin">
          <color theme="0" tint="-0.34998626667073579"/>
        </horizontal>
      </border>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border diagonalUp="0" diagonalDown="0" outline="0">
        <left style="thin">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border diagonalUp="0" diagonalDown="0" outline="0">
        <left style="thin">
          <color indexed="64"/>
        </left>
        <right/>
        <top style="thin">
          <color theme="0" tint="-0.34998626667073579"/>
        </top>
        <bottom style="thin">
          <color theme="0" tint="-0.34998626667073579"/>
        </bottom>
      </border>
    </dxf>
    <dxf>
      <border outline="0">
        <left style="medium">
          <color rgb="FF000000"/>
        </left>
        <right style="medium">
          <color rgb="FF000000"/>
        </right>
        <top style="medium">
          <color rgb="FF000000"/>
        </top>
      </border>
    </dxf>
    <dxf>
      <font>
        <strike val="0"/>
        <outline val="0"/>
        <shadow val="0"/>
        <u val="none"/>
        <vertAlign val="baseline"/>
        <sz val="11"/>
        <name val="Calibri"/>
        <family val="2"/>
        <scheme val="minor"/>
      </font>
    </dxf>
    <dxf>
      <border outline="0">
        <bottom style="medium">
          <color rgb="FF000000"/>
        </bottom>
      </border>
    </dxf>
    <dxf>
      <font>
        <strike val="0"/>
        <outline val="0"/>
        <shadow val="0"/>
        <u val="none"/>
        <vertAlign val="baseline"/>
        <sz val="11"/>
        <color auto="1"/>
        <name val="Calibri"/>
        <family val="2"/>
        <scheme val="minor"/>
      </font>
      <fill>
        <patternFill patternType="solid">
          <fgColor indexed="64"/>
          <bgColor theme="4"/>
        </patternFill>
      </fill>
    </dxf>
  </dxfs>
  <tableStyles count="0" defaultTableStyle="TableStyleMedium2" defaultPivotStyle="PivotStyleLight16"/>
  <colors>
    <mruColors>
      <color rgb="FFFFE699"/>
      <color rgb="FFF4B084"/>
      <color rgb="FFD9ACA7"/>
      <color rgb="FFBDD7EE"/>
      <color rgb="FFED7D31"/>
      <color rgb="FFC4E59F"/>
      <color rgb="FFDDF0C8"/>
      <color rgb="FFFFAFAF"/>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twdb4afssvr2\division\OoP\FLOOD-PLANNING\05_StateFloodPlanning\06_ProjectRanking\04_Ranking%20Methods\02_Methods_Round2\For_FIUP\2024_02_16_pre_RFI\2024_02_21_FMS_Ranking_Workbook_Clean.xlsx" TargetMode="External"/><Relationship Id="rId1" Type="http://schemas.openxmlformats.org/officeDocument/2006/relationships/externalLinkPath" Target="file:///\\twdb4afssvr2\division\OoP\FLOOD-PLANNING\05_StateFloodPlanning\06_ProjectRanking\04_Ranking%20Methods\02_Methods_Round2\For_FIUP\2024_02_16_pre_RFI\2024_02_21_FMS_Ranking_Workbook_Cle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_Me"/>
      <sheetName val="FMS_InputData"/>
      <sheetName val="Ranking_Criteria"/>
      <sheetName val="FMS_Ranking"/>
      <sheetName val="Project_Type_Scoring"/>
      <sheetName val="Entity_Lookup"/>
      <sheetName val="Sponsor_Lookup"/>
      <sheetName val="About Lookups"/>
      <sheetName val="2024_02_21_FMS_Ranking_Workbook"/>
    </sheetNames>
    <sheetDataSet>
      <sheetData sheetId="0"/>
      <sheetData sheetId="1"/>
      <sheetData sheetId="2"/>
      <sheetData sheetId="3"/>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0695846-D0AE-419E-A629-EB827634639C}" name="FMS_Input" displayName="FMS_Input" ref="A7:CE993" totalsRowShown="0" headerRowDxfId="199" dataDxfId="197" headerRowBorderDxfId="198" tableBorderDxfId="196" totalsRowBorderDxfId="195">
  <autoFilter ref="A7:CE993" xr:uid="{50695846-D0AE-419E-A629-EB827634639C}"/>
  <tableColumns count="83">
    <tableColumn id="2" xr3:uid="{B1453C53-E8C8-48A3-A8CC-B44BA11DC90D}" name="FMS_ID" dataDxfId="194"/>
    <tableColumn id="3" xr3:uid="{E233B089-82AB-451C-9539-ECF5BD5E09BC}" name="FMS_NAME" dataDxfId="193"/>
    <tableColumn id="4" xr3:uid="{B5188063-0CE1-4757-B243-2CC1D82F3D15}" name="FMS_DESCR" dataDxfId="192"/>
    <tableColumn id="5" xr3:uid="{9F3FCFA4-02F2-43BF-A078-1723A9D9DE2F}" name="RFPG_NUM" dataDxfId="191"/>
    <tableColumn id="6" xr3:uid="{6ADDE090-852F-4B89-AA23-F95D040D5E6C}" name="RFPG_NAME" dataDxfId="190"/>
    <tableColumn id="7" xr3:uid="{C109C56F-CE42-4387-8C0F-DEAAD59994EC}" name="COUNTY" dataDxfId="189"/>
    <tableColumn id="8" xr3:uid="{137195A6-C3E7-4FC8-B74D-400C1DCE3A3C}" name="HUC8" dataDxfId="188"/>
    <tableColumn id="9" xr3:uid="{7FC1135B-AB70-409C-A17A-0F22EABFEC72}" name="HUC10" dataDxfId="187"/>
    <tableColumn id="10" xr3:uid="{61B923BA-B533-4279-AF61-70BB4B93268E}" name="HUC12" dataDxfId="186"/>
    <tableColumn id="11" xr3:uid="{8F9CB9FC-8F03-4913-B5F1-6EA00CBECB58}" name="WS_ID" dataDxfId="185"/>
    <tableColumn id="12" xr3:uid="{51E41A0D-2E82-41B4-ADEF-672B2F0F8E05}" name="GOAL_ID" dataDxfId="184"/>
    <tableColumn id="13" xr3:uid="{85461BB0-F425-4F94-A931-736190CA9C61}" name="AREA_SQMI" dataDxfId="183"/>
    <tableColumn id="14" xr3:uid="{0B21DFDC-6169-436C-A9F2-54B29896E1C5}" name="FLD_TP_RIV" dataDxfId="182"/>
    <tableColumn id="15" xr3:uid="{320AF196-2B72-418C-A7E3-910DDF154C8D}" name="FLD_TP_CST" dataDxfId="181"/>
    <tableColumn id="16" xr3:uid="{A6783DCC-EE93-4A5C-AE04-441A14210418}" name="FLD_TP_LOC" dataDxfId="180"/>
    <tableColumn id="17" xr3:uid="{D42A0247-5231-40F7-8457-3CFA8139CF75}" name="FLD_TP_PLY" dataDxfId="179"/>
    <tableColumn id="18" xr3:uid="{6A8BD5AF-85A4-4B6B-B7AA-90EA0E8A860E}" name="FLD_TP_OTH" dataDxfId="178"/>
    <tableColumn id="19" xr3:uid="{FB7F1D74-9C81-4FFB-B0CA-A6424979C225}" name="SPONSOR" dataDxfId="177"/>
    <tableColumn id="20" xr3:uid="{503F979B-AD03-44BF-A697-F3612861C7DB}" name="ENTITY_ID" dataDxfId="176"/>
    <tableColumn id="21" xr3:uid="{BE0B90F9-8A68-49BA-81A8-63F4C85572DA}" name="EMER_NEED" dataDxfId="175"/>
    <tableColumn id="22" xr3:uid="{712A3DC4-347F-46D4-8253-ADC5D8BC6402}" name="FMS_TYPE" dataDxfId="174"/>
    <tableColumn id="23" xr3:uid="{E8135296-0244-4919-8077-D19991AA6DBE}" name="FMS_COST" dataDxfId="173"/>
    <tableColumn id="24" xr3:uid="{1D64DDD9-CF71-4BC1-A6A1-253CED1FB466}" name="NRNC_COST" dataDxfId="172"/>
    <tableColumn id="25" xr3:uid="{550AE6B7-AF60-4BED-9383-D72C8B265C10}" name="FUND" dataDxfId="171"/>
    <tableColumn id="26" xr3:uid="{494E1D26-7B17-4472-AF3C-9EF3F5BF3436}" name="FUND_SRC" dataDxfId="170"/>
    <tableColumn id="27" xr3:uid="{8A576F0A-7FD4-44F9-9D7B-8159D320FE64}" name="FUND_AMNT" dataDxfId="169"/>
    <tableColumn id="28" xr3:uid="{04705DE0-9152-4E4B-B507-AF2545872751}" name="AREA_100" dataDxfId="168"/>
    <tableColumn id="29" xr3:uid="{44196D31-D74F-44CB-90B8-C41280FB4067}" name="AREA_500" dataDxfId="167"/>
    <tableColumn id="30" xr3:uid="{666C7507-805F-45ED-88D1-57286DE77E50}" name="AREA_PRONE" dataDxfId="166"/>
    <tableColumn id="31" xr3:uid="{B7B0E65C-F74B-4404-8FBB-2BB2C07652A7}" name="STRUCT_100" dataDxfId="165"/>
    <tableColumn id="32" xr3:uid="{07F397BD-A34E-478E-9BEB-A33984041E79}" name="STRUCT_500" dataDxfId="164"/>
    <tableColumn id="33" xr3:uid="{D7408704-0C92-426B-98B4-112AA6D31DEE}" name="RES_STRUCT100" dataDxfId="163"/>
    <tableColumn id="34" xr3:uid="{D27339CD-2B35-4D72-A347-57B1BFB6BDD0}" name="POP_DAY100" dataDxfId="162"/>
    <tableColumn id="35" xr3:uid="{54D02AE3-A9EB-45F5-9604-D01AFFD5F7BD}" name="POP_NIGHT100" dataDxfId="161"/>
    <tableColumn id="36" xr3:uid="{598ADA1C-9781-4195-A226-34D4C1457508}" name="POP100" dataDxfId="160"/>
    <tableColumn id="37" xr3:uid="{98C60C17-0517-4188-AE23-7A933C315B59}" name="CRITFAC100" dataDxfId="159"/>
    <tableColumn id="38" xr3:uid="{900B71A6-D89E-4EA7-86FF-6ECF94E4DC05}" name="LWC" dataDxfId="158"/>
    <tableColumn id="39" xr3:uid="{48E44443-3846-491F-9949-CB6C74DEE063}" name="ROAD_MILES100" dataDxfId="157"/>
    <tableColumn id="40" xr3:uid="{525FEC12-9B23-4C28-8C86-71BAB378A29C}" name="ROADCLS" dataDxfId="156"/>
    <tableColumn id="41" xr3:uid="{52083E9C-29D2-42AA-9D35-3F004B26E0FF}" name="FARMACRE100" dataDxfId="155"/>
    <tableColumn id="42" xr3:uid="{55D94C00-81A9-40AF-8FAE-3E15C101E1FF}" name="FATAL" dataDxfId="154"/>
    <tableColumn id="43" xr3:uid="{B049A79D-8F19-42D6-B853-233099294B55}" name="INJURY" dataDxfId="153"/>
    <tableColumn id="44" xr3:uid="{AF2D8738-A5BA-4211-917E-F8D7FB46A65A}" name="DAMAGE" dataDxfId="152"/>
    <tableColumn id="45" xr3:uid="{432BBFB4-281D-43D6-A0F3-D311B944AD95}" name="REDSTRUCT100" dataDxfId="151"/>
    <tableColumn id="46" xr3:uid="{7AD2E064-4EB5-4A04-9BD1-1D9F1E34E66C}" name="REMSTRC100" dataDxfId="150"/>
    <tableColumn id="47" xr3:uid="{4222FFA4-9C5F-42F5-8471-6796B183508F}" name="REMSTRC500" dataDxfId="149"/>
    <tableColumn id="48" xr3:uid="{890D57AE-97F8-4E7A-8C5D-4F6093EBD841}" name="REMRESSTRC100" dataDxfId="148"/>
    <tableColumn id="49" xr3:uid="{20C1ACB2-F044-4787-9B33-C9A173EDFFEA}" name="REMPOP100" dataDxfId="147"/>
    <tableColumn id="50" xr3:uid="{B887181D-147B-4265-B1C6-EE097C3166BE}" name="REMCRITFAC100" dataDxfId="146"/>
    <tableColumn id="51" xr3:uid="{16BC9A3C-11EE-4DF4-8BA3-22CD8AC1590D}" name="REMLWC100" dataDxfId="145"/>
    <tableColumn id="52" xr3:uid="{8C3D1574-2469-4C31-A937-1BBA53EBC92A}" name="REMRDLEN100" dataDxfId="144"/>
    <tableColumn id="53" xr3:uid="{B866E854-A081-4F0B-8418-6837453D7E13}" name="REMROADCLS" dataDxfId="143"/>
    <tableColumn id="54" xr3:uid="{20A4432E-FDE2-4EF5-B134-6A7A957630D4}" name="REMFRMACRE100" dataDxfId="142"/>
    <tableColumn id="55" xr3:uid="{833C450C-0F8C-45FC-AC94-470467A2EF0F}" name="REMFATAL" dataDxfId="141"/>
    <tableColumn id="56" xr3:uid="{49783A53-DE2A-4BC7-BE4A-5B48292CB8E7}" name="REMINJR" dataDxfId="140"/>
    <tableColumn id="57" xr3:uid="{0B71F2DF-54C9-48C9-9145-6F6152794156}" name="REMDAMAGE" dataDxfId="139"/>
    <tableColumn id="58" xr3:uid="{4ABB6483-38E4-4A80-9292-470E4925A178}" name="COSTSTRUCT" dataDxfId="138"/>
    <tableColumn id="59" xr3:uid="{C9D0F5DA-20D2-4CBD-8460-EFFDAEBC7E34}" name="OTH_BENEFT" dataDxfId="137"/>
    <tableColumn id="60" xr3:uid="{774378EE-7851-4DA6-91CF-33B52AED29F4}" name="NEG_IMPACT" dataDxfId="136"/>
    <tableColumn id="61" xr3:uid="{DC7A9935-C7A2-48E0-8779-5BB5063B753A}" name="NEG_DESC" dataDxfId="135"/>
    <tableColumn id="62" xr3:uid="{025240AD-37C9-4E11-9FEB-E09C18173809}" name="NEG_MITIG" dataDxfId="134"/>
    <tableColumn id="63" xr3:uid="{4D0F3425-9D76-4667-891E-41739112EA31}" name="WATER_SUP" dataDxfId="133"/>
    <tableColumn id="64" xr3:uid="{EA94C9EA-20A4-4EEC-BF3E-97F6C23D700B}" name="WSUP_DESCR" dataDxfId="132"/>
    <tableColumn id="65" xr3:uid="{FF55C10A-CF17-4BE7-9B85-25A4349ADB5F}" name="NATURE" dataDxfId="131"/>
    <tableColumn id="66" xr3:uid="{C53C3FFB-263A-4630-8092-3D844B233C9E}" name="TRAFFIC" dataDxfId="130"/>
    <tableColumn id="67" xr3:uid="{4CCBBE09-11B9-4B6B-83F6-592F2037EE73}" name="ASSOCIATED" dataDxfId="129"/>
    <tableColumn id="68" xr3:uid="{5C533D33-824C-443E-B3CC-E5F049EECC52}" name="ASSCFME_ID" dataDxfId="128"/>
    <tableColumn id="69" xr3:uid="{F1353A68-54F3-43BE-B755-9C20E01D2DE4}" name="ASSCFMS_ID" dataDxfId="127"/>
    <tableColumn id="70" xr3:uid="{C694F9B9-8693-4AAC-BAE3-32F26ECE463C}" name="ASSCFMP_ID" dataDxfId="126"/>
    <tableColumn id="71" xr3:uid="{CAEE0028-753A-4E82-9687-8AFF7C262C4B}" name="ASSC_DESC" dataDxfId="125"/>
    <tableColumn id="72" xr3:uid="{CECADB56-A298-4E82-A2FC-017D6A937DDA}" name="COMPARISON" dataDxfId="124"/>
    <tableColumn id="73" xr3:uid="{DC152C7F-A9AB-4526-B420-6559B2B8658E}" name="COMPFME_ID" dataDxfId="123"/>
    <tableColumn id="74" xr3:uid="{53F77A3C-C891-491C-96CE-2AEF981A8BD0}" name="COMPFMS_ID" dataDxfId="122"/>
    <tableColumn id="75" xr3:uid="{682BAE1B-7731-4BA4-B190-27AA401FA01C}" name="COMPFMP_ID" dataDxfId="121"/>
    <tableColumn id="76" xr3:uid="{16FB358D-A130-4971-B619-75B83784FBCF}" name="COMP_DESC" dataDxfId="120"/>
    <tableColumn id="77" xr3:uid="{40D46DD3-87CE-4A23-B7D6-C6051CA04781}" name="RECOMMEND" dataDxfId="119"/>
    <tableColumn id="78" xr3:uid="{31D7464A-E429-4A44-B7BB-E6651A69349D}" name="REC_DESC" dataDxfId="118"/>
    <tableColumn id="79" xr3:uid="{426F27E8-17B7-4ABC-8FFA-103C0EF7DEDF}" name="MODEL_ID" dataDxfId="117"/>
    <tableColumn id="1" xr3:uid="{651C3842-C0A9-4B26-8232-89EF603E2DE7}" name="PHOLD_REMOVED"/>
    <tableColumn id="80" xr3:uid="{AFF3A83F-99BD-4610-9E7B-C42B05BE09A3}" name="INCL_NATURE" dataDxfId="116"/>
    <tableColumn id="81" xr3:uid="{572D6F20-8BAB-478D-87F6-31E833877C32}" name="Shape_Length" dataDxfId="115"/>
    <tableColumn id="82" xr3:uid="{FACDD76B-6873-42F7-9121-CEBB294E7D77}" name="Shape_Area" dataDxfId="114"/>
    <tableColumn id="83" xr3:uid="{5C008414-AB24-4AD7-9D03-9AF12B2E7670}" name="FMS_RANK_YEAR" dataDxfId="11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2A6673E-EA65-4330-AF46-67AFF6EB96DD}" name="FMS_Ranking4" displayName="FMS_Ranking4" ref="B7:CD870" totalsRowShown="0" headerRowDxfId="284" dataDxfId="282" headerRowBorderDxfId="283" tableBorderDxfId="281">
  <autoFilter ref="B7:CD870" xr:uid="{35E90BD8-4A55-4ECA-BCC9-BAF54B12CD71}"/>
  <sortState xmlns:xlrd2="http://schemas.microsoft.com/office/spreadsheetml/2017/richdata2" ref="B8:CD870">
    <sortCondition ref="BN7:BN870"/>
  </sortState>
  <tableColumns count="81">
    <tableColumn id="1" xr3:uid="{E05AD5BA-6840-4529-8726-628812117136}" name="FMS ID" dataDxfId="280"/>
    <tableColumn id="34" xr3:uid="{D1C1C186-BC49-444B-90F4-BDB2B1754F7D}" name="Region Number" dataDxfId="279">
      <calculatedColumnFormula>_xlfn.XLOOKUP(FMS_Ranking4[[#This Row],[FMS ID]],FMS_Input[FMS_ID],FMS_Input[RFPG_NUM])</calculatedColumnFormula>
    </tableColumn>
    <tableColumn id="37" xr3:uid="{2CFA1560-FB6C-40EC-B38F-0D7D00D897F7}" name="FMS Name" dataDxfId="278">
      <calculatedColumnFormula>_xlfn.XLOOKUP(FMS_Ranking4[[#This Row],[FMS ID]],FMS_Input[FMS_ID],FMS_Input[FMS_NAME])</calculatedColumnFormula>
    </tableColumn>
    <tableColumn id="84" xr3:uid="{701FFF1E-8107-40C6-81D8-291185F8F12C}" name="Sponsor ID" dataDxfId="277">
      <calculatedColumnFormula>_xlfn.XLOOKUP(FMS_Ranking4[[#This Row],[FMS ID]],FMS_Input[FMS_ID],FMS_Input[SPONSOR])</calculatedColumnFormula>
    </tableColumn>
    <tableColumn id="10" xr3:uid="{1E44E070-53A6-45C2-B0D8-3DAEEEB841A0}" name="Sponsor Name" dataDxfId="276">
      <calculatedColumnFormula>_xlfn.XLOOKUP(FMS_Ranking4[[#This Row],[FMS ID]],Sponsor[FMS_ID],Sponsor[SPONSOR NAME])</calculatedColumnFormula>
    </tableColumn>
    <tableColumn id="58" xr3:uid="{DC20CFCF-11C8-4A5C-BCDC-66523AF613CA}" name="FMS Description" dataDxfId="275">
      <calculatedColumnFormula>_xlfn.XLOOKUP(FMS_Ranking4[[#This Row],[FMS ID]],FMS_Input[FMS_ID],FMS_Input[FMS_DESCR])</calculatedColumnFormula>
    </tableColumn>
    <tableColumn id="70" xr3:uid="{A10F97A2-16D8-432B-8528-BF53C747EC57}" name="FMS Type" dataDxfId="274">
      <calculatedColumnFormula>_xlfn.XLOOKUP(FMS_Ranking4[[#This Row],[FMS ID]],FMS_Input[FMS_ID],FMS_Input[FMS_TYPE])</calculatedColumnFormula>
    </tableColumn>
    <tableColumn id="77" xr3:uid="{54C9A94C-7055-47D2-8FAD-311F1E911DAE}" name="Non-Recurring Non-Capital Cost" dataDxfId="273">
      <calculatedColumnFormula>_xlfn.XLOOKUP(FMS_Ranking4[[#This Row],[FMS ID]],FMS_Input[FMS_ID],FMS_Input[NRNC_COST])</calculatedColumnFormula>
    </tableColumn>
    <tableColumn id="8" xr3:uid="{B5890797-C06E-417C-AC7C-D82AA3AD1437}" name="Estimated Total Cost of Implementation" dataDxfId="272">
      <calculatedColumnFormula>_xlfn.XLOOKUP(FMS_Ranking4[[#This Row],[FMS ID]],FMS_Input[FMS_ID],FMS_Input[FMS_COST])</calculatedColumnFormula>
    </tableColumn>
    <tableColumn id="5" xr3:uid="{78DDC94F-28B6-4DCB-AA1B-4D231187A93D}" name="Emergency Need Raw" dataDxfId="271">
      <calculatedColumnFormula>_xlfn.XLOOKUP(FMS_Ranking4[[#This Row],[FMS ID]],FMS_Input[FMS_ID],FMS_Input[EMER_NEED])</calculatedColumnFormula>
    </tableColumn>
    <tableColumn id="6" xr3:uid="{D0EB5329-11C7-42BD-9204-16BE8E2E9318}" name="Emergency Need (Normalized)" dataDxfId="270">
      <calculatedColumnFormula>IF(K8="Yes",1,0)</calculatedColumnFormula>
    </tableColumn>
    <tableColumn id="12" xr3:uid="{999CC82D-40BD-4B9C-8F5A-38079E9DC9F5}" name="Structure at Risk Raw" dataDxfId="269">
      <calculatedColumnFormula>_xlfn.XLOOKUP(FMS_Ranking4[[#This Row],[FMS ID]],FMS_Input[FMS_ID],FMS_Input[STRUCT_100])</calculatedColumnFormula>
    </tableColumn>
    <tableColumn id="79" xr3:uid="{3A902381-4B7C-45B7-AE97-DB061518236C}" name="Structures at risk, ArcSinh (0-10)" dataDxfId="268">
      <calculatedColumnFormula>(ASINH(FMS_Ranking4[[#This Row],[Structure at Risk Raw]]))*(10)/(ASINH(M$4))</calculatedColumnFormula>
    </tableColumn>
    <tableColumn id="9" xr3:uid="{0D13C2D2-4042-4906-B393-DF56C0038A6E}" name="ArcSinh (Weighted) Structure at Risk" dataDxfId="267">
      <calculatedColumnFormula>FMS_Ranking4[[#This Row],[Structures at risk, ArcSinh (0-10)]]*M$5*10</calculatedColumnFormula>
    </tableColumn>
    <tableColumn id="18" xr3:uid="{029D351B-E545-42A8-9CBD-52C0F59896A7}" name="Res Structure Raw" dataDxfId="266">
      <calculatedColumnFormula>_xlfn.XLOOKUP(FMS_Ranking4[[#This Row],[FMS ID]],FMS_Input[FMS_ID],FMS_Input[RES_STRUCT100])</calculatedColumnFormula>
    </tableColumn>
    <tableColumn id="11" xr3:uid="{2952BA2A-284A-4CF8-93DF-F5F15EC04A66}" name="ArcSinh2" dataDxfId="265">
      <calculatedColumnFormula>ASINH(FMS_Ranking4[[#This Row],[Res Structure Raw]])/Q$4*P$5*100</calculatedColumnFormula>
    </tableColumn>
    <tableColumn id="15" xr3:uid="{3BE8E9CD-CB3D-45B6-ABC8-A63FDDC4F435}" name="Pop at Risk Raw" dataDxfId="264">
      <calculatedColumnFormula>_xlfn.XLOOKUP(FMS_Ranking4[[#This Row],[FMS ID]],FMS_Input[FMS_ID],FMS_Input[POP100])</calculatedColumnFormula>
    </tableColumn>
    <tableColumn id="86" xr3:uid="{52E57D4D-73D0-4389-BE22-7FFAD8B5F1A0}" name="Population at risk, ArcSinh (0-10)" dataDxfId="263">
      <calculatedColumnFormula>(ASINH(FMS_Ranking4[[#This Row],[Pop at Risk Raw]]))*(10)/(ASINH(R$4))</calculatedColumnFormula>
    </tableColumn>
    <tableColumn id="17" xr3:uid="{8C50B57E-12C7-4017-BE24-415EFA248E88}" name="ArcSinh (Weighted) Pop at Risk" dataDxfId="262">
      <calculatedColumnFormula>FMS_Ranking4[[#This Row],[Population at risk, ArcSinh (0-10)]]*R$5*10</calculatedColumnFormula>
    </tableColumn>
    <tableColumn id="21" xr3:uid="{036A2657-9475-435A-ACB6-9C699EA94E54}" name="Critical Facilities Raw" dataDxfId="261">
      <calculatedColumnFormula>_xlfn.XLOOKUP(FMS_Ranking4[[#This Row],[FMS ID]],FMS_Input[FMS_ID],FMS_Input[CRITFAC100])</calculatedColumnFormula>
    </tableColumn>
    <tableColumn id="88" xr3:uid="{484227FC-3B47-4A67-9797-50F58109D1E0}" name="Critical facilities at risk, ArcSinh (0-10)" dataDxfId="260">
      <calculatedColumnFormula>(ASINH(FMS_Ranking4[[#This Row],[Critical Facilities Raw]]))*(10)/(ASINH(U$4))</calculatedColumnFormula>
    </tableColumn>
    <tableColumn id="20" xr3:uid="{88D37CBF-825A-458C-87BE-9A2AB10C15D9}" name="ArcSinh (Weighted) Critical Facilities" dataDxfId="259">
      <calculatedColumnFormula>FMS_Ranking4[[#This Row],[Critical facilities at risk, ArcSinh (0-10)]]*U$5*10</calculatedColumnFormula>
    </tableColumn>
    <tableColumn id="24" xr3:uid="{AD4374A7-6DFE-4F05-A169-036CC549B7C4}" name="LWC Raw" dataDxfId="258">
      <calculatedColumnFormula>_xlfn.XLOOKUP(FMS_Ranking4[[#This Row],[FMS ID]],FMS_Input[FMS_ID],FMS_Input[LWC])</calculatedColumnFormula>
    </tableColumn>
    <tableColumn id="90" xr3:uid="{54ECE0ED-BFE7-48F9-B319-7351810E357B}" name="LWC, ArcSInh (0-10)" dataDxfId="257">
      <calculatedColumnFormula>(ASINH(FMS_Ranking4[[#This Row],[LWC Raw]]))*(10)/(ASINH(X$4))</calculatedColumnFormula>
    </tableColumn>
    <tableColumn id="26" xr3:uid="{CDB9D451-58E4-4C08-B889-0000D70E3A34}" name="ArcSinh (Weighted) LWC" dataDxfId="256">
      <calculatedColumnFormula>FMS_Ranking4[[#This Row],[LWC, ArcSInh (0-10)]]*X$5*10</calculatedColumnFormula>
    </tableColumn>
    <tableColumn id="28" xr3:uid="{6C89F762-8B4F-4134-B8BF-46B7543BC6EC}" name="Road Closures Raw" dataDxfId="255">
      <calculatedColumnFormula>_xlfn.XLOOKUP(FMS_Ranking4[[#This Row],[FMS ID]],FMS_Input[FMS_ID],FMS_Input[ROADCLS])</calculatedColumnFormula>
    </tableColumn>
    <tableColumn id="80" xr3:uid="{B1D7FCE4-D166-4A91-B233-07ABE07A251C}" name="Road closures, ArcSinh (0-10)" dataDxfId="254">
      <calculatedColumnFormula>(ASINH(FMS_Ranking4[[#This Row],[Road Closures Raw]]))*(10)/(ASINH(AA$4))</calculatedColumnFormula>
    </tableColumn>
    <tableColumn id="36" xr3:uid="{6BB7C37C-05F4-43BF-ADA4-8032DFF75908}" name="ArcSinh (Weighted) Road Closures" dataDxfId="253">
      <calculatedColumnFormula>FMS_Ranking4[[#This Row],[Road closures, ArcSinh (0-10)]]*AA$5*10</calculatedColumnFormula>
    </tableColumn>
    <tableColumn id="27" xr3:uid="{377B52C6-BC3E-4F6F-843A-5F3414143F19}" name="Road Miles Raw" dataDxfId="252">
      <calculatedColumnFormula>_xlfn.XLOOKUP(FMS_Ranking4[[#This Row],[FMS ID]],FMS_Input[FMS_ID],FMS_Input[ROAD_MILES100])</calculatedColumnFormula>
    </tableColumn>
    <tableColumn id="93" xr3:uid="{080A3AF5-CDB7-477F-BB81-1BAF99C59E55}" name="Length of roads at risk, ArcSinh (0-10)" dataDxfId="251">
      <calculatedColumnFormula>(ASINH(FMS_Ranking4[[#This Row],[Road Miles Raw]]))*(10)/(ASINH(AD$4))</calculatedColumnFormula>
    </tableColumn>
    <tableColumn id="41" xr3:uid="{377ECD47-8F54-46E8-A0E3-4F1EFB80C66A}" name="ArcSinh (Weighted) Road Miles" dataDxfId="250">
      <calculatedColumnFormula>FMS_Ranking4[[#This Row],[Length of roads at risk, ArcSinh (0-10)]]*AD$5*10</calculatedColumnFormula>
    </tableColumn>
    <tableColumn id="33" xr3:uid="{2D19091B-8E57-41B7-B169-B84B2E5A18F5}" name="Ag Land Raw" dataDxfId="249">
      <calculatedColumnFormula>_xlfn.XLOOKUP(FMS_Ranking4[[#This Row],[FMS ID]],FMS_Input[FMS_ID],FMS_Input[FARMACRE100])</calculatedColumnFormula>
    </tableColumn>
    <tableColumn id="95" xr3:uid="{D1BF0ADE-2AA7-4CE1-BEDB-6939FC829551}" name="Farm &amp; ranch land, ArcSinh (0-10)" dataDxfId="248">
      <calculatedColumnFormula>(ASINH(FMS_Ranking4[[#This Row],[Ag Land Raw]]))*(10)/(ASINH(AG$4))</calculatedColumnFormula>
    </tableColumn>
    <tableColumn id="44" xr3:uid="{9A8693C9-B1D9-411D-B970-BEC6546EB78B}" name="ArcSinh (Weighted) Ag Land" dataDxfId="247">
      <calculatedColumnFormula>FMS_Ranking4[[#This Row],[Farm &amp; ranch land, ArcSinh (0-10)]]*AG$5*10</calculatedColumnFormula>
    </tableColumn>
    <tableColumn id="42" xr3:uid="{C2056836-A41E-4783-A438-6435473988D0}" name="Reduced Structures Raw" dataDxfId="246">
      <calculatedColumnFormula>_xlfn.XLOOKUP(FMS_Ranking4[[#This Row],[FMS ID]],FMS_Input[FMS_ID],FMS_Input[REDSTRUCT100])</calculatedColumnFormula>
    </tableColumn>
    <tableColumn id="60" xr3:uid="{C58350CA-D205-49F6-BD43-732D1CDE788E}" name="Structures Removed Raw" dataDxfId="245">
      <calculatedColumnFormula>_xlfn.XLOOKUP(FMS_Ranking4[[#This Row],[FMS ID]],FMS_Input[FMS_ID],FMS_Input[REMSTRC100])</calculatedColumnFormula>
    </tableColumn>
    <tableColumn id="97" xr3:uid="{B0FCCAD8-7B70-4080-B140-A8EF22F880FB}" name="Structures removed, ArcSinh (0-10)" dataDxfId="244">
      <calculatedColumnFormula>(ASINH(FMS_Ranking4[[#This Row],[Structures Removed Raw]]))*(10)/(ASINH(AK$4))</calculatedColumnFormula>
    </tableColumn>
    <tableColumn id="46" xr3:uid="{089270C3-15A7-490A-B905-5648A3BDD181}" name="ArcSinh (Weighted) Structures Removed" dataDxfId="243">
      <calculatedColumnFormula>FMS_Ranking4[[#This Row],[Structures removed, ArcSinh (0-10)]]*AK$5*10</calculatedColumnFormula>
    </tableColumn>
    <tableColumn id="3" xr3:uid="{F861F1AA-842C-424D-9D80-484A216B07BD}" name="Residential Structures Removed Raw" dataDxfId="242">
      <calculatedColumnFormula>_xlfn.XLOOKUP(FMS_Ranking4[[#This Row],[FMS ID]],FMS_Input[FMS_ID],FMS_Input[REMRESSTRC100])</calculatedColumnFormula>
    </tableColumn>
    <tableColumn id="82" xr3:uid="{7E504955-A04B-405A-9866-59294F60792F}" name="ArcSinh (Weighted) Residential Structures Removed" dataDxfId="241">
      <calculatedColumnFormula>FMS_Ranking4[[#This Row],[ArcSinh Res struct removed 0-10]]*AN$5*10</calculatedColumnFormula>
    </tableColumn>
    <tableColumn id="48" xr3:uid="{E8368399-C99F-4B21-9DFC-E9A8C5A8A18B}" name="ArcSinh10" dataDxfId="240">
      <calculatedColumnFormula>ASINH(FMS_Ranking4[[#This Row],[Residential Structures Removed Raw]])/AP$4*AN$5*100</calculatedColumnFormula>
    </tableColumn>
    <tableColumn id="49" xr3:uid="{9579180C-243C-4B6D-9636-73E18468D869}" name="ArcSinh Res struct removed 0-10" dataDxfId="239">
      <calculatedColumnFormula>(ASINH(FMS_Ranking4[[#This Row],[Residential Structures Removed Raw]]))*(10)/(ASINH(AN$4))</calculatedColumnFormula>
    </tableColumn>
    <tableColumn id="7" xr3:uid="{133BA58A-3BE4-402C-86FE-BAFC3184BDE2}" name="Removed Pop Raw" dataDxfId="238">
      <calculatedColumnFormula>_xlfn.XLOOKUP(FMS_Ranking4[[#This Row],[FMS ID]],FMS_Input[FMS_ID],FMS_Input[REMPOP100])</calculatedColumnFormula>
    </tableColumn>
    <tableColumn id="99" xr3:uid="{3C9D2F0B-67EA-43F8-B8D4-2D023A707601}" name="Removed population, ArcSinh (0-10)" dataDxfId="237">
      <calculatedColumnFormula>(ASINH(FMS_Ranking4[[#This Row],[Removed Pop Raw]]))*(10)/(ASINH(AR$4))</calculatedColumnFormula>
    </tableColumn>
    <tableColumn id="50" xr3:uid="{3CAE9734-5490-4CEF-BEC0-B8C395DD4922}" name="ArcSinh (Weighted) Removed Pop" dataDxfId="236">
      <calculatedColumnFormula>FMS_Ranking4[[#This Row],[Removed population, ArcSinh (0-10)]]*AR$5*10</calculatedColumnFormula>
    </tableColumn>
    <tableColumn id="13" xr3:uid="{12FDC458-BEA7-4312-9884-1828F1709D40}" name="Removed Crit Fac Raw" dataDxfId="235">
      <calculatedColumnFormula>_xlfn.XLOOKUP(FMS_Ranking4[[#This Row],[FMS ID]],FMS_Input[FMS_ID],FMS_Input[REMCRITFAC100])</calculatedColumnFormula>
    </tableColumn>
    <tableColumn id="16" xr3:uid="{FC6A7EBB-DB0A-4ADB-B259-B7F91E5F4DA9}" name="Removed LWC Raw" dataDxfId="234">
      <calculatedColumnFormula>_xlfn.XLOOKUP(FMS_Ranking4[[#This Row],[FMS ID]],FMS_Input[FMS_ID],FMS_Input[REMLWC100])</calculatedColumnFormula>
    </tableColumn>
    <tableColumn id="30" xr3:uid="{48088ECB-B5D9-4F65-85CC-F4B18CDE9DB6}" name="Reduced Closures Raw" dataDxfId="233">
      <calculatedColumnFormula>_xlfn.XLOOKUP(FMS_Ranking4[[#This Row],[FMS ID]],FMS_Input[FMS_ID],FMS_Input[REMROADCLS])</calculatedColumnFormula>
    </tableColumn>
    <tableColumn id="23" xr3:uid="{53925236-74CB-4FF3-9E3D-9938DEC670F8}" name="Ag Removed Raw" dataDxfId="232">
      <calculatedColumnFormula>_xlfn.XLOOKUP(FMS_Ranking4[[#This Row],[FMS ID]],FMS_Input[FMS_ID],FMS_Input[REMFRMACRE100])</calculatedColumnFormula>
    </tableColumn>
    <tableColumn id="22" xr3:uid="{5C39A8D3-3642-4761-8663-7480EF12A286}" name="Cost per Structure Raw" dataDxfId="231">
      <calculatedColumnFormula>_xlfn.XLOOKUP(FMS_Ranking4[[#This Row],[FMS ID]],FMS_Input[FMS_ID],FMS_Input[COSTSTRUCT])</calculatedColumnFormula>
    </tableColumn>
    <tableColumn id="32" xr3:uid="{5C4FB699-1BD4-47EF-84B8-59E685BE87E3}" name="% NBS Raw" dataDxfId="230">
      <calculatedColumnFormula>_xlfn.XLOOKUP(FMS_Ranking4[[#This Row],[FMS ID]],FMS_Input[FMS_ID],FMS_Input[NATURE])</calculatedColumnFormula>
    </tableColumn>
    <tableColumn id="31" xr3:uid="{E5ED6FB6-90E5-4D9F-82C9-AD5D41002093}" name="% NBS Score (Normalized)" dataDxfId="229">
      <calculatedColumnFormula>(((FMS_Ranking4[[#This Row],[% NBS Raw]]/AZ$4)*100)*AZ$5)</calculatedColumnFormula>
    </tableColumn>
    <tableColumn id="39" xr3:uid="{6E23D5F2-B546-49A6-AE17-15E78D779703}" name="Water Supply Raw" dataDxfId="228">
      <calculatedColumnFormula>_xlfn.XLOOKUP(FMS_Ranking4[[#This Row],[FMS ID]],FMS_Input[FMS_ID],FMS_Input[WATER_SUP])</calculatedColumnFormula>
    </tableColumn>
    <tableColumn id="51" xr3:uid="{77E56576-E77E-48BA-B4DC-95F375D77C84}" name="Water Supply Score (Normalized)" dataDxfId="227">
      <calculatedColumnFormula>IF(FMS_Ranking4[[#This Row],[Water Supply Raw]]="Yes",10,0)</calculatedColumnFormula>
    </tableColumn>
    <tableColumn id="56" xr3:uid="{3F535B92-2C8E-481F-9D18-EAB13B99937E}" name="FMS_Type Score" dataDxfId="226">
      <calculatedColumnFormula>_xlfn.XLOOKUP(FMS_Ranking4[[#This Row],[FMS Type]],FMS_TYPE[FMS_Type],FMS_TYPE[Score])</calculatedColumnFormula>
    </tableColumn>
    <tableColumn id="57" xr3:uid="{264939DD-AAD8-459F-8E81-43A97A424311}" name="FMS_Type Score Weighted" dataDxfId="225">
      <calculatedColumnFormula>FMS_Ranking4[[#This Row],[FMS_Type Score]]*$BD$5*10</calculatedColumnFormula>
    </tableColumn>
    <tableColumn id="53" xr3:uid="{5FA53C26-09AC-47AA-8364-EAFA2B68728D}" name="Flood Risk Weighted Score Based on Normalized Reported Factors" dataDxfId="224">
      <calculatedColumnFormula>(((FMS_Ranking4[[#This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calculatedColumnFormula>
    </tableColumn>
    <tableColumn id="54" xr3:uid="{08EA4480-F599-4469-9830-D82EB1E0C0EF}" name="Ranking Based on Normalized Reported Flood Risk Factors" dataDxfId="223">
      <calculatedColumnFormula>_xlfn.RANK.EQ(BF8,$BF$8:$BF$870,0)+COUNTIF($BF$8:BF8,BF8)-1</calculatedColumnFormula>
    </tableColumn>
    <tableColumn id="35" xr3:uid="{35AC083D-A152-472B-80B0-95BEC4D686EA}" name="Flood Risk Reduction Weighted Score Based on Normalized Reported Factors" dataDxfId="222">
      <calculatedColumnFormula>(((FMS_Ranking4[[#This Row],[Structures Removed Raw]]/AK$4)*100)*AK$5)+(((FMS_Ranking4[[#This Row],[Removed Pop Raw]]/AR$4)*100)*AR$5)</calculatedColumnFormula>
    </tableColumn>
    <tableColumn id="40" xr3:uid="{E52DA2CC-2EB8-4D9E-B9E3-B96AE83F362E}" name="Total Score _x000a_(with linear_x000a_normalization)" dataDxfId="221">
      <calculatedColumnFormula>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calculatedColumnFormula>
    </tableColumn>
    <tableColumn id="55" xr3:uid="{B8FFBB28-93BE-4081-9352-FDCF7E16B8B3}" name="Rank_x000a_(with linear_x000a_normalization)" dataDxfId="220">
      <calculatedColumnFormula>_xlfn.RANK.EQ(FMS_Ranking4[[#This Row],[Total Score 
(with linear
normalization)]],FMS_Ranking4[Total Score 
(with linear
normalization)],0)</calculatedColumnFormula>
    </tableColumn>
    <tableColumn id="64" xr3:uid="{5A081AC0-5193-457A-B51D-17AADDCC7B66}" name="Original Regional Rank" dataDxfId="219">
      <calculatedColumnFormula>_xlfn.XLOOKUP(FMS_Ranking4[[#This Row],[FMS ID]],#REF!,#REF!)</calculatedColumnFormula>
    </tableColumn>
    <tableColumn id="59" xr3:uid="{20582016-D640-425F-9AA2-1E357BB4C1F1}" name="ArcSinh Score Based on Normalized Reported Factors" dataDxfId="218">
      <calculatedColumnFormula>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calculatedColumnFormula>
    </tableColumn>
    <tableColumn id="61" xr3:uid="{D77F24BE-050B-4BCC-8CA9-F9AC414712FB}" name="Total Score (with ArcSinh normalization of select criteria)" dataDxfId="217">
      <calculatedColumnFormula>FMS_Ranking4[[#This Row],[ArcSinh Score Based on Normalized Reported Factors]]+FMS_Ranking4[[#This Row],[% NBS Score (Normalized)]]+(FMS_Ranking4[[#This Row],[Water Supply Score (Normalized)]]*10*$BB$5)+FMS_Ranking4[[#This Row],[FMS_Type Score Weighted]]</calculatedColumnFormula>
    </tableColumn>
    <tableColumn id="62" xr3:uid="{2F450C8C-AD73-4267-881D-81FA9E4223E6}" name="Rank (with ArcSinh normalization of select criteria)" dataDxfId="216">
      <calculatedColumnFormula>_xlfn.RANK.EQ(FMS_Ranking4[[#This Row],[Total Score (with ArcSinh normalization of select criteria)]],FMS_Ranking4[Total Score (with ArcSinh normalization of select criteria)],0)</calculatedColumnFormula>
    </tableColumn>
    <tableColumn id="101" xr3:uid="{8177826C-7755-4E0B-B7F0-C5E1226695CE}" name="Rank Year" dataDxfId="215"/>
    <tableColumn id="100" xr3:uid="{A90C7513-C19A-4A9C-B474-E8751B7A2C02}" name="Previous Rank" dataDxfId="214">
      <calculatedColumnFormula>_xlfn.XLOOKUP(FMS_Ranking4[[#This Row],[FMS ID]],Prev_Rank[FMS ID],Prev_Rank[Prev Rank])</calculatedColumnFormula>
    </tableColumn>
    <tableColumn id="63" xr3:uid="{89CF0FB8-0450-4857-8896-6D860FF98AB5}" name="ArcSinh Regional Rank" dataDxfId="213">
      <calculatedColumnFormula>_xlfn.XLOOKUP(FMS_Ranking4[[#This Row],[FMS ID]],#REF!,#REF!)</calculatedColumnFormula>
    </tableColumn>
    <tableColumn id="65" xr3:uid="{5CDF5DAD-BE7B-4338-9FDF-91B45CD5A15E}" name="Log Score Based on Normalized Reported Factors" dataDxfId="212">
      <calculatedColumnFormula>SUM(#REF!,#REF!,#REF!,#REF!,#REF!,#REF!,#REF!,#REF!,#REF!,FMS_Ranking4[[#This Row],[ArcSinh Res struct removed 0-10]],#REF!)</calculatedColumnFormula>
    </tableColumn>
    <tableColumn id="66" xr3:uid="{D5738FD9-DEDF-47C5-B45B-0A2282B8C99E}" name="Log Total Score" dataDxfId="211">
      <calculatedColumnFormula>FMS_Ranking4[[#This Row],[Log Score Based on Normalized Reported Factors]]+FMS_Ranking4[[#This Row],[% NBS Score (Normalized)]]+(FMS_Ranking4[[#This Row],[Water Supply Score (Normalized)]]*10*$BB$5)+(FMS_Ranking4[[#This Row],[FMS_Type Score Weighted]])</calculatedColumnFormula>
    </tableColumn>
    <tableColumn id="67" xr3:uid="{A62E1245-063B-4225-87C1-F2B5C0F521B2}" name="Log Rank" dataDxfId="210">
      <calculatedColumnFormula>_xlfn.RANK.EQ(FMS_Ranking4[[#This Row],[Log Total Score]],FMS_Ranking4[Log Total Score],0)</calculatedColumnFormula>
    </tableColumn>
    <tableColumn id="2" xr3:uid="{70F4541E-E8FE-443C-BC6D-540A57C71149}" name="Log Regional Rank" dataDxfId="209">
      <calculatedColumnFormula>_xlfn.XLOOKUP(FMS_Ranking4[[#This Row],[FMS ID]],#REF!,#REF!)</calculatedColumnFormula>
    </tableColumn>
    <tableColumn id="4" xr3:uid="{3E9FED95-03E3-49CE-9FC2-08DC1073AB31}" name="Region Number2" dataDxfId="208">
      <calculatedColumnFormula>FMS_Ranking4[[#This Row],[Region Number]]</calculatedColumnFormula>
    </tableColumn>
    <tableColumn id="68" xr3:uid="{10799670-DA10-44CC-BFAE-7B427DEAE3B2}" name="ArcSinh Rank Residual" dataDxfId="207">
      <calculatedColumnFormula>FMS_Ranking4[[#This Row],[Rank (with ArcSinh normalization of select criteria)]]-FMS_Ranking4[[#This Row],[Rank
(with linear
normalization)]]</calculatedColumnFormula>
    </tableColumn>
    <tableColumn id="69" xr3:uid="{4E94148E-C4A3-4EDC-A7C4-BD4EFD2528D5}" name="Log Rank Residual" dataDxfId="206">
      <calculatedColumnFormula>FMS_Ranking4[[#This Row],[Log Rank]]-FMS_Ranking4[[#This Row],[Rank
(with linear
normalization)]]</calculatedColumnFormula>
    </tableColumn>
    <tableColumn id="71" xr3:uid="{970DAF46-E161-4078-B5AC-271340956BC9}" name="Flood Measurement and warning" dataDxfId="205">
      <calculatedColumnFormula>IF(FMS_Ranking4[[#This Row],[FMS Type]]="Flood Measurement and Warning",FMS_Ranking4[[#This Row],[Rank (with ArcSinh normalization of select criteria)]],"")</calculatedColumnFormula>
    </tableColumn>
    <tableColumn id="72" xr3:uid="{786AAD57-7925-400A-B854-E98C47D51D02}" name="Regulatory and Guidance" dataDxfId="204">
      <calculatedColumnFormula>IF(FMS_Ranking4[[#This Row],[FMS Type]]="Regulatory and Guidance",FMS_Ranking4[[#This Row],[Rank (with ArcSinh normalization of select criteria)]],"")</calculatedColumnFormula>
    </tableColumn>
    <tableColumn id="73" xr3:uid="{E87F54AA-5E12-4D95-BC95-1E4548F5794F}" name="Education and Outreach" dataDxfId="203">
      <calculatedColumnFormula>IF(FMS_Ranking4[[#This Row],[FMS Type]]="Education and Outreach",FMS_Ranking4[[#This Row],[Rank (with ArcSinh normalization of select criteria)]],"")</calculatedColumnFormula>
    </tableColumn>
    <tableColumn id="74" xr3:uid="{9D81B8B0-2EF8-4823-B711-8A8F36830C91}" name="Property Acquisition and Structural Elevation" dataDxfId="202">
      <calculatedColumnFormula>IF(FMS_Ranking4[[#This Row],[FMS Type]]="Property Acquisition and Structural Elevation",FMS_Ranking4[[#This Row],[Rank (with ArcSinh normalization of select criteria)]],"")</calculatedColumnFormula>
    </tableColumn>
    <tableColumn id="75" xr3:uid="{F0DD37A2-1653-47DB-AA61-B3B253F581A3}" name="Infrastructure Projects" dataDxfId="201">
      <calculatedColumnFormula>IF(FMS_Ranking4[[#This Row],[FMS Type]]="Infrastructure Projects",FMS_Ranking4[[#This Row],[Rank (with ArcSinh normalization of select criteria)]],"")</calculatedColumnFormula>
    </tableColumn>
    <tableColumn id="76" xr3:uid="{DB917A9D-1A66-4416-BFB0-DA61CB4A3574}" name="Other" dataDxfId="200">
      <calculatedColumnFormula>IF(FMS_Ranking4[[#This Row],[FMS Type]]="Other",FMS_Ranking4[[#This Row],[Rank (with ArcSinh normalization of select criteria)]],"")</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6E5DCEB-0EEA-4F49-9544-E834AEC9572E}" name="Sponsor" displayName="Sponsor" ref="A1:G987" totalsRowShown="0" headerRowDxfId="112" headerRowBorderDxfId="111" tableBorderDxfId="110">
  <autoFilter ref="A1:G987" xr:uid="{16E5DCEB-0EEA-4F49-9544-E834AEC9572E}"/>
  <tableColumns count="7">
    <tableColumn id="1" xr3:uid="{73067CC9-A69E-4F53-B36B-BFED76F312E6}" name="FMS_ID"/>
    <tableColumn id="2" xr3:uid="{C65B707B-8524-47C2-93C0-2BEC3AF80092}" name="FMS_NAME"/>
    <tableColumn id="3" xr3:uid="{9D610DF6-DF57-49AE-9D6B-2CC5D96F67B7}" name="FMS_DESCR"/>
    <tableColumn id="4" xr3:uid="{EF9A3CE7-E970-4065-A01B-A104472B80E2}" name="RFPG_NUM"/>
    <tableColumn id="5" xr3:uid="{E1B64730-8752-43EB-9664-3EE040B34DC3}" name="RFPG_NAME"/>
    <tableColumn id="6" xr3:uid="{95AC0BFD-D10F-4FC7-B739-A987D22AE3BE}" name="SPONSOR"/>
    <tableColumn id="7" xr3:uid="{4F6D2B33-AA5D-4D59-BEF3-849BE25F47D4}" name="SPONSOR NAM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211D36C-C8D0-4D33-B473-36D55E324D17}" name="FMS_TYPE" displayName="FMS_TYPE" ref="A2:B8" totalsRowShown="0">
  <autoFilter ref="A2:B8" xr:uid="{DE8BF2FB-7F99-46A0-8A0D-9C82AF2C9989}"/>
  <sortState xmlns:xlrd2="http://schemas.microsoft.com/office/spreadsheetml/2017/richdata2" ref="A3:B8">
    <sortCondition descending="1" ref="B2:B8"/>
  </sortState>
  <tableColumns count="2">
    <tableColumn id="1" xr3:uid="{80D4F769-CABE-4CE0-B6F2-4B3CA4CF487C}" name="FMS_Type" dataDxfId="109"/>
    <tableColumn id="2" xr3:uid="{C23F797A-C7EE-4F2E-B5F6-72C73F06BB6C}" name="Scor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EC6D872-D751-4F29-A075-45F4E61DDF80}" name="Prev_Rank" displayName="Prev_Rank" ref="A1:C772" totalsRowShown="0" tableBorderDxfId="108">
  <autoFilter ref="A1:C772" xr:uid="{FEC6D872-D751-4F29-A075-45F4E61DDF80}"/>
  <tableColumns count="3">
    <tableColumn id="1" xr3:uid="{C1375C0C-18F7-4A64-A86E-30C36DA6342A}" name="FMS ID" dataDxfId="107"/>
    <tableColumn id="2" xr3:uid="{9DA564B9-A953-42F8-80FC-DDC24B787556}" name="Prev Score"/>
    <tableColumn id="3" xr3:uid="{C31197F8-966E-4233-BA68-26285FCABCF9}" name="Prev Rank"/>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0886B9-BF29-4DA8-BA0E-C5903C156D89}" name="Entities" displayName="Entities" ref="A1:F4162" totalsRowShown="0">
  <autoFilter ref="A1:F4162" xr:uid="{BB5B0F1E-405F-4B77-8C99-9227B2BDAEDF}"/>
  <sortState xmlns:xlrd2="http://schemas.microsoft.com/office/spreadsheetml/2017/richdata2" ref="A2:F4162">
    <sortCondition ref="A1:A4162"/>
  </sortState>
  <tableColumns count="6">
    <tableColumn id="1" xr3:uid="{71F74080-0EA0-4858-98B3-1D2668A2BFF9}" name="ENTITY_ID" dataDxfId="106"/>
    <tableColumn id="2" xr3:uid="{2F8D64EC-4219-4DBB-9C50-3604AD93C602}" name="ID_with_x" dataDxfId="105">
      <calculatedColumnFormula>_xlfn.CONCAT("x",TEXT(A2,"00000000"))</calculatedColumnFormula>
    </tableColumn>
    <tableColumn id="5" xr3:uid="{F30AE433-5A73-4D39-8D99-12F102C1D8C3}" name="ENT_TYPE" dataDxfId="104"/>
    <tableColumn id="3" xr3:uid="{31C1241C-4EEE-46CE-AAA1-41CE346F431F}" name="ENT_NAME"/>
    <tableColumn id="4" xr3:uid="{B6E03F08-1FDD-40D5-96AC-927F3910C475}" name="RFPG_NUM"/>
    <tableColumn id="6" xr3:uid="{96713527-DA33-424B-A14D-A5F9B0C18DCA}" name="Name_w_County" dataDxfId="103">
      <calculatedColumnFormula>IF(AND(Entities[[#This Row],[ENT_TYPE]]="County",RIGHT(Entities[[#This Row],[ENT_NAME]],6)&lt;&gt;"County"),_xlfn.TEXTJOIN(" ",TRUE,Entities[[#This Row],[ENT_NAME]],"County"),Entities[[#This Row],[ENT_NAME]])</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8359B41-137C-4429-A9BB-5744639B42DA}" name="Table3" displayName="Table3" ref="A1:Q772" totalsRowShown="0">
  <autoFilter ref="A1:Q772" xr:uid="{7DF4A8C7-459C-4CDC-99DC-88B551BF23A1}"/>
  <tableColumns count="17">
    <tableColumn id="1" xr3:uid="{35098A83-6E5F-4484-B1D6-3751F71053DB}" name="FMS_ID" dataDxfId="102"/>
    <tableColumn id="2" xr3:uid="{C580851A-3641-4242-BDE8-D770CE52060D}" name="SPONSOR_LIST" dataDxfId="101"/>
    <tableColumn id="3" xr3:uid="{5C8AF8D8-FDD3-411A-8B48-914962107793}" name="Sponsor_list_tranform">
      <calculatedColumnFormula>IF(ISNUMBER(VALUE(LEFT(B2,7))),_xlfn.CONCAT("x",TEXT(SUBSTITUTE(B2,",",", "),"00000000")),"")</calculatedColumnFormula>
    </tableColumn>
    <tableColumn id="14" xr3:uid="{92155030-2769-478C-A8AD-CC1EEFE85422}" name="Sponsor_list_transform_2" dataDxfId="100">
      <calculatedColumnFormula>SUBSTITUTE(SUBSTITUTE(Table3[[#This Row],[Sponsor_list_tranform]],",",",x")," ","")</calculatedColumnFormula>
    </tableColumn>
    <tableColumn id="13" xr3:uid="{89B7A7A8-C14E-4D10-9458-93B281053569}" name="Sponsor_1_num" dataDxfId="99"/>
    <tableColumn id="4" xr3:uid="{2F03B680-C88E-444F-9AC6-37AE4B605CD8}" name="Sponsor_2_num" dataDxfId="98"/>
    <tableColumn id="5" xr3:uid="{997660E9-B91F-42D7-97CF-7BE11372D07B}" name="Sponsor_3_num"/>
    <tableColumn id="6" xr3:uid="{682DF9DA-4B42-4668-BC70-7D8AF2844E05}" name="Sponsor_4_num"/>
    <tableColumn id="7" xr3:uid="{F8E1E3BE-716D-4ED9-9434-0F8803A0A42A}" name="Sponsor_5_num"/>
    <tableColumn id="8" xr3:uid="{557D932C-BA93-40F5-9C82-86A2D11CC08F}" name="Sponsor_6_num"/>
    <tableColumn id="9" xr3:uid="{8F1F143D-6D1B-4026-AC96-22FCFA0827FA}" name="Sponsor_1" dataDxfId="97">
      <calculatedColumnFormula>IF(LEN(E2)&lt;&gt;0,_xlfn.XLOOKUP(E2,[1]!Entities[ID_with_x],[1]!Entities[Name_w_County],_xlfn.CONCAT("Entity ID ",RIGHT(Table3[[#This Row],[Sponsor_1_num]],8)," not found")),"")</calculatedColumnFormula>
    </tableColumn>
    <tableColumn id="10" xr3:uid="{1813AFFE-BC40-4729-A025-54EF94958030}" name="Sponsor_2" dataDxfId="96">
      <calculatedColumnFormula>IF(LEN(F2)&lt;&gt;0,_xlfn.XLOOKUP(F2,[1]!Entities[ID_with_x],[1]!Entities[Name_w_County],_xlfn.CONCAT("Entity ID ",RIGHT(Table3[[#This Row],[Sponsor_1_num]],8)," not found")),"")</calculatedColumnFormula>
    </tableColumn>
    <tableColumn id="11" xr3:uid="{F1FBA01C-79F5-4EC9-B26D-1654DE23D36F}" name="Sponsor_3" dataDxfId="95">
      <calculatedColumnFormula>IF(LEN(G2)&lt;&gt;0,_xlfn.XLOOKUP(G2,[1]!Entities[ID_with_x],[1]!Entities[Name_w_County],_xlfn.CONCAT("Entity ID ",RIGHT(Table3[[#This Row],[Sponsor_1_num]],8)," not found")),"")</calculatedColumnFormula>
    </tableColumn>
    <tableColumn id="16" xr3:uid="{C9FD3E8F-D68A-41E0-9787-F215917AA00B}" name="Sponsor_4" dataDxfId="94">
      <calculatedColumnFormula>IF(LEN(H2)&lt;&gt;0,_xlfn.XLOOKUP(H2,[1]!Entities[ID_with_x],[1]!Entities[Name_w_County],_xlfn.CONCAT("Entity ID ",RIGHT(Table3[[#This Row],[Sponsor_1_num]],8)," not found")),"")</calculatedColumnFormula>
    </tableColumn>
    <tableColumn id="17" xr3:uid="{0B6CAA05-1DDF-4DD5-81E3-9AFC8ED019AB}" name="Sponsor_5" dataDxfId="93">
      <calculatedColumnFormula>IF(LEN(I2)&lt;&gt;0,_xlfn.XLOOKUP(I2,[1]!Entities[ID_with_x],[1]!Entities[Name_w_County],_xlfn.CONCAT("Entity ID ",RIGHT(Table3[[#This Row],[Sponsor_1_num]],8)," not found")),"")</calculatedColumnFormula>
    </tableColumn>
    <tableColumn id="18" xr3:uid="{9FD5046C-CD6E-4047-A679-CB090C261EA9}" name="Sponsor_6" dataDxfId="92">
      <calculatedColumnFormula>IF(LEN(J2)&lt;&gt;0,_xlfn.XLOOKUP(J2,[1]!Entities[ID_with_x],[1]!Entities[Name_w_County],_xlfn.CONCAT("Entity ID ",RIGHT(Table3[[#This Row],[Sponsor_1_num]],8)," not found")),"")</calculatedColumnFormula>
    </tableColumn>
    <tableColumn id="12" xr3:uid="{EC5381B9-4FB5-466B-9F93-DB05A4367CA0}" name="Sponsor_name_concat" dataDxfId="91">
      <calculatedColumnFormula>IF(LEN(K2)&gt;0,_xlfn.TEXTJOIN(", ",TRUE,K2:P2),Table3[[#This Row],[SPONSOR_LIST]])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TWDB Main">
      <a:dk1>
        <a:sysClr val="windowText" lastClr="000000"/>
      </a:dk1>
      <a:lt1>
        <a:sysClr val="window" lastClr="FFFFFF"/>
      </a:lt1>
      <a:dk2>
        <a:srgbClr val="44546A"/>
      </a:dk2>
      <a:lt2>
        <a:srgbClr val="E7E6E6"/>
      </a:lt2>
      <a:accent1>
        <a:srgbClr val="3473A3"/>
      </a:accent1>
      <a:accent2>
        <a:srgbClr val="C0D9EC"/>
      </a:accent2>
      <a:accent3>
        <a:srgbClr val="7AAACD"/>
      </a:accent3>
      <a:accent4>
        <a:srgbClr val="AFD580"/>
      </a:accent4>
      <a:accent5>
        <a:srgbClr val="FFD073"/>
      </a:accent5>
      <a:accent6>
        <a:srgbClr val="51A7A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wdb.texas.gov/flood/planning/planningdocu/2023/doc/04_Exhibit_C_TechnicalGuidelines_April2021.pdf" TargetMode="External"/><Relationship Id="rId1" Type="http://schemas.openxmlformats.org/officeDocument/2006/relationships/hyperlink" Target="../../06_FloodData/2023RFP_Cycle1/03_Data_Summary/02_Draft_Plan/Statistics%20and%20Combined%20Spreadsheets/In%20Review/LWC_Stats.xlsx"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588B-7481-4FB8-A561-0E1F8719BBF0}">
  <dimension ref="A1:C13"/>
  <sheetViews>
    <sheetView tabSelected="1" workbookViewId="0"/>
  </sheetViews>
  <sheetFormatPr defaultRowHeight="15" x14ac:dyDescent="0.25"/>
  <cols>
    <col min="1" max="1" width="15.85546875" customWidth="1"/>
    <col min="2" max="2" width="22.42578125" style="20" customWidth="1"/>
    <col min="3" max="3" width="51.42578125" style="19" customWidth="1"/>
    <col min="4" max="4" width="19" customWidth="1"/>
    <col min="5" max="5" width="118.140625" customWidth="1"/>
  </cols>
  <sheetData>
    <row r="1" spans="1:3" ht="15.75" x14ac:dyDescent="0.25">
      <c r="A1" s="17" t="s">
        <v>1047</v>
      </c>
      <c r="B1" s="18"/>
    </row>
    <row r="2" spans="1:3" x14ac:dyDescent="0.25">
      <c r="A2" t="s">
        <v>3999</v>
      </c>
    </row>
    <row r="4" spans="1:3" x14ac:dyDescent="0.25">
      <c r="A4" s="9" t="s">
        <v>1048</v>
      </c>
    </row>
    <row r="5" spans="1:3" ht="45" x14ac:dyDescent="0.25">
      <c r="A5" s="9"/>
      <c r="B5" s="21" t="s">
        <v>1049</v>
      </c>
      <c r="C5" s="22" t="s">
        <v>4729</v>
      </c>
    </row>
    <row r="6" spans="1:3" ht="150" x14ac:dyDescent="0.25">
      <c r="A6" s="9"/>
      <c r="B6" s="21" t="s">
        <v>3998</v>
      </c>
      <c r="C6" s="22" t="s">
        <v>4731</v>
      </c>
    </row>
    <row r="7" spans="1:3" ht="60" x14ac:dyDescent="0.25">
      <c r="A7" s="9"/>
      <c r="B7" s="21" t="s">
        <v>4671</v>
      </c>
      <c r="C7" s="22" t="s">
        <v>4732</v>
      </c>
    </row>
    <row r="8" spans="1:3" ht="45" x14ac:dyDescent="0.25">
      <c r="A8" s="9"/>
      <c r="B8" s="21" t="s">
        <v>4728</v>
      </c>
      <c r="C8" s="22" t="s">
        <v>4733</v>
      </c>
    </row>
    <row r="9" spans="1:3" ht="60" x14ac:dyDescent="0.25">
      <c r="A9" s="9"/>
      <c r="B9" s="21" t="s">
        <v>12905</v>
      </c>
      <c r="C9" s="22" t="s">
        <v>12906</v>
      </c>
    </row>
    <row r="10" spans="1:3" ht="39" customHeight="1" x14ac:dyDescent="0.25">
      <c r="A10" s="396" t="s">
        <v>12919</v>
      </c>
      <c r="B10" s="396"/>
      <c r="C10" s="396"/>
    </row>
    <row r="11" spans="1:3" ht="70.5" customHeight="1" x14ac:dyDescent="0.25">
      <c r="A11" s="396"/>
      <c r="B11" s="396"/>
      <c r="C11" s="396"/>
    </row>
    <row r="12" spans="1:3" x14ac:dyDescent="0.25">
      <c r="A12" s="396"/>
      <c r="B12" s="396"/>
      <c r="C12" s="396"/>
    </row>
    <row r="13" spans="1:3" x14ac:dyDescent="0.25">
      <c r="A13" s="396"/>
      <c r="B13" s="396"/>
      <c r="C13" s="396"/>
    </row>
  </sheetData>
  <mergeCells count="1">
    <mergeCell ref="A10:C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F34F-4DB2-406F-BF8E-C452BA0A35DE}">
  <dimension ref="A1:A17"/>
  <sheetViews>
    <sheetView workbookViewId="0">
      <selection activeCell="A11" sqref="A11"/>
    </sheetView>
  </sheetViews>
  <sheetFormatPr defaultRowHeight="15" x14ac:dyDescent="0.25"/>
  <sheetData>
    <row r="1" spans="1:1" x14ac:dyDescent="0.25">
      <c r="A1" t="s">
        <v>11856</v>
      </c>
    </row>
    <row r="2" spans="1:1" x14ac:dyDescent="0.25">
      <c r="A2" t="s">
        <v>11857</v>
      </c>
    </row>
    <row r="3" spans="1:1" x14ac:dyDescent="0.25">
      <c r="A3" s="9" t="s">
        <v>11858</v>
      </c>
    </row>
    <row r="4" spans="1:1" x14ac:dyDescent="0.25">
      <c r="A4" t="s">
        <v>11859</v>
      </c>
    </row>
    <row r="5" spans="1:1" x14ac:dyDescent="0.25">
      <c r="A5" t="s">
        <v>11860</v>
      </c>
    </row>
    <row r="6" spans="1:1" x14ac:dyDescent="0.25">
      <c r="A6" t="s">
        <v>11861</v>
      </c>
    </row>
    <row r="7" spans="1:1" x14ac:dyDescent="0.25">
      <c r="A7" s="9" t="s">
        <v>11862</v>
      </c>
    </row>
    <row r="8" spans="1:1" x14ac:dyDescent="0.25">
      <c r="A8" t="s">
        <v>11863</v>
      </c>
    </row>
    <row r="9" spans="1:1" x14ac:dyDescent="0.25">
      <c r="A9" t="s">
        <v>11864</v>
      </c>
    </row>
    <row r="10" spans="1:1" x14ac:dyDescent="0.25">
      <c r="A10" t="s">
        <v>11865</v>
      </c>
    </row>
    <row r="11" spans="1:1" x14ac:dyDescent="0.25">
      <c r="A11" t="s">
        <v>11866</v>
      </c>
    </row>
    <row r="12" spans="1:1" x14ac:dyDescent="0.25">
      <c r="A12" t="s">
        <v>11867</v>
      </c>
    </row>
    <row r="13" spans="1:1" x14ac:dyDescent="0.25">
      <c r="A13" t="s">
        <v>11868</v>
      </c>
    </row>
    <row r="14" spans="1:1" x14ac:dyDescent="0.25">
      <c r="A14" t="s">
        <v>11869</v>
      </c>
    </row>
    <row r="15" spans="1:1" x14ac:dyDescent="0.25">
      <c r="A15" t="s">
        <v>11870</v>
      </c>
    </row>
    <row r="16" spans="1:1" x14ac:dyDescent="0.25">
      <c r="A16" t="s">
        <v>11871</v>
      </c>
    </row>
    <row r="17" spans="1:1" x14ac:dyDescent="0.25">
      <c r="A17" t="s">
        <v>11872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4678B-2A7D-4F10-ADC5-CBBC88E407EF}">
  <sheetPr>
    <tabColor rgb="FF00B050"/>
  </sheetPr>
  <dimension ref="A1:CE993"/>
  <sheetViews>
    <sheetView zoomScaleNormal="100" workbookViewId="0"/>
  </sheetViews>
  <sheetFormatPr defaultColWidth="8.85546875" defaultRowHeight="15.75" x14ac:dyDescent="0.25"/>
  <cols>
    <col min="1" max="1" width="10.5703125" style="1" customWidth="1"/>
    <col min="2" max="2" width="48.85546875" style="1" customWidth="1"/>
    <col min="3" max="3" width="55.42578125" style="1" customWidth="1"/>
    <col min="4" max="20" width="10.5703125" style="1" customWidth="1"/>
    <col min="21" max="21" width="32" style="2" customWidth="1"/>
    <col min="22" max="22" width="27.140625" style="2" customWidth="1"/>
    <col min="23" max="23" width="16.42578125" style="2" bestFit="1" customWidth="1"/>
    <col min="24" max="28" width="10.5703125" style="2" customWidth="1"/>
    <col min="29" max="29" width="15.140625" style="2" customWidth="1"/>
    <col min="30" max="30" width="14.42578125" style="2" customWidth="1"/>
    <col min="31" max="31" width="10.5703125" style="2" customWidth="1"/>
    <col min="32" max="32" width="19.5703125" style="2" customWidth="1"/>
    <col min="33" max="43" width="10.5703125" style="2" customWidth="1"/>
    <col min="44" max="44" width="24.85546875" style="2" customWidth="1"/>
    <col min="45" max="56" width="10.5703125" style="2" customWidth="1"/>
    <col min="57" max="57" width="25.42578125" style="2" customWidth="1"/>
    <col min="58" max="59" width="10.5703125" style="2" customWidth="1"/>
    <col min="60" max="60" width="18.5703125" style="2" customWidth="1"/>
    <col min="61" max="77" width="10.5703125" style="2" customWidth="1"/>
    <col min="78" max="78" width="56.42578125" style="2" customWidth="1"/>
    <col min="79" max="79" width="20.5703125" style="2" customWidth="1"/>
    <col min="80" max="80" width="18.42578125" style="2" bestFit="1" customWidth="1"/>
    <col min="81" max="81" width="8.85546875" style="2"/>
    <col min="82" max="82" width="15.85546875" style="2" customWidth="1"/>
    <col min="83" max="91" width="8.85546875" style="2"/>
    <col min="92" max="92" width="22" style="2" customWidth="1"/>
    <col min="93" max="16384" width="8.85546875" style="2"/>
  </cols>
  <sheetData>
    <row r="1" spans="1:83" x14ac:dyDescent="0.25">
      <c r="C1" s="397" t="s">
        <v>4656</v>
      </c>
      <c r="D1" s="397"/>
      <c r="E1" s="397"/>
      <c r="F1" s="397"/>
      <c r="G1" s="397"/>
    </row>
    <row r="2" spans="1:83" x14ac:dyDescent="0.25">
      <c r="C2" s="397"/>
      <c r="D2" s="397"/>
      <c r="E2" s="397"/>
      <c r="F2" s="397"/>
      <c r="G2" s="397"/>
    </row>
    <row r="3" spans="1:83" x14ac:dyDescent="0.25">
      <c r="C3" s="397"/>
      <c r="D3" s="397"/>
      <c r="E3" s="397"/>
      <c r="F3" s="397"/>
      <c r="G3" s="397"/>
    </row>
    <row r="4" spans="1:83" x14ac:dyDescent="0.25">
      <c r="C4" s="397"/>
      <c r="D4" s="397"/>
      <c r="E4" s="397"/>
      <c r="F4" s="397"/>
      <c r="G4" s="397"/>
    </row>
    <row r="5" spans="1:83" x14ac:dyDescent="0.25">
      <c r="C5" s="397"/>
      <c r="D5" s="397"/>
      <c r="E5" s="397"/>
      <c r="F5" s="397"/>
      <c r="G5" s="397"/>
    </row>
    <row r="6" spans="1:83" customFormat="1" ht="15" x14ac:dyDescent="0.25">
      <c r="C6" s="397"/>
      <c r="D6" s="397"/>
      <c r="E6" s="397"/>
      <c r="F6" s="397"/>
      <c r="G6" s="397"/>
    </row>
    <row r="7" spans="1:83" s="157" customFormat="1" ht="35.25" customHeight="1" x14ac:dyDescent="0.25">
      <c r="A7" s="286" t="s">
        <v>181</v>
      </c>
      <c r="B7" s="286" t="s">
        <v>182</v>
      </c>
      <c r="C7" s="286" t="s">
        <v>183</v>
      </c>
      <c r="D7" s="286" t="s">
        <v>184</v>
      </c>
      <c r="E7" s="286" t="s">
        <v>185</v>
      </c>
      <c r="F7" s="286" t="s">
        <v>186</v>
      </c>
      <c r="G7" s="286" t="s">
        <v>187</v>
      </c>
      <c r="H7" s="286" t="s">
        <v>188</v>
      </c>
      <c r="I7" s="286" t="s">
        <v>189</v>
      </c>
      <c r="J7" s="286" t="s">
        <v>190</v>
      </c>
      <c r="K7" s="286" t="s">
        <v>191</v>
      </c>
      <c r="L7" s="286" t="s">
        <v>192</v>
      </c>
      <c r="M7" s="286" t="s">
        <v>193</v>
      </c>
      <c r="N7" s="286" t="s">
        <v>194</v>
      </c>
      <c r="O7" s="286" t="s">
        <v>195</v>
      </c>
      <c r="P7" s="286" t="s">
        <v>196</v>
      </c>
      <c r="Q7" s="286" t="s">
        <v>197</v>
      </c>
      <c r="R7" s="286" t="s">
        <v>198</v>
      </c>
      <c r="S7" s="286" t="s">
        <v>199</v>
      </c>
      <c r="T7" s="286" t="s">
        <v>200</v>
      </c>
      <c r="U7" s="286" t="s">
        <v>201</v>
      </c>
      <c r="V7" s="286" t="s">
        <v>202</v>
      </c>
      <c r="W7" s="286" t="s">
        <v>203</v>
      </c>
      <c r="X7" s="286" t="s">
        <v>204</v>
      </c>
      <c r="Y7" s="286" t="s">
        <v>205</v>
      </c>
      <c r="Z7" s="286" t="s">
        <v>206</v>
      </c>
      <c r="AA7" s="286" t="s">
        <v>207</v>
      </c>
      <c r="AB7" s="286" t="s">
        <v>208</v>
      </c>
      <c r="AC7" s="286" t="s">
        <v>209</v>
      </c>
      <c r="AD7" s="286" t="s">
        <v>210</v>
      </c>
      <c r="AE7" s="286" t="s">
        <v>211</v>
      </c>
      <c r="AF7" s="286" t="s">
        <v>212</v>
      </c>
      <c r="AG7" s="286" t="s">
        <v>213</v>
      </c>
      <c r="AH7" s="286" t="s">
        <v>214</v>
      </c>
      <c r="AI7" s="286" t="s">
        <v>215</v>
      </c>
      <c r="AJ7" s="286" t="s">
        <v>216</v>
      </c>
      <c r="AK7" s="286" t="s">
        <v>217</v>
      </c>
      <c r="AL7" s="286" t="s">
        <v>218</v>
      </c>
      <c r="AM7" s="286" t="s">
        <v>219</v>
      </c>
      <c r="AN7" s="286" t="s">
        <v>220</v>
      </c>
      <c r="AO7" s="286" t="s">
        <v>221</v>
      </c>
      <c r="AP7" s="286" t="s">
        <v>222</v>
      </c>
      <c r="AQ7" s="286" t="s">
        <v>223</v>
      </c>
      <c r="AR7" s="286" t="s">
        <v>224</v>
      </c>
      <c r="AS7" s="286" t="s">
        <v>225</v>
      </c>
      <c r="AT7" s="286" t="s">
        <v>226</v>
      </c>
      <c r="AU7" s="286" t="s">
        <v>227</v>
      </c>
      <c r="AV7" s="286" t="s">
        <v>228</v>
      </c>
      <c r="AW7" s="286" t="s">
        <v>229</v>
      </c>
      <c r="AX7" s="286" t="s">
        <v>230</v>
      </c>
      <c r="AY7" s="286" t="s">
        <v>231</v>
      </c>
      <c r="AZ7" s="286" t="s">
        <v>232</v>
      </c>
      <c r="BA7" s="286" t="s">
        <v>233</v>
      </c>
      <c r="BB7" s="286" t="s">
        <v>234</v>
      </c>
      <c r="BC7" s="286" t="s">
        <v>235</v>
      </c>
      <c r="BD7" s="286" t="s">
        <v>236</v>
      </c>
      <c r="BE7" s="286" t="s">
        <v>237</v>
      </c>
      <c r="BF7" s="286" t="s">
        <v>238</v>
      </c>
      <c r="BG7" s="286" t="s">
        <v>239</v>
      </c>
      <c r="BH7" s="286" t="s">
        <v>240</v>
      </c>
      <c r="BI7" s="286" t="s">
        <v>241</v>
      </c>
      <c r="BJ7" s="286" t="s">
        <v>242</v>
      </c>
      <c r="BK7" s="286" t="s">
        <v>243</v>
      </c>
      <c r="BL7" s="286" t="s">
        <v>244</v>
      </c>
      <c r="BM7" s="286" t="s">
        <v>245</v>
      </c>
      <c r="BN7" s="286" t="s">
        <v>246</v>
      </c>
      <c r="BO7" s="286" t="s">
        <v>247</v>
      </c>
      <c r="BP7" s="286" t="s">
        <v>248</v>
      </c>
      <c r="BQ7" s="286" t="s">
        <v>249</v>
      </c>
      <c r="BR7" s="286" t="s">
        <v>250</v>
      </c>
      <c r="BS7" s="286" t="s">
        <v>251</v>
      </c>
      <c r="BT7" s="286" t="s">
        <v>252</v>
      </c>
      <c r="BU7" s="286" t="s">
        <v>253</v>
      </c>
      <c r="BV7" s="286" t="s">
        <v>254</v>
      </c>
      <c r="BW7" s="286" t="s">
        <v>255</v>
      </c>
      <c r="BX7" s="286" t="s">
        <v>256</v>
      </c>
      <c r="BY7" s="286" t="s">
        <v>257</v>
      </c>
      <c r="BZ7" s="286" t="s">
        <v>258</v>
      </c>
      <c r="CA7" s="286" t="s">
        <v>4046</v>
      </c>
      <c r="CB7" s="286" t="s">
        <v>4735</v>
      </c>
      <c r="CC7" s="286" t="s">
        <v>4044</v>
      </c>
      <c r="CD7" s="286" t="s">
        <v>4045</v>
      </c>
      <c r="CE7" s="156" t="s">
        <v>11890</v>
      </c>
    </row>
    <row r="8" spans="1:83" s="10" customFormat="1" ht="15" customHeight="1" x14ac:dyDescent="0.25">
      <c r="A8" t="s">
        <v>173</v>
      </c>
      <c r="B8" t="s">
        <v>174</v>
      </c>
      <c r="C8" t="s">
        <v>175</v>
      </c>
      <c r="D8">
        <v>6</v>
      </c>
      <c r="E8" t="s">
        <v>259</v>
      </c>
      <c r="F8" t="s">
        <v>2</v>
      </c>
      <c r="G8" t="s">
        <v>260</v>
      </c>
      <c r="H8" t="s">
        <v>261</v>
      </c>
      <c r="I8"/>
      <c r="J8" t="s">
        <v>2518</v>
      </c>
      <c r="K8" t="s">
        <v>21</v>
      </c>
      <c r="L8">
        <v>1770.815673828125</v>
      </c>
      <c r="M8" t="s">
        <v>6</v>
      </c>
      <c r="N8" t="s">
        <v>6</v>
      </c>
      <c r="O8" t="s">
        <v>6</v>
      </c>
      <c r="P8" t="s">
        <v>5</v>
      </c>
      <c r="Q8" t="s">
        <v>5</v>
      </c>
      <c r="R8" t="s">
        <v>262</v>
      </c>
      <c r="S8" t="s">
        <v>2968</v>
      </c>
      <c r="T8" t="s">
        <v>6</v>
      </c>
      <c r="U8" t="s">
        <v>98</v>
      </c>
      <c r="V8">
        <v>500000000</v>
      </c>
      <c r="W8">
        <v>50000000</v>
      </c>
      <c r="X8" t="s">
        <v>6</v>
      </c>
      <c r="Y8"/>
      <c r="Z8"/>
      <c r="AA8">
        <v>84.533760070800781</v>
      </c>
      <c r="AB8">
        <v>27.969356536865231</v>
      </c>
      <c r="AC8">
        <v>0.69722384214401245</v>
      </c>
      <c r="AD8">
        <v>143642</v>
      </c>
      <c r="AE8">
        <v>182389</v>
      </c>
      <c r="AF8">
        <v>120807</v>
      </c>
      <c r="AG8">
        <v>590954</v>
      </c>
      <c r="AH8">
        <v>545505</v>
      </c>
      <c r="AI8">
        <v>590954</v>
      </c>
      <c r="AJ8">
        <v>2332</v>
      </c>
      <c r="AK8">
        <v>89</v>
      </c>
      <c r="AL8">
        <v>2408</v>
      </c>
      <c r="AM8">
        <v>89</v>
      </c>
      <c r="AN8">
        <v>5993.46923828125</v>
      </c>
      <c r="AO8"/>
      <c r="AP8"/>
      <c r="AQ8"/>
      <c r="AR8"/>
      <c r="AS8"/>
      <c r="AT8"/>
      <c r="AU8"/>
      <c r="AV8"/>
      <c r="AW8"/>
      <c r="AX8"/>
      <c r="AY8"/>
      <c r="AZ8"/>
      <c r="BA8"/>
      <c r="BB8"/>
      <c r="BC8"/>
      <c r="BD8"/>
      <c r="BE8"/>
      <c r="BF8"/>
      <c r="BG8" t="s">
        <v>5</v>
      </c>
      <c r="BH8"/>
      <c r="BI8"/>
      <c r="BJ8" t="s">
        <v>5</v>
      </c>
      <c r="BK8"/>
      <c r="BL8">
        <v>0</v>
      </c>
      <c r="BM8"/>
      <c r="BN8" t="s">
        <v>5</v>
      </c>
      <c r="BO8" t="s">
        <v>2518</v>
      </c>
      <c r="BP8" t="s">
        <v>2518</v>
      </c>
      <c r="BQ8" t="s">
        <v>2518</v>
      </c>
      <c r="BR8"/>
      <c r="BS8" t="s">
        <v>6</v>
      </c>
      <c r="BT8" t="s">
        <v>2518</v>
      </c>
      <c r="BU8" t="s">
        <v>2518</v>
      </c>
      <c r="BV8" t="s">
        <v>2518</v>
      </c>
      <c r="BW8"/>
      <c r="BX8" t="s">
        <v>6</v>
      </c>
      <c r="BY8" t="s">
        <v>7</v>
      </c>
      <c r="BZ8" t="s">
        <v>2518</v>
      </c>
      <c r="CA8"/>
      <c r="CB8" t="s">
        <v>5</v>
      </c>
      <c r="CC8">
        <v>417917.84308613068</v>
      </c>
      <c r="CD8">
        <v>4586391665.5307312</v>
      </c>
      <c r="CE8" s="339" t="s">
        <v>11891</v>
      </c>
    </row>
    <row r="9" spans="1:83" s="3" customFormat="1" ht="15" customHeight="1" x14ac:dyDescent="0.25">
      <c r="A9" s="337" t="s">
        <v>2495</v>
      </c>
      <c r="B9" s="337" t="s">
        <v>2496</v>
      </c>
      <c r="C9" s="337" t="s">
        <v>2497</v>
      </c>
      <c r="D9" s="337">
        <v>3</v>
      </c>
      <c r="E9" s="337" t="s">
        <v>1771</v>
      </c>
      <c r="F9" s="337" t="s">
        <v>2091</v>
      </c>
      <c r="G9" s="337" t="s">
        <v>1859</v>
      </c>
      <c r="H9" s="337" t="s">
        <v>4440</v>
      </c>
      <c r="I9" s="337" t="s">
        <v>12760</v>
      </c>
      <c r="J9" s="337" t="s">
        <v>2092</v>
      </c>
      <c r="K9" s="337" t="s">
        <v>2498</v>
      </c>
      <c r="L9" s="337">
        <v>80.978813171386719</v>
      </c>
      <c r="M9" s="337" t="s">
        <v>6</v>
      </c>
      <c r="N9" s="337" t="s">
        <v>5</v>
      </c>
      <c r="O9" s="337" t="s">
        <v>5</v>
      </c>
      <c r="P9" s="337" t="s">
        <v>5</v>
      </c>
      <c r="Q9" s="337" t="s">
        <v>5</v>
      </c>
      <c r="R9" s="337" t="s">
        <v>4533</v>
      </c>
      <c r="S9" s="337" t="s">
        <v>2094</v>
      </c>
      <c r="T9" s="337" t="s">
        <v>5</v>
      </c>
      <c r="U9" s="337" t="s">
        <v>85</v>
      </c>
      <c r="V9" s="337">
        <v>243000000</v>
      </c>
      <c r="W9" s="337">
        <v>48600000</v>
      </c>
      <c r="X9" s="337" t="s">
        <v>6</v>
      </c>
      <c r="Y9" s="337"/>
      <c r="Z9" s="337">
        <v>24300000</v>
      </c>
      <c r="AA9" s="337">
        <v>26.690769195556641</v>
      </c>
      <c r="AB9" s="337">
        <v>3.299307107925415</v>
      </c>
      <c r="AC9" s="337">
        <v>2.3305830955505371</v>
      </c>
      <c r="AD9" s="337">
        <v>442</v>
      </c>
      <c r="AE9" s="337">
        <v>771</v>
      </c>
      <c r="AF9" s="337">
        <v>338</v>
      </c>
      <c r="AG9" s="337">
        <v>2010</v>
      </c>
      <c r="AH9" s="337">
        <v>1922</v>
      </c>
      <c r="AI9" s="337">
        <v>2010</v>
      </c>
      <c r="AJ9" s="337">
        <v>3</v>
      </c>
      <c r="AK9" s="337">
        <v>10</v>
      </c>
      <c r="AL9" s="337">
        <v>40</v>
      </c>
      <c r="AM9" s="337"/>
      <c r="AN9" s="337">
        <v>1927.255004882812</v>
      </c>
      <c r="AO9" s="337"/>
      <c r="AP9" s="337"/>
      <c r="AQ9" s="337"/>
      <c r="AR9" s="337"/>
      <c r="AS9" s="337"/>
      <c r="AT9" s="337"/>
      <c r="AU9" s="337"/>
      <c r="AV9" s="337"/>
      <c r="AW9" s="337"/>
      <c r="AX9" s="337"/>
      <c r="AY9" s="337"/>
      <c r="AZ9" s="337"/>
      <c r="BA9" s="337"/>
      <c r="BB9" s="337"/>
      <c r="BC9" s="337"/>
      <c r="BD9" s="337"/>
      <c r="BE9" s="337"/>
      <c r="BF9" s="337" t="s">
        <v>5</v>
      </c>
      <c r="BG9" s="337" t="s">
        <v>5</v>
      </c>
      <c r="BH9" s="337" t="s">
        <v>1777</v>
      </c>
      <c r="BI9" s="337"/>
      <c r="BJ9" s="337" t="s">
        <v>5</v>
      </c>
      <c r="BK9" s="337"/>
      <c r="BL9" s="337">
        <v>0</v>
      </c>
      <c r="BM9" s="337"/>
      <c r="BN9" s="337" t="s">
        <v>6</v>
      </c>
      <c r="BO9" s="337" t="s">
        <v>2499</v>
      </c>
      <c r="BP9" s="337"/>
      <c r="BQ9" s="337"/>
      <c r="BR9" s="337"/>
      <c r="BS9" s="337" t="s">
        <v>5</v>
      </c>
      <c r="BT9" s="337"/>
      <c r="BU9" s="337"/>
      <c r="BV9" s="337"/>
      <c r="BW9" s="337" t="s">
        <v>1778</v>
      </c>
      <c r="BX9" s="337" t="s">
        <v>6</v>
      </c>
      <c r="BY9" s="337" t="s">
        <v>1101</v>
      </c>
      <c r="BZ9" s="337"/>
      <c r="CA9" s="2"/>
      <c r="CB9" s="337" t="s">
        <v>5</v>
      </c>
      <c r="CC9" s="337">
        <v>166942.6582943291</v>
      </c>
      <c r="CD9" s="337">
        <v>209734159.66579109</v>
      </c>
      <c r="CE9" s="313" t="s">
        <v>11891</v>
      </c>
    </row>
    <row r="10" spans="1:83" s="3" customFormat="1" ht="15" customHeight="1" x14ac:dyDescent="0.25">
      <c r="A10" t="s">
        <v>1046</v>
      </c>
      <c r="B10" t="s">
        <v>149</v>
      </c>
      <c r="C10" t="s">
        <v>150</v>
      </c>
      <c r="D10">
        <v>6</v>
      </c>
      <c r="E10" t="s">
        <v>259</v>
      </c>
      <c r="F10" t="s">
        <v>339</v>
      </c>
      <c r="G10" t="s">
        <v>39</v>
      </c>
      <c r="H10" t="s">
        <v>325</v>
      </c>
      <c r="I10" t="s">
        <v>326</v>
      </c>
      <c r="J10" t="s">
        <v>327</v>
      </c>
      <c r="K10" t="s">
        <v>21</v>
      </c>
      <c r="L10">
        <v>52.888210296630859</v>
      </c>
      <c r="M10" t="s">
        <v>6</v>
      </c>
      <c r="N10" t="s">
        <v>5</v>
      </c>
      <c r="O10" t="s">
        <v>6</v>
      </c>
      <c r="P10" t="s">
        <v>5</v>
      </c>
      <c r="Q10" t="s">
        <v>5</v>
      </c>
      <c r="R10" t="s">
        <v>401</v>
      </c>
      <c r="S10" t="s">
        <v>401</v>
      </c>
      <c r="T10" t="s">
        <v>6</v>
      </c>
      <c r="U10" t="s">
        <v>98</v>
      </c>
      <c r="V10">
        <v>300000000</v>
      </c>
      <c r="W10">
        <v>30000000</v>
      </c>
      <c r="X10" t="s">
        <v>6</v>
      </c>
      <c r="Y10"/>
      <c r="Z10"/>
      <c r="AA10">
        <v>16.73944091796875</v>
      </c>
      <c r="AB10">
        <v>10.14413547515869</v>
      </c>
      <c r="AC10">
        <v>0</v>
      </c>
      <c r="AD10">
        <v>5251</v>
      </c>
      <c r="AE10">
        <v>9243</v>
      </c>
      <c r="AF10">
        <v>4835</v>
      </c>
      <c r="AG10">
        <v>11187</v>
      </c>
      <c r="AH10">
        <v>13675</v>
      </c>
      <c r="AI10">
        <v>13675</v>
      </c>
      <c r="AJ10">
        <v>25</v>
      </c>
      <c r="AK10">
        <v>2</v>
      </c>
      <c r="AL10">
        <v>105</v>
      </c>
      <c r="AM10">
        <v>2</v>
      </c>
      <c r="AN10">
        <v>1308.191162109375</v>
      </c>
      <c r="AO10"/>
      <c r="AP10"/>
      <c r="AQ10"/>
      <c r="AR10"/>
      <c r="AS10"/>
      <c r="AT10"/>
      <c r="AU10"/>
      <c r="AV10"/>
      <c r="AW10"/>
      <c r="AX10"/>
      <c r="AY10"/>
      <c r="AZ10"/>
      <c r="BA10"/>
      <c r="BB10"/>
      <c r="BC10"/>
      <c r="BD10"/>
      <c r="BE10"/>
      <c r="BF10" t="s">
        <v>367</v>
      </c>
      <c r="BG10" t="s">
        <v>5</v>
      </c>
      <c r="BH10"/>
      <c r="BI10"/>
      <c r="BJ10" t="s">
        <v>5</v>
      </c>
      <c r="BK10"/>
      <c r="BL10">
        <v>0</v>
      </c>
      <c r="BM10"/>
      <c r="BN10" t="s">
        <v>5</v>
      </c>
      <c r="BO10" t="s">
        <v>2518</v>
      </c>
      <c r="BP10" t="s">
        <v>2518</v>
      </c>
      <c r="BQ10" t="s">
        <v>2518</v>
      </c>
      <c r="BR10"/>
      <c r="BS10" t="s">
        <v>6</v>
      </c>
      <c r="BT10" t="s">
        <v>2518</v>
      </c>
      <c r="BU10" t="s">
        <v>2518</v>
      </c>
      <c r="BV10" t="s">
        <v>2518</v>
      </c>
      <c r="BW10"/>
      <c r="BX10" t="s">
        <v>6</v>
      </c>
      <c r="BY10" t="s">
        <v>7</v>
      </c>
      <c r="BZ10" t="s">
        <v>2518</v>
      </c>
      <c r="CA10"/>
      <c r="CB10" t="s">
        <v>5</v>
      </c>
      <c r="CC10">
        <v>81527.078776301511</v>
      </c>
      <c r="CD10">
        <v>136979836.47343701</v>
      </c>
      <c r="CE10" s="313" t="s">
        <v>11891</v>
      </c>
    </row>
    <row r="11" spans="1:83" s="3" customFormat="1" ht="15" customHeight="1" x14ac:dyDescent="0.25">
      <c r="A11" s="337" t="s">
        <v>2503</v>
      </c>
      <c r="B11" s="337" t="s">
        <v>2504</v>
      </c>
      <c r="C11" s="337" t="s">
        <v>4535</v>
      </c>
      <c r="D11" s="337">
        <v>3</v>
      </c>
      <c r="E11" s="337" t="s">
        <v>1771</v>
      </c>
      <c r="F11" s="337" t="s">
        <v>2091</v>
      </c>
      <c r="G11" s="337" t="s">
        <v>1878</v>
      </c>
      <c r="H11" s="337" t="s">
        <v>4389</v>
      </c>
      <c r="I11" s="337" t="s">
        <v>12768</v>
      </c>
      <c r="J11" s="337" t="s">
        <v>2176</v>
      </c>
      <c r="K11" s="337" t="s">
        <v>2498</v>
      </c>
      <c r="L11" s="337">
        <v>56.701698303222663</v>
      </c>
      <c r="M11" s="337" t="s">
        <v>6</v>
      </c>
      <c r="N11" s="337" t="s">
        <v>5</v>
      </c>
      <c r="O11" s="337" t="s">
        <v>5</v>
      </c>
      <c r="P11" s="337" t="s">
        <v>5</v>
      </c>
      <c r="Q11" s="337" t="s">
        <v>5</v>
      </c>
      <c r="R11" s="337" t="s">
        <v>4536</v>
      </c>
      <c r="S11" s="337" t="s">
        <v>2505</v>
      </c>
      <c r="T11" s="337" t="s">
        <v>5</v>
      </c>
      <c r="U11" s="337" t="s">
        <v>85</v>
      </c>
      <c r="V11" s="337">
        <v>105000000</v>
      </c>
      <c r="W11" s="337">
        <v>21000000</v>
      </c>
      <c r="X11" s="337" t="s">
        <v>6</v>
      </c>
      <c r="Y11" s="337"/>
      <c r="Z11" s="337">
        <v>10500000</v>
      </c>
      <c r="AA11" s="337">
        <v>6.5094590187072754</v>
      </c>
      <c r="AB11" s="337">
        <v>0.82901769876480103</v>
      </c>
      <c r="AC11" s="337">
        <v>0.49760571122169489</v>
      </c>
      <c r="AD11" s="337">
        <v>1005</v>
      </c>
      <c r="AE11" s="337">
        <v>593</v>
      </c>
      <c r="AF11" s="337">
        <v>944</v>
      </c>
      <c r="AG11" s="337">
        <v>2788</v>
      </c>
      <c r="AH11" s="337">
        <v>6348</v>
      </c>
      <c r="AI11" s="337">
        <v>6348</v>
      </c>
      <c r="AJ11" s="337">
        <v>5</v>
      </c>
      <c r="AK11" s="337">
        <v>0</v>
      </c>
      <c r="AL11" s="337">
        <v>30</v>
      </c>
      <c r="AM11" s="337"/>
      <c r="AN11" s="337">
        <v>627.4970703125</v>
      </c>
      <c r="AO11" s="337"/>
      <c r="AP11" s="337"/>
      <c r="AQ11" s="337"/>
      <c r="AR11" s="337"/>
      <c r="AS11" s="337"/>
      <c r="AT11" s="337"/>
      <c r="AU11" s="337"/>
      <c r="AV11" s="337"/>
      <c r="AW11" s="337"/>
      <c r="AX11" s="337"/>
      <c r="AY11" s="337"/>
      <c r="AZ11" s="337"/>
      <c r="BA11" s="337"/>
      <c r="BB11" s="337"/>
      <c r="BC11" s="337"/>
      <c r="BD11" s="337"/>
      <c r="BE11" s="337"/>
      <c r="BF11" s="337" t="s">
        <v>5</v>
      </c>
      <c r="BG11" s="337" t="s">
        <v>5</v>
      </c>
      <c r="BH11" s="337" t="s">
        <v>1777</v>
      </c>
      <c r="BI11" s="337"/>
      <c r="BJ11" s="337" t="s">
        <v>5</v>
      </c>
      <c r="BK11" s="337"/>
      <c r="BL11" s="337">
        <v>0</v>
      </c>
      <c r="BM11" s="337"/>
      <c r="BN11" s="337" t="s">
        <v>6</v>
      </c>
      <c r="BO11" s="337" t="s">
        <v>2506</v>
      </c>
      <c r="BP11" s="337"/>
      <c r="BQ11" s="337"/>
      <c r="BR11" s="337"/>
      <c r="BS11" s="337" t="s">
        <v>5</v>
      </c>
      <c r="BT11" s="337"/>
      <c r="BU11" s="337"/>
      <c r="BV11" s="337"/>
      <c r="BW11" s="337" t="s">
        <v>1778</v>
      </c>
      <c r="BX11" s="337" t="s">
        <v>6</v>
      </c>
      <c r="BY11" s="337" t="s">
        <v>1101</v>
      </c>
      <c r="BZ11" s="337"/>
      <c r="CA11" s="2"/>
      <c r="CB11" s="337" t="s">
        <v>5</v>
      </c>
      <c r="CC11" s="337">
        <v>97289.907789048826</v>
      </c>
      <c r="CD11" s="337">
        <v>146856720.14191699</v>
      </c>
      <c r="CE11" s="313" t="s">
        <v>11891</v>
      </c>
    </row>
    <row r="12" spans="1:83" s="3" customFormat="1" ht="15" customHeight="1" x14ac:dyDescent="0.25">
      <c r="A12" t="s">
        <v>166</v>
      </c>
      <c r="B12" t="s">
        <v>167</v>
      </c>
      <c r="C12" t="s">
        <v>168</v>
      </c>
      <c r="D12">
        <v>6</v>
      </c>
      <c r="E12" t="s">
        <v>259</v>
      </c>
      <c r="F12" t="s">
        <v>2</v>
      </c>
      <c r="G12" t="s">
        <v>260</v>
      </c>
      <c r="H12" t="s">
        <v>261</v>
      </c>
      <c r="I12"/>
      <c r="J12" t="s">
        <v>2518</v>
      </c>
      <c r="K12" t="s">
        <v>21</v>
      </c>
      <c r="L12">
        <v>1770.815673828125</v>
      </c>
      <c r="M12" t="s">
        <v>6</v>
      </c>
      <c r="N12" t="s">
        <v>6</v>
      </c>
      <c r="O12" t="s">
        <v>6</v>
      </c>
      <c r="P12" t="s">
        <v>5</v>
      </c>
      <c r="Q12" t="s">
        <v>5</v>
      </c>
      <c r="R12" t="s">
        <v>290</v>
      </c>
      <c r="S12" t="s">
        <v>2968</v>
      </c>
      <c r="T12" t="s">
        <v>6</v>
      </c>
      <c r="U12" t="s">
        <v>98</v>
      </c>
      <c r="V12">
        <v>75000000</v>
      </c>
      <c r="W12">
        <v>7500000</v>
      </c>
      <c r="X12" t="s">
        <v>6</v>
      </c>
      <c r="Y12"/>
      <c r="Z12"/>
      <c r="AA12">
        <v>444.50747680664063</v>
      </c>
      <c r="AB12">
        <v>200.08575439453119</v>
      </c>
      <c r="AC12">
        <v>0.69722402095794678</v>
      </c>
      <c r="AD12">
        <v>143642</v>
      </c>
      <c r="AE12">
        <v>182389</v>
      </c>
      <c r="AF12">
        <v>120807</v>
      </c>
      <c r="AG12">
        <v>590954</v>
      </c>
      <c r="AH12">
        <v>545505</v>
      </c>
      <c r="AI12">
        <v>590954</v>
      </c>
      <c r="AJ12">
        <v>2332</v>
      </c>
      <c r="AK12">
        <v>89</v>
      </c>
      <c r="AL12">
        <v>2408</v>
      </c>
      <c r="AM12">
        <v>89</v>
      </c>
      <c r="AN12">
        <v>5993.46923828125</v>
      </c>
      <c r="AO12"/>
      <c r="AP12"/>
      <c r="AQ12"/>
      <c r="AR12"/>
      <c r="AS12"/>
      <c r="AT12"/>
      <c r="AU12"/>
      <c r="AV12"/>
      <c r="AW12"/>
      <c r="AX12"/>
      <c r="AY12"/>
      <c r="AZ12"/>
      <c r="BA12"/>
      <c r="BB12"/>
      <c r="BC12"/>
      <c r="BD12"/>
      <c r="BE12"/>
      <c r="BF12" t="s">
        <v>300</v>
      </c>
      <c r="BG12" t="s">
        <v>5</v>
      </c>
      <c r="BH12"/>
      <c r="BI12"/>
      <c r="BJ12" t="s">
        <v>5</v>
      </c>
      <c r="BK12"/>
      <c r="BL12">
        <v>0</v>
      </c>
      <c r="BM12"/>
      <c r="BN12" t="s">
        <v>5</v>
      </c>
      <c r="BO12" t="s">
        <v>2518</v>
      </c>
      <c r="BP12" t="s">
        <v>2518</v>
      </c>
      <c r="BQ12" t="s">
        <v>2518</v>
      </c>
      <c r="BR12"/>
      <c r="BS12" t="s">
        <v>6</v>
      </c>
      <c r="BT12" t="s">
        <v>2518</v>
      </c>
      <c r="BU12" t="s">
        <v>2518</v>
      </c>
      <c r="BV12" t="s">
        <v>2518</v>
      </c>
      <c r="BW12"/>
      <c r="BX12" t="s">
        <v>6</v>
      </c>
      <c r="BY12" t="s">
        <v>7</v>
      </c>
      <c r="BZ12" t="s">
        <v>2518</v>
      </c>
      <c r="CA12"/>
      <c r="CB12" t="s">
        <v>5</v>
      </c>
      <c r="CC12">
        <v>417917.84308613068</v>
      </c>
      <c r="CD12">
        <v>4586391665.5307312</v>
      </c>
      <c r="CE12" s="313" t="s">
        <v>11891</v>
      </c>
    </row>
    <row r="13" spans="1:83" s="3" customFormat="1" ht="15" customHeight="1" x14ac:dyDescent="0.25">
      <c r="A13" s="337" t="s">
        <v>2507</v>
      </c>
      <c r="B13" s="337" t="s">
        <v>2508</v>
      </c>
      <c r="C13" s="337" t="s">
        <v>4537</v>
      </c>
      <c r="D13" s="337">
        <v>3</v>
      </c>
      <c r="E13" s="337" t="s">
        <v>1771</v>
      </c>
      <c r="F13" s="337" t="s">
        <v>2364</v>
      </c>
      <c r="G13" s="337" t="s">
        <v>1893</v>
      </c>
      <c r="H13" s="337" t="s">
        <v>2216</v>
      </c>
      <c r="I13" s="337" t="s">
        <v>2509</v>
      </c>
      <c r="J13" s="337" t="s">
        <v>2510</v>
      </c>
      <c r="K13" s="337" t="s">
        <v>2498</v>
      </c>
      <c r="L13" s="337">
        <v>5.1643509864807129</v>
      </c>
      <c r="M13" s="337" t="s">
        <v>6</v>
      </c>
      <c r="N13" s="337" t="s">
        <v>5</v>
      </c>
      <c r="O13" s="337" t="s">
        <v>5</v>
      </c>
      <c r="P13" s="337" t="s">
        <v>5</v>
      </c>
      <c r="Q13" s="337" t="s">
        <v>5</v>
      </c>
      <c r="R13" s="337" t="s">
        <v>4467</v>
      </c>
      <c r="S13" s="337" t="s">
        <v>2218</v>
      </c>
      <c r="T13" s="337" t="s">
        <v>5</v>
      </c>
      <c r="U13" s="337" t="s">
        <v>85</v>
      </c>
      <c r="V13" s="337">
        <v>29000000</v>
      </c>
      <c r="W13" s="337">
        <v>5800000</v>
      </c>
      <c r="X13" s="337" t="s">
        <v>6</v>
      </c>
      <c r="Y13" s="337"/>
      <c r="Z13" s="337">
        <v>2900000</v>
      </c>
      <c r="AA13" s="337">
        <v>0.55078220367431641</v>
      </c>
      <c r="AB13" s="337">
        <v>0.1239940002560616</v>
      </c>
      <c r="AC13" s="337">
        <v>3.7632320076227188E-2</v>
      </c>
      <c r="AD13" s="337">
        <v>27</v>
      </c>
      <c r="AE13" s="337">
        <v>80</v>
      </c>
      <c r="AF13" s="337">
        <v>20</v>
      </c>
      <c r="AG13" s="337">
        <v>221</v>
      </c>
      <c r="AH13" s="337">
        <v>68</v>
      </c>
      <c r="AI13" s="337">
        <v>221</v>
      </c>
      <c r="AJ13" s="337">
        <v>3</v>
      </c>
      <c r="AK13" s="337">
        <v>0</v>
      </c>
      <c r="AL13" s="337">
        <v>5</v>
      </c>
      <c r="AM13" s="337"/>
      <c r="AN13" s="337">
        <v>118.9908981323242</v>
      </c>
      <c r="AO13" s="337"/>
      <c r="AP13" s="337"/>
      <c r="AQ13" s="337"/>
      <c r="AR13" s="337"/>
      <c r="AS13" s="337"/>
      <c r="AT13" s="337"/>
      <c r="AU13" s="337"/>
      <c r="AV13" s="337"/>
      <c r="AW13" s="337"/>
      <c r="AX13" s="337"/>
      <c r="AY13" s="337"/>
      <c r="AZ13" s="337"/>
      <c r="BA13" s="337"/>
      <c r="BB13" s="337"/>
      <c r="BC13" s="337"/>
      <c r="BD13" s="337"/>
      <c r="BE13" s="337"/>
      <c r="BF13" s="337" t="s">
        <v>5</v>
      </c>
      <c r="BG13" s="337" t="s">
        <v>5</v>
      </c>
      <c r="BH13" s="337" t="s">
        <v>1777</v>
      </c>
      <c r="BI13" s="337"/>
      <c r="BJ13" s="337" t="s">
        <v>5</v>
      </c>
      <c r="BK13" s="337"/>
      <c r="BL13" s="337">
        <v>0</v>
      </c>
      <c r="BM13" s="337"/>
      <c r="BN13" s="337" t="s">
        <v>5</v>
      </c>
      <c r="BO13" s="337"/>
      <c r="BP13" s="337"/>
      <c r="BQ13" s="337"/>
      <c r="BR13" s="337"/>
      <c r="BS13" s="337" t="s">
        <v>5</v>
      </c>
      <c r="BT13" s="337"/>
      <c r="BU13" s="337"/>
      <c r="BV13" s="337"/>
      <c r="BW13" s="337" t="s">
        <v>1778</v>
      </c>
      <c r="BX13" s="337" t="s">
        <v>6</v>
      </c>
      <c r="BY13" s="337" t="s">
        <v>2511</v>
      </c>
      <c r="BZ13" s="337"/>
      <c r="CA13" s="2"/>
      <c r="CB13" s="337" t="s">
        <v>5</v>
      </c>
      <c r="CC13" s="337">
        <v>29963.976236900999</v>
      </c>
      <c r="CD13" s="337">
        <v>13379146.61583223</v>
      </c>
      <c r="CE13" s="313" t="s">
        <v>11891</v>
      </c>
    </row>
    <row r="14" spans="1:83" s="3" customFormat="1" ht="15" customHeight="1" x14ac:dyDescent="0.25">
      <c r="A14" t="s">
        <v>3644</v>
      </c>
      <c r="B14" t="s">
        <v>3645</v>
      </c>
      <c r="C14" t="s">
        <v>3646</v>
      </c>
      <c r="D14">
        <v>13</v>
      </c>
      <c r="E14" t="s">
        <v>3573</v>
      </c>
      <c r="F14" t="s">
        <v>3647</v>
      </c>
      <c r="G14" t="s">
        <v>3648</v>
      </c>
      <c r="H14" t="s">
        <v>3649</v>
      </c>
      <c r="I14" t="s">
        <v>3650</v>
      </c>
      <c r="J14" t="s">
        <v>3651</v>
      </c>
      <c r="K14" t="s">
        <v>3635</v>
      </c>
      <c r="L14">
        <v>12.69940090179443</v>
      </c>
      <c r="M14" t="s">
        <v>6</v>
      </c>
      <c r="N14" t="s">
        <v>5</v>
      </c>
      <c r="O14" t="s">
        <v>6</v>
      </c>
      <c r="P14" t="s">
        <v>5</v>
      </c>
      <c r="Q14" t="s">
        <v>5</v>
      </c>
      <c r="R14" t="s">
        <v>3652</v>
      </c>
      <c r="S14" t="s">
        <v>3653</v>
      </c>
      <c r="T14" t="s">
        <v>6</v>
      </c>
      <c r="U14" t="s">
        <v>98</v>
      </c>
      <c r="V14">
        <v>5000000</v>
      </c>
      <c r="W14">
        <v>5000000</v>
      </c>
      <c r="X14" t="s">
        <v>5</v>
      </c>
      <c r="Y14"/>
      <c r="Z14"/>
      <c r="AA14">
        <v>3.9642267227172852</v>
      </c>
      <c r="AB14">
        <v>6.5406608581542969</v>
      </c>
      <c r="AC14">
        <v>0</v>
      </c>
      <c r="AD14">
        <v>893</v>
      </c>
      <c r="AE14">
        <v>5764</v>
      </c>
      <c r="AF14">
        <v>572</v>
      </c>
      <c r="AG14">
        <v>6681</v>
      </c>
      <c r="AH14">
        <v>1887</v>
      </c>
      <c r="AI14">
        <v>6681</v>
      </c>
      <c r="AJ14">
        <v>8</v>
      </c>
      <c r="AK14">
        <v>4</v>
      </c>
      <c r="AL14">
        <v>19</v>
      </c>
      <c r="AM14">
        <v>296</v>
      </c>
      <c r="AN14">
        <v>131.8397216796875</v>
      </c>
      <c r="AO14"/>
      <c r="AP14"/>
      <c r="AQ14"/>
      <c r="AR14"/>
      <c r="AS14"/>
      <c r="AT14"/>
      <c r="AU14"/>
      <c r="AV14"/>
      <c r="AW14"/>
      <c r="AX14"/>
      <c r="AY14"/>
      <c r="AZ14"/>
      <c r="BA14"/>
      <c r="BB14"/>
      <c r="BC14"/>
      <c r="BD14"/>
      <c r="BE14">
        <v>0</v>
      </c>
      <c r="BF14" t="s">
        <v>5</v>
      </c>
      <c r="BG14" t="s">
        <v>5</v>
      </c>
      <c r="BH14" t="s">
        <v>3581</v>
      </c>
      <c r="BI14"/>
      <c r="BJ14" t="s">
        <v>5</v>
      </c>
      <c r="BK14"/>
      <c r="BL14">
        <v>0</v>
      </c>
      <c r="BM14"/>
      <c r="BN14" t="s">
        <v>5</v>
      </c>
      <c r="BO14"/>
      <c r="BP14"/>
      <c r="BQ14"/>
      <c r="BR14"/>
      <c r="BS14" t="s">
        <v>5</v>
      </c>
      <c r="BT14"/>
      <c r="BU14"/>
      <c r="BV14"/>
      <c r="BW14"/>
      <c r="BX14" t="s">
        <v>6</v>
      </c>
      <c r="BY14" t="s">
        <v>3601</v>
      </c>
      <c r="BZ14"/>
      <c r="CA14"/>
      <c r="CB14" t="s">
        <v>5</v>
      </c>
      <c r="CC14">
        <v>48887.842927004807</v>
      </c>
      <c r="CD14">
        <v>32891428.600837432</v>
      </c>
      <c r="CE14" s="313" t="s">
        <v>11891</v>
      </c>
    </row>
    <row r="15" spans="1:83" s="3" customFormat="1" ht="15" customHeight="1" x14ac:dyDescent="0.25">
      <c r="A15" t="s">
        <v>3690</v>
      </c>
      <c r="B15" t="s">
        <v>3691</v>
      </c>
      <c r="C15" t="s">
        <v>3692</v>
      </c>
      <c r="D15">
        <v>13</v>
      </c>
      <c r="E15" t="s">
        <v>3573</v>
      </c>
      <c r="F15" t="s">
        <v>3682</v>
      </c>
      <c r="G15" t="s">
        <v>3683</v>
      </c>
      <c r="H15" t="s">
        <v>3684</v>
      </c>
      <c r="I15" t="s">
        <v>3685</v>
      </c>
      <c r="J15" t="s">
        <v>3686</v>
      </c>
      <c r="K15" t="s">
        <v>3693</v>
      </c>
      <c r="L15">
        <v>281.78964233398438</v>
      </c>
      <c r="M15" t="s">
        <v>6</v>
      </c>
      <c r="N15" t="s">
        <v>6</v>
      </c>
      <c r="O15" t="s">
        <v>6</v>
      </c>
      <c r="P15" t="s">
        <v>5</v>
      </c>
      <c r="Q15" t="s">
        <v>5</v>
      </c>
      <c r="R15" t="s">
        <v>3688</v>
      </c>
      <c r="S15" t="s">
        <v>3689</v>
      </c>
      <c r="T15" t="s">
        <v>6</v>
      </c>
      <c r="U15" t="s">
        <v>50</v>
      </c>
      <c r="V15">
        <v>5000000</v>
      </c>
      <c r="W15">
        <v>5000000</v>
      </c>
      <c r="X15" t="s">
        <v>5</v>
      </c>
      <c r="Y15"/>
      <c r="Z15"/>
      <c r="AA15">
        <v>111.3262023925781</v>
      </c>
      <c r="AB15">
        <v>37.816623687744141</v>
      </c>
      <c r="AC15">
        <v>0.87159079313278198</v>
      </c>
      <c r="AD15">
        <v>3334</v>
      </c>
      <c r="AE15">
        <v>2749</v>
      </c>
      <c r="AF15">
        <v>2828</v>
      </c>
      <c r="AG15">
        <v>4119</v>
      </c>
      <c r="AH15">
        <v>4790</v>
      </c>
      <c r="AI15">
        <v>4790</v>
      </c>
      <c r="AJ15">
        <v>4</v>
      </c>
      <c r="AK15">
        <v>0</v>
      </c>
      <c r="AL15">
        <v>103</v>
      </c>
      <c r="AM15">
        <v>548</v>
      </c>
      <c r="AN15">
        <v>571.30499267578125</v>
      </c>
      <c r="AO15"/>
      <c r="AP15"/>
      <c r="AQ15"/>
      <c r="AR15"/>
      <c r="AS15"/>
      <c r="AT15"/>
      <c r="AU15"/>
      <c r="AV15"/>
      <c r="AW15"/>
      <c r="AX15"/>
      <c r="AY15"/>
      <c r="AZ15"/>
      <c r="BA15"/>
      <c r="BB15"/>
      <c r="BC15"/>
      <c r="BD15"/>
      <c r="BE15">
        <v>0</v>
      </c>
      <c r="BF15" t="s">
        <v>5</v>
      </c>
      <c r="BG15" t="s">
        <v>5</v>
      </c>
      <c r="BH15" t="s">
        <v>3581</v>
      </c>
      <c r="BI15"/>
      <c r="BJ15" t="s">
        <v>5</v>
      </c>
      <c r="BK15"/>
      <c r="BL15">
        <v>0</v>
      </c>
      <c r="BM15"/>
      <c r="BN15" t="s">
        <v>5</v>
      </c>
      <c r="BO15"/>
      <c r="BP15"/>
      <c r="BQ15"/>
      <c r="BR15"/>
      <c r="BS15" t="s">
        <v>5</v>
      </c>
      <c r="BT15"/>
      <c r="BU15"/>
      <c r="BV15"/>
      <c r="BW15"/>
      <c r="BX15" t="s">
        <v>6</v>
      </c>
      <c r="BY15" t="s">
        <v>3694</v>
      </c>
      <c r="BZ15"/>
      <c r="CA15"/>
      <c r="CB15" t="s">
        <v>5</v>
      </c>
      <c r="CC15">
        <v>636139.96288904757</v>
      </c>
      <c r="CD15">
        <v>729834770.14420617</v>
      </c>
      <c r="CE15" s="313" t="s">
        <v>11891</v>
      </c>
    </row>
    <row r="16" spans="1:83" s="3" customFormat="1" ht="15" customHeight="1" x14ac:dyDescent="0.25">
      <c r="A16" t="s">
        <v>12396</v>
      </c>
      <c r="B16" t="s">
        <v>12397</v>
      </c>
      <c r="C16" t="s">
        <v>12398</v>
      </c>
      <c r="D16">
        <v>5</v>
      </c>
      <c r="E16" t="s">
        <v>2598</v>
      </c>
      <c r="F16" t="s">
        <v>2559</v>
      </c>
      <c r="G16" t="s">
        <v>12390</v>
      </c>
      <c r="H16" t="s">
        <v>12391</v>
      </c>
      <c r="I16" t="s">
        <v>12392</v>
      </c>
      <c r="J16" t="s">
        <v>12393</v>
      </c>
      <c r="K16" t="s">
        <v>2620</v>
      </c>
      <c r="L16">
        <v>10.304924011230471</v>
      </c>
      <c r="M16" t="s">
        <v>6</v>
      </c>
      <c r="N16" t="s">
        <v>5</v>
      </c>
      <c r="O16" t="s">
        <v>5</v>
      </c>
      <c r="P16" t="s">
        <v>5</v>
      </c>
      <c r="Q16" t="s">
        <v>5</v>
      </c>
      <c r="R16" t="s">
        <v>4745</v>
      </c>
      <c r="S16" t="s">
        <v>4745</v>
      </c>
      <c r="T16" t="s">
        <v>6</v>
      </c>
      <c r="U16" t="s">
        <v>98</v>
      </c>
      <c r="V16">
        <v>5000000</v>
      </c>
      <c r="W16">
        <v>5000000</v>
      </c>
      <c r="X16" t="s">
        <v>6</v>
      </c>
      <c r="Y16"/>
      <c r="Z16"/>
      <c r="AA16">
        <v>1.947086095809937</v>
      </c>
      <c r="AB16">
        <v>3.3440284729003911</v>
      </c>
      <c r="AC16">
        <v>0.32724130153656011</v>
      </c>
      <c r="AD16">
        <v>541</v>
      </c>
      <c r="AE16">
        <v>2077</v>
      </c>
      <c r="AF16">
        <v>416</v>
      </c>
      <c r="AG16">
        <v>695</v>
      </c>
      <c r="AH16">
        <v>1143</v>
      </c>
      <c r="AI16">
        <v>1143</v>
      </c>
      <c r="AJ16">
        <v>1</v>
      </c>
      <c r="AK16">
        <v>5</v>
      </c>
      <c r="AL16">
        <v>13</v>
      </c>
      <c r="AM16">
        <v>5</v>
      </c>
      <c r="AN16">
        <v>1.0961142778396611</v>
      </c>
      <c r="AO16"/>
      <c r="AP16"/>
      <c r="AQ16"/>
      <c r="AR16">
        <v>0</v>
      </c>
      <c r="AS16">
        <v>0</v>
      </c>
      <c r="AT16">
        <v>0</v>
      </c>
      <c r="AU16">
        <v>0</v>
      </c>
      <c r="AV16">
        <v>0</v>
      </c>
      <c r="AW16">
        <v>0</v>
      </c>
      <c r="AX16">
        <v>0</v>
      </c>
      <c r="AY16">
        <v>0</v>
      </c>
      <c r="AZ16">
        <v>0</v>
      </c>
      <c r="BA16">
        <v>0</v>
      </c>
      <c r="BB16"/>
      <c r="BC16"/>
      <c r="BD16"/>
      <c r="BE16">
        <v>0</v>
      </c>
      <c r="BF16" t="s">
        <v>2516</v>
      </c>
      <c r="BG16" t="s">
        <v>5</v>
      </c>
      <c r="BH16" t="s">
        <v>1020</v>
      </c>
      <c r="BI16"/>
      <c r="BJ16" t="s">
        <v>5</v>
      </c>
      <c r="BK16"/>
      <c r="BL16">
        <v>0</v>
      </c>
      <c r="BM16"/>
      <c r="BN16" t="s">
        <v>6</v>
      </c>
      <c r="BO16" t="s">
        <v>2518</v>
      </c>
      <c r="BP16" t="s">
        <v>2518</v>
      </c>
      <c r="BQ16" t="s">
        <v>2518</v>
      </c>
      <c r="BR16"/>
      <c r="BS16" t="s">
        <v>6</v>
      </c>
      <c r="BT16" t="s">
        <v>2518</v>
      </c>
      <c r="BU16" t="s">
        <v>2518</v>
      </c>
      <c r="BV16" t="s">
        <v>2518</v>
      </c>
      <c r="BW16"/>
      <c r="BX16" t="s">
        <v>6</v>
      </c>
      <c r="BY16" t="s">
        <v>2605</v>
      </c>
      <c r="BZ16" t="s">
        <v>2518</v>
      </c>
      <c r="CA16"/>
      <c r="CB16" t="s">
        <v>5</v>
      </c>
      <c r="CC16">
        <v>55116.443833590783</v>
      </c>
      <c r="CD16">
        <v>26689629.93451561</v>
      </c>
      <c r="CE16" s="313" t="s">
        <v>11902</v>
      </c>
    </row>
    <row r="17" spans="1:83" s="3" customFormat="1" ht="15" customHeight="1" x14ac:dyDescent="0.25">
      <c r="A17" t="s">
        <v>12399</v>
      </c>
      <c r="B17" t="s">
        <v>12400</v>
      </c>
      <c r="C17" t="s">
        <v>12401</v>
      </c>
      <c r="D17">
        <v>5</v>
      </c>
      <c r="E17" t="s">
        <v>2598</v>
      </c>
      <c r="F17" t="s">
        <v>2559</v>
      </c>
      <c r="G17" t="s">
        <v>12390</v>
      </c>
      <c r="H17" t="s">
        <v>12391</v>
      </c>
      <c r="I17" t="s">
        <v>12392</v>
      </c>
      <c r="J17" t="s">
        <v>12393</v>
      </c>
      <c r="K17" t="s">
        <v>2620</v>
      </c>
      <c r="L17">
        <v>10.304924011230471</v>
      </c>
      <c r="M17" t="s">
        <v>6</v>
      </c>
      <c r="N17" t="s">
        <v>5</v>
      </c>
      <c r="O17" t="s">
        <v>5</v>
      </c>
      <c r="P17" t="s">
        <v>5</v>
      </c>
      <c r="Q17" t="s">
        <v>5</v>
      </c>
      <c r="R17" t="s">
        <v>4745</v>
      </c>
      <c r="S17" t="s">
        <v>4745</v>
      </c>
      <c r="T17" t="s">
        <v>6</v>
      </c>
      <c r="U17" t="s">
        <v>98</v>
      </c>
      <c r="V17">
        <v>5000000</v>
      </c>
      <c r="W17">
        <v>5000000</v>
      </c>
      <c r="X17" t="s">
        <v>6</v>
      </c>
      <c r="Y17"/>
      <c r="Z17"/>
      <c r="AA17">
        <v>1.947086095809937</v>
      </c>
      <c r="AB17">
        <v>3.3440284729003911</v>
      </c>
      <c r="AC17">
        <v>0.32724130153656011</v>
      </c>
      <c r="AD17">
        <v>541</v>
      </c>
      <c r="AE17">
        <v>2077</v>
      </c>
      <c r="AF17">
        <v>416</v>
      </c>
      <c r="AG17">
        <v>695</v>
      </c>
      <c r="AH17">
        <v>1143</v>
      </c>
      <c r="AI17">
        <v>1143</v>
      </c>
      <c r="AJ17">
        <v>1</v>
      </c>
      <c r="AK17">
        <v>5</v>
      </c>
      <c r="AL17">
        <v>13</v>
      </c>
      <c r="AM17">
        <v>5</v>
      </c>
      <c r="AN17">
        <v>1.0961142778396611</v>
      </c>
      <c r="AO17"/>
      <c r="AP17"/>
      <c r="AQ17"/>
      <c r="AR17">
        <v>0</v>
      </c>
      <c r="AS17">
        <v>0</v>
      </c>
      <c r="AT17">
        <v>0</v>
      </c>
      <c r="AU17">
        <v>0</v>
      </c>
      <c r="AV17">
        <v>0</v>
      </c>
      <c r="AW17">
        <v>0</v>
      </c>
      <c r="AX17">
        <v>0</v>
      </c>
      <c r="AY17">
        <v>0</v>
      </c>
      <c r="AZ17">
        <v>0</v>
      </c>
      <c r="BA17">
        <v>0</v>
      </c>
      <c r="BB17"/>
      <c r="BC17"/>
      <c r="BD17"/>
      <c r="BE17">
        <v>0</v>
      </c>
      <c r="BF17" t="s">
        <v>2516</v>
      </c>
      <c r="BG17" t="s">
        <v>5</v>
      </c>
      <c r="BH17" t="s">
        <v>1020</v>
      </c>
      <c r="BI17"/>
      <c r="BJ17" t="s">
        <v>5</v>
      </c>
      <c r="BK17"/>
      <c r="BL17">
        <v>0</v>
      </c>
      <c r="BM17"/>
      <c r="BN17" t="s">
        <v>6</v>
      </c>
      <c r="BO17" t="s">
        <v>2518</v>
      </c>
      <c r="BP17" t="s">
        <v>2518</v>
      </c>
      <c r="BQ17" t="s">
        <v>2518</v>
      </c>
      <c r="BR17"/>
      <c r="BS17" t="s">
        <v>6</v>
      </c>
      <c r="BT17" t="s">
        <v>2518</v>
      </c>
      <c r="BU17" t="s">
        <v>2518</v>
      </c>
      <c r="BV17" t="s">
        <v>2518</v>
      </c>
      <c r="BW17"/>
      <c r="BX17" t="s">
        <v>6</v>
      </c>
      <c r="BY17" t="s">
        <v>2605</v>
      </c>
      <c r="BZ17" t="s">
        <v>2518</v>
      </c>
      <c r="CA17"/>
      <c r="CB17" t="s">
        <v>5</v>
      </c>
      <c r="CC17">
        <v>55116.443833590783</v>
      </c>
      <c r="CD17">
        <v>26689629.93451561</v>
      </c>
      <c r="CE17" s="313" t="s">
        <v>11902</v>
      </c>
    </row>
    <row r="18" spans="1:83" s="3" customFormat="1" ht="15" x14ac:dyDescent="0.25">
      <c r="A18" t="s">
        <v>12402</v>
      </c>
      <c r="B18" t="s">
        <v>12403</v>
      </c>
      <c r="C18" t="s">
        <v>12404</v>
      </c>
      <c r="D18">
        <v>5</v>
      </c>
      <c r="E18" t="s">
        <v>2598</v>
      </c>
      <c r="F18" t="s">
        <v>2559</v>
      </c>
      <c r="G18" t="s">
        <v>12390</v>
      </c>
      <c r="H18" t="s">
        <v>12391</v>
      </c>
      <c r="I18" t="s">
        <v>12392</v>
      </c>
      <c r="J18" t="s">
        <v>12393</v>
      </c>
      <c r="K18" t="s">
        <v>2620</v>
      </c>
      <c r="L18">
        <v>10.304924011230471</v>
      </c>
      <c r="M18" t="s">
        <v>6</v>
      </c>
      <c r="N18" t="s">
        <v>5</v>
      </c>
      <c r="O18" t="s">
        <v>5</v>
      </c>
      <c r="P18" t="s">
        <v>5</v>
      </c>
      <c r="Q18" t="s">
        <v>5</v>
      </c>
      <c r="R18" t="s">
        <v>4745</v>
      </c>
      <c r="S18" t="s">
        <v>4745</v>
      </c>
      <c r="T18" t="s">
        <v>6</v>
      </c>
      <c r="U18" t="s">
        <v>98</v>
      </c>
      <c r="V18">
        <v>5000000</v>
      </c>
      <c r="W18">
        <v>5000000</v>
      </c>
      <c r="X18" t="s">
        <v>6</v>
      </c>
      <c r="Y18"/>
      <c r="Z18"/>
      <c r="AA18">
        <v>1.947086095809937</v>
      </c>
      <c r="AB18">
        <v>3.3440284729003911</v>
      </c>
      <c r="AC18">
        <v>0.32724130153656011</v>
      </c>
      <c r="AD18">
        <v>541</v>
      </c>
      <c r="AE18">
        <v>2077</v>
      </c>
      <c r="AF18">
        <v>416</v>
      </c>
      <c r="AG18">
        <v>695</v>
      </c>
      <c r="AH18">
        <v>1143</v>
      </c>
      <c r="AI18">
        <v>1143</v>
      </c>
      <c r="AJ18">
        <v>1</v>
      </c>
      <c r="AK18">
        <v>5</v>
      </c>
      <c r="AL18">
        <v>13</v>
      </c>
      <c r="AM18">
        <v>5</v>
      </c>
      <c r="AN18">
        <v>1.0961142778396611</v>
      </c>
      <c r="AO18"/>
      <c r="AP18"/>
      <c r="AQ18"/>
      <c r="AR18">
        <v>0</v>
      </c>
      <c r="AS18">
        <v>0</v>
      </c>
      <c r="AT18">
        <v>0</v>
      </c>
      <c r="AU18">
        <v>0</v>
      </c>
      <c r="AV18">
        <v>0</v>
      </c>
      <c r="AW18">
        <v>0</v>
      </c>
      <c r="AX18">
        <v>0</v>
      </c>
      <c r="AY18">
        <v>0</v>
      </c>
      <c r="AZ18">
        <v>0</v>
      </c>
      <c r="BA18">
        <v>0</v>
      </c>
      <c r="BB18"/>
      <c r="BC18"/>
      <c r="BD18"/>
      <c r="BE18">
        <v>0</v>
      </c>
      <c r="BF18" t="s">
        <v>2516</v>
      </c>
      <c r="BG18" t="s">
        <v>5</v>
      </c>
      <c r="BH18" t="s">
        <v>1020</v>
      </c>
      <c r="BI18"/>
      <c r="BJ18" t="s">
        <v>5</v>
      </c>
      <c r="BK18"/>
      <c r="BL18">
        <v>0</v>
      </c>
      <c r="BM18"/>
      <c r="BN18" t="s">
        <v>6</v>
      </c>
      <c r="BO18" t="s">
        <v>2518</v>
      </c>
      <c r="BP18" t="s">
        <v>2518</v>
      </c>
      <c r="BQ18" t="s">
        <v>2518</v>
      </c>
      <c r="BR18"/>
      <c r="BS18" t="s">
        <v>6</v>
      </c>
      <c r="BT18" t="s">
        <v>2518</v>
      </c>
      <c r="BU18" t="s">
        <v>2518</v>
      </c>
      <c r="BV18" t="s">
        <v>2518</v>
      </c>
      <c r="BW18"/>
      <c r="BX18" t="s">
        <v>6</v>
      </c>
      <c r="BY18" t="s">
        <v>2605</v>
      </c>
      <c r="BZ18" t="s">
        <v>2518</v>
      </c>
      <c r="CA18"/>
      <c r="CB18" t="s">
        <v>5</v>
      </c>
      <c r="CC18">
        <v>55116.443833590783</v>
      </c>
      <c r="CD18">
        <v>26689629.93451561</v>
      </c>
      <c r="CE18" s="313" t="s">
        <v>11902</v>
      </c>
    </row>
    <row r="19" spans="1:83" ht="15" x14ac:dyDescent="0.25">
      <c r="A19" t="s">
        <v>4607</v>
      </c>
      <c r="B19" t="s">
        <v>4608</v>
      </c>
      <c r="C19" t="s">
        <v>4609</v>
      </c>
      <c r="D19">
        <v>6</v>
      </c>
      <c r="E19" t="s">
        <v>259</v>
      </c>
      <c r="F19" t="s">
        <v>2</v>
      </c>
      <c r="G19" t="s">
        <v>74</v>
      </c>
      <c r="H19" t="s">
        <v>364</v>
      </c>
      <c r="I19" t="s">
        <v>4610</v>
      </c>
      <c r="J19" t="s">
        <v>4611</v>
      </c>
      <c r="K19" t="s">
        <v>4612</v>
      </c>
      <c r="L19">
        <v>9.3806362152099609</v>
      </c>
      <c r="M19" t="s">
        <v>6</v>
      </c>
      <c r="N19" t="s">
        <v>5</v>
      </c>
      <c r="O19" t="s">
        <v>5</v>
      </c>
      <c r="P19" t="s">
        <v>5</v>
      </c>
      <c r="Q19" t="s">
        <v>5</v>
      </c>
      <c r="R19" t="s">
        <v>2975</v>
      </c>
      <c r="S19" t="s">
        <v>4613</v>
      </c>
      <c r="T19" t="s">
        <v>5</v>
      </c>
      <c r="U19" t="s">
        <v>98</v>
      </c>
      <c r="V19">
        <v>50000000</v>
      </c>
      <c r="W19">
        <v>5000000</v>
      </c>
      <c r="X19" t="s">
        <v>6</v>
      </c>
      <c r="Y19"/>
      <c r="Z19"/>
      <c r="AA19">
        <v>3.4974617958068852</v>
      </c>
      <c r="AB19">
        <v>0.77624660730361938</v>
      </c>
      <c r="AC19">
        <v>0</v>
      </c>
      <c r="AD19">
        <v>0</v>
      </c>
      <c r="AE19">
        <v>0</v>
      </c>
      <c r="AF19">
        <v>0</v>
      </c>
      <c r="AG19">
        <v>0</v>
      </c>
      <c r="AH19">
        <v>0</v>
      </c>
      <c r="AI19">
        <v>0</v>
      </c>
      <c r="AJ19">
        <v>0</v>
      </c>
      <c r="AK19">
        <v>2</v>
      </c>
      <c r="AL19">
        <v>0</v>
      </c>
      <c r="AM19">
        <v>2</v>
      </c>
      <c r="AN19">
        <v>239.59901428222659</v>
      </c>
      <c r="AO19"/>
      <c r="AP19"/>
      <c r="AQ19"/>
      <c r="AR19"/>
      <c r="AS19"/>
      <c r="AT19"/>
      <c r="AU19"/>
      <c r="AV19"/>
      <c r="AW19"/>
      <c r="AX19"/>
      <c r="AY19"/>
      <c r="AZ19"/>
      <c r="BA19"/>
      <c r="BB19"/>
      <c r="BC19"/>
      <c r="BD19"/>
      <c r="BE19"/>
      <c r="BF19" t="s">
        <v>4614</v>
      </c>
      <c r="BG19" t="s">
        <v>5</v>
      </c>
      <c r="BH19"/>
      <c r="BI19"/>
      <c r="BJ19" t="s">
        <v>5</v>
      </c>
      <c r="BK19"/>
      <c r="BL19">
        <v>100</v>
      </c>
      <c r="BM19"/>
      <c r="BN19" t="s">
        <v>5</v>
      </c>
      <c r="BO19" t="s">
        <v>2518</v>
      </c>
      <c r="BP19" t="s">
        <v>2518</v>
      </c>
      <c r="BQ19" t="s">
        <v>2518</v>
      </c>
      <c r="BR19"/>
      <c r="BS19" t="s">
        <v>6</v>
      </c>
      <c r="BT19" t="s">
        <v>2518</v>
      </c>
      <c r="BU19" t="s">
        <v>2518</v>
      </c>
      <c r="BV19" t="s">
        <v>2518</v>
      </c>
      <c r="BW19"/>
      <c r="BX19" t="s">
        <v>6</v>
      </c>
      <c r="BY19" t="s">
        <v>7</v>
      </c>
      <c r="BZ19" t="s">
        <v>2518</v>
      </c>
      <c r="CA19"/>
      <c r="CB19" t="s">
        <v>6</v>
      </c>
      <c r="CC19">
        <v>23584.727173444411</v>
      </c>
      <c r="CD19">
        <v>24295736.584939469</v>
      </c>
      <c r="CE19" s="313" t="s">
        <v>11891</v>
      </c>
    </row>
    <row r="20" spans="1:83" ht="15" x14ac:dyDescent="0.25">
      <c r="A20" t="s">
        <v>1813</v>
      </c>
      <c r="B20" t="s">
        <v>1814</v>
      </c>
      <c r="C20" t="s">
        <v>1815</v>
      </c>
      <c r="D20">
        <v>3</v>
      </c>
      <c r="E20" t="s">
        <v>1771</v>
      </c>
      <c r="F20" t="s">
        <v>1816</v>
      </c>
      <c r="G20" t="s">
        <v>1817</v>
      </c>
      <c r="H20" t="s">
        <v>4374</v>
      </c>
      <c r="I20" t="s">
        <v>1810</v>
      </c>
      <c r="J20" t="s">
        <v>1811</v>
      </c>
      <c r="K20" t="s">
        <v>1793</v>
      </c>
      <c r="L20">
        <v>904.72467041015625</v>
      </c>
      <c r="M20" t="s">
        <v>6</v>
      </c>
      <c r="N20" t="s">
        <v>5</v>
      </c>
      <c r="O20" t="s">
        <v>5</v>
      </c>
      <c r="P20" t="s">
        <v>5</v>
      </c>
      <c r="Q20" t="s">
        <v>5</v>
      </c>
      <c r="R20" t="s">
        <v>4375</v>
      </c>
      <c r="S20" t="s">
        <v>1818</v>
      </c>
      <c r="T20" t="s">
        <v>5</v>
      </c>
      <c r="U20" t="s">
        <v>98</v>
      </c>
      <c r="V20">
        <v>50000000</v>
      </c>
      <c r="W20">
        <v>5000000</v>
      </c>
      <c r="X20" t="s">
        <v>6</v>
      </c>
      <c r="Y20"/>
      <c r="Z20">
        <v>5000000</v>
      </c>
      <c r="AA20">
        <v>211.6976013183594</v>
      </c>
      <c r="AB20">
        <v>24.7795295715332</v>
      </c>
      <c r="AC20">
        <v>21.163450241088871</v>
      </c>
      <c r="AD20">
        <v>22225</v>
      </c>
      <c r="AE20">
        <v>17468</v>
      </c>
      <c r="AF20">
        <v>20521</v>
      </c>
      <c r="AG20">
        <v>105914</v>
      </c>
      <c r="AH20">
        <v>102118</v>
      </c>
      <c r="AI20">
        <v>105914</v>
      </c>
      <c r="AJ20">
        <v>369</v>
      </c>
      <c r="AK20">
        <v>387</v>
      </c>
      <c r="AL20">
        <v>791</v>
      </c>
      <c r="AM20"/>
      <c r="AN20">
        <v>31557.6796875</v>
      </c>
      <c r="AO20"/>
      <c r="AP20"/>
      <c r="AQ20"/>
      <c r="AR20"/>
      <c r="AS20">
        <v>46</v>
      </c>
      <c r="AT20"/>
      <c r="AU20">
        <v>39</v>
      </c>
      <c r="AV20">
        <v>117</v>
      </c>
      <c r="AW20"/>
      <c r="AX20"/>
      <c r="AY20"/>
      <c r="AZ20"/>
      <c r="BA20"/>
      <c r="BB20"/>
      <c r="BC20"/>
      <c r="BD20"/>
      <c r="BE20">
        <v>1087000</v>
      </c>
      <c r="BF20" t="s">
        <v>5</v>
      </c>
      <c r="BG20" t="s">
        <v>5</v>
      </c>
      <c r="BH20" t="s">
        <v>1777</v>
      </c>
      <c r="BI20"/>
      <c r="BJ20" t="s">
        <v>5</v>
      </c>
      <c r="BK20"/>
      <c r="BL20">
        <v>0</v>
      </c>
      <c r="BM20"/>
      <c r="BN20" t="s">
        <v>5</v>
      </c>
      <c r="BO20"/>
      <c r="BP20"/>
      <c r="BQ20"/>
      <c r="BR20"/>
      <c r="BS20" t="s">
        <v>5</v>
      </c>
      <c r="BT20"/>
      <c r="BU20"/>
      <c r="BV20"/>
      <c r="BW20" t="s">
        <v>1778</v>
      </c>
      <c r="BX20" t="s">
        <v>6</v>
      </c>
      <c r="BY20" t="s">
        <v>1101</v>
      </c>
      <c r="BZ20"/>
      <c r="CA20"/>
      <c r="CB20" t="s">
        <v>5</v>
      </c>
      <c r="CC20">
        <v>193516.21128033401</v>
      </c>
      <c r="CD20">
        <v>2343846455.8959241</v>
      </c>
      <c r="CE20" s="313" t="s">
        <v>11891</v>
      </c>
    </row>
    <row r="21" spans="1:83" ht="15" x14ac:dyDescent="0.25">
      <c r="A21" s="337" t="s">
        <v>2457</v>
      </c>
      <c r="B21" s="337" t="s">
        <v>2458</v>
      </c>
      <c r="C21" s="337" t="s">
        <v>2459</v>
      </c>
      <c r="D21" s="337">
        <v>3</v>
      </c>
      <c r="E21" s="337" t="s">
        <v>1771</v>
      </c>
      <c r="F21" s="337" t="s">
        <v>2091</v>
      </c>
      <c r="G21" s="337" t="s">
        <v>2460</v>
      </c>
      <c r="H21" s="337" t="s">
        <v>4526</v>
      </c>
      <c r="I21" s="337" t="s">
        <v>2454</v>
      </c>
      <c r="J21" s="337" t="s">
        <v>2455</v>
      </c>
      <c r="K21" s="337" t="s">
        <v>1775</v>
      </c>
      <c r="L21" s="337">
        <v>383.32080078125</v>
      </c>
      <c r="M21" s="337" t="s">
        <v>6</v>
      </c>
      <c r="N21" s="337" t="s">
        <v>5</v>
      </c>
      <c r="O21" s="337" t="s">
        <v>5</v>
      </c>
      <c r="P21" s="337" t="s">
        <v>5</v>
      </c>
      <c r="Q21" s="337" t="s">
        <v>5</v>
      </c>
      <c r="R21" s="337" t="s">
        <v>2091</v>
      </c>
      <c r="S21" s="337" t="s">
        <v>2461</v>
      </c>
      <c r="T21" s="337" t="s">
        <v>5</v>
      </c>
      <c r="U21" s="337" t="s">
        <v>50</v>
      </c>
      <c r="V21" s="337">
        <v>50000000</v>
      </c>
      <c r="W21" s="337">
        <v>5000000</v>
      </c>
      <c r="X21" s="337" t="s">
        <v>6</v>
      </c>
      <c r="Y21" s="337"/>
      <c r="Z21" s="337">
        <v>12500000</v>
      </c>
      <c r="AA21" s="337">
        <v>111.1778030395508</v>
      </c>
      <c r="AB21" s="337">
        <v>10.96399974822998</v>
      </c>
      <c r="AC21" s="337">
        <v>14.812600135803221</v>
      </c>
      <c r="AD21" s="337">
        <v>11792</v>
      </c>
      <c r="AE21" s="337">
        <v>10051</v>
      </c>
      <c r="AF21" s="337">
        <v>10753</v>
      </c>
      <c r="AG21" s="337">
        <v>50661</v>
      </c>
      <c r="AH21" s="337">
        <v>52776</v>
      </c>
      <c r="AI21" s="337">
        <v>52776</v>
      </c>
      <c r="AJ21" s="337">
        <v>64</v>
      </c>
      <c r="AK21" s="337">
        <v>299</v>
      </c>
      <c r="AL21" s="337">
        <v>444</v>
      </c>
      <c r="AM21" s="337"/>
      <c r="AN21" s="337">
        <v>7391.4931640625</v>
      </c>
      <c r="AO21" s="337"/>
      <c r="AP21" s="337"/>
      <c r="AQ21" s="337"/>
      <c r="AR21" s="337"/>
      <c r="AS21" s="337"/>
      <c r="AT21" s="337"/>
      <c r="AU21" s="337"/>
      <c r="AV21" s="337"/>
      <c r="AW21" s="337"/>
      <c r="AX21" s="337"/>
      <c r="AY21" s="337"/>
      <c r="AZ21" s="337"/>
      <c r="BA21" s="337"/>
      <c r="BB21" s="337"/>
      <c r="BC21" s="337"/>
      <c r="BD21" s="337"/>
      <c r="BE21" s="337"/>
      <c r="BF21" s="337" t="s">
        <v>5</v>
      </c>
      <c r="BG21" s="337" t="s">
        <v>5</v>
      </c>
      <c r="BH21" s="337" t="s">
        <v>1777</v>
      </c>
      <c r="BI21" s="337"/>
      <c r="BJ21" s="337" t="s">
        <v>5</v>
      </c>
      <c r="BK21" s="337"/>
      <c r="BL21" s="337">
        <v>0</v>
      </c>
      <c r="BM21" s="337"/>
      <c r="BN21" s="337" t="s">
        <v>5</v>
      </c>
      <c r="BO21" s="337"/>
      <c r="BP21" s="337"/>
      <c r="BQ21" s="337"/>
      <c r="BR21" s="337"/>
      <c r="BS21" s="337" t="s">
        <v>5</v>
      </c>
      <c r="BT21" s="337"/>
      <c r="BU21" s="337"/>
      <c r="BV21" s="337"/>
      <c r="BW21" s="337" t="s">
        <v>1778</v>
      </c>
      <c r="BX21" s="337" t="s">
        <v>6</v>
      </c>
      <c r="BY21" s="337" t="s">
        <v>1101</v>
      </c>
      <c r="BZ21" s="337"/>
      <c r="CB21" s="337" t="s">
        <v>5</v>
      </c>
      <c r="CC21" s="337">
        <v>512622.42741937638</v>
      </c>
      <c r="CD21" s="337">
        <v>993058955.44281733</v>
      </c>
      <c r="CE21" s="313" t="s">
        <v>11891</v>
      </c>
    </row>
    <row r="22" spans="1:83" ht="15" x14ac:dyDescent="0.25">
      <c r="A22" t="s">
        <v>3346</v>
      </c>
      <c r="B22" t="s">
        <v>3347</v>
      </c>
      <c r="C22" t="s">
        <v>3348</v>
      </c>
      <c r="D22">
        <v>7</v>
      </c>
      <c r="E22" t="s">
        <v>2979</v>
      </c>
      <c r="F22" t="s">
        <v>3175</v>
      </c>
      <c r="G22" t="s">
        <v>3169</v>
      </c>
      <c r="H22" t="s">
        <v>3349</v>
      </c>
      <c r="I22" t="s">
        <v>3350</v>
      </c>
      <c r="J22" t="s">
        <v>3351</v>
      </c>
      <c r="K22" t="s">
        <v>3109</v>
      </c>
      <c r="L22">
        <v>24.691413879394531</v>
      </c>
      <c r="M22" t="s">
        <v>6</v>
      </c>
      <c r="N22" t="s">
        <v>5</v>
      </c>
      <c r="O22" t="s">
        <v>5</v>
      </c>
      <c r="P22" t="s">
        <v>5</v>
      </c>
      <c r="Q22" t="s">
        <v>5</v>
      </c>
      <c r="R22" t="s">
        <v>3352</v>
      </c>
      <c r="S22" t="s">
        <v>3352</v>
      </c>
      <c r="T22" t="s">
        <v>5</v>
      </c>
      <c r="U22" t="s">
        <v>85</v>
      </c>
      <c r="V22">
        <v>4950000</v>
      </c>
      <c r="W22">
        <v>4500000</v>
      </c>
      <c r="X22" t="s">
        <v>5</v>
      </c>
      <c r="Y22" t="s">
        <v>1100</v>
      </c>
      <c r="Z22">
        <v>0</v>
      </c>
      <c r="AA22">
        <v>4.3343973159790039</v>
      </c>
      <c r="AB22">
        <v>0.9465334415435791</v>
      </c>
      <c r="AC22">
        <v>0</v>
      </c>
      <c r="AD22">
        <v>2</v>
      </c>
      <c r="AE22">
        <v>0</v>
      </c>
      <c r="AF22">
        <v>0</v>
      </c>
      <c r="AG22">
        <v>0</v>
      </c>
      <c r="AH22">
        <v>0</v>
      </c>
      <c r="AI22">
        <v>0</v>
      </c>
      <c r="AJ22">
        <v>0</v>
      </c>
      <c r="AK22">
        <v>0</v>
      </c>
      <c r="AL22">
        <v>0</v>
      </c>
      <c r="AM22">
        <v>0</v>
      </c>
      <c r="AN22">
        <v>140.4732971191406</v>
      </c>
      <c r="AO22">
        <v>0</v>
      </c>
      <c r="AP22">
        <v>0</v>
      </c>
      <c r="AQ22">
        <v>0</v>
      </c>
      <c r="AR22">
        <v>0</v>
      </c>
      <c r="AS22">
        <v>0</v>
      </c>
      <c r="AT22">
        <v>0</v>
      </c>
      <c r="AU22">
        <v>0</v>
      </c>
      <c r="AV22">
        <v>0</v>
      </c>
      <c r="AW22">
        <v>0</v>
      </c>
      <c r="AX22">
        <v>0</v>
      </c>
      <c r="AY22">
        <v>0</v>
      </c>
      <c r="AZ22">
        <v>0</v>
      </c>
      <c r="BA22">
        <v>0</v>
      </c>
      <c r="BB22">
        <v>0</v>
      </c>
      <c r="BC22">
        <v>0</v>
      </c>
      <c r="BD22">
        <v>0</v>
      </c>
      <c r="BE22">
        <v>0</v>
      </c>
      <c r="BF22" t="s">
        <v>1100</v>
      </c>
      <c r="BG22" t="s">
        <v>5</v>
      </c>
      <c r="BH22" t="s">
        <v>2987</v>
      </c>
      <c r="BI22" t="s">
        <v>1100</v>
      </c>
      <c r="BJ22" t="s">
        <v>5</v>
      </c>
      <c r="BK22" t="s">
        <v>1100</v>
      </c>
      <c r="BL22">
        <v>0</v>
      </c>
      <c r="BM22">
        <v>0</v>
      </c>
      <c r="BN22" t="s">
        <v>5</v>
      </c>
      <c r="BO22" t="s">
        <v>1100</v>
      </c>
      <c r="BP22" t="s">
        <v>1100</v>
      </c>
      <c r="BQ22" t="s">
        <v>1100</v>
      </c>
      <c r="BR22" t="s">
        <v>1100</v>
      </c>
      <c r="BS22" t="s">
        <v>5</v>
      </c>
      <c r="BT22" t="s">
        <v>1100</v>
      </c>
      <c r="BU22" t="s">
        <v>1100</v>
      </c>
      <c r="BV22" t="s">
        <v>1100</v>
      </c>
      <c r="BW22" t="s">
        <v>1100</v>
      </c>
      <c r="BX22" t="s">
        <v>6</v>
      </c>
      <c r="BY22" t="s">
        <v>2988</v>
      </c>
      <c r="BZ22"/>
      <c r="CA22"/>
      <c r="CB22" t="s">
        <v>5</v>
      </c>
      <c r="CC22">
        <v>43714.51828098097</v>
      </c>
      <c r="CD22">
        <v>63950723.976532057</v>
      </c>
      <c r="CE22" s="313" t="s">
        <v>11891</v>
      </c>
    </row>
    <row r="23" spans="1:83" ht="15" x14ac:dyDescent="0.25">
      <c r="A23" s="337" t="s">
        <v>2500</v>
      </c>
      <c r="B23" s="337" t="s">
        <v>2501</v>
      </c>
      <c r="C23" s="337" t="s">
        <v>4534</v>
      </c>
      <c r="D23" s="337">
        <v>3</v>
      </c>
      <c r="E23" s="337" t="s">
        <v>1771</v>
      </c>
      <c r="F23" s="337" t="s">
        <v>2235</v>
      </c>
      <c r="G23" s="337" t="s">
        <v>1859</v>
      </c>
      <c r="H23" s="337" t="s">
        <v>4383</v>
      </c>
      <c r="I23" s="337" t="s">
        <v>12756</v>
      </c>
      <c r="J23" s="337" t="s">
        <v>2046</v>
      </c>
      <c r="K23" s="337" t="s">
        <v>2498</v>
      </c>
      <c r="L23" s="337">
        <v>9.9553451538085938</v>
      </c>
      <c r="M23" s="337" t="s">
        <v>6</v>
      </c>
      <c r="N23" s="337" t="s">
        <v>5</v>
      </c>
      <c r="O23" s="337" t="s">
        <v>5</v>
      </c>
      <c r="P23" s="337" t="s">
        <v>5</v>
      </c>
      <c r="Q23" s="337" t="s">
        <v>5</v>
      </c>
      <c r="R23" s="337" t="s">
        <v>4427</v>
      </c>
      <c r="S23" s="337" t="s">
        <v>2047</v>
      </c>
      <c r="T23" s="337" t="s">
        <v>5</v>
      </c>
      <c r="U23" s="337" t="s">
        <v>85</v>
      </c>
      <c r="V23" s="337">
        <v>18000000</v>
      </c>
      <c r="W23" s="337">
        <v>3600000</v>
      </c>
      <c r="X23" s="337" t="s">
        <v>6</v>
      </c>
      <c r="Y23" s="337"/>
      <c r="Z23" s="337">
        <v>1800000</v>
      </c>
      <c r="AA23" s="337">
        <v>0.68919992446899414</v>
      </c>
      <c r="AB23" s="337">
        <v>0.20313349366188049</v>
      </c>
      <c r="AC23" s="337">
        <v>5.9491638094186783E-3</v>
      </c>
      <c r="AD23" s="337">
        <v>289</v>
      </c>
      <c r="AE23" s="337">
        <v>214</v>
      </c>
      <c r="AF23" s="337">
        <v>280</v>
      </c>
      <c r="AG23" s="337">
        <v>354</v>
      </c>
      <c r="AH23" s="337">
        <v>1231</v>
      </c>
      <c r="AI23" s="337">
        <v>1231</v>
      </c>
      <c r="AJ23" s="337">
        <v>10</v>
      </c>
      <c r="AK23" s="337">
        <v>39</v>
      </c>
      <c r="AL23" s="337">
        <v>9</v>
      </c>
      <c r="AM23" s="337"/>
      <c r="AN23" s="337">
        <v>18.0932502746582</v>
      </c>
      <c r="AO23" s="337"/>
      <c r="AP23" s="337"/>
      <c r="AQ23" s="337"/>
      <c r="AR23" s="337"/>
      <c r="AS23" s="337"/>
      <c r="AT23" s="337"/>
      <c r="AU23" s="337"/>
      <c r="AV23" s="337"/>
      <c r="AW23" s="337"/>
      <c r="AX23" s="337"/>
      <c r="AY23" s="337"/>
      <c r="AZ23" s="337"/>
      <c r="BA23" s="337"/>
      <c r="BB23" s="337"/>
      <c r="BC23" s="337"/>
      <c r="BD23" s="337"/>
      <c r="BE23" s="337"/>
      <c r="BF23" s="337" t="s">
        <v>5</v>
      </c>
      <c r="BG23" s="337" t="s">
        <v>5</v>
      </c>
      <c r="BH23" s="337" t="s">
        <v>1777</v>
      </c>
      <c r="BI23" s="337"/>
      <c r="BJ23" s="337" t="s">
        <v>5</v>
      </c>
      <c r="BK23" s="337"/>
      <c r="BL23" s="337">
        <v>0</v>
      </c>
      <c r="BM23" s="337"/>
      <c r="BN23" s="337" t="s">
        <v>6</v>
      </c>
      <c r="BO23" s="337" t="s">
        <v>2502</v>
      </c>
      <c r="BP23" s="337"/>
      <c r="BQ23" s="337"/>
      <c r="BR23" s="337"/>
      <c r="BS23" s="337" t="s">
        <v>5</v>
      </c>
      <c r="BT23" s="337"/>
      <c r="BU23" s="337"/>
      <c r="BV23" s="337"/>
      <c r="BW23" s="337" t="s">
        <v>1778</v>
      </c>
      <c r="BX23" s="337" t="s">
        <v>6</v>
      </c>
      <c r="BY23" s="337" t="s">
        <v>1101</v>
      </c>
      <c r="BZ23" s="337"/>
      <c r="CB23" s="337" t="s">
        <v>5</v>
      </c>
      <c r="CC23" s="337">
        <v>37930.882137573761</v>
      </c>
      <c r="CD23" s="337">
        <v>25784226.693944242</v>
      </c>
      <c r="CE23" s="313" t="s">
        <v>11891</v>
      </c>
    </row>
    <row r="24" spans="1:83" ht="15" x14ac:dyDescent="0.25">
      <c r="A24" s="337" t="s">
        <v>2462</v>
      </c>
      <c r="B24" s="337" t="s">
        <v>2463</v>
      </c>
      <c r="C24" s="337" t="s">
        <v>2464</v>
      </c>
      <c r="D24" s="337">
        <v>3</v>
      </c>
      <c r="E24" s="337" t="s">
        <v>1771</v>
      </c>
      <c r="F24" s="337" t="s">
        <v>2235</v>
      </c>
      <c r="G24" s="337" t="s">
        <v>2465</v>
      </c>
      <c r="H24" s="337" t="s">
        <v>4527</v>
      </c>
      <c r="I24" s="337" t="s">
        <v>2454</v>
      </c>
      <c r="J24" s="337" t="s">
        <v>2455</v>
      </c>
      <c r="K24" s="337" t="s">
        <v>2466</v>
      </c>
      <c r="L24" s="337">
        <v>343.86810302734381</v>
      </c>
      <c r="M24" s="337" t="s">
        <v>6</v>
      </c>
      <c r="N24" s="337" t="s">
        <v>5</v>
      </c>
      <c r="O24" s="337" t="s">
        <v>5</v>
      </c>
      <c r="P24" s="337" t="s">
        <v>5</v>
      </c>
      <c r="Q24" s="337" t="s">
        <v>5</v>
      </c>
      <c r="R24" s="337" t="s">
        <v>4528</v>
      </c>
      <c r="S24" s="337" t="s">
        <v>2467</v>
      </c>
      <c r="T24" s="337" t="s">
        <v>5</v>
      </c>
      <c r="U24" s="337" t="s">
        <v>85</v>
      </c>
      <c r="V24" s="337">
        <v>35000000</v>
      </c>
      <c r="W24" s="337">
        <v>3500000</v>
      </c>
      <c r="X24" s="337" t="s">
        <v>6</v>
      </c>
      <c r="Y24" s="337"/>
      <c r="Z24" s="337">
        <v>3500000</v>
      </c>
      <c r="AA24" s="337">
        <v>49.215351104736328</v>
      </c>
      <c r="AB24" s="337">
        <v>6.6875090599060059</v>
      </c>
      <c r="AC24" s="337">
        <v>9.4103355407714844</v>
      </c>
      <c r="AD24" s="337">
        <v>5921</v>
      </c>
      <c r="AE24" s="337">
        <v>3790</v>
      </c>
      <c r="AF24" s="337">
        <v>5086</v>
      </c>
      <c r="AG24" s="337">
        <v>15932</v>
      </c>
      <c r="AH24" s="337">
        <v>14562</v>
      </c>
      <c r="AI24" s="337">
        <v>15932</v>
      </c>
      <c r="AJ24" s="337">
        <v>0</v>
      </c>
      <c r="AK24" s="337">
        <v>0</v>
      </c>
      <c r="AL24" s="337">
        <v>185</v>
      </c>
      <c r="AM24" s="337"/>
      <c r="AN24" s="337">
        <v>7266.1318359375</v>
      </c>
      <c r="AO24" s="337"/>
      <c r="AP24" s="337"/>
      <c r="AQ24" s="337"/>
      <c r="AR24" s="337"/>
      <c r="AS24" s="337"/>
      <c r="AT24" s="337"/>
      <c r="AU24" s="337"/>
      <c r="AV24" s="337"/>
      <c r="AW24" s="337"/>
      <c r="AX24" s="337"/>
      <c r="AY24" s="337"/>
      <c r="AZ24" s="337"/>
      <c r="BA24" s="337"/>
      <c r="BB24" s="337">
        <v>2</v>
      </c>
      <c r="BC24" s="337">
        <v>198</v>
      </c>
      <c r="BD24" s="337"/>
      <c r="BE24" s="337"/>
      <c r="BF24" s="337" t="s">
        <v>5</v>
      </c>
      <c r="BG24" s="337" t="s">
        <v>5</v>
      </c>
      <c r="BH24" s="337" t="s">
        <v>1777</v>
      </c>
      <c r="BI24" s="337"/>
      <c r="BJ24" s="337" t="s">
        <v>5</v>
      </c>
      <c r="BK24" s="337"/>
      <c r="BL24" s="337">
        <v>0</v>
      </c>
      <c r="BM24" s="337"/>
      <c r="BN24" s="337" t="s">
        <v>5</v>
      </c>
      <c r="BO24" s="337"/>
      <c r="BP24" s="337"/>
      <c r="BQ24" s="337"/>
      <c r="BR24" s="337"/>
      <c r="BS24" s="337" t="s">
        <v>5</v>
      </c>
      <c r="BT24" s="337"/>
      <c r="BU24" s="337"/>
      <c r="BV24" s="337"/>
      <c r="BW24" s="337" t="s">
        <v>1778</v>
      </c>
      <c r="BX24" s="337" t="s">
        <v>6</v>
      </c>
      <c r="BY24" s="337" t="s">
        <v>1101</v>
      </c>
      <c r="BZ24" s="337"/>
      <c r="CB24" s="337" t="s">
        <v>5</v>
      </c>
      <c r="CC24" s="337">
        <v>766713.50424236117</v>
      </c>
      <c r="CD24" s="337">
        <v>890849897.82370424</v>
      </c>
      <c r="CE24" s="313" t="s">
        <v>11891</v>
      </c>
    </row>
    <row r="25" spans="1:83" ht="15" x14ac:dyDescent="0.25">
      <c r="A25" t="s">
        <v>103</v>
      </c>
      <c r="B25" t="s">
        <v>104</v>
      </c>
      <c r="C25" t="s">
        <v>350</v>
      </c>
      <c r="D25">
        <v>6</v>
      </c>
      <c r="E25" t="s">
        <v>259</v>
      </c>
      <c r="F25" t="s">
        <v>38</v>
      </c>
      <c r="G25" t="s">
        <v>39</v>
      </c>
      <c r="H25" t="s">
        <v>276</v>
      </c>
      <c r="I25" t="s">
        <v>277</v>
      </c>
      <c r="J25" t="s">
        <v>278</v>
      </c>
      <c r="K25" t="s">
        <v>21</v>
      </c>
      <c r="L25">
        <v>1481.869750976562</v>
      </c>
      <c r="M25" t="s">
        <v>6</v>
      </c>
      <c r="N25" t="s">
        <v>6</v>
      </c>
      <c r="O25" t="s">
        <v>6</v>
      </c>
      <c r="P25" t="s">
        <v>5</v>
      </c>
      <c r="Q25" t="s">
        <v>5</v>
      </c>
      <c r="R25" t="s">
        <v>342</v>
      </c>
      <c r="S25" t="s">
        <v>349</v>
      </c>
      <c r="T25" t="s">
        <v>6</v>
      </c>
      <c r="U25" t="s">
        <v>98</v>
      </c>
      <c r="V25">
        <v>65000000</v>
      </c>
      <c r="W25">
        <v>3250000</v>
      </c>
      <c r="X25" t="s">
        <v>6</v>
      </c>
      <c r="Y25"/>
      <c r="Z25"/>
      <c r="AA25">
        <v>179.06492614746091</v>
      </c>
      <c r="AB25">
        <v>46.511585235595703</v>
      </c>
      <c r="AC25">
        <v>0</v>
      </c>
      <c r="AD25">
        <v>18848</v>
      </c>
      <c r="AE25">
        <v>10051</v>
      </c>
      <c r="AF25">
        <v>14344</v>
      </c>
      <c r="AG25">
        <v>38626</v>
      </c>
      <c r="AH25">
        <v>35449</v>
      </c>
      <c r="AI25">
        <v>38626</v>
      </c>
      <c r="AJ25">
        <v>248</v>
      </c>
      <c r="AK25">
        <v>0</v>
      </c>
      <c r="AL25">
        <v>328</v>
      </c>
      <c r="AM25">
        <v>0</v>
      </c>
      <c r="AN25">
        <v>8584.16015625</v>
      </c>
      <c r="AO25"/>
      <c r="AP25"/>
      <c r="AQ25"/>
      <c r="AR25"/>
      <c r="AS25"/>
      <c r="AT25"/>
      <c r="AU25"/>
      <c r="AV25"/>
      <c r="AW25"/>
      <c r="AX25"/>
      <c r="AY25"/>
      <c r="AZ25"/>
      <c r="BA25"/>
      <c r="BB25"/>
      <c r="BC25"/>
      <c r="BD25"/>
      <c r="BE25"/>
      <c r="BF25" t="s">
        <v>351</v>
      </c>
      <c r="BG25" t="s">
        <v>5</v>
      </c>
      <c r="BH25"/>
      <c r="BI25"/>
      <c r="BJ25" t="s">
        <v>5</v>
      </c>
      <c r="BK25"/>
      <c r="BL25">
        <v>0</v>
      </c>
      <c r="BM25"/>
      <c r="BN25" t="s">
        <v>5</v>
      </c>
      <c r="BO25" t="s">
        <v>2518</v>
      </c>
      <c r="BP25" t="s">
        <v>2518</v>
      </c>
      <c r="BQ25" t="s">
        <v>2518</v>
      </c>
      <c r="BR25"/>
      <c r="BS25" t="s">
        <v>6</v>
      </c>
      <c r="BT25" t="s">
        <v>2518</v>
      </c>
      <c r="BU25" t="s">
        <v>2518</v>
      </c>
      <c r="BV25" t="s">
        <v>2518</v>
      </c>
      <c r="BW25"/>
      <c r="BX25" t="s">
        <v>6</v>
      </c>
      <c r="BY25" t="s">
        <v>7</v>
      </c>
      <c r="BZ25" t="s">
        <v>2518</v>
      </c>
      <c r="CA25"/>
      <c r="CB25" t="s">
        <v>5</v>
      </c>
      <c r="CC25">
        <v>315075.8612686072</v>
      </c>
      <c r="CD25">
        <v>3838025113.4231911</v>
      </c>
      <c r="CE25" s="313" t="s">
        <v>11891</v>
      </c>
    </row>
    <row r="26" spans="1:83" ht="15" x14ac:dyDescent="0.25">
      <c r="A26" t="s">
        <v>101</v>
      </c>
      <c r="B26" t="s">
        <v>102</v>
      </c>
      <c r="C26" t="s">
        <v>348</v>
      </c>
      <c r="D26">
        <v>6</v>
      </c>
      <c r="E26" t="s">
        <v>259</v>
      </c>
      <c r="F26" t="s">
        <v>38</v>
      </c>
      <c r="G26" t="s">
        <v>39</v>
      </c>
      <c r="H26" t="s">
        <v>276</v>
      </c>
      <c r="I26" t="s">
        <v>277</v>
      </c>
      <c r="J26" t="s">
        <v>278</v>
      </c>
      <c r="K26" t="s">
        <v>21</v>
      </c>
      <c r="L26">
        <v>1481.869750976562</v>
      </c>
      <c r="M26" t="s">
        <v>6</v>
      </c>
      <c r="N26" t="s">
        <v>6</v>
      </c>
      <c r="O26" t="s">
        <v>6</v>
      </c>
      <c r="P26" t="s">
        <v>5</v>
      </c>
      <c r="Q26" t="s">
        <v>5</v>
      </c>
      <c r="R26" t="s">
        <v>342</v>
      </c>
      <c r="S26" t="s">
        <v>349</v>
      </c>
      <c r="T26" t="s">
        <v>6</v>
      </c>
      <c r="U26" t="s">
        <v>98</v>
      </c>
      <c r="V26">
        <v>60000000</v>
      </c>
      <c r="W26">
        <v>3000000</v>
      </c>
      <c r="X26" t="s">
        <v>6</v>
      </c>
      <c r="Y26"/>
      <c r="Z26"/>
      <c r="AA26">
        <v>179.06492614746091</v>
      </c>
      <c r="AB26">
        <v>46.511585235595703</v>
      </c>
      <c r="AC26">
        <v>0</v>
      </c>
      <c r="AD26">
        <v>18848</v>
      </c>
      <c r="AE26">
        <v>10051</v>
      </c>
      <c r="AF26">
        <v>14344</v>
      </c>
      <c r="AG26">
        <v>38626</v>
      </c>
      <c r="AH26">
        <v>35449</v>
      </c>
      <c r="AI26">
        <v>38626</v>
      </c>
      <c r="AJ26">
        <v>248</v>
      </c>
      <c r="AK26">
        <v>0</v>
      </c>
      <c r="AL26">
        <v>328</v>
      </c>
      <c r="AM26">
        <v>0</v>
      </c>
      <c r="AN26">
        <v>8584.16015625</v>
      </c>
      <c r="AO26"/>
      <c r="AP26"/>
      <c r="AQ26"/>
      <c r="AR26"/>
      <c r="AS26"/>
      <c r="AT26"/>
      <c r="AU26"/>
      <c r="AV26"/>
      <c r="AW26"/>
      <c r="AX26"/>
      <c r="AY26"/>
      <c r="AZ26"/>
      <c r="BA26"/>
      <c r="BB26"/>
      <c r="BC26"/>
      <c r="BD26"/>
      <c r="BE26"/>
      <c r="BF26"/>
      <c r="BG26" t="s">
        <v>5</v>
      </c>
      <c r="BH26"/>
      <c r="BI26"/>
      <c r="BJ26" t="s">
        <v>5</v>
      </c>
      <c r="BK26"/>
      <c r="BL26">
        <v>0</v>
      </c>
      <c r="BM26"/>
      <c r="BN26" t="s">
        <v>5</v>
      </c>
      <c r="BO26" t="s">
        <v>2518</v>
      </c>
      <c r="BP26" t="s">
        <v>2518</v>
      </c>
      <c r="BQ26" t="s">
        <v>2518</v>
      </c>
      <c r="BR26"/>
      <c r="BS26" t="s">
        <v>6</v>
      </c>
      <c r="BT26" t="s">
        <v>2518</v>
      </c>
      <c r="BU26" t="s">
        <v>2518</v>
      </c>
      <c r="BV26" t="s">
        <v>2518</v>
      </c>
      <c r="BW26"/>
      <c r="BX26" t="s">
        <v>6</v>
      </c>
      <c r="BY26" t="s">
        <v>7</v>
      </c>
      <c r="BZ26" t="s">
        <v>2518</v>
      </c>
      <c r="CA26"/>
      <c r="CB26" t="s">
        <v>5</v>
      </c>
      <c r="CC26">
        <v>315075.8612686072</v>
      </c>
      <c r="CD26">
        <v>3838025113.4231911</v>
      </c>
      <c r="CE26" s="313" t="s">
        <v>11891</v>
      </c>
    </row>
    <row r="27" spans="1:83" ht="15" x14ac:dyDescent="0.25">
      <c r="A27" t="s">
        <v>2005</v>
      </c>
      <c r="B27" t="s">
        <v>2006</v>
      </c>
      <c r="C27" t="s">
        <v>4419</v>
      </c>
      <c r="D27">
        <v>3</v>
      </c>
      <c r="E27" t="s">
        <v>1771</v>
      </c>
      <c r="F27" t="s">
        <v>2007</v>
      </c>
      <c r="G27" t="s">
        <v>2008</v>
      </c>
      <c r="H27" t="s">
        <v>4420</v>
      </c>
      <c r="I27" t="s">
        <v>12754</v>
      </c>
      <c r="J27" t="s">
        <v>2009</v>
      </c>
      <c r="K27" t="s">
        <v>2010</v>
      </c>
      <c r="L27">
        <v>1112.156005859375</v>
      </c>
      <c r="M27" t="s">
        <v>6</v>
      </c>
      <c r="N27" t="s">
        <v>5</v>
      </c>
      <c r="O27" t="s">
        <v>5</v>
      </c>
      <c r="P27" t="s">
        <v>5</v>
      </c>
      <c r="Q27" t="s">
        <v>5</v>
      </c>
      <c r="R27" t="s">
        <v>4421</v>
      </c>
      <c r="S27" t="s">
        <v>2011</v>
      </c>
      <c r="T27" t="s">
        <v>5</v>
      </c>
      <c r="U27" t="s">
        <v>4</v>
      </c>
      <c r="V27">
        <v>30000000</v>
      </c>
      <c r="W27">
        <v>3000000</v>
      </c>
      <c r="X27" t="s">
        <v>6</v>
      </c>
      <c r="Y27"/>
      <c r="Z27">
        <v>3000000</v>
      </c>
      <c r="AA27">
        <v>189.78300476074219</v>
      </c>
      <c r="AB27">
        <v>15.09772968292236</v>
      </c>
      <c r="AC27">
        <v>2.4373528957366939</v>
      </c>
      <c r="AD27">
        <v>1797</v>
      </c>
      <c r="AE27">
        <v>594</v>
      </c>
      <c r="AF27">
        <v>1654</v>
      </c>
      <c r="AG27">
        <v>1266</v>
      </c>
      <c r="AH27">
        <v>2617</v>
      </c>
      <c r="AI27">
        <v>2617</v>
      </c>
      <c r="AJ27">
        <v>31</v>
      </c>
      <c r="AK27">
        <v>3</v>
      </c>
      <c r="AL27">
        <v>95</v>
      </c>
      <c r="AM27"/>
      <c r="AN27">
        <v>13977.25</v>
      </c>
      <c r="AO27"/>
      <c r="AP27"/>
      <c r="AQ27"/>
      <c r="AR27"/>
      <c r="AS27"/>
      <c r="AT27"/>
      <c r="AU27"/>
      <c r="AV27"/>
      <c r="AW27"/>
      <c r="AX27"/>
      <c r="AY27"/>
      <c r="AZ27"/>
      <c r="BA27"/>
      <c r="BB27"/>
      <c r="BC27"/>
      <c r="BD27"/>
      <c r="BE27"/>
      <c r="BF27" t="s">
        <v>5</v>
      </c>
      <c r="BG27" t="s">
        <v>5</v>
      </c>
      <c r="BH27" t="s">
        <v>1777</v>
      </c>
      <c r="BI27"/>
      <c r="BJ27" t="s">
        <v>5</v>
      </c>
      <c r="BK27"/>
      <c r="BL27">
        <v>0</v>
      </c>
      <c r="BM27"/>
      <c r="BN27" t="s">
        <v>5</v>
      </c>
      <c r="BO27"/>
      <c r="BP27"/>
      <c r="BQ27"/>
      <c r="BR27"/>
      <c r="BS27" t="s">
        <v>5</v>
      </c>
      <c r="BT27"/>
      <c r="BU27"/>
      <c r="BV27"/>
      <c r="BW27" t="s">
        <v>1778</v>
      </c>
      <c r="BX27" t="s">
        <v>6</v>
      </c>
      <c r="BY27" t="s">
        <v>1101</v>
      </c>
      <c r="BZ27"/>
      <c r="CA27"/>
      <c r="CB27" t="s">
        <v>5</v>
      </c>
      <c r="CC27">
        <v>292830.61463037779</v>
      </c>
      <c r="CD27">
        <v>2881233947.3380122</v>
      </c>
      <c r="CE27" s="313" t="s">
        <v>11891</v>
      </c>
    </row>
    <row r="28" spans="1:83" ht="15" x14ac:dyDescent="0.25">
      <c r="A28" s="337" t="s">
        <v>2477</v>
      </c>
      <c r="B28" s="337" t="s">
        <v>2478</v>
      </c>
      <c r="C28" s="337" t="s">
        <v>2479</v>
      </c>
      <c r="D28" s="337">
        <v>3</v>
      </c>
      <c r="E28" s="337" t="s">
        <v>1771</v>
      </c>
      <c r="F28" s="337" t="s">
        <v>2235</v>
      </c>
      <c r="G28" s="337" t="s">
        <v>2465</v>
      </c>
      <c r="H28" s="337" t="s">
        <v>4527</v>
      </c>
      <c r="I28" s="337" t="s">
        <v>2474</v>
      </c>
      <c r="J28" s="337" t="s">
        <v>2475</v>
      </c>
      <c r="K28" s="337" t="s">
        <v>1849</v>
      </c>
      <c r="L28" s="337">
        <v>343.86810302734381</v>
      </c>
      <c r="M28" s="337" t="s">
        <v>6</v>
      </c>
      <c r="N28" s="337" t="s">
        <v>5</v>
      </c>
      <c r="O28" s="337" t="s">
        <v>5</v>
      </c>
      <c r="P28" s="337" t="s">
        <v>5</v>
      </c>
      <c r="Q28" s="337" t="s">
        <v>5</v>
      </c>
      <c r="R28" s="337" t="s">
        <v>4528</v>
      </c>
      <c r="S28" s="337" t="s">
        <v>2467</v>
      </c>
      <c r="T28" s="337" t="s">
        <v>5</v>
      </c>
      <c r="U28" s="337" t="s">
        <v>98</v>
      </c>
      <c r="V28" s="337">
        <v>30000000</v>
      </c>
      <c r="W28" s="337">
        <v>3000000</v>
      </c>
      <c r="X28" s="337" t="s">
        <v>6</v>
      </c>
      <c r="Y28" s="337"/>
      <c r="Z28" s="337">
        <v>3000000</v>
      </c>
      <c r="AA28" s="337">
        <v>49.215351104736328</v>
      </c>
      <c r="AB28" s="337">
        <v>6.6875090599060059</v>
      </c>
      <c r="AC28" s="337">
        <v>9.4103355407714844</v>
      </c>
      <c r="AD28" s="337">
        <v>5921</v>
      </c>
      <c r="AE28" s="337">
        <v>3790</v>
      </c>
      <c r="AF28" s="337">
        <v>5086</v>
      </c>
      <c r="AG28" s="337">
        <v>15932</v>
      </c>
      <c r="AH28" s="337">
        <v>14562</v>
      </c>
      <c r="AI28" s="337">
        <v>15932</v>
      </c>
      <c r="AJ28" s="337">
        <v>1</v>
      </c>
      <c r="AK28" s="337">
        <v>15</v>
      </c>
      <c r="AL28" s="337">
        <v>185</v>
      </c>
      <c r="AM28" s="337"/>
      <c r="AN28" s="337">
        <v>7266.1318359375</v>
      </c>
      <c r="AO28" s="337"/>
      <c r="AP28" s="337"/>
      <c r="AQ28" s="337"/>
      <c r="AR28" s="337"/>
      <c r="AS28" s="337"/>
      <c r="AT28" s="337"/>
      <c r="AU28" s="337"/>
      <c r="AV28" s="337"/>
      <c r="AW28" s="337"/>
      <c r="AX28" s="337"/>
      <c r="AY28" s="337"/>
      <c r="AZ28" s="337"/>
      <c r="BA28" s="337"/>
      <c r="BB28" s="337"/>
      <c r="BC28" s="337"/>
      <c r="BD28" s="337"/>
      <c r="BE28" s="337"/>
      <c r="BF28" s="337" t="s">
        <v>2480</v>
      </c>
      <c r="BG28" s="337" t="s">
        <v>5</v>
      </c>
      <c r="BH28" s="337" t="s">
        <v>1777</v>
      </c>
      <c r="BI28" s="337"/>
      <c r="BJ28" s="337" t="s">
        <v>5</v>
      </c>
      <c r="BK28" s="337"/>
      <c r="BL28" s="337">
        <v>100</v>
      </c>
      <c r="BM28" s="337"/>
      <c r="BN28" s="337" t="s">
        <v>5</v>
      </c>
      <c r="BO28" s="337"/>
      <c r="BP28" s="337"/>
      <c r="BQ28" s="337"/>
      <c r="BR28" s="337"/>
      <c r="BS28" s="337" t="s">
        <v>5</v>
      </c>
      <c r="BT28" s="337"/>
      <c r="BU28" s="337"/>
      <c r="BV28" s="337"/>
      <c r="BW28" s="337" t="s">
        <v>1778</v>
      </c>
      <c r="BX28" s="337" t="s">
        <v>6</v>
      </c>
      <c r="BY28" s="337" t="s">
        <v>1101</v>
      </c>
      <c r="BZ28" s="337"/>
      <c r="CB28" s="337" t="s">
        <v>6</v>
      </c>
      <c r="CC28" s="337">
        <v>766713.50424236117</v>
      </c>
      <c r="CD28" s="337">
        <v>890849897.82370424</v>
      </c>
      <c r="CE28" s="313" t="s">
        <v>11891</v>
      </c>
    </row>
    <row r="29" spans="1:83" ht="15" x14ac:dyDescent="0.25">
      <c r="A29" t="s">
        <v>2043</v>
      </c>
      <c r="B29" t="s">
        <v>2044</v>
      </c>
      <c r="C29" t="s">
        <v>2045</v>
      </c>
      <c r="D29">
        <v>3</v>
      </c>
      <c r="E29" t="s">
        <v>1771</v>
      </c>
      <c r="F29" t="s">
        <v>1858</v>
      </c>
      <c r="G29" t="s">
        <v>1859</v>
      </c>
      <c r="H29" t="s">
        <v>4383</v>
      </c>
      <c r="I29" t="s">
        <v>12756</v>
      </c>
      <c r="J29" t="s">
        <v>2046</v>
      </c>
      <c r="K29" t="s">
        <v>1793</v>
      </c>
      <c r="L29">
        <v>9.9327335357666016</v>
      </c>
      <c r="M29" t="s">
        <v>6</v>
      </c>
      <c r="N29" t="s">
        <v>5</v>
      </c>
      <c r="O29" t="s">
        <v>5</v>
      </c>
      <c r="P29" t="s">
        <v>5</v>
      </c>
      <c r="Q29" t="s">
        <v>5</v>
      </c>
      <c r="R29" t="s">
        <v>4427</v>
      </c>
      <c r="S29" t="s">
        <v>2047</v>
      </c>
      <c r="T29" t="s">
        <v>5</v>
      </c>
      <c r="U29" t="s">
        <v>98</v>
      </c>
      <c r="V29">
        <v>25000000</v>
      </c>
      <c r="W29">
        <v>2500000</v>
      </c>
      <c r="X29" t="s">
        <v>6</v>
      </c>
      <c r="Y29"/>
      <c r="Z29">
        <v>2500000</v>
      </c>
      <c r="AA29">
        <v>0.68426030874252319</v>
      </c>
      <c r="AB29">
        <v>0.20264929533004761</v>
      </c>
      <c r="AC29">
        <v>5.9491638094186783E-3</v>
      </c>
      <c r="AD29">
        <v>287</v>
      </c>
      <c r="AE29">
        <v>214</v>
      </c>
      <c r="AF29">
        <v>278</v>
      </c>
      <c r="AG29">
        <v>353</v>
      </c>
      <c r="AH29">
        <v>1226</v>
      </c>
      <c r="AI29">
        <v>1226</v>
      </c>
      <c r="AJ29">
        <v>6</v>
      </c>
      <c r="AK29">
        <v>6</v>
      </c>
      <c r="AL29">
        <v>9</v>
      </c>
      <c r="AM29"/>
      <c r="AN29">
        <v>17.991550445556641</v>
      </c>
      <c r="AO29"/>
      <c r="AP29"/>
      <c r="AQ29"/>
      <c r="AR29"/>
      <c r="AS29">
        <v>107</v>
      </c>
      <c r="AT29"/>
      <c r="AU29"/>
      <c r="AV29"/>
      <c r="AW29"/>
      <c r="AX29"/>
      <c r="AY29"/>
      <c r="AZ29"/>
      <c r="BA29"/>
      <c r="BB29"/>
      <c r="BC29"/>
      <c r="BD29"/>
      <c r="BE29">
        <v>234000</v>
      </c>
      <c r="BF29" t="s">
        <v>5</v>
      </c>
      <c r="BG29" t="s">
        <v>5</v>
      </c>
      <c r="BH29" t="s">
        <v>1777</v>
      </c>
      <c r="BI29"/>
      <c r="BJ29" t="s">
        <v>5</v>
      </c>
      <c r="BK29"/>
      <c r="BL29">
        <v>0</v>
      </c>
      <c r="BM29"/>
      <c r="BN29" t="s">
        <v>5</v>
      </c>
      <c r="BO29"/>
      <c r="BP29"/>
      <c r="BQ29"/>
      <c r="BR29"/>
      <c r="BS29" t="s">
        <v>5</v>
      </c>
      <c r="BT29"/>
      <c r="BU29"/>
      <c r="BV29"/>
      <c r="BW29" t="s">
        <v>1778</v>
      </c>
      <c r="BX29" t="s">
        <v>6</v>
      </c>
      <c r="BY29" t="s">
        <v>1101</v>
      </c>
      <c r="BZ29"/>
      <c r="CA29"/>
      <c r="CB29" t="s">
        <v>5</v>
      </c>
      <c r="CC29">
        <v>37746.619245541428</v>
      </c>
      <c r="CD29">
        <v>25732469.908095971</v>
      </c>
      <c r="CE29" s="313" t="s">
        <v>11891</v>
      </c>
    </row>
    <row r="30" spans="1:83" ht="15" x14ac:dyDescent="0.25">
      <c r="A30" t="s">
        <v>12435</v>
      </c>
      <c r="B30" t="s">
        <v>12436</v>
      </c>
      <c r="C30" t="s">
        <v>12422</v>
      </c>
      <c r="D30">
        <v>6</v>
      </c>
      <c r="E30" t="s">
        <v>259</v>
      </c>
      <c r="F30" t="s">
        <v>12437</v>
      </c>
      <c r="G30" t="s">
        <v>12423</v>
      </c>
      <c r="H30" t="s">
        <v>12438</v>
      </c>
      <c r="I30"/>
      <c r="J30" t="s">
        <v>12439</v>
      </c>
      <c r="K30" t="s">
        <v>12427</v>
      </c>
      <c r="L30">
        <v>325.808837890625</v>
      </c>
      <c r="M30" t="s">
        <v>6</v>
      </c>
      <c r="N30" t="s">
        <v>5</v>
      </c>
      <c r="O30" t="s">
        <v>5</v>
      </c>
      <c r="P30" t="s">
        <v>5</v>
      </c>
      <c r="Q30" t="s">
        <v>5</v>
      </c>
      <c r="R30" t="s">
        <v>12428</v>
      </c>
      <c r="S30" t="s">
        <v>12440</v>
      </c>
      <c r="T30" t="s">
        <v>5</v>
      </c>
      <c r="U30" t="s">
        <v>4</v>
      </c>
      <c r="V30">
        <v>43019000</v>
      </c>
      <c r="W30">
        <v>2150950</v>
      </c>
      <c r="X30" t="s">
        <v>6</v>
      </c>
      <c r="Y30"/>
      <c r="Z30"/>
      <c r="AA30">
        <v>63.578731536865227</v>
      </c>
      <c r="AB30">
        <v>9.8539695739746094</v>
      </c>
      <c r="AC30">
        <v>0</v>
      </c>
      <c r="AD30">
        <v>830</v>
      </c>
      <c r="AE30">
        <v>775</v>
      </c>
      <c r="AF30">
        <v>649</v>
      </c>
      <c r="AG30">
        <v>340</v>
      </c>
      <c r="AH30">
        <v>930</v>
      </c>
      <c r="AI30">
        <v>1011</v>
      </c>
      <c r="AJ30">
        <v>0</v>
      </c>
      <c r="AK30">
        <v>10</v>
      </c>
      <c r="AL30">
        <v>31</v>
      </c>
      <c r="AM30">
        <v>10</v>
      </c>
      <c r="AN30">
        <v>383.60958862304688</v>
      </c>
      <c r="AO30"/>
      <c r="AP30"/>
      <c r="AQ30"/>
      <c r="AR30"/>
      <c r="AS30"/>
      <c r="AT30"/>
      <c r="AU30"/>
      <c r="AV30"/>
      <c r="AW30"/>
      <c r="AX30"/>
      <c r="AY30"/>
      <c r="AZ30"/>
      <c r="BA30"/>
      <c r="BB30"/>
      <c r="BC30"/>
      <c r="BD30"/>
      <c r="BE30"/>
      <c r="BF30"/>
      <c r="BG30" t="s">
        <v>5</v>
      </c>
      <c r="BH30"/>
      <c r="BI30"/>
      <c r="BJ30" t="s">
        <v>5</v>
      </c>
      <c r="BK30"/>
      <c r="BL30">
        <v>100</v>
      </c>
      <c r="BM30"/>
      <c r="BN30" t="s">
        <v>5</v>
      </c>
      <c r="BO30" t="s">
        <v>2518</v>
      </c>
      <c r="BP30" t="s">
        <v>2518</v>
      </c>
      <c r="BQ30" t="s">
        <v>2518</v>
      </c>
      <c r="BR30"/>
      <c r="BS30" t="s">
        <v>6</v>
      </c>
      <c r="BT30" t="s">
        <v>2518</v>
      </c>
      <c r="BU30" t="s">
        <v>2518</v>
      </c>
      <c r="BV30" t="s">
        <v>2518</v>
      </c>
      <c r="BW30"/>
      <c r="BX30" t="s">
        <v>6</v>
      </c>
      <c r="BY30" t="s">
        <v>12412</v>
      </c>
      <c r="BZ30" t="s">
        <v>2518</v>
      </c>
      <c r="CA30"/>
      <c r="CB30" t="s">
        <v>6</v>
      </c>
      <c r="CC30">
        <v>165498.9973345382</v>
      </c>
      <c r="CD30">
        <v>843844415.38593376</v>
      </c>
      <c r="CE30" s="313" t="s">
        <v>11902</v>
      </c>
    </row>
    <row r="31" spans="1:83" ht="15" x14ac:dyDescent="0.25">
      <c r="A31" t="s">
        <v>12420</v>
      </c>
      <c r="B31" t="s">
        <v>12421</v>
      </c>
      <c r="C31" t="s">
        <v>12422</v>
      </c>
      <c r="D31">
        <v>6</v>
      </c>
      <c r="E31" t="s">
        <v>259</v>
      </c>
      <c r="F31" t="s">
        <v>7193</v>
      </c>
      <c r="G31" t="s">
        <v>12423</v>
      </c>
      <c r="H31" t="s">
        <v>12424</v>
      </c>
      <c r="I31" t="s">
        <v>12425</v>
      </c>
      <c r="J31" t="s">
        <v>12426</v>
      </c>
      <c r="K31" t="s">
        <v>12427</v>
      </c>
      <c r="L31">
        <v>214.92854309082031</v>
      </c>
      <c r="M31" t="s">
        <v>6</v>
      </c>
      <c r="N31" t="s">
        <v>5</v>
      </c>
      <c r="O31" t="s">
        <v>5</v>
      </c>
      <c r="P31" t="s">
        <v>5</v>
      </c>
      <c r="Q31" t="s">
        <v>5</v>
      </c>
      <c r="R31" t="s">
        <v>12428</v>
      </c>
      <c r="S31"/>
      <c r="T31" t="s">
        <v>5</v>
      </c>
      <c r="U31" t="s">
        <v>4</v>
      </c>
      <c r="V31">
        <v>40489000</v>
      </c>
      <c r="W31">
        <v>2024450</v>
      </c>
      <c r="X31" t="s">
        <v>6</v>
      </c>
      <c r="Y31"/>
      <c r="Z31"/>
      <c r="AA31">
        <v>62.542331695556641</v>
      </c>
      <c r="AB31">
        <v>14.533383369445801</v>
      </c>
      <c r="AC31">
        <v>0.1781561225652695</v>
      </c>
      <c r="AD31">
        <v>5153</v>
      </c>
      <c r="AE31">
        <v>6525</v>
      </c>
      <c r="AF31">
        <v>3985</v>
      </c>
      <c r="AG31">
        <v>9984</v>
      </c>
      <c r="AH31">
        <v>12126</v>
      </c>
      <c r="AI31">
        <v>18347</v>
      </c>
      <c r="AJ31">
        <v>49</v>
      </c>
      <c r="AK31">
        <v>20</v>
      </c>
      <c r="AL31">
        <v>121</v>
      </c>
      <c r="AM31">
        <v>20</v>
      </c>
      <c r="AN31">
        <v>331.53793334960938</v>
      </c>
      <c r="AO31"/>
      <c r="AP31"/>
      <c r="AQ31"/>
      <c r="AR31"/>
      <c r="AS31"/>
      <c r="AT31"/>
      <c r="AU31"/>
      <c r="AV31"/>
      <c r="AW31"/>
      <c r="AX31"/>
      <c r="AY31"/>
      <c r="AZ31"/>
      <c r="BA31"/>
      <c r="BB31"/>
      <c r="BC31"/>
      <c r="BD31"/>
      <c r="BE31"/>
      <c r="BF31"/>
      <c r="BG31" t="s">
        <v>5</v>
      </c>
      <c r="BH31"/>
      <c r="BI31"/>
      <c r="BJ31" t="s">
        <v>5</v>
      </c>
      <c r="BK31"/>
      <c r="BL31">
        <v>100</v>
      </c>
      <c r="BM31"/>
      <c r="BN31" t="s">
        <v>5</v>
      </c>
      <c r="BO31" t="s">
        <v>2518</v>
      </c>
      <c r="BP31" t="s">
        <v>2518</v>
      </c>
      <c r="BQ31" t="s">
        <v>2518</v>
      </c>
      <c r="BR31"/>
      <c r="BS31" t="s">
        <v>6</v>
      </c>
      <c r="BT31" t="s">
        <v>2518</v>
      </c>
      <c r="BU31" t="s">
        <v>2518</v>
      </c>
      <c r="BV31" t="s">
        <v>2518</v>
      </c>
      <c r="BW31"/>
      <c r="BX31" t="s">
        <v>6</v>
      </c>
      <c r="BY31" t="s">
        <v>12412</v>
      </c>
      <c r="BZ31" t="s">
        <v>2518</v>
      </c>
      <c r="CA31"/>
      <c r="CB31" t="s">
        <v>6</v>
      </c>
      <c r="CC31">
        <v>135954.0788257051</v>
      </c>
      <c r="CD31">
        <v>556664592.78404236</v>
      </c>
      <c r="CE31" s="313" t="s">
        <v>11902</v>
      </c>
    </row>
    <row r="32" spans="1:83" ht="15" x14ac:dyDescent="0.25">
      <c r="A32" t="s">
        <v>3429</v>
      </c>
      <c r="B32" t="s">
        <v>85</v>
      </c>
      <c r="C32" t="s">
        <v>3430</v>
      </c>
      <c r="D32">
        <v>11</v>
      </c>
      <c r="E32" t="s">
        <v>3411</v>
      </c>
      <c r="F32" t="s">
        <v>3412</v>
      </c>
      <c r="G32" t="s">
        <v>3413</v>
      </c>
      <c r="H32"/>
      <c r="I32"/>
      <c r="J32" t="s">
        <v>3414</v>
      </c>
      <c r="K32" t="s">
        <v>3431</v>
      </c>
      <c r="L32">
        <v>6010.3671875</v>
      </c>
      <c r="M32" t="s">
        <v>6</v>
      </c>
      <c r="N32" t="s">
        <v>6</v>
      </c>
      <c r="O32" t="s">
        <v>5</v>
      </c>
      <c r="P32" t="s">
        <v>5</v>
      </c>
      <c r="Q32" t="s">
        <v>5</v>
      </c>
      <c r="R32" t="s">
        <v>3416</v>
      </c>
      <c r="S32" t="s">
        <v>3416</v>
      </c>
      <c r="T32" t="s">
        <v>5</v>
      </c>
      <c r="U32" t="s">
        <v>85</v>
      </c>
      <c r="V32">
        <v>21611000</v>
      </c>
      <c r="W32">
        <v>2000000</v>
      </c>
      <c r="X32" t="s">
        <v>5</v>
      </c>
      <c r="Y32"/>
      <c r="Z32"/>
      <c r="AA32">
        <v>1166.19873046875</v>
      </c>
      <c r="AB32">
        <v>194.1005859375</v>
      </c>
      <c r="AC32">
        <v>1.266889810562134</v>
      </c>
      <c r="AD32">
        <v>27069</v>
      </c>
      <c r="AE32">
        <v>18447</v>
      </c>
      <c r="AF32">
        <v>18879</v>
      </c>
      <c r="AG32">
        <v>42522</v>
      </c>
      <c r="AH32">
        <v>62638</v>
      </c>
      <c r="AI32">
        <v>62638</v>
      </c>
      <c r="AJ32">
        <v>136</v>
      </c>
      <c r="AK32">
        <v>661</v>
      </c>
      <c r="AL32">
        <v>935</v>
      </c>
      <c r="AM32"/>
      <c r="AN32">
        <v>360251.3125</v>
      </c>
      <c r="AO32"/>
      <c r="AP32"/>
      <c r="AQ32"/>
      <c r="AR32"/>
      <c r="AS32"/>
      <c r="AT32"/>
      <c r="AU32"/>
      <c r="AV32"/>
      <c r="AW32"/>
      <c r="AX32"/>
      <c r="AY32"/>
      <c r="AZ32"/>
      <c r="BA32"/>
      <c r="BB32"/>
      <c r="BC32"/>
      <c r="BD32"/>
      <c r="BE32"/>
      <c r="BF32" t="s">
        <v>3432</v>
      </c>
      <c r="BG32" t="s">
        <v>5</v>
      </c>
      <c r="BH32" t="s">
        <v>1020</v>
      </c>
      <c r="BI32"/>
      <c r="BJ32" t="s">
        <v>5</v>
      </c>
      <c r="BK32" t="s">
        <v>1020</v>
      </c>
      <c r="BL32"/>
      <c r="BM32"/>
      <c r="BN32" t="s">
        <v>5</v>
      </c>
      <c r="BO32"/>
      <c r="BP32"/>
      <c r="BQ32"/>
      <c r="BR32"/>
      <c r="BS32" t="s">
        <v>6</v>
      </c>
      <c r="BT32"/>
      <c r="BU32"/>
      <c r="BV32"/>
      <c r="BW32"/>
      <c r="BX32" t="s">
        <v>6</v>
      </c>
      <c r="BY32" t="s">
        <v>3417</v>
      </c>
      <c r="BZ32"/>
      <c r="CA32"/>
      <c r="CB32" t="s">
        <v>5</v>
      </c>
      <c r="CC32">
        <v>1159993.5086232999</v>
      </c>
      <c r="CD32">
        <v>15566779773.771799</v>
      </c>
      <c r="CE32" s="313" t="s">
        <v>11891</v>
      </c>
    </row>
    <row r="33" spans="1:83" ht="15" x14ac:dyDescent="0.25">
      <c r="A33" s="337" t="s">
        <v>4538</v>
      </c>
      <c r="B33" s="337" t="s">
        <v>4539</v>
      </c>
      <c r="C33" s="337" t="s">
        <v>4540</v>
      </c>
      <c r="D33" s="337">
        <v>3</v>
      </c>
      <c r="E33" s="337" t="s">
        <v>1771</v>
      </c>
      <c r="F33" s="337" t="s">
        <v>4541</v>
      </c>
      <c r="G33" s="337" t="s">
        <v>4542</v>
      </c>
      <c r="H33" s="337" t="s">
        <v>4543</v>
      </c>
      <c r="I33" s="337"/>
      <c r="J33" s="337"/>
      <c r="K33" s="337" t="s">
        <v>4544</v>
      </c>
      <c r="L33" s="337">
        <v>17843.599609375</v>
      </c>
      <c r="M33" s="337" t="s">
        <v>6</v>
      </c>
      <c r="N33" s="337" t="s">
        <v>6</v>
      </c>
      <c r="O33" s="337" t="s">
        <v>5</v>
      </c>
      <c r="P33" s="337" t="s">
        <v>5</v>
      </c>
      <c r="Q33" s="337" t="s">
        <v>5</v>
      </c>
      <c r="R33" s="337" t="s">
        <v>4545</v>
      </c>
      <c r="S33" s="337" t="s">
        <v>4546</v>
      </c>
      <c r="T33" s="337" t="s">
        <v>5</v>
      </c>
      <c r="U33" s="337" t="s">
        <v>4</v>
      </c>
      <c r="V33" s="337">
        <v>1964000</v>
      </c>
      <c r="W33" s="337">
        <v>1964000</v>
      </c>
      <c r="X33" s="337" t="s">
        <v>6</v>
      </c>
      <c r="Y33" s="337" t="s">
        <v>4547</v>
      </c>
      <c r="Z33" s="337"/>
      <c r="AA33" s="337">
        <v>4891.7001953125</v>
      </c>
      <c r="AB33" s="337">
        <v>5345.7001953125</v>
      </c>
      <c r="AC33" s="337">
        <v>5345.7001953125</v>
      </c>
      <c r="AD33" s="337">
        <v>85859</v>
      </c>
      <c r="AE33" s="337"/>
      <c r="AF33" s="337">
        <v>72930</v>
      </c>
      <c r="AG33" s="337">
        <v>209041</v>
      </c>
      <c r="AH33" s="337">
        <v>227593</v>
      </c>
      <c r="AI33" s="337">
        <v>227593</v>
      </c>
      <c r="AJ33" s="337">
        <v>342</v>
      </c>
      <c r="AK33" s="337"/>
      <c r="AL33" s="337">
        <v>3952</v>
      </c>
      <c r="AM33" s="337"/>
      <c r="AN33" s="337">
        <v>1887.699951171875</v>
      </c>
      <c r="AO33" s="337"/>
      <c r="AP33" s="337"/>
      <c r="AQ33" s="337"/>
      <c r="AR33" s="337"/>
      <c r="AS33" s="337"/>
      <c r="AT33" s="337"/>
      <c r="AU33" s="337"/>
      <c r="AV33" s="337"/>
      <c r="AW33" s="337"/>
      <c r="AX33" s="337"/>
      <c r="AY33" s="337"/>
      <c r="AZ33" s="337"/>
      <c r="BA33" s="337"/>
      <c r="BB33" s="337"/>
      <c r="BC33" s="337"/>
      <c r="BD33" s="337"/>
      <c r="BE33" s="337"/>
      <c r="BF33" s="337" t="s">
        <v>4548</v>
      </c>
      <c r="BG33" s="337" t="s">
        <v>5</v>
      </c>
      <c r="BH33" s="337" t="s">
        <v>1777</v>
      </c>
      <c r="BI33" s="337"/>
      <c r="BJ33" s="337" t="s">
        <v>5</v>
      </c>
      <c r="BK33" s="337"/>
      <c r="BL33" s="337">
        <v>100</v>
      </c>
      <c r="BM33" s="337"/>
      <c r="BN33" s="337" t="s">
        <v>5</v>
      </c>
      <c r="BO33" s="337"/>
      <c r="BP33" s="337"/>
      <c r="BQ33" s="337"/>
      <c r="BR33" s="337"/>
      <c r="BS33" s="337" t="s">
        <v>5</v>
      </c>
      <c r="BT33" s="337"/>
      <c r="BU33" s="337"/>
      <c r="BV33" s="337"/>
      <c r="BW33" s="337"/>
      <c r="BX33" s="337" t="s">
        <v>6</v>
      </c>
      <c r="BY33" s="337" t="s">
        <v>1101</v>
      </c>
      <c r="BZ33" s="337"/>
      <c r="CB33" s="337" t="s">
        <v>6</v>
      </c>
      <c r="CC33" s="337">
        <v>1960684.444557915</v>
      </c>
      <c r="CD33" s="337">
        <v>46214718255.28653</v>
      </c>
      <c r="CE33" s="313" t="s">
        <v>11891</v>
      </c>
    </row>
    <row r="34" spans="1:83" ht="15" x14ac:dyDescent="0.25">
      <c r="A34" t="s">
        <v>4615</v>
      </c>
      <c r="B34" t="s">
        <v>4616</v>
      </c>
      <c r="C34" t="s">
        <v>4617</v>
      </c>
      <c r="D34">
        <v>6</v>
      </c>
      <c r="E34" t="s">
        <v>259</v>
      </c>
      <c r="F34" t="s">
        <v>53</v>
      </c>
      <c r="G34" t="s">
        <v>74</v>
      </c>
      <c r="H34" t="s">
        <v>364</v>
      </c>
      <c r="I34" t="s">
        <v>4618</v>
      </c>
      <c r="J34" t="s">
        <v>4619</v>
      </c>
      <c r="K34" t="s">
        <v>4612</v>
      </c>
      <c r="L34">
        <v>1.7242399454116819</v>
      </c>
      <c r="M34" t="s">
        <v>6</v>
      </c>
      <c r="N34" t="s">
        <v>5</v>
      </c>
      <c r="O34" t="s">
        <v>5</v>
      </c>
      <c r="P34" t="s">
        <v>5</v>
      </c>
      <c r="Q34" t="s">
        <v>5</v>
      </c>
      <c r="R34" t="s">
        <v>2975</v>
      </c>
      <c r="S34" t="s">
        <v>4613</v>
      </c>
      <c r="T34" t="s">
        <v>5</v>
      </c>
      <c r="U34" t="s">
        <v>98</v>
      </c>
      <c r="V34">
        <v>18000000</v>
      </c>
      <c r="W34">
        <v>1800000</v>
      </c>
      <c r="X34" t="s">
        <v>6</v>
      </c>
      <c r="Y34"/>
      <c r="Z34"/>
      <c r="AA34">
        <v>0.10059837251901629</v>
      </c>
      <c r="AB34">
        <v>2.1555570885539051E-2</v>
      </c>
      <c r="AC34">
        <v>0</v>
      </c>
      <c r="AD34">
        <v>0</v>
      </c>
      <c r="AE34">
        <v>0</v>
      </c>
      <c r="AF34">
        <v>0</v>
      </c>
      <c r="AG34">
        <v>0</v>
      </c>
      <c r="AH34">
        <v>0</v>
      </c>
      <c r="AI34">
        <v>0</v>
      </c>
      <c r="AJ34">
        <v>0</v>
      </c>
      <c r="AK34">
        <v>0</v>
      </c>
      <c r="AL34">
        <v>0</v>
      </c>
      <c r="AM34">
        <v>0</v>
      </c>
      <c r="AN34">
        <v>8.8682165145874023</v>
      </c>
      <c r="AO34"/>
      <c r="AP34"/>
      <c r="AQ34"/>
      <c r="AR34"/>
      <c r="AS34"/>
      <c r="AT34"/>
      <c r="AU34"/>
      <c r="AV34"/>
      <c r="AW34"/>
      <c r="AX34"/>
      <c r="AY34"/>
      <c r="AZ34"/>
      <c r="BA34"/>
      <c r="BB34"/>
      <c r="BC34"/>
      <c r="BD34"/>
      <c r="BE34"/>
      <c r="BF34" t="s">
        <v>4614</v>
      </c>
      <c r="BG34" t="s">
        <v>5</v>
      </c>
      <c r="BH34"/>
      <c r="BI34"/>
      <c r="BJ34" t="s">
        <v>5</v>
      </c>
      <c r="BK34"/>
      <c r="BL34">
        <v>100</v>
      </c>
      <c r="BM34"/>
      <c r="BN34" t="s">
        <v>5</v>
      </c>
      <c r="BO34" t="s">
        <v>2518</v>
      </c>
      <c r="BP34" t="s">
        <v>2518</v>
      </c>
      <c r="BQ34" t="s">
        <v>2518</v>
      </c>
      <c r="BR34"/>
      <c r="BS34" t="s">
        <v>6</v>
      </c>
      <c r="BT34" t="s">
        <v>2518</v>
      </c>
      <c r="BU34" t="s">
        <v>2518</v>
      </c>
      <c r="BV34" t="s">
        <v>2518</v>
      </c>
      <c r="BW34"/>
      <c r="BX34" t="s">
        <v>6</v>
      </c>
      <c r="BY34" t="s">
        <v>7</v>
      </c>
      <c r="BZ34" t="s">
        <v>2518</v>
      </c>
      <c r="CA34"/>
      <c r="CB34" t="s">
        <v>6</v>
      </c>
      <c r="CC34">
        <v>18565.597736440392</v>
      </c>
      <c r="CD34">
        <v>4465760.8260476412</v>
      </c>
      <c r="CE34" s="313" t="s">
        <v>11891</v>
      </c>
    </row>
    <row r="35" spans="1:83" ht="15" x14ac:dyDescent="0.25">
      <c r="A35" t="s">
        <v>12547</v>
      </c>
      <c r="B35" t="s">
        <v>12548</v>
      </c>
      <c r="C35" t="s">
        <v>12549</v>
      </c>
      <c r="D35">
        <v>8</v>
      </c>
      <c r="E35" t="s">
        <v>3395</v>
      </c>
      <c r="F35" t="s">
        <v>3396</v>
      </c>
      <c r="G35" t="s">
        <v>12550</v>
      </c>
      <c r="H35" t="s">
        <v>12551</v>
      </c>
      <c r="I35" t="s">
        <v>12552</v>
      </c>
      <c r="J35" t="s">
        <v>12553</v>
      </c>
      <c r="K35" t="s">
        <v>12514</v>
      </c>
      <c r="L35">
        <v>1.179647564888</v>
      </c>
      <c r="M35" t="s">
        <v>6</v>
      </c>
      <c r="N35" t="s">
        <v>5</v>
      </c>
      <c r="O35" t="s">
        <v>5</v>
      </c>
      <c r="P35" t="s">
        <v>5</v>
      </c>
      <c r="Q35" t="s">
        <v>5</v>
      </c>
      <c r="R35" t="s">
        <v>3402</v>
      </c>
      <c r="S35" t="s">
        <v>3402</v>
      </c>
      <c r="T35" t="s">
        <v>5</v>
      </c>
      <c r="U35" t="s">
        <v>85</v>
      </c>
      <c r="V35">
        <v>1800000</v>
      </c>
      <c r="W35">
        <v>1800000</v>
      </c>
      <c r="X35" t="s">
        <v>6</v>
      </c>
      <c r="Y35" t="s">
        <v>3403</v>
      </c>
      <c r="Z35"/>
      <c r="AA35"/>
      <c r="AB35"/>
      <c r="AC35"/>
      <c r="AD35"/>
      <c r="AE35"/>
      <c r="AF35"/>
      <c r="AG35"/>
      <c r="AH35"/>
      <c r="AI35"/>
      <c r="AJ35"/>
      <c r="AK35"/>
      <c r="AL35"/>
      <c r="AM35"/>
      <c r="AN35"/>
      <c r="AO35"/>
      <c r="AP35"/>
      <c r="AQ35"/>
      <c r="AR35"/>
      <c r="AS35"/>
      <c r="AT35"/>
      <c r="AU35"/>
      <c r="AV35"/>
      <c r="AW35"/>
      <c r="AX35"/>
      <c r="AY35"/>
      <c r="AZ35"/>
      <c r="BA35"/>
      <c r="BB35"/>
      <c r="BC35"/>
      <c r="BD35"/>
      <c r="BE35"/>
      <c r="BF35" t="s">
        <v>12472</v>
      </c>
      <c r="BG35" t="s">
        <v>5</v>
      </c>
      <c r="BH35" t="s">
        <v>1020</v>
      </c>
      <c r="BI35" t="s">
        <v>5</v>
      </c>
      <c r="BJ35" t="s">
        <v>5</v>
      </c>
      <c r="BK35" t="s">
        <v>1020</v>
      </c>
      <c r="BL35">
        <v>0</v>
      </c>
      <c r="BM35"/>
      <c r="BN35" t="s">
        <v>5</v>
      </c>
      <c r="BO35"/>
      <c r="BP35"/>
      <c r="BQ35"/>
      <c r="BR35"/>
      <c r="BS35" t="s">
        <v>6</v>
      </c>
      <c r="BT35"/>
      <c r="BU35"/>
      <c r="BV35"/>
      <c r="BW35"/>
      <c r="BX35" t="s">
        <v>6</v>
      </c>
      <c r="BY35" t="s">
        <v>12473</v>
      </c>
      <c r="BZ35"/>
      <c r="CA35"/>
      <c r="CB35" t="s">
        <v>5</v>
      </c>
      <c r="CC35">
        <v>8697.9242041626549</v>
      </c>
      <c r="CD35">
        <v>3055273.171027428</v>
      </c>
      <c r="CE35" s="313" t="s">
        <v>11902</v>
      </c>
    </row>
    <row r="36" spans="1:83" ht="15" x14ac:dyDescent="0.25">
      <c r="A36" t="s">
        <v>96</v>
      </c>
      <c r="B36" t="s">
        <v>97</v>
      </c>
      <c r="C36" t="s">
        <v>355</v>
      </c>
      <c r="D36">
        <v>6</v>
      </c>
      <c r="E36" t="s">
        <v>259</v>
      </c>
      <c r="F36" t="s">
        <v>53</v>
      </c>
      <c r="G36" t="s">
        <v>356</v>
      </c>
      <c r="H36" t="s">
        <v>357</v>
      </c>
      <c r="I36" t="s">
        <v>358</v>
      </c>
      <c r="J36" t="s">
        <v>359</v>
      </c>
      <c r="K36" t="s">
        <v>360</v>
      </c>
      <c r="L36">
        <v>1.7577474117279051</v>
      </c>
      <c r="M36" t="s">
        <v>6</v>
      </c>
      <c r="N36" t="s">
        <v>5</v>
      </c>
      <c r="O36" t="s">
        <v>6</v>
      </c>
      <c r="P36" t="s">
        <v>5</v>
      </c>
      <c r="Q36" t="s">
        <v>5</v>
      </c>
      <c r="R36" t="s">
        <v>2975</v>
      </c>
      <c r="S36" t="s">
        <v>361</v>
      </c>
      <c r="T36" t="s">
        <v>5</v>
      </c>
      <c r="U36" t="s">
        <v>98</v>
      </c>
      <c r="V36">
        <v>33000000</v>
      </c>
      <c r="W36">
        <v>1650000</v>
      </c>
      <c r="X36" t="s">
        <v>6</v>
      </c>
      <c r="Y36"/>
      <c r="Z36"/>
      <c r="AA36">
        <v>0</v>
      </c>
      <c r="AB36">
        <v>0</v>
      </c>
      <c r="AC36">
        <v>0</v>
      </c>
      <c r="AD36">
        <v>0</v>
      </c>
      <c r="AE36">
        <v>0</v>
      </c>
      <c r="AF36">
        <v>0</v>
      </c>
      <c r="AG36">
        <v>0</v>
      </c>
      <c r="AH36">
        <v>0</v>
      </c>
      <c r="AI36">
        <v>0</v>
      </c>
      <c r="AJ36">
        <v>0</v>
      </c>
      <c r="AK36">
        <v>0</v>
      </c>
      <c r="AL36">
        <v>0</v>
      </c>
      <c r="AM36">
        <v>0</v>
      </c>
      <c r="AN36">
        <v>0</v>
      </c>
      <c r="AO36"/>
      <c r="AP36"/>
      <c r="AQ36"/>
      <c r="AR36"/>
      <c r="AS36"/>
      <c r="AT36"/>
      <c r="AU36"/>
      <c r="AV36"/>
      <c r="AW36"/>
      <c r="AX36"/>
      <c r="AY36"/>
      <c r="AZ36"/>
      <c r="BA36"/>
      <c r="BB36"/>
      <c r="BC36"/>
      <c r="BD36"/>
      <c r="BE36"/>
      <c r="BF36" t="s">
        <v>351</v>
      </c>
      <c r="BG36" t="s">
        <v>5</v>
      </c>
      <c r="BH36"/>
      <c r="BI36"/>
      <c r="BJ36" t="s">
        <v>5</v>
      </c>
      <c r="BK36"/>
      <c r="BL36">
        <v>0</v>
      </c>
      <c r="BM36"/>
      <c r="BN36" t="s">
        <v>5</v>
      </c>
      <c r="BO36" t="s">
        <v>2518</v>
      </c>
      <c r="BP36" t="s">
        <v>2518</v>
      </c>
      <c r="BQ36" t="s">
        <v>2518</v>
      </c>
      <c r="BR36"/>
      <c r="BS36" t="s">
        <v>6</v>
      </c>
      <c r="BT36" t="s">
        <v>2518</v>
      </c>
      <c r="BU36" t="s">
        <v>2518</v>
      </c>
      <c r="BV36" t="s">
        <v>2518</v>
      </c>
      <c r="BW36"/>
      <c r="BX36" t="s">
        <v>6</v>
      </c>
      <c r="BY36" t="s">
        <v>7</v>
      </c>
      <c r="BZ36" t="s">
        <v>2518</v>
      </c>
      <c r="CA36"/>
      <c r="CB36" t="s">
        <v>5</v>
      </c>
      <c r="CC36">
        <v>13711.39626551662</v>
      </c>
      <c r="CD36">
        <v>4552545.0360268317</v>
      </c>
      <c r="CE36" s="313" t="s">
        <v>11891</v>
      </c>
    </row>
    <row r="37" spans="1:83" ht="15" x14ac:dyDescent="0.25">
      <c r="A37" t="s">
        <v>12429</v>
      </c>
      <c r="B37" t="s">
        <v>12430</v>
      </c>
      <c r="C37" t="s">
        <v>12431</v>
      </c>
      <c r="D37">
        <v>6</v>
      </c>
      <c r="E37" t="s">
        <v>259</v>
      </c>
      <c r="F37" t="s">
        <v>12432</v>
      </c>
      <c r="G37" t="s">
        <v>74</v>
      </c>
      <c r="H37" t="s">
        <v>12433</v>
      </c>
      <c r="I37"/>
      <c r="J37" t="s">
        <v>12434</v>
      </c>
      <c r="K37" t="s">
        <v>12427</v>
      </c>
      <c r="L37">
        <v>451.15509033203119</v>
      </c>
      <c r="M37" t="s">
        <v>6</v>
      </c>
      <c r="N37" t="s">
        <v>5</v>
      </c>
      <c r="O37" t="s">
        <v>5</v>
      </c>
      <c r="P37" t="s">
        <v>5</v>
      </c>
      <c r="Q37" t="s">
        <v>5</v>
      </c>
      <c r="R37" t="s">
        <v>12428</v>
      </c>
      <c r="S37"/>
      <c r="T37" t="s">
        <v>5</v>
      </c>
      <c r="U37" t="s">
        <v>4</v>
      </c>
      <c r="V37">
        <v>32897000</v>
      </c>
      <c r="W37">
        <v>1644850</v>
      </c>
      <c r="X37" t="s">
        <v>6</v>
      </c>
      <c r="Y37"/>
      <c r="Z37"/>
      <c r="AA37">
        <v>73.629020690917969</v>
      </c>
      <c r="AB37">
        <v>26.322074890136719</v>
      </c>
      <c r="AC37">
        <v>9.0435698628425598E-2</v>
      </c>
      <c r="AD37">
        <v>5516</v>
      </c>
      <c r="AE37">
        <v>14315</v>
      </c>
      <c r="AF37">
        <v>4473</v>
      </c>
      <c r="AG37">
        <v>18368</v>
      </c>
      <c r="AH37">
        <v>11840</v>
      </c>
      <c r="AI37">
        <v>27005</v>
      </c>
      <c r="AJ37">
        <v>51</v>
      </c>
      <c r="AK37">
        <v>36</v>
      </c>
      <c r="AL37">
        <v>142</v>
      </c>
      <c r="AM37">
        <v>36</v>
      </c>
      <c r="AN37">
        <v>290.83477783203119</v>
      </c>
      <c r="AO37"/>
      <c r="AP37"/>
      <c r="AQ37"/>
      <c r="AR37"/>
      <c r="AS37"/>
      <c r="AT37"/>
      <c r="AU37"/>
      <c r="AV37"/>
      <c r="AW37"/>
      <c r="AX37"/>
      <c r="AY37"/>
      <c r="AZ37"/>
      <c r="BA37"/>
      <c r="BB37"/>
      <c r="BC37"/>
      <c r="BD37"/>
      <c r="BE37"/>
      <c r="BF37"/>
      <c r="BG37" t="s">
        <v>5</v>
      </c>
      <c r="BH37"/>
      <c r="BI37"/>
      <c r="BJ37" t="s">
        <v>5</v>
      </c>
      <c r="BK37"/>
      <c r="BL37">
        <v>100</v>
      </c>
      <c r="BM37"/>
      <c r="BN37" t="s">
        <v>5</v>
      </c>
      <c r="BO37" t="s">
        <v>2518</v>
      </c>
      <c r="BP37" t="s">
        <v>2518</v>
      </c>
      <c r="BQ37" t="s">
        <v>2518</v>
      </c>
      <c r="BR37"/>
      <c r="BS37" t="s">
        <v>6</v>
      </c>
      <c r="BT37" t="s">
        <v>2518</v>
      </c>
      <c r="BU37" t="s">
        <v>2518</v>
      </c>
      <c r="BV37" t="s">
        <v>2518</v>
      </c>
      <c r="BW37"/>
      <c r="BX37" t="s">
        <v>6</v>
      </c>
      <c r="BY37" t="s">
        <v>12412</v>
      </c>
      <c r="BZ37" t="s">
        <v>2518</v>
      </c>
      <c r="CA37"/>
      <c r="CB37" t="s">
        <v>6</v>
      </c>
      <c r="CC37">
        <v>194348.144186572</v>
      </c>
      <c r="CD37">
        <v>1168490962.4091539</v>
      </c>
      <c r="CE37" s="313" t="s">
        <v>11902</v>
      </c>
    </row>
    <row r="38" spans="1:83" ht="15" x14ac:dyDescent="0.25">
      <c r="A38" t="s">
        <v>99</v>
      </c>
      <c r="B38" t="s">
        <v>100</v>
      </c>
      <c r="C38" t="s">
        <v>362</v>
      </c>
      <c r="D38">
        <v>6</v>
      </c>
      <c r="E38" t="s">
        <v>259</v>
      </c>
      <c r="F38" t="s">
        <v>363</v>
      </c>
      <c r="G38" t="s">
        <v>74</v>
      </c>
      <c r="H38" t="s">
        <v>364</v>
      </c>
      <c r="I38" t="s">
        <v>365</v>
      </c>
      <c r="J38" t="s">
        <v>366</v>
      </c>
      <c r="K38" t="s">
        <v>360</v>
      </c>
      <c r="L38">
        <v>3.2887461185455318</v>
      </c>
      <c r="M38" t="s">
        <v>6</v>
      </c>
      <c r="N38" t="s">
        <v>5</v>
      </c>
      <c r="O38" t="s">
        <v>6</v>
      </c>
      <c r="P38" t="s">
        <v>5</v>
      </c>
      <c r="Q38" t="s">
        <v>5</v>
      </c>
      <c r="R38" t="s">
        <v>2975</v>
      </c>
      <c r="S38" t="s">
        <v>361</v>
      </c>
      <c r="T38" t="s">
        <v>5</v>
      </c>
      <c r="U38" t="s">
        <v>98</v>
      </c>
      <c r="V38">
        <v>32000000</v>
      </c>
      <c r="W38">
        <v>1600000</v>
      </c>
      <c r="X38" t="s">
        <v>6</v>
      </c>
      <c r="Y38"/>
      <c r="Z38"/>
      <c r="AA38">
        <v>1.8540699481964109</v>
      </c>
      <c r="AB38">
        <v>4.6379998326301568E-2</v>
      </c>
      <c r="AC38">
        <v>0</v>
      </c>
      <c r="AD38">
        <v>0</v>
      </c>
      <c r="AE38">
        <v>0</v>
      </c>
      <c r="AF38">
        <v>0</v>
      </c>
      <c r="AG38">
        <v>0</v>
      </c>
      <c r="AH38">
        <v>0</v>
      </c>
      <c r="AI38">
        <v>0</v>
      </c>
      <c r="AJ38">
        <v>0</v>
      </c>
      <c r="AK38">
        <v>0</v>
      </c>
      <c r="AL38">
        <v>0</v>
      </c>
      <c r="AM38">
        <v>0</v>
      </c>
      <c r="AN38">
        <v>41.386463165283203</v>
      </c>
      <c r="AO38"/>
      <c r="AP38"/>
      <c r="AQ38"/>
      <c r="AR38"/>
      <c r="AS38"/>
      <c r="AT38"/>
      <c r="AU38"/>
      <c r="AV38"/>
      <c r="AW38"/>
      <c r="AX38"/>
      <c r="AY38"/>
      <c r="AZ38"/>
      <c r="BA38"/>
      <c r="BB38"/>
      <c r="BC38"/>
      <c r="BD38"/>
      <c r="BE38"/>
      <c r="BF38" t="s">
        <v>367</v>
      </c>
      <c r="BG38" t="s">
        <v>5</v>
      </c>
      <c r="BH38"/>
      <c r="BI38"/>
      <c r="BJ38" t="s">
        <v>5</v>
      </c>
      <c r="BK38"/>
      <c r="BL38">
        <v>0</v>
      </c>
      <c r="BM38"/>
      <c r="BN38" t="s">
        <v>5</v>
      </c>
      <c r="BO38" t="s">
        <v>2518</v>
      </c>
      <c r="BP38" t="s">
        <v>2518</v>
      </c>
      <c r="BQ38" t="s">
        <v>2518</v>
      </c>
      <c r="BR38"/>
      <c r="BS38" t="s">
        <v>6</v>
      </c>
      <c r="BT38" t="s">
        <v>2518</v>
      </c>
      <c r="BU38" t="s">
        <v>2518</v>
      </c>
      <c r="BV38" t="s">
        <v>2518</v>
      </c>
      <c r="BW38"/>
      <c r="BX38" t="s">
        <v>6</v>
      </c>
      <c r="BY38" t="s">
        <v>7</v>
      </c>
      <c r="BZ38" t="s">
        <v>2518</v>
      </c>
      <c r="CA38"/>
      <c r="CB38" t="s">
        <v>5</v>
      </c>
      <c r="CC38">
        <v>15503.581019117981</v>
      </c>
      <c r="CD38">
        <v>8517813.456173066</v>
      </c>
      <c r="CE38" s="313" t="s">
        <v>11891</v>
      </c>
    </row>
    <row r="39" spans="1:83" ht="15" x14ac:dyDescent="0.25">
      <c r="A39" t="s">
        <v>176</v>
      </c>
      <c r="B39" t="s">
        <v>263</v>
      </c>
      <c r="C39" t="s">
        <v>177</v>
      </c>
      <c r="D39">
        <v>6</v>
      </c>
      <c r="E39" t="s">
        <v>259</v>
      </c>
      <c r="F39" t="s">
        <v>46</v>
      </c>
      <c r="G39" t="s">
        <v>39</v>
      </c>
      <c r="H39" t="s">
        <v>264</v>
      </c>
      <c r="I39" t="s">
        <v>89</v>
      </c>
      <c r="J39" t="s">
        <v>265</v>
      </c>
      <c r="K39" t="s">
        <v>266</v>
      </c>
      <c r="L39">
        <v>14.23282623291016</v>
      </c>
      <c r="M39" t="s">
        <v>6</v>
      </c>
      <c r="N39" t="s">
        <v>6</v>
      </c>
      <c r="O39" t="s">
        <v>6</v>
      </c>
      <c r="P39" t="s">
        <v>5</v>
      </c>
      <c r="Q39" t="s">
        <v>5</v>
      </c>
      <c r="R39" t="s">
        <v>267</v>
      </c>
      <c r="S39" t="s">
        <v>268</v>
      </c>
      <c r="T39" t="s">
        <v>5</v>
      </c>
      <c r="U39" t="s">
        <v>98</v>
      </c>
      <c r="V39">
        <v>30000000</v>
      </c>
      <c r="W39">
        <v>1500000</v>
      </c>
      <c r="X39" t="s">
        <v>6</v>
      </c>
      <c r="Y39"/>
      <c r="Z39"/>
      <c r="AA39">
        <v>8.7867279052734375</v>
      </c>
      <c r="AB39">
        <v>0.8658900260925293</v>
      </c>
      <c r="AC39">
        <v>0</v>
      </c>
      <c r="AD39">
        <v>829</v>
      </c>
      <c r="AE39">
        <v>7225</v>
      </c>
      <c r="AF39">
        <v>767</v>
      </c>
      <c r="AG39">
        <v>514</v>
      </c>
      <c r="AH39">
        <v>1455</v>
      </c>
      <c r="AI39">
        <v>1455</v>
      </c>
      <c r="AJ39">
        <v>8</v>
      </c>
      <c r="AK39">
        <v>1</v>
      </c>
      <c r="AL39">
        <v>31</v>
      </c>
      <c r="AM39">
        <v>1</v>
      </c>
      <c r="AN39">
        <v>37.849395751953118</v>
      </c>
      <c r="AO39"/>
      <c r="AP39"/>
      <c r="AQ39"/>
      <c r="AR39"/>
      <c r="AS39"/>
      <c r="AT39"/>
      <c r="AU39"/>
      <c r="AV39"/>
      <c r="AW39"/>
      <c r="AX39"/>
      <c r="AY39"/>
      <c r="AZ39"/>
      <c r="BA39"/>
      <c r="BB39"/>
      <c r="BC39"/>
      <c r="BD39"/>
      <c r="BE39"/>
      <c r="BF39"/>
      <c r="BG39" t="s">
        <v>5</v>
      </c>
      <c r="BH39"/>
      <c r="BI39"/>
      <c r="BJ39" t="s">
        <v>5</v>
      </c>
      <c r="BK39"/>
      <c r="BL39">
        <v>0</v>
      </c>
      <c r="BM39"/>
      <c r="BN39" t="s">
        <v>5</v>
      </c>
      <c r="BO39" t="s">
        <v>2518</v>
      </c>
      <c r="BP39" t="s">
        <v>2518</v>
      </c>
      <c r="BQ39" t="s">
        <v>2518</v>
      </c>
      <c r="BR39"/>
      <c r="BS39" t="s">
        <v>6</v>
      </c>
      <c r="BT39" t="s">
        <v>2518</v>
      </c>
      <c r="BU39" t="s">
        <v>2518</v>
      </c>
      <c r="BV39" t="s">
        <v>2518</v>
      </c>
      <c r="BW39"/>
      <c r="BX39" t="s">
        <v>6</v>
      </c>
      <c r="BY39" t="s">
        <v>7</v>
      </c>
      <c r="BZ39" t="s">
        <v>2518</v>
      </c>
      <c r="CA39"/>
      <c r="CB39" t="s">
        <v>5</v>
      </c>
      <c r="CC39">
        <v>41911.656409170901</v>
      </c>
      <c r="CD39">
        <v>36862851.51555077</v>
      </c>
      <c r="CE39" s="313" t="s">
        <v>11891</v>
      </c>
    </row>
    <row r="40" spans="1:83" ht="15" x14ac:dyDescent="0.25">
      <c r="A40" t="s">
        <v>3392</v>
      </c>
      <c r="B40" t="s">
        <v>3393</v>
      </c>
      <c r="C40" t="s">
        <v>3394</v>
      </c>
      <c r="D40">
        <v>8</v>
      </c>
      <c r="E40" t="s">
        <v>3395</v>
      </c>
      <c r="F40" t="s">
        <v>3396</v>
      </c>
      <c r="G40" t="s">
        <v>3397</v>
      </c>
      <c r="H40" t="s">
        <v>3398</v>
      </c>
      <c r="I40" t="s">
        <v>3399</v>
      </c>
      <c r="J40" t="s">
        <v>3400</v>
      </c>
      <c r="K40" t="s">
        <v>3401</v>
      </c>
      <c r="L40">
        <v>100.20899963378911</v>
      </c>
      <c r="M40" t="s">
        <v>6</v>
      </c>
      <c r="N40" t="s">
        <v>5</v>
      </c>
      <c r="O40" t="s">
        <v>6</v>
      </c>
      <c r="P40" t="s">
        <v>5</v>
      </c>
      <c r="Q40" t="s">
        <v>5</v>
      </c>
      <c r="R40" t="s">
        <v>3402</v>
      </c>
      <c r="S40" t="s">
        <v>3402</v>
      </c>
      <c r="T40" t="s">
        <v>5</v>
      </c>
      <c r="U40" t="s">
        <v>98</v>
      </c>
      <c r="V40">
        <v>1400000</v>
      </c>
      <c r="W40">
        <v>1400000</v>
      </c>
      <c r="X40" t="s">
        <v>6</v>
      </c>
      <c r="Y40" t="s">
        <v>3403</v>
      </c>
      <c r="Z40"/>
      <c r="AA40"/>
      <c r="AB40"/>
      <c r="AC40"/>
      <c r="AD40"/>
      <c r="AE40"/>
      <c r="AF40"/>
      <c r="AG40"/>
      <c r="AH40"/>
      <c r="AI40"/>
      <c r="AJ40"/>
      <c r="AK40"/>
      <c r="AL40"/>
      <c r="AM40"/>
      <c r="AN40"/>
      <c r="AO40"/>
      <c r="AP40"/>
      <c r="AQ40"/>
      <c r="AR40"/>
      <c r="AS40"/>
      <c r="AT40"/>
      <c r="AU40"/>
      <c r="AV40"/>
      <c r="AW40"/>
      <c r="AX40"/>
      <c r="AY40"/>
      <c r="AZ40"/>
      <c r="BA40"/>
      <c r="BB40"/>
      <c r="BC40"/>
      <c r="BD40"/>
      <c r="BE40"/>
      <c r="BF40" t="s">
        <v>1100</v>
      </c>
      <c r="BG40" t="s">
        <v>5</v>
      </c>
      <c r="BH40" t="s">
        <v>1020</v>
      </c>
      <c r="BI40" t="s">
        <v>5</v>
      </c>
      <c r="BJ40" t="s">
        <v>5</v>
      </c>
      <c r="BK40" t="s">
        <v>1020</v>
      </c>
      <c r="BL40">
        <v>0</v>
      </c>
      <c r="BM40"/>
      <c r="BN40" t="s">
        <v>6</v>
      </c>
      <c r="BO40" t="s">
        <v>3404</v>
      </c>
      <c r="BP40" t="s">
        <v>3405</v>
      </c>
      <c r="BQ40" t="s">
        <v>1585</v>
      </c>
      <c r="BR40" t="s">
        <v>1585</v>
      </c>
      <c r="BS40" t="s">
        <v>6</v>
      </c>
      <c r="BT40" t="s">
        <v>1585</v>
      </c>
      <c r="BU40" t="s">
        <v>1585</v>
      </c>
      <c r="BV40" t="s">
        <v>1585</v>
      </c>
      <c r="BW40" t="s">
        <v>1585</v>
      </c>
      <c r="BX40" t="s">
        <v>6</v>
      </c>
      <c r="BY40" t="s">
        <v>3406</v>
      </c>
      <c r="BZ40"/>
      <c r="CA40"/>
      <c r="CB40" t="s">
        <v>5</v>
      </c>
      <c r="CC40">
        <v>276405.47643026192</v>
      </c>
      <c r="CD40">
        <v>259539129.03836969</v>
      </c>
      <c r="CE40" s="313" t="s">
        <v>11891</v>
      </c>
    </row>
    <row r="41" spans="1:83" ht="15" x14ac:dyDescent="0.25">
      <c r="A41" t="s">
        <v>3418</v>
      </c>
      <c r="B41" t="s">
        <v>3419</v>
      </c>
      <c r="C41" t="s">
        <v>3420</v>
      </c>
      <c r="D41">
        <v>11</v>
      </c>
      <c r="E41" t="s">
        <v>3411</v>
      </c>
      <c r="F41" t="s">
        <v>3412</v>
      </c>
      <c r="G41" t="s">
        <v>3413</v>
      </c>
      <c r="H41"/>
      <c r="I41"/>
      <c r="J41" t="s">
        <v>3414</v>
      </c>
      <c r="K41" t="s">
        <v>3421</v>
      </c>
      <c r="L41">
        <v>6010.3671875</v>
      </c>
      <c r="M41" t="s">
        <v>6</v>
      </c>
      <c r="N41" t="s">
        <v>6</v>
      </c>
      <c r="O41" t="s">
        <v>5</v>
      </c>
      <c r="P41" t="s">
        <v>5</v>
      </c>
      <c r="Q41" t="s">
        <v>5</v>
      </c>
      <c r="R41" t="s">
        <v>3416</v>
      </c>
      <c r="S41" t="s">
        <v>3416</v>
      </c>
      <c r="T41" t="s">
        <v>5</v>
      </c>
      <c r="U41" t="s">
        <v>98</v>
      </c>
      <c r="V41">
        <v>1250000</v>
      </c>
      <c r="W41">
        <v>1250000</v>
      </c>
      <c r="X41" t="s">
        <v>5</v>
      </c>
      <c r="Y41"/>
      <c r="Z41"/>
      <c r="AA41">
        <v>1166.19873046875</v>
      </c>
      <c r="AB41">
        <v>194.1005859375</v>
      </c>
      <c r="AC41">
        <v>1.266889810562134</v>
      </c>
      <c r="AD41">
        <v>27069</v>
      </c>
      <c r="AE41">
        <v>18447</v>
      </c>
      <c r="AF41">
        <v>18879</v>
      </c>
      <c r="AG41">
        <v>42522</v>
      </c>
      <c r="AH41">
        <v>62638</v>
      </c>
      <c r="AI41">
        <v>62638</v>
      </c>
      <c r="AJ41">
        <v>136</v>
      </c>
      <c r="AK41">
        <v>661</v>
      </c>
      <c r="AL41">
        <v>935</v>
      </c>
      <c r="AM41"/>
      <c r="AN41">
        <v>360251.3125</v>
      </c>
      <c r="AO41"/>
      <c r="AP41"/>
      <c r="AQ41"/>
      <c r="AR41"/>
      <c r="AS41"/>
      <c r="AT41"/>
      <c r="AU41"/>
      <c r="AV41"/>
      <c r="AW41"/>
      <c r="AX41"/>
      <c r="AY41"/>
      <c r="AZ41"/>
      <c r="BA41"/>
      <c r="BB41"/>
      <c r="BC41"/>
      <c r="BD41"/>
      <c r="BE41"/>
      <c r="BF41" t="s">
        <v>3409</v>
      </c>
      <c r="BG41" t="s">
        <v>5</v>
      </c>
      <c r="BH41" t="s">
        <v>1020</v>
      </c>
      <c r="BI41"/>
      <c r="BJ41" t="s">
        <v>5</v>
      </c>
      <c r="BK41" t="s">
        <v>1020</v>
      </c>
      <c r="BL41"/>
      <c r="BM41"/>
      <c r="BN41" t="s">
        <v>5</v>
      </c>
      <c r="BO41"/>
      <c r="BP41"/>
      <c r="BQ41"/>
      <c r="BR41"/>
      <c r="BS41" t="s">
        <v>6</v>
      </c>
      <c r="BT41"/>
      <c r="BU41"/>
      <c r="BV41"/>
      <c r="BW41"/>
      <c r="BX41" t="s">
        <v>6</v>
      </c>
      <c r="BY41" t="s">
        <v>3417</v>
      </c>
      <c r="BZ41"/>
      <c r="CA41"/>
      <c r="CB41" t="s">
        <v>5</v>
      </c>
      <c r="CC41">
        <v>1159993.5086232999</v>
      </c>
      <c r="CD41">
        <v>15566779773.771799</v>
      </c>
      <c r="CE41" s="313" t="s">
        <v>11891</v>
      </c>
    </row>
    <row r="42" spans="1:83" ht="15" x14ac:dyDescent="0.25">
      <c r="A42" s="337" t="s">
        <v>4549</v>
      </c>
      <c r="B42" s="337" t="s">
        <v>4550</v>
      </c>
      <c r="C42" s="337" t="s">
        <v>4551</v>
      </c>
      <c r="D42" s="337">
        <v>3</v>
      </c>
      <c r="E42" s="337" t="s">
        <v>1771</v>
      </c>
      <c r="F42" s="337" t="s">
        <v>2091</v>
      </c>
      <c r="G42" s="337" t="s">
        <v>1982</v>
      </c>
      <c r="H42" s="337" t="s">
        <v>4552</v>
      </c>
      <c r="I42" s="337" t="s">
        <v>12795</v>
      </c>
      <c r="J42" s="337" t="s">
        <v>12796</v>
      </c>
      <c r="K42" s="337" t="s">
        <v>1793</v>
      </c>
      <c r="L42" s="337">
        <v>8.9960203170776367</v>
      </c>
      <c r="M42" s="337" t="s">
        <v>6</v>
      </c>
      <c r="N42" s="337" t="s">
        <v>5</v>
      </c>
      <c r="O42" s="337" t="s">
        <v>5</v>
      </c>
      <c r="P42" s="337" t="s">
        <v>5</v>
      </c>
      <c r="Q42" s="337" t="s">
        <v>5</v>
      </c>
      <c r="R42" s="337" t="s">
        <v>4553</v>
      </c>
      <c r="S42" s="337" t="s">
        <v>4554</v>
      </c>
      <c r="T42" s="337" t="s">
        <v>5</v>
      </c>
      <c r="U42" s="337" t="s">
        <v>98</v>
      </c>
      <c r="V42" s="337">
        <v>1045000</v>
      </c>
      <c r="W42" s="337">
        <v>1045000</v>
      </c>
      <c r="X42" s="337" t="s">
        <v>6</v>
      </c>
      <c r="Y42" s="337" t="s">
        <v>4555</v>
      </c>
      <c r="Z42" s="337"/>
      <c r="AA42" s="337">
        <v>1.059999942779541</v>
      </c>
      <c r="AB42" s="337"/>
      <c r="AC42" s="337">
        <v>1.9562380313873291</v>
      </c>
      <c r="AD42" s="337">
        <v>6</v>
      </c>
      <c r="AE42" s="337"/>
      <c r="AF42" s="337">
        <v>6</v>
      </c>
      <c r="AG42" s="337">
        <v>18165</v>
      </c>
      <c r="AH42" s="337">
        <v>25847</v>
      </c>
      <c r="AI42" s="337">
        <v>25847</v>
      </c>
      <c r="AJ42" s="337"/>
      <c r="AK42" s="337"/>
      <c r="AL42" s="337"/>
      <c r="AM42" s="337"/>
      <c r="AN42" s="337"/>
      <c r="AO42" s="337"/>
      <c r="AP42" s="337"/>
      <c r="AQ42" s="337"/>
      <c r="AR42" s="337"/>
      <c r="AS42" s="337">
        <v>6</v>
      </c>
      <c r="AT42" s="337">
        <v>6</v>
      </c>
      <c r="AU42" s="337">
        <v>6</v>
      </c>
      <c r="AV42" s="337">
        <v>16</v>
      </c>
      <c r="AW42" s="337"/>
      <c r="AX42" s="337"/>
      <c r="AY42" s="337"/>
      <c r="AZ42" s="337"/>
      <c r="BA42" s="337"/>
      <c r="BB42" s="337"/>
      <c r="BC42" s="337"/>
      <c r="BD42" s="337"/>
      <c r="BE42" s="337">
        <v>175000</v>
      </c>
      <c r="BF42" s="337"/>
      <c r="BG42" s="337" t="s">
        <v>5</v>
      </c>
      <c r="BH42" s="337" t="s">
        <v>1777</v>
      </c>
      <c r="BI42" s="337"/>
      <c r="BJ42" s="337" t="s">
        <v>5</v>
      </c>
      <c r="BK42" s="337"/>
      <c r="BL42" s="337">
        <v>0</v>
      </c>
      <c r="BM42" s="337"/>
      <c r="BN42" s="337" t="s">
        <v>5</v>
      </c>
      <c r="BO42" s="337"/>
      <c r="BP42" s="337"/>
      <c r="BQ42" s="337"/>
      <c r="BR42" s="337"/>
      <c r="BS42" s="337" t="s">
        <v>5</v>
      </c>
      <c r="BT42" s="337"/>
      <c r="BU42" s="337"/>
      <c r="BV42" s="337"/>
      <c r="BW42" s="337"/>
      <c r="BX42" s="337" t="s">
        <v>6</v>
      </c>
      <c r="BY42" s="337" t="s">
        <v>1101</v>
      </c>
      <c r="BZ42" s="337"/>
      <c r="CB42" s="337" t="s">
        <v>5</v>
      </c>
      <c r="CC42" s="337">
        <v>27398.604133488439</v>
      </c>
      <c r="CD42" s="337">
        <v>23299589.21721217</v>
      </c>
      <c r="CE42" s="313" t="s">
        <v>11891</v>
      </c>
    </row>
    <row r="43" spans="1:83" ht="15" x14ac:dyDescent="0.25">
      <c r="A43" s="337" t="s">
        <v>12811</v>
      </c>
      <c r="B43" s="337" t="s">
        <v>12381</v>
      </c>
      <c r="C43" s="337" t="s">
        <v>12374</v>
      </c>
      <c r="D43" s="337">
        <v>3</v>
      </c>
      <c r="E43" s="337" t="s">
        <v>1771</v>
      </c>
      <c r="F43" s="337" t="s">
        <v>2644</v>
      </c>
      <c r="G43" s="337" t="s">
        <v>12800</v>
      </c>
      <c r="H43" s="337" t="s">
        <v>12806</v>
      </c>
      <c r="I43" s="337" t="s">
        <v>12807</v>
      </c>
      <c r="J43" s="337" t="s">
        <v>12808</v>
      </c>
      <c r="K43" s="337" t="s">
        <v>12809</v>
      </c>
      <c r="L43" s="337">
        <v>141.4031066894531</v>
      </c>
      <c r="M43" s="337" t="s">
        <v>6</v>
      </c>
      <c r="N43" s="337" t="s">
        <v>5</v>
      </c>
      <c r="O43" s="337" t="s">
        <v>6</v>
      </c>
      <c r="P43" s="337" t="s">
        <v>5</v>
      </c>
      <c r="Q43" s="337" t="s">
        <v>5</v>
      </c>
      <c r="R43" s="337" t="s">
        <v>2649</v>
      </c>
      <c r="S43" s="337" t="s">
        <v>2649</v>
      </c>
      <c r="T43" s="337" t="s">
        <v>5</v>
      </c>
      <c r="U43" s="337" t="s">
        <v>98</v>
      </c>
      <c r="V43" s="337">
        <v>1024000</v>
      </c>
      <c r="W43" s="337">
        <v>1024000</v>
      </c>
      <c r="X43" s="337" t="s">
        <v>6</v>
      </c>
      <c r="Y43" s="337"/>
      <c r="Z43" s="337"/>
      <c r="AA43" s="337">
        <v>77.986763000488281</v>
      </c>
      <c r="AB43" s="337">
        <v>14.151960372924799</v>
      </c>
      <c r="AC43" s="337"/>
      <c r="AD43" s="337">
        <v>1471</v>
      </c>
      <c r="AE43" s="337">
        <v>1531</v>
      </c>
      <c r="AF43" s="337">
        <v>832</v>
      </c>
      <c r="AG43" s="337">
        <v>0</v>
      </c>
      <c r="AH43" s="337">
        <v>0</v>
      </c>
      <c r="AI43" s="337">
        <v>0</v>
      </c>
      <c r="AJ43" s="337">
        <v>3</v>
      </c>
      <c r="AK43" s="337">
        <v>0</v>
      </c>
      <c r="AL43" s="337">
        <v>29</v>
      </c>
      <c r="AM43" s="337">
        <v>0</v>
      </c>
      <c r="AN43" s="337">
        <v>5696.05517578125</v>
      </c>
      <c r="AO43" s="337"/>
      <c r="AP43" s="337"/>
      <c r="AQ43" s="337"/>
      <c r="AR43" s="337"/>
      <c r="AS43" s="337"/>
      <c r="AT43" s="337"/>
      <c r="AU43" s="337"/>
      <c r="AV43" s="337"/>
      <c r="AW43" s="337"/>
      <c r="AX43" s="337"/>
      <c r="AY43" s="337"/>
      <c r="AZ43" s="337"/>
      <c r="BA43" s="337"/>
      <c r="BB43" s="337"/>
      <c r="BC43" s="337"/>
      <c r="BD43" s="337"/>
      <c r="BE43" s="337"/>
      <c r="BF43" s="337" t="s">
        <v>12382</v>
      </c>
      <c r="BG43" s="337" t="s">
        <v>5</v>
      </c>
      <c r="BH43" s="337" t="s">
        <v>1777</v>
      </c>
      <c r="BI43" s="337"/>
      <c r="BJ43" s="337" t="s">
        <v>5</v>
      </c>
      <c r="BK43" s="337"/>
      <c r="BL43" s="337">
        <v>0</v>
      </c>
      <c r="BM43" s="337"/>
      <c r="BN43" s="337" t="s">
        <v>5</v>
      </c>
      <c r="BO43" s="337"/>
      <c r="BP43" s="337"/>
      <c r="BQ43" s="337"/>
      <c r="BR43" s="337"/>
      <c r="BS43" s="337" t="s">
        <v>5</v>
      </c>
      <c r="BT43" s="337"/>
      <c r="BU43" s="337"/>
      <c r="BV43" s="337"/>
      <c r="BW43" s="337"/>
      <c r="BX43" s="337" t="s">
        <v>6</v>
      </c>
      <c r="BY43" s="337" t="s">
        <v>1101</v>
      </c>
      <c r="BZ43" s="337"/>
      <c r="CB43" s="337" t="s">
        <v>5</v>
      </c>
      <c r="CC43" s="337">
        <v>130145.9713381021</v>
      </c>
      <c r="CD43" s="337">
        <v>366233820.06667483</v>
      </c>
      <c r="CE43" s="313" t="s">
        <v>11902</v>
      </c>
    </row>
    <row r="44" spans="1:83" ht="15" x14ac:dyDescent="0.25">
      <c r="A44" t="s">
        <v>12461</v>
      </c>
      <c r="B44" t="s">
        <v>12462</v>
      </c>
      <c r="C44" t="s">
        <v>3394</v>
      </c>
      <c r="D44">
        <v>8</v>
      </c>
      <c r="E44" t="s">
        <v>3395</v>
      </c>
      <c r="F44" t="s">
        <v>4883</v>
      </c>
      <c r="G44" t="s">
        <v>4881</v>
      </c>
      <c r="H44" t="s">
        <v>12463</v>
      </c>
      <c r="I44" t="s">
        <v>12464</v>
      </c>
      <c r="J44" t="s">
        <v>4882</v>
      </c>
      <c r="K44" t="s">
        <v>3401</v>
      </c>
      <c r="L44">
        <v>45.107498168945313</v>
      </c>
      <c r="M44" t="s">
        <v>6</v>
      </c>
      <c r="N44" t="s">
        <v>5</v>
      </c>
      <c r="O44" t="s">
        <v>6</v>
      </c>
      <c r="P44" t="s">
        <v>5</v>
      </c>
      <c r="Q44" t="s">
        <v>5</v>
      </c>
      <c r="R44" t="s">
        <v>10147</v>
      </c>
      <c r="S44" t="s">
        <v>10147</v>
      </c>
      <c r="T44" t="s">
        <v>5</v>
      </c>
      <c r="U44" t="s">
        <v>98</v>
      </c>
      <c r="V44">
        <v>1000000</v>
      </c>
      <c r="W44">
        <v>1000000</v>
      </c>
      <c r="X44" t="s">
        <v>6</v>
      </c>
      <c r="Y44" t="s">
        <v>3403</v>
      </c>
      <c r="Z44"/>
      <c r="AA44"/>
      <c r="AB44"/>
      <c r="AC44"/>
      <c r="AD44"/>
      <c r="AE44"/>
      <c r="AF44"/>
      <c r="AG44"/>
      <c r="AH44"/>
      <c r="AI44"/>
      <c r="AJ44"/>
      <c r="AK44"/>
      <c r="AL44"/>
      <c r="AM44"/>
      <c r="AN44"/>
      <c r="AO44"/>
      <c r="AP44"/>
      <c r="AQ44"/>
      <c r="AR44"/>
      <c r="AS44"/>
      <c r="AT44"/>
      <c r="AU44"/>
      <c r="AV44"/>
      <c r="AW44"/>
      <c r="AX44"/>
      <c r="AY44"/>
      <c r="AZ44"/>
      <c r="BA44"/>
      <c r="BB44"/>
      <c r="BC44"/>
      <c r="BD44"/>
      <c r="BE44"/>
      <c r="BF44" t="s">
        <v>1100</v>
      </c>
      <c r="BG44" t="s">
        <v>5</v>
      </c>
      <c r="BH44" t="s">
        <v>1020</v>
      </c>
      <c r="BI44" t="s">
        <v>5</v>
      </c>
      <c r="BJ44" t="s">
        <v>5</v>
      </c>
      <c r="BK44" t="s">
        <v>1020</v>
      </c>
      <c r="BL44">
        <v>0</v>
      </c>
      <c r="BM44"/>
      <c r="BN44" t="s">
        <v>6</v>
      </c>
      <c r="BO44" t="s">
        <v>12465</v>
      </c>
      <c r="BP44" t="s">
        <v>12466</v>
      </c>
      <c r="BQ44" t="s">
        <v>1585</v>
      </c>
      <c r="BR44" t="s">
        <v>1585</v>
      </c>
      <c r="BS44" t="s">
        <v>6</v>
      </c>
      <c r="BT44" t="s">
        <v>1585</v>
      </c>
      <c r="BU44" t="s">
        <v>1585</v>
      </c>
      <c r="BV44" t="s">
        <v>1585</v>
      </c>
      <c r="BW44" t="s">
        <v>1585</v>
      </c>
      <c r="BX44" t="s">
        <v>6</v>
      </c>
      <c r="BY44" t="s">
        <v>3406</v>
      </c>
      <c r="BZ44"/>
      <c r="CA44"/>
      <c r="CB44" t="s">
        <v>5</v>
      </c>
      <c r="CC44">
        <v>117812.8544061461</v>
      </c>
      <c r="CD44">
        <v>116827935.07426269</v>
      </c>
      <c r="CE44" s="313" t="s">
        <v>11902</v>
      </c>
    </row>
    <row r="45" spans="1:83" ht="15" x14ac:dyDescent="0.25">
      <c r="A45" t="s">
        <v>4921</v>
      </c>
      <c r="B45" t="s">
        <v>4922</v>
      </c>
      <c r="C45" t="s">
        <v>4923</v>
      </c>
      <c r="D45">
        <v>8</v>
      </c>
      <c r="E45" t="s">
        <v>3395</v>
      </c>
      <c r="F45" t="s">
        <v>4886</v>
      </c>
      <c r="G45" t="s">
        <v>4887</v>
      </c>
      <c r="H45" t="s">
        <v>4924</v>
      </c>
      <c r="I45" t="s">
        <v>4925</v>
      </c>
      <c r="J45" t="s">
        <v>4880</v>
      </c>
      <c r="K45" t="s">
        <v>3401</v>
      </c>
      <c r="L45">
        <v>12.16219997406006</v>
      </c>
      <c r="M45" t="s">
        <v>6</v>
      </c>
      <c r="N45" t="s">
        <v>5</v>
      </c>
      <c r="O45" t="s">
        <v>6</v>
      </c>
      <c r="P45" t="s">
        <v>5</v>
      </c>
      <c r="Q45" t="s">
        <v>5</v>
      </c>
      <c r="R45" t="s">
        <v>4926</v>
      </c>
      <c r="S45" t="s">
        <v>4926</v>
      </c>
      <c r="T45" t="s">
        <v>5</v>
      </c>
      <c r="U45" t="s">
        <v>4</v>
      </c>
      <c r="V45">
        <v>1000000</v>
      </c>
      <c r="W45">
        <v>1000000</v>
      </c>
      <c r="X45" t="s">
        <v>6</v>
      </c>
      <c r="Y45" t="s">
        <v>4927</v>
      </c>
      <c r="Z45"/>
      <c r="AA45"/>
      <c r="AB45"/>
      <c r="AC45"/>
      <c r="AD45"/>
      <c r="AE45"/>
      <c r="AF45"/>
      <c r="AG45"/>
      <c r="AH45"/>
      <c r="AI45"/>
      <c r="AJ45"/>
      <c r="AK45"/>
      <c r="AL45"/>
      <c r="AM45"/>
      <c r="AN45"/>
      <c r="AO45"/>
      <c r="AP45"/>
      <c r="AQ45"/>
      <c r="AR45"/>
      <c r="AS45"/>
      <c r="AT45"/>
      <c r="AU45"/>
      <c r="AV45"/>
      <c r="AW45"/>
      <c r="AX45"/>
      <c r="AY45"/>
      <c r="AZ45"/>
      <c r="BA45"/>
      <c r="BB45"/>
      <c r="BC45"/>
      <c r="BD45"/>
      <c r="BE45"/>
      <c r="BF45" t="s">
        <v>4928</v>
      </c>
      <c r="BG45" t="s">
        <v>5</v>
      </c>
      <c r="BH45" t="s">
        <v>1020</v>
      </c>
      <c r="BI45" t="s">
        <v>5</v>
      </c>
      <c r="BJ45" t="s">
        <v>5</v>
      </c>
      <c r="BK45" t="s">
        <v>1020</v>
      </c>
      <c r="BL45">
        <v>100</v>
      </c>
      <c r="BM45"/>
      <c r="BN45" t="s">
        <v>6</v>
      </c>
      <c r="BO45" t="s">
        <v>1585</v>
      </c>
      <c r="BP45" t="s">
        <v>4890</v>
      </c>
      <c r="BQ45" t="s">
        <v>1585</v>
      </c>
      <c r="BR45" t="s">
        <v>1585</v>
      </c>
      <c r="BS45" t="s">
        <v>6</v>
      </c>
      <c r="BT45" t="s">
        <v>1585</v>
      </c>
      <c r="BU45" t="s">
        <v>1585</v>
      </c>
      <c r="BV45" t="s">
        <v>1585</v>
      </c>
      <c r="BW45" t="s">
        <v>1585</v>
      </c>
      <c r="BX45" t="s">
        <v>6</v>
      </c>
      <c r="BY45" t="s">
        <v>3406</v>
      </c>
      <c r="BZ45"/>
      <c r="CA45"/>
      <c r="CB45" t="s">
        <v>6</v>
      </c>
      <c r="CC45">
        <v>95224.319616968351</v>
      </c>
      <c r="CD45">
        <v>31499867.604468212</v>
      </c>
      <c r="CE45" s="313" t="s">
        <v>11891</v>
      </c>
    </row>
    <row r="46" spans="1:83" ht="15" x14ac:dyDescent="0.25">
      <c r="A46" t="s">
        <v>4938</v>
      </c>
      <c r="B46" t="s">
        <v>4939</v>
      </c>
      <c r="C46" t="s">
        <v>3394</v>
      </c>
      <c r="D46">
        <v>8</v>
      </c>
      <c r="E46" t="s">
        <v>3395</v>
      </c>
      <c r="F46" t="s">
        <v>4883</v>
      </c>
      <c r="G46" t="s">
        <v>4881</v>
      </c>
      <c r="H46" t="s">
        <v>4935</v>
      </c>
      <c r="I46" t="s">
        <v>4936</v>
      </c>
      <c r="J46" t="s">
        <v>4882</v>
      </c>
      <c r="K46" t="s">
        <v>3401</v>
      </c>
      <c r="L46">
        <v>50.618598937988281</v>
      </c>
      <c r="M46" t="s">
        <v>6</v>
      </c>
      <c r="N46" t="s">
        <v>5</v>
      </c>
      <c r="O46" t="s">
        <v>6</v>
      </c>
      <c r="P46" t="s">
        <v>5</v>
      </c>
      <c r="Q46" t="s">
        <v>5</v>
      </c>
      <c r="R46" t="s">
        <v>4937</v>
      </c>
      <c r="S46" t="s">
        <v>4937</v>
      </c>
      <c r="T46" t="s">
        <v>5</v>
      </c>
      <c r="U46" t="s">
        <v>98</v>
      </c>
      <c r="V46">
        <v>1000000</v>
      </c>
      <c r="W46">
        <v>1000000</v>
      </c>
      <c r="X46" t="s">
        <v>6</v>
      </c>
      <c r="Y46" t="s">
        <v>3403</v>
      </c>
      <c r="Z46"/>
      <c r="AA46"/>
      <c r="AB46"/>
      <c r="AC46"/>
      <c r="AD46"/>
      <c r="AE46"/>
      <c r="AF46"/>
      <c r="AG46"/>
      <c r="AH46"/>
      <c r="AI46"/>
      <c r="AJ46"/>
      <c r="AK46"/>
      <c r="AL46"/>
      <c r="AM46"/>
      <c r="AN46"/>
      <c r="AO46"/>
      <c r="AP46"/>
      <c r="AQ46"/>
      <c r="AR46"/>
      <c r="AS46"/>
      <c r="AT46"/>
      <c r="AU46"/>
      <c r="AV46"/>
      <c r="AW46"/>
      <c r="AX46"/>
      <c r="AY46"/>
      <c r="AZ46"/>
      <c r="BA46"/>
      <c r="BB46"/>
      <c r="BC46"/>
      <c r="BD46"/>
      <c r="BE46"/>
      <c r="BF46" t="s">
        <v>1100</v>
      </c>
      <c r="BG46" t="s">
        <v>5</v>
      </c>
      <c r="BH46" t="s">
        <v>1020</v>
      </c>
      <c r="BI46" t="s">
        <v>5</v>
      </c>
      <c r="BJ46" t="s">
        <v>5</v>
      </c>
      <c r="BK46" t="s">
        <v>1020</v>
      </c>
      <c r="BL46">
        <v>0</v>
      </c>
      <c r="BM46"/>
      <c r="BN46" t="s">
        <v>6</v>
      </c>
      <c r="BO46" t="s">
        <v>4940</v>
      </c>
      <c r="BP46" t="s">
        <v>4941</v>
      </c>
      <c r="BQ46" t="s">
        <v>1585</v>
      </c>
      <c r="BR46" t="s">
        <v>1585</v>
      </c>
      <c r="BS46" t="s">
        <v>6</v>
      </c>
      <c r="BT46" t="s">
        <v>1585</v>
      </c>
      <c r="BU46" t="s">
        <v>1585</v>
      </c>
      <c r="BV46" t="s">
        <v>1585</v>
      </c>
      <c r="BW46" t="s">
        <v>1585</v>
      </c>
      <c r="BX46" t="s">
        <v>6</v>
      </c>
      <c r="BY46" t="s">
        <v>3406</v>
      </c>
      <c r="BZ46"/>
      <c r="CA46"/>
      <c r="CB46" t="s">
        <v>5</v>
      </c>
      <c r="CC46">
        <v>111779.9238068678</v>
      </c>
      <c r="CD46">
        <v>131101681.70600779</v>
      </c>
      <c r="CE46" s="313" t="s">
        <v>11891</v>
      </c>
    </row>
    <row r="47" spans="1:83" ht="15" x14ac:dyDescent="0.25">
      <c r="A47" t="s">
        <v>12477</v>
      </c>
      <c r="B47" t="s">
        <v>12478</v>
      </c>
      <c r="C47" t="s">
        <v>12479</v>
      </c>
      <c r="D47">
        <v>8</v>
      </c>
      <c r="E47" t="s">
        <v>3395</v>
      </c>
      <c r="F47" t="s">
        <v>12480</v>
      </c>
      <c r="G47" t="s">
        <v>12481</v>
      </c>
      <c r="H47" t="s">
        <v>12482</v>
      </c>
      <c r="I47" t="s">
        <v>12483</v>
      </c>
      <c r="J47" t="s">
        <v>12484</v>
      </c>
      <c r="K47" t="s">
        <v>3401</v>
      </c>
      <c r="L47">
        <v>55.266193389892578</v>
      </c>
      <c r="M47" t="s">
        <v>6</v>
      </c>
      <c r="N47" t="s">
        <v>5</v>
      </c>
      <c r="O47" t="s">
        <v>5</v>
      </c>
      <c r="P47" t="s">
        <v>5</v>
      </c>
      <c r="Q47" t="s">
        <v>5</v>
      </c>
      <c r="R47" t="s">
        <v>10165</v>
      </c>
      <c r="S47" t="s">
        <v>10165</v>
      </c>
      <c r="T47" t="s">
        <v>5</v>
      </c>
      <c r="U47" t="s">
        <v>98</v>
      </c>
      <c r="V47">
        <v>1000000</v>
      </c>
      <c r="W47">
        <v>1000000</v>
      </c>
      <c r="X47" t="s">
        <v>6</v>
      </c>
      <c r="Y47" t="s">
        <v>3403</v>
      </c>
      <c r="Z47"/>
      <c r="AA47"/>
      <c r="AB47"/>
      <c r="AC47"/>
      <c r="AD47"/>
      <c r="AE47"/>
      <c r="AF47"/>
      <c r="AG47"/>
      <c r="AH47"/>
      <c r="AI47"/>
      <c r="AJ47"/>
      <c r="AK47"/>
      <c r="AL47"/>
      <c r="AM47"/>
      <c r="AN47"/>
      <c r="AO47"/>
      <c r="AP47"/>
      <c r="AQ47"/>
      <c r="AR47"/>
      <c r="AS47"/>
      <c r="AT47"/>
      <c r="AU47"/>
      <c r="AV47"/>
      <c r="AW47"/>
      <c r="AX47"/>
      <c r="AY47"/>
      <c r="AZ47"/>
      <c r="BA47"/>
      <c r="BB47"/>
      <c r="BC47"/>
      <c r="BD47"/>
      <c r="BE47"/>
      <c r="BF47" t="s">
        <v>12472</v>
      </c>
      <c r="BG47" t="s">
        <v>5</v>
      </c>
      <c r="BH47" t="s">
        <v>1020</v>
      </c>
      <c r="BI47" t="s">
        <v>5</v>
      </c>
      <c r="BJ47" t="s">
        <v>5</v>
      </c>
      <c r="BK47" t="s">
        <v>1020</v>
      </c>
      <c r="BL47">
        <v>0</v>
      </c>
      <c r="BM47"/>
      <c r="BN47" t="s">
        <v>5</v>
      </c>
      <c r="BO47"/>
      <c r="BP47"/>
      <c r="BQ47"/>
      <c r="BR47"/>
      <c r="BS47" t="s">
        <v>6</v>
      </c>
      <c r="BT47"/>
      <c r="BU47"/>
      <c r="BV47"/>
      <c r="BW47"/>
      <c r="BX47" t="s">
        <v>6</v>
      </c>
      <c r="BY47" t="s">
        <v>12473</v>
      </c>
      <c r="BZ47"/>
      <c r="CA47"/>
      <c r="CB47" t="s">
        <v>5</v>
      </c>
      <c r="CC47">
        <v>171852.81628087579</v>
      </c>
      <c r="CD47">
        <v>143138782.7228137</v>
      </c>
      <c r="CE47" s="313" t="s">
        <v>11902</v>
      </c>
    </row>
    <row r="48" spans="1:83" ht="15" x14ac:dyDescent="0.25">
      <c r="A48" t="s">
        <v>12515</v>
      </c>
      <c r="B48" t="s">
        <v>12516</v>
      </c>
      <c r="C48" t="s">
        <v>12517</v>
      </c>
      <c r="D48">
        <v>8</v>
      </c>
      <c r="E48" t="s">
        <v>3395</v>
      </c>
      <c r="F48" t="s">
        <v>12512</v>
      </c>
      <c r="G48" t="s">
        <v>4887</v>
      </c>
      <c r="H48" t="s">
        <v>4924</v>
      </c>
      <c r="I48" t="s">
        <v>12513</v>
      </c>
      <c r="J48" t="s">
        <v>4880</v>
      </c>
      <c r="K48" t="s">
        <v>3401</v>
      </c>
      <c r="L48">
        <v>25.595670700073239</v>
      </c>
      <c r="M48" t="s">
        <v>6</v>
      </c>
      <c r="N48" t="s">
        <v>5</v>
      </c>
      <c r="O48" t="s">
        <v>5</v>
      </c>
      <c r="P48" t="s">
        <v>5</v>
      </c>
      <c r="Q48" t="s">
        <v>5</v>
      </c>
      <c r="R48" t="s">
        <v>5622</v>
      </c>
      <c r="S48" t="s">
        <v>5622</v>
      </c>
      <c r="T48" t="s">
        <v>6</v>
      </c>
      <c r="U48" t="s">
        <v>98</v>
      </c>
      <c r="V48">
        <v>1000000</v>
      </c>
      <c r="W48">
        <v>1000000</v>
      </c>
      <c r="X48" t="s">
        <v>6</v>
      </c>
      <c r="Y48" t="s">
        <v>3403</v>
      </c>
      <c r="Z48"/>
      <c r="AA48"/>
      <c r="AB48"/>
      <c r="AC48"/>
      <c r="AD48"/>
      <c r="AE48"/>
      <c r="AF48"/>
      <c r="AG48"/>
      <c r="AH48"/>
      <c r="AI48"/>
      <c r="AJ48"/>
      <c r="AK48"/>
      <c r="AL48"/>
      <c r="AM48"/>
      <c r="AN48"/>
      <c r="AO48"/>
      <c r="AP48"/>
      <c r="AQ48"/>
      <c r="AR48"/>
      <c r="AS48"/>
      <c r="AT48"/>
      <c r="AU48"/>
      <c r="AV48"/>
      <c r="AW48"/>
      <c r="AX48"/>
      <c r="AY48"/>
      <c r="AZ48"/>
      <c r="BA48"/>
      <c r="BB48"/>
      <c r="BC48"/>
      <c r="BD48"/>
      <c r="BE48"/>
      <c r="BF48" t="s">
        <v>12472</v>
      </c>
      <c r="BG48" t="s">
        <v>5</v>
      </c>
      <c r="BH48" t="s">
        <v>1020</v>
      </c>
      <c r="BI48" t="s">
        <v>5</v>
      </c>
      <c r="BJ48" t="s">
        <v>5</v>
      </c>
      <c r="BK48" t="s">
        <v>1020</v>
      </c>
      <c r="BL48">
        <v>0</v>
      </c>
      <c r="BM48"/>
      <c r="BN48" t="s">
        <v>5</v>
      </c>
      <c r="BO48"/>
      <c r="BP48"/>
      <c r="BQ48"/>
      <c r="BR48"/>
      <c r="BS48" t="s">
        <v>6</v>
      </c>
      <c r="BT48"/>
      <c r="BU48"/>
      <c r="BV48"/>
      <c r="BW48"/>
      <c r="BX48" t="s">
        <v>6</v>
      </c>
      <c r="BY48" t="s">
        <v>12473</v>
      </c>
      <c r="BZ48"/>
      <c r="CA48"/>
      <c r="CB48" t="s">
        <v>5</v>
      </c>
      <c r="CC48">
        <v>99468.811097208993</v>
      </c>
      <c r="CD48">
        <v>66292481.547879197</v>
      </c>
      <c r="CE48" s="313" t="s">
        <v>11902</v>
      </c>
    </row>
    <row r="49" spans="1:83" ht="15" x14ac:dyDescent="0.25">
      <c r="A49" t="s">
        <v>3425</v>
      </c>
      <c r="B49" t="s">
        <v>28</v>
      </c>
      <c r="C49" t="s">
        <v>3426</v>
      </c>
      <c r="D49">
        <v>11</v>
      </c>
      <c r="E49" t="s">
        <v>3411</v>
      </c>
      <c r="F49" t="s">
        <v>3412</v>
      </c>
      <c r="G49" t="s">
        <v>3413</v>
      </c>
      <c r="H49"/>
      <c r="I49"/>
      <c r="J49" t="s">
        <v>3414</v>
      </c>
      <c r="K49" t="s">
        <v>3427</v>
      </c>
      <c r="L49">
        <v>6010.3671875</v>
      </c>
      <c r="M49" t="s">
        <v>6</v>
      </c>
      <c r="N49" t="s">
        <v>6</v>
      </c>
      <c r="O49" t="s">
        <v>5</v>
      </c>
      <c r="P49" t="s">
        <v>5</v>
      </c>
      <c r="Q49" t="s">
        <v>5</v>
      </c>
      <c r="R49" t="s">
        <v>3416</v>
      </c>
      <c r="S49" t="s">
        <v>3416</v>
      </c>
      <c r="T49" t="s">
        <v>5</v>
      </c>
      <c r="U49" t="s">
        <v>28</v>
      </c>
      <c r="V49">
        <v>9541000</v>
      </c>
      <c r="W49">
        <v>1000000</v>
      </c>
      <c r="X49" t="s">
        <v>5</v>
      </c>
      <c r="Y49"/>
      <c r="Z49"/>
      <c r="AA49">
        <v>1166.19873046875</v>
      </c>
      <c r="AB49">
        <v>194.1005859375</v>
      </c>
      <c r="AC49">
        <v>1.266889810562134</v>
      </c>
      <c r="AD49">
        <v>27069</v>
      </c>
      <c r="AE49">
        <v>18447</v>
      </c>
      <c r="AF49">
        <v>18879</v>
      </c>
      <c r="AG49">
        <v>42522</v>
      </c>
      <c r="AH49">
        <v>62638</v>
      </c>
      <c r="AI49">
        <v>62638</v>
      </c>
      <c r="AJ49">
        <v>136</v>
      </c>
      <c r="AK49">
        <v>661</v>
      </c>
      <c r="AL49">
        <v>935</v>
      </c>
      <c r="AM49"/>
      <c r="AN49">
        <v>360251.3125</v>
      </c>
      <c r="AO49"/>
      <c r="AP49"/>
      <c r="AQ49"/>
      <c r="AR49"/>
      <c r="AS49"/>
      <c r="AT49"/>
      <c r="AU49"/>
      <c r="AV49"/>
      <c r="AW49"/>
      <c r="AX49"/>
      <c r="AY49"/>
      <c r="AZ49"/>
      <c r="BA49"/>
      <c r="BB49"/>
      <c r="BC49"/>
      <c r="BD49"/>
      <c r="BE49"/>
      <c r="BF49" t="s">
        <v>3428</v>
      </c>
      <c r="BG49" t="s">
        <v>5</v>
      </c>
      <c r="BH49" t="s">
        <v>1020</v>
      </c>
      <c r="BI49"/>
      <c r="BJ49" t="s">
        <v>5</v>
      </c>
      <c r="BK49" t="s">
        <v>1020</v>
      </c>
      <c r="BL49"/>
      <c r="BM49"/>
      <c r="BN49" t="s">
        <v>5</v>
      </c>
      <c r="BO49"/>
      <c r="BP49"/>
      <c r="BQ49"/>
      <c r="BR49"/>
      <c r="BS49" t="s">
        <v>6</v>
      </c>
      <c r="BT49"/>
      <c r="BU49"/>
      <c r="BV49"/>
      <c r="BW49"/>
      <c r="BX49" t="s">
        <v>6</v>
      </c>
      <c r="BY49" t="s">
        <v>3417</v>
      </c>
      <c r="BZ49"/>
      <c r="CA49"/>
      <c r="CB49" t="s">
        <v>5</v>
      </c>
      <c r="CC49">
        <v>1159993.5086232999</v>
      </c>
      <c r="CD49">
        <v>15566779773.771799</v>
      </c>
      <c r="CE49" s="313" t="s">
        <v>11891</v>
      </c>
    </row>
    <row r="50" spans="1:83" ht="15" x14ac:dyDescent="0.25">
      <c r="A50" t="s">
        <v>1823</v>
      </c>
      <c r="B50" t="s">
        <v>1824</v>
      </c>
      <c r="C50" t="s">
        <v>1825</v>
      </c>
      <c r="D50">
        <v>3</v>
      </c>
      <c r="E50" t="s">
        <v>1771</v>
      </c>
      <c r="F50" t="s">
        <v>1816</v>
      </c>
      <c r="G50" t="s">
        <v>1817</v>
      </c>
      <c r="H50" t="s">
        <v>4374</v>
      </c>
      <c r="I50" t="s">
        <v>1810</v>
      </c>
      <c r="J50" t="s">
        <v>1811</v>
      </c>
      <c r="K50" t="s">
        <v>1826</v>
      </c>
      <c r="L50">
        <v>904.72467041015625</v>
      </c>
      <c r="M50" t="s">
        <v>6</v>
      </c>
      <c r="N50" t="s">
        <v>5</v>
      </c>
      <c r="O50" t="s">
        <v>5</v>
      </c>
      <c r="P50" t="s">
        <v>5</v>
      </c>
      <c r="Q50" t="s">
        <v>5</v>
      </c>
      <c r="R50" t="s">
        <v>4375</v>
      </c>
      <c r="S50" t="s">
        <v>1818</v>
      </c>
      <c r="T50" t="s">
        <v>5</v>
      </c>
      <c r="U50" t="s">
        <v>50</v>
      </c>
      <c r="V50">
        <v>1000000</v>
      </c>
      <c r="W50">
        <v>1000000</v>
      </c>
      <c r="X50" t="s">
        <v>6</v>
      </c>
      <c r="Y50"/>
      <c r="Z50">
        <v>100000</v>
      </c>
      <c r="AA50">
        <v>211.6976013183594</v>
      </c>
      <c r="AB50">
        <v>24.7795295715332</v>
      </c>
      <c r="AC50">
        <v>21.163450241088871</v>
      </c>
      <c r="AD50">
        <v>22225</v>
      </c>
      <c r="AE50">
        <v>17468</v>
      </c>
      <c r="AF50">
        <v>20521</v>
      </c>
      <c r="AG50">
        <v>105914</v>
      </c>
      <c r="AH50">
        <v>102118</v>
      </c>
      <c r="AI50">
        <v>105914</v>
      </c>
      <c r="AJ50">
        <v>369</v>
      </c>
      <c r="AK50">
        <v>387</v>
      </c>
      <c r="AL50">
        <v>791</v>
      </c>
      <c r="AM50"/>
      <c r="AN50">
        <v>31557.6796875</v>
      </c>
      <c r="AO50"/>
      <c r="AP50"/>
      <c r="AQ50"/>
      <c r="AR50"/>
      <c r="AS50"/>
      <c r="AT50"/>
      <c r="AU50"/>
      <c r="AV50"/>
      <c r="AW50"/>
      <c r="AX50"/>
      <c r="AY50"/>
      <c r="AZ50"/>
      <c r="BA50"/>
      <c r="BB50"/>
      <c r="BC50"/>
      <c r="BD50"/>
      <c r="BE50"/>
      <c r="BF50" t="s">
        <v>5</v>
      </c>
      <c r="BG50" t="s">
        <v>5</v>
      </c>
      <c r="BH50" t="s">
        <v>1777</v>
      </c>
      <c r="BI50"/>
      <c r="BJ50" t="s">
        <v>5</v>
      </c>
      <c r="BK50"/>
      <c r="BL50">
        <v>0</v>
      </c>
      <c r="BM50"/>
      <c r="BN50" t="s">
        <v>5</v>
      </c>
      <c r="BO50"/>
      <c r="BP50"/>
      <c r="BQ50"/>
      <c r="BR50"/>
      <c r="BS50" t="s">
        <v>5</v>
      </c>
      <c r="BT50"/>
      <c r="BU50"/>
      <c r="BV50"/>
      <c r="BW50" t="s">
        <v>1778</v>
      </c>
      <c r="BX50" t="s">
        <v>6</v>
      </c>
      <c r="BY50" t="s">
        <v>1101</v>
      </c>
      <c r="BZ50"/>
      <c r="CA50"/>
      <c r="CB50" t="s">
        <v>5</v>
      </c>
      <c r="CC50">
        <v>193516.21128033401</v>
      </c>
      <c r="CD50">
        <v>2343846455.8959241</v>
      </c>
      <c r="CE50" s="313" t="s">
        <v>11891</v>
      </c>
    </row>
    <row r="51" spans="1:83" ht="15" x14ac:dyDescent="0.25">
      <c r="A51" t="s">
        <v>11930</v>
      </c>
      <c r="B51" t="s">
        <v>11931</v>
      </c>
      <c r="C51" t="s">
        <v>11932</v>
      </c>
      <c r="D51">
        <v>15</v>
      </c>
      <c r="E51" t="s">
        <v>3847</v>
      </c>
      <c r="F51" t="s">
        <v>3864</v>
      </c>
      <c r="G51" t="s">
        <v>11896</v>
      </c>
      <c r="H51" t="s">
        <v>11897</v>
      </c>
      <c r="I51" t="s">
        <v>11898</v>
      </c>
      <c r="J51" t="s">
        <v>11899</v>
      </c>
      <c r="K51" t="s">
        <v>11933</v>
      </c>
      <c r="L51">
        <v>807.23931884765625</v>
      </c>
      <c r="M51" t="s">
        <v>5</v>
      </c>
      <c r="N51" t="s">
        <v>5</v>
      </c>
      <c r="O51" t="s">
        <v>6</v>
      </c>
      <c r="P51" t="s">
        <v>5</v>
      </c>
      <c r="Q51" t="s">
        <v>5</v>
      </c>
      <c r="R51" t="s">
        <v>11573</v>
      </c>
      <c r="S51" t="s">
        <v>11901</v>
      </c>
      <c r="T51" t="s">
        <v>6</v>
      </c>
      <c r="U51" t="s">
        <v>85</v>
      </c>
      <c r="V51">
        <v>1000000</v>
      </c>
      <c r="W51">
        <v>1000000</v>
      </c>
      <c r="X51" t="s">
        <v>6</v>
      </c>
      <c r="Y51"/>
      <c r="Z51">
        <v>0</v>
      </c>
      <c r="AA51">
        <v>374.6278076171875</v>
      </c>
      <c r="AB51">
        <v>557.8006591796875</v>
      </c>
      <c r="AC51">
        <v>2.348208904266357</v>
      </c>
      <c r="AD51">
        <v>75816</v>
      </c>
      <c r="AE51">
        <v>149258</v>
      </c>
      <c r="AF51">
        <v>61251</v>
      </c>
      <c r="AG51">
        <v>177730</v>
      </c>
      <c r="AH51">
        <v>244800</v>
      </c>
      <c r="AI51">
        <v>244800</v>
      </c>
      <c r="AJ51">
        <v>459</v>
      </c>
      <c r="AK51">
        <v>17</v>
      </c>
      <c r="AL51">
        <v>1840</v>
      </c>
      <c r="AM51">
        <v>5</v>
      </c>
      <c r="AN51">
        <v>334.99685668945313</v>
      </c>
      <c r="AO51"/>
      <c r="AP51"/>
      <c r="AQ51"/>
      <c r="AR51">
        <v>0</v>
      </c>
      <c r="AS51">
        <v>0</v>
      </c>
      <c r="AT51">
        <v>0</v>
      </c>
      <c r="AU51">
        <v>0</v>
      </c>
      <c r="AV51">
        <v>0</v>
      </c>
      <c r="AW51">
        <v>0</v>
      </c>
      <c r="AX51">
        <v>0</v>
      </c>
      <c r="AY51">
        <v>0</v>
      </c>
      <c r="AZ51">
        <v>0</v>
      </c>
      <c r="BA51">
        <v>0</v>
      </c>
      <c r="BB51">
        <v>0</v>
      </c>
      <c r="BC51">
        <v>0</v>
      </c>
      <c r="BD51">
        <v>0</v>
      </c>
      <c r="BE51">
        <v>0</v>
      </c>
      <c r="BF51" t="s">
        <v>5</v>
      </c>
      <c r="BG51" t="s">
        <v>5</v>
      </c>
      <c r="BH51"/>
      <c r="BI51"/>
      <c r="BJ51" t="s">
        <v>5</v>
      </c>
      <c r="BK51"/>
      <c r="BL51">
        <v>0</v>
      </c>
      <c r="BM51">
        <v>0</v>
      </c>
      <c r="BN51" t="s">
        <v>5</v>
      </c>
      <c r="BO51"/>
      <c r="BP51"/>
      <c r="BQ51"/>
      <c r="BR51"/>
      <c r="BS51" t="s">
        <v>5</v>
      </c>
      <c r="BT51"/>
      <c r="BU51"/>
      <c r="BV51"/>
      <c r="BW51"/>
      <c r="BX51" t="s">
        <v>6</v>
      </c>
      <c r="BY51" t="s">
        <v>4232</v>
      </c>
      <c r="BZ51"/>
      <c r="CA51"/>
      <c r="CB51" t="s">
        <v>5</v>
      </c>
      <c r="CC51">
        <v>288949.96145606658</v>
      </c>
      <c r="CD51">
        <v>4616947534.7312641</v>
      </c>
      <c r="CE51" s="313" t="s">
        <v>11902</v>
      </c>
    </row>
    <row r="52" spans="1:83" ht="15" x14ac:dyDescent="0.25">
      <c r="A52" t="s">
        <v>3410</v>
      </c>
      <c r="B52" t="s">
        <v>13</v>
      </c>
      <c r="C52" t="s">
        <v>3408</v>
      </c>
      <c r="D52">
        <v>11</v>
      </c>
      <c r="E52" t="s">
        <v>3411</v>
      </c>
      <c r="F52" t="s">
        <v>3412</v>
      </c>
      <c r="G52" t="s">
        <v>3413</v>
      </c>
      <c r="H52"/>
      <c r="I52"/>
      <c r="J52" t="s">
        <v>3414</v>
      </c>
      <c r="K52" t="s">
        <v>3415</v>
      </c>
      <c r="L52">
        <v>6010.3671875</v>
      </c>
      <c r="M52" t="s">
        <v>6</v>
      </c>
      <c r="N52" t="s">
        <v>6</v>
      </c>
      <c r="O52" t="s">
        <v>5</v>
      </c>
      <c r="P52" t="s">
        <v>5</v>
      </c>
      <c r="Q52" t="s">
        <v>5</v>
      </c>
      <c r="R52" t="s">
        <v>3416</v>
      </c>
      <c r="S52" t="s">
        <v>3416</v>
      </c>
      <c r="T52" t="s">
        <v>5</v>
      </c>
      <c r="U52" t="s">
        <v>13</v>
      </c>
      <c r="V52">
        <v>978000</v>
      </c>
      <c r="W52">
        <v>978000</v>
      </c>
      <c r="X52" t="s">
        <v>5</v>
      </c>
      <c r="Y52"/>
      <c r="Z52"/>
      <c r="AA52">
        <v>1166.19873046875</v>
      </c>
      <c r="AB52">
        <v>194.1005859375</v>
      </c>
      <c r="AC52">
        <v>1.266889810562134</v>
      </c>
      <c r="AD52">
        <v>27069</v>
      </c>
      <c r="AE52">
        <v>18447</v>
      </c>
      <c r="AF52">
        <v>18879</v>
      </c>
      <c r="AG52">
        <v>42522</v>
      </c>
      <c r="AH52">
        <v>62638</v>
      </c>
      <c r="AI52">
        <v>62638</v>
      </c>
      <c r="AJ52">
        <v>136</v>
      </c>
      <c r="AK52">
        <v>661</v>
      </c>
      <c r="AL52">
        <v>935</v>
      </c>
      <c r="AM52"/>
      <c r="AN52">
        <v>360251.3125</v>
      </c>
      <c r="AO52"/>
      <c r="AP52"/>
      <c r="AQ52"/>
      <c r="AR52"/>
      <c r="AS52"/>
      <c r="AT52"/>
      <c r="AU52"/>
      <c r="AV52"/>
      <c r="AW52"/>
      <c r="AX52"/>
      <c r="AY52"/>
      <c r="AZ52"/>
      <c r="BA52"/>
      <c r="BB52"/>
      <c r="BC52"/>
      <c r="BD52"/>
      <c r="BE52"/>
      <c r="BF52" t="s">
        <v>3407</v>
      </c>
      <c r="BG52" t="s">
        <v>5</v>
      </c>
      <c r="BH52" t="s">
        <v>1020</v>
      </c>
      <c r="BI52"/>
      <c r="BJ52" t="s">
        <v>5</v>
      </c>
      <c r="BK52" t="s">
        <v>1020</v>
      </c>
      <c r="BL52"/>
      <c r="BM52"/>
      <c r="BN52" t="s">
        <v>5</v>
      </c>
      <c r="BO52"/>
      <c r="BP52"/>
      <c r="BQ52"/>
      <c r="BR52"/>
      <c r="BS52" t="s">
        <v>6</v>
      </c>
      <c r="BT52"/>
      <c r="BU52"/>
      <c r="BV52"/>
      <c r="BW52"/>
      <c r="BX52" t="s">
        <v>6</v>
      </c>
      <c r="BY52" t="s">
        <v>3417</v>
      </c>
      <c r="BZ52"/>
      <c r="CA52"/>
      <c r="CB52" t="s">
        <v>5</v>
      </c>
      <c r="CC52">
        <v>1159993.5086232999</v>
      </c>
      <c r="CD52">
        <v>15566779773.771799</v>
      </c>
      <c r="CE52" s="313" t="s">
        <v>11891</v>
      </c>
    </row>
    <row r="53" spans="1:83" ht="15" x14ac:dyDescent="0.25">
      <c r="A53" t="s">
        <v>11910</v>
      </c>
      <c r="B53" t="s">
        <v>11911</v>
      </c>
      <c r="C53" t="s">
        <v>11912</v>
      </c>
      <c r="D53">
        <v>15</v>
      </c>
      <c r="E53" t="s">
        <v>3847</v>
      </c>
      <c r="F53" t="s">
        <v>3864</v>
      </c>
      <c r="G53" t="s">
        <v>11896</v>
      </c>
      <c r="H53" t="s">
        <v>11897</v>
      </c>
      <c r="I53" t="s">
        <v>11898</v>
      </c>
      <c r="J53" t="s">
        <v>11899</v>
      </c>
      <c r="K53" t="s">
        <v>4106</v>
      </c>
      <c r="L53">
        <v>807.23931884765625</v>
      </c>
      <c r="M53" t="s">
        <v>5</v>
      </c>
      <c r="N53" t="s">
        <v>5</v>
      </c>
      <c r="O53" t="s">
        <v>6</v>
      </c>
      <c r="P53" t="s">
        <v>5</v>
      </c>
      <c r="Q53" t="s">
        <v>5</v>
      </c>
      <c r="R53" t="s">
        <v>11573</v>
      </c>
      <c r="S53" t="s">
        <v>11901</v>
      </c>
      <c r="T53" t="s">
        <v>6</v>
      </c>
      <c r="U53" t="s">
        <v>50</v>
      </c>
      <c r="V53">
        <v>750000</v>
      </c>
      <c r="W53">
        <v>750000</v>
      </c>
      <c r="X53" t="s">
        <v>6</v>
      </c>
      <c r="Y53"/>
      <c r="Z53">
        <v>0</v>
      </c>
      <c r="AA53">
        <v>374.6278076171875</v>
      </c>
      <c r="AB53">
        <v>557.8006591796875</v>
      </c>
      <c r="AC53">
        <v>2.348208904266357</v>
      </c>
      <c r="AD53">
        <v>75816</v>
      </c>
      <c r="AE53">
        <v>149258</v>
      </c>
      <c r="AF53">
        <v>61251</v>
      </c>
      <c r="AG53">
        <v>177730</v>
      </c>
      <c r="AH53">
        <v>244800</v>
      </c>
      <c r="AI53">
        <v>244800</v>
      </c>
      <c r="AJ53">
        <v>459</v>
      </c>
      <c r="AK53">
        <v>17</v>
      </c>
      <c r="AL53">
        <v>1840</v>
      </c>
      <c r="AM53">
        <v>5</v>
      </c>
      <c r="AN53">
        <v>334.99685668945313</v>
      </c>
      <c r="AO53"/>
      <c r="AP53"/>
      <c r="AQ53"/>
      <c r="AR53">
        <v>0</v>
      </c>
      <c r="AS53">
        <v>0</v>
      </c>
      <c r="AT53">
        <v>0</v>
      </c>
      <c r="AU53">
        <v>0</v>
      </c>
      <c r="AV53">
        <v>0</v>
      </c>
      <c r="AW53">
        <v>0</v>
      </c>
      <c r="AX53">
        <v>0</v>
      </c>
      <c r="AY53">
        <v>0</v>
      </c>
      <c r="AZ53">
        <v>0</v>
      </c>
      <c r="BA53">
        <v>0</v>
      </c>
      <c r="BB53">
        <v>0</v>
      </c>
      <c r="BC53">
        <v>0</v>
      </c>
      <c r="BD53">
        <v>0</v>
      </c>
      <c r="BE53">
        <v>0</v>
      </c>
      <c r="BF53" t="s">
        <v>5</v>
      </c>
      <c r="BG53" t="s">
        <v>5</v>
      </c>
      <c r="BH53"/>
      <c r="BI53"/>
      <c r="BJ53" t="s">
        <v>5</v>
      </c>
      <c r="BK53"/>
      <c r="BL53">
        <v>0</v>
      </c>
      <c r="BM53">
        <v>0</v>
      </c>
      <c r="BN53" t="s">
        <v>5</v>
      </c>
      <c r="BO53"/>
      <c r="BP53"/>
      <c r="BQ53"/>
      <c r="BR53"/>
      <c r="BS53" t="s">
        <v>5</v>
      </c>
      <c r="BT53"/>
      <c r="BU53"/>
      <c r="BV53"/>
      <c r="BW53"/>
      <c r="BX53" t="s">
        <v>6</v>
      </c>
      <c r="BY53" t="s">
        <v>4232</v>
      </c>
      <c r="BZ53"/>
      <c r="CA53"/>
      <c r="CB53" t="s">
        <v>5</v>
      </c>
      <c r="CC53">
        <v>288949.96145606658</v>
      </c>
      <c r="CD53">
        <v>4616947534.7312641</v>
      </c>
      <c r="CE53" s="313" t="s">
        <v>11902</v>
      </c>
    </row>
    <row r="54" spans="1:83" ht="15" x14ac:dyDescent="0.25">
      <c r="A54" t="s">
        <v>3606</v>
      </c>
      <c r="B54" t="s">
        <v>3607</v>
      </c>
      <c r="C54" t="s">
        <v>12044</v>
      </c>
      <c r="D54">
        <v>13</v>
      </c>
      <c r="E54" t="s">
        <v>3573</v>
      </c>
      <c r="F54" t="s">
        <v>3595</v>
      </c>
      <c r="G54" t="s">
        <v>3596</v>
      </c>
      <c r="H54" t="s">
        <v>3597</v>
      </c>
      <c r="I54"/>
      <c r="J54"/>
      <c r="K54" t="s">
        <v>3608</v>
      </c>
      <c r="L54">
        <v>1214.849731445312</v>
      </c>
      <c r="M54" t="s">
        <v>6</v>
      </c>
      <c r="N54" t="s">
        <v>6</v>
      </c>
      <c r="O54" t="s">
        <v>6</v>
      </c>
      <c r="P54" t="s">
        <v>5</v>
      </c>
      <c r="Q54" t="s">
        <v>5</v>
      </c>
      <c r="R54" t="s">
        <v>3599</v>
      </c>
      <c r="S54" t="s">
        <v>3600</v>
      </c>
      <c r="T54" t="s">
        <v>6</v>
      </c>
      <c r="U54" t="s">
        <v>98</v>
      </c>
      <c r="V54">
        <v>600000</v>
      </c>
      <c r="W54">
        <v>600000</v>
      </c>
      <c r="X54" t="s">
        <v>5</v>
      </c>
      <c r="Y54"/>
      <c r="Z54"/>
      <c r="AA54">
        <v>189.6795959472656</v>
      </c>
      <c r="AB54">
        <v>63.268394470214837</v>
      </c>
      <c r="AC54">
        <v>0</v>
      </c>
      <c r="AD54">
        <v>1947</v>
      </c>
      <c r="AE54">
        <v>1229</v>
      </c>
      <c r="AF54">
        <v>1498</v>
      </c>
      <c r="AG54">
        <v>3669</v>
      </c>
      <c r="AH54">
        <v>3442</v>
      </c>
      <c r="AI54">
        <v>3669</v>
      </c>
      <c r="AJ54">
        <v>1</v>
      </c>
      <c r="AK54">
        <v>28</v>
      </c>
      <c r="AL54">
        <v>141</v>
      </c>
      <c r="AM54">
        <v>570</v>
      </c>
      <c r="AN54">
        <v>3068.908447265625</v>
      </c>
      <c r="AO54"/>
      <c r="AP54"/>
      <c r="AQ54"/>
      <c r="AR54"/>
      <c r="AS54"/>
      <c r="AT54"/>
      <c r="AU54"/>
      <c r="AV54"/>
      <c r="AW54"/>
      <c r="AX54"/>
      <c r="AY54"/>
      <c r="AZ54"/>
      <c r="BA54"/>
      <c r="BB54"/>
      <c r="BC54"/>
      <c r="BD54"/>
      <c r="BE54">
        <v>0</v>
      </c>
      <c r="BF54" t="s">
        <v>5</v>
      </c>
      <c r="BG54" t="s">
        <v>5</v>
      </c>
      <c r="BH54" t="s">
        <v>3581</v>
      </c>
      <c r="BI54"/>
      <c r="BJ54" t="s">
        <v>5</v>
      </c>
      <c r="BK54"/>
      <c r="BL54">
        <v>0</v>
      </c>
      <c r="BM54"/>
      <c r="BN54" t="s">
        <v>5</v>
      </c>
      <c r="BO54"/>
      <c r="BP54"/>
      <c r="BQ54"/>
      <c r="BR54"/>
      <c r="BS54" t="s">
        <v>5</v>
      </c>
      <c r="BT54"/>
      <c r="BU54"/>
      <c r="BV54"/>
      <c r="BW54"/>
      <c r="BX54" t="s">
        <v>6</v>
      </c>
      <c r="BY54" t="s">
        <v>3601</v>
      </c>
      <c r="BZ54"/>
      <c r="CA54"/>
      <c r="CB54" t="s">
        <v>5</v>
      </c>
      <c r="CC54">
        <v>235343.69200057781</v>
      </c>
      <c r="CD54">
        <v>3146458973.8489671</v>
      </c>
      <c r="CE54" s="313" t="s">
        <v>11891</v>
      </c>
    </row>
    <row r="55" spans="1:83" ht="15" x14ac:dyDescent="0.25">
      <c r="A55" t="s">
        <v>1465</v>
      </c>
      <c r="B55" t="s">
        <v>1466</v>
      </c>
      <c r="C55" t="s">
        <v>1467</v>
      </c>
      <c r="D55">
        <v>1</v>
      </c>
      <c r="E55" t="s">
        <v>1432</v>
      </c>
      <c r="F55" t="s">
        <v>1457</v>
      </c>
      <c r="G55" t="s">
        <v>1458</v>
      </c>
      <c r="H55" t="s">
        <v>1459</v>
      </c>
      <c r="I55" t="s">
        <v>1460</v>
      </c>
      <c r="J55" t="s">
        <v>1461</v>
      </c>
      <c r="K55" t="s">
        <v>1468</v>
      </c>
      <c r="L55">
        <v>7.0512943267822266</v>
      </c>
      <c r="M55" t="s">
        <v>6</v>
      </c>
      <c r="N55" t="s">
        <v>5</v>
      </c>
      <c r="O55" t="s">
        <v>5</v>
      </c>
      <c r="P55" t="s">
        <v>6</v>
      </c>
      <c r="Q55" t="s">
        <v>5</v>
      </c>
      <c r="R55" t="s">
        <v>1463</v>
      </c>
      <c r="S55" t="s">
        <v>1464</v>
      </c>
      <c r="T55" t="s">
        <v>5</v>
      </c>
      <c r="U55" t="s">
        <v>98</v>
      </c>
      <c r="V55">
        <v>6000000</v>
      </c>
      <c r="W55">
        <v>600000</v>
      </c>
      <c r="X55" t="s">
        <v>5</v>
      </c>
      <c r="Y55"/>
      <c r="Z55"/>
      <c r="AA55">
        <v>1.10006320476532</v>
      </c>
      <c r="AB55">
        <v>0.23183286190032959</v>
      </c>
      <c r="AC55">
        <v>0</v>
      </c>
      <c r="AD55">
        <v>206</v>
      </c>
      <c r="AE55">
        <v>119</v>
      </c>
      <c r="AF55">
        <v>193</v>
      </c>
      <c r="AG55">
        <v>636</v>
      </c>
      <c r="AH55">
        <v>823</v>
      </c>
      <c r="AI55">
        <v>823</v>
      </c>
      <c r="AJ55">
        <v>0</v>
      </c>
      <c r="AK55">
        <v>7</v>
      </c>
      <c r="AL55">
        <v>15</v>
      </c>
      <c r="AM55">
        <v>7</v>
      </c>
      <c r="AN55">
        <v>150.2604675292969</v>
      </c>
      <c r="AO55"/>
      <c r="AP55"/>
      <c r="AQ55"/>
      <c r="AR55">
        <v>0</v>
      </c>
      <c r="AS55">
        <v>24</v>
      </c>
      <c r="AT55">
        <v>0</v>
      </c>
      <c r="AU55">
        <v>24</v>
      </c>
      <c r="AV55">
        <v>72</v>
      </c>
      <c r="AW55">
        <v>0</v>
      </c>
      <c r="AX55">
        <v>0</v>
      </c>
      <c r="AY55">
        <v>0</v>
      </c>
      <c r="AZ55">
        <v>0</v>
      </c>
      <c r="BA55">
        <v>0</v>
      </c>
      <c r="BB55"/>
      <c r="BC55"/>
      <c r="BD55"/>
      <c r="BE55">
        <v>250000</v>
      </c>
      <c r="BF55" t="s">
        <v>1100</v>
      </c>
      <c r="BG55" t="s">
        <v>5</v>
      </c>
      <c r="BH55" t="s">
        <v>1020</v>
      </c>
      <c r="BI55" t="s">
        <v>1020</v>
      </c>
      <c r="BJ55" t="s">
        <v>5</v>
      </c>
      <c r="BK55"/>
      <c r="BL55">
        <v>0</v>
      </c>
      <c r="BM55"/>
      <c r="BN55" t="s">
        <v>5</v>
      </c>
      <c r="BO55"/>
      <c r="BP55"/>
      <c r="BQ55"/>
      <c r="BR55"/>
      <c r="BS55" t="s">
        <v>5</v>
      </c>
      <c r="BT55"/>
      <c r="BU55"/>
      <c r="BV55"/>
      <c r="BW55"/>
      <c r="BX55" t="s">
        <v>6</v>
      </c>
      <c r="BY55" t="s">
        <v>1101</v>
      </c>
      <c r="BZ55"/>
      <c r="CA55"/>
      <c r="CB55" t="s">
        <v>5</v>
      </c>
      <c r="CC55">
        <v>45080.224675808618</v>
      </c>
      <c r="CD55">
        <v>18262767.938815352</v>
      </c>
      <c r="CE55" s="313" t="s">
        <v>11891</v>
      </c>
    </row>
    <row r="56" spans="1:83" ht="15" x14ac:dyDescent="0.25">
      <c r="A56" t="s">
        <v>4224</v>
      </c>
      <c r="B56" t="s">
        <v>4225</v>
      </c>
      <c r="C56" t="s">
        <v>4226</v>
      </c>
      <c r="D56">
        <v>15</v>
      </c>
      <c r="E56" t="s">
        <v>3847</v>
      </c>
      <c r="F56" t="s">
        <v>3848</v>
      </c>
      <c r="G56" t="s">
        <v>3849</v>
      </c>
      <c r="H56" t="s">
        <v>4227</v>
      </c>
      <c r="I56" t="s">
        <v>4228</v>
      </c>
      <c r="J56" t="s">
        <v>4229</v>
      </c>
      <c r="K56" t="s">
        <v>3902</v>
      </c>
      <c r="L56">
        <v>40.763500213623047</v>
      </c>
      <c r="M56" t="s">
        <v>5</v>
      </c>
      <c r="N56" t="s">
        <v>5</v>
      </c>
      <c r="O56" t="s">
        <v>6</v>
      </c>
      <c r="P56" t="s">
        <v>5</v>
      </c>
      <c r="Q56" t="s">
        <v>5</v>
      </c>
      <c r="R56" t="s">
        <v>4231</v>
      </c>
      <c r="S56" t="s">
        <v>4231</v>
      </c>
      <c r="T56" t="s">
        <v>6</v>
      </c>
      <c r="U56" t="s">
        <v>28</v>
      </c>
      <c r="V56">
        <v>5000000</v>
      </c>
      <c r="W56">
        <v>600000</v>
      </c>
      <c r="X56" t="s">
        <v>6</v>
      </c>
      <c r="Y56"/>
      <c r="Z56">
        <v>0</v>
      </c>
      <c r="AA56">
        <v>13.85952663421631</v>
      </c>
      <c r="AB56">
        <v>16.7512321472168</v>
      </c>
      <c r="AC56">
        <v>0.6312519907951355</v>
      </c>
      <c r="AD56">
        <v>17519</v>
      </c>
      <c r="AE56">
        <v>12698</v>
      </c>
      <c r="AF56">
        <v>13543</v>
      </c>
      <c r="AG56">
        <v>73788</v>
      </c>
      <c r="AH56">
        <v>50548</v>
      </c>
      <c r="AI56">
        <v>73788</v>
      </c>
      <c r="AJ56">
        <v>14</v>
      </c>
      <c r="AK56">
        <v>0</v>
      </c>
      <c r="AL56">
        <v>327</v>
      </c>
      <c r="AM56">
        <v>0</v>
      </c>
      <c r="AN56">
        <v>6829.923828125</v>
      </c>
      <c r="AO56">
        <v>0</v>
      </c>
      <c r="AP56">
        <v>0</v>
      </c>
      <c r="AQ56">
        <v>0</v>
      </c>
      <c r="AR56">
        <v>0</v>
      </c>
      <c r="AS56">
        <v>0</v>
      </c>
      <c r="AT56">
        <v>0</v>
      </c>
      <c r="AU56">
        <v>0</v>
      </c>
      <c r="AV56">
        <v>0</v>
      </c>
      <c r="AW56">
        <v>0</v>
      </c>
      <c r="AX56">
        <v>0</v>
      </c>
      <c r="AY56">
        <v>0</v>
      </c>
      <c r="AZ56">
        <v>0</v>
      </c>
      <c r="BA56">
        <v>0</v>
      </c>
      <c r="BB56">
        <v>0</v>
      </c>
      <c r="BC56">
        <v>0</v>
      </c>
      <c r="BD56">
        <v>0</v>
      </c>
      <c r="BE56">
        <v>0</v>
      </c>
      <c r="BF56" t="s">
        <v>5</v>
      </c>
      <c r="BG56" t="s">
        <v>5</v>
      </c>
      <c r="BH56"/>
      <c r="BI56"/>
      <c r="BJ56" t="s">
        <v>5</v>
      </c>
      <c r="BK56"/>
      <c r="BL56">
        <v>0</v>
      </c>
      <c r="BM56">
        <v>0</v>
      </c>
      <c r="BN56" t="s">
        <v>5</v>
      </c>
      <c r="BO56"/>
      <c r="BP56"/>
      <c r="BQ56"/>
      <c r="BR56"/>
      <c r="BS56" t="s">
        <v>5</v>
      </c>
      <c r="BT56"/>
      <c r="BU56"/>
      <c r="BV56"/>
      <c r="BW56"/>
      <c r="BX56" t="s">
        <v>6</v>
      </c>
      <c r="BY56" t="s">
        <v>4232</v>
      </c>
      <c r="BZ56"/>
      <c r="CA56"/>
      <c r="CB56" t="s">
        <v>5</v>
      </c>
      <c r="CC56">
        <v>148916.78548602501</v>
      </c>
      <c r="CD56">
        <v>105577001.70648991</v>
      </c>
      <c r="CE56" s="313" t="s">
        <v>11891</v>
      </c>
    </row>
    <row r="57" spans="1:83" ht="15" x14ac:dyDescent="0.25">
      <c r="A57" t="s">
        <v>4313</v>
      </c>
      <c r="B57" t="s">
        <v>4314</v>
      </c>
      <c r="C57" t="s">
        <v>4226</v>
      </c>
      <c r="D57">
        <v>15</v>
      </c>
      <c r="E57" t="s">
        <v>3847</v>
      </c>
      <c r="F57" t="s">
        <v>3864</v>
      </c>
      <c r="G57" t="s">
        <v>3849</v>
      </c>
      <c r="H57" t="s">
        <v>4315</v>
      </c>
      <c r="I57" t="s">
        <v>4316</v>
      </c>
      <c r="J57" t="s">
        <v>4317</v>
      </c>
      <c r="K57" t="s">
        <v>3902</v>
      </c>
      <c r="L57">
        <v>44.917499542236328</v>
      </c>
      <c r="M57" t="s">
        <v>5</v>
      </c>
      <c r="N57" t="s">
        <v>5</v>
      </c>
      <c r="O57" t="s">
        <v>6</v>
      </c>
      <c r="P57" t="s">
        <v>5</v>
      </c>
      <c r="Q57" t="s">
        <v>5</v>
      </c>
      <c r="R57" t="s">
        <v>4168</v>
      </c>
      <c r="S57" t="s">
        <v>4168</v>
      </c>
      <c r="T57" t="s">
        <v>6</v>
      </c>
      <c r="U57" t="s">
        <v>28</v>
      </c>
      <c r="V57">
        <v>5000000</v>
      </c>
      <c r="W57">
        <v>600000</v>
      </c>
      <c r="X57" t="s">
        <v>6</v>
      </c>
      <c r="Y57"/>
      <c r="Z57">
        <v>0</v>
      </c>
      <c r="AA57">
        <v>24.454006195068359</v>
      </c>
      <c r="AB57">
        <v>5.372286319732666</v>
      </c>
      <c r="AC57">
        <v>1.9157644419465211E-4</v>
      </c>
      <c r="AD57">
        <v>16984</v>
      </c>
      <c r="AE57">
        <v>6968</v>
      </c>
      <c r="AF57">
        <v>14415</v>
      </c>
      <c r="AG57">
        <v>89218</v>
      </c>
      <c r="AH57">
        <v>65786</v>
      </c>
      <c r="AI57">
        <v>89218</v>
      </c>
      <c r="AJ57">
        <v>13</v>
      </c>
      <c r="AK57">
        <v>1</v>
      </c>
      <c r="AL57">
        <v>287</v>
      </c>
      <c r="AM57">
        <v>0</v>
      </c>
      <c r="AN57">
        <v>5997.09619140625</v>
      </c>
      <c r="AO57">
        <v>0</v>
      </c>
      <c r="AP57">
        <v>0</v>
      </c>
      <c r="AQ57">
        <v>0</v>
      </c>
      <c r="AR57">
        <v>0</v>
      </c>
      <c r="AS57">
        <v>0</v>
      </c>
      <c r="AT57">
        <v>0</v>
      </c>
      <c r="AU57">
        <v>0</v>
      </c>
      <c r="AV57">
        <v>0</v>
      </c>
      <c r="AW57">
        <v>0</v>
      </c>
      <c r="AX57">
        <v>0</v>
      </c>
      <c r="AY57">
        <v>0</v>
      </c>
      <c r="AZ57">
        <v>0</v>
      </c>
      <c r="BA57">
        <v>0</v>
      </c>
      <c r="BB57">
        <v>0</v>
      </c>
      <c r="BC57">
        <v>0</v>
      </c>
      <c r="BD57">
        <v>0</v>
      </c>
      <c r="BE57">
        <v>0</v>
      </c>
      <c r="BF57" t="s">
        <v>5</v>
      </c>
      <c r="BG57" t="s">
        <v>5</v>
      </c>
      <c r="BH57"/>
      <c r="BI57"/>
      <c r="BJ57" t="s">
        <v>5</v>
      </c>
      <c r="BK57"/>
      <c r="BL57">
        <v>0</v>
      </c>
      <c r="BM57">
        <v>0</v>
      </c>
      <c r="BN57" t="s">
        <v>5</v>
      </c>
      <c r="BO57"/>
      <c r="BP57"/>
      <c r="BQ57"/>
      <c r="BR57"/>
      <c r="BS57" t="s">
        <v>5</v>
      </c>
      <c r="BT57"/>
      <c r="BU57"/>
      <c r="BV57"/>
      <c r="BW57"/>
      <c r="BX57" t="s">
        <v>6</v>
      </c>
      <c r="BY57" t="s">
        <v>4232</v>
      </c>
      <c r="BZ57"/>
      <c r="CA57"/>
      <c r="CB57" t="s">
        <v>5</v>
      </c>
      <c r="CC57">
        <v>103821.8759745674</v>
      </c>
      <c r="CD57">
        <v>116335729.97934709</v>
      </c>
      <c r="CE57" s="313" t="s">
        <v>11891</v>
      </c>
    </row>
    <row r="58" spans="1:83" ht="15" x14ac:dyDescent="0.25">
      <c r="A58" t="s">
        <v>4333</v>
      </c>
      <c r="B58" t="s">
        <v>4334</v>
      </c>
      <c r="C58" t="s">
        <v>4247</v>
      </c>
      <c r="D58">
        <v>15</v>
      </c>
      <c r="E58" t="s">
        <v>3847</v>
      </c>
      <c r="F58" t="s">
        <v>3864</v>
      </c>
      <c r="G58" t="s">
        <v>3849</v>
      </c>
      <c r="H58" t="s">
        <v>4162</v>
      </c>
      <c r="I58" t="s">
        <v>4163</v>
      </c>
      <c r="J58" t="s">
        <v>4258</v>
      </c>
      <c r="K58" t="s">
        <v>3902</v>
      </c>
      <c r="L58">
        <v>0.59827899932861328</v>
      </c>
      <c r="M58" t="s">
        <v>5</v>
      </c>
      <c r="N58" t="s">
        <v>5</v>
      </c>
      <c r="O58" t="s">
        <v>6</v>
      </c>
      <c r="P58" t="s">
        <v>5</v>
      </c>
      <c r="Q58" t="s">
        <v>5</v>
      </c>
      <c r="R58" t="s">
        <v>3890</v>
      </c>
      <c r="S58" t="s">
        <v>3890</v>
      </c>
      <c r="T58" t="s">
        <v>6</v>
      </c>
      <c r="U58" t="s">
        <v>28</v>
      </c>
      <c r="V58">
        <v>5000000</v>
      </c>
      <c r="W58">
        <v>600000</v>
      </c>
      <c r="X58" t="s">
        <v>6</v>
      </c>
      <c r="Y58"/>
      <c r="Z58">
        <v>0</v>
      </c>
      <c r="AA58">
        <v>0.47117131948471069</v>
      </c>
      <c r="AB58">
        <v>0.1222864463925362</v>
      </c>
      <c r="AC58">
        <v>0</v>
      </c>
      <c r="AD58">
        <v>508</v>
      </c>
      <c r="AE58">
        <v>158</v>
      </c>
      <c r="AF58">
        <v>423</v>
      </c>
      <c r="AG58">
        <v>1661</v>
      </c>
      <c r="AH58">
        <v>1880</v>
      </c>
      <c r="AI58">
        <v>1880</v>
      </c>
      <c r="AJ58">
        <v>2</v>
      </c>
      <c r="AK58">
        <v>0</v>
      </c>
      <c r="AL58">
        <v>7</v>
      </c>
      <c r="AM58">
        <v>0</v>
      </c>
      <c r="AN58">
        <v>118.4224014282227</v>
      </c>
      <c r="AO58">
        <v>0</v>
      </c>
      <c r="AP58">
        <v>0</v>
      </c>
      <c r="AQ58">
        <v>0</v>
      </c>
      <c r="AR58">
        <v>0</v>
      </c>
      <c r="AS58">
        <v>0</v>
      </c>
      <c r="AT58">
        <v>0</v>
      </c>
      <c r="AU58">
        <v>0</v>
      </c>
      <c r="AV58">
        <v>0</v>
      </c>
      <c r="AW58">
        <v>0</v>
      </c>
      <c r="AX58">
        <v>0</v>
      </c>
      <c r="AY58">
        <v>0</v>
      </c>
      <c r="AZ58">
        <v>0</v>
      </c>
      <c r="BA58">
        <v>0</v>
      </c>
      <c r="BB58">
        <v>0</v>
      </c>
      <c r="BC58">
        <v>0</v>
      </c>
      <c r="BD58">
        <v>0</v>
      </c>
      <c r="BE58">
        <v>0</v>
      </c>
      <c r="BF58" t="s">
        <v>5</v>
      </c>
      <c r="BG58" t="s">
        <v>5</v>
      </c>
      <c r="BH58"/>
      <c r="BI58"/>
      <c r="BJ58" t="s">
        <v>5</v>
      </c>
      <c r="BK58"/>
      <c r="BL58">
        <v>0</v>
      </c>
      <c r="BM58">
        <v>0</v>
      </c>
      <c r="BN58" t="s">
        <v>5</v>
      </c>
      <c r="BO58"/>
      <c r="BP58"/>
      <c r="BQ58"/>
      <c r="BR58"/>
      <c r="BS58" t="s">
        <v>5</v>
      </c>
      <c r="BT58"/>
      <c r="BU58"/>
      <c r="BV58"/>
      <c r="BW58"/>
      <c r="BX58" t="s">
        <v>6</v>
      </c>
      <c r="BY58" t="s">
        <v>4232</v>
      </c>
      <c r="BZ58"/>
      <c r="CA58"/>
      <c r="CB58" t="s">
        <v>5</v>
      </c>
      <c r="CC58">
        <v>9668.6200082331106</v>
      </c>
      <c r="CD58">
        <v>1549534.758241249</v>
      </c>
      <c r="CE58" s="313" t="s">
        <v>11891</v>
      </c>
    </row>
    <row r="59" spans="1:83" ht="15" x14ac:dyDescent="0.25">
      <c r="A59" t="s">
        <v>4319</v>
      </c>
      <c r="B59" t="s">
        <v>4320</v>
      </c>
      <c r="C59" t="s">
        <v>4247</v>
      </c>
      <c r="D59">
        <v>15</v>
      </c>
      <c r="E59" t="s">
        <v>3847</v>
      </c>
      <c r="F59" t="s">
        <v>3864</v>
      </c>
      <c r="G59" t="s">
        <v>4295</v>
      </c>
      <c r="H59" t="s">
        <v>4321</v>
      </c>
      <c r="I59" t="s">
        <v>4322</v>
      </c>
      <c r="J59" t="s">
        <v>4323</v>
      </c>
      <c r="K59" t="s">
        <v>3902</v>
      </c>
      <c r="L59">
        <v>36.479900360107422</v>
      </c>
      <c r="M59" t="s">
        <v>5</v>
      </c>
      <c r="N59" t="s">
        <v>5</v>
      </c>
      <c r="O59" t="s">
        <v>6</v>
      </c>
      <c r="P59" t="s">
        <v>5</v>
      </c>
      <c r="Q59" t="s">
        <v>5</v>
      </c>
      <c r="R59" t="s">
        <v>4193</v>
      </c>
      <c r="S59" t="s">
        <v>4193</v>
      </c>
      <c r="T59" t="s">
        <v>6</v>
      </c>
      <c r="U59" t="s">
        <v>28</v>
      </c>
      <c r="V59">
        <v>5000000</v>
      </c>
      <c r="W59">
        <v>600000</v>
      </c>
      <c r="X59" t="s">
        <v>6</v>
      </c>
      <c r="Y59"/>
      <c r="Z59">
        <v>0</v>
      </c>
      <c r="AA59">
        <v>11.061245918273929</v>
      </c>
      <c r="AB59">
        <v>17.45284461975098</v>
      </c>
      <c r="AC59">
        <v>0.52277296781539917</v>
      </c>
      <c r="AD59">
        <v>19516</v>
      </c>
      <c r="AE59">
        <v>13649</v>
      </c>
      <c r="AF59">
        <v>16701</v>
      </c>
      <c r="AG59">
        <v>57193</v>
      </c>
      <c r="AH59">
        <v>63925</v>
      </c>
      <c r="AI59">
        <v>63925</v>
      </c>
      <c r="AJ59">
        <v>6</v>
      </c>
      <c r="AK59">
        <v>0</v>
      </c>
      <c r="AL59">
        <v>301</v>
      </c>
      <c r="AM59">
        <v>0</v>
      </c>
      <c r="AN59">
        <v>6278.4970703125</v>
      </c>
      <c r="AO59">
        <v>0</v>
      </c>
      <c r="AP59">
        <v>0</v>
      </c>
      <c r="AQ59">
        <v>0</v>
      </c>
      <c r="AR59">
        <v>0</v>
      </c>
      <c r="AS59">
        <v>0</v>
      </c>
      <c r="AT59">
        <v>0</v>
      </c>
      <c r="AU59">
        <v>0</v>
      </c>
      <c r="AV59">
        <v>0</v>
      </c>
      <c r="AW59">
        <v>0</v>
      </c>
      <c r="AX59">
        <v>0</v>
      </c>
      <c r="AY59">
        <v>0</v>
      </c>
      <c r="AZ59">
        <v>0</v>
      </c>
      <c r="BA59">
        <v>0</v>
      </c>
      <c r="BB59">
        <v>0</v>
      </c>
      <c r="BC59">
        <v>0</v>
      </c>
      <c r="BD59">
        <v>0</v>
      </c>
      <c r="BE59">
        <v>0</v>
      </c>
      <c r="BF59" t="s">
        <v>5</v>
      </c>
      <c r="BG59" t="s">
        <v>5</v>
      </c>
      <c r="BH59"/>
      <c r="BI59"/>
      <c r="BJ59" t="s">
        <v>5</v>
      </c>
      <c r="BK59"/>
      <c r="BL59">
        <v>0</v>
      </c>
      <c r="BM59">
        <v>0</v>
      </c>
      <c r="BN59" t="s">
        <v>5</v>
      </c>
      <c r="BO59"/>
      <c r="BP59"/>
      <c r="BQ59"/>
      <c r="BR59"/>
      <c r="BS59" t="s">
        <v>5</v>
      </c>
      <c r="BT59"/>
      <c r="BU59"/>
      <c r="BV59"/>
      <c r="BW59"/>
      <c r="BX59" t="s">
        <v>6</v>
      </c>
      <c r="BY59" t="s">
        <v>4232</v>
      </c>
      <c r="BZ59"/>
      <c r="CA59"/>
      <c r="CB59" t="s">
        <v>5</v>
      </c>
      <c r="CC59">
        <v>76478.273582239024</v>
      </c>
      <c r="CD59">
        <v>94482405.529157996</v>
      </c>
      <c r="CE59" s="313" t="s">
        <v>11891</v>
      </c>
    </row>
    <row r="60" spans="1:83" ht="15" x14ac:dyDescent="0.25">
      <c r="A60" t="s">
        <v>4245</v>
      </c>
      <c r="B60" t="s">
        <v>4246</v>
      </c>
      <c r="C60" t="s">
        <v>4247</v>
      </c>
      <c r="D60">
        <v>15</v>
      </c>
      <c r="E60" t="s">
        <v>3847</v>
      </c>
      <c r="F60" t="s">
        <v>3848</v>
      </c>
      <c r="G60" t="s">
        <v>3849</v>
      </c>
      <c r="H60" t="s">
        <v>4210</v>
      </c>
      <c r="I60" t="s">
        <v>4211</v>
      </c>
      <c r="J60" t="s">
        <v>4248</v>
      </c>
      <c r="K60" t="s">
        <v>3902</v>
      </c>
      <c r="L60">
        <v>2.7871499061584468</v>
      </c>
      <c r="M60" t="s">
        <v>5</v>
      </c>
      <c r="N60" t="s">
        <v>5</v>
      </c>
      <c r="O60" t="s">
        <v>6</v>
      </c>
      <c r="P60" t="s">
        <v>5</v>
      </c>
      <c r="Q60" t="s">
        <v>5</v>
      </c>
      <c r="R60" t="s">
        <v>3991</v>
      </c>
      <c r="S60" t="s">
        <v>3991</v>
      </c>
      <c r="T60" t="s">
        <v>6</v>
      </c>
      <c r="U60" t="s">
        <v>28</v>
      </c>
      <c r="V60">
        <v>5000000</v>
      </c>
      <c r="W60">
        <v>600000</v>
      </c>
      <c r="X60" t="s">
        <v>6</v>
      </c>
      <c r="Y60"/>
      <c r="Z60">
        <v>0</v>
      </c>
      <c r="AA60">
        <v>0.95808088779449463</v>
      </c>
      <c r="AB60">
        <v>0.83887654542922974</v>
      </c>
      <c r="AC60">
        <v>3.4502401947975159E-2</v>
      </c>
      <c r="AD60">
        <v>945</v>
      </c>
      <c r="AE60">
        <v>633</v>
      </c>
      <c r="AF60">
        <v>867</v>
      </c>
      <c r="AG60">
        <v>2579</v>
      </c>
      <c r="AH60">
        <v>3019</v>
      </c>
      <c r="AI60">
        <v>3019</v>
      </c>
      <c r="AJ60">
        <v>0</v>
      </c>
      <c r="AK60">
        <v>0</v>
      </c>
      <c r="AL60">
        <v>12</v>
      </c>
      <c r="AM60">
        <v>0</v>
      </c>
      <c r="AN60">
        <v>604.2894287109375</v>
      </c>
      <c r="AO60">
        <v>0</v>
      </c>
      <c r="AP60">
        <v>0</v>
      </c>
      <c r="AQ60">
        <v>0</v>
      </c>
      <c r="AR60">
        <v>0</v>
      </c>
      <c r="AS60">
        <v>0</v>
      </c>
      <c r="AT60">
        <v>0</v>
      </c>
      <c r="AU60">
        <v>0</v>
      </c>
      <c r="AV60">
        <v>0</v>
      </c>
      <c r="AW60">
        <v>0</v>
      </c>
      <c r="AX60">
        <v>0</v>
      </c>
      <c r="AY60">
        <v>0</v>
      </c>
      <c r="AZ60">
        <v>0</v>
      </c>
      <c r="BA60">
        <v>0</v>
      </c>
      <c r="BB60">
        <v>0</v>
      </c>
      <c r="BC60">
        <v>0</v>
      </c>
      <c r="BD60">
        <v>0</v>
      </c>
      <c r="BE60">
        <v>0</v>
      </c>
      <c r="BF60" t="s">
        <v>5</v>
      </c>
      <c r="BG60" t="s">
        <v>5</v>
      </c>
      <c r="BH60"/>
      <c r="BI60"/>
      <c r="BJ60" t="s">
        <v>5</v>
      </c>
      <c r="BK60"/>
      <c r="BL60">
        <v>0</v>
      </c>
      <c r="BM60">
        <v>0</v>
      </c>
      <c r="BN60" t="s">
        <v>5</v>
      </c>
      <c r="BO60"/>
      <c r="BP60"/>
      <c r="BQ60"/>
      <c r="BR60"/>
      <c r="BS60" t="s">
        <v>5</v>
      </c>
      <c r="BT60"/>
      <c r="BU60"/>
      <c r="BV60"/>
      <c r="BW60"/>
      <c r="BX60" t="s">
        <v>6</v>
      </c>
      <c r="BY60" t="s">
        <v>4232</v>
      </c>
      <c r="BZ60"/>
      <c r="CA60"/>
      <c r="CB60" t="s">
        <v>5</v>
      </c>
      <c r="CC60">
        <v>36175.315556730158</v>
      </c>
      <c r="CD60">
        <v>7218698.0883602807</v>
      </c>
      <c r="CE60" s="313" t="s">
        <v>11891</v>
      </c>
    </row>
    <row r="61" spans="1:83" ht="15" x14ac:dyDescent="0.25">
      <c r="A61" t="s">
        <v>4233</v>
      </c>
      <c r="B61" t="s">
        <v>4234</v>
      </c>
      <c r="C61" t="s">
        <v>4226</v>
      </c>
      <c r="D61">
        <v>15</v>
      </c>
      <c r="E61" t="s">
        <v>3847</v>
      </c>
      <c r="F61" t="s">
        <v>3848</v>
      </c>
      <c r="G61" t="s">
        <v>3849</v>
      </c>
      <c r="H61" t="s">
        <v>4112</v>
      </c>
      <c r="I61" t="s">
        <v>4113</v>
      </c>
      <c r="J61" t="s">
        <v>4235</v>
      </c>
      <c r="K61" t="s">
        <v>3902</v>
      </c>
      <c r="L61">
        <v>4.4185299873352051</v>
      </c>
      <c r="M61" t="s">
        <v>5</v>
      </c>
      <c r="N61" t="s">
        <v>5</v>
      </c>
      <c r="O61" t="s">
        <v>6</v>
      </c>
      <c r="P61" t="s">
        <v>5</v>
      </c>
      <c r="Q61" t="s">
        <v>5</v>
      </c>
      <c r="R61" t="s">
        <v>4237</v>
      </c>
      <c r="S61" t="s">
        <v>4237</v>
      </c>
      <c r="T61" t="s">
        <v>6</v>
      </c>
      <c r="U61" t="s">
        <v>28</v>
      </c>
      <c r="V61">
        <v>5000000</v>
      </c>
      <c r="W61">
        <v>600000</v>
      </c>
      <c r="X61" t="s">
        <v>6</v>
      </c>
      <c r="Y61"/>
      <c r="Z61">
        <v>0</v>
      </c>
      <c r="AA61">
        <v>1.32714831829071</v>
      </c>
      <c r="AB61">
        <v>1.283905029296875</v>
      </c>
      <c r="AC61">
        <v>0</v>
      </c>
      <c r="AD61">
        <v>1411</v>
      </c>
      <c r="AE61">
        <v>839</v>
      </c>
      <c r="AF61">
        <v>1162</v>
      </c>
      <c r="AG61">
        <v>2614</v>
      </c>
      <c r="AH61">
        <v>3148</v>
      </c>
      <c r="AI61">
        <v>3148</v>
      </c>
      <c r="AJ61">
        <v>0</v>
      </c>
      <c r="AK61">
        <v>0</v>
      </c>
      <c r="AL61">
        <v>28</v>
      </c>
      <c r="AM61">
        <v>0</v>
      </c>
      <c r="AN61">
        <v>703.150634765625</v>
      </c>
      <c r="AO61">
        <v>0</v>
      </c>
      <c r="AP61">
        <v>0</v>
      </c>
      <c r="AQ61">
        <v>0</v>
      </c>
      <c r="AR61">
        <v>0</v>
      </c>
      <c r="AS61">
        <v>0</v>
      </c>
      <c r="AT61">
        <v>0</v>
      </c>
      <c r="AU61">
        <v>0</v>
      </c>
      <c r="AV61">
        <v>0</v>
      </c>
      <c r="AW61">
        <v>0</v>
      </c>
      <c r="AX61">
        <v>0</v>
      </c>
      <c r="AY61">
        <v>0</v>
      </c>
      <c r="AZ61">
        <v>0</v>
      </c>
      <c r="BA61">
        <v>0</v>
      </c>
      <c r="BB61">
        <v>0</v>
      </c>
      <c r="BC61">
        <v>0</v>
      </c>
      <c r="BD61">
        <v>0</v>
      </c>
      <c r="BE61">
        <v>0</v>
      </c>
      <c r="BF61" t="s">
        <v>5</v>
      </c>
      <c r="BG61" t="s">
        <v>5</v>
      </c>
      <c r="BH61"/>
      <c r="BI61"/>
      <c r="BJ61" t="s">
        <v>5</v>
      </c>
      <c r="BK61"/>
      <c r="BL61">
        <v>0</v>
      </c>
      <c r="BM61">
        <v>0</v>
      </c>
      <c r="BN61" t="s">
        <v>5</v>
      </c>
      <c r="BO61"/>
      <c r="BP61"/>
      <c r="BQ61"/>
      <c r="BR61"/>
      <c r="BS61" t="s">
        <v>5</v>
      </c>
      <c r="BT61"/>
      <c r="BU61"/>
      <c r="BV61"/>
      <c r="BW61"/>
      <c r="BX61" t="s">
        <v>6</v>
      </c>
      <c r="BY61" t="s">
        <v>4232</v>
      </c>
      <c r="BZ61"/>
      <c r="CA61"/>
      <c r="CB61" t="s">
        <v>5</v>
      </c>
      <c r="CC61">
        <v>44283.497079117311</v>
      </c>
      <c r="CD61">
        <v>11443944.831045629</v>
      </c>
      <c r="CE61" s="313" t="s">
        <v>11891</v>
      </c>
    </row>
    <row r="62" spans="1:83" ht="15" x14ac:dyDescent="0.25">
      <c r="A62" t="s">
        <v>4261</v>
      </c>
      <c r="B62" t="s">
        <v>4262</v>
      </c>
      <c r="C62" t="s">
        <v>4226</v>
      </c>
      <c r="D62">
        <v>15</v>
      </c>
      <c r="E62" t="s">
        <v>3847</v>
      </c>
      <c r="F62" t="s">
        <v>3864</v>
      </c>
      <c r="G62" t="s">
        <v>4263</v>
      </c>
      <c r="H62" t="s">
        <v>4264</v>
      </c>
      <c r="I62" t="s">
        <v>4265</v>
      </c>
      <c r="J62" t="s">
        <v>4266</v>
      </c>
      <c r="K62" t="s">
        <v>3902</v>
      </c>
      <c r="L62">
        <v>4.3969302177429199</v>
      </c>
      <c r="M62" t="s">
        <v>5</v>
      </c>
      <c r="N62" t="s">
        <v>5</v>
      </c>
      <c r="O62" t="s">
        <v>6</v>
      </c>
      <c r="P62" t="s">
        <v>5</v>
      </c>
      <c r="Q62" t="s">
        <v>5</v>
      </c>
      <c r="R62" t="s">
        <v>3865</v>
      </c>
      <c r="S62" t="s">
        <v>3865</v>
      </c>
      <c r="T62" t="s">
        <v>6</v>
      </c>
      <c r="U62" t="s">
        <v>28</v>
      </c>
      <c r="V62">
        <v>5000000</v>
      </c>
      <c r="W62">
        <v>600000</v>
      </c>
      <c r="X62" t="s">
        <v>6</v>
      </c>
      <c r="Y62"/>
      <c r="Z62">
        <v>0</v>
      </c>
      <c r="AA62">
        <v>0.9228556752204895</v>
      </c>
      <c r="AB62">
        <v>0.27498933672904968</v>
      </c>
      <c r="AC62">
        <v>7.9712895676493645E-3</v>
      </c>
      <c r="AD62">
        <v>210</v>
      </c>
      <c r="AE62">
        <v>103</v>
      </c>
      <c r="AF62">
        <v>172</v>
      </c>
      <c r="AG62">
        <v>503</v>
      </c>
      <c r="AH62">
        <v>456</v>
      </c>
      <c r="AI62">
        <v>503</v>
      </c>
      <c r="AJ62">
        <v>0</v>
      </c>
      <c r="AK62">
        <v>0</v>
      </c>
      <c r="AL62">
        <v>5</v>
      </c>
      <c r="AM62">
        <v>0</v>
      </c>
      <c r="AN62">
        <v>358.8900146484375</v>
      </c>
      <c r="AO62">
        <v>0</v>
      </c>
      <c r="AP62">
        <v>0</v>
      </c>
      <c r="AQ62">
        <v>0</v>
      </c>
      <c r="AR62">
        <v>0</v>
      </c>
      <c r="AS62">
        <v>0</v>
      </c>
      <c r="AT62">
        <v>0</v>
      </c>
      <c r="AU62">
        <v>0</v>
      </c>
      <c r="AV62">
        <v>0</v>
      </c>
      <c r="AW62">
        <v>0</v>
      </c>
      <c r="AX62">
        <v>0</v>
      </c>
      <c r="AY62">
        <v>0</v>
      </c>
      <c r="AZ62">
        <v>0</v>
      </c>
      <c r="BA62">
        <v>0</v>
      </c>
      <c r="BB62">
        <v>0</v>
      </c>
      <c r="BC62">
        <v>0</v>
      </c>
      <c r="BD62">
        <v>0</v>
      </c>
      <c r="BE62">
        <v>0</v>
      </c>
      <c r="BF62" t="s">
        <v>5</v>
      </c>
      <c r="BG62" t="s">
        <v>5</v>
      </c>
      <c r="BH62"/>
      <c r="BI62"/>
      <c r="BJ62" t="s">
        <v>5</v>
      </c>
      <c r="BK62"/>
      <c r="BL62">
        <v>0</v>
      </c>
      <c r="BM62">
        <v>0</v>
      </c>
      <c r="BN62" t="s">
        <v>5</v>
      </c>
      <c r="BO62"/>
      <c r="BP62"/>
      <c r="BQ62"/>
      <c r="BR62"/>
      <c r="BS62" t="s">
        <v>5</v>
      </c>
      <c r="BT62"/>
      <c r="BU62"/>
      <c r="BV62"/>
      <c r="BW62"/>
      <c r="BX62" t="s">
        <v>6</v>
      </c>
      <c r="BY62" t="s">
        <v>4232</v>
      </c>
      <c r="BZ62"/>
      <c r="CA62"/>
      <c r="CB62" t="s">
        <v>5</v>
      </c>
      <c r="CC62">
        <v>19160.800828789492</v>
      </c>
      <c r="CD62">
        <v>11388001.87853818</v>
      </c>
      <c r="CE62" s="313" t="s">
        <v>11891</v>
      </c>
    </row>
    <row r="63" spans="1:83" ht="15" x14ac:dyDescent="0.25">
      <c r="A63" t="s">
        <v>4238</v>
      </c>
      <c r="B63" t="s">
        <v>4239</v>
      </c>
      <c r="C63" t="s">
        <v>4226</v>
      </c>
      <c r="D63">
        <v>15</v>
      </c>
      <c r="E63" t="s">
        <v>3847</v>
      </c>
      <c r="F63" t="s">
        <v>3848</v>
      </c>
      <c r="G63" t="s">
        <v>3849</v>
      </c>
      <c r="H63" t="s">
        <v>4240</v>
      </c>
      <c r="I63" t="s">
        <v>4241</v>
      </c>
      <c r="J63" t="s">
        <v>4242</v>
      </c>
      <c r="K63" t="s">
        <v>3902</v>
      </c>
      <c r="L63">
        <v>4.3046097755432129</v>
      </c>
      <c r="M63" t="s">
        <v>5</v>
      </c>
      <c r="N63" t="s">
        <v>5</v>
      </c>
      <c r="O63" t="s">
        <v>6</v>
      </c>
      <c r="P63" t="s">
        <v>5</v>
      </c>
      <c r="Q63" t="s">
        <v>5</v>
      </c>
      <c r="R63" t="s">
        <v>4244</v>
      </c>
      <c r="S63" t="s">
        <v>4244</v>
      </c>
      <c r="T63" t="s">
        <v>6</v>
      </c>
      <c r="U63" t="s">
        <v>28</v>
      </c>
      <c r="V63">
        <v>5000000</v>
      </c>
      <c r="W63">
        <v>600000</v>
      </c>
      <c r="X63" t="s">
        <v>6</v>
      </c>
      <c r="Y63"/>
      <c r="Z63">
        <v>0</v>
      </c>
      <c r="AA63">
        <v>1.3755917549133301</v>
      </c>
      <c r="AB63">
        <v>1.71379566192627</v>
      </c>
      <c r="AC63">
        <v>0</v>
      </c>
      <c r="AD63">
        <v>1659</v>
      </c>
      <c r="AE63">
        <v>1203</v>
      </c>
      <c r="AF63">
        <v>1311</v>
      </c>
      <c r="AG63">
        <v>7463</v>
      </c>
      <c r="AH63">
        <v>5797</v>
      </c>
      <c r="AI63">
        <v>7463</v>
      </c>
      <c r="AJ63">
        <v>3</v>
      </c>
      <c r="AK63">
        <v>0</v>
      </c>
      <c r="AL63">
        <v>27</v>
      </c>
      <c r="AM63">
        <v>4</v>
      </c>
      <c r="AN63">
        <v>566.6146240234375</v>
      </c>
      <c r="AO63">
        <v>0</v>
      </c>
      <c r="AP63">
        <v>0</v>
      </c>
      <c r="AQ63">
        <v>0</v>
      </c>
      <c r="AR63">
        <v>0</v>
      </c>
      <c r="AS63">
        <v>0</v>
      </c>
      <c r="AT63">
        <v>0</v>
      </c>
      <c r="AU63">
        <v>0</v>
      </c>
      <c r="AV63">
        <v>0</v>
      </c>
      <c r="AW63">
        <v>0</v>
      </c>
      <c r="AX63">
        <v>0</v>
      </c>
      <c r="AY63">
        <v>0</v>
      </c>
      <c r="AZ63">
        <v>0</v>
      </c>
      <c r="BA63">
        <v>0</v>
      </c>
      <c r="BB63">
        <v>0</v>
      </c>
      <c r="BC63">
        <v>0</v>
      </c>
      <c r="BD63">
        <v>0</v>
      </c>
      <c r="BE63">
        <v>0</v>
      </c>
      <c r="BF63" t="s">
        <v>5</v>
      </c>
      <c r="BG63" t="s">
        <v>5</v>
      </c>
      <c r="BH63"/>
      <c r="BI63"/>
      <c r="BJ63" t="s">
        <v>5</v>
      </c>
      <c r="BK63"/>
      <c r="BL63">
        <v>0</v>
      </c>
      <c r="BM63">
        <v>0</v>
      </c>
      <c r="BN63" t="s">
        <v>5</v>
      </c>
      <c r="BO63"/>
      <c r="BP63"/>
      <c r="BQ63"/>
      <c r="BR63"/>
      <c r="BS63" t="s">
        <v>5</v>
      </c>
      <c r="BT63"/>
      <c r="BU63"/>
      <c r="BV63"/>
      <c r="BW63"/>
      <c r="BX63" t="s">
        <v>6</v>
      </c>
      <c r="BY63" t="s">
        <v>4232</v>
      </c>
      <c r="BZ63"/>
      <c r="CA63"/>
      <c r="CB63" t="s">
        <v>5</v>
      </c>
      <c r="CC63">
        <v>36441.661507635967</v>
      </c>
      <c r="CD63">
        <v>11148881.023486041</v>
      </c>
      <c r="CE63" s="313" t="s">
        <v>11891</v>
      </c>
    </row>
    <row r="64" spans="1:83" ht="15" x14ac:dyDescent="0.25">
      <c r="A64" t="s">
        <v>4268</v>
      </c>
      <c r="B64" t="s">
        <v>4269</v>
      </c>
      <c r="C64" t="s">
        <v>4247</v>
      </c>
      <c r="D64">
        <v>15</v>
      </c>
      <c r="E64" t="s">
        <v>3847</v>
      </c>
      <c r="F64" t="s">
        <v>3864</v>
      </c>
      <c r="G64" t="s">
        <v>3849</v>
      </c>
      <c r="H64" t="s">
        <v>4270</v>
      </c>
      <c r="I64" t="s">
        <v>4271</v>
      </c>
      <c r="J64" t="s">
        <v>4272</v>
      </c>
      <c r="K64" t="s">
        <v>3902</v>
      </c>
      <c r="L64">
        <v>11.905099868774411</v>
      </c>
      <c r="M64" t="s">
        <v>5</v>
      </c>
      <c r="N64" t="s">
        <v>5</v>
      </c>
      <c r="O64" t="s">
        <v>6</v>
      </c>
      <c r="P64" t="s">
        <v>5</v>
      </c>
      <c r="Q64" t="s">
        <v>5</v>
      </c>
      <c r="R64" t="s">
        <v>3881</v>
      </c>
      <c r="S64" t="s">
        <v>3881</v>
      </c>
      <c r="T64" t="s">
        <v>6</v>
      </c>
      <c r="U64" t="s">
        <v>28</v>
      </c>
      <c r="V64">
        <v>5000000</v>
      </c>
      <c r="W64">
        <v>600000</v>
      </c>
      <c r="X64" t="s">
        <v>6</v>
      </c>
      <c r="Y64"/>
      <c r="Z64">
        <v>0</v>
      </c>
      <c r="AA64">
        <v>4.3810653686523438</v>
      </c>
      <c r="AB64">
        <v>4.6380558013916016</v>
      </c>
      <c r="AC64">
        <v>0</v>
      </c>
      <c r="AD64">
        <v>4021</v>
      </c>
      <c r="AE64">
        <v>2930</v>
      </c>
      <c r="AF64">
        <v>2869</v>
      </c>
      <c r="AG64">
        <v>13568</v>
      </c>
      <c r="AH64">
        <v>12249</v>
      </c>
      <c r="AI64">
        <v>13568</v>
      </c>
      <c r="AJ64">
        <v>1</v>
      </c>
      <c r="AK64">
        <v>0</v>
      </c>
      <c r="AL64">
        <v>77</v>
      </c>
      <c r="AM64">
        <v>0</v>
      </c>
      <c r="AN64">
        <v>2751.163330078125</v>
      </c>
      <c r="AO64">
        <v>0</v>
      </c>
      <c r="AP64">
        <v>0</v>
      </c>
      <c r="AQ64">
        <v>0</v>
      </c>
      <c r="AR64">
        <v>0</v>
      </c>
      <c r="AS64">
        <v>0</v>
      </c>
      <c r="AT64">
        <v>0</v>
      </c>
      <c r="AU64">
        <v>0</v>
      </c>
      <c r="AV64">
        <v>0</v>
      </c>
      <c r="AW64">
        <v>0</v>
      </c>
      <c r="AX64">
        <v>0</v>
      </c>
      <c r="AY64">
        <v>0</v>
      </c>
      <c r="AZ64">
        <v>0</v>
      </c>
      <c r="BA64">
        <v>0</v>
      </c>
      <c r="BB64">
        <v>0</v>
      </c>
      <c r="BC64">
        <v>0</v>
      </c>
      <c r="BD64">
        <v>0</v>
      </c>
      <c r="BE64">
        <v>0</v>
      </c>
      <c r="BF64" t="s">
        <v>5</v>
      </c>
      <c r="BG64" t="s">
        <v>5</v>
      </c>
      <c r="BH64"/>
      <c r="BI64"/>
      <c r="BJ64" t="s">
        <v>5</v>
      </c>
      <c r="BK64"/>
      <c r="BL64">
        <v>0</v>
      </c>
      <c r="BM64">
        <v>0</v>
      </c>
      <c r="BN64" t="s">
        <v>5</v>
      </c>
      <c r="BO64"/>
      <c r="BP64"/>
      <c r="BQ64"/>
      <c r="BR64"/>
      <c r="BS64" t="s">
        <v>5</v>
      </c>
      <c r="BT64"/>
      <c r="BU64"/>
      <c r="BV64"/>
      <c r="BW64"/>
      <c r="BX64" t="s">
        <v>6</v>
      </c>
      <c r="BY64" t="s">
        <v>4232</v>
      </c>
      <c r="BZ64"/>
      <c r="CA64"/>
      <c r="CB64" t="s">
        <v>5</v>
      </c>
      <c r="CC64">
        <v>50059.801672856483</v>
      </c>
      <c r="CD64">
        <v>30833943.890865881</v>
      </c>
      <c r="CE64" s="313" t="s">
        <v>11891</v>
      </c>
    </row>
    <row r="65" spans="1:83" ht="15" x14ac:dyDescent="0.25">
      <c r="A65" t="s">
        <v>4287</v>
      </c>
      <c r="B65" t="s">
        <v>4288</v>
      </c>
      <c r="C65" t="s">
        <v>4226</v>
      </c>
      <c r="D65">
        <v>15</v>
      </c>
      <c r="E65" t="s">
        <v>3847</v>
      </c>
      <c r="F65" t="s">
        <v>3864</v>
      </c>
      <c r="G65" t="s">
        <v>3849</v>
      </c>
      <c r="H65" t="s">
        <v>4289</v>
      </c>
      <c r="I65" t="s">
        <v>4290</v>
      </c>
      <c r="J65" t="s">
        <v>4291</v>
      </c>
      <c r="K65" t="s">
        <v>3902</v>
      </c>
      <c r="L65">
        <v>4.460669994354248</v>
      </c>
      <c r="M65" t="s">
        <v>5</v>
      </c>
      <c r="N65" t="s">
        <v>5</v>
      </c>
      <c r="O65" t="s">
        <v>6</v>
      </c>
      <c r="P65" t="s">
        <v>5</v>
      </c>
      <c r="Q65" t="s">
        <v>5</v>
      </c>
      <c r="R65" t="s">
        <v>3945</v>
      </c>
      <c r="S65" t="s">
        <v>3945</v>
      </c>
      <c r="T65" t="s">
        <v>6</v>
      </c>
      <c r="U65" t="s">
        <v>28</v>
      </c>
      <c r="V65">
        <v>5000000</v>
      </c>
      <c r="W65">
        <v>600000</v>
      </c>
      <c r="X65" t="s">
        <v>6</v>
      </c>
      <c r="Y65"/>
      <c r="Z65">
        <v>0</v>
      </c>
      <c r="AA65">
        <v>0.91437488794326782</v>
      </c>
      <c r="AB65">
        <v>0.41626018285751343</v>
      </c>
      <c r="AC65">
        <v>0</v>
      </c>
      <c r="AD65">
        <v>246</v>
      </c>
      <c r="AE65">
        <v>180</v>
      </c>
      <c r="AF65">
        <v>169</v>
      </c>
      <c r="AG65">
        <v>440</v>
      </c>
      <c r="AH65">
        <v>879</v>
      </c>
      <c r="AI65">
        <v>879</v>
      </c>
      <c r="AJ65">
        <v>0</v>
      </c>
      <c r="AK65">
        <v>0</v>
      </c>
      <c r="AL65">
        <v>4</v>
      </c>
      <c r="AM65">
        <v>0</v>
      </c>
      <c r="AN65">
        <v>456.63259887695313</v>
      </c>
      <c r="AO65">
        <v>0</v>
      </c>
      <c r="AP65">
        <v>0</v>
      </c>
      <c r="AQ65">
        <v>0</v>
      </c>
      <c r="AR65">
        <v>0</v>
      </c>
      <c r="AS65">
        <v>0</v>
      </c>
      <c r="AT65">
        <v>0</v>
      </c>
      <c r="AU65">
        <v>0</v>
      </c>
      <c r="AV65">
        <v>0</v>
      </c>
      <c r="AW65">
        <v>0</v>
      </c>
      <c r="AX65">
        <v>0</v>
      </c>
      <c r="AY65">
        <v>0</v>
      </c>
      <c r="AZ65">
        <v>0</v>
      </c>
      <c r="BA65">
        <v>0</v>
      </c>
      <c r="BB65">
        <v>0</v>
      </c>
      <c r="BC65">
        <v>0</v>
      </c>
      <c r="BD65">
        <v>0</v>
      </c>
      <c r="BE65">
        <v>0</v>
      </c>
      <c r="BF65" t="s">
        <v>5</v>
      </c>
      <c r="BG65" t="s">
        <v>5</v>
      </c>
      <c r="BH65"/>
      <c r="BI65"/>
      <c r="BJ65" t="s">
        <v>5</v>
      </c>
      <c r="BK65"/>
      <c r="BL65">
        <v>0</v>
      </c>
      <c r="BM65">
        <v>0</v>
      </c>
      <c r="BN65" t="s">
        <v>5</v>
      </c>
      <c r="BO65"/>
      <c r="BP65"/>
      <c r="BQ65"/>
      <c r="BR65"/>
      <c r="BS65" t="s">
        <v>5</v>
      </c>
      <c r="BT65"/>
      <c r="BU65"/>
      <c r="BV65"/>
      <c r="BW65"/>
      <c r="BX65" t="s">
        <v>6</v>
      </c>
      <c r="BY65" t="s">
        <v>4232</v>
      </c>
      <c r="BZ65"/>
      <c r="CA65"/>
      <c r="CB65" t="s">
        <v>5</v>
      </c>
      <c r="CC65">
        <v>17772.712032202769</v>
      </c>
      <c r="CD65">
        <v>11553070.796845591</v>
      </c>
      <c r="CE65" s="313" t="s">
        <v>11891</v>
      </c>
    </row>
    <row r="66" spans="1:83" ht="15" x14ac:dyDescent="0.25">
      <c r="A66" t="s">
        <v>4274</v>
      </c>
      <c r="B66" t="s">
        <v>4275</v>
      </c>
      <c r="C66" t="s">
        <v>4247</v>
      </c>
      <c r="D66">
        <v>15</v>
      </c>
      <c r="E66" t="s">
        <v>3847</v>
      </c>
      <c r="F66" t="s">
        <v>3864</v>
      </c>
      <c r="G66" t="s">
        <v>3849</v>
      </c>
      <c r="H66" t="s">
        <v>4276</v>
      </c>
      <c r="I66" t="s">
        <v>4277</v>
      </c>
      <c r="J66" t="s">
        <v>4278</v>
      </c>
      <c r="K66" t="s">
        <v>3902</v>
      </c>
      <c r="L66">
        <v>7.637239933013916</v>
      </c>
      <c r="M66" t="s">
        <v>5</v>
      </c>
      <c r="N66" t="s">
        <v>5</v>
      </c>
      <c r="O66" t="s">
        <v>6</v>
      </c>
      <c r="P66" t="s">
        <v>5</v>
      </c>
      <c r="Q66" t="s">
        <v>5</v>
      </c>
      <c r="R66" t="s">
        <v>4197</v>
      </c>
      <c r="S66" t="s">
        <v>4197</v>
      </c>
      <c r="T66" t="s">
        <v>6</v>
      </c>
      <c r="U66" t="s">
        <v>28</v>
      </c>
      <c r="V66">
        <v>5000000</v>
      </c>
      <c r="W66">
        <v>600000</v>
      </c>
      <c r="X66" t="s">
        <v>6</v>
      </c>
      <c r="Y66"/>
      <c r="Z66">
        <v>0</v>
      </c>
      <c r="AA66">
        <v>1.8748288154602051</v>
      </c>
      <c r="AB66">
        <v>3.5855166912078862</v>
      </c>
      <c r="AC66">
        <v>0</v>
      </c>
      <c r="AD66">
        <v>3778</v>
      </c>
      <c r="AE66">
        <v>2978</v>
      </c>
      <c r="AF66">
        <v>3068</v>
      </c>
      <c r="AG66">
        <v>7882</v>
      </c>
      <c r="AH66">
        <v>11495</v>
      </c>
      <c r="AI66">
        <v>11495</v>
      </c>
      <c r="AJ66">
        <v>4</v>
      </c>
      <c r="AK66">
        <v>0</v>
      </c>
      <c r="AL66">
        <v>55</v>
      </c>
      <c r="AM66">
        <v>0</v>
      </c>
      <c r="AN66">
        <v>506.50286865234381</v>
      </c>
      <c r="AO66">
        <v>0</v>
      </c>
      <c r="AP66">
        <v>0</v>
      </c>
      <c r="AQ66">
        <v>0</v>
      </c>
      <c r="AR66">
        <v>0</v>
      </c>
      <c r="AS66">
        <v>0</v>
      </c>
      <c r="AT66">
        <v>0</v>
      </c>
      <c r="AU66">
        <v>0</v>
      </c>
      <c r="AV66">
        <v>0</v>
      </c>
      <c r="AW66">
        <v>0</v>
      </c>
      <c r="AX66">
        <v>0</v>
      </c>
      <c r="AY66">
        <v>0</v>
      </c>
      <c r="AZ66">
        <v>0</v>
      </c>
      <c r="BA66">
        <v>0</v>
      </c>
      <c r="BB66">
        <v>0</v>
      </c>
      <c r="BC66">
        <v>0</v>
      </c>
      <c r="BD66">
        <v>0</v>
      </c>
      <c r="BE66">
        <v>0</v>
      </c>
      <c r="BF66" t="s">
        <v>5</v>
      </c>
      <c r="BG66" t="s">
        <v>5</v>
      </c>
      <c r="BH66"/>
      <c r="BI66"/>
      <c r="BJ66" t="s">
        <v>5</v>
      </c>
      <c r="BK66"/>
      <c r="BL66">
        <v>0</v>
      </c>
      <c r="BM66">
        <v>0</v>
      </c>
      <c r="BN66" t="s">
        <v>5</v>
      </c>
      <c r="BO66"/>
      <c r="BP66"/>
      <c r="BQ66"/>
      <c r="BR66"/>
      <c r="BS66" t="s">
        <v>5</v>
      </c>
      <c r="BT66"/>
      <c r="BU66"/>
      <c r="BV66"/>
      <c r="BW66"/>
      <c r="BX66" t="s">
        <v>6</v>
      </c>
      <c r="BY66" t="s">
        <v>4232</v>
      </c>
      <c r="BZ66"/>
      <c r="CA66"/>
      <c r="CB66" t="s">
        <v>5</v>
      </c>
      <c r="CC66">
        <v>23893.466141336681</v>
      </c>
      <c r="CD66">
        <v>19780360.86956051</v>
      </c>
      <c r="CE66" s="313" t="s">
        <v>11891</v>
      </c>
    </row>
    <row r="67" spans="1:83" ht="15" x14ac:dyDescent="0.25">
      <c r="A67" t="s">
        <v>4300</v>
      </c>
      <c r="B67" t="s">
        <v>4301</v>
      </c>
      <c r="C67" t="s">
        <v>4226</v>
      </c>
      <c r="D67">
        <v>15</v>
      </c>
      <c r="E67" t="s">
        <v>3847</v>
      </c>
      <c r="F67" t="s">
        <v>3848</v>
      </c>
      <c r="G67" t="s">
        <v>3849</v>
      </c>
      <c r="H67" t="s">
        <v>4302</v>
      </c>
      <c r="I67" t="s">
        <v>4303</v>
      </c>
      <c r="J67" t="s">
        <v>4304</v>
      </c>
      <c r="K67" t="s">
        <v>3902</v>
      </c>
      <c r="L67">
        <v>16.191499710083011</v>
      </c>
      <c r="M67" t="s">
        <v>5</v>
      </c>
      <c r="N67" t="s">
        <v>5</v>
      </c>
      <c r="O67" t="s">
        <v>6</v>
      </c>
      <c r="P67" t="s">
        <v>5</v>
      </c>
      <c r="Q67" t="s">
        <v>5</v>
      </c>
      <c r="R67" t="s">
        <v>4220</v>
      </c>
      <c r="S67" t="s">
        <v>4220</v>
      </c>
      <c r="T67" t="s">
        <v>6</v>
      </c>
      <c r="U67" t="s">
        <v>28</v>
      </c>
      <c r="V67">
        <v>5000000</v>
      </c>
      <c r="W67">
        <v>600000</v>
      </c>
      <c r="X67" t="s">
        <v>6</v>
      </c>
      <c r="Y67"/>
      <c r="Z67">
        <v>0</v>
      </c>
      <c r="AA67">
        <v>6.8654794692993164</v>
      </c>
      <c r="AB67">
        <v>3.857885360717773</v>
      </c>
      <c r="AC67">
        <v>0</v>
      </c>
      <c r="AD67">
        <v>5217</v>
      </c>
      <c r="AE67">
        <v>2895</v>
      </c>
      <c r="AF67">
        <v>3999</v>
      </c>
      <c r="AG67">
        <v>15130</v>
      </c>
      <c r="AH67">
        <v>15210</v>
      </c>
      <c r="AI67">
        <v>15210</v>
      </c>
      <c r="AJ67">
        <v>3</v>
      </c>
      <c r="AK67">
        <v>0</v>
      </c>
      <c r="AL67">
        <v>99</v>
      </c>
      <c r="AM67">
        <v>50</v>
      </c>
      <c r="AN67">
        <v>3047.295654296875</v>
      </c>
      <c r="AO67">
        <v>0</v>
      </c>
      <c r="AP67">
        <v>0</v>
      </c>
      <c r="AQ67">
        <v>0</v>
      </c>
      <c r="AR67">
        <v>0</v>
      </c>
      <c r="AS67">
        <v>0</v>
      </c>
      <c r="AT67">
        <v>0</v>
      </c>
      <c r="AU67">
        <v>0</v>
      </c>
      <c r="AV67">
        <v>0</v>
      </c>
      <c r="AW67">
        <v>0</v>
      </c>
      <c r="AX67">
        <v>0</v>
      </c>
      <c r="AY67">
        <v>0</v>
      </c>
      <c r="AZ67">
        <v>0</v>
      </c>
      <c r="BA67">
        <v>0</v>
      </c>
      <c r="BB67">
        <v>0</v>
      </c>
      <c r="BC67">
        <v>0</v>
      </c>
      <c r="BD67">
        <v>0</v>
      </c>
      <c r="BE67">
        <v>0</v>
      </c>
      <c r="BF67" t="s">
        <v>5</v>
      </c>
      <c r="BG67" t="s">
        <v>5</v>
      </c>
      <c r="BH67"/>
      <c r="BI67"/>
      <c r="BJ67" t="s">
        <v>5</v>
      </c>
      <c r="BK67"/>
      <c r="BL67">
        <v>0</v>
      </c>
      <c r="BM67">
        <v>0</v>
      </c>
      <c r="BN67" t="s">
        <v>5</v>
      </c>
      <c r="BO67"/>
      <c r="BP67"/>
      <c r="BQ67"/>
      <c r="BR67"/>
      <c r="BS67" t="s">
        <v>5</v>
      </c>
      <c r="BT67"/>
      <c r="BU67"/>
      <c r="BV67"/>
      <c r="BW67"/>
      <c r="BX67" t="s">
        <v>6</v>
      </c>
      <c r="BY67" t="s">
        <v>4232</v>
      </c>
      <c r="BZ67"/>
      <c r="CA67"/>
      <c r="CB67" t="s">
        <v>5</v>
      </c>
      <c r="CC67">
        <v>81165.183383846554</v>
      </c>
      <c r="CD67">
        <v>41935777.741971903</v>
      </c>
      <c r="CE67" s="313" t="s">
        <v>11891</v>
      </c>
    </row>
    <row r="68" spans="1:83" ht="15" x14ac:dyDescent="0.25">
      <c r="A68" t="s">
        <v>4325</v>
      </c>
      <c r="B68" t="s">
        <v>4326</v>
      </c>
      <c r="C68" t="s">
        <v>4226</v>
      </c>
      <c r="D68">
        <v>15</v>
      </c>
      <c r="E68" t="s">
        <v>3847</v>
      </c>
      <c r="F68" t="s">
        <v>3864</v>
      </c>
      <c r="G68" t="s">
        <v>3849</v>
      </c>
      <c r="H68" t="s">
        <v>4252</v>
      </c>
      <c r="I68" t="s">
        <v>4253</v>
      </c>
      <c r="J68" t="s">
        <v>4254</v>
      </c>
      <c r="K68" t="s">
        <v>3902</v>
      </c>
      <c r="L68">
        <v>11.68350028991699</v>
      </c>
      <c r="M68" t="s">
        <v>5</v>
      </c>
      <c r="N68" t="s">
        <v>5</v>
      </c>
      <c r="O68" t="s">
        <v>6</v>
      </c>
      <c r="P68" t="s">
        <v>5</v>
      </c>
      <c r="Q68" t="s">
        <v>5</v>
      </c>
      <c r="R68" t="s">
        <v>4328</v>
      </c>
      <c r="S68" t="s">
        <v>4328</v>
      </c>
      <c r="T68" t="s">
        <v>6</v>
      </c>
      <c r="U68" t="s">
        <v>28</v>
      </c>
      <c r="V68">
        <v>5000000</v>
      </c>
      <c r="W68">
        <v>600000</v>
      </c>
      <c r="X68" t="s">
        <v>6</v>
      </c>
      <c r="Y68"/>
      <c r="Z68">
        <v>0</v>
      </c>
      <c r="AA68">
        <v>4.3346471786499023</v>
      </c>
      <c r="AB68">
        <v>3.166141033172607</v>
      </c>
      <c r="AC68">
        <v>0.34845247864723211</v>
      </c>
      <c r="AD68">
        <v>6407</v>
      </c>
      <c r="AE68">
        <v>3857</v>
      </c>
      <c r="AF68">
        <v>5795</v>
      </c>
      <c r="AG68">
        <v>17012</v>
      </c>
      <c r="AH68">
        <v>24358</v>
      </c>
      <c r="AI68">
        <v>24358</v>
      </c>
      <c r="AJ68">
        <v>2</v>
      </c>
      <c r="AK68">
        <v>0</v>
      </c>
      <c r="AL68">
        <v>94</v>
      </c>
      <c r="AM68">
        <v>0</v>
      </c>
      <c r="AN68">
        <v>1610.65185546875</v>
      </c>
      <c r="AO68">
        <v>0</v>
      </c>
      <c r="AP68">
        <v>0</v>
      </c>
      <c r="AQ68">
        <v>0</v>
      </c>
      <c r="AR68">
        <v>0</v>
      </c>
      <c r="AS68">
        <v>0</v>
      </c>
      <c r="AT68">
        <v>0</v>
      </c>
      <c r="AU68">
        <v>0</v>
      </c>
      <c r="AV68">
        <v>0</v>
      </c>
      <c r="AW68">
        <v>0</v>
      </c>
      <c r="AX68">
        <v>0</v>
      </c>
      <c r="AY68">
        <v>0</v>
      </c>
      <c r="AZ68">
        <v>0</v>
      </c>
      <c r="BA68">
        <v>0</v>
      </c>
      <c r="BB68">
        <v>0</v>
      </c>
      <c r="BC68">
        <v>0</v>
      </c>
      <c r="BD68">
        <v>0</v>
      </c>
      <c r="BE68">
        <v>0</v>
      </c>
      <c r="BF68" t="s">
        <v>5</v>
      </c>
      <c r="BG68" t="s">
        <v>5</v>
      </c>
      <c r="BH68"/>
      <c r="BI68"/>
      <c r="BJ68" t="s">
        <v>5</v>
      </c>
      <c r="BK68"/>
      <c r="BL68">
        <v>0</v>
      </c>
      <c r="BM68">
        <v>0</v>
      </c>
      <c r="BN68" t="s">
        <v>5</v>
      </c>
      <c r="BO68"/>
      <c r="BP68"/>
      <c r="BQ68"/>
      <c r="BR68"/>
      <c r="BS68" t="s">
        <v>5</v>
      </c>
      <c r="BT68"/>
      <c r="BU68"/>
      <c r="BV68"/>
      <c r="BW68"/>
      <c r="BX68" t="s">
        <v>6</v>
      </c>
      <c r="BY68" t="s">
        <v>4232</v>
      </c>
      <c r="BZ68"/>
      <c r="CA68"/>
      <c r="CB68" t="s">
        <v>5</v>
      </c>
      <c r="CC68">
        <v>73423.172145539153</v>
      </c>
      <c r="CD68">
        <v>30260123.92512808</v>
      </c>
      <c r="CE68" s="313" t="s">
        <v>11891</v>
      </c>
    </row>
    <row r="69" spans="1:83" ht="15" x14ac:dyDescent="0.25">
      <c r="A69" t="s">
        <v>4280</v>
      </c>
      <c r="B69" t="s">
        <v>4281</v>
      </c>
      <c r="C69" t="s">
        <v>4226</v>
      </c>
      <c r="D69">
        <v>15</v>
      </c>
      <c r="E69" t="s">
        <v>3847</v>
      </c>
      <c r="F69" t="s">
        <v>3864</v>
      </c>
      <c r="G69" t="s">
        <v>3849</v>
      </c>
      <c r="H69" t="s">
        <v>4252</v>
      </c>
      <c r="I69" t="s">
        <v>4253</v>
      </c>
      <c r="J69" t="s">
        <v>4254</v>
      </c>
      <c r="K69" t="s">
        <v>3902</v>
      </c>
      <c r="L69">
        <v>16.5098991394043</v>
      </c>
      <c r="M69" t="s">
        <v>5</v>
      </c>
      <c r="N69" t="s">
        <v>5</v>
      </c>
      <c r="O69" t="s">
        <v>6</v>
      </c>
      <c r="P69" t="s">
        <v>5</v>
      </c>
      <c r="Q69" t="s">
        <v>5</v>
      </c>
      <c r="R69" t="s">
        <v>3897</v>
      </c>
      <c r="S69" t="s">
        <v>3897</v>
      </c>
      <c r="T69" t="s">
        <v>6</v>
      </c>
      <c r="U69" t="s">
        <v>28</v>
      </c>
      <c r="V69">
        <v>5000000</v>
      </c>
      <c r="W69">
        <v>600000</v>
      </c>
      <c r="X69" t="s">
        <v>6</v>
      </c>
      <c r="Y69"/>
      <c r="Z69">
        <v>0</v>
      </c>
      <c r="AA69">
        <v>6.9903383255004883</v>
      </c>
      <c r="AB69">
        <v>3.8185422420501709</v>
      </c>
      <c r="AC69">
        <v>7.3867100290954113E-3</v>
      </c>
      <c r="AD69">
        <v>8435</v>
      </c>
      <c r="AE69">
        <v>4130</v>
      </c>
      <c r="AF69">
        <v>6295</v>
      </c>
      <c r="AG69">
        <v>40076</v>
      </c>
      <c r="AH69">
        <v>23240</v>
      </c>
      <c r="AI69">
        <v>40076</v>
      </c>
      <c r="AJ69">
        <v>3</v>
      </c>
      <c r="AK69">
        <v>0</v>
      </c>
      <c r="AL69">
        <v>148</v>
      </c>
      <c r="AM69">
        <v>0</v>
      </c>
      <c r="AN69">
        <v>1823.820190429688</v>
      </c>
      <c r="AO69">
        <v>0</v>
      </c>
      <c r="AP69">
        <v>0</v>
      </c>
      <c r="AQ69">
        <v>0</v>
      </c>
      <c r="AR69">
        <v>0</v>
      </c>
      <c r="AS69">
        <v>0</v>
      </c>
      <c r="AT69">
        <v>0</v>
      </c>
      <c r="AU69">
        <v>0</v>
      </c>
      <c r="AV69">
        <v>0</v>
      </c>
      <c r="AW69">
        <v>0</v>
      </c>
      <c r="AX69">
        <v>0</v>
      </c>
      <c r="AY69">
        <v>0</v>
      </c>
      <c r="AZ69">
        <v>0</v>
      </c>
      <c r="BA69">
        <v>0</v>
      </c>
      <c r="BB69">
        <v>0</v>
      </c>
      <c r="BC69">
        <v>0</v>
      </c>
      <c r="BD69">
        <v>0</v>
      </c>
      <c r="BE69">
        <v>0</v>
      </c>
      <c r="BF69" t="s">
        <v>5</v>
      </c>
      <c r="BG69" t="s">
        <v>5</v>
      </c>
      <c r="BH69"/>
      <c r="BI69"/>
      <c r="BJ69" t="s">
        <v>5</v>
      </c>
      <c r="BK69"/>
      <c r="BL69">
        <v>0</v>
      </c>
      <c r="BM69">
        <v>0</v>
      </c>
      <c r="BN69" t="s">
        <v>5</v>
      </c>
      <c r="BO69"/>
      <c r="BP69"/>
      <c r="BQ69"/>
      <c r="BR69"/>
      <c r="BS69" t="s">
        <v>5</v>
      </c>
      <c r="BT69"/>
      <c r="BU69"/>
      <c r="BV69"/>
      <c r="BW69"/>
      <c r="BX69" t="s">
        <v>6</v>
      </c>
      <c r="BY69" t="s">
        <v>4232</v>
      </c>
      <c r="BZ69"/>
      <c r="CA69"/>
      <c r="CB69" t="s">
        <v>5</v>
      </c>
      <c r="CC69">
        <v>83014.54892718124</v>
      </c>
      <c r="CD69">
        <v>42760344.968323417</v>
      </c>
      <c r="CE69" s="313" t="s">
        <v>11891</v>
      </c>
    </row>
    <row r="70" spans="1:83" ht="15" x14ac:dyDescent="0.25">
      <c r="A70" t="s">
        <v>4250</v>
      </c>
      <c r="B70" t="s">
        <v>4251</v>
      </c>
      <c r="C70" t="s">
        <v>4247</v>
      </c>
      <c r="D70">
        <v>15</v>
      </c>
      <c r="E70" t="s">
        <v>3847</v>
      </c>
      <c r="F70" t="s">
        <v>3864</v>
      </c>
      <c r="G70" t="s">
        <v>3849</v>
      </c>
      <c r="H70" t="s">
        <v>4252</v>
      </c>
      <c r="I70" t="s">
        <v>4253</v>
      </c>
      <c r="J70" t="s">
        <v>4254</v>
      </c>
      <c r="K70" t="s">
        <v>3902</v>
      </c>
      <c r="L70">
        <v>7.5375199317932129</v>
      </c>
      <c r="M70" t="s">
        <v>5</v>
      </c>
      <c r="N70" t="s">
        <v>5</v>
      </c>
      <c r="O70" t="s">
        <v>6</v>
      </c>
      <c r="P70" t="s">
        <v>5</v>
      </c>
      <c r="Q70" t="s">
        <v>5</v>
      </c>
      <c r="R70" t="s">
        <v>4153</v>
      </c>
      <c r="S70" t="s">
        <v>4153</v>
      </c>
      <c r="T70" t="s">
        <v>6</v>
      </c>
      <c r="U70" t="s">
        <v>28</v>
      </c>
      <c r="V70">
        <v>5000000</v>
      </c>
      <c r="W70">
        <v>600000</v>
      </c>
      <c r="X70" t="s">
        <v>6</v>
      </c>
      <c r="Y70"/>
      <c r="Z70">
        <v>0</v>
      </c>
      <c r="AA70">
        <v>4.0178446769714364</v>
      </c>
      <c r="AB70">
        <v>1.365078449249268</v>
      </c>
      <c r="AC70">
        <v>7.5422585941851139E-3</v>
      </c>
      <c r="AD70">
        <v>4823</v>
      </c>
      <c r="AE70">
        <v>2058</v>
      </c>
      <c r="AF70">
        <v>3641</v>
      </c>
      <c r="AG70">
        <v>12303</v>
      </c>
      <c r="AH70">
        <v>14358</v>
      </c>
      <c r="AI70">
        <v>14358</v>
      </c>
      <c r="AJ70">
        <v>4</v>
      </c>
      <c r="AK70">
        <v>0</v>
      </c>
      <c r="AL70">
        <v>71</v>
      </c>
      <c r="AM70">
        <v>0</v>
      </c>
      <c r="AN70">
        <v>935.9383544921875</v>
      </c>
      <c r="AO70">
        <v>0</v>
      </c>
      <c r="AP70">
        <v>0</v>
      </c>
      <c r="AQ70">
        <v>0</v>
      </c>
      <c r="AR70">
        <v>0</v>
      </c>
      <c r="AS70">
        <v>0</v>
      </c>
      <c r="AT70">
        <v>0</v>
      </c>
      <c r="AU70">
        <v>0</v>
      </c>
      <c r="AV70">
        <v>0</v>
      </c>
      <c r="AW70">
        <v>0</v>
      </c>
      <c r="AX70">
        <v>0</v>
      </c>
      <c r="AY70">
        <v>0</v>
      </c>
      <c r="AZ70">
        <v>0</v>
      </c>
      <c r="BA70">
        <v>0</v>
      </c>
      <c r="BB70">
        <v>0</v>
      </c>
      <c r="BC70">
        <v>0</v>
      </c>
      <c r="BD70">
        <v>0</v>
      </c>
      <c r="BE70">
        <v>0</v>
      </c>
      <c r="BF70" t="s">
        <v>5</v>
      </c>
      <c r="BG70" t="s">
        <v>5</v>
      </c>
      <c r="BH70"/>
      <c r="BI70"/>
      <c r="BJ70" t="s">
        <v>5</v>
      </c>
      <c r="BK70"/>
      <c r="BL70">
        <v>0</v>
      </c>
      <c r="BM70">
        <v>0</v>
      </c>
      <c r="BN70" t="s">
        <v>5</v>
      </c>
      <c r="BO70"/>
      <c r="BP70"/>
      <c r="BQ70"/>
      <c r="BR70"/>
      <c r="BS70" t="s">
        <v>5</v>
      </c>
      <c r="BT70"/>
      <c r="BU70"/>
      <c r="BV70"/>
      <c r="BW70"/>
      <c r="BX70" t="s">
        <v>6</v>
      </c>
      <c r="BY70" t="s">
        <v>4232</v>
      </c>
      <c r="BZ70"/>
      <c r="CA70"/>
      <c r="CB70" t="s">
        <v>5</v>
      </c>
      <c r="CC70">
        <v>32988.717735282713</v>
      </c>
      <c r="CD70">
        <v>19522082.951614842</v>
      </c>
      <c r="CE70" s="313" t="s">
        <v>11891</v>
      </c>
    </row>
    <row r="71" spans="1:83" ht="15" x14ac:dyDescent="0.25">
      <c r="A71" t="s">
        <v>4329</v>
      </c>
      <c r="B71" t="s">
        <v>4330</v>
      </c>
      <c r="C71" t="s">
        <v>4226</v>
      </c>
      <c r="D71">
        <v>15</v>
      </c>
      <c r="E71" t="s">
        <v>3847</v>
      </c>
      <c r="F71" t="s">
        <v>3864</v>
      </c>
      <c r="G71" t="s">
        <v>3849</v>
      </c>
      <c r="H71" t="s">
        <v>4289</v>
      </c>
      <c r="I71" t="s">
        <v>4290</v>
      </c>
      <c r="J71" t="s">
        <v>4291</v>
      </c>
      <c r="K71" t="s">
        <v>3902</v>
      </c>
      <c r="L71">
        <v>7.3350300788879386</v>
      </c>
      <c r="M71" t="s">
        <v>5</v>
      </c>
      <c r="N71" t="s">
        <v>5</v>
      </c>
      <c r="O71" t="s">
        <v>6</v>
      </c>
      <c r="P71" t="s">
        <v>5</v>
      </c>
      <c r="Q71" t="s">
        <v>5</v>
      </c>
      <c r="R71" t="s">
        <v>4332</v>
      </c>
      <c r="S71" t="s">
        <v>4332</v>
      </c>
      <c r="T71" t="s">
        <v>6</v>
      </c>
      <c r="U71" t="s">
        <v>28</v>
      </c>
      <c r="V71">
        <v>5000000</v>
      </c>
      <c r="W71">
        <v>600000</v>
      </c>
      <c r="X71" t="s">
        <v>6</v>
      </c>
      <c r="Y71"/>
      <c r="Z71">
        <v>0</v>
      </c>
      <c r="AA71">
        <v>3.589093685150146</v>
      </c>
      <c r="AB71">
        <v>0.51655828952789307</v>
      </c>
      <c r="AC71">
        <v>0.58830571174621582</v>
      </c>
      <c r="AD71">
        <v>3163</v>
      </c>
      <c r="AE71">
        <v>773</v>
      </c>
      <c r="AF71">
        <v>2709</v>
      </c>
      <c r="AG71">
        <v>4865</v>
      </c>
      <c r="AH71">
        <v>9859</v>
      </c>
      <c r="AI71">
        <v>9859</v>
      </c>
      <c r="AJ71">
        <v>0</v>
      </c>
      <c r="AK71">
        <v>0</v>
      </c>
      <c r="AL71">
        <v>43</v>
      </c>
      <c r="AM71">
        <v>0</v>
      </c>
      <c r="AN71">
        <v>1060.60595703125</v>
      </c>
      <c r="AO71">
        <v>0</v>
      </c>
      <c r="AP71">
        <v>0</v>
      </c>
      <c r="AQ71">
        <v>0</v>
      </c>
      <c r="AR71">
        <v>0</v>
      </c>
      <c r="AS71">
        <v>0</v>
      </c>
      <c r="AT71">
        <v>0</v>
      </c>
      <c r="AU71">
        <v>0</v>
      </c>
      <c r="AV71">
        <v>0</v>
      </c>
      <c r="AW71">
        <v>0</v>
      </c>
      <c r="AX71">
        <v>0</v>
      </c>
      <c r="AY71">
        <v>0</v>
      </c>
      <c r="AZ71">
        <v>0</v>
      </c>
      <c r="BA71">
        <v>0</v>
      </c>
      <c r="BB71">
        <v>0</v>
      </c>
      <c r="BC71">
        <v>0</v>
      </c>
      <c r="BD71">
        <v>0</v>
      </c>
      <c r="BE71">
        <v>0</v>
      </c>
      <c r="BF71" t="s">
        <v>5</v>
      </c>
      <c r="BG71" t="s">
        <v>5</v>
      </c>
      <c r="BH71"/>
      <c r="BI71"/>
      <c r="BJ71" t="s">
        <v>5</v>
      </c>
      <c r="BK71"/>
      <c r="BL71">
        <v>0</v>
      </c>
      <c r="BM71">
        <v>0</v>
      </c>
      <c r="BN71" t="s">
        <v>5</v>
      </c>
      <c r="BO71"/>
      <c r="BP71"/>
      <c r="BQ71"/>
      <c r="BR71"/>
      <c r="BS71" t="s">
        <v>5</v>
      </c>
      <c r="BT71"/>
      <c r="BU71"/>
      <c r="BV71"/>
      <c r="BW71"/>
      <c r="BX71" t="s">
        <v>6</v>
      </c>
      <c r="BY71" t="s">
        <v>4232</v>
      </c>
      <c r="BZ71"/>
      <c r="CA71"/>
      <c r="CB71" t="s">
        <v>5</v>
      </c>
      <c r="CC71">
        <v>40600.832347297452</v>
      </c>
      <c r="CD71">
        <v>18997650.206614729</v>
      </c>
      <c r="CE71" s="313" t="s">
        <v>11891</v>
      </c>
    </row>
    <row r="72" spans="1:83" ht="15" x14ac:dyDescent="0.25">
      <c r="A72" t="s">
        <v>4293</v>
      </c>
      <c r="B72" t="s">
        <v>4294</v>
      </c>
      <c r="C72" t="s">
        <v>4226</v>
      </c>
      <c r="D72">
        <v>15</v>
      </c>
      <c r="E72" t="s">
        <v>3847</v>
      </c>
      <c r="F72" t="s">
        <v>3848</v>
      </c>
      <c r="G72" t="s">
        <v>4295</v>
      </c>
      <c r="H72" t="s">
        <v>4296</v>
      </c>
      <c r="I72" t="s">
        <v>4297</v>
      </c>
      <c r="J72" t="s">
        <v>4298</v>
      </c>
      <c r="K72" t="s">
        <v>3902</v>
      </c>
      <c r="L72">
        <v>145.64599609375</v>
      </c>
      <c r="M72" t="s">
        <v>5</v>
      </c>
      <c r="N72" t="s">
        <v>5</v>
      </c>
      <c r="O72" t="s">
        <v>6</v>
      </c>
      <c r="P72" t="s">
        <v>5</v>
      </c>
      <c r="Q72" t="s">
        <v>5</v>
      </c>
      <c r="R72" t="s">
        <v>4159</v>
      </c>
      <c r="S72" t="s">
        <v>4159</v>
      </c>
      <c r="T72" t="s">
        <v>6</v>
      </c>
      <c r="U72" t="s">
        <v>28</v>
      </c>
      <c r="V72">
        <v>5000000</v>
      </c>
      <c r="W72">
        <v>600000</v>
      </c>
      <c r="X72" t="s">
        <v>6</v>
      </c>
      <c r="Y72"/>
      <c r="Z72">
        <v>0</v>
      </c>
      <c r="AA72">
        <v>65.606979370117188</v>
      </c>
      <c r="AB72">
        <v>58.217800140380859</v>
      </c>
      <c r="AC72">
        <v>0.58035695552825928</v>
      </c>
      <c r="AD72">
        <v>38722</v>
      </c>
      <c r="AE72">
        <v>31622</v>
      </c>
      <c r="AF72">
        <v>34207</v>
      </c>
      <c r="AG72">
        <v>157389</v>
      </c>
      <c r="AH72">
        <v>136558</v>
      </c>
      <c r="AI72">
        <v>157389</v>
      </c>
      <c r="AJ72">
        <v>6</v>
      </c>
      <c r="AK72">
        <v>0</v>
      </c>
      <c r="AL72">
        <v>620</v>
      </c>
      <c r="AM72">
        <v>479</v>
      </c>
      <c r="AN72">
        <v>16278.69140625</v>
      </c>
      <c r="AO72">
        <v>0</v>
      </c>
      <c r="AP72">
        <v>0</v>
      </c>
      <c r="AQ72">
        <v>0</v>
      </c>
      <c r="AR72">
        <v>0</v>
      </c>
      <c r="AS72">
        <v>0</v>
      </c>
      <c r="AT72">
        <v>0</v>
      </c>
      <c r="AU72">
        <v>0</v>
      </c>
      <c r="AV72">
        <v>0</v>
      </c>
      <c r="AW72">
        <v>0</v>
      </c>
      <c r="AX72">
        <v>0</v>
      </c>
      <c r="AY72">
        <v>0</v>
      </c>
      <c r="AZ72">
        <v>0</v>
      </c>
      <c r="BA72">
        <v>0</v>
      </c>
      <c r="BB72">
        <v>0</v>
      </c>
      <c r="BC72">
        <v>0</v>
      </c>
      <c r="BD72">
        <v>0</v>
      </c>
      <c r="BE72">
        <v>0</v>
      </c>
      <c r="BF72" t="s">
        <v>5</v>
      </c>
      <c r="BG72" t="s">
        <v>5</v>
      </c>
      <c r="BH72"/>
      <c r="BI72"/>
      <c r="BJ72" t="s">
        <v>5</v>
      </c>
      <c r="BK72"/>
      <c r="BL72">
        <v>0</v>
      </c>
      <c r="BM72">
        <v>0</v>
      </c>
      <c r="BN72" t="s">
        <v>5</v>
      </c>
      <c r="BO72"/>
      <c r="BP72"/>
      <c r="BQ72"/>
      <c r="BR72"/>
      <c r="BS72" t="s">
        <v>5</v>
      </c>
      <c r="BT72"/>
      <c r="BU72"/>
      <c r="BV72"/>
      <c r="BW72"/>
      <c r="BX72" t="s">
        <v>6</v>
      </c>
      <c r="BY72" t="s">
        <v>4232</v>
      </c>
      <c r="BZ72"/>
      <c r="CA72"/>
      <c r="CB72" t="s">
        <v>5</v>
      </c>
      <c r="CC72">
        <v>380903.35812663188</v>
      </c>
      <c r="CD72">
        <v>377221381.4509533</v>
      </c>
      <c r="CE72" s="313" t="s">
        <v>11891</v>
      </c>
    </row>
    <row r="73" spans="1:83" ht="15" x14ac:dyDescent="0.25">
      <c r="A73" t="s">
        <v>4336</v>
      </c>
      <c r="B73" t="s">
        <v>4337</v>
      </c>
      <c r="C73" t="s">
        <v>4226</v>
      </c>
      <c r="D73">
        <v>15</v>
      </c>
      <c r="E73" t="s">
        <v>3847</v>
      </c>
      <c r="F73" t="s">
        <v>3848</v>
      </c>
      <c r="G73" t="s">
        <v>4295</v>
      </c>
      <c r="H73" t="s">
        <v>4338</v>
      </c>
      <c r="I73" t="s">
        <v>4339</v>
      </c>
      <c r="J73" t="s">
        <v>4340</v>
      </c>
      <c r="K73" t="s">
        <v>3902</v>
      </c>
      <c r="L73">
        <v>1172.609985351562</v>
      </c>
      <c r="M73" t="s">
        <v>5</v>
      </c>
      <c r="N73" t="s">
        <v>5</v>
      </c>
      <c r="O73" t="s">
        <v>6</v>
      </c>
      <c r="P73" t="s">
        <v>5</v>
      </c>
      <c r="Q73" t="s">
        <v>5</v>
      </c>
      <c r="R73" t="s">
        <v>4341</v>
      </c>
      <c r="S73" t="s">
        <v>4341</v>
      </c>
      <c r="T73" t="s">
        <v>6</v>
      </c>
      <c r="U73" t="s">
        <v>28</v>
      </c>
      <c r="V73">
        <v>5000000</v>
      </c>
      <c r="W73">
        <v>600000</v>
      </c>
      <c r="X73" t="s">
        <v>6</v>
      </c>
      <c r="Y73"/>
      <c r="Z73">
        <v>0</v>
      </c>
      <c r="AA73">
        <v>479.0028076171875</v>
      </c>
      <c r="AB73">
        <v>340.20013427734381</v>
      </c>
      <c r="AC73">
        <v>10.934786796569821</v>
      </c>
      <c r="AD73">
        <v>96099</v>
      </c>
      <c r="AE73">
        <v>72186</v>
      </c>
      <c r="AF73">
        <v>80721</v>
      </c>
      <c r="AG73">
        <v>310632</v>
      </c>
      <c r="AH73">
        <v>299160</v>
      </c>
      <c r="AI73">
        <v>310632</v>
      </c>
      <c r="AJ73">
        <v>34</v>
      </c>
      <c r="AK73">
        <v>2</v>
      </c>
      <c r="AL73">
        <v>1956</v>
      </c>
      <c r="AM73">
        <v>1741</v>
      </c>
      <c r="AN73">
        <v>212333.75</v>
      </c>
      <c r="AO73">
        <v>0</v>
      </c>
      <c r="AP73">
        <v>0</v>
      </c>
      <c r="AQ73">
        <v>0</v>
      </c>
      <c r="AR73">
        <v>0</v>
      </c>
      <c r="AS73">
        <v>0</v>
      </c>
      <c r="AT73">
        <v>0</v>
      </c>
      <c r="AU73">
        <v>0</v>
      </c>
      <c r="AV73">
        <v>0</v>
      </c>
      <c r="AW73">
        <v>0</v>
      </c>
      <c r="AX73">
        <v>0</v>
      </c>
      <c r="AY73">
        <v>0</v>
      </c>
      <c r="AZ73">
        <v>0</v>
      </c>
      <c r="BA73">
        <v>0</v>
      </c>
      <c r="BB73">
        <v>0</v>
      </c>
      <c r="BC73">
        <v>0</v>
      </c>
      <c r="BD73">
        <v>0</v>
      </c>
      <c r="BE73">
        <v>0</v>
      </c>
      <c r="BF73" t="s">
        <v>5</v>
      </c>
      <c r="BG73" t="s">
        <v>5</v>
      </c>
      <c r="BH73"/>
      <c r="BI73"/>
      <c r="BJ73" t="s">
        <v>5</v>
      </c>
      <c r="BK73"/>
      <c r="BL73">
        <v>0</v>
      </c>
      <c r="BM73">
        <v>0</v>
      </c>
      <c r="BN73" t="s">
        <v>5</v>
      </c>
      <c r="BO73"/>
      <c r="BP73"/>
      <c r="BQ73"/>
      <c r="BR73"/>
      <c r="BS73" t="s">
        <v>5</v>
      </c>
      <c r="BT73"/>
      <c r="BU73"/>
      <c r="BV73"/>
      <c r="BW73"/>
      <c r="BX73" t="s">
        <v>6</v>
      </c>
      <c r="BY73" t="s">
        <v>4232</v>
      </c>
      <c r="BZ73"/>
      <c r="CA73"/>
      <c r="CB73" t="s">
        <v>5</v>
      </c>
      <c r="CC73">
        <v>351886.6462515223</v>
      </c>
      <c r="CD73">
        <v>3037055986.8856602</v>
      </c>
      <c r="CE73" s="313" t="s">
        <v>11891</v>
      </c>
    </row>
    <row r="74" spans="1:83" ht="15" x14ac:dyDescent="0.25">
      <c r="A74" t="s">
        <v>4306</v>
      </c>
      <c r="B74" t="s">
        <v>4307</v>
      </c>
      <c r="C74" t="s">
        <v>4226</v>
      </c>
      <c r="D74">
        <v>15</v>
      </c>
      <c r="E74" t="s">
        <v>3847</v>
      </c>
      <c r="F74" t="s">
        <v>3848</v>
      </c>
      <c r="G74" t="s">
        <v>3849</v>
      </c>
      <c r="H74" t="s">
        <v>4308</v>
      </c>
      <c r="I74" t="s">
        <v>4309</v>
      </c>
      <c r="J74" t="s">
        <v>4310</v>
      </c>
      <c r="K74" t="s">
        <v>3902</v>
      </c>
      <c r="L74">
        <v>3.2489500045776372</v>
      </c>
      <c r="M74" t="s">
        <v>5</v>
      </c>
      <c r="N74" t="s">
        <v>5</v>
      </c>
      <c r="O74" t="s">
        <v>6</v>
      </c>
      <c r="P74" t="s">
        <v>5</v>
      </c>
      <c r="Q74" t="s">
        <v>5</v>
      </c>
      <c r="R74" t="s">
        <v>4312</v>
      </c>
      <c r="S74" t="s">
        <v>4312</v>
      </c>
      <c r="T74" t="s">
        <v>6</v>
      </c>
      <c r="U74" t="s">
        <v>28</v>
      </c>
      <c r="V74">
        <v>5000000</v>
      </c>
      <c r="W74">
        <v>600000</v>
      </c>
      <c r="X74" t="s">
        <v>6</v>
      </c>
      <c r="Y74"/>
      <c r="Z74">
        <v>0</v>
      </c>
      <c r="AA74">
        <v>1.514484167098999</v>
      </c>
      <c r="AB74">
        <v>0.88015967607498169</v>
      </c>
      <c r="AC74">
        <v>0</v>
      </c>
      <c r="AD74">
        <v>928</v>
      </c>
      <c r="AE74">
        <v>474</v>
      </c>
      <c r="AF74">
        <v>736</v>
      </c>
      <c r="AG74">
        <v>1754</v>
      </c>
      <c r="AH74">
        <v>2347</v>
      </c>
      <c r="AI74">
        <v>2347</v>
      </c>
      <c r="AJ74">
        <v>2</v>
      </c>
      <c r="AK74">
        <v>0</v>
      </c>
      <c r="AL74">
        <v>14</v>
      </c>
      <c r="AM74">
        <v>14</v>
      </c>
      <c r="AN74">
        <v>845.447998046875</v>
      </c>
      <c r="AO74">
        <v>0</v>
      </c>
      <c r="AP74">
        <v>0</v>
      </c>
      <c r="AQ74">
        <v>0</v>
      </c>
      <c r="AR74">
        <v>0</v>
      </c>
      <c r="AS74">
        <v>0</v>
      </c>
      <c r="AT74">
        <v>0</v>
      </c>
      <c r="AU74">
        <v>0</v>
      </c>
      <c r="AV74">
        <v>0</v>
      </c>
      <c r="AW74">
        <v>0</v>
      </c>
      <c r="AX74">
        <v>0</v>
      </c>
      <c r="AY74">
        <v>0</v>
      </c>
      <c r="AZ74">
        <v>0</v>
      </c>
      <c r="BA74">
        <v>0</v>
      </c>
      <c r="BB74">
        <v>0</v>
      </c>
      <c r="BC74">
        <v>0</v>
      </c>
      <c r="BD74">
        <v>0</v>
      </c>
      <c r="BE74">
        <v>0</v>
      </c>
      <c r="BF74" t="s">
        <v>5</v>
      </c>
      <c r="BG74" t="s">
        <v>5</v>
      </c>
      <c r="BH74"/>
      <c r="BI74"/>
      <c r="BJ74" t="s">
        <v>5</v>
      </c>
      <c r="BK74"/>
      <c r="BL74">
        <v>0</v>
      </c>
      <c r="BM74">
        <v>0</v>
      </c>
      <c r="BN74" t="s">
        <v>5</v>
      </c>
      <c r="BO74"/>
      <c r="BP74"/>
      <c r="BQ74"/>
      <c r="BR74"/>
      <c r="BS74" t="s">
        <v>5</v>
      </c>
      <c r="BT74"/>
      <c r="BU74"/>
      <c r="BV74"/>
      <c r="BW74"/>
      <c r="BX74" t="s">
        <v>6</v>
      </c>
      <c r="BY74" t="s">
        <v>4232</v>
      </c>
      <c r="BZ74"/>
      <c r="CA74"/>
      <c r="CB74" t="s">
        <v>5</v>
      </c>
      <c r="CC74">
        <v>26001.26740057602</v>
      </c>
      <c r="CD74">
        <v>8414752.6077392343</v>
      </c>
      <c r="CE74" s="313" t="s">
        <v>11891</v>
      </c>
    </row>
    <row r="75" spans="1:83" ht="15" x14ac:dyDescent="0.25">
      <c r="A75" t="s">
        <v>4283</v>
      </c>
      <c r="B75" t="s">
        <v>4284</v>
      </c>
      <c r="C75" t="s">
        <v>4226</v>
      </c>
      <c r="D75">
        <v>15</v>
      </c>
      <c r="E75" t="s">
        <v>3847</v>
      </c>
      <c r="F75" t="s">
        <v>3864</v>
      </c>
      <c r="G75" t="s">
        <v>3849</v>
      </c>
      <c r="H75" t="s">
        <v>4252</v>
      </c>
      <c r="I75" t="s">
        <v>4253</v>
      </c>
      <c r="J75" t="s">
        <v>4254</v>
      </c>
      <c r="K75" t="s">
        <v>3902</v>
      </c>
      <c r="L75">
        <v>8.3324003219604492</v>
      </c>
      <c r="M75" t="s">
        <v>5</v>
      </c>
      <c r="N75" t="s">
        <v>5</v>
      </c>
      <c r="O75" t="s">
        <v>6</v>
      </c>
      <c r="P75" t="s">
        <v>5</v>
      </c>
      <c r="Q75" t="s">
        <v>5</v>
      </c>
      <c r="R75" t="s">
        <v>4286</v>
      </c>
      <c r="S75" t="s">
        <v>4286</v>
      </c>
      <c r="T75" t="s">
        <v>6</v>
      </c>
      <c r="U75" t="s">
        <v>28</v>
      </c>
      <c r="V75">
        <v>5000000</v>
      </c>
      <c r="W75">
        <v>600000</v>
      </c>
      <c r="X75" t="s">
        <v>6</v>
      </c>
      <c r="Y75"/>
      <c r="Z75">
        <v>0</v>
      </c>
      <c r="AA75">
        <v>4.5474553108215332</v>
      </c>
      <c r="AB75">
        <v>1.552227258682251</v>
      </c>
      <c r="AC75">
        <v>7.2499997913837433E-3</v>
      </c>
      <c r="AD75">
        <v>3455</v>
      </c>
      <c r="AE75">
        <v>1245</v>
      </c>
      <c r="AF75">
        <v>2165</v>
      </c>
      <c r="AG75">
        <v>15682</v>
      </c>
      <c r="AH75">
        <v>11232</v>
      </c>
      <c r="AI75">
        <v>15682</v>
      </c>
      <c r="AJ75">
        <v>6</v>
      </c>
      <c r="AK75">
        <v>0</v>
      </c>
      <c r="AL75">
        <v>61</v>
      </c>
      <c r="AM75">
        <v>0</v>
      </c>
      <c r="AN75">
        <v>1935.2421875</v>
      </c>
      <c r="AO75">
        <v>0</v>
      </c>
      <c r="AP75">
        <v>0</v>
      </c>
      <c r="AQ75">
        <v>0</v>
      </c>
      <c r="AR75">
        <v>0</v>
      </c>
      <c r="AS75">
        <v>0</v>
      </c>
      <c r="AT75">
        <v>0</v>
      </c>
      <c r="AU75">
        <v>0</v>
      </c>
      <c r="AV75">
        <v>0</v>
      </c>
      <c r="AW75">
        <v>0</v>
      </c>
      <c r="AX75">
        <v>0</v>
      </c>
      <c r="AY75">
        <v>0</v>
      </c>
      <c r="AZ75">
        <v>0</v>
      </c>
      <c r="BA75">
        <v>0</v>
      </c>
      <c r="BB75">
        <v>0</v>
      </c>
      <c r="BC75">
        <v>0</v>
      </c>
      <c r="BD75">
        <v>0</v>
      </c>
      <c r="BE75">
        <v>0</v>
      </c>
      <c r="BF75" t="s">
        <v>5</v>
      </c>
      <c r="BG75" t="s">
        <v>5</v>
      </c>
      <c r="BH75"/>
      <c r="BI75"/>
      <c r="BJ75" t="s">
        <v>5</v>
      </c>
      <c r="BK75"/>
      <c r="BL75">
        <v>0</v>
      </c>
      <c r="BM75">
        <v>0</v>
      </c>
      <c r="BN75" t="s">
        <v>5</v>
      </c>
      <c r="BO75"/>
      <c r="BP75"/>
      <c r="BQ75"/>
      <c r="BR75"/>
      <c r="BS75" t="s">
        <v>5</v>
      </c>
      <c r="BT75"/>
      <c r="BU75"/>
      <c r="BV75"/>
      <c r="BW75"/>
      <c r="BX75" t="s">
        <v>6</v>
      </c>
      <c r="BY75" t="s">
        <v>4232</v>
      </c>
      <c r="BZ75"/>
      <c r="CA75"/>
      <c r="CB75" t="s">
        <v>5</v>
      </c>
      <c r="CC75">
        <v>72865.846077138704</v>
      </c>
      <c r="CD75">
        <v>21580823.103363421</v>
      </c>
      <c r="CE75" s="313" t="s">
        <v>11891</v>
      </c>
    </row>
    <row r="76" spans="1:83" ht="15" x14ac:dyDescent="0.25">
      <c r="A76" t="s">
        <v>4256</v>
      </c>
      <c r="B76" t="s">
        <v>4257</v>
      </c>
      <c r="C76" t="s">
        <v>4226</v>
      </c>
      <c r="D76">
        <v>15</v>
      </c>
      <c r="E76" t="s">
        <v>3847</v>
      </c>
      <c r="F76" t="s">
        <v>3864</v>
      </c>
      <c r="G76" t="s">
        <v>3849</v>
      </c>
      <c r="H76" t="s">
        <v>4162</v>
      </c>
      <c r="I76" t="s">
        <v>4163</v>
      </c>
      <c r="J76" t="s">
        <v>4258</v>
      </c>
      <c r="K76" t="s">
        <v>3902</v>
      </c>
      <c r="L76">
        <v>2.093980073928833</v>
      </c>
      <c r="M76" t="s">
        <v>5</v>
      </c>
      <c r="N76" t="s">
        <v>5</v>
      </c>
      <c r="O76" t="s">
        <v>6</v>
      </c>
      <c r="P76" t="s">
        <v>5</v>
      </c>
      <c r="Q76" t="s">
        <v>5</v>
      </c>
      <c r="R76" t="s">
        <v>4260</v>
      </c>
      <c r="S76" t="s">
        <v>4260</v>
      </c>
      <c r="T76" t="s">
        <v>6</v>
      </c>
      <c r="U76" t="s">
        <v>28</v>
      </c>
      <c r="V76">
        <v>5000000</v>
      </c>
      <c r="W76">
        <v>600000</v>
      </c>
      <c r="X76" t="s">
        <v>6</v>
      </c>
      <c r="Y76"/>
      <c r="Z76">
        <v>0</v>
      </c>
      <c r="AA76">
        <v>0.69741600751876831</v>
      </c>
      <c r="AB76">
        <v>0.86865073442459106</v>
      </c>
      <c r="AC76">
        <v>0.121584877371788</v>
      </c>
      <c r="AD76">
        <v>1733</v>
      </c>
      <c r="AE76">
        <v>1012</v>
      </c>
      <c r="AF76">
        <v>1351</v>
      </c>
      <c r="AG76">
        <v>6973</v>
      </c>
      <c r="AH76">
        <v>6172</v>
      </c>
      <c r="AI76">
        <v>6973</v>
      </c>
      <c r="AJ76">
        <v>0</v>
      </c>
      <c r="AK76">
        <v>0</v>
      </c>
      <c r="AL76">
        <v>24</v>
      </c>
      <c r="AM76">
        <v>0</v>
      </c>
      <c r="AN76">
        <v>157.23478698730469</v>
      </c>
      <c r="AO76">
        <v>0</v>
      </c>
      <c r="AP76">
        <v>0</v>
      </c>
      <c r="AQ76">
        <v>0</v>
      </c>
      <c r="AR76">
        <v>0</v>
      </c>
      <c r="AS76">
        <v>0</v>
      </c>
      <c r="AT76">
        <v>0</v>
      </c>
      <c r="AU76">
        <v>0</v>
      </c>
      <c r="AV76">
        <v>0</v>
      </c>
      <c r="AW76">
        <v>0</v>
      </c>
      <c r="AX76">
        <v>0</v>
      </c>
      <c r="AY76">
        <v>0</v>
      </c>
      <c r="AZ76">
        <v>0</v>
      </c>
      <c r="BA76">
        <v>0</v>
      </c>
      <c r="BB76">
        <v>0</v>
      </c>
      <c r="BC76">
        <v>0</v>
      </c>
      <c r="BD76">
        <v>0</v>
      </c>
      <c r="BE76">
        <v>0</v>
      </c>
      <c r="BF76" t="s">
        <v>5</v>
      </c>
      <c r="BG76" t="s">
        <v>5</v>
      </c>
      <c r="BH76"/>
      <c r="BI76"/>
      <c r="BJ76" t="s">
        <v>5</v>
      </c>
      <c r="BK76"/>
      <c r="BL76">
        <v>0</v>
      </c>
      <c r="BM76">
        <v>0</v>
      </c>
      <c r="BN76" t="s">
        <v>5</v>
      </c>
      <c r="BO76"/>
      <c r="BP76"/>
      <c r="BQ76"/>
      <c r="BR76"/>
      <c r="BS76" t="s">
        <v>5</v>
      </c>
      <c r="BT76"/>
      <c r="BU76"/>
      <c r="BV76"/>
      <c r="BW76"/>
      <c r="BX76" t="s">
        <v>6</v>
      </c>
      <c r="BY76" t="s">
        <v>4232</v>
      </c>
      <c r="BZ76"/>
      <c r="CA76"/>
      <c r="CB76" t="s">
        <v>5</v>
      </c>
      <c r="CC76">
        <v>18647.684632495941</v>
      </c>
      <c r="CD76">
        <v>5423394.8388470067</v>
      </c>
      <c r="CE76" s="313" t="s">
        <v>11891</v>
      </c>
    </row>
    <row r="77" spans="1:83" ht="15" x14ac:dyDescent="0.25">
      <c r="A77" t="s">
        <v>3636</v>
      </c>
      <c r="B77" t="s">
        <v>3637</v>
      </c>
      <c r="C77" t="s">
        <v>3638</v>
      </c>
      <c r="D77">
        <v>13</v>
      </c>
      <c r="E77" t="s">
        <v>3573</v>
      </c>
      <c r="F77" t="s">
        <v>3612</v>
      </c>
      <c r="G77" t="s">
        <v>3622</v>
      </c>
      <c r="H77" t="s">
        <v>3639</v>
      </c>
      <c r="I77" t="s">
        <v>3640</v>
      </c>
      <c r="J77" t="s">
        <v>3641</v>
      </c>
      <c r="K77" t="s">
        <v>3585</v>
      </c>
      <c r="L77">
        <v>1.6618597507476811</v>
      </c>
      <c r="M77" t="s">
        <v>6</v>
      </c>
      <c r="N77" t="s">
        <v>5</v>
      </c>
      <c r="O77" t="s">
        <v>6</v>
      </c>
      <c r="P77" t="s">
        <v>5</v>
      </c>
      <c r="Q77" t="s">
        <v>5</v>
      </c>
      <c r="R77" t="s">
        <v>3642</v>
      </c>
      <c r="S77" t="s">
        <v>3643</v>
      </c>
      <c r="T77" t="s">
        <v>6</v>
      </c>
      <c r="U77" t="s">
        <v>50</v>
      </c>
      <c r="V77">
        <v>530000</v>
      </c>
      <c r="W77">
        <v>530000</v>
      </c>
      <c r="X77" t="s">
        <v>5</v>
      </c>
      <c r="Y77"/>
      <c r="Z77"/>
      <c r="AA77">
        <v>0.29883161187171942</v>
      </c>
      <c r="AB77">
        <v>6.066850945353508E-2</v>
      </c>
      <c r="AC77">
        <v>0</v>
      </c>
      <c r="AD77">
        <v>259</v>
      </c>
      <c r="AE77">
        <v>49</v>
      </c>
      <c r="AF77">
        <v>224</v>
      </c>
      <c r="AG77">
        <v>246</v>
      </c>
      <c r="AH77">
        <v>471</v>
      </c>
      <c r="AI77">
        <v>471</v>
      </c>
      <c r="AJ77">
        <v>0</v>
      </c>
      <c r="AK77">
        <v>0</v>
      </c>
      <c r="AL77">
        <v>5</v>
      </c>
      <c r="AM77">
        <v>35</v>
      </c>
      <c r="AN77">
        <v>0.75985586643218994</v>
      </c>
      <c r="AO77"/>
      <c r="AP77"/>
      <c r="AQ77"/>
      <c r="AR77"/>
      <c r="AS77"/>
      <c r="AT77"/>
      <c r="AU77"/>
      <c r="AV77"/>
      <c r="AW77"/>
      <c r="AX77"/>
      <c r="AY77"/>
      <c r="AZ77"/>
      <c r="BA77"/>
      <c r="BB77"/>
      <c r="BC77"/>
      <c r="BD77"/>
      <c r="BE77">
        <v>0</v>
      </c>
      <c r="BF77" t="s">
        <v>5</v>
      </c>
      <c r="BG77" t="s">
        <v>5</v>
      </c>
      <c r="BH77" t="s">
        <v>3581</v>
      </c>
      <c r="BI77"/>
      <c r="BJ77" t="s">
        <v>5</v>
      </c>
      <c r="BK77"/>
      <c r="BL77">
        <v>0</v>
      </c>
      <c r="BM77"/>
      <c r="BN77" t="s">
        <v>5</v>
      </c>
      <c r="BO77"/>
      <c r="BP77"/>
      <c r="BQ77"/>
      <c r="BR77"/>
      <c r="BS77" t="s">
        <v>5</v>
      </c>
      <c r="BT77"/>
      <c r="BU77"/>
      <c r="BV77"/>
      <c r="BW77"/>
      <c r="BX77" t="s">
        <v>6</v>
      </c>
      <c r="BY77" t="s">
        <v>3601</v>
      </c>
      <c r="BZ77"/>
      <c r="CA77"/>
      <c r="CB77" t="s">
        <v>5</v>
      </c>
      <c r="CC77">
        <v>10715.71695373954</v>
      </c>
      <c r="CD77">
        <v>4304214.3563261703</v>
      </c>
      <c r="CE77" s="313" t="s">
        <v>11891</v>
      </c>
    </row>
    <row r="78" spans="1:83" ht="15" x14ac:dyDescent="0.25">
      <c r="A78" t="s">
        <v>1741</v>
      </c>
      <c r="B78" t="s">
        <v>1742</v>
      </c>
      <c r="C78" t="s">
        <v>1743</v>
      </c>
      <c r="D78">
        <v>2</v>
      </c>
      <c r="E78" t="s">
        <v>1744</v>
      </c>
      <c r="F78" t="s">
        <v>1745</v>
      </c>
      <c r="G78" t="s">
        <v>1746</v>
      </c>
      <c r="H78"/>
      <c r="I78" t="s">
        <v>1585</v>
      </c>
      <c r="J78" t="s">
        <v>1585</v>
      </c>
      <c r="K78" t="s">
        <v>1747</v>
      </c>
      <c r="L78">
        <v>9160.388671875</v>
      </c>
      <c r="M78" t="s">
        <v>6</v>
      </c>
      <c r="N78" t="s">
        <v>5</v>
      </c>
      <c r="O78" t="s">
        <v>5</v>
      </c>
      <c r="P78" t="s">
        <v>5</v>
      </c>
      <c r="Q78" t="s">
        <v>5</v>
      </c>
      <c r="R78" t="s">
        <v>1748</v>
      </c>
      <c r="S78" t="s">
        <v>1749</v>
      </c>
      <c r="T78" t="s">
        <v>5</v>
      </c>
      <c r="U78" t="s">
        <v>50</v>
      </c>
      <c r="V78">
        <v>500000</v>
      </c>
      <c r="W78">
        <v>500000</v>
      </c>
      <c r="X78" t="s">
        <v>5</v>
      </c>
      <c r="Y78"/>
      <c r="Z78"/>
      <c r="AA78">
        <v>2820.708251953125</v>
      </c>
      <c r="AB78">
        <v>115.15859222412109</v>
      </c>
      <c r="AC78">
        <v>0</v>
      </c>
      <c r="AD78">
        <v>13438</v>
      </c>
      <c r="AE78">
        <v>1585</v>
      </c>
      <c r="AF78">
        <v>8069</v>
      </c>
      <c r="AG78">
        <v>37615</v>
      </c>
      <c r="AH78">
        <v>20723</v>
      </c>
      <c r="AI78">
        <v>51360</v>
      </c>
      <c r="AJ78">
        <v>159</v>
      </c>
      <c r="AK78">
        <v>116</v>
      </c>
      <c r="AL78">
        <v>1924</v>
      </c>
      <c r="AM78"/>
      <c r="AN78">
        <v>180986.3125</v>
      </c>
      <c r="AO78"/>
      <c r="AP78"/>
      <c r="AQ78"/>
      <c r="AR78"/>
      <c r="AS78"/>
      <c r="AT78"/>
      <c r="AU78"/>
      <c r="AV78"/>
      <c r="AW78"/>
      <c r="AX78"/>
      <c r="AY78"/>
      <c r="AZ78"/>
      <c r="BA78"/>
      <c r="BB78"/>
      <c r="BC78"/>
      <c r="BD78"/>
      <c r="BE78"/>
      <c r="BF78" t="s">
        <v>1498</v>
      </c>
      <c r="BG78" t="s">
        <v>5</v>
      </c>
      <c r="BH78" t="s">
        <v>1524</v>
      </c>
      <c r="BI78" t="s">
        <v>5</v>
      </c>
      <c r="BJ78" t="s">
        <v>5</v>
      </c>
      <c r="BK78"/>
      <c r="BL78">
        <v>0</v>
      </c>
      <c r="BM78"/>
      <c r="BN78" t="s">
        <v>5</v>
      </c>
      <c r="BO78"/>
      <c r="BP78"/>
      <c r="BQ78"/>
      <c r="BR78"/>
      <c r="BS78" t="s">
        <v>5</v>
      </c>
      <c r="BT78"/>
      <c r="BU78"/>
      <c r="BV78"/>
      <c r="BW78"/>
      <c r="BX78" t="s">
        <v>6</v>
      </c>
      <c r="BY78" t="s">
        <v>1681</v>
      </c>
      <c r="BZ78"/>
      <c r="CA78"/>
      <c r="CB78" t="s">
        <v>5</v>
      </c>
      <c r="CC78">
        <v>1281108.6032982951</v>
      </c>
      <c r="CD78">
        <v>23725296905.122398</v>
      </c>
      <c r="CE78" s="313" t="s">
        <v>11891</v>
      </c>
    </row>
    <row r="79" spans="1:83" ht="15" x14ac:dyDescent="0.25">
      <c r="A79" t="s">
        <v>4753</v>
      </c>
      <c r="B79" t="s">
        <v>4754</v>
      </c>
      <c r="C79" t="s">
        <v>4755</v>
      </c>
      <c r="D79">
        <v>4</v>
      </c>
      <c r="E79" t="s">
        <v>2512</v>
      </c>
      <c r="F79" t="s">
        <v>2559</v>
      </c>
      <c r="G79" t="s">
        <v>2560</v>
      </c>
      <c r="H79" t="s">
        <v>2561</v>
      </c>
      <c r="I79" t="s">
        <v>2562</v>
      </c>
      <c r="J79" t="s">
        <v>2563</v>
      </c>
      <c r="K79" t="s">
        <v>4756</v>
      </c>
      <c r="L79">
        <v>371.03521728515619</v>
      </c>
      <c r="M79" t="s">
        <v>6</v>
      </c>
      <c r="N79" t="s">
        <v>6</v>
      </c>
      <c r="O79" t="s">
        <v>5</v>
      </c>
      <c r="P79" t="s">
        <v>5</v>
      </c>
      <c r="Q79" t="s">
        <v>5</v>
      </c>
      <c r="R79" t="s">
        <v>4745</v>
      </c>
      <c r="S79" t="s">
        <v>4745</v>
      </c>
      <c r="T79" t="s">
        <v>6</v>
      </c>
      <c r="U79" t="s">
        <v>85</v>
      </c>
      <c r="V79">
        <v>44000000</v>
      </c>
      <c r="W79">
        <v>500000</v>
      </c>
      <c r="X79" t="s">
        <v>6</v>
      </c>
      <c r="Y79"/>
      <c r="Z79">
        <v>0</v>
      </c>
      <c r="AA79">
        <v>341.07913208007813</v>
      </c>
      <c r="AB79">
        <v>58.821243286132813</v>
      </c>
      <c r="AC79">
        <v>0</v>
      </c>
      <c r="AD79">
        <v>16974</v>
      </c>
      <c r="AE79">
        <v>8682</v>
      </c>
      <c r="AF79">
        <v>14040</v>
      </c>
      <c r="AG79">
        <v>26400</v>
      </c>
      <c r="AH79">
        <v>26881</v>
      </c>
      <c r="AI79">
        <v>26881</v>
      </c>
      <c r="AJ79">
        <v>276</v>
      </c>
      <c r="AK79">
        <v>22</v>
      </c>
      <c r="AL79">
        <v>364</v>
      </c>
      <c r="AM79">
        <v>22</v>
      </c>
      <c r="AN79">
        <v>17171.203125</v>
      </c>
      <c r="AO79"/>
      <c r="AP79"/>
      <c r="AQ79"/>
      <c r="AR79">
        <v>0</v>
      </c>
      <c r="AS79">
        <v>0</v>
      </c>
      <c r="AT79">
        <v>0</v>
      </c>
      <c r="AU79">
        <v>0</v>
      </c>
      <c r="AV79">
        <v>0</v>
      </c>
      <c r="AW79">
        <v>0</v>
      </c>
      <c r="AX79">
        <v>0</v>
      </c>
      <c r="AY79">
        <v>0</v>
      </c>
      <c r="AZ79">
        <v>0</v>
      </c>
      <c r="BA79">
        <v>0</v>
      </c>
      <c r="BB79"/>
      <c r="BC79"/>
      <c r="BD79"/>
      <c r="BE79">
        <v>0</v>
      </c>
      <c r="BF79" t="s">
        <v>2516</v>
      </c>
      <c r="BG79" t="s">
        <v>5</v>
      </c>
      <c r="BH79" t="s">
        <v>1020</v>
      </c>
      <c r="BI79" t="s">
        <v>1100</v>
      </c>
      <c r="BJ79" t="s">
        <v>5</v>
      </c>
      <c r="BK79" t="s">
        <v>1100</v>
      </c>
      <c r="BL79">
        <v>0</v>
      </c>
      <c r="BM79"/>
      <c r="BN79" t="s">
        <v>5</v>
      </c>
      <c r="BO79" t="s">
        <v>2518</v>
      </c>
      <c r="BP79" t="s">
        <v>2518</v>
      </c>
      <c r="BQ79" t="s">
        <v>2518</v>
      </c>
      <c r="BR79" t="s">
        <v>2518</v>
      </c>
      <c r="BS79" t="s">
        <v>6</v>
      </c>
      <c r="BT79" t="s">
        <v>2518</v>
      </c>
      <c r="BU79" t="s">
        <v>2518</v>
      </c>
      <c r="BV79" t="s">
        <v>2518</v>
      </c>
      <c r="BW79" t="s">
        <v>1100</v>
      </c>
      <c r="BX79" t="s">
        <v>6</v>
      </c>
      <c r="BY79" t="s">
        <v>2519</v>
      </c>
      <c r="BZ79"/>
      <c r="CA79"/>
      <c r="CB79" t="s">
        <v>5</v>
      </c>
      <c r="CC79">
        <v>172965.4387377699</v>
      </c>
      <c r="CD79">
        <v>960976801.01900148</v>
      </c>
      <c r="CE79" s="313" t="s">
        <v>11891</v>
      </c>
    </row>
    <row r="80" spans="1:83" ht="15" x14ac:dyDescent="0.25">
      <c r="A80" t="s">
        <v>2650</v>
      </c>
      <c r="B80" t="s">
        <v>2651</v>
      </c>
      <c r="C80" t="s">
        <v>2652</v>
      </c>
      <c r="D80">
        <v>5</v>
      </c>
      <c r="E80" t="s">
        <v>2598</v>
      </c>
      <c r="F80" t="s">
        <v>2606</v>
      </c>
      <c r="G80" t="s">
        <v>2643</v>
      </c>
      <c r="H80" t="s">
        <v>2653</v>
      </c>
      <c r="I80" t="s">
        <v>2654</v>
      </c>
      <c r="J80" t="s">
        <v>2655</v>
      </c>
      <c r="K80" t="s">
        <v>2620</v>
      </c>
      <c r="L80">
        <v>954.14312744140625</v>
      </c>
      <c r="M80" t="s">
        <v>6</v>
      </c>
      <c r="N80" t="s">
        <v>6</v>
      </c>
      <c r="O80" t="s">
        <v>5</v>
      </c>
      <c r="P80" t="s">
        <v>5</v>
      </c>
      <c r="Q80" t="s">
        <v>6</v>
      </c>
      <c r="R80" t="s">
        <v>2656</v>
      </c>
      <c r="S80" t="s">
        <v>2656</v>
      </c>
      <c r="T80" t="s">
        <v>6</v>
      </c>
      <c r="U80" t="s">
        <v>98</v>
      </c>
      <c r="V80">
        <v>1110000</v>
      </c>
      <c r="W80">
        <v>500000</v>
      </c>
      <c r="X80" t="s">
        <v>6</v>
      </c>
      <c r="Y80"/>
      <c r="Z80"/>
      <c r="AA80">
        <v>604.7901611328125</v>
      </c>
      <c r="AB80">
        <v>90.1441650390625</v>
      </c>
      <c r="AC80">
        <v>122.932487487793</v>
      </c>
      <c r="AD80">
        <v>12869</v>
      </c>
      <c r="AE80">
        <v>32682</v>
      </c>
      <c r="AF80">
        <v>9726</v>
      </c>
      <c r="AG80">
        <v>23054</v>
      </c>
      <c r="AH80">
        <v>26027</v>
      </c>
      <c r="AI80">
        <v>40765</v>
      </c>
      <c r="AJ80">
        <v>316</v>
      </c>
      <c r="AK80">
        <v>22</v>
      </c>
      <c r="AL80">
        <v>474</v>
      </c>
      <c r="AM80">
        <v>22</v>
      </c>
      <c r="AN80">
        <v>33019.37890625</v>
      </c>
      <c r="AO80"/>
      <c r="AP80"/>
      <c r="AQ80"/>
      <c r="AR80">
        <v>0</v>
      </c>
      <c r="AS80">
        <v>0</v>
      </c>
      <c r="AT80">
        <v>0</v>
      </c>
      <c r="AU80">
        <v>0</v>
      </c>
      <c r="AV80">
        <v>0</v>
      </c>
      <c r="AW80">
        <v>0</v>
      </c>
      <c r="AX80">
        <v>0</v>
      </c>
      <c r="AY80">
        <v>0</v>
      </c>
      <c r="AZ80">
        <v>0</v>
      </c>
      <c r="BA80">
        <v>0</v>
      </c>
      <c r="BB80"/>
      <c r="BC80"/>
      <c r="BD80"/>
      <c r="BE80">
        <v>0</v>
      </c>
      <c r="BF80" t="s">
        <v>2516</v>
      </c>
      <c r="BG80" t="s">
        <v>5</v>
      </c>
      <c r="BH80" t="s">
        <v>1020</v>
      </c>
      <c r="BI80"/>
      <c r="BJ80" t="s">
        <v>5</v>
      </c>
      <c r="BK80"/>
      <c r="BL80">
        <v>0</v>
      </c>
      <c r="BM80"/>
      <c r="BN80" t="s">
        <v>6</v>
      </c>
      <c r="BO80" t="s">
        <v>2518</v>
      </c>
      <c r="BP80" t="s">
        <v>2518</v>
      </c>
      <c r="BQ80" t="s">
        <v>2518</v>
      </c>
      <c r="BR80"/>
      <c r="BS80" t="s">
        <v>6</v>
      </c>
      <c r="BT80" t="s">
        <v>2518</v>
      </c>
      <c r="BU80" t="s">
        <v>2518</v>
      </c>
      <c r="BV80" t="s">
        <v>2518</v>
      </c>
      <c r="BW80"/>
      <c r="BX80" t="s">
        <v>6</v>
      </c>
      <c r="BY80" t="s">
        <v>2605</v>
      </c>
      <c r="BZ80" t="s">
        <v>2518</v>
      </c>
      <c r="CA80"/>
      <c r="CB80" t="s">
        <v>5</v>
      </c>
      <c r="CC80">
        <v>532292.85839391209</v>
      </c>
      <c r="CD80">
        <v>2471219281.4608202</v>
      </c>
      <c r="CE80" s="313" t="s">
        <v>11891</v>
      </c>
    </row>
    <row r="81" spans="1:83" ht="15" x14ac:dyDescent="0.25">
      <c r="A81" t="s">
        <v>2657</v>
      </c>
      <c r="B81" t="s">
        <v>2658</v>
      </c>
      <c r="C81" t="s">
        <v>2659</v>
      </c>
      <c r="D81">
        <v>5</v>
      </c>
      <c r="E81" t="s">
        <v>2598</v>
      </c>
      <c r="F81" t="s">
        <v>81</v>
      </c>
      <c r="G81" t="s">
        <v>2639</v>
      </c>
      <c r="H81" t="s">
        <v>2640</v>
      </c>
      <c r="I81" t="s">
        <v>2641</v>
      </c>
      <c r="J81" t="s">
        <v>2642</v>
      </c>
      <c r="K81" t="s">
        <v>2620</v>
      </c>
      <c r="L81">
        <v>235.4879455566406</v>
      </c>
      <c r="M81" t="s">
        <v>6</v>
      </c>
      <c r="N81" t="s">
        <v>5</v>
      </c>
      <c r="O81" t="s">
        <v>5</v>
      </c>
      <c r="P81" t="s">
        <v>5</v>
      </c>
      <c r="Q81" t="s">
        <v>6</v>
      </c>
      <c r="R81" t="s">
        <v>273</v>
      </c>
      <c r="S81" t="s">
        <v>273</v>
      </c>
      <c r="T81" t="s">
        <v>6</v>
      </c>
      <c r="U81" t="s">
        <v>98</v>
      </c>
      <c r="V81">
        <v>2140000</v>
      </c>
      <c r="W81">
        <v>500000</v>
      </c>
      <c r="X81" t="s">
        <v>6</v>
      </c>
      <c r="Y81"/>
      <c r="Z81"/>
      <c r="AA81">
        <v>73.971321105957031</v>
      </c>
      <c r="AB81">
        <v>11.69291973114014</v>
      </c>
      <c r="AC81">
        <v>31.773128509521481</v>
      </c>
      <c r="AD81">
        <v>116</v>
      </c>
      <c r="AE81">
        <v>39</v>
      </c>
      <c r="AF81">
        <v>57</v>
      </c>
      <c r="AG81">
        <v>51</v>
      </c>
      <c r="AH81">
        <v>140</v>
      </c>
      <c r="AI81">
        <v>143</v>
      </c>
      <c r="AJ81">
        <v>1</v>
      </c>
      <c r="AK81">
        <v>0</v>
      </c>
      <c r="AL81">
        <v>7</v>
      </c>
      <c r="AM81">
        <v>0</v>
      </c>
      <c r="AN81">
        <v>1525.707397460938</v>
      </c>
      <c r="AO81"/>
      <c r="AP81"/>
      <c r="AQ81"/>
      <c r="AR81">
        <v>0</v>
      </c>
      <c r="AS81">
        <v>0</v>
      </c>
      <c r="AT81">
        <v>0</v>
      </c>
      <c r="AU81">
        <v>0</v>
      </c>
      <c r="AV81">
        <v>0</v>
      </c>
      <c r="AW81">
        <v>0</v>
      </c>
      <c r="AX81">
        <v>0</v>
      </c>
      <c r="AY81">
        <v>0</v>
      </c>
      <c r="AZ81">
        <v>0</v>
      </c>
      <c r="BA81">
        <v>0</v>
      </c>
      <c r="BB81"/>
      <c r="BC81"/>
      <c r="BD81"/>
      <c r="BE81">
        <v>0</v>
      </c>
      <c r="BF81" t="s">
        <v>2516</v>
      </c>
      <c r="BG81" t="s">
        <v>5</v>
      </c>
      <c r="BH81" t="s">
        <v>1020</v>
      </c>
      <c r="BI81"/>
      <c r="BJ81" t="s">
        <v>5</v>
      </c>
      <c r="BK81"/>
      <c r="BL81">
        <v>100</v>
      </c>
      <c r="BM81"/>
      <c r="BN81" t="s">
        <v>6</v>
      </c>
      <c r="BO81" t="s">
        <v>2518</v>
      </c>
      <c r="BP81" t="s">
        <v>2518</v>
      </c>
      <c r="BQ81" t="s">
        <v>2518</v>
      </c>
      <c r="BR81"/>
      <c r="BS81" t="s">
        <v>6</v>
      </c>
      <c r="BT81" t="s">
        <v>2518</v>
      </c>
      <c r="BU81" t="s">
        <v>2518</v>
      </c>
      <c r="BV81" t="s">
        <v>2518</v>
      </c>
      <c r="BW81"/>
      <c r="BX81" t="s">
        <v>6</v>
      </c>
      <c r="BY81" t="s">
        <v>2605</v>
      </c>
      <c r="BZ81" t="s">
        <v>2518</v>
      </c>
      <c r="CA81"/>
      <c r="CB81" t="s">
        <v>6</v>
      </c>
      <c r="CC81">
        <v>178341.81564558871</v>
      </c>
      <c r="CD81">
        <v>609910960.05168712</v>
      </c>
      <c r="CE81" s="313" t="s">
        <v>11891</v>
      </c>
    </row>
    <row r="82" spans="1:83" ht="15" x14ac:dyDescent="0.25">
      <c r="A82" t="s">
        <v>2679</v>
      </c>
      <c r="B82" t="s">
        <v>2680</v>
      </c>
      <c r="C82" t="s">
        <v>2681</v>
      </c>
      <c r="D82">
        <v>5</v>
      </c>
      <c r="E82" t="s">
        <v>2598</v>
      </c>
      <c r="F82" t="s">
        <v>2613</v>
      </c>
      <c r="G82" t="s">
        <v>2676</v>
      </c>
      <c r="H82" t="s">
        <v>2682</v>
      </c>
      <c r="I82"/>
      <c r="J82"/>
      <c r="K82" t="s">
        <v>2620</v>
      </c>
      <c r="L82">
        <v>860.9822998046875</v>
      </c>
      <c r="M82" t="s">
        <v>6</v>
      </c>
      <c r="N82" t="s">
        <v>5</v>
      </c>
      <c r="O82" t="s">
        <v>6</v>
      </c>
      <c r="P82" t="s">
        <v>5</v>
      </c>
      <c r="Q82" t="s">
        <v>6</v>
      </c>
      <c r="R82" t="s">
        <v>2678</v>
      </c>
      <c r="S82" t="s">
        <v>2683</v>
      </c>
      <c r="T82" t="s">
        <v>6</v>
      </c>
      <c r="U82" t="s">
        <v>98</v>
      </c>
      <c r="V82">
        <v>2100000</v>
      </c>
      <c r="W82">
        <v>500000</v>
      </c>
      <c r="X82" t="s">
        <v>6</v>
      </c>
      <c r="Y82"/>
      <c r="Z82"/>
      <c r="AA82">
        <v>228.10618591308591</v>
      </c>
      <c r="AB82">
        <v>10.454215049743651</v>
      </c>
      <c r="AC82">
        <v>8.7180318832397461</v>
      </c>
      <c r="AD82">
        <v>1201</v>
      </c>
      <c r="AE82">
        <v>217</v>
      </c>
      <c r="AF82">
        <v>750</v>
      </c>
      <c r="AG82">
        <v>6718</v>
      </c>
      <c r="AH82">
        <v>2570</v>
      </c>
      <c r="AI82">
        <v>8420</v>
      </c>
      <c r="AJ82">
        <v>11</v>
      </c>
      <c r="AK82">
        <v>19</v>
      </c>
      <c r="AL82">
        <v>66</v>
      </c>
      <c r="AM82">
        <v>19</v>
      </c>
      <c r="AN82">
        <v>165.36151123046881</v>
      </c>
      <c r="AO82"/>
      <c r="AP82"/>
      <c r="AQ82"/>
      <c r="AR82">
        <v>0</v>
      </c>
      <c r="AS82">
        <v>0</v>
      </c>
      <c r="AT82">
        <v>0</v>
      </c>
      <c r="AU82">
        <v>0</v>
      </c>
      <c r="AV82">
        <v>0</v>
      </c>
      <c r="AW82">
        <v>0</v>
      </c>
      <c r="AX82">
        <v>0</v>
      </c>
      <c r="AY82">
        <v>0</v>
      </c>
      <c r="AZ82">
        <v>0</v>
      </c>
      <c r="BA82">
        <v>0</v>
      </c>
      <c r="BB82"/>
      <c r="BC82"/>
      <c r="BD82"/>
      <c r="BE82">
        <v>0</v>
      </c>
      <c r="BF82" t="s">
        <v>2516</v>
      </c>
      <c r="BG82" t="s">
        <v>5</v>
      </c>
      <c r="BH82" t="s">
        <v>1020</v>
      </c>
      <c r="BI82"/>
      <c r="BJ82" t="s">
        <v>5</v>
      </c>
      <c r="BK82"/>
      <c r="BL82">
        <v>100</v>
      </c>
      <c r="BM82"/>
      <c r="BN82" t="s">
        <v>6</v>
      </c>
      <c r="BO82" t="s">
        <v>2518</v>
      </c>
      <c r="BP82" t="s">
        <v>2518</v>
      </c>
      <c r="BQ82" t="s">
        <v>2518</v>
      </c>
      <c r="BR82"/>
      <c r="BS82" t="s">
        <v>6</v>
      </c>
      <c r="BT82" t="s">
        <v>2518</v>
      </c>
      <c r="BU82" t="s">
        <v>2518</v>
      </c>
      <c r="BV82" t="s">
        <v>2518</v>
      </c>
      <c r="BW82"/>
      <c r="BX82" t="s">
        <v>6</v>
      </c>
      <c r="BY82" t="s">
        <v>2605</v>
      </c>
      <c r="BZ82" t="s">
        <v>2518</v>
      </c>
      <c r="CA82"/>
      <c r="CB82" t="s">
        <v>6</v>
      </c>
      <c r="CC82">
        <v>347588.24190946837</v>
      </c>
      <c r="CD82">
        <v>2229933853.8416839</v>
      </c>
      <c r="CE82" s="313" t="s">
        <v>11891</v>
      </c>
    </row>
    <row r="83" spans="1:83" ht="15" x14ac:dyDescent="0.25">
      <c r="A83" t="s">
        <v>12380</v>
      </c>
      <c r="B83" t="s">
        <v>12381</v>
      </c>
      <c r="C83" t="s">
        <v>12377</v>
      </c>
      <c r="D83">
        <v>5</v>
      </c>
      <c r="E83" t="s">
        <v>2598</v>
      </c>
      <c r="F83" t="s">
        <v>2644</v>
      </c>
      <c r="G83" t="s">
        <v>2645</v>
      </c>
      <c r="H83" t="s">
        <v>2646</v>
      </c>
      <c r="I83" t="s">
        <v>2647</v>
      </c>
      <c r="J83" t="s">
        <v>2648</v>
      </c>
      <c r="K83" t="s">
        <v>12378</v>
      </c>
      <c r="L83">
        <v>434.4630126953125</v>
      </c>
      <c r="M83" t="s">
        <v>6</v>
      </c>
      <c r="N83" t="s">
        <v>6</v>
      </c>
      <c r="O83" t="s">
        <v>5</v>
      </c>
      <c r="P83" t="s">
        <v>5</v>
      </c>
      <c r="Q83" t="s">
        <v>6</v>
      </c>
      <c r="R83" t="s">
        <v>2649</v>
      </c>
      <c r="S83" t="s">
        <v>2649</v>
      </c>
      <c r="T83" t="s">
        <v>5</v>
      </c>
      <c r="U83" t="s">
        <v>98</v>
      </c>
      <c r="V83">
        <v>3451110</v>
      </c>
      <c r="W83">
        <v>500000</v>
      </c>
      <c r="X83" t="s">
        <v>6</v>
      </c>
      <c r="Y83"/>
      <c r="Z83"/>
      <c r="AA83">
        <v>132.16700744628909</v>
      </c>
      <c r="AB83">
        <v>27.913600921630859</v>
      </c>
      <c r="AC83">
        <v>0</v>
      </c>
      <c r="AD83">
        <v>2245</v>
      </c>
      <c r="AE83">
        <v>1093</v>
      </c>
      <c r="AF83">
        <v>1180</v>
      </c>
      <c r="AG83">
        <v>2248</v>
      </c>
      <c r="AH83">
        <v>2940</v>
      </c>
      <c r="AI83">
        <v>4352</v>
      </c>
      <c r="AJ83">
        <v>7</v>
      </c>
      <c r="AK83">
        <v>0</v>
      </c>
      <c r="AL83">
        <v>100</v>
      </c>
      <c r="AM83">
        <v>0</v>
      </c>
      <c r="AN83">
        <v>58715</v>
      </c>
      <c r="AO83"/>
      <c r="AP83"/>
      <c r="AQ83"/>
      <c r="AR83">
        <v>0</v>
      </c>
      <c r="AS83">
        <v>0</v>
      </c>
      <c r="AT83">
        <v>0</v>
      </c>
      <c r="AU83">
        <v>0</v>
      </c>
      <c r="AV83">
        <v>0</v>
      </c>
      <c r="AW83">
        <v>0</v>
      </c>
      <c r="AX83">
        <v>0</v>
      </c>
      <c r="AY83">
        <v>0</v>
      </c>
      <c r="AZ83">
        <v>0</v>
      </c>
      <c r="BA83">
        <v>0</v>
      </c>
      <c r="BB83"/>
      <c r="BC83"/>
      <c r="BD83"/>
      <c r="BE83">
        <v>0</v>
      </c>
      <c r="BF83" t="s">
        <v>12382</v>
      </c>
      <c r="BG83" t="s">
        <v>5</v>
      </c>
      <c r="BH83" t="s">
        <v>1020</v>
      </c>
      <c r="BI83"/>
      <c r="BJ83" t="s">
        <v>5</v>
      </c>
      <c r="BK83"/>
      <c r="BL83">
        <v>0</v>
      </c>
      <c r="BM83"/>
      <c r="BN83" t="s">
        <v>5</v>
      </c>
      <c r="BO83" t="s">
        <v>2518</v>
      </c>
      <c r="BP83" t="s">
        <v>2518</v>
      </c>
      <c r="BQ83" t="s">
        <v>2518</v>
      </c>
      <c r="BR83"/>
      <c r="BS83" t="s">
        <v>6</v>
      </c>
      <c r="BT83" t="s">
        <v>2518</v>
      </c>
      <c r="BU83" t="s">
        <v>2518</v>
      </c>
      <c r="BV83" t="s">
        <v>2518</v>
      </c>
      <c r="BW83"/>
      <c r="BX83" t="s">
        <v>6</v>
      </c>
      <c r="BY83" t="s">
        <v>2605</v>
      </c>
      <c r="BZ83" t="s">
        <v>2518</v>
      </c>
      <c r="CA83"/>
      <c r="CB83" t="s">
        <v>5</v>
      </c>
      <c r="CC83">
        <v>278427.62777734629</v>
      </c>
      <c r="CD83">
        <v>1125258898.973012</v>
      </c>
      <c r="CE83" s="313" t="s">
        <v>11902</v>
      </c>
    </row>
    <row r="84" spans="1:83" ht="15" x14ac:dyDescent="0.25">
      <c r="A84" t="s">
        <v>3357</v>
      </c>
      <c r="B84" t="s">
        <v>3358</v>
      </c>
      <c r="C84" t="s">
        <v>3359</v>
      </c>
      <c r="D84">
        <v>7</v>
      </c>
      <c r="E84" t="s">
        <v>2979</v>
      </c>
      <c r="F84" t="s">
        <v>1335</v>
      </c>
      <c r="G84" t="s">
        <v>3247</v>
      </c>
      <c r="H84" t="s">
        <v>3261</v>
      </c>
      <c r="I84" t="s">
        <v>3280</v>
      </c>
      <c r="J84" t="s">
        <v>3281</v>
      </c>
      <c r="K84" t="s">
        <v>3109</v>
      </c>
      <c r="L84">
        <v>46.920310974121087</v>
      </c>
      <c r="M84" t="s">
        <v>6</v>
      </c>
      <c r="N84" t="s">
        <v>5</v>
      </c>
      <c r="O84" t="s">
        <v>5</v>
      </c>
      <c r="P84" t="s">
        <v>5</v>
      </c>
      <c r="Q84" t="s">
        <v>5</v>
      </c>
      <c r="R84" t="s">
        <v>1340</v>
      </c>
      <c r="S84" t="s">
        <v>1340</v>
      </c>
      <c r="T84" t="s">
        <v>5</v>
      </c>
      <c r="U84" t="s">
        <v>85</v>
      </c>
      <c r="V84">
        <v>500000</v>
      </c>
      <c r="W84">
        <v>500000</v>
      </c>
      <c r="X84" t="s">
        <v>5</v>
      </c>
      <c r="Y84" t="s">
        <v>1100</v>
      </c>
      <c r="Z84">
        <v>0</v>
      </c>
      <c r="AA84">
        <v>9.6508913040161133</v>
      </c>
      <c r="AB84">
        <v>0.91988784074783325</v>
      </c>
      <c r="AC84">
        <v>0</v>
      </c>
      <c r="AD84">
        <v>16</v>
      </c>
      <c r="AE84">
        <v>5</v>
      </c>
      <c r="AF84">
        <v>9</v>
      </c>
      <c r="AG84">
        <v>4</v>
      </c>
      <c r="AH84">
        <v>10</v>
      </c>
      <c r="AI84">
        <v>10</v>
      </c>
      <c r="AJ84">
        <v>0</v>
      </c>
      <c r="AK84">
        <v>0</v>
      </c>
      <c r="AL84">
        <v>10</v>
      </c>
      <c r="AM84">
        <v>0</v>
      </c>
      <c r="AN84">
        <v>1282.34619140625</v>
      </c>
      <c r="AO84">
        <v>0</v>
      </c>
      <c r="AP84">
        <v>0</v>
      </c>
      <c r="AQ84">
        <v>0</v>
      </c>
      <c r="AR84">
        <v>0</v>
      </c>
      <c r="AS84">
        <v>0</v>
      </c>
      <c r="AT84">
        <v>0</v>
      </c>
      <c r="AU84">
        <v>0</v>
      </c>
      <c r="AV84">
        <v>0</v>
      </c>
      <c r="AW84">
        <v>0</v>
      </c>
      <c r="AX84">
        <v>0</v>
      </c>
      <c r="AY84">
        <v>0</v>
      </c>
      <c r="AZ84">
        <v>0</v>
      </c>
      <c r="BA84">
        <v>0</v>
      </c>
      <c r="BB84">
        <v>0</v>
      </c>
      <c r="BC84">
        <v>0</v>
      </c>
      <c r="BD84">
        <v>0</v>
      </c>
      <c r="BE84">
        <v>0</v>
      </c>
      <c r="BF84" t="s">
        <v>1100</v>
      </c>
      <c r="BG84" t="s">
        <v>5</v>
      </c>
      <c r="BH84" t="s">
        <v>2987</v>
      </c>
      <c r="BI84" t="s">
        <v>1100</v>
      </c>
      <c r="BJ84" t="s">
        <v>5</v>
      </c>
      <c r="BK84" t="s">
        <v>1100</v>
      </c>
      <c r="BL84">
        <v>0</v>
      </c>
      <c r="BM84">
        <v>0</v>
      </c>
      <c r="BN84" t="s">
        <v>5</v>
      </c>
      <c r="BO84" t="s">
        <v>1100</v>
      </c>
      <c r="BP84" t="s">
        <v>1100</v>
      </c>
      <c r="BQ84" t="s">
        <v>1100</v>
      </c>
      <c r="BR84" t="s">
        <v>1100</v>
      </c>
      <c r="BS84" t="s">
        <v>5</v>
      </c>
      <c r="BT84" t="s">
        <v>1100</v>
      </c>
      <c r="BU84" t="s">
        <v>1100</v>
      </c>
      <c r="BV84" t="s">
        <v>1100</v>
      </c>
      <c r="BW84" t="s">
        <v>1100</v>
      </c>
      <c r="BX84" t="s">
        <v>6</v>
      </c>
      <c r="BY84" t="s">
        <v>2988</v>
      </c>
      <c r="BZ84"/>
      <c r="CA84"/>
      <c r="CB84" t="s">
        <v>5</v>
      </c>
      <c r="CC84">
        <v>48060.983987566637</v>
      </c>
      <c r="CD84">
        <v>121523532.42033251</v>
      </c>
      <c r="CE84" s="313" t="s">
        <v>11891</v>
      </c>
    </row>
    <row r="85" spans="1:83" ht="15" x14ac:dyDescent="0.25">
      <c r="A85" t="s">
        <v>3376</v>
      </c>
      <c r="B85" t="s">
        <v>3377</v>
      </c>
      <c r="C85" t="s">
        <v>3378</v>
      </c>
      <c r="D85">
        <v>7</v>
      </c>
      <c r="E85" t="s">
        <v>2979</v>
      </c>
      <c r="F85" t="s">
        <v>3043</v>
      </c>
      <c r="G85" t="s">
        <v>3313</v>
      </c>
      <c r="H85" t="s">
        <v>3314</v>
      </c>
      <c r="I85" t="s">
        <v>3369</v>
      </c>
      <c r="J85" t="s">
        <v>3370</v>
      </c>
      <c r="K85" t="s">
        <v>3109</v>
      </c>
      <c r="L85">
        <v>1.009675264358521</v>
      </c>
      <c r="M85" t="s">
        <v>6</v>
      </c>
      <c r="N85" t="s">
        <v>5</v>
      </c>
      <c r="O85" t="s">
        <v>5</v>
      </c>
      <c r="P85" t="s">
        <v>6</v>
      </c>
      <c r="Q85" t="s">
        <v>5</v>
      </c>
      <c r="R85" t="s">
        <v>3379</v>
      </c>
      <c r="S85" t="s">
        <v>3379</v>
      </c>
      <c r="T85" t="s">
        <v>5</v>
      </c>
      <c r="U85" t="s">
        <v>85</v>
      </c>
      <c r="V85">
        <v>500000</v>
      </c>
      <c r="W85">
        <v>500000</v>
      </c>
      <c r="X85" t="s">
        <v>5</v>
      </c>
      <c r="Y85" t="s">
        <v>1100</v>
      </c>
      <c r="Z85">
        <v>0</v>
      </c>
      <c r="AA85">
        <v>0.29444184899330139</v>
      </c>
      <c r="AB85">
        <v>1.5810620039701458E-2</v>
      </c>
      <c r="AC85">
        <v>0</v>
      </c>
      <c r="AD85">
        <v>53</v>
      </c>
      <c r="AE85">
        <v>8</v>
      </c>
      <c r="AF85">
        <v>50</v>
      </c>
      <c r="AG85">
        <v>33</v>
      </c>
      <c r="AH85">
        <v>131</v>
      </c>
      <c r="AI85">
        <v>131</v>
      </c>
      <c r="AJ85">
        <v>0</v>
      </c>
      <c r="AK85">
        <v>1</v>
      </c>
      <c r="AL85">
        <v>1</v>
      </c>
      <c r="AM85">
        <v>0</v>
      </c>
      <c r="AN85">
        <v>4.6563138961791992</v>
      </c>
      <c r="AO85">
        <v>0</v>
      </c>
      <c r="AP85">
        <v>0</v>
      </c>
      <c r="AQ85">
        <v>0</v>
      </c>
      <c r="AR85">
        <v>0</v>
      </c>
      <c r="AS85">
        <v>0</v>
      </c>
      <c r="AT85">
        <v>0</v>
      </c>
      <c r="AU85">
        <v>0</v>
      </c>
      <c r="AV85">
        <v>0</v>
      </c>
      <c r="AW85">
        <v>0</v>
      </c>
      <c r="AX85">
        <v>0</v>
      </c>
      <c r="AY85">
        <v>0</v>
      </c>
      <c r="AZ85">
        <v>0</v>
      </c>
      <c r="BA85">
        <v>0</v>
      </c>
      <c r="BB85">
        <v>0</v>
      </c>
      <c r="BC85">
        <v>0</v>
      </c>
      <c r="BD85">
        <v>0</v>
      </c>
      <c r="BE85">
        <v>0</v>
      </c>
      <c r="BF85" t="s">
        <v>1100</v>
      </c>
      <c r="BG85" t="s">
        <v>5</v>
      </c>
      <c r="BH85" t="s">
        <v>2987</v>
      </c>
      <c r="BI85" t="s">
        <v>1100</v>
      </c>
      <c r="BJ85" t="s">
        <v>5</v>
      </c>
      <c r="BK85" t="s">
        <v>1100</v>
      </c>
      <c r="BL85">
        <v>0</v>
      </c>
      <c r="BM85">
        <v>0</v>
      </c>
      <c r="BN85" t="s">
        <v>5</v>
      </c>
      <c r="BO85" t="s">
        <v>1100</v>
      </c>
      <c r="BP85" t="s">
        <v>1100</v>
      </c>
      <c r="BQ85" t="s">
        <v>1100</v>
      </c>
      <c r="BR85" t="s">
        <v>1100</v>
      </c>
      <c r="BS85" t="s">
        <v>5</v>
      </c>
      <c r="BT85" t="s">
        <v>1100</v>
      </c>
      <c r="BU85" t="s">
        <v>1100</v>
      </c>
      <c r="BV85" t="s">
        <v>1100</v>
      </c>
      <c r="BW85" t="s">
        <v>1100</v>
      </c>
      <c r="BX85" t="s">
        <v>6</v>
      </c>
      <c r="BY85" t="s">
        <v>2988</v>
      </c>
      <c r="BZ85"/>
      <c r="CA85"/>
      <c r="CB85" t="s">
        <v>5</v>
      </c>
      <c r="CC85">
        <v>6699.5319228063972</v>
      </c>
      <c r="CD85">
        <v>2615057.4252011338</v>
      </c>
      <c r="CE85" s="313" t="s">
        <v>11891</v>
      </c>
    </row>
    <row r="86" spans="1:83" ht="15" x14ac:dyDescent="0.25">
      <c r="A86" t="s">
        <v>4910</v>
      </c>
      <c r="B86" t="s">
        <v>4911</v>
      </c>
      <c r="C86" t="s">
        <v>4912</v>
      </c>
      <c r="D86">
        <v>8</v>
      </c>
      <c r="E86" t="s">
        <v>3395</v>
      </c>
      <c r="F86" t="s">
        <v>69</v>
      </c>
      <c r="G86" t="s">
        <v>4894</v>
      </c>
      <c r="H86" t="s">
        <v>4903</v>
      </c>
      <c r="I86" t="s">
        <v>4904</v>
      </c>
      <c r="J86" t="s">
        <v>4897</v>
      </c>
      <c r="K86" t="s">
        <v>4884</v>
      </c>
      <c r="L86">
        <v>31.490999221801761</v>
      </c>
      <c r="M86" t="s">
        <v>6</v>
      </c>
      <c r="N86" t="s">
        <v>6</v>
      </c>
      <c r="O86" t="s">
        <v>6</v>
      </c>
      <c r="P86" t="s">
        <v>5</v>
      </c>
      <c r="Q86" t="s">
        <v>5</v>
      </c>
      <c r="R86" t="s">
        <v>4905</v>
      </c>
      <c r="S86" t="s">
        <v>4905</v>
      </c>
      <c r="T86" t="s">
        <v>5</v>
      </c>
      <c r="U86" t="s">
        <v>50</v>
      </c>
      <c r="V86">
        <v>500000</v>
      </c>
      <c r="W86">
        <v>500000</v>
      </c>
      <c r="X86" t="s">
        <v>6</v>
      </c>
      <c r="Y86" t="s">
        <v>4906</v>
      </c>
      <c r="Z86"/>
      <c r="AA86"/>
      <c r="AB86"/>
      <c r="AC86"/>
      <c r="AD86"/>
      <c r="AE86"/>
      <c r="AF86"/>
      <c r="AG86"/>
      <c r="AH86"/>
      <c r="AI86"/>
      <c r="AJ86"/>
      <c r="AK86"/>
      <c r="AL86"/>
      <c r="AM86"/>
      <c r="AN86"/>
      <c r="AO86"/>
      <c r="AP86"/>
      <c r="AQ86"/>
      <c r="AR86"/>
      <c r="AS86"/>
      <c r="AT86"/>
      <c r="AU86"/>
      <c r="AV86"/>
      <c r="AW86"/>
      <c r="AX86"/>
      <c r="AY86"/>
      <c r="AZ86"/>
      <c r="BA86"/>
      <c r="BB86"/>
      <c r="BC86"/>
      <c r="BD86"/>
      <c r="BE86"/>
      <c r="BF86" t="s">
        <v>1100</v>
      </c>
      <c r="BG86" t="s">
        <v>5</v>
      </c>
      <c r="BH86" t="s">
        <v>1020</v>
      </c>
      <c r="BI86" t="s">
        <v>5</v>
      </c>
      <c r="BJ86" t="s">
        <v>5</v>
      </c>
      <c r="BK86" t="s">
        <v>1020</v>
      </c>
      <c r="BL86">
        <v>0</v>
      </c>
      <c r="BM86"/>
      <c r="BN86" t="s">
        <v>5</v>
      </c>
      <c r="BO86" t="s">
        <v>1585</v>
      </c>
      <c r="BP86" t="s">
        <v>1585</v>
      </c>
      <c r="BQ86" t="s">
        <v>1585</v>
      </c>
      <c r="BR86" t="s">
        <v>1585</v>
      </c>
      <c r="BS86" t="s">
        <v>6</v>
      </c>
      <c r="BT86" t="s">
        <v>1585</v>
      </c>
      <c r="BU86" t="s">
        <v>1585</v>
      </c>
      <c r="BV86" t="s">
        <v>1585</v>
      </c>
      <c r="BW86" t="s">
        <v>1585</v>
      </c>
      <c r="BX86" t="s">
        <v>6</v>
      </c>
      <c r="BY86" t="s">
        <v>3406</v>
      </c>
      <c r="BZ86"/>
      <c r="CA86"/>
      <c r="CB86" t="s">
        <v>5</v>
      </c>
      <c r="CC86">
        <v>69026.67254656383</v>
      </c>
      <c r="CD86">
        <v>81561390.594633773</v>
      </c>
      <c r="CE86" s="313" t="s">
        <v>11891</v>
      </c>
    </row>
    <row r="87" spans="1:83" ht="15" x14ac:dyDescent="0.25">
      <c r="A87" t="s">
        <v>4917</v>
      </c>
      <c r="B87" t="s">
        <v>4918</v>
      </c>
      <c r="C87" t="s">
        <v>4919</v>
      </c>
      <c r="D87">
        <v>8</v>
      </c>
      <c r="E87" t="s">
        <v>3395</v>
      </c>
      <c r="F87" t="s">
        <v>4886</v>
      </c>
      <c r="G87" t="s">
        <v>4887</v>
      </c>
      <c r="H87" t="s">
        <v>4888</v>
      </c>
      <c r="I87" t="s">
        <v>4920</v>
      </c>
      <c r="J87" t="s">
        <v>4880</v>
      </c>
      <c r="K87" t="s">
        <v>4880</v>
      </c>
      <c r="L87">
        <v>59.388801574707031</v>
      </c>
      <c r="M87" t="s">
        <v>6</v>
      </c>
      <c r="N87" t="s">
        <v>5</v>
      </c>
      <c r="O87" t="s">
        <v>6</v>
      </c>
      <c r="P87" t="s">
        <v>5</v>
      </c>
      <c r="Q87" t="s">
        <v>5</v>
      </c>
      <c r="R87" t="s">
        <v>4889</v>
      </c>
      <c r="S87" t="s">
        <v>4889</v>
      </c>
      <c r="T87" t="s">
        <v>5</v>
      </c>
      <c r="U87" t="s">
        <v>85</v>
      </c>
      <c r="V87">
        <v>500000</v>
      </c>
      <c r="W87">
        <v>500000</v>
      </c>
      <c r="X87" t="s">
        <v>6</v>
      </c>
      <c r="Y87" t="s">
        <v>4906</v>
      </c>
      <c r="Z87"/>
      <c r="AA87"/>
      <c r="AB87"/>
      <c r="AC87"/>
      <c r="AD87"/>
      <c r="AE87"/>
      <c r="AF87"/>
      <c r="AG87"/>
      <c r="AH87"/>
      <c r="AI87"/>
      <c r="AJ87"/>
      <c r="AK87"/>
      <c r="AL87"/>
      <c r="AM87"/>
      <c r="AN87"/>
      <c r="AO87"/>
      <c r="AP87"/>
      <c r="AQ87"/>
      <c r="AR87"/>
      <c r="AS87"/>
      <c r="AT87"/>
      <c r="AU87"/>
      <c r="AV87"/>
      <c r="AW87"/>
      <c r="AX87"/>
      <c r="AY87"/>
      <c r="AZ87"/>
      <c r="BA87"/>
      <c r="BB87"/>
      <c r="BC87"/>
      <c r="BD87"/>
      <c r="BE87"/>
      <c r="BF87" t="s">
        <v>1100</v>
      </c>
      <c r="BG87" t="s">
        <v>5</v>
      </c>
      <c r="BH87" t="s">
        <v>1020</v>
      </c>
      <c r="BI87" t="s">
        <v>5</v>
      </c>
      <c r="BJ87" t="s">
        <v>5</v>
      </c>
      <c r="BK87" t="s">
        <v>1020</v>
      </c>
      <c r="BL87">
        <v>0</v>
      </c>
      <c r="BM87"/>
      <c r="BN87" t="s">
        <v>5</v>
      </c>
      <c r="BO87" t="s">
        <v>1585</v>
      </c>
      <c r="BP87" t="s">
        <v>1585</v>
      </c>
      <c r="BQ87" t="s">
        <v>1585</v>
      </c>
      <c r="BR87" t="s">
        <v>1585</v>
      </c>
      <c r="BS87" t="s">
        <v>6</v>
      </c>
      <c r="BT87" t="s">
        <v>1585</v>
      </c>
      <c r="BU87" t="s">
        <v>1585</v>
      </c>
      <c r="BV87" t="s">
        <v>1585</v>
      </c>
      <c r="BW87" t="s">
        <v>1585</v>
      </c>
      <c r="BX87" t="s">
        <v>6</v>
      </c>
      <c r="BY87" t="s">
        <v>3406</v>
      </c>
      <c r="BZ87"/>
      <c r="CA87"/>
      <c r="CB87" t="s">
        <v>5</v>
      </c>
      <c r="CC87">
        <v>305178.57214471919</v>
      </c>
      <c r="CD87">
        <v>153816241.01786691</v>
      </c>
      <c r="CE87" s="313" t="s">
        <v>11891</v>
      </c>
    </row>
    <row r="88" spans="1:83" ht="15" x14ac:dyDescent="0.25">
      <c r="A88" t="s">
        <v>4929</v>
      </c>
      <c r="B88" t="s">
        <v>4930</v>
      </c>
      <c r="C88" t="s">
        <v>4931</v>
      </c>
      <c r="D88">
        <v>8</v>
      </c>
      <c r="E88" t="s">
        <v>3395</v>
      </c>
      <c r="F88" t="s">
        <v>4886</v>
      </c>
      <c r="G88" t="s">
        <v>4887</v>
      </c>
      <c r="H88" t="s">
        <v>4891</v>
      </c>
      <c r="I88" t="s">
        <v>4892</v>
      </c>
      <c r="J88" t="s">
        <v>4880</v>
      </c>
      <c r="K88" t="s">
        <v>4879</v>
      </c>
      <c r="L88">
        <v>27.952899932861332</v>
      </c>
      <c r="M88" t="s">
        <v>6</v>
      </c>
      <c r="N88" t="s">
        <v>5</v>
      </c>
      <c r="O88" t="s">
        <v>6</v>
      </c>
      <c r="P88" t="s">
        <v>5</v>
      </c>
      <c r="Q88" t="s">
        <v>5</v>
      </c>
      <c r="R88" t="s">
        <v>4893</v>
      </c>
      <c r="S88" t="s">
        <v>4893</v>
      </c>
      <c r="T88" t="s">
        <v>5</v>
      </c>
      <c r="U88" t="s">
        <v>4</v>
      </c>
      <c r="V88">
        <v>500000</v>
      </c>
      <c r="W88">
        <v>500000</v>
      </c>
      <c r="X88" t="s">
        <v>6</v>
      </c>
      <c r="Y88" t="s">
        <v>4885</v>
      </c>
      <c r="Z88"/>
      <c r="AA88"/>
      <c r="AB88"/>
      <c r="AC88"/>
      <c r="AD88"/>
      <c r="AE88"/>
      <c r="AF88"/>
      <c r="AG88"/>
      <c r="AH88"/>
      <c r="AI88"/>
      <c r="AJ88"/>
      <c r="AK88"/>
      <c r="AL88"/>
      <c r="AM88"/>
      <c r="AN88"/>
      <c r="AO88"/>
      <c r="AP88"/>
      <c r="AQ88"/>
      <c r="AR88"/>
      <c r="AS88"/>
      <c r="AT88"/>
      <c r="AU88"/>
      <c r="AV88"/>
      <c r="AW88"/>
      <c r="AX88"/>
      <c r="AY88"/>
      <c r="AZ88"/>
      <c r="BA88"/>
      <c r="BB88"/>
      <c r="BC88"/>
      <c r="BD88"/>
      <c r="BE88"/>
      <c r="BF88" t="s">
        <v>1100</v>
      </c>
      <c r="BG88" t="s">
        <v>5</v>
      </c>
      <c r="BH88" t="s">
        <v>1020</v>
      </c>
      <c r="BI88" t="s">
        <v>5</v>
      </c>
      <c r="BJ88" t="s">
        <v>5</v>
      </c>
      <c r="BK88" t="s">
        <v>1020</v>
      </c>
      <c r="BL88">
        <v>0</v>
      </c>
      <c r="BM88"/>
      <c r="BN88" t="s">
        <v>5</v>
      </c>
      <c r="BO88" t="s">
        <v>1585</v>
      </c>
      <c r="BP88" t="s">
        <v>1585</v>
      </c>
      <c r="BQ88" t="s">
        <v>1585</v>
      </c>
      <c r="BR88" t="s">
        <v>1585</v>
      </c>
      <c r="BS88" t="s">
        <v>6</v>
      </c>
      <c r="BT88" t="s">
        <v>1585</v>
      </c>
      <c r="BU88" t="s">
        <v>1585</v>
      </c>
      <c r="BV88" t="s">
        <v>1585</v>
      </c>
      <c r="BW88" t="s">
        <v>1585</v>
      </c>
      <c r="BX88" t="s">
        <v>6</v>
      </c>
      <c r="BY88" t="s">
        <v>3406</v>
      </c>
      <c r="BZ88"/>
      <c r="CA88"/>
      <c r="CB88" t="s">
        <v>5</v>
      </c>
      <c r="CC88">
        <v>125960.34885635111</v>
      </c>
      <c r="CD88">
        <v>72397558.111382455</v>
      </c>
      <c r="CE88" s="313" t="s">
        <v>11891</v>
      </c>
    </row>
    <row r="89" spans="1:83" ht="15" x14ac:dyDescent="0.25">
      <c r="A89" t="s">
        <v>4900</v>
      </c>
      <c r="B89" t="s">
        <v>4901</v>
      </c>
      <c r="C89" t="s">
        <v>4902</v>
      </c>
      <c r="D89">
        <v>8</v>
      </c>
      <c r="E89" t="s">
        <v>3395</v>
      </c>
      <c r="F89" t="s">
        <v>69</v>
      </c>
      <c r="G89" t="s">
        <v>4894</v>
      </c>
      <c r="H89" t="s">
        <v>4903</v>
      </c>
      <c r="I89" t="s">
        <v>4904</v>
      </c>
      <c r="J89" t="s">
        <v>4897</v>
      </c>
      <c r="K89" t="s">
        <v>3401</v>
      </c>
      <c r="L89">
        <v>31.490999221801761</v>
      </c>
      <c r="M89" t="s">
        <v>6</v>
      </c>
      <c r="N89" t="s">
        <v>5</v>
      </c>
      <c r="O89" t="s">
        <v>5</v>
      </c>
      <c r="P89" t="s">
        <v>5</v>
      </c>
      <c r="Q89" t="s">
        <v>5</v>
      </c>
      <c r="R89" t="s">
        <v>4905</v>
      </c>
      <c r="S89" t="s">
        <v>4905</v>
      </c>
      <c r="T89" t="s">
        <v>5</v>
      </c>
      <c r="U89" t="s">
        <v>4</v>
      </c>
      <c r="V89">
        <v>500000</v>
      </c>
      <c r="W89">
        <v>500000</v>
      </c>
      <c r="X89" t="s">
        <v>6</v>
      </c>
      <c r="Y89" t="s">
        <v>4906</v>
      </c>
      <c r="Z89"/>
      <c r="AA89"/>
      <c r="AB89"/>
      <c r="AC89"/>
      <c r="AD89"/>
      <c r="AE89"/>
      <c r="AF89"/>
      <c r="AG89"/>
      <c r="AH89"/>
      <c r="AI89"/>
      <c r="AJ89"/>
      <c r="AK89"/>
      <c r="AL89"/>
      <c r="AM89"/>
      <c r="AN89"/>
      <c r="AO89"/>
      <c r="AP89"/>
      <c r="AQ89"/>
      <c r="AR89"/>
      <c r="AS89"/>
      <c r="AT89"/>
      <c r="AU89"/>
      <c r="AV89"/>
      <c r="AW89"/>
      <c r="AX89"/>
      <c r="AY89"/>
      <c r="AZ89"/>
      <c r="BA89"/>
      <c r="BB89"/>
      <c r="BC89"/>
      <c r="BD89"/>
      <c r="BE89"/>
      <c r="BF89" t="s">
        <v>1100</v>
      </c>
      <c r="BG89" t="s">
        <v>5</v>
      </c>
      <c r="BH89" t="s">
        <v>1020</v>
      </c>
      <c r="BI89" t="s">
        <v>5</v>
      </c>
      <c r="BJ89" t="s">
        <v>5</v>
      </c>
      <c r="BK89" t="s">
        <v>1020</v>
      </c>
      <c r="BL89">
        <v>0</v>
      </c>
      <c r="BM89"/>
      <c r="BN89" t="s">
        <v>5</v>
      </c>
      <c r="BO89" t="s">
        <v>1585</v>
      </c>
      <c r="BP89" t="s">
        <v>1585</v>
      </c>
      <c r="BQ89" t="s">
        <v>1585</v>
      </c>
      <c r="BR89" t="s">
        <v>1585</v>
      </c>
      <c r="BS89" t="s">
        <v>6</v>
      </c>
      <c r="BT89" t="s">
        <v>1585</v>
      </c>
      <c r="BU89" t="s">
        <v>1585</v>
      </c>
      <c r="BV89" t="s">
        <v>1585</v>
      </c>
      <c r="BW89" t="s">
        <v>1585</v>
      </c>
      <c r="BX89" t="s">
        <v>6</v>
      </c>
      <c r="BY89" t="s">
        <v>3406</v>
      </c>
      <c r="BZ89"/>
      <c r="CA89"/>
      <c r="CB89" t="s">
        <v>5</v>
      </c>
      <c r="CC89">
        <v>69026.67254656383</v>
      </c>
      <c r="CD89">
        <v>81561390.594633773</v>
      </c>
      <c r="CE89" s="313" t="s">
        <v>11891</v>
      </c>
    </row>
    <row r="90" spans="1:83" ht="15" x14ac:dyDescent="0.25">
      <c r="A90" t="s">
        <v>4907</v>
      </c>
      <c r="B90" t="s">
        <v>4908</v>
      </c>
      <c r="C90" t="s">
        <v>4909</v>
      </c>
      <c r="D90">
        <v>8</v>
      </c>
      <c r="E90" t="s">
        <v>3395</v>
      </c>
      <c r="F90" t="s">
        <v>69</v>
      </c>
      <c r="G90" t="s">
        <v>4894</v>
      </c>
      <c r="H90" t="s">
        <v>4903</v>
      </c>
      <c r="I90" t="s">
        <v>4904</v>
      </c>
      <c r="J90" t="s">
        <v>4897</v>
      </c>
      <c r="K90" t="s">
        <v>4878</v>
      </c>
      <c r="L90">
        <v>31.490999221801761</v>
      </c>
      <c r="M90" t="s">
        <v>6</v>
      </c>
      <c r="N90" t="s">
        <v>6</v>
      </c>
      <c r="O90" t="s">
        <v>5</v>
      </c>
      <c r="P90" t="s">
        <v>5</v>
      </c>
      <c r="Q90" t="s">
        <v>5</v>
      </c>
      <c r="R90" t="s">
        <v>4905</v>
      </c>
      <c r="S90" t="s">
        <v>4905</v>
      </c>
      <c r="T90" t="s">
        <v>5</v>
      </c>
      <c r="U90" t="s">
        <v>28</v>
      </c>
      <c r="V90">
        <v>500000</v>
      </c>
      <c r="W90">
        <v>500000</v>
      </c>
      <c r="X90" t="s">
        <v>6</v>
      </c>
      <c r="Y90" t="s">
        <v>4906</v>
      </c>
      <c r="Z90"/>
      <c r="AA90"/>
      <c r="AB90"/>
      <c r="AC90"/>
      <c r="AD90"/>
      <c r="AE90"/>
      <c r="AF90"/>
      <c r="AG90"/>
      <c r="AH90"/>
      <c r="AI90"/>
      <c r="AJ90"/>
      <c r="AK90"/>
      <c r="AL90"/>
      <c r="AM90"/>
      <c r="AN90"/>
      <c r="AO90"/>
      <c r="AP90"/>
      <c r="AQ90"/>
      <c r="AR90"/>
      <c r="AS90"/>
      <c r="AT90"/>
      <c r="AU90"/>
      <c r="AV90"/>
      <c r="AW90"/>
      <c r="AX90"/>
      <c r="AY90"/>
      <c r="AZ90"/>
      <c r="BA90"/>
      <c r="BB90"/>
      <c r="BC90"/>
      <c r="BD90"/>
      <c r="BE90"/>
      <c r="BF90" t="s">
        <v>1100</v>
      </c>
      <c r="BG90" t="s">
        <v>5</v>
      </c>
      <c r="BH90" t="s">
        <v>1020</v>
      </c>
      <c r="BI90" t="s">
        <v>5</v>
      </c>
      <c r="BJ90" t="s">
        <v>5</v>
      </c>
      <c r="BK90" t="s">
        <v>1020</v>
      </c>
      <c r="BL90">
        <v>0</v>
      </c>
      <c r="BM90"/>
      <c r="BN90" t="s">
        <v>5</v>
      </c>
      <c r="BO90" t="s">
        <v>1585</v>
      </c>
      <c r="BP90" t="s">
        <v>1585</v>
      </c>
      <c r="BQ90" t="s">
        <v>1585</v>
      </c>
      <c r="BR90" t="s">
        <v>1585</v>
      </c>
      <c r="BS90" t="s">
        <v>6</v>
      </c>
      <c r="BT90" t="s">
        <v>1585</v>
      </c>
      <c r="BU90" t="s">
        <v>1585</v>
      </c>
      <c r="BV90" t="s">
        <v>1585</v>
      </c>
      <c r="BW90" t="s">
        <v>1585</v>
      </c>
      <c r="BX90" t="s">
        <v>6</v>
      </c>
      <c r="BY90" t="s">
        <v>3406</v>
      </c>
      <c r="BZ90"/>
      <c r="CA90"/>
      <c r="CB90" t="s">
        <v>5</v>
      </c>
      <c r="CC90">
        <v>69026.67254656383</v>
      </c>
      <c r="CD90">
        <v>81561390.594633773</v>
      </c>
      <c r="CE90" s="313" t="s">
        <v>11891</v>
      </c>
    </row>
    <row r="91" spans="1:83" ht="15" x14ac:dyDescent="0.25">
      <c r="A91" t="s">
        <v>4932</v>
      </c>
      <c r="B91" t="s">
        <v>4933</v>
      </c>
      <c r="C91" t="s">
        <v>4934</v>
      </c>
      <c r="D91">
        <v>8</v>
      </c>
      <c r="E91" t="s">
        <v>3395</v>
      </c>
      <c r="F91" t="s">
        <v>4883</v>
      </c>
      <c r="G91" t="s">
        <v>4881</v>
      </c>
      <c r="H91" t="s">
        <v>4935</v>
      </c>
      <c r="I91" t="s">
        <v>4936</v>
      </c>
      <c r="J91" t="s">
        <v>4882</v>
      </c>
      <c r="K91" t="s">
        <v>4877</v>
      </c>
      <c r="L91">
        <v>50.618598937988281</v>
      </c>
      <c r="M91" t="s">
        <v>6</v>
      </c>
      <c r="N91" t="s">
        <v>5</v>
      </c>
      <c r="O91" t="s">
        <v>5</v>
      </c>
      <c r="P91" t="s">
        <v>5</v>
      </c>
      <c r="Q91" t="s">
        <v>5</v>
      </c>
      <c r="R91" t="s">
        <v>4937</v>
      </c>
      <c r="S91" t="s">
        <v>4937</v>
      </c>
      <c r="T91" t="s">
        <v>5</v>
      </c>
      <c r="U91" t="s">
        <v>28</v>
      </c>
      <c r="V91">
        <v>500000</v>
      </c>
      <c r="W91">
        <v>500000</v>
      </c>
      <c r="X91" t="s">
        <v>6</v>
      </c>
      <c r="Y91" t="s">
        <v>3403</v>
      </c>
      <c r="Z91"/>
      <c r="AA91"/>
      <c r="AB91"/>
      <c r="AC91"/>
      <c r="AD91"/>
      <c r="AE91"/>
      <c r="AF91"/>
      <c r="AG91"/>
      <c r="AH91"/>
      <c r="AI91"/>
      <c r="AJ91"/>
      <c r="AK91"/>
      <c r="AL91"/>
      <c r="AM91"/>
      <c r="AN91"/>
      <c r="AO91"/>
      <c r="AP91"/>
      <c r="AQ91"/>
      <c r="AR91"/>
      <c r="AS91"/>
      <c r="AT91"/>
      <c r="AU91"/>
      <c r="AV91"/>
      <c r="AW91"/>
      <c r="AX91"/>
      <c r="AY91"/>
      <c r="AZ91"/>
      <c r="BA91"/>
      <c r="BB91"/>
      <c r="BC91"/>
      <c r="BD91"/>
      <c r="BE91"/>
      <c r="BF91" t="s">
        <v>1100</v>
      </c>
      <c r="BG91" t="s">
        <v>5</v>
      </c>
      <c r="BH91" t="s">
        <v>1020</v>
      </c>
      <c r="BI91" t="s">
        <v>5</v>
      </c>
      <c r="BJ91" t="s">
        <v>5</v>
      </c>
      <c r="BK91" t="s">
        <v>1020</v>
      </c>
      <c r="BL91">
        <v>0</v>
      </c>
      <c r="BM91"/>
      <c r="BN91" t="s">
        <v>5</v>
      </c>
      <c r="BO91" t="s">
        <v>1585</v>
      </c>
      <c r="BP91" t="s">
        <v>1585</v>
      </c>
      <c r="BQ91" t="s">
        <v>1585</v>
      </c>
      <c r="BR91" t="s">
        <v>1585</v>
      </c>
      <c r="BS91" t="s">
        <v>6</v>
      </c>
      <c r="BT91" t="s">
        <v>1585</v>
      </c>
      <c r="BU91" t="s">
        <v>1585</v>
      </c>
      <c r="BV91" t="s">
        <v>1585</v>
      </c>
      <c r="BW91" t="s">
        <v>1585</v>
      </c>
      <c r="BX91" t="s">
        <v>6</v>
      </c>
      <c r="BY91" t="s">
        <v>3406</v>
      </c>
      <c r="BZ91"/>
      <c r="CA91"/>
      <c r="CB91" t="s">
        <v>5</v>
      </c>
      <c r="CC91">
        <v>111779.9238068678</v>
      </c>
      <c r="CD91">
        <v>131101681.70600779</v>
      </c>
      <c r="CE91" s="313" t="s">
        <v>11891</v>
      </c>
    </row>
    <row r="92" spans="1:83" ht="15" x14ac:dyDescent="0.25">
      <c r="A92" t="s">
        <v>12492</v>
      </c>
      <c r="B92" t="s">
        <v>12493</v>
      </c>
      <c r="C92" t="s">
        <v>12494</v>
      </c>
      <c r="D92">
        <v>8</v>
      </c>
      <c r="E92" t="s">
        <v>3395</v>
      </c>
      <c r="F92" t="s">
        <v>4883</v>
      </c>
      <c r="G92" t="s">
        <v>12488</v>
      </c>
      <c r="H92" t="s">
        <v>12489</v>
      </c>
      <c r="I92" t="s">
        <v>12483</v>
      </c>
      <c r="J92" t="s">
        <v>12490</v>
      </c>
      <c r="K92" t="s">
        <v>4878</v>
      </c>
      <c r="L92">
        <v>587.9239501953125</v>
      </c>
      <c r="M92" t="s">
        <v>6</v>
      </c>
      <c r="N92" t="s">
        <v>5</v>
      </c>
      <c r="O92" t="s">
        <v>5</v>
      </c>
      <c r="P92" t="s">
        <v>5</v>
      </c>
      <c r="Q92" t="s">
        <v>5</v>
      </c>
      <c r="R92" t="s">
        <v>9301</v>
      </c>
      <c r="S92" t="s">
        <v>9301</v>
      </c>
      <c r="T92" t="s">
        <v>5</v>
      </c>
      <c r="U92" t="s">
        <v>28</v>
      </c>
      <c r="V92">
        <v>500000</v>
      </c>
      <c r="W92">
        <v>500000</v>
      </c>
      <c r="X92" t="s">
        <v>6</v>
      </c>
      <c r="Y92" t="s">
        <v>3403</v>
      </c>
      <c r="Z92"/>
      <c r="AA92"/>
      <c r="AB92"/>
      <c r="AC92"/>
      <c r="AD92"/>
      <c r="AE92"/>
      <c r="AF92"/>
      <c r="AG92"/>
      <c r="AH92"/>
      <c r="AI92"/>
      <c r="AJ92"/>
      <c r="AK92"/>
      <c r="AL92"/>
      <c r="AM92"/>
      <c r="AN92"/>
      <c r="AO92"/>
      <c r="AP92"/>
      <c r="AQ92"/>
      <c r="AR92"/>
      <c r="AS92"/>
      <c r="AT92"/>
      <c r="AU92"/>
      <c r="AV92"/>
      <c r="AW92"/>
      <c r="AX92"/>
      <c r="AY92"/>
      <c r="AZ92"/>
      <c r="BA92"/>
      <c r="BB92"/>
      <c r="BC92"/>
      <c r="BD92"/>
      <c r="BE92"/>
      <c r="BF92" t="s">
        <v>12472</v>
      </c>
      <c r="BG92" t="s">
        <v>5</v>
      </c>
      <c r="BH92" t="s">
        <v>1020</v>
      </c>
      <c r="BI92" t="s">
        <v>5</v>
      </c>
      <c r="BJ92" t="s">
        <v>5</v>
      </c>
      <c r="BK92" t="s">
        <v>1020</v>
      </c>
      <c r="BL92">
        <v>0</v>
      </c>
      <c r="BM92"/>
      <c r="BN92" t="s">
        <v>6</v>
      </c>
      <c r="BO92"/>
      <c r="BP92" t="s">
        <v>12495</v>
      </c>
      <c r="BQ92"/>
      <c r="BR92" t="s">
        <v>12496</v>
      </c>
      <c r="BS92" t="s">
        <v>6</v>
      </c>
      <c r="BT92"/>
      <c r="BU92"/>
      <c r="BV92"/>
      <c r="BW92"/>
      <c r="BX92" t="s">
        <v>6</v>
      </c>
      <c r="BY92" t="s">
        <v>12473</v>
      </c>
      <c r="BZ92"/>
      <c r="CA92"/>
      <c r="CB92" t="s">
        <v>5</v>
      </c>
      <c r="CC92">
        <v>289454.68636156141</v>
      </c>
      <c r="CD92">
        <v>1522716098.1313739</v>
      </c>
      <c r="CE92" s="313" t="s">
        <v>11902</v>
      </c>
    </row>
    <row r="93" spans="1:83" ht="15" x14ac:dyDescent="0.25">
      <c r="A93" t="s">
        <v>12497</v>
      </c>
      <c r="B93" t="s">
        <v>12498</v>
      </c>
      <c r="C93" t="s">
        <v>12499</v>
      </c>
      <c r="D93">
        <v>8</v>
      </c>
      <c r="E93" t="s">
        <v>3395</v>
      </c>
      <c r="F93" t="s">
        <v>4883</v>
      </c>
      <c r="G93" t="s">
        <v>4881</v>
      </c>
      <c r="H93" t="s">
        <v>4935</v>
      </c>
      <c r="I93" t="s">
        <v>4936</v>
      </c>
      <c r="J93" t="s">
        <v>4882</v>
      </c>
      <c r="K93" t="s">
        <v>3401</v>
      </c>
      <c r="L93">
        <v>51.090892791748047</v>
      </c>
      <c r="M93" t="s">
        <v>6</v>
      </c>
      <c r="N93" t="s">
        <v>5</v>
      </c>
      <c r="O93" t="s">
        <v>5</v>
      </c>
      <c r="P93" t="s">
        <v>5</v>
      </c>
      <c r="Q93" t="s">
        <v>5</v>
      </c>
      <c r="R93" t="s">
        <v>4937</v>
      </c>
      <c r="S93" t="s">
        <v>4937</v>
      </c>
      <c r="T93" t="s">
        <v>5</v>
      </c>
      <c r="U93" t="s">
        <v>85</v>
      </c>
      <c r="V93">
        <v>500000</v>
      </c>
      <c r="W93">
        <v>500000</v>
      </c>
      <c r="X93" t="s">
        <v>6</v>
      </c>
      <c r="Y93" t="s">
        <v>3403</v>
      </c>
      <c r="Z93"/>
      <c r="AA93"/>
      <c r="AB93"/>
      <c r="AC93"/>
      <c r="AD93"/>
      <c r="AE93"/>
      <c r="AF93"/>
      <c r="AG93"/>
      <c r="AH93"/>
      <c r="AI93"/>
      <c r="AJ93"/>
      <c r="AK93"/>
      <c r="AL93"/>
      <c r="AM93"/>
      <c r="AN93"/>
      <c r="AO93"/>
      <c r="AP93"/>
      <c r="AQ93"/>
      <c r="AR93"/>
      <c r="AS93"/>
      <c r="AT93"/>
      <c r="AU93"/>
      <c r="AV93"/>
      <c r="AW93"/>
      <c r="AX93"/>
      <c r="AY93"/>
      <c r="AZ93"/>
      <c r="BA93"/>
      <c r="BB93"/>
      <c r="BC93"/>
      <c r="BD93"/>
      <c r="BE93"/>
      <c r="BF93" t="s">
        <v>12472</v>
      </c>
      <c r="BG93" t="s">
        <v>5</v>
      </c>
      <c r="BH93" t="s">
        <v>12500</v>
      </c>
      <c r="BI93" t="s">
        <v>5</v>
      </c>
      <c r="BJ93" t="s">
        <v>5</v>
      </c>
      <c r="BK93" t="s">
        <v>1020</v>
      </c>
      <c r="BL93">
        <v>0</v>
      </c>
      <c r="BM93"/>
      <c r="BN93" t="s">
        <v>5</v>
      </c>
      <c r="BO93"/>
      <c r="BP93"/>
      <c r="BQ93"/>
      <c r="BR93"/>
      <c r="BS93" t="s">
        <v>6</v>
      </c>
      <c r="BT93"/>
      <c r="BU93"/>
      <c r="BV93"/>
      <c r="BW93"/>
      <c r="BX93" t="s">
        <v>6</v>
      </c>
      <c r="BY93" t="s">
        <v>12473</v>
      </c>
      <c r="BZ93"/>
      <c r="CA93"/>
      <c r="CB93" t="s">
        <v>5</v>
      </c>
      <c r="CC93">
        <v>108360.084475436</v>
      </c>
      <c r="CD93">
        <v>132324800.65926591</v>
      </c>
      <c r="CE93" s="313" t="s">
        <v>11902</v>
      </c>
    </row>
    <row r="94" spans="1:83" ht="15" x14ac:dyDescent="0.25">
      <c r="A94" t="s">
        <v>12504</v>
      </c>
      <c r="B94" t="s">
        <v>12505</v>
      </c>
      <c r="C94" t="s">
        <v>12506</v>
      </c>
      <c r="D94">
        <v>8</v>
      </c>
      <c r="E94" t="s">
        <v>3395</v>
      </c>
      <c r="F94" t="s">
        <v>12480</v>
      </c>
      <c r="G94" t="s">
        <v>12481</v>
      </c>
      <c r="H94" t="s">
        <v>12507</v>
      </c>
      <c r="I94" t="s">
        <v>12508</v>
      </c>
      <c r="J94" t="s">
        <v>12484</v>
      </c>
      <c r="K94" t="s">
        <v>4878</v>
      </c>
      <c r="L94">
        <v>113.3793258666992</v>
      </c>
      <c r="M94" t="s">
        <v>6</v>
      </c>
      <c r="N94" t="s">
        <v>5</v>
      </c>
      <c r="O94" t="s">
        <v>5</v>
      </c>
      <c r="P94" t="s">
        <v>5</v>
      </c>
      <c r="Q94" t="s">
        <v>5</v>
      </c>
      <c r="R94" t="s">
        <v>10165</v>
      </c>
      <c r="S94" t="s">
        <v>10165</v>
      </c>
      <c r="T94" t="s">
        <v>5</v>
      </c>
      <c r="U94" t="s">
        <v>28</v>
      </c>
      <c r="V94">
        <v>500000</v>
      </c>
      <c r="W94">
        <v>500000</v>
      </c>
      <c r="X94" t="s">
        <v>6</v>
      </c>
      <c r="Y94" t="s">
        <v>3403</v>
      </c>
      <c r="Z94"/>
      <c r="AA94"/>
      <c r="AB94"/>
      <c r="AC94"/>
      <c r="AD94"/>
      <c r="AE94"/>
      <c r="AF94"/>
      <c r="AG94"/>
      <c r="AH94"/>
      <c r="AI94"/>
      <c r="AJ94"/>
      <c r="AK94"/>
      <c r="AL94"/>
      <c r="AM94"/>
      <c r="AN94"/>
      <c r="AO94"/>
      <c r="AP94"/>
      <c r="AQ94"/>
      <c r="AR94"/>
      <c r="AS94"/>
      <c r="AT94"/>
      <c r="AU94"/>
      <c r="AV94"/>
      <c r="AW94"/>
      <c r="AX94"/>
      <c r="AY94"/>
      <c r="AZ94"/>
      <c r="BA94"/>
      <c r="BB94"/>
      <c r="BC94"/>
      <c r="BD94"/>
      <c r="BE94"/>
      <c r="BF94" t="s">
        <v>12472</v>
      </c>
      <c r="BG94" t="s">
        <v>5</v>
      </c>
      <c r="BH94" t="s">
        <v>1020</v>
      </c>
      <c r="BI94" t="s">
        <v>5</v>
      </c>
      <c r="BJ94" t="s">
        <v>5</v>
      </c>
      <c r="BK94" t="s">
        <v>1020</v>
      </c>
      <c r="BL94">
        <v>0</v>
      </c>
      <c r="BM94"/>
      <c r="BN94" t="s">
        <v>5</v>
      </c>
      <c r="BO94"/>
      <c r="BP94"/>
      <c r="BQ94"/>
      <c r="BR94"/>
      <c r="BS94" t="s">
        <v>6</v>
      </c>
      <c r="BT94"/>
      <c r="BU94"/>
      <c r="BV94"/>
      <c r="BW94"/>
      <c r="BX94" t="s">
        <v>6</v>
      </c>
      <c r="BY94" t="s">
        <v>12473</v>
      </c>
      <c r="BZ94"/>
      <c r="CA94"/>
      <c r="CB94" t="s">
        <v>5</v>
      </c>
      <c r="CC94">
        <v>109617.6020717981</v>
      </c>
      <c r="CD94">
        <v>293651105.77138537</v>
      </c>
      <c r="CE94" s="313" t="s">
        <v>11902</v>
      </c>
    </row>
    <row r="95" spans="1:83" ht="15" x14ac:dyDescent="0.25">
      <c r="A95" t="s">
        <v>12509</v>
      </c>
      <c r="B95" t="s">
        <v>12510</v>
      </c>
      <c r="C95" t="s">
        <v>12511</v>
      </c>
      <c r="D95">
        <v>8</v>
      </c>
      <c r="E95" t="s">
        <v>3395</v>
      </c>
      <c r="F95" t="s">
        <v>12512</v>
      </c>
      <c r="G95" t="s">
        <v>4887</v>
      </c>
      <c r="H95" t="s">
        <v>4924</v>
      </c>
      <c r="I95" t="s">
        <v>12513</v>
      </c>
      <c r="J95" t="s">
        <v>4880</v>
      </c>
      <c r="K95" t="s">
        <v>12514</v>
      </c>
      <c r="L95">
        <v>25.595670700073239</v>
      </c>
      <c r="M95" t="s">
        <v>6</v>
      </c>
      <c r="N95" t="s">
        <v>5</v>
      </c>
      <c r="O95" t="s">
        <v>5</v>
      </c>
      <c r="P95" t="s">
        <v>5</v>
      </c>
      <c r="Q95" t="s">
        <v>5</v>
      </c>
      <c r="R95" t="s">
        <v>5622</v>
      </c>
      <c r="S95" t="s">
        <v>5622</v>
      </c>
      <c r="T95" t="s">
        <v>5</v>
      </c>
      <c r="U95" t="s">
        <v>4</v>
      </c>
      <c r="V95">
        <v>500000</v>
      </c>
      <c r="W95">
        <v>500000</v>
      </c>
      <c r="X95" t="s">
        <v>6</v>
      </c>
      <c r="Y95" t="s">
        <v>3403</v>
      </c>
      <c r="Z95"/>
      <c r="AA95"/>
      <c r="AB95"/>
      <c r="AC95"/>
      <c r="AD95"/>
      <c r="AE95"/>
      <c r="AF95"/>
      <c r="AG95"/>
      <c r="AH95"/>
      <c r="AI95"/>
      <c r="AJ95"/>
      <c r="AK95"/>
      <c r="AL95"/>
      <c r="AM95"/>
      <c r="AN95"/>
      <c r="AO95"/>
      <c r="AP95"/>
      <c r="AQ95"/>
      <c r="AR95"/>
      <c r="AS95"/>
      <c r="AT95"/>
      <c r="AU95"/>
      <c r="AV95"/>
      <c r="AW95"/>
      <c r="AX95"/>
      <c r="AY95"/>
      <c r="AZ95"/>
      <c r="BA95"/>
      <c r="BB95"/>
      <c r="BC95"/>
      <c r="BD95"/>
      <c r="BE95"/>
      <c r="BF95" t="s">
        <v>12472</v>
      </c>
      <c r="BG95" t="s">
        <v>5</v>
      </c>
      <c r="BH95" t="s">
        <v>1020</v>
      </c>
      <c r="BI95" t="s">
        <v>5</v>
      </c>
      <c r="BJ95" t="s">
        <v>5</v>
      </c>
      <c r="BK95" t="s">
        <v>1020</v>
      </c>
      <c r="BL95">
        <v>0</v>
      </c>
      <c r="BM95"/>
      <c r="BN95" t="s">
        <v>5</v>
      </c>
      <c r="BO95"/>
      <c r="BP95"/>
      <c r="BQ95"/>
      <c r="BR95"/>
      <c r="BS95" t="s">
        <v>6</v>
      </c>
      <c r="BT95"/>
      <c r="BU95"/>
      <c r="BV95"/>
      <c r="BW95"/>
      <c r="BX95" t="s">
        <v>6</v>
      </c>
      <c r="BY95" t="s">
        <v>12473</v>
      </c>
      <c r="BZ95"/>
      <c r="CA95"/>
      <c r="CB95" t="s">
        <v>5</v>
      </c>
      <c r="CC95">
        <v>99468.811097208993</v>
      </c>
      <c r="CD95">
        <v>66292481.547879197</v>
      </c>
      <c r="CE95" s="313" t="s">
        <v>11902</v>
      </c>
    </row>
    <row r="96" spans="1:83" ht="15" x14ac:dyDescent="0.25">
      <c r="A96" t="s">
        <v>12521</v>
      </c>
      <c r="B96" t="s">
        <v>12522</v>
      </c>
      <c r="C96" t="s">
        <v>12523</v>
      </c>
      <c r="D96">
        <v>8</v>
      </c>
      <c r="E96" t="s">
        <v>3395</v>
      </c>
      <c r="F96" t="s">
        <v>12512</v>
      </c>
      <c r="G96" t="s">
        <v>4887</v>
      </c>
      <c r="H96" t="s">
        <v>4924</v>
      </c>
      <c r="I96" t="s">
        <v>12513</v>
      </c>
      <c r="J96" t="s">
        <v>4880</v>
      </c>
      <c r="K96" t="s">
        <v>4877</v>
      </c>
      <c r="L96">
        <v>25.595670700073239</v>
      </c>
      <c r="M96" t="s">
        <v>6</v>
      </c>
      <c r="N96" t="s">
        <v>5</v>
      </c>
      <c r="O96" t="s">
        <v>5</v>
      </c>
      <c r="P96" t="s">
        <v>5</v>
      </c>
      <c r="Q96" t="s">
        <v>5</v>
      </c>
      <c r="R96" t="s">
        <v>5622</v>
      </c>
      <c r="S96" t="s">
        <v>5622</v>
      </c>
      <c r="T96" t="s">
        <v>5</v>
      </c>
      <c r="U96" t="s">
        <v>13</v>
      </c>
      <c r="V96">
        <v>500000</v>
      </c>
      <c r="W96">
        <v>500000</v>
      </c>
      <c r="X96" t="s">
        <v>6</v>
      </c>
      <c r="Y96" t="s">
        <v>3403</v>
      </c>
      <c r="Z96"/>
      <c r="AA96"/>
      <c r="AB96"/>
      <c r="AC96"/>
      <c r="AD96"/>
      <c r="AE96"/>
      <c r="AF96"/>
      <c r="AG96"/>
      <c r="AH96"/>
      <c r="AI96"/>
      <c r="AJ96"/>
      <c r="AK96"/>
      <c r="AL96"/>
      <c r="AM96"/>
      <c r="AN96"/>
      <c r="AO96"/>
      <c r="AP96"/>
      <c r="AQ96"/>
      <c r="AR96"/>
      <c r="AS96"/>
      <c r="AT96"/>
      <c r="AU96"/>
      <c r="AV96"/>
      <c r="AW96"/>
      <c r="AX96"/>
      <c r="AY96"/>
      <c r="AZ96"/>
      <c r="BA96"/>
      <c r="BB96"/>
      <c r="BC96"/>
      <c r="BD96"/>
      <c r="BE96"/>
      <c r="BF96" t="s">
        <v>12472</v>
      </c>
      <c r="BG96" t="s">
        <v>5</v>
      </c>
      <c r="BH96" t="s">
        <v>1020</v>
      </c>
      <c r="BI96" t="s">
        <v>5</v>
      </c>
      <c r="BJ96" t="s">
        <v>5</v>
      </c>
      <c r="BK96" t="s">
        <v>1020</v>
      </c>
      <c r="BL96">
        <v>0</v>
      </c>
      <c r="BM96"/>
      <c r="BN96" t="s">
        <v>5</v>
      </c>
      <c r="BO96"/>
      <c r="BP96"/>
      <c r="BQ96"/>
      <c r="BR96"/>
      <c r="BS96" t="s">
        <v>6</v>
      </c>
      <c r="BT96"/>
      <c r="BU96"/>
      <c r="BV96"/>
      <c r="BW96"/>
      <c r="BX96" t="s">
        <v>6</v>
      </c>
      <c r="BY96" t="s">
        <v>12473</v>
      </c>
      <c r="BZ96"/>
      <c r="CA96"/>
      <c r="CB96" t="s">
        <v>5</v>
      </c>
      <c r="CC96">
        <v>99468.811097208993</v>
      </c>
      <c r="CD96">
        <v>66292481.547879197</v>
      </c>
      <c r="CE96" s="313" t="s">
        <v>11902</v>
      </c>
    </row>
    <row r="97" spans="1:83" ht="15" x14ac:dyDescent="0.25">
      <c r="A97" t="s">
        <v>12524</v>
      </c>
      <c r="B97" t="s">
        <v>12525</v>
      </c>
      <c r="C97" t="s">
        <v>12526</v>
      </c>
      <c r="D97">
        <v>8</v>
      </c>
      <c r="E97" t="s">
        <v>3395</v>
      </c>
      <c r="F97" t="s">
        <v>12512</v>
      </c>
      <c r="G97" t="s">
        <v>4887</v>
      </c>
      <c r="H97" t="s">
        <v>4924</v>
      </c>
      <c r="I97" t="s">
        <v>12513</v>
      </c>
      <c r="J97" t="s">
        <v>4880</v>
      </c>
      <c r="K97" t="s">
        <v>4878</v>
      </c>
      <c r="L97">
        <v>25.595670700073239</v>
      </c>
      <c r="M97" t="s">
        <v>6</v>
      </c>
      <c r="N97" t="s">
        <v>5</v>
      </c>
      <c r="O97" t="s">
        <v>5</v>
      </c>
      <c r="P97" t="s">
        <v>5</v>
      </c>
      <c r="Q97" t="s">
        <v>5</v>
      </c>
      <c r="R97" t="s">
        <v>5622</v>
      </c>
      <c r="S97" t="s">
        <v>5622</v>
      </c>
      <c r="T97" t="s">
        <v>5</v>
      </c>
      <c r="U97" t="s">
        <v>28</v>
      </c>
      <c r="V97">
        <v>500000</v>
      </c>
      <c r="W97">
        <v>500000</v>
      </c>
      <c r="X97" t="s">
        <v>6</v>
      </c>
      <c r="Y97" t="s">
        <v>3403</v>
      </c>
      <c r="Z97"/>
      <c r="AA97"/>
      <c r="AB97"/>
      <c r="AC97"/>
      <c r="AD97"/>
      <c r="AE97"/>
      <c r="AF97"/>
      <c r="AG97"/>
      <c r="AH97"/>
      <c r="AI97"/>
      <c r="AJ97"/>
      <c r="AK97"/>
      <c r="AL97"/>
      <c r="AM97"/>
      <c r="AN97"/>
      <c r="AO97"/>
      <c r="AP97"/>
      <c r="AQ97"/>
      <c r="AR97"/>
      <c r="AS97"/>
      <c r="AT97"/>
      <c r="AU97"/>
      <c r="AV97"/>
      <c r="AW97"/>
      <c r="AX97"/>
      <c r="AY97"/>
      <c r="AZ97"/>
      <c r="BA97"/>
      <c r="BB97"/>
      <c r="BC97"/>
      <c r="BD97"/>
      <c r="BE97"/>
      <c r="BF97" t="s">
        <v>12472</v>
      </c>
      <c r="BG97" t="s">
        <v>5</v>
      </c>
      <c r="BH97" t="s">
        <v>1020</v>
      </c>
      <c r="BI97" t="s">
        <v>5</v>
      </c>
      <c r="BJ97" t="s">
        <v>5</v>
      </c>
      <c r="BK97" t="s">
        <v>1020</v>
      </c>
      <c r="BL97">
        <v>0</v>
      </c>
      <c r="BM97"/>
      <c r="BN97" t="s">
        <v>5</v>
      </c>
      <c r="BO97"/>
      <c r="BP97"/>
      <c r="BQ97"/>
      <c r="BR97"/>
      <c r="BS97" t="s">
        <v>6</v>
      </c>
      <c r="BT97"/>
      <c r="BU97"/>
      <c r="BV97"/>
      <c r="BW97"/>
      <c r="BX97" t="s">
        <v>6</v>
      </c>
      <c r="BY97" t="s">
        <v>12473</v>
      </c>
      <c r="BZ97"/>
      <c r="CA97"/>
      <c r="CB97" t="s">
        <v>5</v>
      </c>
      <c r="CC97">
        <v>99468.811097208993</v>
      </c>
      <c r="CD97">
        <v>66292481.547879197</v>
      </c>
      <c r="CE97" s="313" t="s">
        <v>11902</v>
      </c>
    </row>
    <row r="98" spans="1:83" ht="15" x14ac:dyDescent="0.25">
      <c r="A98" t="s">
        <v>1768</v>
      </c>
      <c r="B98" t="s">
        <v>1769</v>
      </c>
      <c r="C98" t="s">
        <v>1770</v>
      </c>
      <c r="D98">
        <v>3</v>
      </c>
      <c r="E98" t="s">
        <v>1771</v>
      </c>
      <c r="F98" t="s">
        <v>1772</v>
      </c>
      <c r="G98" t="s">
        <v>1773</v>
      </c>
      <c r="H98" t="s">
        <v>4367</v>
      </c>
      <c r="I98"/>
      <c r="J98" t="s">
        <v>1774</v>
      </c>
      <c r="K98" t="s">
        <v>1775</v>
      </c>
      <c r="L98">
        <v>1073.454956054688</v>
      </c>
      <c r="M98" t="s">
        <v>6</v>
      </c>
      <c r="N98" t="s">
        <v>5</v>
      </c>
      <c r="O98" t="s">
        <v>5</v>
      </c>
      <c r="P98" t="s">
        <v>5</v>
      </c>
      <c r="Q98" t="s">
        <v>5</v>
      </c>
      <c r="R98" t="s">
        <v>4368</v>
      </c>
      <c r="S98" t="s">
        <v>1776</v>
      </c>
      <c r="T98" t="s">
        <v>5</v>
      </c>
      <c r="U98" t="s">
        <v>98</v>
      </c>
      <c r="V98">
        <v>5000000</v>
      </c>
      <c r="W98">
        <v>500000</v>
      </c>
      <c r="X98" t="s">
        <v>5</v>
      </c>
      <c r="Y98"/>
      <c r="Z98"/>
      <c r="AA98">
        <v>184.2019958496094</v>
      </c>
      <c r="AB98">
        <v>11.62555027008057</v>
      </c>
      <c r="AC98">
        <v>2.6756680011749272</v>
      </c>
      <c r="AD98">
        <v>667</v>
      </c>
      <c r="AE98">
        <v>231</v>
      </c>
      <c r="AF98">
        <v>416</v>
      </c>
      <c r="AG98">
        <v>760</v>
      </c>
      <c r="AH98">
        <v>1098</v>
      </c>
      <c r="AI98">
        <v>1098</v>
      </c>
      <c r="AJ98">
        <v>6</v>
      </c>
      <c r="AK98">
        <v>6</v>
      </c>
      <c r="AL98">
        <v>73</v>
      </c>
      <c r="AM98"/>
      <c r="AN98">
        <v>36103.83984375</v>
      </c>
      <c r="AO98"/>
      <c r="AP98"/>
      <c r="AQ98"/>
      <c r="AR98"/>
      <c r="AS98"/>
      <c r="AT98"/>
      <c r="AU98"/>
      <c r="AV98"/>
      <c r="AW98"/>
      <c r="AX98"/>
      <c r="AY98"/>
      <c r="AZ98"/>
      <c r="BA98"/>
      <c r="BB98"/>
      <c r="BC98"/>
      <c r="BD98"/>
      <c r="BE98"/>
      <c r="BF98" t="s">
        <v>5</v>
      </c>
      <c r="BG98" t="s">
        <v>5</v>
      </c>
      <c r="BH98" t="s">
        <v>1777</v>
      </c>
      <c r="BI98"/>
      <c r="BJ98" t="s">
        <v>5</v>
      </c>
      <c r="BK98"/>
      <c r="BL98">
        <v>100</v>
      </c>
      <c r="BM98"/>
      <c r="BN98" t="s">
        <v>5</v>
      </c>
      <c r="BO98"/>
      <c r="BP98"/>
      <c r="BQ98"/>
      <c r="BR98"/>
      <c r="BS98" t="s">
        <v>5</v>
      </c>
      <c r="BT98"/>
      <c r="BU98"/>
      <c r="BV98"/>
      <c r="BW98" t="s">
        <v>1778</v>
      </c>
      <c r="BX98" t="s">
        <v>6</v>
      </c>
      <c r="BY98" t="s">
        <v>1101</v>
      </c>
      <c r="BZ98"/>
      <c r="CA98"/>
      <c r="CB98" t="s">
        <v>6</v>
      </c>
      <c r="CC98">
        <v>372020.94226368732</v>
      </c>
      <c r="CD98">
        <v>2780972621.138886</v>
      </c>
      <c r="CE98" s="313" t="s">
        <v>11891</v>
      </c>
    </row>
    <row r="99" spans="1:83" ht="15" x14ac:dyDescent="0.25">
      <c r="A99" t="s">
        <v>1788</v>
      </c>
      <c r="B99" t="s">
        <v>1789</v>
      </c>
      <c r="C99" t="s">
        <v>1790</v>
      </c>
      <c r="D99">
        <v>3</v>
      </c>
      <c r="E99" t="s">
        <v>1771</v>
      </c>
      <c r="F99" t="s">
        <v>1791</v>
      </c>
      <c r="G99" t="s">
        <v>1792</v>
      </c>
      <c r="H99" t="s">
        <v>4369</v>
      </c>
      <c r="I99"/>
      <c r="J99" t="s">
        <v>1774</v>
      </c>
      <c r="K99" t="s">
        <v>1793</v>
      </c>
      <c r="L99">
        <v>883.168701171875</v>
      </c>
      <c r="M99" t="s">
        <v>6</v>
      </c>
      <c r="N99" t="s">
        <v>5</v>
      </c>
      <c r="O99" t="s">
        <v>5</v>
      </c>
      <c r="P99" t="s">
        <v>5</v>
      </c>
      <c r="Q99" t="s">
        <v>5</v>
      </c>
      <c r="R99" t="s">
        <v>4370</v>
      </c>
      <c r="S99" t="s">
        <v>1794</v>
      </c>
      <c r="T99" t="s">
        <v>5</v>
      </c>
      <c r="U99" t="s">
        <v>50</v>
      </c>
      <c r="V99">
        <v>5000000</v>
      </c>
      <c r="W99">
        <v>500000</v>
      </c>
      <c r="X99" t="s">
        <v>6</v>
      </c>
      <c r="Y99"/>
      <c r="Z99">
        <v>500000</v>
      </c>
      <c r="AA99">
        <v>170.8688049316406</v>
      </c>
      <c r="AB99">
        <v>11.471920013427731</v>
      </c>
      <c r="AC99">
        <v>2.192985057830811</v>
      </c>
      <c r="AD99">
        <v>2842</v>
      </c>
      <c r="AE99">
        <v>2402</v>
      </c>
      <c r="AF99">
        <v>2401</v>
      </c>
      <c r="AG99">
        <v>11593</v>
      </c>
      <c r="AH99">
        <v>7641</v>
      </c>
      <c r="AI99">
        <v>11593</v>
      </c>
      <c r="AJ99">
        <v>26</v>
      </c>
      <c r="AK99">
        <v>55</v>
      </c>
      <c r="AL99">
        <v>146</v>
      </c>
      <c r="AM99"/>
      <c r="AN99">
        <v>34153.609375</v>
      </c>
      <c r="AO99"/>
      <c r="AP99"/>
      <c r="AQ99"/>
      <c r="AR99"/>
      <c r="AS99"/>
      <c r="AT99"/>
      <c r="AU99"/>
      <c r="AV99"/>
      <c r="AW99"/>
      <c r="AX99"/>
      <c r="AY99"/>
      <c r="AZ99"/>
      <c r="BA99"/>
      <c r="BB99"/>
      <c r="BC99"/>
      <c r="BD99"/>
      <c r="BE99"/>
      <c r="BF99" t="s">
        <v>5</v>
      </c>
      <c r="BG99" t="s">
        <v>5</v>
      </c>
      <c r="BH99" t="s">
        <v>1777</v>
      </c>
      <c r="BI99"/>
      <c r="BJ99" t="s">
        <v>5</v>
      </c>
      <c r="BK99"/>
      <c r="BL99">
        <v>0</v>
      </c>
      <c r="BM99"/>
      <c r="BN99" t="s">
        <v>5</v>
      </c>
      <c r="BO99"/>
      <c r="BP99"/>
      <c r="BQ99"/>
      <c r="BR99"/>
      <c r="BS99" t="s">
        <v>5</v>
      </c>
      <c r="BT99"/>
      <c r="BU99"/>
      <c r="BV99"/>
      <c r="BW99" t="s">
        <v>1778</v>
      </c>
      <c r="BX99" t="s">
        <v>6</v>
      </c>
      <c r="BY99" t="s">
        <v>1101</v>
      </c>
      <c r="BZ99"/>
      <c r="CA99"/>
      <c r="CB99" t="s">
        <v>5</v>
      </c>
      <c r="CC99">
        <v>194734.06498380381</v>
      </c>
      <c r="CD99">
        <v>2288001863.5985088</v>
      </c>
      <c r="CE99" s="313" t="s">
        <v>11891</v>
      </c>
    </row>
    <row r="100" spans="1:83" ht="15" x14ac:dyDescent="0.25">
      <c r="A100" t="s">
        <v>1802</v>
      </c>
      <c r="B100" t="s">
        <v>1803</v>
      </c>
      <c r="C100" t="s">
        <v>1804</v>
      </c>
      <c r="D100">
        <v>3</v>
      </c>
      <c r="E100" t="s">
        <v>1771</v>
      </c>
      <c r="F100" t="s">
        <v>1798</v>
      </c>
      <c r="G100" t="s">
        <v>1799</v>
      </c>
      <c r="H100" t="s">
        <v>4371</v>
      </c>
      <c r="I100"/>
      <c r="J100" t="s">
        <v>12742</v>
      </c>
      <c r="K100" t="s">
        <v>1793</v>
      </c>
      <c r="L100">
        <v>893.1663818359375</v>
      </c>
      <c r="M100" t="s">
        <v>6</v>
      </c>
      <c r="N100" t="s">
        <v>5</v>
      </c>
      <c r="O100" t="s">
        <v>5</v>
      </c>
      <c r="P100" t="s">
        <v>5</v>
      </c>
      <c r="Q100" t="s">
        <v>5</v>
      </c>
      <c r="R100" t="s">
        <v>4372</v>
      </c>
      <c r="S100" t="s">
        <v>1801</v>
      </c>
      <c r="T100" t="s">
        <v>5</v>
      </c>
      <c r="U100" t="s">
        <v>98</v>
      </c>
      <c r="V100">
        <v>5000000</v>
      </c>
      <c r="W100">
        <v>500000</v>
      </c>
      <c r="X100" t="s">
        <v>6</v>
      </c>
      <c r="Y100"/>
      <c r="Z100">
        <v>500000</v>
      </c>
      <c r="AA100">
        <v>122.377799987793</v>
      </c>
      <c r="AB100">
        <v>11.44818019866943</v>
      </c>
      <c r="AC100">
        <v>8.9341583251953125</v>
      </c>
      <c r="AD100">
        <v>1328</v>
      </c>
      <c r="AE100">
        <v>590</v>
      </c>
      <c r="AF100">
        <v>964</v>
      </c>
      <c r="AG100">
        <v>998</v>
      </c>
      <c r="AH100">
        <v>1528</v>
      </c>
      <c r="AI100">
        <v>1528</v>
      </c>
      <c r="AJ100">
        <v>6</v>
      </c>
      <c r="AK100">
        <v>32</v>
      </c>
      <c r="AL100">
        <v>81</v>
      </c>
      <c r="AM100"/>
      <c r="AN100">
        <v>40878.87109375</v>
      </c>
      <c r="AO100"/>
      <c r="AP100"/>
      <c r="AQ100"/>
      <c r="AR100"/>
      <c r="AS100">
        <v>30</v>
      </c>
      <c r="AT100"/>
      <c r="AU100">
        <v>30</v>
      </c>
      <c r="AV100">
        <v>90</v>
      </c>
      <c r="AW100"/>
      <c r="AX100"/>
      <c r="AY100"/>
      <c r="AZ100"/>
      <c r="BA100"/>
      <c r="BB100"/>
      <c r="BC100"/>
      <c r="BD100"/>
      <c r="BE100">
        <v>167000</v>
      </c>
      <c r="BF100" t="s">
        <v>5</v>
      </c>
      <c r="BG100" t="s">
        <v>5</v>
      </c>
      <c r="BH100" t="s">
        <v>1777</v>
      </c>
      <c r="BI100"/>
      <c r="BJ100" t="s">
        <v>5</v>
      </c>
      <c r="BK100"/>
      <c r="BL100">
        <v>0</v>
      </c>
      <c r="BM100"/>
      <c r="BN100" t="s">
        <v>5</v>
      </c>
      <c r="BO100"/>
      <c r="BP100"/>
      <c r="BQ100"/>
      <c r="BR100"/>
      <c r="BS100" t="s">
        <v>5</v>
      </c>
      <c r="BT100"/>
      <c r="BU100"/>
      <c r="BV100"/>
      <c r="BW100" t="s">
        <v>1778</v>
      </c>
      <c r="BX100" t="s">
        <v>6</v>
      </c>
      <c r="BY100" t="s">
        <v>1101</v>
      </c>
      <c r="BZ100"/>
      <c r="CA100"/>
      <c r="CB100" t="s">
        <v>5</v>
      </c>
      <c r="CC100">
        <v>292728.30262249982</v>
      </c>
      <c r="CD100">
        <v>2313902732.2502079</v>
      </c>
      <c r="CE100" s="313" t="s">
        <v>11891</v>
      </c>
    </row>
    <row r="101" spans="1:83" ht="15" x14ac:dyDescent="0.25">
      <c r="A101" t="s">
        <v>1819</v>
      </c>
      <c r="B101" t="s">
        <v>1820</v>
      </c>
      <c r="C101" t="s">
        <v>1821</v>
      </c>
      <c r="D101">
        <v>3</v>
      </c>
      <c r="E101" t="s">
        <v>1771</v>
      </c>
      <c r="F101" t="s">
        <v>1816</v>
      </c>
      <c r="G101" t="s">
        <v>1817</v>
      </c>
      <c r="H101" t="s">
        <v>4374</v>
      </c>
      <c r="I101" t="s">
        <v>1810</v>
      </c>
      <c r="J101" t="s">
        <v>1811</v>
      </c>
      <c r="K101" t="s">
        <v>1822</v>
      </c>
      <c r="L101">
        <v>904.72467041015625</v>
      </c>
      <c r="M101" t="s">
        <v>6</v>
      </c>
      <c r="N101" t="s">
        <v>5</v>
      </c>
      <c r="O101" t="s">
        <v>5</v>
      </c>
      <c r="P101" t="s">
        <v>5</v>
      </c>
      <c r="Q101" t="s">
        <v>5</v>
      </c>
      <c r="R101" t="s">
        <v>4375</v>
      </c>
      <c r="S101" t="s">
        <v>1818</v>
      </c>
      <c r="T101" t="s">
        <v>5</v>
      </c>
      <c r="U101" t="s">
        <v>4</v>
      </c>
      <c r="V101">
        <v>5000000</v>
      </c>
      <c r="W101">
        <v>500000</v>
      </c>
      <c r="X101" t="s">
        <v>6</v>
      </c>
      <c r="Y101"/>
      <c r="Z101">
        <v>500000</v>
      </c>
      <c r="AA101">
        <v>211.6976013183594</v>
      </c>
      <c r="AB101">
        <v>24.7795295715332</v>
      </c>
      <c r="AC101">
        <v>21.163450241088871</v>
      </c>
      <c r="AD101">
        <v>22225</v>
      </c>
      <c r="AE101">
        <v>17468</v>
      </c>
      <c r="AF101">
        <v>20521</v>
      </c>
      <c r="AG101">
        <v>105914</v>
      </c>
      <c r="AH101">
        <v>102118</v>
      </c>
      <c r="AI101">
        <v>105914</v>
      </c>
      <c r="AJ101">
        <v>18</v>
      </c>
      <c r="AK101">
        <v>22</v>
      </c>
      <c r="AL101">
        <v>791</v>
      </c>
      <c r="AM101"/>
      <c r="AN101">
        <v>31557.6796875</v>
      </c>
      <c r="AO101"/>
      <c r="AP101"/>
      <c r="AQ101"/>
      <c r="AR101"/>
      <c r="AS101"/>
      <c r="AT101"/>
      <c r="AU101"/>
      <c r="AV101"/>
      <c r="AW101"/>
      <c r="AX101"/>
      <c r="AY101"/>
      <c r="AZ101"/>
      <c r="BA101"/>
      <c r="BB101"/>
      <c r="BC101"/>
      <c r="BD101"/>
      <c r="BE101"/>
      <c r="BF101" t="s">
        <v>1821</v>
      </c>
      <c r="BG101" t="s">
        <v>5</v>
      </c>
      <c r="BH101" t="s">
        <v>1777</v>
      </c>
      <c r="BI101"/>
      <c r="BJ101" t="s">
        <v>5</v>
      </c>
      <c r="BK101"/>
      <c r="BL101">
        <v>100</v>
      </c>
      <c r="BM101"/>
      <c r="BN101" t="s">
        <v>5</v>
      </c>
      <c r="BO101"/>
      <c r="BP101"/>
      <c r="BQ101"/>
      <c r="BR101"/>
      <c r="BS101" t="s">
        <v>5</v>
      </c>
      <c r="BT101"/>
      <c r="BU101"/>
      <c r="BV101"/>
      <c r="BW101" t="s">
        <v>1778</v>
      </c>
      <c r="BX101" t="s">
        <v>6</v>
      </c>
      <c r="BY101" t="s">
        <v>1101</v>
      </c>
      <c r="BZ101"/>
      <c r="CA101"/>
      <c r="CB101" t="s">
        <v>6</v>
      </c>
      <c r="CC101">
        <v>193516.21128033401</v>
      </c>
      <c r="CD101">
        <v>2343846455.8959241</v>
      </c>
      <c r="CE101" s="313" t="s">
        <v>11891</v>
      </c>
    </row>
    <row r="102" spans="1:83" ht="15" x14ac:dyDescent="0.25">
      <c r="A102" t="s">
        <v>1870</v>
      </c>
      <c r="B102" t="s">
        <v>1871</v>
      </c>
      <c r="C102" t="s">
        <v>1872</v>
      </c>
      <c r="D102">
        <v>3</v>
      </c>
      <c r="E102" t="s">
        <v>1771</v>
      </c>
      <c r="F102" t="s">
        <v>1858</v>
      </c>
      <c r="G102" t="s">
        <v>1859</v>
      </c>
      <c r="H102" t="s">
        <v>4387</v>
      </c>
      <c r="I102" t="s">
        <v>12745</v>
      </c>
      <c r="J102" t="s">
        <v>1873</v>
      </c>
      <c r="K102" t="s">
        <v>1793</v>
      </c>
      <c r="L102">
        <v>36.470840454101563</v>
      </c>
      <c r="M102" t="s">
        <v>6</v>
      </c>
      <c r="N102" t="s">
        <v>5</v>
      </c>
      <c r="O102" t="s">
        <v>5</v>
      </c>
      <c r="P102" t="s">
        <v>5</v>
      </c>
      <c r="Q102" t="s">
        <v>5</v>
      </c>
      <c r="R102" t="s">
        <v>4388</v>
      </c>
      <c r="S102" t="s">
        <v>1874</v>
      </c>
      <c r="T102" t="s">
        <v>5</v>
      </c>
      <c r="U102" t="s">
        <v>98</v>
      </c>
      <c r="V102">
        <v>5000000</v>
      </c>
      <c r="W102">
        <v>500000</v>
      </c>
      <c r="X102" t="s">
        <v>6</v>
      </c>
      <c r="Y102"/>
      <c r="Z102">
        <v>500000</v>
      </c>
      <c r="AA102">
        <v>4.6185331344604492</v>
      </c>
      <c r="AB102">
        <v>1.3860709667205811</v>
      </c>
      <c r="AC102">
        <v>0.56444728374481201</v>
      </c>
      <c r="AD102">
        <v>422</v>
      </c>
      <c r="AE102">
        <v>469</v>
      </c>
      <c r="AF102">
        <v>385</v>
      </c>
      <c r="AG102">
        <v>1320</v>
      </c>
      <c r="AH102">
        <v>1562</v>
      </c>
      <c r="AI102">
        <v>1562</v>
      </c>
      <c r="AJ102">
        <v>163</v>
      </c>
      <c r="AK102">
        <v>530</v>
      </c>
      <c r="AL102">
        <v>30</v>
      </c>
      <c r="AM102"/>
      <c r="AN102">
        <v>778.42901611328125</v>
      </c>
      <c r="AO102"/>
      <c r="AP102"/>
      <c r="AQ102"/>
      <c r="AR102"/>
      <c r="AS102"/>
      <c r="AT102"/>
      <c r="AU102"/>
      <c r="AV102"/>
      <c r="AW102"/>
      <c r="AX102"/>
      <c r="AY102"/>
      <c r="AZ102"/>
      <c r="BA102"/>
      <c r="BB102"/>
      <c r="BC102"/>
      <c r="BD102"/>
      <c r="BE102"/>
      <c r="BF102" t="s">
        <v>5</v>
      </c>
      <c r="BG102" t="s">
        <v>5</v>
      </c>
      <c r="BH102" t="s">
        <v>1777</v>
      </c>
      <c r="BI102"/>
      <c r="BJ102" t="s">
        <v>5</v>
      </c>
      <c r="BK102"/>
      <c r="BL102">
        <v>0</v>
      </c>
      <c r="BM102"/>
      <c r="BN102" t="s">
        <v>5</v>
      </c>
      <c r="BO102"/>
      <c r="BP102"/>
      <c r="BQ102"/>
      <c r="BR102"/>
      <c r="BS102" t="s">
        <v>5</v>
      </c>
      <c r="BT102"/>
      <c r="BU102"/>
      <c r="BV102"/>
      <c r="BW102" t="s">
        <v>1778</v>
      </c>
      <c r="BX102" t="s">
        <v>6</v>
      </c>
      <c r="BY102" t="s">
        <v>1101</v>
      </c>
      <c r="BZ102"/>
      <c r="CA102"/>
      <c r="CB102" t="s">
        <v>5</v>
      </c>
      <c r="CC102">
        <v>57908.651905438513</v>
      </c>
      <c r="CD102">
        <v>94484039.721432835</v>
      </c>
      <c r="CE102" s="313" t="s">
        <v>11891</v>
      </c>
    </row>
    <row r="103" spans="1:83" ht="15" x14ac:dyDescent="0.25">
      <c r="A103" t="s">
        <v>1960</v>
      </c>
      <c r="B103" t="s">
        <v>1961</v>
      </c>
      <c r="C103" t="s">
        <v>1962</v>
      </c>
      <c r="D103">
        <v>3</v>
      </c>
      <c r="E103" t="s">
        <v>1771</v>
      </c>
      <c r="F103" t="s">
        <v>1858</v>
      </c>
      <c r="G103" t="s">
        <v>1934</v>
      </c>
      <c r="H103" t="s">
        <v>4401</v>
      </c>
      <c r="I103" t="s">
        <v>1957</v>
      </c>
      <c r="J103" t="s">
        <v>1958</v>
      </c>
      <c r="K103" t="s">
        <v>1963</v>
      </c>
      <c r="L103">
        <v>899.54638671875</v>
      </c>
      <c r="M103" t="s">
        <v>6</v>
      </c>
      <c r="N103" t="s">
        <v>5</v>
      </c>
      <c r="O103" t="s">
        <v>5</v>
      </c>
      <c r="P103" t="s">
        <v>5</v>
      </c>
      <c r="Q103" t="s">
        <v>5</v>
      </c>
      <c r="R103" t="s">
        <v>4407</v>
      </c>
      <c r="S103" t="s">
        <v>1964</v>
      </c>
      <c r="T103" t="s">
        <v>5</v>
      </c>
      <c r="U103" t="s">
        <v>50</v>
      </c>
      <c r="V103">
        <v>500000</v>
      </c>
      <c r="W103">
        <v>500000</v>
      </c>
      <c r="X103" t="s">
        <v>6</v>
      </c>
      <c r="Y103"/>
      <c r="Z103">
        <v>50000</v>
      </c>
      <c r="AA103">
        <v>145.918701171875</v>
      </c>
      <c r="AB103">
        <v>23.080759048461911</v>
      </c>
      <c r="AC103">
        <v>13.02258968353271</v>
      </c>
      <c r="AD103">
        <v>14853</v>
      </c>
      <c r="AE103">
        <v>11098</v>
      </c>
      <c r="AF103">
        <v>12825</v>
      </c>
      <c r="AG103">
        <v>46034</v>
      </c>
      <c r="AH103">
        <v>42697</v>
      </c>
      <c r="AI103">
        <v>46034</v>
      </c>
      <c r="AJ103">
        <v>163</v>
      </c>
      <c r="AK103">
        <v>530</v>
      </c>
      <c r="AL103">
        <v>468</v>
      </c>
      <c r="AM103"/>
      <c r="AN103">
        <v>20062.69921875</v>
      </c>
      <c r="AO103"/>
      <c r="AP103"/>
      <c r="AQ103"/>
      <c r="AR103"/>
      <c r="AS103"/>
      <c r="AT103"/>
      <c r="AU103"/>
      <c r="AV103"/>
      <c r="AW103"/>
      <c r="AX103"/>
      <c r="AY103"/>
      <c r="AZ103"/>
      <c r="BA103"/>
      <c r="BB103"/>
      <c r="BC103"/>
      <c r="BD103"/>
      <c r="BE103"/>
      <c r="BF103" t="s">
        <v>5</v>
      </c>
      <c r="BG103" t="s">
        <v>5</v>
      </c>
      <c r="BH103" t="s">
        <v>1777</v>
      </c>
      <c r="BI103"/>
      <c r="BJ103" t="s">
        <v>5</v>
      </c>
      <c r="BK103"/>
      <c r="BL103">
        <v>100</v>
      </c>
      <c r="BM103"/>
      <c r="BN103" t="s">
        <v>5</v>
      </c>
      <c r="BO103"/>
      <c r="BP103"/>
      <c r="BQ103"/>
      <c r="BR103"/>
      <c r="BS103" t="s">
        <v>5</v>
      </c>
      <c r="BT103"/>
      <c r="BU103"/>
      <c r="BV103"/>
      <c r="BW103" t="s">
        <v>1778</v>
      </c>
      <c r="BX103" t="s">
        <v>6</v>
      </c>
      <c r="BY103" t="s">
        <v>1101</v>
      </c>
      <c r="BZ103"/>
      <c r="CA103"/>
      <c r="CB103" t="s">
        <v>6</v>
      </c>
      <c r="CC103">
        <v>199907.21337823541</v>
      </c>
      <c r="CD103">
        <v>2330431252.33671</v>
      </c>
      <c r="CE103" s="313" t="s">
        <v>11891</v>
      </c>
    </row>
    <row r="104" spans="1:83" ht="15" x14ac:dyDescent="0.25">
      <c r="A104" t="s">
        <v>1972</v>
      </c>
      <c r="B104" t="s">
        <v>1973</v>
      </c>
      <c r="C104" t="s">
        <v>1974</v>
      </c>
      <c r="D104">
        <v>3</v>
      </c>
      <c r="E104" t="s">
        <v>1771</v>
      </c>
      <c r="F104" t="s">
        <v>1816</v>
      </c>
      <c r="G104" t="s">
        <v>1975</v>
      </c>
      <c r="H104" t="s">
        <v>4410</v>
      </c>
      <c r="I104" t="s">
        <v>12752</v>
      </c>
      <c r="J104" t="s">
        <v>1976</v>
      </c>
      <c r="K104" t="s">
        <v>1849</v>
      </c>
      <c r="L104">
        <v>32.416858673095703</v>
      </c>
      <c r="M104" t="s">
        <v>6</v>
      </c>
      <c r="N104" t="s">
        <v>5</v>
      </c>
      <c r="O104" t="s">
        <v>5</v>
      </c>
      <c r="P104" t="s">
        <v>5</v>
      </c>
      <c r="Q104" t="s">
        <v>5</v>
      </c>
      <c r="R104" t="s">
        <v>4411</v>
      </c>
      <c r="S104" t="s">
        <v>1977</v>
      </c>
      <c r="T104" t="s">
        <v>5</v>
      </c>
      <c r="U104" t="s">
        <v>98</v>
      </c>
      <c r="V104">
        <v>5000000</v>
      </c>
      <c r="W104">
        <v>500000</v>
      </c>
      <c r="X104" t="s">
        <v>6</v>
      </c>
      <c r="Y104"/>
      <c r="Z104">
        <v>500000</v>
      </c>
      <c r="AA104">
        <v>3.104347944259644</v>
      </c>
      <c r="AB104">
        <v>0.6699259877204895</v>
      </c>
      <c r="AC104">
        <v>2.0749890804290771</v>
      </c>
      <c r="AD104">
        <v>315</v>
      </c>
      <c r="AE104">
        <v>166</v>
      </c>
      <c r="AF104">
        <v>298</v>
      </c>
      <c r="AG104">
        <v>3258</v>
      </c>
      <c r="AH104">
        <v>953</v>
      </c>
      <c r="AI104">
        <v>3258</v>
      </c>
      <c r="AJ104">
        <v>3</v>
      </c>
      <c r="AK104">
        <v>1</v>
      </c>
      <c r="AL104">
        <v>17</v>
      </c>
      <c r="AM104"/>
      <c r="AN104">
        <v>215.89630126953119</v>
      </c>
      <c r="AO104"/>
      <c r="AP104"/>
      <c r="AQ104"/>
      <c r="AR104"/>
      <c r="AS104"/>
      <c r="AT104"/>
      <c r="AU104"/>
      <c r="AV104"/>
      <c r="AW104"/>
      <c r="AX104"/>
      <c r="AY104"/>
      <c r="AZ104"/>
      <c r="BA104"/>
      <c r="BB104"/>
      <c r="BC104"/>
      <c r="BD104"/>
      <c r="BE104"/>
      <c r="BF104" t="s">
        <v>1978</v>
      </c>
      <c r="BG104" t="s">
        <v>5</v>
      </c>
      <c r="BH104" t="s">
        <v>1777</v>
      </c>
      <c r="BI104"/>
      <c r="BJ104" t="s">
        <v>5</v>
      </c>
      <c r="BK104"/>
      <c r="BL104">
        <v>100</v>
      </c>
      <c r="BM104"/>
      <c r="BN104" t="s">
        <v>5</v>
      </c>
      <c r="BO104"/>
      <c r="BP104"/>
      <c r="BQ104"/>
      <c r="BR104"/>
      <c r="BS104" t="s">
        <v>5</v>
      </c>
      <c r="BT104"/>
      <c r="BU104"/>
      <c r="BV104"/>
      <c r="BW104" t="s">
        <v>1778</v>
      </c>
      <c r="BX104" t="s">
        <v>6</v>
      </c>
      <c r="BY104" t="s">
        <v>1101</v>
      </c>
      <c r="BZ104"/>
      <c r="CA104"/>
      <c r="CB104" t="s">
        <v>6</v>
      </c>
      <c r="CC104">
        <v>57231.031948554897</v>
      </c>
      <c r="CD104">
        <v>83981503.346702829</v>
      </c>
      <c r="CE104" s="313" t="s">
        <v>11891</v>
      </c>
    </row>
    <row r="105" spans="1:83" ht="15" x14ac:dyDescent="0.25">
      <c r="A105" t="s">
        <v>1979</v>
      </c>
      <c r="B105" t="s">
        <v>1980</v>
      </c>
      <c r="C105" t="s">
        <v>1981</v>
      </c>
      <c r="D105">
        <v>3</v>
      </c>
      <c r="E105" t="s">
        <v>1771</v>
      </c>
      <c r="F105" t="s">
        <v>1816</v>
      </c>
      <c r="G105" t="s">
        <v>1982</v>
      </c>
      <c r="H105" t="s">
        <v>4412</v>
      </c>
      <c r="I105" t="s">
        <v>12753</v>
      </c>
      <c r="J105" t="s">
        <v>1983</v>
      </c>
      <c r="K105" t="s">
        <v>1984</v>
      </c>
      <c r="L105">
        <v>32.955841064453118</v>
      </c>
      <c r="M105" t="s">
        <v>6</v>
      </c>
      <c r="N105" t="s">
        <v>5</v>
      </c>
      <c r="O105" t="s">
        <v>5</v>
      </c>
      <c r="P105" t="s">
        <v>5</v>
      </c>
      <c r="Q105" t="s">
        <v>5</v>
      </c>
      <c r="R105" t="s">
        <v>4413</v>
      </c>
      <c r="S105" t="s">
        <v>1985</v>
      </c>
      <c r="T105" t="s">
        <v>5</v>
      </c>
      <c r="U105" t="s">
        <v>98</v>
      </c>
      <c r="V105">
        <v>5000000</v>
      </c>
      <c r="W105">
        <v>500000</v>
      </c>
      <c r="X105" t="s">
        <v>6</v>
      </c>
      <c r="Y105"/>
      <c r="Z105">
        <v>500000</v>
      </c>
      <c r="AA105">
        <v>3.8107409477233891</v>
      </c>
      <c r="AB105">
        <v>0.56089842319488525</v>
      </c>
      <c r="AC105">
        <v>1.9251250196248291E-3</v>
      </c>
      <c r="AD105">
        <v>316</v>
      </c>
      <c r="AE105">
        <v>189</v>
      </c>
      <c r="AF105">
        <v>266</v>
      </c>
      <c r="AG105">
        <v>2991</v>
      </c>
      <c r="AH105">
        <v>1055</v>
      </c>
      <c r="AI105">
        <v>2991</v>
      </c>
      <c r="AJ105">
        <v>3</v>
      </c>
      <c r="AK105">
        <v>14</v>
      </c>
      <c r="AL105">
        <v>13</v>
      </c>
      <c r="AM105"/>
      <c r="AN105">
        <v>561.8311767578125</v>
      </c>
      <c r="AO105"/>
      <c r="AP105"/>
      <c r="AQ105"/>
      <c r="AR105"/>
      <c r="AS105"/>
      <c r="AT105"/>
      <c r="AU105"/>
      <c r="AV105"/>
      <c r="AW105"/>
      <c r="AX105"/>
      <c r="AY105"/>
      <c r="AZ105"/>
      <c r="BA105"/>
      <c r="BB105"/>
      <c r="BC105"/>
      <c r="BD105"/>
      <c r="BE105"/>
      <c r="BF105" t="s">
        <v>5</v>
      </c>
      <c r="BG105" t="s">
        <v>5</v>
      </c>
      <c r="BH105" t="s">
        <v>1777</v>
      </c>
      <c r="BI105"/>
      <c r="BJ105" t="s">
        <v>5</v>
      </c>
      <c r="BK105"/>
      <c r="BL105">
        <v>0</v>
      </c>
      <c r="BM105"/>
      <c r="BN105" t="s">
        <v>5</v>
      </c>
      <c r="BO105"/>
      <c r="BP105"/>
      <c r="BQ105"/>
      <c r="BR105"/>
      <c r="BS105" t="s">
        <v>5</v>
      </c>
      <c r="BT105"/>
      <c r="BU105"/>
      <c r="BV105"/>
      <c r="BW105" t="s">
        <v>1778</v>
      </c>
      <c r="BX105" t="s">
        <v>6</v>
      </c>
      <c r="BY105" t="s">
        <v>1101</v>
      </c>
      <c r="BZ105"/>
      <c r="CA105"/>
      <c r="CB105" t="s">
        <v>5</v>
      </c>
      <c r="CC105">
        <v>65254.449678508332</v>
      </c>
      <c r="CD105">
        <v>85377827.281467438</v>
      </c>
      <c r="CE105" s="313" t="s">
        <v>11891</v>
      </c>
    </row>
    <row r="106" spans="1:83" ht="15" x14ac:dyDescent="0.25">
      <c r="A106" t="s">
        <v>1986</v>
      </c>
      <c r="B106" t="s">
        <v>1987</v>
      </c>
      <c r="C106" t="s">
        <v>1988</v>
      </c>
      <c r="D106">
        <v>3</v>
      </c>
      <c r="E106" t="s">
        <v>1771</v>
      </c>
      <c r="F106" t="s">
        <v>1989</v>
      </c>
      <c r="G106" t="s">
        <v>1990</v>
      </c>
      <c r="H106" t="s">
        <v>4414</v>
      </c>
      <c r="I106" t="s">
        <v>12754</v>
      </c>
      <c r="J106" t="s">
        <v>1991</v>
      </c>
      <c r="K106" t="s">
        <v>1793</v>
      </c>
      <c r="L106">
        <v>1.2389969825744629</v>
      </c>
      <c r="M106" t="s">
        <v>6</v>
      </c>
      <c r="N106" t="s">
        <v>5</v>
      </c>
      <c r="O106" t="s">
        <v>5</v>
      </c>
      <c r="P106" t="s">
        <v>5</v>
      </c>
      <c r="Q106" t="s">
        <v>5</v>
      </c>
      <c r="R106" t="s">
        <v>4415</v>
      </c>
      <c r="S106" t="s">
        <v>1992</v>
      </c>
      <c r="T106" t="s">
        <v>5</v>
      </c>
      <c r="U106" t="s">
        <v>98</v>
      </c>
      <c r="V106">
        <v>5000000</v>
      </c>
      <c r="W106">
        <v>500000</v>
      </c>
      <c r="X106" t="s">
        <v>6</v>
      </c>
      <c r="Y106"/>
      <c r="Z106">
        <v>500000</v>
      </c>
      <c r="AA106">
        <v>0.1190873011946678</v>
      </c>
      <c r="AB106">
        <v>8.922036737203598E-3</v>
      </c>
      <c r="AC106">
        <v>0</v>
      </c>
      <c r="AD106">
        <v>2</v>
      </c>
      <c r="AE106">
        <v>1</v>
      </c>
      <c r="AF106">
        <v>2</v>
      </c>
      <c r="AG106">
        <v>2</v>
      </c>
      <c r="AH106">
        <v>6</v>
      </c>
      <c r="AI106">
        <v>6</v>
      </c>
      <c r="AJ106">
        <v>1</v>
      </c>
      <c r="AK106">
        <v>0</v>
      </c>
      <c r="AL106">
        <v>0</v>
      </c>
      <c r="AM106"/>
      <c r="AN106">
        <v>41.816291809082031</v>
      </c>
      <c r="AO106"/>
      <c r="AP106"/>
      <c r="AQ106"/>
      <c r="AR106"/>
      <c r="AS106"/>
      <c r="AT106"/>
      <c r="AU106"/>
      <c r="AV106"/>
      <c r="AW106"/>
      <c r="AX106"/>
      <c r="AY106"/>
      <c r="AZ106"/>
      <c r="BA106"/>
      <c r="BB106"/>
      <c r="BC106"/>
      <c r="BD106"/>
      <c r="BE106"/>
      <c r="BF106" t="s">
        <v>5</v>
      </c>
      <c r="BG106" t="s">
        <v>5</v>
      </c>
      <c r="BH106" t="s">
        <v>1777</v>
      </c>
      <c r="BI106"/>
      <c r="BJ106" t="s">
        <v>5</v>
      </c>
      <c r="BK106"/>
      <c r="BL106">
        <v>0</v>
      </c>
      <c r="BM106"/>
      <c r="BN106" t="s">
        <v>5</v>
      </c>
      <c r="BO106"/>
      <c r="BP106"/>
      <c r="BQ106"/>
      <c r="BR106"/>
      <c r="BS106" t="s">
        <v>5</v>
      </c>
      <c r="BT106"/>
      <c r="BU106"/>
      <c r="BV106"/>
      <c r="BW106" t="s">
        <v>1778</v>
      </c>
      <c r="BX106" t="s">
        <v>6</v>
      </c>
      <c r="BY106" t="s">
        <v>1101</v>
      </c>
      <c r="BZ106"/>
      <c r="CA106"/>
      <c r="CB106" t="s">
        <v>5</v>
      </c>
      <c r="CC106">
        <v>13068.409117509629</v>
      </c>
      <c r="CD106">
        <v>3209837.8471545712</v>
      </c>
      <c r="CE106" s="313" t="s">
        <v>11891</v>
      </c>
    </row>
    <row r="107" spans="1:83" ht="15" x14ac:dyDescent="0.25">
      <c r="A107" t="s">
        <v>1993</v>
      </c>
      <c r="B107" t="s">
        <v>1994</v>
      </c>
      <c r="C107" t="s">
        <v>1995</v>
      </c>
      <c r="D107">
        <v>3</v>
      </c>
      <c r="E107" t="s">
        <v>1771</v>
      </c>
      <c r="F107" t="s">
        <v>1996</v>
      </c>
      <c r="G107" t="s">
        <v>1934</v>
      </c>
      <c r="H107" t="s">
        <v>4416</v>
      </c>
      <c r="I107" t="s">
        <v>12754</v>
      </c>
      <c r="J107" t="s">
        <v>1991</v>
      </c>
      <c r="K107" t="s">
        <v>1984</v>
      </c>
      <c r="L107">
        <v>919.2725830078125</v>
      </c>
      <c r="M107" t="s">
        <v>6</v>
      </c>
      <c r="N107" t="s">
        <v>5</v>
      </c>
      <c r="O107" t="s">
        <v>5</v>
      </c>
      <c r="P107" t="s">
        <v>5</v>
      </c>
      <c r="Q107" t="s">
        <v>5</v>
      </c>
      <c r="R107" t="s">
        <v>4417</v>
      </c>
      <c r="S107" t="s">
        <v>1997</v>
      </c>
      <c r="T107" t="s">
        <v>5</v>
      </c>
      <c r="U107" t="s">
        <v>50</v>
      </c>
      <c r="V107">
        <v>5000000</v>
      </c>
      <c r="W107">
        <v>500000</v>
      </c>
      <c r="X107" t="s">
        <v>6</v>
      </c>
      <c r="Y107"/>
      <c r="Z107">
        <v>500000</v>
      </c>
      <c r="AA107">
        <v>184.673095703125</v>
      </c>
      <c r="AB107">
        <v>21.584039688110352</v>
      </c>
      <c r="AC107">
        <v>0.81407678127288818</v>
      </c>
      <c r="AD107">
        <v>1118</v>
      </c>
      <c r="AE107">
        <v>536</v>
      </c>
      <c r="AF107">
        <v>888</v>
      </c>
      <c r="AG107">
        <v>495</v>
      </c>
      <c r="AH107">
        <v>1493</v>
      </c>
      <c r="AI107">
        <v>1493</v>
      </c>
      <c r="AJ107">
        <v>2</v>
      </c>
      <c r="AK107">
        <v>0</v>
      </c>
      <c r="AL107">
        <v>100</v>
      </c>
      <c r="AM107"/>
      <c r="AN107">
        <v>35896.37109375</v>
      </c>
      <c r="AO107"/>
      <c r="AP107"/>
      <c r="AQ107"/>
      <c r="AR107"/>
      <c r="AS107"/>
      <c r="AT107"/>
      <c r="AU107"/>
      <c r="AV107"/>
      <c r="AW107"/>
      <c r="AX107"/>
      <c r="AY107"/>
      <c r="AZ107"/>
      <c r="BA107"/>
      <c r="BB107"/>
      <c r="BC107"/>
      <c r="BD107"/>
      <c r="BE107"/>
      <c r="BF107" t="s">
        <v>5</v>
      </c>
      <c r="BG107" t="s">
        <v>5</v>
      </c>
      <c r="BH107" t="s">
        <v>1777</v>
      </c>
      <c r="BI107"/>
      <c r="BJ107" t="s">
        <v>5</v>
      </c>
      <c r="BK107"/>
      <c r="BL107">
        <v>0</v>
      </c>
      <c r="BM107"/>
      <c r="BN107" t="s">
        <v>5</v>
      </c>
      <c r="BO107"/>
      <c r="BP107"/>
      <c r="BQ107"/>
      <c r="BR107"/>
      <c r="BS107" t="s">
        <v>5</v>
      </c>
      <c r="BT107"/>
      <c r="BU107"/>
      <c r="BV107"/>
      <c r="BW107" t="s">
        <v>1778</v>
      </c>
      <c r="BX107" t="s">
        <v>6</v>
      </c>
      <c r="BY107" t="s">
        <v>1101</v>
      </c>
      <c r="BZ107"/>
      <c r="CA107"/>
      <c r="CB107" t="s">
        <v>5</v>
      </c>
      <c r="CC107">
        <v>206486.35674689049</v>
      </c>
      <c r="CD107">
        <v>2381535293.7793698</v>
      </c>
      <c r="CE107" s="313" t="s">
        <v>11891</v>
      </c>
    </row>
    <row r="108" spans="1:83" ht="15" x14ac:dyDescent="0.25">
      <c r="A108" t="s">
        <v>1998</v>
      </c>
      <c r="B108" t="s">
        <v>1999</v>
      </c>
      <c r="C108" t="s">
        <v>2000</v>
      </c>
      <c r="D108">
        <v>3</v>
      </c>
      <c r="E108" t="s">
        <v>1771</v>
      </c>
      <c r="F108" t="s">
        <v>1939</v>
      </c>
      <c r="G108" t="s">
        <v>1940</v>
      </c>
      <c r="H108" t="s">
        <v>4403</v>
      </c>
      <c r="I108" t="s">
        <v>12754</v>
      </c>
      <c r="J108" t="s">
        <v>1941</v>
      </c>
      <c r="K108" t="s">
        <v>1793</v>
      </c>
      <c r="L108">
        <v>797.69677734375</v>
      </c>
      <c r="M108" t="s">
        <v>6</v>
      </c>
      <c r="N108" t="s">
        <v>5</v>
      </c>
      <c r="O108" t="s">
        <v>5</v>
      </c>
      <c r="P108" t="s">
        <v>5</v>
      </c>
      <c r="Q108" t="s">
        <v>5</v>
      </c>
      <c r="R108" t="s">
        <v>4418</v>
      </c>
      <c r="S108" t="s">
        <v>2001</v>
      </c>
      <c r="T108" t="s">
        <v>5</v>
      </c>
      <c r="U108" t="s">
        <v>50</v>
      </c>
      <c r="V108">
        <v>5000000</v>
      </c>
      <c r="W108">
        <v>500000</v>
      </c>
      <c r="X108" t="s">
        <v>6</v>
      </c>
      <c r="Y108"/>
      <c r="Z108">
        <v>500000</v>
      </c>
      <c r="AA108">
        <v>128.82460021972659</v>
      </c>
      <c r="AB108">
        <v>8.9250688552856445</v>
      </c>
      <c r="AC108">
        <v>0</v>
      </c>
      <c r="AD108">
        <v>100</v>
      </c>
      <c r="AE108">
        <v>25</v>
      </c>
      <c r="AF108">
        <v>65</v>
      </c>
      <c r="AG108">
        <v>34</v>
      </c>
      <c r="AH108">
        <v>57</v>
      </c>
      <c r="AI108">
        <v>57</v>
      </c>
      <c r="AJ108">
        <v>11</v>
      </c>
      <c r="AK108">
        <v>16</v>
      </c>
      <c r="AL108">
        <v>59</v>
      </c>
      <c r="AM108"/>
      <c r="AN108">
        <v>24889.44921875</v>
      </c>
      <c r="AO108"/>
      <c r="AP108"/>
      <c r="AQ108"/>
      <c r="AR108"/>
      <c r="AS108"/>
      <c r="AT108"/>
      <c r="AU108"/>
      <c r="AV108"/>
      <c r="AW108"/>
      <c r="AX108"/>
      <c r="AY108"/>
      <c r="AZ108"/>
      <c r="BA108"/>
      <c r="BB108"/>
      <c r="BC108"/>
      <c r="BD108"/>
      <c r="BE108"/>
      <c r="BF108" t="s">
        <v>5</v>
      </c>
      <c r="BG108" t="s">
        <v>5</v>
      </c>
      <c r="BH108" t="s">
        <v>1777</v>
      </c>
      <c r="BI108"/>
      <c r="BJ108" t="s">
        <v>5</v>
      </c>
      <c r="BK108"/>
      <c r="BL108">
        <v>0</v>
      </c>
      <c r="BM108"/>
      <c r="BN108" t="s">
        <v>5</v>
      </c>
      <c r="BO108"/>
      <c r="BP108"/>
      <c r="BQ108"/>
      <c r="BR108"/>
      <c r="BS108" t="s">
        <v>5</v>
      </c>
      <c r="BT108"/>
      <c r="BU108"/>
      <c r="BV108"/>
      <c r="BW108" t="s">
        <v>1778</v>
      </c>
      <c r="BX108" t="s">
        <v>6</v>
      </c>
      <c r="BY108" t="s">
        <v>1101</v>
      </c>
      <c r="BZ108"/>
      <c r="CA108"/>
      <c r="CB108" t="s">
        <v>5</v>
      </c>
      <c r="CC108">
        <v>222997.6753270051</v>
      </c>
      <c r="CD108">
        <v>2066572139.620775</v>
      </c>
      <c r="CE108" s="313" t="s">
        <v>11891</v>
      </c>
    </row>
    <row r="109" spans="1:83" ht="15" x14ac:dyDescent="0.25">
      <c r="A109" t="s">
        <v>2002</v>
      </c>
      <c r="B109" t="s">
        <v>2003</v>
      </c>
      <c r="C109" t="s">
        <v>2004</v>
      </c>
      <c r="D109">
        <v>3</v>
      </c>
      <c r="E109" t="s">
        <v>1771</v>
      </c>
      <c r="F109" t="s">
        <v>1858</v>
      </c>
      <c r="G109" t="s">
        <v>1934</v>
      </c>
      <c r="H109" t="s">
        <v>4401</v>
      </c>
      <c r="I109" t="s">
        <v>12754</v>
      </c>
      <c r="J109" t="s">
        <v>1941</v>
      </c>
      <c r="K109" t="s">
        <v>1793</v>
      </c>
      <c r="L109">
        <v>899.54638671875</v>
      </c>
      <c r="M109" t="s">
        <v>6</v>
      </c>
      <c r="N109" t="s">
        <v>5</v>
      </c>
      <c r="O109" t="s">
        <v>5</v>
      </c>
      <c r="P109" t="s">
        <v>5</v>
      </c>
      <c r="Q109" t="s">
        <v>5</v>
      </c>
      <c r="R109" t="s">
        <v>4402</v>
      </c>
      <c r="S109" t="s">
        <v>1935</v>
      </c>
      <c r="T109" t="s">
        <v>5</v>
      </c>
      <c r="U109" t="s">
        <v>50</v>
      </c>
      <c r="V109">
        <v>5000000</v>
      </c>
      <c r="W109">
        <v>500000</v>
      </c>
      <c r="X109" t="s">
        <v>6</v>
      </c>
      <c r="Y109"/>
      <c r="Z109">
        <v>500000</v>
      </c>
      <c r="AA109">
        <v>145.918701171875</v>
      </c>
      <c r="AB109">
        <v>23.080759048461911</v>
      </c>
      <c r="AC109">
        <v>13.02258968353271</v>
      </c>
      <c r="AD109">
        <v>14853</v>
      </c>
      <c r="AE109">
        <v>11098</v>
      </c>
      <c r="AF109">
        <v>12825</v>
      </c>
      <c r="AG109">
        <v>46034</v>
      </c>
      <c r="AH109">
        <v>42697</v>
      </c>
      <c r="AI109">
        <v>46034</v>
      </c>
      <c r="AJ109">
        <v>11</v>
      </c>
      <c r="AK109">
        <v>5</v>
      </c>
      <c r="AL109">
        <v>468</v>
      </c>
      <c r="AM109"/>
      <c r="AN109">
        <v>20062.69921875</v>
      </c>
      <c r="AO109"/>
      <c r="AP109"/>
      <c r="AQ109"/>
      <c r="AR109"/>
      <c r="AS109"/>
      <c r="AT109"/>
      <c r="AU109"/>
      <c r="AV109"/>
      <c r="AW109"/>
      <c r="AX109"/>
      <c r="AY109"/>
      <c r="AZ109"/>
      <c r="BA109"/>
      <c r="BB109"/>
      <c r="BC109"/>
      <c r="BD109"/>
      <c r="BE109"/>
      <c r="BF109" t="s">
        <v>5</v>
      </c>
      <c r="BG109" t="s">
        <v>5</v>
      </c>
      <c r="BH109" t="s">
        <v>1777</v>
      </c>
      <c r="BI109"/>
      <c r="BJ109" t="s">
        <v>5</v>
      </c>
      <c r="BK109"/>
      <c r="BL109">
        <v>0</v>
      </c>
      <c r="BM109"/>
      <c r="BN109" t="s">
        <v>5</v>
      </c>
      <c r="BO109"/>
      <c r="BP109"/>
      <c r="BQ109"/>
      <c r="BR109"/>
      <c r="BS109" t="s">
        <v>5</v>
      </c>
      <c r="BT109"/>
      <c r="BU109"/>
      <c r="BV109"/>
      <c r="BW109" t="s">
        <v>1778</v>
      </c>
      <c r="BX109" t="s">
        <v>6</v>
      </c>
      <c r="BY109" t="s">
        <v>1101</v>
      </c>
      <c r="BZ109"/>
      <c r="CA109"/>
      <c r="CB109" t="s">
        <v>5</v>
      </c>
      <c r="CC109">
        <v>199907.21337823541</v>
      </c>
      <c r="CD109">
        <v>2330431252.33671</v>
      </c>
      <c r="CE109" s="313" t="s">
        <v>11891</v>
      </c>
    </row>
    <row r="110" spans="1:83" ht="15" x14ac:dyDescent="0.25">
      <c r="A110" t="s">
        <v>2012</v>
      </c>
      <c r="B110" t="s">
        <v>2013</v>
      </c>
      <c r="C110" t="s">
        <v>2014</v>
      </c>
      <c r="D110">
        <v>3</v>
      </c>
      <c r="E110" t="s">
        <v>1771</v>
      </c>
      <c r="F110" t="s">
        <v>1858</v>
      </c>
      <c r="G110" t="s">
        <v>1859</v>
      </c>
      <c r="H110" t="s">
        <v>1906</v>
      </c>
      <c r="I110" t="s">
        <v>2015</v>
      </c>
      <c r="J110" t="s">
        <v>2016</v>
      </c>
      <c r="K110" t="s">
        <v>1793</v>
      </c>
      <c r="L110">
        <v>6.6524629592895508</v>
      </c>
      <c r="M110" t="s">
        <v>6</v>
      </c>
      <c r="N110" t="s">
        <v>5</v>
      </c>
      <c r="O110" t="s">
        <v>5</v>
      </c>
      <c r="P110" t="s">
        <v>5</v>
      </c>
      <c r="Q110" t="s">
        <v>5</v>
      </c>
      <c r="R110" t="s">
        <v>4422</v>
      </c>
      <c r="S110" t="s">
        <v>2017</v>
      </c>
      <c r="T110" t="s">
        <v>5</v>
      </c>
      <c r="U110" t="s">
        <v>98</v>
      </c>
      <c r="V110">
        <v>5000000</v>
      </c>
      <c r="W110">
        <v>500000</v>
      </c>
      <c r="X110" t="s">
        <v>6</v>
      </c>
      <c r="Y110"/>
      <c r="Z110">
        <v>500000</v>
      </c>
      <c r="AA110">
        <v>1.088807940483093</v>
      </c>
      <c r="AB110">
        <v>0.1249170005321503</v>
      </c>
      <c r="AC110">
        <v>0</v>
      </c>
      <c r="AD110">
        <v>167</v>
      </c>
      <c r="AE110">
        <v>65</v>
      </c>
      <c r="AF110">
        <v>101</v>
      </c>
      <c r="AG110">
        <v>2299</v>
      </c>
      <c r="AH110">
        <v>210</v>
      </c>
      <c r="AI110">
        <v>2299</v>
      </c>
      <c r="AJ110">
        <v>4</v>
      </c>
      <c r="AK110">
        <v>12</v>
      </c>
      <c r="AL110">
        <v>4</v>
      </c>
      <c r="AM110"/>
      <c r="AN110">
        <v>146.45930480957031</v>
      </c>
      <c r="AO110"/>
      <c r="AP110"/>
      <c r="AQ110"/>
      <c r="AR110"/>
      <c r="AS110"/>
      <c r="AT110"/>
      <c r="AU110"/>
      <c r="AV110"/>
      <c r="AW110"/>
      <c r="AX110"/>
      <c r="AY110"/>
      <c r="AZ110"/>
      <c r="BA110"/>
      <c r="BB110"/>
      <c r="BC110"/>
      <c r="BD110"/>
      <c r="BE110"/>
      <c r="BF110" t="s">
        <v>5</v>
      </c>
      <c r="BG110" t="s">
        <v>5</v>
      </c>
      <c r="BH110" t="s">
        <v>1777</v>
      </c>
      <c r="BI110"/>
      <c r="BJ110" t="s">
        <v>5</v>
      </c>
      <c r="BK110"/>
      <c r="BL110">
        <v>0</v>
      </c>
      <c r="BM110"/>
      <c r="BN110" t="s">
        <v>5</v>
      </c>
      <c r="BO110"/>
      <c r="BP110"/>
      <c r="BQ110"/>
      <c r="BR110"/>
      <c r="BS110" t="s">
        <v>5</v>
      </c>
      <c r="BT110"/>
      <c r="BU110"/>
      <c r="BV110"/>
      <c r="BW110" t="s">
        <v>1778</v>
      </c>
      <c r="BX110" t="s">
        <v>6</v>
      </c>
      <c r="BY110" t="s">
        <v>1101</v>
      </c>
      <c r="BZ110"/>
      <c r="CA110"/>
      <c r="CB110" t="s">
        <v>5</v>
      </c>
      <c r="CC110">
        <v>23687.512912581489</v>
      </c>
      <c r="CD110">
        <v>17234359.790250361</v>
      </c>
      <c r="CE110" s="313" t="s">
        <v>11891</v>
      </c>
    </row>
    <row r="111" spans="1:83" ht="15" x14ac:dyDescent="0.25">
      <c r="A111" t="s">
        <v>2033</v>
      </c>
      <c r="B111" t="s">
        <v>2034</v>
      </c>
      <c r="C111" t="s">
        <v>2035</v>
      </c>
      <c r="D111">
        <v>3</v>
      </c>
      <c r="E111" t="s">
        <v>1771</v>
      </c>
      <c r="F111" t="s">
        <v>2036</v>
      </c>
      <c r="G111" t="s">
        <v>1990</v>
      </c>
      <c r="H111" t="s">
        <v>2037</v>
      </c>
      <c r="I111" t="s">
        <v>12755</v>
      </c>
      <c r="J111" t="s">
        <v>2038</v>
      </c>
      <c r="K111" t="s">
        <v>1793</v>
      </c>
      <c r="L111">
        <v>6.114570140838623</v>
      </c>
      <c r="M111" t="s">
        <v>6</v>
      </c>
      <c r="N111" t="s">
        <v>5</v>
      </c>
      <c r="O111" t="s">
        <v>5</v>
      </c>
      <c r="P111" t="s">
        <v>5</v>
      </c>
      <c r="Q111" t="s">
        <v>5</v>
      </c>
      <c r="R111" t="s">
        <v>4426</v>
      </c>
      <c r="S111" t="s">
        <v>2039</v>
      </c>
      <c r="T111" t="s">
        <v>5</v>
      </c>
      <c r="U111" t="s">
        <v>98</v>
      </c>
      <c r="V111">
        <v>5000000</v>
      </c>
      <c r="W111">
        <v>500000</v>
      </c>
      <c r="X111" t="s">
        <v>6</v>
      </c>
      <c r="Y111"/>
      <c r="Z111">
        <v>500000</v>
      </c>
      <c r="AA111">
        <v>1.448218941688538</v>
      </c>
      <c r="AB111">
        <v>0.21034079790115359</v>
      </c>
      <c r="AC111">
        <v>3.2447460107505322E-3</v>
      </c>
      <c r="AD111">
        <v>139</v>
      </c>
      <c r="AE111">
        <v>46</v>
      </c>
      <c r="AF111">
        <v>129</v>
      </c>
      <c r="AG111">
        <v>623</v>
      </c>
      <c r="AH111">
        <v>261</v>
      </c>
      <c r="AI111">
        <v>623</v>
      </c>
      <c r="AJ111">
        <v>3</v>
      </c>
      <c r="AK111">
        <v>0</v>
      </c>
      <c r="AL111">
        <v>6</v>
      </c>
      <c r="AM111"/>
      <c r="AN111">
        <v>54.922931671142578</v>
      </c>
      <c r="AO111"/>
      <c r="AP111"/>
      <c r="AQ111"/>
      <c r="AR111"/>
      <c r="AS111"/>
      <c r="AT111"/>
      <c r="AU111"/>
      <c r="AV111"/>
      <c r="AW111"/>
      <c r="AX111"/>
      <c r="AY111"/>
      <c r="AZ111"/>
      <c r="BA111"/>
      <c r="BB111"/>
      <c r="BC111"/>
      <c r="BD111"/>
      <c r="BE111"/>
      <c r="BF111" t="s">
        <v>5</v>
      </c>
      <c r="BG111" t="s">
        <v>5</v>
      </c>
      <c r="BH111" t="s">
        <v>1777</v>
      </c>
      <c r="BI111"/>
      <c r="BJ111" t="s">
        <v>5</v>
      </c>
      <c r="BK111"/>
      <c r="BL111">
        <v>0</v>
      </c>
      <c r="BM111"/>
      <c r="BN111" t="s">
        <v>5</v>
      </c>
      <c r="BO111"/>
      <c r="BP111"/>
      <c r="BQ111"/>
      <c r="BR111"/>
      <c r="BS111" t="s">
        <v>5</v>
      </c>
      <c r="BT111"/>
      <c r="BU111"/>
      <c r="BV111"/>
      <c r="BW111" t="s">
        <v>1778</v>
      </c>
      <c r="BX111" t="s">
        <v>6</v>
      </c>
      <c r="BY111" t="s">
        <v>1101</v>
      </c>
      <c r="BZ111"/>
      <c r="CA111"/>
      <c r="CB111" t="s">
        <v>5</v>
      </c>
      <c r="CC111">
        <v>16232.338918016179</v>
      </c>
      <c r="CD111">
        <v>15840854.99952196</v>
      </c>
      <c r="CE111" s="313" t="s">
        <v>11891</v>
      </c>
    </row>
    <row r="112" spans="1:83" ht="15" x14ac:dyDescent="0.25">
      <c r="A112" t="s">
        <v>2040</v>
      </c>
      <c r="B112" t="s">
        <v>2041</v>
      </c>
      <c r="C112" t="s">
        <v>2042</v>
      </c>
      <c r="D112">
        <v>3</v>
      </c>
      <c r="E112" t="s">
        <v>1771</v>
      </c>
      <c r="F112" t="s">
        <v>1939</v>
      </c>
      <c r="G112" t="s">
        <v>1940</v>
      </c>
      <c r="H112" t="s">
        <v>4403</v>
      </c>
      <c r="I112" t="s">
        <v>12755</v>
      </c>
      <c r="J112" t="s">
        <v>1941</v>
      </c>
      <c r="K112" t="s">
        <v>1793</v>
      </c>
      <c r="L112">
        <v>797.69677734375</v>
      </c>
      <c r="M112" t="s">
        <v>6</v>
      </c>
      <c r="N112" t="s">
        <v>5</v>
      </c>
      <c r="O112" t="s">
        <v>5</v>
      </c>
      <c r="P112" t="s">
        <v>5</v>
      </c>
      <c r="Q112" t="s">
        <v>5</v>
      </c>
      <c r="R112" t="s">
        <v>4404</v>
      </c>
      <c r="S112" t="s">
        <v>338</v>
      </c>
      <c r="T112" t="s">
        <v>5</v>
      </c>
      <c r="U112" t="s">
        <v>98</v>
      </c>
      <c r="V112">
        <v>5000000</v>
      </c>
      <c r="W112">
        <v>500000</v>
      </c>
      <c r="X112" t="s">
        <v>6</v>
      </c>
      <c r="Y112"/>
      <c r="Z112">
        <v>500000</v>
      </c>
      <c r="AA112">
        <v>128.82460021972659</v>
      </c>
      <c r="AB112">
        <v>8.9250688552856445</v>
      </c>
      <c r="AC112">
        <v>0</v>
      </c>
      <c r="AD112">
        <v>1654</v>
      </c>
      <c r="AE112">
        <v>472</v>
      </c>
      <c r="AF112">
        <v>1480</v>
      </c>
      <c r="AG112">
        <v>2613</v>
      </c>
      <c r="AH112">
        <v>2795</v>
      </c>
      <c r="AI112">
        <v>2795</v>
      </c>
      <c r="AJ112">
        <v>11</v>
      </c>
      <c r="AK112">
        <v>5</v>
      </c>
      <c r="AL112">
        <v>59</v>
      </c>
      <c r="AM112"/>
      <c r="AN112">
        <v>28691.5</v>
      </c>
      <c r="AO112"/>
      <c r="AP112"/>
      <c r="AQ112"/>
      <c r="AR112"/>
      <c r="AS112"/>
      <c r="AT112"/>
      <c r="AU112"/>
      <c r="AV112"/>
      <c r="AW112"/>
      <c r="AX112"/>
      <c r="AY112"/>
      <c r="AZ112"/>
      <c r="BA112"/>
      <c r="BB112"/>
      <c r="BC112"/>
      <c r="BD112"/>
      <c r="BE112"/>
      <c r="BF112" t="s">
        <v>5</v>
      </c>
      <c r="BG112" t="s">
        <v>5</v>
      </c>
      <c r="BH112" t="s">
        <v>1777</v>
      </c>
      <c r="BI112"/>
      <c r="BJ112" t="s">
        <v>5</v>
      </c>
      <c r="BK112"/>
      <c r="BL112">
        <v>0</v>
      </c>
      <c r="BM112"/>
      <c r="BN112" t="s">
        <v>5</v>
      </c>
      <c r="BO112"/>
      <c r="BP112"/>
      <c r="BQ112"/>
      <c r="BR112"/>
      <c r="BS112" t="s">
        <v>5</v>
      </c>
      <c r="BT112"/>
      <c r="BU112"/>
      <c r="BV112"/>
      <c r="BW112" t="s">
        <v>1778</v>
      </c>
      <c r="BX112" t="s">
        <v>6</v>
      </c>
      <c r="BY112" t="s">
        <v>1101</v>
      </c>
      <c r="BZ112"/>
      <c r="CA112"/>
      <c r="CB112" t="s">
        <v>5</v>
      </c>
      <c r="CC112">
        <v>222997.6753270051</v>
      </c>
      <c r="CD112">
        <v>2066572139.620775</v>
      </c>
      <c r="CE112" s="313" t="s">
        <v>11891</v>
      </c>
    </row>
    <row r="113" spans="1:83" ht="15" x14ac:dyDescent="0.25">
      <c r="A113" t="s">
        <v>2149</v>
      </c>
      <c r="B113" t="s">
        <v>2150</v>
      </c>
      <c r="C113" t="s">
        <v>2151</v>
      </c>
      <c r="D113">
        <v>3</v>
      </c>
      <c r="E113" t="s">
        <v>1771</v>
      </c>
      <c r="F113" t="s">
        <v>1816</v>
      </c>
      <c r="G113" t="s">
        <v>2152</v>
      </c>
      <c r="H113" t="s">
        <v>4454</v>
      </c>
      <c r="I113" t="s">
        <v>12766</v>
      </c>
      <c r="J113" t="s">
        <v>2153</v>
      </c>
      <c r="K113" t="s">
        <v>2154</v>
      </c>
      <c r="L113">
        <v>37.25531005859375</v>
      </c>
      <c r="M113" t="s">
        <v>6</v>
      </c>
      <c r="N113" t="s">
        <v>5</v>
      </c>
      <c r="O113" t="s">
        <v>5</v>
      </c>
      <c r="P113" t="s">
        <v>5</v>
      </c>
      <c r="Q113" t="s">
        <v>5</v>
      </c>
      <c r="R113" t="s">
        <v>4455</v>
      </c>
      <c r="S113" t="s">
        <v>2155</v>
      </c>
      <c r="T113" t="s">
        <v>5</v>
      </c>
      <c r="U113" t="s">
        <v>50</v>
      </c>
      <c r="V113">
        <v>5000000</v>
      </c>
      <c r="W113">
        <v>500000</v>
      </c>
      <c r="X113" t="s">
        <v>6</v>
      </c>
      <c r="Y113"/>
      <c r="Z113">
        <v>500000</v>
      </c>
      <c r="AA113">
        <v>9.5464811325073242</v>
      </c>
      <c r="AB113">
        <v>1.0165009498596189</v>
      </c>
      <c r="AC113">
        <v>0.2602216899394989</v>
      </c>
      <c r="AD113">
        <v>1068</v>
      </c>
      <c r="AE113">
        <v>550</v>
      </c>
      <c r="AF113">
        <v>930</v>
      </c>
      <c r="AG113">
        <v>11104</v>
      </c>
      <c r="AH113">
        <v>5847</v>
      </c>
      <c r="AI113">
        <v>11104</v>
      </c>
      <c r="AJ113">
        <v>18</v>
      </c>
      <c r="AK113">
        <v>19</v>
      </c>
      <c r="AL113">
        <v>48</v>
      </c>
      <c r="AM113"/>
      <c r="AN113">
        <v>617.09588623046875</v>
      </c>
      <c r="AO113"/>
      <c r="AP113"/>
      <c r="AQ113"/>
      <c r="AR113"/>
      <c r="AS113"/>
      <c r="AT113"/>
      <c r="AU113"/>
      <c r="AV113"/>
      <c r="AW113"/>
      <c r="AX113"/>
      <c r="AY113"/>
      <c r="AZ113"/>
      <c r="BA113"/>
      <c r="BB113"/>
      <c r="BC113"/>
      <c r="BD113"/>
      <c r="BE113"/>
      <c r="BF113" t="s">
        <v>5</v>
      </c>
      <c r="BG113" t="s">
        <v>5</v>
      </c>
      <c r="BH113" t="s">
        <v>1777</v>
      </c>
      <c r="BI113"/>
      <c r="BJ113" t="s">
        <v>5</v>
      </c>
      <c r="BK113"/>
      <c r="BL113">
        <v>0</v>
      </c>
      <c r="BM113"/>
      <c r="BN113" t="s">
        <v>5</v>
      </c>
      <c r="BO113"/>
      <c r="BP113"/>
      <c r="BQ113"/>
      <c r="BR113"/>
      <c r="BS113" t="s">
        <v>5</v>
      </c>
      <c r="BT113"/>
      <c r="BU113"/>
      <c r="BV113"/>
      <c r="BW113" t="s">
        <v>1778</v>
      </c>
      <c r="BX113" t="s">
        <v>6</v>
      </c>
      <c r="BY113" t="s">
        <v>1101</v>
      </c>
      <c r="BZ113"/>
      <c r="CA113"/>
      <c r="CB113" t="s">
        <v>5</v>
      </c>
      <c r="CC113">
        <v>95545.89425012999</v>
      </c>
      <c r="CD113">
        <v>96516353.981958479</v>
      </c>
      <c r="CE113" s="313" t="s">
        <v>11891</v>
      </c>
    </row>
    <row r="114" spans="1:83" ht="15" x14ac:dyDescent="0.25">
      <c r="A114" s="337" t="s">
        <v>2196</v>
      </c>
      <c r="B114" s="337" t="s">
        <v>2197</v>
      </c>
      <c r="C114" s="337" t="s">
        <v>2198</v>
      </c>
      <c r="D114" s="337">
        <v>3</v>
      </c>
      <c r="E114" s="337" t="s">
        <v>1771</v>
      </c>
      <c r="F114" s="337" t="s">
        <v>2131</v>
      </c>
      <c r="G114" s="337" t="s">
        <v>2132</v>
      </c>
      <c r="H114" s="337" t="s">
        <v>4449</v>
      </c>
      <c r="I114" s="337" t="s">
        <v>12765</v>
      </c>
      <c r="J114" s="337" t="s">
        <v>12763</v>
      </c>
      <c r="K114" s="337" t="s">
        <v>1775</v>
      </c>
      <c r="L114" s="337">
        <v>933.2020263671875</v>
      </c>
      <c r="M114" s="337" t="s">
        <v>6</v>
      </c>
      <c r="N114" s="337" t="s">
        <v>5</v>
      </c>
      <c r="O114" s="337" t="s">
        <v>5</v>
      </c>
      <c r="P114" s="337" t="s">
        <v>5</v>
      </c>
      <c r="Q114" s="337" t="s">
        <v>5</v>
      </c>
      <c r="R114" s="337" t="s">
        <v>4450</v>
      </c>
      <c r="S114" s="337" t="s">
        <v>2134</v>
      </c>
      <c r="T114" s="337" t="s">
        <v>5</v>
      </c>
      <c r="U114" s="337" t="s">
        <v>98</v>
      </c>
      <c r="V114" s="337">
        <v>5000000</v>
      </c>
      <c r="W114" s="337">
        <v>500000</v>
      </c>
      <c r="X114" s="337" t="s">
        <v>6</v>
      </c>
      <c r="Y114" s="337"/>
      <c r="Z114" s="337">
        <v>500000</v>
      </c>
      <c r="AA114" s="337">
        <v>68.970542907714844</v>
      </c>
      <c r="AB114" s="337">
        <v>7.8149361610412598</v>
      </c>
      <c r="AC114" s="337">
        <v>4.4384528882801527E-4</v>
      </c>
      <c r="AD114" s="337">
        <v>0</v>
      </c>
      <c r="AE114" s="337">
        <v>0</v>
      </c>
      <c r="AF114" s="337">
        <v>0</v>
      </c>
      <c r="AG114" s="337">
        <v>0</v>
      </c>
      <c r="AH114" s="337">
        <v>0</v>
      </c>
      <c r="AI114" s="337">
        <v>0</v>
      </c>
      <c r="AJ114" s="337">
        <v>0</v>
      </c>
      <c r="AK114" s="337">
        <v>3</v>
      </c>
      <c r="AL114" s="337">
        <v>57</v>
      </c>
      <c r="AM114" s="337"/>
      <c r="AN114" s="337">
        <v>0</v>
      </c>
      <c r="AO114" s="337"/>
      <c r="AP114" s="337"/>
      <c r="AQ114" s="337"/>
      <c r="AR114" s="337"/>
      <c r="AS114" s="337"/>
      <c r="AT114" s="337"/>
      <c r="AU114" s="337"/>
      <c r="AV114" s="337"/>
      <c r="AW114" s="337"/>
      <c r="AX114" s="337"/>
      <c r="AY114" s="337"/>
      <c r="AZ114" s="337"/>
      <c r="BA114" s="337"/>
      <c r="BB114" s="337"/>
      <c r="BC114" s="337"/>
      <c r="BD114" s="337"/>
      <c r="BE114" s="337"/>
      <c r="BF114" s="337" t="s">
        <v>2198</v>
      </c>
      <c r="BG114" s="337" t="s">
        <v>5</v>
      </c>
      <c r="BH114" s="337" t="s">
        <v>1777</v>
      </c>
      <c r="BI114" s="337"/>
      <c r="BJ114" s="337" t="s">
        <v>5</v>
      </c>
      <c r="BK114" s="337"/>
      <c r="BL114" s="337">
        <v>100</v>
      </c>
      <c r="BM114" s="337"/>
      <c r="BN114" s="337" t="s">
        <v>5</v>
      </c>
      <c r="BO114" s="337"/>
      <c r="BP114" s="337"/>
      <c r="BQ114" s="337"/>
      <c r="BR114" s="337"/>
      <c r="BS114" s="337" t="s">
        <v>5</v>
      </c>
      <c r="BT114" s="337"/>
      <c r="BU114" s="337"/>
      <c r="BV114" s="337"/>
      <c r="BW114" s="337" t="s">
        <v>1778</v>
      </c>
      <c r="BX114" s="337" t="s">
        <v>6</v>
      </c>
      <c r="BY114" s="337" t="s">
        <v>1101</v>
      </c>
      <c r="BZ114" s="337"/>
      <c r="CB114" s="337" t="s">
        <v>6</v>
      </c>
      <c r="CC114" s="337">
        <v>214521.70282344829</v>
      </c>
      <c r="CD114" s="337">
        <v>2417621705.792469</v>
      </c>
      <c r="CE114" s="313" t="s">
        <v>11891</v>
      </c>
    </row>
    <row r="115" spans="1:83" ht="15" x14ac:dyDescent="0.25">
      <c r="A115" s="337" t="s">
        <v>2202</v>
      </c>
      <c r="B115" s="337" t="s">
        <v>2203</v>
      </c>
      <c r="C115" s="337" t="s">
        <v>2204</v>
      </c>
      <c r="D115" s="337">
        <v>3</v>
      </c>
      <c r="E115" s="337" t="s">
        <v>1771</v>
      </c>
      <c r="F115" s="337" t="s">
        <v>2205</v>
      </c>
      <c r="G115" s="337" t="s">
        <v>2206</v>
      </c>
      <c r="H115" s="337" t="s">
        <v>4465</v>
      </c>
      <c r="I115" s="337" t="s">
        <v>12765</v>
      </c>
      <c r="J115" s="337" t="s">
        <v>2207</v>
      </c>
      <c r="K115" s="337" t="s">
        <v>1793</v>
      </c>
      <c r="L115" s="337">
        <v>730.85418701171875</v>
      </c>
      <c r="M115" s="337" t="s">
        <v>6</v>
      </c>
      <c r="N115" s="337" t="s">
        <v>5</v>
      </c>
      <c r="O115" s="337" t="s">
        <v>5</v>
      </c>
      <c r="P115" s="337" t="s">
        <v>5</v>
      </c>
      <c r="Q115" s="337" t="s">
        <v>5</v>
      </c>
      <c r="R115" s="337" t="s">
        <v>4466</v>
      </c>
      <c r="S115" s="337" t="s">
        <v>2208</v>
      </c>
      <c r="T115" s="337" t="s">
        <v>5</v>
      </c>
      <c r="U115" s="337" t="s">
        <v>98</v>
      </c>
      <c r="V115" s="337">
        <v>5000000</v>
      </c>
      <c r="W115" s="337">
        <v>500000</v>
      </c>
      <c r="X115" s="337" t="s">
        <v>5</v>
      </c>
      <c r="Y115" s="337"/>
      <c r="Z115" s="337"/>
      <c r="AA115" s="337">
        <v>55.601528167724609</v>
      </c>
      <c r="AB115" s="337">
        <v>7.7318110466003418</v>
      </c>
      <c r="AC115" s="337">
        <v>6.0637249946594238</v>
      </c>
      <c r="AD115" s="337">
        <v>1851</v>
      </c>
      <c r="AE115" s="337">
        <v>1002</v>
      </c>
      <c r="AF115" s="337">
        <v>1555</v>
      </c>
      <c r="AG115" s="337">
        <v>2434</v>
      </c>
      <c r="AH115" s="337">
        <v>3610</v>
      </c>
      <c r="AI115" s="337">
        <v>3610</v>
      </c>
      <c r="AJ115" s="337">
        <v>12</v>
      </c>
      <c r="AK115" s="337">
        <v>372</v>
      </c>
      <c r="AL115" s="337">
        <v>62</v>
      </c>
      <c r="AM115" s="337"/>
      <c r="AN115" s="337">
        <v>18202.359375</v>
      </c>
      <c r="AO115" s="337"/>
      <c r="AP115" s="337"/>
      <c r="AQ115" s="337"/>
      <c r="AR115" s="337"/>
      <c r="AS115" s="337"/>
      <c r="AT115" s="337"/>
      <c r="AU115" s="337"/>
      <c r="AV115" s="337"/>
      <c r="AW115" s="337"/>
      <c r="AX115" s="337"/>
      <c r="AY115" s="337"/>
      <c r="AZ115" s="337"/>
      <c r="BA115" s="337"/>
      <c r="BB115" s="337"/>
      <c r="BC115" s="337"/>
      <c r="BD115" s="337"/>
      <c r="BE115" s="337"/>
      <c r="BF115" s="337" t="s">
        <v>5</v>
      </c>
      <c r="BG115" s="337" t="s">
        <v>5</v>
      </c>
      <c r="BH115" s="337" t="s">
        <v>1777</v>
      </c>
      <c r="BI115" s="337"/>
      <c r="BJ115" s="337" t="s">
        <v>5</v>
      </c>
      <c r="BK115" s="337"/>
      <c r="BL115" s="337">
        <v>0</v>
      </c>
      <c r="BM115" s="337"/>
      <c r="BN115" s="337" t="s">
        <v>5</v>
      </c>
      <c r="BO115" s="337"/>
      <c r="BP115" s="337"/>
      <c r="BQ115" s="337"/>
      <c r="BR115" s="337"/>
      <c r="BS115" s="337" t="s">
        <v>5</v>
      </c>
      <c r="BT115" s="337"/>
      <c r="BU115" s="337"/>
      <c r="BV115" s="337"/>
      <c r="BW115" s="337" t="s">
        <v>1778</v>
      </c>
      <c r="BX115" s="337" t="s">
        <v>6</v>
      </c>
      <c r="BY115" s="337" t="s">
        <v>1101</v>
      </c>
      <c r="BZ115" s="337"/>
      <c r="CB115" s="337" t="s">
        <v>5</v>
      </c>
      <c r="CC115" s="337">
        <v>184289.1295791062</v>
      </c>
      <c r="CD115" s="337">
        <v>1893404685.570436</v>
      </c>
      <c r="CE115" s="313" t="s">
        <v>11891</v>
      </c>
    </row>
    <row r="116" spans="1:83" ht="15" x14ac:dyDescent="0.25">
      <c r="A116" s="337" t="s">
        <v>2209</v>
      </c>
      <c r="B116" s="337" t="s">
        <v>2210</v>
      </c>
      <c r="C116" s="337" t="s">
        <v>2211</v>
      </c>
      <c r="D116" s="337">
        <v>3</v>
      </c>
      <c r="E116" s="337" t="s">
        <v>1771</v>
      </c>
      <c r="F116" s="337" t="s">
        <v>2212</v>
      </c>
      <c r="G116" s="337" t="s">
        <v>2102</v>
      </c>
      <c r="H116" s="337" t="s">
        <v>4443</v>
      </c>
      <c r="I116" s="337" t="s">
        <v>12765</v>
      </c>
      <c r="J116" s="337" t="s">
        <v>2103</v>
      </c>
      <c r="K116" s="337" t="s">
        <v>1793</v>
      </c>
      <c r="L116" s="337">
        <v>976.48260498046875</v>
      </c>
      <c r="M116" s="337" t="s">
        <v>6</v>
      </c>
      <c r="N116" s="337" t="s">
        <v>5</v>
      </c>
      <c r="O116" s="337" t="s">
        <v>5</v>
      </c>
      <c r="P116" s="337" t="s">
        <v>5</v>
      </c>
      <c r="Q116" s="337" t="s">
        <v>5</v>
      </c>
      <c r="R116" s="337" t="s">
        <v>1624</v>
      </c>
      <c r="S116" s="337" t="s">
        <v>1625</v>
      </c>
      <c r="T116" s="337" t="s">
        <v>5</v>
      </c>
      <c r="U116" s="337" t="s">
        <v>98</v>
      </c>
      <c r="V116" s="337">
        <v>5000000</v>
      </c>
      <c r="W116" s="337">
        <v>500000</v>
      </c>
      <c r="X116" s="337" t="s">
        <v>6</v>
      </c>
      <c r="Y116" s="337"/>
      <c r="Z116" s="337">
        <v>500000</v>
      </c>
      <c r="AA116" s="337">
        <v>68.025527954101563</v>
      </c>
      <c r="AB116" s="337">
        <v>7.2295022010803223</v>
      </c>
      <c r="AC116" s="337">
        <v>7.1393699645996094</v>
      </c>
      <c r="AD116" s="337">
        <v>436</v>
      </c>
      <c r="AE116" s="337">
        <v>219</v>
      </c>
      <c r="AF116" s="337">
        <v>376</v>
      </c>
      <c r="AG116" s="337">
        <v>160</v>
      </c>
      <c r="AH116" s="337">
        <v>514</v>
      </c>
      <c r="AI116" s="337">
        <v>514</v>
      </c>
      <c r="AJ116" s="337">
        <v>5</v>
      </c>
      <c r="AK116" s="337">
        <v>1</v>
      </c>
      <c r="AL116" s="337">
        <v>43</v>
      </c>
      <c r="AM116" s="337"/>
      <c r="AN116" s="337">
        <v>21311.439453125</v>
      </c>
      <c r="AO116" s="337"/>
      <c r="AP116" s="337"/>
      <c r="AQ116" s="337"/>
      <c r="AR116" s="337"/>
      <c r="AS116" s="337"/>
      <c r="AT116" s="337"/>
      <c r="AU116" s="337"/>
      <c r="AV116" s="337"/>
      <c r="AW116" s="337"/>
      <c r="AX116" s="337"/>
      <c r="AY116" s="337"/>
      <c r="AZ116" s="337"/>
      <c r="BA116" s="337"/>
      <c r="BB116" s="337"/>
      <c r="BC116" s="337"/>
      <c r="BD116" s="337"/>
      <c r="BE116" s="337"/>
      <c r="BF116" s="337" t="s">
        <v>5</v>
      </c>
      <c r="BG116" s="337" t="s">
        <v>5</v>
      </c>
      <c r="BH116" s="337" t="s">
        <v>1777</v>
      </c>
      <c r="BI116" s="337"/>
      <c r="BJ116" s="337" t="s">
        <v>5</v>
      </c>
      <c r="BK116" s="337"/>
      <c r="BL116" s="337">
        <v>0</v>
      </c>
      <c r="BM116" s="337"/>
      <c r="BN116" s="337" t="s">
        <v>5</v>
      </c>
      <c r="BO116" s="337"/>
      <c r="BP116" s="337"/>
      <c r="BQ116" s="337"/>
      <c r="BR116" s="337"/>
      <c r="BS116" s="337" t="s">
        <v>5</v>
      </c>
      <c r="BT116" s="337"/>
      <c r="BU116" s="337"/>
      <c r="BV116" s="337"/>
      <c r="BW116" s="337" t="s">
        <v>1778</v>
      </c>
      <c r="BX116" s="337" t="s">
        <v>6</v>
      </c>
      <c r="BY116" s="337" t="s">
        <v>1101</v>
      </c>
      <c r="BZ116" s="337"/>
      <c r="CB116" s="337" t="s">
        <v>5</v>
      </c>
      <c r="CC116" s="337">
        <v>242165.81306584779</v>
      </c>
      <c r="CD116" s="337">
        <v>2529747737.1860971</v>
      </c>
      <c r="CE116" s="313" t="s">
        <v>11891</v>
      </c>
    </row>
    <row r="117" spans="1:83" ht="15" x14ac:dyDescent="0.25">
      <c r="A117" s="337" t="s">
        <v>2213</v>
      </c>
      <c r="B117" s="337" t="s">
        <v>2214</v>
      </c>
      <c r="C117" s="337" t="s">
        <v>2215</v>
      </c>
      <c r="D117" s="337">
        <v>3</v>
      </c>
      <c r="E117" s="337" t="s">
        <v>1771</v>
      </c>
      <c r="F117" s="337" t="s">
        <v>1843</v>
      </c>
      <c r="G117" s="337" t="s">
        <v>1893</v>
      </c>
      <c r="H117" s="337" t="s">
        <v>2216</v>
      </c>
      <c r="I117" s="337" t="s">
        <v>12772</v>
      </c>
      <c r="J117" s="337" t="s">
        <v>2217</v>
      </c>
      <c r="K117" s="337" t="s">
        <v>1793</v>
      </c>
      <c r="L117" s="337">
        <v>25.108329772949219</v>
      </c>
      <c r="M117" s="337" t="s">
        <v>6</v>
      </c>
      <c r="N117" s="337" t="s">
        <v>5</v>
      </c>
      <c r="O117" s="337" t="s">
        <v>5</v>
      </c>
      <c r="P117" s="337" t="s">
        <v>5</v>
      </c>
      <c r="Q117" s="337" t="s">
        <v>5</v>
      </c>
      <c r="R117" s="337" t="s">
        <v>4467</v>
      </c>
      <c r="S117" s="337" t="s">
        <v>2218</v>
      </c>
      <c r="T117" s="337" t="s">
        <v>5</v>
      </c>
      <c r="U117" s="337" t="s">
        <v>98</v>
      </c>
      <c r="V117" s="337">
        <v>5000000</v>
      </c>
      <c r="W117" s="337">
        <v>500000</v>
      </c>
      <c r="X117" s="337" t="s">
        <v>6</v>
      </c>
      <c r="Y117" s="337"/>
      <c r="Z117" s="337">
        <v>500000</v>
      </c>
      <c r="AA117" s="337">
        <v>5.9406619071960449</v>
      </c>
      <c r="AB117" s="337">
        <v>0.48021429777145391</v>
      </c>
      <c r="AC117" s="337">
        <v>8.9035749435424805E-2</v>
      </c>
      <c r="AD117" s="337">
        <v>156</v>
      </c>
      <c r="AE117" s="337">
        <v>205</v>
      </c>
      <c r="AF117" s="337">
        <v>131</v>
      </c>
      <c r="AG117" s="337">
        <v>478</v>
      </c>
      <c r="AH117" s="337">
        <v>509</v>
      </c>
      <c r="AI117" s="337">
        <v>509</v>
      </c>
      <c r="AJ117" s="337">
        <v>6</v>
      </c>
      <c r="AK117" s="337">
        <v>6</v>
      </c>
      <c r="AL117" s="337">
        <v>23</v>
      </c>
      <c r="AM117" s="337"/>
      <c r="AN117" s="337">
        <v>1654.744995117188</v>
      </c>
      <c r="AO117" s="337"/>
      <c r="AP117" s="337"/>
      <c r="AQ117" s="337"/>
      <c r="AR117" s="337"/>
      <c r="AS117" s="337"/>
      <c r="AT117" s="337"/>
      <c r="AU117" s="337"/>
      <c r="AV117" s="337"/>
      <c r="AW117" s="337"/>
      <c r="AX117" s="337"/>
      <c r="AY117" s="337"/>
      <c r="AZ117" s="337"/>
      <c r="BA117" s="337"/>
      <c r="BB117" s="337"/>
      <c r="BC117" s="337"/>
      <c r="BD117" s="337"/>
      <c r="BE117" s="337"/>
      <c r="BF117" s="337" t="s">
        <v>5</v>
      </c>
      <c r="BG117" s="337" t="s">
        <v>5</v>
      </c>
      <c r="BH117" s="337" t="s">
        <v>1777</v>
      </c>
      <c r="BI117" s="337"/>
      <c r="BJ117" s="337" t="s">
        <v>5</v>
      </c>
      <c r="BK117" s="337"/>
      <c r="BL117" s="337">
        <v>0</v>
      </c>
      <c r="BM117" s="337"/>
      <c r="BN117" s="337" t="s">
        <v>5</v>
      </c>
      <c r="BO117" s="337"/>
      <c r="BP117" s="337"/>
      <c r="BQ117" s="337"/>
      <c r="BR117" s="337"/>
      <c r="BS117" s="337" t="s">
        <v>5</v>
      </c>
      <c r="BT117" s="337"/>
      <c r="BU117" s="337"/>
      <c r="BV117" s="337"/>
      <c r="BW117" s="337" t="s">
        <v>1778</v>
      </c>
      <c r="BX117" s="337" t="s">
        <v>6</v>
      </c>
      <c r="BY117" s="337" t="s">
        <v>1101</v>
      </c>
      <c r="BZ117" s="337"/>
      <c r="CB117" s="337" t="s">
        <v>5</v>
      </c>
      <c r="CC117" s="337">
        <v>85426.78444197691</v>
      </c>
      <c r="CD117" s="337">
        <v>65047482.608531989</v>
      </c>
      <c r="CE117" s="313" t="s">
        <v>11891</v>
      </c>
    </row>
    <row r="118" spans="1:83" ht="15" x14ac:dyDescent="0.25">
      <c r="A118" s="337" t="s">
        <v>2219</v>
      </c>
      <c r="B118" s="337" t="s">
        <v>2220</v>
      </c>
      <c r="C118" s="337" t="s">
        <v>2221</v>
      </c>
      <c r="D118" s="337">
        <v>3</v>
      </c>
      <c r="E118" s="337" t="s">
        <v>1771</v>
      </c>
      <c r="F118" s="337" t="s">
        <v>2222</v>
      </c>
      <c r="G118" s="337" t="s">
        <v>2078</v>
      </c>
      <c r="H118" s="337" t="s">
        <v>4436</v>
      </c>
      <c r="I118" s="337" t="s">
        <v>12772</v>
      </c>
      <c r="J118" s="337" t="s">
        <v>2079</v>
      </c>
      <c r="K118" s="337" t="s">
        <v>1793</v>
      </c>
      <c r="L118" s="337">
        <v>1075.85205078125</v>
      </c>
      <c r="M118" s="337" t="s">
        <v>6</v>
      </c>
      <c r="N118" s="337" t="s">
        <v>5</v>
      </c>
      <c r="O118" s="337" t="s">
        <v>5</v>
      </c>
      <c r="P118" s="337" t="s">
        <v>5</v>
      </c>
      <c r="Q118" s="337" t="s">
        <v>5</v>
      </c>
      <c r="R118" s="337" t="s">
        <v>4437</v>
      </c>
      <c r="S118" s="337" t="s">
        <v>2080</v>
      </c>
      <c r="T118" s="337" t="s">
        <v>5</v>
      </c>
      <c r="U118" s="337" t="s">
        <v>98</v>
      </c>
      <c r="V118" s="337">
        <v>5000000</v>
      </c>
      <c r="W118" s="337">
        <v>500000</v>
      </c>
      <c r="X118" s="337" t="s">
        <v>6</v>
      </c>
      <c r="Y118" s="337"/>
      <c r="Z118" s="337">
        <v>500000</v>
      </c>
      <c r="AA118" s="337">
        <v>239.10459899902341</v>
      </c>
      <c r="AB118" s="337">
        <v>18.933229446411129</v>
      </c>
      <c r="AC118" s="337">
        <v>2.8697899542748928E-3</v>
      </c>
      <c r="AD118" s="337">
        <v>428</v>
      </c>
      <c r="AE118" s="337">
        <v>103</v>
      </c>
      <c r="AF118" s="337">
        <v>292</v>
      </c>
      <c r="AG118" s="337">
        <v>540</v>
      </c>
      <c r="AH118" s="337">
        <v>284</v>
      </c>
      <c r="AI118" s="337">
        <v>540</v>
      </c>
      <c r="AJ118" s="337">
        <v>6</v>
      </c>
      <c r="AK118" s="337">
        <v>5</v>
      </c>
      <c r="AL118" s="337">
        <v>100</v>
      </c>
      <c r="AM118" s="337"/>
      <c r="AN118" s="337">
        <v>54925.91015625</v>
      </c>
      <c r="AO118" s="337"/>
      <c r="AP118" s="337"/>
      <c r="AQ118" s="337"/>
      <c r="AR118" s="337"/>
      <c r="AS118" s="337"/>
      <c r="AT118" s="337"/>
      <c r="AU118" s="337"/>
      <c r="AV118" s="337"/>
      <c r="AW118" s="337"/>
      <c r="AX118" s="337"/>
      <c r="AY118" s="337"/>
      <c r="AZ118" s="337"/>
      <c r="BA118" s="337"/>
      <c r="BB118" s="337"/>
      <c r="BC118" s="337"/>
      <c r="BD118" s="337"/>
      <c r="BE118" s="337"/>
      <c r="BF118" s="337" t="s">
        <v>5</v>
      </c>
      <c r="BG118" s="337" t="s">
        <v>5</v>
      </c>
      <c r="BH118" s="337" t="s">
        <v>1777</v>
      </c>
      <c r="BI118" s="337"/>
      <c r="BJ118" s="337" t="s">
        <v>5</v>
      </c>
      <c r="BK118" s="337"/>
      <c r="BL118" s="337">
        <v>0</v>
      </c>
      <c r="BM118" s="337"/>
      <c r="BN118" s="337" t="s">
        <v>5</v>
      </c>
      <c r="BO118" s="337"/>
      <c r="BP118" s="337"/>
      <c r="BQ118" s="337"/>
      <c r="BR118" s="337"/>
      <c r="BS118" s="337" t="s">
        <v>5</v>
      </c>
      <c r="BT118" s="337"/>
      <c r="BU118" s="337"/>
      <c r="BV118" s="337"/>
      <c r="BW118" s="337" t="s">
        <v>1778</v>
      </c>
      <c r="BX118" s="337" t="s">
        <v>6</v>
      </c>
      <c r="BY118" s="337" t="s">
        <v>1101</v>
      </c>
      <c r="BZ118" s="337"/>
      <c r="CB118" s="337" t="s">
        <v>5</v>
      </c>
      <c r="CC118" s="337">
        <v>295886.66588784778</v>
      </c>
      <c r="CD118" s="337">
        <v>2787181329.1076279</v>
      </c>
      <c r="CE118" s="313" t="s">
        <v>11891</v>
      </c>
    </row>
    <row r="119" spans="1:83" ht="15" x14ac:dyDescent="0.25">
      <c r="A119" s="337" t="s">
        <v>2223</v>
      </c>
      <c r="B119" s="337" t="s">
        <v>2224</v>
      </c>
      <c r="C119" s="337" t="s">
        <v>2225</v>
      </c>
      <c r="D119" s="337">
        <v>3</v>
      </c>
      <c r="E119" s="337" t="s">
        <v>1771</v>
      </c>
      <c r="F119" s="337" t="s">
        <v>2226</v>
      </c>
      <c r="G119" s="337" t="s">
        <v>2227</v>
      </c>
      <c r="H119" s="337" t="s">
        <v>2228</v>
      </c>
      <c r="I119" s="337" t="s">
        <v>2229</v>
      </c>
      <c r="J119" s="337" t="s">
        <v>2230</v>
      </c>
      <c r="K119" s="337" t="s">
        <v>1793</v>
      </c>
      <c r="L119" s="337">
        <v>1.5210980176925659</v>
      </c>
      <c r="M119" s="337" t="s">
        <v>6</v>
      </c>
      <c r="N119" s="337" t="s">
        <v>5</v>
      </c>
      <c r="O119" s="337" t="s">
        <v>5</v>
      </c>
      <c r="P119" s="337" t="s">
        <v>5</v>
      </c>
      <c r="Q119" s="337" t="s">
        <v>5</v>
      </c>
      <c r="R119" s="337" t="s">
        <v>4468</v>
      </c>
      <c r="S119" s="337" t="s">
        <v>2231</v>
      </c>
      <c r="T119" s="337" t="s">
        <v>5</v>
      </c>
      <c r="U119" s="337" t="s">
        <v>98</v>
      </c>
      <c r="V119" s="337">
        <v>5000000</v>
      </c>
      <c r="W119" s="337">
        <v>500000</v>
      </c>
      <c r="X119" s="337" t="s">
        <v>6</v>
      </c>
      <c r="Y119" s="337"/>
      <c r="Z119" s="337">
        <v>500000</v>
      </c>
      <c r="AA119" s="337">
        <v>0.22886960208415991</v>
      </c>
      <c r="AB119" s="337">
        <v>4.497259110212326E-2</v>
      </c>
      <c r="AC119" s="337">
        <v>0</v>
      </c>
      <c r="AD119" s="337">
        <v>0</v>
      </c>
      <c r="AE119" s="337">
        <v>0</v>
      </c>
      <c r="AF119" s="337">
        <v>0</v>
      </c>
      <c r="AG119" s="337">
        <v>0</v>
      </c>
      <c r="AH119" s="337">
        <v>0</v>
      </c>
      <c r="AI119" s="337">
        <v>0</v>
      </c>
      <c r="AJ119" s="337">
        <v>1</v>
      </c>
      <c r="AK119" s="337">
        <v>17</v>
      </c>
      <c r="AL119" s="337">
        <v>2</v>
      </c>
      <c r="AM119" s="337"/>
      <c r="AN119" s="337">
        <v>0</v>
      </c>
      <c r="AO119" s="337"/>
      <c r="AP119" s="337"/>
      <c r="AQ119" s="337"/>
      <c r="AR119" s="337"/>
      <c r="AS119" s="337"/>
      <c r="AT119" s="337"/>
      <c r="AU119" s="337"/>
      <c r="AV119" s="337"/>
      <c r="AW119" s="337"/>
      <c r="AX119" s="337"/>
      <c r="AY119" s="337"/>
      <c r="AZ119" s="337"/>
      <c r="BA119" s="337"/>
      <c r="BB119" s="337"/>
      <c r="BC119" s="337"/>
      <c r="BD119" s="337"/>
      <c r="BE119" s="337"/>
      <c r="BF119" s="337" t="s">
        <v>5</v>
      </c>
      <c r="BG119" s="337" t="s">
        <v>5</v>
      </c>
      <c r="BH119" s="337" t="s">
        <v>1777</v>
      </c>
      <c r="BI119" s="337"/>
      <c r="BJ119" s="337" t="s">
        <v>5</v>
      </c>
      <c r="BK119" s="337"/>
      <c r="BL119" s="337">
        <v>0</v>
      </c>
      <c r="BM119" s="337"/>
      <c r="BN119" s="337" t="s">
        <v>5</v>
      </c>
      <c r="BO119" s="337"/>
      <c r="BP119" s="337"/>
      <c r="BQ119" s="337"/>
      <c r="BR119" s="337"/>
      <c r="BS119" s="337" t="s">
        <v>5</v>
      </c>
      <c r="BT119" s="337"/>
      <c r="BU119" s="337"/>
      <c r="BV119" s="337"/>
      <c r="BW119" s="337" t="s">
        <v>1778</v>
      </c>
      <c r="BX119" s="337" t="s">
        <v>6</v>
      </c>
      <c r="BY119" s="337" t="s">
        <v>1101</v>
      </c>
      <c r="BZ119" s="337"/>
      <c r="CB119" s="337" t="s">
        <v>5</v>
      </c>
      <c r="CC119" s="337">
        <v>18790.94881460191</v>
      </c>
      <c r="CD119" s="337">
        <v>3940669.2392693991</v>
      </c>
      <c r="CE119" s="313" t="s">
        <v>11891</v>
      </c>
    </row>
    <row r="120" spans="1:83" ht="15" x14ac:dyDescent="0.25">
      <c r="A120" s="337" t="s">
        <v>2232</v>
      </c>
      <c r="B120" s="337" t="s">
        <v>2233</v>
      </c>
      <c r="C120" s="337" t="s">
        <v>2234</v>
      </c>
      <c r="D120" s="337">
        <v>3</v>
      </c>
      <c r="E120" s="337" t="s">
        <v>1771</v>
      </c>
      <c r="F120" s="337" t="s">
        <v>2235</v>
      </c>
      <c r="G120" s="337" t="s">
        <v>2236</v>
      </c>
      <c r="H120" s="337" t="s">
        <v>4469</v>
      </c>
      <c r="I120" s="337" t="s">
        <v>12773</v>
      </c>
      <c r="J120" s="337" t="s">
        <v>2237</v>
      </c>
      <c r="K120" s="337" t="s">
        <v>1984</v>
      </c>
      <c r="L120" s="337">
        <v>28.00094032287598</v>
      </c>
      <c r="M120" s="337" t="s">
        <v>6</v>
      </c>
      <c r="N120" s="337" t="s">
        <v>5</v>
      </c>
      <c r="O120" s="337" t="s">
        <v>5</v>
      </c>
      <c r="P120" s="337" t="s">
        <v>5</v>
      </c>
      <c r="Q120" s="337" t="s">
        <v>5</v>
      </c>
      <c r="R120" s="337" t="s">
        <v>4470</v>
      </c>
      <c r="S120" s="337" t="s">
        <v>2238</v>
      </c>
      <c r="T120" s="337" t="s">
        <v>5</v>
      </c>
      <c r="U120" s="337" t="s">
        <v>50</v>
      </c>
      <c r="V120" s="337">
        <v>5000000</v>
      </c>
      <c r="W120" s="337">
        <v>500000</v>
      </c>
      <c r="X120" s="337" t="s">
        <v>6</v>
      </c>
      <c r="Y120" s="337"/>
      <c r="Z120" s="337">
        <v>500000</v>
      </c>
      <c r="AA120" s="337">
        <v>4.6980838775634766</v>
      </c>
      <c r="AB120" s="337">
        <v>0.61922711133956909</v>
      </c>
      <c r="AC120" s="337">
        <v>6.191181018948555E-3</v>
      </c>
      <c r="AD120" s="337">
        <v>269</v>
      </c>
      <c r="AE120" s="337">
        <v>207</v>
      </c>
      <c r="AF120" s="337">
        <v>224</v>
      </c>
      <c r="AG120" s="337">
        <v>832</v>
      </c>
      <c r="AH120" s="337">
        <v>730</v>
      </c>
      <c r="AI120" s="337">
        <v>832</v>
      </c>
      <c r="AJ120" s="337">
        <v>3</v>
      </c>
      <c r="AK120" s="337">
        <v>10</v>
      </c>
      <c r="AL120" s="337">
        <v>18</v>
      </c>
      <c r="AM120" s="337"/>
      <c r="AN120" s="337">
        <v>1045.640014648438</v>
      </c>
      <c r="AO120" s="337"/>
      <c r="AP120" s="337"/>
      <c r="AQ120" s="337"/>
      <c r="AR120" s="337"/>
      <c r="AS120" s="337"/>
      <c r="AT120" s="337"/>
      <c r="AU120" s="337"/>
      <c r="AV120" s="337"/>
      <c r="AW120" s="337"/>
      <c r="AX120" s="337"/>
      <c r="AY120" s="337"/>
      <c r="AZ120" s="337"/>
      <c r="BA120" s="337"/>
      <c r="BB120" s="337"/>
      <c r="BC120" s="337"/>
      <c r="BD120" s="337"/>
      <c r="BE120" s="337"/>
      <c r="BF120" s="337" t="s">
        <v>5</v>
      </c>
      <c r="BG120" s="337" t="s">
        <v>5</v>
      </c>
      <c r="BH120" s="337" t="s">
        <v>1777</v>
      </c>
      <c r="BI120" s="337"/>
      <c r="BJ120" s="337" t="s">
        <v>5</v>
      </c>
      <c r="BK120" s="337"/>
      <c r="BL120" s="337">
        <v>0</v>
      </c>
      <c r="BM120" s="337"/>
      <c r="BN120" s="337" t="s">
        <v>5</v>
      </c>
      <c r="BO120" s="337"/>
      <c r="BP120" s="337"/>
      <c r="BQ120" s="337"/>
      <c r="BR120" s="337"/>
      <c r="BS120" s="337" t="s">
        <v>5</v>
      </c>
      <c r="BT120" s="337"/>
      <c r="BU120" s="337"/>
      <c r="BV120" s="337"/>
      <c r="BW120" s="337" t="s">
        <v>1778</v>
      </c>
      <c r="BX120" s="337" t="s">
        <v>6</v>
      </c>
      <c r="BY120" s="337" t="s">
        <v>1101</v>
      </c>
      <c r="BZ120" s="337"/>
      <c r="CB120" s="337" t="s">
        <v>5</v>
      </c>
      <c r="CC120" s="337">
        <v>147872.24491526201</v>
      </c>
      <c r="CD120" s="337">
        <v>72541307.369921625</v>
      </c>
      <c r="CE120" s="313" t="s">
        <v>11891</v>
      </c>
    </row>
    <row r="121" spans="1:83" ht="15" x14ac:dyDescent="0.25">
      <c r="A121" s="337" t="s">
        <v>4556</v>
      </c>
      <c r="B121" s="337" t="s">
        <v>4557</v>
      </c>
      <c r="C121" s="337" t="s">
        <v>4558</v>
      </c>
      <c r="D121" s="337">
        <v>3</v>
      </c>
      <c r="E121" s="337" t="s">
        <v>1771</v>
      </c>
      <c r="F121" s="337" t="s">
        <v>1899</v>
      </c>
      <c r="G121" s="337" t="s">
        <v>4559</v>
      </c>
      <c r="H121" s="337" t="s">
        <v>4394</v>
      </c>
      <c r="I121" s="337"/>
      <c r="J121" s="337" t="s">
        <v>12797</v>
      </c>
      <c r="K121" s="337" t="s">
        <v>1775</v>
      </c>
      <c r="L121" s="337">
        <v>11.96525955200195</v>
      </c>
      <c r="M121" s="337" t="s">
        <v>6</v>
      </c>
      <c r="N121" s="337" t="s">
        <v>5</v>
      </c>
      <c r="O121" s="337" t="s">
        <v>5</v>
      </c>
      <c r="P121" s="337" t="s">
        <v>5</v>
      </c>
      <c r="Q121" s="337" t="s">
        <v>5</v>
      </c>
      <c r="R121" s="337" t="s">
        <v>4560</v>
      </c>
      <c r="S121" s="337" t="s">
        <v>2581</v>
      </c>
      <c r="T121" s="337" t="s">
        <v>5</v>
      </c>
      <c r="U121" s="337" t="s">
        <v>98</v>
      </c>
      <c r="V121" s="337">
        <v>5000000</v>
      </c>
      <c r="W121" s="337">
        <v>500000</v>
      </c>
      <c r="X121" s="337" t="s">
        <v>6</v>
      </c>
      <c r="Y121" s="337"/>
      <c r="Z121" s="337"/>
      <c r="AA121" s="337">
        <v>0.63288819789886475</v>
      </c>
      <c r="AB121" s="337">
        <v>0.16222189366817469</v>
      </c>
      <c r="AC121" s="337">
        <v>1.3024870157241819</v>
      </c>
      <c r="AD121" s="337">
        <v>13</v>
      </c>
      <c r="AE121" s="337"/>
      <c r="AF121" s="337">
        <v>11</v>
      </c>
      <c r="AG121" s="337">
        <v>2844</v>
      </c>
      <c r="AH121" s="337">
        <v>3956</v>
      </c>
      <c r="AI121" s="337">
        <v>3956</v>
      </c>
      <c r="AJ121" s="337">
        <v>2</v>
      </c>
      <c r="AK121" s="337">
        <v>2</v>
      </c>
      <c r="AL121" s="337">
        <v>2</v>
      </c>
      <c r="AM121" s="337"/>
      <c r="AN121" s="337">
        <v>230.52290344238281</v>
      </c>
      <c r="AO121" s="337"/>
      <c r="AP121" s="337"/>
      <c r="AQ121" s="337"/>
      <c r="AR121" s="337"/>
      <c r="AS121" s="337"/>
      <c r="AT121" s="337"/>
      <c r="AU121" s="337"/>
      <c r="AV121" s="337"/>
      <c r="AW121" s="337"/>
      <c r="AX121" s="337"/>
      <c r="AY121" s="337"/>
      <c r="AZ121" s="337"/>
      <c r="BA121" s="337"/>
      <c r="BB121" s="337"/>
      <c r="BC121" s="337"/>
      <c r="BD121" s="337"/>
      <c r="BE121" s="337"/>
      <c r="BF121" s="337" t="s">
        <v>2480</v>
      </c>
      <c r="BG121" s="337" t="s">
        <v>5</v>
      </c>
      <c r="BH121" s="337" t="s">
        <v>1777</v>
      </c>
      <c r="BI121" s="337"/>
      <c r="BJ121" s="337" t="s">
        <v>5</v>
      </c>
      <c r="BK121" s="337"/>
      <c r="BL121" s="337">
        <v>100</v>
      </c>
      <c r="BM121" s="337"/>
      <c r="BN121" s="337" t="s">
        <v>5</v>
      </c>
      <c r="BO121" s="337"/>
      <c r="BP121" s="337"/>
      <c r="BQ121" s="337"/>
      <c r="BR121" s="337"/>
      <c r="BS121" s="337" t="s">
        <v>5</v>
      </c>
      <c r="BT121" s="337"/>
      <c r="BU121" s="337"/>
      <c r="BV121" s="337"/>
      <c r="BW121" s="337"/>
      <c r="BX121" s="337" t="s">
        <v>6</v>
      </c>
      <c r="BY121" s="337" t="s">
        <v>1101</v>
      </c>
      <c r="BZ121" s="337"/>
      <c r="CB121" s="337" t="s">
        <v>6</v>
      </c>
      <c r="CC121" s="337">
        <v>83684.207439171383</v>
      </c>
      <c r="CD121" s="337">
        <v>30989880.374613721</v>
      </c>
      <c r="CE121" s="313" t="s">
        <v>11891</v>
      </c>
    </row>
    <row r="122" spans="1:83" ht="45" x14ac:dyDescent="0.25">
      <c r="A122" t="s">
        <v>4047</v>
      </c>
      <c r="B122" t="s">
        <v>4048</v>
      </c>
      <c r="C122" t="s">
        <v>4049</v>
      </c>
      <c r="D122">
        <v>15</v>
      </c>
      <c r="E122" t="s">
        <v>3847</v>
      </c>
      <c r="F122" t="s">
        <v>4050</v>
      </c>
      <c r="G122" t="s">
        <v>4051</v>
      </c>
      <c r="H122" t="s">
        <v>4052</v>
      </c>
      <c r="I122" t="s">
        <v>4053</v>
      </c>
      <c r="J122"/>
      <c r="K122" t="s">
        <v>4054</v>
      </c>
      <c r="L122">
        <v>1.267132628709078E-2</v>
      </c>
      <c r="M122" t="s">
        <v>6</v>
      </c>
      <c r="N122" t="s">
        <v>5</v>
      </c>
      <c r="O122" t="s">
        <v>6</v>
      </c>
      <c r="P122" t="s">
        <v>5</v>
      </c>
      <c r="Q122" t="s">
        <v>5</v>
      </c>
      <c r="R122" t="s">
        <v>3898</v>
      </c>
      <c r="S122" t="s">
        <v>4055</v>
      </c>
      <c r="T122" t="s">
        <v>6</v>
      </c>
      <c r="U122" t="s">
        <v>85</v>
      </c>
      <c r="V122">
        <v>20000000</v>
      </c>
      <c r="W122">
        <v>500000</v>
      </c>
      <c r="X122" t="s">
        <v>6</v>
      </c>
      <c r="Y122"/>
      <c r="Z122">
        <v>0</v>
      </c>
      <c r="AA122">
        <v>1.4533713692799211E-3</v>
      </c>
      <c r="AB122">
        <v>5.2729062736034393E-3</v>
      </c>
      <c r="AC122">
        <v>0</v>
      </c>
      <c r="AD122">
        <v>1</v>
      </c>
      <c r="AE122">
        <v>1</v>
      </c>
      <c r="AF122">
        <v>0</v>
      </c>
      <c r="AG122">
        <v>0</v>
      </c>
      <c r="AH122">
        <v>1</v>
      </c>
      <c r="AI122">
        <v>1</v>
      </c>
      <c r="AJ122">
        <v>0</v>
      </c>
      <c r="AK122">
        <v>0</v>
      </c>
      <c r="AL122">
        <v>0</v>
      </c>
      <c r="AM122">
        <v>0</v>
      </c>
      <c r="AN122">
        <v>0.63404428958892822</v>
      </c>
      <c r="AO122">
        <v>0</v>
      </c>
      <c r="AP122">
        <v>0</v>
      </c>
      <c r="AQ122">
        <v>0</v>
      </c>
      <c r="AR122">
        <v>0</v>
      </c>
      <c r="AS122">
        <v>0</v>
      </c>
      <c r="AT122">
        <v>0</v>
      </c>
      <c r="AU122">
        <v>0</v>
      </c>
      <c r="AV122">
        <v>0</v>
      </c>
      <c r="AW122">
        <v>0</v>
      </c>
      <c r="AX122">
        <v>0</v>
      </c>
      <c r="AY122">
        <v>0</v>
      </c>
      <c r="AZ122">
        <v>0</v>
      </c>
      <c r="BA122">
        <v>0</v>
      </c>
      <c r="BB122">
        <v>0</v>
      </c>
      <c r="BC122">
        <v>0</v>
      </c>
      <c r="BD122">
        <v>0</v>
      </c>
      <c r="BE122">
        <v>0</v>
      </c>
      <c r="BF122" t="s">
        <v>5</v>
      </c>
      <c r="BG122" t="s">
        <v>5</v>
      </c>
      <c r="BH122"/>
      <c r="BI122"/>
      <c r="BJ122" t="s">
        <v>5</v>
      </c>
      <c r="BK122"/>
      <c r="BL122">
        <v>0</v>
      </c>
      <c r="BM122">
        <v>0</v>
      </c>
      <c r="BN122" t="s">
        <v>5</v>
      </c>
      <c r="BO122"/>
      <c r="BP122"/>
      <c r="BQ122"/>
      <c r="BR122"/>
      <c r="BS122" t="s">
        <v>5</v>
      </c>
      <c r="BT122"/>
      <c r="BU122"/>
      <c r="BV122"/>
      <c r="BW122"/>
      <c r="BX122" t="s">
        <v>6</v>
      </c>
      <c r="BY122" t="s">
        <v>3850</v>
      </c>
      <c r="BZ122"/>
      <c r="CA122"/>
      <c r="CB122" t="s">
        <v>5</v>
      </c>
      <c r="CC122">
        <v>697.52374905975057</v>
      </c>
      <c r="CD122">
        <v>32818.76771261594</v>
      </c>
      <c r="CE122" s="319" t="s">
        <v>11891</v>
      </c>
    </row>
    <row r="123" spans="1:83" ht="45" x14ac:dyDescent="0.25">
      <c r="A123" t="s">
        <v>4056</v>
      </c>
      <c r="B123" t="s">
        <v>4057</v>
      </c>
      <c r="C123" t="s">
        <v>4058</v>
      </c>
      <c r="D123">
        <v>15</v>
      </c>
      <c r="E123" t="s">
        <v>3847</v>
      </c>
      <c r="F123" t="s">
        <v>4050</v>
      </c>
      <c r="G123" t="s">
        <v>4059</v>
      </c>
      <c r="H123" t="s">
        <v>4060</v>
      </c>
      <c r="I123" t="s">
        <v>4061</v>
      </c>
      <c r="J123"/>
      <c r="K123" t="s">
        <v>3857</v>
      </c>
      <c r="L123">
        <v>7.4249371886253357E-2</v>
      </c>
      <c r="M123" t="s">
        <v>6</v>
      </c>
      <c r="N123" t="s">
        <v>5</v>
      </c>
      <c r="O123" t="s">
        <v>6</v>
      </c>
      <c r="P123" t="s">
        <v>5</v>
      </c>
      <c r="Q123" t="s">
        <v>5</v>
      </c>
      <c r="R123" t="s">
        <v>3898</v>
      </c>
      <c r="S123" t="s">
        <v>4055</v>
      </c>
      <c r="T123" t="s">
        <v>6</v>
      </c>
      <c r="U123" t="s">
        <v>85</v>
      </c>
      <c r="V123">
        <v>10000000</v>
      </c>
      <c r="W123">
        <v>500000</v>
      </c>
      <c r="X123" t="s">
        <v>6</v>
      </c>
      <c r="Y123"/>
      <c r="Z123">
        <v>0</v>
      </c>
      <c r="AA123">
        <v>7.4249371886253357E-2</v>
      </c>
      <c r="AB123">
        <v>0</v>
      </c>
      <c r="AC123">
        <v>0</v>
      </c>
      <c r="AD123">
        <v>97</v>
      </c>
      <c r="AE123">
        <v>0</v>
      </c>
      <c r="AF123">
        <v>81</v>
      </c>
      <c r="AG123">
        <v>363</v>
      </c>
      <c r="AH123">
        <v>377</v>
      </c>
      <c r="AI123">
        <v>377</v>
      </c>
      <c r="AJ123">
        <v>0</v>
      </c>
      <c r="AK123">
        <v>11</v>
      </c>
      <c r="AL123">
        <v>1</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t="s">
        <v>5</v>
      </c>
      <c r="BG123" t="s">
        <v>5</v>
      </c>
      <c r="BH123"/>
      <c r="BI123"/>
      <c r="BJ123" t="s">
        <v>5</v>
      </c>
      <c r="BK123"/>
      <c r="BL123">
        <v>0</v>
      </c>
      <c r="BM123">
        <v>0</v>
      </c>
      <c r="BN123" t="s">
        <v>5</v>
      </c>
      <c r="BO123"/>
      <c r="BP123"/>
      <c r="BQ123"/>
      <c r="BR123"/>
      <c r="BS123" t="s">
        <v>5</v>
      </c>
      <c r="BT123"/>
      <c r="BU123"/>
      <c r="BV123"/>
      <c r="BW123"/>
      <c r="BX123" t="s">
        <v>6</v>
      </c>
      <c r="BY123" t="s">
        <v>3850</v>
      </c>
      <c r="BZ123"/>
      <c r="CA123"/>
      <c r="CB123" t="s">
        <v>5</v>
      </c>
      <c r="CC123">
        <v>1901.4297553822489</v>
      </c>
      <c r="CD123">
        <v>192306.060734367</v>
      </c>
      <c r="CE123" s="319" t="s">
        <v>11891</v>
      </c>
    </row>
    <row r="124" spans="1:83" ht="15" x14ac:dyDescent="0.25">
      <c r="A124" t="s">
        <v>11920</v>
      </c>
      <c r="B124" t="s">
        <v>11921</v>
      </c>
      <c r="C124" t="s">
        <v>11922</v>
      </c>
      <c r="D124">
        <v>15</v>
      </c>
      <c r="E124" t="s">
        <v>3847</v>
      </c>
      <c r="F124" t="s">
        <v>3864</v>
      </c>
      <c r="G124" t="s">
        <v>11896</v>
      </c>
      <c r="H124" t="s">
        <v>11897</v>
      </c>
      <c r="I124" t="s">
        <v>11898</v>
      </c>
      <c r="J124" t="s">
        <v>11899</v>
      </c>
      <c r="K124" t="s">
        <v>11923</v>
      </c>
      <c r="L124">
        <v>807.23931884765625</v>
      </c>
      <c r="M124" t="s">
        <v>5</v>
      </c>
      <c r="N124" t="s">
        <v>5</v>
      </c>
      <c r="O124" t="s">
        <v>6</v>
      </c>
      <c r="P124" t="s">
        <v>5</v>
      </c>
      <c r="Q124" t="s">
        <v>5</v>
      </c>
      <c r="R124" t="s">
        <v>11573</v>
      </c>
      <c r="S124" t="s">
        <v>11901</v>
      </c>
      <c r="T124" t="s">
        <v>6</v>
      </c>
      <c r="U124" t="s">
        <v>85</v>
      </c>
      <c r="V124">
        <v>10000000</v>
      </c>
      <c r="W124">
        <v>500000</v>
      </c>
      <c r="X124" t="s">
        <v>6</v>
      </c>
      <c r="Y124"/>
      <c r="Z124">
        <v>0</v>
      </c>
      <c r="AA124">
        <v>374.6278076171875</v>
      </c>
      <c r="AB124">
        <v>557.8006591796875</v>
      </c>
      <c r="AC124">
        <v>2.348208904266357</v>
      </c>
      <c r="AD124">
        <v>75816</v>
      </c>
      <c r="AE124">
        <v>149258</v>
      </c>
      <c r="AF124">
        <v>61251</v>
      </c>
      <c r="AG124">
        <v>177730</v>
      </c>
      <c r="AH124">
        <v>244800</v>
      </c>
      <c r="AI124">
        <v>244800</v>
      </c>
      <c r="AJ124">
        <v>459</v>
      </c>
      <c r="AK124">
        <v>17</v>
      </c>
      <c r="AL124">
        <v>1840</v>
      </c>
      <c r="AM124">
        <v>5</v>
      </c>
      <c r="AN124">
        <v>334.99685668945313</v>
      </c>
      <c r="AO124"/>
      <c r="AP124"/>
      <c r="AQ124"/>
      <c r="AR124">
        <v>0</v>
      </c>
      <c r="AS124">
        <v>0</v>
      </c>
      <c r="AT124">
        <v>0</v>
      </c>
      <c r="AU124">
        <v>0</v>
      </c>
      <c r="AV124">
        <v>0</v>
      </c>
      <c r="AW124">
        <v>0</v>
      </c>
      <c r="AX124">
        <v>0</v>
      </c>
      <c r="AY124">
        <v>0</v>
      </c>
      <c r="AZ124">
        <v>0</v>
      </c>
      <c r="BA124">
        <v>0</v>
      </c>
      <c r="BB124">
        <v>0</v>
      </c>
      <c r="BC124">
        <v>0</v>
      </c>
      <c r="BD124">
        <v>0</v>
      </c>
      <c r="BE124">
        <v>0</v>
      </c>
      <c r="BF124" t="s">
        <v>5</v>
      </c>
      <c r="BG124" t="s">
        <v>5</v>
      </c>
      <c r="BH124"/>
      <c r="BI124"/>
      <c r="BJ124" t="s">
        <v>5</v>
      </c>
      <c r="BK124"/>
      <c r="BL124">
        <v>0</v>
      </c>
      <c r="BM124">
        <v>0</v>
      </c>
      <c r="BN124" t="s">
        <v>5</v>
      </c>
      <c r="BO124"/>
      <c r="BP124"/>
      <c r="BQ124"/>
      <c r="BR124"/>
      <c r="BS124" t="s">
        <v>5</v>
      </c>
      <c r="BT124"/>
      <c r="BU124"/>
      <c r="BV124"/>
      <c r="BW124"/>
      <c r="BX124" t="s">
        <v>6</v>
      </c>
      <c r="BY124" t="s">
        <v>4232</v>
      </c>
      <c r="BZ124"/>
      <c r="CA124"/>
      <c r="CB124" t="s">
        <v>5</v>
      </c>
      <c r="CC124">
        <v>288949.96145606658</v>
      </c>
      <c r="CD124">
        <v>4616947534.7312641</v>
      </c>
      <c r="CE124" s="313" t="s">
        <v>11902</v>
      </c>
    </row>
    <row r="125" spans="1:83" ht="15" x14ac:dyDescent="0.25">
      <c r="A125" t="s">
        <v>11934</v>
      </c>
      <c r="B125" t="s">
        <v>11935</v>
      </c>
      <c r="C125" t="s">
        <v>11936</v>
      </c>
      <c r="D125">
        <v>15</v>
      </c>
      <c r="E125" t="s">
        <v>3847</v>
      </c>
      <c r="F125" t="s">
        <v>3864</v>
      </c>
      <c r="G125" t="s">
        <v>11896</v>
      </c>
      <c r="H125" t="s">
        <v>11897</v>
      </c>
      <c r="I125" t="s">
        <v>11898</v>
      </c>
      <c r="J125" t="s">
        <v>11899</v>
      </c>
      <c r="K125" t="s">
        <v>11909</v>
      </c>
      <c r="L125">
        <v>807.23931884765625</v>
      </c>
      <c r="M125" t="s">
        <v>5</v>
      </c>
      <c r="N125" t="s">
        <v>5</v>
      </c>
      <c r="O125" t="s">
        <v>6</v>
      </c>
      <c r="P125" t="s">
        <v>5</v>
      </c>
      <c r="Q125" t="s">
        <v>5</v>
      </c>
      <c r="R125" t="s">
        <v>11573</v>
      </c>
      <c r="S125" t="s">
        <v>11901</v>
      </c>
      <c r="T125" t="s">
        <v>6</v>
      </c>
      <c r="U125" t="s">
        <v>13</v>
      </c>
      <c r="V125">
        <v>500000</v>
      </c>
      <c r="W125">
        <v>500000</v>
      </c>
      <c r="X125" t="s">
        <v>6</v>
      </c>
      <c r="Y125"/>
      <c r="Z125">
        <v>0</v>
      </c>
      <c r="AA125">
        <v>374.6278076171875</v>
      </c>
      <c r="AB125">
        <v>557.8006591796875</v>
      </c>
      <c r="AC125">
        <v>2.348208904266357</v>
      </c>
      <c r="AD125">
        <v>75816</v>
      </c>
      <c r="AE125">
        <v>149258</v>
      </c>
      <c r="AF125">
        <v>61251</v>
      </c>
      <c r="AG125">
        <v>177730</v>
      </c>
      <c r="AH125">
        <v>244800</v>
      </c>
      <c r="AI125">
        <v>244800</v>
      </c>
      <c r="AJ125">
        <v>459</v>
      </c>
      <c r="AK125">
        <v>17</v>
      </c>
      <c r="AL125">
        <v>1840</v>
      </c>
      <c r="AM125">
        <v>5</v>
      </c>
      <c r="AN125">
        <v>334.99685668945313</v>
      </c>
      <c r="AO125"/>
      <c r="AP125"/>
      <c r="AQ125"/>
      <c r="AR125">
        <v>0</v>
      </c>
      <c r="AS125">
        <v>0</v>
      </c>
      <c r="AT125">
        <v>0</v>
      </c>
      <c r="AU125">
        <v>0</v>
      </c>
      <c r="AV125">
        <v>0</v>
      </c>
      <c r="AW125">
        <v>0</v>
      </c>
      <c r="AX125">
        <v>0</v>
      </c>
      <c r="AY125">
        <v>0</v>
      </c>
      <c r="AZ125">
        <v>0</v>
      </c>
      <c r="BA125">
        <v>0</v>
      </c>
      <c r="BB125">
        <v>0</v>
      </c>
      <c r="BC125">
        <v>0</v>
      </c>
      <c r="BD125">
        <v>0</v>
      </c>
      <c r="BE125">
        <v>0</v>
      </c>
      <c r="BF125" t="s">
        <v>5</v>
      </c>
      <c r="BG125" t="s">
        <v>5</v>
      </c>
      <c r="BH125"/>
      <c r="BI125"/>
      <c r="BJ125" t="s">
        <v>5</v>
      </c>
      <c r="BK125"/>
      <c r="BL125">
        <v>0</v>
      </c>
      <c r="BM125">
        <v>0</v>
      </c>
      <c r="BN125" t="s">
        <v>5</v>
      </c>
      <c r="BO125"/>
      <c r="BP125"/>
      <c r="BQ125"/>
      <c r="BR125"/>
      <c r="BS125" t="s">
        <v>5</v>
      </c>
      <c r="BT125"/>
      <c r="BU125"/>
      <c r="BV125"/>
      <c r="BW125"/>
      <c r="BX125" t="s">
        <v>6</v>
      </c>
      <c r="BY125" t="s">
        <v>4232</v>
      </c>
      <c r="BZ125"/>
      <c r="CA125"/>
      <c r="CB125" t="s">
        <v>5</v>
      </c>
      <c r="CC125">
        <v>288949.96145606658</v>
      </c>
      <c r="CD125">
        <v>4616947534.7312641</v>
      </c>
      <c r="CE125" s="313" t="s">
        <v>11902</v>
      </c>
    </row>
    <row r="126" spans="1:83" ht="15" x14ac:dyDescent="0.25">
      <c r="A126" t="s">
        <v>11947</v>
      </c>
      <c r="B126" t="s">
        <v>11948</v>
      </c>
      <c r="C126" t="s">
        <v>11949</v>
      </c>
      <c r="D126">
        <v>15</v>
      </c>
      <c r="E126" t="s">
        <v>3847</v>
      </c>
      <c r="F126" t="s">
        <v>3864</v>
      </c>
      <c r="G126" t="s">
        <v>11896</v>
      </c>
      <c r="H126" t="s">
        <v>11950</v>
      </c>
      <c r="I126" t="s">
        <v>11951</v>
      </c>
      <c r="J126" t="s">
        <v>11952</v>
      </c>
      <c r="K126" t="s">
        <v>3902</v>
      </c>
      <c r="L126">
        <v>52.361049652099609</v>
      </c>
      <c r="M126" t="s">
        <v>5</v>
      </c>
      <c r="N126" t="s">
        <v>5</v>
      </c>
      <c r="O126" t="s">
        <v>6</v>
      </c>
      <c r="P126" t="s">
        <v>5</v>
      </c>
      <c r="Q126" t="s">
        <v>5</v>
      </c>
      <c r="R126" t="s">
        <v>3865</v>
      </c>
      <c r="S126" t="s">
        <v>11953</v>
      </c>
      <c r="T126" t="s">
        <v>6</v>
      </c>
      <c r="U126" t="s">
        <v>50</v>
      </c>
      <c r="V126">
        <v>500000</v>
      </c>
      <c r="W126">
        <v>500000</v>
      </c>
      <c r="X126" t="s">
        <v>6</v>
      </c>
      <c r="Y126"/>
      <c r="Z126">
        <v>0</v>
      </c>
      <c r="AA126">
        <v>2.8844244480133061</v>
      </c>
      <c r="AB126">
        <v>3.4265000820159912</v>
      </c>
      <c r="AC126">
        <v>7.9712904989719391E-3</v>
      </c>
      <c r="AD126">
        <v>104</v>
      </c>
      <c r="AE126">
        <v>160</v>
      </c>
      <c r="AF126">
        <v>86</v>
      </c>
      <c r="AG126">
        <v>83</v>
      </c>
      <c r="AH126">
        <v>242</v>
      </c>
      <c r="AI126">
        <v>242</v>
      </c>
      <c r="AJ126">
        <v>11</v>
      </c>
      <c r="AK126">
        <v>0</v>
      </c>
      <c r="AL126">
        <v>5</v>
      </c>
      <c r="AM126">
        <v>0</v>
      </c>
      <c r="AN126">
        <v>1.211001515388489</v>
      </c>
      <c r="AO126"/>
      <c r="AP126"/>
      <c r="AQ126"/>
      <c r="AR126">
        <v>0</v>
      </c>
      <c r="AS126">
        <v>0</v>
      </c>
      <c r="AT126">
        <v>0</v>
      </c>
      <c r="AU126">
        <v>0</v>
      </c>
      <c r="AV126">
        <v>0</v>
      </c>
      <c r="AW126">
        <v>0</v>
      </c>
      <c r="AX126">
        <v>0</v>
      </c>
      <c r="AY126">
        <v>0</v>
      </c>
      <c r="AZ126">
        <v>0</v>
      </c>
      <c r="BA126">
        <v>0</v>
      </c>
      <c r="BB126">
        <v>0</v>
      </c>
      <c r="BC126">
        <v>0</v>
      </c>
      <c r="BD126">
        <v>0</v>
      </c>
      <c r="BE126">
        <v>0</v>
      </c>
      <c r="BF126" t="s">
        <v>5</v>
      </c>
      <c r="BG126" t="s">
        <v>5</v>
      </c>
      <c r="BH126"/>
      <c r="BI126"/>
      <c r="BJ126" t="s">
        <v>5</v>
      </c>
      <c r="BK126"/>
      <c r="BL126">
        <v>0</v>
      </c>
      <c r="BM126">
        <v>0</v>
      </c>
      <c r="BN126" t="s">
        <v>5</v>
      </c>
      <c r="BO126"/>
      <c r="BP126"/>
      <c r="BQ126"/>
      <c r="BR126"/>
      <c r="BS126" t="s">
        <v>5</v>
      </c>
      <c r="BT126"/>
      <c r="BU126"/>
      <c r="BV126"/>
      <c r="BW126"/>
      <c r="BX126" t="s">
        <v>6</v>
      </c>
      <c r="BY126" t="s">
        <v>4232</v>
      </c>
      <c r="BZ126"/>
      <c r="CA126"/>
      <c r="CB126" t="s">
        <v>5</v>
      </c>
      <c r="CC126">
        <v>288949.96145606658</v>
      </c>
      <c r="CD126">
        <v>4616947534.7312641</v>
      </c>
      <c r="CE126" s="313" t="s">
        <v>11902</v>
      </c>
    </row>
    <row r="127" spans="1:83" ht="15" x14ac:dyDescent="0.25">
      <c r="A127" t="s">
        <v>11962</v>
      </c>
      <c r="B127" t="s">
        <v>11963</v>
      </c>
      <c r="C127" t="s">
        <v>11949</v>
      </c>
      <c r="D127">
        <v>15</v>
      </c>
      <c r="E127" t="s">
        <v>3847</v>
      </c>
      <c r="F127" t="s">
        <v>3848</v>
      </c>
      <c r="G127" t="s">
        <v>3849</v>
      </c>
      <c r="H127" t="s">
        <v>11964</v>
      </c>
      <c r="I127" t="s">
        <v>11965</v>
      </c>
      <c r="J127" t="s">
        <v>11966</v>
      </c>
      <c r="K127" t="s">
        <v>3902</v>
      </c>
      <c r="L127">
        <v>2.7816438674926758</v>
      </c>
      <c r="M127" t="s">
        <v>5</v>
      </c>
      <c r="N127" t="s">
        <v>5</v>
      </c>
      <c r="O127" t="s">
        <v>6</v>
      </c>
      <c r="P127" t="s">
        <v>5</v>
      </c>
      <c r="Q127" t="s">
        <v>5</v>
      </c>
      <c r="R127" t="s">
        <v>4220</v>
      </c>
      <c r="S127" t="s">
        <v>11967</v>
      </c>
      <c r="T127" t="s">
        <v>6</v>
      </c>
      <c r="U127" t="s">
        <v>50</v>
      </c>
      <c r="V127">
        <v>500000</v>
      </c>
      <c r="W127">
        <v>500000</v>
      </c>
      <c r="X127" t="s">
        <v>6</v>
      </c>
      <c r="Y127"/>
      <c r="Z127">
        <v>0</v>
      </c>
      <c r="AA127">
        <v>6.9426999092102051</v>
      </c>
      <c r="AB127">
        <v>10.893556594848629</v>
      </c>
      <c r="AC127">
        <v>0</v>
      </c>
      <c r="AD127">
        <v>2409</v>
      </c>
      <c r="AE127">
        <v>4779</v>
      </c>
      <c r="AF127">
        <v>2009</v>
      </c>
      <c r="AG127">
        <v>5122</v>
      </c>
      <c r="AH127">
        <v>6785</v>
      </c>
      <c r="AI127">
        <v>6785</v>
      </c>
      <c r="AJ127">
        <v>26</v>
      </c>
      <c r="AK127">
        <v>0</v>
      </c>
      <c r="AL127">
        <v>67</v>
      </c>
      <c r="AM127">
        <v>117</v>
      </c>
      <c r="AN127">
        <v>4.9721565246582031</v>
      </c>
      <c r="AO127"/>
      <c r="AP127"/>
      <c r="AQ127"/>
      <c r="AR127">
        <v>0</v>
      </c>
      <c r="AS127">
        <v>0</v>
      </c>
      <c r="AT127">
        <v>0</v>
      </c>
      <c r="AU127">
        <v>0</v>
      </c>
      <c r="AV127">
        <v>0</v>
      </c>
      <c r="AW127">
        <v>0</v>
      </c>
      <c r="AX127">
        <v>0</v>
      </c>
      <c r="AY127">
        <v>0</v>
      </c>
      <c r="AZ127">
        <v>0</v>
      </c>
      <c r="BA127">
        <v>0</v>
      </c>
      <c r="BB127">
        <v>0</v>
      </c>
      <c r="BC127">
        <v>0</v>
      </c>
      <c r="BD127">
        <v>0</v>
      </c>
      <c r="BE127">
        <v>0</v>
      </c>
      <c r="BF127" t="s">
        <v>5</v>
      </c>
      <c r="BG127" t="s">
        <v>5</v>
      </c>
      <c r="BH127"/>
      <c r="BI127"/>
      <c r="BJ127" t="s">
        <v>5</v>
      </c>
      <c r="BK127"/>
      <c r="BL127">
        <v>0</v>
      </c>
      <c r="BM127">
        <v>0</v>
      </c>
      <c r="BN127" t="s">
        <v>5</v>
      </c>
      <c r="BO127"/>
      <c r="BP127"/>
      <c r="BQ127"/>
      <c r="BR127"/>
      <c r="BS127" t="s">
        <v>5</v>
      </c>
      <c r="BT127"/>
      <c r="BU127"/>
      <c r="BV127"/>
      <c r="BW127"/>
      <c r="BX127" t="s">
        <v>6</v>
      </c>
      <c r="BY127" t="s">
        <v>4232</v>
      </c>
      <c r="BZ127"/>
      <c r="CA127"/>
      <c r="CB127" t="s">
        <v>5</v>
      </c>
      <c r="CC127">
        <v>288949.96145606658</v>
      </c>
      <c r="CD127">
        <v>4616947534.7312641</v>
      </c>
      <c r="CE127" s="313" t="s">
        <v>11902</v>
      </c>
    </row>
    <row r="128" spans="1:83" ht="15" x14ac:dyDescent="0.25">
      <c r="A128" t="s">
        <v>11968</v>
      </c>
      <c r="B128" t="s">
        <v>11969</v>
      </c>
      <c r="C128" t="s">
        <v>11949</v>
      </c>
      <c r="D128">
        <v>15</v>
      </c>
      <c r="E128" t="s">
        <v>3847</v>
      </c>
      <c r="F128" t="s">
        <v>3864</v>
      </c>
      <c r="G128" t="s">
        <v>3849</v>
      </c>
      <c r="H128" t="s">
        <v>11970</v>
      </c>
      <c r="I128" t="s">
        <v>4152</v>
      </c>
      <c r="J128" t="s">
        <v>11971</v>
      </c>
      <c r="K128" t="s">
        <v>3902</v>
      </c>
      <c r="L128">
        <v>14.454832077026371</v>
      </c>
      <c r="M128" t="s">
        <v>5</v>
      </c>
      <c r="N128" t="s">
        <v>5</v>
      </c>
      <c r="O128" t="s">
        <v>6</v>
      </c>
      <c r="P128" t="s">
        <v>5</v>
      </c>
      <c r="Q128" t="s">
        <v>5</v>
      </c>
      <c r="R128" t="s">
        <v>3897</v>
      </c>
      <c r="S128" t="s">
        <v>4189</v>
      </c>
      <c r="T128" t="s">
        <v>6</v>
      </c>
      <c r="U128" t="s">
        <v>50</v>
      </c>
      <c r="V128">
        <v>500000</v>
      </c>
      <c r="W128">
        <v>500000</v>
      </c>
      <c r="X128" t="s">
        <v>6</v>
      </c>
      <c r="Y128"/>
      <c r="Z128">
        <v>0</v>
      </c>
      <c r="AA128">
        <v>6.9798312187194824</v>
      </c>
      <c r="AB128">
        <v>10.80329513549805</v>
      </c>
      <c r="AC128">
        <v>7.3867081664502621E-3</v>
      </c>
      <c r="AD128">
        <v>4532</v>
      </c>
      <c r="AE128">
        <v>7717</v>
      </c>
      <c r="AF128">
        <v>3444</v>
      </c>
      <c r="AG128">
        <v>12194</v>
      </c>
      <c r="AH128">
        <v>11354</v>
      </c>
      <c r="AI128">
        <v>12194</v>
      </c>
      <c r="AJ128">
        <v>37</v>
      </c>
      <c r="AK128">
        <v>0</v>
      </c>
      <c r="AL128">
        <v>104</v>
      </c>
      <c r="AM128">
        <v>0</v>
      </c>
      <c r="AN128">
        <v>2.8594152927398682</v>
      </c>
      <c r="AO128"/>
      <c r="AP128"/>
      <c r="AQ128"/>
      <c r="AR128">
        <v>0</v>
      </c>
      <c r="AS128">
        <v>0</v>
      </c>
      <c r="AT128">
        <v>0</v>
      </c>
      <c r="AU128">
        <v>0</v>
      </c>
      <c r="AV128">
        <v>0</v>
      </c>
      <c r="AW128">
        <v>0</v>
      </c>
      <c r="AX128">
        <v>0</v>
      </c>
      <c r="AY128">
        <v>0</v>
      </c>
      <c r="AZ128">
        <v>0</v>
      </c>
      <c r="BA128">
        <v>0</v>
      </c>
      <c r="BB128">
        <v>0</v>
      </c>
      <c r="BC128">
        <v>0</v>
      </c>
      <c r="BD128">
        <v>0</v>
      </c>
      <c r="BE128">
        <v>0</v>
      </c>
      <c r="BF128" t="s">
        <v>5</v>
      </c>
      <c r="BG128" t="s">
        <v>5</v>
      </c>
      <c r="BH128"/>
      <c r="BI128"/>
      <c r="BJ128" t="s">
        <v>5</v>
      </c>
      <c r="BK128"/>
      <c r="BL128">
        <v>0</v>
      </c>
      <c r="BM128">
        <v>0</v>
      </c>
      <c r="BN128" t="s">
        <v>5</v>
      </c>
      <c r="BO128"/>
      <c r="BP128"/>
      <c r="BQ128"/>
      <c r="BR128"/>
      <c r="BS128" t="s">
        <v>5</v>
      </c>
      <c r="BT128"/>
      <c r="BU128"/>
      <c r="BV128"/>
      <c r="BW128"/>
      <c r="BX128" t="s">
        <v>6</v>
      </c>
      <c r="BY128" t="s">
        <v>4232</v>
      </c>
      <c r="BZ128"/>
      <c r="CA128"/>
      <c r="CB128" t="s">
        <v>5</v>
      </c>
      <c r="CC128">
        <v>288949.96145606658</v>
      </c>
      <c r="CD128">
        <v>4616947534.7312641</v>
      </c>
      <c r="CE128" s="313" t="s">
        <v>11902</v>
      </c>
    </row>
    <row r="129" spans="1:83" ht="15" x14ac:dyDescent="0.25">
      <c r="A129" t="s">
        <v>11972</v>
      </c>
      <c r="B129" t="s">
        <v>11973</v>
      </c>
      <c r="C129" t="s">
        <v>11949</v>
      </c>
      <c r="D129">
        <v>15</v>
      </c>
      <c r="E129" t="s">
        <v>3847</v>
      </c>
      <c r="F129" t="s">
        <v>3848</v>
      </c>
      <c r="G129" t="s">
        <v>3849</v>
      </c>
      <c r="H129" t="s">
        <v>4143</v>
      </c>
      <c r="I129" t="s">
        <v>4144</v>
      </c>
      <c r="J129" t="s">
        <v>11974</v>
      </c>
      <c r="K129" t="s">
        <v>3902</v>
      </c>
      <c r="L129">
        <v>4.1606025695800781</v>
      </c>
      <c r="M129" t="s">
        <v>5</v>
      </c>
      <c r="N129" t="s">
        <v>5</v>
      </c>
      <c r="O129" t="s">
        <v>6</v>
      </c>
      <c r="P129" t="s">
        <v>5</v>
      </c>
      <c r="Q129" t="s">
        <v>5</v>
      </c>
      <c r="R129" t="s">
        <v>4244</v>
      </c>
      <c r="S129" t="s">
        <v>11975</v>
      </c>
      <c r="T129" t="s">
        <v>6</v>
      </c>
      <c r="U129" t="s">
        <v>50</v>
      </c>
      <c r="V129">
        <v>500000</v>
      </c>
      <c r="W129">
        <v>500000</v>
      </c>
      <c r="X129" t="s">
        <v>6</v>
      </c>
      <c r="Y129"/>
      <c r="Z129">
        <v>0</v>
      </c>
      <c r="AA129">
        <v>1.207760691642761</v>
      </c>
      <c r="AB129">
        <v>2.924124956130981</v>
      </c>
      <c r="AC129">
        <v>0</v>
      </c>
      <c r="AD129">
        <v>489</v>
      </c>
      <c r="AE129">
        <v>1495</v>
      </c>
      <c r="AF129">
        <v>418</v>
      </c>
      <c r="AG129">
        <v>1640</v>
      </c>
      <c r="AH129">
        <v>1382</v>
      </c>
      <c r="AI129">
        <v>1640</v>
      </c>
      <c r="AJ129">
        <v>14</v>
      </c>
      <c r="AK129">
        <v>0</v>
      </c>
      <c r="AL129">
        <v>15</v>
      </c>
      <c r="AM129">
        <v>7</v>
      </c>
      <c r="AN129">
        <v>0.88514906167984009</v>
      </c>
      <c r="AO129"/>
      <c r="AP129"/>
      <c r="AQ129"/>
      <c r="AR129">
        <v>0</v>
      </c>
      <c r="AS129">
        <v>0</v>
      </c>
      <c r="AT129">
        <v>0</v>
      </c>
      <c r="AU129">
        <v>0</v>
      </c>
      <c r="AV129">
        <v>0</v>
      </c>
      <c r="AW129">
        <v>0</v>
      </c>
      <c r="AX129">
        <v>0</v>
      </c>
      <c r="AY129">
        <v>0</v>
      </c>
      <c r="AZ129">
        <v>0</v>
      </c>
      <c r="BA129">
        <v>0</v>
      </c>
      <c r="BB129">
        <v>0</v>
      </c>
      <c r="BC129">
        <v>0</v>
      </c>
      <c r="BD129">
        <v>0</v>
      </c>
      <c r="BE129">
        <v>0</v>
      </c>
      <c r="BF129" t="s">
        <v>5</v>
      </c>
      <c r="BG129" t="s">
        <v>5</v>
      </c>
      <c r="BH129"/>
      <c r="BI129"/>
      <c r="BJ129" t="s">
        <v>5</v>
      </c>
      <c r="BK129"/>
      <c r="BL129">
        <v>0</v>
      </c>
      <c r="BM129">
        <v>0</v>
      </c>
      <c r="BN129" t="s">
        <v>5</v>
      </c>
      <c r="BO129"/>
      <c r="BP129"/>
      <c r="BQ129"/>
      <c r="BR129"/>
      <c r="BS129" t="s">
        <v>5</v>
      </c>
      <c r="BT129"/>
      <c r="BU129"/>
      <c r="BV129"/>
      <c r="BW129"/>
      <c r="BX129" t="s">
        <v>6</v>
      </c>
      <c r="BY129" t="s">
        <v>4232</v>
      </c>
      <c r="BZ129"/>
      <c r="CA129"/>
      <c r="CB129" t="s">
        <v>5</v>
      </c>
      <c r="CC129">
        <v>288949.96145606658</v>
      </c>
      <c r="CD129">
        <v>4616947534.7312641</v>
      </c>
      <c r="CE129" s="313" t="s">
        <v>11902</v>
      </c>
    </row>
    <row r="130" spans="1:83" ht="15" x14ac:dyDescent="0.25">
      <c r="A130" t="s">
        <v>11976</v>
      </c>
      <c r="B130" t="s">
        <v>11977</v>
      </c>
      <c r="C130" t="s">
        <v>11949</v>
      </c>
      <c r="D130">
        <v>15</v>
      </c>
      <c r="E130" t="s">
        <v>3847</v>
      </c>
      <c r="F130" t="s">
        <v>3848</v>
      </c>
      <c r="G130" t="s">
        <v>3849</v>
      </c>
      <c r="H130" t="s">
        <v>4143</v>
      </c>
      <c r="I130" t="s">
        <v>4144</v>
      </c>
      <c r="J130" t="s">
        <v>11974</v>
      </c>
      <c r="K130" t="s">
        <v>3902</v>
      </c>
      <c r="L130">
        <v>7.5344929695129386</v>
      </c>
      <c r="M130" t="s">
        <v>5</v>
      </c>
      <c r="N130" t="s">
        <v>5</v>
      </c>
      <c r="O130" t="s">
        <v>6</v>
      </c>
      <c r="P130" t="s">
        <v>5</v>
      </c>
      <c r="Q130" t="s">
        <v>5</v>
      </c>
      <c r="R130" t="s">
        <v>4123</v>
      </c>
      <c r="S130" t="s">
        <v>11978</v>
      </c>
      <c r="T130" t="s">
        <v>6</v>
      </c>
      <c r="U130" t="s">
        <v>50</v>
      </c>
      <c r="V130">
        <v>500000</v>
      </c>
      <c r="W130">
        <v>500000</v>
      </c>
      <c r="X130" t="s">
        <v>6</v>
      </c>
      <c r="Y130"/>
      <c r="Z130">
        <v>0</v>
      </c>
      <c r="AA130">
        <v>53.943382263183587</v>
      </c>
      <c r="AB130">
        <v>112.186767578125</v>
      </c>
      <c r="AC130">
        <v>4.5654568821191788E-3</v>
      </c>
      <c r="AD130">
        <v>5622</v>
      </c>
      <c r="AE130">
        <v>24718</v>
      </c>
      <c r="AF130">
        <v>4982</v>
      </c>
      <c r="AG130">
        <v>13543</v>
      </c>
      <c r="AH130">
        <v>17771</v>
      </c>
      <c r="AI130">
        <v>17771</v>
      </c>
      <c r="AJ130">
        <v>60</v>
      </c>
      <c r="AK130">
        <v>0</v>
      </c>
      <c r="AL130">
        <v>224</v>
      </c>
      <c r="AM130">
        <v>480</v>
      </c>
      <c r="AN130">
        <v>29.278520584106449</v>
      </c>
      <c r="AO130"/>
      <c r="AP130"/>
      <c r="AQ130"/>
      <c r="AR130">
        <v>0</v>
      </c>
      <c r="AS130">
        <v>0</v>
      </c>
      <c r="AT130">
        <v>0</v>
      </c>
      <c r="AU130">
        <v>0</v>
      </c>
      <c r="AV130">
        <v>0</v>
      </c>
      <c r="AW130">
        <v>0</v>
      </c>
      <c r="AX130">
        <v>0</v>
      </c>
      <c r="AY130">
        <v>0</v>
      </c>
      <c r="AZ130">
        <v>0</v>
      </c>
      <c r="BA130">
        <v>0</v>
      </c>
      <c r="BB130">
        <v>0</v>
      </c>
      <c r="BC130">
        <v>0</v>
      </c>
      <c r="BD130">
        <v>0</v>
      </c>
      <c r="BE130">
        <v>0</v>
      </c>
      <c r="BF130" t="s">
        <v>5</v>
      </c>
      <c r="BG130" t="s">
        <v>5</v>
      </c>
      <c r="BH130"/>
      <c r="BI130"/>
      <c r="BJ130" t="s">
        <v>5</v>
      </c>
      <c r="BK130"/>
      <c r="BL130">
        <v>0</v>
      </c>
      <c r="BM130">
        <v>0</v>
      </c>
      <c r="BN130" t="s">
        <v>5</v>
      </c>
      <c r="BO130"/>
      <c r="BP130"/>
      <c r="BQ130"/>
      <c r="BR130"/>
      <c r="BS130" t="s">
        <v>5</v>
      </c>
      <c r="BT130"/>
      <c r="BU130"/>
      <c r="BV130"/>
      <c r="BW130"/>
      <c r="BX130" t="s">
        <v>6</v>
      </c>
      <c r="BY130" t="s">
        <v>4232</v>
      </c>
      <c r="BZ130"/>
      <c r="CA130"/>
      <c r="CB130" t="s">
        <v>5</v>
      </c>
      <c r="CC130">
        <v>288949.96145606658</v>
      </c>
      <c r="CD130">
        <v>4616947534.7312641</v>
      </c>
      <c r="CE130" s="313" t="s">
        <v>11902</v>
      </c>
    </row>
    <row r="131" spans="1:83" ht="15" x14ac:dyDescent="0.25">
      <c r="A131" t="s">
        <v>12004</v>
      </c>
      <c r="B131" t="s">
        <v>12005</v>
      </c>
      <c r="C131" t="s">
        <v>11949</v>
      </c>
      <c r="D131">
        <v>15</v>
      </c>
      <c r="E131" t="s">
        <v>3847</v>
      </c>
      <c r="F131" t="s">
        <v>4087</v>
      </c>
      <c r="G131" t="s">
        <v>12006</v>
      </c>
      <c r="H131" t="s">
        <v>12007</v>
      </c>
      <c r="I131" t="s">
        <v>12008</v>
      </c>
      <c r="J131" t="s">
        <v>12009</v>
      </c>
      <c r="K131" t="s">
        <v>3902</v>
      </c>
      <c r="L131">
        <v>36.430294036865227</v>
      </c>
      <c r="M131" t="s">
        <v>5</v>
      </c>
      <c r="N131" t="s">
        <v>5</v>
      </c>
      <c r="O131" t="s">
        <v>6</v>
      </c>
      <c r="P131" t="s">
        <v>5</v>
      </c>
      <c r="Q131" t="s">
        <v>5</v>
      </c>
      <c r="R131" t="s">
        <v>11441</v>
      </c>
      <c r="S131" t="s">
        <v>12010</v>
      </c>
      <c r="T131" t="s">
        <v>6</v>
      </c>
      <c r="U131" t="s">
        <v>50</v>
      </c>
      <c r="V131">
        <v>500000</v>
      </c>
      <c r="W131">
        <v>500000</v>
      </c>
      <c r="X131" t="s">
        <v>6</v>
      </c>
      <c r="Y131"/>
      <c r="Z131">
        <v>0</v>
      </c>
      <c r="AA131">
        <v>307.94406127929688</v>
      </c>
      <c r="AB131">
        <v>477.41183471679688</v>
      </c>
      <c r="AC131">
        <v>0</v>
      </c>
      <c r="AD131">
        <v>4777</v>
      </c>
      <c r="AE131">
        <v>6796</v>
      </c>
      <c r="AF131">
        <v>3569</v>
      </c>
      <c r="AG131">
        <v>9505</v>
      </c>
      <c r="AH131">
        <v>11895</v>
      </c>
      <c r="AI131">
        <v>11895</v>
      </c>
      <c r="AJ131">
        <v>24</v>
      </c>
      <c r="AK131">
        <v>0</v>
      </c>
      <c r="AL131">
        <v>273</v>
      </c>
      <c r="AM131">
        <v>781</v>
      </c>
      <c r="AN131">
        <v>258.932373046875</v>
      </c>
      <c r="AO131"/>
      <c r="AP131"/>
      <c r="AQ131"/>
      <c r="AR131">
        <v>0</v>
      </c>
      <c r="AS131">
        <v>0</v>
      </c>
      <c r="AT131">
        <v>0</v>
      </c>
      <c r="AU131">
        <v>0</v>
      </c>
      <c r="AV131">
        <v>0</v>
      </c>
      <c r="AW131">
        <v>0</v>
      </c>
      <c r="AX131">
        <v>0</v>
      </c>
      <c r="AY131">
        <v>0</v>
      </c>
      <c r="AZ131">
        <v>0</v>
      </c>
      <c r="BA131">
        <v>0</v>
      </c>
      <c r="BB131">
        <v>0</v>
      </c>
      <c r="BC131">
        <v>0</v>
      </c>
      <c r="BD131">
        <v>0</v>
      </c>
      <c r="BE131">
        <v>0</v>
      </c>
      <c r="BF131" t="s">
        <v>5</v>
      </c>
      <c r="BG131" t="s">
        <v>5</v>
      </c>
      <c r="BH131"/>
      <c r="BI131"/>
      <c r="BJ131" t="s">
        <v>5</v>
      </c>
      <c r="BK131"/>
      <c r="BL131">
        <v>0</v>
      </c>
      <c r="BM131">
        <v>0</v>
      </c>
      <c r="BN131" t="s">
        <v>5</v>
      </c>
      <c r="BO131"/>
      <c r="BP131"/>
      <c r="BQ131"/>
      <c r="BR131"/>
      <c r="BS131" t="s">
        <v>5</v>
      </c>
      <c r="BT131"/>
      <c r="BU131"/>
      <c r="BV131"/>
      <c r="BW131"/>
      <c r="BX131" t="s">
        <v>6</v>
      </c>
      <c r="BY131" t="s">
        <v>4232</v>
      </c>
      <c r="BZ131"/>
      <c r="CA131"/>
      <c r="CB131" t="s">
        <v>5</v>
      </c>
      <c r="CC131">
        <v>288949.96145606658</v>
      </c>
      <c r="CD131">
        <v>4616947534.7312641</v>
      </c>
      <c r="CE131" s="313" t="s">
        <v>11902</v>
      </c>
    </row>
    <row r="132" spans="1:83" ht="15" x14ac:dyDescent="0.25">
      <c r="A132" t="s">
        <v>12011</v>
      </c>
      <c r="B132" t="s">
        <v>12012</v>
      </c>
      <c r="C132" t="s">
        <v>11949</v>
      </c>
      <c r="D132">
        <v>15</v>
      </c>
      <c r="E132" t="s">
        <v>3847</v>
      </c>
      <c r="F132" t="s">
        <v>3864</v>
      </c>
      <c r="G132" t="s">
        <v>3849</v>
      </c>
      <c r="H132" t="s">
        <v>4166</v>
      </c>
      <c r="I132" t="s">
        <v>12013</v>
      </c>
      <c r="J132" t="s">
        <v>12014</v>
      </c>
      <c r="K132" t="s">
        <v>3902</v>
      </c>
      <c r="L132">
        <v>12.048257827758791</v>
      </c>
      <c r="M132" t="s">
        <v>5</v>
      </c>
      <c r="N132" t="s">
        <v>5</v>
      </c>
      <c r="O132" t="s">
        <v>6</v>
      </c>
      <c r="P132" t="s">
        <v>5</v>
      </c>
      <c r="Q132" t="s">
        <v>5</v>
      </c>
      <c r="R132" t="s">
        <v>4168</v>
      </c>
      <c r="S132" t="s">
        <v>4169</v>
      </c>
      <c r="T132" t="s">
        <v>6</v>
      </c>
      <c r="U132" t="s">
        <v>50</v>
      </c>
      <c r="V132">
        <v>500000</v>
      </c>
      <c r="W132">
        <v>500000</v>
      </c>
      <c r="X132" t="s">
        <v>6</v>
      </c>
      <c r="Y132"/>
      <c r="Z132">
        <v>0</v>
      </c>
      <c r="AA132">
        <v>24.32402420043945</v>
      </c>
      <c r="AB132">
        <v>29.706722259521481</v>
      </c>
      <c r="AC132">
        <v>1.915774337248877E-4</v>
      </c>
      <c r="AD132">
        <v>11174</v>
      </c>
      <c r="AE132">
        <v>15650</v>
      </c>
      <c r="AF132">
        <v>9608</v>
      </c>
      <c r="AG132">
        <v>47171</v>
      </c>
      <c r="AH132">
        <v>41457</v>
      </c>
      <c r="AI132">
        <v>47171</v>
      </c>
      <c r="AJ132">
        <v>76</v>
      </c>
      <c r="AK132">
        <v>2</v>
      </c>
      <c r="AL132">
        <v>253</v>
      </c>
      <c r="AM132">
        <v>0</v>
      </c>
      <c r="AN132">
        <v>9.3521347045898438</v>
      </c>
      <c r="AO132"/>
      <c r="AP132"/>
      <c r="AQ132"/>
      <c r="AR132">
        <v>0</v>
      </c>
      <c r="AS132">
        <v>0</v>
      </c>
      <c r="AT132">
        <v>0</v>
      </c>
      <c r="AU132">
        <v>0</v>
      </c>
      <c r="AV132">
        <v>0</v>
      </c>
      <c r="AW132">
        <v>0</v>
      </c>
      <c r="AX132">
        <v>0</v>
      </c>
      <c r="AY132">
        <v>0</v>
      </c>
      <c r="AZ132">
        <v>0</v>
      </c>
      <c r="BA132">
        <v>0</v>
      </c>
      <c r="BB132">
        <v>0</v>
      </c>
      <c r="BC132">
        <v>0</v>
      </c>
      <c r="BD132">
        <v>0</v>
      </c>
      <c r="BE132">
        <v>0</v>
      </c>
      <c r="BF132" t="s">
        <v>5</v>
      </c>
      <c r="BG132" t="s">
        <v>5</v>
      </c>
      <c r="BH132"/>
      <c r="BI132"/>
      <c r="BJ132" t="s">
        <v>5</v>
      </c>
      <c r="BK132"/>
      <c r="BL132">
        <v>0</v>
      </c>
      <c r="BM132">
        <v>0</v>
      </c>
      <c r="BN132" t="s">
        <v>5</v>
      </c>
      <c r="BO132"/>
      <c r="BP132"/>
      <c r="BQ132"/>
      <c r="BR132"/>
      <c r="BS132" t="s">
        <v>5</v>
      </c>
      <c r="BT132"/>
      <c r="BU132"/>
      <c r="BV132"/>
      <c r="BW132"/>
      <c r="BX132" t="s">
        <v>6</v>
      </c>
      <c r="BY132" t="s">
        <v>4232</v>
      </c>
      <c r="BZ132"/>
      <c r="CA132"/>
      <c r="CB132" t="s">
        <v>5</v>
      </c>
      <c r="CC132">
        <v>288949.96145606658</v>
      </c>
      <c r="CD132">
        <v>4616947534.7312641</v>
      </c>
      <c r="CE132" s="313" t="s">
        <v>11902</v>
      </c>
    </row>
    <row r="133" spans="1:83" ht="15" x14ac:dyDescent="0.25">
      <c r="A133" t="s">
        <v>12015</v>
      </c>
      <c r="B133" t="s">
        <v>12016</v>
      </c>
      <c r="C133" t="s">
        <v>11949</v>
      </c>
      <c r="D133">
        <v>15</v>
      </c>
      <c r="E133" t="s">
        <v>3847</v>
      </c>
      <c r="F133" t="s">
        <v>3864</v>
      </c>
      <c r="G133" t="s">
        <v>12017</v>
      </c>
      <c r="H133" t="s">
        <v>12018</v>
      </c>
      <c r="I133" t="s">
        <v>12019</v>
      </c>
      <c r="J133" t="s">
        <v>12020</v>
      </c>
      <c r="K133" t="s">
        <v>3902</v>
      </c>
      <c r="L133">
        <v>7.2980608940124512</v>
      </c>
      <c r="M133" t="s">
        <v>5</v>
      </c>
      <c r="N133" t="s">
        <v>5</v>
      </c>
      <c r="O133" t="s">
        <v>6</v>
      </c>
      <c r="P133" t="s">
        <v>5</v>
      </c>
      <c r="Q133" t="s">
        <v>5</v>
      </c>
      <c r="R133" t="s">
        <v>4193</v>
      </c>
      <c r="S133" t="s">
        <v>4194</v>
      </c>
      <c r="T133" t="s">
        <v>6</v>
      </c>
      <c r="U133" t="s">
        <v>50</v>
      </c>
      <c r="V133">
        <v>500000</v>
      </c>
      <c r="W133">
        <v>500000</v>
      </c>
      <c r="X133" t="s">
        <v>6</v>
      </c>
      <c r="Y133"/>
      <c r="Z133">
        <v>0</v>
      </c>
      <c r="AA133">
        <v>10.955814361572269</v>
      </c>
      <c r="AB133">
        <v>28.335269927978519</v>
      </c>
      <c r="AC133">
        <v>0.52277296781539917</v>
      </c>
      <c r="AD133">
        <v>5464</v>
      </c>
      <c r="AE133">
        <v>17950</v>
      </c>
      <c r="AF133">
        <v>4596</v>
      </c>
      <c r="AG133">
        <v>9827</v>
      </c>
      <c r="AH133">
        <v>15487</v>
      </c>
      <c r="AI133">
        <v>15487</v>
      </c>
      <c r="AJ133">
        <v>47</v>
      </c>
      <c r="AK133">
        <v>0</v>
      </c>
      <c r="AL133">
        <v>130</v>
      </c>
      <c r="AM133">
        <v>0</v>
      </c>
      <c r="AN133">
        <v>9.8053646087646484</v>
      </c>
      <c r="AO133"/>
      <c r="AP133"/>
      <c r="AQ133"/>
      <c r="AR133">
        <v>0</v>
      </c>
      <c r="AS133">
        <v>0</v>
      </c>
      <c r="AT133">
        <v>0</v>
      </c>
      <c r="AU133">
        <v>0</v>
      </c>
      <c r="AV133">
        <v>0</v>
      </c>
      <c r="AW133">
        <v>0</v>
      </c>
      <c r="AX133">
        <v>0</v>
      </c>
      <c r="AY133">
        <v>0</v>
      </c>
      <c r="AZ133">
        <v>0</v>
      </c>
      <c r="BA133">
        <v>0</v>
      </c>
      <c r="BB133">
        <v>0</v>
      </c>
      <c r="BC133">
        <v>0</v>
      </c>
      <c r="BD133">
        <v>0</v>
      </c>
      <c r="BE133">
        <v>0</v>
      </c>
      <c r="BF133" t="s">
        <v>5</v>
      </c>
      <c r="BG133" t="s">
        <v>5</v>
      </c>
      <c r="BH133"/>
      <c r="BI133"/>
      <c r="BJ133" t="s">
        <v>5</v>
      </c>
      <c r="BK133"/>
      <c r="BL133">
        <v>0</v>
      </c>
      <c r="BM133">
        <v>0</v>
      </c>
      <c r="BN133" t="s">
        <v>5</v>
      </c>
      <c r="BO133"/>
      <c r="BP133"/>
      <c r="BQ133"/>
      <c r="BR133"/>
      <c r="BS133" t="s">
        <v>5</v>
      </c>
      <c r="BT133"/>
      <c r="BU133"/>
      <c r="BV133"/>
      <c r="BW133"/>
      <c r="BX133" t="s">
        <v>6</v>
      </c>
      <c r="BY133" t="s">
        <v>4232</v>
      </c>
      <c r="BZ133"/>
      <c r="CA133"/>
      <c r="CB133" t="s">
        <v>5</v>
      </c>
      <c r="CC133">
        <v>288949.96145606658</v>
      </c>
      <c r="CD133">
        <v>4616947534.7312641</v>
      </c>
      <c r="CE133" s="313" t="s">
        <v>11902</v>
      </c>
    </row>
    <row r="134" spans="1:83" ht="15" x14ac:dyDescent="0.25">
      <c r="A134" t="s">
        <v>12021</v>
      </c>
      <c r="B134" t="s">
        <v>12022</v>
      </c>
      <c r="C134" t="s">
        <v>11949</v>
      </c>
      <c r="D134">
        <v>15</v>
      </c>
      <c r="E134" t="s">
        <v>3847</v>
      </c>
      <c r="F134" t="s">
        <v>3864</v>
      </c>
      <c r="G134" t="s">
        <v>3849</v>
      </c>
      <c r="H134" t="s">
        <v>11970</v>
      </c>
      <c r="I134" t="s">
        <v>4152</v>
      </c>
      <c r="J134" t="s">
        <v>11971</v>
      </c>
      <c r="K134" t="s">
        <v>3902</v>
      </c>
      <c r="L134">
        <v>0.56399452686309814</v>
      </c>
      <c r="M134" t="s">
        <v>5</v>
      </c>
      <c r="N134" t="s">
        <v>5</v>
      </c>
      <c r="O134" t="s">
        <v>6</v>
      </c>
      <c r="P134" t="s">
        <v>5</v>
      </c>
      <c r="Q134" t="s">
        <v>5</v>
      </c>
      <c r="R134" t="s">
        <v>4328</v>
      </c>
      <c r="S134" t="s">
        <v>12023</v>
      </c>
      <c r="T134" t="s">
        <v>6</v>
      </c>
      <c r="U134" t="s">
        <v>50</v>
      </c>
      <c r="V134">
        <v>500000</v>
      </c>
      <c r="W134">
        <v>500000</v>
      </c>
      <c r="X134" t="s">
        <v>6</v>
      </c>
      <c r="Y134"/>
      <c r="Z134">
        <v>0</v>
      </c>
      <c r="AA134">
        <v>4.4925546646118164</v>
      </c>
      <c r="AB134">
        <v>7.6469836235046387</v>
      </c>
      <c r="AC134">
        <v>0.40315437316894531</v>
      </c>
      <c r="AD134">
        <v>2591</v>
      </c>
      <c r="AE134">
        <v>5300</v>
      </c>
      <c r="AF134">
        <v>2383</v>
      </c>
      <c r="AG134">
        <v>4880</v>
      </c>
      <c r="AH134">
        <v>9696</v>
      </c>
      <c r="AI134">
        <v>9696</v>
      </c>
      <c r="AJ134">
        <v>19</v>
      </c>
      <c r="AK134">
        <v>0</v>
      </c>
      <c r="AL134">
        <v>62</v>
      </c>
      <c r="AM134">
        <v>0</v>
      </c>
      <c r="AN134">
        <v>2.6906390190124512</v>
      </c>
      <c r="AO134"/>
      <c r="AP134"/>
      <c r="AQ134"/>
      <c r="AR134">
        <v>0</v>
      </c>
      <c r="AS134">
        <v>0</v>
      </c>
      <c r="AT134">
        <v>0</v>
      </c>
      <c r="AU134">
        <v>0</v>
      </c>
      <c r="AV134">
        <v>0</v>
      </c>
      <c r="AW134">
        <v>0</v>
      </c>
      <c r="AX134">
        <v>0</v>
      </c>
      <c r="AY134">
        <v>0</v>
      </c>
      <c r="AZ134">
        <v>0</v>
      </c>
      <c r="BA134">
        <v>0</v>
      </c>
      <c r="BB134">
        <v>0</v>
      </c>
      <c r="BC134">
        <v>0</v>
      </c>
      <c r="BD134">
        <v>0</v>
      </c>
      <c r="BE134">
        <v>0</v>
      </c>
      <c r="BF134" t="s">
        <v>5</v>
      </c>
      <c r="BG134" t="s">
        <v>5</v>
      </c>
      <c r="BH134"/>
      <c r="BI134"/>
      <c r="BJ134" t="s">
        <v>5</v>
      </c>
      <c r="BK134"/>
      <c r="BL134">
        <v>0</v>
      </c>
      <c r="BM134">
        <v>0</v>
      </c>
      <c r="BN134" t="s">
        <v>5</v>
      </c>
      <c r="BO134"/>
      <c r="BP134"/>
      <c r="BQ134"/>
      <c r="BR134"/>
      <c r="BS134" t="s">
        <v>5</v>
      </c>
      <c r="BT134"/>
      <c r="BU134"/>
      <c r="BV134"/>
      <c r="BW134"/>
      <c r="BX134" t="s">
        <v>6</v>
      </c>
      <c r="BY134" t="s">
        <v>4232</v>
      </c>
      <c r="BZ134"/>
      <c r="CA134"/>
      <c r="CB134" t="s">
        <v>5</v>
      </c>
      <c r="CC134">
        <v>288949.96145606658</v>
      </c>
      <c r="CD134">
        <v>4616947534.7312641</v>
      </c>
      <c r="CE134" s="313" t="s">
        <v>11902</v>
      </c>
    </row>
    <row r="135" spans="1:83" ht="15" x14ac:dyDescent="0.25">
      <c r="A135" t="s">
        <v>12024</v>
      </c>
      <c r="B135" t="s">
        <v>12025</v>
      </c>
      <c r="C135" t="s">
        <v>11949</v>
      </c>
      <c r="D135">
        <v>15</v>
      </c>
      <c r="E135" t="s">
        <v>3847</v>
      </c>
      <c r="F135" t="s">
        <v>3864</v>
      </c>
      <c r="G135" t="s">
        <v>12017</v>
      </c>
      <c r="H135" t="s">
        <v>12026</v>
      </c>
      <c r="I135" t="s">
        <v>4201</v>
      </c>
      <c r="J135" t="s">
        <v>12027</v>
      </c>
      <c r="K135" t="s">
        <v>3902</v>
      </c>
      <c r="L135">
        <v>2.081997394561768</v>
      </c>
      <c r="M135" t="s">
        <v>5</v>
      </c>
      <c r="N135" t="s">
        <v>5</v>
      </c>
      <c r="O135" t="s">
        <v>6</v>
      </c>
      <c r="P135" t="s">
        <v>5</v>
      </c>
      <c r="Q135" t="s">
        <v>5</v>
      </c>
      <c r="R135" t="s">
        <v>4286</v>
      </c>
      <c r="S135" t="s">
        <v>12028</v>
      </c>
      <c r="T135" t="s">
        <v>6</v>
      </c>
      <c r="U135" t="s">
        <v>50</v>
      </c>
      <c r="V135">
        <v>500000</v>
      </c>
      <c r="W135">
        <v>500000</v>
      </c>
      <c r="X135" t="s">
        <v>6</v>
      </c>
      <c r="Y135"/>
      <c r="Z135">
        <v>0</v>
      </c>
      <c r="AA135">
        <v>7.828305721282959</v>
      </c>
      <c r="AB135">
        <v>11.02336311340332</v>
      </c>
      <c r="AC135">
        <v>7.2499969974160186E-3</v>
      </c>
      <c r="AD135">
        <v>3107</v>
      </c>
      <c r="AE135">
        <v>4342</v>
      </c>
      <c r="AF135">
        <v>2065</v>
      </c>
      <c r="AG135">
        <v>7799</v>
      </c>
      <c r="AH135">
        <v>9715</v>
      </c>
      <c r="AI135">
        <v>9715</v>
      </c>
      <c r="AJ135">
        <v>23</v>
      </c>
      <c r="AK135">
        <v>0</v>
      </c>
      <c r="AL135">
        <v>60</v>
      </c>
      <c r="AM135">
        <v>0</v>
      </c>
      <c r="AN135">
        <v>6.3570661544799796</v>
      </c>
      <c r="AO135"/>
      <c r="AP135"/>
      <c r="AQ135"/>
      <c r="AR135">
        <v>0</v>
      </c>
      <c r="AS135">
        <v>0</v>
      </c>
      <c r="AT135">
        <v>0</v>
      </c>
      <c r="AU135">
        <v>0</v>
      </c>
      <c r="AV135">
        <v>0</v>
      </c>
      <c r="AW135">
        <v>0</v>
      </c>
      <c r="AX135">
        <v>0</v>
      </c>
      <c r="AY135">
        <v>0</v>
      </c>
      <c r="AZ135">
        <v>0</v>
      </c>
      <c r="BA135">
        <v>0</v>
      </c>
      <c r="BB135">
        <v>0</v>
      </c>
      <c r="BC135">
        <v>0</v>
      </c>
      <c r="BD135">
        <v>0</v>
      </c>
      <c r="BE135">
        <v>0</v>
      </c>
      <c r="BF135" t="s">
        <v>5</v>
      </c>
      <c r="BG135" t="s">
        <v>5</v>
      </c>
      <c r="BH135"/>
      <c r="BI135"/>
      <c r="BJ135" t="s">
        <v>5</v>
      </c>
      <c r="BK135"/>
      <c r="BL135">
        <v>0</v>
      </c>
      <c r="BM135">
        <v>0</v>
      </c>
      <c r="BN135" t="s">
        <v>5</v>
      </c>
      <c r="BO135"/>
      <c r="BP135"/>
      <c r="BQ135"/>
      <c r="BR135"/>
      <c r="BS135" t="s">
        <v>5</v>
      </c>
      <c r="BT135"/>
      <c r="BU135"/>
      <c r="BV135"/>
      <c r="BW135"/>
      <c r="BX135" t="s">
        <v>6</v>
      </c>
      <c r="BY135" t="s">
        <v>4232</v>
      </c>
      <c r="BZ135"/>
      <c r="CA135"/>
      <c r="CB135" t="s">
        <v>5</v>
      </c>
      <c r="CC135">
        <v>288949.96145606658</v>
      </c>
      <c r="CD135">
        <v>4616947534.7312641</v>
      </c>
      <c r="CE135" s="313" t="s">
        <v>11902</v>
      </c>
    </row>
    <row r="136" spans="1:83" ht="15" x14ac:dyDescent="0.25">
      <c r="A136" t="s">
        <v>12029</v>
      </c>
      <c r="B136" t="s">
        <v>12030</v>
      </c>
      <c r="C136" t="s">
        <v>11949</v>
      </c>
      <c r="D136">
        <v>15</v>
      </c>
      <c r="E136" t="s">
        <v>3847</v>
      </c>
      <c r="F136" t="s">
        <v>3848</v>
      </c>
      <c r="G136" t="s">
        <v>3849</v>
      </c>
      <c r="H136" t="s">
        <v>12031</v>
      </c>
      <c r="I136" t="s">
        <v>12032</v>
      </c>
      <c r="J136" t="s">
        <v>12033</v>
      </c>
      <c r="K136" t="s">
        <v>3902</v>
      </c>
      <c r="L136">
        <v>2.7465717792510991</v>
      </c>
      <c r="M136" t="s">
        <v>5</v>
      </c>
      <c r="N136" t="s">
        <v>5</v>
      </c>
      <c r="O136" t="s">
        <v>6</v>
      </c>
      <c r="P136" t="s">
        <v>5</v>
      </c>
      <c r="Q136" t="s">
        <v>5</v>
      </c>
      <c r="R136" t="s">
        <v>4231</v>
      </c>
      <c r="S136" t="s">
        <v>12034</v>
      </c>
      <c r="T136" t="s">
        <v>6</v>
      </c>
      <c r="U136" t="s">
        <v>50</v>
      </c>
      <c r="V136">
        <v>500000</v>
      </c>
      <c r="W136">
        <v>500000</v>
      </c>
      <c r="X136" t="s">
        <v>6</v>
      </c>
      <c r="Y136"/>
      <c r="Z136">
        <v>0</v>
      </c>
      <c r="AA136">
        <v>13.757524490356451</v>
      </c>
      <c r="AB136">
        <v>30.403188705444339</v>
      </c>
      <c r="AC136">
        <v>0.61946249008178711</v>
      </c>
      <c r="AD136">
        <v>4647</v>
      </c>
      <c r="AE136">
        <v>15632</v>
      </c>
      <c r="AF136">
        <v>3352</v>
      </c>
      <c r="AG136">
        <v>16552</v>
      </c>
      <c r="AH136">
        <v>12737</v>
      </c>
      <c r="AI136">
        <v>16552</v>
      </c>
      <c r="AJ136">
        <v>66</v>
      </c>
      <c r="AK136">
        <v>0</v>
      </c>
      <c r="AL136">
        <v>175</v>
      </c>
      <c r="AM136">
        <v>232</v>
      </c>
      <c r="AN136">
        <v>10.578219413757321</v>
      </c>
      <c r="AO136"/>
      <c r="AP136"/>
      <c r="AQ136"/>
      <c r="AR136">
        <v>0</v>
      </c>
      <c r="AS136">
        <v>0</v>
      </c>
      <c r="AT136">
        <v>0</v>
      </c>
      <c r="AU136">
        <v>0</v>
      </c>
      <c r="AV136">
        <v>0</v>
      </c>
      <c r="AW136">
        <v>0</v>
      </c>
      <c r="AX136">
        <v>0</v>
      </c>
      <c r="AY136">
        <v>0</v>
      </c>
      <c r="AZ136">
        <v>0</v>
      </c>
      <c r="BA136">
        <v>0</v>
      </c>
      <c r="BB136">
        <v>0</v>
      </c>
      <c r="BC136">
        <v>0</v>
      </c>
      <c r="BD136">
        <v>0</v>
      </c>
      <c r="BE136">
        <v>0</v>
      </c>
      <c r="BF136" t="s">
        <v>5</v>
      </c>
      <c r="BG136" t="s">
        <v>5</v>
      </c>
      <c r="BH136"/>
      <c r="BI136"/>
      <c r="BJ136" t="s">
        <v>5</v>
      </c>
      <c r="BK136"/>
      <c r="BL136">
        <v>0</v>
      </c>
      <c r="BM136">
        <v>0</v>
      </c>
      <c r="BN136" t="s">
        <v>5</v>
      </c>
      <c r="BO136"/>
      <c r="BP136"/>
      <c r="BQ136"/>
      <c r="BR136"/>
      <c r="BS136" t="s">
        <v>5</v>
      </c>
      <c r="BT136"/>
      <c r="BU136"/>
      <c r="BV136"/>
      <c r="BW136"/>
      <c r="BX136" t="s">
        <v>6</v>
      </c>
      <c r="BY136" t="s">
        <v>4232</v>
      </c>
      <c r="BZ136"/>
      <c r="CA136"/>
      <c r="CB136" t="s">
        <v>5</v>
      </c>
      <c r="CC136">
        <v>288949.96145606658</v>
      </c>
      <c r="CD136">
        <v>4616947534.7312641</v>
      </c>
      <c r="CE136" s="313" t="s">
        <v>11902</v>
      </c>
    </row>
    <row r="137" spans="1:83" ht="15" x14ac:dyDescent="0.25">
      <c r="A137" t="s">
        <v>12035</v>
      </c>
      <c r="B137" t="s">
        <v>12036</v>
      </c>
      <c r="C137" t="s">
        <v>11949</v>
      </c>
      <c r="D137">
        <v>15</v>
      </c>
      <c r="E137" t="s">
        <v>3847</v>
      </c>
      <c r="F137" t="s">
        <v>3864</v>
      </c>
      <c r="G137" t="s">
        <v>3849</v>
      </c>
      <c r="H137" t="s">
        <v>11970</v>
      </c>
      <c r="I137" t="s">
        <v>4152</v>
      </c>
      <c r="J137" t="s">
        <v>11971</v>
      </c>
      <c r="K137" t="s">
        <v>3902</v>
      </c>
      <c r="L137">
        <v>16.515493392944339</v>
      </c>
      <c r="M137" t="s">
        <v>5</v>
      </c>
      <c r="N137" t="s">
        <v>5</v>
      </c>
      <c r="O137" t="s">
        <v>6</v>
      </c>
      <c r="P137" t="s">
        <v>5</v>
      </c>
      <c r="Q137" t="s">
        <v>5</v>
      </c>
      <c r="R137" t="s">
        <v>4153</v>
      </c>
      <c r="S137" t="s">
        <v>4154</v>
      </c>
      <c r="T137" t="s">
        <v>6</v>
      </c>
      <c r="U137" t="s">
        <v>50</v>
      </c>
      <c r="V137">
        <v>500000</v>
      </c>
      <c r="W137">
        <v>500000</v>
      </c>
      <c r="X137" t="s">
        <v>6</v>
      </c>
      <c r="Y137"/>
      <c r="Z137">
        <v>0</v>
      </c>
      <c r="AA137">
        <v>4.0311284065246582</v>
      </c>
      <c r="AB137">
        <v>5.392387866973877</v>
      </c>
      <c r="AC137">
        <v>7.5422544032335281E-3</v>
      </c>
      <c r="AD137">
        <v>3056</v>
      </c>
      <c r="AE137">
        <v>4449</v>
      </c>
      <c r="AF137">
        <v>2411</v>
      </c>
      <c r="AG137">
        <v>7546</v>
      </c>
      <c r="AH137">
        <v>9335</v>
      </c>
      <c r="AI137">
        <v>9335</v>
      </c>
      <c r="AJ137">
        <v>14</v>
      </c>
      <c r="AK137">
        <v>0</v>
      </c>
      <c r="AL137">
        <v>58</v>
      </c>
      <c r="AM137">
        <v>0</v>
      </c>
      <c r="AN137">
        <v>1.482052803039551</v>
      </c>
      <c r="AO137"/>
      <c r="AP137"/>
      <c r="AQ137"/>
      <c r="AR137">
        <v>0</v>
      </c>
      <c r="AS137">
        <v>0</v>
      </c>
      <c r="AT137">
        <v>0</v>
      </c>
      <c r="AU137">
        <v>0</v>
      </c>
      <c r="AV137">
        <v>0</v>
      </c>
      <c r="AW137">
        <v>0</v>
      </c>
      <c r="AX137">
        <v>0</v>
      </c>
      <c r="AY137">
        <v>0</v>
      </c>
      <c r="AZ137">
        <v>0</v>
      </c>
      <c r="BA137">
        <v>0</v>
      </c>
      <c r="BB137">
        <v>0</v>
      </c>
      <c r="BC137">
        <v>0</v>
      </c>
      <c r="BD137">
        <v>0</v>
      </c>
      <c r="BE137">
        <v>0</v>
      </c>
      <c r="BF137" t="s">
        <v>5</v>
      </c>
      <c r="BG137" t="s">
        <v>5</v>
      </c>
      <c r="BH137"/>
      <c r="BI137"/>
      <c r="BJ137" t="s">
        <v>5</v>
      </c>
      <c r="BK137"/>
      <c r="BL137">
        <v>0</v>
      </c>
      <c r="BM137">
        <v>0</v>
      </c>
      <c r="BN137" t="s">
        <v>5</v>
      </c>
      <c r="BO137"/>
      <c r="BP137"/>
      <c r="BQ137"/>
      <c r="BR137"/>
      <c r="BS137" t="s">
        <v>5</v>
      </c>
      <c r="BT137"/>
      <c r="BU137"/>
      <c r="BV137"/>
      <c r="BW137"/>
      <c r="BX137" t="s">
        <v>6</v>
      </c>
      <c r="BY137" t="s">
        <v>4232</v>
      </c>
      <c r="BZ137"/>
      <c r="CA137"/>
      <c r="CB137" t="s">
        <v>5</v>
      </c>
      <c r="CC137">
        <v>288949.96145606658</v>
      </c>
      <c r="CD137">
        <v>4616947534.7312641</v>
      </c>
      <c r="CE137" s="313" t="s">
        <v>11902</v>
      </c>
    </row>
    <row r="138" spans="1:83" ht="15" x14ac:dyDescent="0.25">
      <c r="A138" t="s">
        <v>12363</v>
      </c>
      <c r="B138" t="s">
        <v>12364</v>
      </c>
      <c r="C138" t="s">
        <v>12365</v>
      </c>
      <c r="D138">
        <v>5</v>
      </c>
      <c r="E138" t="s">
        <v>2598</v>
      </c>
      <c r="F138" t="s">
        <v>12366</v>
      </c>
      <c r="G138" t="s">
        <v>12367</v>
      </c>
      <c r="H138" t="s">
        <v>12368</v>
      </c>
      <c r="I138" t="s">
        <v>12369</v>
      </c>
      <c r="J138" t="s">
        <v>12370</v>
      </c>
      <c r="K138" t="s">
        <v>12296</v>
      </c>
      <c r="L138">
        <v>270.57400512695313</v>
      </c>
      <c r="M138" t="s">
        <v>6</v>
      </c>
      <c r="N138" t="s">
        <v>5</v>
      </c>
      <c r="O138" t="s">
        <v>6</v>
      </c>
      <c r="P138" t="s">
        <v>5</v>
      </c>
      <c r="Q138" t="s">
        <v>5</v>
      </c>
      <c r="R138" t="s">
        <v>2649</v>
      </c>
      <c r="S138" t="s">
        <v>2649</v>
      </c>
      <c r="T138" t="s">
        <v>5</v>
      </c>
      <c r="U138" t="s">
        <v>28</v>
      </c>
      <c r="V138">
        <v>444375</v>
      </c>
      <c r="W138">
        <v>444375</v>
      </c>
      <c r="X138" t="s">
        <v>6</v>
      </c>
      <c r="Y138"/>
      <c r="Z138"/>
      <c r="AA138">
        <v>163.3630065917969</v>
      </c>
      <c r="AB138">
        <v>32.953800201416023</v>
      </c>
      <c r="AC138">
        <v>0</v>
      </c>
      <c r="AD138">
        <v>2322</v>
      </c>
      <c r="AE138">
        <v>1132</v>
      </c>
      <c r="AF138">
        <v>1223</v>
      </c>
      <c r="AG138">
        <v>2280</v>
      </c>
      <c r="AH138">
        <v>3030</v>
      </c>
      <c r="AI138">
        <v>4445</v>
      </c>
      <c r="AJ138">
        <v>7</v>
      </c>
      <c r="AK138">
        <v>0</v>
      </c>
      <c r="AL138">
        <v>105</v>
      </c>
      <c r="AM138">
        <v>0</v>
      </c>
      <c r="AN138">
        <v>64158.80078125</v>
      </c>
      <c r="AO138"/>
      <c r="AP138"/>
      <c r="AQ138"/>
      <c r="AR138">
        <v>0</v>
      </c>
      <c r="AS138">
        <v>0</v>
      </c>
      <c r="AT138">
        <v>0</v>
      </c>
      <c r="AU138">
        <v>0</v>
      </c>
      <c r="AV138">
        <v>0</v>
      </c>
      <c r="AW138">
        <v>0</v>
      </c>
      <c r="AX138">
        <v>0</v>
      </c>
      <c r="AY138">
        <v>0</v>
      </c>
      <c r="AZ138">
        <v>0</v>
      </c>
      <c r="BA138">
        <v>0</v>
      </c>
      <c r="BB138"/>
      <c r="BC138"/>
      <c r="BD138"/>
      <c r="BE138">
        <v>0</v>
      </c>
      <c r="BF138" t="s">
        <v>12371</v>
      </c>
      <c r="BG138" t="s">
        <v>5</v>
      </c>
      <c r="BH138" t="s">
        <v>1020</v>
      </c>
      <c r="BI138"/>
      <c r="BJ138" t="s">
        <v>5</v>
      </c>
      <c r="BK138"/>
      <c r="BL138">
        <v>0</v>
      </c>
      <c r="BM138"/>
      <c r="BN138" t="s">
        <v>5</v>
      </c>
      <c r="BO138" t="s">
        <v>2518</v>
      </c>
      <c r="BP138" t="s">
        <v>2518</v>
      </c>
      <c r="BQ138" t="s">
        <v>2518</v>
      </c>
      <c r="BR138"/>
      <c r="BS138" t="s">
        <v>6</v>
      </c>
      <c r="BT138" t="s">
        <v>2518</v>
      </c>
      <c r="BU138" t="s">
        <v>2518</v>
      </c>
      <c r="BV138" t="s">
        <v>2518</v>
      </c>
      <c r="BW138"/>
      <c r="BX138" t="s">
        <v>6</v>
      </c>
      <c r="BY138" t="s">
        <v>2605</v>
      </c>
      <c r="BZ138" t="s">
        <v>2518</v>
      </c>
      <c r="CA138"/>
      <c r="CB138" t="s">
        <v>5</v>
      </c>
      <c r="CC138">
        <v>163882.51114356099</v>
      </c>
      <c r="CD138">
        <v>700787231.94151807</v>
      </c>
      <c r="CE138" s="313" t="s">
        <v>11902</v>
      </c>
    </row>
    <row r="139" spans="1:83" ht="15" x14ac:dyDescent="0.25">
      <c r="A139" t="s">
        <v>12086</v>
      </c>
      <c r="B139" t="s">
        <v>12087</v>
      </c>
      <c r="C139" t="s">
        <v>12088</v>
      </c>
      <c r="D139">
        <v>4</v>
      </c>
      <c r="E139" t="s">
        <v>2512</v>
      </c>
      <c r="F139" t="s">
        <v>2403</v>
      </c>
      <c r="G139" t="s">
        <v>2578</v>
      </c>
      <c r="H139" t="s">
        <v>2579</v>
      </c>
      <c r="I139" t="s">
        <v>2580</v>
      </c>
      <c r="J139" t="s">
        <v>12089</v>
      </c>
      <c r="K139" t="s">
        <v>2530</v>
      </c>
      <c r="L139">
        <v>11.979866027832029</v>
      </c>
      <c r="M139" t="s">
        <v>6</v>
      </c>
      <c r="N139" t="s">
        <v>5</v>
      </c>
      <c r="O139" t="s">
        <v>5</v>
      </c>
      <c r="P139" t="s">
        <v>5</v>
      </c>
      <c r="Q139" t="s">
        <v>5</v>
      </c>
      <c r="R139" t="s">
        <v>2581</v>
      </c>
      <c r="S139" t="s">
        <v>2581</v>
      </c>
      <c r="T139" t="s">
        <v>5</v>
      </c>
      <c r="U139" t="s">
        <v>50</v>
      </c>
      <c r="V139">
        <v>400000</v>
      </c>
      <c r="W139">
        <v>400000</v>
      </c>
      <c r="X139" t="s">
        <v>6</v>
      </c>
      <c r="Y139"/>
      <c r="Z139">
        <v>0</v>
      </c>
      <c r="AA139">
        <v>1.1889209747314451</v>
      </c>
      <c r="AB139">
        <v>0.1395275145769119</v>
      </c>
      <c r="AC139">
        <v>0</v>
      </c>
      <c r="AD139">
        <v>21</v>
      </c>
      <c r="AE139">
        <v>13</v>
      </c>
      <c r="AF139">
        <v>21</v>
      </c>
      <c r="AG139">
        <v>32</v>
      </c>
      <c r="AH139">
        <v>128</v>
      </c>
      <c r="AI139">
        <v>128</v>
      </c>
      <c r="AJ139">
        <v>0</v>
      </c>
      <c r="AK139">
        <v>1</v>
      </c>
      <c r="AL139">
        <v>3</v>
      </c>
      <c r="AM139">
        <v>1</v>
      </c>
      <c r="AN139">
        <v>164.16365051269531</v>
      </c>
      <c r="AO139"/>
      <c r="AP139"/>
      <c r="AQ139"/>
      <c r="AR139">
        <v>0</v>
      </c>
      <c r="AS139">
        <v>0</v>
      </c>
      <c r="AT139">
        <v>0</v>
      </c>
      <c r="AU139">
        <v>0</v>
      </c>
      <c r="AV139">
        <v>0</v>
      </c>
      <c r="AW139">
        <v>0</v>
      </c>
      <c r="AX139">
        <v>0</v>
      </c>
      <c r="AY139">
        <v>0</v>
      </c>
      <c r="AZ139">
        <v>0</v>
      </c>
      <c r="BA139">
        <v>0</v>
      </c>
      <c r="BB139"/>
      <c r="BC139"/>
      <c r="BD139"/>
      <c r="BE139">
        <v>0</v>
      </c>
      <c r="BF139" t="s">
        <v>2516</v>
      </c>
      <c r="BG139" t="s">
        <v>5</v>
      </c>
      <c r="BH139" t="s">
        <v>1020</v>
      </c>
      <c r="BI139" t="s">
        <v>2517</v>
      </c>
      <c r="BJ139" t="s">
        <v>5</v>
      </c>
      <c r="BK139" t="s">
        <v>1100</v>
      </c>
      <c r="BL139">
        <v>0</v>
      </c>
      <c r="BM139"/>
      <c r="BN139" t="s">
        <v>5</v>
      </c>
      <c r="BO139" t="s">
        <v>2518</v>
      </c>
      <c r="BP139" t="s">
        <v>2518</v>
      </c>
      <c r="BQ139" t="s">
        <v>2518</v>
      </c>
      <c r="BR139" t="s">
        <v>2518</v>
      </c>
      <c r="BS139" t="s">
        <v>6</v>
      </c>
      <c r="BT139" t="s">
        <v>2518</v>
      </c>
      <c r="BU139" t="s">
        <v>2518</v>
      </c>
      <c r="BV139" t="s">
        <v>2518</v>
      </c>
      <c r="BW139" t="s">
        <v>1100</v>
      </c>
      <c r="BX139" t="s">
        <v>6</v>
      </c>
      <c r="BY139" t="s">
        <v>2519</v>
      </c>
      <c r="BZ139"/>
      <c r="CA139"/>
      <c r="CB139" t="s">
        <v>5</v>
      </c>
      <c r="CC139">
        <v>83440.154656102415</v>
      </c>
      <c r="CD139">
        <v>31027709.353630319</v>
      </c>
      <c r="CE139" s="313" t="s">
        <v>11891</v>
      </c>
    </row>
    <row r="140" spans="1:83" ht="15" x14ac:dyDescent="0.25">
      <c r="A140" t="s">
        <v>3360</v>
      </c>
      <c r="B140" t="s">
        <v>3361</v>
      </c>
      <c r="C140" t="s">
        <v>3362</v>
      </c>
      <c r="D140">
        <v>7</v>
      </c>
      <c r="E140" t="s">
        <v>2979</v>
      </c>
      <c r="F140" t="s">
        <v>3010</v>
      </c>
      <c r="G140" t="s">
        <v>3113</v>
      </c>
      <c r="H140" t="s">
        <v>3363</v>
      </c>
      <c r="I140" t="s">
        <v>3364</v>
      </c>
      <c r="J140" t="s">
        <v>3365</v>
      </c>
      <c r="K140" t="s">
        <v>3109</v>
      </c>
      <c r="L140">
        <v>45.947998046875</v>
      </c>
      <c r="M140" t="s">
        <v>6</v>
      </c>
      <c r="N140" t="s">
        <v>5</v>
      </c>
      <c r="O140" t="s">
        <v>5</v>
      </c>
      <c r="P140" t="s">
        <v>5</v>
      </c>
      <c r="Q140" t="s">
        <v>5</v>
      </c>
      <c r="R140" t="s">
        <v>3016</v>
      </c>
      <c r="S140" t="s">
        <v>3016</v>
      </c>
      <c r="T140" t="s">
        <v>5</v>
      </c>
      <c r="U140" t="s">
        <v>85</v>
      </c>
      <c r="V140">
        <v>400000</v>
      </c>
      <c r="W140">
        <v>400000</v>
      </c>
      <c r="X140" t="s">
        <v>5</v>
      </c>
      <c r="Y140" t="s">
        <v>1100</v>
      </c>
      <c r="Z140">
        <v>0</v>
      </c>
      <c r="AA140">
        <v>14.21517753601074</v>
      </c>
      <c r="AB140">
        <v>2.4298806190490718</v>
      </c>
      <c r="AC140">
        <v>0</v>
      </c>
      <c r="AD140">
        <v>181</v>
      </c>
      <c r="AE140">
        <v>161</v>
      </c>
      <c r="AF140">
        <v>35</v>
      </c>
      <c r="AG140">
        <v>56</v>
      </c>
      <c r="AH140">
        <v>146</v>
      </c>
      <c r="AI140">
        <v>146</v>
      </c>
      <c r="AJ140">
        <v>0</v>
      </c>
      <c r="AK140">
        <v>0</v>
      </c>
      <c r="AL140">
        <v>5</v>
      </c>
      <c r="AM140">
        <v>0</v>
      </c>
      <c r="AN140">
        <v>1008.981079101562</v>
      </c>
      <c r="AO140">
        <v>0</v>
      </c>
      <c r="AP140">
        <v>0</v>
      </c>
      <c r="AQ140">
        <v>0</v>
      </c>
      <c r="AR140">
        <v>0</v>
      </c>
      <c r="AS140">
        <v>0</v>
      </c>
      <c r="AT140">
        <v>0</v>
      </c>
      <c r="AU140">
        <v>0</v>
      </c>
      <c r="AV140">
        <v>0</v>
      </c>
      <c r="AW140">
        <v>0</v>
      </c>
      <c r="AX140">
        <v>0</v>
      </c>
      <c r="AY140">
        <v>0</v>
      </c>
      <c r="AZ140">
        <v>0</v>
      </c>
      <c r="BA140">
        <v>0</v>
      </c>
      <c r="BB140">
        <v>0</v>
      </c>
      <c r="BC140">
        <v>0</v>
      </c>
      <c r="BD140">
        <v>0</v>
      </c>
      <c r="BE140">
        <v>0</v>
      </c>
      <c r="BF140" t="s">
        <v>1100</v>
      </c>
      <c r="BG140" t="s">
        <v>5</v>
      </c>
      <c r="BH140" t="s">
        <v>2987</v>
      </c>
      <c r="BI140" t="s">
        <v>1100</v>
      </c>
      <c r="BJ140" t="s">
        <v>5</v>
      </c>
      <c r="BK140" t="s">
        <v>1100</v>
      </c>
      <c r="BL140">
        <v>0</v>
      </c>
      <c r="BM140">
        <v>0</v>
      </c>
      <c r="BN140" t="s">
        <v>5</v>
      </c>
      <c r="BO140" t="s">
        <v>1100</v>
      </c>
      <c r="BP140" t="s">
        <v>1100</v>
      </c>
      <c r="BQ140" t="s">
        <v>1100</v>
      </c>
      <c r="BR140" t="s">
        <v>1100</v>
      </c>
      <c r="BS140" t="s">
        <v>5</v>
      </c>
      <c r="BT140" t="s">
        <v>1100</v>
      </c>
      <c r="BU140" t="s">
        <v>1100</v>
      </c>
      <c r="BV140" t="s">
        <v>1100</v>
      </c>
      <c r="BW140" t="s">
        <v>1100</v>
      </c>
      <c r="BX140" t="s">
        <v>6</v>
      </c>
      <c r="BY140" t="s">
        <v>2988</v>
      </c>
      <c r="BZ140"/>
      <c r="CA140"/>
      <c r="CB140" t="s">
        <v>5</v>
      </c>
      <c r="CC140">
        <v>82800.881030377583</v>
      </c>
      <c r="CD140">
        <v>119005248.69236369</v>
      </c>
      <c r="CE140" s="313" t="s">
        <v>11891</v>
      </c>
    </row>
    <row r="141" spans="1:83" ht="15" x14ac:dyDescent="0.25">
      <c r="A141" t="s">
        <v>12535</v>
      </c>
      <c r="B141" t="s">
        <v>12536</v>
      </c>
      <c r="C141" t="s">
        <v>12537</v>
      </c>
      <c r="D141">
        <v>8</v>
      </c>
      <c r="E141" t="s">
        <v>3395</v>
      </c>
      <c r="F141" t="s">
        <v>3396</v>
      </c>
      <c r="G141" t="s">
        <v>3397</v>
      </c>
      <c r="H141" t="s">
        <v>3398</v>
      </c>
      <c r="I141" t="s">
        <v>3399</v>
      </c>
      <c r="J141" t="s">
        <v>3400</v>
      </c>
      <c r="K141" t="s">
        <v>12514</v>
      </c>
      <c r="L141">
        <v>100.72193908691411</v>
      </c>
      <c r="M141" t="s">
        <v>6</v>
      </c>
      <c r="N141" t="s">
        <v>5</v>
      </c>
      <c r="O141" t="s">
        <v>5</v>
      </c>
      <c r="P141" t="s">
        <v>5</v>
      </c>
      <c r="Q141" t="s">
        <v>5</v>
      </c>
      <c r="R141" t="s">
        <v>3402</v>
      </c>
      <c r="S141" t="s">
        <v>3402</v>
      </c>
      <c r="T141" t="s">
        <v>5</v>
      </c>
      <c r="U141" t="s">
        <v>85</v>
      </c>
      <c r="V141">
        <v>400000</v>
      </c>
      <c r="W141">
        <v>400000</v>
      </c>
      <c r="X141" t="s">
        <v>6</v>
      </c>
      <c r="Y141" t="s">
        <v>3403</v>
      </c>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t="s">
        <v>12472</v>
      </c>
      <c r="BG141" t="s">
        <v>5</v>
      </c>
      <c r="BH141" t="s">
        <v>1020</v>
      </c>
      <c r="BI141" t="s">
        <v>5</v>
      </c>
      <c r="BJ141" t="s">
        <v>5</v>
      </c>
      <c r="BK141" t="s">
        <v>1020</v>
      </c>
      <c r="BL141">
        <v>0</v>
      </c>
      <c r="BM141"/>
      <c r="BN141" t="s">
        <v>5</v>
      </c>
      <c r="BO141"/>
      <c r="BP141"/>
      <c r="BQ141"/>
      <c r="BR141"/>
      <c r="BS141" t="s">
        <v>6</v>
      </c>
      <c r="BT141"/>
      <c r="BU141"/>
      <c r="BV141"/>
      <c r="BW141"/>
      <c r="BX141" t="s">
        <v>6</v>
      </c>
      <c r="BY141" t="s">
        <v>12473</v>
      </c>
      <c r="BZ141"/>
      <c r="CA141"/>
      <c r="CB141" t="s">
        <v>5</v>
      </c>
      <c r="CC141">
        <v>263428.99035529472</v>
      </c>
      <c r="CD141">
        <v>260868621.81166741</v>
      </c>
      <c r="CE141" s="313" t="s">
        <v>11902</v>
      </c>
    </row>
    <row r="142" spans="1:83" ht="15" x14ac:dyDescent="0.25">
      <c r="A142" t="s">
        <v>3571</v>
      </c>
      <c r="B142" t="s">
        <v>13</v>
      </c>
      <c r="C142" t="s">
        <v>3572</v>
      </c>
      <c r="D142">
        <v>13</v>
      </c>
      <c r="E142" t="s">
        <v>3573</v>
      </c>
      <c r="F142" t="s">
        <v>3527</v>
      </c>
      <c r="G142" t="s">
        <v>3574</v>
      </c>
      <c r="H142" t="s">
        <v>3575</v>
      </c>
      <c r="I142" t="s">
        <v>3576</v>
      </c>
      <c r="J142" t="s">
        <v>3577</v>
      </c>
      <c r="K142" t="s">
        <v>3578</v>
      </c>
      <c r="L142">
        <v>28.378751754760739</v>
      </c>
      <c r="M142" t="s">
        <v>6</v>
      </c>
      <c r="N142" t="s">
        <v>5</v>
      </c>
      <c r="O142" t="s">
        <v>6</v>
      </c>
      <c r="P142" t="s">
        <v>5</v>
      </c>
      <c r="Q142" t="s">
        <v>5</v>
      </c>
      <c r="R142" t="s">
        <v>3579</v>
      </c>
      <c r="S142" t="s">
        <v>3580</v>
      </c>
      <c r="T142" t="s">
        <v>6</v>
      </c>
      <c r="U142" t="s">
        <v>13</v>
      </c>
      <c r="V142">
        <v>375000</v>
      </c>
      <c r="W142">
        <v>375000</v>
      </c>
      <c r="X142" t="s">
        <v>5</v>
      </c>
      <c r="Y142"/>
      <c r="Z142"/>
      <c r="AA142">
        <v>4.4365530014038086</v>
      </c>
      <c r="AB142">
        <v>1.2273539304733281</v>
      </c>
      <c r="AC142">
        <v>5.5474229156970978E-4</v>
      </c>
      <c r="AD142">
        <v>592</v>
      </c>
      <c r="AE142">
        <v>122</v>
      </c>
      <c r="AF142">
        <v>425</v>
      </c>
      <c r="AG142">
        <v>2211</v>
      </c>
      <c r="AH142">
        <v>1641</v>
      </c>
      <c r="AI142">
        <v>2211</v>
      </c>
      <c r="AJ142">
        <v>3</v>
      </c>
      <c r="AK142">
        <v>5</v>
      </c>
      <c r="AL142">
        <v>15</v>
      </c>
      <c r="AM142">
        <v>67</v>
      </c>
      <c r="AN142">
        <v>1095.853271484375</v>
      </c>
      <c r="AO142"/>
      <c r="AP142"/>
      <c r="AQ142"/>
      <c r="AR142"/>
      <c r="AS142"/>
      <c r="AT142"/>
      <c r="AU142"/>
      <c r="AV142"/>
      <c r="AW142"/>
      <c r="AX142"/>
      <c r="AY142"/>
      <c r="AZ142"/>
      <c r="BA142"/>
      <c r="BB142"/>
      <c r="BC142"/>
      <c r="BD142"/>
      <c r="BE142">
        <v>0</v>
      </c>
      <c r="BF142" t="s">
        <v>5</v>
      </c>
      <c r="BG142" t="s">
        <v>5</v>
      </c>
      <c r="BH142" t="s">
        <v>3581</v>
      </c>
      <c r="BI142"/>
      <c r="BJ142" t="s">
        <v>5</v>
      </c>
      <c r="BK142"/>
      <c r="BL142">
        <v>0</v>
      </c>
      <c r="BM142"/>
      <c r="BN142" t="s">
        <v>5</v>
      </c>
      <c r="BO142"/>
      <c r="BP142"/>
      <c r="BQ142"/>
      <c r="BR142"/>
      <c r="BS142" t="s">
        <v>5</v>
      </c>
      <c r="BT142"/>
      <c r="BU142"/>
      <c r="BV142"/>
      <c r="BW142"/>
      <c r="BX142" t="s">
        <v>6</v>
      </c>
      <c r="BY142" t="s">
        <v>3582</v>
      </c>
      <c r="BZ142"/>
      <c r="CA142"/>
      <c r="CB142" t="s">
        <v>5</v>
      </c>
      <c r="CC142">
        <v>32515.967354647571</v>
      </c>
      <c r="CD142">
        <v>73500924.773336992</v>
      </c>
      <c r="CE142" s="313" t="s">
        <v>11891</v>
      </c>
    </row>
    <row r="143" spans="1:83" ht="15" x14ac:dyDescent="0.25">
      <c r="A143" t="s">
        <v>3130</v>
      </c>
      <c r="B143" t="s">
        <v>3131</v>
      </c>
      <c r="C143" t="s">
        <v>3132</v>
      </c>
      <c r="D143">
        <v>7</v>
      </c>
      <c r="E143" t="s">
        <v>2979</v>
      </c>
      <c r="F143" t="s">
        <v>605</v>
      </c>
      <c r="G143" t="s">
        <v>3133</v>
      </c>
      <c r="H143" t="s">
        <v>3134</v>
      </c>
      <c r="I143" t="s">
        <v>3135</v>
      </c>
      <c r="J143" t="s">
        <v>3136</v>
      </c>
      <c r="K143" t="s">
        <v>3137</v>
      </c>
      <c r="L143">
        <v>460.86416625976563</v>
      </c>
      <c r="M143" t="s">
        <v>6</v>
      </c>
      <c r="N143" t="s">
        <v>5</v>
      </c>
      <c r="O143" t="s">
        <v>5</v>
      </c>
      <c r="P143" t="s">
        <v>5</v>
      </c>
      <c r="Q143" t="s">
        <v>5</v>
      </c>
      <c r="R143" t="s">
        <v>989</v>
      </c>
      <c r="S143" t="s">
        <v>989</v>
      </c>
      <c r="T143" t="s">
        <v>5</v>
      </c>
      <c r="U143" t="s">
        <v>28</v>
      </c>
      <c r="V143">
        <v>375000</v>
      </c>
      <c r="W143">
        <v>375000</v>
      </c>
      <c r="X143" t="s">
        <v>5</v>
      </c>
      <c r="Y143" t="s">
        <v>1100</v>
      </c>
      <c r="Z143">
        <v>0</v>
      </c>
      <c r="AA143">
        <v>35.360019683837891</v>
      </c>
      <c r="AB143">
        <v>7.1878199577331543</v>
      </c>
      <c r="AC143">
        <v>0</v>
      </c>
      <c r="AD143">
        <v>264</v>
      </c>
      <c r="AE143">
        <v>109</v>
      </c>
      <c r="AF143">
        <v>172</v>
      </c>
      <c r="AG143">
        <v>248</v>
      </c>
      <c r="AH143">
        <v>412</v>
      </c>
      <c r="AI143">
        <v>412</v>
      </c>
      <c r="AJ143">
        <v>1</v>
      </c>
      <c r="AK143">
        <v>21</v>
      </c>
      <c r="AL143">
        <v>41</v>
      </c>
      <c r="AM143">
        <v>0</v>
      </c>
      <c r="AN143">
        <v>9929.294921875</v>
      </c>
      <c r="AO143">
        <v>0</v>
      </c>
      <c r="AP143">
        <v>0</v>
      </c>
      <c r="AQ143">
        <v>0</v>
      </c>
      <c r="AR143">
        <v>0</v>
      </c>
      <c r="AS143">
        <v>0</v>
      </c>
      <c r="AT143">
        <v>0</v>
      </c>
      <c r="AU143">
        <v>0</v>
      </c>
      <c r="AV143">
        <v>0</v>
      </c>
      <c r="AW143">
        <v>0</v>
      </c>
      <c r="AX143">
        <v>0</v>
      </c>
      <c r="AY143">
        <v>0</v>
      </c>
      <c r="AZ143">
        <v>0</v>
      </c>
      <c r="BA143">
        <v>0</v>
      </c>
      <c r="BB143">
        <v>0</v>
      </c>
      <c r="BC143">
        <v>0</v>
      </c>
      <c r="BD143">
        <v>0</v>
      </c>
      <c r="BE143">
        <v>0</v>
      </c>
      <c r="BF143" t="s">
        <v>1100</v>
      </c>
      <c r="BG143" t="s">
        <v>5</v>
      </c>
      <c r="BH143" t="s">
        <v>2987</v>
      </c>
      <c r="BI143" t="s">
        <v>1100</v>
      </c>
      <c r="BJ143" t="s">
        <v>5</v>
      </c>
      <c r="BK143" t="s">
        <v>1100</v>
      </c>
      <c r="BL143">
        <v>0</v>
      </c>
      <c r="BM143">
        <v>0</v>
      </c>
      <c r="BN143" t="s">
        <v>5</v>
      </c>
      <c r="BO143" t="s">
        <v>1100</v>
      </c>
      <c r="BP143" t="s">
        <v>1100</v>
      </c>
      <c r="BQ143" t="s">
        <v>1100</v>
      </c>
      <c r="BR143" t="s">
        <v>1100</v>
      </c>
      <c r="BS143" t="s">
        <v>5</v>
      </c>
      <c r="BT143" t="s">
        <v>1100</v>
      </c>
      <c r="BU143" t="s">
        <v>1100</v>
      </c>
      <c r="BV143" t="s">
        <v>1100</v>
      </c>
      <c r="BW143" t="s">
        <v>1100</v>
      </c>
      <c r="BX143" t="s">
        <v>6</v>
      </c>
      <c r="BY143" t="s">
        <v>2988</v>
      </c>
      <c r="BZ143" t="s">
        <v>3006</v>
      </c>
      <c r="CA143"/>
      <c r="CB143" t="s">
        <v>5</v>
      </c>
      <c r="CC143">
        <v>190549.26780974731</v>
      </c>
      <c r="CD143">
        <v>1193637517.6306379</v>
      </c>
      <c r="CE143" s="313" t="s">
        <v>11891</v>
      </c>
    </row>
    <row r="144" spans="1:83" ht="15" x14ac:dyDescent="0.25">
      <c r="A144" t="s">
        <v>12474</v>
      </c>
      <c r="B144" t="s">
        <v>12475</v>
      </c>
      <c r="C144" t="s">
        <v>12476</v>
      </c>
      <c r="D144">
        <v>8</v>
      </c>
      <c r="E144" t="s">
        <v>3395</v>
      </c>
      <c r="F144" t="s">
        <v>73</v>
      </c>
      <c r="G144" t="s">
        <v>4881</v>
      </c>
      <c r="H144" t="s">
        <v>12470</v>
      </c>
      <c r="I144" t="s">
        <v>12471</v>
      </c>
      <c r="J144" t="s">
        <v>4882</v>
      </c>
      <c r="K144" t="s">
        <v>3401</v>
      </c>
      <c r="L144">
        <v>798.87109375</v>
      </c>
      <c r="M144" t="s">
        <v>6</v>
      </c>
      <c r="N144" t="s">
        <v>5</v>
      </c>
      <c r="O144" t="s">
        <v>5</v>
      </c>
      <c r="P144" t="s">
        <v>5</v>
      </c>
      <c r="Q144" t="s">
        <v>5</v>
      </c>
      <c r="R144" t="s">
        <v>372</v>
      </c>
      <c r="S144" t="s">
        <v>372</v>
      </c>
      <c r="T144" t="s">
        <v>5</v>
      </c>
      <c r="U144" t="s">
        <v>85</v>
      </c>
      <c r="V144">
        <v>350000</v>
      </c>
      <c r="W144">
        <v>350000</v>
      </c>
      <c r="X144" t="s">
        <v>6</v>
      </c>
      <c r="Y144" t="s">
        <v>3403</v>
      </c>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t="s">
        <v>12472</v>
      </c>
      <c r="BG144" t="s">
        <v>5</v>
      </c>
      <c r="BH144" t="s">
        <v>1020</v>
      </c>
      <c r="BI144" t="s">
        <v>5</v>
      </c>
      <c r="BJ144" t="s">
        <v>5</v>
      </c>
      <c r="BK144" t="s">
        <v>1020</v>
      </c>
      <c r="BL144">
        <v>0</v>
      </c>
      <c r="BM144"/>
      <c r="BN144" t="s">
        <v>5</v>
      </c>
      <c r="BO144"/>
      <c r="BP144"/>
      <c r="BQ144"/>
      <c r="BR144"/>
      <c r="BS144" t="s">
        <v>6</v>
      </c>
      <c r="BT144"/>
      <c r="BU144"/>
      <c r="BV144"/>
      <c r="BW144"/>
      <c r="BX144" t="s">
        <v>6</v>
      </c>
      <c r="BY144" t="s">
        <v>12473</v>
      </c>
      <c r="BZ144"/>
      <c r="CA144"/>
      <c r="CB144" t="s">
        <v>5</v>
      </c>
      <c r="CC144">
        <v>251087.9568704972</v>
      </c>
      <c r="CD144">
        <v>2069066701.582736</v>
      </c>
      <c r="CE144" s="313" t="s">
        <v>11902</v>
      </c>
    </row>
    <row r="145" spans="1:83" ht="15" x14ac:dyDescent="0.25">
      <c r="A145" t="s">
        <v>12485</v>
      </c>
      <c r="B145" t="s">
        <v>12486</v>
      </c>
      <c r="C145" t="s">
        <v>12487</v>
      </c>
      <c r="D145">
        <v>8</v>
      </c>
      <c r="E145" t="s">
        <v>3395</v>
      </c>
      <c r="F145" t="s">
        <v>4883</v>
      </c>
      <c r="G145" t="s">
        <v>12488</v>
      </c>
      <c r="H145" t="s">
        <v>12489</v>
      </c>
      <c r="I145" t="s">
        <v>12483</v>
      </c>
      <c r="J145" t="s">
        <v>12490</v>
      </c>
      <c r="K145" t="s">
        <v>12491</v>
      </c>
      <c r="L145">
        <v>587.9239501953125</v>
      </c>
      <c r="M145" t="s">
        <v>6</v>
      </c>
      <c r="N145" t="s">
        <v>5</v>
      </c>
      <c r="O145" t="s">
        <v>5</v>
      </c>
      <c r="P145" t="s">
        <v>5</v>
      </c>
      <c r="Q145" t="s">
        <v>5</v>
      </c>
      <c r="R145" t="s">
        <v>9301</v>
      </c>
      <c r="S145" t="s">
        <v>9301</v>
      </c>
      <c r="T145" t="s">
        <v>5</v>
      </c>
      <c r="U145" t="s">
        <v>50</v>
      </c>
      <c r="V145">
        <v>350000</v>
      </c>
      <c r="W145">
        <v>350000</v>
      </c>
      <c r="X145" t="s">
        <v>6</v>
      </c>
      <c r="Y145" t="s">
        <v>3403</v>
      </c>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t="s">
        <v>12472</v>
      </c>
      <c r="BG145" t="s">
        <v>5</v>
      </c>
      <c r="BH145" t="s">
        <v>1020</v>
      </c>
      <c r="BI145" t="s">
        <v>5</v>
      </c>
      <c r="BJ145" t="s">
        <v>5</v>
      </c>
      <c r="BK145" t="s">
        <v>1020</v>
      </c>
      <c r="BL145">
        <v>0</v>
      </c>
      <c r="BM145"/>
      <c r="BN145" t="s">
        <v>5</v>
      </c>
      <c r="BO145"/>
      <c r="BP145"/>
      <c r="BQ145"/>
      <c r="BR145"/>
      <c r="BS145" t="s">
        <v>6</v>
      </c>
      <c r="BT145"/>
      <c r="BU145"/>
      <c r="BV145"/>
      <c r="BW145"/>
      <c r="BX145" t="s">
        <v>6</v>
      </c>
      <c r="BY145" t="s">
        <v>12473</v>
      </c>
      <c r="BZ145"/>
      <c r="CA145"/>
      <c r="CB145" t="s">
        <v>5</v>
      </c>
      <c r="CC145">
        <v>289454.68636156141</v>
      </c>
      <c r="CD145">
        <v>1522716098.1313739</v>
      </c>
      <c r="CE145" s="313" t="s">
        <v>11902</v>
      </c>
    </row>
    <row r="146" spans="1:83" ht="15" x14ac:dyDescent="0.25">
      <c r="A146" t="s">
        <v>12501</v>
      </c>
      <c r="B146" t="s">
        <v>12502</v>
      </c>
      <c r="C146" t="s">
        <v>12503</v>
      </c>
      <c r="D146">
        <v>8</v>
      </c>
      <c r="E146" t="s">
        <v>3395</v>
      </c>
      <c r="F146" t="s">
        <v>4883</v>
      </c>
      <c r="G146" t="s">
        <v>4881</v>
      </c>
      <c r="H146" t="s">
        <v>4935</v>
      </c>
      <c r="I146" t="s">
        <v>4936</v>
      </c>
      <c r="J146" t="s">
        <v>4882</v>
      </c>
      <c r="K146" t="s">
        <v>12491</v>
      </c>
      <c r="L146">
        <v>51.090892791748047</v>
      </c>
      <c r="M146" t="s">
        <v>6</v>
      </c>
      <c r="N146" t="s">
        <v>5</v>
      </c>
      <c r="O146" t="s">
        <v>5</v>
      </c>
      <c r="P146" t="s">
        <v>5</v>
      </c>
      <c r="Q146" t="s">
        <v>5</v>
      </c>
      <c r="R146" t="s">
        <v>4937</v>
      </c>
      <c r="S146" t="s">
        <v>4937</v>
      </c>
      <c r="T146" t="s">
        <v>5</v>
      </c>
      <c r="U146" t="s">
        <v>50</v>
      </c>
      <c r="V146">
        <v>350000</v>
      </c>
      <c r="W146">
        <v>350000</v>
      </c>
      <c r="X146" t="s">
        <v>6</v>
      </c>
      <c r="Y146" t="s">
        <v>3403</v>
      </c>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t="s">
        <v>12472</v>
      </c>
      <c r="BG146" t="s">
        <v>5</v>
      </c>
      <c r="BH146" t="s">
        <v>1020</v>
      </c>
      <c r="BI146" t="s">
        <v>5</v>
      </c>
      <c r="BJ146" t="s">
        <v>5</v>
      </c>
      <c r="BK146" t="s">
        <v>1020</v>
      </c>
      <c r="BL146">
        <v>0</v>
      </c>
      <c r="BM146"/>
      <c r="BN146" t="s">
        <v>5</v>
      </c>
      <c r="BO146"/>
      <c r="BP146"/>
      <c r="BQ146"/>
      <c r="BR146"/>
      <c r="BS146" t="s">
        <v>6</v>
      </c>
      <c r="BT146"/>
      <c r="BU146"/>
      <c r="BV146"/>
      <c r="BW146"/>
      <c r="BX146" t="s">
        <v>6</v>
      </c>
      <c r="BY146" t="s">
        <v>12473</v>
      </c>
      <c r="BZ146"/>
      <c r="CA146"/>
      <c r="CB146" t="s">
        <v>5</v>
      </c>
      <c r="CC146">
        <v>108360.084475436</v>
      </c>
      <c r="CD146">
        <v>132324800.65926591</v>
      </c>
      <c r="CE146" s="313" t="s">
        <v>11902</v>
      </c>
    </row>
    <row r="147" spans="1:83" ht="15" x14ac:dyDescent="0.25">
      <c r="A147" t="s">
        <v>12518</v>
      </c>
      <c r="B147" t="s">
        <v>12519</v>
      </c>
      <c r="C147" t="s">
        <v>12520</v>
      </c>
      <c r="D147">
        <v>8</v>
      </c>
      <c r="E147" t="s">
        <v>3395</v>
      </c>
      <c r="F147" t="s">
        <v>12512</v>
      </c>
      <c r="G147" t="s">
        <v>4887</v>
      </c>
      <c r="H147" t="s">
        <v>4924</v>
      </c>
      <c r="I147" t="s">
        <v>12513</v>
      </c>
      <c r="J147" t="s">
        <v>4880</v>
      </c>
      <c r="K147" t="s">
        <v>12491</v>
      </c>
      <c r="L147">
        <v>25.595670700073239</v>
      </c>
      <c r="M147" t="s">
        <v>6</v>
      </c>
      <c r="N147" t="s">
        <v>5</v>
      </c>
      <c r="O147" t="s">
        <v>5</v>
      </c>
      <c r="P147" t="s">
        <v>5</v>
      </c>
      <c r="Q147" t="s">
        <v>5</v>
      </c>
      <c r="R147" t="s">
        <v>5622</v>
      </c>
      <c r="S147" t="s">
        <v>5622</v>
      </c>
      <c r="T147" t="s">
        <v>5</v>
      </c>
      <c r="U147" t="s">
        <v>50</v>
      </c>
      <c r="V147">
        <v>350000</v>
      </c>
      <c r="W147">
        <v>350000</v>
      </c>
      <c r="X147" t="s">
        <v>6</v>
      </c>
      <c r="Y147" t="s">
        <v>3403</v>
      </c>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t="s">
        <v>12472</v>
      </c>
      <c r="BG147" t="s">
        <v>5</v>
      </c>
      <c r="BH147" t="s">
        <v>1020</v>
      </c>
      <c r="BI147" t="s">
        <v>5</v>
      </c>
      <c r="BJ147" t="s">
        <v>5</v>
      </c>
      <c r="BK147" t="s">
        <v>1020</v>
      </c>
      <c r="BL147">
        <v>0</v>
      </c>
      <c r="BM147"/>
      <c r="BN147" t="s">
        <v>5</v>
      </c>
      <c r="BO147"/>
      <c r="BP147"/>
      <c r="BQ147"/>
      <c r="BR147"/>
      <c r="BS147" t="s">
        <v>6</v>
      </c>
      <c r="BT147"/>
      <c r="BU147"/>
      <c r="BV147"/>
      <c r="BW147"/>
      <c r="BX147" t="s">
        <v>6</v>
      </c>
      <c r="BY147" t="s">
        <v>12473</v>
      </c>
      <c r="BZ147"/>
      <c r="CA147"/>
      <c r="CB147" t="s">
        <v>5</v>
      </c>
      <c r="CC147">
        <v>99468.811097208993</v>
      </c>
      <c r="CD147">
        <v>66292481.547879197</v>
      </c>
      <c r="CE147" s="313" t="s">
        <v>11902</v>
      </c>
    </row>
    <row r="148" spans="1:83" ht="15" x14ac:dyDescent="0.25">
      <c r="A148" t="s">
        <v>12541</v>
      </c>
      <c r="B148" t="s">
        <v>12542</v>
      </c>
      <c r="C148" t="s">
        <v>12543</v>
      </c>
      <c r="D148">
        <v>8</v>
      </c>
      <c r="E148" t="s">
        <v>3395</v>
      </c>
      <c r="F148" t="s">
        <v>4886</v>
      </c>
      <c r="G148" t="s">
        <v>12544</v>
      </c>
      <c r="H148" t="s">
        <v>12545</v>
      </c>
      <c r="I148" t="s">
        <v>3399</v>
      </c>
      <c r="J148" t="s">
        <v>12546</v>
      </c>
      <c r="K148" t="s">
        <v>12491</v>
      </c>
      <c r="L148">
        <v>1131.481079101562</v>
      </c>
      <c r="M148" t="s">
        <v>6</v>
      </c>
      <c r="N148" t="s">
        <v>5</v>
      </c>
      <c r="O148" t="s">
        <v>5</v>
      </c>
      <c r="P148" t="s">
        <v>5</v>
      </c>
      <c r="Q148" t="s">
        <v>5</v>
      </c>
      <c r="R148" t="s">
        <v>4992</v>
      </c>
      <c r="S148" t="s">
        <v>4992</v>
      </c>
      <c r="T148" t="s">
        <v>5</v>
      </c>
      <c r="U148" t="s">
        <v>50</v>
      </c>
      <c r="V148">
        <v>350000</v>
      </c>
      <c r="W148">
        <v>350000</v>
      </c>
      <c r="X148" t="s">
        <v>6</v>
      </c>
      <c r="Y148" t="s">
        <v>3403</v>
      </c>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t="s">
        <v>12472</v>
      </c>
      <c r="BG148" t="s">
        <v>5</v>
      </c>
      <c r="BH148" t="s">
        <v>1020</v>
      </c>
      <c r="BI148" t="s">
        <v>5</v>
      </c>
      <c r="BJ148" t="s">
        <v>5</v>
      </c>
      <c r="BK148" t="s">
        <v>1020</v>
      </c>
      <c r="BL148">
        <v>0</v>
      </c>
      <c r="BM148"/>
      <c r="BN148" t="s">
        <v>5</v>
      </c>
      <c r="BO148"/>
      <c r="BP148"/>
      <c r="BQ148"/>
      <c r="BR148"/>
      <c r="BS148" t="s">
        <v>6</v>
      </c>
      <c r="BT148"/>
      <c r="BU148"/>
      <c r="BV148"/>
      <c r="BW148"/>
      <c r="BX148" t="s">
        <v>6</v>
      </c>
      <c r="BY148" t="s">
        <v>12473</v>
      </c>
      <c r="BZ148"/>
      <c r="CA148"/>
      <c r="CB148" t="s">
        <v>5</v>
      </c>
      <c r="CC148">
        <v>251887.5359330902</v>
      </c>
      <c r="CD148">
        <v>2930522525.3004012</v>
      </c>
      <c r="CE148" s="313" t="s">
        <v>11902</v>
      </c>
    </row>
    <row r="149" spans="1:83" ht="15" x14ac:dyDescent="0.25">
      <c r="A149" t="s">
        <v>12495</v>
      </c>
      <c r="B149" t="s">
        <v>12554</v>
      </c>
      <c r="C149" t="s">
        <v>12555</v>
      </c>
      <c r="D149">
        <v>8</v>
      </c>
      <c r="E149" t="s">
        <v>3395</v>
      </c>
      <c r="F149" t="s">
        <v>4883</v>
      </c>
      <c r="G149" t="s">
        <v>4881</v>
      </c>
      <c r="H149" t="s">
        <v>12556</v>
      </c>
      <c r="I149" t="s">
        <v>12557</v>
      </c>
      <c r="J149" t="s">
        <v>4882</v>
      </c>
      <c r="K149" t="s">
        <v>4878</v>
      </c>
      <c r="L149">
        <v>54.033527374267578</v>
      </c>
      <c r="M149" t="s">
        <v>6</v>
      </c>
      <c r="N149" t="s">
        <v>5</v>
      </c>
      <c r="O149" t="s">
        <v>5</v>
      </c>
      <c r="P149" t="s">
        <v>5</v>
      </c>
      <c r="Q149" t="s">
        <v>5</v>
      </c>
      <c r="R149" t="s">
        <v>10147</v>
      </c>
      <c r="S149" t="s">
        <v>10147</v>
      </c>
      <c r="T149" t="s">
        <v>5</v>
      </c>
      <c r="U149" t="s">
        <v>28</v>
      </c>
      <c r="V149">
        <v>350000</v>
      </c>
      <c r="W149">
        <v>350000</v>
      </c>
      <c r="X149" t="s">
        <v>6</v>
      </c>
      <c r="Y149" t="s">
        <v>3403</v>
      </c>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t="s">
        <v>12472</v>
      </c>
      <c r="BG149" t="s">
        <v>5</v>
      </c>
      <c r="BH149" t="s">
        <v>1020</v>
      </c>
      <c r="BI149" t="s">
        <v>5</v>
      </c>
      <c r="BJ149" t="s">
        <v>5</v>
      </c>
      <c r="BK149" t="s">
        <v>1020</v>
      </c>
      <c r="BL149">
        <v>0</v>
      </c>
      <c r="BM149"/>
      <c r="BN149" t="s">
        <v>5</v>
      </c>
      <c r="BO149"/>
      <c r="BP149"/>
      <c r="BQ149"/>
      <c r="BR149"/>
      <c r="BS149" t="s">
        <v>6</v>
      </c>
      <c r="BT149"/>
      <c r="BU149"/>
      <c r="BV149"/>
      <c r="BW149"/>
      <c r="BX149" t="s">
        <v>6</v>
      </c>
      <c r="BY149" t="s">
        <v>12473</v>
      </c>
      <c r="BZ149"/>
      <c r="CA149"/>
      <c r="CB149" t="s">
        <v>5</v>
      </c>
      <c r="CC149">
        <v>173011.8220302159</v>
      </c>
      <c r="CD149">
        <v>139946195.68725169</v>
      </c>
      <c r="CE149" s="313" t="s">
        <v>11902</v>
      </c>
    </row>
    <row r="150" spans="1:83" ht="15" x14ac:dyDescent="0.25">
      <c r="A150" t="s">
        <v>12375</v>
      </c>
      <c r="B150" t="s">
        <v>12376</v>
      </c>
      <c r="C150" t="s">
        <v>12377</v>
      </c>
      <c r="D150">
        <v>5</v>
      </c>
      <c r="E150" t="s">
        <v>2598</v>
      </c>
      <c r="F150" t="s">
        <v>2644</v>
      </c>
      <c r="G150" t="s">
        <v>2645</v>
      </c>
      <c r="H150" t="s">
        <v>2646</v>
      </c>
      <c r="I150" t="s">
        <v>2647</v>
      </c>
      <c r="J150" t="s">
        <v>2648</v>
      </c>
      <c r="K150" t="s">
        <v>12378</v>
      </c>
      <c r="L150">
        <v>434.4630126953125</v>
      </c>
      <c r="M150" t="s">
        <v>6</v>
      </c>
      <c r="N150" t="s">
        <v>6</v>
      </c>
      <c r="O150" t="s">
        <v>5</v>
      </c>
      <c r="P150" t="s">
        <v>5</v>
      </c>
      <c r="Q150" t="s">
        <v>6</v>
      </c>
      <c r="R150" t="s">
        <v>2649</v>
      </c>
      <c r="S150" t="s">
        <v>2649</v>
      </c>
      <c r="T150" t="s">
        <v>5</v>
      </c>
      <c r="U150" t="s">
        <v>28</v>
      </c>
      <c r="V150">
        <v>345111</v>
      </c>
      <c r="W150">
        <v>345111</v>
      </c>
      <c r="X150" t="s">
        <v>6</v>
      </c>
      <c r="Y150"/>
      <c r="Z150"/>
      <c r="AA150">
        <v>132.16700744628909</v>
      </c>
      <c r="AB150">
        <v>27.913600921630859</v>
      </c>
      <c r="AC150">
        <v>0</v>
      </c>
      <c r="AD150">
        <v>2245</v>
      </c>
      <c r="AE150">
        <v>1093</v>
      </c>
      <c r="AF150">
        <v>1180</v>
      </c>
      <c r="AG150">
        <v>2248</v>
      </c>
      <c r="AH150">
        <v>2940</v>
      </c>
      <c r="AI150">
        <v>4352</v>
      </c>
      <c r="AJ150">
        <v>7</v>
      </c>
      <c r="AK150">
        <v>0</v>
      </c>
      <c r="AL150">
        <v>100</v>
      </c>
      <c r="AM150">
        <v>0</v>
      </c>
      <c r="AN150">
        <v>58715</v>
      </c>
      <c r="AO150"/>
      <c r="AP150"/>
      <c r="AQ150"/>
      <c r="AR150">
        <v>0</v>
      </c>
      <c r="AS150">
        <v>0</v>
      </c>
      <c r="AT150">
        <v>0</v>
      </c>
      <c r="AU150">
        <v>0</v>
      </c>
      <c r="AV150">
        <v>0</v>
      </c>
      <c r="AW150">
        <v>0</v>
      </c>
      <c r="AX150">
        <v>0</v>
      </c>
      <c r="AY150">
        <v>0</v>
      </c>
      <c r="AZ150">
        <v>0</v>
      </c>
      <c r="BA150">
        <v>0</v>
      </c>
      <c r="BB150"/>
      <c r="BC150"/>
      <c r="BD150"/>
      <c r="BE150">
        <v>0</v>
      </c>
      <c r="BF150" t="s">
        <v>12379</v>
      </c>
      <c r="BG150" t="s">
        <v>5</v>
      </c>
      <c r="BH150" t="s">
        <v>1020</v>
      </c>
      <c r="BI150"/>
      <c r="BJ150" t="s">
        <v>5</v>
      </c>
      <c r="BK150"/>
      <c r="BL150">
        <v>0</v>
      </c>
      <c r="BM150"/>
      <c r="BN150" t="s">
        <v>5</v>
      </c>
      <c r="BO150" t="s">
        <v>2518</v>
      </c>
      <c r="BP150" t="s">
        <v>2518</v>
      </c>
      <c r="BQ150" t="s">
        <v>2518</v>
      </c>
      <c r="BR150"/>
      <c r="BS150" t="s">
        <v>6</v>
      </c>
      <c r="BT150" t="s">
        <v>2518</v>
      </c>
      <c r="BU150" t="s">
        <v>2518</v>
      </c>
      <c r="BV150" t="s">
        <v>2518</v>
      </c>
      <c r="BW150"/>
      <c r="BX150" t="s">
        <v>6</v>
      </c>
      <c r="BY150" t="s">
        <v>2605</v>
      </c>
      <c r="BZ150" t="s">
        <v>2518</v>
      </c>
      <c r="CA150"/>
      <c r="CB150" t="s">
        <v>5</v>
      </c>
      <c r="CC150">
        <v>278427.62777734629</v>
      </c>
      <c r="CD150">
        <v>1125258898.973012</v>
      </c>
      <c r="CE150" s="313" t="s">
        <v>11902</v>
      </c>
    </row>
    <row r="151" spans="1:83" ht="15" x14ac:dyDescent="0.25">
      <c r="A151" s="337" t="s">
        <v>986</v>
      </c>
      <c r="B151" s="337" t="s">
        <v>987</v>
      </c>
      <c r="C151" s="337" t="s">
        <v>988</v>
      </c>
      <c r="D151" s="337">
        <v>9</v>
      </c>
      <c r="E151" s="337" t="s">
        <v>416</v>
      </c>
      <c r="F151" s="337" t="s">
        <v>605</v>
      </c>
      <c r="G151" s="337" t="s">
        <v>606</v>
      </c>
      <c r="H151" s="337" t="s">
        <v>607</v>
      </c>
      <c r="I151" s="337" t="s">
        <v>607</v>
      </c>
      <c r="J151" s="337" t="s">
        <v>609</v>
      </c>
      <c r="K151" s="337" t="s">
        <v>894</v>
      </c>
      <c r="L151" s="337">
        <v>910.702880859375</v>
      </c>
      <c r="M151" s="337" t="s">
        <v>5</v>
      </c>
      <c r="N151" s="337" t="s">
        <v>5</v>
      </c>
      <c r="O151" s="337" t="s">
        <v>5</v>
      </c>
      <c r="P151" s="337" t="s">
        <v>5</v>
      </c>
      <c r="Q151" s="337" t="s">
        <v>5</v>
      </c>
      <c r="R151" s="337" t="s">
        <v>989</v>
      </c>
      <c r="S151" s="337" t="s">
        <v>989</v>
      </c>
      <c r="T151" s="337" t="s">
        <v>5</v>
      </c>
      <c r="U151" s="337" t="s">
        <v>4</v>
      </c>
      <c r="V151" s="337">
        <v>367972</v>
      </c>
      <c r="W151" s="337">
        <v>342972</v>
      </c>
      <c r="X151" s="337" t="s">
        <v>6</v>
      </c>
      <c r="Y151" s="337"/>
      <c r="Z151" s="337"/>
      <c r="AA151" s="337">
        <v>44376.2109375</v>
      </c>
      <c r="AB151" s="337">
        <v>7.8159141540527344</v>
      </c>
      <c r="AC151" s="337">
        <v>44376.2109375</v>
      </c>
      <c r="AD151" s="337">
        <v>90</v>
      </c>
      <c r="AE151" s="337">
        <v>10</v>
      </c>
      <c r="AF151" s="337">
        <v>16</v>
      </c>
      <c r="AG151" s="337">
        <v>12</v>
      </c>
      <c r="AH151" s="337">
        <v>23</v>
      </c>
      <c r="AI151" s="337">
        <v>23</v>
      </c>
      <c r="AJ151" s="337">
        <v>0</v>
      </c>
      <c r="AK151" s="337">
        <v>5</v>
      </c>
      <c r="AL151" s="337">
        <v>21</v>
      </c>
      <c r="AM151" s="337">
        <v>0</v>
      </c>
      <c r="AN151" s="337">
        <v>3888.37744140625</v>
      </c>
      <c r="AO151" s="337"/>
      <c r="AP151" s="337"/>
      <c r="AQ151" s="337"/>
      <c r="AR151" s="337">
        <v>23</v>
      </c>
      <c r="AS151" s="337">
        <v>23</v>
      </c>
      <c r="AT151" s="337">
        <v>2</v>
      </c>
      <c r="AU151" s="337">
        <v>4</v>
      </c>
      <c r="AV151" s="337">
        <v>7</v>
      </c>
      <c r="AW151" s="337">
        <v>0</v>
      </c>
      <c r="AX151" s="337">
        <v>1</v>
      </c>
      <c r="AY151" s="337">
        <v>5</v>
      </c>
      <c r="AZ151" s="337">
        <v>0</v>
      </c>
      <c r="BA151" s="337">
        <v>972.0943603515625</v>
      </c>
      <c r="BB151" s="337"/>
      <c r="BC151" s="337"/>
      <c r="BD151" s="337"/>
      <c r="BE151" s="337">
        <v>25000</v>
      </c>
      <c r="BF151" s="337" t="s">
        <v>425</v>
      </c>
      <c r="BG151" s="337" t="s">
        <v>5</v>
      </c>
      <c r="BH151" s="337" t="s">
        <v>1020</v>
      </c>
      <c r="BI151" s="337"/>
      <c r="BJ151" s="337" t="s">
        <v>5</v>
      </c>
      <c r="BK151" s="337"/>
      <c r="BL151" s="337">
        <v>0</v>
      </c>
      <c r="BM151" s="337"/>
      <c r="BN151" s="337" t="s">
        <v>5</v>
      </c>
      <c r="BO151" s="337"/>
      <c r="BP151" s="337"/>
      <c r="BQ151" s="337"/>
      <c r="BR151" s="337"/>
      <c r="BS151" s="337" t="s">
        <v>5</v>
      </c>
      <c r="BT151" s="337"/>
      <c r="BU151" s="337"/>
      <c r="BV151" s="337"/>
      <c r="BW151" s="337"/>
      <c r="BX151" s="337" t="s">
        <v>6</v>
      </c>
      <c r="BY151" s="337" t="s">
        <v>426</v>
      </c>
      <c r="BZ151" s="337"/>
      <c r="CB151" s="337" t="s">
        <v>5</v>
      </c>
      <c r="CC151" s="337">
        <v>194179.7392590458</v>
      </c>
      <c r="CD151" s="337">
        <v>2358709654.643847</v>
      </c>
      <c r="CE151" s="313" t="s">
        <v>11891</v>
      </c>
    </row>
    <row r="152" spans="1:83" ht="15" x14ac:dyDescent="0.25">
      <c r="A152" t="s">
        <v>3592</v>
      </c>
      <c r="B152" t="s">
        <v>3593</v>
      </c>
      <c r="C152" t="s">
        <v>3594</v>
      </c>
      <c r="D152">
        <v>13</v>
      </c>
      <c r="E152" t="s">
        <v>3573</v>
      </c>
      <c r="F152" t="s">
        <v>3595</v>
      </c>
      <c r="G152" t="s">
        <v>3596</v>
      </c>
      <c r="H152" t="s">
        <v>3597</v>
      </c>
      <c r="I152"/>
      <c r="J152"/>
      <c r="K152" t="s">
        <v>3598</v>
      </c>
      <c r="L152">
        <v>1214.849731445312</v>
      </c>
      <c r="M152" t="s">
        <v>6</v>
      </c>
      <c r="N152" t="s">
        <v>6</v>
      </c>
      <c r="O152" t="s">
        <v>6</v>
      </c>
      <c r="P152" t="s">
        <v>5</v>
      </c>
      <c r="Q152" t="s">
        <v>5</v>
      </c>
      <c r="R152" t="s">
        <v>3599</v>
      </c>
      <c r="S152" t="s">
        <v>3600</v>
      </c>
      <c r="T152" t="s">
        <v>6</v>
      </c>
      <c r="U152" t="s">
        <v>28</v>
      </c>
      <c r="V152">
        <v>300000</v>
      </c>
      <c r="W152">
        <v>300000</v>
      </c>
      <c r="X152" t="s">
        <v>5</v>
      </c>
      <c r="Y152"/>
      <c r="Z152"/>
      <c r="AA152">
        <v>189.6795959472656</v>
      </c>
      <c r="AB152">
        <v>63.268394470214837</v>
      </c>
      <c r="AC152">
        <v>0</v>
      </c>
      <c r="AD152">
        <v>1947</v>
      </c>
      <c r="AE152">
        <v>1229</v>
      </c>
      <c r="AF152">
        <v>1498</v>
      </c>
      <c r="AG152">
        <v>3669</v>
      </c>
      <c r="AH152">
        <v>3442</v>
      </c>
      <c r="AI152">
        <v>3669</v>
      </c>
      <c r="AJ152">
        <v>1</v>
      </c>
      <c r="AK152">
        <v>28</v>
      </c>
      <c r="AL152">
        <v>141</v>
      </c>
      <c r="AM152">
        <v>570</v>
      </c>
      <c r="AN152">
        <v>3068.908447265625</v>
      </c>
      <c r="AO152"/>
      <c r="AP152"/>
      <c r="AQ152"/>
      <c r="AR152"/>
      <c r="AS152"/>
      <c r="AT152"/>
      <c r="AU152"/>
      <c r="AV152"/>
      <c r="AW152"/>
      <c r="AX152"/>
      <c r="AY152"/>
      <c r="AZ152"/>
      <c r="BA152"/>
      <c r="BB152"/>
      <c r="BC152"/>
      <c r="BD152"/>
      <c r="BE152">
        <v>0</v>
      </c>
      <c r="BF152" t="s">
        <v>5</v>
      </c>
      <c r="BG152" t="s">
        <v>5</v>
      </c>
      <c r="BH152" t="s">
        <v>3581</v>
      </c>
      <c r="BI152"/>
      <c r="BJ152" t="s">
        <v>5</v>
      </c>
      <c r="BK152"/>
      <c r="BL152">
        <v>0</v>
      </c>
      <c r="BM152"/>
      <c r="BN152" t="s">
        <v>5</v>
      </c>
      <c r="BO152"/>
      <c r="BP152"/>
      <c r="BQ152"/>
      <c r="BR152"/>
      <c r="BS152" t="s">
        <v>5</v>
      </c>
      <c r="BT152"/>
      <c r="BU152"/>
      <c r="BV152"/>
      <c r="BW152"/>
      <c r="BX152" t="s">
        <v>6</v>
      </c>
      <c r="BY152" t="s">
        <v>3601</v>
      </c>
      <c r="BZ152"/>
      <c r="CA152"/>
      <c r="CB152" t="s">
        <v>5</v>
      </c>
      <c r="CC152">
        <v>235343.69200057781</v>
      </c>
      <c r="CD152">
        <v>3146458973.8489671</v>
      </c>
      <c r="CE152" s="313" t="s">
        <v>11891</v>
      </c>
    </row>
    <row r="153" spans="1:83" ht="15" x14ac:dyDescent="0.25">
      <c r="A153" t="s">
        <v>4584</v>
      </c>
      <c r="B153" t="s">
        <v>1851</v>
      </c>
      <c r="C153" t="s">
        <v>1852</v>
      </c>
      <c r="D153">
        <v>4</v>
      </c>
      <c r="E153" t="s">
        <v>2512</v>
      </c>
      <c r="F153" t="s">
        <v>4580</v>
      </c>
      <c r="G153" t="s">
        <v>2513</v>
      </c>
      <c r="H153" t="s">
        <v>4581</v>
      </c>
      <c r="I153" t="s">
        <v>4582</v>
      </c>
      <c r="J153" t="s">
        <v>4583</v>
      </c>
      <c r="K153" t="s">
        <v>4567</v>
      </c>
      <c r="L153">
        <v>804.6400146484375</v>
      </c>
      <c r="M153" t="s">
        <v>6</v>
      </c>
      <c r="N153" t="s">
        <v>5</v>
      </c>
      <c r="O153" t="s">
        <v>5</v>
      </c>
      <c r="P153" t="s">
        <v>5</v>
      </c>
      <c r="Q153" t="s">
        <v>5</v>
      </c>
      <c r="R153" t="s">
        <v>1845</v>
      </c>
      <c r="S153" t="s">
        <v>1845</v>
      </c>
      <c r="T153" t="s">
        <v>5</v>
      </c>
      <c r="U153" t="s">
        <v>28</v>
      </c>
      <c r="V153">
        <v>300000</v>
      </c>
      <c r="W153">
        <v>300000</v>
      </c>
      <c r="X153" t="s">
        <v>6</v>
      </c>
      <c r="Y153"/>
      <c r="Z153">
        <v>0</v>
      </c>
      <c r="AA153">
        <v>8.130000114440918</v>
      </c>
      <c r="AB153">
        <v>0.40000000596046448</v>
      </c>
      <c r="AC153">
        <v>0</v>
      </c>
      <c r="AD153">
        <v>79</v>
      </c>
      <c r="AE153">
        <v>8</v>
      </c>
      <c r="AF153">
        <v>58</v>
      </c>
      <c r="AG153">
        <v>27</v>
      </c>
      <c r="AH153">
        <v>100</v>
      </c>
      <c r="AI153">
        <v>100</v>
      </c>
      <c r="AJ153">
        <v>0</v>
      </c>
      <c r="AK153">
        <v>3</v>
      </c>
      <c r="AL153">
        <v>5</v>
      </c>
      <c r="AM153">
        <v>3</v>
      </c>
      <c r="AN153">
        <v>2566.5</v>
      </c>
      <c r="AO153"/>
      <c r="AP153"/>
      <c r="AQ153"/>
      <c r="AR153">
        <v>0</v>
      </c>
      <c r="AS153">
        <v>0</v>
      </c>
      <c r="AT153">
        <v>0</v>
      </c>
      <c r="AU153">
        <v>0</v>
      </c>
      <c r="AV153">
        <v>0</v>
      </c>
      <c r="AW153">
        <v>0</v>
      </c>
      <c r="AX153">
        <v>0</v>
      </c>
      <c r="AY153">
        <v>0</v>
      </c>
      <c r="AZ153">
        <v>0</v>
      </c>
      <c r="BA153">
        <v>0</v>
      </c>
      <c r="BB153"/>
      <c r="BC153"/>
      <c r="BD153"/>
      <c r="BE153">
        <v>0</v>
      </c>
      <c r="BF153" t="s">
        <v>2516</v>
      </c>
      <c r="BG153" t="s">
        <v>5</v>
      </c>
      <c r="BH153" t="s">
        <v>1100</v>
      </c>
      <c r="BI153" t="s">
        <v>1100</v>
      </c>
      <c r="BJ153" t="s">
        <v>5</v>
      </c>
      <c r="BK153" t="s">
        <v>1100</v>
      </c>
      <c r="BL153">
        <v>0</v>
      </c>
      <c r="BM153"/>
      <c r="BN153" t="s">
        <v>5</v>
      </c>
      <c r="BO153" t="s">
        <v>2518</v>
      </c>
      <c r="BP153" t="s">
        <v>2518</v>
      </c>
      <c r="BQ153" t="s">
        <v>2518</v>
      </c>
      <c r="BR153" t="s">
        <v>2518</v>
      </c>
      <c r="BS153" t="s">
        <v>6</v>
      </c>
      <c r="BT153" t="s">
        <v>2518</v>
      </c>
      <c r="BU153" t="s">
        <v>2518</v>
      </c>
      <c r="BV153" t="s">
        <v>2518</v>
      </c>
      <c r="BW153" t="s">
        <v>1100</v>
      </c>
      <c r="BX153" t="s">
        <v>6</v>
      </c>
      <c r="BY153" t="s">
        <v>2519</v>
      </c>
      <c r="BZ153"/>
      <c r="CA153"/>
      <c r="CB153" t="s">
        <v>5</v>
      </c>
      <c r="CC153">
        <v>204262.62472743081</v>
      </c>
      <c r="CD153">
        <v>2084014426.8227501</v>
      </c>
      <c r="CE153" s="313" t="s">
        <v>11891</v>
      </c>
    </row>
    <row r="154" spans="1:83" ht="15" x14ac:dyDescent="0.25">
      <c r="A154" t="s">
        <v>3117</v>
      </c>
      <c r="B154" t="s">
        <v>3118</v>
      </c>
      <c r="C154" t="s">
        <v>3119</v>
      </c>
      <c r="D154">
        <v>7</v>
      </c>
      <c r="E154" t="s">
        <v>2979</v>
      </c>
      <c r="F154" t="s">
        <v>3043</v>
      </c>
      <c r="G154" t="s">
        <v>3044</v>
      </c>
      <c r="H154" t="s">
        <v>3120</v>
      </c>
      <c r="I154" t="s">
        <v>3121</v>
      </c>
      <c r="J154" t="s">
        <v>3122</v>
      </c>
      <c r="K154" t="s">
        <v>3060</v>
      </c>
      <c r="L154">
        <v>123.5123291015625</v>
      </c>
      <c r="M154" t="s">
        <v>6</v>
      </c>
      <c r="N154" t="s">
        <v>5</v>
      </c>
      <c r="O154" t="s">
        <v>6</v>
      </c>
      <c r="P154" t="s">
        <v>6</v>
      </c>
      <c r="Q154" t="s">
        <v>5</v>
      </c>
      <c r="R154" t="s">
        <v>3048</v>
      </c>
      <c r="S154" t="s">
        <v>3048</v>
      </c>
      <c r="T154" t="s">
        <v>5</v>
      </c>
      <c r="U154" t="s">
        <v>85</v>
      </c>
      <c r="V154">
        <v>300000</v>
      </c>
      <c r="W154">
        <v>300000</v>
      </c>
      <c r="X154" t="s">
        <v>5</v>
      </c>
      <c r="Y154" t="s">
        <v>1100</v>
      </c>
      <c r="Z154">
        <v>0</v>
      </c>
      <c r="AA154">
        <v>17.344047546386719</v>
      </c>
      <c r="AB154">
        <v>8.023859977722168</v>
      </c>
      <c r="AC154">
        <v>0</v>
      </c>
      <c r="AD154">
        <v>4916</v>
      </c>
      <c r="AE154">
        <v>5642</v>
      </c>
      <c r="AF154">
        <v>3878</v>
      </c>
      <c r="AG154">
        <v>16633</v>
      </c>
      <c r="AH154">
        <v>17975</v>
      </c>
      <c r="AI154">
        <v>17975</v>
      </c>
      <c r="AJ154">
        <v>9</v>
      </c>
      <c r="AK154">
        <v>28</v>
      </c>
      <c r="AL154">
        <v>169</v>
      </c>
      <c r="AM154">
        <v>0</v>
      </c>
      <c r="AN154">
        <v>3514.048828125</v>
      </c>
      <c r="AO154">
        <v>0</v>
      </c>
      <c r="AP154">
        <v>0</v>
      </c>
      <c r="AQ154">
        <v>0</v>
      </c>
      <c r="AR154">
        <v>0</v>
      </c>
      <c r="AS154">
        <v>0</v>
      </c>
      <c r="AT154">
        <v>0</v>
      </c>
      <c r="AU154">
        <v>0</v>
      </c>
      <c r="AV154">
        <v>0</v>
      </c>
      <c r="AW154">
        <v>0</v>
      </c>
      <c r="AX154">
        <v>0</v>
      </c>
      <c r="AY154">
        <v>0</v>
      </c>
      <c r="AZ154">
        <v>0</v>
      </c>
      <c r="BA154">
        <v>0</v>
      </c>
      <c r="BB154">
        <v>0</v>
      </c>
      <c r="BC154">
        <v>0</v>
      </c>
      <c r="BD154">
        <v>0</v>
      </c>
      <c r="BE154">
        <v>0</v>
      </c>
      <c r="BF154" t="s">
        <v>1100</v>
      </c>
      <c r="BG154" t="s">
        <v>5</v>
      </c>
      <c r="BH154" t="s">
        <v>2987</v>
      </c>
      <c r="BI154" t="s">
        <v>1100</v>
      </c>
      <c r="BJ154" t="s">
        <v>5</v>
      </c>
      <c r="BK154" t="s">
        <v>1100</v>
      </c>
      <c r="BL154">
        <v>0</v>
      </c>
      <c r="BM154">
        <v>0</v>
      </c>
      <c r="BN154" t="s">
        <v>5</v>
      </c>
      <c r="BO154" t="s">
        <v>1100</v>
      </c>
      <c r="BP154" t="s">
        <v>1100</v>
      </c>
      <c r="BQ154" t="s">
        <v>1100</v>
      </c>
      <c r="BR154" t="s">
        <v>1100</v>
      </c>
      <c r="BS154" t="s">
        <v>5</v>
      </c>
      <c r="BT154" t="s">
        <v>1100</v>
      </c>
      <c r="BU154" t="s">
        <v>1100</v>
      </c>
      <c r="BV154" t="s">
        <v>1100</v>
      </c>
      <c r="BW154" t="s">
        <v>1100</v>
      </c>
      <c r="BX154" t="s">
        <v>6</v>
      </c>
      <c r="BY154" t="s">
        <v>2988</v>
      </c>
      <c r="BZ154" t="s">
        <v>3049</v>
      </c>
      <c r="CA154"/>
      <c r="CB154" t="s">
        <v>5</v>
      </c>
      <c r="CC154">
        <v>150006.0476279218</v>
      </c>
      <c r="CD154">
        <v>319896741.73958391</v>
      </c>
      <c r="CE154" s="313" t="s">
        <v>11891</v>
      </c>
    </row>
    <row r="155" spans="1:83" ht="15" x14ac:dyDescent="0.25">
      <c r="A155" t="s">
        <v>12532</v>
      </c>
      <c r="B155" t="s">
        <v>12533</v>
      </c>
      <c r="C155" t="s">
        <v>12534</v>
      </c>
      <c r="D155">
        <v>8</v>
      </c>
      <c r="E155" t="s">
        <v>3395</v>
      </c>
      <c r="F155" t="s">
        <v>3396</v>
      </c>
      <c r="G155" t="s">
        <v>3397</v>
      </c>
      <c r="H155" t="s">
        <v>3398</v>
      </c>
      <c r="I155" t="s">
        <v>3399</v>
      </c>
      <c r="J155" t="s">
        <v>3400</v>
      </c>
      <c r="K155" t="s">
        <v>12491</v>
      </c>
      <c r="L155">
        <v>100.72193908691411</v>
      </c>
      <c r="M155" t="s">
        <v>6</v>
      </c>
      <c r="N155" t="s">
        <v>5</v>
      </c>
      <c r="O155" t="s">
        <v>5</v>
      </c>
      <c r="P155" t="s">
        <v>5</v>
      </c>
      <c r="Q155" t="s">
        <v>5</v>
      </c>
      <c r="R155" t="s">
        <v>3402</v>
      </c>
      <c r="S155" t="s">
        <v>3402</v>
      </c>
      <c r="T155" t="s">
        <v>5</v>
      </c>
      <c r="U155" t="s">
        <v>50</v>
      </c>
      <c r="V155">
        <v>300000</v>
      </c>
      <c r="W155">
        <v>300000</v>
      </c>
      <c r="X155" t="s">
        <v>6</v>
      </c>
      <c r="Y155" t="s">
        <v>3403</v>
      </c>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t="s">
        <v>12472</v>
      </c>
      <c r="BG155" t="s">
        <v>5</v>
      </c>
      <c r="BH155" t="s">
        <v>1020</v>
      </c>
      <c r="BI155" t="s">
        <v>5</v>
      </c>
      <c r="BJ155" t="s">
        <v>5</v>
      </c>
      <c r="BK155" t="s">
        <v>1020</v>
      </c>
      <c r="BL155">
        <v>0</v>
      </c>
      <c r="BM155"/>
      <c r="BN155" t="s">
        <v>5</v>
      </c>
      <c r="BO155"/>
      <c r="BP155"/>
      <c r="BQ155"/>
      <c r="BR155"/>
      <c r="BS155" t="s">
        <v>6</v>
      </c>
      <c r="BT155"/>
      <c r="BU155"/>
      <c r="BV155"/>
      <c r="BW155"/>
      <c r="BX155" t="s">
        <v>6</v>
      </c>
      <c r="BY155" t="s">
        <v>12473</v>
      </c>
      <c r="BZ155"/>
      <c r="CA155"/>
      <c r="CB155" t="s">
        <v>5</v>
      </c>
      <c r="CC155">
        <v>263428.99035529472</v>
      </c>
      <c r="CD155">
        <v>260868621.81166741</v>
      </c>
      <c r="CE155" s="313" t="s">
        <v>11902</v>
      </c>
    </row>
    <row r="156" spans="1:83" ht="15" x14ac:dyDescent="0.25">
      <c r="A156" t="s">
        <v>1850</v>
      </c>
      <c r="B156" t="s">
        <v>1851</v>
      </c>
      <c r="C156" t="s">
        <v>1852</v>
      </c>
      <c r="D156">
        <v>3</v>
      </c>
      <c r="E156" t="s">
        <v>1771</v>
      </c>
      <c r="F156" t="s">
        <v>1843</v>
      </c>
      <c r="G156" t="s">
        <v>1844</v>
      </c>
      <c r="H156" t="s">
        <v>4380</v>
      </c>
      <c r="I156" t="s">
        <v>1810</v>
      </c>
      <c r="J156" t="s">
        <v>1838</v>
      </c>
      <c r="K156" t="s">
        <v>1853</v>
      </c>
      <c r="L156">
        <v>804.42681884765625</v>
      </c>
      <c r="M156" t="s">
        <v>6</v>
      </c>
      <c r="N156" t="s">
        <v>5</v>
      </c>
      <c r="O156" t="s">
        <v>5</v>
      </c>
      <c r="P156" t="s">
        <v>5</v>
      </c>
      <c r="Q156" t="s">
        <v>5</v>
      </c>
      <c r="R156" t="s">
        <v>4382</v>
      </c>
      <c r="S156" t="s">
        <v>1854</v>
      </c>
      <c r="T156" t="s">
        <v>5</v>
      </c>
      <c r="U156" t="s">
        <v>4</v>
      </c>
      <c r="V156">
        <v>300000</v>
      </c>
      <c r="W156">
        <v>300000</v>
      </c>
      <c r="X156" t="s">
        <v>6</v>
      </c>
      <c r="Y156"/>
      <c r="Z156">
        <v>30000</v>
      </c>
      <c r="AA156">
        <v>254.63920593261719</v>
      </c>
      <c r="AB156">
        <v>17.061000823974609</v>
      </c>
      <c r="AC156">
        <v>2.9461290836334229</v>
      </c>
      <c r="AD156">
        <v>2086</v>
      </c>
      <c r="AE156">
        <v>1203</v>
      </c>
      <c r="AF156">
        <v>1672</v>
      </c>
      <c r="AG156">
        <v>1447</v>
      </c>
      <c r="AH156">
        <v>3820</v>
      </c>
      <c r="AI156">
        <v>3820</v>
      </c>
      <c r="AJ156">
        <v>13</v>
      </c>
      <c r="AK156">
        <v>16</v>
      </c>
      <c r="AL156">
        <v>148</v>
      </c>
      <c r="AM156"/>
      <c r="AN156">
        <v>88117.9765625</v>
      </c>
      <c r="AO156"/>
      <c r="AP156"/>
      <c r="AQ156"/>
      <c r="AR156"/>
      <c r="AS156"/>
      <c r="AT156"/>
      <c r="AU156"/>
      <c r="AV156"/>
      <c r="AW156"/>
      <c r="AX156"/>
      <c r="AY156"/>
      <c r="AZ156"/>
      <c r="BA156"/>
      <c r="BB156"/>
      <c r="BC156"/>
      <c r="BD156"/>
      <c r="BE156"/>
      <c r="BF156" t="s">
        <v>5</v>
      </c>
      <c r="BG156" t="s">
        <v>5</v>
      </c>
      <c r="BH156" t="s">
        <v>1777</v>
      </c>
      <c r="BI156"/>
      <c r="BJ156" t="s">
        <v>5</v>
      </c>
      <c r="BK156"/>
      <c r="BL156">
        <v>0</v>
      </c>
      <c r="BM156"/>
      <c r="BN156" t="s">
        <v>5</v>
      </c>
      <c r="BO156"/>
      <c r="BP156"/>
      <c r="BQ156"/>
      <c r="BR156"/>
      <c r="BS156" t="s">
        <v>5</v>
      </c>
      <c r="BT156"/>
      <c r="BU156"/>
      <c r="BV156"/>
      <c r="BW156" t="s">
        <v>1778</v>
      </c>
      <c r="BX156" t="s">
        <v>6</v>
      </c>
      <c r="BY156" t="s">
        <v>1101</v>
      </c>
      <c r="BZ156"/>
      <c r="CA156"/>
      <c r="CB156" t="s">
        <v>5</v>
      </c>
      <c r="CC156">
        <v>204261.5979170051</v>
      </c>
      <c r="CD156">
        <v>2084007334.558543</v>
      </c>
      <c r="CE156" s="313" t="s">
        <v>11891</v>
      </c>
    </row>
    <row r="157" spans="1:83" ht="15" x14ac:dyDescent="0.25">
      <c r="A157" t="s">
        <v>11954</v>
      </c>
      <c r="B157" t="s">
        <v>11955</v>
      </c>
      <c r="C157" t="s">
        <v>11949</v>
      </c>
      <c r="D157">
        <v>15</v>
      </c>
      <c r="E157" t="s">
        <v>3847</v>
      </c>
      <c r="F157" t="s">
        <v>3864</v>
      </c>
      <c r="G157" t="s">
        <v>3849</v>
      </c>
      <c r="H157" t="s">
        <v>4162</v>
      </c>
      <c r="I157" t="s">
        <v>4163</v>
      </c>
      <c r="J157" t="s">
        <v>4258</v>
      </c>
      <c r="K157" t="s">
        <v>3902</v>
      </c>
      <c r="L157">
        <v>5.4977245330810547</v>
      </c>
      <c r="M157" t="s">
        <v>5</v>
      </c>
      <c r="N157" t="s">
        <v>5</v>
      </c>
      <c r="O157" t="s">
        <v>6</v>
      </c>
      <c r="P157" t="s">
        <v>5</v>
      </c>
      <c r="Q157" t="s">
        <v>5</v>
      </c>
      <c r="R157" t="s">
        <v>4260</v>
      </c>
      <c r="S157" t="s">
        <v>11956</v>
      </c>
      <c r="T157" t="s">
        <v>6</v>
      </c>
      <c r="U157" t="s">
        <v>50</v>
      </c>
      <c r="V157">
        <v>300000</v>
      </c>
      <c r="W157">
        <v>300000</v>
      </c>
      <c r="X157" t="s">
        <v>6</v>
      </c>
      <c r="Y157"/>
      <c r="Z157">
        <v>0</v>
      </c>
      <c r="AA157">
        <v>0.71838158369064331</v>
      </c>
      <c r="AB157">
        <v>1.593548178672791</v>
      </c>
      <c r="AC157">
        <v>8.2264453172683716E-2</v>
      </c>
      <c r="AD157">
        <v>541</v>
      </c>
      <c r="AE157">
        <v>1441</v>
      </c>
      <c r="AF157">
        <v>458</v>
      </c>
      <c r="AG157">
        <v>1208</v>
      </c>
      <c r="AH157">
        <v>1769</v>
      </c>
      <c r="AI157">
        <v>1769</v>
      </c>
      <c r="AJ157">
        <v>7</v>
      </c>
      <c r="AK157">
        <v>0</v>
      </c>
      <c r="AL157">
        <v>15</v>
      </c>
      <c r="AM157">
        <v>0</v>
      </c>
      <c r="AN157">
        <v>0.2804533839225769</v>
      </c>
      <c r="AO157"/>
      <c r="AP157"/>
      <c r="AQ157"/>
      <c r="AR157">
        <v>0</v>
      </c>
      <c r="AS157">
        <v>0</v>
      </c>
      <c r="AT157">
        <v>0</v>
      </c>
      <c r="AU157">
        <v>0</v>
      </c>
      <c r="AV157">
        <v>0</v>
      </c>
      <c r="AW157">
        <v>0</v>
      </c>
      <c r="AX157">
        <v>0</v>
      </c>
      <c r="AY157">
        <v>0</v>
      </c>
      <c r="AZ157">
        <v>0</v>
      </c>
      <c r="BA157">
        <v>0</v>
      </c>
      <c r="BB157">
        <v>0</v>
      </c>
      <c r="BC157">
        <v>0</v>
      </c>
      <c r="BD157">
        <v>0</v>
      </c>
      <c r="BE157">
        <v>0</v>
      </c>
      <c r="BF157" t="s">
        <v>5</v>
      </c>
      <c r="BG157" t="s">
        <v>5</v>
      </c>
      <c r="BH157"/>
      <c r="BI157"/>
      <c r="BJ157" t="s">
        <v>5</v>
      </c>
      <c r="BK157"/>
      <c r="BL157">
        <v>0</v>
      </c>
      <c r="BM157">
        <v>0</v>
      </c>
      <c r="BN157" t="s">
        <v>5</v>
      </c>
      <c r="BO157"/>
      <c r="BP157"/>
      <c r="BQ157"/>
      <c r="BR157"/>
      <c r="BS157" t="s">
        <v>5</v>
      </c>
      <c r="BT157"/>
      <c r="BU157"/>
      <c r="BV157"/>
      <c r="BW157"/>
      <c r="BX157" t="s">
        <v>6</v>
      </c>
      <c r="BY157" t="s">
        <v>4232</v>
      </c>
      <c r="BZ157"/>
      <c r="CA157"/>
      <c r="CB157" t="s">
        <v>5</v>
      </c>
      <c r="CC157">
        <v>288949.96145606658</v>
      </c>
      <c r="CD157">
        <v>4616947534.7312641</v>
      </c>
      <c r="CE157" s="313" t="s">
        <v>11902</v>
      </c>
    </row>
    <row r="158" spans="1:83" ht="15" x14ac:dyDescent="0.25">
      <c r="A158" t="s">
        <v>11957</v>
      </c>
      <c r="B158" t="s">
        <v>11958</v>
      </c>
      <c r="C158" t="s">
        <v>11949</v>
      </c>
      <c r="D158">
        <v>15</v>
      </c>
      <c r="E158" t="s">
        <v>3847</v>
      </c>
      <c r="F158" t="s">
        <v>3864</v>
      </c>
      <c r="G158" t="s">
        <v>3849</v>
      </c>
      <c r="H158" t="s">
        <v>4162</v>
      </c>
      <c r="I158" t="s">
        <v>4163</v>
      </c>
      <c r="J158" t="s">
        <v>4258</v>
      </c>
      <c r="K158" t="s">
        <v>3902</v>
      </c>
      <c r="L158">
        <v>10.87608623504639</v>
      </c>
      <c r="M158" t="s">
        <v>5</v>
      </c>
      <c r="N158" t="s">
        <v>5</v>
      </c>
      <c r="O158" t="s">
        <v>6</v>
      </c>
      <c r="P158" t="s">
        <v>5</v>
      </c>
      <c r="Q158" t="s">
        <v>5</v>
      </c>
      <c r="R158" t="s">
        <v>4164</v>
      </c>
      <c r="S158" t="s">
        <v>4165</v>
      </c>
      <c r="T158" t="s">
        <v>6</v>
      </c>
      <c r="U158" t="s">
        <v>50</v>
      </c>
      <c r="V158">
        <v>300000</v>
      </c>
      <c r="W158">
        <v>300000</v>
      </c>
      <c r="X158" t="s">
        <v>6</v>
      </c>
      <c r="Y158"/>
      <c r="Z158">
        <v>0</v>
      </c>
      <c r="AA158">
        <v>0.42692360281944269</v>
      </c>
      <c r="AB158">
        <v>1.005835175514221</v>
      </c>
      <c r="AC158">
        <v>2.304140850901604E-2</v>
      </c>
      <c r="AD158">
        <v>287</v>
      </c>
      <c r="AE158">
        <v>937</v>
      </c>
      <c r="AF158">
        <v>230</v>
      </c>
      <c r="AG158">
        <v>926</v>
      </c>
      <c r="AH158">
        <v>1758</v>
      </c>
      <c r="AI158">
        <v>1758</v>
      </c>
      <c r="AJ158">
        <v>6</v>
      </c>
      <c r="AK158">
        <v>0</v>
      </c>
      <c r="AL158">
        <v>8</v>
      </c>
      <c r="AM158">
        <v>0</v>
      </c>
      <c r="AN158">
        <v>0.27433517575263983</v>
      </c>
      <c r="AO158"/>
      <c r="AP158"/>
      <c r="AQ158"/>
      <c r="AR158">
        <v>0</v>
      </c>
      <c r="AS158">
        <v>0</v>
      </c>
      <c r="AT158">
        <v>0</v>
      </c>
      <c r="AU158">
        <v>0</v>
      </c>
      <c r="AV158">
        <v>0</v>
      </c>
      <c r="AW158">
        <v>0</v>
      </c>
      <c r="AX158">
        <v>0</v>
      </c>
      <c r="AY158">
        <v>0</v>
      </c>
      <c r="AZ158">
        <v>0</v>
      </c>
      <c r="BA158">
        <v>0</v>
      </c>
      <c r="BB158">
        <v>0</v>
      </c>
      <c r="BC158">
        <v>0</v>
      </c>
      <c r="BD158">
        <v>0</v>
      </c>
      <c r="BE158">
        <v>0</v>
      </c>
      <c r="BF158" t="s">
        <v>5</v>
      </c>
      <c r="BG158" t="s">
        <v>5</v>
      </c>
      <c r="BH158"/>
      <c r="BI158"/>
      <c r="BJ158" t="s">
        <v>5</v>
      </c>
      <c r="BK158"/>
      <c r="BL158">
        <v>0</v>
      </c>
      <c r="BM158">
        <v>0</v>
      </c>
      <c r="BN158" t="s">
        <v>5</v>
      </c>
      <c r="BO158"/>
      <c r="BP158"/>
      <c r="BQ158"/>
      <c r="BR158"/>
      <c r="BS158" t="s">
        <v>5</v>
      </c>
      <c r="BT158"/>
      <c r="BU158"/>
      <c r="BV158"/>
      <c r="BW158"/>
      <c r="BX158" t="s">
        <v>6</v>
      </c>
      <c r="BY158" t="s">
        <v>4232</v>
      </c>
      <c r="BZ158"/>
      <c r="CA158"/>
      <c r="CB158" t="s">
        <v>5</v>
      </c>
      <c r="CC158">
        <v>288949.96145606658</v>
      </c>
      <c r="CD158">
        <v>4616947534.7312641</v>
      </c>
      <c r="CE158" s="313" t="s">
        <v>11902</v>
      </c>
    </row>
    <row r="159" spans="1:83" ht="15" x14ac:dyDescent="0.25">
      <c r="A159" t="s">
        <v>11959</v>
      </c>
      <c r="B159" t="s">
        <v>11960</v>
      </c>
      <c r="C159" t="s">
        <v>11949</v>
      </c>
      <c r="D159">
        <v>15</v>
      </c>
      <c r="E159" t="s">
        <v>3847</v>
      </c>
      <c r="F159" t="s">
        <v>3848</v>
      </c>
      <c r="G159" t="s">
        <v>3849</v>
      </c>
      <c r="H159" t="s">
        <v>4210</v>
      </c>
      <c r="I159" t="s">
        <v>4211</v>
      </c>
      <c r="J159" t="s">
        <v>4248</v>
      </c>
      <c r="K159" t="s">
        <v>3902</v>
      </c>
      <c r="L159">
        <v>44.857254028320313</v>
      </c>
      <c r="M159" t="s">
        <v>5</v>
      </c>
      <c r="N159" t="s">
        <v>5</v>
      </c>
      <c r="O159" t="s">
        <v>6</v>
      </c>
      <c r="P159" t="s">
        <v>5</v>
      </c>
      <c r="Q159" t="s">
        <v>5</v>
      </c>
      <c r="R159" t="s">
        <v>3991</v>
      </c>
      <c r="S159" t="s">
        <v>11961</v>
      </c>
      <c r="T159" t="s">
        <v>6</v>
      </c>
      <c r="U159" t="s">
        <v>50</v>
      </c>
      <c r="V159">
        <v>300000</v>
      </c>
      <c r="W159">
        <v>300000</v>
      </c>
      <c r="X159" t="s">
        <v>6</v>
      </c>
      <c r="Y159"/>
      <c r="Z159">
        <v>0</v>
      </c>
      <c r="AA159">
        <v>0.95195251703262329</v>
      </c>
      <c r="AB159">
        <v>1.785615801811218</v>
      </c>
      <c r="AC159">
        <v>3.2780114561319351E-2</v>
      </c>
      <c r="AD159">
        <v>389</v>
      </c>
      <c r="AE159">
        <v>842</v>
      </c>
      <c r="AF159">
        <v>369</v>
      </c>
      <c r="AG159">
        <v>460</v>
      </c>
      <c r="AH159">
        <v>1107</v>
      </c>
      <c r="AI159">
        <v>1107</v>
      </c>
      <c r="AJ159">
        <v>3</v>
      </c>
      <c r="AK159">
        <v>0</v>
      </c>
      <c r="AL159">
        <v>7</v>
      </c>
      <c r="AM159">
        <v>0</v>
      </c>
      <c r="AN159">
        <v>0.93940138816833496</v>
      </c>
      <c r="AO159"/>
      <c r="AP159"/>
      <c r="AQ159"/>
      <c r="AR159">
        <v>0</v>
      </c>
      <c r="AS159">
        <v>0</v>
      </c>
      <c r="AT159">
        <v>0</v>
      </c>
      <c r="AU159">
        <v>0</v>
      </c>
      <c r="AV159">
        <v>0</v>
      </c>
      <c r="AW159">
        <v>0</v>
      </c>
      <c r="AX159">
        <v>0</v>
      </c>
      <c r="AY159">
        <v>0</v>
      </c>
      <c r="AZ159">
        <v>0</v>
      </c>
      <c r="BA159">
        <v>0</v>
      </c>
      <c r="BB159">
        <v>0</v>
      </c>
      <c r="BC159">
        <v>0</v>
      </c>
      <c r="BD159">
        <v>0</v>
      </c>
      <c r="BE159">
        <v>0</v>
      </c>
      <c r="BF159" t="s">
        <v>5</v>
      </c>
      <c r="BG159" t="s">
        <v>5</v>
      </c>
      <c r="BH159"/>
      <c r="BI159"/>
      <c r="BJ159" t="s">
        <v>5</v>
      </c>
      <c r="BK159"/>
      <c r="BL159">
        <v>0</v>
      </c>
      <c r="BM159">
        <v>0</v>
      </c>
      <c r="BN159" t="s">
        <v>5</v>
      </c>
      <c r="BO159"/>
      <c r="BP159"/>
      <c r="BQ159"/>
      <c r="BR159"/>
      <c r="BS159" t="s">
        <v>5</v>
      </c>
      <c r="BT159"/>
      <c r="BU159"/>
      <c r="BV159"/>
      <c r="BW159"/>
      <c r="BX159" t="s">
        <v>6</v>
      </c>
      <c r="BY159" t="s">
        <v>4232</v>
      </c>
      <c r="BZ159"/>
      <c r="CA159"/>
      <c r="CB159" t="s">
        <v>5</v>
      </c>
      <c r="CC159">
        <v>288949.96145606658</v>
      </c>
      <c r="CD159">
        <v>4616947534.7312641</v>
      </c>
      <c r="CE159" s="313" t="s">
        <v>11902</v>
      </c>
    </row>
    <row r="160" spans="1:83" ht="15" x14ac:dyDescent="0.25">
      <c r="A160" t="s">
        <v>11979</v>
      </c>
      <c r="B160" t="s">
        <v>11980</v>
      </c>
      <c r="C160" t="s">
        <v>11949</v>
      </c>
      <c r="D160">
        <v>15</v>
      </c>
      <c r="E160" t="s">
        <v>3847</v>
      </c>
      <c r="F160" t="s">
        <v>3848</v>
      </c>
      <c r="G160" t="s">
        <v>3849</v>
      </c>
      <c r="H160" t="s">
        <v>4112</v>
      </c>
      <c r="I160" t="s">
        <v>4113</v>
      </c>
      <c r="J160" t="s">
        <v>4235</v>
      </c>
      <c r="K160" t="s">
        <v>3902</v>
      </c>
      <c r="L160">
        <v>2.1965513229370122</v>
      </c>
      <c r="M160" t="s">
        <v>5</v>
      </c>
      <c r="N160" t="s">
        <v>5</v>
      </c>
      <c r="O160" t="s">
        <v>6</v>
      </c>
      <c r="P160" t="s">
        <v>5</v>
      </c>
      <c r="Q160" t="s">
        <v>5</v>
      </c>
      <c r="R160" t="s">
        <v>4237</v>
      </c>
      <c r="S160" t="s">
        <v>11981</v>
      </c>
      <c r="T160" t="s">
        <v>6</v>
      </c>
      <c r="U160" t="s">
        <v>50</v>
      </c>
      <c r="V160">
        <v>300000</v>
      </c>
      <c r="W160">
        <v>300000</v>
      </c>
      <c r="X160" t="s">
        <v>6</v>
      </c>
      <c r="Y160"/>
      <c r="Z160">
        <v>0</v>
      </c>
      <c r="AA160">
        <v>1.8103219270706179</v>
      </c>
      <c r="AB160">
        <v>3.2569303512573242</v>
      </c>
      <c r="AC160">
        <v>0</v>
      </c>
      <c r="AD160">
        <v>684</v>
      </c>
      <c r="AE160">
        <v>1381</v>
      </c>
      <c r="AF160">
        <v>584</v>
      </c>
      <c r="AG160">
        <v>994</v>
      </c>
      <c r="AH160">
        <v>1427</v>
      </c>
      <c r="AI160">
        <v>1427</v>
      </c>
      <c r="AJ160">
        <v>11</v>
      </c>
      <c r="AK160">
        <v>0</v>
      </c>
      <c r="AL160">
        <v>21</v>
      </c>
      <c r="AM160">
        <v>6</v>
      </c>
      <c r="AN160">
        <v>1.293864965438843</v>
      </c>
      <c r="AO160"/>
      <c r="AP160"/>
      <c r="AQ160"/>
      <c r="AR160">
        <v>0</v>
      </c>
      <c r="AS160">
        <v>0</v>
      </c>
      <c r="AT160">
        <v>0</v>
      </c>
      <c r="AU160">
        <v>0</v>
      </c>
      <c r="AV160">
        <v>0</v>
      </c>
      <c r="AW160">
        <v>0</v>
      </c>
      <c r="AX160">
        <v>0</v>
      </c>
      <c r="AY160">
        <v>0</v>
      </c>
      <c r="AZ160">
        <v>0</v>
      </c>
      <c r="BA160">
        <v>0</v>
      </c>
      <c r="BB160">
        <v>0</v>
      </c>
      <c r="BC160">
        <v>0</v>
      </c>
      <c r="BD160">
        <v>0</v>
      </c>
      <c r="BE160">
        <v>0</v>
      </c>
      <c r="BF160" t="s">
        <v>5</v>
      </c>
      <c r="BG160" t="s">
        <v>5</v>
      </c>
      <c r="BH160"/>
      <c r="BI160"/>
      <c r="BJ160" t="s">
        <v>5</v>
      </c>
      <c r="BK160"/>
      <c r="BL160">
        <v>0</v>
      </c>
      <c r="BM160">
        <v>0</v>
      </c>
      <c r="BN160" t="s">
        <v>5</v>
      </c>
      <c r="BO160"/>
      <c r="BP160"/>
      <c r="BQ160"/>
      <c r="BR160"/>
      <c r="BS160" t="s">
        <v>5</v>
      </c>
      <c r="BT160"/>
      <c r="BU160"/>
      <c r="BV160"/>
      <c r="BW160"/>
      <c r="BX160" t="s">
        <v>6</v>
      </c>
      <c r="BY160" t="s">
        <v>4232</v>
      </c>
      <c r="BZ160"/>
      <c r="CA160"/>
      <c r="CB160" t="s">
        <v>5</v>
      </c>
      <c r="CC160">
        <v>288949.96145606658</v>
      </c>
      <c r="CD160">
        <v>4616947534.7312641</v>
      </c>
      <c r="CE160" s="313" t="s">
        <v>11902</v>
      </c>
    </row>
    <row r="161" spans="1:83" ht="15" x14ac:dyDescent="0.25">
      <c r="A161" t="s">
        <v>11982</v>
      </c>
      <c r="B161" t="s">
        <v>11983</v>
      </c>
      <c r="C161" t="s">
        <v>11949</v>
      </c>
      <c r="D161">
        <v>15</v>
      </c>
      <c r="E161" t="s">
        <v>3847</v>
      </c>
      <c r="F161" t="s">
        <v>4050</v>
      </c>
      <c r="G161" t="s">
        <v>4059</v>
      </c>
      <c r="H161" t="s">
        <v>4065</v>
      </c>
      <c r="I161" t="s">
        <v>11984</v>
      </c>
      <c r="J161" t="s">
        <v>11985</v>
      </c>
      <c r="K161" t="s">
        <v>3902</v>
      </c>
      <c r="L161">
        <v>7.6182069778442383</v>
      </c>
      <c r="M161" t="s">
        <v>5</v>
      </c>
      <c r="N161" t="s">
        <v>5</v>
      </c>
      <c r="O161" t="s">
        <v>6</v>
      </c>
      <c r="P161" t="s">
        <v>5</v>
      </c>
      <c r="Q161" t="s">
        <v>5</v>
      </c>
      <c r="R161" t="s">
        <v>11510</v>
      </c>
      <c r="S161" t="s">
        <v>11986</v>
      </c>
      <c r="T161" t="s">
        <v>6</v>
      </c>
      <c r="U161" t="s">
        <v>50</v>
      </c>
      <c r="V161">
        <v>300000</v>
      </c>
      <c r="W161">
        <v>300000</v>
      </c>
      <c r="X161" t="s">
        <v>6</v>
      </c>
      <c r="Y161"/>
      <c r="Z161">
        <v>0</v>
      </c>
      <c r="AA161">
        <v>1.4703987836837771</v>
      </c>
      <c r="AB161">
        <v>1.683789968490601</v>
      </c>
      <c r="AC161">
        <v>0</v>
      </c>
      <c r="AD161">
        <v>92</v>
      </c>
      <c r="AE161">
        <v>155</v>
      </c>
      <c r="AF161">
        <v>48</v>
      </c>
      <c r="AG161">
        <v>698</v>
      </c>
      <c r="AH161">
        <v>373</v>
      </c>
      <c r="AI161">
        <v>698</v>
      </c>
      <c r="AJ161">
        <v>1</v>
      </c>
      <c r="AK161">
        <v>0</v>
      </c>
      <c r="AL161">
        <v>3</v>
      </c>
      <c r="AM161">
        <v>32</v>
      </c>
      <c r="AN161">
        <v>0.34751459956169128</v>
      </c>
      <c r="AO161"/>
      <c r="AP161"/>
      <c r="AQ161"/>
      <c r="AR161">
        <v>0</v>
      </c>
      <c r="AS161">
        <v>0</v>
      </c>
      <c r="AT161">
        <v>0</v>
      </c>
      <c r="AU161">
        <v>0</v>
      </c>
      <c r="AV161">
        <v>0</v>
      </c>
      <c r="AW161">
        <v>0</v>
      </c>
      <c r="AX161">
        <v>0</v>
      </c>
      <c r="AY161">
        <v>0</v>
      </c>
      <c r="AZ161">
        <v>0</v>
      </c>
      <c r="BA161">
        <v>0</v>
      </c>
      <c r="BB161">
        <v>0</v>
      </c>
      <c r="BC161">
        <v>0</v>
      </c>
      <c r="BD161">
        <v>0</v>
      </c>
      <c r="BE161">
        <v>0</v>
      </c>
      <c r="BF161" t="s">
        <v>5</v>
      </c>
      <c r="BG161" t="s">
        <v>5</v>
      </c>
      <c r="BH161"/>
      <c r="BI161"/>
      <c r="BJ161" t="s">
        <v>5</v>
      </c>
      <c r="BK161"/>
      <c r="BL161">
        <v>0</v>
      </c>
      <c r="BM161">
        <v>0</v>
      </c>
      <c r="BN161" t="s">
        <v>5</v>
      </c>
      <c r="BO161"/>
      <c r="BP161"/>
      <c r="BQ161"/>
      <c r="BR161"/>
      <c r="BS161" t="s">
        <v>5</v>
      </c>
      <c r="BT161"/>
      <c r="BU161"/>
      <c r="BV161"/>
      <c r="BW161"/>
      <c r="BX161" t="s">
        <v>6</v>
      </c>
      <c r="BY161" t="s">
        <v>4232</v>
      </c>
      <c r="BZ161"/>
      <c r="CA161"/>
      <c r="CB161" t="s">
        <v>5</v>
      </c>
      <c r="CC161">
        <v>288949.96145606658</v>
      </c>
      <c r="CD161">
        <v>4616947534.7312641</v>
      </c>
      <c r="CE161" s="313" t="s">
        <v>11902</v>
      </c>
    </row>
    <row r="162" spans="1:83" ht="15" x14ac:dyDescent="0.25">
      <c r="A162" t="s">
        <v>11987</v>
      </c>
      <c r="B162" t="s">
        <v>11988</v>
      </c>
      <c r="C162" t="s">
        <v>11949</v>
      </c>
      <c r="D162">
        <v>15</v>
      </c>
      <c r="E162" t="s">
        <v>3847</v>
      </c>
      <c r="F162" t="s">
        <v>4050</v>
      </c>
      <c r="G162" t="s">
        <v>4059</v>
      </c>
      <c r="H162" t="s">
        <v>11989</v>
      </c>
      <c r="I162" t="s">
        <v>11990</v>
      </c>
      <c r="J162" t="s">
        <v>11991</v>
      </c>
      <c r="K162" t="s">
        <v>3902</v>
      </c>
      <c r="L162">
        <v>1.1644414663314819</v>
      </c>
      <c r="M162" t="s">
        <v>5</v>
      </c>
      <c r="N162" t="s">
        <v>5</v>
      </c>
      <c r="O162" t="s">
        <v>6</v>
      </c>
      <c r="P162" t="s">
        <v>5</v>
      </c>
      <c r="Q162" t="s">
        <v>5</v>
      </c>
      <c r="R162" t="s">
        <v>11506</v>
      </c>
      <c r="S162" t="s">
        <v>11992</v>
      </c>
      <c r="T162" t="s">
        <v>6</v>
      </c>
      <c r="U162" t="s">
        <v>50</v>
      </c>
      <c r="V162">
        <v>300000</v>
      </c>
      <c r="W162">
        <v>300000</v>
      </c>
      <c r="X162" t="s">
        <v>6</v>
      </c>
      <c r="Y162"/>
      <c r="Z162">
        <v>0</v>
      </c>
      <c r="AA162">
        <v>0.14304487407207489</v>
      </c>
      <c r="AB162">
        <v>0.2862703800201416</v>
      </c>
      <c r="AC162">
        <v>0</v>
      </c>
      <c r="AD162">
        <v>32</v>
      </c>
      <c r="AE162">
        <v>146</v>
      </c>
      <c r="AF162">
        <v>16</v>
      </c>
      <c r="AG162">
        <v>20</v>
      </c>
      <c r="AH162">
        <v>61</v>
      </c>
      <c r="AI162">
        <v>61</v>
      </c>
      <c r="AJ162">
        <v>1</v>
      </c>
      <c r="AK162">
        <v>0</v>
      </c>
      <c r="AL162">
        <v>1</v>
      </c>
      <c r="AM162">
        <v>106</v>
      </c>
      <c r="AN162">
        <v>3.8782302290201187E-2</v>
      </c>
      <c r="AO162"/>
      <c r="AP162"/>
      <c r="AQ162"/>
      <c r="AR162">
        <v>0</v>
      </c>
      <c r="AS162">
        <v>0</v>
      </c>
      <c r="AT162">
        <v>0</v>
      </c>
      <c r="AU162">
        <v>0</v>
      </c>
      <c r="AV162">
        <v>0</v>
      </c>
      <c r="AW162">
        <v>0</v>
      </c>
      <c r="AX162">
        <v>0</v>
      </c>
      <c r="AY162">
        <v>0</v>
      </c>
      <c r="AZ162">
        <v>0</v>
      </c>
      <c r="BA162">
        <v>0</v>
      </c>
      <c r="BB162">
        <v>0</v>
      </c>
      <c r="BC162">
        <v>0</v>
      </c>
      <c r="BD162">
        <v>0</v>
      </c>
      <c r="BE162">
        <v>0</v>
      </c>
      <c r="BF162" t="s">
        <v>5</v>
      </c>
      <c r="BG162" t="s">
        <v>5</v>
      </c>
      <c r="BH162"/>
      <c r="BI162"/>
      <c r="BJ162" t="s">
        <v>5</v>
      </c>
      <c r="BK162"/>
      <c r="BL162">
        <v>0</v>
      </c>
      <c r="BM162">
        <v>0</v>
      </c>
      <c r="BN162" t="s">
        <v>5</v>
      </c>
      <c r="BO162"/>
      <c r="BP162"/>
      <c r="BQ162"/>
      <c r="BR162"/>
      <c r="BS162" t="s">
        <v>5</v>
      </c>
      <c r="BT162"/>
      <c r="BU162"/>
      <c r="BV162"/>
      <c r="BW162"/>
      <c r="BX162" t="s">
        <v>6</v>
      </c>
      <c r="BY162" t="s">
        <v>4232</v>
      </c>
      <c r="BZ162"/>
      <c r="CA162"/>
      <c r="CB162" t="s">
        <v>5</v>
      </c>
      <c r="CC162">
        <v>288949.96145606658</v>
      </c>
      <c r="CD162">
        <v>4616947534.7312641</v>
      </c>
      <c r="CE162" s="313" t="s">
        <v>11902</v>
      </c>
    </row>
    <row r="163" spans="1:83" ht="15" x14ac:dyDescent="0.25">
      <c r="A163" t="s">
        <v>11993</v>
      </c>
      <c r="B163" t="s">
        <v>11994</v>
      </c>
      <c r="C163" t="s">
        <v>11949</v>
      </c>
      <c r="D163">
        <v>15</v>
      </c>
      <c r="E163" t="s">
        <v>3847</v>
      </c>
      <c r="F163" t="s">
        <v>3864</v>
      </c>
      <c r="G163" t="s">
        <v>3849</v>
      </c>
      <c r="H163" t="s">
        <v>11995</v>
      </c>
      <c r="I163" t="s">
        <v>11996</v>
      </c>
      <c r="J163" t="s">
        <v>11997</v>
      </c>
      <c r="K163" t="s">
        <v>3902</v>
      </c>
      <c r="L163">
        <v>40.610088348388672</v>
      </c>
      <c r="M163" t="s">
        <v>5</v>
      </c>
      <c r="N163" t="s">
        <v>5</v>
      </c>
      <c r="O163" t="s">
        <v>6</v>
      </c>
      <c r="P163" t="s">
        <v>5</v>
      </c>
      <c r="Q163" t="s">
        <v>5</v>
      </c>
      <c r="R163" t="s">
        <v>4197</v>
      </c>
      <c r="S163" t="s">
        <v>4198</v>
      </c>
      <c r="T163" t="s">
        <v>6</v>
      </c>
      <c r="U163" t="s">
        <v>50</v>
      </c>
      <c r="V163">
        <v>300000</v>
      </c>
      <c r="W163">
        <v>300000</v>
      </c>
      <c r="X163" t="s">
        <v>6</v>
      </c>
      <c r="Y163"/>
      <c r="Z163">
        <v>0</v>
      </c>
      <c r="AA163">
        <v>1.8642363548278811</v>
      </c>
      <c r="AB163">
        <v>5.4179811477661133</v>
      </c>
      <c r="AC163">
        <v>0</v>
      </c>
      <c r="AD163">
        <v>853</v>
      </c>
      <c r="AE163">
        <v>3623</v>
      </c>
      <c r="AF163">
        <v>671</v>
      </c>
      <c r="AG163">
        <v>1798</v>
      </c>
      <c r="AH163">
        <v>2703</v>
      </c>
      <c r="AI163">
        <v>2703</v>
      </c>
      <c r="AJ163">
        <v>6</v>
      </c>
      <c r="AK163">
        <v>0</v>
      </c>
      <c r="AL163">
        <v>15</v>
      </c>
      <c r="AM163">
        <v>0</v>
      </c>
      <c r="AN163">
        <v>0.7827373743057251</v>
      </c>
      <c r="AO163"/>
      <c r="AP163"/>
      <c r="AQ163"/>
      <c r="AR163">
        <v>0</v>
      </c>
      <c r="AS163">
        <v>0</v>
      </c>
      <c r="AT163">
        <v>0</v>
      </c>
      <c r="AU163">
        <v>0</v>
      </c>
      <c r="AV163">
        <v>0</v>
      </c>
      <c r="AW163">
        <v>0</v>
      </c>
      <c r="AX163">
        <v>0</v>
      </c>
      <c r="AY163">
        <v>0</v>
      </c>
      <c r="AZ163">
        <v>0</v>
      </c>
      <c r="BA163">
        <v>0</v>
      </c>
      <c r="BB163">
        <v>0</v>
      </c>
      <c r="BC163">
        <v>0</v>
      </c>
      <c r="BD163">
        <v>0</v>
      </c>
      <c r="BE163">
        <v>0</v>
      </c>
      <c r="BF163" t="s">
        <v>5</v>
      </c>
      <c r="BG163" t="s">
        <v>5</v>
      </c>
      <c r="BH163"/>
      <c r="BI163"/>
      <c r="BJ163" t="s">
        <v>5</v>
      </c>
      <c r="BK163"/>
      <c r="BL163">
        <v>0</v>
      </c>
      <c r="BM163">
        <v>0</v>
      </c>
      <c r="BN163" t="s">
        <v>5</v>
      </c>
      <c r="BO163"/>
      <c r="BP163"/>
      <c r="BQ163"/>
      <c r="BR163"/>
      <c r="BS163" t="s">
        <v>5</v>
      </c>
      <c r="BT163"/>
      <c r="BU163"/>
      <c r="BV163"/>
      <c r="BW163"/>
      <c r="BX163" t="s">
        <v>6</v>
      </c>
      <c r="BY163" t="s">
        <v>4232</v>
      </c>
      <c r="BZ163"/>
      <c r="CA163"/>
      <c r="CB163" t="s">
        <v>5</v>
      </c>
      <c r="CC163">
        <v>288949.96145606658</v>
      </c>
      <c r="CD163">
        <v>4616947534.7312641</v>
      </c>
      <c r="CE163" s="313" t="s">
        <v>11902</v>
      </c>
    </row>
    <row r="164" spans="1:83" ht="15" x14ac:dyDescent="0.25">
      <c r="A164" t="s">
        <v>11998</v>
      </c>
      <c r="B164" t="s">
        <v>11999</v>
      </c>
      <c r="C164" t="s">
        <v>11949</v>
      </c>
      <c r="D164">
        <v>15</v>
      </c>
      <c r="E164" t="s">
        <v>3847</v>
      </c>
      <c r="F164" t="s">
        <v>3864</v>
      </c>
      <c r="G164" t="s">
        <v>3849</v>
      </c>
      <c r="H164" t="s">
        <v>12000</v>
      </c>
      <c r="I164" t="s">
        <v>12001</v>
      </c>
      <c r="J164" t="s">
        <v>12002</v>
      </c>
      <c r="K164" t="s">
        <v>3902</v>
      </c>
      <c r="L164">
        <v>16.551176071166989</v>
      </c>
      <c r="M164" t="s">
        <v>5</v>
      </c>
      <c r="N164" t="s">
        <v>5</v>
      </c>
      <c r="O164" t="s">
        <v>6</v>
      </c>
      <c r="P164" t="s">
        <v>5</v>
      </c>
      <c r="Q164" t="s">
        <v>5</v>
      </c>
      <c r="R164" t="s">
        <v>4332</v>
      </c>
      <c r="S164" t="s">
        <v>12003</v>
      </c>
      <c r="T164" t="s">
        <v>6</v>
      </c>
      <c r="U164" t="s">
        <v>50</v>
      </c>
      <c r="V164">
        <v>300000</v>
      </c>
      <c r="W164">
        <v>300000</v>
      </c>
      <c r="X164" t="s">
        <v>6</v>
      </c>
      <c r="Y164"/>
      <c r="Z164">
        <v>0</v>
      </c>
      <c r="AA164">
        <v>3.5623495578765869</v>
      </c>
      <c r="AB164">
        <v>4.0684142112731934</v>
      </c>
      <c r="AC164">
        <v>0.58818185329437256</v>
      </c>
      <c r="AD164">
        <v>1694</v>
      </c>
      <c r="AE164">
        <v>2147</v>
      </c>
      <c r="AF164">
        <v>1478</v>
      </c>
      <c r="AG164">
        <v>1843</v>
      </c>
      <c r="AH164">
        <v>4952</v>
      </c>
      <c r="AI164">
        <v>4952</v>
      </c>
      <c r="AJ164">
        <v>11</v>
      </c>
      <c r="AK164">
        <v>0</v>
      </c>
      <c r="AL164">
        <v>33</v>
      </c>
      <c r="AM164">
        <v>0</v>
      </c>
      <c r="AN164">
        <v>1.6517870426177981</v>
      </c>
      <c r="AO164"/>
      <c r="AP164"/>
      <c r="AQ164"/>
      <c r="AR164">
        <v>0</v>
      </c>
      <c r="AS164">
        <v>0</v>
      </c>
      <c r="AT164">
        <v>0</v>
      </c>
      <c r="AU164">
        <v>0</v>
      </c>
      <c r="AV164">
        <v>0</v>
      </c>
      <c r="AW164">
        <v>0</v>
      </c>
      <c r="AX164">
        <v>0</v>
      </c>
      <c r="AY164">
        <v>0</v>
      </c>
      <c r="AZ164">
        <v>0</v>
      </c>
      <c r="BA164">
        <v>0</v>
      </c>
      <c r="BB164">
        <v>0</v>
      </c>
      <c r="BC164">
        <v>0</v>
      </c>
      <c r="BD164">
        <v>0</v>
      </c>
      <c r="BE164">
        <v>0</v>
      </c>
      <c r="BF164" t="s">
        <v>5</v>
      </c>
      <c r="BG164" t="s">
        <v>5</v>
      </c>
      <c r="BH164"/>
      <c r="BI164"/>
      <c r="BJ164" t="s">
        <v>5</v>
      </c>
      <c r="BK164"/>
      <c r="BL164">
        <v>0</v>
      </c>
      <c r="BM164">
        <v>0</v>
      </c>
      <c r="BN164" t="s">
        <v>5</v>
      </c>
      <c r="BO164"/>
      <c r="BP164"/>
      <c r="BQ164"/>
      <c r="BR164"/>
      <c r="BS164" t="s">
        <v>5</v>
      </c>
      <c r="BT164"/>
      <c r="BU164"/>
      <c r="BV164"/>
      <c r="BW164"/>
      <c r="BX164" t="s">
        <v>6</v>
      </c>
      <c r="BY164" t="s">
        <v>4232</v>
      </c>
      <c r="BZ164"/>
      <c r="CA164"/>
      <c r="CB164" t="s">
        <v>5</v>
      </c>
      <c r="CC164">
        <v>288949.96145606658</v>
      </c>
      <c r="CD164">
        <v>4616947534.7312641</v>
      </c>
      <c r="CE164" s="313" t="s">
        <v>11902</v>
      </c>
    </row>
    <row r="165" spans="1:83" ht="15" x14ac:dyDescent="0.25">
      <c r="A165" t="s">
        <v>12037</v>
      </c>
      <c r="B165" t="s">
        <v>12038</v>
      </c>
      <c r="C165" t="s">
        <v>11949</v>
      </c>
      <c r="D165">
        <v>15</v>
      </c>
      <c r="E165" t="s">
        <v>3847</v>
      </c>
      <c r="F165" t="s">
        <v>5009</v>
      </c>
      <c r="G165" t="s">
        <v>12039</v>
      </c>
      <c r="H165" t="s">
        <v>12040</v>
      </c>
      <c r="I165" t="s">
        <v>12041</v>
      </c>
      <c r="J165" t="s">
        <v>12042</v>
      </c>
      <c r="K165" t="s">
        <v>3902</v>
      </c>
      <c r="L165">
        <v>1782.613403320312</v>
      </c>
      <c r="M165" t="s">
        <v>5</v>
      </c>
      <c r="N165" t="s">
        <v>5</v>
      </c>
      <c r="O165" t="s">
        <v>6</v>
      </c>
      <c r="P165" t="s">
        <v>5</v>
      </c>
      <c r="Q165" t="s">
        <v>5</v>
      </c>
      <c r="R165" t="s">
        <v>5008</v>
      </c>
      <c r="S165" t="s">
        <v>12043</v>
      </c>
      <c r="T165" t="s">
        <v>6</v>
      </c>
      <c r="U165" t="s">
        <v>50</v>
      </c>
      <c r="V165">
        <v>300000</v>
      </c>
      <c r="W165">
        <v>300000</v>
      </c>
      <c r="X165" t="s">
        <v>6</v>
      </c>
      <c r="Y165"/>
      <c r="Z165">
        <v>0</v>
      </c>
      <c r="AA165">
        <v>575.33367919921875</v>
      </c>
      <c r="AB165">
        <v>784.664794921875</v>
      </c>
      <c r="AC165">
        <v>0</v>
      </c>
      <c r="AD165">
        <v>53</v>
      </c>
      <c r="AE165">
        <v>99</v>
      </c>
      <c r="AF165">
        <v>3</v>
      </c>
      <c r="AG165">
        <v>28</v>
      </c>
      <c r="AH165">
        <v>28</v>
      </c>
      <c r="AI165">
        <v>28</v>
      </c>
      <c r="AJ165">
        <v>2</v>
      </c>
      <c r="AK165">
        <v>0</v>
      </c>
      <c r="AL165">
        <v>63</v>
      </c>
      <c r="AM165">
        <v>0</v>
      </c>
      <c r="AN165">
        <v>306.83221435546881</v>
      </c>
      <c r="AO165"/>
      <c r="AP165"/>
      <c r="AQ165"/>
      <c r="AR165">
        <v>0</v>
      </c>
      <c r="AS165">
        <v>0</v>
      </c>
      <c r="AT165">
        <v>0</v>
      </c>
      <c r="AU165">
        <v>0</v>
      </c>
      <c r="AV165">
        <v>0</v>
      </c>
      <c r="AW165">
        <v>0</v>
      </c>
      <c r="AX165">
        <v>0</v>
      </c>
      <c r="AY165">
        <v>0</v>
      </c>
      <c r="AZ165">
        <v>0</v>
      </c>
      <c r="BA165">
        <v>0</v>
      </c>
      <c r="BB165">
        <v>0</v>
      </c>
      <c r="BC165">
        <v>0</v>
      </c>
      <c r="BD165">
        <v>0</v>
      </c>
      <c r="BE165">
        <v>0</v>
      </c>
      <c r="BF165" t="s">
        <v>5</v>
      </c>
      <c r="BG165" t="s">
        <v>5</v>
      </c>
      <c r="BH165"/>
      <c r="BI165"/>
      <c r="BJ165" t="s">
        <v>5</v>
      </c>
      <c r="BK165"/>
      <c r="BL165">
        <v>0</v>
      </c>
      <c r="BM165">
        <v>0</v>
      </c>
      <c r="BN165" t="s">
        <v>5</v>
      </c>
      <c r="BO165"/>
      <c r="BP165"/>
      <c r="BQ165"/>
      <c r="BR165"/>
      <c r="BS165" t="s">
        <v>5</v>
      </c>
      <c r="BT165"/>
      <c r="BU165"/>
      <c r="BV165"/>
      <c r="BW165"/>
      <c r="BX165" t="s">
        <v>6</v>
      </c>
      <c r="BY165" t="s">
        <v>4232</v>
      </c>
      <c r="BZ165"/>
      <c r="CA165"/>
      <c r="CB165" t="s">
        <v>5</v>
      </c>
      <c r="CC165">
        <v>288949.96145606658</v>
      </c>
      <c r="CD165">
        <v>4616947534.7312641</v>
      </c>
      <c r="CE165" s="313" t="s">
        <v>11902</v>
      </c>
    </row>
    <row r="166" spans="1:83" ht="15" x14ac:dyDescent="0.25">
      <c r="A166" s="337" t="s">
        <v>2276</v>
      </c>
      <c r="B166" s="337" t="s">
        <v>2277</v>
      </c>
      <c r="C166" s="337" t="s">
        <v>2278</v>
      </c>
      <c r="D166" s="337">
        <v>3</v>
      </c>
      <c r="E166" s="337" t="s">
        <v>1771</v>
      </c>
      <c r="F166" s="337" t="s">
        <v>1885</v>
      </c>
      <c r="G166" s="337" t="s">
        <v>1808</v>
      </c>
      <c r="H166" s="337" t="s">
        <v>4477</v>
      </c>
      <c r="I166" s="337" t="s">
        <v>12776</v>
      </c>
      <c r="J166" s="337" t="s">
        <v>2279</v>
      </c>
      <c r="K166" s="337" t="s">
        <v>1861</v>
      </c>
      <c r="L166" s="337">
        <v>1.329599022865295</v>
      </c>
      <c r="M166" s="337" t="s">
        <v>6</v>
      </c>
      <c r="N166" s="337" t="s">
        <v>5</v>
      </c>
      <c r="O166" s="337" t="s">
        <v>5</v>
      </c>
      <c r="P166" s="337" t="s">
        <v>5</v>
      </c>
      <c r="Q166" s="337" t="s">
        <v>5</v>
      </c>
      <c r="R166" s="337" t="s">
        <v>4478</v>
      </c>
      <c r="S166" s="337" t="s">
        <v>2280</v>
      </c>
      <c r="T166" s="337" t="s">
        <v>5</v>
      </c>
      <c r="U166" s="337" t="s">
        <v>4</v>
      </c>
      <c r="V166" s="337">
        <v>850000</v>
      </c>
      <c r="W166" s="337">
        <v>297500</v>
      </c>
      <c r="X166" s="337" t="s">
        <v>6</v>
      </c>
      <c r="Y166" s="337"/>
      <c r="Z166" s="337">
        <v>85000</v>
      </c>
      <c r="AA166" s="337">
        <v>0.1070889979600906</v>
      </c>
      <c r="AB166" s="337">
        <v>2.5769710540771481E-2</v>
      </c>
      <c r="AC166" s="337">
        <v>0</v>
      </c>
      <c r="AD166" s="337">
        <v>28</v>
      </c>
      <c r="AE166" s="337">
        <v>19</v>
      </c>
      <c r="AF166" s="337">
        <v>27</v>
      </c>
      <c r="AG166" s="337">
        <v>20</v>
      </c>
      <c r="AH166" s="337">
        <v>89</v>
      </c>
      <c r="AI166" s="337">
        <v>89</v>
      </c>
      <c r="AJ166" s="337">
        <v>3</v>
      </c>
      <c r="AK166" s="337">
        <v>11</v>
      </c>
      <c r="AL166" s="337">
        <v>2</v>
      </c>
      <c r="AM166" s="337"/>
      <c r="AN166" s="337">
        <v>28.490390777587891</v>
      </c>
      <c r="AO166" s="337"/>
      <c r="AP166" s="337"/>
      <c r="AQ166" s="337"/>
      <c r="AR166" s="337"/>
      <c r="AS166" s="337"/>
      <c r="AT166" s="337"/>
      <c r="AU166" s="337"/>
      <c r="AV166" s="337"/>
      <c r="AW166" s="337"/>
      <c r="AX166" s="337"/>
      <c r="AY166" s="337"/>
      <c r="AZ166" s="337"/>
      <c r="BA166" s="337"/>
      <c r="BB166" s="337"/>
      <c r="BC166" s="337"/>
      <c r="BD166" s="337"/>
      <c r="BE166" s="337"/>
      <c r="BF166" s="337" t="s">
        <v>5</v>
      </c>
      <c r="BG166" s="337" t="s">
        <v>5</v>
      </c>
      <c r="BH166" s="337" t="s">
        <v>1777</v>
      </c>
      <c r="BI166" s="337"/>
      <c r="BJ166" s="337" t="s">
        <v>5</v>
      </c>
      <c r="BK166" s="337"/>
      <c r="BL166" s="337">
        <v>0</v>
      </c>
      <c r="BM166" s="337"/>
      <c r="BN166" s="337" t="s">
        <v>5</v>
      </c>
      <c r="BO166" s="337"/>
      <c r="BP166" s="337"/>
      <c r="BQ166" s="337"/>
      <c r="BR166" s="337"/>
      <c r="BS166" s="337" t="s">
        <v>5</v>
      </c>
      <c r="BT166" s="337"/>
      <c r="BU166" s="337"/>
      <c r="BV166" s="337"/>
      <c r="BW166" s="337" t="s">
        <v>1778</v>
      </c>
      <c r="BX166" s="337" t="s">
        <v>6</v>
      </c>
      <c r="BY166" s="337" t="s">
        <v>1101</v>
      </c>
      <c r="BZ166" s="337"/>
      <c r="CB166" s="337" t="s">
        <v>5</v>
      </c>
      <c r="CC166" s="337">
        <v>21167.189181107558</v>
      </c>
      <c r="CD166" s="337">
        <v>3444557.0988974888</v>
      </c>
      <c r="CE166" s="313" t="s">
        <v>11891</v>
      </c>
    </row>
    <row r="167" spans="1:83" ht="15" x14ac:dyDescent="0.25">
      <c r="A167" t="s">
        <v>3665</v>
      </c>
      <c r="B167" t="s">
        <v>3666</v>
      </c>
      <c r="C167" t="s">
        <v>3667</v>
      </c>
      <c r="D167">
        <v>13</v>
      </c>
      <c r="E167" t="s">
        <v>3573</v>
      </c>
      <c r="F167" t="s">
        <v>3660</v>
      </c>
      <c r="G167" t="s">
        <v>3661</v>
      </c>
      <c r="H167" t="s">
        <v>3662</v>
      </c>
      <c r="I167"/>
      <c r="J167"/>
      <c r="K167" t="s">
        <v>3598</v>
      </c>
      <c r="L167">
        <v>867.9454345703125</v>
      </c>
      <c r="M167" t="s">
        <v>6</v>
      </c>
      <c r="N167" t="s">
        <v>5</v>
      </c>
      <c r="O167" t="s">
        <v>6</v>
      </c>
      <c r="P167" t="s">
        <v>5</v>
      </c>
      <c r="Q167" t="s">
        <v>5</v>
      </c>
      <c r="R167" t="s">
        <v>3663</v>
      </c>
      <c r="S167" t="s">
        <v>3664</v>
      </c>
      <c r="T167" t="s">
        <v>6</v>
      </c>
      <c r="U167" t="s">
        <v>28</v>
      </c>
      <c r="V167">
        <v>250000</v>
      </c>
      <c r="W167">
        <v>250000</v>
      </c>
      <c r="X167" t="s">
        <v>5</v>
      </c>
      <c r="Y167"/>
      <c r="Z167"/>
      <c r="AA167">
        <v>201.35113525390619</v>
      </c>
      <c r="AB167">
        <v>53.99468994140625</v>
      </c>
      <c r="AC167">
        <v>0</v>
      </c>
      <c r="AD167">
        <v>2398</v>
      </c>
      <c r="AE167">
        <v>6668</v>
      </c>
      <c r="AF167">
        <v>1145</v>
      </c>
      <c r="AG167">
        <v>8685</v>
      </c>
      <c r="AH167">
        <v>4584</v>
      </c>
      <c r="AI167">
        <v>8685</v>
      </c>
      <c r="AJ167">
        <v>9</v>
      </c>
      <c r="AK167">
        <v>13</v>
      </c>
      <c r="AL167">
        <v>201</v>
      </c>
      <c r="AM167">
        <v>624</v>
      </c>
      <c r="AN167">
        <v>25815.615234375</v>
      </c>
      <c r="AO167"/>
      <c r="AP167"/>
      <c r="AQ167"/>
      <c r="AR167"/>
      <c r="AS167"/>
      <c r="AT167"/>
      <c r="AU167"/>
      <c r="AV167"/>
      <c r="AW167"/>
      <c r="AX167"/>
      <c r="AY167"/>
      <c r="AZ167"/>
      <c r="BA167"/>
      <c r="BB167"/>
      <c r="BC167"/>
      <c r="BD167"/>
      <c r="BE167">
        <v>0</v>
      </c>
      <c r="BF167" t="s">
        <v>5</v>
      </c>
      <c r="BG167" t="s">
        <v>5</v>
      </c>
      <c r="BH167" t="s">
        <v>3581</v>
      </c>
      <c r="BI167"/>
      <c r="BJ167" t="s">
        <v>5</v>
      </c>
      <c r="BK167"/>
      <c r="BL167">
        <v>0</v>
      </c>
      <c r="BM167"/>
      <c r="BN167" t="s">
        <v>5</v>
      </c>
      <c r="BO167"/>
      <c r="BP167"/>
      <c r="BQ167"/>
      <c r="BR167"/>
      <c r="BS167" t="s">
        <v>5</v>
      </c>
      <c r="BT167"/>
      <c r="BU167"/>
      <c r="BV167"/>
      <c r="BW167"/>
      <c r="BX167" t="s">
        <v>6</v>
      </c>
      <c r="BY167" t="s">
        <v>3601</v>
      </c>
      <c r="BZ167"/>
      <c r="CA167"/>
      <c r="CB167" t="s">
        <v>5</v>
      </c>
      <c r="CC167">
        <v>258358.4842612576</v>
      </c>
      <c r="CD167">
        <v>2247977308.9311929</v>
      </c>
      <c r="CE167" s="313" t="s">
        <v>11891</v>
      </c>
    </row>
    <row r="168" spans="1:83" ht="15" x14ac:dyDescent="0.25">
      <c r="A168" t="s">
        <v>3668</v>
      </c>
      <c r="B168" t="s">
        <v>3669</v>
      </c>
      <c r="C168" t="s">
        <v>3670</v>
      </c>
      <c r="D168">
        <v>13</v>
      </c>
      <c r="E168" t="s">
        <v>3573</v>
      </c>
      <c r="F168" t="s">
        <v>3671</v>
      </c>
      <c r="G168" t="s">
        <v>3672</v>
      </c>
      <c r="H168" t="s">
        <v>3673</v>
      </c>
      <c r="I168" t="s">
        <v>3674</v>
      </c>
      <c r="J168" t="s">
        <v>3675</v>
      </c>
      <c r="K168" t="s">
        <v>3635</v>
      </c>
      <c r="L168">
        <v>158.01470947265619</v>
      </c>
      <c r="M168" t="s">
        <v>6</v>
      </c>
      <c r="N168" t="s">
        <v>6</v>
      </c>
      <c r="O168" t="s">
        <v>6</v>
      </c>
      <c r="P168" t="s">
        <v>5</v>
      </c>
      <c r="Q168" t="s">
        <v>6</v>
      </c>
      <c r="R168" t="s">
        <v>3676</v>
      </c>
      <c r="S168" t="s">
        <v>3677</v>
      </c>
      <c r="T168" t="s">
        <v>6</v>
      </c>
      <c r="U168" t="s">
        <v>4</v>
      </c>
      <c r="V168">
        <v>250000</v>
      </c>
      <c r="W168">
        <v>250000</v>
      </c>
      <c r="X168" t="s">
        <v>6</v>
      </c>
      <c r="Y168" t="s">
        <v>12045</v>
      </c>
      <c r="Z168"/>
      <c r="AA168">
        <v>40.823654174804688</v>
      </c>
      <c r="AB168">
        <v>18.172306060791019</v>
      </c>
      <c r="AC168">
        <v>8.5825026035308838E-2</v>
      </c>
      <c r="AD168">
        <v>18577</v>
      </c>
      <c r="AE168">
        <v>13395</v>
      </c>
      <c r="AF168">
        <v>16324</v>
      </c>
      <c r="AG168">
        <v>61330</v>
      </c>
      <c r="AH168">
        <v>51668</v>
      </c>
      <c r="AI168">
        <v>61330</v>
      </c>
      <c r="AJ168">
        <v>114</v>
      </c>
      <c r="AK168">
        <v>0</v>
      </c>
      <c r="AL168">
        <v>375</v>
      </c>
      <c r="AM168">
        <v>2089</v>
      </c>
      <c r="AN168">
        <v>3908.272705078125</v>
      </c>
      <c r="AO168"/>
      <c r="AP168"/>
      <c r="AQ168"/>
      <c r="AR168"/>
      <c r="AS168"/>
      <c r="AT168"/>
      <c r="AU168"/>
      <c r="AV168"/>
      <c r="AW168"/>
      <c r="AX168"/>
      <c r="AY168"/>
      <c r="AZ168"/>
      <c r="BA168"/>
      <c r="BB168"/>
      <c r="BC168"/>
      <c r="BD168"/>
      <c r="BE168">
        <v>0</v>
      </c>
      <c r="BF168" t="s">
        <v>5</v>
      </c>
      <c r="BG168" t="s">
        <v>5</v>
      </c>
      <c r="BH168" t="s">
        <v>3581</v>
      </c>
      <c r="BI168"/>
      <c r="BJ168" t="s">
        <v>5</v>
      </c>
      <c r="BK168"/>
      <c r="BL168">
        <v>0</v>
      </c>
      <c r="BM168"/>
      <c r="BN168" t="s">
        <v>5</v>
      </c>
      <c r="BO168"/>
      <c r="BP168"/>
      <c r="BQ168"/>
      <c r="BR168"/>
      <c r="BS168" t="s">
        <v>5</v>
      </c>
      <c r="BT168"/>
      <c r="BU168"/>
      <c r="BV168"/>
      <c r="BW168"/>
      <c r="BX168" t="s">
        <v>6</v>
      </c>
      <c r="BY168" t="s">
        <v>3678</v>
      </c>
      <c r="BZ168"/>
      <c r="CA168"/>
      <c r="CB168" t="s">
        <v>5</v>
      </c>
      <c r="CC168">
        <v>476228.21962181292</v>
      </c>
      <c r="CD168">
        <v>409257854.6029827</v>
      </c>
      <c r="CE168" s="313" t="s">
        <v>11891</v>
      </c>
    </row>
    <row r="169" spans="1:83" ht="15" x14ac:dyDescent="0.25">
      <c r="A169" t="s">
        <v>3695</v>
      </c>
      <c r="B169" t="s">
        <v>3696</v>
      </c>
      <c r="C169" t="s">
        <v>3697</v>
      </c>
      <c r="D169">
        <v>13</v>
      </c>
      <c r="E169" t="s">
        <v>3573</v>
      </c>
      <c r="F169" t="s">
        <v>3682</v>
      </c>
      <c r="G169" t="s">
        <v>3683</v>
      </c>
      <c r="H169" t="s">
        <v>3684</v>
      </c>
      <c r="I169" t="s">
        <v>3685</v>
      </c>
      <c r="J169" t="s">
        <v>3686</v>
      </c>
      <c r="K169" t="s">
        <v>3598</v>
      </c>
      <c r="L169">
        <v>281.78964233398438</v>
      </c>
      <c r="M169" t="s">
        <v>6</v>
      </c>
      <c r="N169" t="s">
        <v>6</v>
      </c>
      <c r="O169" t="s">
        <v>6</v>
      </c>
      <c r="P169" t="s">
        <v>5</v>
      </c>
      <c r="Q169" t="s">
        <v>5</v>
      </c>
      <c r="R169" t="s">
        <v>3688</v>
      </c>
      <c r="S169" t="s">
        <v>3689</v>
      </c>
      <c r="T169" t="s">
        <v>6</v>
      </c>
      <c r="U169" t="s">
        <v>28</v>
      </c>
      <c r="V169">
        <v>250000</v>
      </c>
      <c r="W169">
        <v>250000</v>
      </c>
      <c r="X169" t="s">
        <v>5</v>
      </c>
      <c r="Y169"/>
      <c r="Z169"/>
      <c r="AA169">
        <v>111.3262023925781</v>
      </c>
      <c r="AB169">
        <v>37.816623687744141</v>
      </c>
      <c r="AC169">
        <v>0.87159079313278198</v>
      </c>
      <c r="AD169">
        <v>3334</v>
      </c>
      <c r="AE169">
        <v>2749</v>
      </c>
      <c r="AF169">
        <v>2828</v>
      </c>
      <c r="AG169">
        <v>4119</v>
      </c>
      <c r="AH169">
        <v>4790</v>
      </c>
      <c r="AI169">
        <v>4790</v>
      </c>
      <c r="AJ169">
        <v>4</v>
      </c>
      <c r="AK169">
        <v>0</v>
      </c>
      <c r="AL169">
        <v>103</v>
      </c>
      <c r="AM169">
        <v>548</v>
      </c>
      <c r="AN169">
        <v>571.30499267578125</v>
      </c>
      <c r="AO169"/>
      <c r="AP169"/>
      <c r="AQ169"/>
      <c r="AR169"/>
      <c r="AS169"/>
      <c r="AT169"/>
      <c r="AU169"/>
      <c r="AV169"/>
      <c r="AW169"/>
      <c r="AX169"/>
      <c r="AY169"/>
      <c r="AZ169"/>
      <c r="BA169"/>
      <c r="BB169"/>
      <c r="BC169"/>
      <c r="BD169"/>
      <c r="BE169">
        <v>0</v>
      </c>
      <c r="BF169" t="s">
        <v>5</v>
      </c>
      <c r="BG169" t="s">
        <v>5</v>
      </c>
      <c r="BH169" t="s">
        <v>3581</v>
      </c>
      <c r="BI169"/>
      <c r="BJ169" t="s">
        <v>5</v>
      </c>
      <c r="BK169"/>
      <c r="BL169">
        <v>0</v>
      </c>
      <c r="BM169"/>
      <c r="BN169" t="s">
        <v>5</v>
      </c>
      <c r="BO169"/>
      <c r="BP169"/>
      <c r="BQ169"/>
      <c r="BR169"/>
      <c r="BS169" t="s">
        <v>5</v>
      </c>
      <c r="BT169"/>
      <c r="BU169"/>
      <c r="BV169"/>
      <c r="BW169"/>
      <c r="BX169" t="s">
        <v>6</v>
      </c>
      <c r="BY169" t="s">
        <v>3678</v>
      </c>
      <c r="BZ169"/>
      <c r="CA169"/>
      <c r="CB169" t="s">
        <v>5</v>
      </c>
      <c r="CC169">
        <v>636139.96288904757</v>
      </c>
      <c r="CD169">
        <v>729834770.14420617</v>
      </c>
      <c r="CE169" s="313" t="s">
        <v>11891</v>
      </c>
    </row>
    <row r="170" spans="1:83" ht="15" x14ac:dyDescent="0.25">
      <c r="A170" t="s">
        <v>3698</v>
      </c>
      <c r="B170" t="s">
        <v>3699</v>
      </c>
      <c r="C170" t="s">
        <v>3700</v>
      </c>
      <c r="D170">
        <v>13</v>
      </c>
      <c r="E170" t="s">
        <v>3573</v>
      </c>
      <c r="F170" t="s">
        <v>3701</v>
      </c>
      <c r="G170" t="s">
        <v>3702</v>
      </c>
      <c r="H170" t="s">
        <v>3703</v>
      </c>
      <c r="I170"/>
      <c r="J170"/>
      <c r="K170" t="s">
        <v>3598</v>
      </c>
      <c r="L170">
        <v>878.7767333984375</v>
      </c>
      <c r="M170" t="s">
        <v>6</v>
      </c>
      <c r="N170" t="s">
        <v>5</v>
      </c>
      <c r="O170" t="s">
        <v>6</v>
      </c>
      <c r="P170" t="s">
        <v>5</v>
      </c>
      <c r="Q170" t="s">
        <v>5</v>
      </c>
      <c r="R170" t="s">
        <v>3704</v>
      </c>
      <c r="S170" t="s">
        <v>3705</v>
      </c>
      <c r="T170" t="s">
        <v>6</v>
      </c>
      <c r="U170" t="s">
        <v>28</v>
      </c>
      <c r="V170">
        <v>250000</v>
      </c>
      <c r="W170">
        <v>250000</v>
      </c>
      <c r="X170" t="s">
        <v>5</v>
      </c>
      <c r="Y170"/>
      <c r="Z170"/>
      <c r="AA170">
        <v>163.1943054199219</v>
      </c>
      <c r="AB170">
        <v>45.333721160888672</v>
      </c>
      <c r="AC170">
        <v>4.08952496945858E-2</v>
      </c>
      <c r="AD170">
        <v>1617</v>
      </c>
      <c r="AE170">
        <v>673</v>
      </c>
      <c r="AF170">
        <v>792</v>
      </c>
      <c r="AG170">
        <v>6275</v>
      </c>
      <c r="AH170">
        <v>4902</v>
      </c>
      <c r="AI170">
        <v>6275</v>
      </c>
      <c r="AJ170">
        <v>27</v>
      </c>
      <c r="AK170">
        <v>34</v>
      </c>
      <c r="AL170">
        <v>113</v>
      </c>
      <c r="AM170">
        <v>399</v>
      </c>
      <c r="AN170">
        <v>10462.880859375</v>
      </c>
      <c r="AO170"/>
      <c r="AP170"/>
      <c r="AQ170"/>
      <c r="AR170"/>
      <c r="AS170"/>
      <c r="AT170"/>
      <c r="AU170"/>
      <c r="AV170"/>
      <c r="AW170"/>
      <c r="AX170"/>
      <c r="AY170"/>
      <c r="AZ170"/>
      <c r="BA170"/>
      <c r="BB170"/>
      <c r="BC170"/>
      <c r="BD170"/>
      <c r="BE170">
        <v>0</v>
      </c>
      <c r="BF170" t="s">
        <v>5</v>
      </c>
      <c r="BG170" t="s">
        <v>5</v>
      </c>
      <c r="BH170" t="s">
        <v>3581</v>
      </c>
      <c r="BI170"/>
      <c r="BJ170" t="s">
        <v>5</v>
      </c>
      <c r="BK170"/>
      <c r="BL170">
        <v>0</v>
      </c>
      <c r="BM170"/>
      <c r="BN170" t="s">
        <v>5</v>
      </c>
      <c r="BO170"/>
      <c r="BP170"/>
      <c r="BQ170"/>
      <c r="BR170"/>
      <c r="BS170" t="s">
        <v>5</v>
      </c>
      <c r="BT170"/>
      <c r="BU170"/>
      <c r="BV170"/>
      <c r="BW170"/>
      <c r="BX170" t="s">
        <v>6</v>
      </c>
      <c r="BY170" t="s">
        <v>3678</v>
      </c>
      <c r="BZ170"/>
      <c r="CA170"/>
      <c r="CB170" t="s">
        <v>5</v>
      </c>
      <c r="CC170">
        <v>231520.54425223419</v>
      </c>
      <c r="CD170">
        <v>2276030378.9624009</v>
      </c>
      <c r="CE170" s="313" t="s">
        <v>11891</v>
      </c>
    </row>
    <row r="171" spans="1:83" ht="15" x14ac:dyDescent="0.25">
      <c r="A171" t="s">
        <v>1696</v>
      </c>
      <c r="B171" t="s">
        <v>1697</v>
      </c>
      <c r="C171" t="s">
        <v>1698</v>
      </c>
      <c r="D171">
        <v>2</v>
      </c>
      <c r="E171" t="s">
        <v>1516</v>
      </c>
      <c r="F171" t="s">
        <v>1528</v>
      </c>
      <c r="G171" t="s">
        <v>1568</v>
      </c>
      <c r="H171" t="s">
        <v>4345</v>
      </c>
      <c r="I171" t="s">
        <v>1569</v>
      </c>
      <c r="J171" t="s">
        <v>1570</v>
      </c>
      <c r="K171" t="s">
        <v>1699</v>
      </c>
      <c r="L171">
        <v>45.871814727783203</v>
      </c>
      <c r="M171" t="s">
        <v>6</v>
      </c>
      <c r="N171" t="s">
        <v>5</v>
      </c>
      <c r="O171" t="s">
        <v>5</v>
      </c>
      <c r="P171" t="s">
        <v>5</v>
      </c>
      <c r="Q171" t="s">
        <v>5</v>
      </c>
      <c r="R171" t="s">
        <v>1571</v>
      </c>
      <c r="S171" t="s">
        <v>1700</v>
      </c>
      <c r="T171" t="s">
        <v>5</v>
      </c>
      <c r="U171" t="s">
        <v>28</v>
      </c>
      <c r="V171">
        <v>250000</v>
      </c>
      <c r="W171">
        <v>250000</v>
      </c>
      <c r="X171" t="s">
        <v>5</v>
      </c>
      <c r="Y171"/>
      <c r="Z171"/>
      <c r="AA171">
        <v>5.9408011436462402</v>
      </c>
      <c r="AB171">
        <v>0.64445430040359497</v>
      </c>
      <c r="AC171">
        <v>0</v>
      </c>
      <c r="AD171">
        <v>772</v>
      </c>
      <c r="AE171">
        <v>123</v>
      </c>
      <c r="AF171">
        <v>553</v>
      </c>
      <c r="AG171">
        <v>5189</v>
      </c>
      <c r="AH171">
        <v>2670</v>
      </c>
      <c r="AI171">
        <v>7004</v>
      </c>
      <c r="AJ171">
        <v>5</v>
      </c>
      <c r="AK171">
        <v>2</v>
      </c>
      <c r="AL171">
        <v>39</v>
      </c>
      <c r="AM171"/>
      <c r="AN171">
        <v>380.56082153320313</v>
      </c>
      <c r="AO171"/>
      <c r="AP171"/>
      <c r="AQ171"/>
      <c r="AR171"/>
      <c r="AS171"/>
      <c r="AT171"/>
      <c r="AU171"/>
      <c r="AV171"/>
      <c r="AW171"/>
      <c r="AX171"/>
      <c r="AY171"/>
      <c r="AZ171"/>
      <c r="BA171"/>
      <c r="BB171"/>
      <c r="BC171"/>
      <c r="BD171"/>
      <c r="BE171"/>
      <c r="BF171" t="s">
        <v>1100</v>
      </c>
      <c r="BG171" t="s">
        <v>5</v>
      </c>
      <c r="BH171" t="s">
        <v>1524</v>
      </c>
      <c r="BI171" t="s">
        <v>5</v>
      </c>
      <c r="BJ171" t="s">
        <v>5</v>
      </c>
      <c r="BK171"/>
      <c r="BL171">
        <v>0</v>
      </c>
      <c r="BM171"/>
      <c r="BN171" t="s">
        <v>5</v>
      </c>
      <c r="BO171"/>
      <c r="BP171"/>
      <c r="BQ171"/>
      <c r="BR171"/>
      <c r="BS171" t="s">
        <v>5</v>
      </c>
      <c r="BT171"/>
      <c r="BU171"/>
      <c r="BV171"/>
      <c r="BW171"/>
      <c r="BX171" t="s">
        <v>6</v>
      </c>
      <c r="BY171" t="s">
        <v>1681</v>
      </c>
      <c r="BZ171"/>
      <c r="CA171"/>
      <c r="CB171" t="s">
        <v>5</v>
      </c>
      <c r="CC171">
        <v>153508.04323295271</v>
      </c>
      <c r="CD171">
        <v>118807455.9607856</v>
      </c>
      <c r="CE171" s="313" t="s">
        <v>11891</v>
      </c>
    </row>
    <row r="172" spans="1:83" ht="15" x14ac:dyDescent="0.25">
      <c r="A172" t="s">
        <v>1701</v>
      </c>
      <c r="B172" t="s">
        <v>1702</v>
      </c>
      <c r="C172" t="s">
        <v>1703</v>
      </c>
      <c r="D172">
        <v>2</v>
      </c>
      <c r="E172" t="s">
        <v>1516</v>
      </c>
      <c r="F172" t="s">
        <v>1528</v>
      </c>
      <c r="G172" t="s">
        <v>1623</v>
      </c>
      <c r="H172" t="s">
        <v>4352</v>
      </c>
      <c r="I172" t="s">
        <v>1585</v>
      </c>
      <c r="J172" t="s">
        <v>1585</v>
      </c>
      <c r="K172" t="s">
        <v>1704</v>
      </c>
      <c r="L172">
        <v>976.7410888671875</v>
      </c>
      <c r="M172" t="s">
        <v>6</v>
      </c>
      <c r="N172" t="s">
        <v>5</v>
      </c>
      <c r="O172" t="s">
        <v>5</v>
      </c>
      <c r="P172" t="s">
        <v>5</v>
      </c>
      <c r="Q172" t="s">
        <v>5</v>
      </c>
      <c r="R172" t="s">
        <v>1624</v>
      </c>
      <c r="S172" t="s">
        <v>1625</v>
      </c>
      <c r="T172" t="s">
        <v>5</v>
      </c>
      <c r="U172" t="s">
        <v>28</v>
      </c>
      <c r="V172">
        <v>250000</v>
      </c>
      <c r="W172">
        <v>250000</v>
      </c>
      <c r="X172" t="s">
        <v>5</v>
      </c>
      <c r="Y172"/>
      <c r="Z172"/>
      <c r="AA172">
        <v>161.1616516113281</v>
      </c>
      <c r="AB172">
        <v>8.1251916885375977</v>
      </c>
      <c r="AC172">
        <v>0</v>
      </c>
      <c r="AD172">
        <v>2569</v>
      </c>
      <c r="AE172">
        <v>355</v>
      </c>
      <c r="AF172">
        <v>1511</v>
      </c>
      <c r="AG172">
        <v>9464</v>
      </c>
      <c r="AH172">
        <v>4360</v>
      </c>
      <c r="AI172">
        <v>12470</v>
      </c>
      <c r="AJ172">
        <v>23</v>
      </c>
      <c r="AK172">
        <v>8</v>
      </c>
      <c r="AL172">
        <v>181</v>
      </c>
      <c r="AM172"/>
      <c r="AN172">
        <v>10335.0703125</v>
      </c>
      <c r="AO172"/>
      <c r="AP172"/>
      <c r="AQ172"/>
      <c r="AR172"/>
      <c r="AS172"/>
      <c r="AT172"/>
      <c r="AU172"/>
      <c r="AV172"/>
      <c r="AW172"/>
      <c r="AX172"/>
      <c r="AY172"/>
      <c r="AZ172"/>
      <c r="BA172"/>
      <c r="BB172"/>
      <c r="BC172"/>
      <c r="BD172"/>
      <c r="BE172"/>
      <c r="BF172" t="s">
        <v>1100</v>
      </c>
      <c r="BG172" t="s">
        <v>5</v>
      </c>
      <c r="BH172" t="s">
        <v>1524</v>
      </c>
      <c r="BI172" t="s">
        <v>5</v>
      </c>
      <c r="BJ172" t="s">
        <v>5</v>
      </c>
      <c r="BK172"/>
      <c r="BL172">
        <v>0</v>
      </c>
      <c r="BM172"/>
      <c r="BN172" t="s">
        <v>5</v>
      </c>
      <c r="BO172"/>
      <c r="BP172"/>
      <c r="BQ172"/>
      <c r="BR172"/>
      <c r="BS172" t="s">
        <v>5</v>
      </c>
      <c r="BT172"/>
      <c r="BU172"/>
      <c r="BV172"/>
      <c r="BW172"/>
      <c r="BX172" t="s">
        <v>6</v>
      </c>
      <c r="BY172" t="s">
        <v>1681</v>
      </c>
      <c r="BZ172"/>
      <c r="CA172"/>
      <c r="CB172" t="s">
        <v>5</v>
      </c>
      <c r="CC172">
        <v>242165.81252085129</v>
      </c>
      <c r="CD172">
        <v>2529747736.6059952</v>
      </c>
      <c r="CE172" s="313" t="s">
        <v>11891</v>
      </c>
    </row>
    <row r="173" spans="1:83" ht="15" x14ac:dyDescent="0.25">
      <c r="A173" t="s">
        <v>1757</v>
      </c>
      <c r="B173" t="s">
        <v>1758</v>
      </c>
      <c r="C173" t="s">
        <v>1759</v>
      </c>
      <c r="D173">
        <v>2</v>
      </c>
      <c r="E173" t="s">
        <v>1516</v>
      </c>
      <c r="F173" t="s">
        <v>1745</v>
      </c>
      <c r="G173" t="s">
        <v>1746</v>
      </c>
      <c r="H173"/>
      <c r="I173" t="s">
        <v>1585</v>
      </c>
      <c r="J173" t="s">
        <v>1585</v>
      </c>
      <c r="K173" t="s">
        <v>1704</v>
      </c>
      <c r="L173">
        <v>9160.388671875</v>
      </c>
      <c r="M173" t="s">
        <v>6</v>
      </c>
      <c r="N173" t="s">
        <v>5</v>
      </c>
      <c r="O173" t="s">
        <v>5</v>
      </c>
      <c r="P173" t="s">
        <v>5</v>
      </c>
      <c r="Q173" t="s">
        <v>5</v>
      </c>
      <c r="R173" t="s">
        <v>1748</v>
      </c>
      <c r="S173" t="s">
        <v>1749</v>
      </c>
      <c r="T173" t="s">
        <v>5</v>
      </c>
      <c r="U173" t="s">
        <v>28</v>
      </c>
      <c r="V173">
        <v>250000</v>
      </c>
      <c r="W173">
        <v>250000</v>
      </c>
      <c r="X173" t="s">
        <v>5</v>
      </c>
      <c r="Y173"/>
      <c r="Z173"/>
      <c r="AA173">
        <v>2820.708251953125</v>
      </c>
      <c r="AB173">
        <v>115.15859222412109</v>
      </c>
      <c r="AC173">
        <v>0</v>
      </c>
      <c r="AD173">
        <v>13438</v>
      </c>
      <c r="AE173">
        <v>1585</v>
      </c>
      <c r="AF173">
        <v>8069</v>
      </c>
      <c r="AG173">
        <v>37615</v>
      </c>
      <c r="AH173">
        <v>20723</v>
      </c>
      <c r="AI173">
        <v>51360</v>
      </c>
      <c r="AJ173">
        <v>159</v>
      </c>
      <c r="AK173">
        <v>116</v>
      </c>
      <c r="AL173">
        <v>1924</v>
      </c>
      <c r="AM173"/>
      <c r="AN173">
        <v>180986.3125</v>
      </c>
      <c r="AO173"/>
      <c r="AP173"/>
      <c r="AQ173"/>
      <c r="AR173"/>
      <c r="AS173"/>
      <c r="AT173"/>
      <c r="AU173"/>
      <c r="AV173"/>
      <c r="AW173"/>
      <c r="AX173"/>
      <c r="AY173"/>
      <c r="AZ173"/>
      <c r="BA173"/>
      <c r="BB173"/>
      <c r="BC173"/>
      <c r="BD173"/>
      <c r="BE173"/>
      <c r="BF173" t="s">
        <v>1100</v>
      </c>
      <c r="BG173" t="s">
        <v>5</v>
      </c>
      <c r="BH173" t="s">
        <v>1524</v>
      </c>
      <c r="BI173" t="s">
        <v>5</v>
      </c>
      <c r="BJ173" t="s">
        <v>5</v>
      </c>
      <c r="BK173"/>
      <c r="BL173">
        <v>0</v>
      </c>
      <c r="BM173"/>
      <c r="BN173" t="s">
        <v>5</v>
      </c>
      <c r="BO173"/>
      <c r="BP173"/>
      <c r="BQ173"/>
      <c r="BR173"/>
      <c r="BS173" t="s">
        <v>5</v>
      </c>
      <c r="BT173"/>
      <c r="BU173"/>
      <c r="BV173"/>
      <c r="BW173"/>
      <c r="BX173" t="s">
        <v>6</v>
      </c>
      <c r="BY173" t="s">
        <v>1681</v>
      </c>
      <c r="BZ173"/>
      <c r="CA173"/>
      <c r="CB173" t="s">
        <v>5</v>
      </c>
      <c r="CC173">
        <v>1281108.6032982951</v>
      </c>
      <c r="CD173">
        <v>23725296905.122398</v>
      </c>
      <c r="CE173" s="313" t="s">
        <v>11891</v>
      </c>
    </row>
    <row r="174" spans="1:83" ht="15" x14ac:dyDescent="0.25">
      <c r="A174" t="s">
        <v>4561</v>
      </c>
      <c r="B174" t="s">
        <v>2069</v>
      </c>
      <c r="C174" t="s">
        <v>2070</v>
      </c>
      <c r="D174">
        <v>4</v>
      </c>
      <c r="E174" t="s">
        <v>2512</v>
      </c>
      <c r="F174" t="s">
        <v>4562</v>
      </c>
      <c r="G174" t="s">
        <v>4563</v>
      </c>
      <c r="H174" t="s">
        <v>4564</v>
      </c>
      <c r="I174" t="s">
        <v>4565</v>
      </c>
      <c r="J174" t="s">
        <v>4566</v>
      </c>
      <c r="K174" t="s">
        <v>4567</v>
      </c>
      <c r="L174">
        <v>879.44000244140625</v>
      </c>
      <c r="M174" t="s">
        <v>6</v>
      </c>
      <c r="N174" t="s">
        <v>5</v>
      </c>
      <c r="O174" t="s">
        <v>5</v>
      </c>
      <c r="P174" t="s">
        <v>5</v>
      </c>
      <c r="Q174" t="s">
        <v>5</v>
      </c>
      <c r="R174" t="s">
        <v>2073</v>
      </c>
      <c r="S174" t="s">
        <v>2073</v>
      </c>
      <c r="T174" t="s">
        <v>6</v>
      </c>
      <c r="U174" t="s">
        <v>28</v>
      </c>
      <c r="V174">
        <v>250000</v>
      </c>
      <c r="W174">
        <v>250000</v>
      </c>
      <c r="X174" t="s">
        <v>6</v>
      </c>
      <c r="Y174"/>
      <c r="Z174">
        <v>0</v>
      </c>
      <c r="AA174">
        <v>174.69000244140619</v>
      </c>
      <c r="AB174">
        <v>10.05000019073486</v>
      </c>
      <c r="AC174">
        <v>0</v>
      </c>
      <c r="AD174">
        <v>2392</v>
      </c>
      <c r="AE174">
        <v>541</v>
      </c>
      <c r="AF174">
        <v>1392</v>
      </c>
      <c r="AG174">
        <v>6455</v>
      </c>
      <c r="AH174">
        <v>3220</v>
      </c>
      <c r="AI174">
        <v>8690</v>
      </c>
      <c r="AJ174">
        <v>45</v>
      </c>
      <c r="AK174">
        <v>10</v>
      </c>
      <c r="AL174">
        <v>143</v>
      </c>
      <c r="AM174">
        <v>10</v>
      </c>
      <c r="AN174">
        <v>33759.328125</v>
      </c>
      <c r="AO174"/>
      <c r="AP174"/>
      <c r="AQ174"/>
      <c r="AR174">
        <v>0</v>
      </c>
      <c r="AS174">
        <v>0</v>
      </c>
      <c r="AT174">
        <v>0</v>
      </c>
      <c r="AU174">
        <v>0</v>
      </c>
      <c r="AV174">
        <v>0</v>
      </c>
      <c r="AW174">
        <v>0</v>
      </c>
      <c r="AX174">
        <v>0</v>
      </c>
      <c r="AY174">
        <v>0</v>
      </c>
      <c r="AZ174">
        <v>0</v>
      </c>
      <c r="BA174">
        <v>0</v>
      </c>
      <c r="BB174"/>
      <c r="BC174"/>
      <c r="BD174"/>
      <c r="BE174">
        <v>0</v>
      </c>
      <c r="BF174" t="s">
        <v>2516</v>
      </c>
      <c r="BG174" t="s">
        <v>5</v>
      </c>
      <c r="BH174" t="s">
        <v>1100</v>
      </c>
      <c r="BI174" t="s">
        <v>1100</v>
      </c>
      <c r="BJ174" t="s">
        <v>5</v>
      </c>
      <c r="BK174" t="s">
        <v>1100</v>
      </c>
      <c r="BL174">
        <v>0</v>
      </c>
      <c r="BM174"/>
      <c r="BN174" t="s">
        <v>5</v>
      </c>
      <c r="BO174" t="s">
        <v>2518</v>
      </c>
      <c r="BP174" t="s">
        <v>2518</v>
      </c>
      <c r="BQ174" t="s">
        <v>2518</v>
      </c>
      <c r="BR174" t="s">
        <v>2518</v>
      </c>
      <c r="BS174" t="s">
        <v>6</v>
      </c>
      <c r="BT174" t="s">
        <v>2518</v>
      </c>
      <c r="BU174" t="s">
        <v>2518</v>
      </c>
      <c r="BV174" t="s">
        <v>2518</v>
      </c>
      <c r="BW174" t="s">
        <v>1100</v>
      </c>
      <c r="BX174" t="s">
        <v>6</v>
      </c>
      <c r="BY174" t="s">
        <v>2519</v>
      </c>
      <c r="BZ174"/>
      <c r="CA174"/>
      <c r="CB174" t="s">
        <v>5</v>
      </c>
      <c r="CC174">
        <v>209698.71430297391</v>
      </c>
      <c r="CD174">
        <v>2277750531.6466851</v>
      </c>
      <c r="CE174" s="313" t="s">
        <v>11891</v>
      </c>
    </row>
    <row r="175" spans="1:83" ht="15" x14ac:dyDescent="0.25">
      <c r="A175" t="s">
        <v>4568</v>
      </c>
      <c r="B175" t="s">
        <v>1897</v>
      </c>
      <c r="C175" t="s">
        <v>1898</v>
      </c>
      <c r="D175">
        <v>4</v>
      </c>
      <c r="E175" t="s">
        <v>2512</v>
      </c>
      <c r="F175" t="s">
        <v>4569</v>
      </c>
      <c r="G175" t="s">
        <v>2513</v>
      </c>
      <c r="H175" t="s">
        <v>2520</v>
      </c>
      <c r="I175" t="s">
        <v>4570</v>
      </c>
      <c r="J175" t="s">
        <v>4571</v>
      </c>
      <c r="K175" t="s">
        <v>4572</v>
      </c>
      <c r="L175">
        <v>148.08000183105469</v>
      </c>
      <c r="M175" t="s">
        <v>6</v>
      </c>
      <c r="N175" t="s">
        <v>5</v>
      </c>
      <c r="O175" t="s">
        <v>5</v>
      </c>
      <c r="P175" t="s">
        <v>5</v>
      </c>
      <c r="Q175" t="s">
        <v>5</v>
      </c>
      <c r="R175" t="s">
        <v>1902</v>
      </c>
      <c r="S175" t="s">
        <v>1902</v>
      </c>
      <c r="T175" t="s">
        <v>5</v>
      </c>
      <c r="U175" t="s">
        <v>28</v>
      </c>
      <c r="V175">
        <v>250000</v>
      </c>
      <c r="W175">
        <v>250000</v>
      </c>
      <c r="X175" t="s">
        <v>6</v>
      </c>
      <c r="Y175"/>
      <c r="Z175">
        <v>0</v>
      </c>
      <c r="AA175">
        <v>7.619999885559082</v>
      </c>
      <c r="AB175">
        <v>0.52999997138977051</v>
      </c>
      <c r="AC175">
        <v>0</v>
      </c>
      <c r="AD175">
        <v>191</v>
      </c>
      <c r="AE175">
        <v>58</v>
      </c>
      <c r="AF175">
        <v>149</v>
      </c>
      <c r="AG175">
        <v>286</v>
      </c>
      <c r="AH175">
        <v>673</v>
      </c>
      <c r="AI175">
        <v>786</v>
      </c>
      <c r="AJ175">
        <v>0</v>
      </c>
      <c r="AK175">
        <v>11</v>
      </c>
      <c r="AL175">
        <v>15</v>
      </c>
      <c r="AM175">
        <v>11</v>
      </c>
      <c r="AN175">
        <v>2828.889892578125</v>
      </c>
      <c r="AO175"/>
      <c r="AP175"/>
      <c r="AQ175"/>
      <c r="AR175">
        <v>0</v>
      </c>
      <c r="AS175">
        <v>0</v>
      </c>
      <c r="AT175">
        <v>0</v>
      </c>
      <c r="AU175">
        <v>0</v>
      </c>
      <c r="AV175">
        <v>0</v>
      </c>
      <c r="AW175">
        <v>0</v>
      </c>
      <c r="AX175">
        <v>0</v>
      </c>
      <c r="AY175">
        <v>0</v>
      </c>
      <c r="AZ175">
        <v>0</v>
      </c>
      <c r="BA175">
        <v>0</v>
      </c>
      <c r="BB175"/>
      <c r="BC175"/>
      <c r="BD175"/>
      <c r="BE175">
        <v>0</v>
      </c>
      <c r="BF175" t="s">
        <v>2516</v>
      </c>
      <c r="BG175" t="s">
        <v>5</v>
      </c>
      <c r="BH175" t="s">
        <v>1100</v>
      </c>
      <c r="BI175" t="s">
        <v>1100</v>
      </c>
      <c r="BJ175" t="s">
        <v>5</v>
      </c>
      <c r="BK175" t="s">
        <v>1100</v>
      </c>
      <c r="BL175">
        <v>0</v>
      </c>
      <c r="BM175"/>
      <c r="BN175" t="s">
        <v>5</v>
      </c>
      <c r="BO175" t="s">
        <v>2518</v>
      </c>
      <c r="BP175" t="s">
        <v>2518</v>
      </c>
      <c r="BQ175" t="s">
        <v>2518</v>
      </c>
      <c r="BR175" t="s">
        <v>2518</v>
      </c>
      <c r="BS175" t="s">
        <v>6</v>
      </c>
      <c r="BT175" t="s">
        <v>2518</v>
      </c>
      <c r="BU175" t="s">
        <v>2518</v>
      </c>
      <c r="BV175" t="s">
        <v>2518</v>
      </c>
      <c r="BW175" t="s">
        <v>1100</v>
      </c>
      <c r="BX175" t="s">
        <v>6</v>
      </c>
      <c r="BY175" t="s">
        <v>2519</v>
      </c>
      <c r="BZ175"/>
      <c r="CA175"/>
      <c r="CB175" t="s">
        <v>5</v>
      </c>
      <c r="CC175">
        <v>78389.781225890081</v>
      </c>
      <c r="CD175">
        <v>383521736.46283472</v>
      </c>
      <c r="CE175" s="313" t="s">
        <v>11891</v>
      </c>
    </row>
    <row r="176" spans="1:83" ht="15" x14ac:dyDescent="0.25">
      <c r="A176" t="s">
        <v>82</v>
      </c>
      <c r="B176" t="s">
        <v>83</v>
      </c>
      <c r="C176" t="s">
        <v>84</v>
      </c>
      <c r="D176">
        <v>6</v>
      </c>
      <c r="E176" t="s">
        <v>259</v>
      </c>
      <c r="F176" t="s">
        <v>46</v>
      </c>
      <c r="G176" t="s">
        <v>39</v>
      </c>
      <c r="H176" t="s">
        <v>276</v>
      </c>
      <c r="I176" t="s">
        <v>277</v>
      </c>
      <c r="J176" t="s">
        <v>278</v>
      </c>
      <c r="K176" t="s">
        <v>340</v>
      </c>
      <c r="L176">
        <v>665.2381591796875</v>
      </c>
      <c r="M176" t="s">
        <v>6</v>
      </c>
      <c r="N176" t="s">
        <v>6</v>
      </c>
      <c r="O176" t="s">
        <v>6</v>
      </c>
      <c r="P176" t="s">
        <v>5</v>
      </c>
      <c r="Q176" t="s">
        <v>5</v>
      </c>
      <c r="R176" t="s">
        <v>267</v>
      </c>
      <c r="S176" t="s">
        <v>341</v>
      </c>
      <c r="T176" t="s">
        <v>6</v>
      </c>
      <c r="U176" t="s">
        <v>85</v>
      </c>
      <c r="V176">
        <v>5000000</v>
      </c>
      <c r="W176">
        <v>250000</v>
      </c>
      <c r="X176" t="s">
        <v>6</v>
      </c>
      <c r="Y176"/>
      <c r="Z176"/>
      <c r="AA176">
        <v>307.84701538085938</v>
      </c>
      <c r="AB176">
        <v>87.043266296386719</v>
      </c>
      <c r="AC176">
        <v>0</v>
      </c>
      <c r="AD176">
        <v>48564</v>
      </c>
      <c r="AE176">
        <v>48538</v>
      </c>
      <c r="AF176">
        <v>42183</v>
      </c>
      <c r="AG176">
        <v>99955</v>
      </c>
      <c r="AH176">
        <v>102739</v>
      </c>
      <c r="AI176">
        <v>102739</v>
      </c>
      <c r="AJ176">
        <v>680</v>
      </c>
      <c r="AK176">
        <v>30</v>
      </c>
      <c r="AL176">
        <v>909</v>
      </c>
      <c r="AM176">
        <v>30</v>
      </c>
      <c r="AN176">
        <v>3415.793701171875</v>
      </c>
      <c r="AO176"/>
      <c r="AP176"/>
      <c r="AQ176"/>
      <c r="AR176"/>
      <c r="AS176"/>
      <c r="AT176"/>
      <c r="AU176"/>
      <c r="AV176"/>
      <c r="AW176"/>
      <c r="AX176"/>
      <c r="AY176"/>
      <c r="AZ176"/>
      <c r="BA176"/>
      <c r="BB176"/>
      <c r="BC176"/>
      <c r="BD176"/>
      <c r="BE176"/>
      <c r="BF176" t="s">
        <v>300</v>
      </c>
      <c r="BG176" t="s">
        <v>5</v>
      </c>
      <c r="BH176"/>
      <c r="BI176"/>
      <c r="BJ176" t="s">
        <v>5</v>
      </c>
      <c r="BK176"/>
      <c r="BL176">
        <v>0</v>
      </c>
      <c r="BM176"/>
      <c r="BN176" t="s">
        <v>5</v>
      </c>
      <c r="BO176" t="s">
        <v>2518</v>
      </c>
      <c r="BP176" t="s">
        <v>2518</v>
      </c>
      <c r="BQ176" t="s">
        <v>2518</v>
      </c>
      <c r="BR176"/>
      <c r="BS176" t="s">
        <v>6</v>
      </c>
      <c r="BT176" t="s">
        <v>2518</v>
      </c>
      <c r="BU176" t="s">
        <v>2518</v>
      </c>
      <c r="BV176" t="s">
        <v>2518</v>
      </c>
      <c r="BW176"/>
      <c r="BX176" t="s">
        <v>6</v>
      </c>
      <c r="BY176" t="s">
        <v>7</v>
      </c>
      <c r="BZ176" t="s">
        <v>2518</v>
      </c>
      <c r="CA176"/>
      <c r="CB176" t="s">
        <v>5</v>
      </c>
      <c r="CC176">
        <v>285399.17902297009</v>
      </c>
      <c r="CD176">
        <v>1722958883.540503</v>
      </c>
      <c r="CE176" s="313" t="s">
        <v>11891</v>
      </c>
    </row>
    <row r="177" spans="1:83" ht="15" x14ac:dyDescent="0.25">
      <c r="A177" t="s">
        <v>118</v>
      </c>
      <c r="B177" t="s">
        <v>119</v>
      </c>
      <c r="C177" t="s">
        <v>120</v>
      </c>
      <c r="D177">
        <v>6</v>
      </c>
      <c r="E177" t="s">
        <v>259</v>
      </c>
      <c r="F177" t="s">
        <v>46</v>
      </c>
      <c r="G177" t="s">
        <v>39</v>
      </c>
      <c r="H177" t="s">
        <v>374</v>
      </c>
      <c r="I177" t="s">
        <v>375</v>
      </c>
      <c r="J177" t="s">
        <v>376</v>
      </c>
      <c r="K177" t="s">
        <v>279</v>
      </c>
      <c r="L177">
        <v>17.035295486450199</v>
      </c>
      <c r="M177" t="s">
        <v>6</v>
      </c>
      <c r="N177" t="s">
        <v>5</v>
      </c>
      <c r="O177" t="s">
        <v>6</v>
      </c>
      <c r="P177" t="s">
        <v>5</v>
      </c>
      <c r="Q177" t="s">
        <v>5</v>
      </c>
      <c r="R177" t="s">
        <v>377</v>
      </c>
      <c r="S177" t="s">
        <v>377</v>
      </c>
      <c r="T177" t="s">
        <v>5</v>
      </c>
      <c r="U177" t="s">
        <v>50</v>
      </c>
      <c r="V177">
        <v>5000000</v>
      </c>
      <c r="W177">
        <v>250000</v>
      </c>
      <c r="X177" t="s">
        <v>6</v>
      </c>
      <c r="Y177"/>
      <c r="Z177"/>
      <c r="AA177">
        <v>0.6812329888343811</v>
      </c>
      <c r="AB177">
        <v>2.3715629577636719</v>
      </c>
      <c r="AC177">
        <v>0</v>
      </c>
      <c r="AD177">
        <v>400</v>
      </c>
      <c r="AE177">
        <v>979</v>
      </c>
      <c r="AF177">
        <v>306</v>
      </c>
      <c r="AG177">
        <v>227</v>
      </c>
      <c r="AH177">
        <v>748</v>
      </c>
      <c r="AI177">
        <v>748</v>
      </c>
      <c r="AJ177">
        <v>1</v>
      </c>
      <c r="AK177">
        <v>9</v>
      </c>
      <c r="AL177">
        <v>4</v>
      </c>
      <c r="AM177">
        <v>9</v>
      </c>
      <c r="AN177">
        <v>12.12156867980957</v>
      </c>
      <c r="AO177"/>
      <c r="AP177"/>
      <c r="AQ177"/>
      <c r="AR177"/>
      <c r="AS177"/>
      <c r="AT177"/>
      <c r="AU177"/>
      <c r="AV177"/>
      <c r="AW177"/>
      <c r="AX177"/>
      <c r="AY177"/>
      <c r="AZ177"/>
      <c r="BA177"/>
      <c r="BB177"/>
      <c r="BC177"/>
      <c r="BD177"/>
      <c r="BE177"/>
      <c r="BF177"/>
      <c r="BG177" t="s">
        <v>5</v>
      </c>
      <c r="BH177"/>
      <c r="BI177"/>
      <c r="BJ177" t="s">
        <v>5</v>
      </c>
      <c r="BK177"/>
      <c r="BL177">
        <v>0</v>
      </c>
      <c r="BM177"/>
      <c r="BN177" t="s">
        <v>5</v>
      </c>
      <c r="BO177" t="s">
        <v>2518</v>
      </c>
      <c r="BP177" t="s">
        <v>2518</v>
      </c>
      <c r="BQ177" t="s">
        <v>2518</v>
      </c>
      <c r="BR177"/>
      <c r="BS177" t="s">
        <v>6</v>
      </c>
      <c r="BT177" t="s">
        <v>2518</v>
      </c>
      <c r="BU177" t="s">
        <v>2518</v>
      </c>
      <c r="BV177" t="s">
        <v>2518</v>
      </c>
      <c r="BW177"/>
      <c r="BX177" t="s">
        <v>6</v>
      </c>
      <c r="BY177" t="s">
        <v>7</v>
      </c>
      <c r="BZ177" t="s">
        <v>2518</v>
      </c>
      <c r="CA177"/>
      <c r="CB177" t="s">
        <v>5</v>
      </c>
      <c r="CC177">
        <v>61949.128517273457</v>
      </c>
      <c r="CD177">
        <v>44121213.590359837</v>
      </c>
      <c r="CE177" s="313" t="s">
        <v>11891</v>
      </c>
    </row>
    <row r="178" spans="1:83" ht="15" x14ac:dyDescent="0.25">
      <c r="A178" t="s">
        <v>138</v>
      </c>
      <c r="B178" t="s">
        <v>139</v>
      </c>
      <c r="C178" t="s">
        <v>385</v>
      </c>
      <c r="D178">
        <v>6</v>
      </c>
      <c r="E178" t="s">
        <v>259</v>
      </c>
      <c r="F178" t="s">
        <v>386</v>
      </c>
      <c r="G178" t="s">
        <v>64</v>
      </c>
      <c r="H178" t="s">
        <v>387</v>
      </c>
      <c r="I178" t="s">
        <v>388</v>
      </c>
      <c r="J178" t="s">
        <v>389</v>
      </c>
      <c r="K178" t="s">
        <v>340</v>
      </c>
      <c r="L178">
        <v>18.736551284790039</v>
      </c>
      <c r="M178" t="s">
        <v>6</v>
      </c>
      <c r="N178" t="s">
        <v>5</v>
      </c>
      <c r="O178" t="s">
        <v>6</v>
      </c>
      <c r="P178" t="s">
        <v>5</v>
      </c>
      <c r="Q178" t="s">
        <v>5</v>
      </c>
      <c r="R178" t="s">
        <v>390</v>
      </c>
      <c r="S178" t="s">
        <v>391</v>
      </c>
      <c r="T178" t="s">
        <v>5</v>
      </c>
      <c r="U178" t="s">
        <v>85</v>
      </c>
      <c r="V178">
        <v>5000000</v>
      </c>
      <c r="W178">
        <v>250000</v>
      </c>
      <c r="X178" t="s">
        <v>6</v>
      </c>
      <c r="Y178"/>
      <c r="Z178"/>
      <c r="AA178">
        <v>6.8302888870239258</v>
      </c>
      <c r="AB178">
        <v>1.0813360214233401</v>
      </c>
      <c r="AC178">
        <v>0</v>
      </c>
      <c r="AD178">
        <v>261</v>
      </c>
      <c r="AE178">
        <v>170</v>
      </c>
      <c r="AF178">
        <v>133</v>
      </c>
      <c r="AG178">
        <v>1037</v>
      </c>
      <c r="AH178">
        <v>435</v>
      </c>
      <c r="AI178">
        <v>1037</v>
      </c>
      <c r="AJ178">
        <v>0</v>
      </c>
      <c r="AK178">
        <v>1</v>
      </c>
      <c r="AL178">
        <v>27</v>
      </c>
      <c r="AM178">
        <v>1</v>
      </c>
      <c r="AN178">
        <v>28.87845420837402</v>
      </c>
      <c r="AO178"/>
      <c r="AP178"/>
      <c r="AQ178"/>
      <c r="AR178"/>
      <c r="AS178"/>
      <c r="AT178"/>
      <c r="AU178"/>
      <c r="AV178"/>
      <c r="AW178"/>
      <c r="AX178"/>
      <c r="AY178"/>
      <c r="AZ178"/>
      <c r="BA178"/>
      <c r="BB178"/>
      <c r="BC178"/>
      <c r="BD178"/>
      <c r="BE178"/>
      <c r="BF178" t="s">
        <v>367</v>
      </c>
      <c r="BG178" t="s">
        <v>5</v>
      </c>
      <c r="BH178"/>
      <c r="BI178"/>
      <c r="BJ178" t="s">
        <v>5</v>
      </c>
      <c r="BK178"/>
      <c r="BL178">
        <v>0</v>
      </c>
      <c r="BM178"/>
      <c r="BN178" t="s">
        <v>5</v>
      </c>
      <c r="BO178" t="s">
        <v>2518</v>
      </c>
      <c r="BP178" t="s">
        <v>2518</v>
      </c>
      <c r="BQ178" t="s">
        <v>2518</v>
      </c>
      <c r="BR178"/>
      <c r="BS178" t="s">
        <v>6</v>
      </c>
      <c r="BT178" t="s">
        <v>2518</v>
      </c>
      <c r="BU178" t="s">
        <v>2518</v>
      </c>
      <c r="BV178" t="s">
        <v>2518</v>
      </c>
      <c r="BW178"/>
      <c r="BX178" t="s">
        <v>6</v>
      </c>
      <c r="BY178" t="s">
        <v>7</v>
      </c>
      <c r="BZ178" t="s">
        <v>2518</v>
      </c>
      <c r="CA178"/>
      <c r="CB178" t="s">
        <v>5</v>
      </c>
      <c r="CC178">
        <v>148745.6726522707</v>
      </c>
      <c r="CD178">
        <v>48527444.52543956</v>
      </c>
      <c r="CE178" s="313" t="s">
        <v>11891</v>
      </c>
    </row>
    <row r="179" spans="1:83" ht="15" x14ac:dyDescent="0.25">
      <c r="A179" t="s">
        <v>3067</v>
      </c>
      <c r="B179" t="s">
        <v>3068</v>
      </c>
      <c r="C179" t="s">
        <v>3069</v>
      </c>
      <c r="D179">
        <v>7</v>
      </c>
      <c r="E179" t="s">
        <v>2979</v>
      </c>
      <c r="F179" t="s">
        <v>3034</v>
      </c>
      <c r="G179" t="s">
        <v>3070</v>
      </c>
      <c r="H179" t="s">
        <v>3071</v>
      </c>
      <c r="I179" t="s">
        <v>3072</v>
      </c>
      <c r="J179" t="s">
        <v>3073</v>
      </c>
      <c r="K179" t="s">
        <v>3074</v>
      </c>
      <c r="L179">
        <v>0.46983447670936579</v>
      </c>
      <c r="M179" t="s">
        <v>5</v>
      </c>
      <c r="N179" t="s">
        <v>5</v>
      </c>
      <c r="O179" t="s">
        <v>5</v>
      </c>
      <c r="P179" t="s">
        <v>5</v>
      </c>
      <c r="Q179" t="s">
        <v>5</v>
      </c>
      <c r="R179" t="s">
        <v>3075</v>
      </c>
      <c r="S179" t="s">
        <v>3075</v>
      </c>
      <c r="T179" t="s">
        <v>5</v>
      </c>
      <c r="U179" t="s">
        <v>85</v>
      </c>
      <c r="V179">
        <v>250000</v>
      </c>
      <c r="W179">
        <v>250000</v>
      </c>
      <c r="X179" t="s">
        <v>5</v>
      </c>
      <c r="Y179" t="s">
        <v>1100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t="s">
        <v>1100</v>
      </c>
      <c r="BG179" t="s">
        <v>5</v>
      </c>
      <c r="BH179" t="s">
        <v>2987</v>
      </c>
      <c r="BI179" t="s">
        <v>1100</v>
      </c>
      <c r="BJ179" t="s">
        <v>5</v>
      </c>
      <c r="BK179" t="s">
        <v>1100</v>
      </c>
      <c r="BL179">
        <v>0</v>
      </c>
      <c r="BM179">
        <v>0</v>
      </c>
      <c r="BN179" t="s">
        <v>5</v>
      </c>
      <c r="BO179" t="s">
        <v>1100</v>
      </c>
      <c r="BP179" t="s">
        <v>1100</v>
      </c>
      <c r="BQ179" t="s">
        <v>1100</v>
      </c>
      <c r="BR179" t="s">
        <v>1100</v>
      </c>
      <c r="BS179" t="s">
        <v>5</v>
      </c>
      <c r="BT179" t="s">
        <v>1100</v>
      </c>
      <c r="BU179" t="s">
        <v>1100</v>
      </c>
      <c r="BV179" t="s">
        <v>1100</v>
      </c>
      <c r="BW179" t="s">
        <v>1100</v>
      </c>
      <c r="BX179" t="s">
        <v>6</v>
      </c>
      <c r="BY179" t="s">
        <v>2988</v>
      </c>
      <c r="BZ179" t="s">
        <v>3006</v>
      </c>
      <c r="CA179"/>
      <c r="CB179" t="s">
        <v>5</v>
      </c>
      <c r="CC179">
        <v>6726.6779746167831</v>
      </c>
      <c r="CD179">
        <v>1216870.551393358</v>
      </c>
      <c r="CE179" s="313" t="s">
        <v>11891</v>
      </c>
    </row>
    <row r="180" spans="1:83" ht="15" x14ac:dyDescent="0.25">
      <c r="A180" t="s">
        <v>3380</v>
      </c>
      <c r="B180" t="s">
        <v>3381</v>
      </c>
      <c r="C180" t="s">
        <v>3381</v>
      </c>
      <c r="D180">
        <v>7</v>
      </c>
      <c r="E180" t="s">
        <v>2979</v>
      </c>
      <c r="F180" t="s">
        <v>3043</v>
      </c>
      <c r="G180" t="s">
        <v>3313</v>
      </c>
      <c r="H180" t="s">
        <v>3382</v>
      </c>
      <c r="I180" t="s">
        <v>3383</v>
      </c>
      <c r="J180" t="s">
        <v>3384</v>
      </c>
      <c r="K180" t="s">
        <v>3385</v>
      </c>
      <c r="L180">
        <v>6.3180084228515616</v>
      </c>
      <c r="M180" t="s">
        <v>6</v>
      </c>
      <c r="N180" t="s">
        <v>5</v>
      </c>
      <c r="O180" t="s">
        <v>6</v>
      </c>
      <c r="P180" t="s">
        <v>6</v>
      </c>
      <c r="Q180" t="s">
        <v>5</v>
      </c>
      <c r="R180" t="s">
        <v>3048</v>
      </c>
      <c r="S180" t="s">
        <v>3048</v>
      </c>
      <c r="T180" t="s">
        <v>5</v>
      </c>
      <c r="U180" t="s">
        <v>85</v>
      </c>
      <c r="V180">
        <v>2750000</v>
      </c>
      <c r="W180">
        <v>250000</v>
      </c>
      <c r="X180" t="s">
        <v>5</v>
      </c>
      <c r="Y180" t="s">
        <v>1100</v>
      </c>
      <c r="Z180">
        <v>0</v>
      </c>
      <c r="AA180">
        <v>1.15594482421875</v>
      </c>
      <c r="AB180">
        <v>0.1038784012198448</v>
      </c>
      <c r="AC180">
        <v>0</v>
      </c>
      <c r="AD180">
        <v>75</v>
      </c>
      <c r="AE180">
        <v>16</v>
      </c>
      <c r="AF180">
        <v>11</v>
      </c>
      <c r="AG180">
        <v>70</v>
      </c>
      <c r="AH180">
        <v>22</v>
      </c>
      <c r="AI180">
        <v>70</v>
      </c>
      <c r="AJ180">
        <v>0</v>
      </c>
      <c r="AK180">
        <v>16</v>
      </c>
      <c r="AL180">
        <v>9</v>
      </c>
      <c r="AM180">
        <v>0</v>
      </c>
      <c r="AN180">
        <v>58.967926025390618</v>
      </c>
      <c r="AO180">
        <v>0</v>
      </c>
      <c r="AP180">
        <v>0</v>
      </c>
      <c r="AQ180">
        <v>0</v>
      </c>
      <c r="AR180">
        <v>0</v>
      </c>
      <c r="AS180">
        <v>0</v>
      </c>
      <c r="AT180">
        <v>0</v>
      </c>
      <c r="AU180">
        <v>0</v>
      </c>
      <c r="AV180">
        <v>0</v>
      </c>
      <c r="AW180">
        <v>0</v>
      </c>
      <c r="AX180">
        <v>0</v>
      </c>
      <c r="AY180">
        <v>0</v>
      </c>
      <c r="AZ180">
        <v>0</v>
      </c>
      <c r="BA180">
        <v>0</v>
      </c>
      <c r="BB180">
        <v>0</v>
      </c>
      <c r="BC180">
        <v>0</v>
      </c>
      <c r="BD180">
        <v>0</v>
      </c>
      <c r="BE180">
        <v>0</v>
      </c>
      <c r="BF180" t="s">
        <v>1100</v>
      </c>
      <c r="BG180" t="s">
        <v>5</v>
      </c>
      <c r="BH180" t="s">
        <v>2987</v>
      </c>
      <c r="BI180" t="s">
        <v>1100</v>
      </c>
      <c r="BJ180" t="s">
        <v>5</v>
      </c>
      <c r="BK180" t="s">
        <v>1100</v>
      </c>
      <c r="BL180">
        <v>0</v>
      </c>
      <c r="BM180">
        <v>0</v>
      </c>
      <c r="BN180" t="s">
        <v>5</v>
      </c>
      <c r="BO180" t="s">
        <v>1100</v>
      </c>
      <c r="BP180" t="s">
        <v>1100</v>
      </c>
      <c r="BQ180" t="s">
        <v>1100</v>
      </c>
      <c r="BR180" t="s">
        <v>1100</v>
      </c>
      <c r="BS180" t="s">
        <v>5</v>
      </c>
      <c r="BT180" t="s">
        <v>1100</v>
      </c>
      <c r="BU180" t="s">
        <v>1100</v>
      </c>
      <c r="BV180" t="s">
        <v>1100</v>
      </c>
      <c r="BW180" t="s">
        <v>1100</v>
      </c>
      <c r="BX180" t="s">
        <v>6</v>
      </c>
      <c r="BY180" t="s">
        <v>2988</v>
      </c>
      <c r="BZ180" t="s">
        <v>3386</v>
      </c>
      <c r="CA180"/>
      <c r="CB180" t="s">
        <v>5</v>
      </c>
      <c r="CC180">
        <v>27106.610175944101</v>
      </c>
      <c r="CD180">
        <v>16363631.88803523</v>
      </c>
      <c r="CE180" s="313" t="s">
        <v>11891</v>
      </c>
    </row>
    <row r="181" spans="1:83" ht="15" x14ac:dyDescent="0.25">
      <c r="A181" t="s">
        <v>12527</v>
      </c>
      <c r="B181" t="s">
        <v>12528</v>
      </c>
      <c r="C181" t="s">
        <v>12529</v>
      </c>
      <c r="D181">
        <v>8</v>
      </c>
      <c r="E181" t="s">
        <v>3395</v>
      </c>
      <c r="F181" t="s">
        <v>12512</v>
      </c>
      <c r="G181" t="s">
        <v>4887</v>
      </c>
      <c r="H181" t="s">
        <v>12530</v>
      </c>
      <c r="I181" t="s">
        <v>12531</v>
      </c>
      <c r="J181" t="s">
        <v>4880</v>
      </c>
      <c r="K181" t="s">
        <v>12491</v>
      </c>
      <c r="L181">
        <v>37.841636657714837</v>
      </c>
      <c r="M181" t="s">
        <v>6</v>
      </c>
      <c r="N181" t="s">
        <v>5</v>
      </c>
      <c r="O181" t="s">
        <v>5</v>
      </c>
      <c r="P181" t="s">
        <v>5</v>
      </c>
      <c r="Q181" t="s">
        <v>5</v>
      </c>
      <c r="R181" t="s">
        <v>5583</v>
      </c>
      <c r="S181" t="s">
        <v>5583</v>
      </c>
      <c r="T181" t="s">
        <v>5</v>
      </c>
      <c r="U181" t="s">
        <v>50</v>
      </c>
      <c r="V181">
        <v>250000</v>
      </c>
      <c r="W181">
        <v>250000</v>
      </c>
      <c r="X181" t="s">
        <v>6</v>
      </c>
      <c r="Y181" t="s">
        <v>3403</v>
      </c>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t="s">
        <v>12472</v>
      </c>
      <c r="BG181" t="s">
        <v>5</v>
      </c>
      <c r="BH181" t="s">
        <v>1020</v>
      </c>
      <c r="BI181" t="s">
        <v>5</v>
      </c>
      <c r="BJ181" t="s">
        <v>5</v>
      </c>
      <c r="BK181" t="s">
        <v>1020</v>
      </c>
      <c r="BL181">
        <v>0</v>
      </c>
      <c r="BM181"/>
      <c r="BN181" t="s">
        <v>5</v>
      </c>
      <c r="BO181"/>
      <c r="BP181"/>
      <c r="BQ181"/>
      <c r="BR181"/>
      <c r="BS181" t="s">
        <v>6</v>
      </c>
      <c r="BT181"/>
      <c r="BU181"/>
      <c r="BV181"/>
      <c r="BW181"/>
      <c r="BX181" t="s">
        <v>6</v>
      </c>
      <c r="BY181" t="s">
        <v>12473</v>
      </c>
      <c r="BZ181"/>
      <c r="CA181"/>
      <c r="CB181" t="s">
        <v>5</v>
      </c>
      <c r="CC181">
        <v>170169.77008810069</v>
      </c>
      <c r="CD181">
        <v>98009384.095099866</v>
      </c>
      <c r="CE181" s="313" t="s">
        <v>11902</v>
      </c>
    </row>
    <row r="182" spans="1:83" ht="15" x14ac:dyDescent="0.25">
      <c r="A182" t="s">
        <v>3433</v>
      </c>
      <c r="B182" t="s">
        <v>3434</v>
      </c>
      <c r="C182" t="s">
        <v>4628</v>
      </c>
      <c r="D182">
        <v>12</v>
      </c>
      <c r="E182" t="s">
        <v>3435</v>
      </c>
      <c r="F182" t="s">
        <v>3436</v>
      </c>
      <c r="G182" t="s">
        <v>3437</v>
      </c>
      <c r="H182" t="s">
        <v>3438</v>
      </c>
      <c r="I182" t="s">
        <v>3439</v>
      </c>
      <c r="J182" t="s">
        <v>3440</v>
      </c>
      <c r="K182" t="s">
        <v>3441</v>
      </c>
      <c r="L182">
        <v>0.90789198875427246</v>
      </c>
      <c r="M182" t="s">
        <v>6</v>
      </c>
      <c r="N182" t="s">
        <v>5</v>
      </c>
      <c r="O182" t="s">
        <v>6</v>
      </c>
      <c r="P182" t="s">
        <v>5</v>
      </c>
      <c r="Q182" t="s">
        <v>5</v>
      </c>
      <c r="R182" t="s">
        <v>3442</v>
      </c>
      <c r="S182" t="s">
        <v>3443</v>
      </c>
      <c r="T182" t="s">
        <v>5</v>
      </c>
      <c r="U182" t="s">
        <v>50</v>
      </c>
      <c r="V182">
        <v>250000</v>
      </c>
      <c r="W182">
        <v>250000</v>
      </c>
      <c r="X182" t="s">
        <v>5</v>
      </c>
      <c r="Y182"/>
      <c r="Z182">
        <v>0</v>
      </c>
      <c r="AA182">
        <v>0.43966400623321528</v>
      </c>
      <c r="AB182">
        <v>8.0706000328063965E-2</v>
      </c>
      <c r="AC182">
        <v>0</v>
      </c>
      <c r="AD182">
        <v>37</v>
      </c>
      <c r="AE182">
        <v>30</v>
      </c>
      <c r="AF182">
        <v>19</v>
      </c>
      <c r="AG182">
        <v>53</v>
      </c>
      <c r="AH182">
        <v>21</v>
      </c>
      <c r="AI182">
        <v>53</v>
      </c>
      <c r="AJ182">
        <v>0</v>
      </c>
      <c r="AK182">
        <v>0</v>
      </c>
      <c r="AL182">
        <v>1</v>
      </c>
      <c r="AM182">
        <v>21</v>
      </c>
      <c r="AN182">
        <v>27.729999542236332</v>
      </c>
      <c r="AO182">
        <v>0</v>
      </c>
      <c r="AP182">
        <v>0</v>
      </c>
      <c r="AQ182">
        <v>0</v>
      </c>
      <c r="AR182">
        <v>0</v>
      </c>
      <c r="AS182">
        <v>0</v>
      </c>
      <c r="AT182">
        <v>0</v>
      </c>
      <c r="AU182">
        <v>0</v>
      </c>
      <c r="AV182">
        <v>0</v>
      </c>
      <c r="AW182">
        <v>0</v>
      </c>
      <c r="AX182">
        <v>0</v>
      </c>
      <c r="AY182">
        <v>0</v>
      </c>
      <c r="AZ182">
        <v>0</v>
      </c>
      <c r="BA182">
        <v>0</v>
      </c>
      <c r="BB182">
        <v>0</v>
      </c>
      <c r="BC182">
        <v>0</v>
      </c>
      <c r="BD182">
        <v>0</v>
      </c>
      <c r="BE182">
        <v>0</v>
      </c>
      <c r="BF182" t="s">
        <v>1100</v>
      </c>
      <c r="BG182" t="s">
        <v>5</v>
      </c>
      <c r="BH182" t="s">
        <v>1100</v>
      </c>
      <c r="BI182"/>
      <c r="BJ182" t="s">
        <v>5</v>
      </c>
      <c r="BK182"/>
      <c r="BL182">
        <v>0</v>
      </c>
      <c r="BM182">
        <v>0</v>
      </c>
      <c r="BN182" t="s">
        <v>5</v>
      </c>
      <c r="BO182"/>
      <c r="BP182"/>
      <c r="BQ182"/>
      <c r="BR182"/>
      <c r="BS182" t="s">
        <v>5</v>
      </c>
      <c r="BT182"/>
      <c r="BU182"/>
      <c r="BV182"/>
      <c r="BW182"/>
      <c r="BX182" t="s">
        <v>6</v>
      </c>
      <c r="BY182" t="s">
        <v>3444</v>
      </c>
      <c r="BZ182"/>
      <c r="CA182"/>
      <c r="CB182" t="s">
        <v>5</v>
      </c>
      <c r="CC182">
        <v>7900.2977830795571</v>
      </c>
      <c r="CD182">
        <v>2351428.2738475739</v>
      </c>
      <c r="CE182" s="313" t="s">
        <v>11891</v>
      </c>
    </row>
    <row r="183" spans="1:83" ht="15" x14ac:dyDescent="0.25">
      <c r="A183" t="s">
        <v>1855</v>
      </c>
      <c r="B183" t="s">
        <v>1856</v>
      </c>
      <c r="C183" t="s">
        <v>1857</v>
      </c>
      <c r="D183">
        <v>3</v>
      </c>
      <c r="E183" t="s">
        <v>1771</v>
      </c>
      <c r="F183" t="s">
        <v>1858</v>
      </c>
      <c r="G183" t="s">
        <v>1859</v>
      </c>
      <c r="H183" t="s">
        <v>4383</v>
      </c>
      <c r="I183" t="s">
        <v>12743</v>
      </c>
      <c r="J183" t="s">
        <v>1860</v>
      </c>
      <c r="K183" t="s">
        <v>1861</v>
      </c>
      <c r="L183">
        <v>16.14253997802734</v>
      </c>
      <c r="M183" t="s">
        <v>6</v>
      </c>
      <c r="N183" t="s">
        <v>5</v>
      </c>
      <c r="O183" t="s">
        <v>5</v>
      </c>
      <c r="P183" t="s">
        <v>5</v>
      </c>
      <c r="Q183" t="s">
        <v>5</v>
      </c>
      <c r="R183" t="s">
        <v>4384</v>
      </c>
      <c r="S183" t="s">
        <v>1862</v>
      </c>
      <c r="T183" t="s">
        <v>5</v>
      </c>
      <c r="U183" t="s">
        <v>4</v>
      </c>
      <c r="V183">
        <v>250000</v>
      </c>
      <c r="W183">
        <v>250000</v>
      </c>
      <c r="X183" t="s">
        <v>6</v>
      </c>
      <c r="Y183"/>
      <c r="Z183">
        <v>25000</v>
      </c>
      <c r="AA183">
        <v>1.6188280582427981</v>
      </c>
      <c r="AB183">
        <v>0.24668629467487341</v>
      </c>
      <c r="AC183">
        <v>6.2599702505394816E-4</v>
      </c>
      <c r="AD183">
        <v>191</v>
      </c>
      <c r="AE183">
        <v>101</v>
      </c>
      <c r="AF183">
        <v>181</v>
      </c>
      <c r="AG183">
        <v>2454</v>
      </c>
      <c r="AH183">
        <v>1331</v>
      </c>
      <c r="AI183">
        <v>2454</v>
      </c>
      <c r="AJ183">
        <v>18</v>
      </c>
      <c r="AK183">
        <v>7</v>
      </c>
      <c r="AL183">
        <v>7</v>
      </c>
      <c r="AM183"/>
      <c r="AN183">
        <v>70.749496459960938</v>
      </c>
      <c r="AO183"/>
      <c r="AP183"/>
      <c r="AQ183"/>
      <c r="AR183"/>
      <c r="AS183"/>
      <c r="AT183"/>
      <c r="AU183"/>
      <c r="AV183"/>
      <c r="AW183"/>
      <c r="AX183"/>
      <c r="AY183"/>
      <c r="AZ183"/>
      <c r="BA183"/>
      <c r="BB183"/>
      <c r="BC183"/>
      <c r="BD183"/>
      <c r="BE183"/>
      <c r="BF183" t="s">
        <v>5</v>
      </c>
      <c r="BG183" t="s">
        <v>5</v>
      </c>
      <c r="BH183" t="s">
        <v>1777</v>
      </c>
      <c r="BI183"/>
      <c r="BJ183" t="s">
        <v>5</v>
      </c>
      <c r="BK183"/>
      <c r="BL183">
        <v>0</v>
      </c>
      <c r="BM183"/>
      <c r="BN183" t="s">
        <v>5</v>
      </c>
      <c r="BO183"/>
      <c r="BP183"/>
      <c r="BQ183"/>
      <c r="BR183"/>
      <c r="BS183" t="s">
        <v>5</v>
      </c>
      <c r="BT183"/>
      <c r="BU183"/>
      <c r="BV183"/>
      <c r="BW183" t="s">
        <v>1778</v>
      </c>
      <c r="BX183" t="s">
        <v>6</v>
      </c>
      <c r="BY183" t="s">
        <v>1101</v>
      </c>
      <c r="BZ183"/>
      <c r="CA183"/>
      <c r="CB183" t="s">
        <v>5</v>
      </c>
      <c r="CC183">
        <v>43639.930125620172</v>
      </c>
      <c r="CD183">
        <v>41820047.167330243</v>
      </c>
      <c r="CE183" s="313" t="s">
        <v>11891</v>
      </c>
    </row>
    <row r="184" spans="1:83" ht="15" x14ac:dyDescent="0.25">
      <c r="A184" s="337" t="s">
        <v>2173</v>
      </c>
      <c r="B184" s="337" t="s">
        <v>2174</v>
      </c>
      <c r="C184" s="337" t="s">
        <v>2175</v>
      </c>
      <c r="D184" s="337">
        <v>3</v>
      </c>
      <c r="E184" s="337" t="s">
        <v>1771</v>
      </c>
      <c r="F184" s="337" t="s">
        <v>1816</v>
      </c>
      <c r="G184" s="337" t="s">
        <v>1878</v>
      </c>
      <c r="H184" s="337" t="s">
        <v>4389</v>
      </c>
      <c r="I184" s="337" t="s">
        <v>12768</v>
      </c>
      <c r="J184" s="337" t="s">
        <v>2176</v>
      </c>
      <c r="K184" s="337" t="s">
        <v>1861</v>
      </c>
      <c r="L184" s="337">
        <v>56.686698913574219</v>
      </c>
      <c r="M184" s="337" t="s">
        <v>6</v>
      </c>
      <c r="N184" s="337" t="s">
        <v>5</v>
      </c>
      <c r="O184" s="337" t="s">
        <v>5</v>
      </c>
      <c r="P184" s="337" t="s">
        <v>5</v>
      </c>
      <c r="Q184" s="337" t="s">
        <v>5</v>
      </c>
      <c r="R184" s="337" t="s">
        <v>4453</v>
      </c>
      <c r="S184" s="337" t="s">
        <v>2147</v>
      </c>
      <c r="T184" s="337" t="s">
        <v>5</v>
      </c>
      <c r="U184" s="337" t="s">
        <v>4</v>
      </c>
      <c r="V184" s="337">
        <v>250000</v>
      </c>
      <c r="W184" s="337">
        <v>250000</v>
      </c>
      <c r="X184" s="337" t="s">
        <v>6</v>
      </c>
      <c r="Y184" s="337"/>
      <c r="Z184" s="337">
        <v>25000</v>
      </c>
      <c r="AA184" s="337">
        <v>6.5094590187072754</v>
      </c>
      <c r="AB184" s="337">
        <v>0.82901769876480103</v>
      </c>
      <c r="AC184" s="337">
        <v>0.49760571122169489</v>
      </c>
      <c r="AD184" s="337">
        <v>1005</v>
      </c>
      <c r="AE184" s="337">
        <v>593</v>
      </c>
      <c r="AF184" s="337">
        <v>944</v>
      </c>
      <c r="AG184" s="337">
        <v>2788</v>
      </c>
      <c r="AH184" s="337">
        <v>6348</v>
      </c>
      <c r="AI184" s="337">
        <v>6348</v>
      </c>
      <c r="AJ184" s="337">
        <v>10</v>
      </c>
      <c r="AK184" s="337">
        <v>39</v>
      </c>
      <c r="AL184" s="337">
        <v>30</v>
      </c>
      <c r="AM184" s="337"/>
      <c r="AN184" s="337">
        <v>627.4970703125</v>
      </c>
      <c r="AO184" s="337"/>
      <c r="AP184" s="337"/>
      <c r="AQ184" s="337"/>
      <c r="AR184" s="337"/>
      <c r="AS184" s="337"/>
      <c r="AT184" s="337"/>
      <c r="AU184" s="337"/>
      <c r="AV184" s="337"/>
      <c r="AW184" s="337"/>
      <c r="AX184" s="337"/>
      <c r="AY184" s="337"/>
      <c r="AZ184" s="337"/>
      <c r="BA184" s="337"/>
      <c r="BB184" s="337"/>
      <c r="BC184" s="337"/>
      <c r="BD184" s="337"/>
      <c r="BE184" s="337"/>
      <c r="BF184" s="337" t="s">
        <v>5</v>
      </c>
      <c r="BG184" s="337" t="s">
        <v>5</v>
      </c>
      <c r="BH184" s="337" t="s">
        <v>1777</v>
      </c>
      <c r="BI184" s="337"/>
      <c r="BJ184" s="337" t="s">
        <v>5</v>
      </c>
      <c r="BK184" s="337"/>
      <c r="BL184" s="337">
        <v>0</v>
      </c>
      <c r="BM184" s="337"/>
      <c r="BN184" s="337" t="s">
        <v>5</v>
      </c>
      <c r="BO184" s="337"/>
      <c r="BP184" s="337"/>
      <c r="BQ184" s="337"/>
      <c r="BR184" s="337"/>
      <c r="BS184" s="337" t="s">
        <v>5</v>
      </c>
      <c r="BT184" s="337"/>
      <c r="BU184" s="337"/>
      <c r="BV184" s="337"/>
      <c r="BW184" s="337" t="s">
        <v>1778</v>
      </c>
      <c r="BX184" s="337" t="s">
        <v>6</v>
      </c>
      <c r="BY184" s="337" t="s">
        <v>1101</v>
      </c>
      <c r="BZ184" s="337"/>
      <c r="CB184" s="337" t="s">
        <v>5</v>
      </c>
      <c r="CC184" s="337">
        <v>97289.907789048826</v>
      </c>
      <c r="CD184" s="337">
        <v>146856720.14191699</v>
      </c>
      <c r="CE184" s="313" t="s">
        <v>11891</v>
      </c>
    </row>
    <row r="185" spans="1:83" ht="45" x14ac:dyDescent="0.25">
      <c r="A185" t="s">
        <v>4093</v>
      </c>
      <c r="B185" t="s">
        <v>4094</v>
      </c>
      <c r="C185" t="s">
        <v>4095</v>
      </c>
      <c r="D185">
        <v>15</v>
      </c>
      <c r="E185" t="s">
        <v>3847</v>
      </c>
      <c r="F185" t="s">
        <v>3848</v>
      </c>
      <c r="G185" t="s">
        <v>3849</v>
      </c>
      <c r="H185" t="s">
        <v>4096</v>
      </c>
      <c r="I185" t="s">
        <v>4097</v>
      </c>
      <c r="J185"/>
      <c r="K185" t="s">
        <v>4098</v>
      </c>
      <c r="L185">
        <v>0.23464405536651611</v>
      </c>
      <c r="M185" t="s">
        <v>6</v>
      </c>
      <c r="N185" t="s">
        <v>5</v>
      </c>
      <c r="O185" t="s">
        <v>5</v>
      </c>
      <c r="P185" t="s">
        <v>5</v>
      </c>
      <c r="Q185" t="s">
        <v>5</v>
      </c>
      <c r="R185" t="s">
        <v>4099</v>
      </c>
      <c r="S185" t="s">
        <v>4100</v>
      </c>
      <c r="T185" t="s">
        <v>6</v>
      </c>
      <c r="U185" t="s">
        <v>4</v>
      </c>
      <c r="V185">
        <v>250000</v>
      </c>
      <c r="W185">
        <v>250000</v>
      </c>
      <c r="X185" t="s">
        <v>6</v>
      </c>
      <c r="Y185"/>
      <c r="Z185">
        <v>0</v>
      </c>
      <c r="AA185">
        <v>8.3372093737125397E-2</v>
      </c>
      <c r="AB185">
        <v>0.14270603656768799</v>
      </c>
      <c r="AC185">
        <v>0</v>
      </c>
      <c r="AD185">
        <v>469</v>
      </c>
      <c r="AE185">
        <v>336</v>
      </c>
      <c r="AF185">
        <v>357</v>
      </c>
      <c r="AG185">
        <v>4213</v>
      </c>
      <c r="AH185">
        <v>2068</v>
      </c>
      <c r="AI185">
        <v>4213</v>
      </c>
      <c r="AJ185">
        <v>0</v>
      </c>
      <c r="AK185">
        <v>68</v>
      </c>
      <c r="AL185">
        <v>7</v>
      </c>
      <c r="AM185">
        <v>0</v>
      </c>
      <c r="AN185">
        <v>0.6199805736541748</v>
      </c>
      <c r="AO185">
        <v>0</v>
      </c>
      <c r="AP185">
        <v>0</v>
      </c>
      <c r="AQ185">
        <v>0</v>
      </c>
      <c r="AR185">
        <v>0</v>
      </c>
      <c r="AS185">
        <v>0</v>
      </c>
      <c r="AT185">
        <v>0</v>
      </c>
      <c r="AU185">
        <v>0</v>
      </c>
      <c r="AV185">
        <v>0</v>
      </c>
      <c r="AW185">
        <v>0</v>
      </c>
      <c r="AX185">
        <v>0</v>
      </c>
      <c r="AY185">
        <v>0</v>
      </c>
      <c r="AZ185">
        <v>0</v>
      </c>
      <c r="BA185">
        <v>0</v>
      </c>
      <c r="BB185">
        <v>0</v>
      </c>
      <c r="BC185">
        <v>0</v>
      </c>
      <c r="BD185">
        <v>0</v>
      </c>
      <c r="BE185">
        <v>0</v>
      </c>
      <c r="BF185" t="s">
        <v>5</v>
      </c>
      <c r="BG185" t="s">
        <v>5</v>
      </c>
      <c r="BH185"/>
      <c r="BI185"/>
      <c r="BJ185" t="s">
        <v>5</v>
      </c>
      <c r="BK185"/>
      <c r="BL185">
        <v>0</v>
      </c>
      <c r="BM185">
        <v>0</v>
      </c>
      <c r="BN185" t="s">
        <v>5</v>
      </c>
      <c r="BO185"/>
      <c r="BP185"/>
      <c r="BQ185"/>
      <c r="BR185"/>
      <c r="BS185" t="s">
        <v>5</v>
      </c>
      <c r="BT185"/>
      <c r="BU185"/>
      <c r="BV185"/>
      <c r="BW185"/>
      <c r="BX185" t="s">
        <v>6</v>
      </c>
      <c r="BY185" t="s">
        <v>3850</v>
      </c>
      <c r="BZ185"/>
      <c r="CA185"/>
      <c r="CB185" t="s">
        <v>5</v>
      </c>
      <c r="CC185">
        <v>3561.7663288595618</v>
      </c>
      <c r="CD185">
        <v>607728.69919295423</v>
      </c>
      <c r="CE185" s="319" t="s">
        <v>11891</v>
      </c>
    </row>
    <row r="186" spans="1:83" ht="15" x14ac:dyDescent="0.25">
      <c r="A186" t="s">
        <v>11913</v>
      </c>
      <c r="B186" t="s">
        <v>11914</v>
      </c>
      <c r="C186" t="s">
        <v>11915</v>
      </c>
      <c r="D186">
        <v>15</v>
      </c>
      <c r="E186" t="s">
        <v>3847</v>
      </c>
      <c r="F186" t="s">
        <v>3864</v>
      </c>
      <c r="G186" t="s">
        <v>11896</v>
      </c>
      <c r="H186" t="s">
        <v>11897</v>
      </c>
      <c r="I186" t="s">
        <v>11898</v>
      </c>
      <c r="J186" t="s">
        <v>11899</v>
      </c>
      <c r="K186" t="s">
        <v>4106</v>
      </c>
      <c r="L186">
        <v>807.23931884765625</v>
      </c>
      <c r="M186" t="s">
        <v>5</v>
      </c>
      <c r="N186" t="s">
        <v>5</v>
      </c>
      <c r="O186" t="s">
        <v>6</v>
      </c>
      <c r="P186" t="s">
        <v>5</v>
      </c>
      <c r="Q186" t="s">
        <v>5</v>
      </c>
      <c r="R186" t="s">
        <v>11573</v>
      </c>
      <c r="S186" t="s">
        <v>11901</v>
      </c>
      <c r="T186" t="s">
        <v>6</v>
      </c>
      <c r="U186" t="s">
        <v>50</v>
      </c>
      <c r="V186">
        <v>250000</v>
      </c>
      <c r="W186">
        <v>250000</v>
      </c>
      <c r="X186" t="s">
        <v>6</v>
      </c>
      <c r="Y186"/>
      <c r="Z186">
        <v>0</v>
      </c>
      <c r="AA186">
        <v>374.6278076171875</v>
      </c>
      <c r="AB186">
        <v>557.8006591796875</v>
      </c>
      <c r="AC186">
        <v>2.348208904266357</v>
      </c>
      <c r="AD186">
        <v>75816</v>
      </c>
      <c r="AE186">
        <v>149258</v>
      </c>
      <c r="AF186">
        <v>61251</v>
      </c>
      <c r="AG186">
        <v>177730</v>
      </c>
      <c r="AH186">
        <v>244800</v>
      </c>
      <c r="AI186">
        <v>244800</v>
      </c>
      <c r="AJ186">
        <v>459</v>
      </c>
      <c r="AK186">
        <v>17</v>
      </c>
      <c r="AL186">
        <v>1840</v>
      </c>
      <c r="AM186">
        <v>5</v>
      </c>
      <c r="AN186">
        <v>334.99685668945313</v>
      </c>
      <c r="AO186"/>
      <c r="AP186"/>
      <c r="AQ186"/>
      <c r="AR186">
        <v>0</v>
      </c>
      <c r="AS186">
        <v>0</v>
      </c>
      <c r="AT186">
        <v>0</v>
      </c>
      <c r="AU186">
        <v>0</v>
      </c>
      <c r="AV186">
        <v>0</v>
      </c>
      <c r="AW186">
        <v>0</v>
      </c>
      <c r="AX186">
        <v>0</v>
      </c>
      <c r="AY186">
        <v>0</v>
      </c>
      <c r="AZ186">
        <v>0</v>
      </c>
      <c r="BA186">
        <v>0</v>
      </c>
      <c r="BB186">
        <v>0</v>
      </c>
      <c r="BC186">
        <v>0</v>
      </c>
      <c r="BD186">
        <v>0</v>
      </c>
      <c r="BE186">
        <v>0</v>
      </c>
      <c r="BF186" t="s">
        <v>5</v>
      </c>
      <c r="BG186" t="s">
        <v>5</v>
      </c>
      <c r="BH186"/>
      <c r="BI186"/>
      <c r="BJ186" t="s">
        <v>5</v>
      </c>
      <c r="BK186"/>
      <c r="BL186">
        <v>0</v>
      </c>
      <c r="BM186">
        <v>0</v>
      </c>
      <c r="BN186" t="s">
        <v>5</v>
      </c>
      <c r="BO186"/>
      <c r="BP186"/>
      <c r="BQ186"/>
      <c r="BR186"/>
      <c r="BS186" t="s">
        <v>5</v>
      </c>
      <c r="BT186"/>
      <c r="BU186"/>
      <c r="BV186"/>
      <c r="BW186"/>
      <c r="BX186" t="s">
        <v>6</v>
      </c>
      <c r="BY186" t="s">
        <v>4232</v>
      </c>
      <c r="BZ186"/>
      <c r="CA186"/>
      <c r="CB186" t="s">
        <v>5</v>
      </c>
      <c r="CC186">
        <v>288949.96145606658</v>
      </c>
      <c r="CD186">
        <v>4616947534.7312641</v>
      </c>
      <c r="CE186" s="313" t="s">
        <v>11902</v>
      </c>
    </row>
    <row r="187" spans="1:83" ht="15" x14ac:dyDescent="0.25">
      <c r="A187" t="s">
        <v>11916</v>
      </c>
      <c r="B187" t="s">
        <v>11917</v>
      </c>
      <c r="C187" t="s">
        <v>11918</v>
      </c>
      <c r="D187">
        <v>15</v>
      </c>
      <c r="E187" t="s">
        <v>3847</v>
      </c>
      <c r="F187" t="s">
        <v>3864</v>
      </c>
      <c r="G187" t="s">
        <v>11896</v>
      </c>
      <c r="H187" t="s">
        <v>11897</v>
      </c>
      <c r="I187" t="s">
        <v>11898</v>
      </c>
      <c r="J187" t="s">
        <v>11899</v>
      </c>
      <c r="K187" t="s">
        <v>11919</v>
      </c>
      <c r="L187">
        <v>807.23931884765625</v>
      </c>
      <c r="M187" t="s">
        <v>5</v>
      </c>
      <c r="N187" t="s">
        <v>5</v>
      </c>
      <c r="O187" t="s">
        <v>6</v>
      </c>
      <c r="P187" t="s">
        <v>5</v>
      </c>
      <c r="Q187" t="s">
        <v>5</v>
      </c>
      <c r="R187" t="s">
        <v>11573</v>
      </c>
      <c r="S187" t="s">
        <v>11901</v>
      </c>
      <c r="T187" t="s">
        <v>6</v>
      </c>
      <c r="U187" t="s">
        <v>28</v>
      </c>
      <c r="V187">
        <v>247250</v>
      </c>
      <c r="W187">
        <v>247250</v>
      </c>
      <c r="X187" t="s">
        <v>6</v>
      </c>
      <c r="Y187"/>
      <c r="Z187">
        <v>0</v>
      </c>
      <c r="AA187">
        <v>374.6278076171875</v>
      </c>
      <c r="AB187">
        <v>557.8006591796875</v>
      </c>
      <c r="AC187">
        <v>2.348208904266357</v>
      </c>
      <c r="AD187">
        <v>75816</v>
      </c>
      <c r="AE187">
        <v>149258</v>
      </c>
      <c r="AF187">
        <v>61251</v>
      </c>
      <c r="AG187">
        <v>177730</v>
      </c>
      <c r="AH187">
        <v>244800</v>
      </c>
      <c r="AI187">
        <v>244800</v>
      </c>
      <c r="AJ187">
        <v>459</v>
      </c>
      <c r="AK187">
        <v>17</v>
      </c>
      <c r="AL187">
        <v>1840</v>
      </c>
      <c r="AM187">
        <v>5</v>
      </c>
      <c r="AN187">
        <v>334.99685668945313</v>
      </c>
      <c r="AO187"/>
      <c r="AP187"/>
      <c r="AQ187"/>
      <c r="AR187">
        <v>0</v>
      </c>
      <c r="AS187">
        <v>0</v>
      </c>
      <c r="AT187">
        <v>0</v>
      </c>
      <c r="AU187">
        <v>0</v>
      </c>
      <c r="AV187">
        <v>0</v>
      </c>
      <c r="AW187">
        <v>0</v>
      </c>
      <c r="AX187">
        <v>0</v>
      </c>
      <c r="AY187">
        <v>0</v>
      </c>
      <c r="AZ187">
        <v>0</v>
      </c>
      <c r="BA187">
        <v>0</v>
      </c>
      <c r="BB187">
        <v>0</v>
      </c>
      <c r="BC187">
        <v>0</v>
      </c>
      <c r="BD187">
        <v>0</v>
      </c>
      <c r="BE187">
        <v>0</v>
      </c>
      <c r="BF187" t="s">
        <v>5</v>
      </c>
      <c r="BG187" t="s">
        <v>5</v>
      </c>
      <c r="BH187"/>
      <c r="BI187"/>
      <c r="BJ187" t="s">
        <v>5</v>
      </c>
      <c r="BK187"/>
      <c r="BL187">
        <v>0</v>
      </c>
      <c r="BM187">
        <v>0</v>
      </c>
      <c r="BN187" t="s">
        <v>5</v>
      </c>
      <c r="BO187"/>
      <c r="BP187"/>
      <c r="BQ187"/>
      <c r="BR187"/>
      <c r="BS187" t="s">
        <v>5</v>
      </c>
      <c r="BT187"/>
      <c r="BU187"/>
      <c r="BV187"/>
      <c r="BW187"/>
      <c r="BX187" t="s">
        <v>6</v>
      </c>
      <c r="BY187" t="s">
        <v>4232</v>
      </c>
      <c r="BZ187"/>
      <c r="CA187"/>
      <c r="CB187" t="s">
        <v>5</v>
      </c>
      <c r="CC187">
        <v>288949.96145606658</v>
      </c>
      <c r="CD187">
        <v>4616947534.7312641</v>
      </c>
      <c r="CE187" s="313" t="s">
        <v>11902</v>
      </c>
    </row>
    <row r="188" spans="1:83" ht="15" x14ac:dyDescent="0.25">
      <c r="A188" s="337" t="s">
        <v>12798</v>
      </c>
      <c r="B188" s="337" t="s">
        <v>12364</v>
      </c>
      <c r="C188" s="337" t="s">
        <v>12365</v>
      </c>
      <c r="D188" s="337">
        <v>3</v>
      </c>
      <c r="E188" s="337" t="s">
        <v>1771</v>
      </c>
      <c r="F188" s="337" t="s">
        <v>12799</v>
      </c>
      <c r="G188" s="337" t="s">
        <v>12800</v>
      </c>
      <c r="H188" s="337" t="s">
        <v>12801</v>
      </c>
      <c r="I188" s="337" t="s">
        <v>12802</v>
      </c>
      <c r="J188" s="337" t="s">
        <v>12803</v>
      </c>
      <c r="K188" s="337" t="s">
        <v>12804</v>
      </c>
      <c r="L188" s="337">
        <v>477.90890502929688</v>
      </c>
      <c r="M188" s="337" t="s">
        <v>6</v>
      </c>
      <c r="N188" s="337" t="s">
        <v>5</v>
      </c>
      <c r="O188" s="337" t="s">
        <v>6</v>
      </c>
      <c r="P188" s="337" t="s">
        <v>5</v>
      </c>
      <c r="Q188" s="337" t="s">
        <v>5</v>
      </c>
      <c r="R188" s="337" t="s">
        <v>2649</v>
      </c>
      <c r="S188" s="337" t="s">
        <v>2649</v>
      </c>
      <c r="T188" s="337" t="s">
        <v>5</v>
      </c>
      <c r="U188" s="337" t="s">
        <v>28</v>
      </c>
      <c r="V188" s="337">
        <v>243000</v>
      </c>
      <c r="W188" s="337">
        <v>244000</v>
      </c>
      <c r="X188" s="337" t="s">
        <v>6</v>
      </c>
      <c r="Y188" s="337"/>
      <c r="Z188" s="337"/>
      <c r="AA188" s="337">
        <v>235.30690002441409</v>
      </c>
      <c r="AB188" s="337">
        <v>48.367420196533203</v>
      </c>
      <c r="AC188" s="337"/>
      <c r="AD188" s="337">
        <v>5919</v>
      </c>
      <c r="AE188" s="337">
        <v>3051</v>
      </c>
      <c r="AF188" s="337">
        <v>3672</v>
      </c>
      <c r="AG188" s="337">
        <v>0</v>
      </c>
      <c r="AH188" s="337">
        <v>0</v>
      </c>
      <c r="AI188" s="337">
        <v>0</v>
      </c>
      <c r="AJ188" s="337">
        <v>12</v>
      </c>
      <c r="AK188" s="337">
        <v>3</v>
      </c>
      <c r="AL188" s="337">
        <v>124</v>
      </c>
      <c r="AM188" s="337">
        <v>3</v>
      </c>
      <c r="AN188" s="337">
        <v>42295.55859375</v>
      </c>
      <c r="AO188" s="337"/>
      <c r="AP188" s="337"/>
      <c r="AQ188" s="337"/>
      <c r="AR188" s="337"/>
      <c r="AS188" s="337"/>
      <c r="AT188" s="337"/>
      <c r="AU188" s="337"/>
      <c r="AV188" s="337"/>
      <c r="AW188" s="337"/>
      <c r="AX188" s="337"/>
      <c r="AY188" s="337"/>
      <c r="AZ188" s="337"/>
      <c r="BA188" s="337"/>
      <c r="BB188" s="337"/>
      <c r="BC188" s="337"/>
      <c r="BD188" s="337"/>
      <c r="BE188" s="337"/>
      <c r="BF188" s="337" t="s">
        <v>12371</v>
      </c>
      <c r="BG188" s="337" t="s">
        <v>5</v>
      </c>
      <c r="BH188" s="337" t="s">
        <v>1777</v>
      </c>
      <c r="BI188" s="337"/>
      <c r="BJ188" s="337" t="s">
        <v>5</v>
      </c>
      <c r="BK188" s="337"/>
      <c r="BL188" s="337">
        <v>0</v>
      </c>
      <c r="BM188" s="337"/>
      <c r="BN188" s="337" t="s">
        <v>5</v>
      </c>
      <c r="BO188" s="337"/>
      <c r="BP188" s="337"/>
      <c r="BQ188" s="337"/>
      <c r="BR188" s="337"/>
      <c r="BS188" s="337" t="s">
        <v>5</v>
      </c>
      <c r="BT188" s="337"/>
      <c r="BU188" s="337"/>
      <c r="BV188" s="337"/>
      <c r="BW188" s="337"/>
      <c r="BX188" s="337" t="s">
        <v>6</v>
      </c>
      <c r="BY188" s="337" t="s">
        <v>1101</v>
      </c>
      <c r="BZ188" s="337"/>
      <c r="CB188" s="337" t="s">
        <v>5</v>
      </c>
      <c r="CC188" s="337">
        <v>218872.3597409637</v>
      </c>
      <c r="CD188" s="337">
        <v>1237783243.208246</v>
      </c>
      <c r="CE188" s="313" t="s">
        <v>11902</v>
      </c>
    </row>
    <row r="189" spans="1:83" ht="15" x14ac:dyDescent="0.25">
      <c r="A189" t="s">
        <v>11927</v>
      </c>
      <c r="B189" t="s">
        <v>11928</v>
      </c>
      <c r="C189" t="s">
        <v>11929</v>
      </c>
      <c r="D189">
        <v>15</v>
      </c>
      <c r="E189" t="s">
        <v>3847</v>
      </c>
      <c r="F189" t="s">
        <v>3864</v>
      </c>
      <c r="G189" t="s">
        <v>11896</v>
      </c>
      <c r="H189" t="s">
        <v>11897</v>
      </c>
      <c r="I189" t="s">
        <v>11898</v>
      </c>
      <c r="J189" t="s">
        <v>11899</v>
      </c>
      <c r="K189" t="s">
        <v>11919</v>
      </c>
      <c r="L189">
        <v>807.23931884765625</v>
      </c>
      <c r="M189" t="s">
        <v>5</v>
      </c>
      <c r="N189" t="s">
        <v>5</v>
      </c>
      <c r="O189" t="s">
        <v>6</v>
      </c>
      <c r="P189" t="s">
        <v>5</v>
      </c>
      <c r="Q189" t="s">
        <v>5</v>
      </c>
      <c r="R189" t="s">
        <v>11573</v>
      </c>
      <c r="S189" t="s">
        <v>11901</v>
      </c>
      <c r="T189" t="s">
        <v>6</v>
      </c>
      <c r="U189" t="s">
        <v>28</v>
      </c>
      <c r="V189">
        <v>243800</v>
      </c>
      <c r="W189">
        <v>243800</v>
      </c>
      <c r="X189" t="s">
        <v>6</v>
      </c>
      <c r="Y189"/>
      <c r="Z189">
        <v>0</v>
      </c>
      <c r="AA189">
        <v>374.6278076171875</v>
      </c>
      <c r="AB189">
        <v>557.8006591796875</v>
      </c>
      <c r="AC189">
        <v>2.348208904266357</v>
      </c>
      <c r="AD189">
        <v>75816</v>
      </c>
      <c r="AE189">
        <v>149258</v>
      </c>
      <c r="AF189">
        <v>61251</v>
      </c>
      <c r="AG189">
        <v>177730</v>
      </c>
      <c r="AH189">
        <v>244800</v>
      </c>
      <c r="AI189">
        <v>244800</v>
      </c>
      <c r="AJ189">
        <v>459</v>
      </c>
      <c r="AK189">
        <v>17</v>
      </c>
      <c r="AL189">
        <v>1840</v>
      </c>
      <c r="AM189">
        <v>5</v>
      </c>
      <c r="AN189">
        <v>334.99685668945313</v>
      </c>
      <c r="AO189"/>
      <c r="AP189"/>
      <c r="AQ189"/>
      <c r="AR189">
        <v>0</v>
      </c>
      <c r="AS189">
        <v>0</v>
      </c>
      <c r="AT189">
        <v>0</v>
      </c>
      <c r="AU189">
        <v>0</v>
      </c>
      <c r="AV189">
        <v>0</v>
      </c>
      <c r="AW189">
        <v>0</v>
      </c>
      <c r="AX189">
        <v>0</v>
      </c>
      <c r="AY189">
        <v>0</v>
      </c>
      <c r="AZ189">
        <v>0</v>
      </c>
      <c r="BA189">
        <v>0</v>
      </c>
      <c r="BB189">
        <v>0</v>
      </c>
      <c r="BC189">
        <v>0</v>
      </c>
      <c r="BD189">
        <v>0</v>
      </c>
      <c r="BE189">
        <v>0</v>
      </c>
      <c r="BF189" t="s">
        <v>5</v>
      </c>
      <c r="BG189" t="s">
        <v>5</v>
      </c>
      <c r="BH189"/>
      <c r="BI189"/>
      <c r="BJ189" t="s">
        <v>5</v>
      </c>
      <c r="BK189"/>
      <c r="BL189">
        <v>0</v>
      </c>
      <c r="BM189">
        <v>0</v>
      </c>
      <c r="BN189" t="s">
        <v>5</v>
      </c>
      <c r="BO189"/>
      <c r="BP189"/>
      <c r="BQ189"/>
      <c r="BR189"/>
      <c r="BS189" t="s">
        <v>5</v>
      </c>
      <c r="BT189"/>
      <c r="BU189"/>
      <c r="BV189"/>
      <c r="BW189"/>
      <c r="BX189" t="s">
        <v>6</v>
      </c>
      <c r="BY189" t="s">
        <v>4232</v>
      </c>
      <c r="BZ189"/>
      <c r="CA189"/>
      <c r="CB189" t="s">
        <v>5</v>
      </c>
      <c r="CC189">
        <v>288949.96145606658</v>
      </c>
      <c r="CD189">
        <v>4616947534.7312641</v>
      </c>
      <c r="CE189" s="313" t="s">
        <v>11902</v>
      </c>
    </row>
    <row r="190" spans="1:83" ht="15" x14ac:dyDescent="0.25">
      <c r="A190" s="337" t="s">
        <v>765</v>
      </c>
      <c r="B190" s="337" t="s">
        <v>766</v>
      </c>
      <c r="C190" s="337" t="s">
        <v>767</v>
      </c>
      <c r="D190" s="337">
        <v>9</v>
      </c>
      <c r="E190" s="337" t="s">
        <v>416</v>
      </c>
      <c r="F190" s="337" t="s">
        <v>590</v>
      </c>
      <c r="G190" s="337" t="s">
        <v>591</v>
      </c>
      <c r="H190" s="337" t="s">
        <v>592</v>
      </c>
      <c r="I190" s="337" t="s">
        <v>592</v>
      </c>
      <c r="J190" s="337" t="s">
        <v>593</v>
      </c>
      <c r="K190" s="337" t="s">
        <v>427</v>
      </c>
      <c r="L190" s="337">
        <v>890.17120361328125</v>
      </c>
      <c r="M190" s="337" t="s">
        <v>5</v>
      </c>
      <c r="N190" s="337" t="s">
        <v>5</v>
      </c>
      <c r="O190" s="337" t="s">
        <v>5</v>
      </c>
      <c r="P190" s="337" t="s">
        <v>5</v>
      </c>
      <c r="Q190" s="337" t="s">
        <v>5</v>
      </c>
      <c r="R190" s="337" t="s">
        <v>586</v>
      </c>
      <c r="S190" s="337" t="s">
        <v>768</v>
      </c>
      <c r="T190" s="337" t="s">
        <v>5</v>
      </c>
      <c r="U190" s="337" t="s">
        <v>4</v>
      </c>
      <c r="V190" s="337">
        <v>250000</v>
      </c>
      <c r="W190" s="337">
        <v>225000</v>
      </c>
      <c r="X190" s="337" t="s">
        <v>6</v>
      </c>
      <c r="Y190" s="337"/>
      <c r="Z190" s="337"/>
      <c r="AA190" s="337">
        <v>32600.33984375</v>
      </c>
      <c r="AB190" s="337">
        <v>17.539541244506839</v>
      </c>
      <c r="AC190" s="337">
        <v>32600.33984375</v>
      </c>
      <c r="AD190" s="337">
        <v>340</v>
      </c>
      <c r="AE190" s="337">
        <v>64</v>
      </c>
      <c r="AF190" s="337">
        <v>204</v>
      </c>
      <c r="AG190" s="337">
        <v>236</v>
      </c>
      <c r="AH190" s="337">
        <v>352</v>
      </c>
      <c r="AI190" s="337">
        <v>352</v>
      </c>
      <c r="AJ190" s="337">
        <v>1</v>
      </c>
      <c r="AK190" s="337">
        <v>0</v>
      </c>
      <c r="AL190" s="337">
        <v>152</v>
      </c>
      <c r="AM190" s="337">
        <v>0</v>
      </c>
      <c r="AN190" s="337">
        <v>23560.158203125</v>
      </c>
      <c r="AO190" s="337"/>
      <c r="AP190" s="337"/>
      <c r="AQ190" s="337"/>
      <c r="AR190" s="337">
        <v>85</v>
      </c>
      <c r="AS190" s="337">
        <v>85</v>
      </c>
      <c r="AT190" s="337">
        <v>16</v>
      </c>
      <c r="AU190" s="337">
        <v>51</v>
      </c>
      <c r="AV190" s="337">
        <v>123</v>
      </c>
      <c r="AW190" s="337">
        <v>0</v>
      </c>
      <c r="AX190" s="337">
        <v>0</v>
      </c>
      <c r="AY190" s="337">
        <v>38</v>
      </c>
      <c r="AZ190" s="337">
        <v>0</v>
      </c>
      <c r="BA190" s="337">
        <v>5890.03955078125</v>
      </c>
      <c r="BB190" s="337"/>
      <c r="BC190" s="337"/>
      <c r="BD190" s="337"/>
      <c r="BE190" s="337">
        <v>25000</v>
      </c>
      <c r="BF190" s="337" t="s">
        <v>425</v>
      </c>
      <c r="BG190" s="337" t="s">
        <v>5</v>
      </c>
      <c r="BH190" s="337" t="s">
        <v>1020</v>
      </c>
      <c r="BI190" s="337"/>
      <c r="BJ190" s="337" t="s">
        <v>5</v>
      </c>
      <c r="BK190" s="337"/>
      <c r="BL190" s="337">
        <v>0</v>
      </c>
      <c r="BM190" s="337"/>
      <c r="BN190" s="337" t="s">
        <v>5</v>
      </c>
      <c r="BO190" s="337"/>
      <c r="BP190" s="337"/>
      <c r="BQ190" s="337"/>
      <c r="BR190" s="337"/>
      <c r="BS190" s="337" t="s">
        <v>5</v>
      </c>
      <c r="BT190" s="337"/>
      <c r="BU190" s="337"/>
      <c r="BV190" s="337"/>
      <c r="BW190" s="337"/>
      <c r="BX190" s="337" t="s">
        <v>6</v>
      </c>
      <c r="BY190" s="337" t="s">
        <v>426</v>
      </c>
      <c r="BZ190" s="337"/>
      <c r="CB190" s="337" t="s">
        <v>5</v>
      </c>
      <c r="CC190" s="337">
        <v>192155.46191610509</v>
      </c>
      <c r="CD190" s="337">
        <v>2305532851.919414</v>
      </c>
      <c r="CE190" s="313" t="s">
        <v>11891</v>
      </c>
    </row>
    <row r="191" spans="1:83" ht="15" x14ac:dyDescent="0.25">
      <c r="A191" t="s">
        <v>3832</v>
      </c>
      <c r="B191" t="s">
        <v>3833</v>
      </c>
      <c r="C191" t="s">
        <v>3834</v>
      </c>
      <c r="D191">
        <v>13</v>
      </c>
      <c r="E191" t="s">
        <v>3573</v>
      </c>
      <c r="F191" t="s">
        <v>3835</v>
      </c>
      <c r="G191" t="s">
        <v>3648</v>
      </c>
      <c r="H191" t="s">
        <v>3836</v>
      </c>
      <c r="I191" t="s">
        <v>3837</v>
      </c>
      <c r="J191" t="s">
        <v>3838</v>
      </c>
      <c r="K191" t="s">
        <v>3821</v>
      </c>
      <c r="L191">
        <v>1.8999061584472661</v>
      </c>
      <c r="M191" t="s">
        <v>6</v>
      </c>
      <c r="N191" t="s">
        <v>5</v>
      </c>
      <c r="O191" t="s">
        <v>6</v>
      </c>
      <c r="P191" t="s">
        <v>5</v>
      </c>
      <c r="Q191" t="s">
        <v>5</v>
      </c>
      <c r="R191" t="s">
        <v>3839</v>
      </c>
      <c r="S191" t="s">
        <v>3840</v>
      </c>
      <c r="T191" t="s">
        <v>6</v>
      </c>
      <c r="U191" t="s">
        <v>4</v>
      </c>
      <c r="V191">
        <v>205000</v>
      </c>
      <c r="W191">
        <v>205000</v>
      </c>
      <c r="X191" t="s">
        <v>5</v>
      </c>
      <c r="Y191"/>
      <c r="Z191"/>
      <c r="AA191">
        <v>0.42074099183082581</v>
      </c>
      <c r="AB191">
        <v>0.15596699714660639</v>
      </c>
      <c r="AC191">
        <v>4.6573430299758911E-3</v>
      </c>
      <c r="AD191">
        <v>207</v>
      </c>
      <c r="AE191">
        <v>123</v>
      </c>
      <c r="AF191">
        <v>170</v>
      </c>
      <c r="AG191">
        <v>440</v>
      </c>
      <c r="AH191">
        <v>482</v>
      </c>
      <c r="AI191">
        <v>482</v>
      </c>
      <c r="AJ191">
        <v>0</v>
      </c>
      <c r="AK191">
        <v>0</v>
      </c>
      <c r="AL191">
        <v>6</v>
      </c>
      <c r="AM191">
        <v>57</v>
      </c>
      <c r="AN191">
        <v>3.5540692806243901</v>
      </c>
      <c r="AO191"/>
      <c r="AP191"/>
      <c r="AQ191"/>
      <c r="AR191"/>
      <c r="AS191"/>
      <c r="AT191"/>
      <c r="AU191"/>
      <c r="AV191"/>
      <c r="AW191"/>
      <c r="AX191"/>
      <c r="AY191"/>
      <c r="AZ191"/>
      <c r="BA191"/>
      <c r="BB191"/>
      <c r="BC191"/>
      <c r="BD191"/>
      <c r="BE191">
        <v>0</v>
      </c>
      <c r="BF191" t="s">
        <v>5</v>
      </c>
      <c r="BG191" t="s">
        <v>5</v>
      </c>
      <c r="BH191" t="s">
        <v>3581</v>
      </c>
      <c r="BI191"/>
      <c r="BJ191" t="s">
        <v>5</v>
      </c>
      <c r="BK191"/>
      <c r="BL191">
        <v>0</v>
      </c>
      <c r="BM191"/>
      <c r="BN191" t="s">
        <v>5</v>
      </c>
      <c r="BO191"/>
      <c r="BP191"/>
      <c r="BQ191"/>
      <c r="BR191"/>
      <c r="BS191" t="s">
        <v>5</v>
      </c>
      <c r="BT191"/>
      <c r="BU191"/>
      <c r="BV191"/>
      <c r="BW191"/>
      <c r="BX191" t="s">
        <v>6</v>
      </c>
      <c r="BY191" t="s">
        <v>3841</v>
      </c>
      <c r="BZ191"/>
      <c r="CA191"/>
      <c r="CB191" t="s">
        <v>5</v>
      </c>
      <c r="CC191">
        <v>14158.260952410001</v>
      </c>
      <c r="CD191">
        <v>4920753.9649826707</v>
      </c>
      <c r="CE191" s="313" t="s">
        <v>11891</v>
      </c>
    </row>
    <row r="192" spans="1:83" ht="15" x14ac:dyDescent="0.25">
      <c r="A192" t="s">
        <v>3654</v>
      </c>
      <c r="B192" t="s">
        <v>3655</v>
      </c>
      <c r="C192" t="s">
        <v>3656</v>
      </c>
      <c r="D192">
        <v>13</v>
      </c>
      <c r="E192" t="s">
        <v>3573</v>
      </c>
      <c r="F192" t="s">
        <v>3647</v>
      </c>
      <c r="G192" t="s">
        <v>3648</v>
      </c>
      <c r="H192" t="s">
        <v>3649</v>
      </c>
      <c r="I192" t="s">
        <v>3650</v>
      </c>
      <c r="J192" t="s">
        <v>3651</v>
      </c>
      <c r="K192" t="s">
        <v>3585</v>
      </c>
      <c r="L192">
        <v>12.69940090179443</v>
      </c>
      <c r="M192" t="s">
        <v>6</v>
      </c>
      <c r="N192" t="s">
        <v>5</v>
      </c>
      <c r="O192" t="s">
        <v>6</v>
      </c>
      <c r="P192" t="s">
        <v>5</v>
      </c>
      <c r="Q192" t="s">
        <v>5</v>
      </c>
      <c r="R192" t="s">
        <v>3652</v>
      </c>
      <c r="S192" t="s">
        <v>3653</v>
      </c>
      <c r="T192" t="s">
        <v>6</v>
      </c>
      <c r="U192" t="s">
        <v>50</v>
      </c>
      <c r="V192">
        <v>200000</v>
      </c>
      <c r="W192">
        <v>200000</v>
      </c>
      <c r="X192" t="s">
        <v>5</v>
      </c>
      <c r="Y192"/>
      <c r="Z192"/>
      <c r="AA192">
        <v>3.9642267227172852</v>
      </c>
      <c r="AB192">
        <v>6.5406608581542969</v>
      </c>
      <c r="AC192">
        <v>0</v>
      </c>
      <c r="AD192">
        <v>893</v>
      </c>
      <c r="AE192">
        <v>5764</v>
      </c>
      <c r="AF192">
        <v>572</v>
      </c>
      <c r="AG192">
        <v>6681</v>
      </c>
      <c r="AH192">
        <v>1887</v>
      </c>
      <c r="AI192">
        <v>6681</v>
      </c>
      <c r="AJ192">
        <v>8</v>
      </c>
      <c r="AK192">
        <v>4</v>
      </c>
      <c r="AL192">
        <v>19</v>
      </c>
      <c r="AM192">
        <v>296</v>
      </c>
      <c r="AN192">
        <v>131.8397216796875</v>
      </c>
      <c r="AO192"/>
      <c r="AP192"/>
      <c r="AQ192"/>
      <c r="AR192"/>
      <c r="AS192"/>
      <c r="AT192"/>
      <c r="AU192"/>
      <c r="AV192"/>
      <c r="AW192"/>
      <c r="AX192"/>
      <c r="AY192"/>
      <c r="AZ192"/>
      <c r="BA192"/>
      <c r="BB192"/>
      <c r="BC192"/>
      <c r="BD192"/>
      <c r="BE192">
        <v>0</v>
      </c>
      <c r="BF192" t="s">
        <v>5</v>
      </c>
      <c r="BG192" t="s">
        <v>5</v>
      </c>
      <c r="BH192" t="s">
        <v>3581</v>
      </c>
      <c r="BI192"/>
      <c r="BJ192" t="s">
        <v>5</v>
      </c>
      <c r="BK192"/>
      <c r="BL192">
        <v>0</v>
      </c>
      <c r="BM192"/>
      <c r="BN192" t="s">
        <v>5</v>
      </c>
      <c r="BO192"/>
      <c r="BP192"/>
      <c r="BQ192"/>
      <c r="BR192"/>
      <c r="BS192" t="s">
        <v>5</v>
      </c>
      <c r="BT192"/>
      <c r="BU192"/>
      <c r="BV192"/>
      <c r="BW192"/>
      <c r="BX192" t="s">
        <v>6</v>
      </c>
      <c r="BY192" t="s">
        <v>3601</v>
      </c>
      <c r="BZ192"/>
      <c r="CA192"/>
      <c r="CB192" t="s">
        <v>5</v>
      </c>
      <c r="CC192">
        <v>48887.842927004807</v>
      </c>
      <c r="CD192">
        <v>32891428.600837432</v>
      </c>
      <c r="CE192" s="313" t="s">
        <v>11891</v>
      </c>
    </row>
    <row r="193" spans="1:83" ht="15" x14ac:dyDescent="0.25">
      <c r="A193" t="s">
        <v>3657</v>
      </c>
      <c r="B193" t="s">
        <v>3658</v>
      </c>
      <c r="C193" t="s">
        <v>3659</v>
      </c>
      <c r="D193">
        <v>13</v>
      </c>
      <c r="E193" t="s">
        <v>3573</v>
      </c>
      <c r="F193" t="s">
        <v>3660</v>
      </c>
      <c r="G193" t="s">
        <v>3661</v>
      </c>
      <c r="H193" t="s">
        <v>3662</v>
      </c>
      <c r="I193"/>
      <c r="J193"/>
      <c r="K193" t="s">
        <v>3585</v>
      </c>
      <c r="L193">
        <v>867.9454345703125</v>
      </c>
      <c r="M193" t="s">
        <v>6</v>
      </c>
      <c r="N193" t="s">
        <v>5</v>
      </c>
      <c r="O193" t="s">
        <v>6</v>
      </c>
      <c r="P193" t="s">
        <v>5</v>
      </c>
      <c r="Q193" t="s">
        <v>5</v>
      </c>
      <c r="R193" t="s">
        <v>3663</v>
      </c>
      <c r="S193" t="s">
        <v>3664</v>
      </c>
      <c r="T193" t="s">
        <v>6</v>
      </c>
      <c r="U193" t="s">
        <v>50</v>
      </c>
      <c r="V193">
        <v>200000</v>
      </c>
      <c r="W193">
        <v>200000</v>
      </c>
      <c r="X193" t="s">
        <v>5</v>
      </c>
      <c r="Y193"/>
      <c r="Z193"/>
      <c r="AA193">
        <v>201.35113525390619</v>
      </c>
      <c r="AB193">
        <v>53.99468994140625</v>
      </c>
      <c r="AC193">
        <v>0</v>
      </c>
      <c r="AD193">
        <v>2398</v>
      </c>
      <c r="AE193">
        <v>6668</v>
      </c>
      <c r="AF193">
        <v>1145</v>
      </c>
      <c r="AG193">
        <v>8685</v>
      </c>
      <c r="AH193">
        <v>4584</v>
      </c>
      <c r="AI193">
        <v>8685</v>
      </c>
      <c r="AJ193">
        <v>9</v>
      </c>
      <c r="AK193">
        <v>13</v>
      </c>
      <c r="AL193">
        <v>201</v>
      </c>
      <c r="AM193">
        <v>624</v>
      </c>
      <c r="AN193">
        <v>25815.615234375</v>
      </c>
      <c r="AO193"/>
      <c r="AP193"/>
      <c r="AQ193"/>
      <c r="AR193"/>
      <c r="AS193"/>
      <c r="AT193"/>
      <c r="AU193"/>
      <c r="AV193"/>
      <c r="AW193"/>
      <c r="AX193"/>
      <c r="AY193"/>
      <c r="AZ193"/>
      <c r="BA193"/>
      <c r="BB193"/>
      <c r="BC193"/>
      <c r="BD193"/>
      <c r="BE193">
        <v>0</v>
      </c>
      <c r="BF193" t="s">
        <v>5</v>
      </c>
      <c r="BG193" t="s">
        <v>5</v>
      </c>
      <c r="BH193" t="s">
        <v>3581</v>
      </c>
      <c r="BI193"/>
      <c r="BJ193" t="s">
        <v>5</v>
      </c>
      <c r="BK193"/>
      <c r="BL193">
        <v>0</v>
      </c>
      <c r="BM193"/>
      <c r="BN193" t="s">
        <v>5</v>
      </c>
      <c r="BO193"/>
      <c r="BP193"/>
      <c r="BQ193"/>
      <c r="BR193"/>
      <c r="BS193" t="s">
        <v>5</v>
      </c>
      <c r="BT193"/>
      <c r="BU193"/>
      <c r="BV193"/>
      <c r="BW193"/>
      <c r="BX193" t="s">
        <v>6</v>
      </c>
      <c r="BY193" t="s">
        <v>3601</v>
      </c>
      <c r="BZ193"/>
      <c r="CA193"/>
      <c r="CB193" t="s">
        <v>5</v>
      </c>
      <c r="CC193">
        <v>258358.4842612576</v>
      </c>
      <c r="CD193">
        <v>2247977308.9311929</v>
      </c>
      <c r="CE193" s="313" t="s">
        <v>11891</v>
      </c>
    </row>
    <row r="194" spans="1:83" ht="15" x14ac:dyDescent="0.25">
      <c r="A194" t="s">
        <v>1454</v>
      </c>
      <c r="B194" t="s">
        <v>1455</v>
      </c>
      <c r="C194" t="s">
        <v>1456</v>
      </c>
      <c r="D194">
        <v>1</v>
      </c>
      <c r="E194" t="s">
        <v>1432</v>
      </c>
      <c r="F194" t="s">
        <v>1457</v>
      </c>
      <c r="G194" t="s">
        <v>1458</v>
      </c>
      <c r="H194" t="s">
        <v>1459</v>
      </c>
      <c r="I194" t="s">
        <v>1460</v>
      </c>
      <c r="J194" t="s">
        <v>1461</v>
      </c>
      <c r="K194" t="s">
        <v>1462</v>
      </c>
      <c r="L194">
        <v>7.0512943267822266</v>
      </c>
      <c r="M194" t="s">
        <v>6</v>
      </c>
      <c r="N194" t="s">
        <v>5</v>
      </c>
      <c r="O194" t="s">
        <v>5</v>
      </c>
      <c r="P194" t="s">
        <v>6</v>
      </c>
      <c r="Q194" t="s">
        <v>5</v>
      </c>
      <c r="R194" t="s">
        <v>1463</v>
      </c>
      <c r="S194" t="s">
        <v>1464</v>
      </c>
      <c r="T194" t="s">
        <v>5</v>
      </c>
      <c r="U194" t="s">
        <v>50</v>
      </c>
      <c r="V194">
        <v>200000</v>
      </c>
      <c r="W194">
        <v>200000</v>
      </c>
      <c r="X194" t="s">
        <v>5</v>
      </c>
      <c r="Y194"/>
      <c r="Z194"/>
      <c r="AA194">
        <v>1.10006320476532</v>
      </c>
      <c r="AB194">
        <v>0.23183286190032959</v>
      </c>
      <c r="AC194">
        <v>0</v>
      </c>
      <c r="AD194">
        <v>206</v>
      </c>
      <c r="AE194">
        <v>119</v>
      </c>
      <c r="AF194">
        <v>193</v>
      </c>
      <c r="AG194">
        <v>636</v>
      </c>
      <c r="AH194">
        <v>823</v>
      </c>
      <c r="AI194">
        <v>823</v>
      </c>
      <c r="AJ194">
        <v>0</v>
      </c>
      <c r="AK194">
        <v>7</v>
      </c>
      <c r="AL194">
        <v>15</v>
      </c>
      <c r="AM194">
        <v>7</v>
      </c>
      <c r="AN194">
        <v>150.2604675292969</v>
      </c>
      <c r="AO194"/>
      <c r="AP194"/>
      <c r="AQ194"/>
      <c r="AR194">
        <v>0</v>
      </c>
      <c r="AS194">
        <v>0</v>
      </c>
      <c r="AT194">
        <v>0</v>
      </c>
      <c r="AU194">
        <v>0</v>
      </c>
      <c r="AV194">
        <v>0</v>
      </c>
      <c r="AW194">
        <v>0</v>
      </c>
      <c r="AX194">
        <v>0</v>
      </c>
      <c r="AY194">
        <v>0</v>
      </c>
      <c r="AZ194">
        <v>0</v>
      </c>
      <c r="BA194">
        <v>0</v>
      </c>
      <c r="BB194"/>
      <c r="BC194"/>
      <c r="BD194"/>
      <c r="BE194">
        <v>0</v>
      </c>
      <c r="BF194" t="s">
        <v>1100</v>
      </c>
      <c r="BG194" t="s">
        <v>5</v>
      </c>
      <c r="BH194" t="s">
        <v>1020</v>
      </c>
      <c r="BI194" t="s">
        <v>1020</v>
      </c>
      <c r="BJ194" t="s">
        <v>5</v>
      </c>
      <c r="BK194"/>
      <c r="BL194">
        <v>0</v>
      </c>
      <c r="BM194"/>
      <c r="BN194" t="s">
        <v>5</v>
      </c>
      <c r="BO194"/>
      <c r="BP194"/>
      <c r="BQ194"/>
      <c r="BR194"/>
      <c r="BS194" t="s">
        <v>5</v>
      </c>
      <c r="BT194"/>
      <c r="BU194"/>
      <c r="BV194"/>
      <c r="BW194"/>
      <c r="BX194" t="s">
        <v>6</v>
      </c>
      <c r="BY194" t="s">
        <v>1101</v>
      </c>
      <c r="BZ194"/>
      <c r="CA194"/>
      <c r="CB194" t="s">
        <v>5</v>
      </c>
      <c r="CC194">
        <v>45080.224675808618</v>
      </c>
      <c r="CD194">
        <v>18262767.938815352</v>
      </c>
      <c r="CE194" s="313" t="s">
        <v>11891</v>
      </c>
    </row>
    <row r="195" spans="1:83" ht="15" x14ac:dyDescent="0.25">
      <c r="A195" t="s">
        <v>1478</v>
      </c>
      <c r="B195" t="s">
        <v>1479</v>
      </c>
      <c r="C195" t="s">
        <v>1480</v>
      </c>
      <c r="D195">
        <v>1</v>
      </c>
      <c r="E195" t="s">
        <v>1432</v>
      </c>
      <c r="F195" t="s">
        <v>1457</v>
      </c>
      <c r="G195" t="s">
        <v>1458</v>
      </c>
      <c r="H195" t="s">
        <v>1459</v>
      </c>
      <c r="I195" t="s">
        <v>1460</v>
      </c>
      <c r="J195" t="s">
        <v>1461</v>
      </c>
      <c r="K195" t="s">
        <v>1449</v>
      </c>
      <c r="L195">
        <v>7.0512943267822266</v>
      </c>
      <c r="M195" t="s">
        <v>6</v>
      </c>
      <c r="N195" t="s">
        <v>5</v>
      </c>
      <c r="O195" t="s">
        <v>5</v>
      </c>
      <c r="P195" t="s">
        <v>6</v>
      </c>
      <c r="Q195" t="s">
        <v>5</v>
      </c>
      <c r="R195" t="s">
        <v>1463</v>
      </c>
      <c r="S195" t="s">
        <v>1464</v>
      </c>
      <c r="T195" t="s">
        <v>5</v>
      </c>
      <c r="U195" t="s">
        <v>85</v>
      </c>
      <c r="V195">
        <v>1000000</v>
      </c>
      <c r="W195">
        <v>200000</v>
      </c>
      <c r="X195" t="s">
        <v>5</v>
      </c>
      <c r="Y195"/>
      <c r="Z195"/>
      <c r="AA195">
        <v>1.10006320476532</v>
      </c>
      <c r="AB195">
        <v>0.23183286190032959</v>
      </c>
      <c r="AC195">
        <v>0</v>
      </c>
      <c r="AD195">
        <v>206</v>
      </c>
      <c r="AE195">
        <v>119</v>
      </c>
      <c r="AF195">
        <v>193</v>
      </c>
      <c r="AG195">
        <v>636</v>
      </c>
      <c r="AH195">
        <v>823</v>
      </c>
      <c r="AI195">
        <v>823</v>
      </c>
      <c r="AJ195">
        <v>0</v>
      </c>
      <c r="AK195">
        <v>7</v>
      </c>
      <c r="AL195">
        <v>15</v>
      </c>
      <c r="AM195">
        <v>7</v>
      </c>
      <c r="AN195">
        <v>150.2604675292969</v>
      </c>
      <c r="AO195"/>
      <c r="AP195"/>
      <c r="AQ195"/>
      <c r="AR195">
        <v>0</v>
      </c>
      <c r="AS195">
        <v>0</v>
      </c>
      <c r="AT195">
        <v>0</v>
      </c>
      <c r="AU195">
        <v>0</v>
      </c>
      <c r="AV195">
        <v>0</v>
      </c>
      <c r="AW195">
        <v>0</v>
      </c>
      <c r="AX195">
        <v>0</v>
      </c>
      <c r="AY195">
        <v>0</v>
      </c>
      <c r="AZ195">
        <v>0</v>
      </c>
      <c r="BA195">
        <v>0</v>
      </c>
      <c r="BB195"/>
      <c r="BC195"/>
      <c r="BD195"/>
      <c r="BE195">
        <v>0</v>
      </c>
      <c r="BF195" t="s">
        <v>1100</v>
      </c>
      <c r="BG195" t="s">
        <v>5</v>
      </c>
      <c r="BH195" t="s">
        <v>1020</v>
      </c>
      <c r="BI195" t="s">
        <v>1020</v>
      </c>
      <c r="BJ195" t="s">
        <v>5</v>
      </c>
      <c r="BK195"/>
      <c r="BL195">
        <v>0</v>
      </c>
      <c r="BM195"/>
      <c r="BN195" t="s">
        <v>5</v>
      </c>
      <c r="BO195"/>
      <c r="BP195"/>
      <c r="BQ195"/>
      <c r="BR195"/>
      <c r="BS195" t="s">
        <v>5</v>
      </c>
      <c r="BT195"/>
      <c r="BU195"/>
      <c r="BV195"/>
      <c r="BW195"/>
      <c r="BX195" t="s">
        <v>6</v>
      </c>
      <c r="BY195" t="s">
        <v>1101</v>
      </c>
      <c r="BZ195"/>
      <c r="CA195"/>
      <c r="CB195" t="s">
        <v>5</v>
      </c>
      <c r="CC195">
        <v>45080.224675808618</v>
      </c>
      <c r="CD195">
        <v>18262767.938815352</v>
      </c>
      <c r="CE195" s="313" t="s">
        <v>11891</v>
      </c>
    </row>
    <row r="196" spans="1:83" ht="15" x14ac:dyDescent="0.25">
      <c r="A196" t="s">
        <v>2728</v>
      </c>
      <c r="B196" t="s">
        <v>2729</v>
      </c>
      <c r="C196" t="s">
        <v>2730</v>
      </c>
      <c r="D196">
        <v>5</v>
      </c>
      <c r="E196" t="s">
        <v>2598</v>
      </c>
      <c r="F196" t="s">
        <v>2644</v>
      </c>
      <c r="G196" t="s">
        <v>2645</v>
      </c>
      <c r="H196" t="s">
        <v>2646</v>
      </c>
      <c r="I196" t="s">
        <v>2647</v>
      </c>
      <c r="J196" t="s">
        <v>2648</v>
      </c>
      <c r="K196" t="s">
        <v>2731</v>
      </c>
      <c r="L196">
        <v>434.46490478515619</v>
      </c>
      <c r="M196" t="s">
        <v>6</v>
      </c>
      <c r="N196" t="s">
        <v>6</v>
      </c>
      <c r="O196" t="s">
        <v>5</v>
      </c>
      <c r="P196" t="s">
        <v>5</v>
      </c>
      <c r="Q196" t="s">
        <v>6</v>
      </c>
      <c r="R196" t="s">
        <v>2649</v>
      </c>
      <c r="S196" t="s">
        <v>2649</v>
      </c>
      <c r="T196" t="s">
        <v>6</v>
      </c>
      <c r="U196" t="s">
        <v>85</v>
      </c>
      <c r="V196">
        <v>1000000</v>
      </c>
      <c r="W196">
        <v>200000</v>
      </c>
      <c r="X196" t="s">
        <v>6</v>
      </c>
      <c r="Y196"/>
      <c r="Z196"/>
      <c r="AA196">
        <v>264.63662719726563</v>
      </c>
      <c r="AB196">
        <v>106.7567901611328</v>
      </c>
      <c r="AC196">
        <v>12.27080821990967</v>
      </c>
      <c r="AD196">
        <v>1175</v>
      </c>
      <c r="AE196">
        <v>911</v>
      </c>
      <c r="AF196">
        <v>459</v>
      </c>
      <c r="AG196">
        <v>617</v>
      </c>
      <c r="AH196">
        <v>1128</v>
      </c>
      <c r="AI196">
        <v>1431</v>
      </c>
      <c r="AJ196">
        <v>0</v>
      </c>
      <c r="AK196">
        <v>0</v>
      </c>
      <c r="AL196">
        <v>162</v>
      </c>
      <c r="AM196">
        <v>0</v>
      </c>
      <c r="AN196">
        <v>36932.59375</v>
      </c>
      <c r="AO196"/>
      <c r="AP196"/>
      <c r="AQ196"/>
      <c r="AR196">
        <v>0</v>
      </c>
      <c r="AS196">
        <v>0</v>
      </c>
      <c r="AT196">
        <v>0</v>
      </c>
      <c r="AU196">
        <v>0</v>
      </c>
      <c r="AV196">
        <v>0</v>
      </c>
      <c r="AW196">
        <v>0</v>
      </c>
      <c r="AX196">
        <v>0</v>
      </c>
      <c r="AY196">
        <v>0</v>
      </c>
      <c r="AZ196">
        <v>0</v>
      </c>
      <c r="BA196">
        <v>0</v>
      </c>
      <c r="BB196"/>
      <c r="BC196"/>
      <c r="BD196"/>
      <c r="BE196">
        <v>0</v>
      </c>
      <c r="BF196" t="s">
        <v>2516</v>
      </c>
      <c r="BG196" t="s">
        <v>5</v>
      </c>
      <c r="BH196" t="s">
        <v>1020</v>
      </c>
      <c r="BI196"/>
      <c r="BJ196" t="s">
        <v>5</v>
      </c>
      <c r="BK196"/>
      <c r="BL196">
        <v>0</v>
      </c>
      <c r="BM196"/>
      <c r="BN196" t="s">
        <v>5</v>
      </c>
      <c r="BO196" t="s">
        <v>2518</v>
      </c>
      <c r="BP196" t="s">
        <v>2518</v>
      </c>
      <c r="BQ196" t="s">
        <v>2518</v>
      </c>
      <c r="BR196"/>
      <c r="BS196" t="s">
        <v>6</v>
      </c>
      <c r="BT196" t="s">
        <v>2518</v>
      </c>
      <c r="BU196" t="s">
        <v>2518</v>
      </c>
      <c r="BV196" t="s">
        <v>2518</v>
      </c>
      <c r="BW196"/>
      <c r="BX196" t="s">
        <v>6</v>
      </c>
      <c r="BY196" t="s">
        <v>2605</v>
      </c>
      <c r="BZ196" t="s">
        <v>2518</v>
      </c>
      <c r="CA196"/>
      <c r="CB196" t="s">
        <v>5</v>
      </c>
      <c r="CC196">
        <v>278427.62777734583</v>
      </c>
      <c r="CD196">
        <v>1125258898.973012</v>
      </c>
      <c r="CE196" s="313" t="s">
        <v>11891</v>
      </c>
    </row>
    <row r="197" spans="1:83" ht="15" x14ac:dyDescent="0.25">
      <c r="A197" t="s">
        <v>2732</v>
      </c>
      <c r="B197" t="s">
        <v>2733</v>
      </c>
      <c r="C197" t="s">
        <v>2734</v>
      </c>
      <c r="D197">
        <v>5</v>
      </c>
      <c r="E197" t="s">
        <v>2598</v>
      </c>
      <c r="F197" t="s">
        <v>81</v>
      </c>
      <c r="G197" t="s">
        <v>2639</v>
      </c>
      <c r="H197" t="s">
        <v>2640</v>
      </c>
      <c r="I197" t="s">
        <v>2641</v>
      </c>
      <c r="J197" t="s">
        <v>2642</v>
      </c>
      <c r="K197" t="s">
        <v>2735</v>
      </c>
      <c r="L197">
        <v>235.4879455566406</v>
      </c>
      <c r="M197" t="s">
        <v>6</v>
      </c>
      <c r="N197" t="s">
        <v>5</v>
      </c>
      <c r="O197" t="s">
        <v>5</v>
      </c>
      <c r="P197" t="s">
        <v>5</v>
      </c>
      <c r="Q197" t="s">
        <v>6</v>
      </c>
      <c r="R197" t="s">
        <v>273</v>
      </c>
      <c r="S197" t="s">
        <v>2736</v>
      </c>
      <c r="T197" t="s">
        <v>6</v>
      </c>
      <c r="U197" t="s">
        <v>85</v>
      </c>
      <c r="V197">
        <v>2000000</v>
      </c>
      <c r="W197">
        <v>200000</v>
      </c>
      <c r="X197" t="s">
        <v>6</v>
      </c>
      <c r="Y197"/>
      <c r="Z197"/>
      <c r="AA197">
        <v>73.971321105957031</v>
      </c>
      <c r="AB197">
        <v>11.69291973114014</v>
      </c>
      <c r="AC197">
        <v>31.773128509521481</v>
      </c>
      <c r="AD197">
        <v>116</v>
      </c>
      <c r="AE197">
        <v>39</v>
      </c>
      <c r="AF197">
        <v>57</v>
      </c>
      <c r="AG197">
        <v>51</v>
      </c>
      <c r="AH197">
        <v>140</v>
      </c>
      <c r="AI197">
        <v>143</v>
      </c>
      <c r="AJ197">
        <v>1</v>
      </c>
      <c r="AK197">
        <v>0</v>
      </c>
      <c r="AL197">
        <v>7</v>
      </c>
      <c r="AM197">
        <v>0</v>
      </c>
      <c r="AN197">
        <v>1525.707397460938</v>
      </c>
      <c r="AO197"/>
      <c r="AP197"/>
      <c r="AQ197"/>
      <c r="AR197">
        <v>0</v>
      </c>
      <c r="AS197">
        <v>0</v>
      </c>
      <c r="AT197">
        <v>0</v>
      </c>
      <c r="AU197">
        <v>0</v>
      </c>
      <c r="AV197">
        <v>0</v>
      </c>
      <c r="AW197">
        <v>0</v>
      </c>
      <c r="AX197">
        <v>0</v>
      </c>
      <c r="AY197">
        <v>0</v>
      </c>
      <c r="AZ197">
        <v>0</v>
      </c>
      <c r="BA197">
        <v>0</v>
      </c>
      <c r="BB197"/>
      <c r="BC197"/>
      <c r="BD197"/>
      <c r="BE197">
        <v>0</v>
      </c>
      <c r="BF197" t="s">
        <v>2516</v>
      </c>
      <c r="BG197" t="s">
        <v>5</v>
      </c>
      <c r="BH197" t="s">
        <v>1020</v>
      </c>
      <c r="BI197"/>
      <c r="BJ197" t="s">
        <v>5</v>
      </c>
      <c r="BK197"/>
      <c r="BL197">
        <v>0</v>
      </c>
      <c r="BM197"/>
      <c r="BN197" t="s">
        <v>6</v>
      </c>
      <c r="BO197" t="s">
        <v>2518</v>
      </c>
      <c r="BP197" t="s">
        <v>2518</v>
      </c>
      <c r="BQ197" t="s">
        <v>2518</v>
      </c>
      <c r="BR197"/>
      <c r="BS197" t="s">
        <v>6</v>
      </c>
      <c r="BT197" t="s">
        <v>2518</v>
      </c>
      <c r="BU197" t="s">
        <v>2518</v>
      </c>
      <c r="BV197" t="s">
        <v>2518</v>
      </c>
      <c r="BW197"/>
      <c r="BX197" t="s">
        <v>6</v>
      </c>
      <c r="BY197" t="s">
        <v>2605</v>
      </c>
      <c r="BZ197" t="s">
        <v>2518</v>
      </c>
      <c r="CA197"/>
      <c r="CB197" t="s">
        <v>5</v>
      </c>
      <c r="CC197">
        <v>178341.81564558871</v>
      </c>
      <c r="CD197">
        <v>609910960.05168712</v>
      </c>
      <c r="CE197" s="313" t="s">
        <v>11891</v>
      </c>
    </row>
    <row r="198" spans="1:83" ht="15" x14ac:dyDescent="0.25">
      <c r="A198" t="s">
        <v>2737</v>
      </c>
      <c r="B198" t="s">
        <v>2738</v>
      </c>
      <c r="C198" t="s">
        <v>2739</v>
      </c>
      <c r="D198">
        <v>5</v>
      </c>
      <c r="E198" t="s">
        <v>2598</v>
      </c>
      <c r="F198" t="s">
        <v>2660</v>
      </c>
      <c r="G198" t="s">
        <v>2661</v>
      </c>
      <c r="H198" t="s">
        <v>2662</v>
      </c>
      <c r="I198"/>
      <c r="J198" t="s">
        <v>2663</v>
      </c>
      <c r="K198" t="s">
        <v>2607</v>
      </c>
      <c r="L198">
        <v>535.169921875</v>
      </c>
      <c r="M198" t="s">
        <v>6</v>
      </c>
      <c r="N198" t="s">
        <v>5</v>
      </c>
      <c r="O198" t="s">
        <v>5</v>
      </c>
      <c r="P198" t="s">
        <v>5</v>
      </c>
      <c r="Q198" t="s">
        <v>6</v>
      </c>
      <c r="R198" t="s">
        <v>2664</v>
      </c>
      <c r="S198" t="s">
        <v>2664</v>
      </c>
      <c r="T198" t="s">
        <v>6</v>
      </c>
      <c r="U198" t="s">
        <v>85</v>
      </c>
      <c r="V198">
        <v>1500000</v>
      </c>
      <c r="W198">
        <v>200000</v>
      </c>
      <c r="X198" t="s">
        <v>6</v>
      </c>
      <c r="Y198"/>
      <c r="Z198"/>
      <c r="AA198">
        <v>100.67148590087891</v>
      </c>
      <c r="AB198">
        <v>5.3430233001708984</v>
      </c>
      <c r="AC198">
        <v>1.483112692832947</v>
      </c>
      <c r="AD198">
        <v>84</v>
      </c>
      <c r="AE198">
        <v>32</v>
      </c>
      <c r="AF198">
        <v>45</v>
      </c>
      <c r="AG198">
        <v>321</v>
      </c>
      <c r="AH198">
        <v>124</v>
      </c>
      <c r="AI198">
        <v>368</v>
      </c>
      <c r="AJ198">
        <v>0</v>
      </c>
      <c r="AK198">
        <v>8</v>
      </c>
      <c r="AL198">
        <v>17</v>
      </c>
      <c r="AM198">
        <v>8</v>
      </c>
      <c r="AN198">
        <v>62.190280914306641</v>
      </c>
      <c r="AO198"/>
      <c r="AP198"/>
      <c r="AQ198"/>
      <c r="AR198">
        <v>0</v>
      </c>
      <c r="AS198">
        <v>0</v>
      </c>
      <c r="AT198">
        <v>0</v>
      </c>
      <c r="AU198">
        <v>0</v>
      </c>
      <c r="AV198">
        <v>0</v>
      </c>
      <c r="AW198">
        <v>0</v>
      </c>
      <c r="AX198">
        <v>0</v>
      </c>
      <c r="AY198">
        <v>0</v>
      </c>
      <c r="AZ198">
        <v>0</v>
      </c>
      <c r="BA198">
        <v>0</v>
      </c>
      <c r="BB198"/>
      <c r="BC198"/>
      <c r="BD198"/>
      <c r="BE198">
        <v>0</v>
      </c>
      <c r="BF198" t="s">
        <v>2516</v>
      </c>
      <c r="BG198" t="s">
        <v>5</v>
      </c>
      <c r="BH198" t="s">
        <v>1020</v>
      </c>
      <c r="BI198"/>
      <c r="BJ198" t="s">
        <v>5</v>
      </c>
      <c r="BK198"/>
      <c r="BL198">
        <v>0</v>
      </c>
      <c r="BM198"/>
      <c r="BN198" t="s">
        <v>5</v>
      </c>
      <c r="BO198" t="s">
        <v>2518</v>
      </c>
      <c r="BP198" t="s">
        <v>2518</v>
      </c>
      <c r="BQ198" t="s">
        <v>2518</v>
      </c>
      <c r="BR198"/>
      <c r="BS198" t="s">
        <v>6</v>
      </c>
      <c r="BT198" t="s">
        <v>2518</v>
      </c>
      <c r="BU198" t="s">
        <v>2518</v>
      </c>
      <c r="BV198" t="s">
        <v>2518</v>
      </c>
      <c r="BW198"/>
      <c r="BX198" t="s">
        <v>6</v>
      </c>
      <c r="BY198" t="s">
        <v>2605</v>
      </c>
      <c r="BZ198" t="s">
        <v>2518</v>
      </c>
      <c r="CA198"/>
      <c r="CB198" t="s">
        <v>5</v>
      </c>
      <c r="CC198">
        <v>244800.71167295959</v>
      </c>
      <c r="CD198">
        <v>1386083750.736033</v>
      </c>
      <c r="CE198" s="313" t="s">
        <v>11891</v>
      </c>
    </row>
    <row r="199" spans="1:83" ht="15" x14ac:dyDescent="0.25">
      <c r="A199" t="s">
        <v>2740</v>
      </c>
      <c r="B199" t="s">
        <v>2741</v>
      </c>
      <c r="C199" t="s">
        <v>2742</v>
      </c>
      <c r="D199">
        <v>5</v>
      </c>
      <c r="E199" t="s">
        <v>2598</v>
      </c>
      <c r="F199" t="s">
        <v>2660</v>
      </c>
      <c r="G199" t="s">
        <v>2661</v>
      </c>
      <c r="H199" t="s">
        <v>2662</v>
      </c>
      <c r="I199"/>
      <c r="J199" t="s">
        <v>2663</v>
      </c>
      <c r="K199" t="s">
        <v>2620</v>
      </c>
      <c r="L199">
        <v>535.169921875</v>
      </c>
      <c r="M199" t="s">
        <v>6</v>
      </c>
      <c r="N199" t="s">
        <v>5</v>
      </c>
      <c r="O199" t="s">
        <v>5</v>
      </c>
      <c r="P199" t="s">
        <v>5</v>
      </c>
      <c r="Q199" t="s">
        <v>6</v>
      </c>
      <c r="R199" t="s">
        <v>2664</v>
      </c>
      <c r="S199" t="s">
        <v>2664</v>
      </c>
      <c r="T199" t="s">
        <v>6</v>
      </c>
      <c r="U199" t="s">
        <v>85</v>
      </c>
      <c r="V199">
        <v>2000000</v>
      </c>
      <c r="W199">
        <v>200000</v>
      </c>
      <c r="X199" t="s">
        <v>6</v>
      </c>
      <c r="Y199"/>
      <c r="Z199"/>
      <c r="AA199">
        <v>100.67148590087891</v>
      </c>
      <c r="AB199">
        <v>5.3430233001708984</v>
      </c>
      <c r="AC199">
        <v>1.483112692832947</v>
      </c>
      <c r="AD199">
        <v>84</v>
      </c>
      <c r="AE199">
        <v>32</v>
      </c>
      <c r="AF199">
        <v>45</v>
      </c>
      <c r="AG199">
        <v>321</v>
      </c>
      <c r="AH199">
        <v>124</v>
      </c>
      <c r="AI199">
        <v>368</v>
      </c>
      <c r="AJ199">
        <v>0</v>
      </c>
      <c r="AK199">
        <v>8</v>
      </c>
      <c r="AL199">
        <v>17</v>
      </c>
      <c r="AM199">
        <v>8</v>
      </c>
      <c r="AN199">
        <v>62.190280914306641</v>
      </c>
      <c r="AO199"/>
      <c r="AP199"/>
      <c r="AQ199"/>
      <c r="AR199">
        <v>0</v>
      </c>
      <c r="AS199">
        <v>0</v>
      </c>
      <c r="AT199">
        <v>0</v>
      </c>
      <c r="AU199">
        <v>0</v>
      </c>
      <c r="AV199">
        <v>0</v>
      </c>
      <c r="AW199">
        <v>0</v>
      </c>
      <c r="AX199">
        <v>0</v>
      </c>
      <c r="AY199">
        <v>0</v>
      </c>
      <c r="AZ199">
        <v>0</v>
      </c>
      <c r="BA199">
        <v>0</v>
      </c>
      <c r="BB199"/>
      <c r="BC199"/>
      <c r="BD199"/>
      <c r="BE199">
        <v>0</v>
      </c>
      <c r="BF199" t="s">
        <v>2516</v>
      </c>
      <c r="BG199" t="s">
        <v>5</v>
      </c>
      <c r="BH199" t="s">
        <v>1020</v>
      </c>
      <c r="BI199"/>
      <c r="BJ199" t="s">
        <v>5</v>
      </c>
      <c r="BK199"/>
      <c r="BL199">
        <v>0</v>
      </c>
      <c r="BM199"/>
      <c r="BN199" t="s">
        <v>6</v>
      </c>
      <c r="BO199" t="s">
        <v>2518</v>
      </c>
      <c r="BP199" t="s">
        <v>2518</v>
      </c>
      <c r="BQ199" t="s">
        <v>2518</v>
      </c>
      <c r="BR199"/>
      <c r="BS199" t="s">
        <v>6</v>
      </c>
      <c r="BT199" t="s">
        <v>2518</v>
      </c>
      <c r="BU199" t="s">
        <v>2518</v>
      </c>
      <c r="BV199" t="s">
        <v>2518</v>
      </c>
      <c r="BW199"/>
      <c r="BX199" t="s">
        <v>6</v>
      </c>
      <c r="BY199" t="s">
        <v>2605</v>
      </c>
      <c r="BZ199" t="s">
        <v>2518</v>
      </c>
      <c r="CA199"/>
      <c r="CB199" t="s">
        <v>5</v>
      </c>
      <c r="CC199">
        <v>244800.71167295959</v>
      </c>
      <c r="CD199">
        <v>1386083750.736033</v>
      </c>
      <c r="CE199" s="313" t="s">
        <v>11891</v>
      </c>
    </row>
    <row r="200" spans="1:83" ht="15" x14ac:dyDescent="0.25">
      <c r="A200" t="s">
        <v>2743</v>
      </c>
      <c r="B200" t="s">
        <v>2744</v>
      </c>
      <c r="C200" t="s">
        <v>2745</v>
      </c>
      <c r="D200">
        <v>5</v>
      </c>
      <c r="E200" t="s">
        <v>2598</v>
      </c>
      <c r="F200" t="s">
        <v>1771</v>
      </c>
      <c r="G200" t="s">
        <v>2614</v>
      </c>
      <c r="H200" t="s">
        <v>2665</v>
      </c>
      <c r="I200" t="s">
        <v>2666</v>
      </c>
      <c r="J200" t="s">
        <v>2667</v>
      </c>
      <c r="K200" t="s">
        <v>2672</v>
      </c>
      <c r="L200">
        <v>341.74038696289063</v>
      </c>
      <c r="M200" t="s">
        <v>6</v>
      </c>
      <c r="N200" t="s">
        <v>5</v>
      </c>
      <c r="O200" t="s">
        <v>6</v>
      </c>
      <c r="P200" t="s">
        <v>5</v>
      </c>
      <c r="Q200" t="s">
        <v>5</v>
      </c>
      <c r="R200" t="s">
        <v>2668</v>
      </c>
      <c r="S200" t="s">
        <v>2668</v>
      </c>
      <c r="T200" t="s">
        <v>6</v>
      </c>
      <c r="U200" t="s">
        <v>85</v>
      </c>
      <c r="V200">
        <v>2000000</v>
      </c>
      <c r="W200">
        <v>200000</v>
      </c>
      <c r="X200" t="s">
        <v>6</v>
      </c>
      <c r="Y200"/>
      <c r="Z200"/>
      <c r="AA200">
        <v>73.890914916992188</v>
      </c>
      <c r="AB200">
        <v>5.1078891754150391</v>
      </c>
      <c r="AC200">
        <v>2.3389770984649658</v>
      </c>
      <c r="AD200">
        <v>32</v>
      </c>
      <c r="AE200">
        <v>9</v>
      </c>
      <c r="AF200">
        <v>15</v>
      </c>
      <c r="AG200">
        <v>7</v>
      </c>
      <c r="AH200">
        <v>15</v>
      </c>
      <c r="AI200">
        <v>15</v>
      </c>
      <c r="AJ200">
        <v>0</v>
      </c>
      <c r="AK200">
        <v>1</v>
      </c>
      <c r="AL200">
        <v>22</v>
      </c>
      <c r="AM200">
        <v>1</v>
      </c>
      <c r="AN200">
        <v>68.388084411621094</v>
      </c>
      <c r="AO200"/>
      <c r="AP200"/>
      <c r="AQ200"/>
      <c r="AR200">
        <v>0</v>
      </c>
      <c r="AS200">
        <v>0</v>
      </c>
      <c r="AT200">
        <v>0</v>
      </c>
      <c r="AU200">
        <v>0</v>
      </c>
      <c r="AV200">
        <v>0</v>
      </c>
      <c r="AW200">
        <v>0</v>
      </c>
      <c r="AX200">
        <v>0</v>
      </c>
      <c r="AY200">
        <v>0</v>
      </c>
      <c r="AZ200">
        <v>0</v>
      </c>
      <c r="BA200">
        <v>0</v>
      </c>
      <c r="BB200"/>
      <c r="BC200"/>
      <c r="BD200"/>
      <c r="BE200">
        <v>0</v>
      </c>
      <c r="BF200" t="s">
        <v>2516</v>
      </c>
      <c r="BG200" t="s">
        <v>5</v>
      </c>
      <c r="BH200" t="s">
        <v>1020</v>
      </c>
      <c r="BI200"/>
      <c r="BJ200" t="s">
        <v>5</v>
      </c>
      <c r="BK200"/>
      <c r="BL200">
        <v>0</v>
      </c>
      <c r="BM200"/>
      <c r="BN200" t="s">
        <v>6</v>
      </c>
      <c r="BO200" t="s">
        <v>2518</v>
      </c>
      <c r="BP200" t="s">
        <v>2518</v>
      </c>
      <c r="BQ200" t="s">
        <v>2518</v>
      </c>
      <c r="BR200"/>
      <c r="BS200" t="s">
        <v>6</v>
      </c>
      <c r="BT200" t="s">
        <v>2518</v>
      </c>
      <c r="BU200" t="s">
        <v>2518</v>
      </c>
      <c r="BV200" t="s">
        <v>2518</v>
      </c>
      <c r="BW200"/>
      <c r="BX200" t="s">
        <v>6</v>
      </c>
      <c r="BY200" t="s">
        <v>2605</v>
      </c>
      <c r="BZ200" t="s">
        <v>2518</v>
      </c>
      <c r="CA200"/>
      <c r="CB200" t="s">
        <v>5</v>
      </c>
      <c r="CC200">
        <v>156080.71091351419</v>
      </c>
      <c r="CD200">
        <v>885103503.67053807</v>
      </c>
      <c r="CE200" s="313" t="s">
        <v>11891</v>
      </c>
    </row>
    <row r="201" spans="1:83" ht="15" x14ac:dyDescent="0.25">
      <c r="A201" t="s">
        <v>2746</v>
      </c>
      <c r="B201" t="s">
        <v>2747</v>
      </c>
      <c r="C201" t="s">
        <v>2748</v>
      </c>
      <c r="D201">
        <v>5</v>
      </c>
      <c r="E201" t="s">
        <v>2598</v>
      </c>
      <c r="F201" t="s">
        <v>1771</v>
      </c>
      <c r="G201" t="s">
        <v>2614</v>
      </c>
      <c r="H201" t="s">
        <v>2665</v>
      </c>
      <c r="I201" t="s">
        <v>2666</v>
      </c>
      <c r="J201" t="s">
        <v>2667</v>
      </c>
      <c r="K201" t="s">
        <v>2620</v>
      </c>
      <c r="L201">
        <v>341.74038696289063</v>
      </c>
      <c r="M201" t="s">
        <v>6</v>
      </c>
      <c r="N201" t="s">
        <v>5</v>
      </c>
      <c r="O201" t="s">
        <v>6</v>
      </c>
      <c r="P201" t="s">
        <v>5</v>
      </c>
      <c r="Q201" t="s">
        <v>5</v>
      </c>
      <c r="R201" t="s">
        <v>2668</v>
      </c>
      <c r="S201" t="s">
        <v>2668</v>
      </c>
      <c r="T201" t="s">
        <v>6</v>
      </c>
      <c r="U201" t="s">
        <v>85</v>
      </c>
      <c r="V201">
        <v>2000000</v>
      </c>
      <c r="W201">
        <v>200000</v>
      </c>
      <c r="X201" t="s">
        <v>6</v>
      </c>
      <c r="Y201"/>
      <c r="Z201"/>
      <c r="AA201">
        <v>73.890914916992188</v>
      </c>
      <c r="AB201">
        <v>5.1078891754150391</v>
      </c>
      <c r="AC201">
        <v>2.3389770984649658</v>
      </c>
      <c r="AD201">
        <v>32</v>
      </c>
      <c r="AE201">
        <v>9</v>
      </c>
      <c r="AF201">
        <v>15</v>
      </c>
      <c r="AG201">
        <v>7</v>
      </c>
      <c r="AH201">
        <v>15</v>
      </c>
      <c r="AI201">
        <v>15</v>
      </c>
      <c r="AJ201">
        <v>0</v>
      </c>
      <c r="AK201">
        <v>1</v>
      </c>
      <c r="AL201">
        <v>22</v>
      </c>
      <c r="AM201">
        <v>1</v>
      </c>
      <c r="AN201">
        <v>68.388084411621094</v>
      </c>
      <c r="AO201"/>
      <c r="AP201"/>
      <c r="AQ201"/>
      <c r="AR201">
        <v>0</v>
      </c>
      <c r="AS201">
        <v>0</v>
      </c>
      <c r="AT201">
        <v>0</v>
      </c>
      <c r="AU201">
        <v>0</v>
      </c>
      <c r="AV201">
        <v>0</v>
      </c>
      <c r="AW201">
        <v>0</v>
      </c>
      <c r="AX201">
        <v>0</v>
      </c>
      <c r="AY201">
        <v>0</v>
      </c>
      <c r="AZ201">
        <v>0</v>
      </c>
      <c r="BA201">
        <v>0</v>
      </c>
      <c r="BB201"/>
      <c r="BC201"/>
      <c r="BD201"/>
      <c r="BE201">
        <v>0</v>
      </c>
      <c r="BF201" t="s">
        <v>2516</v>
      </c>
      <c r="BG201" t="s">
        <v>5</v>
      </c>
      <c r="BH201" t="s">
        <v>1020</v>
      </c>
      <c r="BI201"/>
      <c r="BJ201" t="s">
        <v>5</v>
      </c>
      <c r="BK201"/>
      <c r="BL201">
        <v>0</v>
      </c>
      <c r="BM201"/>
      <c r="BN201" t="s">
        <v>6</v>
      </c>
      <c r="BO201" t="s">
        <v>2518</v>
      </c>
      <c r="BP201" t="s">
        <v>2518</v>
      </c>
      <c r="BQ201" t="s">
        <v>2518</v>
      </c>
      <c r="BR201"/>
      <c r="BS201" t="s">
        <v>6</v>
      </c>
      <c r="BT201" t="s">
        <v>2518</v>
      </c>
      <c r="BU201" t="s">
        <v>2518</v>
      </c>
      <c r="BV201" t="s">
        <v>2518</v>
      </c>
      <c r="BW201"/>
      <c r="BX201" t="s">
        <v>6</v>
      </c>
      <c r="BY201" t="s">
        <v>2605</v>
      </c>
      <c r="BZ201" t="s">
        <v>2518</v>
      </c>
      <c r="CA201"/>
      <c r="CB201" t="s">
        <v>5</v>
      </c>
      <c r="CC201">
        <v>156080.71091351419</v>
      </c>
      <c r="CD201">
        <v>885103503.67053807</v>
      </c>
      <c r="CE201" s="313" t="s">
        <v>11891</v>
      </c>
    </row>
    <row r="202" spans="1:83" ht="15" x14ac:dyDescent="0.25">
      <c r="A202" t="s">
        <v>2752</v>
      </c>
      <c r="B202" t="s">
        <v>2753</v>
      </c>
      <c r="C202" t="s">
        <v>2754</v>
      </c>
      <c r="D202">
        <v>5</v>
      </c>
      <c r="E202" t="s">
        <v>2598</v>
      </c>
      <c r="F202" t="s">
        <v>2138</v>
      </c>
      <c r="G202" t="s">
        <v>2571</v>
      </c>
      <c r="H202" t="s">
        <v>2631</v>
      </c>
      <c r="I202" t="s">
        <v>2632</v>
      </c>
      <c r="J202" t="s">
        <v>2633</v>
      </c>
      <c r="K202" t="s">
        <v>2620</v>
      </c>
      <c r="L202">
        <v>244.0077819824219</v>
      </c>
      <c r="M202" t="s">
        <v>6</v>
      </c>
      <c r="N202" t="s">
        <v>5</v>
      </c>
      <c r="O202" t="s">
        <v>6</v>
      </c>
      <c r="P202" t="s">
        <v>5</v>
      </c>
      <c r="Q202" t="s">
        <v>6</v>
      </c>
      <c r="R202" t="s">
        <v>2494</v>
      </c>
      <c r="S202" t="s">
        <v>2494</v>
      </c>
      <c r="T202" t="s">
        <v>6</v>
      </c>
      <c r="U202" t="s">
        <v>85</v>
      </c>
      <c r="V202">
        <v>2000000</v>
      </c>
      <c r="W202">
        <v>200000</v>
      </c>
      <c r="X202" t="s">
        <v>6</v>
      </c>
      <c r="Y202"/>
      <c r="Z202"/>
      <c r="AA202">
        <v>29.912782669067379</v>
      </c>
      <c r="AB202">
        <v>2.0945956707000728</v>
      </c>
      <c r="AC202">
        <v>2.7268669605255131</v>
      </c>
      <c r="AD202">
        <v>217</v>
      </c>
      <c r="AE202">
        <v>47</v>
      </c>
      <c r="AF202">
        <v>144</v>
      </c>
      <c r="AG202">
        <v>85</v>
      </c>
      <c r="AH202">
        <v>202</v>
      </c>
      <c r="AI202">
        <v>233</v>
      </c>
      <c r="AJ202">
        <v>0</v>
      </c>
      <c r="AK202">
        <v>0</v>
      </c>
      <c r="AL202">
        <v>13</v>
      </c>
      <c r="AM202">
        <v>0</v>
      </c>
      <c r="AN202">
        <v>231.7996826171875</v>
      </c>
      <c r="AO202"/>
      <c r="AP202"/>
      <c r="AQ202"/>
      <c r="AR202">
        <v>0</v>
      </c>
      <c r="AS202">
        <v>0</v>
      </c>
      <c r="AT202">
        <v>0</v>
      </c>
      <c r="AU202">
        <v>0</v>
      </c>
      <c r="AV202">
        <v>0</v>
      </c>
      <c r="AW202">
        <v>0</v>
      </c>
      <c r="AX202">
        <v>0</v>
      </c>
      <c r="AY202">
        <v>0</v>
      </c>
      <c r="AZ202">
        <v>0</v>
      </c>
      <c r="BA202">
        <v>0</v>
      </c>
      <c r="BB202"/>
      <c r="BC202"/>
      <c r="BD202"/>
      <c r="BE202">
        <v>0</v>
      </c>
      <c r="BF202" t="s">
        <v>2516</v>
      </c>
      <c r="BG202" t="s">
        <v>5</v>
      </c>
      <c r="BH202" t="s">
        <v>1020</v>
      </c>
      <c r="BI202"/>
      <c r="BJ202" t="s">
        <v>5</v>
      </c>
      <c r="BK202"/>
      <c r="BL202">
        <v>0</v>
      </c>
      <c r="BM202"/>
      <c r="BN202" t="s">
        <v>6</v>
      </c>
      <c r="BO202" t="s">
        <v>2518</v>
      </c>
      <c r="BP202" t="s">
        <v>2518</v>
      </c>
      <c r="BQ202" t="s">
        <v>2518</v>
      </c>
      <c r="BR202"/>
      <c r="BS202" t="s">
        <v>6</v>
      </c>
      <c r="BT202" t="s">
        <v>2518</v>
      </c>
      <c r="BU202" t="s">
        <v>2518</v>
      </c>
      <c r="BV202" t="s">
        <v>2518</v>
      </c>
      <c r="BW202"/>
      <c r="BX202" t="s">
        <v>6</v>
      </c>
      <c r="BY202" t="s">
        <v>2605</v>
      </c>
      <c r="BZ202" t="s">
        <v>2518</v>
      </c>
      <c r="CA202"/>
      <c r="CB202" t="s">
        <v>5</v>
      </c>
      <c r="CC202">
        <v>144729.1007365452</v>
      </c>
      <c r="CD202">
        <v>631977240.83358073</v>
      </c>
      <c r="CE202" s="313" t="s">
        <v>11891</v>
      </c>
    </row>
    <row r="203" spans="1:83" ht="15" x14ac:dyDescent="0.25">
      <c r="A203" t="s">
        <v>2755</v>
      </c>
      <c r="B203" t="s">
        <v>2756</v>
      </c>
      <c r="C203" t="s">
        <v>2757</v>
      </c>
      <c r="D203">
        <v>5</v>
      </c>
      <c r="E203" t="s">
        <v>2598</v>
      </c>
      <c r="F203" t="s">
        <v>2138</v>
      </c>
      <c r="G203" t="s">
        <v>2571</v>
      </c>
      <c r="H203" t="s">
        <v>2631</v>
      </c>
      <c r="I203" t="s">
        <v>2632</v>
      </c>
      <c r="J203" t="s">
        <v>2633</v>
      </c>
      <c r="K203" t="s">
        <v>2731</v>
      </c>
      <c r="L203">
        <v>244.0077819824219</v>
      </c>
      <c r="M203" t="s">
        <v>6</v>
      </c>
      <c r="N203" t="s">
        <v>5</v>
      </c>
      <c r="O203" t="s">
        <v>6</v>
      </c>
      <c r="P203" t="s">
        <v>5</v>
      </c>
      <c r="Q203" t="s">
        <v>6</v>
      </c>
      <c r="R203" t="s">
        <v>2494</v>
      </c>
      <c r="S203" t="s">
        <v>2494</v>
      </c>
      <c r="T203" t="s">
        <v>6</v>
      </c>
      <c r="U203" t="s">
        <v>85</v>
      </c>
      <c r="V203">
        <v>2000000</v>
      </c>
      <c r="W203">
        <v>200000</v>
      </c>
      <c r="X203" t="s">
        <v>6</v>
      </c>
      <c r="Y203"/>
      <c r="Z203"/>
      <c r="AA203">
        <v>29.912782669067379</v>
      </c>
      <c r="AB203">
        <v>2.0945956707000728</v>
      </c>
      <c r="AC203">
        <v>2.7268669605255131</v>
      </c>
      <c r="AD203">
        <v>217</v>
      </c>
      <c r="AE203">
        <v>47</v>
      </c>
      <c r="AF203">
        <v>144</v>
      </c>
      <c r="AG203">
        <v>85</v>
      </c>
      <c r="AH203">
        <v>202</v>
      </c>
      <c r="AI203">
        <v>233</v>
      </c>
      <c r="AJ203">
        <v>0</v>
      </c>
      <c r="AK203">
        <v>0</v>
      </c>
      <c r="AL203">
        <v>13</v>
      </c>
      <c r="AM203">
        <v>0</v>
      </c>
      <c r="AN203">
        <v>231.7996826171875</v>
      </c>
      <c r="AO203"/>
      <c r="AP203"/>
      <c r="AQ203"/>
      <c r="AR203">
        <v>0</v>
      </c>
      <c r="AS203">
        <v>0</v>
      </c>
      <c r="AT203">
        <v>0</v>
      </c>
      <c r="AU203">
        <v>0</v>
      </c>
      <c r="AV203">
        <v>0</v>
      </c>
      <c r="AW203">
        <v>0</v>
      </c>
      <c r="AX203">
        <v>0</v>
      </c>
      <c r="AY203">
        <v>0</v>
      </c>
      <c r="AZ203">
        <v>0</v>
      </c>
      <c r="BA203">
        <v>0</v>
      </c>
      <c r="BB203"/>
      <c r="BC203"/>
      <c r="BD203"/>
      <c r="BE203">
        <v>0</v>
      </c>
      <c r="BF203" t="s">
        <v>2516</v>
      </c>
      <c r="BG203" t="s">
        <v>5</v>
      </c>
      <c r="BH203" t="s">
        <v>1020</v>
      </c>
      <c r="BI203"/>
      <c r="BJ203" t="s">
        <v>5</v>
      </c>
      <c r="BK203"/>
      <c r="BL203">
        <v>0</v>
      </c>
      <c r="BM203"/>
      <c r="BN203" t="s">
        <v>6</v>
      </c>
      <c r="BO203" t="s">
        <v>2518</v>
      </c>
      <c r="BP203" t="s">
        <v>2518</v>
      </c>
      <c r="BQ203" t="s">
        <v>2518</v>
      </c>
      <c r="BR203"/>
      <c r="BS203" t="s">
        <v>6</v>
      </c>
      <c r="BT203" t="s">
        <v>2518</v>
      </c>
      <c r="BU203" t="s">
        <v>2518</v>
      </c>
      <c r="BV203" t="s">
        <v>2518</v>
      </c>
      <c r="BW203"/>
      <c r="BX203" t="s">
        <v>6</v>
      </c>
      <c r="BY203" t="s">
        <v>2605</v>
      </c>
      <c r="BZ203" t="s">
        <v>2518</v>
      </c>
      <c r="CA203"/>
      <c r="CB203" t="s">
        <v>5</v>
      </c>
      <c r="CC203">
        <v>144729.1007365452</v>
      </c>
      <c r="CD203">
        <v>631977240.83358073</v>
      </c>
      <c r="CE203" s="313" t="s">
        <v>11891</v>
      </c>
    </row>
    <row r="204" spans="1:83" ht="15" x14ac:dyDescent="0.25">
      <c r="A204" t="s">
        <v>2775</v>
      </c>
      <c r="B204" t="s">
        <v>2776</v>
      </c>
      <c r="C204" t="s">
        <v>2777</v>
      </c>
      <c r="D204">
        <v>5</v>
      </c>
      <c r="E204" t="s">
        <v>2598</v>
      </c>
      <c r="F204" t="s">
        <v>2690</v>
      </c>
      <c r="G204" t="s">
        <v>2691</v>
      </c>
      <c r="H204" t="s">
        <v>2692</v>
      </c>
      <c r="I204"/>
      <c r="J204" t="s">
        <v>2693</v>
      </c>
      <c r="K204" t="s">
        <v>2607</v>
      </c>
      <c r="L204">
        <v>533.49688720703125</v>
      </c>
      <c r="M204" t="s">
        <v>6</v>
      </c>
      <c r="N204" t="s">
        <v>5</v>
      </c>
      <c r="O204" t="s">
        <v>6</v>
      </c>
      <c r="P204" t="s">
        <v>5</v>
      </c>
      <c r="Q204" t="s">
        <v>5</v>
      </c>
      <c r="R204" t="s">
        <v>2694</v>
      </c>
      <c r="S204" t="s">
        <v>2695</v>
      </c>
      <c r="T204" t="s">
        <v>6</v>
      </c>
      <c r="U204" t="s">
        <v>85</v>
      </c>
      <c r="V204">
        <v>1500000</v>
      </c>
      <c r="W204">
        <v>200000</v>
      </c>
      <c r="X204" t="s">
        <v>6</v>
      </c>
      <c r="Y204"/>
      <c r="Z204"/>
      <c r="AA204">
        <v>122.7117156982422</v>
      </c>
      <c r="AB204">
        <v>4.3492550849914551</v>
      </c>
      <c r="AC204">
        <v>4.5395288467407227</v>
      </c>
      <c r="AD204">
        <v>64</v>
      </c>
      <c r="AE204">
        <v>19</v>
      </c>
      <c r="AF204">
        <v>28</v>
      </c>
      <c r="AG204">
        <v>110</v>
      </c>
      <c r="AH204">
        <v>105</v>
      </c>
      <c r="AI204">
        <v>146</v>
      </c>
      <c r="AJ204">
        <v>0</v>
      </c>
      <c r="AK204">
        <v>2</v>
      </c>
      <c r="AL204">
        <v>13</v>
      </c>
      <c r="AM204">
        <v>2</v>
      </c>
      <c r="AN204">
        <v>41.607803344726563</v>
      </c>
      <c r="AO204"/>
      <c r="AP204"/>
      <c r="AQ204"/>
      <c r="AR204">
        <v>0</v>
      </c>
      <c r="AS204">
        <v>0</v>
      </c>
      <c r="AT204">
        <v>0</v>
      </c>
      <c r="AU204">
        <v>0</v>
      </c>
      <c r="AV204">
        <v>0</v>
      </c>
      <c r="AW204">
        <v>0</v>
      </c>
      <c r="AX204">
        <v>0</v>
      </c>
      <c r="AY204">
        <v>0</v>
      </c>
      <c r="AZ204">
        <v>0</v>
      </c>
      <c r="BA204">
        <v>0</v>
      </c>
      <c r="BB204"/>
      <c r="BC204"/>
      <c r="BD204"/>
      <c r="BE204">
        <v>0</v>
      </c>
      <c r="BF204" t="s">
        <v>2516</v>
      </c>
      <c r="BG204" t="s">
        <v>5</v>
      </c>
      <c r="BH204" t="s">
        <v>1020</v>
      </c>
      <c r="BI204"/>
      <c r="BJ204" t="s">
        <v>5</v>
      </c>
      <c r="BK204"/>
      <c r="BL204">
        <v>0</v>
      </c>
      <c r="BM204"/>
      <c r="BN204" t="s">
        <v>5</v>
      </c>
      <c r="BO204" t="s">
        <v>2518</v>
      </c>
      <c r="BP204" t="s">
        <v>2518</v>
      </c>
      <c r="BQ204" t="s">
        <v>2518</v>
      </c>
      <c r="BR204"/>
      <c r="BS204" t="s">
        <v>6</v>
      </c>
      <c r="BT204" t="s">
        <v>2518</v>
      </c>
      <c r="BU204" t="s">
        <v>2518</v>
      </c>
      <c r="BV204" t="s">
        <v>2518</v>
      </c>
      <c r="BW204"/>
      <c r="BX204" t="s">
        <v>6</v>
      </c>
      <c r="BY204" t="s">
        <v>2605</v>
      </c>
      <c r="BZ204" t="s">
        <v>2518</v>
      </c>
      <c r="CA204"/>
      <c r="CB204" t="s">
        <v>5</v>
      </c>
      <c r="CC204">
        <v>265851.37858495401</v>
      </c>
      <c r="CD204">
        <v>1381750542.167592</v>
      </c>
      <c r="CE204" s="313" t="s">
        <v>11891</v>
      </c>
    </row>
    <row r="205" spans="1:83" ht="15" x14ac:dyDescent="0.25">
      <c r="A205" t="s">
        <v>2778</v>
      </c>
      <c r="B205" t="s">
        <v>2779</v>
      </c>
      <c r="C205" t="s">
        <v>2754</v>
      </c>
      <c r="D205">
        <v>5</v>
      </c>
      <c r="E205" t="s">
        <v>2598</v>
      </c>
      <c r="F205" t="s">
        <v>2690</v>
      </c>
      <c r="G205" t="s">
        <v>2691</v>
      </c>
      <c r="H205" t="s">
        <v>2692</v>
      </c>
      <c r="I205"/>
      <c r="J205" t="s">
        <v>2693</v>
      </c>
      <c r="K205" t="s">
        <v>2620</v>
      </c>
      <c r="L205">
        <v>533.49688720703125</v>
      </c>
      <c r="M205" t="s">
        <v>6</v>
      </c>
      <c r="N205" t="s">
        <v>5</v>
      </c>
      <c r="O205" t="s">
        <v>6</v>
      </c>
      <c r="P205" t="s">
        <v>5</v>
      </c>
      <c r="Q205" t="s">
        <v>5</v>
      </c>
      <c r="R205" t="s">
        <v>2694</v>
      </c>
      <c r="S205" t="s">
        <v>2694</v>
      </c>
      <c r="T205" t="s">
        <v>6</v>
      </c>
      <c r="U205" t="s">
        <v>85</v>
      </c>
      <c r="V205">
        <v>2000000</v>
      </c>
      <c r="W205">
        <v>200000</v>
      </c>
      <c r="X205" t="s">
        <v>6</v>
      </c>
      <c r="Y205"/>
      <c r="Z205"/>
      <c r="AA205">
        <v>122.7117156982422</v>
      </c>
      <c r="AB205">
        <v>4.3492550849914551</v>
      </c>
      <c r="AC205">
        <v>4.5395288467407227</v>
      </c>
      <c r="AD205">
        <v>64</v>
      </c>
      <c r="AE205">
        <v>19</v>
      </c>
      <c r="AF205">
        <v>28</v>
      </c>
      <c r="AG205">
        <v>110</v>
      </c>
      <c r="AH205">
        <v>105</v>
      </c>
      <c r="AI205">
        <v>146</v>
      </c>
      <c r="AJ205">
        <v>0</v>
      </c>
      <c r="AK205">
        <v>2</v>
      </c>
      <c r="AL205">
        <v>13</v>
      </c>
      <c r="AM205">
        <v>2</v>
      </c>
      <c r="AN205">
        <v>41.607803344726563</v>
      </c>
      <c r="AO205"/>
      <c r="AP205"/>
      <c r="AQ205"/>
      <c r="AR205">
        <v>0</v>
      </c>
      <c r="AS205">
        <v>0</v>
      </c>
      <c r="AT205">
        <v>0</v>
      </c>
      <c r="AU205">
        <v>0</v>
      </c>
      <c r="AV205">
        <v>0</v>
      </c>
      <c r="AW205">
        <v>0</v>
      </c>
      <c r="AX205">
        <v>0</v>
      </c>
      <c r="AY205">
        <v>0</v>
      </c>
      <c r="AZ205">
        <v>0</v>
      </c>
      <c r="BA205">
        <v>0</v>
      </c>
      <c r="BB205"/>
      <c r="BC205"/>
      <c r="BD205"/>
      <c r="BE205">
        <v>0</v>
      </c>
      <c r="BF205" t="s">
        <v>2516</v>
      </c>
      <c r="BG205" t="s">
        <v>5</v>
      </c>
      <c r="BH205" t="s">
        <v>1020</v>
      </c>
      <c r="BI205"/>
      <c r="BJ205" t="s">
        <v>5</v>
      </c>
      <c r="BK205"/>
      <c r="BL205">
        <v>0</v>
      </c>
      <c r="BM205"/>
      <c r="BN205" t="s">
        <v>6</v>
      </c>
      <c r="BO205" t="s">
        <v>2518</v>
      </c>
      <c r="BP205" t="s">
        <v>2518</v>
      </c>
      <c r="BQ205" t="s">
        <v>2518</v>
      </c>
      <c r="BR205"/>
      <c r="BS205" t="s">
        <v>6</v>
      </c>
      <c r="BT205" t="s">
        <v>2518</v>
      </c>
      <c r="BU205" t="s">
        <v>2518</v>
      </c>
      <c r="BV205" t="s">
        <v>2518</v>
      </c>
      <c r="BW205"/>
      <c r="BX205" t="s">
        <v>6</v>
      </c>
      <c r="BY205" t="s">
        <v>2605</v>
      </c>
      <c r="BZ205" t="s">
        <v>2518</v>
      </c>
      <c r="CA205"/>
      <c r="CB205" t="s">
        <v>5</v>
      </c>
      <c r="CC205">
        <v>265851.37858495401</v>
      </c>
      <c r="CD205">
        <v>1381750542.167592</v>
      </c>
      <c r="CE205" s="313" t="s">
        <v>11891</v>
      </c>
    </row>
    <row r="206" spans="1:83" ht="15" x14ac:dyDescent="0.25">
      <c r="A206" t="s">
        <v>2780</v>
      </c>
      <c r="B206" t="s">
        <v>2781</v>
      </c>
      <c r="C206" t="s">
        <v>2782</v>
      </c>
      <c r="D206">
        <v>5</v>
      </c>
      <c r="E206" t="s">
        <v>2598</v>
      </c>
      <c r="F206" t="s">
        <v>2690</v>
      </c>
      <c r="G206" t="s">
        <v>2691</v>
      </c>
      <c r="H206" t="s">
        <v>2692</v>
      </c>
      <c r="I206"/>
      <c r="J206" t="s">
        <v>2693</v>
      </c>
      <c r="K206" t="s">
        <v>2672</v>
      </c>
      <c r="L206">
        <v>533.49688720703125</v>
      </c>
      <c r="M206" t="s">
        <v>6</v>
      </c>
      <c r="N206" t="s">
        <v>5</v>
      </c>
      <c r="O206" t="s">
        <v>6</v>
      </c>
      <c r="P206" t="s">
        <v>5</v>
      </c>
      <c r="Q206" t="s">
        <v>5</v>
      </c>
      <c r="R206" t="s">
        <v>2694</v>
      </c>
      <c r="S206" t="s">
        <v>2695</v>
      </c>
      <c r="T206" t="s">
        <v>6</v>
      </c>
      <c r="U206" t="s">
        <v>85</v>
      </c>
      <c r="V206">
        <v>2000000</v>
      </c>
      <c r="W206">
        <v>200000</v>
      </c>
      <c r="X206" t="s">
        <v>6</v>
      </c>
      <c r="Y206"/>
      <c r="Z206"/>
      <c r="AA206">
        <v>122.7117156982422</v>
      </c>
      <c r="AB206">
        <v>4.3492550849914551</v>
      </c>
      <c r="AC206">
        <v>4.5395288467407227</v>
      </c>
      <c r="AD206">
        <v>64</v>
      </c>
      <c r="AE206">
        <v>19</v>
      </c>
      <c r="AF206">
        <v>28</v>
      </c>
      <c r="AG206">
        <v>110</v>
      </c>
      <c r="AH206">
        <v>105</v>
      </c>
      <c r="AI206">
        <v>146</v>
      </c>
      <c r="AJ206">
        <v>0</v>
      </c>
      <c r="AK206">
        <v>2</v>
      </c>
      <c r="AL206">
        <v>13</v>
      </c>
      <c r="AM206">
        <v>2</v>
      </c>
      <c r="AN206">
        <v>41.607803344726563</v>
      </c>
      <c r="AO206"/>
      <c r="AP206"/>
      <c r="AQ206"/>
      <c r="AR206">
        <v>0</v>
      </c>
      <c r="AS206">
        <v>0</v>
      </c>
      <c r="AT206">
        <v>0</v>
      </c>
      <c r="AU206">
        <v>0</v>
      </c>
      <c r="AV206">
        <v>0</v>
      </c>
      <c r="AW206">
        <v>0</v>
      </c>
      <c r="AX206">
        <v>0</v>
      </c>
      <c r="AY206">
        <v>0</v>
      </c>
      <c r="AZ206">
        <v>0</v>
      </c>
      <c r="BA206">
        <v>0</v>
      </c>
      <c r="BB206"/>
      <c r="BC206"/>
      <c r="BD206"/>
      <c r="BE206">
        <v>0</v>
      </c>
      <c r="BF206" t="s">
        <v>2516</v>
      </c>
      <c r="BG206" t="s">
        <v>5</v>
      </c>
      <c r="BH206" t="s">
        <v>1020</v>
      </c>
      <c r="BI206"/>
      <c r="BJ206" t="s">
        <v>5</v>
      </c>
      <c r="BK206"/>
      <c r="BL206">
        <v>0</v>
      </c>
      <c r="BM206"/>
      <c r="BN206" t="s">
        <v>6</v>
      </c>
      <c r="BO206" t="s">
        <v>2518</v>
      </c>
      <c r="BP206" t="s">
        <v>2518</v>
      </c>
      <c r="BQ206" t="s">
        <v>2518</v>
      </c>
      <c r="BR206"/>
      <c r="BS206" t="s">
        <v>6</v>
      </c>
      <c r="BT206" t="s">
        <v>2518</v>
      </c>
      <c r="BU206" t="s">
        <v>2518</v>
      </c>
      <c r="BV206" t="s">
        <v>2518</v>
      </c>
      <c r="BW206"/>
      <c r="BX206" t="s">
        <v>6</v>
      </c>
      <c r="BY206" t="s">
        <v>2605</v>
      </c>
      <c r="BZ206" t="s">
        <v>2518</v>
      </c>
      <c r="CA206"/>
      <c r="CB206" t="s">
        <v>5</v>
      </c>
      <c r="CC206">
        <v>265851.37858495401</v>
      </c>
      <c r="CD206">
        <v>1381750542.167592</v>
      </c>
      <c r="CE206" s="313" t="s">
        <v>11891</v>
      </c>
    </row>
    <row r="207" spans="1:83" ht="15" x14ac:dyDescent="0.25">
      <c r="A207" t="s">
        <v>2786</v>
      </c>
      <c r="B207" t="s">
        <v>2787</v>
      </c>
      <c r="C207" t="s">
        <v>2754</v>
      </c>
      <c r="D207">
        <v>5</v>
      </c>
      <c r="E207" t="s">
        <v>2598</v>
      </c>
      <c r="F207" t="s">
        <v>2702</v>
      </c>
      <c r="G207" t="s">
        <v>2691</v>
      </c>
      <c r="H207" t="s">
        <v>2703</v>
      </c>
      <c r="I207" t="s">
        <v>2704</v>
      </c>
      <c r="J207" t="s">
        <v>2705</v>
      </c>
      <c r="K207" t="s">
        <v>2620</v>
      </c>
      <c r="L207">
        <v>159.87260437011719</v>
      </c>
      <c r="M207" t="s">
        <v>6</v>
      </c>
      <c r="N207" t="s">
        <v>5</v>
      </c>
      <c r="O207" t="s">
        <v>6</v>
      </c>
      <c r="P207" t="s">
        <v>5</v>
      </c>
      <c r="Q207" t="s">
        <v>5</v>
      </c>
      <c r="R207" t="s">
        <v>2706</v>
      </c>
      <c r="S207" t="s">
        <v>2706</v>
      </c>
      <c r="T207" t="s">
        <v>6</v>
      </c>
      <c r="U207" t="s">
        <v>85</v>
      </c>
      <c r="V207">
        <v>2000000</v>
      </c>
      <c r="W207">
        <v>200000</v>
      </c>
      <c r="X207" t="s">
        <v>6</v>
      </c>
      <c r="Y207"/>
      <c r="Z207"/>
      <c r="AA207">
        <v>21.602313995361332</v>
      </c>
      <c r="AB207">
        <v>1.0663367509841919</v>
      </c>
      <c r="AC207">
        <v>1.222298741340637</v>
      </c>
      <c r="AD207">
        <v>15</v>
      </c>
      <c r="AE207">
        <v>14</v>
      </c>
      <c r="AF207">
        <v>0</v>
      </c>
      <c r="AG207">
        <v>3</v>
      </c>
      <c r="AH207">
        <v>7</v>
      </c>
      <c r="AI207">
        <v>8</v>
      </c>
      <c r="AJ207">
        <v>0</v>
      </c>
      <c r="AK207">
        <v>4</v>
      </c>
      <c r="AL207">
        <v>5</v>
      </c>
      <c r="AM207">
        <v>4</v>
      </c>
      <c r="AN207">
        <v>56.068603515625</v>
      </c>
      <c r="AO207"/>
      <c r="AP207"/>
      <c r="AQ207"/>
      <c r="AR207">
        <v>0</v>
      </c>
      <c r="AS207">
        <v>0</v>
      </c>
      <c r="AT207">
        <v>0</v>
      </c>
      <c r="AU207">
        <v>0</v>
      </c>
      <c r="AV207">
        <v>0</v>
      </c>
      <c r="AW207">
        <v>0</v>
      </c>
      <c r="AX207">
        <v>0</v>
      </c>
      <c r="AY207">
        <v>0</v>
      </c>
      <c r="AZ207">
        <v>0</v>
      </c>
      <c r="BA207">
        <v>0</v>
      </c>
      <c r="BB207"/>
      <c r="BC207"/>
      <c r="BD207"/>
      <c r="BE207">
        <v>0</v>
      </c>
      <c r="BF207" t="s">
        <v>2516</v>
      </c>
      <c r="BG207" t="s">
        <v>5</v>
      </c>
      <c r="BH207" t="s">
        <v>1020</v>
      </c>
      <c r="BI207"/>
      <c r="BJ207" t="s">
        <v>5</v>
      </c>
      <c r="BK207"/>
      <c r="BL207">
        <v>0</v>
      </c>
      <c r="BM207"/>
      <c r="BN207" t="s">
        <v>6</v>
      </c>
      <c r="BO207" t="s">
        <v>2518</v>
      </c>
      <c r="BP207" t="s">
        <v>2518</v>
      </c>
      <c r="BQ207" t="s">
        <v>2518</v>
      </c>
      <c r="BR207"/>
      <c r="BS207" t="s">
        <v>6</v>
      </c>
      <c r="BT207" t="s">
        <v>2518</v>
      </c>
      <c r="BU207" t="s">
        <v>2518</v>
      </c>
      <c r="BV207" t="s">
        <v>2518</v>
      </c>
      <c r="BW207"/>
      <c r="BX207" t="s">
        <v>6</v>
      </c>
      <c r="BY207" t="s">
        <v>2605</v>
      </c>
      <c r="BZ207" t="s">
        <v>2518</v>
      </c>
      <c r="CA207"/>
      <c r="CB207" t="s">
        <v>5</v>
      </c>
      <c r="CC207">
        <v>172484.12849168849</v>
      </c>
      <c r="CD207">
        <v>414068156.42226398</v>
      </c>
      <c r="CE207" s="313" t="s">
        <v>11891</v>
      </c>
    </row>
    <row r="208" spans="1:83" ht="15" x14ac:dyDescent="0.25">
      <c r="A208" t="s">
        <v>2788</v>
      </c>
      <c r="B208" t="s">
        <v>2789</v>
      </c>
      <c r="C208" t="s">
        <v>2790</v>
      </c>
      <c r="D208">
        <v>5</v>
      </c>
      <c r="E208" t="s">
        <v>2598</v>
      </c>
      <c r="F208" t="s">
        <v>2702</v>
      </c>
      <c r="G208" t="s">
        <v>2691</v>
      </c>
      <c r="H208" t="s">
        <v>2703</v>
      </c>
      <c r="I208" t="s">
        <v>2704</v>
      </c>
      <c r="J208" t="s">
        <v>2705</v>
      </c>
      <c r="K208" t="s">
        <v>2607</v>
      </c>
      <c r="L208">
        <v>159.87260437011719</v>
      </c>
      <c r="M208" t="s">
        <v>6</v>
      </c>
      <c r="N208" t="s">
        <v>5</v>
      </c>
      <c r="O208" t="s">
        <v>6</v>
      </c>
      <c r="P208" t="s">
        <v>5</v>
      </c>
      <c r="Q208" t="s">
        <v>5</v>
      </c>
      <c r="R208" t="s">
        <v>2706</v>
      </c>
      <c r="S208" t="s">
        <v>2706</v>
      </c>
      <c r="T208" t="s">
        <v>6</v>
      </c>
      <c r="U208" t="s">
        <v>85</v>
      </c>
      <c r="V208">
        <v>2000000</v>
      </c>
      <c r="W208">
        <v>200000</v>
      </c>
      <c r="X208" t="s">
        <v>6</v>
      </c>
      <c r="Y208"/>
      <c r="Z208"/>
      <c r="AA208">
        <v>21.602313995361332</v>
      </c>
      <c r="AB208">
        <v>1.0663367509841919</v>
      </c>
      <c r="AC208">
        <v>1.222298741340637</v>
      </c>
      <c r="AD208">
        <v>15</v>
      </c>
      <c r="AE208">
        <v>14</v>
      </c>
      <c r="AF208">
        <v>0</v>
      </c>
      <c r="AG208">
        <v>3</v>
      </c>
      <c r="AH208">
        <v>7</v>
      </c>
      <c r="AI208">
        <v>8</v>
      </c>
      <c r="AJ208">
        <v>0</v>
      </c>
      <c r="AK208">
        <v>4</v>
      </c>
      <c r="AL208">
        <v>5</v>
      </c>
      <c r="AM208">
        <v>4</v>
      </c>
      <c r="AN208">
        <v>56.068603515625</v>
      </c>
      <c r="AO208"/>
      <c r="AP208"/>
      <c r="AQ208"/>
      <c r="AR208">
        <v>0</v>
      </c>
      <c r="AS208">
        <v>0</v>
      </c>
      <c r="AT208">
        <v>0</v>
      </c>
      <c r="AU208">
        <v>0</v>
      </c>
      <c r="AV208">
        <v>0</v>
      </c>
      <c r="AW208">
        <v>0</v>
      </c>
      <c r="AX208">
        <v>0</v>
      </c>
      <c r="AY208">
        <v>0</v>
      </c>
      <c r="AZ208">
        <v>0</v>
      </c>
      <c r="BA208">
        <v>0</v>
      </c>
      <c r="BB208"/>
      <c r="BC208"/>
      <c r="BD208"/>
      <c r="BE208">
        <v>0</v>
      </c>
      <c r="BF208" t="s">
        <v>2516</v>
      </c>
      <c r="BG208" t="s">
        <v>5</v>
      </c>
      <c r="BH208" t="s">
        <v>1020</v>
      </c>
      <c r="BI208"/>
      <c r="BJ208" t="s">
        <v>5</v>
      </c>
      <c r="BK208"/>
      <c r="BL208">
        <v>0</v>
      </c>
      <c r="BM208"/>
      <c r="BN208" t="s">
        <v>5</v>
      </c>
      <c r="BO208" t="s">
        <v>2518</v>
      </c>
      <c r="BP208" t="s">
        <v>2518</v>
      </c>
      <c r="BQ208" t="s">
        <v>2518</v>
      </c>
      <c r="BR208"/>
      <c r="BS208" t="s">
        <v>6</v>
      </c>
      <c r="BT208" t="s">
        <v>2518</v>
      </c>
      <c r="BU208" t="s">
        <v>2518</v>
      </c>
      <c r="BV208" t="s">
        <v>2518</v>
      </c>
      <c r="BW208"/>
      <c r="BX208" t="s">
        <v>6</v>
      </c>
      <c r="BY208" t="s">
        <v>2605</v>
      </c>
      <c r="BZ208" t="s">
        <v>2518</v>
      </c>
      <c r="CA208"/>
      <c r="CB208" t="s">
        <v>5</v>
      </c>
      <c r="CC208">
        <v>172484.12849168849</v>
      </c>
      <c r="CD208">
        <v>414068156.42226398</v>
      </c>
      <c r="CE208" s="313" t="s">
        <v>11891</v>
      </c>
    </row>
    <row r="209" spans="1:83" ht="15" x14ac:dyDescent="0.25">
      <c r="A209" t="s">
        <v>2791</v>
      </c>
      <c r="B209" t="s">
        <v>2792</v>
      </c>
      <c r="C209" t="s">
        <v>2793</v>
      </c>
      <c r="D209">
        <v>5</v>
      </c>
      <c r="E209" t="s">
        <v>2598</v>
      </c>
      <c r="F209" t="s">
        <v>2702</v>
      </c>
      <c r="G209" t="s">
        <v>2691</v>
      </c>
      <c r="H209" t="s">
        <v>2703</v>
      </c>
      <c r="I209" t="s">
        <v>2704</v>
      </c>
      <c r="J209" t="s">
        <v>2705</v>
      </c>
      <c r="K209" t="s">
        <v>2672</v>
      </c>
      <c r="L209">
        <v>159.87260437011719</v>
      </c>
      <c r="M209" t="s">
        <v>6</v>
      </c>
      <c r="N209" t="s">
        <v>5</v>
      </c>
      <c r="O209" t="s">
        <v>6</v>
      </c>
      <c r="P209" t="s">
        <v>5</v>
      </c>
      <c r="Q209" t="s">
        <v>5</v>
      </c>
      <c r="R209" t="s">
        <v>2706</v>
      </c>
      <c r="S209" t="s">
        <v>2706</v>
      </c>
      <c r="T209" t="s">
        <v>6</v>
      </c>
      <c r="U209" t="s">
        <v>85</v>
      </c>
      <c r="V209">
        <v>2000000</v>
      </c>
      <c r="W209">
        <v>200000</v>
      </c>
      <c r="X209" t="s">
        <v>6</v>
      </c>
      <c r="Y209"/>
      <c r="Z209"/>
      <c r="AA209">
        <v>21.602313995361332</v>
      </c>
      <c r="AB209">
        <v>1.0663367509841919</v>
      </c>
      <c r="AC209">
        <v>1.222298741340637</v>
      </c>
      <c r="AD209">
        <v>15</v>
      </c>
      <c r="AE209">
        <v>14</v>
      </c>
      <c r="AF209">
        <v>0</v>
      </c>
      <c r="AG209">
        <v>3</v>
      </c>
      <c r="AH209">
        <v>7</v>
      </c>
      <c r="AI209">
        <v>8</v>
      </c>
      <c r="AJ209">
        <v>0</v>
      </c>
      <c r="AK209">
        <v>4</v>
      </c>
      <c r="AL209">
        <v>5</v>
      </c>
      <c r="AM209">
        <v>4</v>
      </c>
      <c r="AN209">
        <v>56.068603515625</v>
      </c>
      <c r="AO209"/>
      <c r="AP209"/>
      <c r="AQ209"/>
      <c r="AR209">
        <v>0</v>
      </c>
      <c r="AS209">
        <v>0</v>
      </c>
      <c r="AT209">
        <v>0</v>
      </c>
      <c r="AU209">
        <v>0</v>
      </c>
      <c r="AV209">
        <v>0</v>
      </c>
      <c r="AW209">
        <v>0</v>
      </c>
      <c r="AX209">
        <v>0</v>
      </c>
      <c r="AY209">
        <v>0</v>
      </c>
      <c r="AZ209">
        <v>0</v>
      </c>
      <c r="BA209">
        <v>0</v>
      </c>
      <c r="BB209"/>
      <c r="BC209"/>
      <c r="BD209"/>
      <c r="BE209">
        <v>0</v>
      </c>
      <c r="BF209" t="s">
        <v>2516</v>
      </c>
      <c r="BG209" t="s">
        <v>5</v>
      </c>
      <c r="BH209" t="s">
        <v>1020</v>
      </c>
      <c r="BI209"/>
      <c r="BJ209" t="s">
        <v>5</v>
      </c>
      <c r="BK209"/>
      <c r="BL209">
        <v>0</v>
      </c>
      <c r="BM209"/>
      <c r="BN209" t="s">
        <v>6</v>
      </c>
      <c r="BO209" t="s">
        <v>2518</v>
      </c>
      <c r="BP209" t="s">
        <v>2518</v>
      </c>
      <c r="BQ209" t="s">
        <v>2518</v>
      </c>
      <c r="BR209"/>
      <c r="BS209" t="s">
        <v>6</v>
      </c>
      <c r="BT209" t="s">
        <v>2518</v>
      </c>
      <c r="BU209" t="s">
        <v>2518</v>
      </c>
      <c r="BV209" t="s">
        <v>2518</v>
      </c>
      <c r="BW209"/>
      <c r="BX209" t="s">
        <v>6</v>
      </c>
      <c r="BY209" t="s">
        <v>2605</v>
      </c>
      <c r="BZ209" t="s">
        <v>2518</v>
      </c>
      <c r="CA209"/>
      <c r="CB209" t="s">
        <v>5</v>
      </c>
      <c r="CC209">
        <v>172484.12849168849</v>
      </c>
      <c r="CD209">
        <v>414068156.42226398</v>
      </c>
      <c r="CE209" s="313" t="s">
        <v>11891</v>
      </c>
    </row>
    <row r="210" spans="1:83" ht="15" x14ac:dyDescent="0.25">
      <c r="A210" t="s">
        <v>2794</v>
      </c>
      <c r="B210" t="s">
        <v>2795</v>
      </c>
      <c r="C210" t="s">
        <v>2796</v>
      </c>
      <c r="D210">
        <v>5</v>
      </c>
      <c r="E210" t="s">
        <v>2598</v>
      </c>
      <c r="F210" t="s">
        <v>2702</v>
      </c>
      <c r="G210" t="s">
        <v>2691</v>
      </c>
      <c r="H210" t="s">
        <v>2703</v>
      </c>
      <c r="I210" t="s">
        <v>2704</v>
      </c>
      <c r="J210" t="s">
        <v>2705</v>
      </c>
      <c r="K210" t="s">
        <v>2797</v>
      </c>
      <c r="L210">
        <v>159.87260437011719</v>
      </c>
      <c r="M210" t="s">
        <v>6</v>
      </c>
      <c r="N210" t="s">
        <v>5</v>
      </c>
      <c r="O210" t="s">
        <v>6</v>
      </c>
      <c r="P210" t="s">
        <v>5</v>
      </c>
      <c r="Q210" t="s">
        <v>5</v>
      </c>
      <c r="R210" t="s">
        <v>2706</v>
      </c>
      <c r="S210" t="s">
        <v>2706</v>
      </c>
      <c r="T210" t="s">
        <v>6</v>
      </c>
      <c r="U210" t="s">
        <v>85</v>
      </c>
      <c r="V210">
        <v>3000000</v>
      </c>
      <c r="W210">
        <v>200000</v>
      </c>
      <c r="X210" t="s">
        <v>6</v>
      </c>
      <c r="Y210"/>
      <c r="Z210"/>
      <c r="AA210">
        <v>21.602313995361332</v>
      </c>
      <c r="AB210">
        <v>1.0663367509841919</v>
      </c>
      <c r="AC210">
        <v>1.222298741340637</v>
      </c>
      <c r="AD210">
        <v>15</v>
      </c>
      <c r="AE210">
        <v>14</v>
      </c>
      <c r="AF210">
        <v>0</v>
      </c>
      <c r="AG210">
        <v>3</v>
      </c>
      <c r="AH210">
        <v>7</v>
      </c>
      <c r="AI210">
        <v>8</v>
      </c>
      <c r="AJ210">
        <v>0</v>
      </c>
      <c r="AK210">
        <v>4</v>
      </c>
      <c r="AL210">
        <v>5</v>
      </c>
      <c r="AM210">
        <v>4</v>
      </c>
      <c r="AN210">
        <v>56.068603515625</v>
      </c>
      <c r="AO210"/>
      <c r="AP210"/>
      <c r="AQ210"/>
      <c r="AR210">
        <v>0</v>
      </c>
      <c r="AS210">
        <v>0</v>
      </c>
      <c r="AT210">
        <v>0</v>
      </c>
      <c r="AU210">
        <v>0</v>
      </c>
      <c r="AV210">
        <v>0</v>
      </c>
      <c r="AW210">
        <v>0</v>
      </c>
      <c r="AX210">
        <v>0</v>
      </c>
      <c r="AY210">
        <v>0</v>
      </c>
      <c r="AZ210">
        <v>0</v>
      </c>
      <c r="BA210">
        <v>0</v>
      </c>
      <c r="BB210"/>
      <c r="BC210"/>
      <c r="BD210"/>
      <c r="BE210">
        <v>0</v>
      </c>
      <c r="BF210" t="s">
        <v>2516</v>
      </c>
      <c r="BG210" t="s">
        <v>5</v>
      </c>
      <c r="BH210" t="s">
        <v>1020</v>
      </c>
      <c r="BI210"/>
      <c r="BJ210" t="s">
        <v>5</v>
      </c>
      <c r="BK210"/>
      <c r="BL210">
        <v>0</v>
      </c>
      <c r="BM210"/>
      <c r="BN210" t="s">
        <v>6</v>
      </c>
      <c r="BO210" t="s">
        <v>2518</v>
      </c>
      <c r="BP210" t="s">
        <v>2518</v>
      </c>
      <c r="BQ210" t="s">
        <v>2518</v>
      </c>
      <c r="BR210"/>
      <c r="BS210" t="s">
        <v>6</v>
      </c>
      <c r="BT210" t="s">
        <v>2518</v>
      </c>
      <c r="BU210" t="s">
        <v>2518</v>
      </c>
      <c r="BV210" t="s">
        <v>2518</v>
      </c>
      <c r="BW210"/>
      <c r="BX210" t="s">
        <v>6</v>
      </c>
      <c r="BY210" t="s">
        <v>2605</v>
      </c>
      <c r="BZ210" t="s">
        <v>2518</v>
      </c>
      <c r="CA210"/>
      <c r="CB210" t="s">
        <v>5</v>
      </c>
      <c r="CC210">
        <v>172484.12849168849</v>
      </c>
      <c r="CD210">
        <v>414068156.42226398</v>
      </c>
      <c r="CE210" s="313" t="s">
        <v>11891</v>
      </c>
    </row>
    <row r="211" spans="1:83" ht="15" x14ac:dyDescent="0.25">
      <c r="A211" t="s">
        <v>2808</v>
      </c>
      <c r="B211" t="s">
        <v>2809</v>
      </c>
      <c r="C211" t="s">
        <v>2810</v>
      </c>
      <c r="D211">
        <v>5</v>
      </c>
      <c r="E211" t="s">
        <v>2598</v>
      </c>
      <c r="F211" t="s">
        <v>2559</v>
      </c>
      <c r="G211" t="s">
        <v>2806</v>
      </c>
      <c r="H211" t="s">
        <v>2622</v>
      </c>
      <c r="I211" t="s">
        <v>2807</v>
      </c>
      <c r="J211" t="s">
        <v>2623</v>
      </c>
      <c r="K211" t="s">
        <v>2672</v>
      </c>
      <c r="L211">
        <v>155.72517395019531</v>
      </c>
      <c r="M211" t="s">
        <v>6</v>
      </c>
      <c r="N211" t="s">
        <v>6</v>
      </c>
      <c r="O211" t="s">
        <v>5</v>
      </c>
      <c r="P211" t="s">
        <v>5</v>
      </c>
      <c r="Q211" t="s">
        <v>6</v>
      </c>
      <c r="R211" t="s">
        <v>2567</v>
      </c>
      <c r="S211" t="s">
        <v>2567</v>
      </c>
      <c r="T211" t="s">
        <v>6</v>
      </c>
      <c r="U211" t="s">
        <v>85</v>
      </c>
      <c r="V211">
        <v>3000000</v>
      </c>
      <c r="W211">
        <v>200000</v>
      </c>
      <c r="X211" t="s">
        <v>6</v>
      </c>
      <c r="Y211"/>
      <c r="Z211"/>
      <c r="AA211">
        <v>102.59104919433589</v>
      </c>
      <c r="AB211">
        <v>18.99287033081055</v>
      </c>
      <c r="AC211">
        <v>1.4080532789230349</v>
      </c>
      <c r="AD211">
        <v>5007</v>
      </c>
      <c r="AE211">
        <v>5820</v>
      </c>
      <c r="AF211">
        <v>4273</v>
      </c>
      <c r="AG211">
        <v>5971</v>
      </c>
      <c r="AH211">
        <v>8737</v>
      </c>
      <c r="AI211">
        <v>11929</v>
      </c>
      <c r="AJ211">
        <v>36</v>
      </c>
      <c r="AK211">
        <v>20</v>
      </c>
      <c r="AL211">
        <v>136</v>
      </c>
      <c r="AM211">
        <v>20</v>
      </c>
      <c r="AN211">
        <v>346.02401733398438</v>
      </c>
      <c r="AO211"/>
      <c r="AP211"/>
      <c r="AQ211"/>
      <c r="AR211">
        <v>0</v>
      </c>
      <c r="AS211">
        <v>0</v>
      </c>
      <c r="AT211">
        <v>0</v>
      </c>
      <c r="AU211">
        <v>0</v>
      </c>
      <c r="AV211">
        <v>0</v>
      </c>
      <c r="AW211">
        <v>0</v>
      </c>
      <c r="AX211">
        <v>0</v>
      </c>
      <c r="AY211">
        <v>0</v>
      </c>
      <c r="AZ211">
        <v>0</v>
      </c>
      <c r="BA211">
        <v>0</v>
      </c>
      <c r="BB211"/>
      <c r="BC211"/>
      <c r="BD211"/>
      <c r="BE211">
        <v>0</v>
      </c>
      <c r="BF211" t="s">
        <v>2516</v>
      </c>
      <c r="BG211" t="s">
        <v>5</v>
      </c>
      <c r="BH211" t="s">
        <v>1020</v>
      </c>
      <c r="BI211"/>
      <c r="BJ211" t="s">
        <v>5</v>
      </c>
      <c r="BK211"/>
      <c r="BL211">
        <v>0</v>
      </c>
      <c r="BM211"/>
      <c r="BN211" t="s">
        <v>6</v>
      </c>
      <c r="BO211" t="s">
        <v>2518</v>
      </c>
      <c r="BP211" t="s">
        <v>2518</v>
      </c>
      <c r="BQ211" t="s">
        <v>2518</v>
      </c>
      <c r="BR211"/>
      <c r="BS211" t="s">
        <v>6</v>
      </c>
      <c r="BT211" t="s">
        <v>2518</v>
      </c>
      <c r="BU211" t="s">
        <v>2518</v>
      </c>
      <c r="BV211" t="s">
        <v>2518</v>
      </c>
      <c r="BW211"/>
      <c r="BX211" t="s">
        <v>6</v>
      </c>
      <c r="BY211" t="s">
        <v>2605</v>
      </c>
      <c r="BZ211" t="s">
        <v>2518</v>
      </c>
      <c r="CA211"/>
      <c r="CB211" t="s">
        <v>5</v>
      </c>
      <c r="CC211">
        <v>157923.02438758191</v>
      </c>
      <c r="CD211">
        <v>403326337.59955341</v>
      </c>
      <c r="CE211" s="313" t="s">
        <v>11891</v>
      </c>
    </row>
    <row r="212" spans="1:83" ht="15" x14ac:dyDescent="0.25">
      <c r="A212" t="s">
        <v>2859</v>
      </c>
      <c r="B212" t="s">
        <v>2860</v>
      </c>
      <c r="C212" t="s">
        <v>2861</v>
      </c>
      <c r="D212">
        <v>5</v>
      </c>
      <c r="E212" t="s">
        <v>2598</v>
      </c>
      <c r="F212" t="s">
        <v>2553</v>
      </c>
      <c r="G212" t="s">
        <v>2710</v>
      </c>
      <c r="H212" t="s">
        <v>2862</v>
      </c>
      <c r="I212" t="s">
        <v>2863</v>
      </c>
      <c r="J212" t="s">
        <v>2864</v>
      </c>
      <c r="K212" t="s">
        <v>2620</v>
      </c>
      <c r="L212">
        <v>56.200439453125</v>
      </c>
      <c r="M212" t="s">
        <v>6</v>
      </c>
      <c r="N212" t="s">
        <v>5</v>
      </c>
      <c r="O212" t="s">
        <v>6</v>
      </c>
      <c r="P212" t="s">
        <v>5</v>
      </c>
      <c r="Q212" t="s">
        <v>5</v>
      </c>
      <c r="R212" t="s">
        <v>2865</v>
      </c>
      <c r="S212" t="s">
        <v>2865</v>
      </c>
      <c r="T212" t="s">
        <v>6</v>
      </c>
      <c r="U212" t="s">
        <v>85</v>
      </c>
      <c r="V212">
        <v>1500000</v>
      </c>
      <c r="W212">
        <v>200000</v>
      </c>
      <c r="X212" t="s">
        <v>6</v>
      </c>
      <c r="Y212"/>
      <c r="Z212"/>
      <c r="AA212">
        <v>4.9811592102050781</v>
      </c>
      <c r="AB212">
        <v>0.50830751657485962</v>
      </c>
      <c r="AC212">
        <v>2.371935367584229</v>
      </c>
      <c r="AD212">
        <v>1042</v>
      </c>
      <c r="AE212">
        <v>257</v>
      </c>
      <c r="AF212">
        <v>755</v>
      </c>
      <c r="AG212">
        <v>5666</v>
      </c>
      <c r="AH212">
        <v>2658</v>
      </c>
      <c r="AI212">
        <v>7482</v>
      </c>
      <c r="AJ212">
        <v>72</v>
      </c>
      <c r="AK212">
        <v>31</v>
      </c>
      <c r="AL212">
        <v>23</v>
      </c>
      <c r="AM212">
        <v>31</v>
      </c>
      <c r="AN212">
        <v>3.937710046768188</v>
      </c>
      <c r="AO212"/>
      <c r="AP212"/>
      <c r="AQ212"/>
      <c r="AR212">
        <v>0</v>
      </c>
      <c r="AS212">
        <v>0</v>
      </c>
      <c r="AT212">
        <v>0</v>
      </c>
      <c r="AU212">
        <v>0</v>
      </c>
      <c r="AV212">
        <v>0</v>
      </c>
      <c r="AW212">
        <v>0</v>
      </c>
      <c r="AX212">
        <v>0</v>
      </c>
      <c r="AY212">
        <v>0</v>
      </c>
      <c r="AZ212">
        <v>0</v>
      </c>
      <c r="BA212">
        <v>0</v>
      </c>
      <c r="BB212"/>
      <c r="BC212"/>
      <c r="BD212"/>
      <c r="BE212">
        <v>0</v>
      </c>
      <c r="BF212" t="s">
        <v>2516</v>
      </c>
      <c r="BG212" t="s">
        <v>5</v>
      </c>
      <c r="BH212" t="s">
        <v>1020</v>
      </c>
      <c r="BI212"/>
      <c r="BJ212" t="s">
        <v>5</v>
      </c>
      <c r="BK212"/>
      <c r="BL212">
        <v>0</v>
      </c>
      <c r="BM212"/>
      <c r="BN212" t="s">
        <v>6</v>
      </c>
      <c r="BO212" t="s">
        <v>2518</v>
      </c>
      <c r="BP212" t="s">
        <v>2518</v>
      </c>
      <c r="BQ212" t="s">
        <v>2518</v>
      </c>
      <c r="BR212"/>
      <c r="BS212" t="s">
        <v>6</v>
      </c>
      <c r="BT212" t="s">
        <v>2518</v>
      </c>
      <c r="BU212" t="s">
        <v>2518</v>
      </c>
      <c r="BV212" t="s">
        <v>2518</v>
      </c>
      <c r="BW212"/>
      <c r="BX212" t="s">
        <v>6</v>
      </c>
      <c r="BY212" t="s">
        <v>2605</v>
      </c>
      <c r="BZ212" t="s">
        <v>2518</v>
      </c>
      <c r="CA212"/>
      <c r="CB212" t="s">
        <v>5</v>
      </c>
      <c r="CC212">
        <v>133778.75378916159</v>
      </c>
      <c r="CD212">
        <v>145558467.61107859</v>
      </c>
      <c r="CE212" s="313" t="s">
        <v>11891</v>
      </c>
    </row>
    <row r="213" spans="1:83" ht="15" x14ac:dyDescent="0.25">
      <c r="A213" t="s">
        <v>2951</v>
      </c>
      <c r="B213" t="s">
        <v>2952</v>
      </c>
      <c r="C213" t="s">
        <v>2953</v>
      </c>
      <c r="D213">
        <v>5</v>
      </c>
      <c r="E213" t="s">
        <v>2598</v>
      </c>
      <c r="F213" t="s">
        <v>2874</v>
      </c>
      <c r="G213" t="s">
        <v>2946</v>
      </c>
      <c r="H213" t="s">
        <v>2947</v>
      </c>
      <c r="I213"/>
      <c r="J213"/>
      <c r="K213" t="s">
        <v>2731</v>
      </c>
      <c r="L213">
        <v>893.96435546875</v>
      </c>
      <c r="M213" t="s">
        <v>6</v>
      </c>
      <c r="N213" t="s">
        <v>5</v>
      </c>
      <c r="O213" t="s">
        <v>5</v>
      </c>
      <c r="P213" t="s">
        <v>5</v>
      </c>
      <c r="Q213" t="s">
        <v>6</v>
      </c>
      <c r="R213" t="s">
        <v>2948</v>
      </c>
      <c r="S213" t="s">
        <v>2948</v>
      </c>
      <c r="T213" t="s">
        <v>6</v>
      </c>
      <c r="U213" t="s">
        <v>85</v>
      </c>
      <c r="V213">
        <v>3000000</v>
      </c>
      <c r="W213">
        <v>200000</v>
      </c>
      <c r="X213" t="s">
        <v>6</v>
      </c>
      <c r="Y213"/>
      <c r="Z213"/>
      <c r="AA213">
        <v>306.37469482421881</v>
      </c>
      <c r="AB213">
        <v>49.132781982421882</v>
      </c>
      <c r="AC213">
        <v>22.512029647827148</v>
      </c>
      <c r="AD213">
        <v>3678</v>
      </c>
      <c r="AE213">
        <v>2001</v>
      </c>
      <c r="AF213">
        <v>2638</v>
      </c>
      <c r="AG213">
        <v>5704</v>
      </c>
      <c r="AH213">
        <v>7212</v>
      </c>
      <c r="AI213">
        <v>10528</v>
      </c>
      <c r="AJ213">
        <v>25</v>
      </c>
      <c r="AK213">
        <v>13</v>
      </c>
      <c r="AL213">
        <v>136</v>
      </c>
      <c r="AM213">
        <v>13</v>
      </c>
      <c r="AN213">
        <v>743.241455078125</v>
      </c>
      <c r="AO213"/>
      <c r="AP213"/>
      <c r="AQ213"/>
      <c r="AR213">
        <v>0</v>
      </c>
      <c r="AS213">
        <v>0</v>
      </c>
      <c r="AT213">
        <v>0</v>
      </c>
      <c r="AU213">
        <v>0</v>
      </c>
      <c r="AV213">
        <v>0</v>
      </c>
      <c r="AW213">
        <v>0</v>
      </c>
      <c r="AX213">
        <v>0</v>
      </c>
      <c r="AY213">
        <v>0</v>
      </c>
      <c r="AZ213">
        <v>0</v>
      </c>
      <c r="BA213">
        <v>0</v>
      </c>
      <c r="BB213"/>
      <c r="BC213"/>
      <c r="BD213"/>
      <c r="BE213">
        <v>0</v>
      </c>
      <c r="BF213" t="s">
        <v>2516</v>
      </c>
      <c r="BG213" t="s">
        <v>5</v>
      </c>
      <c r="BH213" t="s">
        <v>1020</v>
      </c>
      <c r="BI213"/>
      <c r="BJ213" t="s">
        <v>5</v>
      </c>
      <c r="BK213"/>
      <c r="BL213">
        <v>0</v>
      </c>
      <c r="BM213"/>
      <c r="BN213" t="s">
        <v>6</v>
      </c>
      <c r="BO213" t="s">
        <v>2518</v>
      </c>
      <c r="BP213" t="s">
        <v>2518</v>
      </c>
      <c r="BQ213" t="s">
        <v>2518</v>
      </c>
      <c r="BR213"/>
      <c r="BS213" t="s">
        <v>6</v>
      </c>
      <c r="BT213" t="s">
        <v>2518</v>
      </c>
      <c r="BU213" t="s">
        <v>2518</v>
      </c>
      <c r="BV213" t="s">
        <v>2518</v>
      </c>
      <c r="BW213"/>
      <c r="BX213" t="s">
        <v>6</v>
      </c>
      <c r="BY213" t="s">
        <v>2605</v>
      </c>
      <c r="BZ213" t="s">
        <v>2518</v>
      </c>
      <c r="CA213"/>
      <c r="CB213" t="s">
        <v>5</v>
      </c>
      <c r="CC213">
        <v>275519.38346473943</v>
      </c>
      <c r="CD213">
        <v>2315357021.3614969</v>
      </c>
      <c r="CE213" s="313" t="s">
        <v>11891</v>
      </c>
    </row>
    <row r="214" spans="1:83" ht="15" x14ac:dyDescent="0.25">
      <c r="A214" t="s">
        <v>2954</v>
      </c>
      <c r="B214" t="s">
        <v>2955</v>
      </c>
      <c r="C214" t="s">
        <v>2754</v>
      </c>
      <c r="D214">
        <v>5</v>
      </c>
      <c r="E214" t="s">
        <v>2598</v>
      </c>
      <c r="F214" t="s">
        <v>2874</v>
      </c>
      <c r="G214" t="s">
        <v>2946</v>
      </c>
      <c r="H214" t="s">
        <v>2947</v>
      </c>
      <c r="I214"/>
      <c r="J214"/>
      <c r="K214" t="s">
        <v>2607</v>
      </c>
      <c r="L214">
        <v>893.96649169921875</v>
      </c>
      <c r="M214" t="s">
        <v>6</v>
      </c>
      <c r="N214" t="s">
        <v>5</v>
      </c>
      <c r="O214" t="s">
        <v>5</v>
      </c>
      <c r="P214" t="s">
        <v>5</v>
      </c>
      <c r="Q214" t="s">
        <v>6</v>
      </c>
      <c r="R214" t="s">
        <v>2948</v>
      </c>
      <c r="S214" t="s">
        <v>2948</v>
      </c>
      <c r="T214" t="s">
        <v>6</v>
      </c>
      <c r="U214" t="s">
        <v>85</v>
      </c>
      <c r="V214">
        <v>10000000</v>
      </c>
      <c r="W214">
        <v>200000</v>
      </c>
      <c r="X214" t="s">
        <v>6</v>
      </c>
      <c r="Y214"/>
      <c r="Z214"/>
      <c r="AA214">
        <v>306.37539672851563</v>
      </c>
      <c r="AB214">
        <v>49.132938385009773</v>
      </c>
      <c r="AC214">
        <v>22.512029647827148</v>
      </c>
      <c r="AD214">
        <v>3678</v>
      </c>
      <c r="AE214">
        <v>2001</v>
      </c>
      <c r="AF214">
        <v>2638</v>
      </c>
      <c r="AG214">
        <v>5704</v>
      </c>
      <c r="AH214">
        <v>7212</v>
      </c>
      <c r="AI214">
        <v>10528</v>
      </c>
      <c r="AJ214">
        <v>25</v>
      </c>
      <c r="AK214">
        <v>13</v>
      </c>
      <c r="AL214">
        <v>136</v>
      </c>
      <c r="AM214">
        <v>13</v>
      </c>
      <c r="AN214">
        <v>743.241455078125</v>
      </c>
      <c r="AO214"/>
      <c r="AP214"/>
      <c r="AQ214"/>
      <c r="AR214">
        <v>0</v>
      </c>
      <c r="AS214">
        <v>0</v>
      </c>
      <c r="AT214">
        <v>0</v>
      </c>
      <c r="AU214">
        <v>0</v>
      </c>
      <c r="AV214">
        <v>0</v>
      </c>
      <c r="AW214">
        <v>0</v>
      </c>
      <c r="AX214">
        <v>0</v>
      </c>
      <c r="AY214">
        <v>0</v>
      </c>
      <c r="AZ214">
        <v>0</v>
      </c>
      <c r="BA214">
        <v>0</v>
      </c>
      <c r="BB214"/>
      <c r="BC214"/>
      <c r="BD214"/>
      <c r="BE214">
        <v>0</v>
      </c>
      <c r="BF214" t="s">
        <v>2516</v>
      </c>
      <c r="BG214" t="s">
        <v>5</v>
      </c>
      <c r="BH214" t="s">
        <v>1020</v>
      </c>
      <c r="BI214"/>
      <c r="BJ214" t="s">
        <v>5</v>
      </c>
      <c r="BK214"/>
      <c r="BL214">
        <v>0</v>
      </c>
      <c r="BM214"/>
      <c r="BN214" t="s">
        <v>6</v>
      </c>
      <c r="BO214" t="s">
        <v>2518</v>
      </c>
      <c r="BP214" t="s">
        <v>2518</v>
      </c>
      <c r="BQ214" t="s">
        <v>2518</v>
      </c>
      <c r="BR214"/>
      <c r="BS214" t="s">
        <v>6</v>
      </c>
      <c r="BT214" t="s">
        <v>2518</v>
      </c>
      <c r="BU214" t="s">
        <v>2518</v>
      </c>
      <c r="BV214" t="s">
        <v>2518</v>
      </c>
      <c r="BW214"/>
      <c r="BX214" t="s">
        <v>6</v>
      </c>
      <c r="BY214" t="s">
        <v>2605</v>
      </c>
      <c r="BZ214" t="s">
        <v>2518</v>
      </c>
      <c r="CA214"/>
      <c r="CB214" t="s">
        <v>5</v>
      </c>
      <c r="CC214">
        <v>275519.13509043067</v>
      </c>
      <c r="CD214">
        <v>2315362573.371809</v>
      </c>
      <c r="CE214" s="313" t="s">
        <v>11891</v>
      </c>
    </row>
    <row r="215" spans="1:83" ht="15" x14ac:dyDescent="0.25">
      <c r="A215" t="s">
        <v>2956</v>
      </c>
      <c r="B215" t="s">
        <v>2957</v>
      </c>
      <c r="C215" t="s">
        <v>2958</v>
      </c>
      <c r="D215">
        <v>5</v>
      </c>
      <c r="E215" t="s">
        <v>2598</v>
      </c>
      <c r="F215" t="s">
        <v>2874</v>
      </c>
      <c r="G215" t="s">
        <v>2946</v>
      </c>
      <c r="H215" t="s">
        <v>2947</v>
      </c>
      <c r="I215"/>
      <c r="J215"/>
      <c r="K215" t="s">
        <v>2797</v>
      </c>
      <c r="L215">
        <v>893.9644775390625</v>
      </c>
      <c r="M215" t="s">
        <v>6</v>
      </c>
      <c r="N215" t="s">
        <v>5</v>
      </c>
      <c r="O215" t="s">
        <v>5</v>
      </c>
      <c r="P215" t="s">
        <v>5</v>
      </c>
      <c r="Q215" t="s">
        <v>6</v>
      </c>
      <c r="R215" t="s">
        <v>2948</v>
      </c>
      <c r="S215" t="s">
        <v>2948</v>
      </c>
      <c r="T215" t="s">
        <v>6</v>
      </c>
      <c r="U215" t="s">
        <v>85</v>
      </c>
      <c r="V215">
        <v>1000000</v>
      </c>
      <c r="W215">
        <v>200000</v>
      </c>
      <c r="X215" t="s">
        <v>6</v>
      </c>
      <c r="Y215"/>
      <c r="Z215"/>
      <c r="AA215">
        <v>306.37481689453119</v>
      </c>
      <c r="AB215">
        <v>49.132785797119141</v>
      </c>
      <c r="AC215">
        <v>22.512029647827148</v>
      </c>
      <c r="AD215">
        <v>3678</v>
      </c>
      <c r="AE215">
        <v>2001</v>
      </c>
      <c r="AF215">
        <v>2638</v>
      </c>
      <c r="AG215">
        <v>5704</v>
      </c>
      <c r="AH215">
        <v>7212</v>
      </c>
      <c r="AI215">
        <v>10528</v>
      </c>
      <c r="AJ215">
        <v>25</v>
      </c>
      <c r="AK215">
        <v>13</v>
      </c>
      <c r="AL215">
        <v>136</v>
      </c>
      <c r="AM215">
        <v>13</v>
      </c>
      <c r="AN215">
        <v>743.241455078125</v>
      </c>
      <c r="AO215"/>
      <c r="AP215"/>
      <c r="AQ215"/>
      <c r="AR215">
        <v>0</v>
      </c>
      <c r="AS215">
        <v>0</v>
      </c>
      <c r="AT215">
        <v>0</v>
      </c>
      <c r="AU215">
        <v>0</v>
      </c>
      <c r="AV215">
        <v>0</v>
      </c>
      <c r="AW215">
        <v>0</v>
      </c>
      <c r="AX215">
        <v>0</v>
      </c>
      <c r="AY215">
        <v>0</v>
      </c>
      <c r="AZ215">
        <v>0</v>
      </c>
      <c r="BA215">
        <v>0</v>
      </c>
      <c r="BB215"/>
      <c r="BC215"/>
      <c r="BD215"/>
      <c r="BE215">
        <v>0</v>
      </c>
      <c r="BF215" t="s">
        <v>2516</v>
      </c>
      <c r="BG215" t="s">
        <v>5</v>
      </c>
      <c r="BH215" t="s">
        <v>1020</v>
      </c>
      <c r="BI215"/>
      <c r="BJ215" t="s">
        <v>5</v>
      </c>
      <c r="BK215"/>
      <c r="BL215">
        <v>0</v>
      </c>
      <c r="BM215"/>
      <c r="BN215" t="s">
        <v>6</v>
      </c>
      <c r="BO215" t="s">
        <v>2518</v>
      </c>
      <c r="BP215" t="s">
        <v>2518</v>
      </c>
      <c r="BQ215" t="s">
        <v>2518</v>
      </c>
      <c r="BR215"/>
      <c r="BS215" t="s">
        <v>6</v>
      </c>
      <c r="BT215" t="s">
        <v>2518</v>
      </c>
      <c r="BU215" t="s">
        <v>2518</v>
      </c>
      <c r="BV215" t="s">
        <v>2518</v>
      </c>
      <c r="BW215"/>
      <c r="BX215" t="s">
        <v>6</v>
      </c>
      <c r="BY215" t="s">
        <v>2605</v>
      </c>
      <c r="BZ215" t="s">
        <v>2518</v>
      </c>
      <c r="CA215"/>
      <c r="CB215" t="s">
        <v>5</v>
      </c>
      <c r="CC215">
        <v>275519.66331911692</v>
      </c>
      <c r="CD215">
        <v>2315357338.6955009</v>
      </c>
      <c r="CE215" s="313" t="s">
        <v>11891</v>
      </c>
    </row>
    <row r="216" spans="1:83" ht="15" x14ac:dyDescent="0.25">
      <c r="A216" t="s">
        <v>135</v>
      </c>
      <c r="B216" t="s">
        <v>136</v>
      </c>
      <c r="C216" t="s">
        <v>137</v>
      </c>
      <c r="D216">
        <v>6</v>
      </c>
      <c r="E216" t="s">
        <v>259</v>
      </c>
      <c r="F216" t="s">
        <v>63</v>
      </c>
      <c r="G216" t="s">
        <v>332</v>
      </c>
      <c r="H216" t="s">
        <v>333</v>
      </c>
      <c r="I216" t="s">
        <v>334</v>
      </c>
      <c r="J216" t="s">
        <v>335</v>
      </c>
      <c r="K216" t="s">
        <v>289</v>
      </c>
      <c r="L216">
        <v>797.83648681640625</v>
      </c>
      <c r="M216" t="s">
        <v>6</v>
      </c>
      <c r="N216" t="s">
        <v>5</v>
      </c>
      <c r="O216" t="s">
        <v>6</v>
      </c>
      <c r="P216" t="s">
        <v>5</v>
      </c>
      <c r="Q216" t="s">
        <v>5</v>
      </c>
      <c r="R216" t="s">
        <v>338</v>
      </c>
      <c r="S216" t="s">
        <v>384</v>
      </c>
      <c r="T216" t="s">
        <v>5</v>
      </c>
      <c r="U216" t="s">
        <v>13</v>
      </c>
      <c r="V216">
        <v>4000000</v>
      </c>
      <c r="W216">
        <v>200000</v>
      </c>
      <c r="X216" t="s">
        <v>6</v>
      </c>
      <c r="Y216"/>
      <c r="Z216"/>
      <c r="AA216">
        <v>61.209434509277337</v>
      </c>
      <c r="AB216">
        <v>10.473307609558111</v>
      </c>
      <c r="AC216">
        <v>0</v>
      </c>
      <c r="AD216">
        <v>505</v>
      </c>
      <c r="AE216">
        <v>234</v>
      </c>
      <c r="AF216">
        <v>437</v>
      </c>
      <c r="AG216">
        <v>266</v>
      </c>
      <c r="AH216">
        <v>545</v>
      </c>
      <c r="AI216">
        <v>545</v>
      </c>
      <c r="AJ216">
        <v>1</v>
      </c>
      <c r="AK216">
        <v>2</v>
      </c>
      <c r="AL216">
        <v>25</v>
      </c>
      <c r="AM216">
        <v>2</v>
      </c>
      <c r="AN216">
        <v>180.46464538574219</v>
      </c>
      <c r="AO216"/>
      <c r="AP216"/>
      <c r="AQ216"/>
      <c r="AR216"/>
      <c r="AS216"/>
      <c r="AT216"/>
      <c r="AU216"/>
      <c r="AV216"/>
      <c r="AW216"/>
      <c r="AX216"/>
      <c r="AY216"/>
      <c r="AZ216"/>
      <c r="BA216"/>
      <c r="BB216"/>
      <c r="BC216"/>
      <c r="BD216"/>
      <c r="BE216"/>
      <c r="BF216" t="s">
        <v>300</v>
      </c>
      <c r="BG216" t="s">
        <v>5</v>
      </c>
      <c r="BH216"/>
      <c r="BI216"/>
      <c r="BJ216" t="s">
        <v>5</v>
      </c>
      <c r="BK216"/>
      <c r="BL216">
        <v>0</v>
      </c>
      <c r="BM216"/>
      <c r="BN216" t="s">
        <v>5</v>
      </c>
      <c r="BO216" t="s">
        <v>2518</v>
      </c>
      <c r="BP216" t="s">
        <v>2518</v>
      </c>
      <c r="BQ216" t="s">
        <v>2518</v>
      </c>
      <c r="BR216"/>
      <c r="BS216" t="s">
        <v>6</v>
      </c>
      <c r="BT216" t="s">
        <v>2518</v>
      </c>
      <c r="BU216" t="s">
        <v>2518</v>
      </c>
      <c r="BV216" t="s">
        <v>2518</v>
      </c>
      <c r="BW216"/>
      <c r="BX216" t="s">
        <v>6</v>
      </c>
      <c r="BY216" t="s">
        <v>7</v>
      </c>
      <c r="BZ216" t="s">
        <v>2518</v>
      </c>
      <c r="CA216"/>
      <c r="CB216" t="s">
        <v>5</v>
      </c>
      <c r="CC216">
        <v>222708.2324043249</v>
      </c>
      <c r="CD216">
        <v>2066387072.0613821</v>
      </c>
      <c r="CE216" s="313" t="s">
        <v>11891</v>
      </c>
    </row>
    <row r="217" spans="1:83" ht="15" x14ac:dyDescent="0.25">
      <c r="A217" t="s">
        <v>12467</v>
      </c>
      <c r="B217" t="s">
        <v>12468</v>
      </c>
      <c r="C217" t="s">
        <v>12469</v>
      </c>
      <c r="D217">
        <v>8</v>
      </c>
      <c r="E217" t="s">
        <v>3395</v>
      </c>
      <c r="F217" t="s">
        <v>73</v>
      </c>
      <c r="G217" t="s">
        <v>4881</v>
      </c>
      <c r="H217" t="s">
        <v>12470</v>
      </c>
      <c r="I217" t="s">
        <v>12471</v>
      </c>
      <c r="J217" t="s">
        <v>4882</v>
      </c>
      <c r="K217" t="s">
        <v>4878</v>
      </c>
      <c r="L217">
        <v>798.87109375</v>
      </c>
      <c r="M217" t="s">
        <v>6</v>
      </c>
      <c r="N217" t="s">
        <v>5</v>
      </c>
      <c r="O217" t="s">
        <v>5</v>
      </c>
      <c r="P217" t="s">
        <v>5</v>
      </c>
      <c r="Q217" t="s">
        <v>5</v>
      </c>
      <c r="R217" t="s">
        <v>372</v>
      </c>
      <c r="S217" t="s">
        <v>372</v>
      </c>
      <c r="T217" t="s">
        <v>5</v>
      </c>
      <c r="U217" t="s">
        <v>28</v>
      </c>
      <c r="V217">
        <v>200000</v>
      </c>
      <c r="W217">
        <v>200000</v>
      </c>
      <c r="X217" t="s">
        <v>6</v>
      </c>
      <c r="Y217" t="s">
        <v>3403</v>
      </c>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t="s">
        <v>12472</v>
      </c>
      <c r="BG217" t="s">
        <v>5</v>
      </c>
      <c r="BH217" t="s">
        <v>1020</v>
      </c>
      <c r="BI217" t="s">
        <v>5</v>
      </c>
      <c r="BJ217" t="s">
        <v>5</v>
      </c>
      <c r="BK217" t="s">
        <v>1020</v>
      </c>
      <c r="BL217">
        <v>0</v>
      </c>
      <c r="BM217"/>
      <c r="BN217" t="s">
        <v>5</v>
      </c>
      <c r="BO217"/>
      <c r="BP217"/>
      <c r="BQ217"/>
      <c r="BR217"/>
      <c r="BS217" t="s">
        <v>6</v>
      </c>
      <c r="BT217"/>
      <c r="BU217"/>
      <c r="BV217"/>
      <c r="BW217"/>
      <c r="BX217" t="s">
        <v>6</v>
      </c>
      <c r="BY217" t="s">
        <v>12473</v>
      </c>
      <c r="BZ217"/>
      <c r="CA217"/>
      <c r="CB217" t="s">
        <v>5</v>
      </c>
      <c r="CC217">
        <v>251087.9568704972</v>
      </c>
      <c r="CD217">
        <v>2069066701.582736</v>
      </c>
      <c r="CE217" s="313" t="s">
        <v>11902</v>
      </c>
    </row>
    <row r="218" spans="1:83" ht="15" x14ac:dyDescent="0.25">
      <c r="A218" s="337" t="s">
        <v>2281</v>
      </c>
      <c r="B218" s="337" t="s">
        <v>2282</v>
      </c>
      <c r="C218" s="337" t="s">
        <v>2283</v>
      </c>
      <c r="D218" s="337">
        <v>3</v>
      </c>
      <c r="E218" s="337" t="s">
        <v>1771</v>
      </c>
      <c r="F218" s="337" t="s">
        <v>1885</v>
      </c>
      <c r="G218" s="337" t="s">
        <v>2284</v>
      </c>
      <c r="H218" s="337" t="s">
        <v>4479</v>
      </c>
      <c r="I218" s="337" t="s">
        <v>12777</v>
      </c>
      <c r="J218" s="337" t="s">
        <v>2285</v>
      </c>
      <c r="K218" s="337" t="s">
        <v>2286</v>
      </c>
      <c r="L218" s="337">
        <v>42.660678863525391</v>
      </c>
      <c r="M218" s="337" t="s">
        <v>6</v>
      </c>
      <c r="N218" s="337" t="s">
        <v>5</v>
      </c>
      <c r="O218" s="337" t="s">
        <v>5</v>
      </c>
      <c r="P218" s="337" t="s">
        <v>5</v>
      </c>
      <c r="Q218" s="337" t="s">
        <v>5</v>
      </c>
      <c r="R218" s="337" t="s">
        <v>4391</v>
      </c>
      <c r="S218" s="337" t="s">
        <v>1889</v>
      </c>
      <c r="T218" s="337" t="s">
        <v>5</v>
      </c>
      <c r="U218" s="337" t="s">
        <v>50</v>
      </c>
      <c r="V218" s="337">
        <v>200000</v>
      </c>
      <c r="W218" s="337">
        <v>200000</v>
      </c>
      <c r="X218" s="337" t="s">
        <v>6</v>
      </c>
      <c r="Y218" s="337"/>
      <c r="Z218" s="337">
        <v>20000</v>
      </c>
      <c r="AA218" s="337">
        <v>14.456130027771</v>
      </c>
      <c r="AB218" s="337">
        <v>1.9500570297241211</v>
      </c>
      <c r="AC218" s="337">
        <v>4.0355129241943359</v>
      </c>
      <c r="AD218" s="337">
        <v>314</v>
      </c>
      <c r="AE218" s="337">
        <v>754</v>
      </c>
      <c r="AF218" s="337">
        <v>301</v>
      </c>
      <c r="AG218" s="337">
        <v>1240</v>
      </c>
      <c r="AH218" s="337">
        <v>3245</v>
      </c>
      <c r="AI218" s="337">
        <v>3245</v>
      </c>
      <c r="AJ218" s="337">
        <v>0</v>
      </c>
      <c r="AK218" s="337">
        <v>0</v>
      </c>
      <c r="AL218" s="337">
        <v>32</v>
      </c>
      <c r="AM218" s="337"/>
      <c r="AN218" s="337">
        <v>868.67181396484375</v>
      </c>
      <c r="AO218" s="337"/>
      <c r="AP218" s="337"/>
      <c r="AQ218" s="337"/>
      <c r="AR218" s="337"/>
      <c r="AS218" s="337"/>
      <c r="AT218" s="337"/>
      <c r="AU218" s="337"/>
      <c r="AV218" s="337"/>
      <c r="AW218" s="337"/>
      <c r="AX218" s="337"/>
      <c r="AY218" s="337"/>
      <c r="AZ218" s="337"/>
      <c r="BA218" s="337"/>
      <c r="BB218" s="337"/>
      <c r="BC218" s="337"/>
      <c r="BD218" s="337"/>
      <c r="BE218" s="337"/>
      <c r="BF218" s="337" t="s">
        <v>5</v>
      </c>
      <c r="BG218" s="337" t="s">
        <v>5</v>
      </c>
      <c r="BH218" s="337" t="s">
        <v>1777</v>
      </c>
      <c r="BI218" s="337"/>
      <c r="BJ218" s="337" t="s">
        <v>5</v>
      </c>
      <c r="BK218" s="337"/>
      <c r="BL218" s="337">
        <v>0</v>
      </c>
      <c r="BM218" s="337"/>
      <c r="BN218" s="337" t="s">
        <v>5</v>
      </c>
      <c r="BO218" s="337"/>
      <c r="BP218" s="337"/>
      <c r="BQ218" s="337"/>
      <c r="BR218" s="337"/>
      <c r="BS218" s="337" t="s">
        <v>5</v>
      </c>
      <c r="BT218" s="337"/>
      <c r="BU218" s="337"/>
      <c r="BV218" s="337"/>
      <c r="BW218" s="337" t="s">
        <v>1778</v>
      </c>
      <c r="BX218" s="337" t="s">
        <v>6</v>
      </c>
      <c r="BY218" s="337" t="s">
        <v>1101</v>
      </c>
      <c r="BZ218" s="337"/>
      <c r="CB218" s="337" t="s">
        <v>5</v>
      </c>
      <c r="CC218" s="337">
        <v>89153.882694375148</v>
      </c>
      <c r="CD218" s="337">
        <v>110519906.5749864</v>
      </c>
      <c r="CE218" s="313" t="s">
        <v>11891</v>
      </c>
    </row>
    <row r="219" spans="1:83" ht="45" x14ac:dyDescent="0.25">
      <c r="A219" t="s">
        <v>4062</v>
      </c>
      <c r="B219" t="s">
        <v>4063</v>
      </c>
      <c r="C219" t="s">
        <v>4064</v>
      </c>
      <c r="D219">
        <v>15</v>
      </c>
      <c r="E219" t="s">
        <v>3847</v>
      </c>
      <c r="F219" t="s">
        <v>4050</v>
      </c>
      <c r="G219" t="s">
        <v>4059</v>
      </c>
      <c r="H219" t="s">
        <v>4065</v>
      </c>
      <c r="I219" t="s">
        <v>4066</v>
      </c>
      <c r="J219"/>
      <c r="K219" t="s">
        <v>3857</v>
      </c>
      <c r="L219">
        <v>0.89233231544494629</v>
      </c>
      <c r="M219" t="s">
        <v>6</v>
      </c>
      <c r="N219" t="s">
        <v>5</v>
      </c>
      <c r="O219" t="s">
        <v>6</v>
      </c>
      <c r="P219" t="s">
        <v>5</v>
      </c>
      <c r="Q219" t="s">
        <v>5</v>
      </c>
      <c r="R219" t="s">
        <v>3898</v>
      </c>
      <c r="S219" t="s">
        <v>4067</v>
      </c>
      <c r="T219" t="s">
        <v>6</v>
      </c>
      <c r="U219" t="s">
        <v>85</v>
      </c>
      <c r="V219">
        <v>2000000</v>
      </c>
      <c r="W219">
        <v>200000</v>
      </c>
      <c r="X219" t="s">
        <v>6</v>
      </c>
      <c r="Y219"/>
      <c r="Z219">
        <v>0</v>
      </c>
      <c r="AA219">
        <v>0.39179226756095892</v>
      </c>
      <c r="AB219">
        <v>0.1089709028601646</v>
      </c>
      <c r="AC219">
        <v>0</v>
      </c>
      <c r="AD219">
        <v>629</v>
      </c>
      <c r="AE219">
        <v>198</v>
      </c>
      <c r="AF219">
        <v>463</v>
      </c>
      <c r="AG219">
        <v>1118</v>
      </c>
      <c r="AH219">
        <v>2519</v>
      </c>
      <c r="AI219">
        <v>2519</v>
      </c>
      <c r="AJ219">
        <v>0</v>
      </c>
      <c r="AK219">
        <v>104</v>
      </c>
      <c r="AL219">
        <v>8</v>
      </c>
      <c r="AM219">
        <v>0</v>
      </c>
      <c r="AN219">
        <v>8.4775123596191406</v>
      </c>
      <c r="AO219">
        <v>0</v>
      </c>
      <c r="AP219">
        <v>0</v>
      </c>
      <c r="AQ219">
        <v>0</v>
      </c>
      <c r="AR219">
        <v>0</v>
      </c>
      <c r="AS219">
        <v>0</v>
      </c>
      <c r="AT219">
        <v>0</v>
      </c>
      <c r="AU219">
        <v>0</v>
      </c>
      <c r="AV219">
        <v>0</v>
      </c>
      <c r="AW219">
        <v>0</v>
      </c>
      <c r="AX219">
        <v>0</v>
      </c>
      <c r="AY219">
        <v>0</v>
      </c>
      <c r="AZ219">
        <v>0</v>
      </c>
      <c r="BA219">
        <v>0</v>
      </c>
      <c r="BB219">
        <v>0</v>
      </c>
      <c r="BC219">
        <v>0</v>
      </c>
      <c r="BD219">
        <v>0</v>
      </c>
      <c r="BE219">
        <v>0</v>
      </c>
      <c r="BF219" t="s">
        <v>5</v>
      </c>
      <c r="BG219" t="s">
        <v>5</v>
      </c>
      <c r="BH219"/>
      <c r="BI219"/>
      <c r="BJ219" t="s">
        <v>5</v>
      </c>
      <c r="BK219"/>
      <c r="BL219">
        <v>0</v>
      </c>
      <c r="BM219">
        <v>0</v>
      </c>
      <c r="BN219" t="s">
        <v>5</v>
      </c>
      <c r="BO219"/>
      <c r="BP219"/>
      <c r="BQ219"/>
      <c r="BR219"/>
      <c r="BS219" t="s">
        <v>5</v>
      </c>
      <c r="BT219"/>
      <c r="BU219"/>
      <c r="BV219"/>
      <c r="BW219"/>
      <c r="BX219" t="s">
        <v>6</v>
      </c>
      <c r="BY219" t="s">
        <v>3850</v>
      </c>
      <c r="BZ219"/>
      <c r="CA219"/>
      <c r="CB219" t="s">
        <v>5</v>
      </c>
      <c r="CC219">
        <v>8285.8325920909647</v>
      </c>
      <c r="CD219">
        <v>2311143.0638381802</v>
      </c>
      <c r="CE219" s="319" t="s">
        <v>11891</v>
      </c>
    </row>
    <row r="220" spans="1:83" ht="15" x14ac:dyDescent="0.25">
      <c r="A220" t="s">
        <v>11906</v>
      </c>
      <c r="B220" t="s">
        <v>11907</v>
      </c>
      <c r="C220" t="s">
        <v>11908</v>
      </c>
      <c r="D220">
        <v>15</v>
      </c>
      <c r="E220" t="s">
        <v>3847</v>
      </c>
      <c r="F220" t="s">
        <v>3864</v>
      </c>
      <c r="G220" t="s">
        <v>11896</v>
      </c>
      <c r="H220" t="s">
        <v>11897</v>
      </c>
      <c r="I220" t="s">
        <v>11898</v>
      </c>
      <c r="J220" t="s">
        <v>11899</v>
      </c>
      <c r="K220" t="s">
        <v>11909</v>
      </c>
      <c r="L220">
        <v>807.23931884765625</v>
      </c>
      <c r="M220" t="s">
        <v>5</v>
      </c>
      <c r="N220" t="s">
        <v>5</v>
      </c>
      <c r="O220" t="s">
        <v>6</v>
      </c>
      <c r="P220" t="s">
        <v>5</v>
      </c>
      <c r="Q220" t="s">
        <v>5</v>
      </c>
      <c r="R220" t="s">
        <v>11573</v>
      </c>
      <c r="S220" t="s">
        <v>11901</v>
      </c>
      <c r="T220" t="s">
        <v>6</v>
      </c>
      <c r="U220" t="s">
        <v>13</v>
      </c>
      <c r="V220">
        <v>200000</v>
      </c>
      <c r="W220">
        <v>200000</v>
      </c>
      <c r="X220" t="s">
        <v>6</v>
      </c>
      <c r="Y220"/>
      <c r="Z220">
        <v>0</v>
      </c>
      <c r="AA220">
        <v>374.6278076171875</v>
      </c>
      <c r="AB220">
        <v>557.8006591796875</v>
      </c>
      <c r="AC220">
        <v>2.348208904266357</v>
      </c>
      <c r="AD220">
        <v>75816</v>
      </c>
      <c r="AE220">
        <v>149258</v>
      </c>
      <c r="AF220">
        <v>61251</v>
      </c>
      <c r="AG220">
        <v>177730</v>
      </c>
      <c r="AH220">
        <v>244800</v>
      </c>
      <c r="AI220">
        <v>244800</v>
      </c>
      <c r="AJ220">
        <v>459</v>
      </c>
      <c r="AK220">
        <v>17</v>
      </c>
      <c r="AL220">
        <v>1840</v>
      </c>
      <c r="AM220">
        <v>5</v>
      </c>
      <c r="AN220">
        <v>334.99685668945313</v>
      </c>
      <c r="AO220"/>
      <c r="AP220"/>
      <c r="AQ220"/>
      <c r="AR220">
        <v>0</v>
      </c>
      <c r="AS220">
        <v>0</v>
      </c>
      <c r="AT220">
        <v>0</v>
      </c>
      <c r="AU220">
        <v>0</v>
      </c>
      <c r="AV220">
        <v>0</v>
      </c>
      <c r="AW220">
        <v>0</v>
      </c>
      <c r="AX220">
        <v>0</v>
      </c>
      <c r="AY220">
        <v>0</v>
      </c>
      <c r="AZ220">
        <v>0</v>
      </c>
      <c r="BA220">
        <v>0</v>
      </c>
      <c r="BB220">
        <v>0</v>
      </c>
      <c r="BC220">
        <v>0</v>
      </c>
      <c r="BD220">
        <v>0</v>
      </c>
      <c r="BE220">
        <v>0</v>
      </c>
      <c r="BF220" t="s">
        <v>5</v>
      </c>
      <c r="BG220" t="s">
        <v>5</v>
      </c>
      <c r="BH220"/>
      <c r="BI220"/>
      <c r="BJ220" t="s">
        <v>5</v>
      </c>
      <c r="BK220"/>
      <c r="BL220">
        <v>0</v>
      </c>
      <c r="BM220">
        <v>0</v>
      </c>
      <c r="BN220" t="s">
        <v>5</v>
      </c>
      <c r="BO220"/>
      <c r="BP220"/>
      <c r="BQ220"/>
      <c r="BR220"/>
      <c r="BS220" t="s">
        <v>5</v>
      </c>
      <c r="BT220"/>
      <c r="BU220"/>
      <c r="BV220"/>
      <c r="BW220"/>
      <c r="BX220" t="s">
        <v>6</v>
      </c>
      <c r="BY220" t="s">
        <v>4232</v>
      </c>
      <c r="BZ220"/>
      <c r="CA220"/>
      <c r="CB220" t="s">
        <v>5</v>
      </c>
      <c r="CC220">
        <v>288949.96145606658</v>
      </c>
      <c r="CD220">
        <v>4616947534.7312641</v>
      </c>
      <c r="CE220" s="313" t="s">
        <v>11902</v>
      </c>
    </row>
    <row r="221" spans="1:83" ht="15" x14ac:dyDescent="0.25">
      <c r="A221" t="s">
        <v>3057</v>
      </c>
      <c r="B221" t="s">
        <v>3058</v>
      </c>
      <c r="C221" t="s">
        <v>3059</v>
      </c>
      <c r="D221">
        <v>7</v>
      </c>
      <c r="E221" t="s">
        <v>2979</v>
      </c>
      <c r="F221" t="s">
        <v>627</v>
      </c>
      <c r="G221" t="s">
        <v>3052</v>
      </c>
      <c r="H221" t="s">
        <v>3053</v>
      </c>
      <c r="I221" t="s">
        <v>3054</v>
      </c>
      <c r="J221" t="s">
        <v>3055</v>
      </c>
      <c r="K221" t="s">
        <v>3060</v>
      </c>
      <c r="L221">
        <v>111.6635818481445</v>
      </c>
      <c r="M221" t="s">
        <v>6</v>
      </c>
      <c r="N221" t="s">
        <v>5</v>
      </c>
      <c r="O221" t="s">
        <v>5</v>
      </c>
      <c r="P221" t="s">
        <v>5</v>
      </c>
      <c r="Q221" t="s">
        <v>5</v>
      </c>
      <c r="R221" t="s">
        <v>3056</v>
      </c>
      <c r="S221" t="s">
        <v>3056</v>
      </c>
      <c r="T221" t="s">
        <v>5</v>
      </c>
      <c r="U221" t="s">
        <v>28</v>
      </c>
      <c r="V221">
        <v>175000</v>
      </c>
      <c r="W221">
        <v>175000</v>
      </c>
      <c r="X221" t="s">
        <v>5</v>
      </c>
      <c r="Y221" t="s">
        <v>1100</v>
      </c>
      <c r="Z221">
        <v>0</v>
      </c>
      <c r="AA221">
        <v>33.499187469482422</v>
      </c>
      <c r="AB221">
        <v>4.9944062232971191</v>
      </c>
      <c r="AC221">
        <v>0</v>
      </c>
      <c r="AD221">
        <v>10861</v>
      </c>
      <c r="AE221">
        <v>3104</v>
      </c>
      <c r="AF221">
        <v>9399</v>
      </c>
      <c r="AG221">
        <v>24482</v>
      </c>
      <c r="AH221">
        <v>25333</v>
      </c>
      <c r="AI221">
        <v>25333</v>
      </c>
      <c r="AJ221">
        <v>10</v>
      </c>
      <c r="AK221">
        <v>58</v>
      </c>
      <c r="AL221">
        <v>218</v>
      </c>
      <c r="AM221">
        <v>0</v>
      </c>
      <c r="AN221">
        <v>1234.783569335938</v>
      </c>
      <c r="AO221">
        <v>0</v>
      </c>
      <c r="AP221">
        <v>0</v>
      </c>
      <c r="AQ221">
        <v>0</v>
      </c>
      <c r="AR221">
        <v>0</v>
      </c>
      <c r="AS221">
        <v>0</v>
      </c>
      <c r="AT221">
        <v>0</v>
      </c>
      <c r="AU221">
        <v>0</v>
      </c>
      <c r="AV221">
        <v>0</v>
      </c>
      <c r="AW221">
        <v>0</v>
      </c>
      <c r="AX221">
        <v>0</v>
      </c>
      <c r="AY221">
        <v>0</v>
      </c>
      <c r="AZ221">
        <v>0</v>
      </c>
      <c r="BA221">
        <v>0</v>
      </c>
      <c r="BB221">
        <v>0</v>
      </c>
      <c r="BC221">
        <v>0</v>
      </c>
      <c r="BD221">
        <v>0</v>
      </c>
      <c r="BE221">
        <v>0</v>
      </c>
      <c r="BF221" t="s">
        <v>1100</v>
      </c>
      <c r="BG221" t="s">
        <v>5</v>
      </c>
      <c r="BH221" t="s">
        <v>2987</v>
      </c>
      <c r="BI221" t="s">
        <v>1100</v>
      </c>
      <c r="BJ221" t="s">
        <v>5</v>
      </c>
      <c r="BK221" t="s">
        <v>1100</v>
      </c>
      <c r="BL221">
        <v>0</v>
      </c>
      <c r="BM221">
        <v>0</v>
      </c>
      <c r="BN221" t="s">
        <v>5</v>
      </c>
      <c r="BO221" t="s">
        <v>1100</v>
      </c>
      <c r="BP221" t="s">
        <v>1100</v>
      </c>
      <c r="BQ221" t="s">
        <v>1100</v>
      </c>
      <c r="BR221" t="s">
        <v>1100</v>
      </c>
      <c r="BS221" t="s">
        <v>5</v>
      </c>
      <c r="BT221" t="s">
        <v>1100</v>
      </c>
      <c r="BU221" t="s">
        <v>1100</v>
      </c>
      <c r="BV221" t="s">
        <v>1100</v>
      </c>
      <c r="BW221" t="s">
        <v>1100</v>
      </c>
      <c r="BX221" t="s">
        <v>6</v>
      </c>
      <c r="BY221" t="s">
        <v>2988</v>
      </c>
      <c r="BZ221" t="s">
        <v>3006</v>
      </c>
      <c r="CA221"/>
      <c r="CB221" t="s">
        <v>5</v>
      </c>
      <c r="CC221">
        <v>178266.81994720601</v>
      </c>
      <c r="CD221">
        <v>289208509.95482951</v>
      </c>
      <c r="CE221" s="313" t="s">
        <v>11891</v>
      </c>
    </row>
    <row r="222" spans="1:83" ht="15" x14ac:dyDescent="0.25">
      <c r="A222" t="s">
        <v>2028</v>
      </c>
      <c r="B222" t="s">
        <v>2029</v>
      </c>
      <c r="C222" t="s">
        <v>2030</v>
      </c>
      <c r="D222">
        <v>3</v>
      </c>
      <c r="E222" t="s">
        <v>1771</v>
      </c>
      <c r="F222" t="s">
        <v>2024</v>
      </c>
      <c r="G222" t="s">
        <v>2025</v>
      </c>
      <c r="H222" t="s">
        <v>4423</v>
      </c>
      <c r="I222" t="s">
        <v>12746</v>
      </c>
      <c r="J222" t="s">
        <v>2026</v>
      </c>
      <c r="K222" t="s">
        <v>1963</v>
      </c>
      <c r="L222">
        <v>902.953125</v>
      </c>
      <c r="M222" t="s">
        <v>6</v>
      </c>
      <c r="N222" t="s">
        <v>5</v>
      </c>
      <c r="O222" t="s">
        <v>5</v>
      </c>
      <c r="P222" t="s">
        <v>5</v>
      </c>
      <c r="Q222" t="s">
        <v>5</v>
      </c>
      <c r="R222" t="s">
        <v>4425</v>
      </c>
      <c r="S222" t="s">
        <v>2031</v>
      </c>
      <c r="T222" t="s">
        <v>5</v>
      </c>
      <c r="U222" t="s">
        <v>4</v>
      </c>
      <c r="V222">
        <v>500000</v>
      </c>
      <c r="W222">
        <v>175000</v>
      </c>
      <c r="X222" t="s">
        <v>5</v>
      </c>
      <c r="Y222"/>
      <c r="Z222"/>
      <c r="AA222">
        <v>71.410873413085938</v>
      </c>
      <c r="AB222">
        <v>8.820286750793457</v>
      </c>
      <c r="AC222">
        <v>4.3176321983337402</v>
      </c>
      <c r="AD222">
        <v>1953</v>
      </c>
      <c r="AE222">
        <v>817</v>
      </c>
      <c r="AF222">
        <v>1485</v>
      </c>
      <c r="AG222">
        <v>4344</v>
      </c>
      <c r="AH222">
        <v>3576</v>
      </c>
      <c r="AI222">
        <v>4344</v>
      </c>
      <c r="AJ222">
        <v>0</v>
      </c>
      <c r="AK222">
        <v>1</v>
      </c>
      <c r="AL222">
        <v>61</v>
      </c>
      <c r="AM222"/>
      <c r="AN222">
        <v>25501.05078125</v>
      </c>
      <c r="AO222"/>
      <c r="AP222"/>
      <c r="AQ222"/>
      <c r="AR222"/>
      <c r="AS222"/>
      <c r="AT222"/>
      <c r="AU222"/>
      <c r="AV222"/>
      <c r="AW222"/>
      <c r="AX222"/>
      <c r="AY222"/>
      <c r="AZ222"/>
      <c r="BA222"/>
      <c r="BB222"/>
      <c r="BC222"/>
      <c r="BD222"/>
      <c r="BE222"/>
      <c r="BF222" t="s">
        <v>2032</v>
      </c>
      <c r="BG222" t="s">
        <v>5</v>
      </c>
      <c r="BH222" t="s">
        <v>1777</v>
      </c>
      <c r="BI222"/>
      <c r="BJ222" t="s">
        <v>5</v>
      </c>
      <c r="BK222"/>
      <c r="BL222">
        <v>100</v>
      </c>
      <c r="BM222"/>
      <c r="BN222" t="s">
        <v>5</v>
      </c>
      <c r="BO222"/>
      <c r="BP222"/>
      <c r="BQ222"/>
      <c r="BR222"/>
      <c r="BS222" t="s">
        <v>5</v>
      </c>
      <c r="BT222"/>
      <c r="BU222"/>
      <c r="BV222"/>
      <c r="BW222" t="s">
        <v>1778</v>
      </c>
      <c r="BX222" t="s">
        <v>6</v>
      </c>
      <c r="BY222" t="s">
        <v>1101</v>
      </c>
      <c r="BZ222"/>
      <c r="CA222"/>
      <c r="CB222" t="s">
        <v>6</v>
      </c>
      <c r="CC222">
        <v>195388.41140282291</v>
      </c>
      <c r="CD222">
        <v>2339256673.8434911</v>
      </c>
      <c r="CE222" s="313" t="s">
        <v>11891</v>
      </c>
    </row>
    <row r="223" spans="1:83" ht="15" x14ac:dyDescent="0.25">
      <c r="A223" t="s">
        <v>143</v>
      </c>
      <c r="B223" t="s">
        <v>393</v>
      </c>
      <c r="C223" t="s">
        <v>394</v>
      </c>
      <c r="D223">
        <v>6</v>
      </c>
      <c r="E223" t="s">
        <v>259</v>
      </c>
      <c r="F223" t="s">
        <v>38</v>
      </c>
      <c r="G223" t="s">
        <v>39</v>
      </c>
      <c r="H223" t="s">
        <v>308</v>
      </c>
      <c r="I223" t="s">
        <v>309</v>
      </c>
      <c r="J223" t="s">
        <v>310</v>
      </c>
      <c r="K223" t="s">
        <v>21</v>
      </c>
      <c r="L223">
        <v>27.40939903259277</v>
      </c>
      <c r="M223" t="s">
        <v>6</v>
      </c>
      <c r="N223" t="s">
        <v>5</v>
      </c>
      <c r="O223" t="s">
        <v>6</v>
      </c>
      <c r="P223" t="s">
        <v>5</v>
      </c>
      <c r="Q223" t="s">
        <v>5</v>
      </c>
      <c r="R223" t="s">
        <v>395</v>
      </c>
      <c r="S223" t="s">
        <v>395</v>
      </c>
      <c r="T223" t="s">
        <v>6</v>
      </c>
      <c r="U223" t="s">
        <v>98</v>
      </c>
      <c r="V223">
        <v>1700000</v>
      </c>
      <c r="W223">
        <v>170000</v>
      </c>
      <c r="X223" t="s">
        <v>6</v>
      </c>
      <c r="Y223"/>
      <c r="Z223"/>
      <c r="AA223">
        <v>8.4089345932006836</v>
      </c>
      <c r="AB223">
        <v>0.78192299604415894</v>
      </c>
      <c r="AC223">
        <v>0</v>
      </c>
      <c r="AD223">
        <v>1250</v>
      </c>
      <c r="AE223">
        <v>121</v>
      </c>
      <c r="AF223">
        <v>966</v>
      </c>
      <c r="AG223">
        <v>6741</v>
      </c>
      <c r="AH223">
        <v>1895</v>
      </c>
      <c r="AI223">
        <v>6741</v>
      </c>
      <c r="AJ223">
        <v>8</v>
      </c>
      <c r="AK223">
        <v>0</v>
      </c>
      <c r="AL223">
        <v>43</v>
      </c>
      <c r="AM223">
        <v>0</v>
      </c>
      <c r="AN223">
        <v>178.80146789550781</v>
      </c>
      <c r="AO223"/>
      <c r="AP223"/>
      <c r="AQ223"/>
      <c r="AR223"/>
      <c r="AS223"/>
      <c r="AT223"/>
      <c r="AU223"/>
      <c r="AV223"/>
      <c r="AW223"/>
      <c r="AX223"/>
      <c r="AY223"/>
      <c r="AZ223"/>
      <c r="BA223"/>
      <c r="BB223"/>
      <c r="BC223"/>
      <c r="BD223"/>
      <c r="BE223"/>
      <c r="BF223"/>
      <c r="BG223" t="s">
        <v>5</v>
      </c>
      <c r="BH223"/>
      <c r="BI223"/>
      <c r="BJ223" t="s">
        <v>5</v>
      </c>
      <c r="BK223"/>
      <c r="BL223">
        <v>0</v>
      </c>
      <c r="BM223"/>
      <c r="BN223" t="s">
        <v>5</v>
      </c>
      <c r="BO223" t="s">
        <v>2518</v>
      </c>
      <c r="BP223" t="s">
        <v>2518</v>
      </c>
      <c r="BQ223" t="s">
        <v>2518</v>
      </c>
      <c r="BR223"/>
      <c r="BS223" t="s">
        <v>6</v>
      </c>
      <c r="BT223" t="s">
        <v>2518</v>
      </c>
      <c r="BU223" t="s">
        <v>2518</v>
      </c>
      <c r="BV223" t="s">
        <v>2518</v>
      </c>
      <c r="BW223"/>
      <c r="BX223" t="s">
        <v>6</v>
      </c>
      <c r="BY223" t="s">
        <v>7</v>
      </c>
      <c r="BZ223" t="s">
        <v>2518</v>
      </c>
      <c r="CA223"/>
      <c r="CB223" t="s">
        <v>5</v>
      </c>
      <c r="CC223">
        <v>86715.9553413752</v>
      </c>
      <c r="CD223">
        <v>70990016.663573325</v>
      </c>
      <c r="CE223" s="313" t="s">
        <v>11891</v>
      </c>
    </row>
    <row r="224" spans="1:83" ht="15" x14ac:dyDescent="0.25">
      <c r="A224" t="s">
        <v>4749</v>
      </c>
      <c r="B224" t="s">
        <v>4750</v>
      </c>
      <c r="C224" t="s">
        <v>4751</v>
      </c>
      <c r="D224">
        <v>4</v>
      </c>
      <c r="E224" t="s">
        <v>2512</v>
      </c>
      <c r="F224" t="s">
        <v>2559</v>
      </c>
      <c r="G224" t="s">
        <v>2560</v>
      </c>
      <c r="H224" t="s">
        <v>4741</v>
      </c>
      <c r="I224" t="s">
        <v>4742</v>
      </c>
      <c r="J224" t="s">
        <v>4743</v>
      </c>
      <c r="K224" t="s">
        <v>4752</v>
      </c>
      <c r="L224">
        <v>371.03521728515619</v>
      </c>
      <c r="M224" t="s">
        <v>6</v>
      </c>
      <c r="N224" t="s">
        <v>6</v>
      </c>
      <c r="O224" t="s">
        <v>5</v>
      </c>
      <c r="P224" t="s">
        <v>5</v>
      </c>
      <c r="Q224" t="s">
        <v>5</v>
      </c>
      <c r="R224" t="s">
        <v>4745</v>
      </c>
      <c r="S224" t="s">
        <v>4745</v>
      </c>
      <c r="T224" t="s">
        <v>6</v>
      </c>
      <c r="U224" t="s">
        <v>28</v>
      </c>
      <c r="V224">
        <v>150000</v>
      </c>
      <c r="W224">
        <v>150000</v>
      </c>
      <c r="X224" t="s">
        <v>6</v>
      </c>
      <c r="Y224"/>
      <c r="Z224">
        <v>0</v>
      </c>
      <c r="AA224">
        <v>341.07913208007813</v>
      </c>
      <c r="AB224">
        <v>58.821243286132813</v>
      </c>
      <c r="AC224">
        <v>0</v>
      </c>
      <c r="AD224">
        <v>16974</v>
      </c>
      <c r="AE224">
        <v>8682</v>
      </c>
      <c r="AF224">
        <v>14040</v>
      </c>
      <c r="AG224">
        <v>26400</v>
      </c>
      <c r="AH224">
        <v>26881</v>
      </c>
      <c r="AI224">
        <v>26881</v>
      </c>
      <c r="AJ224">
        <v>276</v>
      </c>
      <c r="AK224">
        <v>22</v>
      </c>
      <c r="AL224">
        <v>364</v>
      </c>
      <c r="AM224">
        <v>22</v>
      </c>
      <c r="AN224">
        <v>17171.203125</v>
      </c>
      <c r="AO224"/>
      <c r="AP224"/>
      <c r="AQ224"/>
      <c r="AR224">
        <v>0</v>
      </c>
      <c r="AS224">
        <v>0</v>
      </c>
      <c r="AT224">
        <v>0</v>
      </c>
      <c r="AU224">
        <v>0</v>
      </c>
      <c r="AV224">
        <v>0</v>
      </c>
      <c r="AW224">
        <v>0</v>
      </c>
      <c r="AX224">
        <v>0</v>
      </c>
      <c r="AY224">
        <v>0</v>
      </c>
      <c r="AZ224">
        <v>0</v>
      </c>
      <c r="BA224">
        <v>0</v>
      </c>
      <c r="BB224"/>
      <c r="BC224"/>
      <c r="BD224"/>
      <c r="BE224">
        <v>0</v>
      </c>
      <c r="BF224" t="s">
        <v>2516</v>
      </c>
      <c r="BG224" t="s">
        <v>5</v>
      </c>
      <c r="BH224" t="s">
        <v>1020</v>
      </c>
      <c r="BI224" t="s">
        <v>2517</v>
      </c>
      <c r="BJ224" t="s">
        <v>5</v>
      </c>
      <c r="BK224" t="s">
        <v>1100</v>
      </c>
      <c r="BL224">
        <v>0</v>
      </c>
      <c r="BM224"/>
      <c r="BN224" t="s">
        <v>5</v>
      </c>
      <c r="BO224" t="s">
        <v>2518</v>
      </c>
      <c r="BP224" t="s">
        <v>2518</v>
      </c>
      <c r="BQ224" t="s">
        <v>2518</v>
      </c>
      <c r="BR224" t="s">
        <v>2518</v>
      </c>
      <c r="BS224" t="s">
        <v>6</v>
      </c>
      <c r="BT224" t="s">
        <v>2518</v>
      </c>
      <c r="BU224" t="s">
        <v>2518</v>
      </c>
      <c r="BV224" t="s">
        <v>2518</v>
      </c>
      <c r="BW224" t="s">
        <v>1100</v>
      </c>
      <c r="BX224" t="s">
        <v>6</v>
      </c>
      <c r="BY224" t="s">
        <v>2519</v>
      </c>
      <c r="BZ224"/>
      <c r="CA224"/>
      <c r="CB224" t="s">
        <v>5</v>
      </c>
      <c r="CC224">
        <v>172965.4387377699</v>
      </c>
      <c r="CD224">
        <v>960976801.01900148</v>
      </c>
      <c r="CE224" s="313" t="s">
        <v>11891</v>
      </c>
    </row>
    <row r="225" spans="1:83" ht="15" x14ac:dyDescent="0.25">
      <c r="A225" t="s">
        <v>12383</v>
      </c>
      <c r="B225" t="s">
        <v>12384</v>
      </c>
      <c r="C225" t="s">
        <v>12385</v>
      </c>
      <c r="D225">
        <v>5</v>
      </c>
      <c r="E225" t="s">
        <v>2598</v>
      </c>
      <c r="F225" t="s">
        <v>2644</v>
      </c>
      <c r="G225" t="s">
        <v>2645</v>
      </c>
      <c r="H225" t="s">
        <v>2646</v>
      </c>
      <c r="I225" t="s">
        <v>2647</v>
      </c>
      <c r="J225" t="s">
        <v>2648</v>
      </c>
      <c r="K225" t="s">
        <v>12378</v>
      </c>
      <c r="L225">
        <v>434.4630126953125</v>
      </c>
      <c r="M225" t="s">
        <v>6</v>
      </c>
      <c r="N225" t="s">
        <v>5</v>
      </c>
      <c r="O225" t="s">
        <v>6</v>
      </c>
      <c r="P225" t="s">
        <v>5</v>
      </c>
      <c r="Q225" t="s">
        <v>5</v>
      </c>
      <c r="R225" t="s">
        <v>2649</v>
      </c>
      <c r="S225" t="s">
        <v>2649</v>
      </c>
      <c r="T225" t="s">
        <v>5</v>
      </c>
      <c r="U225" t="s">
        <v>50</v>
      </c>
      <c r="V225">
        <v>150000</v>
      </c>
      <c r="W225">
        <v>150000</v>
      </c>
      <c r="X225" t="s">
        <v>6</v>
      </c>
      <c r="Y225"/>
      <c r="Z225"/>
      <c r="AA225">
        <v>264.63699340820313</v>
      </c>
      <c r="AB225">
        <v>27.913600921630859</v>
      </c>
      <c r="AC225">
        <v>0</v>
      </c>
      <c r="AD225">
        <v>2245</v>
      </c>
      <c r="AE225">
        <v>1093</v>
      </c>
      <c r="AF225">
        <v>1180</v>
      </c>
      <c r="AG225">
        <v>2248</v>
      </c>
      <c r="AH225">
        <v>2940</v>
      </c>
      <c r="AI225">
        <v>4352</v>
      </c>
      <c r="AJ225">
        <v>7</v>
      </c>
      <c r="AK225">
        <v>0</v>
      </c>
      <c r="AL225">
        <v>100</v>
      </c>
      <c r="AM225">
        <v>0</v>
      </c>
      <c r="AN225">
        <v>58715</v>
      </c>
      <c r="AO225"/>
      <c r="AP225"/>
      <c r="AQ225"/>
      <c r="AR225">
        <v>0</v>
      </c>
      <c r="AS225">
        <v>0</v>
      </c>
      <c r="AT225">
        <v>0</v>
      </c>
      <c r="AU225">
        <v>0</v>
      </c>
      <c r="AV225">
        <v>0</v>
      </c>
      <c r="AW225">
        <v>0</v>
      </c>
      <c r="AX225">
        <v>0</v>
      </c>
      <c r="AY225">
        <v>0</v>
      </c>
      <c r="AZ225">
        <v>0</v>
      </c>
      <c r="BA225">
        <v>0</v>
      </c>
      <c r="BB225"/>
      <c r="BC225"/>
      <c r="BD225"/>
      <c r="BE225">
        <v>0</v>
      </c>
      <c r="BF225" t="s">
        <v>12386</v>
      </c>
      <c r="BG225" t="s">
        <v>5</v>
      </c>
      <c r="BH225" t="s">
        <v>1020</v>
      </c>
      <c r="BI225"/>
      <c r="BJ225" t="s">
        <v>5</v>
      </c>
      <c r="BK225"/>
      <c r="BL225">
        <v>0</v>
      </c>
      <c r="BM225"/>
      <c r="BN225" t="s">
        <v>5</v>
      </c>
      <c r="BO225" t="s">
        <v>2518</v>
      </c>
      <c r="BP225" t="s">
        <v>2518</v>
      </c>
      <c r="BQ225" t="s">
        <v>2518</v>
      </c>
      <c r="BR225"/>
      <c r="BS225" t="s">
        <v>6</v>
      </c>
      <c r="BT225" t="s">
        <v>2518</v>
      </c>
      <c r="BU225" t="s">
        <v>2518</v>
      </c>
      <c r="BV225" t="s">
        <v>2518</v>
      </c>
      <c r="BW225"/>
      <c r="BX225" t="s">
        <v>6</v>
      </c>
      <c r="BY225" t="s">
        <v>2605</v>
      </c>
      <c r="BZ225" t="s">
        <v>2518</v>
      </c>
      <c r="CA225"/>
      <c r="CB225" t="s">
        <v>5</v>
      </c>
      <c r="CC225">
        <v>278427.62777734629</v>
      </c>
      <c r="CD225">
        <v>1125258898.973012</v>
      </c>
      <c r="CE225" s="313" t="s">
        <v>11902</v>
      </c>
    </row>
    <row r="226" spans="1:83" ht="15" x14ac:dyDescent="0.25">
      <c r="A226" t="s">
        <v>1</v>
      </c>
      <c r="B226" t="s">
        <v>2959</v>
      </c>
      <c r="C226" t="s">
        <v>2960</v>
      </c>
      <c r="D226">
        <v>6</v>
      </c>
      <c r="E226" t="s">
        <v>259</v>
      </c>
      <c r="F226" t="s">
        <v>2</v>
      </c>
      <c r="G226" t="s">
        <v>293</v>
      </c>
      <c r="H226" t="s">
        <v>294</v>
      </c>
      <c r="I226" t="s">
        <v>295</v>
      </c>
      <c r="J226" t="s">
        <v>296</v>
      </c>
      <c r="K226" t="s">
        <v>21</v>
      </c>
      <c r="L226">
        <v>3.5849535465240479</v>
      </c>
      <c r="M226" t="s">
        <v>5</v>
      </c>
      <c r="N226" t="s">
        <v>5</v>
      </c>
      <c r="O226" t="s">
        <v>6</v>
      </c>
      <c r="P226" t="s">
        <v>5</v>
      </c>
      <c r="Q226" t="s">
        <v>5</v>
      </c>
      <c r="R226" t="s">
        <v>297</v>
      </c>
      <c r="S226" t="s">
        <v>298</v>
      </c>
      <c r="T226" t="s">
        <v>5</v>
      </c>
      <c r="U226" t="s">
        <v>4</v>
      </c>
      <c r="V226">
        <v>3000000</v>
      </c>
      <c r="W226">
        <v>150000</v>
      </c>
      <c r="X226" t="s">
        <v>6</v>
      </c>
      <c r="Y226" t="s">
        <v>299</v>
      </c>
      <c r="Z226">
        <v>750000</v>
      </c>
      <c r="AA226">
        <v>2.9588699340820308</v>
      </c>
      <c r="AB226">
        <v>0.53965997695922852</v>
      </c>
      <c r="AC226">
        <v>0</v>
      </c>
      <c r="AD226">
        <v>5879</v>
      </c>
      <c r="AE226">
        <v>904</v>
      </c>
      <c r="AF226">
        <v>5539</v>
      </c>
      <c r="AG226">
        <v>25741</v>
      </c>
      <c r="AH226">
        <v>16463</v>
      </c>
      <c r="AI226">
        <v>25741</v>
      </c>
      <c r="AJ226">
        <v>71</v>
      </c>
      <c r="AK226">
        <v>0</v>
      </c>
      <c r="AL226">
        <v>71</v>
      </c>
      <c r="AM226">
        <v>0</v>
      </c>
      <c r="AN226">
        <v>0.1517360061407089</v>
      </c>
      <c r="AO226"/>
      <c r="AP226"/>
      <c r="AQ226"/>
      <c r="AR226"/>
      <c r="AS226"/>
      <c r="AT226"/>
      <c r="AU226"/>
      <c r="AV226"/>
      <c r="AW226"/>
      <c r="AX226"/>
      <c r="AY226"/>
      <c r="AZ226"/>
      <c r="BA226"/>
      <c r="BB226"/>
      <c r="BC226"/>
      <c r="BD226"/>
      <c r="BE226"/>
      <c r="BF226" t="s">
        <v>300</v>
      </c>
      <c r="BG226" t="s">
        <v>5</v>
      </c>
      <c r="BH226"/>
      <c r="BI226"/>
      <c r="BJ226" t="s">
        <v>5</v>
      </c>
      <c r="BK226"/>
      <c r="BL226">
        <v>0</v>
      </c>
      <c r="BM226"/>
      <c r="BN226" t="s">
        <v>5</v>
      </c>
      <c r="BO226" t="s">
        <v>2518</v>
      </c>
      <c r="BP226" t="s">
        <v>2518</v>
      </c>
      <c r="BQ226" t="s">
        <v>2518</v>
      </c>
      <c r="BR226"/>
      <c r="BS226" t="s">
        <v>6</v>
      </c>
      <c r="BT226" t="s">
        <v>2518</v>
      </c>
      <c r="BU226" t="s">
        <v>2518</v>
      </c>
      <c r="BV226" t="s">
        <v>2518</v>
      </c>
      <c r="BW226"/>
      <c r="BX226" t="s">
        <v>6</v>
      </c>
      <c r="BY226" t="s">
        <v>7</v>
      </c>
      <c r="BZ226" t="s">
        <v>2518</v>
      </c>
      <c r="CA226"/>
      <c r="CB226" t="s">
        <v>5</v>
      </c>
      <c r="CC226">
        <v>16716.568911328399</v>
      </c>
      <c r="CD226">
        <v>9284987.0653277058</v>
      </c>
      <c r="CE226" s="313" t="s">
        <v>11891</v>
      </c>
    </row>
    <row r="227" spans="1:83" ht="15" x14ac:dyDescent="0.25">
      <c r="A227" t="s">
        <v>3123</v>
      </c>
      <c r="B227" t="s">
        <v>994</v>
      </c>
      <c r="C227" t="s">
        <v>3124</v>
      </c>
      <c r="D227">
        <v>7</v>
      </c>
      <c r="E227" t="s">
        <v>2979</v>
      </c>
      <c r="F227" t="s">
        <v>627</v>
      </c>
      <c r="G227" t="s">
        <v>3125</v>
      </c>
      <c r="H227" t="s">
        <v>3126</v>
      </c>
      <c r="I227" t="s">
        <v>3127</v>
      </c>
      <c r="J227" t="s">
        <v>3128</v>
      </c>
      <c r="K227" t="s">
        <v>3129</v>
      </c>
      <c r="L227">
        <v>611.5341796875</v>
      </c>
      <c r="M227" t="s">
        <v>6</v>
      </c>
      <c r="N227" t="s">
        <v>5</v>
      </c>
      <c r="O227" t="s">
        <v>5</v>
      </c>
      <c r="P227" t="s">
        <v>5</v>
      </c>
      <c r="Q227" t="s">
        <v>5</v>
      </c>
      <c r="R227" t="s">
        <v>996</v>
      </c>
      <c r="S227" t="s">
        <v>996</v>
      </c>
      <c r="T227" t="s">
        <v>5</v>
      </c>
      <c r="U227" t="s">
        <v>28</v>
      </c>
      <c r="V227">
        <v>150000</v>
      </c>
      <c r="W227">
        <v>150000</v>
      </c>
      <c r="X227" t="s">
        <v>5</v>
      </c>
      <c r="Y227" t="s">
        <v>1100</v>
      </c>
      <c r="Z227">
        <v>0</v>
      </c>
      <c r="AA227">
        <v>74.011962890625</v>
      </c>
      <c r="AB227">
        <v>14.72189521789551</v>
      </c>
      <c r="AC227">
        <v>0</v>
      </c>
      <c r="AD227">
        <v>11167</v>
      </c>
      <c r="AE227">
        <v>3512</v>
      </c>
      <c r="AF227">
        <v>9822</v>
      </c>
      <c r="AG227">
        <v>24575</v>
      </c>
      <c r="AH227">
        <v>25896</v>
      </c>
      <c r="AI227">
        <v>25896</v>
      </c>
      <c r="AJ227">
        <v>11</v>
      </c>
      <c r="AK227">
        <v>72</v>
      </c>
      <c r="AL227">
        <v>245</v>
      </c>
      <c r="AM227">
        <v>0</v>
      </c>
      <c r="AN227">
        <v>7516.33935546875</v>
      </c>
      <c r="AO227">
        <v>0</v>
      </c>
      <c r="AP227">
        <v>0</v>
      </c>
      <c r="AQ227">
        <v>0</v>
      </c>
      <c r="AR227">
        <v>0</v>
      </c>
      <c r="AS227">
        <v>0</v>
      </c>
      <c r="AT227">
        <v>0</v>
      </c>
      <c r="AU227">
        <v>0</v>
      </c>
      <c r="AV227">
        <v>0</v>
      </c>
      <c r="AW227">
        <v>0</v>
      </c>
      <c r="AX227">
        <v>0</v>
      </c>
      <c r="AY227">
        <v>0</v>
      </c>
      <c r="AZ227">
        <v>0</v>
      </c>
      <c r="BA227">
        <v>0</v>
      </c>
      <c r="BB227">
        <v>0</v>
      </c>
      <c r="BC227">
        <v>0</v>
      </c>
      <c r="BD227">
        <v>0</v>
      </c>
      <c r="BE227">
        <v>0</v>
      </c>
      <c r="BF227" t="s">
        <v>1100</v>
      </c>
      <c r="BG227" t="s">
        <v>5</v>
      </c>
      <c r="BH227" t="s">
        <v>2987</v>
      </c>
      <c r="BI227" t="s">
        <v>1100</v>
      </c>
      <c r="BJ227" t="s">
        <v>5</v>
      </c>
      <c r="BK227" t="s">
        <v>1100</v>
      </c>
      <c r="BL227">
        <v>0</v>
      </c>
      <c r="BM227">
        <v>0</v>
      </c>
      <c r="BN227" t="s">
        <v>5</v>
      </c>
      <c r="BO227" t="s">
        <v>1100</v>
      </c>
      <c r="BP227" t="s">
        <v>1100</v>
      </c>
      <c r="BQ227" t="s">
        <v>1100</v>
      </c>
      <c r="BR227" t="s">
        <v>1100</v>
      </c>
      <c r="BS227" t="s">
        <v>5</v>
      </c>
      <c r="BT227" t="s">
        <v>1100</v>
      </c>
      <c r="BU227" t="s">
        <v>1100</v>
      </c>
      <c r="BV227" t="s">
        <v>1100</v>
      </c>
      <c r="BW227" t="s">
        <v>1100</v>
      </c>
      <c r="BX227" t="s">
        <v>6</v>
      </c>
      <c r="BY227" t="s">
        <v>2988</v>
      </c>
      <c r="BZ227" t="s">
        <v>3006</v>
      </c>
      <c r="CA227"/>
      <c r="CB227" t="s">
        <v>5</v>
      </c>
      <c r="CC227">
        <v>179630.17602813811</v>
      </c>
      <c r="CD227">
        <v>1583872520.0769031</v>
      </c>
      <c r="CE227" s="313" t="s">
        <v>11891</v>
      </c>
    </row>
    <row r="228" spans="1:83" ht="15" x14ac:dyDescent="0.25">
      <c r="A228" t="s">
        <v>12538</v>
      </c>
      <c r="B228" t="s">
        <v>12539</v>
      </c>
      <c r="C228" t="s">
        <v>12540</v>
      </c>
      <c r="D228">
        <v>8</v>
      </c>
      <c r="E228" t="s">
        <v>3395</v>
      </c>
      <c r="F228" t="s">
        <v>3396</v>
      </c>
      <c r="G228" t="s">
        <v>3397</v>
      </c>
      <c r="H228" t="s">
        <v>3398</v>
      </c>
      <c r="I228" t="s">
        <v>3399</v>
      </c>
      <c r="J228" t="s">
        <v>3400</v>
      </c>
      <c r="K228" t="s">
        <v>3401</v>
      </c>
      <c r="L228">
        <v>100.72193908691411</v>
      </c>
      <c r="M228" t="s">
        <v>6</v>
      </c>
      <c r="N228" t="s">
        <v>5</v>
      </c>
      <c r="O228" t="s">
        <v>5</v>
      </c>
      <c r="P228" t="s">
        <v>5</v>
      </c>
      <c r="Q228" t="s">
        <v>5</v>
      </c>
      <c r="R228" t="s">
        <v>3402</v>
      </c>
      <c r="S228" t="s">
        <v>3402</v>
      </c>
      <c r="T228" t="s">
        <v>6</v>
      </c>
      <c r="U228" t="s">
        <v>50</v>
      </c>
      <c r="V228">
        <v>150000</v>
      </c>
      <c r="W228">
        <v>150000</v>
      </c>
      <c r="X228" t="s">
        <v>6</v>
      </c>
      <c r="Y228" t="s">
        <v>3403</v>
      </c>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t="s">
        <v>12472</v>
      </c>
      <c r="BG228" t="s">
        <v>5</v>
      </c>
      <c r="BH228" t="s">
        <v>1020</v>
      </c>
      <c r="BI228" t="s">
        <v>5</v>
      </c>
      <c r="BJ228" t="s">
        <v>5</v>
      </c>
      <c r="BK228" t="s">
        <v>1020</v>
      </c>
      <c r="BL228">
        <v>0</v>
      </c>
      <c r="BM228"/>
      <c r="BN228" t="s">
        <v>5</v>
      </c>
      <c r="BO228"/>
      <c r="BP228"/>
      <c r="BQ228"/>
      <c r="BR228"/>
      <c r="BS228" t="s">
        <v>6</v>
      </c>
      <c r="BT228"/>
      <c r="BU228"/>
      <c r="BV228"/>
      <c r="BW228"/>
      <c r="BX228" t="s">
        <v>6</v>
      </c>
      <c r="BY228" t="s">
        <v>12473</v>
      </c>
      <c r="BZ228"/>
      <c r="CA228"/>
      <c r="CB228" t="s">
        <v>5</v>
      </c>
      <c r="CC228">
        <v>263428.99035529472</v>
      </c>
      <c r="CD228">
        <v>260868621.81166741</v>
      </c>
      <c r="CE228" s="313" t="s">
        <v>11902</v>
      </c>
    </row>
    <row r="229" spans="1:83" ht="15" x14ac:dyDescent="0.25">
      <c r="A229" t="s">
        <v>2943</v>
      </c>
      <c r="B229" t="s">
        <v>2944</v>
      </c>
      <c r="C229" t="s">
        <v>2945</v>
      </c>
      <c r="D229">
        <v>5</v>
      </c>
      <c r="E229" t="s">
        <v>2598</v>
      </c>
      <c r="F229" t="s">
        <v>2874</v>
      </c>
      <c r="G229" t="s">
        <v>2946</v>
      </c>
      <c r="H229" t="s">
        <v>2947</v>
      </c>
      <c r="I229"/>
      <c r="J229"/>
      <c r="K229" t="s">
        <v>2620</v>
      </c>
      <c r="L229">
        <v>893.96270751953125</v>
      </c>
      <c r="M229" t="s">
        <v>6</v>
      </c>
      <c r="N229" t="s">
        <v>5</v>
      </c>
      <c r="O229" t="s">
        <v>5</v>
      </c>
      <c r="P229" t="s">
        <v>5</v>
      </c>
      <c r="Q229" t="s">
        <v>6</v>
      </c>
      <c r="R229" t="s">
        <v>2948</v>
      </c>
      <c r="S229" t="s">
        <v>2948</v>
      </c>
      <c r="T229" t="s">
        <v>6</v>
      </c>
      <c r="U229" t="s">
        <v>98</v>
      </c>
      <c r="V229">
        <v>7500000</v>
      </c>
      <c r="W229">
        <v>140000</v>
      </c>
      <c r="X229" t="s">
        <v>6</v>
      </c>
      <c r="Y229"/>
      <c r="Z229"/>
      <c r="AA229">
        <v>306.374755859375</v>
      </c>
      <c r="AB229">
        <v>49.132774353027337</v>
      </c>
      <c r="AC229">
        <v>22.512029647827148</v>
      </c>
      <c r="AD229">
        <v>3678</v>
      </c>
      <c r="AE229">
        <v>2001</v>
      </c>
      <c r="AF229">
        <v>2638</v>
      </c>
      <c r="AG229">
        <v>5704</v>
      </c>
      <c r="AH229">
        <v>7212</v>
      </c>
      <c r="AI229">
        <v>10528</v>
      </c>
      <c r="AJ229">
        <v>25</v>
      </c>
      <c r="AK229">
        <v>13</v>
      </c>
      <c r="AL229">
        <v>136</v>
      </c>
      <c r="AM229">
        <v>13</v>
      </c>
      <c r="AN229">
        <v>743.241455078125</v>
      </c>
      <c r="AO229"/>
      <c r="AP229"/>
      <c r="AQ229"/>
      <c r="AR229">
        <v>0</v>
      </c>
      <c r="AS229">
        <v>0</v>
      </c>
      <c r="AT229">
        <v>0</v>
      </c>
      <c r="AU229">
        <v>0</v>
      </c>
      <c r="AV229">
        <v>0</v>
      </c>
      <c r="AW229">
        <v>0</v>
      </c>
      <c r="AX229">
        <v>0</v>
      </c>
      <c r="AY229">
        <v>0</v>
      </c>
      <c r="AZ229">
        <v>0</v>
      </c>
      <c r="BA229">
        <v>0</v>
      </c>
      <c r="BB229"/>
      <c r="BC229"/>
      <c r="BD229"/>
      <c r="BE229">
        <v>0</v>
      </c>
      <c r="BF229" t="s">
        <v>2516</v>
      </c>
      <c r="BG229" t="s">
        <v>5</v>
      </c>
      <c r="BH229" t="s">
        <v>1020</v>
      </c>
      <c r="BI229"/>
      <c r="BJ229" t="s">
        <v>5</v>
      </c>
      <c r="BK229"/>
      <c r="BL229">
        <v>0</v>
      </c>
      <c r="BM229"/>
      <c r="BN229" t="s">
        <v>6</v>
      </c>
      <c r="BO229" t="s">
        <v>2518</v>
      </c>
      <c r="BP229" t="s">
        <v>2518</v>
      </c>
      <c r="BQ229" t="s">
        <v>2518</v>
      </c>
      <c r="BR229"/>
      <c r="BS229" t="s">
        <v>6</v>
      </c>
      <c r="BT229" t="s">
        <v>2518</v>
      </c>
      <c r="BU229" t="s">
        <v>2518</v>
      </c>
      <c r="BV229" t="s">
        <v>2518</v>
      </c>
      <c r="BW229"/>
      <c r="BX229" t="s">
        <v>6</v>
      </c>
      <c r="BY229" t="s">
        <v>2605</v>
      </c>
      <c r="BZ229" t="s">
        <v>2518</v>
      </c>
      <c r="CA229"/>
      <c r="CB229" t="s">
        <v>5</v>
      </c>
      <c r="CC229">
        <v>275525.24046653649</v>
      </c>
      <c r="CD229">
        <v>2315352747.9435558</v>
      </c>
      <c r="CE229" s="313" t="s">
        <v>11891</v>
      </c>
    </row>
    <row r="230" spans="1:83" ht="15" x14ac:dyDescent="0.25">
      <c r="A230" s="337" t="s">
        <v>12812</v>
      </c>
      <c r="B230" s="337" t="s">
        <v>12384</v>
      </c>
      <c r="C230" s="337" t="s">
        <v>12385</v>
      </c>
      <c r="D230" s="337">
        <v>3</v>
      </c>
      <c r="E230" s="337" t="s">
        <v>1771</v>
      </c>
      <c r="F230" s="337" t="s">
        <v>2644</v>
      </c>
      <c r="G230" s="337" t="s">
        <v>12800</v>
      </c>
      <c r="H230" s="337" t="s">
        <v>12806</v>
      </c>
      <c r="I230" s="337" t="s">
        <v>12807</v>
      </c>
      <c r="J230" s="337" t="s">
        <v>12808</v>
      </c>
      <c r="K230" s="337" t="s">
        <v>12809</v>
      </c>
      <c r="L230" s="337">
        <v>141.4031066894531</v>
      </c>
      <c r="M230" s="337" t="s">
        <v>6</v>
      </c>
      <c r="N230" s="337" t="s">
        <v>5</v>
      </c>
      <c r="O230" s="337" t="s">
        <v>6</v>
      </c>
      <c r="P230" s="337" t="s">
        <v>5</v>
      </c>
      <c r="Q230" s="337" t="s">
        <v>5</v>
      </c>
      <c r="R230" s="337" t="s">
        <v>2649</v>
      </c>
      <c r="S230" s="337" t="s">
        <v>2649</v>
      </c>
      <c r="T230" s="337" t="s">
        <v>5</v>
      </c>
      <c r="U230" s="337" t="s">
        <v>50</v>
      </c>
      <c r="V230" s="337">
        <v>137000</v>
      </c>
      <c r="W230" s="337">
        <v>137000</v>
      </c>
      <c r="X230" s="337" t="s">
        <v>6</v>
      </c>
      <c r="Y230" s="337"/>
      <c r="Z230" s="337"/>
      <c r="AA230" s="337">
        <v>77.986763000488281</v>
      </c>
      <c r="AB230" s="337">
        <v>14.151960372924799</v>
      </c>
      <c r="AC230" s="337"/>
      <c r="AD230" s="337">
        <v>1471</v>
      </c>
      <c r="AE230" s="337">
        <v>1531</v>
      </c>
      <c r="AF230" s="337">
        <v>832</v>
      </c>
      <c r="AG230" s="337">
        <v>0</v>
      </c>
      <c r="AH230" s="337">
        <v>0</v>
      </c>
      <c r="AI230" s="337">
        <v>0</v>
      </c>
      <c r="AJ230" s="337">
        <v>3</v>
      </c>
      <c r="AK230" s="337">
        <v>0</v>
      </c>
      <c r="AL230" s="337">
        <v>29</v>
      </c>
      <c r="AM230" s="337">
        <v>0</v>
      </c>
      <c r="AN230" s="337">
        <v>5696.05517578125</v>
      </c>
      <c r="AO230" s="337"/>
      <c r="AP230" s="337"/>
      <c r="AQ230" s="337"/>
      <c r="AR230" s="337"/>
      <c r="AS230" s="337"/>
      <c r="AT230" s="337"/>
      <c r="AU230" s="337"/>
      <c r="AV230" s="337"/>
      <c r="AW230" s="337"/>
      <c r="AX230" s="337"/>
      <c r="AY230" s="337"/>
      <c r="AZ230" s="337"/>
      <c r="BA230" s="337"/>
      <c r="BB230" s="337"/>
      <c r="BC230" s="337"/>
      <c r="BD230" s="337"/>
      <c r="BE230" s="337"/>
      <c r="BF230" s="337" t="s">
        <v>12386</v>
      </c>
      <c r="BG230" s="337" t="s">
        <v>5</v>
      </c>
      <c r="BH230" s="337" t="s">
        <v>1777</v>
      </c>
      <c r="BI230" s="337"/>
      <c r="BJ230" s="337" t="s">
        <v>5</v>
      </c>
      <c r="BK230" s="337"/>
      <c r="BL230" s="337">
        <v>0</v>
      </c>
      <c r="BM230" s="337"/>
      <c r="BN230" s="337" t="s">
        <v>5</v>
      </c>
      <c r="BO230" s="337"/>
      <c r="BP230" s="337"/>
      <c r="BQ230" s="337"/>
      <c r="BR230" s="337"/>
      <c r="BS230" s="337" t="s">
        <v>5</v>
      </c>
      <c r="BT230" s="337"/>
      <c r="BU230" s="337"/>
      <c r="BV230" s="337"/>
      <c r="BW230" s="337"/>
      <c r="BX230" s="337" t="s">
        <v>6</v>
      </c>
      <c r="BY230" s="337" t="s">
        <v>1101</v>
      </c>
      <c r="BZ230" s="337"/>
      <c r="CB230" s="337" t="s">
        <v>5</v>
      </c>
      <c r="CC230" s="337">
        <v>130145.9713381021</v>
      </c>
      <c r="CD230" s="337">
        <v>366233820.06667483</v>
      </c>
      <c r="CE230" s="313" t="s">
        <v>11902</v>
      </c>
    </row>
    <row r="231" spans="1:83" ht="15" x14ac:dyDescent="0.25">
      <c r="A231" t="s">
        <v>3493</v>
      </c>
      <c r="B231" t="s">
        <v>3494</v>
      </c>
      <c r="C231" t="s">
        <v>3495</v>
      </c>
      <c r="D231">
        <v>12</v>
      </c>
      <c r="E231" t="s">
        <v>3435</v>
      </c>
      <c r="F231" t="s">
        <v>4630</v>
      </c>
      <c r="G231" t="s">
        <v>3496</v>
      </c>
      <c r="H231" t="s">
        <v>3497</v>
      </c>
      <c r="I231"/>
      <c r="J231" t="s">
        <v>3498</v>
      </c>
      <c r="K231" t="s">
        <v>3499</v>
      </c>
      <c r="L231">
        <v>505.2030029296875</v>
      </c>
      <c r="M231" t="s">
        <v>6</v>
      </c>
      <c r="N231" t="s">
        <v>5</v>
      </c>
      <c r="O231" t="s">
        <v>6</v>
      </c>
      <c r="P231" t="s">
        <v>5</v>
      </c>
      <c r="Q231" t="s">
        <v>5</v>
      </c>
      <c r="R231" t="s">
        <v>4631</v>
      </c>
      <c r="S231" t="s">
        <v>3479</v>
      </c>
      <c r="T231" t="s">
        <v>5</v>
      </c>
      <c r="U231" t="s">
        <v>13</v>
      </c>
      <c r="V231">
        <v>129000</v>
      </c>
      <c r="W231">
        <v>129000</v>
      </c>
      <c r="X231" t="s">
        <v>5</v>
      </c>
      <c r="Y231"/>
      <c r="Z231">
        <v>0</v>
      </c>
      <c r="AA231">
        <v>57.546298980712891</v>
      </c>
      <c r="AB231">
        <v>2.09608006477356</v>
      </c>
      <c r="AC231">
        <v>0</v>
      </c>
      <c r="AD231">
        <v>7156</v>
      </c>
      <c r="AE231">
        <v>460</v>
      </c>
      <c r="AF231">
        <v>5561</v>
      </c>
      <c r="AG231">
        <v>41778</v>
      </c>
      <c r="AH231">
        <v>22283</v>
      </c>
      <c r="AI231">
        <v>41778</v>
      </c>
      <c r="AJ231">
        <v>73</v>
      </c>
      <c r="AK231">
        <v>78</v>
      </c>
      <c r="AL231">
        <v>194</v>
      </c>
      <c r="AM231">
        <v>1237</v>
      </c>
      <c r="AN231">
        <v>956.45001220703125</v>
      </c>
      <c r="AO231">
        <v>0</v>
      </c>
      <c r="AP231">
        <v>0</v>
      </c>
      <c r="AQ231">
        <v>0</v>
      </c>
      <c r="AR231">
        <v>0</v>
      </c>
      <c r="AS231">
        <v>0</v>
      </c>
      <c r="AT231">
        <v>0</v>
      </c>
      <c r="AU231">
        <v>0</v>
      </c>
      <c r="AV231">
        <v>0</v>
      </c>
      <c r="AW231">
        <v>0</v>
      </c>
      <c r="AX231">
        <v>0</v>
      </c>
      <c r="AY231">
        <v>0</v>
      </c>
      <c r="AZ231">
        <v>0</v>
      </c>
      <c r="BA231">
        <v>0</v>
      </c>
      <c r="BB231">
        <v>0</v>
      </c>
      <c r="BC231">
        <v>0</v>
      </c>
      <c r="BD231">
        <v>0</v>
      </c>
      <c r="BE231">
        <v>0</v>
      </c>
      <c r="BF231" t="s">
        <v>1100</v>
      </c>
      <c r="BG231" t="s">
        <v>5</v>
      </c>
      <c r="BH231" t="s">
        <v>1100</v>
      </c>
      <c r="BI231"/>
      <c r="BJ231" t="s">
        <v>5</v>
      </c>
      <c r="BK231"/>
      <c r="BL231">
        <v>0</v>
      </c>
      <c r="BM231">
        <v>0</v>
      </c>
      <c r="BN231" t="s">
        <v>5</v>
      </c>
      <c r="BO231"/>
      <c r="BP231"/>
      <c r="BQ231"/>
      <c r="BR231"/>
      <c r="BS231" t="s">
        <v>5</v>
      </c>
      <c r="BT231"/>
      <c r="BU231"/>
      <c r="BV231"/>
      <c r="BW231"/>
      <c r="BX231" t="s">
        <v>6</v>
      </c>
      <c r="BY231" t="s">
        <v>3444</v>
      </c>
      <c r="BZ231"/>
      <c r="CA231"/>
      <c r="CB231" t="s">
        <v>5</v>
      </c>
      <c r="CC231">
        <v>236074.03206352729</v>
      </c>
      <c r="CD231">
        <v>1308470356.313313</v>
      </c>
      <c r="CE231" s="313" t="s">
        <v>11891</v>
      </c>
    </row>
    <row r="232" spans="1:83" ht="15" x14ac:dyDescent="0.25">
      <c r="A232" s="337" t="s">
        <v>993</v>
      </c>
      <c r="B232" s="337" t="s">
        <v>994</v>
      </c>
      <c r="C232" s="337" t="s">
        <v>995</v>
      </c>
      <c r="D232" s="337">
        <v>9</v>
      </c>
      <c r="E232" s="337" t="s">
        <v>416</v>
      </c>
      <c r="F232" s="337" t="s">
        <v>627</v>
      </c>
      <c r="G232" s="337" t="s">
        <v>628</v>
      </c>
      <c r="H232" s="337" t="s">
        <v>629</v>
      </c>
      <c r="I232" s="337" t="s">
        <v>629</v>
      </c>
      <c r="J232" s="337" t="s">
        <v>631</v>
      </c>
      <c r="K232" s="337" t="s">
        <v>653</v>
      </c>
      <c r="L232" s="337">
        <v>915.6199951171875</v>
      </c>
      <c r="M232" s="337" t="s">
        <v>5</v>
      </c>
      <c r="N232" s="337" t="s">
        <v>5</v>
      </c>
      <c r="O232" s="337" t="s">
        <v>5</v>
      </c>
      <c r="P232" s="337" t="s">
        <v>5</v>
      </c>
      <c r="Q232" s="337" t="s">
        <v>5</v>
      </c>
      <c r="R232" s="337" t="s">
        <v>996</v>
      </c>
      <c r="S232" s="337" t="s">
        <v>996</v>
      </c>
      <c r="T232" s="337" t="s">
        <v>5</v>
      </c>
      <c r="U232" s="337" t="s">
        <v>4</v>
      </c>
      <c r="V232" s="337">
        <v>151200</v>
      </c>
      <c r="W232" s="337">
        <v>126200</v>
      </c>
      <c r="X232" s="337" t="s">
        <v>6</v>
      </c>
      <c r="Y232" s="337"/>
      <c r="Z232" s="337"/>
      <c r="AA232" s="337">
        <v>21048.634765625</v>
      </c>
      <c r="AB232" s="337">
        <v>4.3354191780090332</v>
      </c>
      <c r="AC232" s="337">
        <v>21048.634765625</v>
      </c>
      <c r="AD232" s="337">
        <v>70</v>
      </c>
      <c r="AE232" s="337">
        <v>20</v>
      </c>
      <c r="AF232" s="337">
        <v>51</v>
      </c>
      <c r="AG232" s="337">
        <v>4</v>
      </c>
      <c r="AH232" s="337">
        <v>46</v>
      </c>
      <c r="AI232" s="337">
        <v>46</v>
      </c>
      <c r="AJ232" s="337">
        <v>0</v>
      </c>
      <c r="AK232" s="337">
        <v>10</v>
      </c>
      <c r="AL232" s="337">
        <v>18</v>
      </c>
      <c r="AM232" s="337">
        <v>0</v>
      </c>
      <c r="AN232" s="337">
        <v>3492.507568359375</v>
      </c>
      <c r="AO232" s="337"/>
      <c r="AP232" s="337"/>
      <c r="AQ232" s="337"/>
      <c r="AR232" s="337">
        <v>18</v>
      </c>
      <c r="AS232" s="337">
        <v>18</v>
      </c>
      <c r="AT232" s="337">
        <v>5</v>
      </c>
      <c r="AU232" s="337">
        <v>12</v>
      </c>
      <c r="AV232" s="337">
        <v>11</v>
      </c>
      <c r="AW232" s="337">
        <v>0</v>
      </c>
      <c r="AX232" s="337">
        <v>2</v>
      </c>
      <c r="AY232" s="337">
        <v>4</v>
      </c>
      <c r="AZ232" s="337">
        <v>0</v>
      </c>
      <c r="BA232" s="337">
        <v>873.12689208984375</v>
      </c>
      <c r="BB232" s="337"/>
      <c r="BC232" s="337"/>
      <c r="BD232" s="337"/>
      <c r="BE232" s="337">
        <v>25000</v>
      </c>
      <c r="BF232" s="337" t="s">
        <v>425</v>
      </c>
      <c r="BG232" s="337" t="s">
        <v>5</v>
      </c>
      <c r="BH232" s="337" t="s">
        <v>1020</v>
      </c>
      <c r="BI232" s="337"/>
      <c r="BJ232" s="337" t="s">
        <v>5</v>
      </c>
      <c r="BK232" s="337"/>
      <c r="BL232" s="337">
        <v>0</v>
      </c>
      <c r="BM232" s="337"/>
      <c r="BN232" s="337" t="s">
        <v>5</v>
      </c>
      <c r="BO232" s="337"/>
      <c r="BP232" s="337"/>
      <c r="BQ232" s="337"/>
      <c r="BR232" s="337"/>
      <c r="BS232" s="337" t="s">
        <v>5</v>
      </c>
      <c r="BT232" s="337"/>
      <c r="BU232" s="337"/>
      <c r="BV232" s="337"/>
      <c r="BW232" s="337"/>
      <c r="BX232" s="337" t="s">
        <v>6</v>
      </c>
      <c r="BY232" s="337" t="s">
        <v>426</v>
      </c>
      <c r="BZ232" s="337"/>
      <c r="CB232" s="337" t="s">
        <v>5</v>
      </c>
      <c r="CC232" s="337">
        <v>195145.6523011385</v>
      </c>
      <c r="CD232" s="337">
        <v>2371444890.9264798</v>
      </c>
      <c r="CE232" s="313" t="s">
        <v>11891</v>
      </c>
    </row>
    <row r="233" spans="1:83" ht="15" x14ac:dyDescent="0.25">
      <c r="A233" s="337" t="s">
        <v>1016</v>
      </c>
      <c r="B233" s="337" t="s">
        <v>1017</v>
      </c>
      <c r="C233" s="337" t="s">
        <v>683</v>
      </c>
      <c r="D233" s="337">
        <v>9</v>
      </c>
      <c r="E233" s="337" t="s">
        <v>416</v>
      </c>
      <c r="F233" s="337" t="s">
        <v>627</v>
      </c>
      <c r="G233" s="337" t="s">
        <v>628</v>
      </c>
      <c r="H233" s="337" t="s">
        <v>629</v>
      </c>
      <c r="I233" s="337" t="s">
        <v>629</v>
      </c>
      <c r="J233" s="337" t="s">
        <v>631</v>
      </c>
      <c r="K233" s="337" t="s">
        <v>894</v>
      </c>
      <c r="L233" s="337">
        <v>915.6199951171875</v>
      </c>
      <c r="M233" s="337" t="s">
        <v>5</v>
      </c>
      <c r="N233" s="337" t="s">
        <v>5</v>
      </c>
      <c r="O233" s="337" t="s">
        <v>5</v>
      </c>
      <c r="P233" s="337" t="s">
        <v>5</v>
      </c>
      <c r="Q233" s="337" t="s">
        <v>5</v>
      </c>
      <c r="R233" s="337" t="s">
        <v>996</v>
      </c>
      <c r="S233" s="337" t="s">
        <v>996</v>
      </c>
      <c r="T233" s="337" t="s">
        <v>5</v>
      </c>
      <c r="U233" s="337" t="s">
        <v>4</v>
      </c>
      <c r="V233" s="337">
        <v>151200</v>
      </c>
      <c r="W233" s="337">
        <v>126200</v>
      </c>
      <c r="X233" s="337" t="s">
        <v>6</v>
      </c>
      <c r="Y233" s="337"/>
      <c r="Z233" s="337"/>
      <c r="AA233" s="337">
        <v>21048.634765625</v>
      </c>
      <c r="AB233" s="337">
        <v>4.3354191780090332</v>
      </c>
      <c r="AC233" s="337">
        <v>21048.634765625</v>
      </c>
      <c r="AD233" s="337">
        <v>70</v>
      </c>
      <c r="AE233" s="337">
        <v>20</v>
      </c>
      <c r="AF233" s="337">
        <v>51</v>
      </c>
      <c r="AG233" s="337">
        <v>4</v>
      </c>
      <c r="AH233" s="337">
        <v>46</v>
      </c>
      <c r="AI233" s="337">
        <v>46</v>
      </c>
      <c r="AJ233" s="337">
        <v>0</v>
      </c>
      <c r="AK233" s="337">
        <v>10</v>
      </c>
      <c r="AL233" s="337">
        <v>18</v>
      </c>
      <c r="AM233" s="337">
        <v>0</v>
      </c>
      <c r="AN233" s="337">
        <v>3492.507568359375</v>
      </c>
      <c r="AO233" s="337"/>
      <c r="AP233" s="337"/>
      <c r="AQ233" s="337"/>
      <c r="AR233" s="337">
        <v>18</v>
      </c>
      <c r="AS233" s="337">
        <v>18</v>
      </c>
      <c r="AT233" s="337">
        <v>5</v>
      </c>
      <c r="AU233" s="337">
        <v>12</v>
      </c>
      <c r="AV233" s="337">
        <v>11</v>
      </c>
      <c r="AW233" s="337">
        <v>0</v>
      </c>
      <c r="AX233" s="337">
        <v>2</v>
      </c>
      <c r="AY233" s="337">
        <v>4</v>
      </c>
      <c r="AZ233" s="337">
        <v>0</v>
      </c>
      <c r="BA233" s="337">
        <v>873.12689208984375</v>
      </c>
      <c r="BB233" s="337"/>
      <c r="BC233" s="337"/>
      <c r="BD233" s="337"/>
      <c r="BE233" s="337">
        <v>25000</v>
      </c>
      <c r="BF233" s="337" t="s">
        <v>425</v>
      </c>
      <c r="BG233" s="337" t="s">
        <v>5</v>
      </c>
      <c r="BH233" s="337" t="s">
        <v>1020</v>
      </c>
      <c r="BI233" s="337"/>
      <c r="BJ233" s="337" t="s">
        <v>5</v>
      </c>
      <c r="BK233" s="337"/>
      <c r="BL233" s="337">
        <v>25</v>
      </c>
      <c r="BM233" s="337"/>
      <c r="BN233" s="337" t="s">
        <v>5</v>
      </c>
      <c r="BO233" s="337"/>
      <c r="BP233" s="337"/>
      <c r="BQ233" s="337"/>
      <c r="BR233" s="337"/>
      <c r="BS233" s="337" t="s">
        <v>5</v>
      </c>
      <c r="BT233" s="337"/>
      <c r="BU233" s="337"/>
      <c r="BV233" s="337"/>
      <c r="BW233" s="337"/>
      <c r="BX233" s="337" t="s">
        <v>6</v>
      </c>
      <c r="BY233" s="337" t="s">
        <v>426</v>
      </c>
      <c r="BZ233" s="337"/>
      <c r="CB233" s="337" t="s">
        <v>6</v>
      </c>
      <c r="CC233" s="337">
        <v>195145.6523011385</v>
      </c>
      <c r="CD233" s="337">
        <v>2371444890.9264798</v>
      </c>
      <c r="CE233" s="313" t="s">
        <v>11891</v>
      </c>
    </row>
    <row r="234" spans="1:83" ht="15" x14ac:dyDescent="0.25">
      <c r="A234" t="s">
        <v>121</v>
      </c>
      <c r="B234" t="s">
        <v>122</v>
      </c>
      <c r="C234" t="s">
        <v>123</v>
      </c>
      <c r="D234">
        <v>6</v>
      </c>
      <c r="E234" t="s">
        <v>259</v>
      </c>
      <c r="F234" t="s">
        <v>53</v>
      </c>
      <c r="G234" t="s">
        <v>356</v>
      </c>
      <c r="H234" t="s">
        <v>380</v>
      </c>
      <c r="I234" t="s">
        <v>381</v>
      </c>
      <c r="J234" t="s">
        <v>382</v>
      </c>
      <c r="K234" t="s">
        <v>340</v>
      </c>
      <c r="L234">
        <v>515.94830322265625</v>
      </c>
      <c r="M234" t="s">
        <v>6</v>
      </c>
      <c r="N234" t="s">
        <v>5</v>
      </c>
      <c r="O234" t="s">
        <v>6</v>
      </c>
      <c r="P234" t="s">
        <v>5</v>
      </c>
      <c r="Q234" t="s">
        <v>5</v>
      </c>
      <c r="R234" t="s">
        <v>336</v>
      </c>
      <c r="S234" t="s">
        <v>337</v>
      </c>
      <c r="T234" t="s">
        <v>5</v>
      </c>
      <c r="U234" t="s">
        <v>85</v>
      </c>
      <c r="V234">
        <v>2500000</v>
      </c>
      <c r="W234">
        <v>125000</v>
      </c>
      <c r="X234" t="s">
        <v>6</v>
      </c>
      <c r="Y234" t="s">
        <v>302</v>
      </c>
      <c r="Z234">
        <v>1250000</v>
      </c>
      <c r="AA234">
        <v>28.4786491394043</v>
      </c>
      <c r="AB234">
        <v>5.5907998085021973</v>
      </c>
      <c r="AC234">
        <v>2.6062000542879101E-2</v>
      </c>
      <c r="AD234">
        <v>1067</v>
      </c>
      <c r="AE234">
        <v>707</v>
      </c>
      <c r="AF234">
        <v>708</v>
      </c>
      <c r="AG234">
        <v>1171</v>
      </c>
      <c r="AH234">
        <v>1859</v>
      </c>
      <c r="AI234">
        <v>1859</v>
      </c>
      <c r="AJ234">
        <v>6</v>
      </c>
      <c r="AK234">
        <v>19</v>
      </c>
      <c r="AL234">
        <v>41</v>
      </c>
      <c r="AM234">
        <v>19</v>
      </c>
      <c r="AN234">
        <v>1357.317260742188</v>
      </c>
      <c r="AO234"/>
      <c r="AP234"/>
      <c r="AQ234"/>
      <c r="AR234"/>
      <c r="AS234"/>
      <c r="AT234"/>
      <c r="AU234"/>
      <c r="AV234"/>
      <c r="AW234"/>
      <c r="AX234"/>
      <c r="AY234"/>
      <c r="AZ234"/>
      <c r="BA234"/>
      <c r="BB234"/>
      <c r="BC234"/>
      <c r="BD234"/>
      <c r="BE234"/>
      <c r="BF234"/>
      <c r="BG234" t="s">
        <v>5</v>
      </c>
      <c r="BH234"/>
      <c r="BI234"/>
      <c r="BJ234" t="s">
        <v>5</v>
      </c>
      <c r="BK234"/>
      <c r="BL234">
        <v>0</v>
      </c>
      <c r="BM234"/>
      <c r="BN234" t="s">
        <v>5</v>
      </c>
      <c r="BO234" t="s">
        <v>2518</v>
      </c>
      <c r="BP234" t="s">
        <v>2518</v>
      </c>
      <c r="BQ234" t="s">
        <v>2518</v>
      </c>
      <c r="BR234"/>
      <c r="BS234" t="s">
        <v>6</v>
      </c>
      <c r="BT234" t="s">
        <v>2518</v>
      </c>
      <c r="BU234" t="s">
        <v>2518</v>
      </c>
      <c r="BV234" t="s">
        <v>2518</v>
      </c>
      <c r="BW234"/>
      <c r="BX234" t="s">
        <v>6</v>
      </c>
      <c r="BY234" t="s">
        <v>7</v>
      </c>
      <c r="BZ234" t="s">
        <v>2518</v>
      </c>
      <c r="CA234"/>
      <c r="CB234" t="s">
        <v>5</v>
      </c>
      <c r="CC234">
        <v>251551.1790098162</v>
      </c>
      <c r="CD234">
        <v>1336299991.290905</v>
      </c>
      <c r="CE234" s="313" t="s">
        <v>11891</v>
      </c>
    </row>
    <row r="235" spans="1:83" ht="15" x14ac:dyDescent="0.25">
      <c r="A235" t="s">
        <v>2761</v>
      </c>
      <c r="B235" t="s">
        <v>2762</v>
      </c>
      <c r="C235" t="s">
        <v>2763</v>
      </c>
      <c r="D235">
        <v>5</v>
      </c>
      <c r="E235" t="s">
        <v>2598</v>
      </c>
      <c r="F235" t="s">
        <v>2171</v>
      </c>
      <c r="G235" t="s">
        <v>2685</v>
      </c>
      <c r="H235" t="s">
        <v>2686</v>
      </c>
      <c r="I235" t="s">
        <v>2687</v>
      </c>
      <c r="J235" t="s">
        <v>2688</v>
      </c>
      <c r="K235" t="s">
        <v>2603</v>
      </c>
      <c r="L235">
        <v>418.21084594726563</v>
      </c>
      <c r="M235" t="s">
        <v>6</v>
      </c>
      <c r="N235" t="s">
        <v>5</v>
      </c>
      <c r="O235" t="s">
        <v>6</v>
      </c>
      <c r="P235" t="s">
        <v>5</v>
      </c>
      <c r="Q235" t="s">
        <v>6</v>
      </c>
      <c r="R235" t="s">
        <v>2067</v>
      </c>
      <c r="S235" t="s">
        <v>2067</v>
      </c>
      <c r="T235" t="s">
        <v>6</v>
      </c>
      <c r="U235" t="s">
        <v>85</v>
      </c>
      <c r="V235">
        <v>2000000</v>
      </c>
      <c r="W235">
        <v>121000</v>
      </c>
      <c r="X235" t="s">
        <v>5</v>
      </c>
      <c r="Y235"/>
      <c r="Z235"/>
      <c r="AA235">
        <v>61.414657592773438</v>
      </c>
      <c r="AB235">
        <v>4.7471528053283691</v>
      </c>
      <c r="AC235">
        <v>3.9730210304260249</v>
      </c>
      <c r="AD235">
        <v>17</v>
      </c>
      <c r="AE235">
        <v>2</v>
      </c>
      <c r="AF235">
        <v>3</v>
      </c>
      <c r="AG235">
        <v>5</v>
      </c>
      <c r="AH235">
        <v>16</v>
      </c>
      <c r="AI235">
        <v>16</v>
      </c>
      <c r="AJ235">
        <v>0</v>
      </c>
      <c r="AK235">
        <v>7</v>
      </c>
      <c r="AL235">
        <v>20</v>
      </c>
      <c r="AM235">
        <v>7</v>
      </c>
      <c r="AN235">
        <v>116.8699188232422</v>
      </c>
      <c r="AO235"/>
      <c r="AP235"/>
      <c r="AQ235"/>
      <c r="AR235">
        <v>0</v>
      </c>
      <c r="AS235">
        <v>0</v>
      </c>
      <c r="AT235">
        <v>0</v>
      </c>
      <c r="AU235">
        <v>0</v>
      </c>
      <c r="AV235">
        <v>0</v>
      </c>
      <c r="AW235">
        <v>0</v>
      </c>
      <c r="AX235">
        <v>0</v>
      </c>
      <c r="AY235">
        <v>0</v>
      </c>
      <c r="AZ235">
        <v>0</v>
      </c>
      <c r="BA235">
        <v>0</v>
      </c>
      <c r="BB235"/>
      <c r="BC235"/>
      <c r="BD235"/>
      <c r="BE235">
        <v>0</v>
      </c>
      <c r="BF235" t="s">
        <v>2516</v>
      </c>
      <c r="BG235" t="s">
        <v>5</v>
      </c>
      <c r="BH235" t="s">
        <v>1020</v>
      </c>
      <c r="BI235"/>
      <c r="BJ235" t="s">
        <v>5</v>
      </c>
      <c r="BK235"/>
      <c r="BL235">
        <v>0</v>
      </c>
      <c r="BM235"/>
      <c r="BN235" t="s">
        <v>5</v>
      </c>
      <c r="BO235" t="s">
        <v>2518</v>
      </c>
      <c r="BP235" t="s">
        <v>2518</v>
      </c>
      <c r="BQ235" t="s">
        <v>2518</v>
      </c>
      <c r="BR235"/>
      <c r="BS235" t="s">
        <v>6</v>
      </c>
      <c r="BT235" t="s">
        <v>2518</v>
      </c>
      <c r="BU235" t="s">
        <v>2518</v>
      </c>
      <c r="BV235" t="s">
        <v>2518</v>
      </c>
      <c r="BW235"/>
      <c r="BX235" t="s">
        <v>6</v>
      </c>
      <c r="BY235" t="s">
        <v>2605</v>
      </c>
      <c r="BZ235" t="s">
        <v>2518</v>
      </c>
      <c r="CA235"/>
      <c r="CB235" t="s">
        <v>5</v>
      </c>
      <c r="CC235">
        <v>191278.39302701049</v>
      </c>
      <c r="CD235">
        <v>1083161157.7274129</v>
      </c>
      <c r="CE235" s="313" t="s">
        <v>11891</v>
      </c>
    </row>
    <row r="236" spans="1:83" ht="15" x14ac:dyDescent="0.25">
      <c r="A236" t="s">
        <v>4125</v>
      </c>
      <c r="B236" t="s">
        <v>4126</v>
      </c>
      <c r="C236" t="s">
        <v>4127</v>
      </c>
      <c r="D236">
        <v>15</v>
      </c>
      <c r="E236" t="s">
        <v>3847</v>
      </c>
      <c r="F236" t="s">
        <v>3848</v>
      </c>
      <c r="G236" t="s">
        <v>3849</v>
      </c>
      <c r="H236" t="s">
        <v>4096</v>
      </c>
      <c r="I236" t="s">
        <v>4097</v>
      </c>
      <c r="J236"/>
      <c r="K236" t="s">
        <v>3902</v>
      </c>
      <c r="L236">
        <v>1.707446694374084</v>
      </c>
      <c r="M236" t="s">
        <v>6</v>
      </c>
      <c r="N236" t="s">
        <v>6</v>
      </c>
      <c r="O236" t="s">
        <v>5</v>
      </c>
      <c r="P236" t="s">
        <v>5</v>
      </c>
      <c r="Q236" t="s">
        <v>5</v>
      </c>
      <c r="R236" t="s">
        <v>4123</v>
      </c>
      <c r="S236" t="s">
        <v>4128</v>
      </c>
      <c r="T236" t="s">
        <v>6</v>
      </c>
      <c r="U236" t="s">
        <v>85</v>
      </c>
      <c r="V236">
        <v>1200000</v>
      </c>
      <c r="W236">
        <v>120000</v>
      </c>
      <c r="X236" t="s">
        <v>6</v>
      </c>
      <c r="Y236"/>
      <c r="Z236">
        <v>0</v>
      </c>
      <c r="AA236">
        <v>1.5206922292709351</v>
      </c>
      <c r="AB236">
        <v>9.3636646866798401E-2</v>
      </c>
      <c r="AC236">
        <v>0</v>
      </c>
      <c r="AD236">
        <v>0</v>
      </c>
      <c r="AE236">
        <v>0</v>
      </c>
      <c r="AF236">
        <v>0</v>
      </c>
      <c r="AG236">
        <v>0</v>
      </c>
      <c r="AH236">
        <v>0</v>
      </c>
      <c r="AI236">
        <v>0</v>
      </c>
      <c r="AJ236">
        <v>0</v>
      </c>
      <c r="AK236">
        <v>0</v>
      </c>
      <c r="AL236">
        <v>0</v>
      </c>
      <c r="AM236">
        <v>0</v>
      </c>
      <c r="AN236">
        <v>13.69368743896484</v>
      </c>
      <c r="AO236">
        <v>0</v>
      </c>
      <c r="AP236">
        <v>0</v>
      </c>
      <c r="AQ236">
        <v>0</v>
      </c>
      <c r="AR236">
        <v>0</v>
      </c>
      <c r="AS236">
        <v>0</v>
      </c>
      <c r="AT236">
        <v>0</v>
      </c>
      <c r="AU236">
        <v>0</v>
      </c>
      <c r="AV236">
        <v>0</v>
      </c>
      <c r="AW236">
        <v>0</v>
      </c>
      <c r="AX236">
        <v>0</v>
      </c>
      <c r="AY236">
        <v>0</v>
      </c>
      <c r="AZ236">
        <v>0</v>
      </c>
      <c r="BA236">
        <v>0</v>
      </c>
      <c r="BB236">
        <v>0</v>
      </c>
      <c r="BC236">
        <v>0</v>
      </c>
      <c r="BD236">
        <v>0</v>
      </c>
      <c r="BE236">
        <v>0</v>
      </c>
      <c r="BF236" t="s">
        <v>5</v>
      </c>
      <c r="BG236" t="s">
        <v>5</v>
      </c>
      <c r="BH236"/>
      <c r="BI236"/>
      <c r="BJ236" t="s">
        <v>5</v>
      </c>
      <c r="BK236"/>
      <c r="BL236">
        <v>0</v>
      </c>
      <c r="BM236">
        <v>0</v>
      </c>
      <c r="BN236" t="s">
        <v>5</v>
      </c>
      <c r="BO236"/>
      <c r="BP236"/>
      <c r="BQ236"/>
      <c r="BR236"/>
      <c r="BS236" t="s">
        <v>5</v>
      </c>
      <c r="BT236"/>
      <c r="BU236"/>
      <c r="BV236"/>
      <c r="BW236"/>
      <c r="BX236" t="s">
        <v>6</v>
      </c>
      <c r="BY236" t="s">
        <v>3850</v>
      </c>
      <c r="BZ236"/>
      <c r="CA236"/>
      <c r="CB236" t="s">
        <v>5</v>
      </c>
      <c r="CC236">
        <v>8732.543668217404</v>
      </c>
      <c r="CD236">
        <v>4422291.2899768548</v>
      </c>
      <c r="CE236" s="313" t="s">
        <v>11891</v>
      </c>
    </row>
    <row r="237" spans="1:83" ht="15" x14ac:dyDescent="0.25">
      <c r="A237" t="s">
        <v>4129</v>
      </c>
      <c r="B237" t="s">
        <v>4130</v>
      </c>
      <c r="C237" t="s">
        <v>4131</v>
      </c>
      <c r="D237">
        <v>15</v>
      </c>
      <c r="E237" t="s">
        <v>3847</v>
      </c>
      <c r="F237" t="s">
        <v>3848</v>
      </c>
      <c r="G237" t="s">
        <v>3849</v>
      </c>
      <c r="H237" t="s">
        <v>4132</v>
      </c>
      <c r="I237" t="s">
        <v>4133</v>
      </c>
      <c r="J237"/>
      <c r="K237" t="s">
        <v>3902</v>
      </c>
      <c r="L237">
        <v>1.195634126663208</v>
      </c>
      <c r="M237" t="s">
        <v>6</v>
      </c>
      <c r="N237" t="s">
        <v>6</v>
      </c>
      <c r="O237" t="s">
        <v>5</v>
      </c>
      <c r="P237" t="s">
        <v>5</v>
      </c>
      <c r="Q237" t="s">
        <v>5</v>
      </c>
      <c r="R237" t="s">
        <v>4134</v>
      </c>
      <c r="S237" t="s">
        <v>4135</v>
      </c>
      <c r="T237" t="s">
        <v>6</v>
      </c>
      <c r="U237" t="s">
        <v>85</v>
      </c>
      <c r="V237">
        <v>720000</v>
      </c>
      <c r="W237">
        <v>120000</v>
      </c>
      <c r="X237" t="s">
        <v>6</v>
      </c>
      <c r="Y237"/>
      <c r="Z237">
        <v>0</v>
      </c>
      <c r="AA237">
        <v>0.83193987607955933</v>
      </c>
      <c r="AB237">
        <v>0.31767886877059942</v>
      </c>
      <c r="AC237">
        <v>0</v>
      </c>
      <c r="AD237">
        <v>1189</v>
      </c>
      <c r="AE237">
        <v>674</v>
      </c>
      <c r="AF237">
        <v>979</v>
      </c>
      <c r="AG237">
        <v>3379</v>
      </c>
      <c r="AH237">
        <v>1562</v>
      </c>
      <c r="AI237">
        <v>3379</v>
      </c>
      <c r="AJ237">
        <v>0</v>
      </c>
      <c r="AK237">
        <v>126</v>
      </c>
      <c r="AL237">
        <v>18</v>
      </c>
      <c r="AM237">
        <v>0</v>
      </c>
      <c r="AN237">
        <v>16.590072631835941</v>
      </c>
      <c r="AO237">
        <v>0</v>
      </c>
      <c r="AP237">
        <v>0</v>
      </c>
      <c r="AQ237">
        <v>0</v>
      </c>
      <c r="AR237">
        <v>0</v>
      </c>
      <c r="AS237">
        <v>0</v>
      </c>
      <c r="AT237">
        <v>0</v>
      </c>
      <c r="AU237">
        <v>0</v>
      </c>
      <c r="AV237">
        <v>0</v>
      </c>
      <c r="AW237">
        <v>0</v>
      </c>
      <c r="AX237">
        <v>0</v>
      </c>
      <c r="AY237">
        <v>0</v>
      </c>
      <c r="AZ237">
        <v>0</v>
      </c>
      <c r="BA237">
        <v>0</v>
      </c>
      <c r="BB237">
        <v>0</v>
      </c>
      <c r="BC237">
        <v>0</v>
      </c>
      <c r="BD237">
        <v>0</v>
      </c>
      <c r="BE237">
        <v>0</v>
      </c>
      <c r="BF237" t="s">
        <v>5</v>
      </c>
      <c r="BG237" t="s">
        <v>5</v>
      </c>
      <c r="BH237"/>
      <c r="BI237"/>
      <c r="BJ237" t="s">
        <v>5</v>
      </c>
      <c r="BK237"/>
      <c r="BL237">
        <v>0</v>
      </c>
      <c r="BM237">
        <v>0</v>
      </c>
      <c r="BN237" t="s">
        <v>5</v>
      </c>
      <c r="BO237"/>
      <c r="BP237"/>
      <c r="BQ237"/>
      <c r="BR237"/>
      <c r="BS237" t="s">
        <v>5</v>
      </c>
      <c r="BT237"/>
      <c r="BU237"/>
      <c r="BV237"/>
      <c r="BW237"/>
      <c r="BX237" t="s">
        <v>6</v>
      </c>
      <c r="BY237" t="s">
        <v>3850</v>
      </c>
      <c r="BZ237"/>
      <c r="CA237"/>
      <c r="CB237" t="s">
        <v>5</v>
      </c>
      <c r="CC237">
        <v>10781.727786674919</v>
      </c>
      <c r="CD237">
        <v>3096695.570086875</v>
      </c>
      <c r="CE237" s="313" t="s">
        <v>11891</v>
      </c>
    </row>
    <row r="238" spans="1:83" ht="15" x14ac:dyDescent="0.25">
      <c r="A238" t="s">
        <v>2783</v>
      </c>
      <c r="B238" t="s">
        <v>2784</v>
      </c>
      <c r="C238" t="s">
        <v>2785</v>
      </c>
      <c r="D238">
        <v>5</v>
      </c>
      <c r="E238" t="s">
        <v>2598</v>
      </c>
      <c r="F238" t="s">
        <v>2690</v>
      </c>
      <c r="G238" t="s">
        <v>2691</v>
      </c>
      <c r="H238" t="s">
        <v>2692</v>
      </c>
      <c r="I238"/>
      <c r="J238" t="s">
        <v>2693</v>
      </c>
      <c r="K238" t="s">
        <v>2620</v>
      </c>
      <c r="L238">
        <v>533.49688720703125</v>
      </c>
      <c r="M238" t="s">
        <v>6</v>
      </c>
      <c r="N238" t="s">
        <v>5</v>
      </c>
      <c r="O238" t="s">
        <v>6</v>
      </c>
      <c r="P238" t="s">
        <v>5</v>
      </c>
      <c r="Q238" t="s">
        <v>5</v>
      </c>
      <c r="R238" t="s">
        <v>2694</v>
      </c>
      <c r="S238" t="s">
        <v>2695</v>
      </c>
      <c r="T238" t="s">
        <v>6</v>
      </c>
      <c r="U238" t="s">
        <v>85</v>
      </c>
      <c r="V238">
        <v>3000000</v>
      </c>
      <c r="W238">
        <v>105000</v>
      </c>
      <c r="X238" t="s">
        <v>6</v>
      </c>
      <c r="Y238"/>
      <c r="Z238"/>
      <c r="AA238">
        <v>122.7117156982422</v>
      </c>
      <c r="AB238">
        <v>4.3492550849914551</v>
      </c>
      <c r="AC238">
        <v>4.5395288467407227</v>
      </c>
      <c r="AD238">
        <v>64</v>
      </c>
      <c r="AE238">
        <v>19</v>
      </c>
      <c r="AF238">
        <v>28</v>
      </c>
      <c r="AG238">
        <v>110</v>
      </c>
      <c r="AH238">
        <v>105</v>
      </c>
      <c r="AI238">
        <v>146</v>
      </c>
      <c r="AJ238">
        <v>0</v>
      </c>
      <c r="AK238">
        <v>2</v>
      </c>
      <c r="AL238">
        <v>13</v>
      </c>
      <c r="AM238">
        <v>2</v>
      </c>
      <c r="AN238">
        <v>41.607803344726563</v>
      </c>
      <c r="AO238"/>
      <c r="AP238"/>
      <c r="AQ238"/>
      <c r="AR238">
        <v>0</v>
      </c>
      <c r="AS238">
        <v>0</v>
      </c>
      <c r="AT238">
        <v>0</v>
      </c>
      <c r="AU238">
        <v>0</v>
      </c>
      <c r="AV238">
        <v>0</v>
      </c>
      <c r="AW238">
        <v>0</v>
      </c>
      <c r="AX238">
        <v>0</v>
      </c>
      <c r="AY238">
        <v>0</v>
      </c>
      <c r="AZ238">
        <v>0</v>
      </c>
      <c r="BA238">
        <v>0</v>
      </c>
      <c r="BB238"/>
      <c r="BC238"/>
      <c r="BD238"/>
      <c r="BE238">
        <v>0</v>
      </c>
      <c r="BF238" t="s">
        <v>2516</v>
      </c>
      <c r="BG238" t="s">
        <v>5</v>
      </c>
      <c r="BH238" t="s">
        <v>1020</v>
      </c>
      <c r="BI238"/>
      <c r="BJ238" t="s">
        <v>5</v>
      </c>
      <c r="BK238"/>
      <c r="BL238">
        <v>0</v>
      </c>
      <c r="BM238"/>
      <c r="BN238" t="s">
        <v>6</v>
      </c>
      <c r="BO238" t="s">
        <v>2518</v>
      </c>
      <c r="BP238" t="s">
        <v>2518</v>
      </c>
      <c r="BQ238" t="s">
        <v>2518</v>
      </c>
      <c r="BR238"/>
      <c r="BS238" t="s">
        <v>6</v>
      </c>
      <c r="BT238" t="s">
        <v>2518</v>
      </c>
      <c r="BU238" t="s">
        <v>2518</v>
      </c>
      <c r="BV238" t="s">
        <v>2518</v>
      </c>
      <c r="BW238"/>
      <c r="BX238" t="s">
        <v>6</v>
      </c>
      <c r="BY238" t="s">
        <v>2605</v>
      </c>
      <c r="BZ238" t="s">
        <v>2518</v>
      </c>
      <c r="CA238"/>
      <c r="CB238" t="s">
        <v>5</v>
      </c>
      <c r="CC238">
        <v>265851.37858495401</v>
      </c>
      <c r="CD238">
        <v>1381750542.167592</v>
      </c>
      <c r="CE238" s="313" t="s">
        <v>11891</v>
      </c>
    </row>
    <row r="239" spans="1:83" ht="15" x14ac:dyDescent="0.25">
      <c r="A239" t="s">
        <v>4844</v>
      </c>
      <c r="B239" t="s">
        <v>4845</v>
      </c>
      <c r="C239" t="s">
        <v>4846</v>
      </c>
      <c r="D239">
        <v>4</v>
      </c>
      <c r="E239" t="s">
        <v>2512</v>
      </c>
      <c r="F239" t="s">
        <v>2553</v>
      </c>
      <c r="G239" t="s">
        <v>2537</v>
      </c>
      <c r="H239" t="s">
        <v>4847</v>
      </c>
      <c r="I239" t="s">
        <v>4848</v>
      </c>
      <c r="J239" t="s">
        <v>4849</v>
      </c>
      <c r="K239" t="s">
        <v>4767</v>
      </c>
      <c r="L239">
        <v>1.550689697265625</v>
      </c>
      <c r="M239" t="s">
        <v>6</v>
      </c>
      <c r="N239" t="s">
        <v>5</v>
      </c>
      <c r="O239" t="s">
        <v>5</v>
      </c>
      <c r="P239" t="s">
        <v>5</v>
      </c>
      <c r="Q239" t="s">
        <v>5</v>
      </c>
      <c r="R239" t="s">
        <v>4850</v>
      </c>
      <c r="S239" t="s">
        <v>4850</v>
      </c>
      <c r="T239" t="s">
        <v>5</v>
      </c>
      <c r="U239" t="s">
        <v>13</v>
      </c>
      <c r="V239">
        <v>104000</v>
      </c>
      <c r="W239">
        <v>104000</v>
      </c>
      <c r="X239" t="s">
        <v>6</v>
      </c>
      <c r="Y239"/>
      <c r="Z239">
        <v>0</v>
      </c>
      <c r="AA239">
        <v>0.65966016054153442</v>
      </c>
      <c r="AB239">
        <v>8.3246633410453796E-2</v>
      </c>
      <c r="AC239">
        <v>0</v>
      </c>
      <c r="AD239">
        <v>8</v>
      </c>
      <c r="AE239">
        <v>2</v>
      </c>
      <c r="AF239">
        <v>4</v>
      </c>
      <c r="AG239">
        <v>8</v>
      </c>
      <c r="AH239">
        <v>1</v>
      </c>
      <c r="AI239">
        <v>8</v>
      </c>
      <c r="AJ239">
        <v>0</v>
      </c>
      <c r="AK239">
        <v>0</v>
      </c>
      <c r="AL239">
        <v>0</v>
      </c>
      <c r="AM239">
        <v>0</v>
      </c>
      <c r="AN239">
        <v>25.93487548828125</v>
      </c>
      <c r="AO239"/>
      <c r="AP239"/>
      <c r="AQ239"/>
      <c r="AR239">
        <v>0</v>
      </c>
      <c r="AS239">
        <v>0</v>
      </c>
      <c r="AT239">
        <v>0</v>
      </c>
      <c r="AU239">
        <v>0</v>
      </c>
      <c r="AV239">
        <v>0</v>
      </c>
      <c r="AW239">
        <v>0</v>
      </c>
      <c r="AX239">
        <v>0</v>
      </c>
      <c r="AY239">
        <v>0</v>
      </c>
      <c r="AZ239">
        <v>0</v>
      </c>
      <c r="BA239">
        <v>0</v>
      </c>
      <c r="BB239"/>
      <c r="BC239"/>
      <c r="BD239"/>
      <c r="BE239">
        <v>0</v>
      </c>
      <c r="BF239" t="s">
        <v>2516</v>
      </c>
      <c r="BG239" t="s">
        <v>5</v>
      </c>
      <c r="BH239" t="s">
        <v>1020</v>
      </c>
      <c r="BI239" t="s">
        <v>2517</v>
      </c>
      <c r="BJ239" t="s">
        <v>5</v>
      </c>
      <c r="BK239" t="s">
        <v>1100</v>
      </c>
      <c r="BL239">
        <v>0</v>
      </c>
      <c r="BM239"/>
      <c r="BN239" t="s">
        <v>5</v>
      </c>
      <c r="BO239" t="s">
        <v>2518</v>
      </c>
      <c r="BP239" t="s">
        <v>2518</v>
      </c>
      <c r="BQ239" t="s">
        <v>2518</v>
      </c>
      <c r="BR239" t="s">
        <v>2518</v>
      </c>
      <c r="BS239" t="s">
        <v>6</v>
      </c>
      <c r="BT239" t="s">
        <v>2518</v>
      </c>
      <c r="BU239" t="s">
        <v>2518</v>
      </c>
      <c r="BV239" t="s">
        <v>2518</v>
      </c>
      <c r="BW239" t="s">
        <v>1100</v>
      </c>
      <c r="BX239" t="s">
        <v>6</v>
      </c>
      <c r="BY239" t="s">
        <v>2519</v>
      </c>
      <c r="BZ239"/>
      <c r="CA239"/>
      <c r="CB239" t="s">
        <v>5</v>
      </c>
      <c r="CC239">
        <v>11088.34791602423</v>
      </c>
      <c r="CD239">
        <v>4016268.0023148828</v>
      </c>
      <c r="CE239" s="313" t="s">
        <v>11891</v>
      </c>
    </row>
    <row r="240" spans="1:83" ht="15" x14ac:dyDescent="0.25">
      <c r="A240" s="337" t="s">
        <v>12810</v>
      </c>
      <c r="B240" s="337" t="s">
        <v>12376</v>
      </c>
      <c r="C240" s="337" t="s">
        <v>12377</v>
      </c>
      <c r="D240" s="337">
        <v>3</v>
      </c>
      <c r="E240" s="337" t="s">
        <v>1771</v>
      </c>
      <c r="F240" s="337" t="s">
        <v>2644</v>
      </c>
      <c r="G240" s="337" t="s">
        <v>12800</v>
      </c>
      <c r="H240" s="337" t="s">
        <v>12806</v>
      </c>
      <c r="I240" s="337" t="s">
        <v>12807</v>
      </c>
      <c r="J240" s="337" t="s">
        <v>12808</v>
      </c>
      <c r="K240" s="337" t="s">
        <v>12804</v>
      </c>
      <c r="L240" s="337">
        <v>141.4031066894531</v>
      </c>
      <c r="M240" s="337" t="s">
        <v>6</v>
      </c>
      <c r="N240" s="337" t="s">
        <v>6</v>
      </c>
      <c r="O240" s="337" t="s">
        <v>6</v>
      </c>
      <c r="P240" s="337" t="s">
        <v>5</v>
      </c>
      <c r="Q240" s="337" t="s">
        <v>5</v>
      </c>
      <c r="R240" s="337" t="s">
        <v>2649</v>
      </c>
      <c r="S240" s="337" t="s">
        <v>2649</v>
      </c>
      <c r="T240" s="337" t="s">
        <v>5</v>
      </c>
      <c r="U240" s="337" t="s">
        <v>28</v>
      </c>
      <c r="V240" s="337">
        <v>102000</v>
      </c>
      <c r="W240" s="337">
        <v>102000</v>
      </c>
      <c r="X240" s="337" t="s">
        <v>6</v>
      </c>
      <c r="Y240" s="337"/>
      <c r="Z240" s="337"/>
      <c r="AA240" s="337">
        <v>77.986763000488281</v>
      </c>
      <c r="AB240" s="337">
        <v>14.151960372924799</v>
      </c>
      <c r="AC240" s="337"/>
      <c r="AD240" s="337">
        <v>1471</v>
      </c>
      <c r="AE240" s="337">
        <v>1531</v>
      </c>
      <c r="AF240" s="337">
        <v>832</v>
      </c>
      <c r="AG240" s="337">
        <v>0</v>
      </c>
      <c r="AH240" s="337">
        <v>0</v>
      </c>
      <c r="AI240" s="337">
        <v>0</v>
      </c>
      <c r="AJ240" s="337">
        <v>3</v>
      </c>
      <c r="AK240" s="337">
        <v>0</v>
      </c>
      <c r="AL240" s="337">
        <v>29</v>
      </c>
      <c r="AM240" s="337">
        <v>0</v>
      </c>
      <c r="AN240" s="337">
        <v>5696.05517578125</v>
      </c>
      <c r="AO240" s="337"/>
      <c r="AP240" s="337"/>
      <c r="AQ240" s="337"/>
      <c r="AR240" s="337"/>
      <c r="AS240" s="337"/>
      <c r="AT240" s="337"/>
      <c r="AU240" s="337"/>
      <c r="AV240" s="337"/>
      <c r="AW240" s="337"/>
      <c r="AX240" s="337"/>
      <c r="AY240" s="337"/>
      <c r="AZ240" s="337"/>
      <c r="BA240" s="337"/>
      <c r="BB240" s="337"/>
      <c r="BC240" s="337"/>
      <c r="BD240" s="337"/>
      <c r="BE240" s="337"/>
      <c r="BF240" s="337" t="s">
        <v>12379</v>
      </c>
      <c r="BG240" s="337" t="s">
        <v>5</v>
      </c>
      <c r="BH240" s="337" t="s">
        <v>1777</v>
      </c>
      <c r="BI240" s="337"/>
      <c r="BJ240" s="337" t="s">
        <v>5</v>
      </c>
      <c r="BK240" s="337"/>
      <c r="BL240" s="337">
        <v>0</v>
      </c>
      <c r="BM240" s="337"/>
      <c r="BN240" s="337" t="s">
        <v>5</v>
      </c>
      <c r="BO240" s="337"/>
      <c r="BP240" s="337"/>
      <c r="BQ240" s="337"/>
      <c r="BR240" s="337"/>
      <c r="BS240" s="337" t="s">
        <v>5</v>
      </c>
      <c r="BT240" s="337"/>
      <c r="BU240" s="337"/>
      <c r="BV240" s="337"/>
      <c r="BW240" s="337"/>
      <c r="BX240" s="337" t="s">
        <v>6</v>
      </c>
      <c r="BY240" s="337" t="s">
        <v>1101</v>
      </c>
      <c r="BZ240" s="337"/>
      <c r="CB240" s="337" t="s">
        <v>5</v>
      </c>
      <c r="CC240" s="337">
        <v>130145.9713381021</v>
      </c>
      <c r="CD240" s="337">
        <v>366233820.06667483</v>
      </c>
      <c r="CE240" s="313" t="s">
        <v>11902</v>
      </c>
    </row>
    <row r="241" spans="1:83" ht="15" x14ac:dyDescent="0.25">
      <c r="A241" t="s">
        <v>3583</v>
      </c>
      <c r="B241" t="s">
        <v>3584</v>
      </c>
      <c r="C241" t="s">
        <v>3584</v>
      </c>
      <c r="D241">
        <v>13</v>
      </c>
      <c r="E241" t="s">
        <v>3573</v>
      </c>
      <c r="F241" t="s">
        <v>3527</v>
      </c>
      <c r="G241" t="s">
        <v>3574</v>
      </c>
      <c r="H241" t="s">
        <v>3575</v>
      </c>
      <c r="I241" t="s">
        <v>3576</v>
      </c>
      <c r="J241" t="s">
        <v>3577</v>
      </c>
      <c r="K241" t="s">
        <v>3585</v>
      </c>
      <c r="L241">
        <v>28.378751754760739</v>
      </c>
      <c r="M241" t="s">
        <v>6</v>
      </c>
      <c r="N241" t="s">
        <v>5</v>
      </c>
      <c r="O241" t="s">
        <v>6</v>
      </c>
      <c r="P241" t="s">
        <v>5</v>
      </c>
      <c r="Q241" t="s">
        <v>5</v>
      </c>
      <c r="R241" t="s">
        <v>3579</v>
      </c>
      <c r="S241" t="s">
        <v>3580</v>
      </c>
      <c r="T241" t="s">
        <v>6</v>
      </c>
      <c r="U241" t="s">
        <v>50</v>
      </c>
      <c r="V241">
        <v>100000</v>
      </c>
      <c r="W241">
        <v>100000</v>
      </c>
      <c r="X241" t="s">
        <v>5</v>
      </c>
      <c r="Y241"/>
      <c r="Z241"/>
      <c r="AA241">
        <v>4.4365530014038086</v>
      </c>
      <c r="AB241">
        <v>1.2273539304733281</v>
      </c>
      <c r="AC241">
        <v>5.5474229156970978E-4</v>
      </c>
      <c r="AD241">
        <v>592</v>
      </c>
      <c r="AE241">
        <v>122</v>
      </c>
      <c r="AF241">
        <v>425</v>
      </c>
      <c r="AG241">
        <v>2211</v>
      </c>
      <c r="AH241">
        <v>1641</v>
      </c>
      <c r="AI241">
        <v>2211</v>
      </c>
      <c r="AJ241">
        <v>3</v>
      </c>
      <c r="AK241">
        <v>5</v>
      </c>
      <c r="AL241">
        <v>15</v>
      </c>
      <c r="AM241">
        <v>67</v>
      </c>
      <c r="AN241">
        <v>1095.853271484375</v>
      </c>
      <c r="AO241"/>
      <c r="AP241"/>
      <c r="AQ241"/>
      <c r="AR241"/>
      <c r="AS241"/>
      <c r="AT241"/>
      <c r="AU241"/>
      <c r="AV241"/>
      <c r="AW241"/>
      <c r="AX241"/>
      <c r="AY241"/>
      <c r="AZ241"/>
      <c r="BA241"/>
      <c r="BB241"/>
      <c r="BC241"/>
      <c r="BD241"/>
      <c r="BE241">
        <v>0</v>
      </c>
      <c r="BF241" t="s">
        <v>5</v>
      </c>
      <c r="BG241" t="s">
        <v>5</v>
      </c>
      <c r="BH241" t="s">
        <v>3581</v>
      </c>
      <c r="BI241"/>
      <c r="BJ241" t="s">
        <v>5</v>
      </c>
      <c r="BK241"/>
      <c r="BL241">
        <v>0</v>
      </c>
      <c r="BM241"/>
      <c r="BN241" t="s">
        <v>5</v>
      </c>
      <c r="BO241"/>
      <c r="BP241"/>
      <c r="BQ241"/>
      <c r="BR241"/>
      <c r="BS241" t="s">
        <v>5</v>
      </c>
      <c r="BT241"/>
      <c r="BU241"/>
      <c r="BV241"/>
      <c r="BW241"/>
      <c r="BX241" t="s">
        <v>6</v>
      </c>
      <c r="BY241" t="s">
        <v>3582</v>
      </c>
      <c r="BZ241"/>
      <c r="CA241"/>
      <c r="CB241" t="s">
        <v>5</v>
      </c>
      <c r="CC241">
        <v>32515.967354647571</v>
      </c>
      <c r="CD241">
        <v>73500924.773336992</v>
      </c>
      <c r="CE241" s="313" t="s">
        <v>11891</v>
      </c>
    </row>
    <row r="242" spans="1:83" ht="15" x14ac:dyDescent="0.25">
      <c r="A242" t="s">
        <v>3586</v>
      </c>
      <c r="B242" t="s">
        <v>3587</v>
      </c>
      <c r="C242" t="s">
        <v>3588</v>
      </c>
      <c r="D242">
        <v>13</v>
      </c>
      <c r="E242" t="s">
        <v>3573</v>
      </c>
      <c r="F242" t="s">
        <v>3527</v>
      </c>
      <c r="G242" t="s">
        <v>3574</v>
      </c>
      <c r="H242" t="s">
        <v>3575</v>
      </c>
      <c r="I242" t="s">
        <v>3576</v>
      </c>
      <c r="J242" t="s">
        <v>3577</v>
      </c>
      <c r="K242" t="s">
        <v>3585</v>
      </c>
      <c r="L242">
        <v>28.378751754760739</v>
      </c>
      <c r="M242" t="s">
        <v>6</v>
      </c>
      <c r="N242" t="s">
        <v>5</v>
      </c>
      <c r="O242" t="s">
        <v>6</v>
      </c>
      <c r="P242" t="s">
        <v>5</v>
      </c>
      <c r="Q242" t="s">
        <v>5</v>
      </c>
      <c r="R242" t="s">
        <v>3579</v>
      </c>
      <c r="S242" t="s">
        <v>3580</v>
      </c>
      <c r="T242" t="s">
        <v>6</v>
      </c>
      <c r="U242" t="s">
        <v>50</v>
      </c>
      <c r="V242">
        <v>100000</v>
      </c>
      <c r="W242">
        <v>100000</v>
      </c>
      <c r="X242" t="s">
        <v>5</v>
      </c>
      <c r="Y242"/>
      <c r="Z242"/>
      <c r="AA242">
        <v>4.4365530014038086</v>
      </c>
      <c r="AB242">
        <v>1.2273539304733281</v>
      </c>
      <c r="AC242">
        <v>5.5474229156970978E-4</v>
      </c>
      <c r="AD242">
        <v>592</v>
      </c>
      <c r="AE242">
        <v>122</v>
      </c>
      <c r="AF242">
        <v>425</v>
      </c>
      <c r="AG242">
        <v>2211</v>
      </c>
      <c r="AH242">
        <v>1641</v>
      </c>
      <c r="AI242">
        <v>2211</v>
      </c>
      <c r="AJ242">
        <v>3</v>
      </c>
      <c r="AK242">
        <v>5</v>
      </c>
      <c r="AL242">
        <v>15</v>
      </c>
      <c r="AM242">
        <v>67</v>
      </c>
      <c r="AN242">
        <v>1095.853271484375</v>
      </c>
      <c r="AO242"/>
      <c r="AP242"/>
      <c r="AQ242"/>
      <c r="AR242"/>
      <c r="AS242"/>
      <c r="AT242"/>
      <c r="AU242"/>
      <c r="AV242"/>
      <c r="AW242"/>
      <c r="AX242"/>
      <c r="AY242"/>
      <c r="AZ242"/>
      <c r="BA242"/>
      <c r="BB242"/>
      <c r="BC242"/>
      <c r="BD242"/>
      <c r="BE242">
        <v>0</v>
      </c>
      <c r="BF242" t="s">
        <v>5</v>
      </c>
      <c r="BG242" t="s">
        <v>5</v>
      </c>
      <c r="BH242" t="s">
        <v>3581</v>
      </c>
      <c r="BI242"/>
      <c r="BJ242" t="s">
        <v>5</v>
      </c>
      <c r="BK242"/>
      <c r="BL242">
        <v>0</v>
      </c>
      <c r="BM242"/>
      <c r="BN242" t="s">
        <v>5</v>
      </c>
      <c r="BO242"/>
      <c r="BP242"/>
      <c r="BQ242"/>
      <c r="BR242"/>
      <c r="BS242" t="s">
        <v>5</v>
      </c>
      <c r="BT242"/>
      <c r="BU242"/>
      <c r="BV242"/>
      <c r="BW242"/>
      <c r="BX242" t="s">
        <v>6</v>
      </c>
      <c r="BY242" t="s">
        <v>3582</v>
      </c>
      <c r="BZ242"/>
      <c r="CA242"/>
      <c r="CB242" t="s">
        <v>5</v>
      </c>
      <c r="CC242">
        <v>32515.967354647571</v>
      </c>
      <c r="CD242">
        <v>73500924.773336992</v>
      </c>
      <c r="CE242" s="313" t="s">
        <v>11891</v>
      </c>
    </row>
    <row r="243" spans="1:83" ht="15" x14ac:dyDescent="0.25">
      <c r="A243" t="s">
        <v>3589</v>
      </c>
      <c r="B243" t="s">
        <v>3590</v>
      </c>
      <c r="C243" t="s">
        <v>3591</v>
      </c>
      <c r="D243">
        <v>13</v>
      </c>
      <c r="E243" t="s">
        <v>3573</v>
      </c>
      <c r="F243" t="s">
        <v>3527</v>
      </c>
      <c r="G243" t="s">
        <v>3574</v>
      </c>
      <c r="H243" t="s">
        <v>3575</v>
      </c>
      <c r="I243" t="s">
        <v>3576</v>
      </c>
      <c r="J243" t="s">
        <v>3577</v>
      </c>
      <c r="K243" t="s">
        <v>3585</v>
      </c>
      <c r="L243">
        <v>28.378751754760739</v>
      </c>
      <c r="M243" t="s">
        <v>6</v>
      </c>
      <c r="N243" t="s">
        <v>5</v>
      </c>
      <c r="O243" t="s">
        <v>6</v>
      </c>
      <c r="P243" t="s">
        <v>5</v>
      </c>
      <c r="Q243" t="s">
        <v>5</v>
      </c>
      <c r="R243" t="s">
        <v>3579</v>
      </c>
      <c r="S243" t="s">
        <v>3580</v>
      </c>
      <c r="T243" t="s">
        <v>6</v>
      </c>
      <c r="U243" t="s">
        <v>50</v>
      </c>
      <c r="V243">
        <v>100000</v>
      </c>
      <c r="W243">
        <v>100000</v>
      </c>
      <c r="X243" t="s">
        <v>5</v>
      </c>
      <c r="Y243"/>
      <c r="Z243"/>
      <c r="AA243">
        <v>4.4365530014038086</v>
      </c>
      <c r="AB243">
        <v>1.2273539304733281</v>
      </c>
      <c r="AC243">
        <v>5.5474229156970978E-4</v>
      </c>
      <c r="AD243">
        <v>592</v>
      </c>
      <c r="AE243">
        <v>122</v>
      </c>
      <c r="AF243">
        <v>425</v>
      </c>
      <c r="AG243">
        <v>2211</v>
      </c>
      <c r="AH243">
        <v>1641</v>
      </c>
      <c r="AI243">
        <v>2211</v>
      </c>
      <c r="AJ243">
        <v>3</v>
      </c>
      <c r="AK243">
        <v>5</v>
      </c>
      <c r="AL243">
        <v>15</v>
      </c>
      <c r="AM243">
        <v>67</v>
      </c>
      <c r="AN243">
        <v>1095.853271484375</v>
      </c>
      <c r="AO243"/>
      <c r="AP243"/>
      <c r="AQ243"/>
      <c r="AR243"/>
      <c r="AS243"/>
      <c r="AT243"/>
      <c r="AU243"/>
      <c r="AV243"/>
      <c r="AW243"/>
      <c r="AX243"/>
      <c r="AY243"/>
      <c r="AZ243"/>
      <c r="BA243"/>
      <c r="BB243"/>
      <c r="BC243"/>
      <c r="BD243"/>
      <c r="BE243">
        <v>0</v>
      </c>
      <c r="BF243" t="s">
        <v>5</v>
      </c>
      <c r="BG243" t="s">
        <v>5</v>
      </c>
      <c r="BH243" t="s">
        <v>3581</v>
      </c>
      <c r="BI243"/>
      <c r="BJ243" t="s">
        <v>5</v>
      </c>
      <c r="BK243"/>
      <c r="BL243">
        <v>0</v>
      </c>
      <c r="BM243"/>
      <c r="BN243" t="s">
        <v>5</v>
      </c>
      <c r="BO243"/>
      <c r="BP243"/>
      <c r="BQ243"/>
      <c r="BR243"/>
      <c r="BS243" t="s">
        <v>5</v>
      </c>
      <c r="BT243"/>
      <c r="BU243"/>
      <c r="BV243"/>
      <c r="BW243"/>
      <c r="BX243" t="s">
        <v>6</v>
      </c>
      <c r="BY243" t="s">
        <v>3582</v>
      </c>
      <c r="BZ243"/>
      <c r="CA243"/>
      <c r="CB243" t="s">
        <v>5</v>
      </c>
      <c r="CC243">
        <v>32515.967354647571</v>
      </c>
      <c r="CD243">
        <v>73500924.773336992</v>
      </c>
      <c r="CE243" s="313" t="s">
        <v>11891</v>
      </c>
    </row>
    <row r="244" spans="1:83" ht="15" x14ac:dyDescent="0.25">
      <c r="A244" t="s">
        <v>3713</v>
      </c>
      <c r="B244" t="s">
        <v>3714</v>
      </c>
      <c r="C244" t="s">
        <v>3715</v>
      </c>
      <c r="D244">
        <v>13</v>
      </c>
      <c r="E244" t="s">
        <v>3573</v>
      </c>
      <c r="F244" t="s">
        <v>3716</v>
      </c>
      <c r="G244" t="s">
        <v>3717</v>
      </c>
      <c r="H244" t="s">
        <v>3718</v>
      </c>
      <c r="I244" t="s">
        <v>3719</v>
      </c>
      <c r="J244" t="s">
        <v>3720</v>
      </c>
      <c r="K244" t="s">
        <v>3598</v>
      </c>
      <c r="L244">
        <v>0.30627113580703741</v>
      </c>
      <c r="M244" t="s">
        <v>6</v>
      </c>
      <c r="N244" t="s">
        <v>6</v>
      </c>
      <c r="O244" t="s">
        <v>6</v>
      </c>
      <c r="P244" t="s">
        <v>5</v>
      </c>
      <c r="Q244" t="s">
        <v>5</v>
      </c>
      <c r="R244" t="s">
        <v>3721</v>
      </c>
      <c r="S244" t="s">
        <v>3722</v>
      </c>
      <c r="T244" t="s">
        <v>6</v>
      </c>
      <c r="U244" t="s">
        <v>50</v>
      </c>
      <c r="V244">
        <v>100000</v>
      </c>
      <c r="W244">
        <v>100000</v>
      </c>
      <c r="X244" t="s">
        <v>5</v>
      </c>
      <c r="Y244"/>
      <c r="Z244"/>
      <c r="AA244">
        <v>9.4255492091178894E-2</v>
      </c>
      <c r="AB244">
        <v>2.0592492073774341E-2</v>
      </c>
      <c r="AC244">
        <v>0</v>
      </c>
      <c r="AD244">
        <v>157</v>
      </c>
      <c r="AE244">
        <v>20</v>
      </c>
      <c r="AF244">
        <v>153</v>
      </c>
      <c r="AG244">
        <v>98</v>
      </c>
      <c r="AH244">
        <v>232</v>
      </c>
      <c r="AI244">
        <v>232</v>
      </c>
      <c r="AJ244">
        <v>0</v>
      </c>
      <c r="AK244">
        <v>0</v>
      </c>
      <c r="AL244">
        <v>2</v>
      </c>
      <c r="AM244">
        <v>20</v>
      </c>
      <c r="AN244">
        <v>0</v>
      </c>
      <c r="AO244"/>
      <c r="AP244"/>
      <c r="AQ244"/>
      <c r="AR244"/>
      <c r="AS244"/>
      <c r="AT244"/>
      <c r="AU244"/>
      <c r="AV244"/>
      <c r="AW244"/>
      <c r="AX244"/>
      <c r="AY244"/>
      <c r="AZ244"/>
      <c r="BA244"/>
      <c r="BB244"/>
      <c r="BC244"/>
      <c r="BD244"/>
      <c r="BE244">
        <v>0</v>
      </c>
      <c r="BF244" t="s">
        <v>5</v>
      </c>
      <c r="BG244" t="s">
        <v>5</v>
      </c>
      <c r="BH244" t="s">
        <v>3581</v>
      </c>
      <c r="BI244"/>
      <c r="BJ244" t="s">
        <v>5</v>
      </c>
      <c r="BK244"/>
      <c r="BL244">
        <v>0</v>
      </c>
      <c r="BM244"/>
      <c r="BN244" t="s">
        <v>5</v>
      </c>
      <c r="BO244"/>
      <c r="BP244"/>
      <c r="BQ244"/>
      <c r="BR244"/>
      <c r="BS244" t="s">
        <v>5</v>
      </c>
      <c r="BT244"/>
      <c r="BU244"/>
      <c r="BV244"/>
      <c r="BW244"/>
      <c r="BX244" t="s">
        <v>6</v>
      </c>
      <c r="BY244" t="s">
        <v>3723</v>
      </c>
      <c r="BZ244"/>
      <c r="CA244"/>
      <c r="CB244" t="s">
        <v>5</v>
      </c>
      <c r="CC244">
        <v>5542.9792185317128</v>
      </c>
      <c r="CD244">
        <v>793241.79610944423</v>
      </c>
      <c r="CE244" s="313" t="s">
        <v>11891</v>
      </c>
    </row>
    <row r="245" spans="1:83" ht="15" x14ac:dyDescent="0.25">
      <c r="A245" t="s">
        <v>3724</v>
      </c>
      <c r="B245" t="s">
        <v>3725</v>
      </c>
      <c r="C245" t="s">
        <v>3726</v>
      </c>
      <c r="D245">
        <v>13</v>
      </c>
      <c r="E245" t="s">
        <v>3573</v>
      </c>
      <c r="F245" t="s">
        <v>3727</v>
      </c>
      <c r="G245" t="s">
        <v>3728</v>
      </c>
      <c r="H245" t="s">
        <v>3729</v>
      </c>
      <c r="I245" t="s">
        <v>3730</v>
      </c>
      <c r="J245" t="s">
        <v>3731</v>
      </c>
      <c r="K245" t="s">
        <v>3598</v>
      </c>
      <c r="L245">
        <v>1.2727993726730349</v>
      </c>
      <c r="M245" t="s">
        <v>6</v>
      </c>
      <c r="N245" t="s">
        <v>5</v>
      </c>
      <c r="O245" t="s">
        <v>6</v>
      </c>
      <c r="P245" t="s">
        <v>5</v>
      </c>
      <c r="Q245" t="s">
        <v>5</v>
      </c>
      <c r="R245" t="s">
        <v>3732</v>
      </c>
      <c r="S245" t="s">
        <v>3733</v>
      </c>
      <c r="T245" t="s">
        <v>6</v>
      </c>
      <c r="U245" t="s">
        <v>50</v>
      </c>
      <c r="V245">
        <v>100000</v>
      </c>
      <c r="W245">
        <v>100000</v>
      </c>
      <c r="X245" t="s">
        <v>5</v>
      </c>
      <c r="Y245"/>
      <c r="Z245"/>
      <c r="AA245">
        <v>0.23986469209194181</v>
      </c>
      <c r="AB245">
        <v>8.1453330814838409E-2</v>
      </c>
      <c r="AC245">
        <v>1.8687518313527109E-3</v>
      </c>
      <c r="AD245">
        <v>137</v>
      </c>
      <c r="AE245">
        <v>50</v>
      </c>
      <c r="AF245">
        <v>110</v>
      </c>
      <c r="AG245">
        <v>175</v>
      </c>
      <c r="AH245">
        <v>293</v>
      </c>
      <c r="AI245">
        <v>293</v>
      </c>
      <c r="AJ245">
        <v>0</v>
      </c>
      <c r="AK245">
        <v>0</v>
      </c>
      <c r="AL245">
        <v>3</v>
      </c>
      <c r="AM245">
        <v>18</v>
      </c>
      <c r="AN245">
        <v>38.443508148193359</v>
      </c>
      <c r="AO245"/>
      <c r="AP245"/>
      <c r="AQ245"/>
      <c r="AR245"/>
      <c r="AS245"/>
      <c r="AT245"/>
      <c r="AU245"/>
      <c r="AV245"/>
      <c r="AW245"/>
      <c r="AX245"/>
      <c r="AY245"/>
      <c r="AZ245"/>
      <c r="BA245"/>
      <c r="BB245"/>
      <c r="BC245"/>
      <c r="BD245"/>
      <c r="BE245">
        <v>0</v>
      </c>
      <c r="BF245" t="s">
        <v>5</v>
      </c>
      <c r="BG245" t="s">
        <v>5</v>
      </c>
      <c r="BH245" t="s">
        <v>3581</v>
      </c>
      <c r="BI245"/>
      <c r="BJ245" t="s">
        <v>5</v>
      </c>
      <c r="BK245"/>
      <c r="BL245">
        <v>0</v>
      </c>
      <c r="BM245"/>
      <c r="BN245" t="s">
        <v>5</v>
      </c>
      <c r="BO245"/>
      <c r="BP245"/>
      <c r="BQ245"/>
      <c r="BR245"/>
      <c r="BS245" t="s">
        <v>5</v>
      </c>
      <c r="BT245"/>
      <c r="BU245"/>
      <c r="BV245"/>
      <c r="BW245"/>
      <c r="BX245" t="s">
        <v>6</v>
      </c>
      <c r="BY245" t="s">
        <v>3723</v>
      </c>
      <c r="BZ245"/>
      <c r="CA245"/>
      <c r="CB245" t="s">
        <v>5</v>
      </c>
      <c r="CC245">
        <v>16395.80367043244</v>
      </c>
      <c r="CD245">
        <v>3296548.3505489798</v>
      </c>
      <c r="CE245" s="313" t="s">
        <v>11891</v>
      </c>
    </row>
    <row r="246" spans="1:83" ht="15" x14ac:dyDescent="0.25">
      <c r="A246" t="s">
        <v>3737</v>
      </c>
      <c r="B246" t="s">
        <v>3738</v>
      </c>
      <c r="C246" t="s">
        <v>3739</v>
      </c>
      <c r="D246">
        <v>13</v>
      </c>
      <c r="E246" t="s">
        <v>3573</v>
      </c>
      <c r="F246" t="s">
        <v>3716</v>
      </c>
      <c r="G246" t="s">
        <v>3728</v>
      </c>
      <c r="H246" t="s">
        <v>3740</v>
      </c>
      <c r="I246" t="s">
        <v>3741</v>
      </c>
      <c r="J246" t="s">
        <v>3742</v>
      </c>
      <c r="K246" t="s">
        <v>3598</v>
      </c>
      <c r="L246">
        <v>15.1313591003418</v>
      </c>
      <c r="M246" t="s">
        <v>6</v>
      </c>
      <c r="N246" t="s">
        <v>6</v>
      </c>
      <c r="O246" t="s">
        <v>6</v>
      </c>
      <c r="P246" t="s">
        <v>5</v>
      </c>
      <c r="Q246" t="s">
        <v>5</v>
      </c>
      <c r="R246" t="s">
        <v>3743</v>
      </c>
      <c r="S246" t="s">
        <v>3744</v>
      </c>
      <c r="T246" t="s">
        <v>6</v>
      </c>
      <c r="U246" t="s">
        <v>50</v>
      </c>
      <c r="V246">
        <v>100000</v>
      </c>
      <c r="W246">
        <v>100000</v>
      </c>
      <c r="X246" t="s">
        <v>5</v>
      </c>
      <c r="Y246"/>
      <c r="Z246"/>
      <c r="AA246">
        <v>1.8936313390731809</v>
      </c>
      <c r="AB246">
        <v>0.7100449800491333</v>
      </c>
      <c r="AC246">
        <v>7.3959566652774811E-3</v>
      </c>
      <c r="AD246">
        <v>285</v>
      </c>
      <c r="AE246">
        <v>459</v>
      </c>
      <c r="AF246">
        <v>251</v>
      </c>
      <c r="AG246">
        <v>575</v>
      </c>
      <c r="AH246">
        <v>600</v>
      </c>
      <c r="AI246">
        <v>600</v>
      </c>
      <c r="AJ246">
        <v>3</v>
      </c>
      <c r="AK246">
        <v>0</v>
      </c>
      <c r="AL246">
        <v>19</v>
      </c>
      <c r="AM246">
        <v>87</v>
      </c>
      <c r="AN246">
        <v>267.54840087890619</v>
      </c>
      <c r="AO246"/>
      <c r="AP246"/>
      <c r="AQ246"/>
      <c r="AR246"/>
      <c r="AS246"/>
      <c r="AT246"/>
      <c r="AU246"/>
      <c r="AV246"/>
      <c r="AW246"/>
      <c r="AX246"/>
      <c r="AY246"/>
      <c r="AZ246"/>
      <c r="BA246"/>
      <c r="BB246"/>
      <c r="BC246"/>
      <c r="BD246"/>
      <c r="BE246">
        <v>0</v>
      </c>
      <c r="BF246" t="s">
        <v>5</v>
      </c>
      <c r="BG246" t="s">
        <v>5</v>
      </c>
      <c r="BH246" t="s">
        <v>3581</v>
      </c>
      <c r="BI246"/>
      <c r="BJ246" t="s">
        <v>5</v>
      </c>
      <c r="BK246"/>
      <c r="BL246">
        <v>0</v>
      </c>
      <c r="BM246"/>
      <c r="BN246" t="s">
        <v>5</v>
      </c>
      <c r="BO246"/>
      <c r="BP246"/>
      <c r="BQ246"/>
      <c r="BR246"/>
      <c r="BS246" t="s">
        <v>5</v>
      </c>
      <c r="BT246"/>
      <c r="BU246"/>
      <c r="BV246"/>
      <c r="BW246"/>
      <c r="BX246" t="s">
        <v>6</v>
      </c>
      <c r="BY246" t="s">
        <v>3723</v>
      </c>
      <c r="BZ246"/>
      <c r="CA246"/>
      <c r="CB246" t="s">
        <v>5</v>
      </c>
      <c r="CC246">
        <v>35259.550370214449</v>
      </c>
      <c r="CD246">
        <v>39190196.856526509</v>
      </c>
      <c r="CE246" s="313" t="s">
        <v>11891</v>
      </c>
    </row>
    <row r="247" spans="1:83" ht="15" x14ac:dyDescent="0.25">
      <c r="A247" t="s">
        <v>3745</v>
      </c>
      <c r="B247" t="s">
        <v>3746</v>
      </c>
      <c r="C247" t="s">
        <v>3747</v>
      </c>
      <c r="D247">
        <v>13</v>
      </c>
      <c r="E247" t="s">
        <v>3573</v>
      </c>
      <c r="F247" t="s">
        <v>3727</v>
      </c>
      <c r="G247" t="s">
        <v>3748</v>
      </c>
      <c r="H247" t="s">
        <v>3749</v>
      </c>
      <c r="I247" t="s">
        <v>3750</v>
      </c>
      <c r="J247" t="s">
        <v>3751</v>
      </c>
      <c r="K247" t="s">
        <v>3598</v>
      </c>
      <c r="L247">
        <v>2.9682409763336182</v>
      </c>
      <c r="M247" t="s">
        <v>6</v>
      </c>
      <c r="N247" t="s">
        <v>5</v>
      </c>
      <c r="O247" t="s">
        <v>6</v>
      </c>
      <c r="P247" t="s">
        <v>5</v>
      </c>
      <c r="Q247" t="s">
        <v>5</v>
      </c>
      <c r="R247" t="s">
        <v>3752</v>
      </c>
      <c r="S247" t="s">
        <v>3753</v>
      </c>
      <c r="T247" t="s">
        <v>6</v>
      </c>
      <c r="U247" t="s">
        <v>50</v>
      </c>
      <c r="V247">
        <v>100000</v>
      </c>
      <c r="W247">
        <v>100000</v>
      </c>
      <c r="X247" t="s">
        <v>5</v>
      </c>
      <c r="Y247"/>
      <c r="Z247"/>
      <c r="AA247">
        <v>1.232890844345093</v>
      </c>
      <c r="AB247">
        <v>0.54162448644638062</v>
      </c>
      <c r="AC247">
        <v>7.8461937606334686E-2</v>
      </c>
      <c r="AD247">
        <v>762</v>
      </c>
      <c r="AE247">
        <v>492</v>
      </c>
      <c r="AF247">
        <v>612</v>
      </c>
      <c r="AG247">
        <v>1823</v>
      </c>
      <c r="AH247">
        <v>2145</v>
      </c>
      <c r="AI247">
        <v>2145</v>
      </c>
      <c r="AJ247">
        <v>2</v>
      </c>
      <c r="AK247">
        <v>0</v>
      </c>
      <c r="AL247">
        <v>15</v>
      </c>
      <c r="AM247">
        <v>87</v>
      </c>
      <c r="AN247">
        <v>69.114486694335938</v>
      </c>
      <c r="AO247"/>
      <c r="AP247"/>
      <c r="AQ247"/>
      <c r="AR247"/>
      <c r="AS247"/>
      <c r="AT247"/>
      <c r="AU247"/>
      <c r="AV247"/>
      <c r="AW247"/>
      <c r="AX247"/>
      <c r="AY247"/>
      <c r="AZ247"/>
      <c r="BA247"/>
      <c r="BB247"/>
      <c r="BC247"/>
      <c r="BD247"/>
      <c r="BE247">
        <v>0</v>
      </c>
      <c r="BF247" t="s">
        <v>5</v>
      </c>
      <c r="BG247" t="s">
        <v>5</v>
      </c>
      <c r="BH247" t="s">
        <v>3581</v>
      </c>
      <c r="BI247"/>
      <c r="BJ247" t="s">
        <v>5</v>
      </c>
      <c r="BK247"/>
      <c r="BL247">
        <v>0</v>
      </c>
      <c r="BM247"/>
      <c r="BN247" t="s">
        <v>5</v>
      </c>
      <c r="BO247"/>
      <c r="BP247"/>
      <c r="BQ247"/>
      <c r="BR247"/>
      <c r="BS247" t="s">
        <v>5</v>
      </c>
      <c r="BT247"/>
      <c r="BU247"/>
      <c r="BV247"/>
      <c r="BW247"/>
      <c r="BX247" t="s">
        <v>6</v>
      </c>
      <c r="BY247" t="s">
        <v>3723</v>
      </c>
      <c r="BZ247"/>
      <c r="CA247"/>
      <c r="CB247" t="s">
        <v>5</v>
      </c>
      <c r="CC247">
        <v>30230.202162751571</v>
      </c>
      <c r="CD247">
        <v>7687739.858168155</v>
      </c>
      <c r="CE247" s="313" t="s">
        <v>11891</v>
      </c>
    </row>
    <row r="248" spans="1:83" ht="15" x14ac:dyDescent="0.25">
      <c r="A248" t="s">
        <v>3766</v>
      </c>
      <c r="B248" t="s">
        <v>3767</v>
      </c>
      <c r="C248" t="s">
        <v>3768</v>
      </c>
      <c r="D248">
        <v>13</v>
      </c>
      <c r="E248" t="s">
        <v>3573</v>
      </c>
      <c r="F248" t="s">
        <v>3769</v>
      </c>
      <c r="G248" t="s">
        <v>4632</v>
      </c>
      <c r="H248"/>
      <c r="I248"/>
      <c r="J248"/>
      <c r="K248" t="s">
        <v>3585</v>
      </c>
      <c r="L248">
        <v>24051.7890625</v>
      </c>
      <c r="M248" t="s">
        <v>6</v>
      </c>
      <c r="N248" t="s">
        <v>6</v>
      </c>
      <c r="O248" t="s">
        <v>6</v>
      </c>
      <c r="P248" t="s">
        <v>5</v>
      </c>
      <c r="Q248" t="s">
        <v>6</v>
      </c>
      <c r="R248" t="s">
        <v>3770</v>
      </c>
      <c r="S248" t="s">
        <v>3771</v>
      </c>
      <c r="T248" t="s">
        <v>5</v>
      </c>
      <c r="U248" t="s">
        <v>50</v>
      </c>
      <c r="V248">
        <v>100000</v>
      </c>
      <c r="W248">
        <v>100000</v>
      </c>
      <c r="X248" t="s">
        <v>5</v>
      </c>
      <c r="Y248"/>
      <c r="Z248"/>
      <c r="AA248">
        <v>4540.078125</v>
      </c>
      <c r="AB248">
        <v>1278.577026367188</v>
      </c>
      <c r="AC248">
        <v>8.3181743621826172</v>
      </c>
      <c r="AD248">
        <v>60967</v>
      </c>
      <c r="AE248">
        <v>37197</v>
      </c>
      <c r="AF248">
        <v>42976</v>
      </c>
      <c r="AG248">
        <v>136543</v>
      </c>
      <c r="AH248">
        <v>124916</v>
      </c>
      <c r="AI248">
        <v>136543</v>
      </c>
      <c r="AJ248">
        <v>445</v>
      </c>
      <c r="AK248">
        <v>526</v>
      </c>
      <c r="AL248">
        <v>3215</v>
      </c>
      <c r="AM248">
        <v>7400</v>
      </c>
      <c r="AN248">
        <v>251436.96875</v>
      </c>
      <c r="AO248"/>
      <c r="AP248"/>
      <c r="AQ248"/>
      <c r="AR248"/>
      <c r="AS248"/>
      <c r="AT248"/>
      <c r="AU248"/>
      <c r="AV248"/>
      <c r="AW248"/>
      <c r="AX248"/>
      <c r="AY248"/>
      <c r="AZ248"/>
      <c r="BA248"/>
      <c r="BB248"/>
      <c r="BC248"/>
      <c r="BD248"/>
      <c r="BE248">
        <v>0</v>
      </c>
      <c r="BF248" t="s">
        <v>5</v>
      </c>
      <c r="BG248" t="s">
        <v>5</v>
      </c>
      <c r="BH248" t="s">
        <v>3581</v>
      </c>
      <c r="BI248"/>
      <c r="BJ248" t="s">
        <v>5</v>
      </c>
      <c r="BK248"/>
      <c r="BL248">
        <v>0</v>
      </c>
      <c r="BM248"/>
      <c r="BN248" t="s">
        <v>5</v>
      </c>
      <c r="BO248"/>
      <c r="BP248"/>
      <c r="BQ248"/>
      <c r="BR248"/>
      <c r="BS248" t="s">
        <v>5</v>
      </c>
      <c r="BT248"/>
      <c r="BU248"/>
      <c r="BV248"/>
      <c r="BW248"/>
      <c r="BX248" t="s">
        <v>6</v>
      </c>
      <c r="BY248" t="s">
        <v>3772</v>
      </c>
      <c r="BZ248"/>
      <c r="CA248"/>
      <c r="CB248" t="s">
        <v>5</v>
      </c>
      <c r="CC248">
        <v>3234556.1002130592</v>
      </c>
      <c r="CD248">
        <v>62294098284.047546</v>
      </c>
      <c r="CE248" s="313" t="s">
        <v>11891</v>
      </c>
    </row>
    <row r="249" spans="1:83" ht="15" x14ac:dyDescent="0.25">
      <c r="A249" t="s">
        <v>3773</v>
      </c>
      <c r="B249" t="s">
        <v>3774</v>
      </c>
      <c r="C249" t="s">
        <v>3775</v>
      </c>
      <c r="D249">
        <v>13</v>
      </c>
      <c r="E249" t="s">
        <v>3573</v>
      </c>
      <c r="F249" t="s">
        <v>3769</v>
      </c>
      <c r="G249" t="s">
        <v>4632</v>
      </c>
      <c r="H249"/>
      <c r="I249"/>
      <c r="J249"/>
      <c r="K249" t="s">
        <v>3776</v>
      </c>
      <c r="L249">
        <v>24051.7890625</v>
      </c>
      <c r="M249" t="s">
        <v>6</v>
      </c>
      <c r="N249" t="s">
        <v>6</v>
      </c>
      <c r="O249" t="s">
        <v>6</v>
      </c>
      <c r="P249" t="s">
        <v>5</v>
      </c>
      <c r="Q249" t="s">
        <v>6</v>
      </c>
      <c r="R249" t="s">
        <v>3770</v>
      </c>
      <c r="S249" t="s">
        <v>3771</v>
      </c>
      <c r="T249" t="s">
        <v>5</v>
      </c>
      <c r="U249" t="s">
        <v>13</v>
      </c>
      <c r="V249">
        <v>100000</v>
      </c>
      <c r="W249">
        <v>100000</v>
      </c>
      <c r="X249" t="s">
        <v>5</v>
      </c>
      <c r="Y249"/>
      <c r="Z249"/>
      <c r="AA249">
        <v>4540.078125</v>
      </c>
      <c r="AB249">
        <v>1278.577026367188</v>
      </c>
      <c r="AC249">
        <v>8.3181743621826172</v>
      </c>
      <c r="AD249">
        <v>60967</v>
      </c>
      <c r="AE249">
        <v>37197</v>
      </c>
      <c r="AF249">
        <v>42976</v>
      </c>
      <c r="AG249">
        <v>136543</v>
      </c>
      <c r="AH249">
        <v>124916</v>
      </c>
      <c r="AI249">
        <v>136543</v>
      </c>
      <c r="AJ249">
        <v>445</v>
      </c>
      <c r="AK249">
        <v>526</v>
      </c>
      <c r="AL249">
        <v>3215</v>
      </c>
      <c r="AM249">
        <v>7400</v>
      </c>
      <c r="AN249">
        <v>251436.96875</v>
      </c>
      <c r="AO249"/>
      <c r="AP249"/>
      <c r="AQ249"/>
      <c r="AR249"/>
      <c r="AS249"/>
      <c r="AT249"/>
      <c r="AU249"/>
      <c r="AV249"/>
      <c r="AW249"/>
      <c r="AX249"/>
      <c r="AY249"/>
      <c r="AZ249"/>
      <c r="BA249"/>
      <c r="BB249"/>
      <c r="BC249"/>
      <c r="BD249"/>
      <c r="BE249">
        <v>0</v>
      </c>
      <c r="BF249" t="s">
        <v>5</v>
      </c>
      <c r="BG249" t="s">
        <v>5</v>
      </c>
      <c r="BH249" t="s">
        <v>3581</v>
      </c>
      <c r="BI249"/>
      <c r="BJ249" t="s">
        <v>5</v>
      </c>
      <c r="BK249"/>
      <c r="BL249">
        <v>0</v>
      </c>
      <c r="BM249"/>
      <c r="BN249" t="s">
        <v>5</v>
      </c>
      <c r="BO249"/>
      <c r="BP249"/>
      <c r="BQ249"/>
      <c r="BR249"/>
      <c r="BS249" t="s">
        <v>5</v>
      </c>
      <c r="BT249"/>
      <c r="BU249"/>
      <c r="BV249"/>
      <c r="BW249"/>
      <c r="BX249" t="s">
        <v>6</v>
      </c>
      <c r="BY249" t="s">
        <v>3777</v>
      </c>
      <c r="BZ249"/>
      <c r="CA249"/>
      <c r="CB249" t="s">
        <v>5</v>
      </c>
      <c r="CC249">
        <v>3234556.1002130592</v>
      </c>
      <c r="CD249">
        <v>62294098284.047546</v>
      </c>
      <c r="CE249" s="313" t="s">
        <v>11891</v>
      </c>
    </row>
    <row r="250" spans="1:83" ht="15" x14ac:dyDescent="0.25">
      <c r="A250" t="s">
        <v>3778</v>
      </c>
      <c r="B250" t="s">
        <v>3779</v>
      </c>
      <c r="C250" t="s">
        <v>3780</v>
      </c>
      <c r="D250">
        <v>13</v>
      </c>
      <c r="E250" t="s">
        <v>3573</v>
      </c>
      <c r="F250" t="s">
        <v>3781</v>
      </c>
      <c r="G250" t="s">
        <v>3782</v>
      </c>
      <c r="H250" t="s">
        <v>3783</v>
      </c>
      <c r="I250" t="s">
        <v>3784</v>
      </c>
      <c r="J250" t="s">
        <v>3785</v>
      </c>
      <c r="K250" t="s">
        <v>3786</v>
      </c>
      <c r="L250">
        <v>1.0755244493484499</v>
      </c>
      <c r="M250" t="s">
        <v>6</v>
      </c>
      <c r="N250" t="s">
        <v>6</v>
      </c>
      <c r="O250" t="s">
        <v>5</v>
      </c>
      <c r="P250" t="s">
        <v>5</v>
      </c>
      <c r="Q250" t="s">
        <v>5</v>
      </c>
      <c r="R250" t="s">
        <v>3787</v>
      </c>
      <c r="S250" t="s">
        <v>3788</v>
      </c>
      <c r="T250" t="s">
        <v>6</v>
      </c>
      <c r="U250" t="s">
        <v>98</v>
      </c>
      <c r="V250">
        <v>5100000</v>
      </c>
      <c r="W250">
        <v>100000</v>
      </c>
      <c r="X250" t="s">
        <v>5</v>
      </c>
      <c r="Y250"/>
      <c r="Z250"/>
      <c r="AA250">
        <v>1.0153030157089229</v>
      </c>
      <c r="AB250">
        <v>5.9000000357627869E-2</v>
      </c>
      <c r="AC250">
        <v>0</v>
      </c>
      <c r="AD250">
        <v>1</v>
      </c>
      <c r="AE250">
        <v>1</v>
      </c>
      <c r="AF250">
        <v>1</v>
      </c>
      <c r="AG250">
        <v>1</v>
      </c>
      <c r="AH250">
        <v>1</v>
      </c>
      <c r="AI250">
        <v>1</v>
      </c>
      <c r="AJ250">
        <v>0</v>
      </c>
      <c r="AK250">
        <v>0</v>
      </c>
      <c r="AL250">
        <v>1</v>
      </c>
      <c r="AM250">
        <v>0</v>
      </c>
      <c r="AN250">
        <v>4.5507192611694336</v>
      </c>
      <c r="AO250"/>
      <c r="AP250"/>
      <c r="AQ250"/>
      <c r="AR250"/>
      <c r="AS250"/>
      <c r="AT250"/>
      <c r="AU250"/>
      <c r="AV250"/>
      <c r="AW250"/>
      <c r="AX250"/>
      <c r="AY250"/>
      <c r="AZ250"/>
      <c r="BA250"/>
      <c r="BB250"/>
      <c r="BC250"/>
      <c r="BD250"/>
      <c r="BE250">
        <v>0</v>
      </c>
      <c r="BF250" t="s">
        <v>5</v>
      </c>
      <c r="BG250" t="s">
        <v>5</v>
      </c>
      <c r="BH250" t="s">
        <v>3581</v>
      </c>
      <c r="BI250"/>
      <c r="BJ250" t="s">
        <v>5</v>
      </c>
      <c r="BK250"/>
      <c r="BL250">
        <v>0</v>
      </c>
      <c r="BM250"/>
      <c r="BN250" t="s">
        <v>5</v>
      </c>
      <c r="BO250"/>
      <c r="BP250"/>
      <c r="BQ250"/>
      <c r="BR250"/>
      <c r="BS250" t="s">
        <v>5</v>
      </c>
      <c r="BT250"/>
      <c r="BU250"/>
      <c r="BV250"/>
      <c r="BW250"/>
      <c r="BX250" t="s">
        <v>6</v>
      </c>
      <c r="BY250" t="s">
        <v>3789</v>
      </c>
      <c r="BZ250"/>
      <c r="CA250"/>
      <c r="CB250" t="s">
        <v>5</v>
      </c>
      <c r="CC250">
        <v>7277.2235733579437</v>
      </c>
      <c r="CD250">
        <v>2785606.6612551892</v>
      </c>
      <c r="CE250" s="313" t="s">
        <v>11891</v>
      </c>
    </row>
    <row r="251" spans="1:83" ht="15" x14ac:dyDescent="0.25">
      <c r="A251" t="s">
        <v>3825</v>
      </c>
      <c r="B251" t="s">
        <v>3826</v>
      </c>
      <c r="C251" t="s">
        <v>3827</v>
      </c>
      <c r="D251">
        <v>13</v>
      </c>
      <c r="E251" t="s">
        <v>3573</v>
      </c>
      <c r="F251" t="s">
        <v>3816</v>
      </c>
      <c r="G251" t="s">
        <v>3817</v>
      </c>
      <c r="H251" t="s">
        <v>3818</v>
      </c>
      <c r="I251" t="s">
        <v>3819</v>
      </c>
      <c r="J251" t="s">
        <v>3820</v>
      </c>
      <c r="K251" t="s">
        <v>3585</v>
      </c>
      <c r="L251">
        <v>4.1065449714660636</v>
      </c>
      <c r="M251" t="s">
        <v>5</v>
      </c>
      <c r="N251" t="s">
        <v>5</v>
      </c>
      <c r="O251" t="s">
        <v>6</v>
      </c>
      <c r="P251" t="s">
        <v>5</v>
      </c>
      <c r="Q251" t="s">
        <v>5</v>
      </c>
      <c r="R251" t="s">
        <v>3822</v>
      </c>
      <c r="S251" t="s">
        <v>3828</v>
      </c>
      <c r="T251" t="s">
        <v>6</v>
      </c>
      <c r="U251" t="s">
        <v>50</v>
      </c>
      <c r="V251">
        <v>100000</v>
      </c>
      <c r="W251">
        <v>100000</v>
      </c>
      <c r="X251" t="s">
        <v>5</v>
      </c>
      <c r="Y251"/>
      <c r="Z251"/>
      <c r="AA251">
        <v>0.79549902677536011</v>
      </c>
      <c r="AB251">
        <v>0.201663002371788</v>
      </c>
      <c r="AC251">
        <v>0</v>
      </c>
      <c r="AD251">
        <v>259</v>
      </c>
      <c r="AE251">
        <v>78</v>
      </c>
      <c r="AF251">
        <v>173</v>
      </c>
      <c r="AG251">
        <v>331</v>
      </c>
      <c r="AH251">
        <v>343</v>
      </c>
      <c r="AI251">
        <v>343</v>
      </c>
      <c r="AJ251">
        <v>0</v>
      </c>
      <c r="AK251">
        <v>0</v>
      </c>
      <c r="AL251">
        <v>5</v>
      </c>
      <c r="AM251">
        <v>38</v>
      </c>
      <c r="AN251">
        <v>10.355801582336429</v>
      </c>
      <c r="AO251"/>
      <c r="AP251"/>
      <c r="AQ251"/>
      <c r="AR251"/>
      <c r="AS251"/>
      <c r="AT251"/>
      <c r="AU251"/>
      <c r="AV251"/>
      <c r="AW251"/>
      <c r="AX251"/>
      <c r="AY251"/>
      <c r="AZ251"/>
      <c r="BA251"/>
      <c r="BB251"/>
      <c r="BC251"/>
      <c r="BD251"/>
      <c r="BE251">
        <v>0</v>
      </c>
      <c r="BF251" t="s">
        <v>5</v>
      </c>
      <c r="BG251" t="s">
        <v>5</v>
      </c>
      <c r="BH251" t="s">
        <v>3581</v>
      </c>
      <c r="BI251"/>
      <c r="BJ251" t="s">
        <v>5</v>
      </c>
      <c r="BK251"/>
      <c r="BL251">
        <v>0</v>
      </c>
      <c r="BM251"/>
      <c r="BN251" t="s">
        <v>5</v>
      </c>
      <c r="BO251"/>
      <c r="BP251"/>
      <c r="BQ251"/>
      <c r="BR251"/>
      <c r="BS251" t="s">
        <v>5</v>
      </c>
      <c r="BT251"/>
      <c r="BU251"/>
      <c r="BV251"/>
      <c r="BW251"/>
      <c r="BX251" t="s">
        <v>6</v>
      </c>
      <c r="BY251" t="s">
        <v>3824</v>
      </c>
      <c r="BZ251"/>
      <c r="CA251"/>
      <c r="CB251" t="s">
        <v>5</v>
      </c>
      <c r="CC251">
        <v>15485.554368942319</v>
      </c>
      <c r="CD251">
        <v>10635945.19892049</v>
      </c>
      <c r="CE251" s="313" t="s">
        <v>11891</v>
      </c>
    </row>
    <row r="252" spans="1:83" ht="15" x14ac:dyDescent="0.25">
      <c r="A252" t="s">
        <v>3842</v>
      </c>
      <c r="B252" t="s">
        <v>3843</v>
      </c>
      <c r="C252" t="s">
        <v>3827</v>
      </c>
      <c r="D252">
        <v>13</v>
      </c>
      <c r="E252" t="s">
        <v>3573</v>
      </c>
      <c r="F252" t="s">
        <v>3835</v>
      </c>
      <c r="G252" t="s">
        <v>3648</v>
      </c>
      <c r="H252" t="s">
        <v>3836</v>
      </c>
      <c r="I252" t="s">
        <v>3837</v>
      </c>
      <c r="J252" t="s">
        <v>3838</v>
      </c>
      <c r="K252" t="s">
        <v>3585</v>
      </c>
      <c r="L252">
        <v>1.653049111366272</v>
      </c>
      <c r="M252" t="s">
        <v>6</v>
      </c>
      <c r="N252" t="s">
        <v>5</v>
      </c>
      <c r="O252" t="s">
        <v>6</v>
      </c>
      <c r="P252" t="s">
        <v>5</v>
      </c>
      <c r="Q252" t="s">
        <v>5</v>
      </c>
      <c r="R252" t="s">
        <v>3839</v>
      </c>
      <c r="S252" t="s">
        <v>3840</v>
      </c>
      <c r="T252" t="s">
        <v>6</v>
      </c>
      <c r="U252" t="s">
        <v>50</v>
      </c>
      <c r="V252">
        <v>100000</v>
      </c>
      <c r="W252">
        <v>100000</v>
      </c>
      <c r="X252" t="s">
        <v>5</v>
      </c>
      <c r="Y252"/>
      <c r="Z252"/>
      <c r="AA252">
        <v>0.30487701296806341</v>
      </c>
      <c r="AB252">
        <v>0.12803299725055689</v>
      </c>
      <c r="AC252">
        <v>4.6573430299758911E-3</v>
      </c>
      <c r="AD252">
        <v>210</v>
      </c>
      <c r="AE252">
        <v>121</v>
      </c>
      <c r="AF252">
        <v>176</v>
      </c>
      <c r="AG252">
        <v>351</v>
      </c>
      <c r="AH252">
        <v>489</v>
      </c>
      <c r="AI252">
        <v>489</v>
      </c>
      <c r="AJ252">
        <v>0</v>
      </c>
      <c r="AK252">
        <v>0</v>
      </c>
      <c r="AL252">
        <v>6</v>
      </c>
      <c r="AM252">
        <v>57</v>
      </c>
      <c r="AN252">
        <v>0.8096623420715332</v>
      </c>
      <c r="AO252"/>
      <c r="AP252"/>
      <c r="AQ252"/>
      <c r="AR252"/>
      <c r="AS252"/>
      <c r="AT252"/>
      <c r="AU252"/>
      <c r="AV252"/>
      <c r="AW252"/>
      <c r="AX252"/>
      <c r="AY252"/>
      <c r="AZ252"/>
      <c r="BA252"/>
      <c r="BB252"/>
      <c r="BC252"/>
      <c r="BD252"/>
      <c r="BE252">
        <v>0</v>
      </c>
      <c r="BF252" t="s">
        <v>5</v>
      </c>
      <c r="BG252" t="s">
        <v>5</v>
      </c>
      <c r="BH252" t="s">
        <v>3581</v>
      </c>
      <c r="BI252"/>
      <c r="BJ252" t="s">
        <v>5</v>
      </c>
      <c r="BK252"/>
      <c r="BL252">
        <v>0</v>
      </c>
      <c r="BM252"/>
      <c r="BN252" t="s">
        <v>5</v>
      </c>
      <c r="BO252"/>
      <c r="BP252"/>
      <c r="BQ252"/>
      <c r="BR252"/>
      <c r="BS252" t="s">
        <v>5</v>
      </c>
      <c r="BT252"/>
      <c r="BU252"/>
      <c r="BV252"/>
      <c r="BW252"/>
      <c r="BX252" t="s">
        <v>6</v>
      </c>
      <c r="BY252" t="s">
        <v>3841</v>
      </c>
      <c r="BZ252"/>
      <c r="CA252"/>
      <c r="CB252" t="s">
        <v>5</v>
      </c>
      <c r="CC252">
        <v>9862.642040637993</v>
      </c>
      <c r="CD252">
        <v>4281394.5395774376</v>
      </c>
      <c r="CE252" s="313" t="s">
        <v>11891</v>
      </c>
    </row>
    <row r="253" spans="1:83" ht="15" x14ac:dyDescent="0.25">
      <c r="A253" t="s">
        <v>1089</v>
      </c>
      <c r="B253" t="s">
        <v>1090</v>
      </c>
      <c r="C253" t="s">
        <v>1091</v>
      </c>
      <c r="D253">
        <v>1</v>
      </c>
      <c r="E253" t="s">
        <v>1432</v>
      </c>
      <c r="F253" t="s">
        <v>1092</v>
      </c>
      <c r="G253" t="s">
        <v>1093</v>
      </c>
      <c r="H253" t="s">
        <v>1094</v>
      </c>
      <c r="I253" t="s">
        <v>1095</v>
      </c>
      <c r="J253" t="s">
        <v>1096</v>
      </c>
      <c r="K253" t="s">
        <v>1097</v>
      </c>
      <c r="L253">
        <v>0.71689671277999878</v>
      </c>
      <c r="M253" t="s">
        <v>6</v>
      </c>
      <c r="N253" t="s">
        <v>5</v>
      </c>
      <c r="O253" t="s">
        <v>5</v>
      </c>
      <c r="P253" t="s">
        <v>6</v>
      </c>
      <c r="Q253" t="s">
        <v>5</v>
      </c>
      <c r="R253" t="s">
        <v>1098</v>
      </c>
      <c r="S253" t="s">
        <v>1099</v>
      </c>
      <c r="T253" t="s">
        <v>5</v>
      </c>
      <c r="U253" t="s">
        <v>50</v>
      </c>
      <c r="V253">
        <v>100000</v>
      </c>
      <c r="W253">
        <v>100000</v>
      </c>
      <c r="X253" t="s">
        <v>5</v>
      </c>
      <c r="Y253"/>
      <c r="Z253"/>
      <c r="AA253">
        <v>3.4164790064096451E-2</v>
      </c>
      <c r="AB253">
        <v>1.7498450353741649E-2</v>
      </c>
      <c r="AC253">
        <v>0</v>
      </c>
      <c r="AD253">
        <v>2</v>
      </c>
      <c r="AE253">
        <v>3</v>
      </c>
      <c r="AF253">
        <v>0</v>
      </c>
      <c r="AG253">
        <v>0</v>
      </c>
      <c r="AH253">
        <v>1</v>
      </c>
      <c r="AI253">
        <v>1</v>
      </c>
      <c r="AJ253">
        <v>0</v>
      </c>
      <c r="AK253">
        <v>0</v>
      </c>
      <c r="AL253">
        <v>0</v>
      </c>
      <c r="AM253">
        <v>0</v>
      </c>
      <c r="AN253">
        <v>0.2907356321811676</v>
      </c>
      <c r="AO253"/>
      <c r="AP253"/>
      <c r="AQ253"/>
      <c r="AR253">
        <v>0</v>
      </c>
      <c r="AS253">
        <v>0</v>
      </c>
      <c r="AT253">
        <v>0</v>
      </c>
      <c r="AU253">
        <v>0</v>
      </c>
      <c r="AV253">
        <v>0</v>
      </c>
      <c r="AW253">
        <v>0</v>
      </c>
      <c r="AX253">
        <v>0</v>
      </c>
      <c r="AY253">
        <v>0</v>
      </c>
      <c r="AZ253">
        <v>0</v>
      </c>
      <c r="BA253">
        <v>0</v>
      </c>
      <c r="BB253"/>
      <c r="BC253"/>
      <c r="BD253"/>
      <c r="BE253">
        <v>0</v>
      </c>
      <c r="BF253" t="s">
        <v>1100</v>
      </c>
      <c r="BG253" t="s">
        <v>5</v>
      </c>
      <c r="BH253" t="s">
        <v>1020</v>
      </c>
      <c r="BI253" t="s">
        <v>1020</v>
      </c>
      <c r="BJ253" t="s">
        <v>5</v>
      </c>
      <c r="BK253"/>
      <c r="BL253">
        <v>0</v>
      </c>
      <c r="BM253"/>
      <c r="BN253" t="s">
        <v>5</v>
      </c>
      <c r="BO253"/>
      <c r="BP253"/>
      <c r="BQ253"/>
      <c r="BR253"/>
      <c r="BS253" t="s">
        <v>5</v>
      </c>
      <c r="BT253"/>
      <c r="BU253"/>
      <c r="BV253"/>
      <c r="BW253"/>
      <c r="BX253" t="s">
        <v>6</v>
      </c>
      <c r="BY253" t="s">
        <v>1101</v>
      </c>
      <c r="BZ253"/>
      <c r="CA253"/>
      <c r="CB253" t="s">
        <v>5</v>
      </c>
      <c r="CC253">
        <v>6618.657737878737</v>
      </c>
      <c r="CD253">
        <v>1856753.9082569131</v>
      </c>
      <c r="CE253" s="313" t="s">
        <v>11891</v>
      </c>
    </row>
    <row r="254" spans="1:83" ht="15" x14ac:dyDescent="0.25">
      <c r="A254" t="s">
        <v>1102</v>
      </c>
      <c r="B254" t="s">
        <v>1103</v>
      </c>
      <c r="C254" t="s">
        <v>1091</v>
      </c>
      <c r="D254">
        <v>1</v>
      </c>
      <c r="E254" t="s">
        <v>1432</v>
      </c>
      <c r="F254" t="s">
        <v>1104</v>
      </c>
      <c r="G254" t="s">
        <v>1105</v>
      </c>
      <c r="H254" t="s">
        <v>1106</v>
      </c>
      <c r="I254" t="s">
        <v>1107</v>
      </c>
      <c r="J254" t="s">
        <v>1108</v>
      </c>
      <c r="K254" t="s">
        <v>1097</v>
      </c>
      <c r="L254">
        <v>1.5427671670913701</v>
      </c>
      <c r="M254" t="s">
        <v>6</v>
      </c>
      <c r="N254" t="s">
        <v>5</v>
      </c>
      <c r="O254" t="s">
        <v>5</v>
      </c>
      <c r="P254" t="s">
        <v>5</v>
      </c>
      <c r="Q254" t="s">
        <v>5</v>
      </c>
      <c r="R254" t="s">
        <v>1109</v>
      </c>
      <c r="S254" t="s">
        <v>1110</v>
      </c>
      <c r="T254" t="s">
        <v>5</v>
      </c>
      <c r="U254" t="s">
        <v>50</v>
      </c>
      <c r="V254">
        <v>100000</v>
      </c>
      <c r="W254">
        <v>100000</v>
      </c>
      <c r="X254" t="s">
        <v>5</v>
      </c>
      <c r="Y254"/>
      <c r="Z254"/>
      <c r="AA254">
        <v>9.2857800424098969E-2</v>
      </c>
      <c r="AB254">
        <v>2.0404050126671791E-2</v>
      </c>
      <c r="AC254">
        <v>8.3099999756086618E-5</v>
      </c>
      <c r="AD254">
        <v>3</v>
      </c>
      <c r="AE254">
        <v>2</v>
      </c>
      <c r="AF254">
        <v>0</v>
      </c>
      <c r="AG254">
        <v>2</v>
      </c>
      <c r="AH254">
        <v>2</v>
      </c>
      <c r="AI254">
        <v>2</v>
      </c>
      <c r="AJ254">
        <v>0</v>
      </c>
      <c r="AK254">
        <v>1</v>
      </c>
      <c r="AL254">
        <v>0</v>
      </c>
      <c r="AM254">
        <v>2</v>
      </c>
      <c r="AN254">
        <v>6.4257159233093262</v>
      </c>
      <c r="AO254"/>
      <c r="AP254"/>
      <c r="AQ254"/>
      <c r="AR254">
        <v>0</v>
      </c>
      <c r="AS254">
        <v>0</v>
      </c>
      <c r="AT254">
        <v>0</v>
      </c>
      <c r="AU254">
        <v>0</v>
      </c>
      <c r="AV254">
        <v>0</v>
      </c>
      <c r="AW254">
        <v>0</v>
      </c>
      <c r="AX254">
        <v>0</v>
      </c>
      <c r="AY254">
        <v>0</v>
      </c>
      <c r="AZ254">
        <v>0</v>
      </c>
      <c r="BA254">
        <v>0</v>
      </c>
      <c r="BB254"/>
      <c r="BC254"/>
      <c r="BD254"/>
      <c r="BE254">
        <v>0</v>
      </c>
      <c r="BF254" t="s">
        <v>1100</v>
      </c>
      <c r="BG254" t="s">
        <v>5</v>
      </c>
      <c r="BH254" t="s">
        <v>1020</v>
      </c>
      <c r="BI254" t="s">
        <v>1020</v>
      </c>
      <c r="BJ254" t="s">
        <v>5</v>
      </c>
      <c r="BK254"/>
      <c r="BL254">
        <v>0</v>
      </c>
      <c r="BM254"/>
      <c r="BN254" t="s">
        <v>5</v>
      </c>
      <c r="BO254"/>
      <c r="BP254"/>
      <c r="BQ254"/>
      <c r="BR254"/>
      <c r="BS254" t="s">
        <v>5</v>
      </c>
      <c r="BT254"/>
      <c r="BU254"/>
      <c r="BV254"/>
      <c r="BW254"/>
      <c r="BX254" t="s">
        <v>6</v>
      </c>
      <c r="BY254" t="s">
        <v>1101</v>
      </c>
      <c r="BZ254"/>
      <c r="CA254"/>
      <c r="CB254" t="s">
        <v>5</v>
      </c>
      <c r="CC254">
        <v>27929.448833359522</v>
      </c>
      <c r="CD254">
        <v>3995748.6782916449</v>
      </c>
      <c r="CE254" s="313" t="s">
        <v>11891</v>
      </c>
    </row>
    <row r="255" spans="1:83" ht="15" x14ac:dyDescent="0.25">
      <c r="A255" t="s">
        <v>1111</v>
      </c>
      <c r="B255" t="s">
        <v>1112</v>
      </c>
      <c r="C255" t="s">
        <v>1091</v>
      </c>
      <c r="D255">
        <v>1</v>
      </c>
      <c r="E255" t="s">
        <v>1432</v>
      </c>
      <c r="F255" t="s">
        <v>1104</v>
      </c>
      <c r="G255" t="s">
        <v>1113</v>
      </c>
      <c r="H255" t="s">
        <v>1114</v>
      </c>
      <c r="I255" t="s">
        <v>1115</v>
      </c>
      <c r="J255" t="s">
        <v>1116</v>
      </c>
      <c r="K255" t="s">
        <v>1097</v>
      </c>
      <c r="L255">
        <v>1.37691342830658</v>
      </c>
      <c r="M255" t="s">
        <v>6</v>
      </c>
      <c r="N255" t="s">
        <v>5</v>
      </c>
      <c r="O255" t="s">
        <v>5</v>
      </c>
      <c r="P255" t="s">
        <v>5</v>
      </c>
      <c r="Q255" t="s">
        <v>5</v>
      </c>
      <c r="R255" t="s">
        <v>1117</v>
      </c>
      <c r="S255" t="s">
        <v>1118</v>
      </c>
      <c r="T255" t="s">
        <v>5</v>
      </c>
      <c r="U255" t="s">
        <v>50</v>
      </c>
      <c r="V255">
        <v>100000</v>
      </c>
      <c r="W255">
        <v>100000</v>
      </c>
      <c r="X255" t="s">
        <v>5</v>
      </c>
      <c r="Y255"/>
      <c r="Z255"/>
      <c r="AA255">
        <v>6.3022121787071228E-2</v>
      </c>
      <c r="AB255">
        <v>1.4126350171864029E-2</v>
      </c>
      <c r="AC255">
        <v>0</v>
      </c>
      <c r="AD255">
        <v>3</v>
      </c>
      <c r="AE255">
        <v>3</v>
      </c>
      <c r="AF255">
        <v>0</v>
      </c>
      <c r="AG255">
        <v>10</v>
      </c>
      <c r="AH255">
        <v>3</v>
      </c>
      <c r="AI255">
        <v>10</v>
      </c>
      <c r="AJ255">
        <v>0</v>
      </c>
      <c r="AK255">
        <v>2</v>
      </c>
      <c r="AL255">
        <v>1</v>
      </c>
      <c r="AM255">
        <v>3</v>
      </c>
      <c r="AN255">
        <v>10.21627807617188</v>
      </c>
      <c r="AO255"/>
      <c r="AP255"/>
      <c r="AQ255"/>
      <c r="AR255">
        <v>0</v>
      </c>
      <c r="AS255">
        <v>0</v>
      </c>
      <c r="AT255">
        <v>0</v>
      </c>
      <c r="AU255">
        <v>0</v>
      </c>
      <c r="AV255">
        <v>0</v>
      </c>
      <c r="AW255">
        <v>0</v>
      </c>
      <c r="AX255">
        <v>0</v>
      </c>
      <c r="AY255">
        <v>0</v>
      </c>
      <c r="AZ255">
        <v>0</v>
      </c>
      <c r="BA255">
        <v>0</v>
      </c>
      <c r="BB255"/>
      <c r="BC255"/>
      <c r="BD255"/>
      <c r="BE255">
        <v>0</v>
      </c>
      <c r="BF255" t="s">
        <v>1100</v>
      </c>
      <c r="BG255" t="s">
        <v>5</v>
      </c>
      <c r="BH255" t="s">
        <v>1020</v>
      </c>
      <c r="BI255" t="s">
        <v>1020</v>
      </c>
      <c r="BJ255" t="s">
        <v>5</v>
      </c>
      <c r="BK255"/>
      <c r="BL255">
        <v>0</v>
      </c>
      <c r="BM255"/>
      <c r="BN255" t="s">
        <v>5</v>
      </c>
      <c r="BO255"/>
      <c r="BP255"/>
      <c r="BQ255"/>
      <c r="BR255"/>
      <c r="BS255" t="s">
        <v>5</v>
      </c>
      <c r="BT255"/>
      <c r="BU255"/>
      <c r="BV255"/>
      <c r="BW255"/>
      <c r="BX255" t="s">
        <v>6</v>
      </c>
      <c r="BY255" t="s">
        <v>1101</v>
      </c>
      <c r="BZ255"/>
      <c r="CA255"/>
      <c r="CB255" t="s">
        <v>5</v>
      </c>
      <c r="CC255">
        <v>22709.927061728551</v>
      </c>
      <c r="CD255">
        <v>3566189.3391899918</v>
      </c>
      <c r="CE255" s="313" t="s">
        <v>11891</v>
      </c>
    </row>
    <row r="256" spans="1:83" ht="15" x14ac:dyDescent="0.25">
      <c r="A256" t="s">
        <v>1119</v>
      </c>
      <c r="B256" t="s">
        <v>1120</v>
      </c>
      <c r="C256" t="s">
        <v>1091</v>
      </c>
      <c r="D256">
        <v>1</v>
      </c>
      <c r="E256" t="s">
        <v>1432</v>
      </c>
      <c r="F256" t="s">
        <v>1121</v>
      </c>
      <c r="G256" t="s">
        <v>1122</v>
      </c>
      <c r="H256" t="s">
        <v>1123</v>
      </c>
      <c r="I256" t="s">
        <v>1124</v>
      </c>
      <c r="J256" t="s">
        <v>1125</v>
      </c>
      <c r="K256" t="s">
        <v>1097</v>
      </c>
      <c r="L256">
        <v>0.85624110698699951</v>
      </c>
      <c r="M256" t="s">
        <v>6</v>
      </c>
      <c r="N256" t="s">
        <v>5</v>
      </c>
      <c r="O256" t="s">
        <v>5</v>
      </c>
      <c r="P256" t="s">
        <v>5</v>
      </c>
      <c r="Q256" t="s">
        <v>5</v>
      </c>
      <c r="R256" t="s">
        <v>1126</v>
      </c>
      <c r="S256" t="s">
        <v>1127</v>
      </c>
      <c r="T256" t="s">
        <v>5</v>
      </c>
      <c r="U256" t="s">
        <v>50</v>
      </c>
      <c r="V256">
        <v>100000</v>
      </c>
      <c r="W256">
        <v>100000</v>
      </c>
      <c r="X256" t="s">
        <v>5</v>
      </c>
      <c r="Y256"/>
      <c r="Z256"/>
      <c r="AA256">
        <v>0.1179032996296883</v>
      </c>
      <c r="AB256">
        <v>2.1491570398211479E-2</v>
      </c>
      <c r="AC256">
        <v>0</v>
      </c>
      <c r="AD256">
        <v>1</v>
      </c>
      <c r="AE256">
        <v>2</v>
      </c>
      <c r="AF256">
        <v>0</v>
      </c>
      <c r="AG256">
        <v>0</v>
      </c>
      <c r="AH256">
        <v>0</v>
      </c>
      <c r="AI256">
        <v>0</v>
      </c>
      <c r="AJ256">
        <v>0</v>
      </c>
      <c r="AK256">
        <v>0</v>
      </c>
      <c r="AL256">
        <v>0</v>
      </c>
      <c r="AM256">
        <v>0</v>
      </c>
      <c r="AN256">
        <v>1.905529379844666</v>
      </c>
      <c r="AO256"/>
      <c r="AP256"/>
      <c r="AQ256"/>
      <c r="AR256">
        <v>0</v>
      </c>
      <c r="AS256">
        <v>0</v>
      </c>
      <c r="AT256">
        <v>0</v>
      </c>
      <c r="AU256">
        <v>0</v>
      </c>
      <c r="AV256">
        <v>0</v>
      </c>
      <c r="AW256">
        <v>0</v>
      </c>
      <c r="AX256">
        <v>0</v>
      </c>
      <c r="AY256">
        <v>0</v>
      </c>
      <c r="AZ256">
        <v>0</v>
      </c>
      <c r="BA256">
        <v>0</v>
      </c>
      <c r="BB256"/>
      <c r="BC256"/>
      <c r="BD256"/>
      <c r="BE256">
        <v>0</v>
      </c>
      <c r="BF256" t="s">
        <v>1100</v>
      </c>
      <c r="BG256" t="s">
        <v>5</v>
      </c>
      <c r="BH256" t="s">
        <v>1020</v>
      </c>
      <c r="BI256" t="s">
        <v>1020</v>
      </c>
      <c r="BJ256" t="s">
        <v>5</v>
      </c>
      <c r="BK256"/>
      <c r="BL256">
        <v>0</v>
      </c>
      <c r="BM256"/>
      <c r="BN256" t="s">
        <v>5</v>
      </c>
      <c r="BO256"/>
      <c r="BP256"/>
      <c r="BQ256"/>
      <c r="BR256"/>
      <c r="BS256" t="s">
        <v>5</v>
      </c>
      <c r="BT256"/>
      <c r="BU256"/>
      <c r="BV256"/>
      <c r="BW256"/>
      <c r="BX256" t="s">
        <v>6</v>
      </c>
      <c r="BY256" t="s">
        <v>1101</v>
      </c>
      <c r="BZ256"/>
      <c r="CA256"/>
      <c r="CB256" t="s">
        <v>5</v>
      </c>
      <c r="CC256">
        <v>10048.370135492771</v>
      </c>
      <c r="CD256">
        <v>2217654.2886286909</v>
      </c>
      <c r="CE256" s="313" t="s">
        <v>11891</v>
      </c>
    </row>
    <row r="257" spans="1:83" ht="15" x14ac:dyDescent="0.25">
      <c r="A257" t="s">
        <v>1128</v>
      </c>
      <c r="B257" t="s">
        <v>1129</v>
      </c>
      <c r="C257" t="s">
        <v>1091</v>
      </c>
      <c r="D257">
        <v>1</v>
      </c>
      <c r="E257" t="s">
        <v>1432</v>
      </c>
      <c r="F257" t="s">
        <v>1130</v>
      </c>
      <c r="G257" t="s">
        <v>1131</v>
      </c>
      <c r="H257" t="s">
        <v>1132</v>
      </c>
      <c r="I257" t="s">
        <v>1133</v>
      </c>
      <c r="J257" t="s">
        <v>1134</v>
      </c>
      <c r="K257" t="s">
        <v>1097</v>
      </c>
      <c r="L257">
        <v>0.73501014709472656</v>
      </c>
      <c r="M257" t="s">
        <v>6</v>
      </c>
      <c r="N257" t="s">
        <v>5</v>
      </c>
      <c r="O257" t="s">
        <v>5</v>
      </c>
      <c r="P257" t="s">
        <v>5</v>
      </c>
      <c r="Q257" t="s">
        <v>5</v>
      </c>
      <c r="R257" t="s">
        <v>1135</v>
      </c>
      <c r="S257" t="s">
        <v>1136</v>
      </c>
      <c r="T257" t="s">
        <v>5</v>
      </c>
      <c r="U257" t="s">
        <v>50</v>
      </c>
      <c r="V257">
        <v>100000</v>
      </c>
      <c r="W257">
        <v>100000</v>
      </c>
      <c r="X257" t="s">
        <v>5</v>
      </c>
      <c r="Y257"/>
      <c r="Z257"/>
      <c r="AA257">
        <v>3.455561026930809E-2</v>
      </c>
      <c r="AB257">
        <v>1.492454018443823E-2</v>
      </c>
      <c r="AC257">
        <v>0</v>
      </c>
      <c r="AD257">
        <v>2</v>
      </c>
      <c r="AE257">
        <v>0</v>
      </c>
      <c r="AF257">
        <v>0</v>
      </c>
      <c r="AG257">
        <v>137</v>
      </c>
      <c r="AH257">
        <v>2</v>
      </c>
      <c r="AI257">
        <v>137</v>
      </c>
      <c r="AJ257">
        <v>0</v>
      </c>
      <c r="AK257">
        <v>0</v>
      </c>
      <c r="AL257">
        <v>0</v>
      </c>
      <c r="AM257">
        <v>0</v>
      </c>
      <c r="AN257">
        <v>2.439860582351685</v>
      </c>
      <c r="AO257"/>
      <c r="AP257"/>
      <c r="AQ257"/>
      <c r="AR257">
        <v>0</v>
      </c>
      <c r="AS257">
        <v>0</v>
      </c>
      <c r="AT257">
        <v>0</v>
      </c>
      <c r="AU257">
        <v>0</v>
      </c>
      <c r="AV257">
        <v>0</v>
      </c>
      <c r="AW257">
        <v>0</v>
      </c>
      <c r="AX257">
        <v>0</v>
      </c>
      <c r="AY257">
        <v>0</v>
      </c>
      <c r="AZ257">
        <v>0</v>
      </c>
      <c r="BA257">
        <v>0</v>
      </c>
      <c r="BB257"/>
      <c r="BC257"/>
      <c r="BD257"/>
      <c r="BE257">
        <v>0</v>
      </c>
      <c r="BF257" t="s">
        <v>1100</v>
      </c>
      <c r="BG257" t="s">
        <v>5</v>
      </c>
      <c r="BH257" t="s">
        <v>1020</v>
      </c>
      <c r="BI257" t="s">
        <v>1020</v>
      </c>
      <c r="BJ257" t="s">
        <v>5</v>
      </c>
      <c r="BK257"/>
      <c r="BL257">
        <v>0</v>
      </c>
      <c r="BM257"/>
      <c r="BN257" t="s">
        <v>5</v>
      </c>
      <c r="BO257"/>
      <c r="BP257"/>
      <c r="BQ257"/>
      <c r="BR257"/>
      <c r="BS257" t="s">
        <v>5</v>
      </c>
      <c r="BT257"/>
      <c r="BU257"/>
      <c r="BV257"/>
      <c r="BW257"/>
      <c r="BX257" t="s">
        <v>6</v>
      </c>
      <c r="BY257" t="s">
        <v>1101</v>
      </c>
      <c r="BZ257"/>
      <c r="CA257"/>
      <c r="CB257" t="s">
        <v>5</v>
      </c>
      <c r="CC257">
        <v>6127.7406403707791</v>
      </c>
      <c r="CD257">
        <v>1903667.480886291</v>
      </c>
      <c r="CE257" s="313" t="s">
        <v>11891</v>
      </c>
    </row>
    <row r="258" spans="1:83" ht="15" x14ac:dyDescent="0.25">
      <c r="A258" t="s">
        <v>1137</v>
      </c>
      <c r="B258" t="s">
        <v>1138</v>
      </c>
      <c r="C258" t="s">
        <v>1091</v>
      </c>
      <c r="D258">
        <v>1</v>
      </c>
      <c r="E258" t="s">
        <v>1432</v>
      </c>
      <c r="F258" t="s">
        <v>1139</v>
      </c>
      <c r="G258" t="s">
        <v>1140</v>
      </c>
      <c r="H258" t="s">
        <v>1141</v>
      </c>
      <c r="I258" t="s">
        <v>1142</v>
      </c>
      <c r="J258" t="s">
        <v>1143</v>
      </c>
      <c r="K258" t="s">
        <v>1097</v>
      </c>
      <c r="L258">
        <v>0.34828153252601618</v>
      </c>
      <c r="M258" t="s">
        <v>5</v>
      </c>
      <c r="N258" t="s">
        <v>5</v>
      </c>
      <c r="O258" t="s">
        <v>5</v>
      </c>
      <c r="P258" t="s">
        <v>6</v>
      </c>
      <c r="Q258" t="s">
        <v>5</v>
      </c>
      <c r="R258" t="s">
        <v>1144</v>
      </c>
      <c r="S258" t="s">
        <v>1145</v>
      </c>
      <c r="T258" t="s">
        <v>5</v>
      </c>
      <c r="U258" t="s">
        <v>50</v>
      </c>
      <c r="V258">
        <v>100000</v>
      </c>
      <c r="W258">
        <v>100000</v>
      </c>
      <c r="X258" t="s">
        <v>5</v>
      </c>
      <c r="Y258"/>
      <c r="Z258"/>
      <c r="AA258">
        <v>0</v>
      </c>
      <c r="AB258">
        <v>7.776800193823874E-4</v>
      </c>
      <c r="AC258">
        <v>0</v>
      </c>
      <c r="AD258">
        <v>0</v>
      </c>
      <c r="AE258">
        <v>0</v>
      </c>
      <c r="AF258">
        <v>0</v>
      </c>
      <c r="AG258">
        <v>0</v>
      </c>
      <c r="AH258">
        <v>0</v>
      </c>
      <c r="AI258">
        <v>0</v>
      </c>
      <c r="AJ258">
        <v>0</v>
      </c>
      <c r="AK258">
        <v>0</v>
      </c>
      <c r="AL258">
        <v>0</v>
      </c>
      <c r="AM258">
        <v>0</v>
      </c>
      <c r="AN258">
        <v>0</v>
      </c>
      <c r="AO258"/>
      <c r="AP258"/>
      <c r="AQ258"/>
      <c r="AR258">
        <v>0</v>
      </c>
      <c r="AS258">
        <v>0</v>
      </c>
      <c r="AT258">
        <v>0</v>
      </c>
      <c r="AU258">
        <v>0</v>
      </c>
      <c r="AV258">
        <v>0</v>
      </c>
      <c r="AW258">
        <v>0</v>
      </c>
      <c r="AX258">
        <v>0</v>
      </c>
      <c r="AY258">
        <v>0</v>
      </c>
      <c r="AZ258">
        <v>0</v>
      </c>
      <c r="BA258">
        <v>0</v>
      </c>
      <c r="BB258"/>
      <c r="BC258"/>
      <c r="BD258"/>
      <c r="BE258">
        <v>0</v>
      </c>
      <c r="BF258" t="s">
        <v>1100</v>
      </c>
      <c r="BG258" t="s">
        <v>5</v>
      </c>
      <c r="BH258" t="s">
        <v>1020</v>
      </c>
      <c r="BI258" t="s">
        <v>1020</v>
      </c>
      <c r="BJ258" t="s">
        <v>5</v>
      </c>
      <c r="BK258"/>
      <c r="BL258">
        <v>0</v>
      </c>
      <c r="BM258"/>
      <c r="BN258" t="s">
        <v>5</v>
      </c>
      <c r="BO258"/>
      <c r="BP258"/>
      <c r="BQ258"/>
      <c r="BR258"/>
      <c r="BS258" t="s">
        <v>5</v>
      </c>
      <c r="BT258"/>
      <c r="BU258"/>
      <c r="BV258"/>
      <c r="BW258"/>
      <c r="BX258" t="s">
        <v>6</v>
      </c>
      <c r="BY258" t="s">
        <v>1101</v>
      </c>
      <c r="BZ258"/>
      <c r="CA258"/>
      <c r="CB258" t="s">
        <v>5</v>
      </c>
      <c r="CC258">
        <v>4820.3969875114317</v>
      </c>
      <c r="CD258">
        <v>902045.0008746587</v>
      </c>
      <c r="CE258" s="313" t="s">
        <v>11891</v>
      </c>
    </row>
    <row r="259" spans="1:83" ht="15" x14ac:dyDescent="0.25">
      <c r="A259" t="s">
        <v>1146</v>
      </c>
      <c r="B259" t="s">
        <v>1147</v>
      </c>
      <c r="C259" t="s">
        <v>1091</v>
      </c>
      <c r="D259">
        <v>1</v>
      </c>
      <c r="E259" t="s">
        <v>1432</v>
      </c>
      <c r="F259" t="s">
        <v>1148</v>
      </c>
      <c r="G259" t="s">
        <v>1149</v>
      </c>
      <c r="H259" t="s">
        <v>1150</v>
      </c>
      <c r="I259" t="s">
        <v>1151</v>
      </c>
      <c r="J259" t="s">
        <v>1152</v>
      </c>
      <c r="K259" t="s">
        <v>1097</v>
      </c>
      <c r="L259">
        <v>1.851171612739563</v>
      </c>
      <c r="M259" t="s">
        <v>6</v>
      </c>
      <c r="N259" t="s">
        <v>5</v>
      </c>
      <c r="O259" t="s">
        <v>5</v>
      </c>
      <c r="P259" t="s">
        <v>5</v>
      </c>
      <c r="Q259" t="s">
        <v>5</v>
      </c>
      <c r="R259" t="s">
        <v>1153</v>
      </c>
      <c r="S259" t="s">
        <v>1154</v>
      </c>
      <c r="T259" t="s">
        <v>5</v>
      </c>
      <c r="U259" t="s">
        <v>50</v>
      </c>
      <c r="V259">
        <v>100000</v>
      </c>
      <c r="W259">
        <v>100000</v>
      </c>
      <c r="X259" t="s">
        <v>5</v>
      </c>
      <c r="Y259"/>
      <c r="Z259"/>
      <c r="AA259">
        <v>8.7003760039806366E-2</v>
      </c>
      <c r="AB259">
        <v>7.34902024269104E-2</v>
      </c>
      <c r="AC259">
        <v>0</v>
      </c>
      <c r="AD259">
        <v>0</v>
      </c>
      <c r="AE259">
        <v>0</v>
      </c>
      <c r="AF259">
        <v>0</v>
      </c>
      <c r="AG259">
        <v>0</v>
      </c>
      <c r="AH259">
        <v>0</v>
      </c>
      <c r="AI259">
        <v>0</v>
      </c>
      <c r="AJ259">
        <v>0</v>
      </c>
      <c r="AK259">
        <v>0</v>
      </c>
      <c r="AL259">
        <v>0</v>
      </c>
      <c r="AM259">
        <v>0</v>
      </c>
      <c r="AN259">
        <v>1.781919479370117</v>
      </c>
      <c r="AO259"/>
      <c r="AP259"/>
      <c r="AQ259"/>
      <c r="AR259">
        <v>0</v>
      </c>
      <c r="AS259">
        <v>0</v>
      </c>
      <c r="AT259">
        <v>0</v>
      </c>
      <c r="AU259">
        <v>0</v>
      </c>
      <c r="AV259">
        <v>0</v>
      </c>
      <c r="AW259">
        <v>0</v>
      </c>
      <c r="AX259">
        <v>0</v>
      </c>
      <c r="AY259">
        <v>0</v>
      </c>
      <c r="AZ259">
        <v>0</v>
      </c>
      <c r="BA259">
        <v>0</v>
      </c>
      <c r="BB259"/>
      <c r="BC259"/>
      <c r="BD259"/>
      <c r="BE259">
        <v>0</v>
      </c>
      <c r="BF259" t="s">
        <v>1100</v>
      </c>
      <c r="BG259" t="s">
        <v>5</v>
      </c>
      <c r="BH259" t="s">
        <v>1020</v>
      </c>
      <c r="BI259" t="s">
        <v>1020</v>
      </c>
      <c r="BJ259" t="s">
        <v>5</v>
      </c>
      <c r="BK259"/>
      <c r="BL259">
        <v>0</v>
      </c>
      <c r="BM259"/>
      <c r="BN259" t="s">
        <v>5</v>
      </c>
      <c r="BO259"/>
      <c r="BP259"/>
      <c r="BQ259"/>
      <c r="BR259"/>
      <c r="BS259" t="s">
        <v>5</v>
      </c>
      <c r="BT259"/>
      <c r="BU259"/>
      <c r="BV259"/>
      <c r="BW259"/>
      <c r="BX259" t="s">
        <v>6</v>
      </c>
      <c r="BY259" t="s">
        <v>1101</v>
      </c>
      <c r="BZ259"/>
      <c r="CA259"/>
      <c r="CB259" t="s">
        <v>5</v>
      </c>
      <c r="CC259">
        <v>9775.9554204561937</v>
      </c>
      <c r="CD259">
        <v>4794512.471514049</v>
      </c>
      <c r="CE259" s="313" t="s">
        <v>11891</v>
      </c>
    </row>
    <row r="260" spans="1:83" ht="15" x14ac:dyDescent="0.25">
      <c r="A260" t="s">
        <v>1155</v>
      </c>
      <c r="B260" t="s">
        <v>1156</v>
      </c>
      <c r="C260" t="s">
        <v>1091</v>
      </c>
      <c r="D260">
        <v>1</v>
      </c>
      <c r="E260" t="s">
        <v>1432</v>
      </c>
      <c r="F260" t="s">
        <v>1157</v>
      </c>
      <c r="G260" t="s">
        <v>1158</v>
      </c>
      <c r="H260" t="s">
        <v>1159</v>
      </c>
      <c r="I260" t="s">
        <v>1160</v>
      </c>
      <c r="J260" t="s">
        <v>1161</v>
      </c>
      <c r="K260" t="s">
        <v>1097</v>
      </c>
      <c r="L260">
        <v>0.2129720151424408</v>
      </c>
      <c r="M260" t="s">
        <v>6</v>
      </c>
      <c r="N260" t="s">
        <v>5</v>
      </c>
      <c r="O260" t="s">
        <v>5</v>
      </c>
      <c r="P260" t="s">
        <v>5</v>
      </c>
      <c r="Q260" t="s">
        <v>5</v>
      </c>
      <c r="R260" t="s">
        <v>1162</v>
      </c>
      <c r="S260" t="s">
        <v>1163</v>
      </c>
      <c r="T260" t="s">
        <v>5</v>
      </c>
      <c r="U260" t="s">
        <v>50</v>
      </c>
      <c r="V260">
        <v>100000</v>
      </c>
      <c r="W260">
        <v>100000</v>
      </c>
      <c r="X260" t="s">
        <v>5</v>
      </c>
      <c r="Y260"/>
      <c r="Z260"/>
      <c r="AA260">
        <v>3.7829570472240448E-2</v>
      </c>
      <c r="AB260">
        <v>1.719227991998196E-2</v>
      </c>
      <c r="AC260">
        <v>0</v>
      </c>
      <c r="AD260">
        <v>10</v>
      </c>
      <c r="AE260">
        <v>3</v>
      </c>
      <c r="AF260">
        <v>3</v>
      </c>
      <c r="AG260">
        <v>4</v>
      </c>
      <c r="AH260">
        <v>5</v>
      </c>
      <c r="AI260">
        <v>5</v>
      </c>
      <c r="AJ260">
        <v>0</v>
      </c>
      <c r="AK260">
        <v>0</v>
      </c>
      <c r="AL260">
        <v>1</v>
      </c>
      <c r="AM260">
        <v>0</v>
      </c>
      <c r="AN260">
        <v>2.4817047119140621</v>
      </c>
      <c r="AO260"/>
      <c r="AP260"/>
      <c r="AQ260"/>
      <c r="AR260">
        <v>0</v>
      </c>
      <c r="AS260">
        <v>0</v>
      </c>
      <c r="AT260">
        <v>0</v>
      </c>
      <c r="AU260">
        <v>0</v>
      </c>
      <c r="AV260">
        <v>0</v>
      </c>
      <c r="AW260">
        <v>0</v>
      </c>
      <c r="AX260">
        <v>0</v>
      </c>
      <c r="AY260">
        <v>0</v>
      </c>
      <c r="AZ260">
        <v>0</v>
      </c>
      <c r="BA260">
        <v>0</v>
      </c>
      <c r="BB260"/>
      <c r="BC260"/>
      <c r="BD260"/>
      <c r="BE260">
        <v>0</v>
      </c>
      <c r="BF260" t="s">
        <v>1100</v>
      </c>
      <c r="BG260" t="s">
        <v>5</v>
      </c>
      <c r="BH260" t="s">
        <v>1020</v>
      </c>
      <c r="BI260" t="s">
        <v>1020</v>
      </c>
      <c r="BJ260" t="s">
        <v>5</v>
      </c>
      <c r="BK260"/>
      <c r="BL260">
        <v>0</v>
      </c>
      <c r="BM260"/>
      <c r="BN260" t="s">
        <v>5</v>
      </c>
      <c r="BO260"/>
      <c r="BP260"/>
      <c r="BQ260"/>
      <c r="BR260"/>
      <c r="BS260" t="s">
        <v>5</v>
      </c>
      <c r="BT260"/>
      <c r="BU260"/>
      <c r="BV260"/>
      <c r="BW260"/>
      <c r="BX260" t="s">
        <v>6</v>
      </c>
      <c r="BY260" t="s">
        <v>1101</v>
      </c>
      <c r="BZ260"/>
      <c r="CA260"/>
      <c r="CB260" t="s">
        <v>5</v>
      </c>
      <c r="CC260">
        <v>3303.8720768803191</v>
      </c>
      <c r="CD260">
        <v>551594.9717145497</v>
      </c>
      <c r="CE260" s="313" t="s">
        <v>11891</v>
      </c>
    </row>
    <row r="261" spans="1:83" ht="15" x14ac:dyDescent="0.25">
      <c r="A261" t="s">
        <v>1164</v>
      </c>
      <c r="B261" t="s">
        <v>1165</v>
      </c>
      <c r="C261" t="s">
        <v>1091</v>
      </c>
      <c r="D261">
        <v>1</v>
      </c>
      <c r="E261" t="s">
        <v>1432</v>
      </c>
      <c r="F261" t="s">
        <v>1157</v>
      </c>
      <c r="G261" t="s">
        <v>1158</v>
      </c>
      <c r="H261" t="s">
        <v>1166</v>
      </c>
      <c r="I261" t="s">
        <v>1167</v>
      </c>
      <c r="J261" t="s">
        <v>1168</v>
      </c>
      <c r="K261" t="s">
        <v>1097</v>
      </c>
      <c r="L261">
        <v>0.75616520643234253</v>
      </c>
      <c r="M261" t="s">
        <v>6</v>
      </c>
      <c r="N261" t="s">
        <v>5</v>
      </c>
      <c r="O261" t="s">
        <v>5</v>
      </c>
      <c r="P261" t="s">
        <v>5</v>
      </c>
      <c r="Q261" t="s">
        <v>5</v>
      </c>
      <c r="R261" t="s">
        <v>1169</v>
      </c>
      <c r="S261" t="s">
        <v>1170</v>
      </c>
      <c r="T261" t="s">
        <v>5</v>
      </c>
      <c r="U261" t="s">
        <v>50</v>
      </c>
      <c r="V261">
        <v>100000</v>
      </c>
      <c r="W261">
        <v>100000</v>
      </c>
      <c r="X261" t="s">
        <v>5</v>
      </c>
      <c r="Y261"/>
      <c r="Z261"/>
      <c r="AA261">
        <v>3.7594478577375412E-2</v>
      </c>
      <c r="AB261">
        <v>1.45339397713542E-2</v>
      </c>
      <c r="AC261">
        <v>0</v>
      </c>
      <c r="AD261">
        <v>0</v>
      </c>
      <c r="AE261">
        <v>0</v>
      </c>
      <c r="AF261">
        <v>0</v>
      </c>
      <c r="AG261">
        <v>0</v>
      </c>
      <c r="AH261">
        <v>0</v>
      </c>
      <c r="AI261">
        <v>0</v>
      </c>
      <c r="AJ261">
        <v>0</v>
      </c>
      <c r="AK261">
        <v>0</v>
      </c>
      <c r="AL261">
        <v>0</v>
      </c>
      <c r="AM261">
        <v>0</v>
      </c>
      <c r="AN261">
        <v>7.0173867046833038E-2</v>
      </c>
      <c r="AO261"/>
      <c r="AP261"/>
      <c r="AQ261"/>
      <c r="AR261">
        <v>0</v>
      </c>
      <c r="AS261">
        <v>0</v>
      </c>
      <c r="AT261">
        <v>0</v>
      </c>
      <c r="AU261">
        <v>0</v>
      </c>
      <c r="AV261">
        <v>0</v>
      </c>
      <c r="AW261">
        <v>0</v>
      </c>
      <c r="AX261">
        <v>0</v>
      </c>
      <c r="AY261">
        <v>0</v>
      </c>
      <c r="AZ261">
        <v>0</v>
      </c>
      <c r="BA261">
        <v>0</v>
      </c>
      <c r="BB261"/>
      <c r="BC261"/>
      <c r="BD261"/>
      <c r="BE261">
        <v>0</v>
      </c>
      <c r="BF261" t="s">
        <v>1100</v>
      </c>
      <c r="BG261" t="s">
        <v>5</v>
      </c>
      <c r="BH261" t="s">
        <v>1020</v>
      </c>
      <c r="BI261" t="s">
        <v>1020</v>
      </c>
      <c r="BJ261" t="s">
        <v>5</v>
      </c>
      <c r="BK261"/>
      <c r="BL261">
        <v>0</v>
      </c>
      <c r="BM261"/>
      <c r="BN261" t="s">
        <v>5</v>
      </c>
      <c r="BO261"/>
      <c r="BP261"/>
      <c r="BQ261"/>
      <c r="BR261"/>
      <c r="BS261" t="s">
        <v>5</v>
      </c>
      <c r="BT261"/>
      <c r="BU261"/>
      <c r="BV261"/>
      <c r="BW261"/>
      <c r="BX261" t="s">
        <v>6</v>
      </c>
      <c r="BY261" t="s">
        <v>1101</v>
      </c>
      <c r="BZ261"/>
      <c r="CA261"/>
      <c r="CB261" t="s">
        <v>5</v>
      </c>
      <c r="CC261">
        <v>6194.8820137294642</v>
      </c>
      <c r="CD261">
        <v>1958458.815950644</v>
      </c>
      <c r="CE261" s="313" t="s">
        <v>11891</v>
      </c>
    </row>
    <row r="262" spans="1:83" ht="15" x14ac:dyDescent="0.25">
      <c r="A262" t="s">
        <v>1171</v>
      </c>
      <c r="B262" t="s">
        <v>1172</v>
      </c>
      <c r="C262" t="s">
        <v>1091</v>
      </c>
      <c r="D262">
        <v>1</v>
      </c>
      <c r="E262" t="s">
        <v>1432</v>
      </c>
      <c r="F262" t="s">
        <v>1148</v>
      </c>
      <c r="G262" t="s">
        <v>1173</v>
      </c>
      <c r="H262" t="s">
        <v>1174</v>
      </c>
      <c r="I262" t="s">
        <v>1175</v>
      </c>
      <c r="J262" t="s">
        <v>1176</v>
      </c>
      <c r="K262" t="s">
        <v>1097</v>
      </c>
      <c r="L262">
        <v>1.818705081939697</v>
      </c>
      <c r="M262" t="s">
        <v>6</v>
      </c>
      <c r="N262" t="s">
        <v>5</v>
      </c>
      <c r="O262" t="s">
        <v>5</v>
      </c>
      <c r="P262" t="s">
        <v>5</v>
      </c>
      <c r="Q262" t="s">
        <v>5</v>
      </c>
      <c r="R262" t="s">
        <v>1177</v>
      </c>
      <c r="S262" t="s">
        <v>1178</v>
      </c>
      <c r="T262" t="s">
        <v>5</v>
      </c>
      <c r="U262" t="s">
        <v>50</v>
      </c>
      <c r="V262">
        <v>100000</v>
      </c>
      <c r="W262">
        <v>100000</v>
      </c>
      <c r="X262" t="s">
        <v>5</v>
      </c>
      <c r="Y262"/>
      <c r="Z262"/>
      <c r="AA262">
        <v>3.3189700916409488E-3</v>
      </c>
      <c r="AB262">
        <v>8.0748395994305611E-3</v>
      </c>
      <c r="AC262">
        <v>0</v>
      </c>
      <c r="AD262">
        <v>0</v>
      </c>
      <c r="AE262">
        <v>0</v>
      </c>
      <c r="AF262">
        <v>0</v>
      </c>
      <c r="AG262">
        <v>0</v>
      </c>
      <c r="AH262">
        <v>0</v>
      </c>
      <c r="AI262">
        <v>0</v>
      </c>
      <c r="AJ262">
        <v>0</v>
      </c>
      <c r="AK262">
        <v>0</v>
      </c>
      <c r="AL262">
        <v>0</v>
      </c>
      <c r="AM262">
        <v>0</v>
      </c>
      <c r="AN262">
        <v>0</v>
      </c>
      <c r="AO262"/>
      <c r="AP262"/>
      <c r="AQ262"/>
      <c r="AR262">
        <v>0</v>
      </c>
      <c r="AS262">
        <v>0</v>
      </c>
      <c r="AT262">
        <v>0</v>
      </c>
      <c r="AU262">
        <v>0</v>
      </c>
      <c r="AV262">
        <v>0</v>
      </c>
      <c r="AW262">
        <v>0</v>
      </c>
      <c r="AX262">
        <v>0</v>
      </c>
      <c r="AY262">
        <v>0</v>
      </c>
      <c r="AZ262">
        <v>0</v>
      </c>
      <c r="BA262">
        <v>0</v>
      </c>
      <c r="BB262"/>
      <c r="BC262"/>
      <c r="BD262"/>
      <c r="BE262">
        <v>0</v>
      </c>
      <c r="BF262" t="s">
        <v>1100</v>
      </c>
      <c r="BG262" t="s">
        <v>5</v>
      </c>
      <c r="BH262" t="s">
        <v>1020</v>
      </c>
      <c r="BI262" t="s">
        <v>1020</v>
      </c>
      <c r="BJ262" t="s">
        <v>5</v>
      </c>
      <c r="BK262"/>
      <c r="BL262">
        <v>0</v>
      </c>
      <c r="BM262"/>
      <c r="BN262" t="s">
        <v>5</v>
      </c>
      <c r="BO262"/>
      <c r="BP262"/>
      <c r="BQ262"/>
      <c r="BR262"/>
      <c r="BS262" t="s">
        <v>5</v>
      </c>
      <c r="BT262"/>
      <c r="BU262"/>
      <c r="BV262"/>
      <c r="BW262"/>
      <c r="BX262" t="s">
        <v>6</v>
      </c>
      <c r="BY262" t="s">
        <v>1101</v>
      </c>
      <c r="BZ262"/>
      <c r="CA262"/>
      <c r="CB262" t="s">
        <v>5</v>
      </c>
      <c r="CC262">
        <v>8976.6316796221545</v>
      </c>
      <c r="CD262">
        <v>4710424.4383313637</v>
      </c>
      <c r="CE262" s="313" t="s">
        <v>11891</v>
      </c>
    </row>
    <row r="263" spans="1:83" ht="15" x14ac:dyDescent="0.25">
      <c r="A263" t="s">
        <v>1179</v>
      </c>
      <c r="B263" t="s">
        <v>1180</v>
      </c>
      <c r="C263" t="s">
        <v>1091</v>
      </c>
      <c r="D263">
        <v>1</v>
      </c>
      <c r="E263" t="s">
        <v>1432</v>
      </c>
      <c r="F263" t="s">
        <v>1181</v>
      </c>
      <c r="G263" t="s">
        <v>1113</v>
      </c>
      <c r="H263" t="s">
        <v>1182</v>
      </c>
      <c r="I263" t="s">
        <v>1183</v>
      </c>
      <c r="J263" t="s">
        <v>1184</v>
      </c>
      <c r="K263" t="s">
        <v>1097</v>
      </c>
      <c r="L263">
        <v>2.335186243057251</v>
      </c>
      <c r="M263" t="s">
        <v>6</v>
      </c>
      <c r="N263" t="s">
        <v>5</v>
      </c>
      <c r="O263" t="s">
        <v>5</v>
      </c>
      <c r="P263" t="s">
        <v>5</v>
      </c>
      <c r="Q263" t="s">
        <v>5</v>
      </c>
      <c r="R263" t="s">
        <v>1185</v>
      </c>
      <c r="S263" t="s">
        <v>1186</v>
      </c>
      <c r="T263" t="s">
        <v>5</v>
      </c>
      <c r="U263" t="s">
        <v>50</v>
      </c>
      <c r="V263">
        <v>100000</v>
      </c>
      <c r="W263">
        <v>100000</v>
      </c>
      <c r="X263" t="s">
        <v>5</v>
      </c>
      <c r="Y263"/>
      <c r="Z263"/>
      <c r="AA263">
        <v>5.4061118513345718E-2</v>
      </c>
      <c r="AB263">
        <v>1.9664440304040909E-2</v>
      </c>
      <c r="AC263">
        <v>0</v>
      </c>
      <c r="AD263">
        <v>0</v>
      </c>
      <c r="AE263">
        <v>0</v>
      </c>
      <c r="AF263">
        <v>0</v>
      </c>
      <c r="AG263">
        <v>0</v>
      </c>
      <c r="AH263">
        <v>0</v>
      </c>
      <c r="AI263">
        <v>0</v>
      </c>
      <c r="AJ263">
        <v>0</v>
      </c>
      <c r="AK263">
        <v>0</v>
      </c>
      <c r="AL263">
        <v>0</v>
      </c>
      <c r="AM263">
        <v>0</v>
      </c>
      <c r="AN263">
        <v>0.59399408102035522</v>
      </c>
      <c r="AO263"/>
      <c r="AP263"/>
      <c r="AQ263"/>
      <c r="AR263">
        <v>0</v>
      </c>
      <c r="AS263">
        <v>0</v>
      </c>
      <c r="AT263">
        <v>0</v>
      </c>
      <c r="AU263">
        <v>0</v>
      </c>
      <c r="AV263">
        <v>0</v>
      </c>
      <c r="AW263">
        <v>0</v>
      </c>
      <c r="AX263">
        <v>0</v>
      </c>
      <c r="AY263">
        <v>0</v>
      </c>
      <c r="AZ263">
        <v>0</v>
      </c>
      <c r="BA263">
        <v>0</v>
      </c>
      <c r="BB263"/>
      <c r="BC263"/>
      <c r="BD263"/>
      <c r="BE263">
        <v>0</v>
      </c>
      <c r="BF263" t="s">
        <v>1100</v>
      </c>
      <c r="BG263" t="s">
        <v>5</v>
      </c>
      <c r="BH263" t="s">
        <v>1020</v>
      </c>
      <c r="BI263" t="s">
        <v>1020</v>
      </c>
      <c r="BJ263" t="s">
        <v>5</v>
      </c>
      <c r="BK263"/>
      <c r="BL263">
        <v>0</v>
      </c>
      <c r="BM263"/>
      <c r="BN263" t="s">
        <v>5</v>
      </c>
      <c r="BO263"/>
      <c r="BP263"/>
      <c r="BQ263"/>
      <c r="BR263"/>
      <c r="BS263" t="s">
        <v>5</v>
      </c>
      <c r="BT263"/>
      <c r="BU263"/>
      <c r="BV263"/>
      <c r="BW263"/>
      <c r="BX263" t="s">
        <v>6</v>
      </c>
      <c r="BY263" t="s">
        <v>1101</v>
      </c>
      <c r="BZ263"/>
      <c r="CA263"/>
      <c r="CB263" t="s">
        <v>5</v>
      </c>
      <c r="CC263">
        <v>16444.680001716439</v>
      </c>
      <c r="CD263">
        <v>6048104.3274155194</v>
      </c>
      <c r="CE263" s="313" t="s">
        <v>11891</v>
      </c>
    </row>
    <row r="264" spans="1:83" ht="15" x14ac:dyDescent="0.25">
      <c r="A264" t="s">
        <v>1187</v>
      </c>
      <c r="B264" t="s">
        <v>1188</v>
      </c>
      <c r="C264" t="s">
        <v>1091</v>
      </c>
      <c r="D264">
        <v>1</v>
      </c>
      <c r="E264" t="s">
        <v>1432</v>
      </c>
      <c r="F264" t="s">
        <v>1104</v>
      </c>
      <c r="G264" t="s">
        <v>1189</v>
      </c>
      <c r="H264" t="s">
        <v>1190</v>
      </c>
      <c r="I264" t="s">
        <v>1191</v>
      </c>
      <c r="J264" t="s">
        <v>1192</v>
      </c>
      <c r="K264" t="s">
        <v>1097</v>
      </c>
      <c r="L264">
        <v>0.86299228668212891</v>
      </c>
      <c r="M264" t="s">
        <v>6</v>
      </c>
      <c r="N264" t="s">
        <v>5</v>
      </c>
      <c r="O264" t="s">
        <v>5</v>
      </c>
      <c r="P264" t="s">
        <v>5</v>
      </c>
      <c r="Q264" t="s">
        <v>5</v>
      </c>
      <c r="R264" t="s">
        <v>1193</v>
      </c>
      <c r="S264" t="s">
        <v>1194</v>
      </c>
      <c r="T264" t="s">
        <v>5</v>
      </c>
      <c r="U264" t="s">
        <v>50</v>
      </c>
      <c r="V264">
        <v>100000</v>
      </c>
      <c r="W264">
        <v>100000</v>
      </c>
      <c r="X264" t="s">
        <v>5</v>
      </c>
      <c r="Y264"/>
      <c r="Z264"/>
      <c r="AA264">
        <v>2.15432308614254E-2</v>
      </c>
      <c r="AB264">
        <v>5.2845398895442486E-3</v>
      </c>
      <c r="AC264">
        <v>0</v>
      </c>
      <c r="AD264">
        <v>0</v>
      </c>
      <c r="AE264">
        <v>0</v>
      </c>
      <c r="AF264">
        <v>0</v>
      </c>
      <c r="AG264">
        <v>0</v>
      </c>
      <c r="AH264">
        <v>0</v>
      </c>
      <c r="AI264">
        <v>0</v>
      </c>
      <c r="AJ264">
        <v>0</v>
      </c>
      <c r="AK264">
        <v>0</v>
      </c>
      <c r="AL264">
        <v>0</v>
      </c>
      <c r="AM264">
        <v>0</v>
      </c>
      <c r="AN264">
        <v>2.786890029907227</v>
      </c>
      <c r="AO264"/>
      <c r="AP264"/>
      <c r="AQ264"/>
      <c r="AR264">
        <v>0</v>
      </c>
      <c r="AS264">
        <v>0</v>
      </c>
      <c r="AT264">
        <v>0</v>
      </c>
      <c r="AU264">
        <v>0</v>
      </c>
      <c r="AV264">
        <v>0</v>
      </c>
      <c r="AW264">
        <v>0</v>
      </c>
      <c r="AX264">
        <v>0</v>
      </c>
      <c r="AY264">
        <v>0</v>
      </c>
      <c r="AZ264">
        <v>0</v>
      </c>
      <c r="BA264">
        <v>0</v>
      </c>
      <c r="BB264"/>
      <c r="BC264"/>
      <c r="BD264"/>
      <c r="BE264">
        <v>0</v>
      </c>
      <c r="BF264" t="s">
        <v>1100</v>
      </c>
      <c r="BG264" t="s">
        <v>5</v>
      </c>
      <c r="BH264" t="s">
        <v>1020</v>
      </c>
      <c r="BI264" t="s">
        <v>1020</v>
      </c>
      <c r="BJ264" t="s">
        <v>5</v>
      </c>
      <c r="BK264"/>
      <c r="BL264">
        <v>0</v>
      </c>
      <c r="BM264"/>
      <c r="BN264" t="s">
        <v>5</v>
      </c>
      <c r="BO264"/>
      <c r="BP264"/>
      <c r="BQ264"/>
      <c r="BR264"/>
      <c r="BS264" t="s">
        <v>5</v>
      </c>
      <c r="BT264"/>
      <c r="BU264"/>
      <c r="BV264"/>
      <c r="BW264"/>
      <c r="BX264" t="s">
        <v>6</v>
      </c>
      <c r="BY264" t="s">
        <v>1101</v>
      </c>
      <c r="BZ264"/>
      <c r="CA264"/>
      <c r="CB264" t="s">
        <v>5</v>
      </c>
      <c r="CC264">
        <v>6458.9589353711081</v>
      </c>
      <c r="CD264">
        <v>2235139.7704909951</v>
      </c>
      <c r="CE264" s="313" t="s">
        <v>11891</v>
      </c>
    </row>
    <row r="265" spans="1:83" ht="15" x14ac:dyDescent="0.25">
      <c r="A265" t="s">
        <v>1195</v>
      </c>
      <c r="B265" t="s">
        <v>1196</v>
      </c>
      <c r="C265" t="s">
        <v>1091</v>
      </c>
      <c r="D265">
        <v>1</v>
      </c>
      <c r="E265" t="s">
        <v>1432</v>
      </c>
      <c r="F265" t="s">
        <v>1197</v>
      </c>
      <c r="G265" t="s">
        <v>1198</v>
      </c>
      <c r="H265" t="s">
        <v>1199</v>
      </c>
      <c r="I265" t="s">
        <v>1200</v>
      </c>
      <c r="J265" t="s">
        <v>1201</v>
      </c>
      <c r="K265" t="s">
        <v>1097</v>
      </c>
      <c r="L265">
        <v>0.79523926973342896</v>
      </c>
      <c r="M265" t="s">
        <v>6</v>
      </c>
      <c r="N265" t="s">
        <v>5</v>
      </c>
      <c r="O265" t="s">
        <v>5</v>
      </c>
      <c r="P265" t="s">
        <v>6</v>
      </c>
      <c r="Q265" t="s">
        <v>5</v>
      </c>
      <c r="R265" t="s">
        <v>1202</v>
      </c>
      <c r="S265" t="s">
        <v>1203</v>
      </c>
      <c r="T265" t="s">
        <v>5</v>
      </c>
      <c r="U265" t="s">
        <v>50</v>
      </c>
      <c r="V265">
        <v>100000</v>
      </c>
      <c r="W265">
        <v>100000</v>
      </c>
      <c r="X265" t="s">
        <v>5</v>
      </c>
      <c r="Y265"/>
      <c r="Z265"/>
      <c r="AA265">
        <v>7.685760036110878E-3</v>
      </c>
      <c r="AB265">
        <v>2.6476699858903881E-3</v>
      </c>
      <c r="AC265">
        <v>0</v>
      </c>
      <c r="AD265">
        <v>0</v>
      </c>
      <c r="AE265">
        <v>0</v>
      </c>
      <c r="AF265">
        <v>0</v>
      </c>
      <c r="AG265">
        <v>0</v>
      </c>
      <c r="AH265">
        <v>0</v>
      </c>
      <c r="AI265">
        <v>0</v>
      </c>
      <c r="AJ265">
        <v>0</v>
      </c>
      <c r="AK265">
        <v>0</v>
      </c>
      <c r="AL265">
        <v>0</v>
      </c>
      <c r="AM265">
        <v>0</v>
      </c>
      <c r="AN265">
        <v>0.89353829622268677</v>
      </c>
      <c r="AO265"/>
      <c r="AP265"/>
      <c r="AQ265"/>
      <c r="AR265">
        <v>0</v>
      </c>
      <c r="AS265">
        <v>0</v>
      </c>
      <c r="AT265">
        <v>0</v>
      </c>
      <c r="AU265">
        <v>0</v>
      </c>
      <c r="AV265">
        <v>0</v>
      </c>
      <c r="AW265">
        <v>0</v>
      </c>
      <c r="AX265">
        <v>0</v>
      </c>
      <c r="AY265">
        <v>0</v>
      </c>
      <c r="AZ265">
        <v>0</v>
      </c>
      <c r="BA265">
        <v>0</v>
      </c>
      <c r="BB265"/>
      <c r="BC265"/>
      <c r="BD265"/>
      <c r="BE265">
        <v>0</v>
      </c>
      <c r="BF265" t="s">
        <v>1100</v>
      </c>
      <c r="BG265" t="s">
        <v>5</v>
      </c>
      <c r="BH265" t="s">
        <v>1020</v>
      </c>
      <c r="BI265" t="s">
        <v>1020</v>
      </c>
      <c r="BJ265" t="s">
        <v>5</v>
      </c>
      <c r="BK265"/>
      <c r="BL265">
        <v>0</v>
      </c>
      <c r="BM265"/>
      <c r="BN265" t="s">
        <v>5</v>
      </c>
      <c r="BO265"/>
      <c r="BP265"/>
      <c r="BQ265"/>
      <c r="BR265"/>
      <c r="BS265" t="s">
        <v>5</v>
      </c>
      <c r="BT265"/>
      <c r="BU265"/>
      <c r="BV265"/>
      <c r="BW265"/>
      <c r="BX265" t="s">
        <v>6</v>
      </c>
      <c r="BY265" t="s">
        <v>1101</v>
      </c>
      <c r="BZ265"/>
      <c r="CA265"/>
      <c r="CB265" t="s">
        <v>5</v>
      </c>
      <c r="CC265">
        <v>6763.3558771762937</v>
      </c>
      <c r="CD265">
        <v>2059660.311346181</v>
      </c>
      <c r="CE265" s="313" t="s">
        <v>11891</v>
      </c>
    </row>
    <row r="266" spans="1:83" ht="15" x14ac:dyDescent="0.25">
      <c r="A266" t="s">
        <v>1204</v>
      </c>
      <c r="B266" t="s">
        <v>1205</v>
      </c>
      <c r="C266" t="s">
        <v>1091</v>
      </c>
      <c r="D266">
        <v>1</v>
      </c>
      <c r="E266" t="s">
        <v>1432</v>
      </c>
      <c r="F266" t="s">
        <v>1206</v>
      </c>
      <c r="G266" t="s">
        <v>1207</v>
      </c>
      <c r="H266" t="s">
        <v>1208</v>
      </c>
      <c r="I266" t="s">
        <v>1209</v>
      </c>
      <c r="J266" t="s">
        <v>1210</v>
      </c>
      <c r="K266" t="s">
        <v>1097</v>
      </c>
      <c r="L266">
        <v>1.84953248500824</v>
      </c>
      <c r="M266" t="s">
        <v>6</v>
      </c>
      <c r="N266" t="s">
        <v>5</v>
      </c>
      <c r="O266" t="s">
        <v>5</v>
      </c>
      <c r="P266" t="s">
        <v>5</v>
      </c>
      <c r="Q266" t="s">
        <v>5</v>
      </c>
      <c r="R266" t="s">
        <v>1211</v>
      </c>
      <c r="S266" t="s">
        <v>1212</v>
      </c>
      <c r="T266" t="s">
        <v>5</v>
      </c>
      <c r="U266" t="s">
        <v>50</v>
      </c>
      <c r="V266">
        <v>100000</v>
      </c>
      <c r="W266">
        <v>100000</v>
      </c>
      <c r="X266" t="s">
        <v>5</v>
      </c>
      <c r="Y266"/>
      <c r="Z266"/>
      <c r="AA266">
        <v>5.9578739106655121E-2</v>
      </c>
      <c r="AB266">
        <v>7.9686399549245834E-3</v>
      </c>
      <c r="AC266">
        <v>0</v>
      </c>
      <c r="AD266">
        <v>0</v>
      </c>
      <c r="AE266">
        <v>0</v>
      </c>
      <c r="AF266">
        <v>0</v>
      </c>
      <c r="AG266">
        <v>0</v>
      </c>
      <c r="AH266">
        <v>0</v>
      </c>
      <c r="AI266">
        <v>0</v>
      </c>
      <c r="AJ266">
        <v>0</v>
      </c>
      <c r="AK266">
        <v>0</v>
      </c>
      <c r="AL266">
        <v>0</v>
      </c>
      <c r="AM266">
        <v>0</v>
      </c>
      <c r="AN266">
        <v>5.8499259948730469</v>
      </c>
      <c r="AO266"/>
      <c r="AP266"/>
      <c r="AQ266"/>
      <c r="AR266">
        <v>0</v>
      </c>
      <c r="AS266">
        <v>0</v>
      </c>
      <c r="AT266">
        <v>0</v>
      </c>
      <c r="AU266">
        <v>0</v>
      </c>
      <c r="AV266">
        <v>0</v>
      </c>
      <c r="AW266">
        <v>0</v>
      </c>
      <c r="AX266">
        <v>0</v>
      </c>
      <c r="AY266">
        <v>0</v>
      </c>
      <c r="AZ266">
        <v>0</v>
      </c>
      <c r="BA266">
        <v>0</v>
      </c>
      <c r="BB266"/>
      <c r="BC266"/>
      <c r="BD266"/>
      <c r="BE266">
        <v>0</v>
      </c>
      <c r="BF266" t="s">
        <v>1100</v>
      </c>
      <c r="BG266" t="s">
        <v>5</v>
      </c>
      <c r="BH266" t="s">
        <v>1020</v>
      </c>
      <c r="BI266" t="s">
        <v>1020</v>
      </c>
      <c r="BJ266" t="s">
        <v>5</v>
      </c>
      <c r="BK266"/>
      <c r="BL266">
        <v>0</v>
      </c>
      <c r="BM266"/>
      <c r="BN266" t="s">
        <v>5</v>
      </c>
      <c r="BO266"/>
      <c r="BP266"/>
      <c r="BQ266"/>
      <c r="BR266"/>
      <c r="BS266" t="s">
        <v>5</v>
      </c>
      <c r="BT266"/>
      <c r="BU266"/>
      <c r="BV266"/>
      <c r="BW266"/>
      <c r="BX266" t="s">
        <v>6</v>
      </c>
      <c r="BY266" t="s">
        <v>1101</v>
      </c>
      <c r="BZ266"/>
      <c r="CA266"/>
      <c r="CB266" t="s">
        <v>5</v>
      </c>
      <c r="CC266">
        <v>9445.7281159314534</v>
      </c>
      <c r="CD266">
        <v>4790267.0091301501</v>
      </c>
      <c r="CE266" s="313" t="s">
        <v>11891</v>
      </c>
    </row>
    <row r="267" spans="1:83" ht="15" x14ac:dyDescent="0.25">
      <c r="A267" t="s">
        <v>1213</v>
      </c>
      <c r="B267" t="s">
        <v>1214</v>
      </c>
      <c r="C267" t="s">
        <v>1091</v>
      </c>
      <c r="D267">
        <v>1</v>
      </c>
      <c r="E267" t="s">
        <v>1432</v>
      </c>
      <c r="F267" t="s">
        <v>1215</v>
      </c>
      <c r="G267" t="s">
        <v>1216</v>
      </c>
      <c r="H267" t="s">
        <v>1217</v>
      </c>
      <c r="I267" t="s">
        <v>1218</v>
      </c>
      <c r="J267" t="s">
        <v>1219</v>
      </c>
      <c r="K267" t="s">
        <v>1097</v>
      </c>
      <c r="L267">
        <v>0.62027233839035034</v>
      </c>
      <c r="M267" t="s">
        <v>6</v>
      </c>
      <c r="N267" t="s">
        <v>5</v>
      </c>
      <c r="O267" t="s">
        <v>5</v>
      </c>
      <c r="P267" t="s">
        <v>5</v>
      </c>
      <c r="Q267" t="s">
        <v>5</v>
      </c>
      <c r="R267" t="s">
        <v>1220</v>
      </c>
      <c r="S267" t="s">
        <v>1221</v>
      </c>
      <c r="T267" t="s">
        <v>5</v>
      </c>
      <c r="U267" t="s">
        <v>50</v>
      </c>
      <c r="V267">
        <v>100000</v>
      </c>
      <c r="W267">
        <v>100000</v>
      </c>
      <c r="X267" t="s">
        <v>5</v>
      </c>
      <c r="Y267"/>
      <c r="Z267"/>
      <c r="AA267">
        <v>5.8652888983488083E-2</v>
      </c>
      <c r="AB267">
        <v>2.182823047041893E-2</v>
      </c>
      <c r="AC267">
        <v>0</v>
      </c>
      <c r="AD267">
        <v>10</v>
      </c>
      <c r="AE267">
        <v>4</v>
      </c>
      <c r="AF267">
        <v>5</v>
      </c>
      <c r="AG267">
        <v>8</v>
      </c>
      <c r="AH267">
        <v>14</v>
      </c>
      <c r="AI267">
        <v>14</v>
      </c>
      <c r="AJ267">
        <v>0</v>
      </c>
      <c r="AK267">
        <v>0</v>
      </c>
      <c r="AL267">
        <v>2</v>
      </c>
      <c r="AM267">
        <v>0</v>
      </c>
      <c r="AN267">
        <v>0.23315039277076721</v>
      </c>
      <c r="AO267"/>
      <c r="AP267"/>
      <c r="AQ267"/>
      <c r="AR267">
        <v>0</v>
      </c>
      <c r="AS267">
        <v>0</v>
      </c>
      <c r="AT267">
        <v>0</v>
      </c>
      <c r="AU267">
        <v>0</v>
      </c>
      <c r="AV267">
        <v>0</v>
      </c>
      <c r="AW267">
        <v>0</v>
      </c>
      <c r="AX267">
        <v>0</v>
      </c>
      <c r="AY267">
        <v>0</v>
      </c>
      <c r="AZ267">
        <v>0</v>
      </c>
      <c r="BA267">
        <v>0</v>
      </c>
      <c r="BB267"/>
      <c r="BC267"/>
      <c r="BD267"/>
      <c r="BE267">
        <v>0</v>
      </c>
      <c r="BF267" t="s">
        <v>1100</v>
      </c>
      <c r="BG267" t="s">
        <v>5</v>
      </c>
      <c r="BH267" t="s">
        <v>1020</v>
      </c>
      <c r="BI267" t="s">
        <v>1020</v>
      </c>
      <c r="BJ267" t="s">
        <v>5</v>
      </c>
      <c r="BK267"/>
      <c r="BL267">
        <v>0</v>
      </c>
      <c r="BM267"/>
      <c r="BN267" t="s">
        <v>5</v>
      </c>
      <c r="BO267"/>
      <c r="BP267"/>
      <c r="BQ267"/>
      <c r="BR267"/>
      <c r="BS267" t="s">
        <v>5</v>
      </c>
      <c r="BT267"/>
      <c r="BU267"/>
      <c r="BV267"/>
      <c r="BW267"/>
      <c r="BX267" t="s">
        <v>6</v>
      </c>
      <c r="BY267" t="s">
        <v>1101</v>
      </c>
      <c r="BZ267"/>
      <c r="CA267"/>
      <c r="CB267" t="s">
        <v>5</v>
      </c>
      <c r="CC267">
        <v>5518.2230009036593</v>
      </c>
      <c r="CD267">
        <v>1606497.8963629359</v>
      </c>
      <c r="CE267" s="313" t="s">
        <v>11891</v>
      </c>
    </row>
    <row r="268" spans="1:83" ht="15" x14ac:dyDescent="0.25">
      <c r="A268" t="s">
        <v>1222</v>
      </c>
      <c r="B268" t="s">
        <v>1223</v>
      </c>
      <c r="C268" t="s">
        <v>1091</v>
      </c>
      <c r="D268">
        <v>1</v>
      </c>
      <c r="E268" t="s">
        <v>1432</v>
      </c>
      <c r="F268" t="s">
        <v>1092</v>
      </c>
      <c r="G268" t="s">
        <v>1093</v>
      </c>
      <c r="H268" t="s">
        <v>1224</v>
      </c>
      <c r="I268" t="s">
        <v>1225</v>
      </c>
      <c r="J268" t="s">
        <v>1226</v>
      </c>
      <c r="K268" t="s">
        <v>1097</v>
      </c>
      <c r="L268">
        <v>1.0020478963851931</v>
      </c>
      <c r="M268" t="s">
        <v>5</v>
      </c>
      <c r="N268" t="s">
        <v>5</v>
      </c>
      <c r="O268" t="s">
        <v>5</v>
      </c>
      <c r="P268" t="s">
        <v>6</v>
      </c>
      <c r="Q268" t="s">
        <v>5</v>
      </c>
      <c r="R268" t="s">
        <v>1227</v>
      </c>
      <c r="S268" t="s">
        <v>1228</v>
      </c>
      <c r="T268" t="s">
        <v>5</v>
      </c>
      <c r="U268" t="s">
        <v>50</v>
      </c>
      <c r="V268">
        <v>100000</v>
      </c>
      <c r="W268">
        <v>100000</v>
      </c>
      <c r="X268" t="s">
        <v>5</v>
      </c>
      <c r="Y268"/>
      <c r="Z268"/>
      <c r="AA268">
        <v>0</v>
      </c>
      <c r="AB268">
        <v>1.2299999980314171E-5</v>
      </c>
      <c r="AC268">
        <v>0</v>
      </c>
      <c r="AD268">
        <v>0</v>
      </c>
      <c r="AE268">
        <v>0</v>
      </c>
      <c r="AF268">
        <v>0</v>
      </c>
      <c r="AG268">
        <v>0</v>
      </c>
      <c r="AH268">
        <v>0</v>
      </c>
      <c r="AI268">
        <v>0</v>
      </c>
      <c r="AJ268">
        <v>0</v>
      </c>
      <c r="AK268">
        <v>0</v>
      </c>
      <c r="AL268">
        <v>0</v>
      </c>
      <c r="AM268">
        <v>0</v>
      </c>
      <c r="AN268">
        <v>0</v>
      </c>
      <c r="AO268"/>
      <c r="AP268"/>
      <c r="AQ268"/>
      <c r="AR268">
        <v>0</v>
      </c>
      <c r="AS268">
        <v>0</v>
      </c>
      <c r="AT268">
        <v>0</v>
      </c>
      <c r="AU268">
        <v>0</v>
      </c>
      <c r="AV268">
        <v>0</v>
      </c>
      <c r="AW268">
        <v>0</v>
      </c>
      <c r="AX268">
        <v>0</v>
      </c>
      <c r="AY268">
        <v>0</v>
      </c>
      <c r="AZ268">
        <v>0</v>
      </c>
      <c r="BA268">
        <v>0</v>
      </c>
      <c r="BB268"/>
      <c r="BC268"/>
      <c r="BD268"/>
      <c r="BE268">
        <v>0</v>
      </c>
      <c r="BF268" t="s">
        <v>1100</v>
      </c>
      <c r="BG268" t="s">
        <v>5</v>
      </c>
      <c r="BH268" t="s">
        <v>1020</v>
      </c>
      <c r="BI268" t="s">
        <v>1020</v>
      </c>
      <c r="BJ268" t="s">
        <v>5</v>
      </c>
      <c r="BK268"/>
      <c r="BL268">
        <v>0</v>
      </c>
      <c r="BM268"/>
      <c r="BN268" t="s">
        <v>5</v>
      </c>
      <c r="BO268"/>
      <c r="BP268"/>
      <c r="BQ268"/>
      <c r="BR268"/>
      <c r="BS268" t="s">
        <v>5</v>
      </c>
      <c r="BT268"/>
      <c r="BU268"/>
      <c r="BV268"/>
      <c r="BW268"/>
      <c r="BX268" t="s">
        <v>6</v>
      </c>
      <c r="BY268" t="s">
        <v>1101</v>
      </c>
      <c r="BZ268"/>
      <c r="CA268"/>
      <c r="CB268" t="s">
        <v>5</v>
      </c>
      <c r="CC268">
        <v>6431.628243433197</v>
      </c>
      <c r="CD268">
        <v>2595292.2647039858</v>
      </c>
      <c r="CE268" s="313" t="s">
        <v>11891</v>
      </c>
    </row>
    <row r="269" spans="1:83" ht="15" x14ac:dyDescent="0.25">
      <c r="A269" t="s">
        <v>1229</v>
      </c>
      <c r="B269" t="s">
        <v>1230</v>
      </c>
      <c r="C269" t="s">
        <v>1091</v>
      </c>
      <c r="D269">
        <v>1</v>
      </c>
      <c r="E269" t="s">
        <v>1432</v>
      </c>
      <c r="F269" t="s">
        <v>1231</v>
      </c>
      <c r="G269" t="s">
        <v>1093</v>
      </c>
      <c r="H269" t="s">
        <v>1232</v>
      </c>
      <c r="I269" t="s">
        <v>1233</v>
      </c>
      <c r="J269" t="s">
        <v>1234</v>
      </c>
      <c r="K269" t="s">
        <v>1097</v>
      </c>
      <c r="L269">
        <v>0.1628378629684448</v>
      </c>
      <c r="M269" t="s">
        <v>5</v>
      </c>
      <c r="N269" t="s">
        <v>5</v>
      </c>
      <c r="O269" t="s">
        <v>5</v>
      </c>
      <c r="P269" t="s">
        <v>6</v>
      </c>
      <c r="Q269" t="s">
        <v>5</v>
      </c>
      <c r="R269" t="s">
        <v>1235</v>
      </c>
      <c r="S269" t="s">
        <v>1236</v>
      </c>
      <c r="T269" t="s">
        <v>5</v>
      </c>
      <c r="U269" t="s">
        <v>50</v>
      </c>
      <c r="V269">
        <v>100000</v>
      </c>
      <c r="W269">
        <v>100000</v>
      </c>
      <c r="X269" t="s">
        <v>5</v>
      </c>
      <c r="Y269"/>
      <c r="Z269"/>
      <c r="AA269">
        <v>0</v>
      </c>
      <c r="AB269">
        <v>3.3141000312753022E-4</v>
      </c>
      <c r="AC269">
        <v>0</v>
      </c>
      <c r="AD269">
        <v>0</v>
      </c>
      <c r="AE269">
        <v>0</v>
      </c>
      <c r="AF269">
        <v>0</v>
      </c>
      <c r="AG269">
        <v>0</v>
      </c>
      <c r="AH269">
        <v>0</v>
      </c>
      <c r="AI269">
        <v>0</v>
      </c>
      <c r="AJ269">
        <v>0</v>
      </c>
      <c r="AK269">
        <v>0</v>
      </c>
      <c r="AL269">
        <v>0</v>
      </c>
      <c r="AM269">
        <v>0</v>
      </c>
      <c r="AN269">
        <v>0</v>
      </c>
      <c r="AO269"/>
      <c r="AP269"/>
      <c r="AQ269"/>
      <c r="AR269">
        <v>0</v>
      </c>
      <c r="AS269">
        <v>0</v>
      </c>
      <c r="AT269">
        <v>0</v>
      </c>
      <c r="AU269">
        <v>0</v>
      </c>
      <c r="AV269">
        <v>0</v>
      </c>
      <c r="AW269">
        <v>0</v>
      </c>
      <c r="AX269">
        <v>0</v>
      </c>
      <c r="AY269">
        <v>0</v>
      </c>
      <c r="AZ269">
        <v>0</v>
      </c>
      <c r="BA269">
        <v>0</v>
      </c>
      <c r="BB269"/>
      <c r="BC269"/>
      <c r="BD269"/>
      <c r="BE269">
        <v>0</v>
      </c>
      <c r="BF269" t="s">
        <v>1100</v>
      </c>
      <c r="BG269" t="s">
        <v>5</v>
      </c>
      <c r="BH269" t="s">
        <v>1020</v>
      </c>
      <c r="BI269" t="s">
        <v>1020</v>
      </c>
      <c r="BJ269" t="s">
        <v>5</v>
      </c>
      <c r="BK269"/>
      <c r="BL269">
        <v>0</v>
      </c>
      <c r="BM269"/>
      <c r="BN269" t="s">
        <v>5</v>
      </c>
      <c r="BO269"/>
      <c r="BP269"/>
      <c r="BQ269"/>
      <c r="BR269"/>
      <c r="BS269" t="s">
        <v>5</v>
      </c>
      <c r="BT269"/>
      <c r="BU269"/>
      <c r="BV269"/>
      <c r="BW269"/>
      <c r="BX269" t="s">
        <v>6</v>
      </c>
      <c r="BY269" t="s">
        <v>1101</v>
      </c>
      <c r="BZ269"/>
      <c r="CA269"/>
      <c r="CB269" t="s">
        <v>5</v>
      </c>
      <c r="CC269">
        <v>2678.2759944492568</v>
      </c>
      <c r="CD269">
        <v>421748.13674524479</v>
      </c>
      <c r="CE269" s="313" t="s">
        <v>11891</v>
      </c>
    </row>
    <row r="270" spans="1:83" ht="15" x14ac:dyDescent="0.25">
      <c r="A270" t="s">
        <v>1237</v>
      </c>
      <c r="B270" t="s">
        <v>1238</v>
      </c>
      <c r="C270" t="s">
        <v>1091</v>
      </c>
      <c r="D270">
        <v>1</v>
      </c>
      <c r="E270" t="s">
        <v>1432</v>
      </c>
      <c r="F270" t="s">
        <v>1239</v>
      </c>
      <c r="G270" t="s">
        <v>1216</v>
      </c>
      <c r="H270" t="s">
        <v>1240</v>
      </c>
      <c r="I270" t="s">
        <v>1241</v>
      </c>
      <c r="J270" t="s">
        <v>1242</v>
      </c>
      <c r="K270" t="s">
        <v>1097</v>
      </c>
      <c r="L270">
        <v>0.99756377935409546</v>
      </c>
      <c r="M270" t="s">
        <v>6</v>
      </c>
      <c r="N270" t="s">
        <v>5</v>
      </c>
      <c r="O270" t="s">
        <v>5</v>
      </c>
      <c r="P270" t="s">
        <v>5</v>
      </c>
      <c r="Q270" t="s">
        <v>5</v>
      </c>
      <c r="R270" t="s">
        <v>1243</v>
      </c>
      <c r="S270" t="s">
        <v>1244</v>
      </c>
      <c r="T270" t="s">
        <v>5</v>
      </c>
      <c r="U270" t="s">
        <v>50</v>
      </c>
      <c r="V270">
        <v>100000</v>
      </c>
      <c r="W270">
        <v>100000</v>
      </c>
      <c r="X270" t="s">
        <v>5</v>
      </c>
      <c r="Y270"/>
      <c r="Z270"/>
      <c r="AA270">
        <v>5.8653179556131363E-2</v>
      </c>
      <c r="AB270">
        <v>1.8616380169987679E-2</v>
      </c>
      <c r="AC270">
        <v>0</v>
      </c>
      <c r="AD270">
        <v>0</v>
      </c>
      <c r="AE270">
        <v>0</v>
      </c>
      <c r="AF270">
        <v>0</v>
      </c>
      <c r="AG270">
        <v>0</v>
      </c>
      <c r="AH270">
        <v>0</v>
      </c>
      <c r="AI270">
        <v>0</v>
      </c>
      <c r="AJ270">
        <v>0</v>
      </c>
      <c r="AK270">
        <v>0</v>
      </c>
      <c r="AL270">
        <v>0</v>
      </c>
      <c r="AM270">
        <v>0</v>
      </c>
      <c r="AN270">
        <v>0.22888702154159549</v>
      </c>
      <c r="AO270"/>
      <c r="AP270"/>
      <c r="AQ270"/>
      <c r="AR270">
        <v>0</v>
      </c>
      <c r="AS270">
        <v>0</v>
      </c>
      <c r="AT270">
        <v>0</v>
      </c>
      <c r="AU270">
        <v>0</v>
      </c>
      <c r="AV270">
        <v>0</v>
      </c>
      <c r="AW270">
        <v>0</v>
      </c>
      <c r="AX270">
        <v>0</v>
      </c>
      <c r="AY270">
        <v>0</v>
      </c>
      <c r="AZ270">
        <v>0</v>
      </c>
      <c r="BA270">
        <v>0</v>
      </c>
      <c r="BB270"/>
      <c r="BC270"/>
      <c r="BD270"/>
      <c r="BE270">
        <v>0</v>
      </c>
      <c r="BF270" t="s">
        <v>1100</v>
      </c>
      <c r="BG270" t="s">
        <v>5</v>
      </c>
      <c r="BH270" t="s">
        <v>1020</v>
      </c>
      <c r="BI270" t="s">
        <v>1020</v>
      </c>
      <c r="BJ270" t="s">
        <v>5</v>
      </c>
      <c r="BK270"/>
      <c r="BL270">
        <v>0</v>
      </c>
      <c r="BM270"/>
      <c r="BN270" t="s">
        <v>5</v>
      </c>
      <c r="BO270"/>
      <c r="BP270"/>
      <c r="BQ270"/>
      <c r="BR270"/>
      <c r="BS270" t="s">
        <v>5</v>
      </c>
      <c r="BT270"/>
      <c r="BU270"/>
      <c r="BV270"/>
      <c r="BW270"/>
      <c r="BX270" t="s">
        <v>6</v>
      </c>
      <c r="BY270" t="s">
        <v>1101</v>
      </c>
      <c r="BZ270"/>
      <c r="CA270"/>
      <c r="CB270" t="s">
        <v>5</v>
      </c>
      <c r="CC270">
        <v>9328.0256682183881</v>
      </c>
      <c r="CD270">
        <v>2583678.2627248229</v>
      </c>
      <c r="CE270" s="313" t="s">
        <v>11891</v>
      </c>
    </row>
    <row r="271" spans="1:83" ht="15" x14ac:dyDescent="0.25">
      <c r="A271" t="s">
        <v>1245</v>
      </c>
      <c r="B271" t="s">
        <v>1246</v>
      </c>
      <c r="C271" t="s">
        <v>1091</v>
      </c>
      <c r="D271">
        <v>1</v>
      </c>
      <c r="E271" t="s">
        <v>1432</v>
      </c>
      <c r="F271" t="s">
        <v>1197</v>
      </c>
      <c r="G271" t="s">
        <v>1247</v>
      </c>
      <c r="H271" t="s">
        <v>1248</v>
      </c>
      <c r="I271" t="s">
        <v>1249</v>
      </c>
      <c r="J271" t="s">
        <v>1250</v>
      </c>
      <c r="K271" t="s">
        <v>1097</v>
      </c>
      <c r="L271">
        <v>1.073212742805481</v>
      </c>
      <c r="M271" t="s">
        <v>6</v>
      </c>
      <c r="N271" t="s">
        <v>5</v>
      </c>
      <c r="O271" t="s">
        <v>5</v>
      </c>
      <c r="P271" t="s">
        <v>5</v>
      </c>
      <c r="Q271" t="s">
        <v>5</v>
      </c>
      <c r="R271" t="s">
        <v>1251</v>
      </c>
      <c r="S271" t="s">
        <v>1252</v>
      </c>
      <c r="T271" t="s">
        <v>5</v>
      </c>
      <c r="U271" t="s">
        <v>50</v>
      </c>
      <c r="V271">
        <v>100000</v>
      </c>
      <c r="W271">
        <v>100000</v>
      </c>
      <c r="X271" t="s">
        <v>5</v>
      </c>
      <c r="Y271"/>
      <c r="Z271"/>
      <c r="AA271">
        <v>1.958759967237711E-3</v>
      </c>
      <c r="AB271">
        <v>3.5096998908556998E-4</v>
      </c>
      <c r="AC271">
        <v>8.3728702738881111E-3</v>
      </c>
      <c r="AD271">
        <v>0</v>
      </c>
      <c r="AE271">
        <v>0</v>
      </c>
      <c r="AF271">
        <v>0</v>
      </c>
      <c r="AG271">
        <v>0</v>
      </c>
      <c r="AH271">
        <v>0</v>
      </c>
      <c r="AI271">
        <v>0</v>
      </c>
      <c r="AJ271">
        <v>0</v>
      </c>
      <c r="AK271">
        <v>0</v>
      </c>
      <c r="AL271">
        <v>0</v>
      </c>
      <c r="AM271">
        <v>0</v>
      </c>
      <c r="AN271">
        <v>0.28004387021064758</v>
      </c>
      <c r="AO271"/>
      <c r="AP271"/>
      <c r="AQ271"/>
      <c r="AR271">
        <v>0</v>
      </c>
      <c r="AS271">
        <v>0</v>
      </c>
      <c r="AT271">
        <v>0</v>
      </c>
      <c r="AU271">
        <v>0</v>
      </c>
      <c r="AV271">
        <v>0</v>
      </c>
      <c r="AW271">
        <v>0</v>
      </c>
      <c r="AX271">
        <v>0</v>
      </c>
      <c r="AY271">
        <v>0</v>
      </c>
      <c r="AZ271">
        <v>0</v>
      </c>
      <c r="BA271">
        <v>0</v>
      </c>
      <c r="BB271"/>
      <c r="BC271"/>
      <c r="BD271"/>
      <c r="BE271">
        <v>0</v>
      </c>
      <c r="BF271" t="s">
        <v>1100</v>
      </c>
      <c r="BG271" t="s">
        <v>5</v>
      </c>
      <c r="BH271" t="s">
        <v>1020</v>
      </c>
      <c r="BI271" t="s">
        <v>1020</v>
      </c>
      <c r="BJ271" t="s">
        <v>5</v>
      </c>
      <c r="BK271"/>
      <c r="BL271">
        <v>0</v>
      </c>
      <c r="BM271"/>
      <c r="BN271" t="s">
        <v>5</v>
      </c>
      <c r="BO271"/>
      <c r="BP271"/>
      <c r="BQ271"/>
      <c r="BR271"/>
      <c r="BS271" t="s">
        <v>5</v>
      </c>
      <c r="BT271"/>
      <c r="BU271"/>
      <c r="BV271"/>
      <c r="BW271"/>
      <c r="BX271" t="s">
        <v>6</v>
      </c>
      <c r="BY271" t="s">
        <v>1101</v>
      </c>
      <c r="BZ271"/>
      <c r="CA271"/>
      <c r="CB271" t="s">
        <v>5</v>
      </c>
      <c r="CC271">
        <v>9301.4650965799992</v>
      </c>
      <c r="CD271">
        <v>2779608.1504659909</v>
      </c>
      <c r="CE271" s="313" t="s">
        <v>11891</v>
      </c>
    </row>
    <row r="272" spans="1:83" ht="15" x14ac:dyDescent="0.25">
      <c r="A272" t="s">
        <v>1253</v>
      </c>
      <c r="B272" t="s">
        <v>1254</v>
      </c>
      <c r="C272" t="s">
        <v>1091</v>
      </c>
      <c r="D272">
        <v>1</v>
      </c>
      <c r="E272" t="s">
        <v>1432</v>
      </c>
      <c r="F272" t="s">
        <v>1255</v>
      </c>
      <c r="G272" t="s">
        <v>1256</v>
      </c>
      <c r="H272" t="s">
        <v>1257</v>
      </c>
      <c r="I272" t="s">
        <v>1258</v>
      </c>
      <c r="J272" t="s">
        <v>1259</v>
      </c>
      <c r="K272" t="s">
        <v>1097</v>
      </c>
      <c r="L272">
        <v>1.176948547363281</v>
      </c>
      <c r="M272" t="s">
        <v>6</v>
      </c>
      <c r="N272" t="s">
        <v>5</v>
      </c>
      <c r="O272" t="s">
        <v>5</v>
      </c>
      <c r="P272" t="s">
        <v>5</v>
      </c>
      <c r="Q272" t="s">
        <v>5</v>
      </c>
      <c r="R272" t="s">
        <v>1260</v>
      </c>
      <c r="S272" t="s">
        <v>1261</v>
      </c>
      <c r="T272" t="s">
        <v>5</v>
      </c>
      <c r="U272" t="s">
        <v>50</v>
      </c>
      <c r="V272">
        <v>100000</v>
      </c>
      <c r="W272">
        <v>100000</v>
      </c>
      <c r="X272" t="s">
        <v>5</v>
      </c>
      <c r="Y272"/>
      <c r="Z272"/>
      <c r="AA272">
        <v>6.6880688071250916E-2</v>
      </c>
      <c r="AB272">
        <v>2.4308919906616211E-2</v>
      </c>
      <c r="AC272">
        <v>0</v>
      </c>
      <c r="AD272">
        <v>24</v>
      </c>
      <c r="AE272">
        <v>16</v>
      </c>
      <c r="AF272">
        <v>16</v>
      </c>
      <c r="AG272">
        <v>38</v>
      </c>
      <c r="AH272">
        <v>19</v>
      </c>
      <c r="AI272">
        <v>38</v>
      </c>
      <c r="AJ272">
        <v>1</v>
      </c>
      <c r="AK272">
        <v>0</v>
      </c>
      <c r="AL272">
        <v>2</v>
      </c>
      <c r="AM272">
        <v>0</v>
      </c>
      <c r="AN272">
        <v>1.9652630090713501</v>
      </c>
      <c r="AO272"/>
      <c r="AP272"/>
      <c r="AQ272"/>
      <c r="AR272">
        <v>0</v>
      </c>
      <c r="AS272">
        <v>0</v>
      </c>
      <c r="AT272">
        <v>0</v>
      </c>
      <c r="AU272">
        <v>0</v>
      </c>
      <c r="AV272">
        <v>0</v>
      </c>
      <c r="AW272">
        <v>0</v>
      </c>
      <c r="AX272">
        <v>0</v>
      </c>
      <c r="AY272">
        <v>0</v>
      </c>
      <c r="AZ272">
        <v>0</v>
      </c>
      <c r="BA272">
        <v>0</v>
      </c>
      <c r="BB272"/>
      <c r="BC272"/>
      <c r="BD272"/>
      <c r="BE272">
        <v>0</v>
      </c>
      <c r="BF272" t="s">
        <v>1100</v>
      </c>
      <c r="BG272" t="s">
        <v>5</v>
      </c>
      <c r="BH272" t="s">
        <v>1020</v>
      </c>
      <c r="BI272" t="s">
        <v>1020</v>
      </c>
      <c r="BJ272" t="s">
        <v>5</v>
      </c>
      <c r="BK272"/>
      <c r="BL272">
        <v>0</v>
      </c>
      <c r="BM272"/>
      <c r="BN272" t="s">
        <v>5</v>
      </c>
      <c r="BO272"/>
      <c r="BP272"/>
      <c r="BQ272"/>
      <c r="BR272"/>
      <c r="BS272" t="s">
        <v>5</v>
      </c>
      <c r="BT272"/>
      <c r="BU272"/>
      <c r="BV272"/>
      <c r="BW272"/>
      <c r="BX272" t="s">
        <v>6</v>
      </c>
      <c r="BY272" t="s">
        <v>1101</v>
      </c>
      <c r="BZ272"/>
      <c r="CA272"/>
      <c r="CB272" t="s">
        <v>5</v>
      </c>
      <c r="CC272">
        <v>7946.1380450232155</v>
      </c>
      <c r="CD272">
        <v>3048282.6993089849</v>
      </c>
      <c r="CE272" s="313" t="s">
        <v>11891</v>
      </c>
    </row>
    <row r="273" spans="1:83" ht="15" x14ac:dyDescent="0.25">
      <c r="A273" t="s">
        <v>1262</v>
      </c>
      <c r="B273" t="s">
        <v>1263</v>
      </c>
      <c r="C273" t="s">
        <v>1091</v>
      </c>
      <c r="D273">
        <v>1</v>
      </c>
      <c r="E273" t="s">
        <v>1432</v>
      </c>
      <c r="F273" t="s">
        <v>1264</v>
      </c>
      <c r="G273" t="s">
        <v>1265</v>
      </c>
      <c r="H273" t="s">
        <v>1266</v>
      </c>
      <c r="I273" t="s">
        <v>1267</v>
      </c>
      <c r="J273" t="s">
        <v>1268</v>
      </c>
      <c r="K273" t="s">
        <v>1097</v>
      </c>
      <c r="L273">
        <v>1.9839020967483521</v>
      </c>
      <c r="M273" t="s">
        <v>6</v>
      </c>
      <c r="N273" t="s">
        <v>5</v>
      </c>
      <c r="O273" t="s">
        <v>5</v>
      </c>
      <c r="P273" t="s">
        <v>5</v>
      </c>
      <c r="Q273" t="s">
        <v>5</v>
      </c>
      <c r="R273" t="s">
        <v>1269</v>
      </c>
      <c r="S273" t="s">
        <v>1270</v>
      </c>
      <c r="T273" t="s">
        <v>5</v>
      </c>
      <c r="U273" t="s">
        <v>50</v>
      </c>
      <c r="V273">
        <v>100000</v>
      </c>
      <c r="W273">
        <v>100000</v>
      </c>
      <c r="X273" t="s">
        <v>5</v>
      </c>
      <c r="Y273"/>
      <c r="Z273"/>
      <c r="AA273">
        <v>9.6871413290500641E-2</v>
      </c>
      <c r="AB273">
        <v>3.3093668520450592E-2</v>
      </c>
      <c r="AC273">
        <v>0</v>
      </c>
      <c r="AD273">
        <v>67</v>
      </c>
      <c r="AE273">
        <v>32</v>
      </c>
      <c r="AF273">
        <v>0</v>
      </c>
      <c r="AG273">
        <v>37</v>
      </c>
      <c r="AH273">
        <v>47</v>
      </c>
      <c r="AI273">
        <v>47</v>
      </c>
      <c r="AJ273">
        <v>0</v>
      </c>
      <c r="AK273">
        <v>1</v>
      </c>
      <c r="AL273">
        <v>3</v>
      </c>
      <c r="AM273">
        <v>1</v>
      </c>
      <c r="AN273">
        <v>1.675092816352844</v>
      </c>
      <c r="AO273"/>
      <c r="AP273"/>
      <c r="AQ273"/>
      <c r="AR273">
        <v>0</v>
      </c>
      <c r="AS273">
        <v>0</v>
      </c>
      <c r="AT273">
        <v>0</v>
      </c>
      <c r="AU273">
        <v>0</v>
      </c>
      <c r="AV273">
        <v>0</v>
      </c>
      <c r="AW273">
        <v>0</v>
      </c>
      <c r="AX273">
        <v>0</v>
      </c>
      <c r="AY273">
        <v>0</v>
      </c>
      <c r="AZ273">
        <v>0</v>
      </c>
      <c r="BA273">
        <v>0</v>
      </c>
      <c r="BB273"/>
      <c r="BC273"/>
      <c r="BD273"/>
      <c r="BE273">
        <v>0</v>
      </c>
      <c r="BF273" t="s">
        <v>1100</v>
      </c>
      <c r="BG273" t="s">
        <v>5</v>
      </c>
      <c r="BH273" t="s">
        <v>1020</v>
      </c>
      <c r="BI273" t="s">
        <v>1020</v>
      </c>
      <c r="BJ273" t="s">
        <v>5</v>
      </c>
      <c r="BK273"/>
      <c r="BL273">
        <v>0</v>
      </c>
      <c r="BM273"/>
      <c r="BN273" t="s">
        <v>5</v>
      </c>
      <c r="BO273"/>
      <c r="BP273"/>
      <c r="BQ273"/>
      <c r="BR273"/>
      <c r="BS273" t="s">
        <v>5</v>
      </c>
      <c r="BT273"/>
      <c r="BU273"/>
      <c r="BV273"/>
      <c r="BW273"/>
      <c r="BX273" t="s">
        <v>6</v>
      </c>
      <c r="BY273" t="s">
        <v>1101</v>
      </c>
      <c r="BZ273"/>
      <c r="CA273"/>
      <c r="CB273" t="s">
        <v>5</v>
      </c>
      <c r="CC273">
        <v>14083.071836884081</v>
      </c>
      <c r="CD273">
        <v>5138282.9550440991</v>
      </c>
      <c r="CE273" s="313" t="s">
        <v>11891</v>
      </c>
    </row>
    <row r="274" spans="1:83" ht="15" x14ac:dyDescent="0.25">
      <c r="A274" t="s">
        <v>1271</v>
      </c>
      <c r="B274" t="s">
        <v>1272</v>
      </c>
      <c r="C274" t="s">
        <v>1091</v>
      </c>
      <c r="D274">
        <v>1</v>
      </c>
      <c r="E274" t="s">
        <v>1432</v>
      </c>
      <c r="F274" t="s">
        <v>1264</v>
      </c>
      <c r="G274" t="s">
        <v>1265</v>
      </c>
      <c r="H274" t="s">
        <v>1266</v>
      </c>
      <c r="I274" t="s">
        <v>1273</v>
      </c>
      <c r="J274" t="s">
        <v>1274</v>
      </c>
      <c r="K274" t="s">
        <v>1097</v>
      </c>
      <c r="L274">
        <v>0.19605748355388641</v>
      </c>
      <c r="M274" t="s">
        <v>6</v>
      </c>
      <c r="N274" t="s">
        <v>5</v>
      </c>
      <c r="O274" t="s">
        <v>5</v>
      </c>
      <c r="P274" t="s">
        <v>5</v>
      </c>
      <c r="Q274" t="s">
        <v>5</v>
      </c>
      <c r="R274" t="s">
        <v>1275</v>
      </c>
      <c r="S274" t="s">
        <v>1276</v>
      </c>
      <c r="T274" t="s">
        <v>5</v>
      </c>
      <c r="U274" t="s">
        <v>50</v>
      </c>
      <c r="V274">
        <v>100000</v>
      </c>
      <c r="W274">
        <v>100000</v>
      </c>
      <c r="X274" t="s">
        <v>5</v>
      </c>
      <c r="Y274"/>
      <c r="Z274"/>
      <c r="AA274">
        <v>4.2300098575651654E-3</v>
      </c>
      <c r="AB274">
        <v>2.4716000189073378E-4</v>
      </c>
      <c r="AC274">
        <v>0</v>
      </c>
      <c r="AD274">
        <v>0</v>
      </c>
      <c r="AE274">
        <v>0</v>
      </c>
      <c r="AF274">
        <v>0</v>
      </c>
      <c r="AG274">
        <v>0</v>
      </c>
      <c r="AH274">
        <v>0</v>
      </c>
      <c r="AI274">
        <v>0</v>
      </c>
      <c r="AJ274">
        <v>0</v>
      </c>
      <c r="AK274">
        <v>0</v>
      </c>
      <c r="AL274">
        <v>0</v>
      </c>
      <c r="AM274">
        <v>0</v>
      </c>
      <c r="AN274">
        <v>2.7072031497955318</v>
      </c>
      <c r="AO274"/>
      <c r="AP274"/>
      <c r="AQ274"/>
      <c r="AR274">
        <v>0</v>
      </c>
      <c r="AS274">
        <v>0</v>
      </c>
      <c r="AT274">
        <v>0</v>
      </c>
      <c r="AU274">
        <v>0</v>
      </c>
      <c r="AV274">
        <v>0</v>
      </c>
      <c r="AW274">
        <v>0</v>
      </c>
      <c r="AX274">
        <v>0</v>
      </c>
      <c r="AY274">
        <v>0</v>
      </c>
      <c r="AZ274">
        <v>0</v>
      </c>
      <c r="BA274">
        <v>0</v>
      </c>
      <c r="BB274"/>
      <c r="BC274"/>
      <c r="BD274"/>
      <c r="BE274">
        <v>0</v>
      </c>
      <c r="BF274" t="s">
        <v>1100</v>
      </c>
      <c r="BG274" t="s">
        <v>5</v>
      </c>
      <c r="BH274" t="s">
        <v>1020</v>
      </c>
      <c r="BI274" t="s">
        <v>1020</v>
      </c>
      <c r="BJ274" t="s">
        <v>5</v>
      </c>
      <c r="BK274"/>
      <c r="BL274">
        <v>0</v>
      </c>
      <c r="BM274"/>
      <c r="BN274" t="s">
        <v>5</v>
      </c>
      <c r="BO274"/>
      <c r="BP274"/>
      <c r="BQ274"/>
      <c r="BR274"/>
      <c r="BS274" t="s">
        <v>5</v>
      </c>
      <c r="BT274"/>
      <c r="BU274"/>
      <c r="BV274"/>
      <c r="BW274"/>
      <c r="BX274" t="s">
        <v>6</v>
      </c>
      <c r="BY274" t="s">
        <v>1101</v>
      </c>
      <c r="BZ274"/>
      <c r="CA274"/>
      <c r="CB274" t="s">
        <v>5</v>
      </c>
      <c r="CC274">
        <v>3846.3816531401808</v>
      </c>
      <c r="CD274">
        <v>507786.55715393811</v>
      </c>
      <c r="CE274" s="313" t="s">
        <v>11891</v>
      </c>
    </row>
    <row r="275" spans="1:83" ht="15" x14ac:dyDescent="0.25">
      <c r="A275" t="s">
        <v>1277</v>
      </c>
      <c r="B275" t="s">
        <v>1278</v>
      </c>
      <c r="C275" t="s">
        <v>1091</v>
      </c>
      <c r="D275">
        <v>1</v>
      </c>
      <c r="E275" t="s">
        <v>1432</v>
      </c>
      <c r="F275" t="s">
        <v>1279</v>
      </c>
      <c r="G275" t="s">
        <v>1280</v>
      </c>
      <c r="H275" t="s">
        <v>1281</v>
      </c>
      <c r="I275" t="s">
        <v>1282</v>
      </c>
      <c r="J275" t="s">
        <v>1283</v>
      </c>
      <c r="K275" t="s">
        <v>1097</v>
      </c>
      <c r="L275">
        <v>4.4166293144226074</v>
      </c>
      <c r="M275" t="s">
        <v>6</v>
      </c>
      <c r="N275" t="s">
        <v>5</v>
      </c>
      <c r="O275" t="s">
        <v>5</v>
      </c>
      <c r="P275" t="s">
        <v>6</v>
      </c>
      <c r="Q275" t="s">
        <v>5</v>
      </c>
      <c r="R275" t="s">
        <v>1284</v>
      </c>
      <c r="S275" t="s">
        <v>1285</v>
      </c>
      <c r="T275" t="s">
        <v>5</v>
      </c>
      <c r="U275" t="s">
        <v>50</v>
      </c>
      <c r="V275">
        <v>100000</v>
      </c>
      <c r="W275">
        <v>100000</v>
      </c>
      <c r="X275" t="s">
        <v>5</v>
      </c>
      <c r="Y275"/>
      <c r="Z275"/>
      <c r="AA275">
        <v>0.43176302313804632</v>
      </c>
      <c r="AB275">
        <v>0.39927545189857477</v>
      </c>
      <c r="AC275">
        <v>1.390288025140762E-2</v>
      </c>
      <c r="AD275">
        <v>304</v>
      </c>
      <c r="AE275">
        <v>324</v>
      </c>
      <c r="AF275">
        <v>145</v>
      </c>
      <c r="AG275">
        <v>193</v>
      </c>
      <c r="AH275">
        <v>479</v>
      </c>
      <c r="AI275">
        <v>479</v>
      </c>
      <c r="AJ275">
        <v>0</v>
      </c>
      <c r="AK275">
        <v>0</v>
      </c>
      <c r="AL275">
        <v>7</v>
      </c>
      <c r="AM275">
        <v>0</v>
      </c>
      <c r="AN275">
        <v>18.13187217712402</v>
      </c>
      <c r="AO275"/>
      <c r="AP275"/>
      <c r="AQ275"/>
      <c r="AR275">
        <v>0</v>
      </c>
      <c r="AS275">
        <v>0</v>
      </c>
      <c r="AT275">
        <v>0</v>
      </c>
      <c r="AU275">
        <v>0</v>
      </c>
      <c r="AV275">
        <v>0</v>
      </c>
      <c r="AW275">
        <v>0</v>
      </c>
      <c r="AX275">
        <v>0</v>
      </c>
      <c r="AY275">
        <v>0</v>
      </c>
      <c r="AZ275">
        <v>0</v>
      </c>
      <c r="BA275">
        <v>0</v>
      </c>
      <c r="BB275"/>
      <c r="BC275"/>
      <c r="BD275"/>
      <c r="BE275">
        <v>0</v>
      </c>
      <c r="BF275" t="s">
        <v>1100</v>
      </c>
      <c r="BG275" t="s">
        <v>5</v>
      </c>
      <c r="BH275" t="s">
        <v>1020</v>
      </c>
      <c r="BI275" t="s">
        <v>1020</v>
      </c>
      <c r="BJ275" t="s">
        <v>5</v>
      </c>
      <c r="BK275"/>
      <c r="BL275">
        <v>0</v>
      </c>
      <c r="BM275"/>
      <c r="BN275" t="s">
        <v>5</v>
      </c>
      <c r="BO275"/>
      <c r="BP275"/>
      <c r="BQ275"/>
      <c r="BR275"/>
      <c r="BS275" t="s">
        <v>5</v>
      </c>
      <c r="BT275"/>
      <c r="BU275"/>
      <c r="BV275"/>
      <c r="BW275"/>
      <c r="BX275" t="s">
        <v>6</v>
      </c>
      <c r="BY275" t="s">
        <v>1101</v>
      </c>
      <c r="BZ275"/>
      <c r="CA275"/>
      <c r="CB275" t="s">
        <v>5</v>
      </c>
      <c r="CC275">
        <v>54298.321408818847</v>
      </c>
      <c r="CD275">
        <v>11439017.930281181</v>
      </c>
      <c r="CE275" s="313" t="s">
        <v>11891</v>
      </c>
    </row>
    <row r="276" spans="1:83" ht="15" x14ac:dyDescent="0.25">
      <c r="A276" t="s">
        <v>1286</v>
      </c>
      <c r="B276" t="s">
        <v>1287</v>
      </c>
      <c r="C276" t="s">
        <v>1091</v>
      </c>
      <c r="D276">
        <v>1</v>
      </c>
      <c r="E276" t="s">
        <v>1432</v>
      </c>
      <c r="F276" t="s">
        <v>1288</v>
      </c>
      <c r="G276" t="s">
        <v>1265</v>
      </c>
      <c r="H276" t="s">
        <v>1289</v>
      </c>
      <c r="I276" t="s">
        <v>1290</v>
      </c>
      <c r="J276" t="s">
        <v>1291</v>
      </c>
      <c r="K276" t="s">
        <v>1097</v>
      </c>
      <c r="L276">
        <v>1.8117355108261111</v>
      </c>
      <c r="M276" t="s">
        <v>6</v>
      </c>
      <c r="N276" t="s">
        <v>5</v>
      </c>
      <c r="O276" t="s">
        <v>5</v>
      </c>
      <c r="P276" t="s">
        <v>5</v>
      </c>
      <c r="Q276" t="s">
        <v>5</v>
      </c>
      <c r="R276" t="s">
        <v>1292</v>
      </c>
      <c r="S276" t="s">
        <v>1293</v>
      </c>
      <c r="T276" t="s">
        <v>5</v>
      </c>
      <c r="U276" t="s">
        <v>50</v>
      </c>
      <c r="V276">
        <v>100000</v>
      </c>
      <c r="W276">
        <v>100000</v>
      </c>
      <c r="X276" t="s">
        <v>5</v>
      </c>
      <c r="Y276"/>
      <c r="Z276"/>
      <c r="AA276">
        <v>0.54715603590011597</v>
      </c>
      <c r="AB276">
        <v>8.4741897881031036E-2</v>
      </c>
      <c r="AC276">
        <v>0</v>
      </c>
      <c r="AD276">
        <v>35</v>
      </c>
      <c r="AE276">
        <v>7</v>
      </c>
      <c r="AF276">
        <v>0</v>
      </c>
      <c r="AG276">
        <v>12</v>
      </c>
      <c r="AH276">
        <v>38</v>
      </c>
      <c r="AI276">
        <v>38</v>
      </c>
      <c r="AJ276">
        <v>0</v>
      </c>
      <c r="AK276">
        <v>0</v>
      </c>
      <c r="AL276">
        <v>2</v>
      </c>
      <c r="AM276">
        <v>0</v>
      </c>
      <c r="AN276">
        <v>138.9869079589844</v>
      </c>
      <c r="AO276"/>
      <c r="AP276"/>
      <c r="AQ276"/>
      <c r="AR276">
        <v>0</v>
      </c>
      <c r="AS276">
        <v>0</v>
      </c>
      <c r="AT276">
        <v>0</v>
      </c>
      <c r="AU276">
        <v>0</v>
      </c>
      <c r="AV276">
        <v>0</v>
      </c>
      <c r="AW276">
        <v>0</v>
      </c>
      <c r="AX276">
        <v>0</v>
      </c>
      <c r="AY276">
        <v>0</v>
      </c>
      <c r="AZ276">
        <v>0</v>
      </c>
      <c r="BA276">
        <v>0</v>
      </c>
      <c r="BB276"/>
      <c r="BC276"/>
      <c r="BD276"/>
      <c r="BE276">
        <v>0</v>
      </c>
      <c r="BF276" t="s">
        <v>1100</v>
      </c>
      <c r="BG276" t="s">
        <v>5</v>
      </c>
      <c r="BH276" t="s">
        <v>1020</v>
      </c>
      <c r="BI276" t="s">
        <v>1020</v>
      </c>
      <c r="BJ276" t="s">
        <v>5</v>
      </c>
      <c r="BK276"/>
      <c r="BL276">
        <v>0</v>
      </c>
      <c r="BM276"/>
      <c r="BN276" t="s">
        <v>5</v>
      </c>
      <c r="BO276"/>
      <c r="BP276"/>
      <c r="BQ276"/>
      <c r="BR276"/>
      <c r="BS276" t="s">
        <v>5</v>
      </c>
      <c r="BT276"/>
      <c r="BU276"/>
      <c r="BV276"/>
      <c r="BW276"/>
      <c r="BX276" t="s">
        <v>6</v>
      </c>
      <c r="BY276" t="s">
        <v>1101</v>
      </c>
      <c r="BZ276"/>
      <c r="CA276"/>
      <c r="CB276" t="s">
        <v>5</v>
      </c>
      <c r="CC276">
        <v>9708.7520708832253</v>
      </c>
      <c r="CD276">
        <v>4692373.5192175889</v>
      </c>
      <c r="CE276" s="313" t="s">
        <v>11891</v>
      </c>
    </row>
    <row r="277" spans="1:83" ht="15" x14ac:dyDescent="0.25">
      <c r="A277" t="s">
        <v>1294</v>
      </c>
      <c r="B277" t="s">
        <v>1295</v>
      </c>
      <c r="C277" t="s">
        <v>1091</v>
      </c>
      <c r="D277">
        <v>1</v>
      </c>
      <c r="E277" t="s">
        <v>1432</v>
      </c>
      <c r="F277" t="s">
        <v>1296</v>
      </c>
      <c r="G277" t="s">
        <v>1265</v>
      </c>
      <c r="H277" t="s">
        <v>1297</v>
      </c>
      <c r="I277" t="s">
        <v>1298</v>
      </c>
      <c r="J277" t="s">
        <v>1299</v>
      </c>
      <c r="K277" t="s">
        <v>1097</v>
      </c>
      <c r="L277">
        <v>0.48210343718528748</v>
      </c>
      <c r="M277" t="s">
        <v>5</v>
      </c>
      <c r="N277" t="s">
        <v>5</v>
      </c>
      <c r="O277" t="s">
        <v>5</v>
      </c>
      <c r="P277" t="s">
        <v>5</v>
      </c>
      <c r="Q277" t="s">
        <v>5</v>
      </c>
      <c r="R277" t="s">
        <v>1300</v>
      </c>
      <c r="S277" t="s">
        <v>1301</v>
      </c>
      <c r="T277" t="s">
        <v>5</v>
      </c>
      <c r="U277" t="s">
        <v>50</v>
      </c>
      <c r="V277">
        <v>100000</v>
      </c>
      <c r="W277">
        <v>100000</v>
      </c>
      <c r="X277" t="s">
        <v>5</v>
      </c>
      <c r="Y277"/>
      <c r="Z277"/>
      <c r="AA277">
        <v>0</v>
      </c>
      <c r="AB277">
        <v>0</v>
      </c>
      <c r="AC277">
        <v>0</v>
      </c>
      <c r="AD277">
        <v>0</v>
      </c>
      <c r="AE277">
        <v>0</v>
      </c>
      <c r="AF277">
        <v>0</v>
      </c>
      <c r="AG277">
        <v>0</v>
      </c>
      <c r="AH277">
        <v>0</v>
      </c>
      <c r="AI277">
        <v>0</v>
      </c>
      <c r="AJ277">
        <v>0</v>
      </c>
      <c r="AK277">
        <v>0</v>
      </c>
      <c r="AL277">
        <v>0</v>
      </c>
      <c r="AM277">
        <v>0</v>
      </c>
      <c r="AN277">
        <v>0</v>
      </c>
      <c r="AO277"/>
      <c r="AP277"/>
      <c r="AQ277">
        <v>0</v>
      </c>
      <c r="AR277">
        <v>0</v>
      </c>
      <c r="AS277">
        <v>0</v>
      </c>
      <c r="AT277">
        <v>0</v>
      </c>
      <c r="AU277">
        <v>0</v>
      </c>
      <c r="AV277">
        <v>0</v>
      </c>
      <c r="AW277">
        <v>0</v>
      </c>
      <c r="AX277">
        <v>0</v>
      </c>
      <c r="AY277">
        <v>0</v>
      </c>
      <c r="AZ277">
        <v>0</v>
      </c>
      <c r="BA277">
        <v>0</v>
      </c>
      <c r="BB277"/>
      <c r="BC277"/>
      <c r="BD277"/>
      <c r="BE277">
        <v>0</v>
      </c>
      <c r="BF277" t="s">
        <v>1100</v>
      </c>
      <c r="BG277" t="s">
        <v>5</v>
      </c>
      <c r="BH277" t="s">
        <v>1020</v>
      </c>
      <c r="BI277" t="s">
        <v>1020</v>
      </c>
      <c r="BJ277" t="s">
        <v>5</v>
      </c>
      <c r="BK277"/>
      <c r="BL277">
        <v>0</v>
      </c>
      <c r="BM277"/>
      <c r="BN277" t="s">
        <v>5</v>
      </c>
      <c r="BO277"/>
      <c r="BP277"/>
      <c r="BQ277"/>
      <c r="BR277"/>
      <c r="BS277" t="s">
        <v>5</v>
      </c>
      <c r="BT277"/>
      <c r="BU277"/>
      <c r="BV277"/>
      <c r="BW277"/>
      <c r="BX277" t="s">
        <v>6</v>
      </c>
      <c r="BY277" t="s">
        <v>1101</v>
      </c>
      <c r="BZ277"/>
      <c r="CA277"/>
      <c r="CB277" t="s">
        <v>5</v>
      </c>
      <c r="CC277">
        <v>6704.6833700617981</v>
      </c>
      <c r="CD277">
        <v>1248642.178746837</v>
      </c>
      <c r="CE277" s="313" t="s">
        <v>11891</v>
      </c>
    </row>
    <row r="278" spans="1:83" ht="15" x14ac:dyDescent="0.25">
      <c r="A278" t="s">
        <v>1302</v>
      </c>
      <c r="B278" t="s">
        <v>1303</v>
      </c>
      <c r="C278" t="s">
        <v>1091</v>
      </c>
      <c r="D278">
        <v>1</v>
      </c>
      <c r="E278" t="s">
        <v>1432</v>
      </c>
      <c r="F278" t="s">
        <v>1304</v>
      </c>
      <c r="G278" t="s">
        <v>1305</v>
      </c>
      <c r="H278" t="s">
        <v>1306</v>
      </c>
      <c r="I278" t="s">
        <v>1307</v>
      </c>
      <c r="J278" t="s">
        <v>1308</v>
      </c>
      <c r="K278" t="s">
        <v>1097</v>
      </c>
      <c r="L278">
        <v>1.712174534797668</v>
      </c>
      <c r="M278" t="s">
        <v>6</v>
      </c>
      <c r="N278" t="s">
        <v>5</v>
      </c>
      <c r="O278" t="s">
        <v>5</v>
      </c>
      <c r="P278" t="s">
        <v>6</v>
      </c>
      <c r="Q278" t="s">
        <v>5</v>
      </c>
      <c r="R278" t="s">
        <v>1309</v>
      </c>
      <c r="S278" t="s">
        <v>1310</v>
      </c>
      <c r="T278" t="s">
        <v>5</v>
      </c>
      <c r="U278" t="s">
        <v>50</v>
      </c>
      <c r="V278">
        <v>100000</v>
      </c>
      <c r="W278">
        <v>100000</v>
      </c>
      <c r="X278" t="s">
        <v>5</v>
      </c>
      <c r="Y278"/>
      <c r="Z278"/>
      <c r="AA278">
        <v>1.470210030674934E-2</v>
      </c>
      <c r="AB278">
        <v>4.3485201895236969E-3</v>
      </c>
      <c r="AC278">
        <v>0</v>
      </c>
      <c r="AD278">
        <v>0</v>
      </c>
      <c r="AE278">
        <v>0</v>
      </c>
      <c r="AF278">
        <v>0</v>
      </c>
      <c r="AG278">
        <v>0</v>
      </c>
      <c r="AH278">
        <v>0</v>
      </c>
      <c r="AI278">
        <v>0</v>
      </c>
      <c r="AJ278">
        <v>0</v>
      </c>
      <c r="AK278">
        <v>0</v>
      </c>
      <c r="AL278">
        <v>0</v>
      </c>
      <c r="AM278">
        <v>0</v>
      </c>
      <c r="AN278">
        <v>0</v>
      </c>
      <c r="AO278"/>
      <c r="AP278"/>
      <c r="AQ278"/>
      <c r="AR278">
        <v>0</v>
      </c>
      <c r="AS278">
        <v>0</v>
      </c>
      <c r="AT278">
        <v>0</v>
      </c>
      <c r="AU278">
        <v>0</v>
      </c>
      <c r="AV278">
        <v>0</v>
      </c>
      <c r="AW278">
        <v>0</v>
      </c>
      <c r="AX278">
        <v>0</v>
      </c>
      <c r="AY278">
        <v>0</v>
      </c>
      <c r="AZ278">
        <v>0</v>
      </c>
      <c r="BA278">
        <v>0</v>
      </c>
      <c r="BB278"/>
      <c r="BC278"/>
      <c r="BD278"/>
      <c r="BE278">
        <v>0</v>
      </c>
      <c r="BF278" t="s">
        <v>1100</v>
      </c>
      <c r="BG278" t="s">
        <v>5</v>
      </c>
      <c r="BH278" t="s">
        <v>1020</v>
      </c>
      <c r="BI278" t="s">
        <v>1020</v>
      </c>
      <c r="BJ278" t="s">
        <v>5</v>
      </c>
      <c r="BK278"/>
      <c r="BL278">
        <v>0</v>
      </c>
      <c r="BM278"/>
      <c r="BN278" t="s">
        <v>5</v>
      </c>
      <c r="BO278"/>
      <c r="BP278"/>
      <c r="BQ278"/>
      <c r="BR278"/>
      <c r="BS278" t="s">
        <v>5</v>
      </c>
      <c r="BT278"/>
      <c r="BU278"/>
      <c r="BV278"/>
      <c r="BW278"/>
      <c r="BX278" t="s">
        <v>6</v>
      </c>
      <c r="BY278" t="s">
        <v>1101</v>
      </c>
      <c r="BZ278"/>
      <c r="CA278"/>
      <c r="CB278" t="s">
        <v>5</v>
      </c>
      <c r="CC278">
        <v>10311.489117543621</v>
      </c>
      <c r="CD278">
        <v>4434511.5556338998</v>
      </c>
      <c r="CE278" s="313" t="s">
        <v>11891</v>
      </c>
    </row>
    <row r="279" spans="1:83" ht="15" x14ac:dyDescent="0.25">
      <c r="A279" t="s">
        <v>1311</v>
      </c>
      <c r="B279" t="s">
        <v>1312</v>
      </c>
      <c r="C279" t="s">
        <v>1091</v>
      </c>
      <c r="D279">
        <v>1</v>
      </c>
      <c r="E279" t="s">
        <v>1432</v>
      </c>
      <c r="F279" t="s">
        <v>1313</v>
      </c>
      <c r="G279" t="s">
        <v>1314</v>
      </c>
      <c r="H279" t="s">
        <v>1315</v>
      </c>
      <c r="I279" t="s">
        <v>1316</v>
      </c>
      <c r="J279" t="s">
        <v>1317</v>
      </c>
      <c r="K279" t="s">
        <v>1097</v>
      </c>
      <c r="L279">
        <v>1.386343717575073</v>
      </c>
      <c r="M279" t="s">
        <v>6</v>
      </c>
      <c r="N279" t="s">
        <v>5</v>
      </c>
      <c r="O279" t="s">
        <v>5</v>
      </c>
      <c r="P279" t="s">
        <v>5</v>
      </c>
      <c r="Q279" t="s">
        <v>5</v>
      </c>
      <c r="R279" t="s">
        <v>1318</v>
      </c>
      <c r="S279" t="s">
        <v>1319</v>
      </c>
      <c r="T279" t="s">
        <v>5</v>
      </c>
      <c r="U279" t="s">
        <v>50</v>
      </c>
      <c r="V279">
        <v>100000</v>
      </c>
      <c r="W279">
        <v>100000</v>
      </c>
      <c r="X279" t="s">
        <v>5</v>
      </c>
      <c r="Y279"/>
      <c r="Z279"/>
      <c r="AA279">
        <v>0.114636592566967</v>
      </c>
      <c r="AB279">
        <v>1.8926480785012249E-2</v>
      </c>
      <c r="AC279">
        <v>0</v>
      </c>
      <c r="AD279">
        <v>8</v>
      </c>
      <c r="AE279">
        <v>7</v>
      </c>
      <c r="AF279">
        <v>0</v>
      </c>
      <c r="AG279">
        <v>8</v>
      </c>
      <c r="AH279">
        <v>10</v>
      </c>
      <c r="AI279">
        <v>10</v>
      </c>
      <c r="AJ279">
        <v>0</v>
      </c>
      <c r="AK279">
        <v>0</v>
      </c>
      <c r="AL279">
        <v>1</v>
      </c>
      <c r="AM279">
        <v>0</v>
      </c>
      <c r="AN279">
        <v>0.57105487585067749</v>
      </c>
      <c r="AO279"/>
      <c r="AP279"/>
      <c r="AQ279"/>
      <c r="AR279">
        <v>0</v>
      </c>
      <c r="AS279">
        <v>0</v>
      </c>
      <c r="AT279">
        <v>0</v>
      </c>
      <c r="AU279">
        <v>0</v>
      </c>
      <c r="AV279">
        <v>0</v>
      </c>
      <c r="AW279">
        <v>0</v>
      </c>
      <c r="AX279">
        <v>0</v>
      </c>
      <c r="AY279">
        <v>0</v>
      </c>
      <c r="AZ279">
        <v>0</v>
      </c>
      <c r="BA279">
        <v>0</v>
      </c>
      <c r="BB279"/>
      <c r="BC279"/>
      <c r="BD279"/>
      <c r="BE279">
        <v>0</v>
      </c>
      <c r="BF279" t="s">
        <v>1100</v>
      </c>
      <c r="BG279" t="s">
        <v>5</v>
      </c>
      <c r="BH279" t="s">
        <v>1020</v>
      </c>
      <c r="BI279" t="s">
        <v>1020</v>
      </c>
      <c r="BJ279" t="s">
        <v>5</v>
      </c>
      <c r="BK279"/>
      <c r="BL279">
        <v>0</v>
      </c>
      <c r="BM279"/>
      <c r="BN279" t="s">
        <v>5</v>
      </c>
      <c r="BO279"/>
      <c r="BP279"/>
      <c r="BQ279"/>
      <c r="BR279"/>
      <c r="BS279" t="s">
        <v>5</v>
      </c>
      <c r="BT279"/>
      <c r="BU279"/>
      <c r="BV279"/>
      <c r="BW279"/>
      <c r="BX279" t="s">
        <v>6</v>
      </c>
      <c r="BY279" t="s">
        <v>1101</v>
      </c>
      <c r="BZ279"/>
      <c r="CA279"/>
      <c r="CB279" t="s">
        <v>5</v>
      </c>
      <c r="CC279">
        <v>13984.532440776111</v>
      </c>
      <c r="CD279">
        <v>3590613.8721757801</v>
      </c>
      <c r="CE279" s="313" t="s">
        <v>11891</v>
      </c>
    </row>
    <row r="280" spans="1:83" ht="15" x14ac:dyDescent="0.25">
      <c r="A280" t="s">
        <v>1320</v>
      </c>
      <c r="B280" t="s">
        <v>1321</v>
      </c>
      <c r="C280" t="s">
        <v>1091</v>
      </c>
      <c r="D280">
        <v>1</v>
      </c>
      <c r="E280" t="s">
        <v>1432</v>
      </c>
      <c r="F280" t="s">
        <v>1322</v>
      </c>
      <c r="G280" t="s">
        <v>1323</v>
      </c>
      <c r="H280" t="s">
        <v>1324</v>
      </c>
      <c r="I280"/>
      <c r="J280"/>
      <c r="K280" t="s">
        <v>1097</v>
      </c>
      <c r="L280">
        <v>899.66888427734375</v>
      </c>
      <c r="M280" t="s">
        <v>6</v>
      </c>
      <c r="N280" t="s">
        <v>5</v>
      </c>
      <c r="O280" t="s">
        <v>5</v>
      </c>
      <c r="P280" t="s">
        <v>6</v>
      </c>
      <c r="Q280" t="s">
        <v>5</v>
      </c>
      <c r="R280" t="s">
        <v>1325</v>
      </c>
      <c r="S280" t="s">
        <v>1326</v>
      </c>
      <c r="T280" t="s">
        <v>5</v>
      </c>
      <c r="U280" t="s">
        <v>50</v>
      </c>
      <c r="V280">
        <v>100000</v>
      </c>
      <c r="W280">
        <v>100000</v>
      </c>
      <c r="X280" t="s">
        <v>5</v>
      </c>
      <c r="Y280"/>
      <c r="Z280"/>
      <c r="AA280">
        <v>122.02235412597661</v>
      </c>
      <c r="AB280">
        <v>19.331666946411129</v>
      </c>
      <c r="AC280">
        <v>1.212299976032227E-4</v>
      </c>
      <c r="AD280">
        <v>7</v>
      </c>
      <c r="AE280">
        <v>12</v>
      </c>
      <c r="AF280">
        <v>1</v>
      </c>
      <c r="AG280">
        <v>0</v>
      </c>
      <c r="AH280">
        <v>3</v>
      </c>
      <c r="AI280">
        <v>3</v>
      </c>
      <c r="AJ280">
        <v>0</v>
      </c>
      <c r="AK280">
        <v>5</v>
      </c>
      <c r="AL280">
        <v>33</v>
      </c>
      <c r="AM280">
        <v>5</v>
      </c>
      <c r="AN280">
        <v>71380.671875</v>
      </c>
      <c r="AO280"/>
      <c r="AP280"/>
      <c r="AQ280"/>
      <c r="AR280">
        <v>0</v>
      </c>
      <c r="AS280">
        <v>0</v>
      </c>
      <c r="AT280">
        <v>0</v>
      </c>
      <c r="AU280">
        <v>0</v>
      </c>
      <c r="AV280">
        <v>0</v>
      </c>
      <c r="AW280">
        <v>0</v>
      </c>
      <c r="AX280">
        <v>0</v>
      </c>
      <c r="AY280">
        <v>0</v>
      </c>
      <c r="AZ280">
        <v>0</v>
      </c>
      <c r="BA280">
        <v>0</v>
      </c>
      <c r="BB280"/>
      <c r="BC280"/>
      <c r="BD280"/>
      <c r="BE280">
        <v>0</v>
      </c>
      <c r="BF280" t="s">
        <v>1100</v>
      </c>
      <c r="BG280" t="s">
        <v>5</v>
      </c>
      <c r="BH280" t="s">
        <v>1020</v>
      </c>
      <c r="BI280" t="s">
        <v>1020</v>
      </c>
      <c r="BJ280" t="s">
        <v>5</v>
      </c>
      <c r="BK280"/>
      <c r="BL280">
        <v>0</v>
      </c>
      <c r="BM280"/>
      <c r="BN280" t="s">
        <v>5</v>
      </c>
      <c r="BO280"/>
      <c r="BP280"/>
      <c r="BQ280"/>
      <c r="BR280"/>
      <c r="BS280" t="s">
        <v>5</v>
      </c>
      <c r="BT280"/>
      <c r="BU280"/>
      <c r="BV280"/>
      <c r="BW280"/>
      <c r="BX280" t="s">
        <v>6</v>
      </c>
      <c r="BY280" t="s">
        <v>1101</v>
      </c>
      <c r="BZ280"/>
      <c r="CA280"/>
      <c r="CB280" t="s">
        <v>5</v>
      </c>
      <c r="CC280">
        <v>204761.76851250691</v>
      </c>
      <c r="CD280">
        <v>2330131769.1529388</v>
      </c>
      <c r="CE280" s="313" t="s">
        <v>11891</v>
      </c>
    </row>
    <row r="281" spans="1:83" ht="15" x14ac:dyDescent="0.25">
      <c r="A281" t="s">
        <v>1327</v>
      </c>
      <c r="B281" t="s">
        <v>1328</v>
      </c>
      <c r="C281" t="s">
        <v>1091</v>
      </c>
      <c r="D281">
        <v>1</v>
      </c>
      <c r="E281" t="s">
        <v>1432</v>
      </c>
      <c r="F281" t="s">
        <v>1239</v>
      </c>
      <c r="G281" t="s">
        <v>1329</v>
      </c>
      <c r="H281" t="s">
        <v>1330</v>
      </c>
      <c r="I281"/>
      <c r="J281"/>
      <c r="K281" t="s">
        <v>1097</v>
      </c>
      <c r="L281">
        <v>695.55181884765625</v>
      </c>
      <c r="M281" t="s">
        <v>6</v>
      </c>
      <c r="N281" t="s">
        <v>5</v>
      </c>
      <c r="O281" t="s">
        <v>5</v>
      </c>
      <c r="P281" t="s">
        <v>6</v>
      </c>
      <c r="Q281" t="s">
        <v>5</v>
      </c>
      <c r="R281" t="s">
        <v>1331</v>
      </c>
      <c r="S281" t="s">
        <v>1332</v>
      </c>
      <c r="T281" t="s">
        <v>5</v>
      </c>
      <c r="U281" t="s">
        <v>50</v>
      </c>
      <c r="V281">
        <v>100000</v>
      </c>
      <c r="W281">
        <v>100000</v>
      </c>
      <c r="X281" t="s">
        <v>5</v>
      </c>
      <c r="Y281"/>
      <c r="Z281"/>
      <c r="AA281">
        <v>97.320205688476563</v>
      </c>
      <c r="AB281">
        <v>19.063877105712891</v>
      </c>
      <c r="AC281">
        <v>9.4989998615346849E-5</v>
      </c>
      <c r="AD281">
        <v>43</v>
      </c>
      <c r="AE281">
        <v>34</v>
      </c>
      <c r="AF281">
        <v>3</v>
      </c>
      <c r="AG281">
        <v>64</v>
      </c>
      <c r="AH281">
        <v>133</v>
      </c>
      <c r="AI281">
        <v>133</v>
      </c>
      <c r="AJ281">
        <v>0</v>
      </c>
      <c r="AK281">
        <v>6</v>
      </c>
      <c r="AL281">
        <v>54</v>
      </c>
      <c r="AM281">
        <v>6</v>
      </c>
      <c r="AN281">
        <v>59006.796875</v>
      </c>
      <c r="AO281"/>
      <c r="AP281"/>
      <c r="AQ281"/>
      <c r="AR281">
        <v>0</v>
      </c>
      <c r="AS281">
        <v>0</v>
      </c>
      <c r="AT281">
        <v>0</v>
      </c>
      <c r="AU281">
        <v>0</v>
      </c>
      <c r="AV281">
        <v>0</v>
      </c>
      <c r="AW281">
        <v>0</v>
      </c>
      <c r="AX281">
        <v>0</v>
      </c>
      <c r="AY281">
        <v>0</v>
      </c>
      <c r="AZ281">
        <v>0</v>
      </c>
      <c r="BA281">
        <v>0</v>
      </c>
      <c r="BB281"/>
      <c r="BC281"/>
      <c r="BD281"/>
      <c r="BE281">
        <v>0</v>
      </c>
      <c r="BF281" t="s">
        <v>1100</v>
      </c>
      <c r="BG281" t="s">
        <v>5</v>
      </c>
      <c r="BH281" t="s">
        <v>1020</v>
      </c>
      <c r="BI281" t="s">
        <v>1020</v>
      </c>
      <c r="BJ281" t="s">
        <v>5</v>
      </c>
      <c r="BK281"/>
      <c r="BL281">
        <v>0</v>
      </c>
      <c r="BM281"/>
      <c r="BN281" t="s">
        <v>5</v>
      </c>
      <c r="BO281"/>
      <c r="BP281"/>
      <c r="BQ281"/>
      <c r="BR281"/>
      <c r="BS281" t="s">
        <v>5</v>
      </c>
      <c r="BT281"/>
      <c r="BU281"/>
      <c r="BV281"/>
      <c r="BW281"/>
      <c r="BX281" t="s">
        <v>6</v>
      </c>
      <c r="BY281" t="s">
        <v>1101</v>
      </c>
      <c r="BZ281"/>
      <c r="CA281"/>
      <c r="CB281" t="s">
        <v>5</v>
      </c>
      <c r="CC281">
        <v>194072.87327912811</v>
      </c>
      <c r="CD281">
        <v>1801470947.357578</v>
      </c>
      <c r="CE281" s="313" t="s">
        <v>11891</v>
      </c>
    </row>
    <row r="282" spans="1:83" ht="15" x14ac:dyDescent="0.25">
      <c r="A282" t="s">
        <v>1333</v>
      </c>
      <c r="B282" t="s">
        <v>1334</v>
      </c>
      <c r="C282" t="s">
        <v>1091</v>
      </c>
      <c r="D282">
        <v>1</v>
      </c>
      <c r="E282" t="s">
        <v>1432</v>
      </c>
      <c r="F282" t="s">
        <v>1335</v>
      </c>
      <c r="G282" t="s">
        <v>1336</v>
      </c>
      <c r="H282" t="s">
        <v>1337</v>
      </c>
      <c r="I282" t="s">
        <v>1338</v>
      </c>
      <c r="J282" t="s">
        <v>1339</v>
      </c>
      <c r="K282" t="s">
        <v>1097</v>
      </c>
      <c r="L282">
        <v>420.97097778320313</v>
      </c>
      <c r="M282" t="s">
        <v>6</v>
      </c>
      <c r="N282" t="s">
        <v>5</v>
      </c>
      <c r="O282" t="s">
        <v>5</v>
      </c>
      <c r="P282" t="s">
        <v>6</v>
      </c>
      <c r="Q282" t="s">
        <v>5</v>
      </c>
      <c r="R282" t="s">
        <v>1340</v>
      </c>
      <c r="S282" t="s">
        <v>1341</v>
      </c>
      <c r="T282" t="s">
        <v>5</v>
      </c>
      <c r="U282" t="s">
        <v>50</v>
      </c>
      <c r="V282">
        <v>100000</v>
      </c>
      <c r="W282">
        <v>100000</v>
      </c>
      <c r="X282" t="s">
        <v>5</v>
      </c>
      <c r="Y282"/>
      <c r="Z282"/>
      <c r="AA282">
        <v>70.627120971679688</v>
      </c>
      <c r="AB282">
        <v>12.98460006713867</v>
      </c>
      <c r="AC282">
        <v>0</v>
      </c>
      <c r="AD282">
        <v>7</v>
      </c>
      <c r="AE282">
        <v>2</v>
      </c>
      <c r="AF282">
        <v>0</v>
      </c>
      <c r="AG282">
        <v>1</v>
      </c>
      <c r="AH282">
        <v>3</v>
      </c>
      <c r="AI282">
        <v>3</v>
      </c>
      <c r="AJ282">
        <v>0</v>
      </c>
      <c r="AK282">
        <v>0</v>
      </c>
      <c r="AL282">
        <v>5</v>
      </c>
      <c r="AM282">
        <v>0</v>
      </c>
      <c r="AN282">
        <v>42190.99609375</v>
      </c>
      <c r="AO282"/>
      <c r="AP282"/>
      <c r="AQ282"/>
      <c r="AR282">
        <v>0</v>
      </c>
      <c r="AS282">
        <v>0</v>
      </c>
      <c r="AT282">
        <v>0</v>
      </c>
      <c r="AU282">
        <v>0</v>
      </c>
      <c r="AV282">
        <v>0</v>
      </c>
      <c r="AW282">
        <v>0</v>
      </c>
      <c r="AX282">
        <v>0</v>
      </c>
      <c r="AY282">
        <v>0</v>
      </c>
      <c r="AZ282">
        <v>0</v>
      </c>
      <c r="BA282">
        <v>0</v>
      </c>
      <c r="BB282"/>
      <c r="BC282"/>
      <c r="BD282"/>
      <c r="BE282">
        <v>0</v>
      </c>
      <c r="BF282" t="s">
        <v>1100</v>
      </c>
      <c r="BG282" t="s">
        <v>5</v>
      </c>
      <c r="BH282" t="s">
        <v>1020</v>
      </c>
      <c r="BI282" t="s">
        <v>1020</v>
      </c>
      <c r="BJ282" t="s">
        <v>5</v>
      </c>
      <c r="BK282"/>
      <c r="BL282">
        <v>0</v>
      </c>
      <c r="BM282"/>
      <c r="BN282" t="s">
        <v>5</v>
      </c>
      <c r="BO282"/>
      <c r="BP282"/>
      <c r="BQ282"/>
      <c r="BR282"/>
      <c r="BS282" t="s">
        <v>5</v>
      </c>
      <c r="BT282"/>
      <c r="BU282"/>
      <c r="BV282"/>
      <c r="BW282"/>
      <c r="BX282" t="s">
        <v>6</v>
      </c>
      <c r="BY282" t="s">
        <v>1101</v>
      </c>
      <c r="BZ282"/>
      <c r="CA282"/>
      <c r="CB282" t="s">
        <v>5</v>
      </c>
      <c r="CC282">
        <v>179251.07228498679</v>
      </c>
      <c r="CD282">
        <v>1090309834.4690371</v>
      </c>
      <c r="CE282" s="313" t="s">
        <v>11891</v>
      </c>
    </row>
    <row r="283" spans="1:83" ht="15" x14ac:dyDescent="0.25">
      <c r="A283" t="s">
        <v>1342</v>
      </c>
      <c r="B283" t="s">
        <v>1343</v>
      </c>
      <c r="C283" t="s">
        <v>1091</v>
      </c>
      <c r="D283">
        <v>1</v>
      </c>
      <c r="E283" t="s">
        <v>1432</v>
      </c>
      <c r="F283" t="s">
        <v>1296</v>
      </c>
      <c r="G283" t="s">
        <v>1344</v>
      </c>
      <c r="H283" t="s">
        <v>1345</v>
      </c>
      <c r="I283"/>
      <c r="J283"/>
      <c r="K283" t="s">
        <v>1097</v>
      </c>
      <c r="L283">
        <v>925.150146484375</v>
      </c>
      <c r="M283" t="s">
        <v>6</v>
      </c>
      <c r="N283" t="s">
        <v>5</v>
      </c>
      <c r="O283" t="s">
        <v>5</v>
      </c>
      <c r="P283" t="s">
        <v>6</v>
      </c>
      <c r="Q283" t="s">
        <v>5</v>
      </c>
      <c r="R283" t="s">
        <v>1346</v>
      </c>
      <c r="S283" t="s">
        <v>1347</v>
      </c>
      <c r="T283" t="s">
        <v>5</v>
      </c>
      <c r="U283" t="s">
        <v>50</v>
      </c>
      <c r="V283">
        <v>100000</v>
      </c>
      <c r="W283">
        <v>100000</v>
      </c>
      <c r="X283" t="s">
        <v>5</v>
      </c>
      <c r="Y283"/>
      <c r="Z283"/>
      <c r="AA283">
        <v>85.958076477050781</v>
      </c>
      <c r="AB283">
        <v>19.44636344909668</v>
      </c>
      <c r="AC283">
        <v>2.3550000332761561E-4</v>
      </c>
      <c r="AD283">
        <v>87</v>
      </c>
      <c r="AE283">
        <v>43</v>
      </c>
      <c r="AF283">
        <v>43</v>
      </c>
      <c r="AG283">
        <v>190</v>
      </c>
      <c r="AH283">
        <v>102</v>
      </c>
      <c r="AI283">
        <v>190</v>
      </c>
      <c r="AJ283">
        <v>4</v>
      </c>
      <c r="AK283">
        <v>10</v>
      </c>
      <c r="AL283">
        <v>36</v>
      </c>
      <c r="AM283">
        <v>12</v>
      </c>
      <c r="AN283">
        <v>43317.89453125</v>
      </c>
      <c r="AO283"/>
      <c r="AP283"/>
      <c r="AQ283"/>
      <c r="AR283">
        <v>0</v>
      </c>
      <c r="AS283">
        <v>0</v>
      </c>
      <c r="AT283">
        <v>0</v>
      </c>
      <c r="AU283">
        <v>0</v>
      </c>
      <c r="AV283">
        <v>0</v>
      </c>
      <c r="AW283">
        <v>0</v>
      </c>
      <c r="AX283">
        <v>0</v>
      </c>
      <c r="AY283">
        <v>0</v>
      </c>
      <c r="AZ283">
        <v>0</v>
      </c>
      <c r="BA283">
        <v>0</v>
      </c>
      <c r="BB283"/>
      <c r="BC283"/>
      <c r="BD283"/>
      <c r="BE283">
        <v>0</v>
      </c>
      <c r="BF283" t="s">
        <v>1100</v>
      </c>
      <c r="BG283" t="s">
        <v>5</v>
      </c>
      <c r="BH283" t="s">
        <v>1020</v>
      </c>
      <c r="BI283" t="s">
        <v>1020</v>
      </c>
      <c r="BJ283" t="s">
        <v>5</v>
      </c>
      <c r="BK283"/>
      <c r="BL283">
        <v>0</v>
      </c>
      <c r="BM283"/>
      <c r="BN283" t="s">
        <v>5</v>
      </c>
      <c r="BO283"/>
      <c r="BP283"/>
      <c r="BQ283"/>
      <c r="BR283"/>
      <c r="BS283" t="s">
        <v>5</v>
      </c>
      <c r="BT283"/>
      <c r="BU283"/>
      <c r="BV283"/>
      <c r="BW283"/>
      <c r="BX283" t="s">
        <v>6</v>
      </c>
      <c r="BY283" t="s">
        <v>1101</v>
      </c>
      <c r="BZ283"/>
      <c r="CA283"/>
      <c r="CB283" t="s">
        <v>5</v>
      </c>
      <c r="CC283">
        <v>195700.80776757741</v>
      </c>
      <c r="CD283">
        <v>2396127898.622673</v>
      </c>
      <c r="CE283" s="313" t="s">
        <v>11891</v>
      </c>
    </row>
    <row r="284" spans="1:83" ht="15" x14ac:dyDescent="0.25">
      <c r="A284" t="s">
        <v>1348</v>
      </c>
      <c r="B284" t="s">
        <v>1349</v>
      </c>
      <c r="C284" t="s">
        <v>1091</v>
      </c>
      <c r="D284">
        <v>1</v>
      </c>
      <c r="E284" t="s">
        <v>1432</v>
      </c>
      <c r="F284" t="s">
        <v>1350</v>
      </c>
      <c r="G284" t="s">
        <v>1351</v>
      </c>
      <c r="H284" t="s">
        <v>1352</v>
      </c>
      <c r="I284"/>
      <c r="J284"/>
      <c r="K284" t="s">
        <v>1097</v>
      </c>
      <c r="L284">
        <v>913.98382568359375</v>
      </c>
      <c r="M284" t="s">
        <v>6</v>
      </c>
      <c r="N284" t="s">
        <v>5</v>
      </c>
      <c r="O284" t="s">
        <v>5</v>
      </c>
      <c r="P284" t="s">
        <v>6</v>
      </c>
      <c r="Q284" t="s">
        <v>5</v>
      </c>
      <c r="R284" t="s">
        <v>1353</v>
      </c>
      <c r="S284" t="s">
        <v>1354</v>
      </c>
      <c r="T284" t="s">
        <v>5</v>
      </c>
      <c r="U284" t="s">
        <v>50</v>
      </c>
      <c r="V284">
        <v>100000</v>
      </c>
      <c r="W284">
        <v>100000</v>
      </c>
      <c r="X284" t="s">
        <v>5</v>
      </c>
      <c r="Y284"/>
      <c r="Z284"/>
      <c r="AA284">
        <v>136.2757568359375</v>
      </c>
      <c r="AB284">
        <v>23.439361572265621</v>
      </c>
      <c r="AC284">
        <v>1.8663999799173331E-4</v>
      </c>
      <c r="AD284">
        <v>101</v>
      </c>
      <c r="AE284">
        <v>58</v>
      </c>
      <c r="AF284">
        <v>0</v>
      </c>
      <c r="AG284">
        <v>76</v>
      </c>
      <c r="AH284">
        <v>29</v>
      </c>
      <c r="AI284">
        <v>76</v>
      </c>
      <c r="AJ284">
        <v>0</v>
      </c>
      <c r="AK284">
        <v>6</v>
      </c>
      <c r="AL284">
        <v>30</v>
      </c>
      <c r="AM284">
        <v>6</v>
      </c>
      <c r="AN284">
        <v>77405.3203125</v>
      </c>
      <c r="AO284"/>
      <c r="AP284"/>
      <c r="AQ284"/>
      <c r="AR284">
        <v>0</v>
      </c>
      <c r="AS284">
        <v>0</v>
      </c>
      <c r="AT284">
        <v>0</v>
      </c>
      <c r="AU284">
        <v>0</v>
      </c>
      <c r="AV284">
        <v>0</v>
      </c>
      <c r="AW284">
        <v>0</v>
      </c>
      <c r="AX284">
        <v>0</v>
      </c>
      <c r="AY284">
        <v>0</v>
      </c>
      <c r="AZ284">
        <v>0</v>
      </c>
      <c r="BA284">
        <v>0</v>
      </c>
      <c r="BB284"/>
      <c r="BC284"/>
      <c r="BD284"/>
      <c r="BE284">
        <v>0</v>
      </c>
      <c r="BF284" t="s">
        <v>1100</v>
      </c>
      <c r="BG284" t="s">
        <v>5</v>
      </c>
      <c r="BH284" t="s">
        <v>1020</v>
      </c>
      <c r="BI284" t="s">
        <v>1020</v>
      </c>
      <c r="BJ284" t="s">
        <v>5</v>
      </c>
      <c r="BK284"/>
      <c r="BL284">
        <v>0</v>
      </c>
      <c r="BM284"/>
      <c r="BN284" t="s">
        <v>5</v>
      </c>
      <c r="BO284"/>
      <c r="BP284"/>
      <c r="BQ284"/>
      <c r="BR284"/>
      <c r="BS284" t="s">
        <v>5</v>
      </c>
      <c r="BT284"/>
      <c r="BU284"/>
      <c r="BV284"/>
      <c r="BW284"/>
      <c r="BX284" t="s">
        <v>6</v>
      </c>
      <c r="BY284" t="s">
        <v>1101</v>
      </c>
      <c r="BZ284"/>
      <c r="CA284"/>
      <c r="CB284" t="s">
        <v>5</v>
      </c>
      <c r="CC284">
        <v>194599.40610039121</v>
      </c>
      <c r="CD284">
        <v>2367207304.3361721</v>
      </c>
      <c r="CE284" s="313" t="s">
        <v>11891</v>
      </c>
    </row>
    <row r="285" spans="1:83" ht="15" x14ac:dyDescent="0.25">
      <c r="A285" t="s">
        <v>1355</v>
      </c>
      <c r="B285" t="s">
        <v>1356</v>
      </c>
      <c r="C285" t="s">
        <v>1091</v>
      </c>
      <c r="D285">
        <v>1</v>
      </c>
      <c r="E285" t="s">
        <v>1432</v>
      </c>
      <c r="F285" t="s">
        <v>1288</v>
      </c>
      <c r="G285" t="s">
        <v>1357</v>
      </c>
      <c r="H285" t="s">
        <v>1358</v>
      </c>
      <c r="I285"/>
      <c r="J285"/>
      <c r="K285" t="s">
        <v>1097</v>
      </c>
      <c r="L285">
        <v>925.4359130859375</v>
      </c>
      <c r="M285" t="s">
        <v>6</v>
      </c>
      <c r="N285" t="s">
        <v>5</v>
      </c>
      <c r="O285" t="s">
        <v>5</v>
      </c>
      <c r="P285" t="s">
        <v>6</v>
      </c>
      <c r="Q285" t="s">
        <v>5</v>
      </c>
      <c r="R285" t="s">
        <v>1359</v>
      </c>
      <c r="S285" t="s">
        <v>1360</v>
      </c>
      <c r="T285" t="s">
        <v>5</v>
      </c>
      <c r="U285" t="s">
        <v>50</v>
      </c>
      <c r="V285">
        <v>100000</v>
      </c>
      <c r="W285">
        <v>100000</v>
      </c>
      <c r="X285" t="s">
        <v>5</v>
      </c>
      <c r="Y285"/>
      <c r="Z285"/>
      <c r="AA285">
        <v>150.52665710449219</v>
      </c>
      <c r="AB285">
        <v>21.834505081176761</v>
      </c>
      <c r="AC285">
        <v>0</v>
      </c>
      <c r="AD285">
        <v>90</v>
      </c>
      <c r="AE285">
        <v>23</v>
      </c>
      <c r="AF285">
        <v>1</v>
      </c>
      <c r="AG285">
        <v>15</v>
      </c>
      <c r="AH285">
        <v>55</v>
      </c>
      <c r="AI285">
        <v>55</v>
      </c>
      <c r="AJ285">
        <v>2</v>
      </c>
      <c r="AK285">
        <v>5</v>
      </c>
      <c r="AL285">
        <v>21</v>
      </c>
      <c r="AM285">
        <v>5</v>
      </c>
      <c r="AN285">
        <v>91030.6015625</v>
      </c>
      <c r="AO285"/>
      <c r="AP285"/>
      <c r="AQ285"/>
      <c r="AR285">
        <v>0</v>
      </c>
      <c r="AS285">
        <v>0</v>
      </c>
      <c r="AT285">
        <v>0</v>
      </c>
      <c r="AU285">
        <v>0</v>
      </c>
      <c r="AV285">
        <v>0</v>
      </c>
      <c r="AW285">
        <v>0</v>
      </c>
      <c r="AX285">
        <v>0</v>
      </c>
      <c r="AY285">
        <v>0</v>
      </c>
      <c r="AZ285">
        <v>0</v>
      </c>
      <c r="BA285">
        <v>0</v>
      </c>
      <c r="BB285"/>
      <c r="BC285"/>
      <c r="BD285"/>
      <c r="BE285">
        <v>0</v>
      </c>
      <c r="BF285" t="s">
        <v>1100</v>
      </c>
      <c r="BG285" t="s">
        <v>5</v>
      </c>
      <c r="BH285" t="s">
        <v>1020</v>
      </c>
      <c r="BI285" t="s">
        <v>1020</v>
      </c>
      <c r="BJ285" t="s">
        <v>5</v>
      </c>
      <c r="BK285"/>
      <c r="BL285">
        <v>0</v>
      </c>
      <c r="BM285"/>
      <c r="BN285" t="s">
        <v>5</v>
      </c>
      <c r="BO285"/>
      <c r="BP285"/>
      <c r="BQ285"/>
      <c r="BR285"/>
      <c r="BS285" t="s">
        <v>5</v>
      </c>
      <c r="BT285"/>
      <c r="BU285"/>
      <c r="BV285"/>
      <c r="BW285"/>
      <c r="BX285" t="s">
        <v>6</v>
      </c>
      <c r="BY285" t="s">
        <v>1101</v>
      </c>
      <c r="BZ285"/>
      <c r="CA285"/>
      <c r="CB285" t="s">
        <v>5</v>
      </c>
      <c r="CC285">
        <v>195640.7355473825</v>
      </c>
      <c r="CD285">
        <v>2396868049.1426482</v>
      </c>
      <c r="CE285" s="313" t="s">
        <v>11891</v>
      </c>
    </row>
    <row r="286" spans="1:83" ht="15" x14ac:dyDescent="0.25">
      <c r="A286" t="s">
        <v>1361</v>
      </c>
      <c r="B286" t="s">
        <v>1362</v>
      </c>
      <c r="C286" t="s">
        <v>1091</v>
      </c>
      <c r="D286">
        <v>1</v>
      </c>
      <c r="E286" t="s">
        <v>1432</v>
      </c>
      <c r="F286" t="s">
        <v>1264</v>
      </c>
      <c r="G286" t="s">
        <v>1363</v>
      </c>
      <c r="H286" t="s">
        <v>1364</v>
      </c>
      <c r="I286"/>
      <c r="J286"/>
      <c r="K286" t="s">
        <v>1097</v>
      </c>
      <c r="L286">
        <v>896.88250732421875</v>
      </c>
      <c r="M286" t="s">
        <v>6</v>
      </c>
      <c r="N286" t="s">
        <v>5</v>
      </c>
      <c r="O286" t="s">
        <v>5</v>
      </c>
      <c r="P286" t="s">
        <v>6</v>
      </c>
      <c r="Q286" t="s">
        <v>5</v>
      </c>
      <c r="R286" t="s">
        <v>1365</v>
      </c>
      <c r="S286" t="s">
        <v>1366</v>
      </c>
      <c r="T286" t="s">
        <v>5</v>
      </c>
      <c r="U286" t="s">
        <v>50</v>
      </c>
      <c r="V286">
        <v>100000</v>
      </c>
      <c r="W286">
        <v>100000</v>
      </c>
      <c r="X286" t="s">
        <v>5</v>
      </c>
      <c r="Y286"/>
      <c r="Z286"/>
      <c r="AA286">
        <v>121.4443283081055</v>
      </c>
      <c r="AB286">
        <v>27.928096771240231</v>
      </c>
      <c r="AC286">
        <v>0</v>
      </c>
      <c r="AD286">
        <v>428</v>
      </c>
      <c r="AE286">
        <v>229</v>
      </c>
      <c r="AF286">
        <v>0</v>
      </c>
      <c r="AG286">
        <v>552</v>
      </c>
      <c r="AH286">
        <v>587</v>
      </c>
      <c r="AI286">
        <v>587</v>
      </c>
      <c r="AJ286">
        <v>2</v>
      </c>
      <c r="AK286">
        <v>10</v>
      </c>
      <c r="AL286">
        <v>30</v>
      </c>
      <c r="AM286">
        <v>10</v>
      </c>
      <c r="AN286">
        <v>70011.9921875</v>
      </c>
      <c r="AO286"/>
      <c r="AP286"/>
      <c r="AQ286"/>
      <c r="AR286">
        <v>0</v>
      </c>
      <c r="AS286">
        <v>0</v>
      </c>
      <c r="AT286">
        <v>0</v>
      </c>
      <c r="AU286">
        <v>0</v>
      </c>
      <c r="AV286">
        <v>0</v>
      </c>
      <c r="AW286">
        <v>0</v>
      </c>
      <c r="AX286">
        <v>0</v>
      </c>
      <c r="AY286">
        <v>0</v>
      </c>
      <c r="AZ286">
        <v>0</v>
      </c>
      <c r="BA286">
        <v>0</v>
      </c>
      <c r="BB286"/>
      <c r="BC286"/>
      <c r="BD286"/>
      <c r="BE286">
        <v>0</v>
      </c>
      <c r="BF286" t="s">
        <v>1100</v>
      </c>
      <c r="BG286" t="s">
        <v>5</v>
      </c>
      <c r="BH286" t="s">
        <v>1020</v>
      </c>
      <c r="BI286" t="s">
        <v>1020</v>
      </c>
      <c r="BJ286" t="s">
        <v>5</v>
      </c>
      <c r="BK286"/>
      <c r="BL286">
        <v>0</v>
      </c>
      <c r="BM286"/>
      <c r="BN286" t="s">
        <v>5</v>
      </c>
      <c r="BO286"/>
      <c r="BP286"/>
      <c r="BQ286"/>
      <c r="BR286"/>
      <c r="BS286" t="s">
        <v>5</v>
      </c>
      <c r="BT286"/>
      <c r="BU286"/>
      <c r="BV286"/>
      <c r="BW286"/>
      <c r="BX286" t="s">
        <v>6</v>
      </c>
      <c r="BY286" t="s">
        <v>1101</v>
      </c>
      <c r="BZ286"/>
      <c r="CA286"/>
      <c r="CB286" t="s">
        <v>5</v>
      </c>
      <c r="CC286">
        <v>192825.19854401331</v>
      </c>
      <c r="CD286">
        <v>2322915022.3210411</v>
      </c>
      <c r="CE286" s="313" t="s">
        <v>11891</v>
      </c>
    </row>
    <row r="287" spans="1:83" ht="15" x14ac:dyDescent="0.25">
      <c r="A287" t="s">
        <v>1367</v>
      </c>
      <c r="B287" t="s">
        <v>1368</v>
      </c>
      <c r="C287" t="s">
        <v>1091</v>
      </c>
      <c r="D287">
        <v>1</v>
      </c>
      <c r="E287" t="s">
        <v>1432</v>
      </c>
      <c r="F287" t="s">
        <v>1369</v>
      </c>
      <c r="G287" t="s">
        <v>1370</v>
      </c>
      <c r="H287" t="s">
        <v>1371</v>
      </c>
      <c r="I287"/>
      <c r="J287"/>
      <c r="K287" t="s">
        <v>1097</v>
      </c>
      <c r="L287">
        <v>911.481201171875</v>
      </c>
      <c r="M287" t="s">
        <v>6</v>
      </c>
      <c r="N287" t="s">
        <v>5</v>
      </c>
      <c r="O287" t="s">
        <v>5</v>
      </c>
      <c r="P287" t="s">
        <v>6</v>
      </c>
      <c r="Q287" t="s">
        <v>5</v>
      </c>
      <c r="R287" t="s">
        <v>1372</v>
      </c>
      <c r="S287" t="s">
        <v>1373</v>
      </c>
      <c r="T287" t="s">
        <v>5</v>
      </c>
      <c r="U287" t="s">
        <v>50</v>
      </c>
      <c r="V287">
        <v>100000</v>
      </c>
      <c r="W287">
        <v>100000</v>
      </c>
      <c r="X287" t="s">
        <v>5</v>
      </c>
      <c r="Y287"/>
      <c r="Z287"/>
      <c r="AA287">
        <v>75.044883728027344</v>
      </c>
      <c r="AB287">
        <v>19.643655776977539</v>
      </c>
      <c r="AC287">
        <v>2.8393001412041491E-4</v>
      </c>
      <c r="AD287">
        <v>75</v>
      </c>
      <c r="AE287">
        <v>96</v>
      </c>
      <c r="AF287">
        <v>27</v>
      </c>
      <c r="AG287">
        <v>228</v>
      </c>
      <c r="AH287">
        <v>126</v>
      </c>
      <c r="AI287">
        <v>228</v>
      </c>
      <c r="AJ287">
        <v>4</v>
      </c>
      <c r="AK287">
        <v>10</v>
      </c>
      <c r="AL287">
        <v>29</v>
      </c>
      <c r="AM287">
        <v>13</v>
      </c>
      <c r="AN287">
        <v>38661.18359375</v>
      </c>
      <c r="AO287"/>
      <c r="AP287"/>
      <c r="AQ287"/>
      <c r="AR287">
        <v>0</v>
      </c>
      <c r="AS287">
        <v>0</v>
      </c>
      <c r="AT287">
        <v>0</v>
      </c>
      <c r="AU287">
        <v>0</v>
      </c>
      <c r="AV287">
        <v>0</v>
      </c>
      <c r="AW287">
        <v>0</v>
      </c>
      <c r="AX287">
        <v>0</v>
      </c>
      <c r="AY287">
        <v>0</v>
      </c>
      <c r="AZ287">
        <v>0</v>
      </c>
      <c r="BA287">
        <v>0</v>
      </c>
      <c r="BB287"/>
      <c r="BC287"/>
      <c r="BD287"/>
      <c r="BE287">
        <v>0</v>
      </c>
      <c r="BF287" t="s">
        <v>1100</v>
      </c>
      <c r="BG287" t="s">
        <v>5</v>
      </c>
      <c r="BH287" t="s">
        <v>1020</v>
      </c>
      <c r="BI287" t="s">
        <v>1020</v>
      </c>
      <c r="BJ287" t="s">
        <v>5</v>
      </c>
      <c r="BK287"/>
      <c r="BL287">
        <v>0</v>
      </c>
      <c r="BM287"/>
      <c r="BN287" t="s">
        <v>5</v>
      </c>
      <c r="BO287"/>
      <c r="BP287"/>
      <c r="BQ287"/>
      <c r="BR287"/>
      <c r="BS287" t="s">
        <v>5</v>
      </c>
      <c r="BT287"/>
      <c r="BU287"/>
      <c r="BV287"/>
      <c r="BW287"/>
      <c r="BX287" t="s">
        <v>6</v>
      </c>
      <c r="BY287" t="s">
        <v>1101</v>
      </c>
      <c r="BZ287"/>
      <c r="CA287"/>
      <c r="CB287" t="s">
        <v>5</v>
      </c>
      <c r="CC287">
        <v>194307.65498311061</v>
      </c>
      <c r="CD287">
        <v>2360725487.5145741</v>
      </c>
      <c r="CE287" s="313" t="s">
        <v>11891</v>
      </c>
    </row>
    <row r="288" spans="1:83" ht="15" x14ac:dyDescent="0.25">
      <c r="A288" t="s">
        <v>1374</v>
      </c>
      <c r="B288" t="s">
        <v>1375</v>
      </c>
      <c r="C288" t="s">
        <v>1091</v>
      </c>
      <c r="D288">
        <v>1</v>
      </c>
      <c r="E288" t="s">
        <v>1432</v>
      </c>
      <c r="F288" t="s">
        <v>1376</v>
      </c>
      <c r="G288" t="s">
        <v>1377</v>
      </c>
      <c r="H288" t="s">
        <v>1378</v>
      </c>
      <c r="I288"/>
      <c r="J288"/>
      <c r="K288" t="s">
        <v>1097</v>
      </c>
      <c r="L288">
        <v>1466.1484375</v>
      </c>
      <c r="M288" t="s">
        <v>6</v>
      </c>
      <c r="N288" t="s">
        <v>5</v>
      </c>
      <c r="O288" t="s">
        <v>5</v>
      </c>
      <c r="P288" t="s">
        <v>6</v>
      </c>
      <c r="Q288" t="s">
        <v>5</v>
      </c>
      <c r="R288" t="s">
        <v>1379</v>
      </c>
      <c r="S288" t="s">
        <v>1380</v>
      </c>
      <c r="T288" t="s">
        <v>5</v>
      </c>
      <c r="U288" t="s">
        <v>50</v>
      </c>
      <c r="V288">
        <v>100000</v>
      </c>
      <c r="W288">
        <v>100000</v>
      </c>
      <c r="X288" t="s">
        <v>5</v>
      </c>
      <c r="Y288"/>
      <c r="Z288"/>
      <c r="AA288">
        <v>148.17332458496091</v>
      </c>
      <c r="AB288">
        <v>49.839687347412109</v>
      </c>
      <c r="AC288">
        <v>9.7628997173160315E-4</v>
      </c>
      <c r="AD288">
        <v>111</v>
      </c>
      <c r="AE288">
        <v>128</v>
      </c>
      <c r="AF288">
        <v>65</v>
      </c>
      <c r="AG288">
        <v>209</v>
      </c>
      <c r="AH288">
        <v>159</v>
      </c>
      <c r="AI288">
        <v>209</v>
      </c>
      <c r="AJ288">
        <v>5</v>
      </c>
      <c r="AK288">
        <v>61</v>
      </c>
      <c r="AL288">
        <v>83</v>
      </c>
      <c r="AM288">
        <v>63</v>
      </c>
      <c r="AN288">
        <v>91162.8671875</v>
      </c>
      <c r="AO288"/>
      <c r="AP288"/>
      <c r="AQ288"/>
      <c r="AR288">
        <v>0</v>
      </c>
      <c r="AS288">
        <v>0</v>
      </c>
      <c r="AT288">
        <v>0</v>
      </c>
      <c r="AU288">
        <v>0</v>
      </c>
      <c r="AV288">
        <v>0</v>
      </c>
      <c r="AW288">
        <v>0</v>
      </c>
      <c r="AX288">
        <v>0</v>
      </c>
      <c r="AY288">
        <v>0</v>
      </c>
      <c r="AZ288">
        <v>0</v>
      </c>
      <c r="BA288">
        <v>0</v>
      </c>
      <c r="BB288"/>
      <c r="BC288"/>
      <c r="BD288"/>
      <c r="BE288">
        <v>0</v>
      </c>
      <c r="BF288" t="s">
        <v>1100</v>
      </c>
      <c r="BG288" t="s">
        <v>5</v>
      </c>
      <c r="BH288" t="s">
        <v>1020</v>
      </c>
      <c r="BI288" t="s">
        <v>1020</v>
      </c>
      <c r="BJ288" t="s">
        <v>5</v>
      </c>
      <c r="BK288"/>
      <c r="BL288">
        <v>0</v>
      </c>
      <c r="BM288"/>
      <c r="BN288" t="s">
        <v>5</v>
      </c>
      <c r="BO288"/>
      <c r="BP288"/>
      <c r="BQ288"/>
      <c r="BR288"/>
      <c r="BS288" t="s">
        <v>5</v>
      </c>
      <c r="BT288"/>
      <c r="BU288"/>
      <c r="BV288"/>
      <c r="BW288"/>
      <c r="BX288" t="s">
        <v>6</v>
      </c>
      <c r="BY288" t="s">
        <v>1101</v>
      </c>
      <c r="BZ288"/>
      <c r="CA288"/>
      <c r="CB288" t="s">
        <v>5</v>
      </c>
      <c r="CC288">
        <v>254454.90745599131</v>
      </c>
      <c r="CD288">
        <v>3797307104.6828752</v>
      </c>
      <c r="CE288" s="313" t="s">
        <v>11891</v>
      </c>
    </row>
    <row r="289" spans="1:83" ht="15" x14ac:dyDescent="0.25">
      <c r="A289" t="s">
        <v>1381</v>
      </c>
      <c r="B289" t="s">
        <v>1382</v>
      </c>
      <c r="C289" t="s">
        <v>1091</v>
      </c>
      <c r="D289">
        <v>1</v>
      </c>
      <c r="E289" t="s">
        <v>1432</v>
      </c>
      <c r="F289" t="s">
        <v>1092</v>
      </c>
      <c r="G289" t="s">
        <v>1383</v>
      </c>
      <c r="H289" t="s">
        <v>1384</v>
      </c>
      <c r="I289"/>
      <c r="J289"/>
      <c r="K289" t="s">
        <v>1097</v>
      </c>
      <c r="L289">
        <v>901.38958740234375</v>
      </c>
      <c r="M289" t="s">
        <v>6</v>
      </c>
      <c r="N289" t="s">
        <v>5</v>
      </c>
      <c r="O289" t="s">
        <v>5</v>
      </c>
      <c r="P289" t="s">
        <v>6</v>
      </c>
      <c r="Q289" t="s">
        <v>5</v>
      </c>
      <c r="R289" t="s">
        <v>1385</v>
      </c>
      <c r="S289" t="s">
        <v>1386</v>
      </c>
      <c r="T289" t="s">
        <v>5</v>
      </c>
      <c r="U289" t="s">
        <v>50</v>
      </c>
      <c r="V289">
        <v>100000</v>
      </c>
      <c r="W289">
        <v>100000</v>
      </c>
      <c r="X289" t="s">
        <v>5</v>
      </c>
      <c r="Y289"/>
      <c r="Z289"/>
      <c r="AA289">
        <v>119.8587646484375</v>
      </c>
      <c r="AB289">
        <v>23.44468879699707</v>
      </c>
      <c r="AC289">
        <v>0</v>
      </c>
      <c r="AD289">
        <v>36</v>
      </c>
      <c r="AE289">
        <v>41</v>
      </c>
      <c r="AF289">
        <v>0</v>
      </c>
      <c r="AG289">
        <v>11</v>
      </c>
      <c r="AH289">
        <v>23</v>
      </c>
      <c r="AI289">
        <v>23</v>
      </c>
      <c r="AJ289">
        <v>0</v>
      </c>
      <c r="AK289">
        <v>2</v>
      </c>
      <c r="AL289">
        <v>45</v>
      </c>
      <c r="AM289">
        <v>2</v>
      </c>
      <c r="AN289">
        <v>64354.15234375</v>
      </c>
      <c r="AO289"/>
      <c r="AP289"/>
      <c r="AQ289"/>
      <c r="AR289">
        <v>0</v>
      </c>
      <c r="AS289">
        <v>0</v>
      </c>
      <c r="AT289">
        <v>0</v>
      </c>
      <c r="AU289">
        <v>0</v>
      </c>
      <c r="AV289">
        <v>0</v>
      </c>
      <c r="AW289">
        <v>0</v>
      </c>
      <c r="AX289">
        <v>0</v>
      </c>
      <c r="AY289">
        <v>0</v>
      </c>
      <c r="AZ289">
        <v>0</v>
      </c>
      <c r="BA289">
        <v>0</v>
      </c>
      <c r="BB289"/>
      <c r="BC289"/>
      <c r="BD289"/>
      <c r="BE289">
        <v>0</v>
      </c>
      <c r="BF289" t="s">
        <v>1100</v>
      </c>
      <c r="BG289" t="s">
        <v>5</v>
      </c>
      <c r="BH289" t="s">
        <v>1020</v>
      </c>
      <c r="BI289" t="s">
        <v>1020</v>
      </c>
      <c r="BJ289" t="s">
        <v>5</v>
      </c>
      <c r="BK289"/>
      <c r="BL289">
        <v>0</v>
      </c>
      <c r="BM289"/>
      <c r="BN289" t="s">
        <v>5</v>
      </c>
      <c r="BO289"/>
      <c r="BP289"/>
      <c r="BQ289"/>
      <c r="BR289"/>
      <c r="BS289" t="s">
        <v>5</v>
      </c>
      <c r="BT289"/>
      <c r="BU289"/>
      <c r="BV289"/>
      <c r="BW289"/>
      <c r="BX289" t="s">
        <v>6</v>
      </c>
      <c r="BY289" t="s">
        <v>1101</v>
      </c>
      <c r="BZ289"/>
      <c r="CA289"/>
      <c r="CB289" t="s">
        <v>5</v>
      </c>
      <c r="CC289">
        <v>193197.7896277972</v>
      </c>
      <c r="CD289">
        <v>2334588384.2612739</v>
      </c>
      <c r="CE289" s="313" t="s">
        <v>11891</v>
      </c>
    </row>
    <row r="290" spans="1:83" ht="15" x14ac:dyDescent="0.25">
      <c r="A290" t="s">
        <v>1387</v>
      </c>
      <c r="B290" t="s">
        <v>1388</v>
      </c>
      <c r="C290" t="s">
        <v>1091</v>
      </c>
      <c r="D290">
        <v>1</v>
      </c>
      <c r="E290" t="s">
        <v>1432</v>
      </c>
      <c r="F290" t="s">
        <v>1130</v>
      </c>
      <c r="G290" t="s">
        <v>1389</v>
      </c>
      <c r="H290" t="s">
        <v>1390</v>
      </c>
      <c r="I290"/>
      <c r="J290"/>
      <c r="K290" t="s">
        <v>1097</v>
      </c>
      <c r="L290">
        <v>932.98907470703125</v>
      </c>
      <c r="M290" t="s">
        <v>6</v>
      </c>
      <c r="N290" t="s">
        <v>5</v>
      </c>
      <c r="O290" t="s">
        <v>5</v>
      </c>
      <c r="P290" t="s">
        <v>6</v>
      </c>
      <c r="Q290" t="s">
        <v>5</v>
      </c>
      <c r="R290" t="s">
        <v>1391</v>
      </c>
      <c r="S290" t="s">
        <v>1392</v>
      </c>
      <c r="T290" t="s">
        <v>5</v>
      </c>
      <c r="U290" t="s">
        <v>50</v>
      </c>
      <c r="V290">
        <v>100000</v>
      </c>
      <c r="W290">
        <v>100000</v>
      </c>
      <c r="X290" t="s">
        <v>5</v>
      </c>
      <c r="Y290"/>
      <c r="Z290"/>
      <c r="AA290">
        <v>127.675048828125</v>
      </c>
      <c r="AB290">
        <v>19.072170257568359</v>
      </c>
      <c r="AC290">
        <v>0</v>
      </c>
      <c r="AD290">
        <v>219</v>
      </c>
      <c r="AE290">
        <v>59</v>
      </c>
      <c r="AF290">
        <v>18</v>
      </c>
      <c r="AG290">
        <v>525</v>
      </c>
      <c r="AH290">
        <v>168</v>
      </c>
      <c r="AI290">
        <v>525</v>
      </c>
      <c r="AJ290">
        <v>2</v>
      </c>
      <c r="AK290">
        <v>9</v>
      </c>
      <c r="AL290">
        <v>46</v>
      </c>
      <c r="AM290">
        <v>9</v>
      </c>
      <c r="AN290">
        <v>76552.171875</v>
      </c>
      <c r="AO290"/>
      <c r="AP290"/>
      <c r="AQ290"/>
      <c r="AR290">
        <v>0</v>
      </c>
      <c r="AS290">
        <v>0</v>
      </c>
      <c r="AT290">
        <v>0</v>
      </c>
      <c r="AU290">
        <v>0</v>
      </c>
      <c r="AV290">
        <v>0</v>
      </c>
      <c r="AW290">
        <v>0</v>
      </c>
      <c r="AX290">
        <v>0</v>
      </c>
      <c r="AY290">
        <v>0</v>
      </c>
      <c r="AZ290">
        <v>0</v>
      </c>
      <c r="BA290">
        <v>0</v>
      </c>
      <c r="BB290"/>
      <c r="BC290"/>
      <c r="BD290"/>
      <c r="BE290">
        <v>0</v>
      </c>
      <c r="BF290" t="s">
        <v>1100</v>
      </c>
      <c r="BG290" t="s">
        <v>5</v>
      </c>
      <c r="BH290" t="s">
        <v>1020</v>
      </c>
      <c r="BI290" t="s">
        <v>1020</v>
      </c>
      <c r="BJ290" t="s">
        <v>5</v>
      </c>
      <c r="BK290"/>
      <c r="BL290">
        <v>0</v>
      </c>
      <c r="BM290"/>
      <c r="BN290" t="s">
        <v>5</v>
      </c>
      <c r="BO290"/>
      <c r="BP290"/>
      <c r="BQ290"/>
      <c r="BR290"/>
      <c r="BS290" t="s">
        <v>5</v>
      </c>
      <c r="BT290"/>
      <c r="BU290"/>
      <c r="BV290"/>
      <c r="BW290"/>
      <c r="BX290" t="s">
        <v>6</v>
      </c>
      <c r="BY290" t="s">
        <v>1101</v>
      </c>
      <c r="BZ290"/>
      <c r="CA290"/>
      <c r="CB290" t="s">
        <v>5</v>
      </c>
      <c r="CC290">
        <v>196619.96169958179</v>
      </c>
      <c r="CD290">
        <v>2416430673.2937179</v>
      </c>
      <c r="CE290" s="313" t="s">
        <v>11891</v>
      </c>
    </row>
    <row r="291" spans="1:83" ht="15" x14ac:dyDescent="0.25">
      <c r="A291" t="s">
        <v>1393</v>
      </c>
      <c r="B291" t="s">
        <v>1394</v>
      </c>
      <c r="C291" t="s">
        <v>1091</v>
      </c>
      <c r="D291">
        <v>1</v>
      </c>
      <c r="E291" t="s">
        <v>1432</v>
      </c>
      <c r="F291" t="s">
        <v>1304</v>
      </c>
      <c r="G291" t="s">
        <v>1395</v>
      </c>
      <c r="H291" t="s">
        <v>1396</v>
      </c>
      <c r="I291"/>
      <c r="J291"/>
      <c r="K291" t="s">
        <v>1097</v>
      </c>
      <c r="L291">
        <v>911.9580078125</v>
      </c>
      <c r="M291" t="s">
        <v>6</v>
      </c>
      <c r="N291" t="s">
        <v>5</v>
      </c>
      <c r="O291" t="s">
        <v>5</v>
      </c>
      <c r="P291" t="s">
        <v>6</v>
      </c>
      <c r="Q291" t="s">
        <v>5</v>
      </c>
      <c r="R291" t="s">
        <v>1397</v>
      </c>
      <c r="S291" t="s">
        <v>1310</v>
      </c>
      <c r="T291" t="s">
        <v>5</v>
      </c>
      <c r="U291" t="s">
        <v>50</v>
      </c>
      <c r="V291">
        <v>100000</v>
      </c>
      <c r="W291">
        <v>100000</v>
      </c>
      <c r="X291" t="s">
        <v>5</v>
      </c>
      <c r="Y291"/>
      <c r="Z291"/>
      <c r="AA291">
        <v>108.4838790893555</v>
      </c>
      <c r="AB291">
        <v>17.435493469238281</v>
      </c>
      <c r="AC291">
        <v>4.0501999319531018E-4</v>
      </c>
      <c r="AD291">
        <v>24</v>
      </c>
      <c r="AE291">
        <v>7</v>
      </c>
      <c r="AF291">
        <v>0</v>
      </c>
      <c r="AG291">
        <v>3</v>
      </c>
      <c r="AH291">
        <v>13</v>
      </c>
      <c r="AI291">
        <v>13</v>
      </c>
      <c r="AJ291">
        <v>0</v>
      </c>
      <c r="AK291">
        <v>14</v>
      </c>
      <c r="AL291">
        <v>25</v>
      </c>
      <c r="AM291">
        <v>27</v>
      </c>
      <c r="AN291">
        <v>56990.49609375</v>
      </c>
      <c r="AO291"/>
      <c r="AP291"/>
      <c r="AQ291"/>
      <c r="AR291">
        <v>0</v>
      </c>
      <c r="AS291">
        <v>0</v>
      </c>
      <c r="AT291">
        <v>0</v>
      </c>
      <c r="AU291">
        <v>0</v>
      </c>
      <c r="AV291">
        <v>0</v>
      </c>
      <c r="AW291">
        <v>0</v>
      </c>
      <c r="AX291">
        <v>0</v>
      </c>
      <c r="AY291">
        <v>0</v>
      </c>
      <c r="AZ291">
        <v>0</v>
      </c>
      <c r="BA291">
        <v>0</v>
      </c>
      <c r="BB291"/>
      <c r="BC291"/>
      <c r="BD291"/>
      <c r="BE291">
        <v>0</v>
      </c>
      <c r="BF291" t="s">
        <v>1100</v>
      </c>
      <c r="BG291" t="s">
        <v>5</v>
      </c>
      <c r="BH291" t="s">
        <v>1020</v>
      </c>
      <c r="BI291" t="s">
        <v>1020</v>
      </c>
      <c r="BJ291" t="s">
        <v>5</v>
      </c>
      <c r="BK291"/>
      <c r="BL291">
        <v>0</v>
      </c>
      <c r="BM291"/>
      <c r="BN291" t="s">
        <v>5</v>
      </c>
      <c r="BO291"/>
      <c r="BP291"/>
      <c r="BQ291"/>
      <c r="BR291"/>
      <c r="BS291" t="s">
        <v>5</v>
      </c>
      <c r="BT291"/>
      <c r="BU291"/>
      <c r="BV291"/>
      <c r="BW291"/>
      <c r="BX291" t="s">
        <v>6</v>
      </c>
      <c r="BY291" t="s">
        <v>1101</v>
      </c>
      <c r="BZ291"/>
      <c r="CA291"/>
      <c r="CB291" t="s">
        <v>5</v>
      </c>
      <c r="CC291">
        <v>194562.32322325601</v>
      </c>
      <c r="CD291">
        <v>2361960319.9596171</v>
      </c>
      <c r="CE291" s="313" t="s">
        <v>11891</v>
      </c>
    </row>
    <row r="292" spans="1:83" ht="15" x14ac:dyDescent="0.25">
      <c r="A292" t="s">
        <v>1398</v>
      </c>
      <c r="B292" t="s">
        <v>1399</v>
      </c>
      <c r="C292" t="s">
        <v>1091</v>
      </c>
      <c r="D292">
        <v>1</v>
      </c>
      <c r="E292" t="s">
        <v>1432</v>
      </c>
      <c r="F292" t="s">
        <v>1121</v>
      </c>
      <c r="G292" t="s">
        <v>1400</v>
      </c>
      <c r="H292" t="s">
        <v>1401</v>
      </c>
      <c r="I292"/>
      <c r="J292"/>
      <c r="K292" t="s">
        <v>1097</v>
      </c>
      <c r="L292">
        <v>916.00823974609375</v>
      </c>
      <c r="M292" t="s">
        <v>6</v>
      </c>
      <c r="N292" t="s">
        <v>5</v>
      </c>
      <c r="O292" t="s">
        <v>5</v>
      </c>
      <c r="P292" t="s">
        <v>6</v>
      </c>
      <c r="Q292" t="s">
        <v>5</v>
      </c>
      <c r="R292" t="s">
        <v>1402</v>
      </c>
      <c r="S292" t="s">
        <v>1403</v>
      </c>
      <c r="T292" t="s">
        <v>5</v>
      </c>
      <c r="U292" t="s">
        <v>50</v>
      </c>
      <c r="V292">
        <v>100000</v>
      </c>
      <c r="W292">
        <v>100000</v>
      </c>
      <c r="X292" t="s">
        <v>5</v>
      </c>
      <c r="Y292"/>
      <c r="Z292"/>
      <c r="AA292">
        <v>115.1780319213867</v>
      </c>
      <c r="AB292">
        <v>21.969339370727539</v>
      </c>
      <c r="AC292">
        <v>0</v>
      </c>
      <c r="AD292">
        <v>191</v>
      </c>
      <c r="AE292">
        <v>82</v>
      </c>
      <c r="AF292">
        <v>71</v>
      </c>
      <c r="AG292">
        <v>154</v>
      </c>
      <c r="AH292">
        <v>210</v>
      </c>
      <c r="AI292">
        <v>210</v>
      </c>
      <c r="AJ292">
        <v>4</v>
      </c>
      <c r="AK292">
        <v>4</v>
      </c>
      <c r="AL292">
        <v>65</v>
      </c>
      <c r="AM292">
        <v>4</v>
      </c>
      <c r="AN292">
        <v>70021.9609375</v>
      </c>
      <c r="AO292"/>
      <c r="AP292"/>
      <c r="AQ292"/>
      <c r="AR292">
        <v>0</v>
      </c>
      <c r="AS292">
        <v>0</v>
      </c>
      <c r="AT292">
        <v>0</v>
      </c>
      <c r="AU292">
        <v>0</v>
      </c>
      <c r="AV292">
        <v>0</v>
      </c>
      <c r="AW292">
        <v>0</v>
      </c>
      <c r="AX292">
        <v>0</v>
      </c>
      <c r="AY292">
        <v>0</v>
      </c>
      <c r="AZ292">
        <v>0</v>
      </c>
      <c r="BA292">
        <v>0</v>
      </c>
      <c r="BB292"/>
      <c r="BC292"/>
      <c r="BD292"/>
      <c r="BE292">
        <v>0</v>
      </c>
      <c r="BF292" t="s">
        <v>1100</v>
      </c>
      <c r="BG292" t="s">
        <v>5</v>
      </c>
      <c r="BH292" t="s">
        <v>1020</v>
      </c>
      <c r="BI292" t="s">
        <v>1020</v>
      </c>
      <c r="BJ292" t="s">
        <v>5</v>
      </c>
      <c r="BK292"/>
      <c r="BL292">
        <v>0</v>
      </c>
      <c r="BM292"/>
      <c r="BN292" t="s">
        <v>5</v>
      </c>
      <c r="BO292"/>
      <c r="BP292"/>
      <c r="BQ292"/>
      <c r="BR292"/>
      <c r="BS292" t="s">
        <v>5</v>
      </c>
      <c r="BT292"/>
      <c r="BU292"/>
      <c r="BV292"/>
      <c r="BW292"/>
      <c r="BX292" t="s">
        <v>6</v>
      </c>
      <c r="BY292" t="s">
        <v>1101</v>
      </c>
      <c r="BZ292"/>
      <c r="CA292"/>
      <c r="CB292" t="s">
        <v>5</v>
      </c>
      <c r="CC292">
        <v>194903.12058721879</v>
      </c>
      <c r="CD292">
        <v>2372450503.9249778</v>
      </c>
      <c r="CE292" s="313" t="s">
        <v>11891</v>
      </c>
    </row>
    <row r="293" spans="1:83" ht="15" x14ac:dyDescent="0.25">
      <c r="A293" t="s">
        <v>1404</v>
      </c>
      <c r="B293" t="s">
        <v>1405</v>
      </c>
      <c r="C293" t="s">
        <v>1091</v>
      </c>
      <c r="D293">
        <v>1</v>
      </c>
      <c r="E293" t="s">
        <v>1432</v>
      </c>
      <c r="F293" t="s">
        <v>1148</v>
      </c>
      <c r="G293" t="s">
        <v>1406</v>
      </c>
      <c r="H293" t="s">
        <v>1407</v>
      </c>
      <c r="I293"/>
      <c r="J293"/>
      <c r="K293" t="s">
        <v>1097</v>
      </c>
      <c r="L293">
        <v>926.12017822265625</v>
      </c>
      <c r="M293" t="s">
        <v>6</v>
      </c>
      <c r="N293" t="s">
        <v>5</v>
      </c>
      <c r="O293" t="s">
        <v>5</v>
      </c>
      <c r="P293" t="s">
        <v>6</v>
      </c>
      <c r="Q293" t="s">
        <v>5</v>
      </c>
      <c r="R293" t="s">
        <v>1408</v>
      </c>
      <c r="S293" t="s">
        <v>1409</v>
      </c>
      <c r="T293" t="s">
        <v>5</v>
      </c>
      <c r="U293" t="s">
        <v>50</v>
      </c>
      <c r="V293">
        <v>100000</v>
      </c>
      <c r="W293">
        <v>100000</v>
      </c>
      <c r="X293" t="s">
        <v>5</v>
      </c>
      <c r="Y293"/>
      <c r="Z293"/>
      <c r="AA293">
        <v>71.992538452148438</v>
      </c>
      <c r="AB293">
        <v>29.511688232421879</v>
      </c>
      <c r="AC293">
        <v>1.212299976032227E-4</v>
      </c>
      <c r="AD293">
        <v>21</v>
      </c>
      <c r="AE293">
        <v>15</v>
      </c>
      <c r="AF293">
        <v>0</v>
      </c>
      <c r="AG293">
        <v>13</v>
      </c>
      <c r="AH293">
        <v>26</v>
      </c>
      <c r="AI293">
        <v>26</v>
      </c>
      <c r="AJ293">
        <v>3</v>
      </c>
      <c r="AK293">
        <v>9</v>
      </c>
      <c r="AL293">
        <v>57</v>
      </c>
      <c r="AM293">
        <v>10</v>
      </c>
      <c r="AN293">
        <v>44312.84375</v>
      </c>
      <c r="AO293"/>
      <c r="AP293"/>
      <c r="AQ293"/>
      <c r="AR293">
        <v>0</v>
      </c>
      <c r="AS293">
        <v>0</v>
      </c>
      <c r="AT293">
        <v>0</v>
      </c>
      <c r="AU293">
        <v>0</v>
      </c>
      <c r="AV293">
        <v>0</v>
      </c>
      <c r="AW293">
        <v>0</v>
      </c>
      <c r="AX293">
        <v>0</v>
      </c>
      <c r="AY293">
        <v>0</v>
      </c>
      <c r="AZ293">
        <v>0</v>
      </c>
      <c r="BA293">
        <v>0</v>
      </c>
      <c r="BB293"/>
      <c r="BC293"/>
      <c r="BD293"/>
      <c r="BE293">
        <v>0</v>
      </c>
      <c r="BF293" t="s">
        <v>1100</v>
      </c>
      <c r="BG293" t="s">
        <v>5</v>
      </c>
      <c r="BH293" t="s">
        <v>1020</v>
      </c>
      <c r="BI293" t="s">
        <v>1020</v>
      </c>
      <c r="BJ293" t="s">
        <v>5</v>
      </c>
      <c r="BK293"/>
      <c r="BL293">
        <v>0</v>
      </c>
      <c r="BM293"/>
      <c r="BN293" t="s">
        <v>5</v>
      </c>
      <c r="BO293"/>
      <c r="BP293"/>
      <c r="BQ293"/>
      <c r="BR293"/>
      <c r="BS293" t="s">
        <v>5</v>
      </c>
      <c r="BT293"/>
      <c r="BU293"/>
      <c r="BV293"/>
      <c r="BW293"/>
      <c r="BX293" t="s">
        <v>6</v>
      </c>
      <c r="BY293" t="s">
        <v>1101</v>
      </c>
      <c r="BZ293"/>
      <c r="CA293"/>
      <c r="CB293" t="s">
        <v>5</v>
      </c>
      <c r="CC293">
        <v>195946.3324925366</v>
      </c>
      <c r="CD293">
        <v>2398640213.057456</v>
      </c>
      <c r="CE293" s="313" t="s">
        <v>11891</v>
      </c>
    </row>
    <row r="294" spans="1:83" ht="15" x14ac:dyDescent="0.25">
      <c r="A294" t="s">
        <v>1410</v>
      </c>
      <c r="B294" t="s">
        <v>1411</v>
      </c>
      <c r="C294" t="s">
        <v>1091</v>
      </c>
      <c r="D294">
        <v>1</v>
      </c>
      <c r="E294" t="s">
        <v>1432</v>
      </c>
      <c r="F294" t="s">
        <v>1412</v>
      </c>
      <c r="G294" t="s">
        <v>1413</v>
      </c>
      <c r="H294" t="s">
        <v>1414</v>
      </c>
      <c r="I294"/>
      <c r="J294"/>
      <c r="K294" t="s">
        <v>1097</v>
      </c>
      <c r="L294">
        <v>1510.453491210938</v>
      </c>
      <c r="M294" t="s">
        <v>6</v>
      </c>
      <c r="N294" t="s">
        <v>5</v>
      </c>
      <c r="O294" t="s">
        <v>5</v>
      </c>
      <c r="P294" t="s">
        <v>6</v>
      </c>
      <c r="Q294" t="s">
        <v>5</v>
      </c>
      <c r="R294" t="s">
        <v>1415</v>
      </c>
      <c r="S294" t="s">
        <v>1416</v>
      </c>
      <c r="T294" t="s">
        <v>5</v>
      </c>
      <c r="U294" t="s">
        <v>50</v>
      </c>
      <c r="V294">
        <v>100000</v>
      </c>
      <c r="W294">
        <v>100000</v>
      </c>
      <c r="X294" t="s">
        <v>5</v>
      </c>
      <c r="Y294"/>
      <c r="Z294"/>
      <c r="AA294">
        <v>147.87803649902341</v>
      </c>
      <c r="AB294">
        <v>64.630027770996094</v>
      </c>
      <c r="AC294">
        <v>5.8097002329304814E-4</v>
      </c>
      <c r="AD294">
        <v>890</v>
      </c>
      <c r="AE294">
        <v>494</v>
      </c>
      <c r="AF294">
        <v>656</v>
      </c>
      <c r="AG294">
        <v>871</v>
      </c>
      <c r="AH294">
        <v>1401</v>
      </c>
      <c r="AI294">
        <v>1401</v>
      </c>
      <c r="AJ294">
        <v>2</v>
      </c>
      <c r="AK294">
        <v>22</v>
      </c>
      <c r="AL294">
        <v>178</v>
      </c>
      <c r="AM294">
        <v>22</v>
      </c>
      <c r="AN294">
        <v>91033.7890625</v>
      </c>
      <c r="AO294"/>
      <c r="AP294"/>
      <c r="AQ294"/>
      <c r="AR294">
        <v>0</v>
      </c>
      <c r="AS294">
        <v>0</v>
      </c>
      <c r="AT294">
        <v>0</v>
      </c>
      <c r="AU294">
        <v>0</v>
      </c>
      <c r="AV294">
        <v>0</v>
      </c>
      <c r="AW294">
        <v>0</v>
      </c>
      <c r="AX294">
        <v>0</v>
      </c>
      <c r="AY294">
        <v>0</v>
      </c>
      <c r="AZ294">
        <v>0</v>
      </c>
      <c r="BA294">
        <v>0</v>
      </c>
      <c r="BB294"/>
      <c r="BC294"/>
      <c r="BD294"/>
      <c r="BE294">
        <v>0</v>
      </c>
      <c r="BF294" t="s">
        <v>1100</v>
      </c>
      <c r="BG294" t="s">
        <v>5</v>
      </c>
      <c r="BH294" t="s">
        <v>1020</v>
      </c>
      <c r="BI294" t="s">
        <v>1020</v>
      </c>
      <c r="BJ294" t="s">
        <v>5</v>
      </c>
      <c r="BK294"/>
      <c r="BL294">
        <v>0</v>
      </c>
      <c r="BM294"/>
      <c r="BN294" t="s">
        <v>5</v>
      </c>
      <c r="BO294"/>
      <c r="BP294"/>
      <c r="BQ294"/>
      <c r="BR294"/>
      <c r="BS294" t="s">
        <v>5</v>
      </c>
      <c r="BT294"/>
      <c r="BU294"/>
      <c r="BV294"/>
      <c r="BW294"/>
      <c r="BX294" t="s">
        <v>6</v>
      </c>
      <c r="BY294" t="s">
        <v>1101</v>
      </c>
      <c r="BZ294"/>
      <c r="CA294"/>
      <c r="CB294" t="s">
        <v>5</v>
      </c>
      <c r="CC294">
        <v>257144.71413633789</v>
      </c>
      <c r="CD294">
        <v>3912056583.7315989</v>
      </c>
      <c r="CE294" s="313" t="s">
        <v>11891</v>
      </c>
    </row>
    <row r="295" spans="1:83" ht="15" x14ac:dyDescent="0.25">
      <c r="A295" t="s">
        <v>1417</v>
      </c>
      <c r="B295" t="s">
        <v>1418</v>
      </c>
      <c r="C295" t="s">
        <v>1091</v>
      </c>
      <c r="D295">
        <v>1</v>
      </c>
      <c r="E295" t="s">
        <v>1432</v>
      </c>
      <c r="F295" t="s">
        <v>1419</v>
      </c>
      <c r="G295" t="s">
        <v>1420</v>
      </c>
      <c r="H295" t="s">
        <v>1421</v>
      </c>
      <c r="I295"/>
      <c r="J295"/>
      <c r="K295" t="s">
        <v>1097</v>
      </c>
      <c r="L295">
        <v>936.31085205078125</v>
      </c>
      <c r="M295" t="s">
        <v>6</v>
      </c>
      <c r="N295" t="s">
        <v>5</v>
      </c>
      <c r="O295" t="s">
        <v>5</v>
      </c>
      <c r="P295" t="s">
        <v>6</v>
      </c>
      <c r="Q295" t="s">
        <v>5</v>
      </c>
      <c r="R295" t="s">
        <v>1422</v>
      </c>
      <c r="S295" t="s">
        <v>1423</v>
      </c>
      <c r="T295" t="s">
        <v>5</v>
      </c>
      <c r="U295" t="s">
        <v>50</v>
      </c>
      <c r="V295">
        <v>100000</v>
      </c>
      <c r="W295">
        <v>100000</v>
      </c>
      <c r="X295" t="s">
        <v>5</v>
      </c>
      <c r="Y295"/>
      <c r="Z295"/>
      <c r="AA295">
        <v>105.7328720092773</v>
      </c>
      <c r="AB295">
        <v>16.561004638671879</v>
      </c>
      <c r="AC295">
        <v>1.7743499483913181E-3</v>
      </c>
      <c r="AD295">
        <v>100</v>
      </c>
      <c r="AE295">
        <v>79</v>
      </c>
      <c r="AF295">
        <v>9</v>
      </c>
      <c r="AG295">
        <v>33</v>
      </c>
      <c r="AH295">
        <v>78</v>
      </c>
      <c r="AI295">
        <v>78</v>
      </c>
      <c r="AJ295">
        <v>0</v>
      </c>
      <c r="AK295">
        <v>6</v>
      </c>
      <c r="AL295">
        <v>20</v>
      </c>
      <c r="AM295">
        <v>6</v>
      </c>
      <c r="AN295">
        <v>66275.203125</v>
      </c>
      <c r="AO295"/>
      <c r="AP295"/>
      <c r="AQ295"/>
      <c r="AR295">
        <v>0</v>
      </c>
      <c r="AS295">
        <v>0</v>
      </c>
      <c r="AT295">
        <v>0</v>
      </c>
      <c r="AU295">
        <v>0</v>
      </c>
      <c r="AV295">
        <v>0</v>
      </c>
      <c r="AW295">
        <v>0</v>
      </c>
      <c r="AX295">
        <v>0</v>
      </c>
      <c r="AY295">
        <v>0</v>
      </c>
      <c r="AZ295">
        <v>0</v>
      </c>
      <c r="BA295">
        <v>0</v>
      </c>
      <c r="BB295"/>
      <c r="BC295"/>
      <c r="BD295"/>
      <c r="BE295">
        <v>0</v>
      </c>
      <c r="BF295" t="s">
        <v>1100</v>
      </c>
      <c r="BG295" t="s">
        <v>5</v>
      </c>
      <c r="BH295" t="s">
        <v>1020</v>
      </c>
      <c r="BI295" t="s">
        <v>1020</v>
      </c>
      <c r="BJ295" t="s">
        <v>5</v>
      </c>
      <c r="BK295"/>
      <c r="BL295">
        <v>0</v>
      </c>
      <c r="BM295"/>
      <c r="BN295" t="s">
        <v>5</v>
      </c>
      <c r="BO295"/>
      <c r="BP295"/>
      <c r="BQ295"/>
      <c r="BR295"/>
      <c r="BS295" t="s">
        <v>5</v>
      </c>
      <c r="BT295"/>
      <c r="BU295"/>
      <c r="BV295"/>
      <c r="BW295"/>
      <c r="BX295" t="s">
        <v>6</v>
      </c>
      <c r="BY295" t="s">
        <v>1101</v>
      </c>
      <c r="BZ295"/>
      <c r="CA295"/>
      <c r="CB295" t="s">
        <v>5</v>
      </c>
      <c r="CC295">
        <v>196975.51136991999</v>
      </c>
      <c r="CD295">
        <v>2425033943.1713428</v>
      </c>
      <c r="CE295" s="313" t="s">
        <v>11891</v>
      </c>
    </row>
    <row r="296" spans="1:83" ht="15" x14ac:dyDescent="0.25">
      <c r="A296" t="s">
        <v>1424</v>
      </c>
      <c r="B296" t="s">
        <v>1425</v>
      </c>
      <c r="C296" t="s">
        <v>1091</v>
      </c>
      <c r="D296">
        <v>1</v>
      </c>
      <c r="E296" t="s">
        <v>1432</v>
      </c>
      <c r="F296" t="s">
        <v>1279</v>
      </c>
      <c r="G296" t="s">
        <v>1426</v>
      </c>
      <c r="H296" t="s">
        <v>1427</v>
      </c>
      <c r="I296"/>
      <c r="J296"/>
      <c r="K296" t="s">
        <v>1097</v>
      </c>
      <c r="L296">
        <v>922.5164794921875</v>
      </c>
      <c r="M296" t="s">
        <v>6</v>
      </c>
      <c r="N296" t="s">
        <v>5</v>
      </c>
      <c r="O296" t="s">
        <v>5</v>
      </c>
      <c r="P296" t="s">
        <v>6</v>
      </c>
      <c r="Q296" t="s">
        <v>5</v>
      </c>
      <c r="R296" t="s">
        <v>1428</v>
      </c>
      <c r="S296" t="s">
        <v>1429</v>
      </c>
      <c r="T296" t="s">
        <v>5</v>
      </c>
      <c r="U296" t="s">
        <v>50</v>
      </c>
      <c r="V296">
        <v>100000</v>
      </c>
      <c r="W296">
        <v>100000</v>
      </c>
      <c r="X296" t="s">
        <v>5</v>
      </c>
      <c r="Y296"/>
      <c r="Z296"/>
      <c r="AA296">
        <v>89.448463439941406</v>
      </c>
      <c r="AB296">
        <v>29.760171890258789</v>
      </c>
      <c r="AC296">
        <v>1.3927909545600411E-2</v>
      </c>
      <c r="AD296">
        <v>369</v>
      </c>
      <c r="AE296">
        <v>423</v>
      </c>
      <c r="AF296">
        <v>161</v>
      </c>
      <c r="AG296">
        <v>244</v>
      </c>
      <c r="AH296">
        <v>533</v>
      </c>
      <c r="AI296">
        <v>533</v>
      </c>
      <c r="AJ296">
        <v>1</v>
      </c>
      <c r="AK296">
        <v>1</v>
      </c>
      <c r="AL296">
        <v>31</v>
      </c>
      <c r="AM296">
        <v>1</v>
      </c>
      <c r="AN296">
        <v>48149.85546875</v>
      </c>
      <c r="AO296"/>
      <c r="AP296"/>
      <c r="AQ296"/>
      <c r="AR296">
        <v>0</v>
      </c>
      <c r="AS296">
        <v>0</v>
      </c>
      <c r="AT296">
        <v>0</v>
      </c>
      <c r="AU296">
        <v>0</v>
      </c>
      <c r="AV296">
        <v>0</v>
      </c>
      <c r="AW296">
        <v>0</v>
      </c>
      <c r="AX296">
        <v>0</v>
      </c>
      <c r="AY296">
        <v>0</v>
      </c>
      <c r="AZ296">
        <v>0</v>
      </c>
      <c r="BA296">
        <v>0</v>
      </c>
      <c r="BB296"/>
      <c r="BC296"/>
      <c r="BD296"/>
      <c r="BE296">
        <v>0</v>
      </c>
      <c r="BF296" t="s">
        <v>1100</v>
      </c>
      <c r="BG296" t="s">
        <v>5</v>
      </c>
      <c r="BH296" t="s">
        <v>1020</v>
      </c>
      <c r="BI296" t="s">
        <v>1020</v>
      </c>
      <c r="BJ296" t="s">
        <v>5</v>
      </c>
      <c r="BK296"/>
      <c r="BL296">
        <v>0</v>
      </c>
      <c r="BM296"/>
      <c r="BN296" t="s">
        <v>5</v>
      </c>
      <c r="BO296"/>
      <c r="BP296"/>
      <c r="BQ296"/>
      <c r="BR296"/>
      <c r="BS296" t="s">
        <v>5</v>
      </c>
      <c r="BT296"/>
      <c r="BU296"/>
      <c r="BV296"/>
      <c r="BW296"/>
      <c r="BX296" t="s">
        <v>6</v>
      </c>
      <c r="BY296" t="s">
        <v>1101</v>
      </c>
      <c r="BZ296"/>
      <c r="CA296"/>
      <c r="CB296" t="s">
        <v>5</v>
      </c>
      <c r="CC296">
        <v>195868.33619327689</v>
      </c>
      <c r="CD296">
        <v>2389306739.9894762</v>
      </c>
      <c r="CE296" s="313" t="s">
        <v>11891</v>
      </c>
    </row>
    <row r="297" spans="1:83" ht="15" x14ac:dyDescent="0.25">
      <c r="A297" t="s">
        <v>1430</v>
      </c>
      <c r="B297" t="s">
        <v>1431</v>
      </c>
      <c r="C297" t="s">
        <v>1091</v>
      </c>
      <c r="D297">
        <v>1</v>
      </c>
      <c r="E297" t="s">
        <v>1432</v>
      </c>
      <c r="F297" t="s">
        <v>1376</v>
      </c>
      <c r="G297" t="s">
        <v>1433</v>
      </c>
      <c r="H297" t="s">
        <v>1434</v>
      </c>
      <c r="I297" t="s">
        <v>1435</v>
      </c>
      <c r="J297" t="s">
        <v>1436</v>
      </c>
      <c r="K297" t="s">
        <v>1097</v>
      </c>
      <c r="L297">
        <v>0.99385899305343628</v>
      </c>
      <c r="M297" t="s">
        <v>6</v>
      </c>
      <c r="N297" t="s">
        <v>5</v>
      </c>
      <c r="O297" t="s">
        <v>5</v>
      </c>
      <c r="P297" t="s">
        <v>5</v>
      </c>
      <c r="Q297" t="s">
        <v>5</v>
      </c>
      <c r="R297" t="s">
        <v>1437</v>
      </c>
      <c r="S297" t="s">
        <v>1438</v>
      </c>
      <c r="T297" t="s">
        <v>5</v>
      </c>
      <c r="U297" t="s">
        <v>50</v>
      </c>
      <c r="V297">
        <v>100000</v>
      </c>
      <c r="W297">
        <v>100000</v>
      </c>
      <c r="X297" t="s">
        <v>5</v>
      </c>
      <c r="Y297"/>
      <c r="Z297"/>
      <c r="AA297">
        <v>3.3837000955827529E-4</v>
      </c>
      <c r="AB297">
        <v>1.5933399554342029E-3</v>
      </c>
      <c r="AC297">
        <v>0</v>
      </c>
      <c r="AD297">
        <v>0</v>
      </c>
      <c r="AE297">
        <v>0</v>
      </c>
      <c r="AF297">
        <v>0</v>
      </c>
      <c r="AG297">
        <v>0</v>
      </c>
      <c r="AH297">
        <v>0</v>
      </c>
      <c r="AI297">
        <v>0</v>
      </c>
      <c r="AJ297">
        <v>0</v>
      </c>
      <c r="AK297">
        <v>0</v>
      </c>
      <c r="AL297">
        <v>0</v>
      </c>
      <c r="AM297">
        <v>0</v>
      </c>
      <c r="AN297">
        <v>0.21655842661857599</v>
      </c>
      <c r="AO297"/>
      <c r="AP297"/>
      <c r="AQ297"/>
      <c r="AR297">
        <v>0</v>
      </c>
      <c r="AS297">
        <v>0</v>
      </c>
      <c r="AT297">
        <v>0</v>
      </c>
      <c r="AU297">
        <v>0</v>
      </c>
      <c r="AV297">
        <v>0</v>
      </c>
      <c r="AW297">
        <v>0</v>
      </c>
      <c r="AX297">
        <v>0</v>
      </c>
      <c r="AY297">
        <v>0</v>
      </c>
      <c r="AZ297">
        <v>0</v>
      </c>
      <c r="BA297">
        <v>0</v>
      </c>
      <c r="BB297"/>
      <c r="BC297"/>
      <c r="BD297"/>
      <c r="BE297">
        <v>0</v>
      </c>
      <c r="BF297" t="s">
        <v>1100</v>
      </c>
      <c r="BG297" t="s">
        <v>5</v>
      </c>
      <c r="BH297" t="s">
        <v>1020</v>
      </c>
      <c r="BI297" t="s">
        <v>1020</v>
      </c>
      <c r="BJ297" t="s">
        <v>5</v>
      </c>
      <c r="BK297"/>
      <c r="BL297">
        <v>0</v>
      </c>
      <c r="BM297"/>
      <c r="BN297" t="s">
        <v>5</v>
      </c>
      <c r="BO297"/>
      <c r="BP297"/>
      <c r="BQ297"/>
      <c r="BR297"/>
      <c r="BS297" t="s">
        <v>5</v>
      </c>
      <c r="BT297"/>
      <c r="BU297"/>
      <c r="BV297"/>
      <c r="BW297"/>
      <c r="BX297" t="s">
        <v>6</v>
      </c>
      <c r="BY297" t="s">
        <v>1101</v>
      </c>
      <c r="BZ297"/>
      <c r="CA297"/>
      <c r="CB297" t="s">
        <v>5</v>
      </c>
      <c r="CC297">
        <v>6415.4602132577529</v>
      </c>
      <c r="CD297">
        <v>2574083.0040379772</v>
      </c>
      <c r="CE297" s="313" t="s">
        <v>11891</v>
      </c>
    </row>
    <row r="298" spans="1:83" ht="15" x14ac:dyDescent="0.25">
      <c r="A298" t="s">
        <v>1439</v>
      </c>
      <c r="B298" t="s">
        <v>1440</v>
      </c>
      <c r="C298" t="s">
        <v>1091</v>
      </c>
      <c r="D298">
        <v>1</v>
      </c>
      <c r="E298" t="s">
        <v>1432</v>
      </c>
      <c r="F298" t="s">
        <v>1441</v>
      </c>
      <c r="G298" t="s">
        <v>1442</v>
      </c>
      <c r="H298" t="s">
        <v>1443</v>
      </c>
      <c r="I298"/>
      <c r="J298"/>
      <c r="K298" t="s">
        <v>1097</v>
      </c>
      <c r="L298">
        <v>1497.917358398438</v>
      </c>
      <c r="M298" t="s">
        <v>6</v>
      </c>
      <c r="N298" t="s">
        <v>5</v>
      </c>
      <c r="O298" t="s">
        <v>5</v>
      </c>
      <c r="P298" t="s">
        <v>6</v>
      </c>
      <c r="Q298" t="s">
        <v>5</v>
      </c>
      <c r="R298" t="s">
        <v>1444</v>
      </c>
      <c r="S298" t="s">
        <v>1445</v>
      </c>
      <c r="T298" t="s">
        <v>5</v>
      </c>
      <c r="U298" t="s">
        <v>50</v>
      </c>
      <c r="V298">
        <v>100000</v>
      </c>
      <c r="W298">
        <v>100000</v>
      </c>
      <c r="X298" t="s">
        <v>5</v>
      </c>
      <c r="Y298"/>
      <c r="Z298"/>
      <c r="AA298">
        <v>100.64666748046881</v>
      </c>
      <c r="AB298">
        <v>30.085466384887699</v>
      </c>
      <c r="AC298">
        <v>6.1447359621524811E-2</v>
      </c>
      <c r="AD298">
        <v>120</v>
      </c>
      <c r="AE298">
        <v>110</v>
      </c>
      <c r="AF298">
        <v>45</v>
      </c>
      <c r="AG298">
        <v>271</v>
      </c>
      <c r="AH298">
        <v>153</v>
      </c>
      <c r="AI298">
        <v>271</v>
      </c>
      <c r="AJ298">
        <v>0</v>
      </c>
      <c r="AK298">
        <v>18</v>
      </c>
      <c r="AL298">
        <v>76</v>
      </c>
      <c r="AM298">
        <v>25</v>
      </c>
      <c r="AN298">
        <v>54135.296875</v>
      </c>
      <c r="AO298"/>
      <c r="AP298"/>
      <c r="AQ298"/>
      <c r="AR298">
        <v>0</v>
      </c>
      <c r="AS298">
        <v>0</v>
      </c>
      <c r="AT298">
        <v>0</v>
      </c>
      <c r="AU298">
        <v>0</v>
      </c>
      <c r="AV298">
        <v>0</v>
      </c>
      <c r="AW298">
        <v>0</v>
      </c>
      <c r="AX298">
        <v>0</v>
      </c>
      <c r="AY298">
        <v>0</v>
      </c>
      <c r="AZ298">
        <v>0</v>
      </c>
      <c r="BA298">
        <v>0</v>
      </c>
      <c r="BB298"/>
      <c r="BC298"/>
      <c r="BD298"/>
      <c r="BE298">
        <v>0</v>
      </c>
      <c r="BF298" t="s">
        <v>1100</v>
      </c>
      <c r="BG298" t="s">
        <v>5</v>
      </c>
      <c r="BH298" t="s">
        <v>1020</v>
      </c>
      <c r="BI298" t="s">
        <v>1020</v>
      </c>
      <c r="BJ298" t="s">
        <v>5</v>
      </c>
      <c r="BK298"/>
      <c r="BL298">
        <v>0</v>
      </c>
      <c r="BM298"/>
      <c r="BN298" t="s">
        <v>5</v>
      </c>
      <c r="BO298"/>
      <c r="BP298"/>
      <c r="BQ298"/>
      <c r="BR298"/>
      <c r="BS298" t="s">
        <v>5</v>
      </c>
      <c r="BT298"/>
      <c r="BU298"/>
      <c r="BV298"/>
      <c r="BW298"/>
      <c r="BX298" t="s">
        <v>6</v>
      </c>
      <c r="BY298" t="s">
        <v>1101</v>
      </c>
      <c r="BZ298"/>
      <c r="CA298"/>
      <c r="CB298" t="s">
        <v>5</v>
      </c>
      <c r="CC298">
        <v>256440.18158834401</v>
      </c>
      <c r="CD298">
        <v>3879588283.311799</v>
      </c>
      <c r="CE298" s="313" t="s">
        <v>11891</v>
      </c>
    </row>
    <row r="299" spans="1:83" ht="15" x14ac:dyDescent="0.25">
      <c r="A299" t="s">
        <v>1475</v>
      </c>
      <c r="B299" t="s">
        <v>1476</v>
      </c>
      <c r="C299" t="s">
        <v>1477</v>
      </c>
      <c r="D299">
        <v>1</v>
      </c>
      <c r="E299" t="s">
        <v>1432</v>
      </c>
      <c r="F299" t="s">
        <v>1457</v>
      </c>
      <c r="G299" t="s">
        <v>1458</v>
      </c>
      <c r="H299" t="s">
        <v>1459</v>
      </c>
      <c r="I299" t="s">
        <v>1460</v>
      </c>
      <c r="J299" t="s">
        <v>1461</v>
      </c>
      <c r="K299" t="s">
        <v>1097</v>
      </c>
      <c r="L299">
        <v>7.0512943267822266</v>
      </c>
      <c r="M299" t="s">
        <v>6</v>
      </c>
      <c r="N299" t="s">
        <v>5</v>
      </c>
      <c r="O299" t="s">
        <v>5</v>
      </c>
      <c r="P299" t="s">
        <v>6</v>
      </c>
      <c r="Q299" t="s">
        <v>5</v>
      </c>
      <c r="R299" t="s">
        <v>1463</v>
      </c>
      <c r="S299" t="s">
        <v>1464</v>
      </c>
      <c r="T299" t="s">
        <v>5</v>
      </c>
      <c r="U299" t="s">
        <v>50</v>
      </c>
      <c r="V299">
        <v>100000</v>
      </c>
      <c r="W299">
        <v>100000</v>
      </c>
      <c r="X299" t="s">
        <v>5</v>
      </c>
      <c r="Y299"/>
      <c r="Z299"/>
      <c r="AA299">
        <v>1.10006320476532</v>
      </c>
      <c r="AB299">
        <v>0.23183286190032959</v>
      </c>
      <c r="AC299">
        <v>0</v>
      </c>
      <c r="AD299">
        <v>206</v>
      </c>
      <c r="AE299">
        <v>119</v>
      </c>
      <c r="AF299">
        <v>193</v>
      </c>
      <c r="AG299">
        <v>636</v>
      </c>
      <c r="AH299">
        <v>823</v>
      </c>
      <c r="AI299">
        <v>823</v>
      </c>
      <c r="AJ299">
        <v>0</v>
      </c>
      <c r="AK299">
        <v>7</v>
      </c>
      <c r="AL299">
        <v>15</v>
      </c>
      <c r="AM299">
        <v>7</v>
      </c>
      <c r="AN299">
        <v>150.2604675292969</v>
      </c>
      <c r="AO299"/>
      <c r="AP299"/>
      <c r="AQ299"/>
      <c r="AR299">
        <v>0</v>
      </c>
      <c r="AS299">
        <v>0</v>
      </c>
      <c r="AT299">
        <v>0</v>
      </c>
      <c r="AU299">
        <v>0</v>
      </c>
      <c r="AV299">
        <v>0</v>
      </c>
      <c r="AW299">
        <v>0</v>
      </c>
      <c r="AX299">
        <v>0</v>
      </c>
      <c r="AY299">
        <v>0</v>
      </c>
      <c r="AZ299">
        <v>0</v>
      </c>
      <c r="BA299">
        <v>0</v>
      </c>
      <c r="BB299"/>
      <c r="BC299"/>
      <c r="BD299"/>
      <c r="BE299">
        <v>0</v>
      </c>
      <c r="BF299" t="s">
        <v>1100</v>
      </c>
      <c r="BG299" t="s">
        <v>5</v>
      </c>
      <c r="BH299" t="s">
        <v>1020</v>
      </c>
      <c r="BI299" t="s">
        <v>1020</v>
      </c>
      <c r="BJ299" t="s">
        <v>5</v>
      </c>
      <c r="BK299"/>
      <c r="BL299">
        <v>0</v>
      </c>
      <c r="BM299"/>
      <c r="BN299" t="s">
        <v>5</v>
      </c>
      <c r="BO299"/>
      <c r="BP299"/>
      <c r="BQ299"/>
      <c r="BR299"/>
      <c r="BS299" t="s">
        <v>5</v>
      </c>
      <c r="BT299"/>
      <c r="BU299"/>
      <c r="BV299"/>
      <c r="BW299"/>
      <c r="BX299" t="s">
        <v>6</v>
      </c>
      <c r="BY299" t="s">
        <v>1101</v>
      </c>
      <c r="BZ299"/>
      <c r="CA299"/>
      <c r="CB299" t="s">
        <v>5</v>
      </c>
      <c r="CC299">
        <v>45080.224675808618</v>
      </c>
      <c r="CD299">
        <v>18262767.938815352</v>
      </c>
      <c r="CE299" s="313" t="s">
        <v>11891</v>
      </c>
    </row>
    <row r="300" spans="1:83" ht="15" x14ac:dyDescent="0.25">
      <c r="A300" t="s">
        <v>1481</v>
      </c>
      <c r="B300" t="s">
        <v>1482</v>
      </c>
      <c r="C300" t="s">
        <v>1483</v>
      </c>
      <c r="D300">
        <v>1</v>
      </c>
      <c r="E300" t="s">
        <v>1432</v>
      </c>
      <c r="F300"/>
      <c r="G300"/>
      <c r="H300"/>
      <c r="I300"/>
      <c r="J300"/>
      <c r="K300" t="s">
        <v>1462</v>
      </c>
      <c r="L300">
        <v>34626.1171875</v>
      </c>
      <c r="M300" t="s">
        <v>6</v>
      </c>
      <c r="N300" t="s">
        <v>5</v>
      </c>
      <c r="O300" t="s">
        <v>5</v>
      </c>
      <c r="P300" t="s">
        <v>6</v>
      </c>
      <c r="Q300" t="s">
        <v>5</v>
      </c>
      <c r="R300" t="s">
        <v>1450</v>
      </c>
      <c r="S300" t="s">
        <v>1450</v>
      </c>
      <c r="T300" t="s">
        <v>5</v>
      </c>
      <c r="U300" t="s">
        <v>50</v>
      </c>
      <c r="V300">
        <v>100000</v>
      </c>
      <c r="W300">
        <v>100000</v>
      </c>
      <c r="X300" t="s">
        <v>5</v>
      </c>
      <c r="Y300"/>
      <c r="Z300"/>
      <c r="AA300">
        <v>4305.263671875</v>
      </c>
      <c r="AB300">
        <v>929.55096435546875</v>
      </c>
      <c r="AC300">
        <v>0.2439257204532623</v>
      </c>
      <c r="AD300">
        <v>11544</v>
      </c>
      <c r="AE300">
        <v>12170</v>
      </c>
      <c r="AF300">
        <v>6885</v>
      </c>
      <c r="AG300">
        <v>26657</v>
      </c>
      <c r="AH300">
        <v>20374</v>
      </c>
      <c r="AI300">
        <v>26657</v>
      </c>
      <c r="AJ300">
        <v>160</v>
      </c>
      <c r="AK300">
        <v>803</v>
      </c>
      <c r="AL300">
        <v>2299</v>
      </c>
      <c r="AM300">
        <v>1250</v>
      </c>
      <c r="AN300">
        <v>2425093.5</v>
      </c>
      <c r="AO300"/>
      <c r="AP300"/>
      <c r="AQ300"/>
      <c r="AR300">
        <v>0</v>
      </c>
      <c r="AS300">
        <v>0</v>
      </c>
      <c r="AT300">
        <v>0</v>
      </c>
      <c r="AU300">
        <v>0</v>
      </c>
      <c r="AV300">
        <v>0</v>
      </c>
      <c r="AW300">
        <v>0</v>
      </c>
      <c r="AX300">
        <v>0</v>
      </c>
      <c r="AY300">
        <v>0</v>
      </c>
      <c r="AZ300">
        <v>0</v>
      </c>
      <c r="BA300">
        <v>0</v>
      </c>
      <c r="BB300"/>
      <c r="BC300"/>
      <c r="BD300"/>
      <c r="BE300">
        <v>0</v>
      </c>
      <c r="BF300" t="s">
        <v>1100</v>
      </c>
      <c r="BG300" t="s">
        <v>5</v>
      </c>
      <c r="BH300" t="s">
        <v>1020</v>
      </c>
      <c r="BI300" t="s">
        <v>1020</v>
      </c>
      <c r="BJ300" t="s">
        <v>5</v>
      </c>
      <c r="BK300"/>
      <c r="BL300">
        <v>0</v>
      </c>
      <c r="BM300"/>
      <c r="BN300" t="s">
        <v>5</v>
      </c>
      <c r="BO300"/>
      <c r="BP300"/>
      <c r="BQ300"/>
      <c r="BR300"/>
      <c r="BS300" t="s">
        <v>5</v>
      </c>
      <c r="BT300"/>
      <c r="BU300"/>
      <c r="BV300"/>
      <c r="BW300"/>
      <c r="BX300" t="s">
        <v>6</v>
      </c>
      <c r="BY300" t="s">
        <v>1101</v>
      </c>
      <c r="BZ300"/>
      <c r="CA300"/>
      <c r="CB300" t="s">
        <v>5</v>
      </c>
      <c r="CC300">
        <v>1994348.4832552939</v>
      </c>
      <c r="CD300">
        <v>89681234934.229919</v>
      </c>
      <c r="CE300" s="313" t="s">
        <v>11891</v>
      </c>
    </row>
    <row r="301" spans="1:83" ht="15" x14ac:dyDescent="0.25">
      <c r="A301" t="s">
        <v>1484</v>
      </c>
      <c r="B301" t="s">
        <v>1485</v>
      </c>
      <c r="C301" t="s">
        <v>1486</v>
      </c>
      <c r="D301">
        <v>1</v>
      </c>
      <c r="E301" t="s">
        <v>1432</v>
      </c>
      <c r="F301" t="s">
        <v>1487</v>
      </c>
      <c r="G301" t="s">
        <v>1488</v>
      </c>
      <c r="H301" t="s">
        <v>1489</v>
      </c>
      <c r="I301" t="s">
        <v>1490</v>
      </c>
      <c r="J301" t="s">
        <v>1491</v>
      </c>
      <c r="K301" t="s">
        <v>1468</v>
      </c>
      <c r="L301">
        <v>101.60166168212891</v>
      </c>
      <c r="M301" t="s">
        <v>6</v>
      </c>
      <c r="N301" t="s">
        <v>5</v>
      </c>
      <c r="O301" t="s">
        <v>5</v>
      </c>
      <c r="P301" t="s">
        <v>6</v>
      </c>
      <c r="Q301" t="s">
        <v>5</v>
      </c>
      <c r="R301" t="s">
        <v>1492</v>
      </c>
      <c r="S301" t="s">
        <v>1493</v>
      </c>
      <c r="T301" t="s">
        <v>5</v>
      </c>
      <c r="U301" t="s">
        <v>50</v>
      </c>
      <c r="V301">
        <v>100000</v>
      </c>
      <c r="W301">
        <v>100000</v>
      </c>
      <c r="X301" t="s">
        <v>6</v>
      </c>
      <c r="Y301" t="s">
        <v>1494</v>
      </c>
      <c r="Z301">
        <v>25000</v>
      </c>
      <c r="AA301">
        <v>10.47114181518555</v>
      </c>
      <c r="AB301">
        <v>4.6840405464172363</v>
      </c>
      <c r="AC301">
        <v>1.212299976032227E-4</v>
      </c>
      <c r="AD301">
        <v>1703</v>
      </c>
      <c r="AE301">
        <v>2950</v>
      </c>
      <c r="AF301">
        <v>1382</v>
      </c>
      <c r="AG301">
        <v>8883</v>
      </c>
      <c r="AH301">
        <v>4674</v>
      </c>
      <c r="AI301">
        <v>8883</v>
      </c>
      <c r="AJ301">
        <v>7</v>
      </c>
      <c r="AK301">
        <v>6</v>
      </c>
      <c r="AL301">
        <v>103</v>
      </c>
      <c r="AM301">
        <v>6</v>
      </c>
      <c r="AN301">
        <v>212.75544738769531</v>
      </c>
      <c r="AO301"/>
      <c r="AP301"/>
      <c r="AQ301"/>
      <c r="AR301">
        <v>0</v>
      </c>
      <c r="AS301">
        <v>0</v>
      </c>
      <c r="AT301">
        <v>0</v>
      </c>
      <c r="AU301">
        <v>0</v>
      </c>
      <c r="AV301">
        <v>0</v>
      </c>
      <c r="AW301">
        <v>0</v>
      </c>
      <c r="AX301">
        <v>0</v>
      </c>
      <c r="AY301">
        <v>0</v>
      </c>
      <c r="AZ301">
        <v>0</v>
      </c>
      <c r="BA301">
        <v>0</v>
      </c>
      <c r="BB301"/>
      <c r="BC301"/>
      <c r="BD301"/>
      <c r="BE301">
        <v>0</v>
      </c>
      <c r="BF301" t="s">
        <v>1100</v>
      </c>
      <c r="BG301" t="s">
        <v>5</v>
      </c>
      <c r="BH301" t="s">
        <v>1020</v>
      </c>
      <c r="BI301" t="s">
        <v>1020</v>
      </c>
      <c r="BJ301" t="s">
        <v>5</v>
      </c>
      <c r="BK301"/>
      <c r="BL301">
        <v>0</v>
      </c>
      <c r="BM301"/>
      <c r="BN301" t="s">
        <v>5</v>
      </c>
      <c r="BO301"/>
      <c r="BP301"/>
      <c r="BQ301"/>
      <c r="BR301"/>
      <c r="BS301" t="s">
        <v>5</v>
      </c>
      <c r="BT301"/>
      <c r="BU301"/>
      <c r="BV301"/>
      <c r="BW301"/>
      <c r="BX301" t="s">
        <v>6</v>
      </c>
      <c r="BY301" t="s">
        <v>1101</v>
      </c>
      <c r="BZ301"/>
      <c r="CA301"/>
      <c r="CB301" t="s">
        <v>5</v>
      </c>
      <c r="CC301">
        <v>127320.6125738657</v>
      </c>
      <c r="CD301">
        <v>263147101.58918309</v>
      </c>
      <c r="CE301" s="313" t="s">
        <v>11891</v>
      </c>
    </row>
    <row r="302" spans="1:83" ht="15" x14ac:dyDescent="0.25">
      <c r="A302" t="s">
        <v>1495</v>
      </c>
      <c r="B302" t="s">
        <v>1496</v>
      </c>
      <c r="C302" t="s">
        <v>1497</v>
      </c>
      <c r="D302">
        <v>1</v>
      </c>
      <c r="E302" t="s">
        <v>1432</v>
      </c>
      <c r="F302" t="s">
        <v>1487</v>
      </c>
      <c r="G302" t="s">
        <v>1488</v>
      </c>
      <c r="H302" t="s">
        <v>1489</v>
      </c>
      <c r="I302" t="s">
        <v>1490</v>
      </c>
      <c r="J302" t="s">
        <v>1491</v>
      </c>
      <c r="K302" t="s">
        <v>1468</v>
      </c>
      <c r="L302">
        <v>101.60166168212891</v>
      </c>
      <c r="M302" t="s">
        <v>6</v>
      </c>
      <c r="N302" t="s">
        <v>5</v>
      </c>
      <c r="O302" t="s">
        <v>5</v>
      </c>
      <c r="P302" t="s">
        <v>6</v>
      </c>
      <c r="Q302" t="s">
        <v>5</v>
      </c>
      <c r="R302" t="s">
        <v>1492</v>
      </c>
      <c r="S302" t="s">
        <v>1493</v>
      </c>
      <c r="T302" t="s">
        <v>5</v>
      </c>
      <c r="U302" t="s">
        <v>50</v>
      </c>
      <c r="V302">
        <v>100000</v>
      </c>
      <c r="W302">
        <v>100000</v>
      </c>
      <c r="X302" t="s">
        <v>6</v>
      </c>
      <c r="Y302" t="s">
        <v>1494</v>
      </c>
      <c r="Z302">
        <v>25000</v>
      </c>
      <c r="AA302">
        <v>10.47114181518555</v>
      </c>
      <c r="AB302">
        <v>4.6840405464172363</v>
      </c>
      <c r="AC302">
        <v>1.212299976032227E-4</v>
      </c>
      <c r="AD302">
        <v>1703</v>
      </c>
      <c r="AE302">
        <v>2950</v>
      </c>
      <c r="AF302">
        <v>1382</v>
      </c>
      <c r="AG302">
        <v>8883</v>
      </c>
      <c r="AH302">
        <v>4674</v>
      </c>
      <c r="AI302">
        <v>8883</v>
      </c>
      <c r="AJ302">
        <v>7</v>
      </c>
      <c r="AK302">
        <v>6</v>
      </c>
      <c r="AL302">
        <v>103</v>
      </c>
      <c r="AM302">
        <v>6</v>
      </c>
      <c r="AN302">
        <v>212.75544738769531</v>
      </c>
      <c r="AO302"/>
      <c r="AP302"/>
      <c r="AQ302"/>
      <c r="AR302">
        <v>0</v>
      </c>
      <c r="AS302">
        <v>0</v>
      </c>
      <c r="AT302">
        <v>0</v>
      </c>
      <c r="AU302">
        <v>0</v>
      </c>
      <c r="AV302">
        <v>0</v>
      </c>
      <c r="AW302">
        <v>0</v>
      </c>
      <c r="AX302">
        <v>0</v>
      </c>
      <c r="AY302">
        <v>0</v>
      </c>
      <c r="AZ302">
        <v>0</v>
      </c>
      <c r="BA302">
        <v>0</v>
      </c>
      <c r="BB302"/>
      <c r="BC302"/>
      <c r="BD302"/>
      <c r="BE302">
        <v>0</v>
      </c>
      <c r="BF302" t="s">
        <v>1498</v>
      </c>
      <c r="BG302" t="s">
        <v>5</v>
      </c>
      <c r="BH302" t="s">
        <v>1020</v>
      </c>
      <c r="BI302" t="s">
        <v>1020</v>
      </c>
      <c r="BJ302" t="s">
        <v>5</v>
      </c>
      <c r="BK302"/>
      <c r="BL302">
        <v>0</v>
      </c>
      <c r="BM302"/>
      <c r="BN302" t="s">
        <v>5</v>
      </c>
      <c r="BO302"/>
      <c r="BP302"/>
      <c r="BQ302"/>
      <c r="BR302"/>
      <c r="BS302" t="s">
        <v>5</v>
      </c>
      <c r="BT302"/>
      <c r="BU302"/>
      <c r="BV302"/>
      <c r="BW302"/>
      <c r="BX302" t="s">
        <v>6</v>
      </c>
      <c r="BY302" t="s">
        <v>1101</v>
      </c>
      <c r="BZ302"/>
      <c r="CA302"/>
      <c r="CB302" t="s">
        <v>5</v>
      </c>
      <c r="CC302">
        <v>127320.6125738657</v>
      </c>
      <c r="CD302">
        <v>263147101.58918309</v>
      </c>
      <c r="CE302" s="313" t="s">
        <v>11891</v>
      </c>
    </row>
    <row r="303" spans="1:83" ht="15" x14ac:dyDescent="0.25">
      <c r="A303" t="s">
        <v>1506</v>
      </c>
      <c r="B303" t="s">
        <v>1507</v>
      </c>
      <c r="C303" t="s">
        <v>1508</v>
      </c>
      <c r="D303">
        <v>1</v>
      </c>
      <c r="E303" t="s">
        <v>1432</v>
      </c>
      <c r="F303" t="s">
        <v>1206</v>
      </c>
      <c r="G303" t="s">
        <v>1509</v>
      </c>
      <c r="H303" t="s">
        <v>1510</v>
      </c>
      <c r="I303"/>
      <c r="J303"/>
      <c r="K303" t="s">
        <v>1502</v>
      </c>
      <c r="L303">
        <v>617.2584228515625</v>
      </c>
      <c r="M303" t="s">
        <v>6</v>
      </c>
      <c r="N303" t="s">
        <v>5</v>
      </c>
      <c r="O303" t="s">
        <v>5</v>
      </c>
      <c r="P303" t="s">
        <v>6</v>
      </c>
      <c r="Q303" t="s">
        <v>5</v>
      </c>
      <c r="R303" t="s">
        <v>1511</v>
      </c>
      <c r="S303" t="s">
        <v>1512</v>
      </c>
      <c r="T303" t="s">
        <v>5</v>
      </c>
      <c r="U303" t="s">
        <v>50</v>
      </c>
      <c r="V303">
        <v>100000</v>
      </c>
      <c r="W303">
        <v>100000</v>
      </c>
      <c r="X303" t="s">
        <v>5</v>
      </c>
      <c r="Y303"/>
      <c r="Z303"/>
      <c r="AA303">
        <v>116.1639938354492</v>
      </c>
      <c r="AB303">
        <v>30.190399169921879</v>
      </c>
      <c r="AC303">
        <v>8.3098016679286957E-2</v>
      </c>
      <c r="AD303">
        <v>3986</v>
      </c>
      <c r="AE303">
        <v>5442</v>
      </c>
      <c r="AF303">
        <v>2926</v>
      </c>
      <c r="AG303">
        <v>10515</v>
      </c>
      <c r="AH303">
        <v>7494</v>
      </c>
      <c r="AI303">
        <v>10515</v>
      </c>
      <c r="AJ303">
        <v>72</v>
      </c>
      <c r="AK303">
        <v>174</v>
      </c>
      <c r="AL303">
        <v>193</v>
      </c>
      <c r="AM303">
        <v>267</v>
      </c>
      <c r="AN303">
        <v>49700.4140625</v>
      </c>
      <c r="AO303"/>
      <c r="AP303"/>
      <c r="AQ303"/>
      <c r="AR303">
        <v>0</v>
      </c>
      <c r="AS303">
        <v>0</v>
      </c>
      <c r="AT303">
        <v>0</v>
      </c>
      <c r="AU303">
        <v>0</v>
      </c>
      <c r="AV303">
        <v>0</v>
      </c>
      <c r="AW303">
        <v>0</v>
      </c>
      <c r="AX303">
        <v>0</v>
      </c>
      <c r="AY303">
        <v>0</v>
      </c>
      <c r="AZ303">
        <v>0</v>
      </c>
      <c r="BA303">
        <v>0</v>
      </c>
      <c r="BB303"/>
      <c r="BC303"/>
      <c r="BD303"/>
      <c r="BE303">
        <v>0</v>
      </c>
      <c r="BF303" t="s">
        <v>1100</v>
      </c>
      <c r="BG303" t="s">
        <v>5</v>
      </c>
      <c r="BH303" t="s">
        <v>1020</v>
      </c>
      <c r="BI303" t="s">
        <v>1020</v>
      </c>
      <c r="BJ303" t="s">
        <v>5</v>
      </c>
      <c r="BK303"/>
      <c r="BL303">
        <v>0</v>
      </c>
      <c r="BM303"/>
      <c r="BN303" t="s">
        <v>5</v>
      </c>
      <c r="BO303"/>
      <c r="BP303"/>
      <c r="BQ303"/>
      <c r="BR303"/>
      <c r="BS303" t="s">
        <v>5</v>
      </c>
      <c r="BT303"/>
      <c r="BU303"/>
      <c r="BV303"/>
      <c r="BW303"/>
      <c r="BX303" t="s">
        <v>6</v>
      </c>
      <c r="BY303" t="s">
        <v>1101</v>
      </c>
      <c r="BZ303"/>
      <c r="CA303"/>
      <c r="CB303" t="s">
        <v>5</v>
      </c>
      <c r="CC303">
        <v>184623.6309137721</v>
      </c>
      <c r="CD303">
        <v>1598691992.998626</v>
      </c>
      <c r="CE303" s="313" t="s">
        <v>11891</v>
      </c>
    </row>
    <row r="304" spans="1:83" ht="15" x14ac:dyDescent="0.25">
      <c r="A304" t="s">
        <v>1513</v>
      </c>
      <c r="B304" t="s">
        <v>1514</v>
      </c>
      <c r="C304" t="s">
        <v>1515</v>
      </c>
      <c r="D304">
        <v>2</v>
      </c>
      <c r="E304" t="s">
        <v>1516</v>
      </c>
      <c r="F304" t="s">
        <v>1517</v>
      </c>
      <c r="G304" t="s">
        <v>1518</v>
      </c>
      <c r="H304" t="s">
        <v>4342</v>
      </c>
      <c r="I304" t="s">
        <v>1519</v>
      </c>
      <c r="J304" t="s">
        <v>1520</v>
      </c>
      <c r="K304" t="s">
        <v>1521</v>
      </c>
      <c r="L304">
        <v>2.024528980255127</v>
      </c>
      <c r="M304" t="s">
        <v>6</v>
      </c>
      <c r="N304" t="s">
        <v>5</v>
      </c>
      <c r="O304" t="s">
        <v>5</v>
      </c>
      <c r="P304" t="s">
        <v>5</v>
      </c>
      <c r="Q304" t="s">
        <v>5</v>
      </c>
      <c r="R304" t="s">
        <v>1522</v>
      </c>
      <c r="S304" t="s">
        <v>1523</v>
      </c>
      <c r="T304" t="s">
        <v>5</v>
      </c>
      <c r="U304" t="s">
        <v>50</v>
      </c>
      <c r="V304">
        <v>100000</v>
      </c>
      <c r="W304">
        <v>100000</v>
      </c>
      <c r="X304" t="s">
        <v>5</v>
      </c>
      <c r="Y304"/>
      <c r="Z304"/>
      <c r="AA304">
        <v>0.26830571889877319</v>
      </c>
      <c r="AB304"/>
      <c r="AC304">
        <v>0</v>
      </c>
      <c r="AD304">
        <v>1</v>
      </c>
      <c r="AE304">
        <v>0</v>
      </c>
      <c r="AF304">
        <v>0</v>
      </c>
      <c r="AG304">
        <v>8</v>
      </c>
      <c r="AH304">
        <v>0</v>
      </c>
      <c r="AI304">
        <v>8</v>
      </c>
      <c r="AJ304">
        <v>0</v>
      </c>
      <c r="AK304">
        <v>0</v>
      </c>
      <c r="AL304">
        <v>1</v>
      </c>
      <c r="AM304"/>
      <c r="AN304">
        <v>0.16391254961490631</v>
      </c>
      <c r="AO304"/>
      <c r="AP304"/>
      <c r="AQ304"/>
      <c r="AR304"/>
      <c r="AS304"/>
      <c r="AT304"/>
      <c r="AU304"/>
      <c r="AV304"/>
      <c r="AW304"/>
      <c r="AX304"/>
      <c r="AY304"/>
      <c r="AZ304"/>
      <c r="BA304"/>
      <c r="BB304"/>
      <c r="BC304"/>
      <c r="BD304"/>
      <c r="BE304"/>
      <c r="BF304" t="s">
        <v>1100</v>
      </c>
      <c r="BG304" t="s">
        <v>5</v>
      </c>
      <c r="BH304" t="s">
        <v>1524</v>
      </c>
      <c r="BI304" t="s">
        <v>5</v>
      </c>
      <c r="BJ304" t="s">
        <v>5</v>
      </c>
      <c r="BK304"/>
      <c r="BL304">
        <v>0</v>
      </c>
      <c r="BM304"/>
      <c r="BN304" t="s">
        <v>5</v>
      </c>
      <c r="BO304"/>
      <c r="BP304"/>
      <c r="BQ304"/>
      <c r="BR304"/>
      <c r="BS304" t="s">
        <v>5</v>
      </c>
      <c r="BT304"/>
      <c r="BU304"/>
      <c r="BV304"/>
      <c r="BW304"/>
      <c r="BX304" t="s">
        <v>6</v>
      </c>
      <c r="BY304" t="s">
        <v>1525</v>
      </c>
      <c r="BZ304"/>
      <c r="CA304"/>
      <c r="CB304" t="s">
        <v>5</v>
      </c>
      <c r="CC304">
        <v>10269.549035939641</v>
      </c>
      <c r="CD304">
        <v>5243505.8080846537</v>
      </c>
      <c r="CE304" s="313" t="s">
        <v>11891</v>
      </c>
    </row>
    <row r="305" spans="1:83" ht="15" x14ac:dyDescent="0.25">
      <c r="A305" t="s">
        <v>1526</v>
      </c>
      <c r="B305" t="s">
        <v>1527</v>
      </c>
      <c r="C305" t="s">
        <v>1515</v>
      </c>
      <c r="D305">
        <v>2</v>
      </c>
      <c r="E305" t="s">
        <v>1516</v>
      </c>
      <c r="F305" t="s">
        <v>1528</v>
      </c>
      <c r="G305" t="s">
        <v>1529</v>
      </c>
      <c r="H305" t="s">
        <v>4343</v>
      </c>
      <c r="I305" t="s">
        <v>1530</v>
      </c>
      <c r="J305" t="s">
        <v>1531</v>
      </c>
      <c r="K305" t="s">
        <v>1521</v>
      </c>
      <c r="L305">
        <v>2.1184191703796391</v>
      </c>
      <c r="M305" t="s">
        <v>6</v>
      </c>
      <c r="N305" t="s">
        <v>5</v>
      </c>
      <c r="O305" t="s">
        <v>5</v>
      </c>
      <c r="P305" t="s">
        <v>5</v>
      </c>
      <c r="Q305" t="s">
        <v>5</v>
      </c>
      <c r="R305" t="s">
        <v>1532</v>
      </c>
      <c r="S305" t="s">
        <v>1533</v>
      </c>
      <c r="T305" t="s">
        <v>5</v>
      </c>
      <c r="U305" t="s">
        <v>50</v>
      </c>
      <c r="V305">
        <v>100000</v>
      </c>
      <c r="W305">
        <v>100000</v>
      </c>
      <c r="X305" t="s">
        <v>5</v>
      </c>
      <c r="Y305"/>
      <c r="Z305"/>
      <c r="AA305">
        <v>0.35665223002433782</v>
      </c>
      <c r="AB305">
        <v>2.686608582735062E-2</v>
      </c>
      <c r="AC305">
        <v>0</v>
      </c>
      <c r="AD305">
        <v>13</v>
      </c>
      <c r="AE305">
        <v>4</v>
      </c>
      <c r="AF305">
        <v>11</v>
      </c>
      <c r="AG305">
        <v>10</v>
      </c>
      <c r="AH305">
        <v>31</v>
      </c>
      <c r="AI305">
        <v>33</v>
      </c>
      <c r="AJ305">
        <v>0</v>
      </c>
      <c r="AK305">
        <v>0</v>
      </c>
      <c r="AL305">
        <v>2</v>
      </c>
      <c r="AM305"/>
      <c r="AN305">
        <v>18.392253875732418</v>
      </c>
      <c r="AO305"/>
      <c r="AP305"/>
      <c r="AQ305"/>
      <c r="AR305"/>
      <c r="AS305"/>
      <c r="AT305"/>
      <c r="AU305"/>
      <c r="AV305"/>
      <c r="AW305"/>
      <c r="AX305"/>
      <c r="AY305"/>
      <c r="AZ305"/>
      <c r="BA305"/>
      <c r="BB305"/>
      <c r="BC305"/>
      <c r="BD305"/>
      <c r="BE305"/>
      <c r="BF305" t="s">
        <v>1100</v>
      </c>
      <c r="BG305" t="s">
        <v>5</v>
      </c>
      <c r="BH305" t="s">
        <v>1524</v>
      </c>
      <c r="BI305" t="s">
        <v>5</v>
      </c>
      <c r="BJ305" t="s">
        <v>5</v>
      </c>
      <c r="BK305"/>
      <c r="BL305">
        <v>0</v>
      </c>
      <c r="BM305"/>
      <c r="BN305" t="s">
        <v>5</v>
      </c>
      <c r="BO305"/>
      <c r="BP305"/>
      <c r="BQ305"/>
      <c r="BR305"/>
      <c r="BS305" t="s">
        <v>5</v>
      </c>
      <c r="BT305"/>
      <c r="BU305"/>
      <c r="BV305"/>
      <c r="BW305"/>
      <c r="BX305" t="s">
        <v>6</v>
      </c>
      <c r="BY305" t="s">
        <v>1534</v>
      </c>
      <c r="BZ305"/>
      <c r="CA305"/>
      <c r="CB305" t="s">
        <v>5</v>
      </c>
      <c r="CC305">
        <v>33126.109384158481</v>
      </c>
      <c r="CD305">
        <v>5486680.1562692132</v>
      </c>
      <c r="CE305" s="313" t="s">
        <v>11891</v>
      </c>
    </row>
    <row r="306" spans="1:83" ht="15" x14ac:dyDescent="0.25">
      <c r="A306" t="s">
        <v>1535</v>
      </c>
      <c r="B306" t="s">
        <v>1536</v>
      </c>
      <c r="C306" t="s">
        <v>1515</v>
      </c>
      <c r="D306">
        <v>2</v>
      </c>
      <c r="E306" t="s">
        <v>1516</v>
      </c>
      <c r="F306" t="s">
        <v>1537</v>
      </c>
      <c r="G306" t="s">
        <v>1538</v>
      </c>
      <c r="H306" t="s">
        <v>4344</v>
      </c>
      <c r="I306" t="s">
        <v>1539</v>
      </c>
      <c r="J306" t="s">
        <v>1540</v>
      </c>
      <c r="K306" t="s">
        <v>1521</v>
      </c>
      <c r="L306">
        <v>1.239429831504822</v>
      </c>
      <c r="M306" t="s">
        <v>6</v>
      </c>
      <c r="N306" t="s">
        <v>5</v>
      </c>
      <c r="O306" t="s">
        <v>5</v>
      </c>
      <c r="P306" t="s">
        <v>5</v>
      </c>
      <c r="Q306" t="s">
        <v>5</v>
      </c>
      <c r="R306" t="s">
        <v>1541</v>
      </c>
      <c r="S306" t="s">
        <v>1542</v>
      </c>
      <c r="T306" t="s">
        <v>5</v>
      </c>
      <c r="U306" t="s">
        <v>50</v>
      </c>
      <c r="V306">
        <v>100000</v>
      </c>
      <c r="W306">
        <v>100000</v>
      </c>
      <c r="X306" t="s">
        <v>5</v>
      </c>
      <c r="Y306"/>
      <c r="Z306"/>
      <c r="AA306">
        <v>5.1321733742952347E-2</v>
      </c>
      <c r="AB306"/>
      <c r="AC306">
        <v>0</v>
      </c>
      <c r="AD306">
        <v>6</v>
      </c>
      <c r="AE306">
        <v>0</v>
      </c>
      <c r="AF306">
        <v>4</v>
      </c>
      <c r="AG306">
        <v>4</v>
      </c>
      <c r="AH306">
        <v>9</v>
      </c>
      <c r="AI306">
        <v>11</v>
      </c>
      <c r="AJ306">
        <v>0</v>
      </c>
      <c r="AK306">
        <v>0</v>
      </c>
      <c r="AL306">
        <v>0</v>
      </c>
      <c r="AM306"/>
      <c r="AN306">
        <v>8.2010488510131836</v>
      </c>
      <c r="AO306"/>
      <c r="AP306"/>
      <c r="AQ306"/>
      <c r="AR306"/>
      <c r="AS306"/>
      <c r="AT306"/>
      <c r="AU306"/>
      <c r="AV306"/>
      <c r="AW306"/>
      <c r="AX306"/>
      <c r="AY306"/>
      <c r="AZ306"/>
      <c r="BA306"/>
      <c r="BB306"/>
      <c r="BC306"/>
      <c r="BD306"/>
      <c r="BE306"/>
      <c r="BF306" t="s">
        <v>1100</v>
      </c>
      <c r="BG306" t="s">
        <v>5</v>
      </c>
      <c r="BH306" t="s">
        <v>1524</v>
      </c>
      <c r="BI306" t="s">
        <v>5</v>
      </c>
      <c r="BJ306" t="s">
        <v>5</v>
      </c>
      <c r="BK306"/>
      <c r="BL306">
        <v>0</v>
      </c>
      <c r="BM306"/>
      <c r="BN306" t="s">
        <v>5</v>
      </c>
      <c r="BO306"/>
      <c r="BP306"/>
      <c r="BQ306"/>
      <c r="BR306"/>
      <c r="BS306" t="s">
        <v>5</v>
      </c>
      <c r="BT306"/>
      <c r="BU306"/>
      <c r="BV306"/>
      <c r="BW306"/>
      <c r="BX306" t="s">
        <v>6</v>
      </c>
      <c r="BY306" t="s">
        <v>1534</v>
      </c>
      <c r="BZ306"/>
      <c r="CA306"/>
      <c r="CB306" t="s">
        <v>5</v>
      </c>
      <c r="CC306">
        <v>13627.00984394198</v>
      </c>
      <c r="CD306">
        <v>3210108.4936020728</v>
      </c>
      <c r="CE306" s="313" t="s">
        <v>11891</v>
      </c>
    </row>
    <row r="307" spans="1:83" ht="15" x14ac:dyDescent="0.25">
      <c r="A307" t="s">
        <v>1543</v>
      </c>
      <c r="B307" t="s">
        <v>1544</v>
      </c>
      <c r="C307" t="s">
        <v>1515</v>
      </c>
      <c r="D307">
        <v>2</v>
      </c>
      <c r="E307" t="s">
        <v>1516</v>
      </c>
      <c r="F307" t="s">
        <v>1517</v>
      </c>
      <c r="G307" t="s">
        <v>1545</v>
      </c>
      <c r="H307" t="s">
        <v>1546</v>
      </c>
      <c r="I307" t="s">
        <v>1547</v>
      </c>
      <c r="J307" t="s">
        <v>1548</v>
      </c>
      <c r="K307" t="s">
        <v>1521</v>
      </c>
      <c r="L307">
        <v>0.1740836501121521</v>
      </c>
      <c r="M307" t="s">
        <v>6</v>
      </c>
      <c r="N307" t="s">
        <v>5</v>
      </c>
      <c r="O307" t="s">
        <v>5</v>
      </c>
      <c r="P307" t="s">
        <v>5</v>
      </c>
      <c r="Q307" t="s">
        <v>5</v>
      </c>
      <c r="R307" t="s">
        <v>1549</v>
      </c>
      <c r="S307" t="s">
        <v>1550</v>
      </c>
      <c r="T307" t="s">
        <v>5</v>
      </c>
      <c r="U307" t="s">
        <v>50</v>
      </c>
      <c r="V307">
        <v>100000</v>
      </c>
      <c r="W307">
        <v>100000</v>
      </c>
      <c r="X307" t="s">
        <v>5</v>
      </c>
      <c r="Y307"/>
      <c r="Z307"/>
      <c r="AA307">
        <v>1.138827949762344E-2</v>
      </c>
      <c r="AB307"/>
      <c r="AC307">
        <v>0</v>
      </c>
      <c r="AD307">
        <v>0</v>
      </c>
      <c r="AE307">
        <v>0</v>
      </c>
      <c r="AF307">
        <v>0</v>
      </c>
      <c r="AG307">
        <v>0</v>
      </c>
      <c r="AH307">
        <v>0</v>
      </c>
      <c r="AI307">
        <v>0</v>
      </c>
      <c r="AJ307">
        <v>0</v>
      </c>
      <c r="AK307">
        <v>0</v>
      </c>
      <c r="AL307">
        <v>1</v>
      </c>
      <c r="AM307"/>
      <c r="AN307">
        <v>0</v>
      </c>
      <c r="AO307"/>
      <c r="AP307"/>
      <c r="AQ307"/>
      <c r="AR307"/>
      <c r="AS307"/>
      <c r="AT307"/>
      <c r="AU307"/>
      <c r="AV307"/>
      <c r="AW307"/>
      <c r="AX307"/>
      <c r="AY307"/>
      <c r="AZ307"/>
      <c r="BA307"/>
      <c r="BB307"/>
      <c r="BC307"/>
      <c r="BD307"/>
      <c r="BE307"/>
      <c r="BF307" t="s">
        <v>1100</v>
      </c>
      <c r="BG307" t="s">
        <v>5</v>
      </c>
      <c r="BH307" t="s">
        <v>1524</v>
      </c>
      <c r="BI307" t="s">
        <v>5</v>
      </c>
      <c r="BJ307" t="s">
        <v>5</v>
      </c>
      <c r="BK307"/>
      <c r="BL307">
        <v>0</v>
      </c>
      <c r="BM307"/>
      <c r="BN307" t="s">
        <v>5</v>
      </c>
      <c r="BO307"/>
      <c r="BP307"/>
      <c r="BQ307"/>
      <c r="BR307"/>
      <c r="BS307" t="s">
        <v>5</v>
      </c>
      <c r="BT307"/>
      <c r="BU307"/>
      <c r="BV307"/>
      <c r="BW307"/>
      <c r="BX307" t="s">
        <v>6</v>
      </c>
      <c r="BY307" t="s">
        <v>1534</v>
      </c>
      <c r="BZ307"/>
      <c r="CA307"/>
      <c r="CB307" t="s">
        <v>5</v>
      </c>
      <c r="CC307">
        <v>37611.163546747659</v>
      </c>
      <c r="CD307">
        <v>450874.57157287392</v>
      </c>
      <c r="CE307" s="313" t="s">
        <v>11891</v>
      </c>
    </row>
    <row r="308" spans="1:83" ht="15" x14ac:dyDescent="0.25">
      <c r="A308" t="s">
        <v>1551</v>
      </c>
      <c r="B308" t="s">
        <v>1552</v>
      </c>
      <c r="C308" t="s">
        <v>1515</v>
      </c>
      <c r="D308">
        <v>2</v>
      </c>
      <c r="E308" t="s">
        <v>1516</v>
      </c>
      <c r="F308" t="s">
        <v>1517</v>
      </c>
      <c r="G308" t="s">
        <v>1545</v>
      </c>
      <c r="H308" t="s">
        <v>1553</v>
      </c>
      <c r="I308" t="s">
        <v>1554</v>
      </c>
      <c r="J308" t="s">
        <v>1555</v>
      </c>
      <c r="K308" t="s">
        <v>1521</v>
      </c>
      <c r="L308">
        <v>3.990863561630249</v>
      </c>
      <c r="M308" t="s">
        <v>6</v>
      </c>
      <c r="N308" t="s">
        <v>5</v>
      </c>
      <c r="O308" t="s">
        <v>5</v>
      </c>
      <c r="P308" t="s">
        <v>5</v>
      </c>
      <c r="Q308" t="s">
        <v>5</v>
      </c>
      <c r="R308" t="s">
        <v>1556</v>
      </c>
      <c r="S308" t="s">
        <v>1557</v>
      </c>
      <c r="T308" t="s">
        <v>5</v>
      </c>
      <c r="U308" t="s">
        <v>50</v>
      </c>
      <c r="V308">
        <v>100000</v>
      </c>
      <c r="W308">
        <v>100000</v>
      </c>
      <c r="X308" t="s">
        <v>5</v>
      </c>
      <c r="Y308"/>
      <c r="Z308"/>
      <c r="AA308">
        <v>0.65545356273651123</v>
      </c>
      <c r="AB308">
        <v>3.2175879459828138E-3</v>
      </c>
      <c r="AC308">
        <v>0</v>
      </c>
      <c r="AD308">
        <v>1</v>
      </c>
      <c r="AE308">
        <v>0</v>
      </c>
      <c r="AF308">
        <v>0</v>
      </c>
      <c r="AG308">
        <v>1</v>
      </c>
      <c r="AH308">
        <v>2</v>
      </c>
      <c r="AI308">
        <v>2</v>
      </c>
      <c r="AJ308">
        <v>0</v>
      </c>
      <c r="AK308">
        <v>0</v>
      </c>
      <c r="AL308">
        <v>1</v>
      </c>
      <c r="AM308"/>
      <c r="AN308">
        <v>5.1777949333190918</v>
      </c>
      <c r="AO308"/>
      <c r="AP308"/>
      <c r="AQ308"/>
      <c r="AR308"/>
      <c r="AS308"/>
      <c r="AT308"/>
      <c r="AU308"/>
      <c r="AV308"/>
      <c r="AW308"/>
      <c r="AX308"/>
      <c r="AY308"/>
      <c r="AZ308"/>
      <c r="BA308"/>
      <c r="BB308"/>
      <c r="BC308"/>
      <c r="BD308"/>
      <c r="BE308"/>
      <c r="BF308" t="s">
        <v>1100</v>
      </c>
      <c r="BG308" t="s">
        <v>5</v>
      </c>
      <c r="BH308" t="s">
        <v>1524</v>
      </c>
      <c r="BI308" t="s">
        <v>5</v>
      </c>
      <c r="BJ308" t="s">
        <v>5</v>
      </c>
      <c r="BK308"/>
      <c r="BL308">
        <v>0</v>
      </c>
      <c r="BM308"/>
      <c r="BN308" t="s">
        <v>5</v>
      </c>
      <c r="BO308"/>
      <c r="BP308"/>
      <c r="BQ308"/>
      <c r="BR308"/>
      <c r="BS308" t="s">
        <v>5</v>
      </c>
      <c r="BT308"/>
      <c r="BU308"/>
      <c r="BV308"/>
      <c r="BW308"/>
      <c r="BX308" t="s">
        <v>6</v>
      </c>
      <c r="BY308" t="s">
        <v>1534</v>
      </c>
      <c r="BZ308"/>
      <c r="CA308"/>
      <c r="CB308" t="s">
        <v>5</v>
      </c>
      <c r="CC308">
        <v>12860.056315956799</v>
      </c>
      <c r="CD308">
        <v>10336289.310822541</v>
      </c>
      <c r="CE308" s="313" t="s">
        <v>11891</v>
      </c>
    </row>
    <row r="309" spans="1:83" ht="15" x14ac:dyDescent="0.25">
      <c r="A309" t="s">
        <v>1558</v>
      </c>
      <c r="B309" t="s">
        <v>1559</v>
      </c>
      <c r="C309" t="s">
        <v>1515</v>
      </c>
      <c r="D309">
        <v>2</v>
      </c>
      <c r="E309" t="s">
        <v>1516</v>
      </c>
      <c r="F309" t="s">
        <v>1517</v>
      </c>
      <c r="G309" t="s">
        <v>1560</v>
      </c>
      <c r="H309" t="s">
        <v>1561</v>
      </c>
      <c r="I309" t="s">
        <v>1562</v>
      </c>
      <c r="J309" t="s">
        <v>1563</v>
      </c>
      <c r="K309" t="s">
        <v>1521</v>
      </c>
      <c r="L309">
        <v>0.60560512542724609</v>
      </c>
      <c r="M309" t="s">
        <v>6</v>
      </c>
      <c r="N309" t="s">
        <v>5</v>
      </c>
      <c r="O309" t="s">
        <v>5</v>
      </c>
      <c r="P309" t="s">
        <v>5</v>
      </c>
      <c r="Q309" t="s">
        <v>5</v>
      </c>
      <c r="R309" t="s">
        <v>1564</v>
      </c>
      <c r="S309" t="s">
        <v>1565</v>
      </c>
      <c r="T309" t="s">
        <v>5</v>
      </c>
      <c r="U309" t="s">
        <v>50</v>
      </c>
      <c r="V309">
        <v>100000</v>
      </c>
      <c r="W309">
        <v>100000</v>
      </c>
      <c r="X309" t="s">
        <v>5</v>
      </c>
      <c r="Y309"/>
      <c r="Z309"/>
      <c r="AA309">
        <v>4.0629372000694268E-2</v>
      </c>
      <c r="AB309"/>
      <c r="AC309">
        <v>0</v>
      </c>
      <c r="AD309">
        <v>1</v>
      </c>
      <c r="AE309">
        <v>0</v>
      </c>
      <c r="AF309">
        <v>1</v>
      </c>
      <c r="AG309">
        <v>0</v>
      </c>
      <c r="AH309">
        <v>0</v>
      </c>
      <c r="AI309">
        <v>0</v>
      </c>
      <c r="AJ309">
        <v>0</v>
      </c>
      <c r="AK309">
        <v>0</v>
      </c>
      <c r="AL309">
        <v>0</v>
      </c>
      <c r="AM309"/>
      <c r="AN309">
        <v>0.30389770865440369</v>
      </c>
      <c r="AO309"/>
      <c r="AP309"/>
      <c r="AQ309"/>
      <c r="AR309"/>
      <c r="AS309"/>
      <c r="AT309"/>
      <c r="AU309"/>
      <c r="AV309"/>
      <c r="AW309"/>
      <c r="AX309"/>
      <c r="AY309"/>
      <c r="AZ309"/>
      <c r="BA309"/>
      <c r="BB309"/>
      <c r="BC309"/>
      <c r="BD309"/>
      <c r="BE309"/>
      <c r="BF309" t="s">
        <v>1100</v>
      </c>
      <c r="BG309" t="s">
        <v>5</v>
      </c>
      <c r="BH309" t="s">
        <v>1524</v>
      </c>
      <c r="BI309" t="s">
        <v>5</v>
      </c>
      <c r="BJ309" t="s">
        <v>5</v>
      </c>
      <c r="BK309"/>
      <c r="BL309">
        <v>0</v>
      </c>
      <c r="BM309"/>
      <c r="BN309" t="s">
        <v>5</v>
      </c>
      <c r="BO309"/>
      <c r="BP309"/>
      <c r="BQ309"/>
      <c r="BR309"/>
      <c r="BS309" t="s">
        <v>5</v>
      </c>
      <c r="BT309"/>
      <c r="BU309"/>
      <c r="BV309"/>
      <c r="BW309"/>
      <c r="BX309" t="s">
        <v>6</v>
      </c>
      <c r="BY309" t="s">
        <v>1534</v>
      </c>
      <c r="BZ309"/>
      <c r="CA309"/>
      <c r="CB309" t="s">
        <v>5</v>
      </c>
      <c r="CC309">
        <v>5169.6357318587397</v>
      </c>
      <c r="CD309">
        <v>1568510.0539804271</v>
      </c>
      <c r="CE309" s="313" t="s">
        <v>11891</v>
      </c>
    </row>
    <row r="310" spans="1:83" ht="15" x14ac:dyDescent="0.25">
      <c r="A310" t="s">
        <v>1566</v>
      </c>
      <c r="B310" t="s">
        <v>1567</v>
      </c>
      <c r="C310" t="s">
        <v>1515</v>
      </c>
      <c r="D310">
        <v>2</v>
      </c>
      <c r="E310" t="s">
        <v>1516</v>
      </c>
      <c r="F310" t="s">
        <v>1528</v>
      </c>
      <c r="G310" t="s">
        <v>1568</v>
      </c>
      <c r="H310" t="s">
        <v>4345</v>
      </c>
      <c r="I310" t="s">
        <v>1569</v>
      </c>
      <c r="J310" t="s">
        <v>1570</v>
      </c>
      <c r="K310" t="s">
        <v>1521</v>
      </c>
      <c r="L310">
        <v>45.871814727783203</v>
      </c>
      <c r="M310" t="s">
        <v>6</v>
      </c>
      <c r="N310" t="s">
        <v>5</v>
      </c>
      <c r="O310" t="s">
        <v>5</v>
      </c>
      <c r="P310" t="s">
        <v>5</v>
      </c>
      <c r="Q310" t="s">
        <v>5</v>
      </c>
      <c r="R310" t="s">
        <v>1571</v>
      </c>
      <c r="S310" t="s">
        <v>1572</v>
      </c>
      <c r="T310" t="s">
        <v>5</v>
      </c>
      <c r="U310" t="s">
        <v>50</v>
      </c>
      <c r="V310">
        <v>100000</v>
      </c>
      <c r="W310">
        <v>100000</v>
      </c>
      <c r="X310" t="s">
        <v>5</v>
      </c>
      <c r="Y310"/>
      <c r="Z310"/>
      <c r="AA310">
        <v>5.9408011436462402</v>
      </c>
      <c r="AB310">
        <v>0.64445430040359497</v>
      </c>
      <c r="AC310">
        <v>0</v>
      </c>
      <c r="AD310">
        <v>772</v>
      </c>
      <c r="AE310">
        <v>123</v>
      </c>
      <c r="AF310">
        <v>553</v>
      </c>
      <c r="AG310">
        <v>5189</v>
      </c>
      <c r="AH310">
        <v>2670</v>
      </c>
      <c r="AI310">
        <v>7004</v>
      </c>
      <c r="AJ310">
        <v>5</v>
      </c>
      <c r="AK310">
        <v>2</v>
      </c>
      <c r="AL310">
        <v>39</v>
      </c>
      <c r="AM310"/>
      <c r="AN310">
        <v>380.56082153320313</v>
      </c>
      <c r="AO310"/>
      <c r="AP310"/>
      <c r="AQ310"/>
      <c r="AR310"/>
      <c r="AS310"/>
      <c r="AT310"/>
      <c r="AU310"/>
      <c r="AV310"/>
      <c r="AW310"/>
      <c r="AX310"/>
      <c r="AY310"/>
      <c r="AZ310"/>
      <c r="BA310"/>
      <c r="BB310"/>
      <c r="BC310"/>
      <c r="BD310"/>
      <c r="BE310"/>
      <c r="BF310" t="s">
        <v>1100</v>
      </c>
      <c r="BG310" t="s">
        <v>5</v>
      </c>
      <c r="BH310" t="s">
        <v>1524</v>
      </c>
      <c r="BI310" t="s">
        <v>5</v>
      </c>
      <c r="BJ310" t="s">
        <v>5</v>
      </c>
      <c r="BK310"/>
      <c r="BL310">
        <v>0</v>
      </c>
      <c r="BM310"/>
      <c r="BN310" t="s">
        <v>5</v>
      </c>
      <c r="BO310"/>
      <c r="BP310"/>
      <c r="BQ310"/>
      <c r="BR310"/>
      <c r="BS310" t="s">
        <v>5</v>
      </c>
      <c r="BT310"/>
      <c r="BU310"/>
      <c r="BV310"/>
      <c r="BW310"/>
      <c r="BX310" t="s">
        <v>6</v>
      </c>
      <c r="BY310" t="s">
        <v>1534</v>
      </c>
      <c r="BZ310"/>
      <c r="CA310"/>
      <c r="CB310" t="s">
        <v>5</v>
      </c>
      <c r="CC310">
        <v>153508.04323295271</v>
      </c>
      <c r="CD310">
        <v>118807455.9607856</v>
      </c>
      <c r="CE310" s="313" t="s">
        <v>11891</v>
      </c>
    </row>
    <row r="311" spans="1:83" ht="15" x14ac:dyDescent="0.25">
      <c r="A311" t="s">
        <v>1573</v>
      </c>
      <c r="B311" t="s">
        <v>1574</v>
      </c>
      <c r="C311" t="s">
        <v>1515</v>
      </c>
      <c r="D311">
        <v>2</v>
      </c>
      <c r="E311" t="s">
        <v>1516</v>
      </c>
      <c r="F311" t="s">
        <v>1575</v>
      </c>
      <c r="G311" t="s">
        <v>1538</v>
      </c>
      <c r="H311" t="s">
        <v>1576</v>
      </c>
      <c r="I311" t="s">
        <v>1577</v>
      </c>
      <c r="J311" t="s">
        <v>1578</v>
      </c>
      <c r="K311" t="s">
        <v>1521</v>
      </c>
      <c r="L311">
        <v>1.1210037469863889</v>
      </c>
      <c r="M311" t="s">
        <v>6</v>
      </c>
      <c r="N311" t="s">
        <v>5</v>
      </c>
      <c r="O311" t="s">
        <v>5</v>
      </c>
      <c r="P311" t="s">
        <v>5</v>
      </c>
      <c r="Q311" t="s">
        <v>5</v>
      </c>
      <c r="R311" t="s">
        <v>1579</v>
      </c>
      <c r="S311" t="s">
        <v>1580</v>
      </c>
      <c r="T311" t="s">
        <v>5</v>
      </c>
      <c r="U311" t="s">
        <v>50</v>
      </c>
      <c r="V311">
        <v>100000</v>
      </c>
      <c r="W311">
        <v>100000</v>
      </c>
      <c r="X311" t="s">
        <v>5</v>
      </c>
      <c r="Y311"/>
      <c r="Z311"/>
      <c r="AA311">
        <v>3.8821130990982063E-2</v>
      </c>
      <c r="AB311"/>
      <c r="AC311">
        <v>0</v>
      </c>
      <c r="AD311">
        <v>9</v>
      </c>
      <c r="AE311">
        <v>0</v>
      </c>
      <c r="AF311">
        <v>8</v>
      </c>
      <c r="AG311">
        <v>7</v>
      </c>
      <c r="AH311">
        <v>16</v>
      </c>
      <c r="AI311">
        <v>16</v>
      </c>
      <c r="AJ311">
        <v>0</v>
      </c>
      <c r="AK311">
        <v>0</v>
      </c>
      <c r="AL311">
        <v>0</v>
      </c>
      <c r="AM311"/>
      <c r="AN311">
        <v>6.586967408657074E-2</v>
      </c>
      <c r="AO311"/>
      <c r="AP311"/>
      <c r="AQ311"/>
      <c r="AR311"/>
      <c r="AS311"/>
      <c r="AT311"/>
      <c r="AU311"/>
      <c r="AV311"/>
      <c r="AW311"/>
      <c r="AX311"/>
      <c r="AY311"/>
      <c r="AZ311"/>
      <c r="BA311"/>
      <c r="BB311"/>
      <c r="BC311"/>
      <c r="BD311"/>
      <c r="BE311"/>
      <c r="BF311" t="s">
        <v>1100</v>
      </c>
      <c r="BG311" t="s">
        <v>5</v>
      </c>
      <c r="BH311" t="s">
        <v>1524</v>
      </c>
      <c r="BI311" t="s">
        <v>5</v>
      </c>
      <c r="BJ311" t="s">
        <v>5</v>
      </c>
      <c r="BK311"/>
      <c r="BL311">
        <v>0</v>
      </c>
      <c r="BM311"/>
      <c r="BN311" t="s">
        <v>5</v>
      </c>
      <c r="BO311"/>
      <c r="BP311"/>
      <c r="BQ311"/>
      <c r="BR311"/>
      <c r="BS311" t="s">
        <v>5</v>
      </c>
      <c r="BT311"/>
      <c r="BU311"/>
      <c r="BV311"/>
      <c r="BW311"/>
      <c r="BX311" t="s">
        <v>6</v>
      </c>
      <c r="BY311" t="s">
        <v>1534</v>
      </c>
      <c r="BZ311"/>
      <c r="CA311"/>
      <c r="CB311" t="s">
        <v>5</v>
      </c>
      <c r="CC311">
        <v>11558.38226322698</v>
      </c>
      <c r="CD311">
        <v>2903386.308314831</v>
      </c>
      <c r="CE311" s="313" t="s">
        <v>11891</v>
      </c>
    </row>
    <row r="312" spans="1:83" ht="15" x14ac:dyDescent="0.25">
      <c r="A312" t="s">
        <v>1581</v>
      </c>
      <c r="B312" t="s">
        <v>1582</v>
      </c>
      <c r="C312" t="s">
        <v>1515</v>
      </c>
      <c r="D312">
        <v>2</v>
      </c>
      <c r="E312" t="s">
        <v>1516</v>
      </c>
      <c r="F312" t="s">
        <v>1583</v>
      </c>
      <c r="G312" t="s">
        <v>1584</v>
      </c>
      <c r="H312" t="s">
        <v>4346</v>
      </c>
      <c r="I312" t="s">
        <v>1585</v>
      </c>
      <c r="J312" t="s">
        <v>1585</v>
      </c>
      <c r="K312" t="s">
        <v>1521</v>
      </c>
      <c r="L312">
        <v>920.1021728515625</v>
      </c>
      <c r="M312" t="s">
        <v>6</v>
      </c>
      <c r="N312" t="s">
        <v>5</v>
      </c>
      <c r="O312" t="s">
        <v>5</v>
      </c>
      <c r="P312" t="s">
        <v>5</v>
      </c>
      <c r="Q312" t="s">
        <v>5</v>
      </c>
      <c r="R312" t="s">
        <v>1586</v>
      </c>
      <c r="S312" t="s">
        <v>1587</v>
      </c>
      <c r="T312" t="s">
        <v>5</v>
      </c>
      <c r="U312" t="s">
        <v>50</v>
      </c>
      <c r="V312">
        <v>100000</v>
      </c>
      <c r="W312">
        <v>100000</v>
      </c>
      <c r="X312" t="s">
        <v>5</v>
      </c>
      <c r="Y312"/>
      <c r="Z312"/>
      <c r="AA312">
        <v>398.35879516601563</v>
      </c>
      <c r="AB312">
        <v>8.5307321548461914</v>
      </c>
      <c r="AC312">
        <v>0</v>
      </c>
      <c r="AD312">
        <v>2657</v>
      </c>
      <c r="AE312">
        <v>398</v>
      </c>
      <c r="AF312">
        <v>1546</v>
      </c>
      <c r="AG312">
        <v>6678</v>
      </c>
      <c r="AH312">
        <v>4529</v>
      </c>
      <c r="AI312">
        <v>9746</v>
      </c>
      <c r="AJ312">
        <v>19</v>
      </c>
      <c r="AK312">
        <v>7</v>
      </c>
      <c r="AL312">
        <v>314</v>
      </c>
      <c r="AM312"/>
      <c r="AN312">
        <v>30919.158203125</v>
      </c>
      <c r="AO312"/>
      <c r="AP312"/>
      <c r="AQ312"/>
      <c r="AR312"/>
      <c r="AS312"/>
      <c r="AT312"/>
      <c r="AU312"/>
      <c r="AV312"/>
      <c r="AW312"/>
      <c r="AX312"/>
      <c r="AY312"/>
      <c r="AZ312"/>
      <c r="BA312"/>
      <c r="BB312"/>
      <c r="BC312"/>
      <c r="BD312"/>
      <c r="BE312"/>
      <c r="BF312" t="s">
        <v>1100</v>
      </c>
      <c r="BG312" t="s">
        <v>5</v>
      </c>
      <c r="BH312" t="s">
        <v>1524</v>
      </c>
      <c r="BI312" t="s">
        <v>5</v>
      </c>
      <c r="BJ312" t="s">
        <v>5</v>
      </c>
      <c r="BK312"/>
      <c r="BL312">
        <v>0</v>
      </c>
      <c r="BM312"/>
      <c r="BN312" t="s">
        <v>5</v>
      </c>
      <c r="BO312"/>
      <c r="BP312"/>
      <c r="BQ312"/>
      <c r="BR312"/>
      <c r="BS312" t="s">
        <v>5</v>
      </c>
      <c r="BT312"/>
      <c r="BU312"/>
      <c r="BV312"/>
      <c r="BW312"/>
      <c r="BX312" t="s">
        <v>6</v>
      </c>
      <c r="BY312" t="s">
        <v>1534</v>
      </c>
      <c r="BZ312"/>
      <c r="CA312"/>
      <c r="CB312" t="s">
        <v>5</v>
      </c>
      <c r="CC312">
        <v>413280.05021191062</v>
      </c>
      <c r="CD312">
        <v>2383053623.4607191</v>
      </c>
      <c r="CE312" s="313" t="s">
        <v>11891</v>
      </c>
    </row>
    <row r="313" spans="1:83" ht="15" x14ac:dyDescent="0.25">
      <c r="A313" t="s">
        <v>1588</v>
      </c>
      <c r="B313" t="s">
        <v>1589</v>
      </c>
      <c r="C313" t="s">
        <v>1515</v>
      </c>
      <c r="D313">
        <v>2</v>
      </c>
      <c r="E313" t="s">
        <v>1516</v>
      </c>
      <c r="F313" t="s">
        <v>1590</v>
      </c>
      <c r="G313" t="s">
        <v>1591</v>
      </c>
      <c r="H313" t="s">
        <v>4347</v>
      </c>
      <c r="I313" t="s">
        <v>1592</v>
      </c>
      <c r="J313" t="s">
        <v>1593</v>
      </c>
      <c r="K313" t="s">
        <v>1521</v>
      </c>
      <c r="L313">
        <v>202.65606689453119</v>
      </c>
      <c r="M313" t="s">
        <v>6</v>
      </c>
      <c r="N313" t="s">
        <v>5</v>
      </c>
      <c r="O313" t="s">
        <v>5</v>
      </c>
      <c r="P313" t="s">
        <v>5</v>
      </c>
      <c r="Q313" t="s">
        <v>5</v>
      </c>
      <c r="R313" t="s">
        <v>1594</v>
      </c>
      <c r="S313" t="s">
        <v>1595</v>
      </c>
      <c r="T313" t="s">
        <v>5</v>
      </c>
      <c r="U313" t="s">
        <v>50</v>
      </c>
      <c r="V313">
        <v>100000</v>
      </c>
      <c r="W313">
        <v>100000</v>
      </c>
      <c r="X313" t="s">
        <v>5</v>
      </c>
      <c r="Y313"/>
      <c r="Z313"/>
      <c r="AA313">
        <v>53.401851654052727</v>
      </c>
      <c r="AB313">
        <v>2.5066332817077641</v>
      </c>
      <c r="AC313">
        <v>0</v>
      </c>
      <c r="AD313">
        <v>256</v>
      </c>
      <c r="AE313">
        <v>20</v>
      </c>
      <c r="AF313">
        <v>124</v>
      </c>
      <c r="AG313">
        <v>429</v>
      </c>
      <c r="AH313">
        <v>301</v>
      </c>
      <c r="AI313">
        <v>619</v>
      </c>
      <c r="AJ313">
        <v>4</v>
      </c>
      <c r="AK313">
        <v>1</v>
      </c>
      <c r="AL313">
        <v>30</v>
      </c>
      <c r="AM313"/>
      <c r="AN313">
        <v>359.04638671875</v>
      </c>
      <c r="AO313"/>
      <c r="AP313"/>
      <c r="AQ313"/>
      <c r="AR313"/>
      <c r="AS313"/>
      <c r="AT313"/>
      <c r="AU313"/>
      <c r="AV313"/>
      <c r="AW313"/>
      <c r="AX313"/>
      <c r="AY313"/>
      <c r="AZ313"/>
      <c r="BA313"/>
      <c r="BB313"/>
      <c r="BC313"/>
      <c r="BD313"/>
      <c r="BE313"/>
      <c r="BF313" t="s">
        <v>1100</v>
      </c>
      <c r="BG313" t="s">
        <v>5</v>
      </c>
      <c r="BH313" t="s">
        <v>1524</v>
      </c>
      <c r="BI313" t="s">
        <v>5</v>
      </c>
      <c r="BJ313" t="s">
        <v>5</v>
      </c>
      <c r="BK313"/>
      <c r="BL313">
        <v>0</v>
      </c>
      <c r="BM313"/>
      <c r="BN313" t="s">
        <v>5</v>
      </c>
      <c r="BO313"/>
      <c r="BP313"/>
      <c r="BQ313"/>
      <c r="BR313"/>
      <c r="BS313" t="s">
        <v>5</v>
      </c>
      <c r="BT313"/>
      <c r="BU313"/>
      <c r="BV313"/>
      <c r="BW313"/>
      <c r="BX313" t="s">
        <v>6</v>
      </c>
      <c r="BY313" t="s">
        <v>1534</v>
      </c>
      <c r="BZ313"/>
      <c r="CA313"/>
      <c r="CB313" t="s">
        <v>5</v>
      </c>
      <c r="CC313">
        <v>141411.3880142908</v>
      </c>
      <c r="CD313">
        <v>524876820.95659149</v>
      </c>
      <c r="CE313" s="313" t="s">
        <v>11891</v>
      </c>
    </row>
    <row r="314" spans="1:83" ht="15" x14ac:dyDescent="0.25">
      <c r="A314" t="s">
        <v>1596</v>
      </c>
      <c r="B314" t="s">
        <v>1597</v>
      </c>
      <c r="C314" t="s">
        <v>1515</v>
      </c>
      <c r="D314">
        <v>2</v>
      </c>
      <c r="E314" t="s">
        <v>1516</v>
      </c>
      <c r="F314" t="s">
        <v>1517</v>
      </c>
      <c r="G314" t="s">
        <v>1598</v>
      </c>
      <c r="H314" t="s">
        <v>4348</v>
      </c>
      <c r="I314" t="s">
        <v>1585</v>
      </c>
      <c r="J314" t="s">
        <v>1585</v>
      </c>
      <c r="K314" t="s">
        <v>1521</v>
      </c>
      <c r="L314">
        <v>956.77435302734375</v>
      </c>
      <c r="M314" t="s">
        <v>6</v>
      </c>
      <c r="N314" t="s">
        <v>5</v>
      </c>
      <c r="O314" t="s">
        <v>5</v>
      </c>
      <c r="P314" t="s">
        <v>5</v>
      </c>
      <c r="Q314" t="s">
        <v>5</v>
      </c>
      <c r="R314" t="s">
        <v>1599</v>
      </c>
      <c r="S314" t="s">
        <v>1600</v>
      </c>
      <c r="T314" t="s">
        <v>5</v>
      </c>
      <c r="U314" t="s">
        <v>50</v>
      </c>
      <c r="V314">
        <v>100000</v>
      </c>
      <c r="W314">
        <v>100000</v>
      </c>
      <c r="X314" t="s">
        <v>5</v>
      </c>
      <c r="Y314"/>
      <c r="Z314"/>
      <c r="AA314">
        <v>274.94476318359381</v>
      </c>
      <c r="AB314">
        <v>1.1062275171279909</v>
      </c>
      <c r="AC314">
        <v>0</v>
      </c>
      <c r="AD314">
        <v>574</v>
      </c>
      <c r="AE314">
        <v>10</v>
      </c>
      <c r="AF314">
        <v>303</v>
      </c>
      <c r="AG314">
        <v>1595</v>
      </c>
      <c r="AH314">
        <v>918</v>
      </c>
      <c r="AI314">
        <v>2148</v>
      </c>
      <c r="AJ314">
        <v>12</v>
      </c>
      <c r="AK314">
        <v>7</v>
      </c>
      <c r="AL314">
        <v>160</v>
      </c>
      <c r="AM314"/>
      <c r="AN314">
        <v>858.66632080078125</v>
      </c>
      <c r="AO314"/>
      <c r="AP314"/>
      <c r="AQ314"/>
      <c r="AR314"/>
      <c r="AS314"/>
      <c r="AT314"/>
      <c r="AU314"/>
      <c r="AV314"/>
      <c r="AW314"/>
      <c r="AX314"/>
      <c r="AY314"/>
      <c r="AZ314"/>
      <c r="BA314"/>
      <c r="BB314"/>
      <c r="BC314"/>
      <c r="BD314"/>
      <c r="BE314"/>
      <c r="BF314" t="s">
        <v>1100</v>
      </c>
      <c r="BG314" t="s">
        <v>5</v>
      </c>
      <c r="BH314" t="s">
        <v>1524</v>
      </c>
      <c r="BI314" t="s">
        <v>5</v>
      </c>
      <c r="BJ314" t="s">
        <v>5</v>
      </c>
      <c r="BK314"/>
      <c r="BL314">
        <v>0</v>
      </c>
      <c r="BM314"/>
      <c r="BN314" t="s">
        <v>5</v>
      </c>
      <c r="BO314"/>
      <c r="BP314"/>
      <c r="BQ314"/>
      <c r="BR314"/>
      <c r="BS314" t="s">
        <v>5</v>
      </c>
      <c r="BT314"/>
      <c r="BU314"/>
      <c r="BV314"/>
      <c r="BW314"/>
      <c r="BX314" t="s">
        <v>6</v>
      </c>
      <c r="BY314" t="s">
        <v>1534</v>
      </c>
      <c r="BZ314"/>
      <c r="CA314"/>
      <c r="CB314" t="s">
        <v>5</v>
      </c>
      <c r="CC314">
        <v>277666.85154190671</v>
      </c>
      <c r="CD314">
        <v>2478034225.717247</v>
      </c>
      <c r="CE314" s="313" t="s">
        <v>11891</v>
      </c>
    </row>
    <row r="315" spans="1:83" ht="15" x14ac:dyDescent="0.25">
      <c r="A315" t="s">
        <v>1601</v>
      </c>
      <c r="B315" t="s">
        <v>1602</v>
      </c>
      <c r="C315" t="s">
        <v>1515</v>
      </c>
      <c r="D315">
        <v>2</v>
      </c>
      <c r="E315" t="s">
        <v>1516</v>
      </c>
      <c r="F315" t="s">
        <v>1537</v>
      </c>
      <c r="G315" t="s">
        <v>1603</v>
      </c>
      <c r="H315" t="s">
        <v>4349</v>
      </c>
      <c r="I315" t="s">
        <v>1604</v>
      </c>
      <c r="J315" t="s">
        <v>1605</v>
      </c>
      <c r="K315" t="s">
        <v>1521</v>
      </c>
      <c r="L315">
        <v>277.12680053710938</v>
      </c>
      <c r="M315" t="s">
        <v>6</v>
      </c>
      <c r="N315" t="s">
        <v>5</v>
      </c>
      <c r="O315" t="s">
        <v>5</v>
      </c>
      <c r="P315" t="s">
        <v>5</v>
      </c>
      <c r="Q315" t="s">
        <v>5</v>
      </c>
      <c r="R315" t="s">
        <v>1606</v>
      </c>
      <c r="S315" t="s">
        <v>1607</v>
      </c>
      <c r="T315" t="s">
        <v>5</v>
      </c>
      <c r="U315" t="s">
        <v>50</v>
      </c>
      <c r="V315">
        <v>100000</v>
      </c>
      <c r="W315">
        <v>100000</v>
      </c>
      <c r="X315" t="s">
        <v>5</v>
      </c>
      <c r="Y315"/>
      <c r="Z315"/>
      <c r="AA315">
        <v>96.161285400390625</v>
      </c>
      <c r="AB315">
        <v>12.01948261260986</v>
      </c>
      <c r="AC315">
        <v>0</v>
      </c>
      <c r="AD315">
        <v>121</v>
      </c>
      <c r="AE315">
        <v>7</v>
      </c>
      <c r="AF315">
        <v>59</v>
      </c>
      <c r="AG315">
        <v>23</v>
      </c>
      <c r="AH315">
        <v>82</v>
      </c>
      <c r="AI315">
        <v>85</v>
      </c>
      <c r="AJ315">
        <v>2</v>
      </c>
      <c r="AK315">
        <v>8</v>
      </c>
      <c r="AL315">
        <v>42</v>
      </c>
      <c r="AM315"/>
      <c r="AN315">
        <v>14658.0078125</v>
      </c>
      <c r="AO315"/>
      <c r="AP315"/>
      <c r="AQ315"/>
      <c r="AR315"/>
      <c r="AS315"/>
      <c r="AT315"/>
      <c r="AU315"/>
      <c r="AV315"/>
      <c r="AW315"/>
      <c r="AX315"/>
      <c r="AY315"/>
      <c r="AZ315"/>
      <c r="BA315"/>
      <c r="BB315"/>
      <c r="BC315"/>
      <c r="BD315"/>
      <c r="BE315"/>
      <c r="BF315" t="s">
        <v>1100</v>
      </c>
      <c r="BG315" t="s">
        <v>5</v>
      </c>
      <c r="BH315" t="s">
        <v>1524</v>
      </c>
      <c r="BI315" t="s">
        <v>5</v>
      </c>
      <c r="BJ315" t="s">
        <v>5</v>
      </c>
      <c r="BK315"/>
      <c r="BL315">
        <v>0</v>
      </c>
      <c r="BM315"/>
      <c r="BN315" t="s">
        <v>5</v>
      </c>
      <c r="BO315"/>
      <c r="BP315"/>
      <c r="BQ315"/>
      <c r="BR315"/>
      <c r="BS315" t="s">
        <v>5</v>
      </c>
      <c r="BT315"/>
      <c r="BU315"/>
      <c r="BV315"/>
      <c r="BW315"/>
      <c r="BX315" t="s">
        <v>6</v>
      </c>
      <c r="BY315" t="s">
        <v>1534</v>
      </c>
      <c r="BZ315"/>
      <c r="CA315"/>
      <c r="CB315" t="s">
        <v>5</v>
      </c>
      <c r="CC315">
        <v>235391.4834767266</v>
      </c>
      <c r="CD315">
        <v>717755149.12006223</v>
      </c>
      <c r="CE315" s="313" t="s">
        <v>11891</v>
      </c>
    </row>
    <row r="316" spans="1:83" ht="15" x14ac:dyDescent="0.25">
      <c r="A316" t="s">
        <v>1608</v>
      </c>
      <c r="B316" t="s">
        <v>1609</v>
      </c>
      <c r="C316" t="s">
        <v>1515</v>
      </c>
      <c r="D316">
        <v>2</v>
      </c>
      <c r="E316" t="s">
        <v>1516</v>
      </c>
      <c r="F316" t="s">
        <v>1610</v>
      </c>
      <c r="G316" t="s">
        <v>1611</v>
      </c>
      <c r="H316" t="s">
        <v>4350</v>
      </c>
      <c r="I316" t="s">
        <v>1585</v>
      </c>
      <c r="J316" t="s">
        <v>1585</v>
      </c>
      <c r="K316" t="s">
        <v>1521</v>
      </c>
      <c r="L316">
        <v>897.031494140625</v>
      </c>
      <c r="M316" t="s">
        <v>6</v>
      </c>
      <c r="N316" t="s">
        <v>5</v>
      </c>
      <c r="O316" t="s">
        <v>5</v>
      </c>
      <c r="P316" t="s">
        <v>5</v>
      </c>
      <c r="Q316" t="s">
        <v>5</v>
      </c>
      <c r="R316" t="s">
        <v>1612</v>
      </c>
      <c r="S316" t="s">
        <v>1613</v>
      </c>
      <c r="T316" t="s">
        <v>5</v>
      </c>
      <c r="U316" t="s">
        <v>50</v>
      </c>
      <c r="V316">
        <v>100000</v>
      </c>
      <c r="W316">
        <v>100000</v>
      </c>
      <c r="X316" t="s">
        <v>5</v>
      </c>
      <c r="Y316"/>
      <c r="Z316"/>
      <c r="AA316">
        <v>227.00555419921881</v>
      </c>
      <c r="AB316">
        <v>15.96621131896973</v>
      </c>
      <c r="AC316">
        <v>0</v>
      </c>
      <c r="AD316">
        <v>1077</v>
      </c>
      <c r="AE316">
        <v>179</v>
      </c>
      <c r="AF316">
        <v>709</v>
      </c>
      <c r="AG316">
        <v>2014</v>
      </c>
      <c r="AH316">
        <v>1328</v>
      </c>
      <c r="AI316">
        <v>3040</v>
      </c>
      <c r="AJ316">
        <v>18</v>
      </c>
      <c r="AK316">
        <v>26</v>
      </c>
      <c r="AL316">
        <v>170</v>
      </c>
      <c r="AM316"/>
      <c r="AN316">
        <v>37510.09375</v>
      </c>
      <c r="AO316"/>
      <c r="AP316"/>
      <c r="AQ316"/>
      <c r="AR316"/>
      <c r="AS316"/>
      <c r="AT316"/>
      <c r="AU316"/>
      <c r="AV316"/>
      <c r="AW316"/>
      <c r="AX316"/>
      <c r="AY316"/>
      <c r="AZ316"/>
      <c r="BA316"/>
      <c r="BB316"/>
      <c r="BC316"/>
      <c r="BD316"/>
      <c r="BE316"/>
      <c r="BF316" t="s">
        <v>1100</v>
      </c>
      <c r="BG316" t="s">
        <v>5</v>
      </c>
      <c r="BH316" t="s">
        <v>1524</v>
      </c>
      <c r="BI316" t="s">
        <v>5</v>
      </c>
      <c r="BJ316" t="s">
        <v>5</v>
      </c>
      <c r="BK316"/>
      <c r="BL316">
        <v>0</v>
      </c>
      <c r="BM316"/>
      <c r="BN316" t="s">
        <v>5</v>
      </c>
      <c r="BO316"/>
      <c r="BP316"/>
      <c r="BQ316"/>
      <c r="BR316"/>
      <c r="BS316" t="s">
        <v>5</v>
      </c>
      <c r="BT316"/>
      <c r="BU316"/>
      <c r="BV316"/>
      <c r="BW316"/>
      <c r="BX316" t="s">
        <v>6</v>
      </c>
      <c r="BY316" t="s">
        <v>1534</v>
      </c>
      <c r="BZ316"/>
      <c r="CA316"/>
      <c r="CB316" t="s">
        <v>5</v>
      </c>
      <c r="CC316">
        <v>231778.07428745501</v>
      </c>
      <c r="CD316">
        <v>2323300961.2171512</v>
      </c>
      <c r="CE316" s="313" t="s">
        <v>11891</v>
      </c>
    </row>
    <row r="317" spans="1:83" ht="15" x14ac:dyDescent="0.25">
      <c r="A317" t="s">
        <v>1614</v>
      </c>
      <c r="B317" t="s">
        <v>1615</v>
      </c>
      <c r="C317" t="s">
        <v>1515</v>
      </c>
      <c r="D317">
        <v>2</v>
      </c>
      <c r="E317" t="s">
        <v>1516</v>
      </c>
      <c r="F317" t="s">
        <v>1616</v>
      </c>
      <c r="G317" t="s">
        <v>1617</v>
      </c>
      <c r="H317" t="s">
        <v>4351</v>
      </c>
      <c r="I317" t="s">
        <v>1585</v>
      </c>
      <c r="J317" t="s">
        <v>1618</v>
      </c>
      <c r="K317" t="s">
        <v>1521</v>
      </c>
      <c r="L317">
        <v>293.97027587890619</v>
      </c>
      <c r="M317" t="s">
        <v>6</v>
      </c>
      <c r="N317" t="s">
        <v>5</v>
      </c>
      <c r="O317" t="s">
        <v>5</v>
      </c>
      <c r="P317" t="s">
        <v>5</v>
      </c>
      <c r="Q317" t="s">
        <v>5</v>
      </c>
      <c r="R317" t="s">
        <v>1619</v>
      </c>
      <c r="S317" t="s">
        <v>1620</v>
      </c>
      <c r="T317" t="s">
        <v>5</v>
      </c>
      <c r="U317" t="s">
        <v>50</v>
      </c>
      <c r="V317">
        <v>100000</v>
      </c>
      <c r="W317">
        <v>100000</v>
      </c>
      <c r="X317" t="s">
        <v>5</v>
      </c>
      <c r="Y317"/>
      <c r="Z317"/>
      <c r="AA317">
        <v>79.201766967773438</v>
      </c>
      <c r="AB317">
        <v>8.3468027114868164</v>
      </c>
      <c r="AC317">
        <v>0</v>
      </c>
      <c r="AD317">
        <v>455</v>
      </c>
      <c r="AE317">
        <v>100</v>
      </c>
      <c r="AF317">
        <v>341</v>
      </c>
      <c r="AG317">
        <v>2160</v>
      </c>
      <c r="AH317">
        <v>535</v>
      </c>
      <c r="AI317">
        <v>2507</v>
      </c>
      <c r="AJ317">
        <v>1</v>
      </c>
      <c r="AK317">
        <v>5</v>
      </c>
      <c r="AL317">
        <v>39</v>
      </c>
      <c r="AM317"/>
      <c r="AN317">
        <v>1573.327270507812</v>
      </c>
      <c r="AO317"/>
      <c r="AP317"/>
      <c r="AQ317"/>
      <c r="AR317"/>
      <c r="AS317"/>
      <c r="AT317"/>
      <c r="AU317"/>
      <c r="AV317"/>
      <c r="AW317"/>
      <c r="AX317"/>
      <c r="AY317"/>
      <c r="AZ317"/>
      <c r="BA317"/>
      <c r="BB317"/>
      <c r="BC317"/>
      <c r="BD317"/>
      <c r="BE317"/>
      <c r="BF317" t="s">
        <v>1100</v>
      </c>
      <c r="BG317" t="s">
        <v>5</v>
      </c>
      <c r="BH317" t="s">
        <v>1524</v>
      </c>
      <c r="BI317" t="s">
        <v>5</v>
      </c>
      <c r="BJ317" t="s">
        <v>5</v>
      </c>
      <c r="BK317"/>
      <c r="BL317">
        <v>0</v>
      </c>
      <c r="BM317"/>
      <c r="BN317" t="s">
        <v>5</v>
      </c>
      <c r="BO317"/>
      <c r="BP317"/>
      <c r="BQ317"/>
      <c r="BR317"/>
      <c r="BS317" t="s">
        <v>5</v>
      </c>
      <c r="BT317"/>
      <c r="BU317"/>
      <c r="BV317"/>
      <c r="BW317"/>
      <c r="BX317" t="s">
        <v>6</v>
      </c>
      <c r="BY317" t="s">
        <v>1534</v>
      </c>
      <c r="BZ317"/>
      <c r="CA317"/>
      <c r="CB317" t="s">
        <v>5</v>
      </c>
      <c r="CC317">
        <v>149682.90941461429</v>
      </c>
      <c r="CD317">
        <v>761379552.03759623</v>
      </c>
      <c r="CE317" s="313" t="s">
        <v>11891</v>
      </c>
    </row>
    <row r="318" spans="1:83" ht="15" x14ac:dyDescent="0.25">
      <c r="A318" t="s">
        <v>1621</v>
      </c>
      <c r="B318" t="s">
        <v>1622</v>
      </c>
      <c r="C318" t="s">
        <v>1515</v>
      </c>
      <c r="D318">
        <v>2</v>
      </c>
      <c r="E318" t="s">
        <v>1516</v>
      </c>
      <c r="F318" t="s">
        <v>1528</v>
      </c>
      <c r="G318" t="s">
        <v>1623</v>
      </c>
      <c r="H318" t="s">
        <v>4352</v>
      </c>
      <c r="I318" t="s">
        <v>1585</v>
      </c>
      <c r="J318" t="s">
        <v>1585</v>
      </c>
      <c r="K318" t="s">
        <v>1521</v>
      </c>
      <c r="L318">
        <v>976.7410888671875</v>
      </c>
      <c r="M318" t="s">
        <v>6</v>
      </c>
      <c r="N318" t="s">
        <v>5</v>
      </c>
      <c r="O318" t="s">
        <v>5</v>
      </c>
      <c r="P318" t="s">
        <v>5</v>
      </c>
      <c r="Q318" t="s">
        <v>5</v>
      </c>
      <c r="R318" t="s">
        <v>1624</v>
      </c>
      <c r="S318" t="s">
        <v>1625</v>
      </c>
      <c r="T318" t="s">
        <v>5</v>
      </c>
      <c r="U318" t="s">
        <v>50</v>
      </c>
      <c r="V318">
        <v>100000</v>
      </c>
      <c r="W318">
        <v>100000</v>
      </c>
      <c r="X318" t="s">
        <v>5</v>
      </c>
      <c r="Y318"/>
      <c r="Z318"/>
      <c r="AA318">
        <v>161.1616516113281</v>
      </c>
      <c r="AB318">
        <v>8.1251916885375977</v>
      </c>
      <c r="AC318">
        <v>0</v>
      </c>
      <c r="AD318">
        <v>2569</v>
      </c>
      <c r="AE318">
        <v>355</v>
      </c>
      <c r="AF318">
        <v>1511</v>
      </c>
      <c r="AG318">
        <v>9464</v>
      </c>
      <c r="AH318">
        <v>4360</v>
      </c>
      <c r="AI318">
        <v>12470</v>
      </c>
      <c r="AJ318">
        <v>23</v>
      </c>
      <c r="AK318">
        <v>8</v>
      </c>
      <c r="AL318">
        <v>181</v>
      </c>
      <c r="AM318"/>
      <c r="AN318">
        <v>10335.0703125</v>
      </c>
      <c r="AO318"/>
      <c r="AP318"/>
      <c r="AQ318"/>
      <c r="AR318"/>
      <c r="AS318"/>
      <c r="AT318"/>
      <c r="AU318"/>
      <c r="AV318"/>
      <c r="AW318"/>
      <c r="AX318"/>
      <c r="AY318"/>
      <c r="AZ318"/>
      <c r="BA318"/>
      <c r="BB318"/>
      <c r="BC318"/>
      <c r="BD318"/>
      <c r="BE318"/>
      <c r="BF318" t="s">
        <v>1100</v>
      </c>
      <c r="BG318" t="s">
        <v>5</v>
      </c>
      <c r="BH318" t="s">
        <v>1524</v>
      </c>
      <c r="BI318" t="s">
        <v>5</v>
      </c>
      <c r="BJ318" t="s">
        <v>5</v>
      </c>
      <c r="BK318"/>
      <c r="BL318">
        <v>0</v>
      </c>
      <c r="BM318"/>
      <c r="BN318" t="s">
        <v>5</v>
      </c>
      <c r="BO318"/>
      <c r="BP318"/>
      <c r="BQ318"/>
      <c r="BR318"/>
      <c r="BS318" t="s">
        <v>5</v>
      </c>
      <c r="BT318"/>
      <c r="BU318"/>
      <c r="BV318"/>
      <c r="BW318"/>
      <c r="BX318" t="s">
        <v>6</v>
      </c>
      <c r="BY318" t="s">
        <v>1534</v>
      </c>
      <c r="BZ318"/>
      <c r="CA318"/>
      <c r="CB318" t="s">
        <v>5</v>
      </c>
      <c r="CC318">
        <v>242165.81252085129</v>
      </c>
      <c r="CD318">
        <v>2529747736.6059952</v>
      </c>
      <c r="CE318" s="313" t="s">
        <v>11891</v>
      </c>
    </row>
    <row r="319" spans="1:83" ht="15" x14ac:dyDescent="0.25">
      <c r="A319" t="s">
        <v>1626</v>
      </c>
      <c r="B319" t="s">
        <v>1627</v>
      </c>
      <c r="C319" t="s">
        <v>1515</v>
      </c>
      <c r="D319">
        <v>2</v>
      </c>
      <c r="E319" t="s">
        <v>1516</v>
      </c>
      <c r="F319" t="s">
        <v>1628</v>
      </c>
      <c r="G319" t="s">
        <v>1629</v>
      </c>
      <c r="H319" t="s">
        <v>4353</v>
      </c>
      <c r="I319" t="s">
        <v>1585</v>
      </c>
      <c r="J319" t="s">
        <v>1585</v>
      </c>
      <c r="K319" t="s">
        <v>1521</v>
      </c>
      <c r="L319">
        <v>912.398193359375</v>
      </c>
      <c r="M319" t="s">
        <v>6</v>
      </c>
      <c r="N319" t="s">
        <v>5</v>
      </c>
      <c r="O319" t="s">
        <v>5</v>
      </c>
      <c r="P319" t="s">
        <v>5</v>
      </c>
      <c r="Q319" t="s">
        <v>5</v>
      </c>
      <c r="R319" t="s">
        <v>1630</v>
      </c>
      <c r="S319" t="s">
        <v>1631</v>
      </c>
      <c r="T319" t="s">
        <v>5</v>
      </c>
      <c r="U319" t="s">
        <v>50</v>
      </c>
      <c r="V319">
        <v>100000</v>
      </c>
      <c r="W319">
        <v>100000</v>
      </c>
      <c r="X319" t="s">
        <v>5</v>
      </c>
      <c r="Y319"/>
      <c r="Z319"/>
      <c r="AA319">
        <v>151.5285949707031</v>
      </c>
      <c r="AB319">
        <v>1.2488148212432859</v>
      </c>
      <c r="AC319">
        <v>0</v>
      </c>
      <c r="AD319">
        <v>898</v>
      </c>
      <c r="AE319">
        <v>20</v>
      </c>
      <c r="AF319">
        <v>740</v>
      </c>
      <c r="AG319">
        <v>1198</v>
      </c>
      <c r="AH319">
        <v>1254</v>
      </c>
      <c r="AI319">
        <v>2056</v>
      </c>
      <c r="AJ319">
        <v>6</v>
      </c>
      <c r="AK319">
        <v>5</v>
      </c>
      <c r="AL319">
        <v>97</v>
      </c>
      <c r="AM319"/>
      <c r="AN319">
        <v>255.00254821777341</v>
      </c>
      <c r="AO319"/>
      <c r="AP319"/>
      <c r="AQ319"/>
      <c r="AR319"/>
      <c r="AS319"/>
      <c r="AT319"/>
      <c r="AU319"/>
      <c r="AV319"/>
      <c r="AW319"/>
      <c r="AX319"/>
      <c r="AY319"/>
      <c r="AZ319"/>
      <c r="BA319"/>
      <c r="BB319"/>
      <c r="BC319"/>
      <c r="BD319"/>
      <c r="BE319"/>
      <c r="BF319" t="s">
        <v>1100</v>
      </c>
      <c r="BG319" t="s">
        <v>5</v>
      </c>
      <c r="BH319" t="s">
        <v>1524</v>
      </c>
      <c r="BI319" t="s">
        <v>5</v>
      </c>
      <c r="BJ319" t="s">
        <v>5</v>
      </c>
      <c r="BK319"/>
      <c r="BL319">
        <v>0</v>
      </c>
      <c r="BM319"/>
      <c r="BN319" t="s">
        <v>5</v>
      </c>
      <c r="BO319"/>
      <c r="BP319"/>
      <c r="BQ319"/>
      <c r="BR319"/>
      <c r="BS319" t="s">
        <v>5</v>
      </c>
      <c r="BT319"/>
      <c r="BU319"/>
      <c r="BV319"/>
      <c r="BW319"/>
      <c r="BX319" t="s">
        <v>6</v>
      </c>
      <c r="BY319" t="s">
        <v>1534</v>
      </c>
      <c r="BZ319"/>
      <c r="CA319"/>
      <c r="CB319" t="s">
        <v>5</v>
      </c>
      <c r="CC319">
        <v>260485.38109040071</v>
      </c>
      <c r="CD319">
        <v>2363100492.8354778</v>
      </c>
      <c r="CE319" s="313" t="s">
        <v>11891</v>
      </c>
    </row>
    <row r="320" spans="1:83" ht="15" x14ac:dyDescent="0.25">
      <c r="A320" t="s">
        <v>1632</v>
      </c>
      <c r="B320" t="s">
        <v>1633</v>
      </c>
      <c r="C320" t="s">
        <v>1515</v>
      </c>
      <c r="D320">
        <v>2</v>
      </c>
      <c r="E320" t="s">
        <v>1516</v>
      </c>
      <c r="F320" t="s">
        <v>1634</v>
      </c>
      <c r="G320" t="s">
        <v>1635</v>
      </c>
      <c r="H320" t="s">
        <v>4354</v>
      </c>
      <c r="I320" t="s">
        <v>1585</v>
      </c>
      <c r="J320" t="s">
        <v>1636</v>
      </c>
      <c r="K320" t="s">
        <v>1521</v>
      </c>
      <c r="L320">
        <v>790.82965087890625</v>
      </c>
      <c r="M320" t="s">
        <v>6</v>
      </c>
      <c r="N320" t="s">
        <v>5</v>
      </c>
      <c r="O320" t="s">
        <v>5</v>
      </c>
      <c r="P320" t="s">
        <v>5</v>
      </c>
      <c r="Q320" t="s">
        <v>5</v>
      </c>
      <c r="R320" t="s">
        <v>1637</v>
      </c>
      <c r="S320" t="s">
        <v>1638</v>
      </c>
      <c r="T320" t="s">
        <v>5</v>
      </c>
      <c r="U320" t="s">
        <v>50</v>
      </c>
      <c r="V320">
        <v>100000</v>
      </c>
      <c r="W320">
        <v>100000</v>
      </c>
      <c r="X320" t="s">
        <v>5</v>
      </c>
      <c r="Y320"/>
      <c r="Z320"/>
      <c r="AA320">
        <v>162.67594909667969</v>
      </c>
      <c r="AB320">
        <v>1.1067637205123899</v>
      </c>
      <c r="AC320">
        <v>0</v>
      </c>
      <c r="AD320">
        <v>702</v>
      </c>
      <c r="AE320">
        <v>8</v>
      </c>
      <c r="AF320">
        <v>381</v>
      </c>
      <c r="AG320">
        <v>4454</v>
      </c>
      <c r="AH320">
        <v>907</v>
      </c>
      <c r="AI320">
        <v>5081</v>
      </c>
      <c r="AJ320">
        <v>5</v>
      </c>
      <c r="AK320">
        <v>3</v>
      </c>
      <c r="AL320">
        <v>148</v>
      </c>
      <c r="AM320"/>
      <c r="AN320">
        <v>8634.52734375</v>
      </c>
      <c r="AO320"/>
      <c r="AP320"/>
      <c r="AQ320"/>
      <c r="AR320"/>
      <c r="AS320"/>
      <c r="AT320"/>
      <c r="AU320"/>
      <c r="AV320"/>
      <c r="AW320"/>
      <c r="AX320"/>
      <c r="AY320"/>
      <c r="AZ320"/>
      <c r="BA320"/>
      <c r="BB320"/>
      <c r="BC320"/>
      <c r="BD320"/>
      <c r="BE320"/>
      <c r="BF320" t="s">
        <v>1100</v>
      </c>
      <c r="BG320" t="s">
        <v>5</v>
      </c>
      <c r="BH320" t="s">
        <v>1524</v>
      </c>
      <c r="BI320" t="s">
        <v>5</v>
      </c>
      <c r="BJ320" t="s">
        <v>5</v>
      </c>
      <c r="BK320"/>
      <c r="BL320">
        <v>0</v>
      </c>
      <c r="BM320"/>
      <c r="BN320" t="s">
        <v>5</v>
      </c>
      <c r="BO320"/>
      <c r="BP320"/>
      <c r="BQ320"/>
      <c r="BR320"/>
      <c r="BS320" t="s">
        <v>5</v>
      </c>
      <c r="BT320"/>
      <c r="BU320"/>
      <c r="BV320"/>
      <c r="BW320"/>
      <c r="BX320" t="s">
        <v>6</v>
      </c>
      <c r="BY320" t="s">
        <v>1534</v>
      </c>
      <c r="BZ320"/>
      <c r="CA320"/>
      <c r="CB320" t="s">
        <v>5</v>
      </c>
      <c r="CC320">
        <v>233602.8068095177</v>
      </c>
      <c r="CD320">
        <v>2048239400.0981979</v>
      </c>
      <c r="CE320" s="313" t="s">
        <v>11891</v>
      </c>
    </row>
    <row r="321" spans="1:83" ht="15" x14ac:dyDescent="0.25">
      <c r="A321" t="s">
        <v>1639</v>
      </c>
      <c r="B321" t="s">
        <v>1640</v>
      </c>
      <c r="C321" t="s">
        <v>1515</v>
      </c>
      <c r="D321">
        <v>2</v>
      </c>
      <c r="E321" t="s">
        <v>1516</v>
      </c>
      <c r="F321" t="s">
        <v>1641</v>
      </c>
      <c r="G321" t="s">
        <v>1642</v>
      </c>
      <c r="H321" t="s">
        <v>4355</v>
      </c>
      <c r="I321" t="s">
        <v>1585</v>
      </c>
      <c r="J321" t="s">
        <v>1585</v>
      </c>
      <c r="K321" t="s">
        <v>1521</v>
      </c>
      <c r="L321">
        <v>931.78179931640625</v>
      </c>
      <c r="M321" t="s">
        <v>6</v>
      </c>
      <c r="N321" t="s">
        <v>5</v>
      </c>
      <c r="O321" t="s">
        <v>5</v>
      </c>
      <c r="P321" t="s">
        <v>5</v>
      </c>
      <c r="Q321" t="s">
        <v>5</v>
      </c>
      <c r="R321" t="s">
        <v>1643</v>
      </c>
      <c r="S321" t="s">
        <v>1644</v>
      </c>
      <c r="T321" t="s">
        <v>5</v>
      </c>
      <c r="U321" t="s">
        <v>50</v>
      </c>
      <c r="V321">
        <v>100000</v>
      </c>
      <c r="W321">
        <v>100000</v>
      </c>
      <c r="X321" t="s">
        <v>5</v>
      </c>
      <c r="Y321"/>
      <c r="Z321"/>
      <c r="AA321">
        <v>283.1854248046875</v>
      </c>
      <c r="AB321">
        <v>8.5694179534912109</v>
      </c>
      <c r="AC321">
        <v>0</v>
      </c>
      <c r="AD321">
        <v>1644</v>
      </c>
      <c r="AE321">
        <v>260</v>
      </c>
      <c r="AF321">
        <v>1013</v>
      </c>
      <c r="AG321">
        <v>3603</v>
      </c>
      <c r="AH321">
        <v>2670</v>
      </c>
      <c r="AI321">
        <v>5441</v>
      </c>
      <c r="AJ321">
        <v>33</v>
      </c>
      <c r="AK321">
        <v>15</v>
      </c>
      <c r="AL321">
        <v>222</v>
      </c>
      <c r="AM321"/>
      <c r="AN321">
        <v>42830.8984375</v>
      </c>
      <c r="AO321"/>
      <c r="AP321"/>
      <c r="AQ321"/>
      <c r="AR321"/>
      <c r="AS321"/>
      <c r="AT321"/>
      <c r="AU321"/>
      <c r="AV321"/>
      <c r="AW321"/>
      <c r="AX321"/>
      <c r="AY321"/>
      <c r="AZ321"/>
      <c r="BA321"/>
      <c r="BB321"/>
      <c r="BC321"/>
      <c r="BD321"/>
      <c r="BE321"/>
      <c r="BF321" t="s">
        <v>1100</v>
      </c>
      <c r="BG321" t="s">
        <v>5</v>
      </c>
      <c r="BH321" t="s">
        <v>1524</v>
      </c>
      <c r="BI321" t="s">
        <v>5</v>
      </c>
      <c r="BJ321" t="s">
        <v>5</v>
      </c>
      <c r="BK321"/>
      <c r="BL321">
        <v>0</v>
      </c>
      <c r="BM321"/>
      <c r="BN321" t="s">
        <v>5</v>
      </c>
      <c r="BO321"/>
      <c r="BP321"/>
      <c r="BQ321"/>
      <c r="BR321"/>
      <c r="BS321" t="s">
        <v>5</v>
      </c>
      <c r="BT321"/>
      <c r="BU321"/>
      <c r="BV321"/>
      <c r="BW321"/>
      <c r="BX321" t="s">
        <v>6</v>
      </c>
      <c r="BY321" t="s">
        <v>1534</v>
      </c>
      <c r="BZ321"/>
      <c r="CA321"/>
      <c r="CB321" t="s">
        <v>5</v>
      </c>
      <c r="CC321">
        <v>279570.50515408808</v>
      </c>
      <c r="CD321">
        <v>2413303731.3906822</v>
      </c>
      <c r="CE321" s="313" t="s">
        <v>11891</v>
      </c>
    </row>
    <row r="322" spans="1:83" ht="15" x14ac:dyDescent="0.25">
      <c r="A322" t="s">
        <v>1645</v>
      </c>
      <c r="B322" t="s">
        <v>1646</v>
      </c>
      <c r="C322" t="s">
        <v>1515</v>
      </c>
      <c r="D322">
        <v>2</v>
      </c>
      <c r="E322" t="s">
        <v>1516</v>
      </c>
      <c r="F322" t="s">
        <v>1647</v>
      </c>
      <c r="G322" t="s">
        <v>1648</v>
      </c>
      <c r="H322" t="s">
        <v>4356</v>
      </c>
      <c r="I322" t="s">
        <v>1585</v>
      </c>
      <c r="J322" t="s">
        <v>1649</v>
      </c>
      <c r="K322" t="s">
        <v>1521</v>
      </c>
      <c r="L322">
        <v>418.81829833984381</v>
      </c>
      <c r="M322" t="s">
        <v>6</v>
      </c>
      <c r="N322" t="s">
        <v>5</v>
      </c>
      <c r="O322" t="s">
        <v>5</v>
      </c>
      <c r="P322" t="s">
        <v>5</v>
      </c>
      <c r="Q322" t="s">
        <v>5</v>
      </c>
      <c r="R322" t="s">
        <v>1650</v>
      </c>
      <c r="S322" t="s">
        <v>1651</v>
      </c>
      <c r="T322" t="s">
        <v>5</v>
      </c>
      <c r="U322" t="s">
        <v>50</v>
      </c>
      <c r="V322">
        <v>100000</v>
      </c>
      <c r="W322">
        <v>100000</v>
      </c>
      <c r="X322" t="s">
        <v>5</v>
      </c>
      <c r="Y322"/>
      <c r="Z322"/>
      <c r="AA322">
        <v>127.7067337036133</v>
      </c>
      <c r="AB322">
        <v>20.792629241943359</v>
      </c>
      <c r="AC322">
        <v>0</v>
      </c>
      <c r="AD322">
        <v>313</v>
      </c>
      <c r="AE322">
        <v>77</v>
      </c>
      <c r="AF322">
        <v>163</v>
      </c>
      <c r="AG322">
        <v>319</v>
      </c>
      <c r="AH322">
        <v>360</v>
      </c>
      <c r="AI322">
        <v>452</v>
      </c>
      <c r="AJ322">
        <v>4</v>
      </c>
      <c r="AK322">
        <v>1</v>
      </c>
      <c r="AL322">
        <v>48</v>
      </c>
      <c r="AM322"/>
      <c r="AN322">
        <v>137.31132507324219</v>
      </c>
      <c r="AO322"/>
      <c r="AP322"/>
      <c r="AQ322"/>
      <c r="AR322"/>
      <c r="AS322"/>
      <c r="AT322"/>
      <c r="AU322"/>
      <c r="AV322"/>
      <c r="AW322"/>
      <c r="AX322"/>
      <c r="AY322"/>
      <c r="AZ322"/>
      <c r="BA322"/>
      <c r="BB322"/>
      <c r="BC322"/>
      <c r="BD322"/>
      <c r="BE322"/>
      <c r="BF322" t="s">
        <v>1100</v>
      </c>
      <c r="BG322" t="s">
        <v>5</v>
      </c>
      <c r="BH322" t="s">
        <v>1524</v>
      </c>
      <c r="BI322" t="s">
        <v>5</v>
      </c>
      <c r="BJ322" t="s">
        <v>5</v>
      </c>
      <c r="BK322"/>
      <c r="BL322">
        <v>0</v>
      </c>
      <c r="BM322"/>
      <c r="BN322" t="s">
        <v>5</v>
      </c>
      <c r="BO322"/>
      <c r="BP322"/>
      <c r="BQ322"/>
      <c r="BR322"/>
      <c r="BS322" t="s">
        <v>5</v>
      </c>
      <c r="BT322"/>
      <c r="BU322"/>
      <c r="BV322"/>
      <c r="BW322"/>
      <c r="BX322" t="s">
        <v>6</v>
      </c>
      <c r="BY322" t="s">
        <v>1534</v>
      </c>
      <c r="BZ322"/>
      <c r="CA322"/>
      <c r="CB322" t="s">
        <v>5</v>
      </c>
      <c r="CC322">
        <v>200195.75206991399</v>
      </c>
      <c r="CD322">
        <v>1084734445.0617361</v>
      </c>
      <c r="CE322" s="313" t="s">
        <v>11891</v>
      </c>
    </row>
    <row r="323" spans="1:83" ht="15" x14ac:dyDescent="0.25">
      <c r="A323" t="s">
        <v>1652</v>
      </c>
      <c r="B323" t="s">
        <v>1653</v>
      </c>
      <c r="C323" t="s">
        <v>1515</v>
      </c>
      <c r="D323">
        <v>2</v>
      </c>
      <c r="E323" t="s">
        <v>1516</v>
      </c>
      <c r="F323" t="s">
        <v>1654</v>
      </c>
      <c r="G323" t="s">
        <v>1655</v>
      </c>
      <c r="H323" t="s">
        <v>4357</v>
      </c>
      <c r="I323" t="s">
        <v>1656</v>
      </c>
      <c r="J323" t="s">
        <v>1657</v>
      </c>
      <c r="K323" t="s">
        <v>1521</v>
      </c>
      <c r="L323">
        <v>256.93460083007813</v>
      </c>
      <c r="M323" t="s">
        <v>6</v>
      </c>
      <c r="N323" t="s">
        <v>5</v>
      </c>
      <c r="O323" t="s">
        <v>5</v>
      </c>
      <c r="P323" t="s">
        <v>5</v>
      </c>
      <c r="Q323" t="s">
        <v>5</v>
      </c>
      <c r="R323" t="s">
        <v>1658</v>
      </c>
      <c r="S323" t="s">
        <v>1659</v>
      </c>
      <c r="T323" t="s">
        <v>5</v>
      </c>
      <c r="U323" t="s">
        <v>50</v>
      </c>
      <c r="V323">
        <v>100000</v>
      </c>
      <c r="W323">
        <v>100000</v>
      </c>
      <c r="X323" t="s">
        <v>5</v>
      </c>
      <c r="Y323"/>
      <c r="Z323"/>
      <c r="AA323">
        <v>73.836685180664063</v>
      </c>
      <c r="AB323">
        <v>3.2179355621337891</v>
      </c>
      <c r="AC323">
        <v>0</v>
      </c>
      <c r="AD323">
        <v>234</v>
      </c>
      <c r="AE323">
        <v>31</v>
      </c>
      <c r="AF323">
        <v>102</v>
      </c>
      <c r="AG323">
        <v>277</v>
      </c>
      <c r="AH323">
        <v>232</v>
      </c>
      <c r="AI323">
        <v>419</v>
      </c>
      <c r="AJ323">
        <v>6</v>
      </c>
      <c r="AK323">
        <v>2</v>
      </c>
      <c r="AL323">
        <v>38</v>
      </c>
      <c r="AM323"/>
      <c r="AN323">
        <v>395.01528930664063</v>
      </c>
      <c r="AO323"/>
      <c r="AP323"/>
      <c r="AQ323"/>
      <c r="AR323"/>
      <c r="AS323"/>
      <c r="AT323"/>
      <c r="AU323"/>
      <c r="AV323"/>
      <c r="AW323"/>
      <c r="AX323"/>
      <c r="AY323"/>
      <c r="AZ323"/>
      <c r="BA323"/>
      <c r="BB323"/>
      <c r="BC323"/>
      <c r="BD323"/>
      <c r="BE323"/>
      <c r="BF323" t="s">
        <v>1100</v>
      </c>
      <c r="BG323" t="s">
        <v>5</v>
      </c>
      <c r="BH323" t="s">
        <v>1524</v>
      </c>
      <c r="BI323" t="s">
        <v>5</v>
      </c>
      <c r="BJ323" t="s">
        <v>5</v>
      </c>
      <c r="BK323"/>
      <c r="BL323">
        <v>0</v>
      </c>
      <c r="BM323"/>
      <c r="BN323" t="s">
        <v>5</v>
      </c>
      <c r="BO323"/>
      <c r="BP323"/>
      <c r="BQ323"/>
      <c r="BR323"/>
      <c r="BS323" t="s">
        <v>5</v>
      </c>
      <c r="BT323"/>
      <c r="BU323"/>
      <c r="BV323"/>
      <c r="BW323"/>
      <c r="BX323" t="s">
        <v>6</v>
      </c>
      <c r="BY323" t="s">
        <v>1534</v>
      </c>
      <c r="BZ323"/>
      <c r="CA323"/>
      <c r="CB323" t="s">
        <v>5</v>
      </c>
      <c r="CC323">
        <v>162424.54685974761</v>
      </c>
      <c r="CD323">
        <v>665457595.6386534</v>
      </c>
      <c r="CE323" s="313" t="s">
        <v>11891</v>
      </c>
    </row>
    <row r="324" spans="1:83" ht="15" x14ac:dyDescent="0.25">
      <c r="A324" t="s">
        <v>1660</v>
      </c>
      <c r="B324" t="s">
        <v>1661</v>
      </c>
      <c r="C324" t="s">
        <v>1515</v>
      </c>
      <c r="D324">
        <v>2</v>
      </c>
      <c r="E324" t="s">
        <v>1516</v>
      </c>
      <c r="F324" t="s">
        <v>1662</v>
      </c>
      <c r="G324" t="s">
        <v>1663</v>
      </c>
      <c r="H324" t="s">
        <v>4358</v>
      </c>
      <c r="I324" t="s">
        <v>1585</v>
      </c>
      <c r="J324" t="s">
        <v>1585</v>
      </c>
      <c r="K324" t="s">
        <v>1521</v>
      </c>
      <c r="L324">
        <v>1055.009643554688</v>
      </c>
      <c r="M324" t="s">
        <v>6</v>
      </c>
      <c r="N324" t="s">
        <v>5</v>
      </c>
      <c r="O324" t="s">
        <v>5</v>
      </c>
      <c r="P324" t="s">
        <v>5</v>
      </c>
      <c r="Q324" t="s">
        <v>5</v>
      </c>
      <c r="R324" t="s">
        <v>1664</v>
      </c>
      <c r="S324" t="s">
        <v>1665</v>
      </c>
      <c r="T324" t="s">
        <v>5</v>
      </c>
      <c r="U324" t="s">
        <v>50</v>
      </c>
      <c r="V324">
        <v>100000</v>
      </c>
      <c r="W324">
        <v>100000</v>
      </c>
      <c r="X324" t="s">
        <v>5</v>
      </c>
      <c r="Y324"/>
      <c r="Z324"/>
      <c r="AA324">
        <v>359.92010498046881</v>
      </c>
      <c r="AB324">
        <v>19.019607543945309</v>
      </c>
      <c r="AC324">
        <v>0</v>
      </c>
      <c r="AD324">
        <v>391</v>
      </c>
      <c r="AE324">
        <v>50</v>
      </c>
      <c r="AF324">
        <v>138</v>
      </c>
      <c r="AG324">
        <v>218</v>
      </c>
      <c r="AH324">
        <v>336</v>
      </c>
      <c r="AI324">
        <v>374</v>
      </c>
      <c r="AJ324">
        <v>5</v>
      </c>
      <c r="AK324">
        <v>16</v>
      </c>
      <c r="AL324">
        <v>157</v>
      </c>
      <c r="AM324"/>
      <c r="AN324">
        <v>24044.99609375</v>
      </c>
      <c r="AO324"/>
      <c r="AP324"/>
      <c r="AQ324"/>
      <c r="AR324"/>
      <c r="AS324"/>
      <c r="AT324"/>
      <c r="AU324"/>
      <c r="AV324"/>
      <c r="AW324"/>
      <c r="AX324"/>
      <c r="AY324"/>
      <c r="AZ324"/>
      <c r="BA324"/>
      <c r="BB324"/>
      <c r="BC324"/>
      <c r="BD324"/>
      <c r="BE324"/>
      <c r="BF324" t="s">
        <v>1100</v>
      </c>
      <c r="BG324" t="s">
        <v>5</v>
      </c>
      <c r="BH324" t="s">
        <v>1524</v>
      </c>
      <c r="BI324" t="s">
        <v>5</v>
      </c>
      <c r="BJ324" t="s">
        <v>5</v>
      </c>
      <c r="BK324"/>
      <c r="BL324">
        <v>0</v>
      </c>
      <c r="BM324"/>
      <c r="BN324" t="s">
        <v>5</v>
      </c>
      <c r="BO324"/>
      <c r="BP324"/>
      <c r="BQ324"/>
      <c r="BR324"/>
      <c r="BS324" t="s">
        <v>5</v>
      </c>
      <c r="BT324"/>
      <c r="BU324"/>
      <c r="BV324"/>
      <c r="BW324"/>
      <c r="BX324" t="s">
        <v>6</v>
      </c>
      <c r="BY324" t="s">
        <v>1534</v>
      </c>
      <c r="BZ324"/>
      <c r="CA324"/>
      <c r="CB324" t="s">
        <v>5</v>
      </c>
      <c r="CC324">
        <v>363496.24119661679</v>
      </c>
      <c r="CD324">
        <v>2732462574.7579422</v>
      </c>
      <c r="CE324" s="313" t="s">
        <v>11891</v>
      </c>
    </row>
    <row r="325" spans="1:83" ht="15" x14ac:dyDescent="0.25">
      <c r="A325" t="s">
        <v>1666</v>
      </c>
      <c r="B325" t="s">
        <v>1667</v>
      </c>
      <c r="C325" t="s">
        <v>1515</v>
      </c>
      <c r="D325">
        <v>2</v>
      </c>
      <c r="E325" t="s">
        <v>1516</v>
      </c>
      <c r="F325" t="s">
        <v>1668</v>
      </c>
      <c r="G325" t="s">
        <v>1669</v>
      </c>
      <c r="H325" t="s">
        <v>4359</v>
      </c>
      <c r="I325" t="s">
        <v>1585</v>
      </c>
      <c r="J325" t="s">
        <v>1670</v>
      </c>
      <c r="K325" t="s">
        <v>1521</v>
      </c>
      <c r="L325">
        <v>425.48049926757813</v>
      </c>
      <c r="M325" t="s">
        <v>6</v>
      </c>
      <c r="N325" t="s">
        <v>5</v>
      </c>
      <c r="O325" t="s">
        <v>5</v>
      </c>
      <c r="P325" t="s">
        <v>5</v>
      </c>
      <c r="Q325" t="s">
        <v>5</v>
      </c>
      <c r="R325" t="s">
        <v>1671</v>
      </c>
      <c r="S325" t="s">
        <v>1672</v>
      </c>
      <c r="T325" t="s">
        <v>5</v>
      </c>
      <c r="U325" t="s">
        <v>50</v>
      </c>
      <c r="V325">
        <v>100000</v>
      </c>
      <c r="W325">
        <v>100000</v>
      </c>
      <c r="X325" t="s">
        <v>5</v>
      </c>
      <c r="Y325"/>
      <c r="Z325"/>
      <c r="AA325">
        <v>149.78218078613281</v>
      </c>
      <c r="AB325">
        <v>1.021191477775574</v>
      </c>
      <c r="AC325">
        <v>0</v>
      </c>
      <c r="AD325">
        <v>596</v>
      </c>
      <c r="AE325">
        <v>38</v>
      </c>
      <c r="AF325">
        <v>315</v>
      </c>
      <c r="AG325">
        <v>2178</v>
      </c>
      <c r="AH325">
        <v>1182</v>
      </c>
      <c r="AI325">
        <v>2890</v>
      </c>
      <c r="AJ325">
        <v>8</v>
      </c>
      <c r="AK325">
        <v>9</v>
      </c>
      <c r="AL325">
        <v>87</v>
      </c>
      <c r="AM325"/>
      <c r="AN325">
        <v>1569.936401367188</v>
      </c>
      <c r="AO325"/>
      <c r="AP325"/>
      <c r="AQ325"/>
      <c r="AR325"/>
      <c r="AS325"/>
      <c r="AT325"/>
      <c r="AU325"/>
      <c r="AV325"/>
      <c r="AW325"/>
      <c r="AX325"/>
      <c r="AY325"/>
      <c r="AZ325"/>
      <c r="BA325"/>
      <c r="BB325"/>
      <c r="BC325"/>
      <c r="BD325"/>
      <c r="BE325"/>
      <c r="BF325" t="s">
        <v>1100</v>
      </c>
      <c r="BG325" t="s">
        <v>5</v>
      </c>
      <c r="BH325" t="s">
        <v>1524</v>
      </c>
      <c r="BI325" t="s">
        <v>5</v>
      </c>
      <c r="BJ325" t="s">
        <v>5</v>
      </c>
      <c r="BK325"/>
      <c r="BL325">
        <v>0</v>
      </c>
      <c r="BM325"/>
      <c r="BN325" t="s">
        <v>5</v>
      </c>
      <c r="BO325"/>
      <c r="BP325"/>
      <c r="BQ325"/>
      <c r="BR325"/>
      <c r="BS325" t="s">
        <v>5</v>
      </c>
      <c r="BT325"/>
      <c r="BU325"/>
      <c r="BV325"/>
      <c r="BW325"/>
      <c r="BX325" t="s">
        <v>6</v>
      </c>
      <c r="BY325" t="s">
        <v>1534</v>
      </c>
      <c r="BZ325"/>
      <c r="CA325"/>
      <c r="CB325" t="s">
        <v>5</v>
      </c>
      <c r="CC325">
        <v>208707.1375905574</v>
      </c>
      <c r="CD325">
        <v>1101989444.922235</v>
      </c>
      <c r="CE325" s="313" t="s">
        <v>11891</v>
      </c>
    </row>
    <row r="326" spans="1:83" ht="15" x14ac:dyDescent="0.25">
      <c r="A326" t="s">
        <v>1673</v>
      </c>
      <c r="B326" t="s">
        <v>1674</v>
      </c>
      <c r="C326" t="s">
        <v>1675</v>
      </c>
      <c r="D326">
        <v>2</v>
      </c>
      <c r="E326" t="s">
        <v>1516</v>
      </c>
      <c r="F326" t="s">
        <v>1676</v>
      </c>
      <c r="G326" t="s">
        <v>1677</v>
      </c>
      <c r="H326" t="s">
        <v>4360</v>
      </c>
      <c r="I326" t="s">
        <v>1585</v>
      </c>
      <c r="J326" t="s">
        <v>1678</v>
      </c>
      <c r="K326" t="s">
        <v>1521</v>
      </c>
      <c r="L326">
        <v>590.462646484375</v>
      </c>
      <c r="M326" t="s">
        <v>6</v>
      </c>
      <c r="N326" t="s">
        <v>5</v>
      </c>
      <c r="O326" t="s">
        <v>5</v>
      </c>
      <c r="P326" t="s">
        <v>5</v>
      </c>
      <c r="Q326" t="s">
        <v>5</v>
      </c>
      <c r="R326" t="s">
        <v>1679</v>
      </c>
      <c r="S326" t="s">
        <v>1680</v>
      </c>
      <c r="T326" t="s">
        <v>5</v>
      </c>
      <c r="U326" t="s">
        <v>50</v>
      </c>
      <c r="V326">
        <v>100000</v>
      </c>
      <c r="W326">
        <v>100000</v>
      </c>
      <c r="X326" t="s">
        <v>5</v>
      </c>
      <c r="Y326"/>
      <c r="Z326"/>
      <c r="AA326">
        <v>113.7918319702148</v>
      </c>
      <c r="AB326">
        <v>0.51256906986236572</v>
      </c>
      <c r="AC326">
        <v>0</v>
      </c>
      <c r="AD326">
        <v>425</v>
      </c>
      <c r="AE326">
        <v>7</v>
      </c>
      <c r="AF326">
        <v>250</v>
      </c>
      <c r="AG326">
        <v>1920</v>
      </c>
      <c r="AH326">
        <v>677</v>
      </c>
      <c r="AI326">
        <v>2262</v>
      </c>
      <c r="AJ326">
        <v>10</v>
      </c>
      <c r="AK326">
        <v>3</v>
      </c>
      <c r="AL326">
        <v>91</v>
      </c>
      <c r="AM326"/>
      <c r="AN326">
        <v>611.719482421875</v>
      </c>
      <c r="AO326"/>
      <c r="AP326"/>
      <c r="AQ326"/>
      <c r="AR326"/>
      <c r="AS326"/>
      <c r="AT326"/>
      <c r="AU326"/>
      <c r="AV326"/>
      <c r="AW326"/>
      <c r="AX326"/>
      <c r="AY326"/>
      <c r="AZ326"/>
      <c r="BA326"/>
      <c r="BB326"/>
      <c r="BC326"/>
      <c r="BD326"/>
      <c r="BE326"/>
      <c r="BF326" t="s">
        <v>1100</v>
      </c>
      <c r="BG326" t="s">
        <v>5</v>
      </c>
      <c r="BH326" t="s">
        <v>1524</v>
      </c>
      <c r="BI326" t="s">
        <v>5</v>
      </c>
      <c r="BJ326" t="s">
        <v>5</v>
      </c>
      <c r="BK326"/>
      <c r="BL326">
        <v>0</v>
      </c>
      <c r="BM326"/>
      <c r="BN326" t="s">
        <v>5</v>
      </c>
      <c r="BO326"/>
      <c r="BP326"/>
      <c r="BQ326"/>
      <c r="BR326"/>
      <c r="BS326" t="s">
        <v>5</v>
      </c>
      <c r="BT326"/>
      <c r="BU326"/>
      <c r="BV326"/>
      <c r="BW326"/>
      <c r="BX326" t="s">
        <v>6</v>
      </c>
      <c r="BY326" t="s">
        <v>1681</v>
      </c>
      <c r="BZ326"/>
      <c r="CA326"/>
      <c r="CB326" t="s">
        <v>5</v>
      </c>
      <c r="CC326">
        <v>182701.58590066171</v>
      </c>
      <c r="CD326">
        <v>1529291216.041043</v>
      </c>
      <c r="CE326" s="313" t="s">
        <v>11891</v>
      </c>
    </row>
    <row r="327" spans="1:83" ht="15" x14ac:dyDescent="0.25">
      <c r="A327" t="s">
        <v>1682</v>
      </c>
      <c r="B327" t="s">
        <v>1683</v>
      </c>
      <c r="C327" t="s">
        <v>1684</v>
      </c>
      <c r="D327">
        <v>2</v>
      </c>
      <c r="E327" t="s">
        <v>1516</v>
      </c>
      <c r="F327" t="s">
        <v>1575</v>
      </c>
      <c r="G327" t="s">
        <v>1538</v>
      </c>
      <c r="H327" t="s">
        <v>4361</v>
      </c>
      <c r="I327" t="s">
        <v>1685</v>
      </c>
      <c r="J327" t="s">
        <v>1686</v>
      </c>
      <c r="K327" t="s">
        <v>1521</v>
      </c>
      <c r="L327">
        <v>8.3573799133300781</v>
      </c>
      <c r="M327" t="s">
        <v>6</v>
      </c>
      <c r="N327" t="s">
        <v>5</v>
      </c>
      <c r="O327" t="s">
        <v>5</v>
      </c>
      <c r="P327" t="s">
        <v>5</v>
      </c>
      <c r="Q327" t="s">
        <v>5</v>
      </c>
      <c r="R327" t="s">
        <v>1687</v>
      </c>
      <c r="S327" t="s">
        <v>1688</v>
      </c>
      <c r="T327" t="s">
        <v>5</v>
      </c>
      <c r="U327" t="s">
        <v>50</v>
      </c>
      <c r="V327">
        <v>100000</v>
      </c>
      <c r="W327">
        <v>100000</v>
      </c>
      <c r="X327" t="s">
        <v>5</v>
      </c>
      <c r="Y327"/>
      <c r="Z327"/>
      <c r="AA327">
        <v>1.857135057449341</v>
      </c>
      <c r="AB327">
        <v>3.8864191621541977E-2</v>
      </c>
      <c r="AC327">
        <v>0</v>
      </c>
      <c r="AD327">
        <v>79</v>
      </c>
      <c r="AE327">
        <v>16</v>
      </c>
      <c r="AF327">
        <v>56</v>
      </c>
      <c r="AG327">
        <v>827</v>
      </c>
      <c r="AH327">
        <v>580</v>
      </c>
      <c r="AI327">
        <v>1179</v>
      </c>
      <c r="AJ327">
        <v>1</v>
      </c>
      <c r="AK327">
        <v>0</v>
      </c>
      <c r="AL327">
        <v>10</v>
      </c>
      <c r="AM327"/>
      <c r="AN327">
        <v>66.463325500488281</v>
      </c>
      <c r="AO327"/>
      <c r="AP327"/>
      <c r="AQ327"/>
      <c r="AR327"/>
      <c r="AS327"/>
      <c r="AT327"/>
      <c r="AU327"/>
      <c r="AV327"/>
      <c r="AW327"/>
      <c r="AX327"/>
      <c r="AY327"/>
      <c r="AZ327"/>
      <c r="BA327"/>
      <c r="BB327"/>
      <c r="BC327"/>
      <c r="BD327"/>
      <c r="BE327"/>
      <c r="BF327" t="s">
        <v>1100</v>
      </c>
      <c r="BG327" t="s">
        <v>5</v>
      </c>
      <c r="BH327" t="s">
        <v>1524</v>
      </c>
      <c r="BI327" t="s">
        <v>5</v>
      </c>
      <c r="BJ327" t="s">
        <v>5</v>
      </c>
      <c r="BK327"/>
      <c r="BL327">
        <v>0</v>
      </c>
      <c r="BM327"/>
      <c r="BN327" t="s">
        <v>5</v>
      </c>
      <c r="BO327"/>
      <c r="BP327"/>
      <c r="BQ327"/>
      <c r="BR327"/>
      <c r="BS327" t="s">
        <v>5</v>
      </c>
      <c r="BT327"/>
      <c r="BU327"/>
      <c r="BV327"/>
      <c r="BW327"/>
      <c r="BX327" t="s">
        <v>6</v>
      </c>
      <c r="BY327" t="s">
        <v>1681</v>
      </c>
      <c r="BZ327"/>
      <c r="CA327"/>
      <c r="CB327" t="s">
        <v>5</v>
      </c>
      <c r="CC327">
        <v>37110.845732856898</v>
      </c>
      <c r="CD327">
        <v>21645514.575324189</v>
      </c>
      <c r="CE327" s="313" t="s">
        <v>11891</v>
      </c>
    </row>
    <row r="328" spans="1:83" ht="15" x14ac:dyDescent="0.25">
      <c r="A328" t="s">
        <v>1689</v>
      </c>
      <c r="B328" t="s">
        <v>1690</v>
      </c>
      <c r="C328" t="s">
        <v>1684</v>
      </c>
      <c r="D328">
        <v>2</v>
      </c>
      <c r="E328" t="s">
        <v>1516</v>
      </c>
      <c r="F328" t="s">
        <v>1528</v>
      </c>
      <c r="G328" t="s">
        <v>1691</v>
      </c>
      <c r="H328" t="s">
        <v>4362</v>
      </c>
      <c r="I328" t="s">
        <v>1692</v>
      </c>
      <c r="J328" t="s">
        <v>1693</v>
      </c>
      <c r="K328" t="s">
        <v>1521</v>
      </c>
      <c r="L328">
        <v>1.7842005491256709</v>
      </c>
      <c r="M328" t="s">
        <v>6</v>
      </c>
      <c r="N328" t="s">
        <v>5</v>
      </c>
      <c r="O328" t="s">
        <v>5</v>
      </c>
      <c r="P328" t="s">
        <v>5</v>
      </c>
      <c r="Q328" t="s">
        <v>5</v>
      </c>
      <c r="R328" t="s">
        <v>1694</v>
      </c>
      <c r="S328" t="s">
        <v>1695</v>
      </c>
      <c r="T328" t="s">
        <v>5</v>
      </c>
      <c r="U328" t="s">
        <v>50</v>
      </c>
      <c r="V328">
        <v>100000</v>
      </c>
      <c r="W328">
        <v>100000</v>
      </c>
      <c r="X328" t="s">
        <v>5</v>
      </c>
      <c r="Y328"/>
      <c r="Z328"/>
      <c r="AA328">
        <v>0.124019555747509</v>
      </c>
      <c r="AB328">
        <v>1.655343733727932E-2</v>
      </c>
      <c r="AC328">
        <v>0</v>
      </c>
      <c r="AD328">
        <v>17</v>
      </c>
      <c r="AE328">
        <v>2</v>
      </c>
      <c r="AF328">
        <v>13</v>
      </c>
      <c r="AG328">
        <v>283</v>
      </c>
      <c r="AH328">
        <v>20</v>
      </c>
      <c r="AI328">
        <v>299</v>
      </c>
      <c r="AJ328">
        <v>1</v>
      </c>
      <c r="AK328">
        <v>0</v>
      </c>
      <c r="AL328">
        <v>1</v>
      </c>
      <c r="AM328"/>
      <c r="AN328">
        <v>6.1368775367736816</v>
      </c>
      <c r="AO328"/>
      <c r="AP328"/>
      <c r="AQ328"/>
      <c r="AR328"/>
      <c r="AS328"/>
      <c r="AT328"/>
      <c r="AU328"/>
      <c r="AV328"/>
      <c r="AW328"/>
      <c r="AX328"/>
      <c r="AY328"/>
      <c r="AZ328"/>
      <c r="BA328"/>
      <c r="BB328"/>
      <c r="BC328"/>
      <c r="BD328"/>
      <c r="BE328"/>
      <c r="BF328" t="s">
        <v>1100</v>
      </c>
      <c r="BG328" t="s">
        <v>5</v>
      </c>
      <c r="BH328" t="s">
        <v>1524</v>
      </c>
      <c r="BI328" t="s">
        <v>5</v>
      </c>
      <c r="BJ328" t="s">
        <v>5</v>
      </c>
      <c r="BK328"/>
      <c r="BL328">
        <v>0</v>
      </c>
      <c r="BM328"/>
      <c r="BN328" t="s">
        <v>5</v>
      </c>
      <c r="BO328"/>
      <c r="BP328"/>
      <c r="BQ328"/>
      <c r="BR328"/>
      <c r="BS328" t="s">
        <v>5</v>
      </c>
      <c r="BT328"/>
      <c r="BU328"/>
      <c r="BV328"/>
      <c r="BW328"/>
      <c r="BX328" t="s">
        <v>6</v>
      </c>
      <c r="BY328" t="s">
        <v>1681</v>
      </c>
      <c r="BZ328"/>
      <c r="CA328"/>
      <c r="CB328" t="s">
        <v>5</v>
      </c>
      <c r="CC328">
        <v>25986.844596757801</v>
      </c>
      <c r="CD328">
        <v>4621058.1626296416</v>
      </c>
      <c r="CE328" s="313" t="s">
        <v>11891</v>
      </c>
    </row>
    <row r="329" spans="1:83" ht="15" x14ac:dyDescent="0.25">
      <c r="A329" t="s">
        <v>1716</v>
      </c>
      <c r="B329" t="s">
        <v>1717</v>
      </c>
      <c r="C329" t="s">
        <v>1718</v>
      </c>
      <c r="D329">
        <v>2</v>
      </c>
      <c r="E329" t="s">
        <v>1516</v>
      </c>
      <c r="F329" t="s">
        <v>1528</v>
      </c>
      <c r="G329" t="s">
        <v>1719</v>
      </c>
      <c r="H329" t="s">
        <v>1720</v>
      </c>
      <c r="I329" t="s">
        <v>1721</v>
      </c>
      <c r="J329" t="s">
        <v>1722</v>
      </c>
      <c r="K329" t="s">
        <v>1723</v>
      </c>
      <c r="L329">
        <v>1.054380536079407</v>
      </c>
      <c r="M329" t="s">
        <v>6</v>
      </c>
      <c r="N329" t="s">
        <v>5</v>
      </c>
      <c r="O329" t="s">
        <v>5</v>
      </c>
      <c r="P329" t="s">
        <v>5</v>
      </c>
      <c r="Q329" t="s">
        <v>5</v>
      </c>
      <c r="R329" t="s">
        <v>1724</v>
      </c>
      <c r="S329" t="s">
        <v>1725</v>
      </c>
      <c r="T329" t="s">
        <v>5</v>
      </c>
      <c r="U329" t="s">
        <v>98</v>
      </c>
      <c r="V329">
        <v>100000</v>
      </c>
      <c r="W329">
        <v>100000</v>
      </c>
      <c r="X329" t="s">
        <v>5</v>
      </c>
      <c r="Y329"/>
      <c r="Z329"/>
      <c r="AA329">
        <v>0.12939009070396421</v>
      </c>
      <c r="AB329">
        <v>1.110872160643339E-2</v>
      </c>
      <c r="AC329">
        <v>0</v>
      </c>
      <c r="AD329">
        <v>6</v>
      </c>
      <c r="AE329">
        <v>1</v>
      </c>
      <c r="AF329">
        <v>5</v>
      </c>
      <c r="AG329">
        <v>0</v>
      </c>
      <c r="AH329">
        <v>2</v>
      </c>
      <c r="AI329">
        <v>2</v>
      </c>
      <c r="AJ329">
        <v>0</v>
      </c>
      <c r="AK329">
        <v>0</v>
      </c>
      <c r="AL329">
        <v>1</v>
      </c>
      <c r="AM329"/>
      <c r="AN329">
        <v>3.107637882232666</v>
      </c>
      <c r="AO329"/>
      <c r="AP329"/>
      <c r="AQ329"/>
      <c r="AR329"/>
      <c r="AS329"/>
      <c r="AT329"/>
      <c r="AU329"/>
      <c r="AV329"/>
      <c r="AW329"/>
      <c r="AX329"/>
      <c r="AY329"/>
      <c r="AZ329"/>
      <c r="BA329"/>
      <c r="BB329"/>
      <c r="BC329"/>
      <c r="BD329"/>
      <c r="BE329"/>
      <c r="BF329" t="s">
        <v>1100</v>
      </c>
      <c r="BG329" t="s">
        <v>5</v>
      </c>
      <c r="BH329" t="s">
        <v>1524</v>
      </c>
      <c r="BI329" t="s">
        <v>5</v>
      </c>
      <c r="BJ329" t="s">
        <v>5</v>
      </c>
      <c r="BK329"/>
      <c r="BL329">
        <v>0</v>
      </c>
      <c r="BM329"/>
      <c r="BN329" t="s">
        <v>5</v>
      </c>
      <c r="BO329"/>
      <c r="BP329"/>
      <c r="BQ329"/>
      <c r="BR329"/>
      <c r="BS329" t="s">
        <v>5</v>
      </c>
      <c r="BT329"/>
      <c r="BU329"/>
      <c r="BV329"/>
      <c r="BW329"/>
      <c r="BX329" t="s">
        <v>6</v>
      </c>
      <c r="BY329" t="s">
        <v>1681</v>
      </c>
      <c r="BZ329"/>
      <c r="CA329"/>
      <c r="CB329" t="s">
        <v>5</v>
      </c>
      <c r="CC329">
        <v>16658.532915946071</v>
      </c>
      <c r="CD329">
        <v>2730833.1297964859</v>
      </c>
      <c r="CE329" s="313" t="s">
        <v>11891</v>
      </c>
    </row>
    <row r="330" spans="1:83" ht="15" x14ac:dyDescent="0.25">
      <c r="A330" t="s">
        <v>1733</v>
      </c>
      <c r="B330" t="s">
        <v>1734</v>
      </c>
      <c r="C330" t="s">
        <v>1515</v>
      </c>
      <c r="D330">
        <v>2</v>
      </c>
      <c r="E330" t="s">
        <v>1516</v>
      </c>
      <c r="F330" t="s">
        <v>1676</v>
      </c>
      <c r="G330" t="s">
        <v>1677</v>
      </c>
      <c r="H330" t="s">
        <v>4360</v>
      </c>
      <c r="I330" t="s">
        <v>1585</v>
      </c>
      <c r="J330" t="s">
        <v>1678</v>
      </c>
      <c r="K330" t="s">
        <v>1521</v>
      </c>
      <c r="L330">
        <v>590.462646484375</v>
      </c>
      <c r="M330" t="s">
        <v>6</v>
      </c>
      <c r="N330" t="s">
        <v>5</v>
      </c>
      <c r="O330" t="s">
        <v>5</v>
      </c>
      <c r="P330" t="s">
        <v>5</v>
      </c>
      <c r="Q330" t="s">
        <v>5</v>
      </c>
      <c r="R330" t="s">
        <v>1679</v>
      </c>
      <c r="S330" t="s">
        <v>1680</v>
      </c>
      <c r="T330" t="s">
        <v>5</v>
      </c>
      <c r="U330" t="s">
        <v>50</v>
      </c>
      <c r="V330">
        <v>100000</v>
      </c>
      <c r="W330">
        <v>100000</v>
      </c>
      <c r="X330" t="s">
        <v>5</v>
      </c>
      <c r="Y330"/>
      <c r="Z330"/>
      <c r="AA330">
        <v>113.7918319702148</v>
      </c>
      <c r="AB330">
        <v>0.51256906986236572</v>
      </c>
      <c r="AC330">
        <v>0</v>
      </c>
      <c r="AD330">
        <v>425</v>
      </c>
      <c r="AE330">
        <v>7</v>
      </c>
      <c r="AF330">
        <v>250</v>
      </c>
      <c r="AG330">
        <v>1920</v>
      </c>
      <c r="AH330">
        <v>677</v>
      </c>
      <c r="AI330">
        <v>2262</v>
      </c>
      <c r="AJ330">
        <v>10</v>
      </c>
      <c r="AK330">
        <v>3</v>
      </c>
      <c r="AL330">
        <v>91</v>
      </c>
      <c r="AM330"/>
      <c r="AN330">
        <v>611.719482421875</v>
      </c>
      <c r="AO330"/>
      <c r="AP330"/>
      <c r="AQ330"/>
      <c r="AR330"/>
      <c r="AS330"/>
      <c r="AT330"/>
      <c r="AU330"/>
      <c r="AV330"/>
      <c r="AW330"/>
      <c r="AX330"/>
      <c r="AY330"/>
      <c r="AZ330"/>
      <c r="BA330"/>
      <c r="BB330"/>
      <c r="BC330"/>
      <c r="BD330"/>
      <c r="BE330"/>
      <c r="BF330" t="s">
        <v>1100</v>
      </c>
      <c r="BG330" t="s">
        <v>5</v>
      </c>
      <c r="BH330" t="s">
        <v>1524</v>
      </c>
      <c r="BI330" t="s">
        <v>5</v>
      </c>
      <c r="BJ330" t="s">
        <v>5</v>
      </c>
      <c r="BK330"/>
      <c r="BL330">
        <v>0</v>
      </c>
      <c r="BM330"/>
      <c r="BN330" t="s">
        <v>5</v>
      </c>
      <c r="BO330"/>
      <c r="BP330"/>
      <c r="BQ330"/>
      <c r="BR330"/>
      <c r="BS330" t="s">
        <v>5</v>
      </c>
      <c r="BT330"/>
      <c r="BU330"/>
      <c r="BV330"/>
      <c r="BW330"/>
      <c r="BX330" t="s">
        <v>6</v>
      </c>
      <c r="BY330" t="s">
        <v>1534</v>
      </c>
      <c r="BZ330"/>
      <c r="CA330"/>
      <c r="CB330" t="s">
        <v>5</v>
      </c>
      <c r="CC330">
        <v>182701.58590066171</v>
      </c>
      <c r="CD330">
        <v>1529291216.041043</v>
      </c>
      <c r="CE330" s="313" t="s">
        <v>11891</v>
      </c>
    </row>
    <row r="331" spans="1:83" ht="15" x14ac:dyDescent="0.25">
      <c r="A331" t="s">
        <v>1735</v>
      </c>
      <c r="B331" t="s">
        <v>1736</v>
      </c>
      <c r="C331" t="s">
        <v>1515</v>
      </c>
      <c r="D331">
        <v>2</v>
      </c>
      <c r="E331" t="s">
        <v>1516</v>
      </c>
      <c r="F331" t="s">
        <v>1528</v>
      </c>
      <c r="G331" t="s">
        <v>1691</v>
      </c>
      <c r="H331" t="s">
        <v>4364</v>
      </c>
      <c r="I331" t="s">
        <v>1737</v>
      </c>
      <c r="J331" t="s">
        <v>1738</v>
      </c>
      <c r="K331" t="s">
        <v>1521</v>
      </c>
      <c r="L331">
        <v>1.420174837112427</v>
      </c>
      <c r="M331" t="s">
        <v>6</v>
      </c>
      <c r="N331" t="s">
        <v>5</v>
      </c>
      <c r="O331" t="s">
        <v>5</v>
      </c>
      <c r="P331" t="s">
        <v>5</v>
      </c>
      <c r="Q331" t="s">
        <v>5</v>
      </c>
      <c r="R331" t="s">
        <v>1739</v>
      </c>
      <c r="S331" t="s">
        <v>1740</v>
      </c>
      <c r="T331" t="s">
        <v>5</v>
      </c>
      <c r="U331" t="s">
        <v>50</v>
      </c>
      <c r="V331">
        <v>100000</v>
      </c>
      <c r="W331">
        <v>100000</v>
      </c>
      <c r="X331" t="s">
        <v>5</v>
      </c>
      <c r="Y331"/>
      <c r="Z331"/>
      <c r="AA331">
        <v>4.1391108185052872E-2</v>
      </c>
      <c r="AB331">
        <v>1.105933100916445E-3</v>
      </c>
      <c r="AC331">
        <v>0</v>
      </c>
      <c r="AD331">
        <v>1</v>
      </c>
      <c r="AE331">
        <v>0</v>
      </c>
      <c r="AF331">
        <v>1</v>
      </c>
      <c r="AG331">
        <v>1</v>
      </c>
      <c r="AH331">
        <v>3</v>
      </c>
      <c r="AI331">
        <v>3</v>
      </c>
      <c r="AJ331">
        <v>0</v>
      </c>
      <c r="AK331">
        <v>0</v>
      </c>
      <c r="AL331">
        <v>0</v>
      </c>
      <c r="AM331"/>
      <c r="AN331">
        <v>3.8855686187744141</v>
      </c>
      <c r="AO331"/>
      <c r="AP331"/>
      <c r="AQ331"/>
      <c r="AR331"/>
      <c r="AS331"/>
      <c r="AT331"/>
      <c r="AU331"/>
      <c r="AV331"/>
      <c r="AW331"/>
      <c r="AX331"/>
      <c r="AY331"/>
      <c r="AZ331"/>
      <c r="BA331"/>
      <c r="BB331"/>
      <c r="BC331"/>
      <c r="BD331"/>
      <c r="BE331"/>
      <c r="BF331" t="s">
        <v>1100</v>
      </c>
      <c r="BG331" t="s">
        <v>5</v>
      </c>
      <c r="BH331" t="s">
        <v>1524</v>
      </c>
      <c r="BI331" t="s">
        <v>5</v>
      </c>
      <c r="BJ331" t="s">
        <v>5</v>
      </c>
      <c r="BK331"/>
      <c r="BL331">
        <v>0</v>
      </c>
      <c r="BM331"/>
      <c r="BN331" t="s">
        <v>5</v>
      </c>
      <c r="BO331"/>
      <c r="BP331"/>
      <c r="BQ331"/>
      <c r="BR331"/>
      <c r="BS331" t="s">
        <v>5</v>
      </c>
      <c r="BT331"/>
      <c r="BU331"/>
      <c r="BV331"/>
      <c r="BW331"/>
      <c r="BX331" t="s">
        <v>6</v>
      </c>
      <c r="BY331" t="s">
        <v>1534</v>
      </c>
      <c r="BZ331"/>
      <c r="CA331"/>
      <c r="CB331" t="s">
        <v>5</v>
      </c>
      <c r="CC331">
        <v>13133.61471507052</v>
      </c>
      <c r="CD331">
        <v>3678236.0807775501</v>
      </c>
      <c r="CE331" s="313" t="s">
        <v>11891</v>
      </c>
    </row>
    <row r="332" spans="1:83" ht="15" x14ac:dyDescent="0.25">
      <c r="A332" t="s">
        <v>1750</v>
      </c>
      <c r="B332" t="s">
        <v>1751</v>
      </c>
      <c r="C332" t="s">
        <v>1752</v>
      </c>
      <c r="D332">
        <v>2</v>
      </c>
      <c r="E332" t="s">
        <v>1516</v>
      </c>
      <c r="F332" t="s">
        <v>1745</v>
      </c>
      <c r="G332" t="s">
        <v>1746</v>
      </c>
      <c r="H332"/>
      <c r="I332" t="s">
        <v>1585</v>
      </c>
      <c r="J332" t="s">
        <v>1585</v>
      </c>
      <c r="K332" t="s">
        <v>1753</v>
      </c>
      <c r="L332">
        <v>9160.388671875</v>
      </c>
      <c r="M332" t="s">
        <v>6</v>
      </c>
      <c r="N332" t="s">
        <v>5</v>
      </c>
      <c r="O332" t="s">
        <v>5</v>
      </c>
      <c r="P332" t="s">
        <v>5</v>
      </c>
      <c r="Q332" t="s">
        <v>5</v>
      </c>
      <c r="R332" t="s">
        <v>1748</v>
      </c>
      <c r="S332" t="s">
        <v>1749</v>
      </c>
      <c r="T332" t="s">
        <v>5</v>
      </c>
      <c r="U332" t="s">
        <v>13</v>
      </c>
      <c r="V332">
        <v>100000</v>
      </c>
      <c r="W332">
        <v>100000</v>
      </c>
      <c r="X332" t="s">
        <v>5</v>
      </c>
      <c r="Y332"/>
      <c r="Z332"/>
      <c r="AA332">
        <v>2820.708251953125</v>
      </c>
      <c r="AB332">
        <v>115.15859222412109</v>
      </c>
      <c r="AC332">
        <v>0</v>
      </c>
      <c r="AD332">
        <v>13438</v>
      </c>
      <c r="AE332">
        <v>1585</v>
      </c>
      <c r="AF332">
        <v>8069</v>
      </c>
      <c r="AG332">
        <v>37615</v>
      </c>
      <c r="AH332">
        <v>20723</v>
      </c>
      <c r="AI332">
        <v>51360</v>
      </c>
      <c r="AJ332">
        <v>159</v>
      </c>
      <c r="AK332">
        <v>116</v>
      </c>
      <c r="AL332">
        <v>1924</v>
      </c>
      <c r="AM332"/>
      <c r="AN332">
        <v>180986.3125</v>
      </c>
      <c r="AO332"/>
      <c r="AP332"/>
      <c r="AQ332"/>
      <c r="AR332"/>
      <c r="AS332"/>
      <c r="AT332"/>
      <c r="AU332"/>
      <c r="AV332"/>
      <c r="AW332"/>
      <c r="AX332"/>
      <c r="AY332"/>
      <c r="AZ332"/>
      <c r="BA332"/>
      <c r="BB332"/>
      <c r="BC332"/>
      <c r="BD332"/>
      <c r="BE332"/>
      <c r="BF332" t="s">
        <v>1100</v>
      </c>
      <c r="BG332" t="s">
        <v>5</v>
      </c>
      <c r="BH332" t="s">
        <v>1524</v>
      </c>
      <c r="BI332" t="s">
        <v>5</v>
      </c>
      <c r="BJ332" t="s">
        <v>5</v>
      </c>
      <c r="BK332"/>
      <c r="BL332">
        <v>0</v>
      </c>
      <c r="BM332"/>
      <c r="BN332" t="s">
        <v>5</v>
      </c>
      <c r="BO332"/>
      <c r="BP332"/>
      <c r="BQ332"/>
      <c r="BR332"/>
      <c r="BS332" t="s">
        <v>5</v>
      </c>
      <c r="BT332"/>
      <c r="BU332"/>
      <c r="BV332"/>
      <c r="BW332"/>
      <c r="BX332" t="s">
        <v>6</v>
      </c>
      <c r="BY332" t="s">
        <v>1681</v>
      </c>
      <c r="BZ332"/>
      <c r="CA332"/>
      <c r="CB332" t="s">
        <v>5</v>
      </c>
      <c r="CC332">
        <v>1281108.6032982951</v>
      </c>
      <c r="CD332">
        <v>23725296905.122398</v>
      </c>
      <c r="CE332" s="313" t="s">
        <v>11891</v>
      </c>
    </row>
    <row r="333" spans="1:83" ht="15" x14ac:dyDescent="0.25">
      <c r="A333" t="s">
        <v>1754</v>
      </c>
      <c r="B333" t="s">
        <v>1755</v>
      </c>
      <c r="C333" t="s">
        <v>1756</v>
      </c>
      <c r="D333">
        <v>2</v>
      </c>
      <c r="E333" t="s">
        <v>1516</v>
      </c>
      <c r="F333" t="s">
        <v>1745</v>
      </c>
      <c r="G333" t="s">
        <v>1746</v>
      </c>
      <c r="H333"/>
      <c r="I333" t="s">
        <v>1585</v>
      </c>
      <c r="J333" t="s">
        <v>1585</v>
      </c>
      <c r="K333" t="s">
        <v>1753</v>
      </c>
      <c r="L333">
        <v>9160.388671875</v>
      </c>
      <c r="M333" t="s">
        <v>6</v>
      </c>
      <c r="N333" t="s">
        <v>5</v>
      </c>
      <c r="O333" t="s">
        <v>5</v>
      </c>
      <c r="P333" t="s">
        <v>5</v>
      </c>
      <c r="Q333" t="s">
        <v>5</v>
      </c>
      <c r="R333" t="s">
        <v>1748</v>
      </c>
      <c r="S333" t="s">
        <v>1749</v>
      </c>
      <c r="T333" t="s">
        <v>5</v>
      </c>
      <c r="U333" t="s">
        <v>13</v>
      </c>
      <c r="V333">
        <v>100000</v>
      </c>
      <c r="W333">
        <v>100000</v>
      </c>
      <c r="X333" t="s">
        <v>5</v>
      </c>
      <c r="Y333"/>
      <c r="Z333"/>
      <c r="AA333">
        <v>2820.708251953125</v>
      </c>
      <c r="AB333">
        <v>115.15859222412109</v>
      </c>
      <c r="AC333">
        <v>0</v>
      </c>
      <c r="AD333">
        <v>13438</v>
      </c>
      <c r="AE333">
        <v>1585</v>
      </c>
      <c r="AF333">
        <v>8069</v>
      </c>
      <c r="AG333">
        <v>37615</v>
      </c>
      <c r="AH333">
        <v>20723</v>
      </c>
      <c r="AI333">
        <v>51360</v>
      </c>
      <c r="AJ333">
        <v>159</v>
      </c>
      <c r="AK333">
        <v>116</v>
      </c>
      <c r="AL333">
        <v>1924</v>
      </c>
      <c r="AM333"/>
      <c r="AN333">
        <v>180986.3125</v>
      </c>
      <c r="AO333"/>
      <c r="AP333"/>
      <c r="AQ333"/>
      <c r="AR333"/>
      <c r="AS333"/>
      <c r="AT333"/>
      <c r="AU333"/>
      <c r="AV333"/>
      <c r="AW333"/>
      <c r="AX333"/>
      <c r="AY333"/>
      <c r="AZ333"/>
      <c r="BA333"/>
      <c r="BB333"/>
      <c r="BC333"/>
      <c r="BD333"/>
      <c r="BE333"/>
      <c r="BF333" t="s">
        <v>1100</v>
      </c>
      <c r="BG333" t="s">
        <v>5</v>
      </c>
      <c r="BH333" t="s">
        <v>1524</v>
      </c>
      <c r="BI333" t="s">
        <v>5</v>
      </c>
      <c r="BJ333" t="s">
        <v>5</v>
      </c>
      <c r="BK333"/>
      <c r="BL333">
        <v>0</v>
      </c>
      <c r="BM333"/>
      <c r="BN333" t="s">
        <v>5</v>
      </c>
      <c r="BO333"/>
      <c r="BP333"/>
      <c r="BQ333"/>
      <c r="BR333"/>
      <c r="BS333" t="s">
        <v>5</v>
      </c>
      <c r="BT333"/>
      <c r="BU333"/>
      <c r="BV333"/>
      <c r="BW333"/>
      <c r="BX333" t="s">
        <v>6</v>
      </c>
      <c r="BY333" t="s">
        <v>1681</v>
      </c>
      <c r="BZ333"/>
      <c r="CA333"/>
      <c r="CB333" t="s">
        <v>5</v>
      </c>
      <c r="CC333">
        <v>1281108.6032982951</v>
      </c>
      <c r="CD333">
        <v>23725296905.122398</v>
      </c>
      <c r="CE333" s="313" t="s">
        <v>11891</v>
      </c>
    </row>
    <row r="334" spans="1:83" ht="15" x14ac:dyDescent="0.25">
      <c r="A334" t="s">
        <v>12046</v>
      </c>
      <c r="B334" t="s">
        <v>12047</v>
      </c>
      <c r="C334" t="s">
        <v>12048</v>
      </c>
      <c r="D334">
        <v>4</v>
      </c>
      <c r="E334" t="s">
        <v>2512</v>
      </c>
      <c r="F334" t="s">
        <v>2559</v>
      </c>
      <c r="G334" t="s">
        <v>2560</v>
      </c>
      <c r="H334" t="s">
        <v>12049</v>
      </c>
      <c r="I334" t="s">
        <v>12050</v>
      </c>
      <c r="J334" t="s">
        <v>12051</v>
      </c>
      <c r="K334" t="s">
        <v>4599</v>
      </c>
      <c r="L334">
        <v>3.4800000190734859</v>
      </c>
      <c r="M334" t="s">
        <v>6</v>
      </c>
      <c r="N334" t="s">
        <v>6</v>
      </c>
      <c r="O334" t="s">
        <v>5</v>
      </c>
      <c r="P334" t="s">
        <v>5</v>
      </c>
      <c r="Q334" t="s">
        <v>5</v>
      </c>
      <c r="R334" t="s">
        <v>6962</v>
      </c>
      <c r="S334" t="s">
        <v>6962</v>
      </c>
      <c r="T334" t="s">
        <v>6</v>
      </c>
      <c r="U334" t="s">
        <v>98</v>
      </c>
      <c r="V334">
        <v>1000000</v>
      </c>
      <c r="W334">
        <v>100000</v>
      </c>
      <c r="X334" t="s">
        <v>6</v>
      </c>
      <c r="Y334" t="s">
        <v>1100</v>
      </c>
      <c r="Z334">
        <v>0</v>
      </c>
      <c r="AA334">
        <v>2.0399999618530269</v>
      </c>
      <c r="AB334">
        <v>0.88999998569488525</v>
      </c>
      <c r="AC334">
        <v>0</v>
      </c>
      <c r="AD334">
        <v>1162</v>
      </c>
      <c r="AE334">
        <v>676</v>
      </c>
      <c r="AF334">
        <v>1012</v>
      </c>
      <c r="AG334">
        <v>1659</v>
      </c>
      <c r="AH334">
        <v>2027</v>
      </c>
      <c r="AI334">
        <v>3039</v>
      </c>
      <c r="AJ334">
        <v>0</v>
      </c>
      <c r="AK334">
        <v>0</v>
      </c>
      <c r="AL334">
        <v>21</v>
      </c>
      <c r="AM334">
        <v>0</v>
      </c>
      <c r="AN334">
        <v>55.880001068115227</v>
      </c>
      <c r="AO334"/>
      <c r="AP334"/>
      <c r="AQ334"/>
      <c r="AR334">
        <v>0</v>
      </c>
      <c r="AS334">
        <v>0</v>
      </c>
      <c r="AT334">
        <v>0</v>
      </c>
      <c r="AU334">
        <v>0</v>
      </c>
      <c r="AV334">
        <v>0</v>
      </c>
      <c r="AW334">
        <v>0</v>
      </c>
      <c r="AX334">
        <v>0</v>
      </c>
      <c r="AY334">
        <v>0</v>
      </c>
      <c r="AZ334">
        <v>0</v>
      </c>
      <c r="BA334">
        <v>0</v>
      </c>
      <c r="BB334"/>
      <c r="BC334"/>
      <c r="BD334"/>
      <c r="BE334">
        <v>0</v>
      </c>
      <c r="BF334" t="s">
        <v>2516</v>
      </c>
      <c r="BG334" t="s">
        <v>5</v>
      </c>
      <c r="BH334" t="s">
        <v>1100</v>
      </c>
      <c r="BI334" t="s">
        <v>1100</v>
      </c>
      <c r="BJ334" t="s">
        <v>5</v>
      </c>
      <c r="BK334" t="s">
        <v>1100</v>
      </c>
      <c r="BL334">
        <v>0</v>
      </c>
      <c r="BM334"/>
      <c r="BN334" t="s">
        <v>5</v>
      </c>
      <c r="BO334" t="s">
        <v>2518</v>
      </c>
      <c r="BP334" t="s">
        <v>2518</v>
      </c>
      <c r="BQ334" t="s">
        <v>2518</v>
      </c>
      <c r="BR334" t="s">
        <v>2518</v>
      </c>
      <c r="BS334" t="s">
        <v>6</v>
      </c>
      <c r="BT334" t="s">
        <v>2518</v>
      </c>
      <c r="BU334" t="s">
        <v>2518</v>
      </c>
      <c r="BV334" t="s">
        <v>2518</v>
      </c>
      <c r="BW334" t="s">
        <v>1100</v>
      </c>
      <c r="BX334" t="s">
        <v>6</v>
      </c>
      <c r="BY334" t="s">
        <v>2519</v>
      </c>
      <c r="BZ334"/>
      <c r="CA334"/>
      <c r="CB334" t="s">
        <v>5</v>
      </c>
      <c r="CC334">
        <v>18636.19935892379</v>
      </c>
      <c r="CD334">
        <v>9007944.0698737353</v>
      </c>
      <c r="CE334" s="313" t="s">
        <v>11902</v>
      </c>
    </row>
    <row r="335" spans="1:83" ht="15" x14ac:dyDescent="0.25">
      <c r="A335" t="s">
        <v>12052</v>
      </c>
      <c r="B335" t="s">
        <v>12053</v>
      </c>
      <c r="C335" t="s">
        <v>12054</v>
      </c>
      <c r="D335">
        <v>4</v>
      </c>
      <c r="E335" t="s">
        <v>2512</v>
      </c>
      <c r="F335" t="s">
        <v>2559</v>
      </c>
      <c r="G335" t="s">
        <v>2560</v>
      </c>
      <c r="H335" t="s">
        <v>12049</v>
      </c>
      <c r="I335" t="s">
        <v>12050</v>
      </c>
      <c r="J335" t="s">
        <v>12051</v>
      </c>
      <c r="K335" t="s">
        <v>4756</v>
      </c>
      <c r="L335">
        <v>3.4800000190734859</v>
      </c>
      <c r="M335" t="s">
        <v>6</v>
      </c>
      <c r="N335" t="s">
        <v>6</v>
      </c>
      <c r="O335" t="s">
        <v>5</v>
      </c>
      <c r="P335" t="s">
        <v>5</v>
      </c>
      <c r="Q335" t="s">
        <v>5</v>
      </c>
      <c r="R335" t="s">
        <v>6962</v>
      </c>
      <c r="S335" t="s">
        <v>6962</v>
      </c>
      <c r="T335" t="s">
        <v>6</v>
      </c>
      <c r="U335" t="s">
        <v>85</v>
      </c>
      <c r="V335">
        <v>3000000</v>
      </c>
      <c r="W335">
        <v>100000</v>
      </c>
      <c r="X335" t="s">
        <v>6</v>
      </c>
      <c r="Y335" t="s">
        <v>1100</v>
      </c>
      <c r="Z335">
        <v>0</v>
      </c>
      <c r="AA335">
        <v>2.0399999618530269</v>
      </c>
      <c r="AB335">
        <v>0.88999998569488525</v>
      </c>
      <c r="AC335">
        <v>0</v>
      </c>
      <c r="AD335">
        <v>1162</v>
      </c>
      <c r="AE335">
        <v>676</v>
      </c>
      <c r="AF335">
        <v>1012</v>
      </c>
      <c r="AG335">
        <v>1659</v>
      </c>
      <c r="AH335">
        <v>2027</v>
      </c>
      <c r="AI335">
        <v>3039</v>
      </c>
      <c r="AJ335">
        <v>0</v>
      </c>
      <c r="AK335">
        <v>0</v>
      </c>
      <c r="AL335">
        <v>21</v>
      </c>
      <c r="AM335">
        <v>0</v>
      </c>
      <c r="AN335">
        <v>55.880001068115227</v>
      </c>
      <c r="AO335"/>
      <c r="AP335"/>
      <c r="AQ335"/>
      <c r="AR335">
        <v>0</v>
      </c>
      <c r="AS335">
        <v>0</v>
      </c>
      <c r="AT335">
        <v>0</v>
      </c>
      <c r="AU335">
        <v>0</v>
      </c>
      <c r="AV335">
        <v>0</v>
      </c>
      <c r="AW335">
        <v>0</v>
      </c>
      <c r="AX335">
        <v>0</v>
      </c>
      <c r="AY335">
        <v>0</v>
      </c>
      <c r="AZ335">
        <v>0</v>
      </c>
      <c r="BA335">
        <v>0</v>
      </c>
      <c r="BB335"/>
      <c r="BC335"/>
      <c r="BD335"/>
      <c r="BE335">
        <v>0</v>
      </c>
      <c r="BF335" t="s">
        <v>2516</v>
      </c>
      <c r="BG335" t="s">
        <v>5</v>
      </c>
      <c r="BH335" t="s">
        <v>1020</v>
      </c>
      <c r="BI335" t="s">
        <v>1100</v>
      </c>
      <c r="BJ335" t="s">
        <v>5</v>
      </c>
      <c r="BK335" t="s">
        <v>1100</v>
      </c>
      <c r="BL335">
        <v>0</v>
      </c>
      <c r="BM335"/>
      <c r="BN335" t="s">
        <v>5</v>
      </c>
      <c r="BO335" t="s">
        <v>2518</v>
      </c>
      <c r="BP335" t="s">
        <v>2518</v>
      </c>
      <c r="BQ335" t="s">
        <v>2518</v>
      </c>
      <c r="BR335" t="s">
        <v>2518</v>
      </c>
      <c r="BS335" t="s">
        <v>6</v>
      </c>
      <c r="BT335" t="s">
        <v>2518</v>
      </c>
      <c r="BU335" t="s">
        <v>2518</v>
      </c>
      <c r="BV335" t="s">
        <v>2518</v>
      </c>
      <c r="BW335" t="s">
        <v>1100</v>
      </c>
      <c r="BX335" t="s">
        <v>6</v>
      </c>
      <c r="BY335" t="s">
        <v>2519</v>
      </c>
      <c r="BZ335"/>
      <c r="CA335"/>
      <c r="CB335" t="s">
        <v>5</v>
      </c>
      <c r="CC335">
        <v>18636.19935892379</v>
      </c>
      <c r="CD335">
        <v>9007944.0698737353</v>
      </c>
      <c r="CE335" s="313" t="s">
        <v>11902</v>
      </c>
    </row>
    <row r="336" spans="1:83" ht="15" x14ac:dyDescent="0.25">
      <c r="A336" t="s">
        <v>12055</v>
      </c>
      <c r="B336" t="s">
        <v>12056</v>
      </c>
      <c r="C336" t="s">
        <v>12057</v>
      </c>
      <c r="D336">
        <v>4</v>
      </c>
      <c r="E336" t="s">
        <v>2512</v>
      </c>
      <c r="F336" t="s">
        <v>2559</v>
      </c>
      <c r="G336" t="s">
        <v>2560</v>
      </c>
      <c r="H336" t="s">
        <v>12049</v>
      </c>
      <c r="I336" t="s">
        <v>12050</v>
      </c>
      <c r="J336" t="s">
        <v>12051</v>
      </c>
      <c r="K336" t="s">
        <v>4599</v>
      </c>
      <c r="L336">
        <v>3.4800000190734859</v>
      </c>
      <c r="M336" t="s">
        <v>6</v>
      </c>
      <c r="N336" t="s">
        <v>6</v>
      </c>
      <c r="O336" t="s">
        <v>5</v>
      </c>
      <c r="P336" t="s">
        <v>5</v>
      </c>
      <c r="Q336" t="s">
        <v>5</v>
      </c>
      <c r="R336" t="s">
        <v>6962</v>
      </c>
      <c r="S336" t="s">
        <v>6962</v>
      </c>
      <c r="T336" t="s">
        <v>6</v>
      </c>
      <c r="U336" t="s">
        <v>98</v>
      </c>
      <c r="V336">
        <v>2000000</v>
      </c>
      <c r="W336">
        <v>100000</v>
      </c>
      <c r="X336" t="s">
        <v>6</v>
      </c>
      <c r="Y336" t="s">
        <v>1100</v>
      </c>
      <c r="Z336">
        <v>0</v>
      </c>
      <c r="AA336">
        <v>2.0399999618530269</v>
      </c>
      <c r="AB336">
        <v>0.88999998569488525</v>
      </c>
      <c r="AC336">
        <v>0</v>
      </c>
      <c r="AD336">
        <v>1162</v>
      </c>
      <c r="AE336">
        <v>676</v>
      </c>
      <c r="AF336">
        <v>1012</v>
      </c>
      <c r="AG336">
        <v>1659</v>
      </c>
      <c r="AH336">
        <v>2027</v>
      </c>
      <c r="AI336">
        <v>3039</v>
      </c>
      <c r="AJ336">
        <v>0</v>
      </c>
      <c r="AK336">
        <v>0</v>
      </c>
      <c r="AL336">
        <v>21</v>
      </c>
      <c r="AM336">
        <v>0</v>
      </c>
      <c r="AN336">
        <v>55.880001068115227</v>
      </c>
      <c r="AO336"/>
      <c r="AP336"/>
      <c r="AQ336"/>
      <c r="AR336">
        <v>0</v>
      </c>
      <c r="AS336">
        <v>0</v>
      </c>
      <c r="AT336">
        <v>0</v>
      </c>
      <c r="AU336">
        <v>0</v>
      </c>
      <c r="AV336">
        <v>0</v>
      </c>
      <c r="AW336">
        <v>0</v>
      </c>
      <c r="AX336">
        <v>0</v>
      </c>
      <c r="AY336">
        <v>0</v>
      </c>
      <c r="AZ336">
        <v>0</v>
      </c>
      <c r="BA336">
        <v>0</v>
      </c>
      <c r="BB336"/>
      <c r="BC336"/>
      <c r="BD336"/>
      <c r="BE336">
        <v>0</v>
      </c>
      <c r="BF336" t="s">
        <v>2516</v>
      </c>
      <c r="BG336" t="s">
        <v>5</v>
      </c>
      <c r="BH336" t="s">
        <v>1100</v>
      </c>
      <c r="BI336" t="s">
        <v>1100</v>
      </c>
      <c r="BJ336" t="s">
        <v>5</v>
      </c>
      <c r="BK336" t="s">
        <v>1100</v>
      </c>
      <c r="BL336">
        <v>0</v>
      </c>
      <c r="BM336"/>
      <c r="BN336" t="s">
        <v>5</v>
      </c>
      <c r="BO336" t="s">
        <v>2518</v>
      </c>
      <c r="BP336" t="s">
        <v>2518</v>
      </c>
      <c r="BQ336" t="s">
        <v>2518</v>
      </c>
      <c r="BR336" t="s">
        <v>2518</v>
      </c>
      <c r="BS336" t="s">
        <v>6</v>
      </c>
      <c r="BT336" t="s">
        <v>2518</v>
      </c>
      <c r="BU336" t="s">
        <v>2518</v>
      </c>
      <c r="BV336" t="s">
        <v>2518</v>
      </c>
      <c r="BW336" t="s">
        <v>1100</v>
      </c>
      <c r="BX336" t="s">
        <v>6</v>
      </c>
      <c r="BY336" t="s">
        <v>2519</v>
      </c>
      <c r="BZ336"/>
      <c r="CA336"/>
      <c r="CB336" t="s">
        <v>5</v>
      </c>
      <c r="CC336">
        <v>18636.19935892379</v>
      </c>
      <c r="CD336">
        <v>9007944.0698737353</v>
      </c>
      <c r="CE336" s="313" t="s">
        <v>11902</v>
      </c>
    </row>
    <row r="337" spans="1:83" ht="15" x14ac:dyDescent="0.25">
      <c r="A337" t="s">
        <v>12058</v>
      </c>
      <c r="B337" t="s">
        <v>12059</v>
      </c>
      <c r="C337" t="s">
        <v>4747</v>
      </c>
      <c r="D337">
        <v>4</v>
      </c>
      <c r="E337" t="s">
        <v>2512</v>
      </c>
      <c r="F337" t="s">
        <v>2559</v>
      </c>
      <c r="G337" t="s">
        <v>2560</v>
      </c>
      <c r="H337" t="s">
        <v>4773</v>
      </c>
      <c r="I337" t="s">
        <v>12060</v>
      </c>
      <c r="J337" t="s">
        <v>12061</v>
      </c>
      <c r="K337" t="s">
        <v>4575</v>
      </c>
      <c r="L337">
        <v>23.940000534057621</v>
      </c>
      <c r="M337" t="s">
        <v>6</v>
      </c>
      <c r="N337" t="s">
        <v>6</v>
      </c>
      <c r="O337" t="s">
        <v>5</v>
      </c>
      <c r="P337" t="s">
        <v>5</v>
      </c>
      <c r="Q337" t="s">
        <v>5</v>
      </c>
      <c r="R337" t="s">
        <v>5483</v>
      </c>
      <c r="S337" t="s">
        <v>5483</v>
      </c>
      <c r="T337" t="s">
        <v>6</v>
      </c>
      <c r="U337" t="s">
        <v>50</v>
      </c>
      <c r="V337">
        <v>100000</v>
      </c>
      <c r="W337">
        <v>100000</v>
      </c>
      <c r="X337" t="s">
        <v>6</v>
      </c>
      <c r="Y337" t="s">
        <v>1100</v>
      </c>
      <c r="Z337">
        <v>0</v>
      </c>
      <c r="AA337">
        <v>16.180000305175781</v>
      </c>
      <c r="AB337">
        <v>3.9000000953674321</v>
      </c>
      <c r="AC337">
        <v>0</v>
      </c>
      <c r="AD337">
        <v>4650</v>
      </c>
      <c r="AE337">
        <v>2960</v>
      </c>
      <c r="AF337">
        <v>3705</v>
      </c>
      <c r="AG337">
        <v>12742</v>
      </c>
      <c r="AH337">
        <v>9184</v>
      </c>
      <c r="AI337">
        <v>18497</v>
      </c>
      <c r="AJ337">
        <v>52</v>
      </c>
      <c r="AK337">
        <v>12</v>
      </c>
      <c r="AL337">
        <v>134</v>
      </c>
      <c r="AM337">
        <v>0</v>
      </c>
      <c r="AN337">
        <v>1537.31005859375</v>
      </c>
      <c r="AO337"/>
      <c r="AP337"/>
      <c r="AQ337"/>
      <c r="AR337">
        <v>0</v>
      </c>
      <c r="AS337">
        <v>0</v>
      </c>
      <c r="AT337">
        <v>0</v>
      </c>
      <c r="AU337">
        <v>0</v>
      </c>
      <c r="AV337">
        <v>0</v>
      </c>
      <c r="AW337">
        <v>0</v>
      </c>
      <c r="AX337">
        <v>0</v>
      </c>
      <c r="AY337">
        <v>0</v>
      </c>
      <c r="AZ337">
        <v>0</v>
      </c>
      <c r="BA337">
        <v>0</v>
      </c>
      <c r="BB337"/>
      <c r="BC337"/>
      <c r="BD337"/>
      <c r="BE337">
        <v>0</v>
      </c>
      <c r="BF337" t="s">
        <v>2516</v>
      </c>
      <c r="BG337" t="s">
        <v>5</v>
      </c>
      <c r="BH337" t="s">
        <v>1100</v>
      </c>
      <c r="BI337" t="s">
        <v>1100</v>
      </c>
      <c r="BJ337" t="s">
        <v>5</v>
      </c>
      <c r="BK337" t="s">
        <v>1100</v>
      </c>
      <c r="BL337">
        <v>0</v>
      </c>
      <c r="BM337"/>
      <c r="BN337" t="s">
        <v>5</v>
      </c>
      <c r="BO337" t="s">
        <v>2518</v>
      </c>
      <c r="BP337" t="s">
        <v>2518</v>
      </c>
      <c r="BQ337" t="s">
        <v>2518</v>
      </c>
      <c r="BR337" t="s">
        <v>2518</v>
      </c>
      <c r="BS337" t="s">
        <v>6</v>
      </c>
      <c r="BT337" t="s">
        <v>2518</v>
      </c>
      <c r="BU337" t="s">
        <v>2518</v>
      </c>
      <c r="BV337" t="s">
        <v>2518</v>
      </c>
      <c r="BW337" t="s">
        <v>1100</v>
      </c>
      <c r="BX337" t="s">
        <v>6</v>
      </c>
      <c r="BY337" t="s">
        <v>2519</v>
      </c>
      <c r="BZ337"/>
      <c r="CA337"/>
      <c r="CB337" t="s">
        <v>5</v>
      </c>
      <c r="CC337">
        <v>199603.37255270491</v>
      </c>
      <c r="CD337">
        <v>62005076.887919173</v>
      </c>
      <c r="CE337" s="313" t="s">
        <v>11902</v>
      </c>
    </row>
    <row r="338" spans="1:83" ht="15" x14ac:dyDescent="0.25">
      <c r="A338" t="s">
        <v>12065</v>
      </c>
      <c r="B338" t="s">
        <v>12066</v>
      </c>
      <c r="C338" t="s">
        <v>12067</v>
      </c>
      <c r="D338">
        <v>4</v>
      </c>
      <c r="E338" t="s">
        <v>2512</v>
      </c>
      <c r="F338" t="s">
        <v>2559</v>
      </c>
      <c r="G338" t="s">
        <v>2560</v>
      </c>
      <c r="H338" t="s">
        <v>4773</v>
      </c>
      <c r="I338" t="s">
        <v>12060</v>
      </c>
      <c r="J338" t="s">
        <v>12061</v>
      </c>
      <c r="K338" t="s">
        <v>4756</v>
      </c>
      <c r="L338">
        <v>23.940000534057621</v>
      </c>
      <c r="M338" t="s">
        <v>6</v>
      </c>
      <c r="N338" t="s">
        <v>6</v>
      </c>
      <c r="O338" t="s">
        <v>5</v>
      </c>
      <c r="P338" t="s">
        <v>5</v>
      </c>
      <c r="Q338" t="s">
        <v>5</v>
      </c>
      <c r="R338" t="s">
        <v>5483</v>
      </c>
      <c r="S338" t="s">
        <v>5483</v>
      </c>
      <c r="T338" t="s">
        <v>6</v>
      </c>
      <c r="U338" t="s">
        <v>85</v>
      </c>
      <c r="V338">
        <v>100000</v>
      </c>
      <c r="W338">
        <v>100000</v>
      </c>
      <c r="X338" t="s">
        <v>6</v>
      </c>
      <c r="Y338" t="s">
        <v>1100</v>
      </c>
      <c r="Z338">
        <v>0</v>
      </c>
      <c r="AA338">
        <v>16.180000305175781</v>
      </c>
      <c r="AB338">
        <v>3.9000000953674321</v>
      </c>
      <c r="AC338">
        <v>0</v>
      </c>
      <c r="AD338">
        <v>4650</v>
      </c>
      <c r="AE338">
        <v>2960</v>
      </c>
      <c r="AF338">
        <v>3705</v>
      </c>
      <c r="AG338">
        <v>12742</v>
      </c>
      <c r="AH338">
        <v>9184</v>
      </c>
      <c r="AI338">
        <v>18497</v>
      </c>
      <c r="AJ338">
        <v>52</v>
      </c>
      <c r="AK338">
        <v>12</v>
      </c>
      <c r="AL338">
        <v>134</v>
      </c>
      <c r="AM338">
        <v>0</v>
      </c>
      <c r="AN338">
        <v>1537.31005859375</v>
      </c>
      <c r="AO338"/>
      <c r="AP338"/>
      <c r="AQ338"/>
      <c r="AR338">
        <v>0</v>
      </c>
      <c r="AS338">
        <v>0</v>
      </c>
      <c r="AT338">
        <v>0</v>
      </c>
      <c r="AU338">
        <v>0</v>
      </c>
      <c r="AV338">
        <v>0</v>
      </c>
      <c r="AW338">
        <v>0</v>
      </c>
      <c r="AX338">
        <v>0</v>
      </c>
      <c r="AY338">
        <v>0</v>
      </c>
      <c r="AZ338">
        <v>0</v>
      </c>
      <c r="BA338">
        <v>0</v>
      </c>
      <c r="BB338"/>
      <c r="BC338"/>
      <c r="BD338"/>
      <c r="BE338">
        <v>0</v>
      </c>
      <c r="BF338" t="s">
        <v>2516</v>
      </c>
      <c r="BG338" t="s">
        <v>5</v>
      </c>
      <c r="BH338" t="s">
        <v>1020</v>
      </c>
      <c r="BI338" t="s">
        <v>1100</v>
      </c>
      <c r="BJ338" t="s">
        <v>5</v>
      </c>
      <c r="BK338" t="s">
        <v>1100</v>
      </c>
      <c r="BL338">
        <v>0</v>
      </c>
      <c r="BM338"/>
      <c r="BN338" t="s">
        <v>5</v>
      </c>
      <c r="BO338" t="s">
        <v>2518</v>
      </c>
      <c r="BP338" t="s">
        <v>2518</v>
      </c>
      <c r="BQ338" t="s">
        <v>2518</v>
      </c>
      <c r="BR338" t="s">
        <v>2518</v>
      </c>
      <c r="BS338" t="s">
        <v>6</v>
      </c>
      <c r="BT338" t="s">
        <v>2518</v>
      </c>
      <c r="BU338" t="s">
        <v>2518</v>
      </c>
      <c r="BV338" t="s">
        <v>2518</v>
      </c>
      <c r="BW338" t="s">
        <v>1100</v>
      </c>
      <c r="BX338" t="s">
        <v>6</v>
      </c>
      <c r="BY338" t="s">
        <v>2519</v>
      </c>
      <c r="BZ338"/>
      <c r="CA338"/>
      <c r="CB338" t="s">
        <v>5</v>
      </c>
      <c r="CC338">
        <v>199603.37255270491</v>
      </c>
      <c r="CD338">
        <v>62005076.887919173</v>
      </c>
      <c r="CE338" s="313" t="s">
        <v>11902</v>
      </c>
    </row>
    <row r="339" spans="1:83" ht="15" x14ac:dyDescent="0.25">
      <c r="A339" t="s">
        <v>12079</v>
      </c>
      <c r="B339" t="s">
        <v>12080</v>
      </c>
      <c r="C339" t="s">
        <v>12081</v>
      </c>
      <c r="D339">
        <v>4</v>
      </c>
      <c r="E339" t="s">
        <v>2512</v>
      </c>
      <c r="F339" t="s">
        <v>4736</v>
      </c>
      <c r="G339" t="s">
        <v>2537</v>
      </c>
      <c r="H339" t="s">
        <v>4824</v>
      </c>
      <c r="I339" t="s">
        <v>4825</v>
      </c>
      <c r="J339" t="s">
        <v>4826</v>
      </c>
      <c r="K339" t="s">
        <v>4761</v>
      </c>
      <c r="L339">
        <v>55.714336395263672</v>
      </c>
      <c r="M339" t="s">
        <v>6</v>
      </c>
      <c r="N339" t="s">
        <v>5</v>
      </c>
      <c r="O339" t="s">
        <v>5</v>
      </c>
      <c r="P339" t="s">
        <v>5</v>
      </c>
      <c r="Q339" t="s">
        <v>5</v>
      </c>
      <c r="R339" t="s">
        <v>4737</v>
      </c>
      <c r="S339" t="s">
        <v>4737</v>
      </c>
      <c r="T339" t="s">
        <v>5</v>
      </c>
      <c r="U339" t="s">
        <v>50</v>
      </c>
      <c r="V339">
        <v>100000</v>
      </c>
      <c r="W339">
        <v>100000</v>
      </c>
      <c r="X339" t="s">
        <v>6</v>
      </c>
      <c r="Y339"/>
      <c r="Z339">
        <v>0</v>
      </c>
      <c r="AA339">
        <v>17.052947998046879</v>
      </c>
      <c r="AB339">
        <v>2.191315889358521</v>
      </c>
      <c r="AC339">
        <v>0</v>
      </c>
      <c r="AD339">
        <v>1379</v>
      </c>
      <c r="AE339">
        <v>419</v>
      </c>
      <c r="AF339">
        <v>1024</v>
      </c>
      <c r="AG339">
        <v>10126</v>
      </c>
      <c r="AH339">
        <v>3757</v>
      </c>
      <c r="AI339">
        <v>10126</v>
      </c>
      <c r="AJ339">
        <v>9</v>
      </c>
      <c r="AK339">
        <v>0</v>
      </c>
      <c r="AL339">
        <v>41</v>
      </c>
      <c r="AM339">
        <v>0</v>
      </c>
      <c r="AN339">
        <v>294.66531372070313</v>
      </c>
      <c r="AO339"/>
      <c r="AP339"/>
      <c r="AQ339"/>
      <c r="AR339">
        <v>0</v>
      </c>
      <c r="AS339">
        <v>0</v>
      </c>
      <c r="AT339">
        <v>0</v>
      </c>
      <c r="AU339">
        <v>0</v>
      </c>
      <c r="AV339">
        <v>0</v>
      </c>
      <c r="AW339">
        <v>0</v>
      </c>
      <c r="AX339">
        <v>0</v>
      </c>
      <c r="AY339">
        <v>0</v>
      </c>
      <c r="AZ339">
        <v>0</v>
      </c>
      <c r="BA339">
        <v>0</v>
      </c>
      <c r="BB339"/>
      <c r="BC339"/>
      <c r="BD339"/>
      <c r="BE339">
        <v>0</v>
      </c>
      <c r="BF339" t="s">
        <v>2516</v>
      </c>
      <c r="BG339" t="s">
        <v>5</v>
      </c>
      <c r="BH339" t="s">
        <v>1020</v>
      </c>
      <c r="BI339" t="s">
        <v>2517</v>
      </c>
      <c r="BJ339" t="s">
        <v>5</v>
      </c>
      <c r="BK339" t="s">
        <v>1100</v>
      </c>
      <c r="BL339">
        <v>0</v>
      </c>
      <c r="BM339"/>
      <c r="BN339" t="s">
        <v>5</v>
      </c>
      <c r="BO339" t="s">
        <v>2518</v>
      </c>
      <c r="BP339" t="s">
        <v>2518</v>
      </c>
      <c r="BQ339" t="s">
        <v>2518</v>
      </c>
      <c r="BR339" t="s">
        <v>2518</v>
      </c>
      <c r="BS339" t="s">
        <v>6</v>
      </c>
      <c r="BT339" t="s">
        <v>2518</v>
      </c>
      <c r="BU339" t="s">
        <v>2518</v>
      </c>
      <c r="BV339" t="s">
        <v>2518</v>
      </c>
      <c r="BW339" t="s">
        <v>1100</v>
      </c>
      <c r="BX339" t="s">
        <v>6</v>
      </c>
      <c r="BY339" t="s">
        <v>2519</v>
      </c>
      <c r="BZ339"/>
      <c r="CA339"/>
      <c r="CB339" t="s">
        <v>5</v>
      </c>
      <c r="CC339">
        <v>95009.265056235134</v>
      </c>
      <c r="CD339">
        <v>144299464.57571331</v>
      </c>
      <c r="CE339" s="313" t="s">
        <v>11891</v>
      </c>
    </row>
    <row r="340" spans="1:83" ht="15" x14ac:dyDescent="0.25">
      <c r="A340" t="s">
        <v>4830</v>
      </c>
      <c r="B340" t="s">
        <v>4831</v>
      </c>
      <c r="C340" t="s">
        <v>4832</v>
      </c>
      <c r="D340">
        <v>4</v>
      </c>
      <c r="E340" t="s">
        <v>2512</v>
      </c>
      <c r="F340" t="s">
        <v>4736</v>
      </c>
      <c r="G340" t="s">
        <v>2537</v>
      </c>
      <c r="H340" t="s">
        <v>4824</v>
      </c>
      <c r="I340" t="s">
        <v>4825</v>
      </c>
      <c r="J340" t="s">
        <v>4826</v>
      </c>
      <c r="K340" t="s">
        <v>4748</v>
      </c>
      <c r="L340">
        <v>55.714336395263672</v>
      </c>
      <c r="M340" t="s">
        <v>6</v>
      </c>
      <c r="N340" t="s">
        <v>5</v>
      </c>
      <c r="O340" t="s">
        <v>5</v>
      </c>
      <c r="P340" t="s">
        <v>5</v>
      </c>
      <c r="Q340" t="s">
        <v>5</v>
      </c>
      <c r="R340" t="s">
        <v>4737</v>
      </c>
      <c r="S340" t="s">
        <v>4737</v>
      </c>
      <c r="T340" t="s">
        <v>5</v>
      </c>
      <c r="U340" t="s">
        <v>98</v>
      </c>
      <c r="V340">
        <v>100000</v>
      </c>
      <c r="W340">
        <v>100000</v>
      </c>
      <c r="X340" t="s">
        <v>6</v>
      </c>
      <c r="Y340"/>
      <c r="Z340">
        <v>0</v>
      </c>
      <c r="AA340">
        <v>17.052947998046879</v>
      </c>
      <c r="AB340">
        <v>2.191315889358521</v>
      </c>
      <c r="AC340">
        <v>0</v>
      </c>
      <c r="AD340">
        <v>1379</v>
      </c>
      <c r="AE340">
        <v>419</v>
      </c>
      <c r="AF340">
        <v>1024</v>
      </c>
      <c r="AG340">
        <v>10126</v>
      </c>
      <c r="AH340">
        <v>3757</v>
      </c>
      <c r="AI340">
        <v>10126</v>
      </c>
      <c r="AJ340">
        <v>9</v>
      </c>
      <c r="AK340">
        <v>0</v>
      </c>
      <c r="AL340">
        <v>41</v>
      </c>
      <c r="AM340">
        <v>0</v>
      </c>
      <c r="AN340">
        <v>294.66531372070313</v>
      </c>
      <c r="AO340"/>
      <c r="AP340"/>
      <c r="AQ340"/>
      <c r="AR340">
        <v>0</v>
      </c>
      <c r="AS340">
        <v>0</v>
      </c>
      <c r="AT340">
        <v>0</v>
      </c>
      <c r="AU340">
        <v>0</v>
      </c>
      <c r="AV340">
        <v>0</v>
      </c>
      <c r="AW340">
        <v>0</v>
      </c>
      <c r="AX340">
        <v>0</v>
      </c>
      <c r="AY340">
        <v>0</v>
      </c>
      <c r="AZ340">
        <v>0</v>
      </c>
      <c r="BA340">
        <v>0</v>
      </c>
      <c r="BB340"/>
      <c r="BC340"/>
      <c r="BD340"/>
      <c r="BE340">
        <v>0</v>
      </c>
      <c r="BF340" t="s">
        <v>367</v>
      </c>
      <c r="BG340" t="s">
        <v>5</v>
      </c>
      <c r="BH340" t="s">
        <v>1020</v>
      </c>
      <c r="BI340" t="s">
        <v>2517</v>
      </c>
      <c r="BJ340" t="s">
        <v>5</v>
      </c>
      <c r="BK340" t="s">
        <v>1100</v>
      </c>
      <c r="BL340">
        <v>0</v>
      </c>
      <c r="BM340"/>
      <c r="BN340" t="s">
        <v>5</v>
      </c>
      <c r="BO340" t="s">
        <v>2518</v>
      </c>
      <c r="BP340" t="s">
        <v>2518</v>
      </c>
      <c r="BQ340" t="s">
        <v>2518</v>
      </c>
      <c r="BR340" t="s">
        <v>2518</v>
      </c>
      <c r="BS340" t="s">
        <v>6</v>
      </c>
      <c r="BT340" t="s">
        <v>2518</v>
      </c>
      <c r="BU340" t="s">
        <v>2518</v>
      </c>
      <c r="BV340" t="s">
        <v>2518</v>
      </c>
      <c r="BW340" t="s">
        <v>1100</v>
      </c>
      <c r="BX340" t="s">
        <v>6</v>
      </c>
      <c r="BY340" t="s">
        <v>2519</v>
      </c>
      <c r="BZ340"/>
      <c r="CA340"/>
      <c r="CB340" t="s">
        <v>5</v>
      </c>
      <c r="CC340">
        <v>95009.265056235134</v>
      </c>
      <c r="CD340">
        <v>144299464.57571331</v>
      </c>
      <c r="CE340" s="313" t="s">
        <v>11891</v>
      </c>
    </row>
    <row r="341" spans="1:83" ht="15" x14ac:dyDescent="0.25">
      <c r="A341" t="s">
        <v>2568</v>
      </c>
      <c r="B341" t="s">
        <v>2569</v>
      </c>
      <c r="C341" t="s">
        <v>2570</v>
      </c>
      <c r="D341">
        <v>4</v>
      </c>
      <c r="E341" t="s">
        <v>2512</v>
      </c>
      <c r="F341" t="s">
        <v>2138</v>
      </c>
      <c r="G341" t="s">
        <v>2571</v>
      </c>
      <c r="H341" t="s">
        <v>2521</v>
      </c>
      <c r="I341" t="s">
        <v>2572</v>
      </c>
      <c r="J341" t="s">
        <v>2573</v>
      </c>
      <c r="K341" t="s">
        <v>2530</v>
      </c>
      <c r="L341">
        <v>1.4051921367645259</v>
      </c>
      <c r="M341" t="s">
        <v>6</v>
      </c>
      <c r="N341" t="s">
        <v>5</v>
      </c>
      <c r="O341" t="s">
        <v>5</v>
      </c>
      <c r="P341" t="s">
        <v>5</v>
      </c>
      <c r="Q341" t="s">
        <v>5</v>
      </c>
      <c r="R341" t="s">
        <v>2522</v>
      </c>
      <c r="S341" t="s">
        <v>2522</v>
      </c>
      <c r="T341" t="s">
        <v>5</v>
      </c>
      <c r="U341" t="s">
        <v>4</v>
      </c>
      <c r="V341">
        <v>100000</v>
      </c>
      <c r="W341">
        <v>100000</v>
      </c>
      <c r="X341" t="s">
        <v>6</v>
      </c>
      <c r="Y341"/>
      <c r="Z341">
        <v>0</v>
      </c>
      <c r="AA341">
        <v>0.27930712699890142</v>
      </c>
      <c r="AB341">
        <v>2.286113053560257E-2</v>
      </c>
      <c r="AC341">
        <v>0</v>
      </c>
      <c r="AD341">
        <v>27</v>
      </c>
      <c r="AE341">
        <v>2</v>
      </c>
      <c r="AF341">
        <v>11</v>
      </c>
      <c r="AG341">
        <v>17</v>
      </c>
      <c r="AH341">
        <v>22</v>
      </c>
      <c r="AI341">
        <v>22</v>
      </c>
      <c r="AJ341">
        <v>0</v>
      </c>
      <c r="AK341">
        <v>0</v>
      </c>
      <c r="AL341">
        <v>1</v>
      </c>
      <c r="AM341">
        <v>0</v>
      </c>
      <c r="AN341">
        <v>28.89719200134277</v>
      </c>
      <c r="AO341"/>
      <c r="AP341"/>
      <c r="AQ341"/>
      <c r="AR341">
        <v>0</v>
      </c>
      <c r="AS341">
        <v>0</v>
      </c>
      <c r="AT341">
        <v>0</v>
      </c>
      <c r="AU341">
        <v>0</v>
      </c>
      <c r="AV341">
        <v>0</v>
      </c>
      <c r="AW341">
        <v>0</v>
      </c>
      <c r="AX341">
        <v>0</v>
      </c>
      <c r="AY341">
        <v>0</v>
      </c>
      <c r="AZ341">
        <v>0</v>
      </c>
      <c r="BA341">
        <v>0</v>
      </c>
      <c r="BB341"/>
      <c r="BC341"/>
      <c r="BD341"/>
      <c r="BE341">
        <v>0</v>
      </c>
      <c r="BF341" t="s">
        <v>2516</v>
      </c>
      <c r="BG341" t="s">
        <v>5</v>
      </c>
      <c r="BH341" t="s">
        <v>1020</v>
      </c>
      <c r="BI341" t="s">
        <v>2517</v>
      </c>
      <c r="BJ341" t="s">
        <v>5</v>
      </c>
      <c r="BK341" t="s">
        <v>1100</v>
      </c>
      <c r="BL341">
        <v>0</v>
      </c>
      <c r="BM341"/>
      <c r="BN341" t="s">
        <v>5</v>
      </c>
      <c r="BO341" t="s">
        <v>2518</v>
      </c>
      <c r="BP341" t="s">
        <v>2518</v>
      </c>
      <c r="BQ341" t="s">
        <v>2518</v>
      </c>
      <c r="BR341" t="s">
        <v>2518</v>
      </c>
      <c r="BS341" t="s">
        <v>6</v>
      </c>
      <c r="BT341" t="s">
        <v>2518</v>
      </c>
      <c r="BU341" t="s">
        <v>2518</v>
      </c>
      <c r="BV341" t="s">
        <v>2518</v>
      </c>
      <c r="BW341" t="s">
        <v>1100</v>
      </c>
      <c r="BX341" t="s">
        <v>6</v>
      </c>
      <c r="BY341" t="s">
        <v>2519</v>
      </c>
      <c r="BZ341"/>
      <c r="CA341"/>
      <c r="CB341" t="s">
        <v>5</v>
      </c>
      <c r="CC341">
        <v>18408.505349262141</v>
      </c>
      <c r="CD341">
        <v>3639430.8748970842</v>
      </c>
      <c r="CE341" s="313" t="s">
        <v>11891</v>
      </c>
    </row>
    <row r="342" spans="1:83" ht="15" x14ac:dyDescent="0.25">
      <c r="A342" t="s">
        <v>2574</v>
      </c>
      <c r="B342" t="s">
        <v>12085</v>
      </c>
      <c r="C342" t="s">
        <v>2575</v>
      </c>
      <c r="D342">
        <v>4</v>
      </c>
      <c r="E342" t="s">
        <v>2512</v>
      </c>
      <c r="F342" t="s">
        <v>2138</v>
      </c>
      <c r="G342" t="s">
        <v>2513</v>
      </c>
      <c r="H342" t="s">
        <v>2523</v>
      </c>
      <c r="I342" t="s">
        <v>2576</v>
      </c>
      <c r="J342" t="s">
        <v>2577</v>
      </c>
      <c r="K342" t="s">
        <v>2530</v>
      </c>
      <c r="L342">
        <v>2.1081779003143311</v>
      </c>
      <c r="M342" t="s">
        <v>6</v>
      </c>
      <c r="N342" t="s">
        <v>5</v>
      </c>
      <c r="O342" t="s">
        <v>5</v>
      </c>
      <c r="P342" t="s">
        <v>5</v>
      </c>
      <c r="Q342" t="s">
        <v>5</v>
      </c>
      <c r="R342" t="s">
        <v>2531</v>
      </c>
      <c r="S342" t="s">
        <v>2531</v>
      </c>
      <c r="T342" t="s">
        <v>5</v>
      </c>
      <c r="U342" t="s">
        <v>4</v>
      </c>
      <c r="V342">
        <v>100000</v>
      </c>
      <c r="W342">
        <v>100000</v>
      </c>
      <c r="X342" t="s">
        <v>6</v>
      </c>
      <c r="Y342"/>
      <c r="Z342">
        <v>0</v>
      </c>
      <c r="AA342">
        <v>0.59901773929595947</v>
      </c>
      <c r="AB342">
        <v>7.2796761989593506E-2</v>
      </c>
      <c r="AC342">
        <v>0</v>
      </c>
      <c r="AD342">
        <v>82</v>
      </c>
      <c r="AE342">
        <v>24</v>
      </c>
      <c r="AF342">
        <v>34</v>
      </c>
      <c r="AG342">
        <v>178</v>
      </c>
      <c r="AH342">
        <v>115</v>
      </c>
      <c r="AI342">
        <v>178</v>
      </c>
      <c r="AJ342">
        <v>1</v>
      </c>
      <c r="AK342">
        <v>0</v>
      </c>
      <c r="AL342">
        <v>2</v>
      </c>
      <c r="AM342">
        <v>0</v>
      </c>
      <c r="AN342">
        <v>24.295906066894531</v>
      </c>
      <c r="AO342"/>
      <c r="AP342"/>
      <c r="AQ342"/>
      <c r="AR342">
        <v>0</v>
      </c>
      <c r="AS342">
        <v>0</v>
      </c>
      <c r="AT342">
        <v>0</v>
      </c>
      <c r="AU342">
        <v>0</v>
      </c>
      <c r="AV342">
        <v>0</v>
      </c>
      <c r="AW342">
        <v>0</v>
      </c>
      <c r="AX342">
        <v>0</v>
      </c>
      <c r="AY342">
        <v>0</v>
      </c>
      <c r="AZ342">
        <v>0</v>
      </c>
      <c r="BA342">
        <v>0</v>
      </c>
      <c r="BB342"/>
      <c r="BC342"/>
      <c r="BD342"/>
      <c r="BE342">
        <v>0</v>
      </c>
      <c r="BF342" t="s">
        <v>2516</v>
      </c>
      <c r="BG342" t="s">
        <v>5</v>
      </c>
      <c r="BH342" t="s">
        <v>1020</v>
      </c>
      <c r="BI342" t="s">
        <v>2517</v>
      </c>
      <c r="BJ342" t="s">
        <v>5</v>
      </c>
      <c r="BK342" t="s">
        <v>1100</v>
      </c>
      <c r="BL342">
        <v>0</v>
      </c>
      <c r="BM342"/>
      <c r="BN342" t="s">
        <v>5</v>
      </c>
      <c r="BO342" t="s">
        <v>2518</v>
      </c>
      <c r="BP342" t="s">
        <v>2518</v>
      </c>
      <c r="BQ342" t="s">
        <v>2518</v>
      </c>
      <c r="BR342" t="s">
        <v>2518</v>
      </c>
      <c r="BS342" t="s">
        <v>6</v>
      </c>
      <c r="BT342" t="s">
        <v>2518</v>
      </c>
      <c r="BU342" t="s">
        <v>2518</v>
      </c>
      <c r="BV342" t="s">
        <v>2518</v>
      </c>
      <c r="BW342" t="s">
        <v>1100</v>
      </c>
      <c r="BX342" t="s">
        <v>6</v>
      </c>
      <c r="BY342" t="s">
        <v>2519</v>
      </c>
      <c r="BZ342"/>
      <c r="CA342"/>
      <c r="CB342" t="s">
        <v>5</v>
      </c>
      <c r="CC342">
        <v>14235.376079044971</v>
      </c>
      <c r="CD342">
        <v>5460155.6365727345</v>
      </c>
      <c r="CE342" s="313" t="s">
        <v>11891</v>
      </c>
    </row>
    <row r="343" spans="1:83" ht="15" x14ac:dyDescent="0.25">
      <c r="A343" t="s">
        <v>2585</v>
      </c>
      <c r="B343" t="s">
        <v>12090</v>
      </c>
      <c r="C343" t="s">
        <v>2586</v>
      </c>
      <c r="D343">
        <v>4</v>
      </c>
      <c r="E343" t="s">
        <v>2512</v>
      </c>
      <c r="F343" t="s">
        <v>2403</v>
      </c>
      <c r="G343" t="s">
        <v>2578</v>
      </c>
      <c r="H343" t="s">
        <v>2579</v>
      </c>
      <c r="I343" t="s">
        <v>2580</v>
      </c>
      <c r="J343" t="s">
        <v>2587</v>
      </c>
      <c r="K343" t="s">
        <v>2530</v>
      </c>
      <c r="L343">
        <v>11.979866027832029</v>
      </c>
      <c r="M343" t="s">
        <v>6</v>
      </c>
      <c r="N343" t="s">
        <v>5</v>
      </c>
      <c r="O343" t="s">
        <v>5</v>
      </c>
      <c r="P343" t="s">
        <v>5</v>
      </c>
      <c r="Q343" t="s">
        <v>5</v>
      </c>
      <c r="R343" t="s">
        <v>2581</v>
      </c>
      <c r="S343" t="s">
        <v>2581</v>
      </c>
      <c r="T343" t="s">
        <v>5</v>
      </c>
      <c r="U343" t="s">
        <v>4</v>
      </c>
      <c r="V343">
        <v>100000</v>
      </c>
      <c r="W343">
        <v>100000</v>
      </c>
      <c r="X343" t="s">
        <v>6</v>
      </c>
      <c r="Y343"/>
      <c r="Z343">
        <v>0</v>
      </c>
      <c r="AA343">
        <v>1.1889209747314451</v>
      </c>
      <c r="AB343">
        <v>0.1395275145769119</v>
      </c>
      <c r="AC343">
        <v>0</v>
      </c>
      <c r="AD343">
        <v>21</v>
      </c>
      <c r="AE343">
        <v>13</v>
      </c>
      <c r="AF343">
        <v>21</v>
      </c>
      <c r="AG343">
        <v>32</v>
      </c>
      <c r="AH343">
        <v>128</v>
      </c>
      <c r="AI343">
        <v>128</v>
      </c>
      <c r="AJ343">
        <v>0</v>
      </c>
      <c r="AK343">
        <v>1</v>
      </c>
      <c r="AL343">
        <v>3</v>
      </c>
      <c r="AM343">
        <v>1</v>
      </c>
      <c r="AN343">
        <v>164.16365051269531</v>
      </c>
      <c r="AO343"/>
      <c r="AP343"/>
      <c r="AQ343"/>
      <c r="AR343">
        <v>0</v>
      </c>
      <c r="AS343">
        <v>0</v>
      </c>
      <c r="AT343">
        <v>0</v>
      </c>
      <c r="AU343">
        <v>0</v>
      </c>
      <c r="AV343">
        <v>0</v>
      </c>
      <c r="AW343">
        <v>0</v>
      </c>
      <c r="AX343">
        <v>0</v>
      </c>
      <c r="AY343">
        <v>0</v>
      </c>
      <c r="AZ343">
        <v>0</v>
      </c>
      <c r="BA343">
        <v>0</v>
      </c>
      <c r="BB343"/>
      <c r="BC343"/>
      <c r="BD343"/>
      <c r="BE343">
        <v>0</v>
      </c>
      <c r="BF343" t="s">
        <v>2516</v>
      </c>
      <c r="BG343" t="s">
        <v>5</v>
      </c>
      <c r="BH343" t="s">
        <v>1020</v>
      </c>
      <c r="BI343" t="s">
        <v>2517</v>
      </c>
      <c r="BJ343" t="s">
        <v>5</v>
      </c>
      <c r="BK343" t="s">
        <v>1100</v>
      </c>
      <c r="BL343">
        <v>0</v>
      </c>
      <c r="BM343"/>
      <c r="BN343" t="s">
        <v>5</v>
      </c>
      <c r="BO343" t="s">
        <v>2518</v>
      </c>
      <c r="BP343" t="s">
        <v>2518</v>
      </c>
      <c r="BQ343" t="s">
        <v>2518</v>
      </c>
      <c r="BR343" t="s">
        <v>2518</v>
      </c>
      <c r="BS343" t="s">
        <v>6</v>
      </c>
      <c r="BT343" t="s">
        <v>2518</v>
      </c>
      <c r="BU343" t="s">
        <v>2518</v>
      </c>
      <c r="BV343" t="s">
        <v>2518</v>
      </c>
      <c r="BW343" t="s">
        <v>1100</v>
      </c>
      <c r="BX343" t="s">
        <v>6</v>
      </c>
      <c r="BY343" t="s">
        <v>2519</v>
      </c>
      <c r="BZ343"/>
      <c r="CA343"/>
      <c r="CB343" t="s">
        <v>5</v>
      </c>
      <c r="CC343">
        <v>83440.154656102415</v>
      </c>
      <c r="CD343">
        <v>31027709.353630319</v>
      </c>
      <c r="CE343" s="313" t="s">
        <v>11891</v>
      </c>
    </row>
    <row r="344" spans="1:83" ht="15" x14ac:dyDescent="0.25">
      <c r="A344" t="s">
        <v>4770</v>
      </c>
      <c r="B344" t="s">
        <v>4771</v>
      </c>
      <c r="C344" t="s">
        <v>4772</v>
      </c>
      <c r="D344">
        <v>4</v>
      </c>
      <c r="E344" t="s">
        <v>2512</v>
      </c>
      <c r="F344" t="s">
        <v>2559</v>
      </c>
      <c r="G344" t="s">
        <v>2560</v>
      </c>
      <c r="H344" t="s">
        <v>4773</v>
      </c>
      <c r="I344" t="s">
        <v>4774</v>
      </c>
      <c r="J344" t="s">
        <v>4743</v>
      </c>
      <c r="K344" t="s">
        <v>4752</v>
      </c>
      <c r="L344">
        <v>371.03207397460938</v>
      </c>
      <c r="M344" t="s">
        <v>6</v>
      </c>
      <c r="N344" t="s">
        <v>6</v>
      </c>
      <c r="O344" t="s">
        <v>5</v>
      </c>
      <c r="P344" t="s">
        <v>5</v>
      </c>
      <c r="Q344" t="s">
        <v>5</v>
      </c>
      <c r="R344" t="s">
        <v>2567</v>
      </c>
      <c r="S344" t="s">
        <v>2567</v>
      </c>
      <c r="T344" t="s">
        <v>6</v>
      </c>
      <c r="U344" t="s">
        <v>28</v>
      </c>
      <c r="V344">
        <v>200000</v>
      </c>
      <c r="W344">
        <v>100000</v>
      </c>
      <c r="X344" t="s">
        <v>6</v>
      </c>
      <c r="Y344"/>
      <c r="Z344">
        <v>0</v>
      </c>
      <c r="AA344">
        <v>341.0738525390625</v>
      </c>
      <c r="AB344">
        <v>58.821269989013672</v>
      </c>
      <c r="AC344">
        <v>0</v>
      </c>
      <c r="AD344">
        <v>16974</v>
      </c>
      <c r="AE344">
        <v>8682</v>
      </c>
      <c r="AF344">
        <v>14040</v>
      </c>
      <c r="AG344">
        <v>26400</v>
      </c>
      <c r="AH344">
        <v>26881</v>
      </c>
      <c r="AI344">
        <v>26881</v>
      </c>
      <c r="AJ344">
        <v>276</v>
      </c>
      <c r="AK344">
        <v>22</v>
      </c>
      <c r="AL344">
        <v>364</v>
      </c>
      <c r="AM344">
        <v>22</v>
      </c>
      <c r="AN344">
        <v>17171.212890625</v>
      </c>
      <c r="AO344"/>
      <c r="AP344"/>
      <c r="AQ344"/>
      <c r="AR344">
        <v>0</v>
      </c>
      <c r="AS344">
        <v>0</v>
      </c>
      <c r="AT344">
        <v>0</v>
      </c>
      <c r="AU344">
        <v>0</v>
      </c>
      <c r="AV344">
        <v>0</v>
      </c>
      <c r="AW344">
        <v>0</v>
      </c>
      <c r="AX344">
        <v>0</v>
      </c>
      <c r="AY344">
        <v>0</v>
      </c>
      <c r="AZ344">
        <v>0</v>
      </c>
      <c r="BA344">
        <v>0</v>
      </c>
      <c r="BB344"/>
      <c r="BC344"/>
      <c r="BD344"/>
      <c r="BE344">
        <v>0</v>
      </c>
      <c r="BF344" t="s">
        <v>2516</v>
      </c>
      <c r="BG344" t="s">
        <v>5</v>
      </c>
      <c r="BH344" t="s">
        <v>1020</v>
      </c>
      <c r="BI344" t="s">
        <v>2517</v>
      </c>
      <c r="BJ344" t="s">
        <v>5</v>
      </c>
      <c r="BK344" t="s">
        <v>1100</v>
      </c>
      <c r="BL344">
        <v>0</v>
      </c>
      <c r="BM344"/>
      <c r="BN344" t="s">
        <v>5</v>
      </c>
      <c r="BO344" t="s">
        <v>2518</v>
      </c>
      <c r="BP344" t="s">
        <v>2518</v>
      </c>
      <c r="BQ344" t="s">
        <v>2518</v>
      </c>
      <c r="BR344" t="s">
        <v>2518</v>
      </c>
      <c r="BS344" t="s">
        <v>6</v>
      </c>
      <c r="BT344" t="s">
        <v>2518</v>
      </c>
      <c r="BU344" t="s">
        <v>2518</v>
      </c>
      <c r="BV344" t="s">
        <v>2518</v>
      </c>
      <c r="BW344" t="s">
        <v>1100</v>
      </c>
      <c r="BX344" t="s">
        <v>6</v>
      </c>
      <c r="BY344" t="s">
        <v>2519</v>
      </c>
      <c r="BZ344"/>
      <c r="CA344"/>
      <c r="CB344" t="s">
        <v>5</v>
      </c>
      <c r="CC344">
        <v>172970.31197326019</v>
      </c>
      <c r="CD344">
        <v>960968660.9493506</v>
      </c>
      <c r="CE344" s="313" t="s">
        <v>11891</v>
      </c>
    </row>
    <row r="345" spans="1:83" ht="15" x14ac:dyDescent="0.25">
      <c r="A345" t="s">
        <v>4573</v>
      </c>
      <c r="B345" t="s">
        <v>4574</v>
      </c>
      <c r="C345" t="s">
        <v>2487</v>
      </c>
      <c r="D345">
        <v>4</v>
      </c>
      <c r="E345" t="s">
        <v>2512</v>
      </c>
      <c r="F345" t="s">
        <v>4569</v>
      </c>
      <c r="G345" t="s">
        <v>2513</v>
      </c>
      <c r="H345" t="s">
        <v>2520</v>
      </c>
      <c r="I345" t="s">
        <v>4570</v>
      </c>
      <c r="J345" t="s">
        <v>4571</v>
      </c>
      <c r="K345" t="s">
        <v>4575</v>
      </c>
      <c r="L345">
        <v>148.08000183105469</v>
      </c>
      <c r="M345" t="s">
        <v>6</v>
      </c>
      <c r="N345" t="s">
        <v>5</v>
      </c>
      <c r="O345" t="s">
        <v>5</v>
      </c>
      <c r="P345" t="s">
        <v>5</v>
      </c>
      <c r="Q345" t="s">
        <v>5</v>
      </c>
      <c r="R345" t="s">
        <v>1902</v>
      </c>
      <c r="S345" t="s">
        <v>1902</v>
      </c>
      <c r="T345" t="s">
        <v>5</v>
      </c>
      <c r="U345" t="s">
        <v>50</v>
      </c>
      <c r="V345">
        <v>100000</v>
      </c>
      <c r="W345">
        <v>100000</v>
      </c>
      <c r="X345" t="s">
        <v>6</v>
      </c>
      <c r="Y345"/>
      <c r="Z345">
        <v>0</v>
      </c>
      <c r="AA345">
        <v>7.619999885559082</v>
      </c>
      <c r="AB345">
        <v>0.52999997138977051</v>
      </c>
      <c r="AC345">
        <v>0</v>
      </c>
      <c r="AD345">
        <v>191</v>
      </c>
      <c r="AE345">
        <v>58</v>
      </c>
      <c r="AF345">
        <v>149</v>
      </c>
      <c r="AG345">
        <v>286</v>
      </c>
      <c r="AH345">
        <v>673</v>
      </c>
      <c r="AI345">
        <v>786</v>
      </c>
      <c r="AJ345">
        <v>0</v>
      </c>
      <c r="AK345">
        <v>11</v>
      </c>
      <c r="AL345">
        <v>15</v>
      </c>
      <c r="AM345">
        <v>11</v>
      </c>
      <c r="AN345">
        <v>2828.889892578125</v>
      </c>
      <c r="AO345"/>
      <c r="AP345"/>
      <c r="AQ345"/>
      <c r="AR345">
        <v>0</v>
      </c>
      <c r="AS345">
        <v>0</v>
      </c>
      <c r="AT345">
        <v>0</v>
      </c>
      <c r="AU345">
        <v>0</v>
      </c>
      <c r="AV345">
        <v>0</v>
      </c>
      <c r="AW345">
        <v>0</v>
      </c>
      <c r="AX345">
        <v>0</v>
      </c>
      <c r="AY345">
        <v>0</v>
      </c>
      <c r="AZ345">
        <v>0</v>
      </c>
      <c r="BA345">
        <v>0</v>
      </c>
      <c r="BB345"/>
      <c r="BC345"/>
      <c r="BD345"/>
      <c r="BE345">
        <v>0</v>
      </c>
      <c r="BF345" t="s">
        <v>2516</v>
      </c>
      <c r="BG345" t="s">
        <v>5</v>
      </c>
      <c r="BH345" t="s">
        <v>1100</v>
      </c>
      <c r="BI345" t="s">
        <v>1100</v>
      </c>
      <c r="BJ345" t="s">
        <v>5</v>
      </c>
      <c r="BK345" t="s">
        <v>1100</v>
      </c>
      <c r="BL345">
        <v>0</v>
      </c>
      <c r="BM345"/>
      <c r="BN345" t="s">
        <v>5</v>
      </c>
      <c r="BO345" t="s">
        <v>2518</v>
      </c>
      <c r="BP345" t="s">
        <v>2518</v>
      </c>
      <c r="BQ345" t="s">
        <v>2518</v>
      </c>
      <c r="BR345" t="s">
        <v>2518</v>
      </c>
      <c r="BS345" t="s">
        <v>6</v>
      </c>
      <c r="BT345" t="s">
        <v>2518</v>
      </c>
      <c r="BU345" t="s">
        <v>2518</v>
      </c>
      <c r="BV345" t="s">
        <v>2518</v>
      </c>
      <c r="BW345" t="s">
        <v>1100</v>
      </c>
      <c r="BX345" t="s">
        <v>6</v>
      </c>
      <c r="BY345" t="s">
        <v>2519</v>
      </c>
      <c r="BZ345"/>
      <c r="CA345"/>
      <c r="CB345" t="s">
        <v>5</v>
      </c>
      <c r="CC345">
        <v>78389.781225890081</v>
      </c>
      <c r="CD345">
        <v>383521736.46283472</v>
      </c>
      <c r="CE345" s="313" t="s">
        <v>11891</v>
      </c>
    </row>
    <row r="346" spans="1:83" ht="15" x14ac:dyDescent="0.25">
      <c r="A346" t="s">
        <v>4576</v>
      </c>
      <c r="B346" t="s">
        <v>2136</v>
      </c>
      <c r="C346" t="s">
        <v>2137</v>
      </c>
      <c r="D346">
        <v>4</v>
      </c>
      <c r="E346" t="s">
        <v>2512</v>
      </c>
      <c r="F346" t="s">
        <v>2138</v>
      </c>
      <c r="G346" t="s">
        <v>2513</v>
      </c>
      <c r="H346" t="s">
        <v>2521</v>
      </c>
      <c r="I346" t="s">
        <v>4577</v>
      </c>
      <c r="J346" t="s">
        <v>4578</v>
      </c>
      <c r="K346" t="s">
        <v>4575</v>
      </c>
      <c r="L346">
        <v>3.6700000762939449</v>
      </c>
      <c r="M346" t="s">
        <v>6</v>
      </c>
      <c r="N346" t="s">
        <v>5</v>
      </c>
      <c r="O346" t="s">
        <v>5</v>
      </c>
      <c r="P346" t="s">
        <v>5</v>
      </c>
      <c r="Q346" t="s">
        <v>5</v>
      </c>
      <c r="R346" t="s">
        <v>2141</v>
      </c>
      <c r="S346" t="s">
        <v>2141</v>
      </c>
      <c r="T346" t="s">
        <v>5</v>
      </c>
      <c r="U346" t="s">
        <v>50</v>
      </c>
      <c r="V346">
        <v>100000</v>
      </c>
      <c r="W346">
        <v>100000</v>
      </c>
      <c r="X346" t="s">
        <v>6</v>
      </c>
      <c r="Y346"/>
      <c r="Z346">
        <v>0</v>
      </c>
      <c r="AA346">
        <v>0.15999999642372131</v>
      </c>
      <c r="AB346">
        <v>1.9999999552965161E-2</v>
      </c>
      <c r="AC346">
        <v>0</v>
      </c>
      <c r="AD346">
        <v>12</v>
      </c>
      <c r="AE346">
        <v>1</v>
      </c>
      <c r="AF346">
        <v>4</v>
      </c>
      <c r="AG346">
        <v>29</v>
      </c>
      <c r="AH346">
        <v>10</v>
      </c>
      <c r="AI346">
        <v>36</v>
      </c>
      <c r="AJ346">
        <v>0</v>
      </c>
      <c r="AK346">
        <v>0</v>
      </c>
      <c r="AL346">
        <v>0</v>
      </c>
      <c r="AM346">
        <v>0</v>
      </c>
      <c r="AN346">
        <v>42.700000762939453</v>
      </c>
      <c r="AO346"/>
      <c r="AP346"/>
      <c r="AQ346"/>
      <c r="AR346">
        <v>0</v>
      </c>
      <c r="AS346">
        <v>0</v>
      </c>
      <c r="AT346">
        <v>0</v>
      </c>
      <c r="AU346">
        <v>0</v>
      </c>
      <c r="AV346">
        <v>0</v>
      </c>
      <c r="AW346">
        <v>0</v>
      </c>
      <c r="AX346">
        <v>0</v>
      </c>
      <c r="AY346">
        <v>0</v>
      </c>
      <c r="AZ346">
        <v>0</v>
      </c>
      <c r="BA346">
        <v>0</v>
      </c>
      <c r="BB346"/>
      <c r="BC346"/>
      <c r="BD346"/>
      <c r="BE346">
        <v>0</v>
      </c>
      <c r="BF346" t="s">
        <v>2516</v>
      </c>
      <c r="BG346" t="s">
        <v>5</v>
      </c>
      <c r="BH346" t="s">
        <v>1100</v>
      </c>
      <c r="BI346" t="s">
        <v>1100</v>
      </c>
      <c r="BJ346" t="s">
        <v>5</v>
      </c>
      <c r="BK346" t="s">
        <v>1100</v>
      </c>
      <c r="BL346">
        <v>0</v>
      </c>
      <c r="BM346"/>
      <c r="BN346" t="s">
        <v>5</v>
      </c>
      <c r="BO346" t="s">
        <v>2518</v>
      </c>
      <c r="BP346" t="s">
        <v>2518</v>
      </c>
      <c r="BQ346" t="s">
        <v>2518</v>
      </c>
      <c r="BR346" t="s">
        <v>2518</v>
      </c>
      <c r="BS346" t="s">
        <v>6</v>
      </c>
      <c r="BT346" t="s">
        <v>2518</v>
      </c>
      <c r="BU346" t="s">
        <v>2518</v>
      </c>
      <c r="BV346" t="s">
        <v>2518</v>
      </c>
      <c r="BW346" t="s">
        <v>1100</v>
      </c>
      <c r="BX346" t="s">
        <v>6</v>
      </c>
      <c r="BY346" t="s">
        <v>2519</v>
      </c>
      <c r="BZ346"/>
      <c r="CA346"/>
      <c r="CB346" t="s">
        <v>5</v>
      </c>
      <c r="CC346">
        <v>21548.833680663531</v>
      </c>
      <c r="CD346">
        <v>9499112.1981864646</v>
      </c>
      <c r="CE346" s="313" t="s">
        <v>11891</v>
      </c>
    </row>
    <row r="347" spans="1:83" ht="15" x14ac:dyDescent="0.25">
      <c r="A347" t="s">
        <v>4579</v>
      </c>
      <c r="B347" t="s">
        <v>1847</v>
      </c>
      <c r="C347" t="s">
        <v>1848</v>
      </c>
      <c r="D347">
        <v>4</v>
      </c>
      <c r="E347" t="s">
        <v>2512</v>
      </c>
      <c r="F347" t="s">
        <v>4580</v>
      </c>
      <c r="G347" t="s">
        <v>2513</v>
      </c>
      <c r="H347" t="s">
        <v>4581</v>
      </c>
      <c r="I347" t="s">
        <v>4582</v>
      </c>
      <c r="J347" t="s">
        <v>4583</v>
      </c>
      <c r="K347" t="s">
        <v>4575</v>
      </c>
      <c r="L347">
        <v>804.6400146484375</v>
      </c>
      <c r="M347" t="s">
        <v>6</v>
      </c>
      <c r="N347" t="s">
        <v>5</v>
      </c>
      <c r="O347" t="s">
        <v>5</v>
      </c>
      <c r="P347" t="s">
        <v>5</v>
      </c>
      <c r="Q347" t="s">
        <v>5</v>
      </c>
      <c r="R347" t="s">
        <v>1845</v>
      </c>
      <c r="S347" t="s">
        <v>1845</v>
      </c>
      <c r="T347" t="s">
        <v>5</v>
      </c>
      <c r="U347" t="s">
        <v>50</v>
      </c>
      <c r="V347">
        <v>100000</v>
      </c>
      <c r="W347">
        <v>100000</v>
      </c>
      <c r="X347" t="s">
        <v>6</v>
      </c>
      <c r="Y347"/>
      <c r="Z347">
        <v>0</v>
      </c>
      <c r="AA347">
        <v>8.130000114440918</v>
      </c>
      <c r="AB347">
        <v>0.40000000596046448</v>
      </c>
      <c r="AC347">
        <v>0</v>
      </c>
      <c r="AD347">
        <v>79</v>
      </c>
      <c r="AE347">
        <v>8</v>
      </c>
      <c r="AF347">
        <v>58</v>
      </c>
      <c r="AG347">
        <v>27</v>
      </c>
      <c r="AH347">
        <v>100</v>
      </c>
      <c r="AI347">
        <v>100</v>
      </c>
      <c r="AJ347">
        <v>0</v>
      </c>
      <c r="AK347">
        <v>3</v>
      </c>
      <c r="AL347">
        <v>5</v>
      </c>
      <c r="AM347">
        <v>3</v>
      </c>
      <c r="AN347">
        <v>2566.5</v>
      </c>
      <c r="AO347"/>
      <c r="AP347"/>
      <c r="AQ347"/>
      <c r="AR347">
        <v>0</v>
      </c>
      <c r="AS347">
        <v>0</v>
      </c>
      <c r="AT347">
        <v>0</v>
      </c>
      <c r="AU347">
        <v>0</v>
      </c>
      <c r="AV347">
        <v>0</v>
      </c>
      <c r="AW347">
        <v>0</v>
      </c>
      <c r="AX347">
        <v>0</v>
      </c>
      <c r="AY347">
        <v>0</v>
      </c>
      <c r="AZ347">
        <v>0</v>
      </c>
      <c r="BA347">
        <v>0</v>
      </c>
      <c r="BB347"/>
      <c r="BC347"/>
      <c r="BD347"/>
      <c r="BE347">
        <v>0</v>
      </c>
      <c r="BF347" t="s">
        <v>2516</v>
      </c>
      <c r="BG347" t="s">
        <v>5</v>
      </c>
      <c r="BH347" t="s">
        <v>1100</v>
      </c>
      <c r="BI347" t="s">
        <v>1100</v>
      </c>
      <c r="BJ347" t="s">
        <v>5</v>
      </c>
      <c r="BK347" t="s">
        <v>1100</v>
      </c>
      <c r="BL347">
        <v>0</v>
      </c>
      <c r="BM347"/>
      <c r="BN347" t="s">
        <v>5</v>
      </c>
      <c r="BO347" t="s">
        <v>2518</v>
      </c>
      <c r="BP347" t="s">
        <v>2518</v>
      </c>
      <c r="BQ347" t="s">
        <v>2518</v>
      </c>
      <c r="BR347" t="s">
        <v>2518</v>
      </c>
      <c r="BS347" t="s">
        <v>6</v>
      </c>
      <c r="BT347" t="s">
        <v>2518</v>
      </c>
      <c r="BU347" t="s">
        <v>2518</v>
      </c>
      <c r="BV347" t="s">
        <v>2518</v>
      </c>
      <c r="BW347" t="s">
        <v>1100</v>
      </c>
      <c r="BX347" t="s">
        <v>6</v>
      </c>
      <c r="BY347" t="s">
        <v>2519</v>
      </c>
      <c r="BZ347"/>
      <c r="CA347"/>
      <c r="CB347" t="s">
        <v>5</v>
      </c>
      <c r="CC347">
        <v>204262.62472743081</v>
      </c>
      <c r="CD347">
        <v>2084014426.8227501</v>
      </c>
      <c r="CE347" s="313" t="s">
        <v>11891</v>
      </c>
    </row>
    <row r="348" spans="1:83" ht="15" x14ac:dyDescent="0.25">
      <c r="A348" t="s">
        <v>4587</v>
      </c>
      <c r="B348" t="s">
        <v>2413</v>
      </c>
      <c r="C348" t="s">
        <v>2289</v>
      </c>
      <c r="D348">
        <v>4</v>
      </c>
      <c r="E348" t="s">
        <v>2512</v>
      </c>
      <c r="F348" t="s">
        <v>2414</v>
      </c>
      <c r="G348" t="s">
        <v>2513</v>
      </c>
      <c r="H348" t="s">
        <v>2520</v>
      </c>
      <c r="I348" t="s">
        <v>2580</v>
      </c>
      <c r="J348" t="s">
        <v>2587</v>
      </c>
      <c r="K348" t="s">
        <v>4575</v>
      </c>
      <c r="L348">
        <v>2.3900001049041748</v>
      </c>
      <c r="M348" t="s">
        <v>6</v>
      </c>
      <c r="N348" t="s">
        <v>5</v>
      </c>
      <c r="O348" t="s">
        <v>5</v>
      </c>
      <c r="P348" t="s">
        <v>5</v>
      </c>
      <c r="Q348" t="s">
        <v>5</v>
      </c>
      <c r="R348" t="s">
        <v>2416</v>
      </c>
      <c r="S348" t="s">
        <v>2416</v>
      </c>
      <c r="T348" t="s">
        <v>5</v>
      </c>
      <c r="U348" t="s">
        <v>50</v>
      </c>
      <c r="V348">
        <v>100000</v>
      </c>
      <c r="W348">
        <v>100000</v>
      </c>
      <c r="X348" t="s">
        <v>6</v>
      </c>
      <c r="Y348"/>
      <c r="Z348">
        <v>0</v>
      </c>
      <c r="AA348">
        <v>2.999999932944775E-2</v>
      </c>
      <c r="AB348">
        <v>0</v>
      </c>
      <c r="AC348">
        <v>0</v>
      </c>
      <c r="AD348">
        <v>1</v>
      </c>
      <c r="AE348">
        <v>1</v>
      </c>
      <c r="AF348">
        <v>1</v>
      </c>
      <c r="AG348">
        <v>1</v>
      </c>
      <c r="AH348">
        <v>3</v>
      </c>
      <c r="AI348">
        <v>3</v>
      </c>
      <c r="AJ348">
        <v>0</v>
      </c>
      <c r="AK348">
        <v>0</v>
      </c>
      <c r="AL348">
        <v>0</v>
      </c>
      <c r="AM348">
        <v>0</v>
      </c>
      <c r="AN348">
        <v>10.55000019073486</v>
      </c>
      <c r="AO348"/>
      <c r="AP348"/>
      <c r="AQ348"/>
      <c r="AR348">
        <v>0</v>
      </c>
      <c r="AS348">
        <v>0</v>
      </c>
      <c r="AT348">
        <v>0</v>
      </c>
      <c r="AU348">
        <v>0</v>
      </c>
      <c r="AV348">
        <v>0</v>
      </c>
      <c r="AW348">
        <v>0</v>
      </c>
      <c r="AX348">
        <v>0</v>
      </c>
      <c r="AY348">
        <v>0</v>
      </c>
      <c r="AZ348">
        <v>0</v>
      </c>
      <c r="BA348">
        <v>0</v>
      </c>
      <c r="BB348"/>
      <c r="BC348"/>
      <c r="BD348"/>
      <c r="BE348">
        <v>0</v>
      </c>
      <c r="BF348" t="s">
        <v>2516</v>
      </c>
      <c r="BG348" t="s">
        <v>5</v>
      </c>
      <c r="BH348" t="s">
        <v>1100</v>
      </c>
      <c r="BI348" t="s">
        <v>1100</v>
      </c>
      <c r="BJ348" t="s">
        <v>5</v>
      </c>
      <c r="BK348" t="s">
        <v>1100</v>
      </c>
      <c r="BL348">
        <v>0</v>
      </c>
      <c r="BM348"/>
      <c r="BN348" t="s">
        <v>5</v>
      </c>
      <c r="BO348" t="s">
        <v>2518</v>
      </c>
      <c r="BP348" t="s">
        <v>2518</v>
      </c>
      <c r="BQ348" t="s">
        <v>2518</v>
      </c>
      <c r="BR348" t="s">
        <v>2518</v>
      </c>
      <c r="BS348" t="s">
        <v>6</v>
      </c>
      <c r="BT348" t="s">
        <v>2518</v>
      </c>
      <c r="BU348" t="s">
        <v>2518</v>
      </c>
      <c r="BV348" t="s">
        <v>2518</v>
      </c>
      <c r="BW348" t="s">
        <v>1100</v>
      </c>
      <c r="BX348" t="s">
        <v>6</v>
      </c>
      <c r="BY348" t="s">
        <v>2519</v>
      </c>
      <c r="BZ348"/>
      <c r="CA348"/>
      <c r="CB348" t="s">
        <v>5</v>
      </c>
      <c r="CC348">
        <v>42383.223797830113</v>
      </c>
      <c r="CD348">
        <v>6193251.8717295341</v>
      </c>
      <c r="CE348" s="313" t="s">
        <v>11891</v>
      </c>
    </row>
    <row r="349" spans="1:83" ht="15" x14ac:dyDescent="0.25">
      <c r="A349" t="s">
        <v>2673</v>
      </c>
      <c r="B349" t="s">
        <v>2674</v>
      </c>
      <c r="C349" t="s">
        <v>2675</v>
      </c>
      <c r="D349">
        <v>5</v>
      </c>
      <c r="E349" t="s">
        <v>2598</v>
      </c>
      <c r="F349" t="s">
        <v>2613</v>
      </c>
      <c r="G349" t="s">
        <v>2676</v>
      </c>
      <c r="H349" t="s">
        <v>2677</v>
      </c>
      <c r="I349"/>
      <c r="J349"/>
      <c r="K349" t="s">
        <v>2620</v>
      </c>
      <c r="L349">
        <v>860.9822998046875</v>
      </c>
      <c r="M349" t="s">
        <v>6</v>
      </c>
      <c r="N349" t="s">
        <v>5</v>
      </c>
      <c r="O349" t="s">
        <v>6</v>
      </c>
      <c r="P349" t="s">
        <v>5</v>
      </c>
      <c r="Q349" t="s">
        <v>6</v>
      </c>
      <c r="R349" t="s">
        <v>2678</v>
      </c>
      <c r="S349" t="s">
        <v>2678</v>
      </c>
      <c r="T349" t="s">
        <v>6</v>
      </c>
      <c r="U349" t="s">
        <v>98</v>
      </c>
      <c r="V349">
        <v>630000</v>
      </c>
      <c r="W349">
        <v>100000</v>
      </c>
      <c r="X349" t="s">
        <v>6</v>
      </c>
      <c r="Y349"/>
      <c r="Z349"/>
      <c r="AA349">
        <v>228.10618591308591</v>
      </c>
      <c r="AB349">
        <v>10.454215049743651</v>
      </c>
      <c r="AC349">
        <v>8.7180318832397461</v>
      </c>
      <c r="AD349">
        <v>1201</v>
      </c>
      <c r="AE349">
        <v>217</v>
      </c>
      <c r="AF349">
        <v>750</v>
      </c>
      <c r="AG349">
        <v>6718</v>
      </c>
      <c r="AH349">
        <v>2570</v>
      </c>
      <c r="AI349">
        <v>8420</v>
      </c>
      <c r="AJ349">
        <v>11</v>
      </c>
      <c r="AK349">
        <v>19</v>
      </c>
      <c r="AL349">
        <v>66</v>
      </c>
      <c r="AM349">
        <v>19</v>
      </c>
      <c r="AN349">
        <v>165.36151123046881</v>
      </c>
      <c r="AO349"/>
      <c r="AP349"/>
      <c r="AQ349"/>
      <c r="AR349">
        <v>0</v>
      </c>
      <c r="AS349">
        <v>0</v>
      </c>
      <c r="AT349">
        <v>0</v>
      </c>
      <c r="AU349">
        <v>0</v>
      </c>
      <c r="AV349">
        <v>0</v>
      </c>
      <c r="AW349">
        <v>0</v>
      </c>
      <c r="AX349">
        <v>0</v>
      </c>
      <c r="AY349">
        <v>0</v>
      </c>
      <c r="AZ349">
        <v>0</v>
      </c>
      <c r="BA349">
        <v>0</v>
      </c>
      <c r="BB349"/>
      <c r="BC349"/>
      <c r="BD349"/>
      <c r="BE349">
        <v>0</v>
      </c>
      <c r="BF349" t="s">
        <v>2516</v>
      </c>
      <c r="BG349" t="s">
        <v>5</v>
      </c>
      <c r="BH349" t="s">
        <v>1020</v>
      </c>
      <c r="BI349"/>
      <c r="BJ349" t="s">
        <v>5</v>
      </c>
      <c r="BK349"/>
      <c r="BL349">
        <v>0</v>
      </c>
      <c r="BM349"/>
      <c r="BN349" t="s">
        <v>6</v>
      </c>
      <c r="BO349" t="s">
        <v>2518</v>
      </c>
      <c r="BP349" t="s">
        <v>2518</v>
      </c>
      <c r="BQ349" t="s">
        <v>2518</v>
      </c>
      <c r="BR349"/>
      <c r="BS349" t="s">
        <v>6</v>
      </c>
      <c r="BT349" t="s">
        <v>2518</v>
      </c>
      <c r="BU349" t="s">
        <v>2518</v>
      </c>
      <c r="BV349" t="s">
        <v>2518</v>
      </c>
      <c r="BW349"/>
      <c r="BX349" t="s">
        <v>6</v>
      </c>
      <c r="BY349" t="s">
        <v>2605</v>
      </c>
      <c r="BZ349" t="s">
        <v>2518</v>
      </c>
      <c r="CA349"/>
      <c r="CB349" t="s">
        <v>5</v>
      </c>
      <c r="CC349">
        <v>347588.24190946837</v>
      </c>
      <c r="CD349">
        <v>2229933853.8416839</v>
      </c>
      <c r="CE349" s="313" t="s">
        <v>11891</v>
      </c>
    </row>
    <row r="350" spans="1:83" ht="15" x14ac:dyDescent="0.25">
      <c r="A350" t="s">
        <v>2696</v>
      </c>
      <c r="B350" t="s">
        <v>2697</v>
      </c>
      <c r="C350" t="s">
        <v>2698</v>
      </c>
      <c r="D350">
        <v>5</v>
      </c>
      <c r="E350" t="s">
        <v>2598</v>
      </c>
      <c r="F350" t="s">
        <v>2690</v>
      </c>
      <c r="G350" t="s">
        <v>2691</v>
      </c>
      <c r="H350" t="s">
        <v>2692</v>
      </c>
      <c r="I350"/>
      <c r="J350" t="s">
        <v>2693</v>
      </c>
      <c r="K350" t="s">
        <v>2620</v>
      </c>
      <c r="L350">
        <v>533.49688720703125</v>
      </c>
      <c r="M350" t="s">
        <v>6</v>
      </c>
      <c r="N350" t="s">
        <v>5</v>
      </c>
      <c r="O350" t="s">
        <v>6</v>
      </c>
      <c r="P350" t="s">
        <v>5</v>
      </c>
      <c r="Q350" t="s">
        <v>5</v>
      </c>
      <c r="R350" t="s">
        <v>2694</v>
      </c>
      <c r="S350" t="s">
        <v>2695</v>
      </c>
      <c r="T350" t="s">
        <v>6</v>
      </c>
      <c r="U350" t="s">
        <v>98</v>
      </c>
      <c r="V350">
        <v>318000</v>
      </c>
      <c r="W350">
        <v>100000</v>
      </c>
      <c r="X350" t="s">
        <v>6</v>
      </c>
      <c r="Y350"/>
      <c r="Z350"/>
      <c r="AA350">
        <v>122.7117156982422</v>
      </c>
      <c r="AB350">
        <v>4.3492550849914551</v>
      </c>
      <c r="AC350">
        <v>4.5395288467407227</v>
      </c>
      <c r="AD350">
        <v>64</v>
      </c>
      <c r="AE350">
        <v>19</v>
      </c>
      <c r="AF350">
        <v>28</v>
      </c>
      <c r="AG350">
        <v>110</v>
      </c>
      <c r="AH350">
        <v>105</v>
      </c>
      <c r="AI350">
        <v>146</v>
      </c>
      <c r="AJ350">
        <v>0</v>
      </c>
      <c r="AK350">
        <v>2</v>
      </c>
      <c r="AL350">
        <v>13</v>
      </c>
      <c r="AM350">
        <v>2</v>
      </c>
      <c r="AN350">
        <v>41.607803344726563</v>
      </c>
      <c r="AO350"/>
      <c r="AP350"/>
      <c r="AQ350"/>
      <c r="AR350">
        <v>0</v>
      </c>
      <c r="AS350">
        <v>0</v>
      </c>
      <c r="AT350">
        <v>0</v>
      </c>
      <c r="AU350">
        <v>0</v>
      </c>
      <c r="AV350">
        <v>0</v>
      </c>
      <c r="AW350">
        <v>0</v>
      </c>
      <c r="AX350">
        <v>0</v>
      </c>
      <c r="AY350">
        <v>0</v>
      </c>
      <c r="AZ350">
        <v>0</v>
      </c>
      <c r="BA350">
        <v>0</v>
      </c>
      <c r="BB350"/>
      <c r="BC350"/>
      <c r="BD350"/>
      <c r="BE350">
        <v>0</v>
      </c>
      <c r="BF350" t="s">
        <v>2516</v>
      </c>
      <c r="BG350" t="s">
        <v>5</v>
      </c>
      <c r="BH350" t="s">
        <v>1020</v>
      </c>
      <c r="BI350"/>
      <c r="BJ350" t="s">
        <v>5</v>
      </c>
      <c r="BK350"/>
      <c r="BL350">
        <v>0</v>
      </c>
      <c r="BM350"/>
      <c r="BN350" t="s">
        <v>6</v>
      </c>
      <c r="BO350" t="s">
        <v>2518</v>
      </c>
      <c r="BP350" t="s">
        <v>2518</v>
      </c>
      <c r="BQ350" t="s">
        <v>2518</v>
      </c>
      <c r="BR350"/>
      <c r="BS350" t="s">
        <v>6</v>
      </c>
      <c r="BT350" t="s">
        <v>2518</v>
      </c>
      <c r="BU350" t="s">
        <v>2518</v>
      </c>
      <c r="BV350" t="s">
        <v>2518</v>
      </c>
      <c r="BW350"/>
      <c r="BX350" t="s">
        <v>6</v>
      </c>
      <c r="BY350" t="s">
        <v>2605</v>
      </c>
      <c r="BZ350" t="s">
        <v>2518</v>
      </c>
      <c r="CA350"/>
      <c r="CB350" t="s">
        <v>5</v>
      </c>
      <c r="CC350">
        <v>265851.37858495401</v>
      </c>
      <c r="CD350">
        <v>1381750542.167592</v>
      </c>
      <c r="CE350" s="313" t="s">
        <v>11891</v>
      </c>
    </row>
    <row r="351" spans="1:83" ht="15" x14ac:dyDescent="0.25">
      <c r="A351" t="s">
        <v>2699</v>
      </c>
      <c r="B351" t="s">
        <v>2700</v>
      </c>
      <c r="C351" t="s">
        <v>2701</v>
      </c>
      <c r="D351">
        <v>5</v>
      </c>
      <c r="E351" t="s">
        <v>2598</v>
      </c>
      <c r="F351" t="s">
        <v>2690</v>
      </c>
      <c r="G351" t="s">
        <v>2691</v>
      </c>
      <c r="H351" t="s">
        <v>2692</v>
      </c>
      <c r="I351"/>
      <c r="J351" t="s">
        <v>2693</v>
      </c>
      <c r="K351" t="s">
        <v>2620</v>
      </c>
      <c r="L351">
        <v>533.49688720703125</v>
      </c>
      <c r="M351" t="s">
        <v>6</v>
      </c>
      <c r="N351" t="s">
        <v>5</v>
      </c>
      <c r="O351" t="s">
        <v>6</v>
      </c>
      <c r="P351" t="s">
        <v>5</v>
      </c>
      <c r="Q351" t="s">
        <v>5</v>
      </c>
      <c r="R351" t="s">
        <v>2694</v>
      </c>
      <c r="S351" t="s">
        <v>2695</v>
      </c>
      <c r="T351" t="s">
        <v>6</v>
      </c>
      <c r="U351" t="s">
        <v>98</v>
      </c>
      <c r="V351">
        <v>530000</v>
      </c>
      <c r="W351">
        <v>100000</v>
      </c>
      <c r="X351" t="s">
        <v>6</v>
      </c>
      <c r="Y351"/>
      <c r="Z351"/>
      <c r="AA351">
        <v>122.7117156982422</v>
      </c>
      <c r="AB351">
        <v>4.3492550849914551</v>
      </c>
      <c r="AC351">
        <v>4.5395288467407227</v>
      </c>
      <c r="AD351">
        <v>64</v>
      </c>
      <c r="AE351">
        <v>19</v>
      </c>
      <c r="AF351">
        <v>28</v>
      </c>
      <c r="AG351">
        <v>110</v>
      </c>
      <c r="AH351">
        <v>105</v>
      </c>
      <c r="AI351">
        <v>146</v>
      </c>
      <c r="AJ351">
        <v>0</v>
      </c>
      <c r="AK351">
        <v>2</v>
      </c>
      <c r="AL351">
        <v>13</v>
      </c>
      <c r="AM351">
        <v>2</v>
      </c>
      <c r="AN351">
        <v>41.607803344726563</v>
      </c>
      <c r="AO351"/>
      <c r="AP351"/>
      <c r="AQ351"/>
      <c r="AR351">
        <v>0</v>
      </c>
      <c r="AS351">
        <v>0</v>
      </c>
      <c r="AT351">
        <v>0</v>
      </c>
      <c r="AU351">
        <v>0</v>
      </c>
      <c r="AV351">
        <v>0</v>
      </c>
      <c r="AW351">
        <v>0</v>
      </c>
      <c r="AX351">
        <v>0</v>
      </c>
      <c r="AY351">
        <v>0</v>
      </c>
      <c r="AZ351">
        <v>0</v>
      </c>
      <c r="BA351">
        <v>0</v>
      </c>
      <c r="BB351"/>
      <c r="BC351"/>
      <c r="BD351"/>
      <c r="BE351">
        <v>0</v>
      </c>
      <c r="BF351" t="s">
        <v>2516</v>
      </c>
      <c r="BG351" t="s">
        <v>5</v>
      </c>
      <c r="BH351" t="s">
        <v>1020</v>
      </c>
      <c r="BI351"/>
      <c r="BJ351" t="s">
        <v>5</v>
      </c>
      <c r="BK351"/>
      <c r="BL351">
        <v>100</v>
      </c>
      <c r="BM351"/>
      <c r="BN351" t="s">
        <v>6</v>
      </c>
      <c r="BO351" t="s">
        <v>2518</v>
      </c>
      <c r="BP351" t="s">
        <v>2518</v>
      </c>
      <c r="BQ351" t="s">
        <v>2518</v>
      </c>
      <c r="BR351"/>
      <c r="BS351" t="s">
        <v>6</v>
      </c>
      <c r="BT351" t="s">
        <v>2518</v>
      </c>
      <c r="BU351" t="s">
        <v>2518</v>
      </c>
      <c r="BV351" t="s">
        <v>2518</v>
      </c>
      <c r="BW351"/>
      <c r="BX351" t="s">
        <v>6</v>
      </c>
      <c r="BY351" t="s">
        <v>2605</v>
      </c>
      <c r="BZ351" t="s">
        <v>2518</v>
      </c>
      <c r="CA351"/>
      <c r="CB351" t="s">
        <v>6</v>
      </c>
      <c r="CC351">
        <v>265851.37858495401</v>
      </c>
      <c r="CD351">
        <v>1381750542.167592</v>
      </c>
      <c r="CE351" s="313" t="s">
        <v>11891</v>
      </c>
    </row>
    <row r="352" spans="1:83" ht="15" x14ac:dyDescent="0.25">
      <c r="A352" t="s">
        <v>2715</v>
      </c>
      <c r="B352" t="s">
        <v>2716</v>
      </c>
      <c r="C352" t="s">
        <v>2717</v>
      </c>
      <c r="D352">
        <v>5</v>
      </c>
      <c r="E352" t="s">
        <v>2598</v>
      </c>
      <c r="F352" t="s">
        <v>2624</v>
      </c>
      <c r="G352" t="s">
        <v>2625</v>
      </c>
      <c r="H352" t="s">
        <v>2626</v>
      </c>
      <c r="I352" t="s">
        <v>2627</v>
      </c>
      <c r="J352" t="s">
        <v>2628</v>
      </c>
      <c r="K352" t="s">
        <v>2620</v>
      </c>
      <c r="L352">
        <v>27.54345703125</v>
      </c>
      <c r="M352" t="s">
        <v>6</v>
      </c>
      <c r="N352" t="s">
        <v>5</v>
      </c>
      <c r="O352" t="s">
        <v>6</v>
      </c>
      <c r="P352" t="s">
        <v>5</v>
      </c>
      <c r="Q352" t="s">
        <v>5</v>
      </c>
      <c r="R352" t="s">
        <v>2630</v>
      </c>
      <c r="S352" t="s">
        <v>2630</v>
      </c>
      <c r="T352" t="s">
        <v>6</v>
      </c>
      <c r="U352" t="s">
        <v>98</v>
      </c>
      <c r="V352">
        <v>327000</v>
      </c>
      <c r="W352">
        <v>100000</v>
      </c>
      <c r="X352" t="s">
        <v>6</v>
      </c>
      <c r="Y352"/>
      <c r="Z352"/>
      <c r="AA352">
        <v>3.4080324172973628</v>
      </c>
      <c r="AB352">
        <v>0.26862069964408869</v>
      </c>
      <c r="AC352">
        <v>1.278700113296509</v>
      </c>
      <c r="AD352">
        <v>446</v>
      </c>
      <c r="AE352">
        <v>72</v>
      </c>
      <c r="AF352">
        <v>185</v>
      </c>
      <c r="AG352">
        <v>3965</v>
      </c>
      <c r="AH352">
        <v>2012</v>
      </c>
      <c r="AI352">
        <v>5331</v>
      </c>
      <c r="AJ352">
        <v>1</v>
      </c>
      <c r="AK352">
        <v>0</v>
      </c>
      <c r="AL352">
        <v>14</v>
      </c>
      <c r="AM352">
        <v>0</v>
      </c>
      <c r="AN352">
        <v>4.4304699897766113</v>
      </c>
      <c r="AO352"/>
      <c r="AP352"/>
      <c r="AQ352"/>
      <c r="AR352">
        <v>0</v>
      </c>
      <c r="AS352">
        <v>0</v>
      </c>
      <c r="AT352">
        <v>0</v>
      </c>
      <c r="AU352">
        <v>0</v>
      </c>
      <c r="AV352">
        <v>0</v>
      </c>
      <c r="AW352">
        <v>0</v>
      </c>
      <c r="AX352">
        <v>0</v>
      </c>
      <c r="AY352">
        <v>0</v>
      </c>
      <c r="AZ352">
        <v>0</v>
      </c>
      <c r="BA352">
        <v>0</v>
      </c>
      <c r="BB352"/>
      <c r="BC352"/>
      <c r="BD352"/>
      <c r="BE352">
        <v>0</v>
      </c>
      <c r="BF352" t="s">
        <v>2516</v>
      </c>
      <c r="BG352" t="s">
        <v>5</v>
      </c>
      <c r="BH352" t="s">
        <v>1020</v>
      </c>
      <c r="BI352"/>
      <c r="BJ352" t="s">
        <v>5</v>
      </c>
      <c r="BK352"/>
      <c r="BL352">
        <v>100</v>
      </c>
      <c r="BM352"/>
      <c r="BN352" t="s">
        <v>6</v>
      </c>
      <c r="BO352" t="s">
        <v>2518</v>
      </c>
      <c r="BP352" t="s">
        <v>2518</v>
      </c>
      <c r="BQ352" t="s">
        <v>2518</v>
      </c>
      <c r="BR352"/>
      <c r="BS352" t="s">
        <v>6</v>
      </c>
      <c r="BT352" t="s">
        <v>2518</v>
      </c>
      <c r="BU352" t="s">
        <v>2518</v>
      </c>
      <c r="BV352" t="s">
        <v>2518</v>
      </c>
      <c r="BW352"/>
      <c r="BX352" t="s">
        <v>6</v>
      </c>
      <c r="BY352" t="s">
        <v>2605</v>
      </c>
      <c r="BZ352" t="s">
        <v>2518</v>
      </c>
      <c r="CA352"/>
      <c r="CB352" t="s">
        <v>6</v>
      </c>
      <c r="CC352">
        <v>90371.337625108135</v>
      </c>
      <c r="CD352">
        <v>71337225.877445862</v>
      </c>
      <c r="CE352" s="313" t="s">
        <v>11891</v>
      </c>
    </row>
    <row r="353" spans="1:83" ht="15" x14ac:dyDescent="0.25">
      <c r="A353" t="s">
        <v>2767</v>
      </c>
      <c r="B353" t="s">
        <v>2768</v>
      </c>
      <c r="C353" t="s">
        <v>2769</v>
      </c>
      <c r="D353">
        <v>5</v>
      </c>
      <c r="E353" t="s">
        <v>2598</v>
      </c>
      <c r="F353" t="s">
        <v>2171</v>
      </c>
      <c r="G353" t="s">
        <v>2685</v>
      </c>
      <c r="H353" t="s">
        <v>2770</v>
      </c>
      <c r="I353" t="s">
        <v>2687</v>
      </c>
      <c r="J353" t="s">
        <v>2688</v>
      </c>
      <c r="K353" t="s">
        <v>2607</v>
      </c>
      <c r="L353">
        <v>418.21084594726563</v>
      </c>
      <c r="M353" t="s">
        <v>6</v>
      </c>
      <c r="N353" t="s">
        <v>5</v>
      </c>
      <c r="O353" t="s">
        <v>6</v>
      </c>
      <c r="P353" t="s">
        <v>5</v>
      </c>
      <c r="Q353" t="s">
        <v>6</v>
      </c>
      <c r="R353" t="s">
        <v>2067</v>
      </c>
      <c r="S353" t="s">
        <v>2067</v>
      </c>
      <c r="T353" t="s">
        <v>6</v>
      </c>
      <c r="U353" t="s">
        <v>85</v>
      </c>
      <c r="V353">
        <v>1000000</v>
      </c>
      <c r="W353">
        <v>100000</v>
      </c>
      <c r="X353" t="s">
        <v>6</v>
      </c>
      <c r="Y353"/>
      <c r="Z353"/>
      <c r="AA353">
        <v>61.414657592773438</v>
      </c>
      <c r="AB353">
        <v>4.7471528053283691</v>
      </c>
      <c r="AC353">
        <v>3.9730210304260249</v>
      </c>
      <c r="AD353">
        <v>17</v>
      </c>
      <c r="AE353">
        <v>2</v>
      </c>
      <c r="AF353">
        <v>3</v>
      </c>
      <c r="AG353">
        <v>5</v>
      </c>
      <c r="AH353">
        <v>16</v>
      </c>
      <c r="AI353">
        <v>16</v>
      </c>
      <c r="AJ353">
        <v>0</v>
      </c>
      <c r="AK353">
        <v>7</v>
      </c>
      <c r="AL353">
        <v>20</v>
      </c>
      <c r="AM353">
        <v>7</v>
      </c>
      <c r="AN353">
        <v>116.8699188232422</v>
      </c>
      <c r="AO353"/>
      <c r="AP353"/>
      <c r="AQ353"/>
      <c r="AR353">
        <v>0</v>
      </c>
      <c r="AS353">
        <v>0</v>
      </c>
      <c r="AT353">
        <v>0</v>
      </c>
      <c r="AU353">
        <v>0</v>
      </c>
      <c r="AV353">
        <v>0</v>
      </c>
      <c r="AW353">
        <v>0</v>
      </c>
      <c r="AX353">
        <v>0</v>
      </c>
      <c r="AY353">
        <v>0</v>
      </c>
      <c r="AZ353">
        <v>0</v>
      </c>
      <c r="BA353">
        <v>0</v>
      </c>
      <c r="BB353"/>
      <c r="BC353"/>
      <c r="BD353"/>
      <c r="BE353">
        <v>0</v>
      </c>
      <c r="BF353" t="s">
        <v>2516</v>
      </c>
      <c r="BG353" t="s">
        <v>5</v>
      </c>
      <c r="BH353" t="s">
        <v>1020</v>
      </c>
      <c r="BI353"/>
      <c r="BJ353" t="s">
        <v>5</v>
      </c>
      <c r="BK353"/>
      <c r="BL353">
        <v>0</v>
      </c>
      <c r="BM353"/>
      <c r="BN353" t="s">
        <v>5</v>
      </c>
      <c r="BO353" t="s">
        <v>2518</v>
      </c>
      <c r="BP353" t="s">
        <v>2518</v>
      </c>
      <c r="BQ353" t="s">
        <v>2518</v>
      </c>
      <c r="BR353"/>
      <c r="BS353" t="s">
        <v>6</v>
      </c>
      <c r="BT353" t="s">
        <v>2518</v>
      </c>
      <c r="BU353" t="s">
        <v>2518</v>
      </c>
      <c r="BV353" t="s">
        <v>2518</v>
      </c>
      <c r="BW353"/>
      <c r="BX353" t="s">
        <v>6</v>
      </c>
      <c r="BY353" t="s">
        <v>2605</v>
      </c>
      <c r="BZ353" t="s">
        <v>2518</v>
      </c>
      <c r="CA353"/>
      <c r="CB353" t="s">
        <v>5</v>
      </c>
      <c r="CC353">
        <v>191278.39302701049</v>
      </c>
      <c r="CD353">
        <v>1083161157.7274129</v>
      </c>
      <c r="CE353" s="313" t="s">
        <v>11891</v>
      </c>
    </row>
    <row r="354" spans="1:83" ht="15" x14ac:dyDescent="0.25">
      <c r="A354" t="s">
        <v>2798</v>
      </c>
      <c r="B354" t="s">
        <v>2799</v>
      </c>
      <c r="C354" t="s">
        <v>2800</v>
      </c>
      <c r="D354">
        <v>5</v>
      </c>
      <c r="E354" t="s">
        <v>2598</v>
      </c>
      <c r="F354" t="s">
        <v>1772</v>
      </c>
      <c r="G354" t="s">
        <v>2571</v>
      </c>
      <c r="H354" t="s">
        <v>2637</v>
      </c>
      <c r="I354"/>
      <c r="J354" t="s">
        <v>2638</v>
      </c>
      <c r="K354" t="s">
        <v>2731</v>
      </c>
      <c r="L354">
        <v>495.35064697265619</v>
      </c>
      <c r="M354" t="s">
        <v>6</v>
      </c>
      <c r="N354" t="s">
        <v>5</v>
      </c>
      <c r="O354" t="s">
        <v>6</v>
      </c>
      <c r="P354" t="s">
        <v>5</v>
      </c>
      <c r="Q354" t="s">
        <v>5</v>
      </c>
      <c r="R354" t="s">
        <v>1776</v>
      </c>
      <c r="S354" t="s">
        <v>1776</v>
      </c>
      <c r="T354" t="s">
        <v>6</v>
      </c>
      <c r="U354" t="s">
        <v>85</v>
      </c>
      <c r="V354">
        <v>3000000</v>
      </c>
      <c r="W354">
        <v>100000</v>
      </c>
      <c r="X354" t="s">
        <v>6</v>
      </c>
      <c r="Y354"/>
      <c r="Z354"/>
      <c r="AA354">
        <v>70.713302612304688</v>
      </c>
      <c r="AB354">
        <v>3.9517948627471919</v>
      </c>
      <c r="AC354">
        <v>3.9604015350341801</v>
      </c>
      <c r="AD354">
        <v>69</v>
      </c>
      <c r="AE354">
        <v>29</v>
      </c>
      <c r="AF354">
        <v>28</v>
      </c>
      <c r="AG354">
        <v>22</v>
      </c>
      <c r="AH354">
        <v>61</v>
      </c>
      <c r="AI354">
        <v>73</v>
      </c>
      <c r="AJ354">
        <v>0</v>
      </c>
      <c r="AK354">
        <v>2</v>
      </c>
      <c r="AL354">
        <v>22</v>
      </c>
      <c r="AM354">
        <v>2</v>
      </c>
      <c r="AN354">
        <v>348.31265258789063</v>
      </c>
      <c r="AO354"/>
      <c r="AP354"/>
      <c r="AQ354"/>
      <c r="AR354">
        <v>0</v>
      </c>
      <c r="AS354">
        <v>0</v>
      </c>
      <c r="AT354">
        <v>0</v>
      </c>
      <c r="AU354">
        <v>0</v>
      </c>
      <c r="AV354">
        <v>0</v>
      </c>
      <c r="AW354">
        <v>0</v>
      </c>
      <c r="AX354">
        <v>0</v>
      </c>
      <c r="AY354">
        <v>0</v>
      </c>
      <c r="AZ354">
        <v>0</v>
      </c>
      <c r="BA354">
        <v>0</v>
      </c>
      <c r="BB354"/>
      <c r="BC354"/>
      <c r="BD354"/>
      <c r="BE354">
        <v>0</v>
      </c>
      <c r="BF354" t="s">
        <v>2516</v>
      </c>
      <c r="BG354" t="s">
        <v>5</v>
      </c>
      <c r="BH354" t="s">
        <v>1020</v>
      </c>
      <c r="BI354"/>
      <c r="BJ354" t="s">
        <v>5</v>
      </c>
      <c r="BK354"/>
      <c r="BL354">
        <v>0</v>
      </c>
      <c r="BM354"/>
      <c r="BN354" t="s">
        <v>6</v>
      </c>
      <c r="BO354" t="s">
        <v>2518</v>
      </c>
      <c r="BP354" t="s">
        <v>2518</v>
      </c>
      <c r="BQ354" t="s">
        <v>2518</v>
      </c>
      <c r="BR354"/>
      <c r="BS354" t="s">
        <v>6</v>
      </c>
      <c r="BT354" t="s">
        <v>2518</v>
      </c>
      <c r="BU354" t="s">
        <v>2518</v>
      </c>
      <c r="BV354" t="s">
        <v>2518</v>
      </c>
      <c r="BW354"/>
      <c r="BX354" t="s">
        <v>6</v>
      </c>
      <c r="BY354" t="s">
        <v>2605</v>
      </c>
      <c r="BZ354" t="s">
        <v>2518</v>
      </c>
      <c r="CA354"/>
      <c r="CB354" t="s">
        <v>5</v>
      </c>
      <c r="CC354">
        <v>247720.06472447389</v>
      </c>
      <c r="CD354">
        <v>1282952257.090363</v>
      </c>
      <c r="CE354" s="313" t="s">
        <v>11891</v>
      </c>
    </row>
    <row r="355" spans="1:83" ht="15" x14ac:dyDescent="0.25">
      <c r="A355" t="s">
        <v>2811</v>
      </c>
      <c r="B355" t="s">
        <v>2812</v>
      </c>
      <c r="C355" t="s">
        <v>2813</v>
      </c>
      <c r="D355">
        <v>5</v>
      </c>
      <c r="E355" t="s">
        <v>2598</v>
      </c>
      <c r="F355" t="s">
        <v>81</v>
      </c>
      <c r="G355" t="s">
        <v>2616</v>
      </c>
      <c r="H355" t="s">
        <v>2617</v>
      </c>
      <c r="I355" t="s">
        <v>2618</v>
      </c>
      <c r="J355" t="s">
        <v>2619</v>
      </c>
      <c r="K355" t="s">
        <v>2603</v>
      </c>
      <c r="L355">
        <v>1.475543856620789</v>
      </c>
      <c r="M355" t="s">
        <v>6</v>
      </c>
      <c r="N355" t="s">
        <v>5</v>
      </c>
      <c r="O355" t="s">
        <v>5</v>
      </c>
      <c r="P355" t="s">
        <v>5</v>
      </c>
      <c r="Q355" t="s">
        <v>6</v>
      </c>
      <c r="R355" t="s">
        <v>2621</v>
      </c>
      <c r="S355" t="s">
        <v>2621</v>
      </c>
      <c r="T355" t="s">
        <v>6</v>
      </c>
      <c r="U355" t="s">
        <v>85</v>
      </c>
      <c r="V355">
        <v>1000000</v>
      </c>
      <c r="W355">
        <v>100000</v>
      </c>
      <c r="X355" t="s">
        <v>5</v>
      </c>
      <c r="Y355"/>
      <c r="Z355"/>
      <c r="AA355">
        <v>0.16025398671627039</v>
      </c>
      <c r="AB355">
        <v>1.214464008808136E-2</v>
      </c>
      <c r="AC355">
        <v>5.6243568658828742E-2</v>
      </c>
      <c r="AD355">
        <v>0</v>
      </c>
      <c r="AE355">
        <v>0</v>
      </c>
      <c r="AF355">
        <v>0</v>
      </c>
      <c r="AG355">
        <v>0</v>
      </c>
      <c r="AH355">
        <v>0</v>
      </c>
      <c r="AI355">
        <v>0</v>
      </c>
      <c r="AJ355">
        <v>0</v>
      </c>
      <c r="AK355">
        <v>0</v>
      </c>
      <c r="AL355">
        <v>0</v>
      </c>
      <c r="AM355">
        <v>0</v>
      </c>
      <c r="AN355">
        <v>0.42639347910881042</v>
      </c>
      <c r="AO355"/>
      <c r="AP355"/>
      <c r="AQ355"/>
      <c r="AR355">
        <v>0</v>
      </c>
      <c r="AS355">
        <v>0</v>
      </c>
      <c r="AT355">
        <v>0</v>
      </c>
      <c r="AU355">
        <v>0</v>
      </c>
      <c r="AV355">
        <v>0</v>
      </c>
      <c r="AW355">
        <v>0</v>
      </c>
      <c r="AX355">
        <v>0</v>
      </c>
      <c r="AY355">
        <v>0</v>
      </c>
      <c r="AZ355">
        <v>0</v>
      </c>
      <c r="BA355">
        <v>0</v>
      </c>
      <c r="BB355"/>
      <c r="BC355"/>
      <c r="BD355"/>
      <c r="BE355">
        <v>0</v>
      </c>
      <c r="BF355" t="s">
        <v>2516</v>
      </c>
      <c r="BG355" t="s">
        <v>5</v>
      </c>
      <c r="BH355" t="s">
        <v>1020</v>
      </c>
      <c r="BI355"/>
      <c r="BJ355" t="s">
        <v>5</v>
      </c>
      <c r="BK355"/>
      <c r="BL355">
        <v>0</v>
      </c>
      <c r="BM355"/>
      <c r="BN355" t="s">
        <v>5</v>
      </c>
      <c r="BO355" t="s">
        <v>2518</v>
      </c>
      <c r="BP355" t="s">
        <v>2518</v>
      </c>
      <c r="BQ355" t="s">
        <v>2518</v>
      </c>
      <c r="BR355"/>
      <c r="BS355" t="s">
        <v>6</v>
      </c>
      <c r="BT355" t="s">
        <v>2518</v>
      </c>
      <c r="BU355" t="s">
        <v>2518</v>
      </c>
      <c r="BV355" t="s">
        <v>2518</v>
      </c>
      <c r="BW355"/>
      <c r="BX355" t="s">
        <v>6</v>
      </c>
      <c r="BY355" t="s">
        <v>2605</v>
      </c>
      <c r="BZ355" t="s">
        <v>2518</v>
      </c>
      <c r="CA355"/>
      <c r="CB355" t="s">
        <v>5</v>
      </c>
      <c r="CC355">
        <v>9573.6399279461621</v>
      </c>
      <c r="CD355">
        <v>3821641.0535767069</v>
      </c>
      <c r="CE355" s="313" t="s">
        <v>11891</v>
      </c>
    </row>
    <row r="356" spans="1:83" ht="15" x14ac:dyDescent="0.25">
      <c r="A356" t="s">
        <v>2821</v>
      </c>
      <c r="B356" t="s">
        <v>2822</v>
      </c>
      <c r="C356" t="s">
        <v>2823</v>
      </c>
      <c r="D356">
        <v>5</v>
      </c>
      <c r="E356" t="s">
        <v>2598</v>
      </c>
      <c r="F356" t="s">
        <v>2608</v>
      </c>
      <c r="G356" t="s">
        <v>2599</v>
      </c>
      <c r="H356" t="s">
        <v>2609</v>
      </c>
      <c r="I356" t="s">
        <v>2610</v>
      </c>
      <c r="J356" t="s">
        <v>2611</v>
      </c>
      <c r="K356" t="s">
        <v>2731</v>
      </c>
      <c r="L356">
        <v>2.934918880462646</v>
      </c>
      <c r="M356" t="s">
        <v>6</v>
      </c>
      <c r="N356" t="s">
        <v>5</v>
      </c>
      <c r="O356" t="s">
        <v>6</v>
      </c>
      <c r="P356" t="s">
        <v>5</v>
      </c>
      <c r="Q356" t="s">
        <v>5</v>
      </c>
      <c r="R356" t="s">
        <v>2612</v>
      </c>
      <c r="S356" t="s">
        <v>2612</v>
      </c>
      <c r="T356" t="s">
        <v>6</v>
      </c>
      <c r="U356" t="s">
        <v>85</v>
      </c>
      <c r="V356">
        <v>1000000</v>
      </c>
      <c r="W356">
        <v>100000</v>
      </c>
      <c r="X356" t="s">
        <v>6</v>
      </c>
      <c r="Y356"/>
      <c r="Z356"/>
      <c r="AA356">
        <v>0.61059534549713135</v>
      </c>
      <c r="AB356">
        <v>3.2617159187793732E-2</v>
      </c>
      <c r="AC356">
        <v>0.1324794143438339</v>
      </c>
      <c r="AD356">
        <v>1</v>
      </c>
      <c r="AE356">
        <v>2</v>
      </c>
      <c r="AF356">
        <v>0</v>
      </c>
      <c r="AG356">
        <v>0</v>
      </c>
      <c r="AH356">
        <v>0</v>
      </c>
      <c r="AI356">
        <v>0</v>
      </c>
      <c r="AJ356">
        <v>0</v>
      </c>
      <c r="AK356">
        <v>0</v>
      </c>
      <c r="AL356">
        <v>0</v>
      </c>
      <c r="AM356">
        <v>0</v>
      </c>
      <c r="AN356">
        <v>1.055945992469788</v>
      </c>
      <c r="AO356"/>
      <c r="AP356"/>
      <c r="AQ356"/>
      <c r="AR356">
        <v>0</v>
      </c>
      <c r="AS356">
        <v>0</v>
      </c>
      <c r="AT356">
        <v>0</v>
      </c>
      <c r="AU356">
        <v>0</v>
      </c>
      <c r="AV356">
        <v>0</v>
      </c>
      <c r="AW356">
        <v>0</v>
      </c>
      <c r="AX356">
        <v>0</v>
      </c>
      <c r="AY356">
        <v>0</v>
      </c>
      <c r="AZ356">
        <v>0</v>
      </c>
      <c r="BA356">
        <v>0</v>
      </c>
      <c r="BB356"/>
      <c r="BC356"/>
      <c r="BD356"/>
      <c r="BE356">
        <v>0</v>
      </c>
      <c r="BF356" t="s">
        <v>2516</v>
      </c>
      <c r="BG356" t="s">
        <v>5</v>
      </c>
      <c r="BH356" t="s">
        <v>1020</v>
      </c>
      <c r="BI356"/>
      <c r="BJ356" t="s">
        <v>5</v>
      </c>
      <c r="BK356"/>
      <c r="BL356">
        <v>0</v>
      </c>
      <c r="BM356"/>
      <c r="BN356" t="s">
        <v>6</v>
      </c>
      <c r="BO356" t="s">
        <v>2518</v>
      </c>
      <c r="BP356" t="s">
        <v>2518</v>
      </c>
      <c r="BQ356" t="s">
        <v>2518</v>
      </c>
      <c r="BR356"/>
      <c r="BS356" t="s">
        <v>6</v>
      </c>
      <c r="BT356" t="s">
        <v>2518</v>
      </c>
      <c r="BU356" t="s">
        <v>2518</v>
      </c>
      <c r="BV356" t="s">
        <v>2518</v>
      </c>
      <c r="BW356"/>
      <c r="BX356" t="s">
        <v>6</v>
      </c>
      <c r="BY356" t="s">
        <v>2605</v>
      </c>
      <c r="BZ356" t="s">
        <v>2518</v>
      </c>
      <c r="CA356"/>
      <c r="CB356" t="s">
        <v>5</v>
      </c>
      <c r="CC356">
        <v>26132.266751598068</v>
      </c>
      <c r="CD356">
        <v>7601405.1609179284</v>
      </c>
      <c r="CE356" s="313" t="s">
        <v>11891</v>
      </c>
    </row>
    <row r="357" spans="1:83" ht="15" x14ac:dyDescent="0.25">
      <c r="A357" t="s">
        <v>2831</v>
      </c>
      <c r="B357" t="s">
        <v>2832</v>
      </c>
      <c r="C357" t="s">
        <v>2833</v>
      </c>
      <c r="D357">
        <v>5</v>
      </c>
      <c r="E357" t="s">
        <v>2598</v>
      </c>
      <c r="F357" t="s">
        <v>2553</v>
      </c>
      <c r="G357" t="s">
        <v>2599</v>
      </c>
      <c r="H357" t="s">
        <v>2834</v>
      </c>
      <c r="I357" t="s">
        <v>2835</v>
      </c>
      <c r="J357" t="s">
        <v>2836</v>
      </c>
      <c r="K357" t="s">
        <v>2620</v>
      </c>
      <c r="L357">
        <v>5.5337481498718262</v>
      </c>
      <c r="M357" t="s">
        <v>6</v>
      </c>
      <c r="N357" t="s">
        <v>5</v>
      </c>
      <c r="O357" t="s">
        <v>6</v>
      </c>
      <c r="P357" t="s">
        <v>5</v>
      </c>
      <c r="Q357" t="s">
        <v>5</v>
      </c>
      <c r="R357" t="s">
        <v>2837</v>
      </c>
      <c r="S357" t="s">
        <v>2837</v>
      </c>
      <c r="T357" t="s">
        <v>6</v>
      </c>
      <c r="U357" t="s">
        <v>85</v>
      </c>
      <c r="V357">
        <v>1000000</v>
      </c>
      <c r="W357">
        <v>100000</v>
      </c>
      <c r="X357" t="s">
        <v>6</v>
      </c>
      <c r="Y357"/>
      <c r="Z357"/>
      <c r="AA357">
        <v>0.43389344215393072</v>
      </c>
      <c r="AB357">
        <v>3.9828449487686157E-2</v>
      </c>
      <c r="AC357">
        <v>0.30730631947517401</v>
      </c>
      <c r="AD357">
        <v>33</v>
      </c>
      <c r="AE357">
        <v>17</v>
      </c>
      <c r="AF357">
        <v>16</v>
      </c>
      <c r="AG357">
        <v>65</v>
      </c>
      <c r="AH357">
        <v>45</v>
      </c>
      <c r="AI357">
        <v>98</v>
      </c>
      <c r="AJ357">
        <v>0</v>
      </c>
      <c r="AK357">
        <v>2</v>
      </c>
      <c r="AL357">
        <v>1</v>
      </c>
      <c r="AM357">
        <v>2</v>
      </c>
      <c r="AN357">
        <v>1.571577310562134</v>
      </c>
      <c r="AO357"/>
      <c r="AP357"/>
      <c r="AQ357"/>
      <c r="AR357">
        <v>0</v>
      </c>
      <c r="AS357">
        <v>0</v>
      </c>
      <c r="AT357">
        <v>0</v>
      </c>
      <c r="AU357">
        <v>0</v>
      </c>
      <c r="AV357">
        <v>0</v>
      </c>
      <c r="AW357">
        <v>0</v>
      </c>
      <c r="AX357">
        <v>0</v>
      </c>
      <c r="AY357">
        <v>0</v>
      </c>
      <c r="AZ357">
        <v>0</v>
      </c>
      <c r="BA357">
        <v>0</v>
      </c>
      <c r="BB357"/>
      <c r="BC357"/>
      <c r="BD357"/>
      <c r="BE357">
        <v>0</v>
      </c>
      <c r="BF357" t="s">
        <v>2516</v>
      </c>
      <c r="BG357" t="s">
        <v>5</v>
      </c>
      <c r="BH357" t="s">
        <v>1020</v>
      </c>
      <c r="BI357"/>
      <c r="BJ357" t="s">
        <v>5</v>
      </c>
      <c r="BK357"/>
      <c r="BL357">
        <v>0</v>
      </c>
      <c r="BM357"/>
      <c r="BN357" t="s">
        <v>6</v>
      </c>
      <c r="BO357" t="s">
        <v>2518</v>
      </c>
      <c r="BP357" t="s">
        <v>2518</v>
      </c>
      <c r="BQ357" t="s">
        <v>2518</v>
      </c>
      <c r="BR357"/>
      <c r="BS357" t="s">
        <v>6</v>
      </c>
      <c r="BT357" t="s">
        <v>2518</v>
      </c>
      <c r="BU357" t="s">
        <v>2518</v>
      </c>
      <c r="BV357" t="s">
        <v>2518</v>
      </c>
      <c r="BW357"/>
      <c r="BX357" t="s">
        <v>6</v>
      </c>
      <c r="BY357" t="s">
        <v>2605</v>
      </c>
      <c r="BZ357" t="s">
        <v>2518</v>
      </c>
      <c r="CA357"/>
      <c r="CB357" t="s">
        <v>5</v>
      </c>
      <c r="CC357">
        <v>39444.754130421308</v>
      </c>
      <c r="CD357">
        <v>14332341.84504539</v>
      </c>
      <c r="CE357" s="313" t="s">
        <v>11891</v>
      </c>
    </row>
    <row r="358" spans="1:83" ht="15" x14ac:dyDescent="0.25">
      <c r="A358" t="s">
        <v>2838</v>
      </c>
      <c r="B358" t="s">
        <v>2839</v>
      </c>
      <c r="C358" t="s">
        <v>2840</v>
      </c>
      <c r="D358">
        <v>5</v>
      </c>
      <c r="E358" t="s">
        <v>2598</v>
      </c>
      <c r="F358" t="s">
        <v>2613</v>
      </c>
      <c r="G358" t="s">
        <v>2614</v>
      </c>
      <c r="H358" t="s">
        <v>2615</v>
      </c>
      <c r="I358" t="s">
        <v>2841</v>
      </c>
      <c r="J358" t="s">
        <v>2842</v>
      </c>
      <c r="K358" t="s">
        <v>2731</v>
      </c>
      <c r="L358">
        <v>2.833915233612061</v>
      </c>
      <c r="M358" t="s">
        <v>6</v>
      </c>
      <c r="N358" t="s">
        <v>5</v>
      </c>
      <c r="O358" t="s">
        <v>6</v>
      </c>
      <c r="P358" t="s">
        <v>5</v>
      </c>
      <c r="Q358" t="s">
        <v>5</v>
      </c>
      <c r="R358" t="s">
        <v>2843</v>
      </c>
      <c r="S358" t="s">
        <v>2843</v>
      </c>
      <c r="T358" t="s">
        <v>6</v>
      </c>
      <c r="U358" t="s">
        <v>85</v>
      </c>
      <c r="V358">
        <v>500000</v>
      </c>
      <c r="W358">
        <v>100000</v>
      </c>
      <c r="X358" t="s">
        <v>6</v>
      </c>
      <c r="Y358"/>
      <c r="Z358"/>
      <c r="AA358">
        <v>7.7168576419353485E-2</v>
      </c>
      <c r="AB358">
        <v>1.057922001928091E-2</v>
      </c>
      <c r="AC358">
        <v>0.17145057022571561</v>
      </c>
      <c r="AD358">
        <v>1</v>
      </c>
      <c r="AE358">
        <v>0</v>
      </c>
      <c r="AF358">
        <v>1</v>
      </c>
      <c r="AG358">
        <v>0</v>
      </c>
      <c r="AH358">
        <v>0</v>
      </c>
      <c r="AI358">
        <v>0</v>
      </c>
      <c r="AJ358">
        <v>0</v>
      </c>
      <c r="AK358">
        <v>0</v>
      </c>
      <c r="AL358">
        <v>0</v>
      </c>
      <c r="AM358">
        <v>0</v>
      </c>
      <c r="AN358">
        <v>0.44660305976867681</v>
      </c>
      <c r="AO358"/>
      <c r="AP358"/>
      <c r="AQ358"/>
      <c r="AR358">
        <v>0</v>
      </c>
      <c r="AS358">
        <v>0</v>
      </c>
      <c r="AT358">
        <v>0</v>
      </c>
      <c r="AU358">
        <v>0</v>
      </c>
      <c r="AV358">
        <v>0</v>
      </c>
      <c r="AW358">
        <v>0</v>
      </c>
      <c r="AX358">
        <v>0</v>
      </c>
      <c r="AY358">
        <v>0</v>
      </c>
      <c r="AZ358">
        <v>0</v>
      </c>
      <c r="BA358">
        <v>0</v>
      </c>
      <c r="BB358"/>
      <c r="BC358"/>
      <c r="BD358"/>
      <c r="BE358">
        <v>0</v>
      </c>
      <c r="BF358" t="s">
        <v>2516</v>
      </c>
      <c r="BG358" t="s">
        <v>5</v>
      </c>
      <c r="BH358" t="s">
        <v>1020</v>
      </c>
      <c r="BI358"/>
      <c r="BJ358" t="s">
        <v>5</v>
      </c>
      <c r="BK358"/>
      <c r="BL358">
        <v>0</v>
      </c>
      <c r="BM358"/>
      <c r="BN358" t="s">
        <v>6</v>
      </c>
      <c r="BO358" t="s">
        <v>2518</v>
      </c>
      <c r="BP358" t="s">
        <v>2518</v>
      </c>
      <c r="BQ358" t="s">
        <v>2518</v>
      </c>
      <c r="BR358"/>
      <c r="BS358" t="s">
        <v>6</v>
      </c>
      <c r="BT358" t="s">
        <v>2518</v>
      </c>
      <c r="BU358" t="s">
        <v>2518</v>
      </c>
      <c r="BV358" t="s">
        <v>2518</v>
      </c>
      <c r="BW358"/>
      <c r="BX358" t="s">
        <v>6</v>
      </c>
      <c r="BY358" t="s">
        <v>2605</v>
      </c>
      <c r="BZ358" t="s">
        <v>2518</v>
      </c>
      <c r="CA358"/>
      <c r="CB358" t="s">
        <v>5</v>
      </c>
      <c r="CC358">
        <v>17856.614316251929</v>
      </c>
      <c r="CD358">
        <v>7339806.9897673186</v>
      </c>
      <c r="CE358" s="313" t="s">
        <v>11891</v>
      </c>
    </row>
    <row r="359" spans="1:83" ht="15" x14ac:dyDescent="0.25">
      <c r="A359" t="s">
        <v>2844</v>
      </c>
      <c r="B359" t="s">
        <v>2845</v>
      </c>
      <c r="C359" t="s">
        <v>2846</v>
      </c>
      <c r="D359">
        <v>5</v>
      </c>
      <c r="E359" t="s">
        <v>2598</v>
      </c>
      <c r="F359" t="s">
        <v>2690</v>
      </c>
      <c r="G359" t="s">
        <v>2691</v>
      </c>
      <c r="H359" t="s">
        <v>2847</v>
      </c>
      <c r="I359" t="s">
        <v>2848</v>
      </c>
      <c r="J359" t="s">
        <v>2849</v>
      </c>
      <c r="K359" t="s">
        <v>2607</v>
      </c>
      <c r="L359">
        <v>5.1556692123413086</v>
      </c>
      <c r="M359" t="s">
        <v>6</v>
      </c>
      <c r="N359" t="s">
        <v>5</v>
      </c>
      <c r="O359" t="s">
        <v>6</v>
      </c>
      <c r="P359" t="s">
        <v>5</v>
      </c>
      <c r="Q359" t="s">
        <v>5</v>
      </c>
      <c r="R359" t="s">
        <v>2850</v>
      </c>
      <c r="S359" t="s">
        <v>2851</v>
      </c>
      <c r="T359" t="s">
        <v>6</v>
      </c>
      <c r="U359" t="s">
        <v>85</v>
      </c>
      <c r="V359">
        <v>1000000</v>
      </c>
      <c r="W359">
        <v>100000</v>
      </c>
      <c r="X359" t="s">
        <v>6</v>
      </c>
      <c r="Y359"/>
      <c r="Z359"/>
      <c r="AA359">
        <v>0.88479453325271606</v>
      </c>
      <c r="AB359">
        <v>6.0528259724378593E-2</v>
      </c>
      <c r="AC359">
        <v>0.18653030693531039</v>
      </c>
      <c r="AD359">
        <v>34</v>
      </c>
      <c r="AE359">
        <v>10</v>
      </c>
      <c r="AF359">
        <v>17</v>
      </c>
      <c r="AG359">
        <v>97</v>
      </c>
      <c r="AH359">
        <v>74</v>
      </c>
      <c r="AI359">
        <v>114</v>
      </c>
      <c r="AJ359">
        <v>0</v>
      </c>
      <c r="AK359">
        <v>0</v>
      </c>
      <c r="AL359">
        <v>1</v>
      </c>
      <c r="AM359">
        <v>0</v>
      </c>
      <c r="AN359">
        <v>1.999566316604614</v>
      </c>
      <c r="AO359"/>
      <c r="AP359"/>
      <c r="AQ359"/>
      <c r="AR359">
        <v>0</v>
      </c>
      <c r="AS359">
        <v>0</v>
      </c>
      <c r="AT359">
        <v>0</v>
      </c>
      <c r="AU359">
        <v>0</v>
      </c>
      <c r="AV359">
        <v>0</v>
      </c>
      <c r="AW359">
        <v>0</v>
      </c>
      <c r="AX359">
        <v>0</v>
      </c>
      <c r="AY359">
        <v>0</v>
      </c>
      <c r="AZ359">
        <v>0</v>
      </c>
      <c r="BA359">
        <v>0</v>
      </c>
      <c r="BB359"/>
      <c r="BC359"/>
      <c r="BD359"/>
      <c r="BE359">
        <v>0</v>
      </c>
      <c r="BF359" t="s">
        <v>2516</v>
      </c>
      <c r="BG359" t="s">
        <v>5</v>
      </c>
      <c r="BH359" t="s">
        <v>1020</v>
      </c>
      <c r="BI359"/>
      <c r="BJ359" t="s">
        <v>5</v>
      </c>
      <c r="BK359"/>
      <c r="BL359">
        <v>0</v>
      </c>
      <c r="BM359"/>
      <c r="BN359" t="s">
        <v>5</v>
      </c>
      <c r="BO359" t="s">
        <v>2518</v>
      </c>
      <c r="BP359" t="s">
        <v>2518</v>
      </c>
      <c r="BQ359" t="s">
        <v>2518</v>
      </c>
      <c r="BR359"/>
      <c r="BS359" t="s">
        <v>6</v>
      </c>
      <c r="BT359" t="s">
        <v>2518</v>
      </c>
      <c r="BU359" t="s">
        <v>2518</v>
      </c>
      <c r="BV359" t="s">
        <v>2518</v>
      </c>
      <c r="BW359"/>
      <c r="BX359" t="s">
        <v>6</v>
      </c>
      <c r="BY359" t="s">
        <v>2605</v>
      </c>
      <c r="BZ359" t="s">
        <v>2518</v>
      </c>
      <c r="CA359"/>
      <c r="CB359" t="s">
        <v>5</v>
      </c>
      <c r="CC359">
        <v>19668.853553710709</v>
      </c>
      <c r="CD359">
        <v>13353121.98052977</v>
      </c>
      <c r="CE359" s="313" t="s">
        <v>11891</v>
      </c>
    </row>
    <row r="360" spans="1:83" ht="15" x14ac:dyDescent="0.25">
      <c r="A360" t="s">
        <v>2852</v>
      </c>
      <c r="B360" t="s">
        <v>2853</v>
      </c>
      <c r="C360" t="s">
        <v>2854</v>
      </c>
      <c r="D360">
        <v>5</v>
      </c>
      <c r="E360" t="s">
        <v>2598</v>
      </c>
      <c r="F360" t="s">
        <v>1772</v>
      </c>
      <c r="G360" t="s">
        <v>2571</v>
      </c>
      <c r="H360" t="s">
        <v>2855</v>
      </c>
      <c r="I360" t="s">
        <v>2856</v>
      </c>
      <c r="J360" t="s">
        <v>2857</v>
      </c>
      <c r="K360" t="s">
        <v>2731</v>
      </c>
      <c r="L360">
        <v>6.7654733657836914</v>
      </c>
      <c r="M360" t="s">
        <v>6</v>
      </c>
      <c r="N360" t="s">
        <v>5</v>
      </c>
      <c r="O360" t="s">
        <v>6</v>
      </c>
      <c r="P360" t="s">
        <v>5</v>
      </c>
      <c r="Q360" t="s">
        <v>5</v>
      </c>
      <c r="R360" t="s">
        <v>2858</v>
      </c>
      <c r="S360" t="s">
        <v>2858</v>
      </c>
      <c r="T360" t="s">
        <v>6</v>
      </c>
      <c r="U360" t="s">
        <v>85</v>
      </c>
      <c r="V360">
        <v>2000000</v>
      </c>
      <c r="W360">
        <v>100000</v>
      </c>
      <c r="X360" t="s">
        <v>5</v>
      </c>
      <c r="Y360"/>
      <c r="Z360"/>
      <c r="AA360">
        <v>0.4859829843044281</v>
      </c>
      <c r="AB360">
        <v>0.1133221164345741</v>
      </c>
      <c r="AC360">
        <v>0.41038340330123901</v>
      </c>
      <c r="AD360">
        <v>14</v>
      </c>
      <c r="AE360">
        <v>16</v>
      </c>
      <c r="AF360">
        <v>10</v>
      </c>
      <c r="AG360">
        <v>19</v>
      </c>
      <c r="AH360">
        <v>31</v>
      </c>
      <c r="AI360">
        <v>42</v>
      </c>
      <c r="AJ360">
        <v>0</v>
      </c>
      <c r="AK360">
        <v>2</v>
      </c>
      <c r="AL360">
        <v>2</v>
      </c>
      <c r="AM360">
        <v>2</v>
      </c>
      <c r="AN360">
        <v>1.7737411260604861</v>
      </c>
      <c r="AO360"/>
      <c r="AP360"/>
      <c r="AQ360"/>
      <c r="AR360">
        <v>0</v>
      </c>
      <c r="AS360">
        <v>0</v>
      </c>
      <c r="AT360">
        <v>0</v>
      </c>
      <c r="AU360">
        <v>0</v>
      </c>
      <c r="AV360">
        <v>0</v>
      </c>
      <c r="AW360">
        <v>0</v>
      </c>
      <c r="AX360">
        <v>0</v>
      </c>
      <c r="AY360">
        <v>0</v>
      </c>
      <c r="AZ360">
        <v>0</v>
      </c>
      <c r="BA360">
        <v>0</v>
      </c>
      <c r="BB360"/>
      <c r="BC360"/>
      <c r="BD360"/>
      <c r="BE360">
        <v>0</v>
      </c>
      <c r="BF360" t="s">
        <v>2516</v>
      </c>
      <c r="BG360" t="s">
        <v>5</v>
      </c>
      <c r="BH360" t="s">
        <v>1020</v>
      </c>
      <c r="BI360"/>
      <c r="BJ360" t="s">
        <v>5</v>
      </c>
      <c r="BK360"/>
      <c r="BL360">
        <v>0</v>
      </c>
      <c r="BM360"/>
      <c r="BN360" t="s">
        <v>5</v>
      </c>
      <c r="BO360" t="s">
        <v>2518</v>
      </c>
      <c r="BP360" t="s">
        <v>2518</v>
      </c>
      <c r="BQ360" t="s">
        <v>2518</v>
      </c>
      <c r="BR360"/>
      <c r="BS360" t="s">
        <v>6</v>
      </c>
      <c r="BT360" t="s">
        <v>2518</v>
      </c>
      <c r="BU360" t="s">
        <v>2518</v>
      </c>
      <c r="BV360" t="s">
        <v>2518</v>
      </c>
      <c r="BW360"/>
      <c r="BX360" t="s">
        <v>6</v>
      </c>
      <c r="BY360" t="s">
        <v>2605</v>
      </c>
      <c r="BZ360" t="s">
        <v>2518</v>
      </c>
      <c r="CA360"/>
      <c r="CB360" t="s">
        <v>5</v>
      </c>
      <c r="CC360">
        <v>42370.332550088759</v>
      </c>
      <c r="CD360">
        <v>17522495.341436978</v>
      </c>
      <c r="CE360" s="313" t="s">
        <v>11891</v>
      </c>
    </row>
    <row r="361" spans="1:83" ht="15" x14ac:dyDescent="0.25">
      <c r="A361" t="s">
        <v>2866</v>
      </c>
      <c r="B361" t="s">
        <v>2867</v>
      </c>
      <c r="C361" t="s">
        <v>2816</v>
      </c>
      <c r="D361">
        <v>5</v>
      </c>
      <c r="E361" t="s">
        <v>2598</v>
      </c>
      <c r="F361" t="s">
        <v>1772</v>
      </c>
      <c r="G361" t="s">
        <v>2571</v>
      </c>
      <c r="H361" t="s">
        <v>2718</v>
      </c>
      <c r="I361" t="s">
        <v>2719</v>
      </c>
      <c r="J361" t="s">
        <v>2720</v>
      </c>
      <c r="K361" t="s">
        <v>2731</v>
      </c>
      <c r="L361">
        <v>2.4749705791473389</v>
      </c>
      <c r="M361" t="s">
        <v>6</v>
      </c>
      <c r="N361" t="s">
        <v>5</v>
      </c>
      <c r="O361" t="s">
        <v>6</v>
      </c>
      <c r="P361" t="s">
        <v>5</v>
      </c>
      <c r="Q361" t="s">
        <v>5</v>
      </c>
      <c r="R361" t="s">
        <v>2721</v>
      </c>
      <c r="S361" t="s">
        <v>2721</v>
      </c>
      <c r="T361" t="s">
        <v>6</v>
      </c>
      <c r="U361" t="s">
        <v>85</v>
      </c>
      <c r="V361">
        <v>1000000</v>
      </c>
      <c r="W361">
        <v>100000</v>
      </c>
      <c r="X361" t="s">
        <v>6</v>
      </c>
      <c r="Y361"/>
      <c r="Z361"/>
      <c r="AA361">
        <v>0.2360410541296005</v>
      </c>
      <c r="AB361">
        <v>1.546739041805267E-2</v>
      </c>
      <c r="AC361">
        <v>0.15368993580341339</v>
      </c>
      <c r="AD361">
        <v>0</v>
      </c>
      <c r="AE361">
        <v>0</v>
      </c>
      <c r="AF361">
        <v>0</v>
      </c>
      <c r="AG361">
        <v>0</v>
      </c>
      <c r="AH361">
        <v>0</v>
      </c>
      <c r="AI361">
        <v>0</v>
      </c>
      <c r="AJ361">
        <v>0</v>
      </c>
      <c r="AK361">
        <v>0</v>
      </c>
      <c r="AL361">
        <v>0</v>
      </c>
      <c r="AM361">
        <v>0</v>
      </c>
      <c r="AN361">
        <v>0.17298674583435061</v>
      </c>
      <c r="AO361"/>
      <c r="AP361"/>
      <c r="AQ361"/>
      <c r="AR361">
        <v>0</v>
      </c>
      <c r="AS361">
        <v>0</v>
      </c>
      <c r="AT361">
        <v>0</v>
      </c>
      <c r="AU361">
        <v>0</v>
      </c>
      <c r="AV361">
        <v>0</v>
      </c>
      <c r="AW361">
        <v>0</v>
      </c>
      <c r="AX361">
        <v>0</v>
      </c>
      <c r="AY361">
        <v>0</v>
      </c>
      <c r="AZ361">
        <v>0</v>
      </c>
      <c r="BA361">
        <v>0</v>
      </c>
      <c r="BB361"/>
      <c r="BC361"/>
      <c r="BD361"/>
      <c r="BE361">
        <v>0</v>
      </c>
      <c r="BF361" t="s">
        <v>2516</v>
      </c>
      <c r="BG361" t="s">
        <v>5</v>
      </c>
      <c r="BH361" t="s">
        <v>1020</v>
      </c>
      <c r="BI361"/>
      <c r="BJ361" t="s">
        <v>5</v>
      </c>
      <c r="BK361"/>
      <c r="BL361">
        <v>0</v>
      </c>
      <c r="BM361"/>
      <c r="BN361" t="s">
        <v>6</v>
      </c>
      <c r="BO361" t="s">
        <v>2518</v>
      </c>
      <c r="BP361" t="s">
        <v>2518</v>
      </c>
      <c r="BQ361" t="s">
        <v>2518</v>
      </c>
      <c r="BR361"/>
      <c r="BS361" t="s">
        <v>6</v>
      </c>
      <c r="BT361" t="s">
        <v>2518</v>
      </c>
      <c r="BU361" t="s">
        <v>2518</v>
      </c>
      <c r="BV361" t="s">
        <v>2518</v>
      </c>
      <c r="BW361"/>
      <c r="BX361" t="s">
        <v>6</v>
      </c>
      <c r="BY361" t="s">
        <v>2605</v>
      </c>
      <c r="BZ361" t="s">
        <v>2518</v>
      </c>
      <c r="CA361"/>
      <c r="CB361" t="s">
        <v>5</v>
      </c>
      <c r="CC361">
        <v>15663.57372780068</v>
      </c>
      <c r="CD361">
        <v>6410144.6303594066</v>
      </c>
      <c r="CE361" s="313" t="s">
        <v>11891</v>
      </c>
    </row>
    <row r="362" spans="1:83" ht="15" x14ac:dyDescent="0.25">
      <c r="A362" t="s">
        <v>2868</v>
      </c>
      <c r="B362" t="s">
        <v>2869</v>
      </c>
      <c r="C362" t="s">
        <v>2870</v>
      </c>
      <c r="D362">
        <v>5</v>
      </c>
      <c r="E362" t="s">
        <v>2598</v>
      </c>
      <c r="F362" t="s">
        <v>1771</v>
      </c>
      <c r="G362" t="s">
        <v>2614</v>
      </c>
      <c r="H362" t="s">
        <v>2722</v>
      </c>
      <c r="I362" t="s">
        <v>2723</v>
      </c>
      <c r="J362" t="s">
        <v>2724</v>
      </c>
      <c r="K362" t="s">
        <v>2672</v>
      </c>
      <c r="L362">
        <v>0.63485258817672729</v>
      </c>
      <c r="M362" t="s">
        <v>6</v>
      </c>
      <c r="N362" t="s">
        <v>5</v>
      </c>
      <c r="O362" t="s">
        <v>6</v>
      </c>
      <c r="P362" t="s">
        <v>5</v>
      </c>
      <c r="Q362" t="s">
        <v>5</v>
      </c>
      <c r="R362" t="s">
        <v>2725</v>
      </c>
      <c r="S362" t="s">
        <v>2725</v>
      </c>
      <c r="T362" t="s">
        <v>6</v>
      </c>
      <c r="U362" t="s">
        <v>85</v>
      </c>
      <c r="V362">
        <v>750000</v>
      </c>
      <c r="W362">
        <v>100000</v>
      </c>
      <c r="X362" t="s">
        <v>6</v>
      </c>
      <c r="Y362"/>
      <c r="Z362"/>
      <c r="AA362">
        <v>2.656619064509869E-2</v>
      </c>
      <c r="AB362">
        <v>2.387569984421134E-3</v>
      </c>
      <c r="AC362">
        <v>8.6294598877429962E-3</v>
      </c>
      <c r="AD362">
        <v>3</v>
      </c>
      <c r="AE362">
        <v>0</v>
      </c>
      <c r="AF362">
        <v>3</v>
      </c>
      <c r="AG362">
        <v>1</v>
      </c>
      <c r="AH362">
        <v>2</v>
      </c>
      <c r="AI362">
        <v>2</v>
      </c>
      <c r="AJ362">
        <v>0</v>
      </c>
      <c r="AK362">
        <v>0</v>
      </c>
      <c r="AL362">
        <v>0</v>
      </c>
      <c r="AM362">
        <v>0</v>
      </c>
      <c r="AN362">
        <v>0</v>
      </c>
      <c r="AO362"/>
      <c r="AP362"/>
      <c r="AQ362"/>
      <c r="AR362">
        <v>0</v>
      </c>
      <c r="AS362">
        <v>0</v>
      </c>
      <c r="AT362">
        <v>0</v>
      </c>
      <c r="AU362">
        <v>0</v>
      </c>
      <c r="AV362">
        <v>0</v>
      </c>
      <c r="AW362">
        <v>0</v>
      </c>
      <c r="AX362">
        <v>0</v>
      </c>
      <c r="AY362">
        <v>0</v>
      </c>
      <c r="AZ362">
        <v>0</v>
      </c>
      <c r="BA362">
        <v>0</v>
      </c>
      <c r="BB362"/>
      <c r="BC362"/>
      <c r="BD362"/>
      <c r="BE362">
        <v>0</v>
      </c>
      <c r="BF362" t="s">
        <v>2516</v>
      </c>
      <c r="BG362" t="s">
        <v>5</v>
      </c>
      <c r="BH362" t="s">
        <v>1020</v>
      </c>
      <c r="BI362"/>
      <c r="BJ362" t="s">
        <v>5</v>
      </c>
      <c r="BK362"/>
      <c r="BL362">
        <v>0</v>
      </c>
      <c r="BM362"/>
      <c r="BN362" t="s">
        <v>6</v>
      </c>
      <c r="BO362" t="s">
        <v>2518</v>
      </c>
      <c r="BP362" t="s">
        <v>2518</v>
      </c>
      <c r="BQ362" t="s">
        <v>2518</v>
      </c>
      <c r="BR362"/>
      <c r="BS362" t="s">
        <v>6</v>
      </c>
      <c r="BT362" t="s">
        <v>2518</v>
      </c>
      <c r="BU362" t="s">
        <v>2518</v>
      </c>
      <c r="BV362" t="s">
        <v>2518</v>
      </c>
      <c r="BW362"/>
      <c r="BX362" t="s">
        <v>6</v>
      </c>
      <c r="BY362" t="s">
        <v>2605</v>
      </c>
      <c r="BZ362" t="s">
        <v>2518</v>
      </c>
      <c r="CA362"/>
      <c r="CB362" t="s">
        <v>5</v>
      </c>
      <c r="CC362">
        <v>9475.4889831687724</v>
      </c>
      <c r="CD362">
        <v>1644260.584749891</v>
      </c>
      <c r="CE362" s="313" t="s">
        <v>11891</v>
      </c>
    </row>
    <row r="363" spans="1:83" ht="15" x14ac:dyDescent="0.25">
      <c r="A363" t="s">
        <v>2871</v>
      </c>
      <c r="B363" t="s">
        <v>2872</v>
      </c>
      <c r="C363" t="s">
        <v>2873</v>
      </c>
      <c r="D363">
        <v>5</v>
      </c>
      <c r="E363" t="s">
        <v>2598</v>
      </c>
      <c r="F363" t="s">
        <v>2874</v>
      </c>
      <c r="G363" t="s">
        <v>2875</v>
      </c>
      <c r="H363" t="s">
        <v>2876</v>
      </c>
      <c r="I363" t="s">
        <v>2877</v>
      </c>
      <c r="J363" t="s">
        <v>2878</v>
      </c>
      <c r="K363" t="s">
        <v>2672</v>
      </c>
      <c r="L363">
        <v>3.9699583053588872</v>
      </c>
      <c r="M363" t="s">
        <v>6</v>
      </c>
      <c r="N363" t="s">
        <v>5</v>
      </c>
      <c r="O363" t="s">
        <v>5</v>
      </c>
      <c r="P363" t="s">
        <v>5</v>
      </c>
      <c r="Q363" t="s">
        <v>6</v>
      </c>
      <c r="R363" t="s">
        <v>2879</v>
      </c>
      <c r="S363" t="s">
        <v>2879</v>
      </c>
      <c r="T363" t="s">
        <v>6</v>
      </c>
      <c r="U363" t="s">
        <v>85</v>
      </c>
      <c r="V363">
        <v>1500000</v>
      </c>
      <c r="W363">
        <v>100000</v>
      </c>
      <c r="X363" t="s">
        <v>6</v>
      </c>
      <c r="Y363"/>
      <c r="Z363"/>
      <c r="AA363">
        <v>0.63839852809906006</v>
      </c>
      <c r="AB363">
        <v>0.45848017930984503</v>
      </c>
      <c r="AC363">
        <v>0.13193340599536901</v>
      </c>
      <c r="AD363">
        <v>3</v>
      </c>
      <c r="AE363">
        <v>16</v>
      </c>
      <c r="AF363">
        <v>2</v>
      </c>
      <c r="AG363">
        <v>1</v>
      </c>
      <c r="AH363">
        <v>2</v>
      </c>
      <c r="AI363">
        <v>2</v>
      </c>
      <c r="AJ363">
        <v>0</v>
      </c>
      <c r="AK363">
        <v>0</v>
      </c>
      <c r="AL363">
        <v>1</v>
      </c>
      <c r="AM363">
        <v>0</v>
      </c>
      <c r="AN363">
        <v>4.4087089598178857E-2</v>
      </c>
      <c r="AO363"/>
      <c r="AP363"/>
      <c r="AQ363"/>
      <c r="AR363">
        <v>0</v>
      </c>
      <c r="AS363">
        <v>0</v>
      </c>
      <c r="AT363">
        <v>0</v>
      </c>
      <c r="AU363">
        <v>0</v>
      </c>
      <c r="AV363">
        <v>0</v>
      </c>
      <c r="AW363">
        <v>0</v>
      </c>
      <c r="AX363">
        <v>0</v>
      </c>
      <c r="AY363">
        <v>0</v>
      </c>
      <c r="AZ363">
        <v>0</v>
      </c>
      <c r="BA363">
        <v>0</v>
      </c>
      <c r="BB363"/>
      <c r="BC363"/>
      <c r="BD363"/>
      <c r="BE363">
        <v>0</v>
      </c>
      <c r="BF363" t="s">
        <v>2516</v>
      </c>
      <c r="BG363" t="s">
        <v>5</v>
      </c>
      <c r="BH363" t="s">
        <v>1020</v>
      </c>
      <c r="BI363"/>
      <c r="BJ363" t="s">
        <v>5</v>
      </c>
      <c r="BK363"/>
      <c r="BL363">
        <v>0</v>
      </c>
      <c r="BM363"/>
      <c r="BN363" t="s">
        <v>6</v>
      </c>
      <c r="BO363" t="s">
        <v>2518</v>
      </c>
      <c r="BP363" t="s">
        <v>2518</v>
      </c>
      <c r="BQ363" t="s">
        <v>2518</v>
      </c>
      <c r="BR363"/>
      <c r="BS363" t="s">
        <v>6</v>
      </c>
      <c r="BT363" t="s">
        <v>2518</v>
      </c>
      <c r="BU363" t="s">
        <v>2518</v>
      </c>
      <c r="BV363" t="s">
        <v>2518</v>
      </c>
      <c r="BW363"/>
      <c r="BX363" t="s">
        <v>6</v>
      </c>
      <c r="BY363" t="s">
        <v>2605</v>
      </c>
      <c r="BZ363" t="s">
        <v>2518</v>
      </c>
      <c r="CA363"/>
      <c r="CB363" t="s">
        <v>5</v>
      </c>
      <c r="CC363">
        <v>19244.718912472621</v>
      </c>
      <c r="CD363">
        <v>10282145.097213341</v>
      </c>
      <c r="CE363" s="313" t="s">
        <v>11891</v>
      </c>
    </row>
    <row r="364" spans="1:83" ht="15" x14ac:dyDescent="0.25">
      <c r="A364" t="s">
        <v>2883</v>
      </c>
      <c r="B364" t="s">
        <v>2884</v>
      </c>
      <c r="C364" t="s">
        <v>2754</v>
      </c>
      <c r="D364">
        <v>5</v>
      </c>
      <c r="E364" t="s">
        <v>2598</v>
      </c>
      <c r="F364" t="s">
        <v>2874</v>
      </c>
      <c r="G364" t="s">
        <v>2875</v>
      </c>
      <c r="H364" t="s">
        <v>2876</v>
      </c>
      <c r="I364" t="s">
        <v>2877</v>
      </c>
      <c r="J364" t="s">
        <v>2878</v>
      </c>
      <c r="K364" t="s">
        <v>2620</v>
      </c>
      <c r="L364">
        <v>3.9684593677520752</v>
      </c>
      <c r="M364" t="s">
        <v>6</v>
      </c>
      <c r="N364" t="s">
        <v>5</v>
      </c>
      <c r="O364" t="s">
        <v>5</v>
      </c>
      <c r="P364" t="s">
        <v>5</v>
      </c>
      <c r="Q364" t="s">
        <v>6</v>
      </c>
      <c r="R364" t="s">
        <v>2879</v>
      </c>
      <c r="S364" t="s">
        <v>2879</v>
      </c>
      <c r="T364" t="s">
        <v>6</v>
      </c>
      <c r="U364" t="s">
        <v>85</v>
      </c>
      <c r="V364">
        <v>2000000</v>
      </c>
      <c r="W364">
        <v>100000</v>
      </c>
      <c r="X364" t="s">
        <v>6</v>
      </c>
      <c r="Y364"/>
      <c r="Z364"/>
      <c r="AA364">
        <v>0.63839852809906006</v>
      </c>
      <c r="AB364">
        <v>0.45848017930984503</v>
      </c>
      <c r="AC364">
        <v>0.13193340599536901</v>
      </c>
      <c r="AD364">
        <v>3</v>
      </c>
      <c r="AE364">
        <v>16</v>
      </c>
      <c r="AF364">
        <v>2</v>
      </c>
      <c r="AG364">
        <v>1</v>
      </c>
      <c r="AH364">
        <v>2</v>
      </c>
      <c r="AI364">
        <v>2</v>
      </c>
      <c r="AJ364">
        <v>0</v>
      </c>
      <c r="AK364">
        <v>0</v>
      </c>
      <c r="AL364">
        <v>1</v>
      </c>
      <c r="AM364">
        <v>0</v>
      </c>
      <c r="AN364">
        <v>4.4087089598178857E-2</v>
      </c>
      <c r="AO364"/>
      <c r="AP364"/>
      <c r="AQ364"/>
      <c r="AR364">
        <v>0</v>
      </c>
      <c r="AS364">
        <v>0</v>
      </c>
      <c r="AT364">
        <v>0</v>
      </c>
      <c r="AU364">
        <v>0</v>
      </c>
      <c r="AV364">
        <v>0</v>
      </c>
      <c r="AW364">
        <v>0</v>
      </c>
      <c r="AX364">
        <v>0</v>
      </c>
      <c r="AY364">
        <v>0</v>
      </c>
      <c r="AZ364">
        <v>0</v>
      </c>
      <c r="BA364">
        <v>0</v>
      </c>
      <c r="BB364"/>
      <c r="BC364"/>
      <c r="BD364"/>
      <c r="BE364">
        <v>0</v>
      </c>
      <c r="BF364" t="s">
        <v>2516</v>
      </c>
      <c r="BG364" t="s">
        <v>5</v>
      </c>
      <c r="BH364" t="s">
        <v>1020</v>
      </c>
      <c r="BI364"/>
      <c r="BJ364" t="s">
        <v>5</v>
      </c>
      <c r="BK364"/>
      <c r="BL364">
        <v>0</v>
      </c>
      <c r="BM364"/>
      <c r="BN364" t="s">
        <v>6</v>
      </c>
      <c r="BO364" t="s">
        <v>2518</v>
      </c>
      <c r="BP364" t="s">
        <v>2518</v>
      </c>
      <c r="BQ364" t="s">
        <v>2518</v>
      </c>
      <c r="BR364"/>
      <c r="BS364" t="s">
        <v>6</v>
      </c>
      <c r="BT364" t="s">
        <v>2518</v>
      </c>
      <c r="BU364" t="s">
        <v>2518</v>
      </c>
      <c r="BV364" t="s">
        <v>2518</v>
      </c>
      <c r="BW364"/>
      <c r="BX364" t="s">
        <v>6</v>
      </c>
      <c r="BY364" t="s">
        <v>2605</v>
      </c>
      <c r="BZ364" t="s">
        <v>2518</v>
      </c>
      <c r="CA364"/>
      <c r="CB364" t="s">
        <v>5</v>
      </c>
      <c r="CC364">
        <v>19244.669555264729</v>
      </c>
      <c r="CD364">
        <v>10278262.472689681</v>
      </c>
      <c r="CE364" s="313" t="s">
        <v>11891</v>
      </c>
    </row>
    <row r="365" spans="1:83" ht="15" x14ac:dyDescent="0.25">
      <c r="A365" t="s">
        <v>2895</v>
      </c>
      <c r="B365" t="s">
        <v>2896</v>
      </c>
      <c r="C365" t="s">
        <v>2816</v>
      </c>
      <c r="D365">
        <v>5</v>
      </c>
      <c r="E365" t="s">
        <v>2598</v>
      </c>
      <c r="F365" t="s">
        <v>2874</v>
      </c>
      <c r="G365" t="s">
        <v>2887</v>
      </c>
      <c r="H365" t="s">
        <v>2888</v>
      </c>
      <c r="I365" t="s">
        <v>2889</v>
      </c>
      <c r="J365" t="s">
        <v>2890</v>
      </c>
      <c r="K365" t="s">
        <v>2672</v>
      </c>
      <c r="L365">
        <v>13.45718574523926</v>
      </c>
      <c r="M365" t="s">
        <v>6</v>
      </c>
      <c r="N365" t="s">
        <v>5</v>
      </c>
      <c r="O365" t="s">
        <v>5</v>
      </c>
      <c r="P365" t="s">
        <v>5</v>
      </c>
      <c r="Q365" t="s">
        <v>6</v>
      </c>
      <c r="R365" t="s">
        <v>2891</v>
      </c>
      <c r="S365" t="s">
        <v>2891</v>
      </c>
      <c r="T365" t="s">
        <v>6</v>
      </c>
      <c r="U365" t="s">
        <v>85</v>
      </c>
      <c r="V365">
        <v>3000000</v>
      </c>
      <c r="W365">
        <v>100000</v>
      </c>
      <c r="X365" t="s">
        <v>6</v>
      </c>
      <c r="Y365"/>
      <c r="Z365"/>
      <c r="AA365">
        <v>2.6110191345214839</v>
      </c>
      <c r="AB365">
        <v>1.2883826494216919</v>
      </c>
      <c r="AC365">
        <v>0.55457472801208496</v>
      </c>
      <c r="AD365">
        <v>235</v>
      </c>
      <c r="AE365">
        <v>274</v>
      </c>
      <c r="AF365">
        <v>210</v>
      </c>
      <c r="AG365">
        <v>232</v>
      </c>
      <c r="AH365">
        <v>649</v>
      </c>
      <c r="AI365">
        <v>658</v>
      </c>
      <c r="AJ365">
        <v>0</v>
      </c>
      <c r="AK365">
        <v>1</v>
      </c>
      <c r="AL365">
        <v>4</v>
      </c>
      <c r="AM365">
        <v>1</v>
      </c>
      <c r="AN365">
        <v>22.859420776367191</v>
      </c>
      <c r="AO365"/>
      <c r="AP365"/>
      <c r="AQ365"/>
      <c r="AR365">
        <v>0</v>
      </c>
      <c r="AS365">
        <v>0</v>
      </c>
      <c r="AT365">
        <v>0</v>
      </c>
      <c r="AU365">
        <v>0</v>
      </c>
      <c r="AV365">
        <v>0</v>
      </c>
      <c r="AW365">
        <v>0</v>
      </c>
      <c r="AX365">
        <v>0</v>
      </c>
      <c r="AY365">
        <v>0</v>
      </c>
      <c r="AZ365">
        <v>0</v>
      </c>
      <c r="BA365">
        <v>0</v>
      </c>
      <c r="BB365"/>
      <c r="BC365"/>
      <c r="BD365"/>
      <c r="BE365">
        <v>0</v>
      </c>
      <c r="BF365" t="s">
        <v>2516</v>
      </c>
      <c r="BG365" t="s">
        <v>5</v>
      </c>
      <c r="BH365" t="s">
        <v>1020</v>
      </c>
      <c r="BI365"/>
      <c r="BJ365" t="s">
        <v>5</v>
      </c>
      <c r="BK365"/>
      <c r="BL365">
        <v>0</v>
      </c>
      <c r="BM365"/>
      <c r="BN365" t="s">
        <v>6</v>
      </c>
      <c r="BO365" t="s">
        <v>2518</v>
      </c>
      <c r="BP365" t="s">
        <v>2518</v>
      </c>
      <c r="BQ365" t="s">
        <v>2518</v>
      </c>
      <c r="BR365"/>
      <c r="BS365" t="s">
        <v>6</v>
      </c>
      <c r="BT365" t="s">
        <v>2518</v>
      </c>
      <c r="BU365" t="s">
        <v>2518</v>
      </c>
      <c r="BV365" t="s">
        <v>2518</v>
      </c>
      <c r="BW365"/>
      <c r="BX365" t="s">
        <v>6</v>
      </c>
      <c r="BY365" t="s">
        <v>2605</v>
      </c>
      <c r="BZ365" t="s">
        <v>2518</v>
      </c>
      <c r="CA365"/>
      <c r="CB365" t="s">
        <v>5</v>
      </c>
      <c r="CC365">
        <v>38295.693522692272</v>
      </c>
      <c r="CD365">
        <v>34853950.435010768</v>
      </c>
      <c r="CE365" s="313" t="s">
        <v>11891</v>
      </c>
    </row>
    <row r="366" spans="1:83" ht="15" x14ac:dyDescent="0.25">
      <c r="A366" t="s">
        <v>2906</v>
      </c>
      <c r="B366" t="s">
        <v>2907</v>
      </c>
      <c r="C366" t="s">
        <v>2908</v>
      </c>
      <c r="D366">
        <v>5</v>
      </c>
      <c r="E366" t="s">
        <v>2598</v>
      </c>
      <c r="F366" t="s">
        <v>2874</v>
      </c>
      <c r="G366" t="s">
        <v>2616</v>
      </c>
      <c r="H366" t="s">
        <v>2899</v>
      </c>
      <c r="I366" t="s">
        <v>2900</v>
      </c>
      <c r="J366" t="s">
        <v>2901</v>
      </c>
      <c r="K366" t="s">
        <v>2672</v>
      </c>
      <c r="L366">
        <v>0.4180661141872406</v>
      </c>
      <c r="M366" t="s">
        <v>6</v>
      </c>
      <c r="N366" t="s">
        <v>5</v>
      </c>
      <c r="O366" t="s">
        <v>5</v>
      </c>
      <c r="P366" t="s">
        <v>5</v>
      </c>
      <c r="Q366" t="s">
        <v>5</v>
      </c>
      <c r="R366" t="s">
        <v>2902</v>
      </c>
      <c r="S366" t="s">
        <v>2902</v>
      </c>
      <c r="T366" t="s">
        <v>6</v>
      </c>
      <c r="U366" t="s">
        <v>85</v>
      </c>
      <c r="V366">
        <v>400000</v>
      </c>
      <c r="W366">
        <v>100000</v>
      </c>
      <c r="X366" t="s">
        <v>6</v>
      </c>
      <c r="Y366"/>
      <c r="Z366"/>
      <c r="AA366">
        <v>0.33450999855995178</v>
      </c>
      <c r="AB366">
        <v>5.1253270357847207E-2</v>
      </c>
      <c r="AC366">
        <v>0</v>
      </c>
      <c r="AD366">
        <v>134</v>
      </c>
      <c r="AE366">
        <v>46</v>
      </c>
      <c r="AF366">
        <v>123</v>
      </c>
      <c r="AG366">
        <v>122</v>
      </c>
      <c r="AH366">
        <v>236</v>
      </c>
      <c r="AI366">
        <v>278</v>
      </c>
      <c r="AJ366">
        <v>0</v>
      </c>
      <c r="AK366">
        <v>0</v>
      </c>
      <c r="AL366">
        <v>2</v>
      </c>
      <c r="AM366">
        <v>0</v>
      </c>
      <c r="AN366">
        <v>0.2223948389291763</v>
      </c>
      <c r="AO366"/>
      <c r="AP366"/>
      <c r="AQ366"/>
      <c r="AR366">
        <v>0</v>
      </c>
      <c r="AS366">
        <v>0</v>
      </c>
      <c r="AT366">
        <v>0</v>
      </c>
      <c r="AU366">
        <v>0</v>
      </c>
      <c r="AV366">
        <v>0</v>
      </c>
      <c r="AW366">
        <v>0</v>
      </c>
      <c r="AX366">
        <v>0</v>
      </c>
      <c r="AY366">
        <v>0</v>
      </c>
      <c r="AZ366">
        <v>0</v>
      </c>
      <c r="BA366">
        <v>0</v>
      </c>
      <c r="BB366"/>
      <c r="BC366"/>
      <c r="BD366"/>
      <c r="BE366">
        <v>0</v>
      </c>
      <c r="BF366" t="s">
        <v>2516</v>
      </c>
      <c r="BG366" t="s">
        <v>5</v>
      </c>
      <c r="BH366" t="s">
        <v>1020</v>
      </c>
      <c r="BI366"/>
      <c r="BJ366" t="s">
        <v>5</v>
      </c>
      <c r="BK366"/>
      <c r="BL366">
        <v>0</v>
      </c>
      <c r="BM366"/>
      <c r="BN366" t="s">
        <v>6</v>
      </c>
      <c r="BO366" t="s">
        <v>2518</v>
      </c>
      <c r="BP366" t="s">
        <v>2518</v>
      </c>
      <c r="BQ366" t="s">
        <v>2518</v>
      </c>
      <c r="BR366"/>
      <c r="BS366" t="s">
        <v>6</v>
      </c>
      <c r="BT366" t="s">
        <v>2518</v>
      </c>
      <c r="BU366" t="s">
        <v>2518</v>
      </c>
      <c r="BV366" t="s">
        <v>2518</v>
      </c>
      <c r="BW366"/>
      <c r="BX366" t="s">
        <v>6</v>
      </c>
      <c r="BY366" t="s">
        <v>2605</v>
      </c>
      <c r="BZ366" t="s">
        <v>2518</v>
      </c>
      <c r="CA366"/>
      <c r="CB366" t="s">
        <v>5</v>
      </c>
      <c r="CC366">
        <v>6430.4885656078204</v>
      </c>
      <c r="CD366">
        <v>1082786.2221894299</v>
      </c>
      <c r="CE366" s="313" t="s">
        <v>11891</v>
      </c>
    </row>
    <row r="367" spans="1:83" ht="15" x14ac:dyDescent="0.25">
      <c r="A367" t="s">
        <v>2909</v>
      </c>
      <c r="B367" t="s">
        <v>2910</v>
      </c>
      <c r="C367" t="s">
        <v>2911</v>
      </c>
      <c r="D367">
        <v>5</v>
      </c>
      <c r="E367" t="s">
        <v>2598</v>
      </c>
      <c r="F367" t="s">
        <v>2874</v>
      </c>
      <c r="G367" t="s">
        <v>2616</v>
      </c>
      <c r="H367" t="s">
        <v>2899</v>
      </c>
      <c r="I367" t="s">
        <v>2900</v>
      </c>
      <c r="J367" t="s">
        <v>2901</v>
      </c>
      <c r="K367" t="s">
        <v>2672</v>
      </c>
      <c r="L367">
        <v>0.4180661141872406</v>
      </c>
      <c r="M367" t="s">
        <v>6</v>
      </c>
      <c r="N367" t="s">
        <v>5</v>
      </c>
      <c r="O367" t="s">
        <v>5</v>
      </c>
      <c r="P367" t="s">
        <v>5</v>
      </c>
      <c r="Q367" t="s">
        <v>5</v>
      </c>
      <c r="R367" t="s">
        <v>2902</v>
      </c>
      <c r="S367" t="s">
        <v>2902</v>
      </c>
      <c r="T367" t="s">
        <v>6</v>
      </c>
      <c r="U367" t="s">
        <v>85</v>
      </c>
      <c r="V367">
        <v>3000000</v>
      </c>
      <c r="W367">
        <v>100000</v>
      </c>
      <c r="X367" t="s">
        <v>6</v>
      </c>
      <c r="Y367"/>
      <c r="Z367"/>
      <c r="AA367">
        <v>0.33450999855995178</v>
      </c>
      <c r="AB367">
        <v>5.1253270357847207E-2</v>
      </c>
      <c r="AC367">
        <v>0</v>
      </c>
      <c r="AD367">
        <v>134</v>
      </c>
      <c r="AE367">
        <v>46</v>
      </c>
      <c r="AF367">
        <v>123</v>
      </c>
      <c r="AG367">
        <v>122</v>
      </c>
      <c r="AH367">
        <v>236</v>
      </c>
      <c r="AI367">
        <v>278</v>
      </c>
      <c r="AJ367">
        <v>0</v>
      </c>
      <c r="AK367">
        <v>0</v>
      </c>
      <c r="AL367">
        <v>2</v>
      </c>
      <c r="AM367">
        <v>0</v>
      </c>
      <c r="AN367">
        <v>0.2223948389291763</v>
      </c>
      <c r="AO367"/>
      <c r="AP367"/>
      <c r="AQ367"/>
      <c r="AR367">
        <v>0</v>
      </c>
      <c r="AS367">
        <v>0</v>
      </c>
      <c r="AT367">
        <v>0</v>
      </c>
      <c r="AU367">
        <v>0</v>
      </c>
      <c r="AV367">
        <v>0</v>
      </c>
      <c r="AW367">
        <v>0</v>
      </c>
      <c r="AX367">
        <v>0</v>
      </c>
      <c r="AY367">
        <v>0</v>
      </c>
      <c r="AZ367">
        <v>0</v>
      </c>
      <c r="BA367">
        <v>0</v>
      </c>
      <c r="BB367"/>
      <c r="BC367"/>
      <c r="BD367"/>
      <c r="BE367">
        <v>0</v>
      </c>
      <c r="BF367" t="s">
        <v>2516</v>
      </c>
      <c r="BG367" t="s">
        <v>5</v>
      </c>
      <c r="BH367" t="s">
        <v>1020</v>
      </c>
      <c r="BI367"/>
      <c r="BJ367" t="s">
        <v>5</v>
      </c>
      <c r="BK367"/>
      <c r="BL367">
        <v>0</v>
      </c>
      <c r="BM367"/>
      <c r="BN367" t="s">
        <v>5</v>
      </c>
      <c r="BO367" t="s">
        <v>2518</v>
      </c>
      <c r="BP367" t="s">
        <v>2518</v>
      </c>
      <c r="BQ367" t="s">
        <v>2518</v>
      </c>
      <c r="BR367"/>
      <c r="BS367" t="s">
        <v>6</v>
      </c>
      <c r="BT367" t="s">
        <v>2518</v>
      </c>
      <c r="BU367" t="s">
        <v>2518</v>
      </c>
      <c r="BV367" t="s">
        <v>2518</v>
      </c>
      <c r="BW367"/>
      <c r="BX367" t="s">
        <v>6</v>
      </c>
      <c r="BY367" t="s">
        <v>2605</v>
      </c>
      <c r="BZ367" t="s">
        <v>2518</v>
      </c>
      <c r="CA367"/>
      <c r="CB367" t="s">
        <v>5</v>
      </c>
      <c r="CC367">
        <v>6430.4885656078186</v>
      </c>
      <c r="CD367">
        <v>1082786.2221894299</v>
      </c>
      <c r="CE367" s="313" t="s">
        <v>11891</v>
      </c>
    </row>
    <row r="368" spans="1:83" ht="15" x14ac:dyDescent="0.25">
      <c r="A368" t="s">
        <v>2912</v>
      </c>
      <c r="B368" t="s">
        <v>2913</v>
      </c>
      <c r="C368" t="s">
        <v>2914</v>
      </c>
      <c r="D368">
        <v>5</v>
      </c>
      <c r="E368" t="s">
        <v>2598</v>
      </c>
      <c r="F368" t="s">
        <v>2874</v>
      </c>
      <c r="G368" t="s">
        <v>2915</v>
      </c>
      <c r="H368" t="s">
        <v>2916</v>
      </c>
      <c r="I368" t="s">
        <v>2917</v>
      </c>
      <c r="J368" t="s">
        <v>2918</v>
      </c>
      <c r="K368" t="s">
        <v>2919</v>
      </c>
      <c r="L368">
        <v>7.6997427940368652</v>
      </c>
      <c r="M368" t="s">
        <v>6</v>
      </c>
      <c r="N368" t="s">
        <v>5</v>
      </c>
      <c r="O368" t="s">
        <v>5</v>
      </c>
      <c r="P368" t="s">
        <v>5</v>
      </c>
      <c r="Q368" t="s">
        <v>6</v>
      </c>
      <c r="R368" t="s">
        <v>2920</v>
      </c>
      <c r="S368" t="s">
        <v>2920</v>
      </c>
      <c r="T368" t="s">
        <v>6</v>
      </c>
      <c r="U368" t="s">
        <v>85</v>
      </c>
      <c r="V368">
        <v>1000000</v>
      </c>
      <c r="W368">
        <v>100000</v>
      </c>
      <c r="X368" t="s">
        <v>6</v>
      </c>
      <c r="Y368"/>
      <c r="Z368"/>
      <c r="AA368">
        <v>0.92796564102172852</v>
      </c>
      <c r="AB368">
        <v>0.242571085691452</v>
      </c>
      <c r="AC368">
        <v>0.19187590479850769</v>
      </c>
      <c r="AD368">
        <v>87</v>
      </c>
      <c r="AE368">
        <v>34</v>
      </c>
      <c r="AF368">
        <v>69</v>
      </c>
      <c r="AG368">
        <v>615</v>
      </c>
      <c r="AH368">
        <v>242</v>
      </c>
      <c r="AI368">
        <v>780</v>
      </c>
      <c r="AJ368">
        <v>2</v>
      </c>
      <c r="AK368">
        <v>3</v>
      </c>
      <c r="AL368">
        <v>2</v>
      </c>
      <c r="AM368">
        <v>3</v>
      </c>
      <c r="AN368">
        <v>1.197979331016541</v>
      </c>
      <c r="AO368"/>
      <c r="AP368"/>
      <c r="AQ368"/>
      <c r="AR368">
        <v>0</v>
      </c>
      <c r="AS368">
        <v>0</v>
      </c>
      <c r="AT368">
        <v>0</v>
      </c>
      <c r="AU368">
        <v>0</v>
      </c>
      <c r="AV368">
        <v>0</v>
      </c>
      <c r="AW368">
        <v>0</v>
      </c>
      <c r="AX368">
        <v>0</v>
      </c>
      <c r="AY368">
        <v>0</v>
      </c>
      <c r="AZ368">
        <v>0</v>
      </c>
      <c r="BA368">
        <v>0</v>
      </c>
      <c r="BB368"/>
      <c r="BC368"/>
      <c r="BD368"/>
      <c r="BE368">
        <v>0</v>
      </c>
      <c r="BF368" t="s">
        <v>2516</v>
      </c>
      <c r="BG368" t="s">
        <v>5</v>
      </c>
      <c r="BH368" t="s">
        <v>1020</v>
      </c>
      <c r="BI368"/>
      <c r="BJ368" t="s">
        <v>5</v>
      </c>
      <c r="BK368"/>
      <c r="BL368">
        <v>0</v>
      </c>
      <c r="BM368"/>
      <c r="BN368" t="s">
        <v>6</v>
      </c>
      <c r="BO368" t="s">
        <v>2518</v>
      </c>
      <c r="BP368" t="s">
        <v>2518</v>
      </c>
      <c r="BQ368" t="s">
        <v>2518</v>
      </c>
      <c r="BR368"/>
      <c r="BS368" t="s">
        <v>6</v>
      </c>
      <c r="BT368" t="s">
        <v>2518</v>
      </c>
      <c r="BU368" t="s">
        <v>2518</v>
      </c>
      <c r="BV368" t="s">
        <v>2518</v>
      </c>
      <c r="BW368"/>
      <c r="BX368" t="s">
        <v>6</v>
      </c>
      <c r="BY368" t="s">
        <v>2605</v>
      </c>
      <c r="BZ368" t="s">
        <v>2518</v>
      </c>
      <c r="CA368"/>
      <c r="CB368" t="s">
        <v>5</v>
      </c>
      <c r="CC368">
        <v>23708.446354330801</v>
      </c>
      <c r="CD368">
        <v>19942242.790456831</v>
      </c>
      <c r="CE368" s="313" t="s">
        <v>11891</v>
      </c>
    </row>
    <row r="369" spans="1:83" ht="15" x14ac:dyDescent="0.25">
      <c r="A369" t="s">
        <v>2921</v>
      </c>
      <c r="B369" t="s">
        <v>2922</v>
      </c>
      <c r="C369" t="s">
        <v>2923</v>
      </c>
      <c r="D369">
        <v>5</v>
      </c>
      <c r="E369" t="s">
        <v>2598</v>
      </c>
      <c r="F369" t="s">
        <v>2874</v>
      </c>
      <c r="G369" t="s">
        <v>2915</v>
      </c>
      <c r="H369" t="s">
        <v>2916</v>
      </c>
      <c r="I369" t="s">
        <v>2917</v>
      </c>
      <c r="J369" t="s">
        <v>2918</v>
      </c>
      <c r="K369" t="s">
        <v>2797</v>
      </c>
      <c r="L369">
        <v>7.6997427940368652</v>
      </c>
      <c r="M369" t="s">
        <v>6</v>
      </c>
      <c r="N369" t="s">
        <v>5</v>
      </c>
      <c r="O369" t="s">
        <v>5</v>
      </c>
      <c r="P369" t="s">
        <v>5</v>
      </c>
      <c r="Q369" t="s">
        <v>6</v>
      </c>
      <c r="R369" t="s">
        <v>2920</v>
      </c>
      <c r="S369" t="s">
        <v>2920</v>
      </c>
      <c r="T369" t="s">
        <v>6</v>
      </c>
      <c r="U369" t="s">
        <v>85</v>
      </c>
      <c r="V369">
        <v>5000000</v>
      </c>
      <c r="W369">
        <v>100000</v>
      </c>
      <c r="X369" t="s">
        <v>6</v>
      </c>
      <c r="Y369"/>
      <c r="Z369"/>
      <c r="AA369">
        <v>0.92796564102172852</v>
      </c>
      <c r="AB369">
        <v>0.242571085691452</v>
      </c>
      <c r="AC369">
        <v>0.19187590479850769</v>
      </c>
      <c r="AD369">
        <v>87</v>
      </c>
      <c r="AE369">
        <v>34</v>
      </c>
      <c r="AF369">
        <v>69</v>
      </c>
      <c r="AG369">
        <v>615</v>
      </c>
      <c r="AH369">
        <v>242</v>
      </c>
      <c r="AI369">
        <v>780</v>
      </c>
      <c r="AJ369">
        <v>2</v>
      </c>
      <c r="AK369">
        <v>3</v>
      </c>
      <c r="AL369">
        <v>2</v>
      </c>
      <c r="AM369">
        <v>3</v>
      </c>
      <c r="AN369">
        <v>1.197979331016541</v>
      </c>
      <c r="AO369"/>
      <c r="AP369"/>
      <c r="AQ369"/>
      <c r="AR369">
        <v>0</v>
      </c>
      <c r="AS369">
        <v>0</v>
      </c>
      <c r="AT369">
        <v>0</v>
      </c>
      <c r="AU369">
        <v>0</v>
      </c>
      <c r="AV369">
        <v>0</v>
      </c>
      <c r="AW369">
        <v>0</v>
      </c>
      <c r="AX369">
        <v>0</v>
      </c>
      <c r="AY369">
        <v>0</v>
      </c>
      <c r="AZ369">
        <v>0</v>
      </c>
      <c r="BA369">
        <v>0</v>
      </c>
      <c r="BB369"/>
      <c r="BC369"/>
      <c r="BD369"/>
      <c r="BE369">
        <v>0</v>
      </c>
      <c r="BF369" t="s">
        <v>2516</v>
      </c>
      <c r="BG369" t="s">
        <v>5</v>
      </c>
      <c r="BH369" t="s">
        <v>1020</v>
      </c>
      <c r="BI369"/>
      <c r="BJ369" t="s">
        <v>5</v>
      </c>
      <c r="BK369"/>
      <c r="BL369">
        <v>0</v>
      </c>
      <c r="BM369"/>
      <c r="BN369" t="s">
        <v>5</v>
      </c>
      <c r="BO369" t="s">
        <v>2518</v>
      </c>
      <c r="BP369" t="s">
        <v>2518</v>
      </c>
      <c r="BQ369" t="s">
        <v>2518</v>
      </c>
      <c r="BR369"/>
      <c r="BS369" t="s">
        <v>6</v>
      </c>
      <c r="BT369" t="s">
        <v>2518</v>
      </c>
      <c r="BU369" t="s">
        <v>2518</v>
      </c>
      <c r="BV369" t="s">
        <v>2518</v>
      </c>
      <c r="BW369"/>
      <c r="BX369" t="s">
        <v>6</v>
      </c>
      <c r="BY369" t="s">
        <v>2605</v>
      </c>
      <c r="BZ369" t="s">
        <v>2518</v>
      </c>
      <c r="CA369"/>
      <c r="CB369" t="s">
        <v>5</v>
      </c>
      <c r="CC369">
        <v>23708.446354664451</v>
      </c>
      <c r="CD369">
        <v>19942242.763116959</v>
      </c>
      <c r="CE369" s="313" t="s">
        <v>11891</v>
      </c>
    </row>
    <row r="370" spans="1:83" ht="15" x14ac:dyDescent="0.25">
      <c r="A370" t="s">
        <v>2924</v>
      </c>
      <c r="B370" t="s">
        <v>2925</v>
      </c>
      <c r="C370" t="s">
        <v>2816</v>
      </c>
      <c r="D370">
        <v>5</v>
      </c>
      <c r="E370" t="s">
        <v>2598</v>
      </c>
      <c r="F370" t="s">
        <v>2874</v>
      </c>
      <c r="G370" t="s">
        <v>2915</v>
      </c>
      <c r="H370" t="s">
        <v>2916</v>
      </c>
      <c r="I370" t="s">
        <v>2917</v>
      </c>
      <c r="J370" t="s">
        <v>2918</v>
      </c>
      <c r="K370" t="s">
        <v>2797</v>
      </c>
      <c r="L370">
        <v>7.6997427940368652</v>
      </c>
      <c r="M370" t="s">
        <v>6</v>
      </c>
      <c r="N370" t="s">
        <v>5</v>
      </c>
      <c r="O370" t="s">
        <v>5</v>
      </c>
      <c r="P370" t="s">
        <v>5</v>
      </c>
      <c r="Q370" t="s">
        <v>6</v>
      </c>
      <c r="R370" t="s">
        <v>2920</v>
      </c>
      <c r="S370" t="s">
        <v>2920</v>
      </c>
      <c r="T370" t="s">
        <v>6</v>
      </c>
      <c r="U370" t="s">
        <v>85</v>
      </c>
      <c r="V370">
        <v>1500000</v>
      </c>
      <c r="W370">
        <v>100000</v>
      </c>
      <c r="X370" t="s">
        <v>6</v>
      </c>
      <c r="Y370"/>
      <c r="Z370"/>
      <c r="AA370">
        <v>0.92796564102172852</v>
      </c>
      <c r="AB370">
        <v>0.242571085691452</v>
      </c>
      <c r="AC370">
        <v>0.19187590479850769</v>
      </c>
      <c r="AD370">
        <v>87</v>
      </c>
      <c r="AE370">
        <v>34</v>
      </c>
      <c r="AF370">
        <v>69</v>
      </c>
      <c r="AG370">
        <v>615</v>
      </c>
      <c r="AH370">
        <v>242</v>
      </c>
      <c r="AI370">
        <v>780</v>
      </c>
      <c r="AJ370">
        <v>2</v>
      </c>
      <c r="AK370">
        <v>3</v>
      </c>
      <c r="AL370">
        <v>2</v>
      </c>
      <c r="AM370">
        <v>3</v>
      </c>
      <c r="AN370">
        <v>1.197979331016541</v>
      </c>
      <c r="AO370"/>
      <c r="AP370"/>
      <c r="AQ370"/>
      <c r="AR370">
        <v>0</v>
      </c>
      <c r="AS370">
        <v>0</v>
      </c>
      <c r="AT370">
        <v>0</v>
      </c>
      <c r="AU370">
        <v>0</v>
      </c>
      <c r="AV370">
        <v>0</v>
      </c>
      <c r="AW370">
        <v>0</v>
      </c>
      <c r="AX370">
        <v>0</v>
      </c>
      <c r="AY370">
        <v>0</v>
      </c>
      <c r="AZ370">
        <v>0</v>
      </c>
      <c r="BA370">
        <v>0</v>
      </c>
      <c r="BB370"/>
      <c r="BC370"/>
      <c r="BD370"/>
      <c r="BE370">
        <v>0</v>
      </c>
      <c r="BF370" t="s">
        <v>2516</v>
      </c>
      <c r="BG370" t="s">
        <v>5</v>
      </c>
      <c r="BH370" t="s">
        <v>1020</v>
      </c>
      <c r="BI370"/>
      <c r="BJ370" t="s">
        <v>5</v>
      </c>
      <c r="BK370"/>
      <c r="BL370">
        <v>0</v>
      </c>
      <c r="BM370"/>
      <c r="BN370" t="s">
        <v>6</v>
      </c>
      <c r="BO370" t="s">
        <v>2518</v>
      </c>
      <c r="BP370" t="s">
        <v>2518</v>
      </c>
      <c r="BQ370" t="s">
        <v>2518</v>
      </c>
      <c r="BR370"/>
      <c r="BS370" t="s">
        <v>6</v>
      </c>
      <c r="BT370" t="s">
        <v>2518</v>
      </c>
      <c r="BU370" t="s">
        <v>2518</v>
      </c>
      <c r="BV370" t="s">
        <v>2518</v>
      </c>
      <c r="BW370"/>
      <c r="BX370" t="s">
        <v>6</v>
      </c>
      <c r="BY370" t="s">
        <v>2605</v>
      </c>
      <c r="BZ370" t="s">
        <v>2518</v>
      </c>
      <c r="CA370"/>
      <c r="CB370" t="s">
        <v>5</v>
      </c>
      <c r="CC370">
        <v>23708.446352938801</v>
      </c>
      <c r="CD370">
        <v>19942242.74323054</v>
      </c>
      <c r="CE370" s="313" t="s">
        <v>11891</v>
      </c>
    </row>
    <row r="371" spans="1:83" ht="15" x14ac:dyDescent="0.25">
      <c r="A371" t="s">
        <v>2935</v>
      </c>
      <c r="B371" t="s">
        <v>2936</v>
      </c>
      <c r="C371" t="s">
        <v>2937</v>
      </c>
      <c r="D371">
        <v>5</v>
      </c>
      <c r="E371" t="s">
        <v>2598</v>
      </c>
      <c r="F371" t="s">
        <v>2874</v>
      </c>
      <c r="G371" t="s">
        <v>2616</v>
      </c>
      <c r="H371" t="s">
        <v>2931</v>
      </c>
      <c r="I371" t="s">
        <v>2932</v>
      </c>
      <c r="J371" t="s">
        <v>2933</v>
      </c>
      <c r="K371" t="s">
        <v>2797</v>
      </c>
      <c r="L371">
        <v>2.3354461193084721</v>
      </c>
      <c r="M371" t="s">
        <v>6</v>
      </c>
      <c r="N371" t="s">
        <v>5</v>
      </c>
      <c r="O371" t="s">
        <v>5</v>
      </c>
      <c r="P371" t="s">
        <v>5</v>
      </c>
      <c r="Q371" t="s">
        <v>6</v>
      </c>
      <c r="R371" t="s">
        <v>2934</v>
      </c>
      <c r="S371" t="s">
        <v>2934</v>
      </c>
      <c r="T371" t="s">
        <v>6</v>
      </c>
      <c r="U371" t="s">
        <v>85</v>
      </c>
      <c r="V371">
        <v>7000000</v>
      </c>
      <c r="W371">
        <v>100000</v>
      </c>
      <c r="X371" t="s">
        <v>6</v>
      </c>
      <c r="Y371"/>
      <c r="Z371"/>
      <c r="AA371">
        <v>1.164615750312805</v>
      </c>
      <c r="AB371">
        <v>0.423287034034729</v>
      </c>
      <c r="AC371">
        <v>2.466953918337822E-2</v>
      </c>
      <c r="AD371">
        <v>435</v>
      </c>
      <c r="AE371">
        <v>225</v>
      </c>
      <c r="AF371">
        <v>323</v>
      </c>
      <c r="AG371">
        <v>1125</v>
      </c>
      <c r="AH371">
        <v>857</v>
      </c>
      <c r="AI371">
        <v>1687</v>
      </c>
      <c r="AJ371">
        <v>7</v>
      </c>
      <c r="AK371">
        <v>3</v>
      </c>
      <c r="AL371">
        <v>8</v>
      </c>
      <c r="AM371">
        <v>3</v>
      </c>
      <c r="AN371">
        <v>7.4686717987060547</v>
      </c>
      <c r="AO371"/>
      <c r="AP371"/>
      <c r="AQ371"/>
      <c r="AR371">
        <v>0</v>
      </c>
      <c r="AS371">
        <v>0</v>
      </c>
      <c r="AT371">
        <v>0</v>
      </c>
      <c r="AU371">
        <v>0</v>
      </c>
      <c r="AV371">
        <v>0</v>
      </c>
      <c r="AW371">
        <v>0</v>
      </c>
      <c r="AX371">
        <v>0</v>
      </c>
      <c r="AY371">
        <v>0</v>
      </c>
      <c r="AZ371">
        <v>0</v>
      </c>
      <c r="BA371">
        <v>0</v>
      </c>
      <c r="BB371"/>
      <c r="BC371"/>
      <c r="BD371"/>
      <c r="BE371">
        <v>0</v>
      </c>
      <c r="BF371" t="s">
        <v>2516</v>
      </c>
      <c r="BG371" t="s">
        <v>5</v>
      </c>
      <c r="BH371" t="s">
        <v>1020</v>
      </c>
      <c r="BI371"/>
      <c r="BJ371" t="s">
        <v>5</v>
      </c>
      <c r="BK371"/>
      <c r="BL371">
        <v>0</v>
      </c>
      <c r="BM371"/>
      <c r="BN371" t="s">
        <v>6</v>
      </c>
      <c r="BO371" t="s">
        <v>2518</v>
      </c>
      <c r="BP371" t="s">
        <v>2518</v>
      </c>
      <c r="BQ371" t="s">
        <v>2518</v>
      </c>
      <c r="BR371"/>
      <c r="BS371" t="s">
        <v>6</v>
      </c>
      <c r="BT371" t="s">
        <v>2518</v>
      </c>
      <c r="BU371" t="s">
        <v>2518</v>
      </c>
      <c r="BV371" t="s">
        <v>2518</v>
      </c>
      <c r="BW371"/>
      <c r="BX371" t="s">
        <v>6</v>
      </c>
      <c r="BY371" t="s">
        <v>2605</v>
      </c>
      <c r="BZ371" t="s">
        <v>2518</v>
      </c>
      <c r="CA371"/>
      <c r="CB371" t="s">
        <v>5</v>
      </c>
      <c r="CC371">
        <v>17135.771230121751</v>
      </c>
      <c r="CD371">
        <v>6048777.7365962015</v>
      </c>
      <c r="CE371" s="313" t="s">
        <v>11891</v>
      </c>
    </row>
    <row r="372" spans="1:83" ht="15" x14ac:dyDescent="0.25">
      <c r="A372" t="s">
        <v>116</v>
      </c>
      <c r="B372" t="s">
        <v>117</v>
      </c>
      <c r="C372" t="s">
        <v>378</v>
      </c>
      <c r="D372">
        <v>6</v>
      </c>
      <c r="E372" t="s">
        <v>259</v>
      </c>
      <c r="F372" t="s">
        <v>73</v>
      </c>
      <c r="G372" t="s">
        <v>368</v>
      </c>
      <c r="H372" t="s">
        <v>369</v>
      </c>
      <c r="I372" t="s">
        <v>370</v>
      </c>
      <c r="J372" t="s">
        <v>371</v>
      </c>
      <c r="K372" t="s">
        <v>21</v>
      </c>
      <c r="L372">
        <v>798.8736572265625</v>
      </c>
      <c r="M372" t="s">
        <v>6</v>
      </c>
      <c r="N372" t="s">
        <v>5</v>
      </c>
      <c r="O372" t="s">
        <v>6</v>
      </c>
      <c r="P372" t="s">
        <v>5</v>
      </c>
      <c r="Q372" t="s">
        <v>5</v>
      </c>
      <c r="R372" t="s">
        <v>372</v>
      </c>
      <c r="S372" t="s">
        <v>338</v>
      </c>
      <c r="T372" t="s">
        <v>6</v>
      </c>
      <c r="U372" t="s">
        <v>98</v>
      </c>
      <c r="V372">
        <v>1000000</v>
      </c>
      <c r="W372">
        <v>100000</v>
      </c>
      <c r="X372" t="s">
        <v>6</v>
      </c>
      <c r="Y372"/>
      <c r="Z372"/>
      <c r="AA372">
        <v>24.835664749145511</v>
      </c>
      <c r="AB372">
        <v>3.89348292350769</v>
      </c>
      <c r="AC372">
        <v>0</v>
      </c>
      <c r="AD372">
        <v>145</v>
      </c>
      <c r="AE372">
        <v>50</v>
      </c>
      <c r="AF372">
        <v>76</v>
      </c>
      <c r="AG372">
        <v>50</v>
      </c>
      <c r="AH372">
        <v>95</v>
      </c>
      <c r="AI372">
        <v>95</v>
      </c>
      <c r="AJ372">
        <v>0</v>
      </c>
      <c r="AK372">
        <v>1</v>
      </c>
      <c r="AL372">
        <v>11</v>
      </c>
      <c r="AM372">
        <v>1</v>
      </c>
      <c r="AN372">
        <v>151.27351379394531</v>
      </c>
      <c r="AO372"/>
      <c r="AP372"/>
      <c r="AQ372"/>
      <c r="AR372"/>
      <c r="AS372"/>
      <c r="AT372"/>
      <c r="AU372"/>
      <c r="AV372"/>
      <c r="AW372"/>
      <c r="AX372"/>
      <c r="AY372"/>
      <c r="AZ372"/>
      <c r="BA372"/>
      <c r="BB372"/>
      <c r="BC372"/>
      <c r="BD372"/>
      <c r="BE372"/>
      <c r="BF372"/>
      <c r="BG372" t="s">
        <v>5</v>
      </c>
      <c r="BH372"/>
      <c r="BI372"/>
      <c r="BJ372" t="s">
        <v>5</v>
      </c>
      <c r="BK372"/>
      <c r="BL372">
        <v>0</v>
      </c>
      <c r="BM372"/>
      <c r="BN372" t="s">
        <v>5</v>
      </c>
      <c r="BO372" t="s">
        <v>2518</v>
      </c>
      <c r="BP372" t="s">
        <v>2518</v>
      </c>
      <c r="BQ372" t="s">
        <v>2518</v>
      </c>
      <c r="BR372"/>
      <c r="BS372" t="s">
        <v>6</v>
      </c>
      <c r="BT372" t="s">
        <v>2518</v>
      </c>
      <c r="BU372" t="s">
        <v>2518</v>
      </c>
      <c r="BV372" t="s">
        <v>2518</v>
      </c>
      <c r="BW372"/>
      <c r="BX372" t="s">
        <v>6</v>
      </c>
      <c r="BY372" t="s">
        <v>7</v>
      </c>
      <c r="BZ372" t="s">
        <v>2518</v>
      </c>
      <c r="CA372"/>
      <c r="CB372" t="s">
        <v>5</v>
      </c>
      <c r="CC372">
        <v>250626.77186907371</v>
      </c>
      <c r="CD372">
        <v>2069073328.998071</v>
      </c>
      <c r="CE372" s="313" t="s">
        <v>11891</v>
      </c>
    </row>
    <row r="373" spans="1:83" ht="15" x14ac:dyDescent="0.25">
      <c r="A373" t="s">
        <v>151</v>
      </c>
      <c r="B373" t="s">
        <v>402</v>
      </c>
      <c r="C373" t="s">
        <v>403</v>
      </c>
      <c r="D373">
        <v>6</v>
      </c>
      <c r="E373" t="s">
        <v>259</v>
      </c>
      <c r="F373" t="s">
        <v>46</v>
      </c>
      <c r="G373" t="s">
        <v>39</v>
      </c>
      <c r="H373" t="s">
        <v>374</v>
      </c>
      <c r="I373" t="s">
        <v>375</v>
      </c>
      <c r="J373" t="s">
        <v>376</v>
      </c>
      <c r="K373" t="s">
        <v>340</v>
      </c>
      <c r="L373">
        <v>17.035295486450199</v>
      </c>
      <c r="M373" t="s">
        <v>6</v>
      </c>
      <c r="N373" t="s">
        <v>5</v>
      </c>
      <c r="O373" t="s">
        <v>6</v>
      </c>
      <c r="P373" t="s">
        <v>5</v>
      </c>
      <c r="Q373" t="s">
        <v>5</v>
      </c>
      <c r="R373" t="s">
        <v>377</v>
      </c>
      <c r="S373" t="s">
        <v>377</v>
      </c>
      <c r="T373" t="s">
        <v>6</v>
      </c>
      <c r="U373" t="s">
        <v>85</v>
      </c>
      <c r="V373">
        <v>2000000</v>
      </c>
      <c r="W373">
        <v>100000</v>
      </c>
      <c r="X373" t="s">
        <v>6</v>
      </c>
      <c r="Y373"/>
      <c r="Z373"/>
      <c r="AA373">
        <v>0.6812329888343811</v>
      </c>
      <c r="AB373">
        <v>2.3715629577636719</v>
      </c>
      <c r="AC373">
        <v>0</v>
      </c>
      <c r="AD373">
        <v>400</v>
      </c>
      <c r="AE373">
        <v>979</v>
      </c>
      <c r="AF373">
        <v>306</v>
      </c>
      <c r="AG373">
        <v>227</v>
      </c>
      <c r="AH373">
        <v>748</v>
      </c>
      <c r="AI373">
        <v>748</v>
      </c>
      <c r="AJ373">
        <v>1</v>
      </c>
      <c r="AK373">
        <v>9</v>
      </c>
      <c r="AL373">
        <v>4</v>
      </c>
      <c r="AM373">
        <v>9</v>
      </c>
      <c r="AN373">
        <v>12.12156867980957</v>
      </c>
      <c r="AO373"/>
      <c r="AP373"/>
      <c r="AQ373"/>
      <c r="AR373"/>
      <c r="AS373"/>
      <c r="AT373"/>
      <c r="AU373"/>
      <c r="AV373"/>
      <c r="AW373"/>
      <c r="AX373"/>
      <c r="AY373"/>
      <c r="AZ373"/>
      <c r="BA373"/>
      <c r="BB373"/>
      <c r="BC373"/>
      <c r="BD373"/>
      <c r="BE373"/>
      <c r="BF373" t="s">
        <v>300</v>
      </c>
      <c r="BG373" t="s">
        <v>5</v>
      </c>
      <c r="BH373"/>
      <c r="BI373"/>
      <c r="BJ373" t="s">
        <v>5</v>
      </c>
      <c r="BK373"/>
      <c r="BL373">
        <v>0</v>
      </c>
      <c r="BM373"/>
      <c r="BN373" t="s">
        <v>5</v>
      </c>
      <c r="BO373" t="s">
        <v>2518</v>
      </c>
      <c r="BP373" t="s">
        <v>2518</v>
      </c>
      <c r="BQ373" t="s">
        <v>2518</v>
      </c>
      <c r="BR373"/>
      <c r="BS373" t="s">
        <v>6</v>
      </c>
      <c r="BT373" t="s">
        <v>2518</v>
      </c>
      <c r="BU373" t="s">
        <v>2518</v>
      </c>
      <c r="BV373" t="s">
        <v>2518</v>
      </c>
      <c r="BW373"/>
      <c r="BX373" t="s">
        <v>6</v>
      </c>
      <c r="BY373" t="s">
        <v>7</v>
      </c>
      <c r="BZ373" t="s">
        <v>2518</v>
      </c>
      <c r="CA373"/>
      <c r="CB373" t="s">
        <v>5</v>
      </c>
      <c r="CC373">
        <v>61949.128517273457</v>
      </c>
      <c r="CD373">
        <v>44121213.590359837</v>
      </c>
      <c r="CE373" s="313" t="s">
        <v>11891</v>
      </c>
    </row>
    <row r="374" spans="1:83" ht="15" x14ac:dyDescent="0.25">
      <c r="A374" t="s">
        <v>2976</v>
      </c>
      <c r="B374" t="s">
        <v>2977</v>
      </c>
      <c r="C374" t="s">
        <v>2978</v>
      </c>
      <c r="D374">
        <v>7</v>
      </c>
      <c r="E374" t="s">
        <v>2979</v>
      </c>
      <c r="F374" t="s">
        <v>2980</v>
      </c>
      <c r="G374" t="s">
        <v>2981</v>
      </c>
      <c r="H374" t="s">
        <v>2982</v>
      </c>
      <c r="I374" t="s">
        <v>2983</v>
      </c>
      <c r="J374" t="s">
        <v>2984</v>
      </c>
      <c r="K374" t="s">
        <v>2985</v>
      </c>
      <c r="L374">
        <v>20028.23046875</v>
      </c>
      <c r="M374" t="s">
        <v>6</v>
      </c>
      <c r="N374" t="s">
        <v>5</v>
      </c>
      <c r="O374" t="s">
        <v>6</v>
      </c>
      <c r="P374" t="s">
        <v>6</v>
      </c>
      <c r="Q374" t="s">
        <v>5</v>
      </c>
      <c r="R374" t="s">
        <v>2986</v>
      </c>
      <c r="S374" t="s">
        <v>2986</v>
      </c>
      <c r="T374" t="s">
        <v>5</v>
      </c>
      <c r="U374" t="s">
        <v>13</v>
      </c>
      <c r="V374">
        <v>100000</v>
      </c>
      <c r="W374">
        <v>100000</v>
      </c>
      <c r="X374" t="s">
        <v>5</v>
      </c>
      <c r="Y374" t="s">
        <v>1100</v>
      </c>
      <c r="Z374">
        <v>0</v>
      </c>
      <c r="AA374">
        <v>3634.36669921875</v>
      </c>
      <c r="AB374">
        <v>1393.98876953125</v>
      </c>
      <c r="AC374">
        <v>0</v>
      </c>
      <c r="AD374">
        <v>28532</v>
      </c>
      <c r="AE374">
        <v>25555</v>
      </c>
      <c r="AF374">
        <v>19838</v>
      </c>
      <c r="AG374">
        <v>59352</v>
      </c>
      <c r="AH374">
        <v>60299</v>
      </c>
      <c r="AI374">
        <v>60299</v>
      </c>
      <c r="AJ374">
        <v>44</v>
      </c>
      <c r="AK374">
        <v>292</v>
      </c>
      <c r="AL374">
        <v>5944</v>
      </c>
      <c r="AM374">
        <v>0</v>
      </c>
      <c r="AN374">
        <v>869137.9375</v>
      </c>
      <c r="AO374">
        <v>0</v>
      </c>
      <c r="AP374">
        <v>0</v>
      </c>
      <c r="AQ374">
        <v>0</v>
      </c>
      <c r="AR374">
        <v>0</v>
      </c>
      <c r="AS374">
        <v>0</v>
      </c>
      <c r="AT374">
        <v>0</v>
      </c>
      <c r="AU374">
        <v>0</v>
      </c>
      <c r="AV374">
        <v>0</v>
      </c>
      <c r="AW374">
        <v>0</v>
      </c>
      <c r="AX374">
        <v>0</v>
      </c>
      <c r="AY374">
        <v>0</v>
      </c>
      <c r="AZ374">
        <v>0</v>
      </c>
      <c r="BA374">
        <v>0</v>
      </c>
      <c r="BB374">
        <v>0</v>
      </c>
      <c r="BC374">
        <v>0</v>
      </c>
      <c r="BD374">
        <v>0</v>
      </c>
      <c r="BE374">
        <v>0</v>
      </c>
      <c r="BF374" t="s">
        <v>1100</v>
      </c>
      <c r="BG374" t="s">
        <v>5</v>
      </c>
      <c r="BH374" t="s">
        <v>2987</v>
      </c>
      <c r="BI374" t="s">
        <v>1100</v>
      </c>
      <c r="BJ374" t="s">
        <v>5</v>
      </c>
      <c r="BK374" t="s">
        <v>1100</v>
      </c>
      <c r="BL374">
        <v>0</v>
      </c>
      <c r="BM374">
        <v>0</v>
      </c>
      <c r="BN374" t="s">
        <v>5</v>
      </c>
      <c r="BO374" t="s">
        <v>1100</v>
      </c>
      <c r="BP374" t="s">
        <v>1100</v>
      </c>
      <c r="BQ374" t="s">
        <v>1100</v>
      </c>
      <c r="BR374" t="s">
        <v>1100</v>
      </c>
      <c r="BS374" t="s">
        <v>5</v>
      </c>
      <c r="BT374" t="s">
        <v>1100</v>
      </c>
      <c r="BU374" t="s">
        <v>1100</v>
      </c>
      <c r="BV374" t="s">
        <v>1100</v>
      </c>
      <c r="BW374" t="s">
        <v>1100</v>
      </c>
      <c r="BX374" t="s">
        <v>6</v>
      </c>
      <c r="BY374" t="s">
        <v>2988</v>
      </c>
      <c r="BZ374" t="s">
        <v>2989</v>
      </c>
      <c r="CA374"/>
      <c r="CB374" t="s">
        <v>5</v>
      </c>
      <c r="CC374">
        <v>1612473.0929985989</v>
      </c>
      <c r="CD374">
        <v>51873087030.051872</v>
      </c>
      <c r="CE374" s="313" t="s">
        <v>11891</v>
      </c>
    </row>
    <row r="375" spans="1:83" ht="15" x14ac:dyDescent="0.25">
      <c r="A375" t="s">
        <v>2990</v>
      </c>
      <c r="B375" t="s">
        <v>2991</v>
      </c>
      <c r="C375" t="s">
        <v>2992</v>
      </c>
      <c r="D375">
        <v>7</v>
      </c>
      <c r="E375" t="s">
        <v>2979</v>
      </c>
      <c r="F375" t="s">
        <v>2980</v>
      </c>
      <c r="G375" t="s">
        <v>2981</v>
      </c>
      <c r="H375" t="s">
        <v>2982</v>
      </c>
      <c r="I375" t="s">
        <v>2983</v>
      </c>
      <c r="J375" t="s">
        <v>2984</v>
      </c>
      <c r="K375" t="s">
        <v>2985</v>
      </c>
      <c r="L375">
        <v>20028.23046875</v>
      </c>
      <c r="M375" t="s">
        <v>6</v>
      </c>
      <c r="N375" t="s">
        <v>5</v>
      </c>
      <c r="O375" t="s">
        <v>6</v>
      </c>
      <c r="P375" t="s">
        <v>6</v>
      </c>
      <c r="Q375" t="s">
        <v>5</v>
      </c>
      <c r="R375" t="s">
        <v>2986</v>
      </c>
      <c r="S375" t="s">
        <v>2986</v>
      </c>
      <c r="T375" t="s">
        <v>5</v>
      </c>
      <c r="U375" t="s">
        <v>13</v>
      </c>
      <c r="V375">
        <v>100000</v>
      </c>
      <c r="W375">
        <v>100000</v>
      </c>
      <c r="X375" t="s">
        <v>5</v>
      </c>
      <c r="Y375" t="s">
        <v>1100</v>
      </c>
      <c r="Z375">
        <v>0</v>
      </c>
      <c r="AA375">
        <v>3634.36669921875</v>
      </c>
      <c r="AB375">
        <v>1393.98876953125</v>
      </c>
      <c r="AC375">
        <v>0</v>
      </c>
      <c r="AD375">
        <v>28532</v>
      </c>
      <c r="AE375">
        <v>25555</v>
      </c>
      <c r="AF375">
        <v>19838</v>
      </c>
      <c r="AG375">
        <v>59352</v>
      </c>
      <c r="AH375">
        <v>60299</v>
      </c>
      <c r="AI375">
        <v>60299</v>
      </c>
      <c r="AJ375">
        <v>44</v>
      </c>
      <c r="AK375">
        <v>292</v>
      </c>
      <c r="AL375">
        <v>5944</v>
      </c>
      <c r="AM375">
        <v>0</v>
      </c>
      <c r="AN375">
        <v>869137.9375</v>
      </c>
      <c r="AO375">
        <v>0</v>
      </c>
      <c r="AP375">
        <v>0</v>
      </c>
      <c r="AQ375">
        <v>0</v>
      </c>
      <c r="AR375">
        <v>0</v>
      </c>
      <c r="AS375">
        <v>0</v>
      </c>
      <c r="AT375">
        <v>0</v>
      </c>
      <c r="AU375">
        <v>0</v>
      </c>
      <c r="AV375">
        <v>0</v>
      </c>
      <c r="AW375">
        <v>0</v>
      </c>
      <c r="AX375">
        <v>0</v>
      </c>
      <c r="AY375">
        <v>0</v>
      </c>
      <c r="AZ375">
        <v>0</v>
      </c>
      <c r="BA375">
        <v>0</v>
      </c>
      <c r="BB375">
        <v>0</v>
      </c>
      <c r="BC375">
        <v>0</v>
      </c>
      <c r="BD375">
        <v>0</v>
      </c>
      <c r="BE375">
        <v>0</v>
      </c>
      <c r="BF375" t="s">
        <v>1100</v>
      </c>
      <c r="BG375" t="s">
        <v>5</v>
      </c>
      <c r="BH375" t="s">
        <v>2987</v>
      </c>
      <c r="BI375" t="s">
        <v>1100</v>
      </c>
      <c r="BJ375" t="s">
        <v>5</v>
      </c>
      <c r="BK375" t="s">
        <v>1100</v>
      </c>
      <c r="BL375">
        <v>0</v>
      </c>
      <c r="BM375">
        <v>0</v>
      </c>
      <c r="BN375" t="s">
        <v>5</v>
      </c>
      <c r="BO375" t="s">
        <v>1100</v>
      </c>
      <c r="BP375" t="s">
        <v>1100</v>
      </c>
      <c r="BQ375" t="s">
        <v>1100</v>
      </c>
      <c r="BR375" t="s">
        <v>1100</v>
      </c>
      <c r="BS375" t="s">
        <v>5</v>
      </c>
      <c r="BT375" t="s">
        <v>1100</v>
      </c>
      <c r="BU375" t="s">
        <v>1100</v>
      </c>
      <c r="BV375" t="s">
        <v>1100</v>
      </c>
      <c r="BW375" t="s">
        <v>1100</v>
      </c>
      <c r="BX375" t="s">
        <v>6</v>
      </c>
      <c r="BY375" t="s">
        <v>2988</v>
      </c>
      <c r="BZ375" t="s">
        <v>2989</v>
      </c>
      <c r="CA375"/>
      <c r="CB375" t="s">
        <v>5</v>
      </c>
      <c r="CC375">
        <v>1612473.0929985989</v>
      </c>
      <c r="CD375">
        <v>51873087030.051872</v>
      </c>
      <c r="CE375" s="313" t="s">
        <v>11891</v>
      </c>
    </row>
    <row r="376" spans="1:83" ht="15" x14ac:dyDescent="0.25">
      <c r="A376" t="s">
        <v>2993</v>
      </c>
      <c r="B376" t="s">
        <v>2994</v>
      </c>
      <c r="C376" t="s">
        <v>2995</v>
      </c>
      <c r="D376">
        <v>7</v>
      </c>
      <c r="E376" t="s">
        <v>2979</v>
      </c>
      <c r="F376" t="s">
        <v>2980</v>
      </c>
      <c r="G376" t="s">
        <v>2981</v>
      </c>
      <c r="H376" t="s">
        <v>2982</v>
      </c>
      <c r="I376" t="s">
        <v>2983</v>
      </c>
      <c r="J376" t="s">
        <v>2984</v>
      </c>
      <c r="K376" t="s">
        <v>2985</v>
      </c>
      <c r="L376">
        <v>20028.23046875</v>
      </c>
      <c r="M376" t="s">
        <v>6</v>
      </c>
      <c r="N376" t="s">
        <v>5</v>
      </c>
      <c r="O376" t="s">
        <v>6</v>
      </c>
      <c r="P376" t="s">
        <v>6</v>
      </c>
      <c r="Q376" t="s">
        <v>5</v>
      </c>
      <c r="R376" t="s">
        <v>2986</v>
      </c>
      <c r="S376" t="s">
        <v>2986</v>
      </c>
      <c r="T376" t="s">
        <v>5</v>
      </c>
      <c r="U376" t="s">
        <v>13</v>
      </c>
      <c r="V376">
        <v>100000</v>
      </c>
      <c r="W376">
        <v>100000</v>
      </c>
      <c r="X376" t="s">
        <v>5</v>
      </c>
      <c r="Y376" t="s">
        <v>1100</v>
      </c>
      <c r="Z376">
        <v>0</v>
      </c>
      <c r="AA376">
        <v>3634.36669921875</v>
      </c>
      <c r="AB376">
        <v>1393.98876953125</v>
      </c>
      <c r="AC376">
        <v>0</v>
      </c>
      <c r="AD376">
        <v>28532</v>
      </c>
      <c r="AE376">
        <v>25555</v>
      </c>
      <c r="AF376">
        <v>19838</v>
      </c>
      <c r="AG376">
        <v>59352</v>
      </c>
      <c r="AH376">
        <v>60299</v>
      </c>
      <c r="AI376">
        <v>60299</v>
      </c>
      <c r="AJ376">
        <v>44</v>
      </c>
      <c r="AK376">
        <v>292</v>
      </c>
      <c r="AL376">
        <v>5944</v>
      </c>
      <c r="AM376">
        <v>0</v>
      </c>
      <c r="AN376">
        <v>869137.9375</v>
      </c>
      <c r="AO376">
        <v>0</v>
      </c>
      <c r="AP376">
        <v>0</v>
      </c>
      <c r="AQ376">
        <v>0</v>
      </c>
      <c r="AR376">
        <v>0</v>
      </c>
      <c r="AS376">
        <v>0</v>
      </c>
      <c r="AT376">
        <v>0</v>
      </c>
      <c r="AU376">
        <v>0</v>
      </c>
      <c r="AV376">
        <v>0</v>
      </c>
      <c r="AW376">
        <v>0</v>
      </c>
      <c r="AX376">
        <v>0</v>
      </c>
      <c r="AY376">
        <v>0</v>
      </c>
      <c r="AZ376">
        <v>0</v>
      </c>
      <c r="BA376">
        <v>0</v>
      </c>
      <c r="BB376">
        <v>0</v>
      </c>
      <c r="BC376">
        <v>0</v>
      </c>
      <c r="BD376">
        <v>0</v>
      </c>
      <c r="BE376">
        <v>0</v>
      </c>
      <c r="BF376" t="s">
        <v>1100</v>
      </c>
      <c r="BG376" t="s">
        <v>5</v>
      </c>
      <c r="BH376" t="s">
        <v>2987</v>
      </c>
      <c r="BI376" t="s">
        <v>1100</v>
      </c>
      <c r="BJ376" t="s">
        <v>5</v>
      </c>
      <c r="BK376" t="s">
        <v>1100</v>
      </c>
      <c r="BL376">
        <v>0</v>
      </c>
      <c r="BM376">
        <v>0</v>
      </c>
      <c r="BN376" t="s">
        <v>5</v>
      </c>
      <c r="BO376" t="s">
        <v>1100</v>
      </c>
      <c r="BP376" t="s">
        <v>1100</v>
      </c>
      <c r="BQ376" t="s">
        <v>1100</v>
      </c>
      <c r="BR376" t="s">
        <v>1100</v>
      </c>
      <c r="BS376" t="s">
        <v>5</v>
      </c>
      <c r="BT376" t="s">
        <v>1100</v>
      </c>
      <c r="BU376" t="s">
        <v>1100</v>
      </c>
      <c r="BV376" t="s">
        <v>1100</v>
      </c>
      <c r="BW376" t="s">
        <v>1100</v>
      </c>
      <c r="BX376" t="s">
        <v>6</v>
      </c>
      <c r="BY376" t="s">
        <v>2988</v>
      </c>
      <c r="BZ376" t="s">
        <v>2989</v>
      </c>
      <c r="CA376"/>
      <c r="CB376" t="s">
        <v>5</v>
      </c>
      <c r="CC376">
        <v>1612473.0929985989</v>
      </c>
      <c r="CD376">
        <v>51873087030.051872</v>
      </c>
      <c r="CE376" s="313" t="s">
        <v>11891</v>
      </c>
    </row>
    <row r="377" spans="1:83" ht="15" x14ac:dyDescent="0.25">
      <c r="A377" t="s">
        <v>3095</v>
      </c>
      <c r="B377" t="s">
        <v>3096</v>
      </c>
      <c r="C377" t="s">
        <v>3097</v>
      </c>
      <c r="D377">
        <v>7</v>
      </c>
      <c r="E377" t="s">
        <v>2979</v>
      </c>
      <c r="F377" t="s">
        <v>2980</v>
      </c>
      <c r="G377" t="s">
        <v>3098</v>
      </c>
      <c r="H377" t="s">
        <v>2982</v>
      </c>
      <c r="I377" t="s">
        <v>2983</v>
      </c>
      <c r="J377" t="s">
        <v>2984</v>
      </c>
      <c r="K377" t="s">
        <v>3099</v>
      </c>
      <c r="L377">
        <v>20028.23046875</v>
      </c>
      <c r="M377" t="s">
        <v>6</v>
      </c>
      <c r="N377" t="s">
        <v>5</v>
      </c>
      <c r="O377" t="s">
        <v>6</v>
      </c>
      <c r="P377" t="s">
        <v>6</v>
      </c>
      <c r="Q377" t="s">
        <v>5</v>
      </c>
      <c r="R377" t="s">
        <v>2986</v>
      </c>
      <c r="S377" t="s">
        <v>2986</v>
      </c>
      <c r="T377" t="s">
        <v>5</v>
      </c>
      <c r="U377" t="s">
        <v>13</v>
      </c>
      <c r="V377">
        <v>100000</v>
      </c>
      <c r="W377">
        <v>100000</v>
      </c>
      <c r="X377" t="s">
        <v>5</v>
      </c>
      <c r="Y377" t="s">
        <v>1100</v>
      </c>
      <c r="Z377">
        <v>0</v>
      </c>
      <c r="AA377">
        <v>3634.36669921875</v>
      </c>
      <c r="AB377">
        <v>1393.98876953125</v>
      </c>
      <c r="AC377">
        <v>0</v>
      </c>
      <c r="AD377">
        <v>28532</v>
      </c>
      <c r="AE377">
        <v>25555</v>
      </c>
      <c r="AF377">
        <v>19838</v>
      </c>
      <c r="AG377">
        <v>59352</v>
      </c>
      <c r="AH377">
        <v>60299</v>
      </c>
      <c r="AI377">
        <v>60299</v>
      </c>
      <c r="AJ377">
        <v>44</v>
      </c>
      <c r="AK377">
        <v>292</v>
      </c>
      <c r="AL377">
        <v>5944</v>
      </c>
      <c r="AM377">
        <v>0</v>
      </c>
      <c r="AN377">
        <v>869137.9375</v>
      </c>
      <c r="AO377">
        <v>0</v>
      </c>
      <c r="AP377">
        <v>0</v>
      </c>
      <c r="AQ377">
        <v>0</v>
      </c>
      <c r="AR377">
        <v>0</v>
      </c>
      <c r="AS377">
        <v>0</v>
      </c>
      <c r="AT377">
        <v>0</v>
      </c>
      <c r="AU377">
        <v>0</v>
      </c>
      <c r="AV377">
        <v>0</v>
      </c>
      <c r="AW377">
        <v>0</v>
      </c>
      <c r="AX377">
        <v>0</v>
      </c>
      <c r="AY377">
        <v>0</v>
      </c>
      <c r="AZ377">
        <v>0</v>
      </c>
      <c r="BA377">
        <v>0</v>
      </c>
      <c r="BB377">
        <v>0</v>
      </c>
      <c r="BC377">
        <v>0</v>
      </c>
      <c r="BD377">
        <v>0</v>
      </c>
      <c r="BE377">
        <v>0</v>
      </c>
      <c r="BF377" t="s">
        <v>1100</v>
      </c>
      <c r="BG377" t="s">
        <v>5</v>
      </c>
      <c r="BH377" t="s">
        <v>2987</v>
      </c>
      <c r="BI377" t="s">
        <v>1100</v>
      </c>
      <c r="BJ377" t="s">
        <v>5</v>
      </c>
      <c r="BK377" t="s">
        <v>1100</v>
      </c>
      <c r="BL377">
        <v>0</v>
      </c>
      <c r="BM377">
        <v>0</v>
      </c>
      <c r="BN377" t="s">
        <v>5</v>
      </c>
      <c r="BO377" t="s">
        <v>1100</v>
      </c>
      <c r="BP377" t="s">
        <v>1100</v>
      </c>
      <c r="BQ377" t="s">
        <v>1100</v>
      </c>
      <c r="BR377" t="s">
        <v>1100</v>
      </c>
      <c r="BS377" t="s">
        <v>5</v>
      </c>
      <c r="BT377" t="s">
        <v>1100</v>
      </c>
      <c r="BU377" t="s">
        <v>1100</v>
      </c>
      <c r="BV377" t="s">
        <v>1100</v>
      </c>
      <c r="BW377" t="s">
        <v>1100</v>
      </c>
      <c r="BX377" t="s">
        <v>6</v>
      </c>
      <c r="BY377" t="s">
        <v>2988</v>
      </c>
      <c r="BZ377" t="s">
        <v>2989</v>
      </c>
      <c r="CA377"/>
      <c r="CB377" t="s">
        <v>5</v>
      </c>
      <c r="CC377">
        <v>1612473.0929985989</v>
      </c>
      <c r="CD377">
        <v>51873087030.051872</v>
      </c>
      <c r="CE377" s="313" t="s">
        <v>11891</v>
      </c>
    </row>
    <row r="378" spans="1:83" ht="15" x14ac:dyDescent="0.25">
      <c r="A378" t="s">
        <v>3100</v>
      </c>
      <c r="B378" t="s">
        <v>3101</v>
      </c>
      <c r="C378" t="s">
        <v>3102</v>
      </c>
      <c r="D378">
        <v>7</v>
      </c>
      <c r="E378" t="s">
        <v>2979</v>
      </c>
      <c r="F378" t="s">
        <v>2980</v>
      </c>
      <c r="G378" t="s">
        <v>2981</v>
      </c>
      <c r="H378" t="s">
        <v>2982</v>
      </c>
      <c r="I378" t="s">
        <v>2983</v>
      </c>
      <c r="J378" t="s">
        <v>2984</v>
      </c>
      <c r="K378" t="s">
        <v>2985</v>
      </c>
      <c r="L378">
        <v>20028.23046875</v>
      </c>
      <c r="M378" t="s">
        <v>6</v>
      </c>
      <c r="N378" t="s">
        <v>5</v>
      </c>
      <c r="O378" t="s">
        <v>6</v>
      </c>
      <c r="P378" t="s">
        <v>6</v>
      </c>
      <c r="Q378" t="s">
        <v>5</v>
      </c>
      <c r="R378" t="s">
        <v>2986</v>
      </c>
      <c r="S378" t="s">
        <v>2986</v>
      </c>
      <c r="T378" t="s">
        <v>5</v>
      </c>
      <c r="U378" t="s">
        <v>13</v>
      </c>
      <c r="V378">
        <v>100000</v>
      </c>
      <c r="W378">
        <v>100000</v>
      </c>
      <c r="X378" t="s">
        <v>5</v>
      </c>
      <c r="Y378" t="s">
        <v>1100</v>
      </c>
      <c r="Z378">
        <v>0</v>
      </c>
      <c r="AA378">
        <v>3634.36669921875</v>
      </c>
      <c r="AB378">
        <v>1393.98876953125</v>
      </c>
      <c r="AC378">
        <v>0</v>
      </c>
      <c r="AD378">
        <v>28532</v>
      </c>
      <c r="AE378">
        <v>25555</v>
      </c>
      <c r="AF378">
        <v>19838</v>
      </c>
      <c r="AG378">
        <v>59352</v>
      </c>
      <c r="AH378">
        <v>60299</v>
      </c>
      <c r="AI378">
        <v>60299</v>
      </c>
      <c r="AJ378">
        <v>44</v>
      </c>
      <c r="AK378">
        <v>292</v>
      </c>
      <c r="AL378">
        <v>5944</v>
      </c>
      <c r="AM378">
        <v>0</v>
      </c>
      <c r="AN378">
        <v>869137.9375</v>
      </c>
      <c r="AO378">
        <v>0</v>
      </c>
      <c r="AP378">
        <v>0</v>
      </c>
      <c r="AQ378">
        <v>0</v>
      </c>
      <c r="AR378">
        <v>0</v>
      </c>
      <c r="AS378">
        <v>0</v>
      </c>
      <c r="AT378">
        <v>0</v>
      </c>
      <c r="AU378">
        <v>0</v>
      </c>
      <c r="AV378">
        <v>0</v>
      </c>
      <c r="AW378">
        <v>0</v>
      </c>
      <c r="AX378">
        <v>0</v>
      </c>
      <c r="AY378">
        <v>0</v>
      </c>
      <c r="AZ378">
        <v>0</v>
      </c>
      <c r="BA378">
        <v>0</v>
      </c>
      <c r="BB378">
        <v>0</v>
      </c>
      <c r="BC378">
        <v>0</v>
      </c>
      <c r="BD378">
        <v>0</v>
      </c>
      <c r="BE378">
        <v>0</v>
      </c>
      <c r="BF378" t="s">
        <v>1100</v>
      </c>
      <c r="BG378" t="s">
        <v>5</v>
      </c>
      <c r="BH378" t="s">
        <v>2987</v>
      </c>
      <c r="BI378" t="s">
        <v>1100</v>
      </c>
      <c r="BJ378" t="s">
        <v>5</v>
      </c>
      <c r="BK378" t="s">
        <v>1100</v>
      </c>
      <c r="BL378">
        <v>0</v>
      </c>
      <c r="BM378">
        <v>0</v>
      </c>
      <c r="BN378" t="s">
        <v>5</v>
      </c>
      <c r="BO378" t="s">
        <v>1100</v>
      </c>
      <c r="BP378" t="s">
        <v>1100</v>
      </c>
      <c r="BQ378" t="s">
        <v>1100</v>
      </c>
      <c r="BR378" t="s">
        <v>1100</v>
      </c>
      <c r="BS378" t="s">
        <v>5</v>
      </c>
      <c r="BT378" t="s">
        <v>1100</v>
      </c>
      <c r="BU378" t="s">
        <v>1100</v>
      </c>
      <c r="BV378" t="s">
        <v>1100</v>
      </c>
      <c r="BW378" t="s">
        <v>1100</v>
      </c>
      <c r="BX378" t="s">
        <v>6</v>
      </c>
      <c r="BY378" t="s">
        <v>2988</v>
      </c>
      <c r="BZ378" t="s">
        <v>2989</v>
      </c>
      <c r="CA378"/>
      <c r="CB378" t="s">
        <v>5</v>
      </c>
      <c r="CC378">
        <v>1612473.0929985989</v>
      </c>
      <c r="CD378">
        <v>51873087030.051872</v>
      </c>
      <c r="CE378" s="313" t="s">
        <v>11891</v>
      </c>
    </row>
    <row r="379" spans="1:83" ht="15" x14ac:dyDescent="0.25">
      <c r="A379" t="s">
        <v>4913</v>
      </c>
      <c r="B379" t="s">
        <v>4914</v>
      </c>
      <c r="C379" t="s">
        <v>4915</v>
      </c>
      <c r="D379">
        <v>8</v>
      </c>
      <c r="E379" t="s">
        <v>3395</v>
      </c>
      <c r="F379" t="s">
        <v>69</v>
      </c>
      <c r="G379" t="s">
        <v>4894</v>
      </c>
      <c r="H379" t="s">
        <v>4895</v>
      </c>
      <c r="I379" t="s">
        <v>4896</v>
      </c>
      <c r="J379" t="s">
        <v>4897</v>
      </c>
      <c r="K379" t="s">
        <v>3401</v>
      </c>
      <c r="L379">
        <v>624.52899169921875</v>
      </c>
      <c r="M379" t="s">
        <v>6</v>
      </c>
      <c r="N379" t="s">
        <v>5</v>
      </c>
      <c r="O379" t="s">
        <v>5</v>
      </c>
      <c r="P379" t="s">
        <v>5</v>
      </c>
      <c r="Q379" t="s">
        <v>5</v>
      </c>
      <c r="R379" t="s">
        <v>4898</v>
      </c>
      <c r="S379" t="s">
        <v>4899</v>
      </c>
      <c r="T379" t="s">
        <v>5</v>
      </c>
      <c r="U379" t="s">
        <v>85</v>
      </c>
      <c r="V379">
        <v>360000000</v>
      </c>
      <c r="W379">
        <v>100000</v>
      </c>
      <c r="X379" t="s">
        <v>6</v>
      </c>
      <c r="Y379" t="s">
        <v>3403</v>
      </c>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t="s">
        <v>1100</v>
      </c>
      <c r="BG379" t="s">
        <v>5</v>
      </c>
      <c r="BH379" t="s">
        <v>1020</v>
      </c>
      <c r="BI379" t="s">
        <v>5</v>
      </c>
      <c r="BJ379" t="s">
        <v>5</v>
      </c>
      <c r="BK379" t="s">
        <v>1020</v>
      </c>
      <c r="BL379">
        <v>50</v>
      </c>
      <c r="BM379"/>
      <c r="BN379" t="s">
        <v>6</v>
      </c>
      <c r="BO379" t="s">
        <v>4916</v>
      </c>
      <c r="BP379" t="s">
        <v>1585</v>
      </c>
      <c r="BQ379" t="s">
        <v>1585</v>
      </c>
      <c r="BR379" t="s">
        <v>1585</v>
      </c>
      <c r="BS379" t="s">
        <v>6</v>
      </c>
      <c r="BT379" t="s">
        <v>1585</v>
      </c>
      <c r="BU379" t="s">
        <v>1585</v>
      </c>
      <c r="BV379" t="s">
        <v>1585</v>
      </c>
      <c r="BW379" t="s">
        <v>1585</v>
      </c>
      <c r="BX379" t="s">
        <v>6</v>
      </c>
      <c r="BY379" t="s">
        <v>3406</v>
      </c>
      <c r="BZ379"/>
      <c r="CA379"/>
      <c r="CB379" t="s">
        <v>6</v>
      </c>
      <c r="CC379">
        <v>206531.99963422041</v>
      </c>
      <c r="CD379">
        <v>1617523233.931258</v>
      </c>
      <c r="CE379" s="313" t="s">
        <v>11891</v>
      </c>
    </row>
    <row r="380" spans="1:83" ht="15" x14ac:dyDescent="0.25">
      <c r="A380" t="s">
        <v>3500</v>
      </c>
      <c r="B380" t="s">
        <v>3501</v>
      </c>
      <c r="C380" t="s">
        <v>3502</v>
      </c>
      <c r="D380">
        <v>12</v>
      </c>
      <c r="E380" t="s">
        <v>3435</v>
      </c>
      <c r="F380" t="s">
        <v>3503</v>
      </c>
      <c r="G380" t="s">
        <v>3504</v>
      </c>
      <c r="H380" t="s">
        <v>3505</v>
      </c>
      <c r="I380"/>
      <c r="J380" t="s">
        <v>3506</v>
      </c>
      <c r="K380" t="s">
        <v>3484</v>
      </c>
      <c r="L380">
        <v>660.5059814453125</v>
      </c>
      <c r="M380" t="s">
        <v>6</v>
      </c>
      <c r="N380" t="s">
        <v>5</v>
      </c>
      <c r="O380" t="s">
        <v>6</v>
      </c>
      <c r="P380" t="s">
        <v>5</v>
      </c>
      <c r="Q380" t="s">
        <v>5</v>
      </c>
      <c r="R380" t="s">
        <v>3507</v>
      </c>
      <c r="S380" t="s">
        <v>3508</v>
      </c>
      <c r="T380" t="s">
        <v>6</v>
      </c>
      <c r="U380" t="s">
        <v>28</v>
      </c>
      <c r="V380">
        <v>100000</v>
      </c>
      <c r="W380">
        <v>100000</v>
      </c>
      <c r="X380" t="s">
        <v>5</v>
      </c>
      <c r="Y380"/>
      <c r="Z380">
        <v>0</v>
      </c>
      <c r="AA380">
        <v>6.9699301719665527</v>
      </c>
      <c r="AB380">
        <v>0.82626998424530029</v>
      </c>
      <c r="AC380">
        <v>5.394899845123291E-2</v>
      </c>
      <c r="AD380">
        <v>628</v>
      </c>
      <c r="AE380">
        <v>333</v>
      </c>
      <c r="AF380">
        <v>398</v>
      </c>
      <c r="AG380">
        <v>1812</v>
      </c>
      <c r="AH380">
        <v>1650</v>
      </c>
      <c r="AI380">
        <v>1812</v>
      </c>
      <c r="AJ380">
        <v>5</v>
      </c>
      <c r="AK380">
        <v>21</v>
      </c>
      <c r="AL380">
        <v>12</v>
      </c>
      <c r="AM380">
        <v>147</v>
      </c>
      <c r="AN380">
        <v>42.729999542236328</v>
      </c>
      <c r="AO380">
        <v>0</v>
      </c>
      <c r="AP380">
        <v>0</v>
      </c>
      <c r="AQ380">
        <v>0</v>
      </c>
      <c r="AR380">
        <v>0</v>
      </c>
      <c r="AS380">
        <v>0</v>
      </c>
      <c r="AT380">
        <v>0</v>
      </c>
      <c r="AU380">
        <v>0</v>
      </c>
      <c r="AV380">
        <v>0</v>
      </c>
      <c r="AW380">
        <v>0</v>
      </c>
      <c r="AX380">
        <v>0</v>
      </c>
      <c r="AY380">
        <v>0</v>
      </c>
      <c r="AZ380">
        <v>0</v>
      </c>
      <c r="BA380">
        <v>0</v>
      </c>
      <c r="BB380">
        <v>0</v>
      </c>
      <c r="BC380">
        <v>0</v>
      </c>
      <c r="BD380">
        <v>0</v>
      </c>
      <c r="BE380">
        <v>0</v>
      </c>
      <c r="BF380" t="s">
        <v>1100</v>
      </c>
      <c r="BG380" t="s">
        <v>5</v>
      </c>
      <c r="BH380" t="s">
        <v>1100</v>
      </c>
      <c r="BI380"/>
      <c r="BJ380" t="s">
        <v>5</v>
      </c>
      <c r="BK380"/>
      <c r="BL380">
        <v>0</v>
      </c>
      <c r="BM380">
        <v>0</v>
      </c>
      <c r="BN380" t="s">
        <v>5</v>
      </c>
      <c r="BO380"/>
      <c r="BP380"/>
      <c r="BQ380"/>
      <c r="BR380"/>
      <c r="BS380" t="s">
        <v>5</v>
      </c>
      <c r="BT380"/>
      <c r="BU380"/>
      <c r="BV380"/>
      <c r="BW380"/>
      <c r="BX380" t="s">
        <v>6</v>
      </c>
      <c r="BY380" t="s">
        <v>3444</v>
      </c>
      <c r="BZ380"/>
      <c r="CA380"/>
      <c r="CB380" t="s">
        <v>5</v>
      </c>
      <c r="CC380">
        <v>165225.8424315005</v>
      </c>
      <c r="CD380">
        <v>1710703783.798352</v>
      </c>
      <c r="CE380" s="313" t="s">
        <v>11891</v>
      </c>
    </row>
    <row r="381" spans="1:83" ht="15" x14ac:dyDescent="0.25">
      <c r="A381" t="s">
        <v>3509</v>
      </c>
      <c r="B381" t="s">
        <v>3510</v>
      </c>
      <c r="C381" t="s">
        <v>3511</v>
      </c>
      <c r="D381">
        <v>12</v>
      </c>
      <c r="E381" t="s">
        <v>3435</v>
      </c>
      <c r="F381" t="s">
        <v>3436</v>
      </c>
      <c r="G381" t="s">
        <v>3437</v>
      </c>
      <c r="H381" t="s">
        <v>3458</v>
      </c>
      <c r="I381" t="s">
        <v>3459</v>
      </c>
      <c r="J381" t="s">
        <v>3460</v>
      </c>
      <c r="K381" t="s">
        <v>3477</v>
      </c>
      <c r="L381">
        <v>3.6673600673675542</v>
      </c>
      <c r="M381" t="s">
        <v>6</v>
      </c>
      <c r="N381" t="s">
        <v>5</v>
      </c>
      <c r="O381" t="s">
        <v>6</v>
      </c>
      <c r="P381" t="s">
        <v>5</v>
      </c>
      <c r="Q381" t="s">
        <v>5</v>
      </c>
      <c r="R381" t="s">
        <v>3461</v>
      </c>
      <c r="S381" t="s">
        <v>3462</v>
      </c>
      <c r="T381" t="s">
        <v>5</v>
      </c>
      <c r="U381" t="s">
        <v>50</v>
      </c>
      <c r="V381">
        <v>100000</v>
      </c>
      <c r="W381">
        <v>100000</v>
      </c>
      <c r="X381" t="s">
        <v>5</v>
      </c>
      <c r="Y381"/>
      <c r="Z381">
        <v>0</v>
      </c>
      <c r="AA381">
        <v>0.40474799275398249</v>
      </c>
      <c r="AB381">
        <v>0.16484199464321139</v>
      </c>
      <c r="AC381">
        <v>0</v>
      </c>
      <c r="AD381">
        <v>42</v>
      </c>
      <c r="AE381">
        <v>38</v>
      </c>
      <c r="AF381">
        <v>24</v>
      </c>
      <c r="AG381">
        <v>33</v>
      </c>
      <c r="AH381">
        <v>59</v>
      </c>
      <c r="AI381">
        <v>59</v>
      </c>
      <c r="AJ381">
        <v>0</v>
      </c>
      <c r="AK381">
        <v>0</v>
      </c>
      <c r="AL381">
        <v>0</v>
      </c>
      <c r="AM381">
        <v>22</v>
      </c>
      <c r="AN381">
        <v>6.0100002288818359</v>
      </c>
      <c r="AO381">
        <v>0</v>
      </c>
      <c r="AP381">
        <v>0</v>
      </c>
      <c r="AQ381">
        <v>0</v>
      </c>
      <c r="AR381">
        <v>0</v>
      </c>
      <c r="AS381">
        <v>0</v>
      </c>
      <c r="AT381">
        <v>0</v>
      </c>
      <c r="AU381">
        <v>0</v>
      </c>
      <c r="AV381">
        <v>0</v>
      </c>
      <c r="AW381">
        <v>0</v>
      </c>
      <c r="AX381">
        <v>0</v>
      </c>
      <c r="AY381">
        <v>0</v>
      </c>
      <c r="AZ381">
        <v>0</v>
      </c>
      <c r="BA381">
        <v>0</v>
      </c>
      <c r="BB381">
        <v>0</v>
      </c>
      <c r="BC381">
        <v>0</v>
      </c>
      <c r="BD381">
        <v>0</v>
      </c>
      <c r="BE381">
        <v>0</v>
      </c>
      <c r="BF381" t="s">
        <v>1100</v>
      </c>
      <c r="BG381" t="s">
        <v>5</v>
      </c>
      <c r="BH381" t="s">
        <v>1100</v>
      </c>
      <c r="BI381"/>
      <c r="BJ381" t="s">
        <v>5</v>
      </c>
      <c r="BK381"/>
      <c r="BL381">
        <v>0</v>
      </c>
      <c r="BM381">
        <v>0</v>
      </c>
      <c r="BN381" t="s">
        <v>6</v>
      </c>
      <c r="BO381"/>
      <c r="BP381" t="s">
        <v>3512</v>
      </c>
      <c r="BQ381"/>
      <c r="BR381"/>
      <c r="BS381" t="s">
        <v>5</v>
      </c>
      <c r="BT381"/>
      <c r="BU381"/>
      <c r="BV381"/>
      <c r="BW381"/>
      <c r="BX381" t="s">
        <v>6</v>
      </c>
      <c r="BY381" t="s">
        <v>3444</v>
      </c>
      <c r="BZ381"/>
      <c r="CA381"/>
      <c r="CB381" t="s">
        <v>5</v>
      </c>
      <c r="CC381">
        <v>30840.617085491722</v>
      </c>
      <c r="CD381">
        <v>9498406.7659009639</v>
      </c>
      <c r="CE381" s="313" t="s">
        <v>11891</v>
      </c>
    </row>
    <row r="382" spans="1:83" ht="15" x14ac:dyDescent="0.25">
      <c r="A382" t="s">
        <v>3568</v>
      </c>
      <c r="B382" t="s">
        <v>3569</v>
      </c>
      <c r="C382" t="s">
        <v>3570</v>
      </c>
      <c r="D382">
        <v>12</v>
      </c>
      <c r="E382" t="s">
        <v>3435</v>
      </c>
      <c r="F382" t="s">
        <v>3473</v>
      </c>
      <c r="G382" t="s">
        <v>3437</v>
      </c>
      <c r="H382" t="s">
        <v>3548</v>
      </c>
      <c r="I382" t="s">
        <v>3549</v>
      </c>
      <c r="J382" t="s">
        <v>3550</v>
      </c>
      <c r="K382" t="s">
        <v>3556</v>
      </c>
      <c r="L382">
        <v>7.6970601081848136</v>
      </c>
      <c r="M382" t="s">
        <v>6</v>
      </c>
      <c r="N382" t="s">
        <v>5</v>
      </c>
      <c r="O382" t="s">
        <v>6</v>
      </c>
      <c r="P382" t="s">
        <v>5</v>
      </c>
      <c r="Q382" t="s">
        <v>5</v>
      </c>
      <c r="R382" t="s">
        <v>3551</v>
      </c>
      <c r="S382" t="s">
        <v>3552</v>
      </c>
      <c r="T382" t="s">
        <v>6</v>
      </c>
      <c r="U382" t="s">
        <v>50</v>
      </c>
      <c r="V382">
        <v>100000</v>
      </c>
      <c r="W382">
        <v>100000</v>
      </c>
      <c r="X382" t="s">
        <v>5</v>
      </c>
      <c r="Y382"/>
      <c r="Z382">
        <v>0</v>
      </c>
      <c r="AA382">
        <v>1.414610028266907</v>
      </c>
      <c r="AB382">
        <v>0.20914199948310849</v>
      </c>
      <c r="AC382">
        <v>0</v>
      </c>
      <c r="AD382">
        <v>107</v>
      </c>
      <c r="AE382">
        <v>36</v>
      </c>
      <c r="AF382">
        <v>63</v>
      </c>
      <c r="AG382">
        <v>161</v>
      </c>
      <c r="AH382">
        <v>114</v>
      </c>
      <c r="AI382">
        <v>161</v>
      </c>
      <c r="AJ382">
        <v>3</v>
      </c>
      <c r="AK382">
        <v>2</v>
      </c>
      <c r="AL382">
        <v>4</v>
      </c>
      <c r="AM382">
        <v>31</v>
      </c>
      <c r="AN382">
        <v>74.569999694824219</v>
      </c>
      <c r="AO382">
        <v>0</v>
      </c>
      <c r="AP382">
        <v>0</v>
      </c>
      <c r="AQ382">
        <v>0</v>
      </c>
      <c r="AR382">
        <v>0</v>
      </c>
      <c r="AS382">
        <v>0</v>
      </c>
      <c r="AT382">
        <v>0</v>
      </c>
      <c r="AU382">
        <v>0</v>
      </c>
      <c r="AV382">
        <v>0</v>
      </c>
      <c r="AW382">
        <v>0</v>
      </c>
      <c r="AX382">
        <v>0</v>
      </c>
      <c r="AY382">
        <v>0</v>
      </c>
      <c r="AZ382">
        <v>0</v>
      </c>
      <c r="BA382">
        <v>0</v>
      </c>
      <c r="BB382">
        <v>0</v>
      </c>
      <c r="BC382">
        <v>0</v>
      </c>
      <c r="BD382">
        <v>0</v>
      </c>
      <c r="BE382">
        <v>0</v>
      </c>
      <c r="BF382" t="s">
        <v>1100</v>
      </c>
      <c r="BG382" t="s">
        <v>5</v>
      </c>
      <c r="BH382" t="s">
        <v>3522</v>
      </c>
      <c r="BI382"/>
      <c r="BJ382" t="s">
        <v>5</v>
      </c>
      <c r="BK382"/>
      <c r="BL382">
        <v>0</v>
      </c>
      <c r="BM382">
        <v>0</v>
      </c>
      <c r="BN382" t="s">
        <v>5</v>
      </c>
      <c r="BO382"/>
      <c r="BP382"/>
      <c r="BQ382"/>
      <c r="BR382"/>
      <c r="BS382" t="s">
        <v>5</v>
      </c>
      <c r="BT382"/>
      <c r="BU382"/>
      <c r="BV382"/>
      <c r="BW382"/>
      <c r="BX382" t="s">
        <v>6</v>
      </c>
      <c r="BY382" t="s">
        <v>3523</v>
      </c>
      <c r="BZ382"/>
      <c r="CA382"/>
      <c r="CB382" t="s">
        <v>5</v>
      </c>
      <c r="CC382">
        <v>34752.183157655913</v>
      </c>
      <c r="CD382">
        <v>19935301.267687719</v>
      </c>
      <c r="CE382" s="313" t="s">
        <v>11891</v>
      </c>
    </row>
    <row r="383" spans="1:83" ht="15" x14ac:dyDescent="0.25">
      <c r="A383" t="s">
        <v>1784</v>
      </c>
      <c r="B383" t="s">
        <v>1785</v>
      </c>
      <c r="C383" t="s">
        <v>1786</v>
      </c>
      <c r="D383">
        <v>3</v>
      </c>
      <c r="E383" t="s">
        <v>1771</v>
      </c>
      <c r="F383" t="s">
        <v>1782</v>
      </c>
      <c r="G383" t="s">
        <v>1773</v>
      </c>
      <c r="H383" t="s">
        <v>4367</v>
      </c>
      <c r="I383"/>
      <c r="J383" t="s">
        <v>1774</v>
      </c>
      <c r="K383" t="s">
        <v>1787</v>
      </c>
      <c r="L383">
        <v>1073.454956054688</v>
      </c>
      <c r="M383" t="s">
        <v>6</v>
      </c>
      <c r="N383" t="s">
        <v>5</v>
      </c>
      <c r="O383" t="s">
        <v>5</v>
      </c>
      <c r="P383" t="s">
        <v>5</v>
      </c>
      <c r="Q383" t="s">
        <v>5</v>
      </c>
      <c r="R383" t="s">
        <v>4368</v>
      </c>
      <c r="S383" t="s">
        <v>1776</v>
      </c>
      <c r="T383" t="s">
        <v>5</v>
      </c>
      <c r="U383" t="s">
        <v>50</v>
      </c>
      <c r="V383">
        <v>100000</v>
      </c>
      <c r="W383">
        <v>100000</v>
      </c>
      <c r="X383" t="s">
        <v>5</v>
      </c>
      <c r="Y383"/>
      <c r="Z383"/>
      <c r="AA383">
        <v>184.2019958496094</v>
      </c>
      <c r="AB383">
        <v>11.62555027008057</v>
      </c>
      <c r="AC383">
        <v>2.6756680011749272</v>
      </c>
      <c r="AD383">
        <v>667</v>
      </c>
      <c r="AE383">
        <v>231</v>
      </c>
      <c r="AF383">
        <v>416</v>
      </c>
      <c r="AG383">
        <v>760</v>
      </c>
      <c r="AH383">
        <v>1098</v>
      </c>
      <c r="AI383">
        <v>1098</v>
      </c>
      <c r="AJ383">
        <v>6</v>
      </c>
      <c r="AK383">
        <v>6</v>
      </c>
      <c r="AL383">
        <v>73</v>
      </c>
      <c r="AM383"/>
      <c r="AN383">
        <v>36103.83984375</v>
      </c>
      <c r="AO383"/>
      <c r="AP383"/>
      <c r="AQ383"/>
      <c r="AR383"/>
      <c r="AS383"/>
      <c r="AT383"/>
      <c r="AU383"/>
      <c r="AV383"/>
      <c r="AW383"/>
      <c r="AX383"/>
      <c r="AY383"/>
      <c r="AZ383"/>
      <c r="BA383"/>
      <c r="BB383"/>
      <c r="BC383"/>
      <c r="BD383"/>
      <c r="BE383"/>
      <c r="BF383" t="s">
        <v>5</v>
      </c>
      <c r="BG383" t="s">
        <v>5</v>
      </c>
      <c r="BH383" t="s">
        <v>1777</v>
      </c>
      <c r="BI383"/>
      <c r="BJ383" t="s">
        <v>5</v>
      </c>
      <c r="BK383"/>
      <c r="BL383">
        <v>0</v>
      </c>
      <c r="BM383"/>
      <c r="BN383" t="s">
        <v>5</v>
      </c>
      <c r="BO383"/>
      <c r="BP383"/>
      <c r="BQ383"/>
      <c r="BR383"/>
      <c r="BS383" t="s">
        <v>5</v>
      </c>
      <c r="BT383"/>
      <c r="BU383"/>
      <c r="BV383"/>
      <c r="BW383" t="s">
        <v>1778</v>
      </c>
      <c r="BX383" t="s">
        <v>6</v>
      </c>
      <c r="BY383" t="s">
        <v>1101</v>
      </c>
      <c r="BZ383"/>
      <c r="CA383"/>
      <c r="CB383" t="s">
        <v>5</v>
      </c>
      <c r="CC383">
        <v>372020.94226368732</v>
      </c>
      <c r="CD383">
        <v>2780972621.138886</v>
      </c>
      <c r="CE383" s="313" t="s">
        <v>11891</v>
      </c>
    </row>
    <row r="384" spans="1:83" ht="15" x14ac:dyDescent="0.25">
      <c r="A384" t="s">
        <v>1805</v>
      </c>
      <c r="B384" t="s">
        <v>1806</v>
      </c>
      <c r="C384" t="s">
        <v>1807</v>
      </c>
      <c r="D384">
        <v>3</v>
      </c>
      <c r="E384" t="s">
        <v>1771</v>
      </c>
      <c r="F384" t="s">
        <v>1798</v>
      </c>
      <c r="G384" t="s">
        <v>1808</v>
      </c>
      <c r="H384" t="s">
        <v>1809</v>
      </c>
      <c r="I384" t="s">
        <v>1810</v>
      </c>
      <c r="J384" t="s">
        <v>1811</v>
      </c>
      <c r="K384" t="s">
        <v>1787</v>
      </c>
      <c r="L384">
        <v>2.0907459259033199</v>
      </c>
      <c r="M384" t="s">
        <v>6</v>
      </c>
      <c r="N384" t="s">
        <v>5</v>
      </c>
      <c r="O384" t="s">
        <v>5</v>
      </c>
      <c r="P384" t="s">
        <v>5</v>
      </c>
      <c r="Q384" t="s">
        <v>5</v>
      </c>
      <c r="R384" t="s">
        <v>4373</v>
      </c>
      <c r="S384" t="s">
        <v>1812</v>
      </c>
      <c r="T384" t="s">
        <v>5</v>
      </c>
      <c r="U384" t="s">
        <v>50</v>
      </c>
      <c r="V384">
        <v>100000</v>
      </c>
      <c r="W384">
        <v>100000</v>
      </c>
      <c r="X384" t="s">
        <v>6</v>
      </c>
      <c r="Y384"/>
      <c r="Z384">
        <v>10000</v>
      </c>
      <c r="AA384">
        <v>0.2022375017404556</v>
      </c>
      <c r="AB384">
        <v>3.1236480921506882E-2</v>
      </c>
      <c r="AC384">
        <v>7.2201326489448547E-2</v>
      </c>
      <c r="AD384">
        <v>7</v>
      </c>
      <c r="AE384">
        <v>3</v>
      </c>
      <c r="AF384">
        <v>4</v>
      </c>
      <c r="AG384">
        <v>0</v>
      </c>
      <c r="AH384">
        <v>5</v>
      </c>
      <c r="AI384">
        <v>5</v>
      </c>
      <c r="AJ384">
        <v>0</v>
      </c>
      <c r="AK384">
        <v>2</v>
      </c>
      <c r="AL384">
        <v>1</v>
      </c>
      <c r="AM384"/>
      <c r="AN384">
        <v>91.724601745605469</v>
      </c>
      <c r="AO384"/>
      <c r="AP384"/>
      <c r="AQ384"/>
      <c r="AR384"/>
      <c r="AS384"/>
      <c r="AT384"/>
      <c r="AU384"/>
      <c r="AV384"/>
      <c r="AW384"/>
      <c r="AX384"/>
      <c r="AY384"/>
      <c r="AZ384"/>
      <c r="BA384"/>
      <c r="BB384"/>
      <c r="BC384"/>
      <c r="BD384"/>
      <c r="BE384"/>
      <c r="BF384" t="s">
        <v>5</v>
      </c>
      <c r="BG384" t="s">
        <v>5</v>
      </c>
      <c r="BH384" t="s">
        <v>1777</v>
      </c>
      <c r="BI384"/>
      <c r="BJ384" t="s">
        <v>5</v>
      </c>
      <c r="BK384"/>
      <c r="BL384">
        <v>0</v>
      </c>
      <c r="BM384"/>
      <c r="BN384" t="s">
        <v>5</v>
      </c>
      <c r="BO384"/>
      <c r="BP384"/>
      <c r="BQ384"/>
      <c r="BR384"/>
      <c r="BS384" t="s">
        <v>5</v>
      </c>
      <c r="BT384"/>
      <c r="BU384"/>
      <c r="BV384"/>
      <c r="BW384" t="s">
        <v>1778</v>
      </c>
      <c r="BX384" t="s">
        <v>6</v>
      </c>
      <c r="BY384" t="s">
        <v>1101</v>
      </c>
      <c r="BZ384"/>
      <c r="CA384"/>
      <c r="CB384" t="s">
        <v>5</v>
      </c>
      <c r="CC384">
        <v>13914.87327079134</v>
      </c>
      <c r="CD384">
        <v>5416441.3411405776</v>
      </c>
      <c r="CE384" s="313" t="s">
        <v>11891</v>
      </c>
    </row>
    <row r="385" spans="1:83" ht="15" x14ac:dyDescent="0.25">
      <c r="A385" t="s">
        <v>1827</v>
      </c>
      <c r="B385" t="s">
        <v>1828</v>
      </c>
      <c r="C385" t="s">
        <v>1829</v>
      </c>
      <c r="D385">
        <v>3</v>
      </c>
      <c r="E385" t="s">
        <v>1771</v>
      </c>
      <c r="F385" t="s">
        <v>1830</v>
      </c>
      <c r="G385" t="s">
        <v>1831</v>
      </c>
      <c r="H385" t="s">
        <v>4376</v>
      </c>
      <c r="I385" t="s">
        <v>1810</v>
      </c>
      <c r="J385" t="s">
        <v>1811</v>
      </c>
      <c r="K385" t="s">
        <v>1787</v>
      </c>
      <c r="L385">
        <v>888.15631103515625</v>
      </c>
      <c r="M385" t="s">
        <v>6</v>
      </c>
      <c r="N385" t="s">
        <v>5</v>
      </c>
      <c r="O385" t="s">
        <v>5</v>
      </c>
      <c r="P385" t="s">
        <v>5</v>
      </c>
      <c r="Q385" t="s">
        <v>5</v>
      </c>
      <c r="R385" t="s">
        <v>4377</v>
      </c>
      <c r="S385" t="s">
        <v>1832</v>
      </c>
      <c r="T385" t="s">
        <v>5</v>
      </c>
      <c r="U385" t="s">
        <v>50</v>
      </c>
      <c r="V385">
        <v>100000</v>
      </c>
      <c r="W385">
        <v>100000</v>
      </c>
      <c r="X385" t="s">
        <v>6</v>
      </c>
      <c r="Y385"/>
      <c r="Z385">
        <v>10000</v>
      </c>
      <c r="AA385">
        <v>233.17109680175781</v>
      </c>
      <c r="AB385">
        <v>15.293009757995611</v>
      </c>
      <c r="AC385">
        <v>2.8568038940429692</v>
      </c>
      <c r="AD385">
        <v>557</v>
      </c>
      <c r="AE385">
        <v>212</v>
      </c>
      <c r="AF385">
        <v>237</v>
      </c>
      <c r="AG385">
        <v>166</v>
      </c>
      <c r="AH385">
        <v>360</v>
      </c>
      <c r="AI385">
        <v>360</v>
      </c>
      <c r="AJ385">
        <v>3</v>
      </c>
      <c r="AK385">
        <v>2</v>
      </c>
      <c r="AL385">
        <v>91</v>
      </c>
      <c r="AM385"/>
      <c r="AN385">
        <v>21752.580078125</v>
      </c>
      <c r="AO385"/>
      <c r="AP385"/>
      <c r="AQ385"/>
      <c r="AR385"/>
      <c r="AS385"/>
      <c r="AT385"/>
      <c r="AU385"/>
      <c r="AV385"/>
      <c r="AW385"/>
      <c r="AX385"/>
      <c r="AY385"/>
      <c r="AZ385"/>
      <c r="BA385"/>
      <c r="BB385"/>
      <c r="BC385"/>
      <c r="BD385"/>
      <c r="BE385"/>
      <c r="BF385" t="s">
        <v>5</v>
      </c>
      <c r="BG385" t="s">
        <v>5</v>
      </c>
      <c r="BH385" t="s">
        <v>1777</v>
      </c>
      <c r="BI385"/>
      <c r="BJ385" t="s">
        <v>5</v>
      </c>
      <c r="BK385"/>
      <c r="BL385">
        <v>0</v>
      </c>
      <c r="BM385"/>
      <c r="BN385" t="s">
        <v>5</v>
      </c>
      <c r="BO385"/>
      <c r="BP385"/>
      <c r="BQ385"/>
      <c r="BR385"/>
      <c r="BS385" t="s">
        <v>5</v>
      </c>
      <c r="BT385"/>
      <c r="BU385"/>
      <c r="BV385"/>
      <c r="BW385" t="s">
        <v>1778</v>
      </c>
      <c r="BX385" t="s">
        <v>6</v>
      </c>
      <c r="BY385" t="s">
        <v>1101</v>
      </c>
      <c r="BZ385"/>
      <c r="CA385"/>
      <c r="CB385" t="s">
        <v>5</v>
      </c>
      <c r="CC385">
        <v>253140.96821432159</v>
      </c>
      <c r="CD385">
        <v>2300923061.7618971</v>
      </c>
      <c r="CE385" s="313" t="s">
        <v>11891</v>
      </c>
    </row>
    <row r="386" spans="1:83" ht="15" x14ac:dyDescent="0.25">
      <c r="A386" t="s">
        <v>1846</v>
      </c>
      <c r="B386" t="s">
        <v>1847</v>
      </c>
      <c r="C386" t="s">
        <v>1848</v>
      </c>
      <c r="D386">
        <v>3</v>
      </c>
      <c r="E386" t="s">
        <v>1771</v>
      </c>
      <c r="F386" t="s">
        <v>1843</v>
      </c>
      <c r="G386" t="s">
        <v>1844</v>
      </c>
      <c r="H386" t="s">
        <v>4380</v>
      </c>
      <c r="I386" t="s">
        <v>1810</v>
      </c>
      <c r="J386" t="s">
        <v>1838</v>
      </c>
      <c r="K386" t="s">
        <v>1849</v>
      </c>
      <c r="L386">
        <v>804.40362548828125</v>
      </c>
      <c r="M386" t="s">
        <v>6</v>
      </c>
      <c r="N386" t="s">
        <v>5</v>
      </c>
      <c r="O386" t="s">
        <v>5</v>
      </c>
      <c r="P386" t="s">
        <v>5</v>
      </c>
      <c r="Q386" t="s">
        <v>5</v>
      </c>
      <c r="R386" t="s">
        <v>4381</v>
      </c>
      <c r="S386" t="s">
        <v>1845</v>
      </c>
      <c r="T386" t="s">
        <v>5</v>
      </c>
      <c r="U386" t="s">
        <v>50</v>
      </c>
      <c r="V386">
        <v>100000</v>
      </c>
      <c r="W386">
        <v>100000</v>
      </c>
      <c r="X386" t="s">
        <v>6</v>
      </c>
      <c r="Y386"/>
      <c r="Z386">
        <v>10000</v>
      </c>
      <c r="AA386">
        <v>254.63920593261719</v>
      </c>
      <c r="AB386">
        <v>17.061000823974609</v>
      </c>
      <c r="AC386">
        <v>2.9461290836334229</v>
      </c>
      <c r="AD386">
        <v>2086</v>
      </c>
      <c r="AE386">
        <v>1203</v>
      </c>
      <c r="AF386">
        <v>1672</v>
      </c>
      <c r="AG386">
        <v>1447</v>
      </c>
      <c r="AH386">
        <v>3820</v>
      </c>
      <c r="AI386">
        <v>3820</v>
      </c>
      <c r="AJ386">
        <v>13</v>
      </c>
      <c r="AK386">
        <v>16</v>
      </c>
      <c r="AL386">
        <v>148</v>
      </c>
      <c r="AM386"/>
      <c r="AN386">
        <v>88117.9765625</v>
      </c>
      <c r="AO386"/>
      <c r="AP386"/>
      <c r="AQ386"/>
      <c r="AR386"/>
      <c r="AS386"/>
      <c r="AT386"/>
      <c r="AU386"/>
      <c r="AV386"/>
      <c r="AW386"/>
      <c r="AX386"/>
      <c r="AY386"/>
      <c r="AZ386"/>
      <c r="BA386"/>
      <c r="BB386"/>
      <c r="BC386"/>
      <c r="BD386"/>
      <c r="BE386"/>
      <c r="BF386" t="s">
        <v>5</v>
      </c>
      <c r="BG386" t="s">
        <v>5</v>
      </c>
      <c r="BH386" t="s">
        <v>1777</v>
      </c>
      <c r="BI386"/>
      <c r="BJ386" t="s">
        <v>5</v>
      </c>
      <c r="BK386"/>
      <c r="BL386">
        <v>100</v>
      </c>
      <c r="BM386"/>
      <c r="BN386" t="s">
        <v>5</v>
      </c>
      <c r="BO386"/>
      <c r="BP386"/>
      <c r="BQ386"/>
      <c r="BR386"/>
      <c r="BS386" t="s">
        <v>5</v>
      </c>
      <c r="BT386"/>
      <c r="BU386"/>
      <c r="BV386"/>
      <c r="BW386" t="s">
        <v>1778</v>
      </c>
      <c r="BX386" t="s">
        <v>6</v>
      </c>
      <c r="BY386" t="s">
        <v>1101</v>
      </c>
      <c r="BZ386"/>
      <c r="CA386"/>
      <c r="CB386" t="s">
        <v>6</v>
      </c>
      <c r="CC386">
        <v>204265.57638828541</v>
      </c>
      <c r="CD386">
        <v>2083947123.2520609</v>
      </c>
      <c r="CE386" s="313" t="s">
        <v>11891</v>
      </c>
    </row>
    <row r="387" spans="1:83" ht="15" x14ac:dyDescent="0.25">
      <c r="A387" t="s">
        <v>1915</v>
      </c>
      <c r="B387" t="s">
        <v>1916</v>
      </c>
      <c r="C387" t="s">
        <v>1917</v>
      </c>
      <c r="D387">
        <v>3</v>
      </c>
      <c r="E387" t="s">
        <v>1771</v>
      </c>
      <c r="F387" t="s">
        <v>1918</v>
      </c>
      <c r="G387" t="s">
        <v>1919</v>
      </c>
      <c r="H387" t="s">
        <v>4398</v>
      </c>
      <c r="I387" t="s">
        <v>12750</v>
      </c>
      <c r="J387" t="s">
        <v>1920</v>
      </c>
      <c r="K387" t="s">
        <v>1787</v>
      </c>
      <c r="L387">
        <v>981.881591796875</v>
      </c>
      <c r="M387" t="s">
        <v>6</v>
      </c>
      <c r="N387" t="s">
        <v>5</v>
      </c>
      <c r="O387" t="s">
        <v>5</v>
      </c>
      <c r="P387" t="s">
        <v>5</v>
      </c>
      <c r="Q387" t="s">
        <v>5</v>
      </c>
      <c r="R387" t="s">
        <v>4399</v>
      </c>
      <c r="S387" t="s">
        <v>1921</v>
      </c>
      <c r="T387" t="s">
        <v>5</v>
      </c>
      <c r="U387" t="s">
        <v>50</v>
      </c>
      <c r="V387">
        <v>100000</v>
      </c>
      <c r="W387">
        <v>100000</v>
      </c>
      <c r="X387" t="s">
        <v>6</v>
      </c>
      <c r="Y387"/>
      <c r="Z387">
        <v>10000</v>
      </c>
      <c r="AA387">
        <v>59.015880584716797</v>
      </c>
      <c r="AB387">
        <v>8.3706398010253906</v>
      </c>
      <c r="AC387">
        <v>3.4761021137237549</v>
      </c>
      <c r="AD387">
        <v>127</v>
      </c>
      <c r="AE387">
        <v>57</v>
      </c>
      <c r="AF387">
        <v>83</v>
      </c>
      <c r="AG387">
        <v>47</v>
      </c>
      <c r="AH387">
        <v>93</v>
      </c>
      <c r="AI387">
        <v>93</v>
      </c>
      <c r="AJ387">
        <v>0</v>
      </c>
      <c r="AK387">
        <v>1</v>
      </c>
      <c r="AL387">
        <v>24</v>
      </c>
      <c r="AM387"/>
      <c r="AN387">
        <v>24901.609375</v>
      </c>
      <c r="AO387"/>
      <c r="AP387"/>
      <c r="AQ387"/>
      <c r="AR387"/>
      <c r="AS387"/>
      <c r="AT387"/>
      <c r="AU387"/>
      <c r="AV387"/>
      <c r="AW387"/>
      <c r="AX387"/>
      <c r="AY387"/>
      <c r="AZ387"/>
      <c r="BA387"/>
      <c r="BB387"/>
      <c r="BC387"/>
      <c r="BD387"/>
      <c r="BE387"/>
      <c r="BF387" t="s">
        <v>5</v>
      </c>
      <c r="BG387" t="s">
        <v>5</v>
      </c>
      <c r="BH387" t="s">
        <v>1777</v>
      </c>
      <c r="BI387"/>
      <c r="BJ387" t="s">
        <v>5</v>
      </c>
      <c r="BK387"/>
      <c r="BL387">
        <v>0</v>
      </c>
      <c r="BM387"/>
      <c r="BN387" t="s">
        <v>5</v>
      </c>
      <c r="BO387"/>
      <c r="BP387"/>
      <c r="BQ387"/>
      <c r="BR387"/>
      <c r="BS387" t="s">
        <v>5</v>
      </c>
      <c r="BT387"/>
      <c r="BU387"/>
      <c r="BV387"/>
      <c r="BW387" t="s">
        <v>1778</v>
      </c>
      <c r="BX387" t="s">
        <v>6</v>
      </c>
      <c r="BY387" t="s">
        <v>1101</v>
      </c>
      <c r="BZ387"/>
      <c r="CA387"/>
      <c r="CB387" t="s">
        <v>5</v>
      </c>
      <c r="CC387">
        <v>258937.7282759221</v>
      </c>
      <c r="CD387">
        <v>2543734710.6129541</v>
      </c>
      <c r="CE387" s="313" t="s">
        <v>11891</v>
      </c>
    </row>
    <row r="388" spans="1:83" ht="15" x14ac:dyDescent="0.25">
      <c r="A388" t="s">
        <v>1922</v>
      </c>
      <c r="B388" t="s">
        <v>1923</v>
      </c>
      <c r="C388" t="s">
        <v>1924</v>
      </c>
      <c r="D388">
        <v>3</v>
      </c>
      <c r="E388" t="s">
        <v>1771</v>
      </c>
      <c r="F388" t="s">
        <v>1858</v>
      </c>
      <c r="G388" t="s">
        <v>1925</v>
      </c>
      <c r="H388" t="s">
        <v>1926</v>
      </c>
      <c r="I388" t="s">
        <v>1927</v>
      </c>
      <c r="J388" t="s">
        <v>1928</v>
      </c>
      <c r="K388" t="s">
        <v>1929</v>
      </c>
      <c r="L388">
        <v>7.055412769317627</v>
      </c>
      <c r="M388" t="s">
        <v>6</v>
      </c>
      <c r="N388" t="s">
        <v>5</v>
      </c>
      <c r="O388" t="s">
        <v>5</v>
      </c>
      <c r="P388" t="s">
        <v>5</v>
      </c>
      <c r="Q388" t="s">
        <v>5</v>
      </c>
      <c r="R388" t="s">
        <v>4400</v>
      </c>
      <c r="S388" t="s">
        <v>1930</v>
      </c>
      <c r="T388" t="s">
        <v>5</v>
      </c>
      <c r="U388" t="s">
        <v>50</v>
      </c>
      <c r="V388">
        <v>100000</v>
      </c>
      <c r="W388">
        <v>100000</v>
      </c>
      <c r="X388" t="s">
        <v>6</v>
      </c>
      <c r="Y388"/>
      <c r="Z388">
        <v>10000</v>
      </c>
      <c r="AA388">
        <v>0.77050900459289551</v>
      </c>
      <c r="AB388">
        <v>1.101966015994549E-2</v>
      </c>
      <c r="AC388">
        <v>3.8445950485765929E-4</v>
      </c>
      <c r="AD388">
        <v>17</v>
      </c>
      <c r="AE388">
        <v>9</v>
      </c>
      <c r="AF388">
        <v>11</v>
      </c>
      <c r="AG388">
        <v>81</v>
      </c>
      <c r="AH388">
        <v>42</v>
      </c>
      <c r="AI388">
        <v>81</v>
      </c>
      <c r="AJ388">
        <v>0</v>
      </c>
      <c r="AK388">
        <v>3</v>
      </c>
      <c r="AL388">
        <v>2</v>
      </c>
      <c r="AM388"/>
      <c r="AN388">
        <v>235.64979553222659</v>
      </c>
      <c r="AO388"/>
      <c r="AP388"/>
      <c r="AQ388"/>
      <c r="AR388"/>
      <c r="AS388"/>
      <c r="AT388"/>
      <c r="AU388"/>
      <c r="AV388"/>
      <c r="AW388"/>
      <c r="AX388"/>
      <c r="AY388"/>
      <c r="AZ388"/>
      <c r="BA388"/>
      <c r="BB388"/>
      <c r="BC388"/>
      <c r="BD388"/>
      <c r="BE388"/>
      <c r="BF388" t="s">
        <v>5</v>
      </c>
      <c r="BG388" t="s">
        <v>5</v>
      </c>
      <c r="BH388" t="s">
        <v>1777</v>
      </c>
      <c r="BI388"/>
      <c r="BJ388" t="s">
        <v>5</v>
      </c>
      <c r="BK388"/>
      <c r="BL388">
        <v>0</v>
      </c>
      <c r="BM388"/>
      <c r="BN388" t="s">
        <v>5</v>
      </c>
      <c r="BO388"/>
      <c r="BP388"/>
      <c r="BQ388"/>
      <c r="BR388"/>
      <c r="BS388" t="s">
        <v>5</v>
      </c>
      <c r="BT388"/>
      <c r="BU388"/>
      <c r="BV388"/>
      <c r="BW388" t="s">
        <v>1778</v>
      </c>
      <c r="BX388" t="s">
        <v>6</v>
      </c>
      <c r="BY388" t="s">
        <v>1101</v>
      </c>
      <c r="BZ388"/>
      <c r="CA388"/>
      <c r="CB388" t="s">
        <v>5</v>
      </c>
      <c r="CC388">
        <v>27326.076305681079</v>
      </c>
      <c r="CD388">
        <v>18278272.173692029</v>
      </c>
      <c r="CE388" s="313" t="s">
        <v>11891</v>
      </c>
    </row>
    <row r="389" spans="1:83" ht="15" x14ac:dyDescent="0.25">
      <c r="A389" t="s">
        <v>2018</v>
      </c>
      <c r="B389" t="s">
        <v>2019</v>
      </c>
      <c r="C389" t="s">
        <v>2020</v>
      </c>
      <c r="D389">
        <v>3</v>
      </c>
      <c r="E389" t="s">
        <v>1771</v>
      </c>
      <c r="F389" t="s">
        <v>1816</v>
      </c>
      <c r="G389" t="s">
        <v>1878</v>
      </c>
      <c r="H389" t="s">
        <v>4389</v>
      </c>
      <c r="I389" t="s">
        <v>12746</v>
      </c>
      <c r="J389" t="s">
        <v>1879</v>
      </c>
      <c r="K389" t="s">
        <v>1849</v>
      </c>
      <c r="L389">
        <v>28.568790435791019</v>
      </c>
      <c r="M389" t="s">
        <v>6</v>
      </c>
      <c r="N389" t="s">
        <v>5</v>
      </c>
      <c r="O389" t="s">
        <v>5</v>
      </c>
      <c r="P389" t="s">
        <v>5</v>
      </c>
      <c r="Q389" t="s">
        <v>5</v>
      </c>
      <c r="R389" t="s">
        <v>4390</v>
      </c>
      <c r="S389" t="s">
        <v>1881</v>
      </c>
      <c r="T389" t="s">
        <v>5</v>
      </c>
      <c r="U389" t="s">
        <v>50</v>
      </c>
      <c r="V389">
        <v>100000</v>
      </c>
      <c r="W389">
        <v>100000</v>
      </c>
      <c r="X389" t="s">
        <v>6</v>
      </c>
      <c r="Y389"/>
      <c r="Z389">
        <v>10000</v>
      </c>
      <c r="AA389">
        <v>1.509413003921509</v>
      </c>
      <c r="AB389">
        <v>0.35634028911590582</v>
      </c>
      <c r="AC389">
        <v>5.0465330481529243E-2</v>
      </c>
      <c r="AD389">
        <v>139</v>
      </c>
      <c r="AE389">
        <v>230</v>
      </c>
      <c r="AF389">
        <v>125</v>
      </c>
      <c r="AG389">
        <v>296</v>
      </c>
      <c r="AH389">
        <v>419</v>
      </c>
      <c r="AI389">
        <v>419</v>
      </c>
      <c r="AJ389">
        <v>1</v>
      </c>
      <c r="AK389">
        <v>25</v>
      </c>
      <c r="AL389">
        <v>7</v>
      </c>
      <c r="AM389"/>
      <c r="AN389">
        <v>81.450248718261719</v>
      </c>
      <c r="AO389"/>
      <c r="AP389"/>
      <c r="AQ389"/>
      <c r="AR389"/>
      <c r="AS389"/>
      <c r="AT389"/>
      <c r="AU389"/>
      <c r="AV389"/>
      <c r="AW389"/>
      <c r="AX389"/>
      <c r="AY389"/>
      <c r="AZ389"/>
      <c r="BA389"/>
      <c r="BB389"/>
      <c r="BC389"/>
      <c r="BD389"/>
      <c r="BE389"/>
      <c r="BF389" t="s">
        <v>5</v>
      </c>
      <c r="BG389" t="s">
        <v>5</v>
      </c>
      <c r="BH389" t="s">
        <v>1777</v>
      </c>
      <c r="BI389"/>
      <c r="BJ389" t="s">
        <v>5</v>
      </c>
      <c r="BK389"/>
      <c r="BL389">
        <v>100</v>
      </c>
      <c r="BM389"/>
      <c r="BN389" t="s">
        <v>5</v>
      </c>
      <c r="BO389"/>
      <c r="BP389"/>
      <c r="BQ389"/>
      <c r="BR389"/>
      <c r="BS389" t="s">
        <v>5</v>
      </c>
      <c r="BT389"/>
      <c r="BU389"/>
      <c r="BV389"/>
      <c r="BW389" t="s">
        <v>1778</v>
      </c>
      <c r="BX389" t="s">
        <v>6</v>
      </c>
      <c r="BY389" t="s">
        <v>1101</v>
      </c>
      <c r="BZ389"/>
      <c r="CA389"/>
      <c r="CB389" t="s">
        <v>6</v>
      </c>
      <c r="CC389">
        <v>55573.933396303793</v>
      </c>
      <c r="CD389">
        <v>74012417.213018656</v>
      </c>
      <c r="CE389" s="313" t="s">
        <v>11891</v>
      </c>
    </row>
    <row r="390" spans="1:83" ht="15" x14ac:dyDescent="0.25">
      <c r="A390" t="s">
        <v>2104</v>
      </c>
      <c r="B390" t="s">
        <v>2105</v>
      </c>
      <c r="C390" t="s">
        <v>2106</v>
      </c>
      <c r="D390">
        <v>3</v>
      </c>
      <c r="E390" t="s">
        <v>1771</v>
      </c>
      <c r="F390" t="s">
        <v>2107</v>
      </c>
      <c r="G390" t="s">
        <v>1808</v>
      </c>
      <c r="H390" t="s">
        <v>4444</v>
      </c>
      <c r="I390" t="s">
        <v>12761</v>
      </c>
      <c r="J390" t="s">
        <v>2108</v>
      </c>
      <c r="K390" t="s">
        <v>1826</v>
      </c>
      <c r="L390">
        <v>56.443290710449219</v>
      </c>
      <c r="M390" t="s">
        <v>6</v>
      </c>
      <c r="N390" t="s">
        <v>5</v>
      </c>
      <c r="O390" t="s">
        <v>5</v>
      </c>
      <c r="P390" t="s">
        <v>5</v>
      </c>
      <c r="Q390" t="s">
        <v>5</v>
      </c>
      <c r="R390" t="s">
        <v>4445</v>
      </c>
      <c r="S390" t="s">
        <v>2109</v>
      </c>
      <c r="T390" t="s">
        <v>5</v>
      </c>
      <c r="U390" t="s">
        <v>50</v>
      </c>
      <c r="V390">
        <v>100000</v>
      </c>
      <c r="W390">
        <v>100000</v>
      </c>
      <c r="X390" t="s">
        <v>5</v>
      </c>
      <c r="Y390"/>
      <c r="Z390"/>
      <c r="AA390">
        <v>19.526840209960941</v>
      </c>
      <c r="AB390">
        <v>2.302294015884399</v>
      </c>
      <c r="AC390">
        <v>2.4505689144134521</v>
      </c>
      <c r="AD390">
        <v>381</v>
      </c>
      <c r="AE390">
        <v>771</v>
      </c>
      <c r="AF390">
        <v>289</v>
      </c>
      <c r="AG390">
        <v>303</v>
      </c>
      <c r="AH390">
        <v>939</v>
      </c>
      <c r="AI390">
        <v>939</v>
      </c>
      <c r="AJ390">
        <v>22</v>
      </c>
      <c r="AK390">
        <v>2</v>
      </c>
      <c r="AL390">
        <v>31</v>
      </c>
      <c r="AM390"/>
      <c r="AN390">
        <v>1613.81396484375</v>
      </c>
      <c r="AO390"/>
      <c r="AP390"/>
      <c r="AQ390"/>
      <c r="AR390"/>
      <c r="AS390"/>
      <c r="AT390"/>
      <c r="AU390"/>
      <c r="AV390"/>
      <c r="AW390"/>
      <c r="AX390"/>
      <c r="AY390"/>
      <c r="AZ390"/>
      <c r="BA390"/>
      <c r="BB390"/>
      <c r="BC390"/>
      <c r="BD390"/>
      <c r="BE390"/>
      <c r="BF390" t="s">
        <v>5</v>
      </c>
      <c r="BG390" t="s">
        <v>5</v>
      </c>
      <c r="BH390" t="s">
        <v>1777</v>
      </c>
      <c r="BI390"/>
      <c r="BJ390" t="s">
        <v>5</v>
      </c>
      <c r="BK390"/>
      <c r="BL390">
        <v>0</v>
      </c>
      <c r="BM390"/>
      <c r="BN390" t="s">
        <v>5</v>
      </c>
      <c r="BO390"/>
      <c r="BP390"/>
      <c r="BQ390"/>
      <c r="BR390"/>
      <c r="BS390" t="s">
        <v>5</v>
      </c>
      <c r="BT390"/>
      <c r="BU390"/>
      <c r="BV390"/>
      <c r="BW390" t="s">
        <v>1778</v>
      </c>
      <c r="BX390" t="s">
        <v>6</v>
      </c>
      <c r="BY390" t="s">
        <v>1101</v>
      </c>
      <c r="BZ390"/>
      <c r="CA390"/>
      <c r="CB390" t="s">
        <v>5</v>
      </c>
      <c r="CC390">
        <v>278475.13887719932</v>
      </c>
      <c r="CD390">
        <v>146226129.2588281</v>
      </c>
      <c r="CE390" s="313" t="s">
        <v>11891</v>
      </c>
    </row>
    <row r="391" spans="1:83" ht="15" x14ac:dyDescent="0.25">
      <c r="A391" t="s">
        <v>2110</v>
      </c>
      <c r="B391" t="s">
        <v>2111</v>
      </c>
      <c r="C391" t="s">
        <v>2112</v>
      </c>
      <c r="D391">
        <v>3</v>
      </c>
      <c r="E391" t="s">
        <v>1771</v>
      </c>
      <c r="F391" t="s">
        <v>2113</v>
      </c>
      <c r="G391" t="s">
        <v>1893</v>
      </c>
      <c r="H391" t="s">
        <v>2114</v>
      </c>
      <c r="I391" t="s">
        <v>2115</v>
      </c>
      <c r="J391" t="s">
        <v>2116</v>
      </c>
      <c r="K391" t="s">
        <v>1929</v>
      </c>
      <c r="L391">
        <v>1.124925017356873</v>
      </c>
      <c r="M391" t="s">
        <v>6</v>
      </c>
      <c r="N391" t="s">
        <v>5</v>
      </c>
      <c r="O391" t="s">
        <v>5</v>
      </c>
      <c r="P391" t="s">
        <v>5</v>
      </c>
      <c r="Q391" t="s">
        <v>5</v>
      </c>
      <c r="R391" t="s">
        <v>4446</v>
      </c>
      <c r="S391" t="s">
        <v>2117</v>
      </c>
      <c r="T391" t="s">
        <v>5</v>
      </c>
      <c r="U391" t="s">
        <v>50</v>
      </c>
      <c r="V391">
        <v>100000</v>
      </c>
      <c r="W391">
        <v>100000</v>
      </c>
      <c r="X391" t="s">
        <v>6</v>
      </c>
      <c r="Y391"/>
      <c r="Z391">
        <v>10000</v>
      </c>
      <c r="AA391">
        <v>8.6568340659141541E-2</v>
      </c>
      <c r="AB391">
        <v>4.6663777902722359E-3</v>
      </c>
      <c r="AC391">
        <v>0</v>
      </c>
      <c r="AD391">
        <v>8</v>
      </c>
      <c r="AE391">
        <v>0</v>
      </c>
      <c r="AF391">
        <v>5</v>
      </c>
      <c r="AG391">
        <v>1</v>
      </c>
      <c r="AH391">
        <v>4</v>
      </c>
      <c r="AI391">
        <v>4</v>
      </c>
      <c r="AJ391">
        <v>0</v>
      </c>
      <c r="AK391">
        <v>0</v>
      </c>
      <c r="AL391">
        <v>1</v>
      </c>
      <c r="AM391"/>
      <c r="AN391">
        <v>4.056757926940918</v>
      </c>
      <c r="AO391"/>
      <c r="AP391"/>
      <c r="AQ391"/>
      <c r="AR391"/>
      <c r="AS391"/>
      <c r="AT391"/>
      <c r="AU391"/>
      <c r="AV391"/>
      <c r="AW391"/>
      <c r="AX391"/>
      <c r="AY391"/>
      <c r="AZ391"/>
      <c r="BA391"/>
      <c r="BB391"/>
      <c r="BC391"/>
      <c r="BD391"/>
      <c r="BE391"/>
      <c r="BF391" t="s">
        <v>5</v>
      </c>
      <c r="BG391" t="s">
        <v>5</v>
      </c>
      <c r="BH391" t="s">
        <v>1777</v>
      </c>
      <c r="BI391"/>
      <c r="BJ391" t="s">
        <v>5</v>
      </c>
      <c r="BK391"/>
      <c r="BL391">
        <v>0</v>
      </c>
      <c r="BM391"/>
      <c r="BN391" t="s">
        <v>5</v>
      </c>
      <c r="BO391"/>
      <c r="BP391"/>
      <c r="BQ391"/>
      <c r="BR391"/>
      <c r="BS391" t="s">
        <v>5</v>
      </c>
      <c r="BT391"/>
      <c r="BU391"/>
      <c r="BV391"/>
      <c r="BW391" t="s">
        <v>1778</v>
      </c>
      <c r="BX391" t="s">
        <v>6</v>
      </c>
      <c r="BY391" t="s">
        <v>1101</v>
      </c>
      <c r="BZ391"/>
      <c r="CA391"/>
      <c r="CB391" t="s">
        <v>5</v>
      </c>
      <c r="CC391">
        <v>11216.629101246061</v>
      </c>
      <c r="CD391">
        <v>2914312.2897607991</v>
      </c>
      <c r="CE391" s="313" t="s">
        <v>11891</v>
      </c>
    </row>
    <row r="392" spans="1:83" ht="15" x14ac:dyDescent="0.25">
      <c r="A392" t="s">
        <v>2118</v>
      </c>
      <c r="B392" t="s">
        <v>2119</v>
      </c>
      <c r="C392" t="s">
        <v>2120</v>
      </c>
      <c r="D392">
        <v>3</v>
      </c>
      <c r="E392" t="s">
        <v>1771</v>
      </c>
      <c r="F392" t="s">
        <v>2077</v>
      </c>
      <c r="G392" t="s">
        <v>2078</v>
      </c>
      <c r="H392" t="s">
        <v>4436</v>
      </c>
      <c r="I392" t="s">
        <v>2115</v>
      </c>
      <c r="J392" t="s">
        <v>2079</v>
      </c>
      <c r="K392" t="s">
        <v>1929</v>
      </c>
      <c r="L392">
        <v>1075.85205078125</v>
      </c>
      <c r="M392" t="s">
        <v>6</v>
      </c>
      <c r="N392" t="s">
        <v>5</v>
      </c>
      <c r="O392" t="s">
        <v>5</v>
      </c>
      <c r="P392" t="s">
        <v>5</v>
      </c>
      <c r="Q392" t="s">
        <v>5</v>
      </c>
      <c r="R392" t="s">
        <v>4437</v>
      </c>
      <c r="S392" t="s">
        <v>2080</v>
      </c>
      <c r="T392" t="s">
        <v>5</v>
      </c>
      <c r="U392" t="s">
        <v>50</v>
      </c>
      <c r="V392">
        <v>100000</v>
      </c>
      <c r="W392">
        <v>100000</v>
      </c>
      <c r="X392" t="s">
        <v>6</v>
      </c>
      <c r="Y392"/>
      <c r="Z392">
        <v>10000</v>
      </c>
      <c r="AA392">
        <v>239.10459899902341</v>
      </c>
      <c r="AB392">
        <v>18.933229446411129</v>
      </c>
      <c r="AC392">
        <v>2.8697899542748928E-3</v>
      </c>
      <c r="AD392">
        <v>0</v>
      </c>
      <c r="AE392">
        <v>0</v>
      </c>
      <c r="AF392">
        <v>0</v>
      </c>
      <c r="AG392">
        <v>0</v>
      </c>
      <c r="AH392">
        <v>0</v>
      </c>
      <c r="AI392">
        <v>0</v>
      </c>
      <c r="AJ392">
        <v>6</v>
      </c>
      <c r="AK392">
        <v>5</v>
      </c>
      <c r="AL392">
        <v>100</v>
      </c>
      <c r="AM392"/>
      <c r="AN392">
        <v>0</v>
      </c>
      <c r="AO392"/>
      <c r="AP392"/>
      <c r="AQ392"/>
      <c r="AR392"/>
      <c r="AS392"/>
      <c r="AT392"/>
      <c r="AU392"/>
      <c r="AV392"/>
      <c r="AW392"/>
      <c r="AX392"/>
      <c r="AY392"/>
      <c r="AZ392"/>
      <c r="BA392"/>
      <c r="BB392"/>
      <c r="BC392"/>
      <c r="BD392"/>
      <c r="BE392"/>
      <c r="BF392" t="s">
        <v>5</v>
      </c>
      <c r="BG392" t="s">
        <v>5</v>
      </c>
      <c r="BH392" t="s">
        <v>1777</v>
      </c>
      <c r="BI392"/>
      <c r="BJ392" t="s">
        <v>5</v>
      </c>
      <c r="BK392"/>
      <c r="BL392">
        <v>0</v>
      </c>
      <c r="BM392"/>
      <c r="BN392" t="s">
        <v>5</v>
      </c>
      <c r="BO392"/>
      <c r="BP392"/>
      <c r="BQ392"/>
      <c r="BR392"/>
      <c r="BS392" t="s">
        <v>5</v>
      </c>
      <c r="BT392"/>
      <c r="BU392"/>
      <c r="BV392"/>
      <c r="BW392" t="s">
        <v>1778</v>
      </c>
      <c r="BX392" t="s">
        <v>6</v>
      </c>
      <c r="BY392" t="s">
        <v>1101</v>
      </c>
      <c r="BZ392"/>
      <c r="CA392"/>
      <c r="CB392" t="s">
        <v>5</v>
      </c>
      <c r="CC392">
        <v>295886.66588784778</v>
      </c>
      <c r="CD392">
        <v>2787181329.1076279</v>
      </c>
      <c r="CE392" s="313" t="s">
        <v>11891</v>
      </c>
    </row>
    <row r="393" spans="1:83" ht="15" x14ac:dyDescent="0.25">
      <c r="A393" t="s">
        <v>2121</v>
      </c>
      <c r="B393" t="s">
        <v>2122</v>
      </c>
      <c r="C393" t="s">
        <v>2123</v>
      </c>
      <c r="D393">
        <v>3</v>
      </c>
      <c r="E393" t="s">
        <v>1771</v>
      </c>
      <c r="F393" t="s">
        <v>2036</v>
      </c>
      <c r="G393" t="s">
        <v>2124</v>
      </c>
      <c r="H393" t="s">
        <v>4447</v>
      </c>
      <c r="I393" t="s">
        <v>12762</v>
      </c>
      <c r="J393" t="s">
        <v>2125</v>
      </c>
      <c r="K393" t="s">
        <v>2126</v>
      </c>
      <c r="L393">
        <v>9.5374917984008789</v>
      </c>
      <c r="M393" t="s">
        <v>6</v>
      </c>
      <c r="N393" t="s">
        <v>5</v>
      </c>
      <c r="O393" t="s">
        <v>5</v>
      </c>
      <c r="P393" t="s">
        <v>5</v>
      </c>
      <c r="Q393" t="s">
        <v>5</v>
      </c>
      <c r="R393" t="s">
        <v>4448</v>
      </c>
      <c r="S393" t="s">
        <v>2127</v>
      </c>
      <c r="T393" t="s">
        <v>5</v>
      </c>
      <c r="U393" t="s">
        <v>50</v>
      </c>
      <c r="V393">
        <v>100000</v>
      </c>
      <c r="W393">
        <v>100000</v>
      </c>
      <c r="X393" t="s">
        <v>6</v>
      </c>
      <c r="Y393"/>
      <c r="Z393">
        <v>10000</v>
      </c>
      <c r="AA393">
        <v>1.8849140405654909</v>
      </c>
      <c r="AB393">
        <v>0.27433121204376221</v>
      </c>
      <c r="AC393">
        <v>7.05326022580266E-3</v>
      </c>
      <c r="AD393">
        <v>270</v>
      </c>
      <c r="AE393">
        <v>80</v>
      </c>
      <c r="AF393">
        <v>257</v>
      </c>
      <c r="AG393">
        <v>705</v>
      </c>
      <c r="AH393">
        <v>433</v>
      </c>
      <c r="AI393">
        <v>705</v>
      </c>
      <c r="AJ393">
        <v>4</v>
      </c>
      <c r="AK393">
        <v>0</v>
      </c>
      <c r="AL393">
        <v>7</v>
      </c>
      <c r="AM393"/>
      <c r="AN393">
        <v>74.03253173828125</v>
      </c>
      <c r="AO393"/>
      <c r="AP393"/>
      <c r="AQ393"/>
      <c r="AR393"/>
      <c r="AS393"/>
      <c r="AT393"/>
      <c r="AU393"/>
      <c r="AV393"/>
      <c r="AW393"/>
      <c r="AX393"/>
      <c r="AY393"/>
      <c r="AZ393"/>
      <c r="BA393"/>
      <c r="BB393"/>
      <c r="BC393"/>
      <c r="BD393"/>
      <c r="BE393"/>
      <c r="BF393" t="s">
        <v>5</v>
      </c>
      <c r="BG393" t="s">
        <v>5</v>
      </c>
      <c r="BH393" t="s">
        <v>1777</v>
      </c>
      <c r="BI393"/>
      <c r="BJ393" t="s">
        <v>5</v>
      </c>
      <c r="BK393"/>
      <c r="BL393">
        <v>0</v>
      </c>
      <c r="BM393"/>
      <c r="BN393" t="s">
        <v>5</v>
      </c>
      <c r="BO393"/>
      <c r="BP393"/>
      <c r="BQ393"/>
      <c r="BR393"/>
      <c r="BS393" t="s">
        <v>5</v>
      </c>
      <c r="BT393"/>
      <c r="BU393"/>
      <c r="BV393"/>
      <c r="BW393" t="s">
        <v>1778</v>
      </c>
      <c r="BX393" t="s">
        <v>6</v>
      </c>
      <c r="BY393" t="s">
        <v>1101</v>
      </c>
      <c r="BZ393"/>
      <c r="CA393"/>
      <c r="CB393" t="s">
        <v>5</v>
      </c>
      <c r="CC393">
        <v>43261.592219378203</v>
      </c>
      <c r="CD393">
        <v>24708528.63442691</v>
      </c>
      <c r="CE393" s="313" t="s">
        <v>11891</v>
      </c>
    </row>
    <row r="394" spans="1:83" ht="15" x14ac:dyDescent="0.25">
      <c r="A394" t="s">
        <v>2128</v>
      </c>
      <c r="B394" t="s">
        <v>2129</v>
      </c>
      <c r="C394" t="s">
        <v>2130</v>
      </c>
      <c r="D394">
        <v>3</v>
      </c>
      <c r="E394" t="s">
        <v>1771</v>
      </c>
      <c r="F394" t="s">
        <v>2131</v>
      </c>
      <c r="G394" t="s">
        <v>2132</v>
      </c>
      <c r="H394" t="s">
        <v>4449</v>
      </c>
      <c r="I394" t="s">
        <v>12762</v>
      </c>
      <c r="J394" t="s">
        <v>12763</v>
      </c>
      <c r="K394" t="s">
        <v>2133</v>
      </c>
      <c r="L394">
        <v>933.2020263671875</v>
      </c>
      <c r="M394" t="s">
        <v>6</v>
      </c>
      <c r="N394" t="s">
        <v>5</v>
      </c>
      <c r="O394" t="s">
        <v>5</v>
      </c>
      <c r="P394" t="s">
        <v>5</v>
      </c>
      <c r="Q394" t="s">
        <v>5</v>
      </c>
      <c r="R394" t="s">
        <v>4450</v>
      </c>
      <c r="S394" t="s">
        <v>2134</v>
      </c>
      <c r="T394" t="s">
        <v>5</v>
      </c>
      <c r="U394" t="s">
        <v>50</v>
      </c>
      <c r="V394">
        <v>100000</v>
      </c>
      <c r="W394">
        <v>100000</v>
      </c>
      <c r="X394" t="s">
        <v>6</v>
      </c>
      <c r="Y394"/>
      <c r="Z394">
        <v>10000</v>
      </c>
      <c r="AA394">
        <v>68.970542907714844</v>
      </c>
      <c r="AB394">
        <v>7.8149361610412598</v>
      </c>
      <c r="AC394">
        <v>4.4384528882801527E-4</v>
      </c>
      <c r="AD394">
        <v>0</v>
      </c>
      <c r="AE394">
        <v>0</v>
      </c>
      <c r="AF394">
        <v>0</v>
      </c>
      <c r="AG394">
        <v>0</v>
      </c>
      <c r="AH394">
        <v>0</v>
      </c>
      <c r="AI394">
        <v>0</v>
      </c>
      <c r="AJ394">
        <v>0</v>
      </c>
      <c r="AK394">
        <v>3</v>
      </c>
      <c r="AL394">
        <v>57</v>
      </c>
      <c r="AM394"/>
      <c r="AN394">
        <v>0</v>
      </c>
      <c r="AO394"/>
      <c r="AP394"/>
      <c r="AQ394"/>
      <c r="AR394"/>
      <c r="AS394"/>
      <c r="AT394"/>
      <c r="AU394"/>
      <c r="AV394"/>
      <c r="AW394"/>
      <c r="AX394"/>
      <c r="AY394"/>
      <c r="AZ394"/>
      <c r="BA394"/>
      <c r="BB394"/>
      <c r="BC394"/>
      <c r="BD394"/>
      <c r="BE394"/>
      <c r="BF394" t="s">
        <v>5</v>
      </c>
      <c r="BG394" t="s">
        <v>5</v>
      </c>
      <c r="BH394" t="s">
        <v>1777</v>
      </c>
      <c r="BI394"/>
      <c r="BJ394" t="s">
        <v>5</v>
      </c>
      <c r="BK394"/>
      <c r="BL394">
        <v>0</v>
      </c>
      <c r="BM394"/>
      <c r="BN394" t="s">
        <v>5</v>
      </c>
      <c r="BO394"/>
      <c r="BP394"/>
      <c r="BQ394"/>
      <c r="BR394"/>
      <c r="BS394" t="s">
        <v>5</v>
      </c>
      <c r="BT394"/>
      <c r="BU394"/>
      <c r="BV394"/>
      <c r="BW394" t="s">
        <v>1778</v>
      </c>
      <c r="BX394" t="s">
        <v>6</v>
      </c>
      <c r="BY394" t="s">
        <v>1101</v>
      </c>
      <c r="BZ394"/>
      <c r="CA394"/>
      <c r="CB394" t="s">
        <v>5</v>
      </c>
      <c r="CC394">
        <v>214521.70282344829</v>
      </c>
      <c r="CD394">
        <v>2417621705.792469</v>
      </c>
      <c r="CE394" s="313" t="s">
        <v>11891</v>
      </c>
    </row>
    <row r="395" spans="1:83" ht="15" x14ac:dyDescent="0.25">
      <c r="A395" t="s">
        <v>2135</v>
      </c>
      <c r="B395" t="s">
        <v>2136</v>
      </c>
      <c r="C395" t="s">
        <v>2137</v>
      </c>
      <c r="D395">
        <v>3</v>
      </c>
      <c r="E395" t="s">
        <v>1771</v>
      </c>
      <c r="F395" t="s">
        <v>2138</v>
      </c>
      <c r="G395" t="s">
        <v>2139</v>
      </c>
      <c r="H395" t="s">
        <v>4451</v>
      </c>
      <c r="I395" t="s">
        <v>12764</v>
      </c>
      <c r="J395" t="s">
        <v>2140</v>
      </c>
      <c r="K395" t="s">
        <v>1787</v>
      </c>
      <c r="L395">
        <v>1.655408978462219</v>
      </c>
      <c r="M395" t="s">
        <v>6</v>
      </c>
      <c r="N395" t="s">
        <v>5</v>
      </c>
      <c r="O395" t="s">
        <v>5</v>
      </c>
      <c r="P395" t="s">
        <v>5</v>
      </c>
      <c r="Q395" t="s">
        <v>5</v>
      </c>
      <c r="R395" t="s">
        <v>4452</v>
      </c>
      <c r="S395" t="s">
        <v>2141</v>
      </c>
      <c r="T395" t="s">
        <v>5</v>
      </c>
      <c r="U395" t="s">
        <v>50</v>
      </c>
      <c r="V395">
        <v>100000</v>
      </c>
      <c r="W395">
        <v>100000</v>
      </c>
      <c r="X395" t="s">
        <v>6</v>
      </c>
      <c r="Y395"/>
      <c r="Z395">
        <v>10000</v>
      </c>
      <c r="AA395">
        <v>0.12252920120954509</v>
      </c>
      <c r="AB395">
        <v>3.3813010901212692E-2</v>
      </c>
      <c r="AC395">
        <v>0</v>
      </c>
      <c r="AD395">
        <v>25</v>
      </c>
      <c r="AE395">
        <v>26</v>
      </c>
      <c r="AF395">
        <v>12</v>
      </c>
      <c r="AG395">
        <v>76</v>
      </c>
      <c r="AH395">
        <v>23</v>
      </c>
      <c r="AI395">
        <v>76</v>
      </c>
      <c r="AJ395">
        <v>1</v>
      </c>
      <c r="AK395">
        <v>0</v>
      </c>
      <c r="AL395">
        <v>1</v>
      </c>
      <c r="AM395"/>
      <c r="AN395">
        <v>24.06868934631348</v>
      </c>
      <c r="AO395"/>
      <c r="AP395"/>
      <c r="AQ395"/>
      <c r="AR395"/>
      <c r="AS395"/>
      <c r="AT395"/>
      <c r="AU395"/>
      <c r="AV395"/>
      <c r="AW395"/>
      <c r="AX395"/>
      <c r="AY395"/>
      <c r="AZ395"/>
      <c r="BA395"/>
      <c r="BB395"/>
      <c r="BC395"/>
      <c r="BD395"/>
      <c r="BE395"/>
      <c r="BF395" t="s">
        <v>5</v>
      </c>
      <c r="BG395" t="s">
        <v>5</v>
      </c>
      <c r="BH395" t="s">
        <v>1777</v>
      </c>
      <c r="BI395"/>
      <c r="BJ395" t="s">
        <v>5</v>
      </c>
      <c r="BK395"/>
      <c r="BL395">
        <v>0</v>
      </c>
      <c r="BM395"/>
      <c r="BN395" t="s">
        <v>5</v>
      </c>
      <c r="BO395"/>
      <c r="BP395"/>
      <c r="BQ395"/>
      <c r="BR395"/>
      <c r="BS395" t="s">
        <v>5</v>
      </c>
      <c r="BT395"/>
      <c r="BU395"/>
      <c r="BV395"/>
      <c r="BW395" t="s">
        <v>1778</v>
      </c>
      <c r="BX395" t="s">
        <v>6</v>
      </c>
      <c r="BY395" t="s">
        <v>1101</v>
      </c>
      <c r="BZ395"/>
      <c r="CA395"/>
      <c r="CB395" t="s">
        <v>5</v>
      </c>
      <c r="CC395">
        <v>12709.37691639357</v>
      </c>
      <c r="CD395">
        <v>4288625.6049145767</v>
      </c>
      <c r="CE395" s="313" t="s">
        <v>11891</v>
      </c>
    </row>
    <row r="396" spans="1:83" ht="15" x14ac:dyDescent="0.25">
      <c r="A396" t="s">
        <v>2142</v>
      </c>
      <c r="B396" t="s">
        <v>2143</v>
      </c>
      <c r="C396" t="s">
        <v>2144</v>
      </c>
      <c r="D396">
        <v>3</v>
      </c>
      <c r="E396" t="s">
        <v>1771</v>
      </c>
      <c r="F396" t="s">
        <v>1816</v>
      </c>
      <c r="G396" t="s">
        <v>2051</v>
      </c>
      <c r="H396" t="s">
        <v>2145</v>
      </c>
      <c r="I396" t="s">
        <v>12765</v>
      </c>
      <c r="J396" t="s">
        <v>2146</v>
      </c>
      <c r="K396" t="s">
        <v>1822</v>
      </c>
      <c r="L396">
        <v>9.8797445297241211</v>
      </c>
      <c r="M396" t="s">
        <v>6</v>
      </c>
      <c r="N396" t="s">
        <v>5</v>
      </c>
      <c r="O396" t="s">
        <v>5</v>
      </c>
      <c r="P396" t="s">
        <v>5</v>
      </c>
      <c r="Q396" t="s">
        <v>5</v>
      </c>
      <c r="R396" t="s">
        <v>4453</v>
      </c>
      <c r="S396" t="s">
        <v>2147</v>
      </c>
      <c r="T396" t="s">
        <v>5</v>
      </c>
      <c r="U396" t="s">
        <v>4</v>
      </c>
      <c r="V396">
        <v>1000000</v>
      </c>
      <c r="W396">
        <v>100000</v>
      </c>
      <c r="X396" t="s">
        <v>6</v>
      </c>
      <c r="Y396"/>
      <c r="Z396">
        <v>100000</v>
      </c>
      <c r="AA396">
        <v>1.1885629892349241</v>
      </c>
      <c r="AB396">
        <v>0.47141420841217041</v>
      </c>
      <c r="AC396">
        <v>1.118159980251221E-5</v>
      </c>
      <c r="AD396">
        <v>71</v>
      </c>
      <c r="AE396">
        <v>81</v>
      </c>
      <c r="AF396">
        <v>61</v>
      </c>
      <c r="AG396">
        <v>56</v>
      </c>
      <c r="AH396">
        <v>239</v>
      </c>
      <c r="AI396">
        <v>239</v>
      </c>
      <c r="AJ396">
        <v>0</v>
      </c>
      <c r="AK396">
        <v>6</v>
      </c>
      <c r="AL396">
        <v>4</v>
      </c>
      <c r="AM396"/>
      <c r="AN396">
        <v>253.77830505371091</v>
      </c>
      <c r="AO396"/>
      <c r="AP396"/>
      <c r="AQ396"/>
      <c r="AR396"/>
      <c r="AS396"/>
      <c r="AT396"/>
      <c r="AU396"/>
      <c r="AV396"/>
      <c r="AW396"/>
      <c r="AX396"/>
      <c r="AY396"/>
      <c r="AZ396"/>
      <c r="BA396"/>
      <c r="BB396"/>
      <c r="BC396"/>
      <c r="BD396"/>
      <c r="BE396"/>
      <c r="BF396" t="s">
        <v>2148</v>
      </c>
      <c r="BG396" t="s">
        <v>5</v>
      </c>
      <c r="BH396" t="s">
        <v>1777</v>
      </c>
      <c r="BI396"/>
      <c r="BJ396" t="s">
        <v>5</v>
      </c>
      <c r="BK396"/>
      <c r="BL396">
        <v>100</v>
      </c>
      <c r="BM396"/>
      <c r="BN396" t="s">
        <v>5</v>
      </c>
      <c r="BO396"/>
      <c r="BP396"/>
      <c r="BQ396"/>
      <c r="BR396"/>
      <c r="BS396" t="s">
        <v>5</v>
      </c>
      <c r="BT396"/>
      <c r="BU396"/>
      <c r="BV396"/>
      <c r="BW396" t="s">
        <v>1778</v>
      </c>
      <c r="BX396" t="s">
        <v>6</v>
      </c>
      <c r="BY396" t="s">
        <v>1101</v>
      </c>
      <c r="BZ396"/>
      <c r="CA396"/>
      <c r="CB396" t="s">
        <v>6</v>
      </c>
      <c r="CC396">
        <v>30073.014809788681</v>
      </c>
      <c r="CD396">
        <v>25595195.55872158</v>
      </c>
      <c r="CE396" s="313" t="s">
        <v>11891</v>
      </c>
    </row>
    <row r="397" spans="1:83" ht="15" x14ac:dyDescent="0.25">
      <c r="A397" t="s">
        <v>2156</v>
      </c>
      <c r="B397" t="s">
        <v>2157</v>
      </c>
      <c r="C397" t="s">
        <v>2158</v>
      </c>
      <c r="D397">
        <v>3</v>
      </c>
      <c r="E397" t="s">
        <v>1771</v>
      </c>
      <c r="F397" t="s">
        <v>1816</v>
      </c>
      <c r="G397" t="s">
        <v>2051</v>
      </c>
      <c r="H397" t="s">
        <v>4456</v>
      </c>
      <c r="I397" t="s">
        <v>2159</v>
      </c>
      <c r="J397" t="s">
        <v>2160</v>
      </c>
      <c r="K397" t="s">
        <v>1929</v>
      </c>
      <c r="L397">
        <v>16.71842002868652</v>
      </c>
      <c r="M397" t="s">
        <v>6</v>
      </c>
      <c r="N397" t="s">
        <v>5</v>
      </c>
      <c r="O397" t="s">
        <v>5</v>
      </c>
      <c r="P397" t="s">
        <v>5</v>
      </c>
      <c r="Q397" t="s">
        <v>5</v>
      </c>
      <c r="R397" t="s">
        <v>4457</v>
      </c>
      <c r="S397" t="s">
        <v>2161</v>
      </c>
      <c r="T397" t="s">
        <v>5</v>
      </c>
      <c r="U397" t="s">
        <v>50</v>
      </c>
      <c r="V397">
        <v>100000</v>
      </c>
      <c r="W397">
        <v>100000</v>
      </c>
      <c r="X397" t="s">
        <v>6</v>
      </c>
      <c r="Y397"/>
      <c r="Z397">
        <v>10000</v>
      </c>
      <c r="AA397">
        <v>3.3918850421905522</v>
      </c>
      <c r="AB397">
        <v>0.53205102682113647</v>
      </c>
      <c r="AC397">
        <v>4.7956299385987222E-4</v>
      </c>
      <c r="AD397">
        <v>54</v>
      </c>
      <c r="AE397">
        <v>31</v>
      </c>
      <c r="AF397">
        <v>48</v>
      </c>
      <c r="AG397">
        <v>41</v>
      </c>
      <c r="AH397">
        <v>159</v>
      </c>
      <c r="AI397">
        <v>159</v>
      </c>
      <c r="AJ397">
        <v>0</v>
      </c>
      <c r="AK397">
        <v>2</v>
      </c>
      <c r="AL397">
        <v>6</v>
      </c>
      <c r="AM397"/>
      <c r="AN397">
        <v>1002.135009765625</v>
      </c>
      <c r="AO397"/>
      <c r="AP397"/>
      <c r="AQ397"/>
      <c r="AR397"/>
      <c r="AS397"/>
      <c r="AT397"/>
      <c r="AU397"/>
      <c r="AV397"/>
      <c r="AW397"/>
      <c r="AX397"/>
      <c r="AY397"/>
      <c r="AZ397"/>
      <c r="BA397"/>
      <c r="BB397"/>
      <c r="BC397"/>
      <c r="BD397"/>
      <c r="BE397"/>
      <c r="BF397" t="s">
        <v>5</v>
      </c>
      <c r="BG397" t="s">
        <v>5</v>
      </c>
      <c r="BH397" t="s">
        <v>1777</v>
      </c>
      <c r="BI397"/>
      <c r="BJ397" t="s">
        <v>5</v>
      </c>
      <c r="BK397"/>
      <c r="BL397">
        <v>0</v>
      </c>
      <c r="BM397"/>
      <c r="BN397" t="s">
        <v>5</v>
      </c>
      <c r="BO397"/>
      <c r="BP397"/>
      <c r="BQ397"/>
      <c r="BR397"/>
      <c r="BS397" t="s">
        <v>5</v>
      </c>
      <c r="BT397"/>
      <c r="BU397"/>
      <c r="BV397"/>
      <c r="BW397" t="s">
        <v>1778</v>
      </c>
      <c r="BX397" t="s">
        <v>6</v>
      </c>
      <c r="BY397" t="s">
        <v>1101</v>
      </c>
      <c r="BZ397"/>
      <c r="CA397"/>
      <c r="CB397" t="s">
        <v>5</v>
      </c>
      <c r="CC397">
        <v>34224.57464414429</v>
      </c>
      <c r="CD397">
        <v>43311978.239041358</v>
      </c>
      <c r="CE397" s="313" t="s">
        <v>11891</v>
      </c>
    </row>
    <row r="398" spans="1:83" ht="15" x14ac:dyDescent="0.25">
      <c r="A398" t="s">
        <v>2162</v>
      </c>
      <c r="B398" t="s">
        <v>2163</v>
      </c>
      <c r="C398" t="s">
        <v>2164</v>
      </c>
      <c r="D398">
        <v>3</v>
      </c>
      <c r="E398" t="s">
        <v>1771</v>
      </c>
      <c r="F398" t="s">
        <v>2165</v>
      </c>
      <c r="G398" t="s">
        <v>2166</v>
      </c>
      <c r="H398" t="s">
        <v>4458</v>
      </c>
      <c r="I398" t="s">
        <v>12767</v>
      </c>
      <c r="J398" t="s">
        <v>2167</v>
      </c>
      <c r="K398" t="s">
        <v>1929</v>
      </c>
      <c r="L398">
        <v>0.69417399168014526</v>
      </c>
      <c r="M398" t="s">
        <v>6</v>
      </c>
      <c r="N398" t="s">
        <v>5</v>
      </c>
      <c r="O398" t="s">
        <v>5</v>
      </c>
      <c r="P398" t="s">
        <v>5</v>
      </c>
      <c r="Q398" t="s">
        <v>5</v>
      </c>
      <c r="R398" t="s">
        <v>4459</v>
      </c>
      <c r="S398" t="s">
        <v>2168</v>
      </c>
      <c r="T398" t="s">
        <v>5</v>
      </c>
      <c r="U398" t="s">
        <v>50</v>
      </c>
      <c r="V398">
        <v>100000</v>
      </c>
      <c r="W398">
        <v>100000</v>
      </c>
      <c r="X398" t="s">
        <v>6</v>
      </c>
      <c r="Y398"/>
      <c r="Z398">
        <v>10000</v>
      </c>
      <c r="AA398">
        <v>6.316644698381424E-2</v>
      </c>
      <c r="AB398">
        <v>1.796187087893486E-2</v>
      </c>
      <c r="AC398">
        <v>0</v>
      </c>
      <c r="AD398">
        <v>4</v>
      </c>
      <c r="AE398">
        <v>0</v>
      </c>
      <c r="AF398">
        <v>0</v>
      </c>
      <c r="AG398">
        <v>2</v>
      </c>
      <c r="AH398">
        <v>0</v>
      </c>
      <c r="AI398">
        <v>2</v>
      </c>
      <c r="AJ398">
        <v>0</v>
      </c>
      <c r="AK398">
        <v>0</v>
      </c>
      <c r="AL398">
        <v>0</v>
      </c>
      <c r="AM398"/>
      <c r="AN398">
        <v>25.802450180053711</v>
      </c>
      <c r="AO398"/>
      <c r="AP398"/>
      <c r="AQ398"/>
      <c r="AR398"/>
      <c r="AS398"/>
      <c r="AT398"/>
      <c r="AU398"/>
      <c r="AV398"/>
      <c r="AW398"/>
      <c r="AX398"/>
      <c r="AY398"/>
      <c r="AZ398"/>
      <c r="BA398"/>
      <c r="BB398"/>
      <c r="BC398"/>
      <c r="BD398"/>
      <c r="BE398"/>
      <c r="BF398" t="s">
        <v>5</v>
      </c>
      <c r="BG398" t="s">
        <v>5</v>
      </c>
      <c r="BH398" t="s">
        <v>1777</v>
      </c>
      <c r="BI398"/>
      <c r="BJ398" t="s">
        <v>5</v>
      </c>
      <c r="BK398"/>
      <c r="BL398">
        <v>0</v>
      </c>
      <c r="BM398"/>
      <c r="BN398" t="s">
        <v>5</v>
      </c>
      <c r="BO398"/>
      <c r="BP398"/>
      <c r="BQ398"/>
      <c r="BR398"/>
      <c r="BS398" t="s">
        <v>5</v>
      </c>
      <c r="BT398"/>
      <c r="BU398"/>
      <c r="BV398"/>
      <c r="BW398" t="s">
        <v>1778</v>
      </c>
      <c r="BX398" t="s">
        <v>6</v>
      </c>
      <c r="BY398" t="s">
        <v>1101</v>
      </c>
      <c r="BZ398"/>
      <c r="CA398"/>
      <c r="CB398" t="s">
        <v>5</v>
      </c>
      <c r="CC398">
        <v>10029.678738668979</v>
      </c>
      <c r="CD398">
        <v>1798378.2136079359</v>
      </c>
      <c r="CE398" s="313" t="s">
        <v>11891</v>
      </c>
    </row>
    <row r="399" spans="1:83" ht="15" x14ac:dyDescent="0.25">
      <c r="A399" t="s">
        <v>2169</v>
      </c>
      <c r="B399" t="s">
        <v>2170</v>
      </c>
      <c r="C399" t="s">
        <v>4460</v>
      </c>
      <c r="D399">
        <v>3</v>
      </c>
      <c r="E399" t="s">
        <v>1771</v>
      </c>
      <c r="F399" t="s">
        <v>2171</v>
      </c>
      <c r="G399" t="s">
        <v>2065</v>
      </c>
      <c r="H399" t="s">
        <v>4432</v>
      </c>
      <c r="I399" t="s">
        <v>12767</v>
      </c>
      <c r="J399" t="s">
        <v>2066</v>
      </c>
      <c r="K399" t="s">
        <v>2172</v>
      </c>
      <c r="L399">
        <v>1231.755004882812</v>
      </c>
      <c r="M399" t="s">
        <v>6</v>
      </c>
      <c r="N399" t="s">
        <v>5</v>
      </c>
      <c r="O399" t="s">
        <v>5</v>
      </c>
      <c r="P399" t="s">
        <v>5</v>
      </c>
      <c r="Q399" t="s">
        <v>5</v>
      </c>
      <c r="R399" t="s">
        <v>4433</v>
      </c>
      <c r="S399" t="s">
        <v>2067</v>
      </c>
      <c r="T399" t="s">
        <v>5</v>
      </c>
      <c r="U399" t="s">
        <v>4</v>
      </c>
      <c r="V399">
        <v>100000</v>
      </c>
      <c r="W399">
        <v>100000</v>
      </c>
      <c r="X399" t="s">
        <v>6</v>
      </c>
      <c r="Y399"/>
      <c r="Z399">
        <v>10000</v>
      </c>
      <c r="AA399">
        <v>245.76220703125</v>
      </c>
      <c r="AB399">
        <v>18.119829177856449</v>
      </c>
      <c r="AC399">
        <v>0.15924020111560819</v>
      </c>
      <c r="AD399">
        <v>0</v>
      </c>
      <c r="AE399">
        <v>0</v>
      </c>
      <c r="AF399">
        <v>0</v>
      </c>
      <c r="AG399">
        <v>0</v>
      </c>
      <c r="AH399">
        <v>0</v>
      </c>
      <c r="AI399">
        <v>0</v>
      </c>
      <c r="AJ399">
        <v>5</v>
      </c>
      <c r="AK399">
        <v>18</v>
      </c>
      <c r="AL399">
        <v>110</v>
      </c>
      <c r="AM399"/>
      <c r="AN399">
        <v>0</v>
      </c>
      <c r="AO399"/>
      <c r="AP399"/>
      <c r="AQ399"/>
      <c r="AR399"/>
      <c r="AS399"/>
      <c r="AT399"/>
      <c r="AU399"/>
      <c r="AV399"/>
      <c r="AW399"/>
      <c r="AX399"/>
      <c r="AY399"/>
      <c r="AZ399"/>
      <c r="BA399"/>
      <c r="BB399"/>
      <c r="BC399"/>
      <c r="BD399"/>
      <c r="BE399"/>
      <c r="BF399" t="s">
        <v>5</v>
      </c>
      <c r="BG399" t="s">
        <v>5</v>
      </c>
      <c r="BH399" t="s">
        <v>1777</v>
      </c>
      <c r="BI399"/>
      <c r="BJ399" t="s">
        <v>5</v>
      </c>
      <c r="BK399"/>
      <c r="BL399">
        <v>0</v>
      </c>
      <c r="BM399"/>
      <c r="BN399" t="s">
        <v>5</v>
      </c>
      <c r="BO399"/>
      <c r="BP399"/>
      <c r="BQ399"/>
      <c r="BR399"/>
      <c r="BS399" t="s">
        <v>5</v>
      </c>
      <c r="BT399"/>
      <c r="BU399"/>
      <c r="BV399"/>
      <c r="BW399" t="s">
        <v>1778</v>
      </c>
      <c r="BX399" t="s">
        <v>6</v>
      </c>
      <c r="BY399" t="s">
        <v>1101</v>
      </c>
      <c r="BZ399"/>
      <c r="CA399"/>
      <c r="CB399" t="s">
        <v>5</v>
      </c>
      <c r="CC399">
        <v>320156.78041853983</v>
      </c>
      <c r="CD399">
        <v>3191076170.6206288</v>
      </c>
      <c r="CE399" s="313" t="s">
        <v>11891</v>
      </c>
    </row>
    <row r="400" spans="1:83" ht="15" x14ac:dyDescent="0.25">
      <c r="A400" s="337" t="s">
        <v>2177</v>
      </c>
      <c r="B400" s="337" t="s">
        <v>2178</v>
      </c>
      <c r="C400" s="337" t="s">
        <v>2179</v>
      </c>
      <c r="D400" s="337">
        <v>3</v>
      </c>
      <c r="E400" s="337" t="s">
        <v>1771</v>
      </c>
      <c r="F400" s="337" t="s">
        <v>1816</v>
      </c>
      <c r="G400" s="337" t="s">
        <v>2152</v>
      </c>
      <c r="H400" s="337" t="s">
        <v>4454</v>
      </c>
      <c r="I400" s="337" t="s">
        <v>12769</v>
      </c>
      <c r="J400" s="337" t="s">
        <v>2180</v>
      </c>
      <c r="K400" s="337" t="s">
        <v>1861</v>
      </c>
      <c r="L400" s="337">
        <v>41.597930908203118</v>
      </c>
      <c r="M400" s="337" t="s">
        <v>6</v>
      </c>
      <c r="N400" s="337" t="s">
        <v>5</v>
      </c>
      <c r="O400" s="337" t="s">
        <v>5</v>
      </c>
      <c r="P400" s="337" t="s">
        <v>5</v>
      </c>
      <c r="Q400" s="337" t="s">
        <v>5</v>
      </c>
      <c r="R400" s="337" t="s">
        <v>4461</v>
      </c>
      <c r="S400" s="337" t="s">
        <v>2181</v>
      </c>
      <c r="T400" s="337" t="s">
        <v>5</v>
      </c>
      <c r="U400" s="337" t="s">
        <v>4</v>
      </c>
      <c r="V400" s="337">
        <v>100000</v>
      </c>
      <c r="W400" s="337">
        <v>100000</v>
      </c>
      <c r="X400" s="337" t="s">
        <v>6</v>
      </c>
      <c r="Y400" s="337"/>
      <c r="Z400" s="337">
        <v>10000</v>
      </c>
      <c r="AA400" s="337">
        <v>9.6214046478271484</v>
      </c>
      <c r="AB400" s="337">
        <v>1.0906829833984379</v>
      </c>
      <c r="AC400" s="337">
        <v>0.30953928828239441</v>
      </c>
      <c r="AD400" s="337">
        <v>1081</v>
      </c>
      <c r="AE400" s="337">
        <v>592</v>
      </c>
      <c r="AF400" s="337">
        <v>943</v>
      </c>
      <c r="AG400" s="337">
        <v>11298</v>
      </c>
      <c r="AH400" s="337">
        <v>6705</v>
      </c>
      <c r="AI400" s="337">
        <v>11298</v>
      </c>
      <c r="AJ400" s="337">
        <v>18</v>
      </c>
      <c r="AK400" s="337">
        <v>19</v>
      </c>
      <c r="AL400" s="337">
        <v>49</v>
      </c>
      <c r="AM400" s="337"/>
      <c r="AN400" s="337">
        <v>617.09698486328125</v>
      </c>
      <c r="AO400" s="337"/>
      <c r="AP400" s="337"/>
      <c r="AQ400" s="337"/>
      <c r="AR400" s="337"/>
      <c r="AS400" s="337"/>
      <c r="AT400" s="337"/>
      <c r="AU400" s="337"/>
      <c r="AV400" s="337"/>
      <c r="AW400" s="337"/>
      <c r="AX400" s="337"/>
      <c r="AY400" s="337"/>
      <c r="AZ400" s="337"/>
      <c r="BA400" s="337"/>
      <c r="BB400" s="337"/>
      <c r="BC400" s="337"/>
      <c r="BD400" s="337"/>
      <c r="BE400" s="337"/>
      <c r="BF400" s="337" t="s">
        <v>5</v>
      </c>
      <c r="BG400" s="337" t="s">
        <v>5</v>
      </c>
      <c r="BH400" s="337" t="s">
        <v>1777</v>
      </c>
      <c r="BI400" s="337"/>
      <c r="BJ400" s="337" t="s">
        <v>5</v>
      </c>
      <c r="BK400" s="337"/>
      <c r="BL400" s="337">
        <v>0</v>
      </c>
      <c r="BM400" s="337"/>
      <c r="BN400" s="337" t="s">
        <v>5</v>
      </c>
      <c r="BO400" s="337"/>
      <c r="BP400" s="337"/>
      <c r="BQ400" s="337"/>
      <c r="BR400" s="337"/>
      <c r="BS400" s="337" t="s">
        <v>5</v>
      </c>
      <c r="BT400" s="337"/>
      <c r="BU400" s="337"/>
      <c r="BV400" s="337"/>
      <c r="BW400" s="337" t="s">
        <v>1778</v>
      </c>
      <c r="BX400" s="337" t="s">
        <v>6</v>
      </c>
      <c r="BY400" s="337" t="s">
        <v>1101</v>
      </c>
      <c r="BZ400" s="337"/>
      <c r="CB400" s="337" t="s">
        <v>5</v>
      </c>
      <c r="CC400" s="337">
        <v>108006.1365947288</v>
      </c>
      <c r="CD400" s="337">
        <v>107766658.6906451</v>
      </c>
      <c r="CE400" s="313" t="s">
        <v>11891</v>
      </c>
    </row>
    <row r="401" spans="1:83" ht="15" x14ac:dyDescent="0.25">
      <c r="A401" s="337" t="s">
        <v>2287</v>
      </c>
      <c r="B401" s="337" t="s">
        <v>2288</v>
      </c>
      <c r="C401" s="337" t="s">
        <v>2289</v>
      </c>
      <c r="D401" s="337">
        <v>3</v>
      </c>
      <c r="E401" s="337" t="s">
        <v>1771</v>
      </c>
      <c r="F401" s="337" t="s">
        <v>2290</v>
      </c>
      <c r="G401" s="337" t="s">
        <v>1969</v>
      </c>
      <c r="H401" s="337" t="s">
        <v>4408</v>
      </c>
      <c r="I401" s="337" t="s">
        <v>12778</v>
      </c>
      <c r="J401" s="337" t="s">
        <v>2291</v>
      </c>
      <c r="K401" s="337" t="s">
        <v>1787</v>
      </c>
      <c r="L401" s="337">
        <v>4.984379768371582</v>
      </c>
      <c r="M401" s="337" t="s">
        <v>6</v>
      </c>
      <c r="N401" s="337" t="s">
        <v>5</v>
      </c>
      <c r="O401" s="337" t="s">
        <v>5</v>
      </c>
      <c r="P401" s="337" t="s">
        <v>5</v>
      </c>
      <c r="Q401" s="337" t="s">
        <v>5</v>
      </c>
      <c r="R401" s="337" t="s">
        <v>4480</v>
      </c>
      <c r="S401" s="337" t="s">
        <v>2292</v>
      </c>
      <c r="T401" s="337" t="s">
        <v>5</v>
      </c>
      <c r="U401" s="337" t="s">
        <v>50</v>
      </c>
      <c r="V401" s="337">
        <v>100000</v>
      </c>
      <c r="W401" s="337">
        <v>100000</v>
      </c>
      <c r="X401" s="337" t="s">
        <v>6</v>
      </c>
      <c r="Y401" s="337"/>
      <c r="Z401" s="337">
        <v>10000</v>
      </c>
      <c r="AA401" s="337">
        <v>0.46326220035552979</v>
      </c>
      <c r="AB401" s="337">
        <v>0.1140656024217606</v>
      </c>
      <c r="AC401" s="337">
        <v>0</v>
      </c>
      <c r="AD401" s="337">
        <v>10</v>
      </c>
      <c r="AE401" s="337">
        <v>8</v>
      </c>
      <c r="AF401" s="337">
        <v>2</v>
      </c>
      <c r="AG401" s="337">
        <v>8</v>
      </c>
      <c r="AH401" s="337">
        <v>4</v>
      </c>
      <c r="AI401" s="337">
        <v>8</v>
      </c>
      <c r="AJ401" s="337">
        <v>1</v>
      </c>
      <c r="AK401" s="337">
        <v>1</v>
      </c>
      <c r="AL401" s="337">
        <v>0</v>
      </c>
      <c r="AM401" s="337"/>
      <c r="AN401" s="337">
        <v>208.12260437011719</v>
      </c>
      <c r="AO401" s="337"/>
      <c r="AP401" s="337"/>
      <c r="AQ401" s="337"/>
      <c r="AR401" s="337"/>
      <c r="AS401" s="337"/>
      <c r="AT401" s="337"/>
      <c r="AU401" s="337"/>
      <c r="AV401" s="337"/>
      <c r="AW401" s="337"/>
      <c r="AX401" s="337"/>
      <c r="AY401" s="337"/>
      <c r="AZ401" s="337"/>
      <c r="BA401" s="337"/>
      <c r="BB401" s="337"/>
      <c r="BC401" s="337"/>
      <c r="BD401" s="337"/>
      <c r="BE401" s="337"/>
      <c r="BF401" s="337" t="s">
        <v>5</v>
      </c>
      <c r="BG401" s="337" t="s">
        <v>5</v>
      </c>
      <c r="BH401" s="337" t="s">
        <v>1777</v>
      </c>
      <c r="BI401" s="337"/>
      <c r="BJ401" s="337" t="s">
        <v>5</v>
      </c>
      <c r="BK401" s="337"/>
      <c r="BL401" s="337">
        <v>0</v>
      </c>
      <c r="BM401" s="337"/>
      <c r="BN401" s="337" t="s">
        <v>5</v>
      </c>
      <c r="BO401" s="337"/>
      <c r="BP401" s="337"/>
      <c r="BQ401" s="337"/>
      <c r="BR401" s="337"/>
      <c r="BS401" s="337" t="s">
        <v>5</v>
      </c>
      <c r="BT401" s="337"/>
      <c r="BU401" s="337"/>
      <c r="BV401" s="337"/>
      <c r="BW401" s="337" t="s">
        <v>1778</v>
      </c>
      <c r="BX401" s="337" t="s">
        <v>6</v>
      </c>
      <c r="BY401" s="337" t="s">
        <v>1101</v>
      </c>
      <c r="BZ401" s="337"/>
      <c r="CB401" s="337" t="s">
        <v>5</v>
      </c>
      <c r="CC401" s="337">
        <v>15719.46090435441</v>
      </c>
      <c r="CD401" s="337">
        <v>12912900.96308146</v>
      </c>
      <c r="CE401" s="313" t="s">
        <v>11891</v>
      </c>
    </row>
    <row r="402" spans="1:83" ht="15" x14ac:dyDescent="0.25">
      <c r="A402" s="337" t="s">
        <v>2293</v>
      </c>
      <c r="B402" s="337" t="s">
        <v>2294</v>
      </c>
      <c r="C402" s="337" t="s">
        <v>2289</v>
      </c>
      <c r="D402" s="337">
        <v>3</v>
      </c>
      <c r="E402" s="337" t="s">
        <v>1771</v>
      </c>
      <c r="F402" s="337" t="s">
        <v>4481</v>
      </c>
      <c r="G402" s="337" t="s">
        <v>2295</v>
      </c>
      <c r="H402" s="337" t="s">
        <v>4482</v>
      </c>
      <c r="I402" s="337" t="s">
        <v>12779</v>
      </c>
      <c r="J402" s="337" t="s">
        <v>2296</v>
      </c>
      <c r="K402" s="337" t="s">
        <v>1787</v>
      </c>
      <c r="L402" s="337">
        <v>1.583636999130249</v>
      </c>
      <c r="M402" s="337" t="s">
        <v>6</v>
      </c>
      <c r="N402" s="337" t="s">
        <v>5</v>
      </c>
      <c r="O402" s="337" t="s">
        <v>5</v>
      </c>
      <c r="P402" s="337" t="s">
        <v>5</v>
      </c>
      <c r="Q402" s="337" t="s">
        <v>5</v>
      </c>
      <c r="R402" s="337" t="s">
        <v>4483</v>
      </c>
      <c r="S402" s="337" t="s">
        <v>2297</v>
      </c>
      <c r="T402" s="337" t="s">
        <v>5</v>
      </c>
      <c r="U402" s="337" t="s">
        <v>50</v>
      </c>
      <c r="V402" s="337">
        <v>100000</v>
      </c>
      <c r="W402" s="337">
        <v>100000</v>
      </c>
      <c r="X402" s="337" t="s">
        <v>6</v>
      </c>
      <c r="Y402" s="337"/>
      <c r="Z402" s="337">
        <v>10000</v>
      </c>
      <c r="AA402" s="337">
        <v>0.23776780068874359</v>
      </c>
      <c r="AB402" s="337">
        <v>2.818337082862854E-2</v>
      </c>
      <c r="AC402" s="337">
        <v>7.6462281867861748E-3</v>
      </c>
      <c r="AD402" s="337">
        <v>4</v>
      </c>
      <c r="AE402" s="337">
        <v>4</v>
      </c>
      <c r="AF402" s="337">
        <v>3</v>
      </c>
      <c r="AG402" s="337">
        <v>1</v>
      </c>
      <c r="AH402" s="337">
        <v>3</v>
      </c>
      <c r="AI402" s="337">
        <v>3</v>
      </c>
      <c r="AJ402" s="337">
        <v>0</v>
      </c>
      <c r="AK402" s="337">
        <v>0</v>
      </c>
      <c r="AL402" s="337">
        <v>3</v>
      </c>
      <c r="AM402" s="337"/>
      <c r="AN402" s="337">
        <v>50.739658355712891</v>
      </c>
      <c r="AO402" s="337"/>
      <c r="AP402" s="337"/>
      <c r="AQ402" s="337"/>
      <c r="AR402" s="337"/>
      <c r="AS402" s="337"/>
      <c r="AT402" s="337"/>
      <c r="AU402" s="337"/>
      <c r="AV402" s="337"/>
      <c r="AW402" s="337"/>
      <c r="AX402" s="337"/>
      <c r="AY402" s="337"/>
      <c r="AZ402" s="337"/>
      <c r="BA402" s="337"/>
      <c r="BB402" s="337"/>
      <c r="BC402" s="337"/>
      <c r="BD402" s="337"/>
      <c r="BE402" s="337"/>
      <c r="BF402" s="337" t="s">
        <v>5</v>
      </c>
      <c r="BG402" s="337" t="s">
        <v>5</v>
      </c>
      <c r="BH402" s="337" t="s">
        <v>1777</v>
      </c>
      <c r="BI402" s="337"/>
      <c r="BJ402" s="337" t="s">
        <v>5</v>
      </c>
      <c r="BK402" s="337"/>
      <c r="BL402" s="337">
        <v>0</v>
      </c>
      <c r="BM402" s="337"/>
      <c r="BN402" s="337" t="s">
        <v>5</v>
      </c>
      <c r="BO402" s="337"/>
      <c r="BP402" s="337"/>
      <c r="BQ402" s="337"/>
      <c r="BR402" s="337"/>
      <c r="BS402" s="337" t="s">
        <v>5</v>
      </c>
      <c r="BT402" s="337"/>
      <c r="BU402" s="337"/>
      <c r="BV402" s="337"/>
      <c r="BW402" s="337" t="s">
        <v>1778</v>
      </c>
      <c r="BX402" s="337" t="s">
        <v>6</v>
      </c>
      <c r="BY402" s="337" t="s">
        <v>1101</v>
      </c>
      <c r="BZ402" s="337"/>
      <c r="CB402" s="337" t="s">
        <v>5</v>
      </c>
      <c r="CC402" s="337">
        <v>30544.38523978155</v>
      </c>
      <c r="CD402" s="337">
        <v>4102687.4261346762</v>
      </c>
      <c r="CE402" s="313" t="s">
        <v>11891</v>
      </c>
    </row>
    <row r="403" spans="1:83" ht="15" x14ac:dyDescent="0.25">
      <c r="A403" s="337" t="s">
        <v>2298</v>
      </c>
      <c r="B403" s="337" t="s">
        <v>2299</v>
      </c>
      <c r="C403" s="337" t="s">
        <v>2289</v>
      </c>
      <c r="D403" s="337">
        <v>3</v>
      </c>
      <c r="E403" s="337" t="s">
        <v>1771</v>
      </c>
      <c r="F403" s="337" t="s">
        <v>2300</v>
      </c>
      <c r="G403" s="337" t="s">
        <v>2301</v>
      </c>
      <c r="H403" s="337" t="s">
        <v>4484</v>
      </c>
      <c r="I403" s="337" t="s">
        <v>2302</v>
      </c>
      <c r="J403" s="337" t="s">
        <v>2303</v>
      </c>
      <c r="K403" s="337" t="s">
        <v>1787</v>
      </c>
      <c r="L403" s="337">
        <v>5.1499819755554199</v>
      </c>
      <c r="M403" s="337" t="s">
        <v>6</v>
      </c>
      <c r="N403" s="337" t="s">
        <v>5</v>
      </c>
      <c r="O403" s="337" t="s">
        <v>5</v>
      </c>
      <c r="P403" s="337" t="s">
        <v>5</v>
      </c>
      <c r="Q403" s="337" t="s">
        <v>5</v>
      </c>
      <c r="R403" s="337" t="s">
        <v>4485</v>
      </c>
      <c r="S403" s="337" t="s">
        <v>2304</v>
      </c>
      <c r="T403" s="337" t="s">
        <v>5</v>
      </c>
      <c r="U403" s="337" t="s">
        <v>50</v>
      </c>
      <c r="V403" s="337">
        <v>100000</v>
      </c>
      <c r="W403" s="337">
        <v>100000</v>
      </c>
      <c r="X403" s="337" t="s">
        <v>6</v>
      </c>
      <c r="Y403" s="337"/>
      <c r="Z403" s="337">
        <v>10000</v>
      </c>
      <c r="AA403" s="337">
        <v>0.82182848453521729</v>
      </c>
      <c r="AB403" s="337">
        <v>9.1553092002868652E-2</v>
      </c>
      <c r="AC403" s="337">
        <v>0</v>
      </c>
      <c r="AD403" s="337">
        <v>6</v>
      </c>
      <c r="AE403" s="337">
        <v>3</v>
      </c>
      <c r="AF403" s="337">
        <v>4</v>
      </c>
      <c r="AG403" s="337">
        <v>2</v>
      </c>
      <c r="AH403" s="337">
        <v>14</v>
      </c>
      <c r="AI403" s="337">
        <v>14</v>
      </c>
      <c r="AJ403" s="337">
        <v>0</v>
      </c>
      <c r="AK403" s="337">
        <v>0</v>
      </c>
      <c r="AL403" s="337">
        <v>2</v>
      </c>
      <c r="AM403" s="337"/>
      <c r="AN403" s="337">
        <v>363.41070556640619</v>
      </c>
      <c r="AO403" s="337"/>
      <c r="AP403" s="337"/>
      <c r="AQ403" s="337"/>
      <c r="AR403" s="337"/>
      <c r="AS403" s="337"/>
      <c r="AT403" s="337"/>
      <c r="AU403" s="337"/>
      <c r="AV403" s="337"/>
      <c r="AW403" s="337"/>
      <c r="AX403" s="337"/>
      <c r="AY403" s="337"/>
      <c r="AZ403" s="337"/>
      <c r="BA403" s="337"/>
      <c r="BB403" s="337"/>
      <c r="BC403" s="337"/>
      <c r="BD403" s="337"/>
      <c r="BE403" s="337"/>
      <c r="BF403" s="337" t="s">
        <v>5</v>
      </c>
      <c r="BG403" s="337" t="s">
        <v>5</v>
      </c>
      <c r="BH403" s="337" t="s">
        <v>1777</v>
      </c>
      <c r="BI403" s="337"/>
      <c r="BJ403" s="337" t="s">
        <v>5</v>
      </c>
      <c r="BK403" s="337"/>
      <c r="BL403" s="337">
        <v>0</v>
      </c>
      <c r="BM403" s="337"/>
      <c r="BN403" s="337" t="s">
        <v>5</v>
      </c>
      <c r="BO403" s="337"/>
      <c r="BP403" s="337"/>
      <c r="BQ403" s="337"/>
      <c r="BR403" s="337"/>
      <c r="BS403" s="337" t="s">
        <v>5</v>
      </c>
      <c r="BT403" s="337"/>
      <c r="BU403" s="337"/>
      <c r="BV403" s="337"/>
      <c r="BW403" s="337" t="s">
        <v>1778</v>
      </c>
      <c r="BX403" s="337" t="s">
        <v>6</v>
      </c>
      <c r="BY403" s="337" t="s">
        <v>1101</v>
      </c>
      <c r="BZ403" s="337"/>
      <c r="CB403" s="337" t="s">
        <v>5</v>
      </c>
      <c r="CC403" s="337">
        <v>18353.54104396101</v>
      </c>
      <c r="CD403" s="337">
        <v>13341923.23251887</v>
      </c>
      <c r="CE403" s="313" t="s">
        <v>11891</v>
      </c>
    </row>
    <row r="404" spans="1:83" ht="15" x14ac:dyDescent="0.25">
      <c r="A404" s="337" t="s">
        <v>2305</v>
      </c>
      <c r="B404" s="337" t="s">
        <v>2306</v>
      </c>
      <c r="C404" s="337" t="s">
        <v>2289</v>
      </c>
      <c r="D404" s="337">
        <v>3</v>
      </c>
      <c r="E404" s="337" t="s">
        <v>1771</v>
      </c>
      <c r="F404" s="337" t="s">
        <v>2226</v>
      </c>
      <c r="G404" s="337" t="s">
        <v>2227</v>
      </c>
      <c r="H404" s="337" t="s">
        <v>2307</v>
      </c>
      <c r="I404" s="337" t="s">
        <v>2308</v>
      </c>
      <c r="J404" s="337" t="s">
        <v>2309</v>
      </c>
      <c r="K404" s="337" t="s">
        <v>1787</v>
      </c>
      <c r="L404" s="337">
        <v>1.5317369699478149</v>
      </c>
      <c r="M404" s="337" t="s">
        <v>6</v>
      </c>
      <c r="N404" s="337" t="s">
        <v>5</v>
      </c>
      <c r="O404" s="337" t="s">
        <v>5</v>
      </c>
      <c r="P404" s="337" t="s">
        <v>5</v>
      </c>
      <c r="Q404" s="337" t="s">
        <v>5</v>
      </c>
      <c r="R404" s="337" t="s">
        <v>4486</v>
      </c>
      <c r="S404" s="337" t="s">
        <v>2310</v>
      </c>
      <c r="T404" s="337" t="s">
        <v>5</v>
      </c>
      <c r="U404" s="337" t="s">
        <v>50</v>
      </c>
      <c r="V404" s="337">
        <v>100000</v>
      </c>
      <c r="W404" s="337">
        <v>100000</v>
      </c>
      <c r="X404" s="337" t="s">
        <v>6</v>
      </c>
      <c r="Y404" s="337"/>
      <c r="Z404" s="337">
        <v>10000</v>
      </c>
      <c r="AA404" s="337">
        <v>0.1184443011879921</v>
      </c>
      <c r="AB404" s="337">
        <v>2.5571649894118309E-2</v>
      </c>
      <c r="AC404" s="337">
        <v>0</v>
      </c>
      <c r="AD404" s="337">
        <v>0</v>
      </c>
      <c r="AE404" s="337">
        <v>0</v>
      </c>
      <c r="AF404" s="337">
        <v>0</v>
      </c>
      <c r="AG404" s="337">
        <v>0</v>
      </c>
      <c r="AH404" s="337">
        <v>0</v>
      </c>
      <c r="AI404" s="337">
        <v>0</v>
      </c>
      <c r="AJ404" s="337">
        <v>0</v>
      </c>
      <c r="AK404" s="337">
        <v>0</v>
      </c>
      <c r="AL404" s="337">
        <v>2</v>
      </c>
      <c r="AM404" s="337"/>
      <c r="AN404" s="337">
        <v>0</v>
      </c>
      <c r="AO404" s="337"/>
      <c r="AP404" s="337"/>
      <c r="AQ404" s="337"/>
      <c r="AR404" s="337"/>
      <c r="AS404" s="337"/>
      <c r="AT404" s="337"/>
      <c r="AU404" s="337"/>
      <c r="AV404" s="337"/>
      <c r="AW404" s="337"/>
      <c r="AX404" s="337"/>
      <c r="AY404" s="337"/>
      <c r="AZ404" s="337"/>
      <c r="BA404" s="337"/>
      <c r="BB404" s="337"/>
      <c r="BC404" s="337"/>
      <c r="BD404" s="337"/>
      <c r="BE404" s="337"/>
      <c r="BF404" s="337" t="s">
        <v>5</v>
      </c>
      <c r="BG404" s="337" t="s">
        <v>5</v>
      </c>
      <c r="BH404" s="337" t="s">
        <v>1777</v>
      </c>
      <c r="BI404" s="337"/>
      <c r="BJ404" s="337" t="s">
        <v>5</v>
      </c>
      <c r="BK404" s="337"/>
      <c r="BL404" s="337">
        <v>0</v>
      </c>
      <c r="BM404" s="337"/>
      <c r="BN404" s="337" t="s">
        <v>5</v>
      </c>
      <c r="BO404" s="337"/>
      <c r="BP404" s="337"/>
      <c r="BQ404" s="337"/>
      <c r="BR404" s="337"/>
      <c r="BS404" s="337" t="s">
        <v>5</v>
      </c>
      <c r="BT404" s="337"/>
      <c r="BU404" s="337"/>
      <c r="BV404" s="337"/>
      <c r="BW404" s="337" t="s">
        <v>1778</v>
      </c>
      <c r="BX404" s="337" t="s">
        <v>6</v>
      </c>
      <c r="BY404" s="337" t="s">
        <v>1101</v>
      </c>
      <c r="BZ404" s="337"/>
      <c r="CB404" s="337" t="s">
        <v>5</v>
      </c>
      <c r="CC404" s="337">
        <v>15719.58115130419</v>
      </c>
      <c r="CD404" s="337">
        <v>3968231.3108183751</v>
      </c>
      <c r="CE404" s="313" t="s">
        <v>11891</v>
      </c>
    </row>
    <row r="405" spans="1:83" ht="15" x14ac:dyDescent="0.25">
      <c r="A405" s="337" t="s">
        <v>2311</v>
      </c>
      <c r="B405" s="337" t="s">
        <v>2312</v>
      </c>
      <c r="C405" s="337" t="s">
        <v>2289</v>
      </c>
      <c r="D405" s="337">
        <v>3</v>
      </c>
      <c r="E405" s="337" t="s">
        <v>1771</v>
      </c>
      <c r="F405" s="337" t="s">
        <v>2290</v>
      </c>
      <c r="G405" s="337" t="s">
        <v>2313</v>
      </c>
      <c r="H405" s="337" t="s">
        <v>2314</v>
      </c>
      <c r="I405" s="337" t="s">
        <v>12780</v>
      </c>
      <c r="J405" s="337" t="s">
        <v>2315</v>
      </c>
      <c r="K405" s="337" t="s">
        <v>1787</v>
      </c>
      <c r="L405" s="337">
        <v>3.118697881698608</v>
      </c>
      <c r="M405" s="337" t="s">
        <v>6</v>
      </c>
      <c r="N405" s="337" t="s">
        <v>5</v>
      </c>
      <c r="O405" s="337" t="s">
        <v>5</v>
      </c>
      <c r="P405" s="337" t="s">
        <v>5</v>
      </c>
      <c r="Q405" s="337" t="s">
        <v>5</v>
      </c>
      <c r="R405" s="337" t="s">
        <v>4487</v>
      </c>
      <c r="S405" s="337" t="s">
        <v>2316</v>
      </c>
      <c r="T405" s="337" t="s">
        <v>5</v>
      </c>
      <c r="U405" s="337" t="s">
        <v>50</v>
      </c>
      <c r="V405" s="337">
        <v>100000</v>
      </c>
      <c r="W405" s="337">
        <v>100000</v>
      </c>
      <c r="X405" s="337" t="s">
        <v>6</v>
      </c>
      <c r="Y405" s="337"/>
      <c r="Z405" s="337">
        <v>10000</v>
      </c>
      <c r="AA405" s="337">
        <v>0.36969149112701422</v>
      </c>
      <c r="AB405" s="337">
        <v>6.6343769431114197E-2</v>
      </c>
      <c r="AC405" s="337">
        <v>6.6103260032832623E-3</v>
      </c>
      <c r="AD405" s="337">
        <v>13</v>
      </c>
      <c r="AE405" s="337">
        <v>10</v>
      </c>
      <c r="AF405" s="337">
        <v>8</v>
      </c>
      <c r="AG405" s="337">
        <v>4</v>
      </c>
      <c r="AH405" s="337">
        <v>15</v>
      </c>
      <c r="AI405" s="337">
        <v>15</v>
      </c>
      <c r="AJ405" s="337">
        <v>0</v>
      </c>
      <c r="AK405" s="337">
        <v>0</v>
      </c>
      <c r="AL405" s="337">
        <v>2</v>
      </c>
      <c r="AM405" s="337"/>
      <c r="AN405" s="337">
        <v>94.386093139648438</v>
      </c>
      <c r="AO405" s="337"/>
      <c r="AP405" s="337"/>
      <c r="AQ405" s="337"/>
      <c r="AR405" s="337"/>
      <c r="AS405" s="337"/>
      <c r="AT405" s="337"/>
      <c r="AU405" s="337"/>
      <c r="AV405" s="337"/>
      <c r="AW405" s="337"/>
      <c r="AX405" s="337"/>
      <c r="AY405" s="337"/>
      <c r="AZ405" s="337"/>
      <c r="BA405" s="337"/>
      <c r="BB405" s="337"/>
      <c r="BC405" s="337"/>
      <c r="BD405" s="337"/>
      <c r="BE405" s="337"/>
      <c r="BF405" s="337" t="s">
        <v>5</v>
      </c>
      <c r="BG405" s="337" t="s">
        <v>5</v>
      </c>
      <c r="BH405" s="337" t="s">
        <v>1777</v>
      </c>
      <c r="BI405" s="337"/>
      <c r="BJ405" s="337" t="s">
        <v>5</v>
      </c>
      <c r="BK405" s="337"/>
      <c r="BL405" s="337">
        <v>0</v>
      </c>
      <c r="BM405" s="337"/>
      <c r="BN405" s="337" t="s">
        <v>5</v>
      </c>
      <c r="BO405" s="337"/>
      <c r="BP405" s="337"/>
      <c r="BQ405" s="337"/>
      <c r="BR405" s="337"/>
      <c r="BS405" s="337" t="s">
        <v>5</v>
      </c>
      <c r="BT405" s="337"/>
      <c r="BU405" s="337"/>
      <c r="BV405" s="337"/>
      <c r="BW405" s="337" t="s">
        <v>1778</v>
      </c>
      <c r="BX405" s="337" t="s">
        <v>6</v>
      </c>
      <c r="BY405" s="337" t="s">
        <v>1101</v>
      </c>
      <c r="BZ405" s="337"/>
      <c r="CB405" s="337" t="s">
        <v>5</v>
      </c>
      <c r="CC405" s="337">
        <v>39928.910040042363</v>
      </c>
      <c r="CD405" s="337">
        <v>8079528.0453118067</v>
      </c>
      <c r="CE405" s="313" t="s">
        <v>11891</v>
      </c>
    </row>
    <row r="406" spans="1:83" ht="15" x14ac:dyDescent="0.25">
      <c r="A406" s="337" t="s">
        <v>2317</v>
      </c>
      <c r="B406" s="337" t="s">
        <v>2318</v>
      </c>
      <c r="C406" s="337" t="s">
        <v>2289</v>
      </c>
      <c r="D406" s="337">
        <v>3</v>
      </c>
      <c r="E406" s="337" t="s">
        <v>1771</v>
      </c>
      <c r="F406" s="337" t="s">
        <v>73</v>
      </c>
      <c r="G406" s="337" t="s">
        <v>1990</v>
      </c>
      <c r="H406" s="337" t="s">
        <v>4488</v>
      </c>
      <c r="I406" s="337" t="s">
        <v>12781</v>
      </c>
      <c r="J406" s="337" t="s">
        <v>2319</v>
      </c>
      <c r="K406" s="337" t="s">
        <v>1787</v>
      </c>
      <c r="L406" s="337">
        <v>1.1369409561157231</v>
      </c>
      <c r="M406" s="337" t="s">
        <v>6</v>
      </c>
      <c r="N406" s="337" t="s">
        <v>5</v>
      </c>
      <c r="O406" s="337" t="s">
        <v>5</v>
      </c>
      <c r="P406" s="337" t="s">
        <v>5</v>
      </c>
      <c r="Q406" s="337" t="s">
        <v>5</v>
      </c>
      <c r="R406" s="337" t="s">
        <v>4489</v>
      </c>
      <c r="S406" s="337" t="s">
        <v>2320</v>
      </c>
      <c r="T406" s="337" t="s">
        <v>5</v>
      </c>
      <c r="U406" s="337" t="s">
        <v>50</v>
      </c>
      <c r="V406" s="337">
        <v>100000</v>
      </c>
      <c r="W406" s="337">
        <v>100000</v>
      </c>
      <c r="X406" s="337" t="s">
        <v>6</v>
      </c>
      <c r="Y406" s="337"/>
      <c r="Z406" s="337">
        <v>10000</v>
      </c>
      <c r="AA406" s="337">
        <v>0.11969749629497529</v>
      </c>
      <c r="AB406" s="337">
        <v>2.756581082940102E-2</v>
      </c>
      <c r="AC406" s="337">
        <v>0</v>
      </c>
      <c r="AD406" s="337">
        <v>5</v>
      </c>
      <c r="AE406" s="337">
        <v>6</v>
      </c>
      <c r="AF406" s="337">
        <v>4</v>
      </c>
      <c r="AG406" s="337">
        <v>2</v>
      </c>
      <c r="AH406" s="337">
        <v>3</v>
      </c>
      <c r="AI406" s="337">
        <v>3</v>
      </c>
      <c r="AJ406" s="337">
        <v>0</v>
      </c>
      <c r="AK406" s="337">
        <v>0</v>
      </c>
      <c r="AL406" s="337">
        <v>0</v>
      </c>
      <c r="AM406" s="337"/>
      <c r="AN406" s="337">
        <v>19.52272987365723</v>
      </c>
      <c r="AO406" s="337"/>
      <c r="AP406" s="337"/>
      <c r="AQ406" s="337"/>
      <c r="AR406" s="337"/>
      <c r="AS406" s="337"/>
      <c r="AT406" s="337"/>
      <c r="AU406" s="337"/>
      <c r="AV406" s="337"/>
      <c r="AW406" s="337"/>
      <c r="AX406" s="337"/>
      <c r="AY406" s="337"/>
      <c r="AZ406" s="337"/>
      <c r="BA406" s="337"/>
      <c r="BB406" s="337"/>
      <c r="BC406" s="337"/>
      <c r="BD406" s="337"/>
      <c r="BE406" s="337"/>
      <c r="BF406" s="337" t="s">
        <v>5</v>
      </c>
      <c r="BG406" s="337" t="s">
        <v>5</v>
      </c>
      <c r="BH406" s="337" t="s">
        <v>1777</v>
      </c>
      <c r="BI406" s="337"/>
      <c r="BJ406" s="337" t="s">
        <v>5</v>
      </c>
      <c r="BK406" s="337"/>
      <c r="BL406" s="337">
        <v>0</v>
      </c>
      <c r="BM406" s="337"/>
      <c r="BN406" s="337" t="s">
        <v>5</v>
      </c>
      <c r="BO406" s="337"/>
      <c r="BP406" s="337"/>
      <c r="BQ406" s="337"/>
      <c r="BR406" s="337"/>
      <c r="BS406" s="337" t="s">
        <v>5</v>
      </c>
      <c r="BT406" s="337"/>
      <c r="BU406" s="337"/>
      <c r="BV406" s="337"/>
      <c r="BW406" s="337" t="s">
        <v>1778</v>
      </c>
      <c r="BX406" s="337" t="s">
        <v>6</v>
      </c>
      <c r="BY406" s="337" t="s">
        <v>1101</v>
      </c>
      <c r="BZ406" s="337"/>
      <c r="CB406" s="337" t="s">
        <v>5</v>
      </c>
      <c r="CC406" s="337">
        <v>12271.286185012421</v>
      </c>
      <c r="CD406" s="337">
        <v>2945443.670234832</v>
      </c>
      <c r="CE406" s="313" t="s">
        <v>11891</v>
      </c>
    </row>
    <row r="407" spans="1:83" ht="15" x14ac:dyDescent="0.25">
      <c r="A407" s="337" t="s">
        <v>2321</v>
      </c>
      <c r="B407" s="337" t="s">
        <v>2322</v>
      </c>
      <c r="C407" s="337" t="s">
        <v>2289</v>
      </c>
      <c r="D407" s="337">
        <v>3</v>
      </c>
      <c r="E407" s="337" t="s">
        <v>1771</v>
      </c>
      <c r="F407" s="337" t="s">
        <v>2165</v>
      </c>
      <c r="G407" s="337" t="s">
        <v>2313</v>
      </c>
      <c r="H407" s="337" t="s">
        <v>2323</v>
      </c>
      <c r="I407" s="337" t="s">
        <v>12750</v>
      </c>
      <c r="J407" s="337" t="s">
        <v>2324</v>
      </c>
      <c r="K407" s="337" t="s">
        <v>1787</v>
      </c>
      <c r="L407" s="337">
        <v>0.1440185010433197</v>
      </c>
      <c r="M407" s="337" t="s">
        <v>6</v>
      </c>
      <c r="N407" s="337" t="s">
        <v>5</v>
      </c>
      <c r="O407" s="337" t="s">
        <v>5</v>
      </c>
      <c r="P407" s="337" t="s">
        <v>5</v>
      </c>
      <c r="Q407" s="337" t="s">
        <v>5</v>
      </c>
      <c r="R407" s="337" t="s">
        <v>4490</v>
      </c>
      <c r="S407" s="337" t="s">
        <v>2325</v>
      </c>
      <c r="T407" s="337" t="s">
        <v>5</v>
      </c>
      <c r="U407" s="337" t="s">
        <v>50</v>
      </c>
      <c r="V407" s="337">
        <v>100000</v>
      </c>
      <c r="W407" s="337">
        <v>100000</v>
      </c>
      <c r="X407" s="337" t="s">
        <v>6</v>
      </c>
      <c r="Y407" s="337"/>
      <c r="Z407" s="337">
        <v>10000</v>
      </c>
      <c r="AA407" s="337">
        <v>8.8149617658928037E-4</v>
      </c>
      <c r="AB407" s="337">
        <v>3.4450969542376702E-4</v>
      </c>
      <c r="AC407" s="337">
        <v>0</v>
      </c>
      <c r="AD407" s="337">
        <v>0</v>
      </c>
      <c r="AE407" s="337">
        <v>0</v>
      </c>
      <c r="AF407" s="337">
        <v>0</v>
      </c>
      <c r="AG407" s="337">
        <v>0</v>
      </c>
      <c r="AH407" s="337">
        <v>0</v>
      </c>
      <c r="AI407" s="337">
        <v>0</v>
      </c>
      <c r="AJ407" s="337">
        <v>0</v>
      </c>
      <c r="AK407" s="337">
        <v>0</v>
      </c>
      <c r="AL407" s="337">
        <v>0</v>
      </c>
      <c r="AM407" s="337"/>
      <c r="AN407" s="337">
        <v>0.56415760517120361</v>
      </c>
      <c r="AO407" s="337"/>
      <c r="AP407" s="337"/>
      <c r="AQ407" s="337"/>
      <c r="AR407" s="337"/>
      <c r="AS407" s="337"/>
      <c r="AT407" s="337"/>
      <c r="AU407" s="337"/>
      <c r="AV407" s="337"/>
      <c r="AW407" s="337"/>
      <c r="AX407" s="337"/>
      <c r="AY407" s="337"/>
      <c r="AZ407" s="337"/>
      <c r="BA407" s="337"/>
      <c r="BB407" s="337"/>
      <c r="BC407" s="337"/>
      <c r="BD407" s="337"/>
      <c r="BE407" s="337"/>
      <c r="BF407" s="337" t="s">
        <v>5</v>
      </c>
      <c r="BG407" s="337" t="s">
        <v>5</v>
      </c>
      <c r="BH407" s="337" t="s">
        <v>1777</v>
      </c>
      <c r="BI407" s="337"/>
      <c r="BJ407" s="337" t="s">
        <v>5</v>
      </c>
      <c r="BK407" s="337"/>
      <c r="BL407" s="337">
        <v>0</v>
      </c>
      <c r="BM407" s="337"/>
      <c r="BN407" s="337" t="s">
        <v>5</v>
      </c>
      <c r="BO407" s="337"/>
      <c r="BP407" s="337"/>
      <c r="BQ407" s="337"/>
      <c r="BR407" s="337"/>
      <c r="BS407" s="337" t="s">
        <v>5</v>
      </c>
      <c r="BT407" s="337"/>
      <c r="BU407" s="337"/>
      <c r="BV407" s="337"/>
      <c r="BW407" s="337" t="s">
        <v>1778</v>
      </c>
      <c r="BX407" s="337" t="s">
        <v>6</v>
      </c>
      <c r="BY407" s="337" t="s">
        <v>1101</v>
      </c>
      <c r="BZ407" s="337"/>
      <c r="CB407" s="337" t="s">
        <v>5</v>
      </c>
      <c r="CC407" s="337">
        <v>2879.1212931546438</v>
      </c>
      <c r="CD407" s="337">
        <v>373105.03960229311</v>
      </c>
      <c r="CE407" s="313" t="s">
        <v>11891</v>
      </c>
    </row>
    <row r="408" spans="1:83" ht="15" x14ac:dyDescent="0.25">
      <c r="A408" s="337" t="s">
        <v>2326</v>
      </c>
      <c r="B408" s="337" t="s">
        <v>2327</v>
      </c>
      <c r="C408" s="337" t="s">
        <v>2289</v>
      </c>
      <c r="D408" s="337">
        <v>3</v>
      </c>
      <c r="E408" s="337" t="s">
        <v>1771</v>
      </c>
      <c r="F408" s="337" t="s">
        <v>2165</v>
      </c>
      <c r="G408" s="337" t="s">
        <v>2328</v>
      </c>
      <c r="H408" s="337" t="s">
        <v>4491</v>
      </c>
      <c r="I408" s="337" t="s">
        <v>12782</v>
      </c>
      <c r="J408" s="337" t="s">
        <v>2329</v>
      </c>
      <c r="K408" s="337" t="s">
        <v>1787</v>
      </c>
      <c r="L408" s="337">
        <v>1.6062090396881099</v>
      </c>
      <c r="M408" s="337" t="s">
        <v>6</v>
      </c>
      <c r="N408" s="337" t="s">
        <v>5</v>
      </c>
      <c r="O408" s="337" t="s">
        <v>5</v>
      </c>
      <c r="P408" s="337" t="s">
        <v>5</v>
      </c>
      <c r="Q408" s="337" t="s">
        <v>5</v>
      </c>
      <c r="R408" s="337" t="s">
        <v>4492</v>
      </c>
      <c r="S408" s="337" t="s">
        <v>2330</v>
      </c>
      <c r="T408" s="337" t="s">
        <v>5</v>
      </c>
      <c r="U408" s="337" t="s">
        <v>50</v>
      </c>
      <c r="V408" s="337">
        <v>100000</v>
      </c>
      <c r="W408" s="337">
        <v>100000</v>
      </c>
      <c r="X408" s="337" t="s">
        <v>6</v>
      </c>
      <c r="Y408" s="337"/>
      <c r="Z408" s="337">
        <v>10000</v>
      </c>
      <c r="AA408" s="337">
        <v>0.19437380135059359</v>
      </c>
      <c r="AB408" s="337">
        <v>1.6657590866088871E-2</v>
      </c>
      <c r="AC408" s="337">
        <v>0</v>
      </c>
      <c r="AD408" s="337">
        <v>7</v>
      </c>
      <c r="AE408" s="337">
        <v>1</v>
      </c>
      <c r="AF408" s="337">
        <v>6</v>
      </c>
      <c r="AG408" s="337">
        <v>11</v>
      </c>
      <c r="AH408" s="337">
        <v>12</v>
      </c>
      <c r="AI408" s="337">
        <v>12</v>
      </c>
      <c r="AJ408" s="337">
        <v>0</v>
      </c>
      <c r="AK408" s="337">
        <v>0</v>
      </c>
      <c r="AL408" s="337">
        <v>0</v>
      </c>
      <c r="AM408" s="337"/>
      <c r="AN408" s="337">
        <v>28.191680908203121</v>
      </c>
      <c r="AO408" s="337"/>
      <c r="AP408" s="337"/>
      <c r="AQ408" s="337"/>
      <c r="AR408" s="337"/>
      <c r="AS408" s="337"/>
      <c r="AT408" s="337"/>
      <c r="AU408" s="337"/>
      <c r="AV408" s="337"/>
      <c r="AW408" s="337"/>
      <c r="AX408" s="337"/>
      <c r="AY408" s="337"/>
      <c r="AZ408" s="337"/>
      <c r="BA408" s="337"/>
      <c r="BB408" s="337"/>
      <c r="BC408" s="337"/>
      <c r="BD408" s="337"/>
      <c r="BE408" s="337"/>
      <c r="BF408" s="337" t="s">
        <v>5</v>
      </c>
      <c r="BG408" s="337" t="s">
        <v>5</v>
      </c>
      <c r="BH408" s="337" t="s">
        <v>1777</v>
      </c>
      <c r="BI408" s="337"/>
      <c r="BJ408" s="337" t="s">
        <v>5</v>
      </c>
      <c r="BK408" s="337"/>
      <c r="BL408" s="337">
        <v>0</v>
      </c>
      <c r="BM408" s="337"/>
      <c r="BN408" s="337" t="s">
        <v>5</v>
      </c>
      <c r="BO408" s="337"/>
      <c r="BP408" s="337"/>
      <c r="BQ408" s="337"/>
      <c r="BR408" s="337"/>
      <c r="BS408" s="337" t="s">
        <v>5</v>
      </c>
      <c r="BT408" s="337"/>
      <c r="BU408" s="337"/>
      <c r="BV408" s="337"/>
      <c r="BW408" s="337" t="s">
        <v>1778</v>
      </c>
      <c r="BX408" s="337" t="s">
        <v>6</v>
      </c>
      <c r="BY408" s="337" t="s">
        <v>1101</v>
      </c>
      <c r="BZ408" s="337"/>
      <c r="CB408" s="337" t="s">
        <v>5</v>
      </c>
      <c r="CC408" s="337">
        <v>12790.066325125499</v>
      </c>
      <c r="CD408" s="337">
        <v>4161162.4534376641</v>
      </c>
      <c r="CE408" s="313" t="s">
        <v>11891</v>
      </c>
    </row>
    <row r="409" spans="1:83" ht="15" x14ac:dyDescent="0.25">
      <c r="A409" s="337" t="s">
        <v>2331</v>
      </c>
      <c r="B409" s="337" t="s">
        <v>2332</v>
      </c>
      <c r="C409" s="337" t="s">
        <v>2289</v>
      </c>
      <c r="D409" s="337">
        <v>3</v>
      </c>
      <c r="E409" s="337" t="s">
        <v>1771</v>
      </c>
      <c r="F409" s="337" t="s">
        <v>4493</v>
      </c>
      <c r="G409" s="337" t="s">
        <v>1878</v>
      </c>
      <c r="H409" s="337" t="s">
        <v>4494</v>
      </c>
      <c r="I409" s="337" t="s">
        <v>12783</v>
      </c>
      <c r="J409" s="337" t="s">
        <v>2333</v>
      </c>
      <c r="K409" s="337" t="s">
        <v>1787</v>
      </c>
      <c r="L409" s="337">
        <v>7.5776920318603516</v>
      </c>
      <c r="M409" s="337" t="s">
        <v>6</v>
      </c>
      <c r="N409" s="337" t="s">
        <v>5</v>
      </c>
      <c r="O409" s="337" t="s">
        <v>5</v>
      </c>
      <c r="P409" s="337" t="s">
        <v>5</v>
      </c>
      <c r="Q409" s="337" t="s">
        <v>5</v>
      </c>
      <c r="R409" s="337" t="s">
        <v>4495</v>
      </c>
      <c r="S409" s="337" t="s">
        <v>2334</v>
      </c>
      <c r="T409" s="337" t="s">
        <v>5</v>
      </c>
      <c r="U409" s="337" t="s">
        <v>50</v>
      </c>
      <c r="V409" s="337">
        <v>100000</v>
      </c>
      <c r="W409" s="337">
        <v>100000</v>
      </c>
      <c r="X409" s="337" t="s">
        <v>6</v>
      </c>
      <c r="Y409" s="337"/>
      <c r="Z409" s="337">
        <v>10000</v>
      </c>
      <c r="AA409" s="337">
        <v>2.0256390571594238</v>
      </c>
      <c r="AB409" s="337">
        <v>0.3694072961807251</v>
      </c>
      <c r="AC409" s="337">
        <v>5.533452145755291E-3</v>
      </c>
      <c r="AD409" s="337">
        <v>202</v>
      </c>
      <c r="AE409" s="337">
        <v>58</v>
      </c>
      <c r="AF409" s="337">
        <v>196</v>
      </c>
      <c r="AG409" s="337">
        <v>127</v>
      </c>
      <c r="AH409" s="337">
        <v>512</v>
      </c>
      <c r="AI409" s="337">
        <v>512</v>
      </c>
      <c r="AJ409" s="337">
        <v>0</v>
      </c>
      <c r="AK409" s="337">
        <v>2</v>
      </c>
      <c r="AL409" s="337">
        <v>3</v>
      </c>
      <c r="AM409" s="337"/>
      <c r="AN409" s="337">
        <v>701.3402099609375</v>
      </c>
      <c r="AO409" s="337"/>
      <c r="AP409" s="337"/>
      <c r="AQ409" s="337"/>
      <c r="AR409" s="337"/>
      <c r="AS409" s="337"/>
      <c r="AT409" s="337"/>
      <c r="AU409" s="337"/>
      <c r="AV409" s="337"/>
      <c r="AW409" s="337"/>
      <c r="AX409" s="337"/>
      <c r="AY409" s="337"/>
      <c r="AZ409" s="337"/>
      <c r="BA409" s="337"/>
      <c r="BB409" s="337"/>
      <c r="BC409" s="337"/>
      <c r="BD409" s="337"/>
      <c r="BE409" s="337"/>
      <c r="BF409" s="337" t="s">
        <v>5</v>
      </c>
      <c r="BG409" s="337" t="s">
        <v>5</v>
      </c>
      <c r="BH409" s="337" t="s">
        <v>1777</v>
      </c>
      <c r="BI409" s="337"/>
      <c r="BJ409" s="337" t="s">
        <v>5</v>
      </c>
      <c r="BK409" s="337"/>
      <c r="BL409" s="337">
        <v>0</v>
      </c>
      <c r="BM409" s="337"/>
      <c r="BN409" s="337" t="s">
        <v>5</v>
      </c>
      <c r="BO409" s="337"/>
      <c r="BP409" s="337"/>
      <c r="BQ409" s="337"/>
      <c r="BR409" s="337"/>
      <c r="BS409" s="337" t="s">
        <v>5</v>
      </c>
      <c r="BT409" s="337"/>
      <c r="BU409" s="337"/>
      <c r="BV409" s="337"/>
      <c r="BW409" s="337" t="s">
        <v>1778</v>
      </c>
      <c r="BX409" s="337" t="s">
        <v>6</v>
      </c>
      <c r="BY409" s="337" t="s">
        <v>1101</v>
      </c>
      <c r="BZ409" s="337"/>
      <c r="CB409" s="337" t="s">
        <v>5</v>
      </c>
      <c r="CC409" s="337">
        <v>58161.313803219498</v>
      </c>
      <c r="CD409" s="337">
        <v>19631325.437592719</v>
      </c>
      <c r="CE409" s="313" t="s">
        <v>11891</v>
      </c>
    </row>
    <row r="410" spans="1:83" ht="15" x14ac:dyDescent="0.25">
      <c r="A410" s="337" t="s">
        <v>2335</v>
      </c>
      <c r="B410" s="337" t="s">
        <v>2336</v>
      </c>
      <c r="C410" s="337" t="s">
        <v>2289</v>
      </c>
      <c r="D410" s="337">
        <v>3</v>
      </c>
      <c r="E410" s="337" t="s">
        <v>1771</v>
      </c>
      <c r="F410" s="337" t="s">
        <v>2337</v>
      </c>
      <c r="G410" s="337" t="s">
        <v>2166</v>
      </c>
      <c r="H410" s="337" t="s">
        <v>4496</v>
      </c>
      <c r="I410" s="337" t="s">
        <v>12784</v>
      </c>
      <c r="J410" s="337" t="s">
        <v>2338</v>
      </c>
      <c r="K410" s="337" t="s">
        <v>1787</v>
      </c>
      <c r="L410" s="337">
        <v>1.6684279441833501</v>
      </c>
      <c r="M410" s="337" t="s">
        <v>6</v>
      </c>
      <c r="N410" s="337" t="s">
        <v>5</v>
      </c>
      <c r="O410" s="337" t="s">
        <v>5</v>
      </c>
      <c r="P410" s="337" t="s">
        <v>5</v>
      </c>
      <c r="Q410" s="337" t="s">
        <v>5</v>
      </c>
      <c r="R410" s="337" t="s">
        <v>4497</v>
      </c>
      <c r="S410" s="337" t="s">
        <v>2339</v>
      </c>
      <c r="T410" s="337" t="s">
        <v>5</v>
      </c>
      <c r="U410" s="337" t="s">
        <v>50</v>
      </c>
      <c r="V410" s="337">
        <v>100000</v>
      </c>
      <c r="W410" s="337">
        <v>100000</v>
      </c>
      <c r="X410" s="337" t="s">
        <v>6</v>
      </c>
      <c r="Y410" s="337"/>
      <c r="Z410" s="337">
        <v>10000</v>
      </c>
      <c r="AA410" s="337">
        <v>0.13986590504646301</v>
      </c>
      <c r="AB410" s="337">
        <v>1.8005760386586189E-2</v>
      </c>
      <c r="AC410" s="337">
        <v>0</v>
      </c>
      <c r="AD410" s="337">
        <v>7</v>
      </c>
      <c r="AE410" s="337">
        <v>1</v>
      </c>
      <c r="AF410" s="337">
        <v>5</v>
      </c>
      <c r="AG410" s="337">
        <v>4</v>
      </c>
      <c r="AH410" s="337">
        <v>16</v>
      </c>
      <c r="AI410" s="337">
        <v>16</v>
      </c>
      <c r="AJ410" s="337">
        <v>0</v>
      </c>
      <c r="AK410" s="337">
        <v>0</v>
      </c>
      <c r="AL410" s="337">
        <v>0</v>
      </c>
      <c r="AM410" s="337"/>
      <c r="AN410" s="337">
        <v>15.780659675598139</v>
      </c>
      <c r="AO410" s="337"/>
      <c r="AP410" s="337"/>
      <c r="AQ410" s="337"/>
      <c r="AR410" s="337"/>
      <c r="AS410" s="337"/>
      <c r="AT410" s="337"/>
      <c r="AU410" s="337"/>
      <c r="AV410" s="337"/>
      <c r="AW410" s="337"/>
      <c r="AX410" s="337"/>
      <c r="AY410" s="337"/>
      <c r="AZ410" s="337"/>
      <c r="BA410" s="337"/>
      <c r="BB410" s="337"/>
      <c r="BC410" s="337"/>
      <c r="BD410" s="337"/>
      <c r="BE410" s="337"/>
      <c r="BF410" s="337" t="s">
        <v>5</v>
      </c>
      <c r="BG410" s="337" t="s">
        <v>5</v>
      </c>
      <c r="BH410" s="337" t="s">
        <v>1777</v>
      </c>
      <c r="BI410" s="337"/>
      <c r="BJ410" s="337" t="s">
        <v>5</v>
      </c>
      <c r="BK410" s="337"/>
      <c r="BL410" s="337">
        <v>0</v>
      </c>
      <c r="BM410" s="337"/>
      <c r="BN410" s="337" t="s">
        <v>5</v>
      </c>
      <c r="BO410" s="337"/>
      <c r="BP410" s="337"/>
      <c r="BQ410" s="337"/>
      <c r="BR410" s="337"/>
      <c r="BS410" s="337" t="s">
        <v>5</v>
      </c>
      <c r="BT410" s="337"/>
      <c r="BU410" s="337"/>
      <c r="BV410" s="337"/>
      <c r="BW410" s="337" t="s">
        <v>1778</v>
      </c>
      <c r="BX410" s="337" t="s">
        <v>6</v>
      </c>
      <c r="BY410" s="337" t="s">
        <v>1101</v>
      </c>
      <c r="BZ410" s="337"/>
      <c r="CB410" s="337" t="s">
        <v>5</v>
      </c>
      <c r="CC410" s="337">
        <v>17504.969890124459</v>
      </c>
      <c r="CD410" s="337">
        <v>4322351.7339846911</v>
      </c>
      <c r="CE410" s="313" t="s">
        <v>11891</v>
      </c>
    </row>
    <row r="411" spans="1:83" ht="15" x14ac:dyDescent="0.25">
      <c r="A411" s="337" t="s">
        <v>2340</v>
      </c>
      <c r="B411" s="337" t="s">
        <v>2341</v>
      </c>
      <c r="C411" s="337" t="s">
        <v>2289</v>
      </c>
      <c r="D411" s="337">
        <v>3</v>
      </c>
      <c r="E411" s="337" t="s">
        <v>1771</v>
      </c>
      <c r="F411" s="337" t="s">
        <v>1528</v>
      </c>
      <c r="G411" s="337" t="s">
        <v>2342</v>
      </c>
      <c r="H411" s="337" t="s">
        <v>4498</v>
      </c>
      <c r="I411" s="337" t="s">
        <v>12785</v>
      </c>
      <c r="J411" s="337" t="s">
        <v>2343</v>
      </c>
      <c r="K411" s="337" t="s">
        <v>1787</v>
      </c>
      <c r="L411" s="337">
        <v>1.4017959833145139</v>
      </c>
      <c r="M411" s="337" t="s">
        <v>6</v>
      </c>
      <c r="N411" s="337" t="s">
        <v>5</v>
      </c>
      <c r="O411" s="337" t="s">
        <v>5</v>
      </c>
      <c r="P411" s="337" t="s">
        <v>5</v>
      </c>
      <c r="Q411" s="337" t="s">
        <v>5</v>
      </c>
      <c r="R411" s="337" t="s">
        <v>4499</v>
      </c>
      <c r="S411" s="337" t="s">
        <v>2344</v>
      </c>
      <c r="T411" s="337" t="s">
        <v>5</v>
      </c>
      <c r="U411" s="337" t="s">
        <v>50</v>
      </c>
      <c r="V411" s="337">
        <v>100000</v>
      </c>
      <c r="W411" s="337">
        <v>100000</v>
      </c>
      <c r="X411" s="337" t="s">
        <v>6</v>
      </c>
      <c r="Y411" s="337"/>
      <c r="Z411" s="337">
        <v>10000</v>
      </c>
      <c r="AA411" s="337">
        <v>0.1479962021112442</v>
      </c>
      <c r="AB411" s="337">
        <v>3.7321001291275017E-2</v>
      </c>
      <c r="AC411" s="337">
        <v>0</v>
      </c>
      <c r="AD411" s="337">
        <v>0</v>
      </c>
      <c r="AE411" s="337">
        <v>1</v>
      </c>
      <c r="AF411" s="337">
        <v>0</v>
      </c>
      <c r="AG411" s="337">
        <v>0</v>
      </c>
      <c r="AH411" s="337">
        <v>0</v>
      </c>
      <c r="AI411" s="337">
        <v>0</v>
      </c>
      <c r="AJ411" s="337">
        <v>0</v>
      </c>
      <c r="AK411" s="337">
        <v>0</v>
      </c>
      <c r="AL411" s="337">
        <v>0</v>
      </c>
      <c r="AM411" s="337"/>
      <c r="AN411" s="337">
        <v>31.516939163208011</v>
      </c>
      <c r="AO411" s="337"/>
      <c r="AP411" s="337"/>
      <c r="AQ411" s="337"/>
      <c r="AR411" s="337"/>
      <c r="AS411" s="337"/>
      <c r="AT411" s="337"/>
      <c r="AU411" s="337"/>
      <c r="AV411" s="337"/>
      <c r="AW411" s="337"/>
      <c r="AX411" s="337"/>
      <c r="AY411" s="337"/>
      <c r="AZ411" s="337"/>
      <c r="BA411" s="337"/>
      <c r="BB411" s="337"/>
      <c r="BC411" s="337"/>
      <c r="BD411" s="337"/>
      <c r="BE411" s="337"/>
      <c r="BF411" s="337" t="s">
        <v>5</v>
      </c>
      <c r="BG411" s="337" t="s">
        <v>5</v>
      </c>
      <c r="BH411" s="337" t="s">
        <v>1777</v>
      </c>
      <c r="BI411" s="337"/>
      <c r="BJ411" s="337" t="s">
        <v>5</v>
      </c>
      <c r="BK411" s="337"/>
      <c r="BL411" s="337">
        <v>0</v>
      </c>
      <c r="BM411" s="337"/>
      <c r="BN411" s="337" t="s">
        <v>5</v>
      </c>
      <c r="BO411" s="337"/>
      <c r="BP411" s="337"/>
      <c r="BQ411" s="337"/>
      <c r="BR411" s="337"/>
      <c r="BS411" s="337" t="s">
        <v>5</v>
      </c>
      <c r="BT411" s="337"/>
      <c r="BU411" s="337"/>
      <c r="BV411" s="337"/>
      <c r="BW411" s="337" t="s">
        <v>1778</v>
      </c>
      <c r="BX411" s="337" t="s">
        <v>6</v>
      </c>
      <c r="BY411" s="337" t="s">
        <v>1101</v>
      </c>
      <c r="BZ411" s="337"/>
      <c r="CB411" s="337" t="s">
        <v>5</v>
      </c>
      <c r="CC411" s="337">
        <v>34738.959611188329</v>
      </c>
      <c r="CD411" s="337">
        <v>3631594.768684153</v>
      </c>
      <c r="CE411" s="313" t="s">
        <v>11891</v>
      </c>
    </row>
    <row r="412" spans="1:83" ht="15" x14ac:dyDescent="0.25">
      <c r="A412" s="337" t="s">
        <v>2345</v>
      </c>
      <c r="B412" s="337" t="s">
        <v>2346</v>
      </c>
      <c r="C412" s="337" t="s">
        <v>2289</v>
      </c>
      <c r="D412" s="337">
        <v>3</v>
      </c>
      <c r="E412" s="337" t="s">
        <v>1771</v>
      </c>
      <c r="F412" s="337" t="s">
        <v>2290</v>
      </c>
      <c r="G412" s="337" t="s">
        <v>2347</v>
      </c>
      <c r="H412" s="337" t="s">
        <v>2348</v>
      </c>
      <c r="I412" s="337" t="s">
        <v>2349</v>
      </c>
      <c r="J412" s="337" t="s">
        <v>2350</v>
      </c>
      <c r="K412" s="337" t="s">
        <v>1787</v>
      </c>
      <c r="L412" s="337">
        <v>0.26869070529937739</v>
      </c>
      <c r="M412" s="337" t="s">
        <v>6</v>
      </c>
      <c r="N412" s="337" t="s">
        <v>5</v>
      </c>
      <c r="O412" s="337" t="s">
        <v>5</v>
      </c>
      <c r="P412" s="337" t="s">
        <v>5</v>
      </c>
      <c r="Q412" s="337" t="s">
        <v>5</v>
      </c>
      <c r="R412" s="337" t="s">
        <v>4500</v>
      </c>
      <c r="S412" s="337" t="s">
        <v>2351</v>
      </c>
      <c r="T412" s="337" t="s">
        <v>5</v>
      </c>
      <c r="U412" s="337" t="s">
        <v>50</v>
      </c>
      <c r="V412" s="337">
        <v>100000</v>
      </c>
      <c r="W412" s="337">
        <v>100000</v>
      </c>
      <c r="X412" s="337" t="s">
        <v>6</v>
      </c>
      <c r="Y412" s="337"/>
      <c r="Z412" s="337">
        <v>10000</v>
      </c>
      <c r="AA412" s="337">
        <v>1.7817819491028789E-2</v>
      </c>
      <c r="AB412" s="337">
        <v>6.3093029893934727E-3</v>
      </c>
      <c r="AC412" s="337">
        <v>0</v>
      </c>
      <c r="AD412" s="337">
        <v>3</v>
      </c>
      <c r="AE412" s="337">
        <v>0</v>
      </c>
      <c r="AF412" s="337">
        <v>3</v>
      </c>
      <c r="AG412" s="337">
        <v>1</v>
      </c>
      <c r="AH412" s="337">
        <v>2</v>
      </c>
      <c r="AI412" s="337">
        <v>2</v>
      </c>
      <c r="AJ412" s="337">
        <v>0</v>
      </c>
      <c r="AK412" s="337">
        <v>0</v>
      </c>
      <c r="AL412" s="337">
        <v>0</v>
      </c>
      <c r="AM412" s="337"/>
      <c r="AN412" s="337">
        <v>10.030240058898929</v>
      </c>
      <c r="AO412" s="337"/>
      <c r="AP412" s="337"/>
      <c r="AQ412" s="337"/>
      <c r="AR412" s="337"/>
      <c r="AS412" s="337"/>
      <c r="AT412" s="337"/>
      <c r="AU412" s="337"/>
      <c r="AV412" s="337"/>
      <c r="AW412" s="337"/>
      <c r="AX412" s="337"/>
      <c r="AY412" s="337"/>
      <c r="AZ412" s="337"/>
      <c r="BA412" s="337"/>
      <c r="BB412" s="337"/>
      <c r="BC412" s="337"/>
      <c r="BD412" s="337"/>
      <c r="BE412" s="337"/>
      <c r="BF412" s="337" t="s">
        <v>5</v>
      </c>
      <c r="BG412" s="337" t="s">
        <v>5</v>
      </c>
      <c r="BH412" s="337" t="s">
        <v>1777</v>
      </c>
      <c r="BI412" s="337"/>
      <c r="BJ412" s="337" t="s">
        <v>5</v>
      </c>
      <c r="BK412" s="337"/>
      <c r="BL412" s="337">
        <v>0</v>
      </c>
      <c r="BM412" s="337"/>
      <c r="BN412" s="337" t="s">
        <v>5</v>
      </c>
      <c r="BO412" s="337"/>
      <c r="BP412" s="337"/>
      <c r="BQ412" s="337"/>
      <c r="BR412" s="337"/>
      <c r="BS412" s="337" t="s">
        <v>5</v>
      </c>
      <c r="BT412" s="337"/>
      <c r="BU412" s="337"/>
      <c r="BV412" s="337"/>
      <c r="BW412" s="337" t="s">
        <v>1778</v>
      </c>
      <c r="BX412" s="337" t="s">
        <v>6</v>
      </c>
      <c r="BY412" s="337" t="s">
        <v>1101</v>
      </c>
      <c r="BZ412" s="337"/>
      <c r="CB412" s="337" t="s">
        <v>5</v>
      </c>
      <c r="CC412" s="337">
        <v>3927.3320490999349</v>
      </c>
      <c r="CD412" s="337">
        <v>696089.96607950528</v>
      </c>
      <c r="CE412" s="313" t="s">
        <v>11891</v>
      </c>
    </row>
    <row r="413" spans="1:83" ht="15" x14ac:dyDescent="0.25">
      <c r="A413" s="337" t="s">
        <v>2352</v>
      </c>
      <c r="B413" s="337" t="s">
        <v>2353</v>
      </c>
      <c r="C413" s="337" t="s">
        <v>2289</v>
      </c>
      <c r="D413" s="337">
        <v>3</v>
      </c>
      <c r="E413" s="337" t="s">
        <v>1771</v>
      </c>
      <c r="F413" s="337" t="s">
        <v>2290</v>
      </c>
      <c r="G413" s="337" t="s">
        <v>1969</v>
      </c>
      <c r="H413" s="337" t="s">
        <v>4501</v>
      </c>
      <c r="I413" s="337" t="s">
        <v>12786</v>
      </c>
      <c r="J413" s="337" t="s">
        <v>2354</v>
      </c>
      <c r="K413" s="337" t="s">
        <v>1787</v>
      </c>
      <c r="L413" s="337">
        <v>2.3612160682678218</v>
      </c>
      <c r="M413" s="337" t="s">
        <v>6</v>
      </c>
      <c r="N413" s="337" t="s">
        <v>5</v>
      </c>
      <c r="O413" s="337" t="s">
        <v>5</v>
      </c>
      <c r="P413" s="337" t="s">
        <v>5</v>
      </c>
      <c r="Q413" s="337" t="s">
        <v>5</v>
      </c>
      <c r="R413" s="337" t="s">
        <v>4502</v>
      </c>
      <c r="S413" s="337" t="s">
        <v>2355</v>
      </c>
      <c r="T413" s="337" t="s">
        <v>5</v>
      </c>
      <c r="U413" s="337" t="s">
        <v>50</v>
      </c>
      <c r="V413" s="337">
        <v>100000</v>
      </c>
      <c r="W413" s="337">
        <v>100000</v>
      </c>
      <c r="X413" s="337" t="s">
        <v>6</v>
      </c>
      <c r="Y413" s="337"/>
      <c r="Z413" s="337">
        <v>10000</v>
      </c>
      <c r="AA413" s="337">
        <v>0.26458409428596502</v>
      </c>
      <c r="AB413" s="337">
        <v>7.0650428533554077E-2</v>
      </c>
      <c r="AC413" s="337">
        <v>0</v>
      </c>
      <c r="AD413" s="337">
        <v>2</v>
      </c>
      <c r="AE413" s="337">
        <v>8</v>
      </c>
      <c r="AF413" s="337">
        <v>2</v>
      </c>
      <c r="AG413" s="337">
        <v>3</v>
      </c>
      <c r="AH413" s="337">
        <v>2</v>
      </c>
      <c r="AI413" s="337">
        <v>3</v>
      </c>
      <c r="AJ413" s="337">
        <v>0</v>
      </c>
      <c r="AK413" s="337">
        <v>2</v>
      </c>
      <c r="AL413" s="337">
        <v>2</v>
      </c>
      <c r="AM413" s="337"/>
      <c r="AN413" s="337">
        <v>90.129310607910156</v>
      </c>
      <c r="AO413" s="337"/>
      <c r="AP413" s="337"/>
      <c r="AQ413" s="337"/>
      <c r="AR413" s="337"/>
      <c r="AS413" s="337"/>
      <c r="AT413" s="337"/>
      <c r="AU413" s="337"/>
      <c r="AV413" s="337"/>
      <c r="AW413" s="337"/>
      <c r="AX413" s="337"/>
      <c r="AY413" s="337"/>
      <c r="AZ413" s="337"/>
      <c r="BA413" s="337"/>
      <c r="BB413" s="337"/>
      <c r="BC413" s="337"/>
      <c r="BD413" s="337"/>
      <c r="BE413" s="337"/>
      <c r="BF413" s="337" t="s">
        <v>5</v>
      </c>
      <c r="BG413" s="337" t="s">
        <v>5</v>
      </c>
      <c r="BH413" s="337" t="s">
        <v>1777</v>
      </c>
      <c r="BI413" s="337"/>
      <c r="BJ413" s="337" t="s">
        <v>5</v>
      </c>
      <c r="BK413" s="337"/>
      <c r="BL413" s="337">
        <v>0</v>
      </c>
      <c r="BM413" s="337"/>
      <c r="BN413" s="337" t="s">
        <v>5</v>
      </c>
      <c r="BO413" s="337"/>
      <c r="BP413" s="337"/>
      <c r="BQ413" s="337"/>
      <c r="BR413" s="337"/>
      <c r="BS413" s="337" t="s">
        <v>5</v>
      </c>
      <c r="BT413" s="337"/>
      <c r="BU413" s="337"/>
      <c r="BV413" s="337"/>
      <c r="BW413" s="337" t="s">
        <v>1778</v>
      </c>
      <c r="BX413" s="337" t="s">
        <v>6</v>
      </c>
      <c r="BY413" s="337" t="s">
        <v>1101</v>
      </c>
      <c r="BZ413" s="337"/>
      <c r="CB413" s="337" t="s">
        <v>5</v>
      </c>
      <c r="CC413" s="337">
        <v>68525.033970222197</v>
      </c>
      <c r="CD413" s="337">
        <v>6117140.4873767868</v>
      </c>
      <c r="CE413" s="313" t="s">
        <v>11891</v>
      </c>
    </row>
    <row r="414" spans="1:83" ht="15" x14ac:dyDescent="0.25">
      <c r="A414" s="337" t="s">
        <v>2356</v>
      </c>
      <c r="B414" s="337" t="s">
        <v>2357</v>
      </c>
      <c r="C414" s="337" t="s">
        <v>2289</v>
      </c>
      <c r="D414" s="337">
        <v>3</v>
      </c>
      <c r="E414" s="337" t="s">
        <v>1771</v>
      </c>
      <c r="F414" s="337" t="s">
        <v>2290</v>
      </c>
      <c r="G414" s="337" t="s">
        <v>1982</v>
      </c>
      <c r="H414" s="337" t="s">
        <v>2358</v>
      </c>
      <c r="I414" s="337" t="s">
        <v>2359</v>
      </c>
      <c r="J414" s="337" t="s">
        <v>2360</v>
      </c>
      <c r="K414" s="337" t="s">
        <v>1787</v>
      </c>
      <c r="L414" s="337">
        <v>1.0262730121612551</v>
      </c>
      <c r="M414" s="337" t="s">
        <v>6</v>
      </c>
      <c r="N414" s="337" t="s">
        <v>5</v>
      </c>
      <c r="O414" s="337" t="s">
        <v>5</v>
      </c>
      <c r="P414" s="337" t="s">
        <v>5</v>
      </c>
      <c r="Q414" s="337" t="s">
        <v>5</v>
      </c>
      <c r="R414" s="337" t="s">
        <v>4503</v>
      </c>
      <c r="S414" s="337" t="s">
        <v>2361</v>
      </c>
      <c r="T414" s="337" t="s">
        <v>5</v>
      </c>
      <c r="U414" s="337" t="s">
        <v>50</v>
      </c>
      <c r="V414" s="337">
        <v>100000</v>
      </c>
      <c r="W414" s="337">
        <v>100000</v>
      </c>
      <c r="X414" s="337" t="s">
        <v>6</v>
      </c>
      <c r="Y414" s="337"/>
      <c r="Z414" s="337">
        <v>10000</v>
      </c>
      <c r="AA414" s="337">
        <v>0.41629278659820562</v>
      </c>
      <c r="AB414" s="337">
        <v>7.6890110969543457E-2</v>
      </c>
      <c r="AC414" s="337">
        <v>0</v>
      </c>
      <c r="AD414" s="337">
        <v>12</v>
      </c>
      <c r="AE414" s="337">
        <v>4</v>
      </c>
      <c r="AF414" s="337">
        <v>12</v>
      </c>
      <c r="AG414" s="337">
        <v>1</v>
      </c>
      <c r="AH414" s="337">
        <v>10</v>
      </c>
      <c r="AI414" s="337">
        <v>10</v>
      </c>
      <c r="AJ414" s="337">
        <v>0</v>
      </c>
      <c r="AK414" s="337">
        <v>0</v>
      </c>
      <c r="AL414" s="337">
        <v>0</v>
      </c>
      <c r="AM414" s="337"/>
      <c r="AN414" s="337">
        <v>91.799369812011719</v>
      </c>
      <c r="AO414" s="337"/>
      <c r="AP414" s="337"/>
      <c r="AQ414" s="337"/>
      <c r="AR414" s="337"/>
      <c r="AS414" s="337"/>
      <c r="AT414" s="337"/>
      <c r="AU414" s="337"/>
      <c r="AV414" s="337"/>
      <c r="AW414" s="337"/>
      <c r="AX414" s="337"/>
      <c r="AY414" s="337"/>
      <c r="AZ414" s="337"/>
      <c r="BA414" s="337"/>
      <c r="BB414" s="337"/>
      <c r="BC414" s="337"/>
      <c r="BD414" s="337"/>
      <c r="BE414" s="337"/>
      <c r="BF414" s="337" t="s">
        <v>5</v>
      </c>
      <c r="BG414" s="337" t="s">
        <v>5</v>
      </c>
      <c r="BH414" s="337" t="s">
        <v>1777</v>
      </c>
      <c r="BI414" s="337"/>
      <c r="BJ414" s="337" t="s">
        <v>5</v>
      </c>
      <c r="BK414" s="337"/>
      <c r="BL414" s="337">
        <v>0</v>
      </c>
      <c r="BM414" s="337"/>
      <c r="BN414" s="337" t="s">
        <v>5</v>
      </c>
      <c r="BO414" s="337"/>
      <c r="BP414" s="337"/>
      <c r="BQ414" s="337"/>
      <c r="BR414" s="337"/>
      <c r="BS414" s="337" t="s">
        <v>5</v>
      </c>
      <c r="BT414" s="337"/>
      <c r="BU414" s="337"/>
      <c r="BV414" s="337"/>
      <c r="BW414" s="337" t="s">
        <v>1778</v>
      </c>
      <c r="BX414" s="337" t="s">
        <v>6</v>
      </c>
      <c r="BY414" s="337" t="s">
        <v>1101</v>
      </c>
      <c r="BZ414" s="337"/>
      <c r="CB414" s="337" t="s">
        <v>5</v>
      </c>
      <c r="CC414" s="337">
        <v>11818.902558977101</v>
      </c>
      <c r="CD414" s="337">
        <v>2658739.47175754</v>
      </c>
      <c r="CE414" s="313" t="s">
        <v>11891</v>
      </c>
    </row>
    <row r="415" spans="1:83" ht="15" x14ac:dyDescent="0.25">
      <c r="A415" s="337" t="s">
        <v>2362</v>
      </c>
      <c r="B415" s="337" t="s">
        <v>2363</v>
      </c>
      <c r="C415" s="337" t="s">
        <v>2289</v>
      </c>
      <c r="D415" s="337">
        <v>3</v>
      </c>
      <c r="E415" s="337" t="s">
        <v>1771</v>
      </c>
      <c r="F415" s="337" t="s">
        <v>2364</v>
      </c>
      <c r="G415" s="337" t="s">
        <v>2365</v>
      </c>
      <c r="H415" s="337" t="s">
        <v>4504</v>
      </c>
      <c r="I415" s="337" t="s">
        <v>12787</v>
      </c>
      <c r="J415" s="337" t="s">
        <v>2366</v>
      </c>
      <c r="K415" s="337" t="s">
        <v>1787</v>
      </c>
      <c r="L415" s="337">
        <v>1.218675017356873</v>
      </c>
      <c r="M415" s="337" t="s">
        <v>6</v>
      </c>
      <c r="N415" s="337" t="s">
        <v>5</v>
      </c>
      <c r="O415" s="337" t="s">
        <v>5</v>
      </c>
      <c r="P415" s="337" t="s">
        <v>5</v>
      </c>
      <c r="Q415" s="337" t="s">
        <v>5</v>
      </c>
      <c r="R415" s="337" t="s">
        <v>4505</v>
      </c>
      <c r="S415" s="337" t="s">
        <v>2367</v>
      </c>
      <c r="T415" s="337" t="s">
        <v>5</v>
      </c>
      <c r="U415" s="337" t="s">
        <v>50</v>
      </c>
      <c r="V415" s="337">
        <v>100000</v>
      </c>
      <c r="W415" s="337">
        <v>100000</v>
      </c>
      <c r="X415" s="337" t="s">
        <v>6</v>
      </c>
      <c r="Y415" s="337"/>
      <c r="Z415" s="337">
        <v>10000</v>
      </c>
      <c r="AA415" s="337">
        <v>0.15428650379180911</v>
      </c>
      <c r="AB415" s="337">
        <v>1.7320500686764721E-2</v>
      </c>
      <c r="AC415" s="337">
        <v>0</v>
      </c>
      <c r="AD415" s="337">
        <v>18</v>
      </c>
      <c r="AE415" s="337">
        <v>6</v>
      </c>
      <c r="AF415" s="337">
        <v>11</v>
      </c>
      <c r="AG415" s="337">
        <v>5</v>
      </c>
      <c r="AH415" s="337">
        <v>18</v>
      </c>
      <c r="AI415" s="337">
        <v>18</v>
      </c>
      <c r="AJ415" s="337">
        <v>0</v>
      </c>
      <c r="AK415" s="337">
        <v>0</v>
      </c>
      <c r="AL415" s="337">
        <v>0</v>
      </c>
      <c r="AM415" s="337"/>
      <c r="AN415" s="337">
        <v>75.9007568359375</v>
      </c>
      <c r="AO415" s="337"/>
      <c r="AP415" s="337"/>
      <c r="AQ415" s="337"/>
      <c r="AR415" s="337"/>
      <c r="AS415" s="337"/>
      <c r="AT415" s="337"/>
      <c r="AU415" s="337"/>
      <c r="AV415" s="337"/>
      <c r="AW415" s="337"/>
      <c r="AX415" s="337"/>
      <c r="AY415" s="337"/>
      <c r="AZ415" s="337"/>
      <c r="BA415" s="337"/>
      <c r="BB415" s="337"/>
      <c r="BC415" s="337"/>
      <c r="BD415" s="337"/>
      <c r="BE415" s="337"/>
      <c r="BF415" s="337" t="s">
        <v>5</v>
      </c>
      <c r="BG415" s="337" t="s">
        <v>5</v>
      </c>
      <c r="BH415" s="337" t="s">
        <v>1777</v>
      </c>
      <c r="BI415" s="337"/>
      <c r="BJ415" s="337" t="s">
        <v>5</v>
      </c>
      <c r="BK415" s="337"/>
      <c r="BL415" s="337">
        <v>0</v>
      </c>
      <c r="BM415" s="337"/>
      <c r="BN415" s="337" t="s">
        <v>5</v>
      </c>
      <c r="BO415" s="337"/>
      <c r="BP415" s="337"/>
      <c r="BQ415" s="337"/>
      <c r="BR415" s="337"/>
      <c r="BS415" s="337" t="s">
        <v>5</v>
      </c>
      <c r="BT415" s="337"/>
      <c r="BU415" s="337"/>
      <c r="BV415" s="337"/>
      <c r="BW415" s="337" t="s">
        <v>1778</v>
      </c>
      <c r="BX415" s="337" t="s">
        <v>6</v>
      </c>
      <c r="BY415" s="337" t="s">
        <v>1101</v>
      </c>
      <c r="BZ415" s="337"/>
      <c r="CB415" s="337" t="s">
        <v>5</v>
      </c>
      <c r="CC415" s="337">
        <v>19349.614686046159</v>
      </c>
      <c r="CD415" s="337">
        <v>3157188.1657676701</v>
      </c>
      <c r="CE415" s="313" t="s">
        <v>11891</v>
      </c>
    </row>
    <row r="416" spans="1:83" ht="15" x14ac:dyDescent="0.25">
      <c r="A416" s="337" t="s">
        <v>2368</v>
      </c>
      <c r="B416" s="337" t="s">
        <v>2369</v>
      </c>
      <c r="C416" s="337" t="s">
        <v>2289</v>
      </c>
      <c r="D416" s="337">
        <v>3</v>
      </c>
      <c r="E416" s="337" t="s">
        <v>1771</v>
      </c>
      <c r="F416" s="337" t="s">
        <v>2107</v>
      </c>
      <c r="G416" s="337" t="s">
        <v>1808</v>
      </c>
      <c r="H416" s="337" t="s">
        <v>1886</v>
      </c>
      <c r="I416" s="337" t="s">
        <v>2370</v>
      </c>
      <c r="J416" s="337" t="s">
        <v>2371</v>
      </c>
      <c r="K416" s="337" t="s">
        <v>1787</v>
      </c>
      <c r="L416" s="337">
        <v>0.44149360060691828</v>
      </c>
      <c r="M416" s="337" t="s">
        <v>6</v>
      </c>
      <c r="N416" s="337" t="s">
        <v>5</v>
      </c>
      <c r="O416" s="337" t="s">
        <v>5</v>
      </c>
      <c r="P416" s="337" t="s">
        <v>5</v>
      </c>
      <c r="Q416" s="337" t="s">
        <v>5</v>
      </c>
      <c r="R416" s="337" t="s">
        <v>4506</v>
      </c>
      <c r="S416" s="337" t="s">
        <v>2372</v>
      </c>
      <c r="T416" s="337" t="s">
        <v>5</v>
      </c>
      <c r="U416" s="337" t="s">
        <v>50</v>
      </c>
      <c r="V416" s="337">
        <v>100000</v>
      </c>
      <c r="W416" s="337">
        <v>100000</v>
      </c>
      <c r="X416" s="337" t="s">
        <v>6</v>
      </c>
      <c r="Y416" s="337"/>
      <c r="Z416" s="337">
        <v>10000</v>
      </c>
      <c r="AA416" s="337">
        <v>1.877221092581749E-2</v>
      </c>
      <c r="AB416" s="337">
        <v>0</v>
      </c>
      <c r="AC416" s="337">
        <v>0</v>
      </c>
      <c r="AD416" s="337">
        <v>0</v>
      </c>
      <c r="AE416" s="337">
        <v>0</v>
      </c>
      <c r="AF416" s="337">
        <v>0</v>
      </c>
      <c r="AG416" s="337">
        <v>0</v>
      </c>
      <c r="AH416" s="337">
        <v>0</v>
      </c>
      <c r="AI416" s="337">
        <v>0</v>
      </c>
      <c r="AJ416" s="337">
        <v>0</v>
      </c>
      <c r="AK416" s="337">
        <v>0</v>
      </c>
      <c r="AL416" s="337">
        <v>0</v>
      </c>
      <c r="AM416" s="337"/>
      <c r="AN416" s="337">
        <v>0.227081298828125</v>
      </c>
      <c r="AO416" s="337"/>
      <c r="AP416" s="337"/>
      <c r="AQ416" s="337"/>
      <c r="AR416" s="337"/>
      <c r="AS416" s="337"/>
      <c r="AT416" s="337"/>
      <c r="AU416" s="337"/>
      <c r="AV416" s="337"/>
      <c r="AW416" s="337"/>
      <c r="AX416" s="337"/>
      <c r="AY416" s="337"/>
      <c r="AZ416" s="337"/>
      <c r="BA416" s="337"/>
      <c r="BB416" s="337"/>
      <c r="BC416" s="337"/>
      <c r="BD416" s="337"/>
      <c r="BE416" s="337"/>
      <c r="BF416" s="337" t="s">
        <v>5</v>
      </c>
      <c r="BG416" s="337" t="s">
        <v>5</v>
      </c>
      <c r="BH416" s="337" t="s">
        <v>1777</v>
      </c>
      <c r="BI416" s="337"/>
      <c r="BJ416" s="337" t="s">
        <v>5</v>
      </c>
      <c r="BK416" s="337"/>
      <c r="BL416" s="337">
        <v>0</v>
      </c>
      <c r="BM416" s="337"/>
      <c r="BN416" s="337" t="s">
        <v>5</v>
      </c>
      <c r="BO416" s="337"/>
      <c r="BP416" s="337"/>
      <c r="BQ416" s="337"/>
      <c r="BR416" s="337"/>
      <c r="BS416" s="337" t="s">
        <v>5</v>
      </c>
      <c r="BT416" s="337"/>
      <c r="BU416" s="337"/>
      <c r="BV416" s="337"/>
      <c r="BW416" s="337" t="s">
        <v>1778</v>
      </c>
      <c r="BX416" s="337" t="s">
        <v>6</v>
      </c>
      <c r="BY416" s="337" t="s">
        <v>1101</v>
      </c>
      <c r="BZ416" s="337"/>
      <c r="CB416" s="337" t="s">
        <v>5</v>
      </c>
      <c r="CC416" s="337">
        <v>20131.47580154927</v>
      </c>
      <c r="CD416" s="337">
        <v>1143765.769063557</v>
      </c>
      <c r="CE416" s="313" t="s">
        <v>11891</v>
      </c>
    </row>
    <row r="417" spans="1:83" ht="15" x14ac:dyDescent="0.25">
      <c r="A417" s="337" t="s">
        <v>2373</v>
      </c>
      <c r="B417" s="337" t="s">
        <v>2374</v>
      </c>
      <c r="C417" s="337" t="s">
        <v>2289</v>
      </c>
      <c r="D417" s="337">
        <v>3</v>
      </c>
      <c r="E417" s="337" t="s">
        <v>1771</v>
      </c>
      <c r="F417" s="337" t="s">
        <v>73</v>
      </c>
      <c r="G417" s="337" t="s">
        <v>2375</v>
      </c>
      <c r="H417" s="337" t="s">
        <v>4507</v>
      </c>
      <c r="I417" s="337" t="s">
        <v>12788</v>
      </c>
      <c r="J417" s="337" t="s">
        <v>2376</v>
      </c>
      <c r="K417" s="337" t="s">
        <v>1787</v>
      </c>
      <c r="L417" s="337">
        <v>0.33036649227142328</v>
      </c>
      <c r="M417" s="337" t="s">
        <v>6</v>
      </c>
      <c r="N417" s="337" t="s">
        <v>5</v>
      </c>
      <c r="O417" s="337" t="s">
        <v>5</v>
      </c>
      <c r="P417" s="337" t="s">
        <v>5</v>
      </c>
      <c r="Q417" s="337" t="s">
        <v>5</v>
      </c>
      <c r="R417" s="337" t="s">
        <v>4508</v>
      </c>
      <c r="S417" s="337" t="s">
        <v>2377</v>
      </c>
      <c r="T417" s="337" t="s">
        <v>5</v>
      </c>
      <c r="U417" s="337" t="s">
        <v>50</v>
      </c>
      <c r="V417" s="337">
        <v>100000</v>
      </c>
      <c r="W417" s="337">
        <v>100000</v>
      </c>
      <c r="X417" s="337" t="s">
        <v>6</v>
      </c>
      <c r="Y417" s="337"/>
      <c r="Z417" s="337">
        <v>10000</v>
      </c>
      <c r="AA417" s="337">
        <v>4.4366378337144852E-2</v>
      </c>
      <c r="AB417" s="337">
        <v>6.3542849384248257E-3</v>
      </c>
      <c r="AC417" s="337">
        <v>3.724392969161272E-3</v>
      </c>
      <c r="AD417" s="337">
        <v>6</v>
      </c>
      <c r="AE417" s="337">
        <v>2</v>
      </c>
      <c r="AF417" s="337">
        <v>4</v>
      </c>
      <c r="AG417" s="337">
        <v>2</v>
      </c>
      <c r="AH417" s="337">
        <v>0</v>
      </c>
      <c r="AI417" s="337">
        <v>2</v>
      </c>
      <c r="AJ417" s="337">
        <v>0</v>
      </c>
      <c r="AK417" s="337">
        <v>0</v>
      </c>
      <c r="AL417" s="337">
        <v>0</v>
      </c>
      <c r="AM417" s="337"/>
      <c r="AN417" s="337">
        <v>21.034599304199219</v>
      </c>
      <c r="AO417" s="337"/>
      <c r="AP417" s="337"/>
      <c r="AQ417" s="337"/>
      <c r="AR417" s="337"/>
      <c r="AS417" s="337"/>
      <c r="AT417" s="337"/>
      <c r="AU417" s="337"/>
      <c r="AV417" s="337"/>
      <c r="AW417" s="337"/>
      <c r="AX417" s="337"/>
      <c r="AY417" s="337"/>
      <c r="AZ417" s="337"/>
      <c r="BA417" s="337"/>
      <c r="BB417" s="337"/>
      <c r="BC417" s="337"/>
      <c r="BD417" s="337"/>
      <c r="BE417" s="337"/>
      <c r="BF417" s="337" t="s">
        <v>5</v>
      </c>
      <c r="BG417" s="337" t="s">
        <v>5</v>
      </c>
      <c r="BH417" s="337" t="s">
        <v>1777</v>
      </c>
      <c r="BI417" s="337"/>
      <c r="BJ417" s="337" t="s">
        <v>5</v>
      </c>
      <c r="BK417" s="337"/>
      <c r="BL417" s="337">
        <v>0</v>
      </c>
      <c r="BM417" s="337"/>
      <c r="BN417" s="337" t="s">
        <v>5</v>
      </c>
      <c r="BO417" s="337"/>
      <c r="BP417" s="337"/>
      <c r="BQ417" s="337"/>
      <c r="BR417" s="337"/>
      <c r="BS417" s="337" t="s">
        <v>5</v>
      </c>
      <c r="BT417" s="337"/>
      <c r="BU417" s="337"/>
      <c r="BV417" s="337"/>
      <c r="BW417" s="337" t="s">
        <v>1778</v>
      </c>
      <c r="BX417" s="337" t="s">
        <v>6</v>
      </c>
      <c r="BY417" s="337" t="s">
        <v>1101</v>
      </c>
      <c r="BZ417" s="337"/>
      <c r="CB417" s="337" t="s">
        <v>5</v>
      </c>
      <c r="CC417" s="337">
        <v>7779.5950098621352</v>
      </c>
      <c r="CD417" s="337">
        <v>855871.82632755477</v>
      </c>
      <c r="CE417" s="313" t="s">
        <v>11891</v>
      </c>
    </row>
    <row r="418" spans="1:83" ht="15" x14ac:dyDescent="0.25">
      <c r="A418" s="337" t="s">
        <v>2378</v>
      </c>
      <c r="B418" s="337" t="s">
        <v>2379</v>
      </c>
      <c r="C418" s="337" t="s">
        <v>2289</v>
      </c>
      <c r="D418" s="337">
        <v>3</v>
      </c>
      <c r="E418" s="337" t="s">
        <v>1771</v>
      </c>
      <c r="F418" s="337" t="s">
        <v>2380</v>
      </c>
      <c r="G418" s="337" t="s">
        <v>2381</v>
      </c>
      <c r="H418" s="337" t="s">
        <v>2382</v>
      </c>
      <c r="I418" s="337" t="s">
        <v>2383</v>
      </c>
      <c r="J418" s="337" t="s">
        <v>2384</v>
      </c>
      <c r="K418" s="337" t="s">
        <v>1787</v>
      </c>
      <c r="L418" s="337">
        <v>0.24131760001182559</v>
      </c>
      <c r="M418" s="337" t="s">
        <v>6</v>
      </c>
      <c r="N418" s="337" t="s">
        <v>5</v>
      </c>
      <c r="O418" s="337" t="s">
        <v>5</v>
      </c>
      <c r="P418" s="337" t="s">
        <v>5</v>
      </c>
      <c r="Q418" s="337" t="s">
        <v>5</v>
      </c>
      <c r="R418" s="337" t="s">
        <v>4509</v>
      </c>
      <c r="S418" s="337" t="s">
        <v>2385</v>
      </c>
      <c r="T418" s="337" t="s">
        <v>5</v>
      </c>
      <c r="U418" s="337" t="s">
        <v>50</v>
      </c>
      <c r="V418" s="337">
        <v>100000</v>
      </c>
      <c r="W418" s="337">
        <v>100000</v>
      </c>
      <c r="X418" s="337" t="s">
        <v>6</v>
      </c>
      <c r="Y418" s="337"/>
      <c r="Z418" s="337">
        <v>10000</v>
      </c>
      <c r="AA418" s="337">
        <v>1.1263369582593439E-2</v>
      </c>
      <c r="AB418" s="337">
        <v>7.667848258279264E-4</v>
      </c>
      <c r="AC418" s="337">
        <v>3.5854768939316268E-3</v>
      </c>
      <c r="AD418" s="337">
        <v>0</v>
      </c>
      <c r="AE418" s="337">
        <v>0</v>
      </c>
      <c r="AF418" s="337">
        <v>0</v>
      </c>
      <c r="AG418" s="337">
        <v>0</v>
      </c>
      <c r="AH418" s="337">
        <v>0</v>
      </c>
      <c r="AI418" s="337">
        <v>0</v>
      </c>
      <c r="AJ418" s="337">
        <v>0</v>
      </c>
      <c r="AK418" s="337">
        <v>0</v>
      </c>
      <c r="AL418" s="337">
        <v>0</v>
      </c>
      <c r="AM418" s="337"/>
      <c r="AN418" s="337">
        <v>0.844482421875</v>
      </c>
      <c r="AO418" s="337"/>
      <c r="AP418" s="337"/>
      <c r="AQ418" s="337"/>
      <c r="AR418" s="337"/>
      <c r="AS418" s="337"/>
      <c r="AT418" s="337"/>
      <c r="AU418" s="337"/>
      <c r="AV418" s="337"/>
      <c r="AW418" s="337"/>
      <c r="AX418" s="337"/>
      <c r="AY418" s="337"/>
      <c r="AZ418" s="337"/>
      <c r="BA418" s="337"/>
      <c r="BB418" s="337"/>
      <c r="BC418" s="337"/>
      <c r="BD418" s="337"/>
      <c r="BE418" s="337"/>
      <c r="BF418" s="337" t="s">
        <v>5</v>
      </c>
      <c r="BG418" s="337" t="s">
        <v>5</v>
      </c>
      <c r="BH418" s="337" t="s">
        <v>1777</v>
      </c>
      <c r="BI418" s="337"/>
      <c r="BJ418" s="337" t="s">
        <v>5</v>
      </c>
      <c r="BK418" s="337"/>
      <c r="BL418" s="337">
        <v>0</v>
      </c>
      <c r="BM418" s="337"/>
      <c r="BN418" s="337" t="s">
        <v>5</v>
      </c>
      <c r="BO418" s="337"/>
      <c r="BP418" s="337"/>
      <c r="BQ418" s="337"/>
      <c r="BR418" s="337"/>
      <c r="BS418" s="337" t="s">
        <v>5</v>
      </c>
      <c r="BT418" s="337"/>
      <c r="BU418" s="337"/>
      <c r="BV418" s="337"/>
      <c r="BW418" s="337" t="s">
        <v>1778</v>
      </c>
      <c r="BX418" s="337" t="s">
        <v>6</v>
      </c>
      <c r="BY418" s="337" t="s">
        <v>1101</v>
      </c>
      <c r="BZ418" s="337"/>
      <c r="CB418" s="337" t="s">
        <v>5</v>
      </c>
      <c r="CC418" s="337">
        <v>3166.9323315801598</v>
      </c>
      <c r="CD418" s="337">
        <v>625175.06562194496</v>
      </c>
      <c r="CE418" s="313" t="s">
        <v>11891</v>
      </c>
    </row>
    <row r="419" spans="1:83" ht="15" x14ac:dyDescent="0.25">
      <c r="A419" s="337" t="s">
        <v>2386</v>
      </c>
      <c r="B419" s="337" t="s">
        <v>2387</v>
      </c>
      <c r="C419" s="337" t="s">
        <v>2289</v>
      </c>
      <c r="D419" s="337">
        <v>3</v>
      </c>
      <c r="E419" s="337" t="s">
        <v>1771</v>
      </c>
      <c r="F419" s="337" t="s">
        <v>2171</v>
      </c>
      <c r="G419" s="337" t="s">
        <v>2381</v>
      </c>
      <c r="H419" s="337" t="s">
        <v>2388</v>
      </c>
      <c r="I419" s="337" t="s">
        <v>2389</v>
      </c>
      <c r="J419" s="337" t="s">
        <v>2390</v>
      </c>
      <c r="K419" s="337" t="s">
        <v>1787</v>
      </c>
      <c r="L419" s="337">
        <v>0.96378517150878906</v>
      </c>
      <c r="M419" s="337" t="s">
        <v>6</v>
      </c>
      <c r="N419" s="337" t="s">
        <v>5</v>
      </c>
      <c r="O419" s="337" t="s">
        <v>5</v>
      </c>
      <c r="P419" s="337" t="s">
        <v>5</v>
      </c>
      <c r="Q419" s="337" t="s">
        <v>5</v>
      </c>
      <c r="R419" s="337" t="s">
        <v>4510</v>
      </c>
      <c r="S419" s="337" t="s">
        <v>2391</v>
      </c>
      <c r="T419" s="337" t="s">
        <v>5</v>
      </c>
      <c r="U419" s="337" t="s">
        <v>50</v>
      </c>
      <c r="V419" s="337">
        <v>100000</v>
      </c>
      <c r="W419" s="337">
        <v>100000</v>
      </c>
      <c r="X419" s="337" t="s">
        <v>6</v>
      </c>
      <c r="Y419" s="337"/>
      <c r="Z419" s="337">
        <v>10000</v>
      </c>
      <c r="AA419" s="337">
        <v>0.11402039974927899</v>
      </c>
      <c r="AB419" s="337">
        <v>4.4967088848352432E-2</v>
      </c>
      <c r="AC419" s="337">
        <v>0</v>
      </c>
      <c r="AD419" s="337">
        <v>0</v>
      </c>
      <c r="AE419" s="337">
        <v>0</v>
      </c>
      <c r="AF419" s="337">
        <v>0</v>
      </c>
      <c r="AG419" s="337">
        <v>0</v>
      </c>
      <c r="AH419" s="337">
        <v>0</v>
      </c>
      <c r="AI419" s="337">
        <v>0</v>
      </c>
      <c r="AJ419" s="337">
        <v>0</v>
      </c>
      <c r="AK419" s="337">
        <v>0</v>
      </c>
      <c r="AL419" s="337">
        <v>0</v>
      </c>
      <c r="AM419" s="337"/>
      <c r="AN419" s="337">
        <v>0</v>
      </c>
      <c r="AO419" s="337"/>
      <c r="AP419" s="337"/>
      <c r="AQ419" s="337"/>
      <c r="AR419" s="337"/>
      <c r="AS419" s="337"/>
      <c r="AT419" s="337"/>
      <c r="AU419" s="337"/>
      <c r="AV419" s="337"/>
      <c r="AW419" s="337"/>
      <c r="AX419" s="337"/>
      <c r="AY419" s="337"/>
      <c r="AZ419" s="337"/>
      <c r="BA419" s="337"/>
      <c r="BB419" s="337"/>
      <c r="BC419" s="337"/>
      <c r="BD419" s="337"/>
      <c r="BE419" s="337"/>
      <c r="BF419" s="337" t="s">
        <v>5</v>
      </c>
      <c r="BG419" s="337" t="s">
        <v>5</v>
      </c>
      <c r="BH419" s="337" t="s">
        <v>1777</v>
      </c>
      <c r="BI419" s="337"/>
      <c r="BJ419" s="337" t="s">
        <v>5</v>
      </c>
      <c r="BK419" s="337"/>
      <c r="BL419" s="337">
        <v>0</v>
      </c>
      <c r="BM419" s="337"/>
      <c r="BN419" s="337" t="s">
        <v>5</v>
      </c>
      <c r="BO419" s="337"/>
      <c r="BP419" s="337"/>
      <c r="BQ419" s="337"/>
      <c r="BR419" s="337"/>
      <c r="BS419" s="337" t="s">
        <v>5</v>
      </c>
      <c r="BT419" s="337"/>
      <c r="BU419" s="337"/>
      <c r="BV419" s="337"/>
      <c r="BW419" s="337" t="s">
        <v>1778</v>
      </c>
      <c r="BX419" s="337" t="s">
        <v>6</v>
      </c>
      <c r="BY419" s="337" t="s">
        <v>1101</v>
      </c>
      <c r="BZ419" s="337"/>
      <c r="CB419" s="337" t="s">
        <v>5</v>
      </c>
      <c r="CC419" s="337">
        <v>15341.485252252091</v>
      </c>
      <c r="CD419" s="337">
        <v>2496852.9335966571</v>
      </c>
      <c r="CE419" s="313" t="s">
        <v>11891</v>
      </c>
    </row>
    <row r="420" spans="1:83" ht="15" x14ac:dyDescent="0.25">
      <c r="A420" s="337" t="s">
        <v>2392</v>
      </c>
      <c r="B420" s="337" t="s">
        <v>2393</v>
      </c>
      <c r="C420" s="337" t="s">
        <v>2289</v>
      </c>
      <c r="D420" s="337">
        <v>3</v>
      </c>
      <c r="E420" s="337" t="s">
        <v>1771</v>
      </c>
      <c r="F420" s="337" t="s">
        <v>2077</v>
      </c>
      <c r="G420" s="337" t="s">
        <v>1990</v>
      </c>
      <c r="H420" s="337" t="s">
        <v>2394</v>
      </c>
      <c r="I420" s="337" t="s">
        <v>2395</v>
      </c>
      <c r="J420" s="337" t="s">
        <v>2396</v>
      </c>
      <c r="K420" s="337" t="s">
        <v>1787</v>
      </c>
      <c r="L420" s="337">
        <v>1.8875269889831541</v>
      </c>
      <c r="M420" s="337" t="s">
        <v>6</v>
      </c>
      <c r="N420" s="337" t="s">
        <v>5</v>
      </c>
      <c r="O420" s="337" t="s">
        <v>5</v>
      </c>
      <c r="P420" s="337" t="s">
        <v>5</v>
      </c>
      <c r="Q420" s="337" t="s">
        <v>5</v>
      </c>
      <c r="R420" s="337" t="s">
        <v>4511</v>
      </c>
      <c r="S420" s="337" t="s">
        <v>2397</v>
      </c>
      <c r="T420" s="337" t="s">
        <v>5</v>
      </c>
      <c r="U420" s="337" t="s">
        <v>50</v>
      </c>
      <c r="V420" s="337">
        <v>100000</v>
      </c>
      <c r="W420" s="337">
        <v>100000</v>
      </c>
      <c r="X420" s="337" t="s">
        <v>6</v>
      </c>
      <c r="Y420" s="337"/>
      <c r="Z420" s="337">
        <v>10000</v>
      </c>
      <c r="AA420" s="337">
        <v>0.28875830769538879</v>
      </c>
      <c r="AB420" s="337">
        <v>7.2609059512615204E-2</v>
      </c>
      <c r="AC420" s="337">
        <v>0</v>
      </c>
      <c r="AD420" s="337">
        <v>9</v>
      </c>
      <c r="AE420" s="337">
        <v>9</v>
      </c>
      <c r="AF420" s="337">
        <v>8</v>
      </c>
      <c r="AG420" s="337">
        <v>1</v>
      </c>
      <c r="AH420" s="337">
        <v>3</v>
      </c>
      <c r="AI420" s="337">
        <v>3</v>
      </c>
      <c r="AJ420" s="337">
        <v>1</v>
      </c>
      <c r="AK420" s="337">
        <v>0</v>
      </c>
      <c r="AL420" s="337">
        <v>0</v>
      </c>
      <c r="AM420" s="337"/>
      <c r="AN420" s="337">
        <v>100.02960205078119</v>
      </c>
      <c r="AO420" s="337"/>
      <c r="AP420" s="337"/>
      <c r="AQ420" s="337"/>
      <c r="AR420" s="337"/>
      <c r="AS420" s="337"/>
      <c r="AT420" s="337"/>
      <c r="AU420" s="337"/>
      <c r="AV420" s="337"/>
      <c r="AW420" s="337"/>
      <c r="AX420" s="337"/>
      <c r="AY420" s="337"/>
      <c r="AZ420" s="337"/>
      <c r="BA420" s="337"/>
      <c r="BB420" s="337"/>
      <c r="BC420" s="337"/>
      <c r="BD420" s="337"/>
      <c r="BE420" s="337"/>
      <c r="BF420" s="337" t="s">
        <v>5</v>
      </c>
      <c r="BG420" s="337" t="s">
        <v>5</v>
      </c>
      <c r="BH420" s="337" t="s">
        <v>1777</v>
      </c>
      <c r="BI420" s="337"/>
      <c r="BJ420" s="337" t="s">
        <v>5</v>
      </c>
      <c r="BK420" s="337"/>
      <c r="BL420" s="337">
        <v>0</v>
      </c>
      <c r="BM420" s="337"/>
      <c r="BN420" s="337" t="s">
        <v>5</v>
      </c>
      <c r="BO420" s="337"/>
      <c r="BP420" s="337"/>
      <c r="BQ420" s="337"/>
      <c r="BR420" s="337"/>
      <c r="BS420" s="337" t="s">
        <v>5</v>
      </c>
      <c r="BT420" s="337"/>
      <c r="BU420" s="337"/>
      <c r="BV420" s="337"/>
      <c r="BW420" s="337" t="s">
        <v>1778</v>
      </c>
      <c r="BX420" s="337" t="s">
        <v>6</v>
      </c>
      <c r="BY420" s="337" t="s">
        <v>1101</v>
      </c>
      <c r="BZ420" s="337"/>
      <c r="CB420" s="337" t="s">
        <v>5</v>
      </c>
      <c r="CC420" s="337">
        <v>13278.901590942631</v>
      </c>
      <c r="CD420" s="337">
        <v>4889965.4715999514</v>
      </c>
      <c r="CE420" s="313" t="s">
        <v>11891</v>
      </c>
    </row>
    <row r="421" spans="1:83" ht="15" x14ac:dyDescent="0.25">
      <c r="A421" s="337" t="s">
        <v>2398</v>
      </c>
      <c r="B421" s="337" t="s">
        <v>2399</v>
      </c>
      <c r="C421" s="337" t="s">
        <v>2289</v>
      </c>
      <c r="D421" s="337">
        <v>3</v>
      </c>
      <c r="E421" s="337" t="s">
        <v>1771</v>
      </c>
      <c r="F421" s="337" t="s">
        <v>2400</v>
      </c>
      <c r="G421" s="337" t="s">
        <v>1990</v>
      </c>
      <c r="H421" s="337" t="s">
        <v>4414</v>
      </c>
      <c r="I421" s="337" t="s">
        <v>12754</v>
      </c>
      <c r="J421" s="337" t="s">
        <v>1991</v>
      </c>
      <c r="K421" s="337" t="s">
        <v>1787</v>
      </c>
      <c r="L421" s="337">
        <v>1.239025950431824</v>
      </c>
      <c r="M421" s="337" t="s">
        <v>6</v>
      </c>
      <c r="N421" s="337" t="s">
        <v>5</v>
      </c>
      <c r="O421" s="337" t="s">
        <v>5</v>
      </c>
      <c r="P421" s="337" t="s">
        <v>5</v>
      </c>
      <c r="Q421" s="337" t="s">
        <v>5</v>
      </c>
      <c r="R421" s="337" t="s">
        <v>4415</v>
      </c>
      <c r="S421" s="337" t="s">
        <v>1992</v>
      </c>
      <c r="T421" s="337" t="s">
        <v>5</v>
      </c>
      <c r="U421" s="337" t="s">
        <v>50</v>
      </c>
      <c r="V421" s="337">
        <v>100000</v>
      </c>
      <c r="W421" s="337">
        <v>100000</v>
      </c>
      <c r="X421" s="337" t="s">
        <v>6</v>
      </c>
      <c r="Y421" s="337"/>
      <c r="Z421" s="337">
        <v>10000</v>
      </c>
      <c r="AA421" s="337">
        <v>0.11908590048551559</v>
      </c>
      <c r="AB421" s="337">
        <v>8.9073255658149719E-3</v>
      </c>
      <c r="AC421" s="337">
        <v>0</v>
      </c>
      <c r="AD421" s="337">
        <v>2</v>
      </c>
      <c r="AE421" s="337">
        <v>1</v>
      </c>
      <c r="AF421" s="337">
        <v>2</v>
      </c>
      <c r="AG421" s="337">
        <v>2</v>
      </c>
      <c r="AH421" s="337">
        <v>6</v>
      </c>
      <c r="AI421" s="337">
        <v>6</v>
      </c>
      <c r="AJ421" s="337">
        <v>0</v>
      </c>
      <c r="AK421" s="337">
        <v>0</v>
      </c>
      <c r="AL421" s="337">
        <v>0</v>
      </c>
      <c r="AM421" s="337"/>
      <c r="AN421" s="337">
        <v>41.811180114746087</v>
      </c>
      <c r="AO421" s="337"/>
      <c r="AP421" s="337"/>
      <c r="AQ421" s="337"/>
      <c r="AR421" s="337"/>
      <c r="AS421" s="337"/>
      <c r="AT421" s="337"/>
      <c r="AU421" s="337"/>
      <c r="AV421" s="337"/>
      <c r="AW421" s="337"/>
      <c r="AX421" s="337"/>
      <c r="AY421" s="337"/>
      <c r="AZ421" s="337"/>
      <c r="BA421" s="337"/>
      <c r="BB421" s="337"/>
      <c r="BC421" s="337"/>
      <c r="BD421" s="337"/>
      <c r="BE421" s="337"/>
      <c r="BF421" s="337" t="s">
        <v>5</v>
      </c>
      <c r="BG421" s="337" t="s">
        <v>5</v>
      </c>
      <c r="BH421" s="337" t="s">
        <v>1777</v>
      </c>
      <c r="BI421" s="337"/>
      <c r="BJ421" s="337" t="s">
        <v>5</v>
      </c>
      <c r="BK421" s="337"/>
      <c r="BL421" s="337">
        <v>0</v>
      </c>
      <c r="BM421" s="337"/>
      <c r="BN421" s="337" t="s">
        <v>5</v>
      </c>
      <c r="BO421" s="337"/>
      <c r="BP421" s="337"/>
      <c r="BQ421" s="337"/>
      <c r="BR421" s="337"/>
      <c r="BS421" s="337" t="s">
        <v>5</v>
      </c>
      <c r="BT421" s="337"/>
      <c r="BU421" s="337"/>
      <c r="BV421" s="337"/>
      <c r="BW421" s="337" t="s">
        <v>1778</v>
      </c>
      <c r="BX421" s="337" t="s">
        <v>6</v>
      </c>
      <c r="BY421" s="337" t="s">
        <v>1101</v>
      </c>
      <c r="BZ421" s="337"/>
      <c r="CB421" s="337" t="s">
        <v>5</v>
      </c>
      <c r="CC421" s="337">
        <v>13068.902549464679</v>
      </c>
      <c r="CD421" s="337">
        <v>3209911.3216537931</v>
      </c>
      <c r="CE421" s="313" t="s">
        <v>11891</v>
      </c>
    </row>
    <row r="422" spans="1:83" ht="15" x14ac:dyDescent="0.25">
      <c r="A422" s="337" t="s">
        <v>2401</v>
      </c>
      <c r="B422" s="337" t="s">
        <v>2402</v>
      </c>
      <c r="C422" s="337" t="s">
        <v>2289</v>
      </c>
      <c r="D422" s="337">
        <v>3</v>
      </c>
      <c r="E422" s="337" t="s">
        <v>1771</v>
      </c>
      <c r="F422" s="337" t="s">
        <v>2403</v>
      </c>
      <c r="G422" s="337" t="s">
        <v>2051</v>
      </c>
      <c r="H422" s="337" t="s">
        <v>2145</v>
      </c>
      <c r="I422" s="337" t="s">
        <v>2404</v>
      </c>
      <c r="J422" s="337" t="s">
        <v>2405</v>
      </c>
      <c r="K422" s="337" t="s">
        <v>1787</v>
      </c>
      <c r="L422" s="337">
        <v>1.399280969053507E-2</v>
      </c>
      <c r="M422" s="337" t="s">
        <v>6</v>
      </c>
      <c r="N422" s="337" t="s">
        <v>5</v>
      </c>
      <c r="O422" s="337" t="s">
        <v>5</v>
      </c>
      <c r="P422" s="337" t="s">
        <v>5</v>
      </c>
      <c r="Q422" s="337" t="s">
        <v>5</v>
      </c>
      <c r="R422" s="337" t="s">
        <v>4512</v>
      </c>
      <c r="S422" s="337" t="s">
        <v>2406</v>
      </c>
      <c r="T422" s="337" t="s">
        <v>5</v>
      </c>
      <c r="U422" s="337" t="s">
        <v>50</v>
      </c>
      <c r="V422" s="337">
        <v>100000</v>
      </c>
      <c r="W422" s="337">
        <v>100000</v>
      </c>
      <c r="X422" s="337" t="s">
        <v>6</v>
      </c>
      <c r="Y422" s="337"/>
      <c r="Z422" s="337">
        <v>10000</v>
      </c>
      <c r="AA422" s="337">
        <v>0</v>
      </c>
      <c r="AB422" s="337">
        <v>0</v>
      </c>
      <c r="AC422" s="337">
        <v>0</v>
      </c>
      <c r="AD422" s="337">
        <v>0</v>
      </c>
      <c r="AE422" s="337">
        <v>0</v>
      </c>
      <c r="AF422" s="337">
        <v>0</v>
      </c>
      <c r="AG422" s="337">
        <v>0</v>
      </c>
      <c r="AH422" s="337">
        <v>0</v>
      </c>
      <c r="AI422" s="337">
        <v>0</v>
      </c>
      <c r="AJ422" s="337">
        <v>64</v>
      </c>
      <c r="AK422" s="337">
        <v>299</v>
      </c>
      <c r="AL422" s="337">
        <v>0</v>
      </c>
      <c r="AM422" s="337"/>
      <c r="AN422" s="337">
        <v>0</v>
      </c>
      <c r="AO422" s="337"/>
      <c r="AP422" s="337"/>
      <c r="AQ422" s="337"/>
      <c r="AR422" s="337"/>
      <c r="AS422" s="337"/>
      <c r="AT422" s="337"/>
      <c r="AU422" s="337"/>
      <c r="AV422" s="337"/>
      <c r="AW422" s="337"/>
      <c r="AX422" s="337"/>
      <c r="AY422" s="337"/>
      <c r="AZ422" s="337"/>
      <c r="BA422" s="337"/>
      <c r="BB422" s="337"/>
      <c r="BC422" s="337"/>
      <c r="BD422" s="337"/>
      <c r="BE422" s="337"/>
      <c r="BF422" s="337" t="s">
        <v>5</v>
      </c>
      <c r="BG422" s="337" t="s">
        <v>5</v>
      </c>
      <c r="BH422" s="337" t="s">
        <v>1777</v>
      </c>
      <c r="BI422" s="337"/>
      <c r="BJ422" s="337" t="s">
        <v>5</v>
      </c>
      <c r="BK422" s="337"/>
      <c r="BL422" s="337">
        <v>0</v>
      </c>
      <c r="BM422" s="337"/>
      <c r="BN422" s="337" t="s">
        <v>5</v>
      </c>
      <c r="BO422" s="337"/>
      <c r="BP422" s="337"/>
      <c r="BQ422" s="337"/>
      <c r="BR422" s="337"/>
      <c r="BS422" s="337" t="s">
        <v>5</v>
      </c>
      <c r="BT422" s="337"/>
      <c r="BU422" s="337"/>
      <c r="BV422" s="337"/>
      <c r="BW422" s="337" t="s">
        <v>1778</v>
      </c>
      <c r="BX422" s="337" t="s">
        <v>6</v>
      </c>
      <c r="BY422" s="337" t="s">
        <v>1101</v>
      </c>
      <c r="BZ422" s="337"/>
      <c r="CB422" s="337" t="s">
        <v>5</v>
      </c>
      <c r="CC422" s="337">
        <v>780.51229393240067</v>
      </c>
      <c r="CD422" s="337">
        <v>36250.812774378574</v>
      </c>
      <c r="CE422" s="313" t="s">
        <v>11891</v>
      </c>
    </row>
    <row r="423" spans="1:83" ht="15" x14ac:dyDescent="0.25">
      <c r="A423" s="337" t="s">
        <v>2407</v>
      </c>
      <c r="B423" s="337" t="s">
        <v>2408</v>
      </c>
      <c r="C423" s="337" t="s">
        <v>2289</v>
      </c>
      <c r="D423" s="337">
        <v>3</v>
      </c>
      <c r="E423" s="337" t="s">
        <v>1771</v>
      </c>
      <c r="F423" s="337" t="s">
        <v>2290</v>
      </c>
      <c r="G423" s="337" t="s">
        <v>2313</v>
      </c>
      <c r="H423" s="337" t="s">
        <v>2314</v>
      </c>
      <c r="I423" s="337" t="s">
        <v>2409</v>
      </c>
      <c r="J423" s="337" t="s">
        <v>2410</v>
      </c>
      <c r="K423" s="337" t="s">
        <v>1787</v>
      </c>
      <c r="L423" s="337">
        <v>0.12843169271945951</v>
      </c>
      <c r="M423" s="337" t="s">
        <v>6</v>
      </c>
      <c r="N423" s="337" t="s">
        <v>5</v>
      </c>
      <c r="O423" s="337" t="s">
        <v>5</v>
      </c>
      <c r="P423" s="337" t="s">
        <v>5</v>
      </c>
      <c r="Q423" s="337" t="s">
        <v>5</v>
      </c>
      <c r="R423" s="337" t="s">
        <v>4513</v>
      </c>
      <c r="S423" s="337" t="s">
        <v>2411</v>
      </c>
      <c r="T423" s="337" t="s">
        <v>5</v>
      </c>
      <c r="U423" s="337" t="s">
        <v>50</v>
      </c>
      <c r="V423" s="337">
        <v>100000</v>
      </c>
      <c r="W423" s="337">
        <v>100000</v>
      </c>
      <c r="X423" s="337" t="s">
        <v>6</v>
      </c>
      <c r="Y423" s="337"/>
      <c r="Z423" s="337">
        <v>10000</v>
      </c>
      <c r="AA423" s="337">
        <v>3.9110090583562851E-2</v>
      </c>
      <c r="AB423" s="337">
        <v>6.2858150340616703E-3</v>
      </c>
      <c r="AC423" s="337">
        <v>0</v>
      </c>
      <c r="AD423" s="337">
        <v>0</v>
      </c>
      <c r="AE423" s="337">
        <v>1</v>
      </c>
      <c r="AF423" s="337">
        <v>0</v>
      </c>
      <c r="AG423" s="337">
        <v>0</v>
      </c>
      <c r="AH423" s="337">
        <v>0</v>
      </c>
      <c r="AI423" s="337">
        <v>0</v>
      </c>
      <c r="AJ423" s="337">
        <v>0</v>
      </c>
      <c r="AK423" s="337">
        <v>0</v>
      </c>
      <c r="AL423" s="337">
        <v>0</v>
      </c>
      <c r="AM423" s="337"/>
      <c r="AN423" s="337">
        <v>5.5152459144592294</v>
      </c>
      <c r="AO423" s="337"/>
      <c r="AP423" s="337"/>
      <c r="AQ423" s="337"/>
      <c r="AR423" s="337"/>
      <c r="AS423" s="337"/>
      <c r="AT423" s="337"/>
      <c r="AU423" s="337"/>
      <c r="AV423" s="337"/>
      <c r="AW423" s="337"/>
      <c r="AX423" s="337"/>
      <c r="AY423" s="337"/>
      <c r="AZ423" s="337"/>
      <c r="BA423" s="337"/>
      <c r="BB423" s="337"/>
      <c r="BC423" s="337"/>
      <c r="BD423" s="337"/>
      <c r="BE423" s="337"/>
      <c r="BF423" s="337" t="s">
        <v>5</v>
      </c>
      <c r="BG423" s="337" t="s">
        <v>5</v>
      </c>
      <c r="BH423" s="337" t="s">
        <v>1777</v>
      </c>
      <c r="BI423" s="337"/>
      <c r="BJ423" s="337" t="s">
        <v>5</v>
      </c>
      <c r="BK423" s="337"/>
      <c r="BL423" s="337">
        <v>0</v>
      </c>
      <c r="BM423" s="337"/>
      <c r="BN423" s="337" t="s">
        <v>5</v>
      </c>
      <c r="BO423" s="337"/>
      <c r="BP423" s="337"/>
      <c r="BQ423" s="337"/>
      <c r="BR423" s="337"/>
      <c r="BS423" s="337" t="s">
        <v>5</v>
      </c>
      <c r="BT423" s="337"/>
      <c r="BU423" s="337"/>
      <c r="BV423" s="337"/>
      <c r="BW423" s="337" t="s">
        <v>1778</v>
      </c>
      <c r="BX423" s="337" t="s">
        <v>6</v>
      </c>
      <c r="BY423" s="337" t="s">
        <v>1101</v>
      </c>
      <c r="BZ423" s="337"/>
      <c r="CB423" s="337" t="s">
        <v>5</v>
      </c>
      <c r="CC423" s="337">
        <v>2661.1565117534378</v>
      </c>
      <c r="CD423" s="337">
        <v>332724.67210336868</v>
      </c>
      <c r="CE423" s="313" t="s">
        <v>11891</v>
      </c>
    </row>
    <row r="424" spans="1:83" ht="15" x14ac:dyDescent="0.25">
      <c r="A424" s="337" t="s">
        <v>2412</v>
      </c>
      <c r="B424" s="337" t="s">
        <v>2413</v>
      </c>
      <c r="C424" s="337" t="s">
        <v>2289</v>
      </c>
      <c r="D424" s="337">
        <v>3</v>
      </c>
      <c r="E424" s="337" t="s">
        <v>1771</v>
      </c>
      <c r="F424" s="337" t="s">
        <v>2414</v>
      </c>
      <c r="G424" s="337" t="s">
        <v>2415</v>
      </c>
      <c r="H424" s="337" t="s">
        <v>4514</v>
      </c>
      <c r="I424" s="337" t="s">
        <v>12789</v>
      </c>
      <c r="J424" s="337" t="s">
        <v>2052</v>
      </c>
      <c r="K424" s="337" t="s">
        <v>1787</v>
      </c>
      <c r="L424" s="337">
        <v>1.657727003097534</v>
      </c>
      <c r="M424" s="337" t="s">
        <v>6</v>
      </c>
      <c r="N424" s="337" t="s">
        <v>5</v>
      </c>
      <c r="O424" s="337" t="s">
        <v>5</v>
      </c>
      <c r="P424" s="337" t="s">
        <v>5</v>
      </c>
      <c r="Q424" s="337" t="s">
        <v>5</v>
      </c>
      <c r="R424" s="337" t="s">
        <v>4515</v>
      </c>
      <c r="S424" s="337" t="s">
        <v>2416</v>
      </c>
      <c r="T424" s="337" t="s">
        <v>5</v>
      </c>
      <c r="U424" s="337" t="s">
        <v>50</v>
      </c>
      <c r="V424" s="337">
        <v>100000</v>
      </c>
      <c r="W424" s="337">
        <v>100000</v>
      </c>
      <c r="X424" s="337" t="s">
        <v>6</v>
      </c>
      <c r="Y424" s="337"/>
      <c r="Z424" s="337">
        <v>10000</v>
      </c>
      <c r="AA424" s="337">
        <v>9.4301119446754456E-2</v>
      </c>
      <c r="AB424" s="337">
        <v>2.056615054607391E-2</v>
      </c>
      <c r="AC424" s="337">
        <v>0</v>
      </c>
      <c r="AD424" s="337">
        <v>4</v>
      </c>
      <c r="AE424" s="337">
        <v>1</v>
      </c>
      <c r="AF424" s="337">
        <v>4</v>
      </c>
      <c r="AG424" s="337">
        <v>1</v>
      </c>
      <c r="AH424" s="337">
        <v>7</v>
      </c>
      <c r="AI424" s="337">
        <v>7</v>
      </c>
      <c r="AJ424" s="337">
        <v>0</v>
      </c>
      <c r="AK424" s="337">
        <v>0</v>
      </c>
      <c r="AL424" s="337">
        <v>0</v>
      </c>
      <c r="AM424" s="337"/>
      <c r="AN424" s="337">
        <v>32.042629241943359</v>
      </c>
      <c r="AO424" s="337"/>
      <c r="AP424" s="337"/>
      <c r="AQ424" s="337"/>
      <c r="AR424" s="337"/>
      <c r="AS424" s="337"/>
      <c r="AT424" s="337"/>
      <c r="AU424" s="337"/>
      <c r="AV424" s="337"/>
      <c r="AW424" s="337"/>
      <c r="AX424" s="337"/>
      <c r="AY424" s="337"/>
      <c r="AZ424" s="337"/>
      <c r="BA424" s="337"/>
      <c r="BB424" s="337"/>
      <c r="BC424" s="337"/>
      <c r="BD424" s="337"/>
      <c r="BE424" s="337"/>
      <c r="BF424" s="337" t="s">
        <v>5</v>
      </c>
      <c r="BG424" s="337" t="s">
        <v>5</v>
      </c>
      <c r="BH424" s="337" t="s">
        <v>1777</v>
      </c>
      <c r="BI424" s="337"/>
      <c r="BJ424" s="337" t="s">
        <v>5</v>
      </c>
      <c r="BK424" s="337"/>
      <c r="BL424" s="337">
        <v>0</v>
      </c>
      <c r="BM424" s="337"/>
      <c r="BN424" s="337" t="s">
        <v>5</v>
      </c>
      <c r="BO424" s="337"/>
      <c r="BP424" s="337"/>
      <c r="BQ424" s="337"/>
      <c r="BR424" s="337"/>
      <c r="BS424" s="337" t="s">
        <v>5</v>
      </c>
      <c r="BT424" s="337"/>
      <c r="BU424" s="337"/>
      <c r="BV424" s="337"/>
      <c r="BW424" s="337" t="s">
        <v>1778</v>
      </c>
      <c r="BX424" s="337" t="s">
        <v>6</v>
      </c>
      <c r="BY424" s="337" t="s">
        <v>1101</v>
      </c>
      <c r="BZ424" s="337"/>
      <c r="CB424" s="337" t="s">
        <v>5</v>
      </c>
      <c r="CC424" s="337">
        <v>35252.619149504237</v>
      </c>
      <c r="CD424" s="337">
        <v>4294628.9420290338</v>
      </c>
      <c r="CE424" s="313" t="s">
        <v>11891</v>
      </c>
    </row>
    <row r="425" spans="1:83" ht="15" x14ac:dyDescent="0.25">
      <c r="A425" s="337" t="s">
        <v>2417</v>
      </c>
      <c r="B425" s="337" t="s">
        <v>2418</v>
      </c>
      <c r="C425" s="337" t="s">
        <v>2289</v>
      </c>
      <c r="D425" s="337">
        <v>3</v>
      </c>
      <c r="E425" s="337" t="s">
        <v>1771</v>
      </c>
      <c r="F425" s="337" t="s">
        <v>2364</v>
      </c>
      <c r="G425" s="337" t="s">
        <v>1893</v>
      </c>
      <c r="H425" s="337" t="s">
        <v>2216</v>
      </c>
      <c r="I425" s="337" t="s">
        <v>12790</v>
      </c>
      <c r="J425" s="337" t="s">
        <v>2419</v>
      </c>
      <c r="K425" s="337" t="s">
        <v>1787</v>
      </c>
      <c r="L425" s="337">
        <v>1.9446519613265989</v>
      </c>
      <c r="M425" s="337" t="s">
        <v>6</v>
      </c>
      <c r="N425" s="337" t="s">
        <v>5</v>
      </c>
      <c r="O425" s="337" t="s">
        <v>5</v>
      </c>
      <c r="P425" s="337" t="s">
        <v>5</v>
      </c>
      <c r="Q425" s="337" t="s">
        <v>5</v>
      </c>
      <c r="R425" s="337" t="s">
        <v>4516</v>
      </c>
      <c r="S425" s="337" t="s">
        <v>2420</v>
      </c>
      <c r="T425" s="337" t="s">
        <v>5</v>
      </c>
      <c r="U425" s="337" t="s">
        <v>50</v>
      </c>
      <c r="V425" s="337">
        <v>100000</v>
      </c>
      <c r="W425" s="337">
        <v>100000</v>
      </c>
      <c r="X425" s="337" t="s">
        <v>6</v>
      </c>
      <c r="Y425" s="337"/>
      <c r="Z425" s="337">
        <v>10000</v>
      </c>
      <c r="AA425" s="337">
        <v>0.1422082036733627</v>
      </c>
      <c r="AB425" s="337">
        <v>1.11966896802187E-2</v>
      </c>
      <c r="AC425" s="337">
        <v>0</v>
      </c>
      <c r="AD425" s="337">
        <v>3</v>
      </c>
      <c r="AE425" s="337">
        <v>2</v>
      </c>
      <c r="AF425" s="337">
        <v>1</v>
      </c>
      <c r="AG425" s="337">
        <v>0</v>
      </c>
      <c r="AH425" s="337">
        <v>1</v>
      </c>
      <c r="AI425" s="337">
        <v>1</v>
      </c>
      <c r="AJ425" s="337">
        <v>0</v>
      </c>
      <c r="AK425" s="337">
        <v>0</v>
      </c>
      <c r="AL425" s="337">
        <v>0</v>
      </c>
      <c r="AM425" s="337"/>
      <c r="AN425" s="337">
        <v>66.183273315429688</v>
      </c>
      <c r="AO425" s="337"/>
      <c r="AP425" s="337"/>
      <c r="AQ425" s="337"/>
      <c r="AR425" s="337"/>
      <c r="AS425" s="337"/>
      <c r="AT425" s="337"/>
      <c r="AU425" s="337"/>
      <c r="AV425" s="337"/>
      <c r="AW425" s="337"/>
      <c r="AX425" s="337"/>
      <c r="AY425" s="337"/>
      <c r="AZ425" s="337"/>
      <c r="BA425" s="337"/>
      <c r="BB425" s="337"/>
      <c r="BC425" s="337"/>
      <c r="BD425" s="337"/>
      <c r="BE425" s="337"/>
      <c r="BF425" s="337" t="s">
        <v>5</v>
      </c>
      <c r="BG425" s="337" t="s">
        <v>5</v>
      </c>
      <c r="BH425" s="337" t="s">
        <v>1777</v>
      </c>
      <c r="BI425" s="337"/>
      <c r="BJ425" s="337" t="s">
        <v>5</v>
      </c>
      <c r="BK425" s="337"/>
      <c r="BL425" s="337">
        <v>0</v>
      </c>
      <c r="BM425" s="337"/>
      <c r="BN425" s="337" t="s">
        <v>5</v>
      </c>
      <c r="BO425" s="337"/>
      <c r="BP425" s="337"/>
      <c r="BQ425" s="337"/>
      <c r="BR425" s="337"/>
      <c r="BS425" s="337" t="s">
        <v>5</v>
      </c>
      <c r="BT425" s="337"/>
      <c r="BU425" s="337"/>
      <c r="BV425" s="337"/>
      <c r="BW425" s="337" t="s">
        <v>1778</v>
      </c>
      <c r="BX425" s="337" t="s">
        <v>6</v>
      </c>
      <c r="BY425" s="337" t="s">
        <v>1101</v>
      </c>
      <c r="BZ425" s="337"/>
      <c r="CB425" s="337" t="s">
        <v>5</v>
      </c>
      <c r="CC425" s="337">
        <v>20159.026157363271</v>
      </c>
      <c r="CD425" s="337">
        <v>5037958.6882702149</v>
      </c>
      <c r="CE425" s="313" t="s">
        <v>11891</v>
      </c>
    </row>
    <row r="426" spans="1:83" ht="15" x14ac:dyDescent="0.25">
      <c r="A426" s="337" t="s">
        <v>2421</v>
      </c>
      <c r="B426" s="337" t="s">
        <v>2422</v>
      </c>
      <c r="C426" s="337" t="s">
        <v>2289</v>
      </c>
      <c r="D426" s="337">
        <v>3</v>
      </c>
      <c r="E426" s="337" t="s">
        <v>1771</v>
      </c>
      <c r="F426" s="337" t="s">
        <v>2290</v>
      </c>
      <c r="G426" s="337" t="s">
        <v>2313</v>
      </c>
      <c r="H426" s="337" t="s">
        <v>2423</v>
      </c>
      <c r="I426" s="337" t="s">
        <v>2424</v>
      </c>
      <c r="J426" s="337" t="s">
        <v>2425</v>
      </c>
      <c r="K426" s="337" t="s">
        <v>1787</v>
      </c>
      <c r="L426" s="337">
        <v>1.9635119438171389</v>
      </c>
      <c r="M426" s="337" t="s">
        <v>6</v>
      </c>
      <c r="N426" s="337" t="s">
        <v>5</v>
      </c>
      <c r="O426" s="337" t="s">
        <v>5</v>
      </c>
      <c r="P426" s="337" t="s">
        <v>5</v>
      </c>
      <c r="Q426" s="337" t="s">
        <v>5</v>
      </c>
      <c r="R426" s="337" t="s">
        <v>4517</v>
      </c>
      <c r="S426" s="337" t="s">
        <v>2426</v>
      </c>
      <c r="T426" s="337" t="s">
        <v>5</v>
      </c>
      <c r="U426" s="337" t="s">
        <v>50</v>
      </c>
      <c r="V426" s="337">
        <v>100000</v>
      </c>
      <c r="W426" s="337">
        <v>100000</v>
      </c>
      <c r="X426" s="337" t="s">
        <v>6</v>
      </c>
      <c r="Y426" s="337"/>
      <c r="Z426" s="337">
        <v>10000</v>
      </c>
      <c r="AA426" s="337">
        <v>0.29012501239776611</v>
      </c>
      <c r="AB426" s="337">
        <v>3.6519769579172127E-2</v>
      </c>
      <c r="AC426" s="337">
        <v>0</v>
      </c>
      <c r="AD426" s="337">
        <v>11</v>
      </c>
      <c r="AE426" s="337">
        <v>2</v>
      </c>
      <c r="AF426" s="337">
        <v>9</v>
      </c>
      <c r="AG426" s="337">
        <v>10</v>
      </c>
      <c r="AH426" s="337">
        <v>25</v>
      </c>
      <c r="AI426" s="337">
        <v>25</v>
      </c>
      <c r="AJ426" s="337">
        <v>0</v>
      </c>
      <c r="AK426" s="337">
        <v>0</v>
      </c>
      <c r="AL426" s="337">
        <v>1</v>
      </c>
      <c r="AM426" s="337"/>
      <c r="AN426" s="337">
        <v>71.415847778320313</v>
      </c>
      <c r="AO426" s="337"/>
      <c r="AP426" s="337"/>
      <c r="AQ426" s="337"/>
      <c r="AR426" s="337"/>
      <c r="AS426" s="337"/>
      <c r="AT426" s="337"/>
      <c r="AU426" s="337"/>
      <c r="AV426" s="337"/>
      <c r="AW426" s="337"/>
      <c r="AX426" s="337"/>
      <c r="AY426" s="337"/>
      <c r="AZ426" s="337"/>
      <c r="BA426" s="337"/>
      <c r="BB426" s="337"/>
      <c r="BC426" s="337"/>
      <c r="BD426" s="337"/>
      <c r="BE426" s="337"/>
      <c r="BF426" s="337" t="s">
        <v>5</v>
      </c>
      <c r="BG426" s="337" t="s">
        <v>5</v>
      </c>
      <c r="BH426" s="337" t="s">
        <v>1777</v>
      </c>
      <c r="BI426" s="337"/>
      <c r="BJ426" s="337" t="s">
        <v>5</v>
      </c>
      <c r="BK426" s="337"/>
      <c r="BL426" s="337">
        <v>0</v>
      </c>
      <c r="BM426" s="337"/>
      <c r="BN426" s="337" t="s">
        <v>5</v>
      </c>
      <c r="BO426" s="337"/>
      <c r="BP426" s="337"/>
      <c r="BQ426" s="337"/>
      <c r="BR426" s="337"/>
      <c r="BS426" s="337" t="s">
        <v>5</v>
      </c>
      <c r="BT426" s="337"/>
      <c r="BU426" s="337"/>
      <c r="BV426" s="337"/>
      <c r="BW426" s="337" t="s">
        <v>1778</v>
      </c>
      <c r="BX426" s="337" t="s">
        <v>6</v>
      </c>
      <c r="BY426" s="337" t="s">
        <v>1101</v>
      </c>
      <c r="BZ426" s="337"/>
      <c r="CB426" s="337" t="s">
        <v>5</v>
      </c>
      <c r="CC426" s="337">
        <v>11751.150182090771</v>
      </c>
      <c r="CD426" s="337">
        <v>5086819.1773425369</v>
      </c>
      <c r="CE426" s="313" t="s">
        <v>11891</v>
      </c>
    </row>
    <row r="427" spans="1:83" ht="15" x14ac:dyDescent="0.25">
      <c r="A427" s="337" t="s">
        <v>2427</v>
      </c>
      <c r="B427" s="337" t="s">
        <v>2428</v>
      </c>
      <c r="C427" s="337" t="s">
        <v>2289</v>
      </c>
      <c r="D427" s="337">
        <v>3</v>
      </c>
      <c r="E427" s="337" t="s">
        <v>1771</v>
      </c>
      <c r="F427" s="337" t="s">
        <v>2165</v>
      </c>
      <c r="G427" s="337" t="s">
        <v>2313</v>
      </c>
      <c r="H427" s="337" t="s">
        <v>2323</v>
      </c>
      <c r="I427" s="337" t="s">
        <v>2429</v>
      </c>
      <c r="J427" s="337" t="s">
        <v>2430</v>
      </c>
      <c r="K427" s="337" t="s">
        <v>1787</v>
      </c>
      <c r="L427" s="337">
        <v>0.99918782711029053</v>
      </c>
      <c r="M427" s="337" t="s">
        <v>6</v>
      </c>
      <c r="N427" s="337" t="s">
        <v>5</v>
      </c>
      <c r="O427" s="337" t="s">
        <v>5</v>
      </c>
      <c r="P427" s="337" t="s">
        <v>5</v>
      </c>
      <c r="Q427" s="337" t="s">
        <v>5</v>
      </c>
      <c r="R427" s="337" t="s">
        <v>4518</v>
      </c>
      <c r="S427" s="337" t="s">
        <v>2431</v>
      </c>
      <c r="T427" s="337" t="s">
        <v>5</v>
      </c>
      <c r="U427" s="337" t="s">
        <v>50</v>
      </c>
      <c r="V427" s="337">
        <v>100000</v>
      </c>
      <c r="W427" s="337">
        <v>100000</v>
      </c>
      <c r="X427" s="337" t="s">
        <v>6</v>
      </c>
      <c r="Y427" s="337"/>
      <c r="Z427" s="337">
        <v>10000</v>
      </c>
      <c r="AA427" s="337">
        <v>0.2002976983785629</v>
      </c>
      <c r="AB427" s="337">
        <v>1.9216800108551979E-2</v>
      </c>
      <c r="AC427" s="337">
        <v>0</v>
      </c>
      <c r="AD427" s="337">
        <v>0</v>
      </c>
      <c r="AE427" s="337">
        <v>0</v>
      </c>
      <c r="AF427" s="337">
        <v>0</v>
      </c>
      <c r="AG427" s="337">
        <v>0</v>
      </c>
      <c r="AH427" s="337">
        <v>0</v>
      </c>
      <c r="AI427" s="337">
        <v>0</v>
      </c>
      <c r="AJ427" s="337">
        <v>0</v>
      </c>
      <c r="AK427" s="337">
        <v>0</v>
      </c>
      <c r="AL427" s="337">
        <v>0</v>
      </c>
      <c r="AM427" s="337"/>
      <c r="AN427" s="337">
        <v>105.4654006958008</v>
      </c>
      <c r="AO427" s="337"/>
      <c r="AP427" s="337"/>
      <c r="AQ427" s="337"/>
      <c r="AR427" s="337"/>
      <c r="AS427" s="337"/>
      <c r="AT427" s="337"/>
      <c r="AU427" s="337"/>
      <c r="AV427" s="337"/>
      <c r="AW427" s="337"/>
      <c r="AX427" s="337"/>
      <c r="AY427" s="337"/>
      <c r="AZ427" s="337"/>
      <c r="BA427" s="337"/>
      <c r="BB427" s="337"/>
      <c r="BC427" s="337"/>
      <c r="BD427" s="337"/>
      <c r="BE427" s="337"/>
      <c r="BF427" s="337" t="s">
        <v>5</v>
      </c>
      <c r="BG427" s="337" t="s">
        <v>5</v>
      </c>
      <c r="BH427" s="337" t="s">
        <v>1777</v>
      </c>
      <c r="BI427" s="337"/>
      <c r="BJ427" s="337" t="s">
        <v>5</v>
      </c>
      <c r="BK427" s="337"/>
      <c r="BL427" s="337">
        <v>0</v>
      </c>
      <c r="BM427" s="337"/>
      <c r="BN427" s="337" t="s">
        <v>5</v>
      </c>
      <c r="BO427" s="337"/>
      <c r="BP427" s="337"/>
      <c r="BQ427" s="337"/>
      <c r="BR427" s="337"/>
      <c r="BS427" s="337" t="s">
        <v>5</v>
      </c>
      <c r="BT427" s="337"/>
      <c r="BU427" s="337"/>
      <c r="BV427" s="337"/>
      <c r="BW427" s="337" t="s">
        <v>1778</v>
      </c>
      <c r="BX427" s="337" t="s">
        <v>6</v>
      </c>
      <c r="BY427" s="337" t="s">
        <v>1101</v>
      </c>
      <c r="BZ427" s="337"/>
      <c r="CB427" s="337" t="s">
        <v>5</v>
      </c>
      <c r="CC427" s="337">
        <v>6441.4432238973968</v>
      </c>
      <c r="CD427" s="337">
        <v>2588569.3126647421</v>
      </c>
      <c r="CE427" s="313" t="s">
        <v>11891</v>
      </c>
    </row>
    <row r="428" spans="1:83" ht="15" x14ac:dyDescent="0.25">
      <c r="A428" s="337" t="s">
        <v>2432</v>
      </c>
      <c r="B428" s="337" t="s">
        <v>2433</v>
      </c>
      <c r="C428" s="337" t="s">
        <v>2289</v>
      </c>
      <c r="D428" s="337">
        <v>3</v>
      </c>
      <c r="E428" s="337" t="s">
        <v>1771</v>
      </c>
      <c r="F428" s="337" t="s">
        <v>2364</v>
      </c>
      <c r="G428" s="337" t="s">
        <v>1893</v>
      </c>
      <c r="H428" s="337" t="s">
        <v>2216</v>
      </c>
      <c r="I428" s="337" t="s">
        <v>2434</v>
      </c>
      <c r="J428" s="337" t="s">
        <v>2435</v>
      </c>
      <c r="K428" s="337" t="s">
        <v>1787</v>
      </c>
      <c r="L428" s="337">
        <v>2.018785953521729</v>
      </c>
      <c r="M428" s="337" t="s">
        <v>6</v>
      </c>
      <c r="N428" s="337" t="s">
        <v>5</v>
      </c>
      <c r="O428" s="337" t="s">
        <v>5</v>
      </c>
      <c r="P428" s="337" t="s">
        <v>5</v>
      </c>
      <c r="Q428" s="337" t="s">
        <v>5</v>
      </c>
      <c r="R428" s="337" t="s">
        <v>4519</v>
      </c>
      <c r="S428" s="337" t="s">
        <v>2436</v>
      </c>
      <c r="T428" s="337" t="s">
        <v>5</v>
      </c>
      <c r="U428" s="337" t="s">
        <v>50</v>
      </c>
      <c r="V428" s="337">
        <v>100000</v>
      </c>
      <c r="W428" s="337">
        <v>100000</v>
      </c>
      <c r="X428" s="337" t="s">
        <v>6</v>
      </c>
      <c r="Y428" s="337"/>
      <c r="Z428" s="337">
        <v>10000</v>
      </c>
      <c r="AA428" s="337">
        <v>0.1470174044370651</v>
      </c>
      <c r="AB428" s="337">
        <v>3.1918209046125412E-2</v>
      </c>
      <c r="AC428" s="337">
        <v>0</v>
      </c>
      <c r="AD428" s="337">
        <v>6</v>
      </c>
      <c r="AE428" s="337">
        <v>1</v>
      </c>
      <c r="AF428" s="337">
        <v>5</v>
      </c>
      <c r="AG428" s="337">
        <v>1</v>
      </c>
      <c r="AH428" s="337">
        <v>4</v>
      </c>
      <c r="AI428" s="337">
        <v>4</v>
      </c>
      <c r="AJ428" s="337">
        <v>1</v>
      </c>
      <c r="AK428" s="337">
        <v>0</v>
      </c>
      <c r="AL428" s="337">
        <v>1</v>
      </c>
      <c r="AM428" s="337"/>
      <c r="AN428" s="337">
        <v>58.238410949707031</v>
      </c>
      <c r="AO428" s="337"/>
      <c r="AP428" s="337"/>
      <c r="AQ428" s="337"/>
      <c r="AR428" s="337"/>
      <c r="AS428" s="337"/>
      <c r="AT428" s="337"/>
      <c r="AU428" s="337"/>
      <c r="AV428" s="337"/>
      <c r="AW428" s="337"/>
      <c r="AX428" s="337"/>
      <c r="AY428" s="337"/>
      <c r="AZ428" s="337"/>
      <c r="BA428" s="337"/>
      <c r="BB428" s="337"/>
      <c r="BC428" s="337"/>
      <c r="BD428" s="337"/>
      <c r="BE428" s="337"/>
      <c r="BF428" s="337" t="s">
        <v>5</v>
      </c>
      <c r="BG428" s="337" t="s">
        <v>5</v>
      </c>
      <c r="BH428" s="337" t="s">
        <v>1777</v>
      </c>
      <c r="BI428" s="337"/>
      <c r="BJ428" s="337" t="s">
        <v>5</v>
      </c>
      <c r="BK428" s="337"/>
      <c r="BL428" s="337">
        <v>0</v>
      </c>
      <c r="BM428" s="337"/>
      <c r="BN428" s="337" t="s">
        <v>5</v>
      </c>
      <c r="BO428" s="337"/>
      <c r="BP428" s="337"/>
      <c r="BQ428" s="337"/>
      <c r="BR428" s="337"/>
      <c r="BS428" s="337" t="s">
        <v>5</v>
      </c>
      <c r="BT428" s="337"/>
      <c r="BU428" s="337"/>
      <c r="BV428" s="337"/>
      <c r="BW428" s="337" t="s">
        <v>1778</v>
      </c>
      <c r="BX428" s="337" t="s">
        <v>6</v>
      </c>
      <c r="BY428" s="337" t="s">
        <v>1101</v>
      </c>
      <c r="BZ428" s="337"/>
      <c r="CB428" s="337" t="s">
        <v>5</v>
      </c>
      <c r="CC428" s="337">
        <v>28627.358803273899</v>
      </c>
      <c r="CD428" s="337">
        <v>5230016.7021799814</v>
      </c>
      <c r="CE428" s="313" t="s">
        <v>11891</v>
      </c>
    </row>
    <row r="429" spans="1:83" ht="15" x14ac:dyDescent="0.25">
      <c r="A429" s="337" t="s">
        <v>2437</v>
      </c>
      <c r="B429" s="337" t="s">
        <v>2438</v>
      </c>
      <c r="C429" s="337" t="s">
        <v>2289</v>
      </c>
      <c r="D429" s="337">
        <v>3</v>
      </c>
      <c r="E429" s="337" t="s">
        <v>1771</v>
      </c>
      <c r="F429" s="337" t="s">
        <v>2107</v>
      </c>
      <c r="G429" s="337" t="s">
        <v>1808</v>
      </c>
      <c r="H429" s="337" t="s">
        <v>4520</v>
      </c>
      <c r="I429" s="337" t="s">
        <v>12791</v>
      </c>
      <c r="J429" s="337" t="s">
        <v>2439</v>
      </c>
      <c r="K429" s="337" t="s">
        <v>1787</v>
      </c>
      <c r="L429" s="337">
        <v>1.9645529985427861</v>
      </c>
      <c r="M429" s="337" t="s">
        <v>6</v>
      </c>
      <c r="N429" s="337" t="s">
        <v>5</v>
      </c>
      <c r="O429" s="337" t="s">
        <v>5</v>
      </c>
      <c r="P429" s="337" t="s">
        <v>5</v>
      </c>
      <c r="Q429" s="337" t="s">
        <v>5</v>
      </c>
      <c r="R429" s="337" t="s">
        <v>4521</v>
      </c>
      <c r="S429" s="337" t="s">
        <v>2440</v>
      </c>
      <c r="T429" s="337" t="s">
        <v>5</v>
      </c>
      <c r="U429" s="337" t="s">
        <v>50</v>
      </c>
      <c r="V429" s="337">
        <v>100000</v>
      </c>
      <c r="W429" s="337">
        <v>100000</v>
      </c>
      <c r="X429" s="337" t="s">
        <v>6</v>
      </c>
      <c r="Y429" s="337"/>
      <c r="Z429" s="337">
        <v>10000</v>
      </c>
      <c r="AA429" s="337">
        <v>0.1997088044881821</v>
      </c>
      <c r="AB429" s="337">
        <v>3.8573030382394791E-2</v>
      </c>
      <c r="AC429" s="337">
        <v>1.820467971265316E-2</v>
      </c>
      <c r="AD429" s="337">
        <v>35</v>
      </c>
      <c r="AE429" s="337">
        <v>12</v>
      </c>
      <c r="AF429" s="337">
        <v>35</v>
      </c>
      <c r="AG429" s="337">
        <v>39</v>
      </c>
      <c r="AH429" s="337">
        <v>184</v>
      </c>
      <c r="AI429" s="337">
        <v>184</v>
      </c>
      <c r="AJ429" s="337">
        <v>0</v>
      </c>
      <c r="AK429" s="337">
        <v>2</v>
      </c>
      <c r="AL429" s="337">
        <v>1</v>
      </c>
      <c r="AM429" s="337"/>
      <c r="AN429" s="337">
        <v>30.07267951965332</v>
      </c>
      <c r="AO429" s="337"/>
      <c r="AP429" s="337"/>
      <c r="AQ429" s="337"/>
      <c r="AR429" s="337"/>
      <c r="AS429" s="337"/>
      <c r="AT429" s="337"/>
      <c r="AU429" s="337"/>
      <c r="AV429" s="337"/>
      <c r="AW429" s="337"/>
      <c r="AX429" s="337"/>
      <c r="AY429" s="337"/>
      <c r="AZ429" s="337"/>
      <c r="BA429" s="337"/>
      <c r="BB429" s="337"/>
      <c r="BC429" s="337"/>
      <c r="BD429" s="337"/>
      <c r="BE429" s="337"/>
      <c r="BF429" s="337" t="s">
        <v>5</v>
      </c>
      <c r="BG429" s="337" t="s">
        <v>5</v>
      </c>
      <c r="BH429" s="337" t="s">
        <v>1777</v>
      </c>
      <c r="BI429" s="337"/>
      <c r="BJ429" s="337" t="s">
        <v>5</v>
      </c>
      <c r="BK429" s="337"/>
      <c r="BL429" s="337">
        <v>0</v>
      </c>
      <c r="BM429" s="337"/>
      <c r="BN429" s="337" t="s">
        <v>5</v>
      </c>
      <c r="BO429" s="337"/>
      <c r="BP429" s="337"/>
      <c r="BQ429" s="337"/>
      <c r="BR429" s="337"/>
      <c r="BS429" s="337" t="s">
        <v>5</v>
      </c>
      <c r="BT429" s="337"/>
      <c r="BU429" s="337"/>
      <c r="BV429" s="337"/>
      <c r="BW429" s="337" t="s">
        <v>1778</v>
      </c>
      <c r="BX429" s="337" t="s">
        <v>6</v>
      </c>
      <c r="BY429" s="337" t="s">
        <v>1101</v>
      </c>
      <c r="BZ429" s="337"/>
      <c r="CB429" s="337" t="s">
        <v>5</v>
      </c>
      <c r="CC429" s="337">
        <v>24481.534404037258</v>
      </c>
      <c r="CD429" s="337">
        <v>5089516.202568803</v>
      </c>
      <c r="CE429" s="313" t="s">
        <v>11891</v>
      </c>
    </row>
    <row r="430" spans="1:83" ht="15" x14ac:dyDescent="0.25">
      <c r="A430" s="337" t="s">
        <v>2441</v>
      </c>
      <c r="B430" s="337" t="s">
        <v>2442</v>
      </c>
      <c r="C430" s="337" t="s">
        <v>2289</v>
      </c>
      <c r="D430" s="337">
        <v>3</v>
      </c>
      <c r="E430" s="337" t="s">
        <v>1771</v>
      </c>
      <c r="F430" s="337" t="s">
        <v>2364</v>
      </c>
      <c r="G430" s="337" t="s">
        <v>1982</v>
      </c>
      <c r="H430" s="337" t="s">
        <v>2443</v>
      </c>
      <c r="I430" s="337" t="s">
        <v>12792</v>
      </c>
      <c r="J430" s="337" t="s">
        <v>2444</v>
      </c>
      <c r="K430" s="337" t="s">
        <v>1787</v>
      </c>
      <c r="L430" s="337">
        <v>1.934051036834717</v>
      </c>
      <c r="M430" s="337" t="s">
        <v>6</v>
      </c>
      <c r="N430" s="337" t="s">
        <v>5</v>
      </c>
      <c r="O430" s="337" t="s">
        <v>5</v>
      </c>
      <c r="P430" s="337" t="s">
        <v>5</v>
      </c>
      <c r="Q430" s="337" t="s">
        <v>5</v>
      </c>
      <c r="R430" s="337" t="s">
        <v>4522</v>
      </c>
      <c r="S430" s="337" t="s">
        <v>2445</v>
      </c>
      <c r="T430" s="337" t="s">
        <v>5</v>
      </c>
      <c r="U430" s="337" t="s">
        <v>50</v>
      </c>
      <c r="V430" s="337">
        <v>100000</v>
      </c>
      <c r="W430" s="337">
        <v>100000</v>
      </c>
      <c r="X430" s="337" t="s">
        <v>5</v>
      </c>
      <c r="Y430" s="337"/>
      <c r="Z430" s="337"/>
      <c r="AA430" s="337">
        <v>0.4518682062625885</v>
      </c>
      <c r="AB430" s="337">
        <v>9.5716528594493866E-2</v>
      </c>
      <c r="AC430" s="337">
        <v>2.2518360055983071E-3</v>
      </c>
      <c r="AD430" s="337">
        <v>35</v>
      </c>
      <c r="AE430" s="337">
        <v>22</v>
      </c>
      <c r="AF430" s="337">
        <v>31</v>
      </c>
      <c r="AG430" s="337">
        <v>11</v>
      </c>
      <c r="AH430" s="337">
        <v>45</v>
      </c>
      <c r="AI430" s="337">
        <v>45</v>
      </c>
      <c r="AJ430" s="337">
        <v>0</v>
      </c>
      <c r="AK430" s="337">
        <v>0</v>
      </c>
      <c r="AL430" s="337">
        <v>1</v>
      </c>
      <c r="AM430" s="337"/>
      <c r="AN430" s="337">
        <v>169.5473937988281</v>
      </c>
      <c r="AO430" s="337"/>
      <c r="AP430" s="337"/>
      <c r="AQ430" s="337"/>
      <c r="AR430" s="337"/>
      <c r="AS430" s="337"/>
      <c r="AT430" s="337"/>
      <c r="AU430" s="337"/>
      <c r="AV430" s="337"/>
      <c r="AW430" s="337"/>
      <c r="AX430" s="337"/>
      <c r="AY430" s="337"/>
      <c r="AZ430" s="337"/>
      <c r="BA430" s="337"/>
      <c r="BB430" s="337"/>
      <c r="BC430" s="337"/>
      <c r="BD430" s="337"/>
      <c r="BE430" s="337"/>
      <c r="BF430" s="337" t="s">
        <v>5</v>
      </c>
      <c r="BG430" s="337" t="s">
        <v>5</v>
      </c>
      <c r="BH430" s="337" t="s">
        <v>1777</v>
      </c>
      <c r="BI430" s="337"/>
      <c r="BJ430" s="337" t="s">
        <v>5</v>
      </c>
      <c r="BK430" s="337"/>
      <c r="BL430" s="337">
        <v>0</v>
      </c>
      <c r="BM430" s="337"/>
      <c r="BN430" s="337" t="s">
        <v>5</v>
      </c>
      <c r="BO430" s="337"/>
      <c r="BP430" s="337"/>
      <c r="BQ430" s="337"/>
      <c r="BR430" s="337"/>
      <c r="BS430" s="337" t="s">
        <v>5</v>
      </c>
      <c r="BT430" s="337"/>
      <c r="BU430" s="337"/>
      <c r="BV430" s="337"/>
      <c r="BW430" s="337" t="s">
        <v>1778</v>
      </c>
      <c r="BX430" s="337" t="s">
        <v>6</v>
      </c>
      <c r="BY430" s="337" t="s">
        <v>1101</v>
      </c>
      <c r="BZ430" s="337"/>
      <c r="CB430" s="337" t="s">
        <v>5</v>
      </c>
      <c r="CC430" s="337">
        <v>16687.80721205931</v>
      </c>
      <c r="CD430" s="337">
        <v>5010494.1960724276</v>
      </c>
      <c r="CE430" s="313" t="s">
        <v>11891</v>
      </c>
    </row>
    <row r="431" spans="1:83" ht="15" x14ac:dyDescent="0.25">
      <c r="A431" s="337" t="s">
        <v>2446</v>
      </c>
      <c r="B431" s="337" t="s">
        <v>2447</v>
      </c>
      <c r="C431" s="337" t="s">
        <v>2289</v>
      </c>
      <c r="D431" s="337">
        <v>3</v>
      </c>
      <c r="E431" s="337" t="s">
        <v>1771</v>
      </c>
      <c r="F431" s="337" t="s">
        <v>2448</v>
      </c>
      <c r="G431" s="337" t="s">
        <v>2449</v>
      </c>
      <c r="H431" s="337" t="s">
        <v>4523</v>
      </c>
      <c r="I431" s="337" t="s">
        <v>12793</v>
      </c>
      <c r="J431" s="337" t="s">
        <v>2450</v>
      </c>
      <c r="K431" s="337" t="s">
        <v>1787</v>
      </c>
      <c r="L431" s="337">
        <v>1.5207029581069951</v>
      </c>
      <c r="M431" s="337" t="s">
        <v>6</v>
      </c>
      <c r="N431" s="337" t="s">
        <v>5</v>
      </c>
      <c r="O431" s="337" t="s">
        <v>5</v>
      </c>
      <c r="P431" s="337" t="s">
        <v>5</v>
      </c>
      <c r="Q431" s="337" t="s">
        <v>5</v>
      </c>
      <c r="R431" s="337" t="s">
        <v>4524</v>
      </c>
      <c r="S431" s="337" t="s">
        <v>2451</v>
      </c>
      <c r="T431" s="337" t="s">
        <v>5</v>
      </c>
      <c r="U431" s="337" t="s">
        <v>50</v>
      </c>
      <c r="V431" s="337">
        <v>100000</v>
      </c>
      <c r="W431" s="337">
        <v>100000</v>
      </c>
      <c r="X431" s="337" t="s">
        <v>6</v>
      </c>
      <c r="Y431" s="337"/>
      <c r="Z431" s="337">
        <v>10000</v>
      </c>
      <c r="AA431" s="337">
        <v>7.4750900268554688E-2</v>
      </c>
      <c r="AB431" s="337">
        <v>9.6348589286208153E-3</v>
      </c>
      <c r="AC431" s="337">
        <v>0</v>
      </c>
      <c r="AD431" s="337">
        <v>3</v>
      </c>
      <c r="AE431" s="337">
        <v>1</v>
      </c>
      <c r="AF431" s="337">
        <v>1</v>
      </c>
      <c r="AG431" s="337">
        <v>0</v>
      </c>
      <c r="AH431" s="337">
        <v>2</v>
      </c>
      <c r="AI431" s="337">
        <v>2</v>
      </c>
      <c r="AJ431" s="337">
        <v>277</v>
      </c>
      <c r="AK431" s="337">
        <v>145</v>
      </c>
      <c r="AL431" s="337">
        <v>0</v>
      </c>
      <c r="AM431" s="337"/>
      <c r="AN431" s="337">
        <v>30.055110931396481</v>
      </c>
      <c r="AO431" s="337"/>
      <c r="AP431" s="337"/>
      <c r="AQ431" s="337"/>
      <c r="AR431" s="337"/>
      <c r="AS431" s="337"/>
      <c r="AT431" s="337"/>
      <c r="AU431" s="337"/>
      <c r="AV431" s="337"/>
      <c r="AW431" s="337"/>
      <c r="AX431" s="337"/>
      <c r="AY431" s="337"/>
      <c r="AZ431" s="337"/>
      <c r="BA431" s="337"/>
      <c r="BB431" s="337"/>
      <c r="BC431" s="337"/>
      <c r="BD431" s="337"/>
      <c r="BE431" s="337"/>
      <c r="BF431" s="337" t="s">
        <v>5</v>
      </c>
      <c r="BG431" s="337" t="s">
        <v>5</v>
      </c>
      <c r="BH431" s="337" t="s">
        <v>1777</v>
      </c>
      <c r="BI431" s="337"/>
      <c r="BJ431" s="337" t="s">
        <v>5</v>
      </c>
      <c r="BK431" s="337"/>
      <c r="BL431" s="337">
        <v>0</v>
      </c>
      <c r="BM431" s="337"/>
      <c r="BN431" s="337" t="s">
        <v>5</v>
      </c>
      <c r="BO431" s="337"/>
      <c r="BP431" s="337"/>
      <c r="BQ431" s="337"/>
      <c r="BR431" s="337"/>
      <c r="BS431" s="337" t="s">
        <v>5</v>
      </c>
      <c r="BT431" s="337"/>
      <c r="BU431" s="337"/>
      <c r="BV431" s="337"/>
      <c r="BW431" s="337" t="s">
        <v>1778</v>
      </c>
      <c r="BX431" s="337" t="s">
        <v>6</v>
      </c>
      <c r="BY431" s="337" t="s">
        <v>1101</v>
      </c>
      <c r="BZ431" s="337"/>
      <c r="CB431" s="337" t="s">
        <v>5</v>
      </c>
      <c r="CC431" s="337">
        <v>12327.189505175371</v>
      </c>
      <c r="CD431" s="337">
        <v>3939645.9811082878</v>
      </c>
      <c r="CE431" s="313" t="s">
        <v>11891</v>
      </c>
    </row>
    <row r="432" spans="1:83" ht="15" x14ac:dyDescent="0.25">
      <c r="A432" s="337" t="s">
        <v>2452</v>
      </c>
      <c r="B432" s="337" t="s">
        <v>2453</v>
      </c>
      <c r="C432" s="337" t="s">
        <v>2289</v>
      </c>
      <c r="D432" s="337">
        <v>3</v>
      </c>
      <c r="E432" s="337" t="s">
        <v>1771</v>
      </c>
      <c r="F432" s="337" t="s">
        <v>2107</v>
      </c>
      <c r="G432" s="337" t="s">
        <v>1925</v>
      </c>
      <c r="H432" s="337" t="s">
        <v>1926</v>
      </c>
      <c r="I432" s="337" t="s">
        <v>2454</v>
      </c>
      <c r="J432" s="337" t="s">
        <v>2455</v>
      </c>
      <c r="K432" s="337" t="s">
        <v>1787</v>
      </c>
      <c r="L432" s="337">
        <v>0.1603261977434158</v>
      </c>
      <c r="M432" s="337" t="s">
        <v>6</v>
      </c>
      <c r="N432" s="337" t="s">
        <v>5</v>
      </c>
      <c r="O432" s="337" t="s">
        <v>5</v>
      </c>
      <c r="P432" s="337" t="s">
        <v>5</v>
      </c>
      <c r="Q432" s="337" t="s">
        <v>5</v>
      </c>
      <c r="R432" s="337" t="s">
        <v>4525</v>
      </c>
      <c r="S432" s="337" t="s">
        <v>2456</v>
      </c>
      <c r="T432" s="337" t="s">
        <v>5</v>
      </c>
      <c r="U432" s="337" t="s">
        <v>50</v>
      </c>
      <c r="V432" s="337">
        <v>100000</v>
      </c>
      <c r="W432" s="337">
        <v>100000</v>
      </c>
      <c r="X432" s="337" t="s">
        <v>6</v>
      </c>
      <c r="Y432" s="337"/>
      <c r="Z432" s="337">
        <v>10000</v>
      </c>
      <c r="AA432" s="337">
        <v>0</v>
      </c>
      <c r="AB432" s="337">
        <v>0</v>
      </c>
      <c r="AC432" s="337">
        <v>0</v>
      </c>
      <c r="AD432" s="337">
        <v>0</v>
      </c>
      <c r="AE432" s="337">
        <v>0</v>
      </c>
      <c r="AF432" s="337">
        <v>0</v>
      </c>
      <c r="AG432" s="337">
        <v>0</v>
      </c>
      <c r="AH432" s="337">
        <v>0</v>
      </c>
      <c r="AI432" s="337">
        <v>0</v>
      </c>
      <c r="AJ432" s="337">
        <v>0</v>
      </c>
      <c r="AK432" s="337">
        <v>0</v>
      </c>
      <c r="AL432" s="337">
        <v>0</v>
      </c>
      <c r="AM432" s="337"/>
      <c r="AN432" s="337">
        <v>0</v>
      </c>
      <c r="AO432" s="337"/>
      <c r="AP432" s="337"/>
      <c r="AQ432" s="337"/>
      <c r="AR432" s="337"/>
      <c r="AS432" s="337"/>
      <c r="AT432" s="337"/>
      <c r="AU432" s="337"/>
      <c r="AV432" s="337"/>
      <c r="AW432" s="337"/>
      <c r="AX432" s="337"/>
      <c r="AY432" s="337"/>
      <c r="AZ432" s="337"/>
      <c r="BA432" s="337"/>
      <c r="BB432" s="337"/>
      <c r="BC432" s="337"/>
      <c r="BD432" s="337"/>
      <c r="BE432" s="337"/>
      <c r="BF432" s="337" t="s">
        <v>5</v>
      </c>
      <c r="BG432" s="337" t="s">
        <v>5</v>
      </c>
      <c r="BH432" s="337" t="s">
        <v>1777</v>
      </c>
      <c r="BI432" s="337"/>
      <c r="BJ432" s="337" t="s">
        <v>5</v>
      </c>
      <c r="BK432" s="337"/>
      <c r="BL432" s="337">
        <v>0</v>
      </c>
      <c r="BM432" s="337"/>
      <c r="BN432" s="337" t="s">
        <v>5</v>
      </c>
      <c r="BO432" s="337"/>
      <c r="BP432" s="337"/>
      <c r="BQ432" s="337"/>
      <c r="BR432" s="337"/>
      <c r="BS432" s="337" t="s">
        <v>5</v>
      </c>
      <c r="BT432" s="337"/>
      <c r="BU432" s="337"/>
      <c r="BV432" s="337"/>
      <c r="BW432" s="337" t="s">
        <v>1778</v>
      </c>
      <c r="BX432" s="337" t="s">
        <v>6</v>
      </c>
      <c r="BY432" s="337" t="s">
        <v>1101</v>
      </c>
      <c r="BZ432" s="337"/>
      <c r="CB432" s="337" t="s">
        <v>5</v>
      </c>
      <c r="CC432" s="337">
        <v>2719.3116061687251</v>
      </c>
      <c r="CD432" s="337">
        <v>415352.88838572369</v>
      </c>
      <c r="CE432" s="313" t="s">
        <v>11891</v>
      </c>
    </row>
    <row r="433" spans="1:83" ht="15" x14ac:dyDescent="0.25">
      <c r="A433" s="337" t="s">
        <v>2472</v>
      </c>
      <c r="B433" s="337" t="s">
        <v>2473</v>
      </c>
      <c r="C433" s="337" t="s">
        <v>2289</v>
      </c>
      <c r="D433" s="337">
        <v>3</v>
      </c>
      <c r="E433" s="337" t="s">
        <v>1771</v>
      </c>
      <c r="F433" s="337" t="s">
        <v>2057</v>
      </c>
      <c r="G433" s="337" t="s">
        <v>1808</v>
      </c>
      <c r="H433" s="337" t="s">
        <v>1809</v>
      </c>
      <c r="I433" s="337" t="s">
        <v>2474</v>
      </c>
      <c r="J433" s="337" t="s">
        <v>2475</v>
      </c>
      <c r="K433" s="337" t="s">
        <v>1787</v>
      </c>
      <c r="L433" s="337">
        <v>0.64100199937820435</v>
      </c>
      <c r="M433" s="337" t="s">
        <v>6</v>
      </c>
      <c r="N433" s="337" t="s">
        <v>5</v>
      </c>
      <c r="O433" s="337" t="s">
        <v>5</v>
      </c>
      <c r="P433" s="337" t="s">
        <v>5</v>
      </c>
      <c r="Q433" s="337" t="s">
        <v>5</v>
      </c>
      <c r="R433" s="337" t="s">
        <v>4529</v>
      </c>
      <c r="S433" s="337" t="s">
        <v>2476</v>
      </c>
      <c r="T433" s="337" t="s">
        <v>5</v>
      </c>
      <c r="U433" s="337" t="s">
        <v>50</v>
      </c>
      <c r="V433" s="337">
        <v>100000</v>
      </c>
      <c r="W433" s="337">
        <v>100000</v>
      </c>
      <c r="X433" s="337" t="s">
        <v>6</v>
      </c>
      <c r="Y433" s="337"/>
      <c r="Z433" s="337">
        <v>10000</v>
      </c>
      <c r="AA433" s="337">
        <v>0.25689411163330078</v>
      </c>
      <c r="AB433" s="337">
        <v>9.782126173377037E-3</v>
      </c>
      <c r="AC433" s="337">
        <v>0</v>
      </c>
      <c r="AD433" s="337">
        <v>87</v>
      </c>
      <c r="AE433" s="337">
        <v>7</v>
      </c>
      <c r="AF433" s="337">
        <v>87</v>
      </c>
      <c r="AG433" s="337">
        <v>13</v>
      </c>
      <c r="AH433" s="337">
        <v>52</v>
      </c>
      <c r="AI433" s="337">
        <v>52</v>
      </c>
      <c r="AJ433" s="337">
        <v>0</v>
      </c>
      <c r="AK433" s="337">
        <v>0</v>
      </c>
      <c r="AL433" s="337">
        <v>0</v>
      </c>
      <c r="AM433" s="337"/>
      <c r="AN433" s="337">
        <v>17.09623908996582</v>
      </c>
      <c r="AO433" s="337"/>
      <c r="AP433" s="337"/>
      <c r="AQ433" s="337"/>
      <c r="AR433" s="337"/>
      <c r="AS433" s="337"/>
      <c r="AT433" s="337"/>
      <c r="AU433" s="337"/>
      <c r="AV433" s="337"/>
      <c r="AW433" s="337"/>
      <c r="AX433" s="337"/>
      <c r="AY433" s="337"/>
      <c r="AZ433" s="337"/>
      <c r="BA433" s="337"/>
      <c r="BB433" s="337"/>
      <c r="BC433" s="337"/>
      <c r="BD433" s="337"/>
      <c r="BE433" s="337"/>
      <c r="BF433" s="337" t="s">
        <v>5</v>
      </c>
      <c r="BG433" s="337" t="s">
        <v>5</v>
      </c>
      <c r="BH433" s="337" t="s">
        <v>1777</v>
      </c>
      <c r="BI433" s="337"/>
      <c r="BJ433" s="337" t="s">
        <v>5</v>
      </c>
      <c r="BK433" s="337"/>
      <c r="BL433" s="337">
        <v>0</v>
      </c>
      <c r="BM433" s="337"/>
      <c r="BN433" s="337" t="s">
        <v>5</v>
      </c>
      <c r="BO433" s="337"/>
      <c r="BP433" s="337"/>
      <c r="BQ433" s="337"/>
      <c r="BR433" s="337"/>
      <c r="BS433" s="337" t="s">
        <v>5</v>
      </c>
      <c r="BT433" s="337"/>
      <c r="BU433" s="337"/>
      <c r="BV433" s="337"/>
      <c r="BW433" s="337" t="s">
        <v>1778</v>
      </c>
      <c r="BX433" s="337" t="s">
        <v>6</v>
      </c>
      <c r="BY433" s="337" t="s">
        <v>1101</v>
      </c>
      <c r="BZ433" s="337"/>
      <c r="CB433" s="337" t="s">
        <v>5</v>
      </c>
      <c r="CC433" s="337">
        <v>6322.0433915359426</v>
      </c>
      <c r="CD433" s="337">
        <v>1660626.978419994</v>
      </c>
      <c r="CE433" s="313" t="s">
        <v>11891</v>
      </c>
    </row>
    <row r="434" spans="1:83" ht="15" x14ac:dyDescent="0.25">
      <c r="A434" s="337" t="s">
        <v>2485</v>
      </c>
      <c r="B434" s="337" t="s">
        <v>2486</v>
      </c>
      <c r="C434" s="337" t="s">
        <v>2487</v>
      </c>
      <c r="D434" s="337">
        <v>3</v>
      </c>
      <c r="E434" s="337" t="s">
        <v>1771</v>
      </c>
      <c r="F434" s="337" t="s">
        <v>1899</v>
      </c>
      <c r="G434" s="337" t="s">
        <v>1900</v>
      </c>
      <c r="H434" s="337" t="s">
        <v>4394</v>
      </c>
      <c r="I434" s="337" t="s">
        <v>12748</v>
      </c>
      <c r="J434" s="337" t="s">
        <v>1901</v>
      </c>
      <c r="K434" s="337" t="s">
        <v>1787</v>
      </c>
      <c r="L434" s="337">
        <v>148.0393981933594</v>
      </c>
      <c r="M434" s="337" t="s">
        <v>6</v>
      </c>
      <c r="N434" s="337" t="s">
        <v>5</v>
      </c>
      <c r="O434" s="337" t="s">
        <v>5</v>
      </c>
      <c r="P434" s="337" t="s">
        <v>5</v>
      </c>
      <c r="Q434" s="337" t="s">
        <v>5</v>
      </c>
      <c r="R434" s="337" t="s">
        <v>4395</v>
      </c>
      <c r="S434" s="337" t="s">
        <v>1902</v>
      </c>
      <c r="T434" s="337" t="s">
        <v>5</v>
      </c>
      <c r="U434" s="337" t="s">
        <v>50</v>
      </c>
      <c r="V434" s="337">
        <v>100000</v>
      </c>
      <c r="W434" s="337">
        <v>100000</v>
      </c>
      <c r="X434" s="337" t="s">
        <v>6</v>
      </c>
      <c r="Y434" s="337"/>
      <c r="Z434" s="337">
        <v>10000</v>
      </c>
      <c r="AA434" s="337">
        <v>34.494319915771477</v>
      </c>
      <c r="AB434" s="337">
        <v>1.5862879753112791</v>
      </c>
      <c r="AC434" s="337">
        <v>0.24870599806308749</v>
      </c>
      <c r="AD434" s="337">
        <v>411</v>
      </c>
      <c r="AE434" s="337">
        <v>199</v>
      </c>
      <c r="AF434" s="337">
        <v>371</v>
      </c>
      <c r="AG434" s="337">
        <v>690</v>
      </c>
      <c r="AH434" s="337">
        <v>1183</v>
      </c>
      <c r="AI434" s="337">
        <v>1183</v>
      </c>
      <c r="AJ434" s="337">
        <v>3</v>
      </c>
      <c r="AK434" s="337">
        <v>15</v>
      </c>
      <c r="AL434" s="337">
        <v>34</v>
      </c>
      <c r="AM434" s="337"/>
      <c r="AN434" s="337">
        <v>4484.98876953125</v>
      </c>
      <c r="AO434" s="337"/>
      <c r="AP434" s="337"/>
      <c r="AQ434" s="337"/>
      <c r="AR434" s="337"/>
      <c r="AS434" s="337"/>
      <c r="AT434" s="337"/>
      <c r="AU434" s="337"/>
      <c r="AV434" s="337"/>
      <c r="AW434" s="337"/>
      <c r="AX434" s="337"/>
      <c r="AY434" s="337"/>
      <c r="AZ434" s="337"/>
      <c r="BA434" s="337"/>
      <c r="BB434" s="337"/>
      <c r="BC434" s="337"/>
      <c r="BD434" s="337"/>
      <c r="BE434" s="337"/>
      <c r="BF434" s="337" t="s">
        <v>5</v>
      </c>
      <c r="BG434" s="337" t="s">
        <v>5</v>
      </c>
      <c r="BH434" s="337" t="s">
        <v>1777</v>
      </c>
      <c r="BI434" s="337"/>
      <c r="BJ434" s="337" t="s">
        <v>5</v>
      </c>
      <c r="BK434" s="337"/>
      <c r="BL434" s="337">
        <v>0</v>
      </c>
      <c r="BM434" s="337"/>
      <c r="BN434" s="337" t="s">
        <v>5</v>
      </c>
      <c r="BO434" s="337"/>
      <c r="BP434" s="337"/>
      <c r="BQ434" s="337"/>
      <c r="BR434" s="337"/>
      <c r="BS434" s="337" t="s">
        <v>5</v>
      </c>
      <c r="BT434" s="337"/>
      <c r="BU434" s="337"/>
      <c r="BV434" s="337"/>
      <c r="BW434" s="337" t="s">
        <v>1778</v>
      </c>
      <c r="BX434" s="337" t="s">
        <v>6</v>
      </c>
      <c r="BY434" s="337" t="s">
        <v>1101</v>
      </c>
      <c r="BZ434" s="337"/>
      <c r="CB434" s="337" t="s">
        <v>5</v>
      </c>
      <c r="CC434" s="337">
        <v>78389.78064435265</v>
      </c>
      <c r="CD434" s="337">
        <v>383521736.9724707</v>
      </c>
      <c r="CE434" s="313" t="s">
        <v>11891</v>
      </c>
    </row>
    <row r="435" spans="1:83" ht="15" x14ac:dyDescent="0.25">
      <c r="A435" t="s">
        <v>3422</v>
      </c>
      <c r="B435" t="s">
        <v>50</v>
      </c>
      <c r="C435" t="s">
        <v>3423</v>
      </c>
      <c r="D435">
        <v>11</v>
      </c>
      <c r="E435" t="s">
        <v>3411</v>
      </c>
      <c r="F435" t="s">
        <v>3412</v>
      </c>
      <c r="G435" t="s">
        <v>3413</v>
      </c>
      <c r="H435"/>
      <c r="I435"/>
      <c r="J435" t="s">
        <v>3414</v>
      </c>
      <c r="K435" t="s">
        <v>3424</v>
      </c>
      <c r="L435">
        <v>6010.3671875</v>
      </c>
      <c r="M435" t="s">
        <v>6</v>
      </c>
      <c r="N435" t="s">
        <v>6</v>
      </c>
      <c r="O435" t="s">
        <v>5</v>
      </c>
      <c r="P435" t="s">
        <v>5</v>
      </c>
      <c r="Q435" t="s">
        <v>5</v>
      </c>
      <c r="R435" t="s">
        <v>3416</v>
      </c>
      <c r="S435" t="s">
        <v>3416</v>
      </c>
      <c r="T435" t="s">
        <v>5</v>
      </c>
      <c r="U435" t="s">
        <v>50</v>
      </c>
      <c r="V435">
        <v>93000</v>
      </c>
      <c r="W435">
        <v>93000</v>
      </c>
      <c r="X435" t="s">
        <v>5</v>
      </c>
      <c r="Y435"/>
      <c r="Z435"/>
      <c r="AA435">
        <v>1166.19873046875</v>
      </c>
      <c r="AB435">
        <v>194.1005859375</v>
      </c>
      <c r="AC435">
        <v>1.266889810562134</v>
      </c>
      <c r="AD435">
        <v>27069</v>
      </c>
      <c r="AE435">
        <v>18447</v>
      </c>
      <c r="AF435">
        <v>18879</v>
      </c>
      <c r="AG435">
        <v>42522</v>
      </c>
      <c r="AH435">
        <v>62638</v>
      </c>
      <c r="AI435">
        <v>62638</v>
      </c>
      <c r="AJ435">
        <v>136</v>
      </c>
      <c r="AK435">
        <v>661</v>
      </c>
      <c r="AL435">
        <v>935</v>
      </c>
      <c r="AM435"/>
      <c r="AN435">
        <v>360251.3125</v>
      </c>
      <c r="AO435"/>
      <c r="AP435"/>
      <c r="AQ435"/>
      <c r="AR435"/>
      <c r="AS435"/>
      <c r="AT435"/>
      <c r="AU435"/>
      <c r="AV435"/>
      <c r="AW435"/>
      <c r="AX435"/>
      <c r="AY435"/>
      <c r="AZ435"/>
      <c r="BA435"/>
      <c r="BB435"/>
      <c r="BC435"/>
      <c r="BD435"/>
      <c r="BE435"/>
      <c r="BF435" t="s">
        <v>3409</v>
      </c>
      <c r="BG435" t="s">
        <v>5</v>
      </c>
      <c r="BH435" t="s">
        <v>1020</v>
      </c>
      <c r="BI435"/>
      <c r="BJ435" t="s">
        <v>5</v>
      </c>
      <c r="BK435" t="s">
        <v>1020</v>
      </c>
      <c r="BL435"/>
      <c r="BM435"/>
      <c r="BN435" t="s">
        <v>5</v>
      </c>
      <c r="BO435"/>
      <c r="BP435"/>
      <c r="BQ435"/>
      <c r="BR435"/>
      <c r="BS435" t="s">
        <v>6</v>
      </c>
      <c r="BT435"/>
      <c r="BU435"/>
      <c r="BV435"/>
      <c r="BW435"/>
      <c r="BX435" t="s">
        <v>6</v>
      </c>
      <c r="BY435" t="s">
        <v>3417</v>
      </c>
      <c r="BZ435"/>
      <c r="CA435"/>
      <c r="CB435" t="s">
        <v>5</v>
      </c>
      <c r="CC435">
        <v>1159993.5086232999</v>
      </c>
      <c r="CD435">
        <v>15566779773.771799</v>
      </c>
      <c r="CE435" s="313" t="s">
        <v>11891</v>
      </c>
    </row>
    <row r="436" spans="1:83" ht="15" x14ac:dyDescent="0.25">
      <c r="A436" s="337" t="s">
        <v>12813</v>
      </c>
      <c r="B436" s="337" t="s">
        <v>12814</v>
      </c>
      <c r="C436" s="337" t="s">
        <v>12815</v>
      </c>
      <c r="D436" s="337">
        <v>3</v>
      </c>
      <c r="E436" s="337" t="s">
        <v>1771</v>
      </c>
      <c r="F436" s="337" t="s">
        <v>81</v>
      </c>
      <c r="G436" s="337" t="s">
        <v>12816</v>
      </c>
      <c r="H436" s="337" t="s">
        <v>12817</v>
      </c>
      <c r="I436" s="337" t="s">
        <v>12818</v>
      </c>
      <c r="J436" s="337" t="s">
        <v>12819</v>
      </c>
      <c r="K436" s="337" t="s">
        <v>12820</v>
      </c>
      <c r="L436" s="337">
        <v>46.862480163574219</v>
      </c>
      <c r="M436" s="337" t="s">
        <v>6</v>
      </c>
      <c r="N436" s="337" t="s">
        <v>5</v>
      </c>
      <c r="O436" s="337" t="s">
        <v>6</v>
      </c>
      <c r="P436" s="337" t="s">
        <v>5</v>
      </c>
      <c r="Q436" s="337" t="s">
        <v>5</v>
      </c>
      <c r="R436" s="337" t="s">
        <v>6240</v>
      </c>
      <c r="S436" s="337" t="s">
        <v>6240</v>
      </c>
      <c r="T436" s="337" t="s">
        <v>5</v>
      </c>
      <c r="U436" s="337" t="s">
        <v>50</v>
      </c>
      <c r="V436" s="337">
        <v>91000</v>
      </c>
      <c r="W436" s="337">
        <v>91000</v>
      </c>
      <c r="X436" s="337" t="s">
        <v>6</v>
      </c>
      <c r="Y436" s="337"/>
      <c r="Z436" s="337"/>
      <c r="AA436" s="337">
        <v>17.4769401550293</v>
      </c>
      <c r="AB436" s="337">
        <v>3.9348831176757808</v>
      </c>
      <c r="AC436" s="337"/>
      <c r="AD436" s="337">
        <v>1050</v>
      </c>
      <c r="AE436" s="337">
        <v>365</v>
      </c>
      <c r="AF436" s="337">
        <v>749</v>
      </c>
      <c r="AG436" s="337">
        <v>0</v>
      </c>
      <c r="AH436" s="337">
        <v>1</v>
      </c>
      <c r="AI436" s="337">
        <v>1</v>
      </c>
      <c r="AJ436" s="337">
        <v>4</v>
      </c>
      <c r="AK436" s="337">
        <v>2</v>
      </c>
      <c r="AL436" s="337">
        <v>66</v>
      </c>
      <c r="AM436" s="337">
        <v>2</v>
      </c>
      <c r="AN436" s="337">
        <v>1332.248046875</v>
      </c>
      <c r="AO436" s="337"/>
      <c r="AP436" s="337"/>
      <c r="AQ436" s="337"/>
      <c r="AR436" s="337"/>
      <c r="AS436" s="337"/>
      <c r="AT436" s="337"/>
      <c r="AU436" s="337"/>
      <c r="AV436" s="337"/>
      <c r="AW436" s="337"/>
      <c r="AX436" s="337"/>
      <c r="AY436" s="337"/>
      <c r="AZ436" s="337"/>
      <c r="BA436" s="337"/>
      <c r="BB436" s="337"/>
      <c r="BC436" s="337"/>
      <c r="BD436" s="337"/>
      <c r="BE436" s="337"/>
      <c r="BF436" s="337" t="s">
        <v>12386</v>
      </c>
      <c r="BG436" s="337" t="s">
        <v>5</v>
      </c>
      <c r="BH436" s="337" t="s">
        <v>1777</v>
      </c>
      <c r="BI436" s="337"/>
      <c r="BJ436" s="337" t="s">
        <v>5</v>
      </c>
      <c r="BK436" s="337"/>
      <c r="BL436" s="337">
        <v>0</v>
      </c>
      <c r="BM436" s="337"/>
      <c r="BN436" s="337" t="s">
        <v>5</v>
      </c>
      <c r="BO436" s="337"/>
      <c r="BP436" s="337"/>
      <c r="BQ436" s="337"/>
      <c r="BR436" s="337"/>
      <c r="BS436" s="337" t="s">
        <v>5</v>
      </c>
      <c r="BT436" s="337"/>
      <c r="BU436" s="337"/>
      <c r="BV436" s="337"/>
      <c r="BW436" s="337"/>
      <c r="BX436" s="337" t="s">
        <v>6</v>
      </c>
      <c r="BY436" s="337" t="s">
        <v>1101</v>
      </c>
      <c r="BZ436" s="337"/>
      <c r="CB436" s="337" t="s">
        <v>5</v>
      </c>
      <c r="CC436" s="337">
        <v>63243.231311012569</v>
      </c>
      <c r="CD436" s="337">
        <v>121373765.8609181</v>
      </c>
      <c r="CE436" s="313" t="s">
        <v>11902</v>
      </c>
    </row>
    <row r="437" spans="1:83" ht="15" x14ac:dyDescent="0.25">
      <c r="A437" t="s">
        <v>1446</v>
      </c>
      <c r="B437" t="s">
        <v>1447</v>
      </c>
      <c r="C437" t="s">
        <v>1448</v>
      </c>
      <c r="D437">
        <v>1</v>
      </c>
      <c r="E437" t="s">
        <v>1432</v>
      </c>
      <c r="F437"/>
      <c r="G437"/>
      <c r="H437"/>
      <c r="I437"/>
      <c r="J437"/>
      <c r="K437" t="s">
        <v>1449</v>
      </c>
      <c r="L437">
        <v>34626.1171875</v>
      </c>
      <c r="M437" t="s">
        <v>6</v>
      </c>
      <c r="N437" t="s">
        <v>5</v>
      </c>
      <c r="O437" t="s">
        <v>5</v>
      </c>
      <c r="P437" t="s">
        <v>6</v>
      </c>
      <c r="Q437" t="s">
        <v>5</v>
      </c>
      <c r="R437" t="s">
        <v>1450</v>
      </c>
      <c r="S437" t="s">
        <v>1450</v>
      </c>
      <c r="T437" t="s">
        <v>5</v>
      </c>
      <c r="U437" t="s">
        <v>13</v>
      </c>
      <c r="V437">
        <v>100000</v>
      </c>
      <c r="W437">
        <v>90000</v>
      </c>
      <c r="X437" t="s">
        <v>5</v>
      </c>
      <c r="Y437"/>
      <c r="Z437"/>
      <c r="AA437">
        <v>4305.263671875</v>
      </c>
      <c r="AB437">
        <v>929.55096435546875</v>
      </c>
      <c r="AC437">
        <v>0.2439257204532623</v>
      </c>
      <c r="AD437">
        <v>11544</v>
      </c>
      <c r="AE437">
        <v>12170</v>
      </c>
      <c r="AF437">
        <v>6885</v>
      </c>
      <c r="AG437">
        <v>26657</v>
      </c>
      <c r="AH437">
        <v>20374</v>
      </c>
      <c r="AI437">
        <v>26657</v>
      </c>
      <c r="AJ437">
        <v>160</v>
      </c>
      <c r="AK437">
        <v>803</v>
      </c>
      <c r="AL437">
        <v>2299</v>
      </c>
      <c r="AM437">
        <v>1250</v>
      </c>
      <c r="AN437">
        <v>2425093.5</v>
      </c>
      <c r="AO437"/>
      <c r="AP437"/>
      <c r="AQ437"/>
      <c r="AR437">
        <v>0</v>
      </c>
      <c r="AS437">
        <v>0</v>
      </c>
      <c r="AT437">
        <v>0</v>
      </c>
      <c r="AU437">
        <v>0</v>
      </c>
      <c r="AV437">
        <v>0</v>
      </c>
      <c r="AW437">
        <v>0</v>
      </c>
      <c r="AX437">
        <v>0</v>
      </c>
      <c r="AY437">
        <v>0</v>
      </c>
      <c r="AZ437">
        <v>0</v>
      </c>
      <c r="BA437">
        <v>0</v>
      </c>
      <c r="BB437"/>
      <c r="BC437"/>
      <c r="BD437"/>
      <c r="BE437">
        <v>0</v>
      </c>
      <c r="BF437" t="s">
        <v>1100</v>
      </c>
      <c r="BG437" t="s">
        <v>5</v>
      </c>
      <c r="BH437" t="s">
        <v>1020</v>
      </c>
      <c r="BI437" t="s">
        <v>1020</v>
      </c>
      <c r="BJ437" t="s">
        <v>5</v>
      </c>
      <c r="BK437"/>
      <c r="BL437">
        <v>0</v>
      </c>
      <c r="BM437"/>
      <c r="BN437" t="s">
        <v>5</v>
      </c>
      <c r="BO437"/>
      <c r="BP437"/>
      <c r="BQ437"/>
      <c r="BR437"/>
      <c r="BS437" t="s">
        <v>5</v>
      </c>
      <c r="BT437"/>
      <c r="BU437"/>
      <c r="BV437"/>
      <c r="BW437"/>
      <c r="BX437" t="s">
        <v>6</v>
      </c>
      <c r="BY437" t="s">
        <v>1101</v>
      </c>
      <c r="BZ437"/>
      <c r="CA437"/>
      <c r="CB437" t="s">
        <v>5</v>
      </c>
      <c r="CC437">
        <v>1994348.4832552939</v>
      </c>
      <c r="CD437">
        <v>89681234934.229919</v>
      </c>
      <c r="CE437" s="313" t="s">
        <v>11891</v>
      </c>
    </row>
    <row r="438" spans="1:83" ht="15" x14ac:dyDescent="0.25">
      <c r="A438" t="s">
        <v>1451</v>
      </c>
      <c r="B438" t="s">
        <v>1452</v>
      </c>
      <c r="C438" t="s">
        <v>1453</v>
      </c>
      <c r="D438">
        <v>1</v>
      </c>
      <c r="E438" t="s">
        <v>1432</v>
      </c>
      <c r="F438"/>
      <c r="G438"/>
      <c r="H438"/>
      <c r="I438"/>
      <c r="J438"/>
      <c r="K438" t="s">
        <v>1449</v>
      </c>
      <c r="L438">
        <v>34626.1171875</v>
      </c>
      <c r="M438" t="s">
        <v>6</v>
      </c>
      <c r="N438" t="s">
        <v>5</v>
      </c>
      <c r="O438" t="s">
        <v>5</v>
      </c>
      <c r="P438" t="s">
        <v>6</v>
      </c>
      <c r="Q438" t="s">
        <v>5</v>
      </c>
      <c r="R438" t="s">
        <v>1450</v>
      </c>
      <c r="S438" t="s">
        <v>1450</v>
      </c>
      <c r="T438" t="s">
        <v>5</v>
      </c>
      <c r="U438" t="s">
        <v>13</v>
      </c>
      <c r="V438">
        <v>100000</v>
      </c>
      <c r="W438">
        <v>90000</v>
      </c>
      <c r="X438" t="s">
        <v>5</v>
      </c>
      <c r="Y438"/>
      <c r="Z438"/>
      <c r="AA438">
        <v>4305.263671875</v>
      </c>
      <c r="AB438">
        <v>929.55096435546875</v>
      </c>
      <c r="AC438">
        <v>0.2439257204532623</v>
      </c>
      <c r="AD438">
        <v>11544</v>
      </c>
      <c r="AE438">
        <v>12170</v>
      </c>
      <c r="AF438">
        <v>6885</v>
      </c>
      <c r="AG438">
        <v>26657</v>
      </c>
      <c r="AH438">
        <v>20374</v>
      </c>
      <c r="AI438">
        <v>26657</v>
      </c>
      <c r="AJ438">
        <v>160</v>
      </c>
      <c r="AK438">
        <v>803</v>
      </c>
      <c r="AL438">
        <v>2299</v>
      </c>
      <c r="AM438">
        <v>1250</v>
      </c>
      <c r="AN438">
        <v>2425093.5</v>
      </c>
      <c r="AO438"/>
      <c r="AP438"/>
      <c r="AQ438"/>
      <c r="AR438">
        <v>0</v>
      </c>
      <c r="AS438">
        <v>0</v>
      </c>
      <c r="AT438">
        <v>0</v>
      </c>
      <c r="AU438">
        <v>0</v>
      </c>
      <c r="AV438">
        <v>0</v>
      </c>
      <c r="AW438">
        <v>0</v>
      </c>
      <c r="AX438">
        <v>0</v>
      </c>
      <c r="AY438">
        <v>0</v>
      </c>
      <c r="AZ438">
        <v>0</v>
      </c>
      <c r="BA438">
        <v>0</v>
      </c>
      <c r="BB438"/>
      <c r="BC438"/>
      <c r="BD438"/>
      <c r="BE438">
        <v>0</v>
      </c>
      <c r="BF438" t="s">
        <v>1100</v>
      </c>
      <c r="BG438" t="s">
        <v>5</v>
      </c>
      <c r="BH438" t="s">
        <v>1020</v>
      </c>
      <c r="BI438" t="s">
        <v>1020</v>
      </c>
      <c r="BJ438" t="s">
        <v>5</v>
      </c>
      <c r="BK438"/>
      <c r="BL438">
        <v>0</v>
      </c>
      <c r="BM438"/>
      <c r="BN438" t="s">
        <v>5</v>
      </c>
      <c r="BO438"/>
      <c r="BP438"/>
      <c r="BQ438"/>
      <c r="BR438"/>
      <c r="BS438" t="s">
        <v>5</v>
      </c>
      <c r="BT438"/>
      <c r="BU438"/>
      <c r="BV438"/>
      <c r="BW438"/>
      <c r="BX438" t="s">
        <v>6</v>
      </c>
      <c r="BY438" t="s">
        <v>1101</v>
      </c>
      <c r="BZ438"/>
      <c r="CA438"/>
      <c r="CB438" t="s">
        <v>5</v>
      </c>
      <c r="CC438">
        <v>1994348.4832552939</v>
      </c>
      <c r="CD438">
        <v>89681234934.229919</v>
      </c>
      <c r="CE438" s="313" t="s">
        <v>11891</v>
      </c>
    </row>
    <row r="439" spans="1:83" ht="15" x14ac:dyDescent="0.25">
      <c r="A439" t="s">
        <v>2892</v>
      </c>
      <c r="B439" t="s">
        <v>2893</v>
      </c>
      <c r="C439" t="s">
        <v>2894</v>
      </c>
      <c r="D439">
        <v>5</v>
      </c>
      <c r="E439" t="s">
        <v>2598</v>
      </c>
      <c r="F439" t="s">
        <v>2874</v>
      </c>
      <c r="G439" t="s">
        <v>2887</v>
      </c>
      <c r="H439" t="s">
        <v>2888</v>
      </c>
      <c r="I439" t="s">
        <v>2889</v>
      </c>
      <c r="J439" t="s">
        <v>2890</v>
      </c>
      <c r="K439" t="s">
        <v>2620</v>
      </c>
      <c r="L439">
        <v>13.457290649414061</v>
      </c>
      <c r="M439" t="s">
        <v>6</v>
      </c>
      <c r="N439" t="s">
        <v>5</v>
      </c>
      <c r="O439" t="s">
        <v>5</v>
      </c>
      <c r="P439" t="s">
        <v>5</v>
      </c>
      <c r="Q439" t="s">
        <v>6</v>
      </c>
      <c r="R439" t="s">
        <v>2891</v>
      </c>
      <c r="S439" t="s">
        <v>2891</v>
      </c>
      <c r="T439" t="s">
        <v>6</v>
      </c>
      <c r="U439" t="s">
        <v>98</v>
      </c>
      <c r="V439">
        <v>6000000</v>
      </c>
      <c r="W439">
        <v>90000</v>
      </c>
      <c r="X439" t="s">
        <v>6</v>
      </c>
      <c r="Y439"/>
      <c r="Z439"/>
      <c r="AA439">
        <v>2.6110367774963379</v>
      </c>
      <c r="AB439">
        <v>1.2883890867233281</v>
      </c>
      <c r="AC439">
        <v>0.55457472801208496</v>
      </c>
      <c r="AD439">
        <v>235</v>
      </c>
      <c r="AE439">
        <v>274</v>
      </c>
      <c r="AF439">
        <v>210</v>
      </c>
      <c r="AG439">
        <v>232</v>
      </c>
      <c r="AH439">
        <v>649</v>
      </c>
      <c r="AI439">
        <v>658</v>
      </c>
      <c r="AJ439">
        <v>0</v>
      </c>
      <c r="AK439">
        <v>1</v>
      </c>
      <c r="AL439">
        <v>4</v>
      </c>
      <c r="AM439">
        <v>1</v>
      </c>
      <c r="AN439">
        <v>22.86903190612793</v>
      </c>
      <c r="AO439"/>
      <c r="AP439"/>
      <c r="AQ439"/>
      <c r="AR439">
        <v>0</v>
      </c>
      <c r="AS439">
        <v>0</v>
      </c>
      <c r="AT439">
        <v>0</v>
      </c>
      <c r="AU439">
        <v>0</v>
      </c>
      <c r="AV439">
        <v>0</v>
      </c>
      <c r="AW439">
        <v>0</v>
      </c>
      <c r="AX439">
        <v>0</v>
      </c>
      <c r="AY439">
        <v>0</v>
      </c>
      <c r="AZ439">
        <v>0</v>
      </c>
      <c r="BA439">
        <v>0</v>
      </c>
      <c r="BB439"/>
      <c r="BC439"/>
      <c r="BD439"/>
      <c r="BE439">
        <v>0</v>
      </c>
      <c r="BF439" t="s">
        <v>2516</v>
      </c>
      <c r="BG439" t="s">
        <v>5</v>
      </c>
      <c r="BH439" t="s">
        <v>1020</v>
      </c>
      <c r="BI439"/>
      <c r="BJ439" t="s">
        <v>5</v>
      </c>
      <c r="BK439"/>
      <c r="BL439">
        <v>100</v>
      </c>
      <c r="BM439"/>
      <c r="BN439" t="s">
        <v>6</v>
      </c>
      <c r="BO439" t="s">
        <v>2518</v>
      </c>
      <c r="BP439" t="s">
        <v>2518</v>
      </c>
      <c r="BQ439" t="s">
        <v>2518</v>
      </c>
      <c r="BR439"/>
      <c r="BS439" t="s">
        <v>6</v>
      </c>
      <c r="BT439" t="s">
        <v>2518</v>
      </c>
      <c r="BU439" t="s">
        <v>2518</v>
      </c>
      <c r="BV439" t="s">
        <v>2518</v>
      </c>
      <c r="BW439"/>
      <c r="BX439" t="s">
        <v>6</v>
      </c>
      <c r="BY439" t="s">
        <v>2605</v>
      </c>
      <c r="BZ439" t="s">
        <v>2518</v>
      </c>
      <c r="CA439"/>
      <c r="CB439" t="s">
        <v>6</v>
      </c>
      <c r="CC439">
        <v>38295.649076594251</v>
      </c>
      <c r="CD439">
        <v>34854222.498532563</v>
      </c>
      <c r="CE439" s="313" t="s">
        <v>11891</v>
      </c>
    </row>
    <row r="440" spans="1:83" ht="15" x14ac:dyDescent="0.25">
      <c r="A440" t="s">
        <v>2897</v>
      </c>
      <c r="B440" t="s">
        <v>2898</v>
      </c>
      <c r="C440" t="s">
        <v>2894</v>
      </c>
      <c r="D440">
        <v>5</v>
      </c>
      <c r="E440" t="s">
        <v>2598</v>
      </c>
      <c r="F440" t="s">
        <v>2874</v>
      </c>
      <c r="G440" t="s">
        <v>2616</v>
      </c>
      <c r="H440" t="s">
        <v>2899</v>
      </c>
      <c r="I440" t="s">
        <v>2900</v>
      </c>
      <c r="J440" t="s">
        <v>2901</v>
      </c>
      <c r="K440" t="s">
        <v>2620</v>
      </c>
      <c r="L440">
        <v>0.4180540144443512</v>
      </c>
      <c r="M440" t="s">
        <v>6</v>
      </c>
      <c r="N440" t="s">
        <v>5</v>
      </c>
      <c r="O440" t="s">
        <v>5</v>
      </c>
      <c r="P440" t="s">
        <v>5</v>
      </c>
      <c r="Q440" t="s">
        <v>5</v>
      </c>
      <c r="R440" t="s">
        <v>2902</v>
      </c>
      <c r="S440" t="s">
        <v>2902</v>
      </c>
      <c r="T440" t="s">
        <v>6</v>
      </c>
      <c r="U440" t="s">
        <v>98</v>
      </c>
      <c r="V440">
        <v>5000000</v>
      </c>
      <c r="W440">
        <v>90000</v>
      </c>
      <c r="X440" t="s">
        <v>6</v>
      </c>
      <c r="Y440"/>
      <c r="Z440"/>
      <c r="AA440">
        <v>0.33449792861938482</v>
      </c>
      <c r="AB440">
        <v>5.1253270357847207E-2</v>
      </c>
      <c r="AC440">
        <v>0</v>
      </c>
      <c r="AD440">
        <v>134</v>
      </c>
      <c r="AE440">
        <v>46</v>
      </c>
      <c r="AF440">
        <v>123</v>
      </c>
      <c r="AG440">
        <v>122</v>
      </c>
      <c r="AH440">
        <v>236</v>
      </c>
      <c r="AI440">
        <v>278</v>
      </c>
      <c r="AJ440">
        <v>0</v>
      </c>
      <c r="AK440">
        <v>0</v>
      </c>
      <c r="AL440">
        <v>2</v>
      </c>
      <c r="AM440">
        <v>0</v>
      </c>
      <c r="AN440">
        <v>0.2223948389291763</v>
      </c>
      <c r="AO440"/>
      <c r="AP440"/>
      <c r="AQ440"/>
      <c r="AR440">
        <v>0</v>
      </c>
      <c r="AS440">
        <v>0</v>
      </c>
      <c r="AT440">
        <v>0</v>
      </c>
      <c r="AU440">
        <v>0</v>
      </c>
      <c r="AV440">
        <v>0</v>
      </c>
      <c r="AW440">
        <v>0</v>
      </c>
      <c r="AX440">
        <v>0</v>
      </c>
      <c r="AY440">
        <v>0</v>
      </c>
      <c r="AZ440">
        <v>0</v>
      </c>
      <c r="BA440">
        <v>0</v>
      </c>
      <c r="BB440"/>
      <c r="BC440"/>
      <c r="BD440"/>
      <c r="BE440">
        <v>0</v>
      </c>
      <c r="BF440" t="s">
        <v>2516</v>
      </c>
      <c r="BG440" t="s">
        <v>5</v>
      </c>
      <c r="BH440" t="s">
        <v>1020</v>
      </c>
      <c r="BI440"/>
      <c r="BJ440" t="s">
        <v>5</v>
      </c>
      <c r="BK440"/>
      <c r="BL440">
        <v>100</v>
      </c>
      <c r="BM440"/>
      <c r="BN440" t="s">
        <v>6</v>
      </c>
      <c r="BO440" t="s">
        <v>2518</v>
      </c>
      <c r="BP440" t="s">
        <v>2518</v>
      </c>
      <c r="BQ440" t="s">
        <v>2518</v>
      </c>
      <c r="BR440"/>
      <c r="BS440" t="s">
        <v>6</v>
      </c>
      <c r="BT440" t="s">
        <v>2518</v>
      </c>
      <c r="BU440" t="s">
        <v>2518</v>
      </c>
      <c r="BV440" t="s">
        <v>2518</v>
      </c>
      <c r="BW440"/>
      <c r="BX440" t="s">
        <v>6</v>
      </c>
      <c r="BY440" t="s">
        <v>2605</v>
      </c>
      <c r="BZ440" t="s">
        <v>2518</v>
      </c>
      <c r="CA440"/>
      <c r="CB440" t="s">
        <v>6</v>
      </c>
      <c r="CC440">
        <v>6430.6494001833016</v>
      </c>
      <c r="CD440">
        <v>1082754.9283023069</v>
      </c>
      <c r="CE440" s="313" t="s">
        <v>11891</v>
      </c>
    </row>
    <row r="441" spans="1:83" ht="15" x14ac:dyDescent="0.25">
      <c r="A441" t="s">
        <v>2903</v>
      </c>
      <c r="B441" t="s">
        <v>2904</v>
      </c>
      <c r="C441" t="s">
        <v>2905</v>
      </c>
      <c r="D441">
        <v>5</v>
      </c>
      <c r="E441" t="s">
        <v>2598</v>
      </c>
      <c r="F441" t="s">
        <v>2874</v>
      </c>
      <c r="G441" t="s">
        <v>2616</v>
      </c>
      <c r="H441" t="s">
        <v>2899</v>
      </c>
      <c r="I441" t="s">
        <v>2900</v>
      </c>
      <c r="J441" t="s">
        <v>2901</v>
      </c>
      <c r="K441" t="s">
        <v>2620</v>
      </c>
      <c r="L441">
        <v>0.41806510090827942</v>
      </c>
      <c r="M441" t="s">
        <v>6</v>
      </c>
      <c r="N441" t="s">
        <v>5</v>
      </c>
      <c r="O441" t="s">
        <v>5</v>
      </c>
      <c r="P441" t="s">
        <v>5</v>
      </c>
      <c r="Q441" t="s">
        <v>5</v>
      </c>
      <c r="R441" t="s">
        <v>2902</v>
      </c>
      <c r="S441" t="s">
        <v>2902</v>
      </c>
      <c r="T441" t="s">
        <v>6</v>
      </c>
      <c r="U441" t="s">
        <v>98</v>
      </c>
      <c r="V441">
        <v>6000000</v>
      </c>
      <c r="W441">
        <v>90000</v>
      </c>
      <c r="X441" t="s">
        <v>6</v>
      </c>
      <c r="Y441"/>
      <c r="Z441"/>
      <c r="AA441">
        <v>0.3345089852809906</v>
      </c>
      <c r="AB441">
        <v>5.1253270357847207E-2</v>
      </c>
      <c r="AC441">
        <v>0</v>
      </c>
      <c r="AD441">
        <v>134</v>
      </c>
      <c r="AE441">
        <v>46</v>
      </c>
      <c r="AF441">
        <v>123</v>
      </c>
      <c r="AG441">
        <v>122</v>
      </c>
      <c r="AH441">
        <v>236</v>
      </c>
      <c r="AI441">
        <v>278</v>
      </c>
      <c r="AJ441">
        <v>0</v>
      </c>
      <c r="AK441">
        <v>0</v>
      </c>
      <c r="AL441">
        <v>2</v>
      </c>
      <c r="AM441">
        <v>0</v>
      </c>
      <c r="AN441">
        <v>0.2223948389291763</v>
      </c>
      <c r="AO441"/>
      <c r="AP441"/>
      <c r="AQ441"/>
      <c r="AR441">
        <v>0</v>
      </c>
      <c r="AS441">
        <v>0</v>
      </c>
      <c r="AT441">
        <v>0</v>
      </c>
      <c r="AU441">
        <v>0</v>
      </c>
      <c r="AV441">
        <v>0</v>
      </c>
      <c r="AW441">
        <v>0</v>
      </c>
      <c r="AX441">
        <v>0</v>
      </c>
      <c r="AY441">
        <v>0</v>
      </c>
      <c r="AZ441">
        <v>0</v>
      </c>
      <c r="BA441">
        <v>0</v>
      </c>
      <c r="BB441"/>
      <c r="BC441"/>
      <c r="BD441"/>
      <c r="BE441">
        <v>0</v>
      </c>
      <c r="BF441" t="s">
        <v>2516</v>
      </c>
      <c r="BG441" t="s">
        <v>5</v>
      </c>
      <c r="BH441" t="s">
        <v>1020</v>
      </c>
      <c r="BI441"/>
      <c r="BJ441" t="s">
        <v>5</v>
      </c>
      <c r="BK441"/>
      <c r="BL441">
        <v>0</v>
      </c>
      <c r="BM441"/>
      <c r="BN441" t="s">
        <v>6</v>
      </c>
      <c r="BO441" t="s">
        <v>2518</v>
      </c>
      <c r="BP441" t="s">
        <v>2518</v>
      </c>
      <c r="BQ441" t="s">
        <v>2518</v>
      </c>
      <c r="BR441"/>
      <c r="BS441" t="s">
        <v>6</v>
      </c>
      <c r="BT441" t="s">
        <v>2518</v>
      </c>
      <c r="BU441" t="s">
        <v>2518</v>
      </c>
      <c r="BV441" t="s">
        <v>2518</v>
      </c>
      <c r="BW441"/>
      <c r="BX441" t="s">
        <v>6</v>
      </c>
      <c r="BY441" t="s">
        <v>2605</v>
      </c>
      <c r="BZ441" t="s">
        <v>2518</v>
      </c>
      <c r="CA441"/>
      <c r="CB441" t="s">
        <v>5</v>
      </c>
      <c r="CC441">
        <v>6430.4598675744719</v>
      </c>
      <c r="CD441">
        <v>1082783.6225734521</v>
      </c>
      <c r="CE441" s="313" t="s">
        <v>11891</v>
      </c>
    </row>
    <row r="442" spans="1:83" ht="15" x14ac:dyDescent="0.25">
      <c r="A442" t="s">
        <v>2949</v>
      </c>
      <c r="B442" t="s">
        <v>2950</v>
      </c>
      <c r="C442" t="s">
        <v>2894</v>
      </c>
      <c r="D442">
        <v>5</v>
      </c>
      <c r="E442" t="s">
        <v>2598</v>
      </c>
      <c r="F442" t="s">
        <v>2874</v>
      </c>
      <c r="G442" t="s">
        <v>2946</v>
      </c>
      <c r="H442" t="s">
        <v>2947</v>
      </c>
      <c r="I442"/>
      <c r="J442"/>
      <c r="K442" t="s">
        <v>2620</v>
      </c>
      <c r="L442">
        <v>893.96356201171875</v>
      </c>
      <c r="M442" t="s">
        <v>6</v>
      </c>
      <c r="N442" t="s">
        <v>5</v>
      </c>
      <c r="O442" t="s">
        <v>5</v>
      </c>
      <c r="P442" t="s">
        <v>5</v>
      </c>
      <c r="Q442" t="s">
        <v>6</v>
      </c>
      <c r="R442" t="s">
        <v>2948</v>
      </c>
      <c r="S442" t="s">
        <v>2948</v>
      </c>
      <c r="T442" t="s">
        <v>6</v>
      </c>
      <c r="U442" t="s">
        <v>98</v>
      </c>
      <c r="V442">
        <v>4000000</v>
      </c>
      <c r="W442">
        <v>90000</v>
      </c>
      <c r="X442" t="s">
        <v>6</v>
      </c>
      <c r="Y442"/>
      <c r="Z442"/>
      <c r="AA442">
        <v>306.37481689453119</v>
      </c>
      <c r="AB442">
        <v>49.132801055908203</v>
      </c>
      <c r="AC442">
        <v>22.512029647827148</v>
      </c>
      <c r="AD442">
        <v>3678</v>
      </c>
      <c r="AE442">
        <v>2001</v>
      </c>
      <c r="AF442">
        <v>2638</v>
      </c>
      <c r="AG442">
        <v>5704</v>
      </c>
      <c r="AH442">
        <v>7212</v>
      </c>
      <c r="AI442">
        <v>10528</v>
      </c>
      <c r="AJ442">
        <v>25</v>
      </c>
      <c r="AK442">
        <v>13</v>
      </c>
      <c r="AL442">
        <v>136</v>
      </c>
      <c r="AM442">
        <v>13</v>
      </c>
      <c r="AN442">
        <v>743.241455078125</v>
      </c>
      <c r="AO442"/>
      <c r="AP442"/>
      <c r="AQ442"/>
      <c r="AR442">
        <v>0</v>
      </c>
      <c r="AS442">
        <v>0</v>
      </c>
      <c r="AT442">
        <v>0</v>
      </c>
      <c r="AU442">
        <v>0</v>
      </c>
      <c r="AV442">
        <v>0</v>
      </c>
      <c r="AW442">
        <v>0</v>
      </c>
      <c r="AX442">
        <v>0</v>
      </c>
      <c r="AY442">
        <v>0</v>
      </c>
      <c r="AZ442">
        <v>0</v>
      </c>
      <c r="BA442">
        <v>0</v>
      </c>
      <c r="BB442"/>
      <c r="BC442"/>
      <c r="BD442"/>
      <c r="BE442">
        <v>0</v>
      </c>
      <c r="BF442" t="s">
        <v>2516</v>
      </c>
      <c r="BG442" t="s">
        <v>5</v>
      </c>
      <c r="BH442" t="s">
        <v>1020</v>
      </c>
      <c r="BI442"/>
      <c r="BJ442" t="s">
        <v>5</v>
      </c>
      <c r="BK442"/>
      <c r="BL442">
        <v>100</v>
      </c>
      <c r="BM442"/>
      <c r="BN442" t="s">
        <v>6</v>
      </c>
      <c r="BO442" t="s">
        <v>2518</v>
      </c>
      <c r="BP442" t="s">
        <v>2518</v>
      </c>
      <c r="BQ442" t="s">
        <v>2518</v>
      </c>
      <c r="BR442"/>
      <c r="BS442" t="s">
        <v>6</v>
      </c>
      <c r="BT442" t="s">
        <v>2518</v>
      </c>
      <c r="BU442" t="s">
        <v>2518</v>
      </c>
      <c r="BV442" t="s">
        <v>2518</v>
      </c>
      <c r="BW442"/>
      <c r="BX442" t="s">
        <v>6</v>
      </c>
      <c r="BY442" t="s">
        <v>2605</v>
      </c>
      <c r="BZ442" t="s">
        <v>2518</v>
      </c>
      <c r="CA442"/>
      <c r="CB442" t="s">
        <v>6</v>
      </c>
      <c r="CC442">
        <v>275520.70842413238</v>
      </c>
      <c r="CD442">
        <v>2315354949.3102002</v>
      </c>
      <c r="CE442" s="313" t="s">
        <v>11891</v>
      </c>
    </row>
    <row r="443" spans="1:83" ht="15" x14ac:dyDescent="0.25">
      <c r="A443" s="337" t="s">
        <v>867</v>
      </c>
      <c r="B443" s="337" t="s">
        <v>868</v>
      </c>
      <c r="C443" s="337" t="s">
        <v>803</v>
      </c>
      <c r="D443" s="337">
        <v>9</v>
      </c>
      <c r="E443" s="337" t="s">
        <v>416</v>
      </c>
      <c r="F443" s="337" t="s">
        <v>641</v>
      </c>
      <c r="G443" s="337" t="s">
        <v>869</v>
      </c>
      <c r="H443" s="337" t="s">
        <v>870</v>
      </c>
      <c r="I443" s="337" t="s">
        <v>870</v>
      </c>
      <c r="J443" s="337" t="s">
        <v>871</v>
      </c>
      <c r="K443" s="337" t="s">
        <v>452</v>
      </c>
      <c r="L443" s="337">
        <v>61.911529541015618</v>
      </c>
      <c r="M443" s="337" t="s">
        <v>5</v>
      </c>
      <c r="N443" s="337" t="s">
        <v>5</v>
      </c>
      <c r="O443" s="337" t="s">
        <v>5</v>
      </c>
      <c r="P443" s="337" t="s">
        <v>5</v>
      </c>
      <c r="Q443" s="337" t="s">
        <v>5</v>
      </c>
      <c r="R443" s="337" t="s">
        <v>872</v>
      </c>
      <c r="S443" s="337" t="s">
        <v>873</v>
      </c>
      <c r="T443" s="337" t="s">
        <v>5</v>
      </c>
      <c r="U443" s="337" t="s">
        <v>4</v>
      </c>
      <c r="V443" s="337">
        <v>110000</v>
      </c>
      <c r="W443" s="337">
        <v>85000</v>
      </c>
      <c r="X443" s="337" t="s">
        <v>6</v>
      </c>
      <c r="Y443" s="337"/>
      <c r="Z443" s="337"/>
      <c r="AA443" s="337">
        <v>6785.91259765625</v>
      </c>
      <c r="AB443" s="337">
        <v>3.7631988525390621</v>
      </c>
      <c r="AC443" s="337">
        <v>6785.91259765625</v>
      </c>
      <c r="AD443" s="337">
        <v>2587</v>
      </c>
      <c r="AE443" s="337">
        <v>1639</v>
      </c>
      <c r="AF443" s="337">
        <v>1821</v>
      </c>
      <c r="AG443" s="337">
        <v>7934</v>
      </c>
      <c r="AH443" s="337">
        <v>6082</v>
      </c>
      <c r="AI443" s="337">
        <v>7934</v>
      </c>
      <c r="AJ443" s="337">
        <v>6</v>
      </c>
      <c r="AK443" s="337">
        <v>27</v>
      </c>
      <c r="AL443" s="337">
        <v>94</v>
      </c>
      <c r="AM443" s="337">
        <v>0</v>
      </c>
      <c r="AN443" s="337">
        <v>300.4580078125</v>
      </c>
      <c r="AO443" s="337"/>
      <c r="AP443" s="337"/>
      <c r="AQ443" s="337"/>
      <c r="AR443" s="337">
        <v>647</v>
      </c>
      <c r="AS443" s="337">
        <v>647</v>
      </c>
      <c r="AT443" s="337">
        <v>409</v>
      </c>
      <c r="AU443" s="337">
        <v>455</v>
      </c>
      <c r="AV443" s="337">
        <v>2928</v>
      </c>
      <c r="AW443" s="337">
        <v>1</v>
      </c>
      <c r="AX443" s="337">
        <v>6</v>
      </c>
      <c r="AY443" s="337">
        <v>24</v>
      </c>
      <c r="AZ443" s="337">
        <v>0</v>
      </c>
      <c r="BA443" s="337">
        <v>75.114501953125</v>
      </c>
      <c r="BB443" s="337"/>
      <c r="BC443" s="337"/>
      <c r="BD443" s="337"/>
      <c r="BE443" s="337">
        <v>25000</v>
      </c>
      <c r="BF443" s="337" t="s">
        <v>425</v>
      </c>
      <c r="BG443" s="337" t="s">
        <v>5</v>
      </c>
      <c r="BH443" s="337" t="s">
        <v>1020</v>
      </c>
      <c r="BI443" s="337"/>
      <c r="BJ443" s="337" t="s">
        <v>5</v>
      </c>
      <c r="BK443" s="337"/>
      <c r="BL443" s="337">
        <v>0</v>
      </c>
      <c r="BM443" s="337"/>
      <c r="BN443" s="337" t="s">
        <v>5</v>
      </c>
      <c r="BO443" s="337"/>
      <c r="BP443" s="337"/>
      <c r="BQ443" s="337"/>
      <c r="BR443" s="337"/>
      <c r="BS443" s="337" t="s">
        <v>5</v>
      </c>
      <c r="BT443" s="337"/>
      <c r="BU443" s="337"/>
      <c r="BV443" s="337"/>
      <c r="BW443" s="337"/>
      <c r="BX443" s="337" t="s">
        <v>6</v>
      </c>
      <c r="BY443" s="337" t="s">
        <v>426</v>
      </c>
      <c r="BZ443" s="337"/>
      <c r="CB443" s="337" t="s">
        <v>5</v>
      </c>
      <c r="CC443" s="337">
        <v>126011.4834133359</v>
      </c>
      <c r="CD443" s="337">
        <v>160350122.98917991</v>
      </c>
      <c r="CE443" s="313" t="s">
        <v>11891</v>
      </c>
    </row>
    <row r="444" spans="1:83" ht="15" x14ac:dyDescent="0.25">
      <c r="A444" t="s">
        <v>3804</v>
      </c>
      <c r="B444" t="s">
        <v>3805</v>
      </c>
      <c r="C444" t="s">
        <v>3806</v>
      </c>
      <c r="D444">
        <v>13</v>
      </c>
      <c r="E444" t="s">
        <v>3573</v>
      </c>
      <c r="F444" t="s">
        <v>3781</v>
      </c>
      <c r="G444" t="s">
        <v>3807</v>
      </c>
      <c r="H444" t="s">
        <v>3808</v>
      </c>
      <c r="I444" t="s">
        <v>3809</v>
      </c>
      <c r="J444" t="s">
        <v>3810</v>
      </c>
      <c r="K444" t="s">
        <v>3811</v>
      </c>
      <c r="L444">
        <v>52.398677825927727</v>
      </c>
      <c r="M444" t="s">
        <v>6</v>
      </c>
      <c r="N444" t="s">
        <v>6</v>
      </c>
      <c r="O444" t="s">
        <v>6</v>
      </c>
      <c r="P444" t="s">
        <v>5</v>
      </c>
      <c r="Q444" t="s">
        <v>5</v>
      </c>
      <c r="R444" t="s">
        <v>3812</v>
      </c>
      <c r="S444" t="s">
        <v>3812</v>
      </c>
      <c r="T444" t="s">
        <v>6</v>
      </c>
      <c r="U444" t="s">
        <v>50</v>
      </c>
      <c r="V444">
        <v>81000</v>
      </c>
      <c r="W444">
        <v>81000</v>
      </c>
      <c r="X444" t="s">
        <v>5</v>
      </c>
      <c r="Y444"/>
      <c r="Z444"/>
      <c r="AA444">
        <v>4.3391098976135254</v>
      </c>
      <c r="AB444">
        <v>0.21129000186920169</v>
      </c>
      <c r="AC444">
        <v>1.2418854236602781</v>
      </c>
      <c r="AD444">
        <v>914</v>
      </c>
      <c r="AE444">
        <v>425</v>
      </c>
      <c r="AF444">
        <v>639</v>
      </c>
      <c r="AG444">
        <v>1757</v>
      </c>
      <c r="AH444">
        <v>2022</v>
      </c>
      <c r="AI444">
        <v>2022</v>
      </c>
      <c r="AJ444">
        <v>0</v>
      </c>
      <c r="AK444">
        <v>0</v>
      </c>
      <c r="AL444">
        <v>32</v>
      </c>
      <c r="AM444">
        <v>138</v>
      </c>
      <c r="AN444">
        <v>4.7731661796569824</v>
      </c>
      <c r="AO444"/>
      <c r="AP444"/>
      <c r="AQ444"/>
      <c r="AR444"/>
      <c r="AS444"/>
      <c r="AT444"/>
      <c r="AU444"/>
      <c r="AV444"/>
      <c r="AW444"/>
      <c r="AX444"/>
      <c r="AY444"/>
      <c r="AZ444"/>
      <c r="BA444"/>
      <c r="BB444"/>
      <c r="BC444"/>
      <c r="BD444"/>
      <c r="BE444">
        <v>0</v>
      </c>
      <c r="BF444" t="s">
        <v>5</v>
      </c>
      <c r="BG444" t="s">
        <v>5</v>
      </c>
      <c r="BH444" t="s">
        <v>3581</v>
      </c>
      <c r="BI444"/>
      <c r="BJ444" t="s">
        <v>5</v>
      </c>
      <c r="BK444"/>
      <c r="BL444">
        <v>0</v>
      </c>
      <c r="BM444"/>
      <c r="BN444" t="s">
        <v>5</v>
      </c>
      <c r="BO444"/>
      <c r="BP444"/>
      <c r="BQ444"/>
      <c r="BR444"/>
      <c r="BS444" t="s">
        <v>5</v>
      </c>
      <c r="BT444"/>
      <c r="BU444"/>
      <c r="BV444"/>
      <c r="BW444"/>
      <c r="BX444" t="s">
        <v>6</v>
      </c>
      <c r="BY444" t="s">
        <v>3723</v>
      </c>
      <c r="BZ444"/>
      <c r="CA444"/>
      <c r="CB444" t="s">
        <v>5</v>
      </c>
      <c r="CC444">
        <v>63282.84180000412</v>
      </c>
      <c r="CD444">
        <v>135712490.83257011</v>
      </c>
      <c r="CE444" s="313" t="s">
        <v>11891</v>
      </c>
    </row>
    <row r="445" spans="1:83" ht="15" x14ac:dyDescent="0.25">
      <c r="A445" t="s">
        <v>2801</v>
      </c>
      <c r="B445" t="s">
        <v>2802</v>
      </c>
      <c r="C445" t="s">
        <v>2760</v>
      </c>
      <c r="D445">
        <v>5</v>
      </c>
      <c r="E445" t="s">
        <v>2598</v>
      </c>
      <c r="F445" t="s">
        <v>2608</v>
      </c>
      <c r="G445" t="s">
        <v>2803</v>
      </c>
      <c r="H445" t="s">
        <v>2804</v>
      </c>
      <c r="I445"/>
      <c r="J445"/>
      <c r="K445" t="s">
        <v>2731</v>
      </c>
      <c r="L445">
        <v>1057.7744140625</v>
      </c>
      <c r="M445" t="s">
        <v>6</v>
      </c>
      <c r="N445" t="s">
        <v>5</v>
      </c>
      <c r="O445" t="s">
        <v>6</v>
      </c>
      <c r="P445" t="s">
        <v>5</v>
      </c>
      <c r="Q445" t="s">
        <v>5</v>
      </c>
      <c r="R445" t="s">
        <v>2805</v>
      </c>
      <c r="S445" t="s">
        <v>2805</v>
      </c>
      <c r="T445" t="s">
        <v>6</v>
      </c>
      <c r="U445" t="s">
        <v>85</v>
      </c>
      <c r="V445">
        <v>2000000</v>
      </c>
      <c r="W445">
        <v>80000</v>
      </c>
      <c r="X445" t="s">
        <v>6</v>
      </c>
      <c r="Y445"/>
      <c r="Z445"/>
      <c r="AA445">
        <v>171.36872863769531</v>
      </c>
      <c r="AB445">
        <v>9.5183143615722656</v>
      </c>
      <c r="AC445">
        <v>11.136263847351071</v>
      </c>
      <c r="AD445">
        <v>672</v>
      </c>
      <c r="AE445">
        <v>130</v>
      </c>
      <c r="AF445">
        <v>302</v>
      </c>
      <c r="AG445">
        <v>987</v>
      </c>
      <c r="AH445">
        <v>639</v>
      </c>
      <c r="AI445">
        <v>1382</v>
      </c>
      <c r="AJ445">
        <v>1</v>
      </c>
      <c r="AK445">
        <v>10</v>
      </c>
      <c r="AL445">
        <v>49</v>
      </c>
      <c r="AM445">
        <v>10</v>
      </c>
      <c r="AN445">
        <v>919.81884765625</v>
      </c>
      <c r="AO445"/>
      <c r="AP445"/>
      <c r="AQ445"/>
      <c r="AR445">
        <v>0</v>
      </c>
      <c r="AS445">
        <v>0</v>
      </c>
      <c r="AT445">
        <v>0</v>
      </c>
      <c r="AU445">
        <v>0</v>
      </c>
      <c r="AV445">
        <v>0</v>
      </c>
      <c r="AW445">
        <v>0</v>
      </c>
      <c r="AX445">
        <v>0</v>
      </c>
      <c r="AY445">
        <v>0</v>
      </c>
      <c r="AZ445">
        <v>0</v>
      </c>
      <c r="BA445">
        <v>0</v>
      </c>
      <c r="BB445"/>
      <c r="BC445"/>
      <c r="BD445"/>
      <c r="BE445">
        <v>0</v>
      </c>
      <c r="BF445" t="s">
        <v>2516</v>
      </c>
      <c r="BG445" t="s">
        <v>5</v>
      </c>
      <c r="BH445" t="s">
        <v>1020</v>
      </c>
      <c r="BI445"/>
      <c r="BJ445" t="s">
        <v>5</v>
      </c>
      <c r="BK445"/>
      <c r="BL445">
        <v>0</v>
      </c>
      <c r="BM445"/>
      <c r="BN445" t="s">
        <v>6</v>
      </c>
      <c r="BO445" t="s">
        <v>2518</v>
      </c>
      <c r="BP445" t="s">
        <v>2518</v>
      </c>
      <c r="BQ445" t="s">
        <v>2518</v>
      </c>
      <c r="BR445"/>
      <c r="BS445" t="s">
        <v>6</v>
      </c>
      <c r="BT445" t="s">
        <v>2518</v>
      </c>
      <c r="BU445" t="s">
        <v>2518</v>
      </c>
      <c r="BV445" t="s">
        <v>2518</v>
      </c>
      <c r="BW445"/>
      <c r="BX445" t="s">
        <v>6</v>
      </c>
      <c r="BY445" t="s">
        <v>2605</v>
      </c>
      <c r="BZ445" t="s">
        <v>2518</v>
      </c>
      <c r="CA445"/>
      <c r="CB445" t="s">
        <v>5</v>
      </c>
      <c r="CC445">
        <v>369484.58928653511</v>
      </c>
      <c r="CD445">
        <v>2739623297.5144639</v>
      </c>
      <c r="CE445" s="313" t="s">
        <v>11891</v>
      </c>
    </row>
    <row r="446" spans="1:83" ht="15" x14ac:dyDescent="0.25">
      <c r="A446" t="s">
        <v>2885</v>
      </c>
      <c r="B446" t="s">
        <v>2886</v>
      </c>
      <c r="C446" t="s">
        <v>2816</v>
      </c>
      <c r="D446">
        <v>5</v>
      </c>
      <c r="E446" t="s">
        <v>2598</v>
      </c>
      <c r="F446" t="s">
        <v>2874</v>
      </c>
      <c r="G446" t="s">
        <v>2875</v>
      </c>
      <c r="H446" t="s">
        <v>2876</v>
      </c>
      <c r="I446" t="s">
        <v>2877</v>
      </c>
      <c r="J446" t="s">
        <v>2878</v>
      </c>
      <c r="K446" t="s">
        <v>2672</v>
      </c>
      <c r="L446">
        <v>3.9699583053588872</v>
      </c>
      <c r="M446" t="s">
        <v>6</v>
      </c>
      <c r="N446" t="s">
        <v>5</v>
      </c>
      <c r="O446" t="s">
        <v>5</v>
      </c>
      <c r="P446" t="s">
        <v>5</v>
      </c>
      <c r="Q446" t="s">
        <v>6</v>
      </c>
      <c r="R446" t="s">
        <v>2879</v>
      </c>
      <c r="S446" t="s">
        <v>2879</v>
      </c>
      <c r="T446" t="s">
        <v>6</v>
      </c>
      <c r="U446" t="s">
        <v>85</v>
      </c>
      <c r="V446">
        <v>3000000</v>
      </c>
      <c r="W446">
        <v>80000</v>
      </c>
      <c r="X446" t="s">
        <v>6</v>
      </c>
      <c r="Y446"/>
      <c r="Z446"/>
      <c r="AA446">
        <v>0.63839852809906006</v>
      </c>
      <c r="AB446">
        <v>0.45848017930984503</v>
      </c>
      <c r="AC446">
        <v>0.13193340599536901</v>
      </c>
      <c r="AD446">
        <v>3</v>
      </c>
      <c r="AE446">
        <v>16</v>
      </c>
      <c r="AF446">
        <v>2</v>
      </c>
      <c r="AG446">
        <v>1</v>
      </c>
      <c r="AH446">
        <v>2</v>
      </c>
      <c r="AI446">
        <v>2</v>
      </c>
      <c r="AJ446">
        <v>0</v>
      </c>
      <c r="AK446">
        <v>0</v>
      </c>
      <c r="AL446">
        <v>1</v>
      </c>
      <c r="AM446">
        <v>0</v>
      </c>
      <c r="AN446">
        <v>4.4087089598178857E-2</v>
      </c>
      <c r="AO446"/>
      <c r="AP446"/>
      <c r="AQ446"/>
      <c r="AR446">
        <v>0</v>
      </c>
      <c r="AS446">
        <v>0</v>
      </c>
      <c r="AT446">
        <v>0</v>
      </c>
      <c r="AU446">
        <v>0</v>
      </c>
      <c r="AV446">
        <v>0</v>
      </c>
      <c r="AW446">
        <v>0</v>
      </c>
      <c r="AX446">
        <v>0</v>
      </c>
      <c r="AY446">
        <v>0</v>
      </c>
      <c r="AZ446">
        <v>0</v>
      </c>
      <c r="BA446">
        <v>0</v>
      </c>
      <c r="BB446"/>
      <c r="BC446"/>
      <c r="BD446"/>
      <c r="BE446">
        <v>0</v>
      </c>
      <c r="BF446" t="s">
        <v>2516</v>
      </c>
      <c r="BG446" t="s">
        <v>5</v>
      </c>
      <c r="BH446" t="s">
        <v>1020</v>
      </c>
      <c r="BI446"/>
      <c r="BJ446" t="s">
        <v>5</v>
      </c>
      <c r="BK446"/>
      <c r="BL446">
        <v>0</v>
      </c>
      <c r="BM446"/>
      <c r="BN446" t="s">
        <v>6</v>
      </c>
      <c r="BO446" t="s">
        <v>2518</v>
      </c>
      <c r="BP446" t="s">
        <v>2518</v>
      </c>
      <c r="BQ446" t="s">
        <v>2518</v>
      </c>
      <c r="BR446"/>
      <c r="BS446" t="s">
        <v>6</v>
      </c>
      <c r="BT446" t="s">
        <v>2518</v>
      </c>
      <c r="BU446" t="s">
        <v>2518</v>
      </c>
      <c r="BV446" t="s">
        <v>2518</v>
      </c>
      <c r="BW446"/>
      <c r="BX446" t="s">
        <v>6</v>
      </c>
      <c r="BY446" t="s">
        <v>2605</v>
      </c>
      <c r="BZ446" t="s">
        <v>2518</v>
      </c>
      <c r="CA446"/>
      <c r="CB446" t="s">
        <v>5</v>
      </c>
      <c r="CC446">
        <v>19244.718914511988</v>
      </c>
      <c r="CD446">
        <v>10282145.0762632</v>
      </c>
      <c r="CE446" s="313" t="s">
        <v>11891</v>
      </c>
    </row>
    <row r="447" spans="1:83" ht="15" x14ac:dyDescent="0.25">
      <c r="A447" t="s">
        <v>4136</v>
      </c>
      <c r="B447" t="s">
        <v>4137</v>
      </c>
      <c r="C447" t="s">
        <v>4138</v>
      </c>
      <c r="D447">
        <v>15</v>
      </c>
      <c r="E447" t="s">
        <v>3847</v>
      </c>
      <c r="F447" t="s">
        <v>4087</v>
      </c>
      <c r="G447" t="s">
        <v>4139</v>
      </c>
      <c r="H447" t="s">
        <v>4140</v>
      </c>
      <c r="I447" t="s">
        <v>4141</v>
      </c>
      <c r="J447"/>
      <c r="K447" t="s">
        <v>3902</v>
      </c>
      <c r="L447">
        <v>4.4801220893859863</v>
      </c>
      <c r="M447" t="s">
        <v>6</v>
      </c>
      <c r="N447" t="s">
        <v>5</v>
      </c>
      <c r="O447" t="s">
        <v>5</v>
      </c>
      <c r="P447" t="s">
        <v>5</v>
      </c>
      <c r="Q447" t="s">
        <v>5</v>
      </c>
      <c r="R447" t="s">
        <v>4091</v>
      </c>
      <c r="S447" t="s">
        <v>4142</v>
      </c>
      <c r="T447" t="s">
        <v>6</v>
      </c>
      <c r="U447" t="s">
        <v>85</v>
      </c>
      <c r="V447">
        <v>500000</v>
      </c>
      <c r="W447">
        <v>80000</v>
      </c>
      <c r="X447" t="s">
        <v>6</v>
      </c>
      <c r="Y447"/>
      <c r="Z447">
        <v>0</v>
      </c>
      <c r="AA447">
        <v>2.69399094581604</v>
      </c>
      <c r="AB447">
        <v>1.467943668365479</v>
      </c>
      <c r="AC447">
        <v>0</v>
      </c>
      <c r="AD447">
        <v>808</v>
      </c>
      <c r="AE447">
        <v>86</v>
      </c>
      <c r="AF447">
        <v>513</v>
      </c>
      <c r="AG447">
        <v>2189</v>
      </c>
      <c r="AH447">
        <v>1835</v>
      </c>
      <c r="AI447">
        <v>2189</v>
      </c>
      <c r="AJ447">
        <v>0</v>
      </c>
      <c r="AK447">
        <v>99</v>
      </c>
      <c r="AL447">
        <v>22</v>
      </c>
      <c r="AM447">
        <v>0</v>
      </c>
      <c r="AN447">
        <v>1987.4921875</v>
      </c>
      <c r="AO447">
        <v>0</v>
      </c>
      <c r="AP447">
        <v>0</v>
      </c>
      <c r="AQ447">
        <v>0</v>
      </c>
      <c r="AR447">
        <v>0</v>
      </c>
      <c r="AS447">
        <v>0</v>
      </c>
      <c r="AT447">
        <v>0</v>
      </c>
      <c r="AU447">
        <v>0</v>
      </c>
      <c r="AV447">
        <v>0</v>
      </c>
      <c r="AW447">
        <v>0</v>
      </c>
      <c r="AX447">
        <v>0</v>
      </c>
      <c r="AY447">
        <v>0</v>
      </c>
      <c r="AZ447">
        <v>0</v>
      </c>
      <c r="BA447">
        <v>0</v>
      </c>
      <c r="BB447">
        <v>0</v>
      </c>
      <c r="BC447">
        <v>0</v>
      </c>
      <c r="BD447">
        <v>0</v>
      </c>
      <c r="BE447">
        <v>0</v>
      </c>
      <c r="BF447" t="s">
        <v>5</v>
      </c>
      <c r="BG447" t="s">
        <v>5</v>
      </c>
      <c r="BH447"/>
      <c r="BI447"/>
      <c r="BJ447" t="s">
        <v>5</v>
      </c>
      <c r="BK447"/>
      <c r="BL447">
        <v>0</v>
      </c>
      <c r="BM447">
        <v>0</v>
      </c>
      <c r="BN447" t="s">
        <v>5</v>
      </c>
      <c r="BO447"/>
      <c r="BP447"/>
      <c r="BQ447"/>
      <c r="BR447"/>
      <c r="BS447" t="s">
        <v>5</v>
      </c>
      <c r="BT447"/>
      <c r="BU447"/>
      <c r="BV447"/>
      <c r="BW447"/>
      <c r="BX447" t="s">
        <v>6</v>
      </c>
      <c r="BY447" t="s">
        <v>3850</v>
      </c>
      <c r="BZ447"/>
      <c r="CA447"/>
      <c r="CB447" t="s">
        <v>5</v>
      </c>
      <c r="CC447">
        <v>41579.04696862604</v>
      </c>
      <c r="CD447">
        <v>11603527.300329121</v>
      </c>
      <c r="CE447" s="313" t="s">
        <v>11891</v>
      </c>
    </row>
    <row r="448" spans="1:83" ht="15" x14ac:dyDescent="0.25">
      <c r="A448" t="s">
        <v>3609</v>
      </c>
      <c r="B448" t="s">
        <v>3610</v>
      </c>
      <c r="C448" t="s">
        <v>3611</v>
      </c>
      <c r="D448">
        <v>13</v>
      </c>
      <c r="E448" t="s">
        <v>3573</v>
      </c>
      <c r="F448" t="s">
        <v>3612</v>
      </c>
      <c r="G448" t="s">
        <v>3613</v>
      </c>
      <c r="H448" t="s">
        <v>3614</v>
      </c>
      <c r="I448" t="s">
        <v>3615</v>
      </c>
      <c r="J448" t="s">
        <v>3616</v>
      </c>
      <c r="K448" t="s">
        <v>3585</v>
      </c>
      <c r="L448">
        <v>1.974855303764343</v>
      </c>
      <c r="M448" t="s">
        <v>6</v>
      </c>
      <c r="N448" t="s">
        <v>5</v>
      </c>
      <c r="O448" t="s">
        <v>6</v>
      </c>
      <c r="P448" t="s">
        <v>5</v>
      </c>
      <c r="Q448" t="s">
        <v>5</v>
      </c>
      <c r="R448" t="s">
        <v>3617</v>
      </c>
      <c r="S448" t="s">
        <v>3618</v>
      </c>
      <c r="T448" t="s">
        <v>6</v>
      </c>
      <c r="U448" t="s">
        <v>50</v>
      </c>
      <c r="V448">
        <v>75000</v>
      </c>
      <c r="W448">
        <v>75000</v>
      </c>
      <c r="X448" t="s">
        <v>5</v>
      </c>
      <c r="Y448"/>
      <c r="Z448"/>
      <c r="AA448">
        <v>7.8691676259040833E-2</v>
      </c>
      <c r="AB448">
        <v>4.4573388993740082E-2</v>
      </c>
      <c r="AC448">
        <v>0</v>
      </c>
      <c r="AD448">
        <v>3</v>
      </c>
      <c r="AE448">
        <v>10</v>
      </c>
      <c r="AF448">
        <v>3</v>
      </c>
      <c r="AG448">
        <v>0</v>
      </c>
      <c r="AH448">
        <v>4</v>
      </c>
      <c r="AI448">
        <v>4</v>
      </c>
      <c r="AJ448">
        <v>0</v>
      </c>
      <c r="AK448">
        <v>0</v>
      </c>
      <c r="AL448">
        <v>0</v>
      </c>
      <c r="AM448">
        <v>10</v>
      </c>
      <c r="AN448">
        <v>0</v>
      </c>
      <c r="AO448"/>
      <c r="AP448"/>
      <c r="AQ448"/>
      <c r="AR448"/>
      <c r="AS448"/>
      <c r="AT448"/>
      <c r="AU448"/>
      <c r="AV448"/>
      <c r="AW448"/>
      <c r="AX448"/>
      <c r="AY448"/>
      <c r="AZ448"/>
      <c r="BA448"/>
      <c r="BB448"/>
      <c r="BC448"/>
      <c r="BD448"/>
      <c r="BE448">
        <v>0</v>
      </c>
      <c r="BF448" t="s">
        <v>5</v>
      </c>
      <c r="BG448" t="s">
        <v>5</v>
      </c>
      <c r="BH448" t="s">
        <v>3581</v>
      </c>
      <c r="BI448"/>
      <c r="BJ448" t="s">
        <v>5</v>
      </c>
      <c r="BK448"/>
      <c r="BL448">
        <v>0</v>
      </c>
      <c r="BM448"/>
      <c r="BN448" t="s">
        <v>5</v>
      </c>
      <c r="BO448"/>
      <c r="BP448"/>
      <c r="BQ448"/>
      <c r="BR448"/>
      <c r="BS448" t="s">
        <v>5</v>
      </c>
      <c r="BT448"/>
      <c r="BU448"/>
      <c r="BV448"/>
      <c r="BW448"/>
      <c r="BX448" t="s">
        <v>6</v>
      </c>
      <c r="BY448" t="s">
        <v>3601</v>
      </c>
      <c r="BZ448"/>
      <c r="CA448"/>
      <c r="CB448" t="s">
        <v>5</v>
      </c>
      <c r="CC448">
        <v>9578.5027367284783</v>
      </c>
      <c r="CD448">
        <v>5114872.3410408068</v>
      </c>
      <c r="CE448" s="313" t="s">
        <v>11891</v>
      </c>
    </row>
    <row r="449" spans="1:83" ht="15" x14ac:dyDescent="0.25">
      <c r="A449" t="s">
        <v>3619</v>
      </c>
      <c r="B449" t="s">
        <v>3620</v>
      </c>
      <c r="C449" t="s">
        <v>3621</v>
      </c>
      <c r="D449">
        <v>13</v>
      </c>
      <c r="E449" t="s">
        <v>3573</v>
      </c>
      <c r="F449" t="s">
        <v>3612</v>
      </c>
      <c r="G449" t="s">
        <v>3622</v>
      </c>
      <c r="H449" t="s">
        <v>3623</v>
      </c>
      <c r="I449" t="s">
        <v>3624</v>
      </c>
      <c r="J449" t="s">
        <v>3625</v>
      </c>
      <c r="K449" t="s">
        <v>3585</v>
      </c>
      <c r="L449">
        <v>3.4770641326904301</v>
      </c>
      <c r="M449" t="s">
        <v>6</v>
      </c>
      <c r="N449" t="s">
        <v>5</v>
      </c>
      <c r="O449" t="s">
        <v>6</v>
      </c>
      <c r="P449" t="s">
        <v>5</v>
      </c>
      <c r="Q449" t="s">
        <v>5</v>
      </c>
      <c r="R449" t="s">
        <v>3626</v>
      </c>
      <c r="S449" t="s">
        <v>3627</v>
      </c>
      <c r="T449" t="s">
        <v>6</v>
      </c>
      <c r="U449" t="s">
        <v>50</v>
      </c>
      <c r="V449">
        <v>75000</v>
      </c>
      <c r="W449">
        <v>75000</v>
      </c>
      <c r="X449" t="s">
        <v>5</v>
      </c>
      <c r="Y449"/>
      <c r="Z449"/>
      <c r="AA449">
        <v>0.19100464880466461</v>
      </c>
      <c r="AB449">
        <v>0.14721311628818509</v>
      </c>
      <c r="AC449">
        <v>0</v>
      </c>
      <c r="AD449">
        <v>18</v>
      </c>
      <c r="AE449">
        <v>20</v>
      </c>
      <c r="AF449">
        <v>11</v>
      </c>
      <c r="AG449">
        <v>113</v>
      </c>
      <c r="AH449">
        <v>72</v>
      </c>
      <c r="AI449">
        <v>113</v>
      </c>
      <c r="AJ449">
        <v>0</v>
      </c>
      <c r="AK449">
        <v>0</v>
      </c>
      <c r="AL449">
        <v>1</v>
      </c>
      <c r="AM449">
        <v>25</v>
      </c>
      <c r="AN449">
        <v>1.337621808052063</v>
      </c>
      <c r="AO449"/>
      <c r="AP449"/>
      <c r="AQ449"/>
      <c r="AR449"/>
      <c r="AS449"/>
      <c r="AT449"/>
      <c r="AU449"/>
      <c r="AV449"/>
      <c r="AW449"/>
      <c r="AX449"/>
      <c r="AY449"/>
      <c r="AZ449"/>
      <c r="BA449"/>
      <c r="BB449"/>
      <c r="BC449"/>
      <c r="BD449"/>
      <c r="BE449">
        <v>0</v>
      </c>
      <c r="BF449" t="s">
        <v>5</v>
      </c>
      <c r="BG449" t="s">
        <v>5</v>
      </c>
      <c r="BH449" t="s">
        <v>3581</v>
      </c>
      <c r="BI449"/>
      <c r="BJ449" t="s">
        <v>5</v>
      </c>
      <c r="BK449"/>
      <c r="BL449">
        <v>0</v>
      </c>
      <c r="BM449"/>
      <c r="BN449" t="s">
        <v>5</v>
      </c>
      <c r="BO449"/>
      <c r="BP449"/>
      <c r="BQ449"/>
      <c r="BR449"/>
      <c r="BS449" t="s">
        <v>5</v>
      </c>
      <c r="BT449"/>
      <c r="BU449"/>
      <c r="BV449"/>
      <c r="BW449"/>
      <c r="BX449" t="s">
        <v>6</v>
      </c>
      <c r="BY449" t="s">
        <v>3601</v>
      </c>
      <c r="BZ449"/>
      <c r="CA449"/>
      <c r="CB449" t="s">
        <v>5</v>
      </c>
      <c r="CC449">
        <v>25902.688188170381</v>
      </c>
      <c r="CD449">
        <v>9005590.5177444611</v>
      </c>
      <c r="CE449" s="313" t="s">
        <v>11891</v>
      </c>
    </row>
    <row r="450" spans="1:83" ht="15" x14ac:dyDescent="0.25">
      <c r="A450" t="s">
        <v>3754</v>
      </c>
      <c r="B450" t="s">
        <v>3755</v>
      </c>
      <c r="C450" t="s">
        <v>3756</v>
      </c>
      <c r="D450">
        <v>13</v>
      </c>
      <c r="E450" t="s">
        <v>3573</v>
      </c>
      <c r="F450" t="s">
        <v>3727</v>
      </c>
      <c r="G450" t="s">
        <v>3748</v>
      </c>
      <c r="H450" t="s">
        <v>3749</v>
      </c>
      <c r="I450" t="s">
        <v>3750</v>
      </c>
      <c r="J450" t="s">
        <v>3751</v>
      </c>
      <c r="K450" t="s">
        <v>3598</v>
      </c>
      <c r="L450">
        <v>2.9682409763336182</v>
      </c>
      <c r="M450" t="s">
        <v>6</v>
      </c>
      <c r="N450" t="s">
        <v>5</v>
      </c>
      <c r="O450" t="s">
        <v>6</v>
      </c>
      <c r="P450" t="s">
        <v>5</v>
      </c>
      <c r="Q450" t="s">
        <v>5</v>
      </c>
      <c r="R450" t="s">
        <v>3752</v>
      </c>
      <c r="S450" t="s">
        <v>3753</v>
      </c>
      <c r="T450" t="s">
        <v>6</v>
      </c>
      <c r="U450" t="s">
        <v>13</v>
      </c>
      <c r="V450">
        <v>75000</v>
      </c>
      <c r="W450">
        <v>75000</v>
      </c>
      <c r="X450" t="s">
        <v>5</v>
      </c>
      <c r="Y450"/>
      <c r="Z450"/>
      <c r="AA450">
        <v>1.232890844345093</v>
      </c>
      <c r="AB450">
        <v>0.54162448644638062</v>
      </c>
      <c r="AC450">
        <v>7.8461937606334686E-2</v>
      </c>
      <c r="AD450">
        <v>762</v>
      </c>
      <c r="AE450">
        <v>492</v>
      </c>
      <c r="AF450">
        <v>612</v>
      </c>
      <c r="AG450">
        <v>1823</v>
      </c>
      <c r="AH450">
        <v>2145</v>
      </c>
      <c r="AI450">
        <v>2145</v>
      </c>
      <c r="AJ450">
        <v>2</v>
      </c>
      <c r="AK450">
        <v>0</v>
      </c>
      <c r="AL450">
        <v>15</v>
      </c>
      <c r="AM450">
        <v>87</v>
      </c>
      <c r="AN450">
        <v>69.114486694335938</v>
      </c>
      <c r="AO450"/>
      <c r="AP450"/>
      <c r="AQ450"/>
      <c r="AR450"/>
      <c r="AS450"/>
      <c r="AT450"/>
      <c r="AU450"/>
      <c r="AV450"/>
      <c r="AW450"/>
      <c r="AX450"/>
      <c r="AY450"/>
      <c r="AZ450"/>
      <c r="BA450"/>
      <c r="BB450"/>
      <c r="BC450"/>
      <c r="BD450"/>
      <c r="BE450">
        <v>0</v>
      </c>
      <c r="BF450" t="s">
        <v>5</v>
      </c>
      <c r="BG450" t="s">
        <v>5</v>
      </c>
      <c r="BH450" t="s">
        <v>3581</v>
      </c>
      <c r="BI450"/>
      <c r="BJ450" t="s">
        <v>5</v>
      </c>
      <c r="BK450"/>
      <c r="BL450">
        <v>0</v>
      </c>
      <c r="BM450"/>
      <c r="BN450" t="s">
        <v>5</v>
      </c>
      <c r="BO450"/>
      <c r="BP450"/>
      <c r="BQ450"/>
      <c r="BR450"/>
      <c r="BS450" t="s">
        <v>5</v>
      </c>
      <c r="BT450"/>
      <c r="BU450"/>
      <c r="BV450"/>
      <c r="BW450"/>
      <c r="BX450" t="s">
        <v>6</v>
      </c>
      <c r="BY450" t="s">
        <v>3723</v>
      </c>
      <c r="BZ450"/>
      <c r="CA450"/>
      <c r="CB450" t="s">
        <v>5</v>
      </c>
      <c r="CC450">
        <v>30230.202162751571</v>
      </c>
      <c r="CD450">
        <v>7687739.858168155</v>
      </c>
      <c r="CE450" s="313" t="s">
        <v>11891</v>
      </c>
    </row>
    <row r="451" spans="1:83" ht="15" x14ac:dyDescent="0.25">
      <c r="A451" t="s">
        <v>1705</v>
      </c>
      <c r="B451" t="s">
        <v>1706</v>
      </c>
      <c r="C451" t="s">
        <v>1707</v>
      </c>
      <c r="D451">
        <v>2</v>
      </c>
      <c r="E451" t="s">
        <v>1516</v>
      </c>
      <c r="F451" t="s">
        <v>1610</v>
      </c>
      <c r="G451" t="s">
        <v>1529</v>
      </c>
      <c r="H451" t="s">
        <v>1708</v>
      </c>
      <c r="I451" t="s">
        <v>1709</v>
      </c>
      <c r="J451" t="s">
        <v>1710</v>
      </c>
      <c r="K451" t="s">
        <v>1521</v>
      </c>
      <c r="L451">
        <v>9.6717300415039063</v>
      </c>
      <c r="M451" t="s">
        <v>6</v>
      </c>
      <c r="N451" t="s">
        <v>5</v>
      </c>
      <c r="O451" t="s">
        <v>5</v>
      </c>
      <c r="P451" t="s">
        <v>5</v>
      </c>
      <c r="Q451" t="s">
        <v>5</v>
      </c>
      <c r="R451" t="s">
        <v>1711</v>
      </c>
      <c r="S451" t="s">
        <v>1712</v>
      </c>
      <c r="T451" t="s">
        <v>5</v>
      </c>
      <c r="U451" t="s">
        <v>50</v>
      </c>
      <c r="V451">
        <v>75000</v>
      </c>
      <c r="W451">
        <v>75000</v>
      </c>
      <c r="X451" t="s">
        <v>5</v>
      </c>
      <c r="Y451"/>
      <c r="Z451"/>
      <c r="AA451">
        <v>1.6817336082458501</v>
      </c>
      <c r="AB451">
        <v>0.15983794629573819</v>
      </c>
      <c r="AC451">
        <v>0</v>
      </c>
      <c r="AD451">
        <v>151</v>
      </c>
      <c r="AE451">
        <v>47</v>
      </c>
      <c r="AF451">
        <v>87</v>
      </c>
      <c r="AG451">
        <v>1687</v>
      </c>
      <c r="AH451">
        <v>291</v>
      </c>
      <c r="AI451">
        <v>1898</v>
      </c>
      <c r="AJ451">
        <v>3</v>
      </c>
      <c r="AK451">
        <v>16</v>
      </c>
      <c r="AL451">
        <v>8</v>
      </c>
      <c r="AM451"/>
      <c r="AN451">
        <v>91.232894897460938</v>
      </c>
      <c r="AO451"/>
      <c r="AP451"/>
      <c r="AQ451"/>
      <c r="AR451"/>
      <c r="AS451"/>
      <c r="AT451"/>
      <c r="AU451"/>
      <c r="AV451"/>
      <c r="AW451"/>
      <c r="AX451"/>
      <c r="AY451"/>
      <c r="AZ451"/>
      <c r="BA451"/>
      <c r="BB451"/>
      <c r="BC451"/>
      <c r="BD451"/>
      <c r="BE451"/>
      <c r="BF451" t="s">
        <v>1100</v>
      </c>
      <c r="BG451" t="s">
        <v>5</v>
      </c>
      <c r="BH451" t="s">
        <v>1524</v>
      </c>
      <c r="BI451" t="s">
        <v>5</v>
      </c>
      <c r="BJ451" t="s">
        <v>5</v>
      </c>
      <c r="BK451"/>
      <c r="BL451">
        <v>0</v>
      </c>
      <c r="BM451"/>
      <c r="BN451" t="s">
        <v>5</v>
      </c>
      <c r="BO451"/>
      <c r="BP451"/>
      <c r="BQ451"/>
      <c r="BR451"/>
      <c r="BS451" t="s">
        <v>5</v>
      </c>
      <c r="BT451"/>
      <c r="BU451"/>
      <c r="BV451"/>
      <c r="BW451"/>
      <c r="BX451" t="s">
        <v>6</v>
      </c>
      <c r="BY451" t="s">
        <v>1681</v>
      </c>
      <c r="BZ451"/>
      <c r="CA451"/>
      <c r="CB451" t="s">
        <v>5</v>
      </c>
      <c r="CC451">
        <v>35379.932622165812</v>
      </c>
      <c r="CD451">
        <v>25049666.40532662</v>
      </c>
      <c r="CE451" s="313" t="s">
        <v>11891</v>
      </c>
    </row>
    <row r="452" spans="1:83" ht="15" x14ac:dyDescent="0.25">
      <c r="A452" t="s">
        <v>1713</v>
      </c>
      <c r="B452" t="s">
        <v>1714</v>
      </c>
      <c r="C452" t="s">
        <v>1715</v>
      </c>
      <c r="D452">
        <v>2</v>
      </c>
      <c r="E452" t="s">
        <v>1516</v>
      </c>
      <c r="F452" t="s">
        <v>1610</v>
      </c>
      <c r="G452" t="s">
        <v>1611</v>
      </c>
      <c r="H452" t="s">
        <v>4350</v>
      </c>
      <c r="I452" t="s">
        <v>1585</v>
      </c>
      <c r="J452" t="s">
        <v>1585</v>
      </c>
      <c r="K452" t="s">
        <v>1521</v>
      </c>
      <c r="L452">
        <v>897.031494140625</v>
      </c>
      <c r="M452" t="s">
        <v>6</v>
      </c>
      <c r="N452" t="s">
        <v>5</v>
      </c>
      <c r="O452" t="s">
        <v>5</v>
      </c>
      <c r="P452" t="s">
        <v>5</v>
      </c>
      <c r="Q452" t="s">
        <v>5</v>
      </c>
      <c r="R452" t="s">
        <v>1612</v>
      </c>
      <c r="S452" t="s">
        <v>1613</v>
      </c>
      <c r="T452" t="s">
        <v>5</v>
      </c>
      <c r="U452" t="s">
        <v>50</v>
      </c>
      <c r="V452">
        <v>75000</v>
      </c>
      <c r="W452">
        <v>75000</v>
      </c>
      <c r="X452" t="s">
        <v>5</v>
      </c>
      <c r="Y452"/>
      <c r="Z452"/>
      <c r="AA452">
        <v>227.00555419921881</v>
      </c>
      <c r="AB452">
        <v>15.96621131896973</v>
      </c>
      <c r="AC452">
        <v>0</v>
      </c>
      <c r="AD452">
        <v>1077</v>
      </c>
      <c r="AE452">
        <v>179</v>
      </c>
      <c r="AF452">
        <v>709</v>
      </c>
      <c r="AG452">
        <v>2014</v>
      </c>
      <c r="AH452">
        <v>1328</v>
      </c>
      <c r="AI452">
        <v>3040</v>
      </c>
      <c r="AJ452">
        <v>18</v>
      </c>
      <c r="AK452">
        <v>26</v>
      </c>
      <c r="AL452">
        <v>170</v>
      </c>
      <c r="AM452"/>
      <c r="AN452">
        <v>37510.09375</v>
      </c>
      <c r="AO452"/>
      <c r="AP452"/>
      <c r="AQ452"/>
      <c r="AR452"/>
      <c r="AS452"/>
      <c r="AT452"/>
      <c r="AU452"/>
      <c r="AV452"/>
      <c r="AW452"/>
      <c r="AX452"/>
      <c r="AY452"/>
      <c r="AZ452"/>
      <c r="BA452"/>
      <c r="BB452"/>
      <c r="BC452"/>
      <c r="BD452"/>
      <c r="BE452"/>
      <c r="BF452" t="s">
        <v>1100</v>
      </c>
      <c r="BG452" t="s">
        <v>5</v>
      </c>
      <c r="BH452" t="s">
        <v>1524</v>
      </c>
      <c r="BI452" t="s">
        <v>5</v>
      </c>
      <c r="BJ452" t="s">
        <v>5</v>
      </c>
      <c r="BK452"/>
      <c r="BL452">
        <v>0</v>
      </c>
      <c r="BM452"/>
      <c r="BN452" t="s">
        <v>5</v>
      </c>
      <c r="BO452"/>
      <c r="BP452"/>
      <c r="BQ452"/>
      <c r="BR452"/>
      <c r="BS452" t="s">
        <v>5</v>
      </c>
      <c r="BT452"/>
      <c r="BU452"/>
      <c r="BV452"/>
      <c r="BW452"/>
      <c r="BX452" t="s">
        <v>6</v>
      </c>
      <c r="BY452" t="s">
        <v>1681</v>
      </c>
      <c r="BZ452"/>
      <c r="CA452"/>
      <c r="CB452" t="s">
        <v>5</v>
      </c>
      <c r="CC452">
        <v>231778.07428745501</v>
      </c>
      <c r="CD452">
        <v>2323300961.2171512</v>
      </c>
      <c r="CE452" s="313" t="s">
        <v>11891</v>
      </c>
    </row>
    <row r="453" spans="1:83" ht="15" x14ac:dyDescent="0.25">
      <c r="A453" t="s">
        <v>154</v>
      </c>
      <c r="B453" t="s">
        <v>405</v>
      </c>
      <c r="C453" t="s">
        <v>155</v>
      </c>
      <c r="D453">
        <v>6</v>
      </c>
      <c r="E453" t="s">
        <v>259</v>
      </c>
      <c r="F453" t="s">
        <v>406</v>
      </c>
      <c r="G453" t="s">
        <v>39</v>
      </c>
      <c r="H453" t="s">
        <v>276</v>
      </c>
      <c r="I453" t="s">
        <v>277</v>
      </c>
      <c r="J453" t="s">
        <v>278</v>
      </c>
      <c r="K453" t="s">
        <v>21</v>
      </c>
      <c r="L453">
        <v>664.94830322265625</v>
      </c>
      <c r="M453" t="s">
        <v>6</v>
      </c>
      <c r="N453" t="s">
        <v>5</v>
      </c>
      <c r="O453" t="s">
        <v>6</v>
      </c>
      <c r="P453" t="s">
        <v>5</v>
      </c>
      <c r="Q453" t="s">
        <v>5</v>
      </c>
      <c r="R453" t="s">
        <v>273</v>
      </c>
      <c r="S453" t="s">
        <v>407</v>
      </c>
      <c r="T453" t="s">
        <v>6</v>
      </c>
      <c r="U453" t="s">
        <v>98</v>
      </c>
      <c r="V453">
        <v>750000</v>
      </c>
      <c r="W453">
        <v>75000</v>
      </c>
      <c r="X453" t="s">
        <v>6</v>
      </c>
      <c r="Y453"/>
      <c r="Z453"/>
      <c r="AA453">
        <v>307.758056640625</v>
      </c>
      <c r="AB453">
        <v>87.021903991699219</v>
      </c>
      <c r="AC453">
        <v>0</v>
      </c>
      <c r="AD453">
        <v>48570</v>
      </c>
      <c r="AE453">
        <v>48541</v>
      </c>
      <c r="AF453">
        <v>42185</v>
      </c>
      <c r="AG453">
        <v>100002</v>
      </c>
      <c r="AH453">
        <v>102755</v>
      </c>
      <c r="AI453">
        <v>102755</v>
      </c>
      <c r="AJ453">
        <v>681</v>
      </c>
      <c r="AK453">
        <v>30</v>
      </c>
      <c r="AL453">
        <v>910</v>
      </c>
      <c r="AM453">
        <v>30</v>
      </c>
      <c r="AN453">
        <v>3412.02490234375</v>
      </c>
      <c r="AO453"/>
      <c r="AP453"/>
      <c r="AQ453"/>
      <c r="AR453"/>
      <c r="AS453"/>
      <c r="AT453"/>
      <c r="AU453"/>
      <c r="AV453"/>
      <c r="AW453"/>
      <c r="AX453"/>
      <c r="AY453"/>
      <c r="AZ453"/>
      <c r="BA453"/>
      <c r="BB453"/>
      <c r="BC453"/>
      <c r="BD453"/>
      <c r="BE453"/>
      <c r="BF453"/>
      <c r="BG453" t="s">
        <v>5</v>
      </c>
      <c r="BH453"/>
      <c r="BI453"/>
      <c r="BJ453" t="s">
        <v>5</v>
      </c>
      <c r="BK453"/>
      <c r="BL453">
        <v>0</v>
      </c>
      <c r="BM453"/>
      <c r="BN453" t="s">
        <v>5</v>
      </c>
      <c r="BO453" t="s">
        <v>2518</v>
      </c>
      <c r="BP453" t="s">
        <v>2518</v>
      </c>
      <c r="BQ453" t="s">
        <v>2518</v>
      </c>
      <c r="BR453"/>
      <c r="BS453" t="s">
        <v>6</v>
      </c>
      <c r="BT453" t="s">
        <v>2518</v>
      </c>
      <c r="BU453" t="s">
        <v>2518</v>
      </c>
      <c r="BV453" t="s">
        <v>2518</v>
      </c>
      <c r="BW453"/>
      <c r="BX453" t="s">
        <v>6</v>
      </c>
      <c r="BY453" t="s">
        <v>7</v>
      </c>
      <c r="BZ453" t="s">
        <v>2518</v>
      </c>
      <c r="CA453"/>
      <c r="CB453" t="s">
        <v>5</v>
      </c>
      <c r="CC453">
        <v>289491.82201331173</v>
      </c>
      <c r="CD453">
        <v>1722208240.8539131</v>
      </c>
      <c r="CE453" s="313" t="s">
        <v>11891</v>
      </c>
    </row>
    <row r="454" spans="1:83" ht="15" x14ac:dyDescent="0.25">
      <c r="A454" t="s">
        <v>3103</v>
      </c>
      <c r="B454" t="s">
        <v>3104</v>
      </c>
      <c r="C454" t="s">
        <v>3105</v>
      </c>
      <c r="D454">
        <v>7</v>
      </c>
      <c r="E454" t="s">
        <v>2979</v>
      </c>
      <c r="F454" t="s">
        <v>3026</v>
      </c>
      <c r="G454" t="s">
        <v>3052</v>
      </c>
      <c r="H454" t="s">
        <v>3106</v>
      </c>
      <c r="I454" t="s">
        <v>3107</v>
      </c>
      <c r="J454" t="s">
        <v>3108</v>
      </c>
      <c r="K454" t="s">
        <v>3109</v>
      </c>
      <c r="L454">
        <v>36.012901306152337</v>
      </c>
      <c r="M454" t="s">
        <v>6</v>
      </c>
      <c r="N454" t="s">
        <v>5</v>
      </c>
      <c r="O454" t="s">
        <v>5</v>
      </c>
      <c r="P454" t="s">
        <v>5</v>
      </c>
      <c r="Q454" t="s">
        <v>5</v>
      </c>
      <c r="R454" t="s">
        <v>3030</v>
      </c>
      <c r="S454" t="s">
        <v>3030</v>
      </c>
      <c r="T454" t="s">
        <v>5</v>
      </c>
      <c r="U454" t="s">
        <v>85</v>
      </c>
      <c r="V454">
        <v>75000</v>
      </c>
      <c r="W454">
        <v>75000</v>
      </c>
      <c r="X454" t="s">
        <v>5</v>
      </c>
      <c r="Y454" t="s">
        <v>1100</v>
      </c>
      <c r="Z454">
        <v>0</v>
      </c>
      <c r="AA454">
        <v>5.8462762832641602</v>
      </c>
      <c r="AB454">
        <v>0.90739202499389648</v>
      </c>
      <c r="AC454">
        <v>0</v>
      </c>
      <c r="AD454">
        <v>40</v>
      </c>
      <c r="AE454">
        <v>24</v>
      </c>
      <c r="AF454">
        <v>15</v>
      </c>
      <c r="AG454">
        <v>39</v>
      </c>
      <c r="AH454">
        <v>20</v>
      </c>
      <c r="AI454">
        <v>39</v>
      </c>
      <c r="AJ454">
        <v>0</v>
      </c>
      <c r="AK454">
        <v>0</v>
      </c>
      <c r="AL454">
        <v>13</v>
      </c>
      <c r="AM454">
        <v>0</v>
      </c>
      <c r="AN454">
        <v>2685.551025390625</v>
      </c>
      <c r="AO454">
        <v>0</v>
      </c>
      <c r="AP454">
        <v>0</v>
      </c>
      <c r="AQ454">
        <v>0</v>
      </c>
      <c r="AR454">
        <v>0</v>
      </c>
      <c r="AS454">
        <v>0</v>
      </c>
      <c r="AT454">
        <v>0</v>
      </c>
      <c r="AU454">
        <v>0</v>
      </c>
      <c r="AV454">
        <v>0</v>
      </c>
      <c r="AW454">
        <v>0</v>
      </c>
      <c r="AX454">
        <v>0</v>
      </c>
      <c r="AY454">
        <v>0</v>
      </c>
      <c r="AZ454">
        <v>0</v>
      </c>
      <c r="BA454">
        <v>0</v>
      </c>
      <c r="BB454">
        <v>0</v>
      </c>
      <c r="BC454">
        <v>0</v>
      </c>
      <c r="BD454">
        <v>0</v>
      </c>
      <c r="BE454">
        <v>0</v>
      </c>
      <c r="BF454" t="s">
        <v>1100</v>
      </c>
      <c r="BG454" t="s">
        <v>5</v>
      </c>
      <c r="BH454" t="s">
        <v>2987</v>
      </c>
      <c r="BI454" t="s">
        <v>1100</v>
      </c>
      <c r="BJ454" t="s">
        <v>5</v>
      </c>
      <c r="BK454" t="s">
        <v>1100</v>
      </c>
      <c r="BL454">
        <v>0</v>
      </c>
      <c r="BM454">
        <v>0</v>
      </c>
      <c r="BN454" t="s">
        <v>5</v>
      </c>
      <c r="BO454" t="s">
        <v>1100</v>
      </c>
      <c r="BP454" t="s">
        <v>1100</v>
      </c>
      <c r="BQ454" t="s">
        <v>1100</v>
      </c>
      <c r="BR454" t="s">
        <v>1100</v>
      </c>
      <c r="BS454" t="s">
        <v>5</v>
      </c>
      <c r="BT454" t="s">
        <v>1100</v>
      </c>
      <c r="BU454" t="s">
        <v>1100</v>
      </c>
      <c r="BV454" t="s">
        <v>1100</v>
      </c>
      <c r="BW454" t="s">
        <v>1100</v>
      </c>
      <c r="BX454" t="s">
        <v>6</v>
      </c>
      <c r="BY454" t="s">
        <v>2988</v>
      </c>
      <c r="BZ454" t="s">
        <v>3006</v>
      </c>
      <c r="CA454"/>
      <c r="CB454" t="s">
        <v>5</v>
      </c>
      <c r="CC454">
        <v>50480.485040502557</v>
      </c>
      <c r="CD454">
        <v>93273364.137317985</v>
      </c>
      <c r="CE454" s="313" t="s">
        <v>11891</v>
      </c>
    </row>
    <row r="455" spans="1:83" ht="15" x14ac:dyDescent="0.25">
      <c r="A455" t="s">
        <v>3341</v>
      </c>
      <c r="B455" t="s">
        <v>3342</v>
      </c>
      <c r="C455" t="s">
        <v>3019</v>
      </c>
      <c r="D455">
        <v>7</v>
      </c>
      <c r="E455" t="s">
        <v>2979</v>
      </c>
      <c r="F455" t="s">
        <v>3010</v>
      </c>
      <c r="G455" t="s">
        <v>3247</v>
      </c>
      <c r="H455" t="s">
        <v>3261</v>
      </c>
      <c r="I455" t="s">
        <v>3343</v>
      </c>
      <c r="J455" t="s">
        <v>3344</v>
      </c>
      <c r="K455" t="s">
        <v>3015</v>
      </c>
      <c r="L455">
        <v>0.34059175848960882</v>
      </c>
      <c r="M455" t="s">
        <v>6</v>
      </c>
      <c r="N455" t="s">
        <v>5</v>
      </c>
      <c r="O455" t="s">
        <v>5</v>
      </c>
      <c r="P455" t="s">
        <v>5</v>
      </c>
      <c r="Q455" t="s">
        <v>5</v>
      </c>
      <c r="R455" t="s">
        <v>3345</v>
      </c>
      <c r="S455" t="s">
        <v>3345</v>
      </c>
      <c r="T455" t="s">
        <v>5</v>
      </c>
      <c r="U455" t="s">
        <v>50</v>
      </c>
      <c r="V455">
        <v>75000</v>
      </c>
      <c r="W455">
        <v>75000</v>
      </c>
      <c r="X455" t="s">
        <v>5</v>
      </c>
      <c r="Y455" t="s">
        <v>1100</v>
      </c>
      <c r="Z455">
        <v>0</v>
      </c>
      <c r="AA455">
        <v>7.7398963272571564E-2</v>
      </c>
      <c r="AB455">
        <v>8.4245607256889343E-2</v>
      </c>
      <c r="AC455">
        <v>0</v>
      </c>
      <c r="AD455">
        <v>27</v>
      </c>
      <c r="AE455">
        <v>79</v>
      </c>
      <c r="AF455">
        <v>20</v>
      </c>
      <c r="AG455">
        <v>26</v>
      </c>
      <c r="AH455">
        <v>26</v>
      </c>
      <c r="AI455">
        <v>26</v>
      </c>
      <c r="AJ455">
        <v>0</v>
      </c>
      <c r="AK455">
        <v>0</v>
      </c>
      <c r="AL455">
        <v>1</v>
      </c>
      <c r="AM455">
        <v>0</v>
      </c>
      <c r="AN455">
        <v>4.5785374641418457</v>
      </c>
      <c r="AO455">
        <v>0</v>
      </c>
      <c r="AP455">
        <v>0</v>
      </c>
      <c r="AQ455">
        <v>0</v>
      </c>
      <c r="AR455">
        <v>0</v>
      </c>
      <c r="AS455">
        <v>0</v>
      </c>
      <c r="AT455">
        <v>0</v>
      </c>
      <c r="AU455">
        <v>0</v>
      </c>
      <c r="AV455">
        <v>0</v>
      </c>
      <c r="AW455">
        <v>0</v>
      </c>
      <c r="AX455">
        <v>0</v>
      </c>
      <c r="AY455">
        <v>0</v>
      </c>
      <c r="AZ455">
        <v>0</v>
      </c>
      <c r="BA455">
        <v>0</v>
      </c>
      <c r="BB455">
        <v>0</v>
      </c>
      <c r="BC455">
        <v>0</v>
      </c>
      <c r="BD455">
        <v>0</v>
      </c>
      <c r="BE455">
        <v>0</v>
      </c>
      <c r="BF455" t="s">
        <v>1100</v>
      </c>
      <c r="BG455" t="s">
        <v>5</v>
      </c>
      <c r="BH455" t="s">
        <v>2987</v>
      </c>
      <c r="BI455" t="s">
        <v>1100</v>
      </c>
      <c r="BJ455" t="s">
        <v>5</v>
      </c>
      <c r="BK455" t="s">
        <v>1100</v>
      </c>
      <c r="BL455">
        <v>0</v>
      </c>
      <c r="BM455">
        <v>0</v>
      </c>
      <c r="BN455" t="s">
        <v>5</v>
      </c>
      <c r="BO455" t="s">
        <v>1100</v>
      </c>
      <c r="BP455" t="s">
        <v>1100</v>
      </c>
      <c r="BQ455" t="s">
        <v>1100</v>
      </c>
      <c r="BR455" t="s">
        <v>1100</v>
      </c>
      <c r="BS455" t="s">
        <v>5</v>
      </c>
      <c r="BT455" t="s">
        <v>1100</v>
      </c>
      <c r="BU455" t="s">
        <v>1100</v>
      </c>
      <c r="BV455" t="s">
        <v>1100</v>
      </c>
      <c r="BW455" t="s">
        <v>1100</v>
      </c>
      <c r="BX455" t="s">
        <v>6</v>
      </c>
      <c r="BY455" t="s">
        <v>2988</v>
      </c>
      <c r="BZ455"/>
      <c r="CA455"/>
      <c r="CB455" t="s">
        <v>5</v>
      </c>
      <c r="CC455">
        <v>3946.1109060052081</v>
      </c>
      <c r="CD455">
        <v>882132.12900151708</v>
      </c>
      <c r="CE455" s="313" t="s">
        <v>11891</v>
      </c>
    </row>
    <row r="456" spans="1:83" ht="15" x14ac:dyDescent="0.25">
      <c r="A456" t="s">
        <v>1965</v>
      </c>
      <c r="B456" t="s">
        <v>1966</v>
      </c>
      <c r="C456" t="s">
        <v>1967</v>
      </c>
      <c r="D456">
        <v>3</v>
      </c>
      <c r="E456" t="s">
        <v>1771</v>
      </c>
      <c r="F456" t="s">
        <v>1968</v>
      </c>
      <c r="G456" t="s">
        <v>1969</v>
      </c>
      <c r="H456" t="s">
        <v>4408</v>
      </c>
      <c r="I456" t="s">
        <v>12751</v>
      </c>
      <c r="J456" t="s">
        <v>1970</v>
      </c>
      <c r="K456" t="s">
        <v>1861</v>
      </c>
      <c r="L456">
        <v>23.90193939208984</v>
      </c>
      <c r="M456" t="s">
        <v>6</v>
      </c>
      <c r="N456" t="s">
        <v>5</v>
      </c>
      <c r="O456" t="s">
        <v>5</v>
      </c>
      <c r="P456" t="s">
        <v>5</v>
      </c>
      <c r="Q456" t="s">
        <v>5</v>
      </c>
      <c r="R456" t="s">
        <v>4409</v>
      </c>
      <c r="S456" t="s">
        <v>1971</v>
      </c>
      <c r="T456" t="s">
        <v>5</v>
      </c>
      <c r="U456" t="s">
        <v>4</v>
      </c>
      <c r="V456">
        <v>75000</v>
      </c>
      <c r="W456">
        <v>75000</v>
      </c>
      <c r="X456" t="s">
        <v>6</v>
      </c>
      <c r="Y456"/>
      <c r="Z456">
        <v>7500</v>
      </c>
      <c r="AA456">
        <v>4.4547572135925293</v>
      </c>
      <c r="AB456">
        <v>0.74573040008544922</v>
      </c>
      <c r="AC456">
        <v>9.2306673526763916E-2</v>
      </c>
      <c r="AD456">
        <v>487</v>
      </c>
      <c r="AE456">
        <v>522</v>
      </c>
      <c r="AF456">
        <v>471</v>
      </c>
      <c r="AG456">
        <v>665</v>
      </c>
      <c r="AH456">
        <v>1449</v>
      </c>
      <c r="AI456">
        <v>1449</v>
      </c>
      <c r="AJ456">
        <v>6</v>
      </c>
      <c r="AK456">
        <v>33</v>
      </c>
      <c r="AL456">
        <v>27</v>
      </c>
      <c r="AM456"/>
      <c r="AN456">
        <v>797.4921875</v>
      </c>
      <c r="AO456"/>
      <c r="AP456"/>
      <c r="AQ456"/>
      <c r="AR456"/>
      <c r="AS456"/>
      <c r="AT456"/>
      <c r="AU456"/>
      <c r="AV456"/>
      <c r="AW456"/>
      <c r="AX456"/>
      <c r="AY456"/>
      <c r="AZ456"/>
      <c r="BA456"/>
      <c r="BB456"/>
      <c r="BC456"/>
      <c r="BD456"/>
      <c r="BE456"/>
      <c r="BF456" t="s">
        <v>5</v>
      </c>
      <c r="BG456" t="s">
        <v>5</v>
      </c>
      <c r="BH456" t="s">
        <v>1777</v>
      </c>
      <c r="BI456"/>
      <c r="BJ456" t="s">
        <v>5</v>
      </c>
      <c r="BK456"/>
      <c r="BL456">
        <v>0</v>
      </c>
      <c r="BM456"/>
      <c r="BN456" t="s">
        <v>5</v>
      </c>
      <c r="BO456"/>
      <c r="BP456"/>
      <c r="BQ456"/>
      <c r="BR456"/>
      <c r="BS456" t="s">
        <v>5</v>
      </c>
      <c r="BT456"/>
      <c r="BU456"/>
      <c r="BV456"/>
      <c r="BW456" t="s">
        <v>1778</v>
      </c>
      <c r="BX456" t="s">
        <v>6</v>
      </c>
      <c r="BY456" t="s">
        <v>1101</v>
      </c>
      <c r="BZ456"/>
      <c r="CA456"/>
      <c r="CB456" t="s">
        <v>5</v>
      </c>
      <c r="CC456">
        <v>104125.8916075318</v>
      </c>
      <c r="CD456">
        <v>61922115.752140008</v>
      </c>
      <c r="CE456" s="313" t="s">
        <v>11891</v>
      </c>
    </row>
    <row r="457" spans="1:83" ht="15" x14ac:dyDescent="0.25">
      <c r="A457" s="337" t="s">
        <v>428</v>
      </c>
      <c r="B457" s="337" t="s">
        <v>429</v>
      </c>
      <c r="C457" s="337" t="s">
        <v>430</v>
      </c>
      <c r="D457" s="337">
        <v>9</v>
      </c>
      <c r="E457" s="337" t="s">
        <v>416</v>
      </c>
      <c r="F457" s="337" t="s">
        <v>417</v>
      </c>
      <c r="G457" s="337" t="s">
        <v>431</v>
      </c>
      <c r="H457" s="337" t="s">
        <v>432</v>
      </c>
      <c r="I457" s="337" t="s">
        <v>432</v>
      </c>
      <c r="J457" s="337" t="s">
        <v>433</v>
      </c>
      <c r="K457" s="337" t="s">
        <v>422</v>
      </c>
      <c r="L457" s="337">
        <v>913.2470703125</v>
      </c>
      <c r="M457" s="337" t="s">
        <v>5</v>
      </c>
      <c r="N457" s="337" t="s">
        <v>5</v>
      </c>
      <c r="O457" s="337" t="s">
        <v>5</v>
      </c>
      <c r="P457" s="337" t="s">
        <v>5</v>
      </c>
      <c r="Q457" s="337" t="s">
        <v>5</v>
      </c>
      <c r="R457" s="337" t="s">
        <v>434</v>
      </c>
      <c r="S457" s="337" t="s">
        <v>435</v>
      </c>
      <c r="T457" s="337" t="s">
        <v>5</v>
      </c>
      <c r="U457" s="337" t="s">
        <v>4</v>
      </c>
      <c r="V457" s="337">
        <v>100000</v>
      </c>
      <c r="W457" s="337">
        <v>75000</v>
      </c>
      <c r="X457" s="337" t="s">
        <v>6</v>
      </c>
      <c r="Y457" s="337"/>
      <c r="Z457" s="337"/>
      <c r="AA457" s="337">
        <v>110277.890625</v>
      </c>
      <c r="AB457" s="337">
        <v>29.163888931274411</v>
      </c>
      <c r="AC457" s="337">
        <v>110277.890625</v>
      </c>
      <c r="AD457" s="337">
        <v>344</v>
      </c>
      <c r="AE457" s="337">
        <v>341</v>
      </c>
      <c r="AF457" s="337">
        <v>206</v>
      </c>
      <c r="AG457" s="337">
        <v>737</v>
      </c>
      <c r="AH457" s="337">
        <v>593</v>
      </c>
      <c r="AI457" s="337">
        <v>737</v>
      </c>
      <c r="AJ457" s="337">
        <v>2</v>
      </c>
      <c r="AK457" s="337">
        <v>11</v>
      </c>
      <c r="AL457" s="337">
        <v>108</v>
      </c>
      <c r="AM457" s="337">
        <v>0</v>
      </c>
      <c r="AN457" s="337">
        <v>16713.84375</v>
      </c>
      <c r="AO457" s="337"/>
      <c r="AP457" s="337"/>
      <c r="AQ457" s="337"/>
      <c r="AR457" s="337">
        <v>86</v>
      </c>
      <c r="AS457" s="337">
        <v>86</v>
      </c>
      <c r="AT457" s="337">
        <v>85</v>
      </c>
      <c r="AU457" s="337">
        <v>51</v>
      </c>
      <c r="AV457" s="337">
        <v>237</v>
      </c>
      <c r="AW457" s="337">
        <v>0</v>
      </c>
      <c r="AX457" s="337">
        <v>2</v>
      </c>
      <c r="AY457" s="337">
        <v>27</v>
      </c>
      <c r="AZ457" s="337">
        <v>0</v>
      </c>
      <c r="BA457" s="337">
        <v>4178.4609375</v>
      </c>
      <c r="BB457" s="337"/>
      <c r="BC457" s="337"/>
      <c r="BD457" s="337"/>
      <c r="BE457" s="337">
        <v>25000</v>
      </c>
      <c r="BF457" s="337" t="s">
        <v>425</v>
      </c>
      <c r="BG457" s="337" t="s">
        <v>5</v>
      </c>
      <c r="BH457" s="337" t="s">
        <v>1020</v>
      </c>
      <c r="BI457" s="337"/>
      <c r="BJ457" s="337" t="s">
        <v>5</v>
      </c>
      <c r="BK457" s="337"/>
      <c r="BL457" s="337">
        <v>0</v>
      </c>
      <c r="BM457" s="337"/>
      <c r="BN457" s="337" t="s">
        <v>5</v>
      </c>
      <c r="BO457" s="337"/>
      <c r="BP457" s="337"/>
      <c r="BQ457" s="337"/>
      <c r="BR457" s="337"/>
      <c r="BS457" s="337" t="s">
        <v>5</v>
      </c>
      <c r="BT457" s="337"/>
      <c r="BU457" s="337"/>
      <c r="BV457" s="337"/>
      <c r="BW457" s="337"/>
      <c r="BX457" s="337" t="s">
        <v>6</v>
      </c>
      <c r="BY457" s="337" t="s">
        <v>426</v>
      </c>
      <c r="BZ457" s="337"/>
      <c r="CB457" s="337" t="s">
        <v>5</v>
      </c>
      <c r="CC457" s="337">
        <v>194652.4710345497</v>
      </c>
      <c r="CD457" s="337">
        <v>2365299061.4584789</v>
      </c>
      <c r="CE457" s="313" t="s">
        <v>11891</v>
      </c>
    </row>
    <row r="458" spans="1:83" ht="15" x14ac:dyDescent="0.25">
      <c r="A458" s="337" t="s">
        <v>436</v>
      </c>
      <c r="B458" s="337" t="s">
        <v>437</v>
      </c>
      <c r="C458" s="337" t="s">
        <v>438</v>
      </c>
      <c r="D458" s="337">
        <v>9</v>
      </c>
      <c r="E458" s="337" t="s">
        <v>416</v>
      </c>
      <c r="F458" s="337" t="s">
        <v>439</v>
      </c>
      <c r="G458" s="337" t="s">
        <v>440</v>
      </c>
      <c r="H458" s="337" t="s">
        <v>441</v>
      </c>
      <c r="I458" s="337" t="s">
        <v>442</v>
      </c>
      <c r="J458" s="337" t="s">
        <v>443</v>
      </c>
      <c r="K458" s="337" t="s">
        <v>444</v>
      </c>
      <c r="L458" s="337">
        <v>906.4515380859375</v>
      </c>
      <c r="M458" s="337" t="s">
        <v>5</v>
      </c>
      <c r="N458" s="337" t="s">
        <v>5</v>
      </c>
      <c r="O458" s="337" t="s">
        <v>5</v>
      </c>
      <c r="P458" s="337" t="s">
        <v>5</v>
      </c>
      <c r="Q458" s="337" t="s">
        <v>5</v>
      </c>
      <c r="R458" s="337" t="s">
        <v>434</v>
      </c>
      <c r="S458" s="337" t="s">
        <v>445</v>
      </c>
      <c r="T458" s="337" t="s">
        <v>5</v>
      </c>
      <c r="U458" s="337" t="s">
        <v>4</v>
      </c>
      <c r="V458" s="337">
        <v>100000</v>
      </c>
      <c r="W458" s="337">
        <v>75000</v>
      </c>
      <c r="X458" s="337" t="s">
        <v>6</v>
      </c>
      <c r="Y458" s="337"/>
      <c r="Z458" s="337"/>
      <c r="AA458" s="337">
        <v>54305.18359375</v>
      </c>
      <c r="AB458" s="337">
        <v>14.111472129821779</v>
      </c>
      <c r="AC458" s="337">
        <v>54305.18359375</v>
      </c>
      <c r="AD458" s="337">
        <v>606</v>
      </c>
      <c r="AE458" s="337">
        <v>122</v>
      </c>
      <c r="AF458" s="337">
        <v>324</v>
      </c>
      <c r="AG458" s="337">
        <v>1754</v>
      </c>
      <c r="AH458" s="337">
        <v>647</v>
      </c>
      <c r="AI458" s="337">
        <v>1754</v>
      </c>
      <c r="AJ458" s="337">
        <v>1</v>
      </c>
      <c r="AK458" s="337">
        <v>10</v>
      </c>
      <c r="AL458" s="337">
        <v>76</v>
      </c>
      <c r="AM458" s="337">
        <v>0</v>
      </c>
      <c r="AN458" s="337">
        <v>11692.568359375</v>
      </c>
      <c r="AO458" s="337"/>
      <c r="AP458" s="337"/>
      <c r="AQ458" s="337"/>
      <c r="AR458" s="337">
        <v>152</v>
      </c>
      <c r="AS458" s="337">
        <v>152</v>
      </c>
      <c r="AT458" s="337">
        <v>30</v>
      </c>
      <c r="AU458" s="337">
        <v>81</v>
      </c>
      <c r="AV458" s="337">
        <v>537</v>
      </c>
      <c r="AW458" s="337">
        <v>0</v>
      </c>
      <c r="AX458" s="337">
        <v>2</v>
      </c>
      <c r="AY458" s="337">
        <v>19</v>
      </c>
      <c r="AZ458" s="337">
        <v>0</v>
      </c>
      <c r="BA458" s="337">
        <v>2923.14208984375</v>
      </c>
      <c r="BB458" s="337"/>
      <c r="BC458" s="337"/>
      <c r="BD458" s="337"/>
      <c r="BE458" s="337">
        <v>25000</v>
      </c>
      <c r="BF458" s="337" t="s">
        <v>425</v>
      </c>
      <c r="BG458" s="337" t="s">
        <v>5</v>
      </c>
      <c r="BH458" s="337" t="s">
        <v>1020</v>
      </c>
      <c r="BI458" s="337"/>
      <c r="BJ458" s="337" t="s">
        <v>5</v>
      </c>
      <c r="BK458" s="337"/>
      <c r="BL458" s="337">
        <v>0</v>
      </c>
      <c r="BM458" s="337"/>
      <c r="BN458" s="337" t="s">
        <v>5</v>
      </c>
      <c r="BO458" s="337"/>
      <c r="BP458" s="337"/>
      <c r="BQ458" s="337"/>
      <c r="BR458" s="337"/>
      <c r="BS458" s="337" t="s">
        <v>5</v>
      </c>
      <c r="BT458" s="337"/>
      <c r="BU458" s="337"/>
      <c r="BV458" s="337"/>
      <c r="BW458" s="337"/>
      <c r="BX458" s="337" t="s">
        <v>6</v>
      </c>
      <c r="BY458" s="337" t="s">
        <v>426</v>
      </c>
      <c r="BZ458" s="337"/>
      <c r="CB458" s="337" t="s">
        <v>5</v>
      </c>
      <c r="CC458" s="337">
        <v>193254.4153697287</v>
      </c>
      <c r="CD458" s="337">
        <v>2347698680.5215421</v>
      </c>
      <c r="CE458" s="313" t="s">
        <v>11891</v>
      </c>
    </row>
    <row r="459" spans="1:83" ht="15" x14ac:dyDescent="0.25">
      <c r="A459" s="337" t="s">
        <v>497</v>
      </c>
      <c r="B459" s="337" t="s">
        <v>498</v>
      </c>
      <c r="C459" s="337" t="s">
        <v>499</v>
      </c>
      <c r="D459" s="337">
        <v>9</v>
      </c>
      <c r="E459" s="337" t="s">
        <v>416</v>
      </c>
      <c r="F459" s="337" t="s">
        <v>482</v>
      </c>
      <c r="G459" s="337" t="s">
        <v>500</v>
      </c>
      <c r="H459" s="337" t="s">
        <v>484</v>
      </c>
      <c r="I459" s="337" t="s">
        <v>484</v>
      </c>
      <c r="J459" s="337" t="s">
        <v>485</v>
      </c>
      <c r="K459" s="337" t="s">
        <v>422</v>
      </c>
      <c r="L459" s="337">
        <v>902.9866943359375</v>
      </c>
      <c r="M459" s="337" t="s">
        <v>5</v>
      </c>
      <c r="N459" s="337" t="s">
        <v>5</v>
      </c>
      <c r="O459" s="337" t="s">
        <v>5</v>
      </c>
      <c r="P459" s="337" t="s">
        <v>5</v>
      </c>
      <c r="Q459" s="337" t="s">
        <v>5</v>
      </c>
      <c r="R459" s="337" t="s">
        <v>434</v>
      </c>
      <c r="S459" s="337" t="s">
        <v>486</v>
      </c>
      <c r="T459" s="337" t="s">
        <v>5</v>
      </c>
      <c r="U459" s="337" t="s">
        <v>4</v>
      </c>
      <c r="V459" s="337">
        <v>100000</v>
      </c>
      <c r="W459" s="337">
        <v>75000</v>
      </c>
      <c r="X459" s="337" t="s">
        <v>6</v>
      </c>
      <c r="Y459" s="337"/>
      <c r="Z459" s="337"/>
      <c r="AA459" s="337">
        <v>107896.96875</v>
      </c>
      <c r="AB459" s="337">
        <v>29.448320388793949</v>
      </c>
      <c r="AC459" s="337">
        <v>107896.96875</v>
      </c>
      <c r="AD459" s="337">
        <v>69</v>
      </c>
      <c r="AE459" s="337">
        <v>44</v>
      </c>
      <c r="AF459" s="337">
        <v>9</v>
      </c>
      <c r="AG459" s="337">
        <v>9</v>
      </c>
      <c r="AH459" s="337">
        <v>20</v>
      </c>
      <c r="AI459" s="337">
        <v>20</v>
      </c>
      <c r="AJ459" s="337">
        <v>0</v>
      </c>
      <c r="AK459" s="337">
        <v>2</v>
      </c>
      <c r="AL459" s="337">
        <v>26</v>
      </c>
      <c r="AM459" s="337">
        <v>0</v>
      </c>
      <c r="AN459" s="337">
        <v>10470.009765625</v>
      </c>
      <c r="AO459" s="337"/>
      <c r="AP459" s="337"/>
      <c r="AQ459" s="337"/>
      <c r="AR459" s="337">
        <v>18</v>
      </c>
      <c r="AS459" s="337">
        <v>18</v>
      </c>
      <c r="AT459" s="337">
        <v>11</v>
      </c>
      <c r="AU459" s="337">
        <v>2</v>
      </c>
      <c r="AV459" s="337">
        <v>5</v>
      </c>
      <c r="AW459" s="337">
        <v>0</v>
      </c>
      <c r="AX459" s="337">
        <v>0</v>
      </c>
      <c r="AY459" s="337">
        <v>6</v>
      </c>
      <c r="AZ459" s="337">
        <v>0</v>
      </c>
      <c r="BA459" s="337">
        <v>2617.50244140625</v>
      </c>
      <c r="BB459" s="337"/>
      <c r="BC459" s="337"/>
      <c r="BD459" s="337"/>
      <c r="BE459" s="337">
        <v>25000</v>
      </c>
      <c r="BF459" s="337" t="s">
        <v>425</v>
      </c>
      <c r="BG459" s="337" t="s">
        <v>5</v>
      </c>
      <c r="BH459" s="337" t="s">
        <v>1020</v>
      </c>
      <c r="BI459" s="337"/>
      <c r="BJ459" s="337" t="s">
        <v>5</v>
      </c>
      <c r="BK459" s="337"/>
      <c r="BL459" s="337">
        <v>0</v>
      </c>
      <c r="BM459" s="337"/>
      <c r="BN459" s="337" t="s">
        <v>5</v>
      </c>
      <c r="BO459" s="337"/>
      <c r="BP459" s="337"/>
      <c r="BQ459" s="337"/>
      <c r="BR459" s="337"/>
      <c r="BS459" s="337" t="s">
        <v>5</v>
      </c>
      <c r="BT459" s="337"/>
      <c r="BU459" s="337"/>
      <c r="BV459" s="337"/>
      <c r="BW459" s="337"/>
      <c r="BX459" s="337" t="s">
        <v>6</v>
      </c>
      <c r="BY459" s="337" t="s">
        <v>426</v>
      </c>
      <c r="BZ459" s="337"/>
      <c r="CB459" s="337" t="s">
        <v>5</v>
      </c>
      <c r="CC459" s="337">
        <v>193594.49381310851</v>
      </c>
      <c r="CD459" s="337">
        <v>2338724725.8200951</v>
      </c>
      <c r="CE459" s="313" t="s">
        <v>11891</v>
      </c>
    </row>
    <row r="460" spans="1:83" ht="15" x14ac:dyDescent="0.25">
      <c r="A460" s="337" t="s">
        <v>519</v>
      </c>
      <c r="B460" s="337" t="s">
        <v>520</v>
      </c>
      <c r="C460" s="337" t="s">
        <v>499</v>
      </c>
      <c r="D460" s="337">
        <v>9</v>
      </c>
      <c r="E460" s="337" t="s">
        <v>416</v>
      </c>
      <c r="F460" s="337" t="s">
        <v>504</v>
      </c>
      <c r="G460" s="337" t="s">
        <v>521</v>
      </c>
      <c r="H460" s="337" t="s">
        <v>522</v>
      </c>
      <c r="I460" s="337" t="s">
        <v>523</v>
      </c>
      <c r="J460" s="337" t="s">
        <v>524</v>
      </c>
      <c r="K460" s="337" t="s">
        <v>422</v>
      </c>
      <c r="L460" s="337">
        <v>6.9344677925109863</v>
      </c>
      <c r="M460" s="337" t="s">
        <v>5</v>
      </c>
      <c r="N460" s="337" t="s">
        <v>5</v>
      </c>
      <c r="O460" s="337" t="s">
        <v>5</v>
      </c>
      <c r="P460" s="337" t="s">
        <v>5</v>
      </c>
      <c r="Q460" s="337" t="s">
        <v>5</v>
      </c>
      <c r="R460" s="337" t="s">
        <v>508</v>
      </c>
      <c r="S460" s="337" t="s">
        <v>525</v>
      </c>
      <c r="T460" s="337" t="s">
        <v>5</v>
      </c>
      <c r="U460" s="337" t="s">
        <v>4</v>
      </c>
      <c r="V460" s="337">
        <v>100000</v>
      </c>
      <c r="W460" s="337">
        <v>75000</v>
      </c>
      <c r="X460" s="337" t="s">
        <v>6</v>
      </c>
      <c r="Y460" s="337"/>
      <c r="Z460" s="337"/>
      <c r="AA460" s="337">
        <v>544.1317138671875</v>
      </c>
      <c r="AB460" s="337">
        <v>0.44170060753822332</v>
      </c>
      <c r="AC460" s="337">
        <v>544.1317138671875</v>
      </c>
      <c r="AD460" s="337">
        <v>286</v>
      </c>
      <c r="AE460" s="337">
        <v>420</v>
      </c>
      <c r="AF460" s="337">
        <v>209</v>
      </c>
      <c r="AG460" s="337">
        <v>833</v>
      </c>
      <c r="AH460" s="337">
        <v>644</v>
      </c>
      <c r="AI460" s="337">
        <v>833</v>
      </c>
      <c r="AJ460" s="337">
        <v>0</v>
      </c>
      <c r="AK460" s="337">
        <v>0</v>
      </c>
      <c r="AL460" s="337">
        <v>18</v>
      </c>
      <c r="AM460" s="337">
        <v>0</v>
      </c>
      <c r="AN460" s="337">
        <v>3.6033973693847661</v>
      </c>
      <c r="AO460" s="337"/>
      <c r="AP460" s="337"/>
      <c r="AQ460" s="337"/>
      <c r="AR460" s="337">
        <v>72</v>
      </c>
      <c r="AS460" s="337">
        <v>72</v>
      </c>
      <c r="AT460" s="337">
        <v>105</v>
      </c>
      <c r="AU460" s="337">
        <v>52</v>
      </c>
      <c r="AV460" s="337">
        <v>312</v>
      </c>
      <c r="AW460" s="337">
        <v>0</v>
      </c>
      <c r="AX460" s="337">
        <v>0</v>
      </c>
      <c r="AY460" s="337">
        <v>4</v>
      </c>
      <c r="AZ460" s="337">
        <v>0</v>
      </c>
      <c r="BA460" s="337">
        <v>0.90084934234619141</v>
      </c>
      <c r="BB460" s="337"/>
      <c r="BC460" s="337"/>
      <c r="BD460" s="337"/>
      <c r="BE460" s="337">
        <v>25000</v>
      </c>
      <c r="BF460" s="337" t="s">
        <v>425</v>
      </c>
      <c r="BG460" s="337" t="s">
        <v>5</v>
      </c>
      <c r="BH460" s="337" t="s">
        <v>1020</v>
      </c>
      <c r="BI460" s="337"/>
      <c r="BJ460" s="337" t="s">
        <v>5</v>
      </c>
      <c r="BK460" s="337"/>
      <c r="BL460" s="337">
        <v>0</v>
      </c>
      <c r="BM460" s="337"/>
      <c r="BN460" s="337" t="s">
        <v>5</v>
      </c>
      <c r="BO460" s="337"/>
      <c r="BP460" s="337"/>
      <c r="BQ460" s="337"/>
      <c r="BR460" s="337"/>
      <c r="BS460" s="337" t="s">
        <v>5</v>
      </c>
      <c r="BT460" s="337"/>
      <c r="BU460" s="337"/>
      <c r="BV460" s="337"/>
      <c r="BW460" s="337"/>
      <c r="BX460" s="337" t="s">
        <v>6</v>
      </c>
      <c r="BY460" s="337" t="s">
        <v>426</v>
      </c>
      <c r="BZ460" s="337"/>
      <c r="CB460" s="337" t="s">
        <v>5</v>
      </c>
      <c r="CC460" s="337">
        <v>58607.541090639592</v>
      </c>
      <c r="CD460" s="337">
        <v>17960188.959939901</v>
      </c>
      <c r="CE460" s="313" t="s">
        <v>11891</v>
      </c>
    </row>
    <row r="461" spans="1:83" ht="15" x14ac:dyDescent="0.25">
      <c r="A461" s="337" t="s">
        <v>526</v>
      </c>
      <c r="B461" s="337" t="s">
        <v>527</v>
      </c>
      <c r="C461" s="337" t="s">
        <v>499</v>
      </c>
      <c r="D461" s="337">
        <v>9</v>
      </c>
      <c r="E461" s="337" t="s">
        <v>416</v>
      </c>
      <c r="F461" s="337" t="s">
        <v>528</v>
      </c>
      <c r="G461" s="337" t="s">
        <v>529</v>
      </c>
      <c r="H461" s="337" t="s">
        <v>530</v>
      </c>
      <c r="I461" s="337" t="s">
        <v>530</v>
      </c>
      <c r="J461" s="337" t="s">
        <v>531</v>
      </c>
      <c r="K461" s="337" t="s">
        <v>422</v>
      </c>
      <c r="L461" s="337">
        <v>6.5303006172180176</v>
      </c>
      <c r="M461" s="337" t="s">
        <v>5</v>
      </c>
      <c r="N461" s="337" t="s">
        <v>5</v>
      </c>
      <c r="O461" s="337" t="s">
        <v>5</v>
      </c>
      <c r="P461" s="337" t="s">
        <v>5</v>
      </c>
      <c r="Q461" s="337" t="s">
        <v>5</v>
      </c>
      <c r="R461" s="337" t="s">
        <v>532</v>
      </c>
      <c r="S461" s="337" t="s">
        <v>533</v>
      </c>
      <c r="T461" s="337" t="s">
        <v>5</v>
      </c>
      <c r="U461" s="337" t="s">
        <v>4</v>
      </c>
      <c r="V461" s="337">
        <v>100000</v>
      </c>
      <c r="W461" s="337">
        <v>75000</v>
      </c>
      <c r="X461" s="337" t="s">
        <v>6</v>
      </c>
      <c r="Y461" s="337"/>
      <c r="Z461" s="337"/>
      <c r="AA461" s="337">
        <v>756.7392578125</v>
      </c>
      <c r="AB461" s="337">
        <v>0.43286877870559692</v>
      </c>
      <c r="AC461" s="337">
        <v>756.7392578125</v>
      </c>
      <c r="AD461" s="337">
        <v>243</v>
      </c>
      <c r="AE461" s="337">
        <v>207</v>
      </c>
      <c r="AF461" s="337">
        <v>125</v>
      </c>
      <c r="AG461" s="337">
        <v>535</v>
      </c>
      <c r="AH461" s="337">
        <v>522</v>
      </c>
      <c r="AI461" s="337">
        <v>535</v>
      </c>
      <c r="AJ461" s="337">
        <v>0</v>
      </c>
      <c r="AK461" s="337">
        <v>1</v>
      </c>
      <c r="AL461" s="337">
        <v>17</v>
      </c>
      <c r="AM461" s="337">
        <v>0</v>
      </c>
      <c r="AN461" s="337">
        <v>348.69229125976563</v>
      </c>
      <c r="AO461" s="337"/>
      <c r="AP461" s="337"/>
      <c r="AQ461" s="337"/>
      <c r="AR461" s="337">
        <v>61</v>
      </c>
      <c r="AS461" s="337">
        <v>61</v>
      </c>
      <c r="AT461" s="337">
        <v>51</v>
      </c>
      <c r="AU461" s="337">
        <v>31</v>
      </c>
      <c r="AV461" s="337">
        <v>212</v>
      </c>
      <c r="AW461" s="337">
        <v>0</v>
      </c>
      <c r="AX461" s="337">
        <v>0</v>
      </c>
      <c r="AY461" s="337">
        <v>4</v>
      </c>
      <c r="AZ461" s="337">
        <v>0</v>
      </c>
      <c r="BA461" s="337">
        <v>87.173072814941406</v>
      </c>
      <c r="BB461" s="337"/>
      <c r="BC461" s="337"/>
      <c r="BD461" s="337"/>
      <c r="BE461" s="337">
        <v>25000</v>
      </c>
      <c r="BF461" s="337" t="s">
        <v>425</v>
      </c>
      <c r="BG461" s="337" t="s">
        <v>5</v>
      </c>
      <c r="BH461" s="337" t="s">
        <v>1020</v>
      </c>
      <c r="BI461" s="337"/>
      <c r="BJ461" s="337" t="s">
        <v>5</v>
      </c>
      <c r="BK461" s="337"/>
      <c r="BL461" s="337">
        <v>0</v>
      </c>
      <c r="BM461" s="337"/>
      <c r="BN461" s="337" t="s">
        <v>5</v>
      </c>
      <c r="BO461" s="337"/>
      <c r="BP461" s="337"/>
      <c r="BQ461" s="337"/>
      <c r="BR461" s="337"/>
      <c r="BS461" s="337" t="s">
        <v>5</v>
      </c>
      <c r="BT461" s="337"/>
      <c r="BU461" s="337"/>
      <c r="BV461" s="337"/>
      <c r="BW461" s="337"/>
      <c r="BX461" s="337" t="s">
        <v>6</v>
      </c>
      <c r="BY461" s="337" t="s">
        <v>426</v>
      </c>
      <c r="BZ461" s="337"/>
      <c r="CB461" s="337" t="s">
        <v>5</v>
      </c>
      <c r="CC461" s="337">
        <v>23465.171186509851</v>
      </c>
      <c r="CD461" s="337">
        <v>16913400.543766171</v>
      </c>
      <c r="CE461" s="313" t="s">
        <v>11891</v>
      </c>
    </row>
    <row r="462" spans="1:83" ht="15" x14ac:dyDescent="0.25">
      <c r="A462" s="337" t="s">
        <v>534</v>
      </c>
      <c r="B462" s="337" t="s">
        <v>535</v>
      </c>
      <c r="C462" s="337" t="s">
        <v>499</v>
      </c>
      <c r="D462" s="337">
        <v>9</v>
      </c>
      <c r="E462" s="337" t="s">
        <v>416</v>
      </c>
      <c r="F462" s="337" t="s">
        <v>490</v>
      </c>
      <c r="G462" s="337" t="s">
        <v>500</v>
      </c>
      <c r="H462" s="337" t="s">
        <v>536</v>
      </c>
      <c r="I462" s="337" t="s">
        <v>537</v>
      </c>
      <c r="J462" s="337" t="s">
        <v>538</v>
      </c>
      <c r="K462" s="337" t="s">
        <v>422</v>
      </c>
      <c r="L462" s="337">
        <v>5.1202130317687988</v>
      </c>
      <c r="M462" s="337" t="s">
        <v>5</v>
      </c>
      <c r="N462" s="337" t="s">
        <v>5</v>
      </c>
      <c r="O462" s="337" t="s">
        <v>5</v>
      </c>
      <c r="P462" s="337" t="s">
        <v>5</v>
      </c>
      <c r="Q462" s="337" t="s">
        <v>5</v>
      </c>
      <c r="R462" s="337" t="s">
        <v>517</v>
      </c>
      <c r="S462" s="337" t="s">
        <v>539</v>
      </c>
      <c r="T462" s="337" t="s">
        <v>5</v>
      </c>
      <c r="U462" s="337" t="s">
        <v>4</v>
      </c>
      <c r="V462" s="337">
        <v>100000</v>
      </c>
      <c r="W462" s="337">
        <v>75000</v>
      </c>
      <c r="X462" s="337" t="s">
        <v>6</v>
      </c>
      <c r="Y462" s="337"/>
      <c r="Z462" s="337"/>
      <c r="AA462" s="337">
        <v>326.20352172851563</v>
      </c>
      <c r="AB462" s="337">
        <v>0.20592792332172391</v>
      </c>
      <c r="AC462" s="337">
        <v>326.20352172851563</v>
      </c>
      <c r="AD462" s="337">
        <v>184</v>
      </c>
      <c r="AE462" s="337">
        <v>180</v>
      </c>
      <c r="AF462" s="337">
        <v>184</v>
      </c>
      <c r="AG462" s="337">
        <v>321</v>
      </c>
      <c r="AH462" s="337">
        <v>495</v>
      </c>
      <c r="AI462" s="337">
        <v>495</v>
      </c>
      <c r="AJ462" s="337">
        <v>0</v>
      </c>
      <c r="AK462" s="337">
        <v>6</v>
      </c>
      <c r="AL462" s="337">
        <v>12</v>
      </c>
      <c r="AM462" s="337">
        <v>0</v>
      </c>
      <c r="AN462" s="337">
        <v>51.152637481689453</v>
      </c>
      <c r="AO462" s="337"/>
      <c r="AP462" s="337"/>
      <c r="AQ462" s="337"/>
      <c r="AR462" s="337">
        <v>46</v>
      </c>
      <c r="AS462" s="337">
        <v>46</v>
      </c>
      <c r="AT462" s="337">
        <v>45</v>
      </c>
      <c r="AU462" s="337">
        <v>46</v>
      </c>
      <c r="AV462" s="337">
        <v>132</v>
      </c>
      <c r="AW462" s="337">
        <v>0</v>
      </c>
      <c r="AX462" s="337">
        <v>1</v>
      </c>
      <c r="AY462" s="337">
        <v>3</v>
      </c>
      <c r="AZ462" s="337">
        <v>0</v>
      </c>
      <c r="BA462" s="337">
        <v>12.78815937042236</v>
      </c>
      <c r="BB462" s="337"/>
      <c r="BC462" s="337"/>
      <c r="BD462" s="337"/>
      <c r="BE462" s="337">
        <v>25000</v>
      </c>
      <c r="BF462" s="337" t="s">
        <v>425</v>
      </c>
      <c r="BG462" s="337" t="s">
        <v>5</v>
      </c>
      <c r="BH462" s="337" t="s">
        <v>1020</v>
      </c>
      <c r="BI462" s="337"/>
      <c r="BJ462" s="337" t="s">
        <v>5</v>
      </c>
      <c r="BK462" s="337"/>
      <c r="BL462" s="337">
        <v>0</v>
      </c>
      <c r="BM462" s="337"/>
      <c r="BN462" s="337" t="s">
        <v>5</v>
      </c>
      <c r="BO462" s="337"/>
      <c r="BP462" s="337"/>
      <c r="BQ462" s="337"/>
      <c r="BR462" s="337"/>
      <c r="BS462" s="337" t="s">
        <v>5</v>
      </c>
      <c r="BT462" s="337"/>
      <c r="BU462" s="337"/>
      <c r="BV462" s="337"/>
      <c r="BW462" s="337"/>
      <c r="BX462" s="337" t="s">
        <v>6</v>
      </c>
      <c r="BY462" s="337" t="s">
        <v>426</v>
      </c>
      <c r="BZ462" s="337"/>
      <c r="CB462" s="337" t="s">
        <v>5</v>
      </c>
      <c r="CC462" s="337">
        <v>49832.011334625713</v>
      </c>
      <c r="CD462" s="337">
        <v>13261291.06565995</v>
      </c>
      <c r="CE462" s="313" t="s">
        <v>11891</v>
      </c>
    </row>
    <row r="463" spans="1:83" ht="15" x14ac:dyDescent="0.25">
      <c r="A463" s="337" t="s">
        <v>540</v>
      </c>
      <c r="B463" s="337" t="s">
        <v>541</v>
      </c>
      <c r="C463" s="337" t="s">
        <v>542</v>
      </c>
      <c r="D463" s="337">
        <v>9</v>
      </c>
      <c r="E463" s="337" t="s">
        <v>416</v>
      </c>
      <c r="F463" s="337" t="s">
        <v>417</v>
      </c>
      <c r="G463" s="337" t="s">
        <v>418</v>
      </c>
      <c r="H463" s="337" t="s">
        <v>419</v>
      </c>
      <c r="I463" s="337" t="s">
        <v>420</v>
      </c>
      <c r="J463" s="337" t="s">
        <v>421</v>
      </c>
      <c r="K463" s="337" t="s">
        <v>422</v>
      </c>
      <c r="L463" s="337">
        <v>5.3115334510803223</v>
      </c>
      <c r="M463" s="337" t="s">
        <v>5</v>
      </c>
      <c r="N463" s="337" t="s">
        <v>5</v>
      </c>
      <c r="O463" s="337" t="s">
        <v>5</v>
      </c>
      <c r="P463" s="337" t="s">
        <v>5</v>
      </c>
      <c r="Q463" s="337" t="s">
        <v>5</v>
      </c>
      <c r="R463" s="337" t="s">
        <v>423</v>
      </c>
      <c r="S463" s="337" t="s">
        <v>424</v>
      </c>
      <c r="T463" s="337" t="s">
        <v>5</v>
      </c>
      <c r="U463" s="337" t="s">
        <v>4</v>
      </c>
      <c r="V463" s="337">
        <v>100000</v>
      </c>
      <c r="W463" s="337">
        <v>75000</v>
      </c>
      <c r="X463" s="337" t="s">
        <v>6</v>
      </c>
      <c r="Y463" s="337"/>
      <c r="Z463" s="337"/>
      <c r="AA463" s="337">
        <v>500.92422485351563</v>
      </c>
      <c r="AB463" s="337">
        <v>0.23701925575733179</v>
      </c>
      <c r="AC463" s="337">
        <v>500.92422485351563</v>
      </c>
      <c r="AD463" s="337">
        <v>143</v>
      </c>
      <c r="AE463" s="337">
        <v>103</v>
      </c>
      <c r="AF463" s="337">
        <v>93</v>
      </c>
      <c r="AG463" s="337">
        <v>353</v>
      </c>
      <c r="AH463" s="337">
        <v>151</v>
      </c>
      <c r="AI463" s="337">
        <v>353</v>
      </c>
      <c r="AJ463" s="337">
        <v>2</v>
      </c>
      <c r="AK463" s="337">
        <v>1</v>
      </c>
      <c r="AL463" s="337">
        <v>10</v>
      </c>
      <c r="AM463" s="337">
        <v>0</v>
      </c>
      <c r="AN463" s="337">
        <v>37.864822387695313</v>
      </c>
      <c r="AO463" s="337"/>
      <c r="AP463" s="337"/>
      <c r="AQ463" s="337"/>
      <c r="AR463" s="337">
        <v>36</v>
      </c>
      <c r="AS463" s="337">
        <v>36</v>
      </c>
      <c r="AT463" s="337">
        <v>25</v>
      </c>
      <c r="AU463" s="337">
        <v>23</v>
      </c>
      <c r="AV463" s="337">
        <v>109</v>
      </c>
      <c r="AW463" s="337">
        <v>0</v>
      </c>
      <c r="AX463" s="337">
        <v>0</v>
      </c>
      <c r="AY463" s="337">
        <v>2</v>
      </c>
      <c r="AZ463" s="337">
        <v>0</v>
      </c>
      <c r="BA463" s="337">
        <v>9.4662055969238281</v>
      </c>
      <c r="BB463" s="337"/>
      <c r="BC463" s="337"/>
      <c r="BD463" s="337"/>
      <c r="BE463" s="337">
        <v>25000</v>
      </c>
      <c r="BF463" s="337" t="s">
        <v>425</v>
      </c>
      <c r="BG463" s="337" t="s">
        <v>5</v>
      </c>
      <c r="BH463" s="337" t="s">
        <v>1020</v>
      </c>
      <c r="BI463" s="337"/>
      <c r="BJ463" s="337" t="s">
        <v>5</v>
      </c>
      <c r="BK463" s="337"/>
      <c r="BL463" s="337">
        <v>0</v>
      </c>
      <c r="BM463" s="337"/>
      <c r="BN463" s="337" t="s">
        <v>5</v>
      </c>
      <c r="BO463" s="337"/>
      <c r="BP463" s="337"/>
      <c r="BQ463" s="337"/>
      <c r="BR463" s="337"/>
      <c r="BS463" s="337" t="s">
        <v>5</v>
      </c>
      <c r="BT463" s="337"/>
      <c r="BU463" s="337"/>
      <c r="BV463" s="337"/>
      <c r="BW463" s="337"/>
      <c r="BX463" s="337" t="s">
        <v>6</v>
      </c>
      <c r="BY463" s="337" t="s">
        <v>426</v>
      </c>
      <c r="BZ463" s="337"/>
      <c r="CB463" s="337" t="s">
        <v>5</v>
      </c>
      <c r="CC463" s="337">
        <v>21721.127558054221</v>
      </c>
      <c r="CD463" s="337">
        <v>13756808.62225158</v>
      </c>
      <c r="CE463" s="313" t="s">
        <v>11891</v>
      </c>
    </row>
    <row r="464" spans="1:83" ht="15" x14ac:dyDescent="0.25">
      <c r="A464" s="337" t="s">
        <v>543</v>
      </c>
      <c r="B464" s="337" t="s">
        <v>544</v>
      </c>
      <c r="C464" s="337" t="s">
        <v>499</v>
      </c>
      <c r="D464" s="337">
        <v>9</v>
      </c>
      <c r="E464" s="337" t="s">
        <v>416</v>
      </c>
      <c r="F464" s="337" t="s">
        <v>545</v>
      </c>
      <c r="G464" s="337" t="s">
        <v>546</v>
      </c>
      <c r="H464" s="337" t="s">
        <v>547</v>
      </c>
      <c r="I464" s="337" t="s">
        <v>548</v>
      </c>
      <c r="J464" s="337" t="s">
        <v>549</v>
      </c>
      <c r="K464" s="337" t="s">
        <v>422</v>
      </c>
      <c r="L464" s="337">
        <v>3.783257007598877</v>
      </c>
      <c r="M464" s="337" t="s">
        <v>5</v>
      </c>
      <c r="N464" s="337" t="s">
        <v>5</v>
      </c>
      <c r="O464" s="337" t="s">
        <v>5</v>
      </c>
      <c r="P464" s="337" t="s">
        <v>5</v>
      </c>
      <c r="Q464" s="337" t="s">
        <v>5</v>
      </c>
      <c r="R464" s="337" t="s">
        <v>550</v>
      </c>
      <c r="S464" s="337" t="s">
        <v>551</v>
      </c>
      <c r="T464" s="337" t="s">
        <v>5</v>
      </c>
      <c r="U464" s="337" t="s">
        <v>4</v>
      </c>
      <c r="V464" s="337">
        <v>100000</v>
      </c>
      <c r="W464" s="337">
        <v>75000</v>
      </c>
      <c r="X464" s="337" t="s">
        <v>6</v>
      </c>
      <c r="Y464" s="337"/>
      <c r="Z464" s="337"/>
      <c r="AA464" s="337">
        <v>287.7896728515625</v>
      </c>
      <c r="AB464" s="337">
        <v>0.19401510059833529</v>
      </c>
      <c r="AC464" s="337">
        <v>287.7896728515625</v>
      </c>
      <c r="AD464" s="337">
        <v>108</v>
      </c>
      <c r="AE464" s="337">
        <v>146</v>
      </c>
      <c r="AF464" s="337">
        <v>75</v>
      </c>
      <c r="AG464" s="337">
        <v>332</v>
      </c>
      <c r="AH464" s="337">
        <v>214</v>
      </c>
      <c r="AI464" s="337">
        <v>332</v>
      </c>
      <c r="AJ464" s="337">
        <v>0</v>
      </c>
      <c r="AK464" s="337">
        <v>1</v>
      </c>
      <c r="AL464" s="337">
        <v>12</v>
      </c>
      <c r="AM464" s="337">
        <v>0</v>
      </c>
      <c r="AN464" s="337">
        <v>13.805018424987789</v>
      </c>
      <c r="AO464" s="337"/>
      <c r="AP464" s="337"/>
      <c r="AQ464" s="337"/>
      <c r="AR464" s="337">
        <v>27</v>
      </c>
      <c r="AS464" s="337">
        <v>27</v>
      </c>
      <c r="AT464" s="337">
        <v>36</v>
      </c>
      <c r="AU464" s="337">
        <v>18</v>
      </c>
      <c r="AV464" s="337">
        <v>118</v>
      </c>
      <c r="AW464" s="337">
        <v>0</v>
      </c>
      <c r="AX464" s="337">
        <v>0</v>
      </c>
      <c r="AY464" s="337">
        <v>3</v>
      </c>
      <c r="AZ464" s="337">
        <v>0</v>
      </c>
      <c r="BA464" s="337">
        <v>3.4512546062469478</v>
      </c>
      <c r="BB464" s="337"/>
      <c r="BC464" s="337"/>
      <c r="BD464" s="337"/>
      <c r="BE464" s="337">
        <v>25000</v>
      </c>
      <c r="BF464" s="337" t="s">
        <v>425</v>
      </c>
      <c r="BG464" s="337" t="s">
        <v>5</v>
      </c>
      <c r="BH464" s="337" t="s">
        <v>1020</v>
      </c>
      <c r="BI464" s="337"/>
      <c r="BJ464" s="337" t="s">
        <v>5</v>
      </c>
      <c r="BK464" s="337"/>
      <c r="BL464" s="337">
        <v>0</v>
      </c>
      <c r="BM464" s="337"/>
      <c r="BN464" s="337" t="s">
        <v>5</v>
      </c>
      <c r="BO464" s="337"/>
      <c r="BP464" s="337"/>
      <c r="BQ464" s="337"/>
      <c r="BR464" s="337"/>
      <c r="BS464" s="337" t="s">
        <v>5</v>
      </c>
      <c r="BT464" s="337"/>
      <c r="BU464" s="337"/>
      <c r="BV464" s="337"/>
      <c r="BW464" s="337"/>
      <c r="BX464" s="337" t="s">
        <v>6</v>
      </c>
      <c r="BY464" s="337" t="s">
        <v>426</v>
      </c>
      <c r="BZ464" s="337"/>
      <c r="CB464" s="337" t="s">
        <v>5</v>
      </c>
      <c r="CC464" s="337">
        <v>25134.98971512471</v>
      </c>
      <c r="CD464" s="337">
        <v>9798590.706537921</v>
      </c>
      <c r="CE464" s="313" t="s">
        <v>11891</v>
      </c>
    </row>
    <row r="465" spans="1:83" ht="15" x14ac:dyDescent="0.25">
      <c r="A465" s="337" t="s">
        <v>552</v>
      </c>
      <c r="B465" s="337" t="s">
        <v>553</v>
      </c>
      <c r="C465" s="337" t="s">
        <v>499</v>
      </c>
      <c r="D465" s="337">
        <v>9</v>
      </c>
      <c r="E465" s="337" t="s">
        <v>416</v>
      </c>
      <c r="F465" s="337" t="s">
        <v>439</v>
      </c>
      <c r="G465" s="337" t="s">
        <v>418</v>
      </c>
      <c r="H465" s="337" t="s">
        <v>554</v>
      </c>
      <c r="I465" s="337" t="s">
        <v>554</v>
      </c>
      <c r="J465" s="337" t="s">
        <v>555</v>
      </c>
      <c r="K465" s="337" t="s">
        <v>422</v>
      </c>
      <c r="L465" s="337">
        <v>8.9334602355957031</v>
      </c>
      <c r="M465" s="337" t="s">
        <v>5</v>
      </c>
      <c r="N465" s="337" t="s">
        <v>5</v>
      </c>
      <c r="O465" s="337" t="s">
        <v>5</v>
      </c>
      <c r="P465" s="337" t="s">
        <v>5</v>
      </c>
      <c r="Q465" s="337" t="s">
        <v>5</v>
      </c>
      <c r="R465" s="337" t="s">
        <v>556</v>
      </c>
      <c r="S465" s="337" t="s">
        <v>557</v>
      </c>
      <c r="T465" s="337" t="s">
        <v>5</v>
      </c>
      <c r="U465" s="337" t="s">
        <v>4</v>
      </c>
      <c r="V465" s="337">
        <v>100000</v>
      </c>
      <c r="W465" s="337">
        <v>75000</v>
      </c>
      <c r="X465" s="337" t="s">
        <v>6</v>
      </c>
      <c r="Y465" s="337"/>
      <c r="Z465" s="337"/>
      <c r="AA465" s="337">
        <v>988.46435546875</v>
      </c>
      <c r="AB465" s="337">
        <v>0.1501607000827789</v>
      </c>
      <c r="AC465" s="337">
        <v>988.46435546875</v>
      </c>
      <c r="AD465" s="337">
        <v>447</v>
      </c>
      <c r="AE465" s="337">
        <v>72</v>
      </c>
      <c r="AF465" s="337">
        <v>266</v>
      </c>
      <c r="AG465" s="337">
        <v>1634</v>
      </c>
      <c r="AH465" s="337">
        <v>530</v>
      </c>
      <c r="AI465" s="337">
        <v>1634</v>
      </c>
      <c r="AJ465" s="337">
        <v>1</v>
      </c>
      <c r="AK465" s="337">
        <v>3</v>
      </c>
      <c r="AL465" s="337">
        <v>21</v>
      </c>
      <c r="AM465" s="337">
        <v>0</v>
      </c>
      <c r="AN465" s="337">
        <v>60.076580047607422</v>
      </c>
      <c r="AO465" s="337"/>
      <c r="AP465" s="337"/>
      <c r="AQ465" s="337"/>
      <c r="AR465" s="337">
        <v>112</v>
      </c>
      <c r="AS465" s="337">
        <v>112</v>
      </c>
      <c r="AT465" s="337">
        <v>18</v>
      </c>
      <c r="AU465" s="337">
        <v>66</v>
      </c>
      <c r="AV465" s="337">
        <v>486</v>
      </c>
      <c r="AW465" s="337">
        <v>0</v>
      </c>
      <c r="AX465" s="337">
        <v>0</v>
      </c>
      <c r="AY465" s="337">
        <v>5</v>
      </c>
      <c r="AZ465" s="337">
        <v>0</v>
      </c>
      <c r="BA465" s="337">
        <v>15.019145011901861</v>
      </c>
      <c r="BB465" s="337"/>
      <c r="BC465" s="337"/>
      <c r="BD465" s="337"/>
      <c r="BE465" s="337">
        <v>25000</v>
      </c>
      <c r="BF465" s="337" t="s">
        <v>425</v>
      </c>
      <c r="BG465" s="337" t="s">
        <v>5</v>
      </c>
      <c r="BH465" s="337" t="s">
        <v>1020</v>
      </c>
      <c r="BI465" s="337"/>
      <c r="BJ465" s="337" t="s">
        <v>5</v>
      </c>
      <c r="BK465" s="337"/>
      <c r="BL465" s="337">
        <v>0</v>
      </c>
      <c r="BM465" s="337"/>
      <c r="BN465" s="337" t="s">
        <v>5</v>
      </c>
      <c r="BO465" s="337"/>
      <c r="BP465" s="337"/>
      <c r="BQ465" s="337"/>
      <c r="BR465" s="337"/>
      <c r="BS465" s="337" t="s">
        <v>5</v>
      </c>
      <c r="BT465" s="337"/>
      <c r="BU465" s="337"/>
      <c r="BV465" s="337"/>
      <c r="BW465" s="337"/>
      <c r="BX465" s="337" t="s">
        <v>6</v>
      </c>
      <c r="BY465" s="337" t="s">
        <v>426</v>
      </c>
      <c r="BZ465" s="337"/>
      <c r="CB465" s="337" t="s">
        <v>5</v>
      </c>
      <c r="CC465" s="337">
        <v>45338.604642357772</v>
      </c>
      <c r="CD465" s="337">
        <v>23137555.42699248</v>
      </c>
      <c r="CE465" s="313" t="s">
        <v>11891</v>
      </c>
    </row>
    <row r="466" spans="1:83" ht="15" x14ac:dyDescent="0.25">
      <c r="A466" s="337" t="s">
        <v>570</v>
      </c>
      <c r="B466" s="337" t="s">
        <v>571</v>
      </c>
      <c r="C466" s="337" t="s">
        <v>499</v>
      </c>
      <c r="D466" s="337">
        <v>9</v>
      </c>
      <c r="E466" s="337" t="s">
        <v>416</v>
      </c>
      <c r="F466" s="337" t="s">
        <v>490</v>
      </c>
      <c r="G466" s="337" t="s">
        <v>572</v>
      </c>
      <c r="H466" s="337" t="s">
        <v>492</v>
      </c>
      <c r="I466" s="337" t="s">
        <v>492</v>
      </c>
      <c r="J466" s="337" t="s">
        <v>493</v>
      </c>
      <c r="K466" s="337" t="s">
        <v>422</v>
      </c>
      <c r="L466" s="337">
        <v>898.81060791015625</v>
      </c>
      <c r="M466" s="337" t="s">
        <v>5</v>
      </c>
      <c r="N466" s="337" t="s">
        <v>5</v>
      </c>
      <c r="O466" s="337" t="s">
        <v>5</v>
      </c>
      <c r="P466" s="337" t="s">
        <v>5</v>
      </c>
      <c r="Q466" s="337" t="s">
        <v>5</v>
      </c>
      <c r="R466" s="337" t="s">
        <v>434</v>
      </c>
      <c r="S466" s="337" t="s">
        <v>494</v>
      </c>
      <c r="T466" s="337" t="s">
        <v>5</v>
      </c>
      <c r="U466" s="337" t="s">
        <v>4</v>
      </c>
      <c r="V466" s="337">
        <v>100000</v>
      </c>
      <c r="W466" s="337">
        <v>75000</v>
      </c>
      <c r="X466" s="337" t="s">
        <v>6</v>
      </c>
      <c r="Y466" s="337"/>
      <c r="Z466" s="337"/>
      <c r="AA466" s="337">
        <v>119189.125</v>
      </c>
      <c r="AB466" s="337">
        <v>57.0989990234375</v>
      </c>
      <c r="AC466" s="337">
        <v>119189.125</v>
      </c>
      <c r="AD466" s="337">
        <v>474</v>
      </c>
      <c r="AE466" s="337">
        <v>339</v>
      </c>
      <c r="AF466" s="337">
        <v>9</v>
      </c>
      <c r="AG466" s="337">
        <v>484</v>
      </c>
      <c r="AH466" s="337">
        <v>710</v>
      </c>
      <c r="AI466" s="337">
        <v>710</v>
      </c>
      <c r="AJ466" s="337">
        <v>0</v>
      </c>
      <c r="AK466" s="337">
        <v>9</v>
      </c>
      <c r="AL466" s="337">
        <v>538</v>
      </c>
      <c r="AM466" s="337">
        <v>0</v>
      </c>
      <c r="AN466" s="337">
        <v>76212.7265625</v>
      </c>
      <c r="AO466" s="337"/>
      <c r="AP466" s="337"/>
      <c r="AQ466" s="337"/>
      <c r="AR466" s="337">
        <v>119</v>
      </c>
      <c r="AS466" s="337">
        <v>119</v>
      </c>
      <c r="AT466" s="337">
        <v>84</v>
      </c>
      <c r="AU466" s="337">
        <v>2</v>
      </c>
      <c r="AV466" s="337">
        <v>205</v>
      </c>
      <c r="AW466" s="337">
        <v>0</v>
      </c>
      <c r="AX466" s="337">
        <v>2</v>
      </c>
      <c r="AY466" s="337">
        <v>134</v>
      </c>
      <c r="AZ466" s="337">
        <v>0</v>
      </c>
      <c r="BA466" s="337">
        <v>19053.181640625</v>
      </c>
      <c r="BB466" s="337"/>
      <c r="BC466" s="337"/>
      <c r="BD466" s="337"/>
      <c r="BE466" s="337">
        <v>25000</v>
      </c>
      <c r="BF466" s="337" t="s">
        <v>425</v>
      </c>
      <c r="BG466" s="337" t="s">
        <v>5</v>
      </c>
      <c r="BH466" s="337" t="s">
        <v>1020</v>
      </c>
      <c r="BI466" s="337"/>
      <c r="BJ466" s="337" t="s">
        <v>5</v>
      </c>
      <c r="BK466" s="337"/>
      <c r="BL466" s="337">
        <v>0</v>
      </c>
      <c r="BM466" s="337"/>
      <c r="BN466" s="337" t="s">
        <v>5</v>
      </c>
      <c r="BO466" s="337"/>
      <c r="BP466" s="337"/>
      <c r="BQ466" s="337"/>
      <c r="BR466" s="337"/>
      <c r="BS466" s="337" t="s">
        <v>5</v>
      </c>
      <c r="BT466" s="337"/>
      <c r="BU466" s="337"/>
      <c r="BV466" s="337"/>
      <c r="BW466" s="337"/>
      <c r="BX466" s="337" t="s">
        <v>6</v>
      </c>
      <c r="BY466" s="337" t="s">
        <v>426</v>
      </c>
      <c r="BZ466" s="337"/>
      <c r="CB466" s="337" t="s">
        <v>5</v>
      </c>
      <c r="CC466" s="337">
        <v>193059.46221373149</v>
      </c>
      <c r="CD466" s="337">
        <v>2327908812.9894738</v>
      </c>
      <c r="CE466" s="313" t="s">
        <v>11891</v>
      </c>
    </row>
    <row r="467" spans="1:83" ht="15" x14ac:dyDescent="0.25">
      <c r="A467" s="337" t="s">
        <v>579</v>
      </c>
      <c r="B467" s="337" t="s">
        <v>580</v>
      </c>
      <c r="C467" s="337" t="s">
        <v>499</v>
      </c>
      <c r="D467" s="337">
        <v>9</v>
      </c>
      <c r="E467" s="337" t="s">
        <v>416</v>
      </c>
      <c r="F467" s="337" t="s">
        <v>581</v>
      </c>
      <c r="G467" s="337" t="s">
        <v>582</v>
      </c>
      <c r="H467" s="337" t="s">
        <v>583</v>
      </c>
      <c r="I467" s="337" t="s">
        <v>584</v>
      </c>
      <c r="J467" s="337" t="s">
        <v>585</v>
      </c>
      <c r="K467" s="337" t="s">
        <v>422</v>
      </c>
      <c r="L467" s="337">
        <v>906.67401123046875</v>
      </c>
      <c r="M467" s="337" t="s">
        <v>5</v>
      </c>
      <c r="N467" s="337" t="s">
        <v>5</v>
      </c>
      <c r="O467" s="337" t="s">
        <v>5</v>
      </c>
      <c r="P467" s="337" t="s">
        <v>5</v>
      </c>
      <c r="Q467" s="337" t="s">
        <v>5</v>
      </c>
      <c r="R467" s="337" t="s">
        <v>586</v>
      </c>
      <c r="S467" s="337" t="s">
        <v>587</v>
      </c>
      <c r="T467" s="337" t="s">
        <v>5</v>
      </c>
      <c r="U467" s="337" t="s">
        <v>4</v>
      </c>
      <c r="V467" s="337">
        <v>100000</v>
      </c>
      <c r="W467" s="337">
        <v>75000</v>
      </c>
      <c r="X467" s="337" t="s">
        <v>6</v>
      </c>
      <c r="Y467" s="337"/>
      <c r="Z467" s="337"/>
      <c r="AA467" s="337">
        <v>9816.333984375</v>
      </c>
      <c r="AB467" s="337">
        <v>6.9734349250793457</v>
      </c>
      <c r="AC467" s="337">
        <v>9816.333984375</v>
      </c>
      <c r="AD467" s="337">
        <v>44</v>
      </c>
      <c r="AE467" s="337">
        <v>44</v>
      </c>
      <c r="AF467" s="337">
        <v>18</v>
      </c>
      <c r="AG467" s="337">
        <v>851</v>
      </c>
      <c r="AH467" s="337">
        <v>165</v>
      </c>
      <c r="AI467" s="337">
        <v>851</v>
      </c>
      <c r="AJ467" s="337">
        <v>3</v>
      </c>
      <c r="AK467" s="337">
        <v>2</v>
      </c>
      <c r="AL467" s="337">
        <v>42</v>
      </c>
      <c r="AM467" s="337">
        <v>0</v>
      </c>
      <c r="AN467" s="337">
        <v>1350.754516601562</v>
      </c>
      <c r="AO467" s="337"/>
      <c r="AP467" s="337"/>
      <c r="AQ467" s="337"/>
      <c r="AR467" s="337">
        <v>11</v>
      </c>
      <c r="AS467" s="337">
        <v>11</v>
      </c>
      <c r="AT467" s="337">
        <v>11</v>
      </c>
      <c r="AU467" s="337">
        <v>4</v>
      </c>
      <c r="AV467" s="337">
        <v>216</v>
      </c>
      <c r="AW467" s="337">
        <v>0</v>
      </c>
      <c r="AX467" s="337">
        <v>0</v>
      </c>
      <c r="AY467" s="337">
        <v>10</v>
      </c>
      <c r="AZ467" s="337">
        <v>0</v>
      </c>
      <c r="BA467" s="337">
        <v>337.68862915039063</v>
      </c>
      <c r="BB467" s="337"/>
      <c r="BC467" s="337"/>
      <c r="BD467" s="337"/>
      <c r="BE467" s="337">
        <v>25000</v>
      </c>
      <c r="BF467" s="337" t="s">
        <v>425</v>
      </c>
      <c r="BG467" s="337" t="s">
        <v>5</v>
      </c>
      <c r="BH467" s="337" t="s">
        <v>1020</v>
      </c>
      <c r="BI467" s="337"/>
      <c r="BJ467" s="337" t="s">
        <v>5</v>
      </c>
      <c r="BK467" s="337"/>
      <c r="BL467" s="337">
        <v>0</v>
      </c>
      <c r="BM467" s="337"/>
      <c r="BN467" s="337" t="s">
        <v>5</v>
      </c>
      <c r="BO467" s="337"/>
      <c r="BP467" s="337"/>
      <c r="BQ467" s="337"/>
      <c r="BR467" s="337"/>
      <c r="BS467" s="337" t="s">
        <v>5</v>
      </c>
      <c r="BT467" s="337"/>
      <c r="BU467" s="337"/>
      <c r="BV467" s="337"/>
      <c r="BW467" s="337"/>
      <c r="BX467" s="337" t="s">
        <v>6</v>
      </c>
      <c r="BY467" s="337" t="s">
        <v>426</v>
      </c>
      <c r="BZ467" s="337"/>
      <c r="CB467" s="337" t="s">
        <v>5</v>
      </c>
      <c r="CC467" s="337">
        <v>193906.46106244571</v>
      </c>
      <c r="CD467" s="337">
        <v>2348274838.6897631</v>
      </c>
      <c r="CE467" s="313" t="s">
        <v>11891</v>
      </c>
    </row>
    <row r="468" spans="1:83" ht="15" x14ac:dyDescent="0.25">
      <c r="A468" s="337" t="s">
        <v>588</v>
      </c>
      <c r="B468" s="337" t="s">
        <v>589</v>
      </c>
      <c r="C468" s="337" t="s">
        <v>499</v>
      </c>
      <c r="D468" s="337">
        <v>9</v>
      </c>
      <c r="E468" s="337" t="s">
        <v>416</v>
      </c>
      <c r="F468" s="337" t="s">
        <v>590</v>
      </c>
      <c r="G468" s="337" t="s">
        <v>591</v>
      </c>
      <c r="H468" s="337" t="s">
        <v>592</v>
      </c>
      <c r="I468" s="337" t="s">
        <v>592</v>
      </c>
      <c r="J468" s="337" t="s">
        <v>593</v>
      </c>
      <c r="K468" s="337" t="s">
        <v>422</v>
      </c>
      <c r="L468" s="337">
        <v>890.1708984375</v>
      </c>
      <c r="M468" s="337" t="s">
        <v>5</v>
      </c>
      <c r="N468" s="337" t="s">
        <v>5</v>
      </c>
      <c r="O468" s="337" t="s">
        <v>5</v>
      </c>
      <c r="P468" s="337" t="s">
        <v>5</v>
      </c>
      <c r="Q468" s="337" t="s">
        <v>5</v>
      </c>
      <c r="R468" s="337" t="s">
        <v>434</v>
      </c>
      <c r="S468" s="337" t="s">
        <v>594</v>
      </c>
      <c r="T468" s="337" t="s">
        <v>5</v>
      </c>
      <c r="U468" s="337" t="s">
        <v>4</v>
      </c>
      <c r="V468" s="337">
        <v>100000</v>
      </c>
      <c r="W468" s="337">
        <v>75000</v>
      </c>
      <c r="X468" s="337" t="s">
        <v>6</v>
      </c>
      <c r="Y468" s="337"/>
      <c r="Z468" s="337"/>
      <c r="AA468" s="337">
        <v>32600.373046875</v>
      </c>
      <c r="AB468" s="337">
        <v>17.539201736450199</v>
      </c>
      <c r="AC468" s="337">
        <v>32600.373046875</v>
      </c>
      <c r="AD468" s="337">
        <v>340</v>
      </c>
      <c r="AE468" s="337">
        <v>64</v>
      </c>
      <c r="AF468" s="337">
        <v>204</v>
      </c>
      <c r="AG468" s="337">
        <v>236</v>
      </c>
      <c r="AH468" s="337">
        <v>352</v>
      </c>
      <c r="AI468" s="337">
        <v>352</v>
      </c>
      <c r="AJ468" s="337">
        <v>1</v>
      </c>
      <c r="AK468" s="337">
        <v>0</v>
      </c>
      <c r="AL468" s="337">
        <v>152</v>
      </c>
      <c r="AM468" s="337">
        <v>0</v>
      </c>
      <c r="AN468" s="337">
        <v>23560.421875</v>
      </c>
      <c r="AO468" s="337"/>
      <c r="AP468" s="337"/>
      <c r="AQ468" s="337"/>
      <c r="AR468" s="337">
        <v>85</v>
      </c>
      <c r="AS468" s="337">
        <v>85</v>
      </c>
      <c r="AT468" s="337">
        <v>16</v>
      </c>
      <c r="AU468" s="337">
        <v>51</v>
      </c>
      <c r="AV468" s="337">
        <v>123</v>
      </c>
      <c r="AW468" s="337">
        <v>0</v>
      </c>
      <c r="AX468" s="337">
        <v>0</v>
      </c>
      <c r="AY468" s="337">
        <v>38</v>
      </c>
      <c r="AZ468" s="337">
        <v>0</v>
      </c>
      <c r="BA468" s="337">
        <v>5890.10546875</v>
      </c>
      <c r="BB468" s="337"/>
      <c r="BC468" s="337"/>
      <c r="BD468" s="337"/>
      <c r="BE468" s="337">
        <v>25000</v>
      </c>
      <c r="BF468" s="337" t="s">
        <v>425</v>
      </c>
      <c r="BG468" s="337" t="s">
        <v>5</v>
      </c>
      <c r="BH468" s="337" t="s">
        <v>1020</v>
      </c>
      <c r="BI468" s="337"/>
      <c r="BJ468" s="337" t="s">
        <v>5</v>
      </c>
      <c r="BK468" s="337"/>
      <c r="BL468" s="337">
        <v>0</v>
      </c>
      <c r="BM468" s="337"/>
      <c r="BN468" s="337" t="s">
        <v>5</v>
      </c>
      <c r="BO468" s="337"/>
      <c r="BP468" s="337"/>
      <c r="BQ468" s="337"/>
      <c r="BR468" s="337"/>
      <c r="BS468" s="337" t="s">
        <v>5</v>
      </c>
      <c r="BT468" s="337"/>
      <c r="BU468" s="337"/>
      <c r="BV468" s="337"/>
      <c r="BW468" s="337"/>
      <c r="BX468" s="337" t="s">
        <v>6</v>
      </c>
      <c r="BY468" s="337" t="s">
        <v>426</v>
      </c>
      <c r="BZ468" s="337"/>
      <c r="CB468" s="337" t="s">
        <v>5</v>
      </c>
      <c r="CC468" s="337">
        <v>192155.42779810631</v>
      </c>
      <c r="CD468" s="337">
        <v>2305532035.5392752</v>
      </c>
      <c r="CE468" s="313" t="s">
        <v>11891</v>
      </c>
    </row>
    <row r="469" spans="1:83" ht="15" x14ac:dyDescent="0.25">
      <c r="A469" s="337" t="s">
        <v>602</v>
      </c>
      <c r="B469" s="337" t="s">
        <v>603</v>
      </c>
      <c r="C469" s="337" t="s">
        <v>604</v>
      </c>
      <c r="D469" s="337">
        <v>9</v>
      </c>
      <c r="E469" s="337" t="s">
        <v>416</v>
      </c>
      <c r="F469" s="337" t="s">
        <v>605</v>
      </c>
      <c r="G469" s="337" t="s">
        <v>606</v>
      </c>
      <c r="H469" s="337" t="s">
        <v>607</v>
      </c>
      <c r="I469" s="337" t="s">
        <v>608</v>
      </c>
      <c r="J469" s="337" t="s">
        <v>609</v>
      </c>
      <c r="K469" s="337" t="s">
        <v>422</v>
      </c>
      <c r="L469" s="337">
        <v>910.702880859375</v>
      </c>
      <c r="M469" s="337" t="s">
        <v>5</v>
      </c>
      <c r="N469" s="337" t="s">
        <v>5</v>
      </c>
      <c r="O469" s="337" t="s">
        <v>5</v>
      </c>
      <c r="P469" s="337" t="s">
        <v>5</v>
      </c>
      <c r="Q469" s="337" t="s">
        <v>5</v>
      </c>
      <c r="R469" s="337" t="s">
        <v>556</v>
      </c>
      <c r="S469" s="337" t="s">
        <v>610</v>
      </c>
      <c r="T469" s="337" t="s">
        <v>5</v>
      </c>
      <c r="U469" s="337" t="s">
        <v>4</v>
      </c>
      <c r="V469" s="337">
        <v>100000</v>
      </c>
      <c r="W469" s="337">
        <v>75000</v>
      </c>
      <c r="X469" s="337" t="s">
        <v>6</v>
      </c>
      <c r="Y469" s="337"/>
      <c r="Z469" s="337"/>
      <c r="AA469" s="337">
        <v>44376.2109375</v>
      </c>
      <c r="AB469" s="337">
        <v>7.8159141540527344</v>
      </c>
      <c r="AC469" s="337">
        <v>44376.2109375</v>
      </c>
      <c r="AD469" s="337">
        <v>90</v>
      </c>
      <c r="AE469" s="337">
        <v>10</v>
      </c>
      <c r="AF469" s="337">
        <v>16</v>
      </c>
      <c r="AG469" s="337">
        <v>12</v>
      </c>
      <c r="AH469" s="337">
        <v>23</v>
      </c>
      <c r="AI469" s="337">
        <v>23</v>
      </c>
      <c r="AJ469" s="337">
        <v>0</v>
      </c>
      <c r="AK469" s="337">
        <v>5</v>
      </c>
      <c r="AL469" s="337">
        <v>21</v>
      </c>
      <c r="AM469" s="337">
        <v>0</v>
      </c>
      <c r="AN469" s="337">
        <v>3888.37744140625</v>
      </c>
      <c r="AO469" s="337"/>
      <c r="AP469" s="337"/>
      <c r="AQ469" s="337"/>
      <c r="AR469" s="337">
        <v>23</v>
      </c>
      <c r="AS469" s="337">
        <v>23</v>
      </c>
      <c r="AT469" s="337">
        <v>2</v>
      </c>
      <c r="AU469" s="337">
        <v>4</v>
      </c>
      <c r="AV469" s="337">
        <v>7</v>
      </c>
      <c r="AW469" s="337">
        <v>0</v>
      </c>
      <c r="AX469" s="337">
        <v>1</v>
      </c>
      <c r="AY469" s="337">
        <v>5</v>
      </c>
      <c r="AZ469" s="337">
        <v>0</v>
      </c>
      <c r="BA469" s="337">
        <v>972.0943603515625</v>
      </c>
      <c r="BB469" s="337"/>
      <c r="BC469" s="337"/>
      <c r="BD469" s="337"/>
      <c r="BE469" s="337">
        <v>25000</v>
      </c>
      <c r="BF469" s="337" t="s">
        <v>425</v>
      </c>
      <c r="BG469" s="337" t="s">
        <v>5</v>
      </c>
      <c r="BH469" s="337" t="s">
        <v>1020</v>
      </c>
      <c r="BI469" s="337"/>
      <c r="BJ469" s="337" t="s">
        <v>5</v>
      </c>
      <c r="BK469" s="337"/>
      <c r="BL469" s="337">
        <v>0</v>
      </c>
      <c r="BM469" s="337"/>
      <c r="BN469" s="337" t="s">
        <v>5</v>
      </c>
      <c r="BO469" s="337"/>
      <c r="BP469" s="337"/>
      <c r="BQ469" s="337"/>
      <c r="BR469" s="337"/>
      <c r="BS469" s="337" t="s">
        <v>5</v>
      </c>
      <c r="BT469" s="337"/>
      <c r="BU469" s="337"/>
      <c r="BV469" s="337"/>
      <c r="BW469" s="337"/>
      <c r="BX469" s="337" t="s">
        <v>6</v>
      </c>
      <c r="BY469" s="337" t="s">
        <v>426</v>
      </c>
      <c r="BZ469" s="337"/>
      <c r="CB469" s="337" t="s">
        <v>5</v>
      </c>
      <c r="CC469" s="337">
        <v>194179.7392590458</v>
      </c>
      <c r="CD469" s="337">
        <v>2358709654.643847</v>
      </c>
      <c r="CE469" s="313" t="s">
        <v>11891</v>
      </c>
    </row>
    <row r="470" spans="1:83" ht="15" x14ac:dyDescent="0.25">
      <c r="A470" s="337" t="s">
        <v>611</v>
      </c>
      <c r="B470" s="337" t="s">
        <v>612</v>
      </c>
      <c r="C470" s="337" t="s">
        <v>499</v>
      </c>
      <c r="D470" s="337">
        <v>9</v>
      </c>
      <c r="E470" s="337" t="s">
        <v>416</v>
      </c>
      <c r="F470" s="337" t="s">
        <v>528</v>
      </c>
      <c r="G470" s="337" t="s">
        <v>613</v>
      </c>
      <c r="H470" s="337" t="s">
        <v>614</v>
      </c>
      <c r="I470" s="337" t="s">
        <v>614</v>
      </c>
      <c r="J470" s="337" t="s">
        <v>615</v>
      </c>
      <c r="K470" s="337" t="s">
        <v>422</v>
      </c>
      <c r="L470" s="337">
        <v>887.75018310546875</v>
      </c>
      <c r="M470" s="337" t="s">
        <v>5</v>
      </c>
      <c r="N470" s="337" t="s">
        <v>5</v>
      </c>
      <c r="O470" s="337" t="s">
        <v>5</v>
      </c>
      <c r="P470" s="337" t="s">
        <v>5</v>
      </c>
      <c r="Q470" s="337" t="s">
        <v>5</v>
      </c>
      <c r="R470" s="337" t="s">
        <v>517</v>
      </c>
      <c r="S470" s="337" t="s">
        <v>616</v>
      </c>
      <c r="T470" s="337" t="s">
        <v>5</v>
      </c>
      <c r="U470" s="337" t="s">
        <v>4</v>
      </c>
      <c r="V470" s="337">
        <v>100000</v>
      </c>
      <c r="W470" s="337">
        <v>75000</v>
      </c>
      <c r="X470" s="337" t="s">
        <v>6</v>
      </c>
      <c r="Y470" s="337"/>
      <c r="Z470" s="337"/>
      <c r="AA470" s="337">
        <v>130088.3359375</v>
      </c>
      <c r="AB470" s="337">
        <v>59.243801116943359</v>
      </c>
      <c r="AC470" s="337">
        <v>130088.3359375</v>
      </c>
      <c r="AD470" s="337">
        <v>499</v>
      </c>
      <c r="AE470" s="337">
        <v>322</v>
      </c>
      <c r="AF470" s="337">
        <v>183</v>
      </c>
      <c r="AG470" s="337">
        <v>1052</v>
      </c>
      <c r="AH470" s="337">
        <v>869</v>
      </c>
      <c r="AI470" s="337">
        <v>1052</v>
      </c>
      <c r="AJ470" s="337">
        <v>0</v>
      </c>
      <c r="AK470" s="337">
        <v>6</v>
      </c>
      <c r="AL470" s="337">
        <v>634</v>
      </c>
      <c r="AM470" s="337">
        <v>0</v>
      </c>
      <c r="AN470" s="337">
        <v>84143.859375</v>
      </c>
      <c r="AO470" s="337"/>
      <c r="AP470" s="337"/>
      <c r="AQ470" s="337"/>
      <c r="AR470" s="337">
        <v>125</v>
      </c>
      <c r="AS470" s="337">
        <v>125</v>
      </c>
      <c r="AT470" s="337">
        <v>80</v>
      </c>
      <c r="AU470" s="337">
        <v>45</v>
      </c>
      <c r="AV470" s="337">
        <v>398</v>
      </c>
      <c r="AW470" s="337">
        <v>0</v>
      </c>
      <c r="AX470" s="337">
        <v>1</v>
      </c>
      <c r="AY470" s="337">
        <v>158</v>
      </c>
      <c r="AZ470" s="337">
        <v>0</v>
      </c>
      <c r="BA470" s="337">
        <v>21035.96484375</v>
      </c>
      <c r="BB470" s="337"/>
      <c r="BC470" s="337"/>
      <c r="BD470" s="337"/>
      <c r="BE470" s="337">
        <v>25000</v>
      </c>
      <c r="BF470" s="337" t="s">
        <v>425</v>
      </c>
      <c r="BG470" s="337" t="s">
        <v>5</v>
      </c>
      <c r="BH470" s="337" t="s">
        <v>1020</v>
      </c>
      <c r="BI470" s="337"/>
      <c r="BJ470" s="337" t="s">
        <v>5</v>
      </c>
      <c r="BK470" s="337"/>
      <c r="BL470" s="337">
        <v>0</v>
      </c>
      <c r="BM470" s="337"/>
      <c r="BN470" s="337" t="s">
        <v>5</v>
      </c>
      <c r="BO470" s="337"/>
      <c r="BP470" s="337"/>
      <c r="BQ470" s="337"/>
      <c r="BR470" s="337"/>
      <c r="BS470" s="337" t="s">
        <v>5</v>
      </c>
      <c r="BT470" s="337"/>
      <c r="BU470" s="337"/>
      <c r="BV470" s="337"/>
      <c r="BW470" s="337"/>
      <c r="BX470" s="337" t="s">
        <v>6</v>
      </c>
      <c r="BY470" s="337" t="s">
        <v>426</v>
      </c>
      <c r="BZ470" s="337"/>
      <c r="CB470" s="337" t="s">
        <v>5</v>
      </c>
      <c r="CC470" s="337">
        <v>191744.99220692029</v>
      </c>
      <c r="CD470" s="337">
        <v>2299262362.5637908</v>
      </c>
      <c r="CE470" s="313" t="s">
        <v>11891</v>
      </c>
    </row>
    <row r="471" spans="1:83" ht="15" x14ac:dyDescent="0.25">
      <c r="A471" s="337" t="s">
        <v>624</v>
      </c>
      <c r="B471" s="337" t="s">
        <v>625</v>
      </c>
      <c r="C471" s="337" t="s">
        <v>626</v>
      </c>
      <c r="D471" s="337">
        <v>9</v>
      </c>
      <c r="E471" s="337" t="s">
        <v>416</v>
      </c>
      <c r="F471" s="337" t="s">
        <v>627</v>
      </c>
      <c r="G471" s="337" t="s">
        <v>628</v>
      </c>
      <c r="H471" s="337" t="s">
        <v>629</v>
      </c>
      <c r="I471" s="337" t="s">
        <v>630</v>
      </c>
      <c r="J471" s="337" t="s">
        <v>631</v>
      </c>
      <c r="K471" s="337" t="s">
        <v>427</v>
      </c>
      <c r="L471" s="337">
        <v>915.6199951171875</v>
      </c>
      <c r="M471" s="337" t="s">
        <v>5</v>
      </c>
      <c r="N471" s="337" t="s">
        <v>5</v>
      </c>
      <c r="O471" s="337" t="s">
        <v>5</v>
      </c>
      <c r="P471" s="337" t="s">
        <v>5</v>
      </c>
      <c r="Q471" s="337" t="s">
        <v>5</v>
      </c>
      <c r="R471" s="337" t="s">
        <v>632</v>
      </c>
      <c r="S471" s="337" t="s">
        <v>633</v>
      </c>
      <c r="T471" s="337" t="s">
        <v>5</v>
      </c>
      <c r="U471" s="337" t="s">
        <v>4</v>
      </c>
      <c r="V471" s="337">
        <v>100000</v>
      </c>
      <c r="W471" s="337">
        <v>75000</v>
      </c>
      <c r="X471" s="337" t="s">
        <v>6</v>
      </c>
      <c r="Y471" s="337"/>
      <c r="Z471" s="337"/>
      <c r="AA471" s="337">
        <v>21048.634765625</v>
      </c>
      <c r="AB471" s="337">
        <v>4.3354191780090332</v>
      </c>
      <c r="AC471" s="337">
        <v>21048.634765625</v>
      </c>
      <c r="AD471" s="337">
        <v>70</v>
      </c>
      <c r="AE471" s="337">
        <v>20</v>
      </c>
      <c r="AF471" s="337">
        <v>51</v>
      </c>
      <c r="AG471" s="337">
        <v>4</v>
      </c>
      <c r="AH471" s="337">
        <v>46</v>
      </c>
      <c r="AI471" s="337">
        <v>46</v>
      </c>
      <c r="AJ471" s="337">
        <v>0</v>
      </c>
      <c r="AK471" s="337">
        <v>10</v>
      </c>
      <c r="AL471" s="337">
        <v>18</v>
      </c>
      <c r="AM471" s="337">
        <v>0</v>
      </c>
      <c r="AN471" s="337">
        <v>3492.507568359375</v>
      </c>
      <c r="AO471" s="337"/>
      <c r="AP471" s="337"/>
      <c r="AQ471" s="337"/>
      <c r="AR471" s="337">
        <v>18</v>
      </c>
      <c r="AS471" s="337">
        <v>18</v>
      </c>
      <c r="AT471" s="337">
        <v>5</v>
      </c>
      <c r="AU471" s="337">
        <v>12</v>
      </c>
      <c r="AV471" s="337">
        <v>11</v>
      </c>
      <c r="AW471" s="337">
        <v>0</v>
      </c>
      <c r="AX471" s="337">
        <v>2</v>
      </c>
      <c r="AY471" s="337">
        <v>4</v>
      </c>
      <c r="AZ471" s="337">
        <v>0</v>
      </c>
      <c r="BA471" s="337">
        <v>873.12689208984375</v>
      </c>
      <c r="BB471" s="337"/>
      <c r="BC471" s="337"/>
      <c r="BD471" s="337"/>
      <c r="BE471" s="337">
        <v>25000</v>
      </c>
      <c r="BF471" s="337" t="s">
        <v>425</v>
      </c>
      <c r="BG471" s="337" t="s">
        <v>5</v>
      </c>
      <c r="BH471" s="337" t="s">
        <v>1020</v>
      </c>
      <c r="BI471" s="337"/>
      <c r="BJ471" s="337" t="s">
        <v>5</v>
      </c>
      <c r="BK471" s="337"/>
      <c r="BL471" s="337">
        <v>25</v>
      </c>
      <c r="BM471" s="337"/>
      <c r="BN471" s="337" t="s">
        <v>5</v>
      </c>
      <c r="BO471" s="337"/>
      <c r="BP471" s="337"/>
      <c r="BQ471" s="337"/>
      <c r="BR471" s="337"/>
      <c r="BS471" s="337" t="s">
        <v>5</v>
      </c>
      <c r="BT471" s="337"/>
      <c r="BU471" s="337"/>
      <c r="BV471" s="337"/>
      <c r="BW471" s="337"/>
      <c r="BX471" s="337" t="s">
        <v>6</v>
      </c>
      <c r="BY471" s="337" t="s">
        <v>426</v>
      </c>
      <c r="BZ471" s="337"/>
      <c r="CB471" s="337" t="s">
        <v>6</v>
      </c>
      <c r="CC471" s="337">
        <v>195145.6523011385</v>
      </c>
      <c r="CD471" s="337">
        <v>2371444890.9264798</v>
      </c>
      <c r="CE471" s="313" t="s">
        <v>11891</v>
      </c>
    </row>
    <row r="472" spans="1:83" ht="15" x14ac:dyDescent="0.25">
      <c r="A472" s="337" t="s">
        <v>659</v>
      </c>
      <c r="B472" s="337" t="s">
        <v>660</v>
      </c>
      <c r="C472" s="337" t="s">
        <v>661</v>
      </c>
      <c r="D472" s="337">
        <v>9</v>
      </c>
      <c r="E472" s="337" t="s">
        <v>416</v>
      </c>
      <c r="F472" s="337" t="s">
        <v>649</v>
      </c>
      <c r="G472" s="337" t="s">
        <v>529</v>
      </c>
      <c r="H472" s="337" t="s">
        <v>662</v>
      </c>
      <c r="I472" s="337" t="s">
        <v>651</v>
      </c>
      <c r="J472" s="337" t="s">
        <v>652</v>
      </c>
      <c r="K472" s="337" t="s">
        <v>427</v>
      </c>
      <c r="L472" s="337">
        <v>773.5640869140625</v>
      </c>
      <c r="M472" s="337" t="s">
        <v>5</v>
      </c>
      <c r="N472" s="337" t="s">
        <v>5</v>
      </c>
      <c r="O472" s="337" t="s">
        <v>5</v>
      </c>
      <c r="P472" s="337" t="s">
        <v>5</v>
      </c>
      <c r="Q472" s="337" t="s">
        <v>5</v>
      </c>
      <c r="R472" s="337" t="s">
        <v>654</v>
      </c>
      <c r="S472" s="337" t="s">
        <v>655</v>
      </c>
      <c r="T472" s="337" t="s">
        <v>5</v>
      </c>
      <c r="U472" s="337" t="s">
        <v>4</v>
      </c>
      <c r="V472" s="337">
        <v>100000</v>
      </c>
      <c r="W472" s="337">
        <v>75000</v>
      </c>
      <c r="X472" s="337" t="s">
        <v>6</v>
      </c>
      <c r="Y472" s="337"/>
      <c r="Z472" s="337"/>
      <c r="AA472" s="337">
        <v>64306.2578125</v>
      </c>
      <c r="AB472" s="337">
        <v>37.270698547363281</v>
      </c>
      <c r="AC472" s="337">
        <v>64306.2578125</v>
      </c>
      <c r="AD472" s="337">
        <v>23</v>
      </c>
      <c r="AE472" s="337">
        <v>6</v>
      </c>
      <c r="AF472" s="337">
        <v>12</v>
      </c>
      <c r="AG472" s="337">
        <v>17</v>
      </c>
      <c r="AH472" s="337">
        <v>53</v>
      </c>
      <c r="AI472" s="337">
        <v>53</v>
      </c>
      <c r="AJ472" s="337">
        <v>0</v>
      </c>
      <c r="AK472" s="337">
        <v>0</v>
      </c>
      <c r="AL472" s="337">
        <v>144</v>
      </c>
      <c r="AM472" s="337">
        <v>0</v>
      </c>
      <c r="AN472" s="337">
        <v>15614.3564453125</v>
      </c>
      <c r="AO472" s="337"/>
      <c r="AP472" s="337"/>
      <c r="AQ472" s="337"/>
      <c r="AR472" s="337">
        <v>6</v>
      </c>
      <c r="AS472" s="337">
        <v>6</v>
      </c>
      <c r="AT472" s="337">
        <v>1</v>
      </c>
      <c r="AU472" s="337">
        <v>3</v>
      </c>
      <c r="AV472" s="337">
        <v>13</v>
      </c>
      <c r="AW472" s="337">
        <v>0</v>
      </c>
      <c r="AX472" s="337">
        <v>0</v>
      </c>
      <c r="AY472" s="337">
        <v>36</v>
      </c>
      <c r="AZ472" s="337">
        <v>0</v>
      </c>
      <c r="BA472" s="337">
        <v>3903.589111328125</v>
      </c>
      <c r="BB472" s="337"/>
      <c r="BC472" s="337"/>
      <c r="BD472" s="337"/>
      <c r="BE472" s="337">
        <v>25000</v>
      </c>
      <c r="BF472" s="337" t="s">
        <v>425</v>
      </c>
      <c r="BG472" s="337" t="s">
        <v>5</v>
      </c>
      <c r="BH472" s="337" t="s">
        <v>1020</v>
      </c>
      <c r="BI472" s="337"/>
      <c r="BJ472" s="337" t="s">
        <v>5</v>
      </c>
      <c r="BK472" s="337"/>
      <c r="BL472" s="337">
        <v>0</v>
      </c>
      <c r="BM472" s="337"/>
      <c r="BN472" s="337" t="s">
        <v>5</v>
      </c>
      <c r="BO472" s="337"/>
      <c r="BP472" s="337"/>
      <c r="BQ472" s="337"/>
      <c r="BR472" s="337"/>
      <c r="BS472" s="337" t="s">
        <v>5</v>
      </c>
      <c r="BT472" s="337"/>
      <c r="BU472" s="337"/>
      <c r="BV472" s="337"/>
      <c r="BW472" s="337"/>
      <c r="BX472" s="337" t="s">
        <v>6</v>
      </c>
      <c r="BY472" s="337" t="s">
        <v>426</v>
      </c>
      <c r="BZ472" s="337"/>
      <c r="CB472" s="337" t="s">
        <v>5</v>
      </c>
      <c r="CC472" s="337">
        <v>179689.73689994271</v>
      </c>
      <c r="CD472" s="337">
        <v>2003521739.1468949</v>
      </c>
      <c r="CE472" s="313" t="s">
        <v>11891</v>
      </c>
    </row>
    <row r="473" spans="1:83" ht="15" x14ac:dyDescent="0.25">
      <c r="A473" s="337" t="s">
        <v>759</v>
      </c>
      <c r="B473" s="337" t="s">
        <v>760</v>
      </c>
      <c r="C473" s="337" t="s">
        <v>761</v>
      </c>
      <c r="D473" s="337">
        <v>9</v>
      </c>
      <c r="E473" s="337" t="s">
        <v>416</v>
      </c>
      <c r="F473" s="337" t="s">
        <v>750</v>
      </c>
      <c r="G473" s="337" t="s">
        <v>751</v>
      </c>
      <c r="H473" s="337" t="s">
        <v>752</v>
      </c>
      <c r="I473" s="337" t="s">
        <v>752</v>
      </c>
      <c r="J473" s="337" t="s">
        <v>753</v>
      </c>
      <c r="K473" s="337" t="s">
        <v>427</v>
      </c>
      <c r="L473" s="337">
        <v>1047.468383789062</v>
      </c>
      <c r="M473" s="337" t="s">
        <v>5</v>
      </c>
      <c r="N473" s="337" t="s">
        <v>5</v>
      </c>
      <c r="O473" s="337" t="s">
        <v>5</v>
      </c>
      <c r="P473" s="337" t="s">
        <v>5</v>
      </c>
      <c r="Q473" s="337" t="s">
        <v>5</v>
      </c>
      <c r="R473" s="337" t="s">
        <v>755</v>
      </c>
      <c r="S473" s="337" t="s">
        <v>756</v>
      </c>
      <c r="T473" s="337" t="s">
        <v>5</v>
      </c>
      <c r="U473" s="337" t="s">
        <v>4</v>
      </c>
      <c r="V473" s="337">
        <v>100000</v>
      </c>
      <c r="W473" s="337">
        <v>75000</v>
      </c>
      <c r="X473" s="337" t="s">
        <v>6</v>
      </c>
      <c r="Y473" s="337"/>
      <c r="Z473" s="337"/>
      <c r="AA473" s="337">
        <v>133921.59375</v>
      </c>
      <c r="AB473" s="337">
        <v>23.76076698303223</v>
      </c>
      <c r="AC473" s="337">
        <v>133921.59375</v>
      </c>
      <c r="AD473" s="337">
        <v>354</v>
      </c>
      <c r="AE473" s="337">
        <v>129</v>
      </c>
      <c r="AF473" s="337">
        <v>104</v>
      </c>
      <c r="AG473" s="337">
        <v>149</v>
      </c>
      <c r="AH473" s="337">
        <v>235</v>
      </c>
      <c r="AI473" s="337">
        <v>235</v>
      </c>
      <c r="AJ473" s="337">
        <v>0</v>
      </c>
      <c r="AK473" s="337">
        <v>8</v>
      </c>
      <c r="AL473" s="337">
        <v>48</v>
      </c>
      <c r="AM473" s="337">
        <v>0</v>
      </c>
      <c r="AN473" s="337">
        <v>2458.436279296875</v>
      </c>
      <c r="AO473" s="337"/>
      <c r="AP473" s="337"/>
      <c r="AQ473" s="337"/>
      <c r="AR473" s="337">
        <v>89</v>
      </c>
      <c r="AS473" s="337">
        <v>89</v>
      </c>
      <c r="AT473" s="337">
        <v>32</v>
      </c>
      <c r="AU473" s="337">
        <v>26</v>
      </c>
      <c r="AV473" s="337">
        <v>72</v>
      </c>
      <c r="AW473" s="337">
        <v>0</v>
      </c>
      <c r="AX473" s="337">
        <v>2</v>
      </c>
      <c r="AY473" s="337">
        <v>12</v>
      </c>
      <c r="AZ473" s="337">
        <v>0</v>
      </c>
      <c r="BA473" s="337">
        <v>614.60906982421875</v>
      </c>
      <c r="BB473" s="337"/>
      <c r="BC473" s="337"/>
      <c r="BD473" s="337"/>
      <c r="BE473" s="337">
        <v>25000</v>
      </c>
      <c r="BF473" s="337" t="s">
        <v>425</v>
      </c>
      <c r="BG473" s="337" t="s">
        <v>5</v>
      </c>
      <c r="BH473" s="337" t="s">
        <v>1020</v>
      </c>
      <c r="BI473" s="337"/>
      <c r="BJ473" s="337" t="s">
        <v>5</v>
      </c>
      <c r="BK473" s="337"/>
      <c r="BL473" s="337">
        <v>0</v>
      </c>
      <c r="BM473" s="337"/>
      <c r="BN473" s="337" t="s">
        <v>5</v>
      </c>
      <c r="BO473" s="337"/>
      <c r="BP473" s="337"/>
      <c r="BQ473" s="337"/>
      <c r="BR473" s="337"/>
      <c r="BS473" s="337" t="s">
        <v>5</v>
      </c>
      <c r="BT473" s="337"/>
      <c r="BU473" s="337"/>
      <c r="BV473" s="337"/>
      <c r="BW473" s="337"/>
      <c r="BX473" s="337" t="s">
        <v>6</v>
      </c>
      <c r="BY473" s="337" t="s">
        <v>426</v>
      </c>
      <c r="BZ473" s="337"/>
      <c r="CB473" s="337" t="s">
        <v>5</v>
      </c>
      <c r="CC473" s="337">
        <v>208505.11032665081</v>
      </c>
      <c r="CD473" s="337">
        <v>2712930682.9111571</v>
      </c>
      <c r="CE473" s="313" t="s">
        <v>11891</v>
      </c>
    </row>
    <row r="474" spans="1:83" ht="15" x14ac:dyDescent="0.25">
      <c r="A474" s="337" t="s">
        <v>819</v>
      </c>
      <c r="B474" s="337" t="s">
        <v>820</v>
      </c>
      <c r="C474" s="337" t="s">
        <v>821</v>
      </c>
      <c r="D474" s="337">
        <v>9</v>
      </c>
      <c r="E474" s="337" t="s">
        <v>416</v>
      </c>
      <c r="F474" s="337" t="s">
        <v>691</v>
      </c>
      <c r="G474" s="337" t="s">
        <v>817</v>
      </c>
      <c r="H474" s="337" t="s">
        <v>818</v>
      </c>
      <c r="I474" s="337" t="s">
        <v>818</v>
      </c>
      <c r="J474" s="337" t="s">
        <v>692</v>
      </c>
      <c r="K474" s="337" t="s">
        <v>422</v>
      </c>
      <c r="L474" s="337">
        <v>1052.472900390625</v>
      </c>
      <c r="M474" s="337" t="s">
        <v>5</v>
      </c>
      <c r="N474" s="337" t="s">
        <v>5</v>
      </c>
      <c r="O474" s="337" t="s">
        <v>5</v>
      </c>
      <c r="P474" s="337" t="s">
        <v>5</v>
      </c>
      <c r="Q474" s="337" t="s">
        <v>5</v>
      </c>
      <c r="R474" s="337" t="s">
        <v>693</v>
      </c>
      <c r="S474" s="337" t="s">
        <v>694</v>
      </c>
      <c r="T474" s="337" t="s">
        <v>5</v>
      </c>
      <c r="U474" s="337" t="s">
        <v>4</v>
      </c>
      <c r="V474" s="337">
        <v>100000</v>
      </c>
      <c r="W474" s="337">
        <v>75000</v>
      </c>
      <c r="X474" s="337" t="s">
        <v>6</v>
      </c>
      <c r="Y474" s="337"/>
      <c r="Z474" s="337"/>
      <c r="AA474" s="337">
        <v>128592.46875</v>
      </c>
      <c r="AB474" s="337">
        <v>35.382354736328118</v>
      </c>
      <c r="AC474" s="337">
        <v>128592.46875</v>
      </c>
      <c r="AD474" s="337">
        <v>164</v>
      </c>
      <c r="AE474" s="337">
        <v>68</v>
      </c>
      <c r="AF474" s="337">
        <v>41</v>
      </c>
      <c r="AG474" s="337">
        <v>172</v>
      </c>
      <c r="AH474" s="337">
        <v>178</v>
      </c>
      <c r="AI474" s="337">
        <v>178</v>
      </c>
      <c r="AJ474" s="337">
        <v>0</v>
      </c>
      <c r="AK474" s="337">
        <v>18</v>
      </c>
      <c r="AL474" s="337">
        <v>125</v>
      </c>
      <c r="AM474" s="337">
        <v>0</v>
      </c>
      <c r="AN474" s="337">
        <v>39209.76953125</v>
      </c>
      <c r="AO474" s="337"/>
      <c r="AP474" s="337"/>
      <c r="AQ474" s="337"/>
      <c r="AR474" s="337">
        <v>41</v>
      </c>
      <c r="AS474" s="337">
        <v>41</v>
      </c>
      <c r="AT474" s="337">
        <v>17</v>
      </c>
      <c r="AU474" s="337">
        <v>10</v>
      </c>
      <c r="AV474" s="337">
        <v>62</v>
      </c>
      <c r="AW474" s="337">
        <v>0</v>
      </c>
      <c r="AX474" s="337">
        <v>4</v>
      </c>
      <c r="AY474" s="337">
        <v>31</v>
      </c>
      <c r="AZ474" s="337">
        <v>0</v>
      </c>
      <c r="BA474" s="337">
        <v>9802.4423828125</v>
      </c>
      <c r="BB474" s="337"/>
      <c r="BC474" s="337"/>
      <c r="BD474" s="337"/>
      <c r="BE474" s="337">
        <v>25000</v>
      </c>
      <c r="BF474" s="337" t="s">
        <v>425</v>
      </c>
      <c r="BG474" s="337" t="s">
        <v>5</v>
      </c>
      <c r="BH474" s="337" t="s">
        <v>1020</v>
      </c>
      <c r="BI474" s="337"/>
      <c r="BJ474" s="337" t="s">
        <v>5</v>
      </c>
      <c r="BK474" s="337"/>
      <c r="BL474" s="337">
        <v>0</v>
      </c>
      <c r="BM474" s="337"/>
      <c r="BN474" s="337" t="s">
        <v>5</v>
      </c>
      <c r="BO474" s="337"/>
      <c r="BP474" s="337"/>
      <c r="BQ474" s="337"/>
      <c r="BR474" s="337"/>
      <c r="BS474" s="337" t="s">
        <v>5</v>
      </c>
      <c r="BT474" s="337"/>
      <c r="BU474" s="337"/>
      <c r="BV474" s="337"/>
      <c r="BW474" s="337"/>
      <c r="BX474" s="337" t="s">
        <v>6</v>
      </c>
      <c r="BY474" s="337" t="s">
        <v>426</v>
      </c>
      <c r="BZ474" s="337"/>
      <c r="CB474" s="337" t="s">
        <v>5</v>
      </c>
      <c r="CC474" s="337">
        <v>209051.31353958411</v>
      </c>
      <c r="CD474" s="337">
        <v>2725892250.830832</v>
      </c>
      <c r="CE474" s="313" t="s">
        <v>11891</v>
      </c>
    </row>
    <row r="475" spans="1:83" ht="15" x14ac:dyDescent="0.25">
      <c r="A475" s="337" t="s">
        <v>874</v>
      </c>
      <c r="B475" s="337" t="s">
        <v>875</v>
      </c>
      <c r="C475" s="337" t="s">
        <v>499</v>
      </c>
      <c r="D475" s="337">
        <v>9</v>
      </c>
      <c r="E475" s="337" t="s">
        <v>416</v>
      </c>
      <c r="F475" s="337" t="s">
        <v>504</v>
      </c>
      <c r="G475" s="337" t="s">
        <v>876</v>
      </c>
      <c r="H475" s="337" t="s">
        <v>506</v>
      </c>
      <c r="I475" s="337" t="s">
        <v>506</v>
      </c>
      <c r="J475" s="337" t="s">
        <v>507</v>
      </c>
      <c r="K475" s="337" t="s">
        <v>422</v>
      </c>
      <c r="L475" s="337">
        <v>1495.205688476562</v>
      </c>
      <c r="M475" s="337" t="s">
        <v>6</v>
      </c>
      <c r="N475" s="337" t="s">
        <v>5</v>
      </c>
      <c r="O475" s="337" t="s">
        <v>6</v>
      </c>
      <c r="P475" s="337" t="s">
        <v>5</v>
      </c>
      <c r="Q475" s="337" t="s">
        <v>5</v>
      </c>
      <c r="R475" s="337" t="s">
        <v>508</v>
      </c>
      <c r="S475" s="337" t="s">
        <v>509</v>
      </c>
      <c r="T475" s="337" t="s">
        <v>5</v>
      </c>
      <c r="U475" s="337" t="s">
        <v>4</v>
      </c>
      <c r="V475" s="337">
        <v>100000</v>
      </c>
      <c r="W475" s="337">
        <v>75000</v>
      </c>
      <c r="X475" s="337" t="s">
        <v>6</v>
      </c>
      <c r="Y475" s="337"/>
      <c r="Z475" s="337"/>
      <c r="AA475" s="337">
        <v>210177.90625</v>
      </c>
      <c r="AB475" s="337">
        <v>109.97397613525391</v>
      </c>
      <c r="AC475" s="337">
        <v>210177.90625</v>
      </c>
      <c r="AD475" s="337">
        <v>959</v>
      </c>
      <c r="AE475" s="337">
        <v>704</v>
      </c>
      <c r="AF475" s="337">
        <v>763</v>
      </c>
      <c r="AG475" s="337">
        <v>1154</v>
      </c>
      <c r="AH475" s="337">
        <v>1463</v>
      </c>
      <c r="AI475" s="337">
        <v>1463</v>
      </c>
      <c r="AJ475" s="337">
        <v>0</v>
      </c>
      <c r="AK475" s="337">
        <v>3</v>
      </c>
      <c r="AL475" s="337">
        <v>173</v>
      </c>
      <c r="AM475" s="337">
        <v>0</v>
      </c>
      <c r="AN475" s="337">
        <v>7785.767578125</v>
      </c>
      <c r="AO475" s="337"/>
      <c r="AP475" s="337"/>
      <c r="AQ475" s="337"/>
      <c r="AR475" s="337">
        <v>240</v>
      </c>
      <c r="AS475" s="337">
        <v>240</v>
      </c>
      <c r="AT475" s="337">
        <v>176</v>
      </c>
      <c r="AU475" s="337">
        <v>190</v>
      </c>
      <c r="AV475" s="337">
        <v>558</v>
      </c>
      <c r="AW475" s="337">
        <v>0</v>
      </c>
      <c r="AX475" s="337">
        <v>0</v>
      </c>
      <c r="AY475" s="337">
        <v>43</v>
      </c>
      <c r="AZ475" s="337">
        <v>0</v>
      </c>
      <c r="BA475" s="337">
        <v>1946.44189453125</v>
      </c>
      <c r="BB475" s="337"/>
      <c r="BC475" s="337"/>
      <c r="BD475" s="337"/>
      <c r="BE475" s="337">
        <v>25000</v>
      </c>
      <c r="BF475" s="337" t="s">
        <v>425</v>
      </c>
      <c r="BG475" s="337" t="s">
        <v>5</v>
      </c>
      <c r="BH475" s="337" t="s">
        <v>1020</v>
      </c>
      <c r="BI475" s="337"/>
      <c r="BJ475" s="337" t="s">
        <v>5</v>
      </c>
      <c r="BK475" s="337"/>
      <c r="BL475" s="337">
        <v>0</v>
      </c>
      <c r="BM475" s="337"/>
      <c r="BN475" s="337" t="s">
        <v>5</v>
      </c>
      <c r="BO475" s="337"/>
      <c r="BP475" s="337"/>
      <c r="BQ475" s="337"/>
      <c r="BR475" s="337"/>
      <c r="BS475" s="337" t="s">
        <v>5</v>
      </c>
      <c r="BT475" s="337"/>
      <c r="BU475" s="337"/>
      <c r="BV475" s="337"/>
      <c r="BW475" s="337"/>
      <c r="BX475" s="337" t="s">
        <v>6</v>
      </c>
      <c r="BY475" s="337" t="s">
        <v>426</v>
      </c>
      <c r="BZ475" s="337"/>
      <c r="CB475" s="337" t="s">
        <v>5</v>
      </c>
      <c r="CC475" s="337">
        <v>257018.19963291299</v>
      </c>
      <c r="CD475" s="337">
        <v>3872565011.1597972</v>
      </c>
      <c r="CE475" s="313" t="s">
        <v>11891</v>
      </c>
    </row>
    <row r="476" spans="1:83" ht="15" x14ac:dyDescent="0.25">
      <c r="A476" s="337" t="s">
        <v>877</v>
      </c>
      <c r="B476" s="337" t="s">
        <v>878</v>
      </c>
      <c r="C476" s="337" t="s">
        <v>499</v>
      </c>
      <c r="D476" s="337">
        <v>9</v>
      </c>
      <c r="E476" s="337" t="s">
        <v>416</v>
      </c>
      <c r="F476" s="337" t="s">
        <v>879</v>
      </c>
      <c r="G476" s="337" t="s">
        <v>880</v>
      </c>
      <c r="H476" s="337" t="s">
        <v>881</v>
      </c>
      <c r="I476" s="337" t="s">
        <v>881</v>
      </c>
      <c r="J476" s="337" t="s">
        <v>882</v>
      </c>
      <c r="K476" s="337" t="s">
        <v>422</v>
      </c>
      <c r="L476" s="337">
        <v>898.32684326171875</v>
      </c>
      <c r="M476" s="337" t="s">
        <v>6</v>
      </c>
      <c r="N476" s="337" t="s">
        <v>5</v>
      </c>
      <c r="O476" s="337" t="s">
        <v>6</v>
      </c>
      <c r="P476" s="337" t="s">
        <v>5</v>
      </c>
      <c r="Q476" s="337" t="s">
        <v>5</v>
      </c>
      <c r="R476" s="337" t="s">
        <v>508</v>
      </c>
      <c r="S476" s="337" t="s">
        <v>883</v>
      </c>
      <c r="T476" s="337" t="s">
        <v>5</v>
      </c>
      <c r="U476" s="337" t="s">
        <v>4</v>
      </c>
      <c r="V476" s="337">
        <v>100000</v>
      </c>
      <c r="W476" s="337">
        <v>75000</v>
      </c>
      <c r="X476" s="337" t="s">
        <v>6</v>
      </c>
      <c r="Y476" s="337"/>
      <c r="Z476" s="337"/>
      <c r="AA476" s="337">
        <v>117458.3046875</v>
      </c>
      <c r="AB476" s="337">
        <v>59.326286315917969</v>
      </c>
      <c r="AC476" s="337">
        <v>117458.3046875</v>
      </c>
      <c r="AD476" s="337">
        <v>8432</v>
      </c>
      <c r="AE476" s="337">
        <v>4377</v>
      </c>
      <c r="AF476" s="337">
        <v>5663</v>
      </c>
      <c r="AG476" s="337">
        <v>23038</v>
      </c>
      <c r="AH476" s="337">
        <v>18316</v>
      </c>
      <c r="AI476" s="337">
        <v>23038</v>
      </c>
      <c r="AJ476" s="337">
        <v>22</v>
      </c>
      <c r="AK476" s="337">
        <v>28</v>
      </c>
      <c r="AL476" s="337">
        <v>290</v>
      </c>
      <c r="AM476" s="337">
        <v>0</v>
      </c>
      <c r="AN476" s="337">
        <v>8189.255859375</v>
      </c>
      <c r="AO476" s="337"/>
      <c r="AP476" s="337"/>
      <c r="AQ476" s="337"/>
      <c r="AR476" s="337">
        <v>2108</v>
      </c>
      <c r="AS476" s="337">
        <v>2108</v>
      </c>
      <c r="AT476" s="337">
        <v>1094</v>
      </c>
      <c r="AU476" s="337">
        <v>1415</v>
      </c>
      <c r="AV476" s="337">
        <v>9394</v>
      </c>
      <c r="AW476" s="337">
        <v>5</v>
      </c>
      <c r="AX476" s="337">
        <v>7</v>
      </c>
      <c r="AY476" s="337">
        <v>72</v>
      </c>
      <c r="AZ476" s="337">
        <v>0</v>
      </c>
      <c r="BA476" s="337">
        <v>2047.31396484375</v>
      </c>
      <c r="BB476" s="337"/>
      <c r="BC476" s="337"/>
      <c r="BD476" s="337"/>
      <c r="BE476" s="337">
        <v>25000</v>
      </c>
      <c r="BF476" s="337" t="s">
        <v>425</v>
      </c>
      <c r="BG476" s="337" t="s">
        <v>5</v>
      </c>
      <c r="BH476" s="337" t="s">
        <v>1020</v>
      </c>
      <c r="BI476" s="337"/>
      <c r="BJ476" s="337" t="s">
        <v>5</v>
      </c>
      <c r="BK476" s="337"/>
      <c r="BL476" s="337">
        <v>0</v>
      </c>
      <c r="BM476" s="337"/>
      <c r="BN476" s="337" t="s">
        <v>5</v>
      </c>
      <c r="BO476" s="337"/>
      <c r="BP476" s="337"/>
      <c r="BQ476" s="337"/>
      <c r="BR476" s="337"/>
      <c r="BS476" s="337" t="s">
        <v>5</v>
      </c>
      <c r="BT476" s="337"/>
      <c r="BU476" s="337"/>
      <c r="BV476" s="337"/>
      <c r="BW476" s="337"/>
      <c r="BX476" s="337" t="s">
        <v>6</v>
      </c>
      <c r="BY476" s="337" t="s">
        <v>426</v>
      </c>
      <c r="BZ476" s="337"/>
      <c r="CB476" s="337" t="s">
        <v>5</v>
      </c>
      <c r="CC476" s="337">
        <v>192979.2576521021</v>
      </c>
      <c r="CD476" s="337">
        <v>2326655870.6298761</v>
      </c>
      <c r="CE476" s="313" t="s">
        <v>11891</v>
      </c>
    </row>
    <row r="477" spans="1:83" ht="15" x14ac:dyDescent="0.25">
      <c r="A477" s="337" t="s">
        <v>889</v>
      </c>
      <c r="B477" s="337" t="s">
        <v>890</v>
      </c>
      <c r="C477" s="337" t="s">
        <v>499</v>
      </c>
      <c r="D477" s="337">
        <v>9</v>
      </c>
      <c r="E477" s="337" t="s">
        <v>416</v>
      </c>
      <c r="F477" s="337" t="s">
        <v>721</v>
      </c>
      <c r="G477" s="337" t="s">
        <v>891</v>
      </c>
      <c r="H477" s="337" t="s">
        <v>892</v>
      </c>
      <c r="I477" s="337" t="s">
        <v>892</v>
      </c>
      <c r="J477" s="337" t="s">
        <v>893</v>
      </c>
      <c r="K477" s="337" t="s">
        <v>894</v>
      </c>
      <c r="L477" s="337">
        <v>924.57940673828125</v>
      </c>
      <c r="M477" s="337" t="s">
        <v>5</v>
      </c>
      <c r="N477" s="337" t="s">
        <v>5</v>
      </c>
      <c r="O477" s="337" t="s">
        <v>5</v>
      </c>
      <c r="P477" s="337" t="s">
        <v>5</v>
      </c>
      <c r="Q477" s="337" t="s">
        <v>5</v>
      </c>
      <c r="R477" s="337" t="s">
        <v>470</v>
      </c>
      <c r="S477" s="337" t="s">
        <v>470</v>
      </c>
      <c r="T477" s="337" t="s">
        <v>5</v>
      </c>
      <c r="U477" s="337" t="s">
        <v>4</v>
      </c>
      <c r="V477" s="337">
        <v>100000</v>
      </c>
      <c r="W477" s="337">
        <v>75000</v>
      </c>
      <c r="X477" s="337" t="s">
        <v>6</v>
      </c>
      <c r="Y477" s="337"/>
      <c r="Z477" s="337"/>
      <c r="AA477" s="337">
        <v>110299.9296875</v>
      </c>
      <c r="AB477" s="337">
        <v>22.855375289916989</v>
      </c>
      <c r="AC477" s="337">
        <v>110299.9296875</v>
      </c>
      <c r="AD477" s="337">
        <v>245</v>
      </c>
      <c r="AE477" s="337">
        <v>201</v>
      </c>
      <c r="AF477" s="337">
        <v>104</v>
      </c>
      <c r="AG477" s="337">
        <v>97</v>
      </c>
      <c r="AH477" s="337">
        <v>124</v>
      </c>
      <c r="AI477" s="337">
        <v>124</v>
      </c>
      <c r="AJ477" s="337">
        <v>0</v>
      </c>
      <c r="AK477" s="337">
        <v>14</v>
      </c>
      <c r="AL477" s="337">
        <v>55</v>
      </c>
      <c r="AM477" s="337">
        <v>0</v>
      </c>
      <c r="AN477" s="337">
        <v>5435.48291015625</v>
      </c>
      <c r="AO477" s="337"/>
      <c r="AP477" s="337"/>
      <c r="AQ477" s="337"/>
      <c r="AR477" s="337">
        <v>62</v>
      </c>
      <c r="AS477" s="337">
        <v>62</v>
      </c>
      <c r="AT477" s="337">
        <v>50</v>
      </c>
      <c r="AU477" s="337">
        <v>26</v>
      </c>
      <c r="AV477" s="337">
        <v>43</v>
      </c>
      <c r="AW477" s="337">
        <v>0</v>
      </c>
      <c r="AX477" s="337">
        <v>3</v>
      </c>
      <c r="AY477" s="337">
        <v>14</v>
      </c>
      <c r="AZ477" s="337">
        <v>0</v>
      </c>
      <c r="BA477" s="337">
        <v>1358.870727539062</v>
      </c>
      <c r="BB477" s="337"/>
      <c r="BC477" s="337"/>
      <c r="BD477" s="337"/>
      <c r="BE477" s="337">
        <v>25000</v>
      </c>
      <c r="BF477" s="337" t="s">
        <v>425</v>
      </c>
      <c r="BG477" s="337" t="s">
        <v>5</v>
      </c>
      <c r="BH477" s="337" t="s">
        <v>1020</v>
      </c>
      <c r="BI477" s="337"/>
      <c r="BJ477" s="337" t="s">
        <v>5</v>
      </c>
      <c r="BK477" s="337"/>
      <c r="BL477" s="337">
        <v>0</v>
      </c>
      <c r="BM477" s="337"/>
      <c r="BN477" s="337" t="s">
        <v>5</v>
      </c>
      <c r="BO477" s="337"/>
      <c r="BP477" s="337"/>
      <c r="BQ477" s="337"/>
      <c r="BR477" s="337"/>
      <c r="BS477" s="337" t="s">
        <v>5</v>
      </c>
      <c r="BT477" s="337"/>
      <c r="BU477" s="337"/>
      <c r="BV477" s="337"/>
      <c r="BW477" s="337"/>
      <c r="BX477" s="337" t="s">
        <v>6</v>
      </c>
      <c r="BY477" s="337" t="s">
        <v>426</v>
      </c>
      <c r="BZ477" s="337"/>
      <c r="CB477" s="337" t="s">
        <v>5</v>
      </c>
      <c r="CC477" s="337">
        <v>197308.59617012131</v>
      </c>
      <c r="CD477" s="337">
        <v>2394649730.0583391</v>
      </c>
      <c r="CE477" s="313" t="s">
        <v>11891</v>
      </c>
    </row>
    <row r="478" spans="1:83" ht="15" x14ac:dyDescent="0.25">
      <c r="A478" s="337" t="s">
        <v>900</v>
      </c>
      <c r="B478" s="337" t="s">
        <v>901</v>
      </c>
      <c r="C478" s="337" t="s">
        <v>499</v>
      </c>
      <c r="D478" s="337">
        <v>9</v>
      </c>
      <c r="E478" s="337" t="s">
        <v>416</v>
      </c>
      <c r="F478" s="337" t="s">
        <v>666</v>
      </c>
      <c r="G478" s="337" t="s">
        <v>729</v>
      </c>
      <c r="H478" s="337" t="s">
        <v>730</v>
      </c>
      <c r="I478" s="337" t="s">
        <v>730</v>
      </c>
      <c r="J478" s="337" t="s">
        <v>893</v>
      </c>
      <c r="K478" s="337" t="s">
        <v>894</v>
      </c>
      <c r="L478" s="337">
        <v>988.8865966796875</v>
      </c>
      <c r="M478" s="337" t="s">
        <v>5</v>
      </c>
      <c r="N478" s="337" t="s">
        <v>5</v>
      </c>
      <c r="O478" s="337" t="s">
        <v>5</v>
      </c>
      <c r="P478" s="337" t="s">
        <v>5</v>
      </c>
      <c r="Q478" s="337" t="s">
        <v>5</v>
      </c>
      <c r="R478" s="337" t="s">
        <v>693</v>
      </c>
      <c r="S478" s="337" t="s">
        <v>693</v>
      </c>
      <c r="T478" s="337" t="s">
        <v>5</v>
      </c>
      <c r="U478" s="337" t="s">
        <v>4</v>
      </c>
      <c r="V478" s="337">
        <v>100000</v>
      </c>
      <c r="W478" s="337">
        <v>75000</v>
      </c>
      <c r="X478" s="337" t="s">
        <v>6</v>
      </c>
      <c r="Y478" s="337"/>
      <c r="Z478" s="337"/>
      <c r="AA478" s="337">
        <v>57587.33203125</v>
      </c>
      <c r="AB478" s="337">
        <v>14.754075050354</v>
      </c>
      <c r="AC478" s="337">
        <v>57587.33203125</v>
      </c>
      <c r="AD478" s="337">
        <v>103</v>
      </c>
      <c r="AE478" s="337">
        <v>63</v>
      </c>
      <c r="AF478" s="337">
        <v>52</v>
      </c>
      <c r="AG478" s="337">
        <v>16</v>
      </c>
      <c r="AH478" s="337">
        <v>77</v>
      </c>
      <c r="AI478" s="337">
        <v>77</v>
      </c>
      <c r="AJ478" s="337">
        <v>0</v>
      </c>
      <c r="AK478" s="337">
        <v>4</v>
      </c>
      <c r="AL478" s="337">
        <v>24</v>
      </c>
      <c r="AM478" s="337">
        <v>0</v>
      </c>
      <c r="AN478" s="337">
        <v>12259.0703125</v>
      </c>
      <c r="AO478" s="337"/>
      <c r="AP478" s="337"/>
      <c r="AQ478" s="337"/>
      <c r="AR478" s="337">
        <v>26</v>
      </c>
      <c r="AS478" s="337">
        <v>26</v>
      </c>
      <c r="AT478" s="337">
        <v>15</v>
      </c>
      <c r="AU478" s="337">
        <v>13</v>
      </c>
      <c r="AV478" s="337">
        <v>19</v>
      </c>
      <c r="AW478" s="337">
        <v>0</v>
      </c>
      <c r="AX478" s="337">
        <v>1</v>
      </c>
      <c r="AY478" s="337">
        <v>6</v>
      </c>
      <c r="AZ478" s="337">
        <v>0</v>
      </c>
      <c r="BA478" s="337">
        <v>3064.767578125</v>
      </c>
      <c r="BB478" s="337"/>
      <c r="BC478" s="337"/>
      <c r="BD478" s="337"/>
      <c r="BE478" s="337">
        <v>25000</v>
      </c>
      <c r="BF478" s="337" t="s">
        <v>425</v>
      </c>
      <c r="BG478" s="337" t="s">
        <v>5</v>
      </c>
      <c r="BH478" s="337" t="s">
        <v>1020</v>
      </c>
      <c r="BI478" s="337"/>
      <c r="BJ478" s="337" t="s">
        <v>5</v>
      </c>
      <c r="BK478" s="337"/>
      <c r="BL478" s="337">
        <v>0</v>
      </c>
      <c r="BM478" s="337"/>
      <c r="BN478" s="337" t="s">
        <v>5</v>
      </c>
      <c r="BO478" s="337"/>
      <c r="BP478" s="337"/>
      <c r="BQ478" s="337"/>
      <c r="BR478" s="337"/>
      <c r="BS478" s="337" t="s">
        <v>5</v>
      </c>
      <c r="BT478" s="337"/>
      <c r="BU478" s="337"/>
      <c r="BV478" s="337"/>
      <c r="BW478" s="337"/>
      <c r="BX478" s="337" t="s">
        <v>6</v>
      </c>
      <c r="BY478" s="337" t="s">
        <v>426</v>
      </c>
      <c r="BZ478" s="337"/>
      <c r="CB478" s="337" t="s">
        <v>5</v>
      </c>
      <c r="CC478" s="337">
        <v>221910.61929789599</v>
      </c>
      <c r="CD478" s="337">
        <v>2561204481.1264138</v>
      </c>
      <c r="CE478" s="313" t="s">
        <v>11891</v>
      </c>
    </row>
    <row r="479" spans="1:83" ht="15" x14ac:dyDescent="0.25">
      <c r="A479" s="337" t="s">
        <v>910</v>
      </c>
      <c r="B479" s="337" t="s">
        <v>911</v>
      </c>
      <c r="C479" s="337" t="s">
        <v>912</v>
      </c>
      <c r="D479" s="337">
        <v>9</v>
      </c>
      <c r="E479" s="337" t="s">
        <v>416</v>
      </c>
      <c r="F479" s="337" t="s">
        <v>735</v>
      </c>
      <c r="G479" s="337" t="s">
        <v>913</v>
      </c>
      <c r="H479" s="337" t="s">
        <v>737</v>
      </c>
      <c r="I479" s="337" t="s">
        <v>738</v>
      </c>
      <c r="J479" s="337" t="s">
        <v>893</v>
      </c>
      <c r="K479" s="337" t="s">
        <v>894</v>
      </c>
      <c r="L479" s="337">
        <v>2797.10546875</v>
      </c>
      <c r="M479" s="337" t="s">
        <v>5</v>
      </c>
      <c r="N479" s="337" t="s">
        <v>5</v>
      </c>
      <c r="O479" s="337" t="s">
        <v>5</v>
      </c>
      <c r="P479" s="337" t="s">
        <v>5</v>
      </c>
      <c r="Q479" s="337" t="s">
        <v>5</v>
      </c>
      <c r="R479" s="337" t="s">
        <v>914</v>
      </c>
      <c r="S479" s="337" t="s">
        <v>914</v>
      </c>
      <c r="T479" s="337" t="s">
        <v>5</v>
      </c>
      <c r="U479" s="337" t="s">
        <v>4</v>
      </c>
      <c r="V479" s="337">
        <v>100000</v>
      </c>
      <c r="W479" s="337">
        <v>75000</v>
      </c>
      <c r="X479" s="337" t="s">
        <v>6</v>
      </c>
      <c r="Y479" s="337"/>
      <c r="Z479" s="337"/>
      <c r="AA479" s="337">
        <v>7259.15771484375</v>
      </c>
      <c r="AB479" s="337">
        <v>1.5286275148391719</v>
      </c>
      <c r="AC479" s="337">
        <v>7259.15771484375</v>
      </c>
      <c r="AD479" s="337">
        <v>9</v>
      </c>
      <c r="AE479" s="337">
        <v>1</v>
      </c>
      <c r="AF479" s="337">
        <v>9</v>
      </c>
      <c r="AG479" s="337">
        <v>99</v>
      </c>
      <c r="AH479" s="337">
        <v>99</v>
      </c>
      <c r="AI479" s="337">
        <v>99</v>
      </c>
      <c r="AJ479" s="337">
        <v>0</v>
      </c>
      <c r="AK479" s="337">
        <v>0</v>
      </c>
      <c r="AL479" s="337">
        <v>1</v>
      </c>
      <c r="AM479" s="337">
        <v>0</v>
      </c>
      <c r="AN479" s="337">
        <v>5.3486952781677246</v>
      </c>
      <c r="AO479" s="337"/>
      <c r="AP479" s="337"/>
      <c r="AQ479" s="337"/>
      <c r="AR479" s="337">
        <v>3</v>
      </c>
      <c r="AS479" s="337">
        <v>3</v>
      </c>
      <c r="AT479" s="337">
        <v>0</v>
      </c>
      <c r="AU479" s="337">
        <v>2</v>
      </c>
      <c r="AV479" s="337">
        <v>24</v>
      </c>
      <c r="AW479" s="337">
        <v>0</v>
      </c>
      <c r="AX479" s="337">
        <v>0</v>
      </c>
      <c r="AY479" s="337">
        <v>0</v>
      </c>
      <c r="AZ479" s="337">
        <v>0</v>
      </c>
      <c r="BA479" s="337">
        <v>1.3371738195419309</v>
      </c>
      <c r="BB479" s="337"/>
      <c r="BC479" s="337"/>
      <c r="BD479" s="337"/>
      <c r="BE479" s="337">
        <v>25000</v>
      </c>
      <c r="BF479" s="337" t="s">
        <v>425</v>
      </c>
      <c r="BG479" s="337" t="s">
        <v>5</v>
      </c>
      <c r="BH479" s="337" t="s">
        <v>1020</v>
      </c>
      <c r="BI479" s="337"/>
      <c r="BJ479" s="337" t="s">
        <v>5</v>
      </c>
      <c r="BK479" s="337"/>
      <c r="BL479" s="337">
        <v>0</v>
      </c>
      <c r="BM479" s="337"/>
      <c r="BN479" s="337" t="s">
        <v>5</v>
      </c>
      <c r="BO479" s="337"/>
      <c r="BP479" s="337"/>
      <c r="BQ479" s="337"/>
      <c r="BR479" s="337"/>
      <c r="BS479" s="337" t="s">
        <v>5</v>
      </c>
      <c r="BT479" s="337"/>
      <c r="BU479" s="337"/>
      <c r="BV479" s="337"/>
      <c r="BW479" s="337"/>
      <c r="BX479" s="337" t="s">
        <v>6</v>
      </c>
      <c r="BY479" s="337" t="s">
        <v>426</v>
      </c>
      <c r="BZ479" s="337"/>
      <c r="CB479" s="337" t="s">
        <v>5</v>
      </c>
      <c r="CC479" s="337">
        <v>511223.45499609248</v>
      </c>
      <c r="CD479" s="337">
        <v>7244469860.0103054</v>
      </c>
      <c r="CE479" s="313" t="s">
        <v>11891</v>
      </c>
    </row>
    <row r="480" spans="1:83" ht="15" x14ac:dyDescent="0.25">
      <c r="A480" s="337" t="s">
        <v>915</v>
      </c>
      <c r="B480" s="337" t="s">
        <v>916</v>
      </c>
      <c r="C480" s="337" t="s">
        <v>499</v>
      </c>
      <c r="D480" s="337">
        <v>9</v>
      </c>
      <c r="E480" s="337" t="s">
        <v>416</v>
      </c>
      <c r="F480" s="337" t="s">
        <v>784</v>
      </c>
      <c r="G480" s="337" t="s">
        <v>785</v>
      </c>
      <c r="H480" s="337" t="s">
        <v>796</v>
      </c>
      <c r="I480" s="337" t="s">
        <v>796</v>
      </c>
      <c r="J480" s="337" t="s">
        <v>797</v>
      </c>
      <c r="K480" s="337" t="s">
        <v>894</v>
      </c>
      <c r="L480" s="337">
        <v>1170.904541015625</v>
      </c>
      <c r="M480" s="337" t="s">
        <v>5</v>
      </c>
      <c r="N480" s="337" t="s">
        <v>5</v>
      </c>
      <c r="O480" s="337" t="s">
        <v>5</v>
      </c>
      <c r="P480" s="337" t="s">
        <v>5</v>
      </c>
      <c r="Q480" s="337" t="s">
        <v>5</v>
      </c>
      <c r="R480" s="337" t="s">
        <v>789</v>
      </c>
      <c r="S480" s="337" t="s">
        <v>789</v>
      </c>
      <c r="T480" s="337" t="s">
        <v>5</v>
      </c>
      <c r="U480" s="337" t="s">
        <v>4</v>
      </c>
      <c r="V480" s="337">
        <v>100000</v>
      </c>
      <c r="W480" s="337">
        <v>75000</v>
      </c>
      <c r="X480" s="337" t="s">
        <v>6</v>
      </c>
      <c r="Y480" s="337"/>
      <c r="Z480" s="337"/>
      <c r="AA480" s="337">
        <v>122272.0859375</v>
      </c>
      <c r="AB480" s="337">
        <v>59.778446197509773</v>
      </c>
      <c r="AC480" s="337">
        <v>122272.0859375</v>
      </c>
      <c r="AD480" s="337">
        <v>161</v>
      </c>
      <c r="AE480" s="337">
        <v>139</v>
      </c>
      <c r="AF480" s="337">
        <v>79</v>
      </c>
      <c r="AG480" s="337">
        <v>184</v>
      </c>
      <c r="AH480" s="337">
        <v>200</v>
      </c>
      <c r="AI480" s="337">
        <v>200</v>
      </c>
      <c r="AJ480" s="337">
        <v>0</v>
      </c>
      <c r="AK480" s="337">
        <v>2</v>
      </c>
      <c r="AL480" s="337">
        <v>39</v>
      </c>
      <c r="AM480" s="337">
        <v>0</v>
      </c>
      <c r="AN480" s="337">
        <v>13305.9736328125</v>
      </c>
      <c r="AO480" s="337"/>
      <c r="AP480" s="337"/>
      <c r="AQ480" s="337"/>
      <c r="AR480" s="337">
        <v>41</v>
      </c>
      <c r="AS480" s="337">
        <v>41</v>
      </c>
      <c r="AT480" s="337">
        <v>34</v>
      </c>
      <c r="AU480" s="337">
        <v>19</v>
      </c>
      <c r="AV480" s="337">
        <v>64</v>
      </c>
      <c r="AW480" s="337">
        <v>0</v>
      </c>
      <c r="AX480" s="337">
        <v>0</v>
      </c>
      <c r="AY480" s="337">
        <v>10</v>
      </c>
      <c r="AZ480" s="337">
        <v>0</v>
      </c>
      <c r="BA480" s="337">
        <v>3326.493408203125</v>
      </c>
      <c r="BB480" s="337"/>
      <c r="BC480" s="337"/>
      <c r="BD480" s="337"/>
      <c r="BE480" s="337">
        <v>25000</v>
      </c>
      <c r="BF480" s="337" t="s">
        <v>425</v>
      </c>
      <c r="BG480" s="337" t="s">
        <v>5</v>
      </c>
      <c r="BH480" s="337" t="s">
        <v>1020</v>
      </c>
      <c r="BI480" s="337"/>
      <c r="BJ480" s="337" t="s">
        <v>5</v>
      </c>
      <c r="BK480" s="337"/>
      <c r="BL480" s="337">
        <v>0</v>
      </c>
      <c r="BM480" s="337"/>
      <c r="BN480" s="337" t="s">
        <v>5</v>
      </c>
      <c r="BO480" s="337"/>
      <c r="BP480" s="337"/>
      <c r="BQ480" s="337"/>
      <c r="BR480" s="337"/>
      <c r="BS480" s="337" t="s">
        <v>5</v>
      </c>
      <c r="BT480" s="337"/>
      <c r="BU480" s="337"/>
      <c r="BV480" s="337"/>
      <c r="BW480" s="337"/>
      <c r="BX480" s="337" t="s">
        <v>6</v>
      </c>
      <c r="BY480" s="337" t="s">
        <v>426</v>
      </c>
      <c r="BZ480" s="337"/>
      <c r="CB480" s="337" t="s">
        <v>5</v>
      </c>
      <c r="CC480" s="337">
        <v>222400.7290281837</v>
      </c>
      <c r="CD480" s="337">
        <v>3032628721.5428848</v>
      </c>
      <c r="CE480" s="313" t="s">
        <v>11891</v>
      </c>
    </row>
    <row r="481" spans="1:83" ht="15" x14ac:dyDescent="0.25">
      <c r="A481" s="337" t="s">
        <v>923</v>
      </c>
      <c r="B481" s="337" t="s">
        <v>924</v>
      </c>
      <c r="C481" s="337" t="s">
        <v>499</v>
      </c>
      <c r="D481" s="337">
        <v>9</v>
      </c>
      <c r="E481" s="337" t="s">
        <v>416</v>
      </c>
      <c r="F481" s="337" t="s">
        <v>858</v>
      </c>
      <c r="G481" s="337" t="s">
        <v>922</v>
      </c>
      <c r="H481" s="337" t="s">
        <v>922</v>
      </c>
      <c r="I481" s="337" t="s">
        <v>922</v>
      </c>
      <c r="J481" s="337" t="s">
        <v>893</v>
      </c>
      <c r="K481" s="337" t="s">
        <v>894</v>
      </c>
      <c r="L481" s="337">
        <v>919.22491455078125</v>
      </c>
      <c r="M481" s="337" t="s">
        <v>5</v>
      </c>
      <c r="N481" s="337" t="s">
        <v>5</v>
      </c>
      <c r="O481" s="337" t="s">
        <v>5</v>
      </c>
      <c r="P481" s="337" t="s">
        <v>5</v>
      </c>
      <c r="Q481" s="337" t="s">
        <v>5</v>
      </c>
      <c r="R481" s="337" t="s">
        <v>862</v>
      </c>
      <c r="S481" s="337" t="s">
        <v>862</v>
      </c>
      <c r="T481" s="337" t="s">
        <v>5</v>
      </c>
      <c r="U481" s="337" t="s">
        <v>4</v>
      </c>
      <c r="V481" s="337">
        <v>100000</v>
      </c>
      <c r="W481" s="337">
        <v>75000</v>
      </c>
      <c r="X481" s="337" t="s">
        <v>6</v>
      </c>
      <c r="Y481" s="337"/>
      <c r="Z481" s="337"/>
      <c r="AA481" s="337">
        <v>103861.9375</v>
      </c>
      <c r="AB481" s="337">
        <v>18.578517913818359</v>
      </c>
      <c r="AC481" s="337">
        <v>103861.9375</v>
      </c>
      <c r="AD481" s="337">
        <v>179</v>
      </c>
      <c r="AE481" s="337">
        <v>77</v>
      </c>
      <c r="AF481" s="337">
        <v>97</v>
      </c>
      <c r="AG481" s="337">
        <v>180</v>
      </c>
      <c r="AH481" s="337">
        <v>133</v>
      </c>
      <c r="AI481" s="337">
        <v>180</v>
      </c>
      <c r="AJ481" s="337">
        <v>0</v>
      </c>
      <c r="AK481" s="337">
        <v>7</v>
      </c>
      <c r="AL481" s="337">
        <v>30</v>
      </c>
      <c r="AM481" s="337">
        <v>0</v>
      </c>
      <c r="AN481" s="337">
        <v>2288.6865234375</v>
      </c>
      <c r="AO481" s="337"/>
      <c r="AP481" s="337"/>
      <c r="AQ481" s="337"/>
      <c r="AR481" s="337">
        <v>45</v>
      </c>
      <c r="AS481" s="337">
        <v>45</v>
      </c>
      <c r="AT481" s="337">
        <v>19</v>
      </c>
      <c r="AU481" s="337">
        <v>24</v>
      </c>
      <c r="AV481" s="337">
        <v>69</v>
      </c>
      <c r="AW481" s="337">
        <v>0</v>
      </c>
      <c r="AX481" s="337">
        <v>1</v>
      </c>
      <c r="AY481" s="337">
        <v>8</v>
      </c>
      <c r="AZ481" s="337">
        <v>0</v>
      </c>
      <c r="BA481" s="337">
        <v>572.171630859375</v>
      </c>
      <c r="BB481" s="337"/>
      <c r="BC481" s="337"/>
      <c r="BD481" s="337"/>
      <c r="BE481" s="337">
        <v>25000</v>
      </c>
      <c r="BF481" s="337" t="s">
        <v>425</v>
      </c>
      <c r="BG481" s="337" t="s">
        <v>5</v>
      </c>
      <c r="BH481" s="337" t="s">
        <v>1020</v>
      </c>
      <c r="BI481" s="337"/>
      <c r="BJ481" s="337" t="s">
        <v>5</v>
      </c>
      <c r="BK481" s="337"/>
      <c r="BL481" s="337">
        <v>0</v>
      </c>
      <c r="BM481" s="337"/>
      <c r="BN481" s="337" t="s">
        <v>5</v>
      </c>
      <c r="BO481" s="337"/>
      <c r="BP481" s="337"/>
      <c r="BQ481" s="337"/>
      <c r="BR481" s="337"/>
      <c r="BS481" s="337" t="s">
        <v>5</v>
      </c>
      <c r="BT481" s="337"/>
      <c r="BU481" s="337"/>
      <c r="BV481" s="337"/>
      <c r="BW481" s="337"/>
      <c r="BX481" s="337" t="s">
        <v>6</v>
      </c>
      <c r="BY481" s="337" t="s">
        <v>426</v>
      </c>
      <c r="BZ481" s="337"/>
      <c r="CB481" s="337" t="s">
        <v>5</v>
      </c>
      <c r="CC481" s="337">
        <v>201176.98625856661</v>
      </c>
      <c r="CD481" s="337">
        <v>2380781595.0409641</v>
      </c>
      <c r="CE481" s="313" t="s">
        <v>11891</v>
      </c>
    </row>
    <row r="482" spans="1:83" ht="15" x14ac:dyDescent="0.25">
      <c r="A482" s="337" t="s">
        <v>938</v>
      </c>
      <c r="B482" s="337" t="s">
        <v>939</v>
      </c>
      <c r="C482" s="337" t="s">
        <v>912</v>
      </c>
      <c r="D482" s="337">
        <v>9</v>
      </c>
      <c r="E482" s="337" t="s">
        <v>416</v>
      </c>
      <c r="F482" s="337" t="s">
        <v>671</v>
      </c>
      <c r="G482" s="337" t="s">
        <v>672</v>
      </c>
      <c r="H482" s="337" t="s">
        <v>940</v>
      </c>
      <c r="I482" s="337" t="s">
        <v>940</v>
      </c>
      <c r="J482" s="337" t="s">
        <v>893</v>
      </c>
      <c r="K482" s="337" t="s">
        <v>894</v>
      </c>
      <c r="L482" s="337">
        <v>899.61016845703125</v>
      </c>
      <c r="M482" s="337" t="s">
        <v>5</v>
      </c>
      <c r="N482" s="337" t="s">
        <v>5</v>
      </c>
      <c r="O482" s="337" t="s">
        <v>5</v>
      </c>
      <c r="P482" s="337" t="s">
        <v>5</v>
      </c>
      <c r="Q482" s="337" t="s">
        <v>5</v>
      </c>
      <c r="R482" s="337" t="s">
        <v>676</v>
      </c>
      <c r="S482" s="337" t="s">
        <v>676</v>
      </c>
      <c r="T482" s="337" t="s">
        <v>5</v>
      </c>
      <c r="U482" s="337" t="s">
        <v>4</v>
      </c>
      <c r="V482" s="337">
        <v>100000</v>
      </c>
      <c r="W482" s="337">
        <v>75000</v>
      </c>
      <c r="X482" s="337" t="s">
        <v>6</v>
      </c>
      <c r="Y482" s="337"/>
      <c r="Z482" s="337"/>
      <c r="AA482" s="337">
        <v>91524.15625</v>
      </c>
      <c r="AB482" s="337">
        <v>33.823604583740227</v>
      </c>
      <c r="AC482" s="337">
        <v>91524.15625</v>
      </c>
      <c r="AD482" s="337">
        <v>13045</v>
      </c>
      <c r="AE482" s="337">
        <v>5187</v>
      </c>
      <c r="AF482" s="337">
        <v>10079</v>
      </c>
      <c r="AG482" s="337">
        <v>32288</v>
      </c>
      <c r="AH482" s="337">
        <v>28757</v>
      </c>
      <c r="AI482" s="337">
        <v>32288</v>
      </c>
      <c r="AJ482" s="337">
        <v>13</v>
      </c>
      <c r="AK482" s="337">
        <v>34</v>
      </c>
      <c r="AL482" s="337">
        <v>306</v>
      </c>
      <c r="AM482" s="337">
        <v>0</v>
      </c>
      <c r="AN482" s="337">
        <v>150.4828796386719</v>
      </c>
      <c r="AO482" s="337"/>
      <c r="AP482" s="337"/>
      <c r="AQ482" s="337"/>
      <c r="AR482" s="337">
        <v>3261</v>
      </c>
      <c r="AS482" s="337">
        <v>3261</v>
      </c>
      <c r="AT482" s="337">
        <v>1296</v>
      </c>
      <c r="AU482" s="337">
        <v>2519</v>
      </c>
      <c r="AV482" s="337">
        <v>13281</v>
      </c>
      <c r="AW482" s="337">
        <v>3</v>
      </c>
      <c r="AX482" s="337">
        <v>8</v>
      </c>
      <c r="AY482" s="337">
        <v>76</v>
      </c>
      <c r="AZ482" s="337">
        <v>0</v>
      </c>
      <c r="BA482" s="337">
        <v>37.620719909667969</v>
      </c>
      <c r="BB482" s="337"/>
      <c r="BC482" s="337"/>
      <c r="BD482" s="337"/>
      <c r="BE482" s="337">
        <v>25000</v>
      </c>
      <c r="BF482" s="337" t="s">
        <v>425</v>
      </c>
      <c r="BG482" s="337" t="s">
        <v>5</v>
      </c>
      <c r="BH482" s="337" t="s">
        <v>1020</v>
      </c>
      <c r="BI482" s="337"/>
      <c r="BJ482" s="337" t="s">
        <v>5</v>
      </c>
      <c r="BK482" s="337"/>
      <c r="BL482" s="337">
        <v>0</v>
      </c>
      <c r="BM482" s="337"/>
      <c r="BN482" s="337" t="s">
        <v>5</v>
      </c>
      <c r="BO482" s="337"/>
      <c r="BP482" s="337"/>
      <c r="BQ482" s="337"/>
      <c r="BR482" s="337"/>
      <c r="BS482" s="337" t="s">
        <v>5</v>
      </c>
      <c r="BT482" s="337"/>
      <c r="BU482" s="337"/>
      <c r="BV482" s="337"/>
      <c r="BW482" s="337"/>
      <c r="BX482" s="337" t="s">
        <v>6</v>
      </c>
      <c r="BY482" s="337" t="s">
        <v>426</v>
      </c>
      <c r="BZ482" s="337"/>
      <c r="CB482" s="337" t="s">
        <v>5</v>
      </c>
      <c r="CC482" s="337">
        <v>193061.57596167619</v>
      </c>
      <c r="CD482" s="337">
        <v>2329979592.7870069</v>
      </c>
      <c r="CE482" s="313" t="s">
        <v>11891</v>
      </c>
    </row>
    <row r="483" spans="1:83" ht="15" x14ac:dyDescent="0.25">
      <c r="A483" s="337" t="s">
        <v>941</v>
      </c>
      <c r="B483" s="337" t="s">
        <v>942</v>
      </c>
      <c r="C483" s="337" t="s">
        <v>912</v>
      </c>
      <c r="D483" s="337">
        <v>9</v>
      </c>
      <c r="E483" s="337" t="s">
        <v>416</v>
      </c>
      <c r="F483" s="337" t="s">
        <v>545</v>
      </c>
      <c r="G483" s="337" t="s">
        <v>575</v>
      </c>
      <c r="H483" s="337" t="s">
        <v>576</v>
      </c>
      <c r="I483" s="337" t="s">
        <v>576</v>
      </c>
      <c r="J483" s="337" t="s">
        <v>893</v>
      </c>
      <c r="K483" s="337" t="s">
        <v>894</v>
      </c>
      <c r="L483" s="337">
        <v>1497.589233398438</v>
      </c>
      <c r="M483" s="337" t="s">
        <v>5</v>
      </c>
      <c r="N483" s="337" t="s">
        <v>5</v>
      </c>
      <c r="O483" s="337" t="s">
        <v>5</v>
      </c>
      <c r="P483" s="337" t="s">
        <v>5</v>
      </c>
      <c r="Q483" s="337" t="s">
        <v>5</v>
      </c>
      <c r="R483" s="337" t="s">
        <v>550</v>
      </c>
      <c r="S483" s="337" t="s">
        <v>550</v>
      </c>
      <c r="T483" s="337" t="s">
        <v>5</v>
      </c>
      <c r="U483" s="337" t="s">
        <v>4</v>
      </c>
      <c r="V483" s="337">
        <v>100000</v>
      </c>
      <c r="W483" s="337">
        <v>75000</v>
      </c>
      <c r="X483" s="337" t="s">
        <v>6</v>
      </c>
      <c r="Y483" s="337"/>
      <c r="Z483" s="337"/>
      <c r="AA483" s="337">
        <v>276508.65625</v>
      </c>
      <c r="AB483" s="337">
        <v>132.59907531738281</v>
      </c>
      <c r="AC483" s="337">
        <v>276508.65625</v>
      </c>
      <c r="AD483" s="337">
        <v>1890</v>
      </c>
      <c r="AE483" s="337">
        <v>944</v>
      </c>
      <c r="AF483" s="337">
        <v>814</v>
      </c>
      <c r="AG483" s="337">
        <v>2071</v>
      </c>
      <c r="AH483" s="337">
        <v>2679</v>
      </c>
      <c r="AI483" s="337">
        <v>2679</v>
      </c>
      <c r="AJ483" s="337">
        <v>1</v>
      </c>
      <c r="AK483" s="337">
        <v>5</v>
      </c>
      <c r="AL483" s="337">
        <v>434</v>
      </c>
      <c r="AM483" s="337">
        <v>0</v>
      </c>
      <c r="AN483" s="337">
        <v>145295.46875</v>
      </c>
      <c r="AO483" s="337"/>
      <c r="AP483" s="337"/>
      <c r="AQ483" s="337"/>
      <c r="AR483" s="337">
        <v>473</v>
      </c>
      <c r="AS483" s="337">
        <v>473</v>
      </c>
      <c r="AT483" s="337">
        <v>236</v>
      </c>
      <c r="AU483" s="337">
        <v>203</v>
      </c>
      <c r="AV483" s="337">
        <v>996</v>
      </c>
      <c r="AW483" s="337">
        <v>0</v>
      </c>
      <c r="AX483" s="337">
        <v>1</v>
      </c>
      <c r="AY483" s="337">
        <v>108</v>
      </c>
      <c r="AZ483" s="337">
        <v>0</v>
      </c>
      <c r="BA483" s="337">
        <v>36323.8671875</v>
      </c>
      <c r="BB483" s="337"/>
      <c r="BC483" s="337"/>
      <c r="BD483" s="337"/>
      <c r="BE483" s="337">
        <v>25000</v>
      </c>
      <c r="BF483" s="337" t="s">
        <v>425</v>
      </c>
      <c r="BG483" s="337" t="s">
        <v>5</v>
      </c>
      <c r="BH483" s="337" t="s">
        <v>1020</v>
      </c>
      <c r="BI483" s="337"/>
      <c r="BJ483" s="337" t="s">
        <v>5</v>
      </c>
      <c r="BK483" s="337"/>
      <c r="BL483" s="337">
        <v>0</v>
      </c>
      <c r="BM483" s="337"/>
      <c r="BN483" s="337" t="s">
        <v>5</v>
      </c>
      <c r="BO483" s="337"/>
      <c r="BP483" s="337"/>
      <c r="BQ483" s="337"/>
      <c r="BR483" s="337"/>
      <c r="BS483" s="337" t="s">
        <v>5</v>
      </c>
      <c r="BT483" s="337"/>
      <c r="BU483" s="337"/>
      <c r="BV483" s="337"/>
      <c r="BW483" s="337"/>
      <c r="BX483" s="337" t="s">
        <v>6</v>
      </c>
      <c r="BY483" s="337" t="s">
        <v>426</v>
      </c>
      <c r="BZ483" s="337"/>
      <c r="CB483" s="337" t="s">
        <v>5</v>
      </c>
      <c r="CC483" s="337">
        <v>257298.2822629165</v>
      </c>
      <c r="CD483" s="337">
        <v>3878738205.5692191</v>
      </c>
      <c r="CE483" s="313" t="s">
        <v>11891</v>
      </c>
    </row>
    <row r="484" spans="1:83" ht="15" x14ac:dyDescent="0.25">
      <c r="A484" s="337" t="s">
        <v>943</v>
      </c>
      <c r="B484" s="337" t="s">
        <v>944</v>
      </c>
      <c r="C484" s="337" t="s">
        <v>499</v>
      </c>
      <c r="D484" s="337">
        <v>9</v>
      </c>
      <c r="E484" s="337" t="s">
        <v>416</v>
      </c>
      <c r="F484" s="337" t="s">
        <v>945</v>
      </c>
      <c r="G484" s="337" t="s">
        <v>946</v>
      </c>
      <c r="H484" s="337" t="s">
        <v>946</v>
      </c>
      <c r="I484" s="337" t="s">
        <v>946</v>
      </c>
      <c r="J484" s="337" t="s">
        <v>893</v>
      </c>
      <c r="K484" s="337" t="s">
        <v>894</v>
      </c>
      <c r="L484" s="337">
        <v>897.15911865234375</v>
      </c>
      <c r="M484" s="337" t="s">
        <v>5</v>
      </c>
      <c r="N484" s="337" t="s">
        <v>5</v>
      </c>
      <c r="O484" s="337" t="s">
        <v>5</v>
      </c>
      <c r="P484" s="337" t="s">
        <v>5</v>
      </c>
      <c r="Q484" s="337" t="s">
        <v>5</v>
      </c>
      <c r="R484" s="337" t="s">
        <v>947</v>
      </c>
      <c r="S484" s="337" t="s">
        <v>947</v>
      </c>
      <c r="T484" s="337" t="s">
        <v>5</v>
      </c>
      <c r="U484" s="337" t="s">
        <v>4</v>
      </c>
      <c r="V484" s="337">
        <v>100000</v>
      </c>
      <c r="W484" s="337">
        <v>75000</v>
      </c>
      <c r="X484" s="337" t="s">
        <v>6</v>
      </c>
      <c r="Y484" s="337"/>
      <c r="Z484" s="337"/>
      <c r="AA484" s="337">
        <v>105929.6015625</v>
      </c>
      <c r="AB484" s="337">
        <v>47.442615509033203</v>
      </c>
      <c r="AC484" s="337">
        <v>105929.6015625</v>
      </c>
      <c r="AD484" s="337">
        <v>141</v>
      </c>
      <c r="AE484" s="337">
        <v>59</v>
      </c>
      <c r="AF484" s="337">
        <v>3</v>
      </c>
      <c r="AG484" s="337">
        <v>36</v>
      </c>
      <c r="AH484" s="337">
        <v>74</v>
      </c>
      <c r="AI484" s="337">
        <v>74</v>
      </c>
      <c r="AJ484" s="337">
        <v>0</v>
      </c>
      <c r="AK484" s="337">
        <v>0</v>
      </c>
      <c r="AL484" s="337">
        <v>34</v>
      </c>
      <c r="AM484" s="337">
        <v>0</v>
      </c>
      <c r="AN484" s="337">
        <v>25211.564453125</v>
      </c>
      <c r="AO484" s="337"/>
      <c r="AP484" s="337"/>
      <c r="AQ484" s="337"/>
      <c r="AR484" s="337">
        <v>36</v>
      </c>
      <c r="AS484" s="337">
        <v>36</v>
      </c>
      <c r="AT484" s="337">
        <v>14</v>
      </c>
      <c r="AU484" s="337">
        <v>0</v>
      </c>
      <c r="AV484" s="337">
        <v>21</v>
      </c>
      <c r="AW484" s="337">
        <v>0</v>
      </c>
      <c r="AX484" s="337">
        <v>0</v>
      </c>
      <c r="AY484" s="337">
        <v>8</v>
      </c>
      <c r="AZ484" s="337">
        <v>0</v>
      </c>
      <c r="BA484" s="337">
        <v>6302.89111328125</v>
      </c>
      <c r="BB484" s="337"/>
      <c r="BC484" s="337"/>
      <c r="BD484" s="337"/>
      <c r="BE484" s="337">
        <v>25000</v>
      </c>
      <c r="BF484" s="337" t="s">
        <v>425</v>
      </c>
      <c r="BG484" s="337" t="s">
        <v>5</v>
      </c>
      <c r="BH484" s="337" t="s">
        <v>1020</v>
      </c>
      <c r="BI484" s="337"/>
      <c r="BJ484" s="337" t="s">
        <v>5</v>
      </c>
      <c r="BK484" s="337"/>
      <c r="BL484" s="337">
        <v>0</v>
      </c>
      <c r="BM484" s="337"/>
      <c r="BN484" s="337" t="s">
        <v>5</v>
      </c>
      <c r="BO484" s="337"/>
      <c r="BP484" s="337"/>
      <c r="BQ484" s="337"/>
      <c r="BR484" s="337"/>
      <c r="BS484" s="337" t="s">
        <v>5</v>
      </c>
      <c r="BT484" s="337"/>
      <c r="BU484" s="337"/>
      <c r="BV484" s="337"/>
      <c r="BW484" s="337"/>
      <c r="BX484" s="337" t="s">
        <v>6</v>
      </c>
      <c r="BY484" s="337" t="s">
        <v>426</v>
      </c>
      <c r="BZ484" s="337"/>
      <c r="CB484" s="337" t="s">
        <v>5</v>
      </c>
      <c r="CC484" s="337">
        <v>192848.28178645371</v>
      </c>
      <c r="CD484" s="337">
        <v>2323631396.4005079</v>
      </c>
      <c r="CE484" s="313" t="s">
        <v>11891</v>
      </c>
    </row>
    <row r="485" spans="1:83" ht="15" x14ac:dyDescent="0.25">
      <c r="A485" s="337" t="s">
        <v>950</v>
      </c>
      <c r="B485" s="337" t="s">
        <v>951</v>
      </c>
      <c r="C485" s="337" t="s">
        <v>499</v>
      </c>
      <c r="D485" s="337">
        <v>9</v>
      </c>
      <c r="E485" s="337" t="s">
        <v>416</v>
      </c>
      <c r="F485" s="337" t="s">
        <v>952</v>
      </c>
      <c r="G485" s="337" t="s">
        <v>953</v>
      </c>
      <c r="H485" s="337" t="s">
        <v>954</v>
      </c>
      <c r="I485" s="337" t="s">
        <v>954</v>
      </c>
      <c r="J485" s="337" t="s">
        <v>893</v>
      </c>
      <c r="K485" s="337" t="s">
        <v>894</v>
      </c>
      <c r="L485" s="337">
        <v>900.69976806640625</v>
      </c>
      <c r="M485" s="337" t="s">
        <v>5</v>
      </c>
      <c r="N485" s="337" t="s">
        <v>5</v>
      </c>
      <c r="O485" s="337" t="s">
        <v>5</v>
      </c>
      <c r="P485" s="337" t="s">
        <v>5</v>
      </c>
      <c r="Q485" s="337" t="s">
        <v>5</v>
      </c>
      <c r="R485" s="337" t="s">
        <v>955</v>
      </c>
      <c r="S485" s="337" t="s">
        <v>955</v>
      </c>
      <c r="T485" s="337" t="s">
        <v>5</v>
      </c>
      <c r="U485" s="337" t="s">
        <v>4</v>
      </c>
      <c r="V485" s="337">
        <v>100000</v>
      </c>
      <c r="W485" s="337">
        <v>75000</v>
      </c>
      <c r="X485" s="337" t="s">
        <v>6</v>
      </c>
      <c r="Y485" s="337"/>
      <c r="Z485" s="337"/>
      <c r="AA485" s="337">
        <v>117504.40625</v>
      </c>
      <c r="AB485" s="337">
        <v>42.672176361083977</v>
      </c>
      <c r="AC485" s="337">
        <v>117504.40625</v>
      </c>
      <c r="AD485" s="337">
        <v>1372</v>
      </c>
      <c r="AE485" s="337">
        <v>899</v>
      </c>
      <c r="AF485" s="337">
        <v>662</v>
      </c>
      <c r="AG485" s="337">
        <v>3981</v>
      </c>
      <c r="AH485" s="337">
        <v>1746</v>
      </c>
      <c r="AI485" s="337">
        <v>3981</v>
      </c>
      <c r="AJ485" s="337">
        <v>1</v>
      </c>
      <c r="AK485" s="337">
        <v>20</v>
      </c>
      <c r="AL485" s="337">
        <v>196</v>
      </c>
      <c r="AM485" s="337">
        <v>0</v>
      </c>
      <c r="AN485" s="337">
        <v>35444.83984375</v>
      </c>
      <c r="AO485" s="337"/>
      <c r="AP485" s="337"/>
      <c r="AQ485" s="337"/>
      <c r="AR485" s="337">
        <v>343</v>
      </c>
      <c r="AS485" s="337">
        <v>343</v>
      </c>
      <c r="AT485" s="337">
        <v>224</v>
      </c>
      <c r="AU485" s="337">
        <v>165</v>
      </c>
      <c r="AV485" s="337">
        <v>1248</v>
      </c>
      <c r="AW485" s="337">
        <v>0</v>
      </c>
      <c r="AX485" s="337">
        <v>5</v>
      </c>
      <c r="AY485" s="337">
        <v>49</v>
      </c>
      <c r="AZ485" s="337">
        <v>0</v>
      </c>
      <c r="BA485" s="337">
        <v>8861.2099609375</v>
      </c>
      <c r="BB485" s="337"/>
      <c r="BC485" s="337"/>
      <c r="BD485" s="337"/>
      <c r="BE485" s="337">
        <v>25000</v>
      </c>
      <c r="BF485" s="337" t="s">
        <v>425</v>
      </c>
      <c r="BG485" s="337" t="s">
        <v>5</v>
      </c>
      <c r="BH485" s="337" t="s">
        <v>1020</v>
      </c>
      <c r="BI485" s="337"/>
      <c r="BJ485" s="337" t="s">
        <v>5</v>
      </c>
      <c r="BK485" s="337"/>
      <c r="BL485" s="337">
        <v>0</v>
      </c>
      <c r="BM485" s="337"/>
      <c r="BN485" s="337" t="s">
        <v>5</v>
      </c>
      <c r="BO485" s="337"/>
      <c r="BP485" s="337"/>
      <c r="BQ485" s="337"/>
      <c r="BR485" s="337"/>
      <c r="BS485" s="337" t="s">
        <v>5</v>
      </c>
      <c r="BT485" s="337"/>
      <c r="BU485" s="337"/>
      <c r="BV485" s="337"/>
      <c r="BW485" s="337"/>
      <c r="BX485" s="337" t="s">
        <v>6</v>
      </c>
      <c r="BY485" s="337" t="s">
        <v>426</v>
      </c>
      <c r="BZ485" s="337"/>
      <c r="CB485" s="337" t="s">
        <v>5</v>
      </c>
      <c r="CC485" s="337">
        <v>193208.0646593672</v>
      </c>
      <c r="CD485" s="337">
        <v>2332801647.6841898</v>
      </c>
      <c r="CE485" s="313" t="s">
        <v>11891</v>
      </c>
    </row>
    <row r="486" spans="1:83" ht="15" x14ac:dyDescent="0.25">
      <c r="A486" s="337" t="s">
        <v>958</v>
      </c>
      <c r="B486" s="337" t="s">
        <v>959</v>
      </c>
      <c r="C486" s="337" t="s">
        <v>499</v>
      </c>
      <c r="D486" s="337">
        <v>9</v>
      </c>
      <c r="E486" s="337" t="s">
        <v>416</v>
      </c>
      <c r="F486" s="337" t="s">
        <v>597</v>
      </c>
      <c r="G486" s="337" t="s">
        <v>598</v>
      </c>
      <c r="H486" s="337" t="s">
        <v>599</v>
      </c>
      <c r="I486" s="337" t="s">
        <v>599</v>
      </c>
      <c r="J486" s="337" t="s">
        <v>600</v>
      </c>
      <c r="K486" s="337" t="s">
        <v>894</v>
      </c>
      <c r="L486" s="337">
        <v>912.08465576171875</v>
      </c>
      <c r="M486" s="337" t="s">
        <v>5</v>
      </c>
      <c r="N486" s="337" t="s">
        <v>5</v>
      </c>
      <c r="O486" s="337" t="s">
        <v>5</v>
      </c>
      <c r="P486" s="337" t="s">
        <v>5</v>
      </c>
      <c r="Q486" s="337" t="s">
        <v>5</v>
      </c>
      <c r="R486" s="337" t="s">
        <v>960</v>
      </c>
      <c r="S486" s="337" t="s">
        <v>960</v>
      </c>
      <c r="T486" s="337" t="s">
        <v>5</v>
      </c>
      <c r="U486" s="337" t="s">
        <v>4</v>
      </c>
      <c r="V486" s="337">
        <v>100000</v>
      </c>
      <c r="W486" s="337">
        <v>75000</v>
      </c>
      <c r="X486" s="337" t="s">
        <v>6</v>
      </c>
      <c r="Y486" s="337"/>
      <c r="Z486" s="337"/>
      <c r="AA486" s="337">
        <v>146375.25</v>
      </c>
      <c r="AB486" s="337">
        <v>66.840156555175781</v>
      </c>
      <c r="AC486" s="337">
        <v>146375.25</v>
      </c>
      <c r="AD486" s="337">
        <v>902</v>
      </c>
      <c r="AE486" s="337">
        <v>259</v>
      </c>
      <c r="AF486" s="337">
        <v>451</v>
      </c>
      <c r="AG486" s="337">
        <v>2015</v>
      </c>
      <c r="AH486" s="337">
        <v>1266</v>
      </c>
      <c r="AI486" s="337">
        <v>2015</v>
      </c>
      <c r="AJ486" s="337">
        <v>3</v>
      </c>
      <c r="AK486" s="337">
        <v>5</v>
      </c>
      <c r="AL486" s="337">
        <v>229</v>
      </c>
      <c r="AM486" s="337">
        <v>0</v>
      </c>
      <c r="AN486" s="337">
        <v>55702.26953125</v>
      </c>
      <c r="AO486" s="337"/>
      <c r="AP486" s="337"/>
      <c r="AQ486" s="337"/>
      <c r="AR486" s="337">
        <v>226</v>
      </c>
      <c r="AS486" s="337">
        <v>226</v>
      </c>
      <c r="AT486" s="337">
        <v>64</v>
      </c>
      <c r="AU486" s="337">
        <v>112</v>
      </c>
      <c r="AV486" s="337">
        <v>728</v>
      </c>
      <c r="AW486" s="337">
        <v>0</v>
      </c>
      <c r="AX486" s="337">
        <v>1</v>
      </c>
      <c r="AY486" s="337">
        <v>57</v>
      </c>
      <c r="AZ486" s="337">
        <v>0</v>
      </c>
      <c r="BA486" s="337">
        <v>13925.5673828125</v>
      </c>
      <c r="BB486" s="337"/>
      <c r="BC486" s="337"/>
      <c r="BD486" s="337"/>
      <c r="BE486" s="337">
        <v>25000</v>
      </c>
      <c r="BF486" s="337" t="s">
        <v>425</v>
      </c>
      <c r="BG486" s="337" t="s">
        <v>5</v>
      </c>
      <c r="BH486" s="337" t="s">
        <v>1020</v>
      </c>
      <c r="BI486" s="337"/>
      <c r="BJ486" s="337" t="s">
        <v>5</v>
      </c>
      <c r="BK486" s="337"/>
      <c r="BL486" s="337">
        <v>0</v>
      </c>
      <c r="BM486" s="337"/>
      <c r="BN486" s="337" t="s">
        <v>5</v>
      </c>
      <c r="BO486" s="337"/>
      <c r="BP486" s="337"/>
      <c r="BQ486" s="337"/>
      <c r="BR486" s="337"/>
      <c r="BS486" s="337" t="s">
        <v>5</v>
      </c>
      <c r="BT486" s="337"/>
      <c r="BU486" s="337"/>
      <c r="BV486" s="337"/>
      <c r="BW486" s="337"/>
      <c r="BX486" s="337" t="s">
        <v>6</v>
      </c>
      <c r="BY486" s="337" t="s">
        <v>426</v>
      </c>
      <c r="BZ486" s="337"/>
      <c r="CB486" s="337" t="s">
        <v>5</v>
      </c>
      <c r="CC486" s="337">
        <v>194356.50293091199</v>
      </c>
      <c r="CD486" s="337">
        <v>2362288427.7304201</v>
      </c>
      <c r="CE486" s="313" t="s">
        <v>11891</v>
      </c>
    </row>
    <row r="487" spans="1:83" ht="15" x14ac:dyDescent="0.25">
      <c r="A487" s="337" t="s">
        <v>964</v>
      </c>
      <c r="B487" s="337" t="s">
        <v>965</v>
      </c>
      <c r="C487" s="337" t="s">
        <v>499</v>
      </c>
      <c r="D487" s="337">
        <v>9</v>
      </c>
      <c r="E487" s="337" t="s">
        <v>416</v>
      </c>
      <c r="F487" s="337" t="s">
        <v>641</v>
      </c>
      <c r="G487" s="337" t="s">
        <v>642</v>
      </c>
      <c r="H487" s="337" t="s">
        <v>642</v>
      </c>
      <c r="I487" s="337" t="s">
        <v>642</v>
      </c>
      <c r="J487" s="337" t="s">
        <v>893</v>
      </c>
      <c r="K487" s="337" t="s">
        <v>894</v>
      </c>
      <c r="L487" s="337">
        <v>1533.927368164062</v>
      </c>
      <c r="M487" s="337" t="s">
        <v>5</v>
      </c>
      <c r="N487" s="337" t="s">
        <v>5</v>
      </c>
      <c r="O487" s="337" t="s">
        <v>5</v>
      </c>
      <c r="P487" s="337" t="s">
        <v>5</v>
      </c>
      <c r="Q487" s="337" t="s">
        <v>5</v>
      </c>
      <c r="R487" s="337" t="s">
        <v>872</v>
      </c>
      <c r="S487" s="337" t="s">
        <v>872</v>
      </c>
      <c r="T487" s="337" t="s">
        <v>5</v>
      </c>
      <c r="U487" s="337" t="s">
        <v>4</v>
      </c>
      <c r="V487" s="337">
        <v>100000</v>
      </c>
      <c r="W487" s="337">
        <v>75000</v>
      </c>
      <c r="X487" s="337" t="s">
        <v>6</v>
      </c>
      <c r="Y487" s="337"/>
      <c r="Z487" s="337"/>
      <c r="AA487" s="337">
        <v>211746.359375</v>
      </c>
      <c r="AB487" s="337">
        <v>66.949905395507813</v>
      </c>
      <c r="AC487" s="337">
        <v>211746.359375</v>
      </c>
      <c r="AD487" s="337">
        <v>5166</v>
      </c>
      <c r="AE487" s="337">
        <v>2612</v>
      </c>
      <c r="AF487" s="337">
        <v>3373</v>
      </c>
      <c r="AG487" s="337">
        <v>9948</v>
      </c>
      <c r="AH487" s="337">
        <v>9045</v>
      </c>
      <c r="AI487" s="337">
        <v>9948</v>
      </c>
      <c r="AJ487" s="337">
        <v>7</v>
      </c>
      <c r="AK487" s="337">
        <v>47</v>
      </c>
      <c r="AL487" s="337">
        <v>253</v>
      </c>
      <c r="AM487" s="337">
        <v>0</v>
      </c>
      <c r="AN487" s="337">
        <v>48498.69140625</v>
      </c>
      <c r="AO487" s="337"/>
      <c r="AP487" s="337"/>
      <c r="AQ487" s="337"/>
      <c r="AR487" s="337">
        <v>1292</v>
      </c>
      <c r="AS487" s="337">
        <v>1292</v>
      </c>
      <c r="AT487" s="337">
        <v>653</v>
      </c>
      <c r="AU487" s="337">
        <v>843</v>
      </c>
      <c r="AV487" s="337">
        <v>4008</v>
      </c>
      <c r="AW487" s="337">
        <v>1</v>
      </c>
      <c r="AX487" s="337">
        <v>11</v>
      </c>
      <c r="AY487" s="337">
        <v>63</v>
      </c>
      <c r="AZ487" s="337">
        <v>0</v>
      </c>
      <c r="BA487" s="337">
        <v>12124.6728515625</v>
      </c>
      <c r="BB487" s="337"/>
      <c r="BC487" s="337"/>
      <c r="BD487" s="337"/>
      <c r="BE487" s="337">
        <v>25000</v>
      </c>
      <c r="BF487" s="337" t="s">
        <v>425</v>
      </c>
      <c r="BG487" s="337" t="s">
        <v>5</v>
      </c>
      <c r="BH487" s="337" t="s">
        <v>1020</v>
      </c>
      <c r="BI487" s="337"/>
      <c r="BJ487" s="337" t="s">
        <v>5</v>
      </c>
      <c r="BK487" s="337"/>
      <c r="BL487" s="337">
        <v>0</v>
      </c>
      <c r="BM487" s="337"/>
      <c r="BN487" s="337" t="s">
        <v>5</v>
      </c>
      <c r="BO487" s="337"/>
      <c r="BP487" s="337"/>
      <c r="BQ487" s="337"/>
      <c r="BR487" s="337"/>
      <c r="BS487" s="337" t="s">
        <v>5</v>
      </c>
      <c r="BT487" s="337"/>
      <c r="BU487" s="337"/>
      <c r="BV487" s="337"/>
      <c r="BW487" s="337"/>
      <c r="BX487" s="337" t="s">
        <v>6</v>
      </c>
      <c r="BY487" s="337" t="s">
        <v>426</v>
      </c>
      <c r="BZ487" s="337"/>
      <c r="CB487" s="337" t="s">
        <v>5</v>
      </c>
      <c r="CC487" s="337">
        <v>352400.91825589852</v>
      </c>
      <c r="CD487" s="337">
        <v>3972853616.721684</v>
      </c>
      <c r="CE487" s="313" t="s">
        <v>11891</v>
      </c>
    </row>
    <row r="488" spans="1:83" ht="15" x14ac:dyDescent="0.25">
      <c r="A488" s="337" t="s">
        <v>970</v>
      </c>
      <c r="B488" s="337" t="s">
        <v>971</v>
      </c>
      <c r="C488" s="337" t="s">
        <v>499</v>
      </c>
      <c r="D488" s="337">
        <v>9</v>
      </c>
      <c r="E488" s="337" t="s">
        <v>416</v>
      </c>
      <c r="F488" s="337" t="s">
        <v>972</v>
      </c>
      <c r="G488" s="337" t="s">
        <v>973</v>
      </c>
      <c r="H488" s="337" t="s">
        <v>973</v>
      </c>
      <c r="I488" s="337" t="s">
        <v>973</v>
      </c>
      <c r="J488" s="337" t="s">
        <v>893</v>
      </c>
      <c r="K488" s="337" t="s">
        <v>894</v>
      </c>
      <c r="L488" s="337">
        <v>1235.946533203125</v>
      </c>
      <c r="M488" s="337" t="s">
        <v>5</v>
      </c>
      <c r="N488" s="337" t="s">
        <v>5</v>
      </c>
      <c r="O488" s="337" t="s">
        <v>5</v>
      </c>
      <c r="P488" s="337" t="s">
        <v>5</v>
      </c>
      <c r="Q488" s="337" t="s">
        <v>5</v>
      </c>
      <c r="R488" s="337" t="s">
        <v>974</v>
      </c>
      <c r="S488" s="337" t="s">
        <v>974</v>
      </c>
      <c r="T488" s="337" t="s">
        <v>5</v>
      </c>
      <c r="U488" s="337" t="s">
        <v>4</v>
      </c>
      <c r="V488" s="337">
        <v>100000</v>
      </c>
      <c r="W488" s="337">
        <v>75000</v>
      </c>
      <c r="X488" s="337" t="s">
        <v>6</v>
      </c>
      <c r="Y488" s="337"/>
      <c r="Z488" s="337"/>
      <c r="AA488" s="337">
        <v>64197.37109375</v>
      </c>
      <c r="AB488" s="337">
        <v>51.206695556640618</v>
      </c>
      <c r="AC488" s="337">
        <v>64197.37109375</v>
      </c>
      <c r="AD488" s="337">
        <v>41</v>
      </c>
      <c r="AE488" s="337">
        <v>23</v>
      </c>
      <c r="AF488" s="337">
        <v>16</v>
      </c>
      <c r="AG488" s="337">
        <v>23</v>
      </c>
      <c r="AH488" s="337">
        <v>10</v>
      </c>
      <c r="AI488" s="337">
        <v>23</v>
      </c>
      <c r="AJ488" s="337">
        <v>0</v>
      </c>
      <c r="AK488" s="337">
        <v>1</v>
      </c>
      <c r="AL488" s="337">
        <v>34</v>
      </c>
      <c r="AM488" s="337">
        <v>0</v>
      </c>
      <c r="AN488" s="337">
        <v>6036.39404296875</v>
      </c>
      <c r="AO488" s="337"/>
      <c r="AP488" s="337"/>
      <c r="AQ488" s="337"/>
      <c r="AR488" s="337">
        <v>11</v>
      </c>
      <c r="AS488" s="337">
        <v>11</v>
      </c>
      <c r="AT488" s="337">
        <v>5</v>
      </c>
      <c r="AU488" s="337">
        <v>4</v>
      </c>
      <c r="AV488" s="337">
        <v>8</v>
      </c>
      <c r="AW488" s="337">
        <v>0</v>
      </c>
      <c r="AX488" s="337">
        <v>0</v>
      </c>
      <c r="AY488" s="337">
        <v>8</v>
      </c>
      <c r="AZ488" s="337">
        <v>0</v>
      </c>
      <c r="BA488" s="337">
        <v>1509.098510742188</v>
      </c>
      <c r="BB488" s="337"/>
      <c r="BC488" s="337"/>
      <c r="BD488" s="337"/>
      <c r="BE488" s="337">
        <v>25000</v>
      </c>
      <c r="BF488" s="337" t="s">
        <v>425</v>
      </c>
      <c r="BG488" s="337" t="s">
        <v>5</v>
      </c>
      <c r="BH488" s="337" t="s">
        <v>1020</v>
      </c>
      <c r="BI488" s="337"/>
      <c r="BJ488" s="337" t="s">
        <v>5</v>
      </c>
      <c r="BK488" s="337"/>
      <c r="BL488" s="337">
        <v>0</v>
      </c>
      <c r="BM488" s="337"/>
      <c r="BN488" s="337" t="s">
        <v>5</v>
      </c>
      <c r="BO488" s="337"/>
      <c r="BP488" s="337"/>
      <c r="BQ488" s="337"/>
      <c r="BR488" s="337"/>
      <c r="BS488" s="337" t="s">
        <v>5</v>
      </c>
      <c r="BT488" s="337"/>
      <c r="BU488" s="337"/>
      <c r="BV488" s="337"/>
      <c r="BW488" s="337"/>
      <c r="BX488" s="337" t="s">
        <v>6</v>
      </c>
      <c r="BY488" s="337" t="s">
        <v>426</v>
      </c>
      <c r="BZ488" s="337"/>
      <c r="CB488" s="337" t="s">
        <v>5</v>
      </c>
      <c r="CC488" s="337">
        <v>227121.09822542721</v>
      </c>
      <c r="CD488" s="337">
        <v>3201086949.348433</v>
      </c>
      <c r="CE488" s="313" t="s">
        <v>11891</v>
      </c>
    </row>
    <row r="489" spans="1:83" ht="15" x14ac:dyDescent="0.25">
      <c r="A489" s="337" t="s">
        <v>977</v>
      </c>
      <c r="B489" s="337" t="s">
        <v>978</v>
      </c>
      <c r="C489" s="337" t="s">
        <v>499</v>
      </c>
      <c r="D489" s="337">
        <v>9</v>
      </c>
      <c r="E489" s="337" t="s">
        <v>416</v>
      </c>
      <c r="F489" s="337" t="s">
        <v>619</v>
      </c>
      <c r="G489" s="337" t="s">
        <v>979</v>
      </c>
      <c r="H489" s="337" t="s">
        <v>979</v>
      </c>
      <c r="I489" s="337" t="s">
        <v>979</v>
      </c>
      <c r="J489" s="337" t="s">
        <v>893</v>
      </c>
      <c r="K489" s="337" t="s">
        <v>894</v>
      </c>
      <c r="L489" s="337">
        <v>797.708251953125</v>
      </c>
      <c r="M489" s="337" t="s">
        <v>5</v>
      </c>
      <c r="N489" s="337" t="s">
        <v>5</v>
      </c>
      <c r="O489" s="337" t="s">
        <v>5</v>
      </c>
      <c r="P489" s="337" t="s">
        <v>5</v>
      </c>
      <c r="Q489" s="337" t="s">
        <v>5</v>
      </c>
      <c r="R489" s="337" t="s">
        <v>980</v>
      </c>
      <c r="S489" s="337" t="s">
        <v>980</v>
      </c>
      <c r="T489" s="337" t="s">
        <v>5</v>
      </c>
      <c r="U489" s="337" t="s">
        <v>4</v>
      </c>
      <c r="V489" s="337">
        <v>100000</v>
      </c>
      <c r="W489" s="337">
        <v>75000</v>
      </c>
      <c r="X489" s="337" t="s">
        <v>6</v>
      </c>
      <c r="Y489" s="337"/>
      <c r="Z489" s="337"/>
      <c r="AA489" s="337">
        <v>150121.515625</v>
      </c>
      <c r="AB489" s="337">
        <v>68.129417419433594</v>
      </c>
      <c r="AC489" s="337">
        <v>150121.515625</v>
      </c>
      <c r="AD489" s="337">
        <v>543</v>
      </c>
      <c r="AE489" s="337">
        <v>169</v>
      </c>
      <c r="AF489" s="337">
        <v>263</v>
      </c>
      <c r="AG489" s="337">
        <v>758</v>
      </c>
      <c r="AH489" s="337">
        <v>799</v>
      </c>
      <c r="AI489" s="337">
        <v>799</v>
      </c>
      <c r="AJ489" s="337">
        <v>0</v>
      </c>
      <c r="AK489" s="337">
        <v>2</v>
      </c>
      <c r="AL489" s="337">
        <v>292</v>
      </c>
      <c r="AM489" s="337">
        <v>0</v>
      </c>
      <c r="AN489" s="337">
        <v>63670.59765625</v>
      </c>
      <c r="AO489" s="337"/>
      <c r="AP489" s="337"/>
      <c r="AQ489" s="337"/>
      <c r="AR489" s="337">
        <v>136</v>
      </c>
      <c r="AS489" s="337">
        <v>136</v>
      </c>
      <c r="AT489" s="337">
        <v>42</v>
      </c>
      <c r="AU489" s="337">
        <v>65</v>
      </c>
      <c r="AV489" s="337">
        <v>328</v>
      </c>
      <c r="AW489" s="337">
        <v>0</v>
      </c>
      <c r="AX489" s="337">
        <v>0</v>
      </c>
      <c r="AY489" s="337">
        <v>73</v>
      </c>
      <c r="AZ489" s="337">
        <v>0</v>
      </c>
      <c r="BA489" s="337">
        <v>15917.6494140625</v>
      </c>
      <c r="BB489" s="337"/>
      <c r="BC489" s="337"/>
      <c r="BD489" s="337"/>
      <c r="BE489" s="337">
        <v>25000</v>
      </c>
      <c r="BF489" s="337" t="s">
        <v>425</v>
      </c>
      <c r="BG489" s="337" t="s">
        <v>5</v>
      </c>
      <c r="BH489" s="337" t="s">
        <v>1020</v>
      </c>
      <c r="BI489" s="337"/>
      <c r="BJ489" s="337" t="s">
        <v>5</v>
      </c>
      <c r="BK489" s="337"/>
      <c r="BL489" s="337">
        <v>0</v>
      </c>
      <c r="BM489" s="337"/>
      <c r="BN489" s="337" t="s">
        <v>5</v>
      </c>
      <c r="BO489" s="337"/>
      <c r="BP489" s="337"/>
      <c r="BQ489" s="337"/>
      <c r="BR489" s="337"/>
      <c r="BS489" s="337" t="s">
        <v>5</v>
      </c>
      <c r="BT489" s="337"/>
      <c r="BU489" s="337"/>
      <c r="BV489" s="337"/>
      <c r="BW489" s="337"/>
      <c r="BX489" s="337" t="s">
        <v>6</v>
      </c>
      <c r="BY489" s="337" t="s">
        <v>426</v>
      </c>
      <c r="BZ489" s="337"/>
      <c r="CB489" s="337" t="s">
        <v>5</v>
      </c>
      <c r="CC489" s="337">
        <v>181964.5478431196</v>
      </c>
      <c r="CD489" s="337">
        <v>2066054919.5893149</v>
      </c>
      <c r="CE489" s="313" t="s">
        <v>11891</v>
      </c>
    </row>
    <row r="490" spans="1:83" ht="15" x14ac:dyDescent="0.25">
      <c r="A490" s="337" t="s">
        <v>983</v>
      </c>
      <c r="B490" s="337" t="s">
        <v>984</v>
      </c>
      <c r="C490" s="337" t="s">
        <v>985</v>
      </c>
      <c r="D490" s="337">
        <v>9</v>
      </c>
      <c r="E490" s="337" t="s">
        <v>416</v>
      </c>
      <c r="F490" s="337" t="s">
        <v>691</v>
      </c>
      <c r="G490" s="337" t="s">
        <v>811</v>
      </c>
      <c r="H490" s="337" t="s">
        <v>825</v>
      </c>
      <c r="I490" s="337" t="s">
        <v>825</v>
      </c>
      <c r="J490" s="337" t="s">
        <v>826</v>
      </c>
      <c r="K490" s="337" t="s">
        <v>894</v>
      </c>
      <c r="L490" s="337">
        <v>3.3985908031463619</v>
      </c>
      <c r="M490" s="337" t="s">
        <v>5</v>
      </c>
      <c r="N490" s="337" t="s">
        <v>5</v>
      </c>
      <c r="O490" s="337" t="s">
        <v>5</v>
      </c>
      <c r="P490" s="337" t="s">
        <v>5</v>
      </c>
      <c r="Q490" s="337" t="s">
        <v>5</v>
      </c>
      <c r="R490" s="337" t="s">
        <v>698</v>
      </c>
      <c r="S490" s="337" t="s">
        <v>827</v>
      </c>
      <c r="T490" s="337" t="s">
        <v>5</v>
      </c>
      <c r="U490" s="337" t="s">
        <v>4</v>
      </c>
      <c r="V490" s="337">
        <v>100000</v>
      </c>
      <c r="W490" s="337">
        <v>75000</v>
      </c>
      <c r="X490" s="337" t="s">
        <v>6</v>
      </c>
      <c r="Y490" s="337"/>
      <c r="Z490" s="337"/>
      <c r="AA490" s="337">
        <v>810.5125732421875</v>
      </c>
      <c r="AB490" s="337">
        <v>0.13504146039485929</v>
      </c>
      <c r="AC490" s="337">
        <v>810.5125732421875</v>
      </c>
      <c r="AD490" s="337">
        <v>13</v>
      </c>
      <c r="AE490" s="337">
        <v>1</v>
      </c>
      <c r="AF490" s="337">
        <v>7</v>
      </c>
      <c r="AG490" s="337">
        <v>127</v>
      </c>
      <c r="AH490" s="337">
        <v>61</v>
      </c>
      <c r="AI490" s="337">
        <v>127</v>
      </c>
      <c r="AJ490" s="337">
        <v>0</v>
      </c>
      <c r="AK490" s="337">
        <v>0</v>
      </c>
      <c r="AL490" s="337">
        <v>15</v>
      </c>
      <c r="AM490" s="337">
        <v>0</v>
      </c>
      <c r="AN490" s="337">
        <v>99.603057861328125</v>
      </c>
      <c r="AO490" s="337"/>
      <c r="AP490" s="337"/>
      <c r="AQ490" s="337"/>
      <c r="AR490" s="337">
        <v>4</v>
      </c>
      <c r="AS490" s="337">
        <v>4</v>
      </c>
      <c r="AT490" s="337">
        <v>0</v>
      </c>
      <c r="AU490" s="337">
        <v>1</v>
      </c>
      <c r="AV490" s="337">
        <v>32</v>
      </c>
      <c r="AW490" s="337">
        <v>0</v>
      </c>
      <c r="AX490" s="337">
        <v>0</v>
      </c>
      <c r="AY490" s="337">
        <v>4</v>
      </c>
      <c r="AZ490" s="337">
        <v>0</v>
      </c>
      <c r="BA490" s="337">
        <v>24.900764465332031</v>
      </c>
      <c r="BB490" s="337"/>
      <c r="BC490" s="337"/>
      <c r="BD490" s="337"/>
      <c r="BE490" s="337">
        <v>25000</v>
      </c>
      <c r="BF490" s="337" t="s">
        <v>425</v>
      </c>
      <c r="BG490" s="337" t="s">
        <v>5</v>
      </c>
      <c r="BH490" s="337" t="s">
        <v>1020</v>
      </c>
      <c r="BI490" s="337"/>
      <c r="BJ490" s="337" t="s">
        <v>5</v>
      </c>
      <c r="BK490" s="337"/>
      <c r="BL490" s="337">
        <v>0</v>
      </c>
      <c r="BM490" s="337"/>
      <c r="BN490" s="337" t="s">
        <v>5</v>
      </c>
      <c r="BO490" s="337"/>
      <c r="BP490" s="337"/>
      <c r="BQ490" s="337"/>
      <c r="BR490" s="337"/>
      <c r="BS490" s="337" t="s">
        <v>5</v>
      </c>
      <c r="BT490" s="337"/>
      <c r="BU490" s="337"/>
      <c r="BV490" s="337"/>
      <c r="BW490" s="337"/>
      <c r="BX490" s="337" t="s">
        <v>6</v>
      </c>
      <c r="BY490" s="337" t="s">
        <v>426</v>
      </c>
      <c r="BZ490" s="337"/>
      <c r="CB490" s="337" t="s">
        <v>5</v>
      </c>
      <c r="CC490" s="337">
        <v>21126.468371663821</v>
      </c>
      <c r="CD490" s="337">
        <v>8802309.7849283963</v>
      </c>
      <c r="CE490" s="313" t="s">
        <v>11891</v>
      </c>
    </row>
    <row r="491" spans="1:83" ht="15" x14ac:dyDescent="0.25">
      <c r="A491" s="337" t="s">
        <v>1000</v>
      </c>
      <c r="B491" s="337" t="s">
        <v>1001</v>
      </c>
      <c r="C491" s="337" t="s">
        <v>985</v>
      </c>
      <c r="D491" s="337">
        <v>9</v>
      </c>
      <c r="E491" s="337" t="s">
        <v>416</v>
      </c>
      <c r="F491" s="337" t="s">
        <v>834</v>
      </c>
      <c r="G491" s="337" t="s">
        <v>919</v>
      </c>
      <c r="H491" s="337" t="s">
        <v>919</v>
      </c>
      <c r="I491" s="337" t="s">
        <v>919</v>
      </c>
      <c r="J491" s="337" t="s">
        <v>893</v>
      </c>
      <c r="K491" s="337" t="s">
        <v>894</v>
      </c>
      <c r="L491" s="337">
        <v>1308.805053710938</v>
      </c>
      <c r="M491" s="337" t="s">
        <v>5</v>
      </c>
      <c r="N491" s="337" t="s">
        <v>5</v>
      </c>
      <c r="O491" s="337" t="s">
        <v>5</v>
      </c>
      <c r="P491" s="337" t="s">
        <v>5</v>
      </c>
      <c r="Q491" s="337" t="s">
        <v>5</v>
      </c>
      <c r="R491" s="337" t="s">
        <v>740</v>
      </c>
      <c r="S491" s="337" t="s">
        <v>740</v>
      </c>
      <c r="T491" s="337" t="s">
        <v>5</v>
      </c>
      <c r="U491" s="337" t="s">
        <v>4</v>
      </c>
      <c r="V491" s="337">
        <v>100000</v>
      </c>
      <c r="W491" s="337">
        <v>75000</v>
      </c>
      <c r="X491" s="337" t="s">
        <v>6</v>
      </c>
      <c r="Y491" s="337"/>
      <c r="Z491" s="337"/>
      <c r="AA491" s="337">
        <v>41420.5859375</v>
      </c>
      <c r="AB491" s="337">
        <v>7.5213537216186523</v>
      </c>
      <c r="AC491" s="337">
        <v>41420.5859375</v>
      </c>
      <c r="AD491" s="337">
        <v>99</v>
      </c>
      <c r="AE491" s="337">
        <v>51</v>
      </c>
      <c r="AF491" s="337">
        <v>40</v>
      </c>
      <c r="AG491" s="337">
        <v>191</v>
      </c>
      <c r="AH491" s="337">
        <v>72</v>
      </c>
      <c r="AI491" s="337">
        <v>191</v>
      </c>
      <c r="AJ491" s="337">
        <v>0</v>
      </c>
      <c r="AK491" s="337">
        <v>2</v>
      </c>
      <c r="AL491" s="337">
        <v>17</v>
      </c>
      <c r="AM491" s="337">
        <v>0</v>
      </c>
      <c r="AN491" s="337">
        <v>1263.988647460938</v>
      </c>
      <c r="AO491" s="337"/>
      <c r="AP491" s="337"/>
      <c r="AQ491" s="337"/>
      <c r="AR491" s="337">
        <v>25</v>
      </c>
      <c r="AS491" s="337">
        <v>25</v>
      </c>
      <c r="AT491" s="337">
        <v>12</v>
      </c>
      <c r="AU491" s="337">
        <v>10</v>
      </c>
      <c r="AV491" s="337">
        <v>62</v>
      </c>
      <c r="AW491" s="337">
        <v>0</v>
      </c>
      <c r="AX491" s="337">
        <v>0</v>
      </c>
      <c r="AY491" s="337">
        <v>4</v>
      </c>
      <c r="AZ491" s="337">
        <v>0</v>
      </c>
      <c r="BA491" s="337">
        <v>315.99716186523438</v>
      </c>
      <c r="BB491" s="337"/>
      <c r="BC491" s="337"/>
      <c r="BD491" s="337"/>
      <c r="BE491" s="337">
        <v>25000</v>
      </c>
      <c r="BF491" s="337" t="s">
        <v>425</v>
      </c>
      <c r="BG491" s="337" t="s">
        <v>5</v>
      </c>
      <c r="BH491" s="337" t="s">
        <v>1020</v>
      </c>
      <c r="BI491" s="337"/>
      <c r="BJ491" s="337" t="s">
        <v>5</v>
      </c>
      <c r="BK491" s="337"/>
      <c r="BL491" s="337">
        <v>0</v>
      </c>
      <c r="BM491" s="337"/>
      <c r="BN491" s="337" t="s">
        <v>5</v>
      </c>
      <c r="BO491" s="337"/>
      <c r="BP491" s="337"/>
      <c r="BQ491" s="337"/>
      <c r="BR491" s="337"/>
      <c r="BS491" s="337" t="s">
        <v>5</v>
      </c>
      <c r="BT491" s="337"/>
      <c r="BU491" s="337"/>
      <c r="BV491" s="337"/>
      <c r="BW491" s="337"/>
      <c r="BX491" s="337" t="s">
        <v>6</v>
      </c>
      <c r="BY491" s="337" t="s">
        <v>426</v>
      </c>
      <c r="BZ491" s="337"/>
      <c r="CB491" s="337" t="s">
        <v>5</v>
      </c>
      <c r="CC491" s="337">
        <v>244803.7663956022</v>
      </c>
      <c r="CD491" s="337">
        <v>3389789450.1440048</v>
      </c>
      <c r="CE491" s="313" t="s">
        <v>11891</v>
      </c>
    </row>
    <row r="492" spans="1:83" ht="15" x14ac:dyDescent="0.25">
      <c r="A492" s="337" t="s">
        <v>1008</v>
      </c>
      <c r="B492" s="337" t="s">
        <v>1009</v>
      </c>
      <c r="C492" s="337" t="s">
        <v>999</v>
      </c>
      <c r="D492" s="337">
        <v>9</v>
      </c>
      <c r="E492" s="337" t="s">
        <v>416</v>
      </c>
      <c r="F492" s="337" t="s">
        <v>721</v>
      </c>
      <c r="G492" s="337" t="s">
        <v>1010</v>
      </c>
      <c r="H492" s="337" t="s">
        <v>892</v>
      </c>
      <c r="I492" s="337" t="s">
        <v>892</v>
      </c>
      <c r="J492" s="337" t="s">
        <v>724</v>
      </c>
      <c r="K492" s="337" t="s">
        <v>427</v>
      </c>
      <c r="L492" s="337">
        <v>924.57940673828125</v>
      </c>
      <c r="M492" s="337" t="s">
        <v>5</v>
      </c>
      <c r="N492" s="337" t="s">
        <v>5</v>
      </c>
      <c r="O492" s="337" t="s">
        <v>5</v>
      </c>
      <c r="P492" s="337" t="s">
        <v>5</v>
      </c>
      <c r="Q492" s="337" t="s">
        <v>5</v>
      </c>
      <c r="R492" s="337" t="s">
        <v>470</v>
      </c>
      <c r="S492" s="337" t="s">
        <v>470</v>
      </c>
      <c r="T492" s="337" t="s">
        <v>5</v>
      </c>
      <c r="U492" s="337" t="s">
        <v>4</v>
      </c>
      <c r="V492" s="337">
        <v>100000</v>
      </c>
      <c r="W492" s="337">
        <v>75000</v>
      </c>
      <c r="X492" s="337" t="s">
        <v>6</v>
      </c>
      <c r="Y492" s="337"/>
      <c r="Z492" s="337"/>
      <c r="AA492" s="337">
        <v>110299.9296875</v>
      </c>
      <c r="AB492" s="337">
        <v>22.855375289916989</v>
      </c>
      <c r="AC492" s="337">
        <v>110299.9296875</v>
      </c>
      <c r="AD492" s="337">
        <v>245</v>
      </c>
      <c r="AE492" s="337">
        <v>201</v>
      </c>
      <c r="AF492" s="337">
        <v>104</v>
      </c>
      <c r="AG492" s="337">
        <v>97</v>
      </c>
      <c r="AH492" s="337">
        <v>124</v>
      </c>
      <c r="AI492" s="337">
        <v>124</v>
      </c>
      <c r="AJ492" s="337">
        <v>0</v>
      </c>
      <c r="AK492" s="337">
        <v>14</v>
      </c>
      <c r="AL492" s="337">
        <v>55</v>
      </c>
      <c r="AM492" s="337">
        <v>0</v>
      </c>
      <c r="AN492" s="337">
        <v>5435.48291015625</v>
      </c>
      <c r="AO492" s="337"/>
      <c r="AP492" s="337"/>
      <c r="AQ492" s="337"/>
      <c r="AR492" s="337">
        <v>62</v>
      </c>
      <c r="AS492" s="337">
        <v>62</v>
      </c>
      <c r="AT492" s="337">
        <v>50</v>
      </c>
      <c r="AU492" s="337">
        <v>26</v>
      </c>
      <c r="AV492" s="337">
        <v>43</v>
      </c>
      <c r="AW492" s="337">
        <v>0</v>
      </c>
      <c r="AX492" s="337">
        <v>3</v>
      </c>
      <c r="AY492" s="337">
        <v>14</v>
      </c>
      <c r="AZ492" s="337">
        <v>0</v>
      </c>
      <c r="BA492" s="337">
        <v>1358.870727539062</v>
      </c>
      <c r="BB492" s="337"/>
      <c r="BC492" s="337"/>
      <c r="BD492" s="337"/>
      <c r="BE492" s="337">
        <v>25000</v>
      </c>
      <c r="BF492" s="337" t="s">
        <v>425</v>
      </c>
      <c r="BG492" s="337" t="s">
        <v>5</v>
      </c>
      <c r="BH492" s="337" t="s">
        <v>1020</v>
      </c>
      <c r="BI492" s="337"/>
      <c r="BJ492" s="337" t="s">
        <v>5</v>
      </c>
      <c r="BK492" s="337"/>
      <c r="BL492" s="337">
        <v>0</v>
      </c>
      <c r="BM492" s="337"/>
      <c r="BN492" s="337" t="s">
        <v>5</v>
      </c>
      <c r="BO492" s="337"/>
      <c r="BP492" s="337"/>
      <c r="BQ492" s="337"/>
      <c r="BR492" s="337"/>
      <c r="BS492" s="337" t="s">
        <v>5</v>
      </c>
      <c r="BT492" s="337"/>
      <c r="BU492" s="337"/>
      <c r="BV492" s="337"/>
      <c r="BW492" s="337"/>
      <c r="BX492" s="337" t="s">
        <v>6</v>
      </c>
      <c r="BY492" s="337" t="s">
        <v>426</v>
      </c>
      <c r="BZ492" s="337"/>
      <c r="CB492" s="337" t="s">
        <v>5</v>
      </c>
      <c r="CC492" s="337">
        <v>197308.59617012131</v>
      </c>
      <c r="CD492" s="337">
        <v>2394649730.0583391</v>
      </c>
      <c r="CE492" s="313" t="s">
        <v>11891</v>
      </c>
    </row>
    <row r="493" spans="1:83" ht="15" x14ac:dyDescent="0.25">
      <c r="A493" t="s">
        <v>147</v>
      </c>
      <c r="B493" t="s">
        <v>148</v>
      </c>
      <c r="C493" t="s">
        <v>398</v>
      </c>
      <c r="D493">
        <v>6</v>
      </c>
      <c r="E493" t="s">
        <v>259</v>
      </c>
      <c r="F493" t="s">
        <v>339</v>
      </c>
      <c r="G493" t="s">
        <v>39</v>
      </c>
      <c r="H493" t="s">
        <v>325</v>
      </c>
      <c r="I493" t="s">
        <v>326</v>
      </c>
      <c r="J493" t="s">
        <v>327</v>
      </c>
      <c r="K493" t="s">
        <v>340</v>
      </c>
      <c r="L493">
        <v>20.829156875610352</v>
      </c>
      <c r="M493" t="s">
        <v>6</v>
      </c>
      <c r="N493" t="s">
        <v>5</v>
      </c>
      <c r="O493" t="s">
        <v>6</v>
      </c>
      <c r="P493" t="s">
        <v>5</v>
      </c>
      <c r="Q493" t="s">
        <v>5</v>
      </c>
      <c r="R493" t="s">
        <v>399</v>
      </c>
      <c r="S493" t="s">
        <v>400</v>
      </c>
      <c r="T493" t="s">
        <v>5</v>
      </c>
      <c r="U493" t="s">
        <v>85</v>
      </c>
      <c r="V493">
        <v>1400000</v>
      </c>
      <c r="W493">
        <v>70000</v>
      </c>
      <c r="X493" t="s">
        <v>6</v>
      </c>
      <c r="Y493"/>
      <c r="Z493"/>
      <c r="AA493">
        <v>5.115361213684082</v>
      </c>
      <c r="AB493">
        <v>2.8042900562286381</v>
      </c>
      <c r="AC493">
        <v>0</v>
      </c>
      <c r="AD493">
        <v>1680</v>
      </c>
      <c r="AE493">
        <v>2834</v>
      </c>
      <c r="AF493">
        <v>1601</v>
      </c>
      <c r="AG493">
        <v>2108</v>
      </c>
      <c r="AH493">
        <v>4640</v>
      </c>
      <c r="AI493">
        <v>4640</v>
      </c>
      <c r="AJ493">
        <v>2</v>
      </c>
      <c r="AK493">
        <v>5</v>
      </c>
      <c r="AL493">
        <v>38</v>
      </c>
      <c r="AM493">
        <v>5</v>
      </c>
      <c r="AN493">
        <v>18.37308311462402</v>
      </c>
      <c r="AO493"/>
      <c r="AP493"/>
      <c r="AQ493"/>
      <c r="AR493"/>
      <c r="AS493"/>
      <c r="AT493"/>
      <c r="AU493"/>
      <c r="AV493"/>
      <c r="AW493"/>
      <c r="AX493"/>
      <c r="AY493"/>
      <c r="AZ493"/>
      <c r="BA493"/>
      <c r="BB493"/>
      <c r="BC493"/>
      <c r="BD493"/>
      <c r="BE493"/>
      <c r="BF493"/>
      <c r="BG493" t="s">
        <v>5</v>
      </c>
      <c r="BH493"/>
      <c r="BI493"/>
      <c r="BJ493" t="s">
        <v>5</v>
      </c>
      <c r="BK493"/>
      <c r="BL493">
        <v>0</v>
      </c>
      <c r="BM493"/>
      <c r="BN493" t="s">
        <v>5</v>
      </c>
      <c r="BO493" t="s">
        <v>2518</v>
      </c>
      <c r="BP493" t="s">
        <v>2518</v>
      </c>
      <c r="BQ493" t="s">
        <v>2518</v>
      </c>
      <c r="BR493"/>
      <c r="BS493" t="s">
        <v>6</v>
      </c>
      <c r="BT493" t="s">
        <v>2518</v>
      </c>
      <c r="BU493" t="s">
        <v>2518</v>
      </c>
      <c r="BV493" t="s">
        <v>2518</v>
      </c>
      <c r="BW493"/>
      <c r="BX493" t="s">
        <v>6</v>
      </c>
      <c r="BY493" t="s">
        <v>7</v>
      </c>
      <c r="BZ493" t="s">
        <v>2518</v>
      </c>
      <c r="CA493"/>
      <c r="CB493" t="s">
        <v>5</v>
      </c>
      <c r="CC493">
        <v>43324.198210052389</v>
      </c>
      <c r="CD493">
        <v>53947269.882411577</v>
      </c>
      <c r="CE493" s="313" t="s">
        <v>11891</v>
      </c>
    </row>
    <row r="494" spans="1:83" ht="15" x14ac:dyDescent="0.25">
      <c r="A494" t="s">
        <v>12372</v>
      </c>
      <c r="B494" t="s">
        <v>12373</v>
      </c>
      <c r="C494" t="s">
        <v>12374</v>
      </c>
      <c r="D494">
        <v>5</v>
      </c>
      <c r="E494" t="s">
        <v>2598</v>
      </c>
      <c r="F494" t="s">
        <v>2644</v>
      </c>
      <c r="G494" t="s">
        <v>2645</v>
      </c>
      <c r="H494" t="s">
        <v>2646</v>
      </c>
      <c r="I494" t="s">
        <v>2647</v>
      </c>
      <c r="J494" t="s">
        <v>2648</v>
      </c>
      <c r="K494" t="s">
        <v>12101</v>
      </c>
      <c r="L494">
        <v>434.4630126953125</v>
      </c>
      <c r="M494" t="s">
        <v>6</v>
      </c>
      <c r="N494" t="s">
        <v>5</v>
      </c>
      <c r="O494" t="s">
        <v>6</v>
      </c>
      <c r="P494" t="s">
        <v>5</v>
      </c>
      <c r="Q494" t="s">
        <v>5</v>
      </c>
      <c r="R494" t="s">
        <v>2649</v>
      </c>
      <c r="S494" t="s">
        <v>2649</v>
      </c>
      <c r="T494" t="s">
        <v>5</v>
      </c>
      <c r="U494" t="s">
        <v>50</v>
      </c>
      <c r="V494">
        <v>69022</v>
      </c>
      <c r="W494">
        <v>69022</v>
      </c>
      <c r="X494" t="s">
        <v>6</v>
      </c>
      <c r="Y494"/>
      <c r="Z494"/>
      <c r="AA494">
        <v>132.16700744628909</v>
      </c>
      <c r="AB494">
        <v>27.913600921630859</v>
      </c>
      <c r="AC494">
        <v>0</v>
      </c>
      <c r="AD494">
        <v>2245</v>
      </c>
      <c r="AE494">
        <v>1093</v>
      </c>
      <c r="AF494">
        <v>1180</v>
      </c>
      <c r="AG494">
        <v>2248</v>
      </c>
      <c r="AH494">
        <v>2940</v>
      </c>
      <c r="AI494">
        <v>4352</v>
      </c>
      <c r="AJ494">
        <v>7</v>
      </c>
      <c r="AK494">
        <v>0</v>
      </c>
      <c r="AL494">
        <v>100</v>
      </c>
      <c r="AM494">
        <v>0</v>
      </c>
      <c r="AN494">
        <v>58715</v>
      </c>
      <c r="AO494"/>
      <c r="AP494"/>
      <c r="AQ494"/>
      <c r="AR494">
        <v>0</v>
      </c>
      <c r="AS494">
        <v>0</v>
      </c>
      <c r="AT494">
        <v>0</v>
      </c>
      <c r="AU494">
        <v>0</v>
      </c>
      <c r="AV494">
        <v>0</v>
      </c>
      <c r="AW494">
        <v>0</v>
      </c>
      <c r="AX494">
        <v>0</v>
      </c>
      <c r="AY494">
        <v>0</v>
      </c>
      <c r="AZ494">
        <v>0</v>
      </c>
      <c r="BA494">
        <v>0</v>
      </c>
      <c r="BB494"/>
      <c r="BC494"/>
      <c r="BD494"/>
      <c r="BE494">
        <v>0</v>
      </c>
      <c r="BF494" t="s">
        <v>2516</v>
      </c>
      <c r="BG494" t="s">
        <v>5</v>
      </c>
      <c r="BH494" t="s">
        <v>1020</v>
      </c>
      <c r="BI494"/>
      <c r="BJ494" t="s">
        <v>5</v>
      </c>
      <c r="BK494"/>
      <c r="BL494">
        <v>0</v>
      </c>
      <c r="BM494"/>
      <c r="BN494" t="s">
        <v>5</v>
      </c>
      <c r="BO494" t="s">
        <v>2518</v>
      </c>
      <c r="BP494" t="s">
        <v>2518</v>
      </c>
      <c r="BQ494" t="s">
        <v>2518</v>
      </c>
      <c r="BR494"/>
      <c r="BS494" t="s">
        <v>6</v>
      </c>
      <c r="BT494" t="s">
        <v>2518</v>
      </c>
      <c r="BU494" t="s">
        <v>2518</v>
      </c>
      <c r="BV494" t="s">
        <v>2518</v>
      </c>
      <c r="BW494"/>
      <c r="BX494" t="s">
        <v>6</v>
      </c>
      <c r="BY494" t="s">
        <v>2605</v>
      </c>
      <c r="BZ494" t="s">
        <v>2518</v>
      </c>
      <c r="CA494"/>
      <c r="CB494" t="s">
        <v>5</v>
      </c>
      <c r="CC494">
        <v>278427.62777734629</v>
      </c>
      <c r="CD494">
        <v>1125258898.973012</v>
      </c>
      <c r="CE494" s="313" t="s">
        <v>11902</v>
      </c>
    </row>
    <row r="495" spans="1:83" ht="15" x14ac:dyDescent="0.25">
      <c r="A495" t="s">
        <v>1943</v>
      </c>
      <c r="B495" t="s">
        <v>1944</v>
      </c>
      <c r="C495" t="s">
        <v>1945</v>
      </c>
      <c r="D495">
        <v>3</v>
      </c>
      <c r="E495" t="s">
        <v>1771</v>
      </c>
      <c r="F495" t="s">
        <v>1858</v>
      </c>
      <c r="G495" t="s">
        <v>1859</v>
      </c>
      <c r="H495" t="s">
        <v>1946</v>
      </c>
      <c r="I495" t="s">
        <v>1947</v>
      </c>
      <c r="J495" t="s">
        <v>1948</v>
      </c>
      <c r="K495" t="s">
        <v>1949</v>
      </c>
      <c r="L495">
        <v>2.0215919017791748</v>
      </c>
      <c r="M495" t="s">
        <v>6</v>
      </c>
      <c r="N495" t="s">
        <v>5</v>
      </c>
      <c r="O495" t="s">
        <v>5</v>
      </c>
      <c r="P495" t="s">
        <v>5</v>
      </c>
      <c r="Q495" t="s">
        <v>5</v>
      </c>
      <c r="R495" t="s">
        <v>4405</v>
      </c>
      <c r="S495" t="s">
        <v>1950</v>
      </c>
      <c r="T495" t="s">
        <v>5</v>
      </c>
      <c r="U495" t="s">
        <v>13</v>
      </c>
      <c r="V495">
        <v>65000</v>
      </c>
      <c r="W495">
        <v>65000</v>
      </c>
      <c r="X495" t="s">
        <v>6</v>
      </c>
      <c r="Y495"/>
      <c r="Z495">
        <v>6500</v>
      </c>
      <c r="AA495">
        <v>5.9211049228906631E-2</v>
      </c>
      <c r="AB495">
        <v>1.465512998402119E-2</v>
      </c>
      <c r="AC495">
        <v>9.0800384059548378E-3</v>
      </c>
      <c r="AD495">
        <v>8</v>
      </c>
      <c r="AE495">
        <v>5</v>
      </c>
      <c r="AF495">
        <v>4</v>
      </c>
      <c r="AG495">
        <v>5</v>
      </c>
      <c r="AH495">
        <v>9</v>
      </c>
      <c r="AI495">
        <v>9</v>
      </c>
      <c r="AJ495">
        <v>163</v>
      </c>
      <c r="AK495">
        <v>530</v>
      </c>
      <c r="AL495">
        <v>0</v>
      </c>
      <c r="AM495"/>
      <c r="AN495">
        <v>0.48076128959655762</v>
      </c>
      <c r="AO495"/>
      <c r="AP495"/>
      <c r="AQ495"/>
      <c r="AR495"/>
      <c r="AS495"/>
      <c r="AT495"/>
      <c r="AU495"/>
      <c r="AV495"/>
      <c r="AW495"/>
      <c r="AX495"/>
      <c r="AY495"/>
      <c r="AZ495"/>
      <c r="BA495"/>
      <c r="BB495"/>
      <c r="BC495"/>
      <c r="BD495"/>
      <c r="BE495"/>
      <c r="BF495" t="s">
        <v>5</v>
      </c>
      <c r="BG495" t="s">
        <v>5</v>
      </c>
      <c r="BH495" t="s">
        <v>1777</v>
      </c>
      <c r="BI495"/>
      <c r="BJ495" t="s">
        <v>5</v>
      </c>
      <c r="BK495"/>
      <c r="BL495">
        <v>0</v>
      </c>
      <c r="BM495"/>
      <c r="BN495" t="s">
        <v>5</v>
      </c>
      <c r="BO495"/>
      <c r="BP495"/>
      <c r="BQ495"/>
      <c r="BR495"/>
      <c r="BS495" t="s">
        <v>5</v>
      </c>
      <c r="BT495"/>
      <c r="BU495"/>
      <c r="BV495"/>
      <c r="BW495" t="s">
        <v>1778</v>
      </c>
      <c r="BX495" t="s">
        <v>6</v>
      </c>
      <c r="BY495" t="s">
        <v>1101</v>
      </c>
      <c r="BZ495"/>
      <c r="CA495"/>
      <c r="CB495" t="s">
        <v>5</v>
      </c>
      <c r="CC495">
        <v>14132.731198507479</v>
      </c>
      <c r="CD495">
        <v>5237283.8536767038</v>
      </c>
      <c r="CE495" s="313" t="s">
        <v>11891</v>
      </c>
    </row>
    <row r="496" spans="1:83" ht="15" x14ac:dyDescent="0.25">
      <c r="A496" t="s">
        <v>12447</v>
      </c>
      <c r="B496" t="s">
        <v>12448</v>
      </c>
      <c r="C496" t="s">
        <v>12449</v>
      </c>
      <c r="D496">
        <v>6</v>
      </c>
      <c r="E496" t="s">
        <v>259</v>
      </c>
      <c r="F496" t="s">
        <v>12450</v>
      </c>
      <c r="G496" t="s">
        <v>12451</v>
      </c>
      <c r="H496"/>
      <c r="I496"/>
      <c r="J496" t="s">
        <v>2518</v>
      </c>
      <c r="K496" t="s">
        <v>12452</v>
      </c>
      <c r="L496">
        <v>2388.07861328125</v>
      </c>
      <c r="M496" t="s">
        <v>6</v>
      </c>
      <c r="N496" t="s">
        <v>5</v>
      </c>
      <c r="O496" t="s">
        <v>5</v>
      </c>
      <c r="P496" t="s">
        <v>5</v>
      </c>
      <c r="Q496" t="s">
        <v>5</v>
      </c>
      <c r="R496" t="s">
        <v>5136</v>
      </c>
      <c r="S496" t="s">
        <v>5136</v>
      </c>
      <c r="T496" t="s">
        <v>5</v>
      </c>
      <c r="U496" t="s">
        <v>28</v>
      </c>
      <c r="V496">
        <v>1286000</v>
      </c>
      <c r="W496">
        <v>64300</v>
      </c>
      <c r="X496" t="s">
        <v>6</v>
      </c>
      <c r="Y496"/>
      <c r="Z496"/>
      <c r="AA496">
        <v>519.48846435546875</v>
      </c>
      <c r="AB496">
        <v>116.686393737793</v>
      </c>
      <c r="AC496">
        <v>0.36671185493469238</v>
      </c>
      <c r="AD496">
        <v>27280</v>
      </c>
      <c r="AE496">
        <v>26159</v>
      </c>
      <c r="AF496">
        <v>21172</v>
      </c>
      <c r="AG496">
        <v>42260</v>
      </c>
      <c r="AH496">
        <v>49092</v>
      </c>
      <c r="AI496">
        <v>76613</v>
      </c>
      <c r="AJ496">
        <v>130</v>
      </c>
      <c r="AK496">
        <v>102</v>
      </c>
      <c r="AL496">
        <v>668</v>
      </c>
      <c r="AM496">
        <v>102</v>
      </c>
      <c r="AN496">
        <v>2806.271240234375</v>
      </c>
      <c r="AO496"/>
      <c r="AP496"/>
      <c r="AQ496"/>
      <c r="AR496"/>
      <c r="AS496"/>
      <c r="AT496"/>
      <c r="AU496"/>
      <c r="AV496"/>
      <c r="AW496"/>
      <c r="AX496"/>
      <c r="AY496"/>
      <c r="AZ496"/>
      <c r="BA496"/>
      <c r="BB496"/>
      <c r="BC496"/>
      <c r="BD496"/>
      <c r="BE496"/>
      <c r="BF496"/>
      <c r="BG496" t="s">
        <v>5</v>
      </c>
      <c r="BH496"/>
      <c r="BI496"/>
      <c r="BJ496" t="s">
        <v>5</v>
      </c>
      <c r="BK496"/>
      <c r="BL496">
        <v>0</v>
      </c>
      <c r="BM496"/>
      <c r="BN496" t="s">
        <v>5</v>
      </c>
      <c r="BO496" t="s">
        <v>2518</v>
      </c>
      <c r="BP496" t="s">
        <v>2518</v>
      </c>
      <c r="BQ496" t="s">
        <v>2518</v>
      </c>
      <c r="BR496"/>
      <c r="BS496" t="s">
        <v>6</v>
      </c>
      <c r="BT496" t="s">
        <v>2518</v>
      </c>
      <c r="BU496" t="s">
        <v>2518</v>
      </c>
      <c r="BV496" t="s">
        <v>2518</v>
      </c>
      <c r="BW496"/>
      <c r="BX496" t="s">
        <v>6</v>
      </c>
      <c r="BY496" t="s">
        <v>12412</v>
      </c>
      <c r="BZ496" t="s">
        <v>2518</v>
      </c>
      <c r="CA496"/>
      <c r="CB496" t="s">
        <v>5</v>
      </c>
      <c r="CC496">
        <v>557476.03199257189</v>
      </c>
      <c r="CD496">
        <v>6185126978.2495899</v>
      </c>
      <c r="CE496" s="313" t="s">
        <v>11902</v>
      </c>
    </row>
    <row r="497" spans="1:83" ht="15" x14ac:dyDescent="0.25">
      <c r="A497" t="s">
        <v>12453</v>
      </c>
      <c r="B497" t="s">
        <v>12454</v>
      </c>
      <c r="C497" t="s">
        <v>12455</v>
      </c>
      <c r="D497">
        <v>6</v>
      </c>
      <c r="E497" t="s">
        <v>259</v>
      </c>
      <c r="F497" t="s">
        <v>2</v>
      </c>
      <c r="G497" t="s">
        <v>12456</v>
      </c>
      <c r="H497" t="s">
        <v>12457</v>
      </c>
      <c r="I497"/>
      <c r="J497" t="s">
        <v>2518</v>
      </c>
      <c r="K497" t="s">
        <v>21</v>
      </c>
      <c r="L497">
        <v>1768.513061523438</v>
      </c>
      <c r="M497" t="s">
        <v>6</v>
      </c>
      <c r="N497" t="s">
        <v>6</v>
      </c>
      <c r="O497" t="s">
        <v>5</v>
      </c>
      <c r="P497" t="s">
        <v>5</v>
      </c>
      <c r="Q497" t="s">
        <v>5</v>
      </c>
      <c r="R497" t="s">
        <v>262</v>
      </c>
      <c r="S497" t="s">
        <v>262</v>
      </c>
      <c r="T497" t="s">
        <v>6</v>
      </c>
      <c r="U497" t="s">
        <v>50</v>
      </c>
      <c r="V497">
        <v>1266000</v>
      </c>
      <c r="W497">
        <v>63300</v>
      </c>
      <c r="X497" t="s">
        <v>6</v>
      </c>
      <c r="Y497"/>
      <c r="Z497"/>
      <c r="AA497">
        <v>441.91708374023438</v>
      </c>
      <c r="AB497">
        <v>200.0979919433594</v>
      </c>
      <c r="AC497">
        <v>0.69722104072570801</v>
      </c>
      <c r="AD497">
        <v>143588</v>
      </c>
      <c r="AE497">
        <v>182312</v>
      </c>
      <c r="AF497">
        <v>120752</v>
      </c>
      <c r="AG497">
        <v>590981</v>
      </c>
      <c r="AH497">
        <v>545531</v>
      </c>
      <c r="AI497">
        <v>976848</v>
      </c>
      <c r="AJ497">
        <v>2132</v>
      </c>
      <c r="AK497">
        <v>84</v>
      </c>
      <c r="AL497">
        <v>2407</v>
      </c>
      <c r="AM497">
        <v>84</v>
      </c>
      <c r="AN497">
        <v>5983.72802734375</v>
      </c>
      <c r="AO497"/>
      <c r="AP497"/>
      <c r="AQ497"/>
      <c r="AR497"/>
      <c r="AS497"/>
      <c r="AT497"/>
      <c r="AU497"/>
      <c r="AV497"/>
      <c r="AW497"/>
      <c r="AX497"/>
      <c r="AY497"/>
      <c r="AZ497"/>
      <c r="BA497"/>
      <c r="BB497"/>
      <c r="BC497"/>
      <c r="BD497"/>
      <c r="BE497"/>
      <c r="BF497"/>
      <c r="BG497" t="s">
        <v>5</v>
      </c>
      <c r="BH497"/>
      <c r="BI497"/>
      <c r="BJ497" t="s">
        <v>5</v>
      </c>
      <c r="BK497"/>
      <c r="BL497">
        <v>0</v>
      </c>
      <c r="BM497"/>
      <c r="BN497" t="s">
        <v>5</v>
      </c>
      <c r="BO497" t="s">
        <v>2518</v>
      </c>
      <c r="BP497" t="s">
        <v>2518</v>
      </c>
      <c r="BQ497" t="s">
        <v>2518</v>
      </c>
      <c r="BR497"/>
      <c r="BS497" t="s">
        <v>6</v>
      </c>
      <c r="BT497" t="s">
        <v>2518</v>
      </c>
      <c r="BU497" t="s">
        <v>2518</v>
      </c>
      <c r="BV497" t="s">
        <v>2518</v>
      </c>
      <c r="BW497"/>
      <c r="BX497" t="s">
        <v>6</v>
      </c>
      <c r="BY497" t="s">
        <v>12412</v>
      </c>
      <c r="BZ497" t="s">
        <v>2518</v>
      </c>
      <c r="CA497"/>
      <c r="CB497" t="s">
        <v>5</v>
      </c>
      <c r="CC497">
        <v>368003.63697626092</v>
      </c>
      <c r="CD497">
        <v>4580445986.1852579</v>
      </c>
      <c r="CE497" s="313" t="s">
        <v>11902</v>
      </c>
    </row>
    <row r="498" spans="1:83" ht="15" x14ac:dyDescent="0.25">
      <c r="A498" t="s">
        <v>2758</v>
      </c>
      <c r="B498" t="s">
        <v>2759</v>
      </c>
      <c r="C498" t="s">
        <v>2760</v>
      </c>
      <c r="D498">
        <v>5</v>
      </c>
      <c r="E498" t="s">
        <v>2598</v>
      </c>
      <c r="F498" t="s">
        <v>2613</v>
      </c>
      <c r="G498" t="s">
        <v>2676</v>
      </c>
      <c r="H498" t="s">
        <v>2682</v>
      </c>
      <c r="I498"/>
      <c r="J498"/>
      <c r="K498" t="s">
        <v>2731</v>
      </c>
      <c r="L498">
        <v>860.9822998046875</v>
      </c>
      <c r="M498" t="s">
        <v>6</v>
      </c>
      <c r="N498" t="s">
        <v>5</v>
      </c>
      <c r="O498" t="s">
        <v>6</v>
      </c>
      <c r="P498" t="s">
        <v>5</v>
      </c>
      <c r="Q498" t="s">
        <v>6</v>
      </c>
      <c r="R498" t="s">
        <v>2678</v>
      </c>
      <c r="S498" t="s">
        <v>2684</v>
      </c>
      <c r="T498" t="s">
        <v>6</v>
      </c>
      <c r="U498" t="s">
        <v>85</v>
      </c>
      <c r="V498">
        <v>2000000</v>
      </c>
      <c r="W498">
        <v>63000</v>
      </c>
      <c r="X498" t="s">
        <v>6</v>
      </c>
      <c r="Y498"/>
      <c r="Z498"/>
      <c r="AA498">
        <v>228.10618591308591</v>
      </c>
      <c r="AB498">
        <v>10.454215049743651</v>
      </c>
      <c r="AC498">
        <v>8.7180318832397461</v>
      </c>
      <c r="AD498">
        <v>1201</v>
      </c>
      <c r="AE498">
        <v>217</v>
      </c>
      <c r="AF498">
        <v>750</v>
      </c>
      <c r="AG498">
        <v>6718</v>
      </c>
      <c r="AH498">
        <v>2570</v>
      </c>
      <c r="AI498">
        <v>8420</v>
      </c>
      <c r="AJ498">
        <v>11</v>
      </c>
      <c r="AK498">
        <v>19</v>
      </c>
      <c r="AL498">
        <v>66</v>
      </c>
      <c r="AM498">
        <v>19</v>
      </c>
      <c r="AN498">
        <v>165.36151123046881</v>
      </c>
      <c r="AO498"/>
      <c r="AP498"/>
      <c r="AQ498"/>
      <c r="AR498">
        <v>0</v>
      </c>
      <c r="AS498">
        <v>0</v>
      </c>
      <c r="AT498">
        <v>0</v>
      </c>
      <c r="AU498">
        <v>0</v>
      </c>
      <c r="AV498">
        <v>0</v>
      </c>
      <c r="AW498">
        <v>0</v>
      </c>
      <c r="AX498">
        <v>0</v>
      </c>
      <c r="AY498">
        <v>0</v>
      </c>
      <c r="AZ498">
        <v>0</v>
      </c>
      <c r="BA498">
        <v>0</v>
      </c>
      <c r="BB498"/>
      <c r="BC498"/>
      <c r="BD498"/>
      <c r="BE498">
        <v>0</v>
      </c>
      <c r="BF498" t="s">
        <v>2516</v>
      </c>
      <c r="BG498" t="s">
        <v>5</v>
      </c>
      <c r="BH498" t="s">
        <v>1020</v>
      </c>
      <c r="BI498"/>
      <c r="BJ498" t="s">
        <v>5</v>
      </c>
      <c r="BK498"/>
      <c r="BL498">
        <v>0</v>
      </c>
      <c r="BM498"/>
      <c r="BN498" t="s">
        <v>6</v>
      </c>
      <c r="BO498" t="s">
        <v>2518</v>
      </c>
      <c r="BP498" t="s">
        <v>2518</v>
      </c>
      <c r="BQ498" t="s">
        <v>2518</v>
      </c>
      <c r="BR498"/>
      <c r="BS498" t="s">
        <v>6</v>
      </c>
      <c r="BT498" t="s">
        <v>2518</v>
      </c>
      <c r="BU498" t="s">
        <v>2518</v>
      </c>
      <c r="BV498" t="s">
        <v>2518</v>
      </c>
      <c r="BW498"/>
      <c r="BX498" t="s">
        <v>6</v>
      </c>
      <c r="BY498" t="s">
        <v>2605</v>
      </c>
      <c r="BZ498" t="s">
        <v>2518</v>
      </c>
      <c r="CA498"/>
      <c r="CB498" t="s">
        <v>5</v>
      </c>
      <c r="CC498">
        <v>347588.24190946837</v>
      </c>
      <c r="CD498">
        <v>2229933853.8416839</v>
      </c>
      <c r="CE498" s="313" t="s">
        <v>11891</v>
      </c>
    </row>
    <row r="499" spans="1:83" ht="15" x14ac:dyDescent="0.25">
      <c r="A499" t="s">
        <v>3602</v>
      </c>
      <c r="B499" t="s">
        <v>3603</v>
      </c>
      <c r="C499" t="s">
        <v>3604</v>
      </c>
      <c r="D499">
        <v>13</v>
      </c>
      <c r="E499" t="s">
        <v>3573</v>
      </c>
      <c r="F499" t="s">
        <v>3595</v>
      </c>
      <c r="G499" t="s">
        <v>3596</v>
      </c>
      <c r="H499" t="s">
        <v>3597</v>
      </c>
      <c r="I499"/>
      <c r="J499"/>
      <c r="K499" t="s">
        <v>3605</v>
      </c>
      <c r="L499">
        <v>1214.849731445312</v>
      </c>
      <c r="M499" t="s">
        <v>6</v>
      </c>
      <c r="N499" t="s">
        <v>6</v>
      </c>
      <c r="O499" t="s">
        <v>6</v>
      </c>
      <c r="P499" t="s">
        <v>5</v>
      </c>
      <c r="Q499" t="s">
        <v>5</v>
      </c>
      <c r="R499" t="s">
        <v>3599</v>
      </c>
      <c r="S499" t="s">
        <v>3600</v>
      </c>
      <c r="T499" t="s">
        <v>6</v>
      </c>
      <c r="U499" t="s">
        <v>85</v>
      </c>
      <c r="V499">
        <v>60000</v>
      </c>
      <c r="W499">
        <v>60000</v>
      </c>
      <c r="X499" t="s">
        <v>5</v>
      </c>
      <c r="Y499"/>
      <c r="Z499"/>
      <c r="AA499">
        <v>189.6795959472656</v>
      </c>
      <c r="AB499">
        <v>63.268394470214837</v>
      </c>
      <c r="AC499">
        <v>0</v>
      </c>
      <c r="AD499">
        <v>1947</v>
      </c>
      <c r="AE499">
        <v>1229</v>
      </c>
      <c r="AF499">
        <v>1498</v>
      </c>
      <c r="AG499">
        <v>3669</v>
      </c>
      <c r="AH499">
        <v>3442</v>
      </c>
      <c r="AI499">
        <v>3669</v>
      </c>
      <c r="AJ499">
        <v>1</v>
      </c>
      <c r="AK499">
        <v>28</v>
      </c>
      <c r="AL499">
        <v>141</v>
      </c>
      <c r="AM499">
        <v>570</v>
      </c>
      <c r="AN499">
        <v>3068.908447265625</v>
      </c>
      <c r="AO499"/>
      <c r="AP499"/>
      <c r="AQ499"/>
      <c r="AR499"/>
      <c r="AS499"/>
      <c r="AT499"/>
      <c r="AU499"/>
      <c r="AV499"/>
      <c r="AW499"/>
      <c r="AX499"/>
      <c r="AY499"/>
      <c r="AZ499"/>
      <c r="BA499"/>
      <c r="BB499"/>
      <c r="BC499"/>
      <c r="BD499"/>
      <c r="BE499">
        <v>0</v>
      </c>
      <c r="BF499" t="s">
        <v>5</v>
      </c>
      <c r="BG499" t="s">
        <v>5</v>
      </c>
      <c r="BH499" t="s">
        <v>3581</v>
      </c>
      <c r="BI499"/>
      <c r="BJ499" t="s">
        <v>5</v>
      </c>
      <c r="BK499"/>
      <c r="BL499">
        <v>0</v>
      </c>
      <c r="BM499"/>
      <c r="BN499" t="s">
        <v>5</v>
      </c>
      <c r="BO499"/>
      <c r="BP499"/>
      <c r="BQ499"/>
      <c r="BR499"/>
      <c r="BS499" t="s">
        <v>5</v>
      </c>
      <c r="BT499"/>
      <c r="BU499"/>
      <c r="BV499"/>
      <c r="BW499"/>
      <c r="BX499" t="s">
        <v>6</v>
      </c>
      <c r="BY499" t="s">
        <v>3601</v>
      </c>
      <c r="BZ499"/>
      <c r="CA499"/>
      <c r="CB499" t="s">
        <v>5</v>
      </c>
      <c r="CC499">
        <v>235343.69200057781</v>
      </c>
      <c r="CD499">
        <v>3146458973.8489671</v>
      </c>
      <c r="CE499" s="313" t="s">
        <v>11891</v>
      </c>
    </row>
    <row r="500" spans="1:83" ht="15" x14ac:dyDescent="0.25">
      <c r="A500" t="s">
        <v>2582</v>
      </c>
      <c r="B500" t="s">
        <v>2583</v>
      </c>
      <c r="C500" t="s">
        <v>2584</v>
      </c>
      <c r="D500">
        <v>4</v>
      </c>
      <c r="E500" t="s">
        <v>2512</v>
      </c>
      <c r="F500" t="s">
        <v>2553</v>
      </c>
      <c r="G500" t="s">
        <v>2537</v>
      </c>
      <c r="H500" t="s">
        <v>2554</v>
      </c>
      <c r="I500" t="s">
        <v>2555</v>
      </c>
      <c r="J500" t="s">
        <v>2556</v>
      </c>
      <c r="K500" t="s">
        <v>2530</v>
      </c>
      <c r="L500">
        <v>2.4208247661590581</v>
      </c>
      <c r="M500" t="s">
        <v>6</v>
      </c>
      <c r="N500" t="s">
        <v>5</v>
      </c>
      <c r="O500" t="s">
        <v>5</v>
      </c>
      <c r="P500" t="s">
        <v>5</v>
      </c>
      <c r="Q500" t="s">
        <v>5</v>
      </c>
      <c r="R500" t="s">
        <v>2557</v>
      </c>
      <c r="S500" t="s">
        <v>2557</v>
      </c>
      <c r="T500" t="s">
        <v>5</v>
      </c>
      <c r="U500" t="s">
        <v>4</v>
      </c>
      <c r="V500">
        <v>60000</v>
      </c>
      <c r="W500">
        <v>60000</v>
      </c>
      <c r="X500" t="s">
        <v>6</v>
      </c>
      <c r="Y500"/>
      <c r="Z500">
        <v>0</v>
      </c>
      <c r="AA500">
        <v>1.215219259262085</v>
      </c>
      <c r="AB500">
        <v>5.0339870154857642E-2</v>
      </c>
      <c r="AC500">
        <v>0</v>
      </c>
      <c r="AD500">
        <v>249</v>
      </c>
      <c r="AE500">
        <v>41</v>
      </c>
      <c r="AF500">
        <v>224</v>
      </c>
      <c r="AG500">
        <v>89</v>
      </c>
      <c r="AH500">
        <v>364</v>
      </c>
      <c r="AI500">
        <v>364</v>
      </c>
      <c r="AJ500">
        <v>0</v>
      </c>
      <c r="AK500">
        <v>0</v>
      </c>
      <c r="AL500">
        <v>1</v>
      </c>
      <c r="AM500">
        <v>0</v>
      </c>
      <c r="AN500">
        <v>4.3455944061279297</v>
      </c>
      <c r="AO500"/>
      <c r="AP500"/>
      <c r="AQ500"/>
      <c r="AR500">
        <v>0</v>
      </c>
      <c r="AS500">
        <v>0</v>
      </c>
      <c r="AT500">
        <v>0</v>
      </c>
      <c r="AU500">
        <v>0</v>
      </c>
      <c r="AV500">
        <v>0</v>
      </c>
      <c r="AW500">
        <v>0</v>
      </c>
      <c r="AX500">
        <v>0</v>
      </c>
      <c r="AY500">
        <v>0</v>
      </c>
      <c r="AZ500">
        <v>0</v>
      </c>
      <c r="BA500">
        <v>0</v>
      </c>
      <c r="BB500"/>
      <c r="BC500"/>
      <c r="BD500"/>
      <c r="BE500">
        <v>0</v>
      </c>
      <c r="BF500" t="s">
        <v>2516</v>
      </c>
      <c r="BG500" t="s">
        <v>5</v>
      </c>
      <c r="BH500" t="s">
        <v>1020</v>
      </c>
      <c r="BI500" t="s">
        <v>2517</v>
      </c>
      <c r="BJ500" t="s">
        <v>5</v>
      </c>
      <c r="BK500" t="s">
        <v>1100</v>
      </c>
      <c r="BL500">
        <v>0</v>
      </c>
      <c r="BM500"/>
      <c r="BN500" t="s">
        <v>5</v>
      </c>
      <c r="BO500" t="s">
        <v>2518</v>
      </c>
      <c r="BP500" t="s">
        <v>2518</v>
      </c>
      <c r="BQ500" t="s">
        <v>2518</v>
      </c>
      <c r="BR500" t="s">
        <v>2518</v>
      </c>
      <c r="BS500" t="s">
        <v>6</v>
      </c>
      <c r="BT500" t="s">
        <v>2518</v>
      </c>
      <c r="BU500" t="s">
        <v>2518</v>
      </c>
      <c r="BV500" t="s">
        <v>2518</v>
      </c>
      <c r="BW500" t="s">
        <v>1100</v>
      </c>
      <c r="BX500" t="s">
        <v>6</v>
      </c>
      <c r="BY500" t="s">
        <v>2519</v>
      </c>
      <c r="BZ500"/>
      <c r="CA500"/>
      <c r="CB500" t="s">
        <v>5</v>
      </c>
      <c r="CC500">
        <v>13609.02486513186</v>
      </c>
      <c r="CD500">
        <v>6269907.6003069105</v>
      </c>
      <c r="CE500" s="313" t="s">
        <v>11891</v>
      </c>
    </row>
    <row r="501" spans="1:83" ht="15" x14ac:dyDescent="0.25">
      <c r="A501" t="s">
        <v>2880</v>
      </c>
      <c r="B501" t="s">
        <v>2881</v>
      </c>
      <c r="C501" t="s">
        <v>2882</v>
      </c>
      <c r="D501">
        <v>5</v>
      </c>
      <c r="E501" t="s">
        <v>2598</v>
      </c>
      <c r="F501" t="s">
        <v>2874</v>
      </c>
      <c r="G501" t="s">
        <v>2875</v>
      </c>
      <c r="H501" t="s">
        <v>2876</v>
      </c>
      <c r="I501" t="s">
        <v>2877</v>
      </c>
      <c r="J501" t="s">
        <v>2878</v>
      </c>
      <c r="K501" t="s">
        <v>2620</v>
      </c>
      <c r="L501">
        <v>3.9699583053588872</v>
      </c>
      <c r="M501" t="s">
        <v>6</v>
      </c>
      <c r="N501" t="s">
        <v>5</v>
      </c>
      <c r="O501" t="s">
        <v>5</v>
      </c>
      <c r="P501" t="s">
        <v>5</v>
      </c>
      <c r="Q501" t="s">
        <v>6</v>
      </c>
      <c r="R501" t="s">
        <v>2879</v>
      </c>
      <c r="S501" t="s">
        <v>2879</v>
      </c>
      <c r="T501" t="s">
        <v>6</v>
      </c>
      <c r="U501" t="s">
        <v>98</v>
      </c>
      <c r="V501">
        <v>6000000</v>
      </c>
      <c r="W501">
        <v>60000</v>
      </c>
      <c r="X501" t="s">
        <v>6</v>
      </c>
      <c r="Y501"/>
      <c r="Z501"/>
      <c r="AA501">
        <v>0.63839852809906006</v>
      </c>
      <c r="AB501">
        <v>0.45848017930984503</v>
      </c>
      <c r="AC501">
        <v>0.13193340599536901</v>
      </c>
      <c r="AD501">
        <v>3</v>
      </c>
      <c r="AE501">
        <v>16</v>
      </c>
      <c r="AF501">
        <v>2</v>
      </c>
      <c r="AG501">
        <v>1</v>
      </c>
      <c r="AH501">
        <v>2</v>
      </c>
      <c r="AI501">
        <v>2</v>
      </c>
      <c r="AJ501">
        <v>0</v>
      </c>
      <c r="AK501">
        <v>0</v>
      </c>
      <c r="AL501">
        <v>1</v>
      </c>
      <c r="AM501">
        <v>0</v>
      </c>
      <c r="AN501">
        <v>4.4087089598178857E-2</v>
      </c>
      <c r="AO501"/>
      <c r="AP501"/>
      <c r="AQ501"/>
      <c r="AR501">
        <v>0</v>
      </c>
      <c r="AS501">
        <v>0</v>
      </c>
      <c r="AT501">
        <v>0</v>
      </c>
      <c r="AU501">
        <v>0</v>
      </c>
      <c r="AV501">
        <v>0</v>
      </c>
      <c r="AW501">
        <v>0</v>
      </c>
      <c r="AX501">
        <v>0</v>
      </c>
      <c r="AY501">
        <v>0</v>
      </c>
      <c r="AZ501">
        <v>0</v>
      </c>
      <c r="BA501">
        <v>0</v>
      </c>
      <c r="BB501"/>
      <c r="BC501"/>
      <c r="BD501"/>
      <c r="BE501">
        <v>0</v>
      </c>
      <c r="BF501" t="s">
        <v>2516</v>
      </c>
      <c r="BG501" t="s">
        <v>5</v>
      </c>
      <c r="BH501" t="s">
        <v>1020</v>
      </c>
      <c r="BI501"/>
      <c r="BJ501" t="s">
        <v>5</v>
      </c>
      <c r="BK501"/>
      <c r="BL501">
        <v>100</v>
      </c>
      <c r="BM501"/>
      <c r="BN501" t="s">
        <v>6</v>
      </c>
      <c r="BO501" t="s">
        <v>2518</v>
      </c>
      <c r="BP501" t="s">
        <v>2518</v>
      </c>
      <c r="BQ501" t="s">
        <v>2518</v>
      </c>
      <c r="BR501"/>
      <c r="BS501" t="s">
        <v>6</v>
      </c>
      <c r="BT501" t="s">
        <v>2518</v>
      </c>
      <c r="BU501" t="s">
        <v>2518</v>
      </c>
      <c r="BV501" t="s">
        <v>2518</v>
      </c>
      <c r="BW501"/>
      <c r="BX501" t="s">
        <v>6</v>
      </c>
      <c r="BY501" t="s">
        <v>2605</v>
      </c>
      <c r="BZ501" t="s">
        <v>2518</v>
      </c>
      <c r="CA501"/>
      <c r="CB501" t="s">
        <v>6</v>
      </c>
      <c r="CC501">
        <v>19244.718912472621</v>
      </c>
      <c r="CD501">
        <v>10282145.097213341</v>
      </c>
      <c r="CE501" s="313" t="s">
        <v>11891</v>
      </c>
    </row>
    <row r="502" spans="1:83" ht="15" x14ac:dyDescent="0.25">
      <c r="A502" t="s">
        <v>2928</v>
      </c>
      <c r="B502" t="s">
        <v>2929</v>
      </c>
      <c r="C502" t="s">
        <v>2930</v>
      </c>
      <c r="D502">
        <v>5</v>
      </c>
      <c r="E502" t="s">
        <v>2598</v>
      </c>
      <c r="F502" t="s">
        <v>2874</v>
      </c>
      <c r="G502" t="s">
        <v>2616</v>
      </c>
      <c r="H502" t="s">
        <v>2931</v>
      </c>
      <c r="I502" t="s">
        <v>2932</v>
      </c>
      <c r="J502" t="s">
        <v>2933</v>
      </c>
      <c r="K502" t="s">
        <v>2919</v>
      </c>
      <c r="L502">
        <v>2.3354461193084721</v>
      </c>
      <c r="M502" t="s">
        <v>6</v>
      </c>
      <c r="N502" t="s">
        <v>5</v>
      </c>
      <c r="O502" t="s">
        <v>5</v>
      </c>
      <c r="P502" t="s">
        <v>5</v>
      </c>
      <c r="Q502" t="s">
        <v>6</v>
      </c>
      <c r="R502" t="s">
        <v>2934</v>
      </c>
      <c r="S502" t="s">
        <v>2934</v>
      </c>
      <c r="T502" t="s">
        <v>6</v>
      </c>
      <c r="U502" t="s">
        <v>85</v>
      </c>
      <c r="V502">
        <v>1000000</v>
      </c>
      <c r="W502">
        <v>60000</v>
      </c>
      <c r="X502" t="s">
        <v>6</v>
      </c>
      <c r="Y502"/>
      <c r="Z502"/>
      <c r="AA502">
        <v>1.164615750312805</v>
      </c>
      <c r="AB502">
        <v>0.423287034034729</v>
      </c>
      <c r="AC502">
        <v>2.466953918337822E-2</v>
      </c>
      <c r="AD502">
        <v>435</v>
      </c>
      <c r="AE502">
        <v>225</v>
      </c>
      <c r="AF502">
        <v>323</v>
      </c>
      <c r="AG502">
        <v>1125</v>
      </c>
      <c r="AH502">
        <v>857</v>
      </c>
      <c r="AI502">
        <v>1687</v>
      </c>
      <c r="AJ502">
        <v>7</v>
      </c>
      <c r="AK502">
        <v>3</v>
      </c>
      <c r="AL502">
        <v>8</v>
      </c>
      <c r="AM502">
        <v>3</v>
      </c>
      <c r="AN502">
        <v>7.4686717987060547</v>
      </c>
      <c r="AO502"/>
      <c r="AP502"/>
      <c r="AQ502"/>
      <c r="AR502">
        <v>0</v>
      </c>
      <c r="AS502">
        <v>0</v>
      </c>
      <c r="AT502">
        <v>0</v>
      </c>
      <c r="AU502">
        <v>0</v>
      </c>
      <c r="AV502">
        <v>0</v>
      </c>
      <c r="AW502">
        <v>0</v>
      </c>
      <c r="AX502">
        <v>0</v>
      </c>
      <c r="AY502">
        <v>0</v>
      </c>
      <c r="AZ502">
        <v>0</v>
      </c>
      <c r="BA502">
        <v>0</v>
      </c>
      <c r="BB502"/>
      <c r="BC502"/>
      <c r="BD502"/>
      <c r="BE502">
        <v>0</v>
      </c>
      <c r="BF502" t="s">
        <v>2516</v>
      </c>
      <c r="BG502" t="s">
        <v>5</v>
      </c>
      <c r="BH502" t="s">
        <v>1020</v>
      </c>
      <c r="BI502"/>
      <c r="BJ502" t="s">
        <v>5</v>
      </c>
      <c r="BK502"/>
      <c r="BL502">
        <v>0</v>
      </c>
      <c r="BM502"/>
      <c r="BN502" t="s">
        <v>6</v>
      </c>
      <c r="BO502" t="s">
        <v>2518</v>
      </c>
      <c r="BP502" t="s">
        <v>2518</v>
      </c>
      <c r="BQ502" t="s">
        <v>2518</v>
      </c>
      <c r="BR502"/>
      <c r="BS502" t="s">
        <v>6</v>
      </c>
      <c r="BT502" t="s">
        <v>2518</v>
      </c>
      <c r="BU502" t="s">
        <v>2518</v>
      </c>
      <c r="BV502" t="s">
        <v>2518</v>
      </c>
      <c r="BW502"/>
      <c r="BX502" t="s">
        <v>6</v>
      </c>
      <c r="BY502" t="s">
        <v>2605</v>
      </c>
      <c r="BZ502" t="s">
        <v>2518</v>
      </c>
      <c r="CA502"/>
      <c r="CB502" t="s">
        <v>5</v>
      </c>
      <c r="CC502">
        <v>17135.771042880951</v>
      </c>
      <c r="CD502">
        <v>6048777.7469584309</v>
      </c>
      <c r="CE502" s="313" t="s">
        <v>11891</v>
      </c>
    </row>
    <row r="503" spans="1:83" ht="15" x14ac:dyDescent="0.25">
      <c r="A503" t="s">
        <v>2938</v>
      </c>
      <c r="B503" t="s">
        <v>2939</v>
      </c>
      <c r="C503" t="s">
        <v>2940</v>
      </c>
      <c r="D503">
        <v>5</v>
      </c>
      <c r="E503" t="s">
        <v>2598</v>
      </c>
      <c r="F503" t="s">
        <v>2874</v>
      </c>
      <c r="G503" t="s">
        <v>2616</v>
      </c>
      <c r="H503" t="s">
        <v>2931</v>
      </c>
      <c r="I503" t="s">
        <v>2932</v>
      </c>
      <c r="J503" t="s">
        <v>2933</v>
      </c>
      <c r="K503" t="s">
        <v>2919</v>
      </c>
      <c r="L503">
        <v>2.3354461193084721</v>
      </c>
      <c r="M503" t="s">
        <v>6</v>
      </c>
      <c r="N503" t="s">
        <v>5</v>
      </c>
      <c r="O503" t="s">
        <v>5</v>
      </c>
      <c r="P503" t="s">
        <v>5</v>
      </c>
      <c r="Q503" t="s">
        <v>6</v>
      </c>
      <c r="R503" t="s">
        <v>2934</v>
      </c>
      <c r="S503" t="s">
        <v>2934</v>
      </c>
      <c r="T503" t="s">
        <v>6</v>
      </c>
      <c r="U503" t="s">
        <v>85</v>
      </c>
      <c r="V503">
        <v>500000</v>
      </c>
      <c r="W503">
        <v>60000</v>
      </c>
      <c r="X503" t="s">
        <v>6</v>
      </c>
      <c r="Y503"/>
      <c r="Z503"/>
      <c r="AA503">
        <v>1.164615750312805</v>
      </c>
      <c r="AB503">
        <v>0.423287034034729</v>
      </c>
      <c r="AC503">
        <v>2.466953918337822E-2</v>
      </c>
      <c r="AD503">
        <v>435</v>
      </c>
      <c r="AE503">
        <v>225</v>
      </c>
      <c r="AF503">
        <v>323</v>
      </c>
      <c r="AG503">
        <v>1125</v>
      </c>
      <c r="AH503">
        <v>857</v>
      </c>
      <c r="AI503">
        <v>1687</v>
      </c>
      <c r="AJ503">
        <v>7</v>
      </c>
      <c r="AK503">
        <v>3</v>
      </c>
      <c r="AL503">
        <v>8</v>
      </c>
      <c r="AM503">
        <v>3</v>
      </c>
      <c r="AN503">
        <v>7.4686717987060547</v>
      </c>
      <c r="AO503"/>
      <c r="AP503"/>
      <c r="AQ503"/>
      <c r="AR503">
        <v>0</v>
      </c>
      <c r="AS503">
        <v>0</v>
      </c>
      <c r="AT503">
        <v>0</v>
      </c>
      <c r="AU503">
        <v>0</v>
      </c>
      <c r="AV503">
        <v>0</v>
      </c>
      <c r="AW503">
        <v>0</v>
      </c>
      <c r="AX503">
        <v>0</v>
      </c>
      <c r="AY503">
        <v>0</v>
      </c>
      <c r="AZ503">
        <v>0</v>
      </c>
      <c r="BA503">
        <v>0</v>
      </c>
      <c r="BB503"/>
      <c r="BC503"/>
      <c r="BD503"/>
      <c r="BE503">
        <v>0</v>
      </c>
      <c r="BF503" t="s">
        <v>2516</v>
      </c>
      <c r="BG503" t="s">
        <v>5</v>
      </c>
      <c r="BH503" t="s">
        <v>1020</v>
      </c>
      <c r="BI503"/>
      <c r="BJ503" t="s">
        <v>5</v>
      </c>
      <c r="BK503"/>
      <c r="BL503">
        <v>0</v>
      </c>
      <c r="BM503"/>
      <c r="BN503" t="s">
        <v>6</v>
      </c>
      <c r="BO503" t="s">
        <v>2518</v>
      </c>
      <c r="BP503" t="s">
        <v>2518</v>
      </c>
      <c r="BQ503" t="s">
        <v>2518</v>
      </c>
      <c r="BR503"/>
      <c r="BS503" t="s">
        <v>6</v>
      </c>
      <c r="BT503" t="s">
        <v>2518</v>
      </c>
      <c r="BU503" t="s">
        <v>2518</v>
      </c>
      <c r="BV503" t="s">
        <v>2518</v>
      </c>
      <c r="BW503"/>
      <c r="BX503" t="s">
        <v>6</v>
      </c>
      <c r="BY503" t="s">
        <v>2605</v>
      </c>
      <c r="BZ503" t="s">
        <v>2518</v>
      </c>
      <c r="CA503"/>
      <c r="CB503" t="s">
        <v>5</v>
      </c>
      <c r="CC503">
        <v>17135.77141740025</v>
      </c>
      <c r="CD503">
        <v>6048777.7257528026</v>
      </c>
      <c r="CE503" s="313" t="s">
        <v>11891</v>
      </c>
    </row>
    <row r="504" spans="1:83" ht="15" x14ac:dyDescent="0.25">
      <c r="A504" s="337" t="s">
        <v>2266</v>
      </c>
      <c r="B504" s="337" t="s">
        <v>2267</v>
      </c>
      <c r="C504" s="337" t="s">
        <v>2268</v>
      </c>
      <c r="D504" s="337">
        <v>3</v>
      </c>
      <c r="E504" s="337" t="s">
        <v>1771</v>
      </c>
      <c r="F504" s="337" t="s">
        <v>2007</v>
      </c>
      <c r="G504" s="337" t="s">
        <v>1990</v>
      </c>
      <c r="H504" s="337" t="s">
        <v>2269</v>
      </c>
      <c r="I504" s="337" t="s">
        <v>2270</v>
      </c>
      <c r="J504" s="337" t="s">
        <v>2271</v>
      </c>
      <c r="K504" s="337" t="s">
        <v>1949</v>
      </c>
      <c r="L504" s="337">
        <v>8.7496404647827148</v>
      </c>
      <c r="M504" s="337" t="s">
        <v>6</v>
      </c>
      <c r="N504" s="337" t="s">
        <v>5</v>
      </c>
      <c r="O504" s="337" t="s">
        <v>5</v>
      </c>
      <c r="P504" s="337" t="s">
        <v>5</v>
      </c>
      <c r="Q504" s="337" t="s">
        <v>5</v>
      </c>
      <c r="R504" s="337" t="s">
        <v>4476</v>
      </c>
      <c r="S504" s="337" t="s">
        <v>2272</v>
      </c>
      <c r="T504" s="337" t="s">
        <v>5</v>
      </c>
      <c r="U504" s="337" t="s">
        <v>13</v>
      </c>
      <c r="V504" s="337">
        <v>60000</v>
      </c>
      <c r="W504" s="337">
        <v>60000</v>
      </c>
      <c r="X504" s="337" t="s">
        <v>6</v>
      </c>
      <c r="Y504" s="337"/>
      <c r="Z504" s="337">
        <v>6000</v>
      </c>
      <c r="AA504" s="337">
        <v>2.350030899047852</v>
      </c>
      <c r="AB504" s="337">
        <v>0.2556493878364563</v>
      </c>
      <c r="AC504" s="337">
        <v>0</v>
      </c>
      <c r="AD504" s="337">
        <v>140</v>
      </c>
      <c r="AE504" s="337">
        <v>151</v>
      </c>
      <c r="AF504" s="337">
        <v>128</v>
      </c>
      <c r="AG504" s="337">
        <v>112</v>
      </c>
      <c r="AH504" s="337">
        <v>207</v>
      </c>
      <c r="AI504" s="337">
        <v>207</v>
      </c>
      <c r="AJ504" s="337">
        <v>0</v>
      </c>
      <c r="AK504" s="337">
        <v>0</v>
      </c>
      <c r="AL504" s="337">
        <v>12</v>
      </c>
      <c r="AM504" s="337"/>
      <c r="AN504" s="337">
        <v>132.8009033203125</v>
      </c>
      <c r="AO504" s="337"/>
      <c r="AP504" s="337"/>
      <c r="AQ504" s="337"/>
      <c r="AR504" s="337"/>
      <c r="AS504" s="337"/>
      <c r="AT504" s="337"/>
      <c r="AU504" s="337"/>
      <c r="AV504" s="337"/>
      <c r="AW504" s="337"/>
      <c r="AX504" s="337"/>
      <c r="AY504" s="337"/>
      <c r="AZ504" s="337"/>
      <c r="BA504" s="337"/>
      <c r="BB504" s="337"/>
      <c r="BC504" s="337"/>
      <c r="BD504" s="337"/>
      <c r="BE504" s="337"/>
      <c r="BF504" s="337" t="s">
        <v>5</v>
      </c>
      <c r="BG504" s="337" t="s">
        <v>5</v>
      </c>
      <c r="BH504" s="337" t="s">
        <v>1777</v>
      </c>
      <c r="BI504" s="337"/>
      <c r="BJ504" s="337" t="s">
        <v>5</v>
      </c>
      <c r="BK504" s="337"/>
      <c r="BL504" s="337">
        <v>0</v>
      </c>
      <c r="BM504" s="337"/>
      <c r="BN504" s="337" t="s">
        <v>5</v>
      </c>
      <c r="BO504" s="337"/>
      <c r="BP504" s="337"/>
      <c r="BQ504" s="337"/>
      <c r="BR504" s="337"/>
      <c r="BS504" s="337" t="s">
        <v>5</v>
      </c>
      <c r="BT504" s="337"/>
      <c r="BU504" s="337"/>
      <c r="BV504" s="337"/>
      <c r="BW504" s="337" t="s">
        <v>1778</v>
      </c>
      <c r="BX504" s="337" t="s">
        <v>6</v>
      </c>
      <c r="BY504" s="337" t="s">
        <v>1101</v>
      </c>
      <c r="BZ504" s="337"/>
      <c r="CB504" s="337" t="s">
        <v>5</v>
      </c>
      <c r="CC504" s="337">
        <v>29281.815400421961</v>
      </c>
      <c r="CD504" s="337">
        <v>22667463.200897321</v>
      </c>
      <c r="CE504" s="313" t="s">
        <v>11891</v>
      </c>
    </row>
    <row r="505" spans="1:83" ht="15" x14ac:dyDescent="0.25">
      <c r="A505" t="s">
        <v>3366</v>
      </c>
      <c r="B505" t="s">
        <v>3367</v>
      </c>
      <c r="C505" t="s">
        <v>3368</v>
      </c>
      <c r="D505">
        <v>7</v>
      </c>
      <c r="E505" t="s">
        <v>2979</v>
      </c>
      <c r="F505" t="s">
        <v>3043</v>
      </c>
      <c r="G505" t="s">
        <v>3313</v>
      </c>
      <c r="H505" t="s">
        <v>3314</v>
      </c>
      <c r="I505" t="s">
        <v>3369</v>
      </c>
      <c r="J505" t="s">
        <v>3370</v>
      </c>
      <c r="K505" t="s">
        <v>3109</v>
      </c>
      <c r="L505">
        <v>0.11604268848896029</v>
      </c>
      <c r="M505" t="s">
        <v>6</v>
      </c>
      <c r="N505" t="s">
        <v>5</v>
      </c>
      <c r="O505" t="s">
        <v>5</v>
      </c>
      <c r="P505" t="s">
        <v>6</v>
      </c>
      <c r="Q505" t="s">
        <v>5</v>
      </c>
      <c r="R505" t="s">
        <v>3371</v>
      </c>
      <c r="S505" t="s">
        <v>3371</v>
      </c>
      <c r="T505" t="s">
        <v>5</v>
      </c>
      <c r="U505" t="s">
        <v>85</v>
      </c>
      <c r="V505">
        <v>58000</v>
      </c>
      <c r="W505">
        <v>58000</v>
      </c>
      <c r="X505" t="s">
        <v>5</v>
      </c>
      <c r="Y505" t="s">
        <v>1100</v>
      </c>
      <c r="Z505">
        <v>0</v>
      </c>
      <c r="AA505">
        <v>5.7034160941839218E-2</v>
      </c>
      <c r="AB505">
        <v>9.0000000341206032E-8</v>
      </c>
      <c r="AC505">
        <v>0</v>
      </c>
      <c r="AD505">
        <v>3</v>
      </c>
      <c r="AE505">
        <v>0</v>
      </c>
      <c r="AF505">
        <v>3</v>
      </c>
      <c r="AG505">
        <v>1</v>
      </c>
      <c r="AH505">
        <v>5</v>
      </c>
      <c r="AI505">
        <v>5</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t="s">
        <v>1100</v>
      </c>
      <c r="BG505" t="s">
        <v>5</v>
      </c>
      <c r="BH505" t="s">
        <v>2987</v>
      </c>
      <c r="BI505" t="s">
        <v>1100</v>
      </c>
      <c r="BJ505" t="s">
        <v>5</v>
      </c>
      <c r="BK505" t="s">
        <v>1100</v>
      </c>
      <c r="BL505">
        <v>0</v>
      </c>
      <c r="BM505">
        <v>0</v>
      </c>
      <c r="BN505" t="s">
        <v>5</v>
      </c>
      <c r="BO505" t="s">
        <v>1100</v>
      </c>
      <c r="BP505" t="s">
        <v>1100</v>
      </c>
      <c r="BQ505" t="s">
        <v>1100</v>
      </c>
      <c r="BR505" t="s">
        <v>1100</v>
      </c>
      <c r="BS505" t="s">
        <v>5</v>
      </c>
      <c r="BT505" t="s">
        <v>1100</v>
      </c>
      <c r="BU505" t="s">
        <v>1100</v>
      </c>
      <c r="BV505" t="s">
        <v>1100</v>
      </c>
      <c r="BW505" t="s">
        <v>1100</v>
      </c>
      <c r="BX505" t="s">
        <v>6</v>
      </c>
      <c r="BY505" t="s">
        <v>2988</v>
      </c>
      <c r="BZ505"/>
      <c r="CA505"/>
      <c r="CB505" t="s">
        <v>5</v>
      </c>
      <c r="CC505">
        <v>2240.6190934850279</v>
      </c>
      <c r="CD505">
        <v>300550.37768273731</v>
      </c>
      <c r="CE505" s="313" t="s">
        <v>11891</v>
      </c>
    </row>
    <row r="506" spans="1:83" ht="15" x14ac:dyDescent="0.25">
      <c r="A506" t="s">
        <v>12458</v>
      </c>
      <c r="B506" t="s">
        <v>12459</v>
      </c>
      <c r="C506" t="s">
        <v>12460</v>
      </c>
      <c r="D506">
        <v>6</v>
      </c>
      <c r="E506" t="s">
        <v>259</v>
      </c>
      <c r="F506" t="s">
        <v>2</v>
      </c>
      <c r="G506" t="s">
        <v>12456</v>
      </c>
      <c r="H506" t="s">
        <v>12457</v>
      </c>
      <c r="I506"/>
      <c r="J506" t="s">
        <v>2518</v>
      </c>
      <c r="K506" t="s">
        <v>12452</v>
      </c>
      <c r="L506">
        <v>1768.513061523438</v>
      </c>
      <c r="M506" t="s">
        <v>6</v>
      </c>
      <c r="N506" t="s">
        <v>6</v>
      </c>
      <c r="O506" t="s">
        <v>5</v>
      </c>
      <c r="P506" t="s">
        <v>5</v>
      </c>
      <c r="Q506" t="s">
        <v>5</v>
      </c>
      <c r="R506" t="s">
        <v>262</v>
      </c>
      <c r="S506" t="s">
        <v>262</v>
      </c>
      <c r="T506" t="s">
        <v>5</v>
      </c>
      <c r="U506" t="s">
        <v>28</v>
      </c>
      <c r="V506">
        <v>1055000</v>
      </c>
      <c r="W506">
        <v>52750</v>
      </c>
      <c r="X506" t="s">
        <v>6</v>
      </c>
      <c r="Y506"/>
      <c r="Z506"/>
      <c r="AA506">
        <v>441.91708374023438</v>
      </c>
      <c r="AB506">
        <v>200.0979919433594</v>
      </c>
      <c r="AC506">
        <v>0.69722104072570801</v>
      </c>
      <c r="AD506">
        <v>143588</v>
      </c>
      <c r="AE506">
        <v>182312</v>
      </c>
      <c r="AF506">
        <v>120752</v>
      </c>
      <c r="AG506">
        <v>590981</v>
      </c>
      <c r="AH506">
        <v>545531</v>
      </c>
      <c r="AI506">
        <v>976848</v>
      </c>
      <c r="AJ506">
        <v>2132</v>
      </c>
      <c r="AK506">
        <v>84</v>
      </c>
      <c r="AL506">
        <v>2407</v>
      </c>
      <c r="AM506">
        <v>84</v>
      </c>
      <c r="AN506">
        <v>5983.72802734375</v>
      </c>
      <c r="AO506"/>
      <c r="AP506"/>
      <c r="AQ506"/>
      <c r="AR506"/>
      <c r="AS506"/>
      <c r="AT506"/>
      <c r="AU506"/>
      <c r="AV506"/>
      <c r="AW506"/>
      <c r="AX506"/>
      <c r="AY506"/>
      <c r="AZ506"/>
      <c r="BA506"/>
      <c r="BB506"/>
      <c r="BC506"/>
      <c r="BD506"/>
      <c r="BE506"/>
      <c r="BF506"/>
      <c r="BG506" t="s">
        <v>5</v>
      </c>
      <c r="BH506"/>
      <c r="BI506"/>
      <c r="BJ506" t="s">
        <v>5</v>
      </c>
      <c r="BK506"/>
      <c r="BL506">
        <v>0</v>
      </c>
      <c r="BM506"/>
      <c r="BN506" t="s">
        <v>5</v>
      </c>
      <c r="BO506" t="s">
        <v>2518</v>
      </c>
      <c r="BP506" t="s">
        <v>2518</v>
      </c>
      <c r="BQ506" t="s">
        <v>2518</v>
      </c>
      <c r="BR506"/>
      <c r="BS506" t="s">
        <v>6</v>
      </c>
      <c r="BT506" t="s">
        <v>2518</v>
      </c>
      <c r="BU506" t="s">
        <v>2518</v>
      </c>
      <c r="BV506" t="s">
        <v>2518</v>
      </c>
      <c r="BW506"/>
      <c r="BX506" t="s">
        <v>6</v>
      </c>
      <c r="BY506" t="s">
        <v>12412</v>
      </c>
      <c r="BZ506" t="s">
        <v>2518</v>
      </c>
      <c r="CA506"/>
      <c r="CB506" t="s">
        <v>5</v>
      </c>
      <c r="CC506">
        <v>368003.63697626092</v>
      </c>
      <c r="CD506">
        <v>4580445986.1852579</v>
      </c>
      <c r="CE506" s="313" t="s">
        <v>11902</v>
      </c>
    </row>
    <row r="507" spans="1:83" ht="15" x14ac:dyDescent="0.25">
      <c r="A507" t="s">
        <v>2534</v>
      </c>
      <c r="B507" t="s">
        <v>2535</v>
      </c>
      <c r="C507" t="s">
        <v>2529</v>
      </c>
      <c r="D507">
        <v>4</v>
      </c>
      <c r="E507" t="s">
        <v>2512</v>
      </c>
      <c r="F507" t="s">
        <v>2138</v>
      </c>
      <c r="G507" t="s">
        <v>2513</v>
      </c>
      <c r="H507" t="s">
        <v>2521</v>
      </c>
      <c r="I507" t="s">
        <v>2532</v>
      </c>
      <c r="J507" t="s">
        <v>2533</v>
      </c>
      <c r="K507" t="s">
        <v>2530</v>
      </c>
      <c r="L507">
        <v>3.6676278114318852</v>
      </c>
      <c r="M507" t="s">
        <v>6</v>
      </c>
      <c r="N507" t="s">
        <v>5</v>
      </c>
      <c r="O507" t="s">
        <v>5</v>
      </c>
      <c r="P507" t="s">
        <v>5</v>
      </c>
      <c r="Q507" t="s">
        <v>5</v>
      </c>
      <c r="R507" t="s">
        <v>2141</v>
      </c>
      <c r="S507" t="s">
        <v>2141</v>
      </c>
      <c r="T507" t="s">
        <v>5</v>
      </c>
      <c r="U507" t="s">
        <v>4</v>
      </c>
      <c r="V507">
        <v>51000</v>
      </c>
      <c r="W507">
        <v>51000</v>
      </c>
      <c r="X507" t="s">
        <v>6</v>
      </c>
      <c r="Y507"/>
      <c r="Z507">
        <v>0</v>
      </c>
      <c r="AA507">
        <v>0.3215312659740448</v>
      </c>
      <c r="AB507">
        <v>3.7706591188907623E-2</v>
      </c>
      <c r="AC507">
        <v>0</v>
      </c>
      <c r="AD507">
        <v>12</v>
      </c>
      <c r="AE507">
        <v>1</v>
      </c>
      <c r="AF507">
        <v>4</v>
      </c>
      <c r="AG507">
        <v>29</v>
      </c>
      <c r="AH507">
        <v>10</v>
      </c>
      <c r="AI507">
        <v>29</v>
      </c>
      <c r="AJ507">
        <v>0</v>
      </c>
      <c r="AK507">
        <v>0</v>
      </c>
      <c r="AL507">
        <v>0</v>
      </c>
      <c r="AM507">
        <v>0</v>
      </c>
      <c r="AN507">
        <v>47.200588226318359</v>
      </c>
      <c r="AO507"/>
      <c r="AP507"/>
      <c r="AQ507"/>
      <c r="AR507">
        <v>0</v>
      </c>
      <c r="AS507">
        <v>0</v>
      </c>
      <c r="AT507">
        <v>0</v>
      </c>
      <c r="AU507">
        <v>0</v>
      </c>
      <c r="AV507">
        <v>0</v>
      </c>
      <c r="AW507">
        <v>0</v>
      </c>
      <c r="AX507">
        <v>0</v>
      </c>
      <c r="AY507">
        <v>0</v>
      </c>
      <c r="AZ507">
        <v>0</v>
      </c>
      <c r="BA507">
        <v>0</v>
      </c>
      <c r="BB507"/>
      <c r="BC507"/>
      <c r="BD507"/>
      <c r="BE507">
        <v>0</v>
      </c>
      <c r="BF507" t="s">
        <v>2516</v>
      </c>
      <c r="BG507" t="s">
        <v>5</v>
      </c>
      <c r="BH507" t="s">
        <v>1020</v>
      </c>
      <c r="BI507" t="s">
        <v>2517</v>
      </c>
      <c r="BJ507" t="s">
        <v>5</v>
      </c>
      <c r="BK507" t="s">
        <v>1100</v>
      </c>
      <c r="BL507">
        <v>0</v>
      </c>
      <c r="BM507"/>
      <c r="BN507" t="s">
        <v>5</v>
      </c>
      <c r="BO507" t="s">
        <v>2518</v>
      </c>
      <c r="BP507" t="s">
        <v>2518</v>
      </c>
      <c r="BQ507" t="s">
        <v>2518</v>
      </c>
      <c r="BR507" t="s">
        <v>2518</v>
      </c>
      <c r="BS507" t="s">
        <v>6</v>
      </c>
      <c r="BT507" t="s">
        <v>2518</v>
      </c>
      <c r="BU507" t="s">
        <v>2518</v>
      </c>
      <c r="BV507" t="s">
        <v>2518</v>
      </c>
      <c r="BW507" t="s">
        <v>1100</v>
      </c>
      <c r="BX507" t="s">
        <v>6</v>
      </c>
      <c r="BY507" t="s">
        <v>2519</v>
      </c>
      <c r="BZ507"/>
      <c r="CA507"/>
      <c r="CB507" t="s">
        <v>5</v>
      </c>
      <c r="CC507">
        <v>21548.833680663531</v>
      </c>
      <c r="CD507">
        <v>9499112.1981864646</v>
      </c>
      <c r="CE507" s="313" t="s">
        <v>11891</v>
      </c>
    </row>
    <row r="508" spans="1:83" ht="15" x14ac:dyDescent="0.25">
      <c r="A508" t="s">
        <v>3679</v>
      </c>
      <c r="B508" t="s">
        <v>3680</v>
      </c>
      <c r="C508" t="s">
        <v>3681</v>
      </c>
      <c r="D508">
        <v>13</v>
      </c>
      <c r="E508" t="s">
        <v>3573</v>
      </c>
      <c r="F508" t="s">
        <v>3682</v>
      </c>
      <c r="G508" t="s">
        <v>3683</v>
      </c>
      <c r="H508" t="s">
        <v>3684</v>
      </c>
      <c r="I508" t="s">
        <v>3685</v>
      </c>
      <c r="J508" t="s">
        <v>3686</v>
      </c>
      <c r="K508" t="s">
        <v>3687</v>
      </c>
      <c r="L508">
        <v>281.78964233398438</v>
      </c>
      <c r="M508" t="s">
        <v>6</v>
      </c>
      <c r="N508" t="s">
        <v>6</v>
      </c>
      <c r="O508" t="s">
        <v>6</v>
      </c>
      <c r="P508" t="s">
        <v>5</v>
      </c>
      <c r="Q508" t="s">
        <v>5</v>
      </c>
      <c r="R508" t="s">
        <v>3688</v>
      </c>
      <c r="S508" t="s">
        <v>3689</v>
      </c>
      <c r="T508" t="s">
        <v>6</v>
      </c>
      <c r="U508" t="s">
        <v>13</v>
      </c>
      <c r="V508">
        <v>50000</v>
      </c>
      <c r="W508">
        <v>50000</v>
      </c>
      <c r="X508" t="s">
        <v>5</v>
      </c>
      <c r="Y508"/>
      <c r="Z508"/>
      <c r="AA508">
        <v>111.3262023925781</v>
      </c>
      <c r="AB508">
        <v>37.816623687744141</v>
      </c>
      <c r="AC508">
        <v>0.87159079313278198</v>
      </c>
      <c r="AD508">
        <v>3334</v>
      </c>
      <c r="AE508">
        <v>2749</v>
      </c>
      <c r="AF508">
        <v>2828</v>
      </c>
      <c r="AG508">
        <v>4119</v>
      </c>
      <c r="AH508">
        <v>4790</v>
      </c>
      <c r="AI508">
        <v>4790</v>
      </c>
      <c r="AJ508">
        <v>4</v>
      </c>
      <c r="AK508">
        <v>0</v>
      </c>
      <c r="AL508">
        <v>103</v>
      </c>
      <c r="AM508">
        <v>548</v>
      </c>
      <c r="AN508">
        <v>571.30499267578125</v>
      </c>
      <c r="AO508"/>
      <c r="AP508"/>
      <c r="AQ508"/>
      <c r="AR508"/>
      <c r="AS508"/>
      <c r="AT508"/>
      <c r="AU508"/>
      <c r="AV508"/>
      <c r="AW508"/>
      <c r="AX508"/>
      <c r="AY508"/>
      <c r="AZ508"/>
      <c r="BA508"/>
      <c r="BB508"/>
      <c r="BC508"/>
      <c r="BD508"/>
      <c r="BE508">
        <v>0</v>
      </c>
      <c r="BF508" t="s">
        <v>5</v>
      </c>
      <c r="BG508" t="s">
        <v>5</v>
      </c>
      <c r="BH508" t="s">
        <v>3581</v>
      </c>
      <c r="BI508"/>
      <c r="BJ508" t="s">
        <v>5</v>
      </c>
      <c r="BK508"/>
      <c r="BL508">
        <v>0</v>
      </c>
      <c r="BM508"/>
      <c r="BN508" t="s">
        <v>5</v>
      </c>
      <c r="BO508"/>
      <c r="BP508"/>
      <c r="BQ508"/>
      <c r="BR508"/>
      <c r="BS508" t="s">
        <v>5</v>
      </c>
      <c r="BT508"/>
      <c r="BU508"/>
      <c r="BV508"/>
      <c r="BW508"/>
      <c r="BX508" t="s">
        <v>6</v>
      </c>
      <c r="BY508" t="s">
        <v>3678</v>
      </c>
      <c r="BZ508"/>
      <c r="CA508"/>
      <c r="CB508" t="s">
        <v>5</v>
      </c>
      <c r="CC508">
        <v>636139.96288904757</v>
      </c>
      <c r="CD508">
        <v>729834770.14420617</v>
      </c>
      <c r="CE508" s="313" t="s">
        <v>11891</v>
      </c>
    </row>
    <row r="509" spans="1:83" ht="15" x14ac:dyDescent="0.25">
      <c r="A509" t="s">
        <v>3706</v>
      </c>
      <c r="B509" t="s">
        <v>3707</v>
      </c>
      <c r="C509" t="s">
        <v>3708</v>
      </c>
      <c r="D509">
        <v>13</v>
      </c>
      <c r="E509" t="s">
        <v>3573</v>
      </c>
      <c r="F509" t="s">
        <v>3709</v>
      </c>
      <c r="G509" t="s">
        <v>3710</v>
      </c>
      <c r="H509" t="s">
        <v>3711</v>
      </c>
      <c r="I509"/>
      <c r="J509"/>
      <c r="K509" t="s">
        <v>3687</v>
      </c>
      <c r="L509">
        <v>704.7862548828125</v>
      </c>
      <c r="M509" t="s">
        <v>6</v>
      </c>
      <c r="N509" t="s">
        <v>6</v>
      </c>
      <c r="O509" t="s">
        <v>6</v>
      </c>
      <c r="P509" t="s">
        <v>5</v>
      </c>
      <c r="Q509" t="s">
        <v>5</v>
      </c>
      <c r="R509" t="s">
        <v>3712</v>
      </c>
      <c r="S509" t="s">
        <v>3705</v>
      </c>
      <c r="T509" t="s">
        <v>6</v>
      </c>
      <c r="U509" t="s">
        <v>13</v>
      </c>
      <c r="V509">
        <v>50000</v>
      </c>
      <c r="W509">
        <v>50000</v>
      </c>
      <c r="X509" t="s">
        <v>5</v>
      </c>
      <c r="Y509"/>
      <c r="Z509"/>
      <c r="AA509">
        <v>179.4325866699219</v>
      </c>
      <c r="AB509">
        <v>38.360984802246087</v>
      </c>
      <c r="AC509">
        <v>4.6614499092102051</v>
      </c>
      <c r="AD509">
        <v>5577</v>
      </c>
      <c r="AE509">
        <v>3337</v>
      </c>
      <c r="AF509">
        <v>4182</v>
      </c>
      <c r="AG509">
        <v>8125</v>
      </c>
      <c r="AH509">
        <v>10683</v>
      </c>
      <c r="AI509">
        <v>10683</v>
      </c>
      <c r="AJ509">
        <v>23</v>
      </c>
      <c r="AK509">
        <v>13</v>
      </c>
      <c r="AL509">
        <v>288</v>
      </c>
      <c r="AM509">
        <v>913</v>
      </c>
      <c r="AN509">
        <v>30916.986328125</v>
      </c>
      <c r="AO509"/>
      <c r="AP509"/>
      <c r="AQ509"/>
      <c r="AR509"/>
      <c r="AS509"/>
      <c r="AT509"/>
      <c r="AU509"/>
      <c r="AV509"/>
      <c r="AW509"/>
      <c r="AX509"/>
      <c r="AY509"/>
      <c r="AZ509"/>
      <c r="BA509"/>
      <c r="BB509"/>
      <c r="BC509"/>
      <c r="BD509"/>
      <c r="BE509">
        <v>0</v>
      </c>
      <c r="BF509" t="s">
        <v>5</v>
      </c>
      <c r="BG509" t="s">
        <v>5</v>
      </c>
      <c r="BH509" t="s">
        <v>3581</v>
      </c>
      <c r="BI509"/>
      <c r="BJ509" t="s">
        <v>5</v>
      </c>
      <c r="BK509"/>
      <c r="BL509">
        <v>0</v>
      </c>
      <c r="BM509"/>
      <c r="BN509" t="s">
        <v>5</v>
      </c>
      <c r="BO509"/>
      <c r="BP509"/>
      <c r="BQ509"/>
      <c r="BR509"/>
      <c r="BS509" t="s">
        <v>5</v>
      </c>
      <c r="BT509"/>
      <c r="BU509"/>
      <c r="BV509"/>
      <c r="BW509"/>
      <c r="BX509" t="s">
        <v>6</v>
      </c>
      <c r="BY509" t="s">
        <v>3678</v>
      </c>
      <c r="BZ509"/>
      <c r="CA509"/>
      <c r="CB509" t="s">
        <v>5</v>
      </c>
      <c r="CC509">
        <v>357760.99326254631</v>
      </c>
      <c r="CD509">
        <v>1825395365.8527889</v>
      </c>
      <c r="CE509" s="313" t="s">
        <v>11891</v>
      </c>
    </row>
    <row r="510" spans="1:83" ht="15" x14ac:dyDescent="0.25">
      <c r="A510" t="s">
        <v>3734</v>
      </c>
      <c r="B510" t="s">
        <v>3735</v>
      </c>
      <c r="C510" t="s">
        <v>3736</v>
      </c>
      <c r="D510">
        <v>13</v>
      </c>
      <c r="E510" t="s">
        <v>3573</v>
      </c>
      <c r="F510" t="s">
        <v>3727</v>
      </c>
      <c r="G510" t="s">
        <v>3728</v>
      </c>
      <c r="H510" t="s">
        <v>3729</v>
      </c>
      <c r="I510" t="s">
        <v>3730</v>
      </c>
      <c r="J510" t="s">
        <v>3731</v>
      </c>
      <c r="K510" t="s">
        <v>3687</v>
      </c>
      <c r="L510">
        <v>1.2727993726730349</v>
      </c>
      <c r="M510" t="s">
        <v>6</v>
      </c>
      <c r="N510" t="s">
        <v>5</v>
      </c>
      <c r="O510" t="s">
        <v>6</v>
      </c>
      <c r="P510" t="s">
        <v>5</v>
      </c>
      <c r="Q510" t="s">
        <v>5</v>
      </c>
      <c r="R510" t="s">
        <v>3732</v>
      </c>
      <c r="S510" t="s">
        <v>3733</v>
      </c>
      <c r="T510" t="s">
        <v>6</v>
      </c>
      <c r="U510" t="s">
        <v>13</v>
      </c>
      <c r="V510">
        <v>50000</v>
      </c>
      <c r="W510">
        <v>50000</v>
      </c>
      <c r="X510" t="s">
        <v>5</v>
      </c>
      <c r="Y510"/>
      <c r="Z510"/>
      <c r="AA510">
        <v>0.23986469209194181</v>
      </c>
      <c r="AB510">
        <v>8.1453330814838409E-2</v>
      </c>
      <c r="AC510">
        <v>1.8687518313527109E-3</v>
      </c>
      <c r="AD510">
        <v>137</v>
      </c>
      <c r="AE510">
        <v>50</v>
      </c>
      <c r="AF510">
        <v>110</v>
      </c>
      <c r="AG510">
        <v>175</v>
      </c>
      <c r="AH510">
        <v>293</v>
      </c>
      <c r="AI510">
        <v>293</v>
      </c>
      <c r="AJ510">
        <v>0</v>
      </c>
      <c r="AK510">
        <v>0</v>
      </c>
      <c r="AL510">
        <v>3</v>
      </c>
      <c r="AM510">
        <v>18</v>
      </c>
      <c r="AN510">
        <v>38.443508148193359</v>
      </c>
      <c r="AO510"/>
      <c r="AP510"/>
      <c r="AQ510"/>
      <c r="AR510"/>
      <c r="AS510"/>
      <c r="AT510"/>
      <c r="AU510"/>
      <c r="AV510"/>
      <c r="AW510"/>
      <c r="AX510"/>
      <c r="AY510"/>
      <c r="AZ510"/>
      <c r="BA510"/>
      <c r="BB510"/>
      <c r="BC510"/>
      <c r="BD510"/>
      <c r="BE510">
        <v>0</v>
      </c>
      <c r="BF510" t="s">
        <v>5</v>
      </c>
      <c r="BG510" t="s">
        <v>5</v>
      </c>
      <c r="BH510" t="s">
        <v>3581</v>
      </c>
      <c r="BI510"/>
      <c r="BJ510" t="s">
        <v>5</v>
      </c>
      <c r="BK510"/>
      <c r="BL510">
        <v>0</v>
      </c>
      <c r="BM510"/>
      <c r="BN510" t="s">
        <v>5</v>
      </c>
      <c r="BO510"/>
      <c r="BP510"/>
      <c r="BQ510"/>
      <c r="BR510"/>
      <c r="BS510" t="s">
        <v>5</v>
      </c>
      <c r="BT510"/>
      <c r="BU510"/>
      <c r="BV510"/>
      <c r="BW510"/>
      <c r="BX510" t="s">
        <v>6</v>
      </c>
      <c r="BY510" t="s">
        <v>3723</v>
      </c>
      <c r="BZ510"/>
      <c r="CA510"/>
      <c r="CB510" t="s">
        <v>5</v>
      </c>
      <c r="CC510">
        <v>16395.80367043244</v>
      </c>
      <c r="CD510">
        <v>3296548.3505489798</v>
      </c>
      <c r="CE510" s="313" t="s">
        <v>11891</v>
      </c>
    </row>
    <row r="511" spans="1:83" ht="15" x14ac:dyDescent="0.25">
      <c r="A511" t="s">
        <v>1469</v>
      </c>
      <c r="B511" t="s">
        <v>1470</v>
      </c>
      <c r="C511" t="s">
        <v>1471</v>
      </c>
      <c r="D511">
        <v>1</v>
      </c>
      <c r="E511" t="s">
        <v>1432</v>
      </c>
      <c r="F511" t="s">
        <v>1457</v>
      </c>
      <c r="G511" t="s">
        <v>1458</v>
      </c>
      <c r="H511" t="s">
        <v>1459</v>
      </c>
      <c r="I511" t="s">
        <v>1460</v>
      </c>
      <c r="J511" t="s">
        <v>1461</v>
      </c>
      <c r="K511" t="s">
        <v>1449</v>
      </c>
      <c r="L511">
        <v>7.0512943267822266</v>
      </c>
      <c r="M511" t="s">
        <v>6</v>
      </c>
      <c r="N511" t="s">
        <v>5</v>
      </c>
      <c r="O511" t="s">
        <v>5</v>
      </c>
      <c r="P511" t="s">
        <v>6</v>
      </c>
      <c r="Q511" t="s">
        <v>5</v>
      </c>
      <c r="R511" t="s">
        <v>1463</v>
      </c>
      <c r="S511" t="s">
        <v>1464</v>
      </c>
      <c r="T511" t="s">
        <v>5</v>
      </c>
      <c r="U511" t="s">
        <v>28</v>
      </c>
      <c r="V511">
        <v>250000</v>
      </c>
      <c r="W511">
        <v>50000</v>
      </c>
      <c r="X511" t="s">
        <v>5</v>
      </c>
      <c r="Y511"/>
      <c r="Z511"/>
      <c r="AA511">
        <v>1.10006320476532</v>
      </c>
      <c r="AB511">
        <v>0.23183286190032959</v>
      </c>
      <c r="AC511">
        <v>0</v>
      </c>
      <c r="AD511">
        <v>206</v>
      </c>
      <c r="AE511">
        <v>119</v>
      </c>
      <c r="AF511">
        <v>193</v>
      </c>
      <c r="AG511">
        <v>636</v>
      </c>
      <c r="AH511">
        <v>823</v>
      </c>
      <c r="AI511">
        <v>823</v>
      </c>
      <c r="AJ511">
        <v>0</v>
      </c>
      <c r="AK511">
        <v>7</v>
      </c>
      <c r="AL511">
        <v>15</v>
      </c>
      <c r="AM511">
        <v>7</v>
      </c>
      <c r="AN511">
        <v>150.2604675292969</v>
      </c>
      <c r="AO511"/>
      <c r="AP511"/>
      <c r="AQ511"/>
      <c r="AR511">
        <v>0</v>
      </c>
      <c r="AS511">
        <v>0</v>
      </c>
      <c r="AT511">
        <v>0</v>
      </c>
      <c r="AU511">
        <v>0</v>
      </c>
      <c r="AV511">
        <v>0</v>
      </c>
      <c r="AW511">
        <v>0</v>
      </c>
      <c r="AX511">
        <v>0</v>
      </c>
      <c r="AY511">
        <v>0</v>
      </c>
      <c r="AZ511">
        <v>0</v>
      </c>
      <c r="BA511">
        <v>0</v>
      </c>
      <c r="BB511"/>
      <c r="BC511"/>
      <c r="BD511"/>
      <c r="BE511">
        <v>0</v>
      </c>
      <c r="BF511" t="s">
        <v>1100</v>
      </c>
      <c r="BG511" t="s">
        <v>5</v>
      </c>
      <c r="BH511" t="s">
        <v>1020</v>
      </c>
      <c r="BI511" t="s">
        <v>1020</v>
      </c>
      <c r="BJ511" t="s">
        <v>5</v>
      </c>
      <c r="BK511"/>
      <c r="BL511">
        <v>0</v>
      </c>
      <c r="BM511"/>
      <c r="BN511" t="s">
        <v>5</v>
      </c>
      <c r="BO511"/>
      <c r="BP511"/>
      <c r="BQ511"/>
      <c r="BR511"/>
      <c r="BS511" t="s">
        <v>5</v>
      </c>
      <c r="BT511"/>
      <c r="BU511"/>
      <c r="BV511"/>
      <c r="BW511"/>
      <c r="BX511" t="s">
        <v>6</v>
      </c>
      <c r="BY511" t="s">
        <v>1101</v>
      </c>
      <c r="BZ511"/>
      <c r="CA511"/>
      <c r="CB511" t="s">
        <v>5</v>
      </c>
      <c r="CC511">
        <v>45080.224675808618</v>
      </c>
      <c r="CD511">
        <v>18262767.938815352</v>
      </c>
      <c r="CE511" s="313" t="s">
        <v>11891</v>
      </c>
    </row>
    <row r="512" spans="1:83" ht="15" x14ac:dyDescent="0.25">
      <c r="A512" t="s">
        <v>1472</v>
      </c>
      <c r="B512" t="s">
        <v>1473</v>
      </c>
      <c r="C512" t="s">
        <v>1474</v>
      </c>
      <c r="D512">
        <v>1</v>
      </c>
      <c r="E512" t="s">
        <v>1432</v>
      </c>
      <c r="F512" t="s">
        <v>1457</v>
      </c>
      <c r="G512" t="s">
        <v>1458</v>
      </c>
      <c r="H512" t="s">
        <v>1459</v>
      </c>
      <c r="I512" t="s">
        <v>1460</v>
      </c>
      <c r="J512" t="s">
        <v>1461</v>
      </c>
      <c r="K512" t="s">
        <v>1449</v>
      </c>
      <c r="L512">
        <v>7.0512943267822266</v>
      </c>
      <c r="M512" t="s">
        <v>6</v>
      </c>
      <c r="N512" t="s">
        <v>5</v>
      </c>
      <c r="O512" t="s">
        <v>5</v>
      </c>
      <c r="P512" t="s">
        <v>6</v>
      </c>
      <c r="Q512" t="s">
        <v>5</v>
      </c>
      <c r="R512" t="s">
        <v>1463</v>
      </c>
      <c r="S512" t="s">
        <v>1464</v>
      </c>
      <c r="T512" t="s">
        <v>5</v>
      </c>
      <c r="U512" t="s">
        <v>4</v>
      </c>
      <c r="V512">
        <v>100000</v>
      </c>
      <c r="W512">
        <v>50000</v>
      </c>
      <c r="X512" t="s">
        <v>5</v>
      </c>
      <c r="Y512"/>
      <c r="Z512"/>
      <c r="AA512">
        <v>1.10006320476532</v>
      </c>
      <c r="AB512">
        <v>0.23183286190032959</v>
      </c>
      <c r="AC512">
        <v>0</v>
      </c>
      <c r="AD512">
        <v>206</v>
      </c>
      <c r="AE512">
        <v>119</v>
      </c>
      <c r="AF512">
        <v>193</v>
      </c>
      <c r="AG512">
        <v>636</v>
      </c>
      <c r="AH512">
        <v>823</v>
      </c>
      <c r="AI512">
        <v>823</v>
      </c>
      <c r="AJ512">
        <v>0</v>
      </c>
      <c r="AK512">
        <v>7</v>
      </c>
      <c r="AL512">
        <v>15</v>
      </c>
      <c r="AM512">
        <v>7</v>
      </c>
      <c r="AN512">
        <v>150.2604675292969</v>
      </c>
      <c r="AO512"/>
      <c r="AP512"/>
      <c r="AQ512"/>
      <c r="AR512">
        <v>0</v>
      </c>
      <c r="AS512">
        <v>0</v>
      </c>
      <c r="AT512">
        <v>0</v>
      </c>
      <c r="AU512">
        <v>0</v>
      </c>
      <c r="AV512">
        <v>0</v>
      </c>
      <c r="AW512">
        <v>0</v>
      </c>
      <c r="AX512">
        <v>0</v>
      </c>
      <c r="AY512">
        <v>0</v>
      </c>
      <c r="AZ512">
        <v>0</v>
      </c>
      <c r="BA512">
        <v>0</v>
      </c>
      <c r="BB512"/>
      <c r="BC512"/>
      <c r="BD512"/>
      <c r="BE512">
        <v>0</v>
      </c>
      <c r="BF512" t="s">
        <v>1100</v>
      </c>
      <c r="BG512" t="s">
        <v>5</v>
      </c>
      <c r="BH512" t="s">
        <v>1020</v>
      </c>
      <c r="BI512" t="s">
        <v>1020</v>
      </c>
      <c r="BJ512" t="s">
        <v>5</v>
      </c>
      <c r="BK512"/>
      <c r="BL512">
        <v>0</v>
      </c>
      <c r="BM512"/>
      <c r="BN512" t="s">
        <v>5</v>
      </c>
      <c r="BO512"/>
      <c r="BP512"/>
      <c r="BQ512"/>
      <c r="BR512"/>
      <c r="BS512" t="s">
        <v>5</v>
      </c>
      <c r="BT512"/>
      <c r="BU512"/>
      <c r="BV512"/>
      <c r="BW512"/>
      <c r="BX512" t="s">
        <v>6</v>
      </c>
      <c r="BY512" t="s">
        <v>1101</v>
      </c>
      <c r="BZ512"/>
      <c r="CA512"/>
      <c r="CB512" t="s">
        <v>5</v>
      </c>
      <c r="CC512">
        <v>45080.224675808618</v>
      </c>
      <c r="CD512">
        <v>18262767.938815352</v>
      </c>
      <c r="CE512" s="313" t="s">
        <v>11891</v>
      </c>
    </row>
    <row r="513" spans="1:83" ht="15" x14ac:dyDescent="0.25">
      <c r="A513" t="s">
        <v>1499</v>
      </c>
      <c r="B513" t="s">
        <v>1500</v>
      </c>
      <c r="C513" t="s">
        <v>1501</v>
      </c>
      <c r="D513">
        <v>1</v>
      </c>
      <c r="E513" t="s">
        <v>1432</v>
      </c>
      <c r="F513" t="s">
        <v>1487</v>
      </c>
      <c r="G513" t="s">
        <v>1488</v>
      </c>
      <c r="H513" t="s">
        <v>1489</v>
      </c>
      <c r="I513" t="s">
        <v>1490</v>
      </c>
      <c r="J513" t="s">
        <v>1491</v>
      </c>
      <c r="K513" t="s">
        <v>1502</v>
      </c>
      <c r="L513">
        <v>101.60166168212891</v>
      </c>
      <c r="M513" t="s">
        <v>6</v>
      </c>
      <c r="N513" t="s">
        <v>5</v>
      </c>
      <c r="O513" t="s">
        <v>5</v>
      </c>
      <c r="P513" t="s">
        <v>6</v>
      </c>
      <c r="Q513" t="s">
        <v>5</v>
      </c>
      <c r="R513" t="s">
        <v>1492</v>
      </c>
      <c r="S513" t="s">
        <v>1493</v>
      </c>
      <c r="T513" t="s">
        <v>5</v>
      </c>
      <c r="U513" t="s">
        <v>28</v>
      </c>
      <c r="V513">
        <v>250000</v>
      </c>
      <c r="W513">
        <v>50000</v>
      </c>
      <c r="X513" t="s">
        <v>6</v>
      </c>
      <c r="Y513" t="s">
        <v>1494</v>
      </c>
      <c r="Z513">
        <v>62500</v>
      </c>
      <c r="AA513">
        <v>10.47114181518555</v>
      </c>
      <c r="AB513">
        <v>4.6840405464172363</v>
      </c>
      <c r="AC513">
        <v>1.212299976032227E-4</v>
      </c>
      <c r="AD513">
        <v>1703</v>
      </c>
      <c r="AE513">
        <v>2950</v>
      </c>
      <c r="AF513">
        <v>1382</v>
      </c>
      <c r="AG513">
        <v>8883</v>
      </c>
      <c r="AH513">
        <v>4674</v>
      </c>
      <c r="AI513">
        <v>8883</v>
      </c>
      <c r="AJ513">
        <v>7</v>
      </c>
      <c r="AK513">
        <v>6</v>
      </c>
      <c r="AL513">
        <v>103</v>
      </c>
      <c r="AM513">
        <v>6</v>
      </c>
      <c r="AN513">
        <v>212.75544738769531</v>
      </c>
      <c r="AO513"/>
      <c r="AP513"/>
      <c r="AQ513"/>
      <c r="AR513">
        <v>0</v>
      </c>
      <c r="AS513">
        <v>0</v>
      </c>
      <c r="AT513">
        <v>0</v>
      </c>
      <c r="AU513">
        <v>0</v>
      </c>
      <c r="AV513">
        <v>0</v>
      </c>
      <c r="AW513">
        <v>0</v>
      </c>
      <c r="AX513">
        <v>0</v>
      </c>
      <c r="AY513">
        <v>0</v>
      </c>
      <c r="AZ513">
        <v>0</v>
      </c>
      <c r="BA513">
        <v>0</v>
      </c>
      <c r="BB513"/>
      <c r="BC513"/>
      <c r="BD513"/>
      <c r="BE513">
        <v>0</v>
      </c>
      <c r="BF513" t="s">
        <v>1100</v>
      </c>
      <c r="BG513" t="s">
        <v>5</v>
      </c>
      <c r="BH513" t="s">
        <v>1020</v>
      </c>
      <c r="BI513" t="s">
        <v>1020</v>
      </c>
      <c r="BJ513" t="s">
        <v>5</v>
      </c>
      <c r="BK513"/>
      <c r="BL513">
        <v>0</v>
      </c>
      <c r="BM513"/>
      <c r="BN513" t="s">
        <v>5</v>
      </c>
      <c r="BO513"/>
      <c r="BP513"/>
      <c r="BQ513"/>
      <c r="BR513"/>
      <c r="BS513" t="s">
        <v>5</v>
      </c>
      <c r="BT513"/>
      <c r="BU513"/>
      <c r="BV513"/>
      <c r="BW513"/>
      <c r="BX513" t="s">
        <v>6</v>
      </c>
      <c r="BY513" t="s">
        <v>1101</v>
      </c>
      <c r="BZ513"/>
      <c r="CA513"/>
      <c r="CB513" t="s">
        <v>5</v>
      </c>
      <c r="CC513">
        <v>127320.6125738657</v>
      </c>
      <c r="CD513">
        <v>263147101.58918309</v>
      </c>
      <c r="CE513" s="313" t="s">
        <v>11891</v>
      </c>
    </row>
    <row r="514" spans="1:83" ht="15" x14ac:dyDescent="0.25">
      <c r="A514" t="s">
        <v>1503</v>
      </c>
      <c r="B514" t="s">
        <v>1504</v>
      </c>
      <c r="C514" t="s">
        <v>1505</v>
      </c>
      <c r="D514">
        <v>1</v>
      </c>
      <c r="E514" t="s">
        <v>1432</v>
      </c>
      <c r="F514" t="s">
        <v>1487</v>
      </c>
      <c r="G514" t="s">
        <v>1488</v>
      </c>
      <c r="H514" t="s">
        <v>1489</v>
      </c>
      <c r="I514" t="s">
        <v>1490</v>
      </c>
      <c r="J514" t="s">
        <v>1491</v>
      </c>
      <c r="K514" t="s">
        <v>1449</v>
      </c>
      <c r="L514">
        <v>101.60166168212891</v>
      </c>
      <c r="M514" t="s">
        <v>6</v>
      </c>
      <c r="N514" t="s">
        <v>5</v>
      </c>
      <c r="O514" t="s">
        <v>5</v>
      </c>
      <c r="P514" t="s">
        <v>6</v>
      </c>
      <c r="Q514" t="s">
        <v>5</v>
      </c>
      <c r="R514" t="s">
        <v>1492</v>
      </c>
      <c r="S514" t="s">
        <v>1493</v>
      </c>
      <c r="T514" t="s">
        <v>5</v>
      </c>
      <c r="U514" t="s">
        <v>28</v>
      </c>
      <c r="V514">
        <v>250000</v>
      </c>
      <c r="W514">
        <v>50000</v>
      </c>
      <c r="X514" t="s">
        <v>6</v>
      </c>
      <c r="Y514" t="s">
        <v>1494</v>
      </c>
      <c r="Z514">
        <v>62500</v>
      </c>
      <c r="AA514">
        <v>10.47114181518555</v>
      </c>
      <c r="AB514">
        <v>4.6840405464172363</v>
      </c>
      <c r="AC514">
        <v>1.212299976032227E-4</v>
      </c>
      <c r="AD514">
        <v>1703</v>
      </c>
      <c r="AE514">
        <v>2950</v>
      </c>
      <c r="AF514">
        <v>1382</v>
      </c>
      <c r="AG514">
        <v>8883</v>
      </c>
      <c r="AH514">
        <v>4674</v>
      </c>
      <c r="AI514">
        <v>8883</v>
      </c>
      <c r="AJ514">
        <v>7</v>
      </c>
      <c r="AK514">
        <v>6</v>
      </c>
      <c r="AL514">
        <v>103</v>
      </c>
      <c r="AM514">
        <v>6</v>
      </c>
      <c r="AN514">
        <v>212.75544738769531</v>
      </c>
      <c r="AO514"/>
      <c r="AP514"/>
      <c r="AQ514"/>
      <c r="AR514">
        <v>0</v>
      </c>
      <c r="AS514">
        <v>0</v>
      </c>
      <c r="AT514">
        <v>0</v>
      </c>
      <c r="AU514">
        <v>0</v>
      </c>
      <c r="AV514">
        <v>0</v>
      </c>
      <c r="AW514">
        <v>0</v>
      </c>
      <c r="AX514">
        <v>0</v>
      </c>
      <c r="AY514">
        <v>0</v>
      </c>
      <c r="AZ514">
        <v>0</v>
      </c>
      <c r="BA514">
        <v>0</v>
      </c>
      <c r="BB514"/>
      <c r="BC514"/>
      <c r="BD514"/>
      <c r="BE514">
        <v>0</v>
      </c>
      <c r="BF514" t="s">
        <v>1100</v>
      </c>
      <c r="BG514" t="s">
        <v>5</v>
      </c>
      <c r="BH514" t="s">
        <v>1020</v>
      </c>
      <c r="BI514" t="s">
        <v>1020</v>
      </c>
      <c r="BJ514" t="s">
        <v>5</v>
      </c>
      <c r="BK514"/>
      <c r="BL514">
        <v>0</v>
      </c>
      <c r="BM514"/>
      <c r="BN514" t="s">
        <v>5</v>
      </c>
      <c r="BO514"/>
      <c r="BP514"/>
      <c r="BQ514"/>
      <c r="BR514"/>
      <c r="BS514" t="s">
        <v>5</v>
      </c>
      <c r="BT514"/>
      <c r="BU514"/>
      <c r="BV514"/>
      <c r="BW514"/>
      <c r="BX514" t="s">
        <v>6</v>
      </c>
      <c r="BY514" t="s">
        <v>1101</v>
      </c>
      <c r="BZ514"/>
      <c r="CA514"/>
      <c r="CB514" t="s">
        <v>5</v>
      </c>
      <c r="CC514">
        <v>127320.6125738657</v>
      </c>
      <c r="CD514">
        <v>263147101.58918309</v>
      </c>
      <c r="CE514" s="313" t="s">
        <v>11891</v>
      </c>
    </row>
    <row r="515" spans="1:83" ht="15" x14ac:dyDescent="0.25">
      <c r="A515" t="s">
        <v>1726</v>
      </c>
      <c r="B515" t="s">
        <v>1727</v>
      </c>
      <c r="C515" t="s">
        <v>1728</v>
      </c>
      <c r="D515">
        <v>2</v>
      </c>
      <c r="E515" t="s">
        <v>1516</v>
      </c>
      <c r="F515" t="s">
        <v>1668</v>
      </c>
      <c r="G515" t="s">
        <v>1729</v>
      </c>
      <c r="H515" t="s">
        <v>4363</v>
      </c>
      <c r="I515" t="s">
        <v>1730</v>
      </c>
      <c r="J515" t="s">
        <v>1731</v>
      </c>
      <c r="K515" t="s">
        <v>1521</v>
      </c>
      <c r="L515">
        <v>0.78568011522293091</v>
      </c>
      <c r="M515" t="s">
        <v>6</v>
      </c>
      <c r="N515" t="s">
        <v>5</v>
      </c>
      <c r="O515" t="s">
        <v>5</v>
      </c>
      <c r="P515" t="s">
        <v>5</v>
      </c>
      <c r="Q515" t="s">
        <v>5</v>
      </c>
      <c r="R515" t="s">
        <v>1671</v>
      </c>
      <c r="S515" t="s">
        <v>1732</v>
      </c>
      <c r="T515" t="s">
        <v>5</v>
      </c>
      <c r="U515" t="s">
        <v>50</v>
      </c>
      <c r="V515">
        <v>50000</v>
      </c>
      <c r="W515">
        <v>50000</v>
      </c>
      <c r="X515" t="s">
        <v>5</v>
      </c>
      <c r="Y515"/>
      <c r="Z515"/>
      <c r="AA515">
        <v>9.6186161041259766E-2</v>
      </c>
      <c r="AB515">
        <v>6.1376304365694523E-3</v>
      </c>
      <c r="AC515">
        <v>0</v>
      </c>
      <c r="AD515">
        <v>4</v>
      </c>
      <c r="AE515">
        <v>0</v>
      </c>
      <c r="AF515">
        <v>3</v>
      </c>
      <c r="AG515">
        <v>0</v>
      </c>
      <c r="AH515">
        <v>0</v>
      </c>
      <c r="AI515">
        <v>0</v>
      </c>
      <c r="AJ515">
        <v>1</v>
      </c>
      <c r="AK515">
        <v>0</v>
      </c>
      <c r="AL515">
        <v>1</v>
      </c>
      <c r="AM515"/>
      <c r="AN515">
        <v>0.32938718795776373</v>
      </c>
      <c r="AO515"/>
      <c r="AP515"/>
      <c r="AQ515"/>
      <c r="AR515"/>
      <c r="AS515"/>
      <c r="AT515"/>
      <c r="AU515"/>
      <c r="AV515"/>
      <c r="AW515"/>
      <c r="AX515"/>
      <c r="AY515"/>
      <c r="AZ515"/>
      <c r="BA515"/>
      <c r="BB515"/>
      <c r="BC515"/>
      <c r="BD515"/>
      <c r="BE515"/>
      <c r="BF515" t="s">
        <v>1100</v>
      </c>
      <c r="BG515" t="s">
        <v>5</v>
      </c>
      <c r="BH515" t="s">
        <v>1524</v>
      </c>
      <c r="BI515" t="s">
        <v>5</v>
      </c>
      <c r="BJ515" t="s">
        <v>5</v>
      </c>
      <c r="BK515"/>
      <c r="BL515">
        <v>0</v>
      </c>
      <c r="BM515"/>
      <c r="BN515" t="s">
        <v>5</v>
      </c>
      <c r="BO515"/>
      <c r="BP515"/>
      <c r="BQ515"/>
      <c r="BR515"/>
      <c r="BS515" t="s">
        <v>5</v>
      </c>
      <c r="BT515"/>
      <c r="BU515"/>
      <c r="BV515"/>
      <c r="BW515"/>
      <c r="BX515" t="s">
        <v>6</v>
      </c>
      <c r="BY515" t="s">
        <v>1681</v>
      </c>
      <c r="BZ515"/>
      <c r="CA515"/>
      <c r="CB515" t="s">
        <v>5</v>
      </c>
      <c r="CC515">
        <v>5699.110900532718</v>
      </c>
      <c r="CD515">
        <v>2034902.1793990971</v>
      </c>
      <c r="CE515" s="313" t="s">
        <v>11891</v>
      </c>
    </row>
    <row r="516" spans="1:83" ht="15" x14ac:dyDescent="0.25">
      <c r="A516" t="s">
        <v>1760</v>
      </c>
      <c r="B516" t="s">
        <v>1761</v>
      </c>
      <c r="C516" t="s">
        <v>1762</v>
      </c>
      <c r="D516">
        <v>2</v>
      </c>
      <c r="E516" t="s">
        <v>1516</v>
      </c>
      <c r="F516" t="s">
        <v>4365</v>
      </c>
      <c r="G516" t="s">
        <v>1763</v>
      </c>
      <c r="H516" t="s">
        <v>4366</v>
      </c>
      <c r="I516" t="s">
        <v>1764</v>
      </c>
      <c r="J516" t="s">
        <v>1765</v>
      </c>
      <c r="K516" t="s">
        <v>1753</v>
      </c>
      <c r="L516">
        <v>29.510000228881839</v>
      </c>
      <c r="M516" t="s">
        <v>6</v>
      </c>
      <c r="N516" t="s">
        <v>5</v>
      </c>
      <c r="O516" t="s">
        <v>5</v>
      </c>
      <c r="P516" t="s">
        <v>5</v>
      </c>
      <c r="Q516" t="s">
        <v>5</v>
      </c>
      <c r="R516" t="s">
        <v>1766</v>
      </c>
      <c r="S516" t="s">
        <v>1767</v>
      </c>
      <c r="T516" t="s">
        <v>5</v>
      </c>
      <c r="U516" t="s">
        <v>13</v>
      </c>
      <c r="V516">
        <v>50000</v>
      </c>
      <c r="W516">
        <v>50000</v>
      </c>
      <c r="X516" t="s">
        <v>5</v>
      </c>
      <c r="Y516"/>
      <c r="Z516"/>
      <c r="AA516">
        <v>5.3724312782287598</v>
      </c>
      <c r="AB516">
        <v>0.28397342562675482</v>
      </c>
      <c r="AC516">
        <v>0</v>
      </c>
      <c r="AD516">
        <v>355</v>
      </c>
      <c r="AE516">
        <v>50</v>
      </c>
      <c r="AF516">
        <v>245</v>
      </c>
      <c r="AG516">
        <v>2907</v>
      </c>
      <c r="AH516">
        <v>556</v>
      </c>
      <c r="AI516">
        <v>3266</v>
      </c>
      <c r="AJ516">
        <v>2</v>
      </c>
      <c r="AK516">
        <v>2</v>
      </c>
      <c r="AL516">
        <v>29</v>
      </c>
      <c r="AM516"/>
      <c r="AN516">
        <v>107.30999755859381</v>
      </c>
      <c r="AO516"/>
      <c r="AP516"/>
      <c r="AQ516"/>
      <c r="AR516"/>
      <c r="AS516"/>
      <c r="AT516"/>
      <c r="AU516"/>
      <c r="AV516"/>
      <c r="AW516"/>
      <c r="AX516"/>
      <c r="AY516"/>
      <c r="AZ516"/>
      <c r="BA516"/>
      <c r="BB516"/>
      <c r="BC516"/>
      <c r="BD516"/>
      <c r="BE516"/>
      <c r="BF516" t="s">
        <v>1100</v>
      </c>
      <c r="BG516" t="s">
        <v>5</v>
      </c>
      <c r="BH516" t="s">
        <v>1524</v>
      </c>
      <c r="BI516" t="s">
        <v>5</v>
      </c>
      <c r="BJ516" t="s">
        <v>5</v>
      </c>
      <c r="BK516"/>
      <c r="BL516">
        <v>0</v>
      </c>
      <c r="BM516"/>
      <c r="BN516" t="s">
        <v>5</v>
      </c>
      <c r="BO516"/>
      <c r="BP516"/>
      <c r="BQ516"/>
      <c r="BR516"/>
      <c r="BS516" t="s">
        <v>5</v>
      </c>
      <c r="BT516"/>
      <c r="BU516"/>
      <c r="BV516"/>
      <c r="BW516"/>
      <c r="BX516" t="s">
        <v>6</v>
      </c>
      <c r="BY516" t="s">
        <v>1681</v>
      </c>
      <c r="BZ516"/>
      <c r="CA516"/>
      <c r="CB516" t="s">
        <v>5</v>
      </c>
      <c r="CC516">
        <v>187063.4437471696</v>
      </c>
      <c r="CD516">
        <v>76417649.567847967</v>
      </c>
      <c r="CE516" s="313" t="s">
        <v>11891</v>
      </c>
    </row>
    <row r="517" spans="1:83" ht="15" x14ac:dyDescent="0.25">
      <c r="A517" t="s">
        <v>12062</v>
      </c>
      <c r="B517" t="s">
        <v>12063</v>
      </c>
      <c r="C517" t="s">
        <v>12064</v>
      </c>
      <c r="D517">
        <v>4</v>
      </c>
      <c r="E517" t="s">
        <v>2512</v>
      </c>
      <c r="F517" t="s">
        <v>2559</v>
      </c>
      <c r="G517" t="s">
        <v>2560</v>
      </c>
      <c r="H517" t="s">
        <v>4773</v>
      </c>
      <c r="I517" t="s">
        <v>12060</v>
      </c>
      <c r="J517" t="s">
        <v>12061</v>
      </c>
      <c r="K517" t="s">
        <v>4575</v>
      </c>
      <c r="L517">
        <v>6.2100000381469727</v>
      </c>
      <c r="M517" t="s">
        <v>6</v>
      </c>
      <c r="N517" t="s">
        <v>6</v>
      </c>
      <c r="O517" t="s">
        <v>5</v>
      </c>
      <c r="P517" t="s">
        <v>5</v>
      </c>
      <c r="Q517" t="s">
        <v>5</v>
      </c>
      <c r="R517" t="s">
        <v>5532</v>
      </c>
      <c r="S517" t="s">
        <v>5532</v>
      </c>
      <c r="T517" t="s">
        <v>6</v>
      </c>
      <c r="U517" t="s">
        <v>50</v>
      </c>
      <c r="V517">
        <v>50000</v>
      </c>
      <c r="W517">
        <v>50000</v>
      </c>
      <c r="X517" t="s">
        <v>6</v>
      </c>
      <c r="Y517" t="s">
        <v>1100</v>
      </c>
      <c r="Z517">
        <v>0</v>
      </c>
      <c r="AA517">
        <v>1.5900000333786011</v>
      </c>
      <c r="AB517">
        <v>0.36000001430511469</v>
      </c>
      <c r="AC517">
        <v>0</v>
      </c>
      <c r="AD517">
        <v>957</v>
      </c>
      <c r="AE517">
        <v>366</v>
      </c>
      <c r="AF517">
        <v>799</v>
      </c>
      <c r="AG517">
        <v>2275</v>
      </c>
      <c r="AH517">
        <v>1784</v>
      </c>
      <c r="AI517">
        <v>3458</v>
      </c>
      <c r="AJ517">
        <v>0</v>
      </c>
      <c r="AK517">
        <v>0</v>
      </c>
      <c r="AL517">
        <v>14</v>
      </c>
      <c r="AM517">
        <v>0</v>
      </c>
      <c r="AN517">
        <v>16.670000076293949</v>
      </c>
      <c r="AO517"/>
      <c r="AP517"/>
      <c r="AQ517"/>
      <c r="AR517">
        <v>0</v>
      </c>
      <c r="AS517">
        <v>0</v>
      </c>
      <c r="AT517">
        <v>0</v>
      </c>
      <c r="AU517">
        <v>0</v>
      </c>
      <c r="AV517">
        <v>0</v>
      </c>
      <c r="AW517">
        <v>0</v>
      </c>
      <c r="AX517">
        <v>0</v>
      </c>
      <c r="AY517">
        <v>0</v>
      </c>
      <c r="AZ517">
        <v>0</v>
      </c>
      <c r="BA517">
        <v>0</v>
      </c>
      <c r="BB517"/>
      <c r="BC517"/>
      <c r="BD517"/>
      <c r="BE517">
        <v>0</v>
      </c>
      <c r="BF517" t="s">
        <v>2516</v>
      </c>
      <c r="BG517" t="s">
        <v>5</v>
      </c>
      <c r="BH517" t="s">
        <v>1100</v>
      </c>
      <c r="BI517" t="s">
        <v>1100</v>
      </c>
      <c r="BJ517" t="s">
        <v>5</v>
      </c>
      <c r="BK517" t="s">
        <v>1100</v>
      </c>
      <c r="BL517">
        <v>0</v>
      </c>
      <c r="BM517"/>
      <c r="BN517" t="s">
        <v>5</v>
      </c>
      <c r="BO517" t="s">
        <v>2518</v>
      </c>
      <c r="BP517" t="s">
        <v>2518</v>
      </c>
      <c r="BQ517" t="s">
        <v>2518</v>
      </c>
      <c r="BR517" t="s">
        <v>2518</v>
      </c>
      <c r="BS517" t="s">
        <v>6</v>
      </c>
      <c r="BT517" t="s">
        <v>2518</v>
      </c>
      <c r="BU517" t="s">
        <v>2518</v>
      </c>
      <c r="BV517" t="s">
        <v>2518</v>
      </c>
      <c r="BW517" t="s">
        <v>1100</v>
      </c>
      <c r="BX517" t="s">
        <v>6</v>
      </c>
      <c r="BY517" t="s">
        <v>2519</v>
      </c>
      <c r="BZ517"/>
      <c r="CA517"/>
      <c r="CB517" t="s">
        <v>5</v>
      </c>
      <c r="CC517">
        <v>71260.112531560051</v>
      </c>
      <c r="CD517">
        <v>16093789.890842579</v>
      </c>
      <c r="CE517" s="313" t="s">
        <v>11902</v>
      </c>
    </row>
    <row r="518" spans="1:83" ht="15" x14ac:dyDescent="0.25">
      <c r="A518" t="s">
        <v>2527</v>
      </c>
      <c r="B518" t="s">
        <v>2528</v>
      </c>
      <c r="C518" t="s">
        <v>2529</v>
      </c>
      <c r="D518">
        <v>4</v>
      </c>
      <c r="E518" t="s">
        <v>2512</v>
      </c>
      <c r="F518" t="s">
        <v>2138</v>
      </c>
      <c r="G518" t="s">
        <v>2513</v>
      </c>
      <c r="H518" t="s">
        <v>2523</v>
      </c>
      <c r="I518" t="s">
        <v>2524</v>
      </c>
      <c r="J518" t="s">
        <v>2525</v>
      </c>
      <c r="K518" t="s">
        <v>2530</v>
      </c>
      <c r="L518">
        <v>2.9807465076446529</v>
      </c>
      <c r="M518" t="s">
        <v>6</v>
      </c>
      <c r="N518" t="s">
        <v>5</v>
      </c>
      <c r="O518" t="s">
        <v>5</v>
      </c>
      <c r="P518" t="s">
        <v>5</v>
      </c>
      <c r="Q518" t="s">
        <v>5</v>
      </c>
      <c r="R518" t="s">
        <v>2526</v>
      </c>
      <c r="S518" t="s">
        <v>2526</v>
      </c>
      <c r="T518" t="s">
        <v>5</v>
      </c>
      <c r="U518" t="s">
        <v>4</v>
      </c>
      <c r="V518">
        <v>50000</v>
      </c>
      <c r="W518">
        <v>50000</v>
      </c>
      <c r="X518" t="s">
        <v>6</v>
      </c>
      <c r="Y518"/>
      <c r="Z518">
        <v>0</v>
      </c>
      <c r="AA518">
        <v>7.0580397732555866E-3</v>
      </c>
      <c r="AB518">
        <v>4.646299930755049E-4</v>
      </c>
      <c r="AC518">
        <v>0</v>
      </c>
      <c r="AD518">
        <v>0</v>
      </c>
      <c r="AE518">
        <v>0</v>
      </c>
      <c r="AF518">
        <v>0</v>
      </c>
      <c r="AG518">
        <v>0</v>
      </c>
      <c r="AH518">
        <v>0</v>
      </c>
      <c r="AI518">
        <v>0</v>
      </c>
      <c r="AJ518">
        <v>0</v>
      </c>
      <c r="AK518">
        <v>0</v>
      </c>
      <c r="AL518">
        <v>0</v>
      </c>
      <c r="AM518">
        <v>0</v>
      </c>
      <c r="AN518">
        <v>0.38747164607048029</v>
      </c>
      <c r="AO518"/>
      <c r="AP518"/>
      <c r="AQ518"/>
      <c r="AR518">
        <v>0</v>
      </c>
      <c r="AS518">
        <v>0</v>
      </c>
      <c r="AT518">
        <v>0</v>
      </c>
      <c r="AU518">
        <v>0</v>
      </c>
      <c r="AV518">
        <v>0</v>
      </c>
      <c r="AW518">
        <v>0</v>
      </c>
      <c r="AX518">
        <v>0</v>
      </c>
      <c r="AY518">
        <v>0</v>
      </c>
      <c r="AZ518">
        <v>0</v>
      </c>
      <c r="BA518">
        <v>0</v>
      </c>
      <c r="BB518"/>
      <c r="BC518"/>
      <c r="BD518"/>
      <c r="BE518">
        <v>0</v>
      </c>
      <c r="BF518" t="s">
        <v>2516</v>
      </c>
      <c r="BG518" t="s">
        <v>5</v>
      </c>
      <c r="BH518" t="s">
        <v>1020</v>
      </c>
      <c r="BI518" t="s">
        <v>2517</v>
      </c>
      <c r="BJ518" t="s">
        <v>5</v>
      </c>
      <c r="BK518" t="s">
        <v>1100</v>
      </c>
      <c r="BL518">
        <v>0</v>
      </c>
      <c r="BM518"/>
      <c r="BN518" t="s">
        <v>5</v>
      </c>
      <c r="BO518" t="s">
        <v>2518</v>
      </c>
      <c r="BP518" t="s">
        <v>2518</v>
      </c>
      <c r="BQ518" t="s">
        <v>2518</v>
      </c>
      <c r="BR518" t="s">
        <v>2518</v>
      </c>
      <c r="BS518" t="s">
        <v>6</v>
      </c>
      <c r="BT518" t="s">
        <v>2518</v>
      </c>
      <c r="BU518" t="s">
        <v>2518</v>
      </c>
      <c r="BV518" t="s">
        <v>2518</v>
      </c>
      <c r="BW518" t="s">
        <v>1100</v>
      </c>
      <c r="BX518" t="s">
        <v>6</v>
      </c>
      <c r="BY518" t="s">
        <v>2519</v>
      </c>
      <c r="BZ518"/>
      <c r="CA518"/>
      <c r="CB518" t="s">
        <v>5</v>
      </c>
      <c r="CC518">
        <v>14495.720584867749</v>
      </c>
      <c r="CD518">
        <v>7720097.7218868826</v>
      </c>
      <c r="CE518" s="313" t="s">
        <v>11891</v>
      </c>
    </row>
    <row r="519" spans="1:83" ht="15" x14ac:dyDescent="0.25">
      <c r="A519" t="s">
        <v>12073</v>
      </c>
      <c r="B519" t="s">
        <v>12074</v>
      </c>
      <c r="C519" t="s">
        <v>12075</v>
      </c>
      <c r="D519">
        <v>4</v>
      </c>
      <c r="E519" t="s">
        <v>2512</v>
      </c>
      <c r="F519" t="s">
        <v>4736</v>
      </c>
      <c r="G519" t="s">
        <v>2537</v>
      </c>
      <c r="H519" t="s">
        <v>4824</v>
      </c>
      <c r="I519" t="s">
        <v>4825</v>
      </c>
      <c r="J519" t="s">
        <v>4826</v>
      </c>
      <c r="K519" t="s">
        <v>4761</v>
      </c>
      <c r="L519">
        <v>55.714336395263672</v>
      </c>
      <c r="M519" t="s">
        <v>6</v>
      </c>
      <c r="N519" t="s">
        <v>5</v>
      </c>
      <c r="O519" t="s">
        <v>5</v>
      </c>
      <c r="P519" t="s">
        <v>5</v>
      </c>
      <c r="Q519" t="s">
        <v>5</v>
      </c>
      <c r="R519" t="s">
        <v>4737</v>
      </c>
      <c r="S519" t="s">
        <v>4737</v>
      </c>
      <c r="T519" t="s">
        <v>5</v>
      </c>
      <c r="U519" t="s">
        <v>50</v>
      </c>
      <c r="V519">
        <v>50000</v>
      </c>
      <c r="W519">
        <v>50000</v>
      </c>
      <c r="X519" t="s">
        <v>6</v>
      </c>
      <c r="Y519"/>
      <c r="Z519">
        <v>0</v>
      </c>
      <c r="AA519">
        <v>17.052947998046879</v>
      </c>
      <c r="AB519">
        <v>2.191315889358521</v>
      </c>
      <c r="AC519">
        <v>0</v>
      </c>
      <c r="AD519">
        <v>1379</v>
      </c>
      <c r="AE519">
        <v>419</v>
      </c>
      <c r="AF519">
        <v>1024</v>
      </c>
      <c r="AG519">
        <v>10126</v>
      </c>
      <c r="AH519">
        <v>3757</v>
      </c>
      <c r="AI519">
        <v>10126</v>
      </c>
      <c r="AJ519">
        <v>9</v>
      </c>
      <c r="AK519">
        <v>0</v>
      </c>
      <c r="AL519">
        <v>41</v>
      </c>
      <c r="AM519">
        <v>0</v>
      </c>
      <c r="AN519">
        <v>294.66531372070313</v>
      </c>
      <c r="AO519"/>
      <c r="AP519"/>
      <c r="AQ519"/>
      <c r="AR519">
        <v>0</v>
      </c>
      <c r="AS519">
        <v>0</v>
      </c>
      <c r="AT519">
        <v>0</v>
      </c>
      <c r="AU519">
        <v>0</v>
      </c>
      <c r="AV519">
        <v>0</v>
      </c>
      <c r="AW519">
        <v>0</v>
      </c>
      <c r="AX519">
        <v>0</v>
      </c>
      <c r="AY519">
        <v>0</v>
      </c>
      <c r="AZ519">
        <v>0</v>
      </c>
      <c r="BA519">
        <v>0</v>
      </c>
      <c r="BB519"/>
      <c r="BC519"/>
      <c r="BD519"/>
      <c r="BE519">
        <v>0</v>
      </c>
      <c r="BF519" t="s">
        <v>2516</v>
      </c>
      <c r="BG519" t="s">
        <v>5</v>
      </c>
      <c r="BH519" t="s">
        <v>1020</v>
      </c>
      <c r="BI519" t="s">
        <v>2517</v>
      </c>
      <c r="BJ519" t="s">
        <v>5</v>
      </c>
      <c r="BK519" t="s">
        <v>1100</v>
      </c>
      <c r="BL519">
        <v>0</v>
      </c>
      <c r="BM519"/>
      <c r="BN519" t="s">
        <v>5</v>
      </c>
      <c r="BO519" t="s">
        <v>2518</v>
      </c>
      <c r="BP519" t="s">
        <v>2518</v>
      </c>
      <c r="BQ519" t="s">
        <v>2518</v>
      </c>
      <c r="BR519" t="s">
        <v>2518</v>
      </c>
      <c r="BS519" t="s">
        <v>6</v>
      </c>
      <c r="BT519" t="s">
        <v>2518</v>
      </c>
      <c r="BU519" t="s">
        <v>2518</v>
      </c>
      <c r="BV519" t="s">
        <v>2518</v>
      </c>
      <c r="BW519" t="s">
        <v>1100</v>
      </c>
      <c r="BX519" t="s">
        <v>6</v>
      </c>
      <c r="BY519" t="s">
        <v>2519</v>
      </c>
      <c r="BZ519"/>
      <c r="CA519"/>
      <c r="CB519" t="s">
        <v>5</v>
      </c>
      <c r="CC519">
        <v>95009.265056235134</v>
      </c>
      <c r="CD519">
        <v>144299464.57571331</v>
      </c>
      <c r="CE519" s="313" t="s">
        <v>11891</v>
      </c>
    </row>
    <row r="520" spans="1:83" ht="15" x14ac:dyDescent="0.25">
      <c r="A520" t="s">
        <v>4738</v>
      </c>
      <c r="B520" t="s">
        <v>4739</v>
      </c>
      <c r="C520" t="s">
        <v>4740</v>
      </c>
      <c r="D520">
        <v>4</v>
      </c>
      <c r="E520" t="s">
        <v>2512</v>
      </c>
      <c r="F520" t="s">
        <v>2559</v>
      </c>
      <c r="G520" t="s">
        <v>2560</v>
      </c>
      <c r="H520" t="s">
        <v>4741</v>
      </c>
      <c r="I520" t="s">
        <v>4742</v>
      </c>
      <c r="J520" t="s">
        <v>4743</v>
      </c>
      <c r="K520" t="s">
        <v>4744</v>
      </c>
      <c r="L520">
        <v>371.03521728515619</v>
      </c>
      <c r="M520" t="s">
        <v>6</v>
      </c>
      <c r="N520" t="s">
        <v>6</v>
      </c>
      <c r="O520" t="s">
        <v>5</v>
      </c>
      <c r="P520" t="s">
        <v>5</v>
      </c>
      <c r="Q520" t="s">
        <v>5</v>
      </c>
      <c r="R520" t="s">
        <v>4745</v>
      </c>
      <c r="S520" t="s">
        <v>4745</v>
      </c>
      <c r="T520" t="s">
        <v>6</v>
      </c>
      <c r="U520" t="s">
        <v>50</v>
      </c>
      <c r="V520">
        <v>50000</v>
      </c>
      <c r="W520">
        <v>50000</v>
      </c>
      <c r="X520" t="s">
        <v>6</v>
      </c>
      <c r="Y520"/>
      <c r="Z520">
        <v>0</v>
      </c>
      <c r="AA520">
        <v>341.07913208007813</v>
      </c>
      <c r="AB520">
        <v>58.821243286132813</v>
      </c>
      <c r="AC520">
        <v>0</v>
      </c>
      <c r="AD520">
        <v>16974</v>
      </c>
      <c r="AE520">
        <v>8682</v>
      </c>
      <c r="AF520">
        <v>14040</v>
      </c>
      <c r="AG520">
        <v>26400</v>
      </c>
      <c r="AH520">
        <v>26881</v>
      </c>
      <c r="AI520">
        <v>26881</v>
      </c>
      <c r="AJ520">
        <v>276</v>
      </c>
      <c r="AK520">
        <v>22</v>
      </c>
      <c r="AL520">
        <v>364</v>
      </c>
      <c r="AM520">
        <v>22</v>
      </c>
      <c r="AN520">
        <v>17171.203125</v>
      </c>
      <c r="AO520"/>
      <c r="AP520"/>
      <c r="AQ520"/>
      <c r="AR520">
        <v>0</v>
      </c>
      <c r="AS520">
        <v>0</v>
      </c>
      <c r="AT520">
        <v>0</v>
      </c>
      <c r="AU520">
        <v>0</v>
      </c>
      <c r="AV520">
        <v>0</v>
      </c>
      <c r="AW520">
        <v>0</v>
      </c>
      <c r="AX520">
        <v>0</v>
      </c>
      <c r="AY520">
        <v>0</v>
      </c>
      <c r="AZ520">
        <v>0</v>
      </c>
      <c r="BA520">
        <v>0</v>
      </c>
      <c r="BB520"/>
      <c r="BC520"/>
      <c r="BD520"/>
      <c r="BE520">
        <v>0</v>
      </c>
      <c r="BF520" t="s">
        <v>2516</v>
      </c>
      <c r="BG520" t="s">
        <v>5</v>
      </c>
      <c r="BH520" t="s">
        <v>1020</v>
      </c>
      <c r="BI520" t="s">
        <v>2517</v>
      </c>
      <c r="BJ520" t="s">
        <v>5</v>
      </c>
      <c r="BK520" t="s">
        <v>1100</v>
      </c>
      <c r="BL520">
        <v>0</v>
      </c>
      <c r="BM520"/>
      <c r="BN520" t="s">
        <v>5</v>
      </c>
      <c r="BO520" t="s">
        <v>2518</v>
      </c>
      <c r="BP520" t="s">
        <v>2518</v>
      </c>
      <c r="BQ520" t="s">
        <v>2518</v>
      </c>
      <c r="BR520" t="s">
        <v>2518</v>
      </c>
      <c r="BS520" t="s">
        <v>6</v>
      </c>
      <c r="BT520" t="s">
        <v>2518</v>
      </c>
      <c r="BU520" t="s">
        <v>2518</v>
      </c>
      <c r="BV520" t="s">
        <v>2518</v>
      </c>
      <c r="BW520" t="s">
        <v>1100</v>
      </c>
      <c r="BX520" t="s">
        <v>6</v>
      </c>
      <c r="BY520" t="s">
        <v>2519</v>
      </c>
      <c r="BZ520"/>
      <c r="CA520"/>
      <c r="CB520" t="s">
        <v>5</v>
      </c>
      <c r="CC520">
        <v>172965.4387377699</v>
      </c>
      <c r="CD520">
        <v>960976801.01900148</v>
      </c>
      <c r="CE520" s="313" t="s">
        <v>11891</v>
      </c>
    </row>
    <row r="521" spans="1:83" ht="15" x14ac:dyDescent="0.25">
      <c r="A521" t="s">
        <v>4768</v>
      </c>
      <c r="B521" t="s">
        <v>4769</v>
      </c>
      <c r="C521" t="s">
        <v>12084</v>
      </c>
      <c r="D521">
        <v>4</v>
      </c>
      <c r="E521" t="s">
        <v>2512</v>
      </c>
      <c r="F521" t="s">
        <v>2559</v>
      </c>
      <c r="G521" t="s">
        <v>2560</v>
      </c>
      <c r="H521" t="s">
        <v>2561</v>
      </c>
      <c r="I521" t="s">
        <v>2562</v>
      </c>
      <c r="J521" t="s">
        <v>2563</v>
      </c>
      <c r="K521" t="s">
        <v>4748</v>
      </c>
      <c r="L521">
        <v>371.03207397460938</v>
      </c>
      <c r="M521" t="s">
        <v>6</v>
      </c>
      <c r="N521" t="s">
        <v>6</v>
      </c>
      <c r="O521" t="s">
        <v>5</v>
      </c>
      <c r="P521" t="s">
        <v>5</v>
      </c>
      <c r="Q521" t="s">
        <v>5</v>
      </c>
      <c r="R521" t="s">
        <v>2567</v>
      </c>
      <c r="S521" t="s">
        <v>2567</v>
      </c>
      <c r="T521" t="s">
        <v>6</v>
      </c>
      <c r="U521" t="s">
        <v>98</v>
      </c>
      <c r="V521">
        <v>50000</v>
      </c>
      <c r="W521">
        <v>50000</v>
      </c>
      <c r="X521" t="s">
        <v>6</v>
      </c>
      <c r="Y521"/>
      <c r="Z521">
        <v>0</v>
      </c>
      <c r="AA521">
        <v>341.0738525390625</v>
      </c>
      <c r="AB521">
        <v>58.821269989013672</v>
      </c>
      <c r="AC521">
        <v>0</v>
      </c>
      <c r="AD521">
        <v>16974</v>
      </c>
      <c r="AE521">
        <v>8682</v>
      </c>
      <c r="AF521">
        <v>14040</v>
      </c>
      <c r="AG521">
        <v>26400</v>
      </c>
      <c r="AH521">
        <v>26881</v>
      </c>
      <c r="AI521">
        <v>26881</v>
      </c>
      <c r="AJ521">
        <v>276</v>
      </c>
      <c r="AK521">
        <v>22</v>
      </c>
      <c r="AL521">
        <v>364</v>
      </c>
      <c r="AM521">
        <v>22</v>
      </c>
      <c r="AN521">
        <v>17171.212890625</v>
      </c>
      <c r="AO521"/>
      <c r="AP521"/>
      <c r="AQ521"/>
      <c r="AR521">
        <v>0</v>
      </c>
      <c r="AS521">
        <v>0</v>
      </c>
      <c r="AT521">
        <v>0</v>
      </c>
      <c r="AU521">
        <v>0</v>
      </c>
      <c r="AV521">
        <v>0</v>
      </c>
      <c r="AW521">
        <v>0</v>
      </c>
      <c r="AX521">
        <v>0</v>
      </c>
      <c r="AY521">
        <v>0</v>
      </c>
      <c r="AZ521">
        <v>0</v>
      </c>
      <c r="BA521">
        <v>0</v>
      </c>
      <c r="BB521"/>
      <c r="BC521"/>
      <c r="BD521"/>
      <c r="BE521">
        <v>0</v>
      </c>
      <c r="BF521" t="s">
        <v>367</v>
      </c>
      <c r="BG521" t="s">
        <v>5</v>
      </c>
      <c r="BH521" t="s">
        <v>1020</v>
      </c>
      <c r="BI521" t="s">
        <v>2517</v>
      </c>
      <c r="BJ521" t="s">
        <v>5</v>
      </c>
      <c r="BK521" t="s">
        <v>1100</v>
      </c>
      <c r="BL521">
        <v>0</v>
      </c>
      <c r="BM521"/>
      <c r="BN521" t="s">
        <v>5</v>
      </c>
      <c r="BO521" t="s">
        <v>2518</v>
      </c>
      <c r="BP521" t="s">
        <v>2518</v>
      </c>
      <c r="BQ521" t="s">
        <v>2518</v>
      </c>
      <c r="BR521" t="s">
        <v>2518</v>
      </c>
      <c r="BS521" t="s">
        <v>6</v>
      </c>
      <c r="BT521" t="s">
        <v>2518</v>
      </c>
      <c r="BU521" t="s">
        <v>2518</v>
      </c>
      <c r="BV521" t="s">
        <v>2518</v>
      </c>
      <c r="BW521" t="s">
        <v>1100</v>
      </c>
      <c r="BX521" t="s">
        <v>6</v>
      </c>
      <c r="BY521" t="s">
        <v>2519</v>
      </c>
      <c r="BZ521"/>
      <c r="CA521"/>
      <c r="CB521" t="s">
        <v>5</v>
      </c>
      <c r="CC521">
        <v>172970.31197326019</v>
      </c>
      <c r="CD521">
        <v>960968660.9493506</v>
      </c>
      <c r="CE521" s="313" t="s">
        <v>11891</v>
      </c>
    </row>
    <row r="522" spans="1:83" ht="15" x14ac:dyDescent="0.25">
      <c r="A522" t="s">
        <v>4585</v>
      </c>
      <c r="B522" t="s">
        <v>1841</v>
      </c>
      <c r="C522" t="s">
        <v>1842</v>
      </c>
      <c r="D522">
        <v>4</v>
      </c>
      <c r="E522" t="s">
        <v>2512</v>
      </c>
      <c r="F522" t="s">
        <v>4580</v>
      </c>
      <c r="G522" t="s">
        <v>2513</v>
      </c>
      <c r="H522" t="s">
        <v>4581</v>
      </c>
      <c r="I522" t="s">
        <v>4582</v>
      </c>
      <c r="J522" t="s">
        <v>4583</v>
      </c>
      <c r="K522" t="s">
        <v>4586</v>
      </c>
      <c r="L522">
        <v>804.6400146484375</v>
      </c>
      <c r="M522" t="s">
        <v>6</v>
      </c>
      <c r="N522" t="s">
        <v>5</v>
      </c>
      <c r="O522" t="s">
        <v>5</v>
      </c>
      <c r="P522" t="s">
        <v>5</v>
      </c>
      <c r="Q522" t="s">
        <v>5</v>
      </c>
      <c r="R522" t="s">
        <v>1845</v>
      </c>
      <c r="S522" t="s">
        <v>1845</v>
      </c>
      <c r="T522" t="s">
        <v>5</v>
      </c>
      <c r="U522" t="s">
        <v>13</v>
      </c>
      <c r="V522">
        <v>50000</v>
      </c>
      <c r="W522">
        <v>50000</v>
      </c>
      <c r="X522" t="s">
        <v>6</v>
      </c>
      <c r="Y522"/>
      <c r="Z522">
        <v>0</v>
      </c>
      <c r="AA522">
        <v>8.130000114440918</v>
      </c>
      <c r="AB522">
        <v>0.40000000596046448</v>
      </c>
      <c r="AC522">
        <v>0</v>
      </c>
      <c r="AD522">
        <v>79</v>
      </c>
      <c r="AE522">
        <v>8</v>
      </c>
      <c r="AF522">
        <v>58</v>
      </c>
      <c r="AG522">
        <v>27</v>
      </c>
      <c r="AH522">
        <v>100</v>
      </c>
      <c r="AI522">
        <v>100</v>
      </c>
      <c r="AJ522">
        <v>0</v>
      </c>
      <c r="AK522">
        <v>3</v>
      </c>
      <c r="AL522">
        <v>5</v>
      </c>
      <c r="AM522">
        <v>3</v>
      </c>
      <c r="AN522">
        <v>2566.5</v>
      </c>
      <c r="AO522"/>
      <c r="AP522"/>
      <c r="AQ522"/>
      <c r="AR522">
        <v>0</v>
      </c>
      <c r="AS522">
        <v>0</v>
      </c>
      <c r="AT522">
        <v>0</v>
      </c>
      <c r="AU522">
        <v>0</v>
      </c>
      <c r="AV522">
        <v>0</v>
      </c>
      <c r="AW522">
        <v>0</v>
      </c>
      <c r="AX522">
        <v>0</v>
      </c>
      <c r="AY522">
        <v>0</v>
      </c>
      <c r="AZ522">
        <v>0</v>
      </c>
      <c r="BA522">
        <v>0</v>
      </c>
      <c r="BB522"/>
      <c r="BC522"/>
      <c r="BD522"/>
      <c r="BE522">
        <v>0</v>
      </c>
      <c r="BF522" t="s">
        <v>2516</v>
      </c>
      <c r="BG522" t="s">
        <v>5</v>
      </c>
      <c r="BH522" t="s">
        <v>1100</v>
      </c>
      <c r="BI522" t="s">
        <v>1100</v>
      </c>
      <c r="BJ522" t="s">
        <v>5</v>
      </c>
      <c r="BK522" t="s">
        <v>1100</v>
      </c>
      <c r="BL522">
        <v>0</v>
      </c>
      <c r="BM522"/>
      <c r="BN522" t="s">
        <v>5</v>
      </c>
      <c r="BO522" t="s">
        <v>2518</v>
      </c>
      <c r="BP522" t="s">
        <v>2518</v>
      </c>
      <c r="BQ522" t="s">
        <v>2518</v>
      </c>
      <c r="BR522" t="s">
        <v>2518</v>
      </c>
      <c r="BS522" t="s">
        <v>6</v>
      </c>
      <c r="BT522" t="s">
        <v>2518</v>
      </c>
      <c r="BU522" t="s">
        <v>2518</v>
      </c>
      <c r="BV522" t="s">
        <v>2518</v>
      </c>
      <c r="BW522" t="s">
        <v>1100</v>
      </c>
      <c r="BX522" t="s">
        <v>6</v>
      </c>
      <c r="BY522" t="s">
        <v>2519</v>
      </c>
      <c r="BZ522"/>
      <c r="CA522"/>
      <c r="CB522" t="s">
        <v>5</v>
      </c>
      <c r="CC522">
        <v>204262.62472743081</v>
      </c>
      <c r="CD522">
        <v>2084014426.8227501</v>
      </c>
      <c r="CE522" s="313" t="s">
        <v>11891</v>
      </c>
    </row>
    <row r="523" spans="1:83" ht="15" x14ac:dyDescent="0.25">
      <c r="A523" t="s">
        <v>2558</v>
      </c>
      <c r="B523" t="s">
        <v>4601</v>
      </c>
      <c r="C523" t="s">
        <v>4602</v>
      </c>
      <c r="D523">
        <v>4</v>
      </c>
      <c r="E523" t="s">
        <v>2512</v>
      </c>
      <c r="F523" t="s">
        <v>4603</v>
      </c>
      <c r="G523" t="s">
        <v>4604</v>
      </c>
      <c r="H523" t="s">
        <v>4605</v>
      </c>
      <c r="I523" t="s">
        <v>2580</v>
      </c>
      <c r="J523" t="s">
        <v>2587</v>
      </c>
      <c r="K523" t="s">
        <v>4567</v>
      </c>
      <c r="L523">
        <v>4760</v>
      </c>
      <c r="M523" t="s">
        <v>6</v>
      </c>
      <c r="N523" t="s">
        <v>5</v>
      </c>
      <c r="O523" t="s">
        <v>5</v>
      </c>
      <c r="P523" t="s">
        <v>5</v>
      </c>
      <c r="Q523" t="s">
        <v>5</v>
      </c>
      <c r="R523" t="s">
        <v>4606</v>
      </c>
      <c r="S523" t="s">
        <v>4606</v>
      </c>
      <c r="T523" t="s">
        <v>6</v>
      </c>
      <c r="U523" t="s">
        <v>28</v>
      </c>
      <c r="V523">
        <v>800100</v>
      </c>
      <c r="W523">
        <v>50000</v>
      </c>
      <c r="X523" t="s">
        <v>6</v>
      </c>
      <c r="Y523"/>
      <c r="Z523">
        <v>0</v>
      </c>
      <c r="AA523">
        <v>1385.069946289062</v>
      </c>
      <c r="AB523">
        <v>73.110000610351563</v>
      </c>
      <c r="AC523">
        <v>0</v>
      </c>
      <c r="AD523">
        <v>12591</v>
      </c>
      <c r="AE523">
        <v>2782</v>
      </c>
      <c r="AF523">
        <v>7574</v>
      </c>
      <c r="AG523">
        <v>32146</v>
      </c>
      <c r="AH523">
        <v>16762</v>
      </c>
      <c r="AI523">
        <v>43502</v>
      </c>
      <c r="AJ523">
        <v>88</v>
      </c>
      <c r="AK523">
        <v>67</v>
      </c>
      <c r="AL523">
        <v>877</v>
      </c>
      <c r="AM523">
        <v>67</v>
      </c>
      <c r="AN523">
        <v>170165.609375</v>
      </c>
      <c r="AO523"/>
      <c r="AP523"/>
      <c r="AQ523"/>
      <c r="AR523">
        <v>0</v>
      </c>
      <c r="AS523">
        <v>0</v>
      </c>
      <c r="AT523">
        <v>0</v>
      </c>
      <c r="AU523">
        <v>0</v>
      </c>
      <c r="AV523">
        <v>0</v>
      </c>
      <c r="AW523">
        <v>0</v>
      </c>
      <c r="AX523">
        <v>0</v>
      </c>
      <c r="AY523">
        <v>0</v>
      </c>
      <c r="AZ523">
        <v>0</v>
      </c>
      <c r="BA523">
        <v>0</v>
      </c>
      <c r="BB523"/>
      <c r="BC523"/>
      <c r="BD523"/>
      <c r="BE523">
        <v>0</v>
      </c>
      <c r="BF523" t="s">
        <v>2516</v>
      </c>
      <c r="BG523" t="s">
        <v>5</v>
      </c>
      <c r="BH523" t="s">
        <v>1100</v>
      </c>
      <c r="BI523" t="s">
        <v>1100</v>
      </c>
      <c r="BJ523" t="s">
        <v>5</v>
      </c>
      <c r="BK523" t="s">
        <v>1100</v>
      </c>
      <c r="BL523">
        <v>0</v>
      </c>
      <c r="BM523"/>
      <c r="BN523" t="s">
        <v>5</v>
      </c>
      <c r="BO523" t="s">
        <v>2518</v>
      </c>
      <c r="BP523" t="s">
        <v>2518</v>
      </c>
      <c r="BQ523" t="s">
        <v>2518</v>
      </c>
      <c r="BR523" t="s">
        <v>2518</v>
      </c>
      <c r="BS523" t="s">
        <v>6</v>
      </c>
      <c r="BT523" t="s">
        <v>2518</v>
      </c>
      <c r="BU523" t="s">
        <v>2518</v>
      </c>
      <c r="BV523" t="s">
        <v>2518</v>
      </c>
      <c r="BW523" t="s">
        <v>1100</v>
      </c>
      <c r="BX523" t="s">
        <v>6</v>
      </c>
      <c r="BY523" t="s">
        <v>2519</v>
      </c>
      <c r="BZ523"/>
      <c r="CA523"/>
      <c r="CB523" t="s">
        <v>5</v>
      </c>
      <c r="CC523">
        <v>876803.70862487203</v>
      </c>
      <c r="CD523">
        <v>12328392486.649401</v>
      </c>
      <c r="CE523" s="313" t="s">
        <v>11891</v>
      </c>
    </row>
    <row r="524" spans="1:83" ht="15" x14ac:dyDescent="0.25">
      <c r="A524" t="s">
        <v>4588</v>
      </c>
      <c r="B524" t="s">
        <v>2489</v>
      </c>
      <c r="C524" t="s">
        <v>2490</v>
      </c>
      <c r="D524">
        <v>4</v>
      </c>
      <c r="E524" t="s">
        <v>2512</v>
      </c>
      <c r="F524" t="s">
        <v>4589</v>
      </c>
      <c r="G524" t="s">
        <v>2513</v>
      </c>
      <c r="H524" t="s">
        <v>4590</v>
      </c>
      <c r="I524" t="s">
        <v>2514</v>
      </c>
      <c r="J524" t="s">
        <v>2515</v>
      </c>
      <c r="K524" t="s">
        <v>4591</v>
      </c>
      <c r="L524">
        <v>856.3699951171875</v>
      </c>
      <c r="M524" t="s">
        <v>6</v>
      </c>
      <c r="N524" t="s">
        <v>5</v>
      </c>
      <c r="O524" t="s">
        <v>5</v>
      </c>
      <c r="P524" t="s">
        <v>5</v>
      </c>
      <c r="Q524" t="s">
        <v>5</v>
      </c>
      <c r="R524" t="s">
        <v>2494</v>
      </c>
      <c r="S524" t="s">
        <v>2494</v>
      </c>
      <c r="T524" t="s">
        <v>5</v>
      </c>
      <c r="U524" t="s">
        <v>13</v>
      </c>
      <c r="V524">
        <v>50000</v>
      </c>
      <c r="W524">
        <v>50000</v>
      </c>
      <c r="X524" t="s">
        <v>6</v>
      </c>
      <c r="Y524"/>
      <c r="Z524">
        <v>0</v>
      </c>
      <c r="AA524">
        <v>205.25</v>
      </c>
      <c r="AB524">
        <v>10.489999771118161</v>
      </c>
      <c r="AC524">
        <v>0</v>
      </c>
      <c r="AD524">
        <v>1080</v>
      </c>
      <c r="AE524">
        <v>150</v>
      </c>
      <c r="AF524">
        <v>452</v>
      </c>
      <c r="AG524">
        <v>1471</v>
      </c>
      <c r="AH524">
        <v>713</v>
      </c>
      <c r="AI524">
        <v>1954</v>
      </c>
      <c r="AJ524">
        <v>0</v>
      </c>
      <c r="AK524">
        <v>9</v>
      </c>
      <c r="AL524">
        <v>79</v>
      </c>
      <c r="AM524">
        <v>9</v>
      </c>
      <c r="AN524">
        <v>24554.30078125</v>
      </c>
      <c r="AO524"/>
      <c r="AP524"/>
      <c r="AQ524"/>
      <c r="AR524">
        <v>0</v>
      </c>
      <c r="AS524">
        <v>0</v>
      </c>
      <c r="AT524">
        <v>0</v>
      </c>
      <c r="AU524">
        <v>0</v>
      </c>
      <c r="AV524">
        <v>0</v>
      </c>
      <c r="AW524">
        <v>0</v>
      </c>
      <c r="AX524">
        <v>0</v>
      </c>
      <c r="AY524">
        <v>0</v>
      </c>
      <c r="AZ524">
        <v>0</v>
      </c>
      <c r="BA524">
        <v>0</v>
      </c>
      <c r="BB524"/>
      <c r="BC524"/>
      <c r="BD524"/>
      <c r="BE524">
        <v>0</v>
      </c>
      <c r="BF524" t="s">
        <v>2516</v>
      </c>
      <c r="BG524" t="s">
        <v>5</v>
      </c>
      <c r="BH524" t="s">
        <v>1100</v>
      </c>
      <c r="BI524" t="s">
        <v>1100</v>
      </c>
      <c r="BJ524" t="s">
        <v>5</v>
      </c>
      <c r="BK524" t="s">
        <v>1100</v>
      </c>
      <c r="BL524">
        <v>0</v>
      </c>
      <c r="BM524"/>
      <c r="BN524" t="s">
        <v>5</v>
      </c>
      <c r="BO524" t="s">
        <v>2518</v>
      </c>
      <c r="BP524" t="s">
        <v>2518</v>
      </c>
      <c r="BQ524" t="s">
        <v>2518</v>
      </c>
      <c r="BR524" t="s">
        <v>2518</v>
      </c>
      <c r="BS524" t="s">
        <v>6</v>
      </c>
      <c r="BT524" t="s">
        <v>2518</v>
      </c>
      <c r="BU524" t="s">
        <v>2518</v>
      </c>
      <c r="BV524" t="s">
        <v>2518</v>
      </c>
      <c r="BW524" t="s">
        <v>1100</v>
      </c>
      <c r="BX524" t="s">
        <v>6</v>
      </c>
      <c r="BY524" t="s">
        <v>2519</v>
      </c>
      <c r="BZ524"/>
      <c r="CA524"/>
      <c r="CB524" t="s">
        <v>5</v>
      </c>
      <c r="CC524">
        <v>243896.6586158633</v>
      </c>
      <c r="CD524">
        <v>2217992855.9883828</v>
      </c>
      <c r="CE524" s="313" t="s">
        <v>11891</v>
      </c>
    </row>
    <row r="525" spans="1:83" ht="15" x14ac:dyDescent="0.25">
      <c r="A525" t="s">
        <v>4592</v>
      </c>
      <c r="B525" t="s">
        <v>4593</v>
      </c>
      <c r="C525" t="s">
        <v>4594</v>
      </c>
      <c r="D525">
        <v>4</v>
      </c>
      <c r="E525" t="s">
        <v>2512</v>
      </c>
      <c r="F525" t="s">
        <v>4595</v>
      </c>
      <c r="G525" t="s">
        <v>2537</v>
      </c>
      <c r="H525" t="s">
        <v>4596</v>
      </c>
      <c r="I525" t="s">
        <v>4597</v>
      </c>
      <c r="J525" t="s">
        <v>4598</v>
      </c>
      <c r="K525" t="s">
        <v>4599</v>
      </c>
      <c r="L525">
        <v>155.46000671386719</v>
      </c>
      <c r="M525" t="s">
        <v>6</v>
      </c>
      <c r="N525" t="s">
        <v>5</v>
      </c>
      <c r="O525" t="s">
        <v>5</v>
      </c>
      <c r="P525" t="s">
        <v>5</v>
      </c>
      <c r="Q525" t="s">
        <v>5</v>
      </c>
      <c r="R525" t="s">
        <v>2545</v>
      </c>
      <c r="S525" t="s">
        <v>2545</v>
      </c>
      <c r="T525" t="s">
        <v>6</v>
      </c>
      <c r="U525" t="s">
        <v>98</v>
      </c>
      <c r="V525">
        <v>64351368</v>
      </c>
      <c r="W525">
        <v>50000</v>
      </c>
      <c r="X525" t="s">
        <v>6</v>
      </c>
      <c r="Y525"/>
      <c r="Z525">
        <v>0</v>
      </c>
      <c r="AA525">
        <v>37.7261962890625</v>
      </c>
      <c r="AB525">
        <v>2.5213124752044682</v>
      </c>
      <c r="AC525">
        <v>0</v>
      </c>
      <c r="AD525">
        <v>517</v>
      </c>
      <c r="AE525">
        <v>619</v>
      </c>
      <c r="AF525">
        <v>366</v>
      </c>
      <c r="AG525">
        <v>1305</v>
      </c>
      <c r="AH525">
        <v>1079</v>
      </c>
      <c r="AI525">
        <v>1891</v>
      </c>
      <c r="AJ525">
        <v>3</v>
      </c>
      <c r="AK525">
        <v>3</v>
      </c>
      <c r="AL525">
        <v>45</v>
      </c>
      <c r="AM525">
        <v>3</v>
      </c>
      <c r="AN525">
        <v>3000.083740234375</v>
      </c>
      <c r="AO525"/>
      <c r="AP525"/>
      <c r="AQ525"/>
      <c r="AR525">
        <v>22</v>
      </c>
      <c r="AS525">
        <v>22</v>
      </c>
      <c r="AT525">
        <v>22</v>
      </c>
      <c r="AU525">
        <v>22</v>
      </c>
      <c r="AV525">
        <v>75</v>
      </c>
      <c r="AW525">
        <v>0</v>
      </c>
      <c r="AX525">
        <v>0</v>
      </c>
      <c r="AY525">
        <v>0</v>
      </c>
      <c r="AZ525">
        <v>0</v>
      </c>
      <c r="BA525">
        <v>0</v>
      </c>
      <c r="BB525"/>
      <c r="BC525"/>
      <c r="BD525"/>
      <c r="BE525">
        <v>292508</v>
      </c>
      <c r="BF525" t="s">
        <v>2516</v>
      </c>
      <c r="BG525" t="s">
        <v>5</v>
      </c>
      <c r="BH525" t="s">
        <v>1100</v>
      </c>
      <c r="BI525"/>
      <c r="BJ525" t="s">
        <v>5</v>
      </c>
      <c r="BK525" t="s">
        <v>1100</v>
      </c>
      <c r="BL525">
        <v>0</v>
      </c>
      <c r="BM525"/>
      <c r="BN525" t="s">
        <v>5</v>
      </c>
      <c r="BO525" t="s">
        <v>2518</v>
      </c>
      <c r="BP525" t="s">
        <v>2518</v>
      </c>
      <c r="BQ525" t="s">
        <v>2518</v>
      </c>
      <c r="BR525" t="s">
        <v>2518</v>
      </c>
      <c r="BS525" t="s">
        <v>6</v>
      </c>
      <c r="BT525" t="s">
        <v>2518</v>
      </c>
      <c r="BU525" t="s">
        <v>2518</v>
      </c>
      <c r="BV525" t="s">
        <v>2518</v>
      </c>
      <c r="BW525" t="s">
        <v>1100</v>
      </c>
      <c r="BX525" t="s">
        <v>6</v>
      </c>
      <c r="BY525" t="s">
        <v>2519</v>
      </c>
      <c r="BZ525" t="s">
        <v>4600</v>
      </c>
      <c r="CA525"/>
      <c r="CB525" t="s">
        <v>5</v>
      </c>
      <c r="CC525">
        <v>129869.5693425403</v>
      </c>
      <c r="CD525">
        <v>402631147.67077541</v>
      </c>
      <c r="CE525" s="313" t="s">
        <v>11891</v>
      </c>
    </row>
    <row r="526" spans="1:83" ht="15" x14ac:dyDescent="0.25">
      <c r="A526" t="s">
        <v>2595</v>
      </c>
      <c r="B526" t="s">
        <v>2596</v>
      </c>
      <c r="C526" t="s">
        <v>2597</v>
      </c>
      <c r="D526">
        <v>5</v>
      </c>
      <c r="E526" t="s">
        <v>2598</v>
      </c>
      <c r="F526" t="s">
        <v>2591</v>
      </c>
      <c r="G526" t="s">
        <v>2599</v>
      </c>
      <c r="H526" t="s">
        <v>2600</v>
      </c>
      <c r="I526" t="s">
        <v>2601</v>
      </c>
      <c r="J526" t="s">
        <v>2602</v>
      </c>
      <c r="K526" t="s">
        <v>2603</v>
      </c>
      <c r="L526">
        <v>11.992349624633791</v>
      </c>
      <c r="M526" t="s">
        <v>6</v>
      </c>
      <c r="N526" t="s">
        <v>5</v>
      </c>
      <c r="O526" t="s">
        <v>6</v>
      </c>
      <c r="P526" t="s">
        <v>5</v>
      </c>
      <c r="Q526" t="s">
        <v>5</v>
      </c>
      <c r="R526" t="s">
        <v>2604</v>
      </c>
      <c r="S526" t="s">
        <v>2604</v>
      </c>
      <c r="T526" t="s">
        <v>6</v>
      </c>
      <c r="U526" t="s">
        <v>85</v>
      </c>
      <c r="V526">
        <v>1000000</v>
      </c>
      <c r="W526">
        <v>50000</v>
      </c>
      <c r="X526" t="s">
        <v>5</v>
      </c>
      <c r="Y526"/>
      <c r="Z526"/>
      <c r="AA526">
        <v>0.93625229597091675</v>
      </c>
      <c r="AB526">
        <v>6.4676828682422638E-2</v>
      </c>
      <c r="AC526">
        <v>0.48681071400642401</v>
      </c>
      <c r="AD526">
        <v>37</v>
      </c>
      <c r="AE526">
        <v>5</v>
      </c>
      <c r="AF526">
        <v>17</v>
      </c>
      <c r="AG526">
        <v>59</v>
      </c>
      <c r="AH526">
        <v>73</v>
      </c>
      <c r="AI526">
        <v>97</v>
      </c>
      <c r="AJ526">
        <v>0</v>
      </c>
      <c r="AK526">
        <v>0</v>
      </c>
      <c r="AL526">
        <v>2</v>
      </c>
      <c r="AM526">
        <v>0</v>
      </c>
      <c r="AN526">
        <v>5.1046648025512704</v>
      </c>
      <c r="AO526"/>
      <c r="AP526"/>
      <c r="AQ526"/>
      <c r="AR526">
        <v>0</v>
      </c>
      <c r="AS526">
        <v>0</v>
      </c>
      <c r="AT526">
        <v>0</v>
      </c>
      <c r="AU526">
        <v>0</v>
      </c>
      <c r="AV526">
        <v>0</v>
      </c>
      <c r="AW526">
        <v>0</v>
      </c>
      <c r="AX526">
        <v>0</v>
      </c>
      <c r="AY526">
        <v>0</v>
      </c>
      <c r="AZ526">
        <v>0</v>
      </c>
      <c r="BA526">
        <v>0</v>
      </c>
      <c r="BB526"/>
      <c r="BC526"/>
      <c r="BD526"/>
      <c r="BE526">
        <v>0</v>
      </c>
      <c r="BF526" t="s">
        <v>2516</v>
      </c>
      <c r="BG526" t="s">
        <v>5</v>
      </c>
      <c r="BH526" t="s">
        <v>1020</v>
      </c>
      <c r="BI526"/>
      <c r="BJ526" t="s">
        <v>5</v>
      </c>
      <c r="BK526"/>
      <c r="BL526">
        <v>0</v>
      </c>
      <c r="BM526"/>
      <c r="BN526" t="s">
        <v>5</v>
      </c>
      <c r="BO526" t="s">
        <v>2518</v>
      </c>
      <c r="BP526" t="s">
        <v>2518</v>
      </c>
      <c r="BQ526" t="s">
        <v>2518</v>
      </c>
      <c r="BR526"/>
      <c r="BS526" t="s">
        <v>6</v>
      </c>
      <c r="BT526" t="s">
        <v>2518</v>
      </c>
      <c r="BU526" t="s">
        <v>2518</v>
      </c>
      <c r="BV526" t="s">
        <v>2518</v>
      </c>
      <c r="BW526"/>
      <c r="BX526" t="s">
        <v>6</v>
      </c>
      <c r="BY526" t="s">
        <v>2605</v>
      </c>
      <c r="BZ526" t="s">
        <v>2518</v>
      </c>
      <c r="CA526"/>
      <c r="CB526" t="s">
        <v>5</v>
      </c>
      <c r="CC526">
        <v>42696.790036120568</v>
      </c>
      <c r="CD526">
        <v>31060041.837766819</v>
      </c>
      <c r="CE526" s="313" t="s">
        <v>11891</v>
      </c>
    </row>
    <row r="527" spans="1:83" ht="15" x14ac:dyDescent="0.25">
      <c r="A527" t="s">
        <v>2771</v>
      </c>
      <c r="B527" t="s">
        <v>2772</v>
      </c>
      <c r="C527" t="s">
        <v>2773</v>
      </c>
      <c r="D527">
        <v>5</v>
      </c>
      <c r="E527" t="s">
        <v>2598</v>
      </c>
      <c r="F527" t="s">
        <v>2171</v>
      </c>
      <c r="G527" t="s">
        <v>2685</v>
      </c>
      <c r="H527" t="s">
        <v>2689</v>
      </c>
      <c r="I527" t="s">
        <v>2687</v>
      </c>
      <c r="J527" t="s">
        <v>2688</v>
      </c>
      <c r="K527" t="s">
        <v>2603</v>
      </c>
      <c r="L527">
        <v>418.21084594726563</v>
      </c>
      <c r="M527" t="s">
        <v>6</v>
      </c>
      <c r="N527" t="s">
        <v>5</v>
      </c>
      <c r="O527" t="s">
        <v>6</v>
      </c>
      <c r="P527" t="s">
        <v>5</v>
      </c>
      <c r="Q527" t="s">
        <v>6</v>
      </c>
      <c r="R527" t="s">
        <v>2774</v>
      </c>
      <c r="S527" t="s">
        <v>2774</v>
      </c>
      <c r="T527" t="s">
        <v>6</v>
      </c>
      <c r="U527" t="s">
        <v>85</v>
      </c>
      <c r="V527">
        <v>1000000</v>
      </c>
      <c r="W527">
        <v>50000</v>
      </c>
      <c r="X527" t="s">
        <v>5</v>
      </c>
      <c r="Y527"/>
      <c r="Z527"/>
      <c r="AA527">
        <v>61.414657592773438</v>
      </c>
      <c r="AB527">
        <v>4.7471528053283691</v>
      </c>
      <c r="AC527">
        <v>3.9730210304260249</v>
      </c>
      <c r="AD527">
        <v>17</v>
      </c>
      <c r="AE527">
        <v>2</v>
      </c>
      <c r="AF527">
        <v>3</v>
      </c>
      <c r="AG527">
        <v>5</v>
      </c>
      <c r="AH527">
        <v>16</v>
      </c>
      <c r="AI527">
        <v>16</v>
      </c>
      <c r="AJ527">
        <v>0</v>
      </c>
      <c r="AK527">
        <v>7</v>
      </c>
      <c r="AL527">
        <v>20</v>
      </c>
      <c r="AM527">
        <v>7</v>
      </c>
      <c r="AN527">
        <v>116.8699188232422</v>
      </c>
      <c r="AO527"/>
      <c r="AP527"/>
      <c r="AQ527"/>
      <c r="AR527">
        <v>0</v>
      </c>
      <c r="AS527">
        <v>0</v>
      </c>
      <c r="AT527">
        <v>0</v>
      </c>
      <c r="AU527">
        <v>0</v>
      </c>
      <c r="AV527">
        <v>0</v>
      </c>
      <c r="AW527">
        <v>0</v>
      </c>
      <c r="AX527">
        <v>0</v>
      </c>
      <c r="AY527">
        <v>0</v>
      </c>
      <c r="AZ527">
        <v>0</v>
      </c>
      <c r="BA527">
        <v>0</v>
      </c>
      <c r="BB527"/>
      <c r="BC527"/>
      <c r="BD527"/>
      <c r="BE527">
        <v>0</v>
      </c>
      <c r="BF527" t="s">
        <v>2516</v>
      </c>
      <c r="BG527" t="s">
        <v>5</v>
      </c>
      <c r="BH527" t="s">
        <v>1020</v>
      </c>
      <c r="BI527"/>
      <c r="BJ527" t="s">
        <v>5</v>
      </c>
      <c r="BK527"/>
      <c r="BL527">
        <v>0</v>
      </c>
      <c r="BM527"/>
      <c r="BN527" t="s">
        <v>5</v>
      </c>
      <c r="BO527" t="s">
        <v>2518</v>
      </c>
      <c r="BP527" t="s">
        <v>2518</v>
      </c>
      <c r="BQ527" t="s">
        <v>2518</v>
      </c>
      <c r="BR527"/>
      <c r="BS527" t="s">
        <v>6</v>
      </c>
      <c r="BT527" t="s">
        <v>2518</v>
      </c>
      <c r="BU527" t="s">
        <v>2518</v>
      </c>
      <c r="BV527" t="s">
        <v>2518</v>
      </c>
      <c r="BW527"/>
      <c r="BX527" t="s">
        <v>6</v>
      </c>
      <c r="BY527" t="s">
        <v>2605</v>
      </c>
      <c r="BZ527" t="s">
        <v>2518</v>
      </c>
      <c r="CA527"/>
      <c r="CB527" t="s">
        <v>5</v>
      </c>
      <c r="CC527">
        <v>191278.39302701049</v>
      </c>
      <c r="CD527">
        <v>1083161157.7274129</v>
      </c>
      <c r="CE527" s="313" t="s">
        <v>11891</v>
      </c>
    </row>
    <row r="528" spans="1:83" ht="15" x14ac:dyDescent="0.25">
      <c r="A528" t="s">
        <v>12387</v>
      </c>
      <c r="B528" t="s">
        <v>12388</v>
      </c>
      <c r="C528" t="s">
        <v>12389</v>
      </c>
      <c r="D528">
        <v>5</v>
      </c>
      <c r="E528" t="s">
        <v>2598</v>
      </c>
      <c r="F528" t="s">
        <v>2559</v>
      </c>
      <c r="G528" t="s">
        <v>12390</v>
      </c>
      <c r="H528" t="s">
        <v>12391</v>
      </c>
      <c r="I528" t="s">
        <v>12392</v>
      </c>
      <c r="J528" t="s">
        <v>12393</v>
      </c>
      <c r="K528" t="s">
        <v>12152</v>
      </c>
      <c r="L528">
        <v>10.304924011230471</v>
      </c>
      <c r="M528" t="s">
        <v>6</v>
      </c>
      <c r="N528" t="s">
        <v>5</v>
      </c>
      <c r="O528" t="s">
        <v>5</v>
      </c>
      <c r="P528" t="s">
        <v>5</v>
      </c>
      <c r="Q528" t="s">
        <v>5</v>
      </c>
      <c r="R528" t="s">
        <v>4745</v>
      </c>
      <c r="S528" t="s">
        <v>4745</v>
      </c>
      <c r="T528" t="s">
        <v>6</v>
      </c>
      <c r="U528" t="s">
        <v>13</v>
      </c>
      <c r="V528">
        <v>50000</v>
      </c>
      <c r="W528">
        <v>50000</v>
      </c>
      <c r="X528" t="s">
        <v>6</v>
      </c>
      <c r="Y528"/>
      <c r="Z528"/>
      <c r="AA528">
        <v>1.947086095809937</v>
      </c>
      <c r="AB528">
        <v>3.3440284729003911</v>
      </c>
      <c r="AC528">
        <v>0.32724130153656011</v>
      </c>
      <c r="AD528">
        <v>541</v>
      </c>
      <c r="AE528">
        <v>2077</v>
      </c>
      <c r="AF528">
        <v>416</v>
      </c>
      <c r="AG528">
        <v>695</v>
      </c>
      <c r="AH528">
        <v>1143</v>
      </c>
      <c r="AI528">
        <v>1143</v>
      </c>
      <c r="AJ528">
        <v>1</v>
      </c>
      <c r="AK528">
        <v>5</v>
      </c>
      <c r="AL528">
        <v>13</v>
      </c>
      <c r="AM528">
        <v>5</v>
      </c>
      <c r="AN528">
        <v>1.0961142778396611</v>
      </c>
      <c r="AO528"/>
      <c r="AP528"/>
      <c r="AQ528"/>
      <c r="AR528">
        <v>0</v>
      </c>
      <c r="AS528">
        <v>0</v>
      </c>
      <c r="AT528">
        <v>0</v>
      </c>
      <c r="AU528">
        <v>0</v>
      </c>
      <c r="AV528">
        <v>0</v>
      </c>
      <c r="AW528">
        <v>0</v>
      </c>
      <c r="AX528">
        <v>0</v>
      </c>
      <c r="AY528">
        <v>0</v>
      </c>
      <c r="AZ528">
        <v>0</v>
      </c>
      <c r="BA528">
        <v>0</v>
      </c>
      <c r="BB528"/>
      <c r="BC528"/>
      <c r="BD528"/>
      <c r="BE528">
        <v>0</v>
      </c>
      <c r="BF528" t="s">
        <v>2516</v>
      </c>
      <c r="BG528" t="s">
        <v>5</v>
      </c>
      <c r="BH528" t="s">
        <v>1020</v>
      </c>
      <c r="BI528"/>
      <c r="BJ528" t="s">
        <v>5</v>
      </c>
      <c r="BK528"/>
      <c r="BL528">
        <v>0</v>
      </c>
      <c r="BM528"/>
      <c r="BN528" t="s">
        <v>6</v>
      </c>
      <c r="BO528" t="s">
        <v>2518</v>
      </c>
      <c r="BP528" t="s">
        <v>2518</v>
      </c>
      <c r="BQ528" t="s">
        <v>2518</v>
      </c>
      <c r="BR528"/>
      <c r="BS528" t="s">
        <v>6</v>
      </c>
      <c r="BT528" t="s">
        <v>2518</v>
      </c>
      <c r="BU528" t="s">
        <v>2518</v>
      </c>
      <c r="BV528" t="s">
        <v>2518</v>
      </c>
      <c r="BW528"/>
      <c r="BX528" t="s">
        <v>6</v>
      </c>
      <c r="BY528" t="s">
        <v>2605</v>
      </c>
      <c r="BZ528" t="s">
        <v>2518</v>
      </c>
      <c r="CA528"/>
      <c r="CB528" t="s">
        <v>5</v>
      </c>
      <c r="CC528">
        <v>55116.443833590783</v>
      </c>
      <c r="CD528">
        <v>26689629.93451561</v>
      </c>
      <c r="CE528" s="313" t="s">
        <v>11902</v>
      </c>
    </row>
    <row r="529" spans="1:83" ht="15" x14ac:dyDescent="0.25">
      <c r="A529" t="s">
        <v>12394</v>
      </c>
      <c r="B529" t="s">
        <v>12395</v>
      </c>
      <c r="C529" t="s">
        <v>12267</v>
      </c>
      <c r="D529">
        <v>5</v>
      </c>
      <c r="E529" t="s">
        <v>2598</v>
      </c>
      <c r="F529" t="s">
        <v>2559</v>
      </c>
      <c r="G529" t="s">
        <v>12390</v>
      </c>
      <c r="H529" t="s">
        <v>12391</v>
      </c>
      <c r="I529" t="s">
        <v>12392</v>
      </c>
      <c r="J529" t="s">
        <v>12393</v>
      </c>
      <c r="K529" t="s">
        <v>12152</v>
      </c>
      <c r="L529">
        <v>10.304924011230471</v>
      </c>
      <c r="M529" t="s">
        <v>6</v>
      </c>
      <c r="N529" t="s">
        <v>5</v>
      </c>
      <c r="O529" t="s">
        <v>5</v>
      </c>
      <c r="P529" t="s">
        <v>5</v>
      </c>
      <c r="Q529" t="s">
        <v>5</v>
      </c>
      <c r="R529" t="s">
        <v>4745</v>
      </c>
      <c r="S529" t="s">
        <v>4745</v>
      </c>
      <c r="T529" t="s">
        <v>6</v>
      </c>
      <c r="U529" t="s">
        <v>13</v>
      </c>
      <c r="V529">
        <v>50000</v>
      </c>
      <c r="W529">
        <v>50000</v>
      </c>
      <c r="X529" t="s">
        <v>6</v>
      </c>
      <c r="Y529"/>
      <c r="Z529"/>
      <c r="AA529">
        <v>1.947086095809937</v>
      </c>
      <c r="AB529">
        <v>3.3440284729003911</v>
      </c>
      <c r="AC529">
        <v>0.32724130153656011</v>
      </c>
      <c r="AD529">
        <v>541</v>
      </c>
      <c r="AE529">
        <v>2077</v>
      </c>
      <c r="AF529">
        <v>416</v>
      </c>
      <c r="AG529">
        <v>695</v>
      </c>
      <c r="AH529">
        <v>1143</v>
      </c>
      <c r="AI529">
        <v>1143</v>
      </c>
      <c r="AJ529">
        <v>1</v>
      </c>
      <c r="AK529">
        <v>5</v>
      </c>
      <c r="AL529">
        <v>13</v>
      </c>
      <c r="AM529">
        <v>5</v>
      </c>
      <c r="AN529">
        <v>1.0961142778396611</v>
      </c>
      <c r="AO529"/>
      <c r="AP529"/>
      <c r="AQ529"/>
      <c r="AR529">
        <v>0</v>
      </c>
      <c r="AS529">
        <v>0</v>
      </c>
      <c r="AT529">
        <v>0</v>
      </c>
      <c r="AU529">
        <v>0</v>
      </c>
      <c r="AV529">
        <v>0</v>
      </c>
      <c r="AW529">
        <v>0</v>
      </c>
      <c r="AX529">
        <v>0</v>
      </c>
      <c r="AY529">
        <v>0</v>
      </c>
      <c r="AZ529">
        <v>0</v>
      </c>
      <c r="BA529">
        <v>0</v>
      </c>
      <c r="BB529"/>
      <c r="BC529"/>
      <c r="BD529"/>
      <c r="BE529">
        <v>0</v>
      </c>
      <c r="BF529" t="s">
        <v>2516</v>
      </c>
      <c r="BG529" t="s">
        <v>5</v>
      </c>
      <c r="BH529" t="s">
        <v>1020</v>
      </c>
      <c r="BI529"/>
      <c r="BJ529" t="s">
        <v>5</v>
      </c>
      <c r="BK529"/>
      <c r="BL529">
        <v>0</v>
      </c>
      <c r="BM529"/>
      <c r="BN529" t="s">
        <v>6</v>
      </c>
      <c r="BO529" t="s">
        <v>2518</v>
      </c>
      <c r="BP529" t="s">
        <v>2518</v>
      </c>
      <c r="BQ529" t="s">
        <v>2518</v>
      </c>
      <c r="BR529"/>
      <c r="BS529" t="s">
        <v>6</v>
      </c>
      <c r="BT529" t="s">
        <v>2518</v>
      </c>
      <c r="BU529" t="s">
        <v>2518</v>
      </c>
      <c r="BV529" t="s">
        <v>2518</v>
      </c>
      <c r="BW529"/>
      <c r="BX529" t="s">
        <v>6</v>
      </c>
      <c r="BY529" t="s">
        <v>2605</v>
      </c>
      <c r="BZ529" t="s">
        <v>2518</v>
      </c>
      <c r="CA529"/>
      <c r="CB529" t="s">
        <v>5</v>
      </c>
      <c r="CC529">
        <v>55116.443833590783</v>
      </c>
      <c r="CD529">
        <v>26689629.93451561</v>
      </c>
      <c r="CE529" s="313" t="s">
        <v>11902</v>
      </c>
    </row>
    <row r="530" spans="1:83" ht="15" x14ac:dyDescent="0.25">
      <c r="A530" t="s">
        <v>3017</v>
      </c>
      <c r="B530" t="s">
        <v>3018</v>
      </c>
      <c r="C530" t="s">
        <v>3019</v>
      </c>
      <c r="D530">
        <v>7</v>
      </c>
      <c r="E530" t="s">
        <v>2979</v>
      </c>
      <c r="F530" t="s">
        <v>439</v>
      </c>
      <c r="G530" t="s">
        <v>3020</v>
      </c>
      <c r="H530" t="s">
        <v>3021</v>
      </c>
      <c r="I530" t="s">
        <v>3022</v>
      </c>
      <c r="J530" t="s">
        <v>3023</v>
      </c>
      <c r="K530" t="s">
        <v>3015</v>
      </c>
      <c r="L530">
        <v>392.98867797851563</v>
      </c>
      <c r="M530" t="s">
        <v>6</v>
      </c>
      <c r="N530" t="s">
        <v>5</v>
      </c>
      <c r="O530" t="s">
        <v>5</v>
      </c>
      <c r="P530" t="s">
        <v>5</v>
      </c>
      <c r="Q530" t="s">
        <v>5</v>
      </c>
      <c r="R530" t="s">
        <v>556</v>
      </c>
      <c r="S530" t="s">
        <v>556</v>
      </c>
      <c r="T530" t="s">
        <v>5</v>
      </c>
      <c r="U530" t="s">
        <v>50</v>
      </c>
      <c r="V530">
        <v>50000</v>
      </c>
      <c r="W530">
        <v>50000</v>
      </c>
      <c r="X530" t="s">
        <v>5</v>
      </c>
      <c r="Y530" t="s">
        <v>1100</v>
      </c>
      <c r="Z530">
        <v>0</v>
      </c>
      <c r="AA530">
        <v>54.723575592041023</v>
      </c>
      <c r="AB530">
        <v>4.3266897201538086</v>
      </c>
      <c r="AC530">
        <v>0</v>
      </c>
      <c r="AD530">
        <v>13</v>
      </c>
      <c r="AE530">
        <v>3</v>
      </c>
      <c r="AF530">
        <v>2</v>
      </c>
      <c r="AG530">
        <v>7</v>
      </c>
      <c r="AH530">
        <v>23</v>
      </c>
      <c r="AI530">
        <v>23</v>
      </c>
      <c r="AJ530">
        <v>0</v>
      </c>
      <c r="AK530">
        <v>6</v>
      </c>
      <c r="AL530">
        <v>18</v>
      </c>
      <c r="AM530">
        <v>0</v>
      </c>
      <c r="AN530">
        <v>6805.37255859375</v>
      </c>
      <c r="AO530">
        <v>0</v>
      </c>
      <c r="AP530">
        <v>0</v>
      </c>
      <c r="AQ530">
        <v>0</v>
      </c>
      <c r="AR530">
        <v>0</v>
      </c>
      <c r="AS530">
        <v>0</v>
      </c>
      <c r="AT530">
        <v>0</v>
      </c>
      <c r="AU530">
        <v>0</v>
      </c>
      <c r="AV530">
        <v>0</v>
      </c>
      <c r="AW530">
        <v>0</v>
      </c>
      <c r="AX530">
        <v>0</v>
      </c>
      <c r="AY530">
        <v>0</v>
      </c>
      <c r="AZ530">
        <v>0</v>
      </c>
      <c r="BA530">
        <v>0</v>
      </c>
      <c r="BB530">
        <v>0</v>
      </c>
      <c r="BC530">
        <v>0</v>
      </c>
      <c r="BD530">
        <v>0</v>
      </c>
      <c r="BE530">
        <v>0</v>
      </c>
      <c r="BF530" t="s">
        <v>1100</v>
      </c>
      <c r="BG530" t="s">
        <v>5</v>
      </c>
      <c r="BH530" t="s">
        <v>2987</v>
      </c>
      <c r="BI530" t="s">
        <v>1100</v>
      </c>
      <c r="BJ530" t="s">
        <v>5</v>
      </c>
      <c r="BK530" t="s">
        <v>1100</v>
      </c>
      <c r="BL530">
        <v>0</v>
      </c>
      <c r="BM530">
        <v>0</v>
      </c>
      <c r="BN530" t="s">
        <v>5</v>
      </c>
      <c r="BO530" t="s">
        <v>1100</v>
      </c>
      <c r="BP530" t="s">
        <v>1100</v>
      </c>
      <c r="BQ530" t="s">
        <v>1100</v>
      </c>
      <c r="BR530" t="s">
        <v>1100</v>
      </c>
      <c r="BS530" t="s">
        <v>5</v>
      </c>
      <c r="BT530" t="s">
        <v>1100</v>
      </c>
      <c r="BU530" t="s">
        <v>1100</v>
      </c>
      <c r="BV530" t="s">
        <v>1100</v>
      </c>
      <c r="BW530" t="s">
        <v>1100</v>
      </c>
      <c r="BX530" t="s">
        <v>6</v>
      </c>
      <c r="BY530" t="s">
        <v>2988</v>
      </c>
      <c r="BZ530" t="s">
        <v>3006</v>
      </c>
      <c r="CA530"/>
      <c r="CB530" t="s">
        <v>5</v>
      </c>
      <c r="CC530">
        <v>211563.24446789949</v>
      </c>
      <c r="CD530">
        <v>1017840075.452603</v>
      </c>
      <c r="CE530" s="313" t="s">
        <v>11891</v>
      </c>
    </row>
    <row r="531" spans="1:83" ht="15" x14ac:dyDescent="0.25">
      <c r="A531" t="s">
        <v>3024</v>
      </c>
      <c r="B531" t="s">
        <v>3025</v>
      </c>
      <c r="C531" t="s">
        <v>3019</v>
      </c>
      <c r="D531">
        <v>7</v>
      </c>
      <c r="E531" t="s">
        <v>2979</v>
      </c>
      <c r="F531" t="s">
        <v>3026</v>
      </c>
      <c r="G531" t="s">
        <v>3000</v>
      </c>
      <c r="H531" t="s">
        <v>3027</v>
      </c>
      <c r="I531" t="s">
        <v>3028</v>
      </c>
      <c r="J531" t="s">
        <v>3029</v>
      </c>
      <c r="K531" t="s">
        <v>3015</v>
      </c>
      <c r="L531">
        <v>899.753662109375</v>
      </c>
      <c r="M531" t="s">
        <v>6</v>
      </c>
      <c r="N531" t="s">
        <v>5</v>
      </c>
      <c r="O531" t="s">
        <v>5</v>
      </c>
      <c r="P531" t="s">
        <v>5</v>
      </c>
      <c r="Q531" t="s">
        <v>5</v>
      </c>
      <c r="R531" t="s">
        <v>3030</v>
      </c>
      <c r="S531" t="s">
        <v>3030</v>
      </c>
      <c r="T531" t="s">
        <v>5</v>
      </c>
      <c r="U531" t="s">
        <v>50</v>
      </c>
      <c r="V531">
        <v>50000</v>
      </c>
      <c r="W531">
        <v>50000</v>
      </c>
      <c r="X531" t="s">
        <v>5</v>
      </c>
      <c r="Y531" t="s">
        <v>1100</v>
      </c>
      <c r="Z531">
        <v>0</v>
      </c>
      <c r="AA531">
        <v>125.50079345703119</v>
      </c>
      <c r="AB531">
        <v>25.631231307983398</v>
      </c>
      <c r="AC531">
        <v>0</v>
      </c>
      <c r="AD531">
        <v>120</v>
      </c>
      <c r="AE531">
        <v>106</v>
      </c>
      <c r="AF531">
        <v>24</v>
      </c>
      <c r="AG531">
        <v>60</v>
      </c>
      <c r="AH531">
        <v>89</v>
      </c>
      <c r="AI531">
        <v>89</v>
      </c>
      <c r="AJ531">
        <v>0</v>
      </c>
      <c r="AK531">
        <v>0</v>
      </c>
      <c r="AL531">
        <v>89</v>
      </c>
      <c r="AM531">
        <v>0</v>
      </c>
      <c r="AN531">
        <v>23747.181640625</v>
      </c>
      <c r="AO531">
        <v>0</v>
      </c>
      <c r="AP531">
        <v>0</v>
      </c>
      <c r="AQ531">
        <v>0</v>
      </c>
      <c r="AR531">
        <v>0</v>
      </c>
      <c r="AS531">
        <v>0</v>
      </c>
      <c r="AT531">
        <v>0</v>
      </c>
      <c r="AU531">
        <v>0</v>
      </c>
      <c r="AV531">
        <v>0</v>
      </c>
      <c r="AW531">
        <v>0</v>
      </c>
      <c r="AX531">
        <v>0</v>
      </c>
      <c r="AY531">
        <v>0</v>
      </c>
      <c r="AZ531">
        <v>0</v>
      </c>
      <c r="BA531">
        <v>0</v>
      </c>
      <c r="BB531">
        <v>0</v>
      </c>
      <c r="BC531">
        <v>0</v>
      </c>
      <c r="BD531">
        <v>0</v>
      </c>
      <c r="BE531">
        <v>0</v>
      </c>
      <c r="BF531" t="s">
        <v>1100</v>
      </c>
      <c r="BG531" t="s">
        <v>5</v>
      </c>
      <c r="BH531" t="s">
        <v>2987</v>
      </c>
      <c r="BI531" t="s">
        <v>1100</v>
      </c>
      <c r="BJ531" t="s">
        <v>5</v>
      </c>
      <c r="BK531" t="s">
        <v>1100</v>
      </c>
      <c r="BL531">
        <v>0</v>
      </c>
      <c r="BM531">
        <v>0</v>
      </c>
      <c r="BN531" t="s">
        <v>5</v>
      </c>
      <c r="BO531" t="s">
        <v>1100</v>
      </c>
      <c r="BP531" t="s">
        <v>1100</v>
      </c>
      <c r="BQ531" t="s">
        <v>1100</v>
      </c>
      <c r="BR531" t="s">
        <v>1100</v>
      </c>
      <c r="BS531" t="s">
        <v>5</v>
      </c>
      <c r="BT531" t="s">
        <v>1100</v>
      </c>
      <c r="BU531" t="s">
        <v>1100</v>
      </c>
      <c r="BV531" t="s">
        <v>1100</v>
      </c>
      <c r="BW531" t="s">
        <v>1100</v>
      </c>
      <c r="BX531" t="s">
        <v>6</v>
      </c>
      <c r="BY531" t="s">
        <v>2988</v>
      </c>
      <c r="BZ531" t="s">
        <v>3006</v>
      </c>
      <c r="CA531"/>
      <c r="CB531" t="s">
        <v>5</v>
      </c>
      <c r="CC531">
        <v>193031.6778500184</v>
      </c>
      <c r="CD531">
        <v>2330360662.0710392</v>
      </c>
      <c r="CE531" s="313" t="s">
        <v>11891</v>
      </c>
    </row>
    <row r="532" spans="1:83" ht="15" x14ac:dyDescent="0.25">
      <c r="A532" t="s">
        <v>3040</v>
      </c>
      <c r="B532" t="s">
        <v>3041</v>
      </c>
      <c r="C532" t="s">
        <v>3042</v>
      </c>
      <c r="D532">
        <v>7</v>
      </c>
      <c r="E532" t="s">
        <v>2979</v>
      </c>
      <c r="F532" t="s">
        <v>3043</v>
      </c>
      <c r="G532" t="s">
        <v>3044</v>
      </c>
      <c r="H532" t="s">
        <v>3045</v>
      </c>
      <c r="I532" t="s">
        <v>3046</v>
      </c>
      <c r="J532" t="s">
        <v>3047</v>
      </c>
      <c r="K532" t="s">
        <v>2985</v>
      </c>
      <c r="L532">
        <v>135.48655700683591</v>
      </c>
      <c r="M532" t="s">
        <v>6</v>
      </c>
      <c r="N532" t="s">
        <v>5</v>
      </c>
      <c r="O532" t="s">
        <v>6</v>
      </c>
      <c r="P532" t="s">
        <v>6</v>
      </c>
      <c r="Q532" t="s">
        <v>5</v>
      </c>
      <c r="R532" t="s">
        <v>3048</v>
      </c>
      <c r="S532" t="s">
        <v>3048</v>
      </c>
      <c r="T532" t="s">
        <v>5</v>
      </c>
      <c r="U532" t="s">
        <v>13</v>
      </c>
      <c r="V532">
        <v>50000</v>
      </c>
      <c r="W532">
        <v>50000</v>
      </c>
      <c r="X532" t="s">
        <v>5</v>
      </c>
      <c r="Y532" t="s">
        <v>1100</v>
      </c>
      <c r="Z532">
        <v>0</v>
      </c>
      <c r="AA532">
        <v>18.789701461791989</v>
      </c>
      <c r="AB532">
        <v>8.6436576843261719</v>
      </c>
      <c r="AC532">
        <v>0</v>
      </c>
      <c r="AD532">
        <v>4959</v>
      </c>
      <c r="AE532">
        <v>5668</v>
      </c>
      <c r="AF532">
        <v>3894</v>
      </c>
      <c r="AG532">
        <v>16758</v>
      </c>
      <c r="AH532">
        <v>17998</v>
      </c>
      <c r="AI532">
        <v>17998</v>
      </c>
      <c r="AJ532">
        <v>9</v>
      </c>
      <c r="AK532">
        <v>28</v>
      </c>
      <c r="AL532">
        <v>170</v>
      </c>
      <c r="AM532">
        <v>0</v>
      </c>
      <c r="AN532">
        <v>4139.048828125</v>
      </c>
      <c r="AO532">
        <v>0</v>
      </c>
      <c r="AP532">
        <v>0</v>
      </c>
      <c r="AQ532">
        <v>0</v>
      </c>
      <c r="AR532">
        <v>0</v>
      </c>
      <c r="AS532">
        <v>0</v>
      </c>
      <c r="AT532">
        <v>0</v>
      </c>
      <c r="AU532">
        <v>0</v>
      </c>
      <c r="AV532">
        <v>0</v>
      </c>
      <c r="AW532">
        <v>0</v>
      </c>
      <c r="AX532">
        <v>0</v>
      </c>
      <c r="AY532">
        <v>0</v>
      </c>
      <c r="AZ532">
        <v>0</v>
      </c>
      <c r="BA532">
        <v>0</v>
      </c>
      <c r="BB532">
        <v>0</v>
      </c>
      <c r="BC532">
        <v>0</v>
      </c>
      <c r="BD532">
        <v>0</v>
      </c>
      <c r="BE532">
        <v>0</v>
      </c>
      <c r="BF532" t="s">
        <v>1100</v>
      </c>
      <c r="BG532" t="s">
        <v>5</v>
      </c>
      <c r="BH532" t="s">
        <v>2987</v>
      </c>
      <c r="BI532" t="s">
        <v>1100</v>
      </c>
      <c r="BJ532" t="s">
        <v>5</v>
      </c>
      <c r="BK532" t="s">
        <v>1100</v>
      </c>
      <c r="BL532">
        <v>0</v>
      </c>
      <c r="BM532">
        <v>0</v>
      </c>
      <c r="BN532" t="s">
        <v>5</v>
      </c>
      <c r="BO532" t="s">
        <v>1100</v>
      </c>
      <c r="BP532" t="s">
        <v>1100</v>
      </c>
      <c r="BQ532" t="s">
        <v>1100</v>
      </c>
      <c r="BR532" t="s">
        <v>1100</v>
      </c>
      <c r="BS532" t="s">
        <v>5</v>
      </c>
      <c r="BT532" t="s">
        <v>1100</v>
      </c>
      <c r="BU532" t="s">
        <v>1100</v>
      </c>
      <c r="BV532" t="s">
        <v>1100</v>
      </c>
      <c r="BW532" t="s">
        <v>1100</v>
      </c>
      <c r="BX532" t="s">
        <v>6</v>
      </c>
      <c r="BY532" t="s">
        <v>2988</v>
      </c>
      <c r="BZ532" t="s">
        <v>3049</v>
      </c>
      <c r="CA532"/>
      <c r="CB532" t="s">
        <v>5</v>
      </c>
      <c r="CC532">
        <v>204451.41029168089</v>
      </c>
      <c r="CD532">
        <v>350909967.72588432</v>
      </c>
      <c r="CE532" s="313" t="s">
        <v>11891</v>
      </c>
    </row>
    <row r="533" spans="1:83" ht="15" x14ac:dyDescent="0.25">
      <c r="A533" t="s">
        <v>3050</v>
      </c>
      <c r="B533" t="s">
        <v>3051</v>
      </c>
      <c r="C533" t="s">
        <v>3042</v>
      </c>
      <c r="D533">
        <v>7</v>
      </c>
      <c r="E533" t="s">
        <v>2979</v>
      </c>
      <c r="F533" t="s">
        <v>627</v>
      </c>
      <c r="G533" t="s">
        <v>3052</v>
      </c>
      <c r="H533" t="s">
        <v>3053</v>
      </c>
      <c r="I533" t="s">
        <v>3054</v>
      </c>
      <c r="J533" t="s">
        <v>3055</v>
      </c>
      <c r="K533" t="s">
        <v>2985</v>
      </c>
      <c r="L533">
        <v>111.6635818481445</v>
      </c>
      <c r="M533" t="s">
        <v>6</v>
      </c>
      <c r="N533" t="s">
        <v>5</v>
      </c>
      <c r="O533" t="s">
        <v>5</v>
      </c>
      <c r="P533" t="s">
        <v>5</v>
      </c>
      <c r="Q533" t="s">
        <v>5</v>
      </c>
      <c r="R533" t="s">
        <v>3056</v>
      </c>
      <c r="S533" t="s">
        <v>3056</v>
      </c>
      <c r="T533" t="s">
        <v>5</v>
      </c>
      <c r="U533" t="s">
        <v>13</v>
      </c>
      <c r="V533">
        <v>50000</v>
      </c>
      <c r="W533">
        <v>50000</v>
      </c>
      <c r="X533" t="s">
        <v>5</v>
      </c>
      <c r="Y533" t="s">
        <v>1100</v>
      </c>
      <c r="Z533">
        <v>0</v>
      </c>
      <c r="AA533">
        <v>33.499187469482422</v>
      </c>
      <c r="AB533">
        <v>4.9944062232971191</v>
      </c>
      <c r="AC533">
        <v>0</v>
      </c>
      <c r="AD533">
        <v>10861</v>
      </c>
      <c r="AE533">
        <v>3104</v>
      </c>
      <c r="AF533">
        <v>9399</v>
      </c>
      <c r="AG533">
        <v>24482</v>
      </c>
      <c r="AH533">
        <v>25333</v>
      </c>
      <c r="AI533">
        <v>25333</v>
      </c>
      <c r="AJ533">
        <v>10</v>
      </c>
      <c r="AK533">
        <v>58</v>
      </c>
      <c r="AL533">
        <v>218</v>
      </c>
      <c r="AM533">
        <v>0</v>
      </c>
      <c r="AN533">
        <v>1234.783569335938</v>
      </c>
      <c r="AO533">
        <v>0</v>
      </c>
      <c r="AP533">
        <v>0</v>
      </c>
      <c r="AQ533">
        <v>0</v>
      </c>
      <c r="AR533">
        <v>0</v>
      </c>
      <c r="AS533">
        <v>0</v>
      </c>
      <c r="AT533">
        <v>0</v>
      </c>
      <c r="AU533">
        <v>0</v>
      </c>
      <c r="AV533">
        <v>0</v>
      </c>
      <c r="AW533">
        <v>0</v>
      </c>
      <c r="AX533">
        <v>0</v>
      </c>
      <c r="AY533">
        <v>0</v>
      </c>
      <c r="AZ533">
        <v>0</v>
      </c>
      <c r="BA533">
        <v>0</v>
      </c>
      <c r="BB533">
        <v>0</v>
      </c>
      <c r="BC533">
        <v>0</v>
      </c>
      <c r="BD533">
        <v>0</v>
      </c>
      <c r="BE533">
        <v>0</v>
      </c>
      <c r="BF533" t="s">
        <v>1100</v>
      </c>
      <c r="BG533" t="s">
        <v>5</v>
      </c>
      <c r="BH533" t="s">
        <v>2987</v>
      </c>
      <c r="BI533" t="s">
        <v>1100</v>
      </c>
      <c r="BJ533" t="s">
        <v>5</v>
      </c>
      <c r="BK533" t="s">
        <v>1100</v>
      </c>
      <c r="BL533">
        <v>0</v>
      </c>
      <c r="BM533">
        <v>0</v>
      </c>
      <c r="BN533" t="s">
        <v>5</v>
      </c>
      <c r="BO533" t="s">
        <v>1100</v>
      </c>
      <c r="BP533" t="s">
        <v>1100</v>
      </c>
      <c r="BQ533" t="s">
        <v>1100</v>
      </c>
      <c r="BR533" t="s">
        <v>1100</v>
      </c>
      <c r="BS533" t="s">
        <v>5</v>
      </c>
      <c r="BT533" t="s">
        <v>1100</v>
      </c>
      <c r="BU533" t="s">
        <v>1100</v>
      </c>
      <c r="BV533" t="s">
        <v>1100</v>
      </c>
      <c r="BW533" t="s">
        <v>1100</v>
      </c>
      <c r="BX533" t="s">
        <v>6</v>
      </c>
      <c r="BY533" t="s">
        <v>2988</v>
      </c>
      <c r="BZ533" t="s">
        <v>3006</v>
      </c>
      <c r="CA533"/>
      <c r="CB533" t="s">
        <v>5</v>
      </c>
      <c r="CC533">
        <v>178266.81994720601</v>
      </c>
      <c r="CD533">
        <v>289208509.95482951</v>
      </c>
      <c r="CE533" s="313" t="s">
        <v>11891</v>
      </c>
    </row>
    <row r="534" spans="1:83" ht="15" x14ac:dyDescent="0.25">
      <c r="A534" t="s">
        <v>3061</v>
      </c>
      <c r="B534" t="s">
        <v>3062</v>
      </c>
      <c r="C534" t="s">
        <v>3042</v>
      </c>
      <c r="D534">
        <v>7</v>
      </c>
      <c r="E534" t="s">
        <v>2979</v>
      </c>
      <c r="F534" t="s">
        <v>605</v>
      </c>
      <c r="G534" t="s">
        <v>3052</v>
      </c>
      <c r="H534" t="s">
        <v>3063</v>
      </c>
      <c r="I534" t="s">
        <v>3064</v>
      </c>
      <c r="J534" t="s">
        <v>3065</v>
      </c>
      <c r="K534" t="s">
        <v>2985</v>
      </c>
      <c r="L534">
        <v>11.02423095703125</v>
      </c>
      <c r="M534" t="s">
        <v>6</v>
      </c>
      <c r="N534" t="s">
        <v>5</v>
      </c>
      <c r="O534" t="s">
        <v>5</v>
      </c>
      <c r="P534" t="s">
        <v>5</v>
      </c>
      <c r="Q534" t="s">
        <v>5</v>
      </c>
      <c r="R534" t="s">
        <v>3066</v>
      </c>
      <c r="S534" t="s">
        <v>3066</v>
      </c>
      <c r="T534" t="s">
        <v>5</v>
      </c>
      <c r="U534" t="s">
        <v>13</v>
      </c>
      <c r="V534">
        <v>50000</v>
      </c>
      <c r="W534">
        <v>50000</v>
      </c>
      <c r="X534" t="s">
        <v>5</v>
      </c>
      <c r="Y534" t="s">
        <v>1100</v>
      </c>
      <c r="Z534">
        <v>0</v>
      </c>
      <c r="AA534">
        <v>0.36728695034980768</v>
      </c>
      <c r="AB534">
        <v>0.10579863935709</v>
      </c>
      <c r="AC534">
        <v>0</v>
      </c>
      <c r="AD534">
        <v>8</v>
      </c>
      <c r="AE534">
        <v>22</v>
      </c>
      <c r="AF534">
        <v>5</v>
      </c>
      <c r="AG534">
        <v>3</v>
      </c>
      <c r="AH534">
        <v>4</v>
      </c>
      <c r="AI534">
        <v>4</v>
      </c>
      <c r="AJ534">
        <v>0</v>
      </c>
      <c r="AK534">
        <v>4</v>
      </c>
      <c r="AL534">
        <v>2</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t="s">
        <v>1100</v>
      </c>
      <c r="BG534" t="s">
        <v>5</v>
      </c>
      <c r="BH534" t="s">
        <v>2987</v>
      </c>
      <c r="BI534" t="s">
        <v>1100</v>
      </c>
      <c r="BJ534" t="s">
        <v>5</v>
      </c>
      <c r="BK534" t="s">
        <v>1100</v>
      </c>
      <c r="BL534">
        <v>0</v>
      </c>
      <c r="BM534">
        <v>0</v>
      </c>
      <c r="BN534" t="s">
        <v>5</v>
      </c>
      <c r="BO534" t="s">
        <v>1100</v>
      </c>
      <c r="BP534" t="s">
        <v>1100</v>
      </c>
      <c r="BQ534" t="s">
        <v>1100</v>
      </c>
      <c r="BR534" t="s">
        <v>1100</v>
      </c>
      <c r="BS534" t="s">
        <v>5</v>
      </c>
      <c r="BT534" t="s">
        <v>1100</v>
      </c>
      <c r="BU534" t="s">
        <v>1100</v>
      </c>
      <c r="BV534" t="s">
        <v>1100</v>
      </c>
      <c r="BW534" t="s">
        <v>1100</v>
      </c>
      <c r="BX534" t="s">
        <v>6</v>
      </c>
      <c r="BY534" t="s">
        <v>2988</v>
      </c>
      <c r="BZ534" t="s">
        <v>3006</v>
      </c>
      <c r="CA534"/>
      <c r="CB534" t="s">
        <v>5</v>
      </c>
      <c r="CC534">
        <v>52094.322395074953</v>
      </c>
      <c r="CD534">
        <v>28552741.211100861</v>
      </c>
      <c r="CE534" s="313" t="s">
        <v>11891</v>
      </c>
    </row>
    <row r="535" spans="1:83" ht="15" x14ac:dyDescent="0.25">
      <c r="A535" t="s">
        <v>3076</v>
      </c>
      <c r="B535" t="s">
        <v>3077</v>
      </c>
      <c r="C535" t="s">
        <v>3019</v>
      </c>
      <c r="D535">
        <v>7</v>
      </c>
      <c r="E535" t="s">
        <v>2979</v>
      </c>
      <c r="F535" t="s">
        <v>3026</v>
      </c>
      <c r="G535" t="s">
        <v>3052</v>
      </c>
      <c r="H535" t="s">
        <v>3078</v>
      </c>
      <c r="I535" t="s">
        <v>3079</v>
      </c>
      <c r="J535" t="s">
        <v>3080</v>
      </c>
      <c r="K535" t="s">
        <v>3015</v>
      </c>
      <c r="L535">
        <v>0.71661967039108276</v>
      </c>
      <c r="M535" t="s">
        <v>6</v>
      </c>
      <c r="N535" t="s">
        <v>5</v>
      </c>
      <c r="O535" t="s">
        <v>5</v>
      </c>
      <c r="P535" t="s">
        <v>5</v>
      </c>
      <c r="Q535" t="s">
        <v>5</v>
      </c>
      <c r="R535" t="s">
        <v>3081</v>
      </c>
      <c r="S535" t="s">
        <v>3081</v>
      </c>
      <c r="T535" t="s">
        <v>5</v>
      </c>
      <c r="U535" t="s">
        <v>50</v>
      </c>
      <c r="V535">
        <v>50000</v>
      </c>
      <c r="W535">
        <v>50000</v>
      </c>
      <c r="X535" t="s">
        <v>5</v>
      </c>
      <c r="Y535" t="s">
        <v>1100</v>
      </c>
      <c r="Z535">
        <v>0</v>
      </c>
      <c r="AA535">
        <v>1.6757050529122349E-2</v>
      </c>
      <c r="AB535">
        <v>1.308485027402639E-2</v>
      </c>
      <c r="AC535">
        <v>0</v>
      </c>
      <c r="AD535">
        <v>0</v>
      </c>
      <c r="AE535">
        <v>3</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t="s">
        <v>1100</v>
      </c>
      <c r="BG535" t="s">
        <v>5</v>
      </c>
      <c r="BH535" t="s">
        <v>2987</v>
      </c>
      <c r="BI535" t="s">
        <v>1100</v>
      </c>
      <c r="BJ535" t="s">
        <v>5</v>
      </c>
      <c r="BK535" t="s">
        <v>1100</v>
      </c>
      <c r="BL535">
        <v>0</v>
      </c>
      <c r="BM535">
        <v>0</v>
      </c>
      <c r="BN535" t="s">
        <v>5</v>
      </c>
      <c r="BO535" t="s">
        <v>1100</v>
      </c>
      <c r="BP535" t="s">
        <v>1100</v>
      </c>
      <c r="BQ535" t="s">
        <v>1100</v>
      </c>
      <c r="BR535" t="s">
        <v>1100</v>
      </c>
      <c r="BS535" t="s">
        <v>5</v>
      </c>
      <c r="BT535" t="s">
        <v>1100</v>
      </c>
      <c r="BU535" t="s">
        <v>1100</v>
      </c>
      <c r="BV535" t="s">
        <v>1100</v>
      </c>
      <c r="BW535" t="s">
        <v>1100</v>
      </c>
      <c r="BX535" t="s">
        <v>6</v>
      </c>
      <c r="BY535" t="s">
        <v>2988</v>
      </c>
      <c r="BZ535" t="s">
        <v>3006</v>
      </c>
      <c r="CA535"/>
      <c r="CB535" t="s">
        <v>5</v>
      </c>
      <c r="CC535">
        <v>7962.176457513513</v>
      </c>
      <c r="CD535">
        <v>1856043.927992681</v>
      </c>
      <c r="CE535" s="313" t="s">
        <v>11891</v>
      </c>
    </row>
    <row r="536" spans="1:83" ht="15" x14ac:dyDescent="0.25">
      <c r="A536" t="s">
        <v>3082</v>
      </c>
      <c r="B536" t="s">
        <v>3083</v>
      </c>
      <c r="C536" t="s">
        <v>3019</v>
      </c>
      <c r="D536">
        <v>7</v>
      </c>
      <c r="E536" t="s">
        <v>2979</v>
      </c>
      <c r="F536" t="s">
        <v>3084</v>
      </c>
      <c r="G536" t="s">
        <v>3052</v>
      </c>
      <c r="H536" t="s">
        <v>3085</v>
      </c>
      <c r="I536" t="s">
        <v>3086</v>
      </c>
      <c r="J536" t="s">
        <v>3087</v>
      </c>
      <c r="K536" t="s">
        <v>3015</v>
      </c>
      <c r="L536">
        <v>0.58754020929336548</v>
      </c>
      <c r="M536" t="s">
        <v>5</v>
      </c>
      <c r="N536" t="s">
        <v>5</v>
      </c>
      <c r="O536" t="s">
        <v>5</v>
      </c>
      <c r="P536" t="s">
        <v>5</v>
      </c>
      <c r="Q536" t="s">
        <v>5</v>
      </c>
      <c r="R536" t="s">
        <v>3088</v>
      </c>
      <c r="S536" t="s">
        <v>3088</v>
      </c>
      <c r="T536" t="s">
        <v>5</v>
      </c>
      <c r="U536" t="s">
        <v>50</v>
      </c>
      <c r="V536">
        <v>50000</v>
      </c>
      <c r="W536">
        <v>50000</v>
      </c>
      <c r="X536" t="s">
        <v>5</v>
      </c>
      <c r="Y536" t="s">
        <v>1100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t="s">
        <v>1100</v>
      </c>
      <c r="BG536" t="s">
        <v>5</v>
      </c>
      <c r="BH536" t="s">
        <v>2987</v>
      </c>
      <c r="BI536" t="s">
        <v>1100</v>
      </c>
      <c r="BJ536" t="s">
        <v>5</v>
      </c>
      <c r="BK536" t="s">
        <v>1100</v>
      </c>
      <c r="BL536">
        <v>0</v>
      </c>
      <c r="BM536">
        <v>0</v>
      </c>
      <c r="BN536" t="s">
        <v>5</v>
      </c>
      <c r="BO536" t="s">
        <v>1100</v>
      </c>
      <c r="BP536" t="s">
        <v>1100</v>
      </c>
      <c r="BQ536" t="s">
        <v>1100</v>
      </c>
      <c r="BR536" t="s">
        <v>1100</v>
      </c>
      <c r="BS536" t="s">
        <v>5</v>
      </c>
      <c r="BT536" t="s">
        <v>1100</v>
      </c>
      <c r="BU536" t="s">
        <v>1100</v>
      </c>
      <c r="BV536" t="s">
        <v>1100</v>
      </c>
      <c r="BW536" t="s">
        <v>1100</v>
      </c>
      <c r="BX536" t="s">
        <v>6</v>
      </c>
      <c r="BY536" t="s">
        <v>2988</v>
      </c>
      <c r="BZ536" t="s">
        <v>3006</v>
      </c>
      <c r="CA536"/>
      <c r="CB536" t="s">
        <v>5</v>
      </c>
      <c r="CC536">
        <v>6203.3132497909501</v>
      </c>
      <c r="CD536">
        <v>1521728.2062005349</v>
      </c>
      <c r="CE536" s="313" t="s">
        <v>11891</v>
      </c>
    </row>
    <row r="537" spans="1:83" ht="15" x14ac:dyDescent="0.25">
      <c r="A537" t="s">
        <v>3089</v>
      </c>
      <c r="B537" t="s">
        <v>3090</v>
      </c>
      <c r="C537" t="s">
        <v>3019</v>
      </c>
      <c r="D537">
        <v>7</v>
      </c>
      <c r="E537" t="s">
        <v>2979</v>
      </c>
      <c r="F537" t="s">
        <v>627</v>
      </c>
      <c r="G537" t="s">
        <v>3052</v>
      </c>
      <c r="H537" t="s">
        <v>3091</v>
      </c>
      <c r="I537" t="s">
        <v>3092</v>
      </c>
      <c r="J537" t="s">
        <v>3093</v>
      </c>
      <c r="K537" t="s">
        <v>3015</v>
      </c>
      <c r="L537">
        <v>8.657480776309967E-2</v>
      </c>
      <c r="M537" t="s">
        <v>6</v>
      </c>
      <c r="N537" t="s">
        <v>5</v>
      </c>
      <c r="O537" t="s">
        <v>5</v>
      </c>
      <c r="P537" t="s">
        <v>5</v>
      </c>
      <c r="Q537" t="s">
        <v>5</v>
      </c>
      <c r="R537" t="s">
        <v>3094</v>
      </c>
      <c r="S537" t="s">
        <v>3094</v>
      </c>
      <c r="T537" t="s">
        <v>5</v>
      </c>
      <c r="U537" t="s">
        <v>50</v>
      </c>
      <c r="V537">
        <v>50000</v>
      </c>
      <c r="W537">
        <v>50000</v>
      </c>
      <c r="X537" t="s">
        <v>5</v>
      </c>
      <c r="Y537" t="s">
        <v>1100</v>
      </c>
      <c r="Z537">
        <v>0</v>
      </c>
      <c r="AA537">
        <v>8.193158358335495E-2</v>
      </c>
      <c r="AB537">
        <v>4.6435799449682236E-3</v>
      </c>
      <c r="AC537">
        <v>0</v>
      </c>
      <c r="AD537">
        <v>18</v>
      </c>
      <c r="AE537">
        <v>6</v>
      </c>
      <c r="AF537">
        <v>16</v>
      </c>
      <c r="AG537">
        <v>6</v>
      </c>
      <c r="AH537">
        <v>24</v>
      </c>
      <c r="AI537">
        <v>24</v>
      </c>
      <c r="AJ537">
        <v>0</v>
      </c>
      <c r="AK537">
        <v>0</v>
      </c>
      <c r="AL537">
        <v>1</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t="s">
        <v>1100</v>
      </c>
      <c r="BG537" t="s">
        <v>5</v>
      </c>
      <c r="BH537" t="s">
        <v>2987</v>
      </c>
      <c r="BI537" t="s">
        <v>1100</v>
      </c>
      <c r="BJ537" t="s">
        <v>5</v>
      </c>
      <c r="BK537" t="s">
        <v>1100</v>
      </c>
      <c r="BL537">
        <v>0</v>
      </c>
      <c r="BM537">
        <v>0</v>
      </c>
      <c r="BN537" t="s">
        <v>5</v>
      </c>
      <c r="BO537" t="s">
        <v>1100</v>
      </c>
      <c r="BP537" t="s">
        <v>1100</v>
      </c>
      <c r="BQ537" t="s">
        <v>1100</v>
      </c>
      <c r="BR537" t="s">
        <v>1100</v>
      </c>
      <c r="BS537" t="s">
        <v>5</v>
      </c>
      <c r="BT537" t="s">
        <v>1100</v>
      </c>
      <c r="BU537" t="s">
        <v>1100</v>
      </c>
      <c r="BV537" t="s">
        <v>1100</v>
      </c>
      <c r="BW537" t="s">
        <v>1100</v>
      </c>
      <c r="BX537" t="s">
        <v>6</v>
      </c>
      <c r="BY537" t="s">
        <v>2988</v>
      </c>
      <c r="BZ537" t="s">
        <v>3006</v>
      </c>
      <c r="CA537"/>
      <c r="CB537" t="s">
        <v>5</v>
      </c>
      <c r="CC537">
        <v>2119.2613120103779</v>
      </c>
      <c r="CD537">
        <v>224228.62548762659</v>
      </c>
      <c r="CE537" s="313" t="s">
        <v>11891</v>
      </c>
    </row>
    <row r="538" spans="1:83" ht="15" x14ac:dyDescent="0.25">
      <c r="A538" t="s">
        <v>3110</v>
      </c>
      <c r="B538" t="s">
        <v>3111</v>
      </c>
      <c r="C538" t="s">
        <v>3112</v>
      </c>
      <c r="D538">
        <v>7</v>
      </c>
      <c r="E538" t="s">
        <v>2979</v>
      </c>
      <c r="F538" t="s">
        <v>2999</v>
      </c>
      <c r="G538" t="s">
        <v>3113</v>
      </c>
      <c r="H538" t="s">
        <v>3114</v>
      </c>
      <c r="I538" t="s">
        <v>3115</v>
      </c>
      <c r="J538" t="s">
        <v>3116</v>
      </c>
      <c r="K538" t="s">
        <v>3109</v>
      </c>
      <c r="L538">
        <v>40.630462646484382</v>
      </c>
      <c r="M538" t="s">
        <v>6</v>
      </c>
      <c r="N538" t="s">
        <v>5</v>
      </c>
      <c r="O538" t="s">
        <v>5</v>
      </c>
      <c r="P538" t="s">
        <v>5</v>
      </c>
      <c r="Q538" t="s">
        <v>5</v>
      </c>
      <c r="R538" t="s">
        <v>3005</v>
      </c>
      <c r="S538" t="s">
        <v>3005</v>
      </c>
      <c r="T538" t="s">
        <v>5</v>
      </c>
      <c r="U538" t="s">
        <v>85</v>
      </c>
      <c r="V538">
        <v>50000</v>
      </c>
      <c r="W538">
        <v>50000</v>
      </c>
      <c r="X538" t="s">
        <v>5</v>
      </c>
      <c r="Y538" t="s">
        <v>1100</v>
      </c>
      <c r="Z538">
        <v>0</v>
      </c>
      <c r="AA538">
        <v>9.2133321762084961</v>
      </c>
      <c r="AB538">
        <v>2.2703104019165039</v>
      </c>
      <c r="AC538">
        <v>0</v>
      </c>
      <c r="AD538">
        <v>11</v>
      </c>
      <c r="AE538">
        <v>11</v>
      </c>
      <c r="AF538">
        <v>3</v>
      </c>
      <c r="AG538">
        <v>2</v>
      </c>
      <c r="AH538">
        <v>4</v>
      </c>
      <c r="AI538">
        <v>4</v>
      </c>
      <c r="AJ538">
        <v>0</v>
      </c>
      <c r="AK538">
        <v>0</v>
      </c>
      <c r="AL538">
        <v>8</v>
      </c>
      <c r="AM538">
        <v>0</v>
      </c>
      <c r="AN538">
        <v>1524.894287109375</v>
      </c>
      <c r="AO538">
        <v>0</v>
      </c>
      <c r="AP538">
        <v>0</v>
      </c>
      <c r="AQ538">
        <v>0</v>
      </c>
      <c r="AR538">
        <v>0</v>
      </c>
      <c r="AS538">
        <v>0</v>
      </c>
      <c r="AT538">
        <v>0</v>
      </c>
      <c r="AU538">
        <v>0</v>
      </c>
      <c r="AV538">
        <v>0</v>
      </c>
      <c r="AW538">
        <v>0</v>
      </c>
      <c r="AX538">
        <v>0</v>
      </c>
      <c r="AY538">
        <v>0</v>
      </c>
      <c r="AZ538">
        <v>0</v>
      </c>
      <c r="BA538">
        <v>0</v>
      </c>
      <c r="BB538">
        <v>0</v>
      </c>
      <c r="BC538">
        <v>0</v>
      </c>
      <c r="BD538">
        <v>0</v>
      </c>
      <c r="BE538">
        <v>0</v>
      </c>
      <c r="BF538" t="s">
        <v>1100</v>
      </c>
      <c r="BG538" t="s">
        <v>5</v>
      </c>
      <c r="BH538" t="s">
        <v>2987</v>
      </c>
      <c r="BI538" t="s">
        <v>1100</v>
      </c>
      <c r="BJ538" t="s">
        <v>5</v>
      </c>
      <c r="BK538" t="s">
        <v>1100</v>
      </c>
      <c r="BL538">
        <v>0</v>
      </c>
      <c r="BM538">
        <v>0</v>
      </c>
      <c r="BN538" t="s">
        <v>5</v>
      </c>
      <c r="BO538" t="s">
        <v>1100</v>
      </c>
      <c r="BP538" t="s">
        <v>1100</v>
      </c>
      <c r="BQ538" t="s">
        <v>1100</v>
      </c>
      <c r="BR538" t="s">
        <v>1100</v>
      </c>
      <c r="BS538" t="s">
        <v>5</v>
      </c>
      <c r="BT538" t="s">
        <v>1100</v>
      </c>
      <c r="BU538" t="s">
        <v>1100</v>
      </c>
      <c r="BV538" t="s">
        <v>1100</v>
      </c>
      <c r="BW538" t="s">
        <v>1100</v>
      </c>
      <c r="BX538" t="s">
        <v>6</v>
      </c>
      <c r="BY538" t="s">
        <v>2988</v>
      </c>
      <c r="BZ538" t="s">
        <v>3006</v>
      </c>
      <c r="CA538"/>
      <c r="CB538" t="s">
        <v>5</v>
      </c>
      <c r="CC538">
        <v>62499.354907488399</v>
      </c>
      <c r="CD538">
        <v>105232832.5446777</v>
      </c>
      <c r="CE538" s="313" t="s">
        <v>11891</v>
      </c>
    </row>
    <row r="539" spans="1:83" ht="15" x14ac:dyDescent="0.25">
      <c r="A539" t="s">
        <v>3138</v>
      </c>
      <c r="B539" t="s">
        <v>3139</v>
      </c>
      <c r="C539" t="s">
        <v>3019</v>
      </c>
      <c r="D539">
        <v>7</v>
      </c>
      <c r="E539" t="s">
        <v>2979</v>
      </c>
      <c r="F539" t="s">
        <v>1231</v>
      </c>
      <c r="G539" t="s">
        <v>3140</v>
      </c>
      <c r="H539" t="s">
        <v>3141</v>
      </c>
      <c r="I539" t="s">
        <v>3142</v>
      </c>
      <c r="J539" t="s">
        <v>3143</v>
      </c>
      <c r="K539" t="s">
        <v>3015</v>
      </c>
      <c r="L539">
        <v>406.96072387695313</v>
      </c>
      <c r="M539" t="s">
        <v>6</v>
      </c>
      <c r="N539" t="s">
        <v>5</v>
      </c>
      <c r="O539" t="s">
        <v>5</v>
      </c>
      <c r="P539" t="s">
        <v>6</v>
      </c>
      <c r="Q539" t="s">
        <v>5</v>
      </c>
      <c r="R539" t="s">
        <v>3144</v>
      </c>
      <c r="S539" t="s">
        <v>3144</v>
      </c>
      <c r="T539" t="s">
        <v>5</v>
      </c>
      <c r="U539" t="s">
        <v>50</v>
      </c>
      <c r="V539">
        <v>50000</v>
      </c>
      <c r="W539">
        <v>50000</v>
      </c>
      <c r="X539" t="s">
        <v>5</v>
      </c>
      <c r="Y539" t="s">
        <v>1100</v>
      </c>
      <c r="Z539">
        <v>0</v>
      </c>
      <c r="AA539">
        <v>71.16302490234375</v>
      </c>
      <c r="AB539">
        <v>48.124561309814453</v>
      </c>
      <c r="AC539">
        <v>0</v>
      </c>
      <c r="AD539">
        <v>116</v>
      </c>
      <c r="AE539">
        <v>350</v>
      </c>
      <c r="AF539">
        <v>14</v>
      </c>
      <c r="AG539">
        <v>68</v>
      </c>
      <c r="AH539">
        <v>99</v>
      </c>
      <c r="AI539">
        <v>99</v>
      </c>
      <c r="AJ539">
        <v>0</v>
      </c>
      <c r="AK539">
        <v>4</v>
      </c>
      <c r="AL539">
        <v>255</v>
      </c>
      <c r="AM539">
        <v>0</v>
      </c>
      <c r="AN539">
        <v>28586.623046875</v>
      </c>
      <c r="AO539">
        <v>0</v>
      </c>
      <c r="AP539">
        <v>0</v>
      </c>
      <c r="AQ539">
        <v>0</v>
      </c>
      <c r="AR539">
        <v>0</v>
      </c>
      <c r="AS539">
        <v>0</v>
      </c>
      <c r="AT539">
        <v>0</v>
      </c>
      <c r="AU539">
        <v>0</v>
      </c>
      <c r="AV539">
        <v>0</v>
      </c>
      <c r="AW539">
        <v>0</v>
      </c>
      <c r="AX539">
        <v>0</v>
      </c>
      <c r="AY539">
        <v>0</v>
      </c>
      <c r="AZ539">
        <v>0</v>
      </c>
      <c r="BA539">
        <v>0</v>
      </c>
      <c r="BB539">
        <v>0</v>
      </c>
      <c r="BC539">
        <v>0</v>
      </c>
      <c r="BD539">
        <v>0</v>
      </c>
      <c r="BE539">
        <v>0</v>
      </c>
      <c r="BF539" t="s">
        <v>1100</v>
      </c>
      <c r="BG539" t="s">
        <v>5</v>
      </c>
      <c r="BH539" t="s">
        <v>2987</v>
      </c>
      <c r="BI539" t="s">
        <v>1100</v>
      </c>
      <c r="BJ539" t="s">
        <v>5</v>
      </c>
      <c r="BK539" t="s">
        <v>1100</v>
      </c>
      <c r="BL539">
        <v>0</v>
      </c>
      <c r="BM539">
        <v>0</v>
      </c>
      <c r="BN539" t="s">
        <v>5</v>
      </c>
      <c r="BO539" t="s">
        <v>1100</v>
      </c>
      <c r="BP539" t="s">
        <v>1100</v>
      </c>
      <c r="BQ539" t="s">
        <v>1100</v>
      </c>
      <c r="BR539" t="s">
        <v>1100</v>
      </c>
      <c r="BS539" t="s">
        <v>5</v>
      </c>
      <c r="BT539" t="s">
        <v>1100</v>
      </c>
      <c r="BU539" t="s">
        <v>1100</v>
      </c>
      <c r="BV539" t="s">
        <v>1100</v>
      </c>
      <c r="BW539" t="s">
        <v>1100</v>
      </c>
      <c r="BX539" t="s">
        <v>6</v>
      </c>
      <c r="BY539" t="s">
        <v>2988</v>
      </c>
      <c r="BZ539"/>
      <c r="CA539"/>
      <c r="CB539" t="s">
        <v>5</v>
      </c>
      <c r="CC539">
        <v>183874.3330851733</v>
      </c>
      <c r="CD539">
        <v>1054027678.669013</v>
      </c>
      <c r="CE539" s="313" t="s">
        <v>11891</v>
      </c>
    </row>
    <row r="540" spans="1:83" ht="15" x14ac:dyDescent="0.25">
      <c r="A540" t="s">
        <v>3145</v>
      </c>
      <c r="B540" t="s">
        <v>3146</v>
      </c>
      <c r="C540" t="s">
        <v>3019</v>
      </c>
      <c r="D540">
        <v>7</v>
      </c>
      <c r="E540" t="s">
        <v>2979</v>
      </c>
      <c r="F540" t="s">
        <v>3147</v>
      </c>
      <c r="G540" t="s">
        <v>3148</v>
      </c>
      <c r="H540" t="s">
        <v>3149</v>
      </c>
      <c r="I540" t="s">
        <v>3150</v>
      </c>
      <c r="J540" t="s">
        <v>3151</v>
      </c>
      <c r="K540" t="s">
        <v>3015</v>
      </c>
      <c r="L540">
        <v>335.64227294921881</v>
      </c>
      <c r="M540" t="s">
        <v>6</v>
      </c>
      <c r="N540" t="s">
        <v>5</v>
      </c>
      <c r="O540" t="s">
        <v>5</v>
      </c>
      <c r="P540" t="s">
        <v>5</v>
      </c>
      <c r="Q540" t="s">
        <v>5</v>
      </c>
      <c r="R540" t="s">
        <v>3152</v>
      </c>
      <c r="S540" t="s">
        <v>3152</v>
      </c>
      <c r="T540" t="s">
        <v>5</v>
      </c>
      <c r="U540" t="s">
        <v>50</v>
      </c>
      <c r="V540">
        <v>50000</v>
      </c>
      <c r="W540">
        <v>50000</v>
      </c>
      <c r="X540" t="s">
        <v>5</v>
      </c>
      <c r="Y540" t="s">
        <v>1100</v>
      </c>
      <c r="Z540">
        <v>0</v>
      </c>
      <c r="AA540">
        <v>51.150535583496087</v>
      </c>
      <c r="AB540">
        <v>6.1977181434631348</v>
      </c>
      <c r="AC540">
        <v>0</v>
      </c>
      <c r="AD540">
        <v>3</v>
      </c>
      <c r="AE540">
        <v>0</v>
      </c>
      <c r="AF540">
        <v>0</v>
      </c>
      <c r="AG540">
        <v>1</v>
      </c>
      <c r="AH540">
        <v>1</v>
      </c>
      <c r="AI540">
        <v>1</v>
      </c>
      <c r="AJ540">
        <v>0</v>
      </c>
      <c r="AK540">
        <v>1</v>
      </c>
      <c r="AL540">
        <v>7</v>
      </c>
      <c r="AM540">
        <v>0</v>
      </c>
      <c r="AN540">
        <v>409.40933227539063</v>
      </c>
      <c r="AO540">
        <v>0</v>
      </c>
      <c r="AP540">
        <v>0</v>
      </c>
      <c r="AQ540">
        <v>0</v>
      </c>
      <c r="AR540">
        <v>0</v>
      </c>
      <c r="AS540">
        <v>0</v>
      </c>
      <c r="AT540">
        <v>0</v>
      </c>
      <c r="AU540">
        <v>0</v>
      </c>
      <c r="AV540">
        <v>0</v>
      </c>
      <c r="AW540">
        <v>0</v>
      </c>
      <c r="AX540">
        <v>0</v>
      </c>
      <c r="AY540">
        <v>0</v>
      </c>
      <c r="AZ540">
        <v>0</v>
      </c>
      <c r="BA540">
        <v>0</v>
      </c>
      <c r="BB540">
        <v>0</v>
      </c>
      <c r="BC540">
        <v>0</v>
      </c>
      <c r="BD540">
        <v>0</v>
      </c>
      <c r="BE540">
        <v>0</v>
      </c>
      <c r="BF540" t="s">
        <v>1100</v>
      </c>
      <c r="BG540" t="s">
        <v>5</v>
      </c>
      <c r="BH540" t="s">
        <v>2987</v>
      </c>
      <c r="BI540" t="s">
        <v>1100</v>
      </c>
      <c r="BJ540" t="s">
        <v>5</v>
      </c>
      <c r="BK540" t="s">
        <v>1100</v>
      </c>
      <c r="BL540">
        <v>0</v>
      </c>
      <c r="BM540">
        <v>0</v>
      </c>
      <c r="BN540" t="s">
        <v>5</v>
      </c>
      <c r="BO540" t="s">
        <v>1100</v>
      </c>
      <c r="BP540" t="s">
        <v>1100</v>
      </c>
      <c r="BQ540" t="s">
        <v>1100</v>
      </c>
      <c r="BR540" t="s">
        <v>1100</v>
      </c>
      <c r="BS540" t="s">
        <v>5</v>
      </c>
      <c r="BT540" t="s">
        <v>1100</v>
      </c>
      <c r="BU540" t="s">
        <v>1100</v>
      </c>
      <c r="BV540" t="s">
        <v>1100</v>
      </c>
      <c r="BW540" t="s">
        <v>1100</v>
      </c>
      <c r="BX540" t="s">
        <v>6</v>
      </c>
      <c r="BY540" t="s">
        <v>2988</v>
      </c>
      <c r="BZ540"/>
      <c r="CA540"/>
      <c r="CB540" t="s">
        <v>5</v>
      </c>
      <c r="CC540">
        <v>158969.42016314549</v>
      </c>
      <c r="CD540">
        <v>869312965.05351901</v>
      </c>
      <c r="CE540" s="313" t="s">
        <v>11891</v>
      </c>
    </row>
    <row r="541" spans="1:83" ht="15" x14ac:dyDescent="0.25">
      <c r="A541" t="s">
        <v>3153</v>
      </c>
      <c r="B541" t="s">
        <v>3154</v>
      </c>
      <c r="C541" t="s">
        <v>3019</v>
      </c>
      <c r="D541">
        <v>7</v>
      </c>
      <c r="E541" t="s">
        <v>2979</v>
      </c>
      <c r="F541" t="s">
        <v>482</v>
      </c>
      <c r="G541" t="s">
        <v>3155</v>
      </c>
      <c r="H541" t="s">
        <v>3156</v>
      </c>
      <c r="I541" t="s">
        <v>3157</v>
      </c>
      <c r="J541" t="s">
        <v>3158</v>
      </c>
      <c r="K541" t="s">
        <v>3015</v>
      </c>
      <c r="L541">
        <v>54.561721801757813</v>
      </c>
      <c r="M541" t="s">
        <v>6</v>
      </c>
      <c r="N541" t="s">
        <v>5</v>
      </c>
      <c r="O541" t="s">
        <v>5</v>
      </c>
      <c r="P541" t="s">
        <v>6</v>
      </c>
      <c r="Q541" t="s">
        <v>5</v>
      </c>
      <c r="R541" t="s">
        <v>434</v>
      </c>
      <c r="S541" t="s">
        <v>434</v>
      </c>
      <c r="T541" t="s">
        <v>5</v>
      </c>
      <c r="U541" t="s">
        <v>50</v>
      </c>
      <c r="V541">
        <v>50000</v>
      </c>
      <c r="W541">
        <v>50000</v>
      </c>
      <c r="X541" t="s">
        <v>5</v>
      </c>
      <c r="Y541" t="s">
        <v>1100</v>
      </c>
      <c r="Z541">
        <v>0</v>
      </c>
      <c r="AA541">
        <v>11.22078800201416</v>
      </c>
      <c r="AB541">
        <v>2.8638558387756352</v>
      </c>
      <c r="AC541">
        <v>0</v>
      </c>
      <c r="AD541">
        <v>10</v>
      </c>
      <c r="AE541">
        <v>4</v>
      </c>
      <c r="AF541">
        <v>0</v>
      </c>
      <c r="AG541">
        <v>1</v>
      </c>
      <c r="AH541">
        <v>0</v>
      </c>
      <c r="AI541">
        <v>1</v>
      </c>
      <c r="AJ541">
        <v>0</v>
      </c>
      <c r="AK541">
        <v>0</v>
      </c>
      <c r="AL541">
        <v>5</v>
      </c>
      <c r="AM541">
        <v>0</v>
      </c>
      <c r="AN541">
        <v>1591.717895507812</v>
      </c>
      <c r="AO541">
        <v>0</v>
      </c>
      <c r="AP541">
        <v>0</v>
      </c>
      <c r="AQ541">
        <v>0</v>
      </c>
      <c r="AR541">
        <v>0</v>
      </c>
      <c r="AS541">
        <v>0</v>
      </c>
      <c r="AT541">
        <v>0</v>
      </c>
      <c r="AU541">
        <v>0</v>
      </c>
      <c r="AV541">
        <v>0</v>
      </c>
      <c r="AW541">
        <v>0</v>
      </c>
      <c r="AX541">
        <v>0</v>
      </c>
      <c r="AY541">
        <v>0</v>
      </c>
      <c r="AZ541">
        <v>0</v>
      </c>
      <c r="BA541">
        <v>0</v>
      </c>
      <c r="BB541">
        <v>0</v>
      </c>
      <c r="BC541">
        <v>0</v>
      </c>
      <c r="BD541">
        <v>0</v>
      </c>
      <c r="BE541">
        <v>0</v>
      </c>
      <c r="BF541" t="s">
        <v>1100</v>
      </c>
      <c r="BG541" t="s">
        <v>5</v>
      </c>
      <c r="BH541" t="s">
        <v>2987</v>
      </c>
      <c r="BI541" t="s">
        <v>1100</v>
      </c>
      <c r="BJ541" t="s">
        <v>5</v>
      </c>
      <c r="BK541" t="s">
        <v>1100</v>
      </c>
      <c r="BL541">
        <v>0</v>
      </c>
      <c r="BM541">
        <v>0</v>
      </c>
      <c r="BN541" t="s">
        <v>5</v>
      </c>
      <c r="BO541" t="s">
        <v>1100</v>
      </c>
      <c r="BP541" t="s">
        <v>1100</v>
      </c>
      <c r="BQ541" t="s">
        <v>1100</v>
      </c>
      <c r="BR541" t="s">
        <v>1100</v>
      </c>
      <c r="BS541" t="s">
        <v>5</v>
      </c>
      <c r="BT541" t="s">
        <v>1100</v>
      </c>
      <c r="BU541" t="s">
        <v>1100</v>
      </c>
      <c r="BV541" t="s">
        <v>1100</v>
      </c>
      <c r="BW541" t="s">
        <v>1100</v>
      </c>
      <c r="BX541" t="s">
        <v>6</v>
      </c>
      <c r="BY541" t="s">
        <v>2988</v>
      </c>
      <c r="BZ541"/>
      <c r="CA541"/>
      <c r="CB541" t="s">
        <v>5</v>
      </c>
      <c r="CC541">
        <v>108457.94743560829</v>
      </c>
      <c r="CD541">
        <v>141314780.73006219</v>
      </c>
      <c r="CE541" s="313" t="s">
        <v>11891</v>
      </c>
    </row>
    <row r="542" spans="1:83" ht="15" x14ac:dyDescent="0.25">
      <c r="A542" t="s">
        <v>3159</v>
      </c>
      <c r="B542" t="s">
        <v>3160</v>
      </c>
      <c r="C542" t="s">
        <v>3019</v>
      </c>
      <c r="D542">
        <v>7</v>
      </c>
      <c r="E542" t="s">
        <v>2979</v>
      </c>
      <c r="F542" t="s">
        <v>3161</v>
      </c>
      <c r="G542" t="s">
        <v>3162</v>
      </c>
      <c r="H542" t="s">
        <v>3163</v>
      </c>
      <c r="I542" t="s">
        <v>3164</v>
      </c>
      <c r="J542" t="s">
        <v>3165</v>
      </c>
      <c r="K542" t="s">
        <v>3015</v>
      </c>
      <c r="L542">
        <v>895.54052734375</v>
      </c>
      <c r="M542" t="s">
        <v>6</v>
      </c>
      <c r="N542" t="s">
        <v>5</v>
      </c>
      <c r="O542" t="s">
        <v>5</v>
      </c>
      <c r="P542" t="s">
        <v>6</v>
      </c>
      <c r="Q542" t="s">
        <v>5</v>
      </c>
      <c r="R542" t="s">
        <v>3166</v>
      </c>
      <c r="S542" t="s">
        <v>3166</v>
      </c>
      <c r="T542" t="s">
        <v>5</v>
      </c>
      <c r="U542" t="s">
        <v>50</v>
      </c>
      <c r="V542">
        <v>50000</v>
      </c>
      <c r="W542">
        <v>50000</v>
      </c>
      <c r="X542" t="s">
        <v>5</v>
      </c>
      <c r="Y542" t="s">
        <v>1100</v>
      </c>
      <c r="Z542">
        <v>0</v>
      </c>
      <c r="AA542">
        <v>165.57460021972659</v>
      </c>
      <c r="AB542">
        <v>73.077835083007813</v>
      </c>
      <c r="AC542">
        <v>0</v>
      </c>
      <c r="AD542">
        <v>279</v>
      </c>
      <c r="AE542">
        <v>640</v>
      </c>
      <c r="AF542">
        <v>62</v>
      </c>
      <c r="AG542">
        <v>275</v>
      </c>
      <c r="AH542">
        <v>325</v>
      </c>
      <c r="AI542">
        <v>325</v>
      </c>
      <c r="AJ542">
        <v>2</v>
      </c>
      <c r="AK542">
        <v>6</v>
      </c>
      <c r="AL542">
        <v>350</v>
      </c>
      <c r="AM542">
        <v>0</v>
      </c>
      <c r="AN542">
        <v>45936.109375</v>
      </c>
      <c r="AO542">
        <v>0</v>
      </c>
      <c r="AP542">
        <v>0</v>
      </c>
      <c r="AQ542">
        <v>0</v>
      </c>
      <c r="AR542">
        <v>0</v>
      </c>
      <c r="AS542">
        <v>0</v>
      </c>
      <c r="AT542">
        <v>0</v>
      </c>
      <c r="AU542">
        <v>0</v>
      </c>
      <c r="AV542">
        <v>0</v>
      </c>
      <c r="AW542">
        <v>0</v>
      </c>
      <c r="AX542">
        <v>0</v>
      </c>
      <c r="AY542">
        <v>0</v>
      </c>
      <c r="AZ542">
        <v>0</v>
      </c>
      <c r="BA542">
        <v>0</v>
      </c>
      <c r="BB542">
        <v>0</v>
      </c>
      <c r="BC542">
        <v>0</v>
      </c>
      <c r="BD542">
        <v>0</v>
      </c>
      <c r="BE542">
        <v>0</v>
      </c>
      <c r="BF542" t="s">
        <v>1100</v>
      </c>
      <c r="BG542" t="s">
        <v>5</v>
      </c>
      <c r="BH542" t="s">
        <v>2987</v>
      </c>
      <c r="BI542" t="s">
        <v>1100</v>
      </c>
      <c r="BJ542" t="s">
        <v>5</v>
      </c>
      <c r="BK542" t="s">
        <v>1100</v>
      </c>
      <c r="BL542">
        <v>0</v>
      </c>
      <c r="BM542">
        <v>0</v>
      </c>
      <c r="BN542" t="s">
        <v>5</v>
      </c>
      <c r="BO542" t="s">
        <v>1100</v>
      </c>
      <c r="BP542" t="s">
        <v>1100</v>
      </c>
      <c r="BQ542" t="s">
        <v>1100</v>
      </c>
      <c r="BR542" t="s">
        <v>1100</v>
      </c>
      <c r="BS542" t="s">
        <v>5</v>
      </c>
      <c r="BT542" t="s">
        <v>1100</v>
      </c>
      <c r="BU542" t="s">
        <v>1100</v>
      </c>
      <c r="BV542" t="s">
        <v>1100</v>
      </c>
      <c r="BW542" t="s">
        <v>1100</v>
      </c>
      <c r="BX542" t="s">
        <v>6</v>
      </c>
      <c r="BY542" t="s">
        <v>2988</v>
      </c>
      <c r="BZ542"/>
      <c r="CA542"/>
      <c r="CB542" t="s">
        <v>5</v>
      </c>
      <c r="CC542">
        <v>191231.32498383781</v>
      </c>
      <c r="CD542">
        <v>2319448598.3516488</v>
      </c>
      <c r="CE542" s="313" t="s">
        <v>11891</v>
      </c>
    </row>
    <row r="543" spans="1:83" ht="15" x14ac:dyDescent="0.25">
      <c r="A543" t="s">
        <v>3167</v>
      </c>
      <c r="B543" t="s">
        <v>3168</v>
      </c>
      <c r="C543" t="s">
        <v>3019</v>
      </c>
      <c r="D543">
        <v>7</v>
      </c>
      <c r="E543" t="s">
        <v>2979</v>
      </c>
      <c r="F543" t="s">
        <v>490</v>
      </c>
      <c r="G543" t="s">
        <v>3169</v>
      </c>
      <c r="H543" t="s">
        <v>3170</v>
      </c>
      <c r="I543" t="s">
        <v>3171</v>
      </c>
      <c r="J543" t="s">
        <v>3172</v>
      </c>
      <c r="K543" t="s">
        <v>3015</v>
      </c>
      <c r="L543">
        <v>3.961138010025024</v>
      </c>
      <c r="M543" t="s">
        <v>5</v>
      </c>
      <c r="N543" t="s">
        <v>5</v>
      </c>
      <c r="O543" t="s">
        <v>5</v>
      </c>
      <c r="P543" t="s">
        <v>6</v>
      </c>
      <c r="Q543" t="s">
        <v>5</v>
      </c>
      <c r="R543" t="s">
        <v>517</v>
      </c>
      <c r="S543" t="s">
        <v>517</v>
      </c>
      <c r="T543" t="s">
        <v>5</v>
      </c>
      <c r="U543" t="s">
        <v>50</v>
      </c>
      <c r="V543">
        <v>50000</v>
      </c>
      <c r="W543">
        <v>50000</v>
      </c>
      <c r="X543" t="s">
        <v>5</v>
      </c>
      <c r="Y543" t="s">
        <v>1100</v>
      </c>
      <c r="Z543">
        <v>0</v>
      </c>
      <c r="AA543">
        <v>0.37222552299499512</v>
      </c>
      <c r="AB543">
        <v>0.2103749364614487</v>
      </c>
      <c r="AC543">
        <v>0</v>
      </c>
      <c r="AD543">
        <v>0</v>
      </c>
      <c r="AE543">
        <v>0</v>
      </c>
      <c r="AF543">
        <v>0</v>
      </c>
      <c r="AG543">
        <v>0</v>
      </c>
      <c r="AH543">
        <v>0</v>
      </c>
      <c r="AI543">
        <v>0</v>
      </c>
      <c r="AJ543">
        <v>0</v>
      </c>
      <c r="AK543">
        <v>0</v>
      </c>
      <c r="AL543">
        <v>3</v>
      </c>
      <c r="AM543">
        <v>0</v>
      </c>
      <c r="AN543">
        <v>158.498046875</v>
      </c>
      <c r="AO543">
        <v>0</v>
      </c>
      <c r="AP543">
        <v>0</v>
      </c>
      <c r="AQ543">
        <v>0</v>
      </c>
      <c r="AR543">
        <v>0</v>
      </c>
      <c r="AS543">
        <v>0</v>
      </c>
      <c r="AT543">
        <v>0</v>
      </c>
      <c r="AU543">
        <v>0</v>
      </c>
      <c r="AV543">
        <v>0</v>
      </c>
      <c r="AW543">
        <v>0</v>
      </c>
      <c r="AX543">
        <v>0</v>
      </c>
      <c r="AY543">
        <v>0</v>
      </c>
      <c r="AZ543">
        <v>0</v>
      </c>
      <c r="BA543">
        <v>0</v>
      </c>
      <c r="BB543">
        <v>0</v>
      </c>
      <c r="BC543">
        <v>0</v>
      </c>
      <c r="BD543">
        <v>0</v>
      </c>
      <c r="BE543">
        <v>0</v>
      </c>
      <c r="BF543" t="s">
        <v>1100</v>
      </c>
      <c r="BG543" t="s">
        <v>5</v>
      </c>
      <c r="BH543" t="s">
        <v>2987</v>
      </c>
      <c r="BI543" t="s">
        <v>1100</v>
      </c>
      <c r="BJ543" t="s">
        <v>5</v>
      </c>
      <c r="BK543" t="s">
        <v>1100</v>
      </c>
      <c r="BL543">
        <v>0</v>
      </c>
      <c r="BM543">
        <v>0</v>
      </c>
      <c r="BN543" t="s">
        <v>5</v>
      </c>
      <c r="BO543" t="s">
        <v>1100</v>
      </c>
      <c r="BP543" t="s">
        <v>1100</v>
      </c>
      <c r="BQ543" t="s">
        <v>1100</v>
      </c>
      <c r="BR543" t="s">
        <v>1100</v>
      </c>
      <c r="BS543" t="s">
        <v>5</v>
      </c>
      <c r="BT543" t="s">
        <v>1100</v>
      </c>
      <c r="BU543" t="s">
        <v>1100</v>
      </c>
      <c r="BV543" t="s">
        <v>1100</v>
      </c>
      <c r="BW543" t="s">
        <v>1100</v>
      </c>
      <c r="BX543" t="s">
        <v>6</v>
      </c>
      <c r="BY543" t="s">
        <v>2988</v>
      </c>
      <c r="BZ543"/>
      <c r="CA543"/>
      <c r="CB543" t="s">
        <v>5</v>
      </c>
      <c r="CC543">
        <v>17981.721643501689</v>
      </c>
      <c r="CD543">
        <v>10259341.46914432</v>
      </c>
      <c r="CE543" s="313" t="s">
        <v>11891</v>
      </c>
    </row>
    <row r="544" spans="1:83" ht="15" x14ac:dyDescent="0.25">
      <c r="A544" t="s">
        <v>3173</v>
      </c>
      <c r="B544" t="s">
        <v>3174</v>
      </c>
      <c r="C544" t="s">
        <v>3019</v>
      </c>
      <c r="D544">
        <v>7</v>
      </c>
      <c r="E544" t="s">
        <v>2979</v>
      </c>
      <c r="F544" t="s">
        <v>3175</v>
      </c>
      <c r="G544" t="s">
        <v>3176</v>
      </c>
      <c r="H544" t="s">
        <v>3177</v>
      </c>
      <c r="I544" t="s">
        <v>3178</v>
      </c>
      <c r="J544" t="s">
        <v>3179</v>
      </c>
      <c r="K544" t="s">
        <v>3015</v>
      </c>
      <c r="L544">
        <v>884.7744140625</v>
      </c>
      <c r="M544" t="s">
        <v>6</v>
      </c>
      <c r="N544" t="s">
        <v>5</v>
      </c>
      <c r="O544" t="s">
        <v>5</v>
      </c>
      <c r="P544" t="s">
        <v>6</v>
      </c>
      <c r="Q544" t="s">
        <v>5</v>
      </c>
      <c r="R544" t="s">
        <v>3180</v>
      </c>
      <c r="S544" t="s">
        <v>3180</v>
      </c>
      <c r="T544" t="s">
        <v>5</v>
      </c>
      <c r="U544" t="s">
        <v>50</v>
      </c>
      <c r="V544">
        <v>50000</v>
      </c>
      <c r="W544">
        <v>50000</v>
      </c>
      <c r="X544" t="s">
        <v>5</v>
      </c>
      <c r="Y544" t="s">
        <v>1100</v>
      </c>
      <c r="Z544">
        <v>0</v>
      </c>
      <c r="AA544">
        <v>188.46623229980469</v>
      </c>
      <c r="AB544">
        <v>48.512523651123047</v>
      </c>
      <c r="AC544">
        <v>0</v>
      </c>
      <c r="AD544">
        <v>158</v>
      </c>
      <c r="AE544">
        <v>191</v>
      </c>
      <c r="AF544">
        <v>34</v>
      </c>
      <c r="AG544">
        <v>315</v>
      </c>
      <c r="AH544">
        <v>123</v>
      </c>
      <c r="AI544">
        <v>315</v>
      </c>
      <c r="AJ544">
        <v>0</v>
      </c>
      <c r="AK544">
        <v>11</v>
      </c>
      <c r="AL544">
        <v>98</v>
      </c>
      <c r="AM544">
        <v>0</v>
      </c>
      <c r="AN544">
        <v>10113.4794921875</v>
      </c>
      <c r="AO544">
        <v>0</v>
      </c>
      <c r="AP544">
        <v>0</v>
      </c>
      <c r="AQ544">
        <v>0</v>
      </c>
      <c r="AR544">
        <v>0</v>
      </c>
      <c r="AS544">
        <v>0</v>
      </c>
      <c r="AT544">
        <v>0</v>
      </c>
      <c r="AU544">
        <v>0</v>
      </c>
      <c r="AV544">
        <v>0</v>
      </c>
      <c r="AW544">
        <v>0</v>
      </c>
      <c r="AX544">
        <v>0</v>
      </c>
      <c r="AY544">
        <v>0</v>
      </c>
      <c r="AZ544">
        <v>0</v>
      </c>
      <c r="BA544">
        <v>0</v>
      </c>
      <c r="BB544">
        <v>0</v>
      </c>
      <c r="BC544">
        <v>0</v>
      </c>
      <c r="BD544">
        <v>0</v>
      </c>
      <c r="BE544">
        <v>0</v>
      </c>
      <c r="BF544" t="s">
        <v>1100</v>
      </c>
      <c r="BG544" t="s">
        <v>5</v>
      </c>
      <c r="BH544" t="s">
        <v>2987</v>
      </c>
      <c r="BI544" t="s">
        <v>1100</v>
      </c>
      <c r="BJ544" t="s">
        <v>5</v>
      </c>
      <c r="BK544" t="s">
        <v>1100</v>
      </c>
      <c r="BL544">
        <v>0</v>
      </c>
      <c r="BM544">
        <v>0</v>
      </c>
      <c r="BN544" t="s">
        <v>5</v>
      </c>
      <c r="BO544" t="s">
        <v>1100</v>
      </c>
      <c r="BP544" t="s">
        <v>1100</v>
      </c>
      <c r="BQ544" t="s">
        <v>1100</v>
      </c>
      <c r="BR544" t="s">
        <v>1100</v>
      </c>
      <c r="BS544" t="s">
        <v>5</v>
      </c>
      <c r="BT544" t="s">
        <v>1100</v>
      </c>
      <c r="BU544" t="s">
        <v>1100</v>
      </c>
      <c r="BV544" t="s">
        <v>1100</v>
      </c>
      <c r="BW544" t="s">
        <v>1100</v>
      </c>
      <c r="BX544" t="s">
        <v>6</v>
      </c>
      <c r="BY544" t="s">
        <v>2988</v>
      </c>
      <c r="BZ544"/>
      <c r="CA544"/>
      <c r="CB544" t="s">
        <v>5</v>
      </c>
      <c r="CC544">
        <v>196568.19460418951</v>
      </c>
      <c r="CD544">
        <v>2291564400.088253</v>
      </c>
      <c r="CE544" s="313" t="s">
        <v>11891</v>
      </c>
    </row>
    <row r="545" spans="1:83" ht="15" x14ac:dyDescent="0.25">
      <c r="A545" t="s">
        <v>3189</v>
      </c>
      <c r="B545" t="s">
        <v>3190</v>
      </c>
      <c r="C545" t="s">
        <v>3019</v>
      </c>
      <c r="D545">
        <v>7</v>
      </c>
      <c r="E545" t="s">
        <v>2979</v>
      </c>
      <c r="F545" t="s">
        <v>1335</v>
      </c>
      <c r="G545" t="s">
        <v>3191</v>
      </c>
      <c r="H545" t="s">
        <v>3192</v>
      </c>
      <c r="I545" t="s">
        <v>3193</v>
      </c>
      <c r="J545" t="s">
        <v>3194</v>
      </c>
      <c r="K545" t="s">
        <v>3015</v>
      </c>
      <c r="L545">
        <v>432.36611938476563</v>
      </c>
      <c r="M545" t="s">
        <v>6</v>
      </c>
      <c r="N545" t="s">
        <v>5</v>
      </c>
      <c r="O545" t="s">
        <v>5</v>
      </c>
      <c r="P545" t="s">
        <v>5</v>
      </c>
      <c r="Q545" t="s">
        <v>5</v>
      </c>
      <c r="R545" t="s">
        <v>1340</v>
      </c>
      <c r="S545" t="s">
        <v>1340</v>
      </c>
      <c r="T545" t="s">
        <v>5</v>
      </c>
      <c r="U545" t="s">
        <v>50</v>
      </c>
      <c r="V545">
        <v>50000</v>
      </c>
      <c r="W545">
        <v>50000</v>
      </c>
      <c r="X545" t="s">
        <v>5</v>
      </c>
      <c r="Y545" t="s">
        <v>1100</v>
      </c>
      <c r="Z545">
        <v>0</v>
      </c>
      <c r="AA545">
        <v>125.2436141967773</v>
      </c>
      <c r="AB545">
        <v>25.209177017211911</v>
      </c>
      <c r="AC545">
        <v>0</v>
      </c>
      <c r="AD545">
        <v>968</v>
      </c>
      <c r="AE545">
        <v>427</v>
      </c>
      <c r="AF545">
        <v>526</v>
      </c>
      <c r="AG545">
        <v>1207</v>
      </c>
      <c r="AH545">
        <v>1310</v>
      </c>
      <c r="AI545">
        <v>1310</v>
      </c>
      <c r="AJ545">
        <v>4</v>
      </c>
      <c r="AK545">
        <v>2</v>
      </c>
      <c r="AL545">
        <v>130</v>
      </c>
      <c r="AM545">
        <v>0</v>
      </c>
      <c r="AN545">
        <v>33293.21875</v>
      </c>
      <c r="AO545">
        <v>0</v>
      </c>
      <c r="AP545">
        <v>0</v>
      </c>
      <c r="AQ545">
        <v>0</v>
      </c>
      <c r="AR545">
        <v>0</v>
      </c>
      <c r="AS545">
        <v>0</v>
      </c>
      <c r="AT545">
        <v>0</v>
      </c>
      <c r="AU545">
        <v>0</v>
      </c>
      <c r="AV545">
        <v>0</v>
      </c>
      <c r="AW545">
        <v>0</v>
      </c>
      <c r="AX545">
        <v>0</v>
      </c>
      <c r="AY545">
        <v>0</v>
      </c>
      <c r="AZ545">
        <v>0</v>
      </c>
      <c r="BA545">
        <v>0</v>
      </c>
      <c r="BB545">
        <v>0</v>
      </c>
      <c r="BC545">
        <v>0</v>
      </c>
      <c r="BD545">
        <v>0</v>
      </c>
      <c r="BE545">
        <v>0</v>
      </c>
      <c r="BF545" t="s">
        <v>1100</v>
      </c>
      <c r="BG545" t="s">
        <v>5</v>
      </c>
      <c r="BH545" t="s">
        <v>2987</v>
      </c>
      <c r="BI545" t="s">
        <v>1100</v>
      </c>
      <c r="BJ545" t="s">
        <v>5</v>
      </c>
      <c r="BK545" t="s">
        <v>1100</v>
      </c>
      <c r="BL545">
        <v>0</v>
      </c>
      <c r="BM545">
        <v>0</v>
      </c>
      <c r="BN545" t="s">
        <v>5</v>
      </c>
      <c r="BO545" t="s">
        <v>1100</v>
      </c>
      <c r="BP545" t="s">
        <v>1100</v>
      </c>
      <c r="BQ545" t="s">
        <v>1100</v>
      </c>
      <c r="BR545" t="s">
        <v>1100</v>
      </c>
      <c r="BS545" t="s">
        <v>5</v>
      </c>
      <c r="BT545" t="s">
        <v>1100</v>
      </c>
      <c r="BU545" t="s">
        <v>1100</v>
      </c>
      <c r="BV545" t="s">
        <v>1100</v>
      </c>
      <c r="BW545" t="s">
        <v>1100</v>
      </c>
      <c r="BX545" t="s">
        <v>6</v>
      </c>
      <c r="BY545" t="s">
        <v>2988</v>
      </c>
      <c r="BZ545"/>
      <c r="CA545"/>
      <c r="CB545" t="s">
        <v>5</v>
      </c>
      <c r="CC545">
        <v>153613.70119962539</v>
      </c>
      <c r="CD545">
        <v>1119827567.8059311</v>
      </c>
      <c r="CE545" s="313" t="s">
        <v>11891</v>
      </c>
    </row>
    <row r="546" spans="1:83" ht="15" x14ac:dyDescent="0.25">
      <c r="A546" t="s">
        <v>3195</v>
      </c>
      <c r="B546" t="s">
        <v>3196</v>
      </c>
      <c r="C546" t="s">
        <v>3019</v>
      </c>
      <c r="D546">
        <v>7</v>
      </c>
      <c r="E546" t="s">
        <v>2979</v>
      </c>
      <c r="F546" t="s">
        <v>3197</v>
      </c>
      <c r="G546" t="s">
        <v>3198</v>
      </c>
      <c r="H546" t="s">
        <v>3199</v>
      </c>
      <c r="I546" t="s">
        <v>3200</v>
      </c>
      <c r="J546" t="s">
        <v>3201</v>
      </c>
      <c r="K546" t="s">
        <v>3015</v>
      </c>
      <c r="L546">
        <v>826.03533935546875</v>
      </c>
      <c r="M546" t="s">
        <v>5</v>
      </c>
      <c r="N546" t="s">
        <v>5</v>
      </c>
      <c r="O546" t="s">
        <v>5</v>
      </c>
      <c r="P546" t="s">
        <v>6</v>
      </c>
      <c r="Q546" t="s">
        <v>5</v>
      </c>
      <c r="R546" t="s">
        <v>3202</v>
      </c>
      <c r="S546" t="s">
        <v>3202</v>
      </c>
      <c r="T546" t="s">
        <v>5</v>
      </c>
      <c r="U546" t="s">
        <v>50</v>
      </c>
      <c r="V546">
        <v>50000</v>
      </c>
      <c r="W546">
        <v>50000</v>
      </c>
      <c r="X546" t="s">
        <v>5</v>
      </c>
      <c r="Y546" t="s">
        <v>1100</v>
      </c>
      <c r="Z546">
        <v>0</v>
      </c>
      <c r="AA546">
        <v>181.39271545410159</v>
      </c>
      <c r="AB546">
        <v>104.5686874389648</v>
      </c>
      <c r="AC546">
        <v>0</v>
      </c>
      <c r="AD546">
        <v>475</v>
      </c>
      <c r="AE546">
        <v>997</v>
      </c>
      <c r="AF546">
        <v>46</v>
      </c>
      <c r="AG546">
        <v>682</v>
      </c>
      <c r="AH546">
        <v>759</v>
      </c>
      <c r="AI546">
        <v>759</v>
      </c>
      <c r="AJ546">
        <v>1</v>
      </c>
      <c r="AK546">
        <v>13</v>
      </c>
      <c r="AL546">
        <v>499</v>
      </c>
      <c r="AM546">
        <v>0</v>
      </c>
      <c r="AN546">
        <v>32566.796875</v>
      </c>
      <c r="AO546">
        <v>0</v>
      </c>
      <c r="AP546">
        <v>0</v>
      </c>
      <c r="AQ546">
        <v>0</v>
      </c>
      <c r="AR546">
        <v>0</v>
      </c>
      <c r="AS546">
        <v>0</v>
      </c>
      <c r="AT546">
        <v>0</v>
      </c>
      <c r="AU546">
        <v>0</v>
      </c>
      <c r="AV546">
        <v>0</v>
      </c>
      <c r="AW546">
        <v>0</v>
      </c>
      <c r="AX546">
        <v>0</v>
      </c>
      <c r="AY546">
        <v>0</v>
      </c>
      <c r="AZ546">
        <v>0</v>
      </c>
      <c r="BA546">
        <v>0</v>
      </c>
      <c r="BB546">
        <v>0</v>
      </c>
      <c r="BC546">
        <v>0</v>
      </c>
      <c r="BD546">
        <v>0</v>
      </c>
      <c r="BE546">
        <v>0</v>
      </c>
      <c r="BF546" t="s">
        <v>1100</v>
      </c>
      <c r="BG546" t="s">
        <v>5</v>
      </c>
      <c r="BH546" t="s">
        <v>2987</v>
      </c>
      <c r="BI546" t="s">
        <v>1100</v>
      </c>
      <c r="BJ546" t="s">
        <v>5</v>
      </c>
      <c r="BK546" t="s">
        <v>1100</v>
      </c>
      <c r="BL546">
        <v>0</v>
      </c>
      <c r="BM546">
        <v>0</v>
      </c>
      <c r="BN546" t="s">
        <v>5</v>
      </c>
      <c r="BO546" t="s">
        <v>1100</v>
      </c>
      <c r="BP546" t="s">
        <v>1100</v>
      </c>
      <c r="BQ546" t="s">
        <v>1100</v>
      </c>
      <c r="BR546" t="s">
        <v>1100</v>
      </c>
      <c r="BS546" t="s">
        <v>5</v>
      </c>
      <c r="BT546" t="s">
        <v>1100</v>
      </c>
      <c r="BU546" t="s">
        <v>1100</v>
      </c>
      <c r="BV546" t="s">
        <v>1100</v>
      </c>
      <c r="BW546" t="s">
        <v>1100</v>
      </c>
      <c r="BX546" t="s">
        <v>6</v>
      </c>
      <c r="BY546" t="s">
        <v>2988</v>
      </c>
      <c r="BZ546"/>
      <c r="CA546"/>
      <c r="CB546" t="s">
        <v>5</v>
      </c>
      <c r="CC546">
        <v>187487.22167109969</v>
      </c>
      <c r="CD546">
        <v>2139430243.1952479</v>
      </c>
      <c r="CE546" s="313" t="s">
        <v>11891</v>
      </c>
    </row>
    <row r="547" spans="1:83" ht="15" x14ac:dyDescent="0.25">
      <c r="A547" t="s">
        <v>3203</v>
      </c>
      <c r="B547" t="s">
        <v>3204</v>
      </c>
      <c r="C547" t="s">
        <v>3042</v>
      </c>
      <c r="D547">
        <v>7</v>
      </c>
      <c r="E547" t="s">
        <v>2979</v>
      </c>
      <c r="F547" t="s">
        <v>3205</v>
      </c>
      <c r="G547" t="s">
        <v>3206</v>
      </c>
      <c r="H547" t="s">
        <v>3207</v>
      </c>
      <c r="I547" t="s">
        <v>3208</v>
      </c>
      <c r="J547" t="s">
        <v>3209</v>
      </c>
      <c r="K547" t="s">
        <v>2985</v>
      </c>
      <c r="L547">
        <v>13.87186336517334</v>
      </c>
      <c r="M547" t="s">
        <v>6</v>
      </c>
      <c r="N547" t="s">
        <v>5</v>
      </c>
      <c r="O547" t="s">
        <v>5</v>
      </c>
      <c r="P547" t="s">
        <v>6</v>
      </c>
      <c r="Q547" t="s">
        <v>5</v>
      </c>
      <c r="R547" t="s">
        <v>3210</v>
      </c>
      <c r="S547" t="s">
        <v>3210</v>
      </c>
      <c r="T547" t="s">
        <v>5</v>
      </c>
      <c r="U547" t="s">
        <v>13</v>
      </c>
      <c r="V547">
        <v>50000</v>
      </c>
      <c r="W547">
        <v>50000</v>
      </c>
      <c r="X547" t="s">
        <v>5</v>
      </c>
      <c r="Y547" t="s">
        <v>1100</v>
      </c>
      <c r="Z547">
        <v>0</v>
      </c>
      <c r="AA547">
        <v>3.190066814422607</v>
      </c>
      <c r="AB547">
        <v>2.330663681030273</v>
      </c>
      <c r="AC547">
        <v>0</v>
      </c>
      <c r="AD547">
        <v>980</v>
      </c>
      <c r="AE547">
        <v>673</v>
      </c>
      <c r="AF547">
        <v>660</v>
      </c>
      <c r="AG547">
        <v>2836</v>
      </c>
      <c r="AH547">
        <v>2046</v>
      </c>
      <c r="AI547">
        <v>2836</v>
      </c>
      <c r="AJ547">
        <v>0</v>
      </c>
      <c r="AK547">
        <v>2</v>
      </c>
      <c r="AL547">
        <v>31</v>
      </c>
      <c r="AM547">
        <v>0</v>
      </c>
      <c r="AN547">
        <v>725.7496337890625</v>
      </c>
      <c r="AO547">
        <v>0</v>
      </c>
      <c r="AP547">
        <v>0</v>
      </c>
      <c r="AQ547">
        <v>0</v>
      </c>
      <c r="AR547">
        <v>0</v>
      </c>
      <c r="AS547">
        <v>0</v>
      </c>
      <c r="AT547">
        <v>0</v>
      </c>
      <c r="AU547">
        <v>0</v>
      </c>
      <c r="AV547">
        <v>0</v>
      </c>
      <c r="AW547">
        <v>0</v>
      </c>
      <c r="AX547">
        <v>0</v>
      </c>
      <c r="AY547">
        <v>0</v>
      </c>
      <c r="AZ547">
        <v>0</v>
      </c>
      <c r="BA547">
        <v>0</v>
      </c>
      <c r="BB547">
        <v>0</v>
      </c>
      <c r="BC547">
        <v>0</v>
      </c>
      <c r="BD547">
        <v>0</v>
      </c>
      <c r="BE547">
        <v>0</v>
      </c>
      <c r="BF547" t="s">
        <v>1100</v>
      </c>
      <c r="BG547" t="s">
        <v>5</v>
      </c>
      <c r="BH547" t="s">
        <v>2987</v>
      </c>
      <c r="BI547" t="s">
        <v>1100</v>
      </c>
      <c r="BJ547" t="s">
        <v>5</v>
      </c>
      <c r="BK547" t="s">
        <v>1100</v>
      </c>
      <c r="BL547">
        <v>0</v>
      </c>
      <c r="BM547">
        <v>0</v>
      </c>
      <c r="BN547" t="s">
        <v>5</v>
      </c>
      <c r="BO547" t="s">
        <v>1100</v>
      </c>
      <c r="BP547" t="s">
        <v>1100</v>
      </c>
      <c r="BQ547" t="s">
        <v>1100</v>
      </c>
      <c r="BR547" t="s">
        <v>1100</v>
      </c>
      <c r="BS547" t="s">
        <v>5</v>
      </c>
      <c r="BT547" t="s">
        <v>1100</v>
      </c>
      <c r="BU547" t="s">
        <v>1100</v>
      </c>
      <c r="BV547" t="s">
        <v>1100</v>
      </c>
      <c r="BW547" t="s">
        <v>1100</v>
      </c>
      <c r="BX547" t="s">
        <v>6</v>
      </c>
      <c r="BY547" t="s">
        <v>2988</v>
      </c>
      <c r="BZ547"/>
      <c r="CA547"/>
      <c r="CB547" t="s">
        <v>5</v>
      </c>
      <c r="CC547">
        <v>45254.078784914018</v>
      </c>
      <c r="CD547">
        <v>35928104.469522581</v>
      </c>
      <c r="CE547" s="313" t="s">
        <v>11891</v>
      </c>
    </row>
    <row r="548" spans="1:83" ht="15" x14ac:dyDescent="0.25">
      <c r="A548" t="s">
        <v>3211</v>
      </c>
      <c r="B548" t="s">
        <v>3212</v>
      </c>
      <c r="C548" t="s">
        <v>3042</v>
      </c>
      <c r="D548">
        <v>7</v>
      </c>
      <c r="E548" t="s">
        <v>2979</v>
      </c>
      <c r="F548" t="s">
        <v>581</v>
      </c>
      <c r="G548" t="s">
        <v>3213</v>
      </c>
      <c r="H548" t="s">
        <v>3214</v>
      </c>
      <c r="I548" t="s">
        <v>3215</v>
      </c>
      <c r="J548" t="s">
        <v>3216</v>
      </c>
      <c r="K548" t="s">
        <v>2985</v>
      </c>
      <c r="L548">
        <v>10.185911178588871</v>
      </c>
      <c r="M548" t="s">
        <v>5</v>
      </c>
      <c r="N548" t="s">
        <v>5</v>
      </c>
      <c r="O548" t="s">
        <v>5</v>
      </c>
      <c r="P548" t="s">
        <v>6</v>
      </c>
      <c r="Q548" t="s">
        <v>5</v>
      </c>
      <c r="R548" t="s">
        <v>3217</v>
      </c>
      <c r="S548" t="s">
        <v>3217</v>
      </c>
      <c r="T548" t="s">
        <v>5</v>
      </c>
      <c r="U548" t="s">
        <v>13</v>
      </c>
      <c r="V548">
        <v>50000</v>
      </c>
      <c r="W548">
        <v>50000</v>
      </c>
      <c r="X548" t="s">
        <v>5</v>
      </c>
      <c r="Y548" t="s">
        <v>1100</v>
      </c>
      <c r="Z548">
        <v>0</v>
      </c>
      <c r="AA548">
        <v>3.657172679901123</v>
      </c>
      <c r="AB548">
        <v>3.0017604827880859</v>
      </c>
      <c r="AC548">
        <v>0</v>
      </c>
      <c r="AD548">
        <v>1277</v>
      </c>
      <c r="AE548">
        <v>2703</v>
      </c>
      <c r="AF548">
        <v>1018</v>
      </c>
      <c r="AG548">
        <v>4738</v>
      </c>
      <c r="AH548">
        <v>3047</v>
      </c>
      <c r="AI548">
        <v>4738</v>
      </c>
      <c r="AJ548">
        <v>5</v>
      </c>
      <c r="AK548">
        <v>0</v>
      </c>
      <c r="AL548">
        <v>46</v>
      </c>
      <c r="AM548">
        <v>0</v>
      </c>
      <c r="AN548">
        <v>718.18170166015625</v>
      </c>
      <c r="AO548">
        <v>0</v>
      </c>
      <c r="AP548">
        <v>0</v>
      </c>
      <c r="AQ548">
        <v>0</v>
      </c>
      <c r="AR548">
        <v>0</v>
      </c>
      <c r="AS548">
        <v>0</v>
      </c>
      <c r="AT548">
        <v>0</v>
      </c>
      <c r="AU548">
        <v>0</v>
      </c>
      <c r="AV548">
        <v>0</v>
      </c>
      <c r="AW548">
        <v>0</v>
      </c>
      <c r="AX548">
        <v>0</v>
      </c>
      <c r="AY548">
        <v>0</v>
      </c>
      <c r="AZ548">
        <v>0</v>
      </c>
      <c r="BA548">
        <v>0</v>
      </c>
      <c r="BB548">
        <v>0</v>
      </c>
      <c r="BC548">
        <v>0</v>
      </c>
      <c r="BD548">
        <v>0</v>
      </c>
      <c r="BE548">
        <v>0</v>
      </c>
      <c r="BF548" t="s">
        <v>1100</v>
      </c>
      <c r="BG548" t="s">
        <v>5</v>
      </c>
      <c r="BH548" t="s">
        <v>2987</v>
      </c>
      <c r="BI548" t="s">
        <v>1100</v>
      </c>
      <c r="BJ548" t="s">
        <v>5</v>
      </c>
      <c r="BK548" t="s">
        <v>1100</v>
      </c>
      <c r="BL548">
        <v>0</v>
      </c>
      <c r="BM548">
        <v>0</v>
      </c>
      <c r="BN548" t="s">
        <v>5</v>
      </c>
      <c r="BO548" t="s">
        <v>1100</v>
      </c>
      <c r="BP548" t="s">
        <v>1100</v>
      </c>
      <c r="BQ548" t="s">
        <v>1100</v>
      </c>
      <c r="BR548" t="s">
        <v>1100</v>
      </c>
      <c r="BS548" t="s">
        <v>5</v>
      </c>
      <c r="BT548" t="s">
        <v>1100</v>
      </c>
      <c r="BU548" t="s">
        <v>1100</v>
      </c>
      <c r="BV548" t="s">
        <v>1100</v>
      </c>
      <c r="BW548" t="s">
        <v>1100</v>
      </c>
      <c r="BX548" t="s">
        <v>6</v>
      </c>
      <c r="BY548" t="s">
        <v>2988</v>
      </c>
      <c r="BZ548"/>
      <c r="CA548"/>
      <c r="CB548" t="s">
        <v>5</v>
      </c>
      <c r="CC548">
        <v>38160.783441185769</v>
      </c>
      <c r="CD548">
        <v>26381495.33653697</v>
      </c>
      <c r="CE548" s="313" t="s">
        <v>11891</v>
      </c>
    </row>
    <row r="549" spans="1:83" ht="15" x14ac:dyDescent="0.25">
      <c r="A549" t="s">
        <v>3224</v>
      </c>
      <c r="B549" t="s">
        <v>3225</v>
      </c>
      <c r="C549" t="s">
        <v>3019</v>
      </c>
      <c r="D549">
        <v>7</v>
      </c>
      <c r="E549" t="s">
        <v>2979</v>
      </c>
      <c r="F549" t="s">
        <v>3226</v>
      </c>
      <c r="G549" t="s">
        <v>3227</v>
      </c>
      <c r="H549" t="s">
        <v>3228</v>
      </c>
      <c r="I549" t="s">
        <v>3229</v>
      </c>
      <c r="J549" t="s">
        <v>3230</v>
      </c>
      <c r="K549" t="s">
        <v>3015</v>
      </c>
      <c r="L549">
        <v>2.0659480094909668</v>
      </c>
      <c r="M549" t="s">
        <v>6</v>
      </c>
      <c r="N549" t="s">
        <v>5</v>
      </c>
      <c r="O549" t="s">
        <v>5</v>
      </c>
      <c r="P549" t="s">
        <v>5</v>
      </c>
      <c r="Q549" t="s">
        <v>5</v>
      </c>
      <c r="R549" t="s">
        <v>3231</v>
      </c>
      <c r="S549" t="s">
        <v>3231</v>
      </c>
      <c r="T549" t="s">
        <v>5</v>
      </c>
      <c r="U549" t="s">
        <v>50</v>
      </c>
      <c r="V549">
        <v>50000</v>
      </c>
      <c r="W549">
        <v>50000</v>
      </c>
      <c r="X549" t="s">
        <v>5</v>
      </c>
      <c r="Y549" t="s">
        <v>1100</v>
      </c>
      <c r="Z549">
        <v>0</v>
      </c>
      <c r="AA549">
        <v>0.1064032986760139</v>
      </c>
      <c r="AB549">
        <v>4.0577009320259087E-2</v>
      </c>
      <c r="AC549">
        <v>0</v>
      </c>
      <c r="AD549">
        <v>0</v>
      </c>
      <c r="AE549">
        <v>5</v>
      </c>
      <c r="AF549">
        <v>0</v>
      </c>
      <c r="AG549">
        <v>0</v>
      </c>
      <c r="AH549">
        <v>0</v>
      </c>
      <c r="AI549">
        <v>0</v>
      </c>
      <c r="AJ549">
        <v>0</v>
      </c>
      <c r="AK549">
        <v>0</v>
      </c>
      <c r="AL549">
        <v>1</v>
      </c>
      <c r="AM549">
        <v>0</v>
      </c>
      <c r="AN549">
        <v>1.9955098628997801</v>
      </c>
      <c r="AO549">
        <v>0</v>
      </c>
      <c r="AP549">
        <v>0</v>
      </c>
      <c r="AQ549">
        <v>0</v>
      </c>
      <c r="AR549">
        <v>0</v>
      </c>
      <c r="AS549">
        <v>0</v>
      </c>
      <c r="AT549">
        <v>0</v>
      </c>
      <c r="AU549">
        <v>0</v>
      </c>
      <c r="AV549">
        <v>0</v>
      </c>
      <c r="AW549">
        <v>0</v>
      </c>
      <c r="AX549">
        <v>0</v>
      </c>
      <c r="AY549">
        <v>0</v>
      </c>
      <c r="AZ549">
        <v>0</v>
      </c>
      <c r="BA549">
        <v>0</v>
      </c>
      <c r="BB549">
        <v>0</v>
      </c>
      <c r="BC549">
        <v>0</v>
      </c>
      <c r="BD549">
        <v>0</v>
      </c>
      <c r="BE549">
        <v>0</v>
      </c>
      <c r="BF549" t="s">
        <v>1100</v>
      </c>
      <c r="BG549" t="s">
        <v>5</v>
      </c>
      <c r="BH549" t="s">
        <v>2987</v>
      </c>
      <c r="BI549" t="s">
        <v>1100</v>
      </c>
      <c r="BJ549" t="s">
        <v>5</v>
      </c>
      <c r="BK549" t="s">
        <v>1100</v>
      </c>
      <c r="BL549">
        <v>0</v>
      </c>
      <c r="BM549">
        <v>0</v>
      </c>
      <c r="BN549" t="s">
        <v>5</v>
      </c>
      <c r="BO549" t="s">
        <v>1100</v>
      </c>
      <c r="BP549" t="s">
        <v>1100</v>
      </c>
      <c r="BQ549" t="s">
        <v>1100</v>
      </c>
      <c r="BR549" t="s">
        <v>1100</v>
      </c>
      <c r="BS549" t="s">
        <v>5</v>
      </c>
      <c r="BT549" t="s">
        <v>1100</v>
      </c>
      <c r="BU549" t="s">
        <v>1100</v>
      </c>
      <c r="BV549" t="s">
        <v>1100</v>
      </c>
      <c r="BW549" t="s">
        <v>1100</v>
      </c>
      <c r="BX549" t="s">
        <v>6</v>
      </c>
      <c r="BY549" t="s">
        <v>2988</v>
      </c>
      <c r="BZ549"/>
      <c r="CA549"/>
      <c r="CB549" t="s">
        <v>5</v>
      </c>
      <c r="CC549">
        <v>12002.80409836235</v>
      </c>
      <c r="CD549">
        <v>5350801.9887746181</v>
      </c>
      <c r="CE549" s="313" t="s">
        <v>11891</v>
      </c>
    </row>
    <row r="550" spans="1:83" ht="15" x14ac:dyDescent="0.25">
      <c r="A550" t="s">
        <v>3232</v>
      </c>
      <c r="B550" t="s">
        <v>3233</v>
      </c>
      <c r="C550" t="s">
        <v>3019</v>
      </c>
      <c r="D550">
        <v>7</v>
      </c>
      <c r="E550" t="s">
        <v>2979</v>
      </c>
      <c r="F550" t="s">
        <v>3183</v>
      </c>
      <c r="G550" t="s">
        <v>3234</v>
      </c>
      <c r="H550" t="s">
        <v>3235</v>
      </c>
      <c r="I550" t="s">
        <v>3236</v>
      </c>
      <c r="J550" t="s">
        <v>3237</v>
      </c>
      <c r="K550" t="s">
        <v>3015</v>
      </c>
      <c r="L550">
        <v>1.691559433937073</v>
      </c>
      <c r="M550" t="s">
        <v>6</v>
      </c>
      <c r="N550" t="s">
        <v>5</v>
      </c>
      <c r="O550" t="s">
        <v>5</v>
      </c>
      <c r="P550" t="s">
        <v>5</v>
      </c>
      <c r="Q550" t="s">
        <v>5</v>
      </c>
      <c r="R550" t="s">
        <v>3238</v>
      </c>
      <c r="S550" t="s">
        <v>3238</v>
      </c>
      <c r="T550" t="s">
        <v>5</v>
      </c>
      <c r="U550" t="s">
        <v>50</v>
      </c>
      <c r="V550">
        <v>50000</v>
      </c>
      <c r="W550">
        <v>50000</v>
      </c>
      <c r="X550" t="s">
        <v>5</v>
      </c>
      <c r="Y550" t="s">
        <v>1100</v>
      </c>
      <c r="Z550">
        <v>0</v>
      </c>
      <c r="AA550">
        <v>0.1693442910909653</v>
      </c>
      <c r="AB550">
        <v>5.4751921445131302E-2</v>
      </c>
      <c r="AC550">
        <v>0</v>
      </c>
      <c r="AD550">
        <v>1</v>
      </c>
      <c r="AE550">
        <v>4</v>
      </c>
      <c r="AF550">
        <v>0</v>
      </c>
      <c r="AG550">
        <v>0</v>
      </c>
      <c r="AH550">
        <v>1</v>
      </c>
      <c r="AI550">
        <v>1</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t="s">
        <v>1100</v>
      </c>
      <c r="BG550" t="s">
        <v>5</v>
      </c>
      <c r="BH550" t="s">
        <v>2987</v>
      </c>
      <c r="BI550" t="s">
        <v>1100</v>
      </c>
      <c r="BJ550" t="s">
        <v>5</v>
      </c>
      <c r="BK550" t="s">
        <v>1100</v>
      </c>
      <c r="BL550">
        <v>0</v>
      </c>
      <c r="BM550">
        <v>0</v>
      </c>
      <c r="BN550" t="s">
        <v>5</v>
      </c>
      <c r="BO550" t="s">
        <v>1100</v>
      </c>
      <c r="BP550" t="s">
        <v>1100</v>
      </c>
      <c r="BQ550" t="s">
        <v>1100</v>
      </c>
      <c r="BR550" t="s">
        <v>1100</v>
      </c>
      <c r="BS550" t="s">
        <v>5</v>
      </c>
      <c r="BT550" t="s">
        <v>1100</v>
      </c>
      <c r="BU550" t="s">
        <v>1100</v>
      </c>
      <c r="BV550" t="s">
        <v>1100</v>
      </c>
      <c r="BW550" t="s">
        <v>1100</v>
      </c>
      <c r="BX550" t="s">
        <v>6</v>
      </c>
      <c r="BY550" t="s">
        <v>2988</v>
      </c>
      <c r="BZ550"/>
      <c r="CA550"/>
      <c r="CB550" t="s">
        <v>5</v>
      </c>
      <c r="CC550">
        <v>9604.0913518817997</v>
      </c>
      <c r="CD550">
        <v>4381136.3987511834</v>
      </c>
      <c r="CE550" s="313" t="s">
        <v>11891</v>
      </c>
    </row>
    <row r="551" spans="1:83" ht="15" x14ac:dyDescent="0.25">
      <c r="A551" t="s">
        <v>3239</v>
      </c>
      <c r="B551" t="s">
        <v>3240</v>
      </c>
      <c r="C551" t="s">
        <v>3019</v>
      </c>
      <c r="D551">
        <v>7</v>
      </c>
      <c r="E551" t="s">
        <v>2979</v>
      </c>
      <c r="F551" t="s">
        <v>1231</v>
      </c>
      <c r="G551" t="s">
        <v>3241</v>
      </c>
      <c r="H551" t="s">
        <v>3242</v>
      </c>
      <c r="I551" t="s">
        <v>3243</v>
      </c>
      <c r="J551" t="s">
        <v>3244</v>
      </c>
      <c r="K551" t="s">
        <v>3015</v>
      </c>
      <c r="L551">
        <v>1.3815819025039671</v>
      </c>
      <c r="M551" t="s">
        <v>5</v>
      </c>
      <c r="N551" t="s">
        <v>5</v>
      </c>
      <c r="O551" t="s">
        <v>5</v>
      </c>
      <c r="P551" t="s">
        <v>6</v>
      </c>
      <c r="Q551" t="s">
        <v>5</v>
      </c>
      <c r="R551" t="s">
        <v>1235</v>
      </c>
      <c r="S551" t="s">
        <v>1235</v>
      </c>
      <c r="T551" t="s">
        <v>5</v>
      </c>
      <c r="U551" t="s">
        <v>50</v>
      </c>
      <c r="V551">
        <v>50000</v>
      </c>
      <c r="W551">
        <v>50000</v>
      </c>
      <c r="X551" t="s">
        <v>5</v>
      </c>
      <c r="Y551" t="s">
        <v>1100</v>
      </c>
      <c r="Z551">
        <v>0</v>
      </c>
      <c r="AA551">
        <v>7.2120591998100281E-2</v>
      </c>
      <c r="AB551">
        <v>6.9964103400707245E-2</v>
      </c>
      <c r="AC551">
        <v>0</v>
      </c>
      <c r="AD551">
        <v>7</v>
      </c>
      <c r="AE551">
        <v>43</v>
      </c>
      <c r="AF551">
        <v>2</v>
      </c>
      <c r="AG551">
        <v>2</v>
      </c>
      <c r="AH551">
        <v>7</v>
      </c>
      <c r="AI551">
        <v>7</v>
      </c>
      <c r="AJ551">
        <v>0</v>
      </c>
      <c r="AK551">
        <v>0</v>
      </c>
      <c r="AL551">
        <v>3</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t="s">
        <v>1100</v>
      </c>
      <c r="BG551" t="s">
        <v>5</v>
      </c>
      <c r="BH551" t="s">
        <v>2987</v>
      </c>
      <c r="BI551" t="s">
        <v>1100</v>
      </c>
      <c r="BJ551" t="s">
        <v>5</v>
      </c>
      <c r="BK551" t="s">
        <v>1100</v>
      </c>
      <c r="BL551">
        <v>0</v>
      </c>
      <c r="BM551">
        <v>0</v>
      </c>
      <c r="BN551" t="s">
        <v>5</v>
      </c>
      <c r="BO551" t="s">
        <v>1100</v>
      </c>
      <c r="BP551" t="s">
        <v>1100</v>
      </c>
      <c r="BQ551" t="s">
        <v>1100</v>
      </c>
      <c r="BR551" t="s">
        <v>1100</v>
      </c>
      <c r="BS551" t="s">
        <v>5</v>
      </c>
      <c r="BT551" t="s">
        <v>1100</v>
      </c>
      <c r="BU551" t="s">
        <v>1100</v>
      </c>
      <c r="BV551" t="s">
        <v>1100</v>
      </c>
      <c r="BW551" t="s">
        <v>1100</v>
      </c>
      <c r="BX551" t="s">
        <v>6</v>
      </c>
      <c r="BY551" t="s">
        <v>2988</v>
      </c>
      <c r="BZ551"/>
      <c r="CA551"/>
      <c r="CB551" t="s">
        <v>5</v>
      </c>
      <c r="CC551">
        <v>11377.613162550009</v>
      </c>
      <c r="CD551">
        <v>3578294.886464457</v>
      </c>
      <c r="CE551" s="313" t="s">
        <v>11891</v>
      </c>
    </row>
    <row r="552" spans="1:83" ht="15" x14ac:dyDescent="0.25">
      <c r="A552" t="s">
        <v>3245</v>
      </c>
      <c r="B552" t="s">
        <v>3246</v>
      </c>
      <c r="C552" t="s">
        <v>3019</v>
      </c>
      <c r="D552">
        <v>7</v>
      </c>
      <c r="E552" t="s">
        <v>2979</v>
      </c>
      <c r="F552" t="s">
        <v>1335</v>
      </c>
      <c r="G552" t="s">
        <v>3247</v>
      </c>
      <c r="H552" t="s">
        <v>3248</v>
      </c>
      <c r="I552" t="s">
        <v>3249</v>
      </c>
      <c r="J552" t="s">
        <v>3250</v>
      </c>
      <c r="K552" t="s">
        <v>3015</v>
      </c>
      <c r="L552">
        <v>1.4457360506057739</v>
      </c>
      <c r="M552" t="s">
        <v>6</v>
      </c>
      <c r="N552" t="s">
        <v>5</v>
      </c>
      <c r="O552" t="s">
        <v>5</v>
      </c>
      <c r="P552" t="s">
        <v>5</v>
      </c>
      <c r="Q552" t="s">
        <v>5</v>
      </c>
      <c r="R552" t="s">
        <v>3251</v>
      </c>
      <c r="S552" t="s">
        <v>3251</v>
      </c>
      <c r="T552" t="s">
        <v>5</v>
      </c>
      <c r="U552" t="s">
        <v>50</v>
      </c>
      <c r="V552">
        <v>50000</v>
      </c>
      <c r="W552">
        <v>50000</v>
      </c>
      <c r="X552" t="s">
        <v>5</v>
      </c>
      <c r="Y552" t="s">
        <v>1100</v>
      </c>
      <c r="Z552">
        <v>0</v>
      </c>
      <c r="AA552">
        <v>0.26154708862304688</v>
      </c>
      <c r="AB552">
        <v>7.0749066770076752E-2</v>
      </c>
      <c r="AC552">
        <v>0</v>
      </c>
      <c r="AD552">
        <v>0</v>
      </c>
      <c r="AE552">
        <v>0</v>
      </c>
      <c r="AF552">
        <v>0</v>
      </c>
      <c r="AG552">
        <v>0</v>
      </c>
      <c r="AH552">
        <v>0</v>
      </c>
      <c r="AI552">
        <v>0</v>
      </c>
      <c r="AJ552">
        <v>0</v>
      </c>
      <c r="AK552">
        <v>0</v>
      </c>
      <c r="AL552">
        <v>1</v>
      </c>
      <c r="AM552">
        <v>0</v>
      </c>
      <c r="AN552">
        <v>20.344755172729489</v>
      </c>
      <c r="AO552">
        <v>0</v>
      </c>
      <c r="AP552">
        <v>0</v>
      </c>
      <c r="AQ552">
        <v>0</v>
      </c>
      <c r="AR552">
        <v>0</v>
      </c>
      <c r="AS552">
        <v>0</v>
      </c>
      <c r="AT552">
        <v>0</v>
      </c>
      <c r="AU552">
        <v>0</v>
      </c>
      <c r="AV552">
        <v>0</v>
      </c>
      <c r="AW552">
        <v>0</v>
      </c>
      <c r="AX552">
        <v>0</v>
      </c>
      <c r="AY552">
        <v>0</v>
      </c>
      <c r="AZ552">
        <v>0</v>
      </c>
      <c r="BA552">
        <v>0</v>
      </c>
      <c r="BB552">
        <v>0</v>
      </c>
      <c r="BC552">
        <v>0</v>
      </c>
      <c r="BD552">
        <v>0</v>
      </c>
      <c r="BE552">
        <v>0</v>
      </c>
      <c r="BF552" t="s">
        <v>1100</v>
      </c>
      <c r="BG552" t="s">
        <v>5</v>
      </c>
      <c r="BH552" t="s">
        <v>2987</v>
      </c>
      <c r="BI552" t="s">
        <v>1100</v>
      </c>
      <c r="BJ552" t="s">
        <v>5</v>
      </c>
      <c r="BK552" t="s">
        <v>1100</v>
      </c>
      <c r="BL552">
        <v>0</v>
      </c>
      <c r="BM552">
        <v>0</v>
      </c>
      <c r="BN552" t="s">
        <v>5</v>
      </c>
      <c r="BO552" t="s">
        <v>1100</v>
      </c>
      <c r="BP552" t="s">
        <v>1100</v>
      </c>
      <c r="BQ552" t="s">
        <v>1100</v>
      </c>
      <c r="BR552" t="s">
        <v>1100</v>
      </c>
      <c r="BS552" t="s">
        <v>5</v>
      </c>
      <c r="BT552" t="s">
        <v>1100</v>
      </c>
      <c r="BU552" t="s">
        <v>1100</v>
      </c>
      <c r="BV552" t="s">
        <v>1100</v>
      </c>
      <c r="BW552" t="s">
        <v>1100</v>
      </c>
      <c r="BX552" t="s">
        <v>6</v>
      </c>
      <c r="BY552" t="s">
        <v>2988</v>
      </c>
      <c r="BZ552"/>
      <c r="CA552"/>
      <c r="CB552" t="s">
        <v>5</v>
      </c>
      <c r="CC552">
        <v>7749.6254356234685</v>
      </c>
      <c r="CD552">
        <v>3744454.245385922</v>
      </c>
      <c r="CE552" s="313" t="s">
        <v>11891</v>
      </c>
    </row>
    <row r="553" spans="1:83" ht="15" x14ac:dyDescent="0.25">
      <c r="A553" t="s">
        <v>3252</v>
      </c>
      <c r="B553" t="s">
        <v>3253</v>
      </c>
      <c r="C553" t="s">
        <v>3019</v>
      </c>
      <c r="D553">
        <v>7</v>
      </c>
      <c r="E553" t="s">
        <v>2979</v>
      </c>
      <c r="F553" t="s">
        <v>3205</v>
      </c>
      <c r="G553" t="s">
        <v>3254</v>
      </c>
      <c r="H553" t="s">
        <v>3255</v>
      </c>
      <c r="I553" t="s">
        <v>3256</v>
      </c>
      <c r="J553" t="s">
        <v>3257</v>
      </c>
      <c r="K553" t="s">
        <v>3015</v>
      </c>
      <c r="L553">
        <v>1.4338757991790769</v>
      </c>
      <c r="M553" t="s">
        <v>6</v>
      </c>
      <c r="N553" t="s">
        <v>5</v>
      </c>
      <c r="O553" t="s">
        <v>5</v>
      </c>
      <c r="P553" t="s">
        <v>6</v>
      </c>
      <c r="Q553" t="s">
        <v>5</v>
      </c>
      <c r="R553" t="s">
        <v>3258</v>
      </c>
      <c r="S553" t="s">
        <v>3258</v>
      </c>
      <c r="T553" t="s">
        <v>5</v>
      </c>
      <c r="U553" t="s">
        <v>50</v>
      </c>
      <c r="V553">
        <v>50000</v>
      </c>
      <c r="W553">
        <v>50000</v>
      </c>
      <c r="X553" t="s">
        <v>5</v>
      </c>
      <c r="Y553" t="s">
        <v>1100</v>
      </c>
      <c r="Z553">
        <v>0</v>
      </c>
      <c r="AA553">
        <v>1.4301289804279801E-2</v>
      </c>
      <c r="AB553">
        <v>0.42403063178062439</v>
      </c>
      <c r="AC553">
        <v>0</v>
      </c>
      <c r="AD553">
        <v>0</v>
      </c>
      <c r="AE553">
        <v>123</v>
      </c>
      <c r="AF553">
        <v>0</v>
      </c>
      <c r="AG553">
        <v>0</v>
      </c>
      <c r="AH553">
        <v>0</v>
      </c>
      <c r="AI553">
        <v>0</v>
      </c>
      <c r="AJ553">
        <v>0</v>
      </c>
      <c r="AK553">
        <v>0</v>
      </c>
      <c r="AL553">
        <v>0</v>
      </c>
      <c r="AM553">
        <v>0</v>
      </c>
      <c r="AN553">
        <v>8.0437793731689453</v>
      </c>
      <c r="AO553">
        <v>0</v>
      </c>
      <c r="AP553">
        <v>0</v>
      </c>
      <c r="AQ553">
        <v>0</v>
      </c>
      <c r="AR553">
        <v>0</v>
      </c>
      <c r="AS553">
        <v>0</v>
      </c>
      <c r="AT553">
        <v>0</v>
      </c>
      <c r="AU553">
        <v>0</v>
      </c>
      <c r="AV553">
        <v>0</v>
      </c>
      <c r="AW553">
        <v>0</v>
      </c>
      <c r="AX553">
        <v>0</v>
      </c>
      <c r="AY553">
        <v>0</v>
      </c>
      <c r="AZ553">
        <v>0</v>
      </c>
      <c r="BA553">
        <v>0</v>
      </c>
      <c r="BB553">
        <v>0</v>
      </c>
      <c r="BC553">
        <v>0</v>
      </c>
      <c r="BD553">
        <v>0</v>
      </c>
      <c r="BE553">
        <v>0</v>
      </c>
      <c r="BF553" t="s">
        <v>1100</v>
      </c>
      <c r="BG553" t="s">
        <v>5</v>
      </c>
      <c r="BH553" t="s">
        <v>2987</v>
      </c>
      <c r="BI553" t="s">
        <v>1100</v>
      </c>
      <c r="BJ553" t="s">
        <v>5</v>
      </c>
      <c r="BK553" t="s">
        <v>1100</v>
      </c>
      <c r="BL553">
        <v>0</v>
      </c>
      <c r="BM553">
        <v>0</v>
      </c>
      <c r="BN553" t="s">
        <v>5</v>
      </c>
      <c r="BO553" t="s">
        <v>1100</v>
      </c>
      <c r="BP553" t="s">
        <v>1100</v>
      </c>
      <c r="BQ553" t="s">
        <v>1100</v>
      </c>
      <c r="BR553" t="s">
        <v>1100</v>
      </c>
      <c r="BS553" t="s">
        <v>5</v>
      </c>
      <c r="BT553" t="s">
        <v>1100</v>
      </c>
      <c r="BU553" t="s">
        <v>1100</v>
      </c>
      <c r="BV553" t="s">
        <v>1100</v>
      </c>
      <c r="BW553" t="s">
        <v>1100</v>
      </c>
      <c r="BX553" t="s">
        <v>6</v>
      </c>
      <c r="BY553" t="s">
        <v>2988</v>
      </c>
      <c r="BZ553"/>
      <c r="CA553"/>
      <c r="CB553" t="s">
        <v>5</v>
      </c>
      <c r="CC553">
        <v>10497.220672377851</v>
      </c>
      <c r="CD553">
        <v>3713736.1341833039</v>
      </c>
      <c r="CE553" s="313" t="s">
        <v>11891</v>
      </c>
    </row>
    <row r="554" spans="1:83" ht="15" x14ac:dyDescent="0.25">
      <c r="A554" t="s">
        <v>3259</v>
      </c>
      <c r="B554" t="s">
        <v>3260</v>
      </c>
      <c r="C554" t="s">
        <v>3019</v>
      </c>
      <c r="D554">
        <v>7</v>
      </c>
      <c r="E554" t="s">
        <v>2979</v>
      </c>
      <c r="F554" t="s">
        <v>1335</v>
      </c>
      <c r="G554" t="s">
        <v>3247</v>
      </c>
      <c r="H554" t="s">
        <v>3261</v>
      </c>
      <c r="I554" t="s">
        <v>3262</v>
      </c>
      <c r="J554" t="s">
        <v>3263</v>
      </c>
      <c r="K554" t="s">
        <v>3015</v>
      </c>
      <c r="L554">
        <v>1.423107385635376</v>
      </c>
      <c r="M554" t="s">
        <v>6</v>
      </c>
      <c r="N554" t="s">
        <v>5</v>
      </c>
      <c r="O554" t="s">
        <v>5</v>
      </c>
      <c r="P554" t="s">
        <v>5</v>
      </c>
      <c r="Q554" t="s">
        <v>5</v>
      </c>
      <c r="R554" t="s">
        <v>3264</v>
      </c>
      <c r="S554" t="s">
        <v>3264</v>
      </c>
      <c r="T554" t="s">
        <v>5</v>
      </c>
      <c r="U554" t="s">
        <v>50</v>
      </c>
      <c r="V554">
        <v>50000</v>
      </c>
      <c r="W554">
        <v>50000</v>
      </c>
      <c r="X554" t="s">
        <v>5</v>
      </c>
      <c r="Y554" t="s">
        <v>1100</v>
      </c>
      <c r="Z554">
        <v>0</v>
      </c>
      <c r="AA554">
        <v>1.1519439220428469</v>
      </c>
      <c r="AB554">
        <v>0.15770171582698819</v>
      </c>
      <c r="AC554">
        <v>0</v>
      </c>
      <c r="AD554">
        <v>690</v>
      </c>
      <c r="AE554">
        <v>116</v>
      </c>
      <c r="AF554">
        <v>417</v>
      </c>
      <c r="AG554">
        <v>1018</v>
      </c>
      <c r="AH554">
        <v>1065</v>
      </c>
      <c r="AI554">
        <v>1065</v>
      </c>
      <c r="AJ554">
        <v>4</v>
      </c>
      <c r="AK554">
        <v>0</v>
      </c>
      <c r="AL554">
        <v>20</v>
      </c>
      <c r="AM554">
        <v>0</v>
      </c>
      <c r="AN554">
        <v>182.70198059082031</v>
      </c>
      <c r="AO554">
        <v>0</v>
      </c>
      <c r="AP554">
        <v>0</v>
      </c>
      <c r="AQ554">
        <v>0</v>
      </c>
      <c r="AR554">
        <v>0</v>
      </c>
      <c r="AS554">
        <v>0</v>
      </c>
      <c r="AT554">
        <v>0</v>
      </c>
      <c r="AU554">
        <v>0</v>
      </c>
      <c r="AV554">
        <v>0</v>
      </c>
      <c r="AW554">
        <v>0</v>
      </c>
      <c r="AX554">
        <v>0</v>
      </c>
      <c r="AY554">
        <v>0</v>
      </c>
      <c r="AZ554">
        <v>0</v>
      </c>
      <c r="BA554">
        <v>0</v>
      </c>
      <c r="BB554">
        <v>0</v>
      </c>
      <c r="BC554">
        <v>0</v>
      </c>
      <c r="BD554">
        <v>0</v>
      </c>
      <c r="BE554">
        <v>0</v>
      </c>
      <c r="BF554" t="s">
        <v>1100</v>
      </c>
      <c r="BG554" t="s">
        <v>5</v>
      </c>
      <c r="BH554" t="s">
        <v>2987</v>
      </c>
      <c r="BI554" t="s">
        <v>1100</v>
      </c>
      <c r="BJ554" t="s">
        <v>5</v>
      </c>
      <c r="BK554" t="s">
        <v>1100</v>
      </c>
      <c r="BL554">
        <v>0</v>
      </c>
      <c r="BM554">
        <v>0</v>
      </c>
      <c r="BN554" t="s">
        <v>5</v>
      </c>
      <c r="BO554" t="s">
        <v>1100</v>
      </c>
      <c r="BP554" t="s">
        <v>1100</v>
      </c>
      <c r="BQ554" t="s">
        <v>1100</v>
      </c>
      <c r="BR554" t="s">
        <v>1100</v>
      </c>
      <c r="BS554" t="s">
        <v>5</v>
      </c>
      <c r="BT554" t="s">
        <v>1100</v>
      </c>
      <c r="BU554" t="s">
        <v>1100</v>
      </c>
      <c r="BV554" t="s">
        <v>1100</v>
      </c>
      <c r="BW554" t="s">
        <v>1100</v>
      </c>
      <c r="BX554" t="s">
        <v>6</v>
      </c>
      <c r="BY554" t="s">
        <v>2988</v>
      </c>
      <c r="BZ554"/>
      <c r="CA554"/>
      <c r="CB554" t="s">
        <v>5</v>
      </c>
      <c r="CC554">
        <v>11404.72341100968</v>
      </c>
      <c r="CD554">
        <v>3685845.9320195708</v>
      </c>
      <c r="CE554" s="313" t="s">
        <v>11891</v>
      </c>
    </row>
    <row r="555" spans="1:83" ht="15" x14ac:dyDescent="0.25">
      <c r="A555" t="s">
        <v>3265</v>
      </c>
      <c r="B555" t="s">
        <v>3266</v>
      </c>
      <c r="C555" t="s">
        <v>3019</v>
      </c>
      <c r="D555">
        <v>7</v>
      </c>
      <c r="E555" t="s">
        <v>2979</v>
      </c>
      <c r="F555" t="s">
        <v>3161</v>
      </c>
      <c r="G555" t="s">
        <v>3254</v>
      </c>
      <c r="H555" t="s">
        <v>3267</v>
      </c>
      <c r="I555" t="s">
        <v>3268</v>
      </c>
      <c r="J555" t="s">
        <v>3269</v>
      </c>
      <c r="K555" t="s">
        <v>3015</v>
      </c>
      <c r="L555">
        <v>1.3457561731338501</v>
      </c>
      <c r="M555" t="s">
        <v>5</v>
      </c>
      <c r="N555" t="s">
        <v>5</v>
      </c>
      <c r="O555" t="s">
        <v>5</v>
      </c>
      <c r="P555" t="s">
        <v>6</v>
      </c>
      <c r="Q555" t="s">
        <v>5</v>
      </c>
      <c r="R555" t="s">
        <v>3270</v>
      </c>
      <c r="S555" t="s">
        <v>3270</v>
      </c>
      <c r="T555" t="s">
        <v>5</v>
      </c>
      <c r="U555" t="s">
        <v>50</v>
      </c>
      <c r="V555">
        <v>50000</v>
      </c>
      <c r="W555">
        <v>50000</v>
      </c>
      <c r="X555" t="s">
        <v>5</v>
      </c>
      <c r="Y555" t="s">
        <v>1100</v>
      </c>
      <c r="Z555">
        <v>0</v>
      </c>
      <c r="AA555">
        <v>6.5866008400917053E-2</v>
      </c>
      <c r="AB555">
        <v>0.1019241511821747</v>
      </c>
      <c r="AC555">
        <v>0</v>
      </c>
      <c r="AD555">
        <v>15</v>
      </c>
      <c r="AE555">
        <v>66</v>
      </c>
      <c r="AF555">
        <v>7</v>
      </c>
      <c r="AG555">
        <v>93</v>
      </c>
      <c r="AH555">
        <v>35</v>
      </c>
      <c r="AI555">
        <v>93</v>
      </c>
      <c r="AJ555">
        <v>0</v>
      </c>
      <c r="AK555">
        <v>0</v>
      </c>
      <c r="AL555">
        <v>4</v>
      </c>
      <c r="AM555">
        <v>0</v>
      </c>
      <c r="AN555">
        <v>0.21783718466758731</v>
      </c>
      <c r="AO555">
        <v>0</v>
      </c>
      <c r="AP555">
        <v>0</v>
      </c>
      <c r="AQ555">
        <v>0</v>
      </c>
      <c r="AR555">
        <v>0</v>
      </c>
      <c r="AS555">
        <v>0</v>
      </c>
      <c r="AT555">
        <v>0</v>
      </c>
      <c r="AU555">
        <v>0</v>
      </c>
      <c r="AV555">
        <v>0</v>
      </c>
      <c r="AW555">
        <v>0</v>
      </c>
      <c r="AX555">
        <v>0</v>
      </c>
      <c r="AY555">
        <v>0</v>
      </c>
      <c r="AZ555">
        <v>0</v>
      </c>
      <c r="BA555">
        <v>0</v>
      </c>
      <c r="BB555">
        <v>0</v>
      </c>
      <c r="BC555">
        <v>0</v>
      </c>
      <c r="BD555">
        <v>0</v>
      </c>
      <c r="BE555">
        <v>0</v>
      </c>
      <c r="BF555" t="s">
        <v>1100</v>
      </c>
      <c r="BG555" t="s">
        <v>5</v>
      </c>
      <c r="BH555" t="s">
        <v>2987</v>
      </c>
      <c r="BI555" t="s">
        <v>1100</v>
      </c>
      <c r="BJ555" t="s">
        <v>5</v>
      </c>
      <c r="BK555" t="s">
        <v>1100</v>
      </c>
      <c r="BL555">
        <v>0</v>
      </c>
      <c r="BM555">
        <v>0</v>
      </c>
      <c r="BN555" t="s">
        <v>5</v>
      </c>
      <c r="BO555" t="s">
        <v>1100</v>
      </c>
      <c r="BP555" t="s">
        <v>1100</v>
      </c>
      <c r="BQ555" t="s">
        <v>1100</v>
      </c>
      <c r="BR555" t="s">
        <v>1100</v>
      </c>
      <c r="BS555" t="s">
        <v>5</v>
      </c>
      <c r="BT555" t="s">
        <v>1100</v>
      </c>
      <c r="BU555" t="s">
        <v>1100</v>
      </c>
      <c r="BV555" t="s">
        <v>1100</v>
      </c>
      <c r="BW555" t="s">
        <v>1100</v>
      </c>
      <c r="BX555" t="s">
        <v>6</v>
      </c>
      <c r="BY555" t="s">
        <v>2988</v>
      </c>
      <c r="BZ555"/>
      <c r="CA555"/>
      <c r="CB555" t="s">
        <v>5</v>
      </c>
      <c r="CC555">
        <v>11677.24176293372</v>
      </c>
      <c r="CD555">
        <v>3485506.5787817952</v>
      </c>
      <c r="CE555" s="313" t="s">
        <v>11891</v>
      </c>
    </row>
    <row r="556" spans="1:83" ht="15" x14ac:dyDescent="0.25">
      <c r="A556" t="s">
        <v>3271</v>
      </c>
      <c r="B556" t="s">
        <v>3272</v>
      </c>
      <c r="C556" t="s">
        <v>3019</v>
      </c>
      <c r="D556">
        <v>7</v>
      </c>
      <c r="E556" t="s">
        <v>2979</v>
      </c>
      <c r="F556" t="s">
        <v>3273</v>
      </c>
      <c r="G556" t="s">
        <v>3206</v>
      </c>
      <c r="H556" t="s">
        <v>3274</v>
      </c>
      <c r="I556" t="s">
        <v>3275</v>
      </c>
      <c r="J556" t="s">
        <v>3276</v>
      </c>
      <c r="K556" t="s">
        <v>3015</v>
      </c>
      <c r="L556">
        <v>1.1769090890884399</v>
      </c>
      <c r="M556" t="s">
        <v>5</v>
      </c>
      <c r="N556" t="s">
        <v>5</v>
      </c>
      <c r="O556" t="s">
        <v>5</v>
      </c>
      <c r="P556" t="s">
        <v>6</v>
      </c>
      <c r="Q556" t="s">
        <v>5</v>
      </c>
      <c r="R556" t="s">
        <v>3277</v>
      </c>
      <c r="S556" t="s">
        <v>3277</v>
      </c>
      <c r="T556" t="s">
        <v>5</v>
      </c>
      <c r="U556" t="s">
        <v>50</v>
      </c>
      <c r="V556">
        <v>50000</v>
      </c>
      <c r="W556">
        <v>50000</v>
      </c>
      <c r="X556" t="s">
        <v>5</v>
      </c>
      <c r="Y556" t="s">
        <v>1100</v>
      </c>
      <c r="Z556">
        <v>0</v>
      </c>
      <c r="AA556">
        <v>2.6467150077223781E-2</v>
      </c>
      <c r="AB556">
        <v>3.5581119358539581E-2</v>
      </c>
      <c r="AC556">
        <v>0</v>
      </c>
      <c r="AD556">
        <v>3</v>
      </c>
      <c r="AE556">
        <v>11</v>
      </c>
      <c r="AF556">
        <v>0</v>
      </c>
      <c r="AG556">
        <v>1</v>
      </c>
      <c r="AH556">
        <v>0</v>
      </c>
      <c r="AI556">
        <v>1</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t="s">
        <v>1100</v>
      </c>
      <c r="BG556" t="s">
        <v>5</v>
      </c>
      <c r="BH556" t="s">
        <v>2987</v>
      </c>
      <c r="BI556" t="s">
        <v>1100</v>
      </c>
      <c r="BJ556" t="s">
        <v>5</v>
      </c>
      <c r="BK556" t="s">
        <v>1100</v>
      </c>
      <c r="BL556">
        <v>0</v>
      </c>
      <c r="BM556">
        <v>0</v>
      </c>
      <c r="BN556" t="s">
        <v>5</v>
      </c>
      <c r="BO556" t="s">
        <v>1100</v>
      </c>
      <c r="BP556" t="s">
        <v>1100</v>
      </c>
      <c r="BQ556" t="s">
        <v>1100</v>
      </c>
      <c r="BR556" t="s">
        <v>1100</v>
      </c>
      <c r="BS556" t="s">
        <v>5</v>
      </c>
      <c r="BT556" t="s">
        <v>1100</v>
      </c>
      <c r="BU556" t="s">
        <v>1100</v>
      </c>
      <c r="BV556" t="s">
        <v>1100</v>
      </c>
      <c r="BW556" t="s">
        <v>1100</v>
      </c>
      <c r="BX556" t="s">
        <v>6</v>
      </c>
      <c r="BY556" t="s">
        <v>2988</v>
      </c>
      <c r="BZ556"/>
      <c r="CA556"/>
      <c r="CB556" t="s">
        <v>5</v>
      </c>
      <c r="CC556">
        <v>10767.14042883738</v>
      </c>
      <c r="CD556">
        <v>3048192.8690820169</v>
      </c>
      <c r="CE556" s="313" t="s">
        <v>11891</v>
      </c>
    </row>
    <row r="557" spans="1:83" ht="15" x14ac:dyDescent="0.25">
      <c r="A557" t="s">
        <v>3278</v>
      </c>
      <c r="B557" t="s">
        <v>3279</v>
      </c>
      <c r="C557" t="s">
        <v>3019</v>
      </c>
      <c r="D557">
        <v>7</v>
      </c>
      <c r="E557" t="s">
        <v>2979</v>
      </c>
      <c r="F557" t="s">
        <v>1335</v>
      </c>
      <c r="G557" t="s">
        <v>3247</v>
      </c>
      <c r="H557" t="s">
        <v>3261</v>
      </c>
      <c r="I557" t="s">
        <v>3280</v>
      </c>
      <c r="J557" t="s">
        <v>3281</v>
      </c>
      <c r="K557" t="s">
        <v>3015</v>
      </c>
      <c r="L557">
        <v>1.048342227935791</v>
      </c>
      <c r="M557" t="s">
        <v>6</v>
      </c>
      <c r="N557" t="s">
        <v>5</v>
      </c>
      <c r="O557" t="s">
        <v>5</v>
      </c>
      <c r="P557" t="s">
        <v>5</v>
      </c>
      <c r="Q557" t="s">
        <v>5</v>
      </c>
      <c r="R557" t="s">
        <v>3282</v>
      </c>
      <c r="S557" t="s">
        <v>3282</v>
      </c>
      <c r="T557" t="s">
        <v>5</v>
      </c>
      <c r="U557" t="s">
        <v>50</v>
      </c>
      <c r="V557">
        <v>50000</v>
      </c>
      <c r="W557">
        <v>50000</v>
      </c>
      <c r="X557" t="s">
        <v>5</v>
      </c>
      <c r="Y557" t="s">
        <v>1100</v>
      </c>
      <c r="Z557">
        <v>0</v>
      </c>
      <c r="AA557">
        <v>0.22800971567630771</v>
      </c>
      <c r="AB557">
        <v>2.03389897942543E-2</v>
      </c>
      <c r="AC557">
        <v>0</v>
      </c>
      <c r="AD557">
        <v>16</v>
      </c>
      <c r="AE557">
        <v>4</v>
      </c>
      <c r="AF557">
        <v>9</v>
      </c>
      <c r="AG557">
        <v>4</v>
      </c>
      <c r="AH557">
        <v>10</v>
      </c>
      <c r="AI557">
        <v>10</v>
      </c>
      <c r="AJ557">
        <v>0</v>
      </c>
      <c r="AK557">
        <v>0</v>
      </c>
      <c r="AL557">
        <v>1</v>
      </c>
      <c r="AM557">
        <v>0</v>
      </c>
      <c r="AN557">
        <v>23.128959655761719</v>
      </c>
      <c r="AO557">
        <v>0</v>
      </c>
      <c r="AP557">
        <v>0</v>
      </c>
      <c r="AQ557">
        <v>0</v>
      </c>
      <c r="AR557">
        <v>0</v>
      </c>
      <c r="AS557">
        <v>0</v>
      </c>
      <c r="AT557">
        <v>0</v>
      </c>
      <c r="AU557">
        <v>0</v>
      </c>
      <c r="AV557">
        <v>0</v>
      </c>
      <c r="AW557">
        <v>0</v>
      </c>
      <c r="AX557">
        <v>0</v>
      </c>
      <c r="AY557">
        <v>0</v>
      </c>
      <c r="AZ557">
        <v>0</v>
      </c>
      <c r="BA557">
        <v>0</v>
      </c>
      <c r="BB557">
        <v>0</v>
      </c>
      <c r="BC557">
        <v>0</v>
      </c>
      <c r="BD557">
        <v>0</v>
      </c>
      <c r="BE557">
        <v>0</v>
      </c>
      <c r="BF557" t="s">
        <v>1100</v>
      </c>
      <c r="BG557" t="s">
        <v>5</v>
      </c>
      <c r="BH557" t="s">
        <v>2987</v>
      </c>
      <c r="BI557" t="s">
        <v>1100</v>
      </c>
      <c r="BJ557" t="s">
        <v>5</v>
      </c>
      <c r="BK557" t="s">
        <v>1100</v>
      </c>
      <c r="BL557">
        <v>0</v>
      </c>
      <c r="BM557">
        <v>0</v>
      </c>
      <c r="BN557" t="s">
        <v>5</v>
      </c>
      <c r="BO557" t="s">
        <v>1100</v>
      </c>
      <c r="BP557" t="s">
        <v>1100</v>
      </c>
      <c r="BQ557" t="s">
        <v>1100</v>
      </c>
      <c r="BR557" t="s">
        <v>1100</v>
      </c>
      <c r="BS557" t="s">
        <v>5</v>
      </c>
      <c r="BT557" t="s">
        <v>1100</v>
      </c>
      <c r="BU557" t="s">
        <v>1100</v>
      </c>
      <c r="BV557" t="s">
        <v>1100</v>
      </c>
      <c r="BW557" t="s">
        <v>1100</v>
      </c>
      <c r="BX557" t="s">
        <v>6</v>
      </c>
      <c r="BY557" t="s">
        <v>2988</v>
      </c>
      <c r="BZ557"/>
      <c r="CA557"/>
      <c r="CB557" t="s">
        <v>5</v>
      </c>
      <c r="CC557">
        <v>6700.6778376013899</v>
      </c>
      <c r="CD557">
        <v>2715204.6536668278</v>
      </c>
      <c r="CE557" s="313" t="s">
        <v>11891</v>
      </c>
    </row>
    <row r="558" spans="1:83" ht="15" x14ac:dyDescent="0.25">
      <c r="A558" t="s">
        <v>3283</v>
      </c>
      <c r="B558" t="s">
        <v>3284</v>
      </c>
      <c r="C558" t="s">
        <v>3019</v>
      </c>
      <c r="D558">
        <v>7</v>
      </c>
      <c r="E558" t="s">
        <v>2979</v>
      </c>
      <c r="F558" t="s">
        <v>3034</v>
      </c>
      <c r="G558" t="s">
        <v>3285</v>
      </c>
      <c r="H558" t="s">
        <v>3286</v>
      </c>
      <c r="I558" t="s">
        <v>3287</v>
      </c>
      <c r="J558" t="s">
        <v>3288</v>
      </c>
      <c r="K558" t="s">
        <v>3015</v>
      </c>
      <c r="L558">
        <v>1.008910179138184</v>
      </c>
      <c r="M558" t="s">
        <v>6</v>
      </c>
      <c r="N558" t="s">
        <v>5</v>
      </c>
      <c r="O558" t="s">
        <v>5</v>
      </c>
      <c r="P558" t="s">
        <v>5</v>
      </c>
      <c r="Q558" t="s">
        <v>5</v>
      </c>
      <c r="R558" t="s">
        <v>3289</v>
      </c>
      <c r="S558" t="s">
        <v>3289</v>
      </c>
      <c r="T558" t="s">
        <v>5</v>
      </c>
      <c r="U558" t="s">
        <v>50</v>
      </c>
      <c r="V558">
        <v>50000</v>
      </c>
      <c r="W558">
        <v>50000</v>
      </c>
      <c r="X558" t="s">
        <v>5</v>
      </c>
      <c r="Y558" t="s">
        <v>1100</v>
      </c>
      <c r="Z558">
        <v>0</v>
      </c>
      <c r="AA558">
        <v>0.1224899590015411</v>
      </c>
      <c r="AB558">
        <v>1.820749044418335E-2</v>
      </c>
      <c r="AC558">
        <v>0</v>
      </c>
      <c r="AD558">
        <v>4</v>
      </c>
      <c r="AE558">
        <v>4</v>
      </c>
      <c r="AF558">
        <v>1</v>
      </c>
      <c r="AG558">
        <v>2</v>
      </c>
      <c r="AH558">
        <v>7</v>
      </c>
      <c r="AI558">
        <v>7</v>
      </c>
      <c r="AJ558">
        <v>0</v>
      </c>
      <c r="AK558">
        <v>0</v>
      </c>
      <c r="AL558">
        <v>1</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t="s">
        <v>1100</v>
      </c>
      <c r="BG558" t="s">
        <v>5</v>
      </c>
      <c r="BH558" t="s">
        <v>2987</v>
      </c>
      <c r="BI558" t="s">
        <v>1100</v>
      </c>
      <c r="BJ558" t="s">
        <v>5</v>
      </c>
      <c r="BK558" t="s">
        <v>1100</v>
      </c>
      <c r="BL558">
        <v>0</v>
      </c>
      <c r="BM558">
        <v>0</v>
      </c>
      <c r="BN558" t="s">
        <v>5</v>
      </c>
      <c r="BO558" t="s">
        <v>1100</v>
      </c>
      <c r="BP558" t="s">
        <v>1100</v>
      </c>
      <c r="BQ558" t="s">
        <v>1100</v>
      </c>
      <c r="BR558" t="s">
        <v>1100</v>
      </c>
      <c r="BS558" t="s">
        <v>5</v>
      </c>
      <c r="BT558" t="s">
        <v>1100</v>
      </c>
      <c r="BU558" t="s">
        <v>1100</v>
      </c>
      <c r="BV558" t="s">
        <v>1100</v>
      </c>
      <c r="BW558" t="s">
        <v>1100</v>
      </c>
      <c r="BX558" t="s">
        <v>6</v>
      </c>
      <c r="BY558" t="s">
        <v>2988</v>
      </c>
      <c r="BZ558"/>
      <c r="CA558"/>
      <c r="CB558" t="s">
        <v>5</v>
      </c>
      <c r="CC558">
        <v>6500.9067277254217</v>
      </c>
      <c r="CD558">
        <v>2613075.884925717</v>
      </c>
      <c r="CE558" s="313" t="s">
        <v>11891</v>
      </c>
    </row>
    <row r="559" spans="1:83" ht="15" x14ac:dyDescent="0.25">
      <c r="A559" t="s">
        <v>3290</v>
      </c>
      <c r="B559" t="s">
        <v>3291</v>
      </c>
      <c r="C559" t="s">
        <v>3019</v>
      </c>
      <c r="D559">
        <v>7</v>
      </c>
      <c r="E559" t="s">
        <v>2979</v>
      </c>
      <c r="F559" t="s">
        <v>3292</v>
      </c>
      <c r="G559" t="s">
        <v>3234</v>
      </c>
      <c r="H559" t="s">
        <v>3293</v>
      </c>
      <c r="I559" t="s">
        <v>3294</v>
      </c>
      <c r="J559" t="s">
        <v>3295</v>
      </c>
      <c r="K559" t="s">
        <v>3015</v>
      </c>
      <c r="L559">
        <v>0.95513582229614258</v>
      </c>
      <c r="M559" t="s">
        <v>6</v>
      </c>
      <c r="N559" t="s">
        <v>5</v>
      </c>
      <c r="O559" t="s">
        <v>5</v>
      </c>
      <c r="P559" t="s">
        <v>5</v>
      </c>
      <c r="Q559" t="s">
        <v>5</v>
      </c>
      <c r="R559" t="s">
        <v>3296</v>
      </c>
      <c r="S559" t="s">
        <v>3296</v>
      </c>
      <c r="T559" t="s">
        <v>5</v>
      </c>
      <c r="U559" t="s">
        <v>50</v>
      </c>
      <c r="V559">
        <v>50000</v>
      </c>
      <c r="W559">
        <v>50000</v>
      </c>
      <c r="X559" t="s">
        <v>5</v>
      </c>
      <c r="Y559" t="s">
        <v>1100</v>
      </c>
      <c r="Z559">
        <v>0</v>
      </c>
      <c r="AA559">
        <v>0.16703292727470401</v>
      </c>
      <c r="AB559">
        <v>2.4318519979715351E-2</v>
      </c>
      <c r="AC559">
        <v>0</v>
      </c>
      <c r="AD559">
        <v>42</v>
      </c>
      <c r="AE559">
        <v>21</v>
      </c>
      <c r="AF559">
        <v>0</v>
      </c>
      <c r="AG559">
        <v>15</v>
      </c>
      <c r="AH559">
        <v>19</v>
      </c>
      <c r="AI559">
        <v>19</v>
      </c>
      <c r="AJ559">
        <v>1</v>
      </c>
      <c r="AK559">
        <v>0</v>
      </c>
      <c r="AL559">
        <v>2</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t="s">
        <v>1100</v>
      </c>
      <c r="BG559" t="s">
        <v>5</v>
      </c>
      <c r="BH559" t="s">
        <v>2987</v>
      </c>
      <c r="BI559" t="s">
        <v>1100</v>
      </c>
      <c r="BJ559" t="s">
        <v>5</v>
      </c>
      <c r="BK559" t="s">
        <v>1100</v>
      </c>
      <c r="BL559">
        <v>0</v>
      </c>
      <c r="BM559">
        <v>0</v>
      </c>
      <c r="BN559" t="s">
        <v>5</v>
      </c>
      <c r="BO559" t="s">
        <v>1100</v>
      </c>
      <c r="BP559" t="s">
        <v>1100</v>
      </c>
      <c r="BQ559" t="s">
        <v>1100</v>
      </c>
      <c r="BR559" t="s">
        <v>1100</v>
      </c>
      <c r="BS559" t="s">
        <v>5</v>
      </c>
      <c r="BT559" t="s">
        <v>1100</v>
      </c>
      <c r="BU559" t="s">
        <v>1100</v>
      </c>
      <c r="BV559" t="s">
        <v>1100</v>
      </c>
      <c r="BW559" t="s">
        <v>1100</v>
      </c>
      <c r="BX559" t="s">
        <v>6</v>
      </c>
      <c r="BY559" t="s">
        <v>2988</v>
      </c>
      <c r="BZ559"/>
      <c r="CA559"/>
      <c r="CB559" t="s">
        <v>5</v>
      </c>
      <c r="CC559">
        <v>7358.410231349395</v>
      </c>
      <c r="CD559">
        <v>2473800.2484589638</v>
      </c>
      <c r="CE559" s="313" t="s">
        <v>11891</v>
      </c>
    </row>
    <row r="560" spans="1:83" ht="15" x14ac:dyDescent="0.25">
      <c r="A560" t="s">
        <v>3297</v>
      </c>
      <c r="B560" t="s">
        <v>3298</v>
      </c>
      <c r="C560" t="s">
        <v>3019</v>
      </c>
      <c r="D560">
        <v>7</v>
      </c>
      <c r="E560" t="s">
        <v>2979</v>
      </c>
      <c r="F560" t="s">
        <v>3299</v>
      </c>
      <c r="G560" t="s">
        <v>3300</v>
      </c>
      <c r="H560" t="s">
        <v>3301</v>
      </c>
      <c r="I560" t="s">
        <v>3302</v>
      </c>
      <c r="J560" t="s">
        <v>3303</v>
      </c>
      <c r="K560" t="s">
        <v>3015</v>
      </c>
      <c r="L560">
        <v>0.91276490688323975</v>
      </c>
      <c r="M560" t="s">
        <v>5</v>
      </c>
      <c r="N560" t="s">
        <v>5</v>
      </c>
      <c r="O560" t="s">
        <v>5</v>
      </c>
      <c r="P560" t="s">
        <v>6</v>
      </c>
      <c r="Q560" t="s">
        <v>5</v>
      </c>
      <c r="R560" t="s">
        <v>3304</v>
      </c>
      <c r="S560" t="s">
        <v>3304</v>
      </c>
      <c r="T560" t="s">
        <v>5</v>
      </c>
      <c r="U560" t="s">
        <v>50</v>
      </c>
      <c r="V560">
        <v>50000</v>
      </c>
      <c r="W560">
        <v>50000</v>
      </c>
      <c r="X560" t="s">
        <v>5</v>
      </c>
      <c r="Y560" t="s">
        <v>1100</v>
      </c>
      <c r="Z560">
        <v>0</v>
      </c>
      <c r="AA560">
        <v>9.6082322299480438E-2</v>
      </c>
      <c r="AB560">
        <v>7.5922757387161255E-2</v>
      </c>
      <c r="AC560">
        <v>0</v>
      </c>
      <c r="AD560">
        <v>13</v>
      </c>
      <c r="AE560">
        <v>57</v>
      </c>
      <c r="AF560">
        <v>10</v>
      </c>
      <c r="AG560">
        <v>2</v>
      </c>
      <c r="AH560">
        <v>6</v>
      </c>
      <c r="AI560">
        <v>6</v>
      </c>
      <c r="AJ560">
        <v>0</v>
      </c>
      <c r="AK560">
        <v>0</v>
      </c>
      <c r="AL560">
        <v>3</v>
      </c>
      <c r="AM560">
        <v>0</v>
      </c>
      <c r="AN560">
        <v>13.94162559509277</v>
      </c>
      <c r="AO560">
        <v>0</v>
      </c>
      <c r="AP560">
        <v>0</v>
      </c>
      <c r="AQ560">
        <v>0</v>
      </c>
      <c r="AR560">
        <v>0</v>
      </c>
      <c r="AS560">
        <v>0</v>
      </c>
      <c r="AT560">
        <v>0</v>
      </c>
      <c r="AU560">
        <v>0</v>
      </c>
      <c r="AV560">
        <v>0</v>
      </c>
      <c r="AW560">
        <v>0</v>
      </c>
      <c r="AX560">
        <v>0</v>
      </c>
      <c r="AY560">
        <v>0</v>
      </c>
      <c r="AZ560">
        <v>0</v>
      </c>
      <c r="BA560">
        <v>0</v>
      </c>
      <c r="BB560">
        <v>0</v>
      </c>
      <c r="BC560">
        <v>0</v>
      </c>
      <c r="BD560">
        <v>0</v>
      </c>
      <c r="BE560">
        <v>0</v>
      </c>
      <c r="BF560" t="s">
        <v>1100</v>
      </c>
      <c r="BG560" t="s">
        <v>5</v>
      </c>
      <c r="BH560" t="s">
        <v>2987</v>
      </c>
      <c r="BI560" t="s">
        <v>1100</v>
      </c>
      <c r="BJ560" t="s">
        <v>5</v>
      </c>
      <c r="BK560" t="s">
        <v>1100</v>
      </c>
      <c r="BL560">
        <v>0</v>
      </c>
      <c r="BM560">
        <v>0</v>
      </c>
      <c r="BN560" t="s">
        <v>5</v>
      </c>
      <c r="BO560" t="s">
        <v>1100</v>
      </c>
      <c r="BP560" t="s">
        <v>1100</v>
      </c>
      <c r="BQ560" t="s">
        <v>1100</v>
      </c>
      <c r="BR560" t="s">
        <v>1100</v>
      </c>
      <c r="BS560" t="s">
        <v>5</v>
      </c>
      <c r="BT560" t="s">
        <v>1100</v>
      </c>
      <c r="BU560" t="s">
        <v>1100</v>
      </c>
      <c r="BV560" t="s">
        <v>1100</v>
      </c>
      <c r="BW560" t="s">
        <v>1100</v>
      </c>
      <c r="BX560" t="s">
        <v>6</v>
      </c>
      <c r="BY560" t="s">
        <v>2988</v>
      </c>
      <c r="BZ560"/>
      <c r="CA560"/>
      <c r="CB560" t="s">
        <v>5</v>
      </c>
      <c r="CC560">
        <v>8568.0224484305472</v>
      </c>
      <c r="CD560">
        <v>2364059.6410615109</v>
      </c>
      <c r="CE560" s="313" t="s">
        <v>11891</v>
      </c>
    </row>
    <row r="561" spans="1:83" ht="15" x14ac:dyDescent="0.25">
      <c r="A561" t="s">
        <v>3305</v>
      </c>
      <c r="B561" t="s">
        <v>3306</v>
      </c>
      <c r="C561" t="s">
        <v>3019</v>
      </c>
      <c r="D561">
        <v>7</v>
      </c>
      <c r="E561" t="s">
        <v>2979</v>
      </c>
      <c r="F561" t="s">
        <v>3205</v>
      </c>
      <c r="G561" t="s">
        <v>3254</v>
      </c>
      <c r="H561" t="s">
        <v>3307</v>
      </c>
      <c r="I561" t="s">
        <v>3308</v>
      </c>
      <c r="J561" t="s">
        <v>3309</v>
      </c>
      <c r="K561" t="s">
        <v>3015</v>
      </c>
      <c r="L561">
        <v>0.80719709396362305</v>
      </c>
      <c r="M561" t="s">
        <v>5</v>
      </c>
      <c r="N561" t="s">
        <v>5</v>
      </c>
      <c r="O561" t="s">
        <v>5</v>
      </c>
      <c r="P561" t="s">
        <v>6</v>
      </c>
      <c r="Q561" t="s">
        <v>5</v>
      </c>
      <c r="R561" t="s">
        <v>3310</v>
      </c>
      <c r="S561" t="s">
        <v>3310</v>
      </c>
      <c r="T561" t="s">
        <v>5</v>
      </c>
      <c r="U561" t="s">
        <v>50</v>
      </c>
      <c r="V561">
        <v>50000</v>
      </c>
      <c r="W561">
        <v>50000</v>
      </c>
      <c r="X561" t="s">
        <v>5</v>
      </c>
      <c r="Y561" t="s">
        <v>1100</v>
      </c>
      <c r="Z561">
        <v>0</v>
      </c>
      <c r="AA561">
        <v>0</v>
      </c>
      <c r="AB561">
        <v>0.30693259835243231</v>
      </c>
      <c r="AC561">
        <v>0</v>
      </c>
      <c r="AD561">
        <v>0</v>
      </c>
      <c r="AE561">
        <v>159</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t="s">
        <v>1100</v>
      </c>
      <c r="BG561" t="s">
        <v>5</v>
      </c>
      <c r="BH561" t="s">
        <v>2987</v>
      </c>
      <c r="BI561" t="s">
        <v>1100</v>
      </c>
      <c r="BJ561" t="s">
        <v>5</v>
      </c>
      <c r="BK561" t="s">
        <v>1100</v>
      </c>
      <c r="BL561">
        <v>0</v>
      </c>
      <c r="BM561">
        <v>0</v>
      </c>
      <c r="BN561" t="s">
        <v>5</v>
      </c>
      <c r="BO561" t="s">
        <v>1100</v>
      </c>
      <c r="BP561" t="s">
        <v>1100</v>
      </c>
      <c r="BQ561" t="s">
        <v>1100</v>
      </c>
      <c r="BR561" t="s">
        <v>1100</v>
      </c>
      <c r="BS561" t="s">
        <v>5</v>
      </c>
      <c r="BT561" t="s">
        <v>1100</v>
      </c>
      <c r="BU561" t="s">
        <v>1100</v>
      </c>
      <c r="BV561" t="s">
        <v>1100</v>
      </c>
      <c r="BW561" t="s">
        <v>1100</v>
      </c>
      <c r="BX561" t="s">
        <v>6</v>
      </c>
      <c r="BY561" t="s">
        <v>2988</v>
      </c>
      <c r="BZ561"/>
      <c r="CA561"/>
      <c r="CB561" t="s">
        <v>5</v>
      </c>
      <c r="CC561">
        <v>8482.9645594825997</v>
      </c>
      <c r="CD561">
        <v>2090639.243584211</v>
      </c>
      <c r="CE561" s="313" t="s">
        <v>11891</v>
      </c>
    </row>
    <row r="562" spans="1:83" ht="15" x14ac:dyDescent="0.25">
      <c r="A562" t="s">
        <v>3311</v>
      </c>
      <c r="B562" t="s">
        <v>3312</v>
      </c>
      <c r="C562" t="s">
        <v>3019</v>
      </c>
      <c r="D562">
        <v>7</v>
      </c>
      <c r="E562" t="s">
        <v>2979</v>
      </c>
      <c r="F562" t="s">
        <v>581</v>
      </c>
      <c r="G562" t="s">
        <v>3313</v>
      </c>
      <c r="H562" t="s">
        <v>3314</v>
      </c>
      <c r="I562" t="s">
        <v>3315</v>
      </c>
      <c r="J562" t="s">
        <v>3316</v>
      </c>
      <c r="K562" t="s">
        <v>3015</v>
      </c>
      <c r="L562">
        <v>0.79467350244522095</v>
      </c>
      <c r="M562" t="s">
        <v>5</v>
      </c>
      <c r="N562" t="s">
        <v>5</v>
      </c>
      <c r="O562" t="s">
        <v>5</v>
      </c>
      <c r="P562" t="s">
        <v>6</v>
      </c>
      <c r="Q562" t="s">
        <v>5</v>
      </c>
      <c r="R562" t="s">
        <v>3317</v>
      </c>
      <c r="S562" t="s">
        <v>3317</v>
      </c>
      <c r="T562" t="s">
        <v>5</v>
      </c>
      <c r="U562" t="s">
        <v>50</v>
      </c>
      <c r="V562">
        <v>50000</v>
      </c>
      <c r="W562">
        <v>50000</v>
      </c>
      <c r="X562" t="s">
        <v>5</v>
      </c>
      <c r="Y562" t="s">
        <v>1100</v>
      </c>
      <c r="Z562">
        <v>0</v>
      </c>
      <c r="AA562">
        <v>5.3661450743675232E-2</v>
      </c>
      <c r="AB562">
        <v>4.4706869870424271E-2</v>
      </c>
      <c r="AC562">
        <v>0</v>
      </c>
      <c r="AD562">
        <v>6</v>
      </c>
      <c r="AE562">
        <v>34</v>
      </c>
      <c r="AF562">
        <v>3</v>
      </c>
      <c r="AG562">
        <v>1</v>
      </c>
      <c r="AH562">
        <v>11</v>
      </c>
      <c r="AI562">
        <v>11</v>
      </c>
      <c r="AJ562">
        <v>0</v>
      </c>
      <c r="AK562">
        <v>0</v>
      </c>
      <c r="AL562">
        <v>1</v>
      </c>
      <c r="AM562">
        <v>0</v>
      </c>
      <c r="AN562">
        <v>9.2234220504760742</v>
      </c>
      <c r="AO562">
        <v>0</v>
      </c>
      <c r="AP562">
        <v>0</v>
      </c>
      <c r="AQ562">
        <v>0</v>
      </c>
      <c r="AR562">
        <v>0</v>
      </c>
      <c r="AS562">
        <v>0</v>
      </c>
      <c r="AT562">
        <v>0</v>
      </c>
      <c r="AU562">
        <v>0</v>
      </c>
      <c r="AV562">
        <v>0</v>
      </c>
      <c r="AW562">
        <v>0</v>
      </c>
      <c r="AX562">
        <v>0</v>
      </c>
      <c r="AY562">
        <v>0</v>
      </c>
      <c r="AZ562">
        <v>0</v>
      </c>
      <c r="BA562">
        <v>0</v>
      </c>
      <c r="BB562">
        <v>0</v>
      </c>
      <c r="BC562">
        <v>0</v>
      </c>
      <c r="BD562">
        <v>0</v>
      </c>
      <c r="BE562">
        <v>0</v>
      </c>
      <c r="BF562" t="s">
        <v>1100</v>
      </c>
      <c r="BG562" t="s">
        <v>5</v>
      </c>
      <c r="BH562" t="s">
        <v>2987</v>
      </c>
      <c r="BI562" t="s">
        <v>1100</v>
      </c>
      <c r="BJ562" t="s">
        <v>5</v>
      </c>
      <c r="BK562" t="s">
        <v>1100</v>
      </c>
      <c r="BL562">
        <v>0</v>
      </c>
      <c r="BM562">
        <v>0</v>
      </c>
      <c r="BN562" t="s">
        <v>5</v>
      </c>
      <c r="BO562" t="s">
        <v>1100</v>
      </c>
      <c r="BP562" t="s">
        <v>1100</v>
      </c>
      <c r="BQ562" t="s">
        <v>1100</v>
      </c>
      <c r="BR562" t="s">
        <v>1100</v>
      </c>
      <c r="BS562" t="s">
        <v>5</v>
      </c>
      <c r="BT562" t="s">
        <v>1100</v>
      </c>
      <c r="BU562" t="s">
        <v>1100</v>
      </c>
      <c r="BV562" t="s">
        <v>1100</v>
      </c>
      <c r="BW562" t="s">
        <v>1100</v>
      </c>
      <c r="BX562" t="s">
        <v>6</v>
      </c>
      <c r="BY562" t="s">
        <v>2988</v>
      </c>
      <c r="BZ562"/>
      <c r="CA562"/>
      <c r="CB562" t="s">
        <v>5</v>
      </c>
      <c r="CC562">
        <v>7172.0078674500064</v>
      </c>
      <c r="CD562">
        <v>2058203.1284867891</v>
      </c>
      <c r="CE562" s="313" t="s">
        <v>11891</v>
      </c>
    </row>
    <row r="563" spans="1:83" ht="15" x14ac:dyDescent="0.25">
      <c r="A563" t="s">
        <v>3318</v>
      </c>
      <c r="B563" t="s">
        <v>3319</v>
      </c>
      <c r="C563" t="s">
        <v>3019</v>
      </c>
      <c r="D563">
        <v>7</v>
      </c>
      <c r="E563" t="s">
        <v>2979</v>
      </c>
      <c r="F563" t="s">
        <v>3010</v>
      </c>
      <c r="G563" t="s">
        <v>3247</v>
      </c>
      <c r="H563" t="s">
        <v>3248</v>
      </c>
      <c r="I563" t="s">
        <v>3320</v>
      </c>
      <c r="J563" t="s">
        <v>3321</v>
      </c>
      <c r="K563" t="s">
        <v>3015</v>
      </c>
      <c r="L563">
        <v>0.48191657662391663</v>
      </c>
      <c r="M563" t="s">
        <v>6</v>
      </c>
      <c r="N563" t="s">
        <v>5</v>
      </c>
      <c r="O563" t="s">
        <v>5</v>
      </c>
      <c r="P563" t="s">
        <v>5</v>
      </c>
      <c r="Q563" t="s">
        <v>5</v>
      </c>
      <c r="R563" t="s">
        <v>3322</v>
      </c>
      <c r="S563" t="s">
        <v>3322</v>
      </c>
      <c r="T563" t="s">
        <v>5</v>
      </c>
      <c r="U563" t="s">
        <v>50</v>
      </c>
      <c r="V563">
        <v>50000</v>
      </c>
      <c r="W563">
        <v>50000</v>
      </c>
      <c r="X563" t="s">
        <v>5</v>
      </c>
      <c r="Y563" t="s">
        <v>1100</v>
      </c>
      <c r="Z563">
        <v>0</v>
      </c>
      <c r="AA563">
        <v>8.6863040924072266E-2</v>
      </c>
      <c r="AB563">
        <v>4.3531600385904312E-3</v>
      </c>
      <c r="AC563">
        <v>0</v>
      </c>
      <c r="AD563">
        <v>11</v>
      </c>
      <c r="AE563">
        <v>1</v>
      </c>
      <c r="AF563">
        <v>5</v>
      </c>
      <c r="AG563">
        <v>7</v>
      </c>
      <c r="AH563">
        <v>15</v>
      </c>
      <c r="AI563">
        <v>15</v>
      </c>
      <c r="AJ563">
        <v>0</v>
      </c>
      <c r="AK563">
        <v>0</v>
      </c>
      <c r="AL563">
        <v>0</v>
      </c>
      <c r="AM563">
        <v>0</v>
      </c>
      <c r="AN563">
        <v>0.45483499765396118</v>
      </c>
      <c r="AO563">
        <v>0</v>
      </c>
      <c r="AP563">
        <v>0</v>
      </c>
      <c r="AQ563">
        <v>0</v>
      </c>
      <c r="AR563">
        <v>0</v>
      </c>
      <c r="AS563">
        <v>0</v>
      </c>
      <c r="AT563">
        <v>0</v>
      </c>
      <c r="AU563">
        <v>0</v>
      </c>
      <c r="AV563">
        <v>0</v>
      </c>
      <c r="AW563">
        <v>0</v>
      </c>
      <c r="AX563">
        <v>0</v>
      </c>
      <c r="AY563">
        <v>0</v>
      </c>
      <c r="AZ563">
        <v>0</v>
      </c>
      <c r="BA563">
        <v>0</v>
      </c>
      <c r="BB563">
        <v>0</v>
      </c>
      <c r="BC563">
        <v>0</v>
      </c>
      <c r="BD563">
        <v>0</v>
      </c>
      <c r="BE563">
        <v>0</v>
      </c>
      <c r="BF563" t="s">
        <v>1100</v>
      </c>
      <c r="BG563" t="s">
        <v>5</v>
      </c>
      <c r="BH563" t="s">
        <v>2987</v>
      </c>
      <c r="BI563" t="s">
        <v>1100</v>
      </c>
      <c r="BJ563" t="s">
        <v>5</v>
      </c>
      <c r="BK563" t="s">
        <v>1100</v>
      </c>
      <c r="BL563">
        <v>0</v>
      </c>
      <c r="BM563">
        <v>0</v>
      </c>
      <c r="BN563" t="s">
        <v>5</v>
      </c>
      <c r="BO563" t="s">
        <v>1100</v>
      </c>
      <c r="BP563" t="s">
        <v>1100</v>
      </c>
      <c r="BQ563" t="s">
        <v>1100</v>
      </c>
      <c r="BR563" t="s">
        <v>1100</v>
      </c>
      <c r="BS563" t="s">
        <v>5</v>
      </c>
      <c r="BT563" t="s">
        <v>1100</v>
      </c>
      <c r="BU563" t="s">
        <v>1100</v>
      </c>
      <c r="BV563" t="s">
        <v>1100</v>
      </c>
      <c r="BW563" t="s">
        <v>1100</v>
      </c>
      <c r="BX563" t="s">
        <v>6</v>
      </c>
      <c r="BY563" t="s">
        <v>2988</v>
      </c>
      <c r="BZ563"/>
      <c r="CA563"/>
      <c r="CB563" t="s">
        <v>5</v>
      </c>
      <c r="CC563">
        <v>4509.1731277869876</v>
      </c>
      <c r="CD563">
        <v>1248163.238562423</v>
      </c>
      <c r="CE563" s="313" t="s">
        <v>11891</v>
      </c>
    </row>
    <row r="564" spans="1:83" ht="15" x14ac:dyDescent="0.25">
      <c r="A564" t="s">
        <v>3323</v>
      </c>
      <c r="B564" t="s">
        <v>3324</v>
      </c>
      <c r="C564" t="s">
        <v>3019</v>
      </c>
      <c r="D564">
        <v>7</v>
      </c>
      <c r="E564" t="s">
        <v>2979</v>
      </c>
      <c r="F564" t="s">
        <v>3205</v>
      </c>
      <c r="G564" t="s">
        <v>3206</v>
      </c>
      <c r="H564" t="s">
        <v>3325</v>
      </c>
      <c r="I564" t="s">
        <v>3326</v>
      </c>
      <c r="J564" t="s">
        <v>3327</v>
      </c>
      <c r="K564" t="s">
        <v>3015</v>
      </c>
      <c r="L564">
        <v>0.42773419618606567</v>
      </c>
      <c r="M564" t="s">
        <v>6</v>
      </c>
      <c r="N564" t="s">
        <v>5</v>
      </c>
      <c r="O564" t="s">
        <v>5</v>
      </c>
      <c r="P564" t="s">
        <v>6</v>
      </c>
      <c r="Q564" t="s">
        <v>5</v>
      </c>
      <c r="R564" t="s">
        <v>3328</v>
      </c>
      <c r="S564" t="s">
        <v>3328</v>
      </c>
      <c r="T564" t="s">
        <v>5</v>
      </c>
      <c r="U564" t="s">
        <v>50</v>
      </c>
      <c r="V564">
        <v>50000</v>
      </c>
      <c r="W564">
        <v>50000</v>
      </c>
      <c r="X564" t="s">
        <v>5</v>
      </c>
      <c r="Y564" t="s">
        <v>1100</v>
      </c>
      <c r="Z564">
        <v>0</v>
      </c>
      <c r="AA564">
        <v>4.6440000005532063E-5</v>
      </c>
      <c r="AB564">
        <v>5.1490109413862228E-2</v>
      </c>
      <c r="AC564">
        <v>0</v>
      </c>
      <c r="AD564">
        <v>0</v>
      </c>
      <c r="AE564">
        <v>10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t="s">
        <v>1100</v>
      </c>
      <c r="BG564" t="s">
        <v>5</v>
      </c>
      <c r="BH564" t="s">
        <v>2987</v>
      </c>
      <c r="BI564" t="s">
        <v>1100</v>
      </c>
      <c r="BJ564" t="s">
        <v>5</v>
      </c>
      <c r="BK564" t="s">
        <v>1100</v>
      </c>
      <c r="BL564">
        <v>0</v>
      </c>
      <c r="BM564">
        <v>0</v>
      </c>
      <c r="BN564" t="s">
        <v>5</v>
      </c>
      <c r="BO564" t="s">
        <v>1100</v>
      </c>
      <c r="BP564" t="s">
        <v>1100</v>
      </c>
      <c r="BQ564" t="s">
        <v>1100</v>
      </c>
      <c r="BR564" t="s">
        <v>1100</v>
      </c>
      <c r="BS564" t="s">
        <v>5</v>
      </c>
      <c r="BT564" t="s">
        <v>1100</v>
      </c>
      <c r="BU564" t="s">
        <v>1100</v>
      </c>
      <c r="BV564" t="s">
        <v>1100</v>
      </c>
      <c r="BW564" t="s">
        <v>1100</v>
      </c>
      <c r="BX564" t="s">
        <v>6</v>
      </c>
      <c r="BY564" t="s">
        <v>2988</v>
      </c>
      <c r="BZ564"/>
      <c r="CA564"/>
      <c r="CB564" t="s">
        <v>5</v>
      </c>
      <c r="CC564">
        <v>6532.2147019114373</v>
      </c>
      <c r="CD564">
        <v>1107830.94441993</v>
      </c>
      <c r="CE564" s="313" t="s">
        <v>11891</v>
      </c>
    </row>
    <row r="565" spans="1:83" ht="15" x14ac:dyDescent="0.25">
      <c r="A565" t="s">
        <v>3329</v>
      </c>
      <c r="B565" t="s">
        <v>3330</v>
      </c>
      <c r="C565" t="s">
        <v>3019</v>
      </c>
      <c r="D565">
        <v>7</v>
      </c>
      <c r="E565" t="s">
        <v>2979</v>
      </c>
      <c r="F565" t="s">
        <v>3331</v>
      </c>
      <c r="G565" t="s">
        <v>3285</v>
      </c>
      <c r="H565" t="s">
        <v>3286</v>
      </c>
      <c r="I565" t="s">
        <v>3332</v>
      </c>
      <c r="J565" t="s">
        <v>3333</v>
      </c>
      <c r="K565" t="s">
        <v>3015</v>
      </c>
      <c r="L565">
        <v>0.42304447293281561</v>
      </c>
      <c r="M565" t="s">
        <v>6</v>
      </c>
      <c r="N565" t="s">
        <v>5</v>
      </c>
      <c r="O565" t="s">
        <v>5</v>
      </c>
      <c r="P565" t="s">
        <v>5</v>
      </c>
      <c r="Q565" t="s">
        <v>5</v>
      </c>
      <c r="R565" t="s">
        <v>3334</v>
      </c>
      <c r="S565" t="s">
        <v>3334</v>
      </c>
      <c r="T565" t="s">
        <v>5</v>
      </c>
      <c r="U565" t="s">
        <v>50</v>
      </c>
      <c r="V565">
        <v>50000</v>
      </c>
      <c r="W565">
        <v>50000</v>
      </c>
      <c r="X565" t="s">
        <v>5</v>
      </c>
      <c r="Y565" t="s">
        <v>1100</v>
      </c>
      <c r="Z565">
        <v>0</v>
      </c>
      <c r="AA565">
        <v>5.6822840124368668E-2</v>
      </c>
      <c r="AB565">
        <v>9.9905002862215042E-3</v>
      </c>
      <c r="AC565">
        <v>0</v>
      </c>
      <c r="AD565">
        <v>18</v>
      </c>
      <c r="AE565">
        <v>1</v>
      </c>
      <c r="AF565">
        <v>11</v>
      </c>
      <c r="AG565">
        <v>16</v>
      </c>
      <c r="AH565">
        <v>11</v>
      </c>
      <c r="AI565">
        <v>16</v>
      </c>
      <c r="AJ565">
        <v>0</v>
      </c>
      <c r="AK565">
        <v>0</v>
      </c>
      <c r="AL565">
        <v>1</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0</v>
      </c>
      <c r="BF565" t="s">
        <v>1100</v>
      </c>
      <c r="BG565" t="s">
        <v>5</v>
      </c>
      <c r="BH565" t="s">
        <v>2987</v>
      </c>
      <c r="BI565" t="s">
        <v>1100</v>
      </c>
      <c r="BJ565" t="s">
        <v>5</v>
      </c>
      <c r="BK565" t="s">
        <v>1100</v>
      </c>
      <c r="BL565">
        <v>0</v>
      </c>
      <c r="BM565">
        <v>0</v>
      </c>
      <c r="BN565" t="s">
        <v>5</v>
      </c>
      <c r="BO565" t="s">
        <v>1100</v>
      </c>
      <c r="BP565" t="s">
        <v>1100</v>
      </c>
      <c r="BQ565" t="s">
        <v>1100</v>
      </c>
      <c r="BR565" t="s">
        <v>1100</v>
      </c>
      <c r="BS565" t="s">
        <v>5</v>
      </c>
      <c r="BT565" t="s">
        <v>1100</v>
      </c>
      <c r="BU565" t="s">
        <v>1100</v>
      </c>
      <c r="BV565" t="s">
        <v>1100</v>
      </c>
      <c r="BW565" t="s">
        <v>1100</v>
      </c>
      <c r="BX565" t="s">
        <v>6</v>
      </c>
      <c r="BY565" t="s">
        <v>2988</v>
      </c>
      <c r="BZ565"/>
      <c r="CA565"/>
      <c r="CB565" t="s">
        <v>5</v>
      </c>
      <c r="CC565">
        <v>6648.0496872179892</v>
      </c>
      <c r="CD565">
        <v>1095684.5419481271</v>
      </c>
      <c r="CE565" s="313" t="s">
        <v>11891</v>
      </c>
    </row>
    <row r="566" spans="1:83" ht="15" x14ac:dyDescent="0.25">
      <c r="A566" t="s">
        <v>3335</v>
      </c>
      <c r="B566" t="s">
        <v>3336</v>
      </c>
      <c r="C566" t="s">
        <v>3019</v>
      </c>
      <c r="D566">
        <v>7</v>
      </c>
      <c r="E566" t="s">
        <v>2979</v>
      </c>
      <c r="F566" t="s">
        <v>581</v>
      </c>
      <c r="G566" t="s">
        <v>3169</v>
      </c>
      <c r="H566" t="s">
        <v>3337</v>
      </c>
      <c r="I566" t="s">
        <v>3338</v>
      </c>
      <c r="J566" t="s">
        <v>3339</v>
      </c>
      <c r="K566" t="s">
        <v>3015</v>
      </c>
      <c r="L566">
        <v>0.36167225241661072</v>
      </c>
      <c r="M566" t="s">
        <v>5</v>
      </c>
      <c r="N566" t="s">
        <v>5</v>
      </c>
      <c r="O566" t="s">
        <v>5</v>
      </c>
      <c r="P566" t="s">
        <v>6</v>
      </c>
      <c r="Q566" t="s">
        <v>5</v>
      </c>
      <c r="R566" t="s">
        <v>3340</v>
      </c>
      <c r="S566" t="s">
        <v>3340</v>
      </c>
      <c r="T566" t="s">
        <v>5</v>
      </c>
      <c r="U566" t="s">
        <v>50</v>
      </c>
      <c r="V566">
        <v>50000</v>
      </c>
      <c r="W566">
        <v>50000</v>
      </c>
      <c r="X566" t="s">
        <v>5</v>
      </c>
      <c r="Y566" t="s">
        <v>1100</v>
      </c>
      <c r="Z566">
        <v>0</v>
      </c>
      <c r="AA566">
        <v>1.7560949549078941E-2</v>
      </c>
      <c r="AB566">
        <v>2.0553529262542721E-2</v>
      </c>
      <c r="AC566">
        <v>0</v>
      </c>
      <c r="AD566">
        <v>12</v>
      </c>
      <c r="AE566">
        <v>22</v>
      </c>
      <c r="AF566">
        <v>9</v>
      </c>
      <c r="AG566">
        <v>13</v>
      </c>
      <c r="AH566">
        <v>13</v>
      </c>
      <c r="AI566">
        <v>13</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t="s">
        <v>1100</v>
      </c>
      <c r="BG566" t="s">
        <v>5</v>
      </c>
      <c r="BH566" t="s">
        <v>2987</v>
      </c>
      <c r="BI566" t="s">
        <v>1100</v>
      </c>
      <c r="BJ566" t="s">
        <v>5</v>
      </c>
      <c r="BK566" t="s">
        <v>1100</v>
      </c>
      <c r="BL566">
        <v>0</v>
      </c>
      <c r="BM566">
        <v>0</v>
      </c>
      <c r="BN566" t="s">
        <v>5</v>
      </c>
      <c r="BO566" t="s">
        <v>1100</v>
      </c>
      <c r="BP566" t="s">
        <v>1100</v>
      </c>
      <c r="BQ566" t="s">
        <v>1100</v>
      </c>
      <c r="BR566" t="s">
        <v>1100</v>
      </c>
      <c r="BS566" t="s">
        <v>5</v>
      </c>
      <c r="BT566" t="s">
        <v>1100</v>
      </c>
      <c r="BU566" t="s">
        <v>1100</v>
      </c>
      <c r="BV566" t="s">
        <v>1100</v>
      </c>
      <c r="BW566" t="s">
        <v>1100</v>
      </c>
      <c r="BX566" t="s">
        <v>6</v>
      </c>
      <c r="BY566" t="s">
        <v>2988</v>
      </c>
      <c r="BZ566"/>
      <c r="CA566"/>
      <c r="CB566" t="s">
        <v>5</v>
      </c>
      <c r="CC566">
        <v>5849.9123590192812</v>
      </c>
      <c r="CD566">
        <v>936730.56672664767</v>
      </c>
      <c r="CE566" s="313" t="s">
        <v>11891</v>
      </c>
    </row>
    <row r="567" spans="1:83" ht="15" x14ac:dyDescent="0.25">
      <c r="A567" t="s">
        <v>3353</v>
      </c>
      <c r="B567" t="s">
        <v>3354</v>
      </c>
      <c r="C567" t="s">
        <v>3355</v>
      </c>
      <c r="D567">
        <v>7</v>
      </c>
      <c r="E567" t="s">
        <v>2979</v>
      </c>
      <c r="F567" t="s">
        <v>2999</v>
      </c>
      <c r="G567" t="s">
        <v>3113</v>
      </c>
      <c r="H567" t="s">
        <v>3114</v>
      </c>
      <c r="I567" t="s">
        <v>3115</v>
      </c>
      <c r="J567" t="s">
        <v>3116</v>
      </c>
      <c r="K567" t="s">
        <v>3356</v>
      </c>
      <c r="L567">
        <v>0.1194501966238022</v>
      </c>
      <c r="M567" t="s">
        <v>6</v>
      </c>
      <c r="N567" t="s">
        <v>5</v>
      </c>
      <c r="O567" t="s">
        <v>5</v>
      </c>
      <c r="P567" t="s">
        <v>5</v>
      </c>
      <c r="Q567" t="s">
        <v>5</v>
      </c>
      <c r="R567" t="s">
        <v>3005</v>
      </c>
      <c r="S567" t="s">
        <v>3005</v>
      </c>
      <c r="T567" t="s">
        <v>5</v>
      </c>
      <c r="U567" t="s">
        <v>85</v>
      </c>
      <c r="V567">
        <v>50000</v>
      </c>
      <c r="W567">
        <v>50000</v>
      </c>
      <c r="X567" t="s">
        <v>5</v>
      </c>
      <c r="Y567" t="s">
        <v>1100</v>
      </c>
      <c r="Z567">
        <v>0</v>
      </c>
      <c r="AA567">
        <v>0.11678802222013469</v>
      </c>
      <c r="AB567">
        <v>2.6626600883901119E-3</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t="s">
        <v>1100</v>
      </c>
      <c r="BG567" t="s">
        <v>5</v>
      </c>
      <c r="BH567" t="s">
        <v>2987</v>
      </c>
      <c r="BI567" t="s">
        <v>1100</v>
      </c>
      <c r="BJ567" t="s">
        <v>5</v>
      </c>
      <c r="BK567" t="s">
        <v>1100</v>
      </c>
      <c r="BL567">
        <v>0</v>
      </c>
      <c r="BM567">
        <v>0</v>
      </c>
      <c r="BN567" t="s">
        <v>5</v>
      </c>
      <c r="BO567" t="s">
        <v>1100</v>
      </c>
      <c r="BP567" t="s">
        <v>1100</v>
      </c>
      <c r="BQ567" t="s">
        <v>1100</v>
      </c>
      <c r="BR567" t="s">
        <v>1100</v>
      </c>
      <c r="BS567" t="s">
        <v>5</v>
      </c>
      <c r="BT567" t="s">
        <v>1100</v>
      </c>
      <c r="BU567" t="s">
        <v>1100</v>
      </c>
      <c r="BV567" t="s">
        <v>1100</v>
      </c>
      <c r="BW567" t="s">
        <v>1100</v>
      </c>
      <c r="BX567" t="s">
        <v>6</v>
      </c>
      <c r="BY567" t="s">
        <v>2988</v>
      </c>
      <c r="BZ567"/>
      <c r="CA567"/>
      <c r="CB567" t="s">
        <v>5</v>
      </c>
      <c r="CC567">
        <v>2234.3505151589861</v>
      </c>
      <c r="CD567">
        <v>309375.84234960139</v>
      </c>
      <c r="CE567" s="313" t="s">
        <v>11891</v>
      </c>
    </row>
    <row r="568" spans="1:83" ht="15" x14ac:dyDescent="0.25">
      <c r="A568" t="s">
        <v>3372</v>
      </c>
      <c r="B568" t="s">
        <v>3373</v>
      </c>
      <c r="C568" t="s">
        <v>3374</v>
      </c>
      <c r="D568">
        <v>7</v>
      </c>
      <c r="E568" t="s">
        <v>2979</v>
      </c>
      <c r="F568" t="s">
        <v>3043</v>
      </c>
      <c r="G568" t="s">
        <v>3313</v>
      </c>
      <c r="H568" t="s">
        <v>3314</v>
      </c>
      <c r="I568" t="s">
        <v>3369</v>
      </c>
      <c r="J568" t="s">
        <v>3370</v>
      </c>
      <c r="K568" t="s">
        <v>3109</v>
      </c>
      <c r="L568">
        <v>8.6338100954890251E-3</v>
      </c>
      <c r="M568" t="s">
        <v>6</v>
      </c>
      <c r="N568" t="s">
        <v>5</v>
      </c>
      <c r="O568" t="s">
        <v>5</v>
      </c>
      <c r="P568" t="s">
        <v>5</v>
      </c>
      <c r="Q568" t="s">
        <v>5</v>
      </c>
      <c r="R568" t="s">
        <v>3375</v>
      </c>
      <c r="S568" t="s">
        <v>3375</v>
      </c>
      <c r="T568" t="s">
        <v>5</v>
      </c>
      <c r="U568" t="s">
        <v>28</v>
      </c>
      <c r="V568">
        <v>50000</v>
      </c>
      <c r="W568">
        <v>50000</v>
      </c>
      <c r="X568" t="s">
        <v>5</v>
      </c>
      <c r="Y568" t="s">
        <v>1100</v>
      </c>
      <c r="Z568">
        <v>0</v>
      </c>
      <c r="AA568">
        <v>6.5091801807284364E-3</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t="s">
        <v>1100</v>
      </c>
      <c r="BG568" t="s">
        <v>5</v>
      </c>
      <c r="BH568" t="s">
        <v>2987</v>
      </c>
      <c r="BI568" t="s">
        <v>1100</v>
      </c>
      <c r="BJ568" t="s">
        <v>5</v>
      </c>
      <c r="BK568" t="s">
        <v>1100</v>
      </c>
      <c r="BL568">
        <v>0</v>
      </c>
      <c r="BM568">
        <v>0</v>
      </c>
      <c r="BN568" t="s">
        <v>5</v>
      </c>
      <c r="BO568" t="s">
        <v>1100</v>
      </c>
      <c r="BP568" t="s">
        <v>1100</v>
      </c>
      <c r="BQ568" t="s">
        <v>1100</v>
      </c>
      <c r="BR568" t="s">
        <v>1100</v>
      </c>
      <c r="BS568" t="s">
        <v>5</v>
      </c>
      <c r="BT568" t="s">
        <v>1100</v>
      </c>
      <c r="BU568" t="s">
        <v>1100</v>
      </c>
      <c r="BV568" t="s">
        <v>1100</v>
      </c>
      <c r="BW568" t="s">
        <v>1100</v>
      </c>
      <c r="BX568" t="s">
        <v>6</v>
      </c>
      <c r="BY568" t="s">
        <v>2988</v>
      </c>
      <c r="BZ568"/>
      <c r="CA568"/>
      <c r="CB568" t="s">
        <v>5</v>
      </c>
      <c r="CC568">
        <v>615.06002431310037</v>
      </c>
      <c r="CD568">
        <v>22361.5484820251</v>
      </c>
      <c r="CE568" s="313" t="s">
        <v>11891</v>
      </c>
    </row>
    <row r="569" spans="1:83" ht="15" x14ac:dyDescent="0.25">
      <c r="A569" t="s">
        <v>3387</v>
      </c>
      <c r="B569" t="s">
        <v>3388</v>
      </c>
      <c r="C569" t="s">
        <v>3389</v>
      </c>
      <c r="D569">
        <v>7</v>
      </c>
      <c r="E569" t="s">
        <v>2979</v>
      </c>
      <c r="F569" t="s">
        <v>3043</v>
      </c>
      <c r="G569" t="s">
        <v>3313</v>
      </c>
      <c r="H569" t="s">
        <v>3314</v>
      </c>
      <c r="I569" t="s">
        <v>3369</v>
      </c>
      <c r="J569" t="s">
        <v>3370</v>
      </c>
      <c r="K569" t="s">
        <v>3390</v>
      </c>
      <c r="L569">
        <v>47.518177032470703</v>
      </c>
      <c r="M569" t="s">
        <v>6</v>
      </c>
      <c r="N569" t="s">
        <v>5</v>
      </c>
      <c r="O569" t="s">
        <v>5</v>
      </c>
      <c r="P569" t="s">
        <v>6</v>
      </c>
      <c r="Q569" t="s">
        <v>5</v>
      </c>
      <c r="R569" t="s">
        <v>3391</v>
      </c>
      <c r="S569" t="s">
        <v>3391</v>
      </c>
      <c r="T569" t="s">
        <v>5</v>
      </c>
      <c r="U569" t="s">
        <v>28</v>
      </c>
      <c r="V569">
        <v>50000</v>
      </c>
      <c r="W569">
        <v>50000</v>
      </c>
      <c r="X569" t="s">
        <v>5</v>
      </c>
      <c r="Y569" t="s">
        <v>1100</v>
      </c>
      <c r="Z569">
        <v>0</v>
      </c>
      <c r="AA569">
        <v>4.6522278785705566</v>
      </c>
      <c r="AB569">
        <v>6.7757930755615234</v>
      </c>
      <c r="AC569">
        <v>0</v>
      </c>
      <c r="AD569">
        <v>228</v>
      </c>
      <c r="AE569">
        <v>421</v>
      </c>
      <c r="AF569">
        <v>191</v>
      </c>
      <c r="AG569">
        <v>79</v>
      </c>
      <c r="AH569">
        <v>285</v>
      </c>
      <c r="AI569">
        <v>285</v>
      </c>
      <c r="AJ569">
        <v>0</v>
      </c>
      <c r="AK569">
        <v>1</v>
      </c>
      <c r="AL569">
        <v>8</v>
      </c>
      <c r="AM569">
        <v>0</v>
      </c>
      <c r="AN569">
        <v>1195.469116210938</v>
      </c>
      <c r="AO569">
        <v>0</v>
      </c>
      <c r="AP569">
        <v>0</v>
      </c>
      <c r="AQ569">
        <v>0</v>
      </c>
      <c r="AR569">
        <v>0</v>
      </c>
      <c r="AS569">
        <v>0</v>
      </c>
      <c r="AT569">
        <v>0</v>
      </c>
      <c r="AU569">
        <v>0</v>
      </c>
      <c r="AV569">
        <v>0</v>
      </c>
      <c r="AW569">
        <v>0</v>
      </c>
      <c r="AX569">
        <v>0</v>
      </c>
      <c r="AY569">
        <v>0</v>
      </c>
      <c r="AZ569">
        <v>0</v>
      </c>
      <c r="BA569">
        <v>0</v>
      </c>
      <c r="BB569">
        <v>0</v>
      </c>
      <c r="BC569">
        <v>0</v>
      </c>
      <c r="BD569">
        <v>0</v>
      </c>
      <c r="BE569">
        <v>0</v>
      </c>
      <c r="BF569" t="s">
        <v>1100</v>
      </c>
      <c r="BG569" t="s">
        <v>5</v>
      </c>
      <c r="BH569" t="s">
        <v>2987</v>
      </c>
      <c r="BI569" t="s">
        <v>1100</v>
      </c>
      <c r="BJ569" t="s">
        <v>5</v>
      </c>
      <c r="BK569" t="s">
        <v>1100</v>
      </c>
      <c r="BL569">
        <v>0</v>
      </c>
      <c r="BM569">
        <v>0</v>
      </c>
      <c r="BN569" t="s">
        <v>5</v>
      </c>
      <c r="BO569" t="s">
        <v>1100</v>
      </c>
      <c r="BP569" t="s">
        <v>1100</v>
      </c>
      <c r="BQ569" t="s">
        <v>1100</v>
      </c>
      <c r="BR569" t="s">
        <v>1100</v>
      </c>
      <c r="BS569" t="s">
        <v>5</v>
      </c>
      <c r="BT569" t="s">
        <v>1100</v>
      </c>
      <c r="BU569" t="s">
        <v>1100</v>
      </c>
      <c r="BV569" t="s">
        <v>1100</v>
      </c>
      <c r="BW569" t="s">
        <v>1100</v>
      </c>
      <c r="BX569" t="s">
        <v>6</v>
      </c>
      <c r="BY569" t="s">
        <v>2988</v>
      </c>
      <c r="BZ569"/>
      <c r="CA569"/>
      <c r="CB569" t="s">
        <v>5</v>
      </c>
      <c r="CC569">
        <v>65253.124345218763</v>
      </c>
      <c r="CD569">
        <v>123072004.63644131</v>
      </c>
      <c r="CE569" s="313" t="s">
        <v>11891</v>
      </c>
    </row>
    <row r="570" spans="1:83" ht="15" x14ac:dyDescent="0.25">
      <c r="A570" t="s">
        <v>4620</v>
      </c>
      <c r="B570" t="s">
        <v>4621</v>
      </c>
      <c r="C570" t="s">
        <v>4622</v>
      </c>
      <c r="D570">
        <v>7</v>
      </c>
      <c r="E570" t="s">
        <v>2979</v>
      </c>
      <c r="F570" t="s">
        <v>3043</v>
      </c>
      <c r="G570" t="s">
        <v>3313</v>
      </c>
      <c r="H570" t="s">
        <v>4623</v>
      </c>
      <c r="I570" t="s">
        <v>4624</v>
      </c>
      <c r="J570"/>
      <c r="K570" t="s">
        <v>4625</v>
      </c>
      <c r="L570">
        <v>0.98021876811981201</v>
      </c>
      <c r="M570" t="s">
        <v>5</v>
      </c>
      <c r="N570" t="s">
        <v>5</v>
      </c>
      <c r="O570" t="s">
        <v>5</v>
      </c>
      <c r="P570" t="s">
        <v>6</v>
      </c>
      <c r="Q570" t="s">
        <v>5</v>
      </c>
      <c r="R570" t="s">
        <v>4626</v>
      </c>
      <c r="S570" t="s">
        <v>4626</v>
      </c>
      <c r="T570" t="s">
        <v>5</v>
      </c>
      <c r="U570" t="s">
        <v>50</v>
      </c>
      <c r="V570">
        <v>50000</v>
      </c>
      <c r="W570">
        <v>50000</v>
      </c>
      <c r="X570" t="s">
        <v>5</v>
      </c>
      <c r="Y570" t="s">
        <v>1100</v>
      </c>
      <c r="Z570">
        <v>0</v>
      </c>
      <c r="AA570">
        <v>4.554583877325058E-2</v>
      </c>
      <c r="AB570">
        <v>0.24106584489345551</v>
      </c>
      <c r="AC570">
        <v>0</v>
      </c>
      <c r="AD570">
        <v>0</v>
      </c>
      <c r="AE570">
        <v>167</v>
      </c>
      <c r="AF570">
        <v>0</v>
      </c>
      <c r="AG570">
        <v>0</v>
      </c>
      <c r="AH570">
        <v>0</v>
      </c>
      <c r="AI570">
        <v>0</v>
      </c>
      <c r="AJ570">
        <v>0</v>
      </c>
      <c r="AK570">
        <v>0</v>
      </c>
      <c r="AL570">
        <v>0</v>
      </c>
      <c r="AM570">
        <v>0</v>
      </c>
      <c r="AN570">
        <v>2.6059910655021671E-2</v>
      </c>
      <c r="AO570"/>
      <c r="AP570"/>
      <c r="AQ570"/>
      <c r="AR570">
        <v>0</v>
      </c>
      <c r="AS570">
        <v>0</v>
      </c>
      <c r="AT570">
        <v>0</v>
      </c>
      <c r="AU570">
        <v>0</v>
      </c>
      <c r="AV570">
        <v>0</v>
      </c>
      <c r="AW570">
        <v>0</v>
      </c>
      <c r="AX570">
        <v>0</v>
      </c>
      <c r="AY570">
        <v>0</v>
      </c>
      <c r="AZ570">
        <v>0</v>
      </c>
      <c r="BA570">
        <v>0</v>
      </c>
      <c r="BB570">
        <v>0</v>
      </c>
      <c r="BC570">
        <v>0</v>
      </c>
      <c r="BD570">
        <v>0</v>
      </c>
      <c r="BE570">
        <v>0</v>
      </c>
      <c r="BF570" t="s">
        <v>1100</v>
      </c>
      <c r="BG570" t="s">
        <v>5</v>
      </c>
      <c r="BH570" t="s">
        <v>2987</v>
      </c>
      <c r="BI570" t="s">
        <v>5</v>
      </c>
      <c r="BJ570" t="s">
        <v>5</v>
      </c>
      <c r="BK570" t="s">
        <v>1100</v>
      </c>
      <c r="BL570">
        <v>0</v>
      </c>
      <c r="BM570">
        <v>0</v>
      </c>
      <c r="BN570" t="s">
        <v>5</v>
      </c>
      <c r="BO570" t="s">
        <v>1100</v>
      </c>
      <c r="BP570" t="s">
        <v>1100</v>
      </c>
      <c r="BQ570" t="s">
        <v>1100</v>
      </c>
      <c r="BR570" t="s">
        <v>1100</v>
      </c>
      <c r="BS570" t="s">
        <v>5</v>
      </c>
      <c r="BT570" t="s">
        <v>1100</v>
      </c>
      <c r="BU570" t="s">
        <v>1100</v>
      </c>
      <c r="BV570" t="s">
        <v>1100</v>
      </c>
      <c r="BW570" t="s">
        <v>1100</v>
      </c>
      <c r="BX570" t="s">
        <v>6</v>
      </c>
      <c r="BY570" t="s">
        <v>4627</v>
      </c>
      <c r="BZ570"/>
      <c r="CA570"/>
      <c r="CB570" t="s">
        <v>5</v>
      </c>
      <c r="CC570">
        <v>8124.5192304050861</v>
      </c>
      <c r="CD570">
        <v>2538765.142106385</v>
      </c>
      <c r="CE570" s="313" t="s">
        <v>11891</v>
      </c>
    </row>
    <row r="571" spans="1:83" ht="15" x14ac:dyDescent="0.25">
      <c r="A571" t="s">
        <v>3554</v>
      </c>
      <c r="B571" t="s">
        <v>3555</v>
      </c>
      <c r="C571" t="s">
        <v>3555</v>
      </c>
      <c r="D571">
        <v>12</v>
      </c>
      <c r="E571" t="s">
        <v>3435</v>
      </c>
      <c r="F571" t="s">
        <v>3473</v>
      </c>
      <c r="G571" t="s">
        <v>3538</v>
      </c>
      <c r="H571" t="s">
        <v>3539</v>
      </c>
      <c r="I571" t="s">
        <v>3540</v>
      </c>
      <c r="J571" t="s">
        <v>3541</v>
      </c>
      <c r="K571" t="s">
        <v>3556</v>
      </c>
      <c r="L571">
        <v>1.716709971427917</v>
      </c>
      <c r="M571" t="s">
        <v>6</v>
      </c>
      <c r="N571" t="s">
        <v>5</v>
      </c>
      <c r="O571" t="s">
        <v>6</v>
      </c>
      <c r="P571" t="s">
        <v>5</v>
      </c>
      <c r="Q571" t="s">
        <v>5</v>
      </c>
      <c r="R571" t="s">
        <v>3542</v>
      </c>
      <c r="S571" t="s">
        <v>3543</v>
      </c>
      <c r="T571" t="s">
        <v>5</v>
      </c>
      <c r="U571" t="s">
        <v>50</v>
      </c>
      <c r="V571">
        <v>50000</v>
      </c>
      <c r="W571">
        <v>50000</v>
      </c>
      <c r="X571" t="s">
        <v>5</v>
      </c>
      <c r="Y571"/>
      <c r="Z571">
        <v>0</v>
      </c>
      <c r="AA571">
        <v>0.70257997512817383</v>
      </c>
      <c r="AB571">
        <v>9.8123997449874878E-2</v>
      </c>
      <c r="AC571">
        <v>0</v>
      </c>
      <c r="AD571">
        <v>153</v>
      </c>
      <c r="AE571">
        <v>36</v>
      </c>
      <c r="AF571">
        <v>101</v>
      </c>
      <c r="AG571">
        <v>568</v>
      </c>
      <c r="AH571">
        <v>199</v>
      </c>
      <c r="AI571">
        <v>568</v>
      </c>
      <c r="AJ571">
        <v>0</v>
      </c>
      <c r="AK571">
        <v>0</v>
      </c>
      <c r="AL571">
        <v>4</v>
      </c>
      <c r="AM571">
        <v>26</v>
      </c>
      <c r="AN571">
        <v>62.159999847412109</v>
      </c>
      <c r="AO571">
        <v>0</v>
      </c>
      <c r="AP571">
        <v>0</v>
      </c>
      <c r="AQ571">
        <v>0</v>
      </c>
      <c r="AR571">
        <v>0</v>
      </c>
      <c r="AS571">
        <v>0</v>
      </c>
      <c r="AT571">
        <v>0</v>
      </c>
      <c r="AU571">
        <v>0</v>
      </c>
      <c r="AV571">
        <v>0</v>
      </c>
      <c r="AW571">
        <v>0</v>
      </c>
      <c r="AX571">
        <v>0</v>
      </c>
      <c r="AY571">
        <v>0</v>
      </c>
      <c r="AZ571">
        <v>0</v>
      </c>
      <c r="BA571">
        <v>0</v>
      </c>
      <c r="BB571">
        <v>0</v>
      </c>
      <c r="BC571">
        <v>0</v>
      </c>
      <c r="BD571">
        <v>0</v>
      </c>
      <c r="BE571">
        <v>0</v>
      </c>
      <c r="BF571" t="s">
        <v>1100</v>
      </c>
      <c r="BG571" t="s">
        <v>5</v>
      </c>
      <c r="BH571" t="s">
        <v>3522</v>
      </c>
      <c r="BI571"/>
      <c r="BJ571" t="s">
        <v>5</v>
      </c>
      <c r="BK571"/>
      <c r="BL571">
        <v>0</v>
      </c>
      <c r="BM571">
        <v>0</v>
      </c>
      <c r="BN571" t="s">
        <v>6</v>
      </c>
      <c r="BO571"/>
      <c r="BP571" t="s">
        <v>3557</v>
      </c>
      <c r="BQ571"/>
      <c r="BR571"/>
      <c r="BS571" t="s">
        <v>5</v>
      </c>
      <c r="BT571"/>
      <c r="BU571"/>
      <c r="BV571"/>
      <c r="BW571"/>
      <c r="BX571" t="s">
        <v>6</v>
      </c>
      <c r="BY571" t="s">
        <v>3523</v>
      </c>
      <c r="BZ571"/>
      <c r="CA571"/>
      <c r="CB571" t="s">
        <v>5</v>
      </c>
      <c r="CC571">
        <v>12930.19018833369</v>
      </c>
      <c r="CD571">
        <v>4446265.6328889681</v>
      </c>
      <c r="CE571" s="313" t="s">
        <v>11891</v>
      </c>
    </row>
    <row r="572" spans="1:83" ht="15" x14ac:dyDescent="0.25">
      <c r="A572" t="s">
        <v>3558</v>
      </c>
      <c r="B572" t="s">
        <v>3559</v>
      </c>
      <c r="C572" t="s">
        <v>3560</v>
      </c>
      <c r="D572">
        <v>12</v>
      </c>
      <c r="E572" t="s">
        <v>3435</v>
      </c>
      <c r="F572" t="s">
        <v>3561</v>
      </c>
      <c r="G572" t="s">
        <v>3562</v>
      </c>
      <c r="H572" t="s">
        <v>3563</v>
      </c>
      <c r="I572" t="s">
        <v>3564</v>
      </c>
      <c r="J572" t="s">
        <v>3565</v>
      </c>
      <c r="K572" t="s">
        <v>3460</v>
      </c>
      <c r="L572">
        <v>69.342399597167969</v>
      </c>
      <c r="M572" t="s">
        <v>6</v>
      </c>
      <c r="N572" t="s">
        <v>5</v>
      </c>
      <c r="O572" t="s">
        <v>5</v>
      </c>
      <c r="P572" t="s">
        <v>5</v>
      </c>
      <c r="Q572" t="s">
        <v>5</v>
      </c>
      <c r="R572" t="s">
        <v>3566</v>
      </c>
      <c r="S572" t="s">
        <v>3567</v>
      </c>
      <c r="T572" t="s">
        <v>5</v>
      </c>
      <c r="U572" t="s">
        <v>50</v>
      </c>
      <c r="V572">
        <v>50000</v>
      </c>
      <c r="W572">
        <v>50000</v>
      </c>
      <c r="X572" t="s">
        <v>5</v>
      </c>
      <c r="Y572"/>
      <c r="Z572">
        <v>0</v>
      </c>
      <c r="AA572">
        <v>11.10190010070801</v>
      </c>
      <c r="AB572">
        <v>6.2857298851013184</v>
      </c>
      <c r="AC572">
        <v>0</v>
      </c>
      <c r="AD572">
        <v>362</v>
      </c>
      <c r="AE572">
        <v>689</v>
      </c>
      <c r="AF572">
        <v>255</v>
      </c>
      <c r="AG572">
        <v>271</v>
      </c>
      <c r="AH572">
        <v>444</v>
      </c>
      <c r="AI572">
        <v>444</v>
      </c>
      <c r="AJ572">
        <v>1</v>
      </c>
      <c r="AK572">
        <v>25</v>
      </c>
      <c r="AL572">
        <v>15</v>
      </c>
      <c r="AM572">
        <v>292</v>
      </c>
      <c r="AN572">
        <v>2208.25</v>
      </c>
      <c r="AO572">
        <v>0</v>
      </c>
      <c r="AP572">
        <v>0</v>
      </c>
      <c r="AQ572">
        <v>0</v>
      </c>
      <c r="AR572">
        <v>0</v>
      </c>
      <c r="AS572">
        <v>0</v>
      </c>
      <c r="AT572">
        <v>0</v>
      </c>
      <c r="AU572">
        <v>0</v>
      </c>
      <c r="AV572">
        <v>0</v>
      </c>
      <c r="AW572">
        <v>0</v>
      </c>
      <c r="AX572">
        <v>0</v>
      </c>
      <c r="AY572">
        <v>0</v>
      </c>
      <c r="AZ572">
        <v>0</v>
      </c>
      <c r="BA572">
        <v>0</v>
      </c>
      <c r="BB572">
        <v>0</v>
      </c>
      <c r="BC572">
        <v>0</v>
      </c>
      <c r="BD572">
        <v>0</v>
      </c>
      <c r="BE572">
        <v>0</v>
      </c>
      <c r="BF572" t="s">
        <v>1100</v>
      </c>
      <c r="BG572" t="s">
        <v>5</v>
      </c>
      <c r="BH572" t="s">
        <v>3522</v>
      </c>
      <c r="BI572"/>
      <c r="BJ572" t="s">
        <v>5</v>
      </c>
      <c r="BK572"/>
      <c r="BL572">
        <v>0</v>
      </c>
      <c r="BM572">
        <v>0</v>
      </c>
      <c r="BN572" t="s">
        <v>5</v>
      </c>
      <c r="BO572"/>
      <c r="BP572"/>
      <c r="BQ572"/>
      <c r="BR572"/>
      <c r="BS572" t="s">
        <v>5</v>
      </c>
      <c r="BT572"/>
      <c r="BU572"/>
      <c r="BV572"/>
      <c r="BW572"/>
      <c r="BX572" t="s">
        <v>6</v>
      </c>
      <c r="BY572" t="s">
        <v>3523</v>
      </c>
      <c r="BZ572"/>
      <c r="CA572"/>
      <c r="CB572" t="s">
        <v>5</v>
      </c>
      <c r="CC572">
        <v>71227.160339926428</v>
      </c>
      <c r="CD572">
        <v>179596038.85744011</v>
      </c>
      <c r="CE572" s="313" t="s">
        <v>11891</v>
      </c>
    </row>
    <row r="573" spans="1:83" ht="15" x14ac:dyDescent="0.25">
      <c r="A573" t="s">
        <v>1779</v>
      </c>
      <c r="B573" t="s">
        <v>1780</v>
      </c>
      <c r="C573" t="s">
        <v>1781</v>
      </c>
      <c r="D573">
        <v>3</v>
      </c>
      <c r="E573" t="s">
        <v>1771</v>
      </c>
      <c r="F573" t="s">
        <v>1782</v>
      </c>
      <c r="G573" t="s">
        <v>1773</v>
      </c>
      <c r="H573" t="s">
        <v>4367</v>
      </c>
      <c r="I573"/>
      <c r="J573" t="s">
        <v>1774</v>
      </c>
      <c r="K573" t="s">
        <v>1783</v>
      </c>
      <c r="L573">
        <v>1073.391967773438</v>
      </c>
      <c r="M573" t="s">
        <v>6</v>
      </c>
      <c r="N573" t="s">
        <v>5</v>
      </c>
      <c r="O573" t="s">
        <v>5</v>
      </c>
      <c r="P573" t="s">
        <v>5</v>
      </c>
      <c r="Q573" t="s">
        <v>5</v>
      </c>
      <c r="R573" t="s">
        <v>4368</v>
      </c>
      <c r="S573" t="s">
        <v>1776</v>
      </c>
      <c r="T573" t="s">
        <v>5</v>
      </c>
      <c r="U573" t="s">
        <v>13</v>
      </c>
      <c r="V573">
        <v>50000</v>
      </c>
      <c r="W573">
        <v>50000</v>
      </c>
      <c r="X573" t="s">
        <v>5</v>
      </c>
      <c r="Y573"/>
      <c r="Z573"/>
      <c r="AA573">
        <v>184.2019958496094</v>
      </c>
      <c r="AB573">
        <v>11.62555027008057</v>
      </c>
      <c r="AC573">
        <v>2.6756680011749272</v>
      </c>
      <c r="AD573">
        <v>667</v>
      </c>
      <c r="AE573">
        <v>231</v>
      </c>
      <c r="AF573">
        <v>416</v>
      </c>
      <c r="AG573">
        <v>760</v>
      </c>
      <c r="AH573">
        <v>1098</v>
      </c>
      <c r="AI573">
        <v>1098</v>
      </c>
      <c r="AJ573">
        <v>0</v>
      </c>
      <c r="AK573">
        <v>0</v>
      </c>
      <c r="AL573">
        <v>73</v>
      </c>
      <c r="AM573"/>
      <c r="AN573">
        <v>36103.83984375</v>
      </c>
      <c r="AO573"/>
      <c r="AP573"/>
      <c r="AQ573"/>
      <c r="AR573"/>
      <c r="AS573"/>
      <c r="AT573"/>
      <c r="AU573"/>
      <c r="AV573"/>
      <c r="AW573"/>
      <c r="AX573"/>
      <c r="AY573"/>
      <c r="AZ573"/>
      <c r="BA573"/>
      <c r="BB573"/>
      <c r="BC573"/>
      <c r="BD573"/>
      <c r="BE573"/>
      <c r="BF573" t="s">
        <v>5</v>
      </c>
      <c r="BG573" t="s">
        <v>5</v>
      </c>
      <c r="BH573" t="s">
        <v>1777</v>
      </c>
      <c r="BI573"/>
      <c r="BJ573" t="s">
        <v>5</v>
      </c>
      <c r="BK573"/>
      <c r="BL573">
        <v>0</v>
      </c>
      <c r="BM573"/>
      <c r="BN573" t="s">
        <v>5</v>
      </c>
      <c r="BO573"/>
      <c r="BP573"/>
      <c r="BQ573"/>
      <c r="BR573"/>
      <c r="BS573" t="s">
        <v>5</v>
      </c>
      <c r="BT573"/>
      <c r="BU573"/>
      <c r="BV573"/>
      <c r="BW573" t="s">
        <v>1778</v>
      </c>
      <c r="BX573" t="s">
        <v>6</v>
      </c>
      <c r="BY573" t="s">
        <v>1101</v>
      </c>
      <c r="BZ573"/>
      <c r="CA573"/>
      <c r="CB573" t="s">
        <v>5</v>
      </c>
      <c r="CC573">
        <v>372073.10033749457</v>
      </c>
      <c r="CD573">
        <v>2780808119.691051</v>
      </c>
      <c r="CE573" s="313" t="s">
        <v>11891</v>
      </c>
    </row>
    <row r="574" spans="1:83" ht="15" x14ac:dyDescent="0.25">
      <c r="A574" t="s">
        <v>1795</v>
      </c>
      <c r="B574" t="s">
        <v>1796</v>
      </c>
      <c r="C574" t="s">
        <v>1797</v>
      </c>
      <c r="D574">
        <v>3</v>
      </c>
      <c r="E574" t="s">
        <v>1771</v>
      </c>
      <c r="F574" t="s">
        <v>1798</v>
      </c>
      <c r="G574" t="s">
        <v>1799</v>
      </c>
      <c r="H574" t="s">
        <v>4371</v>
      </c>
      <c r="I574"/>
      <c r="J574" t="s">
        <v>12742</v>
      </c>
      <c r="K574" t="s">
        <v>1800</v>
      </c>
      <c r="L574">
        <v>893.1663818359375</v>
      </c>
      <c r="M574" t="s">
        <v>6</v>
      </c>
      <c r="N574" t="s">
        <v>5</v>
      </c>
      <c r="O574" t="s">
        <v>5</v>
      </c>
      <c r="P574" t="s">
        <v>5</v>
      </c>
      <c r="Q574" t="s">
        <v>5</v>
      </c>
      <c r="R574" t="s">
        <v>4372</v>
      </c>
      <c r="S574" t="s">
        <v>1801</v>
      </c>
      <c r="T574" t="s">
        <v>5</v>
      </c>
      <c r="U574" t="s">
        <v>13</v>
      </c>
      <c r="V574">
        <v>50000</v>
      </c>
      <c r="W574">
        <v>50000</v>
      </c>
      <c r="X574" t="s">
        <v>6</v>
      </c>
      <c r="Y574"/>
      <c r="Z574">
        <v>5000</v>
      </c>
      <c r="AA574">
        <v>122.377799987793</v>
      </c>
      <c r="AB574">
        <v>11.44818019866943</v>
      </c>
      <c r="AC574">
        <v>8.9341583251953125</v>
      </c>
      <c r="AD574">
        <v>1328</v>
      </c>
      <c r="AE574">
        <v>590</v>
      </c>
      <c r="AF574">
        <v>964</v>
      </c>
      <c r="AG574">
        <v>998</v>
      </c>
      <c r="AH574">
        <v>1528</v>
      </c>
      <c r="AI574">
        <v>1528</v>
      </c>
      <c r="AJ574">
        <v>7</v>
      </c>
      <c r="AK574">
        <v>17</v>
      </c>
      <c r="AL574">
        <v>81</v>
      </c>
      <c r="AM574"/>
      <c r="AN574">
        <v>40878.87109375</v>
      </c>
      <c r="AO574"/>
      <c r="AP574"/>
      <c r="AQ574"/>
      <c r="AR574"/>
      <c r="AS574"/>
      <c r="AT574"/>
      <c r="AU574"/>
      <c r="AV574"/>
      <c r="AW574"/>
      <c r="AX574"/>
      <c r="AY574"/>
      <c r="AZ574"/>
      <c r="BA574"/>
      <c r="BB574"/>
      <c r="BC574"/>
      <c r="BD574"/>
      <c r="BE574"/>
      <c r="BF574" t="s">
        <v>5</v>
      </c>
      <c r="BG574" t="s">
        <v>5</v>
      </c>
      <c r="BH574" t="s">
        <v>1777</v>
      </c>
      <c r="BI574"/>
      <c r="BJ574" t="s">
        <v>5</v>
      </c>
      <c r="BK574"/>
      <c r="BL574">
        <v>0</v>
      </c>
      <c r="BM574"/>
      <c r="BN574" t="s">
        <v>5</v>
      </c>
      <c r="BO574"/>
      <c r="BP574"/>
      <c r="BQ574"/>
      <c r="BR574"/>
      <c r="BS574" t="s">
        <v>5</v>
      </c>
      <c r="BT574"/>
      <c r="BU574"/>
      <c r="BV574"/>
      <c r="BW574" t="s">
        <v>1778</v>
      </c>
      <c r="BX574" t="s">
        <v>6</v>
      </c>
      <c r="BY574" t="s">
        <v>1101</v>
      </c>
      <c r="BZ574"/>
      <c r="CA574"/>
      <c r="CB574" t="s">
        <v>5</v>
      </c>
      <c r="CC574">
        <v>292728.30262249982</v>
      </c>
      <c r="CD574">
        <v>2313902732.2502079</v>
      </c>
      <c r="CE574" s="313" t="s">
        <v>11891</v>
      </c>
    </row>
    <row r="575" spans="1:83" ht="15" x14ac:dyDescent="0.25">
      <c r="A575" t="s">
        <v>1833</v>
      </c>
      <c r="B575" t="s">
        <v>1834</v>
      </c>
      <c r="C575" t="s">
        <v>1835</v>
      </c>
      <c r="D575">
        <v>3</v>
      </c>
      <c r="E575" t="s">
        <v>1771</v>
      </c>
      <c r="F575" t="s">
        <v>1836</v>
      </c>
      <c r="G575" t="s">
        <v>1837</v>
      </c>
      <c r="H575" t="s">
        <v>4378</v>
      </c>
      <c r="I575" t="s">
        <v>1810</v>
      </c>
      <c r="J575" t="s">
        <v>1838</v>
      </c>
      <c r="K575" t="s">
        <v>1800</v>
      </c>
      <c r="L575">
        <v>917.06378173828125</v>
      </c>
      <c r="M575" t="s">
        <v>6</v>
      </c>
      <c r="N575" t="s">
        <v>5</v>
      </c>
      <c r="O575" t="s">
        <v>5</v>
      </c>
      <c r="P575" t="s">
        <v>5</v>
      </c>
      <c r="Q575" t="s">
        <v>5</v>
      </c>
      <c r="R575" t="s">
        <v>4379</v>
      </c>
      <c r="S575" t="s">
        <v>1839</v>
      </c>
      <c r="T575" t="s">
        <v>5</v>
      </c>
      <c r="U575" t="s">
        <v>13</v>
      </c>
      <c r="V575">
        <v>50000</v>
      </c>
      <c r="W575">
        <v>50000</v>
      </c>
      <c r="X575" t="s">
        <v>6</v>
      </c>
      <c r="Y575"/>
      <c r="Z575">
        <v>5000</v>
      </c>
      <c r="AA575">
        <v>125.28639984130859</v>
      </c>
      <c r="AB575">
        <v>13.883589744567869</v>
      </c>
      <c r="AC575">
        <v>0.49298951029777532</v>
      </c>
      <c r="AD575">
        <v>116</v>
      </c>
      <c r="AE575">
        <v>62</v>
      </c>
      <c r="AF575">
        <v>60</v>
      </c>
      <c r="AG575">
        <v>47</v>
      </c>
      <c r="AH575">
        <v>108</v>
      </c>
      <c r="AI575">
        <v>108</v>
      </c>
      <c r="AJ575">
        <v>13</v>
      </c>
      <c r="AK575">
        <v>16</v>
      </c>
      <c r="AL575">
        <v>55</v>
      </c>
      <c r="AM575"/>
      <c r="AN575">
        <v>5105.55517578125</v>
      </c>
      <c r="AO575"/>
      <c r="AP575"/>
      <c r="AQ575"/>
      <c r="AR575"/>
      <c r="AS575"/>
      <c r="AT575"/>
      <c r="AU575"/>
      <c r="AV575"/>
      <c r="AW575"/>
      <c r="AX575"/>
      <c r="AY575"/>
      <c r="AZ575"/>
      <c r="BA575"/>
      <c r="BB575"/>
      <c r="BC575"/>
      <c r="BD575"/>
      <c r="BE575"/>
      <c r="BF575" t="s">
        <v>5</v>
      </c>
      <c r="BG575" t="s">
        <v>5</v>
      </c>
      <c r="BH575" t="s">
        <v>1777</v>
      </c>
      <c r="BI575"/>
      <c r="BJ575" t="s">
        <v>5</v>
      </c>
      <c r="BK575"/>
      <c r="BL575">
        <v>0</v>
      </c>
      <c r="BM575"/>
      <c r="BN575" t="s">
        <v>5</v>
      </c>
      <c r="BO575"/>
      <c r="BP575"/>
      <c r="BQ575"/>
      <c r="BR575"/>
      <c r="BS575" t="s">
        <v>5</v>
      </c>
      <c r="BT575"/>
      <c r="BU575"/>
      <c r="BV575"/>
      <c r="BW575" t="s">
        <v>1778</v>
      </c>
      <c r="BX575" t="s">
        <v>6</v>
      </c>
      <c r="BY575" t="s">
        <v>1101</v>
      </c>
      <c r="BZ575"/>
      <c r="CA575"/>
      <c r="CB575" t="s">
        <v>5</v>
      </c>
      <c r="CC575">
        <v>196316.3517143692</v>
      </c>
      <c r="CD575">
        <v>2375813050.7144632</v>
      </c>
      <c r="CE575" s="313" t="s">
        <v>11891</v>
      </c>
    </row>
    <row r="576" spans="1:83" ht="15" x14ac:dyDescent="0.25">
      <c r="A576" t="s">
        <v>1840</v>
      </c>
      <c r="B576" t="s">
        <v>1841</v>
      </c>
      <c r="C576" t="s">
        <v>1842</v>
      </c>
      <c r="D576">
        <v>3</v>
      </c>
      <c r="E576" t="s">
        <v>1771</v>
      </c>
      <c r="F576" t="s">
        <v>1843</v>
      </c>
      <c r="G576" t="s">
        <v>1844</v>
      </c>
      <c r="H576" t="s">
        <v>4380</v>
      </c>
      <c r="I576" t="s">
        <v>1810</v>
      </c>
      <c r="J576" t="s">
        <v>1838</v>
      </c>
      <c r="K576" t="s">
        <v>1800</v>
      </c>
      <c r="L576">
        <v>804.42529296875</v>
      </c>
      <c r="M576" t="s">
        <v>6</v>
      </c>
      <c r="N576" t="s">
        <v>5</v>
      </c>
      <c r="O576" t="s">
        <v>5</v>
      </c>
      <c r="P576" t="s">
        <v>5</v>
      </c>
      <c r="Q576" t="s">
        <v>5</v>
      </c>
      <c r="R576" t="s">
        <v>4381</v>
      </c>
      <c r="S576" t="s">
        <v>1845</v>
      </c>
      <c r="T576" t="s">
        <v>5</v>
      </c>
      <c r="U576" t="s">
        <v>13</v>
      </c>
      <c r="V576">
        <v>50000</v>
      </c>
      <c r="W576">
        <v>50000</v>
      </c>
      <c r="X576" t="s">
        <v>6</v>
      </c>
      <c r="Y576"/>
      <c r="Z576">
        <v>5000</v>
      </c>
      <c r="AA576">
        <v>254.63920593261719</v>
      </c>
      <c r="AB576">
        <v>17.061000823974609</v>
      </c>
      <c r="AC576">
        <v>2.9461290836334229</v>
      </c>
      <c r="AD576">
        <v>2086</v>
      </c>
      <c r="AE576">
        <v>1203</v>
      </c>
      <c r="AF576">
        <v>1672</v>
      </c>
      <c r="AG576">
        <v>1447</v>
      </c>
      <c r="AH576">
        <v>3820</v>
      </c>
      <c r="AI576">
        <v>3820</v>
      </c>
      <c r="AJ576">
        <v>0</v>
      </c>
      <c r="AK576">
        <v>3</v>
      </c>
      <c r="AL576">
        <v>148</v>
      </c>
      <c r="AM576"/>
      <c r="AN576">
        <v>88117.9765625</v>
      </c>
      <c r="AO576"/>
      <c r="AP576"/>
      <c r="AQ576"/>
      <c r="AR576"/>
      <c r="AS576"/>
      <c r="AT576"/>
      <c r="AU576"/>
      <c r="AV576"/>
      <c r="AW576"/>
      <c r="AX576"/>
      <c r="AY576"/>
      <c r="AZ576"/>
      <c r="BA576"/>
      <c r="BB576"/>
      <c r="BC576"/>
      <c r="BD576"/>
      <c r="BE576"/>
      <c r="BF576" t="s">
        <v>5</v>
      </c>
      <c r="BG576" t="s">
        <v>5</v>
      </c>
      <c r="BH576" t="s">
        <v>1777</v>
      </c>
      <c r="BI576"/>
      <c r="BJ576" t="s">
        <v>5</v>
      </c>
      <c r="BK576"/>
      <c r="BL576">
        <v>0</v>
      </c>
      <c r="BM576"/>
      <c r="BN576" t="s">
        <v>5</v>
      </c>
      <c r="BO576"/>
      <c r="BP576"/>
      <c r="BQ576"/>
      <c r="BR576"/>
      <c r="BS576" t="s">
        <v>5</v>
      </c>
      <c r="BT576"/>
      <c r="BU576"/>
      <c r="BV576"/>
      <c r="BW576" t="s">
        <v>1778</v>
      </c>
      <c r="BX576" t="s">
        <v>6</v>
      </c>
      <c r="BY576" t="s">
        <v>1101</v>
      </c>
      <c r="BZ576"/>
      <c r="CA576"/>
      <c r="CB576" t="s">
        <v>5</v>
      </c>
      <c r="CC576">
        <v>204242.11922396801</v>
      </c>
      <c r="CD576">
        <v>2084003299.0531011</v>
      </c>
      <c r="CE576" s="313" t="s">
        <v>11891</v>
      </c>
    </row>
    <row r="577" spans="1:83" ht="15" x14ac:dyDescent="0.25">
      <c r="A577" t="s">
        <v>1931</v>
      </c>
      <c r="B577" t="s">
        <v>1932</v>
      </c>
      <c r="C577" t="s">
        <v>1933</v>
      </c>
      <c r="D577">
        <v>3</v>
      </c>
      <c r="E577" t="s">
        <v>1771</v>
      </c>
      <c r="F577" t="s">
        <v>1858</v>
      </c>
      <c r="G577" t="s">
        <v>1934</v>
      </c>
      <c r="H577" t="s">
        <v>4401</v>
      </c>
      <c r="I577" t="s">
        <v>1927</v>
      </c>
      <c r="J577" t="s">
        <v>1928</v>
      </c>
      <c r="K577" t="s">
        <v>1800</v>
      </c>
      <c r="L577">
        <v>899.54638671875</v>
      </c>
      <c r="M577" t="s">
        <v>6</v>
      </c>
      <c r="N577" t="s">
        <v>5</v>
      </c>
      <c r="O577" t="s">
        <v>5</v>
      </c>
      <c r="P577" t="s">
        <v>5</v>
      </c>
      <c r="Q577" t="s">
        <v>5</v>
      </c>
      <c r="R577" t="s">
        <v>4402</v>
      </c>
      <c r="S577" t="s">
        <v>1935</v>
      </c>
      <c r="T577" t="s">
        <v>5</v>
      </c>
      <c r="U577" t="s">
        <v>13</v>
      </c>
      <c r="V577">
        <v>50000</v>
      </c>
      <c r="W577">
        <v>50000</v>
      </c>
      <c r="X577" t="s">
        <v>6</v>
      </c>
      <c r="Y577"/>
      <c r="Z577">
        <v>5000</v>
      </c>
      <c r="AA577">
        <v>145.918701171875</v>
      </c>
      <c r="AB577">
        <v>23.080759048461911</v>
      </c>
      <c r="AC577">
        <v>13.02258968353271</v>
      </c>
      <c r="AD577">
        <v>14853</v>
      </c>
      <c r="AE577">
        <v>11098</v>
      </c>
      <c r="AF577">
        <v>12825</v>
      </c>
      <c r="AG577">
        <v>46034</v>
      </c>
      <c r="AH577">
        <v>42697</v>
      </c>
      <c r="AI577">
        <v>46034</v>
      </c>
      <c r="AJ577">
        <v>1</v>
      </c>
      <c r="AK577">
        <v>2</v>
      </c>
      <c r="AL577">
        <v>468</v>
      </c>
      <c r="AM577"/>
      <c r="AN577">
        <v>20062.69921875</v>
      </c>
      <c r="AO577"/>
      <c r="AP577"/>
      <c r="AQ577"/>
      <c r="AR577"/>
      <c r="AS577"/>
      <c r="AT577"/>
      <c r="AU577"/>
      <c r="AV577"/>
      <c r="AW577"/>
      <c r="AX577"/>
      <c r="AY577"/>
      <c r="AZ577"/>
      <c r="BA577"/>
      <c r="BB577"/>
      <c r="BC577"/>
      <c r="BD577"/>
      <c r="BE577"/>
      <c r="BF577" t="s">
        <v>5</v>
      </c>
      <c r="BG577" t="s">
        <v>5</v>
      </c>
      <c r="BH577" t="s">
        <v>1777</v>
      </c>
      <c r="BI577"/>
      <c r="BJ577" t="s">
        <v>5</v>
      </c>
      <c r="BK577"/>
      <c r="BL577">
        <v>0</v>
      </c>
      <c r="BM577"/>
      <c r="BN577" t="s">
        <v>5</v>
      </c>
      <c r="BO577"/>
      <c r="BP577"/>
      <c r="BQ577"/>
      <c r="BR577"/>
      <c r="BS577" t="s">
        <v>5</v>
      </c>
      <c r="BT577"/>
      <c r="BU577"/>
      <c r="BV577"/>
      <c r="BW577" t="s">
        <v>1778</v>
      </c>
      <c r="BX577" t="s">
        <v>6</v>
      </c>
      <c r="BY577" t="s">
        <v>1101</v>
      </c>
      <c r="BZ577"/>
      <c r="CA577"/>
      <c r="CB577" t="s">
        <v>5</v>
      </c>
      <c r="CC577">
        <v>199907.21337823541</v>
      </c>
      <c r="CD577">
        <v>2330431252.33671</v>
      </c>
      <c r="CE577" s="313" t="s">
        <v>11891</v>
      </c>
    </row>
    <row r="578" spans="1:83" ht="15" x14ac:dyDescent="0.25">
      <c r="A578" t="s">
        <v>1936</v>
      </c>
      <c r="B578" t="s">
        <v>1937</v>
      </c>
      <c r="C578" t="s">
        <v>1938</v>
      </c>
      <c r="D578">
        <v>3</v>
      </c>
      <c r="E578" t="s">
        <v>1771</v>
      </c>
      <c r="F578" t="s">
        <v>1939</v>
      </c>
      <c r="G578" t="s">
        <v>1940</v>
      </c>
      <c r="H578" t="s">
        <v>4403</v>
      </c>
      <c r="I578" t="s">
        <v>1927</v>
      </c>
      <c r="J578" t="s">
        <v>1941</v>
      </c>
      <c r="K578" t="s">
        <v>1942</v>
      </c>
      <c r="L578">
        <v>797.69677734375</v>
      </c>
      <c r="M578" t="s">
        <v>6</v>
      </c>
      <c r="N578" t="s">
        <v>5</v>
      </c>
      <c r="O578" t="s">
        <v>5</v>
      </c>
      <c r="P578" t="s">
        <v>5</v>
      </c>
      <c r="Q578" t="s">
        <v>5</v>
      </c>
      <c r="R578" t="s">
        <v>4404</v>
      </c>
      <c r="S578" t="s">
        <v>338</v>
      </c>
      <c r="T578" t="s">
        <v>5</v>
      </c>
      <c r="U578" t="s">
        <v>13</v>
      </c>
      <c r="V578">
        <v>50000</v>
      </c>
      <c r="W578">
        <v>50000</v>
      </c>
      <c r="X578" t="s">
        <v>6</v>
      </c>
      <c r="Y578"/>
      <c r="Z578">
        <v>5000</v>
      </c>
      <c r="AA578">
        <v>128.82460021972659</v>
      </c>
      <c r="AB578">
        <v>8.9250688552856445</v>
      </c>
      <c r="AC578">
        <v>0</v>
      </c>
      <c r="AD578">
        <v>19</v>
      </c>
      <c r="AE578">
        <v>6</v>
      </c>
      <c r="AF578">
        <v>18</v>
      </c>
      <c r="AG578">
        <v>6</v>
      </c>
      <c r="AH578">
        <v>23</v>
      </c>
      <c r="AI578">
        <v>23</v>
      </c>
      <c r="AJ578">
        <v>2</v>
      </c>
      <c r="AK578">
        <v>0</v>
      </c>
      <c r="AL578">
        <v>59</v>
      </c>
      <c r="AM578"/>
      <c r="AN578">
        <v>24327.890625</v>
      </c>
      <c r="AO578"/>
      <c r="AP578"/>
      <c r="AQ578"/>
      <c r="AR578"/>
      <c r="AS578"/>
      <c r="AT578"/>
      <c r="AU578"/>
      <c r="AV578"/>
      <c r="AW578"/>
      <c r="AX578"/>
      <c r="AY578"/>
      <c r="AZ578"/>
      <c r="BA578"/>
      <c r="BB578"/>
      <c r="BC578"/>
      <c r="BD578"/>
      <c r="BE578"/>
      <c r="BF578" t="s">
        <v>5</v>
      </c>
      <c r="BG578" t="s">
        <v>5</v>
      </c>
      <c r="BH578" t="s">
        <v>1777</v>
      </c>
      <c r="BI578"/>
      <c r="BJ578" t="s">
        <v>5</v>
      </c>
      <c r="BK578"/>
      <c r="BL578">
        <v>0</v>
      </c>
      <c r="BM578"/>
      <c r="BN578" t="s">
        <v>5</v>
      </c>
      <c r="BO578"/>
      <c r="BP578"/>
      <c r="BQ578"/>
      <c r="BR578"/>
      <c r="BS578" t="s">
        <v>5</v>
      </c>
      <c r="BT578"/>
      <c r="BU578"/>
      <c r="BV578"/>
      <c r="BW578" t="s">
        <v>1778</v>
      </c>
      <c r="BX578" t="s">
        <v>6</v>
      </c>
      <c r="BY578" t="s">
        <v>1101</v>
      </c>
      <c r="BZ578"/>
      <c r="CA578"/>
      <c r="CB578" t="s">
        <v>5</v>
      </c>
      <c r="CC578">
        <v>222997.6753270051</v>
      </c>
      <c r="CD578">
        <v>2066572139.620775</v>
      </c>
      <c r="CE578" s="313" t="s">
        <v>11891</v>
      </c>
    </row>
    <row r="579" spans="1:83" ht="15" x14ac:dyDescent="0.25">
      <c r="A579" t="s">
        <v>1951</v>
      </c>
      <c r="B579" t="s">
        <v>1952</v>
      </c>
      <c r="C579" t="s">
        <v>1953</v>
      </c>
      <c r="D579">
        <v>3</v>
      </c>
      <c r="E579" t="s">
        <v>1771</v>
      </c>
      <c r="F579" t="s">
        <v>1918</v>
      </c>
      <c r="G579" t="s">
        <v>1919</v>
      </c>
      <c r="H579" t="s">
        <v>4398</v>
      </c>
      <c r="I579" t="s">
        <v>1947</v>
      </c>
      <c r="J579" t="s">
        <v>1920</v>
      </c>
      <c r="K579" t="s">
        <v>1949</v>
      </c>
      <c r="L579">
        <v>981.881591796875</v>
      </c>
      <c r="M579" t="s">
        <v>6</v>
      </c>
      <c r="N579" t="s">
        <v>5</v>
      </c>
      <c r="O579" t="s">
        <v>5</v>
      </c>
      <c r="P579" t="s">
        <v>5</v>
      </c>
      <c r="Q579" t="s">
        <v>5</v>
      </c>
      <c r="R579" t="s">
        <v>4399</v>
      </c>
      <c r="S579" t="s">
        <v>1921</v>
      </c>
      <c r="T579" t="s">
        <v>5</v>
      </c>
      <c r="U579" t="s">
        <v>13</v>
      </c>
      <c r="V579">
        <v>50000</v>
      </c>
      <c r="W579">
        <v>50000</v>
      </c>
      <c r="X579" t="s">
        <v>6</v>
      </c>
      <c r="Y579"/>
      <c r="Z579">
        <v>5000</v>
      </c>
      <c r="AA579">
        <v>59.015880584716797</v>
      </c>
      <c r="AB579">
        <v>8.3706398010253906</v>
      </c>
      <c r="AC579">
        <v>3.4761021137237549</v>
      </c>
      <c r="AD579">
        <v>127</v>
      </c>
      <c r="AE579">
        <v>57</v>
      </c>
      <c r="AF579">
        <v>83</v>
      </c>
      <c r="AG579">
        <v>47</v>
      </c>
      <c r="AH579">
        <v>93</v>
      </c>
      <c r="AI579">
        <v>93</v>
      </c>
      <c r="AJ579">
        <v>5</v>
      </c>
      <c r="AK579">
        <v>18</v>
      </c>
      <c r="AL579">
        <v>24</v>
      </c>
      <c r="AM579"/>
      <c r="AN579">
        <v>24901.609375</v>
      </c>
      <c r="AO579"/>
      <c r="AP579"/>
      <c r="AQ579"/>
      <c r="AR579"/>
      <c r="AS579"/>
      <c r="AT579"/>
      <c r="AU579"/>
      <c r="AV579"/>
      <c r="AW579"/>
      <c r="AX579"/>
      <c r="AY579"/>
      <c r="AZ579"/>
      <c r="BA579"/>
      <c r="BB579"/>
      <c r="BC579"/>
      <c r="BD579"/>
      <c r="BE579"/>
      <c r="BF579" t="s">
        <v>5</v>
      </c>
      <c r="BG579" t="s">
        <v>5</v>
      </c>
      <c r="BH579" t="s">
        <v>1777</v>
      </c>
      <c r="BI579"/>
      <c r="BJ579" t="s">
        <v>5</v>
      </c>
      <c r="BK579"/>
      <c r="BL579">
        <v>0</v>
      </c>
      <c r="BM579"/>
      <c r="BN579" t="s">
        <v>5</v>
      </c>
      <c r="BO579"/>
      <c r="BP579"/>
      <c r="BQ579"/>
      <c r="BR579"/>
      <c r="BS579" t="s">
        <v>5</v>
      </c>
      <c r="BT579"/>
      <c r="BU579"/>
      <c r="BV579"/>
      <c r="BW579" t="s">
        <v>1778</v>
      </c>
      <c r="BX579" t="s">
        <v>6</v>
      </c>
      <c r="BY579" t="s">
        <v>1101</v>
      </c>
      <c r="BZ579"/>
      <c r="CA579"/>
      <c r="CB579" t="s">
        <v>5</v>
      </c>
      <c r="CC579">
        <v>258937.7282759221</v>
      </c>
      <c r="CD579">
        <v>2543734710.6129541</v>
      </c>
      <c r="CE579" s="313" t="s">
        <v>11891</v>
      </c>
    </row>
    <row r="580" spans="1:83" ht="15" x14ac:dyDescent="0.25">
      <c r="A580" t="s">
        <v>2021</v>
      </c>
      <c r="B580" t="s">
        <v>2022</v>
      </c>
      <c r="C580" t="s">
        <v>2023</v>
      </c>
      <c r="D580">
        <v>3</v>
      </c>
      <c r="E580" t="s">
        <v>1771</v>
      </c>
      <c r="F580" t="s">
        <v>2024</v>
      </c>
      <c r="G580" t="s">
        <v>2025</v>
      </c>
      <c r="H580" t="s">
        <v>4423</v>
      </c>
      <c r="I580" t="s">
        <v>12746</v>
      </c>
      <c r="J580" t="s">
        <v>2026</v>
      </c>
      <c r="K580" t="s">
        <v>1800</v>
      </c>
      <c r="L580">
        <v>902.953125</v>
      </c>
      <c r="M580" t="s">
        <v>6</v>
      </c>
      <c r="N580" t="s">
        <v>5</v>
      </c>
      <c r="O580" t="s">
        <v>5</v>
      </c>
      <c r="P580" t="s">
        <v>5</v>
      </c>
      <c r="Q580" t="s">
        <v>5</v>
      </c>
      <c r="R580" t="s">
        <v>4424</v>
      </c>
      <c r="S580" t="s">
        <v>2027</v>
      </c>
      <c r="T580" t="s">
        <v>5</v>
      </c>
      <c r="U580" t="s">
        <v>13</v>
      </c>
      <c r="V580">
        <v>50000</v>
      </c>
      <c r="W580">
        <v>50000</v>
      </c>
      <c r="X580" t="s">
        <v>5</v>
      </c>
      <c r="Y580"/>
      <c r="Z580"/>
      <c r="AA580">
        <v>71.410873413085938</v>
      </c>
      <c r="AB580">
        <v>8.820286750793457</v>
      </c>
      <c r="AC580">
        <v>4.3176321983337402</v>
      </c>
      <c r="AD580">
        <v>1953</v>
      </c>
      <c r="AE580">
        <v>817</v>
      </c>
      <c r="AF580">
        <v>1485</v>
      </c>
      <c r="AG580">
        <v>4344</v>
      </c>
      <c r="AH580">
        <v>3576</v>
      </c>
      <c r="AI580">
        <v>4344</v>
      </c>
      <c r="AJ580">
        <v>7</v>
      </c>
      <c r="AK580">
        <v>0</v>
      </c>
      <c r="AL580">
        <v>61</v>
      </c>
      <c r="AM580"/>
      <c r="AN580">
        <v>25501.05078125</v>
      </c>
      <c r="AO580"/>
      <c r="AP580"/>
      <c r="AQ580"/>
      <c r="AR580"/>
      <c r="AS580"/>
      <c r="AT580"/>
      <c r="AU580"/>
      <c r="AV580"/>
      <c r="AW580"/>
      <c r="AX580"/>
      <c r="AY580"/>
      <c r="AZ580"/>
      <c r="BA580"/>
      <c r="BB580"/>
      <c r="BC580"/>
      <c r="BD580"/>
      <c r="BE580"/>
      <c r="BF580" t="s">
        <v>5</v>
      </c>
      <c r="BG580" t="s">
        <v>5</v>
      </c>
      <c r="BH580" t="s">
        <v>1777</v>
      </c>
      <c r="BI580"/>
      <c r="BJ580" t="s">
        <v>5</v>
      </c>
      <c r="BK580"/>
      <c r="BL580">
        <v>0</v>
      </c>
      <c r="BM580"/>
      <c r="BN580" t="s">
        <v>5</v>
      </c>
      <c r="BO580"/>
      <c r="BP580"/>
      <c r="BQ580"/>
      <c r="BR580"/>
      <c r="BS580" t="s">
        <v>5</v>
      </c>
      <c r="BT580"/>
      <c r="BU580"/>
      <c r="BV580"/>
      <c r="BW580" t="s">
        <v>1778</v>
      </c>
      <c r="BX580" t="s">
        <v>6</v>
      </c>
      <c r="BY580" t="s">
        <v>1101</v>
      </c>
      <c r="BZ580"/>
      <c r="CA580"/>
      <c r="CB580" t="s">
        <v>5</v>
      </c>
      <c r="CC580">
        <v>195388.41140282291</v>
      </c>
      <c r="CD580">
        <v>2339256673.8434911</v>
      </c>
      <c r="CE580" s="313" t="s">
        <v>11891</v>
      </c>
    </row>
    <row r="581" spans="1:83" ht="15" x14ac:dyDescent="0.25">
      <c r="A581" s="337" t="s">
        <v>2182</v>
      </c>
      <c r="B581" s="337" t="s">
        <v>2183</v>
      </c>
      <c r="C581" s="337" t="s">
        <v>2184</v>
      </c>
      <c r="D581" s="337">
        <v>3</v>
      </c>
      <c r="E581" s="337" t="s">
        <v>1771</v>
      </c>
      <c r="F581" s="337" t="s">
        <v>2185</v>
      </c>
      <c r="G581" s="337" t="s">
        <v>2186</v>
      </c>
      <c r="H581" s="337" t="s">
        <v>4462</v>
      </c>
      <c r="I581" s="337" t="s">
        <v>12770</v>
      </c>
      <c r="J581" s="337" t="s">
        <v>2187</v>
      </c>
      <c r="K581" s="337" t="s">
        <v>2188</v>
      </c>
      <c r="L581" s="337">
        <v>26.143430709838871</v>
      </c>
      <c r="M581" s="337" t="s">
        <v>6</v>
      </c>
      <c r="N581" s="337" t="s">
        <v>5</v>
      </c>
      <c r="O581" s="337" t="s">
        <v>5</v>
      </c>
      <c r="P581" s="337" t="s">
        <v>5</v>
      </c>
      <c r="Q581" s="337" t="s">
        <v>5</v>
      </c>
      <c r="R581" s="337" t="s">
        <v>4463</v>
      </c>
      <c r="S581" s="337" t="s">
        <v>2189</v>
      </c>
      <c r="T581" s="337" t="s">
        <v>5</v>
      </c>
      <c r="U581" s="337" t="s">
        <v>4</v>
      </c>
      <c r="V581" s="337">
        <v>50000</v>
      </c>
      <c r="W581" s="337">
        <v>50000</v>
      </c>
      <c r="X581" s="337" t="s">
        <v>6</v>
      </c>
      <c r="Y581" s="337"/>
      <c r="Z581" s="337">
        <v>5000</v>
      </c>
      <c r="AA581" s="337">
        <v>5.6314778327941886</v>
      </c>
      <c r="AB581" s="337">
        <v>0.50827288627624512</v>
      </c>
      <c r="AC581" s="337">
        <v>0</v>
      </c>
      <c r="AD581" s="337">
        <v>520</v>
      </c>
      <c r="AE581" s="337">
        <v>218</v>
      </c>
      <c r="AF581" s="337">
        <v>468</v>
      </c>
      <c r="AG581" s="337">
        <v>1442</v>
      </c>
      <c r="AH581" s="337">
        <v>1159</v>
      </c>
      <c r="AI581" s="337">
        <v>1442</v>
      </c>
      <c r="AJ581" s="337">
        <v>5</v>
      </c>
      <c r="AK581" s="337">
        <v>6</v>
      </c>
      <c r="AL581" s="337">
        <v>18</v>
      </c>
      <c r="AM581" s="337"/>
      <c r="AN581" s="337">
        <v>759.00537109375</v>
      </c>
      <c r="AO581" s="337"/>
      <c r="AP581" s="337"/>
      <c r="AQ581" s="337"/>
      <c r="AR581" s="337"/>
      <c r="AS581" s="337"/>
      <c r="AT581" s="337"/>
      <c r="AU581" s="337"/>
      <c r="AV581" s="337"/>
      <c r="AW581" s="337"/>
      <c r="AX581" s="337"/>
      <c r="AY581" s="337"/>
      <c r="AZ581" s="337"/>
      <c r="BA581" s="337"/>
      <c r="BB581" s="337"/>
      <c r="BC581" s="337"/>
      <c r="BD581" s="337"/>
      <c r="BE581" s="337"/>
      <c r="BF581" s="337" t="s">
        <v>5</v>
      </c>
      <c r="BG581" s="337" t="s">
        <v>5</v>
      </c>
      <c r="BH581" s="337" t="s">
        <v>1777</v>
      </c>
      <c r="BI581" s="337"/>
      <c r="BJ581" s="337" t="s">
        <v>5</v>
      </c>
      <c r="BK581" s="337"/>
      <c r="BL581" s="337">
        <v>0</v>
      </c>
      <c r="BM581" s="337"/>
      <c r="BN581" s="337" t="s">
        <v>5</v>
      </c>
      <c r="BO581" s="337"/>
      <c r="BP581" s="337"/>
      <c r="BQ581" s="337"/>
      <c r="BR581" s="337"/>
      <c r="BS581" s="337" t="s">
        <v>5</v>
      </c>
      <c r="BT581" s="337"/>
      <c r="BU581" s="337"/>
      <c r="BV581" s="337"/>
      <c r="BW581" s="337" t="s">
        <v>1778</v>
      </c>
      <c r="BX581" s="337" t="s">
        <v>6</v>
      </c>
      <c r="BY581" s="337" t="s">
        <v>1101</v>
      </c>
      <c r="BZ581" s="337"/>
      <c r="CB581" s="337" t="s">
        <v>5</v>
      </c>
      <c r="CC581" s="337">
        <v>134216.82159961539</v>
      </c>
      <c r="CD581" s="337">
        <v>67729099.345339462</v>
      </c>
      <c r="CE581" s="313" t="s">
        <v>11891</v>
      </c>
    </row>
    <row r="582" spans="1:83" ht="15" x14ac:dyDescent="0.25">
      <c r="A582" s="337" t="s">
        <v>2190</v>
      </c>
      <c r="B582" s="337" t="s">
        <v>2191</v>
      </c>
      <c r="C582" s="337" t="s">
        <v>2192</v>
      </c>
      <c r="D582" s="337">
        <v>3</v>
      </c>
      <c r="E582" s="337" t="s">
        <v>1771</v>
      </c>
      <c r="F582" s="337" t="s">
        <v>1858</v>
      </c>
      <c r="G582" s="337" t="s">
        <v>1859</v>
      </c>
      <c r="H582" s="337" t="s">
        <v>2193</v>
      </c>
      <c r="I582" s="337" t="s">
        <v>12771</v>
      </c>
      <c r="J582" s="337" t="s">
        <v>2194</v>
      </c>
      <c r="K582" s="337" t="s">
        <v>2188</v>
      </c>
      <c r="L582" s="337">
        <v>3.0940380096435551</v>
      </c>
      <c r="M582" s="337" t="s">
        <v>6</v>
      </c>
      <c r="N582" s="337" t="s">
        <v>5</v>
      </c>
      <c r="O582" s="337" t="s">
        <v>5</v>
      </c>
      <c r="P582" s="337" t="s">
        <v>5</v>
      </c>
      <c r="Q582" s="337" t="s">
        <v>5</v>
      </c>
      <c r="R582" s="337" t="s">
        <v>4464</v>
      </c>
      <c r="S582" s="337" t="s">
        <v>2195</v>
      </c>
      <c r="T582" s="337" t="s">
        <v>5</v>
      </c>
      <c r="U582" s="337" t="s">
        <v>4</v>
      </c>
      <c r="V582" s="337">
        <v>50000</v>
      </c>
      <c r="W582" s="337">
        <v>50000</v>
      </c>
      <c r="X582" s="337" t="s">
        <v>5</v>
      </c>
      <c r="Y582" s="337"/>
      <c r="Z582" s="337"/>
      <c r="AA582" s="337">
        <v>0.50899362564086914</v>
      </c>
      <c r="AB582" s="337">
        <v>2.7080880478024479E-2</v>
      </c>
      <c r="AC582" s="337">
        <v>6.0822781175374978E-2</v>
      </c>
      <c r="AD582" s="337">
        <v>404</v>
      </c>
      <c r="AE582" s="337">
        <v>21</v>
      </c>
      <c r="AF582" s="337">
        <v>397</v>
      </c>
      <c r="AG582" s="337">
        <v>856</v>
      </c>
      <c r="AH582" s="337">
        <v>1393</v>
      </c>
      <c r="AI582" s="337">
        <v>1393</v>
      </c>
      <c r="AJ582" s="337">
        <v>2</v>
      </c>
      <c r="AK582" s="337">
        <v>15</v>
      </c>
      <c r="AL582" s="337">
        <v>7</v>
      </c>
      <c r="AM582" s="337"/>
      <c r="AN582" s="337">
        <v>3.5095570087432861</v>
      </c>
      <c r="AO582" s="337"/>
      <c r="AP582" s="337"/>
      <c r="AQ582" s="337"/>
      <c r="AR582" s="337"/>
      <c r="AS582" s="337"/>
      <c r="AT582" s="337"/>
      <c r="AU582" s="337"/>
      <c r="AV582" s="337"/>
      <c r="AW582" s="337"/>
      <c r="AX582" s="337"/>
      <c r="AY582" s="337"/>
      <c r="AZ582" s="337"/>
      <c r="BA582" s="337"/>
      <c r="BB582" s="337"/>
      <c r="BC582" s="337"/>
      <c r="BD582" s="337"/>
      <c r="BE582" s="337"/>
      <c r="BF582" s="337" t="s">
        <v>5</v>
      </c>
      <c r="BG582" s="337" t="s">
        <v>5</v>
      </c>
      <c r="BH582" s="337" t="s">
        <v>1777</v>
      </c>
      <c r="BI582" s="337"/>
      <c r="BJ582" s="337" t="s">
        <v>5</v>
      </c>
      <c r="BK582" s="337"/>
      <c r="BL582" s="337">
        <v>0</v>
      </c>
      <c r="BM582" s="337"/>
      <c r="BN582" s="337" t="s">
        <v>5</v>
      </c>
      <c r="BO582" s="337"/>
      <c r="BP582" s="337"/>
      <c r="BQ582" s="337"/>
      <c r="BR582" s="337"/>
      <c r="BS582" s="337" t="s">
        <v>5</v>
      </c>
      <c r="BT582" s="337"/>
      <c r="BU582" s="337"/>
      <c r="BV582" s="337"/>
      <c r="BW582" s="337" t="s">
        <v>1778</v>
      </c>
      <c r="BX582" s="337" t="s">
        <v>6</v>
      </c>
      <c r="BY582" s="337" t="s">
        <v>1101</v>
      </c>
      <c r="BZ582" s="337"/>
      <c r="CB582" s="337" t="s">
        <v>5</v>
      </c>
      <c r="CC582" s="337">
        <v>14685.73361351902</v>
      </c>
      <c r="CD582" s="337">
        <v>8015643.8717960408</v>
      </c>
      <c r="CE582" s="313" t="s">
        <v>11891</v>
      </c>
    </row>
    <row r="583" spans="1:83" ht="15" x14ac:dyDescent="0.25">
      <c r="A583" s="337" t="s">
        <v>2199</v>
      </c>
      <c r="B583" s="337" t="s">
        <v>2200</v>
      </c>
      <c r="C583" s="337" t="s">
        <v>2201</v>
      </c>
      <c r="D583" s="337">
        <v>3</v>
      </c>
      <c r="E583" s="337" t="s">
        <v>1771</v>
      </c>
      <c r="F583" s="337" t="s">
        <v>2131</v>
      </c>
      <c r="G583" s="337" t="s">
        <v>2132</v>
      </c>
      <c r="H583" s="337" t="s">
        <v>4449</v>
      </c>
      <c r="I583" s="337" t="s">
        <v>12765</v>
      </c>
      <c r="J583" s="337" t="s">
        <v>12763</v>
      </c>
      <c r="K583" s="337" t="s">
        <v>2010</v>
      </c>
      <c r="L583" s="337">
        <v>933.2020263671875</v>
      </c>
      <c r="M583" s="337" t="s">
        <v>6</v>
      </c>
      <c r="N583" s="337" t="s">
        <v>5</v>
      </c>
      <c r="O583" s="337" t="s">
        <v>5</v>
      </c>
      <c r="P583" s="337" t="s">
        <v>5</v>
      </c>
      <c r="Q583" s="337" t="s">
        <v>5</v>
      </c>
      <c r="R583" s="337" t="s">
        <v>4450</v>
      </c>
      <c r="S583" s="337" t="s">
        <v>2134</v>
      </c>
      <c r="T583" s="337" t="s">
        <v>5</v>
      </c>
      <c r="U583" s="337" t="s">
        <v>4</v>
      </c>
      <c r="V583" s="337">
        <v>500000</v>
      </c>
      <c r="W583" s="337">
        <v>50000</v>
      </c>
      <c r="X583" s="337" t="s">
        <v>6</v>
      </c>
      <c r="Y583" s="337"/>
      <c r="Z583" s="337">
        <v>500000</v>
      </c>
      <c r="AA583" s="337">
        <v>68.970542907714844</v>
      </c>
      <c r="AB583" s="337">
        <v>7.8149361610412598</v>
      </c>
      <c r="AC583" s="337">
        <v>4.4384528882801527E-4</v>
      </c>
      <c r="AD583" s="337">
        <v>0</v>
      </c>
      <c r="AE583" s="337">
        <v>0</v>
      </c>
      <c r="AF583" s="337">
        <v>0</v>
      </c>
      <c r="AG583" s="337">
        <v>0</v>
      </c>
      <c r="AH583" s="337">
        <v>0</v>
      </c>
      <c r="AI583" s="337">
        <v>0</v>
      </c>
      <c r="AJ583" s="337">
        <v>0</v>
      </c>
      <c r="AK583" s="337">
        <v>3</v>
      </c>
      <c r="AL583" s="337">
        <v>57</v>
      </c>
      <c r="AM583" s="337"/>
      <c r="AN583" s="337">
        <v>0</v>
      </c>
      <c r="AO583" s="337"/>
      <c r="AP583" s="337"/>
      <c r="AQ583" s="337"/>
      <c r="AR583" s="337"/>
      <c r="AS583" s="337"/>
      <c r="AT583" s="337"/>
      <c r="AU583" s="337"/>
      <c r="AV583" s="337"/>
      <c r="AW583" s="337"/>
      <c r="AX583" s="337"/>
      <c r="AY583" s="337"/>
      <c r="AZ583" s="337"/>
      <c r="BA583" s="337"/>
      <c r="BB583" s="337"/>
      <c r="BC583" s="337"/>
      <c r="BD583" s="337"/>
      <c r="BE583" s="337"/>
      <c r="BF583" s="337" t="s">
        <v>5</v>
      </c>
      <c r="BG583" s="337" t="s">
        <v>5</v>
      </c>
      <c r="BH583" s="337" t="s">
        <v>1777</v>
      </c>
      <c r="BI583" s="337"/>
      <c r="BJ583" s="337" t="s">
        <v>5</v>
      </c>
      <c r="BK583" s="337"/>
      <c r="BL583" s="337">
        <v>0</v>
      </c>
      <c r="BM583" s="337"/>
      <c r="BN583" s="337" t="s">
        <v>5</v>
      </c>
      <c r="BO583" s="337"/>
      <c r="BP583" s="337"/>
      <c r="BQ583" s="337"/>
      <c r="BR583" s="337"/>
      <c r="BS583" s="337" t="s">
        <v>5</v>
      </c>
      <c r="BT583" s="337"/>
      <c r="BU583" s="337"/>
      <c r="BV583" s="337"/>
      <c r="BW583" s="337" t="s">
        <v>1778</v>
      </c>
      <c r="BX583" s="337" t="s">
        <v>6</v>
      </c>
      <c r="BY583" s="337" t="s">
        <v>1101</v>
      </c>
      <c r="BZ583" s="337"/>
      <c r="CB583" s="337" t="s">
        <v>5</v>
      </c>
      <c r="CC583" s="337">
        <v>214521.70282344829</v>
      </c>
      <c r="CD583" s="337">
        <v>2417621705.792469</v>
      </c>
      <c r="CE583" s="313" t="s">
        <v>11891</v>
      </c>
    </row>
    <row r="584" spans="1:83" ht="15" x14ac:dyDescent="0.25">
      <c r="A584" s="337" t="s">
        <v>2239</v>
      </c>
      <c r="B584" s="337" t="s">
        <v>2240</v>
      </c>
      <c r="C584" s="337" t="s">
        <v>2241</v>
      </c>
      <c r="D584" s="337">
        <v>3</v>
      </c>
      <c r="E584" s="337" t="s">
        <v>1771</v>
      </c>
      <c r="F584" s="337" t="s">
        <v>2091</v>
      </c>
      <c r="G584" s="337" t="s">
        <v>1878</v>
      </c>
      <c r="H584" s="337" t="s">
        <v>4471</v>
      </c>
      <c r="I584" s="337" t="s">
        <v>12774</v>
      </c>
      <c r="J584" s="337" t="s">
        <v>2242</v>
      </c>
      <c r="K584" s="337" t="s">
        <v>1783</v>
      </c>
      <c r="L584" s="337">
        <v>34.355400085449219</v>
      </c>
      <c r="M584" s="337" t="s">
        <v>6</v>
      </c>
      <c r="N584" s="337" t="s">
        <v>5</v>
      </c>
      <c r="O584" s="337" t="s">
        <v>5</v>
      </c>
      <c r="P584" s="337" t="s">
        <v>5</v>
      </c>
      <c r="Q584" s="337" t="s">
        <v>5</v>
      </c>
      <c r="R584" s="337" t="s">
        <v>4472</v>
      </c>
      <c r="S584" s="337" t="s">
        <v>2243</v>
      </c>
      <c r="T584" s="337" t="s">
        <v>5</v>
      </c>
      <c r="U584" s="337" t="s">
        <v>13</v>
      </c>
      <c r="V584" s="337">
        <v>50000</v>
      </c>
      <c r="W584" s="337">
        <v>50000</v>
      </c>
      <c r="X584" s="337" t="s">
        <v>6</v>
      </c>
      <c r="Y584" s="337"/>
      <c r="Z584" s="337">
        <v>5000</v>
      </c>
      <c r="AA584" s="337">
        <v>7.8206729888916016</v>
      </c>
      <c r="AB584" s="337">
        <v>0.78574961423873901</v>
      </c>
      <c r="AC584" s="337">
        <v>0.52719169855117798</v>
      </c>
      <c r="AD584" s="337">
        <v>440</v>
      </c>
      <c r="AE584" s="337">
        <v>244</v>
      </c>
      <c r="AF584" s="337">
        <v>427</v>
      </c>
      <c r="AG584" s="337">
        <v>796</v>
      </c>
      <c r="AH584" s="337">
        <v>1076</v>
      </c>
      <c r="AI584" s="337">
        <v>1076</v>
      </c>
      <c r="AJ584" s="337">
        <v>0</v>
      </c>
      <c r="AK584" s="337">
        <v>0</v>
      </c>
      <c r="AL584" s="337">
        <v>18</v>
      </c>
      <c r="AM584" s="337"/>
      <c r="AN584" s="337">
        <v>2059.093994140625</v>
      </c>
      <c r="AO584" s="337"/>
      <c r="AP584" s="337"/>
      <c r="AQ584" s="337"/>
      <c r="AR584" s="337"/>
      <c r="AS584" s="337"/>
      <c r="AT584" s="337"/>
      <c r="AU584" s="337"/>
      <c r="AV584" s="337"/>
      <c r="AW584" s="337"/>
      <c r="AX584" s="337"/>
      <c r="AY584" s="337"/>
      <c r="AZ584" s="337"/>
      <c r="BA584" s="337"/>
      <c r="BB584" s="337"/>
      <c r="BC584" s="337"/>
      <c r="BD584" s="337"/>
      <c r="BE584" s="337"/>
      <c r="BF584" s="337" t="s">
        <v>5</v>
      </c>
      <c r="BG584" s="337" t="s">
        <v>5</v>
      </c>
      <c r="BH584" s="337" t="s">
        <v>1777</v>
      </c>
      <c r="BI584" s="337"/>
      <c r="BJ584" s="337" t="s">
        <v>5</v>
      </c>
      <c r="BK584" s="337"/>
      <c r="BL584" s="337">
        <v>0</v>
      </c>
      <c r="BM584" s="337"/>
      <c r="BN584" s="337" t="s">
        <v>5</v>
      </c>
      <c r="BO584" s="337"/>
      <c r="BP584" s="337"/>
      <c r="BQ584" s="337"/>
      <c r="BR584" s="337"/>
      <c r="BS584" s="337" t="s">
        <v>5</v>
      </c>
      <c r="BT584" s="337"/>
      <c r="BU584" s="337"/>
      <c r="BV584" s="337"/>
      <c r="BW584" s="337" t="s">
        <v>1778</v>
      </c>
      <c r="BX584" s="337" t="s">
        <v>6</v>
      </c>
      <c r="BY584" s="337" t="s">
        <v>1101</v>
      </c>
      <c r="BZ584" s="337"/>
      <c r="CB584" s="337" t="s">
        <v>5</v>
      </c>
      <c r="CC584" s="337">
        <v>136536.63774304261</v>
      </c>
      <c r="CD584" s="337">
        <v>89003632.179305002</v>
      </c>
      <c r="CE584" s="313" t="s">
        <v>11891</v>
      </c>
    </row>
    <row r="585" spans="1:83" ht="15" x14ac:dyDescent="0.25">
      <c r="A585" s="337" t="s">
        <v>2244</v>
      </c>
      <c r="B585" s="337" t="s">
        <v>4473</v>
      </c>
      <c r="C585" s="337" t="s">
        <v>2245</v>
      </c>
      <c r="D585" s="337">
        <v>3</v>
      </c>
      <c r="E585" s="337" t="s">
        <v>1771</v>
      </c>
      <c r="F585" s="337" t="s">
        <v>2107</v>
      </c>
      <c r="G585" s="337" t="s">
        <v>1808</v>
      </c>
      <c r="H585" s="337" t="s">
        <v>2246</v>
      </c>
      <c r="I585" s="337" t="s">
        <v>12775</v>
      </c>
      <c r="J585" s="337" t="s">
        <v>2247</v>
      </c>
      <c r="K585" s="337" t="s">
        <v>1783</v>
      </c>
      <c r="L585" s="337">
        <v>2.4494130611419682</v>
      </c>
      <c r="M585" s="337" t="s">
        <v>6</v>
      </c>
      <c r="N585" s="337" t="s">
        <v>5</v>
      </c>
      <c r="O585" s="337" t="s">
        <v>5</v>
      </c>
      <c r="P585" s="337" t="s">
        <v>5</v>
      </c>
      <c r="Q585" s="337" t="s">
        <v>5</v>
      </c>
      <c r="R585" s="337" t="s">
        <v>4474</v>
      </c>
      <c r="S585" s="337" t="s">
        <v>2248</v>
      </c>
      <c r="T585" s="337" t="s">
        <v>5</v>
      </c>
      <c r="U585" s="337" t="s">
        <v>13</v>
      </c>
      <c r="V585" s="337">
        <v>50000</v>
      </c>
      <c r="W585" s="337">
        <v>50000</v>
      </c>
      <c r="X585" s="337" t="s">
        <v>6</v>
      </c>
      <c r="Y585" s="337"/>
      <c r="Z585" s="337">
        <v>5000</v>
      </c>
      <c r="AA585" s="337">
        <v>0.26559439301490778</v>
      </c>
      <c r="AB585" s="337">
        <v>2.907470986247063E-2</v>
      </c>
      <c r="AC585" s="337">
        <v>1.482991967350245E-2</v>
      </c>
      <c r="AD585" s="337">
        <v>31</v>
      </c>
      <c r="AE585" s="337">
        <v>12</v>
      </c>
      <c r="AF585" s="337">
        <v>28</v>
      </c>
      <c r="AG585" s="337">
        <v>15</v>
      </c>
      <c r="AH585" s="337">
        <v>72</v>
      </c>
      <c r="AI585" s="337">
        <v>72</v>
      </c>
      <c r="AJ585" s="337">
        <v>0</v>
      </c>
      <c r="AK585" s="337">
        <v>0</v>
      </c>
      <c r="AL585" s="337">
        <v>2</v>
      </c>
      <c r="AM585" s="337"/>
      <c r="AN585" s="337">
        <v>126.7267990112305</v>
      </c>
      <c r="AO585" s="337"/>
      <c r="AP585" s="337"/>
      <c r="AQ585" s="337"/>
      <c r="AR585" s="337"/>
      <c r="AS585" s="337"/>
      <c r="AT585" s="337"/>
      <c r="AU585" s="337"/>
      <c r="AV585" s="337"/>
      <c r="AW585" s="337"/>
      <c r="AX585" s="337"/>
      <c r="AY585" s="337"/>
      <c r="AZ585" s="337"/>
      <c r="BA585" s="337"/>
      <c r="BB585" s="337"/>
      <c r="BC585" s="337"/>
      <c r="BD585" s="337"/>
      <c r="BE585" s="337"/>
      <c r="BF585" s="337" t="s">
        <v>5</v>
      </c>
      <c r="BG585" s="337" t="s">
        <v>5</v>
      </c>
      <c r="BH585" s="337" t="s">
        <v>1777</v>
      </c>
      <c r="BI585" s="337"/>
      <c r="BJ585" s="337" t="s">
        <v>5</v>
      </c>
      <c r="BK585" s="337"/>
      <c r="BL585" s="337">
        <v>0</v>
      </c>
      <c r="BM585" s="337"/>
      <c r="BN585" s="337" t="s">
        <v>5</v>
      </c>
      <c r="BO585" s="337"/>
      <c r="BP585" s="337"/>
      <c r="BQ585" s="337"/>
      <c r="BR585" s="337"/>
      <c r="BS585" s="337" t="s">
        <v>5</v>
      </c>
      <c r="BT585" s="337"/>
      <c r="BU585" s="337"/>
      <c r="BV585" s="337"/>
      <c r="BW585" s="337" t="s">
        <v>1778</v>
      </c>
      <c r="BX585" s="337" t="s">
        <v>6</v>
      </c>
      <c r="BY585" s="337" t="s">
        <v>1101</v>
      </c>
      <c r="BZ585" s="337"/>
      <c r="CB585" s="337" t="s">
        <v>5</v>
      </c>
      <c r="CC585" s="337">
        <v>19641.432469781401</v>
      </c>
      <c r="CD585" s="337">
        <v>6345628.8184300568</v>
      </c>
      <c r="CE585" s="313" t="s">
        <v>11891</v>
      </c>
    </row>
    <row r="586" spans="1:83" ht="15" x14ac:dyDescent="0.25">
      <c r="A586" s="337" t="s">
        <v>2249</v>
      </c>
      <c r="B586" s="337" t="s">
        <v>2250</v>
      </c>
      <c r="C586" s="337" t="s">
        <v>2251</v>
      </c>
      <c r="D586" s="337">
        <v>3</v>
      </c>
      <c r="E586" s="337" t="s">
        <v>1771</v>
      </c>
      <c r="F586" s="337" t="s">
        <v>1610</v>
      </c>
      <c r="G586" s="337" t="s">
        <v>2252</v>
      </c>
      <c r="H586" s="337" t="s">
        <v>4475</v>
      </c>
      <c r="I586" s="337" t="s">
        <v>12775</v>
      </c>
      <c r="J586" s="337" t="s">
        <v>2253</v>
      </c>
      <c r="K586" s="337" t="s">
        <v>1783</v>
      </c>
      <c r="L586" s="337">
        <v>896.794189453125</v>
      </c>
      <c r="M586" s="337" t="s">
        <v>6</v>
      </c>
      <c r="N586" s="337" t="s">
        <v>5</v>
      </c>
      <c r="O586" s="337" t="s">
        <v>5</v>
      </c>
      <c r="P586" s="337" t="s">
        <v>5</v>
      </c>
      <c r="Q586" s="337" t="s">
        <v>5</v>
      </c>
      <c r="R586" s="337" t="s">
        <v>1612</v>
      </c>
      <c r="S586" s="337" t="s">
        <v>1613</v>
      </c>
      <c r="T586" s="337" t="s">
        <v>5</v>
      </c>
      <c r="U586" s="337" t="s">
        <v>13</v>
      </c>
      <c r="V586" s="337">
        <v>50000</v>
      </c>
      <c r="W586" s="337">
        <v>50000</v>
      </c>
      <c r="X586" s="337" t="s">
        <v>6</v>
      </c>
      <c r="Y586" s="337"/>
      <c r="Z586" s="337">
        <v>2500</v>
      </c>
      <c r="AA586" s="337">
        <v>5.7018928527832031</v>
      </c>
      <c r="AB586" s="337">
        <v>0.54852932691574097</v>
      </c>
      <c r="AC586" s="337">
        <v>5.4823698997497559</v>
      </c>
      <c r="AD586" s="337">
        <v>139</v>
      </c>
      <c r="AE586" s="337">
        <v>61</v>
      </c>
      <c r="AF586" s="337">
        <v>119</v>
      </c>
      <c r="AG586" s="337">
        <v>22</v>
      </c>
      <c r="AH586" s="337">
        <v>91</v>
      </c>
      <c r="AI586" s="337">
        <v>91</v>
      </c>
      <c r="AJ586" s="337">
        <v>0</v>
      </c>
      <c r="AK586" s="337">
        <v>0</v>
      </c>
      <c r="AL586" s="337">
        <v>4</v>
      </c>
      <c r="AM586" s="337"/>
      <c r="AN586" s="337">
        <v>1782.619995117188</v>
      </c>
      <c r="AO586" s="337"/>
      <c r="AP586" s="337"/>
      <c r="AQ586" s="337"/>
      <c r="AR586" s="337"/>
      <c r="AS586" s="337"/>
      <c r="AT586" s="337"/>
      <c r="AU586" s="337"/>
      <c r="AV586" s="337"/>
      <c r="AW586" s="337"/>
      <c r="AX586" s="337"/>
      <c r="AY586" s="337"/>
      <c r="AZ586" s="337"/>
      <c r="BA586" s="337"/>
      <c r="BB586" s="337"/>
      <c r="BC586" s="337"/>
      <c r="BD586" s="337"/>
      <c r="BE586" s="337"/>
      <c r="BF586" s="337" t="s">
        <v>5</v>
      </c>
      <c r="BG586" s="337" t="s">
        <v>5</v>
      </c>
      <c r="BH586" s="337" t="s">
        <v>1777</v>
      </c>
      <c r="BI586" s="337"/>
      <c r="BJ586" s="337" t="s">
        <v>5</v>
      </c>
      <c r="BK586" s="337"/>
      <c r="BL586" s="337">
        <v>0</v>
      </c>
      <c r="BM586" s="337"/>
      <c r="BN586" s="337" t="s">
        <v>5</v>
      </c>
      <c r="BO586" s="337"/>
      <c r="BP586" s="337"/>
      <c r="BQ586" s="337"/>
      <c r="BR586" s="337"/>
      <c r="BS586" s="337" t="s">
        <v>5</v>
      </c>
      <c r="BT586" s="337"/>
      <c r="BU586" s="337"/>
      <c r="BV586" s="337"/>
      <c r="BW586" s="337" t="s">
        <v>1778</v>
      </c>
      <c r="BX586" s="337" t="s">
        <v>6</v>
      </c>
      <c r="BY586" s="337" t="s">
        <v>1101</v>
      </c>
      <c r="BZ586" s="337"/>
      <c r="CB586" s="337" t="s">
        <v>5</v>
      </c>
      <c r="CC586" s="337">
        <v>231778.0747531754</v>
      </c>
      <c r="CD586" s="337">
        <v>2323300961.753407</v>
      </c>
      <c r="CE586" s="313" t="s">
        <v>11891</v>
      </c>
    </row>
    <row r="587" spans="1:83" ht="15" x14ac:dyDescent="0.25">
      <c r="A587" s="337" t="s">
        <v>2254</v>
      </c>
      <c r="B587" s="337" t="s">
        <v>2255</v>
      </c>
      <c r="C587" s="337" t="s">
        <v>2256</v>
      </c>
      <c r="D587" s="337">
        <v>3</v>
      </c>
      <c r="E587" s="337" t="s">
        <v>1771</v>
      </c>
      <c r="F587" s="337" t="s">
        <v>1610</v>
      </c>
      <c r="G587" s="337" t="s">
        <v>2252</v>
      </c>
      <c r="H587" s="337" t="s">
        <v>4475</v>
      </c>
      <c r="I587" s="337" t="s">
        <v>12775</v>
      </c>
      <c r="J587" s="337" t="s">
        <v>2253</v>
      </c>
      <c r="K587" s="337" t="s">
        <v>1800</v>
      </c>
      <c r="L587" s="337">
        <v>896.794189453125</v>
      </c>
      <c r="M587" s="337" t="s">
        <v>6</v>
      </c>
      <c r="N587" s="337" t="s">
        <v>5</v>
      </c>
      <c r="O587" s="337" t="s">
        <v>5</v>
      </c>
      <c r="P587" s="337" t="s">
        <v>5</v>
      </c>
      <c r="Q587" s="337" t="s">
        <v>5</v>
      </c>
      <c r="R587" s="337" t="s">
        <v>1612</v>
      </c>
      <c r="S587" s="337" t="s">
        <v>1613</v>
      </c>
      <c r="T587" s="337" t="s">
        <v>5</v>
      </c>
      <c r="U587" s="337" t="s">
        <v>13</v>
      </c>
      <c r="V587" s="337">
        <v>50000</v>
      </c>
      <c r="W587" s="337">
        <v>50000</v>
      </c>
      <c r="X587" s="337" t="s">
        <v>5</v>
      </c>
      <c r="Y587" s="337"/>
      <c r="Z587" s="337"/>
      <c r="AA587" s="337">
        <v>5.7018928527832031</v>
      </c>
      <c r="AB587" s="337">
        <v>0.54852932691574097</v>
      </c>
      <c r="AC587" s="337">
        <v>5.4823698997497559</v>
      </c>
      <c r="AD587" s="337">
        <v>139</v>
      </c>
      <c r="AE587" s="337">
        <v>61</v>
      </c>
      <c r="AF587" s="337">
        <v>119</v>
      </c>
      <c r="AG587" s="337">
        <v>22</v>
      </c>
      <c r="AH587" s="337">
        <v>91</v>
      </c>
      <c r="AI587" s="337">
        <v>91</v>
      </c>
      <c r="AJ587" s="337">
        <v>5</v>
      </c>
      <c r="AK587" s="337">
        <v>1</v>
      </c>
      <c r="AL587" s="337">
        <v>4</v>
      </c>
      <c r="AM587" s="337"/>
      <c r="AN587" s="337">
        <v>1782.619995117188</v>
      </c>
      <c r="AO587" s="337"/>
      <c r="AP587" s="337"/>
      <c r="AQ587" s="337"/>
      <c r="AR587" s="337"/>
      <c r="AS587" s="337"/>
      <c r="AT587" s="337"/>
      <c r="AU587" s="337"/>
      <c r="AV587" s="337"/>
      <c r="AW587" s="337"/>
      <c r="AX587" s="337"/>
      <c r="AY587" s="337"/>
      <c r="AZ587" s="337"/>
      <c r="BA587" s="337"/>
      <c r="BB587" s="337"/>
      <c r="BC587" s="337"/>
      <c r="BD587" s="337"/>
      <c r="BE587" s="337"/>
      <c r="BF587" s="337" t="s">
        <v>5</v>
      </c>
      <c r="BG587" s="337" t="s">
        <v>5</v>
      </c>
      <c r="BH587" s="337" t="s">
        <v>1777</v>
      </c>
      <c r="BI587" s="337"/>
      <c r="BJ587" s="337" t="s">
        <v>5</v>
      </c>
      <c r="BK587" s="337"/>
      <c r="BL587" s="337">
        <v>0</v>
      </c>
      <c r="BM587" s="337"/>
      <c r="BN587" s="337" t="s">
        <v>5</v>
      </c>
      <c r="BO587" s="337"/>
      <c r="BP587" s="337"/>
      <c r="BQ587" s="337"/>
      <c r="BR587" s="337"/>
      <c r="BS587" s="337" t="s">
        <v>5</v>
      </c>
      <c r="BT587" s="337"/>
      <c r="BU587" s="337"/>
      <c r="BV587" s="337"/>
      <c r="BW587" s="337" t="s">
        <v>1778</v>
      </c>
      <c r="BX587" s="337" t="s">
        <v>6</v>
      </c>
      <c r="BY587" s="337" t="s">
        <v>1101</v>
      </c>
      <c r="BZ587" s="337"/>
      <c r="CB587" s="337" t="s">
        <v>5</v>
      </c>
      <c r="CC587" s="337">
        <v>231778.0747531754</v>
      </c>
      <c r="CD587" s="337">
        <v>2323300961.753407</v>
      </c>
      <c r="CE587" s="313" t="s">
        <v>11891</v>
      </c>
    </row>
    <row r="588" spans="1:83" ht="15" x14ac:dyDescent="0.25">
      <c r="A588" s="337" t="s">
        <v>2257</v>
      </c>
      <c r="B588" s="337" t="s">
        <v>2258</v>
      </c>
      <c r="C588" s="337" t="s">
        <v>2259</v>
      </c>
      <c r="D588" s="337">
        <v>3</v>
      </c>
      <c r="E588" s="337" t="s">
        <v>1771</v>
      </c>
      <c r="F588" s="337" t="s">
        <v>2212</v>
      </c>
      <c r="G588" s="337" t="s">
        <v>2102</v>
      </c>
      <c r="H588" s="337" t="s">
        <v>4443</v>
      </c>
      <c r="I588" s="337" t="s">
        <v>12775</v>
      </c>
      <c r="J588" s="337" t="s">
        <v>2103</v>
      </c>
      <c r="K588" s="337" t="s">
        <v>1800</v>
      </c>
      <c r="L588" s="337">
        <v>976.48260498046875</v>
      </c>
      <c r="M588" s="337" t="s">
        <v>6</v>
      </c>
      <c r="N588" s="337" t="s">
        <v>5</v>
      </c>
      <c r="O588" s="337" t="s">
        <v>5</v>
      </c>
      <c r="P588" s="337" t="s">
        <v>5</v>
      </c>
      <c r="Q588" s="337" t="s">
        <v>5</v>
      </c>
      <c r="R588" s="337" t="s">
        <v>1624</v>
      </c>
      <c r="S588" s="337" t="s">
        <v>1625</v>
      </c>
      <c r="T588" s="337" t="s">
        <v>5</v>
      </c>
      <c r="U588" s="337" t="s">
        <v>13</v>
      </c>
      <c r="V588" s="337">
        <v>50000</v>
      </c>
      <c r="W588" s="337">
        <v>50000</v>
      </c>
      <c r="X588" s="337" t="s">
        <v>6</v>
      </c>
      <c r="Y588" s="337"/>
      <c r="Z588" s="337">
        <v>5000</v>
      </c>
      <c r="AA588" s="337">
        <v>68.025527954101563</v>
      </c>
      <c r="AB588" s="337">
        <v>7.2295022010803223</v>
      </c>
      <c r="AC588" s="337">
        <v>7.1393699645996094</v>
      </c>
      <c r="AD588" s="337">
        <v>436</v>
      </c>
      <c r="AE588" s="337">
        <v>219</v>
      </c>
      <c r="AF588" s="337">
        <v>376</v>
      </c>
      <c r="AG588" s="337">
        <v>160</v>
      </c>
      <c r="AH588" s="337">
        <v>514</v>
      </c>
      <c r="AI588" s="337">
        <v>514</v>
      </c>
      <c r="AJ588" s="337">
        <v>5</v>
      </c>
      <c r="AK588" s="337">
        <v>1</v>
      </c>
      <c r="AL588" s="337">
        <v>43</v>
      </c>
      <c r="AM588" s="337"/>
      <c r="AN588" s="337">
        <v>21311.439453125</v>
      </c>
      <c r="AO588" s="337"/>
      <c r="AP588" s="337"/>
      <c r="AQ588" s="337"/>
      <c r="AR588" s="337"/>
      <c r="AS588" s="337"/>
      <c r="AT588" s="337"/>
      <c r="AU588" s="337"/>
      <c r="AV588" s="337"/>
      <c r="AW588" s="337"/>
      <c r="AX588" s="337"/>
      <c r="AY588" s="337"/>
      <c r="AZ588" s="337"/>
      <c r="BA588" s="337"/>
      <c r="BB588" s="337"/>
      <c r="BC588" s="337"/>
      <c r="BD588" s="337"/>
      <c r="BE588" s="337"/>
      <c r="BF588" s="337" t="s">
        <v>5</v>
      </c>
      <c r="BG588" s="337" t="s">
        <v>5</v>
      </c>
      <c r="BH588" s="337" t="s">
        <v>1777</v>
      </c>
      <c r="BI588" s="337"/>
      <c r="BJ588" s="337" t="s">
        <v>5</v>
      </c>
      <c r="BK588" s="337"/>
      <c r="BL588" s="337">
        <v>0</v>
      </c>
      <c r="BM588" s="337"/>
      <c r="BN588" s="337" t="s">
        <v>5</v>
      </c>
      <c r="BO588" s="337"/>
      <c r="BP588" s="337"/>
      <c r="BQ588" s="337"/>
      <c r="BR588" s="337"/>
      <c r="BS588" s="337" t="s">
        <v>5</v>
      </c>
      <c r="BT588" s="337"/>
      <c r="BU588" s="337"/>
      <c r="BV588" s="337"/>
      <c r="BW588" s="337" t="s">
        <v>1778</v>
      </c>
      <c r="BX588" s="337" t="s">
        <v>6</v>
      </c>
      <c r="BY588" s="337" t="s">
        <v>1101</v>
      </c>
      <c r="BZ588" s="337"/>
      <c r="CB588" s="337" t="s">
        <v>5</v>
      </c>
      <c r="CC588" s="337">
        <v>242165.81306584779</v>
      </c>
      <c r="CD588" s="337">
        <v>2529747737.1860971</v>
      </c>
      <c r="CE588" s="313" t="s">
        <v>11891</v>
      </c>
    </row>
    <row r="589" spans="1:83" ht="15" x14ac:dyDescent="0.25">
      <c r="A589" s="337" t="s">
        <v>2260</v>
      </c>
      <c r="B589" s="337" t="s">
        <v>2261</v>
      </c>
      <c r="C589" s="337" t="s">
        <v>2262</v>
      </c>
      <c r="D589" s="337">
        <v>3</v>
      </c>
      <c r="E589" s="337" t="s">
        <v>1771</v>
      </c>
      <c r="F589" s="337" t="s">
        <v>2064</v>
      </c>
      <c r="G589" s="337" t="s">
        <v>2065</v>
      </c>
      <c r="H589" s="337" t="s">
        <v>4432</v>
      </c>
      <c r="I589" s="337" t="s">
        <v>12775</v>
      </c>
      <c r="J589" s="337" t="s">
        <v>2066</v>
      </c>
      <c r="K589" s="337" t="s">
        <v>1800</v>
      </c>
      <c r="L589" s="337">
        <v>1231.755004882812</v>
      </c>
      <c r="M589" s="337" t="s">
        <v>6</v>
      </c>
      <c r="N589" s="337" t="s">
        <v>5</v>
      </c>
      <c r="O589" s="337" t="s">
        <v>5</v>
      </c>
      <c r="P589" s="337" t="s">
        <v>5</v>
      </c>
      <c r="Q589" s="337" t="s">
        <v>5</v>
      </c>
      <c r="R589" s="337" t="s">
        <v>4433</v>
      </c>
      <c r="S589" s="337" t="s">
        <v>2067</v>
      </c>
      <c r="T589" s="337" t="s">
        <v>5</v>
      </c>
      <c r="U589" s="337" t="s">
        <v>13</v>
      </c>
      <c r="V589" s="337">
        <v>50000</v>
      </c>
      <c r="W589" s="337">
        <v>50000</v>
      </c>
      <c r="X589" s="337" t="s">
        <v>6</v>
      </c>
      <c r="Y589" s="337"/>
      <c r="Z589" s="337">
        <v>5000</v>
      </c>
      <c r="AA589" s="337">
        <v>245.76220703125</v>
      </c>
      <c r="AB589" s="337">
        <v>18.119829177856449</v>
      </c>
      <c r="AC589" s="337">
        <v>0.15924020111560819</v>
      </c>
      <c r="AD589" s="337">
        <v>0</v>
      </c>
      <c r="AE589" s="337">
        <v>0</v>
      </c>
      <c r="AF589" s="337">
        <v>0</v>
      </c>
      <c r="AG589" s="337">
        <v>0</v>
      </c>
      <c r="AH589" s="337">
        <v>0</v>
      </c>
      <c r="AI589" s="337">
        <v>0</v>
      </c>
      <c r="AJ589" s="337">
        <v>5</v>
      </c>
      <c r="AK589" s="337">
        <v>18</v>
      </c>
      <c r="AL589" s="337">
        <v>110</v>
      </c>
      <c r="AM589" s="337"/>
      <c r="AN589" s="337">
        <v>0</v>
      </c>
      <c r="AO589" s="337"/>
      <c r="AP589" s="337"/>
      <c r="AQ589" s="337"/>
      <c r="AR589" s="337"/>
      <c r="AS589" s="337"/>
      <c r="AT589" s="337"/>
      <c r="AU589" s="337"/>
      <c r="AV589" s="337"/>
      <c r="AW589" s="337"/>
      <c r="AX589" s="337"/>
      <c r="AY589" s="337"/>
      <c r="AZ589" s="337"/>
      <c r="BA589" s="337"/>
      <c r="BB589" s="337"/>
      <c r="BC589" s="337"/>
      <c r="BD589" s="337"/>
      <c r="BE589" s="337"/>
      <c r="BF589" s="337" t="s">
        <v>5</v>
      </c>
      <c r="BG589" s="337" t="s">
        <v>5</v>
      </c>
      <c r="BH589" s="337" t="s">
        <v>1777</v>
      </c>
      <c r="BI589" s="337"/>
      <c r="BJ589" s="337" t="s">
        <v>5</v>
      </c>
      <c r="BK589" s="337"/>
      <c r="BL589" s="337">
        <v>0</v>
      </c>
      <c r="BM589" s="337"/>
      <c r="BN589" s="337" t="s">
        <v>5</v>
      </c>
      <c r="BO589" s="337"/>
      <c r="BP589" s="337"/>
      <c r="BQ589" s="337"/>
      <c r="BR589" s="337"/>
      <c r="BS589" s="337" t="s">
        <v>5</v>
      </c>
      <c r="BT589" s="337"/>
      <c r="BU589" s="337"/>
      <c r="BV589" s="337"/>
      <c r="BW589" s="337" t="s">
        <v>1778</v>
      </c>
      <c r="BX589" s="337" t="s">
        <v>6</v>
      </c>
      <c r="BY589" s="337" t="s">
        <v>1101</v>
      </c>
      <c r="BZ589" s="337"/>
      <c r="CB589" s="337" t="s">
        <v>5</v>
      </c>
      <c r="CC589" s="337">
        <v>320156.78041853983</v>
      </c>
      <c r="CD589" s="337">
        <v>3191076170.6206288</v>
      </c>
      <c r="CE589" s="313" t="s">
        <v>11891</v>
      </c>
    </row>
    <row r="590" spans="1:83" ht="15" x14ac:dyDescent="0.25">
      <c r="A590" s="337" t="s">
        <v>2263</v>
      </c>
      <c r="B590" s="337" t="s">
        <v>2264</v>
      </c>
      <c r="C590" s="337" t="s">
        <v>2265</v>
      </c>
      <c r="D590" s="337">
        <v>3</v>
      </c>
      <c r="E590" s="337" t="s">
        <v>1771</v>
      </c>
      <c r="F590" s="337" t="s">
        <v>2131</v>
      </c>
      <c r="G590" s="337" t="s">
        <v>2132</v>
      </c>
      <c r="H590" s="337" t="s">
        <v>4449</v>
      </c>
      <c r="I590" s="337" t="s">
        <v>12775</v>
      </c>
      <c r="J590" s="337" t="s">
        <v>12763</v>
      </c>
      <c r="K590" s="337" t="s">
        <v>1800</v>
      </c>
      <c r="L590" s="337">
        <v>933.2020263671875</v>
      </c>
      <c r="M590" s="337" t="s">
        <v>6</v>
      </c>
      <c r="N590" s="337" t="s">
        <v>5</v>
      </c>
      <c r="O590" s="337" t="s">
        <v>5</v>
      </c>
      <c r="P590" s="337" t="s">
        <v>5</v>
      </c>
      <c r="Q590" s="337" t="s">
        <v>5</v>
      </c>
      <c r="R590" s="337" t="s">
        <v>4450</v>
      </c>
      <c r="S590" s="337" t="s">
        <v>2134</v>
      </c>
      <c r="T590" s="337" t="s">
        <v>5</v>
      </c>
      <c r="U590" s="337" t="s">
        <v>13</v>
      </c>
      <c r="V590" s="337">
        <v>50000</v>
      </c>
      <c r="W590" s="337">
        <v>50000</v>
      </c>
      <c r="X590" s="337" t="s">
        <v>6</v>
      </c>
      <c r="Y590" s="337"/>
      <c r="Z590" s="337">
        <v>5000</v>
      </c>
      <c r="AA590" s="337">
        <v>68.970542907714844</v>
      </c>
      <c r="AB590" s="337">
        <v>7.8149361610412598</v>
      </c>
      <c r="AC590" s="337">
        <v>4.4384528882801527E-4</v>
      </c>
      <c r="AD590" s="337">
        <v>0</v>
      </c>
      <c r="AE590" s="337">
        <v>0</v>
      </c>
      <c r="AF590" s="337">
        <v>0</v>
      </c>
      <c r="AG590" s="337">
        <v>0</v>
      </c>
      <c r="AH590" s="337">
        <v>0</v>
      </c>
      <c r="AI590" s="337">
        <v>0</v>
      </c>
      <c r="AJ590" s="337">
        <v>18</v>
      </c>
      <c r="AK590" s="337">
        <v>22</v>
      </c>
      <c r="AL590" s="337">
        <v>57</v>
      </c>
      <c r="AM590" s="337"/>
      <c r="AN590" s="337">
        <v>0</v>
      </c>
      <c r="AO590" s="337"/>
      <c r="AP590" s="337"/>
      <c r="AQ590" s="337"/>
      <c r="AR590" s="337"/>
      <c r="AS590" s="337"/>
      <c r="AT590" s="337"/>
      <c r="AU590" s="337"/>
      <c r="AV590" s="337"/>
      <c r="AW590" s="337"/>
      <c r="AX590" s="337"/>
      <c r="AY590" s="337"/>
      <c r="AZ590" s="337"/>
      <c r="BA590" s="337"/>
      <c r="BB590" s="337"/>
      <c r="BC590" s="337"/>
      <c r="BD590" s="337"/>
      <c r="BE590" s="337"/>
      <c r="BF590" s="337" t="s">
        <v>5</v>
      </c>
      <c r="BG590" s="337" t="s">
        <v>5</v>
      </c>
      <c r="BH590" s="337" t="s">
        <v>1777</v>
      </c>
      <c r="BI590" s="337"/>
      <c r="BJ590" s="337" t="s">
        <v>5</v>
      </c>
      <c r="BK590" s="337"/>
      <c r="BL590" s="337">
        <v>0</v>
      </c>
      <c r="BM590" s="337"/>
      <c r="BN590" s="337" t="s">
        <v>5</v>
      </c>
      <c r="BO590" s="337"/>
      <c r="BP590" s="337"/>
      <c r="BQ590" s="337"/>
      <c r="BR590" s="337"/>
      <c r="BS590" s="337" t="s">
        <v>5</v>
      </c>
      <c r="BT590" s="337"/>
      <c r="BU590" s="337"/>
      <c r="BV590" s="337"/>
      <c r="BW590" s="337" t="s">
        <v>1778</v>
      </c>
      <c r="BX590" s="337" t="s">
        <v>6</v>
      </c>
      <c r="BY590" s="337" t="s">
        <v>1101</v>
      </c>
      <c r="BZ590" s="337"/>
      <c r="CB590" s="337" t="s">
        <v>5</v>
      </c>
      <c r="CC590" s="337">
        <v>214521.70282344829</v>
      </c>
      <c r="CD590" s="337">
        <v>2417621705.792469</v>
      </c>
      <c r="CE590" s="313" t="s">
        <v>11891</v>
      </c>
    </row>
    <row r="591" spans="1:83" ht="15" x14ac:dyDescent="0.25">
      <c r="A591" s="337" t="s">
        <v>2273</v>
      </c>
      <c r="B591" s="337" t="s">
        <v>2274</v>
      </c>
      <c r="C591" s="337" t="s">
        <v>2275</v>
      </c>
      <c r="D591" s="337">
        <v>3</v>
      </c>
      <c r="E591" s="337" t="s">
        <v>1771</v>
      </c>
      <c r="F591" s="337" t="s">
        <v>1996</v>
      </c>
      <c r="G591" s="337" t="s">
        <v>2227</v>
      </c>
      <c r="H591" s="337" t="s">
        <v>2228</v>
      </c>
      <c r="I591" s="337" t="s">
        <v>2229</v>
      </c>
      <c r="J591" s="337" t="s">
        <v>2230</v>
      </c>
      <c r="K591" s="337" t="s">
        <v>1800</v>
      </c>
      <c r="L591" s="337">
        <v>1.5210980176925659</v>
      </c>
      <c r="M591" s="337" t="s">
        <v>6</v>
      </c>
      <c r="N591" s="337" t="s">
        <v>5</v>
      </c>
      <c r="O591" s="337" t="s">
        <v>5</v>
      </c>
      <c r="P591" s="337" t="s">
        <v>5</v>
      </c>
      <c r="Q591" s="337" t="s">
        <v>5</v>
      </c>
      <c r="R591" s="337" t="s">
        <v>4468</v>
      </c>
      <c r="S591" s="337" t="s">
        <v>2231</v>
      </c>
      <c r="T591" s="337" t="s">
        <v>5</v>
      </c>
      <c r="U591" s="337" t="s">
        <v>13</v>
      </c>
      <c r="V591" s="337">
        <v>50000</v>
      </c>
      <c r="W591" s="337">
        <v>50000</v>
      </c>
      <c r="X591" s="337" t="s">
        <v>6</v>
      </c>
      <c r="Y591" s="337"/>
      <c r="Z591" s="337">
        <v>5000</v>
      </c>
      <c r="AA591" s="337">
        <v>0.22886960208415991</v>
      </c>
      <c r="AB591" s="337">
        <v>4.497259110212326E-2</v>
      </c>
      <c r="AC591" s="337">
        <v>0</v>
      </c>
      <c r="AD591" s="337">
        <v>0</v>
      </c>
      <c r="AE591" s="337">
        <v>0</v>
      </c>
      <c r="AF591" s="337">
        <v>0</v>
      </c>
      <c r="AG591" s="337">
        <v>0</v>
      </c>
      <c r="AH591" s="337">
        <v>0</v>
      </c>
      <c r="AI591" s="337">
        <v>0</v>
      </c>
      <c r="AJ591" s="337">
        <v>369</v>
      </c>
      <c r="AK591" s="337">
        <v>387</v>
      </c>
      <c r="AL591" s="337">
        <v>2</v>
      </c>
      <c r="AM591" s="337"/>
      <c r="AN591" s="337">
        <v>0</v>
      </c>
      <c r="AO591" s="337"/>
      <c r="AP591" s="337"/>
      <c r="AQ591" s="337"/>
      <c r="AR591" s="337"/>
      <c r="AS591" s="337"/>
      <c r="AT591" s="337"/>
      <c r="AU591" s="337"/>
      <c r="AV591" s="337"/>
      <c r="AW591" s="337"/>
      <c r="AX591" s="337"/>
      <c r="AY591" s="337"/>
      <c r="AZ591" s="337"/>
      <c r="BA591" s="337"/>
      <c r="BB591" s="337"/>
      <c r="BC591" s="337"/>
      <c r="BD591" s="337"/>
      <c r="BE591" s="337"/>
      <c r="BF591" s="337" t="s">
        <v>5</v>
      </c>
      <c r="BG591" s="337" t="s">
        <v>5</v>
      </c>
      <c r="BH591" s="337" t="s">
        <v>1777</v>
      </c>
      <c r="BI591" s="337"/>
      <c r="BJ591" s="337" t="s">
        <v>5</v>
      </c>
      <c r="BK591" s="337"/>
      <c r="BL591" s="337">
        <v>0</v>
      </c>
      <c r="BM591" s="337"/>
      <c r="BN591" s="337" t="s">
        <v>5</v>
      </c>
      <c r="BO591" s="337"/>
      <c r="BP591" s="337"/>
      <c r="BQ591" s="337"/>
      <c r="BR591" s="337"/>
      <c r="BS591" s="337" t="s">
        <v>5</v>
      </c>
      <c r="BT591" s="337"/>
      <c r="BU591" s="337"/>
      <c r="BV591" s="337"/>
      <c r="BW591" s="337" t="s">
        <v>1778</v>
      </c>
      <c r="BX591" s="337" t="s">
        <v>6</v>
      </c>
      <c r="BY591" s="337" t="s">
        <v>1101</v>
      </c>
      <c r="BZ591" s="337"/>
      <c r="CB591" s="337" t="s">
        <v>5</v>
      </c>
      <c r="CC591" s="337">
        <v>18790.94881460191</v>
      </c>
      <c r="CD591" s="337">
        <v>3940669.2392693991</v>
      </c>
      <c r="CE591" s="313" t="s">
        <v>11891</v>
      </c>
    </row>
    <row r="592" spans="1:83" ht="15" x14ac:dyDescent="0.25">
      <c r="A592" s="337" t="s">
        <v>2481</v>
      </c>
      <c r="B592" s="337" t="s">
        <v>2482</v>
      </c>
      <c r="C592" s="337" t="s">
        <v>2483</v>
      </c>
      <c r="D592" s="337">
        <v>3</v>
      </c>
      <c r="E592" s="337" t="s">
        <v>1771</v>
      </c>
      <c r="F592" s="337" t="s">
        <v>2337</v>
      </c>
      <c r="G592" s="337" t="s">
        <v>1859</v>
      </c>
      <c r="H592" s="337" t="s">
        <v>4530</v>
      </c>
      <c r="I592" s="337" t="s">
        <v>12794</v>
      </c>
      <c r="J592" s="337" t="s">
        <v>2484</v>
      </c>
      <c r="K592" s="337" t="s">
        <v>1868</v>
      </c>
      <c r="L592" s="337">
        <v>10.54308032989502</v>
      </c>
      <c r="M592" s="337" t="s">
        <v>6</v>
      </c>
      <c r="N592" s="337" t="s">
        <v>5</v>
      </c>
      <c r="O592" s="337" t="s">
        <v>5</v>
      </c>
      <c r="P592" s="337" t="s">
        <v>5</v>
      </c>
      <c r="Q592" s="337" t="s">
        <v>5</v>
      </c>
      <c r="R592" s="337" t="s">
        <v>4470</v>
      </c>
      <c r="S592" s="337" t="s">
        <v>2238</v>
      </c>
      <c r="T592" s="337" t="s">
        <v>5</v>
      </c>
      <c r="U592" s="337" t="s">
        <v>28</v>
      </c>
      <c r="V592" s="337">
        <v>500000</v>
      </c>
      <c r="W592" s="337">
        <v>50000</v>
      </c>
      <c r="X592" s="337" t="s">
        <v>6</v>
      </c>
      <c r="Y592" s="337"/>
      <c r="Z592" s="337">
        <v>50000</v>
      </c>
      <c r="AA592" s="337">
        <v>1.287580013275146</v>
      </c>
      <c r="AB592" s="337">
        <v>0.17017120122909549</v>
      </c>
      <c r="AC592" s="337">
        <v>0</v>
      </c>
      <c r="AD592" s="337">
        <v>113</v>
      </c>
      <c r="AE592" s="337">
        <v>68</v>
      </c>
      <c r="AF592" s="337">
        <v>97</v>
      </c>
      <c r="AG592" s="337">
        <v>256</v>
      </c>
      <c r="AH592" s="337">
        <v>317</v>
      </c>
      <c r="AI592" s="337">
        <v>317</v>
      </c>
      <c r="AJ592" s="337">
        <v>8</v>
      </c>
      <c r="AK592" s="337">
        <v>19</v>
      </c>
      <c r="AL592" s="337">
        <v>4</v>
      </c>
      <c r="AM592" s="337"/>
      <c r="AN592" s="337">
        <v>372.21371459960938</v>
      </c>
      <c r="AO592" s="337"/>
      <c r="AP592" s="337"/>
      <c r="AQ592" s="337"/>
      <c r="AR592" s="337"/>
      <c r="AS592" s="337"/>
      <c r="AT592" s="337"/>
      <c r="AU592" s="337"/>
      <c r="AV592" s="337"/>
      <c r="AW592" s="337"/>
      <c r="AX592" s="337"/>
      <c r="AY592" s="337"/>
      <c r="AZ592" s="337"/>
      <c r="BA592" s="337"/>
      <c r="BB592" s="337"/>
      <c r="BC592" s="337"/>
      <c r="BD592" s="337"/>
      <c r="BE592" s="337"/>
      <c r="BF592" s="337" t="s">
        <v>5</v>
      </c>
      <c r="BG592" s="337" t="s">
        <v>5</v>
      </c>
      <c r="BH592" s="337" t="s">
        <v>1777</v>
      </c>
      <c r="BI592" s="337"/>
      <c r="BJ592" s="337" t="s">
        <v>5</v>
      </c>
      <c r="BK592" s="337"/>
      <c r="BL592" s="337">
        <v>0</v>
      </c>
      <c r="BM592" s="337"/>
      <c r="BN592" s="337" t="s">
        <v>5</v>
      </c>
      <c r="BO592" s="337"/>
      <c r="BP592" s="337"/>
      <c r="BQ592" s="337"/>
      <c r="BR592" s="337"/>
      <c r="BS592" s="337" t="s">
        <v>5</v>
      </c>
      <c r="BT592" s="337"/>
      <c r="BU592" s="337"/>
      <c r="BV592" s="337"/>
      <c r="BW592" s="337" t="s">
        <v>1778</v>
      </c>
      <c r="BX592" s="337" t="s">
        <v>6</v>
      </c>
      <c r="BY592" s="337" t="s">
        <v>1101</v>
      </c>
      <c r="BZ592" s="337"/>
      <c r="CB592" s="337" t="s">
        <v>5</v>
      </c>
      <c r="CC592" s="337">
        <v>29906.350031334488</v>
      </c>
      <c r="CD592" s="337">
        <v>27313667.424835019</v>
      </c>
      <c r="CE592" s="313" t="s">
        <v>11891</v>
      </c>
    </row>
    <row r="593" spans="1:83" ht="15" x14ac:dyDescent="0.25">
      <c r="A593" s="337" t="s">
        <v>2488</v>
      </c>
      <c r="B593" s="337" t="s">
        <v>2489</v>
      </c>
      <c r="C593" s="337" t="s">
        <v>2490</v>
      </c>
      <c r="D593" s="337">
        <v>3</v>
      </c>
      <c r="E593" s="337" t="s">
        <v>1771</v>
      </c>
      <c r="F593" s="337" t="s">
        <v>2491</v>
      </c>
      <c r="G593" s="337" t="s">
        <v>2492</v>
      </c>
      <c r="H593" s="337" t="s">
        <v>4531</v>
      </c>
      <c r="I593" s="337" t="s">
        <v>12748</v>
      </c>
      <c r="J593" s="337" t="s">
        <v>2493</v>
      </c>
      <c r="K593" s="337" t="s">
        <v>1783</v>
      </c>
      <c r="L593" s="337">
        <v>856.14532470703125</v>
      </c>
      <c r="M593" s="337" t="s">
        <v>6</v>
      </c>
      <c r="N593" s="337" t="s">
        <v>5</v>
      </c>
      <c r="O593" s="337" t="s">
        <v>5</v>
      </c>
      <c r="P593" s="337" t="s">
        <v>5</v>
      </c>
      <c r="Q593" s="337" t="s">
        <v>5</v>
      </c>
      <c r="R593" s="337" t="s">
        <v>4532</v>
      </c>
      <c r="S593" s="337" t="s">
        <v>2494</v>
      </c>
      <c r="T593" s="337" t="s">
        <v>5</v>
      </c>
      <c r="U593" s="337" t="s">
        <v>13</v>
      </c>
      <c r="V593" s="337">
        <v>50000</v>
      </c>
      <c r="W593" s="337">
        <v>50000</v>
      </c>
      <c r="X593" s="337" t="s">
        <v>6</v>
      </c>
      <c r="Y593" s="337"/>
      <c r="Z593" s="337">
        <v>5000</v>
      </c>
      <c r="AA593" s="337">
        <v>49.175830841064453</v>
      </c>
      <c r="AB593" s="337">
        <v>4.6982231140136719</v>
      </c>
      <c r="AC593" s="337">
        <v>0.2058179974555969</v>
      </c>
      <c r="AD593" s="337">
        <v>506</v>
      </c>
      <c r="AE593" s="337">
        <v>184</v>
      </c>
      <c r="AF593" s="337">
        <v>261</v>
      </c>
      <c r="AG593" s="337">
        <v>183</v>
      </c>
      <c r="AH593" s="337">
        <v>384</v>
      </c>
      <c r="AI593" s="337">
        <v>384</v>
      </c>
      <c r="AJ593" s="337">
        <v>11</v>
      </c>
      <c r="AK593" s="337">
        <v>5</v>
      </c>
      <c r="AL593" s="337">
        <v>37</v>
      </c>
      <c r="AM593" s="337"/>
      <c r="AN593" s="337">
        <v>18020.580078125</v>
      </c>
      <c r="AO593" s="337"/>
      <c r="AP593" s="337"/>
      <c r="AQ593" s="337"/>
      <c r="AR593" s="337"/>
      <c r="AS593" s="337"/>
      <c r="AT593" s="337"/>
      <c r="AU593" s="337"/>
      <c r="AV593" s="337"/>
      <c r="AW593" s="337"/>
      <c r="AX593" s="337"/>
      <c r="AY593" s="337"/>
      <c r="AZ593" s="337"/>
      <c r="BA593" s="337"/>
      <c r="BB593" s="337"/>
      <c r="BC593" s="337"/>
      <c r="BD593" s="337"/>
      <c r="BE593" s="337"/>
      <c r="BF593" s="337" t="s">
        <v>5</v>
      </c>
      <c r="BG593" s="337" t="s">
        <v>5</v>
      </c>
      <c r="BH593" s="337" t="s">
        <v>1777</v>
      </c>
      <c r="BI593" s="337"/>
      <c r="BJ593" s="337" t="s">
        <v>5</v>
      </c>
      <c r="BK593" s="337"/>
      <c r="BL593" s="337">
        <v>0</v>
      </c>
      <c r="BM593" s="337"/>
      <c r="BN593" s="337" t="s">
        <v>5</v>
      </c>
      <c r="BO593" s="337"/>
      <c r="BP593" s="337"/>
      <c r="BQ593" s="337"/>
      <c r="BR593" s="337"/>
      <c r="BS593" s="337" t="s">
        <v>5</v>
      </c>
      <c r="BT593" s="337"/>
      <c r="BU593" s="337"/>
      <c r="BV593" s="337"/>
      <c r="BW593" s="337" t="s">
        <v>1778</v>
      </c>
      <c r="BX593" s="337" t="s">
        <v>6</v>
      </c>
      <c r="BY593" s="337" t="s">
        <v>1101</v>
      </c>
      <c r="BZ593" s="337"/>
      <c r="CB593" s="337" t="s">
        <v>5</v>
      </c>
      <c r="CC593" s="337">
        <v>243896.6599129297</v>
      </c>
      <c r="CD593" s="337">
        <v>2217992854.8482332</v>
      </c>
      <c r="CE593" s="313" t="s">
        <v>11891</v>
      </c>
    </row>
    <row r="594" spans="1:83" ht="45" x14ac:dyDescent="0.25">
      <c r="A594" t="s">
        <v>4068</v>
      </c>
      <c r="B594" t="s">
        <v>4069</v>
      </c>
      <c r="C594" t="s">
        <v>4070</v>
      </c>
      <c r="D594">
        <v>15</v>
      </c>
      <c r="E594" t="s">
        <v>3847</v>
      </c>
      <c r="F594" t="s">
        <v>4050</v>
      </c>
      <c r="G594" t="s">
        <v>4071</v>
      </c>
      <c r="H594" t="s">
        <v>4072</v>
      </c>
      <c r="I594" t="s">
        <v>4073</v>
      </c>
      <c r="J594"/>
      <c r="K594" t="s">
        <v>3902</v>
      </c>
      <c r="L594">
        <v>18.822023391723629</v>
      </c>
      <c r="M594" t="s">
        <v>6</v>
      </c>
      <c r="N594" t="s">
        <v>5</v>
      </c>
      <c r="O594" t="s">
        <v>6</v>
      </c>
      <c r="P594" t="s">
        <v>5</v>
      </c>
      <c r="Q594" t="s">
        <v>5</v>
      </c>
      <c r="R594" t="s">
        <v>3898</v>
      </c>
      <c r="S594" t="s">
        <v>4074</v>
      </c>
      <c r="T594" t="s">
        <v>6</v>
      </c>
      <c r="U594" t="s">
        <v>50</v>
      </c>
      <c r="V594">
        <v>50000</v>
      </c>
      <c r="W594">
        <v>50000</v>
      </c>
      <c r="X594" t="s">
        <v>6</v>
      </c>
      <c r="Y594"/>
      <c r="Z594">
        <v>0</v>
      </c>
      <c r="AA594">
        <v>10.36201190948486</v>
      </c>
      <c r="AB594">
        <v>0.95835202932357788</v>
      </c>
      <c r="AC594">
        <v>0</v>
      </c>
      <c r="AD594">
        <v>1233</v>
      </c>
      <c r="AE594">
        <v>481</v>
      </c>
      <c r="AF594">
        <v>802</v>
      </c>
      <c r="AG594">
        <v>5035</v>
      </c>
      <c r="AH594">
        <v>4992</v>
      </c>
      <c r="AI594">
        <v>5035</v>
      </c>
      <c r="AJ594">
        <v>0</v>
      </c>
      <c r="AK594">
        <v>371</v>
      </c>
      <c r="AL594">
        <v>33</v>
      </c>
      <c r="AM594">
        <v>0</v>
      </c>
      <c r="AN594">
        <v>2352.04443359375</v>
      </c>
      <c r="AO594">
        <v>0</v>
      </c>
      <c r="AP594">
        <v>0</v>
      </c>
      <c r="AQ594">
        <v>0</v>
      </c>
      <c r="AR594">
        <v>0</v>
      </c>
      <c r="AS594">
        <v>0</v>
      </c>
      <c r="AT594">
        <v>0</v>
      </c>
      <c r="AU594">
        <v>0</v>
      </c>
      <c r="AV594">
        <v>0</v>
      </c>
      <c r="AW594">
        <v>0</v>
      </c>
      <c r="AX594">
        <v>0</v>
      </c>
      <c r="AY594">
        <v>0</v>
      </c>
      <c r="AZ594">
        <v>0</v>
      </c>
      <c r="BA594">
        <v>0</v>
      </c>
      <c r="BB594">
        <v>0</v>
      </c>
      <c r="BC594">
        <v>0</v>
      </c>
      <c r="BD594">
        <v>0</v>
      </c>
      <c r="BE594">
        <v>0</v>
      </c>
      <c r="BF594" t="s">
        <v>5</v>
      </c>
      <c r="BG594" t="s">
        <v>5</v>
      </c>
      <c r="BH594"/>
      <c r="BI594"/>
      <c r="BJ594" t="s">
        <v>5</v>
      </c>
      <c r="BK594"/>
      <c r="BL594">
        <v>0</v>
      </c>
      <c r="BM594">
        <v>0</v>
      </c>
      <c r="BN594" t="s">
        <v>5</v>
      </c>
      <c r="BO594"/>
      <c r="BP594"/>
      <c r="BQ594"/>
      <c r="BR594"/>
      <c r="BS594" t="s">
        <v>5</v>
      </c>
      <c r="BT594"/>
      <c r="BU594"/>
      <c r="BV594"/>
      <c r="BW594"/>
      <c r="BX594" t="s">
        <v>6</v>
      </c>
      <c r="BY594" t="s">
        <v>3850</v>
      </c>
      <c r="BZ594"/>
      <c r="CA594"/>
      <c r="CB594" t="s">
        <v>5</v>
      </c>
      <c r="CC594">
        <v>73974.193012910328</v>
      </c>
      <c r="CD594">
        <v>48749090.313673243</v>
      </c>
      <c r="CE594" s="319" t="s">
        <v>11891</v>
      </c>
    </row>
    <row r="595" spans="1:83" ht="45" x14ac:dyDescent="0.25">
      <c r="A595" t="s">
        <v>4075</v>
      </c>
      <c r="B595" t="s">
        <v>4076</v>
      </c>
      <c r="C595" t="s">
        <v>4077</v>
      </c>
      <c r="D595">
        <v>15</v>
      </c>
      <c r="E595" t="s">
        <v>3847</v>
      </c>
      <c r="F595" t="s">
        <v>3848</v>
      </c>
      <c r="G595" t="s">
        <v>4078</v>
      </c>
      <c r="H595" t="s">
        <v>4079</v>
      </c>
      <c r="I595" t="s">
        <v>4080</v>
      </c>
      <c r="J595"/>
      <c r="K595" t="s">
        <v>4081</v>
      </c>
      <c r="L595">
        <v>1.626649141311646</v>
      </c>
      <c r="M595" t="s">
        <v>6</v>
      </c>
      <c r="N595" t="s">
        <v>6</v>
      </c>
      <c r="O595" t="s">
        <v>5</v>
      </c>
      <c r="P595" t="s">
        <v>5</v>
      </c>
      <c r="Q595" t="s">
        <v>5</v>
      </c>
      <c r="R595" t="s">
        <v>4082</v>
      </c>
      <c r="S595" t="s">
        <v>4083</v>
      </c>
      <c r="T595" t="s">
        <v>6</v>
      </c>
      <c r="U595" t="s">
        <v>4</v>
      </c>
      <c r="V595">
        <v>100000</v>
      </c>
      <c r="W595">
        <v>50000</v>
      </c>
      <c r="X595" t="s">
        <v>6</v>
      </c>
      <c r="Y595"/>
      <c r="Z595">
        <v>0</v>
      </c>
      <c r="AA595">
        <v>0.49711301922798162</v>
      </c>
      <c r="AB595">
        <v>1.129536032676697</v>
      </c>
      <c r="AC595">
        <v>0</v>
      </c>
      <c r="AD595">
        <v>1162</v>
      </c>
      <c r="AE595">
        <v>1075</v>
      </c>
      <c r="AF595">
        <v>1099</v>
      </c>
      <c r="AG595">
        <v>1626</v>
      </c>
      <c r="AH595">
        <v>2130</v>
      </c>
      <c r="AI595">
        <v>2130</v>
      </c>
      <c r="AJ595">
        <v>0</v>
      </c>
      <c r="AK595">
        <v>60</v>
      </c>
      <c r="AL595">
        <v>14</v>
      </c>
      <c r="AM595">
        <v>0</v>
      </c>
      <c r="AN595">
        <v>17.087726593017582</v>
      </c>
      <c r="AO595">
        <v>0</v>
      </c>
      <c r="AP595">
        <v>0</v>
      </c>
      <c r="AQ595">
        <v>0</v>
      </c>
      <c r="AR595">
        <v>0</v>
      </c>
      <c r="AS595">
        <v>0</v>
      </c>
      <c r="AT595">
        <v>0</v>
      </c>
      <c r="AU595">
        <v>0</v>
      </c>
      <c r="AV595">
        <v>0</v>
      </c>
      <c r="AW595">
        <v>0</v>
      </c>
      <c r="AX595">
        <v>0</v>
      </c>
      <c r="AY595">
        <v>0</v>
      </c>
      <c r="AZ595">
        <v>0</v>
      </c>
      <c r="BA595">
        <v>0</v>
      </c>
      <c r="BB595">
        <v>0</v>
      </c>
      <c r="BC595">
        <v>0</v>
      </c>
      <c r="BD595">
        <v>0</v>
      </c>
      <c r="BE595">
        <v>0</v>
      </c>
      <c r="BF595" t="s">
        <v>5</v>
      </c>
      <c r="BG595" t="s">
        <v>5</v>
      </c>
      <c r="BH595"/>
      <c r="BI595"/>
      <c r="BJ595" t="s">
        <v>5</v>
      </c>
      <c r="BK595"/>
      <c r="BL595">
        <v>0</v>
      </c>
      <c r="BM595">
        <v>0</v>
      </c>
      <c r="BN595" t="s">
        <v>5</v>
      </c>
      <c r="BO595"/>
      <c r="BP595"/>
      <c r="BQ595"/>
      <c r="BR595"/>
      <c r="BS595" t="s">
        <v>5</v>
      </c>
      <c r="BT595"/>
      <c r="BU595"/>
      <c r="BV595"/>
      <c r="BW595"/>
      <c r="BX595" t="s">
        <v>6</v>
      </c>
      <c r="BY595" t="s">
        <v>3850</v>
      </c>
      <c r="BZ595"/>
      <c r="CA595"/>
      <c r="CB595" t="s">
        <v>5</v>
      </c>
      <c r="CC595">
        <v>11615.21948986942</v>
      </c>
      <c r="CD595">
        <v>4213025.5674457205</v>
      </c>
      <c r="CE595" s="319" t="s">
        <v>11891</v>
      </c>
    </row>
    <row r="596" spans="1:83" ht="45" x14ac:dyDescent="0.25">
      <c r="A596" t="s">
        <v>4101</v>
      </c>
      <c r="B596" t="s">
        <v>4102</v>
      </c>
      <c r="C596" t="s">
        <v>4103</v>
      </c>
      <c r="D596">
        <v>15</v>
      </c>
      <c r="E596" t="s">
        <v>3847</v>
      </c>
      <c r="F596" t="s">
        <v>3864</v>
      </c>
      <c r="G596" t="s">
        <v>3849</v>
      </c>
      <c r="H596" t="s">
        <v>4104</v>
      </c>
      <c r="I596" t="s">
        <v>4105</v>
      </c>
      <c r="J596"/>
      <c r="K596" t="s">
        <v>4106</v>
      </c>
      <c r="L596">
        <v>2.149453200399876E-2</v>
      </c>
      <c r="M596" t="s">
        <v>6</v>
      </c>
      <c r="N596" t="s">
        <v>5</v>
      </c>
      <c r="O596" t="s">
        <v>5</v>
      </c>
      <c r="P596" t="s">
        <v>5</v>
      </c>
      <c r="Q596" t="s">
        <v>5</v>
      </c>
      <c r="R596" t="s">
        <v>4107</v>
      </c>
      <c r="S596" t="s">
        <v>4108</v>
      </c>
      <c r="T596" t="s">
        <v>6</v>
      </c>
      <c r="U596" t="s">
        <v>85</v>
      </c>
      <c r="V596">
        <v>200000</v>
      </c>
      <c r="W596">
        <v>50000</v>
      </c>
      <c r="X596" t="s">
        <v>6</v>
      </c>
      <c r="Y596"/>
      <c r="Z596">
        <v>0</v>
      </c>
      <c r="AA596">
        <v>5.0002220086753368E-3</v>
      </c>
      <c r="AB596">
        <v>5.5108749074861407E-4</v>
      </c>
      <c r="AC596">
        <v>0</v>
      </c>
      <c r="AD596">
        <v>3</v>
      </c>
      <c r="AE596">
        <v>2</v>
      </c>
      <c r="AF596">
        <v>0</v>
      </c>
      <c r="AG596">
        <v>20</v>
      </c>
      <c r="AH596">
        <v>0</v>
      </c>
      <c r="AI596">
        <v>20</v>
      </c>
      <c r="AJ596">
        <v>0</v>
      </c>
      <c r="AK596">
        <v>4</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t="s">
        <v>5</v>
      </c>
      <c r="BG596" t="s">
        <v>5</v>
      </c>
      <c r="BH596"/>
      <c r="BI596"/>
      <c r="BJ596" t="s">
        <v>5</v>
      </c>
      <c r="BK596"/>
      <c r="BL596">
        <v>0</v>
      </c>
      <c r="BM596">
        <v>0</v>
      </c>
      <c r="BN596" t="s">
        <v>5</v>
      </c>
      <c r="BO596"/>
      <c r="BP596"/>
      <c r="BQ596"/>
      <c r="BR596"/>
      <c r="BS596" t="s">
        <v>5</v>
      </c>
      <c r="BT596"/>
      <c r="BU596"/>
      <c r="BV596"/>
      <c r="BW596"/>
      <c r="BX596" t="s">
        <v>6</v>
      </c>
      <c r="BY596" t="s">
        <v>3850</v>
      </c>
      <c r="BZ596"/>
      <c r="CA596"/>
      <c r="CB596" t="s">
        <v>5</v>
      </c>
      <c r="CC596">
        <v>1139.3066073769451</v>
      </c>
      <c r="CD596">
        <v>55670.893035334979</v>
      </c>
      <c r="CE596" s="319" t="s">
        <v>11891</v>
      </c>
    </row>
    <row r="597" spans="1:83" ht="45" x14ac:dyDescent="0.25">
      <c r="A597" t="s">
        <v>4109</v>
      </c>
      <c r="B597" t="s">
        <v>4110</v>
      </c>
      <c r="C597" t="s">
        <v>4111</v>
      </c>
      <c r="D597">
        <v>15</v>
      </c>
      <c r="E597" t="s">
        <v>3847</v>
      </c>
      <c r="F597" t="s">
        <v>3864</v>
      </c>
      <c r="G597" t="s">
        <v>3849</v>
      </c>
      <c r="H597" t="s">
        <v>4112</v>
      </c>
      <c r="I597" t="s">
        <v>4113</v>
      </c>
      <c r="J597"/>
      <c r="K597" t="s">
        <v>3902</v>
      </c>
      <c r="L597">
        <v>0.375326007604599</v>
      </c>
      <c r="M597" t="s">
        <v>6</v>
      </c>
      <c r="N597" t="s">
        <v>5</v>
      </c>
      <c r="O597" t="s">
        <v>5</v>
      </c>
      <c r="P597" t="s">
        <v>5</v>
      </c>
      <c r="Q597" t="s">
        <v>5</v>
      </c>
      <c r="R597" t="s">
        <v>3936</v>
      </c>
      <c r="S597" t="s">
        <v>4114</v>
      </c>
      <c r="T597" t="s">
        <v>6</v>
      </c>
      <c r="U597" t="s">
        <v>4</v>
      </c>
      <c r="V597">
        <v>50000</v>
      </c>
      <c r="W597">
        <v>50000</v>
      </c>
      <c r="X597" t="s">
        <v>6</v>
      </c>
      <c r="Y597"/>
      <c r="Z597">
        <v>0</v>
      </c>
      <c r="AA597">
        <v>2.786263637244701E-2</v>
      </c>
      <c r="AB597">
        <v>0.18717001378536219</v>
      </c>
      <c r="AC597">
        <v>0</v>
      </c>
      <c r="AD597">
        <v>248</v>
      </c>
      <c r="AE597">
        <v>248</v>
      </c>
      <c r="AF597">
        <v>202</v>
      </c>
      <c r="AG597">
        <v>358</v>
      </c>
      <c r="AH597">
        <v>811</v>
      </c>
      <c r="AI597">
        <v>811</v>
      </c>
      <c r="AJ597">
        <v>0</v>
      </c>
      <c r="AK597">
        <v>46</v>
      </c>
      <c r="AL597">
        <v>4</v>
      </c>
      <c r="AM597">
        <v>0</v>
      </c>
      <c r="AN597">
        <v>31.269968032836911</v>
      </c>
      <c r="AO597">
        <v>0</v>
      </c>
      <c r="AP597">
        <v>0</v>
      </c>
      <c r="AQ597">
        <v>0</v>
      </c>
      <c r="AR597">
        <v>0</v>
      </c>
      <c r="AS597">
        <v>0</v>
      </c>
      <c r="AT597">
        <v>0</v>
      </c>
      <c r="AU597">
        <v>0</v>
      </c>
      <c r="AV597">
        <v>0</v>
      </c>
      <c r="AW597">
        <v>0</v>
      </c>
      <c r="AX597">
        <v>0</v>
      </c>
      <c r="AY597">
        <v>0</v>
      </c>
      <c r="AZ597">
        <v>0</v>
      </c>
      <c r="BA597">
        <v>0</v>
      </c>
      <c r="BB597">
        <v>0</v>
      </c>
      <c r="BC597">
        <v>0</v>
      </c>
      <c r="BD597">
        <v>0</v>
      </c>
      <c r="BE597">
        <v>0</v>
      </c>
      <c r="BF597" t="s">
        <v>5</v>
      </c>
      <c r="BG597" t="s">
        <v>5</v>
      </c>
      <c r="BH597"/>
      <c r="BI597"/>
      <c r="BJ597" t="s">
        <v>5</v>
      </c>
      <c r="BK597"/>
      <c r="BL597">
        <v>0</v>
      </c>
      <c r="BM597">
        <v>0</v>
      </c>
      <c r="BN597" t="s">
        <v>5</v>
      </c>
      <c r="BO597"/>
      <c r="BP597"/>
      <c r="BQ597"/>
      <c r="BR597"/>
      <c r="BS597" t="s">
        <v>5</v>
      </c>
      <c r="BT597"/>
      <c r="BU597"/>
      <c r="BV597"/>
      <c r="BW597"/>
      <c r="BX597" t="s">
        <v>6</v>
      </c>
      <c r="BY597" t="s">
        <v>3850</v>
      </c>
      <c r="BZ597"/>
      <c r="CA597"/>
      <c r="CB597" t="s">
        <v>5</v>
      </c>
      <c r="CC597">
        <v>4062.2632617275772</v>
      </c>
      <c r="CD597">
        <v>972095.34160694387</v>
      </c>
      <c r="CE597" s="319" t="s">
        <v>11891</v>
      </c>
    </row>
    <row r="598" spans="1:83" ht="45" x14ac:dyDescent="0.25">
      <c r="A598" t="s">
        <v>4120</v>
      </c>
      <c r="B598" t="s">
        <v>4121</v>
      </c>
      <c r="C598" t="s">
        <v>4122</v>
      </c>
      <c r="D598">
        <v>15</v>
      </c>
      <c r="E598" t="s">
        <v>3847</v>
      </c>
      <c r="F598" t="s">
        <v>3848</v>
      </c>
      <c r="G598" t="s">
        <v>3849</v>
      </c>
      <c r="H598" t="s">
        <v>4096</v>
      </c>
      <c r="I598" t="s">
        <v>4097</v>
      </c>
      <c r="J598"/>
      <c r="K598" t="s">
        <v>3902</v>
      </c>
      <c r="L598">
        <v>3.4499752521514888</v>
      </c>
      <c r="M598" t="s">
        <v>6</v>
      </c>
      <c r="N598" t="s">
        <v>6</v>
      </c>
      <c r="O598" t="s">
        <v>5</v>
      </c>
      <c r="P598" t="s">
        <v>5</v>
      </c>
      <c r="Q598" t="s">
        <v>5</v>
      </c>
      <c r="R598" t="s">
        <v>4123</v>
      </c>
      <c r="S598" t="s">
        <v>4124</v>
      </c>
      <c r="T598" t="s">
        <v>6</v>
      </c>
      <c r="U598" t="s">
        <v>4</v>
      </c>
      <c r="V598">
        <v>100000</v>
      </c>
      <c r="W598">
        <v>50000</v>
      </c>
      <c r="X598" t="s">
        <v>6</v>
      </c>
      <c r="Y598"/>
      <c r="Z598">
        <v>0</v>
      </c>
      <c r="AA598">
        <v>2.288784503936768</v>
      </c>
      <c r="AB598">
        <v>0.79120361804962158</v>
      </c>
      <c r="AC598">
        <v>0</v>
      </c>
      <c r="AD598">
        <v>0</v>
      </c>
      <c r="AE598">
        <v>0</v>
      </c>
      <c r="AF598">
        <v>0</v>
      </c>
      <c r="AG598">
        <v>0</v>
      </c>
      <c r="AH598">
        <v>0</v>
      </c>
      <c r="AI598">
        <v>0</v>
      </c>
      <c r="AJ598">
        <v>0</v>
      </c>
      <c r="AK598">
        <v>0</v>
      </c>
      <c r="AL598">
        <v>0</v>
      </c>
      <c r="AM598">
        <v>0</v>
      </c>
      <c r="AN598">
        <v>50.212738037109382</v>
      </c>
      <c r="AO598">
        <v>0</v>
      </c>
      <c r="AP598">
        <v>0</v>
      </c>
      <c r="AQ598">
        <v>0</v>
      </c>
      <c r="AR598">
        <v>0</v>
      </c>
      <c r="AS598">
        <v>0</v>
      </c>
      <c r="AT598">
        <v>0</v>
      </c>
      <c r="AU598">
        <v>0</v>
      </c>
      <c r="AV598">
        <v>0</v>
      </c>
      <c r="AW598">
        <v>0</v>
      </c>
      <c r="AX598">
        <v>0</v>
      </c>
      <c r="AY598">
        <v>0</v>
      </c>
      <c r="AZ598">
        <v>0</v>
      </c>
      <c r="BA598">
        <v>0</v>
      </c>
      <c r="BB598">
        <v>0</v>
      </c>
      <c r="BC598">
        <v>0</v>
      </c>
      <c r="BD598">
        <v>0</v>
      </c>
      <c r="BE598">
        <v>0</v>
      </c>
      <c r="BF598" t="s">
        <v>5</v>
      </c>
      <c r="BG598" t="s">
        <v>5</v>
      </c>
      <c r="BH598"/>
      <c r="BI598"/>
      <c r="BJ598" t="s">
        <v>5</v>
      </c>
      <c r="BK598"/>
      <c r="BL598">
        <v>0</v>
      </c>
      <c r="BM598">
        <v>0</v>
      </c>
      <c r="BN598" t="s">
        <v>5</v>
      </c>
      <c r="BO598"/>
      <c r="BP598"/>
      <c r="BQ598"/>
      <c r="BR598"/>
      <c r="BS598" t="s">
        <v>5</v>
      </c>
      <c r="BT598"/>
      <c r="BU598"/>
      <c r="BV598"/>
      <c r="BW598"/>
      <c r="BX598" t="s">
        <v>6</v>
      </c>
      <c r="BY598" t="s">
        <v>3850</v>
      </c>
      <c r="BZ598"/>
      <c r="CA598"/>
      <c r="CB598" t="s">
        <v>5</v>
      </c>
      <c r="CC598">
        <v>12698.943204703</v>
      </c>
      <c r="CD598">
        <v>8935444.807999501</v>
      </c>
      <c r="CE598" s="319" t="s">
        <v>11891</v>
      </c>
    </row>
    <row r="599" spans="1:83" ht="15" x14ac:dyDescent="0.25">
      <c r="A599" t="s">
        <v>11903</v>
      </c>
      <c r="B599" t="s">
        <v>11904</v>
      </c>
      <c r="C599" t="s">
        <v>11905</v>
      </c>
      <c r="D599">
        <v>15</v>
      </c>
      <c r="E599" t="s">
        <v>3847</v>
      </c>
      <c r="F599" t="s">
        <v>3864</v>
      </c>
      <c r="G599" t="s">
        <v>11896</v>
      </c>
      <c r="H599" t="s">
        <v>11897</v>
      </c>
      <c r="I599" t="s">
        <v>11898</v>
      </c>
      <c r="J599" t="s">
        <v>11899</v>
      </c>
      <c r="K599" t="s">
        <v>4106</v>
      </c>
      <c r="L599">
        <v>807.23931884765625</v>
      </c>
      <c r="M599" t="s">
        <v>5</v>
      </c>
      <c r="N599" t="s">
        <v>5</v>
      </c>
      <c r="O599" t="s">
        <v>6</v>
      </c>
      <c r="P599" t="s">
        <v>5</v>
      </c>
      <c r="Q599" t="s">
        <v>5</v>
      </c>
      <c r="R599" t="s">
        <v>11573</v>
      </c>
      <c r="S599" t="s">
        <v>11901</v>
      </c>
      <c r="T599" t="s">
        <v>6</v>
      </c>
      <c r="U599" t="s">
        <v>50</v>
      </c>
      <c r="V599">
        <v>50000</v>
      </c>
      <c r="W599">
        <v>50000</v>
      </c>
      <c r="X599" t="s">
        <v>6</v>
      </c>
      <c r="Y599"/>
      <c r="Z599">
        <v>0</v>
      </c>
      <c r="AA599">
        <v>374.6278076171875</v>
      </c>
      <c r="AB599">
        <v>557.8006591796875</v>
      </c>
      <c r="AC599">
        <v>2.348208904266357</v>
      </c>
      <c r="AD599">
        <v>75816</v>
      </c>
      <c r="AE599">
        <v>149258</v>
      </c>
      <c r="AF599">
        <v>61251</v>
      </c>
      <c r="AG599">
        <v>177730</v>
      </c>
      <c r="AH599">
        <v>244800</v>
      </c>
      <c r="AI599">
        <v>244800</v>
      </c>
      <c r="AJ599">
        <v>459</v>
      </c>
      <c r="AK599">
        <v>17</v>
      </c>
      <c r="AL599">
        <v>1840</v>
      </c>
      <c r="AM599">
        <v>5</v>
      </c>
      <c r="AN599">
        <v>334.99685668945313</v>
      </c>
      <c r="AO599"/>
      <c r="AP599"/>
      <c r="AQ599"/>
      <c r="AR599">
        <v>0</v>
      </c>
      <c r="AS599">
        <v>0</v>
      </c>
      <c r="AT599">
        <v>0</v>
      </c>
      <c r="AU599">
        <v>0</v>
      </c>
      <c r="AV599">
        <v>0</v>
      </c>
      <c r="AW599">
        <v>0</v>
      </c>
      <c r="AX599">
        <v>0</v>
      </c>
      <c r="AY599">
        <v>0</v>
      </c>
      <c r="AZ599">
        <v>0</v>
      </c>
      <c r="BA599">
        <v>0</v>
      </c>
      <c r="BB599">
        <v>0</v>
      </c>
      <c r="BC599">
        <v>0</v>
      </c>
      <c r="BD599">
        <v>0</v>
      </c>
      <c r="BE599">
        <v>0</v>
      </c>
      <c r="BF599" t="s">
        <v>5</v>
      </c>
      <c r="BG599" t="s">
        <v>5</v>
      </c>
      <c r="BH599"/>
      <c r="BI599"/>
      <c r="BJ599" t="s">
        <v>5</v>
      </c>
      <c r="BK599"/>
      <c r="BL599">
        <v>0</v>
      </c>
      <c r="BM599">
        <v>0</v>
      </c>
      <c r="BN599" t="s">
        <v>5</v>
      </c>
      <c r="BO599"/>
      <c r="BP599"/>
      <c r="BQ599"/>
      <c r="BR599"/>
      <c r="BS599" t="s">
        <v>5</v>
      </c>
      <c r="BT599"/>
      <c r="BU599"/>
      <c r="BV599"/>
      <c r="BW599"/>
      <c r="BX599" t="s">
        <v>6</v>
      </c>
      <c r="BY599" t="s">
        <v>4232</v>
      </c>
      <c r="BZ599"/>
      <c r="CA599"/>
      <c r="CB599" t="s">
        <v>5</v>
      </c>
      <c r="CC599">
        <v>288949.96145606658</v>
      </c>
      <c r="CD599">
        <v>4616947534.7312641</v>
      </c>
      <c r="CE599" s="313" t="s">
        <v>11902</v>
      </c>
    </row>
    <row r="600" spans="1:83" ht="15" x14ac:dyDescent="0.25">
      <c r="A600" t="s">
        <v>129</v>
      </c>
      <c r="B600" t="s">
        <v>130</v>
      </c>
      <c r="C600" t="s">
        <v>131</v>
      </c>
      <c r="D600">
        <v>6</v>
      </c>
      <c r="E600" t="s">
        <v>259</v>
      </c>
      <c r="F600" t="s">
        <v>63</v>
      </c>
      <c r="G600" t="s">
        <v>332</v>
      </c>
      <c r="H600" t="s">
        <v>333</v>
      </c>
      <c r="I600" t="s">
        <v>334</v>
      </c>
      <c r="J600" t="s">
        <v>335</v>
      </c>
      <c r="K600" t="s">
        <v>289</v>
      </c>
      <c r="L600">
        <v>797.83648681640625</v>
      </c>
      <c r="M600" t="s">
        <v>6</v>
      </c>
      <c r="N600" t="s">
        <v>5</v>
      </c>
      <c r="O600" t="s">
        <v>6</v>
      </c>
      <c r="P600" t="s">
        <v>5</v>
      </c>
      <c r="Q600" t="s">
        <v>5</v>
      </c>
      <c r="R600" t="s">
        <v>338</v>
      </c>
      <c r="S600" t="s">
        <v>383</v>
      </c>
      <c r="T600" t="s">
        <v>5</v>
      </c>
      <c r="U600" t="s">
        <v>13</v>
      </c>
      <c r="V600">
        <v>850000</v>
      </c>
      <c r="W600">
        <v>42500</v>
      </c>
      <c r="X600" t="s">
        <v>6</v>
      </c>
      <c r="Y600"/>
      <c r="Z600"/>
      <c r="AA600">
        <v>61.209434509277337</v>
      </c>
      <c r="AB600">
        <v>10.473307609558111</v>
      </c>
      <c r="AC600">
        <v>0</v>
      </c>
      <c r="AD600">
        <v>505</v>
      </c>
      <c r="AE600">
        <v>234</v>
      </c>
      <c r="AF600">
        <v>437</v>
      </c>
      <c r="AG600">
        <v>266</v>
      </c>
      <c r="AH600">
        <v>545</v>
      </c>
      <c r="AI600">
        <v>545</v>
      </c>
      <c r="AJ600">
        <v>1</v>
      </c>
      <c r="AK600">
        <v>2</v>
      </c>
      <c r="AL600">
        <v>25</v>
      </c>
      <c r="AM600">
        <v>2</v>
      </c>
      <c r="AN600">
        <v>180.46464538574219</v>
      </c>
      <c r="AO600"/>
      <c r="AP600"/>
      <c r="AQ600"/>
      <c r="AR600"/>
      <c r="AS600"/>
      <c r="AT600"/>
      <c r="AU600"/>
      <c r="AV600"/>
      <c r="AW600"/>
      <c r="AX600"/>
      <c r="AY600"/>
      <c r="AZ600"/>
      <c r="BA600"/>
      <c r="BB600"/>
      <c r="BC600"/>
      <c r="BD600"/>
      <c r="BE600"/>
      <c r="BF600" t="s">
        <v>291</v>
      </c>
      <c r="BG600" t="s">
        <v>5</v>
      </c>
      <c r="BH600"/>
      <c r="BI600"/>
      <c r="BJ600" t="s">
        <v>5</v>
      </c>
      <c r="BK600"/>
      <c r="BL600">
        <v>0</v>
      </c>
      <c r="BM600"/>
      <c r="BN600" t="s">
        <v>5</v>
      </c>
      <c r="BO600" t="s">
        <v>2518</v>
      </c>
      <c r="BP600" t="s">
        <v>2518</v>
      </c>
      <c r="BQ600" t="s">
        <v>2518</v>
      </c>
      <c r="BR600"/>
      <c r="BS600" t="s">
        <v>6</v>
      </c>
      <c r="BT600" t="s">
        <v>2518</v>
      </c>
      <c r="BU600" t="s">
        <v>2518</v>
      </c>
      <c r="BV600" t="s">
        <v>2518</v>
      </c>
      <c r="BW600"/>
      <c r="BX600" t="s">
        <v>6</v>
      </c>
      <c r="BY600" t="s">
        <v>7</v>
      </c>
      <c r="BZ600" t="s">
        <v>2518</v>
      </c>
      <c r="CA600"/>
      <c r="CB600" t="s">
        <v>5</v>
      </c>
      <c r="CC600">
        <v>222708.2324043249</v>
      </c>
      <c r="CD600">
        <v>2066387072.0613821</v>
      </c>
      <c r="CE600" s="313" t="s">
        <v>11891</v>
      </c>
    </row>
    <row r="601" spans="1:83" ht="15" x14ac:dyDescent="0.25">
      <c r="A601" t="s">
        <v>3632</v>
      </c>
      <c r="B601" t="s">
        <v>3633</v>
      </c>
      <c r="C601" t="s">
        <v>3634</v>
      </c>
      <c r="D601">
        <v>13</v>
      </c>
      <c r="E601" t="s">
        <v>3573</v>
      </c>
      <c r="F601" t="s">
        <v>3612</v>
      </c>
      <c r="G601" t="s">
        <v>3622</v>
      </c>
      <c r="H601" t="s">
        <v>3623</v>
      </c>
      <c r="I601" t="s">
        <v>3624</v>
      </c>
      <c r="J601" t="s">
        <v>3625</v>
      </c>
      <c r="K601" t="s">
        <v>3635</v>
      </c>
      <c r="L601">
        <v>3.4770641326904301</v>
      </c>
      <c r="M601" t="s">
        <v>6</v>
      </c>
      <c r="N601" t="s">
        <v>5</v>
      </c>
      <c r="O601" t="s">
        <v>6</v>
      </c>
      <c r="P601" t="s">
        <v>5</v>
      </c>
      <c r="Q601" t="s">
        <v>5</v>
      </c>
      <c r="R601" t="s">
        <v>3626</v>
      </c>
      <c r="S601" t="s">
        <v>3627</v>
      </c>
      <c r="T601" t="s">
        <v>6</v>
      </c>
      <c r="U601" t="s">
        <v>85</v>
      </c>
      <c r="V601">
        <v>40000</v>
      </c>
      <c r="W601">
        <v>40000</v>
      </c>
      <c r="X601" t="s">
        <v>5</v>
      </c>
      <c r="Y601"/>
      <c r="Z601"/>
      <c r="AA601">
        <v>0.19100464880466461</v>
      </c>
      <c r="AB601">
        <v>0.14721311628818509</v>
      </c>
      <c r="AC601">
        <v>0</v>
      </c>
      <c r="AD601">
        <v>18</v>
      </c>
      <c r="AE601">
        <v>20</v>
      </c>
      <c r="AF601">
        <v>11</v>
      </c>
      <c r="AG601">
        <v>113</v>
      </c>
      <c r="AH601">
        <v>72</v>
      </c>
      <c r="AI601">
        <v>113</v>
      </c>
      <c r="AJ601">
        <v>0</v>
      </c>
      <c r="AK601">
        <v>0</v>
      </c>
      <c r="AL601">
        <v>1</v>
      </c>
      <c r="AM601">
        <v>25</v>
      </c>
      <c r="AN601">
        <v>1.337621808052063</v>
      </c>
      <c r="AO601"/>
      <c r="AP601"/>
      <c r="AQ601"/>
      <c r="AR601"/>
      <c r="AS601"/>
      <c r="AT601"/>
      <c r="AU601"/>
      <c r="AV601"/>
      <c r="AW601"/>
      <c r="AX601"/>
      <c r="AY601"/>
      <c r="AZ601"/>
      <c r="BA601"/>
      <c r="BB601"/>
      <c r="BC601"/>
      <c r="BD601"/>
      <c r="BE601">
        <v>0</v>
      </c>
      <c r="BF601" t="s">
        <v>5</v>
      </c>
      <c r="BG601" t="s">
        <v>5</v>
      </c>
      <c r="BH601" t="s">
        <v>3581</v>
      </c>
      <c r="BI601"/>
      <c r="BJ601" t="s">
        <v>5</v>
      </c>
      <c r="BK601"/>
      <c r="BL601">
        <v>0</v>
      </c>
      <c r="BM601"/>
      <c r="BN601" t="s">
        <v>5</v>
      </c>
      <c r="BO601"/>
      <c r="BP601"/>
      <c r="BQ601"/>
      <c r="BR601"/>
      <c r="BS601" t="s">
        <v>5</v>
      </c>
      <c r="BT601"/>
      <c r="BU601"/>
      <c r="BV601"/>
      <c r="BW601"/>
      <c r="BX601" t="s">
        <v>6</v>
      </c>
      <c r="BY601" t="s">
        <v>3601</v>
      </c>
      <c r="BZ601"/>
      <c r="CA601"/>
      <c r="CB601" t="s">
        <v>5</v>
      </c>
      <c r="CC601">
        <v>25902.688188170381</v>
      </c>
      <c r="CD601">
        <v>9005590.5177444611</v>
      </c>
      <c r="CE601" s="313" t="s">
        <v>11891</v>
      </c>
    </row>
    <row r="602" spans="1:83" ht="15" x14ac:dyDescent="0.25">
      <c r="A602" t="s">
        <v>3813</v>
      </c>
      <c r="B602" t="s">
        <v>3814</v>
      </c>
      <c r="C602" t="s">
        <v>3815</v>
      </c>
      <c r="D602">
        <v>13</v>
      </c>
      <c r="E602" t="s">
        <v>3573</v>
      </c>
      <c r="F602" t="s">
        <v>3816</v>
      </c>
      <c r="G602" t="s">
        <v>3817</v>
      </c>
      <c r="H602" t="s">
        <v>3818</v>
      </c>
      <c r="I602" t="s">
        <v>3819</v>
      </c>
      <c r="J602" t="s">
        <v>3820</v>
      </c>
      <c r="K602" t="s">
        <v>3821</v>
      </c>
      <c r="L602">
        <v>2.0702347159385681E-2</v>
      </c>
      <c r="M602" t="s">
        <v>5</v>
      </c>
      <c r="N602" t="s">
        <v>5</v>
      </c>
      <c r="O602" t="s">
        <v>6</v>
      </c>
      <c r="P602" t="s">
        <v>5</v>
      </c>
      <c r="Q602" t="s">
        <v>5</v>
      </c>
      <c r="R602" t="s">
        <v>3822</v>
      </c>
      <c r="S602" t="s">
        <v>3823</v>
      </c>
      <c r="T602" t="s">
        <v>6</v>
      </c>
      <c r="U602" t="s">
        <v>4</v>
      </c>
      <c r="V602">
        <v>40000</v>
      </c>
      <c r="W602">
        <v>40000</v>
      </c>
      <c r="X602" t="s">
        <v>5</v>
      </c>
      <c r="Y602"/>
      <c r="Z602"/>
      <c r="AA602">
        <v>1.989700086414814E-2</v>
      </c>
      <c r="AB602">
        <v>7.1599998045712709E-4</v>
      </c>
      <c r="AC602">
        <v>0</v>
      </c>
      <c r="AD602">
        <v>37</v>
      </c>
      <c r="AE602">
        <v>1</v>
      </c>
      <c r="AF602">
        <v>28</v>
      </c>
      <c r="AG602">
        <v>35</v>
      </c>
      <c r="AH602">
        <v>46</v>
      </c>
      <c r="AI602">
        <v>46</v>
      </c>
      <c r="AJ602">
        <v>0</v>
      </c>
      <c r="AK602">
        <v>0</v>
      </c>
      <c r="AL602">
        <v>0</v>
      </c>
      <c r="AM602">
        <v>9</v>
      </c>
      <c r="AN602">
        <v>0</v>
      </c>
      <c r="AO602"/>
      <c r="AP602"/>
      <c r="AQ602"/>
      <c r="AR602"/>
      <c r="AS602"/>
      <c r="AT602"/>
      <c r="AU602"/>
      <c r="AV602"/>
      <c r="AW602"/>
      <c r="AX602"/>
      <c r="AY602"/>
      <c r="AZ602"/>
      <c r="BA602"/>
      <c r="BB602"/>
      <c r="BC602"/>
      <c r="BD602"/>
      <c r="BE602">
        <v>0</v>
      </c>
      <c r="BF602" t="s">
        <v>5</v>
      </c>
      <c r="BG602" t="s">
        <v>5</v>
      </c>
      <c r="BH602" t="s">
        <v>3581</v>
      </c>
      <c r="BI602"/>
      <c r="BJ602" t="s">
        <v>5</v>
      </c>
      <c r="BK602"/>
      <c r="BL602">
        <v>0</v>
      </c>
      <c r="BM602"/>
      <c r="BN602" t="s">
        <v>5</v>
      </c>
      <c r="BO602"/>
      <c r="BP602"/>
      <c r="BQ602"/>
      <c r="BR602"/>
      <c r="BS602" t="s">
        <v>5</v>
      </c>
      <c r="BT602"/>
      <c r="BU602"/>
      <c r="BV602"/>
      <c r="BW602"/>
      <c r="BX602" t="s">
        <v>6</v>
      </c>
      <c r="BY602" t="s">
        <v>3824</v>
      </c>
      <c r="BZ602"/>
      <c r="CA602"/>
      <c r="CB602" t="s">
        <v>5</v>
      </c>
      <c r="CC602">
        <v>1553.3160833555689</v>
      </c>
      <c r="CD602">
        <v>53619.046303165647</v>
      </c>
      <c r="CE602" s="313" t="s">
        <v>11891</v>
      </c>
    </row>
    <row r="603" spans="1:83" ht="15" x14ac:dyDescent="0.25">
      <c r="A603" t="s">
        <v>2926</v>
      </c>
      <c r="B603" t="s">
        <v>2927</v>
      </c>
      <c r="C603" t="s">
        <v>2894</v>
      </c>
      <c r="D603">
        <v>5</v>
      </c>
      <c r="E603" t="s">
        <v>2598</v>
      </c>
      <c r="F603" t="s">
        <v>2874</v>
      </c>
      <c r="G603" t="s">
        <v>2915</v>
      </c>
      <c r="H603" t="s">
        <v>2916</v>
      </c>
      <c r="I603" t="s">
        <v>2917</v>
      </c>
      <c r="J603" t="s">
        <v>2918</v>
      </c>
      <c r="K603" t="s">
        <v>2620</v>
      </c>
      <c r="L603">
        <v>7.6997427940368652</v>
      </c>
      <c r="M603" t="s">
        <v>6</v>
      </c>
      <c r="N603" t="s">
        <v>5</v>
      </c>
      <c r="O603" t="s">
        <v>5</v>
      </c>
      <c r="P603" t="s">
        <v>5</v>
      </c>
      <c r="Q603" t="s">
        <v>6</v>
      </c>
      <c r="R603" t="s">
        <v>2920</v>
      </c>
      <c r="S603" t="s">
        <v>2920</v>
      </c>
      <c r="T603" t="s">
        <v>6</v>
      </c>
      <c r="U603" t="s">
        <v>98</v>
      </c>
      <c r="V603">
        <v>6000000</v>
      </c>
      <c r="W603">
        <v>40000</v>
      </c>
      <c r="X603" t="s">
        <v>6</v>
      </c>
      <c r="Y603"/>
      <c r="Z603"/>
      <c r="AA603">
        <v>0.92796564102172852</v>
      </c>
      <c r="AB603">
        <v>0.242571085691452</v>
      </c>
      <c r="AC603">
        <v>0.19187590479850769</v>
      </c>
      <c r="AD603">
        <v>87</v>
      </c>
      <c r="AE603">
        <v>34</v>
      </c>
      <c r="AF603">
        <v>69</v>
      </c>
      <c r="AG603">
        <v>615</v>
      </c>
      <c r="AH603">
        <v>242</v>
      </c>
      <c r="AI603">
        <v>780</v>
      </c>
      <c r="AJ603">
        <v>2</v>
      </c>
      <c r="AK603">
        <v>3</v>
      </c>
      <c r="AL603">
        <v>2</v>
      </c>
      <c r="AM603">
        <v>3</v>
      </c>
      <c r="AN603">
        <v>1.197979331016541</v>
      </c>
      <c r="AO603"/>
      <c r="AP603"/>
      <c r="AQ603"/>
      <c r="AR603">
        <v>0</v>
      </c>
      <c r="AS603">
        <v>0</v>
      </c>
      <c r="AT603">
        <v>0</v>
      </c>
      <c r="AU603">
        <v>0</v>
      </c>
      <c r="AV603">
        <v>0</v>
      </c>
      <c r="AW603">
        <v>0</v>
      </c>
      <c r="AX603">
        <v>0</v>
      </c>
      <c r="AY603">
        <v>0</v>
      </c>
      <c r="AZ603">
        <v>0</v>
      </c>
      <c r="BA603">
        <v>0</v>
      </c>
      <c r="BB603"/>
      <c r="BC603"/>
      <c r="BD603"/>
      <c r="BE603">
        <v>0</v>
      </c>
      <c r="BF603" t="s">
        <v>2516</v>
      </c>
      <c r="BG603" t="s">
        <v>5</v>
      </c>
      <c r="BH603" t="s">
        <v>1020</v>
      </c>
      <c r="BI603"/>
      <c r="BJ603" t="s">
        <v>5</v>
      </c>
      <c r="BK603"/>
      <c r="BL603">
        <v>100</v>
      </c>
      <c r="BM603"/>
      <c r="BN603" t="s">
        <v>6</v>
      </c>
      <c r="BO603" t="s">
        <v>2518</v>
      </c>
      <c r="BP603" t="s">
        <v>2518</v>
      </c>
      <c r="BQ603" t="s">
        <v>2518</v>
      </c>
      <c r="BR603"/>
      <c r="BS603" t="s">
        <v>6</v>
      </c>
      <c r="BT603" t="s">
        <v>2518</v>
      </c>
      <c r="BU603" t="s">
        <v>2518</v>
      </c>
      <c r="BV603" t="s">
        <v>2518</v>
      </c>
      <c r="BW603"/>
      <c r="BX603" t="s">
        <v>6</v>
      </c>
      <c r="BY603" t="s">
        <v>2605</v>
      </c>
      <c r="BZ603" t="s">
        <v>2518</v>
      </c>
      <c r="CA603"/>
      <c r="CB603" t="s">
        <v>6</v>
      </c>
      <c r="CC603">
        <v>23708.446352938801</v>
      </c>
      <c r="CD603">
        <v>19942242.74323054</v>
      </c>
      <c r="CE603" s="313" t="s">
        <v>11891</v>
      </c>
    </row>
    <row r="604" spans="1:83" ht="15" x14ac:dyDescent="0.25">
      <c r="A604" t="s">
        <v>2941</v>
      </c>
      <c r="B604" t="s">
        <v>2942</v>
      </c>
      <c r="C604" t="s">
        <v>2894</v>
      </c>
      <c r="D604">
        <v>5</v>
      </c>
      <c r="E604" t="s">
        <v>2598</v>
      </c>
      <c r="F604" t="s">
        <v>2874</v>
      </c>
      <c r="G604" t="s">
        <v>2616</v>
      </c>
      <c r="H604" t="s">
        <v>2931</v>
      </c>
      <c r="I604" t="s">
        <v>2932</v>
      </c>
      <c r="J604" t="s">
        <v>2933</v>
      </c>
      <c r="K604" t="s">
        <v>2620</v>
      </c>
      <c r="L604">
        <v>2.3354461193084721</v>
      </c>
      <c r="M604" t="s">
        <v>6</v>
      </c>
      <c r="N604" t="s">
        <v>5</v>
      </c>
      <c r="O604" t="s">
        <v>5</v>
      </c>
      <c r="P604" t="s">
        <v>5</v>
      </c>
      <c r="Q604" t="s">
        <v>6</v>
      </c>
      <c r="R604" t="s">
        <v>2934</v>
      </c>
      <c r="S604" t="s">
        <v>2934</v>
      </c>
      <c r="T604" t="s">
        <v>6</v>
      </c>
      <c r="U604" t="s">
        <v>98</v>
      </c>
      <c r="V604">
        <v>6000000</v>
      </c>
      <c r="W604">
        <v>40000</v>
      </c>
      <c r="X604" t="s">
        <v>6</v>
      </c>
      <c r="Y604"/>
      <c r="Z604"/>
      <c r="AA604">
        <v>1.164615750312805</v>
      </c>
      <c r="AB604">
        <v>0.423287034034729</v>
      </c>
      <c r="AC604">
        <v>2.466953918337822E-2</v>
      </c>
      <c r="AD604">
        <v>435</v>
      </c>
      <c r="AE604">
        <v>225</v>
      </c>
      <c r="AF604">
        <v>323</v>
      </c>
      <c r="AG604">
        <v>1125</v>
      </c>
      <c r="AH604">
        <v>857</v>
      </c>
      <c r="AI604">
        <v>1687</v>
      </c>
      <c r="AJ604">
        <v>7</v>
      </c>
      <c r="AK604">
        <v>3</v>
      </c>
      <c r="AL604">
        <v>8</v>
      </c>
      <c r="AM604">
        <v>3</v>
      </c>
      <c r="AN604">
        <v>7.4686717987060547</v>
      </c>
      <c r="AO604"/>
      <c r="AP604"/>
      <c r="AQ604"/>
      <c r="AR604">
        <v>0</v>
      </c>
      <c r="AS604">
        <v>0</v>
      </c>
      <c r="AT604">
        <v>0</v>
      </c>
      <c r="AU604">
        <v>0</v>
      </c>
      <c r="AV604">
        <v>0</v>
      </c>
      <c r="AW604">
        <v>0</v>
      </c>
      <c r="AX604">
        <v>0</v>
      </c>
      <c r="AY604">
        <v>0</v>
      </c>
      <c r="AZ604">
        <v>0</v>
      </c>
      <c r="BA604">
        <v>0</v>
      </c>
      <c r="BB604"/>
      <c r="BC604"/>
      <c r="BD604"/>
      <c r="BE604">
        <v>0</v>
      </c>
      <c r="BF604" t="s">
        <v>2516</v>
      </c>
      <c r="BG604" t="s">
        <v>5</v>
      </c>
      <c r="BH604" t="s">
        <v>1020</v>
      </c>
      <c r="BI604"/>
      <c r="BJ604" t="s">
        <v>5</v>
      </c>
      <c r="BK604"/>
      <c r="BL604">
        <v>100</v>
      </c>
      <c r="BM604"/>
      <c r="BN604" t="s">
        <v>6</v>
      </c>
      <c r="BO604" t="s">
        <v>2518</v>
      </c>
      <c r="BP604" t="s">
        <v>2518</v>
      </c>
      <c r="BQ604" t="s">
        <v>2518</v>
      </c>
      <c r="BR604"/>
      <c r="BS604" t="s">
        <v>6</v>
      </c>
      <c r="BT604" t="s">
        <v>2518</v>
      </c>
      <c r="BU604" t="s">
        <v>2518</v>
      </c>
      <c r="BV604" t="s">
        <v>2518</v>
      </c>
      <c r="BW604"/>
      <c r="BX604" t="s">
        <v>6</v>
      </c>
      <c r="BY604" t="s">
        <v>2605</v>
      </c>
      <c r="BZ604" t="s">
        <v>2518</v>
      </c>
      <c r="CA604"/>
      <c r="CB604" t="s">
        <v>6</v>
      </c>
      <c r="CC604">
        <v>17135.77141740025</v>
      </c>
      <c r="CD604">
        <v>6048777.7257528026</v>
      </c>
      <c r="CE604" s="313" t="s">
        <v>11891</v>
      </c>
    </row>
    <row r="605" spans="1:83" ht="15" x14ac:dyDescent="0.25">
      <c r="A605" t="s">
        <v>3524</v>
      </c>
      <c r="B605" t="s">
        <v>3525</v>
      </c>
      <c r="C605" t="s">
        <v>3526</v>
      </c>
      <c r="D605">
        <v>12</v>
      </c>
      <c r="E605" t="s">
        <v>3435</v>
      </c>
      <c r="F605" t="s">
        <v>3527</v>
      </c>
      <c r="G605" t="s">
        <v>3528</v>
      </c>
      <c r="H605" t="s">
        <v>3529</v>
      </c>
      <c r="I605" t="s">
        <v>3530</v>
      </c>
      <c r="J605" t="s">
        <v>3531</v>
      </c>
      <c r="K605" t="s">
        <v>3532</v>
      </c>
      <c r="L605">
        <v>0.62901300191879272</v>
      </c>
      <c r="M605" t="s">
        <v>6</v>
      </c>
      <c r="N605" t="s">
        <v>5</v>
      </c>
      <c r="O605" t="s">
        <v>5</v>
      </c>
      <c r="P605" t="s">
        <v>5</v>
      </c>
      <c r="Q605" t="s">
        <v>5</v>
      </c>
      <c r="R605" t="s">
        <v>3533</v>
      </c>
      <c r="S605" t="s">
        <v>3534</v>
      </c>
      <c r="T605" t="s">
        <v>5</v>
      </c>
      <c r="U605" t="s">
        <v>13</v>
      </c>
      <c r="V605">
        <v>35000</v>
      </c>
      <c r="W605">
        <v>35000</v>
      </c>
      <c r="X605" t="s">
        <v>5</v>
      </c>
      <c r="Y605"/>
      <c r="Z605">
        <v>0</v>
      </c>
      <c r="AA605">
        <v>0.25274398922920233</v>
      </c>
      <c r="AB605">
        <v>2.697099931538105E-2</v>
      </c>
      <c r="AC605">
        <v>0</v>
      </c>
      <c r="AD605">
        <v>170</v>
      </c>
      <c r="AE605">
        <v>19</v>
      </c>
      <c r="AF605">
        <v>133</v>
      </c>
      <c r="AG605">
        <v>99</v>
      </c>
      <c r="AH605">
        <v>263</v>
      </c>
      <c r="AI605">
        <v>263</v>
      </c>
      <c r="AJ605">
        <v>0</v>
      </c>
      <c r="AK605">
        <v>5</v>
      </c>
      <c r="AL605">
        <v>4</v>
      </c>
      <c r="AM605">
        <v>23</v>
      </c>
      <c r="AN605">
        <v>1.330000042915344</v>
      </c>
      <c r="AO605">
        <v>0</v>
      </c>
      <c r="AP605">
        <v>0</v>
      </c>
      <c r="AQ605">
        <v>0</v>
      </c>
      <c r="AR605">
        <v>0</v>
      </c>
      <c r="AS605">
        <v>0</v>
      </c>
      <c r="AT605">
        <v>0</v>
      </c>
      <c r="AU605">
        <v>0</v>
      </c>
      <c r="AV605">
        <v>0</v>
      </c>
      <c r="AW605">
        <v>0</v>
      </c>
      <c r="AX605">
        <v>0</v>
      </c>
      <c r="AY605">
        <v>0</v>
      </c>
      <c r="AZ605">
        <v>0</v>
      </c>
      <c r="BA605">
        <v>0</v>
      </c>
      <c r="BB605">
        <v>0</v>
      </c>
      <c r="BC605">
        <v>0</v>
      </c>
      <c r="BD605">
        <v>0</v>
      </c>
      <c r="BE605">
        <v>0</v>
      </c>
      <c r="BF605" t="s">
        <v>1100</v>
      </c>
      <c r="BG605" t="s">
        <v>5</v>
      </c>
      <c r="BH605" t="s">
        <v>3522</v>
      </c>
      <c r="BI605"/>
      <c r="BJ605" t="s">
        <v>5</v>
      </c>
      <c r="BK605"/>
      <c r="BL605">
        <v>0</v>
      </c>
      <c r="BM605">
        <v>0</v>
      </c>
      <c r="BN605" t="s">
        <v>5</v>
      </c>
      <c r="BO605"/>
      <c r="BP605"/>
      <c r="BQ605"/>
      <c r="BR605"/>
      <c r="BS605" t="s">
        <v>5</v>
      </c>
      <c r="BT605"/>
      <c r="BU605"/>
      <c r="BV605"/>
      <c r="BW605"/>
      <c r="BX605" t="s">
        <v>6</v>
      </c>
      <c r="BY605" t="s">
        <v>3523</v>
      </c>
      <c r="BZ605"/>
      <c r="CA605"/>
      <c r="CB605" t="s">
        <v>5</v>
      </c>
      <c r="CC605">
        <v>6022.5672256437792</v>
      </c>
      <c r="CD605">
        <v>1629136.507433421</v>
      </c>
      <c r="CE605" s="313" t="s">
        <v>11891</v>
      </c>
    </row>
    <row r="606" spans="1:83" ht="15" x14ac:dyDescent="0.25">
      <c r="A606" s="337" t="s">
        <v>1002</v>
      </c>
      <c r="B606" s="337" t="s">
        <v>1003</v>
      </c>
      <c r="C606" s="337" t="s">
        <v>1004</v>
      </c>
      <c r="D606" s="337">
        <v>9</v>
      </c>
      <c r="E606" s="337" t="s">
        <v>416</v>
      </c>
      <c r="F606" s="337" t="s">
        <v>465</v>
      </c>
      <c r="G606" s="337" t="s">
        <v>466</v>
      </c>
      <c r="H606" s="337" t="s">
        <v>467</v>
      </c>
      <c r="I606" s="337" t="s">
        <v>468</v>
      </c>
      <c r="J606" s="337" t="s">
        <v>469</v>
      </c>
      <c r="K606" s="337" t="s">
        <v>422</v>
      </c>
      <c r="L606" s="337">
        <v>0.58877921104431152</v>
      </c>
      <c r="M606" s="337" t="s">
        <v>5</v>
      </c>
      <c r="N606" s="337" t="s">
        <v>5</v>
      </c>
      <c r="O606" s="337" t="s">
        <v>5</v>
      </c>
      <c r="P606" s="337" t="s">
        <v>5</v>
      </c>
      <c r="Q606" s="337" t="s">
        <v>5</v>
      </c>
      <c r="R606" s="337" t="s">
        <v>470</v>
      </c>
      <c r="S606" s="337" t="s">
        <v>471</v>
      </c>
      <c r="T606" s="337" t="s">
        <v>5</v>
      </c>
      <c r="U606" s="337" t="s">
        <v>4</v>
      </c>
      <c r="V606" s="337">
        <v>60000</v>
      </c>
      <c r="W606" s="337">
        <v>35000</v>
      </c>
      <c r="X606" s="337" t="s">
        <v>6</v>
      </c>
      <c r="Y606" s="337"/>
      <c r="Z606" s="337"/>
      <c r="AA606" s="337">
        <v>23.00979042053223</v>
      </c>
      <c r="AB606" s="337">
        <v>9.6232164651155472E-3</v>
      </c>
      <c r="AC606" s="337">
        <v>23.00979042053223</v>
      </c>
      <c r="AD606" s="337">
        <v>9</v>
      </c>
      <c r="AE606" s="337">
        <v>3</v>
      </c>
      <c r="AF606" s="337">
        <v>3</v>
      </c>
      <c r="AG606" s="337">
        <v>4</v>
      </c>
      <c r="AH606" s="337">
        <v>14</v>
      </c>
      <c r="AI606" s="337">
        <v>14</v>
      </c>
      <c r="AJ606" s="337">
        <v>0</v>
      </c>
      <c r="AK606" s="337">
        <v>0</v>
      </c>
      <c r="AL606" s="337">
        <v>0</v>
      </c>
      <c r="AM606" s="337">
        <v>0</v>
      </c>
      <c r="AN606" s="337">
        <v>5.9681897982954979E-4</v>
      </c>
      <c r="AO606" s="337"/>
      <c r="AP606" s="337"/>
      <c r="AQ606" s="337"/>
      <c r="AR606" s="337">
        <v>3</v>
      </c>
      <c r="AS606" s="337">
        <v>3</v>
      </c>
      <c r="AT606" s="337">
        <v>0</v>
      </c>
      <c r="AU606" s="337">
        <v>0</v>
      </c>
      <c r="AV606" s="337">
        <v>3</v>
      </c>
      <c r="AW606" s="337">
        <v>0</v>
      </c>
      <c r="AX606" s="337">
        <v>0</v>
      </c>
      <c r="AY606" s="337">
        <v>0</v>
      </c>
      <c r="AZ606" s="337">
        <v>0</v>
      </c>
      <c r="BA606" s="337">
        <v>1.4920500689186161E-4</v>
      </c>
      <c r="BB606" s="337"/>
      <c r="BC606" s="337"/>
      <c r="BD606" s="337"/>
      <c r="BE606" s="337">
        <v>25000</v>
      </c>
      <c r="BF606" s="337" t="s">
        <v>425</v>
      </c>
      <c r="BG606" s="337" t="s">
        <v>5</v>
      </c>
      <c r="BH606" s="337" t="s">
        <v>1020</v>
      </c>
      <c r="BI606" s="337"/>
      <c r="BJ606" s="337" t="s">
        <v>5</v>
      </c>
      <c r="BK606" s="337"/>
      <c r="BL606" s="337">
        <v>0</v>
      </c>
      <c r="BM606" s="337"/>
      <c r="BN606" s="337" t="s">
        <v>5</v>
      </c>
      <c r="BO606" s="337"/>
      <c r="BP606" s="337"/>
      <c r="BQ606" s="337"/>
      <c r="BR606" s="337"/>
      <c r="BS606" s="337" t="s">
        <v>5</v>
      </c>
      <c r="BT606" s="337"/>
      <c r="BU606" s="337"/>
      <c r="BV606" s="337"/>
      <c r="BW606" s="337"/>
      <c r="BX606" s="337" t="s">
        <v>6</v>
      </c>
      <c r="BY606" s="337" t="s">
        <v>426</v>
      </c>
      <c r="BZ606" s="337"/>
      <c r="CB606" s="337" t="s">
        <v>5</v>
      </c>
      <c r="CC606" s="337">
        <v>6085.9637908507366</v>
      </c>
      <c r="CD606" s="337">
        <v>1524931.1578664789</v>
      </c>
      <c r="CE606" s="313" t="s">
        <v>11891</v>
      </c>
    </row>
    <row r="607" spans="1:83" ht="15" x14ac:dyDescent="0.25">
      <c r="A607" s="337" t="s">
        <v>1011</v>
      </c>
      <c r="B607" s="337" t="s">
        <v>1012</v>
      </c>
      <c r="C607" s="337" t="s">
        <v>1013</v>
      </c>
      <c r="D607" s="337">
        <v>9</v>
      </c>
      <c r="E607" s="337" t="s">
        <v>416</v>
      </c>
      <c r="F607" s="337" t="s">
        <v>465</v>
      </c>
      <c r="G607" s="337" t="s">
        <v>466</v>
      </c>
      <c r="H607" s="337" t="s">
        <v>467</v>
      </c>
      <c r="I607" s="337" t="s">
        <v>468</v>
      </c>
      <c r="J607" s="337" t="s">
        <v>469</v>
      </c>
      <c r="K607" s="337" t="s">
        <v>422</v>
      </c>
      <c r="L607" s="337">
        <v>0.58877921104431152</v>
      </c>
      <c r="M607" s="337" t="s">
        <v>5</v>
      </c>
      <c r="N607" s="337" t="s">
        <v>5</v>
      </c>
      <c r="O607" s="337" t="s">
        <v>5</v>
      </c>
      <c r="P607" s="337" t="s">
        <v>5</v>
      </c>
      <c r="Q607" s="337" t="s">
        <v>5</v>
      </c>
      <c r="R607" s="337" t="s">
        <v>470</v>
      </c>
      <c r="S607" s="337" t="s">
        <v>471</v>
      </c>
      <c r="T607" s="337" t="s">
        <v>5</v>
      </c>
      <c r="U607" s="337" t="s">
        <v>4</v>
      </c>
      <c r="V607" s="337">
        <v>60000</v>
      </c>
      <c r="W607" s="337">
        <v>35000</v>
      </c>
      <c r="X607" s="337" t="s">
        <v>6</v>
      </c>
      <c r="Y607" s="337"/>
      <c r="Z607" s="337"/>
      <c r="AA607" s="337">
        <v>23.00979042053223</v>
      </c>
      <c r="AB607" s="337">
        <v>9.6232164651155472E-3</v>
      </c>
      <c r="AC607" s="337">
        <v>23.00979042053223</v>
      </c>
      <c r="AD607" s="337">
        <v>9</v>
      </c>
      <c r="AE607" s="337">
        <v>3</v>
      </c>
      <c r="AF607" s="337">
        <v>3</v>
      </c>
      <c r="AG607" s="337">
        <v>4</v>
      </c>
      <c r="AH607" s="337">
        <v>14</v>
      </c>
      <c r="AI607" s="337">
        <v>14</v>
      </c>
      <c r="AJ607" s="337">
        <v>0</v>
      </c>
      <c r="AK607" s="337">
        <v>0</v>
      </c>
      <c r="AL607" s="337">
        <v>0</v>
      </c>
      <c r="AM607" s="337">
        <v>0</v>
      </c>
      <c r="AN607" s="337">
        <v>5.9681897982954979E-4</v>
      </c>
      <c r="AO607" s="337"/>
      <c r="AP607" s="337"/>
      <c r="AQ607" s="337"/>
      <c r="AR607" s="337">
        <v>3</v>
      </c>
      <c r="AS607" s="337">
        <v>3</v>
      </c>
      <c r="AT607" s="337">
        <v>0</v>
      </c>
      <c r="AU607" s="337">
        <v>0</v>
      </c>
      <c r="AV607" s="337">
        <v>3</v>
      </c>
      <c r="AW607" s="337">
        <v>0</v>
      </c>
      <c r="AX607" s="337">
        <v>0</v>
      </c>
      <c r="AY607" s="337">
        <v>0</v>
      </c>
      <c r="AZ607" s="337">
        <v>0</v>
      </c>
      <c r="BA607" s="337">
        <v>1.4920500689186161E-4</v>
      </c>
      <c r="BB607" s="337"/>
      <c r="BC607" s="337"/>
      <c r="BD607" s="337"/>
      <c r="BE607" s="337">
        <v>25000</v>
      </c>
      <c r="BF607" s="337" t="s">
        <v>425</v>
      </c>
      <c r="BG607" s="337" t="s">
        <v>5</v>
      </c>
      <c r="BH607" s="337" t="s">
        <v>1020</v>
      </c>
      <c r="BI607" s="337"/>
      <c r="BJ607" s="337" t="s">
        <v>5</v>
      </c>
      <c r="BK607" s="337"/>
      <c r="BL607" s="337">
        <v>0</v>
      </c>
      <c r="BM607" s="337"/>
      <c r="BN607" s="337" t="s">
        <v>5</v>
      </c>
      <c r="BO607" s="337"/>
      <c r="BP607" s="337"/>
      <c r="BQ607" s="337"/>
      <c r="BR607" s="337"/>
      <c r="BS607" s="337" t="s">
        <v>5</v>
      </c>
      <c r="BT607" s="337"/>
      <c r="BU607" s="337"/>
      <c r="BV607" s="337"/>
      <c r="BW607" s="337"/>
      <c r="BX607" s="337" t="s">
        <v>6</v>
      </c>
      <c r="BY607" s="337" t="s">
        <v>426</v>
      </c>
      <c r="BZ607" s="337"/>
      <c r="CB607" s="337" t="s">
        <v>5</v>
      </c>
      <c r="CC607" s="337">
        <v>6085.9637908507366</v>
      </c>
      <c r="CD607" s="337">
        <v>1524931.1578664789</v>
      </c>
      <c r="CE607" s="313" t="s">
        <v>11891</v>
      </c>
    </row>
    <row r="608" spans="1:83" ht="15" x14ac:dyDescent="0.25">
      <c r="A608" t="s">
        <v>2588</v>
      </c>
      <c r="B608" t="s">
        <v>2589</v>
      </c>
      <c r="C608" t="s">
        <v>2590</v>
      </c>
      <c r="D608">
        <v>4</v>
      </c>
      <c r="E608" t="s">
        <v>2512</v>
      </c>
      <c r="F608" t="s">
        <v>2591</v>
      </c>
      <c r="G608" t="s">
        <v>2537</v>
      </c>
      <c r="H608" t="s">
        <v>2592</v>
      </c>
      <c r="I608" t="s">
        <v>2593</v>
      </c>
      <c r="J608" t="s">
        <v>2594</v>
      </c>
      <c r="K608" t="s">
        <v>2530</v>
      </c>
      <c r="L608">
        <v>18.57613372802734</v>
      </c>
      <c r="M608" t="s">
        <v>6</v>
      </c>
      <c r="N608" t="s">
        <v>5</v>
      </c>
      <c r="O608" t="s">
        <v>5</v>
      </c>
      <c r="P608" t="s">
        <v>5</v>
      </c>
      <c r="Q608" t="s">
        <v>5</v>
      </c>
      <c r="R608" t="s">
        <v>2545</v>
      </c>
      <c r="S608" t="s">
        <v>2545</v>
      </c>
      <c r="T608" t="s">
        <v>5</v>
      </c>
      <c r="U608" t="s">
        <v>4</v>
      </c>
      <c r="V608">
        <v>30000</v>
      </c>
      <c r="W608">
        <v>30000</v>
      </c>
      <c r="X608" t="s">
        <v>6</v>
      </c>
      <c r="Y608"/>
      <c r="Z608">
        <v>0</v>
      </c>
      <c r="AA608">
        <v>7.0252437591552734</v>
      </c>
      <c r="AB608">
        <v>0.94301044940948486</v>
      </c>
      <c r="AC608">
        <v>0</v>
      </c>
      <c r="AD608">
        <v>296</v>
      </c>
      <c r="AE608">
        <v>58</v>
      </c>
      <c r="AF608">
        <v>224</v>
      </c>
      <c r="AG608">
        <v>870</v>
      </c>
      <c r="AH608">
        <v>599</v>
      </c>
      <c r="AI608">
        <v>870</v>
      </c>
      <c r="AJ608">
        <v>3</v>
      </c>
      <c r="AK608">
        <v>3</v>
      </c>
      <c r="AL608">
        <v>15</v>
      </c>
      <c r="AM608">
        <v>3</v>
      </c>
      <c r="AN608">
        <v>95.777946472167969</v>
      </c>
      <c r="AO608"/>
      <c r="AP608"/>
      <c r="AQ608"/>
      <c r="AR608">
        <v>0</v>
      </c>
      <c r="AS608">
        <v>0</v>
      </c>
      <c r="AT608">
        <v>0</v>
      </c>
      <c r="AU608">
        <v>0</v>
      </c>
      <c r="AV608">
        <v>0</v>
      </c>
      <c r="AW608">
        <v>0</v>
      </c>
      <c r="AX608">
        <v>0</v>
      </c>
      <c r="AY608">
        <v>0</v>
      </c>
      <c r="AZ608">
        <v>0</v>
      </c>
      <c r="BA608">
        <v>0</v>
      </c>
      <c r="BB608"/>
      <c r="BC608"/>
      <c r="BD608"/>
      <c r="BE608">
        <v>0</v>
      </c>
      <c r="BF608" t="s">
        <v>2516</v>
      </c>
      <c r="BG608" t="s">
        <v>5</v>
      </c>
      <c r="BH608" t="s">
        <v>1020</v>
      </c>
      <c r="BI608" t="s">
        <v>2517</v>
      </c>
      <c r="BJ608" t="s">
        <v>5</v>
      </c>
      <c r="BK608" t="s">
        <v>1100</v>
      </c>
      <c r="BL608">
        <v>0</v>
      </c>
      <c r="BM608"/>
      <c r="BN608" t="s">
        <v>5</v>
      </c>
      <c r="BO608" t="s">
        <v>2518</v>
      </c>
      <c r="BP608" t="s">
        <v>2518</v>
      </c>
      <c r="BQ608" t="s">
        <v>2518</v>
      </c>
      <c r="BR608" t="s">
        <v>2518</v>
      </c>
      <c r="BS608" t="s">
        <v>6</v>
      </c>
      <c r="BT608" t="s">
        <v>2518</v>
      </c>
      <c r="BU608" t="s">
        <v>2518</v>
      </c>
      <c r="BV608" t="s">
        <v>2518</v>
      </c>
      <c r="BW608" t="s">
        <v>1100</v>
      </c>
      <c r="BX608" t="s">
        <v>6</v>
      </c>
      <c r="BY608" t="s">
        <v>2519</v>
      </c>
      <c r="BZ608"/>
      <c r="CA608"/>
      <c r="CB608" t="s">
        <v>5</v>
      </c>
      <c r="CC608">
        <v>94071.296493029658</v>
      </c>
      <c r="CD608">
        <v>48111963.059319139</v>
      </c>
      <c r="CE608" s="313" t="s">
        <v>11891</v>
      </c>
    </row>
    <row r="609" spans="1:83" ht="15" x14ac:dyDescent="0.25">
      <c r="A609" t="s">
        <v>3445</v>
      </c>
      <c r="B609" t="s">
        <v>3446</v>
      </c>
      <c r="C609" t="s">
        <v>4629</v>
      </c>
      <c r="D609">
        <v>12</v>
      </c>
      <c r="E609" t="s">
        <v>3435</v>
      </c>
      <c r="F609" t="s">
        <v>3436</v>
      </c>
      <c r="G609" t="s">
        <v>3437</v>
      </c>
      <c r="H609" t="s">
        <v>3438</v>
      </c>
      <c r="I609" t="s">
        <v>3439</v>
      </c>
      <c r="J609" t="s">
        <v>3440</v>
      </c>
      <c r="K609" t="s">
        <v>3447</v>
      </c>
      <c r="L609">
        <v>0.90789198875427246</v>
      </c>
      <c r="M609" t="s">
        <v>6</v>
      </c>
      <c r="N609" t="s">
        <v>5</v>
      </c>
      <c r="O609" t="s">
        <v>6</v>
      </c>
      <c r="P609" t="s">
        <v>5</v>
      </c>
      <c r="Q609" t="s">
        <v>5</v>
      </c>
      <c r="R609" t="s">
        <v>3442</v>
      </c>
      <c r="S609" t="s">
        <v>3443</v>
      </c>
      <c r="T609" t="s">
        <v>5</v>
      </c>
      <c r="U609" t="s">
        <v>13</v>
      </c>
      <c r="V609">
        <v>30000</v>
      </c>
      <c r="W609">
        <v>30000</v>
      </c>
      <c r="X609" t="s">
        <v>5</v>
      </c>
      <c r="Y609"/>
      <c r="Z609">
        <v>0</v>
      </c>
      <c r="AA609">
        <v>0.43966400623321528</v>
      </c>
      <c r="AB609">
        <v>8.0706000328063965E-2</v>
      </c>
      <c r="AC609">
        <v>0</v>
      </c>
      <c r="AD609">
        <v>37</v>
      </c>
      <c r="AE609">
        <v>30</v>
      </c>
      <c r="AF609">
        <v>19</v>
      </c>
      <c r="AG609">
        <v>53</v>
      </c>
      <c r="AH609">
        <v>21</v>
      </c>
      <c r="AI609">
        <v>53</v>
      </c>
      <c r="AJ609">
        <v>0</v>
      </c>
      <c r="AK609">
        <v>0</v>
      </c>
      <c r="AL609">
        <v>1</v>
      </c>
      <c r="AM609">
        <v>21</v>
      </c>
      <c r="AN609">
        <v>27.729999542236332</v>
      </c>
      <c r="AO609">
        <v>0</v>
      </c>
      <c r="AP609">
        <v>0</v>
      </c>
      <c r="AQ609">
        <v>0</v>
      </c>
      <c r="AR609">
        <v>0</v>
      </c>
      <c r="AS609">
        <v>0</v>
      </c>
      <c r="AT609">
        <v>0</v>
      </c>
      <c r="AU609">
        <v>0</v>
      </c>
      <c r="AV609">
        <v>0</v>
      </c>
      <c r="AW609">
        <v>0</v>
      </c>
      <c r="AX609">
        <v>0</v>
      </c>
      <c r="AY609">
        <v>0</v>
      </c>
      <c r="AZ609">
        <v>0</v>
      </c>
      <c r="BA609">
        <v>0</v>
      </c>
      <c r="BB609">
        <v>0</v>
      </c>
      <c r="BC609">
        <v>0</v>
      </c>
      <c r="BD609">
        <v>0</v>
      </c>
      <c r="BE609">
        <v>0</v>
      </c>
      <c r="BF609" t="s">
        <v>1100</v>
      </c>
      <c r="BG609" t="s">
        <v>5</v>
      </c>
      <c r="BH609" t="s">
        <v>1100</v>
      </c>
      <c r="BI609"/>
      <c r="BJ609" t="s">
        <v>5</v>
      </c>
      <c r="BK609"/>
      <c r="BL609">
        <v>0</v>
      </c>
      <c r="BM609">
        <v>0</v>
      </c>
      <c r="BN609" t="s">
        <v>6</v>
      </c>
      <c r="BO609"/>
      <c r="BP609" t="s">
        <v>3448</v>
      </c>
      <c r="BQ609"/>
      <c r="BR609"/>
      <c r="BS609" t="s">
        <v>5</v>
      </c>
      <c r="BT609"/>
      <c r="BU609"/>
      <c r="BV609"/>
      <c r="BW609"/>
      <c r="BX609" t="s">
        <v>6</v>
      </c>
      <c r="BY609" t="s">
        <v>3444</v>
      </c>
      <c r="BZ609"/>
      <c r="CA609"/>
      <c r="CB609" t="s">
        <v>5</v>
      </c>
      <c r="CC609">
        <v>7900.2977830795571</v>
      </c>
      <c r="CD609">
        <v>2351428.2738475739</v>
      </c>
      <c r="CE609" s="313" t="s">
        <v>11891</v>
      </c>
    </row>
    <row r="610" spans="1:83" ht="15" x14ac:dyDescent="0.25">
      <c r="A610" t="s">
        <v>3449</v>
      </c>
      <c r="B610" t="s">
        <v>3450</v>
      </c>
      <c r="C610" t="s">
        <v>4629</v>
      </c>
      <c r="D610">
        <v>12</v>
      </c>
      <c r="E610" t="s">
        <v>3435</v>
      </c>
      <c r="F610" t="s">
        <v>3436</v>
      </c>
      <c r="G610" t="s">
        <v>3437</v>
      </c>
      <c r="H610" t="s">
        <v>3451</v>
      </c>
      <c r="I610" t="s">
        <v>3452</v>
      </c>
      <c r="J610" t="s">
        <v>3453</v>
      </c>
      <c r="K610" t="s">
        <v>3447</v>
      </c>
      <c r="L610">
        <v>2.3095500469207759</v>
      </c>
      <c r="M610" t="s">
        <v>6</v>
      </c>
      <c r="N610" t="s">
        <v>5</v>
      </c>
      <c r="O610" t="s">
        <v>5</v>
      </c>
      <c r="P610" t="s">
        <v>5</v>
      </c>
      <c r="Q610" t="s">
        <v>5</v>
      </c>
      <c r="R610" t="s">
        <v>3454</v>
      </c>
      <c r="S610" t="s">
        <v>3455</v>
      </c>
      <c r="T610" t="s">
        <v>5</v>
      </c>
      <c r="U610" t="s">
        <v>13</v>
      </c>
      <c r="V610">
        <v>30000</v>
      </c>
      <c r="W610">
        <v>30000</v>
      </c>
      <c r="X610" t="s">
        <v>5</v>
      </c>
      <c r="Y610"/>
      <c r="Z610">
        <v>0</v>
      </c>
      <c r="AA610">
        <v>7.944200187921524E-2</v>
      </c>
      <c r="AB610">
        <v>1.4418999664485449E-2</v>
      </c>
      <c r="AC610">
        <v>0</v>
      </c>
      <c r="AD610">
        <v>6</v>
      </c>
      <c r="AE610">
        <v>0</v>
      </c>
      <c r="AF610">
        <v>5</v>
      </c>
      <c r="AG610">
        <v>33</v>
      </c>
      <c r="AH610">
        <v>159</v>
      </c>
      <c r="AI610">
        <v>159</v>
      </c>
      <c r="AJ610">
        <v>0</v>
      </c>
      <c r="AK610">
        <v>0</v>
      </c>
      <c r="AL610">
        <v>0</v>
      </c>
      <c r="AM610">
        <v>5</v>
      </c>
      <c r="AN610">
        <v>0.69999998807907104</v>
      </c>
      <c r="AO610">
        <v>0</v>
      </c>
      <c r="AP610">
        <v>0</v>
      </c>
      <c r="AQ610">
        <v>0</v>
      </c>
      <c r="AR610">
        <v>0</v>
      </c>
      <c r="AS610">
        <v>0</v>
      </c>
      <c r="AT610">
        <v>0</v>
      </c>
      <c r="AU610">
        <v>0</v>
      </c>
      <c r="AV610">
        <v>0</v>
      </c>
      <c r="AW610">
        <v>0</v>
      </c>
      <c r="AX610">
        <v>0</v>
      </c>
      <c r="AY610">
        <v>0</v>
      </c>
      <c r="AZ610">
        <v>0</v>
      </c>
      <c r="BA610">
        <v>0</v>
      </c>
      <c r="BB610">
        <v>0</v>
      </c>
      <c r="BC610">
        <v>0</v>
      </c>
      <c r="BD610">
        <v>0</v>
      </c>
      <c r="BE610">
        <v>0</v>
      </c>
      <c r="BF610" t="s">
        <v>1100</v>
      </c>
      <c r="BG610" t="s">
        <v>5</v>
      </c>
      <c r="BH610" t="s">
        <v>1100</v>
      </c>
      <c r="BI610"/>
      <c r="BJ610" t="s">
        <v>5</v>
      </c>
      <c r="BK610"/>
      <c r="BL610">
        <v>0</v>
      </c>
      <c r="BM610">
        <v>0</v>
      </c>
      <c r="BN610" t="s">
        <v>6</v>
      </c>
      <c r="BO610"/>
      <c r="BP610" t="s">
        <v>3456</v>
      </c>
      <c r="BQ610"/>
      <c r="BR610"/>
      <c r="BS610" t="s">
        <v>5</v>
      </c>
      <c r="BT610"/>
      <c r="BU610"/>
      <c r="BV610"/>
      <c r="BW610"/>
      <c r="BX610" t="s">
        <v>6</v>
      </c>
      <c r="BY610" t="s">
        <v>3444</v>
      </c>
      <c r="BZ610"/>
      <c r="CA610"/>
      <c r="CB610" t="s">
        <v>5</v>
      </c>
      <c r="CC610">
        <v>22514.13521587598</v>
      </c>
      <c r="CD610">
        <v>5981718.3468192406</v>
      </c>
      <c r="CE610" s="313" t="s">
        <v>11891</v>
      </c>
    </row>
    <row r="611" spans="1:83" ht="15" x14ac:dyDescent="0.25">
      <c r="A611" t="s">
        <v>3457</v>
      </c>
      <c r="B611" t="s">
        <v>3450</v>
      </c>
      <c r="C611" t="s">
        <v>4629</v>
      </c>
      <c r="D611">
        <v>12</v>
      </c>
      <c r="E611" t="s">
        <v>3435</v>
      </c>
      <c r="F611" t="s">
        <v>3436</v>
      </c>
      <c r="G611" t="s">
        <v>3437</v>
      </c>
      <c r="H611" t="s">
        <v>3458</v>
      </c>
      <c r="I611" t="s">
        <v>3459</v>
      </c>
      <c r="J611" t="s">
        <v>3460</v>
      </c>
      <c r="K611" t="s">
        <v>3447</v>
      </c>
      <c r="L611">
        <v>3.6673600673675542</v>
      </c>
      <c r="M611" t="s">
        <v>6</v>
      </c>
      <c r="N611" t="s">
        <v>5</v>
      </c>
      <c r="O611" t="s">
        <v>6</v>
      </c>
      <c r="P611" t="s">
        <v>5</v>
      </c>
      <c r="Q611" t="s">
        <v>5</v>
      </c>
      <c r="R611" t="s">
        <v>3461</v>
      </c>
      <c r="S611" t="s">
        <v>3462</v>
      </c>
      <c r="T611" t="s">
        <v>5</v>
      </c>
      <c r="U611" t="s">
        <v>13</v>
      </c>
      <c r="V611">
        <v>30000</v>
      </c>
      <c r="W611">
        <v>30000</v>
      </c>
      <c r="X611" t="s">
        <v>5</v>
      </c>
      <c r="Y611"/>
      <c r="Z611">
        <v>0</v>
      </c>
      <c r="AA611">
        <v>0.40474799275398249</v>
      </c>
      <c r="AB611">
        <v>0.16484199464321139</v>
      </c>
      <c r="AC611">
        <v>0</v>
      </c>
      <c r="AD611">
        <v>42</v>
      </c>
      <c r="AE611">
        <v>38</v>
      </c>
      <c r="AF611">
        <v>24</v>
      </c>
      <c r="AG611">
        <v>33</v>
      </c>
      <c r="AH611">
        <v>59</v>
      </c>
      <c r="AI611">
        <v>59</v>
      </c>
      <c r="AJ611">
        <v>0</v>
      </c>
      <c r="AK611">
        <v>0</v>
      </c>
      <c r="AL611">
        <v>0</v>
      </c>
      <c r="AM611">
        <v>21</v>
      </c>
      <c r="AN611">
        <v>6.0100002288818359</v>
      </c>
      <c r="AO611">
        <v>0</v>
      </c>
      <c r="AP611">
        <v>0</v>
      </c>
      <c r="AQ611">
        <v>0</v>
      </c>
      <c r="AR611">
        <v>0</v>
      </c>
      <c r="AS611">
        <v>0</v>
      </c>
      <c r="AT611">
        <v>0</v>
      </c>
      <c r="AU611">
        <v>0</v>
      </c>
      <c r="AV611">
        <v>0</v>
      </c>
      <c r="AW611">
        <v>0</v>
      </c>
      <c r="AX611">
        <v>0</v>
      </c>
      <c r="AY611">
        <v>0</v>
      </c>
      <c r="AZ611">
        <v>0</v>
      </c>
      <c r="BA611">
        <v>0</v>
      </c>
      <c r="BB611">
        <v>0</v>
      </c>
      <c r="BC611">
        <v>0</v>
      </c>
      <c r="BD611">
        <v>0</v>
      </c>
      <c r="BE611">
        <v>0</v>
      </c>
      <c r="BF611" t="s">
        <v>1100</v>
      </c>
      <c r="BG611" t="s">
        <v>5</v>
      </c>
      <c r="BH611" t="s">
        <v>1100</v>
      </c>
      <c r="BI611"/>
      <c r="BJ611" t="s">
        <v>5</v>
      </c>
      <c r="BK611"/>
      <c r="BL611">
        <v>0</v>
      </c>
      <c r="BM611">
        <v>0</v>
      </c>
      <c r="BN611" t="s">
        <v>6</v>
      </c>
      <c r="BO611"/>
      <c r="BP611" t="s">
        <v>3456</v>
      </c>
      <c r="BQ611"/>
      <c r="BR611"/>
      <c r="BS611" t="s">
        <v>5</v>
      </c>
      <c r="BT611"/>
      <c r="BU611"/>
      <c r="BV611"/>
      <c r="BW611"/>
      <c r="BX611" t="s">
        <v>6</v>
      </c>
      <c r="BY611" t="s">
        <v>3444</v>
      </c>
      <c r="BZ611"/>
      <c r="CA611"/>
      <c r="CB611" t="s">
        <v>5</v>
      </c>
      <c r="CC611">
        <v>30840.617085491722</v>
      </c>
      <c r="CD611">
        <v>9498406.7659009639</v>
      </c>
      <c r="CE611" s="313" t="s">
        <v>11891</v>
      </c>
    </row>
    <row r="612" spans="1:83" ht="15" x14ac:dyDescent="0.25">
      <c r="A612" t="s">
        <v>3463</v>
      </c>
      <c r="B612" t="s">
        <v>3450</v>
      </c>
      <c r="C612" t="s">
        <v>4629</v>
      </c>
      <c r="D612">
        <v>12</v>
      </c>
      <c r="E612" t="s">
        <v>3435</v>
      </c>
      <c r="F612" t="s">
        <v>3436</v>
      </c>
      <c r="G612" t="s">
        <v>3437</v>
      </c>
      <c r="H612" t="s">
        <v>3464</v>
      </c>
      <c r="I612" t="s">
        <v>3465</v>
      </c>
      <c r="J612" t="s">
        <v>3466</v>
      </c>
      <c r="K612" t="s">
        <v>3447</v>
      </c>
      <c r="L612">
        <v>1.1774899959564209</v>
      </c>
      <c r="M612" t="s">
        <v>6</v>
      </c>
      <c r="N612" t="s">
        <v>5</v>
      </c>
      <c r="O612" t="s">
        <v>6</v>
      </c>
      <c r="P612" t="s">
        <v>5</v>
      </c>
      <c r="Q612" t="s">
        <v>5</v>
      </c>
      <c r="R612" t="s">
        <v>3467</v>
      </c>
      <c r="S612" t="s">
        <v>3468</v>
      </c>
      <c r="T612" t="s">
        <v>5</v>
      </c>
      <c r="U612" t="s">
        <v>13</v>
      </c>
      <c r="V612">
        <v>30000</v>
      </c>
      <c r="W612">
        <v>30000</v>
      </c>
      <c r="X612" t="s">
        <v>5</v>
      </c>
      <c r="Y612"/>
      <c r="Z612">
        <v>0</v>
      </c>
      <c r="AA612">
        <v>5.1291000097990043E-2</v>
      </c>
      <c r="AB612">
        <v>4.6899998560547829E-3</v>
      </c>
      <c r="AC612">
        <v>0</v>
      </c>
      <c r="AD612">
        <v>4</v>
      </c>
      <c r="AE612">
        <v>2</v>
      </c>
      <c r="AF612">
        <v>3</v>
      </c>
      <c r="AG612">
        <v>4</v>
      </c>
      <c r="AH612">
        <v>14</v>
      </c>
      <c r="AI612">
        <v>14</v>
      </c>
      <c r="AJ612">
        <v>0</v>
      </c>
      <c r="AK612">
        <v>0</v>
      </c>
      <c r="AL612">
        <v>0</v>
      </c>
      <c r="AM612">
        <v>4</v>
      </c>
      <c r="AN612">
        <v>1.0900000333786011</v>
      </c>
      <c r="AO612">
        <v>0</v>
      </c>
      <c r="AP612">
        <v>0</v>
      </c>
      <c r="AQ612">
        <v>0</v>
      </c>
      <c r="AR612">
        <v>0</v>
      </c>
      <c r="AS612">
        <v>0</v>
      </c>
      <c r="AT612">
        <v>0</v>
      </c>
      <c r="AU612">
        <v>0</v>
      </c>
      <c r="AV612">
        <v>0</v>
      </c>
      <c r="AW612">
        <v>0</v>
      </c>
      <c r="AX612">
        <v>0</v>
      </c>
      <c r="AY612">
        <v>0</v>
      </c>
      <c r="AZ612">
        <v>0</v>
      </c>
      <c r="BA612">
        <v>0</v>
      </c>
      <c r="BB612">
        <v>0</v>
      </c>
      <c r="BC612">
        <v>0</v>
      </c>
      <c r="BD612">
        <v>0</v>
      </c>
      <c r="BE612">
        <v>0</v>
      </c>
      <c r="BF612" t="s">
        <v>1100</v>
      </c>
      <c r="BG612" t="s">
        <v>5</v>
      </c>
      <c r="BH612" t="s">
        <v>1100</v>
      </c>
      <c r="BI612"/>
      <c r="BJ612" t="s">
        <v>5</v>
      </c>
      <c r="BK612"/>
      <c r="BL612">
        <v>0</v>
      </c>
      <c r="BM612">
        <v>0</v>
      </c>
      <c r="BN612" t="s">
        <v>6</v>
      </c>
      <c r="BO612"/>
      <c r="BP612" t="s">
        <v>3469</v>
      </c>
      <c r="BQ612"/>
      <c r="BR612"/>
      <c r="BS612" t="s">
        <v>5</v>
      </c>
      <c r="BT612"/>
      <c r="BU612"/>
      <c r="BV612"/>
      <c r="BW612"/>
      <c r="BX612" t="s">
        <v>6</v>
      </c>
      <c r="BY612" t="s">
        <v>3444</v>
      </c>
      <c r="BZ612"/>
      <c r="CA612"/>
      <c r="CB612" t="s">
        <v>5</v>
      </c>
      <c r="CC612">
        <v>8765.9148975609387</v>
      </c>
      <c r="CD612">
        <v>3049681.9709197399</v>
      </c>
      <c r="CE612" s="313" t="s">
        <v>11891</v>
      </c>
    </row>
    <row r="613" spans="1:83" ht="15" x14ac:dyDescent="0.25">
      <c r="A613" t="s">
        <v>1903</v>
      </c>
      <c r="B613" t="s">
        <v>1904</v>
      </c>
      <c r="C613" t="s">
        <v>1905</v>
      </c>
      <c r="D613">
        <v>3</v>
      </c>
      <c r="E613" t="s">
        <v>1771</v>
      </c>
      <c r="F613" t="s">
        <v>1858</v>
      </c>
      <c r="G613" t="s">
        <v>1859</v>
      </c>
      <c r="H613" t="s">
        <v>1906</v>
      </c>
      <c r="I613" t="s">
        <v>1907</v>
      </c>
      <c r="J613" t="s">
        <v>1908</v>
      </c>
      <c r="K613" t="s">
        <v>1868</v>
      </c>
      <c r="L613">
        <v>1.8349289894103999</v>
      </c>
      <c r="M613" t="s">
        <v>6</v>
      </c>
      <c r="N613" t="s">
        <v>5</v>
      </c>
      <c r="O613" t="s">
        <v>5</v>
      </c>
      <c r="P613" t="s">
        <v>5</v>
      </c>
      <c r="Q613" t="s">
        <v>5</v>
      </c>
      <c r="R613" t="s">
        <v>4396</v>
      </c>
      <c r="S613" t="s">
        <v>1909</v>
      </c>
      <c r="T613" t="s">
        <v>5</v>
      </c>
      <c r="U613" t="s">
        <v>28</v>
      </c>
      <c r="V613">
        <v>300000</v>
      </c>
      <c r="W613">
        <v>30000</v>
      </c>
      <c r="X613" t="s">
        <v>5</v>
      </c>
      <c r="Y613"/>
      <c r="Z613"/>
      <c r="AA613">
        <v>0.22632260620594019</v>
      </c>
      <c r="AB613">
        <v>1.3647030107676979E-2</v>
      </c>
      <c r="AC613">
        <v>0</v>
      </c>
      <c r="AD613">
        <v>12</v>
      </c>
      <c r="AE613">
        <v>6</v>
      </c>
      <c r="AF613">
        <v>11</v>
      </c>
      <c r="AG613">
        <v>6</v>
      </c>
      <c r="AH613">
        <v>24</v>
      </c>
      <c r="AI613">
        <v>24</v>
      </c>
      <c r="AJ613">
        <v>0</v>
      </c>
      <c r="AK613">
        <v>3</v>
      </c>
      <c r="AL613">
        <v>1</v>
      </c>
      <c r="AM613"/>
      <c r="AN613">
        <v>16.488700866699219</v>
      </c>
      <c r="AO613"/>
      <c r="AP613"/>
      <c r="AQ613"/>
      <c r="AR613"/>
      <c r="AS613"/>
      <c r="AT613"/>
      <c r="AU613"/>
      <c r="AV613"/>
      <c r="AW613"/>
      <c r="AX613"/>
      <c r="AY613"/>
      <c r="AZ613"/>
      <c r="BA613"/>
      <c r="BB613"/>
      <c r="BC613"/>
      <c r="BD613"/>
      <c r="BE613"/>
      <c r="BF613" t="s">
        <v>5</v>
      </c>
      <c r="BG613" t="s">
        <v>5</v>
      </c>
      <c r="BH613" t="s">
        <v>1777</v>
      </c>
      <c r="BI613"/>
      <c r="BJ613" t="s">
        <v>5</v>
      </c>
      <c r="BK613"/>
      <c r="BL613">
        <v>0</v>
      </c>
      <c r="BM613"/>
      <c r="BN613" t="s">
        <v>5</v>
      </c>
      <c r="BO613"/>
      <c r="BP613"/>
      <c r="BQ613"/>
      <c r="BR613"/>
      <c r="BS613" t="s">
        <v>5</v>
      </c>
      <c r="BT613"/>
      <c r="BU613"/>
      <c r="BV613"/>
      <c r="BW613" t="s">
        <v>1778</v>
      </c>
      <c r="BX613" t="s">
        <v>6</v>
      </c>
      <c r="BY613" t="s">
        <v>1101</v>
      </c>
      <c r="BZ613"/>
      <c r="CA613"/>
      <c r="CB613" t="s">
        <v>5</v>
      </c>
      <c r="CC613">
        <v>11137.92318385599</v>
      </c>
      <c r="CD613">
        <v>4753702.1704556402</v>
      </c>
      <c r="CE613" s="313" t="s">
        <v>11891</v>
      </c>
    </row>
    <row r="614" spans="1:83" ht="15" x14ac:dyDescent="0.25">
      <c r="A614" t="s">
        <v>11924</v>
      </c>
      <c r="B614" t="s">
        <v>11925</v>
      </c>
      <c r="C614" t="s">
        <v>11926</v>
      </c>
      <c r="D614">
        <v>15</v>
      </c>
      <c r="E614" t="s">
        <v>3847</v>
      </c>
      <c r="F614" t="s">
        <v>3864</v>
      </c>
      <c r="G614" t="s">
        <v>11896</v>
      </c>
      <c r="H614" t="s">
        <v>11897</v>
      </c>
      <c r="I614" t="s">
        <v>11898</v>
      </c>
      <c r="J614" t="s">
        <v>11899</v>
      </c>
      <c r="K614" t="s">
        <v>3902</v>
      </c>
      <c r="L614">
        <v>807.23931884765625</v>
      </c>
      <c r="M614" t="s">
        <v>5</v>
      </c>
      <c r="N614" t="s">
        <v>5</v>
      </c>
      <c r="O614" t="s">
        <v>6</v>
      </c>
      <c r="P614" t="s">
        <v>5</v>
      </c>
      <c r="Q614" t="s">
        <v>5</v>
      </c>
      <c r="R614" t="s">
        <v>11573</v>
      </c>
      <c r="S614" t="s">
        <v>11901</v>
      </c>
      <c r="T614" t="s">
        <v>6</v>
      </c>
      <c r="U614" t="s">
        <v>50</v>
      </c>
      <c r="V614">
        <v>30000</v>
      </c>
      <c r="W614">
        <v>30000</v>
      </c>
      <c r="X614" t="s">
        <v>6</v>
      </c>
      <c r="Y614"/>
      <c r="Z614">
        <v>0</v>
      </c>
      <c r="AA614">
        <v>374.6278076171875</v>
      </c>
      <c r="AB614">
        <v>557.8006591796875</v>
      </c>
      <c r="AC614">
        <v>2.348208904266357</v>
      </c>
      <c r="AD614">
        <v>75816</v>
      </c>
      <c r="AE614">
        <v>149258</v>
      </c>
      <c r="AF614">
        <v>61251</v>
      </c>
      <c r="AG614">
        <v>177730</v>
      </c>
      <c r="AH614">
        <v>244800</v>
      </c>
      <c r="AI614">
        <v>244800</v>
      </c>
      <c r="AJ614">
        <v>459</v>
      </c>
      <c r="AK614">
        <v>17</v>
      </c>
      <c r="AL614">
        <v>1840</v>
      </c>
      <c r="AM614">
        <v>5</v>
      </c>
      <c r="AN614">
        <v>334.99685668945313</v>
      </c>
      <c r="AO614"/>
      <c r="AP614"/>
      <c r="AQ614"/>
      <c r="AR614">
        <v>0</v>
      </c>
      <c r="AS614">
        <v>0</v>
      </c>
      <c r="AT614">
        <v>0</v>
      </c>
      <c r="AU614">
        <v>0</v>
      </c>
      <c r="AV614">
        <v>0</v>
      </c>
      <c r="AW614">
        <v>0</v>
      </c>
      <c r="AX614">
        <v>0</v>
      </c>
      <c r="AY614">
        <v>0</v>
      </c>
      <c r="AZ614">
        <v>0</v>
      </c>
      <c r="BA614">
        <v>0</v>
      </c>
      <c r="BB614">
        <v>0</v>
      </c>
      <c r="BC614">
        <v>0</v>
      </c>
      <c r="BD614">
        <v>0</v>
      </c>
      <c r="BE614">
        <v>0</v>
      </c>
      <c r="BF614" t="s">
        <v>5</v>
      </c>
      <c r="BG614" t="s">
        <v>5</v>
      </c>
      <c r="BH614"/>
      <c r="BI614"/>
      <c r="BJ614" t="s">
        <v>5</v>
      </c>
      <c r="BK614"/>
      <c r="BL614">
        <v>0</v>
      </c>
      <c r="BM614">
        <v>0</v>
      </c>
      <c r="BN614" t="s">
        <v>5</v>
      </c>
      <c r="BO614"/>
      <c r="BP614"/>
      <c r="BQ614"/>
      <c r="BR614"/>
      <c r="BS614" t="s">
        <v>5</v>
      </c>
      <c r="BT614"/>
      <c r="BU614"/>
      <c r="BV614"/>
      <c r="BW614"/>
      <c r="BX614" t="s">
        <v>6</v>
      </c>
      <c r="BY614" t="s">
        <v>4232</v>
      </c>
      <c r="BZ614"/>
      <c r="CA614"/>
      <c r="CB614" t="s">
        <v>5</v>
      </c>
      <c r="CC614">
        <v>288949.96145606658</v>
      </c>
      <c r="CD614">
        <v>4616947534.7312641</v>
      </c>
      <c r="CE614" s="313" t="s">
        <v>11902</v>
      </c>
    </row>
    <row r="615" spans="1:83" ht="15" x14ac:dyDescent="0.25">
      <c r="A615" t="s">
        <v>2749</v>
      </c>
      <c r="B615" t="s">
        <v>2750</v>
      </c>
      <c r="C615" t="s">
        <v>2751</v>
      </c>
      <c r="D615">
        <v>5</v>
      </c>
      <c r="E615" t="s">
        <v>2598</v>
      </c>
      <c r="F615" t="s">
        <v>2138</v>
      </c>
      <c r="G615" t="s">
        <v>2571</v>
      </c>
      <c r="H615" t="s">
        <v>2631</v>
      </c>
      <c r="I615" t="s">
        <v>2632</v>
      </c>
      <c r="J615" t="s">
        <v>2633</v>
      </c>
      <c r="K615" t="s">
        <v>2603</v>
      </c>
      <c r="L615">
        <v>244.0077819824219</v>
      </c>
      <c r="M615" t="s">
        <v>6</v>
      </c>
      <c r="N615" t="s">
        <v>5</v>
      </c>
      <c r="O615" t="s">
        <v>6</v>
      </c>
      <c r="P615" t="s">
        <v>5</v>
      </c>
      <c r="Q615" t="s">
        <v>6</v>
      </c>
      <c r="R615" t="s">
        <v>2494</v>
      </c>
      <c r="S615" t="s">
        <v>2494</v>
      </c>
      <c r="T615" t="s">
        <v>6</v>
      </c>
      <c r="U615" t="s">
        <v>85</v>
      </c>
      <c r="V615">
        <v>2000000</v>
      </c>
      <c r="W615">
        <v>26000</v>
      </c>
      <c r="X615" t="s">
        <v>5</v>
      </c>
      <c r="Y615"/>
      <c r="Z615"/>
      <c r="AA615">
        <v>29.912782669067379</v>
      </c>
      <c r="AB615">
        <v>2.0945956707000728</v>
      </c>
      <c r="AC615">
        <v>2.7268669605255131</v>
      </c>
      <c r="AD615">
        <v>217</v>
      </c>
      <c r="AE615">
        <v>47</v>
      </c>
      <c r="AF615">
        <v>144</v>
      </c>
      <c r="AG615">
        <v>85</v>
      </c>
      <c r="AH615">
        <v>202</v>
      </c>
      <c r="AI615">
        <v>233</v>
      </c>
      <c r="AJ615">
        <v>0</v>
      </c>
      <c r="AK615">
        <v>0</v>
      </c>
      <c r="AL615">
        <v>13</v>
      </c>
      <c r="AM615">
        <v>0</v>
      </c>
      <c r="AN615">
        <v>231.7996826171875</v>
      </c>
      <c r="AO615"/>
      <c r="AP615"/>
      <c r="AQ615"/>
      <c r="AR615">
        <v>0</v>
      </c>
      <c r="AS615">
        <v>0</v>
      </c>
      <c r="AT615">
        <v>0</v>
      </c>
      <c r="AU615">
        <v>0</v>
      </c>
      <c r="AV615">
        <v>0</v>
      </c>
      <c r="AW615">
        <v>0</v>
      </c>
      <c r="AX615">
        <v>0</v>
      </c>
      <c r="AY615">
        <v>0</v>
      </c>
      <c r="AZ615">
        <v>0</v>
      </c>
      <c r="BA615">
        <v>0</v>
      </c>
      <c r="BB615"/>
      <c r="BC615"/>
      <c r="BD615"/>
      <c r="BE615">
        <v>0</v>
      </c>
      <c r="BF615" t="s">
        <v>2516</v>
      </c>
      <c r="BG615" t="s">
        <v>5</v>
      </c>
      <c r="BH615" t="s">
        <v>1020</v>
      </c>
      <c r="BI615"/>
      <c r="BJ615" t="s">
        <v>5</v>
      </c>
      <c r="BK615"/>
      <c r="BL615">
        <v>0</v>
      </c>
      <c r="BM615"/>
      <c r="BN615" t="s">
        <v>5</v>
      </c>
      <c r="BO615" t="s">
        <v>2518</v>
      </c>
      <c r="BP615" t="s">
        <v>2518</v>
      </c>
      <c r="BQ615" t="s">
        <v>2518</v>
      </c>
      <c r="BR615"/>
      <c r="BS615" t="s">
        <v>6</v>
      </c>
      <c r="BT615" t="s">
        <v>2518</v>
      </c>
      <c r="BU615" t="s">
        <v>2518</v>
      </c>
      <c r="BV615" t="s">
        <v>2518</v>
      </c>
      <c r="BW615"/>
      <c r="BX615" t="s">
        <v>6</v>
      </c>
      <c r="BY615" t="s">
        <v>2605</v>
      </c>
      <c r="BZ615" t="s">
        <v>2518</v>
      </c>
      <c r="CA615"/>
      <c r="CB615" t="s">
        <v>5</v>
      </c>
      <c r="CC615">
        <v>144729.1007365452</v>
      </c>
      <c r="CD615">
        <v>631977240.83358073</v>
      </c>
      <c r="CE615" s="313" t="s">
        <v>11891</v>
      </c>
    </row>
    <row r="616" spans="1:83" ht="15" x14ac:dyDescent="0.25">
      <c r="A616" t="s">
        <v>3628</v>
      </c>
      <c r="B616" t="s">
        <v>3629</v>
      </c>
      <c r="C616" t="s">
        <v>3630</v>
      </c>
      <c r="D616">
        <v>13</v>
      </c>
      <c r="E616" t="s">
        <v>3573</v>
      </c>
      <c r="F616" t="s">
        <v>3612</v>
      </c>
      <c r="G616" t="s">
        <v>3622</v>
      </c>
      <c r="H616" t="s">
        <v>3623</v>
      </c>
      <c r="I616" t="s">
        <v>3624</v>
      </c>
      <c r="J616" t="s">
        <v>3625</v>
      </c>
      <c r="K616" t="s">
        <v>3631</v>
      </c>
      <c r="L616">
        <v>3.4770641326904301</v>
      </c>
      <c r="M616" t="s">
        <v>6</v>
      </c>
      <c r="N616" t="s">
        <v>5</v>
      </c>
      <c r="O616" t="s">
        <v>6</v>
      </c>
      <c r="P616" t="s">
        <v>5</v>
      </c>
      <c r="Q616" t="s">
        <v>5</v>
      </c>
      <c r="R616" t="s">
        <v>3626</v>
      </c>
      <c r="S616" t="s">
        <v>3627</v>
      </c>
      <c r="T616" t="s">
        <v>6</v>
      </c>
      <c r="U616" t="s">
        <v>13</v>
      </c>
      <c r="V616">
        <v>25000</v>
      </c>
      <c r="W616">
        <v>25000</v>
      </c>
      <c r="X616" t="s">
        <v>5</v>
      </c>
      <c r="Y616"/>
      <c r="Z616"/>
      <c r="AA616">
        <v>0.19100464880466461</v>
      </c>
      <c r="AB616">
        <v>0.14721311628818509</v>
      </c>
      <c r="AC616">
        <v>0</v>
      </c>
      <c r="AD616">
        <v>18</v>
      </c>
      <c r="AE616">
        <v>20</v>
      </c>
      <c r="AF616">
        <v>11</v>
      </c>
      <c r="AG616">
        <v>113</v>
      </c>
      <c r="AH616">
        <v>72</v>
      </c>
      <c r="AI616">
        <v>113</v>
      </c>
      <c r="AJ616">
        <v>0</v>
      </c>
      <c r="AK616">
        <v>0</v>
      </c>
      <c r="AL616">
        <v>1</v>
      </c>
      <c r="AM616">
        <v>25</v>
      </c>
      <c r="AN616">
        <v>1.337621808052063</v>
      </c>
      <c r="AO616"/>
      <c r="AP616"/>
      <c r="AQ616"/>
      <c r="AR616"/>
      <c r="AS616"/>
      <c r="AT616"/>
      <c r="AU616"/>
      <c r="AV616"/>
      <c r="AW616"/>
      <c r="AX616"/>
      <c r="AY616"/>
      <c r="AZ616"/>
      <c r="BA616"/>
      <c r="BB616"/>
      <c r="BC616"/>
      <c r="BD616"/>
      <c r="BE616">
        <v>0</v>
      </c>
      <c r="BF616" t="s">
        <v>5</v>
      </c>
      <c r="BG616" t="s">
        <v>5</v>
      </c>
      <c r="BH616" t="s">
        <v>3581</v>
      </c>
      <c r="BI616"/>
      <c r="BJ616" t="s">
        <v>5</v>
      </c>
      <c r="BK616"/>
      <c r="BL616">
        <v>0</v>
      </c>
      <c r="BM616"/>
      <c r="BN616" t="s">
        <v>5</v>
      </c>
      <c r="BO616"/>
      <c r="BP616"/>
      <c r="BQ616"/>
      <c r="BR616"/>
      <c r="BS616" t="s">
        <v>5</v>
      </c>
      <c r="BT616"/>
      <c r="BU616"/>
      <c r="BV616"/>
      <c r="BW616"/>
      <c r="BX616" t="s">
        <v>6</v>
      </c>
      <c r="BY616" t="s">
        <v>3601</v>
      </c>
      <c r="BZ616"/>
      <c r="CA616"/>
      <c r="CB616" t="s">
        <v>5</v>
      </c>
      <c r="CC616">
        <v>25902.688188170381</v>
      </c>
      <c r="CD616">
        <v>9005590.5177444611</v>
      </c>
      <c r="CE616" s="313" t="s">
        <v>11891</v>
      </c>
    </row>
    <row r="617" spans="1:83" ht="15" x14ac:dyDescent="0.25">
      <c r="A617" t="s">
        <v>3757</v>
      </c>
      <c r="B617" t="s">
        <v>3758</v>
      </c>
      <c r="C617" t="s">
        <v>3759</v>
      </c>
      <c r="D617">
        <v>13</v>
      </c>
      <c r="E617" t="s">
        <v>3573</v>
      </c>
      <c r="F617" t="s">
        <v>3727</v>
      </c>
      <c r="G617" t="s">
        <v>3748</v>
      </c>
      <c r="H617" t="s">
        <v>3760</v>
      </c>
      <c r="I617" t="s">
        <v>3761</v>
      </c>
      <c r="J617" t="s">
        <v>3762</v>
      </c>
      <c r="K617" t="s">
        <v>3763</v>
      </c>
      <c r="L617">
        <v>1.6673927307128911</v>
      </c>
      <c r="M617" t="s">
        <v>6</v>
      </c>
      <c r="N617" t="s">
        <v>6</v>
      </c>
      <c r="O617" t="s">
        <v>6</v>
      </c>
      <c r="P617" t="s">
        <v>5</v>
      </c>
      <c r="Q617" t="s">
        <v>5</v>
      </c>
      <c r="R617" t="s">
        <v>3764</v>
      </c>
      <c r="S617" t="s">
        <v>3765</v>
      </c>
      <c r="T617" t="s">
        <v>6</v>
      </c>
      <c r="U617" t="s">
        <v>13</v>
      </c>
      <c r="V617">
        <v>25000</v>
      </c>
      <c r="W617">
        <v>25000</v>
      </c>
      <c r="X617" t="s">
        <v>5</v>
      </c>
      <c r="Y617"/>
      <c r="Z617"/>
      <c r="AA617">
        <v>0.34555831551551819</v>
      </c>
      <c r="AB617">
        <v>0.13684636354446411</v>
      </c>
      <c r="AC617">
        <v>0</v>
      </c>
      <c r="AD617">
        <v>89</v>
      </c>
      <c r="AE617">
        <v>86</v>
      </c>
      <c r="AF617">
        <v>81</v>
      </c>
      <c r="AG617">
        <v>58</v>
      </c>
      <c r="AH617">
        <v>180</v>
      </c>
      <c r="AI617">
        <v>180</v>
      </c>
      <c r="AJ617">
        <v>0</v>
      </c>
      <c r="AK617">
        <v>0</v>
      </c>
      <c r="AL617">
        <v>2</v>
      </c>
      <c r="AM617">
        <v>34</v>
      </c>
      <c r="AN617">
        <v>99.318626403808594</v>
      </c>
      <c r="AO617"/>
      <c r="AP617"/>
      <c r="AQ617"/>
      <c r="AR617"/>
      <c r="AS617"/>
      <c r="AT617"/>
      <c r="AU617"/>
      <c r="AV617"/>
      <c r="AW617"/>
      <c r="AX617"/>
      <c r="AY617"/>
      <c r="AZ617"/>
      <c r="BA617"/>
      <c r="BB617"/>
      <c r="BC617"/>
      <c r="BD617"/>
      <c r="BE617">
        <v>0</v>
      </c>
      <c r="BF617" t="s">
        <v>5</v>
      </c>
      <c r="BG617" t="s">
        <v>5</v>
      </c>
      <c r="BH617" t="s">
        <v>3581</v>
      </c>
      <c r="BI617"/>
      <c r="BJ617" t="s">
        <v>5</v>
      </c>
      <c r="BK617"/>
      <c r="BL617">
        <v>0</v>
      </c>
      <c r="BM617"/>
      <c r="BN617" t="s">
        <v>5</v>
      </c>
      <c r="BO617"/>
      <c r="BP617"/>
      <c r="BQ617"/>
      <c r="BR617"/>
      <c r="BS617" t="s">
        <v>5</v>
      </c>
      <c r="BT617"/>
      <c r="BU617"/>
      <c r="BV617"/>
      <c r="BW617"/>
      <c r="BX617" t="s">
        <v>6</v>
      </c>
      <c r="BY617" t="s">
        <v>3678</v>
      </c>
      <c r="BZ617"/>
      <c r="CA617"/>
      <c r="CB617" t="s">
        <v>5</v>
      </c>
      <c r="CC617">
        <v>13213.25010021362</v>
      </c>
      <c r="CD617">
        <v>4318544.4965147134</v>
      </c>
      <c r="CE617" s="313" t="s">
        <v>11891</v>
      </c>
    </row>
    <row r="618" spans="1:83" ht="15" x14ac:dyDescent="0.25">
      <c r="A618" t="s">
        <v>2669</v>
      </c>
      <c r="B618" t="s">
        <v>2670</v>
      </c>
      <c r="C618" t="s">
        <v>2671</v>
      </c>
      <c r="D618">
        <v>5</v>
      </c>
      <c r="E618" t="s">
        <v>2598</v>
      </c>
      <c r="F618" t="s">
        <v>1771</v>
      </c>
      <c r="G618" t="s">
        <v>2614</v>
      </c>
      <c r="H618" t="s">
        <v>2665</v>
      </c>
      <c r="I618" t="s">
        <v>2666</v>
      </c>
      <c r="J618" t="s">
        <v>2667</v>
      </c>
      <c r="K618" t="s">
        <v>2620</v>
      </c>
      <c r="L618">
        <v>341.74038696289063</v>
      </c>
      <c r="M618" t="s">
        <v>6</v>
      </c>
      <c r="N618" t="s">
        <v>5</v>
      </c>
      <c r="O618" t="s">
        <v>6</v>
      </c>
      <c r="P618" t="s">
        <v>5</v>
      </c>
      <c r="Q618" t="s">
        <v>5</v>
      </c>
      <c r="R618" t="s">
        <v>2668</v>
      </c>
      <c r="S618" t="s">
        <v>2668</v>
      </c>
      <c r="T618" t="s">
        <v>6</v>
      </c>
      <c r="U618" t="s">
        <v>98</v>
      </c>
      <c r="V618">
        <v>100000</v>
      </c>
      <c r="W618">
        <v>25000</v>
      </c>
      <c r="X618" t="s">
        <v>6</v>
      </c>
      <c r="Y618"/>
      <c r="Z618"/>
      <c r="AA618">
        <v>73.890914916992188</v>
      </c>
      <c r="AB618">
        <v>5.1078891754150391</v>
      </c>
      <c r="AC618">
        <v>2.3389770984649658</v>
      </c>
      <c r="AD618">
        <v>32</v>
      </c>
      <c r="AE618">
        <v>9</v>
      </c>
      <c r="AF618">
        <v>15</v>
      </c>
      <c r="AG618">
        <v>7</v>
      </c>
      <c r="AH618">
        <v>15</v>
      </c>
      <c r="AI618">
        <v>15</v>
      </c>
      <c r="AJ618">
        <v>0</v>
      </c>
      <c r="AK618">
        <v>1</v>
      </c>
      <c r="AL618">
        <v>22</v>
      </c>
      <c r="AM618">
        <v>1</v>
      </c>
      <c r="AN618">
        <v>68.388084411621094</v>
      </c>
      <c r="AO618"/>
      <c r="AP618"/>
      <c r="AQ618"/>
      <c r="AR618">
        <v>0</v>
      </c>
      <c r="AS618">
        <v>0</v>
      </c>
      <c r="AT618">
        <v>0</v>
      </c>
      <c r="AU618">
        <v>0</v>
      </c>
      <c r="AV618">
        <v>0</v>
      </c>
      <c r="AW618">
        <v>0</v>
      </c>
      <c r="AX618">
        <v>0</v>
      </c>
      <c r="AY618">
        <v>0</v>
      </c>
      <c r="AZ618">
        <v>0</v>
      </c>
      <c r="BA618">
        <v>0</v>
      </c>
      <c r="BB618"/>
      <c r="BC618"/>
      <c r="BD618"/>
      <c r="BE618">
        <v>0</v>
      </c>
      <c r="BF618" t="s">
        <v>2516</v>
      </c>
      <c r="BG618" t="s">
        <v>5</v>
      </c>
      <c r="BH618" t="s">
        <v>1020</v>
      </c>
      <c r="BI618"/>
      <c r="BJ618" t="s">
        <v>5</v>
      </c>
      <c r="BK618"/>
      <c r="BL618">
        <v>100</v>
      </c>
      <c r="BM618"/>
      <c r="BN618" t="s">
        <v>6</v>
      </c>
      <c r="BO618" t="s">
        <v>2518</v>
      </c>
      <c r="BP618" t="s">
        <v>2518</v>
      </c>
      <c r="BQ618" t="s">
        <v>2518</v>
      </c>
      <c r="BR618"/>
      <c r="BS618" t="s">
        <v>6</v>
      </c>
      <c r="BT618" t="s">
        <v>2518</v>
      </c>
      <c r="BU618" t="s">
        <v>2518</v>
      </c>
      <c r="BV618" t="s">
        <v>2518</v>
      </c>
      <c r="BW618"/>
      <c r="BX618" t="s">
        <v>6</v>
      </c>
      <c r="BY618" t="s">
        <v>2605</v>
      </c>
      <c r="BZ618" t="s">
        <v>2518</v>
      </c>
      <c r="CA618"/>
      <c r="CB618" t="s">
        <v>6</v>
      </c>
      <c r="CC618">
        <v>156080.71091351419</v>
      </c>
      <c r="CD618">
        <v>885103503.67053807</v>
      </c>
      <c r="CE618" s="313" t="s">
        <v>11891</v>
      </c>
    </row>
    <row r="619" spans="1:83" ht="15" x14ac:dyDescent="0.25">
      <c r="A619" t="s">
        <v>2707</v>
      </c>
      <c r="B619" t="s">
        <v>2708</v>
      </c>
      <c r="C619" t="s">
        <v>2709</v>
      </c>
      <c r="D619">
        <v>5</v>
      </c>
      <c r="E619" t="s">
        <v>2598</v>
      </c>
      <c r="F619" t="s">
        <v>2702</v>
      </c>
      <c r="G619" t="s">
        <v>2691</v>
      </c>
      <c r="H619" t="s">
        <v>2703</v>
      </c>
      <c r="I619" t="s">
        <v>2704</v>
      </c>
      <c r="J619" t="s">
        <v>2705</v>
      </c>
      <c r="K619" t="s">
        <v>2620</v>
      </c>
      <c r="L619">
        <v>159.87260437011719</v>
      </c>
      <c r="M619" t="s">
        <v>6</v>
      </c>
      <c r="N619" t="s">
        <v>5</v>
      </c>
      <c r="O619" t="s">
        <v>6</v>
      </c>
      <c r="P619" t="s">
        <v>5</v>
      </c>
      <c r="Q619" t="s">
        <v>5</v>
      </c>
      <c r="R619" t="s">
        <v>2706</v>
      </c>
      <c r="S619" t="s">
        <v>2706</v>
      </c>
      <c r="T619" t="s">
        <v>6</v>
      </c>
      <c r="U619" t="s">
        <v>98</v>
      </c>
      <c r="V619">
        <v>100000</v>
      </c>
      <c r="W619">
        <v>25000</v>
      </c>
      <c r="X619" t="s">
        <v>6</v>
      </c>
      <c r="Y619"/>
      <c r="Z619"/>
      <c r="AA619">
        <v>21.602313995361332</v>
      </c>
      <c r="AB619">
        <v>1.0663367509841919</v>
      </c>
      <c r="AC619">
        <v>1.222298741340637</v>
      </c>
      <c r="AD619">
        <v>15</v>
      </c>
      <c r="AE619">
        <v>14</v>
      </c>
      <c r="AF619">
        <v>0</v>
      </c>
      <c r="AG619">
        <v>3</v>
      </c>
      <c r="AH619">
        <v>7</v>
      </c>
      <c r="AI619">
        <v>8</v>
      </c>
      <c r="AJ619">
        <v>0</v>
      </c>
      <c r="AK619">
        <v>4</v>
      </c>
      <c r="AL619">
        <v>5</v>
      </c>
      <c r="AM619">
        <v>4</v>
      </c>
      <c r="AN619">
        <v>56.068603515625</v>
      </c>
      <c r="AO619"/>
      <c r="AP619"/>
      <c r="AQ619"/>
      <c r="AR619">
        <v>0</v>
      </c>
      <c r="AS619">
        <v>0</v>
      </c>
      <c r="AT619">
        <v>0</v>
      </c>
      <c r="AU619">
        <v>0</v>
      </c>
      <c r="AV619">
        <v>0</v>
      </c>
      <c r="AW619">
        <v>0</v>
      </c>
      <c r="AX619">
        <v>0</v>
      </c>
      <c r="AY619">
        <v>0</v>
      </c>
      <c r="AZ619">
        <v>0</v>
      </c>
      <c r="BA619">
        <v>0</v>
      </c>
      <c r="BB619"/>
      <c r="BC619"/>
      <c r="BD619"/>
      <c r="BE619">
        <v>0</v>
      </c>
      <c r="BF619" t="s">
        <v>2516</v>
      </c>
      <c r="BG619" t="s">
        <v>5</v>
      </c>
      <c r="BH619" t="s">
        <v>1020</v>
      </c>
      <c r="BI619"/>
      <c r="BJ619" t="s">
        <v>5</v>
      </c>
      <c r="BK619"/>
      <c r="BL619">
        <v>100</v>
      </c>
      <c r="BM619"/>
      <c r="BN619" t="s">
        <v>6</v>
      </c>
      <c r="BO619" t="s">
        <v>2518</v>
      </c>
      <c r="BP619" t="s">
        <v>2518</v>
      </c>
      <c r="BQ619" t="s">
        <v>2518</v>
      </c>
      <c r="BR619"/>
      <c r="BS619" t="s">
        <v>6</v>
      </c>
      <c r="BT619" t="s">
        <v>2518</v>
      </c>
      <c r="BU619" t="s">
        <v>2518</v>
      </c>
      <c r="BV619" t="s">
        <v>2518</v>
      </c>
      <c r="BW619"/>
      <c r="BX619" t="s">
        <v>6</v>
      </c>
      <c r="BY619" t="s">
        <v>2605</v>
      </c>
      <c r="BZ619" t="s">
        <v>2518</v>
      </c>
      <c r="CA619"/>
      <c r="CB619" t="s">
        <v>6</v>
      </c>
      <c r="CC619">
        <v>172484.12849168849</v>
      </c>
      <c r="CD619">
        <v>414068156.42226398</v>
      </c>
      <c r="CE619" s="313" t="s">
        <v>11891</v>
      </c>
    </row>
    <row r="620" spans="1:83" ht="15" x14ac:dyDescent="0.25">
      <c r="A620" t="s">
        <v>2726</v>
      </c>
      <c r="B620" t="s">
        <v>2727</v>
      </c>
      <c r="C620" t="s">
        <v>2671</v>
      </c>
      <c r="D620">
        <v>5</v>
      </c>
      <c r="E620" t="s">
        <v>2598</v>
      </c>
      <c r="F620" t="s">
        <v>1771</v>
      </c>
      <c r="G620" t="s">
        <v>2614</v>
      </c>
      <c r="H620" t="s">
        <v>2722</v>
      </c>
      <c r="I620" t="s">
        <v>2723</v>
      </c>
      <c r="J620" t="s">
        <v>2724</v>
      </c>
      <c r="K620" t="s">
        <v>2620</v>
      </c>
      <c r="L620">
        <v>0.63485258817672729</v>
      </c>
      <c r="M620" t="s">
        <v>6</v>
      </c>
      <c r="N620" t="s">
        <v>5</v>
      </c>
      <c r="O620" t="s">
        <v>6</v>
      </c>
      <c r="P620" t="s">
        <v>5</v>
      </c>
      <c r="Q620" t="s">
        <v>5</v>
      </c>
      <c r="R620" t="s">
        <v>2725</v>
      </c>
      <c r="S620" t="s">
        <v>2725</v>
      </c>
      <c r="T620" t="s">
        <v>6</v>
      </c>
      <c r="U620" t="s">
        <v>98</v>
      </c>
      <c r="V620">
        <v>100000</v>
      </c>
      <c r="W620">
        <v>25000</v>
      </c>
      <c r="X620" t="s">
        <v>6</v>
      </c>
      <c r="Y620"/>
      <c r="Z620"/>
      <c r="AA620">
        <v>2.656619064509869E-2</v>
      </c>
      <c r="AB620">
        <v>2.387569984421134E-3</v>
      </c>
      <c r="AC620">
        <v>8.6294598877429962E-3</v>
      </c>
      <c r="AD620">
        <v>3</v>
      </c>
      <c r="AE620">
        <v>0</v>
      </c>
      <c r="AF620">
        <v>3</v>
      </c>
      <c r="AG620">
        <v>1</v>
      </c>
      <c r="AH620">
        <v>2</v>
      </c>
      <c r="AI620">
        <v>2</v>
      </c>
      <c r="AJ620">
        <v>0</v>
      </c>
      <c r="AK620">
        <v>0</v>
      </c>
      <c r="AL620">
        <v>0</v>
      </c>
      <c r="AM620">
        <v>0</v>
      </c>
      <c r="AN620">
        <v>0</v>
      </c>
      <c r="AO620"/>
      <c r="AP620"/>
      <c r="AQ620"/>
      <c r="AR620">
        <v>0</v>
      </c>
      <c r="AS620">
        <v>0</v>
      </c>
      <c r="AT620">
        <v>0</v>
      </c>
      <c r="AU620">
        <v>0</v>
      </c>
      <c r="AV620">
        <v>0</v>
      </c>
      <c r="AW620">
        <v>0</v>
      </c>
      <c r="AX620">
        <v>0</v>
      </c>
      <c r="AY620">
        <v>0</v>
      </c>
      <c r="AZ620">
        <v>0</v>
      </c>
      <c r="BA620">
        <v>0</v>
      </c>
      <c r="BB620"/>
      <c r="BC620"/>
      <c r="BD620"/>
      <c r="BE620">
        <v>0</v>
      </c>
      <c r="BF620" t="s">
        <v>2516</v>
      </c>
      <c r="BG620" t="s">
        <v>5</v>
      </c>
      <c r="BH620" t="s">
        <v>1020</v>
      </c>
      <c r="BI620"/>
      <c r="BJ620" t="s">
        <v>5</v>
      </c>
      <c r="BK620"/>
      <c r="BL620">
        <v>100</v>
      </c>
      <c r="BM620"/>
      <c r="BN620" t="s">
        <v>6</v>
      </c>
      <c r="BO620" t="s">
        <v>2518</v>
      </c>
      <c r="BP620" t="s">
        <v>2518</v>
      </c>
      <c r="BQ620" t="s">
        <v>2518</v>
      </c>
      <c r="BR620"/>
      <c r="BS620" t="s">
        <v>6</v>
      </c>
      <c r="BT620" t="s">
        <v>2518</v>
      </c>
      <c r="BU620" t="s">
        <v>2518</v>
      </c>
      <c r="BV620" t="s">
        <v>2518</v>
      </c>
      <c r="BW620"/>
      <c r="BX620" t="s">
        <v>6</v>
      </c>
      <c r="BY620" t="s">
        <v>2605</v>
      </c>
      <c r="BZ620" t="s">
        <v>2518</v>
      </c>
      <c r="CA620"/>
      <c r="CB620" t="s">
        <v>6</v>
      </c>
      <c r="CC620">
        <v>9475.4889831687724</v>
      </c>
      <c r="CD620">
        <v>1644260.584749891</v>
      </c>
      <c r="CE620" s="313" t="s">
        <v>11891</v>
      </c>
    </row>
    <row r="621" spans="1:83" ht="15" x14ac:dyDescent="0.25">
      <c r="A621" t="s">
        <v>2764</v>
      </c>
      <c r="B621" t="s">
        <v>2765</v>
      </c>
      <c r="C621" t="s">
        <v>2766</v>
      </c>
      <c r="D621">
        <v>5</v>
      </c>
      <c r="E621" t="s">
        <v>2598</v>
      </c>
      <c r="F621" t="s">
        <v>2171</v>
      </c>
      <c r="G621" t="s">
        <v>2685</v>
      </c>
      <c r="H621" t="s">
        <v>2686</v>
      </c>
      <c r="I621" t="s">
        <v>2687</v>
      </c>
      <c r="J621" t="s">
        <v>2688</v>
      </c>
      <c r="K621" t="s">
        <v>2672</v>
      </c>
      <c r="L621">
        <v>418.21084594726563</v>
      </c>
      <c r="M621" t="s">
        <v>6</v>
      </c>
      <c r="N621" t="s">
        <v>5</v>
      </c>
      <c r="O621" t="s">
        <v>6</v>
      </c>
      <c r="P621" t="s">
        <v>5</v>
      </c>
      <c r="Q621" t="s">
        <v>6</v>
      </c>
      <c r="R621" t="s">
        <v>2067</v>
      </c>
      <c r="S621" t="s">
        <v>2067</v>
      </c>
      <c r="T621" t="s">
        <v>6</v>
      </c>
      <c r="U621" t="s">
        <v>85</v>
      </c>
      <c r="V621">
        <v>3000000</v>
      </c>
      <c r="W621">
        <v>25000</v>
      </c>
      <c r="X621" t="s">
        <v>6</v>
      </c>
      <c r="Y621"/>
      <c r="Z621"/>
      <c r="AA621">
        <v>61.414657592773438</v>
      </c>
      <c r="AB621">
        <v>4.7471528053283691</v>
      </c>
      <c r="AC621">
        <v>3.9730210304260249</v>
      </c>
      <c r="AD621">
        <v>17</v>
      </c>
      <c r="AE621">
        <v>2</v>
      </c>
      <c r="AF621">
        <v>3</v>
      </c>
      <c r="AG621">
        <v>5</v>
      </c>
      <c r="AH621">
        <v>16</v>
      </c>
      <c r="AI621">
        <v>16</v>
      </c>
      <c r="AJ621">
        <v>0</v>
      </c>
      <c r="AK621">
        <v>7</v>
      </c>
      <c r="AL621">
        <v>20</v>
      </c>
      <c r="AM621">
        <v>7</v>
      </c>
      <c r="AN621">
        <v>116.8699188232422</v>
      </c>
      <c r="AO621"/>
      <c r="AP621"/>
      <c r="AQ621"/>
      <c r="AR621">
        <v>0</v>
      </c>
      <c r="AS621">
        <v>0</v>
      </c>
      <c r="AT621">
        <v>0</v>
      </c>
      <c r="AU621">
        <v>0</v>
      </c>
      <c r="AV621">
        <v>0</v>
      </c>
      <c r="AW621">
        <v>0</v>
      </c>
      <c r="AX621">
        <v>0</v>
      </c>
      <c r="AY621">
        <v>0</v>
      </c>
      <c r="AZ621">
        <v>0</v>
      </c>
      <c r="BA621">
        <v>0</v>
      </c>
      <c r="BB621"/>
      <c r="BC621"/>
      <c r="BD621"/>
      <c r="BE621">
        <v>0</v>
      </c>
      <c r="BF621" t="s">
        <v>2516</v>
      </c>
      <c r="BG621" t="s">
        <v>5</v>
      </c>
      <c r="BH621" t="s">
        <v>1020</v>
      </c>
      <c r="BI621"/>
      <c r="BJ621" t="s">
        <v>5</v>
      </c>
      <c r="BK621"/>
      <c r="BL621">
        <v>0</v>
      </c>
      <c r="BM621"/>
      <c r="BN621" t="s">
        <v>6</v>
      </c>
      <c r="BO621" t="s">
        <v>2518</v>
      </c>
      <c r="BP621" t="s">
        <v>2518</v>
      </c>
      <c r="BQ621" t="s">
        <v>2518</v>
      </c>
      <c r="BR621"/>
      <c r="BS621" t="s">
        <v>6</v>
      </c>
      <c r="BT621" t="s">
        <v>2518</v>
      </c>
      <c r="BU621" t="s">
        <v>2518</v>
      </c>
      <c r="BV621" t="s">
        <v>2518</v>
      </c>
      <c r="BW621"/>
      <c r="BX621" t="s">
        <v>6</v>
      </c>
      <c r="BY621" t="s">
        <v>2605</v>
      </c>
      <c r="BZ621" t="s">
        <v>2518</v>
      </c>
      <c r="CA621"/>
      <c r="CB621" t="s">
        <v>5</v>
      </c>
      <c r="CC621">
        <v>191278.39302701049</v>
      </c>
      <c r="CD621">
        <v>1083161157.7274129</v>
      </c>
      <c r="CE621" s="313" t="s">
        <v>11891</v>
      </c>
    </row>
    <row r="622" spans="1:83" ht="15" x14ac:dyDescent="0.25">
      <c r="A622" t="s">
        <v>178</v>
      </c>
      <c r="B622" t="s">
        <v>179</v>
      </c>
      <c r="C622" t="s">
        <v>180</v>
      </c>
      <c r="D622">
        <v>6</v>
      </c>
      <c r="E622" t="s">
        <v>259</v>
      </c>
      <c r="F622" t="s">
        <v>81</v>
      </c>
      <c r="G622" t="s">
        <v>269</v>
      </c>
      <c r="H622" t="s">
        <v>270</v>
      </c>
      <c r="I622" t="s">
        <v>271</v>
      </c>
      <c r="J622" t="s">
        <v>272</v>
      </c>
      <c r="K622" t="s">
        <v>266</v>
      </c>
      <c r="L622">
        <v>1169.918701171875</v>
      </c>
      <c r="M622" t="s">
        <v>6</v>
      </c>
      <c r="N622" t="s">
        <v>6</v>
      </c>
      <c r="O622" t="s">
        <v>6</v>
      </c>
      <c r="P622" t="s">
        <v>5</v>
      </c>
      <c r="Q622" t="s">
        <v>5</v>
      </c>
      <c r="R622" t="s">
        <v>273</v>
      </c>
      <c r="S622" t="s">
        <v>2969</v>
      </c>
      <c r="T622" t="s">
        <v>5</v>
      </c>
      <c r="U622" t="s">
        <v>4</v>
      </c>
      <c r="V622">
        <v>500000</v>
      </c>
      <c r="W622">
        <v>25000</v>
      </c>
      <c r="X622" t="s">
        <v>6</v>
      </c>
      <c r="Y622"/>
      <c r="Z622"/>
      <c r="AA622">
        <v>12.46020412445068</v>
      </c>
      <c r="AB622">
        <v>10.598568916320801</v>
      </c>
      <c r="AC622">
        <v>0</v>
      </c>
      <c r="AD622">
        <v>3619</v>
      </c>
      <c r="AE622">
        <v>1663</v>
      </c>
      <c r="AF622">
        <v>2272</v>
      </c>
      <c r="AG622">
        <v>2547</v>
      </c>
      <c r="AH622">
        <v>3576</v>
      </c>
      <c r="AI622">
        <v>3576</v>
      </c>
      <c r="AJ622">
        <v>8</v>
      </c>
      <c r="AK622">
        <v>7</v>
      </c>
      <c r="AL622">
        <v>144</v>
      </c>
      <c r="AM622">
        <v>7</v>
      </c>
      <c r="AN622">
        <v>1379.489990234375</v>
      </c>
      <c r="AO622"/>
      <c r="AP622"/>
      <c r="AQ622"/>
      <c r="AR622"/>
      <c r="AS622"/>
      <c r="AT622"/>
      <c r="AU622"/>
      <c r="AV622"/>
      <c r="AW622"/>
      <c r="AX622"/>
      <c r="AY622"/>
      <c r="AZ622"/>
      <c r="BA622"/>
      <c r="BB622"/>
      <c r="BC622"/>
      <c r="BD622"/>
      <c r="BE622"/>
      <c r="BF622"/>
      <c r="BG622" t="s">
        <v>5</v>
      </c>
      <c r="BH622"/>
      <c r="BI622"/>
      <c r="BJ622" t="s">
        <v>5</v>
      </c>
      <c r="BK622"/>
      <c r="BL622">
        <v>0</v>
      </c>
      <c r="BM622"/>
      <c r="BN622" t="s">
        <v>5</v>
      </c>
      <c r="BO622" t="s">
        <v>2518</v>
      </c>
      <c r="BP622" t="s">
        <v>2518</v>
      </c>
      <c r="BQ622" t="s">
        <v>2518</v>
      </c>
      <c r="BR622"/>
      <c r="BS622" t="s">
        <v>6</v>
      </c>
      <c r="BT622" t="s">
        <v>2518</v>
      </c>
      <c r="BU622" t="s">
        <v>2518</v>
      </c>
      <c r="BV622" t="s">
        <v>2518</v>
      </c>
      <c r="BW622"/>
      <c r="BX622" t="s">
        <v>6</v>
      </c>
      <c r="BY622" t="s">
        <v>7</v>
      </c>
      <c r="BZ622" t="s">
        <v>2518</v>
      </c>
      <c r="CA622"/>
      <c r="CB622" t="s">
        <v>5</v>
      </c>
      <c r="CC622">
        <v>246734.42119905111</v>
      </c>
      <c r="CD622">
        <v>3030075392.1127992</v>
      </c>
      <c r="CE622" s="313" t="s">
        <v>11891</v>
      </c>
    </row>
    <row r="623" spans="1:83" ht="15" x14ac:dyDescent="0.25">
      <c r="A623" t="s">
        <v>32</v>
      </c>
      <c r="B623" t="s">
        <v>33</v>
      </c>
      <c r="C623" t="s">
        <v>34</v>
      </c>
      <c r="D623">
        <v>6</v>
      </c>
      <c r="E623" t="s">
        <v>259</v>
      </c>
      <c r="F623" t="s">
        <v>2</v>
      </c>
      <c r="G623" t="s">
        <v>260</v>
      </c>
      <c r="H623" t="s">
        <v>261</v>
      </c>
      <c r="I623"/>
      <c r="J623" t="s">
        <v>2518</v>
      </c>
      <c r="K623" t="s">
        <v>292</v>
      </c>
      <c r="L623">
        <v>1770.815673828125</v>
      </c>
      <c r="M623" t="s">
        <v>6</v>
      </c>
      <c r="N623" t="s">
        <v>5</v>
      </c>
      <c r="O623" t="s">
        <v>6</v>
      </c>
      <c r="P623" t="s">
        <v>5</v>
      </c>
      <c r="Q623" t="s">
        <v>5</v>
      </c>
      <c r="R623" t="s">
        <v>290</v>
      </c>
      <c r="S623" t="s">
        <v>2970</v>
      </c>
      <c r="T623" t="s">
        <v>5</v>
      </c>
      <c r="U623" t="s">
        <v>28</v>
      </c>
      <c r="V623">
        <v>500000</v>
      </c>
      <c r="W623">
        <v>25000</v>
      </c>
      <c r="X623" t="s">
        <v>6</v>
      </c>
      <c r="Y623"/>
      <c r="Z623"/>
      <c r="AA623">
        <v>444.50747680664063</v>
      </c>
      <c r="AB623">
        <v>200.08575439453119</v>
      </c>
      <c r="AC623">
        <v>0.69722402095794678</v>
      </c>
      <c r="AD623">
        <v>143642</v>
      </c>
      <c r="AE623">
        <v>182389</v>
      </c>
      <c r="AF623">
        <v>120807</v>
      </c>
      <c r="AG623">
        <v>590954</v>
      </c>
      <c r="AH623">
        <v>545505</v>
      </c>
      <c r="AI623">
        <v>590954</v>
      </c>
      <c r="AJ623">
        <v>2332</v>
      </c>
      <c r="AK623">
        <v>89</v>
      </c>
      <c r="AL623">
        <v>2408</v>
      </c>
      <c r="AM623">
        <v>89</v>
      </c>
      <c r="AN623">
        <v>5993.46923828125</v>
      </c>
      <c r="AO623"/>
      <c r="AP623"/>
      <c r="AQ623"/>
      <c r="AR623"/>
      <c r="AS623"/>
      <c r="AT623"/>
      <c r="AU623"/>
      <c r="AV623"/>
      <c r="AW623"/>
      <c r="AX623"/>
      <c r="AY623"/>
      <c r="AZ623"/>
      <c r="BA623"/>
      <c r="BB623"/>
      <c r="BC623"/>
      <c r="BD623"/>
      <c r="BE623"/>
      <c r="BF623"/>
      <c r="BG623" t="s">
        <v>5</v>
      </c>
      <c r="BH623"/>
      <c r="BI623"/>
      <c r="BJ623" t="s">
        <v>5</v>
      </c>
      <c r="BK623"/>
      <c r="BL623">
        <v>0</v>
      </c>
      <c r="BM623"/>
      <c r="BN623" t="s">
        <v>5</v>
      </c>
      <c r="BO623" t="s">
        <v>2518</v>
      </c>
      <c r="BP623" t="s">
        <v>2518</v>
      </c>
      <c r="BQ623" t="s">
        <v>2518</v>
      </c>
      <c r="BR623"/>
      <c r="BS623" t="s">
        <v>6</v>
      </c>
      <c r="BT623" t="s">
        <v>2518</v>
      </c>
      <c r="BU623" t="s">
        <v>2518</v>
      </c>
      <c r="BV623" t="s">
        <v>2518</v>
      </c>
      <c r="BW623"/>
      <c r="BX623" t="s">
        <v>6</v>
      </c>
      <c r="BY623" t="s">
        <v>7</v>
      </c>
      <c r="BZ623" t="s">
        <v>2518</v>
      </c>
      <c r="CA623"/>
      <c r="CB623" t="s">
        <v>5</v>
      </c>
      <c r="CC623">
        <v>417917.84308613068</v>
      </c>
      <c r="CD623">
        <v>4586391665.5307312</v>
      </c>
      <c r="CE623" s="313" t="s">
        <v>11891</v>
      </c>
    </row>
    <row r="624" spans="1:83" ht="15" x14ac:dyDescent="0.25">
      <c r="A624" t="s">
        <v>18</v>
      </c>
      <c r="B624" t="s">
        <v>19</v>
      </c>
      <c r="C624" t="s">
        <v>20</v>
      </c>
      <c r="D624">
        <v>6</v>
      </c>
      <c r="E624" t="s">
        <v>259</v>
      </c>
      <c r="F624" t="s">
        <v>2</v>
      </c>
      <c r="G624" t="s">
        <v>293</v>
      </c>
      <c r="H624" t="s">
        <v>303</v>
      </c>
      <c r="I624" t="s">
        <v>304</v>
      </c>
      <c r="J624" t="s">
        <v>305</v>
      </c>
      <c r="K624" t="s">
        <v>21</v>
      </c>
      <c r="L624">
        <v>1.436710476875305</v>
      </c>
      <c r="M624" t="s">
        <v>6</v>
      </c>
      <c r="N624" t="s">
        <v>5</v>
      </c>
      <c r="O624" t="s">
        <v>6</v>
      </c>
      <c r="P624" t="s">
        <v>5</v>
      </c>
      <c r="Q624" t="s">
        <v>5</v>
      </c>
      <c r="R624" t="s">
        <v>306</v>
      </c>
      <c r="S624" t="s">
        <v>307</v>
      </c>
      <c r="T624" t="s">
        <v>5</v>
      </c>
      <c r="U624" t="s">
        <v>4</v>
      </c>
      <c r="V624">
        <v>500000</v>
      </c>
      <c r="W624">
        <v>25000</v>
      </c>
      <c r="X624" t="s">
        <v>6</v>
      </c>
      <c r="Y624"/>
      <c r="Z624"/>
      <c r="AA624">
        <v>0</v>
      </c>
      <c r="AB624">
        <v>1.001999946311116E-3</v>
      </c>
      <c r="AC624">
        <v>0</v>
      </c>
      <c r="AD624">
        <v>0</v>
      </c>
      <c r="AE624">
        <v>2</v>
      </c>
      <c r="AF624">
        <v>0</v>
      </c>
      <c r="AG624">
        <v>0</v>
      </c>
      <c r="AH624">
        <v>0</v>
      </c>
      <c r="AI624">
        <v>0</v>
      </c>
      <c r="AJ624">
        <v>0</v>
      </c>
      <c r="AK624">
        <v>0</v>
      </c>
      <c r="AL624">
        <v>0</v>
      </c>
      <c r="AM624">
        <v>0</v>
      </c>
      <c r="AN624">
        <v>0</v>
      </c>
      <c r="AO624"/>
      <c r="AP624"/>
      <c r="AQ624"/>
      <c r="AR624"/>
      <c r="AS624"/>
      <c r="AT624"/>
      <c r="AU624"/>
      <c r="AV624"/>
      <c r="AW624"/>
      <c r="AX624"/>
      <c r="AY624"/>
      <c r="AZ624"/>
      <c r="BA624"/>
      <c r="BB624"/>
      <c r="BC624"/>
      <c r="BD624"/>
      <c r="BE624"/>
      <c r="BF624"/>
      <c r="BG624" t="s">
        <v>5</v>
      </c>
      <c r="BH624"/>
      <c r="BI624"/>
      <c r="BJ624" t="s">
        <v>5</v>
      </c>
      <c r="BK624"/>
      <c r="BL624">
        <v>0</v>
      </c>
      <c r="BM624"/>
      <c r="BN624" t="s">
        <v>5</v>
      </c>
      <c r="BO624" t="s">
        <v>2518</v>
      </c>
      <c r="BP624" t="s">
        <v>2518</v>
      </c>
      <c r="BQ624" t="s">
        <v>2518</v>
      </c>
      <c r="BR624"/>
      <c r="BS624" t="s">
        <v>6</v>
      </c>
      <c r="BT624" t="s">
        <v>2518</v>
      </c>
      <c r="BU624" t="s">
        <v>2518</v>
      </c>
      <c r="BV624" t="s">
        <v>2518</v>
      </c>
      <c r="BW624"/>
      <c r="BX624" t="s">
        <v>6</v>
      </c>
      <c r="BY624" t="s">
        <v>7</v>
      </c>
      <c r="BZ624" t="s">
        <v>2518</v>
      </c>
      <c r="CA624"/>
      <c r="CB624" t="s">
        <v>5</v>
      </c>
      <c r="CC624">
        <v>10858.673654766229</v>
      </c>
      <c r="CD624">
        <v>3721062.9654492969</v>
      </c>
      <c r="CE624" s="313" t="s">
        <v>11891</v>
      </c>
    </row>
    <row r="625" spans="1:83" ht="15" x14ac:dyDescent="0.25">
      <c r="A625" t="s">
        <v>90</v>
      </c>
      <c r="B625" t="s">
        <v>91</v>
      </c>
      <c r="C625" t="s">
        <v>92</v>
      </c>
      <c r="D625">
        <v>6</v>
      </c>
      <c r="E625" t="s">
        <v>259</v>
      </c>
      <c r="F625" t="s">
        <v>63</v>
      </c>
      <c r="G625" t="s">
        <v>332</v>
      </c>
      <c r="H625" t="s">
        <v>333</v>
      </c>
      <c r="I625" t="s">
        <v>334</v>
      </c>
      <c r="J625" t="s">
        <v>335</v>
      </c>
      <c r="K625" t="s">
        <v>292</v>
      </c>
      <c r="L625">
        <v>797.68731689453125</v>
      </c>
      <c r="M625" t="s">
        <v>6</v>
      </c>
      <c r="N625" t="s">
        <v>5</v>
      </c>
      <c r="O625" t="s">
        <v>6</v>
      </c>
      <c r="P625" t="s">
        <v>5</v>
      </c>
      <c r="Q625" t="s">
        <v>5</v>
      </c>
      <c r="R625" t="s">
        <v>338</v>
      </c>
      <c r="S625" t="s">
        <v>338</v>
      </c>
      <c r="T625" t="s">
        <v>5</v>
      </c>
      <c r="U625" t="s">
        <v>28</v>
      </c>
      <c r="V625">
        <v>122720</v>
      </c>
      <c r="W625">
        <v>25000</v>
      </c>
      <c r="X625" t="s">
        <v>6</v>
      </c>
      <c r="Y625"/>
      <c r="Z625"/>
      <c r="AA625">
        <v>61.212078094482422</v>
      </c>
      <c r="AB625">
        <v>10.47210693359375</v>
      </c>
      <c r="AC625">
        <v>0</v>
      </c>
      <c r="AD625">
        <v>505</v>
      </c>
      <c r="AE625">
        <v>234</v>
      </c>
      <c r="AF625">
        <v>437</v>
      </c>
      <c r="AG625">
        <v>266</v>
      </c>
      <c r="AH625">
        <v>545</v>
      </c>
      <c r="AI625">
        <v>545</v>
      </c>
      <c r="AJ625">
        <v>1</v>
      </c>
      <c r="AK625">
        <v>2</v>
      </c>
      <c r="AL625">
        <v>25</v>
      </c>
      <c r="AM625">
        <v>2</v>
      </c>
      <c r="AN625">
        <v>180.46611022949219</v>
      </c>
      <c r="AO625"/>
      <c r="AP625"/>
      <c r="AQ625"/>
      <c r="AR625"/>
      <c r="AS625"/>
      <c r="AT625"/>
      <c r="AU625"/>
      <c r="AV625"/>
      <c r="AW625"/>
      <c r="AX625"/>
      <c r="AY625"/>
      <c r="AZ625"/>
      <c r="BA625"/>
      <c r="BB625"/>
      <c r="BC625"/>
      <c r="BD625"/>
      <c r="BE625"/>
      <c r="BF625"/>
      <c r="BG625" t="s">
        <v>5</v>
      </c>
      <c r="BH625"/>
      <c r="BI625"/>
      <c r="BJ625" t="s">
        <v>5</v>
      </c>
      <c r="BK625"/>
      <c r="BL625">
        <v>0</v>
      </c>
      <c r="BM625"/>
      <c r="BN625" t="s">
        <v>5</v>
      </c>
      <c r="BO625" t="s">
        <v>2518</v>
      </c>
      <c r="BP625" t="s">
        <v>2518</v>
      </c>
      <c r="BQ625" t="s">
        <v>2518</v>
      </c>
      <c r="BR625"/>
      <c r="BS625" t="s">
        <v>6</v>
      </c>
      <c r="BT625" t="s">
        <v>2518</v>
      </c>
      <c r="BU625" t="s">
        <v>2518</v>
      </c>
      <c r="BV625" t="s">
        <v>2518</v>
      </c>
      <c r="BW625"/>
      <c r="BX625" t="s">
        <v>6</v>
      </c>
      <c r="BY625" t="s">
        <v>7</v>
      </c>
      <c r="BZ625" t="s">
        <v>2518</v>
      </c>
      <c r="CA625"/>
      <c r="CB625" t="s">
        <v>5</v>
      </c>
      <c r="CC625">
        <v>220934.11942948829</v>
      </c>
      <c r="CD625">
        <v>2066000731.1325891</v>
      </c>
      <c r="CE625" s="313" t="s">
        <v>11891</v>
      </c>
    </row>
    <row r="626" spans="1:83" ht="15" x14ac:dyDescent="0.25">
      <c r="A626" t="s">
        <v>2996</v>
      </c>
      <c r="B626" t="s">
        <v>2997</v>
      </c>
      <c r="C626" t="s">
        <v>2998</v>
      </c>
      <c r="D626">
        <v>7</v>
      </c>
      <c r="E626" t="s">
        <v>2979</v>
      </c>
      <c r="F626" t="s">
        <v>2999</v>
      </c>
      <c r="G626" t="s">
        <v>3000</v>
      </c>
      <c r="H626" t="s">
        <v>3001</v>
      </c>
      <c r="I626" t="s">
        <v>3002</v>
      </c>
      <c r="J626" t="s">
        <v>3003</v>
      </c>
      <c r="K626" t="s">
        <v>3004</v>
      </c>
      <c r="L626">
        <v>932.88201904296875</v>
      </c>
      <c r="M626" t="s">
        <v>6</v>
      </c>
      <c r="N626" t="s">
        <v>5</v>
      </c>
      <c r="O626" t="s">
        <v>5</v>
      </c>
      <c r="P626" t="s">
        <v>5</v>
      </c>
      <c r="Q626" t="s">
        <v>5</v>
      </c>
      <c r="R626" t="s">
        <v>3005</v>
      </c>
      <c r="S626" t="s">
        <v>3005</v>
      </c>
      <c r="T626" t="s">
        <v>5</v>
      </c>
      <c r="U626" t="s">
        <v>4</v>
      </c>
      <c r="V626">
        <v>25000</v>
      </c>
      <c r="W626">
        <v>25000</v>
      </c>
      <c r="X626" t="s">
        <v>5</v>
      </c>
      <c r="Y626" t="s">
        <v>1100</v>
      </c>
      <c r="Z626">
        <v>0</v>
      </c>
      <c r="AA626">
        <v>180.151123046875</v>
      </c>
      <c r="AB626">
        <v>32.943634033203118</v>
      </c>
      <c r="AC626">
        <v>0</v>
      </c>
      <c r="AD626">
        <v>1145</v>
      </c>
      <c r="AE626">
        <v>922</v>
      </c>
      <c r="AF626">
        <v>499</v>
      </c>
      <c r="AG626">
        <v>1118</v>
      </c>
      <c r="AH626">
        <v>1103</v>
      </c>
      <c r="AI626">
        <v>1118</v>
      </c>
      <c r="AJ626">
        <v>2</v>
      </c>
      <c r="AK626">
        <v>8</v>
      </c>
      <c r="AL626">
        <v>189</v>
      </c>
      <c r="AM626">
        <v>0</v>
      </c>
      <c r="AN626">
        <v>47148.859375</v>
      </c>
      <c r="AO626">
        <v>0</v>
      </c>
      <c r="AP626">
        <v>0</v>
      </c>
      <c r="AQ626">
        <v>0</v>
      </c>
      <c r="AR626">
        <v>0</v>
      </c>
      <c r="AS626">
        <v>0</v>
      </c>
      <c r="AT626">
        <v>0</v>
      </c>
      <c r="AU626">
        <v>0</v>
      </c>
      <c r="AV626">
        <v>0</v>
      </c>
      <c r="AW626">
        <v>0</v>
      </c>
      <c r="AX626">
        <v>0</v>
      </c>
      <c r="AY626">
        <v>0</v>
      </c>
      <c r="AZ626">
        <v>0</v>
      </c>
      <c r="BA626">
        <v>0</v>
      </c>
      <c r="BB626">
        <v>0</v>
      </c>
      <c r="BC626">
        <v>0</v>
      </c>
      <c r="BD626">
        <v>0</v>
      </c>
      <c r="BE626">
        <v>0</v>
      </c>
      <c r="BF626" t="s">
        <v>1100</v>
      </c>
      <c r="BG626" t="s">
        <v>5</v>
      </c>
      <c r="BH626" t="s">
        <v>2987</v>
      </c>
      <c r="BI626" t="s">
        <v>1100</v>
      </c>
      <c r="BJ626" t="s">
        <v>5</v>
      </c>
      <c r="BK626" t="s">
        <v>1100</v>
      </c>
      <c r="BL626">
        <v>0</v>
      </c>
      <c r="BM626">
        <v>0</v>
      </c>
      <c r="BN626" t="s">
        <v>5</v>
      </c>
      <c r="BO626" t="s">
        <v>1100</v>
      </c>
      <c r="BP626" t="s">
        <v>1100</v>
      </c>
      <c r="BQ626" t="s">
        <v>1100</v>
      </c>
      <c r="BR626" t="s">
        <v>1100</v>
      </c>
      <c r="BS626" t="s">
        <v>5</v>
      </c>
      <c r="BT626" t="s">
        <v>1100</v>
      </c>
      <c r="BU626" t="s">
        <v>1100</v>
      </c>
      <c r="BV626" t="s">
        <v>1100</v>
      </c>
      <c r="BW626" t="s">
        <v>1100</v>
      </c>
      <c r="BX626" t="s">
        <v>6</v>
      </c>
      <c r="BY626" t="s">
        <v>2988</v>
      </c>
      <c r="BZ626" t="s">
        <v>3006</v>
      </c>
      <c r="CA626"/>
      <c r="CB626" t="s">
        <v>5</v>
      </c>
      <c r="CC626">
        <v>197844.26158672859</v>
      </c>
      <c r="CD626">
        <v>2416162974.419826</v>
      </c>
      <c r="CE626" s="313" t="s">
        <v>11891</v>
      </c>
    </row>
    <row r="627" spans="1:83" ht="15" x14ac:dyDescent="0.25">
      <c r="A627" t="s">
        <v>3007</v>
      </c>
      <c r="B627" t="s">
        <v>3008</v>
      </c>
      <c r="C627" t="s">
        <v>3009</v>
      </c>
      <c r="D627">
        <v>7</v>
      </c>
      <c r="E627" t="s">
        <v>2979</v>
      </c>
      <c r="F627" t="s">
        <v>3010</v>
      </c>
      <c r="G627" t="s">
        <v>3011</v>
      </c>
      <c r="H627" t="s">
        <v>3012</v>
      </c>
      <c r="I627" t="s">
        <v>3013</v>
      </c>
      <c r="J627" t="s">
        <v>3014</v>
      </c>
      <c r="K627" t="s">
        <v>3015</v>
      </c>
      <c r="L627">
        <v>907.40069580078125</v>
      </c>
      <c r="M627" t="s">
        <v>6</v>
      </c>
      <c r="N627" t="s">
        <v>5</v>
      </c>
      <c r="O627" t="s">
        <v>5</v>
      </c>
      <c r="P627" t="s">
        <v>5</v>
      </c>
      <c r="Q627" t="s">
        <v>5</v>
      </c>
      <c r="R627" t="s">
        <v>3016</v>
      </c>
      <c r="S627" t="s">
        <v>3016</v>
      </c>
      <c r="T627" t="s">
        <v>5</v>
      </c>
      <c r="U627" t="s">
        <v>50</v>
      </c>
      <c r="V627">
        <v>25000</v>
      </c>
      <c r="W627">
        <v>25000</v>
      </c>
      <c r="X627" t="s">
        <v>5</v>
      </c>
      <c r="Y627" t="s">
        <v>1100</v>
      </c>
      <c r="Z627">
        <v>0</v>
      </c>
      <c r="AA627">
        <v>233.959716796875</v>
      </c>
      <c r="AB627">
        <v>41.178749084472663</v>
      </c>
      <c r="AC627">
        <v>0</v>
      </c>
      <c r="AD627">
        <v>788</v>
      </c>
      <c r="AE627">
        <v>610</v>
      </c>
      <c r="AF627">
        <v>294</v>
      </c>
      <c r="AG627">
        <v>608</v>
      </c>
      <c r="AH627">
        <v>708</v>
      </c>
      <c r="AI627">
        <v>708</v>
      </c>
      <c r="AJ627">
        <v>1</v>
      </c>
      <c r="AK627">
        <v>15</v>
      </c>
      <c r="AL627">
        <v>226</v>
      </c>
      <c r="AM627">
        <v>0</v>
      </c>
      <c r="AN627">
        <v>59647.609375</v>
      </c>
      <c r="AO627">
        <v>0</v>
      </c>
      <c r="AP627">
        <v>0</v>
      </c>
      <c r="AQ627">
        <v>0</v>
      </c>
      <c r="AR627">
        <v>0</v>
      </c>
      <c r="AS627">
        <v>0</v>
      </c>
      <c r="AT627">
        <v>0</v>
      </c>
      <c r="AU627">
        <v>0</v>
      </c>
      <c r="AV627">
        <v>0</v>
      </c>
      <c r="AW627">
        <v>0</v>
      </c>
      <c r="AX627">
        <v>0</v>
      </c>
      <c r="AY627">
        <v>0</v>
      </c>
      <c r="AZ627">
        <v>0</v>
      </c>
      <c r="BA627">
        <v>0</v>
      </c>
      <c r="BB627">
        <v>0</v>
      </c>
      <c r="BC627">
        <v>0</v>
      </c>
      <c r="BD627">
        <v>0</v>
      </c>
      <c r="BE627">
        <v>0</v>
      </c>
      <c r="BF627" t="s">
        <v>1100</v>
      </c>
      <c r="BG627" t="s">
        <v>5</v>
      </c>
      <c r="BH627" t="s">
        <v>2987</v>
      </c>
      <c r="BI627" t="s">
        <v>1100</v>
      </c>
      <c r="BJ627" t="s">
        <v>5</v>
      </c>
      <c r="BK627" t="s">
        <v>1100</v>
      </c>
      <c r="BL627">
        <v>0</v>
      </c>
      <c r="BM627">
        <v>0</v>
      </c>
      <c r="BN627" t="s">
        <v>5</v>
      </c>
      <c r="BO627" t="s">
        <v>1100</v>
      </c>
      <c r="BP627" t="s">
        <v>1100</v>
      </c>
      <c r="BQ627" t="s">
        <v>1100</v>
      </c>
      <c r="BR627" t="s">
        <v>1100</v>
      </c>
      <c r="BS627" t="s">
        <v>5</v>
      </c>
      <c r="BT627" t="s">
        <v>1100</v>
      </c>
      <c r="BU627" t="s">
        <v>1100</v>
      </c>
      <c r="BV627" t="s">
        <v>1100</v>
      </c>
      <c r="BW627" t="s">
        <v>1100</v>
      </c>
      <c r="BX627" t="s">
        <v>6</v>
      </c>
      <c r="BY627" t="s">
        <v>2988</v>
      </c>
      <c r="BZ627" t="s">
        <v>3006</v>
      </c>
      <c r="CA627"/>
      <c r="CB627" t="s">
        <v>5</v>
      </c>
      <c r="CC627">
        <v>194010.5605956841</v>
      </c>
      <c r="CD627">
        <v>2350166388.5229301</v>
      </c>
      <c r="CE627" s="313" t="s">
        <v>11891</v>
      </c>
    </row>
    <row r="628" spans="1:83" ht="15" x14ac:dyDescent="0.25">
      <c r="A628" t="s">
        <v>3031</v>
      </c>
      <c r="B628" t="s">
        <v>3032</v>
      </c>
      <c r="C628" t="s">
        <v>3033</v>
      </c>
      <c r="D628">
        <v>7</v>
      </c>
      <c r="E628" t="s">
        <v>2979</v>
      </c>
      <c r="F628" t="s">
        <v>3034</v>
      </c>
      <c r="G628" t="s">
        <v>3035</v>
      </c>
      <c r="H628" t="s">
        <v>3036</v>
      </c>
      <c r="I628" t="s">
        <v>3037</v>
      </c>
      <c r="J628" t="s">
        <v>3038</v>
      </c>
      <c r="K628" t="s">
        <v>3015</v>
      </c>
      <c r="L628">
        <v>433.07949829101563</v>
      </c>
      <c r="M628" t="s">
        <v>6</v>
      </c>
      <c r="N628" t="s">
        <v>5</v>
      </c>
      <c r="O628" t="s">
        <v>5</v>
      </c>
      <c r="P628" t="s">
        <v>5</v>
      </c>
      <c r="Q628" t="s">
        <v>5</v>
      </c>
      <c r="R628" t="s">
        <v>3039</v>
      </c>
      <c r="S628" t="s">
        <v>3039</v>
      </c>
      <c r="T628" t="s">
        <v>5</v>
      </c>
      <c r="U628" t="s">
        <v>50</v>
      </c>
      <c r="V628">
        <v>25000</v>
      </c>
      <c r="W628">
        <v>25000</v>
      </c>
      <c r="X628" t="s">
        <v>5</v>
      </c>
      <c r="Y628" t="s">
        <v>1100</v>
      </c>
      <c r="Z628">
        <v>0</v>
      </c>
      <c r="AA628">
        <v>72.72674560546875</v>
      </c>
      <c r="AB628">
        <v>7.6263842582702637</v>
      </c>
      <c r="AC628">
        <v>0</v>
      </c>
      <c r="AD628">
        <v>81</v>
      </c>
      <c r="AE628">
        <v>77</v>
      </c>
      <c r="AF628">
        <v>21</v>
      </c>
      <c r="AG628">
        <v>54</v>
      </c>
      <c r="AH628">
        <v>86</v>
      </c>
      <c r="AI628">
        <v>86</v>
      </c>
      <c r="AJ628">
        <v>0</v>
      </c>
      <c r="AK628">
        <v>12</v>
      </c>
      <c r="AL628">
        <v>56</v>
      </c>
      <c r="AM628">
        <v>0</v>
      </c>
      <c r="AN628">
        <v>3073.50634765625</v>
      </c>
      <c r="AO628">
        <v>0</v>
      </c>
      <c r="AP628">
        <v>0</v>
      </c>
      <c r="AQ628">
        <v>0</v>
      </c>
      <c r="AR628">
        <v>0</v>
      </c>
      <c r="AS628">
        <v>0</v>
      </c>
      <c r="AT628">
        <v>0</v>
      </c>
      <c r="AU628">
        <v>0</v>
      </c>
      <c r="AV628">
        <v>0</v>
      </c>
      <c r="AW628">
        <v>0</v>
      </c>
      <c r="AX628">
        <v>0</v>
      </c>
      <c r="AY628">
        <v>0</v>
      </c>
      <c r="AZ628">
        <v>0</v>
      </c>
      <c r="BA628">
        <v>0</v>
      </c>
      <c r="BB628">
        <v>0</v>
      </c>
      <c r="BC628">
        <v>0</v>
      </c>
      <c r="BD628">
        <v>0</v>
      </c>
      <c r="BE628">
        <v>0</v>
      </c>
      <c r="BF628" t="s">
        <v>1100</v>
      </c>
      <c r="BG628" t="s">
        <v>5</v>
      </c>
      <c r="BH628" t="s">
        <v>2987</v>
      </c>
      <c r="BI628" t="s">
        <v>1100</v>
      </c>
      <c r="BJ628" t="s">
        <v>5</v>
      </c>
      <c r="BK628" t="s">
        <v>1100</v>
      </c>
      <c r="BL628">
        <v>0</v>
      </c>
      <c r="BM628">
        <v>0</v>
      </c>
      <c r="BN628" t="s">
        <v>5</v>
      </c>
      <c r="BO628" t="s">
        <v>1100</v>
      </c>
      <c r="BP628" t="s">
        <v>1100</v>
      </c>
      <c r="BQ628" t="s">
        <v>1100</v>
      </c>
      <c r="BR628" t="s">
        <v>1100</v>
      </c>
      <c r="BS628" t="s">
        <v>5</v>
      </c>
      <c r="BT628" t="s">
        <v>1100</v>
      </c>
      <c r="BU628" t="s">
        <v>1100</v>
      </c>
      <c r="BV628" t="s">
        <v>1100</v>
      </c>
      <c r="BW628" t="s">
        <v>1100</v>
      </c>
      <c r="BX628" t="s">
        <v>6</v>
      </c>
      <c r="BY628" t="s">
        <v>2988</v>
      </c>
      <c r="BZ628" t="s">
        <v>3006</v>
      </c>
      <c r="CA628"/>
      <c r="CB628" t="s">
        <v>5</v>
      </c>
      <c r="CC628">
        <v>206032.183970085</v>
      </c>
      <c r="CD628">
        <v>1121675210.5535369</v>
      </c>
      <c r="CE628" s="313" t="s">
        <v>11891</v>
      </c>
    </row>
    <row r="629" spans="1:83" ht="15" x14ac:dyDescent="0.25">
      <c r="A629" t="s">
        <v>3181</v>
      </c>
      <c r="B629" t="s">
        <v>3182</v>
      </c>
      <c r="C629" t="s">
        <v>3009</v>
      </c>
      <c r="D629">
        <v>7</v>
      </c>
      <c r="E629" t="s">
        <v>2979</v>
      </c>
      <c r="F629" t="s">
        <v>3183</v>
      </c>
      <c r="G629" t="s">
        <v>3184</v>
      </c>
      <c r="H629" t="s">
        <v>3185</v>
      </c>
      <c r="I629" t="s">
        <v>3186</v>
      </c>
      <c r="J629" t="s">
        <v>3187</v>
      </c>
      <c r="K629" t="s">
        <v>3015</v>
      </c>
      <c r="L629">
        <v>888.1365966796875</v>
      </c>
      <c r="M629" t="s">
        <v>6</v>
      </c>
      <c r="N629" t="s">
        <v>5</v>
      </c>
      <c r="O629" t="s">
        <v>5</v>
      </c>
      <c r="P629" t="s">
        <v>5</v>
      </c>
      <c r="Q629" t="s">
        <v>5</v>
      </c>
      <c r="R629" t="s">
        <v>3188</v>
      </c>
      <c r="S629" t="s">
        <v>3188</v>
      </c>
      <c r="T629" t="s">
        <v>5</v>
      </c>
      <c r="U629" t="s">
        <v>50</v>
      </c>
      <c r="V629">
        <v>25000</v>
      </c>
      <c r="W629">
        <v>25000</v>
      </c>
      <c r="X629" t="s">
        <v>5</v>
      </c>
      <c r="Y629" t="s">
        <v>1100</v>
      </c>
      <c r="Z629">
        <v>0</v>
      </c>
      <c r="AA629">
        <v>179.68266296386719</v>
      </c>
      <c r="AB629">
        <v>27.135585784912109</v>
      </c>
      <c r="AC629">
        <v>0</v>
      </c>
      <c r="AD629">
        <v>38</v>
      </c>
      <c r="AE629">
        <v>27</v>
      </c>
      <c r="AF629">
        <v>3</v>
      </c>
      <c r="AG629">
        <v>0</v>
      </c>
      <c r="AH629">
        <v>3</v>
      </c>
      <c r="AI629">
        <v>3</v>
      </c>
      <c r="AJ629">
        <v>1</v>
      </c>
      <c r="AK629">
        <v>4</v>
      </c>
      <c r="AL629">
        <v>41</v>
      </c>
      <c r="AM629">
        <v>0</v>
      </c>
      <c r="AN629">
        <v>3243.90771484375</v>
      </c>
      <c r="AO629">
        <v>0</v>
      </c>
      <c r="AP629">
        <v>0</v>
      </c>
      <c r="AQ629">
        <v>0</v>
      </c>
      <c r="AR629">
        <v>0</v>
      </c>
      <c r="AS629">
        <v>0</v>
      </c>
      <c r="AT629">
        <v>0</v>
      </c>
      <c r="AU629">
        <v>0</v>
      </c>
      <c r="AV629">
        <v>0</v>
      </c>
      <c r="AW629">
        <v>0</v>
      </c>
      <c r="AX629">
        <v>0</v>
      </c>
      <c r="AY629">
        <v>0</v>
      </c>
      <c r="AZ629">
        <v>0</v>
      </c>
      <c r="BA629">
        <v>0</v>
      </c>
      <c r="BB629">
        <v>0</v>
      </c>
      <c r="BC629">
        <v>0</v>
      </c>
      <c r="BD629">
        <v>0</v>
      </c>
      <c r="BE629">
        <v>0</v>
      </c>
      <c r="BF629" t="s">
        <v>1100</v>
      </c>
      <c r="BG629" t="s">
        <v>5</v>
      </c>
      <c r="BH629" t="s">
        <v>2987</v>
      </c>
      <c r="BI629" t="s">
        <v>1100</v>
      </c>
      <c r="BJ629" t="s">
        <v>5</v>
      </c>
      <c r="BK629" t="s">
        <v>1100</v>
      </c>
      <c r="BL629">
        <v>0</v>
      </c>
      <c r="BM629">
        <v>0</v>
      </c>
      <c r="BN629" t="s">
        <v>5</v>
      </c>
      <c r="BO629" t="s">
        <v>1100</v>
      </c>
      <c r="BP629" t="s">
        <v>1100</v>
      </c>
      <c r="BQ629" t="s">
        <v>1100</v>
      </c>
      <c r="BR629" t="s">
        <v>1100</v>
      </c>
      <c r="BS629" t="s">
        <v>5</v>
      </c>
      <c r="BT629" t="s">
        <v>1100</v>
      </c>
      <c r="BU629" t="s">
        <v>1100</v>
      </c>
      <c r="BV629" t="s">
        <v>1100</v>
      </c>
      <c r="BW629" t="s">
        <v>1100</v>
      </c>
      <c r="BX629" t="s">
        <v>6</v>
      </c>
      <c r="BY629" t="s">
        <v>2988</v>
      </c>
      <c r="BZ629"/>
      <c r="CA629"/>
      <c r="CB629" t="s">
        <v>5</v>
      </c>
      <c r="CC629">
        <v>191635.32417307649</v>
      </c>
      <c r="CD629">
        <v>2300272402.171247</v>
      </c>
      <c r="CE629" s="313" t="s">
        <v>11891</v>
      </c>
    </row>
    <row r="630" spans="1:83" ht="15" x14ac:dyDescent="0.25">
      <c r="A630" t="s">
        <v>3218</v>
      </c>
      <c r="B630" t="s">
        <v>3219</v>
      </c>
      <c r="C630" t="s">
        <v>3009</v>
      </c>
      <c r="D630">
        <v>7</v>
      </c>
      <c r="E630" t="s">
        <v>2979</v>
      </c>
      <c r="F630" t="s">
        <v>2999</v>
      </c>
      <c r="G630" t="s">
        <v>3113</v>
      </c>
      <c r="H630" t="s">
        <v>3220</v>
      </c>
      <c r="I630" t="s">
        <v>3221</v>
      </c>
      <c r="J630" t="s">
        <v>3222</v>
      </c>
      <c r="K630" t="s">
        <v>3015</v>
      </c>
      <c r="L630">
        <v>2.7539093494415279</v>
      </c>
      <c r="M630" t="s">
        <v>6</v>
      </c>
      <c r="N630" t="s">
        <v>5</v>
      </c>
      <c r="O630" t="s">
        <v>5</v>
      </c>
      <c r="P630" t="s">
        <v>5</v>
      </c>
      <c r="Q630" t="s">
        <v>5</v>
      </c>
      <c r="R630" t="s">
        <v>3223</v>
      </c>
      <c r="S630" t="s">
        <v>3223</v>
      </c>
      <c r="T630" t="s">
        <v>5</v>
      </c>
      <c r="U630" t="s">
        <v>50</v>
      </c>
      <c r="V630">
        <v>25000</v>
      </c>
      <c r="W630">
        <v>25000</v>
      </c>
      <c r="X630" t="s">
        <v>5</v>
      </c>
      <c r="Y630" t="s">
        <v>1100</v>
      </c>
      <c r="Z630">
        <v>0</v>
      </c>
      <c r="AA630">
        <v>0.3718777596950531</v>
      </c>
      <c r="AB630">
        <v>2.3215759545564651E-2</v>
      </c>
      <c r="AC630">
        <v>0</v>
      </c>
      <c r="AD630">
        <v>53</v>
      </c>
      <c r="AE630">
        <v>16</v>
      </c>
      <c r="AF630">
        <v>26</v>
      </c>
      <c r="AG630">
        <v>349</v>
      </c>
      <c r="AH630">
        <v>95</v>
      </c>
      <c r="AI630">
        <v>349</v>
      </c>
      <c r="AJ630">
        <v>0</v>
      </c>
      <c r="AK630">
        <v>0</v>
      </c>
      <c r="AL630">
        <v>3</v>
      </c>
      <c r="AM630">
        <v>0</v>
      </c>
      <c r="AN630">
        <v>11.92022132873535</v>
      </c>
      <c r="AO630">
        <v>0</v>
      </c>
      <c r="AP630">
        <v>0</v>
      </c>
      <c r="AQ630">
        <v>0</v>
      </c>
      <c r="AR630">
        <v>0</v>
      </c>
      <c r="AS630">
        <v>0</v>
      </c>
      <c r="AT630">
        <v>0</v>
      </c>
      <c r="AU630">
        <v>0</v>
      </c>
      <c r="AV630">
        <v>0</v>
      </c>
      <c r="AW630">
        <v>0</v>
      </c>
      <c r="AX630">
        <v>0</v>
      </c>
      <c r="AY630">
        <v>0</v>
      </c>
      <c r="AZ630">
        <v>0</v>
      </c>
      <c r="BA630">
        <v>0</v>
      </c>
      <c r="BB630">
        <v>0</v>
      </c>
      <c r="BC630">
        <v>0</v>
      </c>
      <c r="BD630">
        <v>0</v>
      </c>
      <c r="BE630">
        <v>0</v>
      </c>
      <c r="BF630" t="s">
        <v>1100</v>
      </c>
      <c r="BG630" t="s">
        <v>5</v>
      </c>
      <c r="BH630" t="s">
        <v>2987</v>
      </c>
      <c r="BI630" t="s">
        <v>1100</v>
      </c>
      <c r="BJ630" t="s">
        <v>5</v>
      </c>
      <c r="BK630" t="s">
        <v>1100</v>
      </c>
      <c r="BL630">
        <v>0</v>
      </c>
      <c r="BM630">
        <v>0</v>
      </c>
      <c r="BN630" t="s">
        <v>5</v>
      </c>
      <c r="BO630" t="s">
        <v>1100</v>
      </c>
      <c r="BP630" t="s">
        <v>1100</v>
      </c>
      <c r="BQ630" t="s">
        <v>1100</v>
      </c>
      <c r="BR630" t="s">
        <v>1100</v>
      </c>
      <c r="BS630" t="s">
        <v>5</v>
      </c>
      <c r="BT630" t="s">
        <v>1100</v>
      </c>
      <c r="BU630" t="s">
        <v>1100</v>
      </c>
      <c r="BV630" t="s">
        <v>1100</v>
      </c>
      <c r="BW630" t="s">
        <v>1100</v>
      </c>
      <c r="BX630" t="s">
        <v>6</v>
      </c>
      <c r="BY630" t="s">
        <v>2988</v>
      </c>
      <c r="BZ630"/>
      <c r="CA630"/>
      <c r="CB630" t="s">
        <v>5</v>
      </c>
      <c r="CC630">
        <v>13269.047828652951</v>
      </c>
      <c r="CD630">
        <v>7132620.9617493916</v>
      </c>
      <c r="CE630" s="313" t="s">
        <v>11891</v>
      </c>
    </row>
    <row r="631" spans="1:83" ht="15" x14ac:dyDescent="0.25">
      <c r="A631" t="s">
        <v>3470</v>
      </c>
      <c r="B631" t="s">
        <v>3471</v>
      </c>
      <c r="C631" t="s">
        <v>3472</v>
      </c>
      <c r="D631">
        <v>12</v>
      </c>
      <c r="E631" t="s">
        <v>3435</v>
      </c>
      <c r="F631" t="s">
        <v>3473</v>
      </c>
      <c r="G631" t="s">
        <v>3437</v>
      </c>
      <c r="H631" t="s">
        <v>3474</v>
      </c>
      <c r="I631" t="s">
        <v>3475</v>
      </c>
      <c r="J631" t="s">
        <v>3476</v>
      </c>
      <c r="K631" t="s">
        <v>3477</v>
      </c>
      <c r="L631">
        <v>3.1811399459838872</v>
      </c>
      <c r="M631" t="s">
        <v>6</v>
      </c>
      <c r="N631" t="s">
        <v>5</v>
      </c>
      <c r="O631" t="s">
        <v>6</v>
      </c>
      <c r="P631" t="s">
        <v>5</v>
      </c>
      <c r="Q631" t="s">
        <v>5</v>
      </c>
      <c r="R631" t="s">
        <v>3478</v>
      </c>
      <c r="S631" t="s">
        <v>3479</v>
      </c>
      <c r="T631" t="s">
        <v>6</v>
      </c>
      <c r="U631" t="s">
        <v>50</v>
      </c>
      <c r="V631">
        <v>25000</v>
      </c>
      <c r="W631">
        <v>25000</v>
      </c>
      <c r="X631" t="s">
        <v>5</v>
      </c>
      <c r="Y631"/>
      <c r="Z631">
        <v>0</v>
      </c>
      <c r="AA631">
        <v>0.32261401414871221</v>
      </c>
      <c r="AB631">
        <v>5.2650000900030143E-2</v>
      </c>
      <c r="AC631">
        <v>0</v>
      </c>
      <c r="AD631">
        <v>69</v>
      </c>
      <c r="AE631">
        <v>30</v>
      </c>
      <c r="AF631">
        <v>50</v>
      </c>
      <c r="AG631">
        <v>100</v>
      </c>
      <c r="AH631">
        <v>50</v>
      </c>
      <c r="AI631">
        <v>100</v>
      </c>
      <c r="AJ631">
        <v>0</v>
      </c>
      <c r="AK631">
        <v>5</v>
      </c>
      <c r="AL631">
        <v>2</v>
      </c>
      <c r="AM631">
        <v>25</v>
      </c>
      <c r="AN631">
        <v>9.7600002288818359</v>
      </c>
      <c r="AO631">
        <v>0</v>
      </c>
      <c r="AP631">
        <v>0</v>
      </c>
      <c r="AQ631">
        <v>0</v>
      </c>
      <c r="AR631">
        <v>0</v>
      </c>
      <c r="AS631">
        <v>0</v>
      </c>
      <c r="AT631">
        <v>0</v>
      </c>
      <c r="AU631">
        <v>0</v>
      </c>
      <c r="AV631">
        <v>0</v>
      </c>
      <c r="AW631">
        <v>0</v>
      </c>
      <c r="AX631">
        <v>0</v>
      </c>
      <c r="AY631">
        <v>0</v>
      </c>
      <c r="AZ631">
        <v>0</v>
      </c>
      <c r="BA631">
        <v>0</v>
      </c>
      <c r="BB631">
        <v>0</v>
      </c>
      <c r="BC631">
        <v>0</v>
      </c>
      <c r="BD631">
        <v>0</v>
      </c>
      <c r="BE631">
        <v>0</v>
      </c>
      <c r="BF631" t="s">
        <v>1100</v>
      </c>
      <c r="BG631" t="s">
        <v>5</v>
      </c>
      <c r="BH631" t="s">
        <v>1100</v>
      </c>
      <c r="BI631"/>
      <c r="BJ631" t="s">
        <v>5</v>
      </c>
      <c r="BK631"/>
      <c r="BL631">
        <v>0</v>
      </c>
      <c r="BM631">
        <v>0</v>
      </c>
      <c r="BN631" t="s">
        <v>6</v>
      </c>
      <c r="BO631"/>
      <c r="BP631" t="s">
        <v>3480</v>
      </c>
      <c r="BQ631"/>
      <c r="BR631"/>
      <c r="BS631" t="s">
        <v>5</v>
      </c>
      <c r="BT631"/>
      <c r="BU631"/>
      <c r="BV631"/>
      <c r="BW631"/>
      <c r="BX631" t="s">
        <v>6</v>
      </c>
      <c r="BY631" t="s">
        <v>3444</v>
      </c>
      <c r="BZ631"/>
      <c r="CA631"/>
      <c r="CB631" t="s">
        <v>5</v>
      </c>
      <c r="CC631">
        <v>12460.051690312361</v>
      </c>
      <c r="CD631">
        <v>8239121.8992149998</v>
      </c>
      <c r="CE631" s="313" t="s">
        <v>11891</v>
      </c>
    </row>
    <row r="632" spans="1:83" ht="15" x14ac:dyDescent="0.25">
      <c r="A632" t="s">
        <v>1863</v>
      </c>
      <c r="B632" t="s">
        <v>1864</v>
      </c>
      <c r="C632" t="s">
        <v>1865</v>
      </c>
      <c r="D632">
        <v>3</v>
      </c>
      <c r="E632" t="s">
        <v>1771</v>
      </c>
      <c r="F632" t="s">
        <v>1816</v>
      </c>
      <c r="G632" t="s">
        <v>1866</v>
      </c>
      <c r="H632" t="s">
        <v>4385</v>
      </c>
      <c r="I632" t="s">
        <v>12744</v>
      </c>
      <c r="J632" t="s">
        <v>1867</v>
      </c>
      <c r="K632" t="s">
        <v>1868</v>
      </c>
      <c r="L632">
        <v>67.719383239746094</v>
      </c>
      <c r="M632" t="s">
        <v>6</v>
      </c>
      <c r="N632" t="s">
        <v>5</v>
      </c>
      <c r="O632" t="s">
        <v>5</v>
      </c>
      <c r="P632" t="s">
        <v>5</v>
      </c>
      <c r="Q632" t="s">
        <v>5</v>
      </c>
      <c r="R632" t="s">
        <v>4386</v>
      </c>
      <c r="S632" t="s">
        <v>1869</v>
      </c>
      <c r="T632" t="s">
        <v>5</v>
      </c>
      <c r="U632" t="s">
        <v>28</v>
      </c>
      <c r="V632">
        <v>250000</v>
      </c>
      <c r="W632">
        <v>25000</v>
      </c>
      <c r="X632" t="s">
        <v>6</v>
      </c>
      <c r="Y632"/>
      <c r="Z632">
        <v>25000</v>
      </c>
      <c r="AA632">
        <v>12.89645957946777</v>
      </c>
      <c r="AB632">
        <v>2.301939964294434</v>
      </c>
      <c r="AC632">
        <v>0.9031217098236084</v>
      </c>
      <c r="AD632">
        <v>4589</v>
      </c>
      <c r="AE632">
        <v>2605</v>
      </c>
      <c r="AF632">
        <v>4495</v>
      </c>
      <c r="AG632">
        <v>20937</v>
      </c>
      <c r="AH632">
        <v>26784</v>
      </c>
      <c r="AI632">
        <v>26784</v>
      </c>
      <c r="AJ632">
        <v>31</v>
      </c>
      <c r="AK632">
        <v>29</v>
      </c>
      <c r="AL632">
        <v>84</v>
      </c>
      <c r="AM632"/>
      <c r="AN632">
        <v>1387.409057617188</v>
      </c>
      <c r="AO632"/>
      <c r="AP632"/>
      <c r="AQ632"/>
      <c r="AR632"/>
      <c r="AS632"/>
      <c r="AT632"/>
      <c r="AU632"/>
      <c r="AV632"/>
      <c r="AW632"/>
      <c r="AX632"/>
      <c r="AY632"/>
      <c r="AZ632"/>
      <c r="BA632"/>
      <c r="BB632"/>
      <c r="BC632"/>
      <c r="BD632"/>
      <c r="BE632"/>
      <c r="BF632" t="s">
        <v>5</v>
      </c>
      <c r="BG632" t="s">
        <v>5</v>
      </c>
      <c r="BH632" t="s">
        <v>1777</v>
      </c>
      <c r="BI632"/>
      <c r="BJ632" t="s">
        <v>5</v>
      </c>
      <c r="BK632"/>
      <c r="BL632">
        <v>0</v>
      </c>
      <c r="BM632"/>
      <c r="BN632" t="s">
        <v>5</v>
      </c>
      <c r="BO632"/>
      <c r="BP632"/>
      <c r="BQ632"/>
      <c r="BR632"/>
      <c r="BS632" t="s">
        <v>5</v>
      </c>
      <c r="BT632"/>
      <c r="BU632"/>
      <c r="BV632"/>
      <c r="BW632" t="s">
        <v>1778</v>
      </c>
      <c r="BX632" t="s">
        <v>6</v>
      </c>
      <c r="BY632" t="s">
        <v>1101</v>
      </c>
      <c r="BZ632"/>
      <c r="CA632"/>
      <c r="CB632" t="s">
        <v>5</v>
      </c>
      <c r="CC632">
        <v>84395.825085517718</v>
      </c>
      <c r="CD632">
        <v>175438807.5668802</v>
      </c>
      <c r="CE632" s="313" t="s">
        <v>11891</v>
      </c>
    </row>
    <row r="633" spans="1:83" ht="15" x14ac:dyDescent="0.25">
      <c r="A633" t="s">
        <v>1875</v>
      </c>
      <c r="B633" t="s">
        <v>1876</v>
      </c>
      <c r="C633" t="s">
        <v>1877</v>
      </c>
      <c r="D633">
        <v>3</v>
      </c>
      <c r="E633" t="s">
        <v>1771</v>
      </c>
      <c r="F633" t="s">
        <v>1816</v>
      </c>
      <c r="G633" t="s">
        <v>1878</v>
      </c>
      <c r="H633" t="s">
        <v>4389</v>
      </c>
      <c r="I633" t="s">
        <v>12746</v>
      </c>
      <c r="J633" t="s">
        <v>1879</v>
      </c>
      <c r="K633" t="s">
        <v>1880</v>
      </c>
      <c r="L633">
        <v>28.568790435791019</v>
      </c>
      <c r="M633" t="s">
        <v>6</v>
      </c>
      <c r="N633" t="s">
        <v>5</v>
      </c>
      <c r="O633" t="s">
        <v>5</v>
      </c>
      <c r="P633" t="s">
        <v>5</v>
      </c>
      <c r="Q633" t="s">
        <v>5</v>
      </c>
      <c r="R633" t="s">
        <v>4390</v>
      </c>
      <c r="S633" t="s">
        <v>1881</v>
      </c>
      <c r="T633" t="s">
        <v>5</v>
      </c>
      <c r="U633" t="s">
        <v>28</v>
      </c>
      <c r="V633">
        <v>250000</v>
      </c>
      <c r="W633">
        <v>25000</v>
      </c>
      <c r="X633" t="s">
        <v>6</v>
      </c>
      <c r="Y633"/>
      <c r="Z633">
        <v>25000</v>
      </c>
      <c r="AA633">
        <v>1.509413003921509</v>
      </c>
      <c r="AB633">
        <v>0.35634028911590582</v>
      </c>
      <c r="AC633">
        <v>5.0465330481529243E-2</v>
      </c>
      <c r="AD633">
        <v>139</v>
      </c>
      <c r="AE633">
        <v>230</v>
      </c>
      <c r="AF633">
        <v>125</v>
      </c>
      <c r="AG633">
        <v>296</v>
      </c>
      <c r="AH633">
        <v>419</v>
      </c>
      <c r="AI633">
        <v>419</v>
      </c>
      <c r="AJ633">
        <v>1</v>
      </c>
      <c r="AK633">
        <v>25</v>
      </c>
      <c r="AL633">
        <v>7</v>
      </c>
      <c r="AM633"/>
      <c r="AN633">
        <v>81.450248718261719</v>
      </c>
      <c r="AO633"/>
      <c r="AP633"/>
      <c r="AQ633"/>
      <c r="AR633"/>
      <c r="AS633"/>
      <c r="AT633"/>
      <c r="AU633"/>
      <c r="AV633"/>
      <c r="AW633"/>
      <c r="AX633"/>
      <c r="AY633"/>
      <c r="AZ633"/>
      <c r="BA633"/>
      <c r="BB633"/>
      <c r="BC633"/>
      <c r="BD633"/>
      <c r="BE633"/>
      <c r="BF633" t="s">
        <v>5</v>
      </c>
      <c r="BG633" t="s">
        <v>5</v>
      </c>
      <c r="BH633" t="s">
        <v>1777</v>
      </c>
      <c r="BI633"/>
      <c r="BJ633" t="s">
        <v>5</v>
      </c>
      <c r="BK633"/>
      <c r="BL633">
        <v>0</v>
      </c>
      <c r="BM633"/>
      <c r="BN633" t="s">
        <v>5</v>
      </c>
      <c r="BO633"/>
      <c r="BP633"/>
      <c r="BQ633"/>
      <c r="BR633"/>
      <c r="BS633" t="s">
        <v>5</v>
      </c>
      <c r="BT633"/>
      <c r="BU633"/>
      <c r="BV633"/>
      <c r="BW633" t="s">
        <v>1778</v>
      </c>
      <c r="BX633" t="s">
        <v>6</v>
      </c>
      <c r="BY633" t="s">
        <v>1101</v>
      </c>
      <c r="BZ633"/>
      <c r="CA633"/>
      <c r="CB633" t="s">
        <v>5</v>
      </c>
      <c r="CC633">
        <v>55573.933396303793</v>
      </c>
      <c r="CD633">
        <v>74012417.213018656</v>
      </c>
      <c r="CE633" s="313" t="s">
        <v>11891</v>
      </c>
    </row>
    <row r="634" spans="1:83" ht="15" x14ac:dyDescent="0.25">
      <c r="A634" t="s">
        <v>1882</v>
      </c>
      <c r="B634" t="s">
        <v>1883</v>
      </c>
      <c r="C634" t="s">
        <v>1884</v>
      </c>
      <c r="D634">
        <v>3</v>
      </c>
      <c r="E634" t="s">
        <v>1771</v>
      </c>
      <c r="F634" t="s">
        <v>1885</v>
      </c>
      <c r="G634" t="s">
        <v>1808</v>
      </c>
      <c r="H634" t="s">
        <v>1886</v>
      </c>
      <c r="I634" t="s">
        <v>1887</v>
      </c>
      <c r="J634" t="s">
        <v>1888</v>
      </c>
      <c r="K634" t="s">
        <v>1880</v>
      </c>
      <c r="L634">
        <v>3.2346971035003662</v>
      </c>
      <c r="M634" t="s">
        <v>6</v>
      </c>
      <c r="N634" t="s">
        <v>5</v>
      </c>
      <c r="O634" t="s">
        <v>5</v>
      </c>
      <c r="P634" t="s">
        <v>5</v>
      </c>
      <c r="Q634" t="s">
        <v>5</v>
      </c>
      <c r="R634" t="s">
        <v>4391</v>
      </c>
      <c r="S634" t="s">
        <v>1889</v>
      </c>
      <c r="T634" t="s">
        <v>5</v>
      </c>
      <c r="U634" t="s">
        <v>28</v>
      </c>
      <c r="V634">
        <v>250000</v>
      </c>
      <c r="W634">
        <v>25000</v>
      </c>
      <c r="X634" t="s">
        <v>6</v>
      </c>
      <c r="Y634"/>
      <c r="Z634">
        <v>25000</v>
      </c>
      <c r="AA634">
        <v>0.6652752161026001</v>
      </c>
      <c r="AB634">
        <v>0.1167400032281876</v>
      </c>
      <c r="AC634">
        <v>3.389104967936873E-3</v>
      </c>
      <c r="AD634">
        <v>140</v>
      </c>
      <c r="AE634">
        <v>51</v>
      </c>
      <c r="AF634">
        <v>136</v>
      </c>
      <c r="AG634">
        <v>178</v>
      </c>
      <c r="AH634">
        <v>444</v>
      </c>
      <c r="AI634">
        <v>444</v>
      </c>
      <c r="AJ634">
        <v>1</v>
      </c>
      <c r="AK634">
        <v>0</v>
      </c>
      <c r="AL634">
        <v>3</v>
      </c>
      <c r="AM634"/>
      <c r="AN634">
        <v>38.144859313964837</v>
      </c>
      <c r="AO634"/>
      <c r="AP634"/>
      <c r="AQ634"/>
      <c r="AR634"/>
      <c r="AS634"/>
      <c r="AT634"/>
      <c r="AU634"/>
      <c r="AV634"/>
      <c r="AW634"/>
      <c r="AX634"/>
      <c r="AY634"/>
      <c r="AZ634"/>
      <c r="BA634"/>
      <c r="BB634"/>
      <c r="BC634"/>
      <c r="BD634"/>
      <c r="BE634"/>
      <c r="BF634" t="s">
        <v>5</v>
      </c>
      <c r="BG634" t="s">
        <v>5</v>
      </c>
      <c r="BH634" t="s">
        <v>1777</v>
      </c>
      <c r="BI634"/>
      <c r="BJ634" t="s">
        <v>5</v>
      </c>
      <c r="BK634"/>
      <c r="BL634">
        <v>0</v>
      </c>
      <c r="BM634"/>
      <c r="BN634" t="s">
        <v>5</v>
      </c>
      <c r="BO634"/>
      <c r="BP634"/>
      <c r="BQ634"/>
      <c r="BR634"/>
      <c r="BS634" t="s">
        <v>5</v>
      </c>
      <c r="BT634"/>
      <c r="BU634"/>
      <c r="BV634"/>
      <c r="BW634" t="s">
        <v>1778</v>
      </c>
      <c r="BX634" t="s">
        <v>6</v>
      </c>
      <c r="BY634" t="s">
        <v>1101</v>
      </c>
      <c r="BZ634"/>
      <c r="CA634"/>
      <c r="CB634" t="s">
        <v>5</v>
      </c>
      <c r="CC634">
        <v>22640.201908753341</v>
      </c>
      <c r="CD634">
        <v>8380043.2918742457</v>
      </c>
      <c r="CE634" s="313" t="s">
        <v>11891</v>
      </c>
    </row>
    <row r="635" spans="1:83" ht="15" x14ac:dyDescent="0.25">
      <c r="A635" t="s">
        <v>1890</v>
      </c>
      <c r="B635" t="s">
        <v>1891</v>
      </c>
      <c r="C635" t="s">
        <v>1892</v>
      </c>
      <c r="D635">
        <v>3</v>
      </c>
      <c r="E635" t="s">
        <v>1771</v>
      </c>
      <c r="F635" t="s">
        <v>1843</v>
      </c>
      <c r="G635" t="s">
        <v>1893</v>
      </c>
      <c r="H635" t="s">
        <v>4392</v>
      </c>
      <c r="I635" t="s">
        <v>12747</v>
      </c>
      <c r="J635" t="s">
        <v>1894</v>
      </c>
      <c r="K635" t="s">
        <v>1880</v>
      </c>
      <c r="L635">
        <v>2.506944894790649</v>
      </c>
      <c r="M635" t="s">
        <v>6</v>
      </c>
      <c r="N635" t="s">
        <v>5</v>
      </c>
      <c r="O635" t="s">
        <v>5</v>
      </c>
      <c r="P635" t="s">
        <v>5</v>
      </c>
      <c r="Q635" t="s">
        <v>5</v>
      </c>
      <c r="R635" t="s">
        <v>4393</v>
      </c>
      <c r="S635" t="s">
        <v>1895</v>
      </c>
      <c r="T635" t="s">
        <v>5</v>
      </c>
      <c r="U635" t="s">
        <v>28</v>
      </c>
      <c r="V635">
        <v>250000</v>
      </c>
      <c r="W635">
        <v>25000</v>
      </c>
      <c r="X635" t="s">
        <v>6</v>
      </c>
      <c r="Y635"/>
      <c r="Z635">
        <v>25000</v>
      </c>
      <c r="AA635">
        <v>0.4359251856803894</v>
      </c>
      <c r="AB635">
        <v>6.3370481133460999E-2</v>
      </c>
      <c r="AC635">
        <v>4.349173977971077E-2</v>
      </c>
      <c r="AD635">
        <v>6</v>
      </c>
      <c r="AE635">
        <v>21</v>
      </c>
      <c r="AF635">
        <v>6</v>
      </c>
      <c r="AG635">
        <v>4</v>
      </c>
      <c r="AH635">
        <v>10</v>
      </c>
      <c r="AI635">
        <v>10</v>
      </c>
      <c r="AJ635">
        <v>2</v>
      </c>
      <c r="AK635">
        <v>0</v>
      </c>
      <c r="AL635">
        <v>5</v>
      </c>
      <c r="AM635"/>
      <c r="AN635">
        <v>92.654411315917969</v>
      </c>
      <c r="AO635"/>
      <c r="AP635"/>
      <c r="AQ635"/>
      <c r="AR635"/>
      <c r="AS635"/>
      <c r="AT635"/>
      <c r="AU635"/>
      <c r="AV635"/>
      <c r="AW635"/>
      <c r="AX635"/>
      <c r="AY635"/>
      <c r="AZ635"/>
      <c r="BA635"/>
      <c r="BB635"/>
      <c r="BC635"/>
      <c r="BD635"/>
      <c r="BE635"/>
      <c r="BF635" t="s">
        <v>5</v>
      </c>
      <c r="BG635" t="s">
        <v>5</v>
      </c>
      <c r="BH635" t="s">
        <v>1777</v>
      </c>
      <c r="BI635"/>
      <c r="BJ635" t="s">
        <v>5</v>
      </c>
      <c r="BK635"/>
      <c r="BL635">
        <v>0</v>
      </c>
      <c r="BM635"/>
      <c r="BN635" t="s">
        <v>5</v>
      </c>
      <c r="BO635"/>
      <c r="BP635"/>
      <c r="BQ635"/>
      <c r="BR635"/>
      <c r="BS635" t="s">
        <v>5</v>
      </c>
      <c r="BT635"/>
      <c r="BU635"/>
      <c r="BV635"/>
      <c r="BW635" t="s">
        <v>1778</v>
      </c>
      <c r="BX635" t="s">
        <v>6</v>
      </c>
      <c r="BY635" t="s">
        <v>1101</v>
      </c>
      <c r="BZ635"/>
      <c r="CA635"/>
      <c r="CB635" t="s">
        <v>5</v>
      </c>
      <c r="CC635">
        <v>42578.13879553882</v>
      </c>
      <c r="CD635">
        <v>6494675.0848259591</v>
      </c>
      <c r="CE635" s="313" t="s">
        <v>11891</v>
      </c>
    </row>
    <row r="636" spans="1:83" ht="15" x14ac:dyDescent="0.25">
      <c r="A636" t="s">
        <v>1896</v>
      </c>
      <c r="B636" t="s">
        <v>1897</v>
      </c>
      <c r="C636" t="s">
        <v>1898</v>
      </c>
      <c r="D636">
        <v>3</v>
      </c>
      <c r="E636" t="s">
        <v>1771</v>
      </c>
      <c r="F636" t="s">
        <v>1899</v>
      </c>
      <c r="G636" t="s">
        <v>1900</v>
      </c>
      <c r="H636" t="s">
        <v>4394</v>
      </c>
      <c r="I636" t="s">
        <v>12748</v>
      </c>
      <c r="J636" t="s">
        <v>1901</v>
      </c>
      <c r="K636" t="s">
        <v>1868</v>
      </c>
      <c r="L636">
        <v>148.0386047363281</v>
      </c>
      <c r="M636" t="s">
        <v>6</v>
      </c>
      <c r="N636" t="s">
        <v>5</v>
      </c>
      <c r="O636" t="s">
        <v>5</v>
      </c>
      <c r="P636" t="s">
        <v>5</v>
      </c>
      <c r="Q636" t="s">
        <v>5</v>
      </c>
      <c r="R636" t="s">
        <v>4395</v>
      </c>
      <c r="S636" t="s">
        <v>1902</v>
      </c>
      <c r="T636" t="s">
        <v>5</v>
      </c>
      <c r="U636" t="s">
        <v>28</v>
      </c>
      <c r="V636">
        <v>250000</v>
      </c>
      <c r="W636">
        <v>25000</v>
      </c>
      <c r="X636" t="s">
        <v>6</v>
      </c>
      <c r="Y636"/>
      <c r="Z636">
        <v>25000</v>
      </c>
      <c r="AA636">
        <v>34.494319915771477</v>
      </c>
      <c r="AB636">
        <v>1.5862879753112791</v>
      </c>
      <c r="AC636">
        <v>0.24870599806308749</v>
      </c>
      <c r="AD636">
        <v>411</v>
      </c>
      <c r="AE636">
        <v>199</v>
      </c>
      <c r="AF636">
        <v>371</v>
      </c>
      <c r="AG636">
        <v>690</v>
      </c>
      <c r="AH636">
        <v>1183</v>
      </c>
      <c r="AI636">
        <v>1183</v>
      </c>
      <c r="AJ636">
        <v>3</v>
      </c>
      <c r="AK636">
        <v>15</v>
      </c>
      <c r="AL636">
        <v>34</v>
      </c>
      <c r="AM636"/>
      <c r="AN636">
        <v>4484.98876953125</v>
      </c>
      <c r="AO636"/>
      <c r="AP636"/>
      <c r="AQ636"/>
      <c r="AR636"/>
      <c r="AS636"/>
      <c r="AT636"/>
      <c r="AU636"/>
      <c r="AV636"/>
      <c r="AW636"/>
      <c r="AX636"/>
      <c r="AY636"/>
      <c r="AZ636"/>
      <c r="BA636"/>
      <c r="BB636"/>
      <c r="BC636"/>
      <c r="BD636"/>
      <c r="BE636"/>
      <c r="BF636" t="s">
        <v>5</v>
      </c>
      <c r="BG636" t="s">
        <v>5</v>
      </c>
      <c r="BH636" t="s">
        <v>1777</v>
      </c>
      <c r="BI636"/>
      <c r="BJ636" t="s">
        <v>5</v>
      </c>
      <c r="BK636"/>
      <c r="BL636">
        <v>0</v>
      </c>
      <c r="BM636"/>
      <c r="BN636" t="s">
        <v>5</v>
      </c>
      <c r="BO636"/>
      <c r="BP636"/>
      <c r="BQ636"/>
      <c r="BR636"/>
      <c r="BS636" t="s">
        <v>5</v>
      </c>
      <c r="BT636"/>
      <c r="BU636"/>
      <c r="BV636"/>
      <c r="BW636" t="s">
        <v>1778</v>
      </c>
      <c r="BX636" t="s">
        <v>6</v>
      </c>
      <c r="BY636" t="s">
        <v>1101</v>
      </c>
      <c r="BZ636"/>
      <c r="CA636"/>
      <c r="CB636" t="s">
        <v>5</v>
      </c>
      <c r="CC636">
        <v>78389.774223696033</v>
      </c>
      <c r="CD636">
        <v>383519746.90874219</v>
      </c>
      <c r="CE636" s="313" t="s">
        <v>11891</v>
      </c>
    </row>
    <row r="637" spans="1:83" ht="15" x14ac:dyDescent="0.25">
      <c r="A637" t="s">
        <v>1910</v>
      </c>
      <c r="B637" t="s">
        <v>1911</v>
      </c>
      <c r="C637" t="s">
        <v>1912</v>
      </c>
      <c r="D637">
        <v>3</v>
      </c>
      <c r="E637" t="s">
        <v>1771</v>
      </c>
      <c r="F637" t="s">
        <v>1858</v>
      </c>
      <c r="G637" t="s">
        <v>1859</v>
      </c>
      <c r="H637" t="s">
        <v>4383</v>
      </c>
      <c r="I637" t="s">
        <v>12749</v>
      </c>
      <c r="J637" t="s">
        <v>1913</v>
      </c>
      <c r="K637" t="s">
        <v>1868</v>
      </c>
      <c r="L637">
        <v>13.17426013946533</v>
      </c>
      <c r="M637" t="s">
        <v>6</v>
      </c>
      <c r="N637" t="s">
        <v>5</v>
      </c>
      <c r="O637" t="s">
        <v>5</v>
      </c>
      <c r="P637" t="s">
        <v>5</v>
      </c>
      <c r="Q637" t="s">
        <v>5</v>
      </c>
      <c r="R637" t="s">
        <v>4397</v>
      </c>
      <c r="S637" t="s">
        <v>1914</v>
      </c>
      <c r="T637" t="s">
        <v>5</v>
      </c>
      <c r="U637" t="s">
        <v>28</v>
      </c>
      <c r="V637">
        <v>250000</v>
      </c>
      <c r="W637">
        <v>25000</v>
      </c>
      <c r="X637" t="s">
        <v>6</v>
      </c>
      <c r="Y637"/>
      <c r="Z637">
        <v>225000</v>
      </c>
      <c r="AA637">
        <v>1.3781559467315669</v>
      </c>
      <c r="AB637">
        <v>0.18416960537433619</v>
      </c>
      <c r="AC637">
        <v>1.0124329710379241E-3</v>
      </c>
      <c r="AD637">
        <v>156</v>
      </c>
      <c r="AE637">
        <v>86</v>
      </c>
      <c r="AF637">
        <v>148</v>
      </c>
      <c r="AG637">
        <v>352</v>
      </c>
      <c r="AH637">
        <v>496</v>
      </c>
      <c r="AI637">
        <v>496</v>
      </c>
      <c r="AJ637">
        <v>2</v>
      </c>
      <c r="AK637">
        <v>4</v>
      </c>
      <c r="AL637">
        <v>5</v>
      </c>
      <c r="AM637"/>
      <c r="AN637">
        <v>131.8468017578125</v>
      </c>
      <c r="AO637"/>
      <c r="AP637"/>
      <c r="AQ637"/>
      <c r="AR637"/>
      <c r="AS637"/>
      <c r="AT637"/>
      <c r="AU637"/>
      <c r="AV637"/>
      <c r="AW637"/>
      <c r="AX637"/>
      <c r="AY637"/>
      <c r="AZ637"/>
      <c r="BA637"/>
      <c r="BB637"/>
      <c r="BC637"/>
      <c r="BD637"/>
      <c r="BE637"/>
      <c r="BF637" t="s">
        <v>5</v>
      </c>
      <c r="BG637" t="s">
        <v>5</v>
      </c>
      <c r="BH637" t="s">
        <v>1777</v>
      </c>
      <c r="BI637"/>
      <c r="BJ637" t="s">
        <v>5</v>
      </c>
      <c r="BK637"/>
      <c r="BL637">
        <v>0</v>
      </c>
      <c r="BM637"/>
      <c r="BN637" t="s">
        <v>5</v>
      </c>
      <c r="BO637"/>
      <c r="BP637"/>
      <c r="BQ637"/>
      <c r="BR637"/>
      <c r="BS637" t="s">
        <v>5</v>
      </c>
      <c r="BT637"/>
      <c r="BU637"/>
      <c r="BV637"/>
      <c r="BW637" t="s">
        <v>1778</v>
      </c>
      <c r="BX637" t="s">
        <v>6</v>
      </c>
      <c r="BY637" t="s">
        <v>1101</v>
      </c>
      <c r="BZ637"/>
      <c r="CA637"/>
      <c r="CB637" t="s">
        <v>5</v>
      </c>
      <c r="CC637">
        <v>34558.106304903216</v>
      </c>
      <c r="CD637">
        <v>34130213.998368993</v>
      </c>
      <c r="CE637" s="313" t="s">
        <v>11891</v>
      </c>
    </row>
    <row r="638" spans="1:83" ht="15" x14ac:dyDescent="0.25">
      <c r="A638" t="s">
        <v>1954</v>
      </c>
      <c r="B638" t="s">
        <v>1955</v>
      </c>
      <c r="C638" t="s">
        <v>1956</v>
      </c>
      <c r="D638">
        <v>3</v>
      </c>
      <c r="E638" t="s">
        <v>1771</v>
      </c>
      <c r="F638" t="s">
        <v>1858</v>
      </c>
      <c r="G638" t="s">
        <v>1859</v>
      </c>
      <c r="H638" t="s">
        <v>1906</v>
      </c>
      <c r="I638" t="s">
        <v>1957</v>
      </c>
      <c r="J638" t="s">
        <v>1958</v>
      </c>
      <c r="K638" t="s">
        <v>1880</v>
      </c>
      <c r="L638">
        <v>1.7482559680938721</v>
      </c>
      <c r="M638" t="s">
        <v>6</v>
      </c>
      <c r="N638" t="s">
        <v>5</v>
      </c>
      <c r="O638" t="s">
        <v>5</v>
      </c>
      <c r="P638" t="s">
        <v>5</v>
      </c>
      <c r="Q638" t="s">
        <v>5</v>
      </c>
      <c r="R638" t="s">
        <v>4406</v>
      </c>
      <c r="S638" t="s">
        <v>1959</v>
      </c>
      <c r="T638" t="s">
        <v>5</v>
      </c>
      <c r="U638" t="s">
        <v>28</v>
      </c>
      <c r="V638">
        <v>250000</v>
      </c>
      <c r="W638">
        <v>25000</v>
      </c>
      <c r="X638" t="s">
        <v>6</v>
      </c>
      <c r="Y638"/>
      <c r="Z638">
        <v>25000</v>
      </c>
      <c r="AA638">
        <v>0.45441791415214539</v>
      </c>
      <c r="AB638">
        <v>5.2868448197841637E-2</v>
      </c>
      <c r="AC638">
        <v>0</v>
      </c>
      <c r="AD638">
        <v>272</v>
      </c>
      <c r="AE638">
        <v>68</v>
      </c>
      <c r="AF638">
        <v>225</v>
      </c>
      <c r="AG638">
        <v>447</v>
      </c>
      <c r="AH638">
        <v>820</v>
      </c>
      <c r="AI638">
        <v>820</v>
      </c>
      <c r="AJ638">
        <v>4</v>
      </c>
      <c r="AK638">
        <v>8</v>
      </c>
      <c r="AL638">
        <v>6</v>
      </c>
      <c r="AM638"/>
      <c r="AN638">
        <v>86.034027099609375</v>
      </c>
      <c r="AO638"/>
      <c r="AP638"/>
      <c r="AQ638"/>
      <c r="AR638"/>
      <c r="AS638"/>
      <c r="AT638"/>
      <c r="AU638"/>
      <c r="AV638"/>
      <c r="AW638"/>
      <c r="AX638"/>
      <c r="AY638"/>
      <c r="AZ638"/>
      <c r="BA638"/>
      <c r="BB638"/>
      <c r="BC638"/>
      <c r="BD638"/>
      <c r="BE638"/>
      <c r="BF638" t="s">
        <v>5</v>
      </c>
      <c r="BG638" t="s">
        <v>5</v>
      </c>
      <c r="BH638" t="s">
        <v>1777</v>
      </c>
      <c r="BI638"/>
      <c r="BJ638" t="s">
        <v>5</v>
      </c>
      <c r="BK638"/>
      <c r="BL638">
        <v>0</v>
      </c>
      <c r="BM638"/>
      <c r="BN638" t="s">
        <v>5</v>
      </c>
      <c r="BO638"/>
      <c r="BP638"/>
      <c r="BQ638"/>
      <c r="BR638"/>
      <c r="BS638" t="s">
        <v>5</v>
      </c>
      <c r="BT638"/>
      <c r="BU638"/>
      <c r="BV638"/>
      <c r="BW638" t="s">
        <v>1778</v>
      </c>
      <c r="BX638" t="s">
        <v>6</v>
      </c>
      <c r="BY638" t="s">
        <v>1101</v>
      </c>
      <c r="BZ638"/>
      <c r="CA638"/>
      <c r="CB638" t="s">
        <v>5</v>
      </c>
      <c r="CC638">
        <v>13530.918641349281</v>
      </c>
      <c r="CD638">
        <v>4529160.4736537626</v>
      </c>
      <c r="CE638" s="313" t="s">
        <v>11891</v>
      </c>
    </row>
    <row r="639" spans="1:83" ht="15" x14ac:dyDescent="0.25">
      <c r="A639" t="s">
        <v>2048</v>
      </c>
      <c r="B639" t="s">
        <v>2049</v>
      </c>
      <c r="C639" t="s">
        <v>2050</v>
      </c>
      <c r="D639">
        <v>3</v>
      </c>
      <c r="E639" t="s">
        <v>1771</v>
      </c>
      <c r="F639" t="s">
        <v>1791</v>
      </c>
      <c r="G639" t="s">
        <v>2051</v>
      </c>
      <c r="H639" t="s">
        <v>4428</v>
      </c>
      <c r="I639" t="s">
        <v>12757</v>
      </c>
      <c r="J639" t="s">
        <v>2052</v>
      </c>
      <c r="K639" t="s">
        <v>1880</v>
      </c>
      <c r="L639">
        <v>3.0269870758056641</v>
      </c>
      <c r="M639" t="s">
        <v>6</v>
      </c>
      <c r="N639" t="s">
        <v>5</v>
      </c>
      <c r="O639" t="s">
        <v>5</v>
      </c>
      <c r="P639" t="s">
        <v>5</v>
      </c>
      <c r="Q639" t="s">
        <v>5</v>
      </c>
      <c r="R639" t="s">
        <v>4429</v>
      </c>
      <c r="S639" t="s">
        <v>2053</v>
      </c>
      <c r="T639" t="s">
        <v>5</v>
      </c>
      <c r="U639" t="s">
        <v>28</v>
      </c>
      <c r="V639">
        <v>250000</v>
      </c>
      <c r="W639">
        <v>25000</v>
      </c>
      <c r="X639" t="s">
        <v>6</v>
      </c>
      <c r="Y639"/>
      <c r="Z639">
        <v>25000</v>
      </c>
      <c r="AA639">
        <v>0.16127750277519229</v>
      </c>
      <c r="AB639">
        <v>8.2405842840671539E-2</v>
      </c>
      <c r="AC639">
        <v>6.3178107142448425E-2</v>
      </c>
      <c r="AD639">
        <v>4</v>
      </c>
      <c r="AE639">
        <v>0</v>
      </c>
      <c r="AF639">
        <v>4</v>
      </c>
      <c r="AG639">
        <v>0</v>
      </c>
      <c r="AH639">
        <v>4</v>
      </c>
      <c r="AI639">
        <v>4</v>
      </c>
      <c r="AJ639">
        <v>0</v>
      </c>
      <c r="AK639">
        <v>1</v>
      </c>
      <c r="AL639">
        <v>1</v>
      </c>
      <c r="AM639"/>
      <c r="AN639">
        <v>31.52216911315918</v>
      </c>
      <c r="AO639"/>
      <c r="AP639"/>
      <c r="AQ639"/>
      <c r="AR639"/>
      <c r="AS639"/>
      <c r="AT639"/>
      <c r="AU639"/>
      <c r="AV639"/>
      <c r="AW639"/>
      <c r="AX639"/>
      <c r="AY639"/>
      <c r="AZ639"/>
      <c r="BA639"/>
      <c r="BB639"/>
      <c r="BC639"/>
      <c r="BD639"/>
      <c r="BE639"/>
      <c r="BF639" t="s">
        <v>5</v>
      </c>
      <c r="BG639" t="s">
        <v>5</v>
      </c>
      <c r="BH639" t="s">
        <v>1777</v>
      </c>
      <c r="BI639"/>
      <c r="BJ639" t="s">
        <v>5</v>
      </c>
      <c r="BK639"/>
      <c r="BL639">
        <v>0</v>
      </c>
      <c r="BM639"/>
      <c r="BN639" t="s">
        <v>5</v>
      </c>
      <c r="BO639"/>
      <c r="BP639"/>
      <c r="BQ639"/>
      <c r="BR639"/>
      <c r="BS639" t="s">
        <v>5</v>
      </c>
      <c r="BT639"/>
      <c r="BU639"/>
      <c r="BV639"/>
      <c r="BW639" t="s">
        <v>1778</v>
      </c>
      <c r="BX639" t="s">
        <v>6</v>
      </c>
      <c r="BY639" t="s">
        <v>1101</v>
      </c>
      <c r="BZ639"/>
      <c r="CA639"/>
      <c r="CB639" t="s">
        <v>5</v>
      </c>
      <c r="CC639">
        <v>29455.720795431589</v>
      </c>
      <c r="CD639">
        <v>7841934.735448936</v>
      </c>
      <c r="CE639" s="313" t="s">
        <v>11891</v>
      </c>
    </row>
    <row r="640" spans="1:83" ht="15" x14ac:dyDescent="0.25">
      <c r="A640" t="s">
        <v>2054</v>
      </c>
      <c r="B640" t="s">
        <v>2055</v>
      </c>
      <c r="C640" t="s">
        <v>2056</v>
      </c>
      <c r="D640">
        <v>3</v>
      </c>
      <c r="E640" t="s">
        <v>1771</v>
      </c>
      <c r="F640" t="s">
        <v>2057</v>
      </c>
      <c r="G640" t="s">
        <v>2058</v>
      </c>
      <c r="H640" t="s">
        <v>4430</v>
      </c>
      <c r="I640" t="s">
        <v>12758</v>
      </c>
      <c r="J640" t="s">
        <v>2059</v>
      </c>
      <c r="K640" t="s">
        <v>1880</v>
      </c>
      <c r="L640">
        <v>2.201287984848022</v>
      </c>
      <c r="M640" t="s">
        <v>6</v>
      </c>
      <c r="N640" t="s">
        <v>5</v>
      </c>
      <c r="O640" t="s">
        <v>5</v>
      </c>
      <c r="P640" t="s">
        <v>5</v>
      </c>
      <c r="Q640" t="s">
        <v>5</v>
      </c>
      <c r="R640" t="s">
        <v>4431</v>
      </c>
      <c r="S640" t="s">
        <v>2060</v>
      </c>
      <c r="T640" t="s">
        <v>5</v>
      </c>
      <c r="U640" t="s">
        <v>28</v>
      </c>
      <c r="V640">
        <v>250000</v>
      </c>
      <c r="W640">
        <v>25000</v>
      </c>
      <c r="X640" t="s">
        <v>6</v>
      </c>
      <c r="Y640"/>
      <c r="Z640">
        <v>25000</v>
      </c>
      <c r="AA640">
        <v>0.35543709993362432</v>
      </c>
      <c r="AB640">
        <v>4.6593461185693741E-2</v>
      </c>
      <c r="AC640">
        <v>1.8146950751543049E-2</v>
      </c>
      <c r="AD640">
        <v>36</v>
      </c>
      <c r="AE640">
        <v>10</v>
      </c>
      <c r="AF640">
        <v>24</v>
      </c>
      <c r="AG640">
        <v>10</v>
      </c>
      <c r="AH640">
        <v>37</v>
      </c>
      <c r="AI640">
        <v>37</v>
      </c>
      <c r="AJ640">
        <v>0</v>
      </c>
      <c r="AK640">
        <v>0</v>
      </c>
      <c r="AL640">
        <v>2</v>
      </c>
      <c r="AM640"/>
      <c r="AN640">
        <v>135.67970275878909</v>
      </c>
      <c r="AO640"/>
      <c r="AP640"/>
      <c r="AQ640"/>
      <c r="AR640"/>
      <c r="AS640"/>
      <c r="AT640"/>
      <c r="AU640"/>
      <c r="AV640"/>
      <c r="AW640"/>
      <c r="AX640"/>
      <c r="AY640"/>
      <c r="AZ640"/>
      <c r="BA640"/>
      <c r="BB640"/>
      <c r="BC640"/>
      <c r="BD640"/>
      <c r="BE640"/>
      <c r="BF640" t="s">
        <v>5</v>
      </c>
      <c r="BG640" t="s">
        <v>5</v>
      </c>
      <c r="BH640" t="s">
        <v>1777</v>
      </c>
      <c r="BI640"/>
      <c r="BJ640" t="s">
        <v>5</v>
      </c>
      <c r="BK640"/>
      <c r="BL640">
        <v>0</v>
      </c>
      <c r="BM640"/>
      <c r="BN640" t="s">
        <v>5</v>
      </c>
      <c r="BO640"/>
      <c r="BP640"/>
      <c r="BQ640"/>
      <c r="BR640"/>
      <c r="BS640" t="s">
        <v>5</v>
      </c>
      <c r="BT640"/>
      <c r="BU640"/>
      <c r="BV640"/>
      <c r="BW640" t="s">
        <v>1778</v>
      </c>
      <c r="BX640" t="s">
        <v>6</v>
      </c>
      <c r="BY640" t="s">
        <v>1101</v>
      </c>
      <c r="BZ640"/>
      <c r="CA640"/>
      <c r="CB640" t="s">
        <v>5</v>
      </c>
      <c r="CC640">
        <v>47628.979161199852</v>
      </c>
      <c r="CD640">
        <v>5702819.7830807287</v>
      </c>
      <c r="CE640" s="313" t="s">
        <v>11891</v>
      </c>
    </row>
    <row r="641" spans="1:83" ht="15" x14ac:dyDescent="0.25">
      <c r="A641" t="s">
        <v>2061</v>
      </c>
      <c r="B641" t="s">
        <v>2062</v>
      </c>
      <c r="C641" t="s">
        <v>2063</v>
      </c>
      <c r="D641">
        <v>3</v>
      </c>
      <c r="E641" t="s">
        <v>1771</v>
      </c>
      <c r="F641" t="s">
        <v>2064</v>
      </c>
      <c r="G641" t="s">
        <v>2065</v>
      </c>
      <c r="H641" t="s">
        <v>4432</v>
      </c>
      <c r="I641" t="s">
        <v>12758</v>
      </c>
      <c r="J641" t="s">
        <v>2066</v>
      </c>
      <c r="K641" t="s">
        <v>1880</v>
      </c>
      <c r="L641">
        <v>1231.68798828125</v>
      </c>
      <c r="M641" t="s">
        <v>6</v>
      </c>
      <c r="N641" t="s">
        <v>5</v>
      </c>
      <c r="O641" t="s">
        <v>5</v>
      </c>
      <c r="P641" t="s">
        <v>5</v>
      </c>
      <c r="Q641" t="s">
        <v>5</v>
      </c>
      <c r="R641" t="s">
        <v>4433</v>
      </c>
      <c r="S641" t="s">
        <v>2067</v>
      </c>
      <c r="T641" t="s">
        <v>5</v>
      </c>
      <c r="U641" t="s">
        <v>28</v>
      </c>
      <c r="V641">
        <v>250000</v>
      </c>
      <c r="W641">
        <v>25000</v>
      </c>
      <c r="X641" t="s">
        <v>6</v>
      </c>
      <c r="Y641"/>
      <c r="Z641">
        <v>25000</v>
      </c>
      <c r="AA641">
        <v>245.75030517578119</v>
      </c>
      <c r="AB641">
        <v>18.120109558105469</v>
      </c>
      <c r="AC641">
        <v>0.15924020111560819</v>
      </c>
      <c r="AD641">
        <v>142</v>
      </c>
      <c r="AE641">
        <v>53</v>
      </c>
      <c r="AF641">
        <v>82</v>
      </c>
      <c r="AG641">
        <v>33</v>
      </c>
      <c r="AH641">
        <v>105</v>
      </c>
      <c r="AI641">
        <v>105</v>
      </c>
      <c r="AJ641">
        <v>5</v>
      </c>
      <c r="AK641">
        <v>18</v>
      </c>
      <c r="AL641">
        <v>110</v>
      </c>
      <c r="AM641"/>
      <c r="AN641">
        <v>4592.9580078125</v>
      </c>
      <c r="AO641"/>
      <c r="AP641"/>
      <c r="AQ641"/>
      <c r="AR641"/>
      <c r="AS641"/>
      <c r="AT641"/>
      <c r="AU641"/>
      <c r="AV641"/>
      <c r="AW641"/>
      <c r="AX641"/>
      <c r="AY641"/>
      <c r="AZ641"/>
      <c r="BA641"/>
      <c r="BB641"/>
      <c r="BC641"/>
      <c r="BD641"/>
      <c r="BE641"/>
      <c r="BF641" t="s">
        <v>5</v>
      </c>
      <c r="BG641" t="s">
        <v>5</v>
      </c>
      <c r="BH641" t="s">
        <v>1777</v>
      </c>
      <c r="BI641"/>
      <c r="BJ641" t="s">
        <v>5</v>
      </c>
      <c r="BK641"/>
      <c r="BL641">
        <v>0</v>
      </c>
      <c r="BM641"/>
      <c r="BN641" t="s">
        <v>5</v>
      </c>
      <c r="BO641"/>
      <c r="BP641"/>
      <c r="BQ641"/>
      <c r="BR641"/>
      <c r="BS641" t="s">
        <v>5</v>
      </c>
      <c r="BT641"/>
      <c r="BU641"/>
      <c r="BV641"/>
      <c r="BW641" t="s">
        <v>1778</v>
      </c>
      <c r="BX641" t="s">
        <v>6</v>
      </c>
      <c r="BY641" t="s">
        <v>1101</v>
      </c>
      <c r="BZ641"/>
      <c r="CA641"/>
      <c r="CB641" t="s">
        <v>5</v>
      </c>
      <c r="CC641">
        <v>321925.15969218331</v>
      </c>
      <c r="CD641">
        <v>3190901378.0250139</v>
      </c>
      <c r="CE641" s="313" t="s">
        <v>11891</v>
      </c>
    </row>
    <row r="642" spans="1:83" ht="15" x14ac:dyDescent="0.25">
      <c r="A642" t="s">
        <v>2068</v>
      </c>
      <c r="B642" t="s">
        <v>2069</v>
      </c>
      <c r="C642" t="s">
        <v>2070</v>
      </c>
      <c r="D642">
        <v>3</v>
      </c>
      <c r="E642" t="s">
        <v>1771</v>
      </c>
      <c r="F642" t="s">
        <v>1575</v>
      </c>
      <c r="G642" t="s">
        <v>2071</v>
      </c>
      <c r="H642" t="s">
        <v>4434</v>
      </c>
      <c r="I642" t="s">
        <v>12758</v>
      </c>
      <c r="J642" t="s">
        <v>2072</v>
      </c>
      <c r="K642" t="s">
        <v>1868</v>
      </c>
      <c r="L642">
        <v>879.3040771484375</v>
      </c>
      <c r="M642" t="s">
        <v>6</v>
      </c>
      <c r="N642" t="s">
        <v>5</v>
      </c>
      <c r="O642" t="s">
        <v>5</v>
      </c>
      <c r="P642" t="s">
        <v>5</v>
      </c>
      <c r="Q642" t="s">
        <v>5</v>
      </c>
      <c r="R642" t="s">
        <v>4435</v>
      </c>
      <c r="S642" t="s">
        <v>2073</v>
      </c>
      <c r="T642" t="s">
        <v>5</v>
      </c>
      <c r="U642" t="s">
        <v>28</v>
      </c>
      <c r="V642">
        <v>250000</v>
      </c>
      <c r="W642">
        <v>25000</v>
      </c>
      <c r="X642" t="s">
        <v>6</v>
      </c>
      <c r="Y642"/>
      <c r="Z642">
        <v>25000</v>
      </c>
      <c r="AA642">
        <v>6.2918200492858887</v>
      </c>
      <c r="AB642">
        <v>0.1781201958656311</v>
      </c>
      <c r="AC642">
        <v>6.583280086517334</v>
      </c>
      <c r="AD642">
        <v>27</v>
      </c>
      <c r="AE642">
        <v>0</v>
      </c>
      <c r="AF642">
        <v>16</v>
      </c>
      <c r="AG642">
        <v>1</v>
      </c>
      <c r="AH642">
        <v>7</v>
      </c>
      <c r="AI642">
        <v>7</v>
      </c>
      <c r="AJ642">
        <v>0</v>
      </c>
      <c r="AK642">
        <v>0</v>
      </c>
      <c r="AL642">
        <v>4</v>
      </c>
      <c r="AM642"/>
      <c r="AN642">
        <v>2159.169921875</v>
      </c>
      <c r="AO642"/>
      <c r="AP642"/>
      <c r="AQ642"/>
      <c r="AR642"/>
      <c r="AS642"/>
      <c r="AT642"/>
      <c r="AU642"/>
      <c r="AV642"/>
      <c r="AW642"/>
      <c r="AX642"/>
      <c r="AY642"/>
      <c r="AZ642"/>
      <c r="BA642"/>
      <c r="BB642"/>
      <c r="BC642"/>
      <c r="BD642"/>
      <c r="BE642"/>
      <c r="BF642" t="s">
        <v>5</v>
      </c>
      <c r="BG642" t="s">
        <v>5</v>
      </c>
      <c r="BH642" t="s">
        <v>1777</v>
      </c>
      <c r="BI642"/>
      <c r="BJ642" t="s">
        <v>5</v>
      </c>
      <c r="BK642"/>
      <c r="BL642">
        <v>0</v>
      </c>
      <c r="BM642"/>
      <c r="BN642" t="s">
        <v>5</v>
      </c>
      <c r="BO642"/>
      <c r="BP642"/>
      <c r="BQ642"/>
      <c r="BR642"/>
      <c r="BS642" t="s">
        <v>5</v>
      </c>
      <c r="BT642"/>
      <c r="BU642"/>
      <c r="BV642"/>
      <c r="BW642" t="s">
        <v>1778</v>
      </c>
      <c r="BX642" t="s">
        <v>6</v>
      </c>
      <c r="BY642" t="s">
        <v>1101</v>
      </c>
      <c r="BZ642"/>
      <c r="CA642"/>
      <c r="CB642" t="s">
        <v>5</v>
      </c>
      <c r="CC642">
        <v>209742.63773554651</v>
      </c>
      <c r="CD642">
        <v>2277989992.5932708</v>
      </c>
      <c r="CE642" s="313" t="s">
        <v>11891</v>
      </c>
    </row>
    <row r="643" spans="1:83" ht="15" x14ac:dyDescent="0.25">
      <c r="A643" t="s">
        <v>2074</v>
      </c>
      <c r="B643" t="s">
        <v>2075</v>
      </c>
      <c r="C643" t="s">
        <v>2076</v>
      </c>
      <c r="D643">
        <v>3</v>
      </c>
      <c r="E643" t="s">
        <v>1771</v>
      </c>
      <c r="F643" t="s">
        <v>2077</v>
      </c>
      <c r="G643" t="s">
        <v>2078</v>
      </c>
      <c r="H643" t="s">
        <v>4436</v>
      </c>
      <c r="I643" t="s">
        <v>12758</v>
      </c>
      <c r="J643" t="s">
        <v>2079</v>
      </c>
      <c r="K643" t="s">
        <v>1880</v>
      </c>
      <c r="L643">
        <v>1076.201049804688</v>
      </c>
      <c r="M643" t="s">
        <v>6</v>
      </c>
      <c r="N643" t="s">
        <v>5</v>
      </c>
      <c r="O643" t="s">
        <v>5</v>
      </c>
      <c r="P643" t="s">
        <v>5</v>
      </c>
      <c r="Q643" t="s">
        <v>5</v>
      </c>
      <c r="R643" t="s">
        <v>4437</v>
      </c>
      <c r="S643" t="s">
        <v>2080</v>
      </c>
      <c r="T643" t="s">
        <v>5</v>
      </c>
      <c r="U643" t="s">
        <v>28</v>
      </c>
      <c r="V643">
        <v>250000</v>
      </c>
      <c r="W643">
        <v>25000</v>
      </c>
      <c r="X643" t="s">
        <v>6</v>
      </c>
      <c r="Y643"/>
      <c r="Z643">
        <v>25000</v>
      </c>
      <c r="AA643">
        <v>239.23539733886719</v>
      </c>
      <c r="AB643">
        <v>18.939199447631839</v>
      </c>
      <c r="AC643">
        <v>2.9296539723873138E-3</v>
      </c>
      <c r="AD643">
        <v>77</v>
      </c>
      <c r="AE643">
        <v>21</v>
      </c>
      <c r="AF643">
        <v>69</v>
      </c>
      <c r="AG643">
        <v>15</v>
      </c>
      <c r="AH643">
        <v>50</v>
      </c>
      <c r="AI643">
        <v>50</v>
      </c>
      <c r="AJ643">
        <v>6</v>
      </c>
      <c r="AK643">
        <v>5</v>
      </c>
      <c r="AL643">
        <v>100</v>
      </c>
      <c r="AM643"/>
      <c r="AN643">
        <v>5218.7099609375</v>
      </c>
      <c r="AO643"/>
      <c r="AP643"/>
      <c r="AQ643"/>
      <c r="AR643"/>
      <c r="AS643"/>
      <c r="AT643"/>
      <c r="AU643"/>
      <c r="AV643"/>
      <c r="AW643"/>
      <c r="AX643"/>
      <c r="AY643"/>
      <c r="AZ643"/>
      <c r="BA643"/>
      <c r="BB643"/>
      <c r="BC643"/>
      <c r="BD643"/>
      <c r="BE643"/>
      <c r="BF643" t="s">
        <v>5</v>
      </c>
      <c r="BG643" t="s">
        <v>5</v>
      </c>
      <c r="BH643" t="s">
        <v>1777</v>
      </c>
      <c r="BI643"/>
      <c r="BJ643" t="s">
        <v>5</v>
      </c>
      <c r="BK643"/>
      <c r="BL643">
        <v>0</v>
      </c>
      <c r="BM643"/>
      <c r="BN643" t="s">
        <v>5</v>
      </c>
      <c r="BO643"/>
      <c r="BP643"/>
      <c r="BQ643"/>
      <c r="BR643"/>
      <c r="BS643" t="s">
        <v>5</v>
      </c>
      <c r="BT643"/>
      <c r="BU643"/>
      <c r="BV643"/>
      <c r="BW643" t="s">
        <v>1778</v>
      </c>
      <c r="BX643" t="s">
        <v>6</v>
      </c>
      <c r="BY643" t="s">
        <v>1101</v>
      </c>
      <c r="BZ643"/>
      <c r="CA643"/>
      <c r="CB643" t="s">
        <v>5</v>
      </c>
      <c r="CC643">
        <v>295885.53370675188</v>
      </c>
      <c r="CD643">
        <v>2788085189.4976149</v>
      </c>
      <c r="CE643" s="313" t="s">
        <v>11891</v>
      </c>
    </row>
    <row r="644" spans="1:83" ht="15" x14ac:dyDescent="0.25">
      <c r="A644" t="s">
        <v>2081</v>
      </c>
      <c r="B644" t="s">
        <v>2082</v>
      </c>
      <c r="C644" t="s">
        <v>2083</v>
      </c>
      <c r="D644">
        <v>3</v>
      </c>
      <c r="E644" t="s">
        <v>1771</v>
      </c>
      <c r="F644" t="s">
        <v>2084</v>
      </c>
      <c r="G644" t="s">
        <v>2085</v>
      </c>
      <c r="H644" t="s">
        <v>4438</v>
      </c>
      <c r="I644" t="s">
        <v>12759</v>
      </c>
      <c r="J644" t="s">
        <v>2086</v>
      </c>
      <c r="K644" t="s">
        <v>1868</v>
      </c>
      <c r="L644">
        <v>10.488320350646971</v>
      </c>
      <c r="M644" t="s">
        <v>6</v>
      </c>
      <c r="N644" t="s">
        <v>5</v>
      </c>
      <c r="O644" t="s">
        <v>5</v>
      </c>
      <c r="P644" t="s">
        <v>5</v>
      </c>
      <c r="Q644" t="s">
        <v>5</v>
      </c>
      <c r="R644" t="s">
        <v>4439</v>
      </c>
      <c r="S644" t="s">
        <v>2087</v>
      </c>
      <c r="T644" t="s">
        <v>5</v>
      </c>
      <c r="U644" t="s">
        <v>28</v>
      </c>
      <c r="V644">
        <v>250000</v>
      </c>
      <c r="W644">
        <v>25000</v>
      </c>
      <c r="X644" t="s">
        <v>6</v>
      </c>
      <c r="Y644"/>
      <c r="Z644">
        <v>25000</v>
      </c>
      <c r="AA644">
        <v>1.174903035163879</v>
      </c>
      <c r="AB644">
        <v>0.21706460416316989</v>
      </c>
      <c r="AC644">
        <v>1.8475610762834549E-2</v>
      </c>
      <c r="AD644">
        <v>39</v>
      </c>
      <c r="AE644">
        <v>24</v>
      </c>
      <c r="AF644">
        <v>31</v>
      </c>
      <c r="AG644">
        <v>55</v>
      </c>
      <c r="AH644">
        <v>62</v>
      </c>
      <c r="AI644">
        <v>62</v>
      </c>
      <c r="AJ644">
        <v>1</v>
      </c>
      <c r="AK644">
        <v>4</v>
      </c>
      <c r="AL644">
        <v>2</v>
      </c>
      <c r="AM644"/>
      <c r="AN644">
        <v>527.8651123046875</v>
      </c>
      <c r="AO644"/>
      <c r="AP644"/>
      <c r="AQ644"/>
      <c r="AR644"/>
      <c r="AS644"/>
      <c r="AT644"/>
      <c r="AU644"/>
      <c r="AV644"/>
      <c r="AW644"/>
      <c r="AX644"/>
      <c r="AY644"/>
      <c r="AZ644"/>
      <c r="BA644"/>
      <c r="BB644"/>
      <c r="BC644"/>
      <c r="BD644"/>
      <c r="BE644"/>
      <c r="BF644" t="s">
        <v>5</v>
      </c>
      <c r="BG644" t="s">
        <v>5</v>
      </c>
      <c r="BH644" t="s">
        <v>1777</v>
      </c>
      <c r="BI644"/>
      <c r="BJ644" t="s">
        <v>5</v>
      </c>
      <c r="BK644"/>
      <c r="BL644">
        <v>0</v>
      </c>
      <c r="BM644"/>
      <c r="BN644" t="s">
        <v>5</v>
      </c>
      <c r="BO644"/>
      <c r="BP644"/>
      <c r="BQ644"/>
      <c r="BR644"/>
      <c r="BS644" t="s">
        <v>5</v>
      </c>
      <c r="BT644"/>
      <c r="BU644"/>
      <c r="BV644"/>
      <c r="BW644" t="s">
        <v>1778</v>
      </c>
      <c r="BX644" t="s">
        <v>6</v>
      </c>
      <c r="BY644" t="s">
        <v>1101</v>
      </c>
      <c r="BZ644"/>
      <c r="CA644"/>
      <c r="CB644" t="s">
        <v>5</v>
      </c>
      <c r="CC644">
        <v>26538.47548156809</v>
      </c>
      <c r="CD644">
        <v>27171813.109911561</v>
      </c>
      <c r="CE644" s="313" t="s">
        <v>11891</v>
      </c>
    </row>
    <row r="645" spans="1:83" ht="15" x14ac:dyDescent="0.25">
      <c r="A645" t="s">
        <v>2088</v>
      </c>
      <c r="B645" t="s">
        <v>2089</v>
      </c>
      <c r="C645" t="s">
        <v>2090</v>
      </c>
      <c r="D645">
        <v>3</v>
      </c>
      <c r="E645" t="s">
        <v>1771</v>
      </c>
      <c r="F645" t="s">
        <v>2091</v>
      </c>
      <c r="G645" t="s">
        <v>1859</v>
      </c>
      <c r="H645" t="s">
        <v>4440</v>
      </c>
      <c r="I645" t="s">
        <v>12760</v>
      </c>
      <c r="J645" t="s">
        <v>2092</v>
      </c>
      <c r="K645" t="s">
        <v>2093</v>
      </c>
      <c r="L645">
        <v>80.957382202148438</v>
      </c>
      <c r="M645" t="s">
        <v>6</v>
      </c>
      <c r="N645" t="s">
        <v>5</v>
      </c>
      <c r="O645" t="s">
        <v>5</v>
      </c>
      <c r="P645" t="s">
        <v>5</v>
      </c>
      <c r="Q645" t="s">
        <v>5</v>
      </c>
      <c r="R645" t="s">
        <v>4441</v>
      </c>
      <c r="S645" t="s">
        <v>2094</v>
      </c>
      <c r="T645" t="s">
        <v>5</v>
      </c>
      <c r="U645" t="s">
        <v>28</v>
      </c>
      <c r="V645">
        <v>250000</v>
      </c>
      <c r="W645">
        <v>25000</v>
      </c>
      <c r="X645" t="s">
        <v>6</v>
      </c>
      <c r="Y645"/>
      <c r="Z645">
        <v>25000</v>
      </c>
      <c r="AA645">
        <v>26.690769195556641</v>
      </c>
      <c r="AB645">
        <v>3.299307107925415</v>
      </c>
      <c r="AC645">
        <v>2.3305830955505371</v>
      </c>
      <c r="AD645">
        <v>442</v>
      </c>
      <c r="AE645">
        <v>771</v>
      </c>
      <c r="AF645">
        <v>338</v>
      </c>
      <c r="AG645">
        <v>2010</v>
      </c>
      <c r="AH645">
        <v>1922</v>
      </c>
      <c r="AI645">
        <v>2010</v>
      </c>
      <c r="AJ645">
        <v>8</v>
      </c>
      <c r="AK645">
        <v>19</v>
      </c>
      <c r="AL645">
        <v>40</v>
      </c>
      <c r="AM645"/>
      <c r="AN645">
        <v>1927.255004882812</v>
      </c>
      <c r="AO645"/>
      <c r="AP645"/>
      <c r="AQ645"/>
      <c r="AR645"/>
      <c r="AS645"/>
      <c r="AT645"/>
      <c r="AU645"/>
      <c r="AV645"/>
      <c r="AW645"/>
      <c r="AX645"/>
      <c r="AY645"/>
      <c r="AZ645"/>
      <c r="BA645"/>
      <c r="BB645"/>
      <c r="BC645"/>
      <c r="BD645"/>
      <c r="BE645"/>
      <c r="BF645" t="s">
        <v>5</v>
      </c>
      <c r="BG645" t="s">
        <v>5</v>
      </c>
      <c r="BH645" t="s">
        <v>1777</v>
      </c>
      <c r="BI645"/>
      <c r="BJ645" t="s">
        <v>5</v>
      </c>
      <c r="BK645"/>
      <c r="BL645">
        <v>0</v>
      </c>
      <c r="BM645"/>
      <c r="BN645" t="s">
        <v>5</v>
      </c>
      <c r="BO645"/>
      <c r="BP645"/>
      <c r="BQ645"/>
      <c r="BR645"/>
      <c r="BS645" t="s">
        <v>5</v>
      </c>
      <c r="BT645"/>
      <c r="BU645"/>
      <c r="BV645"/>
      <c r="BW645" t="s">
        <v>1778</v>
      </c>
      <c r="BX645" t="s">
        <v>6</v>
      </c>
      <c r="BY645" t="s">
        <v>1101</v>
      </c>
      <c r="BZ645"/>
      <c r="CA645"/>
      <c r="CB645" t="s">
        <v>5</v>
      </c>
      <c r="CC645">
        <v>166942.6582943291</v>
      </c>
      <c r="CD645">
        <v>209734159.66579109</v>
      </c>
      <c r="CE645" s="313" t="s">
        <v>11891</v>
      </c>
    </row>
    <row r="646" spans="1:83" ht="15" x14ac:dyDescent="0.25">
      <c r="A646" t="s">
        <v>2095</v>
      </c>
      <c r="B646" t="s">
        <v>2096</v>
      </c>
      <c r="C646" t="s">
        <v>4442</v>
      </c>
      <c r="D646">
        <v>3</v>
      </c>
      <c r="E646" t="s">
        <v>1771</v>
      </c>
      <c r="F646" t="s">
        <v>2091</v>
      </c>
      <c r="G646" t="s">
        <v>1859</v>
      </c>
      <c r="H646" t="s">
        <v>4440</v>
      </c>
      <c r="I646" t="s">
        <v>12760</v>
      </c>
      <c r="J646" t="s">
        <v>2092</v>
      </c>
      <c r="K646" t="s">
        <v>1880</v>
      </c>
      <c r="L646">
        <v>80.957382202148438</v>
      </c>
      <c r="M646" t="s">
        <v>6</v>
      </c>
      <c r="N646" t="s">
        <v>5</v>
      </c>
      <c r="O646" t="s">
        <v>5</v>
      </c>
      <c r="P646" t="s">
        <v>5</v>
      </c>
      <c r="Q646" t="s">
        <v>5</v>
      </c>
      <c r="R646" t="s">
        <v>4441</v>
      </c>
      <c r="S646" t="s">
        <v>2094</v>
      </c>
      <c r="T646" t="s">
        <v>5</v>
      </c>
      <c r="U646" t="s">
        <v>28</v>
      </c>
      <c r="V646">
        <v>250000</v>
      </c>
      <c r="W646">
        <v>25000</v>
      </c>
      <c r="X646" t="s">
        <v>6</v>
      </c>
      <c r="Y646"/>
      <c r="Z646">
        <v>25000</v>
      </c>
      <c r="AA646">
        <v>26.690769195556641</v>
      </c>
      <c r="AB646">
        <v>3.299307107925415</v>
      </c>
      <c r="AC646">
        <v>2.3305830955505371</v>
      </c>
      <c r="AD646">
        <v>442</v>
      </c>
      <c r="AE646">
        <v>771</v>
      </c>
      <c r="AF646">
        <v>338</v>
      </c>
      <c r="AG646">
        <v>2010</v>
      </c>
      <c r="AH646">
        <v>1922</v>
      </c>
      <c r="AI646">
        <v>2010</v>
      </c>
      <c r="AJ646">
        <v>8</v>
      </c>
      <c r="AK646">
        <v>19</v>
      </c>
      <c r="AL646">
        <v>40</v>
      </c>
      <c r="AM646"/>
      <c r="AN646">
        <v>1927.255004882812</v>
      </c>
      <c r="AO646"/>
      <c r="AP646"/>
      <c r="AQ646"/>
      <c r="AR646"/>
      <c r="AS646"/>
      <c r="AT646"/>
      <c r="AU646"/>
      <c r="AV646"/>
      <c r="AW646"/>
      <c r="AX646"/>
      <c r="AY646"/>
      <c r="AZ646"/>
      <c r="BA646"/>
      <c r="BB646"/>
      <c r="BC646"/>
      <c r="BD646"/>
      <c r="BE646"/>
      <c r="BF646" t="s">
        <v>5</v>
      </c>
      <c r="BG646" t="s">
        <v>5</v>
      </c>
      <c r="BH646" t="s">
        <v>1777</v>
      </c>
      <c r="BI646"/>
      <c r="BJ646" t="s">
        <v>5</v>
      </c>
      <c r="BK646"/>
      <c r="BL646">
        <v>0</v>
      </c>
      <c r="BM646"/>
      <c r="BN646" t="s">
        <v>5</v>
      </c>
      <c r="BO646"/>
      <c r="BP646"/>
      <c r="BQ646"/>
      <c r="BR646"/>
      <c r="BS646" t="s">
        <v>5</v>
      </c>
      <c r="BT646"/>
      <c r="BU646"/>
      <c r="BV646"/>
      <c r="BW646" t="s">
        <v>1778</v>
      </c>
      <c r="BX646" t="s">
        <v>6</v>
      </c>
      <c r="BY646" t="s">
        <v>1101</v>
      </c>
      <c r="BZ646"/>
      <c r="CA646"/>
      <c r="CB646" t="s">
        <v>5</v>
      </c>
      <c r="CC646">
        <v>166942.6582943291</v>
      </c>
      <c r="CD646">
        <v>209734159.66579109</v>
      </c>
      <c r="CE646" s="313" t="s">
        <v>11891</v>
      </c>
    </row>
    <row r="647" spans="1:83" ht="15" x14ac:dyDescent="0.25">
      <c r="A647" t="s">
        <v>2097</v>
      </c>
      <c r="B647" t="s">
        <v>2098</v>
      </c>
      <c r="C647" t="s">
        <v>2099</v>
      </c>
      <c r="D647">
        <v>3</v>
      </c>
      <c r="E647" t="s">
        <v>1771</v>
      </c>
      <c r="F647" t="s">
        <v>2084</v>
      </c>
      <c r="G647" t="s">
        <v>1859</v>
      </c>
      <c r="H647" t="s">
        <v>4387</v>
      </c>
      <c r="I647" t="s">
        <v>12745</v>
      </c>
      <c r="J647" t="s">
        <v>1873</v>
      </c>
      <c r="K647" t="s">
        <v>1880</v>
      </c>
      <c r="L647">
        <v>36.494209289550781</v>
      </c>
      <c r="M647" t="s">
        <v>6</v>
      </c>
      <c r="N647" t="s">
        <v>5</v>
      </c>
      <c r="O647" t="s">
        <v>5</v>
      </c>
      <c r="P647" t="s">
        <v>5</v>
      </c>
      <c r="Q647" t="s">
        <v>5</v>
      </c>
      <c r="R647" t="s">
        <v>4388</v>
      </c>
      <c r="S647" t="s">
        <v>1874</v>
      </c>
      <c r="T647" t="s">
        <v>5</v>
      </c>
      <c r="U647" t="s">
        <v>28</v>
      </c>
      <c r="V647">
        <v>250000</v>
      </c>
      <c r="W647">
        <v>25000</v>
      </c>
      <c r="X647" t="s">
        <v>6</v>
      </c>
      <c r="Y647"/>
      <c r="Z647">
        <v>25000</v>
      </c>
      <c r="AA647">
        <v>4.616908073425293</v>
      </c>
      <c r="AB647">
        <v>1.384711027145386</v>
      </c>
      <c r="AC647">
        <v>0.56233572959899902</v>
      </c>
      <c r="AD647">
        <v>422</v>
      </c>
      <c r="AE647">
        <v>469</v>
      </c>
      <c r="AF647">
        <v>385</v>
      </c>
      <c r="AG647">
        <v>1320</v>
      </c>
      <c r="AH647">
        <v>1562</v>
      </c>
      <c r="AI647">
        <v>1562</v>
      </c>
      <c r="AJ647">
        <v>4</v>
      </c>
      <c r="AK647">
        <v>12</v>
      </c>
      <c r="AL647">
        <v>30</v>
      </c>
      <c r="AM647"/>
      <c r="AN647">
        <v>778.51727294921875</v>
      </c>
      <c r="AO647"/>
      <c r="AP647"/>
      <c r="AQ647"/>
      <c r="AR647"/>
      <c r="AS647"/>
      <c r="AT647"/>
      <c r="AU647"/>
      <c r="AV647"/>
      <c r="AW647"/>
      <c r="AX647"/>
      <c r="AY647"/>
      <c r="AZ647"/>
      <c r="BA647"/>
      <c r="BB647"/>
      <c r="BC647"/>
      <c r="BD647"/>
      <c r="BE647"/>
      <c r="BF647" t="s">
        <v>5</v>
      </c>
      <c r="BG647" t="s">
        <v>5</v>
      </c>
      <c r="BH647" t="s">
        <v>1777</v>
      </c>
      <c r="BI647"/>
      <c r="BJ647" t="s">
        <v>5</v>
      </c>
      <c r="BK647"/>
      <c r="BL647">
        <v>0</v>
      </c>
      <c r="BM647"/>
      <c r="BN647" t="s">
        <v>5</v>
      </c>
      <c r="BO647"/>
      <c r="BP647"/>
      <c r="BQ647"/>
      <c r="BR647"/>
      <c r="BS647" t="s">
        <v>5</v>
      </c>
      <c r="BT647"/>
      <c r="BU647"/>
      <c r="BV647"/>
      <c r="BW647" t="s">
        <v>1778</v>
      </c>
      <c r="BX647" t="s">
        <v>6</v>
      </c>
      <c r="BY647" t="s">
        <v>1101</v>
      </c>
      <c r="BZ647"/>
      <c r="CA647"/>
      <c r="CB647" t="s">
        <v>5</v>
      </c>
      <c r="CC647">
        <v>58153.179375275053</v>
      </c>
      <c r="CD647">
        <v>94544593.990956187</v>
      </c>
      <c r="CE647" s="313" t="s">
        <v>11891</v>
      </c>
    </row>
    <row r="648" spans="1:83" ht="15" x14ac:dyDescent="0.25">
      <c r="A648" t="s">
        <v>2100</v>
      </c>
      <c r="B648" t="s">
        <v>1702</v>
      </c>
      <c r="C648" t="s">
        <v>2101</v>
      </c>
      <c r="D648">
        <v>3</v>
      </c>
      <c r="E648" t="s">
        <v>1771</v>
      </c>
      <c r="F648" t="s">
        <v>1528</v>
      </c>
      <c r="G648" t="s">
        <v>2102</v>
      </c>
      <c r="H648" t="s">
        <v>4443</v>
      </c>
      <c r="I648" t="s">
        <v>12745</v>
      </c>
      <c r="J648" t="s">
        <v>2103</v>
      </c>
      <c r="K648" t="s">
        <v>1880</v>
      </c>
      <c r="L648">
        <v>976.48260498046875</v>
      </c>
      <c r="M648" t="s">
        <v>6</v>
      </c>
      <c r="N648" t="s">
        <v>5</v>
      </c>
      <c r="O648" t="s">
        <v>5</v>
      </c>
      <c r="P648" t="s">
        <v>5</v>
      </c>
      <c r="Q648" t="s">
        <v>5</v>
      </c>
      <c r="R648" t="s">
        <v>1624</v>
      </c>
      <c r="S648" t="s">
        <v>1625</v>
      </c>
      <c r="T648" t="s">
        <v>5</v>
      </c>
      <c r="U648" t="s">
        <v>28</v>
      </c>
      <c r="V648">
        <v>250000</v>
      </c>
      <c r="W648">
        <v>25000</v>
      </c>
      <c r="X648" t="s">
        <v>6</v>
      </c>
      <c r="Y648"/>
      <c r="Z648">
        <v>25000</v>
      </c>
      <c r="AA648">
        <v>68.025527954101563</v>
      </c>
      <c r="AB648">
        <v>7.2295022010803223</v>
      </c>
      <c r="AC648">
        <v>7.1393699645996094</v>
      </c>
      <c r="AD648">
        <v>436</v>
      </c>
      <c r="AE648">
        <v>219</v>
      </c>
      <c r="AF648">
        <v>376</v>
      </c>
      <c r="AG648">
        <v>160</v>
      </c>
      <c r="AH648">
        <v>514</v>
      </c>
      <c r="AI648">
        <v>514</v>
      </c>
      <c r="AJ648">
        <v>5</v>
      </c>
      <c r="AK648">
        <v>1</v>
      </c>
      <c r="AL648">
        <v>43</v>
      </c>
      <c r="AM648"/>
      <c r="AN648">
        <v>21311.439453125</v>
      </c>
      <c r="AO648"/>
      <c r="AP648"/>
      <c r="AQ648"/>
      <c r="AR648"/>
      <c r="AS648"/>
      <c r="AT648"/>
      <c r="AU648"/>
      <c r="AV648"/>
      <c r="AW648"/>
      <c r="AX648"/>
      <c r="AY648"/>
      <c r="AZ648"/>
      <c r="BA648"/>
      <c r="BB648"/>
      <c r="BC648"/>
      <c r="BD648"/>
      <c r="BE648"/>
      <c r="BF648" t="s">
        <v>5</v>
      </c>
      <c r="BG648" t="s">
        <v>5</v>
      </c>
      <c r="BH648" t="s">
        <v>1777</v>
      </c>
      <c r="BI648"/>
      <c r="BJ648" t="s">
        <v>5</v>
      </c>
      <c r="BK648"/>
      <c r="BL648">
        <v>0</v>
      </c>
      <c r="BM648"/>
      <c r="BN648" t="s">
        <v>5</v>
      </c>
      <c r="BO648"/>
      <c r="BP648"/>
      <c r="BQ648"/>
      <c r="BR648"/>
      <c r="BS648" t="s">
        <v>5</v>
      </c>
      <c r="BT648"/>
      <c r="BU648"/>
      <c r="BV648"/>
      <c r="BW648" t="s">
        <v>1778</v>
      </c>
      <c r="BX648" t="s">
        <v>6</v>
      </c>
      <c r="BY648" t="s">
        <v>1101</v>
      </c>
      <c r="BZ648"/>
      <c r="CA648"/>
      <c r="CB648" t="s">
        <v>5</v>
      </c>
      <c r="CC648">
        <v>242165.81306584779</v>
      </c>
      <c r="CD648">
        <v>2529747737.1860971</v>
      </c>
      <c r="CE648" s="313" t="s">
        <v>11891</v>
      </c>
    </row>
    <row r="649" spans="1:83" ht="15" x14ac:dyDescent="0.25">
      <c r="A649" s="337" t="s">
        <v>2468</v>
      </c>
      <c r="B649" s="337" t="s">
        <v>2469</v>
      </c>
      <c r="C649" s="337" t="s">
        <v>2470</v>
      </c>
      <c r="D649" s="337">
        <v>3</v>
      </c>
      <c r="E649" s="337" t="s">
        <v>1771</v>
      </c>
      <c r="F649" s="337" t="s">
        <v>2057</v>
      </c>
      <c r="G649" s="337" t="s">
        <v>2058</v>
      </c>
      <c r="H649" s="337" t="s">
        <v>4430</v>
      </c>
      <c r="I649" s="337" t="s">
        <v>12758</v>
      </c>
      <c r="J649" s="337" t="s">
        <v>2059</v>
      </c>
      <c r="K649" s="337" t="s">
        <v>1880</v>
      </c>
      <c r="L649" s="337">
        <v>2.2013459205627441</v>
      </c>
      <c r="M649" s="337" t="s">
        <v>6</v>
      </c>
      <c r="N649" s="337" t="s">
        <v>5</v>
      </c>
      <c r="O649" s="337" t="s">
        <v>5</v>
      </c>
      <c r="P649" s="337" t="s">
        <v>5</v>
      </c>
      <c r="Q649" s="337" t="s">
        <v>5</v>
      </c>
      <c r="R649" s="337" t="s">
        <v>4431</v>
      </c>
      <c r="S649" s="337" t="s">
        <v>2060</v>
      </c>
      <c r="T649" s="337" t="s">
        <v>5</v>
      </c>
      <c r="U649" s="337" t="s">
        <v>28</v>
      </c>
      <c r="V649" s="337">
        <v>250000</v>
      </c>
      <c r="W649" s="337">
        <v>25000</v>
      </c>
      <c r="X649" s="337" t="s">
        <v>6</v>
      </c>
      <c r="Y649" s="337"/>
      <c r="Z649" s="337">
        <v>25000</v>
      </c>
      <c r="AA649" s="337">
        <v>0.35543709993362432</v>
      </c>
      <c r="AB649" s="337">
        <v>4.6593461185693741E-2</v>
      </c>
      <c r="AC649" s="337">
        <v>1.8146950751543049E-2</v>
      </c>
      <c r="AD649" s="337">
        <v>36</v>
      </c>
      <c r="AE649" s="337">
        <v>10</v>
      </c>
      <c r="AF649" s="337">
        <v>24</v>
      </c>
      <c r="AG649" s="337">
        <v>10</v>
      </c>
      <c r="AH649" s="337">
        <v>37</v>
      </c>
      <c r="AI649" s="337">
        <v>37</v>
      </c>
      <c r="AJ649" s="337">
        <v>0</v>
      </c>
      <c r="AK649" s="337">
        <v>0</v>
      </c>
      <c r="AL649" s="337">
        <v>2</v>
      </c>
      <c r="AM649" s="337"/>
      <c r="AN649" s="337">
        <v>135.67970275878909</v>
      </c>
      <c r="AO649" s="337"/>
      <c r="AP649" s="337"/>
      <c r="AQ649" s="337"/>
      <c r="AR649" s="337"/>
      <c r="AS649" s="337"/>
      <c r="AT649" s="337"/>
      <c r="AU649" s="337"/>
      <c r="AV649" s="337"/>
      <c r="AW649" s="337"/>
      <c r="AX649" s="337"/>
      <c r="AY649" s="337"/>
      <c r="AZ649" s="337"/>
      <c r="BA649" s="337"/>
      <c r="BB649" s="337"/>
      <c r="BC649" s="337"/>
      <c r="BD649" s="337"/>
      <c r="BE649" s="337"/>
      <c r="BF649" s="337" t="s">
        <v>5</v>
      </c>
      <c r="BG649" s="337" t="s">
        <v>5</v>
      </c>
      <c r="BH649" s="337" t="s">
        <v>1777</v>
      </c>
      <c r="BI649" s="337"/>
      <c r="BJ649" s="337" t="s">
        <v>5</v>
      </c>
      <c r="BK649" s="337"/>
      <c r="BL649" s="337">
        <v>0</v>
      </c>
      <c r="BM649" s="337"/>
      <c r="BN649" s="337" t="s">
        <v>5</v>
      </c>
      <c r="BO649" s="337"/>
      <c r="BP649" s="337"/>
      <c r="BQ649" s="337"/>
      <c r="BR649" s="337"/>
      <c r="BS649" s="337" t="s">
        <v>5</v>
      </c>
      <c r="BT649" s="337"/>
      <c r="BU649" s="337"/>
      <c r="BV649" s="337"/>
      <c r="BW649" s="337" t="s">
        <v>1778</v>
      </c>
      <c r="BX649" s="337" t="s">
        <v>6</v>
      </c>
      <c r="BY649" s="337" t="s">
        <v>1101</v>
      </c>
      <c r="BZ649" s="337"/>
      <c r="CB649" s="337" t="s">
        <v>5</v>
      </c>
      <c r="CC649" s="337">
        <v>47629.133829633291</v>
      </c>
      <c r="CD649" s="337">
        <v>5702967.9738116581</v>
      </c>
      <c r="CE649" s="313" t="s">
        <v>11891</v>
      </c>
    </row>
    <row r="650" spans="1:83" ht="45" x14ac:dyDescent="0.25">
      <c r="A650" t="s">
        <v>4084</v>
      </c>
      <c r="B650" t="s">
        <v>4085</v>
      </c>
      <c r="C650" t="s">
        <v>4086</v>
      </c>
      <c r="D650">
        <v>15</v>
      </c>
      <c r="E650" t="s">
        <v>3847</v>
      </c>
      <c r="F650" t="s">
        <v>4087</v>
      </c>
      <c r="G650" t="s">
        <v>3849</v>
      </c>
      <c r="H650" t="s">
        <v>4088</v>
      </c>
      <c r="I650" t="s">
        <v>4089</v>
      </c>
      <c r="J650"/>
      <c r="K650" t="s">
        <v>4090</v>
      </c>
      <c r="L650">
        <v>8.9481338858604431E-2</v>
      </c>
      <c r="M650" t="s">
        <v>6</v>
      </c>
      <c r="N650" t="s">
        <v>5</v>
      </c>
      <c r="O650" t="s">
        <v>5</v>
      </c>
      <c r="P650" t="s">
        <v>5</v>
      </c>
      <c r="Q650" t="s">
        <v>5</v>
      </c>
      <c r="R650" t="s">
        <v>4091</v>
      </c>
      <c r="S650" t="s">
        <v>4092</v>
      </c>
      <c r="T650" t="s">
        <v>6</v>
      </c>
      <c r="U650" t="s">
        <v>4</v>
      </c>
      <c r="V650">
        <v>500000</v>
      </c>
      <c r="W650">
        <v>25000</v>
      </c>
      <c r="X650" t="s">
        <v>6</v>
      </c>
      <c r="Y650"/>
      <c r="Z650">
        <v>0</v>
      </c>
      <c r="AA650">
        <v>2.0310524851083759E-2</v>
      </c>
      <c r="AB650">
        <v>2.469748072326183E-2</v>
      </c>
      <c r="AC650">
        <v>0</v>
      </c>
      <c r="AD650">
        <v>5</v>
      </c>
      <c r="AE650">
        <v>3</v>
      </c>
      <c r="AF650">
        <v>0</v>
      </c>
      <c r="AG650">
        <v>0</v>
      </c>
      <c r="AH650">
        <v>0</v>
      </c>
      <c r="AI650">
        <v>0</v>
      </c>
      <c r="AJ650">
        <v>0</v>
      </c>
      <c r="AK650">
        <v>0</v>
      </c>
      <c r="AL650">
        <v>0</v>
      </c>
      <c r="AM650">
        <v>0</v>
      </c>
      <c r="AN650">
        <v>12.719705581665041</v>
      </c>
      <c r="AO650">
        <v>0</v>
      </c>
      <c r="AP650">
        <v>0</v>
      </c>
      <c r="AQ650">
        <v>0</v>
      </c>
      <c r="AR650">
        <v>0</v>
      </c>
      <c r="AS650">
        <v>0</v>
      </c>
      <c r="AT650">
        <v>0</v>
      </c>
      <c r="AU650">
        <v>0</v>
      </c>
      <c r="AV650">
        <v>0</v>
      </c>
      <c r="AW650">
        <v>0</v>
      </c>
      <c r="AX650">
        <v>0</v>
      </c>
      <c r="AY650">
        <v>0</v>
      </c>
      <c r="AZ650">
        <v>0</v>
      </c>
      <c r="BA650">
        <v>0</v>
      </c>
      <c r="BB650">
        <v>0</v>
      </c>
      <c r="BC650">
        <v>0</v>
      </c>
      <c r="BD650">
        <v>0</v>
      </c>
      <c r="BE650">
        <v>0</v>
      </c>
      <c r="BF650" t="s">
        <v>5</v>
      </c>
      <c r="BG650" t="s">
        <v>5</v>
      </c>
      <c r="BH650"/>
      <c r="BI650"/>
      <c r="BJ650" t="s">
        <v>5</v>
      </c>
      <c r="BK650"/>
      <c r="BL650">
        <v>0</v>
      </c>
      <c r="BM650">
        <v>0</v>
      </c>
      <c r="BN650" t="s">
        <v>5</v>
      </c>
      <c r="BO650"/>
      <c r="BP650"/>
      <c r="BQ650"/>
      <c r="BR650"/>
      <c r="BS650" t="s">
        <v>5</v>
      </c>
      <c r="BT650"/>
      <c r="BU650"/>
      <c r="BV650"/>
      <c r="BW650"/>
      <c r="BX650" t="s">
        <v>6</v>
      </c>
      <c r="BY650" t="s">
        <v>3850</v>
      </c>
      <c r="BZ650"/>
      <c r="CA650"/>
      <c r="CB650" t="s">
        <v>5</v>
      </c>
      <c r="CC650">
        <v>1884.1053416951661</v>
      </c>
      <c r="CD650">
        <v>231756.89527432679</v>
      </c>
      <c r="CE650" s="319" t="s">
        <v>11891</v>
      </c>
    </row>
    <row r="651" spans="1:83" ht="45" x14ac:dyDescent="0.25">
      <c r="A651" t="s">
        <v>4115</v>
      </c>
      <c r="B651" t="s">
        <v>4116</v>
      </c>
      <c r="C651" t="s">
        <v>4117</v>
      </c>
      <c r="D651">
        <v>15</v>
      </c>
      <c r="E651" t="s">
        <v>3847</v>
      </c>
      <c r="F651" t="s">
        <v>3848</v>
      </c>
      <c r="G651" t="s">
        <v>3849</v>
      </c>
      <c r="H651" t="s">
        <v>4096</v>
      </c>
      <c r="I651" t="s">
        <v>4097</v>
      </c>
      <c r="J651"/>
      <c r="K651" t="s">
        <v>3902</v>
      </c>
      <c r="L651">
        <v>0.18873704969882971</v>
      </c>
      <c r="M651" t="s">
        <v>6</v>
      </c>
      <c r="N651" t="s">
        <v>5</v>
      </c>
      <c r="O651" t="s">
        <v>5</v>
      </c>
      <c r="P651" t="s">
        <v>5</v>
      </c>
      <c r="Q651" t="s">
        <v>5</v>
      </c>
      <c r="R651" t="s">
        <v>4118</v>
      </c>
      <c r="S651" t="s">
        <v>4119</v>
      </c>
      <c r="T651" t="s">
        <v>6</v>
      </c>
      <c r="U651" t="s">
        <v>4</v>
      </c>
      <c r="V651">
        <v>250000</v>
      </c>
      <c r="W651">
        <v>25000</v>
      </c>
      <c r="X651" t="s">
        <v>6</v>
      </c>
      <c r="Y651"/>
      <c r="Z651">
        <v>0</v>
      </c>
      <c r="AA651">
        <v>3.7326671183109283E-2</v>
      </c>
      <c r="AB651">
        <v>8.2803457975387573E-2</v>
      </c>
      <c r="AC651">
        <v>0</v>
      </c>
      <c r="AD651">
        <v>207</v>
      </c>
      <c r="AE651">
        <v>174</v>
      </c>
      <c r="AF651">
        <v>196</v>
      </c>
      <c r="AG651">
        <v>206</v>
      </c>
      <c r="AH651">
        <v>535</v>
      </c>
      <c r="AI651">
        <v>535</v>
      </c>
      <c r="AJ651">
        <v>0</v>
      </c>
      <c r="AK651">
        <v>3</v>
      </c>
      <c r="AL651">
        <v>3</v>
      </c>
      <c r="AM651">
        <v>0</v>
      </c>
      <c r="AN651">
        <v>24.497932434082031</v>
      </c>
      <c r="AO651">
        <v>0</v>
      </c>
      <c r="AP651">
        <v>0</v>
      </c>
      <c r="AQ651">
        <v>0</v>
      </c>
      <c r="AR651">
        <v>0</v>
      </c>
      <c r="AS651">
        <v>0</v>
      </c>
      <c r="AT651">
        <v>0</v>
      </c>
      <c r="AU651">
        <v>0</v>
      </c>
      <c r="AV651">
        <v>0</v>
      </c>
      <c r="AW651">
        <v>0</v>
      </c>
      <c r="AX651">
        <v>0</v>
      </c>
      <c r="AY651">
        <v>0</v>
      </c>
      <c r="AZ651">
        <v>0</v>
      </c>
      <c r="BA651">
        <v>0</v>
      </c>
      <c r="BB651">
        <v>0</v>
      </c>
      <c r="BC651">
        <v>0</v>
      </c>
      <c r="BD651">
        <v>0</v>
      </c>
      <c r="BE651">
        <v>0</v>
      </c>
      <c r="BF651" t="s">
        <v>5</v>
      </c>
      <c r="BG651" t="s">
        <v>5</v>
      </c>
      <c r="BH651"/>
      <c r="BI651"/>
      <c r="BJ651" t="s">
        <v>5</v>
      </c>
      <c r="BK651"/>
      <c r="BL651">
        <v>0</v>
      </c>
      <c r="BM651">
        <v>0</v>
      </c>
      <c r="BN651" t="s">
        <v>5</v>
      </c>
      <c r="BO651"/>
      <c r="BP651"/>
      <c r="BQ651"/>
      <c r="BR651"/>
      <c r="BS651" t="s">
        <v>5</v>
      </c>
      <c r="BT651"/>
      <c r="BU651"/>
      <c r="BV651"/>
      <c r="BW651"/>
      <c r="BX651" t="s">
        <v>6</v>
      </c>
      <c r="BY651" t="s">
        <v>3850</v>
      </c>
      <c r="BZ651"/>
      <c r="CA651"/>
      <c r="CB651" t="s">
        <v>5</v>
      </c>
      <c r="CC651">
        <v>3381.9432487492909</v>
      </c>
      <c r="CD651">
        <v>488829.43124074308</v>
      </c>
      <c r="CE651" s="319" t="s">
        <v>11891</v>
      </c>
    </row>
    <row r="652" spans="1:83" ht="15" x14ac:dyDescent="0.25">
      <c r="A652" s="337" t="s">
        <v>646</v>
      </c>
      <c r="B652" s="337" t="s">
        <v>647</v>
      </c>
      <c r="C652" s="337" t="s">
        <v>648</v>
      </c>
      <c r="D652" s="337">
        <v>9</v>
      </c>
      <c r="E652" s="337" t="s">
        <v>416</v>
      </c>
      <c r="F652" s="337" t="s">
        <v>649</v>
      </c>
      <c r="G652" s="337" t="s">
        <v>529</v>
      </c>
      <c r="H652" s="337" t="s">
        <v>650</v>
      </c>
      <c r="I652" s="337" t="s">
        <v>651</v>
      </c>
      <c r="J652" s="337" t="s">
        <v>652</v>
      </c>
      <c r="K652" s="337" t="s">
        <v>653</v>
      </c>
      <c r="L652" s="337">
        <v>773.5640869140625</v>
      </c>
      <c r="M652" s="337" t="s">
        <v>5</v>
      </c>
      <c r="N652" s="337" t="s">
        <v>5</v>
      </c>
      <c r="O652" s="337" t="s">
        <v>5</v>
      </c>
      <c r="P652" s="337" t="s">
        <v>5</v>
      </c>
      <c r="Q652" s="337" t="s">
        <v>5</v>
      </c>
      <c r="R652" s="337" t="s">
        <v>654</v>
      </c>
      <c r="S652" s="337" t="s">
        <v>655</v>
      </c>
      <c r="T652" s="337" t="s">
        <v>5</v>
      </c>
      <c r="U652" s="337" t="s">
        <v>4</v>
      </c>
      <c r="V652" s="337">
        <v>48000</v>
      </c>
      <c r="W652" s="337">
        <v>23000</v>
      </c>
      <c r="X652" s="337" t="s">
        <v>6</v>
      </c>
      <c r="Y652" s="337"/>
      <c r="Z652" s="337"/>
      <c r="AA652" s="337">
        <v>64306.2578125</v>
      </c>
      <c r="AB652" s="337">
        <v>37.270698547363281</v>
      </c>
      <c r="AC652" s="337">
        <v>64306.2578125</v>
      </c>
      <c r="AD652" s="337">
        <v>23</v>
      </c>
      <c r="AE652" s="337">
        <v>6</v>
      </c>
      <c r="AF652" s="337">
        <v>12</v>
      </c>
      <c r="AG652" s="337">
        <v>17</v>
      </c>
      <c r="AH652" s="337">
        <v>53</v>
      </c>
      <c r="AI652" s="337">
        <v>53</v>
      </c>
      <c r="AJ652" s="337">
        <v>0</v>
      </c>
      <c r="AK652" s="337">
        <v>0</v>
      </c>
      <c r="AL652" s="337">
        <v>144</v>
      </c>
      <c r="AM652" s="337">
        <v>0</v>
      </c>
      <c r="AN652" s="337">
        <v>15614.3564453125</v>
      </c>
      <c r="AO652" s="337"/>
      <c r="AP652" s="337"/>
      <c r="AQ652" s="337"/>
      <c r="AR652" s="337">
        <v>6</v>
      </c>
      <c r="AS652" s="337">
        <v>6</v>
      </c>
      <c r="AT652" s="337">
        <v>1</v>
      </c>
      <c r="AU652" s="337">
        <v>3</v>
      </c>
      <c r="AV652" s="337">
        <v>13</v>
      </c>
      <c r="AW652" s="337">
        <v>0</v>
      </c>
      <c r="AX652" s="337">
        <v>0</v>
      </c>
      <c r="AY652" s="337">
        <v>36</v>
      </c>
      <c r="AZ652" s="337">
        <v>0</v>
      </c>
      <c r="BA652" s="337">
        <v>3903.589111328125</v>
      </c>
      <c r="BB652" s="337"/>
      <c r="BC652" s="337"/>
      <c r="BD652" s="337"/>
      <c r="BE652" s="337">
        <v>25000</v>
      </c>
      <c r="BF652" s="337" t="s">
        <v>425</v>
      </c>
      <c r="BG652" s="337" t="s">
        <v>5</v>
      </c>
      <c r="BH652" s="337" t="s">
        <v>1020</v>
      </c>
      <c r="BI652" s="337"/>
      <c r="BJ652" s="337" t="s">
        <v>5</v>
      </c>
      <c r="BK652" s="337"/>
      <c r="BL652" s="337">
        <v>0</v>
      </c>
      <c r="BM652" s="337"/>
      <c r="BN652" s="337" t="s">
        <v>5</v>
      </c>
      <c r="BO652" s="337"/>
      <c r="BP652" s="337"/>
      <c r="BQ652" s="337"/>
      <c r="BR652" s="337"/>
      <c r="BS652" s="337" t="s">
        <v>5</v>
      </c>
      <c r="BT652" s="337"/>
      <c r="BU652" s="337"/>
      <c r="BV652" s="337"/>
      <c r="BW652" s="337"/>
      <c r="BX652" s="337" t="s">
        <v>6</v>
      </c>
      <c r="BY652" s="337" t="s">
        <v>426</v>
      </c>
      <c r="BZ652" s="337"/>
      <c r="CB652" s="337" t="s">
        <v>5</v>
      </c>
      <c r="CC652" s="337">
        <v>179689.73689994271</v>
      </c>
      <c r="CD652" s="337">
        <v>2003521739.1468949</v>
      </c>
      <c r="CE652" s="313" t="s">
        <v>11891</v>
      </c>
    </row>
    <row r="653" spans="1:83" ht="15" x14ac:dyDescent="0.25">
      <c r="A653" s="337" t="s">
        <v>713</v>
      </c>
      <c r="B653" s="337" t="s">
        <v>714</v>
      </c>
      <c r="C653" s="337" t="s">
        <v>715</v>
      </c>
      <c r="D653" s="337">
        <v>9</v>
      </c>
      <c r="E653" s="337" t="s">
        <v>416</v>
      </c>
      <c r="F653" s="337" t="s">
        <v>649</v>
      </c>
      <c r="G653" s="337" t="s">
        <v>529</v>
      </c>
      <c r="H653" s="337" t="s">
        <v>650</v>
      </c>
      <c r="I653" s="337" t="s">
        <v>651</v>
      </c>
      <c r="J653" s="337" t="s">
        <v>652</v>
      </c>
      <c r="K653" s="337" t="s">
        <v>452</v>
      </c>
      <c r="L653" s="337">
        <v>773.5643310546875</v>
      </c>
      <c r="M653" s="337" t="s">
        <v>5</v>
      </c>
      <c r="N653" s="337" t="s">
        <v>5</v>
      </c>
      <c r="O653" s="337" t="s">
        <v>5</v>
      </c>
      <c r="P653" s="337" t="s">
        <v>5</v>
      </c>
      <c r="Q653" s="337" t="s">
        <v>5</v>
      </c>
      <c r="R653" s="337" t="s">
        <v>716</v>
      </c>
      <c r="S653" s="337" t="s">
        <v>717</v>
      </c>
      <c r="T653" s="337" t="s">
        <v>5</v>
      </c>
      <c r="U653" s="337" t="s">
        <v>4</v>
      </c>
      <c r="V653" s="337">
        <v>48000</v>
      </c>
      <c r="W653" s="337">
        <v>23000</v>
      </c>
      <c r="X653" s="337" t="s">
        <v>6</v>
      </c>
      <c r="Y653" s="337"/>
      <c r="Z653" s="337"/>
      <c r="AA653" s="337">
        <v>64303.43359375</v>
      </c>
      <c r="AB653" s="337">
        <v>37.269603729248047</v>
      </c>
      <c r="AC653" s="337">
        <v>64303.43359375</v>
      </c>
      <c r="AD653" s="337">
        <v>23</v>
      </c>
      <c r="AE653" s="337">
        <v>6</v>
      </c>
      <c r="AF653" s="337">
        <v>12</v>
      </c>
      <c r="AG653" s="337">
        <v>17</v>
      </c>
      <c r="AH653" s="337">
        <v>53</v>
      </c>
      <c r="AI653" s="337">
        <v>53</v>
      </c>
      <c r="AJ653" s="337">
        <v>0</v>
      </c>
      <c r="AK653" s="337">
        <v>0</v>
      </c>
      <c r="AL653" s="337">
        <v>144</v>
      </c>
      <c r="AM653" s="337">
        <v>0</v>
      </c>
      <c r="AN653" s="337">
        <v>15614.1123046875</v>
      </c>
      <c r="AO653" s="337"/>
      <c r="AP653" s="337"/>
      <c r="AQ653" s="337"/>
      <c r="AR653" s="337">
        <v>6</v>
      </c>
      <c r="AS653" s="337">
        <v>6</v>
      </c>
      <c r="AT653" s="337">
        <v>1</v>
      </c>
      <c r="AU653" s="337">
        <v>3</v>
      </c>
      <c r="AV653" s="337">
        <v>13</v>
      </c>
      <c r="AW653" s="337">
        <v>0</v>
      </c>
      <c r="AX653" s="337">
        <v>0</v>
      </c>
      <c r="AY653" s="337">
        <v>36</v>
      </c>
      <c r="AZ653" s="337">
        <v>0</v>
      </c>
      <c r="BA653" s="337">
        <v>3903.528076171875</v>
      </c>
      <c r="BB653" s="337"/>
      <c r="BC653" s="337"/>
      <c r="BD653" s="337"/>
      <c r="BE653" s="337">
        <v>25000</v>
      </c>
      <c r="BF653" s="337" t="s">
        <v>425</v>
      </c>
      <c r="BG653" s="337" t="s">
        <v>5</v>
      </c>
      <c r="BH653" s="337" t="s">
        <v>1020</v>
      </c>
      <c r="BI653" s="337"/>
      <c r="BJ653" s="337" t="s">
        <v>5</v>
      </c>
      <c r="BK653" s="337"/>
      <c r="BL653" s="337">
        <v>0</v>
      </c>
      <c r="BM653" s="337"/>
      <c r="BN653" s="337" t="s">
        <v>5</v>
      </c>
      <c r="BO653" s="337"/>
      <c r="BP653" s="337"/>
      <c r="BQ653" s="337"/>
      <c r="BR653" s="337"/>
      <c r="BS653" s="337" t="s">
        <v>5</v>
      </c>
      <c r="BT653" s="337"/>
      <c r="BU653" s="337"/>
      <c r="BV653" s="337"/>
      <c r="BW653" s="337"/>
      <c r="BX653" s="337" t="s">
        <v>6</v>
      </c>
      <c r="BY653" s="337" t="s">
        <v>426</v>
      </c>
      <c r="BZ653" s="337"/>
      <c r="CB653" s="337" t="s">
        <v>5</v>
      </c>
      <c r="CC653" s="337">
        <v>179689.76807015139</v>
      </c>
      <c r="CD653" s="337">
        <v>2003522430.437603</v>
      </c>
      <c r="CE653" s="313" t="s">
        <v>11891</v>
      </c>
    </row>
    <row r="654" spans="1:83" ht="15" x14ac:dyDescent="0.25">
      <c r="A654" t="s">
        <v>3829</v>
      </c>
      <c r="B654" t="s">
        <v>3830</v>
      </c>
      <c r="C654" t="s">
        <v>3831</v>
      </c>
      <c r="D654">
        <v>13</v>
      </c>
      <c r="E654" t="s">
        <v>3573</v>
      </c>
      <c r="F654" t="s">
        <v>3816</v>
      </c>
      <c r="G654" t="s">
        <v>3817</v>
      </c>
      <c r="H654" t="s">
        <v>3818</v>
      </c>
      <c r="I654" t="s">
        <v>3819</v>
      </c>
      <c r="J654" t="s">
        <v>3820</v>
      </c>
      <c r="K654" t="s">
        <v>3821</v>
      </c>
      <c r="L654">
        <v>4.1065449714660636</v>
      </c>
      <c r="M654" t="s">
        <v>5</v>
      </c>
      <c r="N654" t="s">
        <v>5</v>
      </c>
      <c r="O654" t="s">
        <v>6</v>
      </c>
      <c r="P654" t="s">
        <v>5</v>
      </c>
      <c r="Q654" t="s">
        <v>5</v>
      </c>
      <c r="R654" t="s">
        <v>3822</v>
      </c>
      <c r="S654" t="s">
        <v>3828</v>
      </c>
      <c r="T654" t="s">
        <v>6</v>
      </c>
      <c r="U654" t="s">
        <v>4</v>
      </c>
      <c r="V654">
        <v>20000</v>
      </c>
      <c r="W654">
        <v>20000</v>
      </c>
      <c r="X654" t="s">
        <v>5</v>
      </c>
      <c r="Y654"/>
      <c r="Z654"/>
      <c r="AA654">
        <v>0.79549902677536011</v>
      </c>
      <c r="AB654">
        <v>0.201663002371788</v>
      </c>
      <c r="AC654">
        <v>0</v>
      </c>
      <c r="AD654">
        <v>259</v>
      </c>
      <c r="AE654">
        <v>78</v>
      </c>
      <c r="AF654">
        <v>173</v>
      </c>
      <c r="AG654">
        <v>331</v>
      </c>
      <c r="AH654">
        <v>343</v>
      </c>
      <c r="AI654">
        <v>343</v>
      </c>
      <c r="AJ654">
        <v>0</v>
      </c>
      <c r="AK654">
        <v>0</v>
      </c>
      <c r="AL654">
        <v>5</v>
      </c>
      <c r="AM654">
        <v>38</v>
      </c>
      <c r="AN654">
        <v>10.355801582336429</v>
      </c>
      <c r="AO654"/>
      <c r="AP654"/>
      <c r="AQ654"/>
      <c r="AR654"/>
      <c r="AS654"/>
      <c r="AT654"/>
      <c r="AU654"/>
      <c r="AV654"/>
      <c r="AW654"/>
      <c r="AX654"/>
      <c r="AY654"/>
      <c r="AZ654"/>
      <c r="BA654"/>
      <c r="BB654"/>
      <c r="BC654"/>
      <c r="BD654"/>
      <c r="BE654">
        <v>0</v>
      </c>
      <c r="BF654" t="s">
        <v>5</v>
      </c>
      <c r="BG654" t="s">
        <v>5</v>
      </c>
      <c r="BH654" t="s">
        <v>3581</v>
      </c>
      <c r="BI654"/>
      <c r="BJ654" t="s">
        <v>5</v>
      </c>
      <c r="BK654"/>
      <c r="BL654">
        <v>0</v>
      </c>
      <c r="BM654"/>
      <c r="BN654" t="s">
        <v>5</v>
      </c>
      <c r="BO654"/>
      <c r="BP654"/>
      <c r="BQ654"/>
      <c r="BR654"/>
      <c r="BS654" t="s">
        <v>5</v>
      </c>
      <c r="BT654"/>
      <c r="BU654"/>
      <c r="BV654"/>
      <c r="BW654"/>
      <c r="BX654" t="s">
        <v>6</v>
      </c>
      <c r="BY654" t="s">
        <v>3824</v>
      </c>
      <c r="BZ654"/>
      <c r="CA654"/>
      <c r="CB654" t="s">
        <v>5</v>
      </c>
      <c r="CC654">
        <v>15485.554368942319</v>
      </c>
      <c r="CD654">
        <v>10635945.19892049</v>
      </c>
      <c r="CE654" s="313" t="s">
        <v>11891</v>
      </c>
    </row>
    <row r="655" spans="1:83" ht="15" x14ac:dyDescent="0.25">
      <c r="A655" t="s">
        <v>2542</v>
      </c>
      <c r="B655" t="s">
        <v>2543</v>
      </c>
      <c r="C655" t="s">
        <v>2544</v>
      </c>
      <c r="D655">
        <v>4</v>
      </c>
      <c r="E655" t="s">
        <v>2512</v>
      </c>
      <c r="F655" t="s">
        <v>2536</v>
      </c>
      <c r="G655" t="s">
        <v>2537</v>
      </c>
      <c r="H655" t="s">
        <v>2538</v>
      </c>
      <c r="I655" t="s">
        <v>2539</v>
      </c>
      <c r="J655" t="s">
        <v>2540</v>
      </c>
      <c r="K655" t="s">
        <v>2530</v>
      </c>
      <c r="L655">
        <v>12.047787666320801</v>
      </c>
      <c r="M655" t="s">
        <v>6</v>
      </c>
      <c r="N655" t="s">
        <v>5</v>
      </c>
      <c r="O655" t="s">
        <v>5</v>
      </c>
      <c r="P655" t="s">
        <v>5</v>
      </c>
      <c r="Q655" t="s">
        <v>5</v>
      </c>
      <c r="R655" t="s">
        <v>2541</v>
      </c>
      <c r="S655" t="s">
        <v>2541</v>
      </c>
      <c r="T655" t="s">
        <v>5</v>
      </c>
      <c r="U655" t="s">
        <v>4</v>
      </c>
      <c r="V655">
        <v>20000</v>
      </c>
      <c r="W655">
        <v>20000</v>
      </c>
      <c r="X655" t="s">
        <v>6</v>
      </c>
      <c r="Y655"/>
      <c r="Z655">
        <v>0</v>
      </c>
      <c r="AA655">
        <v>7.4491415023803711</v>
      </c>
      <c r="AB655">
        <v>0.65742373466491699</v>
      </c>
      <c r="AC655">
        <v>0</v>
      </c>
      <c r="AD655">
        <v>146</v>
      </c>
      <c r="AE655">
        <v>31</v>
      </c>
      <c r="AF655">
        <v>103</v>
      </c>
      <c r="AG655">
        <v>152</v>
      </c>
      <c r="AH655">
        <v>225</v>
      </c>
      <c r="AI655">
        <v>225</v>
      </c>
      <c r="AJ655">
        <v>0</v>
      </c>
      <c r="AK655">
        <v>0</v>
      </c>
      <c r="AL655">
        <v>4</v>
      </c>
      <c r="AM655">
        <v>0</v>
      </c>
      <c r="AN655">
        <v>307.5699462890625</v>
      </c>
      <c r="AO655"/>
      <c r="AP655"/>
      <c r="AQ655"/>
      <c r="AR655">
        <v>0</v>
      </c>
      <c r="AS655">
        <v>0</v>
      </c>
      <c r="AT655">
        <v>0</v>
      </c>
      <c r="AU655">
        <v>0</v>
      </c>
      <c r="AV655">
        <v>0</v>
      </c>
      <c r="AW655">
        <v>0</v>
      </c>
      <c r="AX655">
        <v>0</v>
      </c>
      <c r="AY655">
        <v>0</v>
      </c>
      <c r="AZ655">
        <v>0</v>
      </c>
      <c r="BA655">
        <v>0</v>
      </c>
      <c r="BB655"/>
      <c r="BC655"/>
      <c r="BD655"/>
      <c r="BE655">
        <v>0</v>
      </c>
      <c r="BF655" t="s">
        <v>2516</v>
      </c>
      <c r="BG655" t="s">
        <v>5</v>
      </c>
      <c r="BH655" t="s">
        <v>1020</v>
      </c>
      <c r="BI655" t="s">
        <v>2517</v>
      </c>
      <c r="BJ655" t="s">
        <v>5</v>
      </c>
      <c r="BK655" t="s">
        <v>1100</v>
      </c>
      <c r="BL655">
        <v>0</v>
      </c>
      <c r="BM655"/>
      <c r="BN655" t="s">
        <v>5</v>
      </c>
      <c r="BO655" t="s">
        <v>2518</v>
      </c>
      <c r="BP655" t="s">
        <v>2518</v>
      </c>
      <c r="BQ655" t="s">
        <v>2518</v>
      </c>
      <c r="BR655" t="s">
        <v>2518</v>
      </c>
      <c r="BS655" t="s">
        <v>6</v>
      </c>
      <c r="BT655" t="s">
        <v>2518</v>
      </c>
      <c r="BU655" t="s">
        <v>2518</v>
      </c>
      <c r="BV655" t="s">
        <v>2518</v>
      </c>
      <c r="BW655" t="s">
        <v>1100</v>
      </c>
      <c r="BX655" t="s">
        <v>6</v>
      </c>
      <c r="BY655" t="s">
        <v>2519</v>
      </c>
      <c r="BZ655"/>
      <c r="CA655"/>
      <c r="CB655" t="s">
        <v>5</v>
      </c>
      <c r="CC655">
        <v>37829.969616366878</v>
      </c>
      <c r="CD655">
        <v>31203626.698523931</v>
      </c>
      <c r="CE655" s="313" t="s">
        <v>11891</v>
      </c>
    </row>
    <row r="656" spans="1:83" ht="15" x14ac:dyDescent="0.25">
      <c r="A656" t="s">
        <v>2546</v>
      </c>
      <c r="B656" t="s">
        <v>2547</v>
      </c>
      <c r="C656" t="s">
        <v>2548</v>
      </c>
      <c r="D656">
        <v>4</v>
      </c>
      <c r="E656" t="s">
        <v>2512</v>
      </c>
      <c r="F656" t="s">
        <v>2536</v>
      </c>
      <c r="G656" t="s">
        <v>2537</v>
      </c>
      <c r="H656" t="s">
        <v>2549</v>
      </c>
      <c r="I656" t="s">
        <v>2550</v>
      </c>
      <c r="J656" t="s">
        <v>2551</v>
      </c>
      <c r="K656" t="s">
        <v>2530</v>
      </c>
      <c r="L656">
        <v>6.5063614845275879</v>
      </c>
      <c r="M656" t="s">
        <v>6</v>
      </c>
      <c r="N656" t="s">
        <v>5</v>
      </c>
      <c r="O656" t="s">
        <v>5</v>
      </c>
      <c r="P656" t="s">
        <v>5</v>
      </c>
      <c r="Q656" t="s">
        <v>5</v>
      </c>
      <c r="R656" t="s">
        <v>2552</v>
      </c>
      <c r="S656" t="s">
        <v>2552</v>
      </c>
      <c r="T656" t="s">
        <v>5</v>
      </c>
      <c r="U656" t="s">
        <v>4</v>
      </c>
      <c r="V656">
        <v>20000</v>
      </c>
      <c r="W656">
        <v>20000</v>
      </c>
      <c r="X656" t="s">
        <v>6</v>
      </c>
      <c r="Y656"/>
      <c r="Z656">
        <v>0</v>
      </c>
      <c r="AA656">
        <v>3.5004251003265381</v>
      </c>
      <c r="AB656">
        <v>0.26418346166610718</v>
      </c>
      <c r="AC656">
        <v>0</v>
      </c>
      <c r="AD656">
        <v>25</v>
      </c>
      <c r="AE656">
        <v>7</v>
      </c>
      <c r="AF656">
        <v>9</v>
      </c>
      <c r="AG656">
        <v>28</v>
      </c>
      <c r="AH656">
        <v>29</v>
      </c>
      <c r="AI656">
        <v>29</v>
      </c>
      <c r="AJ656">
        <v>0</v>
      </c>
      <c r="AK656">
        <v>0</v>
      </c>
      <c r="AL656">
        <v>1</v>
      </c>
      <c r="AM656">
        <v>0</v>
      </c>
      <c r="AN656">
        <v>118.14279937744141</v>
      </c>
      <c r="AO656"/>
      <c r="AP656"/>
      <c r="AQ656"/>
      <c r="AR656">
        <v>0</v>
      </c>
      <c r="AS656">
        <v>0</v>
      </c>
      <c r="AT656">
        <v>0</v>
      </c>
      <c r="AU656">
        <v>0</v>
      </c>
      <c r="AV656">
        <v>0</v>
      </c>
      <c r="AW656">
        <v>0</v>
      </c>
      <c r="AX656">
        <v>0</v>
      </c>
      <c r="AY656">
        <v>0</v>
      </c>
      <c r="AZ656">
        <v>0</v>
      </c>
      <c r="BA656">
        <v>0</v>
      </c>
      <c r="BB656"/>
      <c r="BC656"/>
      <c r="BD656"/>
      <c r="BE656">
        <v>0</v>
      </c>
      <c r="BF656" t="s">
        <v>2516</v>
      </c>
      <c r="BG656" t="s">
        <v>5</v>
      </c>
      <c r="BH656" t="s">
        <v>1020</v>
      </c>
      <c r="BI656" t="s">
        <v>2517</v>
      </c>
      <c r="BJ656" t="s">
        <v>5</v>
      </c>
      <c r="BK656" t="s">
        <v>1100</v>
      </c>
      <c r="BL656">
        <v>0</v>
      </c>
      <c r="BM656"/>
      <c r="BN656" t="s">
        <v>5</v>
      </c>
      <c r="BO656" t="s">
        <v>2518</v>
      </c>
      <c r="BP656" t="s">
        <v>2518</v>
      </c>
      <c r="BQ656" t="s">
        <v>2518</v>
      </c>
      <c r="BR656" t="s">
        <v>2518</v>
      </c>
      <c r="BS656" t="s">
        <v>6</v>
      </c>
      <c r="BT656" t="s">
        <v>2518</v>
      </c>
      <c r="BU656" t="s">
        <v>2518</v>
      </c>
      <c r="BV656" t="s">
        <v>2518</v>
      </c>
      <c r="BW656" t="s">
        <v>1100</v>
      </c>
      <c r="BX656" t="s">
        <v>6</v>
      </c>
      <c r="BY656" t="s">
        <v>2519</v>
      </c>
      <c r="BZ656"/>
      <c r="CA656"/>
      <c r="CB656" t="s">
        <v>5</v>
      </c>
      <c r="CC656">
        <v>34689.683118695313</v>
      </c>
      <c r="CD656">
        <v>16851398.962944709</v>
      </c>
      <c r="CE656" s="313" t="s">
        <v>11891</v>
      </c>
    </row>
    <row r="657" spans="1:83" ht="15" x14ac:dyDescent="0.25">
      <c r="A657" s="337" t="s">
        <v>12805</v>
      </c>
      <c r="B657" s="337" t="s">
        <v>12373</v>
      </c>
      <c r="C657" s="337" t="s">
        <v>12374</v>
      </c>
      <c r="D657" s="337">
        <v>3</v>
      </c>
      <c r="E657" s="337" t="s">
        <v>1771</v>
      </c>
      <c r="F657" s="337" t="s">
        <v>2644</v>
      </c>
      <c r="G657" s="337" t="s">
        <v>12800</v>
      </c>
      <c r="H657" s="337" t="s">
        <v>12806</v>
      </c>
      <c r="I657" s="337" t="s">
        <v>12807</v>
      </c>
      <c r="J657" s="337" t="s">
        <v>12808</v>
      </c>
      <c r="K657" s="337" t="s">
        <v>12809</v>
      </c>
      <c r="L657" s="337">
        <v>141.4031066894531</v>
      </c>
      <c r="M657" s="337" t="s">
        <v>6</v>
      </c>
      <c r="N657" s="337" t="s">
        <v>5</v>
      </c>
      <c r="O657" s="337" t="s">
        <v>6</v>
      </c>
      <c r="P657" s="337" t="s">
        <v>5</v>
      </c>
      <c r="Q657" s="337" t="s">
        <v>5</v>
      </c>
      <c r="R657" s="337" t="s">
        <v>2649</v>
      </c>
      <c r="S657" s="337" t="s">
        <v>2649</v>
      </c>
      <c r="T657" s="337" t="s">
        <v>5</v>
      </c>
      <c r="U657" s="337" t="s">
        <v>50</v>
      </c>
      <c r="V657" s="337">
        <v>20000</v>
      </c>
      <c r="W657" s="337">
        <v>20000</v>
      </c>
      <c r="X657" s="337" t="s">
        <v>6</v>
      </c>
      <c r="Y657" s="337"/>
      <c r="Z657" s="337"/>
      <c r="AA657" s="337">
        <v>77.986763000488281</v>
      </c>
      <c r="AB657" s="337">
        <v>14.151960372924799</v>
      </c>
      <c r="AC657" s="337"/>
      <c r="AD657" s="337">
        <v>1471</v>
      </c>
      <c r="AE657" s="337">
        <v>1531</v>
      </c>
      <c r="AF657" s="337">
        <v>832</v>
      </c>
      <c r="AG657" s="337">
        <v>0</v>
      </c>
      <c r="AH657" s="337">
        <v>0</v>
      </c>
      <c r="AI657" s="337">
        <v>0</v>
      </c>
      <c r="AJ657" s="337">
        <v>3</v>
      </c>
      <c r="AK657" s="337">
        <v>0</v>
      </c>
      <c r="AL657" s="337">
        <v>29</v>
      </c>
      <c r="AM657" s="337">
        <v>0</v>
      </c>
      <c r="AN657" s="337">
        <v>5696.05517578125</v>
      </c>
      <c r="AO657" s="337"/>
      <c r="AP657" s="337"/>
      <c r="AQ657" s="337"/>
      <c r="AR657" s="337"/>
      <c r="AS657" s="337"/>
      <c r="AT657" s="337"/>
      <c r="AU657" s="337"/>
      <c r="AV657" s="337"/>
      <c r="AW657" s="337"/>
      <c r="AX657" s="337"/>
      <c r="AY657" s="337"/>
      <c r="AZ657" s="337"/>
      <c r="BA657" s="337"/>
      <c r="BB657" s="337"/>
      <c r="BC657" s="337"/>
      <c r="BD657" s="337"/>
      <c r="BE657" s="337"/>
      <c r="BF657" s="337" t="s">
        <v>2516</v>
      </c>
      <c r="BG657" s="337" t="s">
        <v>5</v>
      </c>
      <c r="BH657" s="337" t="s">
        <v>1777</v>
      </c>
      <c r="BI657" s="337"/>
      <c r="BJ657" s="337" t="s">
        <v>5</v>
      </c>
      <c r="BK657" s="337"/>
      <c r="BL657" s="337">
        <v>0</v>
      </c>
      <c r="BM657" s="337"/>
      <c r="BN657" s="337" t="s">
        <v>5</v>
      </c>
      <c r="BO657" s="337"/>
      <c r="BP657" s="337"/>
      <c r="BQ657" s="337"/>
      <c r="BR657" s="337"/>
      <c r="BS657" s="337" t="s">
        <v>5</v>
      </c>
      <c r="BT657" s="337"/>
      <c r="BU657" s="337"/>
      <c r="BV657" s="337"/>
      <c r="BW657" s="337"/>
      <c r="BX657" s="337" t="s">
        <v>6</v>
      </c>
      <c r="BY657" s="337" t="s">
        <v>1101</v>
      </c>
      <c r="BZ657" s="337"/>
      <c r="CB657" s="337" t="s">
        <v>5</v>
      </c>
      <c r="CC657" s="337">
        <v>130145.9713381021</v>
      </c>
      <c r="CD657" s="337">
        <v>366233820.06667483</v>
      </c>
      <c r="CE657" s="313" t="s">
        <v>11902</v>
      </c>
    </row>
    <row r="658" spans="1:83" ht="15" x14ac:dyDescent="0.25">
      <c r="A658" t="s">
        <v>12413</v>
      </c>
      <c r="B658" t="s">
        <v>12381</v>
      </c>
      <c r="C658" t="s">
        <v>12414</v>
      </c>
      <c r="D658">
        <v>6</v>
      </c>
      <c r="E658" t="s">
        <v>259</v>
      </c>
      <c r="F658" t="s">
        <v>2644</v>
      </c>
      <c r="G658" t="s">
        <v>12407</v>
      </c>
      <c r="H658" t="s">
        <v>12408</v>
      </c>
      <c r="I658" t="s">
        <v>12409</v>
      </c>
      <c r="J658" t="s">
        <v>12410</v>
      </c>
      <c r="K658" t="s">
        <v>266</v>
      </c>
      <c r="L658">
        <v>53.587665557861328</v>
      </c>
      <c r="M658" t="s">
        <v>6</v>
      </c>
      <c r="N658" t="s">
        <v>6</v>
      </c>
      <c r="O658" t="s">
        <v>5</v>
      </c>
      <c r="P658" t="s">
        <v>5</v>
      </c>
      <c r="Q658" t="s">
        <v>5</v>
      </c>
      <c r="R658" t="s">
        <v>2649</v>
      </c>
      <c r="S658" t="s">
        <v>12411</v>
      </c>
      <c r="T658" t="s">
        <v>5</v>
      </c>
      <c r="U658" t="s">
        <v>50</v>
      </c>
      <c r="V658">
        <v>360000</v>
      </c>
      <c r="W658">
        <v>18000</v>
      </c>
      <c r="X658" t="s">
        <v>6</v>
      </c>
      <c r="Y658"/>
      <c r="Z658"/>
      <c r="AA658">
        <v>9.8893566131591797</v>
      </c>
      <c r="AB658">
        <v>4.5800600051879883</v>
      </c>
      <c r="AC658">
        <v>0</v>
      </c>
      <c r="AD658">
        <v>146</v>
      </c>
      <c r="AE658">
        <v>458</v>
      </c>
      <c r="AF658">
        <v>54</v>
      </c>
      <c r="AG658">
        <v>696</v>
      </c>
      <c r="AH658">
        <v>123</v>
      </c>
      <c r="AI658">
        <v>775</v>
      </c>
      <c r="AJ658">
        <v>0</v>
      </c>
      <c r="AK658">
        <v>0</v>
      </c>
      <c r="AL658">
        <v>7</v>
      </c>
      <c r="AM658">
        <v>0</v>
      </c>
      <c r="AN658">
        <v>353.7679443359375</v>
      </c>
      <c r="AO658"/>
      <c r="AP658"/>
      <c r="AQ658"/>
      <c r="AR658"/>
      <c r="AS658"/>
      <c r="AT658"/>
      <c r="AU658"/>
      <c r="AV658"/>
      <c r="AW658"/>
      <c r="AX658"/>
      <c r="AY658"/>
      <c r="AZ658"/>
      <c r="BA658"/>
      <c r="BB658"/>
      <c r="BC658"/>
      <c r="BD658"/>
      <c r="BE658"/>
      <c r="BF658" t="s">
        <v>12415</v>
      </c>
      <c r="BG658" t="s">
        <v>5</v>
      </c>
      <c r="BH658"/>
      <c r="BI658"/>
      <c r="BJ658" t="s">
        <v>5</v>
      </c>
      <c r="BK658"/>
      <c r="BL658">
        <v>0</v>
      </c>
      <c r="BM658"/>
      <c r="BN658" t="s">
        <v>6</v>
      </c>
      <c r="BO658" t="s">
        <v>2518</v>
      </c>
      <c r="BP658" t="s">
        <v>2518</v>
      </c>
      <c r="BQ658" t="s">
        <v>12380</v>
      </c>
      <c r="BR658"/>
      <c r="BS658" t="s">
        <v>6</v>
      </c>
      <c r="BT658" t="s">
        <v>2518</v>
      </c>
      <c r="BU658" t="s">
        <v>2518</v>
      </c>
      <c r="BV658" t="s">
        <v>2518</v>
      </c>
      <c r="BW658"/>
      <c r="BX658" t="s">
        <v>6</v>
      </c>
      <c r="BY658" t="s">
        <v>12412</v>
      </c>
      <c r="BZ658" t="s">
        <v>2518</v>
      </c>
      <c r="CA658"/>
      <c r="CB658" t="s">
        <v>5</v>
      </c>
      <c r="CC658">
        <v>99525.004158167096</v>
      </c>
      <c r="CD658">
        <v>138791976.74950919</v>
      </c>
      <c r="CE658" s="313" t="s">
        <v>11902</v>
      </c>
    </row>
    <row r="659" spans="1:83" ht="15" x14ac:dyDescent="0.25">
      <c r="A659" t="s">
        <v>12441</v>
      </c>
      <c r="B659" t="s">
        <v>12442</v>
      </c>
      <c r="C659" t="s">
        <v>12443</v>
      </c>
      <c r="D659">
        <v>6</v>
      </c>
      <c r="E659" t="s">
        <v>259</v>
      </c>
      <c r="F659" t="s">
        <v>12444</v>
      </c>
      <c r="G659" t="s">
        <v>12423</v>
      </c>
      <c r="H659" t="s">
        <v>12445</v>
      </c>
      <c r="I659"/>
      <c r="J659" t="s">
        <v>12446</v>
      </c>
      <c r="K659" t="s">
        <v>266</v>
      </c>
      <c r="L659">
        <v>448.18585205078119</v>
      </c>
      <c r="M659" t="s">
        <v>6</v>
      </c>
      <c r="N659" t="s">
        <v>5</v>
      </c>
      <c r="O659" t="s">
        <v>5</v>
      </c>
      <c r="P659" t="s">
        <v>5</v>
      </c>
      <c r="Q659" t="s">
        <v>5</v>
      </c>
      <c r="R659" t="s">
        <v>5136</v>
      </c>
      <c r="S659" t="s">
        <v>5136</v>
      </c>
      <c r="T659" t="s">
        <v>5</v>
      </c>
      <c r="U659" t="s">
        <v>28</v>
      </c>
      <c r="V659">
        <v>346000</v>
      </c>
      <c r="W659">
        <v>17300</v>
      </c>
      <c r="X659" t="s">
        <v>6</v>
      </c>
      <c r="Y659"/>
      <c r="Z659"/>
      <c r="AA659">
        <v>90.781448364257813</v>
      </c>
      <c r="AB659">
        <v>12.01357364654541</v>
      </c>
      <c r="AC659">
        <v>0</v>
      </c>
      <c r="AD659">
        <v>4287</v>
      </c>
      <c r="AE659">
        <v>1745</v>
      </c>
      <c r="AF659">
        <v>3634</v>
      </c>
      <c r="AG659">
        <v>3461</v>
      </c>
      <c r="AH659">
        <v>9268</v>
      </c>
      <c r="AI659">
        <v>10156</v>
      </c>
      <c r="AJ659">
        <v>2</v>
      </c>
      <c r="AK659">
        <v>12</v>
      </c>
      <c r="AL659">
        <v>38</v>
      </c>
      <c r="AM659">
        <v>12</v>
      </c>
      <c r="AN659">
        <v>205.46479797363281</v>
      </c>
      <c r="AO659"/>
      <c r="AP659"/>
      <c r="AQ659"/>
      <c r="AR659"/>
      <c r="AS659"/>
      <c r="AT659"/>
      <c r="AU659"/>
      <c r="AV659"/>
      <c r="AW659"/>
      <c r="AX659"/>
      <c r="AY659"/>
      <c r="AZ659"/>
      <c r="BA659"/>
      <c r="BB659"/>
      <c r="BC659"/>
      <c r="BD659"/>
      <c r="BE659"/>
      <c r="BF659"/>
      <c r="BG659" t="s">
        <v>5</v>
      </c>
      <c r="BH659"/>
      <c r="BI659"/>
      <c r="BJ659" t="s">
        <v>5</v>
      </c>
      <c r="BK659"/>
      <c r="BL659">
        <v>0</v>
      </c>
      <c r="BM659"/>
      <c r="BN659" t="s">
        <v>5</v>
      </c>
      <c r="BO659" t="s">
        <v>2518</v>
      </c>
      <c r="BP659" t="s">
        <v>2518</v>
      </c>
      <c r="BQ659" t="s">
        <v>2518</v>
      </c>
      <c r="BR659"/>
      <c r="BS659" t="s">
        <v>6</v>
      </c>
      <c r="BT659" t="s">
        <v>2518</v>
      </c>
      <c r="BU659" t="s">
        <v>2518</v>
      </c>
      <c r="BV659" t="s">
        <v>2518</v>
      </c>
      <c r="BW659"/>
      <c r="BX659" t="s">
        <v>6</v>
      </c>
      <c r="BY659" t="s">
        <v>12412</v>
      </c>
      <c r="BZ659" t="s">
        <v>2518</v>
      </c>
      <c r="CA659"/>
      <c r="CB659" t="s">
        <v>5</v>
      </c>
      <c r="CC659">
        <v>183875.88221760769</v>
      </c>
      <c r="CD659">
        <v>1160800647.3927579</v>
      </c>
      <c r="CE659" s="313" t="s">
        <v>11902</v>
      </c>
    </row>
    <row r="660" spans="1:83" ht="15" x14ac:dyDescent="0.25">
      <c r="A660" t="s">
        <v>25</v>
      </c>
      <c r="B660" t="s">
        <v>26</v>
      </c>
      <c r="C660" t="s">
        <v>27</v>
      </c>
      <c r="D660">
        <v>6</v>
      </c>
      <c r="E660" t="s">
        <v>259</v>
      </c>
      <c r="F660" t="s">
        <v>2</v>
      </c>
      <c r="G660" t="s">
        <v>260</v>
      </c>
      <c r="H660" t="s">
        <v>261</v>
      </c>
      <c r="I660"/>
      <c r="J660" t="s">
        <v>2518</v>
      </c>
      <c r="K660" t="s">
        <v>292</v>
      </c>
      <c r="L660">
        <v>1770.815673828125</v>
      </c>
      <c r="M660" t="s">
        <v>6</v>
      </c>
      <c r="N660" t="s">
        <v>5</v>
      </c>
      <c r="O660" t="s">
        <v>6</v>
      </c>
      <c r="P660" t="s">
        <v>5</v>
      </c>
      <c r="Q660" t="s">
        <v>5</v>
      </c>
      <c r="R660" t="s">
        <v>290</v>
      </c>
      <c r="S660" t="s">
        <v>2970</v>
      </c>
      <c r="T660" t="s">
        <v>5</v>
      </c>
      <c r="U660" t="s">
        <v>28</v>
      </c>
      <c r="V660">
        <v>300000</v>
      </c>
      <c r="W660">
        <v>15000</v>
      </c>
      <c r="X660" t="s">
        <v>6</v>
      </c>
      <c r="Y660"/>
      <c r="Z660"/>
      <c r="AA660">
        <v>444.50747680664063</v>
      </c>
      <c r="AB660">
        <v>200.08575439453119</v>
      </c>
      <c r="AC660">
        <v>0.69722402095794678</v>
      </c>
      <c r="AD660">
        <v>143642</v>
      </c>
      <c r="AE660">
        <v>182389</v>
      </c>
      <c r="AF660">
        <v>120807</v>
      </c>
      <c r="AG660">
        <v>590954</v>
      </c>
      <c r="AH660">
        <v>545505</v>
      </c>
      <c r="AI660">
        <v>590954</v>
      </c>
      <c r="AJ660">
        <v>2332</v>
      </c>
      <c r="AK660">
        <v>89</v>
      </c>
      <c r="AL660">
        <v>2408</v>
      </c>
      <c r="AM660">
        <v>89</v>
      </c>
      <c r="AN660">
        <v>5993.46923828125</v>
      </c>
      <c r="AO660"/>
      <c r="AP660"/>
      <c r="AQ660"/>
      <c r="AR660"/>
      <c r="AS660"/>
      <c r="AT660"/>
      <c r="AU660"/>
      <c r="AV660"/>
      <c r="AW660"/>
      <c r="AX660"/>
      <c r="AY660"/>
      <c r="AZ660"/>
      <c r="BA660"/>
      <c r="BB660"/>
      <c r="BC660"/>
      <c r="BD660"/>
      <c r="BE660"/>
      <c r="BF660"/>
      <c r="BG660" t="s">
        <v>5</v>
      </c>
      <c r="BH660"/>
      <c r="BI660"/>
      <c r="BJ660" t="s">
        <v>5</v>
      </c>
      <c r="BK660"/>
      <c r="BL660">
        <v>0</v>
      </c>
      <c r="BM660"/>
      <c r="BN660" t="s">
        <v>5</v>
      </c>
      <c r="BO660" t="s">
        <v>2518</v>
      </c>
      <c r="BP660" t="s">
        <v>2518</v>
      </c>
      <c r="BQ660" t="s">
        <v>2518</v>
      </c>
      <c r="BR660"/>
      <c r="BS660" t="s">
        <v>6</v>
      </c>
      <c r="BT660" t="s">
        <v>2518</v>
      </c>
      <c r="BU660" t="s">
        <v>2518</v>
      </c>
      <c r="BV660" t="s">
        <v>2518</v>
      </c>
      <c r="BW660"/>
      <c r="BX660" t="s">
        <v>6</v>
      </c>
      <c r="BY660" t="s">
        <v>7</v>
      </c>
      <c r="BZ660" t="s">
        <v>2518</v>
      </c>
      <c r="CA660"/>
      <c r="CB660" t="s">
        <v>5</v>
      </c>
      <c r="CC660">
        <v>417917.84308613068</v>
      </c>
      <c r="CD660">
        <v>4586391665.5307312</v>
      </c>
      <c r="CE660" s="313" t="s">
        <v>11891</v>
      </c>
    </row>
    <row r="661" spans="1:83" ht="15" x14ac:dyDescent="0.25">
      <c r="A661" t="s">
        <v>11937</v>
      </c>
      <c r="B661" t="s">
        <v>11938</v>
      </c>
      <c r="C661" t="s">
        <v>11939</v>
      </c>
      <c r="D661">
        <v>15</v>
      </c>
      <c r="E661" t="s">
        <v>3847</v>
      </c>
      <c r="F661" t="s">
        <v>3864</v>
      </c>
      <c r="G661" t="s">
        <v>11896</v>
      </c>
      <c r="H661" t="s">
        <v>11897</v>
      </c>
      <c r="I661" t="s">
        <v>11898</v>
      </c>
      <c r="J661" t="s">
        <v>11899</v>
      </c>
      <c r="K661" t="s">
        <v>11940</v>
      </c>
      <c r="L661">
        <v>807.23931884765625</v>
      </c>
      <c r="M661" t="s">
        <v>5</v>
      </c>
      <c r="N661" t="s">
        <v>5</v>
      </c>
      <c r="O661" t="s">
        <v>6</v>
      </c>
      <c r="P661" t="s">
        <v>5</v>
      </c>
      <c r="Q661" t="s">
        <v>5</v>
      </c>
      <c r="R661" t="s">
        <v>11573</v>
      </c>
      <c r="S661" t="s">
        <v>11901</v>
      </c>
      <c r="T661" t="s">
        <v>6</v>
      </c>
      <c r="U661" t="s">
        <v>50</v>
      </c>
      <c r="V661">
        <v>15000</v>
      </c>
      <c r="W661">
        <v>15000</v>
      </c>
      <c r="X661" t="s">
        <v>6</v>
      </c>
      <c r="Y661"/>
      <c r="Z661">
        <v>0</v>
      </c>
      <c r="AA661">
        <v>374.6278076171875</v>
      </c>
      <c r="AB661">
        <v>557.8006591796875</v>
      </c>
      <c r="AC661">
        <v>2.348208904266357</v>
      </c>
      <c r="AD661">
        <v>75816</v>
      </c>
      <c r="AE661">
        <v>149258</v>
      </c>
      <c r="AF661">
        <v>61251</v>
      </c>
      <c r="AG661">
        <v>177730</v>
      </c>
      <c r="AH661">
        <v>244800</v>
      </c>
      <c r="AI661">
        <v>244800</v>
      </c>
      <c r="AJ661">
        <v>459</v>
      </c>
      <c r="AK661">
        <v>17</v>
      </c>
      <c r="AL661">
        <v>1840</v>
      </c>
      <c r="AM661">
        <v>5</v>
      </c>
      <c r="AN661">
        <v>334.99685668945313</v>
      </c>
      <c r="AO661"/>
      <c r="AP661"/>
      <c r="AQ661"/>
      <c r="AR661">
        <v>0</v>
      </c>
      <c r="AS661">
        <v>0</v>
      </c>
      <c r="AT661">
        <v>0</v>
      </c>
      <c r="AU661">
        <v>0</v>
      </c>
      <c r="AV661">
        <v>0</v>
      </c>
      <c r="AW661">
        <v>0</v>
      </c>
      <c r="AX661">
        <v>0</v>
      </c>
      <c r="AY661">
        <v>0</v>
      </c>
      <c r="AZ661">
        <v>0</v>
      </c>
      <c r="BA661">
        <v>0</v>
      </c>
      <c r="BB661">
        <v>0</v>
      </c>
      <c r="BC661">
        <v>0</v>
      </c>
      <c r="BD661">
        <v>0</v>
      </c>
      <c r="BE661">
        <v>0</v>
      </c>
      <c r="BF661" t="s">
        <v>5</v>
      </c>
      <c r="BG661" t="s">
        <v>5</v>
      </c>
      <c r="BH661"/>
      <c r="BI661"/>
      <c r="BJ661" t="s">
        <v>5</v>
      </c>
      <c r="BK661"/>
      <c r="BL661">
        <v>0</v>
      </c>
      <c r="BM661">
        <v>0</v>
      </c>
      <c r="BN661" t="s">
        <v>5</v>
      </c>
      <c r="BO661"/>
      <c r="BP661"/>
      <c r="BQ661"/>
      <c r="BR661"/>
      <c r="BS661" t="s">
        <v>5</v>
      </c>
      <c r="BT661"/>
      <c r="BU661"/>
      <c r="BV661"/>
      <c r="BW661"/>
      <c r="BX661" t="s">
        <v>6</v>
      </c>
      <c r="BY661" t="s">
        <v>4232</v>
      </c>
      <c r="BZ661"/>
      <c r="CA661"/>
      <c r="CB661" t="s">
        <v>5</v>
      </c>
      <c r="CC661">
        <v>288949.96145606658</v>
      </c>
      <c r="CD661">
        <v>4616947534.7312641</v>
      </c>
      <c r="CE661" s="313" t="s">
        <v>11902</v>
      </c>
    </row>
    <row r="662" spans="1:83" ht="15" x14ac:dyDescent="0.25">
      <c r="A662" t="s">
        <v>140</v>
      </c>
      <c r="B662" t="s">
        <v>141</v>
      </c>
      <c r="C662" t="s">
        <v>142</v>
      </c>
      <c r="D662">
        <v>6</v>
      </c>
      <c r="E662" t="s">
        <v>259</v>
      </c>
      <c r="F662" t="s">
        <v>38</v>
      </c>
      <c r="G662" t="s">
        <v>39</v>
      </c>
      <c r="H662" t="s">
        <v>313</v>
      </c>
      <c r="I662" t="s">
        <v>70</v>
      </c>
      <c r="J662" t="s">
        <v>314</v>
      </c>
      <c r="K662" t="s">
        <v>21</v>
      </c>
      <c r="L662">
        <v>0.43819710612297058</v>
      </c>
      <c r="M662" t="s">
        <v>6</v>
      </c>
      <c r="N662" t="s">
        <v>5</v>
      </c>
      <c r="O662" t="s">
        <v>6</v>
      </c>
      <c r="P662" t="s">
        <v>5</v>
      </c>
      <c r="Q662" t="s">
        <v>5</v>
      </c>
      <c r="R662" t="s">
        <v>392</v>
      </c>
      <c r="S662" t="s">
        <v>392</v>
      </c>
      <c r="T662" t="s">
        <v>6</v>
      </c>
      <c r="U662" t="s">
        <v>98</v>
      </c>
      <c r="V662">
        <v>250000</v>
      </c>
      <c r="W662">
        <v>12500</v>
      </c>
      <c r="X662" t="s">
        <v>6</v>
      </c>
      <c r="Y662"/>
      <c r="Z662"/>
      <c r="AA662">
        <v>0.1945379972457886</v>
      </c>
      <c r="AB662">
        <v>4.1738998144865043E-2</v>
      </c>
      <c r="AC662">
        <v>0</v>
      </c>
      <c r="AD662">
        <v>128</v>
      </c>
      <c r="AE662">
        <v>46</v>
      </c>
      <c r="AF662">
        <v>121</v>
      </c>
      <c r="AG662">
        <v>78</v>
      </c>
      <c r="AH662">
        <v>333</v>
      </c>
      <c r="AI662">
        <v>333</v>
      </c>
      <c r="AJ662">
        <v>1</v>
      </c>
      <c r="AK662">
        <v>0</v>
      </c>
      <c r="AL662">
        <v>2</v>
      </c>
      <c r="AM662">
        <v>0</v>
      </c>
      <c r="AN662">
        <v>0.13477399945259089</v>
      </c>
      <c r="AO662"/>
      <c r="AP662"/>
      <c r="AQ662"/>
      <c r="AR662"/>
      <c r="AS662"/>
      <c r="AT662"/>
      <c r="AU662"/>
      <c r="AV662"/>
      <c r="AW662"/>
      <c r="AX662"/>
      <c r="AY662"/>
      <c r="AZ662"/>
      <c r="BA662"/>
      <c r="BB662"/>
      <c r="BC662"/>
      <c r="BD662"/>
      <c r="BE662"/>
      <c r="BF662"/>
      <c r="BG662" t="s">
        <v>5</v>
      </c>
      <c r="BH662"/>
      <c r="BI662"/>
      <c r="BJ662" t="s">
        <v>5</v>
      </c>
      <c r="BK662"/>
      <c r="BL662">
        <v>0</v>
      </c>
      <c r="BM662"/>
      <c r="BN662" t="s">
        <v>5</v>
      </c>
      <c r="BO662" t="s">
        <v>2518</v>
      </c>
      <c r="BP662" t="s">
        <v>2518</v>
      </c>
      <c r="BQ662" t="s">
        <v>2518</v>
      </c>
      <c r="BR662"/>
      <c r="BS662" t="s">
        <v>6</v>
      </c>
      <c r="BT662" t="s">
        <v>2518</v>
      </c>
      <c r="BU662" t="s">
        <v>2518</v>
      </c>
      <c r="BV662" t="s">
        <v>2518</v>
      </c>
      <c r="BW662"/>
      <c r="BX662" t="s">
        <v>6</v>
      </c>
      <c r="BY662" t="s">
        <v>7</v>
      </c>
      <c r="BZ662" t="s">
        <v>2518</v>
      </c>
      <c r="CA662"/>
      <c r="CB662" t="s">
        <v>5</v>
      </c>
      <c r="CC662">
        <v>4448.0505135202238</v>
      </c>
      <c r="CD662">
        <v>1134925.3070427249</v>
      </c>
      <c r="CE662" s="313" t="s">
        <v>11891</v>
      </c>
    </row>
    <row r="663" spans="1:83" ht="15" x14ac:dyDescent="0.25">
      <c r="A663" t="s">
        <v>4875</v>
      </c>
      <c r="B663" t="s">
        <v>4870</v>
      </c>
      <c r="C663" t="s">
        <v>4876</v>
      </c>
      <c r="D663">
        <v>4</v>
      </c>
      <c r="E663" t="s">
        <v>2512</v>
      </c>
      <c r="F663" t="s">
        <v>1634</v>
      </c>
      <c r="G663" t="s">
        <v>4865</v>
      </c>
      <c r="H663" t="s">
        <v>4871</v>
      </c>
      <c r="I663" t="s">
        <v>4872</v>
      </c>
      <c r="J663" t="s">
        <v>4873</v>
      </c>
      <c r="K663" t="s">
        <v>4767</v>
      </c>
      <c r="L663">
        <v>0.95927232503890991</v>
      </c>
      <c r="M663" t="s">
        <v>6</v>
      </c>
      <c r="N663" t="s">
        <v>5</v>
      </c>
      <c r="O663" t="s">
        <v>5</v>
      </c>
      <c r="P663" t="s">
        <v>5</v>
      </c>
      <c r="Q663" t="s">
        <v>5</v>
      </c>
      <c r="R663" t="s">
        <v>4874</v>
      </c>
      <c r="S663" t="s">
        <v>4874</v>
      </c>
      <c r="T663" t="s">
        <v>5</v>
      </c>
      <c r="U663" t="s">
        <v>13</v>
      </c>
      <c r="V663">
        <v>11500</v>
      </c>
      <c r="W663">
        <v>11500</v>
      </c>
      <c r="X663" t="s">
        <v>6</v>
      </c>
      <c r="Y663"/>
      <c r="Z663">
        <v>0</v>
      </c>
      <c r="AA663">
        <v>3.6248750984668732E-2</v>
      </c>
      <c r="AB663">
        <v>4.1956999339163303E-3</v>
      </c>
      <c r="AC663">
        <v>0</v>
      </c>
      <c r="AD663">
        <v>0</v>
      </c>
      <c r="AE663">
        <v>0</v>
      </c>
      <c r="AF663">
        <v>0</v>
      </c>
      <c r="AG663">
        <v>0</v>
      </c>
      <c r="AH663">
        <v>0</v>
      </c>
      <c r="AI663">
        <v>0</v>
      </c>
      <c r="AJ663">
        <v>0</v>
      </c>
      <c r="AK663">
        <v>0</v>
      </c>
      <c r="AL663">
        <v>0</v>
      </c>
      <c r="AM663">
        <v>0</v>
      </c>
      <c r="AN663">
        <v>4.2725052833557129</v>
      </c>
      <c r="AO663"/>
      <c r="AP663"/>
      <c r="AQ663"/>
      <c r="AR663">
        <v>0</v>
      </c>
      <c r="AS663">
        <v>0</v>
      </c>
      <c r="AT663">
        <v>0</v>
      </c>
      <c r="AU663">
        <v>0</v>
      </c>
      <c r="AV663">
        <v>0</v>
      </c>
      <c r="AW663">
        <v>0</v>
      </c>
      <c r="AX663">
        <v>0</v>
      </c>
      <c r="AY663">
        <v>0</v>
      </c>
      <c r="AZ663">
        <v>0</v>
      </c>
      <c r="BA663">
        <v>0</v>
      </c>
      <c r="BB663"/>
      <c r="BC663"/>
      <c r="BD663"/>
      <c r="BE663">
        <v>0</v>
      </c>
      <c r="BF663" t="s">
        <v>2516</v>
      </c>
      <c r="BG663" t="s">
        <v>5</v>
      </c>
      <c r="BH663" t="s">
        <v>1020</v>
      </c>
      <c r="BI663" t="s">
        <v>2517</v>
      </c>
      <c r="BJ663" t="s">
        <v>5</v>
      </c>
      <c r="BK663" t="s">
        <v>1100</v>
      </c>
      <c r="BL663">
        <v>0</v>
      </c>
      <c r="BM663"/>
      <c r="BN663" t="s">
        <v>5</v>
      </c>
      <c r="BO663" t="s">
        <v>2518</v>
      </c>
      <c r="BP663" t="s">
        <v>2518</v>
      </c>
      <c r="BQ663" t="s">
        <v>2518</v>
      </c>
      <c r="BR663" t="s">
        <v>2518</v>
      </c>
      <c r="BS663" t="s">
        <v>6</v>
      </c>
      <c r="BT663" t="s">
        <v>2518</v>
      </c>
      <c r="BU663" t="s">
        <v>2518</v>
      </c>
      <c r="BV663" t="s">
        <v>2518</v>
      </c>
      <c r="BW663" t="s">
        <v>1100</v>
      </c>
      <c r="BX663" t="s">
        <v>6</v>
      </c>
      <c r="BY663" t="s">
        <v>2519</v>
      </c>
      <c r="BZ663"/>
      <c r="CA663"/>
      <c r="CB663" t="s">
        <v>5</v>
      </c>
      <c r="CC663">
        <v>9638.9416340649404</v>
      </c>
      <c r="CD663">
        <v>2484503.9533344139</v>
      </c>
      <c r="CE663" s="313" t="s">
        <v>11891</v>
      </c>
    </row>
    <row r="664" spans="1:83" ht="15" x14ac:dyDescent="0.25">
      <c r="A664" t="s">
        <v>4836</v>
      </c>
      <c r="B664" t="s">
        <v>4837</v>
      </c>
      <c r="C664" t="s">
        <v>4838</v>
      </c>
      <c r="D664">
        <v>4</v>
      </c>
      <c r="E664" t="s">
        <v>2512</v>
      </c>
      <c r="F664" t="s">
        <v>2553</v>
      </c>
      <c r="G664" t="s">
        <v>2537</v>
      </c>
      <c r="H664" t="s">
        <v>2554</v>
      </c>
      <c r="I664" t="s">
        <v>2555</v>
      </c>
      <c r="J664" t="s">
        <v>2556</v>
      </c>
      <c r="K664" t="s">
        <v>4767</v>
      </c>
      <c r="L664">
        <v>2.4208247661590581</v>
      </c>
      <c r="M664" t="s">
        <v>6</v>
      </c>
      <c r="N664" t="s">
        <v>5</v>
      </c>
      <c r="O664" t="s">
        <v>5</v>
      </c>
      <c r="P664" t="s">
        <v>5</v>
      </c>
      <c r="Q664" t="s">
        <v>5</v>
      </c>
      <c r="R664" t="s">
        <v>2557</v>
      </c>
      <c r="S664" t="s">
        <v>2557</v>
      </c>
      <c r="T664" t="s">
        <v>5</v>
      </c>
      <c r="U664" t="s">
        <v>13</v>
      </c>
      <c r="V664">
        <v>10500</v>
      </c>
      <c r="W664">
        <v>10500</v>
      </c>
      <c r="X664" t="s">
        <v>6</v>
      </c>
      <c r="Y664"/>
      <c r="Z664">
        <v>0</v>
      </c>
      <c r="AA664">
        <v>1.215219259262085</v>
      </c>
      <c r="AB664">
        <v>5.0339870154857642E-2</v>
      </c>
      <c r="AC664">
        <v>0</v>
      </c>
      <c r="AD664">
        <v>249</v>
      </c>
      <c r="AE664">
        <v>41</v>
      </c>
      <c r="AF664">
        <v>224</v>
      </c>
      <c r="AG664">
        <v>89</v>
      </c>
      <c r="AH664">
        <v>364</v>
      </c>
      <c r="AI664">
        <v>364</v>
      </c>
      <c r="AJ664">
        <v>0</v>
      </c>
      <c r="AK664">
        <v>0</v>
      </c>
      <c r="AL664">
        <v>1</v>
      </c>
      <c r="AM664">
        <v>0</v>
      </c>
      <c r="AN664">
        <v>4.3455944061279297</v>
      </c>
      <c r="AO664"/>
      <c r="AP664"/>
      <c r="AQ664"/>
      <c r="AR664">
        <v>0</v>
      </c>
      <c r="AS664">
        <v>0</v>
      </c>
      <c r="AT664">
        <v>0</v>
      </c>
      <c r="AU664">
        <v>0</v>
      </c>
      <c r="AV664">
        <v>0</v>
      </c>
      <c r="AW664">
        <v>0</v>
      </c>
      <c r="AX664">
        <v>0</v>
      </c>
      <c r="AY664">
        <v>0</v>
      </c>
      <c r="AZ664">
        <v>0</v>
      </c>
      <c r="BA664">
        <v>0</v>
      </c>
      <c r="BB664"/>
      <c r="BC664"/>
      <c r="BD664"/>
      <c r="BE664">
        <v>0</v>
      </c>
      <c r="BF664" t="s">
        <v>2516</v>
      </c>
      <c r="BG664" t="s">
        <v>5</v>
      </c>
      <c r="BH664" t="s">
        <v>1020</v>
      </c>
      <c r="BI664" t="s">
        <v>2517</v>
      </c>
      <c r="BJ664" t="s">
        <v>5</v>
      </c>
      <c r="BK664" t="s">
        <v>1100</v>
      </c>
      <c r="BL664">
        <v>0</v>
      </c>
      <c r="BM664"/>
      <c r="BN664" t="s">
        <v>5</v>
      </c>
      <c r="BO664" t="s">
        <v>2518</v>
      </c>
      <c r="BP664" t="s">
        <v>2518</v>
      </c>
      <c r="BQ664" t="s">
        <v>2518</v>
      </c>
      <c r="BR664" t="s">
        <v>2518</v>
      </c>
      <c r="BS664" t="s">
        <v>6</v>
      </c>
      <c r="BT664" t="s">
        <v>2518</v>
      </c>
      <c r="BU664" t="s">
        <v>2518</v>
      </c>
      <c r="BV664" t="s">
        <v>2518</v>
      </c>
      <c r="BW664" t="s">
        <v>1100</v>
      </c>
      <c r="BX664" t="s">
        <v>6</v>
      </c>
      <c r="BY664" t="s">
        <v>2519</v>
      </c>
      <c r="BZ664"/>
      <c r="CA664"/>
      <c r="CB664" t="s">
        <v>5</v>
      </c>
      <c r="CC664">
        <v>13609.02486513186</v>
      </c>
      <c r="CD664">
        <v>6269907.6003069105</v>
      </c>
      <c r="CE664" s="313" t="s">
        <v>11891</v>
      </c>
    </row>
    <row r="665" spans="1:83" ht="15" x14ac:dyDescent="0.25">
      <c r="A665" t="s">
        <v>4842</v>
      </c>
      <c r="B665" t="s">
        <v>4837</v>
      </c>
      <c r="C665" t="s">
        <v>4843</v>
      </c>
      <c r="D665">
        <v>4</v>
      </c>
      <c r="E665" t="s">
        <v>2512</v>
      </c>
      <c r="F665" t="s">
        <v>2553</v>
      </c>
      <c r="G665" t="s">
        <v>2537</v>
      </c>
      <c r="H665" t="s">
        <v>2554</v>
      </c>
      <c r="I665" t="s">
        <v>2555</v>
      </c>
      <c r="J665" t="s">
        <v>2556</v>
      </c>
      <c r="K665" t="s">
        <v>4767</v>
      </c>
      <c r="L665">
        <v>2.4208247661590581</v>
      </c>
      <c r="M665" t="s">
        <v>6</v>
      </c>
      <c r="N665" t="s">
        <v>5</v>
      </c>
      <c r="O665" t="s">
        <v>5</v>
      </c>
      <c r="P665" t="s">
        <v>5</v>
      </c>
      <c r="Q665" t="s">
        <v>5</v>
      </c>
      <c r="R665" t="s">
        <v>2557</v>
      </c>
      <c r="S665" t="s">
        <v>2557</v>
      </c>
      <c r="T665" t="s">
        <v>5</v>
      </c>
      <c r="U665" t="s">
        <v>13</v>
      </c>
      <c r="V665">
        <v>10500</v>
      </c>
      <c r="W665">
        <v>10500</v>
      </c>
      <c r="X665" t="s">
        <v>6</v>
      </c>
      <c r="Y665"/>
      <c r="Z665">
        <v>0</v>
      </c>
      <c r="AA665">
        <v>1.215219259262085</v>
      </c>
      <c r="AB665">
        <v>5.0339870154857642E-2</v>
      </c>
      <c r="AC665">
        <v>0</v>
      </c>
      <c r="AD665">
        <v>249</v>
      </c>
      <c r="AE665">
        <v>41</v>
      </c>
      <c r="AF665">
        <v>224</v>
      </c>
      <c r="AG665">
        <v>89</v>
      </c>
      <c r="AH665">
        <v>364</v>
      </c>
      <c r="AI665">
        <v>364</v>
      </c>
      <c r="AJ665">
        <v>0</v>
      </c>
      <c r="AK665">
        <v>0</v>
      </c>
      <c r="AL665">
        <v>1</v>
      </c>
      <c r="AM665">
        <v>0</v>
      </c>
      <c r="AN665">
        <v>4.3455944061279297</v>
      </c>
      <c r="AO665"/>
      <c r="AP665"/>
      <c r="AQ665"/>
      <c r="AR665">
        <v>0</v>
      </c>
      <c r="AS665">
        <v>0</v>
      </c>
      <c r="AT665">
        <v>0</v>
      </c>
      <c r="AU665">
        <v>0</v>
      </c>
      <c r="AV665">
        <v>0</v>
      </c>
      <c r="AW665">
        <v>0</v>
      </c>
      <c r="AX665">
        <v>0</v>
      </c>
      <c r="AY665">
        <v>0</v>
      </c>
      <c r="AZ665">
        <v>0</v>
      </c>
      <c r="BA665">
        <v>0</v>
      </c>
      <c r="BB665"/>
      <c r="BC665"/>
      <c r="BD665"/>
      <c r="BE665">
        <v>0</v>
      </c>
      <c r="BF665" t="s">
        <v>2516</v>
      </c>
      <c r="BG665" t="s">
        <v>5</v>
      </c>
      <c r="BH665" t="s">
        <v>1020</v>
      </c>
      <c r="BI665" t="s">
        <v>2517</v>
      </c>
      <c r="BJ665" t="s">
        <v>5</v>
      </c>
      <c r="BK665" t="s">
        <v>1100</v>
      </c>
      <c r="BL665">
        <v>0</v>
      </c>
      <c r="BM665"/>
      <c r="BN665" t="s">
        <v>5</v>
      </c>
      <c r="BO665" t="s">
        <v>2518</v>
      </c>
      <c r="BP665" t="s">
        <v>2518</v>
      </c>
      <c r="BQ665" t="s">
        <v>2518</v>
      </c>
      <c r="BR665" t="s">
        <v>2518</v>
      </c>
      <c r="BS665" t="s">
        <v>6</v>
      </c>
      <c r="BT665" t="s">
        <v>2518</v>
      </c>
      <c r="BU665" t="s">
        <v>2518</v>
      </c>
      <c r="BV665" t="s">
        <v>2518</v>
      </c>
      <c r="BW665" t="s">
        <v>1100</v>
      </c>
      <c r="BX665" t="s">
        <v>6</v>
      </c>
      <c r="BY665" t="s">
        <v>2519</v>
      </c>
      <c r="BZ665"/>
      <c r="CA665"/>
      <c r="CB665" t="s">
        <v>5</v>
      </c>
      <c r="CC665">
        <v>13609.02486513186</v>
      </c>
      <c r="CD665">
        <v>6269907.6003069105</v>
      </c>
      <c r="CE665" s="313" t="s">
        <v>11891</v>
      </c>
    </row>
    <row r="666" spans="1:83" ht="15" x14ac:dyDescent="0.25">
      <c r="A666" t="s">
        <v>2634</v>
      </c>
      <c r="B666" t="s">
        <v>2635</v>
      </c>
      <c r="C666" t="s">
        <v>2636</v>
      </c>
      <c r="D666">
        <v>5</v>
      </c>
      <c r="E666" t="s">
        <v>2598</v>
      </c>
      <c r="F666" t="s">
        <v>1772</v>
      </c>
      <c r="G666" t="s">
        <v>2571</v>
      </c>
      <c r="H666" t="s">
        <v>2637</v>
      </c>
      <c r="I666"/>
      <c r="J666" t="s">
        <v>2638</v>
      </c>
      <c r="K666" t="s">
        <v>2629</v>
      </c>
      <c r="L666">
        <v>495.35064697265619</v>
      </c>
      <c r="M666" t="s">
        <v>6</v>
      </c>
      <c r="N666" t="s">
        <v>5</v>
      </c>
      <c r="O666" t="s">
        <v>6</v>
      </c>
      <c r="P666" t="s">
        <v>5</v>
      </c>
      <c r="Q666" t="s">
        <v>5</v>
      </c>
      <c r="R666" t="s">
        <v>1776</v>
      </c>
      <c r="S666" t="s">
        <v>1776</v>
      </c>
      <c r="T666" t="s">
        <v>6</v>
      </c>
      <c r="U666" t="s">
        <v>85</v>
      </c>
      <c r="V666">
        <v>2000000</v>
      </c>
      <c r="W666">
        <v>10500</v>
      </c>
      <c r="X666" t="s">
        <v>6</v>
      </c>
      <c r="Y666"/>
      <c r="Z666"/>
      <c r="AA666">
        <v>70.713302612304688</v>
      </c>
      <c r="AB666">
        <v>3.9517948627471919</v>
      </c>
      <c r="AC666">
        <v>3.9604015350341801</v>
      </c>
      <c r="AD666">
        <v>69</v>
      </c>
      <c r="AE666">
        <v>29</v>
      </c>
      <c r="AF666">
        <v>28</v>
      </c>
      <c r="AG666">
        <v>22</v>
      </c>
      <c r="AH666">
        <v>61</v>
      </c>
      <c r="AI666">
        <v>73</v>
      </c>
      <c r="AJ666">
        <v>0</v>
      </c>
      <c r="AK666">
        <v>2</v>
      </c>
      <c r="AL666">
        <v>22</v>
      </c>
      <c r="AM666">
        <v>2</v>
      </c>
      <c r="AN666">
        <v>348.31265258789063</v>
      </c>
      <c r="AO666"/>
      <c r="AP666"/>
      <c r="AQ666"/>
      <c r="AR666">
        <v>0</v>
      </c>
      <c r="AS666">
        <v>0</v>
      </c>
      <c r="AT666">
        <v>0</v>
      </c>
      <c r="AU666">
        <v>0</v>
      </c>
      <c r="AV666">
        <v>0</v>
      </c>
      <c r="AW666">
        <v>0</v>
      </c>
      <c r="AX666">
        <v>0</v>
      </c>
      <c r="AY666">
        <v>0</v>
      </c>
      <c r="AZ666">
        <v>0</v>
      </c>
      <c r="BA666">
        <v>0</v>
      </c>
      <c r="BB666"/>
      <c r="BC666"/>
      <c r="BD666"/>
      <c r="BE666">
        <v>0</v>
      </c>
      <c r="BF666" t="s">
        <v>2516</v>
      </c>
      <c r="BG666" t="s">
        <v>5</v>
      </c>
      <c r="BH666" t="s">
        <v>1020</v>
      </c>
      <c r="BI666"/>
      <c r="BJ666" t="s">
        <v>5</v>
      </c>
      <c r="BK666"/>
      <c r="BL666">
        <v>0</v>
      </c>
      <c r="BM666"/>
      <c r="BN666" t="s">
        <v>5</v>
      </c>
      <c r="BO666" t="s">
        <v>2518</v>
      </c>
      <c r="BP666" t="s">
        <v>2518</v>
      </c>
      <c r="BQ666" t="s">
        <v>2518</v>
      </c>
      <c r="BR666"/>
      <c r="BS666" t="s">
        <v>6</v>
      </c>
      <c r="BT666" t="s">
        <v>2518</v>
      </c>
      <c r="BU666" t="s">
        <v>2518</v>
      </c>
      <c r="BV666" t="s">
        <v>2518</v>
      </c>
      <c r="BW666"/>
      <c r="BX666" t="s">
        <v>6</v>
      </c>
      <c r="BY666" t="s">
        <v>2605</v>
      </c>
      <c r="BZ666" t="s">
        <v>2518</v>
      </c>
      <c r="CA666"/>
      <c r="CB666" t="s">
        <v>5</v>
      </c>
      <c r="CC666">
        <v>247720.06472447389</v>
      </c>
      <c r="CD666">
        <v>1282952257.090363</v>
      </c>
      <c r="CE666" s="313" t="s">
        <v>11891</v>
      </c>
    </row>
    <row r="667" spans="1:83" ht="15" x14ac:dyDescent="0.25">
      <c r="A667" t="s">
        <v>4801</v>
      </c>
      <c r="B667" t="s">
        <v>4802</v>
      </c>
      <c r="C667" t="s">
        <v>4791</v>
      </c>
      <c r="D667">
        <v>4</v>
      </c>
      <c r="E667" t="s">
        <v>2512</v>
      </c>
      <c r="F667" t="s">
        <v>2138</v>
      </c>
      <c r="G667" t="s">
        <v>2513</v>
      </c>
      <c r="H667" t="s">
        <v>2521</v>
      </c>
      <c r="I667" t="s">
        <v>2532</v>
      </c>
      <c r="J667" t="s">
        <v>2533</v>
      </c>
      <c r="K667" t="s">
        <v>4792</v>
      </c>
      <c r="L667">
        <v>3.6676278114318852</v>
      </c>
      <c r="M667" t="s">
        <v>6</v>
      </c>
      <c r="N667" t="s">
        <v>5</v>
      </c>
      <c r="O667" t="s">
        <v>5</v>
      </c>
      <c r="P667" t="s">
        <v>5</v>
      </c>
      <c r="Q667" t="s">
        <v>5</v>
      </c>
      <c r="R667" t="s">
        <v>2141</v>
      </c>
      <c r="S667" t="s">
        <v>2141</v>
      </c>
      <c r="T667" t="s">
        <v>5</v>
      </c>
      <c r="U667" t="s">
        <v>28</v>
      </c>
      <c r="V667">
        <v>10200</v>
      </c>
      <c r="W667">
        <v>10200</v>
      </c>
      <c r="X667" t="s">
        <v>6</v>
      </c>
      <c r="Y667"/>
      <c r="Z667">
        <v>0</v>
      </c>
      <c r="AA667">
        <v>0.3215312659740448</v>
      </c>
      <c r="AB667">
        <v>3.7706591188907623E-2</v>
      </c>
      <c r="AC667">
        <v>0</v>
      </c>
      <c r="AD667">
        <v>12</v>
      </c>
      <c r="AE667">
        <v>1</v>
      </c>
      <c r="AF667">
        <v>4</v>
      </c>
      <c r="AG667">
        <v>29</v>
      </c>
      <c r="AH667">
        <v>10</v>
      </c>
      <c r="AI667">
        <v>29</v>
      </c>
      <c r="AJ667">
        <v>0</v>
      </c>
      <c r="AK667">
        <v>0</v>
      </c>
      <c r="AL667">
        <v>0</v>
      </c>
      <c r="AM667">
        <v>0</v>
      </c>
      <c r="AN667">
        <v>47.200588226318359</v>
      </c>
      <c r="AO667"/>
      <c r="AP667"/>
      <c r="AQ667"/>
      <c r="AR667">
        <v>0</v>
      </c>
      <c r="AS667">
        <v>0</v>
      </c>
      <c r="AT667">
        <v>0</v>
      </c>
      <c r="AU667">
        <v>0</v>
      </c>
      <c r="AV667">
        <v>0</v>
      </c>
      <c r="AW667">
        <v>0</v>
      </c>
      <c r="AX667">
        <v>0</v>
      </c>
      <c r="AY667">
        <v>0</v>
      </c>
      <c r="AZ667">
        <v>0</v>
      </c>
      <c r="BA667">
        <v>0</v>
      </c>
      <c r="BB667"/>
      <c r="BC667"/>
      <c r="BD667"/>
      <c r="BE667">
        <v>0</v>
      </c>
      <c r="BF667" t="s">
        <v>2516</v>
      </c>
      <c r="BG667" t="s">
        <v>5</v>
      </c>
      <c r="BH667" t="s">
        <v>1020</v>
      </c>
      <c r="BI667" t="s">
        <v>2517</v>
      </c>
      <c r="BJ667" t="s">
        <v>5</v>
      </c>
      <c r="BK667" t="s">
        <v>1100</v>
      </c>
      <c r="BL667">
        <v>0</v>
      </c>
      <c r="BM667"/>
      <c r="BN667" t="s">
        <v>5</v>
      </c>
      <c r="BO667" t="s">
        <v>2518</v>
      </c>
      <c r="BP667" t="s">
        <v>2518</v>
      </c>
      <c r="BQ667" t="s">
        <v>2518</v>
      </c>
      <c r="BR667" t="s">
        <v>2518</v>
      </c>
      <c r="BS667" t="s">
        <v>6</v>
      </c>
      <c r="BT667" t="s">
        <v>2518</v>
      </c>
      <c r="BU667" t="s">
        <v>2518</v>
      </c>
      <c r="BV667" t="s">
        <v>2518</v>
      </c>
      <c r="BW667" t="s">
        <v>1100</v>
      </c>
      <c r="BX667" t="s">
        <v>6</v>
      </c>
      <c r="BY667" t="s">
        <v>2519</v>
      </c>
      <c r="BZ667"/>
      <c r="CA667"/>
      <c r="CB667" t="s">
        <v>5</v>
      </c>
      <c r="CC667">
        <v>21548.833680663531</v>
      </c>
      <c r="CD667">
        <v>9499112.1981864646</v>
      </c>
      <c r="CE667" s="313" t="s">
        <v>11891</v>
      </c>
    </row>
    <row r="668" spans="1:83" ht="15" x14ac:dyDescent="0.25">
      <c r="A668" t="s">
        <v>4803</v>
      </c>
      <c r="B668" t="s">
        <v>4804</v>
      </c>
      <c r="C668" t="s">
        <v>4805</v>
      </c>
      <c r="D668">
        <v>4</v>
      </c>
      <c r="E668" t="s">
        <v>2512</v>
      </c>
      <c r="F668" t="s">
        <v>2138</v>
      </c>
      <c r="G668" t="s">
        <v>2513</v>
      </c>
      <c r="H668" t="s">
        <v>2521</v>
      </c>
      <c r="I668" t="s">
        <v>2532</v>
      </c>
      <c r="J668" t="s">
        <v>2533</v>
      </c>
      <c r="K668" t="s">
        <v>4806</v>
      </c>
      <c r="L668">
        <v>3.6676278114318852</v>
      </c>
      <c r="M668" t="s">
        <v>6</v>
      </c>
      <c r="N668" t="s">
        <v>5</v>
      </c>
      <c r="O668" t="s">
        <v>5</v>
      </c>
      <c r="P668" t="s">
        <v>5</v>
      </c>
      <c r="Q668" t="s">
        <v>5</v>
      </c>
      <c r="R668" t="s">
        <v>2141</v>
      </c>
      <c r="S668" t="s">
        <v>2141</v>
      </c>
      <c r="T668" t="s">
        <v>5</v>
      </c>
      <c r="U668" t="s">
        <v>13</v>
      </c>
      <c r="V668">
        <v>10200</v>
      </c>
      <c r="W668">
        <v>10200</v>
      </c>
      <c r="X668" t="s">
        <v>6</v>
      </c>
      <c r="Y668"/>
      <c r="Z668">
        <v>0</v>
      </c>
      <c r="AA668">
        <v>0.3215312659740448</v>
      </c>
      <c r="AB668">
        <v>3.7706591188907623E-2</v>
      </c>
      <c r="AC668">
        <v>0</v>
      </c>
      <c r="AD668">
        <v>12</v>
      </c>
      <c r="AE668">
        <v>1</v>
      </c>
      <c r="AF668">
        <v>4</v>
      </c>
      <c r="AG668">
        <v>29</v>
      </c>
      <c r="AH668">
        <v>10</v>
      </c>
      <c r="AI668">
        <v>29</v>
      </c>
      <c r="AJ668">
        <v>0</v>
      </c>
      <c r="AK668">
        <v>0</v>
      </c>
      <c r="AL668">
        <v>0</v>
      </c>
      <c r="AM668">
        <v>0</v>
      </c>
      <c r="AN668">
        <v>47.200588226318359</v>
      </c>
      <c r="AO668"/>
      <c r="AP668"/>
      <c r="AQ668"/>
      <c r="AR668">
        <v>0</v>
      </c>
      <c r="AS668">
        <v>0</v>
      </c>
      <c r="AT668">
        <v>0</v>
      </c>
      <c r="AU668">
        <v>0</v>
      </c>
      <c r="AV668">
        <v>0</v>
      </c>
      <c r="AW668">
        <v>0</v>
      </c>
      <c r="AX668">
        <v>0</v>
      </c>
      <c r="AY668">
        <v>0</v>
      </c>
      <c r="AZ668">
        <v>0</v>
      </c>
      <c r="BA668">
        <v>0</v>
      </c>
      <c r="BB668"/>
      <c r="BC668"/>
      <c r="BD668"/>
      <c r="BE668">
        <v>0</v>
      </c>
      <c r="BF668" t="s">
        <v>2516</v>
      </c>
      <c r="BG668" t="s">
        <v>5</v>
      </c>
      <c r="BH668" t="s">
        <v>1020</v>
      </c>
      <c r="BI668" t="s">
        <v>2517</v>
      </c>
      <c r="BJ668" t="s">
        <v>5</v>
      </c>
      <c r="BK668" t="s">
        <v>1100</v>
      </c>
      <c r="BL668">
        <v>0</v>
      </c>
      <c r="BM668"/>
      <c r="BN668" t="s">
        <v>5</v>
      </c>
      <c r="BO668" t="s">
        <v>2518</v>
      </c>
      <c r="BP668" t="s">
        <v>2518</v>
      </c>
      <c r="BQ668" t="s">
        <v>2518</v>
      </c>
      <c r="BR668" t="s">
        <v>2518</v>
      </c>
      <c r="BS668" t="s">
        <v>6</v>
      </c>
      <c r="BT668" t="s">
        <v>2518</v>
      </c>
      <c r="BU668" t="s">
        <v>2518</v>
      </c>
      <c r="BV668" t="s">
        <v>2518</v>
      </c>
      <c r="BW668" t="s">
        <v>1100</v>
      </c>
      <c r="BX668" t="s">
        <v>6</v>
      </c>
      <c r="BY668" t="s">
        <v>2519</v>
      </c>
      <c r="BZ668"/>
      <c r="CA668"/>
      <c r="CB668" t="s">
        <v>5</v>
      </c>
      <c r="CC668">
        <v>21548.833680663531</v>
      </c>
      <c r="CD668">
        <v>9499112.1981864646</v>
      </c>
      <c r="CE668" s="313" t="s">
        <v>11891</v>
      </c>
    </row>
    <row r="669" spans="1:83" ht="15" x14ac:dyDescent="0.25">
      <c r="A669" t="s">
        <v>4757</v>
      </c>
      <c r="B669" t="s">
        <v>4758</v>
      </c>
      <c r="C669" t="s">
        <v>4759</v>
      </c>
      <c r="D669">
        <v>4</v>
      </c>
      <c r="E669" t="s">
        <v>2512</v>
      </c>
      <c r="F669" t="s">
        <v>2138</v>
      </c>
      <c r="G669" t="s">
        <v>2513</v>
      </c>
      <c r="H669" t="s">
        <v>4760</v>
      </c>
      <c r="I669" t="s">
        <v>2514</v>
      </c>
      <c r="J669" t="s">
        <v>2515</v>
      </c>
      <c r="K669" t="s">
        <v>4761</v>
      </c>
      <c r="L669">
        <v>856.371826171875</v>
      </c>
      <c r="M669" t="s">
        <v>6</v>
      </c>
      <c r="N669" t="s">
        <v>5</v>
      </c>
      <c r="O669" t="s">
        <v>5</v>
      </c>
      <c r="P669" t="s">
        <v>5</v>
      </c>
      <c r="Q669" t="s">
        <v>5</v>
      </c>
      <c r="R669" t="s">
        <v>2494</v>
      </c>
      <c r="S669" t="s">
        <v>2494</v>
      </c>
      <c r="T669" t="s">
        <v>5</v>
      </c>
      <c r="U669" t="s">
        <v>50</v>
      </c>
      <c r="V669">
        <v>10000</v>
      </c>
      <c r="W669">
        <v>10000</v>
      </c>
      <c r="X669" t="s">
        <v>6</v>
      </c>
      <c r="Y669"/>
      <c r="Z669">
        <v>0</v>
      </c>
      <c r="AA669">
        <v>203.25132751464841</v>
      </c>
      <c r="AB669">
        <v>10.48973178863525</v>
      </c>
      <c r="AC669">
        <v>0</v>
      </c>
      <c r="AD669">
        <v>1080</v>
      </c>
      <c r="AE669">
        <v>150</v>
      </c>
      <c r="AF669">
        <v>452</v>
      </c>
      <c r="AG669">
        <v>1471</v>
      </c>
      <c r="AH669">
        <v>713</v>
      </c>
      <c r="AI669">
        <v>1471</v>
      </c>
      <c r="AJ669">
        <v>13</v>
      </c>
      <c r="AK669">
        <v>9</v>
      </c>
      <c r="AL669">
        <v>79</v>
      </c>
      <c r="AM669">
        <v>9</v>
      </c>
      <c r="AN669">
        <v>26372.447265625</v>
      </c>
      <c r="AO669"/>
      <c r="AP669"/>
      <c r="AQ669"/>
      <c r="AR669">
        <v>0</v>
      </c>
      <c r="AS669">
        <v>0</v>
      </c>
      <c r="AT669">
        <v>0</v>
      </c>
      <c r="AU669">
        <v>0</v>
      </c>
      <c r="AV669">
        <v>0</v>
      </c>
      <c r="AW669">
        <v>0</v>
      </c>
      <c r="AX669">
        <v>0</v>
      </c>
      <c r="AY669">
        <v>0</v>
      </c>
      <c r="AZ669">
        <v>0</v>
      </c>
      <c r="BA669">
        <v>0</v>
      </c>
      <c r="BB669"/>
      <c r="BC669"/>
      <c r="BD669"/>
      <c r="BE669">
        <v>0</v>
      </c>
      <c r="BF669" t="s">
        <v>2516</v>
      </c>
      <c r="BG669" t="s">
        <v>5</v>
      </c>
      <c r="BH669" t="s">
        <v>1020</v>
      </c>
      <c r="BI669" t="s">
        <v>2517</v>
      </c>
      <c r="BJ669" t="s">
        <v>5</v>
      </c>
      <c r="BK669" t="s">
        <v>1100</v>
      </c>
      <c r="BL669">
        <v>0</v>
      </c>
      <c r="BM669"/>
      <c r="BN669" t="s">
        <v>5</v>
      </c>
      <c r="BO669" t="s">
        <v>2518</v>
      </c>
      <c r="BP669" t="s">
        <v>2518</v>
      </c>
      <c r="BQ669" t="s">
        <v>2518</v>
      </c>
      <c r="BR669" t="s">
        <v>2518</v>
      </c>
      <c r="BS669" t="s">
        <v>6</v>
      </c>
      <c r="BT669" t="s">
        <v>2518</v>
      </c>
      <c r="BU669" t="s">
        <v>2518</v>
      </c>
      <c r="BV669" t="s">
        <v>2518</v>
      </c>
      <c r="BW669" t="s">
        <v>1100</v>
      </c>
      <c r="BX669" t="s">
        <v>6</v>
      </c>
      <c r="BY669" t="s">
        <v>2519</v>
      </c>
      <c r="BZ669"/>
      <c r="CA669"/>
      <c r="CB669" t="s">
        <v>5</v>
      </c>
      <c r="CC669">
        <v>243896.6586158633</v>
      </c>
      <c r="CD669">
        <v>2217992855.9883828</v>
      </c>
      <c r="CE669" s="313" t="s">
        <v>11891</v>
      </c>
    </row>
    <row r="670" spans="1:83" ht="15" x14ac:dyDescent="0.25">
      <c r="A670" t="s">
        <v>12068</v>
      </c>
      <c r="B670" t="s">
        <v>12069</v>
      </c>
      <c r="C670" t="s">
        <v>12070</v>
      </c>
      <c r="D670">
        <v>4</v>
      </c>
      <c r="E670" t="s">
        <v>2512</v>
      </c>
      <c r="F670" t="s">
        <v>2138</v>
      </c>
      <c r="G670" t="s">
        <v>2513</v>
      </c>
      <c r="H670" t="s">
        <v>2521</v>
      </c>
      <c r="I670" t="s">
        <v>12071</v>
      </c>
      <c r="J670" t="s">
        <v>12072</v>
      </c>
      <c r="K670" t="s">
        <v>4752</v>
      </c>
      <c r="L670">
        <v>1.4051921367645259</v>
      </c>
      <c r="M670" t="s">
        <v>6</v>
      </c>
      <c r="N670" t="s">
        <v>5</v>
      </c>
      <c r="O670" t="s">
        <v>5</v>
      </c>
      <c r="P670" t="s">
        <v>5</v>
      </c>
      <c r="Q670" t="s">
        <v>5</v>
      </c>
      <c r="R670" t="s">
        <v>2522</v>
      </c>
      <c r="S670" t="s">
        <v>2522</v>
      </c>
      <c r="T670" t="s">
        <v>5</v>
      </c>
      <c r="U670" t="s">
        <v>28</v>
      </c>
      <c r="V670">
        <v>10000</v>
      </c>
      <c r="W670">
        <v>10000</v>
      </c>
      <c r="X670" t="s">
        <v>6</v>
      </c>
      <c r="Y670"/>
      <c r="Z670">
        <v>0</v>
      </c>
      <c r="AA670">
        <v>0.27930712699890142</v>
      </c>
      <c r="AB670">
        <v>2.286113053560257E-2</v>
      </c>
      <c r="AC670">
        <v>0</v>
      </c>
      <c r="AD670">
        <v>27</v>
      </c>
      <c r="AE670">
        <v>2</v>
      </c>
      <c r="AF670">
        <v>11</v>
      </c>
      <c r="AG670">
        <v>17</v>
      </c>
      <c r="AH670">
        <v>22</v>
      </c>
      <c r="AI670">
        <v>22</v>
      </c>
      <c r="AJ670">
        <v>0</v>
      </c>
      <c r="AK670">
        <v>0</v>
      </c>
      <c r="AL670">
        <v>1</v>
      </c>
      <c r="AM670">
        <v>0</v>
      </c>
      <c r="AN670">
        <v>28.89719200134277</v>
      </c>
      <c r="AO670"/>
      <c r="AP670"/>
      <c r="AQ670"/>
      <c r="AR670">
        <v>0</v>
      </c>
      <c r="AS670">
        <v>0</v>
      </c>
      <c r="AT670">
        <v>0</v>
      </c>
      <c r="AU670">
        <v>0</v>
      </c>
      <c r="AV670">
        <v>0</v>
      </c>
      <c r="AW670">
        <v>0</v>
      </c>
      <c r="AX670">
        <v>0</v>
      </c>
      <c r="AY670">
        <v>0</v>
      </c>
      <c r="AZ670">
        <v>0</v>
      </c>
      <c r="BA670">
        <v>0</v>
      </c>
      <c r="BB670"/>
      <c r="BC670"/>
      <c r="BD670"/>
      <c r="BE670">
        <v>0</v>
      </c>
      <c r="BF670" t="s">
        <v>2516</v>
      </c>
      <c r="BG670" t="s">
        <v>5</v>
      </c>
      <c r="BH670" t="s">
        <v>1020</v>
      </c>
      <c r="BI670" t="s">
        <v>2517</v>
      </c>
      <c r="BJ670" t="s">
        <v>5</v>
      </c>
      <c r="BK670" t="s">
        <v>1100</v>
      </c>
      <c r="BL670">
        <v>0</v>
      </c>
      <c r="BM670"/>
      <c r="BN670" t="s">
        <v>5</v>
      </c>
      <c r="BO670" t="s">
        <v>2518</v>
      </c>
      <c r="BP670" t="s">
        <v>2518</v>
      </c>
      <c r="BQ670" t="s">
        <v>2518</v>
      </c>
      <c r="BR670" t="s">
        <v>2518</v>
      </c>
      <c r="BS670" t="s">
        <v>6</v>
      </c>
      <c r="BT670" t="s">
        <v>2518</v>
      </c>
      <c r="BU670" t="s">
        <v>2518</v>
      </c>
      <c r="BV670" t="s">
        <v>2518</v>
      </c>
      <c r="BW670" t="s">
        <v>1100</v>
      </c>
      <c r="BX670" t="s">
        <v>6</v>
      </c>
      <c r="BY670" t="s">
        <v>2519</v>
      </c>
      <c r="BZ670"/>
      <c r="CA670"/>
      <c r="CB670" t="s">
        <v>5</v>
      </c>
      <c r="CC670">
        <v>18408.505349262141</v>
      </c>
      <c r="CD670">
        <v>3639430.8748970842</v>
      </c>
      <c r="CE670" s="313" t="s">
        <v>11891</v>
      </c>
    </row>
    <row r="671" spans="1:83" ht="15" x14ac:dyDescent="0.25">
      <c r="A671" t="s">
        <v>4775</v>
      </c>
      <c r="B671" t="s">
        <v>4776</v>
      </c>
      <c r="C671" t="s">
        <v>4777</v>
      </c>
      <c r="D671">
        <v>4</v>
      </c>
      <c r="E671" t="s">
        <v>2512</v>
      </c>
      <c r="F671" t="s">
        <v>1575</v>
      </c>
      <c r="G671" t="s">
        <v>2513</v>
      </c>
      <c r="H671" t="s">
        <v>4778</v>
      </c>
      <c r="I671" t="s">
        <v>4779</v>
      </c>
      <c r="J671" t="s">
        <v>4780</v>
      </c>
      <c r="K671" t="s">
        <v>4761</v>
      </c>
      <c r="L671">
        <v>33.000045776367188</v>
      </c>
      <c r="M671" t="s">
        <v>6</v>
      </c>
      <c r="N671" t="s">
        <v>5</v>
      </c>
      <c r="O671" t="s">
        <v>5</v>
      </c>
      <c r="P671" t="s">
        <v>5</v>
      </c>
      <c r="Q671" t="s">
        <v>5</v>
      </c>
      <c r="R671" t="s">
        <v>4781</v>
      </c>
      <c r="S671" t="s">
        <v>4781</v>
      </c>
      <c r="T671" t="s">
        <v>5</v>
      </c>
      <c r="U671" t="s">
        <v>50</v>
      </c>
      <c r="V671">
        <v>10000</v>
      </c>
      <c r="W671">
        <v>10000</v>
      </c>
      <c r="X671" t="s">
        <v>6</v>
      </c>
      <c r="Y671"/>
      <c r="Z671">
        <v>0</v>
      </c>
      <c r="AA671">
        <v>13.52732086181641</v>
      </c>
      <c r="AB671">
        <v>1.263975262641907</v>
      </c>
      <c r="AC671">
        <v>0</v>
      </c>
      <c r="AD671">
        <v>429</v>
      </c>
      <c r="AE671">
        <v>161</v>
      </c>
      <c r="AF671">
        <v>254</v>
      </c>
      <c r="AG671">
        <v>5509</v>
      </c>
      <c r="AH671">
        <v>1102</v>
      </c>
      <c r="AI671">
        <v>5509</v>
      </c>
      <c r="AJ671">
        <v>28</v>
      </c>
      <c r="AK671">
        <v>0</v>
      </c>
      <c r="AL671">
        <v>26</v>
      </c>
      <c r="AM671">
        <v>0</v>
      </c>
      <c r="AN671">
        <v>1338.850463867188</v>
      </c>
      <c r="AO671"/>
      <c r="AP671"/>
      <c r="AQ671"/>
      <c r="AR671">
        <v>0</v>
      </c>
      <c r="AS671">
        <v>0</v>
      </c>
      <c r="AT671">
        <v>0</v>
      </c>
      <c r="AU671">
        <v>0</v>
      </c>
      <c r="AV671">
        <v>0</v>
      </c>
      <c r="AW671">
        <v>0</v>
      </c>
      <c r="AX671">
        <v>0</v>
      </c>
      <c r="AY671">
        <v>0</v>
      </c>
      <c r="AZ671">
        <v>0</v>
      </c>
      <c r="BA671">
        <v>0</v>
      </c>
      <c r="BB671"/>
      <c r="BC671"/>
      <c r="BD671"/>
      <c r="BE671">
        <v>0</v>
      </c>
      <c r="BF671" t="s">
        <v>2516</v>
      </c>
      <c r="BG671" t="s">
        <v>5</v>
      </c>
      <c r="BH671" t="s">
        <v>1020</v>
      </c>
      <c r="BI671" t="s">
        <v>2517</v>
      </c>
      <c r="BJ671" t="s">
        <v>5</v>
      </c>
      <c r="BK671" t="s">
        <v>1100</v>
      </c>
      <c r="BL671">
        <v>0</v>
      </c>
      <c r="BM671"/>
      <c r="BN671" t="s">
        <v>5</v>
      </c>
      <c r="BO671" t="s">
        <v>2518</v>
      </c>
      <c r="BP671" t="s">
        <v>2518</v>
      </c>
      <c r="BQ671" t="s">
        <v>2518</v>
      </c>
      <c r="BR671" t="s">
        <v>2518</v>
      </c>
      <c r="BS671" t="s">
        <v>6</v>
      </c>
      <c r="BT671" t="s">
        <v>2518</v>
      </c>
      <c r="BU671" t="s">
        <v>2518</v>
      </c>
      <c r="BV671" t="s">
        <v>2518</v>
      </c>
      <c r="BW671" t="s">
        <v>1100</v>
      </c>
      <c r="BX671" t="s">
        <v>6</v>
      </c>
      <c r="BY671" t="s">
        <v>2519</v>
      </c>
      <c r="BZ671"/>
      <c r="CA671"/>
      <c r="CB671" t="s">
        <v>5</v>
      </c>
      <c r="CC671">
        <v>75627.58551176326</v>
      </c>
      <c r="CD671">
        <v>85469729.385650098</v>
      </c>
      <c r="CE671" s="313" t="s">
        <v>11891</v>
      </c>
    </row>
    <row r="672" spans="1:83" ht="15" x14ac:dyDescent="0.25">
      <c r="A672" t="s">
        <v>4782</v>
      </c>
      <c r="B672" t="s">
        <v>4783</v>
      </c>
      <c r="C672" t="s">
        <v>4784</v>
      </c>
      <c r="D672">
        <v>4</v>
      </c>
      <c r="E672" t="s">
        <v>2512</v>
      </c>
      <c r="F672" t="s">
        <v>2138</v>
      </c>
      <c r="G672" t="s">
        <v>2513</v>
      </c>
      <c r="H672" t="s">
        <v>4785</v>
      </c>
      <c r="I672" t="s">
        <v>4786</v>
      </c>
      <c r="J672" t="s">
        <v>4787</v>
      </c>
      <c r="K672" t="s">
        <v>4761</v>
      </c>
      <c r="L672">
        <v>1.900088429450989</v>
      </c>
      <c r="M672" t="s">
        <v>6</v>
      </c>
      <c r="N672" t="s">
        <v>5</v>
      </c>
      <c r="O672" t="s">
        <v>5</v>
      </c>
      <c r="P672" t="s">
        <v>5</v>
      </c>
      <c r="Q672" t="s">
        <v>5</v>
      </c>
      <c r="R672" t="s">
        <v>4788</v>
      </c>
      <c r="S672" t="s">
        <v>4788</v>
      </c>
      <c r="T672" t="s">
        <v>5</v>
      </c>
      <c r="U672" t="s">
        <v>50</v>
      </c>
      <c r="V672">
        <v>10000</v>
      </c>
      <c r="W672">
        <v>10000</v>
      </c>
      <c r="X672" t="s">
        <v>6</v>
      </c>
      <c r="Y672"/>
      <c r="Z672">
        <v>0</v>
      </c>
      <c r="AA672">
        <v>0.98897528648376465</v>
      </c>
      <c r="AB672">
        <v>4.4477280229330063E-2</v>
      </c>
      <c r="AC672">
        <v>0</v>
      </c>
      <c r="AD672">
        <v>4</v>
      </c>
      <c r="AE672">
        <v>2</v>
      </c>
      <c r="AF672">
        <v>1</v>
      </c>
      <c r="AG672">
        <v>4</v>
      </c>
      <c r="AH672">
        <v>12</v>
      </c>
      <c r="AI672">
        <v>12</v>
      </c>
      <c r="AJ672">
        <v>0</v>
      </c>
      <c r="AK672">
        <v>0</v>
      </c>
      <c r="AL672">
        <v>2</v>
      </c>
      <c r="AM672">
        <v>0</v>
      </c>
      <c r="AN672">
        <v>126.89296722412109</v>
      </c>
      <c r="AO672"/>
      <c r="AP672"/>
      <c r="AQ672"/>
      <c r="AR672">
        <v>0</v>
      </c>
      <c r="AS672">
        <v>0</v>
      </c>
      <c r="AT672">
        <v>0</v>
      </c>
      <c r="AU672">
        <v>0</v>
      </c>
      <c r="AV672">
        <v>0</v>
      </c>
      <c r="AW672">
        <v>0</v>
      </c>
      <c r="AX672">
        <v>0</v>
      </c>
      <c r="AY672">
        <v>0</v>
      </c>
      <c r="AZ672">
        <v>0</v>
      </c>
      <c r="BA672">
        <v>0</v>
      </c>
      <c r="BB672"/>
      <c r="BC672"/>
      <c r="BD672"/>
      <c r="BE672">
        <v>0</v>
      </c>
      <c r="BF672" t="s">
        <v>2516</v>
      </c>
      <c r="BG672" t="s">
        <v>5</v>
      </c>
      <c r="BH672" t="s">
        <v>1020</v>
      </c>
      <c r="BI672" t="s">
        <v>2517</v>
      </c>
      <c r="BJ672" t="s">
        <v>5</v>
      </c>
      <c r="BK672" t="s">
        <v>1100</v>
      </c>
      <c r="BL672">
        <v>0</v>
      </c>
      <c r="BM672"/>
      <c r="BN672" t="s">
        <v>5</v>
      </c>
      <c r="BO672" t="s">
        <v>2518</v>
      </c>
      <c r="BP672" t="s">
        <v>2518</v>
      </c>
      <c r="BQ672" t="s">
        <v>2518</v>
      </c>
      <c r="BR672" t="s">
        <v>2518</v>
      </c>
      <c r="BS672" t="s">
        <v>6</v>
      </c>
      <c r="BT672" t="s">
        <v>2518</v>
      </c>
      <c r="BU672" t="s">
        <v>2518</v>
      </c>
      <c r="BV672" t="s">
        <v>2518</v>
      </c>
      <c r="BW672" t="s">
        <v>1100</v>
      </c>
      <c r="BX672" t="s">
        <v>6</v>
      </c>
      <c r="BY672" t="s">
        <v>2519</v>
      </c>
      <c r="BZ672"/>
      <c r="CA672"/>
      <c r="CB672" t="s">
        <v>5</v>
      </c>
      <c r="CC672">
        <v>19948.05358858364</v>
      </c>
      <c r="CD672">
        <v>4921206.2876778934</v>
      </c>
      <c r="CE672" s="313" t="s">
        <v>11891</v>
      </c>
    </row>
    <row r="673" spans="1:83" ht="15" x14ac:dyDescent="0.25">
      <c r="A673" t="s">
        <v>4789</v>
      </c>
      <c r="B673" t="s">
        <v>4790</v>
      </c>
      <c r="C673" t="s">
        <v>4791</v>
      </c>
      <c r="D673">
        <v>4</v>
      </c>
      <c r="E673" t="s">
        <v>2512</v>
      </c>
      <c r="F673" t="s">
        <v>2138</v>
      </c>
      <c r="G673" t="s">
        <v>2513</v>
      </c>
      <c r="H673" t="s">
        <v>4785</v>
      </c>
      <c r="I673" t="s">
        <v>4786</v>
      </c>
      <c r="J673" t="s">
        <v>4787</v>
      </c>
      <c r="K673" t="s">
        <v>4792</v>
      </c>
      <c r="L673">
        <v>1.900088429450989</v>
      </c>
      <c r="M673" t="s">
        <v>6</v>
      </c>
      <c r="N673" t="s">
        <v>5</v>
      </c>
      <c r="O673" t="s">
        <v>5</v>
      </c>
      <c r="P673" t="s">
        <v>5</v>
      </c>
      <c r="Q673" t="s">
        <v>5</v>
      </c>
      <c r="R673" t="s">
        <v>4788</v>
      </c>
      <c r="S673" t="s">
        <v>4788</v>
      </c>
      <c r="T673" t="s">
        <v>5</v>
      </c>
      <c r="U673" t="s">
        <v>28</v>
      </c>
      <c r="V673">
        <v>10000</v>
      </c>
      <c r="W673">
        <v>10000</v>
      </c>
      <c r="X673" t="s">
        <v>6</v>
      </c>
      <c r="Y673"/>
      <c r="Z673">
        <v>0</v>
      </c>
      <c r="AA673">
        <v>0.98897528648376465</v>
      </c>
      <c r="AB673">
        <v>4.4477280229330063E-2</v>
      </c>
      <c r="AC673">
        <v>0</v>
      </c>
      <c r="AD673">
        <v>4</v>
      </c>
      <c r="AE673">
        <v>2</v>
      </c>
      <c r="AF673">
        <v>1</v>
      </c>
      <c r="AG673">
        <v>4</v>
      </c>
      <c r="AH673">
        <v>12</v>
      </c>
      <c r="AI673">
        <v>12</v>
      </c>
      <c r="AJ673">
        <v>0</v>
      </c>
      <c r="AK673">
        <v>0</v>
      </c>
      <c r="AL673">
        <v>2</v>
      </c>
      <c r="AM673">
        <v>0</v>
      </c>
      <c r="AN673">
        <v>126.89296722412109</v>
      </c>
      <c r="AO673"/>
      <c r="AP673"/>
      <c r="AQ673"/>
      <c r="AR673">
        <v>0</v>
      </c>
      <c r="AS673">
        <v>0</v>
      </c>
      <c r="AT673">
        <v>0</v>
      </c>
      <c r="AU673">
        <v>0</v>
      </c>
      <c r="AV673">
        <v>0</v>
      </c>
      <c r="AW673">
        <v>0</v>
      </c>
      <c r="AX673">
        <v>0</v>
      </c>
      <c r="AY673">
        <v>0</v>
      </c>
      <c r="AZ673">
        <v>0</v>
      </c>
      <c r="BA673">
        <v>0</v>
      </c>
      <c r="BB673"/>
      <c r="BC673"/>
      <c r="BD673"/>
      <c r="BE673">
        <v>0</v>
      </c>
      <c r="BF673" t="s">
        <v>2516</v>
      </c>
      <c r="BG673" t="s">
        <v>5</v>
      </c>
      <c r="BH673" t="s">
        <v>1020</v>
      </c>
      <c r="BI673" t="s">
        <v>2517</v>
      </c>
      <c r="BJ673" t="s">
        <v>5</v>
      </c>
      <c r="BK673" t="s">
        <v>1100</v>
      </c>
      <c r="BL673">
        <v>0</v>
      </c>
      <c r="BM673"/>
      <c r="BN673" t="s">
        <v>5</v>
      </c>
      <c r="BO673" t="s">
        <v>2518</v>
      </c>
      <c r="BP673" t="s">
        <v>2518</v>
      </c>
      <c r="BQ673" t="s">
        <v>2518</v>
      </c>
      <c r="BR673" t="s">
        <v>2518</v>
      </c>
      <c r="BS673" t="s">
        <v>6</v>
      </c>
      <c r="BT673" t="s">
        <v>2518</v>
      </c>
      <c r="BU673" t="s">
        <v>2518</v>
      </c>
      <c r="BV673" t="s">
        <v>2518</v>
      </c>
      <c r="BW673" t="s">
        <v>1100</v>
      </c>
      <c r="BX673" t="s">
        <v>6</v>
      </c>
      <c r="BY673" t="s">
        <v>2519</v>
      </c>
      <c r="BZ673"/>
      <c r="CA673"/>
      <c r="CB673" t="s">
        <v>5</v>
      </c>
      <c r="CC673">
        <v>19948.05358858364</v>
      </c>
      <c r="CD673">
        <v>4921206.2876778934</v>
      </c>
      <c r="CE673" s="313" t="s">
        <v>11891</v>
      </c>
    </row>
    <row r="674" spans="1:83" ht="15" x14ac:dyDescent="0.25">
      <c r="A674" t="s">
        <v>4793</v>
      </c>
      <c r="B674" t="s">
        <v>4794</v>
      </c>
      <c r="C674" t="s">
        <v>4784</v>
      </c>
      <c r="D674">
        <v>4</v>
      </c>
      <c r="E674" t="s">
        <v>2512</v>
      </c>
      <c r="F674" t="s">
        <v>2138</v>
      </c>
      <c r="G674" t="s">
        <v>2513</v>
      </c>
      <c r="H674" t="s">
        <v>2523</v>
      </c>
      <c r="I674" t="s">
        <v>2524</v>
      </c>
      <c r="J674" t="s">
        <v>2525</v>
      </c>
      <c r="K674" t="s">
        <v>4761</v>
      </c>
      <c r="L674">
        <v>2.9807465076446529</v>
      </c>
      <c r="M674" t="s">
        <v>6</v>
      </c>
      <c r="N674" t="s">
        <v>5</v>
      </c>
      <c r="O674" t="s">
        <v>5</v>
      </c>
      <c r="P674" t="s">
        <v>5</v>
      </c>
      <c r="Q674" t="s">
        <v>5</v>
      </c>
      <c r="R674" t="s">
        <v>2526</v>
      </c>
      <c r="S674" t="s">
        <v>2526</v>
      </c>
      <c r="T674" t="s">
        <v>5</v>
      </c>
      <c r="U674" t="s">
        <v>50</v>
      </c>
      <c r="V674">
        <v>10000</v>
      </c>
      <c r="W674">
        <v>10000</v>
      </c>
      <c r="X674" t="s">
        <v>6</v>
      </c>
      <c r="Y674"/>
      <c r="Z674">
        <v>0</v>
      </c>
      <c r="AA674">
        <v>7.0580397732555866E-3</v>
      </c>
      <c r="AB674">
        <v>4.646299930755049E-4</v>
      </c>
      <c r="AC674">
        <v>0</v>
      </c>
      <c r="AD674">
        <v>0</v>
      </c>
      <c r="AE674">
        <v>0</v>
      </c>
      <c r="AF674">
        <v>0</v>
      </c>
      <c r="AG674">
        <v>0</v>
      </c>
      <c r="AH674">
        <v>0</v>
      </c>
      <c r="AI674">
        <v>0</v>
      </c>
      <c r="AJ674">
        <v>0</v>
      </c>
      <c r="AK674">
        <v>0</v>
      </c>
      <c r="AL674">
        <v>0</v>
      </c>
      <c r="AM674">
        <v>0</v>
      </c>
      <c r="AN674">
        <v>0.38747164607048029</v>
      </c>
      <c r="AO674"/>
      <c r="AP674"/>
      <c r="AQ674"/>
      <c r="AR674">
        <v>0</v>
      </c>
      <c r="AS674">
        <v>0</v>
      </c>
      <c r="AT674">
        <v>0</v>
      </c>
      <c r="AU674">
        <v>0</v>
      </c>
      <c r="AV674">
        <v>0</v>
      </c>
      <c r="AW674">
        <v>0</v>
      </c>
      <c r="AX674">
        <v>0</v>
      </c>
      <c r="AY674">
        <v>0</v>
      </c>
      <c r="AZ674">
        <v>0</v>
      </c>
      <c r="BA674">
        <v>0</v>
      </c>
      <c r="BB674"/>
      <c r="BC674"/>
      <c r="BD674"/>
      <c r="BE674">
        <v>0</v>
      </c>
      <c r="BF674" t="s">
        <v>2516</v>
      </c>
      <c r="BG674" t="s">
        <v>5</v>
      </c>
      <c r="BH674" t="s">
        <v>1020</v>
      </c>
      <c r="BI674" t="s">
        <v>2517</v>
      </c>
      <c r="BJ674" t="s">
        <v>5</v>
      </c>
      <c r="BK674" t="s">
        <v>1100</v>
      </c>
      <c r="BL674">
        <v>0</v>
      </c>
      <c r="BM674"/>
      <c r="BN674" t="s">
        <v>5</v>
      </c>
      <c r="BO674" t="s">
        <v>2518</v>
      </c>
      <c r="BP674" t="s">
        <v>2518</v>
      </c>
      <c r="BQ674" t="s">
        <v>2518</v>
      </c>
      <c r="BR674" t="s">
        <v>2518</v>
      </c>
      <c r="BS674" t="s">
        <v>6</v>
      </c>
      <c r="BT674" t="s">
        <v>2518</v>
      </c>
      <c r="BU674" t="s">
        <v>2518</v>
      </c>
      <c r="BV674" t="s">
        <v>2518</v>
      </c>
      <c r="BW674" t="s">
        <v>1100</v>
      </c>
      <c r="BX674" t="s">
        <v>6</v>
      </c>
      <c r="BY674" t="s">
        <v>2519</v>
      </c>
      <c r="BZ674"/>
      <c r="CA674"/>
      <c r="CB674" t="s">
        <v>5</v>
      </c>
      <c r="CC674">
        <v>14495.720584867749</v>
      </c>
      <c r="CD674">
        <v>7720097.7218868826</v>
      </c>
      <c r="CE674" s="313" t="s">
        <v>11891</v>
      </c>
    </row>
    <row r="675" spans="1:83" ht="15" x14ac:dyDescent="0.25">
      <c r="A675" t="s">
        <v>4795</v>
      </c>
      <c r="B675" t="s">
        <v>4796</v>
      </c>
      <c r="C675" t="s">
        <v>4784</v>
      </c>
      <c r="D675">
        <v>4</v>
      </c>
      <c r="E675" t="s">
        <v>2512</v>
      </c>
      <c r="F675" t="s">
        <v>2138</v>
      </c>
      <c r="G675" t="s">
        <v>2513</v>
      </c>
      <c r="H675" t="s">
        <v>2523</v>
      </c>
      <c r="I675" t="s">
        <v>4797</v>
      </c>
      <c r="J675" t="s">
        <v>4798</v>
      </c>
      <c r="K675" t="s">
        <v>4761</v>
      </c>
      <c r="L675">
        <v>2.1081779003143311</v>
      </c>
      <c r="M675" t="s">
        <v>6</v>
      </c>
      <c r="N675" t="s">
        <v>5</v>
      </c>
      <c r="O675" t="s">
        <v>5</v>
      </c>
      <c r="P675" t="s">
        <v>5</v>
      </c>
      <c r="Q675" t="s">
        <v>5</v>
      </c>
      <c r="R675" t="s">
        <v>2531</v>
      </c>
      <c r="S675" t="s">
        <v>2531</v>
      </c>
      <c r="T675" t="s">
        <v>5</v>
      </c>
      <c r="U675" t="s">
        <v>50</v>
      </c>
      <c r="V675">
        <v>10000</v>
      </c>
      <c r="W675">
        <v>10000</v>
      </c>
      <c r="X675" t="s">
        <v>6</v>
      </c>
      <c r="Y675"/>
      <c r="Z675">
        <v>0</v>
      </c>
      <c r="AA675">
        <v>0.59901773929595947</v>
      </c>
      <c r="AB675">
        <v>7.2796761989593506E-2</v>
      </c>
      <c r="AC675">
        <v>0</v>
      </c>
      <c r="AD675">
        <v>82</v>
      </c>
      <c r="AE675">
        <v>24</v>
      </c>
      <c r="AF675">
        <v>34</v>
      </c>
      <c r="AG675">
        <v>178</v>
      </c>
      <c r="AH675">
        <v>115</v>
      </c>
      <c r="AI675">
        <v>178</v>
      </c>
      <c r="AJ675">
        <v>1</v>
      </c>
      <c r="AK675">
        <v>0</v>
      </c>
      <c r="AL675">
        <v>2</v>
      </c>
      <c r="AM675">
        <v>0</v>
      </c>
      <c r="AN675">
        <v>24.295906066894531</v>
      </c>
      <c r="AO675"/>
      <c r="AP675"/>
      <c r="AQ675"/>
      <c r="AR675">
        <v>0</v>
      </c>
      <c r="AS675">
        <v>0</v>
      </c>
      <c r="AT675">
        <v>0</v>
      </c>
      <c r="AU675">
        <v>0</v>
      </c>
      <c r="AV675">
        <v>0</v>
      </c>
      <c r="AW675">
        <v>0</v>
      </c>
      <c r="AX675">
        <v>0</v>
      </c>
      <c r="AY675">
        <v>0</v>
      </c>
      <c r="AZ675">
        <v>0</v>
      </c>
      <c r="BA675">
        <v>0</v>
      </c>
      <c r="BB675"/>
      <c r="BC675"/>
      <c r="BD675"/>
      <c r="BE675">
        <v>0</v>
      </c>
      <c r="BF675" t="s">
        <v>2516</v>
      </c>
      <c r="BG675" t="s">
        <v>5</v>
      </c>
      <c r="BH675" t="s">
        <v>1020</v>
      </c>
      <c r="BI675" t="s">
        <v>2517</v>
      </c>
      <c r="BJ675" t="s">
        <v>5</v>
      </c>
      <c r="BK675" t="s">
        <v>1100</v>
      </c>
      <c r="BL675">
        <v>0</v>
      </c>
      <c r="BM675"/>
      <c r="BN675" t="s">
        <v>5</v>
      </c>
      <c r="BO675" t="s">
        <v>2518</v>
      </c>
      <c r="BP675" t="s">
        <v>2518</v>
      </c>
      <c r="BQ675" t="s">
        <v>2518</v>
      </c>
      <c r="BR675" t="s">
        <v>2518</v>
      </c>
      <c r="BS675" t="s">
        <v>6</v>
      </c>
      <c r="BT675" t="s">
        <v>2518</v>
      </c>
      <c r="BU675" t="s">
        <v>2518</v>
      </c>
      <c r="BV675" t="s">
        <v>2518</v>
      </c>
      <c r="BW675" t="s">
        <v>1100</v>
      </c>
      <c r="BX675" t="s">
        <v>6</v>
      </c>
      <c r="BY675" t="s">
        <v>2519</v>
      </c>
      <c r="BZ675"/>
      <c r="CA675"/>
      <c r="CB675" t="s">
        <v>5</v>
      </c>
      <c r="CC675">
        <v>14235.376079044971</v>
      </c>
      <c r="CD675">
        <v>5460155.6365727345</v>
      </c>
      <c r="CE675" s="313" t="s">
        <v>11891</v>
      </c>
    </row>
    <row r="676" spans="1:83" ht="15" x14ac:dyDescent="0.25">
      <c r="A676" t="s">
        <v>4799</v>
      </c>
      <c r="B676" t="s">
        <v>4800</v>
      </c>
      <c r="C676" t="s">
        <v>4784</v>
      </c>
      <c r="D676">
        <v>4</v>
      </c>
      <c r="E676" t="s">
        <v>2512</v>
      </c>
      <c r="F676" t="s">
        <v>2138</v>
      </c>
      <c r="G676" t="s">
        <v>2513</v>
      </c>
      <c r="H676" t="s">
        <v>2521</v>
      </c>
      <c r="I676" t="s">
        <v>2532</v>
      </c>
      <c r="J676" t="s">
        <v>2533</v>
      </c>
      <c r="K676" t="s">
        <v>4761</v>
      </c>
      <c r="L676">
        <v>3.6676278114318852</v>
      </c>
      <c r="M676" t="s">
        <v>6</v>
      </c>
      <c r="N676" t="s">
        <v>5</v>
      </c>
      <c r="O676" t="s">
        <v>5</v>
      </c>
      <c r="P676" t="s">
        <v>5</v>
      </c>
      <c r="Q676" t="s">
        <v>5</v>
      </c>
      <c r="R676" t="s">
        <v>2141</v>
      </c>
      <c r="S676" t="s">
        <v>2141</v>
      </c>
      <c r="T676" t="s">
        <v>5</v>
      </c>
      <c r="U676" t="s">
        <v>50</v>
      </c>
      <c r="V676">
        <v>10000</v>
      </c>
      <c r="W676">
        <v>10000</v>
      </c>
      <c r="X676" t="s">
        <v>6</v>
      </c>
      <c r="Y676"/>
      <c r="Z676">
        <v>0</v>
      </c>
      <c r="AA676">
        <v>0.3215312659740448</v>
      </c>
      <c r="AB676">
        <v>3.7706591188907623E-2</v>
      </c>
      <c r="AC676">
        <v>0</v>
      </c>
      <c r="AD676">
        <v>12</v>
      </c>
      <c r="AE676">
        <v>1</v>
      </c>
      <c r="AF676">
        <v>4</v>
      </c>
      <c r="AG676">
        <v>29</v>
      </c>
      <c r="AH676">
        <v>10</v>
      </c>
      <c r="AI676">
        <v>29</v>
      </c>
      <c r="AJ676">
        <v>0</v>
      </c>
      <c r="AK676">
        <v>0</v>
      </c>
      <c r="AL676">
        <v>0</v>
      </c>
      <c r="AM676">
        <v>0</v>
      </c>
      <c r="AN676">
        <v>47.200588226318359</v>
      </c>
      <c r="AO676"/>
      <c r="AP676"/>
      <c r="AQ676"/>
      <c r="AR676">
        <v>0</v>
      </c>
      <c r="AS676">
        <v>0</v>
      </c>
      <c r="AT676">
        <v>0</v>
      </c>
      <c r="AU676">
        <v>0</v>
      </c>
      <c r="AV676">
        <v>0</v>
      </c>
      <c r="AW676">
        <v>0</v>
      </c>
      <c r="AX676">
        <v>0</v>
      </c>
      <c r="AY676">
        <v>0</v>
      </c>
      <c r="AZ676">
        <v>0</v>
      </c>
      <c r="BA676">
        <v>0</v>
      </c>
      <c r="BB676"/>
      <c r="BC676"/>
      <c r="BD676"/>
      <c r="BE676">
        <v>0</v>
      </c>
      <c r="BF676" t="s">
        <v>2516</v>
      </c>
      <c r="BG676" t="s">
        <v>5</v>
      </c>
      <c r="BH676" t="s">
        <v>1020</v>
      </c>
      <c r="BI676" t="s">
        <v>2517</v>
      </c>
      <c r="BJ676" t="s">
        <v>5</v>
      </c>
      <c r="BK676" t="s">
        <v>1100</v>
      </c>
      <c r="BL676">
        <v>0</v>
      </c>
      <c r="BM676"/>
      <c r="BN676" t="s">
        <v>5</v>
      </c>
      <c r="BO676" t="s">
        <v>2518</v>
      </c>
      <c r="BP676" t="s">
        <v>2518</v>
      </c>
      <c r="BQ676" t="s">
        <v>2518</v>
      </c>
      <c r="BR676" t="s">
        <v>2518</v>
      </c>
      <c r="BS676" t="s">
        <v>6</v>
      </c>
      <c r="BT676" t="s">
        <v>2518</v>
      </c>
      <c r="BU676" t="s">
        <v>2518</v>
      </c>
      <c r="BV676" t="s">
        <v>2518</v>
      </c>
      <c r="BW676" t="s">
        <v>1100</v>
      </c>
      <c r="BX676" t="s">
        <v>6</v>
      </c>
      <c r="BY676" t="s">
        <v>2519</v>
      </c>
      <c r="BZ676"/>
      <c r="CA676"/>
      <c r="CB676" t="s">
        <v>5</v>
      </c>
      <c r="CC676">
        <v>21548.833680663531</v>
      </c>
      <c r="CD676">
        <v>9499112.1981864646</v>
      </c>
      <c r="CE676" s="313" t="s">
        <v>11891</v>
      </c>
    </row>
    <row r="677" spans="1:83" ht="15" x14ac:dyDescent="0.25">
      <c r="A677" t="s">
        <v>4807</v>
      </c>
      <c r="B677" t="s">
        <v>4808</v>
      </c>
      <c r="C677" t="s">
        <v>4809</v>
      </c>
      <c r="D677">
        <v>4</v>
      </c>
      <c r="E677" t="s">
        <v>2512</v>
      </c>
      <c r="F677" t="s">
        <v>2536</v>
      </c>
      <c r="G677" t="s">
        <v>2537</v>
      </c>
      <c r="H677" t="s">
        <v>2538</v>
      </c>
      <c r="I677" t="s">
        <v>2539</v>
      </c>
      <c r="J677" t="s">
        <v>2540</v>
      </c>
      <c r="K677" t="s">
        <v>4767</v>
      </c>
      <c r="L677">
        <v>12.047787666320801</v>
      </c>
      <c r="M677" t="s">
        <v>6</v>
      </c>
      <c r="N677" t="s">
        <v>5</v>
      </c>
      <c r="O677" t="s">
        <v>5</v>
      </c>
      <c r="P677" t="s">
        <v>5</v>
      </c>
      <c r="Q677" t="s">
        <v>5</v>
      </c>
      <c r="R677" t="s">
        <v>2541</v>
      </c>
      <c r="S677" t="s">
        <v>2541</v>
      </c>
      <c r="T677" t="s">
        <v>5</v>
      </c>
      <c r="U677" t="s">
        <v>13</v>
      </c>
      <c r="V677">
        <v>10000</v>
      </c>
      <c r="W677">
        <v>10000</v>
      </c>
      <c r="X677" t="s">
        <v>6</v>
      </c>
      <c r="Y677"/>
      <c r="Z677">
        <v>0</v>
      </c>
      <c r="AA677">
        <v>7.4491415023803711</v>
      </c>
      <c r="AB677">
        <v>0.65742373466491699</v>
      </c>
      <c r="AC677">
        <v>0</v>
      </c>
      <c r="AD677">
        <v>146</v>
      </c>
      <c r="AE677">
        <v>31</v>
      </c>
      <c r="AF677">
        <v>103</v>
      </c>
      <c r="AG677">
        <v>152</v>
      </c>
      <c r="AH677">
        <v>225</v>
      </c>
      <c r="AI677">
        <v>225</v>
      </c>
      <c r="AJ677">
        <v>0</v>
      </c>
      <c r="AK677">
        <v>0</v>
      </c>
      <c r="AL677">
        <v>4</v>
      </c>
      <c r="AM677">
        <v>0</v>
      </c>
      <c r="AN677">
        <v>307.5699462890625</v>
      </c>
      <c r="AO677"/>
      <c r="AP677"/>
      <c r="AQ677"/>
      <c r="AR677">
        <v>0</v>
      </c>
      <c r="AS677">
        <v>0</v>
      </c>
      <c r="AT677">
        <v>0</v>
      </c>
      <c r="AU677">
        <v>0</v>
      </c>
      <c r="AV677">
        <v>0</v>
      </c>
      <c r="AW677">
        <v>0</v>
      </c>
      <c r="AX677">
        <v>0</v>
      </c>
      <c r="AY677">
        <v>0</v>
      </c>
      <c r="AZ677">
        <v>0</v>
      </c>
      <c r="BA677">
        <v>0</v>
      </c>
      <c r="BB677"/>
      <c r="BC677"/>
      <c r="BD677"/>
      <c r="BE677">
        <v>0</v>
      </c>
      <c r="BF677" t="s">
        <v>2516</v>
      </c>
      <c r="BG677" t="s">
        <v>5</v>
      </c>
      <c r="BH677" t="s">
        <v>1020</v>
      </c>
      <c r="BI677" t="s">
        <v>2517</v>
      </c>
      <c r="BJ677" t="s">
        <v>5</v>
      </c>
      <c r="BK677" t="s">
        <v>1100</v>
      </c>
      <c r="BL677">
        <v>0</v>
      </c>
      <c r="BM677"/>
      <c r="BN677" t="s">
        <v>5</v>
      </c>
      <c r="BO677" t="s">
        <v>2518</v>
      </c>
      <c r="BP677" t="s">
        <v>2518</v>
      </c>
      <c r="BQ677" t="s">
        <v>2518</v>
      </c>
      <c r="BR677" t="s">
        <v>2518</v>
      </c>
      <c r="BS677" t="s">
        <v>6</v>
      </c>
      <c r="BT677" t="s">
        <v>2518</v>
      </c>
      <c r="BU677" t="s">
        <v>2518</v>
      </c>
      <c r="BV677" t="s">
        <v>2518</v>
      </c>
      <c r="BW677" t="s">
        <v>1100</v>
      </c>
      <c r="BX677" t="s">
        <v>6</v>
      </c>
      <c r="BY677" t="s">
        <v>2519</v>
      </c>
      <c r="BZ677"/>
      <c r="CA677"/>
      <c r="CB677" t="s">
        <v>5</v>
      </c>
      <c r="CC677">
        <v>37829.969616366878</v>
      </c>
      <c r="CD677">
        <v>31203626.698523931</v>
      </c>
      <c r="CE677" s="313" t="s">
        <v>11891</v>
      </c>
    </row>
    <row r="678" spans="1:83" ht="15" x14ac:dyDescent="0.25">
      <c r="A678" t="s">
        <v>4810</v>
      </c>
      <c r="B678" t="s">
        <v>4808</v>
      </c>
      <c r="C678" t="s">
        <v>4811</v>
      </c>
      <c r="D678">
        <v>4</v>
      </c>
      <c r="E678" t="s">
        <v>2512</v>
      </c>
      <c r="F678" t="s">
        <v>2536</v>
      </c>
      <c r="G678" t="s">
        <v>2537</v>
      </c>
      <c r="H678" t="s">
        <v>2538</v>
      </c>
      <c r="I678" t="s">
        <v>2539</v>
      </c>
      <c r="J678" t="s">
        <v>2540</v>
      </c>
      <c r="K678" t="s">
        <v>4767</v>
      </c>
      <c r="L678">
        <v>12.047787666320801</v>
      </c>
      <c r="M678" t="s">
        <v>6</v>
      </c>
      <c r="N678" t="s">
        <v>5</v>
      </c>
      <c r="O678" t="s">
        <v>5</v>
      </c>
      <c r="P678" t="s">
        <v>5</v>
      </c>
      <c r="Q678" t="s">
        <v>5</v>
      </c>
      <c r="R678" t="s">
        <v>2541</v>
      </c>
      <c r="S678" t="s">
        <v>2541</v>
      </c>
      <c r="T678" t="s">
        <v>5</v>
      </c>
      <c r="U678" t="s">
        <v>13</v>
      </c>
      <c r="V678">
        <v>10000</v>
      </c>
      <c r="W678">
        <v>10000</v>
      </c>
      <c r="X678" t="s">
        <v>6</v>
      </c>
      <c r="Y678"/>
      <c r="Z678">
        <v>0</v>
      </c>
      <c r="AA678">
        <v>7.4491415023803711</v>
      </c>
      <c r="AB678">
        <v>0.65742373466491699</v>
      </c>
      <c r="AC678">
        <v>0</v>
      </c>
      <c r="AD678">
        <v>146</v>
      </c>
      <c r="AE678">
        <v>31</v>
      </c>
      <c r="AF678">
        <v>103</v>
      </c>
      <c r="AG678">
        <v>152</v>
      </c>
      <c r="AH678">
        <v>225</v>
      </c>
      <c r="AI678">
        <v>25</v>
      </c>
      <c r="AJ678">
        <v>0</v>
      </c>
      <c r="AK678">
        <v>0</v>
      </c>
      <c r="AL678">
        <v>4</v>
      </c>
      <c r="AM678">
        <v>0</v>
      </c>
      <c r="AN678">
        <v>307.5699462890625</v>
      </c>
      <c r="AO678"/>
      <c r="AP678"/>
      <c r="AQ678"/>
      <c r="AR678">
        <v>0</v>
      </c>
      <c r="AS678">
        <v>0</v>
      </c>
      <c r="AT678">
        <v>0</v>
      </c>
      <c r="AU678">
        <v>0</v>
      </c>
      <c r="AV678">
        <v>0</v>
      </c>
      <c r="AW678">
        <v>0</v>
      </c>
      <c r="AX678">
        <v>0</v>
      </c>
      <c r="AY678">
        <v>0</v>
      </c>
      <c r="AZ678">
        <v>0</v>
      </c>
      <c r="BA678">
        <v>0</v>
      </c>
      <c r="BB678"/>
      <c r="BC678"/>
      <c r="BD678"/>
      <c r="BE678">
        <v>0</v>
      </c>
      <c r="BF678" t="s">
        <v>2516</v>
      </c>
      <c r="BG678" t="s">
        <v>5</v>
      </c>
      <c r="BH678" t="s">
        <v>1020</v>
      </c>
      <c r="BI678" t="s">
        <v>2517</v>
      </c>
      <c r="BJ678" t="s">
        <v>5</v>
      </c>
      <c r="BK678" t="s">
        <v>1100</v>
      </c>
      <c r="BL678">
        <v>0</v>
      </c>
      <c r="BM678"/>
      <c r="BN678" t="s">
        <v>5</v>
      </c>
      <c r="BO678" t="s">
        <v>2518</v>
      </c>
      <c r="BP678" t="s">
        <v>2518</v>
      </c>
      <c r="BQ678" t="s">
        <v>2518</v>
      </c>
      <c r="BR678" t="s">
        <v>2518</v>
      </c>
      <c r="BS678" t="s">
        <v>6</v>
      </c>
      <c r="BT678" t="s">
        <v>2518</v>
      </c>
      <c r="BU678" t="s">
        <v>2518</v>
      </c>
      <c r="BV678" t="s">
        <v>2518</v>
      </c>
      <c r="BW678" t="s">
        <v>1100</v>
      </c>
      <c r="BX678" t="s">
        <v>6</v>
      </c>
      <c r="BY678" t="s">
        <v>2519</v>
      </c>
      <c r="BZ678"/>
      <c r="CA678"/>
      <c r="CB678" t="s">
        <v>5</v>
      </c>
      <c r="CC678">
        <v>37829.969616366878</v>
      </c>
      <c r="CD678">
        <v>31203626.698523931</v>
      </c>
      <c r="CE678" s="313" t="s">
        <v>11891</v>
      </c>
    </row>
    <row r="679" spans="1:83" ht="15" x14ac:dyDescent="0.25">
      <c r="A679" t="s">
        <v>4812</v>
      </c>
      <c r="B679" t="s">
        <v>4808</v>
      </c>
      <c r="C679" t="s">
        <v>4813</v>
      </c>
      <c r="D679">
        <v>4</v>
      </c>
      <c r="E679" t="s">
        <v>2512</v>
      </c>
      <c r="F679" t="s">
        <v>2536</v>
      </c>
      <c r="G679" t="s">
        <v>2537</v>
      </c>
      <c r="H679" t="s">
        <v>2549</v>
      </c>
      <c r="I679" t="s">
        <v>2550</v>
      </c>
      <c r="J679" t="s">
        <v>2551</v>
      </c>
      <c r="K679" t="s">
        <v>4767</v>
      </c>
      <c r="L679">
        <v>6.5063614845275879</v>
      </c>
      <c r="M679" t="s">
        <v>6</v>
      </c>
      <c r="N679" t="s">
        <v>5</v>
      </c>
      <c r="O679" t="s">
        <v>5</v>
      </c>
      <c r="P679" t="s">
        <v>5</v>
      </c>
      <c r="Q679" t="s">
        <v>5</v>
      </c>
      <c r="R679" t="s">
        <v>2541</v>
      </c>
      <c r="S679" t="s">
        <v>2541</v>
      </c>
      <c r="T679" t="s">
        <v>5</v>
      </c>
      <c r="U679" t="s">
        <v>13</v>
      </c>
      <c r="V679">
        <v>10000</v>
      </c>
      <c r="W679">
        <v>10000</v>
      </c>
      <c r="X679" t="s">
        <v>6</v>
      </c>
      <c r="Y679"/>
      <c r="Z679">
        <v>0</v>
      </c>
      <c r="AA679">
        <v>3.5004251003265381</v>
      </c>
      <c r="AB679">
        <v>0.26418346166610718</v>
      </c>
      <c r="AC679">
        <v>0</v>
      </c>
      <c r="AD679">
        <v>25</v>
      </c>
      <c r="AE679">
        <v>7</v>
      </c>
      <c r="AF679">
        <v>9</v>
      </c>
      <c r="AG679">
        <v>28</v>
      </c>
      <c r="AH679">
        <v>29</v>
      </c>
      <c r="AI679">
        <v>29</v>
      </c>
      <c r="AJ679">
        <v>0</v>
      </c>
      <c r="AK679">
        <v>0</v>
      </c>
      <c r="AL679">
        <v>1</v>
      </c>
      <c r="AM679">
        <v>0</v>
      </c>
      <c r="AN679">
        <v>118.14279937744141</v>
      </c>
      <c r="AO679"/>
      <c r="AP679"/>
      <c r="AQ679"/>
      <c r="AR679">
        <v>0</v>
      </c>
      <c r="AS679">
        <v>0</v>
      </c>
      <c r="AT679">
        <v>0</v>
      </c>
      <c r="AU679">
        <v>0</v>
      </c>
      <c r="AV679">
        <v>0</v>
      </c>
      <c r="AW679">
        <v>0</v>
      </c>
      <c r="AX679">
        <v>0</v>
      </c>
      <c r="AY679">
        <v>0</v>
      </c>
      <c r="AZ679">
        <v>0</v>
      </c>
      <c r="BA679">
        <v>0</v>
      </c>
      <c r="BB679"/>
      <c r="BC679"/>
      <c r="BD679"/>
      <c r="BE679">
        <v>0</v>
      </c>
      <c r="BF679" t="s">
        <v>2516</v>
      </c>
      <c r="BG679" t="s">
        <v>5</v>
      </c>
      <c r="BH679" t="s">
        <v>1020</v>
      </c>
      <c r="BI679" t="s">
        <v>2517</v>
      </c>
      <c r="BJ679" t="s">
        <v>5</v>
      </c>
      <c r="BK679" t="s">
        <v>1100</v>
      </c>
      <c r="BL679">
        <v>0</v>
      </c>
      <c r="BM679"/>
      <c r="BN679" t="s">
        <v>5</v>
      </c>
      <c r="BO679" t="s">
        <v>2518</v>
      </c>
      <c r="BP679" t="s">
        <v>2518</v>
      </c>
      <c r="BQ679" t="s">
        <v>2518</v>
      </c>
      <c r="BR679" t="s">
        <v>2518</v>
      </c>
      <c r="BS679" t="s">
        <v>6</v>
      </c>
      <c r="BT679" t="s">
        <v>2518</v>
      </c>
      <c r="BU679" t="s">
        <v>2518</v>
      </c>
      <c r="BV679" t="s">
        <v>2518</v>
      </c>
      <c r="BW679" t="s">
        <v>1100</v>
      </c>
      <c r="BX679" t="s">
        <v>6</v>
      </c>
      <c r="BY679" t="s">
        <v>2519</v>
      </c>
      <c r="BZ679"/>
      <c r="CA679"/>
      <c r="CB679" t="s">
        <v>5</v>
      </c>
      <c r="CC679">
        <v>34689.683118695313</v>
      </c>
      <c r="CD679">
        <v>16851398.962944709</v>
      </c>
      <c r="CE679" s="313" t="s">
        <v>11891</v>
      </c>
    </row>
    <row r="680" spans="1:83" ht="15" x14ac:dyDescent="0.25">
      <c r="A680" t="s">
        <v>4821</v>
      </c>
      <c r="B680" t="s">
        <v>4822</v>
      </c>
      <c r="C680" t="s">
        <v>4823</v>
      </c>
      <c r="D680">
        <v>4</v>
      </c>
      <c r="E680" t="s">
        <v>2512</v>
      </c>
      <c r="F680" t="s">
        <v>4736</v>
      </c>
      <c r="G680" t="s">
        <v>2537</v>
      </c>
      <c r="H680" t="s">
        <v>4824</v>
      </c>
      <c r="I680" t="s">
        <v>4825</v>
      </c>
      <c r="J680" t="s">
        <v>4826</v>
      </c>
      <c r="K680" t="s">
        <v>4767</v>
      </c>
      <c r="L680">
        <v>55.714336395263672</v>
      </c>
      <c r="M680" t="s">
        <v>6</v>
      </c>
      <c r="N680" t="s">
        <v>5</v>
      </c>
      <c r="O680" t="s">
        <v>5</v>
      </c>
      <c r="P680" t="s">
        <v>5</v>
      </c>
      <c r="Q680" t="s">
        <v>5</v>
      </c>
      <c r="R680" t="s">
        <v>4737</v>
      </c>
      <c r="S680" t="s">
        <v>4737</v>
      </c>
      <c r="T680" t="s">
        <v>5</v>
      </c>
      <c r="U680" t="s">
        <v>13</v>
      </c>
      <c r="V680">
        <v>10000</v>
      </c>
      <c r="W680">
        <v>10000</v>
      </c>
      <c r="X680" t="s">
        <v>6</v>
      </c>
      <c r="Y680"/>
      <c r="Z680">
        <v>0</v>
      </c>
      <c r="AA680">
        <v>17.052947998046879</v>
      </c>
      <c r="AB680">
        <v>2.191315889358521</v>
      </c>
      <c r="AC680">
        <v>0</v>
      </c>
      <c r="AD680">
        <v>1379</v>
      </c>
      <c r="AE680">
        <v>419</v>
      </c>
      <c r="AF680">
        <v>1024</v>
      </c>
      <c r="AG680">
        <v>10126</v>
      </c>
      <c r="AH680">
        <v>3757</v>
      </c>
      <c r="AI680">
        <v>10126</v>
      </c>
      <c r="AJ680">
        <v>9</v>
      </c>
      <c r="AK680">
        <v>0</v>
      </c>
      <c r="AL680">
        <v>41</v>
      </c>
      <c r="AM680">
        <v>0</v>
      </c>
      <c r="AN680">
        <v>294.66531372070313</v>
      </c>
      <c r="AO680"/>
      <c r="AP680"/>
      <c r="AQ680"/>
      <c r="AR680">
        <v>0</v>
      </c>
      <c r="AS680">
        <v>0</v>
      </c>
      <c r="AT680">
        <v>0</v>
      </c>
      <c r="AU680">
        <v>0</v>
      </c>
      <c r="AV680">
        <v>0</v>
      </c>
      <c r="AW680">
        <v>0</v>
      </c>
      <c r="AX680">
        <v>0</v>
      </c>
      <c r="AY680">
        <v>0</v>
      </c>
      <c r="AZ680">
        <v>0</v>
      </c>
      <c r="BA680">
        <v>0</v>
      </c>
      <c r="BB680"/>
      <c r="BC680"/>
      <c r="BD680"/>
      <c r="BE680">
        <v>0</v>
      </c>
      <c r="BF680" t="s">
        <v>2516</v>
      </c>
      <c r="BG680" t="s">
        <v>5</v>
      </c>
      <c r="BH680" t="s">
        <v>1020</v>
      </c>
      <c r="BI680" t="s">
        <v>2517</v>
      </c>
      <c r="BJ680" t="s">
        <v>5</v>
      </c>
      <c r="BK680" t="s">
        <v>1100</v>
      </c>
      <c r="BL680">
        <v>0</v>
      </c>
      <c r="BM680"/>
      <c r="BN680" t="s">
        <v>5</v>
      </c>
      <c r="BO680" t="s">
        <v>2518</v>
      </c>
      <c r="BP680" t="s">
        <v>2518</v>
      </c>
      <c r="BQ680" t="s">
        <v>2518</v>
      </c>
      <c r="BR680" t="s">
        <v>2518</v>
      </c>
      <c r="BS680" t="s">
        <v>6</v>
      </c>
      <c r="BT680" t="s">
        <v>2518</v>
      </c>
      <c r="BU680" t="s">
        <v>2518</v>
      </c>
      <c r="BV680" t="s">
        <v>2518</v>
      </c>
      <c r="BW680" t="s">
        <v>1100</v>
      </c>
      <c r="BX680" t="s">
        <v>6</v>
      </c>
      <c r="BY680" t="s">
        <v>2519</v>
      </c>
      <c r="BZ680"/>
      <c r="CA680"/>
      <c r="CB680" t="s">
        <v>5</v>
      </c>
      <c r="CC680">
        <v>95009.265056235134</v>
      </c>
      <c r="CD680">
        <v>144299464.57571331</v>
      </c>
      <c r="CE680" s="313" t="s">
        <v>11891</v>
      </c>
    </row>
    <row r="681" spans="1:83" ht="15" x14ac:dyDescent="0.25">
      <c r="A681" t="s">
        <v>12076</v>
      </c>
      <c r="B681" t="s">
        <v>12077</v>
      </c>
      <c r="C681" t="s">
        <v>12078</v>
      </c>
      <c r="D681">
        <v>4</v>
      </c>
      <c r="E681" t="s">
        <v>2512</v>
      </c>
      <c r="F681" t="s">
        <v>4736</v>
      </c>
      <c r="G681" t="s">
        <v>2537</v>
      </c>
      <c r="H681" t="s">
        <v>4824</v>
      </c>
      <c r="I681" t="s">
        <v>4825</v>
      </c>
      <c r="J681" t="s">
        <v>4826</v>
      </c>
      <c r="K681" t="s">
        <v>4767</v>
      </c>
      <c r="L681">
        <v>55.714336395263672</v>
      </c>
      <c r="M681" t="s">
        <v>6</v>
      </c>
      <c r="N681" t="s">
        <v>5</v>
      </c>
      <c r="O681" t="s">
        <v>5</v>
      </c>
      <c r="P681" t="s">
        <v>5</v>
      </c>
      <c r="Q681" t="s">
        <v>5</v>
      </c>
      <c r="R681" t="s">
        <v>4737</v>
      </c>
      <c r="S681" t="s">
        <v>4737</v>
      </c>
      <c r="T681" t="s">
        <v>5</v>
      </c>
      <c r="U681" t="s">
        <v>13</v>
      </c>
      <c r="V681">
        <v>10000</v>
      </c>
      <c r="W681">
        <v>10000</v>
      </c>
      <c r="X681" t="s">
        <v>6</v>
      </c>
      <c r="Y681"/>
      <c r="Z681">
        <v>0</v>
      </c>
      <c r="AA681">
        <v>17.052947998046879</v>
      </c>
      <c r="AB681">
        <v>2.191315889358521</v>
      </c>
      <c r="AC681">
        <v>0</v>
      </c>
      <c r="AD681">
        <v>1379</v>
      </c>
      <c r="AE681">
        <v>419</v>
      </c>
      <c r="AF681">
        <v>1024</v>
      </c>
      <c r="AG681">
        <v>10126</v>
      </c>
      <c r="AH681">
        <v>3757</v>
      </c>
      <c r="AI681">
        <v>10126</v>
      </c>
      <c r="AJ681">
        <v>9</v>
      </c>
      <c r="AK681">
        <v>0</v>
      </c>
      <c r="AL681">
        <v>41</v>
      </c>
      <c r="AM681">
        <v>0</v>
      </c>
      <c r="AN681">
        <v>294.66531372070313</v>
      </c>
      <c r="AO681"/>
      <c r="AP681"/>
      <c r="AQ681"/>
      <c r="AR681">
        <v>0</v>
      </c>
      <c r="AS681">
        <v>0</v>
      </c>
      <c r="AT681">
        <v>0</v>
      </c>
      <c r="AU681">
        <v>0</v>
      </c>
      <c r="AV681">
        <v>0</v>
      </c>
      <c r="AW681">
        <v>0</v>
      </c>
      <c r="AX681">
        <v>0</v>
      </c>
      <c r="AY681">
        <v>0</v>
      </c>
      <c r="AZ681">
        <v>0</v>
      </c>
      <c r="BA681">
        <v>0</v>
      </c>
      <c r="BB681"/>
      <c r="BC681"/>
      <c r="BD681"/>
      <c r="BE681">
        <v>0</v>
      </c>
      <c r="BF681" t="s">
        <v>2516</v>
      </c>
      <c r="BG681" t="s">
        <v>5</v>
      </c>
      <c r="BH681" t="s">
        <v>1020</v>
      </c>
      <c r="BI681" t="s">
        <v>2517</v>
      </c>
      <c r="BJ681" t="s">
        <v>5</v>
      </c>
      <c r="BK681" t="s">
        <v>1100</v>
      </c>
      <c r="BL681">
        <v>0</v>
      </c>
      <c r="BM681"/>
      <c r="BN681" t="s">
        <v>5</v>
      </c>
      <c r="BO681" t="s">
        <v>2518</v>
      </c>
      <c r="BP681" t="s">
        <v>2518</v>
      </c>
      <c r="BQ681" t="s">
        <v>2518</v>
      </c>
      <c r="BR681" t="s">
        <v>2518</v>
      </c>
      <c r="BS681" t="s">
        <v>6</v>
      </c>
      <c r="BT681" t="s">
        <v>2518</v>
      </c>
      <c r="BU681" t="s">
        <v>2518</v>
      </c>
      <c r="BV681" t="s">
        <v>2518</v>
      </c>
      <c r="BW681" t="s">
        <v>1100</v>
      </c>
      <c r="BX681" t="s">
        <v>6</v>
      </c>
      <c r="BY681" t="s">
        <v>2519</v>
      </c>
      <c r="BZ681"/>
      <c r="CA681"/>
      <c r="CB681" t="s">
        <v>5</v>
      </c>
      <c r="CC681">
        <v>95009.265056235134</v>
      </c>
      <c r="CD681">
        <v>144299464.57571331</v>
      </c>
      <c r="CE681" s="313" t="s">
        <v>11891</v>
      </c>
    </row>
    <row r="682" spans="1:83" ht="15" x14ac:dyDescent="0.25">
      <c r="A682" t="s">
        <v>4839</v>
      </c>
      <c r="B682" t="s">
        <v>4840</v>
      </c>
      <c r="C682" t="s">
        <v>4841</v>
      </c>
      <c r="D682">
        <v>4</v>
      </c>
      <c r="E682" t="s">
        <v>2512</v>
      </c>
      <c r="F682" t="s">
        <v>2553</v>
      </c>
      <c r="G682" t="s">
        <v>2537</v>
      </c>
      <c r="H682" t="s">
        <v>2554</v>
      </c>
      <c r="I682" t="s">
        <v>2555</v>
      </c>
      <c r="J682" t="s">
        <v>2556</v>
      </c>
      <c r="K682" t="s">
        <v>4761</v>
      </c>
      <c r="L682">
        <v>2.4208247661590581</v>
      </c>
      <c r="M682" t="s">
        <v>6</v>
      </c>
      <c r="N682" t="s">
        <v>5</v>
      </c>
      <c r="O682" t="s">
        <v>5</v>
      </c>
      <c r="P682" t="s">
        <v>5</v>
      </c>
      <c r="Q682" t="s">
        <v>5</v>
      </c>
      <c r="R682" t="s">
        <v>2557</v>
      </c>
      <c r="S682" t="s">
        <v>2557</v>
      </c>
      <c r="T682" t="s">
        <v>5</v>
      </c>
      <c r="U682" t="s">
        <v>50</v>
      </c>
      <c r="V682">
        <v>10000</v>
      </c>
      <c r="W682">
        <v>10000</v>
      </c>
      <c r="X682" t="s">
        <v>6</v>
      </c>
      <c r="Y682"/>
      <c r="Z682">
        <v>0</v>
      </c>
      <c r="AA682">
        <v>1.215219259262085</v>
      </c>
      <c r="AB682">
        <v>5.0339870154857642E-2</v>
      </c>
      <c r="AC682">
        <v>0</v>
      </c>
      <c r="AD682">
        <v>249</v>
      </c>
      <c r="AE682">
        <v>41</v>
      </c>
      <c r="AF682">
        <v>224</v>
      </c>
      <c r="AG682">
        <v>89</v>
      </c>
      <c r="AH682">
        <v>364</v>
      </c>
      <c r="AI682">
        <v>364</v>
      </c>
      <c r="AJ682">
        <v>0</v>
      </c>
      <c r="AK682">
        <v>0</v>
      </c>
      <c r="AL682">
        <v>1</v>
      </c>
      <c r="AM682">
        <v>0</v>
      </c>
      <c r="AN682">
        <v>4.3455944061279297</v>
      </c>
      <c r="AO682"/>
      <c r="AP682"/>
      <c r="AQ682"/>
      <c r="AR682">
        <v>0</v>
      </c>
      <c r="AS682">
        <v>0</v>
      </c>
      <c r="AT682">
        <v>0</v>
      </c>
      <c r="AU682">
        <v>0</v>
      </c>
      <c r="AV682">
        <v>0</v>
      </c>
      <c r="AW682">
        <v>0</v>
      </c>
      <c r="AX682">
        <v>0</v>
      </c>
      <c r="AY682">
        <v>0</v>
      </c>
      <c r="AZ682">
        <v>0</v>
      </c>
      <c r="BA682">
        <v>0</v>
      </c>
      <c r="BB682"/>
      <c r="BC682"/>
      <c r="BD682"/>
      <c r="BE682">
        <v>0</v>
      </c>
      <c r="BF682" t="s">
        <v>2516</v>
      </c>
      <c r="BG682" t="s">
        <v>5</v>
      </c>
      <c r="BH682" t="s">
        <v>1020</v>
      </c>
      <c r="BI682" t="s">
        <v>2517</v>
      </c>
      <c r="BJ682" t="s">
        <v>5</v>
      </c>
      <c r="BK682" t="s">
        <v>1100</v>
      </c>
      <c r="BL682">
        <v>0</v>
      </c>
      <c r="BM682"/>
      <c r="BN682" t="s">
        <v>5</v>
      </c>
      <c r="BO682" t="s">
        <v>2518</v>
      </c>
      <c r="BP682" t="s">
        <v>2518</v>
      </c>
      <c r="BQ682" t="s">
        <v>2518</v>
      </c>
      <c r="BR682" t="s">
        <v>2518</v>
      </c>
      <c r="BS682" t="s">
        <v>6</v>
      </c>
      <c r="BT682" t="s">
        <v>2518</v>
      </c>
      <c r="BU682" t="s">
        <v>2518</v>
      </c>
      <c r="BV682" t="s">
        <v>2518</v>
      </c>
      <c r="BW682" t="s">
        <v>1100</v>
      </c>
      <c r="BX682" t="s">
        <v>6</v>
      </c>
      <c r="BY682" t="s">
        <v>2519</v>
      </c>
      <c r="BZ682"/>
      <c r="CA682"/>
      <c r="CB682" t="s">
        <v>5</v>
      </c>
      <c r="CC682">
        <v>13609.02486513186</v>
      </c>
      <c r="CD682">
        <v>6269907.6003069105</v>
      </c>
      <c r="CE682" s="313" t="s">
        <v>11891</v>
      </c>
    </row>
    <row r="683" spans="1:83" ht="15" x14ac:dyDescent="0.25">
      <c r="A683" t="s">
        <v>4851</v>
      </c>
      <c r="B683" t="s">
        <v>4852</v>
      </c>
      <c r="C683" t="s">
        <v>4853</v>
      </c>
      <c r="D683">
        <v>4</v>
      </c>
      <c r="E683" t="s">
        <v>2512</v>
      </c>
      <c r="F683" t="s">
        <v>4854</v>
      </c>
      <c r="G683" t="s">
        <v>2513</v>
      </c>
      <c r="H683" t="s">
        <v>4855</v>
      </c>
      <c r="I683" t="s">
        <v>4856</v>
      </c>
      <c r="J683" t="s">
        <v>4857</v>
      </c>
      <c r="K683" t="s">
        <v>4761</v>
      </c>
      <c r="L683">
        <v>18.35892295837402</v>
      </c>
      <c r="M683" t="s">
        <v>6</v>
      </c>
      <c r="N683" t="s">
        <v>5</v>
      </c>
      <c r="O683" t="s">
        <v>5</v>
      </c>
      <c r="P683" t="s">
        <v>5</v>
      </c>
      <c r="Q683" t="s">
        <v>5</v>
      </c>
      <c r="R683" t="s">
        <v>4858</v>
      </c>
      <c r="S683" t="s">
        <v>4858</v>
      </c>
      <c r="T683" t="s">
        <v>5</v>
      </c>
      <c r="U683" t="s">
        <v>50</v>
      </c>
      <c r="V683">
        <v>10000</v>
      </c>
      <c r="W683">
        <v>10000</v>
      </c>
      <c r="X683" t="s">
        <v>6</v>
      </c>
      <c r="Y683"/>
      <c r="Z683">
        <v>0</v>
      </c>
      <c r="AA683">
        <v>8.8270540237426758</v>
      </c>
      <c r="AB683">
        <v>0.77042478322982788</v>
      </c>
      <c r="AC683">
        <v>0</v>
      </c>
      <c r="AD683">
        <v>131</v>
      </c>
      <c r="AE683">
        <v>41</v>
      </c>
      <c r="AF683">
        <v>92</v>
      </c>
      <c r="AG683">
        <v>240</v>
      </c>
      <c r="AH683">
        <v>424</v>
      </c>
      <c r="AI683">
        <v>424</v>
      </c>
      <c r="AJ683">
        <v>0</v>
      </c>
      <c r="AK683">
        <v>8</v>
      </c>
      <c r="AL683">
        <v>19</v>
      </c>
      <c r="AM683">
        <v>8</v>
      </c>
      <c r="AN683">
        <v>1450.973022460938</v>
      </c>
      <c r="AO683"/>
      <c r="AP683"/>
      <c r="AQ683"/>
      <c r="AR683">
        <v>0</v>
      </c>
      <c r="AS683">
        <v>0</v>
      </c>
      <c r="AT683">
        <v>0</v>
      </c>
      <c r="AU683">
        <v>0</v>
      </c>
      <c r="AV683">
        <v>0</v>
      </c>
      <c r="AW683">
        <v>0</v>
      </c>
      <c r="AX683">
        <v>0</v>
      </c>
      <c r="AY683">
        <v>0</v>
      </c>
      <c r="AZ683">
        <v>0</v>
      </c>
      <c r="BA683">
        <v>0</v>
      </c>
      <c r="BB683"/>
      <c r="BC683"/>
      <c r="BD683"/>
      <c r="BE683">
        <v>0</v>
      </c>
      <c r="BF683" t="s">
        <v>2516</v>
      </c>
      <c r="BG683" t="s">
        <v>5</v>
      </c>
      <c r="BH683" t="s">
        <v>1020</v>
      </c>
      <c r="BI683" t="s">
        <v>2517</v>
      </c>
      <c r="BJ683" t="s">
        <v>5</v>
      </c>
      <c r="BK683" t="s">
        <v>1100</v>
      </c>
      <c r="BL683">
        <v>0</v>
      </c>
      <c r="BM683"/>
      <c r="BN683" t="s">
        <v>5</v>
      </c>
      <c r="BO683" t="s">
        <v>2518</v>
      </c>
      <c r="BP683" t="s">
        <v>2518</v>
      </c>
      <c r="BQ683" t="s">
        <v>2518</v>
      </c>
      <c r="BR683" t="s">
        <v>2518</v>
      </c>
      <c r="BS683" t="s">
        <v>6</v>
      </c>
      <c r="BT683" t="s">
        <v>2518</v>
      </c>
      <c r="BU683" t="s">
        <v>2518</v>
      </c>
      <c r="BV683" t="s">
        <v>2518</v>
      </c>
      <c r="BW683" t="s">
        <v>1100</v>
      </c>
      <c r="BX683" t="s">
        <v>6</v>
      </c>
      <c r="BY683" t="s">
        <v>2519</v>
      </c>
      <c r="BZ683"/>
      <c r="CA683"/>
      <c r="CB683" t="s">
        <v>5</v>
      </c>
      <c r="CC683">
        <v>98825.360339652689</v>
      </c>
      <c r="CD683">
        <v>47549390.128980353</v>
      </c>
      <c r="CE683" s="313" t="s">
        <v>11891</v>
      </c>
    </row>
    <row r="684" spans="1:83" ht="15" x14ac:dyDescent="0.25">
      <c r="A684" t="s">
        <v>4859</v>
      </c>
      <c r="B684" t="s">
        <v>4860</v>
      </c>
      <c r="C684" t="s">
        <v>4861</v>
      </c>
      <c r="D684">
        <v>4</v>
      </c>
      <c r="E684" t="s">
        <v>2512</v>
      </c>
      <c r="F684" t="s">
        <v>4854</v>
      </c>
      <c r="G684" t="s">
        <v>2513</v>
      </c>
      <c r="H684" t="s">
        <v>4855</v>
      </c>
      <c r="I684" t="s">
        <v>4856</v>
      </c>
      <c r="J684" t="s">
        <v>4857</v>
      </c>
      <c r="K684" t="s">
        <v>4761</v>
      </c>
      <c r="L684">
        <v>18.35892295837402</v>
      </c>
      <c r="M684" t="s">
        <v>6</v>
      </c>
      <c r="N684" t="s">
        <v>5</v>
      </c>
      <c r="O684" t="s">
        <v>5</v>
      </c>
      <c r="P684" t="s">
        <v>5</v>
      </c>
      <c r="Q684" t="s">
        <v>5</v>
      </c>
      <c r="R684" t="s">
        <v>4858</v>
      </c>
      <c r="S684" t="s">
        <v>4858</v>
      </c>
      <c r="T684" t="s">
        <v>5</v>
      </c>
      <c r="U684" t="s">
        <v>50</v>
      </c>
      <c r="V684">
        <v>10000</v>
      </c>
      <c r="W684">
        <v>10000</v>
      </c>
      <c r="X684" t="s">
        <v>6</v>
      </c>
      <c r="Y684"/>
      <c r="Z684">
        <v>0</v>
      </c>
      <c r="AA684">
        <v>8.8270540237426758</v>
      </c>
      <c r="AB684">
        <v>0.77042478322982788</v>
      </c>
      <c r="AC684">
        <v>0</v>
      </c>
      <c r="AD684">
        <v>131</v>
      </c>
      <c r="AE684">
        <v>41</v>
      </c>
      <c r="AF684">
        <v>92</v>
      </c>
      <c r="AG684">
        <v>240</v>
      </c>
      <c r="AH684">
        <v>424</v>
      </c>
      <c r="AI684">
        <v>424</v>
      </c>
      <c r="AJ684">
        <v>0</v>
      </c>
      <c r="AK684">
        <v>8</v>
      </c>
      <c r="AL684">
        <v>19</v>
      </c>
      <c r="AM684">
        <v>8</v>
      </c>
      <c r="AN684">
        <v>1450.973022460938</v>
      </c>
      <c r="AO684"/>
      <c r="AP684"/>
      <c r="AQ684"/>
      <c r="AR684">
        <v>0</v>
      </c>
      <c r="AS684">
        <v>0</v>
      </c>
      <c r="AT684">
        <v>0</v>
      </c>
      <c r="AU684">
        <v>0</v>
      </c>
      <c r="AV684">
        <v>0</v>
      </c>
      <c r="AW684">
        <v>0</v>
      </c>
      <c r="AX684">
        <v>0</v>
      </c>
      <c r="AY684">
        <v>0</v>
      </c>
      <c r="AZ684">
        <v>0</v>
      </c>
      <c r="BA684">
        <v>0</v>
      </c>
      <c r="BB684"/>
      <c r="BC684"/>
      <c r="BD684"/>
      <c r="BE684">
        <v>0</v>
      </c>
      <c r="BF684" t="s">
        <v>2516</v>
      </c>
      <c r="BG684" t="s">
        <v>5</v>
      </c>
      <c r="BH684" t="s">
        <v>1020</v>
      </c>
      <c r="BI684" t="s">
        <v>2517</v>
      </c>
      <c r="BJ684" t="s">
        <v>5</v>
      </c>
      <c r="BK684" t="s">
        <v>1100</v>
      </c>
      <c r="BL684">
        <v>0</v>
      </c>
      <c r="BM684"/>
      <c r="BN684" t="s">
        <v>5</v>
      </c>
      <c r="BO684" t="s">
        <v>2518</v>
      </c>
      <c r="BP684" t="s">
        <v>2518</v>
      </c>
      <c r="BQ684" t="s">
        <v>2518</v>
      </c>
      <c r="BR684" t="s">
        <v>2518</v>
      </c>
      <c r="BS684" t="s">
        <v>6</v>
      </c>
      <c r="BT684" t="s">
        <v>2518</v>
      </c>
      <c r="BU684" t="s">
        <v>2518</v>
      </c>
      <c r="BV684" t="s">
        <v>2518</v>
      </c>
      <c r="BW684" t="s">
        <v>1100</v>
      </c>
      <c r="BX684" t="s">
        <v>6</v>
      </c>
      <c r="BY684" t="s">
        <v>2519</v>
      </c>
      <c r="BZ684"/>
      <c r="CA684"/>
      <c r="CB684" t="s">
        <v>5</v>
      </c>
      <c r="CC684">
        <v>98825.360339652689</v>
      </c>
      <c r="CD684">
        <v>47549390.128980353</v>
      </c>
      <c r="CE684" s="313" t="s">
        <v>11891</v>
      </c>
    </row>
    <row r="685" spans="1:83" ht="15" x14ac:dyDescent="0.25">
      <c r="A685" t="s">
        <v>4862</v>
      </c>
      <c r="B685" t="s">
        <v>4863</v>
      </c>
      <c r="C685" t="s">
        <v>4864</v>
      </c>
      <c r="D685">
        <v>4</v>
      </c>
      <c r="E685" t="s">
        <v>2512</v>
      </c>
      <c r="F685" t="s">
        <v>1634</v>
      </c>
      <c r="G685" t="s">
        <v>4865</v>
      </c>
      <c r="H685" t="s">
        <v>4866</v>
      </c>
      <c r="I685" t="s">
        <v>4867</v>
      </c>
      <c r="J685" t="s">
        <v>4868</v>
      </c>
      <c r="K685" t="s">
        <v>4767</v>
      </c>
      <c r="L685">
        <v>1.1037770509719851</v>
      </c>
      <c r="M685" t="s">
        <v>6</v>
      </c>
      <c r="N685" t="s">
        <v>5</v>
      </c>
      <c r="O685" t="s">
        <v>5</v>
      </c>
      <c r="P685" t="s">
        <v>5</v>
      </c>
      <c r="Q685" t="s">
        <v>5</v>
      </c>
      <c r="R685" t="s">
        <v>4869</v>
      </c>
      <c r="S685" t="s">
        <v>4869</v>
      </c>
      <c r="T685" t="s">
        <v>5</v>
      </c>
      <c r="U685" t="s">
        <v>13</v>
      </c>
      <c r="V685">
        <v>10000</v>
      </c>
      <c r="W685">
        <v>10000</v>
      </c>
      <c r="X685" t="s">
        <v>6</v>
      </c>
      <c r="Y685"/>
      <c r="Z685">
        <v>0</v>
      </c>
      <c r="AA685">
        <v>6.0703281313180923E-2</v>
      </c>
      <c r="AB685">
        <v>7.439199835062027E-3</v>
      </c>
      <c r="AC685">
        <v>0</v>
      </c>
      <c r="AD685">
        <v>3</v>
      </c>
      <c r="AE685">
        <v>0</v>
      </c>
      <c r="AF685">
        <v>2</v>
      </c>
      <c r="AG685">
        <v>0</v>
      </c>
      <c r="AH685">
        <v>1</v>
      </c>
      <c r="AI685">
        <v>1</v>
      </c>
      <c r="AJ685">
        <v>0</v>
      </c>
      <c r="AK685">
        <v>0</v>
      </c>
      <c r="AL685">
        <v>0</v>
      </c>
      <c r="AM685">
        <v>0</v>
      </c>
      <c r="AN685">
        <v>10.66470146179199</v>
      </c>
      <c r="AO685"/>
      <c r="AP685"/>
      <c r="AQ685"/>
      <c r="AR685">
        <v>0</v>
      </c>
      <c r="AS685">
        <v>0</v>
      </c>
      <c r="AT685">
        <v>0</v>
      </c>
      <c r="AU685">
        <v>0</v>
      </c>
      <c r="AV685">
        <v>0</v>
      </c>
      <c r="AW685">
        <v>0</v>
      </c>
      <c r="AX685">
        <v>0</v>
      </c>
      <c r="AY685">
        <v>0</v>
      </c>
      <c r="AZ685">
        <v>0</v>
      </c>
      <c r="BA685">
        <v>0</v>
      </c>
      <c r="BB685"/>
      <c r="BC685"/>
      <c r="BD685"/>
      <c r="BE685">
        <v>0</v>
      </c>
      <c r="BF685" t="s">
        <v>2516</v>
      </c>
      <c r="BG685" t="s">
        <v>5</v>
      </c>
      <c r="BH685" t="s">
        <v>1020</v>
      </c>
      <c r="BI685" t="s">
        <v>2517</v>
      </c>
      <c r="BJ685" t="s">
        <v>5</v>
      </c>
      <c r="BK685" t="s">
        <v>1100</v>
      </c>
      <c r="BL685">
        <v>0</v>
      </c>
      <c r="BM685"/>
      <c r="BN685" t="s">
        <v>5</v>
      </c>
      <c r="BO685" t="s">
        <v>2518</v>
      </c>
      <c r="BP685" t="s">
        <v>2518</v>
      </c>
      <c r="BQ685" t="s">
        <v>2518</v>
      </c>
      <c r="BR685" t="s">
        <v>2518</v>
      </c>
      <c r="BS685" t="s">
        <v>6</v>
      </c>
      <c r="BT685" t="s">
        <v>2518</v>
      </c>
      <c r="BU685" t="s">
        <v>2518</v>
      </c>
      <c r="BV685" t="s">
        <v>2518</v>
      </c>
      <c r="BW685" t="s">
        <v>1100</v>
      </c>
      <c r="BX685" t="s">
        <v>6</v>
      </c>
      <c r="BY685" t="s">
        <v>2519</v>
      </c>
      <c r="BZ685"/>
      <c r="CA685"/>
      <c r="CB685" t="s">
        <v>5</v>
      </c>
      <c r="CC685">
        <v>9307.781781833839</v>
      </c>
      <c r="CD685">
        <v>2858769.4201873769</v>
      </c>
      <c r="CE685" s="313" t="s">
        <v>11891</v>
      </c>
    </row>
    <row r="686" spans="1:83" ht="15" x14ac:dyDescent="0.25">
      <c r="A686" t="s">
        <v>12082</v>
      </c>
      <c r="B686" t="s">
        <v>4870</v>
      </c>
      <c r="C686" t="s">
        <v>4811</v>
      </c>
      <c r="D686">
        <v>4</v>
      </c>
      <c r="E686" t="s">
        <v>2512</v>
      </c>
      <c r="F686" t="s">
        <v>1634</v>
      </c>
      <c r="G686" t="s">
        <v>4865</v>
      </c>
      <c r="H686" t="s">
        <v>4871</v>
      </c>
      <c r="I686" t="s">
        <v>4872</v>
      </c>
      <c r="J686" t="s">
        <v>4873</v>
      </c>
      <c r="K686" t="s">
        <v>4767</v>
      </c>
      <c r="L686">
        <v>0.95927232503890991</v>
      </c>
      <c r="M686" t="s">
        <v>6</v>
      </c>
      <c r="N686" t="s">
        <v>5</v>
      </c>
      <c r="O686" t="s">
        <v>5</v>
      </c>
      <c r="P686" t="s">
        <v>5</v>
      </c>
      <c r="Q686" t="s">
        <v>5</v>
      </c>
      <c r="R686" t="s">
        <v>4874</v>
      </c>
      <c r="S686" t="s">
        <v>4874</v>
      </c>
      <c r="T686" t="s">
        <v>5</v>
      </c>
      <c r="U686" t="s">
        <v>13</v>
      </c>
      <c r="V686">
        <v>10000</v>
      </c>
      <c r="W686">
        <v>10000</v>
      </c>
      <c r="X686" t="s">
        <v>6</v>
      </c>
      <c r="Y686"/>
      <c r="Z686">
        <v>0</v>
      </c>
      <c r="AA686">
        <v>3.6248750984668732E-2</v>
      </c>
      <c r="AB686">
        <v>4.1956999339163303E-3</v>
      </c>
      <c r="AC686">
        <v>0</v>
      </c>
      <c r="AD686">
        <v>0</v>
      </c>
      <c r="AE686">
        <v>0</v>
      </c>
      <c r="AF686">
        <v>0</v>
      </c>
      <c r="AG686">
        <v>0</v>
      </c>
      <c r="AH686">
        <v>0</v>
      </c>
      <c r="AI686">
        <v>0</v>
      </c>
      <c r="AJ686">
        <v>0</v>
      </c>
      <c r="AK686">
        <v>0</v>
      </c>
      <c r="AL686">
        <v>0</v>
      </c>
      <c r="AM686">
        <v>0</v>
      </c>
      <c r="AN686">
        <v>4.2725052833557129</v>
      </c>
      <c r="AO686"/>
      <c r="AP686"/>
      <c r="AQ686"/>
      <c r="AR686">
        <v>0</v>
      </c>
      <c r="AS686">
        <v>0</v>
      </c>
      <c r="AT686">
        <v>0</v>
      </c>
      <c r="AU686">
        <v>0</v>
      </c>
      <c r="AV686">
        <v>0</v>
      </c>
      <c r="AW686">
        <v>0</v>
      </c>
      <c r="AX686">
        <v>0</v>
      </c>
      <c r="AY686">
        <v>0</v>
      </c>
      <c r="AZ686">
        <v>0</v>
      </c>
      <c r="BA686">
        <v>0</v>
      </c>
      <c r="BB686"/>
      <c r="BC686"/>
      <c r="BD686"/>
      <c r="BE686">
        <v>0</v>
      </c>
      <c r="BF686" t="s">
        <v>2516</v>
      </c>
      <c r="BG686" t="s">
        <v>5</v>
      </c>
      <c r="BH686" t="s">
        <v>1020</v>
      </c>
      <c r="BI686" t="s">
        <v>2517</v>
      </c>
      <c r="BJ686" t="s">
        <v>5</v>
      </c>
      <c r="BK686" t="s">
        <v>1100</v>
      </c>
      <c r="BL686">
        <v>0</v>
      </c>
      <c r="BM686"/>
      <c r="BN686" t="s">
        <v>5</v>
      </c>
      <c r="BO686" t="s">
        <v>2518</v>
      </c>
      <c r="BP686" t="s">
        <v>2518</v>
      </c>
      <c r="BQ686" t="s">
        <v>2518</v>
      </c>
      <c r="BR686" t="s">
        <v>2518</v>
      </c>
      <c r="BS686" t="s">
        <v>6</v>
      </c>
      <c r="BT686" t="s">
        <v>2518</v>
      </c>
      <c r="BU686" t="s">
        <v>2518</v>
      </c>
      <c r="BV686" t="s">
        <v>2518</v>
      </c>
      <c r="BW686" t="s">
        <v>1100</v>
      </c>
      <c r="BX686" t="s">
        <v>6</v>
      </c>
      <c r="BY686" t="s">
        <v>2519</v>
      </c>
      <c r="BZ686"/>
      <c r="CA686"/>
      <c r="CB686" t="s">
        <v>5</v>
      </c>
      <c r="CC686">
        <v>9638.9416340649404</v>
      </c>
      <c r="CD686">
        <v>2484503.9533344139</v>
      </c>
      <c r="CE686" s="313" t="s">
        <v>11891</v>
      </c>
    </row>
    <row r="687" spans="1:83" ht="15" x14ac:dyDescent="0.25">
      <c r="A687" t="s">
        <v>4833</v>
      </c>
      <c r="B687" t="s">
        <v>4834</v>
      </c>
      <c r="C687" t="s">
        <v>4835</v>
      </c>
      <c r="D687">
        <v>4</v>
      </c>
      <c r="E687" t="s">
        <v>2512</v>
      </c>
      <c r="F687" t="s">
        <v>4736</v>
      </c>
      <c r="G687" t="s">
        <v>2537</v>
      </c>
      <c r="H687" t="s">
        <v>4824</v>
      </c>
      <c r="I687" t="s">
        <v>4825</v>
      </c>
      <c r="J687" t="s">
        <v>4826</v>
      </c>
      <c r="K687" t="s">
        <v>4761</v>
      </c>
      <c r="L687">
        <v>55.714336395263672</v>
      </c>
      <c r="M687" t="s">
        <v>6</v>
      </c>
      <c r="N687" t="s">
        <v>5</v>
      </c>
      <c r="O687" t="s">
        <v>5</v>
      </c>
      <c r="P687" t="s">
        <v>5</v>
      </c>
      <c r="Q687" t="s">
        <v>5</v>
      </c>
      <c r="R687" t="s">
        <v>4737</v>
      </c>
      <c r="S687" t="s">
        <v>4737</v>
      </c>
      <c r="T687" t="s">
        <v>5</v>
      </c>
      <c r="U687" t="s">
        <v>50</v>
      </c>
      <c r="V687">
        <v>10000</v>
      </c>
      <c r="W687">
        <v>10000</v>
      </c>
      <c r="X687" t="s">
        <v>6</v>
      </c>
      <c r="Y687"/>
      <c r="Z687">
        <v>0</v>
      </c>
      <c r="AA687">
        <v>17.052947998046879</v>
      </c>
      <c r="AB687">
        <v>2.191315889358521</v>
      </c>
      <c r="AC687">
        <v>0</v>
      </c>
      <c r="AD687">
        <v>1379</v>
      </c>
      <c r="AE687">
        <v>419</v>
      </c>
      <c r="AF687">
        <v>1024</v>
      </c>
      <c r="AG687">
        <v>10126</v>
      </c>
      <c r="AH687">
        <v>3757</v>
      </c>
      <c r="AI687">
        <v>10126</v>
      </c>
      <c r="AJ687">
        <v>9</v>
      </c>
      <c r="AK687">
        <v>0</v>
      </c>
      <c r="AL687">
        <v>41</v>
      </c>
      <c r="AM687">
        <v>0</v>
      </c>
      <c r="AN687">
        <v>294.66531372070313</v>
      </c>
      <c r="AO687"/>
      <c r="AP687"/>
      <c r="AQ687"/>
      <c r="AR687">
        <v>0</v>
      </c>
      <c r="AS687">
        <v>0</v>
      </c>
      <c r="AT687">
        <v>0</v>
      </c>
      <c r="AU687">
        <v>0</v>
      </c>
      <c r="AV687">
        <v>0</v>
      </c>
      <c r="AW687">
        <v>0</v>
      </c>
      <c r="AX687">
        <v>0</v>
      </c>
      <c r="AY687">
        <v>0</v>
      </c>
      <c r="AZ687">
        <v>0</v>
      </c>
      <c r="BA687">
        <v>0</v>
      </c>
      <c r="BB687"/>
      <c r="BC687"/>
      <c r="BD687"/>
      <c r="BE687">
        <v>0</v>
      </c>
      <c r="BF687" t="s">
        <v>2516</v>
      </c>
      <c r="BG687" t="s">
        <v>5</v>
      </c>
      <c r="BH687" t="s">
        <v>1020</v>
      </c>
      <c r="BI687" t="s">
        <v>2517</v>
      </c>
      <c r="BJ687" t="s">
        <v>5</v>
      </c>
      <c r="BK687" t="s">
        <v>1100</v>
      </c>
      <c r="BL687">
        <v>0</v>
      </c>
      <c r="BM687"/>
      <c r="BN687" t="s">
        <v>5</v>
      </c>
      <c r="BO687" t="s">
        <v>2518</v>
      </c>
      <c r="BP687" t="s">
        <v>2518</v>
      </c>
      <c r="BQ687" t="s">
        <v>2518</v>
      </c>
      <c r="BR687" t="s">
        <v>2518</v>
      </c>
      <c r="BS687" t="s">
        <v>6</v>
      </c>
      <c r="BT687" t="s">
        <v>2518</v>
      </c>
      <c r="BU687" t="s">
        <v>2518</v>
      </c>
      <c r="BV687" t="s">
        <v>2518</v>
      </c>
      <c r="BW687" t="s">
        <v>1100</v>
      </c>
      <c r="BX687" t="s">
        <v>6</v>
      </c>
      <c r="BY687" t="s">
        <v>2519</v>
      </c>
      <c r="BZ687"/>
      <c r="CA687"/>
      <c r="CB687" t="s">
        <v>5</v>
      </c>
      <c r="CC687">
        <v>95009.265056235134</v>
      </c>
      <c r="CD687">
        <v>144299464.57571331</v>
      </c>
      <c r="CE687" s="313" t="s">
        <v>11891</v>
      </c>
    </row>
    <row r="688" spans="1:83" ht="15" x14ac:dyDescent="0.25">
      <c r="A688" t="s">
        <v>4746</v>
      </c>
      <c r="B688" t="s">
        <v>12083</v>
      </c>
      <c r="C688" t="s">
        <v>4747</v>
      </c>
      <c r="D688">
        <v>4</v>
      </c>
      <c r="E688" t="s">
        <v>2512</v>
      </c>
      <c r="F688" t="s">
        <v>2559</v>
      </c>
      <c r="G688" t="s">
        <v>2560</v>
      </c>
      <c r="H688" t="s">
        <v>4741</v>
      </c>
      <c r="I688" t="s">
        <v>4742</v>
      </c>
      <c r="J688" t="s">
        <v>4743</v>
      </c>
      <c r="K688" t="s">
        <v>4748</v>
      </c>
      <c r="L688">
        <v>371.03521728515619</v>
      </c>
      <c r="M688" t="s">
        <v>6</v>
      </c>
      <c r="N688" t="s">
        <v>6</v>
      </c>
      <c r="O688" t="s">
        <v>5</v>
      </c>
      <c r="P688" t="s">
        <v>5</v>
      </c>
      <c r="Q688" t="s">
        <v>5</v>
      </c>
      <c r="R688" t="s">
        <v>4745</v>
      </c>
      <c r="S688" t="s">
        <v>4745</v>
      </c>
      <c r="T688" t="s">
        <v>6</v>
      </c>
      <c r="U688" t="s">
        <v>98</v>
      </c>
      <c r="V688">
        <v>100000</v>
      </c>
      <c r="W688">
        <v>10000</v>
      </c>
      <c r="X688" t="s">
        <v>6</v>
      </c>
      <c r="Y688"/>
      <c r="Z688">
        <v>0</v>
      </c>
      <c r="AA688">
        <v>341.07913208007813</v>
      </c>
      <c r="AB688">
        <v>58.821243286132813</v>
      </c>
      <c r="AC688">
        <v>0</v>
      </c>
      <c r="AD688">
        <v>16974</v>
      </c>
      <c r="AE688">
        <v>8682</v>
      </c>
      <c r="AF688">
        <v>14040</v>
      </c>
      <c r="AG688">
        <v>26400</v>
      </c>
      <c r="AH688">
        <v>26881</v>
      </c>
      <c r="AI688">
        <v>26881</v>
      </c>
      <c r="AJ688">
        <v>276</v>
      </c>
      <c r="AK688">
        <v>22</v>
      </c>
      <c r="AL688">
        <v>364</v>
      </c>
      <c r="AM688">
        <v>22</v>
      </c>
      <c r="AN688">
        <v>17171.203125</v>
      </c>
      <c r="AO688"/>
      <c r="AP688"/>
      <c r="AQ688"/>
      <c r="AR688">
        <v>0</v>
      </c>
      <c r="AS688">
        <v>0</v>
      </c>
      <c r="AT688">
        <v>0</v>
      </c>
      <c r="AU688">
        <v>0</v>
      </c>
      <c r="AV688">
        <v>0</v>
      </c>
      <c r="AW688">
        <v>0</v>
      </c>
      <c r="AX688">
        <v>0</v>
      </c>
      <c r="AY688">
        <v>0</v>
      </c>
      <c r="AZ688">
        <v>0</v>
      </c>
      <c r="BA688">
        <v>0</v>
      </c>
      <c r="BB688"/>
      <c r="BC688"/>
      <c r="BD688"/>
      <c r="BE688">
        <v>0</v>
      </c>
      <c r="BF688" t="s">
        <v>367</v>
      </c>
      <c r="BG688" t="s">
        <v>5</v>
      </c>
      <c r="BH688" t="s">
        <v>1020</v>
      </c>
      <c r="BI688" t="s">
        <v>2517</v>
      </c>
      <c r="BJ688" t="s">
        <v>5</v>
      </c>
      <c r="BK688" t="s">
        <v>1100</v>
      </c>
      <c r="BL688">
        <v>0</v>
      </c>
      <c r="BM688"/>
      <c r="BN688" t="s">
        <v>5</v>
      </c>
      <c r="BO688" t="s">
        <v>2518</v>
      </c>
      <c r="BP688" t="s">
        <v>2518</v>
      </c>
      <c r="BQ688" t="s">
        <v>2518</v>
      </c>
      <c r="BR688" t="s">
        <v>2518</v>
      </c>
      <c r="BS688" t="s">
        <v>6</v>
      </c>
      <c r="BT688" t="s">
        <v>2518</v>
      </c>
      <c r="BU688" t="s">
        <v>2518</v>
      </c>
      <c r="BV688" t="s">
        <v>2518</v>
      </c>
      <c r="BW688" t="s">
        <v>1100</v>
      </c>
      <c r="BX688" t="s">
        <v>6</v>
      </c>
      <c r="BY688" t="s">
        <v>2519</v>
      </c>
      <c r="BZ688"/>
      <c r="CA688"/>
      <c r="CB688" t="s">
        <v>5</v>
      </c>
      <c r="CC688">
        <v>172965.4387377699</v>
      </c>
      <c r="CD688">
        <v>960976801.01900148</v>
      </c>
      <c r="CE688" s="313" t="s">
        <v>11891</v>
      </c>
    </row>
    <row r="689" spans="1:83" ht="15" x14ac:dyDescent="0.25">
      <c r="A689" t="s">
        <v>2564</v>
      </c>
      <c r="B689" t="s">
        <v>2565</v>
      </c>
      <c r="C689" t="s">
        <v>2566</v>
      </c>
      <c r="D689">
        <v>4</v>
      </c>
      <c r="E689" t="s">
        <v>2512</v>
      </c>
      <c r="F689" t="s">
        <v>2559</v>
      </c>
      <c r="G689" t="s">
        <v>2560</v>
      </c>
      <c r="H689" t="s">
        <v>2561</v>
      </c>
      <c r="I689" t="s">
        <v>2562</v>
      </c>
      <c r="J689" t="s">
        <v>2563</v>
      </c>
      <c r="K689" t="s">
        <v>2530</v>
      </c>
      <c r="L689">
        <v>371.03207397460938</v>
      </c>
      <c r="M689" t="s">
        <v>6</v>
      </c>
      <c r="N689" t="s">
        <v>6</v>
      </c>
      <c r="O689" t="s">
        <v>5</v>
      </c>
      <c r="P689" t="s">
        <v>5</v>
      </c>
      <c r="Q689" t="s">
        <v>5</v>
      </c>
      <c r="R689" t="s">
        <v>2567</v>
      </c>
      <c r="S689" t="s">
        <v>2567</v>
      </c>
      <c r="T689" t="s">
        <v>6</v>
      </c>
      <c r="U689" t="s">
        <v>4</v>
      </c>
      <c r="V689">
        <v>10000</v>
      </c>
      <c r="W689">
        <v>10000</v>
      </c>
      <c r="X689" t="s">
        <v>6</v>
      </c>
      <c r="Y689"/>
      <c r="Z689">
        <v>0</v>
      </c>
      <c r="AA689">
        <v>341.0738525390625</v>
      </c>
      <c r="AB689">
        <v>58.821269989013672</v>
      </c>
      <c r="AC689">
        <v>0</v>
      </c>
      <c r="AD689">
        <v>16974</v>
      </c>
      <c r="AE689">
        <v>8682</v>
      </c>
      <c r="AF689">
        <v>14040</v>
      </c>
      <c r="AG689">
        <v>26400</v>
      </c>
      <c r="AH689">
        <v>26881</v>
      </c>
      <c r="AI689">
        <v>26881</v>
      </c>
      <c r="AJ689">
        <v>276</v>
      </c>
      <c r="AK689">
        <v>22</v>
      </c>
      <c r="AL689">
        <v>364</v>
      </c>
      <c r="AM689">
        <v>22</v>
      </c>
      <c r="AN689">
        <v>17171.212890625</v>
      </c>
      <c r="AO689"/>
      <c r="AP689"/>
      <c r="AQ689"/>
      <c r="AR689">
        <v>0</v>
      </c>
      <c r="AS689">
        <v>0</v>
      </c>
      <c r="AT689">
        <v>0</v>
      </c>
      <c r="AU689">
        <v>0</v>
      </c>
      <c r="AV689">
        <v>0</v>
      </c>
      <c r="AW689">
        <v>0</v>
      </c>
      <c r="AX689">
        <v>0</v>
      </c>
      <c r="AY689">
        <v>0</v>
      </c>
      <c r="AZ689">
        <v>0</v>
      </c>
      <c r="BA689">
        <v>0</v>
      </c>
      <c r="BB689"/>
      <c r="BC689"/>
      <c r="BD689"/>
      <c r="BE689">
        <v>0</v>
      </c>
      <c r="BF689" t="s">
        <v>2516</v>
      </c>
      <c r="BG689" t="s">
        <v>5</v>
      </c>
      <c r="BH689" t="s">
        <v>1020</v>
      </c>
      <c r="BI689" t="s">
        <v>2517</v>
      </c>
      <c r="BJ689" t="s">
        <v>5</v>
      </c>
      <c r="BK689" t="s">
        <v>1100</v>
      </c>
      <c r="BL689">
        <v>0</v>
      </c>
      <c r="BM689"/>
      <c r="BN689" t="s">
        <v>5</v>
      </c>
      <c r="BO689" t="s">
        <v>2518</v>
      </c>
      <c r="BP689" t="s">
        <v>2518</v>
      </c>
      <c r="BQ689" t="s">
        <v>2518</v>
      </c>
      <c r="BR689" t="s">
        <v>2518</v>
      </c>
      <c r="BS689" t="s">
        <v>6</v>
      </c>
      <c r="BT689" t="s">
        <v>2518</v>
      </c>
      <c r="BU689" t="s">
        <v>2518</v>
      </c>
      <c r="BV689" t="s">
        <v>2518</v>
      </c>
      <c r="BW689" t="s">
        <v>1100</v>
      </c>
      <c r="BX689" t="s">
        <v>6</v>
      </c>
      <c r="BY689" t="s">
        <v>2519</v>
      </c>
      <c r="BZ689"/>
      <c r="CA689"/>
      <c r="CB689" t="s">
        <v>5</v>
      </c>
      <c r="CC689">
        <v>172970.31197326019</v>
      </c>
      <c r="CD689">
        <v>960968660.9493506</v>
      </c>
      <c r="CE689" s="313" t="s">
        <v>11891</v>
      </c>
    </row>
    <row r="690" spans="1:83" ht="15" x14ac:dyDescent="0.25">
      <c r="A690" t="s">
        <v>281</v>
      </c>
      <c r="B690" t="s">
        <v>171</v>
      </c>
      <c r="C690" t="s">
        <v>172</v>
      </c>
      <c r="D690">
        <v>6</v>
      </c>
      <c r="E690" t="s">
        <v>259</v>
      </c>
      <c r="F690" t="s">
        <v>282</v>
      </c>
      <c r="G690" t="s">
        <v>283</v>
      </c>
      <c r="H690" t="s">
        <v>284</v>
      </c>
      <c r="I690" t="s">
        <v>285</v>
      </c>
      <c r="J690" t="s">
        <v>286</v>
      </c>
      <c r="K690" t="s">
        <v>21</v>
      </c>
      <c r="L690">
        <v>48.683479309082031</v>
      </c>
      <c r="M690" t="s">
        <v>6</v>
      </c>
      <c r="N690" t="s">
        <v>5</v>
      </c>
      <c r="O690" t="s">
        <v>6</v>
      </c>
      <c r="P690" t="s">
        <v>5</v>
      </c>
      <c r="Q690" t="s">
        <v>5</v>
      </c>
      <c r="R690" t="s">
        <v>287</v>
      </c>
      <c r="S690" t="s">
        <v>288</v>
      </c>
      <c r="T690" t="s">
        <v>6</v>
      </c>
      <c r="U690" t="s">
        <v>98</v>
      </c>
      <c r="V690">
        <v>100000</v>
      </c>
      <c r="W690">
        <v>10000</v>
      </c>
      <c r="X690" t="s">
        <v>6</v>
      </c>
      <c r="Y690" t="s">
        <v>4</v>
      </c>
      <c r="Z690">
        <v>0</v>
      </c>
      <c r="AA690">
        <v>3.7536940574646001</v>
      </c>
      <c r="AB690">
        <v>9.1343555450439453</v>
      </c>
      <c r="AC690">
        <v>0</v>
      </c>
      <c r="AD690">
        <v>4791</v>
      </c>
      <c r="AE690">
        <v>9332</v>
      </c>
      <c r="AF690">
        <v>3666</v>
      </c>
      <c r="AG690">
        <v>11939</v>
      </c>
      <c r="AH690">
        <v>11053</v>
      </c>
      <c r="AI690">
        <v>11939</v>
      </c>
      <c r="AJ690">
        <v>22</v>
      </c>
      <c r="AK690">
        <v>0</v>
      </c>
      <c r="AL690">
        <v>76</v>
      </c>
      <c r="AM690">
        <v>0</v>
      </c>
      <c r="AN690">
        <v>137.4742126464844</v>
      </c>
      <c r="AO690"/>
      <c r="AP690"/>
      <c r="AQ690"/>
      <c r="AR690"/>
      <c r="AS690"/>
      <c r="AT690"/>
      <c r="AU690"/>
      <c r="AV690"/>
      <c r="AW690"/>
      <c r="AX690"/>
      <c r="AY690"/>
      <c r="AZ690"/>
      <c r="BA690"/>
      <c r="BB690"/>
      <c r="BC690"/>
      <c r="BD690"/>
      <c r="BE690"/>
      <c r="BF690"/>
      <c r="BG690" t="s">
        <v>5</v>
      </c>
      <c r="BH690"/>
      <c r="BI690"/>
      <c r="BJ690" t="s">
        <v>5</v>
      </c>
      <c r="BK690"/>
      <c r="BL690">
        <v>0</v>
      </c>
      <c r="BM690"/>
      <c r="BN690" t="s">
        <v>5</v>
      </c>
      <c r="BO690" t="s">
        <v>2518</v>
      </c>
      <c r="BP690" t="s">
        <v>2518</v>
      </c>
      <c r="BQ690" t="s">
        <v>2518</v>
      </c>
      <c r="BR690"/>
      <c r="BS690" t="s">
        <v>6</v>
      </c>
      <c r="BT690" t="s">
        <v>2518</v>
      </c>
      <c r="BU690" t="s">
        <v>2518</v>
      </c>
      <c r="BV690" t="s">
        <v>2518</v>
      </c>
      <c r="BW690"/>
      <c r="BX690" t="s">
        <v>6</v>
      </c>
      <c r="BY690" t="s">
        <v>7</v>
      </c>
      <c r="BZ690" t="s">
        <v>2518</v>
      </c>
      <c r="CA690"/>
      <c r="CB690" t="s">
        <v>5</v>
      </c>
      <c r="CC690">
        <v>170679.86330083091</v>
      </c>
      <c r="CD690">
        <v>126089634.3893211</v>
      </c>
      <c r="CE690" s="313" t="s">
        <v>11891</v>
      </c>
    </row>
    <row r="691" spans="1:83" ht="15" x14ac:dyDescent="0.25">
      <c r="A691" t="s">
        <v>105</v>
      </c>
      <c r="B691" t="s">
        <v>106</v>
      </c>
      <c r="C691" t="s">
        <v>2974</v>
      </c>
      <c r="D691">
        <v>6</v>
      </c>
      <c r="E691" t="s">
        <v>259</v>
      </c>
      <c r="F691" t="s">
        <v>2</v>
      </c>
      <c r="G691" t="s">
        <v>3</v>
      </c>
      <c r="H691" t="s">
        <v>352</v>
      </c>
      <c r="I691" t="s">
        <v>353</v>
      </c>
      <c r="J691" t="s">
        <v>354</v>
      </c>
      <c r="K691" t="s">
        <v>328</v>
      </c>
      <c r="L691">
        <v>3.5849535465240479</v>
      </c>
      <c r="M691" t="s">
        <v>6</v>
      </c>
      <c r="N691" t="s">
        <v>5</v>
      </c>
      <c r="O691" t="s">
        <v>6</v>
      </c>
      <c r="P691" t="s">
        <v>5</v>
      </c>
      <c r="Q691" t="s">
        <v>5</v>
      </c>
      <c r="R691" t="s">
        <v>297</v>
      </c>
      <c r="S691" t="s">
        <v>297</v>
      </c>
      <c r="T691" t="s">
        <v>5</v>
      </c>
      <c r="U691" t="s">
        <v>50</v>
      </c>
      <c r="V691">
        <v>200000</v>
      </c>
      <c r="W691">
        <v>10000</v>
      </c>
      <c r="X691" t="s">
        <v>6</v>
      </c>
      <c r="Y691" t="s">
        <v>302</v>
      </c>
      <c r="Z691">
        <v>50000</v>
      </c>
      <c r="AA691">
        <v>2.9588699340820308</v>
      </c>
      <c r="AB691">
        <v>0.53965997695922852</v>
      </c>
      <c r="AC691">
        <v>0</v>
      </c>
      <c r="AD691">
        <v>5879</v>
      </c>
      <c r="AE691">
        <v>904</v>
      </c>
      <c r="AF691">
        <v>5539</v>
      </c>
      <c r="AG691">
        <v>25741</v>
      </c>
      <c r="AH691">
        <v>16463</v>
      </c>
      <c r="AI691">
        <v>25741</v>
      </c>
      <c r="AJ691">
        <v>71</v>
      </c>
      <c r="AK691">
        <v>0</v>
      </c>
      <c r="AL691">
        <v>71</v>
      </c>
      <c r="AM691">
        <v>0</v>
      </c>
      <c r="AN691">
        <v>0.1517360061407089</v>
      </c>
      <c r="AO691"/>
      <c r="AP691"/>
      <c r="AQ691"/>
      <c r="AR691"/>
      <c r="AS691"/>
      <c r="AT691"/>
      <c r="AU691"/>
      <c r="AV691"/>
      <c r="AW691"/>
      <c r="AX691"/>
      <c r="AY691"/>
      <c r="AZ691"/>
      <c r="BA691"/>
      <c r="BB691"/>
      <c r="BC691"/>
      <c r="BD691"/>
      <c r="BE691"/>
      <c r="BF691"/>
      <c r="BG691" t="s">
        <v>5</v>
      </c>
      <c r="BH691"/>
      <c r="BI691"/>
      <c r="BJ691" t="s">
        <v>5</v>
      </c>
      <c r="BK691"/>
      <c r="BL691">
        <v>0</v>
      </c>
      <c r="BM691"/>
      <c r="BN691" t="s">
        <v>5</v>
      </c>
      <c r="BO691" t="s">
        <v>2518</v>
      </c>
      <c r="BP691" t="s">
        <v>2518</v>
      </c>
      <c r="BQ691" t="s">
        <v>2518</v>
      </c>
      <c r="BR691"/>
      <c r="BS691" t="s">
        <v>6</v>
      </c>
      <c r="BT691" t="s">
        <v>2518</v>
      </c>
      <c r="BU691" t="s">
        <v>2518</v>
      </c>
      <c r="BV691" t="s">
        <v>2518</v>
      </c>
      <c r="BW691"/>
      <c r="BX691" t="s">
        <v>6</v>
      </c>
      <c r="BY691" t="s">
        <v>7</v>
      </c>
      <c r="BZ691" t="s">
        <v>2518</v>
      </c>
      <c r="CA691"/>
      <c r="CB691" t="s">
        <v>5</v>
      </c>
      <c r="CC691">
        <v>16716.568911328399</v>
      </c>
      <c r="CD691">
        <v>9284987.0653277058</v>
      </c>
      <c r="CE691" s="313" t="s">
        <v>11891</v>
      </c>
    </row>
    <row r="692" spans="1:83" ht="15" x14ac:dyDescent="0.25">
      <c r="A692" t="s">
        <v>3513</v>
      </c>
      <c r="B692" t="s">
        <v>3514</v>
      </c>
      <c r="C692" t="s">
        <v>3515</v>
      </c>
      <c r="D692">
        <v>12</v>
      </c>
      <c r="E692" t="s">
        <v>3435</v>
      </c>
      <c r="F692" t="s">
        <v>3516</v>
      </c>
      <c r="G692" t="s">
        <v>3517</v>
      </c>
      <c r="H692" t="s">
        <v>3518</v>
      </c>
      <c r="I692"/>
      <c r="J692" t="s">
        <v>3519</v>
      </c>
      <c r="K692" t="s">
        <v>3484</v>
      </c>
      <c r="L692">
        <v>749.218017578125</v>
      </c>
      <c r="M692" t="s">
        <v>6</v>
      </c>
      <c r="N692" t="s">
        <v>5</v>
      </c>
      <c r="O692" t="s">
        <v>6</v>
      </c>
      <c r="P692" t="s">
        <v>5</v>
      </c>
      <c r="Q692" t="s">
        <v>5</v>
      </c>
      <c r="R692" t="s">
        <v>3520</v>
      </c>
      <c r="S692" t="s">
        <v>3521</v>
      </c>
      <c r="T692" t="s">
        <v>5</v>
      </c>
      <c r="U692" t="s">
        <v>50</v>
      </c>
      <c r="V692">
        <v>10000</v>
      </c>
      <c r="W692">
        <v>10000</v>
      </c>
      <c r="X692" t="s">
        <v>5</v>
      </c>
      <c r="Y692"/>
      <c r="Z692">
        <v>0</v>
      </c>
      <c r="AA692">
        <v>120.55799865722661</v>
      </c>
      <c r="AB692">
        <v>17.822000503540039</v>
      </c>
      <c r="AC692">
        <v>0</v>
      </c>
      <c r="AD692">
        <v>336</v>
      </c>
      <c r="AE692">
        <v>227</v>
      </c>
      <c r="AF692">
        <v>161</v>
      </c>
      <c r="AG692">
        <v>195</v>
      </c>
      <c r="AH692">
        <v>422</v>
      </c>
      <c r="AI692">
        <v>422</v>
      </c>
      <c r="AJ692">
        <v>0</v>
      </c>
      <c r="AK692">
        <v>19</v>
      </c>
      <c r="AL692">
        <v>59</v>
      </c>
      <c r="AM692">
        <v>757</v>
      </c>
      <c r="AN692">
        <v>14495.400390625</v>
      </c>
      <c r="AO692">
        <v>0</v>
      </c>
      <c r="AP692">
        <v>0</v>
      </c>
      <c r="AQ692">
        <v>0</v>
      </c>
      <c r="AR692">
        <v>0</v>
      </c>
      <c r="AS692">
        <v>0</v>
      </c>
      <c r="AT692">
        <v>0</v>
      </c>
      <c r="AU692">
        <v>0</v>
      </c>
      <c r="AV692">
        <v>0</v>
      </c>
      <c r="AW692">
        <v>0</v>
      </c>
      <c r="AX692">
        <v>0</v>
      </c>
      <c r="AY692">
        <v>0</v>
      </c>
      <c r="AZ692">
        <v>0</v>
      </c>
      <c r="BA692">
        <v>0</v>
      </c>
      <c r="BB692">
        <v>0</v>
      </c>
      <c r="BC692">
        <v>0</v>
      </c>
      <c r="BD692">
        <v>0</v>
      </c>
      <c r="BE692">
        <v>0</v>
      </c>
      <c r="BF692" t="s">
        <v>1100</v>
      </c>
      <c r="BG692" t="s">
        <v>5</v>
      </c>
      <c r="BH692" t="s">
        <v>3522</v>
      </c>
      <c r="BI692"/>
      <c r="BJ692" t="s">
        <v>5</v>
      </c>
      <c r="BK692"/>
      <c r="BL692">
        <v>0</v>
      </c>
      <c r="BM692">
        <v>0</v>
      </c>
      <c r="BN692" t="s">
        <v>5</v>
      </c>
      <c r="BO692"/>
      <c r="BP692"/>
      <c r="BQ692"/>
      <c r="BR692"/>
      <c r="BS692" t="s">
        <v>5</v>
      </c>
      <c r="BT692"/>
      <c r="BU692"/>
      <c r="BV692"/>
      <c r="BW692"/>
      <c r="BX692" t="s">
        <v>6</v>
      </c>
      <c r="BY692" t="s">
        <v>3523</v>
      </c>
      <c r="BZ692"/>
      <c r="CA692"/>
      <c r="CB692" t="s">
        <v>5</v>
      </c>
      <c r="CC692">
        <v>204181.68110404769</v>
      </c>
      <c r="CD692">
        <v>1940465744.8628199</v>
      </c>
      <c r="CE692" s="313" t="s">
        <v>11891</v>
      </c>
    </row>
    <row r="693" spans="1:83" ht="15" x14ac:dyDescent="0.25">
      <c r="A693" t="s">
        <v>3545</v>
      </c>
      <c r="B693" t="s">
        <v>3546</v>
      </c>
      <c r="C693" t="s">
        <v>3547</v>
      </c>
      <c r="D693">
        <v>12</v>
      </c>
      <c r="E693" t="s">
        <v>3435</v>
      </c>
      <c r="F693" t="s">
        <v>3473</v>
      </c>
      <c r="G693" t="s">
        <v>3437</v>
      </c>
      <c r="H693" t="s">
        <v>3548</v>
      </c>
      <c r="I693" t="s">
        <v>3549</v>
      </c>
      <c r="J693" t="s">
        <v>3550</v>
      </c>
      <c r="K693" t="s">
        <v>3447</v>
      </c>
      <c r="L693">
        <v>7.6970601081848136</v>
      </c>
      <c r="M693" t="s">
        <v>6</v>
      </c>
      <c r="N693" t="s">
        <v>5</v>
      </c>
      <c r="O693" t="s">
        <v>6</v>
      </c>
      <c r="P693" t="s">
        <v>5</v>
      </c>
      <c r="Q693" t="s">
        <v>5</v>
      </c>
      <c r="R693" t="s">
        <v>3551</v>
      </c>
      <c r="S693" t="s">
        <v>3552</v>
      </c>
      <c r="T693" t="s">
        <v>5</v>
      </c>
      <c r="U693" t="s">
        <v>13</v>
      </c>
      <c r="V693">
        <v>10000</v>
      </c>
      <c r="W693">
        <v>10000</v>
      </c>
      <c r="X693" t="s">
        <v>5</v>
      </c>
      <c r="Y693"/>
      <c r="Z693">
        <v>0</v>
      </c>
      <c r="AA693">
        <v>1.414610028266907</v>
      </c>
      <c r="AB693">
        <v>0.20914199948310849</v>
      </c>
      <c r="AC693">
        <v>0</v>
      </c>
      <c r="AD693">
        <v>107</v>
      </c>
      <c r="AE693">
        <v>36</v>
      </c>
      <c r="AF693">
        <v>63</v>
      </c>
      <c r="AG693">
        <v>161</v>
      </c>
      <c r="AH693">
        <v>114</v>
      </c>
      <c r="AI693">
        <v>161</v>
      </c>
      <c r="AJ693">
        <v>3</v>
      </c>
      <c r="AK693">
        <v>2</v>
      </c>
      <c r="AL693">
        <v>4</v>
      </c>
      <c r="AM693">
        <v>31</v>
      </c>
      <c r="AN693">
        <v>74.569999694824219</v>
      </c>
      <c r="AO693">
        <v>0</v>
      </c>
      <c r="AP693">
        <v>0</v>
      </c>
      <c r="AQ693">
        <v>0</v>
      </c>
      <c r="AR693">
        <v>0</v>
      </c>
      <c r="AS693">
        <v>0</v>
      </c>
      <c r="AT693">
        <v>0</v>
      </c>
      <c r="AU693">
        <v>0</v>
      </c>
      <c r="AV693">
        <v>0</v>
      </c>
      <c r="AW693">
        <v>0</v>
      </c>
      <c r="AX693">
        <v>0</v>
      </c>
      <c r="AY693">
        <v>0</v>
      </c>
      <c r="AZ693">
        <v>0</v>
      </c>
      <c r="BA693">
        <v>0</v>
      </c>
      <c r="BB693">
        <v>0</v>
      </c>
      <c r="BC693">
        <v>0</v>
      </c>
      <c r="BD693">
        <v>0</v>
      </c>
      <c r="BE693">
        <v>0</v>
      </c>
      <c r="BF693" t="s">
        <v>1100</v>
      </c>
      <c r="BG693" t="s">
        <v>5</v>
      </c>
      <c r="BH693" t="s">
        <v>3522</v>
      </c>
      <c r="BI693"/>
      <c r="BJ693" t="s">
        <v>5</v>
      </c>
      <c r="BK693"/>
      <c r="BL693">
        <v>0</v>
      </c>
      <c r="BM693">
        <v>0</v>
      </c>
      <c r="BN693" t="s">
        <v>6</v>
      </c>
      <c r="BO693"/>
      <c r="BP693" t="s">
        <v>3553</v>
      </c>
      <c r="BQ693"/>
      <c r="BR693"/>
      <c r="BS693" t="s">
        <v>5</v>
      </c>
      <c r="BT693"/>
      <c r="BU693"/>
      <c r="BV693"/>
      <c r="BW693"/>
      <c r="BX693" t="s">
        <v>6</v>
      </c>
      <c r="BY693" t="s">
        <v>3523</v>
      </c>
      <c r="BZ693"/>
      <c r="CA693"/>
      <c r="CB693" t="s">
        <v>5</v>
      </c>
      <c r="CC693">
        <v>34752.183253342708</v>
      </c>
      <c r="CD693">
        <v>19935301.266611159</v>
      </c>
      <c r="CE693" s="313" t="s">
        <v>11891</v>
      </c>
    </row>
    <row r="694" spans="1:83" ht="15" x14ac:dyDescent="0.25">
      <c r="A694" t="s">
        <v>113</v>
      </c>
      <c r="B694" t="s">
        <v>114</v>
      </c>
      <c r="C694" t="s">
        <v>115</v>
      </c>
      <c r="D694">
        <v>6</v>
      </c>
      <c r="E694" t="s">
        <v>259</v>
      </c>
      <c r="F694" t="s">
        <v>73</v>
      </c>
      <c r="G694" t="s">
        <v>368</v>
      </c>
      <c r="H694" t="s">
        <v>369</v>
      </c>
      <c r="I694" t="s">
        <v>370</v>
      </c>
      <c r="J694" t="s">
        <v>371</v>
      </c>
      <c r="K694" t="s">
        <v>21</v>
      </c>
      <c r="L694">
        <v>798.8736572265625</v>
      </c>
      <c r="M694" t="s">
        <v>6</v>
      </c>
      <c r="N694" t="s">
        <v>5</v>
      </c>
      <c r="O694" t="s">
        <v>6</v>
      </c>
      <c r="P694" t="s">
        <v>5</v>
      </c>
      <c r="Q694" t="s">
        <v>5</v>
      </c>
      <c r="R694" t="s">
        <v>372</v>
      </c>
      <c r="S694" t="s">
        <v>373</v>
      </c>
      <c r="T694" t="s">
        <v>6</v>
      </c>
      <c r="U694" t="s">
        <v>98</v>
      </c>
      <c r="V694">
        <v>95000</v>
      </c>
      <c r="W694">
        <v>9500</v>
      </c>
      <c r="X694" t="s">
        <v>6</v>
      </c>
      <c r="Y694"/>
      <c r="Z694"/>
      <c r="AA694">
        <v>24.835664749145511</v>
      </c>
      <c r="AB694">
        <v>3.89348292350769</v>
      </c>
      <c r="AC694">
        <v>0</v>
      </c>
      <c r="AD694">
        <v>145</v>
      </c>
      <c r="AE694">
        <v>50</v>
      </c>
      <c r="AF694">
        <v>76</v>
      </c>
      <c r="AG694">
        <v>50</v>
      </c>
      <c r="AH694">
        <v>95</v>
      </c>
      <c r="AI694">
        <v>95</v>
      </c>
      <c r="AJ694">
        <v>0</v>
      </c>
      <c r="AK694">
        <v>1</v>
      </c>
      <c r="AL694">
        <v>11</v>
      </c>
      <c r="AM694">
        <v>1</v>
      </c>
      <c r="AN694">
        <v>151.27351379394531</v>
      </c>
      <c r="AO694"/>
      <c r="AP694"/>
      <c r="AQ694"/>
      <c r="AR694"/>
      <c r="AS694"/>
      <c r="AT694"/>
      <c r="AU694"/>
      <c r="AV694"/>
      <c r="AW694"/>
      <c r="AX694"/>
      <c r="AY694"/>
      <c r="AZ694"/>
      <c r="BA694"/>
      <c r="BB694"/>
      <c r="BC694"/>
      <c r="BD694"/>
      <c r="BE694"/>
      <c r="BF694"/>
      <c r="BG694" t="s">
        <v>5</v>
      </c>
      <c r="BH694"/>
      <c r="BI694"/>
      <c r="BJ694" t="s">
        <v>5</v>
      </c>
      <c r="BK694"/>
      <c r="BL694">
        <v>0</v>
      </c>
      <c r="BM694"/>
      <c r="BN694" t="s">
        <v>5</v>
      </c>
      <c r="BO694" t="s">
        <v>2518</v>
      </c>
      <c r="BP694" t="s">
        <v>2518</v>
      </c>
      <c r="BQ694" t="s">
        <v>2518</v>
      </c>
      <c r="BR694"/>
      <c r="BS694" t="s">
        <v>6</v>
      </c>
      <c r="BT694" t="s">
        <v>2518</v>
      </c>
      <c r="BU694" t="s">
        <v>2518</v>
      </c>
      <c r="BV694" t="s">
        <v>2518</v>
      </c>
      <c r="BW694"/>
      <c r="BX694" t="s">
        <v>6</v>
      </c>
      <c r="BY694" t="s">
        <v>7</v>
      </c>
      <c r="BZ694" t="s">
        <v>2518</v>
      </c>
      <c r="CA694"/>
      <c r="CB694" t="s">
        <v>5</v>
      </c>
      <c r="CC694">
        <v>250626.77186907371</v>
      </c>
      <c r="CD694">
        <v>2069073328.998071</v>
      </c>
      <c r="CE694" s="313" t="s">
        <v>11891</v>
      </c>
    </row>
    <row r="695" spans="1:83" ht="15" x14ac:dyDescent="0.25">
      <c r="A695" t="s">
        <v>159</v>
      </c>
      <c r="B695" t="s">
        <v>160</v>
      </c>
      <c r="C695" t="s">
        <v>408</v>
      </c>
      <c r="D695">
        <v>6</v>
      </c>
      <c r="E695" t="s">
        <v>259</v>
      </c>
      <c r="F695" t="s">
        <v>46</v>
      </c>
      <c r="G695" t="s">
        <v>39</v>
      </c>
      <c r="H695" t="s">
        <v>343</v>
      </c>
      <c r="I695" t="s">
        <v>344</v>
      </c>
      <c r="J695" t="s">
        <v>345</v>
      </c>
      <c r="K695" t="s">
        <v>21</v>
      </c>
      <c r="L695">
        <v>211.07994079589841</v>
      </c>
      <c r="M695" t="s">
        <v>6</v>
      </c>
      <c r="N695" t="s">
        <v>6</v>
      </c>
      <c r="O695" t="s">
        <v>6</v>
      </c>
      <c r="P695" t="s">
        <v>5</v>
      </c>
      <c r="Q695" t="s">
        <v>5</v>
      </c>
      <c r="R695" t="s">
        <v>347</v>
      </c>
      <c r="S695" t="s">
        <v>341</v>
      </c>
      <c r="T695" t="s">
        <v>6</v>
      </c>
      <c r="U695" t="s">
        <v>98</v>
      </c>
      <c r="V695">
        <v>80000</v>
      </c>
      <c r="W695">
        <v>8000</v>
      </c>
      <c r="X695" t="s">
        <v>6</v>
      </c>
      <c r="Y695"/>
      <c r="Z695"/>
      <c r="AA695">
        <v>76.413352966308594</v>
      </c>
      <c r="AB695">
        <v>2.2757019996643071</v>
      </c>
      <c r="AC695">
        <v>0</v>
      </c>
      <c r="AD695">
        <v>21858</v>
      </c>
      <c r="AE695">
        <v>2651</v>
      </c>
      <c r="AF695">
        <v>19143</v>
      </c>
      <c r="AG695">
        <v>64300</v>
      </c>
      <c r="AH695">
        <v>45844</v>
      </c>
      <c r="AI695">
        <v>64300</v>
      </c>
      <c r="AJ695">
        <v>509</v>
      </c>
      <c r="AK695">
        <v>0</v>
      </c>
      <c r="AL695">
        <v>409</v>
      </c>
      <c r="AM695">
        <v>0</v>
      </c>
      <c r="AN695">
        <v>260.88226318359381</v>
      </c>
      <c r="AO695"/>
      <c r="AP695"/>
      <c r="AQ695"/>
      <c r="AR695"/>
      <c r="AS695"/>
      <c r="AT695"/>
      <c r="AU695"/>
      <c r="AV695"/>
      <c r="AW695"/>
      <c r="AX695"/>
      <c r="AY695"/>
      <c r="AZ695"/>
      <c r="BA695"/>
      <c r="BB695"/>
      <c r="BC695"/>
      <c r="BD695"/>
      <c r="BE695"/>
      <c r="BF695"/>
      <c r="BG695" t="s">
        <v>5</v>
      </c>
      <c r="BH695"/>
      <c r="BI695"/>
      <c r="BJ695" t="s">
        <v>5</v>
      </c>
      <c r="BK695"/>
      <c r="BL695">
        <v>0</v>
      </c>
      <c r="BM695"/>
      <c r="BN695" t="s">
        <v>5</v>
      </c>
      <c r="BO695" t="s">
        <v>2518</v>
      </c>
      <c r="BP695" t="s">
        <v>2518</v>
      </c>
      <c r="BQ695" t="s">
        <v>2518</v>
      </c>
      <c r="BR695"/>
      <c r="BS695" t="s">
        <v>6</v>
      </c>
      <c r="BT695" t="s">
        <v>2518</v>
      </c>
      <c r="BU695" t="s">
        <v>2518</v>
      </c>
      <c r="BV695" t="s">
        <v>2518</v>
      </c>
      <c r="BW695"/>
      <c r="BX695" t="s">
        <v>6</v>
      </c>
      <c r="BY695" t="s">
        <v>7</v>
      </c>
      <c r="BZ695" t="s">
        <v>2518</v>
      </c>
      <c r="CA695"/>
      <c r="CB695" t="s">
        <v>5</v>
      </c>
      <c r="CC695">
        <v>144994.51579439509</v>
      </c>
      <c r="CD695">
        <v>546694535.25939405</v>
      </c>
      <c r="CE695" s="313" t="s">
        <v>11891</v>
      </c>
    </row>
    <row r="696" spans="1:83" ht="15" x14ac:dyDescent="0.25">
      <c r="A696" s="337" t="s">
        <v>828</v>
      </c>
      <c r="B696" s="337" t="s">
        <v>829</v>
      </c>
      <c r="C696" s="337" t="s">
        <v>830</v>
      </c>
      <c r="D696" s="337">
        <v>9</v>
      </c>
      <c r="E696" s="337" t="s">
        <v>416</v>
      </c>
      <c r="F696" s="337" t="s">
        <v>691</v>
      </c>
      <c r="G696" s="337" t="s">
        <v>811</v>
      </c>
      <c r="H696" s="337" t="s">
        <v>825</v>
      </c>
      <c r="I696" s="337" t="s">
        <v>825</v>
      </c>
      <c r="J696" s="337" t="s">
        <v>826</v>
      </c>
      <c r="K696" s="337" t="s">
        <v>422</v>
      </c>
      <c r="L696" s="337">
        <v>3.3985908031463619</v>
      </c>
      <c r="M696" s="337" t="s">
        <v>5</v>
      </c>
      <c r="N696" s="337" t="s">
        <v>5</v>
      </c>
      <c r="O696" s="337" t="s">
        <v>5</v>
      </c>
      <c r="P696" s="337" t="s">
        <v>5</v>
      </c>
      <c r="Q696" s="337" t="s">
        <v>5</v>
      </c>
      <c r="R696" s="337" t="s">
        <v>698</v>
      </c>
      <c r="S696" s="337" t="s">
        <v>827</v>
      </c>
      <c r="T696" s="337" t="s">
        <v>5</v>
      </c>
      <c r="U696" s="337" t="s">
        <v>4</v>
      </c>
      <c r="V696" s="337">
        <v>33000</v>
      </c>
      <c r="W696" s="337">
        <v>8000</v>
      </c>
      <c r="X696" s="337" t="s">
        <v>6</v>
      </c>
      <c r="Y696" s="337"/>
      <c r="Z696" s="337"/>
      <c r="AA696" s="337">
        <v>810.5125732421875</v>
      </c>
      <c r="AB696" s="337">
        <v>0.13504146039485929</v>
      </c>
      <c r="AC696" s="337">
        <v>810.5125732421875</v>
      </c>
      <c r="AD696" s="337">
        <v>13</v>
      </c>
      <c r="AE696" s="337">
        <v>1</v>
      </c>
      <c r="AF696" s="337">
        <v>7</v>
      </c>
      <c r="AG696" s="337">
        <v>127</v>
      </c>
      <c r="AH696" s="337">
        <v>61</v>
      </c>
      <c r="AI696" s="337">
        <v>127</v>
      </c>
      <c r="AJ696" s="337">
        <v>0</v>
      </c>
      <c r="AK696" s="337">
        <v>0</v>
      </c>
      <c r="AL696" s="337">
        <v>15</v>
      </c>
      <c r="AM696" s="337">
        <v>0</v>
      </c>
      <c r="AN696" s="337">
        <v>99.603057861328125</v>
      </c>
      <c r="AO696" s="337"/>
      <c r="AP696" s="337"/>
      <c r="AQ696" s="337"/>
      <c r="AR696" s="337">
        <v>4</v>
      </c>
      <c r="AS696" s="337">
        <v>4</v>
      </c>
      <c r="AT696" s="337">
        <v>0</v>
      </c>
      <c r="AU696" s="337">
        <v>1</v>
      </c>
      <c r="AV696" s="337">
        <v>32</v>
      </c>
      <c r="AW696" s="337">
        <v>0</v>
      </c>
      <c r="AX696" s="337">
        <v>0</v>
      </c>
      <c r="AY696" s="337">
        <v>4</v>
      </c>
      <c r="AZ696" s="337">
        <v>0</v>
      </c>
      <c r="BA696" s="337">
        <v>24.900764465332031</v>
      </c>
      <c r="BB696" s="337"/>
      <c r="BC696" s="337"/>
      <c r="BD696" s="337"/>
      <c r="BE696" s="337">
        <v>25000</v>
      </c>
      <c r="BF696" s="337" t="s">
        <v>425</v>
      </c>
      <c r="BG696" s="337" t="s">
        <v>5</v>
      </c>
      <c r="BH696" s="337" t="s">
        <v>1020</v>
      </c>
      <c r="BI696" s="337"/>
      <c r="BJ696" s="337" t="s">
        <v>5</v>
      </c>
      <c r="BK696" s="337"/>
      <c r="BL696" s="337">
        <v>0</v>
      </c>
      <c r="BM696" s="337"/>
      <c r="BN696" s="337" t="s">
        <v>5</v>
      </c>
      <c r="BO696" s="337"/>
      <c r="BP696" s="337"/>
      <c r="BQ696" s="337"/>
      <c r="BR696" s="337"/>
      <c r="BS696" s="337" t="s">
        <v>5</v>
      </c>
      <c r="BT696" s="337"/>
      <c r="BU696" s="337"/>
      <c r="BV696" s="337"/>
      <c r="BW696" s="337"/>
      <c r="BX696" s="337" t="s">
        <v>6</v>
      </c>
      <c r="BY696" s="337" t="s">
        <v>426</v>
      </c>
      <c r="BZ696" s="337"/>
      <c r="CB696" s="337" t="s">
        <v>5</v>
      </c>
      <c r="CC696" s="337">
        <v>21126.468371663821</v>
      </c>
      <c r="CD696" s="337">
        <v>8802309.7849283963</v>
      </c>
      <c r="CE696" s="313" t="s">
        <v>11891</v>
      </c>
    </row>
    <row r="697" spans="1:83" ht="15" x14ac:dyDescent="0.25">
      <c r="A697" t="s">
        <v>144</v>
      </c>
      <c r="B697" t="s">
        <v>2966</v>
      </c>
      <c r="C697" t="s">
        <v>2967</v>
      </c>
      <c r="D697">
        <v>6</v>
      </c>
      <c r="E697" t="s">
        <v>259</v>
      </c>
      <c r="F697" t="s">
        <v>2</v>
      </c>
      <c r="G697" t="s">
        <v>3</v>
      </c>
      <c r="H697" t="s">
        <v>352</v>
      </c>
      <c r="I697" t="s">
        <v>353</v>
      </c>
      <c r="J697" t="s">
        <v>354</v>
      </c>
      <c r="K697" t="s">
        <v>292</v>
      </c>
      <c r="L697">
        <v>3.5849535465240479</v>
      </c>
      <c r="M697" t="s">
        <v>6</v>
      </c>
      <c r="N697" t="s">
        <v>5</v>
      </c>
      <c r="O697" t="s">
        <v>6</v>
      </c>
      <c r="P697" t="s">
        <v>5</v>
      </c>
      <c r="Q697" t="s">
        <v>5</v>
      </c>
      <c r="R697" t="s">
        <v>297</v>
      </c>
      <c r="S697" t="s">
        <v>396</v>
      </c>
      <c r="T697" t="s">
        <v>5</v>
      </c>
      <c r="U697" t="s">
        <v>28</v>
      </c>
      <c r="V697">
        <v>150000</v>
      </c>
      <c r="W697">
        <v>7500</v>
      </c>
      <c r="X697" t="s">
        <v>6</v>
      </c>
      <c r="Y697" t="s">
        <v>302</v>
      </c>
      <c r="Z697">
        <v>37500</v>
      </c>
      <c r="AA697">
        <v>2.9588699340820308</v>
      </c>
      <c r="AB697">
        <v>0.53965997695922852</v>
      </c>
      <c r="AC697">
        <v>0</v>
      </c>
      <c r="AD697">
        <v>5879</v>
      </c>
      <c r="AE697">
        <v>904</v>
      </c>
      <c r="AF697">
        <v>5539</v>
      </c>
      <c r="AG697">
        <v>25741</v>
      </c>
      <c r="AH697">
        <v>16463</v>
      </c>
      <c r="AI697">
        <v>25741</v>
      </c>
      <c r="AJ697">
        <v>71</v>
      </c>
      <c r="AK697">
        <v>0</v>
      </c>
      <c r="AL697">
        <v>71</v>
      </c>
      <c r="AM697">
        <v>0</v>
      </c>
      <c r="AN697">
        <v>0.1517360061407089</v>
      </c>
      <c r="AO697"/>
      <c r="AP697"/>
      <c r="AQ697"/>
      <c r="AR697"/>
      <c r="AS697"/>
      <c r="AT697"/>
      <c r="AU697"/>
      <c r="AV697"/>
      <c r="AW697"/>
      <c r="AX697"/>
      <c r="AY697"/>
      <c r="AZ697"/>
      <c r="BA697"/>
      <c r="BB697"/>
      <c r="BC697"/>
      <c r="BD697"/>
      <c r="BE697"/>
      <c r="BF697"/>
      <c r="BG697" t="s">
        <v>5</v>
      </c>
      <c r="BH697"/>
      <c r="BI697"/>
      <c r="BJ697" t="s">
        <v>5</v>
      </c>
      <c r="BK697"/>
      <c r="BL697">
        <v>0</v>
      </c>
      <c r="BM697"/>
      <c r="BN697" t="s">
        <v>5</v>
      </c>
      <c r="BO697" t="s">
        <v>2518</v>
      </c>
      <c r="BP697" t="s">
        <v>2518</v>
      </c>
      <c r="BQ697" t="s">
        <v>2518</v>
      </c>
      <c r="BR697"/>
      <c r="BS697" t="s">
        <v>6</v>
      </c>
      <c r="BT697" t="s">
        <v>2518</v>
      </c>
      <c r="BU697" t="s">
        <v>2518</v>
      </c>
      <c r="BV697" t="s">
        <v>2518</v>
      </c>
      <c r="BW697"/>
      <c r="BX697" t="s">
        <v>6</v>
      </c>
      <c r="BY697" t="s">
        <v>7</v>
      </c>
      <c r="BZ697" t="s">
        <v>2518</v>
      </c>
      <c r="CA697"/>
      <c r="CB697" t="s">
        <v>5</v>
      </c>
      <c r="CC697">
        <v>16716.568911328399</v>
      </c>
      <c r="CD697">
        <v>9284987.0653277058</v>
      </c>
      <c r="CE697" s="313" t="s">
        <v>11891</v>
      </c>
    </row>
    <row r="698" spans="1:83" ht="15" x14ac:dyDescent="0.25">
      <c r="A698" t="s">
        <v>3799</v>
      </c>
      <c r="B698" t="s">
        <v>3800</v>
      </c>
      <c r="C698" t="s">
        <v>3801</v>
      </c>
      <c r="D698">
        <v>13</v>
      </c>
      <c r="E698" t="s">
        <v>3573</v>
      </c>
      <c r="F698" t="s">
        <v>3781</v>
      </c>
      <c r="G698" t="s">
        <v>3793</v>
      </c>
      <c r="H698" t="s">
        <v>3794</v>
      </c>
      <c r="I698" t="s">
        <v>3795</v>
      </c>
      <c r="J698" t="s">
        <v>3796</v>
      </c>
      <c r="K698" t="s">
        <v>3605</v>
      </c>
      <c r="L698">
        <v>458.95806884765619</v>
      </c>
      <c r="M698" t="s">
        <v>6</v>
      </c>
      <c r="N698" t="s">
        <v>6</v>
      </c>
      <c r="O698" t="s">
        <v>6</v>
      </c>
      <c r="P698" t="s">
        <v>5</v>
      </c>
      <c r="Q698" t="s">
        <v>5</v>
      </c>
      <c r="R698" t="s">
        <v>3688</v>
      </c>
      <c r="S698" t="s">
        <v>3688</v>
      </c>
      <c r="T698" t="s">
        <v>6</v>
      </c>
      <c r="U698" t="s">
        <v>13</v>
      </c>
      <c r="V698">
        <v>7000</v>
      </c>
      <c r="W698">
        <v>7000</v>
      </c>
      <c r="X698" t="s">
        <v>6</v>
      </c>
      <c r="Y698" t="s">
        <v>3802</v>
      </c>
      <c r="Z698"/>
      <c r="AA698">
        <v>18.552730560302731</v>
      </c>
      <c r="AB698">
        <v>6.3022098541259766</v>
      </c>
      <c r="AC698">
        <v>0.87143325805664063</v>
      </c>
      <c r="AD698">
        <v>3334</v>
      </c>
      <c r="AE698">
        <v>2749</v>
      </c>
      <c r="AF698">
        <v>2828</v>
      </c>
      <c r="AG698">
        <v>4119</v>
      </c>
      <c r="AH698">
        <v>4790</v>
      </c>
      <c r="AI698">
        <v>4790</v>
      </c>
      <c r="AJ698">
        <v>4</v>
      </c>
      <c r="AK698">
        <v>0</v>
      </c>
      <c r="AL698">
        <v>103</v>
      </c>
      <c r="AM698">
        <v>548</v>
      </c>
      <c r="AN698">
        <v>571.2467041015625</v>
      </c>
      <c r="AO698"/>
      <c r="AP698"/>
      <c r="AQ698"/>
      <c r="AR698"/>
      <c r="AS698"/>
      <c r="AT698"/>
      <c r="AU698"/>
      <c r="AV698"/>
      <c r="AW698"/>
      <c r="AX698"/>
      <c r="AY698"/>
      <c r="AZ698"/>
      <c r="BA698"/>
      <c r="BB698"/>
      <c r="BC698"/>
      <c r="BD698"/>
      <c r="BE698">
        <v>0</v>
      </c>
      <c r="BF698" t="s">
        <v>5</v>
      </c>
      <c r="BG698" t="s">
        <v>5</v>
      </c>
      <c r="BH698" t="s">
        <v>3581</v>
      </c>
      <c r="BI698"/>
      <c r="BJ698" t="s">
        <v>5</v>
      </c>
      <c r="BK698"/>
      <c r="BL698">
        <v>0</v>
      </c>
      <c r="BM698"/>
      <c r="BN698" t="s">
        <v>5</v>
      </c>
      <c r="BO698"/>
      <c r="BP698"/>
      <c r="BQ698"/>
      <c r="BR698"/>
      <c r="BS698" t="s">
        <v>5</v>
      </c>
      <c r="BT698"/>
      <c r="BU698"/>
      <c r="BV698"/>
      <c r="BW698"/>
      <c r="BX698" t="s">
        <v>6</v>
      </c>
      <c r="BY698" t="s">
        <v>3803</v>
      </c>
      <c r="BZ698"/>
      <c r="CA698"/>
      <c r="CB698" t="s">
        <v>5</v>
      </c>
      <c r="CC698">
        <v>189746.60002084469</v>
      </c>
      <c r="CD698">
        <v>1188700680.665899</v>
      </c>
      <c r="CE698" s="313" t="s">
        <v>11891</v>
      </c>
    </row>
    <row r="699" spans="1:83" ht="15" x14ac:dyDescent="0.25">
      <c r="A699" t="s">
        <v>12418</v>
      </c>
      <c r="B699" t="s">
        <v>12384</v>
      </c>
      <c r="C699" t="s">
        <v>12385</v>
      </c>
      <c r="D699">
        <v>6</v>
      </c>
      <c r="E699" t="s">
        <v>259</v>
      </c>
      <c r="F699" t="s">
        <v>2644</v>
      </c>
      <c r="G699" t="s">
        <v>12407</v>
      </c>
      <c r="H699" t="s">
        <v>12408</v>
      </c>
      <c r="I699" t="s">
        <v>12409</v>
      </c>
      <c r="J699" t="s">
        <v>12410</v>
      </c>
      <c r="K699" t="s">
        <v>12419</v>
      </c>
      <c r="L699">
        <v>53.587665557861328</v>
      </c>
      <c r="M699" t="s">
        <v>6</v>
      </c>
      <c r="N699" t="s">
        <v>6</v>
      </c>
      <c r="O699" t="s">
        <v>5</v>
      </c>
      <c r="P699" t="s">
        <v>5</v>
      </c>
      <c r="Q699" t="s">
        <v>5</v>
      </c>
      <c r="R699" t="s">
        <v>2649</v>
      </c>
      <c r="S699" t="s">
        <v>12411</v>
      </c>
      <c r="T699" t="s">
        <v>5</v>
      </c>
      <c r="U699" t="s">
        <v>50</v>
      </c>
      <c r="V699">
        <v>127000</v>
      </c>
      <c r="W699">
        <v>6350</v>
      </c>
      <c r="X699" t="s">
        <v>6</v>
      </c>
      <c r="Y699"/>
      <c r="Z699"/>
      <c r="AA699">
        <v>9.8893566131591797</v>
      </c>
      <c r="AB699">
        <v>4.5800600051879883</v>
      </c>
      <c r="AC699">
        <v>0</v>
      </c>
      <c r="AD699">
        <v>146</v>
      </c>
      <c r="AE699">
        <v>458</v>
      </c>
      <c r="AF699">
        <v>54</v>
      </c>
      <c r="AG699">
        <v>696</v>
      </c>
      <c r="AH699">
        <v>123</v>
      </c>
      <c r="AI699">
        <v>775</v>
      </c>
      <c r="AJ699">
        <v>0</v>
      </c>
      <c r="AK699">
        <v>0</v>
      </c>
      <c r="AL699">
        <v>7</v>
      </c>
      <c r="AM699">
        <v>0</v>
      </c>
      <c r="AN699">
        <v>353.7679443359375</v>
      </c>
      <c r="AO699"/>
      <c r="AP699"/>
      <c r="AQ699"/>
      <c r="AR699"/>
      <c r="AS699"/>
      <c r="AT699"/>
      <c r="AU699"/>
      <c r="AV699"/>
      <c r="AW699"/>
      <c r="AX699"/>
      <c r="AY699"/>
      <c r="AZ699"/>
      <c r="BA699"/>
      <c r="BB699"/>
      <c r="BC699"/>
      <c r="BD699"/>
      <c r="BE699"/>
      <c r="BF699"/>
      <c r="BG699" t="s">
        <v>5</v>
      </c>
      <c r="BH699"/>
      <c r="BI699"/>
      <c r="BJ699" t="s">
        <v>5</v>
      </c>
      <c r="BK699"/>
      <c r="BL699">
        <v>0</v>
      </c>
      <c r="BM699"/>
      <c r="BN699" t="s">
        <v>6</v>
      </c>
      <c r="BO699" t="s">
        <v>2518</v>
      </c>
      <c r="BP699" t="s">
        <v>2518</v>
      </c>
      <c r="BQ699" t="s">
        <v>12383</v>
      </c>
      <c r="BR699"/>
      <c r="BS699" t="s">
        <v>6</v>
      </c>
      <c r="BT699" t="s">
        <v>2518</v>
      </c>
      <c r="BU699" t="s">
        <v>2518</v>
      </c>
      <c r="BV699" t="s">
        <v>2518</v>
      </c>
      <c r="BW699"/>
      <c r="BX699" t="s">
        <v>6</v>
      </c>
      <c r="BY699" t="s">
        <v>12412</v>
      </c>
      <c r="BZ699" t="s">
        <v>2518</v>
      </c>
      <c r="CA699"/>
      <c r="CB699" t="s">
        <v>5</v>
      </c>
      <c r="CC699">
        <v>99525.004158167096</v>
      </c>
      <c r="CD699">
        <v>138791976.74950919</v>
      </c>
      <c r="CE699" s="313" t="s">
        <v>11902</v>
      </c>
    </row>
    <row r="700" spans="1:83" ht="15" x14ac:dyDescent="0.25">
      <c r="A700" t="s">
        <v>4814</v>
      </c>
      <c r="B700" t="s">
        <v>4815</v>
      </c>
      <c r="C700" t="s">
        <v>4816</v>
      </c>
      <c r="D700">
        <v>4</v>
      </c>
      <c r="E700" t="s">
        <v>2512</v>
      </c>
      <c r="F700" t="s">
        <v>4817</v>
      </c>
      <c r="G700" t="s">
        <v>2537</v>
      </c>
      <c r="H700" t="s">
        <v>4818</v>
      </c>
      <c r="I700" t="s">
        <v>4819</v>
      </c>
      <c r="J700" t="s">
        <v>4820</v>
      </c>
      <c r="K700" t="s">
        <v>4767</v>
      </c>
      <c r="L700">
        <v>18.57613372802734</v>
      </c>
      <c r="M700" t="s">
        <v>6</v>
      </c>
      <c r="N700" t="s">
        <v>5</v>
      </c>
      <c r="O700" t="s">
        <v>5</v>
      </c>
      <c r="P700" t="s">
        <v>5</v>
      </c>
      <c r="Q700" t="s">
        <v>5</v>
      </c>
      <c r="R700" t="s">
        <v>2545</v>
      </c>
      <c r="S700" t="s">
        <v>2545</v>
      </c>
      <c r="T700" t="s">
        <v>5</v>
      </c>
      <c r="U700" t="s">
        <v>13</v>
      </c>
      <c r="V700">
        <v>5000</v>
      </c>
      <c r="W700">
        <v>5000</v>
      </c>
      <c r="X700" t="s">
        <v>6</v>
      </c>
      <c r="Y700"/>
      <c r="Z700">
        <v>0</v>
      </c>
      <c r="AA700">
        <v>7.0252437591552734</v>
      </c>
      <c r="AB700">
        <v>0.94301044940948486</v>
      </c>
      <c r="AC700">
        <v>0</v>
      </c>
      <c r="AD700">
        <v>296</v>
      </c>
      <c r="AE700">
        <v>58</v>
      </c>
      <c r="AF700">
        <v>224</v>
      </c>
      <c r="AG700">
        <v>870</v>
      </c>
      <c r="AH700">
        <v>599</v>
      </c>
      <c r="AI700">
        <v>870</v>
      </c>
      <c r="AJ700">
        <v>3</v>
      </c>
      <c r="AK700">
        <v>3</v>
      </c>
      <c r="AL700">
        <v>15</v>
      </c>
      <c r="AM700">
        <v>3</v>
      </c>
      <c r="AN700">
        <v>95.777946472167969</v>
      </c>
      <c r="AO700"/>
      <c r="AP700"/>
      <c r="AQ700"/>
      <c r="AR700">
        <v>0</v>
      </c>
      <c r="AS700">
        <v>0</v>
      </c>
      <c r="AT700">
        <v>0</v>
      </c>
      <c r="AU700">
        <v>0</v>
      </c>
      <c r="AV700">
        <v>0</v>
      </c>
      <c r="AW700">
        <v>0</v>
      </c>
      <c r="AX700">
        <v>0</v>
      </c>
      <c r="AY700">
        <v>0</v>
      </c>
      <c r="AZ700">
        <v>0</v>
      </c>
      <c r="BA700">
        <v>0</v>
      </c>
      <c r="BB700"/>
      <c r="BC700"/>
      <c r="BD700"/>
      <c r="BE700">
        <v>0</v>
      </c>
      <c r="BF700" t="s">
        <v>2516</v>
      </c>
      <c r="BG700" t="s">
        <v>5</v>
      </c>
      <c r="BH700" t="s">
        <v>1020</v>
      </c>
      <c r="BI700" t="s">
        <v>2517</v>
      </c>
      <c r="BJ700" t="s">
        <v>5</v>
      </c>
      <c r="BK700" t="s">
        <v>1100</v>
      </c>
      <c r="BL700">
        <v>0</v>
      </c>
      <c r="BM700"/>
      <c r="BN700" t="s">
        <v>5</v>
      </c>
      <c r="BO700" t="s">
        <v>2518</v>
      </c>
      <c r="BP700" t="s">
        <v>2518</v>
      </c>
      <c r="BQ700" t="s">
        <v>2518</v>
      </c>
      <c r="BR700" t="s">
        <v>2518</v>
      </c>
      <c r="BS700" t="s">
        <v>6</v>
      </c>
      <c r="BT700" t="s">
        <v>2518</v>
      </c>
      <c r="BU700" t="s">
        <v>2518</v>
      </c>
      <c r="BV700" t="s">
        <v>2518</v>
      </c>
      <c r="BW700" t="s">
        <v>1100</v>
      </c>
      <c r="BX700" t="s">
        <v>6</v>
      </c>
      <c r="BY700" t="s">
        <v>2519</v>
      </c>
      <c r="BZ700"/>
      <c r="CA700"/>
      <c r="CB700" t="s">
        <v>5</v>
      </c>
      <c r="CC700">
        <v>94071.296493029658</v>
      </c>
      <c r="CD700">
        <v>48111963.059319139</v>
      </c>
      <c r="CE700" s="313" t="s">
        <v>11891</v>
      </c>
    </row>
    <row r="701" spans="1:83" ht="15" x14ac:dyDescent="0.25">
      <c r="A701" t="s">
        <v>2814</v>
      </c>
      <c r="B701" t="s">
        <v>2815</v>
      </c>
      <c r="C701" t="s">
        <v>2816</v>
      </c>
      <c r="D701">
        <v>5</v>
      </c>
      <c r="E701" t="s">
        <v>2598</v>
      </c>
      <c r="F701" t="s">
        <v>2608</v>
      </c>
      <c r="G701" t="s">
        <v>2614</v>
      </c>
      <c r="H701" t="s">
        <v>2817</v>
      </c>
      <c r="I701" t="s">
        <v>2818</v>
      </c>
      <c r="J701" t="s">
        <v>2819</v>
      </c>
      <c r="K701" t="s">
        <v>2731</v>
      </c>
      <c r="L701">
        <v>1.6976326704025271</v>
      </c>
      <c r="M701" t="s">
        <v>6</v>
      </c>
      <c r="N701" t="s">
        <v>5</v>
      </c>
      <c r="O701" t="s">
        <v>6</v>
      </c>
      <c r="P701" t="s">
        <v>5</v>
      </c>
      <c r="Q701" t="s">
        <v>5</v>
      </c>
      <c r="R701" t="s">
        <v>2820</v>
      </c>
      <c r="S701" t="s">
        <v>2820</v>
      </c>
      <c r="T701" t="s">
        <v>6</v>
      </c>
      <c r="U701" t="s">
        <v>85</v>
      </c>
      <c r="V701">
        <v>1000000</v>
      </c>
      <c r="W701">
        <v>5000</v>
      </c>
      <c r="X701" t="s">
        <v>6</v>
      </c>
      <c r="Y701"/>
      <c r="Z701"/>
      <c r="AA701">
        <v>0.1136927306652069</v>
      </c>
      <c r="AB701">
        <v>1.425386033952236E-2</v>
      </c>
      <c r="AC701">
        <v>0.1323118656873703</v>
      </c>
      <c r="AD701">
        <v>11</v>
      </c>
      <c r="AE701">
        <v>3</v>
      </c>
      <c r="AF701">
        <v>2</v>
      </c>
      <c r="AG701">
        <v>2</v>
      </c>
      <c r="AH701">
        <v>0</v>
      </c>
      <c r="AI701">
        <v>2</v>
      </c>
      <c r="AJ701">
        <v>0</v>
      </c>
      <c r="AK701">
        <v>0</v>
      </c>
      <c r="AL701">
        <v>0</v>
      </c>
      <c r="AM701">
        <v>0</v>
      </c>
      <c r="AN701">
        <v>6.9406971335411072E-2</v>
      </c>
      <c r="AO701"/>
      <c r="AP701"/>
      <c r="AQ701"/>
      <c r="AR701">
        <v>0</v>
      </c>
      <c r="AS701">
        <v>0</v>
      </c>
      <c r="AT701">
        <v>0</v>
      </c>
      <c r="AU701">
        <v>0</v>
      </c>
      <c r="AV701">
        <v>0</v>
      </c>
      <c r="AW701">
        <v>0</v>
      </c>
      <c r="AX701">
        <v>0</v>
      </c>
      <c r="AY701">
        <v>0</v>
      </c>
      <c r="AZ701">
        <v>0</v>
      </c>
      <c r="BA701">
        <v>0</v>
      </c>
      <c r="BB701"/>
      <c r="BC701"/>
      <c r="BD701"/>
      <c r="BE701">
        <v>0</v>
      </c>
      <c r="BF701" t="s">
        <v>2516</v>
      </c>
      <c r="BG701" t="s">
        <v>5</v>
      </c>
      <c r="BH701" t="s">
        <v>1020</v>
      </c>
      <c r="BI701"/>
      <c r="BJ701" t="s">
        <v>5</v>
      </c>
      <c r="BK701"/>
      <c r="BL701">
        <v>0</v>
      </c>
      <c r="BM701"/>
      <c r="BN701" t="s">
        <v>6</v>
      </c>
      <c r="BO701" t="s">
        <v>2518</v>
      </c>
      <c r="BP701" t="s">
        <v>2518</v>
      </c>
      <c r="BQ701" t="s">
        <v>2518</v>
      </c>
      <c r="BR701"/>
      <c r="BS701" t="s">
        <v>6</v>
      </c>
      <c r="BT701" t="s">
        <v>2518</v>
      </c>
      <c r="BU701" t="s">
        <v>2518</v>
      </c>
      <c r="BV701" t="s">
        <v>2518</v>
      </c>
      <c r="BW701"/>
      <c r="BX701" t="s">
        <v>6</v>
      </c>
      <c r="BY701" t="s">
        <v>2605</v>
      </c>
      <c r="BZ701" t="s">
        <v>2518</v>
      </c>
      <c r="CA701"/>
      <c r="CB701" t="s">
        <v>5</v>
      </c>
      <c r="CC701">
        <v>16922.43028307828</v>
      </c>
      <c r="CD701">
        <v>4396848.5849484708</v>
      </c>
      <c r="CE701" s="313" t="s">
        <v>11891</v>
      </c>
    </row>
    <row r="702" spans="1:83" ht="15" x14ac:dyDescent="0.25">
      <c r="A702" t="s">
        <v>2824</v>
      </c>
      <c r="B702" t="s">
        <v>2825</v>
      </c>
      <c r="C702" t="s">
        <v>2823</v>
      </c>
      <c r="D702">
        <v>5</v>
      </c>
      <c r="E702" t="s">
        <v>2598</v>
      </c>
      <c r="F702" t="s">
        <v>2608</v>
      </c>
      <c r="G702" t="s">
        <v>2710</v>
      </c>
      <c r="H702" t="s">
        <v>2711</v>
      </c>
      <c r="I702" t="s">
        <v>2712</v>
      </c>
      <c r="J702" t="s">
        <v>2713</v>
      </c>
      <c r="K702" t="s">
        <v>2731</v>
      </c>
      <c r="L702">
        <v>7.2287583351135254</v>
      </c>
      <c r="M702" t="s">
        <v>6</v>
      </c>
      <c r="N702" t="s">
        <v>5</v>
      </c>
      <c r="O702" t="s">
        <v>6</v>
      </c>
      <c r="P702" t="s">
        <v>5</v>
      </c>
      <c r="Q702" t="s">
        <v>5</v>
      </c>
      <c r="R702" t="s">
        <v>2714</v>
      </c>
      <c r="S702" t="s">
        <v>2714</v>
      </c>
      <c r="T702" t="s">
        <v>6</v>
      </c>
      <c r="U702" t="s">
        <v>85</v>
      </c>
      <c r="V702">
        <v>1000000</v>
      </c>
      <c r="W702">
        <v>5000</v>
      </c>
      <c r="X702" t="s">
        <v>6</v>
      </c>
      <c r="Y702"/>
      <c r="Z702"/>
      <c r="AA702">
        <v>0.53891837596893311</v>
      </c>
      <c r="AB702">
        <v>5.941322073340416E-2</v>
      </c>
      <c r="AC702">
        <v>0.38180527091026312</v>
      </c>
      <c r="AD702">
        <v>41</v>
      </c>
      <c r="AE702">
        <v>2</v>
      </c>
      <c r="AF702">
        <v>9</v>
      </c>
      <c r="AG702">
        <v>455</v>
      </c>
      <c r="AH702">
        <v>10</v>
      </c>
      <c r="AI702">
        <v>462</v>
      </c>
      <c r="AJ702">
        <v>0</v>
      </c>
      <c r="AK702">
        <v>0</v>
      </c>
      <c r="AL702">
        <v>2</v>
      </c>
      <c r="AM702">
        <v>0</v>
      </c>
      <c r="AN702">
        <v>1.2863245010375981</v>
      </c>
      <c r="AO702"/>
      <c r="AP702"/>
      <c r="AQ702"/>
      <c r="AR702">
        <v>0</v>
      </c>
      <c r="AS702">
        <v>0</v>
      </c>
      <c r="AT702">
        <v>0</v>
      </c>
      <c r="AU702">
        <v>0</v>
      </c>
      <c r="AV702">
        <v>0</v>
      </c>
      <c r="AW702">
        <v>0</v>
      </c>
      <c r="AX702">
        <v>0</v>
      </c>
      <c r="AY702">
        <v>0</v>
      </c>
      <c r="AZ702">
        <v>0</v>
      </c>
      <c r="BA702">
        <v>0</v>
      </c>
      <c r="BB702"/>
      <c r="BC702"/>
      <c r="BD702"/>
      <c r="BE702">
        <v>0</v>
      </c>
      <c r="BF702" t="s">
        <v>2516</v>
      </c>
      <c r="BG702" t="s">
        <v>5</v>
      </c>
      <c r="BH702" t="s">
        <v>1020</v>
      </c>
      <c r="BI702"/>
      <c r="BJ702" t="s">
        <v>5</v>
      </c>
      <c r="BK702"/>
      <c r="BL702">
        <v>0</v>
      </c>
      <c r="BM702"/>
      <c r="BN702" t="s">
        <v>6</v>
      </c>
      <c r="BO702" t="s">
        <v>2518</v>
      </c>
      <c r="BP702" t="s">
        <v>2518</v>
      </c>
      <c r="BQ702" t="s">
        <v>2518</v>
      </c>
      <c r="BR702"/>
      <c r="BS702" t="s">
        <v>6</v>
      </c>
      <c r="BT702" t="s">
        <v>2518</v>
      </c>
      <c r="BU702" t="s">
        <v>2518</v>
      </c>
      <c r="BV702" t="s">
        <v>2518</v>
      </c>
      <c r="BW702"/>
      <c r="BX702" t="s">
        <v>6</v>
      </c>
      <c r="BY702" t="s">
        <v>2605</v>
      </c>
      <c r="BZ702" t="s">
        <v>2518</v>
      </c>
      <c r="CA702"/>
      <c r="CB702" t="s">
        <v>5</v>
      </c>
      <c r="CC702">
        <v>31089.797862692289</v>
      </c>
      <c r="CD702">
        <v>18722398.42037737</v>
      </c>
      <c r="CE702" s="313" t="s">
        <v>11891</v>
      </c>
    </row>
    <row r="703" spans="1:83" ht="15" x14ac:dyDescent="0.25">
      <c r="A703" t="s">
        <v>2826</v>
      </c>
      <c r="B703" t="s">
        <v>2827</v>
      </c>
      <c r="C703" t="s">
        <v>2823</v>
      </c>
      <c r="D703">
        <v>5</v>
      </c>
      <c r="E703" t="s">
        <v>2598</v>
      </c>
      <c r="F703" t="s">
        <v>2608</v>
      </c>
      <c r="G703" t="s">
        <v>2614</v>
      </c>
      <c r="H703" t="s">
        <v>2817</v>
      </c>
      <c r="I703" t="s">
        <v>2828</v>
      </c>
      <c r="J703" t="s">
        <v>2829</v>
      </c>
      <c r="K703" t="s">
        <v>2731</v>
      </c>
      <c r="L703">
        <v>1.907018780708313</v>
      </c>
      <c r="M703" t="s">
        <v>6</v>
      </c>
      <c r="N703" t="s">
        <v>5</v>
      </c>
      <c r="O703" t="s">
        <v>6</v>
      </c>
      <c r="P703" t="s">
        <v>5</v>
      </c>
      <c r="Q703" t="s">
        <v>5</v>
      </c>
      <c r="R703" t="s">
        <v>2830</v>
      </c>
      <c r="S703" t="s">
        <v>2830</v>
      </c>
      <c r="T703" t="s">
        <v>6</v>
      </c>
      <c r="U703" t="s">
        <v>85</v>
      </c>
      <c r="V703">
        <v>1000000</v>
      </c>
      <c r="W703">
        <v>5000</v>
      </c>
      <c r="X703" t="s">
        <v>6</v>
      </c>
      <c r="Y703"/>
      <c r="Z703"/>
      <c r="AA703">
        <v>4.3005060404539108E-2</v>
      </c>
      <c r="AB703">
        <v>3.2287898939102888E-3</v>
      </c>
      <c r="AC703">
        <v>0.11858896911144259</v>
      </c>
      <c r="AD703">
        <v>1</v>
      </c>
      <c r="AE703">
        <v>0</v>
      </c>
      <c r="AF703">
        <v>1</v>
      </c>
      <c r="AG703">
        <v>0</v>
      </c>
      <c r="AH703">
        <v>0</v>
      </c>
      <c r="AI703">
        <v>0</v>
      </c>
      <c r="AJ703">
        <v>0</v>
      </c>
      <c r="AK703">
        <v>0</v>
      </c>
      <c r="AL703">
        <v>0</v>
      </c>
      <c r="AM703">
        <v>0</v>
      </c>
      <c r="AN703">
        <v>0.2223948389291763</v>
      </c>
      <c r="AO703"/>
      <c r="AP703"/>
      <c r="AQ703"/>
      <c r="AR703">
        <v>0</v>
      </c>
      <c r="AS703">
        <v>0</v>
      </c>
      <c r="AT703">
        <v>0</v>
      </c>
      <c r="AU703">
        <v>0</v>
      </c>
      <c r="AV703">
        <v>0</v>
      </c>
      <c r="AW703">
        <v>0</v>
      </c>
      <c r="AX703">
        <v>0</v>
      </c>
      <c r="AY703">
        <v>0</v>
      </c>
      <c r="AZ703">
        <v>0</v>
      </c>
      <c r="BA703">
        <v>0</v>
      </c>
      <c r="BB703"/>
      <c r="BC703"/>
      <c r="BD703"/>
      <c r="BE703">
        <v>0</v>
      </c>
      <c r="BF703" t="s">
        <v>2516</v>
      </c>
      <c r="BG703" t="s">
        <v>5</v>
      </c>
      <c r="BH703" t="s">
        <v>1020</v>
      </c>
      <c r="BI703"/>
      <c r="BJ703" t="s">
        <v>5</v>
      </c>
      <c r="BK703"/>
      <c r="BL703">
        <v>0</v>
      </c>
      <c r="BM703"/>
      <c r="BN703" t="s">
        <v>6</v>
      </c>
      <c r="BO703" t="s">
        <v>2518</v>
      </c>
      <c r="BP703" t="s">
        <v>2518</v>
      </c>
      <c r="BQ703" t="s">
        <v>2518</v>
      </c>
      <c r="BR703"/>
      <c r="BS703" t="s">
        <v>6</v>
      </c>
      <c r="BT703" t="s">
        <v>2518</v>
      </c>
      <c r="BU703" t="s">
        <v>2518</v>
      </c>
      <c r="BV703" t="s">
        <v>2518</v>
      </c>
      <c r="BW703"/>
      <c r="BX703" t="s">
        <v>6</v>
      </c>
      <c r="BY703" t="s">
        <v>2605</v>
      </c>
      <c r="BZ703" t="s">
        <v>2518</v>
      </c>
      <c r="CA703"/>
      <c r="CB703" t="s">
        <v>5</v>
      </c>
      <c r="CC703">
        <v>11410.72442208037</v>
      </c>
      <c r="CD703">
        <v>4939156.1306186384</v>
      </c>
      <c r="CE703" s="313" t="s">
        <v>11891</v>
      </c>
    </row>
    <row r="704" spans="1:83" ht="15" x14ac:dyDescent="0.25">
      <c r="A704" t="s">
        <v>274</v>
      </c>
      <c r="B704" t="s">
        <v>169</v>
      </c>
      <c r="C704" t="s">
        <v>170</v>
      </c>
      <c r="D704">
        <v>6</v>
      </c>
      <c r="E704" t="s">
        <v>259</v>
      </c>
      <c r="F704" t="s">
        <v>275</v>
      </c>
      <c r="G704" t="s">
        <v>39</v>
      </c>
      <c r="H704" t="s">
        <v>276</v>
      </c>
      <c r="I704" t="s">
        <v>277</v>
      </c>
      <c r="J704" t="s">
        <v>278</v>
      </c>
      <c r="K704" t="s">
        <v>279</v>
      </c>
      <c r="L704">
        <v>25.088289260864261</v>
      </c>
      <c r="M704" t="s">
        <v>6</v>
      </c>
      <c r="N704" t="s">
        <v>5</v>
      </c>
      <c r="O704" t="s">
        <v>6</v>
      </c>
      <c r="P704" t="s">
        <v>5</v>
      </c>
      <c r="Q704" t="s">
        <v>5</v>
      </c>
      <c r="R704" t="s">
        <v>280</v>
      </c>
      <c r="S704" t="s">
        <v>280</v>
      </c>
      <c r="T704" t="s">
        <v>5</v>
      </c>
      <c r="U704" t="s">
        <v>50</v>
      </c>
      <c r="V704">
        <v>100000</v>
      </c>
      <c r="W704">
        <v>5000</v>
      </c>
      <c r="X704" t="s">
        <v>6</v>
      </c>
      <c r="Y704" t="s">
        <v>2471</v>
      </c>
      <c r="Z704">
        <v>100000</v>
      </c>
      <c r="AA704">
        <v>444.50747680664063</v>
      </c>
      <c r="AB704">
        <v>200.08575439453119</v>
      </c>
      <c r="AC704">
        <v>0</v>
      </c>
      <c r="AD704">
        <v>3445</v>
      </c>
      <c r="AE704">
        <v>641</v>
      </c>
      <c r="AF704">
        <v>2605</v>
      </c>
      <c r="AG704">
        <v>15192</v>
      </c>
      <c r="AH704">
        <v>8721</v>
      </c>
      <c r="AI704">
        <v>15192</v>
      </c>
      <c r="AJ704">
        <v>18</v>
      </c>
      <c r="AK704">
        <v>0</v>
      </c>
      <c r="AL704">
        <v>57</v>
      </c>
      <c r="AM704">
        <v>0</v>
      </c>
      <c r="AN704">
        <v>262.29559326171881</v>
      </c>
      <c r="AO704"/>
      <c r="AP704"/>
      <c r="AQ704"/>
      <c r="AR704"/>
      <c r="AS704"/>
      <c r="AT704"/>
      <c r="AU704"/>
      <c r="AV704"/>
      <c r="AW704"/>
      <c r="AX704"/>
      <c r="AY704"/>
      <c r="AZ704"/>
      <c r="BA704"/>
      <c r="BB704"/>
      <c r="BC704"/>
      <c r="BD704"/>
      <c r="BE704"/>
      <c r="BF704"/>
      <c r="BG704" t="s">
        <v>5</v>
      </c>
      <c r="BH704"/>
      <c r="BI704"/>
      <c r="BJ704" t="s">
        <v>5</v>
      </c>
      <c r="BK704"/>
      <c r="BL704">
        <v>0</v>
      </c>
      <c r="BM704"/>
      <c r="BN704" t="s">
        <v>5</v>
      </c>
      <c r="BO704" t="s">
        <v>2518</v>
      </c>
      <c r="BP704" t="s">
        <v>2518</v>
      </c>
      <c r="BQ704" t="s">
        <v>2518</v>
      </c>
      <c r="BR704"/>
      <c r="BS704" t="s">
        <v>6</v>
      </c>
      <c r="BT704" t="s">
        <v>2518</v>
      </c>
      <c r="BU704" t="s">
        <v>2518</v>
      </c>
      <c r="BV704" t="s">
        <v>2518</v>
      </c>
      <c r="BW704"/>
      <c r="BX704" t="s">
        <v>6</v>
      </c>
      <c r="BY704" t="s">
        <v>7</v>
      </c>
      <c r="BZ704" t="s">
        <v>2518</v>
      </c>
      <c r="CA704"/>
      <c r="CB704" t="s">
        <v>5</v>
      </c>
      <c r="CC704">
        <v>536853.69182270567</v>
      </c>
      <c r="CD704">
        <v>64978369.996001206</v>
      </c>
      <c r="CE704" s="313" t="s">
        <v>11891</v>
      </c>
    </row>
    <row r="705" spans="1:83" ht="15" x14ac:dyDescent="0.25">
      <c r="A705" t="s">
        <v>22</v>
      </c>
      <c r="B705" t="s">
        <v>23</v>
      </c>
      <c r="C705" t="s">
        <v>24</v>
      </c>
      <c r="D705">
        <v>6</v>
      </c>
      <c r="E705" t="s">
        <v>259</v>
      </c>
      <c r="F705" t="s">
        <v>2</v>
      </c>
      <c r="G705" t="s">
        <v>260</v>
      </c>
      <c r="H705" t="s">
        <v>261</v>
      </c>
      <c r="I705"/>
      <c r="J705" t="s">
        <v>2518</v>
      </c>
      <c r="K705" t="s">
        <v>289</v>
      </c>
      <c r="L705">
        <v>1770.815673828125</v>
      </c>
      <c r="M705" t="s">
        <v>6</v>
      </c>
      <c r="N705" t="s">
        <v>5</v>
      </c>
      <c r="O705" t="s">
        <v>6</v>
      </c>
      <c r="P705" t="s">
        <v>5</v>
      </c>
      <c r="Q705" t="s">
        <v>5</v>
      </c>
      <c r="R705" t="s">
        <v>290</v>
      </c>
      <c r="S705" t="s">
        <v>2970</v>
      </c>
      <c r="T705" t="s">
        <v>5</v>
      </c>
      <c r="U705" t="s">
        <v>13</v>
      </c>
      <c r="V705">
        <v>100000</v>
      </c>
      <c r="W705">
        <v>5000</v>
      </c>
      <c r="X705" t="s">
        <v>6</v>
      </c>
      <c r="Y705"/>
      <c r="Z705"/>
      <c r="AA705">
        <v>444.50747680664063</v>
      </c>
      <c r="AB705">
        <v>200.08575439453119</v>
      </c>
      <c r="AC705">
        <v>0.69722402095794678</v>
      </c>
      <c r="AD705">
        <v>143642</v>
      </c>
      <c r="AE705">
        <v>182389</v>
      </c>
      <c r="AF705">
        <v>120807</v>
      </c>
      <c r="AG705">
        <v>590954</v>
      </c>
      <c r="AH705">
        <v>545505</v>
      </c>
      <c r="AI705">
        <v>590954</v>
      </c>
      <c r="AJ705">
        <v>2332</v>
      </c>
      <c r="AK705">
        <v>89</v>
      </c>
      <c r="AL705">
        <v>2408</v>
      </c>
      <c r="AM705">
        <v>89</v>
      </c>
      <c r="AN705">
        <v>5993.46923828125</v>
      </c>
      <c r="AO705"/>
      <c r="AP705"/>
      <c r="AQ705"/>
      <c r="AR705"/>
      <c r="AS705"/>
      <c r="AT705"/>
      <c r="AU705"/>
      <c r="AV705"/>
      <c r="AW705"/>
      <c r="AX705"/>
      <c r="AY705"/>
      <c r="AZ705"/>
      <c r="BA705"/>
      <c r="BB705"/>
      <c r="BC705"/>
      <c r="BD705"/>
      <c r="BE705"/>
      <c r="BF705" t="s">
        <v>291</v>
      </c>
      <c r="BG705" t="s">
        <v>5</v>
      </c>
      <c r="BH705"/>
      <c r="BI705"/>
      <c r="BJ705" t="s">
        <v>5</v>
      </c>
      <c r="BK705"/>
      <c r="BL705">
        <v>0</v>
      </c>
      <c r="BM705"/>
      <c r="BN705" t="s">
        <v>5</v>
      </c>
      <c r="BO705" t="s">
        <v>2518</v>
      </c>
      <c r="BP705" t="s">
        <v>2518</v>
      </c>
      <c r="BQ705" t="s">
        <v>2518</v>
      </c>
      <c r="BR705"/>
      <c r="BS705" t="s">
        <v>6</v>
      </c>
      <c r="BT705" t="s">
        <v>2518</v>
      </c>
      <c r="BU705" t="s">
        <v>2518</v>
      </c>
      <c r="BV705" t="s">
        <v>2518</v>
      </c>
      <c r="BW705"/>
      <c r="BX705" t="s">
        <v>6</v>
      </c>
      <c r="BY705" t="s">
        <v>7</v>
      </c>
      <c r="BZ705" t="s">
        <v>2518</v>
      </c>
      <c r="CA705"/>
      <c r="CB705" t="s">
        <v>5</v>
      </c>
      <c r="CC705">
        <v>417917.84308613068</v>
      </c>
      <c r="CD705">
        <v>4586391665.5307312</v>
      </c>
      <c r="CE705" s="313" t="s">
        <v>11891</v>
      </c>
    </row>
    <row r="706" spans="1:83" ht="15" x14ac:dyDescent="0.25">
      <c r="A706" t="s">
        <v>29</v>
      </c>
      <c r="B706" t="s">
        <v>30</v>
      </c>
      <c r="C706" t="s">
        <v>31</v>
      </c>
      <c r="D706">
        <v>6</v>
      </c>
      <c r="E706" t="s">
        <v>259</v>
      </c>
      <c r="F706" t="s">
        <v>2</v>
      </c>
      <c r="G706" t="s">
        <v>260</v>
      </c>
      <c r="H706" t="s">
        <v>261</v>
      </c>
      <c r="I706"/>
      <c r="J706" t="s">
        <v>2518</v>
      </c>
      <c r="K706" t="s">
        <v>292</v>
      </c>
      <c r="L706">
        <v>1770.815673828125</v>
      </c>
      <c r="M706" t="s">
        <v>6</v>
      </c>
      <c r="N706" t="s">
        <v>5</v>
      </c>
      <c r="O706" t="s">
        <v>6</v>
      </c>
      <c r="P706" t="s">
        <v>5</v>
      </c>
      <c r="Q706" t="s">
        <v>5</v>
      </c>
      <c r="R706" t="s">
        <v>290</v>
      </c>
      <c r="S706" t="s">
        <v>2970</v>
      </c>
      <c r="T706" t="s">
        <v>5</v>
      </c>
      <c r="U706" t="s">
        <v>28</v>
      </c>
      <c r="V706">
        <v>100000</v>
      </c>
      <c r="W706">
        <v>5000</v>
      </c>
      <c r="X706" t="s">
        <v>6</v>
      </c>
      <c r="Y706"/>
      <c r="Z706"/>
      <c r="AA706">
        <v>444.50747680664063</v>
      </c>
      <c r="AB706">
        <v>200.08575439453119</v>
      </c>
      <c r="AC706">
        <v>0.69722402095794678</v>
      </c>
      <c r="AD706">
        <v>143642</v>
      </c>
      <c r="AE706">
        <v>182389</v>
      </c>
      <c r="AF706">
        <v>120807</v>
      </c>
      <c r="AG706">
        <v>590954</v>
      </c>
      <c r="AH706">
        <v>545505</v>
      </c>
      <c r="AI706">
        <v>590954</v>
      </c>
      <c r="AJ706">
        <v>2332</v>
      </c>
      <c r="AK706">
        <v>89</v>
      </c>
      <c r="AL706">
        <v>2408</v>
      </c>
      <c r="AM706">
        <v>89</v>
      </c>
      <c r="AN706">
        <v>5993.46923828125</v>
      </c>
      <c r="AO706"/>
      <c r="AP706"/>
      <c r="AQ706"/>
      <c r="AR706"/>
      <c r="AS706"/>
      <c r="AT706"/>
      <c r="AU706"/>
      <c r="AV706"/>
      <c r="AW706"/>
      <c r="AX706"/>
      <c r="AY706"/>
      <c r="AZ706"/>
      <c r="BA706"/>
      <c r="BB706"/>
      <c r="BC706"/>
      <c r="BD706"/>
      <c r="BE706"/>
      <c r="BF706" t="s">
        <v>291</v>
      </c>
      <c r="BG706" t="s">
        <v>5</v>
      </c>
      <c r="BH706"/>
      <c r="BI706"/>
      <c r="BJ706" t="s">
        <v>5</v>
      </c>
      <c r="BK706"/>
      <c r="BL706">
        <v>0</v>
      </c>
      <c r="BM706"/>
      <c r="BN706" t="s">
        <v>5</v>
      </c>
      <c r="BO706" t="s">
        <v>2518</v>
      </c>
      <c r="BP706" t="s">
        <v>2518</v>
      </c>
      <c r="BQ706" t="s">
        <v>2518</v>
      </c>
      <c r="BR706"/>
      <c r="BS706" t="s">
        <v>6</v>
      </c>
      <c r="BT706" t="s">
        <v>2518</v>
      </c>
      <c r="BU706" t="s">
        <v>2518</v>
      </c>
      <c r="BV706" t="s">
        <v>2518</v>
      </c>
      <c r="BW706"/>
      <c r="BX706" t="s">
        <v>6</v>
      </c>
      <c r="BY706" t="s">
        <v>7</v>
      </c>
      <c r="BZ706" t="s">
        <v>2518</v>
      </c>
      <c r="CA706"/>
      <c r="CB706" t="s">
        <v>5</v>
      </c>
      <c r="CC706">
        <v>417917.84308613068</v>
      </c>
      <c r="CD706">
        <v>4586391665.5307312</v>
      </c>
      <c r="CE706" s="313" t="s">
        <v>11891</v>
      </c>
    </row>
    <row r="707" spans="1:83" ht="15" x14ac:dyDescent="0.25">
      <c r="A707" t="s">
        <v>10</v>
      </c>
      <c r="B707" t="s">
        <v>2971</v>
      </c>
      <c r="C707" t="s">
        <v>2972</v>
      </c>
      <c r="D707">
        <v>6</v>
      </c>
      <c r="E707" t="s">
        <v>259</v>
      </c>
      <c r="F707" t="s">
        <v>2</v>
      </c>
      <c r="G707" t="s">
        <v>293</v>
      </c>
      <c r="H707" t="s">
        <v>294</v>
      </c>
      <c r="I707" t="s">
        <v>295</v>
      </c>
      <c r="J707" t="s">
        <v>296</v>
      </c>
      <c r="K707" t="s">
        <v>21</v>
      </c>
      <c r="L707">
        <v>3.5849535465240479</v>
      </c>
      <c r="M707" t="s">
        <v>5</v>
      </c>
      <c r="N707" t="s">
        <v>5</v>
      </c>
      <c r="O707" t="s">
        <v>6</v>
      </c>
      <c r="P707" t="s">
        <v>5</v>
      </c>
      <c r="Q707" t="s">
        <v>5</v>
      </c>
      <c r="R707" t="s">
        <v>297</v>
      </c>
      <c r="S707" t="s">
        <v>298</v>
      </c>
      <c r="T707" t="s">
        <v>5</v>
      </c>
      <c r="U707" t="s">
        <v>4</v>
      </c>
      <c r="V707">
        <v>100000</v>
      </c>
      <c r="W707">
        <v>5000</v>
      </c>
      <c r="X707" t="s">
        <v>6</v>
      </c>
      <c r="Y707" t="s">
        <v>302</v>
      </c>
      <c r="Z707">
        <v>25000</v>
      </c>
      <c r="AA707">
        <v>2.9588699340820308</v>
      </c>
      <c r="AB707">
        <v>0.53965997695922852</v>
      </c>
      <c r="AC707">
        <v>0</v>
      </c>
      <c r="AD707">
        <v>5879</v>
      </c>
      <c r="AE707">
        <v>904</v>
      </c>
      <c r="AF707">
        <v>5539</v>
      </c>
      <c r="AG707">
        <v>25741</v>
      </c>
      <c r="AH707">
        <v>16463</v>
      </c>
      <c r="AI707">
        <v>25741</v>
      </c>
      <c r="AJ707">
        <v>71</v>
      </c>
      <c r="AK707">
        <v>0</v>
      </c>
      <c r="AL707">
        <v>71</v>
      </c>
      <c r="AM707">
        <v>0</v>
      </c>
      <c r="AN707">
        <v>0.1517360061407089</v>
      </c>
      <c r="AO707"/>
      <c r="AP707"/>
      <c r="AQ707"/>
      <c r="AR707"/>
      <c r="AS707"/>
      <c r="AT707"/>
      <c r="AU707"/>
      <c r="AV707"/>
      <c r="AW707"/>
      <c r="AX707"/>
      <c r="AY707"/>
      <c r="AZ707"/>
      <c r="BA707"/>
      <c r="BB707"/>
      <c r="BC707"/>
      <c r="BD707"/>
      <c r="BE707"/>
      <c r="BF707"/>
      <c r="BG707" t="s">
        <v>5</v>
      </c>
      <c r="BH707"/>
      <c r="BI707"/>
      <c r="BJ707" t="s">
        <v>5</v>
      </c>
      <c r="BK707"/>
      <c r="BL707">
        <v>0</v>
      </c>
      <c r="BM707"/>
      <c r="BN707" t="s">
        <v>5</v>
      </c>
      <c r="BO707" t="s">
        <v>2518</v>
      </c>
      <c r="BP707" t="s">
        <v>2518</v>
      </c>
      <c r="BQ707" t="s">
        <v>2518</v>
      </c>
      <c r="BR707"/>
      <c r="BS707" t="s">
        <v>6</v>
      </c>
      <c r="BT707" t="s">
        <v>2518</v>
      </c>
      <c r="BU707" t="s">
        <v>2518</v>
      </c>
      <c r="BV707" t="s">
        <v>2518</v>
      </c>
      <c r="BW707"/>
      <c r="BX707" t="s">
        <v>6</v>
      </c>
      <c r="BY707" t="s">
        <v>7</v>
      </c>
      <c r="BZ707" t="s">
        <v>2518</v>
      </c>
      <c r="CA707"/>
      <c r="CB707" t="s">
        <v>5</v>
      </c>
      <c r="CC707">
        <v>16716.568911328399</v>
      </c>
      <c r="CD707">
        <v>9284987.0653277058</v>
      </c>
      <c r="CE707" s="313" t="s">
        <v>11891</v>
      </c>
    </row>
    <row r="708" spans="1:83" ht="15" x14ac:dyDescent="0.25">
      <c r="A708" t="s">
        <v>14</v>
      </c>
      <c r="B708" t="s">
        <v>15</v>
      </c>
      <c r="C708" t="s">
        <v>16</v>
      </c>
      <c r="D708">
        <v>6</v>
      </c>
      <c r="E708" t="s">
        <v>259</v>
      </c>
      <c r="F708" t="s">
        <v>2</v>
      </c>
      <c r="G708" t="s">
        <v>293</v>
      </c>
      <c r="H708" t="s">
        <v>303</v>
      </c>
      <c r="I708" t="s">
        <v>304</v>
      </c>
      <c r="J708" t="s">
        <v>305</v>
      </c>
      <c r="K708" t="s">
        <v>289</v>
      </c>
      <c r="L708">
        <v>1.436710476875305</v>
      </c>
      <c r="M708" t="s">
        <v>5</v>
      </c>
      <c r="N708" t="s">
        <v>5</v>
      </c>
      <c r="O708" t="s">
        <v>6</v>
      </c>
      <c r="P708" t="s">
        <v>5</v>
      </c>
      <c r="Q708" t="s">
        <v>5</v>
      </c>
      <c r="R708" t="s">
        <v>306</v>
      </c>
      <c r="S708" t="s">
        <v>307</v>
      </c>
      <c r="T708" t="s">
        <v>5</v>
      </c>
      <c r="U708" t="s">
        <v>13</v>
      </c>
      <c r="V708">
        <v>100000</v>
      </c>
      <c r="W708">
        <v>5000</v>
      </c>
      <c r="X708" t="s">
        <v>6</v>
      </c>
      <c r="Y708"/>
      <c r="Z708"/>
      <c r="AA708">
        <v>0</v>
      </c>
      <c r="AB708">
        <v>1.001999946311116E-3</v>
      </c>
      <c r="AC708">
        <v>0</v>
      </c>
      <c r="AD708">
        <v>0</v>
      </c>
      <c r="AE708">
        <v>2</v>
      </c>
      <c r="AF708">
        <v>0</v>
      </c>
      <c r="AG708">
        <v>0</v>
      </c>
      <c r="AH708">
        <v>0</v>
      </c>
      <c r="AI708">
        <v>0</v>
      </c>
      <c r="AJ708">
        <v>0</v>
      </c>
      <c r="AK708">
        <v>0</v>
      </c>
      <c r="AL708">
        <v>0</v>
      </c>
      <c r="AM708">
        <v>0</v>
      </c>
      <c r="AN708">
        <v>0</v>
      </c>
      <c r="AO708"/>
      <c r="AP708"/>
      <c r="AQ708"/>
      <c r="AR708"/>
      <c r="AS708"/>
      <c r="AT708"/>
      <c r="AU708"/>
      <c r="AV708"/>
      <c r="AW708"/>
      <c r="AX708"/>
      <c r="AY708"/>
      <c r="AZ708"/>
      <c r="BA708"/>
      <c r="BB708"/>
      <c r="BC708"/>
      <c r="BD708"/>
      <c r="BE708"/>
      <c r="BF708" t="s">
        <v>291</v>
      </c>
      <c r="BG708" t="s">
        <v>5</v>
      </c>
      <c r="BH708"/>
      <c r="BI708"/>
      <c r="BJ708" t="s">
        <v>5</v>
      </c>
      <c r="BK708"/>
      <c r="BL708">
        <v>0</v>
      </c>
      <c r="BM708"/>
      <c r="BN708" t="s">
        <v>5</v>
      </c>
      <c r="BO708" t="s">
        <v>2518</v>
      </c>
      <c r="BP708" t="s">
        <v>2518</v>
      </c>
      <c r="BQ708" t="s">
        <v>2518</v>
      </c>
      <c r="BR708"/>
      <c r="BS708" t="s">
        <v>6</v>
      </c>
      <c r="BT708" t="s">
        <v>2518</v>
      </c>
      <c r="BU708" t="s">
        <v>2518</v>
      </c>
      <c r="BV708" t="s">
        <v>2518</v>
      </c>
      <c r="BW708"/>
      <c r="BX708" t="s">
        <v>6</v>
      </c>
      <c r="BY708" t="s">
        <v>7</v>
      </c>
      <c r="BZ708" t="s">
        <v>2518</v>
      </c>
      <c r="CA708"/>
      <c r="CB708" t="s">
        <v>5</v>
      </c>
      <c r="CC708">
        <v>10858.673654766229</v>
      </c>
      <c r="CD708">
        <v>3721062.9654492969</v>
      </c>
      <c r="CE708" s="313" t="s">
        <v>11891</v>
      </c>
    </row>
    <row r="709" spans="1:83" ht="15" x14ac:dyDescent="0.25">
      <c r="A709" t="s">
        <v>54</v>
      </c>
      <c r="B709" t="s">
        <v>55</v>
      </c>
      <c r="C709" t="s">
        <v>56</v>
      </c>
      <c r="D709">
        <v>6</v>
      </c>
      <c r="E709" t="s">
        <v>259</v>
      </c>
      <c r="F709" t="s">
        <v>46</v>
      </c>
      <c r="G709" t="s">
        <v>39</v>
      </c>
      <c r="H709" t="s">
        <v>325</v>
      </c>
      <c r="I709" t="s">
        <v>326</v>
      </c>
      <c r="J709" t="s">
        <v>327</v>
      </c>
      <c r="K709" t="s">
        <v>328</v>
      </c>
      <c r="L709">
        <v>1.880163431167603</v>
      </c>
      <c r="M709" t="s">
        <v>6</v>
      </c>
      <c r="N709" t="s">
        <v>6</v>
      </c>
      <c r="O709" t="s">
        <v>6</v>
      </c>
      <c r="P709" t="s">
        <v>5</v>
      </c>
      <c r="Q709" t="s">
        <v>5</v>
      </c>
      <c r="R709" t="s">
        <v>329</v>
      </c>
      <c r="S709" t="s">
        <v>330</v>
      </c>
      <c r="T709" t="s">
        <v>5</v>
      </c>
      <c r="U709" t="s">
        <v>50</v>
      </c>
      <c r="V709">
        <v>100000</v>
      </c>
      <c r="W709">
        <v>5000</v>
      </c>
      <c r="X709" t="s">
        <v>6</v>
      </c>
      <c r="Y709"/>
      <c r="Z709"/>
      <c r="AA709">
        <v>0.6407889723777771</v>
      </c>
      <c r="AB709">
        <v>0.95737498998641968</v>
      </c>
      <c r="AC709">
        <v>0</v>
      </c>
      <c r="AD709">
        <v>560</v>
      </c>
      <c r="AE709">
        <v>483</v>
      </c>
      <c r="AF709">
        <v>425</v>
      </c>
      <c r="AG709">
        <v>2792</v>
      </c>
      <c r="AH709">
        <v>1150</v>
      </c>
      <c r="AI709">
        <v>2792</v>
      </c>
      <c r="AJ709">
        <v>7</v>
      </c>
      <c r="AK709">
        <v>0</v>
      </c>
      <c r="AL709">
        <v>13</v>
      </c>
      <c r="AM709">
        <v>0</v>
      </c>
      <c r="AN709">
        <v>0.59229201078414917</v>
      </c>
      <c r="AO709"/>
      <c r="AP709"/>
      <c r="AQ709"/>
      <c r="AR709"/>
      <c r="AS709"/>
      <c r="AT709"/>
      <c r="AU709"/>
      <c r="AV709"/>
      <c r="AW709"/>
      <c r="AX709"/>
      <c r="AY709"/>
      <c r="AZ709"/>
      <c r="BA709"/>
      <c r="BB709"/>
      <c r="BC709"/>
      <c r="BD709"/>
      <c r="BE709"/>
      <c r="BF709"/>
      <c r="BG709" t="s">
        <v>5</v>
      </c>
      <c r="BH709"/>
      <c r="BI709"/>
      <c r="BJ709" t="s">
        <v>5</v>
      </c>
      <c r="BK709"/>
      <c r="BL709">
        <v>0</v>
      </c>
      <c r="BM709"/>
      <c r="BN709" t="s">
        <v>5</v>
      </c>
      <c r="BO709" t="s">
        <v>2518</v>
      </c>
      <c r="BP709" t="s">
        <v>2518</v>
      </c>
      <c r="BQ709" t="s">
        <v>2518</v>
      </c>
      <c r="BR709"/>
      <c r="BS709" t="s">
        <v>6</v>
      </c>
      <c r="BT709" t="s">
        <v>2518</v>
      </c>
      <c r="BU709" t="s">
        <v>2518</v>
      </c>
      <c r="BV709" t="s">
        <v>2518</v>
      </c>
      <c r="BW709"/>
      <c r="BX709" t="s">
        <v>6</v>
      </c>
      <c r="BY709" t="s">
        <v>7</v>
      </c>
      <c r="BZ709" t="s">
        <v>2518</v>
      </c>
      <c r="CA709"/>
      <c r="CB709" t="s">
        <v>5</v>
      </c>
      <c r="CC709">
        <v>14644.94337008671</v>
      </c>
      <c r="CD709">
        <v>4869600.8919732021</v>
      </c>
      <c r="CE709" s="313" t="s">
        <v>11891</v>
      </c>
    </row>
    <row r="710" spans="1:83" ht="15" x14ac:dyDescent="0.25">
      <c r="A710" t="s">
        <v>47</v>
      </c>
      <c r="B710" t="s">
        <v>48</v>
      </c>
      <c r="C710" t="s">
        <v>49</v>
      </c>
      <c r="D710">
        <v>6</v>
      </c>
      <c r="E710" t="s">
        <v>259</v>
      </c>
      <c r="F710" t="s">
        <v>46</v>
      </c>
      <c r="G710" t="s">
        <v>39</v>
      </c>
      <c r="H710" t="s">
        <v>276</v>
      </c>
      <c r="I710" t="s">
        <v>277</v>
      </c>
      <c r="J710" t="s">
        <v>278</v>
      </c>
      <c r="K710" t="s">
        <v>279</v>
      </c>
      <c r="L710">
        <v>665.14923095703125</v>
      </c>
      <c r="M710" t="s">
        <v>6</v>
      </c>
      <c r="N710" t="s">
        <v>6</v>
      </c>
      <c r="O710" t="s">
        <v>6</v>
      </c>
      <c r="P710" t="s">
        <v>5</v>
      </c>
      <c r="Q710" t="s">
        <v>5</v>
      </c>
      <c r="R710" t="s">
        <v>267</v>
      </c>
      <c r="S710" t="s">
        <v>267</v>
      </c>
      <c r="T710" t="s">
        <v>5</v>
      </c>
      <c r="U710" t="s">
        <v>50</v>
      </c>
      <c r="V710">
        <v>100000</v>
      </c>
      <c r="W710">
        <v>5000</v>
      </c>
      <c r="X710" t="s">
        <v>6</v>
      </c>
      <c r="Y710"/>
      <c r="Z710"/>
      <c r="AA710">
        <v>307.8448486328125</v>
      </c>
      <c r="AB710">
        <v>87.008094787597656</v>
      </c>
      <c r="AC710">
        <v>0</v>
      </c>
      <c r="AD710">
        <v>48566</v>
      </c>
      <c r="AE710">
        <v>48538</v>
      </c>
      <c r="AF710">
        <v>42184</v>
      </c>
      <c r="AG710">
        <v>99958</v>
      </c>
      <c r="AH710">
        <v>102742</v>
      </c>
      <c r="AI710">
        <v>102742</v>
      </c>
      <c r="AJ710">
        <v>680</v>
      </c>
      <c r="AK710">
        <v>30</v>
      </c>
      <c r="AL710">
        <v>910</v>
      </c>
      <c r="AM710">
        <v>30</v>
      </c>
      <c r="AN710">
        <v>3412.4375</v>
      </c>
      <c r="AO710"/>
      <c r="AP710"/>
      <c r="AQ710"/>
      <c r="AR710"/>
      <c r="AS710"/>
      <c r="AT710"/>
      <c r="AU710"/>
      <c r="AV710"/>
      <c r="AW710"/>
      <c r="AX710"/>
      <c r="AY710"/>
      <c r="AZ710"/>
      <c r="BA710"/>
      <c r="BB710"/>
      <c r="BC710"/>
      <c r="BD710"/>
      <c r="BE710"/>
      <c r="BF710"/>
      <c r="BG710" t="s">
        <v>5</v>
      </c>
      <c r="BH710"/>
      <c r="BI710"/>
      <c r="BJ710" t="s">
        <v>5</v>
      </c>
      <c r="BK710"/>
      <c r="BL710">
        <v>0</v>
      </c>
      <c r="BM710"/>
      <c r="BN710" t="s">
        <v>5</v>
      </c>
      <c r="BO710" t="s">
        <v>2518</v>
      </c>
      <c r="BP710" t="s">
        <v>2518</v>
      </c>
      <c r="BQ710" t="s">
        <v>2518</v>
      </c>
      <c r="BR710"/>
      <c r="BS710" t="s">
        <v>6</v>
      </c>
      <c r="BT710" t="s">
        <v>2518</v>
      </c>
      <c r="BU710" t="s">
        <v>2518</v>
      </c>
      <c r="BV710" t="s">
        <v>2518</v>
      </c>
      <c r="BW710"/>
      <c r="BX710" t="s">
        <v>6</v>
      </c>
      <c r="BY710" t="s">
        <v>7</v>
      </c>
      <c r="BZ710" t="s">
        <v>2518</v>
      </c>
      <c r="CA710"/>
      <c r="CB710" t="s">
        <v>5</v>
      </c>
      <c r="CC710">
        <v>286629.50057383301</v>
      </c>
      <c r="CD710">
        <v>1722728670.1541431</v>
      </c>
      <c r="CE710" s="313" t="s">
        <v>11891</v>
      </c>
    </row>
    <row r="711" spans="1:83" ht="15" x14ac:dyDescent="0.25">
      <c r="A711" t="s">
        <v>126</v>
      </c>
      <c r="B711" t="s">
        <v>127</v>
      </c>
      <c r="C711" t="s">
        <v>128</v>
      </c>
      <c r="D711">
        <v>6</v>
      </c>
      <c r="E711" t="s">
        <v>259</v>
      </c>
      <c r="F711" t="s">
        <v>53</v>
      </c>
      <c r="G711" t="s">
        <v>356</v>
      </c>
      <c r="H711" t="s">
        <v>380</v>
      </c>
      <c r="I711" t="s">
        <v>381</v>
      </c>
      <c r="J711" t="s">
        <v>382</v>
      </c>
      <c r="K711" t="s">
        <v>279</v>
      </c>
      <c r="L711">
        <v>515.94830322265625</v>
      </c>
      <c r="M711" t="s">
        <v>6</v>
      </c>
      <c r="N711" t="s">
        <v>5</v>
      </c>
      <c r="O711" t="s">
        <v>6</v>
      </c>
      <c r="P711" t="s">
        <v>5</v>
      </c>
      <c r="Q711" t="s">
        <v>5</v>
      </c>
      <c r="R711" t="s">
        <v>336</v>
      </c>
      <c r="S711" t="s">
        <v>337</v>
      </c>
      <c r="T711" t="s">
        <v>5</v>
      </c>
      <c r="U711" t="s">
        <v>50</v>
      </c>
      <c r="V711">
        <v>100000</v>
      </c>
      <c r="W711">
        <v>5000</v>
      </c>
      <c r="X711" t="s">
        <v>6</v>
      </c>
      <c r="Y711" t="s">
        <v>302</v>
      </c>
      <c r="Z711">
        <v>100000</v>
      </c>
      <c r="AA711">
        <v>28.4786491394043</v>
      </c>
      <c r="AB711">
        <v>5.5907998085021973</v>
      </c>
      <c r="AC711">
        <v>2.6062000542879101E-2</v>
      </c>
      <c r="AD711">
        <v>1067</v>
      </c>
      <c r="AE711">
        <v>707</v>
      </c>
      <c r="AF711">
        <v>708</v>
      </c>
      <c r="AG711">
        <v>1171</v>
      </c>
      <c r="AH711">
        <v>1859</v>
      </c>
      <c r="AI711">
        <v>1859</v>
      </c>
      <c r="AJ711">
        <v>6</v>
      </c>
      <c r="AK711">
        <v>19</v>
      </c>
      <c r="AL711">
        <v>41</v>
      </c>
      <c r="AM711">
        <v>19</v>
      </c>
      <c r="AN711">
        <v>1357.317260742188</v>
      </c>
      <c r="AO711"/>
      <c r="AP711"/>
      <c r="AQ711"/>
      <c r="AR711"/>
      <c r="AS711"/>
      <c r="AT711"/>
      <c r="AU711"/>
      <c r="AV711"/>
      <c r="AW711"/>
      <c r="AX711"/>
      <c r="AY711"/>
      <c r="AZ711"/>
      <c r="BA711"/>
      <c r="BB711"/>
      <c r="BC711"/>
      <c r="BD711"/>
      <c r="BE711"/>
      <c r="BF711"/>
      <c r="BG711" t="s">
        <v>5</v>
      </c>
      <c r="BH711"/>
      <c r="BI711"/>
      <c r="BJ711" t="s">
        <v>5</v>
      </c>
      <c r="BK711"/>
      <c r="BL711">
        <v>0</v>
      </c>
      <c r="BM711"/>
      <c r="BN711" t="s">
        <v>5</v>
      </c>
      <c r="BO711" t="s">
        <v>2518</v>
      </c>
      <c r="BP711" t="s">
        <v>2518</v>
      </c>
      <c r="BQ711" t="s">
        <v>2518</v>
      </c>
      <c r="BR711"/>
      <c r="BS711" t="s">
        <v>6</v>
      </c>
      <c r="BT711" t="s">
        <v>2518</v>
      </c>
      <c r="BU711" t="s">
        <v>2518</v>
      </c>
      <c r="BV711" t="s">
        <v>2518</v>
      </c>
      <c r="BW711"/>
      <c r="BX711" t="s">
        <v>6</v>
      </c>
      <c r="BY711" t="s">
        <v>7</v>
      </c>
      <c r="BZ711" t="s">
        <v>2518</v>
      </c>
      <c r="CA711"/>
      <c r="CB711" t="s">
        <v>5</v>
      </c>
      <c r="CC711">
        <v>251551.1790098162</v>
      </c>
      <c r="CD711">
        <v>1336299991.290905</v>
      </c>
      <c r="CE711" s="313" t="s">
        <v>11891</v>
      </c>
    </row>
    <row r="712" spans="1:83" ht="15" x14ac:dyDescent="0.25">
      <c r="A712" t="s">
        <v>145</v>
      </c>
      <c r="B712" t="s">
        <v>397</v>
      </c>
      <c r="C712" t="s">
        <v>146</v>
      </c>
      <c r="D712">
        <v>6</v>
      </c>
      <c r="E712" t="s">
        <v>259</v>
      </c>
      <c r="F712" t="s">
        <v>46</v>
      </c>
      <c r="G712" t="s">
        <v>39</v>
      </c>
      <c r="H712" t="s">
        <v>264</v>
      </c>
      <c r="I712" t="s">
        <v>89</v>
      </c>
      <c r="J712" t="s">
        <v>265</v>
      </c>
      <c r="K712" t="s">
        <v>340</v>
      </c>
      <c r="L712">
        <v>0.44737619161605829</v>
      </c>
      <c r="M712" t="s">
        <v>6</v>
      </c>
      <c r="N712" t="s">
        <v>6</v>
      </c>
      <c r="O712" t="s">
        <v>6</v>
      </c>
      <c r="P712" t="s">
        <v>5</v>
      </c>
      <c r="Q712" t="s">
        <v>5</v>
      </c>
      <c r="R712" t="s">
        <v>312</v>
      </c>
      <c r="S712" t="s">
        <v>312</v>
      </c>
      <c r="T712" t="s">
        <v>5</v>
      </c>
      <c r="U712" t="s">
        <v>85</v>
      </c>
      <c r="V712">
        <v>100000</v>
      </c>
      <c r="W712">
        <v>5000</v>
      </c>
      <c r="X712" t="s">
        <v>6</v>
      </c>
      <c r="Y712"/>
      <c r="Z712"/>
      <c r="AA712">
        <v>0.44737601280212402</v>
      </c>
      <c r="AB712">
        <v>0</v>
      </c>
      <c r="AC712">
        <v>0</v>
      </c>
      <c r="AD712">
        <v>1122</v>
      </c>
      <c r="AE712">
        <v>0</v>
      </c>
      <c r="AF712">
        <v>1095</v>
      </c>
      <c r="AG712">
        <v>232</v>
      </c>
      <c r="AH712">
        <v>1476</v>
      </c>
      <c r="AI712">
        <v>1476</v>
      </c>
      <c r="AJ712">
        <v>3</v>
      </c>
      <c r="AK712">
        <v>0</v>
      </c>
      <c r="AL712">
        <v>8</v>
      </c>
      <c r="AM712">
        <v>0</v>
      </c>
      <c r="AN712">
        <v>0</v>
      </c>
      <c r="AO712"/>
      <c r="AP712"/>
      <c r="AQ712"/>
      <c r="AR712"/>
      <c r="AS712"/>
      <c r="AT712"/>
      <c r="AU712"/>
      <c r="AV712"/>
      <c r="AW712"/>
      <c r="AX712"/>
      <c r="AY712"/>
      <c r="AZ712"/>
      <c r="BA712"/>
      <c r="BB712"/>
      <c r="BC712"/>
      <c r="BD712"/>
      <c r="BE712"/>
      <c r="BF712" t="s">
        <v>367</v>
      </c>
      <c r="BG712" t="s">
        <v>5</v>
      </c>
      <c r="BH712"/>
      <c r="BI712"/>
      <c r="BJ712" t="s">
        <v>5</v>
      </c>
      <c r="BK712"/>
      <c r="BL712">
        <v>0</v>
      </c>
      <c r="BM712"/>
      <c r="BN712" t="s">
        <v>5</v>
      </c>
      <c r="BO712" t="s">
        <v>2518</v>
      </c>
      <c r="BP712" t="s">
        <v>2518</v>
      </c>
      <c r="BQ712" t="s">
        <v>2518</v>
      </c>
      <c r="BR712"/>
      <c r="BS712" t="s">
        <v>6</v>
      </c>
      <c r="BT712" t="s">
        <v>2518</v>
      </c>
      <c r="BU712" t="s">
        <v>2518</v>
      </c>
      <c r="BV712" t="s">
        <v>2518</v>
      </c>
      <c r="BW712"/>
      <c r="BX712" t="s">
        <v>6</v>
      </c>
      <c r="BY712" t="s">
        <v>7</v>
      </c>
      <c r="BZ712" t="s">
        <v>2518</v>
      </c>
      <c r="CA712"/>
      <c r="CB712" t="s">
        <v>5</v>
      </c>
      <c r="CC712">
        <v>4343.2062503259294</v>
      </c>
      <c r="CD712">
        <v>1158698.9926209929</v>
      </c>
      <c r="CE712" s="313" t="s">
        <v>11891</v>
      </c>
    </row>
    <row r="713" spans="1:83" ht="15" x14ac:dyDescent="0.25">
      <c r="A713" t="s">
        <v>161</v>
      </c>
      <c r="B713" t="s">
        <v>162</v>
      </c>
      <c r="C713" t="s">
        <v>163</v>
      </c>
      <c r="D713">
        <v>6</v>
      </c>
      <c r="E713" t="s">
        <v>259</v>
      </c>
      <c r="F713" t="s">
        <v>2</v>
      </c>
      <c r="G713" t="s">
        <v>3</v>
      </c>
      <c r="H713" t="s">
        <v>409</v>
      </c>
      <c r="I713" t="s">
        <v>17</v>
      </c>
      <c r="J713" t="s">
        <v>305</v>
      </c>
      <c r="K713" t="s">
        <v>21</v>
      </c>
      <c r="L713">
        <v>1.436710476875305</v>
      </c>
      <c r="M713" t="s">
        <v>6</v>
      </c>
      <c r="N713" t="s">
        <v>5</v>
      </c>
      <c r="O713" t="s">
        <v>6</v>
      </c>
      <c r="P713" t="s">
        <v>5</v>
      </c>
      <c r="Q713" t="s">
        <v>5</v>
      </c>
      <c r="R713" t="s">
        <v>306</v>
      </c>
      <c r="S713" t="s">
        <v>307</v>
      </c>
      <c r="T713" t="s">
        <v>5</v>
      </c>
      <c r="U713" t="s">
        <v>4</v>
      </c>
      <c r="V713">
        <v>100000</v>
      </c>
      <c r="W713">
        <v>5000</v>
      </c>
      <c r="X713" t="s">
        <v>6</v>
      </c>
      <c r="Y713"/>
      <c r="Z713"/>
      <c r="AA713">
        <v>0</v>
      </c>
      <c r="AB713">
        <v>1.001999946311116E-3</v>
      </c>
      <c r="AC713">
        <v>0</v>
      </c>
      <c r="AD713">
        <v>0</v>
      </c>
      <c r="AE713">
        <v>2</v>
      </c>
      <c r="AF713">
        <v>0</v>
      </c>
      <c r="AG713">
        <v>0</v>
      </c>
      <c r="AH713">
        <v>0</v>
      </c>
      <c r="AI713">
        <v>0</v>
      </c>
      <c r="AJ713">
        <v>0</v>
      </c>
      <c r="AK713">
        <v>0</v>
      </c>
      <c r="AL713">
        <v>0</v>
      </c>
      <c r="AM713">
        <v>0</v>
      </c>
      <c r="AN713">
        <v>0</v>
      </c>
      <c r="AO713"/>
      <c r="AP713"/>
      <c r="AQ713"/>
      <c r="AR713"/>
      <c r="AS713"/>
      <c r="AT713"/>
      <c r="AU713"/>
      <c r="AV713"/>
      <c r="AW713"/>
      <c r="AX713"/>
      <c r="AY713"/>
      <c r="AZ713"/>
      <c r="BA713"/>
      <c r="BB713"/>
      <c r="BC713"/>
      <c r="BD713"/>
      <c r="BE713"/>
      <c r="BF713" t="s">
        <v>410</v>
      </c>
      <c r="BG713" t="s">
        <v>5</v>
      </c>
      <c r="BH713"/>
      <c r="BI713"/>
      <c r="BJ713" t="s">
        <v>5</v>
      </c>
      <c r="BK713"/>
      <c r="BL713">
        <v>0</v>
      </c>
      <c r="BM713"/>
      <c r="BN713" t="s">
        <v>5</v>
      </c>
      <c r="BO713" t="s">
        <v>2518</v>
      </c>
      <c r="BP713" t="s">
        <v>2518</v>
      </c>
      <c r="BQ713" t="s">
        <v>2518</v>
      </c>
      <c r="BR713"/>
      <c r="BS713" t="s">
        <v>6</v>
      </c>
      <c r="BT713" t="s">
        <v>2518</v>
      </c>
      <c r="BU713" t="s">
        <v>2518</v>
      </c>
      <c r="BV713" t="s">
        <v>2518</v>
      </c>
      <c r="BW713"/>
      <c r="BX713" t="s">
        <v>6</v>
      </c>
      <c r="BY713" t="s">
        <v>7</v>
      </c>
      <c r="BZ713" t="s">
        <v>2518</v>
      </c>
      <c r="CA713"/>
      <c r="CB713" t="s">
        <v>5</v>
      </c>
      <c r="CC713">
        <v>10858.673654766229</v>
      </c>
      <c r="CD713">
        <v>3721062.9654492969</v>
      </c>
      <c r="CE713" s="313" t="s">
        <v>11891</v>
      </c>
    </row>
    <row r="714" spans="1:83" ht="15" x14ac:dyDescent="0.25">
      <c r="A714" t="s">
        <v>3481</v>
      </c>
      <c r="B714" t="s">
        <v>3482</v>
      </c>
      <c r="C714" t="s">
        <v>3483</v>
      </c>
      <c r="D714">
        <v>12</v>
      </c>
      <c r="E714" t="s">
        <v>3435</v>
      </c>
      <c r="F714" t="s">
        <v>3473</v>
      </c>
      <c r="G714" t="s">
        <v>3437</v>
      </c>
      <c r="H714" t="s">
        <v>3474</v>
      </c>
      <c r="I714" t="s">
        <v>3475</v>
      </c>
      <c r="J714" t="s">
        <v>3476</v>
      </c>
      <c r="K714" t="s">
        <v>3484</v>
      </c>
      <c r="L714">
        <v>3.1811399459838872</v>
      </c>
      <c r="M714" t="s">
        <v>6</v>
      </c>
      <c r="N714" t="s">
        <v>5</v>
      </c>
      <c r="O714" t="s">
        <v>6</v>
      </c>
      <c r="P714" t="s">
        <v>5</v>
      </c>
      <c r="Q714" t="s">
        <v>5</v>
      </c>
      <c r="R714" t="s">
        <v>3478</v>
      </c>
      <c r="S714" t="s">
        <v>3479</v>
      </c>
      <c r="T714" t="s">
        <v>6</v>
      </c>
      <c r="U714" t="s">
        <v>13</v>
      </c>
      <c r="V714">
        <v>5000</v>
      </c>
      <c r="W714">
        <v>5000</v>
      </c>
      <c r="X714" t="s">
        <v>5</v>
      </c>
      <c r="Y714"/>
      <c r="Z714">
        <v>0</v>
      </c>
      <c r="AA714">
        <v>0.32261401414871221</v>
      </c>
      <c r="AB714">
        <v>5.2650000900030143E-2</v>
      </c>
      <c r="AC714">
        <v>0</v>
      </c>
      <c r="AD714">
        <v>69</v>
      </c>
      <c r="AE714">
        <v>30</v>
      </c>
      <c r="AF714">
        <v>50</v>
      </c>
      <c r="AG714">
        <v>100</v>
      </c>
      <c r="AH714">
        <v>50</v>
      </c>
      <c r="AI714">
        <v>100</v>
      </c>
      <c r="AJ714">
        <v>0</v>
      </c>
      <c r="AK714">
        <v>5</v>
      </c>
      <c r="AL714">
        <v>2</v>
      </c>
      <c r="AM714">
        <v>25</v>
      </c>
      <c r="AN714">
        <v>9.7600002288818359</v>
      </c>
      <c r="AO714">
        <v>0</v>
      </c>
      <c r="AP714">
        <v>0</v>
      </c>
      <c r="AQ714">
        <v>0</v>
      </c>
      <c r="AR714">
        <v>0</v>
      </c>
      <c r="AS714">
        <v>0</v>
      </c>
      <c r="AT714">
        <v>0</v>
      </c>
      <c r="AU714">
        <v>0</v>
      </c>
      <c r="AV714">
        <v>0</v>
      </c>
      <c r="AW714">
        <v>0</v>
      </c>
      <c r="AX714">
        <v>0</v>
      </c>
      <c r="AY714">
        <v>0</v>
      </c>
      <c r="AZ714">
        <v>0</v>
      </c>
      <c r="BA714">
        <v>0</v>
      </c>
      <c r="BB714">
        <v>0</v>
      </c>
      <c r="BC714">
        <v>0</v>
      </c>
      <c r="BD714">
        <v>0</v>
      </c>
      <c r="BE714">
        <v>0</v>
      </c>
      <c r="BF714" t="s">
        <v>1100</v>
      </c>
      <c r="BG714" t="s">
        <v>5</v>
      </c>
      <c r="BH714" t="s">
        <v>1100</v>
      </c>
      <c r="BI714"/>
      <c r="BJ714" t="s">
        <v>5</v>
      </c>
      <c r="BK714"/>
      <c r="BL714">
        <v>0</v>
      </c>
      <c r="BM714">
        <v>0</v>
      </c>
      <c r="BN714" t="s">
        <v>6</v>
      </c>
      <c r="BO714"/>
      <c r="BP714" t="s">
        <v>3485</v>
      </c>
      <c r="BQ714"/>
      <c r="BR714"/>
      <c r="BS714" t="s">
        <v>5</v>
      </c>
      <c r="BT714"/>
      <c r="BU714"/>
      <c r="BV714"/>
      <c r="BW714"/>
      <c r="BX714" t="s">
        <v>6</v>
      </c>
      <c r="BY714" t="s">
        <v>3444</v>
      </c>
      <c r="BZ714"/>
      <c r="CA714"/>
      <c r="CB714" t="s">
        <v>5</v>
      </c>
      <c r="CC714">
        <v>12460.051690312361</v>
      </c>
      <c r="CD714">
        <v>8239121.8992149998</v>
      </c>
      <c r="CE714" s="313" t="s">
        <v>11891</v>
      </c>
    </row>
    <row r="715" spans="1:83" ht="15" x14ac:dyDescent="0.25">
      <c r="A715" t="s">
        <v>3486</v>
      </c>
      <c r="B715" t="s">
        <v>3487</v>
      </c>
      <c r="C715" t="s">
        <v>3488</v>
      </c>
      <c r="D715">
        <v>12</v>
      </c>
      <c r="E715" t="s">
        <v>3435</v>
      </c>
      <c r="F715" t="s">
        <v>3473</v>
      </c>
      <c r="G715" t="s">
        <v>3437</v>
      </c>
      <c r="H715" t="s">
        <v>3474</v>
      </c>
      <c r="I715" t="s">
        <v>3475</v>
      </c>
      <c r="J715" t="s">
        <v>3476</v>
      </c>
      <c r="K715" t="s">
        <v>3484</v>
      </c>
      <c r="L715">
        <v>3.1811399459838872</v>
      </c>
      <c r="M715" t="s">
        <v>6</v>
      </c>
      <c r="N715" t="s">
        <v>5</v>
      </c>
      <c r="O715" t="s">
        <v>6</v>
      </c>
      <c r="P715" t="s">
        <v>5</v>
      </c>
      <c r="Q715" t="s">
        <v>5</v>
      </c>
      <c r="R715" t="s">
        <v>3478</v>
      </c>
      <c r="S715" t="s">
        <v>3479</v>
      </c>
      <c r="T715" t="s">
        <v>6</v>
      </c>
      <c r="U715" t="s">
        <v>13</v>
      </c>
      <c r="V715">
        <v>5000</v>
      </c>
      <c r="W715">
        <v>5000</v>
      </c>
      <c r="X715" t="s">
        <v>5</v>
      </c>
      <c r="Y715"/>
      <c r="Z715">
        <v>0</v>
      </c>
      <c r="AA715">
        <v>0.32261401414871221</v>
      </c>
      <c r="AB715">
        <v>5.2650000900030143E-2</v>
      </c>
      <c r="AC715">
        <v>0</v>
      </c>
      <c r="AD715">
        <v>69</v>
      </c>
      <c r="AE715">
        <v>30</v>
      </c>
      <c r="AF715">
        <v>50</v>
      </c>
      <c r="AG715">
        <v>100</v>
      </c>
      <c r="AH715">
        <v>50</v>
      </c>
      <c r="AI715">
        <v>100</v>
      </c>
      <c r="AJ715">
        <v>0</v>
      </c>
      <c r="AK715">
        <v>5</v>
      </c>
      <c r="AL715">
        <v>2</v>
      </c>
      <c r="AM715">
        <v>12</v>
      </c>
      <c r="AN715">
        <v>9.7600002288818359</v>
      </c>
      <c r="AO715">
        <v>0</v>
      </c>
      <c r="AP715">
        <v>0</v>
      </c>
      <c r="AQ715">
        <v>0</v>
      </c>
      <c r="AR715">
        <v>0</v>
      </c>
      <c r="AS715">
        <v>0</v>
      </c>
      <c r="AT715">
        <v>0</v>
      </c>
      <c r="AU715">
        <v>0</v>
      </c>
      <c r="AV715">
        <v>0</v>
      </c>
      <c r="AW715">
        <v>0</v>
      </c>
      <c r="AX715">
        <v>0</v>
      </c>
      <c r="AY715">
        <v>0</v>
      </c>
      <c r="AZ715">
        <v>0</v>
      </c>
      <c r="BA715">
        <v>0</v>
      </c>
      <c r="BB715">
        <v>0</v>
      </c>
      <c r="BC715">
        <v>0</v>
      </c>
      <c r="BD715">
        <v>0</v>
      </c>
      <c r="BE715">
        <v>0</v>
      </c>
      <c r="BF715" t="s">
        <v>1100</v>
      </c>
      <c r="BG715" t="s">
        <v>5</v>
      </c>
      <c r="BH715" t="s">
        <v>1100</v>
      </c>
      <c r="BI715"/>
      <c r="BJ715" t="s">
        <v>5</v>
      </c>
      <c r="BK715"/>
      <c r="BL715">
        <v>0</v>
      </c>
      <c r="BM715">
        <v>0</v>
      </c>
      <c r="BN715" t="s">
        <v>6</v>
      </c>
      <c r="BO715"/>
      <c r="BP715" t="s">
        <v>3485</v>
      </c>
      <c r="BQ715"/>
      <c r="BR715"/>
      <c r="BS715" t="s">
        <v>5</v>
      </c>
      <c r="BT715"/>
      <c r="BU715"/>
      <c r="BV715"/>
      <c r="BW715"/>
      <c r="BX715" t="s">
        <v>6</v>
      </c>
      <c r="BY715" t="s">
        <v>3444</v>
      </c>
      <c r="BZ715"/>
      <c r="CA715"/>
      <c r="CB715" t="s">
        <v>5</v>
      </c>
      <c r="CC715">
        <v>12460.051690312361</v>
      </c>
      <c r="CD715">
        <v>8239121.8992149998</v>
      </c>
      <c r="CE715" s="313" t="s">
        <v>11891</v>
      </c>
    </row>
    <row r="716" spans="1:83" ht="15" x14ac:dyDescent="0.25">
      <c r="A716" t="s">
        <v>3489</v>
      </c>
      <c r="B716" t="s">
        <v>3490</v>
      </c>
      <c r="C716" t="s">
        <v>3491</v>
      </c>
      <c r="D716">
        <v>12</v>
      </c>
      <c r="E716" t="s">
        <v>3435</v>
      </c>
      <c r="F716" t="s">
        <v>3473</v>
      </c>
      <c r="G716" t="s">
        <v>3437</v>
      </c>
      <c r="H716" t="s">
        <v>3474</v>
      </c>
      <c r="I716" t="s">
        <v>3475</v>
      </c>
      <c r="J716" t="s">
        <v>3476</v>
      </c>
      <c r="K716" t="s">
        <v>3447</v>
      </c>
      <c r="L716">
        <v>3.1811399459838872</v>
      </c>
      <c r="M716" t="s">
        <v>6</v>
      </c>
      <c r="N716" t="s">
        <v>5</v>
      </c>
      <c r="O716" t="s">
        <v>6</v>
      </c>
      <c r="P716" t="s">
        <v>5</v>
      </c>
      <c r="Q716" t="s">
        <v>5</v>
      </c>
      <c r="R716" t="s">
        <v>3478</v>
      </c>
      <c r="S716" t="s">
        <v>3479</v>
      </c>
      <c r="T716" t="s">
        <v>6</v>
      </c>
      <c r="U716" t="s">
        <v>13</v>
      </c>
      <c r="V716">
        <v>5000</v>
      </c>
      <c r="W716">
        <v>5000</v>
      </c>
      <c r="X716" t="s">
        <v>5</v>
      </c>
      <c r="Y716"/>
      <c r="Z716">
        <v>0</v>
      </c>
      <c r="AA716">
        <v>0.32261401414871221</v>
      </c>
      <c r="AB716">
        <v>5.2650000900030143E-2</v>
      </c>
      <c r="AC716">
        <v>0</v>
      </c>
      <c r="AD716">
        <v>69</v>
      </c>
      <c r="AE716">
        <v>30</v>
      </c>
      <c r="AF716">
        <v>50</v>
      </c>
      <c r="AG716">
        <v>100</v>
      </c>
      <c r="AH716">
        <v>50</v>
      </c>
      <c r="AI716">
        <v>100</v>
      </c>
      <c r="AJ716">
        <v>0</v>
      </c>
      <c r="AK716">
        <v>5</v>
      </c>
      <c r="AL716">
        <v>2</v>
      </c>
      <c r="AM716">
        <v>25</v>
      </c>
      <c r="AN716">
        <v>9.7600002288818359</v>
      </c>
      <c r="AO716">
        <v>0</v>
      </c>
      <c r="AP716">
        <v>0</v>
      </c>
      <c r="AQ716">
        <v>0</v>
      </c>
      <c r="AR716">
        <v>0</v>
      </c>
      <c r="AS716">
        <v>0</v>
      </c>
      <c r="AT716">
        <v>0</v>
      </c>
      <c r="AU716">
        <v>0</v>
      </c>
      <c r="AV716">
        <v>0</v>
      </c>
      <c r="AW716">
        <v>0</v>
      </c>
      <c r="AX716">
        <v>0</v>
      </c>
      <c r="AY716">
        <v>0</v>
      </c>
      <c r="AZ716">
        <v>0</v>
      </c>
      <c r="BA716">
        <v>0</v>
      </c>
      <c r="BB716">
        <v>0</v>
      </c>
      <c r="BC716">
        <v>0</v>
      </c>
      <c r="BD716">
        <v>0</v>
      </c>
      <c r="BE716">
        <v>0</v>
      </c>
      <c r="BF716" t="s">
        <v>1100</v>
      </c>
      <c r="BG716" t="s">
        <v>5</v>
      </c>
      <c r="BH716" t="s">
        <v>1100</v>
      </c>
      <c r="BI716"/>
      <c r="BJ716" t="s">
        <v>5</v>
      </c>
      <c r="BK716"/>
      <c r="BL716">
        <v>0</v>
      </c>
      <c r="BM716">
        <v>0</v>
      </c>
      <c r="BN716" t="s">
        <v>6</v>
      </c>
      <c r="BO716"/>
      <c r="BP716" t="s">
        <v>3492</v>
      </c>
      <c r="BQ716"/>
      <c r="BR716"/>
      <c r="BS716" t="s">
        <v>5</v>
      </c>
      <c r="BT716"/>
      <c r="BU716"/>
      <c r="BV716"/>
      <c r="BW716"/>
      <c r="BX716" t="s">
        <v>6</v>
      </c>
      <c r="BY716" t="s">
        <v>3444</v>
      </c>
      <c r="BZ716"/>
      <c r="CA716"/>
      <c r="CB716" t="s">
        <v>5</v>
      </c>
      <c r="CC716">
        <v>12460.051690312361</v>
      </c>
      <c r="CD716">
        <v>8239121.8992149998</v>
      </c>
      <c r="CE716" s="313" t="s">
        <v>11891</v>
      </c>
    </row>
    <row r="717" spans="1:83" ht="15" x14ac:dyDescent="0.25">
      <c r="A717" t="s">
        <v>3535</v>
      </c>
      <c r="B717" t="s">
        <v>3536</v>
      </c>
      <c r="C717" t="s">
        <v>3537</v>
      </c>
      <c r="D717">
        <v>12</v>
      </c>
      <c r="E717" t="s">
        <v>3435</v>
      </c>
      <c r="F717" t="s">
        <v>3473</v>
      </c>
      <c r="G717" t="s">
        <v>3538</v>
      </c>
      <c r="H717" t="s">
        <v>3539</v>
      </c>
      <c r="I717" t="s">
        <v>3540</v>
      </c>
      <c r="J717" t="s">
        <v>3541</v>
      </c>
      <c r="K717" t="s">
        <v>3447</v>
      </c>
      <c r="L717">
        <v>1.716709971427917</v>
      </c>
      <c r="M717" t="s">
        <v>6</v>
      </c>
      <c r="N717" t="s">
        <v>5</v>
      </c>
      <c r="O717" t="s">
        <v>6</v>
      </c>
      <c r="P717" t="s">
        <v>5</v>
      </c>
      <c r="Q717" t="s">
        <v>5</v>
      </c>
      <c r="R717" t="s">
        <v>3542</v>
      </c>
      <c r="S717" t="s">
        <v>3543</v>
      </c>
      <c r="T717" t="s">
        <v>5</v>
      </c>
      <c r="U717" t="s">
        <v>13</v>
      </c>
      <c r="V717">
        <v>5000</v>
      </c>
      <c r="W717">
        <v>5000</v>
      </c>
      <c r="X717" t="s">
        <v>5</v>
      </c>
      <c r="Y717"/>
      <c r="Z717">
        <v>0</v>
      </c>
      <c r="AA717">
        <v>0.70257997512817383</v>
      </c>
      <c r="AB717">
        <v>9.8123997449874878E-2</v>
      </c>
      <c r="AC717">
        <v>0</v>
      </c>
      <c r="AD717">
        <v>153</v>
      </c>
      <c r="AE717">
        <v>36</v>
      </c>
      <c r="AF717">
        <v>101</v>
      </c>
      <c r="AG717">
        <v>568</v>
      </c>
      <c r="AH717">
        <v>199</v>
      </c>
      <c r="AI717">
        <v>568</v>
      </c>
      <c r="AJ717">
        <v>0</v>
      </c>
      <c r="AK717">
        <v>0</v>
      </c>
      <c r="AL717">
        <v>4</v>
      </c>
      <c r="AM717">
        <v>26</v>
      </c>
      <c r="AN717">
        <v>62.159999847412109</v>
      </c>
      <c r="AO717">
        <v>0</v>
      </c>
      <c r="AP717">
        <v>0</v>
      </c>
      <c r="AQ717">
        <v>0</v>
      </c>
      <c r="AR717">
        <v>0</v>
      </c>
      <c r="AS717">
        <v>0</v>
      </c>
      <c r="AT717">
        <v>0</v>
      </c>
      <c r="AU717">
        <v>0</v>
      </c>
      <c r="AV717">
        <v>0</v>
      </c>
      <c r="AW717">
        <v>0</v>
      </c>
      <c r="AX717">
        <v>0</v>
      </c>
      <c r="AY717">
        <v>0</v>
      </c>
      <c r="AZ717">
        <v>0</v>
      </c>
      <c r="BA717">
        <v>0</v>
      </c>
      <c r="BB717">
        <v>0</v>
      </c>
      <c r="BC717">
        <v>0</v>
      </c>
      <c r="BD717">
        <v>0</v>
      </c>
      <c r="BE717">
        <v>0</v>
      </c>
      <c r="BF717" t="s">
        <v>1100</v>
      </c>
      <c r="BG717" t="s">
        <v>5</v>
      </c>
      <c r="BH717" t="s">
        <v>3522</v>
      </c>
      <c r="BI717"/>
      <c r="BJ717" t="s">
        <v>5</v>
      </c>
      <c r="BK717"/>
      <c r="BL717">
        <v>0</v>
      </c>
      <c r="BM717">
        <v>0</v>
      </c>
      <c r="BN717" t="s">
        <v>6</v>
      </c>
      <c r="BO717"/>
      <c r="BP717" t="s">
        <v>3544</v>
      </c>
      <c r="BQ717"/>
      <c r="BR717"/>
      <c r="BS717" t="s">
        <v>5</v>
      </c>
      <c r="BT717"/>
      <c r="BU717"/>
      <c r="BV717"/>
      <c r="BW717"/>
      <c r="BX717" t="s">
        <v>6</v>
      </c>
      <c r="BY717" t="s">
        <v>3523</v>
      </c>
      <c r="BZ717"/>
      <c r="CA717"/>
      <c r="CB717" t="s">
        <v>5</v>
      </c>
      <c r="CC717">
        <v>12930.19018833369</v>
      </c>
      <c r="CD717">
        <v>4446265.6328889681</v>
      </c>
      <c r="CE717" s="313" t="s">
        <v>11891</v>
      </c>
    </row>
    <row r="718" spans="1:83" ht="15" x14ac:dyDescent="0.25">
      <c r="A718" s="337" t="s">
        <v>413</v>
      </c>
      <c r="B718" s="337" t="s">
        <v>414</v>
      </c>
      <c r="C718" s="337" t="s">
        <v>415</v>
      </c>
      <c r="D718" s="337">
        <v>9</v>
      </c>
      <c r="E718" s="337" t="s">
        <v>416</v>
      </c>
      <c r="F718" s="337" t="s">
        <v>417</v>
      </c>
      <c r="G718" s="337" t="s">
        <v>418</v>
      </c>
      <c r="H718" s="337" t="s">
        <v>419</v>
      </c>
      <c r="I718" s="337" t="s">
        <v>420</v>
      </c>
      <c r="J718" s="337" t="s">
        <v>421</v>
      </c>
      <c r="K718" s="337" t="s">
        <v>422</v>
      </c>
      <c r="L718" s="337">
        <v>5.3115334510803223</v>
      </c>
      <c r="M718" s="337" t="s">
        <v>5</v>
      </c>
      <c r="N718" s="337" t="s">
        <v>5</v>
      </c>
      <c r="O718" s="337" t="s">
        <v>5</v>
      </c>
      <c r="P718" s="337" t="s">
        <v>5</v>
      </c>
      <c r="Q718" s="337" t="s">
        <v>5</v>
      </c>
      <c r="R718" s="337" t="s">
        <v>423</v>
      </c>
      <c r="S718" s="337" t="s">
        <v>424</v>
      </c>
      <c r="T718" s="337" t="s">
        <v>5</v>
      </c>
      <c r="U718" s="337" t="s">
        <v>4</v>
      </c>
      <c r="V718" s="337">
        <v>30000</v>
      </c>
      <c r="W718" s="337">
        <v>5000</v>
      </c>
      <c r="X718" s="337" t="s">
        <v>6</v>
      </c>
      <c r="Y718" s="337"/>
      <c r="Z718" s="337"/>
      <c r="AA718" s="337">
        <v>500.92422485351563</v>
      </c>
      <c r="AB718" s="337">
        <v>0.23701925575733179</v>
      </c>
      <c r="AC718" s="337">
        <v>500.92422485351563</v>
      </c>
      <c r="AD718" s="337">
        <v>143</v>
      </c>
      <c r="AE718" s="337">
        <v>103</v>
      </c>
      <c r="AF718" s="337">
        <v>93</v>
      </c>
      <c r="AG718" s="337">
        <v>353</v>
      </c>
      <c r="AH718" s="337">
        <v>151</v>
      </c>
      <c r="AI718" s="337">
        <v>353</v>
      </c>
      <c r="AJ718" s="337">
        <v>2</v>
      </c>
      <c r="AK718" s="337">
        <v>1</v>
      </c>
      <c r="AL718" s="337">
        <v>10</v>
      </c>
      <c r="AM718" s="337">
        <v>0</v>
      </c>
      <c r="AN718" s="337">
        <v>37.864822387695313</v>
      </c>
      <c r="AO718" s="337"/>
      <c r="AP718" s="337"/>
      <c r="AQ718" s="337"/>
      <c r="AR718" s="337">
        <v>36</v>
      </c>
      <c r="AS718" s="337">
        <v>36</v>
      </c>
      <c r="AT718" s="337">
        <v>25</v>
      </c>
      <c r="AU718" s="337">
        <v>23</v>
      </c>
      <c r="AV718" s="337">
        <v>109</v>
      </c>
      <c r="AW718" s="337">
        <v>0</v>
      </c>
      <c r="AX718" s="337">
        <v>0</v>
      </c>
      <c r="AY718" s="337">
        <v>2</v>
      </c>
      <c r="AZ718" s="337">
        <v>0</v>
      </c>
      <c r="BA718" s="337">
        <v>9.4662055969238281</v>
      </c>
      <c r="BB718" s="337"/>
      <c r="BC718" s="337"/>
      <c r="BD718" s="337"/>
      <c r="BE718" s="337">
        <v>25000</v>
      </c>
      <c r="BF718" s="337" t="s">
        <v>425</v>
      </c>
      <c r="BG718" s="337" t="s">
        <v>5</v>
      </c>
      <c r="BH718" s="337" t="s">
        <v>1020</v>
      </c>
      <c r="BI718" s="337"/>
      <c r="BJ718" s="337" t="s">
        <v>5</v>
      </c>
      <c r="BK718" s="337"/>
      <c r="BL718" s="337">
        <v>0</v>
      </c>
      <c r="BM718" s="337"/>
      <c r="BN718" s="337" t="s">
        <v>5</v>
      </c>
      <c r="BO718" s="337"/>
      <c r="BP718" s="337"/>
      <c r="BQ718" s="337"/>
      <c r="BR718" s="337"/>
      <c r="BS718" s="337" t="s">
        <v>5</v>
      </c>
      <c r="BT718" s="337"/>
      <c r="BU718" s="337"/>
      <c r="BV718" s="337"/>
      <c r="BW718" s="337"/>
      <c r="BX718" s="337" t="s">
        <v>6</v>
      </c>
      <c r="BY718" s="337" t="s">
        <v>426</v>
      </c>
      <c r="BZ718" s="337"/>
      <c r="CB718" s="337" t="s">
        <v>5</v>
      </c>
      <c r="CC718" s="337">
        <v>21721.127558054221</v>
      </c>
      <c r="CD718" s="337">
        <v>13756808.62225158</v>
      </c>
      <c r="CE718" s="313" t="s">
        <v>11891</v>
      </c>
    </row>
    <row r="719" spans="1:83" ht="15" x14ac:dyDescent="0.25">
      <c r="A719" s="337" t="s">
        <v>446</v>
      </c>
      <c r="B719" s="337" t="s">
        <v>447</v>
      </c>
      <c r="C719" s="337" t="s">
        <v>448</v>
      </c>
      <c r="D719" s="337">
        <v>9</v>
      </c>
      <c r="E719" s="337" t="s">
        <v>416</v>
      </c>
      <c r="F719" s="337" t="s">
        <v>417</v>
      </c>
      <c r="G719" s="337" t="s">
        <v>431</v>
      </c>
      <c r="H719" s="337" t="s">
        <v>432</v>
      </c>
      <c r="I719" s="337" t="s">
        <v>432</v>
      </c>
      <c r="J719" s="337" t="s">
        <v>433</v>
      </c>
      <c r="K719" s="337" t="s">
        <v>427</v>
      </c>
      <c r="L719" s="337">
        <v>913.2470703125</v>
      </c>
      <c r="M719" s="337" t="s">
        <v>5</v>
      </c>
      <c r="N719" s="337" t="s">
        <v>5</v>
      </c>
      <c r="O719" s="337" t="s">
        <v>5</v>
      </c>
      <c r="P719" s="337" t="s">
        <v>5</v>
      </c>
      <c r="Q719" s="337" t="s">
        <v>5</v>
      </c>
      <c r="R719" s="337" t="s">
        <v>434</v>
      </c>
      <c r="S719" s="337" t="s">
        <v>435</v>
      </c>
      <c r="T719" s="337" t="s">
        <v>5</v>
      </c>
      <c r="U719" s="337" t="s">
        <v>4</v>
      </c>
      <c r="V719" s="337">
        <v>30000</v>
      </c>
      <c r="W719" s="337">
        <v>5000</v>
      </c>
      <c r="X719" s="337" t="s">
        <v>6</v>
      </c>
      <c r="Y719" s="337"/>
      <c r="Z719" s="337"/>
      <c r="AA719" s="337">
        <v>110277.890625</v>
      </c>
      <c r="AB719" s="337">
        <v>29.163888931274411</v>
      </c>
      <c r="AC719" s="337">
        <v>110277.890625</v>
      </c>
      <c r="AD719" s="337">
        <v>344</v>
      </c>
      <c r="AE719" s="337">
        <v>341</v>
      </c>
      <c r="AF719" s="337">
        <v>206</v>
      </c>
      <c r="AG719" s="337">
        <v>737</v>
      </c>
      <c r="AH719" s="337">
        <v>593</v>
      </c>
      <c r="AI719" s="337">
        <v>737</v>
      </c>
      <c r="AJ719" s="337">
        <v>2</v>
      </c>
      <c r="AK719" s="337">
        <v>11</v>
      </c>
      <c r="AL719" s="337">
        <v>108</v>
      </c>
      <c r="AM719" s="337">
        <v>0</v>
      </c>
      <c r="AN719" s="337">
        <v>16713.84375</v>
      </c>
      <c r="AO719" s="337"/>
      <c r="AP719" s="337"/>
      <c r="AQ719" s="337"/>
      <c r="AR719" s="337">
        <v>86</v>
      </c>
      <c r="AS719" s="337">
        <v>86</v>
      </c>
      <c r="AT719" s="337">
        <v>85</v>
      </c>
      <c r="AU719" s="337">
        <v>51</v>
      </c>
      <c r="AV719" s="337">
        <v>237</v>
      </c>
      <c r="AW719" s="337">
        <v>0</v>
      </c>
      <c r="AX719" s="337">
        <v>2</v>
      </c>
      <c r="AY719" s="337">
        <v>27</v>
      </c>
      <c r="AZ719" s="337">
        <v>0</v>
      </c>
      <c r="BA719" s="337">
        <v>4178.4609375</v>
      </c>
      <c r="BB719" s="337"/>
      <c r="BC719" s="337"/>
      <c r="BD719" s="337"/>
      <c r="BE719" s="337">
        <v>25000</v>
      </c>
      <c r="BF719" s="337" t="s">
        <v>425</v>
      </c>
      <c r="BG719" s="337" t="s">
        <v>5</v>
      </c>
      <c r="BH719" s="337" t="s">
        <v>1020</v>
      </c>
      <c r="BI719" s="337"/>
      <c r="BJ719" s="337" t="s">
        <v>5</v>
      </c>
      <c r="BK719" s="337"/>
      <c r="BL719" s="337">
        <v>0</v>
      </c>
      <c r="BM719" s="337"/>
      <c r="BN719" s="337" t="s">
        <v>5</v>
      </c>
      <c r="BO719" s="337"/>
      <c r="BP719" s="337"/>
      <c r="BQ719" s="337"/>
      <c r="BR719" s="337"/>
      <c r="BS719" s="337" t="s">
        <v>5</v>
      </c>
      <c r="BT719" s="337"/>
      <c r="BU719" s="337"/>
      <c r="BV719" s="337"/>
      <c r="BW719" s="337"/>
      <c r="BX719" s="337" t="s">
        <v>6</v>
      </c>
      <c r="BY719" s="337" t="s">
        <v>426</v>
      </c>
      <c r="BZ719" s="337"/>
      <c r="CB719" s="337" t="s">
        <v>5</v>
      </c>
      <c r="CC719" s="337">
        <v>194652.4710345497</v>
      </c>
      <c r="CD719" s="337">
        <v>2365299061.4584789</v>
      </c>
      <c r="CE719" s="313" t="s">
        <v>11891</v>
      </c>
    </row>
    <row r="720" spans="1:83" ht="15" x14ac:dyDescent="0.25">
      <c r="A720" s="337" t="s">
        <v>449</v>
      </c>
      <c r="B720" s="337" t="s">
        <v>450</v>
      </c>
      <c r="C720" s="337" t="s">
        <v>451</v>
      </c>
      <c r="D720" s="337">
        <v>9</v>
      </c>
      <c r="E720" s="337" t="s">
        <v>416</v>
      </c>
      <c r="F720" s="337" t="s">
        <v>417</v>
      </c>
      <c r="G720" s="337" t="s">
        <v>431</v>
      </c>
      <c r="H720" s="337" t="s">
        <v>432</v>
      </c>
      <c r="I720" s="337" t="s">
        <v>432</v>
      </c>
      <c r="J720" s="337" t="s">
        <v>433</v>
      </c>
      <c r="K720" s="337" t="s">
        <v>452</v>
      </c>
      <c r="L720" s="337">
        <v>913.2470703125</v>
      </c>
      <c r="M720" s="337" t="s">
        <v>5</v>
      </c>
      <c r="N720" s="337" t="s">
        <v>5</v>
      </c>
      <c r="O720" s="337" t="s">
        <v>5</v>
      </c>
      <c r="P720" s="337" t="s">
        <v>5</v>
      </c>
      <c r="Q720" s="337" t="s">
        <v>5</v>
      </c>
      <c r="R720" s="337" t="s">
        <v>434</v>
      </c>
      <c r="S720" s="337" t="s">
        <v>435</v>
      </c>
      <c r="T720" s="337" t="s">
        <v>5</v>
      </c>
      <c r="U720" s="337" t="s">
        <v>4</v>
      </c>
      <c r="V720" s="337">
        <v>30000</v>
      </c>
      <c r="W720" s="337">
        <v>5000</v>
      </c>
      <c r="X720" s="337" t="s">
        <v>6</v>
      </c>
      <c r="Y720" s="337"/>
      <c r="Z720" s="337"/>
      <c r="AA720" s="337">
        <v>110277.890625</v>
      </c>
      <c r="AB720" s="337">
        <v>29.163888931274411</v>
      </c>
      <c r="AC720" s="337">
        <v>110277.890625</v>
      </c>
      <c r="AD720" s="337">
        <v>344</v>
      </c>
      <c r="AE720" s="337">
        <v>341</v>
      </c>
      <c r="AF720" s="337">
        <v>206</v>
      </c>
      <c r="AG720" s="337">
        <v>737</v>
      </c>
      <c r="AH720" s="337">
        <v>593</v>
      </c>
      <c r="AI720" s="337">
        <v>737</v>
      </c>
      <c r="AJ720" s="337">
        <v>2</v>
      </c>
      <c r="AK720" s="337">
        <v>11</v>
      </c>
      <c r="AL720" s="337">
        <v>108</v>
      </c>
      <c r="AM720" s="337">
        <v>0</v>
      </c>
      <c r="AN720" s="337">
        <v>16713.84375</v>
      </c>
      <c r="AO720" s="337"/>
      <c r="AP720" s="337"/>
      <c r="AQ720" s="337"/>
      <c r="AR720" s="337">
        <v>86</v>
      </c>
      <c r="AS720" s="337">
        <v>86</v>
      </c>
      <c r="AT720" s="337">
        <v>85</v>
      </c>
      <c r="AU720" s="337">
        <v>51</v>
      </c>
      <c r="AV720" s="337">
        <v>237</v>
      </c>
      <c r="AW720" s="337">
        <v>0</v>
      </c>
      <c r="AX720" s="337">
        <v>2</v>
      </c>
      <c r="AY720" s="337">
        <v>27</v>
      </c>
      <c r="AZ720" s="337">
        <v>0</v>
      </c>
      <c r="BA720" s="337">
        <v>4178.4609375</v>
      </c>
      <c r="BB720" s="337"/>
      <c r="BC720" s="337"/>
      <c r="BD720" s="337"/>
      <c r="BE720" s="337">
        <v>25000</v>
      </c>
      <c r="BF720" s="337" t="s">
        <v>425</v>
      </c>
      <c r="BG720" s="337" t="s">
        <v>5</v>
      </c>
      <c r="BH720" s="337" t="s">
        <v>1020</v>
      </c>
      <c r="BI720" s="337"/>
      <c r="BJ720" s="337" t="s">
        <v>5</v>
      </c>
      <c r="BK720" s="337"/>
      <c r="BL720" s="337">
        <v>0</v>
      </c>
      <c r="BM720" s="337"/>
      <c r="BN720" s="337" t="s">
        <v>5</v>
      </c>
      <c r="BO720" s="337"/>
      <c r="BP720" s="337"/>
      <c r="BQ720" s="337"/>
      <c r="BR720" s="337"/>
      <c r="BS720" s="337" t="s">
        <v>5</v>
      </c>
      <c r="BT720" s="337"/>
      <c r="BU720" s="337"/>
      <c r="BV720" s="337"/>
      <c r="BW720" s="337"/>
      <c r="BX720" s="337" t="s">
        <v>6</v>
      </c>
      <c r="BY720" s="337" t="s">
        <v>426</v>
      </c>
      <c r="BZ720" s="337"/>
      <c r="CB720" s="337" t="s">
        <v>5</v>
      </c>
      <c r="CC720" s="337">
        <v>194652.4710345497</v>
      </c>
      <c r="CD720" s="337">
        <v>2365299061.4584789</v>
      </c>
      <c r="CE720" s="313" t="s">
        <v>11891</v>
      </c>
    </row>
    <row r="721" spans="1:83" ht="15" x14ac:dyDescent="0.25">
      <c r="A721" s="337" t="s">
        <v>453</v>
      </c>
      <c r="B721" s="337" t="s">
        <v>454</v>
      </c>
      <c r="C721" s="337" t="s">
        <v>455</v>
      </c>
      <c r="D721" s="337">
        <v>9</v>
      </c>
      <c r="E721" s="337" t="s">
        <v>416</v>
      </c>
      <c r="F721" s="337" t="s">
        <v>439</v>
      </c>
      <c r="G721" s="337" t="s">
        <v>440</v>
      </c>
      <c r="H721" s="337" t="s">
        <v>441</v>
      </c>
      <c r="I721" s="337" t="s">
        <v>442</v>
      </c>
      <c r="J721" s="337" t="s">
        <v>443</v>
      </c>
      <c r="K721" s="337" t="s">
        <v>444</v>
      </c>
      <c r="L721" s="337">
        <v>906.4515380859375</v>
      </c>
      <c r="M721" s="337" t="s">
        <v>5</v>
      </c>
      <c r="N721" s="337" t="s">
        <v>5</v>
      </c>
      <c r="O721" s="337" t="s">
        <v>5</v>
      </c>
      <c r="P721" s="337" t="s">
        <v>5</v>
      </c>
      <c r="Q721" s="337" t="s">
        <v>5</v>
      </c>
      <c r="R721" s="337" t="s">
        <v>434</v>
      </c>
      <c r="S721" s="337" t="s">
        <v>445</v>
      </c>
      <c r="T721" s="337" t="s">
        <v>5</v>
      </c>
      <c r="U721" s="337" t="s">
        <v>4</v>
      </c>
      <c r="V721" s="337">
        <v>30000</v>
      </c>
      <c r="W721" s="337">
        <v>5000</v>
      </c>
      <c r="X721" s="337" t="s">
        <v>6</v>
      </c>
      <c r="Y721" s="337"/>
      <c r="Z721" s="337"/>
      <c r="AA721" s="337">
        <v>54305.18359375</v>
      </c>
      <c r="AB721" s="337">
        <v>14.111472129821779</v>
      </c>
      <c r="AC721" s="337">
        <v>54305.18359375</v>
      </c>
      <c r="AD721" s="337">
        <v>606</v>
      </c>
      <c r="AE721" s="337">
        <v>122</v>
      </c>
      <c r="AF721" s="337">
        <v>324</v>
      </c>
      <c r="AG721" s="337">
        <v>1754</v>
      </c>
      <c r="AH721" s="337">
        <v>647</v>
      </c>
      <c r="AI721" s="337">
        <v>1754</v>
      </c>
      <c r="AJ721" s="337">
        <v>1</v>
      </c>
      <c r="AK721" s="337">
        <v>10</v>
      </c>
      <c r="AL721" s="337">
        <v>76</v>
      </c>
      <c r="AM721" s="337">
        <v>0</v>
      </c>
      <c r="AN721" s="337">
        <v>11692.568359375</v>
      </c>
      <c r="AO721" s="337"/>
      <c r="AP721" s="337"/>
      <c r="AQ721" s="337"/>
      <c r="AR721" s="337">
        <v>152</v>
      </c>
      <c r="AS721" s="337">
        <v>152</v>
      </c>
      <c r="AT721" s="337">
        <v>30</v>
      </c>
      <c r="AU721" s="337">
        <v>81</v>
      </c>
      <c r="AV721" s="337">
        <v>537</v>
      </c>
      <c r="AW721" s="337">
        <v>0</v>
      </c>
      <c r="AX721" s="337">
        <v>2</v>
      </c>
      <c r="AY721" s="337">
        <v>19</v>
      </c>
      <c r="AZ721" s="337">
        <v>0</v>
      </c>
      <c r="BA721" s="337">
        <v>2923.14208984375</v>
      </c>
      <c r="BB721" s="337"/>
      <c r="BC721" s="337"/>
      <c r="BD721" s="337"/>
      <c r="BE721" s="337">
        <v>25000</v>
      </c>
      <c r="BF721" s="337" t="s">
        <v>425</v>
      </c>
      <c r="BG721" s="337" t="s">
        <v>5</v>
      </c>
      <c r="BH721" s="337" t="s">
        <v>1020</v>
      </c>
      <c r="BI721" s="337"/>
      <c r="BJ721" s="337" t="s">
        <v>5</v>
      </c>
      <c r="BK721" s="337"/>
      <c r="BL721" s="337">
        <v>25</v>
      </c>
      <c r="BM721" s="337"/>
      <c r="BN721" s="337" t="s">
        <v>5</v>
      </c>
      <c r="BO721" s="337"/>
      <c r="BP721" s="337"/>
      <c r="BQ721" s="337"/>
      <c r="BR721" s="337"/>
      <c r="BS721" s="337" t="s">
        <v>5</v>
      </c>
      <c r="BT721" s="337"/>
      <c r="BU721" s="337"/>
      <c r="BV721" s="337"/>
      <c r="BW721" s="337"/>
      <c r="BX721" s="337" t="s">
        <v>6</v>
      </c>
      <c r="BY721" s="337" t="s">
        <v>426</v>
      </c>
      <c r="BZ721" s="337"/>
      <c r="CB721" s="337" t="s">
        <v>6</v>
      </c>
      <c r="CC721" s="337">
        <v>193254.4153697287</v>
      </c>
      <c r="CD721" s="337">
        <v>2347698680.5215421</v>
      </c>
      <c r="CE721" s="313" t="s">
        <v>11891</v>
      </c>
    </row>
    <row r="722" spans="1:83" ht="15" x14ac:dyDescent="0.25">
      <c r="A722" s="337" t="s">
        <v>456</v>
      </c>
      <c r="B722" s="337" t="s">
        <v>457</v>
      </c>
      <c r="C722" s="337" t="s">
        <v>458</v>
      </c>
      <c r="D722" s="337">
        <v>9</v>
      </c>
      <c r="E722" s="337" t="s">
        <v>416</v>
      </c>
      <c r="F722" s="337" t="s">
        <v>417</v>
      </c>
      <c r="G722" s="337" t="s">
        <v>418</v>
      </c>
      <c r="H722" s="337" t="s">
        <v>459</v>
      </c>
      <c r="I722" s="337" t="s">
        <v>460</v>
      </c>
      <c r="J722" s="337" t="s">
        <v>461</v>
      </c>
      <c r="K722" s="337" t="s">
        <v>422</v>
      </c>
      <c r="L722" s="337">
        <v>1.035183191299438</v>
      </c>
      <c r="M722" s="337" t="s">
        <v>5</v>
      </c>
      <c r="N722" s="337" t="s">
        <v>5</v>
      </c>
      <c r="O722" s="337" t="s">
        <v>5</v>
      </c>
      <c r="P722" s="337" t="s">
        <v>5</v>
      </c>
      <c r="Q722" s="337" t="s">
        <v>5</v>
      </c>
      <c r="R722" s="337" t="s">
        <v>423</v>
      </c>
      <c r="S722" s="337" t="s">
        <v>462</v>
      </c>
      <c r="T722" s="337" t="s">
        <v>5</v>
      </c>
      <c r="U722" s="337" t="s">
        <v>4</v>
      </c>
      <c r="V722" s="337">
        <v>30000</v>
      </c>
      <c r="W722" s="337">
        <v>5000</v>
      </c>
      <c r="X722" s="337" t="s">
        <v>6</v>
      </c>
      <c r="Y722" s="337"/>
      <c r="Z722" s="337"/>
      <c r="AA722" s="337">
        <v>105.86708831787109</v>
      </c>
      <c r="AB722" s="337">
        <v>5.2077416330575943E-2</v>
      </c>
      <c r="AC722" s="337">
        <v>105.86708831787109</v>
      </c>
      <c r="AD722" s="337">
        <v>9</v>
      </c>
      <c r="AE722" s="337">
        <v>12</v>
      </c>
      <c r="AF722" s="337">
        <v>7</v>
      </c>
      <c r="AG722" s="337">
        <v>2</v>
      </c>
      <c r="AH722" s="337">
        <v>6</v>
      </c>
      <c r="AI722" s="337">
        <v>6</v>
      </c>
      <c r="AJ722" s="337">
        <v>0</v>
      </c>
      <c r="AK722" s="337">
        <v>0</v>
      </c>
      <c r="AL722" s="337">
        <v>5</v>
      </c>
      <c r="AM722" s="337">
        <v>0</v>
      </c>
      <c r="AN722" s="337">
        <v>1.2150158882141111</v>
      </c>
      <c r="AO722" s="337"/>
      <c r="AP722" s="337"/>
      <c r="AQ722" s="337"/>
      <c r="AR722" s="337">
        <v>3</v>
      </c>
      <c r="AS722" s="337">
        <v>3</v>
      </c>
      <c r="AT722" s="337">
        <v>3</v>
      </c>
      <c r="AU722" s="337">
        <v>1</v>
      </c>
      <c r="AV722" s="337">
        <v>1</v>
      </c>
      <c r="AW722" s="337">
        <v>0</v>
      </c>
      <c r="AX722" s="337">
        <v>0</v>
      </c>
      <c r="AY722" s="337">
        <v>1</v>
      </c>
      <c r="AZ722" s="337">
        <v>0</v>
      </c>
      <c r="BA722" s="337">
        <v>0.30375397205352778</v>
      </c>
      <c r="BB722" s="337"/>
      <c r="BC722" s="337"/>
      <c r="BD722" s="337"/>
      <c r="BE722" s="337">
        <v>25000</v>
      </c>
      <c r="BF722" s="337" t="s">
        <v>425</v>
      </c>
      <c r="BG722" s="337" t="s">
        <v>5</v>
      </c>
      <c r="BH722" s="337" t="s">
        <v>1020</v>
      </c>
      <c r="BI722" s="337"/>
      <c r="BJ722" s="337" t="s">
        <v>5</v>
      </c>
      <c r="BK722" s="337"/>
      <c r="BL722" s="337">
        <v>0</v>
      </c>
      <c r="BM722" s="337"/>
      <c r="BN722" s="337" t="s">
        <v>5</v>
      </c>
      <c r="BO722" s="337"/>
      <c r="BP722" s="337"/>
      <c r="BQ722" s="337"/>
      <c r="BR722" s="337"/>
      <c r="BS722" s="337" t="s">
        <v>5</v>
      </c>
      <c r="BT722" s="337"/>
      <c r="BU722" s="337"/>
      <c r="BV722" s="337"/>
      <c r="BW722" s="337"/>
      <c r="BX722" s="337" t="s">
        <v>6</v>
      </c>
      <c r="BY722" s="337" t="s">
        <v>426</v>
      </c>
      <c r="BZ722" s="337"/>
      <c r="CB722" s="337" t="s">
        <v>5</v>
      </c>
      <c r="CC722" s="337">
        <v>6700.4671257927203</v>
      </c>
      <c r="CD722" s="337">
        <v>2681112.0224732342</v>
      </c>
      <c r="CE722" s="313" t="s">
        <v>11891</v>
      </c>
    </row>
    <row r="723" spans="1:83" ht="15" x14ac:dyDescent="0.25">
      <c r="A723" s="337" t="s">
        <v>463</v>
      </c>
      <c r="B723" s="337" t="s">
        <v>464</v>
      </c>
      <c r="C723" s="337" t="s">
        <v>458</v>
      </c>
      <c r="D723" s="337">
        <v>9</v>
      </c>
      <c r="E723" s="337" t="s">
        <v>416</v>
      </c>
      <c r="F723" s="337" t="s">
        <v>465</v>
      </c>
      <c r="G723" s="337" t="s">
        <v>466</v>
      </c>
      <c r="H723" s="337" t="s">
        <v>467</v>
      </c>
      <c r="I723" s="337" t="s">
        <v>468</v>
      </c>
      <c r="J723" s="337" t="s">
        <v>469</v>
      </c>
      <c r="K723" s="337" t="s">
        <v>422</v>
      </c>
      <c r="L723" s="337">
        <v>0.58877921104431152</v>
      </c>
      <c r="M723" s="337" t="s">
        <v>5</v>
      </c>
      <c r="N723" s="337" t="s">
        <v>5</v>
      </c>
      <c r="O723" s="337" t="s">
        <v>5</v>
      </c>
      <c r="P723" s="337" t="s">
        <v>5</v>
      </c>
      <c r="Q723" s="337" t="s">
        <v>5</v>
      </c>
      <c r="R723" s="337" t="s">
        <v>470</v>
      </c>
      <c r="S723" s="337" t="s">
        <v>471</v>
      </c>
      <c r="T723" s="337" t="s">
        <v>5</v>
      </c>
      <c r="U723" s="337" t="s">
        <v>4</v>
      </c>
      <c r="V723" s="337">
        <v>30000</v>
      </c>
      <c r="W723" s="337">
        <v>5000</v>
      </c>
      <c r="X723" s="337" t="s">
        <v>6</v>
      </c>
      <c r="Y723" s="337"/>
      <c r="Z723" s="337"/>
      <c r="AA723" s="337">
        <v>23.00979042053223</v>
      </c>
      <c r="AB723" s="337">
        <v>9.6232164651155472E-3</v>
      </c>
      <c r="AC723" s="337">
        <v>23.00979042053223</v>
      </c>
      <c r="AD723" s="337">
        <v>2</v>
      </c>
      <c r="AE723" s="337">
        <v>3</v>
      </c>
      <c r="AF723" s="337">
        <v>3</v>
      </c>
      <c r="AG723" s="337">
        <v>4</v>
      </c>
      <c r="AH723" s="337">
        <v>14</v>
      </c>
      <c r="AI723" s="337">
        <v>14</v>
      </c>
      <c r="AJ723" s="337">
        <v>0</v>
      </c>
      <c r="AK723" s="337">
        <v>0</v>
      </c>
      <c r="AL723" s="337">
        <v>0</v>
      </c>
      <c r="AM723" s="337">
        <v>0</v>
      </c>
      <c r="AN723" s="337">
        <v>5.9681897982954979E-4</v>
      </c>
      <c r="AO723" s="337"/>
      <c r="AP723" s="337"/>
      <c r="AQ723" s="337"/>
      <c r="AR723" s="337">
        <v>1</v>
      </c>
      <c r="AS723" s="337">
        <v>1</v>
      </c>
      <c r="AT723" s="337">
        <v>0</v>
      </c>
      <c r="AU723" s="337">
        <v>0</v>
      </c>
      <c r="AV723" s="337">
        <v>3</v>
      </c>
      <c r="AW723" s="337">
        <v>0</v>
      </c>
      <c r="AX723" s="337">
        <v>0</v>
      </c>
      <c r="AY723" s="337">
        <v>0</v>
      </c>
      <c r="AZ723" s="337">
        <v>0</v>
      </c>
      <c r="BA723" s="337">
        <v>1.4920500689186161E-4</v>
      </c>
      <c r="BB723" s="337"/>
      <c r="BC723" s="337"/>
      <c r="BD723" s="337"/>
      <c r="BE723" s="337">
        <v>25000</v>
      </c>
      <c r="BF723" s="337" t="s">
        <v>425</v>
      </c>
      <c r="BG723" s="337" t="s">
        <v>5</v>
      </c>
      <c r="BH723" s="337" t="s">
        <v>1020</v>
      </c>
      <c r="BI723" s="337"/>
      <c r="BJ723" s="337" t="s">
        <v>5</v>
      </c>
      <c r="BK723" s="337"/>
      <c r="BL723" s="337">
        <v>0</v>
      </c>
      <c r="BM723" s="337"/>
      <c r="BN723" s="337" t="s">
        <v>5</v>
      </c>
      <c r="BO723" s="337"/>
      <c r="BP723" s="337"/>
      <c r="BQ723" s="337"/>
      <c r="BR723" s="337"/>
      <c r="BS723" s="337" t="s">
        <v>5</v>
      </c>
      <c r="BT723" s="337"/>
      <c r="BU723" s="337"/>
      <c r="BV723" s="337"/>
      <c r="BW723" s="337"/>
      <c r="BX723" s="337" t="s">
        <v>6</v>
      </c>
      <c r="BY723" s="337" t="s">
        <v>426</v>
      </c>
      <c r="BZ723" s="337"/>
      <c r="CB723" s="337" t="s">
        <v>5</v>
      </c>
      <c r="CC723" s="337">
        <v>6085.9637908507366</v>
      </c>
      <c r="CD723" s="337">
        <v>1524931.1578664789</v>
      </c>
      <c r="CE723" s="313" t="s">
        <v>11891</v>
      </c>
    </row>
    <row r="724" spans="1:83" ht="15" x14ac:dyDescent="0.25">
      <c r="A724" s="337" t="s">
        <v>472</v>
      </c>
      <c r="B724" s="337" t="s">
        <v>473</v>
      </c>
      <c r="C724" s="337" t="s">
        <v>474</v>
      </c>
      <c r="D724" s="337">
        <v>9</v>
      </c>
      <c r="E724" s="337" t="s">
        <v>416</v>
      </c>
      <c r="F724" s="337" t="s">
        <v>417</v>
      </c>
      <c r="G724" s="337" t="s">
        <v>418</v>
      </c>
      <c r="H724" s="337" t="s">
        <v>475</v>
      </c>
      <c r="I724" s="337" t="s">
        <v>476</v>
      </c>
      <c r="J724" s="337" t="s">
        <v>477</v>
      </c>
      <c r="K724" s="337" t="s">
        <v>427</v>
      </c>
      <c r="L724" s="337">
        <v>0.42002519965171808</v>
      </c>
      <c r="M724" s="337" t="s">
        <v>5</v>
      </c>
      <c r="N724" s="337" t="s">
        <v>5</v>
      </c>
      <c r="O724" s="337" t="s">
        <v>5</v>
      </c>
      <c r="P724" s="337" t="s">
        <v>5</v>
      </c>
      <c r="Q724" s="337" t="s">
        <v>5</v>
      </c>
      <c r="R724" s="337" t="s">
        <v>423</v>
      </c>
      <c r="S724" s="337" t="s">
        <v>478</v>
      </c>
      <c r="T724" s="337" t="s">
        <v>5</v>
      </c>
      <c r="U724" s="337" t="s">
        <v>4</v>
      </c>
      <c r="V724" s="337">
        <v>30000</v>
      </c>
      <c r="W724" s="337">
        <v>5000</v>
      </c>
      <c r="X724" s="337" t="s">
        <v>6</v>
      </c>
      <c r="Y724" s="337"/>
      <c r="Z724" s="337"/>
      <c r="AA724" s="337">
        <v>8.0460147857666016</v>
      </c>
      <c r="AB724" s="337">
        <v>2.399480901658535E-3</v>
      </c>
      <c r="AC724" s="337">
        <v>8.0460147857666016</v>
      </c>
      <c r="AD724" s="337">
        <v>2</v>
      </c>
      <c r="AE724" s="337">
        <v>1</v>
      </c>
      <c r="AF724" s="337">
        <v>2</v>
      </c>
      <c r="AG724" s="337">
        <v>5</v>
      </c>
      <c r="AH724" s="337">
        <v>0</v>
      </c>
      <c r="AI724" s="337">
        <v>5</v>
      </c>
      <c r="AJ724" s="337">
        <v>0</v>
      </c>
      <c r="AK724" s="337">
        <v>0</v>
      </c>
      <c r="AL724" s="337">
        <v>1</v>
      </c>
      <c r="AM724" s="337">
        <v>0</v>
      </c>
      <c r="AN724" s="337">
        <v>0.50498467683792114</v>
      </c>
      <c r="AO724" s="337"/>
      <c r="AP724" s="337"/>
      <c r="AQ724" s="337"/>
      <c r="AR724" s="337">
        <v>1</v>
      </c>
      <c r="AS724" s="337">
        <v>1</v>
      </c>
      <c r="AT724" s="337">
        <v>0</v>
      </c>
      <c r="AU724" s="337">
        <v>0</v>
      </c>
      <c r="AV724" s="337">
        <v>1</v>
      </c>
      <c r="AW724" s="337">
        <v>0</v>
      </c>
      <c r="AX724" s="337">
        <v>0</v>
      </c>
      <c r="AY724" s="337">
        <v>0</v>
      </c>
      <c r="AZ724" s="337">
        <v>0</v>
      </c>
      <c r="BA724" s="337">
        <v>0.12624616920948031</v>
      </c>
      <c r="BB724" s="337"/>
      <c r="BC724" s="337"/>
      <c r="BD724" s="337"/>
      <c r="BE724" s="337">
        <v>25000</v>
      </c>
      <c r="BF724" s="337" t="s">
        <v>425</v>
      </c>
      <c r="BG724" s="337" t="s">
        <v>5</v>
      </c>
      <c r="BH724" s="337" t="s">
        <v>1020</v>
      </c>
      <c r="BI724" s="337"/>
      <c r="BJ724" s="337" t="s">
        <v>5</v>
      </c>
      <c r="BK724" s="337"/>
      <c r="BL724" s="337">
        <v>0</v>
      </c>
      <c r="BM724" s="337"/>
      <c r="BN724" s="337" t="s">
        <v>5</v>
      </c>
      <c r="BO724" s="337"/>
      <c r="BP724" s="337"/>
      <c r="BQ724" s="337"/>
      <c r="BR724" s="337"/>
      <c r="BS724" s="337" t="s">
        <v>5</v>
      </c>
      <c r="BT724" s="337"/>
      <c r="BU724" s="337"/>
      <c r="BV724" s="337"/>
      <c r="BW724" s="337"/>
      <c r="BX724" s="337" t="s">
        <v>6</v>
      </c>
      <c r="BY724" s="337" t="s">
        <v>426</v>
      </c>
      <c r="BZ724" s="337"/>
      <c r="CB724" s="337" t="s">
        <v>5</v>
      </c>
      <c r="CC724" s="337">
        <v>4230.2175256717837</v>
      </c>
      <c r="CD724" s="337">
        <v>1087860.2677180651</v>
      </c>
      <c r="CE724" s="313" t="s">
        <v>11891</v>
      </c>
    </row>
    <row r="725" spans="1:83" ht="15" x14ac:dyDescent="0.25">
      <c r="A725" s="337" t="s">
        <v>479</v>
      </c>
      <c r="B725" s="337" t="s">
        <v>480</v>
      </c>
      <c r="C725" s="337" t="s">
        <v>481</v>
      </c>
      <c r="D725" s="337">
        <v>9</v>
      </c>
      <c r="E725" s="337" t="s">
        <v>416</v>
      </c>
      <c r="F725" s="337" t="s">
        <v>482</v>
      </c>
      <c r="G725" s="337" t="s">
        <v>483</v>
      </c>
      <c r="H725" s="337" t="s">
        <v>484</v>
      </c>
      <c r="I725" s="337" t="s">
        <v>484</v>
      </c>
      <c r="J725" s="337" t="s">
        <v>485</v>
      </c>
      <c r="K725" s="337" t="s">
        <v>422</v>
      </c>
      <c r="L725" s="337">
        <v>902.9866943359375</v>
      </c>
      <c r="M725" s="337" t="s">
        <v>5</v>
      </c>
      <c r="N725" s="337" t="s">
        <v>5</v>
      </c>
      <c r="O725" s="337" t="s">
        <v>5</v>
      </c>
      <c r="P725" s="337" t="s">
        <v>5</v>
      </c>
      <c r="Q725" s="337" t="s">
        <v>5</v>
      </c>
      <c r="R725" s="337" t="s">
        <v>434</v>
      </c>
      <c r="S725" s="337" t="s">
        <v>486</v>
      </c>
      <c r="T725" s="337" t="s">
        <v>5</v>
      </c>
      <c r="U725" s="337" t="s">
        <v>4</v>
      </c>
      <c r="V725" s="337">
        <v>30000</v>
      </c>
      <c r="W725" s="337">
        <v>5000</v>
      </c>
      <c r="X725" s="337" t="s">
        <v>6</v>
      </c>
      <c r="Y725" s="337"/>
      <c r="Z725" s="337"/>
      <c r="AA725" s="337">
        <v>107896.96875</v>
      </c>
      <c r="AB725" s="337">
        <v>29.448320388793949</v>
      </c>
      <c r="AC725" s="337">
        <v>107896.96875</v>
      </c>
      <c r="AD725" s="337">
        <v>69</v>
      </c>
      <c r="AE725" s="337">
        <v>44</v>
      </c>
      <c r="AF725" s="337">
        <v>9</v>
      </c>
      <c r="AG725" s="337">
        <v>9</v>
      </c>
      <c r="AH725" s="337">
        <v>20</v>
      </c>
      <c r="AI725" s="337">
        <v>20</v>
      </c>
      <c r="AJ725" s="337">
        <v>0</v>
      </c>
      <c r="AK725" s="337">
        <v>2</v>
      </c>
      <c r="AL725" s="337">
        <v>26</v>
      </c>
      <c r="AM725" s="337">
        <v>0</v>
      </c>
      <c r="AN725" s="337">
        <v>10470.009765625</v>
      </c>
      <c r="AO725" s="337"/>
      <c r="AP725" s="337"/>
      <c r="AQ725" s="337"/>
      <c r="AR725" s="337">
        <v>17</v>
      </c>
      <c r="AS725" s="337">
        <v>17</v>
      </c>
      <c r="AT725" s="337">
        <v>11</v>
      </c>
      <c r="AU725" s="337">
        <v>2</v>
      </c>
      <c r="AV725" s="337">
        <v>5</v>
      </c>
      <c r="AW725" s="337">
        <v>0</v>
      </c>
      <c r="AX725" s="337">
        <v>0</v>
      </c>
      <c r="AY725" s="337">
        <v>6</v>
      </c>
      <c r="AZ725" s="337">
        <v>0</v>
      </c>
      <c r="BA725" s="337">
        <v>2617.50244140625</v>
      </c>
      <c r="BB725" s="337"/>
      <c r="BC725" s="337"/>
      <c r="BD725" s="337"/>
      <c r="BE725" s="337">
        <v>25000</v>
      </c>
      <c r="BF725" s="337" t="s">
        <v>425</v>
      </c>
      <c r="BG725" s="337" t="s">
        <v>5</v>
      </c>
      <c r="BH725" s="337" t="s">
        <v>1020</v>
      </c>
      <c r="BI725" s="337"/>
      <c r="BJ725" s="337" t="s">
        <v>5</v>
      </c>
      <c r="BK725" s="337"/>
      <c r="BL725" s="337">
        <v>0</v>
      </c>
      <c r="BM725" s="337"/>
      <c r="BN725" s="337" t="s">
        <v>5</v>
      </c>
      <c r="BO725" s="337"/>
      <c r="BP725" s="337"/>
      <c r="BQ725" s="337"/>
      <c r="BR725" s="337"/>
      <c r="BS725" s="337" t="s">
        <v>5</v>
      </c>
      <c r="BT725" s="337"/>
      <c r="BU725" s="337"/>
      <c r="BV725" s="337"/>
      <c r="BW725" s="337"/>
      <c r="BX725" s="337" t="s">
        <v>6</v>
      </c>
      <c r="BY725" s="337" t="s">
        <v>426</v>
      </c>
      <c r="BZ725" s="337"/>
      <c r="CB725" s="337" t="s">
        <v>5</v>
      </c>
      <c r="CC725" s="337">
        <v>193594.49381310851</v>
      </c>
      <c r="CD725" s="337">
        <v>2338724725.8200951</v>
      </c>
      <c r="CE725" s="313" t="s">
        <v>11891</v>
      </c>
    </row>
    <row r="726" spans="1:83" ht="15" x14ac:dyDescent="0.25">
      <c r="A726" s="337" t="s">
        <v>487</v>
      </c>
      <c r="B726" s="337" t="s">
        <v>488</v>
      </c>
      <c r="C726" s="337" t="s">
        <v>489</v>
      </c>
      <c r="D726" s="337">
        <v>9</v>
      </c>
      <c r="E726" s="337" t="s">
        <v>416</v>
      </c>
      <c r="F726" s="337" t="s">
        <v>490</v>
      </c>
      <c r="G726" s="337" t="s">
        <v>491</v>
      </c>
      <c r="H726" s="337" t="s">
        <v>492</v>
      </c>
      <c r="I726" s="337" t="s">
        <v>492</v>
      </c>
      <c r="J726" s="337" t="s">
        <v>493</v>
      </c>
      <c r="K726" s="337" t="s">
        <v>422</v>
      </c>
      <c r="L726" s="337">
        <v>898.81060791015625</v>
      </c>
      <c r="M726" s="337" t="s">
        <v>5</v>
      </c>
      <c r="N726" s="337" t="s">
        <v>5</v>
      </c>
      <c r="O726" s="337" t="s">
        <v>5</v>
      </c>
      <c r="P726" s="337" t="s">
        <v>5</v>
      </c>
      <c r="Q726" s="337" t="s">
        <v>5</v>
      </c>
      <c r="R726" s="337" t="s">
        <v>434</v>
      </c>
      <c r="S726" s="337" t="s">
        <v>494</v>
      </c>
      <c r="T726" s="337" t="s">
        <v>5</v>
      </c>
      <c r="U726" s="337" t="s">
        <v>4</v>
      </c>
      <c r="V726" s="337">
        <v>30000</v>
      </c>
      <c r="W726" s="337">
        <v>5000</v>
      </c>
      <c r="X726" s="337" t="s">
        <v>6</v>
      </c>
      <c r="Y726" s="337"/>
      <c r="Z726" s="337"/>
      <c r="AA726" s="337">
        <v>119189.125</v>
      </c>
      <c r="AB726" s="337">
        <v>57.0989990234375</v>
      </c>
      <c r="AC726" s="337">
        <v>119189.125</v>
      </c>
      <c r="AD726" s="337">
        <v>474</v>
      </c>
      <c r="AE726" s="337">
        <v>339</v>
      </c>
      <c r="AF726" s="337">
        <v>9</v>
      </c>
      <c r="AG726" s="337">
        <v>484</v>
      </c>
      <c r="AH726" s="337">
        <v>710</v>
      </c>
      <c r="AI726" s="337">
        <v>710</v>
      </c>
      <c r="AJ726" s="337">
        <v>0</v>
      </c>
      <c r="AK726" s="337">
        <v>9</v>
      </c>
      <c r="AL726" s="337">
        <v>538</v>
      </c>
      <c r="AM726" s="337">
        <v>0</v>
      </c>
      <c r="AN726" s="337">
        <v>76212.7265625</v>
      </c>
      <c r="AO726" s="337"/>
      <c r="AP726" s="337"/>
      <c r="AQ726" s="337"/>
      <c r="AR726" s="337">
        <v>119</v>
      </c>
      <c r="AS726" s="337">
        <v>119</v>
      </c>
      <c r="AT726" s="337">
        <v>84</v>
      </c>
      <c r="AU726" s="337">
        <v>2</v>
      </c>
      <c r="AV726" s="337">
        <v>205</v>
      </c>
      <c r="AW726" s="337">
        <v>0</v>
      </c>
      <c r="AX726" s="337">
        <v>2</v>
      </c>
      <c r="AY726" s="337">
        <v>134</v>
      </c>
      <c r="AZ726" s="337">
        <v>0</v>
      </c>
      <c r="BA726" s="337">
        <v>19053.181640625</v>
      </c>
      <c r="BB726" s="337"/>
      <c r="BC726" s="337"/>
      <c r="BD726" s="337"/>
      <c r="BE726" s="337">
        <v>25000</v>
      </c>
      <c r="BF726" s="337" t="s">
        <v>425</v>
      </c>
      <c r="BG726" s="337" t="s">
        <v>5</v>
      </c>
      <c r="BH726" s="337" t="s">
        <v>1020</v>
      </c>
      <c r="BI726" s="337"/>
      <c r="BJ726" s="337" t="s">
        <v>5</v>
      </c>
      <c r="BK726" s="337"/>
      <c r="BL726" s="337">
        <v>0</v>
      </c>
      <c r="BM726" s="337"/>
      <c r="BN726" s="337" t="s">
        <v>5</v>
      </c>
      <c r="BO726" s="337"/>
      <c r="BP726" s="337"/>
      <c r="BQ726" s="337"/>
      <c r="BR726" s="337"/>
      <c r="BS726" s="337" t="s">
        <v>5</v>
      </c>
      <c r="BT726" s="337"/>
      <c r="BU726" s="337"/>
      <c r="BV726" s="337"/>
      <c r="BW726" s="337"/>
      <c r="BX726" s="337" t="s">
        <v>6</v>
      </c>
      <c r="BY726" s="337" t="s">
        <v>426</v>
      </c>
      <c r="BZ726" s="337"/>
      <c r="CB726" s="337" t="s">
        <v>5</v>
      </c>
      <c r="CC726" s="337">
        <v>193059.46221373149</v>
      </c>
      <c r="CD726" s="337">
        <v>2327908812.9894738</v>
      </c>
      <c r="CE726" s="313" t="s">
        <v>11891</v>
      </c>
    </row>
    <row r="727" spans="1:83" ht="15" x14ac:dyDescent="0.25">
      <c r="A727" s="337" t="s">
        <v>495</v>
      </c>
      <c r="B727" s="337" t="s">
        <v>496</v>
      </c>
      <c r="C727" s="337" t="s">
        <v>489</v>
      </c>
      <c r="D727" s="337">
        <v>9</v>
      </c>
      <c r="E727" s="337" t="s">
        <v>416</v>
      </c>
      <c r="F727" s="337" t="s">
        <v>439</v>
      </c>
      <c r="G727" s="337" t="s">
        <v>440</v>
      </c>
      <c r="H727" s="337" t="s">
        <v>441</v>
      </c>
      <c r="I727" s="337" t="s">
        <v>441</v>
      </c>
      <c r="J727" s="337" t="s">
        <v>443</v>
      </c>
      <c r="K727" s="337" t="s">
        <v>422</v>
      </c>
      <c r="L727" s="337">
        <v>906.53961181640625</v>
      </c>
      <c r="M727" s="337" t="s">
        <v>5</v>
      </c>
      <c r="N727" s="337" t="s">
        <v>5</v>
      </c>
      <c r="O727" s="337" t="s">
        <v>5</v>
      </c>
      <c r="P727" s="337" t="s">
        <v>5</v>
      </c>
      <c r="Q727" s="337" t="s">
        <v>5</v>
      </c>
      <c r="R727" s="337" t="s">
        <v>434</v>
      </c>
      <c r="S727" s="337" t="s">
        <v>445</v>
      </c>
      <c r="T727" s="337" t="s">
        <v>5</v>
      </c>
      <c r="U727" s="337" t="s">
        <v>4</v>
      </c>
      <c r="V727" s="337">
        <v>30000</v>
      </c>
      <c r="W727" s="337">
        <v>5000</v>
      </c>
      <c r="X727" s="337" t="s">
        <v>6</v>
      </c>
      <c r="Y727" s="337"/>
      <c r="Z727" s="337"/>
      <c r="AA727" s="337">
        <v>54305.18359375</v>
      </c>
      <c r="AB727" s="337">
        <v>14.111472129821779</v>
      </c>
      <c r="AC727" s="337">
        <v>54305.18359375</v>
      </c>
      <c r="AD727" s="337">
        <v>606</v>
      </c>
      <c r="AE727" s="337">
        <v>122</v>
      </c>
      <c r="AF727" s="337">
        <v>324</v>
      </c>
      <c r="AG727" s="337">
        <v>1754</v>
      </c>
      <c r="AH727" s="337">
        <v>647</v>
      </c>
      <c r="AI727" s="337">
        <v>1754</v>
      </c>
      <c r="AJ727" s="337">
        <v>1</v>
      </c>
      <c r="AK727" s="337">
        <v>10</v>
      </c>
      <c r="AL727" s="337">
        <v>76</v>
      </c>
      <c r="AM727" s="337">
        <v>0</v>
      </c>
      <c r="AN727" s="337">
        <v>11692.568359375</v>
      </c>
      <c r="AO727" s="337"/>
      <c r="AP727" s="337"/>
      <c r="AQ727" s="337"/>
      <c r="AR727" s="337">
        <v>152</v>
      </c>
      <c r="AS727" s="337">
        <v>152</v>
      </c>
      <c r="AT727" s="337">
        <v>30</v>
      </c>
      <c r="AU727" s="337">
        <v>81</v>
      </c>
      <c r="AV727" s="337">
        <v>537</v>
      </c>
      <c r="AW727" s="337">
        <v>0</v>
      </c>
      <c r="AX727" s="337">
        <v>2</v>
      </c>
      <c r="AY727" s="337">
        <v>19</v>
      </c>
      <c r="AZ727" s="337">
        <v>0</v>
      </c>
      <c r="BA727" s="337">
        <v>2923.14208984375</v>
      </c>
      <c r="BB727" s="337"/>
      <c r="BC727" s="337"/>
      <c r="BD727" s="337"/>
      <c r="BE727" s="337">
        <v>25000</v>
      </c>
      <c r="BF727" s="337" t="s">
        <v>425</v>
      </c>
      <c r="BG727" s="337" t="s">
        <v>5</v>
      </c>
      <c r="BH727" s="337" t="s">
        <v>1020</v>
      </c>
      <c r="BI727" s="337"/>
      <c r="BJ727" s="337" t="s">
        <v>5</v>
      </c>
      <c r="BK727" s="337"/>
      <c r="BL727" s="337">
        <v>0</v>
      </c>
      <c r="BM727" s="337"/>
      <c r="BN727" s="337" t="s">
        <v>5</v>
      </c>
      <c r="BO727" s="337"/>
      <c r="BP727" s="337"/>
      <c r="BQ727" s="337"/>
      <c r="BR727" s="337"/>
      <c r="BS727" s="337" t="s">
        <v>5</v>
      </c>
      <c r="BT727" s="337"/>
      <c r="BU727" s="337"/>
      <c r="BV727" s="337"/>
      <c r="BW727" s="337"/>
      <c r="BX727" s="337" t="s">
        <v>6</v>
      </c>
      <c r="BY727" s="337" t="s">
        <v>426</v>
      </c>
      <c r="BZ727" s="337"/>
      <c r="CB727" s="337" t="s">
        <v>5</v>
      </c>
      <c r="CC727" s="337">
        <v>193333.70386776599</v>
      </c>
      <c r="CD727" s="337">
        <v>2347926867.3607831</v>
      </c>
      <c r="CE727" s="313" t="s">
        <v>11891</v>
      </c>
    </row>
    <row r="728" spans="1:83" ht="15" x14ac:dyDescent="0.25">
      <c r="A728" s="337" t="s">
        <v>501</v>
      </c>
      <c r="B728" s="337" t="s">
        <v>502</v>
      </c>
      <c r="C728" s="337" t="s">
        <v>503</v>
      </c>
      <c r="D728" s="337">
        <v>9</v>
      </c>
      <c r="E728" s="337" t="s">
        <v>416</v>
      </c>
      <c r="F728" s="337" t="s">
        <v>504</v>
      </c>
      <c r="G728" s="337" t="s">
        <v>505</v>
      </c>
      <c r="H728" s="337" t="s">
        <v>506</v>
      </c>
      <c r="I728" s="337" t="s">
        <v>506</v>
      </c>
      <c r="J728" s="337" t="s">
        <v>507</v>
      </c>
      <c r="K728" s="337" t="s">
        <v>422</v>
      </c>
      <c r="L728" s="337">
        <v>1495.205688476562</v>
      </c>
      <c r="M728" s="337" t="s">
        <v>5</v>
      </c>
      <c r="N728" s="337" t="s">
        <v>5</v>
      </c>
      <c r="O728" s="337" t="s">
        <v>5</v>
      </c>
      <c r="P728" s="337" t="s">
        <v>5</v>
      </c>
      <c r="Q728" s="337" t="s">
        <v>5</v>
      </c>
      <c r="R728" s="337" t="s">
        <v>508</v>
      </c>
      <c r="S728" s="337" t="s">
        <v>509</v>
      </c>
      <c r="T728" s="337" t="s">
        <v>5</v>
      </c>
      <c r="U728" s="337" t="s">
        <v>4</v>
      </c>
      <c r="V728" s="337">
        <v>30000</v>
      </c>
      <c r="W728" s="337">
        <v>5000</v>
      </c>
      <c r="X728" s="337" t="s">
        <v>6</v>
      </c>
      <c r="Y728" s="337"/>
      <c r="Z728" s="337"/>
      <c r="AA728" s="337">
        <v>210177.90625</v>
      </c>
      <c r="AB728" s="337">
        <v>109.97397613525391</v>
      </c>
      <c r="AC728" s="337">
        <v>210177.90625</v>
      </c>
      <c r="AD728" s="337">
        <v>959</v>
      </c>
      <c r="AE728" s="337">
        <v>704</v>
      </c>
      <c r="AF728" s="337">
        <v>763</v>
      </c>
      <c r="AG728" s="337">
        <v>1154</v>
      </c>
      <c r="AH728" s="337">
        <v>1463</v>
      </c>
      <c r="AI728" s="337">
        <v>1463</v>
      </c>
      <c r="AJ728" s="337">
        <v>0</v>
      </c>
      <c r="AK728" s="337">
        <v>3</v>
      </c>
      <c r="AL728" s="337">
        <v>173</v>
      </c>
      <c r="AM728" s="337">
        <v>0</v>
      </c>
      <c r="AN728" s="337">
        <v>7785.767578125</v>
      </c>
      <c r="AO728" s="337"/>
      <c r="AP728" s="337"/>
      <c r="AQ728" s="337"/>
      <c r="AR728" s="337">
        <v>240</v>
      </c>
      <c r="AS728" s="337">
        <v>240</v>
      </c>
      <c r="AT728" s="337">
        <v>176</v>
      </c>
      <c r="AU728" s="337">
        <v>190</v>
      </c>
      <c r="AV728" s="337">
        <v>558</v>
      </c>
      <c r="AW728" s="337">
        <v>0</v>
      </c>
      <c r="AX728" s="337">
        <v>0</v>
      </c>
      <c r="AY728" s="337">
        <v>43</v>
      </c>
      <c r="AZ728" s="337">
        <v>0</v>
      </c>
      <c r="BA728" s="337">
        <v>1946.44189453125</v>
      </c>
      <c r="BB728" s="337"/>
      <c r="BC728" s="337"/>
      <c r="BD728" s="337"/>
      <c r="BE728" s="337">
        <v>25000</v>
      </c>
      <c r="BF728" s="337" t="s">
        <v>425</v>
      </c>
      <c r="BG728" s="337" t="s">
        <v>5</v>
      </c>
      <c r="BH728" s="337" t="s">
        <v>1020</v>
      </c>
      <c r="BI728" s="337"/>
      <c r="BJ728" s="337" t="s">
        <v>5</v>
      </c>
      <c r="BK728" s="337"/>
      <c r="BL728" s="337">
        <v>0</v>
      </c>
      <c r="BM728" s="337"/>
      <c r="BN728" s="337" t="s">
        <v>5</v>
      </c>
      <c r="BO728" s="337"/>
      <c r="BP728" s="337"/>
      <c r="BQ728" s="337"/>
      <c r="BR728" s="337"/>
      <c r="BS728" s="337" t="s">
        <v>5</v>
      </c>
      <c r="BT728" s="337"/>
      <c r="BU728" s="337"/>
      <c r="BV728" s="337"/>
      <c r="BW728" s="337"/>
      <c r="BX728" s="337" t="s">
        <v>6</v>
      </c>
      <c r="BY728" s="337" t="s">
        <v>426</v>
      </c>
      <c r="BZ728" s="337"/>
      <c r="CB728" s="337" t="s">
        <v>5</v>
      </c>
      <c r="CC728" s="337">
        <v>257018.19963291299</v>
      </c>
      <c r="CD728" s="337">
        <v>3872565011.1597972</v>
      </c>
      <c r="CE728" s="313" t="s">
        <v>11891</v>
      </c>
    </row>
    <row r="729" spans="1:83" ht="15" x14ac:dyDescent="0.25">
      <c r="A729" s="337" t="s">
        <v>510</v>
      </c>
      <c r="B729" s="337" t="s">
        <v>511</v>
      </c>
      <c r="C729" s="337" t="s">
        <v>503</v>
      </c>
      <c r="D729" s="337">
        <v>9</v>
      </c>
      <c r="E729" s="337" t="s">
        <v>416</v>
      </c>
      <c r="F729" s="337" t="s">
        <v>512</v>
      </c>
      <c r="G729" s="337" t="s">
        <v>513</v>
      </c>
      <c r="H729" s="337" t="s">
        <v>514</v>
      </c>
      <c r="I729" s="337" t="s">
        <v>515</v>
      </c>
      <c r="J729" s="337" t="s">
        <v>516</v>
      </c>
      <c r="K729" s="337" t="s">
        <v>422</v>
      </c>
      <c r="L729" s="337">
        <v>0.30970776081085211</v>
      </c>
      <c r="M729" s="337" t="s">
        <v>5</v>
      </c>
      <c r="N729" s="337" t="s">
        <v>5</v>
      </c>
      <c r="O729" s="337" t="s">
        <v>5</v>
      </c>
      <c r="P729" s="337" t="s">
        <v>5</v>
      </c>
      <c r="Q729" s="337" t="s">
        <v>5</v>
      </c>
      <c r="R729" s="337" t="s">
        <v>517</v>
      </c>
      <c r="S729" s="337" t="s">
        <v>518</v>
      </c>
      <c r="T729" s="337" t="s">
        <v>5</v>
      </c>
      <c r="U729" s="337" t="s">
        <v>4</v>
      </c>
      <c r="V729" s="337">
        <v>30000</v>
      </c>
      <c r="W729" s="337">
        <v>5000</v>
      </c>
      <c r="X729" s="337" t="s">
        <v>6</v>
      </c>
      <c r="Y729" s="337"/>
      <c r="Z729" s="337"/>
      <c r="AA729" s="337">
        <v>12.67192459106445</v>
      </c>
      <c r="AB729" s="337">
        <v>2.8986269608139988E-2</v>
      </c>
      <c r="AC729" s="337">
        <v>12.67192459106445</v>
      </c>
      <c r="AD729" s="337">
        <v>2</v>
      </c>
      <c r="AE729" s="337">
        <v>4</v>
      </c>
      <c r="AF729" s="337">
        <v>2</v>
      </c>
      <c r="AG729" s="337">
        <v>2</v>
      </c>
      <c r="AH729" s="337">
        <v>2</v>
      </c>
      <c r="AI729" s="337">
        <v>2</v>
      </c>
      <c r="AJ729" s="337">
        <v>0</v>
      </c>
      <c r="AK729" s="337">
        <v>0</v>
      </c>
      <c r="AL729" s="337">
        <v>2</v>
      </c>
      <c r="AM729" s="337">
        <v>0</v>
      </c>
      <c r="AN729" s="337">
        <v>0.29141616821289063</v>
      </c>
      <c r="AO729" s="337"/>
      <c r="AP729" s="337"/>
      <c r="AQ729" s="337"/>
      <c r="AR729" s="337">
        <v>1</v>
      </c>
      <c r="AS729" s="337">
        <v>1</v>
      </c>
      <c r="AT729" s="337">
        <v>1</v>
      </c>
      <c r="AU729" s="337">
        <v>0</v>
      </c>
      <c r="AV729" s="337">
        <v>0</v>
      </c>
      <c r="AW729" s="337">
        <v>0</v>
      </c>
      <c r="AX729" s="337">
        <v>0</v>
      </c>
      <c r="AY729" s="337">
        <v>0</v>
      </c>
      <c r="AZ729" s="337">
        <v>0</v>
      </c>
      <c r="BA729" s="337">
        <v>7.2854042053222656E-2</v>
      </c>
      <c r="BB729" s="337"/>
      <c r="BC729" s="337"/>
      <c r="BD729" s="337"/>
      <c r="BE729" s="337">
        <v>25000</v>
      </c>
      <c r="BF729" s="337" t="s">
        <v>425</v>
      </c>
      <c r="BG729" s="337" t="s">
        <v>5</v>
      </c>
      <c r="BH729" s="337" t="s">
        <v>1020</v>
      </c>
      <c r="BI729" s="337"/>
      <c r="BJ729" s="337" t="s">
        <v>5</v>
      </c>
      <c r="BK729" s="337"/>
      <c r="BL729" s="337">
        <v>0</v>
      </c>
      <c r="BM729" s="337"/>
      <c r="BN729" s="337" t="s">
        <v>5</v>
      </c>
      <c r="BO729" s="337"/>
      <c r="BP729" s="337"/>
      <c r="BQ729" s="337"/>
      <c r="BR729" s="337"/>
      <c r="BS729" s="337" t="s">
        <v>5</v>
      </c>
      <c r="BT729" s="337"/>
      <c r="BU729" s="337"/>
      <c r="BV729" s="337"/>
      <c r="BW729" s="337"/>
      <c r="BX729" s="337" t="s">
        <v>6</v>
      </c>
      <c r="BY729" s="337" t="s">
        <v>426</v>
      </c>
      <c r="BZ729" s="337"/>
      <c r="CB729" s="337" t="s">
        <v>5</v>
      </c>
      <c r="CC729" s="337">
        <v>3865.060964770184</v>
      </c>
      <c r="CD729" s="337">
        <v>802139.39510010625</v>
      </c>
      <c r="CE729" s="313" t="s">
        <v>11891</v>
      </c>
    </row>
    <row r="730" spans="1:83" ht="15" x14ac:dyDescent="0.25">
      <c r="A730" s="337" t="s">
        <v>558</v>
      </c>
      <c r="B730" s="337" t="s">
        <v>559</v>
      </c>
      <c r="C730" s="337" t="s">
        <v>503</v>
      </c>
      <c r="D730" s="337">
        <v>9</v>
      </c>
      <c r="E730" s="337" t="s">
        <v>416</v>
      </c>
      <c r="F730" s="337" t="s">
        <v>560</v>
      </c>
      <c r="G730" s="337" t="s">
        <v>418</v>
      </c>
      <c r="H730" s="337" t="s">
        <v>561</v>
      </c>
      <c r="I730" s="337" t="s">
        <v>562</v>
      </c>
      <c r="J730" s="337" t="s">
        <v>563</v>
      </c>
      <c r="K730" s="337" t="s">
        <v>422</v>
      </c>
      <c r="L730" s="337">
        <v>0.85729336738586426</v>
      </c>
      <c r="M730" s="337" t="s">
        <v>5</v>
      </c>
      <c r="N730" s="337" t="s">
        <v>5</v>
      </c>
      <c r="O730" s="337" t="s">
        <v>5</v>
      </c>
      <c r="P730" s="337" t="s">
        <v>5</v>
      </c>
      <c r="Q730" s="337" t="s">
        <v>5</v>
      </c>
      <c r="R730" s="337" t="s">
        <v>517</v>
      </c>
      <c r="S730" s="337" t="s">
        <v>564</v>
      </c>
      <c r="T730" s="337" t="s">
        <v>5</v>
      </c>
      <c r="U730" s="337" t="s">
        <v>4</v>
      </c>
      <c r="V730" s="337">
        <v>30000</v>
      </c>
      <c r="W730" s="337">
        <v>5000</v>
      </c>
      <c r="X730" s="337" t="s">
        <v>6</v>
      </c>
      <c r="Y730" s="337"/>
      <c r="Z730" s="337"/>
      <c r="AA730" s="337">
        <v>345.17816162109381</v>
      </c>
      <c r="AB730" s="337">
        <v>9.3868955969810486E-2</v>
      </c>
      <c r="AC730" s="337">
        <v>345.17816162109381</v>
      </c>
      <c r="AD730" s="337">
        <v>284</v>
      </c>
      <c r="AE730" s="337">
        <v>69</v>
      </c>
      <c r="AF730" s="337">
        <v>184</v>
      </c>
      <c r="AG730" s="337">
        <v>208</v>
      </c>
      <c r="AH730" s="337">
        <v>250</v>
      </c>
      <c r="AI730" s="337">
        <v>250</v>
      </c>
      <c r="AJ730" s="337">
        <v>1</v>
      </c>
      <c r="AK730" s="337">
        <v>0</v>
      </c>
      <c r="AL730" s="337">
        <v>10</v>
      </c>
      <c r="AM730" s="337">
        <v>0</v>
      </c>
      <c r="AN730" s="337">
        <v>97.299110412597656</v>
      </c>
      <c r="AO730" s="337"/>
      <c r="AP730" s="337"/>
      <c r="AQ730" s="337"/>
      <c r="AR730" s="337">
        <v>71</v>
      </c>
      <c r="AS730" s="337">
        <v>71</v>
      </c>
      <c r="AT730" s="337">
        <v>17</v>
      </c>
      <c r="AU730" s="337">
        <v>46</v>
      </c>
      <c r="AV730" s="337">
        <v>97</v>
      </c>
      <c r="AW730" s="337">
        <v>0</v>
      </c>
      <c r="AX730" s="337">
        <v>0</v>
      </c>
      <c r="AY730" s="337">
        <v>2</v>
      </c>
      <c r="AZ730" s="337">
        <v>0</v>
      </c>
      <c r="BA730" s="337">
        <v>24.324777603149411</v>
      </c>
      <c r="BB730" s="337"/>
      <c r="BC730" s="337"/>
      <c r="BD730" s="337"/>
      <c r="BE730" s="337">
        <v>25000</v>
      </c>
      <c r="BF730" s="337" t="s">
        <v>425</v>
      </c>
      <c r="BG730" s="337" t="s">
        <v>5</v>
      </c>
      <c r="BH730" s="337" t="s">
        <v>1020</v>
      </c>
      <c r="BI730" s="337"/>
      <c r="BJ730" s="337" t="s">
        <v>5</v>
      </c>
      <c r="BK730" s="337"/>
      <c r="BL730" s="337">
        <v>0</v>
      </c>
      <c r="BM730" s="337"/>
      <c r="BN730" s="337" t="s">
        <v>5</v>
      </c>
      <c r="BO730" s="337"/>
      <c r="BP730" s="337"/>
      <c r="BQ730" s="337"/>
      <c r="BR730" s="337"/>
      <c r="BS730" s="337" t="s">
        <v>5</v>
      </c>
      <c r="BT730" s="337"/>
      <c r="BU730" s="337"/>
      <c r="BV730" s="337"/>
      <c r="BW730" s="337"/>
      <c r="BX730" s="337" t="s">
        <v>6</v>
      </c>
      <c r="BY730" s="337" t="s">
        <v>426</v>
      </c>
      <c r="BZ730" s="337"/>
      <c r="CB730" s="337" t="s">
        <v>5</v>
      </c>
      <c r="CC730" s="337">
        <v>6271.0662818700494</v>
      </c>
      <c r="CD730" s="337">
        <v>2220379.5752944751</v>
      </c>
      <c r="CE730" s="313" t="s">
        <v>11891</v>
      </c>
    </row>
    <row r="731" spans="1:83" ht="15" x14ac:dyDescent="0.25">
      <c r="A731" s="337" t="s">
        <v>565</v>
      </c>
      <c r="B731" s="337" t="s">
        <v>566</v>
      </c>
      <c r="C731" s="337" t="s">
        <v>503</v>
      </c>
      <c r="D731" s="337">
        <v>9</v>
      </c>
      <c r="E731" s="337" t="s">
        <v>416</v>
      </c>
      <c r="F731" s="337" t="s">
        <v>528</v>
      </c>
      <c r="G731" s="337" t="s">
        <v>513</v>
      </c>
      <c r="H731" s="337" t="s">
        <v>567</v>
      </c>
      <c r="I731" s="337" t="s">
        <v>567</v>
      </c>
      <c r="J731" s="337" t="s">
        <v>568</v>
      </c>
      <c r="K731" s="337" t="s">
        <v>422</v>
      </c>
      <c r="L731" s="337">
        <v>0.33865365386009222</v>
      </c>
      <c r="M731" s="337" t="s">
        <v>5</v>
      </c>
      <c r="N731" s="337" t="s">
        <v>5</v>
      </c>
      <c r="O731" s="337" t="s">
        <v>5</v>
      </c>
      <c r="P731" s="337" t="s">
        <v>5</v>
      </c>
      <c r="Q731" s="337" t="s">
        <v>5</v>
      </c>
      <c r="R731" s="337" t="s">
        <v>532</v>
      </c>
      <c r="S731" s="337" t="s">
        <v>569</v>
      </c>
      <c r="T731" s="337" t="s">
        <v>5</v>
      </c>
      <c r="U731" s="337" t="s">
        <v>4</v>
      </c>
      <c r="V731" s="337">
        <v>30000</v>
      </c>
      <c r="W731" s="337">
        <v>5000</v>
      </c>
      <c r="X731" s="337" t="s">
        <v>6</v>
      </c>
      <c r="Y731" s="337"/>
      <c r="Z731" s="337"/>
      <c r="AA731" s="337">
        <v>3.8425228595733638</v>
      </c>
      <c r="AB731" s="337">
        <v>3.7467970978468661E-3</v>
      </c>
      <c r="AC731" s="337">
        <v>3.8425228595733638</v>
      </c>
      <c r="AD731" s="337">
        <v>9</v>
      </c>
      <c r="AE731" s="337">
        <v>1</v>
      </c>
      <c r="AF731" s="337">
        <v>9</v>
      </c>
      <c r="AG731" s="337">
        <v>99</v>
      </c>
      <c r="AH731" s="337">
        <v>99</v>
      </c>
      <c r="AI731" s="337">
        <v>99</v>
      </c>
      <c r="AJ731" s="337">
        <v>0</v>
      </c>
      <c r="AK731" s="337">
        <v>0</v>
      </c>
      <c r="AL731" s="337">
        <v>0</v>
      </c>
      <c r="AM731" s="337">
        <v>0</v>
      </c>
      <c r="AN731" s="337">
        <v>0</v>
      </c>
      <c r="AO731" s="337"/>
      <c r="AP731" s="337"/>
      <c r="AQ731" s="337"/>
      <c r="AR731" s="337">
        <v>3</v>
      </c>
      <c r="AS731" s="337">
        <v>3</v>
      </c>
      <c r="AT731" s="337">
        <v>0</v>
      </c>
      <c r="AU731" s="337">
        <v>2</v>
      </c>
      <c r="AV731" s="337">
        <v>24</v>
      </c>
      <c r="AW731" s="337">
        <v>0</v>
      </c>
      <c r="AX731" s="337">
        <v>0</v>
      </c>
      <c r="AY731" s="337">
        <v>0</v>
      </c>
      <c r="AZ731" s="337">
        <v>0</v>
      </c>
      <c r="BA731" s="337">
        <v>0</v>
      </c>
      <c r="BB731" s="337"/>
      <c r="BC731" s="337"/>
      <c r="BD731" s="337"/>
      <c r="BE731" s="337">
        <v>25000</v>
      </c>
      <c r="BF731" s="337" t="s">
        <v>425</v>
      </c>
      <c r="BG731" s="337" t="s">
        <v>5</v>
      </c>
      <c r="BH731" s="337" t="s">
        <v>1020</v>
      </c>
      <c r="BI731" s="337"/>
      <c r="BJ731" s="337" t="s">
        <v>5</v>
      </c>
      <c r="BK731" s="337"/>
      <c r="BL731" s="337">
        <v>0</v>
      </c>
      <c r="BM731" s="337"/>
      <c r="BN731" s="337" t="s">
        <v>5</v>
      </c>
      <c r="BO731" s="337"/>
      <c r="BP731" s="337"/>
      <c r="BQ731" s="337"/>
      <c r="BR731" s="337"/>
      <c r="BS731" s="337" t="s">
        <v>5</v>
      </c>
      <c r="BT731" s="337"/>
      <c r="BU731" s="337"/>
      <c r="BV731" s="337"/>
      <c r="BW731" s="337"/>
      <c r="BX731" s="337" t="s">
        <v>6</v>
      </c>
      <c r="BY731" s="337" t="s">
        <v>426</v>
      </c>
      <c r="BZ731" s="337"/>
      <c r="CB731" s="337" t="s">
        <v>5</v>
      </c>
      <c r="CC731" s="337">
        <v>4550.9929679996012</v>
      </c>
      <c r="CD731" s="337">
        <v>877108.96411324677</v>
      </c>
      <c r="CE731" s="313" t="s">
        <v>11891</v>
      </c>
    </row>
    <row r="732" spans="1:83" ht="15" x14ac:dyDescent="0.25">
      <c r="A732" s="337" t="s">
        <v>573</v>
      </c>
      <c r="B732" s="337" t="s">
        <v>574</v>
      </c>
      <c r="C732" s="337" t="s">
        <v>503</v>
      </c>
      <c r="D732" s="337">
        <v>9</v>
      </c>
      <c r="E732" s="337" t="s">
        <v>416</v>
      </c>
      <c r="F732" s="337" t="s">
        <v>545</v>
      </c>
      <c r="G732" s="337" t="s">
        <v>575</v>
      </c>
      <c r="H732" s="337" t="s">
        <v>576</v>
      </c>
      <c r="I732" s="337" t="s">
        <v>576</v>
      </c>
      <c r="J732" s="337" t="s">
        <v>577</v>
      </c>
      <c r="K732" s="337" t="s">
        <v>422</v>
      </c>
      <c r="L732" s="337">
        <v>1497.589233398438</v>
      </c>
      <c r="M732" s="337" t="s">
        <v>5</v>
      </c>
      <c r="N732" s="337" t="s">
        <v>5</v>
      </c>
      <c r="O732" s="337" t="s">
        <v>5</v>
      </c>
      <c r="P732" s="337" t="s">
        <v>5</v>
      </c>
      <c r="Q732" s="337" t="s">
        <v>5</v>
      </c>
      <c r="R732" s="337" t="s">
        <v>508</v>
      </c>
      <c r="S732" s="337" t="s">
        <v>578</v>
      </c>
      <c r="T732" s="337" t="s">
        <v>5</v>
      </c>
      <c r="U732" s="337" t="s">
        <v>4</v>
      </c>
      <c r="V732" s="337">
        <v>30000</v>
      </c>
      <c r="W732" s="337">
        <v>5000</v>
      </c>
      <c r="X732" s="337" t="s">
        <v>6</v>
      </c>
      <c r="Y732" s="337"/>
      <c r="Z732" s="337"/>
      <c r="AA732" s="337">
        <v>276508.65625</v>
      </c>
      <c r="AB732" s="337">
        <v>132.59907531738281</v>
      </c>
      <c r="AC732" s="337">
        <v>276508.65625</v>
      </c>
      <c r="AD732" s="337">
        <v>1890</v>
      </c>
      <c r="AE732" s="337">
        <v>944</v>
      </c>
      <c r="AF732" s="337">
        <v>814</v>
      </c>
      <c r="AG732" s="337">
        <v>2071</v>
      </c>
      <c r="AH732" s="337">
        <v>2679</v>
      </c>
      <c r="AI732" s="337">
        <v>2679</v>
      </c>
      <c r="AJ732" s="337">
        <v>1</v>
      </c>
      <c r="AK732" s="337">
        <v>5</v>
      </c>
      <c r="AL732" s="337">
        <v>434</v>
      </c>
      <c r="AM732" s="337">
        <v>0</v>
      </c>
      <c r="AN732" s="337">
        <v>145295.46875</v>
      </c>
      <c r="AO732" s="337"/>
      <c r="AP732" s="337"/>
      <c r="AQ732" s="337"/>
      <c r="AR732" s="337">
        <v>473</v>
      </c>
      <c r="AS732" s="337">
        <v>473</v>
      </c>
      <c r="AT732" s="337">
        <v>236</v>
      </c>
      <c r="AU732" s="337">
        <v>203</v>
      </c>
      <c r="AV732" s="337">
        <v>996</v>
      </c>
      <c r="AW732" s="337">
        <v>0</v>
      </c>
      <c r="AX732" s="337">
        <v>1</v>
      </c>
      <c r="AY732" s="337">
        <v>108</v>
      </c>
      <c r="AZ732" s="337">
        <v>0</v>
      </c>
      <c r="BA732" s="337">
        <v>36323.8671875</v>
      </c>
      <c r="BB732" s="337"/>
      <c r="BC732" s="337"/>
      <c r="BD732" s="337"/>
      <c r="BE732" s="337">
        <v>25000</v>
      </c>
      <c r="BF732" s="337" t="s">
        <v>425</v>
      </c>
      <c r="BG732" s="337" t="s">
        <v>5</v>
      </c>
      <c r="BH732" s="337" t="s">
        <v>1020</v>
      </c>
      <c r="BI732" s="337"/>
      <c r="BJ732" s="337" t="s">
        <v>5</v>
      </c>
      <c r="BK732" s="337"/>
      <c r="BL732" s="337">
        <v>0</v>
      </c>
      <c r="BM732" s="337"/>
      <c r="BN732" s="337" t="s">
        <v>5</v>
      </c>
      <c r="BO732" s="337"/>
      <c r="BP732" s="337"/>
      <c r="BQ732" s="337"/>
      <c r="BR732" s="337"/>
      <c r="BS732" s="337" t="s">
        <v>5</v>
      </c>
      <c r="BT732" s="337"/>
      <c r="BU732" s="337"/>
      <c r="BV732" s="337"/>
      <c r="BW732" s="337"/>
      <c r="BX732" s="337" t="s">
        <v>6</v>
      </c>
      <c r="BY732" s="337" t="s">
        <v>426</v>
      </c>
      <c r="BZ732" s="337"/>
      <c r="CB732" s="337" t="s">
        <v>5</v>
      </c>
      <c r="CC732" s="337">
        <v>257298.2822629165</v>
      </c>
      <c r="CD732" s="337">
        <v>3878738205.5692191</v>
      </c>
      <c r="CE732" s="313" t="s">
        <v>11891</v>
      </c>
    </row>
    <row r="733" spans="1:83" ht="15" x14ac:dyDescent="0.25">
      <c r="A733" s="337" t="s">
        <v>595</v>
      </c>
      <c r="B733" s="337" t="s">
        <v>596</v>
      </c>
      <c r="C733" s="337" t="s">
        <v>503</v>
      </c>
      <c r="D733" s="337">
        <v>9</v>
      </c>
      <c r="E733" s="337" t="s">
        <v>416</v>
      </c>
      <c r="F733" s="337" t="s">
        <v>597</v>
      </c>
      <c r="G733" s="337" t="s">
        <v>598</v>
      </c>
      <c r="H733" s="337" t="s">
        <v>599</v>
      </c>
      <c r="I733" s="337" t="s">
        <v>599</v>
      </c>
      <c r="J733" s="337" t="s">
        <v>600</v>
      </c>
      <c r="K733" s="337" t="s">
        <v>422</v>
      </c>
      <c r="L733" s="337">
        <v>912.08465576171875</v>
      </c>
      <c r="M733" s="337" t="s">
        <v>5</v>
      </c>
      <c r="N733" s="337" t="s">
        <v>5</v>
      </c>
      <c r="O733" s="337" t="s">
        <v>5</v>
      </c>
      <c r="P733" s="337" t="s">
        <v>5</v>
      </c>
      <c r="Q733" s="337" t="s">
        <v>5</v>
      </c>
      <c r="R733" s="337" t="s">
        <v>508</v>
      </c>
      <c r="S733" s="337" t="s">
        <v>601</v>
      </c>
      <c r="T733" s="337" t="s">
        <v>5</v>
      </c>
      <c r="U733" s="337" t="s">
        <v>4</v>
      </c>
      <c r="V733" s="337">
        <v>30000</v>
      </c>
      <c r="W733" s="337">
        <v>5000</v>
      </c>
      <c r="X733" s="337" t="s">
        <v>6</v>
      </c>
      <c r="Y733" s="337"/>
      <c r="Z733" s="337"/>
      <c r="AA733" s="337">
        <v>146375.25</v>
      </c>
      <c r="AB733" s="337">
        <v>66.840156555175781</v>
      </c>
      <c r="AC733" s="337">
        <v>146375.25</v>
      </c>
      <c r="AD733" s="337">
        <v>902</v>
      </c>
      <c r="AE733" s="337">
        <v>259</v>
      </c>
      <c r="AF733" s="337">
        <v>451</v>
      </c>
      <c r="AG733" s="337">
        <v>2015</v>
      </c>
      <c r="AH733" s="337">
        <v>1266</v>
      </c>
      <c r="AI733" s="337">
        <v>2015</v>
      </c>
      <c r="AJ733" s="337">
        <v>3</v>
      </c>
      <c r="AK733" s="337">
        <v>5</v>
      </c>
      <c r="AL733" s="337">
        <v>229</v>
      </c>
      <c r="AM733" s="337">
        <v>0</v>
      </c>
      <c r="AN733" s="337">
        <v>55702.26953125</v>
      </c>
      <c r="AO733" s="337"/>
      <c r="AP733" s="337"/>
      <c r="AQ733" s="337"/>
      <c r="AR733" s="337">
        <v>226</v>
      </c>
      <c r="AS733" s="337">
        <v>226</v>
      </c>
      <c r="AT733" s="337">
        <v>64</v>
      </c>
      <c r="AU733" s="337">
        <v>112</v>
      </c>
      <c r="AV733" s="337">
        <v>728</v>
      </c>
      <c r="AW733" s="337">
        <v>0</v>
      </c>
      <c r="AX733" s="337">
        <v>1</v>
      </c>
      <c r="AY733" s="337">
        <v>57</v>
      </c>
      <c r="AZ733" s="337">
        <v>0</v>
      </c>
      <c r="BA733" s="337">
        <v>13925.5673828125</v>
      </c>
      <c r="BB733" s="337"/>
      <c r="BC733" s="337"/>
      <c r="BD733" s="337"/>
      <c r="BE733" s="337">
        <v>25000</v>
      </c>
      <c r="BF733" s="337" t="s">
        <v>425</v>
      </c>
      <c r="BG733" s="337" t="s">
        <v>5</v>
      </c>
      <c r="BH733" s="337" t="s">
        <v>1020</v>
      </c>
      <c r="BI733" s="337"/>
      <c r="BJ733" s="337" t="s">
        <v>5</v>
      </c>
      <c r="BK733" s="337"/>
      <c r="BL733" s="337">
        <v>0</v>
      </c>
      <c r="BM733" s="337"/>
      <c r="BN733" s="337" t="s">
        <v>5</v>
      </c>
      <c r="BO733" s="337"/>
      <c r="BP733" s="337"/>
      <c r="BQ733" s="337"/>
      <c r="BR733" s="337"/>
      <c r="BS733" s="337" t="s">
        <v>5</v>
      </c>
      <c r="BT733" s="337"/>
      <c r="BU733" s="337"/>
      <c r="BV733" s="337"/>
      <c r="BW733" s="337"/>
      <c r="BX733" s="337" t="s">
        <v>6</v>
      </c>
      <c r="BY733" s="337" t="s">
        <v>426</v>
      </c>
      <c r="BZ733" s="337"/>
      <c r="CB733" s="337" t="s">
        <v>5</v>
      </c>
      <c r="CC733" s="337">
        <v>194356.50293091199</v>
      </c>
      <c r="CD733" s="337">
        <v>2362288427.7304201</v>
      </c>
      <c r="CE733" s="313" t="s">
        <v>11891</v>
      </c>
    </row>
    <row r="734" spans="1:83" ht="15" x14ac:dyDescent="0.25">
      <c r="A734" s="337" t="s">
        <v>617</v>
      </c>
      <c r="B734" s="337" t="s">
        <v>618</v>
      </c>
      <c r="C734" s="337" t="s">
        <v>481</v>
      </c>
      <c r="D734" s="337">
        <v>9</v>
      </c>
      <c r="E734" s="337" t="s">
        <v>416</v>
      </c>
      <c r="F734" s="337" t="s">
        <v>619</v>
      </c>
      <c r="G734" s="337" t="s">
        <v>620</v>
      </c>
      <c r="H734" s="337" t="s">
        <v>621</v>
      </c>
      <c r="I734" s="337" t="s">
        <v>621</v>
      </c>
      <c r="J734" s="337" t="s">
        <v>622</v>
      </c>
      <c r="K734" s="337" t="s">
        <v>427</v>
      </c>
      <c r="L734" s="337">
        <v>797.708251953125</v>
      </c>
      <c r="M734" s="337" t="s">
        <v>5</v>
      </c>
      <c r="N734" s="337" t="s">
        <v>5</v>
      </c>
      <c r="O734" s="337" t="s">
        <v>5</v>
      </c>
      <c r="P734" s="337" t="s">
        <v>5</v>
      </c>
      <c r="Q734" s="337" t="s">
        <v>5</v>
      </c>
      <c r="R734" s="337" t="s">
        <v>550</v>
      </c>
      <c r="S734" s="337" t="s">
        <v>623</v>
      </c>
      <c r="T734" s="337" t="s">
        <v>5</v>
      </c>
      <c r="U734" s="337" t="s">
        <v>4</v>
      </c>
      <c r="V734" s="337">
        <v>30000</v>
      </c>
      <c r="W734" s="337">
        <v>5000</v>
      </c>
      <c r="X734" s="337" t="s">
        <v>6</v>
      </c>
      <c r="Y734" s="337"/>
      <c r="Z734" s="337"/>
      <c r="AA734" s="337">
        <v>150121.515625</v>
      </c>
      <c r="AB734" s="337">
        <v>68.129417419433594</v>
      </c>
      <c r="AC734" s="337">
        <v>150121.515625</v>
      </c>
      <c r="AD734" s="337">
        <v>543</v>
      </c>
      <c r="AE734" s="337">
        <v>169</v>
      </c>
      <c r="AF734" s="337">
        <v>263</v>
      </c>
      <c r="AG734" s="337">
        <v>758</v>
      </c>
      <c r="AH734" s="337">
        <v>799</v>
      </c>
      <c r="AI734" s="337">
        <v>799</v>
      </c>
      <c r="AJ734" s="337">
        <v>0</v>
      </c>
      <c r="AK734" s="337">
        <v>2</v>
      </c>
      <c r="AL734" s="337">
        <v>292</v>
      </c>
      <c r="AM734" s="337">
        <v>0</v>
      </c>
      <c r="AN734" s="337">
        <v>63670.59765625</v>
      </c>
      <c r="AO734" s="337"/>
      <c r="AP734" s="337"/>
      <c r="AQ734" s="337"/>
      <c r="AR734" s="337">
        <v>136</v>
      </c>
      <c r="AS734" s="337">
        <v>136</v>
      </c>
      <c r="AT734" s="337">
        <v>42</v>
      </c>
      <c r="AU734" s="337">
        <v>65</v>
      </c>
      <c r="AV734" s="337">
        <v>328</v>
      </c>
      <c r="AW734" s="337">
        <v>0</v>
      </c>
      <c r="AX734" s="337">
        <v>0</v>
      </c>
      <c r="AY734" s="337">
        <v>73</v>
      </c>
      <c r="AZ734" s="337">
        <v>0</v>
      </c>
      <c r="BA734" s="337">
        <v>15917.6494140625</v>
      </c>
      <c r="BB734" s="337"/>
      <c r="BC734" s="337"/>
      <c r="BD734" s="337"/>
      <c r="BE734" s="337">
        <v>25000</v>
      </c>
      <c r="BF734" s="337" t="s">
        <v>425</v>
      </c>
      <c r="BG734" s="337" t="s">
        <v>5</v>
      </c>
      <c r="BH734" s="337" t="s">
        <v>1020</v>
      </c>
      <c r="BI734" s="337"/>
      <c r="BJ734" s="337" t="s">
        <v>5</v>
      </c>
      <c r="BK734" s="337"/>
      <c r="BL734" s="337">
        <v>0</v>
      </c>
      <c r="BM734" s="337"/>
      <c r="BN734" s="337" t="s">
        <v>5</v>
      </c>
      <c r="BO734" s="337"/>
      <c r="BP734" s="337"/>
      <c r="BQ734" s="337"/>
      <c r="BR734" s="337"/>
      <c r="BS734" s="337" t="s">
        <v>5</v>
      </c>
      <c r="BT734" s="337"/>
      <c r="BU734" s="337"/>
      <c r="BV734" s="337"/>
      <c r="BW734" s="337"/>
      <c r="BX734" s="337" t="s">
        <v>6</v>
      </c>
      <c r="BY734" s="337" t="s">
        <v>426</v>
      </c>
      <c r="BZ734" s="337"/>
      <c r="CB734" s="337" t="s">
        <v>5</v>
      </c>
      <c r="CC734" s="337">
        <v>181964.5478431196</v>
      </c>
      <c r="CD734" s="337">
        <v>2066054919.5893149</v>
      </c>
      <c r="CE734" s="313" t="s">
        <v>11891</v>
      </c>
    </row>
    <row r="735" spans="1:83" ht="15" x14ac:dyDescent="0.25">
      <c r="A735" s="337" t="s">
        <v>634</v>
      </c>
      <c r="B735" s="337" t="s">
        <v>635</v>
      </c>
      <c r="C735" s="337" t="s">
        <v>636</v>
      </c>
      <c r="D735" s="337">
        <v>9</v>
      </c>
      <c r="E735" s="337" t="s">
        <v>416</v>
      </c>
      <c r="F735" s="337" t="s">
        <v>627</v>
      </c>
      <c r="G735" s="337" t="s">
        <v>628</v>
      </c>
      <c r="H735" s="337" t="s">
        <v>629</v>
      </c>
      <c r="I735" s="337" t="s">
        <v>630</v>
      </c>
      <c r="J735" s="337" t="s">
        <v>631</v>
      </c>
      <c r="K735" s="337" t="s">
        <v>452</v>
      </c>
      <c r="L735" s="337">
        <v>915.6199951171875</v>
      </c>
      <c r="M735" s="337" t="s">
        <v>5</v>
      </c>
      <c r="N735" s="337" t="s">
        <v>5</v>
      </c>
      <c r="O735" s="337" t="s">
        <v>5</v>
      </c>
      <c r="P735" s="337" t="s">
        <v>5</v>
      </c>
      <c r="Q735" s="337" t="s">
        <v>5</v>
      </c>
      <c r="R735" s="337" t="s">
        <v>632</v>
      </c>
      <c r="S735" s="337" t="s">
        <v>633</v>
      </c>
      <c r="T735" s="337" t="s">
        <v>5</v>
      </c>
      <c r="U735" s="337" t="s">
        <v>4</v>
      </c>
      <c r="V735" s="337">
        <v>30000</v>
      </c>
      <c r="W735" s="337">
        <v>5000</v>
      </c>
      <c r="X735" s="337" t="s">
        <v>6</v>
      </c>
      <c r="Y735" s="337"/>
      <c r="Z735" s="337"/>
      <c r="AA735" s="337">
        <v>21048.634765625</v>
      </c>
      <c r="AB735" s="337">
        <v>4.3354191780090332</v>
      </c>
      <c r="AC735" s="337">
        <v>21048.634765625</v>
      </c>
      <c r="AD735" s="337">
        <v>70</v>
      </c>
      <c r="AE735" s="337">
        <v>20</v>
      </c>
      <c r="AF735" s="337">
        <v>51</v>
      </c>
      <c r="AG735" s="337">
        <v>4</v>
      </c>
      <c r="AH735" s="337">
        <v>46</v>
      </c>
      <c r="AI735" s="337">
        <v>46</v>
      </c>
      <c r="AJ735" s="337">
        <v>0</v>
      </c>
      <c r="AK735" s="337">
        <v>10</v>
      </c>
      <c r="AL735" s="337">
        <v>18</v>
      </c>
      <c r="AM735" s="337">
        <v>0</v>
      </c>
      <c r="AN735" s="337">
        <v>3492.507568359375</v>
      </c>
      <c r="AO735" s="337"/>
      <c r="AP735" s="337"/>
      <c r="AQ735" s="337"/>
      <c r="AR735" s="337">
        <v>18</v>
      </c>
      <c r="AS735" s="337">
        <v>18</v>
      </c>
      <c r="AT735" s="337">
        <v>5</v>
      </c>
      <c r="AU735" s="337">
        <v>12</v>
      </c>
      <c r="AV735" s="337">
        <v>11</v>
      </c>
      <c r="AW735" s="337">
        <v>0</v>
      </c>
      <c r="AX735" s="337">
        <v>2</v>
      </c>
      <c r="AY735" s="337">
        <v>4</v>
      </c>
      <c r="AZ735" s="337">
        <v>0</v>
      </c>
      <c r="BA735" s="337">
        <v>873.12689208984375</v>
      </c>
      <c r="BB735" s="337"/>
      <c r="BC735" s="337"/>
      <c r="BD735" s="337"/>
      <c r="BE735" s="337">
        <v>25000</v>
      </c>
      <c r="BF735" s="337" t="s">
        <v>425</v>
      </c>
      <c r="BG735" s="337" t="s">
        <v>5</v>
      </c>
      <c r="BH735" s="337" t="s">
        <v>1020</v>
      </c>
      <c r="BI735" s="337"/>
      <c r="BJ735" s="337" t="s">
        <v>5</v>
      </c>
      <c r="BK735" s="337"/>
      <c r="BL735" s="337">
        <v>0</v>
      </c>
      <c r="BM735" s="337"/>
      <c r="BN735" s="337" t="s">
        <v>5</v>
      </c>
      <c r="BO735" s="337"/>
      <c r="BP735" s="337"/>
      <c r="BQ735" s="337"/>
      <c r="BR735" s="337"/>
      <c r="BS735" s="337" t="s">
        <v>5</v>
      </c>
      <c r="BT735" s="337"/>
      <c r="BU735" s="337"/>
      <c r="BV735" s="337"/>
      <c r="BW735" s="337"/>
      <c r="BX735" s="337" t="s">
        <v>6</v>
      </c>
      <c r="BY735" s="337" t="s">
        <v>426</v>
      </c>
      <c r="BZ735" s="337"/>
      <c r="CB735" s="337" t="s">
        <v>5</v>
      </c>
      <c r="CC735" s="337">
        <v>195145.6523011385</v>
      </c>
      <c r="CD735" s="337">
        <v>2371444890.9264798</v>
      </c>
      <c r="CE735" s="313" t="s">
        <v>11891</v>
      </c>
    </row>
    <row r="736" spans="1:83" ht="15" x14ac:dyDescent="0.25">
      <c r="A736" s="337" t="s">
        <v>638</v>
      </c>
      <c r="B736" s="337" t="s">
        <v>639</v>
      </c>
      <c r="C736" s="337" t="s">
        <v>640</v>
      </c>
      <c r="D736" s="337">
        <v>9</v>
      </c>
      <c r="E736" s="337" t="s">
        <v>416</v>
      </c>
      <c r="F736" s="337" t="s">
        <v>641</v>
      </c>
      <c r="G736" s="337" t="s">
        <v>642</v>
      </c>
      <c r="H736" s="337" t="s">
        <v>643</v>
      </c>
      <c r="I736" s="337" t="s">
        <v>643</v>
      </c>
      <c r="J736" s="337" t="s">
        <v>644</v>
      </c>
      <c r="K736" s="337" t="s">
        <v>422</v>
      </c>
      <c r="L736" s="337">
        <v>1533.927368164062</v>
      </c>
      <c r="M736" s="337" t="s">
        <v>5</v>
      </c>
      <c r="N736" s="337" t="s">
        <v>5</v>
      </c>
      <c r="O736" s="337" t="s">
        <v>5</v>
      </c>
      <c r="P736" s="337" t="s">
        <v>5</v>
      </c>
      <c r="Q736" s="337" t="s">
        <v>5</v>
      </c>
      <c r="R736" s="337" t="s">
        <v>637</v>
      </c>
      <c r="S736" s="337" t="s">
        <v>645</v>
      </c>
      <c r="T736" s="337" t="s">
        <v>5</v>
      </c>
      <c r="U736" s="337" t="s">
        <v>4</v>
      </c>
      <c r="V736" s="337">
        <v>30000</v>
      </c>
      <c r="W736" s="337">
        <v>5000</v>
      </c>
      <c r="X736" s="337" t="s">
        <v>6</v>
      </c>
      <c r="Y736" s="337"/>
      <c r="Z736" s="337"/>
      <c r="AA736" s="337">
        <v>211659.078125</v>
      </c>
      <c r="AB736" s="337">
        <v>66.970512390136719</v>
      </c>
      <c r="AC736" s="337">
        <v>211659.078125</v>
      </c>
      <c r="AD736" s="337">
        <v>5164</v>
      </c>
      <c r="AE736" s="337">
        <v>2610</v>
      </c>
      <c r="AF736" s="337">
        <v>3371</v>
      </c>
      <c r="AG736" s="337">
        <v>9948</v>
      </c>
      <c r="AH736" s="337">
        <v>9044</v>
      </c>
      <c r="AI736" s="337">
        <v>9948</v>
      </c>
      <c r="AJ736" s="337">
        <v>7</v>
      </c>
      <c r="AK736" s="337">
        <v>46</v>
      </c>
      <c r="AL736" s="337">
        <v>253</v>
      </c>
      <c r="AM736" s="337">
        <v>0</v>
      </c>
      <c r="AN736" s="337">
        <v>48446.87890625</v>
      </c>
      <c r="AO736" s="337"/>
      <c r="AP736" s="337"/>
      <c r="AQ736" s="337"/>
      <c r="AR736" s="337">
        <v>1291</v>
      </c>
      <c r="AS736" s="337">
        <v>1291</v>
      </c>
      <c r="AT736" s="337">
        <v>652</v>
      </c>
      <c r="AU736" s="337">
        <v>842</v>
      </c>
      <c r="AV736" s="337">
        <v>4008</v>
      </c>
      <c r="AW736" s="337">
        <v>1</v>
      </c>
      <c r="AX736" s="337">
        <v>11</v>
      </c>
      <c r="AY736" s="337">
        <v>63</v>
      </c>
      <c r="AZ736" s="337">
        <v>0</v>
      </c>
      <c r="BA736" s="337">
        <v>12111.7197265625</v>
      </c>
      <c r="BB736" s="337"/>
      <c r="BC736" s="337"/>
      <c r="BD736" s="337"/>
      <c r="BE736" s="337">
        <v>25000</v>
      </c>
      <c r="BF736" s="337" t="s">
        <v>425</v>
      </c>
      <c r="BG736" s="337" t="s">
        <v>5</v>
      </c>
      <c r="BH736" s="337" t="s">
        <v>1020</v>
      </c>
      <c r="BI736" s="337"/>
      <c r="BJ736" s="337" t="s">
        <v>5</v>
      </c>
      <c r="BK736" s="337"/>
      <c r="BL736" s="337">
        <v>0</v>
      </c>
      <c r="BM736" s="337"/>
      <c r="BN736" s="337" t="s">
        <v>5</v>
      </c>
      <c r="BO736" s="337"/>
      <c r="BP736" s="337"/>
      <c r="BQ736" s="337"/>
      <c r="BR736" s="337"/>
      <c r="BS736" s="337" t="s">
        <v>5</v>
      </c>
      <c r="BT736" s="337"/>
      <c r="BU736" s="337"/>
      <c r="BV736" s="337"/>
      <c r="BW736" s="337"/>
      <c r="BX736" s="337" t="s">
        <v>6</v>
      </c>
      <c r="BY736" s="337" t="s">
        <v>426</v>
      </c>
      <c r="BZ736" s="337"/>
      <c r="CB736" s="337" t="s">
        <v>5</v>
      </c>
      <c r="CC736" s="337">
        <v>352400.91825588862</v>
      </c>
      <c r="CD736" s="337">
        <v>3972853616.7217312</v>
      </c>
      <c r="CE736" s="313" t="s">
        <v>11891</v>
      </c>
    </row>
    <row r="737" spans="1:83" ht="15" x14ac:dyDescent="0.25">
      <c r="A737" s="337" t="s">
        <v>656</v>
      </c>
      <c r="B737" s="337" t="s">
        <v>657</v>
      </c>
      <c r="C737" s="337" t="s">
        <v>658</v>
      </c>
      <c r="D737" s="337">
        <v>9</v>
      </c>
      <c r="E737" s="337" t="s">
        <v>416</v>
      </c>
      <c r="F737" s="337" t="s">
        <v>649</v>
      </c>
      <c r="G737" s="337" t="s">
        <v>529</v>
      </c>
      <c r="H737" s="337" t="s">
        <v>650</v>
      </c>
      <c r="I737" s="337" t="s">
        <v>651</v>
      </c>
      <c r="J737" s="337" t="s">
        <v>652</v>
      </c>
      <c r="K737" s="337" t="s">
        <v>653</v>
      </c>
      <c r="L737" s="337">
        <v>773.5640869140625</v>
      </c>
      <c r="M737" s="337" t="s">
        <v>5</v>
      </c>
      <c r="N737" s="337" t="s">
        <v>5</v>
      </c>
      <c r="O737" s="337" t="s">
        <v>5</v>
      </c>
      <c r="P737" s="337" t="s">
        <v>5</v>
      </c>
      <c r="Q737" s="337" t="s">
        <v>5</v>
      </c>
      <c r="R737" s="337" t="s">
        <v>654</v>
      </c>
      <c r="S737" s="337" t="s">
        <v>655</v>
      </c>
      <c r="T737" s="337" t="s">
        <v>5</v>
      </c>
      <c r="U737" s="337" t="s">
        <v>4</v>
      </c>
      <c r="V737" s="337">
        <v>30000</v>
      </c>
      <c r="W737" s="337">
        <v>5000</v>
      </c>
      <c r="X737" s="337" t="s">
        <v>6</v>
      </c>
      <c r="Y737" s="337"/>
      <c r="Z737" s="337"/>
      <c r="AA737" s="337">
        <v>64306.2578125</v>
      </c>
      <c r="AB737" s="337">
        <v>37.270698547363281</v>
      </c>
      <c r="AC737" s="337">
        <v>64306.2578125</v>
      </c>
      <c r="AD737" s="337">
        <v>23</v>
      </c>
      <c r="AE737" s="337">
        <v>6</v>
      </c>
      <c r="AF737" s="337">
        <v>12</v>
      </c>
      <c r="AG737" s="337">
        <v>17</v>
      </c>
      <c r="AH737" s="337">
        <v>53</v>
      </c>
      <c r="AI737" s="337">
        <v>53</v>
      </c>
      <c r="AJ737" s="337">
        <v>0</v>
      </c>
      <c r="AK737" s="337">
        <v>0</v>
      </c>
      <c r="AL737" s="337">
        <v>144</v>
      </c>
      <c r="AM737" s="337">
        <v>0</v>
      </c>
      <c r="AN737" s="337">
        <v>15614.3564453125</v>
      </c>
      <c r="AO737" s="337"/>
      <c r="AP737" s="337"/>
      <c r="AQ737" s="337"/>
      <c r="AR737" s="337">
        <v>6</v>
      </c>
      <c r="AS737" s="337">
        <v>6</v>
      </c>
      <c r="AT737" s="337">
        <v>1</v>
      </c>
      <c r="AU737" s="337">
        <v>3</v>
      </c>
      <c r="AV737" s="337">
        <v>13</v>
      </c>
      <c r="AW737" s="337">
        <v>0</v>
      </c>
      <c r="AX737" s="337">
        <v>0</v>
      </c>
      <c r="AY737" s="337">
        <v>36</v>
      </c>
      <c r="AZ737" s="337">
        <v>0</v>
      </c>
      <c r="BA737" s="337">
        <v>3903.589111328125</v>
      </c>
      <c r="BB737" s="337"/>
      <c r="BC737" s="337"/>
      <c r="BD737" s="337"/>
      <c r="BE737" s="337">
        <v>25000</v>
      </c>
      <c r="BF737" s="337" t="s">
        <v>425</v>
      </c>
      <c r="BG737" s="337" t="s">
        <v>5</v>
      </c>
      <c r="BH737" s="337" t="s">
        <v>1020</v>
      </c>
      <c r="BI737" s="337"/>
      <c r="BJ737" s="337" t="s">
        <v>5</v>
      </c>
      <c r="BK737" s="337"/>
      <c r="BL737" s="337">
        <v>0</v>
      </c>
      <c r="BM737" s="337"/>
      <c r="BN737" s="337" t="s">
        <v>5</v>
      </c>
      <c r="BO737" s="337"/>
      <c r="BP737" s="337"/>
      <c r="BQ737" s="337"/>
      <c r="BR737" s="337"/>
      <c r="BS737" s="337" t="s">
        <v>5</v>
      </c>
      <c r="BT737" s="337"/>
      <c r="BU737" s="337"/>
      <c r="BV737" s="337"/>
      <c r="BW737" s="337"/>
      <c r="BX737" s="337" t="s">
        <v>6</v>
      </c>
      <c r="BY737" s="337" t="s">
        <v>426</v>
      </c>
      <c r="BZ737" s="337"/>
      <c r="CB737" s="337" t="s">
        <v>5</v>
      </c>
      <c r="CC737" s="337">
        <v>179689.73689994271</v>
      </c>
      <c r="CD737" s="337">
        <v>2003521739.1468949</v>
      </c>
      <c r="CE737" s="313" t="s">
        <v>11891</v>
      </c>
    </row>
    <row r="738" spans="1:83" ht="15" x14ac:dyDescent="0.25">
      <c r="A738" s="337" t="s">
        <v>663</v>
      </c>
      <c r="B738" s="337" t="s">
        <v>664</v>
      </c>
      <c r="C738" s="337" t="s">
        <v>665</v>
      </c>
      <c r="D738" s="337">
        <v>9</v>
      </c>
      <c r="E738" s="337" t="s">
        <v>416</v>
      </c>
      <c r="F738" s="337" t="s">
        <v>666</v>
      </c>
      <c r="G738" s="337" t="s">
        <v>667</v>
      </c>
      <c r="H738" s="337" t="s">
        <v>668</v>
      </c>
      <c r="I738" s="337" t="s">
        <v>668</v>
      </c>
      <c r="J738" s="337" t="s">
        <v>669</v>
      </c>
      <c r="K738" s="337" t="s">
        <v>653</v>
      </c>
      <c r="L738" s="337">
        <v>988.8865966796875</v>
      </c>
      <c r="M738" s="337" t="s">
        <v>5</v>
      </c>
      <c r="N738" s="337" t="s">
        <v>5</v>
      </c>
      <c r="O738" s="337" t="s">
        <v>5</v>
      </c>
      <c r="P738" s="337" t="s">
        <v>5</v>
      </c>
      <c r="Q738" s="337" t="s">
        <v>5</v>
      </c>
      <c r="R738" s="337" t="s">
        <v>637</v>
      </c>
      <c r="S738" s="337" t="s">
        <v>670</v>
      </c>
      <c r="T738" s="337" t="s">
        <v>5</v>
      </c>
      <c r="U738" s="337" t="s">
        <v>4</v>
      </c>
      <c r="V738" s="337">
        <v>30000</v>
      </c>
      <c r="W738" s="337">
        <v>5000</v>
      </c>
      <c r="X738" s="337" t="s">
        <v>6</v>
      </c>
      <c r="Y738" s="337"/>
      <c r="Z738" s="337"/>
      <c r="AA738" s="337">
        <v>57587.33203125</v>
      </c>
      <c r="AB738" s="337">
        <v>14.754075050354</v>
      </c>
      <c r="AC738" s="337">
        <v>57587.33203125</v>
      </c>
      <c r="AD738" s="337">
        <v>103</v>
      </c>
      <c r="AE738" s="337">
        <v>63</v>
      </c>
      <c r="AF738" s="337">
        <v>52</v>
      </c>
      <c r="AG738" s="337">
        <v>16</v>
      </c>
      <c r="AH738" s="337">
        <v>77</v>
      </c>
      <c r="AI738" s="337">
        <v>77</v>
      </c>
      <c r="AJ738" s="337">
        <v>0</v>
      </c>
      <c r="AK738" s="337">
        <v>4</v>
      </c>
      <c r="AL738" s="337">
        <v>24</v>
      </c>
      <c r="AM738" s="337">
        <v>0</v>
      </c>
      <c r="AN738" s="337">
        <v>12259.0703125</v>
      </c>
      <c r="AO738" s="337"/>
      <c r="AP738" s="337"/>
      <c r="AQ738" s="337"/>
      <c r="AR738" s="337">
        <v>26</v>
      </c>
      <c r="AS738" s="337">
        <v>26</v>
      </c>
      <c r="AT738" s="337">
        <v>15</v>
      </c>
      <c r="AU738" s="337">
        <v>13</v>
      </c>
      <c r="AV738" s="337">
        <v>19</v>
      </c>
      <c r="AW738" s="337">
        <v>0</v>
      </c>
      <c r="AX738" s="337">
        <v>1</v>
      </c>
      <c r="AY738" s="337">
        <v>6</v>
      </c>
      <c r="AZ738" s="337">
        <v>0</v>
      </c>
      <c r="BA738" s="337">
        <v>3064.767578125</v>
      </c>
      <c r="BB738" s="337"/>
      <c r="BC738" s="337"/>
      <c r="BD738" s="337"/>
      <c r="BE738" s="337">
        <v>25000</v>
      </c>
      <c r="BF738" s="337" t="s">
        <v>425</v>
      </c>
      <c r="BG738" s="337" t="s">
        <v>5</v>
      </c>
      <c r="BH738" s="337" t="s">
        <v>1020</v>
      </c>
      <c r="BI738" s="337"/>
      <c r="BJ738" s="337" t="s">
        <v>5</v>
      </c>
      <c r="BK738" s="337"/>
      <c r="BL738" s="337">
        <v>0</v>
      </c>
      <c r="BM738" s="337"/>
      <c r="BN738" s="337" t="s">
        <v>5</v>
      </c>
      <c r="BO738" s="337"/>
      <c r="BP738" s="337"/>
      <c r="BQ738" s="337"/>
      <c r="BR738" s="337"/>
      <c r="BS738" s="337" t="s">
        <v>5</v>
      </c>
      <c r="BT738" s="337"/>
      <c r="BU738" s="337"/>
      <c r="BV738" s="337"/>
      <c r="BW738" s="337"/>
      <c r="BX738" s="337" t="s">
        <v>6</v>
      </c>
      <c r="BY738" s="337" t="s">
        <v>426</v>
      </c>
      <c r="BZ738" s="337"/>
      <c r="CB738" s="337" t="s">
        <v>5</v>
      </c>
      <c r="CC738" s="337">
        <v>221910.61929789599</v>
      </c>
      <c r="CD738" s="337">
        <v>2561204481.1264138</v>
      </c>
      <c r="CE738" s="313" t="s">
        <v>11891</v>
      </c>
    </row>
    <row r="739" spans="1:83" ht="15" x14ac:dyDescent="0.25">
      <c r="A739" s="337" t="s">
        <v>678</v>
      </c>
      <c r="B739" s="337" t="s">
        <v>679</v>
      </c>
      <c r="C739" s="337" t="s">
        <v>680</v>
      </c>
      <c r="D739" s="337">
        <v>9</v>
      </c>
      <c r="E739" s="337" t="s">
        <v>416</v>
      </c>
      <c r="F739" s="337" t="s">
        <v>417</v>
      </c>
      <c r="G739" s="337" t="s">
        <v>418</v>
      </c>
      <c r="H739" s="337" t="s">
        <v>419</v>
      </c>
      <c r="I739" s="337" t="s">
        <v>419</v>
      </c>
      <c r="J739" s="337" t="s">
        <v>421</v>
      </c>
      <c r="K739" s="337" t="s">
        <v>422</v>
      </c>
      <c r="L739" s="337">
        <v>5.3634138107299796</v>
      </c>
      <c r="M739" s="337" t="s">
        <v>5</v>
      </c>
      <c r="N739" s="337" t="s">
        <v>5</v>
      </c>
      <c r="O739" s="337" t="s">
        <v>5</v>
      </c>
      <c r="P739" s="337" t="s">
        <v>5</v>
      </c>
      <c r="Q739" s="337" t="s">
        <v>5</v>
      </c>
      <c r="R739" s="337" t="s">
        <v>423</v>
      </c>
      <c r="S739" s="337" t="s">
        <v>424</v>
      </c>
      <c r="T739" s="337" t="s">
        <v>5</v>
      </c>
      <c r="U739" s="337" t="s">
        <v>4</v>
      </c>
      <c r="V739" s="337">
        <v>30000</v>
      </c>
      <c r="W739" s="337">
        <v>5000</v>
      </c>
      <c r="X739" s="337" t="s">
        <v>6</v>
      </c>
      <c r="Y739" s="337"/>
      <c r="Z739" s="337"/>
      <c r="AA739" s="337">
        <v>518.2352294921875</v>
      </c>
      <c r="AB739" s="337">
        <v>0.2434544712305069</v>
      </c>
      <c r="AC739" s="337">
        <v>518.2352294921875</v>
      </c>
      <c r="AD739" s="337">
        <v>143</v>
      </c>
      <c r="AE739" s="337">
        <v>104</v>
      </c>
      <c r="AF739" s="337">
        <v>93</v>
      </c>
      <c r="AG739" s="337">
        <v>353</v>
      </c>
      <c r="AH739" s="337">
        <v>151</v>
      </c>
      <c r="AI739" s="337">
        <v>353</v>
      </c>
      <c r="AJ739" s="337">
        <v>2</v>
      </c>
      <c r="AK739" s="337">
        <v>1</v>
      </c>
      <c r="AL739" s="337">
        <v>10</v>
      </c>
      <c r="AM739" s="337">
        <v>0</v>
      </c>
      <c r="AN739" s="337">
        <v>41.681648254394531</v>
      </c>
      <c r="AO739" s="337"/>
      <c r="AP739" s="337"/>
      <c r="AQ739" s="337"/>
      <c r="AR739" s="337">
        <v>36</v>
      </c>
      <c r="AS739" s="337">
        <v>36</v>
      </c>
      <c r="AT739" s="337">
        <v>26</v>
      </c>
      <c r="AU739" s="337">
        <v>23</v>
      </c>
      <c r="AV739" s="337">
        <v>109</v>
      </c>
      <c r="AW739" s="337">
        <v>0</v>
      </c>
      <c r="AX739" s="337">
        <v>0</v>
      </c>
      <c r="AY739" s="337">
        <v>2</v>
      </c>
      <c r="AZ739" s="337">
        <v>0</v>
      </c>
      <c r="BA739" s="337">
        <v>10.420412063598629</v>
      </c>
      <c r="BB739" s="337"/>
      <c r="BC739" s="337"/>
      <c r="BD739" s="337"/>
      <c r="BE739" s="337">
        <v>25000</v>
      </c>
      <c r="BF739" s="337" t="s">
        <v>425</v>
      </c>
      <c r="BG739" s="337" t="s">
        <v>5</v>
      </c>
      <c r="BH739" s="337" t="s">
        <v>1020</v>
      </c>
      <c r="BI739" s="337"/>
      <c r="BJ739" s="337" t="s">
        <v>5</v>
      </c>
      <c r="BK739" s="337"/>
      <c r="BL739" s="337">
        <v>25</v>
      </c>
      <c r="BM739" s="337"/>
      <c r="BN739" s="337" t="s">
        <v>5</v>
      </c>
      <c r="BO739" s="337"/>
      <c r="BP739" s="337"/>
      <c r="BQ739" s="337"/>
      <c r="BR739" s="337"/>
      <c r="BS739" s="337" t="s">
        <v>5</v>
      </c>
      <c r="BT739" s="337"/>
      <c r="BU739" s="337"/>
      <c r="BV739" s="337"/>
      <c r="BW739" s="337"/>
      <c r="BX739" s="337" t="s">
        <v>6</v>
      </c>
      <c r="BY739" s="337" t="s">
        <v>426</v>
      </c>
      <c r="BZ739" s="337"/>
      <c r="CB739" s="337" t="s">
        <v>6</v>
      </c>
      <c r="CC739" s="337">
        <v>21378.788481988129</v>
      </c>
      <c r="CD739" s="337">
        <v>13891178.5543983</v>
      </c>
      <c r="CE739" s="313" t="s">
        <v>11891</v>
      </c>
    </row>
    <row r="740" spans="1:83" ht="15" x14ac:dyDescent="0.25">
      <c r="A740" s="337" t="s">
        <v>681</v>
      </c>
      <c r="B740" s="337" t="s">
        <v>679</v>
      </c>
      <c r="C740" s="337" t="s">
        <v>682</v>
      </c>
      <c r="D740" s="337">
        <v>9</v>
      </c>
      <c r="E740" s="337" t="s">
        <v>416</v>
      </c>
      <c r="F740" s="337" t="s">
        <v>417</v>
      </c>
      <c r="G740" s="337" t="s">
        <v>418</v>
      </c>
      <c r="H740" s="337" t="s">
        <v>419</v>
      </c>
      <c r="I740" s="337" t="s">
        <v>419</v>
      </c>
      <c r="J740" s="337" t="s">
        <v>421</v>
      </c>
      <c r="K740" s="337" t="s">
        <v>422</v>
      </c>
      <c r="L740" s="337">
        <v>5.3634138107299796</v>
      </c>
      <c r="M740" s="337" t="s">
        <v>5</v>
      </c>
      <c r="N740" s="337" t="s">
        <v>5</v>
      </c>
      <c r="O740" s="337" t="s">
        <v>5</v>
      </c>
      <c r="P740" s="337" t="s">
        <v>5</v>
      </c>
      <c r="Q740" s="337" t="s">
        <v>5</v>
      </c>
      <c r="R740" s="337" t="s">
        <v>423</v>
      </c>
      <c r="S740" s="337" t="s">
        <v>424</v>
      </c>
      <c r="T740" s="337" t="s">
        <v>5</v>
      </c>
      <c r="U740" s="337" t="s">
        <v>4</v>
      </c>
      <c r="V740" s="337">
        <v>30000</v>
      </c>
      <c r="W740" s="337">
        <v>5000</v>
      </c>
      <c r="X740" s="337" t="s">
        <v>6</v>
      </c>
      <c r="Y740" s="337"/>
      <c r="Z740" s="337"/>
      <c r="AA740" s="337">
        <v>518.2352294921875</v>
      </c>
      <c r="AB740" s="337">
        <v>0.2434544712305069</v>
      </c>
      <c r="AC740" s="337">
        <v>518.2352294921875</v>
      </c>
      <c r="AD740" s="337">
        <v>143</v>
      </c>
      <c r="AE740" s="337">
        <v>104</v>
      </c>
      <c r="AF740" s="337">
        <v>93</v>
      </c>
      <c r="AG740" s="337">
        <v>353</v>
      </c>
      <c r="AH740" s="337">
        <v>151</v>
      </c>
      <c r="AI740" s="337">
        <v>353</v>
      </c>
      <c r="AJ740" s="337">
        <v>2</v>
      </c>
      <c r="AK740" s="337">
        <v>1</v>
      </c>
      <c r="AL740" s="337">
        <v>10</v>
      </c>
      <c r="AM740" s="337">
        <v>0</v>
      </c>
      <c r="AN740" s="337">
        <v>41.681648254394531</v>
      </c>
      <c r="AO740" s="337"/>
      <c r="AP740" s="337"/>
      <c r="AQ740" s="337"/>
      <c r="AR740" s="337">
        <v>36</v>
      </c>
      <c r="AS740" s="337">
        <v>36</v>
      </c>
      <c r="AT740" s="337">
        <v>26</v>
      </c>
      <c r="AU740" s="337">
        <v>23</v>
      </c>
      <c r="AV740" s="337">
        <v>109</v>
      </c>
      <c r="AW740" s="337">
        <v>0</v>
      </c>
      <c r="AX740" s="337">
        <v>0</v>
      </c>
      <c r="AY740" s="337">
        <v>2</v>
      </c>
      <c r="AZ740" s="337">
        <v>0</v>
      </c>
      <c r="BA740" s="337">
        <v>10.420412063598629</v>
      </c>
      <c r="BB740" s="337"/>
      <c r="BC740" s="337"/>
      <c r="BD740" s="337"/>
      <c r="BE740" s="337">
        <v>25000</v>
      </c>
      <c r="BF740" s="337" t="s">
        <v>425</v>
      </c>
      <c r="BG740" s="337" t="s">
        <v>5</v>
      </c>
      <c r="BH740" s="337" t="s">
        <v>1020</v>
      </c>
      <c r="BI740" s="337"/>
      <c r="BJ740" s="337" t="s">
        <v>5</v>
      </c>
      <c r="BK740" s="337"/>
      <c r="BL740" s="337">
        <v>0</v>
      </c>
      <c r="BM740" s="337"/>
      <c r="BN740" s="337" t="s">
        <v>5</v>
      </c>
      <c r="BO740" s="337"/>
      <c r="BP740" s="337"/>
      <c r="BQ740" s="337"/>
      <c r="BR740" s="337"/>
      <c r="BS740" s="337" t="s">
        <v>5</v>
      </c>
      <c r="BT740" s="337"/>
      <c r="BU740" s="337"/>
      <c r="BV740" s="337"/>
      <c r="BW740" s="337"/>
      <c r="BX740" s="337" t="s">
        <v>6</v>
      </c>
      <c r="BY740" s="337" t="s">
        <v>426</v>
      </c>
      <c r="BZ740" s="337"/>
      <c r="CB740" s="337" t="s">
        <v>5</v>
      </c>
      <c r="CC740" s="337">
        <v>21378.788481988129</v>
      </c>
      <c r="CD740" s="337">
        <v>13891178.5543983</v>
      </c>
      <c r="CE740" s="313" t="s">
        <v>11891</v>
      </c>
    </row>
    <row r="741" spans="1:83" ht="15" x14ac:dyDescent="0.25">
      <c r="A741" s="337" t="s">
        <v>684</v>
      </c>
      <c r="B741" s="337" t="s">
        <v>685</v>
      </c>
      <c r="C741" s="337" t="s">
        <v>686</v>
      </c>
      <c r="D741" s="337">
        <v>9</v>
      </c>
      <c r="E741" s="337" t="s">
        <v>416</v>
      </c>
      <c r="F741" s="337" t="s">
        <v>605</v>
      </c>
      <c r="G741" s="337" t="s">
        <v>606</v>
      </c>
      <c r="H741" s="337" t="s">
        <v>607</v>
      </c>
      <c r="I741" s="337" t="s">
        <v>607</v>
      </c>
      <c r="J741" s="337" t="s">
        <v>609</v>
      </c>
      <c r="K741" s="337" t="s">
        <v>427</v>
      </c>
      <c r="L741" s="337">
        <v>910.55255126953125</v>
      </c>
      <c r="M741" s="337" t="s">
        <v>5</v>
      </c>
      <c r="N741" s="337" t="s">
        <v>5</v>
      </c>
      <c r="O741" s="337" t="s">
        <v>5</v>
      </c>
      <c r="P741" s="337" t="s">
        <v>5</v>
      </c>
      <c r="Q741" s="337" t="s">
        <v>5</v>
      </c>
      <c r="R741" s="337" t="s">
        <v>556</v>
      </c>
      <c r="S741" s="337" t="s">
        <v>687</v>
      </c>
      <c r="T741" s="337" t="s">
        <v>5</v>
      </c>
      <c r="U741" s="337" t="s">
        <v>4</v>
      </c>
      <c r="V741" s="337">
        <v>30000</v>
      </c>
      <c r="W741" s="337">
        <v>5000</v>
      </c>
      <c r="X741" s="337" t="s">
        <v>6</v>
      </c>
      <c r="Y741" s="337"/>
      <c r="Z741" s="337"/>
      <c r="AA741" s="337">
        <v>44368.89453125</v>
      </c>
      <c r="AB741" s="337">
        <v>7.8130970001220703</v>
      </c>
      <c r="AC741" s="337">
        <v>44368.89453125</v>
      </c>
      <c r="AD741" s="337">
        <v>90</v>
      </c>
      <c r="AE741" s="337">
        <v>10</v>
      </c>
      <c r="AF741" s="337">
        <v>16</v>
      </c>
      <c r="AG741" s="337">
        <v>12</v>
      </c>
      <c r="AH741" s="337">
        <v>23</v>
      </c>
      <c r="AI741" s="337">
        <v>23</v>
      </c>
      <c r="AJ741" s="337">
        <v>0</v>
      </c>
      <c r="AK741" s="337">
        <v>5</v>
      </c>
      <c r="AL741" s="337">
        <v>21</v>
      </c>
      <c r="AM741" s="337">
        <v>0</v>
      </c>
      <c r="AN741" s="337">
        <v>3888.306884765625</v>
      </c>
      <c r="AO741" s="337"/>
      <c r="AP741" s="337"/>
      <c r="AQ741" s="337"/>
      <c r="AR741" s="337">
        <v>23</v>
      </c>
      <c r="AS741" s="337">
        <v>23</v>
      </c>
      <c r="AT741" s="337">
        <v>2</v>
      </c>
      <c r="AU741" s="337">
        <v>4</v>
      </c>
      <c r="AV741" s="337">
        <v>7</v>
      </c>
      <c r="AW741" s="337">
        <v>0</v>
      </c>
      <c r="AX741" s="337">
        <v>1</v>
      </c>
      <c r="AY741" s="337">
        <v>5</v>
      </c>
      <c r="AZ741" s="337">
        <v>0</v>
      </c>
      <c r="BA741" s="337">
        <v>972.07672119140625</v>
      </c>
      <c r="BB741" s="337"/>
      <c r="BC741" s="337"/>
      <c r="BD741" s="337"/>
      <c r="BE741" s="337">
        <v>25000</v>
      </c>
      <c r="BF741" s="337" t="s">
        <v>425</v>
      </c>
      <c r="BG741" s="337" t="s">
        <v>5</v>
      </c>
      <c r="BH741" s="337" t="s">
        <v>1020</v>
      </c>
      <c r="BI741" s="337"/>
      <c r="BJ741" s="337" t="s">
        <v>5</v>
      </c>
      <c r="BK741" s="337"/>
      <c r="BL741" s="337">
        <v>10</v>
      </c>
      <c r="BM741" s="337"/>
      <c r="BN741" s="337" t="s">
        <v>5</v>
      </c>
      <c r="BO741" s="337"/>
      <c r="BP741" s="337"/>
      <c r="BQ741" s="337"/>
      <c r="BR741" s="337"/>
      <c r="BS741" s="337" t="s">
        <v>5</v>
      </c>
      <c r="BT741" s="337"/>
      <c r="BU741" s="337"/>
      <c r="BV741" s="337"/>
      <c r="BW741" s="337"/>
      <c r="BX741" s="337" t="s">
        <v>6</v>
      </c>
      <c r="BY741" s="337" t="s">
        <v>426</v>
      </c>
      <c r="BZ741" s="337"/>
      <c r="CB741" s="337" t="s">
        <v>6</v>
      </c>
      <c r="CC741" s="337">
        <v>194294.41496471039</v>
      </c>
      <c r="CD741" s="337">
        <v>2358320295.9847579</v>
      </c>
      <c r="CE741" s="313" t="s">
        <v>11891</v>
      </c>
    </row>
    <row r="742" spans="1:83" ht="15" x14ac:dyDescent="0.25">
      <c r="A742" s="337" t="s">
        <v>688</v>
      </c>
      <c r="B742" s="337" t="s">
        <v>689</v>
      </c>
      <c r="C742" s="337" t="s">
        <v>690</v>
      </c>
      <c r="D742" s="337">
        <v>9</v>
      </c>
      <c r="E742" s="337" t="s">
        <v>416</v>
      </c>
      <c r="F742" s="337" t="s">
        <v>465</v>
      </c>
      <c r="G742" s="337" t="s">
        <v>466</v>
      </c>
      <c r="H742" s="337" t="s">
        <v>467</v>
      </c>
      <c r="I742" s="337" t="s">
        <v>468</v>
      </c>
      <c r="J742" s="337" t="s">
        <v>469</v>
      </c>
      <c r="K742" s="337" t="s">
        <v>653</v>
      </c>
      <c r="L742" s="337">
        <v>0.60229748487472534</v>
      </c>
      <c r="M742" s="337" t="s">
        <v>5</v>
      </c>
      <c r="N742" s="337" t="s">
        <v>5</v>
      </c>
      <c r="O742" s="337" t="s">
        <v>5</v>
      </c>
      <c r="P742" s="337" t="s">
        <v>5</v>
      </c>
      <c r="Q742" s="337" t="s">
        <v>5</v>
      </c>
      <c r="R742" s="337" t="s">
        <v>470</v>
      </c>
      <c r="S742" s="337" t="s">
        <v>471</v>
      </c>
      <c r="T742" s="337" t="s">
        <v>5</v>
      </c>
      <c r="U742" s="337" t="s">
        <v>4</v>
      </c>
      <c r="V742" s="337">
        <v>30000</v>
      </c>
      <c r="W742" s="337">
        <v>5000</v>
      </c>
      <c r="X742" s="337" t="s">
        <v>6</v>
      </c>
      <c r="Y742" s="337"/>
      <c r="Z742" s="337"/>
      <c r="AA742" s="337">
        <v>23.786977767944339</v>
      </c>
      <c r="AB742" s="337">
        <v>9.9942414090037346E-3</v>
      </c>
      <c r="AC742" s="337">
        <v>23.786977767944339</v>
      </c>
      <c r="AD742" s="337">
        <v>2</v>
      </c>
      <c r="AE742" s="337">
        <v>3</v>
      </c>
      <c r="AF742" s="337">
        <v>3</v>
      </c>
      <c r="AG742" s="337">
        <v>4</v>
      </c>
      <c r="AH742" s="337">
        <v>14</v>
      </c>
      <c r="AI742" s="337">
        <v>14</v>
      </c>
      <c r="AJ742" s="337">
        <v>0</v>
      </c>
      <c r="AK742" s="337">
        <v>0</v>
      </c>
      <c r="AL742" s="337">
        <v>0</v>
      </c>
      <c r="AM742" s="337">
        <v>0</v>
      </c>
      <c r="AN742" s="337">
        <v>0</v>
      </c>
      <c r="AO742" s="337"/>
      <c r="AP742" s="337"/>
      <c r="AQ742" s="337"/>
      <c r="AR742" s="337">
        <v>1</v>
      </c>
      <c r="AS742" s="337">
        <v>1</v>
      </c>
      <c r="AT742" s="337">
        <v>0</v>
      </c>
      <c r="AU742" s="337">
        <v>0</v>
      </c>
      <c r="AV742" s="337">
        <v>3</v>
      </c>
      <c r="AW742" s="337">
        <v>0</v>
      </c>
      <c r="AX742" s="337">
        <v>0</v>
      </c>
      <c r="AY742" s="337">
        <v>0</v>
      </c>
      <c r="AZ742" s="337">
        <v>0</v>
      </c>
      <c r="BA742" s="337">
        <v>0</v>
      </c>
      <c r="BB742" s="337"/>
      <c r="BC742" s="337"/>
      <c r="BD742" s="337"/>
      <c r="BE742" s="337">
        <v>25000</v>
      </c>
      <c r="BF742" s="337" t="s">
        <v>425</v>
      </c>
      <c r="BG742" s="337" t="s">
        <v>5</v>
      </c>
      <c r="BH742" s="337" t="s">
        <v>1020</v>
      </c>
      <c r="BI742" s="337"/>
      <c r="BJ742" s="337" t="s">
        <v>5</v>
      </c>
      <c r="BK742" s="337"/>
      <c r="BL742" s="337">
        <v>10</v>
      </c>
      <c r="BM742" s="337"/>
      <c r="BN742" s="337" t="s">
        <v>5</v>
      </c>
      <c r="BO742" s="337"/>
      <c r="BP742" s="337"/>
      <c r="BQ742" s="337"/>
      <c r="BR742" s="337"/>
      <c r="BS742" s="337" t="s">
        <v>5</v>
      </c>
      <c r="BT742" s="337"/>
      <c r="BU742" s="337"/>
      <c r="BV742" s="337"/>
      <c r="BW742" s="337"/>
      <c r="BX742" s="337" t="s">
        <v>6</v>
      </c>
      <c r="BY742" s="337" t="s">
        <v>426</v>
      </c>
      <c r="BZ742" s="337"/>
      <c r="CB742" s="337" t="s">
        <v>6</v>
      </c>
      <c r="CC742" s="337">
        <v>6160.4262287349729</v>
      </c>
      <c r="CD742" s="337">
        <v>1559943.2684303811</v>
      </c>
      <c r="CE742" s="313" t="s">
        <v>11891</v>
      </c>
    </row>
    <row r="743" spans="1:83" ht="15" x14ac:dyDescent="0.25">
      <c r="A743" s="337" t="s">
        <v>695</v>
      </c>
      <c r="B743" s="337" t="s">
        <v>696</v>
      </c>
      <c r="C743" s="337" t="s">
        <v>697</v>
      </c>
      <c r="D743" s="337">
        <v>9</v>
      </c>
      <c r="E743" s="337" t="s">
        <v>416</v>
      </c>
      <c r="F743" s="337" t="s">
        <v>627</v>
      </c>
      <c r="G743" s="337" t="s">
        <v>628</v>
      </c>
      <c r="H743" s="337" t="s">
        <v>629</v>
      </c>
      <c r="I743" s="337" t="s">
        <v>629</v>
      </c>
      <c r="J743" s="337" t="s">
        <v>631</v>
      </c>
      <c r="K743" s="337" t="s">
        <v>427</v>
      </c>
      <c r="L743" s="337">
        <v>915.62506103515625</v>
      </c>
      <c r="M743" s="337" t="s">
        <v>5</v>
      </c>
      <c r="N743" s="337" t="s">
        <v>5</v>
      </c>
      <c r="O743" s="337" t="s">
        <v>5</v>
      </c>
      <c r="P743" s="337" t="s">
        <v>5</v>
      </c>
      <c r="Q743" s="337" t="s">
        <v>5</v>
      </c>
      <c r="R743" s="337" t="s">
        <v>698</v>
      </c>
      <c r="S743" s="337" t="s">
        <v>699</v>
      </c>
      <c r="T743" s="337" t="s">
        <v>5</v>
      </c>
      <c r="U743" s="337" t="s">
        <v>4</v>
      </c>
      <c r="V743" s="337">
        <v>30000</v>
      </c>
      <c r="W743" s="337">
        <v>5000</v>
      </c>
      <c r="X743" s="337" t="s">
        <v>6</v>
      </c>
      <c r="Y743" s="337"/>
      <c r="Z743" s="337"/>
      <c r="AA743" s="337">
        <v>21048.029296875</v>
      </c>
      <c r="AB743" s="337">
        <v>4.3353614807128906</v>
      </c>
      <c r="AC743" s="337">
        <v>21048.029296875</v>
      </c>
      <c r="AD743" s="337">
        <v>70</v>
      </c>
      <c r="AE743" s="337">
        <v>20</v>
      </c>
      <c r="AF743" s="337">
        <v>51</v>
      </c>
      <c r="AG743" s="337">
        <v>4</v>
      </c>
      <c r="AH743" s="337">
        <v>46</v>
      </c>
      <c r="AI743" s="337">
        <v>46</v>
      </c>
      <c r="AJ743" s="337">
        <v>0</v>
      </c>
      <c r="AK743" s="337">
        <v>10</v>
      </c>
      <c r="AL743" s="337">
        <v>18</v>
      </c>
      <c r="AM743" s="337">
        <v>0</v>
      </c>
      <c r="AN743" s="337">
        <v>3492.16162109375</v>
      </c>
      <c r="AO743" s="337"/>
      <c r="AP743" s="337"/>
      <c r="AQ743" s="337"/>
      <c r="AR743" s="337">
        <v>18</v>
      </c>
      <c r="AS743" s="337">
        <v>18</v>
      </c>
      <c r="AT743" s="337">
        <v>5</v>
      </c>
      <c r="AU743" s="337">
        <v>12</v>
      </c>
      <c r="AV743" s="337">
        <v>11</v>
      </c>
      <c r="AW743" s="337">
        <v>0</v>
      </c>
      <c r="AX743" s="337">
        <v>2</v>
      </c>
      <c r="AY743" s="337">
        <v>4</v>
      </c>
      <c r="AZ743" s="337">
        <v>0</v>
      </c>
      <c r="BA743" s="337">
        <v>873.0404052734375</v>
      </c>
      <c r="BB743" s="337"/>
      <c r="BC743" s="337"/>
      <c r="BD743" s="337"/>
      <c r="BE743" s="337">
        <v>25000</v>
      </c>
      <c r="BF743" s="337" t="s">
        <v>425</v>
      </c>
      <c r="BG743" s="337" t="s">
        <v>5</v>
      </c>
      <c r="BH743" s="337" t="s">
        <v>1020</v>
      </c>
      <c r="BI743" s="337"/>
      <c r="BJ743" s="337" t="s">
        <v>5</v>
      </c>
      <c r="BK743" s="337"/>
      <c r="BL743" s="337">
        <v>10</v>
      </c>
      <c r="BM743" s="337"/>
      <c r="BN743" s="337" t="s">
        <v>5</v>
      </c>
      <c r="BO743" s="337"/>
      <c r="BP743" s="337"/>
      <c r="BQ743" s="337"/>
      <c r="BR743" s="337"/>
      <c r="BS743" s="337" t="s">
        <v>5</v>
      </c>
      <c r="BT743" s="337"/>
      <c r="BU743" s="337"/>
      <c r="BV743" s="337"/>
      <c r="BW743" s="337"/>
      <c r="BX743" s="337" t="s">
        <v>6</v>
      </c>
      <c r="BY743" s="337" t="s">
        <v>426</v>
      </c>
      <c r="BZ743" s="337"/>
      <c r="CB743" s="337" t="s">
        <v>6</v>
      </c>
      <c r="CC743" s="337">
        <v>195181.4696438172</v>
      </c>
      <c r="CD743" s="337">
        <v>2371457971.1507888</v>
      </c>
      <c r="CE743" s="313" t="s">
        <v>11891</v>
      </c>
    </row>
    <row r="744" spans="1:83" ht="15" x14ac:dyDescent="0.25">
      <c r="A744" s="337" t="s">
        <v>700</v>
      </c>
      <c r="B744" s="337" t="s">
        <v>696</v>
      </c>
      <c r="C744" s="337" t="s">
        <v>701</v>
      </c>
      <c r="D744" s="337">
        <v>9</v>
      </c>
      <c r="E744" s="337" t="s">
        <v>416</v>
      </c>
      <c r="F744" s="337" t="s">
        <v>627</v>
      </c>
      <c r="G744" s="337" t="s">
        <v>628</v>
      </c>
      <c r="H744" s="337" t="s">
        <v>629</v>
      </c>
      <c r="I744" s="337" t="s">
        <v>629</v>
      </c>
      <c r="J744" s="337" t="s">
        <v>631</v>
      </c>
      <c r="K744" s="337" t="s">
        <v>444</v>
      </c>
      <c r="L744" s="337">
        <v>915.62506103515625</v>
      </c>
      <c r="M744" s="337" t="s">
        <v>5</v>
      </c>
      <c r="N744" s="337" t="s">
        <v>5</v>
      </c>
      <c r="O744" s="337" t="s">
        <v>5</v>
      </c>
      <c r="P744" s="337" t="s">
        <v>5</v>
      </c>
      <c r="Q744" s="337" t="s">
        <v>5</v>
      </c>
      <c r="R744" s="337" t="s">
        <v>698</v>
      </c>
      <c r="S744" s="337" t="s">
        <v>699</v>
      </c>
      <c r="T744" s="337" t="s">
        <v>5</v>
      </c>
      <c r="U744" s="337" t="s">
        <v>4</v>
      </c>
      <c r="V744" s="337">
        <v>30000</v>
      </c>
      <c r="W744" s="337">
        <v>5000</v>
      </c>
      <c r="X744" s="337" t="s">
        <v>6</v>
      </c>
      <c r="Y744" s="337"/>
      <c r="Z744" s="337"/>
      <c r="AA744" s="337">
        <v>21048.029296875</v>
      </c>
      <c r="AB744" s="337">
        <v>4.3353614807128906</v>
      </c>
      <c r="AC744" s="337">
        <v>21048.029296875</v>
      </c>
      <c r="AD744" s="337">
        <v>70</v>
      </c>
      <c r="AE744" s="337">
        <v>20</v>
      </c>
      <c r="AF744" s="337">
        <v>51</v>
      </c>
      <c r="AG744" s="337">
        <v>4</v>
      </c>
      <c r="AH744" s="337">
        <v>46</v>
      </c>
      <c r="AI744" s="337">
        <v>46</v>
      </c>
      <c r="AJ744" s="337">
        <v>0</v>
      </c>
      <c r="AK744" s="337">
        <v>10</v>
      </c>
      <c r="AL744" s="337">
        <v>18</v>
      </c>
      <c r="AM744" s="337">
        <v>0</v>
      </c>
      <c r="AN744" s="337">
        <v>3492.16162109375</v>
      </c>
      <c r="AO744" s="337"/>
      <c r="AP744" s="337"/>
      <c r="AQ744" s="337"/>
      <c r="AR744" s="337">
        <v>18</v>
      </c>
      <c r="AS744" s="337">
        <v>18</v>
      </c>
      <c r="AT744" s="337">
        <v>5</v>
      </c>
      <c r="AU744" s="337">
        <v>12</v>
      </c>
      <c r="AV744" s="337">
        <v>11</v>
      </c>
      <c r="AW744" s="337">
        <v>0</v>
      </c>
      <c r="AX744" s="337">
        <v>2</v>
      </c>
      <c r="AY744" s="337">
        <v>4</v>
      </c>
      <c r="AZ744" s="337">
        <v>0</v>
      </c>
      <c r="BA744" s="337">
        <v>873.0404052734375</v>
      </c>
      <c r="BB744" s="337"/>
      <c r="BC744" s="337"/>
      <c r="BD744" s="337"/>
      <c r="BE744" s="337">
        <v>25000</v>
      </c>
      <c r="BF744" s="337" t="s">
        <v>425</v>
      </c>
      <c r="BG744" s="337" t="s">
        <v>5</v>
      </c>
      <c r="BH744" s="337" t="s">
        <v>1020</v>
      </c>
      <c r="BI744" s="337"/>
      <c r="BJ744" s="337" t="s">
        <v>5</v>
      </c>
      <c r="BK744" s="337"/>
      <c r="BL744" s="337">
        <v>0</v>
      </c>
      <c r="BM744" s="337"/>
      <c r="BN744" s="337" t="s">
        <v>5</v>
      </c>
      <c r="BO744" s="337"/>
      <c r="BP744" s="337"/>
      <c r="BQ744" s="337"/>
      <c r="BR744" s="337"/>
      <c r="BS744" s="337" t="s">
        <v>5</v>
      </c>
      <c r="BT744" s="337"/>
      <c r="BU744" s="337"/>
      <c r="BV744" s="337"/>
      <c r="BW744" s="337"/>
      <c r="BX744" s="337" t="s">
        <v>6</v>
      </c>
      <c r="BY744" s="337" t="s">
        <v>426</v>
      </c>
      <c r="BZ744" s="337"/>
      <c r="CB744" s="337" t="s">
        <v>5</v>
      </c>
      <c r="CC744" s="337">
        <v>195181.4696438172</v>
      </c>
      <c r="CD744" s="337">
        <v>2371457971.1507888</v>
      </c>
      <c r="CE744" s="313" t="s">
        <v>11891</v>
      </c>
    </row>
    <row r="745" spans="1:83" ht="15" x14ac:dyDescent="0.25">
      <c r="A745" s="337" t="s">
        <v>702</v>
      </c>
      <c r="B745" s="337" t="s">
        <v>696</v>
      </c>
      <c r="C745" s="337" t="s">
        <v>703</v>
      </c>
      <c r="D745" s="337">
        <v>9</v>
      </c>
      <c r="E745" s="337" t="s">
        <v>416</v>
      </c>
      <c r="F745" s="337" t="s">
        <v>627</v>
      </c>
      <c r="G745" s="337" t="s">
        <v>628</v>
      </c>
      <c r="H745" s="337" t="s">
        <v>629</v>
      </c>
      <c r="I745" s="337" t="s">
        <v>629</v>
      </c>
      <c r="J745" s="337" t="s">
        <v>631</v>
      </c>
      <c r="K745" s="337" t="s">
        <v>427</v>
      </c>
      <c r="L745" s="337">
        <v>915.62506103515625</v>
      </c>
      <c r="M745" s="337" t="s">
        <v>5</v>
      </c>
      <c r="N745" s="337" t="s">
        <v>5</v>
      </c>
      <c r="O745" s="337" t="s">
        <v>5</v>
      </c>
      <c r="P745" s="337" t="s">
        <v>5</v>
      </c>
      <c r="Q745" s="337" t="s">
        <v>5</v>
      </c>
      <c r="R745" s="337" t="s">
        <v>698</v>
      </c>
      <c r="S745" s="337" t="s">
        <v>699</v>
      </c>
      <c r="T745" s="337" t="s">
        <v>5</v>
      </c>
      <c r="U745" s="337" t="s">
        <v>4</v>
      </c>
      <c r="V745" s="337">
        <v>30000</v>
      </c>
      <c r="W745" s="337">
        <v>5000</v>
      </c>
      <c r="X745" s="337" t="s">
        <v>6</v>
      </c>
      <c r="Y745" s="337"/>
      <c r="Z745" s="337"/>
      <c r="AA745" s="337">
        <v>21048.029296875</v>
      </c>
      <c r="AB745" s="337">
        <v>4.3353614807128906</v>
      </c>
      <c r="AC745" s="337">
        <v>21048.029296875</v>
      </c>
      <c r="AD745" s="337">
        <v>70</v>
      </c>
      <c r="AE745" s="337">
        <v>20</v>
      </c>
      <c r="AF745" s="337">
        <v>51</v>
      </c>
      <c r="AG745" s="337">
        <v>4</v>
      </c>
      <c r="AH745" s="337">
        <v>46</v>
      </c>
      <c r="AI745" s="337">
        <v>46</v>
      </c>
      <c r="AJ745" s="337">
        <v>0</v>
      </c>
      <c r="AK745" s="337">
        <v>10</v>
      </c>
      <c r="AL745" s="337">
        <v>18</v>
      </c>
      <c r="AM745" s="337">
        <v>0</v>
      </c>
      <c r="AN745" s="337">
        <v>3492.16162109375</v>
      </c>
      <c r="AO745" s="337"/>
      <c r="AP745" s="337"/>
      <c r="AQ745" s="337"/>
      <c r="AR745" s="337">
        <v>18</v>
      </c>
      <c r="AS745" s="337">
        <v>18</v>
      </c>
      <c r="AT745" s="337">
        <v>5</v>
      </c>
      <c r="AU745" s="337">
        <v>12</v>
      </c>
      <c r="AV745" s="337">
        <v>11</v>
      </c>
      <c r="AW745" s="337">
        <v>0</v>
      </c>
      <c r="AX745" s="337">
        <v>2</v>
      </c>
      <c r="AY745" s="337">
        <v>4</v>
      </c>
      <c r="AZ745" s="337">
        <v>0</v>
      </c>
      <c r="BA745" s="337">
        <v>873.0404052734375</v>
      </c>
      <c r="BB745" s="337"/>
      <c r="BC745" s="337"/>
      <c r="BD745" s="337"/>
      <c r="BE745" s="337">
        <v>25000</v>
      </c>
      <c r="BF745" s="337" t="s">
        <v>425</v>
      </c>
      <c r="BG745" s="337" t="s">
        <v>5</v>
      </c>
      <c r="BH745" s="337" t="s">
        <v>1020</v>
      </c>
      <c r="BI745" s="337"/>
      <c r="BJ745" s="337" t="s">
        <v>5</v>
      </c>
      <c r="BK745" s="337"/>
      <c r="BL745" s="337">
        <v>0</v>
      </c>
      <c r="BM745" s="337"/>
      <c r="BN745" s="337" t="s">
        <v>5</v>
      </c>
      <c r="BO745" s="337"/>
      <c r="BP745" s="337"/>
      <c r="BQ745" s="337"/>
      <c r="BR745" s="337"/>
      <c r="BS745" s="337" t="s">
        <v>5</v>
      </c>
      <c r="BT745" s="337"/>
      <c r="BU745" s="337"/>
      <c r="BV745" s="337"/>
      <c r="BW745" s="337"/>
      <c r="BX745" s="337" t="s">
        <v>6</v>
      </c>
      <c r="BY745" s="337" t="s">
        <v>426</v>
      </c>
      <c r="BZ745" s="337"/>
      <c r="CB745" s="337" t="s">
        <v>5</v>
      </c>
      <c r="CC745" s="337">
        <v>195181.4696438172</v>
      </c>
      <c r="CD745" s="337">
        <v>2371457971.1507888</v>
      </c>
      <c r="CE745" s="313" t="s">
        <v>11891</v>
      </c>
    </row>
    <row r="746" spans="1:83" ht="15" x14ac:dyDescent="0.25">
      <c r="A746" s="337" t="s">
        <v>704</v>
      </c>
      <c r="B746" s="337" t="s">
        <v>705</v>
      </c>
      <c r="C746" s="337" t="s">
        <v>706</v>
      </c>
      <c r="D746" s="337">
        <v>9</v>
      </c>
      <c r="E746" s="337" t="s">
        <v>416</v>
      </c>
      <c r="F746" s="337" t="s">
        <v>707</v>
      </c>
      <c r="G746" s="337" t="s">
        <v>672</v>
      </c>
      <c r="H746" s="337" t="s">
        <v>708</v>
      </c>
      <c r="I746" s="337" t="s">
        <v>709</v>
      </c>
      <c r="J746" s="337" t="s">
        <v>710</v>
      </c>
      <c r="K746" s="337" t="s">
        <v>452</v>
      </c>
      <c r="L746" s="337">
        <v>51.146930694580078</v>
      </c>
      <c r="M746" s="337" t="s">
        <v>5</v>
      </c>
      <c r="N746" s="337" t="s">
        <v>5</v>
      </c>
      <c r="O746" s="337" t="s">
        <v>5</v>
      </c>
      <c r="P746" s="337" t="s">
        <v>5</v>
      </c>
      <c r="Q746" s="337" t="s">
        <v>5</v>
      </c>
      <c r="R746" s="337" t="s">
        <v>711</v>
      </c>
      <c r="S746" s="337" t="s">
        <v>712</v>
      </c>
      <c r="T746" s="337" t="s">
        <v>5</v>
      </c>
      <c r="U746" s="337" t="s">
        <v>4</v>
      </c>
      <c r="V746" s="337">
        <v>30000</v>
      </c>
      <c r="W746" s="337">
        <v>5000</v>
      </c>
      <c r="X746" s="337" t="s">
        <v>6</v>
      </c>
      <c r="Y746" s="337"/>
      <c r="Z746" s="337"/>
      <c r="AA746" s="337">
        <v>6956.93896484375</v>
      </c>
      <c r="AB746" s="337">
        <v>4.1722970008850098</v>
      </c>
      <c r="AC746" s="337">
        <v>6956.93896484375</v>
      </c>
      <c r="AD746" s="337">
        <v>6774</v>
      </c>
      <c r="AE746" s="337">
        <v>3419</v>
      </c>
      <c r="AF746" s="337">
        <v>5481</v>
      </c>
      <c r="AG746" s="337">
        <v>25984</v>
      </c>
      <c r="AH746" s="337">
        <v>21372</v>
      </c>
      <c r="AI746" s="337">
        <v>25984</v>
      </c>
      <c r="AJ746" s="337">
        <v>10</v>
      </c>
      <c r="AK746" s="337">
        <v>26</v>
      </c>
      <c r="AL746" s="337">
        <v>167</v>
      </c>
      <c r="AM746" s="337">
        <v>0</v>
      </c>
      <c r="AN746" s="337">
        <v>45.750217437744141</v>
      </c>
      <c r="AO746" s="337"/>
      <c r="AP746" s="337"/>
      <c r="AQ746" s="337"/>
      <c r="AR746" s="337">
        <v>1694</v>
      </c>
      <c r="AS746" s="337">
        <v>1694</v>
      </c>
      <c r="AT746" s="337">
        <v>854</v>
      </c>
      <c r="AU746" s="337">
        <v>1370</v>
      </c>
      <c r="AV746" s="337">
        <v>10384</v>
      </c>
      <c r="AW746" s="337">
        <v>2</v>
      </c>
      <c r="AX746" s="337">
        <v>6</v>
      </c>
      <c r="AY746" s="337">
        <v>42</v>
      </c>
      <c r="AZ746" s="337">
        <v>0</v>
      </c>
      <c r="BA746" s="337">
        <v>11.43755435943604</v>
      </c>
      <c r="BB746" s="337"/>
      <c r="BC746" s="337"/>
      <c r="BD746" s="337"/>
      <c r="BE746" s="337">
        <v>25000</v>
      </c>
      <c r="BF746" s="337" t="s">
        <v>425</v>
      </c>
      <c r="BG746" s="337" t="s">
        <v>5</v>
      </c>
      <c r="BH746" s="337" t="s">
        <v>1020</v>
      </c>
      <c r="BI746" s="337"/>
      <c r="BJ746" s="337" t="s">
        <v>5</v>
      </c>
      <c r="BK746" s="337"/>
      <c r="BL746" s="337">
        <v>0</v>
      </c>
      <c r="BM746" s="337"/>
      <c r="BN746" s="337" t="s">
        <v>5</v>
      </c>
      <c r="BO746" s="337"/>
      <c r="BP746" s="337"/>
      <c r="BQ746" s="337"/>
      <c r="BR746" s="337"/>
      <c r="BS746" s="337" t="s">
        <v>5</v>
      </c>
      <c r="BT746" s="337"/>
      <c r="BU746" s="337"/>
      <c r="BV746" s="337"/>
      <c r="BW746" s="337"/>
      <c r="BX746" s="337" t="s">
        <v>6</v>
      </c>
      <c r="BY746" s="337" t="s">
        <v>426</v>
      </c>
      <c r="BZ746" s="337"/>
      <c r="CB746" s="337" t="s">
        <v>5</v>
      </c>
      <c r="CC746" s="337">
        <v>212729.57787725411</v>
      </c>
      <c r="CD746" s="337">
        <v>132469946.1952474</v>
      </c>
      <c r="CE746" s="313" t="s">
        <v>11891</v>
      </c>
    </row>
    <row r="747" spans="1:83" ht="15" x14ac:dyDescent="0.25">
      <c r="A747" s="337" t="s">
        <v>718</v>
      </c>
      <c r="B747" s="337" t="s">
        <v>719</v>
      </c>
      <c r="C747" s="337" t="s">
        <v>720</v>
      </c>
      <c r="D747" s="337">
        <v>9</v>
      </c>
      <c r="E747" s="337" t="s">
        <v>416</v>
      </c>
      <c r="F747" s="337" t="s">
        <v>721</v>
      </c>
      <c r="G747" s="337" t="s">
        <v>466</v>
      </c>
      <c r="H747" s="337" t="s">
        <v>722</v>
      </c>
      <c r="I747" s="337" t="s">
        <v>723</v>
      </c>
      <c r="J747" s="337" t="s">
        <v>724</v>
      </c>
      <c r="K747" s="337" t="s">
        <v>427</v>
      </c>
      <c r="L747" s="337">
        <v>1.16785740852356</v>
      </c>
      <c r="M747" s="337" t="s">
        <v>5</v>
      </c>
      <c r="N747" s="337" t="s">
        <v>5</v>
      </c>
      <c r="O747" s="337" t="s">
        <v>5</v>
      </c>
      <c r="P747" s="337" t="s">
        <v>5</v>
      </c>
      <c r="Q747" s="337" t="s">
        <v>5</v>
      </c>
      <c r="R747" s="337" t="s">
        <v>470</v>
      </c>
      <c r="S747" s="337" t="s">
        <v>725</v>
      </c>
      <c r="T747" s="337" t="s">
        <v>5</v>
      </c>
      <c r="U747" s="337" t="s">
        <v>4</v>
      </c>
      <c r="V747" s="337">
        <v>30000</v>
      </c>
      <c r="W747" s="337">
        <v>5000</v>
      </c>
      <c r="X747" s="337" t="s">
        <v>6</v>
      </c>
      <c r="Y747" s="337"/>
      <c r="Z747" s="337"/>
      <c r="AA747" s="337">
        <v>103.3056259155273</v>
      </c>
      <c r="AB747" s="337">
        <v>3.3958986401557922E-2</v>
      </c>
      <c r="AC747" s="337">
        <v>103.3056259155273</v>
      </c>
      <c r="AD747" s="337">
        <v>42</v>
      </c>
      <c r="AE747" s="337">
        <v>8</v>
      </c>
      <c r="AF747" s="337">
        <v>33</v>
      </c>
      <c r="AG747" s="337">
        <v>22</v>
      </c>
      <c r="AH747" s="337">
        <v>37</v>
      </c>
      <c r="AI747" s="337">
        <v>37</v>
      </c>
      <c r="AJ747" s="337">
        <v>0</v>
      </c>
      <c r="AK747" s="337">
        <v>0</v>
      </c>
      <c r="AL747" s="337">
        <v>2</v>
      </c>
      <c r="AM747" s="337">
        <v>0</v>
      </c>
      <c r="AN747" s="337">
        <v>1.1211071014404299</v>
      </c>
      <c r="AO747" s="337"/>
      <c r="AP747" s="337"/>
      <c r="AQ747" s="337"/>
      <c r="AR747" s="337">
        <v>11</v>
      </c>
      <c r="AS747" s="337">
        <v>11</v>
      </c>
      <c r="AT747" s="337">
        <v>2</v>
      </c>
      <c r="AU747" s="337">
        <v>8</v>
      </c>
      <c r="AV747" s="337">
        <v>9</v>
      </c>
      <c r="AW747" s="337">
        <v>0</v>
      </c>
      <c r="AX747" s="337">
        <v>0</v>
      </c>
      <c r="AY747" s="337">
        <v>0</v>
      </c>
      <c r="AZ747" s="337">
        <v>0</v>
      </c>
      <c r="BA747" s="337">
        <v>0.28027677536010742</v>
      </c>
      <c r="BB747" s="337"/>
      <c r="BC747" s="337"/>
      <c r="BD747" s="337"/>
      <c r="BE747" s="337">
        <v>25000</v>
      </c>
      <c r="BF747" s="337" t="s">
        <v>425</v>
      </c>
      <c r="BG747" s="337" t="s">
        <v>5</v>
      </c>
      <c r="BH747" s="337" t="s">
        <v>1020</v>
      </c>
      <c r="BI747" s="337"/>
      <c r="BJ747" s="337" t="s">
        <v>5</v>
      </c>
      <c r="BK747" s="337"/>
      <c r="BL747" s="337">
        <v>0</v>
      </c>
      <c r="BM747" s="337"/>
      <c r="BN747" s="337" t="s">
        <v>5</v>
      </c>
      <c r="BO747" s="337"/>
      <c r="BP747" s="337"/>
      <c r="BQ747" s="337"/>
      <c r="BR747" s="337"/>
      <c r="BS747" s="337" t="s">
        <v>5</v>
      </c>
      <c r="BT747" s="337"/>
      <c r="BU747" s="337"/>
      <c r="BV747" s="337"/>
      <c r="BW747" s="337"/>
      <c r="BX747" s="337" t="s">
        <v>6</v>
      </c>
      <c r="BY747" s="337" t="s">
        <v>426</v>
      </c>
      <c r="BZ747" s="337"/>
      <c r="CB747" s="337" t="s">
        <v>5</v>
      </c>
      <c r="CC747" s="337">
        <v>11710.2768877373</v>
      </c>
      <c r="CD747" s="337">
        <v>3024736.7999644331</v>
      </c>
      <c r="CE747" s="313" t="s">
        <v>11891</v>
      </c>
    </row>
    <row r="748" spans="1:83" ht="15" x14ac:dyDescent="0.25">
      <c r="A748" s="337" t="s">
        <v>726</v>
      </c>
      <c r="B748" s="337" t="s">
        <v>727</v>
      </c>
      <c r="C748" s="337" t="s">
        <v>728</v>
      </c>
      <c r="D748" s="337">
        <v>9</v>
      </c>
      <c r="E748" s="337" t="s">
        <v>416</v>
      </c>
      <c r="F748" s="337" t="s">
        <v>666</v>
      </c>
      <c r="G748" s="337" t="s">
        <v>729</v>
      </c>
      <c r="H748" s="337" t="s">
        <v>730</v>
      </c>
      <c r="I748" s="337" t="s">
        <v>730</v>
      </c>
      <c r="J748" s="337" t="s">
        <v>669</v>
      </c>
      <c r="K748" s="337" t="s">
        <v>422</v>
      </c>
      <c r="L748" s="337">
        <v>988.95147705078125</v>
      </c>
      <c r="M748" s="337" t="s">
        <v>5</v>
      </c>
      <c r="N748" s="337" t="s">
        <v>5</v>
      </c>
      <c r="O748" s="337" t="s">
        <v>5</v>
      </c>
      <c r="P748" s="337" t="s">
        <v>5</v>
      </c>
      <c r="Q748" s="337" t="s">
        <v>5</v>
      </c>
      <c r="R748" s="337" t="s">
        <v>693</v>
      </c>
      <c r="S748" s="337" t="s">
        <v>731</v>
      </c>
      <c r="T748" s="337" t="s">
        <v>5</v>
      </c>
      <c r="U748" s="337" t="s">
        <v>4</v>
      </c>
      <c r="V748" s="337">
        <v>30000</v>
      </c>
      <c r="W748" s="337">
        <v>5000</v>
      </c>
      <c r="X748" s="337" t="s">
        <v>6</v>
      </c>
      <c r="Y748" s="337"/>
      <c r="Z748" s="337"/>
      <c r="AA748" s="337">
        <v>57589.953125</v>
      </c>
      <c r="AB748" s="337">
        <v>14.755222320556641</v>
      </c>
      <c r="AC748" s="337">
        <v>57589.953125</v>
      </c>
      <c r="AD748" s="337">
        <v>103</v>
      </c>
      <c r="AE748" s="337">
        <v>63</v>
      </c>
      <c r="AF748" s="337">
        <v>52</v>
      </c>
      <c r="AG748" s="337">
        <v>16</v>
      </c>
      <c r="AH748" s="337">
        <v>77</v>
      </c>
      <c r="AI748" s="337">
        <v>77</v>
      </c>
      <c r="AJ748" s="337">
        <v>0</v>
      </c>
      <c r="AK748" s="337">
        <v>4</v>
      </c>
      <c r="AL748" s="337">
        <v>24</v>
      </c>
      <c r="AM748" s="337">
        <v>0</v>
      </c>
      <c r="AN748" s="337">
        <v>12260.4326171875</v>
      </c>
      <c r="AO748" s="337"/>
      <c r="AP748" s="337"/>
      <c r="AQ748" s="337"/>
      <c r="AR748" s="337">
        <v>26</v>
      </c>
      <c r="AS748" s="337">
        <v>26</v>
      </c>
      <c r="AT748" s="337">
        <v>15</v>
      </c>
      <c r="AU748" s="337">
        <v>13</v>
      </c>
      <c r="AV748" s="337">
        <v>19</v>
      </c>
      <c r="AW748" s="337">
        <v>0</v>
      </c>
      <c r="AX748" s="337">
        <v>1</v>
      </c>
      <c r="AY748" s="337">
        <v>6</v>
      </c>
      <c r="AZ748" s="337">
        <v>0</v>
      </c>
      <c r="BA748" s="337">
        <v>3065.108154296875</v>
      </c>
      <c r="BB748" s="337"/>
      <c r="BC748" s="337"/>
      <c r="BD748" s="337"/>
      <c r="BE748" s="337">
        <v>25000</v>
      </c>
      <c r="BF748" s="337" t="s">
        <v>425</v>
      </c>
      <c r="BG748" s="337" t="s">
        <v>5</v>
      </c>
      <c r="BH748" s="337" t="s">
        <v>1020</v>
      </c>
      <c r="BI748" s="337"/>
      <c r="BJ748" s="337" t="s">
        <v>5</v>
      </c>
      <c r="BK748" s="337"/>
      <c r="BL748" s="337">
        <v>0</v>
      </c>
      <c r="BM748" s="337"/>
      <c r="BN748" s="337" t="s">
        <v>5</v>
      </c>
      <c r="BO748" s="337"/>
      <c r="BP748" s="337"/>
      <c r="BQ748" s="337"/>
      <c r="BR748" s="337"/>
      <c r="BS748" s="337" t="s">
        <v>5</v>
      </c>
      <c r="BT748" s="337"/>
      <c r="BU748" s="337"/>
      <c r="BV748" s="337"/>
      <c r="BW748" s="337"/>
      <c r="BX748" s="337" t="s">
        <v>6</v>
      </c>
      <c r="BY748" s="337" t="s">
        <v>426</v>
      </c>
      <c r="BZ748" s="337"/>
      <c r="CB748" s="337" t="s">
        <v>5</v>
      </c>
      <c r="CC748" s="337">
        <v>222090.9776334934</v>
      </c>
      <c r="CD748" s="337">
        <v>2561372612.9182549</v>
      </c>
      <c r="CE748" s="313" t="s">
        <v>11891</v>
      </c>
    </row>
    <row r="749" spans="1:83" ht="15" x14ac:dyDescent="0.25">
      <c r="A749" s="337" t="s">
        <v>732</v>
      </c>
      <c r="B749" s="337" t="s">
        <v>733</v>
      </c>
      <c r="C749" s="337" t="s">
        <v>734</v>
      </c>
      <c r="D749" s="337">
        <v>9</v>
      </c>
      <c r="E749" s="337" t="s">
        <v>416</v>
      </c>
      <c r="F749" s="337" t="s">
        <v>735</v>
      </c>
      <c r="G749" s="337" t="s">
        <v>736</v>
      </c>
      <c r="H749" s="337" t="s">
        <v>737</v>
      </c>
      <c r="I749" s="337" t="s">
        <v>738</v>
      </c>
      <c r="J749" s="337" t="s">
        <v>739</v>
      </c>
      <c r="K749" s="337" t="s">
        <v>452</v>
      </c>
      <c r="L749" s="337">
        <v>2795.67333984375</v>
      </c>
      <c r="M749" s="337" t="s">
        <v>5</v>
      </c>
      <c r="N749" s="337" t="s">
        <v>5</v>
      </c>
      <c r="O749" s="337" t="s">
        <v>5</v>
      </c>
      <c r="P749" s="337" t="s">
        <v>5</v>
      </c>
      <c r="Q749" s="337" t="s">
        <v>5</v>
      </c>
      <c r="R749" s="337" t="s">
        <v>740</v>
      </c>
      <c r="S749" s="337" t="s">
        <v>741</v>
      </c>
      <c r="T749" s="337" t="s">
        <v>5</v>
      </c>
      <c r="U749" s="337" t="s">
        <v>4</v>
      </c>
      <c r="V749" s="337">
        <v>30000</v>
      </c>
      <c r="W749" s="337">
        <v>5000</v>
      </c>
      <c r="X749" s="337" t="s">
        <v>6</v>
      </c>
      <c r="Y749" s="337"/>
      <c r="Z749" s="337"/>
      <c r="AA749" s="337">
        <v>7257.29443359375</v>
      </c>
      <c r="AB749" s="337">
        <v>1.528190970420837</v>
      </c>
      <c r="AC749" s="337">
        <v>7257.29443359375</v>
      </c>
      <c r="AD749" s="337">
        <v>9</v>
      </c>
      <c r="AE749" s="337">
        <v>1</v>
      </c>
      <c r="AF749" s="337">
        <v>9</v>
      </c>
      <c r="AG749" s="337">
        <v>99</v>
      </c>
      <c r="AH749" s="337">
        <v>99</v>
      </c>
      <c r="AI749" s="337">
        <v>99</v>
      </c>
      <c r="AJ749" s="337">
        <v>0</v>
      </c>
      <c r="AK749" s="337">
        <v>0</v>
      </c>
      <c r="AL749" s="337">
        <v>1</v>
      </c>
      <c r="AM749" s="337">
        <v>0</v>
      </c>
      <c r="AN749" s="337">
        <v>5.3486952781677246</v>
      </c>
      <c r="AO749" s="337"/>
      <c r="AP749" s="337"/>
      <c r="AQ749" s="337"/>
      <c r="AR749" s="337">
        <v>3</v>
      </c>
      <c r="AS749" s="337">
        <v>3</v>
      </c>
      <c r="AT749" s="337">
        <v>0</v>
      </c>
      <c r="AU749" s="337">
        <v>2</v>
      </c>
      <c r="AV749" s="337">
        <v>24</v>
      </c>
      <c r="AW749" s="337">
        <v>0</v>
      </c>
      <c r="AX749" s="337">
        <v>0</v>
      </c>
      <c r="AY749" s="337">
        <v>0</v>
      </c>
      <c r="AZ749" s="337">
        <v>0</v>
      </c>
      <c r="BA749" s="337">
        <v>1.3371738195419309</v>
      </c>
      <c r="BB749" s="337"/>
      <c r="BC749" s="337"/>
      <c r="BD749" s="337"/>
      <c r="BE749" s="337">
        <v>25000</v>
      </c>
      <c r="BF749" s="337" t="s">
        <v>425</v>
      </c>
      <c r="BG749" s="337" t="s">
        <v>5</v>
      </c>
      <c r="BH749" s="337" t="s">
        <v>1020</v>
      </c>
      <c r="BI749" s="337"/>
      <c r="BJ749" s="337" t="s">
        <v>5</v>
      </c>
      <c r="BK749" s="337"/>
      <c r="BL749" s="337">
        <v>0</v>
      </c>
      <c r="BM749" s="337"/>
      <c r="BN749" s="337" t="s">
        <v>5</v>
      </c>
      <c r="BO749" s="337"/>
      <c r="BP749" s="337"/>
      <c r="BQ749" s="337"/>
      <c r="BR749" s="337"/>
      <c r="BS749" s="337" t="s">
        <v>5</v>
      </c>
      <c r="BT749" s="337"/>
      <c r="BU749" s="337"/>
      <c r="BV749" s="337"/>
      <c r="BW749" s="337"/>
      <c r="BX749" s="337" t="s">
        <v>6</v>
      </c>
      <c r="BY749" s="337" t="s">
        <v>426</v>
      </c>
      <c r="BZ749" s="337"/>
      <c r="CB749" s="337" t="s">
        <v>5</v>
      </c>
      <c r="CC749" s="337">
        <v>511844.18138015037</v>
      </c>
      <c r="CD749" s="337">
        <v>7240760911.1742945</v>
      </c>
      <c r="CE749" s="313" t="s">
        <v>11891</v>
      </c>
    </row>
    <row r="750" spans="1:83" ht="15" x14ac:dyDescent="0.25">
      <c r="A750" s="337" t="s">
        <v>742</v>
      </c>
      <c r="B750" s="337" t="s">
        <v>743</v>
      </c>
      <c r="C750" s="337" t="s">
        <v>720</v>
      </c>
      <c r="D750" s="337">
        <v>9</v>
      </c>
      <c r="E750" s="337" t="s">
        <v>416</v>
      </c>
      <c r="F750" s="337" t="s">
        <v>735</v>
      </c>
      <c r="G750" s="337" t="s">
        <v>736</v>
      </c>
      <c r="H750" s="337" t="s">
        <v>737</v>
      </c>
      <c r="I750" s="337" t="s">
        <v>738</v>
      </c>
      <c r="J750" s="337" t="s">
        <v>739</v>
      </c>
      <c r="K750" s="337" t="s">
        <v>427</v>
      </c>
      <c r="L750" s="337">
        <v>2795.67333984375</v>
      </c>
      <c r="M750" s="337" t="s">
        <v>5</v>
      </c>
      <c r="N750" s="337" t="s">
        <v>5</v>
      </c>
      <c r="O750" s="337" t="s">
        <v>5</v>
      </c>
      <c r="P750" s="337" t="s">
        <v>5</v>
      </c>
      <c r="Q750" s="337" t="s">
        <v>5</v>
      </c>
      <c r="R750" s="337" t="s">
        <v>740</v>
      </c>
      <c r="S750" s="337" t="s">
        <v>741</v>
      </c>
      <c r="T750" s="337" t="s">
        <v>5</v>
      </c>
      <c r="U750" s="337" t="s">
        <v>4</v>
      </c>
      <c r="V750" s="337">
        <v>30000</v>
      </c>
      <c r="W750" s="337">
        <v>5000</v>
      </c>
      <c r="X750" s="337" t="s">
        <v>6</v>
      </c>
      <c r="Y750" s="337"/>
      <c r="Z750" s="337"/>
      <c r="AA750" s="337">
        <v>7257.29443359375</v>
      </c>
      <c r="AB750" s="337">
        <v>1.528190970420837</v>
      </c>
      <c r="AC750" s="337">
        <v>7257.29443359375</v>
      </c>
      <c r="AD750" s="337">
        <v>9</v>
      </c>
      <c r="AE750" s="337">
        <v>1</v>
      </c>
      <c r="AF750" s="337">
        <v>9</v>
      </c>
      <c r="AG750" s="337">
        <v>99</v>
      </c>
      <c r="AH750" s="337">
        <v>99</v>
      </c>
      <c r="AI750" s="337">
        <v>99</v>
      </c>
      <c r="AJ750" s="337">
        <v>0</v>
      </c>
      <c r="AK750" s="337">
        <v>0</v>
      </c>
      <c r="AL750" s="337">
        <v>1</v>
      </c>
      <c r="AM750" s="337">
        <v>0</v>
      </c>
      <c r="AN750" s="337">
        <v>5.3486952781677246</v>
      </c>
      <c r="AO750" s="337"/>
      <c r="AP750" s="337"/>
      <c r="AQ750" s="337"/>
      <c r="AR750" s="337">
        <v>3</v>
      </c>
      <c r="AS750" s="337">
        <v>3</v>
      </c>
      <c r="AT750" s="337">
        <v>0</v>
      </c>
      <c r="AU750" s="337">
        <v>2</v>
      </c>
      <c r="AV750" s="337">
        <v>24</v>
      </c>
      <c r="AW750" s="337">
        <v>0</v>
      </c>
      <c r="AX750" s="337">
        <v>0</v>
      </c>
      <c r="AY750" s="337">
        <v>0</v>
      </c>
      <c r="AZ750" s="337">
        <v>0</v>
      </c>
      <c r="BA750" s="337">
        <v>1.3371738195419309</v>
      </c>
      <c r="BB750" s="337"/>
      <c r="BC750" s="337"/>
      <c r="BD750" s="337"/>
      <c r="BE750" s="337">
        <v>25000</v>
      </c>
      <c r="BF750" s="337" t="s">
        <v>425</v>
      </c>
      <c r="BG750" s="337" t="s">
        <v>5</v>
      </c>
      <c r="BH750" s="337" t="s">
        <v>1020</v>
      </c>
      <c r="BI750" s="337"/>
      <c r="BJ750" s="337" t="s">
        <v>5</v>
      </c>
      <c r="BK750" s="337"/>
      <c r="BL750" s="337">
        <v>0</v>
      </c>
      <c r="BM750" s="337"/>
      <c r="BN750" s="337" t="s">
        <v>5</v>
      </c>
      <c r="BO750" s="337"/>
      <c r="BP750" s="337"/>
      <c r="BQ750" s="337"/>
      <c r="BR750" s="337"/>
      <c r="BS750" s="337" t="s">
        <v>5</v>
      </c>
      <c r="BT750" s="337"/>
      <c r="BU750" s="337"/>
      <c r="BV750" s="337"/>
      <c r="BW750" s="337"/>
      <c r="BX750" s="337" t="s">
        <v>6</v>
      </c>
      <c r="BY750" s="337" t="s">
        <v>426</v>
      </c>
      <c r="BZ750" s="337"/>
      <c r="CB750" s="337" t="s">
        <v>5</v>
      </c>
      <c r="CC750" s="337">
        <v>511844.18138015037</v>
      </c>
      <c r="CD750" s="337">
        <v>7240760911.1742945</v>
      </c>
      <c r="CE750" s="313" t="s">
        <v>11891</v>
      </c>
    </row>
    <row r="751" spans="1:83" ht="15" x14ac:dyDescent="0.25">
      <c r="A751" s="337" t="s">
        <v>744</v>
      </c>
      <c r="B751" s="337" t="s">
        <v>745</v>
      </c>
      <c r="C751" s="337" t="s">
        <v>746</v>
      </c>
      <c r="D751" s="337">
        <v>9</v>
      </c>
      <c r="E751" s="337" t="s">
        <v>416</v>
      </c>
      <c r="F751" s="337" t="s">
        <v>671</v>
      </c>
      <c r="G751" s="337" t="s">
        <v>672</v>
      </c>
      <c r="H751" s="337" t="s">
        <v>673</v>
      </c>
      <c r="I751" s="337" t="s">
        <v>674</v>
      </c>
      <c r="J751" s="337" t="s">
        <v>675</v>
      </c>
      <c r="K751" s="337" t="s">
        <v>452</v>
      </c>
      <c r="L751" s="337">
        <v>0.31107339262962341</v>
      </c>
      <c r="M751" s="337" t="s">
        <v>5</v>
      </c>
      <c r="N751" s="337" t="s">
        <v>5</v>
      </c>
      <c r="O751" s="337" t="s">
        <v>5</v>
      </c>
      <c r="P751" s="337" t="s">
        <v>5</v>
      </c>
      <c r="Q751" s="337" t="s">
        <v>5</v>
      </c>
      <c r="R751" s="337" t="s">
        <v>676</v>
      </c>
      <c r="S751" s="337" t="s">
        <v>677</v>
      </c>
      <c r="T751" s="337" t="s">
        <v>5</v>
      </c>
      <c r="U751" s="337" t="s">
        <v>4</v>
      </c>
      <c r="V751" s="337">
        <v>30000</v>
      </c>
      <c r="W751" s="337">
        <v>5000</v>
      </c>
      <c r="X751" s="337" t="s">
        <v>6</v>
      </c>
      <c r="Y751" s="337"/>
      <c r="Z751" s="337"/>
      <c r="AA751" s="337">
        <v>99</v>
      </c>
      <c r="AB751" s="337">
        <v>1</v>
      </c>
      <c r="AC751" s="337">
        <v>99</v>
      </c>
      <c r="AD751" s="337">
        <v>9</v>
      </c>
      <c r="AE751" s="337">
        <v>1</v>
      </c>
      <c r="AF751" s="337">
        <v>9</v>
      </c>
      <c r="AG751" s="337">
        <v>99</v>
      </c>
      <c r="AH751" s="337">
        <v>99</v>
      </c>
      <c r="AI751" s="337">
        <v>99</v>
      </c>
      <c r="AJ751" s="337">
        <v>0</v>
      </c>
      <c r="AK751" s="337">
        <v>0</v>
      </c>
      <c r="AL751" s="337">
        <v>0</v>
      </c>
      <c r="AM751" s="337">
        <v>0</v>
      </c>
      <c r="AN751" s="337">
        <v>0</v>
      </c>
      <c r="AO751" s="337"/>
      <c r="AP751" s="337"/>
      <c r="AQ751" s="337"/>
      <c r="AR751" s="337">
        <v>3</v>
      </c>
      <c r="AS751" s="337">
        <v>3</v>
      </c>
      <c r="AT751" s="337">
        <v>0</v>
      </c>
      <c r="AU751" s="337">
        <v>2</v>
      </c>
      <c r="AV751" s="337">
        <v>24</v>
      </c>
      <c r="AW751" s="337">
        <v>0</v>
      </c>
      <c r="AX751" s="337">
        <v>0</v>
      </c>
      <c r="AY751" s="337">
        <v>0</v>
      </c>
      <c r="AZ751" s="337">
        <v>0</v>
      </c>
      <c r="BA751" s="337">
        <v>0</v>
      </c>
      <c r="BB751" s="337"/>
      <c r="BC751" s="337"/>
      <c r="BD751" s="337"/>
      <c r="BE751" s="337">
        <v>25000</v>
      </c>
      <c r="BF751" s="337" t="s">
        <v>425</v>
      </c>
      <c r="BG751" s="337" t="s">
        <v>5</v>
      </c>
      <c r="BH751" s="337" t="s">
        <v>1020</v>
      </c>
      <c r="BI751" s="337"/>
      <c r="BJ751" s="337" t="s">
        <v>5</v>
      </c>
      <c r="BK751" s="337"/>
      <c r="BL751" s="337">
        <v>0</v>
      </c>
      <c r="BM751" s="337"/>
      <c r="BN751" s="337" t="s">
        <v>5</v>
      </c>
      <c r="BO751" s="337"/>
      <c r="BP751" s="337"/>
      <c r="BQ751" s="337"/>
      <c r="BR751" s="337"/>
      <c r="BS751" s="337" t="s">
        <v>5</v>
      </c>
      <c r="BT751" s="337"/>
      <c r="BU751" s="337"/>
      <c r="BV751" s="337"/>
      <c r="BW751" s="337"/>
      <c r="BX751" s="337" t="s">
        <v>6</v>
      </c>
      <c r="BY751" s="337" t="s">
        <v>426</v>
      </c>
      <c r="BZ751" s="337"/>
      <c r="CB751" s="337" t="s">
        <v>5</v>
      </c>
      <c r="CC751" s="337">
        <v>4024.2127948410662</v>
      </c>
      <c r="CD751" s="337">
        <v>805676.41798537993</v>
      </c>
      <c r="CE751" s="313" t="s">
        <v>11891</v>
      </c>
    </row>
    <row r="752" spans="1:83" ht="15" x14ac:dyDescent="0.25">
      <c r="A752" s="337" t="s">
        <v>747</v>
      </c>
      <c r="B752" s="337" t="s">
        <v>748</v>
      </c>
      <c r="C752" s="337" t="s">
        <v>749</v>
      </c>
      <c r="D752" s="337">
        <v>9</v>
      </c>
      <c r="E752" s="337" t="s">
        <v>416</v>
      </c>
      <c r="F752" s="337" t="s">
        <v>750</v>
      </c>
      <c r="G752" s="337" t="s">
        <v>751</v>
      </c>
      <c r="H752" s="337" t="s">
        <v>752</v>
      </c>
      <c r="I752" s="337" t="s">
        <v>752</v>
      </c>
      <c r="J752" s="337" t="s">
        <v>753</v>
      </c>
      <c r="K752" s="337" t="s">
        <v>754</v>
      </c>
      <c r="L752" s="337">
        <v>1047.468383789062</v>
      </c>
      <c r="M752" s="337" t="s">
        <v>5</v>
      </c>
      <c r="N752" s="337" t="s">
        <v>5</v>
      </c>
      <c r="O752" s="337" t="s">
        <v>5</v>
      </c>
      <c r="P752" s="337" t="s">
        <v>5</v>
      </c>
      <c r="Q752" s="337" t="s">
        <v>5</v>
      </c>
      <c r="R752" s="337" t="s">
        <v>755</v>
      </c>
      <c r="S752" s="337" t="s">
        <v>756</v>
      </c>
      <c r="T752" s="337" t="s">
        <v>5</v>
      </c>
      <c r="U752" s="337" t="s">
        <v>4</v>
      </c>
      <c r="V752" s="337">
        <v>30000</v>
      </c>
      <c r="W752" s="337">
        <v>5000</v>
      </c>
      <c r="X752" s="337" t="s">
        <v>6</v>
      </c>
      <c r="Y752" s="337"/>
      <c r="Z752" s="337"/>
      <c r="AA752" s="337">
        <v>133921.59375</v>
      </c>
      <c r="AB752" s="337">
        <v>23.76076698303223</v>
      </c>
      <c r="AC752" s="337">
        <v>133921.59375</v>
      </c>
      <c r="AD752" s="337">
        <v>354</v>
      </c>
      <c r="AE752" s="337">
        <v>129</v>
      </c>
      <c r="AF752" s="337">
        <v>104</v>
      </c>
      <c r="AG752" s="337">
        <v>149</v>
      </c>
      <c r="AH752" s="337">
        <v>235</v>
      </c>
      <c r="AI752" s="337">
        <v>235</v>
      </c>
      <c r="AJ752" s="337">
        <v>0</v>
      </c>
      <c r="AK752" s="337">
        <v>8</v>
      </c>
      <c r="AL752" s="337">
        <v>48</v>
      </c>
      <c r="AM752" s="337">
        <v>0</v>
      </c>
      <c r="AN752" s="337">
        <v>2458.436279296875</v>
      </c>
      <c r="AO752" s="337"/>
      <c r="AP752" s="337"/>
      <c r="AQ752" s="337"/>
      <c r="AR752" s="337">
        <v>89</v>
      </c>
      <c r="AS752" s="337">
        <v>89</v>
      </c>
      <c r="AT752" s="337">
        <v>32</v>
      </c>
      <c r="AU752" s="337">
        <v>26</v>
      </c>
      <c r="AV752" s="337">
        <v>72</v>
      </c>
      <c r="AW752" s="337">
        <v>0</v>
      </c>
      <c r="AX752" s="337">
        <v>2</v>
      </c>
      <c r="AY752" s="337">
        <v>12</v>
      </c>
      <c r="AZ752" s="337">
        <v>0</v>
      </c>
      <c r="BA752" s="337">
        <v>614.60906982421875</v>
      </c>
      <c r="BB752" s="337"/>
      <c r="BC752" s="337"/>
      <c r="BD752" s="337"/>
      <c r="BE752" s="337">
        <v>25000</v>
      </c>
      <c r="BF752" s="337" t="s">
        <v>425</v>
      </c>
      <c r="BG752" s="337" t="s">
        <v>5</v>
      </c>
      <c r="BH752" s="337" t="s">
        <v>1020</v>
      </c>
      <c r="BI752" s="337"/>
      <c r="BJ752" s="337" t="s">
        <v>5</v>
      </c>
      <c r="BK752" s="337"/>
      <c r="BL752" s="337">
        <v>0</v>
      </c>
      <c r="BM752" s="337"/>
      <c r="BN752" s="337" t="s">
        <v>5</v>
      </c>
      <c r="BO752" s="337"/>
      <c r="BP752" s="337"/>
      <c r="BQ752" s="337"/>
      <c r="BR752" s="337"/>
      <c r="BS752" s="337" t="s">
        <v>5</v>
      </c>
      <c r="BT752" s="337"/>
      <c r="BU752" s="337"/>
      <c r="BV752" s="337"/>
      <c r="BW752" s="337"/>
      <c r="BX752" s="337" t="s">
        <v>6</v>
      </c>
      <c r="BY752" s="337" t="s">
        <v>426</v>
      </c>
      <c r="BZ752" s="337"/>
      <c r="CB752" s="337" t="s">
        <v>5</v>
      </c>
      <c r="CC752" s="337">
        <v>208505.11032665081</v>
      </c>
      <c r="CD752" s="337">
        <v>2712930682.9111571</v>
      </c>
      <c r="CE752" s="313" t="s">
        <v>11891</v>
      </c>
    </row>
    <row r="753" spans="1:83" ht="15" x14ac:dyDescent="0.25">
      <c r="A753" s="337" t="s">
        <v>757</v>
      </c>
      <c r="B753" s="337" t="s">
        <v>758</v>
      </c>
      <c r="C753" s="337" t="s">
        <v>728</v>
      </c>
      <c r="D753" s="337">
        <v>9</v>
      </c>
      <c r="E753" s="337" t="s">
        <v>416</v>
      </c>
      <c r="F753" s="337" t="s">
        <v>750</v>
      </c>
      <c r="G753" s="337" t="s">
        <v>751</v>
      </c>
      <c r="H753" s="337" t="s">
        <v>752</v>
      </c>
      <c r="I753" s="337" t="s">
        <v>752</v>
      </c>
      <c r="J753" s="337" t="s">
        <v>753</v>
      </c>
      <c r="K753" s="337" t="s">
        <v>422</v>
      </c>
      <c r="L753" s="337">
        <v>1047.468383789062</v>
      </c>
      <c r="M753" s="337" t="s">
        <v>5</v>
      </c>
      <c r="N753" s="337" t="s">
        <v>5</v>
      </c>
      <c r="O753" s="337" t="s">
        <v>5</v>
      </c>
      <c r="P753" s="337" t="s">
        <v>5</v>
      </c>
      <c r="Q753" s="337" t="s">
        <v>5</v>
      </c>
      <c r="R753" s="337" t="s">
        <v>755</v>
      </c>
      <c r="S753" s="337" t="s">
        <v>756</v>
      </c>
      <c r="T753" s="337" t="s">
        <v>5</v>
      </c>
      <c r="U753" s="337" t="s">
        <v>4</v>
      </c>
      <c r="V753" s="337">
        <v>30000</v>
      </c>
      <c r="W753" s="337">
        <v>5000</v>
      </c>
      <c r="X753" s="337" t="s">
        <v>6</v>
      </c>
      <c r="Y753" s="337"/>
      <c r="Z753" s="337"/>
      <c r="AA753" s="337">
        <v>133921.59375</v>
      </c>
      <c r="AB753" s="337">
        <v>23.76076698303223</v>
      </c>
      <c r="AC753" s="337">
        <v>133921.59375</v>
      </c>
      <c r="AD753" s="337">
        <v>354</v>
      </c>
      <c r="AE753" s="337">
        <v>129</v>
      </c>
      <c r="AF753" s="337">
        <v>104</v>
      </c>
      <c r="AG753" s="337">
        <v>149</v>
      </c>
      <c r="AH753" s="337">
        <v>235</v>
      </c>
      <c r="AI753" s="337">
        <v>235</v>
      </c>
      <c r="AJ753" s="337">
        <v>0</v>
      </c>
      <c r="AK753" s="337">
        <v>8</v>
      </c>
      <c r="AL753" s="337">
        <v>48</v>
      </c>
      <c r="AM753" s="337">
        <v>0</v>
      </c>
      <c r="AN753" s="337">
        <v>2458.436279296875</v>
      </c>
      <c r="AO753" s="337"/>
      <c r="AP753" s="337"/>
      <c r="AQ753" s="337"/>
      <c r="AR753" s="337">
        <v>89</v>
      </c>
      <c r="AS753" s="337">
        <v>89</v>
      </c>
      <c r="AT753" s="337">
        <v>32</v>
      </c>
      <c r="AU753" s="337">
        <v>26</v>
      </c>
      <c r="AV753" s="337">
        <v>72</v>
      </c>
      <c r="AW753" s="337">
        <v>0</v>
      </c>
      <c r="AX753" s="337">
        <v>2</v>
      </c>
      <c r="AY753" s="337">
        <v>12</v>
      </c>
      <c r="AZ753" s="337">
        <v>0</v>
      </c>
      <c r="BA753" s="337">
        <v>614.60906982421875</v>
      </c>
      <c r="BB753" s="337"/>
      <c r="BC753" s="337"/>
      <c r="BD753" s="337"/>
      <c r="BE753" s="337">
        <v>25000</v>
      </c>
      <c r="BF753" s="337" t="s">
        <v>425</v>
      </c>
      <c r="BG753" s="337" t="s">
        <v>5</v>
      </c>
      <c r="BH753" s="337" t="s">
        <v>1020</v>
      </c>
      <c r="BI753" s="337"/>
      <c r="BJ753" s="337" t="s">
        <v>5</v>
      </c>
      <c r="BK753" s="337"/>
      <c r="BL753" s="337">
        <v>0</v>
      </c>
      <c r="BM753" s="337"/>
      <c r="BN753" s="337" t="s">
        <v>5</v>
      </c>
      <c r="BO753" s="337"/>
      <c r="BP753" s="337"/>
      <c r="BQ753" s="337"/>
      <c r="BR753" s="337"/>
      <c r="BS753" s="337" t="s">
        <v>5</v>
      </c>
      <c r="BT753" s="337"/>
      <c r="BU753" s="337"/>
      <c r="BV753" s="337"/>
      <c r="BW753" s="337"/>
      <c r="BX753" s="337" t="s">
        <v>6</v>
      </c>
      <c r="BY753" s="337" t="s">
        <v>426</v>
      </c>
      <c r="BZ753" s="337"/>
      <c r="CB753" s="337" t="s">
        <v>5</v>
      </c>
      <c r="CC753" s="337">
        <v>208505.11032665081</v>
      </c>
      <c r="CD753" s="337">
        <v>2712930682.9111571</v>
      </c>
      <c r="CE753" s="313" t="s">
        <v>11891</v>
      </c>
    </row>
    <row r="754" spans="1:83" ht="15" x14ac:dyDescent="0.25">
      <c r="A754" s="337" t="s">
        <v>762</v>
      </c>
      <c r="B754" s="337" t="s">
        <v>763</v>
      </c>
      <c r="C754" s="337" t="s">
        <v>764</v>
      </c>
      <c r="D754" s="337">
        <v>9</v>
      </c>
      <c r="E754" s="337" t="s">
        <v>416</v>
      </c>
      <c r="F754" s="337" t="s">
        <v>750</v>
      </c>
      <c r="G754" s="337" t="s">
        <v>751</v>
      </c>
      <c r="H754" s="337" t="s">
        <v>752</v>
      </c>
      <c r="I754" s="337" t="s">
        <v>752</v>
      </c>
      <c r="J754" s="337" t="s">
        <v>753</v>
      </c>
      <c r="K754" s="337" t="s">
        <v>653</v>
      </c>
      <c r="L754" s="337">
        <v>1047.468383789062</v>
      </c>
      <c r="M754" s="337" t="s">
        <v>5</v>
      </c>
      <c r="N754" s="337" t="s">
        <v>5</v>
      </c>
      <c r="O754" s="337" t="s">
        <v>5</v>
      </c>
      <c r="P754" s="337" t="s">
        <v>5</v>
      </c>
      <c r="Q754" s="337" t="s">
        <v>5</v>
      </c>
      <c r="R754" s="337" t="s">
        <v>755</v>
      </c>
      <c r="S754" s="337" t="s">
        <v>756</v>
      </c>
      <c r="T754" s="337" t="s">
        <v>5</v>
      </c>
      <c r="U754" s="337" t="s">
        <v>4</v>
      </c>
      <c r="V754" s="337">
        <v>30000</v>
      </c>
      <c r="W754" s="337">
        <v>5000</v>
      </c>
      <c r="X754" s="337" t="s">
        <v>6</v>
      </c>
      <c r="Y754" s="337"/>
      <c r="Z754" s="337"/>
      <c r="AA754" s="337">
        <v>133921.59375</v>
      </c>
      <c r="AB754" s="337">
        <v>23.76076698303223</v>
      </c>
      <c r="AC754" s="337">
        <v>133921.59375</v>
      </c>
      <c r="AD754" s="337">
        <v>354</v>
      </c>
      <c r="AE754" s="337">
        <v>129</v>
      </c>
      <c r="AF754" s="337">
        <v>104</v>
      </c>
      <c r="AG754" s="337">
        <v>149</v>
      </c>
      <c r="AH754" s="337">
        <v>235</v>
      </c>
      <c r="AI754" s="337">
        <v>235</v>
      </c>
      <c r="AJ754" s="337">
        <v>0</v>
      </c>
      <c r="AK754" s="337">
        <v>8</v>
      </c>
      <c r="AL754" s="337">
        <v>48</v>
      </c>
      <c r="AM754" s="337">
        <v>0</v>
      </c>
      <c r="AN754" s="337">
        <v>2458.436279296875</v>
      </c>
      <c r="AO754" s="337"/>
      <c r="AP754" s="337"/>
      <c r="AQ754" s="337"/>
      <c r="AR754" s="337">
        <v>89</v>
      </c>
      <c r="AS754" s="337">
        <v>89</v>
      </c>
      <c r="AT754" s="337">
        <v>32</v>
      </c>
      <c r="AU754" s="337">
        <v>26</v>
      </c>
      <c r="AV754" s="337">
        <v>72</v>
      </c>
      <c r="AW754" s="337">
        <v>0</v>
      </c>
      <c r="AX754" s="337">
        <v>2</v>
      </c>
      <c r="AY754" s="337">
        <v>12</v>
      </c>
      <c r="AZ754" s="337">
        <v>0</v>
      </c>
      <c r="BA754" s="337">
        <v>614.60906982421875</v>
      </c>
      <c r="BB754" s="337"/>
      <c r="BC754" s="337"/>
      <c r="BD754" s="337"/>
      <c r="BE754" s="337">
        <v>25000</v>
      </c>
      <c r="BF754" s="337" t="s">
        <v>425</v>
      </c>
      <c r="BG754" s="337" t="s">
        <v>5</v>
      </c>
      <c r="BH754" s="337" t="s">
        <v>1020</v>
      </c>
      <c r="BI754" s="337"/>
      <c r="BJ754" s="337" t="s">
        <v>5</v>
      </c>
      <c r="BK754" s="337"/>
      <c r="BL754" s="337">
        <v>0</v>
      </c>
      <c r="BM754" s="337"/>
      <c r="BN754" s="337" t="s">
        <v>5</v>
      </c>
      <c r="BO754" s="337"/>
      <c r="BP754" s="337"/>
      <c r="BQ754" s="337"/>
      <c r="BR754" s="337"/>
      <c r="BS754" s="337" t="s">
        <v>5</v>
      </c>
      <c r="BT754" s="337"/>
      <c r="BU754" s="337"/>
      <c r="BV754" s="337"/>
      <c r="BW754" s="337"/>
      <c r="BX754" s="337" t="s">
        <v>6</v>
      </c>
      <c r="BY754" s="337" t="s">
        <v>426</v>
      </c>
      <c r="BZ754" s="337"/>
      <c r="CB754" s="337" t="s">
        <v>5</v>
      </c>
      <c r="CC754" s="337">
        <v>208505.11032665081</v>
      </c>
      <c r="CD754" s="337">
        <v>2712930682.9111571</v>
      </c>
      <c r="CE754" s="313" t="s">
        <v>11891</v>
      </c>
    </row>
    <row r="755" spans="1:83" ht="15" x14ac:dyDescent="0.25">
      <c r="A755" s="337" t="s">
        <v>769</v>
      </c>
      <c r="B755" s="337" t="s">
        <v>770</v>
      </c>
      <c r="C755" s="337" t="s">
        <v>771</v>
      </c>
      <c r="D755" s="337">
        <v>9</v>
      </c>
      <c r="E755" s="337" t="s">
        <v>416</v>
      </c>
      <c r="F755" s="337" t="s">
        <v>417</v>
      </c>
      <c r="G755" s="337" t="s">
        <v>418</v>
      </c>
      <c r="H755" s="337" t="s">
        <v>475</v>
      </c>
      <c r="I755" s="337" t="s">
        <v>476</v>
      </c>
      <c r="J755" s="337" t="s">
        <v>477</v>
      </c>
      <c r="K755" s="337" t="s">
        <v>452</v>
      </c>
      <c r="L755" s="337">
        <v>0.40153923630714422</v>
      </c>
      <c r="M755" s="337" t="s">
        <v>5</v>
      </c>
      <c r="N755" s="337" t="s">
        <v>5</v>
      </c>
      <c r="O755" s="337" t="s">
        <v>5</v>
      </c>
      <c r="P755" s="337" t="s">
        <v>5</v>
      </c>
      <c r="Q755" s="337" t="s">
        <v>5</v>
      </c>
      <c r="R755" s="337" t="s">
        <v>423</v>
      </c>
      <c r="S755" s="337" t="s">
        <v>478</v>
      </c>
      <c r="T755" s="337" t="s">
        <v>5</v>
      </c>
      <c r="U755" s="337" t="s">
        <v>4</v>
      </c>
      <c r="V755" s="337">
        <v>30000</v>
      </c>
      <c r="W755" s="337">
        <v>5000</v>
      </c>
      <c r="X755" s="337" t="s">
        <v>6</v>
      </c>
      <c r="Y755" s="337"/>
      <c r="Z755" s="337"/>
      <c r="AA755" s="337">
        <v>2.464128971099854</v>
      </c>
      <c r="AB755" s="337">
        <v>5.1202601753175259E-4</v>
      </c>
      <c r="AC755" s="337">
        <v>2.464128971099854</v>
      </c>
      <c r="AD755" s="337">
        <v>9</v>
      </c>
      <c r="AE755" s="337">
        <v>1</v>
      </c>
      <c r="AF755" s="337">
        <v>9</v>
      </c>
      <c r="AG755" s="337">
        <v>99</v>
      </c>
      <c r="AH755" s="337">
        <v>99</v>
      </c>
      <c r="AI755" s="337">
        <v>99</v>
      </c>
      <c r="AJ755" s="337">
        <v>0</v>
      </c>
      <c r="AK755" s="337">
        <v>0</v>
      </c>
      <c r="AL755" s="337">
        <v>0</v>
      </c>
      <c r="AM755" s="337">
        <v>0</v>
      </c>
      <c r="AN755" s="337">
        <v>0</v>
      </c>
      <c r="AO755" s="337"/>
      <c r="AP755" s="337"/>
      <c r="AQ755" s="337"/>
      <c r="AR755" s="337">
        <v>3</v>
      </c>
      <c r="AS755" s="337">
        <v>3</v>
      </c>
      <c r="AT755" s="337">
        <v>0</v>
      </c>
      <c r="AU755" s="337">
        <v>2</v>
      </c>
      <c r="AV755" s="337">
        <v>24</v>
      </c>
      <c r="AW755" s="337">
        <v>0</v>
      </c>
      <c r="AX755" s="337">
        <v>0</v>
      </c>
      <c r="AY755" s="337">
        <v>0</v>
      </c>
      <c r="AZ755" s="337">
        <v>0</v>
      </c>
      <c r="BA755" s="337">
        <v>0</v>
      </c>
      <c r="BB755" s="337"/>
      <c r="BC755" s="337"/>
      <c r="BD755" s="337"/>
      <c r="BE755" s="337">
        <v>25000</v>
      </c>
      <c r="BF755" s="337" t="s">
        <v>425</v>
      </c>
      <c r="BG755" s="337" t="s">
        <v>5</v>
      </c>
      <c r="BH755" s="337" t="s">
        <v>1020</v>
      </c>
      <c r="BI755" s="337"/>
      <c r="BJ755" s="337" t="s">
        <v>5</v>
      </c>
      <c r="BK755" s="337"/>
      <c r="BL755" s="337">
        <v>0</v>
      </c>
      <c r="BM755" s="337"/>
      <c r="BN755" s="337" t="s">
        <v>5</v>
      </c>
      <c r="BO755" s="337"/>
      <c r="BP755" s="337"/>
      <c r="BQ755" s="337"/>
      <c r="BR755" s="337"/>
      <c r="BS755" s="337" t="s">
        <v>5</v>
      </c>
      <c r="BT755" s="337"/>
      <c r="BU755" s="337"/>
      <c r="BV755" s="337"/>
      <c r="BW755" s="337"/>
      <c r="BX755" s="337" t="s">
        <v>6</v>
      </c>
      <c r="BY755" s="337" t="s">
        <v>426</v>
      </c>
      <c r="BZ755" s="337"/>
      <c r="CB755" s="337" t="s">
        <v>5</v>
      </c>
      <c r="CC755" s="337">
        <v>4282.641684507942</v>
      </c>
      <c r="CD755" s="337">
        <v>1039981.827936379</v>
      </c>
      <c r="CE755" s="313" t="s">
        <v>11891</v>
      </c>
    </row>
    <row r="756" spans="1:83" ht="15" x14ac:dyDescent="0.25">
      <c r="A756" s="337" t="s">
        <v>772</v>
      </c>
      <c r="B756" s="337" t="s">
        <v>773</v>
      </c>
      <c r="C756" s="337" t="s">
        <v>774</v>
      </c>
      <c r="D756" s="337">
        <v>9</v>
      </c>
      <c r="E756" s="337" t="s">
        <v>416</v>
      </c>
      <c r="F756" s="337" t="s">
        <v>417</v>
      </c>
      <c r="G756" s="337" t="s">
        <v>418</v>
      </c>
      <c r="H756" s="337" t="s">
        <v>459</v>
      </c>
      <c r="I756" s="337" t="s">
        <v>460</v>
      </c>
      <c r="J756" s="337" t="s">
        <v>461</v>
      </c>
      <c r="K756" s="337" t="s">
        <v>427</v>
      </c>
      <c r="L756" s="337">
        <v>1.0385656356811519</v>
      </c>
      <c r="M756" s="337" t="s">
        <v>5</v>
      </c>
      <c r="N756" s="337" t="s">
        <v>5</v>
      </c>
      <c r="O756" s="337" t="s">
        <v>5</v>
      </c>
      <c r="P756" s="337" t="s">
        <v>5</v>
      </c>
      <c r="Q756" s="337" t="s">
        <v>5</v>
      </c>
      <c r="R756" s="337" t="s">
        <v>423</v>
      </c>
      <c r="S756" s="337" t="s">
        <v>462</v>
      </c>
      <c r="T756" s="337" t="s">
        <v>5</v>
      </c>
      <c r="U756" s="337" t="s">
        <v>4</v>
      </c>
      <c r="V756" s="337">
        <v>30000</v>
      </c>
      <c r="W756" s="337">
        <v>5000</v>
      </c>
      <c r="X756" s="337" t="s">
        <v>6</v>
      </c>
      <c r="Y756" s="337"/>
      <c r="Z756" s="337"/>
      <c r="AA756" s="337">
        <v>102.26173400878911</v>
      </c>
      <c r="AB756" s="337">
        <v>4.8186738044023507E-2</v>
      </c>
      <c r="AC756" s="337">
        <v>102.26173400878911</v>
      </c>
      <c r="AD756" s="337">
        <v>8</v>
      </c>
      <c r="AE756" s="337">
        <v>12</v>
      </c>
      <c r="AF756" s="337">
        <v>6</v>
      </c>
      <c r="AG756" s="337">
        <v>2</v>
      </c>
      <c r="AH756" s="337">
        <v>5</v>
      </c>
      <c r="AI756" s="337">
        <v>5</v>
      </c>
      <c r="AJ756" s="337">
        <v>0</v>
      </c>
      <c r="AK756" s="337">
        <v>0</v>
      </c>
      <c r="AL756" s="337">
        <v>5</v>
      </c>
      <c r="AM756" s="337">
        <v>0</v>
      </c>
      <c r="AN756" s="337">
        <v>1.2551029920578001</v>
      </c>
      <c r="AO756" s="337"/>
      <c r="AP756" s="337"/>
      <c r="AQ756" s="337"/>
      <c r="AR756" s="337">
        <v>2</v>
      </c>
      <c r="AS756" s="337">
        <v>2</v>
      </c>
      <c r="AT756" s="337">
        <v>3</v>
      </c>
      <c r="AU756" s="337">
        <v>1</v>
      </c>
      <c r="AV756" s="337">
        <v>1</v>
      </c>
      <c r="AW756" s="337">
        <v>0</v>
      </c>
      <c r="AX756" s="337">
        <v>0</v>
      </c>
      <c r="AY756" s="337">
        <v>1</v>
      </c>
      <c r="AZ756" s="337">
        <v>0</v>
      </c>
      <c r="BA756" s="337">
        <v>0.31377574801445007</v>
      </c>
      <c r="BB756" s="337"/>
      <c r="BC756" s="337"/>
      <c r="BD756" s="337"/>
      <c r="BE756" s="337">
        <v>25000</v>
      </c>
      <c r="BF756" s="337" t="s">
        <v>425</v>
      </c>
      <c r="BG756" s="337" t="s">
        <v>5</v>
      </c>
      <c r="BH756" s="337" t="s">
        <v>1020</v>
      </c>
      <c r="BI756" s="337"/>
      <c r="BJ756" s="337" t="s">
        <v>5</v>
      </c>
      <c r="BK756" s="337"/>
      <c r="BL756" s="337">
        <v>0</v>
      </c>
      <c r="BM756" s="337"/>
      <c r="BN756" s="337" t="s">
        <v>5</v>
      </c>
      <c r="BO756" s="337"/>
      <c r="BP756" s="337"/>
      <c r="BQ756" s="337"/>
      <c r="BR756" s="337"/>
      <c r="BS756" s="337" t="s">
        <v>5</v>
      </c>
      <c r="BT756" s="337"/>
      <c r="BU756" s="337"/>
      <c r="BV756" s="337"/>
      <c r="BW756" s="337"/>
      <c r="BX756" s="337" t="s">
        <v>6</v>
      </c>
      <c r="BY756" s="337" t="s">
        <v>426</v>
      </c>
      <c r="BZ756" s="337"/>
      <c r="CB756" s="337" t="s">
        <v>5</v>
      </c>
      <c r="CC756" s="337">
        <v>6554.2842661146124</v>
      </c>
      <c r="CD756" s="337">
        <v>2689872.6662033619</v>
      </c>
      <c r="CE756" s="313" t="s">
        <v>11891</v>
      </c>
    </row>
    <row r="757" spans="1:83" ht="15" x14ac:dyDescent="0.25">
      <c r="A757" s="337" t="s">
        <v>775</v>
      </c>
      <c r="B757" s="337" t="s">
        <v>776</v>
      </c>
      <c r="C757" s="337" t="s">
        <v>777</v>
      </c>
      <c r="D757" s="337">
        <v>9</v>
      </c>
      <c r="E757" s="337" t="s">
        <v>416</v>
      </c>
      <c r="F757" s="337" t="s">
        <v>605</v>
      </c>
      <c r="G757" s="337" t="s">
        <v>606</v>
      </c>
      <c r="H757" s="337" t="s">
        <v>607</v>
      </c>
      <c r="I757" s="337" t="s">
        <v>607</v>
      </c>
      <c r="J757" s="337" t="s">
        <v>609</v>
      </c>
      <c r="K757" s="337" t="s">
        <v>452</v>
      </c>
      <c r="L757" s="337">
        <v>910.55255126953125</v>
      </c>
      <c r="M757" s="337" t="s">
        <v>5</v>
      </c>
      <c r="N757" s="337" t="s">
        <v>5</v>
      </c>
      <c r="O757" s="337" t="s">
        <v>5</v>
      </c>
      <c r="P757" s="337" t="s">
        <v>5</v>
      </c>
      <c r="Q757" s="337" t="s">
        <v>5</v>
      </c>
      <c r="R757" s="337" t="s">
        <v>556</v>
      </c>
      <c r="S757" s="337" t="s">
        <v>687</v>
      </c>
      <c r="T757" s="337" t="s">
        <v>5</v>
      </c>
      <c r="U757" s="337" t="s">
        <v>4</v>
      </c>
      <c r="V757" s="337">
        <v>30000</v>
      </c>
      <c r="W757" s="337">
        <v>5000</v>
      </c>
      <c r="X757" s="337" t="s">
        <v>6</v>
      </c>
      <c r="Y757" s="337"/>
      <c r="Z757" s="337"/>
      <c r="AA757" s="337">
        <v>44368.89453125</v>
      </c>
      <c r="AB757" s="337">
        <v>7.8130970001220703</v>
      </c>
      <c r="AC757" s="337">
        <v>44368.89453125</v>
      </c>
      <c r="AD757" s="337">
        <v>90</v>
      </c>
      <c r="AE757" s="337">
        <v>10</v>
      </c>
      <c r="AF757" s="337">
        <v>16</v>
      </c>
      <c r="AG757" s="337">
        <v>12</v>
      </c>
      <c r="AH757" s="337">
        <v>23</v>
      </c>
      <c r="AI757" s="337">
        <v>23</v>
      </c>
      <c r="AJ757" s="337">
        <v>0</v>
      </c>
      <c r="AK757" s="337">
        <v>5</v>
      </c>
      <c r="AL757" s="337">
        <v>21</v>
      </c>
      <c r="AM757" s="337">
        <v>0</v>
      </c>
      <c r="AN757" s="337">
        <v>3888.306884765625</v>
      </c>
      <c r="AO757" s="337"/>
      <c r="AP757" s="337"/>
      <c r="AQ757" s="337"/>
      <c r="AR757" s="337">
        <v>23</v>
      </c>
      <c r="AS757" s="337">
        <v>23</v>
      </c>
      <c r="AT757" s="337">
        <v>2</v>
      </c>
      <c r="AU757" s="337">
        <v>4</v>
      </c>
      <c r="AV757" s="337">
        <v>7</v>
      </c>
      <c r="AW757" s="337">
        <v>0</v>
      </c>
      <c r="AX757" s="337">
        <v>1</v>
      </c>
      <c r="AY757" s="337">
        <v>5</v>
      </c>
      <c r="AZ757" s="337">
        <v>0</v>
      </c>
      <c r="BA757" s="337">
        <v>972.07672119140625</v>
      </c>
      <c r="BB757" s="337"/>
      <c r="BC757" s="337"/>
      <c r="BD757" s="337"/>
      <c r="BE757" s="337">
        <v>25000</v>
      </c>
      <c r="BF757" s="337" t="s">
        <v>425</v>
      </c>
      <c r="BG757" s="337" t="s">
        <v>5</v>
      </c>
      <c r="BH757" s="337" t="s">
        <v>1020</v>
      </c>
      <c r="BI757" s="337"/>
      <c r="BJ757" s="337" t="s">
        <v>5</v>
      </c>
      <c r="BK757" s="337"/>
      <c r="BL757" s="337">
        <v>0</v>
      </c>
      <c r="BM757" s="337"/>
      <c r="BN757" s="337" t="s">
        <v>5</v>
      </c>
      <c r="BO757" s="337"/>
      <c r="BP757" s="337"/>
      <c r="BQ757" s="337"/>
      <c r="BR757" s="337"/>
      <c r="BS757" s="337" t="s">
        <v>5</v>
      </c>
      <c r="BT757" s="337"/>
      <c r="BU757" s="337"/>
      <c r="BV757" s="337"/>
      <c r="BW757" s="337"/>
      <c r="BX757" s="337" t="s">
        <v>6</v>
      </c>
      <c r="BY757" s="337" t="s">
        <v>426</v>
      </c>
      <c r="BZ757" s="337"/>
      <c r="CB757" s="337" t="s">
        <v>5</v>
      </c>
      <c r="CC757" s="337">
        <v>194294.41496471039</v>
      </c>
      <c r="CD757" s="337">
        <v>2358320295.9847579</v>
      </c>
      <c r="CE757" s="313" t="s">
        <v>11891</v>
      </c>
    </row>
    <row r="758" spans="1:83" ht="15" x14ac:dyDescent="0.25">
      <c r="A758" s="337" t="s">
        <v>778</v>
      </c>
      <c r="B758" s="337" t="s">
        <v>779</v>
      </c>
      <c r="C758" s="337" t="s">
        <v>780</v>
      </c>
      <c r="D758" s="337">
        <v>9</v>
      </c>
      <c r="E758" s="337" t="s">
        <v>416</v>
      </c>
      <c r="F758" s="337" t="s">
        <v>465</v>
      </c>
      <c r="G758" s="337" t="s">
        <v>466</v>
      </c>
      <c r="H758" s="337" t="s">
        <v>467</v>
      </c>
      <c r="I758" s="337" t="s">
        <v>468</v>
      </c>
      <c r="J758" s="337" t="s">
        <v>469</v>
      </c>
      <c r="K758" s="337" t="s">
        <v>427</v>
      </c>
      <c r="L758" s="337">
        <v>0.60229748487472534</v>
      </c>
      <c r="M758" s="337" t="s">
        <v>5</v>
      </c>
      <c r="N758" s="337" t="s">
        <v>5</v>
      </c>
      <c r="O758" s="337" t="s">
        <v>5</v>
      </c>
      <c r="P758" s="337" t="s">
        <v>5</v>
      </c>
      <c r="Q758" s="337" t="s">
        <v>5</v>
      </c>
      <c r="R758" s="337" t="s">
        <v>470</v>
      </c>
      <c r="S758" s="337" t="s">
        <v>471</v>
      </c>
      <c r="T758" s="337" t="s">
        <v>5</v>
      </c>
      <c r="U758" s="337" t="s">
        <v>4</v>
      </c>
      <c r="V758" s="337">
        <v>30000</v>
      </c>
      <c r="W758" s="337">
        <v>5000</v>
      </c>
      <c r="X758" s="337" t="s">
        <v>6</v>
      </c>
      <c r="Y758" s="337"/>
      <c r="Z758" s="337"/>
      <c r="AA758" s="337">
        <v>23.786977767944339</v>
      </c>
      <c r="AB758" s="337">
        <v>9.9942414090037346E-3</v>
      </c>
      <c r="AC758" s="337">
        <v>23.786977767944339</v>
      </c>
      <c r="AD758" s="337">
        <v>2</v>
      </c>
      <c r="AE758" s="337">
        <v>3</v>
      </c>
      <c r="AF758" s="337">
        <v>3</v>
      </c>
      <c r="AG758" s="337">
        <v>4</v>
      </c>
      <c r="AH758" s="337">
        <v>14</v>
      </c>
      <c r="AI758" s="337">
        <v>14</v>
      </c>
      <c r="AJ758" s="337">
        <v>0</v>
      </c>
      <c r="AK758" s="337">
        <v>0</v>
      </c>
      <c r="AL758" s="337">
        <v>0</v>
      </c>
      <c r="AM758" s="337">
        <v>0</v>
      </c>
      <c r="AN758" s="337">
        <v>0</v>
      </c>
      <c r="AO758" s="337"/>
      <c r="AP758" s="337"/>
      <c r="AQ758" s="337"/>
      <c r="AR758" s="337">
        <v>1</v>
      </c>
      <c r="AS758" s="337">
        <v>1</v>
      </c>
      <c r="AT758" s="337">
        <v>0</v>
      </c>
      <c r="AU758" s="337">
        <v>0</v>
      </c>
      <c r="AV758" s="337">
        <v>3</v>
      </c>
      <c r="AW758" s="337">
        <v>0</v>
      </c>
      <c r="AX758" s="337">
        <v>0</v>
      </c>
      <c r="AY758" s="337">
        <v>0</v>
      </c>
      <c r="AZ758" s="337">
        <v>0</v>
      </c>
      <c r="BA758" s="337">
        <v>0</v>
      </c>
      <c r="BB758" s="337"/>
      <c r="BC758" s="337"/>
      <c r="BD758" s="337"/>
      <c r="BE758" s="337">
        <v>25000</v>
      </c>
      <c r="BF758" s="337" t="s">
        <v>425</v>
      </c>
      <c r="BG758" s="337" t="s">
        <v>5</v>
      </c>
      <c r="BH758" s="337" t="s">
        <v>1020</v>
      </c>
      <c r="BI758" s="337"/>
      <c r="BJ758" s="337" t="s">
        <v>5</v>
      </c>
      <c r="BK758" s="337"/>
      <c r="BL758" s="337">
        <v>0</v>
      </c>
      <c r="BM758" s="337"/>
      <c r="BN758" s="337" t="s">
        <v>5</v>
      </c>
      <c r="BO758" s="337"/>
      <c r="BP758" s="337"/>
      <c r="BQ758" s="337"/>
      <c r="BR758" s="337"/>
      <c r="BS758" s="337" t="s">
        <v>5</v>
      </c>
      <c r="BT758" s="337"/>
      <c r="BU758" s="337"/>
      <c r="BV758" s="337"/>
      <c r="BW758" s="337"/>
      <c r="BX758" s="337" t="s">
        <v>6</v>
      </c>
      <c r="BY758" s="337" t="s">
        <v>426</v>
      </c>
      <c r="BZ758" s="337"/>
      <c r="CB758" s="337" t="s">
        <v>5</v>
      </c>
      <c r="CC758" s="337">
        <v>6160.4262287349729</v>
      </c>
      <c r="CD758" s="337">
        <v>1559943.2684303811</v>
      </c>
      <c r="CE758" s="313" t="s">
        <v>11891</v>
      </c>
    </row>
    <row r="759" spans="1:83" ht="15" x14ac:dyDescent="0.25">
      <c r="A759" s="337" t="s">
        <v>781</v>
      </c>
      <c r="B759" s="337" t="s">
        <v>782</v>
      </c>
      <c r="C759" s="337" t="s">
        <v>783</v>
      </c>
      <c r="D759" s="337">
        <v>9</v>
      </c>
      <c r="E759" s="337" t="s">
        <v>416</v>
      </c>
      <c r="F759" s="337" t="s">
        <v>784</v>
      </c>
      <c r="G759" s="337" t="s">
        <v>785</v>
      </c>
      <c r="H759" s="337" t="s">
        <v>786</v>
      </c>
      <c r="I759" s="337" t="s">
        <v>787</v>
      </c>
      <c r="J759" s="337" t="s">
        <v>788</v>
      </c>
      <c r="K759" s="337" t="s">
        <v>452</v>
      </c>
      <c r="L759" s="337">
        <v>1.324264764785767</v>
      </c>
      <c r="M759" s="337" t="s">
        <v>5</v>
      </c>
      <c r="N759" s="337" t="s">
        <v>5</v>
      </c>
      <c r="O759" s="337" t="s">
        <v>5</v>
      </c>
      <c r="P759" s="337" t="s">
        <v>5</v>
      </c>
      <c r="Q759" s="337" t="s">
        <v>5</v>
      </c>
      <c r="R759" s="337" t="s">
        <v>789</v>
      </c>
      <c r="S759" s="337" t="s">
        <v>790</v>
      </c>
      <c r="T759" s="337" t="s">
        <v>5</v>
      </c>
      <c r="U759" s="337" t="s">
        <v>4</v>
      </c>
      <c r="V759" s="337">
        <v>30000</v>
      </c>
      <c r="W759" s="337">
        <v>5000</v>
      </c>
      <c r="X759" s="337" t="s">
        <v>6</v>
      </c>
      <c r="Y759" s="337"/>
      <c r="Z759" s="337"/>
      <c r="AA759" s="337">
        <v>44.907527923583977</v>
      </c>
      <c r="AB759" s="337">
        <v>6.0486488044261932E-2</v>
      </c>
      <c r="AC759" s="337">
        <v>44.907527923583977</v>
      </c>
      <c r="AD759" s="337">
        <v>68</v>
      </c>
      <c r="AE759" s="337">
        <v>78</v>
      </c>
      <c r="AF759" s="337">
        <v>49</v>
      </c>
      <c r="AG759" s="337">
        <v>138</v>
      </c>
      <c r="AH759" s="337">
        <v>108</v>
      </c>
      <c r="AI759" s="337">
        <v>138</v>
      </c>
      <c r="AJ759" s="337">
        <v>0</v>
      </c>
      <c r="AK759" s="337">
        <v>2</v>
      </c>
      <c r="AL759" s="337">
        <v>2</v>
      </c>
      <c r="AM759" s="337">
        <v>0</v>
      </c>
      <c r="AN759" s="337">
        <v>9.5609575510025024E-2</v>
      </c>
      <c r="AO759" s="337"/>
      <c r="AP759" s="337"/>
      <c r="AQ759" s="337"/>
      <c r="AR759" s="337">
        <v>17</v>
      </c>
      <c r="AS759" s="337">
        <v>17</v>
      </c>
      <c r="AT759" s="337">
        <v>19</v>
      </c>
      <c r="AU759" s="337">
        <v>12</v>
      </c>
      <c r="AV759" s="337">
        <v>40</v>
      </c>
      <c r="AW759" s="337">
        <v>0</v>
      </c>
      <c r="AX759" s="337">
        <v>0</v>
      </c>
      <c r="AY759" s="337">
        <v>0</v>
      </c>
      <c r="AZ759" s="337">
        <v>0</v>
      </c>
      <c r="BA759" s="337">
        <v>2.390239387750626E-2</v>
      </c>
      <c r="BB759" s="337"/>
      <c r="BC759" s="337"/>
      <c r="BD759" s="337"/>
      <c r="BE759" s="337">
        <v>25000</v>
      </c>
      <c r="BF759" s="337" t="s">
        <v>425</v>
      </c>
      <c r="BG759" s="337" t="s">
        <v>5</v>
      </c>
      <c r="BH759" s="337" t="s">
        <v>1020</v>
      </c>
      <c r="BI759" s="337"/>
      <c r="BJ759" s="337" t="s">
        <v>5</v>
      </c>
      <c r="BK759" s="337"/>
      <c r="BL759" s="337">
        <v>0</v>
      </c>
      <c r="BM759" s="337"/>
      <c r="BN759" s="337" t="s">
        <v>5</v>
      </c>
      <c r="BO759" s="337"/>
      <c r="BP759" s="337"/>
      <c r="BQ759" s="337"/>
      <c r="BR759" s="337"/>
      <c r="BS759" s="337" t="s">
        <v>5</v>
      </c>
      <c r="BT759" s="337"/>
      <c r="BU759" s="337"/>
      <c r="BV759" s="337"/>
      <c r="BW759" s="337"/>
      <c r="BX759" s="337" t="s">
        <v>6</v>
      </c>
      <c r="BY759" s="337" t="s">
        <v>426</v>
      </c>
      <c r="BZ759" s="337"/>
      <c r="CB759" s="337" t="s">
        <v>5</v>
      </c>
      <c r="CC759" s="337">
        <v>9744.217807832596</v>
      </c>
      <c r="CD759" s="337">
        <v>3429830.0750202211</v>
      </c>
      <c r="CE759" s="313" t="s">
        <v>11891</v>
      </c>
    </row>
    <row r="760" spans="1:83" ht="15" x14ac:dyDescent="0.25">
      <c r="A760" s="337" t="s">
        <v>791</v>
      </c>
      <c r="B760" s="337" t="s">
        <v>792</v>
      </c>
      <c r="C760" s="337" t="s">
        <v>764</v>
      </c>
      <c r="D760" s="337">
        <v>9</v>
      </c>
      <c r="E760" s="337" t="s">
        <v>416</v>
      </c>
      <c r="F760" s="337" t="s">
        <v>784</v>
      </c>
      <c r="G760" s="337" t="s">
        <v>785</v>
      </c>
      <c r="H760" s="337" t="s">
        <v>786</v>
      </c>
      <c r="I760" s="337" t="s">
        <v>787</v>
      </c>
      <c r="J760" s="337" t="s">
        <v>788</v>
      </c>
      <c r="K760" s="337" t="s">
        <v>653</v>
      </c>
      <c r="L760" s="337">
        <v>1.324264764785767</v>
      </c>
      <c r="M760" s="337" t="s">
        <v>5</v>
      </c>
      <c r="N760" s="337" t="s">
        <v>5</v>
      </c>
      <c r="O760" s="337" t="s">
        <v>5</v>
      </c>
      <c r="P760" s="337" t="s">
        <v>5</v>
      </c>
      <c r="Q760" s="337" t="s">
        <v>5</v>
      </c>
      <c r="R760" s="337" t="s">
        <v>789</v>
      </c>
      <c r="S760" s="337" t="s">
        <v>790</v>
      </c>
      <c r="T760" s="337" t="s">
        <v>5</v>
      </c>
      <c r="U760" s="337" t="s">
        <v>4</v>
      </c>
      <c r="V760" s="337">
        <v>30000</v>
      </c>
      <c r="W760" s="337">
        <v>5000</v>
      </c>
      <c r="X760" s="337" t="s">
        <v>6</v>
      </c>
      <c r="Y760" s="337"/>
      <c r="Z760" s="337"/>
      <c r="AA760" s="337">
        <v>44.907527923583977</v>
      </c>
      <c r="AB760" s="337">
        <v>6.0486488044261932E-2</v>
      </c>
      <c r="AC760" s="337">
        <v>44.907527923583977</v>
      </c>
      <c r="AD760" s="337">
        <v>68</v>
      </c>
      <c r="AE760" s="337">
        <v>78</v>
      </c>
      <c r="AF760" s="337">
        <v>49</v>
      </c>
      <c r="AG760" s="337">
        <v>138</v>
      </c>
      <c r="AH760" s="337">
        <v>108</v>
      </c>
      <c r="AI760" s="337">
        <v>138</v>
      </c>
      <c r="AJ760" s="337">
        <v>0</v>
      </c>
      <c r="AK760" s="337">
        <v>2</v>
      </c>
      <c r="AL760" s="337">
        <v>2</v>
      </c>
      <c r="AM760" s="337">
        <v>0</v>
      </c>
      <c r="AN760" s="337">
        <v>9.5609575510025024E-2</v>
      </c>
      <c r="AO760" s="337"/>
      <c r="AP760" s="337"/>
      <c r="AQ760" s="337"/>
      <c r="AR760" s="337">
        <v>17</v>
      </c>
      <c r="AS760" s="337">
        <v>17</v>
      </c>
      <c r="AT760" s="337">
        <v>19</v>
      </c>
      <c r="AU760" s="337">
        <v>12</v>
      </c>
      <c r="AV760" s="337">
        <v>40</v>
      </c>
      <c r="AW760" s="337">
        <v>0</v>
      </c>
      <c r="AX760" s="337">
        <v>0</v>
      </c>
      <c r="AY760" s="337">
        <v>0</v>
      </c>
      <c r="AZ760" s="337">
        <v>0</v>
      </c>
      <c r="BA760" s="337">
        <v>2.390239387750626E-2</v>
      </c>
      <c r="BB760" s="337"/>
      <c r="BC760" s="337"/>
      <c r="BD760" s="337"/>
      <c r="BE760" s="337">
        <v>25000</v>
      </c>
      <c r="BF760" s="337" t="s">
        <v>425</v>
      </c>
      <c r="BG760" s="337" t="s">
        <v>5</v>
      </c>
      <c r="BH760" s="337" t="s">
        <v>1020</v>
      </c>
      <c r="BI760" s="337"/>
      <c r="BJ760" s="337" t="s">
        <v>5</v>
      </c>
      <c r="BK760" s="337"/>
      <c r="BL760" s="337">
        <v>0</v>
      </c>
      <c r="BM760" s="337"/>
      <c r="BN760" s="337" t="s">
        <v>5</v>
      </c>
      <c r="BO760" s="337"/>
      <c r="BP760" s="337"/>
      <c r="BQ760" s="337"/>
      <c r="BR760" s="337"/>
      <c r="BS760" s="337" t="s">
        <v>5</v>
      </c>
      <c r="BT760" s="337"/>
      <c r="BU760" s="337"/>
      <c r="BV760" s="337"/>
      <c r="BW760" s="337"/>
      <c r="BX760" s="337" t="s">
        <v>6</v>
      </c>
      <c r="BY760" s="337" t="s">
        <v>426</v>
      </c>
      <c r="BZ760" s="337"/>
      <c r="CB760" s="337" t="s">
        <v>5</v>
      </c>
      <c r="CC760" s="337">
        <v>9744.217807832596</v>
      </c>
      <c r="CD760" s="337">
        <v>3429830.0750202211</v>
      </c>
      <c r="CE760" s="313" t="s">
        <v>11891</v>
      </c>
    </row>
    <row r="761" spans="1:83" ht="15" x14ac:dyDescent="0.25">
      <c r="A761" s="337" t="s">
        <v>793</v>
      </c>
      <c r="B761" s="337" t="s">
        <v>794</v>
      </c>
      <c r="C761" s="337" t="s">
        <v>795</v>
      </c>
      <c r="D761" s="337">
        <v>9</v>
      </c>
      <c r="E761" s="337" t="s">
        <v>416</v>
      </c>
      <c r="F761" s="337" t="s">
        <v>784</v>
      </c>
      <c r="G761" s="337" t="s">
        <v>785</v>
      </c>
      <c r="H761" s="337" t="s">
        <v>796</v>
      </c>
      <c r="I761" s="337" t="s">
        <v>796</v>
      </c>
      <c r="J761" s="337" t="s">
        <v>797</v>
      </c>
      <c r="K761" s="337" t="s">
        <v>427</v>
      </c>
      <c r="L761" s="337">
        <v>1170.904907226562</v>
      </c>
      <c r="M761" s="337" t="s">
        <v>5</v>
      </c>
      <c r="N761" s="337" t="s">
        <v>5</v>
      </c>
      <c r="O761" s="337" t="s">
        <v>5</v>
      </c>
      <c r="P761" s="337" t="s">
        <v>5</v>
      </c>
      <c r="Q761" s="337" t="s">
        <v>5</v>
      </c>
      <c r="R761" s="337" t="s">
        <v>789</v>
      </c>
      <c r="S761" s="337" t="s">
        <v>798</v>
      </c>
      <c r="T761" s="337" t="s">
        <v>5</v>
      </c>
      <c r="U761" s="337" t="s">
        <v>4</v>
      </c>
      <c r="V761" s="337">
        <v>30000</v>
      </c>
      <c r="W761" s="337">
        <v>5000</v>
      </c>
      <c r="X761" s="337" t="s">
        <v>6</v>
      </c>
      <c r="Y761" s="337"/>
      <c r="Z761" s="337"/>
      <c r="AA761" s="337">
        <v>122272.5859375</v>
      </c>
      <c r="AB761" s="337">
        <v>59.781017303466797</v>
      </c>
      <c r="AC761" s="337">
        <v>122272.5859375</v>
      </c>
      <c r="AD761" s="337">
        <v>161</v>
      </c>
      <c r="AE761" s="337">
        <v>139</v>
      </c>
      <c r="AF761" s="337">
        <v>79</v>
      </c>
      <c r="AG761" s="337">
        <v>184</v>
      </c>
      <c r="AH761" s="337">
        <v>200</v>
      </c>
      <c r="AI761" s="337">
        <v>200</v>
      </c>
      <c r="AJ761" s="337">
        <v>0</v>
      </c>
      <c r="AK761" s="337">
        <v>2</v>
      </c>
      <c r="AL761" s="337">
        <v>39</v>
      </c>
      <c r="AM761" s="337">
        <v>0</v>
      </c>
      <c r="AN761" s="337">
        <v>13306.9638671875</v>
      </c>
      <c r="AO761" s="337"/>
      <c r="AP761" s="337"/>
      <c r="AQ761" s="337"/>
      <c r="AR761" s="337">
        <v>41</v>
      </c>
      <c r="AS761" s="337">
        <v>41</v>
      </c>
      <c r="AT761" s="337">
        <v>34</v>
      </c>
      <c r="AU761" s="337">
        <v>19</v>
      </c>
      <c r="AV761" s="337">
        <v>64</v>
      </c>
      <c r="AW761" s="337">
        <v>0</v>
      </c>
      <c r="AX761" s="337">
        <v>0</v>
      </c>
      <c r="AY761" s="337">
        <v>10</v>
      </c>
      <c r="AZ761" s="337">
        <v>0</v>
      </c>
      <c r="BA761" s="337">
        <v>3326.740966796875</v>
      </c>
      <c r="BB761" s="337"/>
      <c r="BC761" s="337"/>
      <c r="BD761" s="337"/>
      <c r="BE761" s="337">
        <v>25000</v>
      </c>
      <c r="BF761" s="337" t="s">
        <v>425</v>
      </c>
      <c r="BG761" s="337" t="s">
        <v>5</v>
      </c>
      <c r="BH761" s="337" t="s">
        <v>1020</v>
      </c>
      <c r="BI761" s="337"/>
      <c r="BJ761" s="337" t="s">
        <v>5</v>
      </c>
      <c r="BK761" s="337"/>
      <c r="BL761" s="337">
        <v>0</v>
      </c>
      <c r="BM761" s="337"/>
      <c r="BN761" s="337" t="s">
        <v>5</v>
      </c>
      <c r="BO761" s="337"/>
      <c r="BP761" s="337"/>
      <c r="BQ761" s="337"/>
      <c r="BR761" s="337"/>
      <c r="BS761" s="337" t="s">
        <v>5</v>
      </c>
      <c r="BT761" s="337"/>
      <c r="BU761" s="337"/>
      <c r="BV761" s="337"/>
      <c r="BW761" s="337"/>
      <c r="BX761" s="337" t="s">
        <v>6</v>
      </c>
      <c r="BY761" s="337" t="s">
        <v>426</v>
      </c>
      <c r="BZ761" s="337"/>
      <c r="CB761" s="337" t="s">
        <v>5</v>
      </c>
      <c r="CC761" s="337">
        <v>222400.7692418503</v>
      </c>
      <c r="CD761" s="337">
        <v>3032629818.5978618</v>
      </c>
      <c r="CE761" s="313" t="s">
        <v>11891</v>
      </c>
    </row>
    <row r="762" spans="1:83" ht="15" x14ac:dyDescent="0.25">
      <c r="A762" s="337" t="s">
        <v>799</v>
      </c>
      <c r="B762" s="337" t="s">
        <v>800</v>
      </c>
      <c r="C762" s="337" t="s">
        <v>764</v>
      </c>
      <c r="D762" s="337">
        <v>9</v>
      </c>
      <c r="E762" s="337" t="s">
        <v>416</v>
      </c>
      <c r="F762" s="337" t="s">
        <v>784</v>
      </c>
      <c r="G762" s="337" t="s">
        <v>785</v>
      </c>
      <c r="H762" s="337" t="s">
        <v>796</v>
      </c>
      <c r="I762" s="337" t="s">
        <v>796</v>
      </c>
      <c r="J762" s="337" t="s">
        <v>797</v>
      </c>
      <c r="K762" s="337" t="s">
        <v>653</v>
      </c>
      <c r="L762" s="337">
        <v>1170.904907226562</v>
      </c>
      <c r="M762" s="337" t="s">
        <v>5</v>
      </c>
      <c r="N762" s="337" t="s">
        <v>5</v>
      </c>
      <c r="O762" s="337" t="s">
        <v>5</v>
      </c>
      <c r="P762" s="337" t="s">
        <v>5</v>
      </c>
      <c r="Q762" s="337" t="s">
        <v>5</v>
      </c>
      <c r="R762" s="337" t="s">
        <v>789</v>
      </c>
      <c r="S762" s="337" t="s">
        <v>798</v>
      </c>
      <c r="T762" s="337" t="s">
        <v>5</v>
      </c>
      <c r="U762" s="337" t="s">
        <v>4</v>
      </c>
      <c r="V762" s="337">
        <v>30000</v>
      </c>
      <c r="W762" s="337">
        <v>5000</v>
      </c>
      <c r="X762" s="337" t="s">
        <v>6</v>
      </c>
      <c r="Y762" s="337"/>
      <c r="Z762" s="337"/>
      <c r="AA762" s="337">
        <v>122272.5859375</v>
      </c>
      <c r="AB762" s="337">
        <v>59.781017303466797</v>
      </c>
      <c r="AC762" s="337">
        <v>122272.5859375</v>
      </c>
      <c r="AD762" s="337">
        <v>161</v>
      </c>
      <c r="AE762" s="337">
        <v>139</v>
      </c>
      <c r="AF762" s="337">
        <v>79</v>
      </c>
      <c r="AG762" s="337">
        <v>184</v>
      </c>
      <c r="AH762" s="337">
        <v>200</v>
      </c>
      <c r="AI762" s="337">
        <v>200</v>
      </c>
      <c r="AJ762" s="337">
        <v>0</v>
      </c>
      <c r="AK762" s="337">
        <v>2</v>
      </c>
      <c r="AL762" s="337">
        <v>39</v>
      </c>
      <c r="AM762" s="337">
        <v>0</v>
      </c>
      <c r="AN762" s="337">
        <v>13306.9638671875</v>
      </c>
      <c r="AO762" s="337"/>
      <c r="AP762" s="337"/>
      <c r="AQ762" s="337"/>
      <c r="AR762" s="337">
        <v>41</v>
      </c>
      <c r="AS762" s="337">
        <v>41</v>
      </c>
      <c r="AT762" s="337">
        <v>34</v>
      </c>
      <c r="AU762" s="337">
        <v>19</v>
      </c>
      <c r="AV762" s="337">
        <v>64</v>
      </c>
      <c r="AW762" s="337">
        <v>0</v>
      </c>
      <c r="AX762" s="337">
        <v>0</v>
      </c>
      <c r="AY762" s="337">
        <v>10</v>
      </c>
      <c r="AZ762" s="337">
        <v>0</v>
      </c>
      <c r="BA762" s="337">
        <v>3326.740966796875</v>
      </c>
      <c r="BB762" s="337"/>
      <c r="BC762" s="337"/>
      <c r="BD762" s="337"/>
      <c r="BE762" s="337">
        <v>25000</v>
      </c>
      <c r="BF762" s="337" t="s">
        <v>425</v>
      </c>
      <c r="BG762" s="337" t="s">
        <v>5</v>
      </c>
      <c r="BH762" s="337" t="s">
        <v>1020</v>
      </c>
      <c r="BI762" s="337"/>
      <c r="BJ762" s="337" t="s">
        <v>5</v>
      </c>
      <c r="BK762" s="337"/>
      <c r="BL762" s="337">
        <v>0</v>
      </c>
      <c r="BM762" s="337"/>
      <c r="BN762" s="337" t="s">
        <v>5</v>
      </c>
      <c r="BO762" s="337"/>
      <c r="BP762" s="337"/>
      <c r="BQ762" s="337"/>
      <c r="BR762" s="337"/>
      <c r="BS762" s="337" t="s">
        <v>5</v>
      </c>
      <c r="BT762" s="337"/>
      <c r="BU762" s="337"/>
      <c r="BV762" s="337"/>
      <c r="BW762" s="337"/>
      <c r="BX762" s="337" t="s">
        <v>6</v>
      </c>
      <c r="BY762" s="337" t="s">
        <v>426</v>
      </c>
      <c r="BZ762" s="337"/>
      <c r="CB762" s="337" t="s">
        <v>5</v>
      </c>
      <c r="CC762" s="337">
        <v>222400.7692418503</v>
      </c>
      <c r="CD762" s="337">
        <v>3032629818.5978618</v>
      </c>
      <c r="CE762" s="313" t="s">
        <v>11891</v>
      </c>
    </row>
    <row r="763" spans="1:83" ht="15" x14ac:dyDescent="0.25">
      <c r="A763" s="337" t="s">
        <v>801</v>
      </c>
      <c r="B763" s="337" t="s">
        <v>802</v>
      </c>
      <c r="C763" s="337" t="s">
        <v>803</v>
      </c>
      <c r="D763" s="337">
        <v>9</v>
      </c>
      <c r="E763" s="337" t="s">
        <v>416</v>
      </c>
      <c r="F763" s="337" t="s">
        <v>691</v>
      </c>
      <c r="G763" s="337" t="s">
        <v>804</v>
      </c>
      <c r="H763" s="337" t="s">
        <v>805</v>
      </c>
      <c r="I763" s="337" t="s">
        <v>805</v>
      </c>
      <c r="J763" s="337" t="s">
        <v>806</v>
      </c>
      <c r="K763" s="337" t="s">
        <v>452</v>
      </c>
      <c r="L763" s="337">
        <v>1.4966709613800051</v>
      </c>
      <c r="M763" s="337" t="s">
        <v>5</v>
      </c>
      <c r="N763" s="337" t="s">
        <v>5</v>
      </c>
      <c r="O763" s="337" t="s">
        <v>5</v>
      </c>
      <c r="P763" s="337" t="s">
        <v>5</v>
      </c>
      <c r="Q763" s="337" t="s">
        <v>5</v>
      </c>
      <c r="R763" s="337" t="s">
        <v>698</v>
      </c>
      <c r="S763" s="337" t="s">
        <v>807</v>
      </c>
      <c r="T763" s="337" t="s">
        <v>5</v>
      </c>
      <c r="U763" s="337" t="s">
        <v>4</v>
      </c>
      <c r="V763" s="337">
        <v>30000</v>
      </c>
      <c r="W763" s="337">
        <v>5000</v>
      </c>
      <c r="X763" s="337" t="s">
        <v>6</v>
      </c>
      <c r="Y763" s="337"/>
      <c r="Z763" s="337"/>
      <c r="AA763" s="337">
        <v>132.7859191894531</v>
      </c>
      <c r="AB763" s="337">
        <v>4.7752626240253448E-2</v>
      </c>
      <c r="AC763" s="337">
        <v>132.7859191894531</v>
      </c>
      <c r="AD763" s="337">
        <v>9</v>
      </c>
      <c r="AE763" s="337">
        <v>1</v>
      </c>
      <c r="AF763" s="337">
        <v>9</v>
      </c>
      <c r="AG763" s="337">
        <v>99</v>
      </c>
      <c r="AH763" s="337">
        <v>99</v>
      </c>
      <c r="AI763" s="337">
        <v>99</v>
      </c>
      <c r="AJ763" s="337">
        <v>0</v>
      </c>
      <c r="AK763" s="337">
        <v>2</v>
      </c>
      <c r="AL763" s="337">
        <v>3</v>
      </c>
      <c r="AM763" s="337">
        <v>0</v>
      </c>
      <c r="AN763" s="337">
        <v>21.907810211181641</v>
      </c>
      <c r="AO763" s="337"/>
      <c r="AP763" s="337"/>
      <c r="AQ763" s="337"/>
      <c r="AR763" s="337">
        <v>3</v>
      </c>
      <c r="AS763" s="337">
        <v>3</v>
      </c>
      <c r="AT763" s="337">
        <v>0</v>
      </c>
      <c r="AU763" s="337">
        <v>2</v>
      </c>
      <c r="AV763" s="337">
        <v>24</v>
      </c>
      <c r="AW763" s="337">
        <v>0</v>
      </c>
      <c r="AX763" s="337">
        <v>0</v>
      </c>
      <c r="AY763" s="337">
        <v>1</v>
      </c>
      <c r="AZ763" s="337">
        <v>0</v>
      </c>
      <c r="BA763" s="337">
        <v>5.4769525527954102</v>
      </c>
      <c r="BB763" s="337"/>
      <c r="BC763" s="337"/>
      <c r="BD763" s="337"/>
      <c r="BE763" s="337">
        <v>25000</v>
      </c>
      <c r="BF763" s="337" t="s">
        <v>425</v>
      </c>
      <c r="BG763" s="337" t="s">
        <v>5</v>
      </c>
      <c r="BH763" s="337" t="s">
        <v>1020</v>
      </c>
      <c r="BI763" s="337"/>
      <c r="BJ763" s="337" t="s">
        <v>5</v>
      </c>
      <c r="BK763" s="337"/>
      <c r="BL763" s="337">
        <v>0</v>
      </c>
      <c r="BM763" s="337"/>
      <c r="BN763" s="337" t="s">
        <v>5</v>
      </c>
      <c r="BO763" s="337"/>
      <c r="BP763" s="337"/>
      <c r="BQ763" s="337"/>
      <c r="BR763" s="337"/>
      <c r="BS763" s="337" t="s">
        <v>5</v>
      </c>
      <c r="BT763" s="337"/>
      <c r="BU763" s="337"/>
      <c r="BV763" s="337"/>
      <c r="BW763" s="337"/>
      <c r="BX763" s="337" t="s">
        <v>6</v>
      </c>
      <c r="BY763" s="337" t="s">
        <v>426</v>
      </c>
      <c r="BZ763" s="337"/>
      <c r="CB763" s="337" t="s">
        <v>5</v>
      </c>
      <c r="CC763" s="337">
        <v>9391.8878174684178</v>
      </c>
      <c r="CD763" s="337">
        <v>3876359.9982609339</v>
      </c>
      <c r="CE763" s="313" t="s">
        <v>11891</v>
      </c>
    </row>
    <row r="764" spans="1:83" ht="15" x14ac:dyDescent="0.25">
      <c r="A764" s="337" t="s">
        <v>808</v>
      </c>
      <c r="B764" s="337" t="s">
        <v>809</v>
      </c>
      <c r="C764" s="337" t="s">
        <v>810</v>
      </c>
      <c r="D764" s="337">
        <v>9</v>
      </c>
      <c r="E764" s="337" t="s">
        <v>416</v>
      </c>
      <c r="F764" s="337" t="s">
        <v>691</v>
      </c>
      <c r="G764" s="337" t="s">
        <v>811</v>
      </c>
      <c r="H764" s="337" t="s">
        <v>812</v>
      </c>
      <c r="I764" s="337" t="s">
        <v>812</v>
      </c>
      <c r="J764" s="337" t="s">
        <v>813</v>
      </c>
      <c r="K764" s="337" t="s">
        <v>452</v>
      </c>
      <c r="L764" s="337">
        <v>2.164093017578125</v>
      </c>
      <c r="M764" s="337" t="s">
        <v>5</v>
      </c>
      <c r="N764" s="337" t="s">
        <v>5</v>
      </c>
      <c r="O764" s="337" t="s">
        <v>5</v>
      </c>
      <c r="P764" s="337" t="s">
        <v>5</v>
      </c>
      <c r="Q764" s="337" t="s">
        <v>5</v>
      </c>
      <c r="R764" s="337" t="s">
        <v>698</v>
      </c>
      <c r="S764" s="337" t="s">
        <v>814</v>
      </c>
      <c r="T764" s="337" t="s">
        <v>5</v>
      </c>
      <c r="U764" s="337" t="s">
        <v>4</v>
      </c>
      <c r="V764" s="337">
        <v>30000</v>
      </c>
      <c r="W764" s="337">
        <v>5000</v>
      </c>
      <c r="X764" s="337" t="s">
        <v>6</v>
      </c>
      <c r="Y764" s="337"/>
      <c r="Z764" s="337"/>
      <c r="AA764" s="337">
        <v>212.3755187988281</v>
      </c>
      <c r="AB764" s="337">
        <v>7.0554159581661224E-2</v>
      </c>
      <c r="AC764" s="337">
        <v>212.3755187988281</v>
      </c>
      <c r="AD764" s="337">
        <v>1</v>
      </c>
      <c r="AE764" s="337">
        <v>1</v>
      </c>
      <c r="AF764" s="337">
        <v>1</v>
      </c>
      <c r="AG764" s="337">
        <v>12</v>
      </c>
      <c r="AH764" s="337">
        <v>14</v>
      </c>
      <c r="AI764" s="337">
        <v>14</v>
      </c>
      <c r="AJ764" s="337">
        <v>0</v>
      </c>
      <c r="AK764" s="337">
        <v>0</v>
      </c>
      <c r="AL764" s="337">
        <v>2</v>
      </c>
      <c r="AM764" s="337">
        <v>0</v>
      </c>
      <c r="AN764" s="337">
        <v>33.343765258789063</v>
      </c>
      <c r="AO764" s="337"/>
      <c r="AP764" s="337"/>
      <c r="AQ764" s="337"/>
      <c r="AR764" s="337">
        <v>1</v>
      </c>
      <c r="AS764" s="337">
        <v>1</v>
      </c>
      <c r="AT764" s="337">
        <v>0</v>
      </c>
      <c r="AU764" s="337">
        <v>0</v>
      </c>
      <c r="AV764" s="337">
        <v>3</v>
      </c>
      <c r="AW764" s="337">
        <v>0</v>
      </c>
      <c r="AX764" s="337">
        <v>0</v>
      </c>
      <c r="AY764" s="337">
        <v>0</v>
      </c>
      <c r="AZ764" s="337">
        <v>0</v>
      </c>
      <c r="BA764" s="337">
        <v>8.3359413146972656</v>
      </c>
      <c r="BB764" s="337"/>
      <c r="BC764" s="337"/>
      <c r="BD764" s="337"/>
      <c r="BE764" s="337">
        <v>25000</v>
      </c>
      <c r="BF764" s="337" t="s">
        <v>425</v>
      </c>
      <c r="BG764" s="337" t="s">
        <v>5</v>
      </c>
      <c r="BH764" s="337" t="s">
        <v>1020</v>
      </c>
      <c r="BI764" s="337"/>
      <c r="BJ764" s="337" t="s">
        <v>5</v>
      </c>
      <c r="BK764" s="337"/>
      <c r="BL764" s="337">
        <v>0</v>
      </c>
      <c r="BM764" s="337"/>
      <c r="BN764" s="337" t="s">
        <v>5</v>
      </c>
      <c r="BO764" s="337"/>
      <c r="BP764" s="337"/>
      <c r="BQ764" s="337"/>
      <c r="BR764" s="337"/>
      <c r="BS764" s="337" t="s">
        <v>5</v>
      </c>
      <c r="BT764" s="337"/>
      <c r="BU764" s="337"/>
      <c r="BV764" s="337"/>
      <c r="BW764" s="337"/>
      <c r="BX764" s="337" t="s">
        <v>6</v>
      </c>
      <c r="BY764" s="337" t="s">
        <v>426</v>
      </c>
      <c r="BZ764" s="337"/>
      <c r="CB764" s="337" t="s">
        <v>5</v>
      </c>
      <c r="CC764" s="337">
        <v>54413.848156316169</v>
      </c>
      <c r="CD764" s="337">
        <v>5604975.193213637</v>
      </c>
      <c r="CE764" s="313" t="s">
        <v>11891</v>
      </c>
    </row>
    <row r="765" spans="1:83" ht="15" x14ac:dyDescent="0.25">
      <c r="A765" s="337" t="s">
        <v>815</v>
      </c>
      <c r="B765" s="337" t="s">
        <v>816</v>
      </c>
      <c r="C765" s="337" t="s">
        <v>810</v>
      </c>
      <c r="D765" s="337">
        <v>9</v>
      </c>
      <c r="E765" s="337" t="s">
        <v>416</v>
      </c>
      <c r="F765" s="337" t="s">
        <v>691</v>
      </c>
      <c r="G765" s="337" t="s">
        <v>817</v>
      </c>
      <c r="H765" s="337" t="s">
        <v>818</v>
      </c>
      <c r="I765" s="337" t="s">
        <v>818</v>
      </c>
      <c r="J765" s="337" t="s">
        <v>692</v>
      </c>
      <c r="K765" s="337" t="s">
        <v>452</v>
      </c>
      <c r="L765" s="337">
        <v>1052.472900390625</v>
      </c>
      <c r="M765" s="337" t="s">
        <v>5</v>
      </c>
      <c r="N765" s="337" t="s">
        <v>5</v>
      </c>
      <c r="O765" s="337" t="s">
        <v>5</v>
      </c>
      <c r="P765" s="337" t="s">
        <v>5</v>
      </c>
      <c r="Q765" s="337" t="s">
        <v>5</v>
      </c>
      <c r="R765" s="337" t="s">
        <v>693</v>
      </c>
      <c r="S765" s="337" t="s">
        <v>694</v>
      </c>
      <c r="T765" s="337" t="s">
        <v>5</v>
      </c>
      <c r="U765" s="337" t="s">
        <v>4</v>
      </c>
      <c r="V765" s="337">
        <v>30000</v>
      </c>
      <c r="W765" s="337">
        <v>5000</v>
      </c>
      <c r="X765" s="337" t="s">
        <v>6</v>
      </c>
      <c r="Y765" s="337"/>
      <c r="Z765" s="337"/>
      <c r="AA765" s="337">
        <v>128592.46875</v>
      </c>
      <c r="AB765" s="337">
        <v>35.382354736328118</v>
      </c>
      <c r="AC765" s="337">
        <v>128592.46875</v>
      </c>
      <c r="AD765" s="337">
        <v>164</v>
      </c>
      <c r="AE765" s="337">
        <v>68</v>
      </c>
      <c r="AF765" s="337">
        <v>41</v>
      </c>
      <c r="AG765" s="337">
        <v>172</v>
      </c>
      <c r="AH765" s="337">
        <v>178</v>
      </c>
      <c r="AI765" s="337">
        <v>178</v>
      </c>
      <c r="AJ765" s="337">
        <v>0</v>
      </c>
      <c r="AK765" s="337">
        <v>18</v>
      </c>
      <c r="AL765" s="337">
        <v>125</v>
      </c>
      <c r="AM765" s="337">
        <v>0</v>
      </c>
      <c r="AN765" s="337">
        <v>39209.76953125</v>
      </c>
      <c r="AO765" s="337"/>
      <c r="AP765" s="337"/>
      <c r="AQ765" s="337"/>
      <c r="AR765" s="337">
        <v>41</v>
      </c>
      <c r="AS765" s="337">
        <v>41</v>
      </c>
      <c r="AT765" s="337">
        <v>17</v>
      </c>
      <c r="AU765" s="337">
        <v>10</v>
      </c>
      <c r="AV765" s="337">
        <v>62</v>
      </c>
      <c r="AW765" s="337">
        <v>0</v>
      </c>
      <c r="AX765" s="337">
        <v>4</v>
      </c>
      <c r="AY765" s="337">
        <v>31</v>
      </c>
      <c r="AZ765" s="337">
        <v>0</v>
      </c>
      <c r="BA765" s="337">
        <v>9802.4423828125</v>
      </c>
      <c r="BB765" s="337"/>
      <c r="BC765" s="337"/>
      <c r="BD765" s="337"/>
      <c r="BE765" s="337">
        <v>25000</v>
      </c>
      <c r="BF765" s="337" t="s">
        <v>425</v>
      </c>
      <c r="BG765" s="337" t="s">
        <v>5</v>
      </c>
      <c r="BH765" s="337" t="s">
        <v>1020</v>
      </c>
      <c r="BI765" s="337"/>
      <c r="BJ765" s="337" t="s">
        <v>5</v>
      </c>
      <c r="BK765" s="337"/>
      <c r="BL765" s="337">
        <v>0</v>
      </c>
      <c r="BM765" s="337"/>
      <c r="BN765" s="337" t="s">
        <v>5</v>
      </c>
      <c r="BO765" s="337"/>
      <c r="BP765" s="337"/>
      <c r="BQ765" s="337"/>
      <c r="BR765" s="337"/>
      <c r="BS765" s="337" t="s">
        <v>5</v>
      </c>
      <c r="BT765" s="337"/>
      <c r="BU765" s="337"/>
      <c r="BV765" s="337"/>
      <c r="BW765" s="337"/>
      <c r="BX765" s="337" t="s">
        <v>6</v>
      </c>
      <c r="BY765" s="337" t="s">
        <v>426</v>
      </c>
      <c r="BZ765" s="337"/>
      <c r="CB765" s="337" t="s">
        <v>5</v>
      </c>
      <c r="CC765" s="337">
        <v>209051.31353958411</v>
      </c>
      <c r="CD765" s="337">
        <v>2725892250.830832</v>
      </c>
      <c r="CE765" s="313" t="s">
        <v>11891</v>
      </c>
    </row>
    <row r="766" spans="1:83" ht="15" x14ac:dyDescent="0.25">
      <c r="A766" s="337" t="s">
        <v>822</v>
      </c>
      <c r="B766" s="337" t="s">
        <v>823</v>
      </c>
      <c r="C766" s="337" t="s">
        <v>824</v>
      </c>
      <c r="D766" s="337">
        <v>9</v>
      </c>
      <c r="E766" s="337" t="s">
        <v>416</v>
      </c>
      <c r="F766" s="337" t="s">
        <v>691</v>
      </c>
      <c r="G766" s="337" t="s">
        <v>811</v>
      </c>
      <c r="H766" s="337" t="s">
        <v>825</v>
      </c>
      <c r="I766" s="337" t="s">
        <v>825</v>
      </c>
      <c r="J766" s="337" t="s">
        <v>826</v>
      </c>
      <c r="K766" s="337" t="s">
        <v>452</v>
      </c>
      <c r="L766" s="337">
        <v>3.3985908031463619</v>
      </c>
      <c r="M766" s="337" t="s">
        <v>5</v>
      </c>
      <c r="N766" s="337" t="s">
        <v>5</v>
      </c>
      <c r="O766" s="337" t="s">
        <v>5</v>
      </c>
      <c r="P766" s="337" t="s">
        <v>5</v>
      </c>
      <c r="Q766" s="337" t="s">
        <v>5</v>
      </c>
      <c r="R766" s="337" t="s">
        <v>698</v>
      </c>
      <c r="S766" s="337" t="s">
        <v>827</v>
      </c>
      <c r="T766" s="337" t="s">
        <v>5</v>
      </c>
      <c r="U766" s="337" t="s">
        <v>4</v>
      </c>
      <c r="V766" s="337">
        <v>30000</v>
      </c>
      <c r="W766" s="337">
        <v>5000</v>
      </c>
      <c r="X766" s="337" t="s">
        <v>6</v>
      </c>
      <c r="Y766" s="337"/>
      <c r="Z766" s="337"/>
      <c r="AA766" s="337">
        <v>810.5125732421875</v>
      </c>
      <c r="AB766" s="337">
        <v>0.13504146039485929</v>
      </c>
      <c r="AC766" s="337">
        <v>810.5125732421875</v>
      </c>
      <c r="AD766" s="337">
        <v>13</v>
      </c>
      <c r="AE766" s="337">
        <v>1</v>
      </c>
      <c r="AF766" s="337">
        <v>7</v>
      </c>
      <c r="AG766" s="337">
        <v>127</v>
      </c>
      <c r="AH766" s="337">
        <v>61</v>
      </c>
      <c r="AI766" s="337">
        <v>127</v>
      </c>
      <c r="AJ766" s="337">
        <v>0</v>
      </c>
      <c r="AK766" s="337">
        <v>0</v>
      </c>
      <c r="AL766" s="337">
        <v>15</v>
      </c>
      <c r="AM766" s="337">
        <v>0</v>
      </c>
      <c r="AN766" s="337">
        <v>99.603057861328125</v>
      </c>
      <c r="AO766" s="337"/>
      <c r="AP766" s="337"/>
      <c r="AQ766" s="337"/>
      <c r="AR766" s="337">
        <v>4</v>
      </c>
      <c r="AS766" s="337">
        <v>4</v>
      </c>
      <c r="AT766" s="337">
        <v>0</v>
      </c>
      <c r="AU766" s="337">
        <v>1</v>
      </c>
      <c r="AV766" s="337">
        <v>32</v>
      </c>
      <c r="AW766" s="337">
        <v>0</v>
      </c>
      <c r="AX766" s="337">
        <v>0</v>
      </c>
      <c r="AY766" s="337">
        <v>4</v>
      </c>
      <c r="AZ766" s="337">
        <v>0</v>
      </c>
      <c r="BA766" s="337">
        <v>24.900764465332031</v>
      </c>
      <c r="BB766" s="337"/>
      <c r="BC766" s="337"/>
      <c r="BD766" s="337"/>
      <c r="BE766" s="337">
        <v>25000</v>
      </c>
      <c r="BF766" s="337" t="s">
        <v>425</v>
      </c>
      <c r="BG766" s="337" t="s">
        <v>5</v>
      </c>
      <c r="BH766" s="337" t="s">
        <v>1020</v>
      </c>
      <c r="BI766" s="337"/>
      <c r="BJ766" s="337" t="s">
        <v>5</v>
      </c>
      <c r="BK766" s="337"/>
      <c r="BL766" s="337">
        <v>0</v>
      </c>
      <c r="BM766" s="337"/>
      <c r="BN766" s="337" t="s">
        <v>5</v>
      </c>
      <c r="BO766" s="337"/>
      <c r="BP766" s="337"/>
      <c r="BQ766" s="337"/>
      <c r="BR766" s="337"/>
      <c r="BS766" s="337" t="s">
        <v>5</v>
      </c>
      <c r="BT766" s="337"/>
      <c r="BU766" s="337"/>
      <c r="BV766" s="337"/>
      <c r="BW766" s="337"/>
      <c r="BX766" s="337" t="s">
        <v>6</v>
      </c>
      <c r="BY766" s="337" t="s">
        <v>426</v>
      </c>
      <c r="BZ766" s="337"/>
      <c r="CB766" s="337" t="s">
        <v>5</v>
      </c>
      <c r="CC766" s="337">
        <v>21126.468371663821</v>
      </c>
      <c r="CD766" s="337">
        <v>8802309.7849283963</v>
      </c>
      <c r="CE766" s="313" t="s">
        <v>11891</v>
      </c>
    </row>
    <row r="767" spans="1:83" ht="15" x14ac:dyDescent="0.25">
      <c r="A767" s="337" t="s">
        <v>831</v>
      </c>
      <c r="B767" s="337" t="s">
        <v>832</v>
      </c>
      <c r="C767" s="337" t="s">
        <v>833</v>
      </c>
      <c r="D767" s="337">
        <v>9</v>
      </c>
      <c r="E767" s="337" t="s">
        <v>416</v>
      </c>
      <c r="F767" s="337" t="s">
        <v>834</v>
      </c>
      <c r="G767" s="337" t="s">
        <v>835</v>
      </c>
      <c r="H767" s="337" t="s">
        <v>836</v>
      </c>
      <c r="I767" s="337" t="s">
        <v>836</v>
      </c>
      <c r="J767" s="337" t="s">
        <v>837</v>
      </c>
      <c r="K767" s="337" t="s">
        <v>452</v>
      </c>
      <c r="L767" s="337">
        <v>1.3761963844299321</v>
      </c>
      <c r="M767" s="337" t="s">
        <v>5</v>
      </c>
      <c r="N767" s="337" t="s">
        <v>5</v>
      </c>
      <c r="O767" s="337" t="s">
        <v>5</v>
      </c>
      <c r="P767" s="337" t="s">
        <v>5</v>
      </c>
      <c r="Q767" s="337" t="s">
        <v>5</v>
      </c>
      <c r="R767" s="337" t="s">
        <v>740</v>
      </c>
      <c r="S767" s="337" t="s">
        <v>838</v>
      </c>
      <c r="T767" s="337" t="s">
        <v>5</v>
      </c>
      <c r="U767" s="337" t="s">
        <v>4</v>
      </c>
      <c r="V767" s="337">
        <v>30000</v>
      </c>
      <c r="W767" s="337">
        <v>5000</v>
      </c>
      <c r="X767" s="337" t="s">
        <v>6</v>
      </c>
      <c r="Y767" s="337"/>
      <c r="Z767" s="337"/>
      <c r="AA767" s="337">
        <v>78.616386413574219</v>
      </c>
      <c r="AB767" s="337">
        <v>4.0164101868867867E-2</v>
      </c>
      <c r="AC767" s="337">
        <v>78.616386413574219</v>
      </c>
      <c r="AD767" s="337">
        <v>20</v>
      </c>
      <c r="AE767" s="337">
        <v>27</v>
      </c>
      <c r="AF767" s="337">
        <v>10</v>
      </c>
      <c r="AG767" s="337">
        <v>173</v>
      </c>
      <c r="AH767" s="337">
        <v>12</v>
      </c>
      <c r="AI767" s="337">
        <v>173</v>
      </c>
      <c r="AJ767" s="337">
        <v>0</v>
      </c>
      <c r="AK767" s="337">
        <v>0</v>
      </c>
      <c r="AL767" s="337">
        <v>1</v>
      </c>
      <c r="AM767" s="337">
        <v>0</v>
      </c>
      <c r="AN767" s="337">
        <v>1.4195259809494021</v>
      </c>
      <c r="AO767" s="337"/>
      <c r="AP767" s="337"/>
      <c r="AQ767" s="337"/>
      <c r="AR767" s="337">
        <v>5</v>
      </c>
      <c r="AS767" s="337">
        <v>5</v>
      </c>
      <c r="AT767" s="337">
        <v>6</v>
      </c>
      <c r="AU767" s="337">
        <v>2</v>
      </c>
      <c r="AV767" s="337">
        <v>45</v>
      </c>
      <c r="AW767" s="337">
        <v>0</v>
      </c>
      <c r="AX767" s="337">
        <v>0</v>
      </c>
      <c r="AY767" s="337">
        <v>0</v>
      </c>
      <c r="AZ767" s="337">
        <v>0</v>
      </c>
      <c r="BA767" s="337">
        <v>0.35488149523735052</v>
      </c>
      <c r="BB767" s="337"/>
      <c r="BC767" s="337"/>
      <c r="BD767" s="337"/>
      <c r="BE767" s="337">
        <v>25000</v>
      </c>
      <c r="BF767" s="337" t="s">
        <v>425</v>
      </c>
      <c r="BG767" s="337" t="s">
        <v>5</v>
      </c>
      <c r="BH767" s="337" t="s">
        <v>1020</v>
      </c>
      <c r="BI767" s="337"/>
      <c r="BJ767" s="337" t="s">
        <v>5</v>
      </c>
      <c r="BK767" s="337"/>
      <c r="BL767" s="337">
        <v>0</v>
      </c>
      <c r="BM767" s="337"/>
      <c r="BN767" s="337" t="s">
        <v>5</v>
      </c>
      <c r="BO767" s="337"/>
      <c r="BP767" s="337"/>
      <c r="BQ767" s="337"/>
      <c r="BR767" s="337"/>
      <c r="BS767" s="337" t="s">
        <v>5</v>
      </c>
      <c r="BT767" s="337"/>
      <c r="BU767" s="337"/>
      <c r="BV767" s="337"/>
      <c r="BW767" s="337"/>
      <c r="BX767" s="337" t="s">
        <v>6</v>
      </c>
      <c r="BY767" s="337" t="s">
        <v>426</v>
      </c>
      <c r="BZ767" s="337"/>
      <c r="CB767" s="337" t="s">
        <v>5</v>
      </c>
      <c r="CC767" s="337">
        <v>9338.0590000649718</v>
      </c>
      <c r="CD767" s="337">
        <v>3564332.2367286249</v>
      </c>
      <c r="CE767" s="313" t="s">
        <v>11891</v>
      </c>
    </row>
    <row r="768" spans="1:83" ht="15" x14ac:dyDescent="0.25">
      <c r="A768" s="337" t="s">
        <v>839</v>
      </c>
      <c r="B768" s="337" t="s">
        <v>840</v>
      </c>
      <c r="C768" s="337" t="s">
        <v>841</v>
      </c>
      <c r="D768" s="337">
        <v>9</v>
      </c>
      <c r="E768" s="337" t="s">
        <v>416</v>
      </c>
      <c r="F768" s="337" t="s">
        <v>834</v>
      </c>
      <c r="G768" s="337" t="s">
        <v>842</v>
      </c>
      <c r="H768" s="337" t="s">
        <v>843</v>
      </c>
      <c r="I768" s="337" t="s">
        <v>843</v>
      </c>
      <c r="J768" s="337" t="s">
        <v>844</v>
      </c>
      <c r="K768" s="337" t="s">
        <v>653</v>
      </c>
      <c r="L768" s="337">
        <v>1310.045166015625</v>
      </c>
      <c r="M768" s="337" t="s">
        <v>5</v>
      </c>
      <c r="N768" s="337" t="s">
        <v>5</v>
      </c>
      <c r="O768" s="337" t="s">
        <v>5</v>
      </c>
      <c r="P768" s="337" t="s">
        <v>5</v>
      </c>
      <c r="Q768" s="337" t="s">
        <v>5</v>
      </c>
      <c r="R768" s="337" t="s">
        <v>740</v>
      </c>
      <c r="S768" s="337" t="s">
        <v>845</v>
      </c>
      <c r="T768" s="337" t="s">
        <v>5</v>
      </c>
      <c r="U768" s="337" t="s">
        <v>4</v>
      </c>
      <c r="V768" s="337">
        <v>30000</v>
      </c>
      <c r="W768" s="337">
        <v>5000</v>
      </c>
      <c r="X768" s="337" t="s">
        <v>6</v>
      </c>
      <c r="Y768" s="337"/>
      <c r="Z768" s="337"/>
      <c r="AA768" s="337">
        <v>41425.56640625</v>
      </c>
      <c r="AB768" s="337">
        <v>7.5222601890563956</v>
      </c>
      <c r="AC768" s="337">
        <v>41425.56640625</v>
      </c>
      <c r="AD768" s="337">
        <v>99</v>
      </c>
      <c r="AE768" s="337">
        <v>51</v>
      </c>
      <c r="AF768" s="337">
        <v>40</v>
      </c>
      <c r="AG768" s="337">
        <v>191</v>
      </c>
      <c r="AH768" s="337">
        <v>72</v>
      </c>
      <c r="AI768" s="337">
        <v>191</v>
      </c>
      <c r="AJ768" s="337">
        <v>0</v>
      </c>
      <c r="AK768" s="337">
        <v>2</v>
      </c>
      <c r="AL768" s="337">
        <v>17</v>
      </c>
      <c r="AM768" s="337">
        <v>0</v>
      </c>
      <c r="AN768" s="337">
        <v>1263.988647460938</v>
      </c>
      <c r="AO768" s="337"/>
      <c r="AP768" s="337"/>
      <c r="AQ768" s="337"/>
      <c r="AR768" s="337">
        <v>25</v>
      </c>
      <c r="AS768" s="337">
        <v>25</v>
      </c>
      <c r="AT768" s="337">
        <v>12</v>
      </c>
      <c r="AU768" s="337">
        <v>10</v>
      </c>
      <c r="AV768" s="337">
        <v>62</v>
      </c>
      <c r="AW768" s="337">
        <v>0</v>
      </c>
      <c r="AX768" s="337">
        <v>0</v>
      </c>
      <c r="AY768" s="337">
        <v>4</v>
      </c>
      <c r="AZ768" s="337">
        <v>0</v>
      </c>
      <c r="BA768" s="337">
        <v>315.99716186523438</v>
      </c>
      <c r="BB768" s="337"/>
      <c r="BC768" s="337"/>
      <c r="BD768" s="337"/>
      <c r="BE768" s="337">
        <v>25000</v>
      </c>
      <c r="BF768" s="337" t="s">
        <v>425</v>
      </c>
      <c r="BG768" s="337" t="s">
        <v>5</v>
      </c>
      <c r="BH768" s="337" t="s">
        <v>1020</v>
      </c>
      <c r="BI768" s="337"/>
      <c r="BJ768" s="337" t="s">
        <v>5</v>
      </c>
      <c r="BK768" s="337"/>
      <c r="BL768" s="337">
        <v>0</v>
      </c>
      <c r="BM768" s="337"/>
      <c r="BN768" s="337" t="s">
        <v>5</v>
      </c>
      <c r="BO768" s="337"/>
      <c r="BP768" s="337"/>
      <c r="BQ768" s="337"/>
      <c r="BR768" s="337"/>
      <c r="BS768" s="337" t="s">
        <v>5</v>
      </c>
      <c r="BT768" s="337"/>
      <c r="BU768" s="337"/>
      <c r="BV768" s="337"/>
      <c r="BW768" s="337"/>
      <c r="BX768" s="337" t="s">
        <v>6</v>
      </c>
      <c r="BY768" s="337" t="s">
        <v>426</v>
      </c>
      <c r="BZ768" s="337"/>
      <c r="CB768" s="337" t="s">
        <v>5</v>
      </c>
      <c r="CC768" s="337">
        <v>245365.20504829031</v>
      </c>
      <c r="CD768" s="337">
        <v>3393001463.1497169</v>
      </c>
      <c r="CE768" s="313" t="s">
        <v>11891</v>
      </c>
    </row>
    <row r="769" spans="1:83" ht="15" x14ac:dyDescent="0.25">
      <c r="A769" s="337" t="s">
        <v>846</v>
      </c>
      <c r="B769" s="337" t="s">
        <v>847</v>
      </c>
      <c r="C769" s="337" t="s">
        <v>848</v>
      </c>
      <c r="D769" s="337">
        <v>9</v>
      </c>
      <c r="E769" s="337" t="s">
        <v>416</v>
      </c>
      <c r="F769" s="337" t="s">
        <v>439</v>
      </c>
      <c r="G769" s="337" t="s">
        <v>418</v>
      </c>
      <c r="H769" s="337" t="s">
        <v>554</v>
      </c>
      <c r="I769" s="337" t="s">
        <v>554</v>
      </c>
      <c r="J769" s="337" t="s">
        <v>555</v>
      </c>
      <c r="K769" s="337" t="s">
        <v>427</v>
      </c>
      <c r="L769" s="337">
        <v>8.3245706558227539</v>
      </c>
      <c r="M769" s="337" t="s">
        <v>5</v>
      </c>
      <c r="N769" s="337" t="s">
        <v>5</v>
      </c>
      <c r="O769" s="337" t="s">
        <v>5</v>
      </c>
      <c r="P769" s="337" t="s">
        <v>5</v>
      </c>
      <c r="Q769" s="337" t="s">
        <v>5</v>
      </c>
      <c r="R769" s="337" t="s">
        <v>556</v>
      </c>
      <c r="S769" s="337" t="s">
        <v>557</v>
      </c>
      <c r="T769" s="337" t="s">
        <v>5</v>
      </c>
      <c r="U769" s="337" t="s">
        <v>4</v>
      </c>
      <c r="V769" s="337">
        <v>30000</v>
      </c>
      <c r="W769" s="337">
        <v>5000</v>
      </c>
      <c r="X769" s="337" t="s">
        <v>6</v>
      </c>
      <c r="Y769" s="337"/>
      <c r="Z769" s="337"/>
      <c r="AA769" s="337">
        <v>915.016357421875</v>
      </c>
      <c r="AB769" s="337">
        <v>0.13352121412754059</v>
      </c>
      <c r="AC769" s="337">
        <v>915.016357421875</v>
      </c>
      <c r="AD769" s="337">
        <v>445</v>
      </c>
      <c r="AE769" s="337">
        <v>72</v>
      </c>
      <c r="AF769" s="337">
        <v>266</v>
      </c>
      <c r="AG769" s="337">
        <v>1633</v>
      </c>
      <c r="AH769" s="337">
        <v>528</v>
      </c>
      <c r="AI769" s="337">
        <v>1633</v>
      </c>
      <c r="AJ769" s="337">
        <v>1</v>
      </c>
      <c r="AK769" s="337">
        <v>3</v>
      </c>
      <c r="AL769" s="337">
        <v>21</v>
      </c>
      <c r="AM769" s="337">
        <v>0</v>
      </c>
      <c r="AN769" s="337">
        <v>41.684223175048828</v>
      </c>
      <c r="AO769" s="337"/>
      <c r="AP769" s="337"/>
      <c r="AQ769" s="337"/>
      <c r="AR769" s="337">
        <v>112</v>
      </c>
      <c r="AS769" s="337">
        <v>112</v>
      </c>
      <c r="AT769" s="337">
        <v>18</v>
      </c>
      <c r="AU769" s="337">
        <v>66</v>
      </c>
      <c r="AV769" s="337">
        <v>485</v>
      </c>
      <c r="AW769" s="337">
        <v>0</v>
      </c>
      <c r="AX769" s="337">
        <v>0</v>
      </c>
      <c r="AY769" s="337">
        <v>5</v>
      </c>
      <c r="AZ769" s="337">
        <v>0</v>
      </c>
      <c r="BA769" s="337">
        <v>10.421055793762211</v>
      </c>
      <c r="BB769" s="337"/>
      <c r="BC769" s="337"/>
      <c r="BD769" s="337"/>
      <c r="BE769" s="337">
        <v>25000</v>
      </c>
      <c r="BF769" s="337" t="s">
        <v>425</v>
      </c>
      <c r="BG769" s="337" t="s">
        <v>5</v>
      </c>
      <c r="BH769" s="337" t="s">
        <v>1020</v>
      </c>
      <c r="BI769" s="337"/>
      <c r="BJ769" s="337" t="s">
        <v>5</v>
      </c>
      <c r="BK769" s="337"/>
      <c r="BL769" s="337">
        <v>0</v>
      </c>
      <c r="BM769" s="337"/>
      <c r="BN769" s="337" t="s">
        <v>5</v>
      </c>
      <c r="BO769" s="337"/>
      <c r="BP769" s="337"/>
      <c r="BQ769" s="337"/>
      <c r="BR769" s="337"/>
      <c r="BS769" s="337" t="s">
        <v>5</v>
      </c>
      <c r="BT769" s="337"/>
      <c r="BU769" s="337"/>
      <c r="BV769" s="337"/>
      <c r="BW769" s="337"/>
      <c r="BX769" s="337" t="s">
        <v>6</v>
      </c>
      <c r="BY769" s="337" t="s">
        <v>426</v>
      </c>
      <c r="BZ769" s="337"/>
      <c r="CB769" s="337" t="s">
        <v>5</v>
      </c>
      <c r="CC769" s="337">
        <v>43124.660898775408</v>
      </c>
      <c r="CD769" s="337">
        <v>21560539.59391791</v>
      </c>
      <c r="CE769" s="313" t="s">
        <v>11891</v>
      </c>
    </row>
    <row r="770" spans="1:83" ht="15" x14ac:dyDescent="0.25">
      <c r="A770" s="337" t="s">
        <v>849</v>
      </c>
      <c r="B770" s="337" t="s">
        <v>850</v>
      </c>
      <c r="C770" s="337" t="s">
        <v>851</v>
      </c>
      <c r="D770" s="337">
        <v>9</v>
      </c>
      <c r="E770" s="337" t="s">
        <v>416</v>
      </c>
      <c r="F770" s="337" t="s">
        <v>439</v>
      </c>
      <c r="G770" s="337" t="s">
        <v>440</v>
      </c>
      <c r="H770" s="337" t="s">
        <v>441</v>
      </c>
      <c r="I770" s="337" t="s">
        <v>441</v>
      </c>
      <c r="J770" s="337" t="s">
        <v>443</v>
      </c>
      <c r="K770" s="337" t="s">
        <v>422</v>
      </c>
      <c r="L770" s="337">
        <v>906.45184326171875</v>
      </c>
      <c r="M770" s="337" t="s">
        <v>5</v>
      </c>
      <c r="N770" s="337" t="s">
        <v>5</v>
      </c>
      <c r="O770" s="337" t="s">
        <v>5</v>
      </c>
      <c r="P770" s="337" t="s">
        <v>5</v>
      </c>
      <c r="Q770" s="337" t="s">
        <v>5</v>
      </c>
      <c r="R770" s="337" t="s">
        <v>434</v>
      </c>
      <c r="S770" s="337" t="s">
        <v>852</v>
      </c>
      <c r="T770" s="337" t="s">
        <v>5</v>
      </c>
      <c r="U770" s="337" t="s">
        <v>4</v>
      </c>
      <c r="V770" s="337">
        <v>30000</v>
      </c>
      <c r="W770" s="337">
        <v>5000</v>
      </c>
      <c r="X770" s="337" t="s">
        <v>6</v>
      </c>
      <c r="Y770" s="337"/>
      <c r="Z770" s="337"/>
      <c r="AA770" s="337">
        <v>54305.53125</v>
      </c>
      <c r="AB770" s="337">
        <v>14.111452102661129</v>
      </c>
      <c r="AC770" s="337">
        <v>54305.53125</v>
      </c>
      <c r="AD770" s="337">
        <v>606</v>
      </c>
      <c r="AE770" s="337">
        <v>122</v>
      </c>
      <c r="AF770" s="337">
        <v>324</v>
      </c>
      <c r="AG770" s="337">
        <v>1754</v>
      </c>
      <c r="AH770" s="337">
        <v>647</v>
      </c>
      <c r="AI770" s="337">
        <v>1754</v>
      </c>
      <c r="AJ770" s="337">
        <v>1</v>
      </c>
      <c r="AK770" s="337">
        <v>10</v>
      </c>
      <c r="AL770" s="337">
        <v>76</v>
      </c>
      <c r="AM770" s="337">
        <v>0</v>
      </c>
      <c r="AN770" s="337">
        <v>11692.4853515625</v>
      </c>
      <c r="AO770" s="337"/>
      <c r="AP770" s="337"/>
      <c r="AQ770" s="337"/>
      <c r="AR770" s="337">
        <v>152</v>
      </c>
      <c r="AS770" s="337">
        <v>152</v>
      </c>
      <c r="AT770" s="337">
        <v>30</v>
      </c>
      <c r="AU770" s="337">
        <v>81</v>
      </c>
      <c r="AV770" s="337">
        <v>537</v>
      </c>
      <c r="AW770" s="337">
        <v>0</v>
      </c>
      <c r="AX770" s="337">
        <v>2</v>
      </c>
      <c r="AY770" s="337">
        <v>19</v>
      </c>
      <c r="AZ770" s="337">
        <v>0</v>
      </c>
      <c r="BA770" s="337">
        <v>2923.121337890625</v>
      </c>
      <c r="BB770" s="337"/>
      <c r="BC770" s="337"/>
      <c r="BD770" s="337"/>
      <c r="BE770" s="337">
        <v>25000</v>
      </c>
      <c r="BF770" s="337" t="s">
        <v>425</v>
      </c>
      <c r="BG770" s="337" t="s">
        <v>5</v>
      </c>
      <c r="BH770" s="337" t="s">
        <v>1020</v>
      </c>
      <c r="BI770" s="337"/>
      <c r="BJ770" s="337" t="s">
        <v>5</v>
      </c>
      <c r="BK770" s="337"/>
      <c r="BL770" s="337">
        <v>0</v>
      </c>
      <c r="BM770" s="337"/>
      <c r="BN770" s="337" t="s">
        <v>5</v>
      </c>
      <c r="BO770" s="337"/>
      <c r="BP770" s="337"/>
      <c r="BQ770" s="337"/>
      <c r="BR770" s="337"/>
      <c r="BS770" s="337" t="s">
        <v>5</v>
      </c>
      <c r="BT770" s="337"/>
      <c r="BU770" s="337"/>
      <c r="BV770" s="337"/>
      <c r="BW770" s="337"/>
      <c r="BX770" s="337" t="s">
        <v>6</v>
      </c>
      <c r="BY770" s="337" t="s">
        <v>426</v>
      </c>
      <c r="BZ770" s="337"/>
      <c r="CB770" s="337" t="s">
        <v>5</v>
      </c>
      <c r="CC770" s="337">
        <v>193254.45002718701</v>
      </c>
      <c r="CD770" s="337">
        <v>2347699519.052772</v>
      </c>
      <c r="CE770" s="313" t="s">
        <v>11891</v>
      </c>
    </row>
    <row r="771" spans="1:83" ht="15" x14ac:dyDescent="0.25">
      <c r="A771" s="337" t="s">
        <v>853</v>
      </c>
      <c r="B771" s="337" t="s">
        <v>854</v>
      </c>
      <c r="C771" s="337" t="s">
        <v>855</v>
      </c>
      <c r="D771" s="337">
        <v>9</v>
      </c>
      <c r="E771" s="337" t="s">
        <v>416</v>
      </c>
      <c r="F771" s="337" t="s">
        <v>439</v>
      </c>
      <c r="G771" s="337" t="s">
        <v>440</v>
      </c>
      <c r="H771" s="337" t="s">
        <v>441</v>
      </c>
      <c r="I771" s="337" t="s">
        <v>441</v>
      </c>
      <c r="J771" s="337" t="s">
        <v>443</v>
      </c>
      <c r="K771" s="337" t="s">
        <v>452</v>
      </c>
      <c r="L771" s="337">
        <v>906.45184326171875</v>
      </c>
      <c r="M771" s="337" t="s">
        <v>5</v>
      </c>
      <c r="N771" s="337" t="s">
        <v>5</v>
      </c>
      <c r="O771" s="337" t="s">
        <v>5</v>
      </c>
      <c r="P771" s="337" t="s">
        <v>5</v>
      </c>
      <c r="Q771" s="337" t="s">
        <v>5</v>
      </c>
      <c r="R771" s="337" t="s">
        <v>434</v>
      </c>
      <c r="S771" s="337" t="s">
        <v>852</v>
      </c>
      <c r="T771" s="337" t="s">
        <v>5</v>
      </c>
      <c r="U771" s="337" t="s">
        <v>4</v>
      </c>
      <c r="V771" s="337">
        <v>30000</v>
      </c>
      <c r="W771" s="337">
        <v>5000</v>
      </c>
      <c r="X771" s="337" t="s">
        <v>6</v>
      </c>
      <c r="Y771" s="337"/>
      <c r="Z771" s="337"/>
      <c r="AA771" s="337">
        <v>54305.53125</v>
      </c>
      <c r="AB771" s="337">
        <v>14.111452102661129</v>
      </c>
      <c r="AC771" s="337">
        <v>54305.53125</v>
      </c>
      <c r="AD771" s="337">
        <v>606</v>
      </c>
      <c r="AE771" s="337">
        <v>122</v>
      </c>
      <c r="AF771" s="337">
        <v>324</v>
      </c>
      <c r="AG771" s="337">
        <v>1754</v>
      </c>
      <c r="AH771" s="337">
        <v>647</v>
      </c>
      <c r="AI771" s="337">
        <v>1754</v>
      </c>
      <c r="AJ771" s="337">
        <v>1</v>
      </c>
      <c r="AK771" s="337">
        <v>10</v>
      </c>
      <c r="AL771" s="337">
        <v>76</v>
      </c>
      <c r="AM771" s="337">
        <v>0</v>
      </c>
      <c r="AN771" s="337">
        <v>11692.4853515625</v>
      </c>
      <c r="AO771" s="337"/>
      <c r="AP771" s="337"/>
      <c r="AQ771" s="337"/>
      <c r="AR771" s="337">
        <v>152</v>
      </c>
      <c r="AS771" s="337">
        <v>152</v>
      </c>
      <c r="AT771" s="337">
        <v>30</v>
      </c>
      <c r="AU771" s="337">
        <v>81</v>
      </c>
      <c r="AV771" s="337">
        <v>537</v>
      </c>
      <c r="AW771" s="337">
        <v>0</v>
      </c>
      <c r="AX771" s="337">
        <v>2</v>
      </c>
      <c r="AY771" s="337">
        <v>19</v>
      </c>
      <c r="AZ771" s="337">
        <v>0</v>
      </c>
      <c r="BA771" s="337">
        <v>2923.121337890625</v>
      </c>
      <c r="BB771" s="337"/>
      <c r="BC771" s="337"/>
      <c r="BD771" s="337"/>
      <c r="BE771" s="337">
        <v>25000</v>
      </c>
      <c r="BF771" s="337" t="s">
        <v>425</v>
      </c>
      <c r="BG771" s="337" t="s">
        <v>5</v>
      </c>
      <c r="BH771" s="337" t="s">
        <v>1020</v>
      </c>
      <c r="BI771" s="337"/>
      <c r="BJ771" s="337" t="s">
        <v>5</v>
      </c>
      <c r="BK771" s="337"/>
      <c r="BL771" s="337">
        <v>0</v>
      </c>
      <c r="BM771" s="337"/>
      <c r="BN771" s="337" t="s">
        <v>5</v>
      </c>
      <c r="BO771" s="337"/>
      <c r="BP771" s="337"/>
      <c r="BQ771" s="337"/>
      <c r="BR771" s="337"/>
      <c r="BS771" s="337" t="s">
        <v>5</v>
      </c>
      <c r="BT771" s="337"/>
      <c r="BU771" s="337"/>
      <c r="BV771" s="337"/>
      <c r="BW771" s="337"/>
      <c r="BX771" s="337" t="s">
        <v>6</v>
      </c>
      <c r="BY771" s="337" t="s">
        <v>426</v>
      </c>
      <c r="BZ771" s="337"/>
      <c r="CB771" s="337" t="s">
        <v>5</v>
      </c>
      <c r="CC771" s="337">
        <v>193254.45002718701</v>
      </c>
      <c r="CD771" s="337">
        <v>2347699519.052772</v>
      </c>
      <c r="CE771" s="313" t="s">
        <v>11891</v>
      </c>
    </row>
    <row r="772" spans="1:83" ht="15" x14ac:dyDescent="0.25">
      <c r="A772" s="337" t="s">
        <v>856</v>
      </c>
      <c r="B772" s="337" t="s">
        <v>857</v>
      </c>
      <c r="C772" s="337" t="s">
        <v>841</v>
      </c>
      <c r="D772" s="337">
        <v>9</v>
      </c>
      <c r="E772" s="337" t="s">
        <v>416</v>
      </c>
      <c r="F772" s="337" t="s">
        <v>858</v>
      </c>
      <c r="G772" s="337" t="s">
        <v>859</v>
      </c>
      <c r="H772" s="337" t="s">
        <v>860</v>
      </c>
      <c r="I772" s="337" t="s">
        <v>860</v>
      </c>
      <c r="J772" s="337" t="s">
        <v>861</v>
      </c>
      <c r="K772" s="337" t="s">
        <v>422</v>
      </c>
      <c r="L772" s="337">
        <v>0.99160325527191162</v>
      </c>
      <c r="M772" s="337" t="s">
        <v>5</v>
      </c>
      <c r="N772" s="337" t="s">
        <v>5</v>
      </c>
      <c r="O772" s="337" t="s">
        <v>5</v>
      </c>
      <c r="P772" s="337" t="s">
        <v>5</v>
      </c>
      <c r="Q772" s="337" t="s">
        <v>5</v>
      </c>
      <c r="R772" s="337" t="s">
        <v>862</v>
      </c>
      <c r="S772" s="337" t="s">
        <v>863</v>
      </c>
      <c r="T772" s="337" t="s">
        <v>5</v>
      </c>
      <c r="U772" s="337" t="s">
        <v>4</v>
      </c>
      <c r="V772" s="337">
        <v>30000</v>
      </c>
      <c r="W772" s="337">
        <v>5000</v>
      </c>
      <c r="X772" s="337" t="s">
        <v>6</v>
      </c>
      <c r="Y772" s="337"/>
      <c r="Z772" s="337"/>
      <c r="AA772" s="337">
        <v>140.36399841308591</v>
      </c>
      <c r="AB772" s="337">
        <v>7.2462171316146851E-2</v>
      </c>
      <c r="AC772" s="337">
        <v>140.36399841308591</v>
      </c>
      <c r="AD772" s="337">
        <v>132</v>
      </c>
      <c r="AE772" s="337">
        <v>59</v>
      </c>
      <c r="AF772" s="337">
        <v>90</v>
      </c>
      <c r="AG772" s="337">
        <v>156</v>
      </c>
      <c r="AH772" s="337">
        <v>97</v>
      </c>
      <c r="AI772" s="337">
        <v>156</v>
      </c>
      <c r="AJ772" s="337">
        <v>0</v>
      </c>
      <c r="AK772" s="337">
        <v>7</v>
      </c>
      <c r="AL772" s="337">
        <v>5</v>
      </c>
      <c r="AM772" s="337">
        <v>0</v>
      </c>
      <c r="AN772" s="337">
        <v>1.5922608375549321</v>
      </c>
      <c r="AO772" s="337"/>
      <c r="AP772" s="337"/>
      <c r="AQ772" s="337"/>
      <c r="AR772" s="337">
        <v>33</v>
      </c>
      <c r="AS772" s="337">
        <v>33</v>
      </c>
      <c r="AT772" s="337">
        <v>14</v>
      </c>
      <c r="AU772" s="337">
        <v>22</v>
      </c>
      <c r="AV772" s="337">
        <v>57</v>
      </c>
      <c r="AW772" s="337">
        <v>0</v>
      </c>
      <c r="AX772" s="337">
        <v>1</v>
      </c>
      <c r="AY772" s="337">
        <v>1</v>
      </c>
      <c r="AZ772" s="337">
        <v>0</v>
      </c>
      <c r="BA772" s="337">
        <v>0.39806520938873291</v>
      </c>
      <c r="BB772" s="337"/>
      <c r="BC772" s="337"/>
      <c r="BD772" s="337"/>
      <c r="BE772" s="337">
        <v>25000</v>
      </c>
      <c r="BF772" s="337" t="s">
        <v>425</v>
      </c>
      <c r="BG772" s="337" t="s">
        <v>5</v>
      </c>
      <c r="BH772" s="337" t="s">
        <v>1020</v>
      </c>
      <c r="BI772" s="337"/>
      <c r="BJ772" s="337" t="s">
        <v>5</v>
      </c>
      <c r="BK772" s="337"/>
      <c r="BL772" s="337">
        <v>0</v>
      </c>
      <c r="BM772" s="337"/>
      <c r="BN772" s="337" t="s">
        <v>5</v>
      </c>
      <c r="BO772" s="337"/>
      <c r="BP772" s="337"/>
      <c r="BQ772" s="337"/>
      <c r="BR772" s="337"/>
      <c r="BS772" s="337" t="s">
        <v>5</v>
      </c>
      <c r="BT772" s="337"/>
      <c r="BU772" s="337"/>
      <c r="BV772" s="337"/>
      <c r="BW772" s="337"/>
      <c r="BX772" s="337" t="s">
        <v>6</v>
      </c>
      <c r="BY772" s="337" t="s">
        <v>426</v>
      </c>
      <c r="BZ772" s="337"/>
      <c r="CB772" s="337" t="s">
        <v>5</v>
      </c>
      <c r="CC772" s="337">
        <v>7696.1939632834992</v>
      </c>
      <c r="CD772" s="337">
        <v>2568240.6657751701</v>
      </c>
      <c r="CE772" s="313" t="s">
        <v>11891</v>
      </c>
    </row>
    <row r="773" spans="1:83" ht="15" x14ac:dyDescent="0.25">
      <c r="A773" s="337" t="s">
        <v>864</v>
      </c>
      <c r="B773" s="337" t="s">
        <v>865</v>
      </c>
      <c r="C773" s="337" t="s">
        <v>866</v>
      </c>
      <c r="D773" s="337">
        <v>9</v>
      </c>
      <c r="E773" s="337" t="s">
        <v>416</v>
      </c>
      <c r="F773" s="337" t="s">
        <v>858</v>
      </c>
      <c r="G773" s="337" t="s">
        <v>859</v>
      </c>
      <c r="H773" s="337" t="s">
        <v>860</v>
      </c>
      <c r="I773" s="337" t="s">
        <v>860</v>
      </c>
      <c r="J773" s="337" t="s">
        <v>861</v>
      </c>
      <c r="K773" s="337" t="s">
        <v>452</v>
      </c>
      <c r="L773" s="337">
        <v>0.99160325527191162</v>
      </c>
      <c r="M773" s="337" t="s">
        <v>5</v>
      </c>
      <c r="N773" s="337" t="s">
        <v>5</v>
      </c>
      <c r="O773" s="337" t="s">
        <v>5</v>
      </c>
      <c r="P773" s="337" t="s">
        <v>5</v>
      </c>
      <c r="Q773" s="337" t="s">
        <v>5</v>
      </c>
      <c r="R773" s="337" t="s">
        <v>862</v>
      </c>
      <c r="S773" s="337" t="s">
        <v>863</v>
      </c>
      <c r="T773" s="337" t="s">
        <v>5</v>
      </c>
      <c r="U773" s="337" t="s">
        <v>4</v>
      </c>
      <c r="V773" s="337">
        <v>30000</v>
      </c>
      <c r="W773" s="337">
        <v>5000</v>
      </c>
      <c r="X773" s="337" t="s">
        <v>6</v>
      </c>
      <c r="Y773" s="337"/>
      <c r="Z773" s="337"/>
      <c r="AA773" s="337">
        <v>140.36399841308591</v>
      </c>
      <c r="AB773" s="337">
        <v>7.2462171316146851E-2</v>
      </c>
      <c r="AC773" s="337">
        <v>140.36399841308591</v>
      </c>
      <c r="AD773" s="337">
        <v>132</v>
      </c>
      <c r="AE773" s="337">
        <v>59</v>
      </c>
      <c r="AF773" s="337">
        <v>90</v>
      </c>
      <c r="AG773" s="337">
        <v>156</v>
      </c>
      <c r="AH773" s="337">
        <v>97</v>
      </c>
      <c r="AI773" s="337">
        <v>156</v>
      </c>
      <c r="AJ773" s="337">
        <v>0</v>
      </c>
      <c r="AK773" s="337">
        <v>7</v>
      </c>
      <c r="AL773" s="337">
        <v>5</v>
      </c>
      <c r="AM773" s="337">
        <v>0</v>
      </c>
      <c r="AN773" s="337">
        <v>1.5922608375549321</v>
      </c>
      <c r="AO773" s="337"/>
      <c r="AP773" s="337"/>
      <c r="AQ773" s="337"/>
      <c r="AR773" s="337">
        <v>33</v>
      </c>
      <c r="AS773" s="337">
        <v>33</v>
      </c>
      <c r="AT773" s="337">
        <v>14</v>
      </c>
      <c r="AU773" s="337">
        <v>22</v>
      </c>
      <c r="AV773" s="337">
        <v>57</v>
      </c>
      <c r="AW773" s="337">
        <v>0</v>
      </c>
      <c r="AX773" s="337">
        <v>1</v>
      </c>
      <c r="AY773" s="337">
        <v>1</v>
      </c>
      <c r="AZ773" s="337">
        <v>0</v>
      </c>
      <c r="BA773" s="337">
        <v>0.39806520938873291</v>
      </c>
      <c r="BB773" s="337"/>
      <c r="BC773" s="337"/>
      <c r="BD773" s="337"/>
      <c r="BE773" s="337">
        <v>25000</v>
      </c>
      <c r="BF773" s="337" t="s">
        <v>425</v>
      </c>
      <c r="BG773" s="337" t="s">
        <v>5</v>
      </c>
      <c r="BH773" s="337" t="s">
        <v>1020</v>
      </c>
      <c r="BI773" s="337"/>
      <c r="BJ773" s="337" t="s">
        <v>5</v>
      </c>
      <c r="BK773" s="337"/>
      <c r="BL773" s="337">
        <v>0</v>
      </c>
      <c r="BM773" s="337"/>
      <c r="BN773" s="337" t="s">
        <v>5</v>
      </c>
      <c r="BO773" s="337"/>
      <c r="BP773" s="337"/>
      <c r="BQ773" s="337"/>
      <c r="BR773" s="337"/>
      <c r="BS773" s="337" t="s">
        <v>5</v>
      </c>
      <c r="BT773" s="337"/>
      <c r="BU773" s="337"/>
      <c r="BV773" s="337"/>
      <c r="BW773" s="337"/>
      <c r="BX773" s="337" t="s">
        <v>6</v>
      </c>
      <c r="BY773" s="337" t="s">
        <v>426</v>
      </c>
      <c r="BZ773" s="337"/>
      <c r="CB773" s="337" t="s">
        <v>5</v>
      </c>
      <c r="CC773" s="337">
        <v>7696.1939632834992</v>
      </c>
      <c r="CD773" s="337">
        <v>2568240.6657751701</v>
      </c>
      <c r="CE773" s="313" t="s">
        <v>11891</v>
      </c>
    </row>
    <row r="774" spans="1:83" ht="15" x14ac:dyDescent="0.25">
      <c r="A774" s="337" t="s">
        <v>884</v>
      </c>
      <c r="B774" s="337" t="s">
        <v>885</v>
      </c>
      <c r="C774" s="337" t="s">
        <v>886</v>
      </c>
      <c r="D774" s="337">
        <v>9</v>
      </c>
      <c r="E774" s="337" t="s">
        <v>416</v>
      </c>
      <c r="F774" s="337" t="s">
        <v>691</v>
      </c>
      <c r="G774" s="337" t="s">
        <v>817</v>
      </c>
      <c r="H774" s="337" t="s">
        <v>818</v>
      </c>
      <c r="I774" s="337" t="s">
        <v>818</v>
      </c>
      <c r="J774" s="337" t="s">
        <v>692</v>
      </c>
      <c r="K774" s="337" t="s">
        <v>887</v>
      </c>
      <c r="L774" s="337">
        <v>1051.79541015625</v>
      </c>
      <c r="M774" s="337" t="s">
        <v>6</v>
      </c>
      <c r="N774" s="337" t="s">
        <v>5</v>
      </c>
      <c r="O774" s="337" t="s">
        <v>6</v>
      </c>
      <c r="P774" s="337" t="s">
        <v>5</v>
      </c>
      <c r="Q774" s="337" t="s">
        <v>5</v>
      </c>
      <c r="R774" s="337" t="s">
        <v>693</v>
      </c>
      <c r="S774" s="337" t="s">
        <v>888</v>
      </c>
      <c r="T774" s="337" t="s">
        <v>5</v>
      </c>
      <c r="U774" s="337" t="s">
        <v>4</v>
      </c>
      <c r="V774" s="337">
        <v>30000</v>
      </c>
      <c r="W774" s="337">
        <v>5000</v>
      </c>
      <c r="X774" s="337" t="s">
        <v>6</v>
      </c>
      <c r="Y774" s="337"/>
      <c r="Z774" s="337"/>
      <c r="AA774" s="337">
        <v>128515.78125</v>
      </c>
      <c r="AB774" s="337">
        <v>35.341163635253913</v>
      </c>
      <c r="AC774" s="337">
        <v>128515.78125</v>
      </c>
      <c r="AD774" s="337">
        <v>164</v>
      </c>
      <c r="AE774" s="337">
        <v>68</v>
      </c>
      <c r="AF774" s="337">
        <v>41</v>
      </c>
      <c r="AG774" s="337">
        <v>172</v>
      </c>
      <c r="AH774" s="337">
        <v>178</v>
      </c>
      <c r="AI774" s="337">
        <v>178</v>
      </c>
      <c r="AJ774" s="337">
        <v>0</v>
      </c>
      <c r="AK774" s="337">
        <v>18</v>
      </c>
      <c r="AL774" s="337">
        <v>125</v>
      </c>
      <c r="AM774" s="337">
        <v>0</v>
      </c>
      <c r="AN774" s="337">
        <v>39196.921875</v>
      </c>
      <c r="AO774" s="337"/>
      <c r="AP774" s="337"/>
      <c r="AQ774" s="337"/>
      <c r="AR774" s="337">
        <v>41</v>
      </c>
      <c r="AS774" s="337">
        <v>41</v>
      </c>
      <c r="AT774" s="337">
        <v>17</v>
      </c>
      <c r="AU774" s="337">
        <v>10</v>
      </c>
      <c r="AV774" s="337">
        <v>62</v>
      </c>
      <c r="AW774" s="337">
        <v>0</v>
      </c>
      <c r="AX774" s="337">
        <v>4</v>
      </c>
      <c r="AY774" s="337">
        <v>31</v>
      </c>
      <c r="AZ774" s="337">
        <v>0</v>
      </c>
      <c r="BA774" s="337">
        <v>9799.23046875</v>
      </c>
      <c r="BB774" s="337"/>
      <c r="BC774" s="337"/>
      <c r="BD774" s="337"/>
      <c r="BE774" s="337">
        <v>25000</v>
      </c>
      <c r="BF774" s="337" t="s">
        <v>425</v>
      </c>
      <c r="BG774" s="337" t="s">
        <v>5</v>
      </c>
      <c r="BH774" s="337" t="s">
        <v>1020</v>
      </c>
      <c r="BI774" s="337"/>
      <c r="BJ774" s="337" t="s">
        <v>5</v>
      </c>
      <c r="BK774" s="337"/>
      <c r="BL774" s="337">
        <v>0</v>
      </c>
      <c r="BM774" s="337"/>
      <c r="BN774" s="337" t="s">
        <v>5</v>
      </c>
      <c r="BO774" s="337"/>
      <c r="BP774" s="337"/>
      <c r="BQ774" s="337"/>
      <c r="BR774" s="337"/>
      <c r="BS774" s="337" t="s">
        <v>5</v>
      </c>
      <c r="BT774" s="337"/>
      <c r="BU774" s="337"/>
      <c r="BV774" s="337"/>
      <c r="BW774" s="337"/>
      <c r="BX774" s="337" t="s">
        <v>6</v>
      </c>
      <c r="BY774" s="337" t="s">
        <v>426</v>
      </c>
      <c r="BZ774" s="337"/>
      <c r="CB774" s="337" t="s">
        <v>5</v>
      </c>
      <c r="CC774" s="337">
        <v>208947.28332577209</v>
      </c>
      <c r="CD774" s="337">
        <v>2724137709.3161941</v>
      </c>
      <c r="CE774" s="313" t="s">
        <v>11891</v>
      </c>
    </row>
    <row r="775" spans="1:83" ht="15" x14ac:dyDescent="0.25">
      <c r="A775" s="337" t="s">
        <v>895</v>
      </c>
      <c r="B775" s="337" t="s">
        <v>896</v>
      </c>
      <c r="C775" s="337" t="s">
        <v>897</v>
      </c>
      <c r="D775" s="337">
        <v>9</v>
      </c>
      <c r="E775" s="337" t="s">
        <v>416</v>
      </c>
      <c r="F775" s="337" t="s">
        <v>721</v>
      </c>
      <c r="G775" s="337" t="s">
        <v>466</v>
      </c>
      <c r="H775" s="337" t="s">
        <v>722</v>
      </c>
      <c r="I775" s="337" t="s">
        <v>898</v>
      </c>
      <c r="J775" s="337" t="s">
        <v>893</v>
      </c>
      <c r="K775" s="337" t="s">
        <v>894</v>
      </c>
      <c r="L775" s="337">
        <v>1.4303243160247801</v>
      </c>
      <c r="M775" s="337" t="s">
        <v>5</v>
      </c>
      <c r="N775" s="337" t="s">
        <v>5</v>
      </c>
      <c r="O775" s="337" t="s">
        <v>5</v>
      </c>
      <c r="P775" s="337" t="s">
        <v>5</v>
      </c>
      <c r="Q775" s="337" t="s">
        <v>5</v>
      </c>
      <c r="R775" s="337" t="s">
        <v>899</v>
      </c>
      <c r="S775" s="337" t="s">
        <v>899</v>
      </c>
      <c r="T775" s="337" t="s">
        <v>5</v>
      </c>
      <c r="U775" s="337" t="s">
        <v>4</v>
      </c>
      <c r="V775" s="337">
        <v>30000</v>
      </c>
      <c r="W775" s="337">
        <v>5000</v>
      </c>
      <c r="X775" s="337" t="s">
        <v>6</v>
      </c>
      <c r="Y775" s="337"/>
      <c r="Z775" s="337"/>
      <c r="AA775" s="337">
        <v>193.47911071777341</v>
      </c>
      <c r="AB775" s="337">
        <v>9.7635410726070404E-2</v>
      </c>
      <c r="AC775" s="337">
        <v>193.47911071777341</v>
      </c>
      <c r="AD775" s="337">
        <v>38</v>
      </c>
      <c r="AE775" s="337">
        <v>53</v>
      </c>
      <c r="AF775" s="337">
        <v>17</v>
      </c>
      <c r="AG775" s="337">
        <v>18</v>
      </c>
      <c r="AH775" s="337">
        <v>20</v>
      </c>
      <c r="AI775" s="337">
        <v>20</v>
      </c>
      <c r="AJ775" s="337">
        <v>0</v>
      </c>
      <c r="AK775" s="337">
        <v>2</v>
      </c>
      <c r="AL775" s="337">
        <v>2</v>
      </c>
      <c r="AM775" s="337">
        <v>0</v>
      </c>
      <c r="AN775" s="337">
        <v>6.0526938438415527</v>
      </c>
      <c r="AO775" s="337"/>
      <c r="AP775" s="337"/>
      <c r="AQ775" s="337"/>
      <c r="AR775" s="337">
        <v>10</v>
      </c>
      <c r="AS775" s="337">
        <v>10</v>
      </c>
      <c r="AT775" s="337">
        <v>13</v>
      </c>
      <c r="AU775" s="337">
        <v>4</v>
      </c>
      <c r="AV775" s="337">
        <v>7</v>
      </c>
      <c r="AW775" s="337">
        <v>0</v>
      </c>
      <c r="AX775" s="337">
        <v>0</v>
      </c>
      <c r="AY775" s="337">
        <v>0</v>
      </c>
      <c r="AZ775" s="337">
        <v>0</v>
      </c>
      <c r="BA775" s="337">
        <v>1.513173460960388</v>
      </c>
      <c r="BB775" s="337"/>
      <c r="BC775" s="337"/>
      <c r="BD775" s="337"/>
      <c r="BE775" s="337">
        <v>25000</v>
      </c>
      <c r="BF775" s="337" t="s">
        <v>425</v>
      </c>
      <c r="BG775" s="337" t="s">
        <v>5</v>
      </c>
      <c r="BH775" s="337" t="s">
        <v>1020</v>
      </c>
      <c r="BI775" s="337"/>
      <c r="BJ775" s="337" t="s">
        <v>5</v>
      </c>
      <c r="BK775" s="337"/>
      <c r="BL775" s="337">
        <v>0</v>
      </c>
      <c r="BM775" s="337"/>
      <c r="BN775" s="337" t="s">
        <v>5</v>
      </c>
      <c r="BO775" s="337"/>
      <c r="BP775" s="337"/>
      <c r="BQ775" s="337"/>
      <c r="BR775" s="337"/>
      <c r="BS775" s="337" t="s">
        <v>5</v>
      </c>
      <c r="BT775" s="337"/>
      <c r="BU775" s="337"/>
      <c r="BV775" s="337"/>
      <c r="BW775" s="337"/>
      <c r="BX775" s="337" t="s">
        <v>6</v>
      </c>
      <c r="BY775" s="337" t="s">
        <v>426</v>
      </c>
      <c r="BZ775" s="337"/>
      <c r="CB775" s="337" t="s">
        <v>5</v>
      </c>
      <c r="CC775" s="337">
        <v>9286.299894423717</v>
      </c>
      <c r="CD775" s="337">
        <v>3704522.9763227049</v>
      </c>
      <c r="CE775" s="313" t="s">
        <v>11891</v>
      </c>
    </row>
    <row r="776" spans="1:83" ht="15" x14ac:dyDescent="0.25">
      <c r="A776" s="337" t="s">
        <v>902</v>
      </c>
      <c r="B776" s="337" t="s">
        <v>903</v>
      </c>
      <c r="C776" s="337" t="s">
        <v>904</v>
      </c>
      <c r="D776" s="337">
        <v>9</v>
      </c>
      <c r="E776" s="337" t="s">
        <v>416</v>
      </c>
      <c r="F776" s="337" t="s">
        <v>666</v>
      </c>
      <c r="G776" s="337" t="s">
        <v>729</v>
      </c>
      <c r="H776" s="337" t="s">
        <v>730</v>
      </c>
      <c r="I776" s="337" t="s">
        <v>730</v>
      </c>
      <c r="J776" s="337" t="s">
        <v>893</v>
      </c>
      <c r="K776" s="337" t="s">
        <v>894</v>
      </c>
      <c r="L776" s="337">
        <v>988.8865966796875</v>
      </c>
      <c r="M776" s="337" t="s">
        <v>5</v>
      </c>
      <c r="N776" s="337" t="s">
        <v>5</v>
      </c>
      <c r="O776" s="337" t="s">
        <v>5</v>
      </c>
      <c r="P776" s="337" t="s">
        <v>5</v>
      </c>
      <c r="Q776" s="337" t="s">
        <v>5</v>
      </c>
      <c r="R776" s="337" t="s">
        <v>693</v>
      </c>
      <c r="S776" s="337" t="s">
        <v>693</v>
      </c>
      <c r="T776" s="337" t="s">
        <v>5</v>
      </c>
      <c r="U776" s="337" t="s">
        <v>4</v>
      </c>
      <c r="V776" s="337">
        <v>30000</v>
      </c>
      <c r="W776" s="337">
        <v>5000</v>
      </c>
      <c r="X776" s="337" t="s">
        <v>6</v>
      </c>
      <c r="Y776" s="337"/>
      <c r="Z776" s="337"/>
      <c r="AA776" s="337">
        <v>57587.33203125</v>
      </c>
      <c r="AB776" s="337">
        <v>14.754075050354</v>
      </c>
      <c r="AC776" s="337">
        <v>57587.33203125</v>
      </c>
      <c r="AD776" s="337">
        <v>103</v>
      </c>
      <c r="AE776" s="337">
        <v>63</v>
      </c>
      <c r="AF776" s="337">
        <v>52</v>
      </c>
      <c r="AG776" s="337">
        <v>16</v>
      </c>
      <c r="AH776" s="337">
        <v>77</v>
      </c>
      <c r="AI776" s="337">
        <v>77</v>
      </c>
      <c r="AJ776" s="337">
        <v>0</v>
      </c>
      <c r="AK776" s="337">
        <v>4</v>
      </c>
      <c r="AL776" s="337">
        <v>24</v>
      </c>
      <c r="AM776" s="337">
        <v>0</v>
      </c>
      <c r="AN776" s="337">
        <v>12259.0703125</v>
      </c>
      <c r="AO776" s="337"/>
      <c r="AP776" s="337"/>
      <c r="AQ776" s="337"/>
      <c r="AR776" s="337">
        <v>26</v>
      </c>
      <c r="AS776" s="337">
        <v>26</v>
      </c>
      <c r="AT776" s="337">
        <v>15</v>
      </c>
      <c r="AU776" s="337">
        <v>13</v>
      </c>
      <c r="AV776" s="337">
        <v>19</v>
      </c>
      <c r="AW776" s="337">
        <v>0</v>
      </c>
      <c r="AX776" s="337">
        <v>1</v>
      </c>
      <c r="AY776" s="337">
        <v>6</v>
      </c>
      <c r="AZ776" s="337">
        <v>0</v>
      </c>
      <c r="BA776" s="337">
        <v>3064.767578125</v>
      </c>
      <c r="BB776" s="337"/>
      <c r="BC776" s="337"/>
      <c r="BD776" s="337"/>
      <c r="BE776" s="337">
        <v>25000</v>
      </c>
      <c r="BF776" s="337" t="s">
        <v>425</v>
      </c>
      <c r="BG776" s="337" t="s">
        <v>5</v>
      </c>
      <c r="BH776" s="337" t="s">
        <v>1020</v>
      </c>
      <c r="BI776" s="337"/>
      <c r="BJ776" s="337" t="s">
        <v>5</v>
      </c>
      <c r="BK776" s="337"/>
      <c r="BL776" s="337">
        <v>0</v>
      </c>
      <c r="BM776" s="337"/>
      <c r="BN776" s="337" t="s">
        <v>5</v>
      </c>
      <c r="BO776" s="337"/>
      <c r="BP776" s="337"/>
      <c r="BQ776" s="337"/>
      <c r="BR776" s="337"/>
      <c r="BS776" s="337" t="s">
        <v>5</v>
      </c>
      <c r="BT776" s="337"/>
      <c r="BU776" s="337"/>
      <c r="BV776" s="337"/>
      <c r="BW776" s="337"/>
      <c r="BX776" s="337" t="s">
        <v>6</v>
      </c>
      <c r="BY776" s="337" t="s">
        <v>426</v>
      </c>
      <c r="BZ776" s="337"/>
      <c r="CB776" s="337" t="s">
        <v>5</v>
      </c>
      <c r="CC776" s="337">
        <v>221910.61929789599</v>
      </c>
      <c r="CD776" s="337">
        <v>2561204481.1264138</v>
      </c>
      <c r="CE776" s="313" t="s">
        <v>11891</v>
      </c>
    </row>
    <row r="777" spans="1:83" ht="15" x14ac:dyDescent="0.25">
      <c r="A777" s="337" t="s">
        <v>905</v>
      </c>
      <c r="B777" s="337" t="s">
        <v>906</v>
      </c>
      <c r="C777" s="337" t="s">
        <v>904</v>
      </c>
      <c r="D777" s="337">
        <v>9</v>
      </c>
      <c r="E777" s="337" t="s">
        <v>416</v>
      </c>
      <c r="F777" s="337" t="s">
        <v>666</v>
      </c>
      <c r="G777" s="337" t="s">
        <v>804</v>
      </c>
      <c r="H777" s="337" t="s">
        <v>907</v>
      </c>
      <c r="I777" s="337" t="s">
        <v>908</v>
      </c>
      <c r="J777" s="337" t="s">
        <v>893</v>
      </c>
      <c r="K777" s="337" t="s">
        <v>894</v>
      </c>
      <c r="L777" s="337">
        <v>1.637254595756531</v>
      </c>
      <c r="M777" s="337" t="s">
        <v>5</v>
      </c>
      <c r="N777" s="337" t="s">
        <v>5</v>
      </c>
      <c r="O777" s="337" t="s">
        <v>5</v>
      </c>
      <c r="P777" s="337" t="s">
        <v>5</v>
      </c>
      <c r="Q777" s="337" t="s">
        <v>5</v>
      </c>
      <c r="R777" s="337" t="s">
        <v>909</v>
      </c>
      <c r="S777" s="337" t="s">
        <v>909</v>
      </c>
      <c r="T777" s="337" t="s">
        <v>5</v>
      </c>
      <c r="U777" s="337" t="s">
        <v>4</v>
      </c>
      <c r="V777" s="337">
        <v>30000</v>
      </c>
      <c r="W777" s="337">
        <v>5000</v>
      </c>
      <c r="X777" s="337" t="s">
        <v>6</v>
      </c>
      <c r="Y777" s="337"/>
      <c r="Z777" s="337"/>
      <c r="AA777" s="337">
        <v>445.23797607421881</v>
      </c>
      <c r="AB777" s="337">
        <v>0.17102496325969699</v>
      </c>
      <c r="AC777" s="337">
        <v>445.23797607421881</v>
      </c>
      <c r="AD777" s="337">
        <v>9</v>
      </c>
      <c r="AE777" s="337">
        <v>19</v>
      </c>
      <c r="AF777" s="337">
        <v>7</v>
      </c>
      <c r="AG777" s="337">
        <v>1</v>
      </c>
      <c r="AH777" s="337">
        <v>7</v>
      </c>
      <c r="AI777" s="337">
        <v>7</v>
      </c>
      <c r="AJ777" s="337">
        <v>0</v>
      </c>
      <c r="AK777" s="337">
        <v>1</v>
      </c>
      <c r="AL777" s="337">
        <v>1</v>
      </c>
      <c r="AM777" s="337">
        <v>0</v>
      </c>
      <c r="AN777" s="337">
        <v>139.32440185546881</v>
      </c>
      <c r="AO777" s="337"/>
      <c r="AP777" s="337"/>
      <c r="AQ777" s="337"/>
      <c r="AR777" s="337">
        <v>3</v>
      </c>
      <c r="AS777" s="337">
        <v>3</v>
      </c>
      <c r="AT777" s="337">
        <v>4</v>
      </c>
      <c r="AU777" s="337">
        <v>1</v>
      </c>
      <c r="AV777" s="337">
        <v>1</v>
      </c>
      <c r="AW777" s="337">
        <v>0</v>
      </c>
      <c r="AX777" s="337">
        <v>0</v>
      </c>
      <c r="AY777" s="337">
        <v>0</v>
      </c>
      <c r="AZ777" s="337">
        <v>0</v>
      </c>
      <c r="BA777" s="337">
        <v>34.831100463867188</v>
      </c>
      <c r="BB777" s="337"/>
      <c r="BC777" s="337"/>
      <c r="BD777" s="337"/>
      <c r="BE777" s="337">
        <v>25000</v>
      </c>
      <c r="BF777" s="337" t="s">
        <v>425</v>
      </c>
      <c r="BG777" s="337" t="s">
        <v>5</v>
      </c>
      <c r="BH777" s="337" t="s">
        <v>1020</v>
      </c>
      <c r="BI777" s="337"/>
      <c r="BJ777" s="337" t="s">
        <v>5</v>
      </c>
      <c r="BK777" s="337"/>
      <c r="BL777" s="337">
        <v>0</v>
      </c>
      <c r="BM777" s="337"/>
      <c r="BN777" s="337" t="s">
        <v>5</v>
      </c>
      <c r="BO777" s="337"/>
      <c r="BP777" s="337"/>
      <c r="BQ777" s="337"/>
      <c r="BR777" s="337"/>
      <c r="BS777" s="337" t="s">
        <v>5</v>
      </c>
      <c r="BT777" s="337"/>
      <c r="BU777" s="337"/>
      <c r="BV777" s="337"/>
      <c r="BW777" s="337"/>
      <c r="BX777" s="337" t="s">
        <v>6</v>
      </c>
      <c r="BY777" s="337" t="s">
        <v>426</v>
      </c>
      <c r="BZ777" s="337"/>
      <c r="CB777" s="337" t="s">
        <v>5</v>
      </c>
      <c r="CC777" s="337">
        <v>8587.4410589630188</v>
      </c>
      <c r="CD777" s="337">
        <v>4240470.03657714</v>
      </c>
      <c r="CE777" s="313" t="s">
        <v>11891</v>
      </c>
    </row>
    <row r="778" spans="1:83" ht="15" x14ac:dyDescent="0.25">
      <c r="A778" s="337" t="s">
        <v>917</v>
      </c>
      <c r="B778" s="337" t="s">
        <v>918</v>
      </c>
      <c r="C778" s="337" t="s">
        <v>904</v>
      </c>
      <c r="D778" s="337">
        <v>9</v>
      </c>
      <c r="E778" s="337" t="s">
        <v>416</v>
      </c>
      <c r="F778" s="337" t="s">
        <v>834</v>
      </c>
      <c r="G778" s="337" t="s">
        <v>919</v>
      </c>
      <c r="H778" s="337" t="s">
        <v>919</v>
      </c>
      <c r="I778" s="337" t="s">
        <v>919</v>
      </c>
      <c r="J778" s="337" t="s">
        <v>893</v>
      </c>
      <c r="K778" s="337" t="s">
        <v>894</v>
      </c>
      <c r="L778" s="337">
        <v>1308.805053710938</v>
      </c>
      <c r="M778" s="337" t="s">
        <v>5</v>
      </c>
      <c r="N778" s="337" t="s">
        <v>5</v>
      </c>
      <c r="O778" s="337" t="s">
        <v>5</v>
      </c>
      <c r="P778" s="337" t="s">
        <v>5</v>
      </c>
      <c r="Q778" s="337" t="s">
        <v>5</v>
      </c>
      <c r="R778" s="337" t="s">
        <v>740</v>
      </c>
      <c r="S778" s="337" t="s">
        <v>740</v>
      </c>
      <c r="T778" s="337" t="s">
        <v>5</v>
      </c>
      <c r="U778" s="337" t="s">
        <v>4</v>
      </c>
      <c r="V778" s="337">
        <v>30000</v>
      </c>
      <c r="W778" s="337">
        <v>5000</v>
      </c>
      <c r="X778" s="337" t="s">
        <v>6</v>
      </c>
      <c r="Y778" s="337"/>
      <c r="Z778" s="337"/>
      <c r="AA778" s="337">
        <v>41420.5859375</v>
      </c>
      <c r="AB778" s="337">
        <v>7.5213537216186523</v>
      </c>
      <c r="AC778" s="337">
        <v>41420.5859375</v>
      </c>
      <c r="AD778" s="337">
        <v>99</v>
      </c>
      <c r="AE778" s="337">
        <v>51</v>
      </c>
      <c r="AF778" s="337">
        <v>40</v>
      </c>
      <c r="AG778" s="337">
        <v>191</v>
      </c>
      <c r="AH778" s="337">
        <v>72</v>
      </c>
      <c r="AI778" s="337">
        <v>191</v>
      </c>
      <c r="AJ778" s="337">
        <v>0</v>
      </c>
      <c r="AK778" s="337">
        <v>2</v>
      </c>
      <c r="AL778" s="337">
        <v>17</v>
      </c>
      <c r="AM778" s="337">
        <v>0</v>
      </c>
      <c r="AN778" s="337">
        <v>1263.988647460938</v>
      </c>
      <c r="AO778" s="337"/>
      <c r="AP778" s="337"/>
      <c r="AQ778" s="337"/>
      <c r="AR778" s="337">
        <v>25</v>
      </c>
      <c r="AS778" s="337">
        <v>25</v>
      </c>
      <c r="AT778" s="337">
        <v>12</v>
      </c>
      <c r="AU778" s="337">
        <v>10</v>
      </c>
      <c r="AV778" s="337">
        <v>62</v>
      </c>
      <c r="AW778" s="337">
        <v>0</v>
      </c>
      <c r="AX778" s="337">
        <v>0</v>
      </c>
      <c r="AY778" s="337">
        <v>4</v>
      </c>
      <c r="AZ778" s="337">
        <v>0</v>
      </c>
      <c r="BA778" s="337">
        <v>315.99716186523438</v>
      </c>
      <c r="BB778" s="337"/>
      <c r="BC778" s="337"/>
      <c r="BD778" s="337"/>
      <c r="BE778" s="337">
        <v>25000</v>
      </c>
      <c r="BF778" s="337" t="s">
        <v>425</v>
      </c>
      <c r="BG778" s="337" t="s">
        <v>5</v>
      </c>
      <c r="BH778" s="337" t="s">
        <v>1020</v>
      </c>
      <c r="BI778" s="337"/>
      <c r="BJ778" s="337" t="s">
        <v>5</v>
      </c>
      <c r="BK778" s="337"/>
      <c r="BL778" s="337">
        <v>0</v>
      </c>
      <c r="BM778" s="337"/>
      <c r="BN778" s="337" t="s">
        <v>5</v>
      </c>
      <c r="BO778" s="337"/>
      <c r="BP778" s="337"/>
      <c r="BQ778" s="337"/>
      <c r="BR778" s="337"/>
      <c r="BS778" s="337" t="s">
        <v>5</v>
      </c>
      <c r="BT778" s="337"/>
      <c r="BU778" s="337"/>
      <c r="BV778" s="337"/>
      <c r="BW778" s="337"/>
      <c r="BX778" s="337" t="s">
        <v>6</v>
      </c>
      <c r="BY778" s="337" t="s">
        <v>426</v>
      </c>
      <c r="BZ778" s="337"/>
      <c r="CB778" s="337" t="s">
        <v>5</v>
      </c>
      <c r="CC778" s="337">
        <v>244803.7663956022</v>
      </c>
      <c r="CD778" s="337">
        <v>3389789450.1440048</v>
      </c>
      <c r="CE778" s="320" t="s">
        <v>11891</v>
      </c>
    </row>
    <row r="779" spans="1:83" ht="15" x14ac:dyDescent="0.25">
      <c r="A779" s="313" t="s">
        <v>920</v>
      </c>
      <c r="B779" s="313" t="s">
        <v>921</v>
      </c>
      <c r="C779" s="313" t="s">
        <v>764</v>
      </c>
      <c r="D779" s="313">
        <v>9</v>
      </c>
      <c r="E779" s="313" t="s">
        <v>416</v>
      </c>
      <c r="F779" s="313" t="s">
        <v>858</v>
      </c>
      <c r="G779" s="313" t="s">
        <v>922</v>
      </c>
      <c r="H779" s="313" t="s">
        <v>922</v>
      </c>
      <c r="I779" s="313" t="s">
        <v>922</v>
      </c>
      <c r="J779" s="313" t="s">
        <v>893</v>
      </c>
      <c r="K779" s="313" t="s">
        <v>894</v>
      </c>
      <c r="L779" s="313">
        <v>919.22491455078125</v>
      </c>
      <c r="M779" s="313" t="s">
        <v>5</v>
      </c>
      <c r="N779" s="313" t="s">
        <v>5</v>
      </c>
      <c r="O779" s="313" t="s">
        <v>5</v>
      </c>
      <c r="P779" s="313" t="s">
        <v>5</v>
      </c>
      <c r="Q779" s="313" t="s">
        <v>5</v>
      </c>
      <c r="R779" s="313" t="s">
        <v>862</v>
      </c>
      <c r="S779" s="313" t="s">
        <v>862</v>
      </c>
      <c r="T779" s="313" t="s">
        <v>5</v>
      </c>
      <c r="U779" s="313" t="s">
        <v>4</v>
      </c>
      <c r="V779" s="313">
        <v>30000</v>
      </c>
      <c r="W779" s="313">
        <v>5000</v>
      </c>
      <c r="X779" s="313" t="s">
        <v>6</v>
      </c>
      <c r="Y779" s="313"/>
      <c r="Z779" s="313"/>
      <c r="AA779" s="313">
        <v>103861.9375</v>
      </c>
      <c r="AB779" s="313">
        <v>18.578517913818359</v>
      </c>
      <c r="AC779" s="313">
        <v>103861.9375</v>
      </c>
      <c r="AD779" s="313">
        <v>179</v>
      </c>
      <c r="AE779" s="313">
        <v>77</v>
      </c>
      <c r="AF779" s="313">
        <v>97</v>
      </c>
      <c r="AG779" s="313">
        <v>180</v>
      </c>
      <c r="AH779" s="313">
        <v>133</v>
      </c>
      <c r="AI779" s="313">
        <v>180</v>
      </c>
      <c r="AJ779" s="313">
        <v>0</v>
      </c>
      <c r="AK779" s="313">
        <v>7</v>
      </c>
      <c r="AL779" s="313">
        <v>30</v>
      </c>
      <c r="AM779" s="313">
        <v>0</v>
      </c>
      <c r="AN779" s="313">
        <v>2288.6865234375</v>
      </c>
      <c r="AO779" s="313"/>
      <c r="AP779" s="313"/>
      <c r="AQ779" s="313"/>
      <c r="AR779" s="313">
        <v>45</v>
      </c>
      <c r="AS779" s="313">
        <v>45</v>
      </c>
      <c r="AT779" s="313">
        <v>19</v>
      </c>
      <c r="AU779" s="313">
        <v>24</v>
      </c>
      <c r="AV779" s="313">
        <v>69</v>
      </c>
      <c r="AW779" s="313">
        <v>0</v>
      </c>
      <c r="AX779" s="313">
        <v>1</v>
      </c>
      <c r="AY779" s="313">
        <v>8</v>
      </c>
      <c r="AZ779" s="313">
        <v>0</v>
      </c>
      <c r="BA779" s="313">
        <v>572.171630859375</v>
      </c>
      <c r="BB779" s="313"/>
      <c r="BC779" s="313"/>
      <c r="BD779" s="313"/>
      <c r="BE779" s="313">
        <v>25000</v>
      </c>
      <c r="BF779" s="313" t="s">
        <v>425</v>
      </c>
      <c r="BG779" s="313" t="s">
        <v>5</v>
      </c>
      <c r="BH779" s="313" t="s">
        <v>1020</v>
      </c>
      <c r="BI779" s="313"/>
      <c r="BJ779" s="313" t="s">
        <v>5</v>
      </c>
      <c r="BK779" s="313"/>
      <c r="BL779" s="313">
        <v>0</v>
      </c>
      <c r="BM779" s="313"/>
      <c r="BN779" s="313" t="s">
        <v>5</v>
      </c>
      <c r="BO779" s="313"/>
      <c r="BP779" s="313"/>
      <c r="BQ779" s="313"/>
      <c r="BR779" s="313"/>
      <c r="BS779" s="313" t="s">
        <v>5</v>
      </c>
      <c r="BT779" s="313"/>
      <c r="BU779" s="313"/>
      <c r="BV779" s="313"/>
      <c r="BW779" s="313"/>
      <c r="BX779" s="313" t="s">
        <v>6</v>
      </c>
      <c r="BY779" s="313" t="s">
        <v>426</v>
      </c>
      <c r="BZ779" s="313"/>
      <c r="CB779" s="313" t="s">
        <v>5</v>
      </c>
      <c r="CC779" s="313">
        <v>201176.98625856661</v>
      </c>
      <c r="CD779" s="313">
        <v>2380781595.0409641</v>
      </c>
      <c r="CE779" s="313" t="s">
        <v>11891</v>
      </c>
    </row>
    <row r="780" spans="1:83" ht="15" x14ac:dyDescent="0.25">
      <c r="A780" s="313" t="s">
        <v>925</v>
      </c>
      <c r="B780" s="313" t="s">
        <v>926</v>
      </c>
      <c r="C780" s="313" t="s">
        <v>904</v>
      </c>
      <c r="D780" s="313">
        <v>9</v>
      </c>
      <c r="E780" s="313" t="s">
        <v>416</v>
      </c>
      <c r="F780" s="313" t="s">
        <v>858</v>
      </c>
      <c r="G780" s="313" t="s">
        <v>922</v>
      </c>
      <c r="H780" s="313" t="s">
        <v>922</v>
      </c>
      <c r="I780" s="313" t="s">
        <v>922</v>
      </c>
      <c r="J780" s="313" t="s">
        <v>893</v>
      </c>
      <c r="K780" s="313" t="s">
        <v>894</v>
      </c>
      <c r="L780" s="313">
        <v>919.22491455078125</v>
      </c>
      <c r="M780" s="313" t="s">
        <v>5</v>
      </c>
      <c r="N780" s="313" t="s">
        <v>5</v>
      </c>
      <c r="O780" s="313" t="s">
        <v>5</v>
      </c>
      <c r="P780" s="313" t="s">
        <v>5</v>
      </c>
      <c r="Q780" s="313" t="s">
        <v>5</v>
      </c>
      <c r="R780" s="313" t="s">
        <v>862</v>
      </c>
      <c r="S780" s="313" t="s">
        <v>862</v>
      </c>
      <c r="T780" s="313" t="s">
        <v>5</v>
      </c>
      <c r="U780" s="313" t="s">
        <v>4</v>
      </c>
      <c r="V780" s="313">
        <v>30000</v>
      </c>
      <c r="W780" s="313">
        <v>5000</v>
      </c>
      <c r="X780" s="313" t="s">
        <v>6</v>
      </c>
      <c r="Y780" s="313"/>
      <c r="Z780" s="313"/>
      <c r="AA780" s="313">
        <v>103861.9375</v>
      </c>
      <c r="AB780" s="313">
        <v>18.578517913818359</v>
      </c>
      <c r="AC780" s="313">
        <v>103861.9375</v>
      </c>
      <c r="AD780" s="313">
        <v>179</v>
      </c>
      <c r="AE780" s="313">
        <v>77</v>
      </c>
      <c r="AF780" s="313">
        <v>97</v>
      </c>
      <c r="AG780" s="313">
        <v>180</v>
      </c>
      <c r="AH780" s="313">
        <v>133</v>
      </c>
      <c r="AI780" s="313">
        <v>180</v>
      </c>
      <c r="AJ780" s="313">
        <v>0</v>
      </c>
      <c r="AK780" s="313">
        <v>7</v>
      </c>
      <c r="AL780" s="313">
        <v>30</v>
      </c>
      <c r="AM780" s="313">
        <v>0</v>
      </c>
      <c r="AN780" s="313">
        <v>2288.6865234375</v>
      </c>
      <c r="AO780" s="313"/>
      <c r="AP780" s="313"/>
      <c r="AQ780" s="313"/>
      <c r="AR780" s="313">
        <v>45</v>
      </c>
      <c r="AS780" s="313">
        <v>45</v>
      </c>
      <c r="AT780" s="313">
        <v>19</v>
      </c>
      <c r="AU780" s="313">
        <v>24</v>
      </c>
      <c r="AV780" s="313">
        <v>69</v>
      </c>
      <c r="AW780" s="313">
        <v>0</v>
      </c>
      <c r="AX780" s="313">
        <v>1</v>
      </c>
      <c r="AY780" s="313">
        <v>8</v>
      </c>
      <c r="AZ780" s="313">
        <v>0</v>
      </c>
      <c r="BA780" s="313">
        <v>572.171630859375</v>
      </c>
      <c r="BB780" s="313"/>
      <c r="BC780" s="313"/>
      <c r="BD780" s="313"/>
      <c r="BE780" s="313">
        <v>25000</v>
      </c>
      <c r="BF780" s="313" t="s">
        <v>425</v>
      </c>
      <c r="BG780" s="313" t="s">
        <v>5</v>
      </c>
      <c r="BH780" s="313" t="s">
        <v>1020</v>
      </c>
      <c r="BI780" s="313"/>
      <c r="BJ780" s="313" t="s">
        <v>5</v>
      </c>
      <c r="BK780" s="313"/>
      <c r="BL780" s="313">
        <v>0</v>
      </c>
      <c r="BM780" s="313"/>
      <c r="BN780" s="313" t="s">
        <v>5</v>
      </c>
      <c r="BO780" s="313"/>
      <c r="BP780" s="313"/>
      <c r="BQ780" s="313"/>
      <c r="BR780" s="313"/>
      <c r="BS780" s="313" t="s">
        <v>5</v>
      </c>
      <c r="BT780" s="313"/>
      <c r="BU780" s="313"/>
      <c r="BV780" s="313"/>
      <c r="BW780" s="313"/>
      <c r="BX780" s="313" t="s">
        <v>6</v>
      </c>
      <c r="BY780" s="313" t="s">
        <v>426</v>
      </c>
      <c r="BZ780" s="313"/>
      <c r="CB780" s="313" t="s">
        <v>5</v>
      </c>
      <c r="CC780" s="313">
        <v>201176.98625856661</v>
      </c>
      <c r="CD780" s="313">
        <v>2380781595.0409641</v>
      </c>
      <c r="CE780" s="313" t="s">
        <v>11891</v>
      </c>
    </row>
    <row r="781" spans="1:83" ht="15" x14ac:dyDescent="0.25">
      <c r="A781" s="313" t="s">
        <v>927</v>
      </c>
      <c r="B781" s="313" t="s">
        <v>928</v>
      </c>
      <c r="C781" s="313" t="s">
        <v>929</v>
      </c>
      <c r="D781" s="313">
        <v>9</v>
      </c>
      <c r="E781" s="313" t="s">
        <v>416</v>
      </c>
      <c r="F781" s="313" t="s">
        <v>750</v>
      </c>
      <c r="G781" s="313" t="s">
        <v>835</v>
      </c>
      <c r="H781" s="313" t="s">
        <v>930</v>
      </c>
      <c r="I781" s="313" t="s">
        <v>931</v>
      </c>
      <c r="J781" s="313" t="s">
        <v>932</v>
      </c>
      <c r="K781" s="313" t="s">
        <v>894</v>
      </c>
      <c r="L781" s="313">
        <v>1.5129935741424561</v>
      </c>
      <c r="M781" s="313" t="s">
        <v>5</v>
      </c>
      <c r="N781" s="313" t="s">
        <v>5</v>
      </c>
      <c r="O781" s="313" t="s">
        <v>5</v>
      </c>
      <c r="P781" s="313" t="s">
        <v>5</v>
      </c>
      <c r="Q781" s="313" t="s">
        <v>5</v>
      </c>
      <c r="R781" s="313" t="s">
        <v>933</v>
      </c>
      <c r="S781" s="313" t="s">
        <v>933</v>
      </c>
      <c r="T781" s="313" t="s">
        <v>5</v>
      </c>
      <c r="U781" s="313" t="s">
        <v>4</v>
      </c>
      <c r="V781" s="313">
        <v>30000</v>
      </c>
      <c r="W781" s="313">
        <v>5000</v>
      </c>
      <c r="X781" s="313" t="s">
        <v>6</v>
      </c>
      <c r="Y781" s="313"/>
      <c r="Z781" s="313"/>
      <c r="AA781" s="313">
        <v>161.14332580566409</v>
      </c>
      <c r="AB781" s="313">
        <v>7.7345140278339386E-2</v>
      </c>
      <c r="AC781" s="313">
        <v>161.14332580566409</v>
      </c>
      <c r="AD781" s="313">
        <v>96</v>
      </c>
      <c r="AE781" s="313">
        <v>43</v>
      </c>
      <c r="AF781" s="313">
        <v>46</v>
      </c>
      <c r="AG781" s="313">
        <v>83</v>
      </c>
      <c r="AH781" s="313">
        <v>62</v>
      </c>
      <c r="AI781" s="313">
        <v>83</v>
      </c>
      <c r="AJ781" s="313">
        <v>0</v>
      </c>
      <c r="AK781" s="313">
        <v>4</v>
      </c>
      <c r="AL781" s="313">
        <v>2</v>
      </c>
      <c r="AM781" s="313">
        <v>0</v>
      </c>
      <c r="AN781" s="313">
        <v>0.68501776456832886</v>
      </c>
      <c r="AO781" s="313"/>
      <c r="AP781" s="313"/>
      <c r="AQ781" s="313"/>
      <c r="AR781" s="313">
        <v>24</v>
      </c>
      <c r="AS781" s="313">
        <v>24</v>
      </c>
      <c r="AT781" s="313">
        <v>10</v>
      </c>
      <c r="AU781" s="313">
        <v>11</v>
      </c>
      <c r="AV781" s="313">
        <v>25</v>
      </c>
      <c r="AW781" s="313">
        <v>0</v>
      </c>
      <c r="AX781" s="313">
        <v>1</v>
      </c>
      <c r="AY781" s="313">
        <v>0</v>
      </c>
      <c r="AZ781" s="313">
        <v>0</v>
      </c>
      <c r="BA781" s="313">
        <v>0.17125444114208219</v>
      </c>
      <c r="BB781" s="313"/>
      <c r="BC781" s="313"/>
      <c r="BD781" s="313"/>
      <c r="BE781" s="313">
        <v>25000</v>
      </c>
      <c r="BF781" s="313" t="s">
        <v>425</v>
      </c>
      <c r="BG781" s="313" t="s">
        <v>5</v>
      </c>
      <c r="BH781" s="313" t="s">
        <v>1020</v>
      </c>
      <c r="BI781" s="313"/>
      <c r="BJ781" s="313" t="s">
        <v>5</v>
      </c>
      <c r="BK781" s="313"/>
      <c r="BL781" s="313">
        <v>0</v>
      </c>
      <c r="BM781" s="313"/>
      <c r="BN781" s="313" t="s">
        <v>5</v>
      </c>
      <c r="BO781" s="313"/>
      <c r="BP781" s="313"/>
      <c r="BQ781" s="313"/>
      <c r="BR781" s="313"/>
      <c r="BS781" s="313" t="s">
        <v>5</v>
      </c>
      <c r="BT781" s="313"/>
      <c r="BU781" s="313"/>
      <c r="BV781" s="313"/>
      <c r="BW781" s="313"/>
      <c r="BX781" s="313" t="s">
        <v>6</v>
      </c>
      <c r="BY781" s="313" t="s">
        <v>426</v>
      </c>
      <c r="BZ781" s="313"/>
      <c r="CB781" s="313" t="s">
        <v>5</v>
      </c>
      <c r="CC781" s="313">
        <v>9625.9701726064595</v>
      </c>
      <c r="CD781" s="313">
        <v>3918635.2156133209</v>
      </c>
      <c r="CE781" s="313" t="s">
        <v>11891</v>
      </c>
    </row>
    <row r="782" spans="1:83" ht="15" x14ac:dyDescent="0.25">
      <c r="A782" s="313" t="s">
        <v>934</v>
      </c>
      <c r="B782" s="313" t="s">
        <v>935</v>
      </c>
      <c r="C782" s="313" t="s">
        <v>904</v>
      </c>
      <c r="D782" s="313">
        <v>9</v>
      </c>
      <c r="E782" s="313" t="s">
        <v>416</v>
      </c>
      <c r="F782" s="313" t="s">
        <v>649</v>
      </c>
      <c r="G782" s="313" t="s">
        <v>529</v>
      </c>
      <c r="H782" s="313" t="s">
        <v>936</v>
      </c>
      <c r="I782" s="313" t="s">
        <v>937</v>
      </c>
      <c r="J782" s="313" t="s">
        <v>652</v>
      </c>
      <c r="K782" s="313" t="s">
        <v>894</v>
      </c>
      <c r="L782" s="313">
        <v>773.5640869140625</v>
      </c>
      <c r="M782" s="313" t="s">
        <v>5</v>
      </c>
      <c r="N782" s="313" t="s">
        <v>5</v>
      </c>
      <c r="O782" s="313" t="s">
        <v>5</v>
      </c>
      <c r="P782" s="313" t="s">
        <v>5</v>
      </c>
      <c r="Q782" s="313" t="s">
        <v>5</v>
      </c>
      <c r="R782" s="313" t="s">
        <v>716</v>
      </c>
      <c r="S782" s="313" t="s">
        <v>716</v>
      </c>
      <c r="T782" s="313" t="s">
        <v>5</v>
      </c>
      <c r="U782" s="313" t="s">
        <v>4</v>
      </c>
      <c r="V782" s="313">
        <v>30000</v>
      </c>
      <c r="W782" s="313">
        <v>5000</v>
      </c>
      <c r="X782" s="313" t="s">
        <v>6</v>
      </c>
      <c r="Y782" s="313"/>
      <c r="Z782" s="313"/>
      <c r="AA782" s="313">
        <v>64306.2578125</v>
      </c>
      <c r="AB782" s="313">
        <v>37.270698547363281</v>
      </c>
      <c r="AC782" s="313">
        <v>64306.2578125</v>
      </c>
      <c r="AD782" s="313">
        <v>23</v>
      </c>
      <c r="AE782" s="313">
        <v>6</v>
      </c>
      <c r="AF782" s="313">
        <v>12</v>
      </c>
      <c r="AG782" s="313">
        <v>17</v>
      </c>
      <c r="AH782" s="313">
        <v>53</v>
      </c>
      <c r="AI782" s="313">
        <v>53</v>
      </c>
      <c r="AJ782" s="313">
        <v>0</v>
      </c>
      <c r="AK782" s="313">
        <v>0</v>
      </c>
      <c r="AL782" s="313">
        <v>144</v>
      </c>
      <c r="AM782" s="313">
        <v>0</v>
      </c>
      <c r="AN782" s="313">
        <v>15614.3564453125</v>
      </c>
      <c r="AO782" s="313"/>
      <c r="AP782" s="313"/>
      <c r="AQ782" s="313"/>
      <c r="AR782" s="313">
        <v>6</v>
      </c>
      <c r="AS782" s="313">
        <v>6</v>
      </c>
      <c r="AT782" s="313">
        <v>1</v>
      </c>
      <c r="AU782" s="313">
        <v>3</v>
      </c>
      <c r="AV782" s="313">
        <v>13</v>
      </c>
      <c r="AW782" s="313">
        <v>0</v>
      </c>
      <c r="AX782" s="313">
        <v>0</v>
      </c>
      <c r="AY782" s="313">
        <v>36</v>
      </c>
      <c r="AZ782" s="313">
        <v>0</v>
      </c>
      <c r="BA782" s="313">
        <v>3903.589111328125</v>
      </c>
      <c r="BB782" s="313"/>
      <c r="BC782" s="313"/>
      <c r="BD782" s="313"/>
      <c r="BE782" s="313">
        <v>25000</v>
      </c>
      <c r="BF782" s="313" t="s">
        <v>425</v>
      </c>
      <c r="BG782" s="313" t="s">
        <v>5</v>
      </c>
      <c r="BH782" s="313" t="s">
        <v>1020</v>
      </c>
      <c r="BI782" s="313"/>
      <c r="BJ782" s="313" t="s">
        <v>5</v>
      </c>
      <c r="BK782" s="313"/>
      <c r="BL782" s="313">
        <v>0</v>
      </c>
      <c r="BM782" s="313"/>
      <c r="BN782" s="313" t="s">
        <v>5</v>
      </c>
      <c r="BO782" s="313"/>
      <c r="BP782" s="313"/>
      <c r="BQ782" s="313"/>
      <c r="BR782" s="313"/>
      <c r="BS782" s="313" t="s">
        <v>5</v>
      </c>
      <c r="BT782" s="313"/>
      <c r="BU782" s="313"/>
      <c r="BV782" s="313"/>
      <c r="BW782" s="313"/>
      <c r="BX782" s="313" t="s">
        <v>6</v>
      </c>
      <c r="BY782" s="313" t="s">
        <v>426</v>
      </c>
      <c r="BZ782" s="313"/>
      <c r="CB782" s="313" t="s">
        <v>5</v>
      </c>
      <c r="CC782" s="313">
        <v>179689.73689994271</v>
      </c>
      <c r="CD782" s="313">
        <v>2003521739.1468949</v>
      </c>
      <c r="CE782" s="313" t="s">
        <v>11891</v>
      </c>
    </row>
    <row r="783" spans="1:83" ht="15" x14ac:dyDescent="0.25">
      <c r="A783" s="313" t="s">
        <v>948</v>
      </c>
      <c r="B783" s="313" t="s">
        <v>949</v>
      </c>
      <c r="C783" s="313" t="s">
        <v>904</v>
      </c>
      <c r="D783" s="313">
        <v>9</v>
      </c>
      <c r="E783" s="313" t="s">
        <v>416</v>
      </c>
      <c r="F783" s="313" t="s">
        <v>945</v>
      </c>
      <c r="G783" s="313" t="s">
        <v>946</v>
      </c>
      <c r="H783" s="313" t="s">
        <v>946</v>
      </c>
      <c r="I783" s="313" t="s">
        <v>946</v>
      </c>
      <c r="J783" s="313" t="s">
        <v>893</v>
      </c>
      <c r="K783" s="313" t="s">
        <v>894</v>
      </c>
      <c r="L783" s="313">
        <v>897.15911865234375</v>
      </c>
      <c r="M783" s="313" t="s">
        <v>5</v>
      </c>
      <c r="N783" s="313" t="s">
        <v>5</v>
      </c>
      <c r="O783" s="313" t="s">
        <v>5</v>
      </c>
      <c r="P783" s="313" t="s">
        <v>5</v>
      </c>
      <c r="Q783" s="313" t="s">
        <v>5</v>
      </c>
      <c r="R783" s="313" t="s">
        <v>947</v>
      </c>
      <c r="S783" s="313" t="s">
        <v>947</v>
      </c>
      <c r="T783" s="313" t="s">
        <v>5</v>
      </c>
      <c r="U783" s="313" t="s">
        <v>4</v>
      </c>
      <c r="V783" s="313">
        <v>30000</v>
      </c>
      <c r="W783" s="313">
        <v>5000</v>
      </c>
      <c r="X783" s="313" t="s">
        <v>6</v>
      </c>
      <c r="Y783" s="313"/>
      <c r="Z783" s="313"/>
      <c r="AA783" s="313">
        <v>105929.6015625</v>
      </c>
      <c r="AB783" s="313">
        <v>47.442615509033203</v>
      </c>
      <c r="AC783" s="313">
        <v>105929.6015625</v>
      </c>
      <c r="AD783" s="313">
        <v>141</v>
      </c>
      <c r="AE783" s="313">
        <v>59</v>
      </c>
      <c r="AF783" s="313">
        <v>3</v>
      </c>
      <c r="AG783" s="313">
        <v>36</v>
      </c>
      <c r="AH783" s="313">
        <v>74</v>
      </c>
      <c r="AI783" s="313">
        <v>74</v>
      </c>
      <c r="AJ783" s="313">
        <v>0</v>
      </c>
      <c r="AK783" s="313">
        <v>0</v>
      </c>
      <c r="AL783" s="313">
        <v>34</v>
      </c>
      <c r="AM783" s="313">
        <v>0</v>
      </c>
      <c r="AN783" s="313">
        <v>25211.564453125</v>
      </c>
      <c r="AO783" s="313"/>
      <c r="AP783" s="313"/>
      <c r="AQ783" s="313"/>
      <c r="AR783" s="313">
        <v>36</v>
      </c>
      <c r="AS783" s="313">
        <v>36</v>
      </c>
      <c r="AT783" s="313">
        <v>14</v>
      </c>
      <c r="AU783" s="313">
        <v>0</v>
      </c>
      <c r="AV783" s="313">
        <v>21</v>
      </c>
      <c r="AW783" s="313">
        <v>0</v>
      </c>
      <c r="AX783" s="313">
        <v>0</v>
      </c>
      <c r="AY783" s="313">
        <v>8</v>
      </c>
      <c r="AZ783" s="313">
        <v>0</v>
      </c>
      <c r="BA783" s="313">
        <v>6302.89111328125</v>
      </c>
      <c r="BB783" s="313"/>
      <c r="BC783" s="313"/>
      <c r="BD783" s="313"/>
      <c r="BE783" s="313">
        <v>25000</v>
      </c>
      <c r="BF783" s="313" t="s">
        <v>425</v>
      </c>
      <c r="BG783" s="313" t="s">
        <v>5</v>
      </c>
      <c r="BH783" s="313" t="s">
        <v>1020</v>
      </c>
      <c r="BI783" s="313"/>
      <c r="BJ783" s="313" t="s">
        <v>5</v>
      </c>
      <c r="BK783" s="313"/>
      <c r="BL783" s="313">
        <v>0</v>
      </c>
      <c r="BM783" s="313"/>
      <c r="BN783" s="313" t="s">
        <v>5</v>
      </c>
      <c r="BO783" s="313"/>
      <c r="BP783" s="313"/>
      <c r="BQ783" s="313"/>
      <c r="BR783" s="313"/>
      <c r="BS783" s="313" t="s">
        <v>5</v>
      </c>
      <c r="BT783" s="313"/>
      <c r="BU783" s="313"/>
      <c r="BV783" s="313"/>
      <c r="BW783" s="313"/>
      <c r="BX783" s="313" t="s">
        <v>6</v>
      </c>
      <c r="BY783" s="313" t="s">
        <v>426</v>
      </c>
      <c r="BZ783" s="313"/>
      <c r="CB783" s="313" t="s">
        <v>5</v>
      </c>
      <c r="CC783" s="313">
        <v>192848.28178645371</v>
      </c>
      <c r="CD783" s="313">
        <v>2323631396.4005079</v>
      </c>
      <c r="CE783" s="313" t="s">
        <v>11891</v>
      </c>
    </row>
    <row r="784" spans="1:83" ht="15" x14ac:dyDescent="0.25">
      <c r="A784" s="313" t="s">
        <v>956</v>
      </c>
      <c r="B784" s="313" t="s">
        <v>957</v>
      </c>
      <c r="C784" s="313" t="s">
        <v>929</v>
      </c>
      <c r="D784" s="313">
        <v>9</v>
      </c>
      <c r="E784" s="313" t="s">
        <v>416</v>
      </c>
      <c r="F784" s="313" t="s">
        <v>750</v>
      </c>
      <c r="G784" s="313" t="s">
        <v>751</v>
      </c>
      <c r="H784" s="313" t="s">
        <v>752</v>
      </c>
      <c r="I784" s="313" t="s">
        <v>752</v>
      </c>
      <c r="J784" s="313" t="s">
        <v>753</v>
      </c>
      <c r="K784" s="313" t="s">
        <v>894</v>
      </c>
      <c r="L784" s="313">
        <v>1047.458618164062</v>
      </c>
      <c r="M784" s="313" t="s">
        <v>5</v>
      </c>
      <c r="N784" s="313" t="s">
        <v>5</v>
      </c>
      <c r="O784" s="313" t="s">
        <v>5</v>
      </c>
      <c r="P784" s="313" t="s">
        <v>5</v>
      </c>
      <c r="Q784" s="313" t="s">
        <v>5</v>
      </c>
      <c r="R784" s="313" t="s">
        <v>755</v>
      </c>
      <c r="S784" s="313" t="s">
        <v>755</v>
      </c>
      <c r="T784" s="313" t="s">
        <v>5</v>
      </c>
      <c r="U784" s="313" t="s">
        <v>4</v>
      </c>
      <c r="V784" s="313">
        <v>30000</v>
      </c>
      <c r="W784" s="313">
        <v>5000</v>
      </c>
      <c r="X784" s="313" t="s">
        <v>6</v>
      </c>
      <c r="Y784" s="313"/>
      <c r="Z784" s="313"/>
      <c r="AA784" s="313">
        <v>133920.546875</v>
      </c>
      <c r="AB784" s="313">
        <v>23.760713577270511</v>
      </c>
      <c r="AC784" s="313">
        <v>133920.546875</v>
      </c>
      <c r="AD784" s="313">
        <v>354</v>
      </c>
      <c r="AE784" s="313">
        <v>129</v>
      </c>
      <c r="AF784" s="313">
        <v>104</v>
      </c>
      <c r="AG784" s="313">
        <v>149</v>
      </c>
      <c r="AH784" s="313">
        <v>235</v>
      </c>
      <c r="AI784" s="313">
        <v>235</v>
      </c>
      <c r="AJ784" s="313">
        <v>0</v>
      </c>
      <c r="AK784" s="313">
        <v>8</v>
      </c>
      <c r="AL784" s="313">
        <v>48</v>
      </c>
      <c r="AM784" s="313">
        <v>0</v>
      </c>
      <c r="AN784" s="313">
        <v>2458.542236328125</v>
      </c>
      <c r="AO784" s="313"/>
      <c r="AP784" s="313"/>
      <c r="AQ784" s="313"/>
      <c r="AR784" s="313">
        <v>89</v>
      </c>
      <c r="AS784" s="313">
        <v>89</v>
      </c>
      <c r="AT784" s="313">
        <v>32</v>
      </c>
      <c r="AU784" s="313">
        <v>26</v>
      </c>
      <c r="AV784" s="313">
        <v>72</v>
      </c>
      <c r="AW784" s="313">
        <v>0</v>
      </c>
      <c r="AX784" s="313">
        <v>2</v>
      </c>
      <c r="AY784" s="313">
        <v>12</v>
      </c>
      <c r="AZ784" s="313">
        <v>0</v>
      </c>
      <c r="BA784" s="313">
        <v>614.63555908203125</v>
      </c>
      <c r="BB784" s="313"/>
      <c r="BC784" s="313"/>
      <c r="BD784" s="313"/>
      <c r="BE784" s="313">
        <v>25000</v>
      </c>
      <c r="BF784" s="313" t="s">
        <v>425</v>
      </c>
      <c r="BG784" s="313" t="s">
        <v>5</v>
      </c>
      <c r="BH784" s="313" t="s">
        <v>1020</v>
      </c>
      <c r="BI784" s="313"/>
      <c r="BJ784" s="313" t="s">
        <v>5</v>
      </c>
      <c r="BK784" s="313"/>
      <c r="BL784" s="313">
        <v>0</v>
      </c>
      <c r="BM784" s="313"/>
      <c r="BN784" s="313" t="s">
        <v>5</v>
      </c>
      <c r="BO784" s="313"/>
      <c r="BP784" s="313"/>
      <c r="BQ784" s="313"/>
      <c r="BR784" s="313"/>
      <c r="BS784" s="313" t="s">
        <v>5</v>
      </c>
      <c r="BT784" s="313"/>
      <c r="BU784" s="313"/>
      <c r="BV784" s="313"/>
      <c r="BW784" s="313"/>
      <c r="BX784" s="313" t="s">
        <v>6</v>
      </c>
      <c r="BY784" s="313" t="s">
        <v>426</v>
      </c>
      <c r="BZ784" s="313"/>
      <c r="CB784" s="313" t="s">
        <v>5</v>
      </c>
      <c r="CC784" s="313">
        <v>208504.389555692</v>
      </c>
      <c r="CD784" s="313">
        <v>2712905429.525341</v>
      </c>
      <c r="CE784" s="313" t="s">
        <v>11891</v>
      </c>
    </row>
    <row r="785" spans="1:83" ht="15" x14ac:dyDescent="0.25">
      <c r="A785" s="313" t="s">
        <v>961</v>
      </c>
      <c r="B785" s="313" t="s">
        <v>962</v>
      </c>
      <c r="C785" s="313" t="s">
        <v>963</v>
      </c>
      <c r="D785" s="313">
        <v>9</v>
      </c>
      <c r="E785" s="313" t="s">
        <v>416</v>
      </c>
      <c r="F785" s="313" t="s">
        <v>691</v>
      </c>
      <c r="G785" s="313" t="s">
        <v>817</v>
      </c>
      <c r="H785" s="313" t="s">
        <v>817</v>
      </c>
      <c r="I785" s="313" t="s">
        <v>817</v>
      </c>
      <c r="J785" s="313" t="s">
        <v>893</v>
      </c>
      <c r="K785" s="313" t="s">
        <v>894</v>
      </c>
      <c r="L785" s="313">
        <v>1051.79541015625</v>
      </c>
      <c r="M785" s="313" t="s">
        <v>5</v>
      </c>
      <c r="N785" s="313" t="s">
        <v>5</v>
      </c>
      <c r="O785" s="313" t="s">
        <v>5</v>
      </c>
      <c r="P785" s="313" t="s">
        <v>5</v>
      </c>
      <c r="Q785" s="313" t="s">
        <v>5</v>
      </c>
      <c r="R785" s="313" t="s">
        <v>698</v>
      </c>
      <c r="S785" s="313" t="s">
        <v>698</v>
      </c>
      <c r="T785" s="313" t="s">
        <v>5</v>
      </c>
      <c r="U785" s="313" t="s">
        <v>4</v>
      </c>
      <c r="V785" s="313">
        <v>30000</v>
      </c>
      <c r="W785" s="313">
        <v>5000</v>
      </c>
      <c r="X785" s="313" t="s">
        <v>6</v>
      </c>
      <c r="Y785" s="313"/>
      <c r="Z785" s="313"/>
      <c r="AA785" s="313">
        <v>128515.78125</v>
      </c>
      <c r="AB785" s="313">
        <v>35.341163635253913</v>
      </c>
      <c r="AC785" s="313">
        <v>128515.78125</v>
      </c>
      <c r="AD785" s="313">
        <v>164</v>
      </c>
      <c r="AE785" s="313">
        <v>68</v>
      </c>
      <c r="AF785" s="313">
        <v>41</v>
      </c>
      <c r="AG785" s="313">
        <v>172</v>
      </c>
      <c r="AH785" s="313">
        <v>178</v>
      </c>
      <c r="AI785" s="313">
        <v>178</v>
      </c>
      <c r="AJ785" s="313">
        <v>0</v>
      </c>
      <c r="AK785" s="313">
        <v>18</v>
      </c>
      <c r="AL785" s="313">
        <v>125</v>
      </c>
      <c r="AM785" s="313">
        <v>0</v>
      </c>
      <c r="AN785" s="313">
        <v>39196.921875</v>
      </c>
      <c r="AO785" s="313"/>
      <c r="AP785" s="313"/>
      <c r="AQ785" s="313"/>
      <c r="AR785" s="313">
        <v>41</v>
      </c>
      <c r="AS785" s="313">
        <v>41</v>
      </c>
      <c r="AT785" s="313">
        <v>17</v>
      </c>
      <c r="AU785" s="313">
        <v>10</v>
      </c>
      <c r="AV785" s="313">
        <v>62</v>
      </c>
      <c r="AW785" s="313">
        <v>0</v>
      </c>
      <c r="AX785" s="313">
        <v>4</v>
      </c>
      <c r="AY785" s="313">
        <v>31</v>
      </c>
      <c r="AZ785" s="313">
        <v>0</v>
      </c>
      <c r="BA785" s="313">
        <v>9799.23046875</v>
      </c>
      <c r="BB785" s="313"/>
      <c r="BC785" s="313"/>
      <c r="BD785" s="313"/>
      <c r="BE785" s="313">
        <v>25000</v>
      </c>
      <c r="BF785" s="313" t="s">
        <v>425</v>
      </c>
      <c r="BG785" s="313" t="s">
        <v>5</v>
      </c>
      <c r="BH785" s="313" t="s">
        <v>1020</v>
      </c>
      <c r="BI785" s="313"/>
      <c r="BJ785" s="313" t="s">
        <v>5</v>
      </c>
      <c r="BK785" s="313"/>
      <c r="BL785" s="313">
        <v>0</v>
      </c>
      <c r="BM785" s="313"/>
      <c r="BN785" s="313" t="s">
        <v>5</v>
      </c>
      <c r="BO785" s="313"/>
      <c r="BP785" s="313"/>
      <c r="BQ785" s="313"/>
      <c r="BR785" s="313"/>
      <c r="BS785" s="313" t="s">
        <v>5</v>
      </c>
      <c r="BT785" s="313"/>
      <c r="BU785" s="313"/>
      <c r="BV785" s="313"/>
      <c r="BW785" s="313"/>
      <c r="BX785" s="313" t="s">
        <v>6</v>
      </c>
      <c r="BY785" s="313" t="s">
        <v>426</v>
      </c>
      <c r="BZ785" s="313"/>
      <c r="CB785" s="313" t="s">
        <v>5</v>
      </c>
      <c r="CC785" s="313">
        <v>208947.28332577209</v>
      </c>
      <c r="CD785" s="313">
        <v>2724137709.3161941</v>
      </c>
      <c r="CE785" s="313" t="s">
        <v>11891</v>
      </c>
    </row>
    <row r="786" spans="1:83" ht="15" x14ac:dyDescent="0.25">
      <c r="A786" s="313" t="s">
        <v>966</v>
      </c>
      <c r="B786" s="313" t="s">
        <v>967</v>
      </c>
      <c r="C786" s="313" t="s">
        <v>968</v>
      </c>
      <c r="D786" s="313">
        <v>9</v>
      </c>
      <c r="E786" s="313" t="s">
        <v>416</v>
      </c>
      <c r="F786" s="313" t="s">
        <v>528</v>
      </c>
      <c r="G786" s="313" t="s">
        <v>529</v>
      </c>
      <c r="H786" s="313" t="s">
        <v>529</v>
      </c>
      <c r="I786" s="313" t="s">
        <v>529</v>
      </c>
      <c r="J786" s="313" t="s">
        <v>893</v>
      </c>
      <c r="K786" s="313" t="s">
        <v>894</v>
      </c>
      <c r="L786" s="313">
        <v>1.6031638383865361</v>
      </c>
      <c r="M786" s="313" t="s">
        <v>5</v>
      </c>
      <c r="N786" s="313" t="s">
        <v>5</v>
      </c>
      <c r="O786" s="313" t="s">
        <v>5</v>
      </c>
      <c r="P786" s="313" t="s">
        <v>5</v>
      </c>
      <c r="Q786" s="313" t="s">
        <v>5</v>
      </c>
      <c r="R786" s="313" t="s">
        <v>969</v>
      </c>
      <c r="S786" s="313" t="s">
        <v>969</v>
      </c>
      <c r="T786" s="313" t="s">
        <v>5</v>
      </c>
      <c r="U786" s="313" t="s">
        <v>4</v>
      </c>
      <c r="V786" s="313">
        <v>30000</v>
      </c>
      <c r="W786" s="313">
        <v>5000</v>
      </c>
      <c r="X786" s="313" t="s">
        <v>6</v>
      </c>
      <c r="Y786" s="313"/>
      <c r="Z786" s="313"/>
      <c r="AA786" s="313">
        <v>297.4261474609375</v>
      </c>
      <c r="AB786" s="313">
        <v>0.1981716454029083</v>
      </c>
      <c r="AC786" s="313">
        <v>297.4261474609375</v>
      </c>
      <c r="AD786" s="313">
        <v>14</v>
      </c>
      <c r="AE786" s="313">
        <v>15</v>
      </c>
      <c r="AF786" s="313">
        <v>5</v>
      </c>
      <c r="AG786" s="313">
        <v>9</v>
      </c>
      <c r="AH786" s="313">
        <v>6</v>
      </c>
      <c r="AI786" s="313">
        <v>9</v>
      </c>
      <c r="AJ786" s="313">
        <v>0</v>
      </c>
      <c r="AK786" s="313">
        <v>0</v>
      </c>
      <c r="AL786" s="313">
        <v>2</v>
      </c>
      <c r="AM786" s="313">
        <v>0</v>
      </c>
      <c r="AN786" s="313">
        <v>267.89047241210938</v>
      </c>
      <c r="AO786" s="313"/>
      <c r="AP786" s="313"/>
      <c r="AQ786" s="313"/>
      <c r="AR786" s="313">
        <v>4</v>
      </c>
      <c r="AS786" s="313">
        <v>4</v>
      </c>
      <c r="AT786" s="313">
        <v>3</v>
      </c>
      <c r="AU786" s="313">
        <v>1</v>
      </c>
      <c r="AV786" s="313">
        <v>3</v>
      </c>
      <c r="AW786" s="313">
        <v>0</v>
      </c>
      <c r="AX786" s="313">
        <v>0</v>
      </c>
      <c r="AY786" s="313">
        <v>0</v>
      </c>
      <c r="AZ786" s="313">
        <v>0</v>
      </c>
      <c r="BA786" s="313">
        <v>66.972618103027344</v>
      </c>
      <c r="BB786" s="313"/>
      <c r="BC786" s="313"/>
      <c r="BD786" s="313"/>
      <c r="BE786" s="313">
        <v>25000</v>
      </c>
      <c r="BF786" s="313" t="s">
        <v>425</v>
      </c>
      <c r="BG786" s="313" t="s">
        <v>5</v>
      </c>
      <c r="BH786" s="313" t="s">
        <v>1020</v>
      </c>
      <c r="BI786" s="313"/>
      <c r="BJ786" s="313" t="s">
        <v>5</v>
      </c>
      <c r="BK786" s="313"/>
      <c r="BL786" s="313">
        <v>0</v>
      </c>
      <c r="BM786" s="313"/>
      <c r="BN786" s="313" t="s">
        <v>5</v>
      </c>
      <c r="BO786" s="313"/>
      <c r="BP786" s="313"/>
      <c r="BQ786" s="313"/>
      <c r="BR786" s="313"/>
      <c r="BS786" s="313" t="s">
        <v>5</v>
      </c>
      <c r="BT786" s="313"/>
      <c r="BU786" s="313"/>
      <c r="BV786" s="313"/>
      <c r="BW786" s="313"/>
      <c r="BX786" s="313" t="s">
        <v>6</v>
      </c>
      <c r="BY786" s="313" t="s">
        <v>426</v>
      </c>
      <c r="BZ786" s="313"/>
      <c r="CB786" s="313" t="s">
        <v>5</v>
      </c>
      <c r="CC786" s="313">
        <v>8358.5536524594845</v>
      </c>
      <c r="CD786" s="313">
        <v>4152175.2847494562</v>
      </c>
      <c r="CE786" s="313" t="s">
        <v>11891</v>
      </c>
    </row>
    <row r="787" spans="1:83" ht="15" x14ac:dyDescent="0.25">
      <c r="A787" s="313" t="s">
        <v>975</v>
      </c>
      <c r="B787" s="313" t="s">
        <v>976</v>
      </c>
      <c r="C787" s="313" t="s">
        <v>904</v>
      </c>
      <c r="D787" s="313">
        <v>9</v>
      </c>
      <c r="E787" s="313" t="s">
        <v>416</v>
      </c>
      <c r="F787" s="313" t="s">
        <v>972</v>
      </c>
      <c r="G787" s="313" t="s">
        <v>973</v>
      </c>
      <c r="H787" s="313" t="s">
        <v>973</v>
      </c>
      <c r="I787" s="313" t="s">
        <v>973</v>
      </c>
      <c r="J787" s="313" t="s">
        <v>893</v>
      </c>
      <c r="K787" s="313" t="s">
        <v>894</v>
      </c>
      <c r="L787" s="313">
        <v>1235.946533203125</v>
      </c>
      <c r="M787" s="313" t="s">
        <v>5</v>
      </c>
      <c r="N787" s="313" t="s">
        <v>5</v>
      </c>
      <c r="O787" s="313" t="s">
        <v>5</v>
      </c>
      <c r="P787" s="313" t="s">
        <v>5</v>
      </c>
      <c r="Q787" s="313" t="s">
        <v>5</v>
      </c>
      <c r="R787" s="313" t="s">
        <v>974</v>
      </c>
      <c r="S787" s="313" t="s">
        <v>974</v>
      </c>
      <c r="T787" s="313" t="s">
        <v>5</v>
      </c>
      <c r="U787" s="313" t="s">
        <v>4</v>
      </c>
      <c r="V787" s="313">
        <v>30000</v>
      </c>
      <c r="W787" s="313">
        <v>5000</v>
      </c>
      <c r="X787" s="313" t="s">
        <v>6</v>
      </c>
      <c r="Y787" s="313"/>
      <c r="Z787" s="313"/>
      <c r="AA787" s="313">
        <v>64197.37109375</v>
      </c>
      <c r="AB787" s="313">
        <v>51.206695556640618</v>
      </c>
      <c r="AC787" s="313">
        <v>64197.37109375</v>
      </c>
      <c r="AD787" s="313">
        <v>41</v>
      </c>
      <c r="AE787" s="313">
        <v>23</v>
      </c>
      <c r="AF787" s="313">
        <v>16</v>
      </c>
      <c r="AG787" s="313">
        <v>23</v>
      </c>
      <c r="AH787" s="313">
        <v>10</v>
      </c>
      <c r="AI787" s="313">
        <v>23</v>
      </c>
      <c r="AJ787" s="313">
        <v>0</v>
      </c>
      <c r="AK787" s="313">
        <v>1</v>
      </c>
      <c r="AL787" s="313">
        <v>34</v>
      </c>
      <c r="AM787" s="313">
        <v>0</v>
      </c>
      <c r="AN787" s="313">
        <v>6036.39404296875</v>
      </c>
      <c r="AO787" s="313"/>
      <c r="AP787" s="313"/>
      <c r="AQ787" s="313"/>
      <c r="AR787" s="313">
        <v>11</v>
      </c>
      <c r="AS787" s="313">
        <v>11</v>
      </c>
      <c r="AT787" s="313">
        <v>5</v>
      </c>
      <c r="AU787" s="313">
        <v>4</v>
      </c>
      <c r="AV787" s="313">
        <v>8</v>
      </c>
      <c r="AW787" s="313">
        <v>0</v>
      </c>
      <c r="AX787" s="313">
        <v>0</v>
      </c>
      <c r="AY787" s="313">
        <v>8</v>
      </c>
      <c r="AZ787" s="313">
        <v>0</v>
      </c>
      <c r="BA787" s="313">
        <v>1509.098510742188</v>
      </c>
      <c r="BB787" s="313"/>
      <c r="BC787" s="313"/>
      <c r="BD787" s="313"/>
      <c r="BE787" s="313">
        <v>25000</v>
      </c>
      <c r="BF787" s="313" t="s">
        <v>425</v>
      </c>
      <c r="BG787" s="313" t="s">
        <v>5</v>
      </c>
      <c r="BH787" s="313" t="s">
        <v>1020</v>
      </c>
      <c r="BI787" s="313"/>
      <c r="BJ787" s="313" t="s">
        <v>5</v>
      </c>
      <c r="BK787" s="313"/>
      <c r="BL787" s="313">
        <v>0</v>
      </c>
      <c r="BM787" s="313"/>
      <c r="BN787" s="313" t="s">
        <v>5</v>
      </c>
      <c r="BO787" s="313"/>
      <c r="BP787" s="313"/>
      <c r="BQ787" s="313"/>
      <c r="BR787" s="313"/>
      <c r="BS787" s="313" t="s">
        <v>5</v>
      </c>
      <c r="BT787" s="313"/>
      <c r="BU787" s="313"/>
      <c r="BV787" s="313"/>
      <c r="BW787" s="313"/>
      <c r="BX787" s="313" t="s">
        <v>6</v>
      </c>
      <c r="BY787" s="313" t="s">
        <v>426</v>
      </c>
      <c r="BZ787" s="313"/>
      <c r="CB787" s="313" t="s">
        <v>5</v>
      </c>
      <c r="CC787" s="313">
        <v>227121.09822542721</v>
      </c>
      <c r="CD787" s="313">
        <v>3201086949.348433</v>
      </c>
      <c r="CE787" s="313" t="s">
        <v>11891</v>
      </c>
    </row>
    <row r="788" spans="1:83" ht="15" x14ac:dyDescent="0.25">
      <c r="A788" s="313" t="s">
        <v>981</v>
      </c>
      <c r="B788" s="313" t="s">
        <v>982</v>
      </c>
      <c r="C788" s="313" t="s">
        <v>904</v>
      </c>
      <c r="D788" s="313">
        <v>9</v>
      </c>
      <c r="E788" s="313" t="s">
        <v>416</v>
      </c>
      <c r="F788" s="313" t="s">
        <v>784</v>
      </c>
      <c r="G788" s="313" t="s">
        <v>785</v>
      </c>
      <c r="H788" s="313" t="s">
        <v>796</v>
      </c>
      <c r="I788" s="313" t="s">
        <v>796</v>
      </c>
      <c r="J788" s="313" t="s">
        <v>797</v>
      </c>
      <c r="K788" s="313" t="s">
        <v>894</v>
      </c>
      <c r="L788" s="313">
        <v>1170.904541015625</v>
      </c>
      <c r="M788" s="313" t="s">
        <v>5</v>
      </c>
      <c r="N788" s="313" t="s">
        <v>5</v>
      </c>
      <c r="O788" s="313" t="s">
        <v>5</v>
      </c>
      <c r="P788" s="313" t="s">
        <v>5</v>
      </c>
      <c r="Q788" s="313" t="s">
        <v>5</v>
      </c>
      <c r="R788" s="313" t="s">
        <v>789</v>
      </c>
      <c r="S788" s="313" t="s">
        <v>789</v>
      </c>
      <c r="T788" s="313" t="s">
        <v>5</v>
      </c>
      <c r="U788" s="313" t="s">
        <v>4</v>
      </c>
      <c r="V788" s="313">
        <v>30000</v>
      </c>
      <c r="W788" s="313">
        <v>5000</v>
      </c>
      <c r="X788" s="313" t="s">
        <v>6</v>
      </c>
      <c r="Y788" s="313"/>
      <c r="Z788" s="313"/>
      <c r="AA788" s="313">
        <v>122272.0859375</v>
      </c>
      <c r="AB788" s="313">
        <v>59.778446197509773</v>
      </c>
      <c r="AC788" s="313">
        <v>122272.0859375</v>
      </c>
      <c r="AD788" s="313">
        <v>161</v>
      </c>
      <c r="AE788" s="313">
        <v>139</v>
      </c>
      <c r="AF788" s="313">
        <v>79</v>
      </c>
      <c r="AG788" s="313">
        <v>184</v>
      </c>
      <c r="AH788" s="313">
        <v>200</v>
      </c>
      <c r="AI788" s="313">
        <v>200</v>
      </c>
      <c r="AJ788" s="313">
        <v>0</v>
      </c>
      <c r="AK788" s="313">
        <v>2</v>
      </c>
      <c r="AL788" s="313">
        <v>39</v>
      </c>
      <c r="AM788" s="313">
        <v>0</v>
      </c>
      <c r="AN788" s="313">
        <v>13305.9736328125</v>
      </c>
      <c r="AO788" s="313"/>
      <c r="AP788" s="313"/>
      <c r="AQ788" s="313"/>
      <c r="AR788" s="313">
        <v>40</v>
      </c>
      <c r="AS788" s="313">
        <v>40</v>
      </c>
      <c r="AT788" s="313">
        <v>34</v>
      </c>
      <c r="AU788" s="313">
        <v>19</v>
      </c>
      <c r="AV788" s="313">
        <v>64</v>
      </c>
      <c r="AW788" s="313">
        <v>0</v>
      </c>
      <c r="AX788" s="313">
        <v>0</v>
      </c>
      <c r="AY788" s="313">
        <v>10</v>
      </c>
      <c r="AZ788" s="313">
        <v>0</v>
      </c>
      <c r="BA788" s="313">
        <v>3326.493408203125</v>
      </c>
      <c r="BB788" s="313"/>
      <c r="BC788" s="313"/>
      <c r="BD788" s="313"/>
      <c r="BE788" s="313">
        <v>25000</v>
      </c>
      <c r="BF788" s="313" t="s">
        <v>425</v>
      </c>
      <c r="BG788" s="313" t="s">
        <v>5</v>
      </c>
      <c r="BH788" s="313" t="s">
        <v>1020</v>
      </c>
      <c r="BI788" s="313"/>
      <c r="BJ788" s="313" t="s">
        <v>5</v>
      </c>
      <c r="BK788" s="313"/>
      <c r="BL788" s="313">
        <v>0</v>
      </c>
      <c r="BM788" s="313"/>
      <c r="BN788" s="313" t="s">
        <v>5</v>
      </c>
      <c r="BO788" s="313"/>
      <c r="BP788" s="313"/>
      <c r="BQ788" s="313"/>
      <c r="BR788" s="313"/>
      <c r="BS788" s="313" t="s">
        <v>5</v>
      </c>
      <c r="BT788" s="313"/>
      <c r="BU788" s="313"/>
      <c r="BV788" s="313"/>
      <c r="BW788" s="313"/>
      <c r="BX788" s="313" t="s">
        <v>6</v>
      </c>
      <c r="BY788" s="313" t="s">
        <v>426</v>
      </c>
      <c r="BZ788" s="313"/>
      <c r="CB788" s="313" t="s">
        <v>5</v>
      </c>
      <c r="CC788" s="313">
        <v>222400.7290281837</v>
      </c>
      <c r="CD788" s="313">
        <v>3032628721.5428848</v>
      </c>
      <c r="CE788" s="313" t="s">
        <v>11891</v>
      </c>
    </row>
    <row r="789" spans="1:83" ht="15" x14ac:dyDescent="0.25">
      <c r="A789" s="313" t="s">
        <v>990</v>
      </c>
      <c r="B789" s="313" t="s">
        <v>991</v>
      </c>
      <c r="C789" s="313" t="s">
        <v>992</v>
      </c>
      <c r="D789" s="313">
        <v>9</v>
      </c>
      <c r="E789" s="313" t="s">
        <v>416</v>
      </c>
      <c r="F789" s="313" t="s">
        <v>750</v>
      </c>
      <c r="G789" s="313" t="s">
        <v>835</v>
      </c>
      <c r="H789" s="313" t="s">
        <v>930</v>
      </c>
      <c r="I789" s="313" t="s">
        <v>931</v>
      </c>
      <c r="J789" s="313" t="s">
        <v>932</v>
      </c>
      <c r="K789" s="313" t="s">
        <v>894</v>
      </c>
      <c r="L789" s="313">
        <v>1.5129935741424561</v>
      </c>
      <c r="M789" s="313" t="s">
        <v>5</v>
      </c>
      <c r="N789" s="313" t="s">
        <v>5</v>
      </c>
      <c r="O789" s="313" t="s">
        <v>5</v>
      </c>
      <c r="P789" s="313" t="s">
        <v>5</v>
      </c>
      <c r="Q789" s="313" t="s">
        <v>5</v>
      </c>
      <c r="R789" s="313" t="s">
        <v>933</v>
      </c>
      <c r="S789" s="313" t="s">
        <v>933</v>
      </c>
      <c r="T789" s="313" t="s">
        <v>5</v>
      </c>
      <c r="U789" s="313" t="s">
        <v>4</v>
      </c>
      <c r="V789" s="313">
        <v>30000</v>
      </c>
      <c r="W789" s="313">
        <v>5000</v>
      </c>
      <c r="X789" s="313" t="s">
        <v>6</v>
      </c>
      <c r="Y789" s="313"/>
      <c r="Z789" s="313"/>
      <c r="AA789" s="313">
        <v>161.14332580566409</v>
      </c>
      <c r="AB789" s="313">
        <v>7.7345140278339386E-2</v>
      </c>
      <c r="AC789" s="313">
        <v>161.14332580566409</v>
      </c>
      <c r="AD789" s="313">
        <v>96</v>
      </c>
      <c r="AE789" s="313">
        <v>43</v>
      </c>
      <c r="AF789" s="313">
        <v>46</v>
      </c>
      <c r="AG789" s="313">
        <v>83</v>
      </c>
      <c r="AH789" s="313">
        <v>62</v>
      </c>
      <c r="AI789" s="313">
        <v>83</v>
      </c>
      <c r="AJ789" s="313">
        <v>0</v>
      </c>
      <c r="AK789" s="313">
        <v>4</v>
      </c>
      <c r="AL789" s="313">
        <v>2</v>
      </c>
      <c r="AM789" s="313">
        <v>0</v>
      </c>
      <c r="AN789" s="313">
        <v>0.68501776456832886</v>
      </c>
      <c r="AO789" s="313"/>
      <c r="AP789" s="313"/>
      <c r="AQ789" s="313"/>
      <c r="AR789" s="313">
        <v>24</v>
      </c>
      <c r="AS789" s="313">
        <v>24</v>
      </c>
      <c r="AT789" s="313">
        <v>10</v>
      </c>
      <c r="AU789" s="313">
        <v>11</v>
      </c>
      <c r="AV789" s="313">
        <v>25</v>
      </c>
      <c r="AW789" s="313">
        <v>0</v>
      </c>
      <c r="AX789" s="313">
        <v>1</v>
      </c>
      <c r="AY789" s="313">
        <v>0</v>
      </c>
      <c r="AZ789" s="313">
        <v>0</v>
      </c>
      <c r="BA789" s="313">
        <v>0.17125444114208219</v>
      </c>
      <c r="BB789" s="313"/>
      <c r="BC789" s="313"/>
      <c r="BD789" s="313"/>
      <c r="BE789" s="313">
        <v>25000</v>
      </c>
      <c r="BF789" s="313" t="s">
        <v>425</v>
      </c>
      <c r="BG789" s="313" t="s">
        <v>5</v>
      </c>
      <c r="BH789" s="313" t="s">
        <v>1020</v>
      </c>
      <c r="BI789" s="313"/>
      <c r="BJ789" s="313" t="s">
        <v>5</v>
      </c>
      <c r="BK789" s="313"/>
      <c r="BL789" s="313">
        <v>0</v>
      </c>
      <c r="BM789" s="313"/>
      <c r="BN789" s="313" t="s">
        <v>5</v>
      </c>
      <c r="BO789" s="313"/>
      <c r="BP789" s="313"/>
      <c r="BQ789" s="313"/>
      <c r="BR789" s="313"/>
      <c r="BS789" s="313" t="s">
        <v>5</v>
      </c>
      <c r="BT789" s="313"/>
      <c r="BU789" s="313"/>
      <c r="BV789" s="313"/>
      <c r="BW789" s="313"/>
      <c r="BX789" s="313" t="s">
        <v>6</v>
      </c>
      <c r="BY789" s="313" t="s">
        <v>426</v>
      </c>
      <c r="BZ789" s="313"/>
      <c r="CB789" s="313" t="s">
        <v>5</v>
      </c>
      <c r="CC789" s="313">
        <v>9625.9701726064595</v>
      </c>
      <c r="CD789" s="313">
        <v>3918635.2156133209</v>
      </c>
      <c r="CE789" s="313" t="s">
        <v>11891</v>
      </c>
    </row>
    <row r="790" spans="1:83" ht="15" x14ac:dyDescent="0.25">
      <c r="A790" s="313" t="s">
        <v>997</v>
      </c>
      <c r="B790" s="313" t="s">
        <v>998</v>
      </c>
      <c r="C790" s="313" t="s">
        <v>999</v>
      </c>
      <c r="D790" s="313">
        <v>9</v>
      </c>
      <c r="E790" s="313" t="s">
        <v>416</v>
      </c>
      <c r="F790" s="313" t="s">
        <v>952</v>
      </c>
      <c r="G790" s="313" t="s">
        <v>953</v>
      </c>
      <c r="H790" s="313" t="s">
        <v>954</v>
      </c>
      <c r="I790" s="313" t="s">
        <v>954</v>
      </c>
      <c r="J790" s="313" t="s">
        <v>893</v>
      </c>
      <c r="K790" s="313" t="s">
        <v>894</v>
      </c>
      <c r="L790" s="313">
        <v>900.69976806640625</v>
      </c>
      <c r="M790" s="313" t="s">
        <v>5</v>
      </c>
      <c r="N790" s="313" t="s">
        <v>5</v>
      </c>
      <c r="O790" s="313" t="s">
        <v>5</v>
      </c>
      <c r="P790" s="313" t="s">
        <v>5</v>
      </c>
      <c r="Q790" s="313" t="s">
        <v>5</v>
      </c>
      <c r="R790" s="313" t="s">
        <v>955</v>
      </c>
      <c r="S790" s="313" t="s">
        <v>955</v>
      </c>
      <c r="T790" s="313" t="s">
        <v>5</v>
      </c>
      <c r="U790" s="313" t="s">
        <v>4</v>
      </c>
      <c r="V790" s="313">
        <v>30000</v>
      </c>
      <c r="W790" s="313">
        <v>5000</v>
      </c>
      <c r="X790" s="313" t="s">
        <v>6</v>
      </c>
      <c r="Y790" s="313"/>
      <c r="Z790" s="313"/>
      <c r="AA790" s="313">
        <v>117504.40625</v>
      </c>
      <c r="AB790" s="313">
        <v>42.672176361083977</v>
      </c>
      <c r="AC790" s="313">
        <v>117504.40625</v>
      </c>
      <c r="AD790" s="313">
        <v>1372</v>
      </c>
      <c r="AE790" s="313">
        <v>899</v>
      </c>
      <c r="AF790" s="313">
        <v>662</v>
      </c>
      <c r="AG790" s="313">
        <v>3981</v>
      </c>
      <c r="AH790" s="313">
        <v>1746</v>
      </c>
      <c r="AI790" s="313">
        <v>3981</v>
      </c>
      <c r="AJ790" s="313">
        <v>1</v>
      </c>
      <c r="AK790" s="313">
        <v>20</v>
      </c>
      <c r="AL790" s="313">
        <v>196</v>
      </c>
      <c r="AM790" s="313">
        <v>0</v>
      </c>
      <c r="AN790" s="313">
        <v>35444.83984375</v>
      </c>
      <c r="AO790" s="313"/>
      <c r="AP790" s="313"/>
      <c r="AQ790" s="313"/>
      <c r="AR790" s="313">
        <v>343</v>
      </c>
      <c r="AS790" s="313">
        <v>343</v>
      </c>
      <c r="AT790" s="313">
        <v>224</v>
      </c>
      <c r="AU790" s="313">
        <v>165</v>
      </c>
      <c r="AV790" s="313">
        <v>1248</v>
      </c>
      <c r="AW790" s="313">
        <v>0</v>
      </c>
      <c r="AX790" s="313">
        <v>5</v>
      </c>
      <c r="AY790" s="313">
        <v>49</v>
      </c>
      <c r="AZ790" s="313">
        <v>0</v>
      </c>
      <c r="BA790" s="313">
        <v>8861.2099609375</v>
      </c>
      <c r="BB790" s="313"/>
      <c r="BC790" s="313"/>
      <c r="BD790" s="313"/>
      <c r="BE790" s="313">
        <v>25000</v>
      </c>
      <c r="BF790" s="313" t="s">
        <v>425</v>
      </c>
      <c r="BG790" s="313" t="s">
        <v>5</v>
      </c>
      <c r="BH790" s="313" t="s">
        <v>1020</v>
      </c>
      <c r="BI790" s="313"/>
      <c r="BJ790" s="313" t="s">
        <v>5</v>
      </c>
      <c r="BK790" s="313"/>
      <c r="BL790" s="313">
        <v>0</v>
      </c>
      <c r="BM790" s="313"/>
      <c r="BN790" s="313" t="s">
        <v>5</v>
      </c>
      <c r="BO790" s="313"/>
      <c r="BP790" s="313"/>
      <c r="BQ790" s="313"/>
      <c r="BR790" s="313"/>
      <c r="BS790" s="313" t="s">
        <v>5</v>
      </c>
      <c r="BT790" s="313"/>
      <c r="BU790" s="313"/>
      <c r="BV790" s="313"/>
      <c r="BW790" s="313"/>
      <c r="BX790" s="313" t="s">
        <v>6</v>
      </c>
      <c r="BY790" s="313" t="s">
        <v>426</v>
      </c>
      <c r="BZ790" s="313"/>
      <c r="CB790" s="313" t="s">
        <v>5</v>
      </c>
      <c r="CC790" s="313">
        <v>193208.0646593672</v>
      </c>
      <c r="CD790" s="313">
        <v>2332801647.6841898</v>
      </c>
      <c r="CE790" s="313" t="s">
        <v>11891</v>
      </c>
    </row>
    <row r="791" spans="1:83" ht="15" x14ac:dyDescent="0.25">
      <c r="A791" s="313" t="s">
        <v>1005</v>
      </c>
      <c r="B791" s="313" t="s">
        <v>1006</v>
      </c>
      <c r="C791" s="313" t="s">
        <v>1007</v>
      </c>
      <c r="D791" s="313">
        <v>9</v>
      </c>
      <c r="E791" s="313" t="s">
        <v>416</v>
      </c>
      <c r="F791" s="313" t="s">
        <v>834</v>
      </c>
      <c r="G791" s="313" t="s">
        <v>919</v>
      </c>
      <c r="H791" s="313" t="s">
        <v>919</v>
      </c>
      <c r="I791" s="313" t="s">
        <v>919</v>
      </c>
      <c r="J791" s="313" t="s">
        <v>893</v>
      </c>
      <c r="K791" s="313" t="s">
        <v>894</v>
      </c>
      <c r="L791" s="313">
        <v>1308.805053710938</v>
      </c>
      <c r="M791" s="313" t="s">
        <v>5</v>
      </c>
      <c r="N791" s="313" t="s">
        <v>5</v>
      </c>
      <c r="O791" s="313" t="s">
        <v>5</v>
      </c>
      <c r="P791" s="313" t="s">
        <v>5</v>
      </c>
      <c r="Q791" s="313" t="s">
        <v>5</v>
      </c>
      <c r="R791" s="313" t="s">
        <v>740</v>
      </c>
      <c r="S791" s="313" t="s">
        <v>740</v>
      </c>
      <c r="T791" s="313" t="s">
        <v>5</v>
      </c>
      <c r="U791" s="313" t="s">
        <v>4</v>
      </c>
      <c r="V791" s="313">
        <v>30000</v>
      </c>
      <c r="W791" s="313">
        <v>5000</v>
      </c>
      <c r="X791" s="313" t="s">
        <v>6</v>
      </c>
      <c r="Y791" s="313"/>
      <c r="Z791" s="313"/>
      <c r="AA791" s="313">
        <v>41420.5859375</v>
      </c>
      <c r="AB791" s="313">
        <v>7.5213537216186523</v>
      </c>
      <c r="AC791" s="313">
        <v>41420.5859375</v>
      </c>
      <c r="AD791" s="313">
        <v>99</v>
      </c>
      <c r="AE791" s="313">
        <v>51</v>
      </c>
      <c r="AF791" s="313">
        <v>40</v>
      </c>
      <c r="AG791" s="313">
        <v>191</v>
      </c>
      <c r="AH791" s="313">
        <v>72</v>
      </c>
      <c r="AI791" s="313">
        <v>191</v>
      </c>
      <c r="AJ791" s="313">
        <v>0</v>
      </c>
      <c r="AK791" s="313">
        <v>2</v>
      </c>
      <c r="AL791" s="313">
        <v>17</v>
      </c>
      <c r="AM791" s="313">
        <v>0</v>
      </c>
      <c r="AN791" s="313">
        <v>1263.988647460938</v>
      </c>
      <c r="AO791" s="313"/>
      <c r="AP791" s="313"/>
      <c r="AQ791" s="313"/>
      <c r="AR791" s="313">
        <v>25</v>
      </c>
      <c r="AS791" s="313">
        <v>25</v>
      </c>
      <c r="AT791" s="313">
        <v>12</v>
      </c>
      <c r="AU791" s="313">
        <v>10</v>
      </c>
      <c r="AV791" s="313">
        <v>62</v>
      </c>
      <c r="AW791" s="313">
        <v>0</v>
      </c>
      <c r="AX791" s="313">
        <v>0</v>
      </c>
      <c r="AY791" s="313">
        <v>4</v>
      </c>
      <c r="AZ791" s="313">
        <v>0</v>
      </c>
      <c r="BA791" s="313">
        <v>315.99716186523438</v>
      </c>
      <c r="BB791" s="313"/>
      <c r="BC791" s="313"/>
      <c r="BD791" s="313"/>
      <c r="BE791" s="313">
        <v>25000</v>
      </c>
      <c r="BF791" s="313" t="s">
        <v>425</v>
      </c>
      <c r="BG791" s="313" t="s">
        <v>5</v>
      </c>
      <c r="BH791" s="313" t="s">
        <v>1020</v>
      </c>
      <c r="BI791" s="313"/>
      <c r="BJ791" s="313" t="s">
        <v>5</v>
      </c>
      <c r="BK791" s="313"/>
      <c r="BL791" s="313">
        <v>0</v>
      </c>
      <c r="BM791" s="313"/>
      <c r="BN791" s="313" t="s">
        <v>5</v>
      </c>
      <c r="BO791" s="313"/>
      <c r="BP791" s="313"/>
      <c r="BQ791" s="313"/>
      <c r="BR791" s="313"/>
      <c r="BS791" s="313" t="s">
        <v>5</v>
      </c>
      <c r="BT791" s="313"/>
      <c r="BU791" s="313"/>
      <c r="BV791" s="313"/>
      <c r="BW791" s="313"/>
      <c r="BX791" s="313" t="s">
        <v>6</v>
      </c>
      <c r="BY791" s="313" t="s">
        <v>426</v>
      </c>
      <c r="BZ791" s="313"/>
      <c r="CB791" s="313" t="s">
        <v>5</v>
      </c>
      <c r="CC791" s="313">
        <v>244803.7663956022</v>
      </c>
      <c r="CD791" s="313">
        <v>3389789450.1440048</v>
      </c>
      <c r="CE791" s="313" t="s">
        <v>11891</v>
      </c>
    </row>
    <row r="792" spans="1:83" ht="15" x14ac:dyDescent="0.25">
      <c r="A792" s="313" t="s">
        <v>1014</v>
      </c>
      <c r="B792" s="313" t="s">
        <v>1015</v>
      </c>
      <c r="C792" s="313" t="s">
        <v>683</v>
      </c>
      <c r="D792" s="313">
        <v>9</v>
      </c>
      <c r="E792" s="313" t="s">
        <v>416</v>
      </c>
      <c r="F792" s="313" t="s">
        <v>784</v>
      </c>
      <c r="G792" s="313" t="s">
        <v>785</v>
      </c>
      <c r="H792" s="313" t="s">
        <v>796</v>
      </c>
      <c r="I792" s="313" t="s">
        <v>796</v>
      </c>
      <c r="J792" s="313" t="s">
        <v>797</v>
      </c>
      <c r="K792" s="313" t="s">
        <v>427</v>
      </c>
      <c r="L792" s="313">
        <v>1170.904907226562</v>
      </c>
      <c r="M792" s="313" t="s">
        <v>5</v>
      </c>
      <c r="N792" s="313" t="s">
        <v>5</v>
      </c>
      <c r="O792" s="313" t="s">
        <v>5</v>
      </c>
      <c r="P792" s="313" t="s">
        <v>5</v>
      </c>
      <c r="Q792" s="313" t="s">
        <v>5</v>
      </c>
      <c r="R792" s="313" t="s">
        <v>789</v>
      </c>
      <c r="S792" s="313" t="s">
        <v>798</v>
      </c>
      <c r="T792" s="313" t="s">
        <v>5</v>
      </c>
      <c r="U792" s="313" t="s">
        <v>4</v>
      </c>
      <c r="V792" s="313">
        <v>30000</v>
      </c>
      <c r="W792" s="313">
        <v>5000</v>
      </c>
      <c r="X792" s="313" t="s">
        <v>6</v>
      </c>
      <c r="Y792" s="313"/>
      <c r="Z792" s="313"/>
      <c r="AA792" s="313">
        <v>122272.5859375</v>
      </c>
      <c r="AB792" s="313">
        <v>59.781017303466797</v>
      </c>
      <c r="AC792" s="313">
        <v>122272.5859375</v>
      </c>
      <c r="AD792" s="313">
        <v>161</v>
      </c>
      <c r="AE792" s="313">
        <v>139</v>
      </c>
      <c r="AF792" s="313">
        <v>79</v>
      </c>
      <c r="AG792" s="313">
        <v>184</v>
      </c>
      <c r="AH792" s="313">
        <v>200</v>
      </c>
      <c r="AI792" s="313">
        <v>200</v>
      </c>
      <c r="AJ792" s="313">
        <v>0</v>
      </c>
      <c r="AK792" s="313">
        <v>2</v>
      </c>
      <c r="AL792" s="313">
        <v>39</v>
      </c>
      <c r="AM792" s="313">
        <v>0</v>
      </c>
      <c r="AN792" s="313">
        <v>13306.9638671875</v>
      </c>
      <c r="AO792" s="313"/>
      <c r="AP792" s="313"/>
      <c r="AQ792" s="313"/>
      <c r="AR792" s="313">
        <v>41</v>
      </c>
      <c r="AS792" s="313">
        <v>41</v>
      </c>
      <c r="AT792" s="313">
        <v>34</v>
      </c>
      <c r="AU792" s="313">
        <v>19</v>
      </c>
      <c r="AV792" s="313">
        <v>64</v>
      </c>
      <c r="AW792" s="313">
        <v>0</v>
      </c>
      <c r="AX792" s="313">
        <v>0</v>
      </c>
      <c r="AY792" s="313">
        <v>10</v>
      </c>
      <c r="AZ792" s="313">
        <v>0</v>
      </c>
      <c r="BA792" s="313">
        <v>3326.740966796875</v>
      </c>
      <c r="BB792" s="313"/>
      <c r="BC792" s="313"/>
      <c r="BD792" s="313"/>
      <c r="BE792" s="313">
        <v>25000</v>
      </c>
      <c r="BF792" s="313" t="s">
        <v>425</v>
      </c>
      <c r="BG792" s="313" t="s">
        <v>5</v>
      </c>
      <c r="BH792" s="313" t="s">
        <v>1020</v>
      </c>
      <c r="BI792" s="313"/>
      <c r="BJ792" s="313" t="s">
        <v>5</v>
      </c>
      <c r="BK792" s="313"/>
      <c r="BL792" s="313">
        <v>25</v>
      </c>
      <c r="BM792" s="313"/>
      <c r="BN792" s="313" t="s">
        <v>5</v>
      </c>
      <c r="BO792" s="313"/>
      <c r="BP792" s="313"/>
      <c r="BQ792" s="313"/>
      <c r="BR792" s="313"/>
      <c r="BS792" s="313" t="s">
        <v>5</v>
      </c>
      <c r="BT792" s="313"/>
      <c r="BU792" s="313"/>
      <c r="BV792" s="313"/>
      <c r="BW792" s="313"/>
      <c r="BX792" s="313" t="s">
        <v>6</v>
      </c>
      <c r="BY792" s="313" t="s">
        <v>426</v>
      </c>
      <c r="BZ792" s="313"/>
      <c r="CB792" s="313" t="s">
        <v>6</v>
      </c>
      <c r="CC792" s="313">
        <v>222400.7692418503</v>
      </c>
      <c r="CD792" s="313">
        <v>3032629818.5978618</v>
      </c>
      <c r="CE792" s="313" t="s">
        <v>11891</v>
      </c>
    </row>
    <row r="793" spans="1:83" ht="15" x14ac:dyDescent="0.25">
      <c r="A793" s="338" t="s">
        <v>4762</v>
      </c>
      <c r="B793" s="338" t="s">
        <v>4763</v>
      </c>
      <c r="C793" s="338" t="s">
        <v>4764</v>
      </c>
      <c r="D793" s="338">
        <v>4</v>
      </c>
      <c r="E793" s="338" t="s">
        <v>2512</v>
      </c>
      <c r="F793" s="338" t="s">
        <v>2403</v>
      </c>
      <c r="G793" s="338" t="s">
        <v>2513</v>
      </c>
      <c r="H793" s="338" t="s">
        <v>2520</v>
      </c>
      <c r="I793" s="338" t="s">
        <v>4765</v>
      </c>
      <c r="J793" s="338" t="s">
        <v>4766</v>
      </c>
      <c r="K793" s="338" t="s">
        <v>4767</v>
      </c>
      <c r="L793" s="338">
        <v>148.07856750488281</v>
      </c>
      <c r="M793" s="338" t="s">
        <v>6</v>
      </c>
      <c r="N793" s="338" t="s">
        <v>5</v>
      </c>
      <c r="O793" s="338" t="s">
        <v>5</v>
      </c>
      <c r="P793" s="338" t="s">
        <v>5</v>
      </c>
      <c r="Q793" s="338" t="s">
        <v>5</v>
      </c>
      <c r="R793" s="338" t="s">
        <v>1902</v>
      </c>
      <c r="S793" s="338" t="s">
        <v>1902</v>
      </c>
      <c r="T793" s="338" t="s">
        <v>5</v>
      </c>
      <c r="U793" s="338" t="s">
        <v>13</v>
      </c>
      <c r="V793" s="338">
        <v>2775</v>
      </c>
      <c r="W793" s="338">
        <v>2775</v>
      </c>
      <c r="X793" s="338" t="s">
        <v>6</v>
      </c>
      <c r="Y793" s="338"/>
      <c r="Z793" s="338">
        <v>0</v>
      </c>
      <c r="AA793" s="338">
        <v>15.242386817932131</v>
      </c>
      <c r="AB793" s="338">
        <v>1.0584380626678469</v>
      </c>
      <c r="AC793" s="338">
        <v>0</v>
      </c>
      <c r="AD793" s="338">
        <v>191</v>
      </c>
      <c r="AE793" s="338">
        <v>58</v>
      </c>
      <c r="AF793" s="338">
        <v>149</v>
      </c>
      <c r="AG793" s="338">
        <v>286</v>
      </c>
      <c r="AH793" s="338">
        <v>673</v>
      </c>
      <c r="AI793" s="338">
        <v>673</v>
      </c>
      <c r="AJ793" s="338">
        <v>0</v>
      </c>
      <c r="AK793" s="338">
        <v>11</v>
      </c>
      <c r="AL793" s="338">
        <v>15</v>
      </c>
      <c r="AM793" s="338">
        <v>11</v>
      </c>
      <c r="AN793" s="338">
        <v>3040.42626953125</v>
      </c>
      <c r="AO793" s="338"/>
      <c r="AP793" s="338"/>
      <c r="AQ793" s="338"/>
      <c r="AR793" s="338">
        <v>0</v>
      </c>
      <c r="AS793" s="338">
        <v>0</v>
      </c>
      <c r="AT793" s="338">
        <v>0</v>
      </c>
      <c r="AU793" s="338">
        <v>0</v>
      </c>
      <c r="AV793" s="338">
        <v>0</v>
      </c>
      <c r="AW793" s="338">
        <v>0</v>
      </c>
      <c r="AX793" s="338">
        <v>0</v>
      </c>
      <c r="AY793" s="338">
        <v>0</v>
      </c>
      <c r="AZ793" s="338">
        <v>0</v>
      </c>
      <c r="BA793" s="338">
        <v>0</v>
      </c>
      <c r="BB793" s="338"/>
      <c r="BC793" s="338"/>
      <c r="BD793" s="338"/>
      <c r="BE793" s="338">
        <v>0</v>
      </c>
      <c r="BF793" s="338" t="s">
        <v>2516</v>
      </c>
      <c r="BG793" s="338" t="s">
        <v>5</v>
      </c>
      <c r="BH793" s="338" t="s">
        <v>1020</v>
      </c>
      <c r="BI793" s="338" t="s">
        <v>2517</v>
      </c>
      <c r="BJ793" s="338" t="s">
        <v>5</v>
      </c>
      <c r="BK793" s="338" t="s">
        <v>1100</v>
      </c>
      <c r="BL793" s="338">
        <v>0</v>
      </c>
      <c r="BM793" s="338"/>
      <c r="BN793" s="338" t="s">
        <v>5</v>
      </c>
      <c r="BO793" s="338" t="s">
        <v>2518</v>
      </c>
      <c r="BP793" s="338" t="s">
        <v>2518</v>
      </c>
      <c r="BQ793" s="338" t="s">
        <v>2518</v>
      </c>
      <c r="BR793" s="338" t="s">
        <v>2518</v>
      </c>
      <c r="BS793" s="338" t="s">
        <v>6</v>
      </c>
      <c r="BT793" s="338" t="s">
        <v>2518</v>
      </c>
      <c r="BU793" s="338" t="s">
        <v>2518</v>
      </c>
      <c r="BV793" s="338" t="s">
        <v>2518</v>
      </c>
      <c r="BW793" s="338" t="s">
        <v>1100</v>
      </c>
      <c r="BX793" s="338" t="s">
        <v>6</v>
      </c>
      <c r="BY793" s="338" t="s">
        <v>2519</v>
      </c>
      <c r="BZ793" s="338"/>
      <c r="CA793"/>
      <c r="CB793" s="338" t="s">
        <v>5</v>
      </c>
      <c r="CC793" s="338">
        <v>78389.781225890081</v>
      </c>
      <c r="CD793" s="338">
        <v>383521736.46283472</v>
      </c>
      <c r="CE793" s="313" t="s">
        <v>11891</v>
      </c>
    </row>
    <row r="794" spans="1:83" ht="15" x14ac:dyDescent="0.25">
      <c r="A794" s="338" t="s">
        <v>3790</v>
      </c>
      <c r="B794" s="338" t="s">
        <v>3791</v>
      </c>
      <c r="C794" s="338" t="s">
        <v>3792</v>
      </c>
      <c r="D794" s="338">
        <v>13</v>
      </c>
      <c r="E794" s="338" t="s">
        <v>3573</v>
      </c>
      <c r="F794" s="338" t="s">
        <v>3781</v>
      </c>
      <c r="G794" s="338" t="s">
        <v>3793</v>
      </c>
      <c r="H794" s="338" t="s">
        <v>3794</v>
      </c>
      <c r="I794" s="338" t="s">
        <v>3795</v>
      </c>
      <c r="J794" s="338" t="s">
        <v>3796</v>
      </c>
      <c r="K794" s="338" t="s">
        <v>3585</v>
      </c>
      <c r="L794" s="338">
        <v>458.95806884765619</v>
      </c>
      <c r="M794" s="338" t="s">
        <v>6</v>
      </c>
      <c r="N794" s="338" t="s">
        <v>6</v>
      </c>
      <c r="O794" s="338" t="s">
        <v>6</v>
      </c>
      <c r="P794" s="338" t="s">
        <v>5</v>
      </c>
      <c r="Q794" s="338" t="s">
        <v>5</v>
      </c>
      <c r="R794" s="338" t="s">
        <v>3688</v>
      </c>
      <c r="S794" s="338" t="s">
        <v>3688</v>
      </c>
      <c r="T794" s="338" t="s">
        <v>6</v>
      </c>
      <c r="U794" s="338" t="s">
        <v>4</v>
      </c>
      <c r="V794" s="338">
        <v>2650</v>
      </c>
      <c r="W794" s="338">
        <v>2650</v>
      </c>
      <c r="X794" s="338" t="s">
        <v>6</v>
      </c>
      <c r="Y794" s="338" t="s">
        <v>3797</v>
      </c>
      <c r="Z794" s="338"/>
      <c r="AA794" s="338">
        <v>18.552730560302731</v>
      </c>
      <c r="AB794" s="338">
        <v>6.3022098541259766</v>
      </c>
      <c r="AC794" s="338">
        <v>0.87143325805664063</v>
      </c>
      <c r="AD794" s="338">
        <v>3334</v>
      </c>
      <c r="AE794" s="338">
        <v>2749</v>
      </c>
      <c r="AF794" s="338">
        <v>2828</v>
      </c>
      <c r="AG794" s="338">
        <v>4119</v>
      </c>
      <c r="AH794" s="338">
        <v>4790</v>
      </c>
      <c r="AI794" s="338">
        <v>4790</v>
      </c>
      <c r="AJ794" s="338">
        <v>4</v>
      </c>
      <c r="AK794" s="338">
        <v>0</v>
      </c>
      <c r="AL794" s="338">
        <v>103</v>
      </c>
      <c r="AM794" s="338">
        <v>548</v>
      </c>
      <c r="AN794" s="338">
        <v>571.2467041015625</v>
      </c>
      <c r="AO794" s="338"/>
      <c r="AP794" s="338"/>
      <c r="AQ794" s="338"/>
      <c r="AR794" s="338"/>
      <c r="AS794" s="338"/>
      <c r="AT794" s="338"/>
      <c r="AU794" s="338"/>
      <c r="AV794" s="338"/>
      <c r="AW794" s="338"/>
      <c r="AX794" s="338"/>
      <c r="AY794" s="338"/>
      <c r="AZ794" s="338"/>
      <c r="BA794" s="338"/>
      <c r="BB794" s="338"/>
      <c r="BC794" s="338"/>
      <c r="BD794" s="338"/>
      <c r="BE794" s="338">
        <v>0</v>
      </c>
      <c r="BF794" s="338" t="s">
        <v>5</v>
      </c>
      <c r="BG794" s="338" t="s">
        <v>5</v>
      </c>
      <c r="BH794" s="338" t="s">
        <v>3581</v>
      </c>
      <c r="BI794" s="338"/>
      <c r="BJ794" s="338" t="s">
        <v>5</v>
      </c>
      <c r="BK794" s="338"/>
      <c r="BL794" s="338">
        <v>0</v>
      </c>
      <c r="BM794" s="338"/>
      <c r="BN794" s="338" t="s">
        <v>5</v>
      </c>
      <c r="BO794" s="338"/>
      <c r="BP794" s="338"/>
      <c r="BQ794" s="338"/>
      <c r="BR794" s="338"/>
      <c r="BS794" s="338" t="s">
        <v>5</v>
      </c>
      <c r="BT794" s="338"/>
      <c r="BU794" s="338"/>
      <c r="BV794" s="338"/>
      <c r="BW794" s="338"/>
      <c r="BX794" s="338" t="s">
        <v>6</v>
      </c>
      <c r="BY794" s="338" t="s">
        <v>3798</v>
      </c>
      <c r="BZ794" s="338"/>
      <c r="CA794"/>
      <c r="CB794" s="338" t="s">
        <v>5</v>
      </c>
      <c r="CC794" s="338">
        <v>189746.60002084469</v>
      </c>
      <c r="CD794" s="338">
        <v>1188700680.665899</v>
      </c>
      <c r="CE794" s="313" t="s">
        <v>11891</v>
      </c>
    </row>
    <row r="795" spans="1:83" ht="15" x14ac:dyDescent="0.25">
      <c r="A795" s="338" t="s">
        <v>8</v>
      </c>
      <c r="B795" s="338" t="s">
        <v>2961</v>
      </c>
      <c r="C795" s="338" t="s">
        <v>2962</v>
      </c>
      <c r="D795" s="338">
        <v>6</v>
      </c>
      <c r="E795" s="338" t="s">
        <v>259</v>
      </c>
      <c r="F795" s="338" t="s">
        <v>2</v>
      </c>
      <c r="G795" s="338" t="s">
        <v>293</v>
      </c>
      <c r="H795" s="338" t="s">
        <v>294</v>
      </c>
      <c r="I795" s="338" t="s">
        <v>295</v>
      </c>
      <c r="J795" s="338" t="s">
        <v>296</v>
      </c>
      <c r="K795" s="338" t="s">
        <v>21</v>
      </c>
      <c r="L795" s="338">
        <v>3.5849535465240479</v>
      </c>
      <c r="M795" s="338" t="s">
        <v>5</v>
      </c>
      <c r="N795" s="338" t="s">
        <v>5</v>
      </c>
      <c r="O795" s="338" t="s">
        <v>6</v>
      </c>
      <c r="P795" s="338" t="s">
        <v>5</v>
      </c>
      <c r="Q795" s="338" t="s">
        <v>5</v>
      </c>
      <c r="R795" s="338" t="s">
        <v>297</v>
      </c>
      <c r="S795" s="338" t="s">
        <v>301</v>
      </c>
      <c r="T795" s="338" t="s">
        <v>5</v>
      </c>
      <c r="U795" s="338" t="s">
        <v>4</v>
      </c>
      <c r="V795" s="338">
        <v>50000</v>
      </c>
      <c r="W795" s="338">
        <v>2500</v>
      </c>
      <c r="X795" s="338" t="s">
        <v>6</v>
      </c>
      <c r="Y795" s="338" t="s">
        <v>4</v>
      </c>
      <c r="Z795" s="338">
        <v>12500</v>
      </c>
      <c r="AA795" s="338">
        <v>2.9588699340820308</v>
      </c>
      <c r="AB795" s="338">
        <v>0.53965997695922852</v>
      </c>
      <c r="AC795" s="338">
        <v>0</v>
      </c>
      <c r="AD795" s="338">
        <v>5879</v>
      </c>
      <c r="AE795" s="338">
        <v>904</v>
      </c>
      <c r="AF795" s="338">
        <v>5539</v>
      </c>
      <c r="AG795" s="338">
        <v>25741</v>
      </c>
      <c r="AH795" s="338">
        <v>16463</v>
      </c>
      <c r="AI795" s="338">
        <v>25741</v>
      </c>
      <c r="AJ795" s="338">
        <v>71</v>
      </c>
      <c r="AK795" s="338">
        <v>0</v>
      </c>
      <c r="AL795" s="338">
        <v>71</v>
      </c>
      <c r="AM795" s="338">
        <v>0</v>
      </c>
      <c r="AN795" s="338">
        <v>0.1517360061407089</v>
      </c>
      <c r="AO795" s="338"/>
      <c r="AP795" s="338"/>
      <c r="AQ795" s="338"/>
      <c r="AR795" s="338"/>
      <c r="AS795" s="338"/>
      <c r="AT795" s="338"/>
      <c r="AU795" s="338"/>
      <c r="AV795" s="338"/>
      <c r="AW795" s="338"/>
      <c r="AX795" s="338"/>
      <c r="AY795" s="338"/>
      <c r="AZ795" s="338"/>
      <c r="BA795" s="338"/>
      <c r="BB795" s="338"/>
      <c r="BC795" s="338"/>
      <c r="BD795" s="338"/>
      <c r="BE795" s="338"/>
      <c r="BF795" s="338" t="s">
        <v>291</v>
      </c>
      <c r="BG795" s="338" t="s">
        <v>5</v>
      </c>
      <c r="BH795" s="338"/>
      <c r="BI795" s="338"/>
      <c r="BJ795" s="338" t="s">
        <v>5</v>
      </c>
      <c r="BK795" s="338"/>
      <c r="BL795" s="338">
        <v>0</v>
      </c>
      <c r="BM795" s="338"/>
      <c r="BN795" s="338" t="s">
        <v>5</v>
      </c>
      <c r="BO795" s="338" t="s">
        <v>2518</v>
      </c>
      <c r="BP795" s="338" t="s">
        <v>2518</v>
      </c>
      <c r="BQ795" s="338" t="s">
        <v>2518</v>
      </c>
      <c r="BR795" s="338"/>
      <c r="BS795" s="338" t="s">
        <v>6</v>
      </c>
      <c r="BT795" s="338" t="s">
        <v>2518</v>
      </c>
      <c r="BU795" s="338" t="s">
        <v>2518</v>
      </c>
      <c r="BV795" s="338" t="s">
        <v>2518</v>
      </c>
      <c r="BW795" s="338"/>
      <c r="BX795" s="338" t="s">
        <v>6</v>
      </c>
      <c r="BY795" s="338" t="s">
        <v>7</v>
      </c>
      <c r="BZ795" s="338" t="s">
        <v>2518</v>
      </c>
      <c r="CA795"/>
      <c r="CB795" s="338" t="s">
        <v>5</v>
      </c>
      <c r="CC795" s="338">
        <v>16716.568911328399</v>
      </c>
      <c r="CD795" s="338">
        <v>9284987.0653277058</v>
      </c>
      <c r="CE795" s="313" t="s">
        <v>11891</v>
      </c>
    </row>
    <row r="796" spans="1:83" ht="15" x14ac:dyDescent="0.25">
      <c r="A796" s="338" t="s">
        <v>9</v>
      </c>
      <c r="B796" s="338" t="s">
        <v>2963</v>
      </c>
      <c r="C796" s="338" t="s">
        <v>2964</v>
      </c>
      <c r="D796" s="338">
        <v>6</v>
      </c>
      <c r="E796" s="338" t="s">
        <v>259</v>
      </c>
      <c r="F796" s="338" t="s">
        <v>2</v>
      </c>
      <c r="G796" s="338" t="s">
        <v>293</v>
      </c>
      <c r="H796" s="338" t="s">
        <v>294</v>
      </c>
      <c r="I796" s="338" t="s">
        <v>295</v>
      </c>
      <c r="J796" s="338" t="s">
        <v>296</v>
      </c>
      <c r="K796" s="338" t="s">
        <v>21</v>
      </c>
      <c r="L796" s="338">
        <v>3.5849535465240479</v>
      </c>
      <c r="M796" s="338" t="s">
        <v>5</v>
      </c>
      <c r="N796" s="338" t="s">
        <v>5</v>
      </c>
      <c r="O796" s="338" t="s">
        <v>6</v>
      </c>
      <c r="P796" s="338" t="s">
        <v>5</v>
      </c>
      <c r="Q796" s="338" t="s">
        <v>5</v>
      </c>
      <c r="R796" s="338" t="s">
        <v>297</v>
      </c>
      <c r="S796" s="338" t="s">
        <v>298</v>
      </c>
      <c r="T796" s="338" t="s">
        <v>5</v>
      </c>
      <c r="U796" s="338" t="s">
        <v>4</v>
      </c>
      <c r="V796" s="338">
        <v>50000</v>
      </c>
      <c r="W796" s="338">
        <v>2500</v>
      </c>
      <c r="X796" s="338" t="s">
        <v>6</v>
      </c>
      <c r="Y796" s="338" t="s">
        <v>302</v>
      </c>
      <c r="Z796" s="338">
        <v>12500</v>
      </c>
      <c r="AA796" s="338">
        <v>2.9588699340820308</v>
      </c>
      <c r="AB796" s="338">
        <v>0.53965997695922852</v>
      </c>
      <c r="AC796" s="338">
        <v>0</v>
      </c>
      <c r="AD796" s="338">
        <v>5879</v>
      </c>
      <c r="AE796" s="338">
        <v>904</v>
      </c>
      <c r="AF796" s="338">
        <v>5539</v>
      </c>
      <c r="AG796" s="338">
        <v>25741</v>
      </c>
      <c r="AH796" s="338">
        <v>16463</v>
      </c>
      <c r="AI796" s="338">
        <v>25741</v>
      </c>
      <c r="AJ796" s="338">
        <v>71</v>
      </c>
      <c r="AK796" s="338">
        <v>0</v>
      </c>
      <c r="AL796" s="338">
        <v>71</v>
      </c>
      <c r="AM796" s="338">
        <v>0</v>
      </c>
      <c r="AN796" s="338">
        <v>0.1517360061407089</v>
      </c>
      <c r="AO796" s="338"/>
      <c r="AP796" s="338"/>
      <c r="AQ796" s="338"/>
      <c r="AR796" s="338"/>
      <c r="AS796" s="338"/>
      <c r="AT796" s="338"/>
      <c r="AU796" s="338"/>
      <c r="AV796" s="338"/>
      <c r="AW796" s="338"/>
      <c r="AX796" s="338"/>
      <c r="AY796" s="338"/>
      <c r="AZ796" s="338"/>
      <c r="BA796" s="338"/>
      <c r="BB796" s="338"/>
      <c r="BC796" s="338"/>
      <c r="BD796" s="338"/>
      <c r="BE796" s="338"/>
      <c r="BF796" s="338"/>
      <c r="BG796" s="338" t="s">
        <v>5</v>
      </c>
      <c r="BH796" s="338"/>
      <c r="BI796" s="338"/>
      <c r="BJ796" s="338" t="s">
        <v>5</v>
      </c>
      <c r="BK796" s="338"/>
      <c r="BL796" s="338">
        <v>0</v>
      </c>
      <c r="BM796" s="338"/>
      <c r="BN796" s="338" t="s">
        <v>5</v>
      </c>
      <c r="BO796" s="338" t="s">
        <v>2518</v>
      </c>
      <c r="BP796" s="338" t="s">
        <v>2518</v>
      </c>
      <c r="BQ796" s="338" t="s">
        <v>2518</v>
      </c>
      <c r="BR796" s="338"/>
      <c r="BS796" s="338" t="s">
        <v>6</v>
      </c>
      <c r="BT796" s="338" t="s">
        <v>2518</v>
      </c>
      <c r="BU796" s="338" t="s">
        <v>2518</v>
      </c>
      <c r="BV796" s="338" t="s">
        <v>2518</v>
      </c>
      <c r="BW796" s="338"/>
      <c r="BX796" s="338" t="s">
        <v>6</v>
      </c>
      <c r="BY796" s="338" t="s">
        <v>7</v>
      </c>
      <c r="BZ796" s="338" t="s">
        <v>2518</v>
      </c>
      <c r="CA796"/>
      <c r="CB796" s="338" t="s">
        <v>5</v>
      </c>
      <c r="CC796" s="338">
        <v>16716.568911328399</v>
      </c>
      <c r="CD796" s="338">
        <v>9284987.0653277058</v>
      </c>
      <c r="CE796" s="313" t="s">
        <v>11891</v>
      </c>
    </row>
    <row r="797" spans="1:83" ht="15" x14ac:dyDescent="0.25">
      <c r="A797" s="338" t="s">
        <v>11</v>
      </c>
      <c r="B797" s="338" t="s">
        <v>2965</v>
      </c>
      <c r="C797" s="338" t="s">
        <v>12</v>
      </c>
      <c r="D797" s="338">
        <v>6</v>
      </c>
      <c r="E797" s="338" t="s">
        <v>259</v>
      </c>
      <c r="F797" s="338" t="s">
        <v>2</v>
      </c>
      <c r="G797" s="338" t="s">
        <v>293</v>
      </c>
      <c r="H797" s="338" t="s">
        <v>294</v>
      </c>
      <c r="I797" s="338" t="s">
        <v>295</v>
      </c>
      <c r="J797" s="338" t="s">
        <v>296</v>
      </c>
      <c r="K797" s="338" t="s">
        <v>289</v>
      </c>
      <c r="L797" s="338">
        <v>3.5849535465240479</v>
      </c>
      <c r="M797" s="338" t="s">
        <v>5</v>
      </c>
      <c r="N797" s="338" t="s">
        <v>5</v>
      </c>
      <c r="O797" s="338" t="s">
        <v>6</v>
      </c>
      <c r="P797" s="338" t="s">
        <v>5</v>
      </c>
      <c r="Q797" s="338" t="s">
        <v>5</v>
      </c>
      <c r="R797" s="338" t="s">
        <v>297</v>
      </c>
      <c r="S797" s="338" t="s">
        <v>297</v>
      </c>
      <c r="T797" s="338" t="s">
        <v>5</v>
      </c>
      <c r="U797" s="338" t="s">
        <v>13</v>
      </c>
      <c r="V797" s="338">
        <v>50000</v>
      </c>
      <c r="W797" s="338">
        <v>2500</v>
      </c>
      <c r="X797" s="338" t="s">
        <v>6</v>
      </c>
      <c r="Y797" s="338" t="s">
        <v>302</v>
      </c>
      <c r="Z797" s="338">
        <v>12500</v>
      </c>
      <c r="AA797" s="338">
        <v>2.9588699340820308</v>
      </c>
      <c r="AB797" s="338">
        <v>0.53965997695922852</v>
      </c>
      <c r="AC797" s="338">
        <v>0</v>
      </c>
      <c r="AD797" s="338">
        <v>5879</v>
      </c>
      <c r="AE797" s="338">
        <v>904</v>
      </c>
      <c r="AF797" s="338">
        <v>5539</v>
      </c>
      <c r="AG797" s="338">
        <v>25741</v>
      </c>
      <c r="AH797" s="338">
        <v>16463</v>
      </c>
      <c r="AI797" s="338">
        <v>25741</v>
      </c>
      <c r="AJ797" s="338">
        <v>71</v>
      </c>
      <c r="AK797" s="338">
        <v>0</v>
      </c>
      <c r="AL797" s="338">
        <v>71</v>
      </c>
      <c r="AM797" s="338">
        <v>0</v>
      </c>
      <c r="AN797" s="338">
        <v>0.1517360061407089</v>
      </c>
      <c r="AO797" s="338"/>
      <c r="AP797" s="338"/>
      <c r="AQ797" s="338"/>
      <c r="AR797" s="338"/>
      <c r="AS797" s="338"/>
      <c r="AT797" s="338"/>
      <c r="AU797" s="338"/>
      <c r="AV797" s="338"/>
      <c r="AW797" s="338"/>
      <c r="AX797" s="338"/>
      <c r="AY797" s="338"/>
      <c r="AZ797" s="338"/>
      <c r="BA797" s="338"/>
      <c r="BB797" s="338"/>
      <c r="BC797" s="338"/>
      <c r="BD797" s="338"/>
      <c r="BE797" s="338"/>
      <c r="BF797" s="338" t="s">
        <v>291</v>
      </c>
      <c r="BG797" s="338" t="s">
        <v>5</v>
      </c>
      <c r="BH797" s="338"/>
      <c r="BI797" s="338"/>
      <c r="BJ797" s="338" t="s">
        <v>5</v>
      </c>
      <c r="BK797" s="338"/>
      <c r="BL797" s="338">
        <v>0</v>
      </c>
      <c r="BM797" s="338"/>
      <c r="BN797" s="338" t="s">
        <v>5</v>
      </c>
      <c r="BO797" s="338" t="s">
        <v>2518</v>
      </c>
      <c r="BP797" s="338" t="s">
        <v>2518</v>
      </c>
      <c r="BQ797" s="338" t="s">
        <v>2518</v>
      </c>
      <c r="BR797" s="338"/>
      <c r="BS797" s="338" t="s">
        <v>6</v>
      </c>
      <c r="BT797" s="338" t="s">
        <v>2518</v>
      </c>
      <c r="BU797" s="338" t="s">
        <v>2518</v>
      </c>
      <c r="BV797" s="338" t="s">
        <v>2518</v>
      </c>
      <c r="BW797" s="338"/>
      <c r="BX797" s="338" t="s">
        <v>6</v>
      </c>
      <c r="BY797" s="338" t="s">
        <v>7</v>
      </c>
      <c r="BZ797" s="338" t="s">
        <v>2518</v>
      </c>
      <c r="CA797"/>
      <c r="CB797" s="338" t="s">
        <v>5</v>
      </c>
      <c r="CC797" s="338">
        <v>16716.568911328399</v>
      </c>
      <c r="CD797" s="338">
        <v>9284987.0653277058</v>
      </c>
      <c r="CE797" s="313" t="s">
        <v>11891</v>
      </c>
    </row>
    <row r="798" spans="1:83" ht="15" x14ac:dyDescent="0.25">
      <c r="A798" s="338" t="s">
        <v>66</v>
      </c>
      <c r="B798" s="338" t="s">
        <v>67</v>
      </c>
      <c r="C798" s="338" t="s">
        <v>68</v>
      </c>
      <c r="D798" s="338">
        <v>6</v>
      </c>
      <c r="E798" s="338" t="s">
        <v>259</v>
      </c>
      <c r="F798" s="338" t="s">
        <v>69</v>
      </c>
      <c r="G798" s="338" t="s">
        <v>39</v>
      </c>
      <c r="H798" s="338" t="s">
        <v>313</v>
      </c>
      <c r="I798" s="338" t="s">
        <v>70</v>
      </c>
      <c r="J798" s="338" t="s">
        <v>314</v>
      </c>
      <c r="K798" s="338" t="s">
        <v>289</v>
      </c>
      <c r="L798" s="338">
        <v>2.5953464508056641</v>
      </c>
      <c r="M798" s="338" t="s">
        <v>6</v>
      </c>
      <c r="N798" s="338" t="s">
        <v>5</v>
      </c>
      <c r="O798" s="338" t="s">
        <v>6</v>
      </c>
      <c r="P798" s="338" t="s">
        <v>5</v>
      </c>
      <c r="Q798" s="338" t="s">
        <v>5</v>
      </c>
      <c r="R798" s="338" t="s">
        <v>315</v>
      </c>
      <c r="S798" s="338" t="s">
        <v>316</v>
      </c>
      <c r="T798" s="338" t="s">
        <v>5</v>
      </c>
      <c r="U798" s="338" t="s">
        <v>13</v>
      </c>
      <c r="V798" s="338">
        <v>50000</v>
      </c>
      <c r="W798" s="338">
        <v>2500</v>
      </c>
      <c r="X798" s="338" t="s">
        <v>6</v>
      </c>
      <c r="Y798" s="338"/>
      <c r="Z798" s="338"/>
      <c r="AA798" s="338">
        <v>7.6200999319553375E-2</v>
      </c>
      <c r="AB798" s="338">
        <v>0</v>
      </c>
      <c r="AC798" s="338">
        <v>0</v>
      </c>
      <c r="AD798" s="338">
        <v>41</v>
      </c>
      <c r="AE798" s="338">
        <v>0</v>
      </c>
      <c r="AF798" s="338">
        <v>37</v>
      </c>
      <c r="AG798" s="338">
        <v>3</v>
      </c>
      <c r="AH798" s="338">
        <v>39</v>
      </c>
      <c r="AI798" s="338">
        <v>39</v>
      </c>
      <c r="AJ798" s="338">
        <v>0</v>
      </c>
      <c r="AK798" s="338">
        <v>0</v>
      </c>
      <c r="AL798" s="338">
        <v>0</v>
      </c>
      <c r="AM798" s="338">
        <v>0</v>
      </c>
      <c r="AN798" s="338">
        <v>1.227403044700623</v>
      </c>
      <c r="AO798" s="338"/>
      <c r="AP798" s="338"/>
      <c r="AQ798" s="338"/>
      <c r="AR798" s="338"/>
      <c r="AS798" s="338"/>
      <c r="AT798" s="338"/>
      <c r="AU798" s="338"/>
      <c r="AV798" s="338"/>
      <c r="AW798" s="338"/>
      <c r="AX798" s="338"/>
      <c r="AY798" s="338"/>
      <c r="AZ798" s="338"/>
      <c r="BA798" s="338"/>
      <c r="BB798" s="338"/>
      <c r="BC798" s="338"/>
      <c r="BD798" s="338"/>
      <c r="BE798" s="338"/>
      <c r="BF798" s="338" t="s">
        <v>291</v>
      </c>
      <c r="BG798" s="338" t="s">
        <v>5</v>
      </c>
      <c r="BH798" s="338"/>
      <c r="BI798" s="338"/>
      <c r="BJ798" s="338" t="s">
        <v>5</v>
      </c>
      <c r="BK798" s="338"/>
      <c r="BL798" s="338">
        <v>0</v>
      </c>
      <c r="BM798" s="338"/>
      <c r="BN798" s="338" t="s">
        <v>5</v>
      </c>
      <c r="BO798" s="338" t="s">
        <v>2518</v>
      </c>
      <c r="BP798" s="338" t="s">
        <v>2518</v>
      </c>
      <c r="BQ798" s="338" t="s">
        <v>2518</v>
      </c>
      <c r="BR798" s="338"/>
      <c r="BS798" s="338" t="s">
        <v>6</v>
      </c>
      <c r="BT798" s="338" t="s">
        <v>2518</v>
      </c>
      <c r="BU798" s="338" t="s">
        <v>2518</v>
      </c>
      <c r="BV798" s="338" t="s">
        <v>2518</v>
      </c>
      <c r="BW798" s="338"/>
      <c r="BX798" s="338" t="s">
        <v>6</v>
      </c>
      <c r="BY798" s="338" t="s">
        <v>7</v>
      </c>
      <c r="BZ798" s="338" t="s">
        <v>2518</v>
      </c>
      <c r="CA798"/>
      <c r="CB798" s="338" t="s">
        <v>5</v>
      </c>
      <c r="CC798" s="338">
        <v>19201.348575862299</v>
      </c>
      <c r="CD798" s="338">
        <v>6721916.1999056712</v>
      </c>
      <c r="CE798" s="313" t="s">
        <v>11891</v>
      </c>
    </row>
    <row r="799" spans="1:83" ht="15" x14ac:dyDescent="0.25">
      <c r="A799" s="338" t="s">
        <v>75</v>
      </c>
      <c r="B799" s="338" t="s">
        <v>76</v>
      </c>
      <c r="C799" s="338" t="s">
        <v>77</v>
      </c>
      <c r="D799" s="338">
        <v>6</v>
      </c>
      <c r="E799" s="338" t="s">
        <v>259</v>
      </c>
      <c r="F799" s="338" t="s">
        <v>69</v>
      </c>
      <c r="G799" s="338" t="s">
        <v>39</v>
      </c>
      <c r="H799" s="338" t="s">
        <v>313</v>
      </c>
      <c r="I799" s="338" t="s">
        <v>70</v>
      </c>
      <c r="J799" s="338" t="s">
        <v>314</v>
      </c>
      <c r="K799" s="338" t="s">
        <v>289</v>
      </c>
      <c r="L799" s="338">
        <v>2.5961682796478271</v>
      </c>
      <c r="M799" s="338" t="s">
        <v>6</v>
      </c>
      <c r="N799" s="338" t="s">
        <v>5</v>
      </c>
      <c r="O799" s="338" t="s">
        <v>6</v>
      </c>
      <c r="P799" s="338" t="s">
        <v>5</v>
      </c>
      <c r="Q799" s="338" t="s">
        <v>5</v>
      </c>
      <c r="R799" s="338" t="s">
        <v>315</v>
      </c>
      <c r="S799" s="338" t="s">
        <v>315</v>
      </c>
      <c r="T799" s="338" t="s">
        <v>5</v>
      </c>
      <c r="U799" s="338" t="s">
        <v>13</v>
      </c>
      <c r="V799" s="338">
        <v>50000</v>
      </c>
      <c r="W799" s="338">
        <v>2500</v>
      </c>
      <c r="X799" s="338" t="s">
        <v>6</v>
      </c>
      <c r="Y799" s="338"/>
      <c r="Z799" s="338"/>
      <c r="AA799" s="338">
        <v>7.6200999319553375E-2</v>
      </c>
      <c r="AB799" s="338">
        <v>0</v>
      </c>
      <c r="AC799" s="338">
        <v>0</v>
      </c>
      <c r="AD799" s="338">
        <v>41</v>
      </c>
      <c r="AE799" s="338">
        <v>0</v>
      </c>
      <c r="AF799" s="338">
        <v>37</v>
      </c>
      <c r="AG799" s="338">
        <v>3</v>
      </c>
      <c r="AH799" s="338">
        <v>39</v>
      </c>
      <c r="AI799" s="338">
        <v>39</v>
      </c>
      <c r="AJ799" s="338">
        <v>0</v>
      </c>
      <c r="AK799" s="338">
        <v>0</v>
      </c>
      <c r="AL799" s="338">
        <v>0</v>
      </c>
      <c r="AM799" s="338">
        <v>0</v>
      </c>
      <c r="AN799" s="338">
        <v>1.227403044700623</v>
      </c>
      <c r="AO799" s="338"/>
      <c r="AP799" s="338"/>
      <c r="AQ799" s="338"/>
      <c r="AR799" s="338"/>
      <c r="AS799" s="338"/>
      <c r="AT799" s="338"/>
      <c r="AU799" s="338"/>
      <c r="AV799" s="338"/>
      <c r="AW799" s="338"/>
      <c r="AX799" s="338"/>
      <c r="AY799" s="338"/>
      <c r="AZ799" s="338"/>
      <c r="BA799" s="338"/>
      <c r="BB799" s="338"/>
      <c r="BC799" s="338"/>
      <c r="BD799" s="338"/>
      <c r="BE799" s="338"/>
      <c r="BF799" s="338" t="s">
        <v>291</v>
      </c>
      <c r="BG799" s="338" t="s">
        <v>5</v>
      </c>
      <c r="BH799" s="338"/>
      <c r="BI799" s="338"/>
      <c r="BJ799" s="338" t="s">
        <v>5</v>
      </c>
      <c r="BK799" s="338"/>
      <c r="BL799" s="338">
        <v>0</v>
      </c>
      <c r="BM799" s="338"/>
      <c r="BN799" s="338" t="s">
        <v>5</v>
      </c>
      <c r="BO799" s="338" t="s">
        <v>2518</v>
      </c>
      <c r="BP799" s="338" t="s">
        <v>2518</v>
      </c>
      <c r="BQ799" s="338" t="s">
        <v>2518</v>
      </c>
      <c r="BR799" s="338"/>
      <c r="BS799" s="338" t="s">
        <v>6</v>
      </c>
      <c r="BT799" s="338" t="s">
        <v>2518</v>
      </c>
      <c r="BU799" s="338" t="s">
        <v>2518</v>
      </c>
      <c r="BV799" s="338" t="s">
        <v>2518</v>
      </c>
      <c r="BW799" s="338"/>
      <c r="BX799" s="338" t="s">
        <v>6</v>
      </c>
      <c r="BY799" s="338" t="s">
        <v>7</v>
      </c>
      <c r="BZ799" s="338" t="s">
        <v>2518</v>
      </c>
      <c r="CA799"/>
      <c r="CB799" s="338" t="s">
        <v>5</v>
      </c>
      <c r="CC799" s="338">
        <v>19205.497050211688</v>
      </c>
      <c r="CD799" s="338">
        <v>6724044.9145448338</v>
      </c>
      <c r="CE799" s="313" t="s">
        <v>11891</v>
      </c>
    </row>
    <row r="800" spans="1:83" ht="15" x14ac:dyDescent="0.25">
      <c r="A800" s="338" t="s">
        <v>51</v>
      </c>
      <c r="B800" s="338" t="s">
        <v>52</v>
      </c>
      <c r="C800" s="338" t="s">
        <v>331</v>
      </c>
      <c r="D800" s="338">
        <v>6</v>
      </c>
      <c r="E800" s="338" t="s">
        <v>259</v>
      </c>
      <c r="F800" s="338" t="s">
        <v>53</v>
      </c>
      <c r="G800" s="338" t="s">
        <v>332</v>
      </c>
      <c r="H800" s="338" t="s">
        <v>333</v>
      </c>
      <c r="I800" s="338" t="s">
        <v>334</v>
      </c>
      <c r="J800" s="338" t="s">
        <v>335</v>
      </c>
      <c r="K800" s="338" t="s">
        <v>328</v>
      </c>
      <c r="L800" s="338">
        <v>797.90509033203125</v>
      </c>
      <c r="M800" s="338" t="s">
        <v>6</v>
      </c>
      <c r="N800" s="338" t="s">
        <v>5</v>
      </c>
      <c r="O800" s="338" t="s">
        <v>6</v>
      </c>
      <c r="P800" s="338" t="s">
        <v>5</v>
      </c>
      <c r="Q800" s="338" t="s">
        <v>5</v>
      </c>
      <c r="R800" s="338" t="s">
        <v>336</v>
      </c>
      <c r="S800" s="338" t="s">
        <v>337</v>
      </c>
      <c r="T800" s="338" t="s">
        <v>5</v>
      </c>
      <c r="U800" s="338" t="s">
        <v>50</v>
      </c>
      <c r="V800" s="338">
        <v>50000</v>
      </c>
      <c r="W800" s="338">
        <v>2500</v>
      </c>
      <c r="X800" s="338" t="s">
        <v>6</v>
      </c>
      <c r="Y800" s="338" t="s">
        <v>302</v>
      </c>
      <c r="Z800" s="338">
        <v>25000</v>
      </c>
      <c r="AA800" s="338">
        <v>61.2142333984375</v>
      </c>
      <c r="AB800" s="338">
        <v>10.474574089050289</v>
      </c>
      <c r="AC800" s="338">
        <v>0</v>
      </c>
      <c r="AD800" s="338">
        <v>505</v>
      </c>
      <c r="AE800" s="338">
        <v>234</v>
      </c>
      <c r="AF800" s="338">
        <v>437</v>
      </c>
      <c r="AG800" s="338">
        <v>266</v>
      </c>
      <c r="AH800" s="338">
        <v>545</v>
      </c>
      <c r="AI800" s="338">
        <v>545</v>
      </c>
      <c r="AJ800" s="338">
        <v>1</v>
      </c>
      <c r="AK800" s="338">
        <v>2</v>
      </c>
      <c r="AL800" s="338">
        <v>25</v>
      </c>
      <c r="AM800" s="338">
        <v>2</v>
      </c>
      <c r="AN800" s="338">
        <v>180.4662780761719</v>
      </c>
      <c r="AO800" s="338"/>
      <c r="AP800" s="338"/>
      <c r="AQ800" s="338"/>
      <c r="AR800" s="338"/>
      <c r="AS800" s="338"/>
      <c r="AT800" s="338"/>
      <c r="AU800" s="338"/>
      <c r="AV800" s="338"/>
      <c r="AW800" s="338"/>
      <c r="AX800" s="338"/>
      <c r="AY800" s="338"/>
      <c r="AZ800" s="338"/>
      <c r="BA800" s="338"/>
      <c r="BB800" s="338"/>
      <c r="BC800" s="338"/>
      <c r="BD800" s="338"/>
      <c r="BE800" s="338"/>
      <c r="BF800" s="338"/>
      <c r="BG800" s="338" t="s">
        <v>5</v>
      </c>
      <c r="BH800" s="338"/>
      <c r="BI800" s="338"/>
      <c r="BJ800" s="338" t="s">
        <v>5</v>
      </c>
      <c r="BK800" s="338"/>
      <c r="BL800" s="338">
        <v>0</v>
      </c>
      <c r="BM800" s="338"/>
      <c r="BN800" s="338" t="s">
        <v>5</v>
      </c>
      <c r="BO800" s="338" t="s">
        <v>2518</v>
      </c>
      <c r="BP800" s="338" t="s">
        <v>2518</v>
      </c>
      <c r="BQ800" s="338" t="s">
        <v>2518</v>
      </c>
      <c r="BR800" s="338"/>
      <c r="BS800" s="338" t="s">
        <v>6</v>
      </c>
      <c r="BT800" s="338" t="s">
        <v>2518</v>
      </c>
      <c r="BU800" s="338" t="s">
        <v>2518</v>
      </c>
      <c r="BV800" s="338" t="s">
        <v>2518</v>
      </c>
      <c r="BW800" s="338"/>
      <c r="BX800" s="338" t="s">
        <v>6</v>
      </c>
      <c r="BY800" s="338" t="s">
        <v>7</v>
      </c>
      <c r="BZ800" s="338" t="s">
        <v>2518</v>
      </c>
      <c r="CA800"/>
      <c r="CB800" s="338" t="s">
        <v>5</v>
      </c>
      <c r="CC800" s="338">
        <v>220968.77979858479</v>
      </c>
      <c r="CD800" s="338">
        <v>2066564658.998759</v>
      </c>
      <c r="CE800" s="313" t="s">
        <v>11891</v>
      </c>
    </row>
    <row r="801" spans="1:83" ht="15" x14ac:dyDescent="0.25">
      <c r="A801" s="338" t="s">
        <v>57</v>
      </c>
      <c r="B801" s="338" t="s">
        <v>58</v>
      </c>
      <c r="C801" s="338" t="s">
        <v>59</v>
      </c>
      <c r="D801" s="338">
        <v>6</v>
      </c>
      <c r="E801" s="338" t="s">
        <v>259</v>
      </c>
      <c r="F801" s="338" t="s">
        <v>339</v>
      </c>
      <c r="G801" s="338" t="s">
        <v>39</v>
      </c>
      <c r="H801" s="338" t="s">
        <v>276</v>
      </c>
      <c r="I801" s="338" t="s">
        <v>277</v>
      </c>
      <c r="J801" s="338" t="s">
        <v>278</v>
      </c>
      <c r="K801" s="338" t="s">
        <v>289</v>
      </c>
      <c r="L801" s="338">
        <v>664.95562744140625</v>
      </c>
      <c r="M801" s="338" t="s">
        <v>6</v>
      </c>
      <c r="N801" s="338" t="s">
        <v>6</v>
      </c>
      <c r="O801" s="338" t="s">
        <v>6</v>
      </c>
      <c r="P801" s="338" t="s">
        <v>5</v>
      </c>
      <c r="Q801" s="338" t="s">
        <v>5</v>
      </c>
      <c r="R801" s="338" t="s">
        <v>267</v>
      </c>
      <c r="S801" s="338" t="s">
        <v>267</v>
      </c>
      <c r="T801" s="338" t="s">
        <v>5</v>
      </c>
      <c r="U801" s="338" t="s">
        <v>13</v>
      </c>
      <c r="V801" s="338">
        <v>50000</v>
      </c>
      <c r="W801" s="338">
        <v>2500</v>
      </c>
      <c r="X801" s="338" t="s">
        <v>6</v>
      </c>
      <c r="Y801" s="338"/>
      <c r="Z801" s="338"/>
      <c r="AA801" s="338">
        <v>307.73251342773438</v>
      </c>
      <c r="AB801" s="338">
        <v>87.015762329101563</v>
      </c>
      <c r="AC801" s="338">
        <v>0</v>
      </c>
      <c r="AD801" s="338">
        <v>48564</v>
      </c>
      <c r="AE801" s="338">
        <v>48543</v>
      </c>
      <c r="AF801" s="338">
        <v>42182</v>
      </c>
      <c r="AG801" s="338">
        <v>99957</v>
      </c>
      <c r="AH801" s="338">
        <v>102735</v>
      </c>
      <c r="AI801" s="338">
        <v>102735</v>
      </c>
      <c r="AJ801" s="338">
        <v>680</v>
      </c>
      <c r="AK801" s="338">
        <v>30</v>
      </c>
      <c r="AL801" s="338">
        <v>910</v>
      </c>
      <c r="AM801" s="338">
        <v>30</v>
      </c>
      <c r="AN801" s="338">
        <v>3414.6865234375</v>
      </c>
      <c r="AO801" s="338"/>
      <c r="AP801" s="338"/>
      <c r="AQ801" s="338"/>
      <c r="AR801" s="338"/>
      <c r="AS801" s="338"/>
      <c r="AT801" s="338"/>
      <c r="AU801" s="338"/>
      <c r="AV801" s="338"/>
      <c r="AW801" s="338"/>
      <c r="AX801" s="338"/>
      <c r="AY801" s="338"/>
      <c r="AZ801" s="338"/>
      <c r="BA801" s="338"/>
      <c r="BB801" s="338"/>
      <c r="BC801" s="338"/>
      <c r="BD801" s="338"/>
      <c r="BE801" s="338"/>
      <c r="BF801" s="338" t="s">
        <v>291</v>
      </c>
      <c r="BG801" s="338" t="s">
        <v>5</v>
      </c>
      <c r="BH801" s="338"/>
      <c r="BI801" s="338"/>
      <c r="BJ801" s="338" t="s">
        <v>5</v>
      </c>
      <c r="BK801" s="338"/>
      <c r="BL801" s="338">
        <v>0</v>
      </c>
      <c r="BM801" s="338"/>
      <c r="BN801" s="338" t="s">
        <v>5</v>
      </c>
      <c r="BO801" s="338" t="s">
        <v>2518</v>
      </c>
      <c r="BP801" s="338" t="s">
        <v>2518</v>
      </c>
      <c r="BQ801" s="338" t="s">
        <v>2518</v>
      </c>
      <c r="BR801" s="338"/>
      <c r="BS801" s="338" t="s">
        <v>6</v>
      </c>
      <c r="BT801" s="338" t="s">
        <v>2518</v>
      </c>
      <c r="BU801" s="338" t="s">
        <v>2518</v>
      </c>
      <c r="BV801" s="338" t="s">
        <v>2518</v>
      </c>
      <c r="BW801" s="338"/>
      <c r="BX801" s="338" t="s">
        <v>6</v>
      </c>
      <c r="BY801" s="338" t="s">
        <v>7</v>
      </c>
      <c r="BZ801" s="338" t="s">
        <v>2518</v>
      </c>
      <c r="CA801"/>
      <c r="CB801" s="338" t="s">
        <v>5</v>
      </c>
      <c r="CC801" s="338">
        <v>287127.09066377528</v>
      </c>
      <c r="CD801" s="338">
        <v>1722227224.1045229</v>
      </c>
      <c r="CE801" s="313" t="s">
        <v>11891</v>
      </c>
    </row>
    <row r="802" spans="1:83" ht="15" x14ac:dyDescent="0.25">
      <c r="A802" s="338" t="s">
        <v>4827</v>
      </c>
      <c r="B802" s="338" t="s">
        <v>4828</v>
      </c>
      <c r="C802" s="338" t="s">
        <v>4829</v>
      </c>
      <c r="D802" s="338">
        <v>4</v>
      </c>
      <c r="E802" s="338" t="s">
        <v>2512</v>
      </c>
      <c r="F802" s="338" t="s">
        <v>4736</v>
      </c>
      <c r="G802" s="338" t="s">
        <v>2537</v>
      </c>
      <c r="H802" s="338" t="s">
        <v>4824</v>
      </c>
      <c r="I802" s="338" t="s">
        <v>4825</v>
      </c>
      <c r="J802" s="338" t="s">
        <v>4826</v>
      </c>
      <c r="K802" s="338" t="s">
        <v>4761</v>
      </c>
      <c r="L802" s="338">
        <v>55.714336395263672</v>
      </c>
      <c r="M802" s="338" t="s">
        <v>6</v>
      </c>
      <c r="N802" s="338" t="s">
        <v>5</v>
      </c>
      <c r="O802" s="338" t="s">
        <v>5</v>
      </c>
      <c r="P802" s="338" t="s">
        <v>5</v>
      </c>
      <c r="Q802" s="338" t="s">
        <v>5</v>
      </c>
      <c r="R802" s="338" t="s">
        <v>4737</v>
      </c>
      <c r="S802" s="338" t="s">
        <v>4737</v>
      </c>
      <c r="T802" s="338" t="s">
        <v>5</v>
      </c>
      <c r="U802" s="338" t="s">
        <v>50</v>
      </c>
      <c r="V802" s="338">
        <v>2000</v>
      </c>
      <c r="W802" s="338">
        <v>2000</v>
      </c>
      <c r="X802" s="338" t="s">
        <v>6</v>
      </c>
      <c r="Y802" s="338"/>
      <c r="Z802" s="338">
        <v>0</v>
      </c>
      <c r="AA802" s="338">
        <v>17.052947998046879</v>
      </c>
      <c r="AB802" s="338">
        <v>2.191315889358521</v>
      </c>
      <c r="AC802" s="338">
        <v>0</v>
      </c>
      <c r="AD802" s="338">
        <v>1379</v>
      </c>
      <c r="AE802" s="338">
        <v>419</v>
      </c>
      <c r="AF802" s="338">
        <v>1024</v>
      </c>
      <c r="AG802" s="338">
        <v>10126</v>
      </c>
      <c r="AH802" s="338">
        <v>3757</v>
      </c>
      <c r="AI802" s="338">
        <v>10126</v>
      </c>
      <c r="AJ802" s="338">
        <v>9</v>
      </c>
      <c r="AK802" s="338">
        <v>0</v>
      </c>
      <c r="AL802" s="338">
        <v>41</v>
      </c>
      <c r="AM802" s="338">
        <v>0</v>
      </c>
      <c r="AN802" s="338">
        <v>294.66531372070313</v>
      </c>
      <c r="AO802" s="338"/>
      <c r="AP802" s="338"/>
      <c r="AQ802" s="338"/>
      <c r="AR802" s="338">
        <v>0</v>
      </c>
      <c r="AS802" s="338">
        <v>0</v>
      </c>
      <c r="AT802" s="338">
        <v>0</v>
      </c>
      <c r="AU802" s="338">
        <v>0</v>
      </c>
      <c r="AV802" s="338">
        <v>0</v>
      </c>
      <c r="AW802" s="338">
        <v>0</v>
      </c>
      <c r="AX802" s="338">
        <v>0</v>
      </c>
      <c r="AY802" s="338">
        <v>0</v>
      </c>
      <c r="AZ802" s="338">
        <v>0</v>
      </c>
      <c r="BA802" s="338">
        <v>0</v>
      </c>
      <c r="BB802" s="338"/>
      <c r="BC802" s="338"/>
      <c r="BD802" s="338"/>
      <c r="BE802" s="338">
        <v>0</v>
      </c>
      <c r="BF802" s="338" t="s">
        <v>2516</v>
      </c>
      <c r="BG802" s="338" t="s">
        <v>5</v>
      </c>
      <c r="BH802" s="338" t="s">
        <v>1020</v>
      </c>
      <c r="BI802" s="338" t="s">
        <v>2517</v>
      </c>
      <c r="BJ802" s="338" t="s">
        <v>5</v>
      </c>
      <c r="BK802" s="338" t="s">
        <v>1100</v>
      </c>
      <c r="BL802" s="338">
        <v>0</v>
      </c>
      <c r="BM802" s="338"/>
      <c r="BN802" s="338" t="s">
        <v>5</v>
      </c>
      <c r="BO802" s="338" t="s">
        <v>2518</v>
      </c>
      <c r="BP802" s="338" t="s">
        <v>2518</v>
      </c>
      <c r="BQ802" s="338" t="s">
        <v>2518</v>
      </c>
      <c r="BR802" s="338" t="s">
        <v>2518</v>
      </c>
      <c r="BS802" s="338" t="s">
        <v>6</v>
      </c>
      <c r="BT802" s="338" t="s">
        <v>2518</v>
      </c>
      <c r="BU802" s="338" t="s">
        <v>2518</v>
      </c>
      <c r="BV802" s="338" t="s">
        <v>2518</v>
      </c>
      <c r="BW802" s="338" t="s">
        <v>1100</v>
      </c>
      <c r="BX802" s="338" t="s">
        <v>6</v>
      </c>
      <c r="BY802" s="338" t="s">
        <v>2519</v>
      </c>
      <c r="BZ802" s="338"/>
      <c r="CA802"/>
      <c r="CB802" s="338" t="s">
        <v>5</v>
      </c>
      <c r="CC802" s="338">
        <v>95009.265056235134</v>
      </c>
      <c r="CD802" s="338">
        <v>144299464.57571331</v>
      </c>
      <c r="CE802" s="313" t="s">
        <v>11891</v>
      </c>
    </row>
    <row r="803" spans="1:83" ht="15" x14ac:dyDescent="0.25">
      <c r="A803" s="338" t="s">
        <v>12416</v>
      </c>
      <c r="B803" s="338" t="s">
        <v>12417</v>
      </c>
      <c r="C803" s="338" t="s">
        <v>12377</v>
      </c>
      <c r="D803" s="338">
        <v>6</v>
      </c>
      <c r="E803" s="338" t="s">
        <v>259</v>
      </c>
      <c r="F803" s="338" t="s">
        <v>2644</v>
      </c>
      <c r="G803" s="338" t="s">
        <v>12407</v>
      </c>
      <c r="H803" s="338" t="s">
        <v>12408</v>
      </c>
      <c r="I803" s="338" t="s">
        <v>12409</v>
      </c>
      <c r="J803" s="338" t="s">
        <v>12410</v>
      </c>
      <c r="K803" s="338" t="s">
        <v>266</v>
      </c>
      <c r="L803" s="338">
        <v>53.587665557861328</v>
      </c>
      <c r="M803" s="338" t="s">
        <v>6</v>
      </c>
      <c r="N803" s="338" t="s">
        <v>6</v>
      </c>
      <c r="O803" s="338" t="s">
        <v>5</v>
      </c>
      <c r="P803" s="338" t="s">
        <v>5</v>
      </c>
      <c r="Q803" s="338" t="s">
        <v>5</v>
      </c>
      <c r="R803" s="338" t="s">
        <v>2649</v>
      </c>
      <c r="S803" s="338" t="s">
        <v>12411</v>
      </c>
      <c r="T803" s="338" t="s">
        <v>5</v>
      </c>
      <c r="U803" s="338" t="s">
        <v>50</v>
      </c>
      <c r="V803" s="338">
        <v>36000</v>
      </c>
      <c r="W803" s="338">
        <v>1800</v>
      </c>
      <c r="X803" s="338" t="s">
        <v>6</v>
      </c>
      <c r="Y803" s="338"/>
      <c r="Z803" s="338"/>
      <c r="AA803" s="338">
        <v>9.8893566131591797</v>
      </c>
      <c r="AB803" s="338">
        <v>4.5800600051879883</v>
      </c>
      <c r="AC803" s="338">
        <v>0</v>
      </c>
      <c r="AD803" s="338">
        <v>146</v>
      </c>
      <c r="AE803" s="338">
        <v>458</v>
      </c>
      <c r="AF803" s="338">
        <v>54</v>
      </c>
      <c r="AG803" s="338">
        <v>696</v>
      </c>
      <c r="AH803" s="338">
        <v>123</v>
      </c>
      <c r="AI803" s="338">
        <v>775</v>
      </c>
      <c r="AJ803" s="338">
        <v>0</v>
      </c>
      <c r="AK803" s="338">
        <v>0</v>
      </c>
      <c r="AL803" s="338">
        <v>7</v>
      </c>
      <c r="AM803" s="338">
        <v>0</v>
      </c>
      <c r="AN803" s="338">
        <v>353.7679443359375</v>
      </c>
      <c r="AO803" s="338"/>
      <c r="AP803" s="338"/>
      <c r="AQ803" s="338"/>
      <c r="AR803" s="338"/>
      <c r="AS803" s="338"/>
      <c r="AT803" s="338"/>
      <c r="AU803" s="338"/>
      <c r="AV803" s="338"/>
      <c r="AW803" s="338"/>
      <c r="AX803" s="338"/>
      <c r="AY803" s="338"/>
      <c r="AZ803" s="338"/>
      <c r="BA803" s="338"/>
      <c r="BB803" s="338"/>
      <c r="BC803" s="338"/>
      <c r="BD803" s="338"/>
      <c r="BE803" s="338"/>
      <c r="BF803" s="338"/>
      <c r="BG803" s="338" t="s">
        <v>5</v>
      </c>
      <c r="BH803" s="338"/>
      <c r="BI803" s="338"/>
      <c r="BJ803" s="338" t="s">
        <v>5</v>
      </c>
      <c r="BK803" s="338"/>
      <c r="BL803" s="338">
        <v>0</v>
      </c>
      <c r="BM803" s="338"/>
      <c r="BN803" s="338" t="s">
        <v>6</v>
      </c>
      <c r="BO803" s="338" t="s">
        <v>2518</v>
      </c>
      <c r="BP803" s="338" t="s">
        <v>2518</v>
      </c>
      <c r="BQ803" s="338" t="s">
        <v>12375</v>
      </c>
      <c r="BR803" s="338"/>
      <c r="BS803" s="338" t="s">
        <v>6</v>
      </c>
      <c r="BT803" s="338" t="s">
        <v>2518</v>
      </c>
      <c r="BU803" s="338" t="s">
        <v>2518</v>
      </c>
      <c r="BV803" s="338" t="s">
        <v>2518</v>
      </c>
      <c r="BW803" s="338"/>
      <c r="BX803" s="338" t="s">
        <v>6</v>
      </c>
      <c r="BY803" s="338" t="s">
        <v>12412</v>
      </c>
      <c r="BZ803" s="338" t="s">
        <v>2518</v>
      </c>
      <c r="CA803"/>
      <c r="CB803" s="338" t="s">
        <v>5</v>
      </c>
      <c r="CC803" s="338">
        <v>99525.004158167096</v>
      </c>
      <c r="CD803" s="338">
        <v>138791976.74950919</v>
      </c>
      <c r="CE803" s="313" t="s">
        <v>11902</v>
      </c>
    </row>
    <row r="804" spans="1:83" ht="15" x14ac:dyDescent="0.25">
      <c r="A804" s="338" t="s">
        <v>93</v>
      </c>
      <c r="B804" s="338" t="s">
        <v>94</v>
      </c>
      <c r="C804" s="338" t="s">
        <v>95</v>
      </c>
      <c r="D804" s="338">
        <v>6</v>
      </c>
      <c r="E804" s="338" t="s">
        <v>259</v>
      </c>
      <c r="F804" s="338" t="s">
        <v>46</v>
      </c>
      <c r="G804" s="338" t="s">
        <v>39</v>
      </c>
      <c r="H804" s="338" t="s">
        <v>264</v>
      </c>
      <c r="I804" s="338" t="s">
        <v>89</v>
      </c>
      <c r="J804" s="338" t="s">
        <v>265</v>
      </c>
      <c r="K804" s="338" t="s">
        <v>292</v>
      </c>
      <c r="L804" s="338">
        <v>0.44475564360618591</v>
      </c>
      <c r="M804" s="338" t="s">
        <v>6</v>
      </c>
      <c r="N804" s="338" t="s">
        <v>6</v>
      </c>
      <c r="O804" s="338" t="s">
        <v>6</v>
      </c>
      <c r="P804" s="338" t="s">
        <v>5</v>
      </c>
      <c r="Q804" s="338" t="s">
        <v>5</v>
      </c>
      <c r="R804" s="338" t="s">
        <v>312</v>
      </c>
      <c r="S804" s="338" t="s">
        <v>312</v>
      </c>
      <c r="T804" s="338" t="s">
        <v>5</v>
      </c>
      <c r="U804" s="338" t="s">
        <v>28</v>
      </c>
      <c r="V804" s="338">
        <v>35000</v>
      </c>
      <c r="W804" s="338">
        <v>1750</v>
      </c>
      <c r="X804" s="338" t="s">
        <v>6</v>
      </c>
      <c r="Y804" s="338"/>
      <c r="Z804" s="338"/>
      <c r="AA804" s="338">
        <v>0.44475600123405462</v>
      </c>
      <c r="AB804" s="338">
        <v>0</v>
      </c>
      <c r="AC804" s="338">
        <v>0</v>
      </c>
      <c r="AD804" s="338">
        <v>1121</v>
      </c>
      <c r="AE804" s="338">
        <v>0</v>
      </c>
      <c r="AF804" s="338">
        <v>1095</v>
      </c>
      <c r="AG804" s="338">
        <v>230</v>
      </c>
      <c r="AH804" s="338">
        <v>1476</v>
      </c>
      <c r="AI804" s="338">
        <v>1476</v>
      </c>
      <c r="AJ804" s="338">
        <v>3</v>
      </c>
      <c r="AK804" s="338">
        <v>0</v>
      </c>
      <c r="AL804" s="338">
        <v>8</v>
      </c>
      <c r="AM804" s="338">
        <v>0</v>
      </c>
      <c r="AN804" s="338">
        <v>0</v>
      </c>
      <c r="AO804" s="338"/>
      <c r="AP804" s="338"/>
      <c r="AQ804" s="338"/>
      <c r="AR804" s="338"/>
      <c r="AS804" s="338"/>
      <c r="AT804" s="338"/>
      <c r="AU804" s="338"/>
      <c r="AV804" s="338"/>
      <c r="AW804" s="338"/>
      <c r="AX804" s="338"/>
      <c r="AY804" s="338"/>
      <c r="AZ804" s="338"/>
      <c r="BA804" s="338"/>
      <c r="BB804" s="338"/>
      <c r="BC804" s="338"/>
      <c r="BD804" s="338"/>
      <c r="BE804" s="338"/>
      <c r="BF804" s="338"/>
      <c r="BG804" s="338" t="s">
        <v>5</v>
      </c>
      <c r="BH804" s="338"/>
      <c r="BI804" s="338"/>
      <c r="BJ804" s="338" t="s">
        <v>5</v>
      </c>
      <c r="BK804" s="338"/>
      <c r="BL804" s="338">
        <v>0</v>
      </c>
      <c r="BM804" s="338"/>
      <c r="BN804" s="338" t="s">
        <v>5</v>
      </c>
      <c r="BO804" s="338" t="s">
        <v>2518</v>
      </c>
      <c r="BP804" s="338" t="s">
        <v>2518</v>
      </c>
      <c r="BQ804" s="338" t="s">
        <v>2518</v>
      </c>
      <c r="BR804" s="338"/>
      <c r="BS804" s="338" t="s">
        <v>6</v>
      </c>
      <c r="BT804" s="338" t="s">
        <v>2518</v>
      </c>
      <c r="BU804" s="338" t="s">
        <v>2518</v>
      </c>
      <c r="BV804" s="338" t="s">
        <v>2518</v>
      </c>
      <c r="BW804" s="338"/>
      <c r="BX804" s="338" t="s">
        <v>6</v>
      </c>
      <c r="BY804" s="338" t="s">
        <v>7</v>
      </c>
      <c r="BZ804" s="338" t="s">
        <v>2518</v>
      </c>
      <c r="CA804"/>
      <c r="CB804" s="338" t="s">
        <v>5</v>
      </c>
      <c r="CC804" s="338">
        <v>4323.2201412009599</v>
      </c>
      <c r="CD804" s="338">
        <v>1151911.80098374</v>
      </c>
      <c r="CE804" s="313" t="s">
        <v>11891</v>
      </c>
    </row>
    <row r="805" spans="1:83" ht="15" x14ac:dyDescent="0.25">
      <c r="A805" s="338" t="s">
        <v>35</v>
      </c>
      <c r="B805" s="338" t="s">
        <v>36</v>
      </c>
      <c r="C805" s="338" t="s">
        <v>37</v>
      </c>
      <c r="D805" s="338">
        <v>6</v>
      </c>
      <c r="E805" s="338" t="s">
        <v>259</v>
      </c>
      <c r="F805" s="338" t="s">
        <v>38</v>
      </c>
      <c r="G805" s="338" t="s">
        <v>39</v>
      </c>
      <c r="H805" s="338" t="s">
        <v>308</v>
      </c>
      <c r="I805" s="338" t="s">
        <v>309</v>
      </c>
      <c r="J805" s="338" t="s">
        <v>310</v>
      </c>
      <c r="K805" s="338" t="s">
        <v>21</v>
      </c>
      <c r="L805" s="338">
        <v>15.74357986450195</v>
      </c>
      <c r="M805" s="338" t="s">
        <v>6</v>
      </c>
      <c r="N805" s="338" t="s">
        <v>5</v>
      </c>
      <c r="O805" s="338" t="s">
        <v>6</v>
      </c>
      <c r="P805" s="338" t="s">
        <v>5</v>
      </c>
      <c r="Q805" s="338" t="s">
        <v>5</v>
      </c>
      <c r="R805" s="338" t="s">
        <v>280</v>
      </c>
      <c r="S805" s="338" t="s">
        <v>311</v>
      </c>
      <c r="T805" s="338" t="s">
        <v>5</v>
      </c>
      <c r="U805" s="338" t="s">
        <v>4</v>
      </c>
      <c r="V805" s="338">
        <v>25000</v>
      </c>
      <c r="W805" s="338">
        <v>1250</v>
      </c>
      <c r="X805" s="338" t="s">
        <v>6</v>
      </c>
      <c r="Y805" s="338" t="s">
        <v>2471</v>
      </c>
      <c r="Z805" s="338">
        <v>25000</v>
      </c>
      <c r="AA805" s="338">
        <v>7.5340518951416016</v>
      </c>
      <c r="AB805" s="338">
        <v>0.63395202159881592</v>
      </c>
      <c r="AC805" s="338">
        <v>0</v>
      </c>
      <c r="AD805" s="338">
        <v>3428</v>
      </c>
      <c r="AE805" s="338">
        <v>620</v>
      </c>
      <c r="AF805" s="338">
        <v>2588</v>
      </c>
      <c r="AG805" s="338">
        <v>15209</v>
      </c>
      <c r="AH805" s="338">
        <v>8678</v>
      </c>
      <c r="AI805" s="338">
        <v>15209</v>
      </c>
      <c r="AJ805" s="338">
        <v>18</v>
      </c>
      <c r="AK805" s="338">
        <v>0</v>
      </c>
      <c r="AL805" s="338">
        <v>52</v>
      </c>
      <c r="AM805" s="338">
        <v>0</v>
      </c>
      <c r="AN805" s="338">
        <v>176.133544921875</v>
      </c>
      <c r="AO805" s="338"/>
      <c r="AP805" s="338"/>
      <c r="AQ805" s="338"/>
      <c r="AR805" s="338"/>
      <c r="AS805" s="338"/>
      <c r="AT805" s="338"/>
      <c r="AU805" s="338"/>
      <c r="AV805" s="338"/>
      <c r="AW805" s="338"/>
      <c r="AX805" s="338"/>
      <c r="AY805" s="338"/>
      <c r="AZ805" s="338"/>
      <c r="BA805" s="338"/>
      <c r="BB805" s="338"/>
      <c r="BC805" s="338"/>
      <c r="BD805" s="338"/>
      <c r="BE805" s="338"/>
      <c r="BF805" s="338"/>
      <c r="BG805" s="338" t="s">
        <v>5</v>
      </c>
      <c r="BH805" s="338"/>
      <c r="BI805" s="338"/>
      <c r="BJ805" s="338" t="s">
        <v>5</v>
      </c>
      <c r="BK805" s="338"/>
      <c r="BL805" s="338">
        <v>0</v>
      </c>
      <c r="BM805" s="338"/>
      <c r="BN805" s="338" t="s">
        <v>5</v>
      </c>
      <c r="BO805" s="338" t="s">
        <v>2518</v>
      </c>
      <c r="BP805" s="338" t="s">
        <v>2518</v>
      </c>
      <c r="BQ805" s="338" t="s">
        <v>2518</v>
      </c>
      <c r="BR805" s="338"/>
      <c r="BS805" s="338" t="s">
        <v>6</v>
      </c>
      <c r="BT805" s="338" t="s">
        <v>2518</v>
      </c>
      <c r="BU805" s="338" t="s">
        <v>2518</v>
      </c>
      <c r="BV805" s="338" t="s">
        <v>2518</v>
      </c>
      <c r="BW805" s="338"/>
      <c r="BX805" s="338" t="s">
        <v>6</v>
      </c>
      <c r="BY805" s="338" t="s">
        <v>7</v>
      </c>
      <c r="BZ805" s="338" t="s">
        <v>2518</v>
      </c>
      <c r="CA805"/>
      <c r="CB805" s="338" t="s">
        <v>5</v>
      </c>
      <c r="CC805" s="338">
        <v>69171.754201106174</v>
      </c>
      <c r="CD805" s="338">
        <v>40775685.124777801</v>
      </c>
      <c r="CE805" s="313" t="s">
        <v>11891</v>
      </c>
    </row>
    <row r="806" spans="1:83" ht="15" x14ac:dyDescent="0.25">
      <c r="A806" s="338" t="s">
        <v>86</v>
      </c>
      <c r="B806" s="338" t="s">
        <v>87</v>
      </c>
      <c r="C806" s="338" t="s">
        <v>88</v>
      </c>
      <c r="D806" s="338">
        <v>6</v>
      </c>
      <c r="E806" s="338" t="s">
        <v>259</v>
      </c>
      <c r="F806" s="338" t="s">
        <v>46</v>
      </c>
      <c r="G806" s="338" t="s">
        <v>39</v>
      </c>
      <c r="H806" s="338" t="s">
        <v>264</v>
      </c>
      <c r="I806" s="338" t="s">
        <v>89</v>
      </c>
      <c r="J806" s="338" t="s">
        <v>265</v>
      </c>
      <c r="K806" s="338" t="s">
        <v>279</v>
      </c>
      <c r="L806" s="338">
        <v>0.4437534511089325</v>
      </c>
      <c r="M806" s="338" t="s">
        <v>6</v>
      </c>
      <c r="N806" s="338" t="s">
        <v>6</v>
      </c>
      <c r="O806" s="338" t="s">
        <v>6</v>
      </c>
      <c r="P806" s="338" t="s">
        <v>5</v>
      </c>
      <c r="Q806" s="338" t="s">
        <v>5</v>
      </c>
      <c r="R806" s="338" t="s">
        <v>312</v>
      </c>
      <c r="S806" s="338" t="s">
        <v>312</v>
      </c>
      <c r="T806" s="338" t="s">
        <v>5</v>
      </c>
      <c r="U806" s="338" t="s">
        <v>50</v>
      </c>
      <c r="V806" s="338">
        <v>25000</v>
      </c>
      <c r="W806" s="338">
        <v>1250</v>
      </c>
      <c r="X806" s="338" t="s">
        <v>6</v>
      </c>
      <c r="Y806" s="338"/>
      <c r="Z806" s="338"/>
      <c r="AA806" s="338">
        <v>0.44375300407409668</v>
      </c>
      <c r="AB806" s="338">
        <v>0</v>
      </c>
      <c r="AC806" s="338">
        <v>0</v>
      </c>
      <c r="AD806" s="338">
        <v>1121</v>
      </c>
      <c r="AE806" s="338">
        <v>0</v>
      </c>
      <c r="AF806" s="338">
        <v>1095</v>
      </c>
      <c r="AG806" s="338">
        <v>230</v>
      </c>
      <c r="AH806" s="338">
        <v>1476</v>
      </c>
      <c r="AI806" s="338">
        <v>1476</v>
      </c>
      <c r="AJ806" s="338">
        <v>3</v>
      </c>
      <c r="AK806" s="338">
        <v>0</v>
      </c>
      <c r="AL806" s="338">
        <v>8</v>
      </c>
      <c r="AM806" s="338">
        <v>0</v>
      </c>
      <c r="AN806" s="338">
        <v>0</v>
      </c>
      <c r="AO806" s="338"/>
      <c r="AP806" s="338"/>
      <c r="AQ806" s="338"/>
      <c r="AR806" s="338"/>
      <c r="AS806" s="338"/>
      <c r="AT806" s="338"/>
      <c r="AU806" s="338"/>
      <c r="AV806" s="338"/>
      <c r="AW806" s="338"/>
      <c r="AX806" s="338"/>
      <c r="AY806" s="338"/>
      <c r="AZ806" s="338"/>
      <c r="BA806" s="338"/>
      <c r="BB806" s="338"/>
      <c r="BC806" s="338"/>
      <c r="BD806" s="338"/>
      <c r="BE806" s="338"/>
      <c r="BF806" s="338"/>
      <c r="BG806" s="338" t="s">
        <v>5</v>
      </c>
      <c r="BH806" s="338"/>
      <c r="BI806" s="338"/>
      <c r="BJ806" s="338" t="s">
        <v>5</v>
      </c>
      <c r="BK806" s="338"/>
      <c r="BL806" s="338">
        <v>0</v>
      </c>
      <c r="BM806" s="338"/>
      <c r="BN806" s="338" t="s">
        <v>5</v>
      </c>
      <c r="BO806" s="338" t="s">
        <v>2518</v>
      </c>
      <c r="BP806" s="338" t="s">
        <v>2518</v>
      </c>
      <c r="BQ806" s="338" t="s">
        <v>2518</v>
      </c>
      <c r="BR806" s="338"/>
      <c r="BS806" s="338" t="s">
        <v>6</v>
      </c>
      <c r="BT806" s="338" t="s">
        <v>2518</v>
      </c>
      <c r="BU806" s="338" t="s">
        <v>2518</v>
      </c>
      <c r="BV806" s="338" t="s">
        <v>2518</v>
      </c>
      <c r="BW806" s="338"/>
      <c r="BX806" s="338" t="s">
        <v>6</v>
      </c>
      <c r="BY806" s="338" t="s">
        <v>7</v>
      </c>
      <c r="BZ806" s="338" t="s">
        <v>2518</v>
      </c>
      <c r="CA806"/>
      <c r="CB806" s="338" t="s">
        <v>5</v>
      </c>
      <c r="CC806" s="338">
        <v>4315.5508508061939</v>
      </c>
      <c r="CD806" s="338">
        <v>1149316.1322096121</v>
      </c>
      <c r="CE806" s="313" t="s">
        <v>11891</v>
      </c>
    </row>
    <row r="807" spans="1:83" ht="15" x14ac:dyDescent="0.25">
      <c r="A807" s="338" t="s">
        <v>164</v>
      </c>
      <c r="B807" s="338" t="s">
        <v>411</v>
      </c>
      <c r="C807" s="338" t="s">
        <v>165</v>
      </c>
      <c r="D807" s="338">
        <v>6</v>
      </c>
      <c r="E807" s="338" t="s">
        <v>259</v>
      </c>
      <c r="F807" s="338" t="s">
        <v>73</v>
      </c>
      <c r="G807" s="338" t="s">
        <v>74</v>
      </c>
      <c r="H807" s="338" t="s">
        <v>317</v>
      </c>
      <c r="I807" s="338" t="s">
        <v>318</v>
      </c>
      <c r="J807" s="338" t="s">
        <v>319</v>
      </c>
      <c r="K807" s="338" t="s">
        <v>340</v>
      </c>
      <c r="L807" s="338">
        <v>2.004334688186646</v>
      </c>
      <c r="M807" s="338" t="s">
        <v>6</v>
      </c>
      <c r="N807" s="338" t="s">
        <v>5</v>
      </c>
      <c r="O807" s="338" t="s">
        <v>6</v>
      </c>
      <c r="P807" s="338" t="s">
        <v>5</v>
      </c>
      <c r="Q807" s="338" t="s">
        <v>5</v>
      </c>
      <c r="R807" s="338" t="s">
        <v>320</v>
      </c>
      <c r="S807" s="338" t="s">
        <v>373</v>
      </c>
      <c r="T807" s="338" t="s">
        <v>6</v>
      </c>
      <c r="U807" s="338" t="s">
        <v>85</v>
      </c>
      <c r="V807" s="338">
        <v>25000</v>
      </c>
      <c r="W807" s="338">
        <v>1250</v>
      </c>
      <c r="X807" s="338" t="s">
        <v>6</v>
      </c>
      <c r="Y807" s="338"/>
      <c r="Z807" s="338"/>
      <c r="AA807" s="338">
        <v>0.33282899856567377</v>
      </c>
      <c r="AB807" s="338">
        <v>0</v>
      </c>
      <c r="AC807" s="338">
        <v>0</v>
      </c>
      <c r="AD807" s="338">
        <v>17</v>
      </c>
      <c r="AE807" s="338">
        <v>0</v>
      </c>
      <c r="AF807" s="338">
        <v>11</v>
      </c>
      <c r="AG807" s="338">
        <v>7</v>
      </c>
      <c r="AH807" s="338">
        <v>16</v>
      </c>
      <c r="AI807" s="338">
        <v>16</v>
      </c>
      <c r="AJ807" s="338">
        <v>0</v>
      </c>
      <c r="AK807" s="338">
        <v>0</v>
      </c>
      <c r="AL807" s="338">
        <v>0</v>
      </c>
      <c r="AM807" s="338">
        <v>0</v>
      </c>
      <c r="AN807" s="338">
        <v>1.11601197719574</v>
      </c>
      <c r="AO807" s="338"/>
      <c r="AP807" s="338"/>
      <c r="AQ807" s="338"/>
      <c r="AR807" s="338"/>
      <c r="AS807" s="338"/>
      <c r="AT807" s="338"/>
      <c r="AU807" s="338"/>
      <c r="AV807" s="338"/>
      <c r="AW807" s="338"/>
      <c r="AX807" s="338"/>
      <c r="AY807" s="338"/>
      <c r="AZ807" s="338"/>
      <c r="BA807" s="338"/>
      <c r="BB807" s="338"/>
      <c r="BC807" s="338"/>
      <c r="BD807" s="338"/>
      <c r="BE807" s="338"/>
      <c r="BF807" s="338"/>
      <c r="BG807" s="338" t="s">
        <v>5</v>
      </c>
      <c r="BH807" s="338"/>
      <c r="BI807" s="338"/>
      <c r="BJ807" s="338" t="s">
        <v>5</v>
      </c>
      <c r="BK807" s="338"/>
      <c r="BL807" s="338">
        <v>0</v>
      </c>
      <c r="BM807" s="338"/>
      <c r="BN807" s="338" t="s">
        <v>5</v>
      </c>
      <c r="BO807" s="338" t="s">
        <v>2518</v>
      </c>
      <c r="BP807" s="338" t="s">
        <v>2518</v>
      </c>
      <c r="BQ807" s="338" t="s">
        <v>2518</v>
      </c>
      <c r="BR807" s="338"/>
      <c r="BS807" s="338" t="s">
        <v>6</v>
      </c>
      <c r="BT807" s="338" t="s">
        <v>2518</v>
      </c>
      <c r="BU807" s="338" t="s">
        <v>2518</v>
      </c>
      <c r="BV807" s="338" t="s">
        <v>2518</v>
      </c>
      <c r="BW807" s="338"/>
      <c r="BX807" s="338" t="s">
        <v>6</v>
      </c>
      <c r="BY807" s="338" t="s">
        <v>7</v>
      </c>
      <c r="BZ807" s="338" t="s">
        <v>2518</v>
      </c>
      <c r="CA807"/>
      <c r="CB807" s="338" t="s">
        <v>5</v>
      </c>
      <c r="CC807" s="338">
        <v>10056.88014798471</v>
      </c>
      <c r="CD807" s="338">
        <v>5191202.7894133059</v>
      </c>
      <c r="CE807" s="313" t="s">
        <v>11891</v>
      </c>
    </row>
    <row r="808" spans="1:83" ht="15" x14ac:dyDescent="0.25">
      <c r="A808" s="338" t="s">
        <v>3844</v>
      </c>
      <c r="B808" s="338" t="s">
        <v>3845</v>
      </c>
      <c r="C808" s="338" t="s">
        <v>3846</v>
      </c>
      <c r="D808" s="338">
        <v>15</v>
      </c>
      <c r="E808" s="338" t="s">
        <v>3847</v>
      </c>
      <c r="F808" s="338" t="s">
        <v>3848</v>
      </c>
      <c r="G808" s="338" t="s">
        <v>4139</v>
      </c>
      <c r="H808" s="338" t="s">
        <v>4143</v>
      </c>
      <c r="I808" s="338" t="s">
        <v>4144</v>
      </c>
      <c r="J808" s="338"/>
      <c r="K808" s="338" t="s">
        <v>4145</v>
      </c>
      <c r="L808" s="338">
        <v>6.4510030746459961</v>
      </c>
      <c r="M808" s="338" t="s">
        <v>6</v>
      </c>
      <c r="N808" s="338" t="s">
        <v>5</v>
      </c>
      <c r="O808" s="338" t="s">
        <v>5</v>
      </c>
      <c r="P808" s="338" t="s">
        <v>5</v>
      </c>
      <c r="Q808" s="338" t="s">
        <v>5</v>
      </c>
      <c r="R808" s="338" t="s">
        <v>4146</v>
      </c>
      <c r="S808" s="338" t="s">
        <v>4147</v>
      </c>
      <c r="T808" s="338" t="s">
        <v>6</v>
      </c>
      <c r="U808" s="338" t="s">
        <v>28</v>
      </c>
      <c r="V808" s="338">
        <f>FMS_Input[[#This Row],[NRNC_COST]]</f>
        <v>1000</v>
      </c>
      <c r="W808" s="338">
        <v>1000</v>
      </c>
      <c r="X808" s="338" t="s">
        <v>6</v>
      </c>
      <c r="Y808" s="338"/>
      <c r="Z808" s="338">
        <v>0</v>
      </c>
      <c r="AA808" s="338">
        <v>1.5280770063400271</v>
      </c>
      <c r="AB808" s="338">
        <v>1.5475015640258789</v>
      </c>
      <c r="AC808" s="338">
        <v>1.291544176638126E-2</v>
      </c>
      <c r="AD808" s="338">
        <v>93</v>
      </c>
      <c r="AE808" s="338">
        <v>47</v>
      </c>
      <c r="AF808" s="338">
        <v>70</v>
      </c>
      <c r="AG808" s="338">
        <v>90</v>
      </c>
      <c r="AH808" s="338">
        <v>287</v>
      </c>
      <c r="AI808" s="338">
        <v>287</v>
      </c>
      <c r="AJ808" s="338">
        <v>0</v>
      </c>
      <c r="AK808" s="338">
        <v>0</v>
      </c>
      <c r="AL808" s="338">
        <v>4</v>
      </c>
      <c r="AM808" s="338">
        <v>0</v>
      </c>
      <c r="AN808" s="338">
        <v>1068.813354492188</v>
      </c>
      <c r="AO808" s="338">
        <v>0</v>
      </c>
      <c r="AP808" s="338">
        <v>0</v>
      </c>
      <c r="AQ808" s="338">
        <v>0</v>
      </c>
      <c r="AR808" s="338">
        <v>0</v>
      </c>
      <c r="AS808" s="338">
        <v>0</v>
      </c>
      <c r="AT808" s="338">
        <v>0</v>
      </c>
      <c r="AU808" s="338">
        <v>0</v>
      </c>
      <c r="AV808" s="338">
        <v>0</v>
      </c>
      <c r="AW808" s="338">
        <v>0</v>
      </c>
      <c r="AX808" s="338">
        <v>0</v>
      </c>
      <c r="AY808" s="338">
        <v>0</v>
      </c>
      <c r="AZ808" s="338">
        <v>0</v>
      </c>
      <c r="BA808" s="338">
        <v>0</v>
      </c>
      <c r="BB808" s="338">
        <v>0</v>
      </c>
      <c r="BC808" s="338">
        <v>0</v>
      </c>
      <c r="BD808" s="338">
        <v>0</v>
      </c>
      <c r="BE808" s="338">
        <v>0</v>
      </c>
      <c r="BF808" s="338" t="s">
        <v>5</v>
      </c>
      <c r="BG808" s="338" t="s">
        <v>5</v>
      </c>
      <c r="BH808" s="338"/>
      <c r="BI808" s="338"/>
      <c r="BJ808" s="338" t="s">
        <v>5</v>
      </c>
      <c r="BK808" s="338"/>
      <c r="BL808" s="338">
        <v>0</v>
      </c>
      <c r="BM808" s="338">
        <v>0</v>
      </c>
      <c r="BN808" s="338" t="s">
        <v>5</v>
      </c>
      <c r="BO808" s="338"/>
      <c r="BP808" s="338"/>
      <c r="BQ808" s="338"/>
      <c r="BR808" s="338"/>
      <c r="BS808" s="338" t="s">
        <v>5</v>
      </c>
      <c r="BT808" s="338"/>
      <c r="BU808" s="338"/>
      <c r="BV808" s="338"/>
      <c r="BW808" s="338"/>
      <c r="BX808" s="338" t="s">
        <v>6</v>
      </c>
      <c r="BY808" s="338" t="s">
        <v>3850</v>
      </c>
      <c r="BZ808" s="338"/>
      <c r="CA808"/>
      <c r="CB808" s="338" t="s">
        <v>5</v>
      </c>
      <c r="CC808" s="338">
        <v>40677.135331597863</v>
      </c>
      <c r="CD808" s="338">
        <v>16708114.48101618</v>
      </c>
      <c r="CE808" s="313" t="s">
        <v>11891</v>
      </c>
    </row>
    <row r="809" spans="1:83" ht="15" x14ac:dyDescent="0.25">
      <c r="A809" s="338" t="s">
        <v>3851</v>
      </c>
      <c r="B809" s="338" t="s">
        <v>3852</v>
      </c>
      <c r="C809" s="338" t="s">
        <v>3853</v>
      </c>
      <c r="D809" s="338">
        <v>15</v>
      </c>
      <c r="E809" s="338" t="s">
        <v>3847</v>
      </c>
      <c r="F809" s="338" t="s">
        <v>3848</v>
      </c>
      <c r="G809" s="338" t="s">
        <v>4139</v>
      </c>
      <c r="H809" s="338" t="s">
        <v>4143</v>
      </c>
      <c r="I809" s="338" t="s">
        <v>4144</v>
      </c>
      <c r="J809" s="338"/>
      <c r="K809" s="338" t="s">
        <v>4148</v>
      </c>
      <c r="L809" s="338">
        <v>6.4510030746459961</v>
      </c>
      <c r="M809" s="338" t="s">
        <v>6</v>
      </c>
      <c r="N809" s="338" t="s">
        <v>5</v>
      </c>
      <c r="O809" s="338" t="s">
        <v>5</v>
      </c>
      <c r="P809" s="338" t="s">
        <v>5</v>
      </c>
      <c r="Q809" s="338" t="s">
        <v>5</v>
      </c>
      <c r="R809" s="338" t="s">
        <v>4146</v>
      </c>
      <c r="S809" s="338" t="s">
        <v>4147</v>
      </c>
      <c r="T809" s="338" t="s">
        <v>6</v>
      </c>
      <c r="U809" s="338" t="s">
        <v>50</v>
      </c>
      <c r="V809" s="338">
        <v>1000</v>
      </c>
      <c r="W809" s="338">
        <v>1000</v>
      </c>
      <c r="X809" s="338" t="s">
        <v>6</v>
      </c>
      <c r="Y809" s="338"/>
      <c r="Z809" s="338">
        <v>0</v>
      </c>
      <c r="AA809" s="338">
        <v>1.5280770063400271</v>
      </c>
      <c r="AB809" s="338">
        <v>1.5475015640258789</v>
      </c>
      <c r="AC809" s="338">
        <v>1.291544176638126E-2</v>
      </c>
      <c r="AD809" s="338">
        <v>93</v>
      </c>
      <c r="AE809" s="338">
        <v>47</v>
      </c>
      <c r="AF809" s="338">
        <v>70</v>
      </c>
      <c r="AG809" s="338">
        <v>90</v>
      </c>
      <c r="AH809" s="338">
        <v>287</v>
      </c>
      <c r="AI809" s="338">
        <v>287</v>
      </c>
      <c r="AJ809" s="338">
        <v>0</v>
      </c>
      <c r="AK809" s="338">
        <v>0</v>
      </c>
      <c r="AL809" s="338">
        <v>4</v>
      </c>
      <c r="AM809" s="338">
        <v>0</v>
      </c>
      <c r="AN809" s="338">
        <v>1068.813354492188</v>
      </c>
      <c r="AO809" s="338">
        <v>0</v>
      </c>
      <c r="AP809" s="338">
        <v>0</v>
      </c>
      <c r="AQ809" s="338">
        <v>0</v>
      </c>
      <c r="AR809" s="338">
        <v>0</v>
      </c>
      <c r="AS809" s="338">
        <v>0</v>
      </c>
      <c r="AT809" s="338">
        <v>0</v>
      </c>
      <c r="AU809" s="338">
        <v>0</v>
      </c>
      <c r="AV809" s="338">
        <v>0</v>
      </c>
      <c r="AW809" s="338">
        <v>0</v>
      </c>
      <c r="AX809" s="338">
        <v>0</v>
      </c>
      <c r="AY809" s="338">
        <v>0</v>
      </c>
      <c r="AZ809" s="338">
        <v>0</v>
      </c>
      <c r="BA809" s="338">
        <v>0</v>
      </c>
      <c r="BB809" s="338">
        <v>0</v>
      </c>
      <c r="BC809" s="338">
        <v>0</v>
      </c>
      <c r="BD809" s="338">
        <v>0</v>
      </c>
      <c r="BE809" s="338">
        <v>0</v>
      </c>
      <c r="BF809" s="338" t="s">
        <v>5</v>
      </c>
      <c r="BG809" s="338" t="s">
        <v>5</v>
      </c>
      <c r="BH809" s="338"/>
      <c r="BI809" s="338"/>
      <c r="BJ809" s="338" t="s">
        <v>5</v>
      </c>
      <c r="BK809" s="338"/>
      <c r="BL809" s="338">
        <v>0</v>
      </c>
      <c r="BM809" s="338">
        <v>0</v>
      </c>
      <c r="BN809" s="338" t="s">
        <v>5</v>
      </c>
      <c r="BO809" s="338"/>
      <c r="BP809" s="338"/>
      <c r="BQ809" s="338"/>
      <c r="BR809" s="338"/>
      <c r="BS809" s="338" t="s">
        <v>5</v>
      </c>
      <c r="BT809" s="338"/>
      <c r="BU809" s="338"/>
      <c r="BV809" s="338"/>
      <c r="BW809" s="338"/>
      <c r="BX809" s="338" t="s">
        <v>6</v>
      </c>
      <c r="BY809" s="338" t="s">
        <v>3850</v>
      </c>
      <c r="BZ809" s="338"/>
      <c r="CA809"/>
      <c r="CB809" s="338" t="s">
        <v>5</v>
      </c>
      <c r="CC809" s="338">
        <v>40677.135331597863</v>
      </c>
      <c r="CD809" s="338">
        <v>16708114.48101618</v>
      </c>
      <c r="CE809" s="313" t="s">
        <v>11891</v>
      </c>
    </row>
    <row r="810" spans="1:83" ht="15" x14ac:dyDescent="0.25">
      <c r="A810" s="338" t="s">
        <v>3854</v>
      </c>
      <c r="B810" s="338" t="s">
        <v>3855</v>
      </c>
      <c r="C810" s="338" t="s">
        <v>3856</v>
      </c>
      <c r="D810" s="338">
        <v>15</v>
      </c>
      <c r="E810" s="338" t="s">
        <v>3847</v>
      </c>
      <c r="F810" s="338" t="s">
        <v>3848</v>
      </c>
      <c r="G810" s="338" t="s">
        <v>4139</v>
      </c>
      <c r="H810" s="338" t="s">
        <v>4143</v>
      </c>
      <c r="I810" s="338" t="s">
        <v>4144</v>
      </c>
      <c r="J810" s="338"/>
      <c r="K810" s="338" t="s">
        <v>4149</v>
      </c>
      <c r="L810" s="338">
        <v>6.4510030746459961</v>
      </c>
      <c r="M810" s="338" t="s">
        <v>6</v>
      </c>
      <c r="N810" s="338" t="s">
        <v>5</v>
      </c>
      <c r="O810" s="338" t="s">
        <v>5</v>
      </c>
      <c r="P810" s="338" t="s">
        <v>5</v>
      </c>
      <c r="Q810" s="338" t="s">
        <v>5</v>
      </c>
      <c r="R810" s="338" t="s">
        <v>4146</v>
      </c>
      <c r="S810" s="338" t="s">
        <v>4147</v>
      </c>
      <c r="T810" s="338" t="s">
        <v>6</v>
      </c>
      <c r="U810" s="338" t="s">
        <v>50</v>
      </c>
      <c r="V810" s="338">
        <v>1000</v>
      </c>
      <c r="W810" s="338">
        <v>1000</v>
      </c>
      <c r="X810" s="338" t="s">
        <v>6</v>
      </c>
      <c r="Y810" s="338"/>
      <c r="Z810" s="338">
        <v>0</v>
      </c>
      <c r="AA810" s="338">
        <v>1.5280770063400271</v>
      </c>
      <c r="AB810" s="338">
        <v>1.5475015640258789</v>
      </c>
      <c r="AC810" s="338">
        <v>1.291544176638126E-2</v>
      </c>
      <c r="AD810" s="338">
        <v>93</v>
      </c>
      <c r="AE810" s="338">
        <v>47</v>
      </c>
      <c r="AF810" s="338">
        <v>70</v>
      </c>
      <c r="AG810" s="338">
        <v>90</v>
      </c>
      <c r="AH810" s="338">
        <v>287</v>
      </c>
      <c r="AI810" s="338">
        <v>287</v>
      </c>
      <c r="AJ810" s="338">
        <v>0</v>
      </c>
      <c r="AK810" s="338">
        <v>0</v>
      </c>
      <c r="AL810" s="338">
        <v>4</v>
      </c>
      <c r="AM810" s="338">
        <v>0</v>
      </c>
      <c r="AN810" s="338">
        <v>1068.813354492188</v>
      </c>
      <c r="AO810" s="338">
        <v>0</v>
      </c>
      <c r="AP810" s="338">
        <v>0</v>
      </c>
      <c r="AQ810" s="338">
        <v>0</v>
      </c>
      <c r="AR810" s="338">
        <v>0</v>
      </c>
      <c r="AS810" s="338">
        <v>0</v>
      </c>
      <c r="AT810" s="338">
        <v>0</v>
      </c>
      <c r="AU810" s="338">
        <v>0</v>
      </c>
      <c r="AV810" s="338">
        <v>0</v>
      </c>
      <c r="AW810" s="338">
        <v>0</v>
      </c>
      <c r="AX810" s="338">
        <v>0</v>
      </c>
      <c r="AY810" s="338">
        <v>0</v>
      </c>
      <c r="AZ810" s="338">
        <v>0</v>
      </c>
      <c r="BA810" s="338">
        <v>0</v>
      </c>
      <c r="BB810" s="338">
        <v>0</v>
      </c>
      <c r="BC810" s="338">
        <v>0</v>
      </c>
      <c r="BD810" s="338">
        <v>0</v>
      </c>
      <c r="BE810" s="338">
        <v>0</v>
      </c>
      <c r="BF810" s="338" t="s">
        <v>5</v>
      </c>
      <c r="BG810" s="338" t="s">
        <v>5</v>
      </c>
      <c r="BH810" s="338"/>
      <c r="BI810" s="338"/>
      <c r="BJ810" s="338" t="s">
        <v>5</v>
      </c>
      <c r="BK810" s="338"/>
      <c r="BL810" s="338">
        <v>0</v>
      </c>
      <c r="BM810" s="338">
        <v>0</v>
      </c>
      <c r="BN810" s="338" t="s">
        <v>5</v>
      </c>
      <c r="BO810" s="338"/>
      <c r="BP810" s="338"/>
      <c r="BQ810" s="338"/>
      <c r="BR810" s="338"/>
      <c r="BS810" s="338" t="s">
        <v>5</v>
      </c>
      <c r="BT810" s="338"/>
      <c r="BU810" s="338"/>
      <c r="BV810" s="338"/>
      <c r="BW810" s="338"/>
      <c r="BX810" s="338" t="s">
        <v>6</v>
      </c>
      <c r="BY810" s="338" t="s">
        <v>3850</v>
      </c>
      <c r="BZ810" s="338"/>
      <c r="CA810"/>
      <c r="CB810" s="338" t="s">
        <v>5</v>
      </c>
      <c r="CC810" s="338">
        <v>40677.135331597863</v>
      </c>
      <c r="CD810" s="338">
        <v>16708114.48101618</v>
      </c>
      <c r="CE810" s="313" t="s">
        <v>11891</v>
      </c>
    </row>
    <row r="811" spans="1:83" ht="15" x14ac:dyDescent="0.25">
      <c r="A811" s="338" t="s">
        <v>3858</v>
      </c>
      <c r="B811" s="338" t="s">
        <v>3859</v>
      </c>
      <c r="C811" s="338" t="s">
        <v>3860</v>
      </c>
      <c r="D811" s="338">
        <v>15</v>
      </c>
      <c r="E811" s="338" t="s">
        <v>3847</v>
      </c>
      <c r="F811" s="338" t="s">
        <v>3848</v>
      </c>
      <c r="G811" s="338" t="s">
        <v>4139</v>
      </c>
      <c r="H811" s="338" t="s">
        <v>4143</v>
      </c>
      <c r="I811" s="338" t="s">
        <v>4144</v>
      </c>
      <c r="J811" s="338"/>
      <c r="K811" s="338" t="s">
        <v>4150</v>
      </c>
      <c r="L811" s="338">
        <v>6.4510030746459961</v>
      </c>
      <c r="M811" s="338" t="s">
        <v>6</v>
      </c>
      <c r="N811" s="338" t="s">
        <v>5</v>
      </c>
      <c r="O811" s="338" t="s">
        <v>5</v>
      </c>
      <c r="P811" s="338" t="s">
        <v>5</v>
      </c>
      <c r="Q811" s="338" t="s">
        <v>5</v>
      </c>
      <c r="R811" s="338" t="s">
        <v>4146</v>
      </c>
      <c r="S811" s="338" t="s">
        <v>4147</v>
      </c>
      <c r="T811" s="338" t="s">
        <v>6</v>
      </c>
      <c r="U811" s="338" t="s">
        <v>50</v>
      </c>
      <c r="V811" s="338">
        <v>1000</v>
      </c>
      <c r="W811" s="338">
        <v>1000</v>
      </c>
      <c r="X811" s="338" t="s">
        <v>6</v>
      </c>
      <c r="Y811" s="338"/>
      <c r="Z811" s="338">
        <v>0</v>
      </c>
      <c r="AA811" s="338">
        <v>1.5280770063400271</v>
      </c>
      <c r="AB811" s="338">
        <v>1.5475015640258789</v>
      </c>
      <c r="AC811" s="338">
        <v>1.291544176638126E-2</v>
      </c>
      <c r="AD811" s="338">
        <v>93</v>
      </c>
      <c r="AE811" s="338">
        <v>47</v>
      </c>
      <c r="AF811" s="338">
        <v>70</v>
      </c>
      <c r="AG811" s="338">
        <v>90</v>
      </c>
      <c r="AH811" s="338">
        <v>287</v>
      </c>
      <c r="AI811" s="338">
        <v>287</v>
      </c>
      <c r="AJ811" s="338">
        <v>0</v>
      </c>
      <c r="AK811" s="338">
        <v>0</v>
      </c>
      <c r="AL811" s="338">
        <v>4</v>
      </c>
      <c r="AM811" s="338">
        <v>0</v>
      </c>
      <c r="AN811" s="338">
        <v>1068.813354492188</v>
      </c>
      <c r="AO811" s="338">
        <v>0</v>
      </c>
      <c r="AP811" s="338">
        <v>0</v>
      </c>
      <c r="AQ811" s="338">
        <v>0</v>
      </c>
      <c r="AR811" s="338">
        <v>0</v>
      </c>
      <c r="AS811" s="338">
        <v>0</v>
      </c>
      <c r="AT811" s="338">
        <v>0</v>
      </c>
      <c r="AU811" s="338">
        <v>0</v>
      </c>
      <c r="AV811" s="338">
        <v>0</v>
      </c>
      <c r="AW811" s="338">
        <v>0</v>
      </c>
      <c r="AX811" s="338">
        <v>0</v>
      </c>
      <c r="AY811" s="338">
        <v>0</v>
      </c>
      <c r="AZ811" s="338">
        <v>0</v>
      </c>
      <c r="BA811" s="338">
        <v>0</v>
      </c>
      <c r="BB811" s="338">
        <v>0</v>
      </c>
      <c r="BC811" s="338">
        <v>0</v>
      </c>
      <c r="BD811" s="338">
        <v>0</v>
      </c>
      <c r="BE811" s="338">
        <v>0</v>
      </c>
      <c r="BF811" s="338" t="s">
        <v>5</v>
      </c>
      <c r="BG811" s="338" t="s">
        <v>5</v>
      </c>
      <c r="BH811" s="338"/>
      <c r="BI811" s="338"/>
      <c r="BJ811" s="338" t="s">
        <v>5</v>
      </c>
      <c r="BK811" s="338"/>
      <c r="BL811" s="338">
        <v>0</v>
      </c>
      <c r="BM811" s="338">
        <v>0</v>
      </c>
      <c r="BN811" s="338" t="s">
        <v>5</v>
      </c>
      <c r="BO811" s="338"/>
      <c r="BP811" s="338"/>
      <c r="BQ811" s="338"/>
      <c r="BR811" s="338"/>
      <c r="BS811" s="338" t="s">
        <v>5</v>
      </c>
      <c r="BT811" s="338"/>
      <c r="BU811" s="338"/>
      <c r="BV811" s="338"/>
      <c r="BW811" s="338"/>
      <c r="BX811" s="338" t="s">
        <v>6</v>
      </c>
      <c r="BY811" s="338" t="s">
        <v>3850</v>
      </c>
      <c r="BZ811" s="338"/>
      <c r="CA811"/>
      <c r="CB811" s="338" t="s">
        <v>5</v>
      </c>
      <c r="CC811" s="338">
        <v>40677.135331597863</v>
      </c>
      <c r="CD811" s="338">
        <v>16708114.48101618</v>
      </c>
      <c r="CE811" s="313" t="s">
        <v>11891</v>
      </c>
    </row>
    <row r="812" spans="1:83" ht="15" x14ac:dyDescent="0.25">
      <c r="A812" s="338" t="s">
        <v>3913</v>
      </c>
      <c r="B812" s="338" t="s">
        <v>3914</v>
      </c>
      <c r="C812" s="338" t="s">
        <v>3915</v>
      </c>
      <c r="D812" s="338">
        <v>15</v>
      </c>
      <c r="E812" s="338" t="s">
        <v>3847</v>
      </c>
      <c r="F812" s="338" t="s">
        <v>3848</v>
      </c>
      <c r="G812" s="338" t="s">
        <v>3849</v>
      </c>
      <c r="H812" s="338" t="s">
        <v>4096</v>
      </c>
      <c r="I812" s="338" t="s">
        <v>4097</v>
      </c>
      <c r="J812" s="338"/>
      <c r="K812" s="338" t="s">
        <v>4179</v>
      </c>
      <c r="L812" s="338">
        <v>0.27429059147834778</v>
      </c>
      <c r="M812" s="338" t="s">
        <v>6</v>
      </c>
      <c r="N812" s="338" t="s">
        <v>5</v>
      </c>
      <c r="O812" s="338" t="s">
        <v>5</v>
      </c>
      <c r="P812" s="338" t="s">
        <v>5</v>
      </c>
      <c r="Q812" s="338" t="s">
        <v>5</v>
      </c>
      <c r="R812" s="338" t="s">
        <v>4118</v>
      </c>
      <c r="S812" s="338" t="s">
        <v>4119</v>
      </c>
      <c r="T812" s="338" t="s">
        <v>6</v>
      </c>
      <c r="U812" s="338" t="s">
        <v>13</v>
      </c>
      <c r="V812" s="338">
        <v>500</v>
      </c>
      <c r="W812" s="338">
        <v>1000</v>
      </c>
      <c r="X812" s="338" t="s">
        <v>6</v>
      </c>
      <c r="Y812" s="338"/>
      <c r="Z812" s="338">
        <v>0</v>
      </c>
      <c r="AA812" s="338">
        <v>8.9654847979545593E-2</v>
      </c>
      <c r="AB812" s="338">
        <v>8.0043651163578033E-2</v>
      </c>
      <c r="AC812" s="338">
        <v>0</v>
      </c>
      <c r="AD812" s="338">
        <v>238</v>
      </c>
      <c r="AE812" s="338">
        <v>206</v>
      </c>
      <c r="AF812" s="338">
        <v>227</v>
      </c>
      <c r="AG812" s="338">
        <v>229</v>
      </c>
      <c r="AH812" s="338">
        <v>599</v>
      </c>
      <c r="AI812" s="338">
        <v>599</v>
      </c>
      <c r="AJ812" s="338">
        <v>0</v>
      </c>
      <c r="AK812" s="338">
        <v>0</v>
      </c>
      <c r="AL812" s="338">
        <v>3</v>
      </c>
      <c r="AM812" s="338">
        <v>0</v>
      </c>
      <c r="AN812" s="338">
        <v>26.746669769287109</v>
      </c>
      <c r="AO812" s="338">
        <v>0</v>
      </c>
      <c r="AP812" s="338">
        <v>0</v>
      </c>
      <c r="AQ812" s="338">
        <v>0</v>
      </c>
      <c r="AR812" s="338">
        <v>0</v>
      </c>
      <c r="AS812" s="338">
        <v>0</v>
      </c>
      <c r="AT812" s="338">
        <v>0</v>
      </c>
      <c r="AU812" s="338">
        <v>0</v>
      </c>
      <c r="AV812" s="338">
        <v>0</v>
      </c>
      <c r="AW812" s="338">
        <v>0</v>
      </c>
      <c r="AX812" s="338">
        <v>0</v>
      </c>
      <c r="AY812" s="338">
        <v>0</v>
      </c>
      <c r="AZ812" s="338">
        <v>0</v>
      </c>
      <c r="BA812" s="338">
        <v>0</v>
      </c>
      <c r="BB812" s="338">
        <v>0</v>
      </c>
      <c r="BC812" s="338">
        <v>0</v>
      </c>
      <c r="BD812" s="338">
        <v>0</v>
      </c>
      <c r="BE812" s="338">
        <v>0</v>
      </c>
      <c r="BF812" s="338" t="s">
        <v>5</v>
      </c>
      <c r="BG812" s="338" t="s">
        <v>5</v>
      </c>
      <c r="BH812" s="338"/>
      <c r="BI812" s="338"/>
      <c r="BJ812" s="338" t="s">
        <v>5</v>
      </c>
      <c r="BK812" s="338"/>
      <c r="BL812" s="338">
        <v>0</v>
      </c>
      <c r="BM812" s="338">
        <v>0</v>
      </c>
      <c r="BN812" s="338" t="s">
        <v>5</v>
      </c>
      <c r="BO812" s="338"/>
      <c r="BP812" s="338"/>
      <c r="BQ812" s="338"/>
      <c r="BR812" s="338"/>
      <c r="BS812" s="338" t="s">
        <v>5</v>
      </c>
      <c r="BT812" s="338"/>
      <c r="BU812" s="338"/>
      <c r="BV812" s="338"/>
      <c r="BW812" s="338"/>
      <c r="BX812" s="338" t="s">
        <v>6</v>
      </c>
      <c r="BY812" s="338" t="s">
        <v>3850</v>
      </c>
      <c r="BZ812" s="338"/>
      <c r="CA812"/>
      <c r="CB812" s="338" t="s">
        <v>5</v>
      </c>
      <c r="CC812" s="338">
        <v>4947.3595829678652</v>
      </c>
      <c r="CD812" s="338">
        <v>710413.35832950682</v>
      </c>
      <c r="CE812" s="313" t="s">
        <v>11891</v>
      </c>
    </row>
    <row r="813" spans="1:83" ht="15" x14ac:dyDescent="0.25">
      <c r="A813" s="338" t="s">
        <v>3872</v>
      </c>
      <c r="B813" s="338" t="s">
        <v>3873</v>
      </c>
      <c r="C813" s="338" t="s">
        <v>3874</v>
      </c>
      <c r="D813" s="338">
        <v>15</v>
      </c>
      <c r="E813" s="338" t="s">
        <v>3847</v>
      </c>
      <c r="F813" s="338" t="s">
        <v>3848</v>
      </c>
      <c r="G813" s="338" t="s">
        <v>4156</v>
      </c>
      <c r="H813" s="338" t="s">
        <v>4157</v>
      </c>
      <c r="I813" s="338" t="s">
        <v>4158</v>
      </c>
      <c r="J813" s="338"/>
      <c r="K813" s="338" t="s">
        <v>4149</v>
      </c>
      <c r="L813" s="338">
        <v>145.63084411621091</v>
      </c>
      <c r="M813" s="338" t="s">
        <v>6</v>
      </c>
      <c r="N813" s="338" t="s">
        <v>6</v>
      </c>
      <c r="O813" s="338" t="s">
        <v>5</v>
      </c>
      <c r="P813" s="338" t="s">
        <v>5</v>
      </c>
      <c r="Q813" s="338" t="s">
        <v>5</v>
      </c>
      <c r="R813" s="338" t="s">
        <v>4159</v>
      </c>
      <c r="S813" s="338" t="s">
        <v>4160</v>
      </c>
      <c r="T813" s="338" t="s">
        <v>6</v>
      </c>
      <c r="U813" s="338" t="s">
        <v>50</v>
      </c>
      <c r="V813" s="338">
        <v>20000</v>
      </c>
      <c r="W813" s="338">
        <v>1000</v>
      </c>
      <c r="X813" s="338" t="s">
        <v>6</v>
      </c>
      <c r="Y813" s="338"/>
      <c r="Z813" s="338">
        <v>0</v>
      </c>
      <c r="AA813" s="338">
        <v>65.602485656738281</v>
      </c>
      <c r="AB813" s="338">
        <v>58.207462310791023</v>
      </c>
      <c r="AC813" s="338">
        <v>0.58050227165222168</v>
      </c>
      <c r="AD813" s="338">
        <v>38734</v>
      </c>
      <c r="AE813" s="338">
        <v>31635</v>
      </c>
      <c r="AF813" s="338">
        <v>34207</v>
      </c>
      <c r="AG813" s="338">
        <v>157388</v>
      </c>
      <c r="AH813" s="338">
        <v>136558</v>
      </c>
      <c r="AI813" s="338">
        <v>157388</v>
      </c>
      <c r="AJ813" s="338">
        <v>12</v>
      </c>
      <c r="AK813" s="338">
        <v>0</v>
      </c>
      <c r="AL813" s="338">
        <v>618</v>
      </c>
      <c r="AM813" s="338">
        <v>0</v>
      </c>
      <c r="AN813" s="338">
        <v>16275.9111328125</v>
      </c>
      <c r="AO813" s="338">
        <v>0</v>
      </c>
      <c r="AP813" s="338">
        <v>0</v>
      </c>
      <c r="AQ813" s="338">
        <v>0</v>
      </c>
      <c r="AR813" s="338">
        <v>0</v>
      </c>
      <c r="AS813" s="338">
        <v>0</v>
      </c>
      <c r="AT813" s="338">
        <v>0</v>
      </c>
      <c r="AU813" s="338">
        <v>0</v>
      </c>
      <c r="AV813" s="338">
        <v>0</v>
      </c>
      <c r="AW813" s="338">
        <v>0</v>
      </c>
      <c r="AX813" s="338">
        <v>0</v>
      </c>
      <c r="AY813" s="338">
        <v>0</v>
      </c>
      <c r="AZ813" s="338">
        <v>0</v>
      </c>
      <c r="BA813" s="338">
        <v>0</v>
      </c>
      <c r="BB813" s="338">
        <v>0</v>
      </c>
      <c r="BC813" s="338">
        <v>0</v>
      </c>
      <c r="BD813" s="338">
        <v>0</v>
      </c>
      <c r="BE813" s="338">
        <v>0</v>
      </c>
      <c r="BF813" s="338" t="s">
        <v>5</v>
      </c>
      <c r="BG813" s="338" t="s">
        <v>5</v>
      </c>
      <c r="BH813" s="338"/>
      <c r="BI813" s="338"/>
      <c r="BJ813" s="338" t="s">
        <v>5</v>
      </c>
      <c r="BK813" s="338"/>
      <c r="BL813" s="338">
        <v>0</v>
      </c>
      <c r="BM813" s="338">
        <v>0</v>
      </c>
      <c r="BN813" s="338" t="s">
        <v>5</v>
      </c>
      <c r="BO813" s="338"/>
      <c r="BP813" s="338"/>
      <c r="BQ813" s="338"/>
      <c r="BR813" s="338"/>
      <c r="BS813" s="338" t="s">
        <v>5</v>
      </c>
      <c r="BT813" s="338"/>
      <c r="BU813" s="338"/>
      <c r="BV813" s="338"/>
      <c r="BW813" s="338"/>
      <c r="BX813" s="338" t="s">
        <v>6</v>
      </c>
      <c r="BY813" s="338" t="s">
        <v>3850</v>
      </c>
      <c r="BZ813" s="338"/>
      <c r="CA813"/>
      <c r="CB813" s="338" t="s">
        <v>5</v>
      </c>
      <c r="CC813" s="338">
        <v>381538.11769307381</v>
      </c>
      <c r="CD813" s="338">
        <v>377184275.46672273</v>
      </c>
      <c r="CE813" s="313" t="s">
        <v>11891</v>
      </c>
    </row>
    <row r="814" spans="1:83" ht="15" x14ac:dyDescent="0.25">
      <c r="A814" s="338" t="s">
        <v>3875</v>
      </c>
      <c r="B814" s="338" t="s">
        <v>3876</v>
      </c>
      <c r="C814" s="338" t="s">
        <v>3877</v>
      </c>
      <c r="D814" s="338">
        <v>15</v>
      </c>
      <c r="E814" s="338" t="s">
        <v>3847</v>
      </c>
      <c r="F814" s="338" t="s">
        <v>3848</v>
      </c>
      <c r="G814" s="338" t="s">
        <v>4156</v>
      </c>
      <c r="H814" s="338" t="s">
        <v>4157</v>
      </c>
      <c r="I814" s="338" t="s">
        <v>4158</v>
      </c>
      <c r="J814" s="338"/>
      <c r="K814" s="338" t="s">
        <v>4161</v>
      </c>
      <c r="L814" s="338">
        <v>145.63084411621091</v>
      </c>
      <c r="M814" s="338" t="s">
        <v>6</v>
      </c>
      <c r="N814" s="338" t="s">
        <v>6</v>
      </c>
      <c r="O814" s="338" t="s">
        <v>5</v>
      </c>
      <c r="P814" s="338" t="s">
        <v>5</v>
      </c>
      <c r="Q814" s="338" t="s">
        <v>5</v>
      </c>
      <c r="R814" s="338" t="s">
        <v>4159</v>
      </c>
      <c r="S814" s="338" t="s">
        <v>4160</v>
      </c>
      <c r="T814" s="338" t="s">
        <v>6</v>
      </c>
      <c r="U814" s="338" t="s">
        <v>50</v>
      </c>
      <c r="V814" s="338">
        <v>100000</v>
      </c>
      <c r="W814" s="338">
        <v>1000</v>
      </c>
      <c r="X814" s="338" t="s">
        <v>6</v>
      </c>
      <c r="Y814" s="338"/>
      <c r="Z814" s="338">
        <v>0</v>
      </c>
      <c r="AA814" s="338">
        <v>65.602485656738281</v>
      </c>
      <c r="AB814" s="338">
        <v>58.207462310791023</v>
      </c>
      <c r="AC814" s="338">
        <v>0.58050227165222168</v>
      </c>
      <c r="AD814" s="338">
        <v>38734</v>
      </c>
      <c r="AE814" s="338">
        <v>31635</v>
      </c>
      <c r="AF814" s="338">
        <v>34207</v>
      </c>
      <c r="AG814" s="338">
        <v>157388</v>
      </c>
      <c r="AH814" s="338">
        <v>136558</v>
      </c>
      <c r="AI814" s="338">
        <v>157388</v>
      </c>
      <c r="AJ814" s="338">
        <v>12</v>
      </c>
      <c r="AK814" s="338">
        <v>0</v>
      </c>
      <c r="AL814" s="338">
        <v>618</v>
      </c>
      <c r="AM814" s="338">
        <v>0</v>
      </c>
      <c r="AN814" s="338">
        <v>16275.9111328125</v>
      </c>
      <c r="AO814" s="338">
        <v>0</v>
      </c>
      <c r="AP814" s="338">
        <v>0</v>
      </c>
      <c r="AQ814" s="338">
        <v>0</v>
      </c>
      <c r="AR814" s="338">
        <v>0</v>
      </c>
      <c r="AS814" s="338">
        <v>0</v>
      </c>
      <c r="AT814" s="338">
        <v>0</v>
      </c>
      <c r="AU814" s="338">
        <v>0</v>
      </c>
      <c r="AV814" s="338">
        <v>0</v>
      </c>
      <c r="AW814" s="338">
        <v>0</v>
      </c>
      <c r="AX814" s="338">
        <v>0</v>
      </c>
      <c r="AY814" s="338">
        <v>0</v>
      </c>
      <c r="AZ814" s="338">
        <v>0</v>
      </c>
      <c r="BA814" s="338">
        <v>0</v>
      </c>
      <c r="BB814" s="338">
        <v>0</v>
      </c>
      <c r="BC814" s="338">
        <v>0</v>
      </c>
      <c r="BD814" s="338">
        <v>0</v>
      </c>
      <c r="BE814" s="338">
        <v>0</v>
      </c>
      <c r="BF814" s="338" t="s">
        <v>5</v>
      </c>
      <c r="BG814" s="338" t="s">
        <v>5</v>
      </c>
      <c r="BH814" s="338"/>
      <c r="BI814" s="338"/>
      <c r="BJ814" s="338" t="s">
        <v>5</v>
      </c>
      <c r="BK814" s="338"/>
      <c r="BL814" s="338">
        <v>0</v>
      </c>
      <c r="BM814" s="338">
        <v>0</v>
      </c>
      <c r="BN814" s="338" t="s">
        <v>5</v>
      </c>
      <c r="BO814" s="338"/>
      <c r="BP814" s="338"/>
      <c r="BQ814" s="338"/>
      <c r="BR814" s="338"/>
      <c r="BS814" s="338" t="s">
        <v>5</v>
      </c>
      <c r="BT814" s="338"/>
      <c r="BU814" s="338"/>
      <c r="BV814" s="338"/>
      <c r="BW814" s="338"/>
      <c r="BX814" s="338" t="s">
        <v>6</v>
      </c>
      <c r="BY814" s="338" t="s">
        <v>3850</v>
      </c>
      <c r="BZ814" s="338"/>
      <c r="CA814"/>
      <c r="CB814" s="338" t="s">
        <v>5</v>
      </c>
      <c r="CC814" s="338">
        <v>381538.11769307381</v>
      </c>
      <c r="CD814" s="338">
        <v>377184275.46672273</v>
      </c>
      <c r="CE814" s="313" t="s">
        <v>11891</v>
      </c>
    </row>
    <row r="815" spans="1:83" ht="15" x14ac:dyDescent="0.25">
      <c r="A815" s="338" t="s">
        <v>3916</v>
      </c>
      <c r="B815" s="338" t="s">
        <v>3917</v>
      </c>
      <c r="C815" s="338" t="s">
        <v>3918</v>
      </c>
      <c r="D815" s="338">
        <v>15</v>
      </c>
      <c r="E815" s="338" t="s">
        <v>3847</v>
      </c>
      <c r="F815" s="338" t="s">
        <v>3848</v>
      </c>
      <c r="G815" s="338" t="s">
        <v>3849</v>
      </c>
      <c r="H815" s="338" t="s">
        <v>4096</v>
      </c>
      <c r="I815" s="338" t="s">
        <v>4097</v>
      </c>
      <c r="J815" s="338"/>
      <c r="K815" s="338" t="s">
        <v>4180</v>
      </c>
      <c r="L815" s="338">
        <v>0.27429059147834778</v>
      </c>
      <c r="M815" s="338" t="s">
        <v>6</v>
      </c>
      <c r="N815" s="338" t="s">
        <v>5</v>
      </c>
      <c r="O815" s="338" t="s">
        <v>5</v>
      </c>
      <c r="P815" s="338" t="s">
        <v>5</v>
      </c>
      <c r="Q815" s="338" t="s">
        <v>5</v>
      </c>
      <c r="R815" s="338" t="s">
        <v>4118</v>
      </c>
      <c r="S815" s="338" t="s">
        <v>4119</v>
      </c>
      <c r="T815" s="338" t="s">
        <v>6</v>
      </c>
      <c r="U815" s="338" t="s">
        <v>50</v>
      </c>
      <c r="V815" s="338">
        <v>500</v>
      </c>
      <c r="W815" s="338">
        <v>1000</v>
      </c>
      <c r="X815" s="338" t="s">
        <v>6</v>
      </c>
      <c r="Y815" s="338"/>
      <c r="Z815" s="338">
        <v>0</v>
      </c>
      <c r="AA815" s="338">
        <v>8.9654847979545593E-2</v>
      </c>
      <c r="AB815" s="338">
        <v>8.0043651163578033E-2</v>
      </c>
      <c r="AC815" s="338">
        <v>0</v>
      </c>
      <c r="AD815" s="338">
        <v>238</v>
      </c>
      <c r="AE815" s="338">
        <v>206</v>
      </c>
      <c r="AF815" s="338">
        <v>227</v>
      </c>
      <c r="AG815" s="338">
        <v>229</v>
      </c>
      <c r="AH815" s="338">
        <v>599</v>
      </c>
      <c r="AI815" s="338">
        <v>599</v>
      </c>
      <c r="AJ815" s="338">
        <v>0</v>
      </c>
      <c r="AK815" s="338">
        <v>0</v>
      </c>
      <c r="AL815" s="338">
        <v>3</v>
      </c>
      <c r="AM815" s="338">
        <v>0</v>
      </c>
      <c r="AN815" s="338">
        <v>26.746669769287109</v>
      </c>
      <c r="AO815" s="338">
        <v>0</v>
      </c>
      <c r="AP815" s="338">
        <v>0</v>
      </c>
      <c r="AQ815" s="338">
        <v>0</v>
      </c>
      <c r="AR815" s="338">
        <v>0</v>
      </c>
      <c r="AS815" s="338">
        <v>0</v>
      </c>
      <c r="AT815" s="338">
        <v>0</v>
      </c>
      <c r="AU815" s="338">
        <v>0</v>
      </c>
      <c r="AV815" s="338">
        <v>0</v>
      </c>
      <c r="AW815" s="338">
        <v>0</v>
      </c>
      <c r="AX815" s="338">
        <v>0</v>
      </c>
      <c r="AY815" s="338">
        <v>0</v>
      </c>
      <c r="AZ815" s="338">
        <v>0</v>
      </c>
      <c r="BA815" s="338">
        <v>0</v>
      </c>
      <c r="BB815" s="338">
        <v>0</v>
      </c>
      <c r="BC815" s="338">
        <v>0</v>
      </c>
      <c r="BD815" s="338">
        <v>0</v>
      </c>
      <c r="BE815" s="338">
        <v>0</v>
      </c>
      <c r="BF815" s="338" t="s">
        <v>5</v>
      </c>
      <c r="BG815" s="338" t="s">
        <v>5</v>
      </c>
      <c r="BH815" s="338"/>
      <c r="BI815" s="338"/>
      <c r="BJ815" s="338" t="s">
        <v>5</v>
      </c>
      <c r="BK815" s="338"/>
      <c r="BL815" s="338">
        <v>0</v>
      </c>
      <c r="BM815" s="338">
        <v>0</v>
      </c>
      <c r="BN815" s="338" t="s">
        <v>5</v>
      </c>
      <c r="BO815" s="338"/>
      <c r="BP815" s="338"/>
      <c r="BQ815" s="338"/>
      <c r="BR815" s="338"/>
      <c r="BS815" s="338" t="s">
        <v>5</v>
      </c>
      <c r="BT815" s="338"/>
      <c r="BU815" s="338"/>
      <c r="BV815" s="338"/>
      <c r="BW815" s="338"/>
      <c r="BX815" s="338" t="s">
        <v>6</v>
      </c>
      <c r="BY815" s="338" t="s">
        <v>3850</v>
      </c>
      <c r="BZ815" s="338"/>
      <c r="CA815"/>
      <c r="CB815" s="338" t="s">
        <v>5</v>
      </c>
      <c r="CC815" s="338">
        <v>4947.3595829678652</v>
      </c>
      <c r="CD815" s="338">
        <v>710413.35832950682</v>
      </c>
      <c r="CE815" s="313" t="s">
        <v>11891</v>
      </c>
    </row>
    <row r="816" spans="1:83" ht="15" x14ac:dyDescent="0.25">
      <c r="A816" s="338" t="s">
        <v>3920</v>
      </c>
      <c r="B816" s="338" t="s">
        <v>3921</v>
      </c>
      <c r="C816" s="338" t="s">
        <v>3922</v>
      </c>
      <c r="D816" s="338">
        <v>15</v>
      </c>
      <c r="E816" s="338" t="s">
        <v>3847</v>
      </c>
      <c r="F816" s="338" t="s">
        <v>3848</v>
      </c>
      <c r="G816" s="338" t="s">
        <v>3849</v>
      </c>
      <c r="H816" s="338" t="s">
        <v>4096</v>
      </c>
      <c r="I816" s="338" t="s">
        <v>4097</v>
      </c>
      <c r="J816" s="338"/>
      <c r="K816" s="338" t="s">
        <v>4155</v>
      </c>
      <c r="L816" s="338">
        <v>0.27429059147834778</v>
      </c>
      <c r="M816" s="338" t="s">
        <v>6</v>
      </c>
      <c r="N816" s="338" t="s">
        <v>5</v>
      </c>
      <c r="O816" s="338" t="s">
        <v>5</v>
      </c>
      <c r="P816" s="338" t="s">
        <v>5</v>
      </c>
      <c r="Q816" s="338" t="s">
        <v>5</v>
      </c>
      <c r="R816" s="338" t="s">
        <v>4118</v>
      </c>
      <c r="S816" s="338" t="s">
        <v>4119</v>
      </c>
      <c r="T816" s="338" t="s">
        <v>6</v>
      </c>
      <c r="U816" s="338" t="s">
        <v>13</v>
      </c>
      <c r="V816" s="338">
        <v>500</v>
      </c>
      <c r="W816" s="338">
        <v>1000</v>
      </c>
      <c r="X816" s="338" t="s">
        <v>6</v>
      </c>
      <c r="Y816" s="338"/>
      <c r="Z816" s="338">
        <v>0</v>
      </c>
      <c r="AA816" s="338">
        <v>8.9654847979545593E-2</v>
      </c>
      <c r="AB816" s="338">
        <v>8.0043651163578033E-2</v>
      </c>
      <c r="AC816" s="338">
        <v>0</v>
      </c>
      <c r="AD816" s="338">
        <v>238</v>
      </c>
      <c r="AE816" s="338">
        <v>206</v>
      </c>
      <c r="AF816" s="338">
        <v>227</v>
      </c>
      <c r="AG816" s="338">
        <v>229</v>
      </c>
      <c r="AH816" s="338">
        <v>599</v>
      </c>
      <c r="AI816" s="338">
        <v>599</v>
      </c>
      <c r="AJ816" s="338">
        <v>0</v>
      </c>
      <c r="AK816" s="338">
        <v>0</v>
      </c>
      <c r="AL816" s="338">
        <v>3</v>
      </c>
      <c r="AM816" s="338">
        <v>0</v>
      </c>
      <c r="AN816" s="338">
        <v>26.746669769287109</v>
      </c>
      <c r="AO816" s="338">
        <v>0</v>
      </c>
      <c r="AP816" s="338">
        <v>0</v>
      </c>
      <c r="AQ816" s="338">
        <v>0</v>
      </c>
      <c r="AR816" s="338">
        <v>0</v>
      </c>
      <c r="AS816" s="338">
        <v>0</v>
      </c>
      <c r="AT816" s="338">
        <v>0</v>
      </c>
      <c r="AU816" s="338">
        <v>0</v>
      </c>
      <c r="AV816" s="338">
        <v>0</v>
      </c>
      <c r="AW816" s="338">
        <v>0</v>
      </c>
      <c r="AX816" s="338">
        <v>0</v>
      </c>
      <c r="AY816" s="338">
        <v>0</v>
      </c>
      <c r="AZ816" s="338">
        <v>0</v>
      </c>
      <c r="BA816" s="338">
        <v>0</v>
      </c>
      <c r="BB816" s="338">
        <v>0</v>
      </c>
      <c r="BC816" s="338">
        <v>0</v>
      </c>
      <c r="BD816" s="338">
        <v>0</v>
      </c>
      <c r="BE816" s="338">
        <v>0</v>
      </c>
      <c r="BF816" s="338" t="s">
        <v>5</v>
      </c>
      <c r="BG816" s="338" t="s">
        <v>5</v>
      </c>
      <c r="BH816" s="338"/>
      <c r="BI816" s="338"/>
      <c r="BJ816" s="338" t="s">
        <v>5</v>
      </c>
      <c r="BK816" s="338"/>
      <c r="BL816" s="338">
        <v>0</v>
      </c>
      <c r="BM816" s="338">
        <v>0</v>
      </c>
      <c r="BN816" s="338" t="s">
        <v>5</v>
      </c>
      <c r="BO816" s="338"/>
      <c r="BP816" s="338"/>
      <c r="BQ816" s="338"/>
      <c r="BR816" s="338"/>
      <c r="BS816" s="338" t="s">
        <v>5</v>
      </c>
      <c r="BT816" s="338"/>
      <c r="BU816" s="338"/>
      <c r="BV816" s="338"/>
      <c r="BW816" s="338"/>
      <c r="BX816" s="338" t="s">
        <v>6</v>
      </c>
      <c r="BY816" s="338" t="s">
        <v>3850</v>
      </c>
      <c r="BZ816" s="338"/>
      <c r="CA816"/>
      <c r="CB816" s="338" t="s">
        <v>5</v>
      </c>
      <c r="CC816" s="338">
        <v>4947.3595829678652</v>
      </c>
      <c r="CD816" s="338">
        <v>710413.35832950682</v>
      </c>
      <c r="CE816" s="313" t="s">
        <v>11891</v>
      </c>
    </row>
    <row r="817" spans="1:83" ht="15" x14ac:dyDescent="0.25">
      <c r="A817" s="338" t="s">
        <v>3952</v>
      </c>
      <c r="B817" s="338" t="s">
        <v>3953</v>
      </c>
      <c r="C817" s="338" t="s">
        <v>3954</v>
      </c>
      <c r="D817" s="338">
        <v>15</v>
      </c>
      <c r="E817" s="338" t="s">
        <v>3847</v>
      </c>
      <c r="F817" s="338" t="s">
        <v>3848</v>
      </c>
      <c r="G817" s="338" t="s">
        <v>4139</v>
      </c>
      <c r="H817" s="338" t="s">
        <v>4204</v>
      </c>
      <c r="I817" s="338" t="s">
        <v>4205</v>
      </c>
      <c r="J817" s="338"/>
      <c r="K817" s="338" t="s">
        <v>4155</v>
      </c>
      <c r="L817" s="338">
        <v>10.652310371398929</v>
      </c>
      <c r="M817" s="338" t="s">
        <v>6</v>
      </c>
      <c r="N817" s="338" t="s">
        <v>6</v>
      </c>
      <c r="O817" s="338" t="s">
        <v>5</v>
      </c>
      <c r="P817" s="338" t="s">
        <v>5</v>
      </c>
      <c r="Q817" s="338" t="s">
        <v>5</v>
      </c>
      <c r="R817" s="338" t="s">
        <v>4206</v>
      </c>
      <c r="S817" s="338" t="s">
        <v>4207</v>
      </c>
      <c r="T817" s="338" t="s">
        <v>6</v>
      </c>
      <c r="U817" s="338" t="s">
        <v>13</v>
      </c>
      <c r="V817" s="338">
        <v>500</v>
      </c>
      <c r="W817" s="338">
        <v>1000</v>
      </c>
      <c r="X817" s="338" t="s">
        <v>6</v>
      </c>
      <c r="Y817" s="338"/>
      <c r="Z817" s="338">
        <v>0</v>
      </c>
      <c r="AA817" s="338">
        <v>6.9289588928222656</v>
      </c>
      <c r="AB817" s="338">
        <v>2.7487342357635498</v>
      </c>
      <c r="AC817" s="338">
        <v>0</v>
      </c>
      <c r="AD817" s="338">
        <v>1736</v>
      </c>
      <c r="AE817" s="338">
        <v>1345</v>
      </c>
      <c r="AF817" s="338">
        <v>1235</v>
      </c>
      <c r="AG817" s="338">
        <v>5912</v>
      </c>
      <c r="AH817" s="338">
        <v>4670</v>
      </c>
      <c r="AI817" s="338">
        <v>5912</v>
      </c>
      <c r="AJ817" s="338">
        <v>1</v>
      </c>
      <c r="AK817" s="338">
        <v>0</v>
      </c>
      <c r="AL817" s="338">
        <v>25</v>
      </c>
      <c r="AM817" s="338">
        <v>0</v>
      </c>
      <c r="AN817" s="338">
        <v>85.986282348632813</v>
      </c>
      <c r="AO817" s="338">
        <v>0</v>
      </c>
      <c r="AP817" s="338">
        <v>0</v>
      </c>
      <c r="AQ817" s="338">
        <v>0</v>
      </c>
      <c r="AR817" s="338">
        <v>0</v>
      </c>
      <c r="AS817" s="338">
        <v>0</v>
      </c>
      <c r="AT817" s="338">
        <v>0</v>
      </c>
      <c r="AU817" s="338">
        <v>0</v>
      </c>
      <c r="AV817" s="338">
        <v>0</v>
      </c>
      <c r="AW817" s="338">
        <v>0</v>
      </c>
      <c r="AX817" s="338">
        <v>0</v>
      </c>
      <c r="AY817" s="338">
        <v>0</v>
      </c>
      <c r="AZ817" s="338">
        <v>0</v>
      </c>
      <c r="BA817" s="338">
        <v>0</v>
      </c>
      <c r="BB817" s="338">
        <v>0</v>
      </c>
      <c r="BC817" s="338">
        <v>0</v>
      </c>
      <c r="BD817" s="338">
        <v>0</v>
      </c>
      <c r="BE817" s="338">
        <v>0</v>
      </c>
      <c r="BF817" s="338" t="s">
        <v>5</v>
      </c>
      <c r="BG817" s="338" t="s">
        <v>5</v>
      </c>
      <c r="BH817" s="338"/>
      <c r="BI817" s="338"/>
      <c r="BJ817" s="338" t="s">
        <v>5</v>
      </c>
      <c r="BK817" s="338"/>
      <c r="BL817" s="338">
        <v>0</v>
      </c>
      <c r="BM817" s="338">
        <v>0</v>
      </c>
      <c r="BN817" s="338" t="s">
        <v>5</v>
      </c>
      <c r="BO817" s="338"/>
      <c r="BP817" s="338"/>
      <c r="BQ817" s="338"/>
      <c r="BR817" s="338"/>
      <c r="BS817" s="338" t="s">
        <v>5</v>
      </c>
      <c r="BT817" s="338"/>
      <c r="BU817" s="338"/>
      <c r="BV817" s="338"/>
      <c r="BW817" s="338"/>
      <c r="BX817" s="338" t="s">
        <v>6</v>
      </c>
      <c r="BY817" s="338" t="s">
        <v>3850</v>
      </c>
      <c r="BZ817" s="338"/>
      <c r="CA817"/>
      <c r="CB817" s="338" t="s">
        <v>5</v>
      </c>
      <c r="CC817" s="338">
        <v>50312.142921070466</v>
      </c>
      <c r="CD817" s="338">
        <v>27589511.638540901</v>
      </c>
      <c r="CE817" s="313" t="s">
        <v>11891</v>
      </c>
    </row>
    <row r="818" spans="1:83" ht="15" x14ac:dyDescent="0.25">
      <c r="A818" s="338" t="s">
        <v>3955</v>
      </c>
      <c r="B818" s="338" t="s">
        <v>3956</v>
      </c>
      <c r="C818" s="338" t="s">
        <v>3957</v>
      </c>
      <c r="D818" s="338">
        <v>15</v>
      </c>
      <c r="E818" s="338" t="s">
        <v>3847</v>
      </c>
      <c r="F818" s="338" t="s">
        <v>3848</v>
      </c>
      <c r="G818" s="338" t="s">
        <v>4139</v>
      </c>
      <c r="H818" s="338" t="s">
        <v>4204</v>
      </c>
      <c r="I818" s="338" t="s">
        <v>4205</v>
      </c>
      <c r="J818" s="338"/>
      <c r="K818" s="338" t="s">
        <v>4208</v>
      </c>
      <c r="L818" s="338">
        <v>10.652310371398929</v>
      </c>
      <c r="M818" s="338" t="s">
        <v>6</v>
      </c>
      <c r="N818" s="338" t="s">
        <v>6</v>
      </c>
      <c r="O818" s="338" t="s">
        <v>5</v>
      </c>
      <c r="P818" s="338" t="s">
        <v>5</v>
      </c>
      <c r="Q818" s="338" t="s">
        <v>5</v>
      </c>
      <c r="R818" s="338" t="s">
        <v>4206</v>
      </c>
      <c r="S818" s="338" t="s">
        <v>4207</v>
      </c>
      <c r="T818" s="338" t="s">
        <v>6</v>
      </c>
      <c r="U818" s="338" t="s">
        <v>50</v>
      </c>
      <c r="V818" s="338">
        <v>500</v>
      </c>
      <c r="W818" s="338">
        <v>1000</v>
      </c>
      <c r="X818" s="338" t="s">
        <v>6</v>
      </c>
      <c r="Y818" s="338"/>
      <c r="Z818" s="338">
        <v>0</v>
      </c>
      <c r="AA818" s="338">
        <v>6.9289588928222656</v>
      </c>
      <c r="AB818" s="338">
        <v>2.7487342357635498</v>
      </c>
      <c r="AC818" s="338">
        <v>0</v>
      </c>
      <c r="AD818" s="338">
        <v>1736</v>
      </c>
      <c r="AE818" s="338">
        <v>1345</v>
      </c>
      <c r="AF818" s="338">
        <v>1235</v>
      </c>
      <c r="AG818" s="338">
        <v>5912</v>
      </c>
      <c r="AH818" s="338">
        <v>4670</v>
      </c>
      <c r="AI818" s="338">
        <v>5912</v>
      </c>
      <c r="AJ818" s="338">
        <v>1</v>
      </c>
      <c r="AK818" s="338">
        <v>0</v>
      </c>
      <c r="AL818" s="338">
        <v>25</v>
      </c>
      <c r="AM818" s="338">
        <v>0</v>
      </c>
      <c r="AN818" s="338">
        <v>85.986282348632813</v>
      </c>
      <c r="AO818" s="338">
        <v>0</v>
      </c>
      <c r="AP818" s="338">
        <v>0</v>
      </c>
      <c r="AQ818" s="338">
        <v>0</v>
      </c>
      <c r="AR818" s="338">
        <v>0</v>
      </c>
      <c r="AS818" s="338">
        <v>0</v>
      </c>
      <c r="AT818" s="338">
        <v>0</v>
      </c>
      <c r="AU818" s="338">
        <v>0</v>
      </c>
      <c r="AV818" s="338">
        <v>0</v>
      </c>
      <c r="AW818" s="338">
        <v>0</v>
      </c>
      <c r="AX818" s="338">
        <v>0</v>
      </c>
      <c r="AY818" s="338">
        <v>0</v>
      </c>
      <c r="AZ818" s="338">
        <v>0</v>
      </c>
      <c r="BA818" s="338">
        <v>0</v>
      </c>
      <c r="BB818" s="338">
        <v>0</v>
      </c>
      <c r="BC818" s="338">
        <v>0</v>
      </c>
      <c r="BD818" s="338">
        <v>0</v>
      </c>
      <c r="BE818" s="338">
        <v>0</v>
      </c>
      <c r="BF818" s="338" t="s">
        <v>5</v>
      </c>
      <c r="BG818" s="338" t="s">
        <v>5</v>
      </c>
      <c r="BH818" s="338"/>
      <c r="BI818" s="338"/>
      <c r="BJ818" s="338" t="s">
        <v>5</v>
      </c>
      <c r="BK818" s="338"/>
      <c r="BL818" s="338">
        <v>0</v>
      </c>
      <c r="BM818" s="338">
        <v>0</v>
      </c>
      <c r="BN818" s="338" t="s">
        <v>5</v>
      </c>
      <c r="BO818" s="338"/>
      <c r="BP818" s="338"/>
      <c r="BQ818" s="338"/>
      <c r="BR818" s="338"/>
      <c r="BS818" s="338" t="s">
        <v>5</v>
      </c>
      <c r="BT818" s="338"/>
      <c r="BU818" s="338"/>
      <c r="BV818" s="338"/>
      <c r="BW818" s="338"/>
      <c r="BX818" s="338" t="s">
        <v>6</v>
      </c>
      <c r="BY818" s="338" t="s">
        <v>3850</v>
      </c>
      <c r="BZ818" s="338"/>
      <c r="CA818"/>
      <c r="CB818" s="338" t="s">
        <v>5</v>
      </c>
      <c r="CC818" s="338">
        <v>50312.142921070466</v>
      </c>
      <c r="CD818" s="338">
        <v>27589511.638540901</v>
      </c>
      <c r="CE818" s="313" t="s">
        <v>11891</v>
      </c>
    </row>
    <row r="819" spans="1:83" ht="15" x14ac:dyDescent="0.25">
      <c r="A819" s="338" t="s">
        <v>3958</v>
      </c>
      <c r="B819" s="338" t="s">
        <v>3959</v>
      </c>
      <c r="C819" s="338" t="s">
        <v>3960</v>
      </c>
      <c r="D819" s="338">
        <v>15</v>
      </c>
      <c r="E819" s="338" t="s">
        <v>3847</v>
      </c>
      <c r="F819" s="338" t="s">
        <v>3848</v>
      </c>
      <c r="G819" s="338" t="s">
        <v>4139</v>
      </c>
      <c r="H819" s="338" t="s">
        <v>4204</v>
      </c>
      <c r="I819" s="338" t="s">
        <v>4205</v>
      </c>
      <c r="J819" s="338"/>
      <c r="K819" s="338" t="s">
        <v>4180</v>
      </c>
      <c r="L819" s="338">
        <v>10.652310371398929</v>
      </c>
      <c r="M819" s="338" t="s">
        <v>6</v>
      </c>
      <c r="N819" s="338" t="s">
        <v>6</v>
      </c>
      <c r="O819" s="338" t="s">
        <v>5</v>
      </c>
      <c r="P819" s="338" t="s">
        <v>5</v>
      </c>
      <c r="Q819" s="338" t="s">
        <v>5</v>
      </c>
      <c r="R819" s="338" t="s">
        <v>4206</v>
      </c>
      <c r="S819" s="338" t="s">
        <v>4207</v>
      </c>
      <c r="T819" s="338" t="s">
        <v>6</v>
      </c>
      <c r="U819" s="338" t="s">
        <v>50</v>
      </c>
      <c r="V819" s="338">
        <v>500</v>
      </c>
      <c r="W819" s="338">
        <v>1000</v>
      </c>
      <c r="X819" s="338" t="s">
        <v>6</v>
      </c>
      <c r="Y819" s="338"/>
      <c r="Z819" s="338">
        <v>0</v>
      </c>
      <c r="AA819" s="338">
        <v>6.9289588928222656</v>
      </c>
      <c r="AB819" s="338">
        <v>2.7487342357635498</v>
      </c>
      <c r="AC819" s="338">
        <v>0</v>
      </c>
      <c r="AD819" s="338">
        <v>1736</v>
      </c>
      <c r="AE819" s="338">
        <v>1345</v>
      </c>
      <c r="AF819" s="338">
        <v>1235</v>
      </c>
      <c r="AG819" s="338">
        <v>5912</v>
      </c>
      <c r="AH819" s="338">
        <v>4670</v>
      </c>
      <c r="AI819" s="338">
        <v>5912</v>
      </c>
      <c r="AJ819" s="338">
        <v>1</v>
      </c>
      <c r="AK819" s="338">
        <v>0</v>
      </c>
      <c r="AL819" s="338">
        <v>25</v>
      </c>
      <c r="AM819" s="338">
        <v>0</v>
      </c>
      <c r="AN819" s="338">
        <v>85.986282348632813</v>
      </c>
      <c r="AO819" s="338">
        <v>0</v>
      </c>
      <c r="AP819" s="338">
        <v>0</v>
      </c>
      <c r="AQ819" s="338">
        <v>0</v>
      </c>
      <c r="AR819" s="338">
        <v>0</v>
      </c>
      <c r="AS819" s="338">
        <v>0</v>
      </c>
      <c r="AT819" s="338">
        <v>0</v>
      </c>
      <c r="AU819" s="338">
        <v>0</v>
      </c>
      <c r="AV819" s="338">
        <v>0</v>
      </c>
      <c r="AW819" s="338">
        <v>0</v>
      </c>
      <c r="AX819" s="338">
        <v>0</v>
      </c>
      <c r="AY819" s="338">
        <v>0</v>
      </c>
      <c r="AZ819" s="338">
        <v>0</v>
      </c>
      <c r="BA819" s="338">
        <v>0</v>
      </c>
      <c r="BB819" s="338">
        <v>0</v>
      </c>
      <c r="BC819" s="338">
        <v>0</v>
      </c>
      <c r="BD819" s="338">
        <v>0</v>
      </c>
      <c r="BE819" s="338">
        <v>0</v>
      </c>
      <c r="BF819" s="338" t="s">
        <v>5</v>
      </c>
      <c r="BG819" s="338" t="s">
        <v>5</v>
      </c>
      <c r="BH819" s="338"/>
      <c r="BI819" s="338"/>
      <c r="BJ819" s="338" t="s">
        <v>5</v>
      </c>
      <c r="BK819" s="338"/>
      <c r="BL819" s="338">
        <v>0</v>
      </c>
      <c r="BM819" s="338">
        <v>0</v>
      </c>
      <c r="BN819" s="338" t="s">
        <v>5</v>
      </c>
      <c r="BO819" s="338"/>
      <c r="BP819" s="338"/>
      <c r="BQ819" s="338"/>
      <c r="BR819" s="338"/>
      <c r="BS819" s="338" t="s">
        <v>5</v>
      </c>
      <c r="BT819" s="338"/>
      <c r="BU819" s="338"/>
      <c r="BV819" s="338"/>
      <c r="BW819" s="338"/>
      <c r="BX819" s="338" t="s">
        <v>6</v>
      </c>
      <c r="BY819" s="338" t="s">
        <v>3850</v>
      </c>
      <c r="BZ819" s="338"/>
      <c r="CA819"/>
      <c r="CB819" s="338" t="s">
        <v>5</v>
      </c>
      <c r="CC819" s="338">
        <v>50312.142921070466</v>
      </c>
      <c r="CD819" s="338">
        <v>27589511.638540901</v>
      </c>
      <c r="CE819" s="313" t="s">
        <v>11891</v>
      </c>
    </row>
    <row r="820" spans="1:83" ht="15" x14ac:dyDescent="0.25">
      <c r="A820" s="338" t="s">
        <v>3961</v>
      </c>
      <c r="B820" s="338" t="s">
        <v>3962</v>
      </c>
      <c r="C820" s="338" t="s">
        <v>3963</v>
      </c>
      <c r="D820" s="338">
        <v>15</v>
      </c>
      <c r="E820" s="338" t="s">
        <v>3847</v>
      </c>
      <c r="F820" s="338" t="s">
        <v>3848</v>
      </c>
      <c r="G820" s="338" t="s">
        <v>4139</v>
      </c>
      <c r="H820" s="338" t="s">
        <v>4204</v>
      </c>
      <c r="I820" s="338" t="s">
        <v>4205</v>
      </c>
      <c r="J820" s="338"/>
      <c r="K820" s="338" t="s">
        <v>4155</v>
      </c>
      <c r="L820" s="338">
        <v>10.652310371398929</v>
      </c>
      <c r="M820" s="338" t="s">
        <v>6</v>
      </c>
      <c r="N820" s="338" t="s">
        <v>6</v>
      </c>
      <c r="O820" s="338" t="s">
        <v>5</v>
      </c>
      <c r="P820" s="338" t="s">
        <v>5</v>
      </c>
      <c r="Q820" s="338" t="s">
        <v>5</v>
      </c>
      <c r="R820" s="338" t="s">
        <v>4206</v>
      </c>
      <c r="S820" s="338" t="s">
        <v>4207</v>
      </c>
      <c r="T820" s="338" t="s">
        <v>6</v>
      </c>
      <c r="U820" s="338" t="s">
        <v>28</v>
      </c>
      <c r="V820" s="338">
        <v>500</v>
      </c>
      <c r="W820" s="338">
        <v>1000</v>
      </c>
      <c r="X820" s="338" t="s">
        <v>6</v>
      </c>
      <c r="Y820" s="338"/>
      <c r="Z820" s="338">
        <v>0</v>
      </c>
      <c r="AA820" s="338">
        <v>6.9289588928222656</v>
      </c>
      <c r="AB820" s="338">
        <v>2.7487342357635498</v>
      </c>
      <c r="AC820" s="338">
        <v>0</v>
      </c>
      <c r="AD820" s="338">
        <v>1736</v>
      </c>
      <c r="AE820" s="338">
        <v>1345</v>
      </c>
      <c r="AF820" s="338">
        <v>1235</v>
      </c>
      <c r="AG820" s="338">
        <v>5912</v>
      </c>
      <c r="AH820" s="338">
        <v>4670</v>
      </c>
      <c r="AI820" s="338">
        <v>5912</v>
      </c>
      <c r="AJ820" s="338">
        <v>1</v>
      </c>
      <c r="AK820" s="338">
        <v>0</v>
      </c>
      <c r="AL820" s="338">
        <v>25</v>
      </c>
      <c r="AM820" s="338">
        <v>0</v>
      </c>
      <c r="AN820" s="338">
        <v>85.986282348632813</v>
      </c>
      <c r="AO820" s="338">
        <v>0</v>
      </c>
      <c r="AP820" s="338">
        <v>0</v>
      </c>
      <c r="AQ820" s="338">
        <v>0</v>
      </c>
      <c r="AR820" s="338">
        <v>0</v>
      </c>
      <c r="AS820" s="338">
        <v>0</v>
      </c>
      <c r="AT820" s="338">
        <v>0</v>
      </c>
      <c r="AU820" s="338">
        <v>0</v>
      </c>
      <c r="AV820" s="338">
        <v>0</v>
      </c>
      <c r="AW820" s="338">
        <v>0</v>
      </c>
      <c r="AX820" s="338">
        <v>0</v>
      </c>
      <c r="AY820" s="338">
        <v>0</v>
      </c>
      <c r="AZ820" s="338">
        <v>0</v>
      </c>
      <c r="BA820" s="338">
        <v>0</v>
      </c>
      <c r="BB820" s="338">
        <v>0</v>
      </c>
      <c r="BC820" s="338">
        <v>0</v>
      </c>
      <c r="BD820" s="338">
        <v>0</v>
      </c>
      <c r="BE820" s="338">
        <v>0</v>
      </c>
      <c r="BF820" s="338" t="s">
        <v>5</v>
      </c>
      <c r="BG820" s="338" t="s">
        <v>5</v>
      </c>
      <c r="BH820" s="338"/>
      <c r="BI820" s="338"/>
      <c r="BJ820" s="338" t="s">
        <v>5</v>
      </c>
      <c r="BK820" s="338"/>
      <c r="BL820" s="338">
        <v>0</v>
      </c>
      <c r="BM820" s="338">
        <v>0</v>
      </c>
      <c r="BN820" s="338" t="s">
        <v>5</v>
      </c>
      <c r="BO820" s="338"/>
      <c r="BP820" s="338"/>
      <c r="BQ820" s="338"/>
      <c r="BR820" s="338"/>
      <c r="BS820" s="338" t="s">
        <v>5</v>
      </c>
      <c r="BT820" s="338"/>
      <c r="BU820" s="338"/>
      <c r="BV820" s="338"/>
      <c r="BW820" s="338"/>
      <c r="BX820" s="338" t="s">
        <v>6</v>
      </c>
      <c r="BY820" s="338" t="s">
        <v>3850</v>
      </c>
      <c r="BZ820" s="338"/>
      <c r="CA820"/>
      <c r="CB820" s="338" t="s">
        <v>5</v>
      </c>
      <c r="CC820" s="338">
        <v>50312.142921070466</v>
      </c>
      <c r="CD820" s="338">
        <v>27589511.638540901</v>
      </c>
      <c r="CE820" s="313" t="s">
        <v>11891</v>
      </c>
    </row>
    <row r="821" spans="1:83" ht="15" x14ac:dyDescent="0.25">
      <c r="A821" s="338" t="s">
        <v>3964</v>
      </c>
      <c r="B821" s="338" t="s">
        <v>3965</v>
      </c>
      <c r="C821" s="338" t="s">
        <v>3966</v>
      </c>
      <c r="D821" s="338">
        <v>15</v>
      </c>
      <c r="E821" s="338" t="s">
        <v>3847</v>
      </c>
      <c r="F821" s="338" t="s">
        <v>3848</v>
      </c>
      <c r="G821" s="338" t="s">
        <v>4139</v>
      </c>
      <c r="H821" s="338" t="s">
        <v>4204</v>
      </c>
      <c r="I821" s="338" t="s">
        <v>4205</v>
      </c>
      <c r="J821" s="338"/>
      <c r="K821" s="338" t="s">
        <v>4209</v>
      </c>
      <c r="L821" s="338">
        <v>10.652310371398929</v>
      </c>
      <c r="M821" s="338" t="s">
        <v>6</v>
      </c>
      <c r="N821" s="338" t="s">
        <v>6</v>
      </c>
      <c r="O821" s="338" t="s">
        <v>5</v>
      </c>
      <c r="P821" s="338" t="s">
        <v>5</v>
      </c>
      <c r="Q821" s="338" t="s">
        <v>5</v>
      </c>
      <c r="R821" s="338" t="s">
        <v>4206</v>
      </c>
      <c r="S821" s="338" t="s">
        <v>4207</v>
      </c>
      <c r="T821" s="338" t="s">
        <v>6</v>
      </c>
      <c r="U821" s="338" t="s">
        <v>28</v>
      </c>
      <c r="V821" s="338">
        <v>100000</v>
      </c>
      <c r="W821" s="338">
        <v>1000</v>
      </c>
      <c r="X821" s="338" t="s">
        <v>6</v>
      </c>
      <c r="Y821" s="338"/>
      <c r="Z821" s="338">
        <v>0</v>
      </c>
      <c r="AA821" s="338">
        <v>6.9289588928222656</v>
      </c>
      <c r="AB821" s="338">
        <v>2.7487342357635498</v>
      </c>
      <c r="AC821" s="338">
        <v>0</v>
      </c>
      <c r="AD821" s="338">
        <v>1736</v>
      </c>
      <c r="AE821" s="338">
        <v>1345</v>
      </c>
      <c r="AF821" s="338">
        <v>1235</v>
      </c>
      <c r="AG821" s="338">
        <v>5912</v>
      </c>
      <c r="AH821" s="338">
        <v>4670</v>
      </c>
      <c r="AI821" s="338">
        <v>5912</v>
      </c>
      <c r="AJ821" s="338">
        <v>1</v>
      </c>
      <c r="AK821" s="338">
        <v>0</v>
      </c>
      <c r="AL821" s="338">
        <v>25</v>
      </c>
      <c r="AM821" s="338">
        <v>0</v>
      </c>
      <c r="AN821" s="338">
        <v>85.986282348632813</v>
      </c>
      <c r="AO821" s="338">
        <v>0</v>
      </c>
      <c r="AP821" s="338">
        <v>0</v>
      </c>
      <c r="AQ821" s="338">
        <v>0</v>
      </c>
      <c r="AR821" s="338">
        <v>0</v>
      </c>
      <c r="AS821" s="338">
        <v>0</v>
      </c>
      <c r="AT821" s="338">
        <v>0</v>
      </c>
      <c r="AU821" s="338">
        <v>0</v>
      </c>
      <c r="AV821" s="338">
        <v>0</v>
      </c>
      <c r="AW821" s="338">
        <v>0</v>
      </c>
      <c r="AX821" s="338">
        <v>0</v>
      </c>
      <c r="AY821" s="338">
        <v>0</v>
      </c>
      <c r="AZ821" s="338">
        <v>0</v>
      </c>
      <c r="BA821" s="338">
        <v>0</v>
      </c>
      <c r="BB821" s="338">
        <v>0</v>
      </c>
      <c r="BC821" s="338">
        <v>0</v>
      </c>
      <c r="BD821" s="338">
        <v>0</v>
      </c>
      <c r="BE821" s="338">
        <v>0</v>
      </c>
      <c r="BF821" s="338" t="s">
        <v>5</v>
      </c>
      <c r="BG821" s="338" t="s">
        <v>5</v>
      </c>
      <c r="BH821" s="338"/>
      <c r="BI821" s="338"/>
      <c r="BJ821" s="338" t="s">
        <v>5</v>
      </c>
      <c r="BK821" s="338"/>
      <c r="BL821" s="338">
        <v>0</v>
      </c>
      <c r="BM821" s="338">
        <v>0</v>
      </c>
      <c r="BN821" s="338" t="s">
        <v>5</v>
      </c>
      <c r="BO821" s="338"/>
      <c r="BP821" s="338"/>
      <c r="BQ821" s="338"/>
      <c r="BR821" s="338"/>
      <c r="BS821" s="338" t="s">
        <v>5</v>
      </c>
      <c r="BT821" s="338"/>
      <c r="BU821" s="338"/>
      <c r="BV821" s="338"/>
      <c r="BW821" s="338"/>
      <c r="BX821" s="338" t="s">
        <v>6</v>
      </c>
      <c r="BY821" s="338" t="s">
        <v>3850</v>
      </c>
      <c r="BZ821" s="338"/>
      <c r="CA821"/>
      <c r="CB821" s="338" t="s">
        <v>5</v>
      </c>
      <c r="CC821" s="338">
        <v>50312.142921070466</v>
      </c>
      <c r="CD821" s="338">
        <v>27589511.638540901</v>
      </c>
      <c r="CE821" s="313" t="s">
        <v>11891</v>
      </c>
    </row>
    <row r="822" spans="1:83" ht="15" x14ac:dyDescent="0.25">
      <c r="A822" s="338" t="s">
        <v>3967</v>
      </c>
      <c r="B822" s="338" t="s">
        <v>3968</v>
      </c>
      <c r="C822" s="338" t="s">
        <v>3969</v>
      </c>
      <c r="D822" s="338">
        <v>15</v>
      </c>
      <c r="E822" s="338" t="s">
        <v>3847</v>
      </c>
      <c r="F822" s="338" t="s">
        <v>3848</v>
      </c>
      <c r="G822" s="338" t="s">
        <v>3849</v>
      </c>
      <c r="H822" s="338" t="s">
        <v>4210</v>
      </c>
      <c r="I822" s="338" t="s">
        <v>4211</v>
      </c>
      <c r="J822" s="338"/>
      <c r="K822" s="338" t="s">
        <v>4180</v>
      </c>
      <c r="L822" s="338">
        <v>2.7920713424682622</v>
      </c>
      <c r="M822" s="338" t="s">
        <v>6</v>
      </c>
      <c r="N822" s="338" t="s">
        <v>5</v>
      </c>
      <c r="O822" s="338" t="s">
        <v>5</v>
      </c>
      <c r="P822" s="338" t="s">
        <v>5</v>
      </c>
      <c r="Q822" s="338" t="s">
        <v>5</v>
      </c>
      <c r="R822" s="338" t="s">
        <v>3991</v>
      </c>
      <c r="S822" s="338" t="s">
        <v>4212</v>
      </c>
      <c r="T822" s="338" t="s">
        <v>6</v>
      </c>
      <c r="U822" s="338" t="s">
        <v>50</v>
      </c>
      <c r="V822" s="338">
        <v>5000</v>
      </c>
      <c r="W822" s="338">
        <v>1000</v>
      </c>
      <c r="X822" s="338" t="s">
        <v>6</v>
      </c>
      <c r="Y822" s="338"/>
      <c r="Z822" s="338">
        <v>0</v>
      </c>
      <c r="AA822" s="338">
        <v>0.96030354499816895</v>
      </c>
      <c r="AB822" s="338">
        <v>0.84396493434906006</v>
      </c>
      <c r="AC822" s="338">
        <v>3.4405175596475601E-2</v>
      </c>
      <c r="AD822" s="338">
        <v>947</v>
      </c>
      <c r="AE822" s="338">
        <v>635</v>
      </c>
      <c r="AF822" s="338">
        <v>867</v>
      </c>
      <c r="AG822" s="338">
        <v>2580</v>
      </c>
      <c r="AH822" s="338">
        <v>3020</v>
      </c>
      <c r="AI822" s="338">
        <v>3020</v>
      </c>
      <c r="AJ822" s="338">
        <v>0</v>
      </c>
      <c r="AK822" s="338">
        <v>0</v>
      </c>
      <c r="AL822" s="338">
        <v>12</v>
      </c>
      <c r="AM822" s="338">
        <v>0</v>
      </c>
      <c r="AN822" s="338">
        <v>605.49029541015625</v>
      </c>
      <c r="AO822" s="338">
        <v>0</v>
      </c>
      <c r="AP822" s="338">
        <v>0</v>
      </c>
      <c r="AQ822" s="338">
        <v>0</v>
      </c>
      <c r="AR822" s="338">
        <v>0</v>
      </c>
      <c r="AS822" s="338">
        <v>0</v>
      </c>
      <c r="AT822" s="338">
        <v>0</v>
      </c>
      <c r="AU822" s="338">
        <v>0</v>
      </c>
      <c r="AV822" s="338">
        <v>0</v>
      </c>
      <c r="AW822" s="338">
        <v>0</v>
      </c>
      <c r="AX822" s="338">
        <v>0</v>
      </c>
      <c r="AY822" s="338">
        <v>0</v>
      </c>
      <c r="AZ822" s="338">
        <v>0</v>
      </c>
      <c r="BA822" s="338">
        <v>0</v>
      </c>
      <c r="BB822" s="338">
        <v>0</v>
      </c>
      <c r="BC822" s="338">
        <v>0</v>
      </c>
      <c r="BD822" s="338">
        <v>0</v>
      </c>
      <c r="BE822" s="338">
        <v>0</v>
      </c>
      <c r="BF822" s="338" t="s">
        <v>5</v>
      </c>
      <c r="BG822" s="338" t="s">
        <v>5</v>
      </c>
      <c r="BH822" s="338"/>
      <c r="BI822" s="338"/>
      <c r="BJ822" s="338" t="s">
        <v>5</v>
      </c>
      <c r="BK822" s="338"/>
      <c r="BL822" s="338">
        <v>0</v>
      </c>
      <c r="BM822" s="338">
        <v>0</v>
      </c>
      <c r="BN822" s="338" t="s">
        <v>5</v>
      </c>
      <c r="BO822" s="338"/>
      <c r="BP822" s="338"/>
      <c r="BQ822" s="338"/>
      <c r="BR822" s="338"/>
      <c r="BS822" s="338" t="s">
        <v>5</v>
      </c>
      <c r="BT822" s="338"/>
      <c r="BU822" s="338"/>
      <c r="BV822" s="338"/>
      <c r="BW822" s="338"/>
      <c r="BX822" s="338" t="s">
        <v>6</v>
      </c>
      <c r="BY822" s="338" t="s">
        <v>3850</v>
      </c>
      <c r="BZ822" s="338"/>
      <c r="CA822"/>
      <c r="CB822" s="338" t="s">
        <v>5</v>
      </c>
      <c r="CC822" s="338">
        <v>36100.525557018591</v>
      </c>
      <c r="CD822" s="338">
        <v>7231472.2386045614</v>
      </c>
      <c r="CE822" s="313" t="s">
        <v>11891</v>
      </c>
    </row>
    <row r="823" spans="1:83" ht="15" x14ac:dyDescent="0.25">
      <c r="A823" s="338" t="s">
        <v>3970</v>
      </c>
      <c r="B823" s="338" t="s">
        <v>3971</v>
      </c>
      <c r="C823" s="338" t="s">
        <v>3972</v>
      </c>
      <c r="D823" s="338">
        <v>15</v>
      </c>
      <c r="E823" s="338" t="s">
        <v>3847</v>
      </c>
      <c r="F823" s="338" t="s">
        <v>3848</v>
      </c>
      <c r="G823" s="338" t="s">
        <v>3849</v>
      </c>
      <c r="H823" s="338" t="s">
        <v>4210</v>
      </c>
      <c r="I823" s="338" t="s">
        <v>4211</v>
      </c>
      <c r="J823" s="338"/>
      <c r="K823" s="338" t="s">
        <v>4180</v>
      </c>
      <c r="L823" s="338">
        <v>2.7920713424682622</v>
      </c>
      <c r="M823" s="338" t="s">
        <v>6</v>
      </c>
      <c r="N823" s="338" t="s">
        <v>5</v>
      </c>
      <c r="O823" s="338" t="s">
        <v>5</v>
      </c>
      <c r="P823" s="338" t="s">
        <v>5</v>
      </c>
      <c r="Q823" s="338" t="s">
        <v>5</v>
      </c>
      <c r="R823" s="338" t="s">
        <v>3991</v>
      </c>
      <c r="S823" s="338" t="s">
        <v>4212</v>
      </c>
      <c r="T823" s="338" t="s">
        <v>6</v>
      </c>
      <c r="U823" s="338" t="s">
        <v>50</v>
      </c>
      <c r="V823" s="338">
        <v>5000</v>
      </c>
      <c r="W823" s="338">
        <v>1000</v>
      </c>
      <c r="X823" s="338" t="s">
        <v>6</v>
      </c>
      <c r="Y823" s="338"/>
      <c r="Z823" s="338">
        <v>0</v>
      </c>
      <c r="AA823" s="338">
        <v>0.96030354499816895</v>
      </c>
      <c r="AB823" s="338">
        <v>0.84396493434906006</v>
      </c>
      <c r="AC823" s="338">
        <v>3.4405175596475601E-2</v>
      </c>
      <c r="AD823" s="338">
        <v>947</v>
      </c>
      <c r="AE823" s="338">
        <v>635</v>
      </c>
      <c r="AF823" s="338">
        <v>867</v>
      </c>
      <c r="AG823" s="338">
        <v>2580</v>
      </c>
      <c r="AH823" s="338">
        <v>3020</v>
      </c>
      <c r="AI823" s="338">
        <v>3020</v>
      </c>
      <c r="AJ823" s="338">
        <v>0</v>
      </c>
      <c r="AK823" s="338">
        <v>0</v>
      </c>
      <c r="AL823" s="338">
        <v>12</v>
      </c>
      <c r="AM823" s="338">
        <v>0</v>
      </c>
      <c r="AN823" s="338">
        <v>605.49029541015625</v>
      </c>
      <c r="AO823" s="338">
        <v>0</v>
      </c>
      <c r="AP823" s="338">
        <v>0</v>
      </c>
      <c r="AQ823" s="338">
        <v>0</v>
      </c>
      <c r="AR823" s="338">
        <v>0</v>
      </c>
      <c r="AS823" s="338">
        <v>0</v>
      </c>
      <c r="AT823" s="338">
        <v>0</v>
      </c>
      <c r="AU823" s="338">
        <v>0</v>
      </c>
      <c r="AV823" s="338">
        <v>0</v>
      </c>
      <c r="AW823" s="338">
        <v>0</v>
      </c>
      <c r="AX823" s="338">
        <v>0</v>
      </c>
      <c r="AY823" s="338">
        <v>0</v>
      </c>
      <c r="AZ823" s="338">
        <v>0</v>
      </c>
      <c r="BA823" s="338">
        <v>0</v>
      </c>
      <c r="BB823" s="338">
        <v>0</v>
      </c>
      <c r="BC823" s="338">
        <v>0</v>
      </c>
      <c r="BD823" s="338">
        <v>0</v>
      </c>
      <c r="BE823" s="338">
        <v>0</v>
      </c>
      <c r="BF823" s="338" t="s">
        <v>5</v>
      </c>
      <c r="BG823" s="338" t="s">
        <v>5</v>
      </c>
      <c r="BH823" s="338"/>
      <c r="BI823" s="338"/>
      <c r="BJ823" s="338" t="s">
        <v>5</v>
      </c>
      <c r="BK823" s="338"/>
      <c r="BL823" s="338">
        <v>0</v>
      </c>
      <c r="BM823" s="338">
        <v>0</v>
      </c>
      <c r="BN823" s="338" t="s">
        <v>5</v>
      </c>
      <c r="BO823" s="338"/>
      <c r="BP823" s="338"/>
      <c r="BQ823" s="338"/>
      <c r="BR823" s="338"/>
      <c r="BS823" s="338" t="s">
        <v>5</v>
      </c>
      <c r="BT823" s="338"/>
      <c r="BU823" s="338"/>
      <c r="BV823" s="338"/>
      <c r="BW823" s="338"/>
      <c r="BX823" s="338" t="s">
        <v>6</v>
      </c>
      <c r="BY823" s="338" t="s">
        <v>3850</v>
      </c>
      <c r="BZ823" s="338"/>
      <c r="CA823"/>
      <c r="CB823" s="338" t="s">
        <v>5</v>
      </c>
      <c r="CC823" s="338">
        <v>36100.525557018591</v>
      </c>
      <c r="CD823" s="338">
        <v>7231472.2386045614</v>
      </c>
      <c r="CE823" s="313" t="s">
        <v>11891</v>
      </c>
    </row>
    <row r="824" spans="1:83" ht="15" x14ac:dyDescent="0.25">
      <c r="A824" s="338" t="s">
        <v>3973</v>
      </c>
      <c r="B824" s="338" t="s">
        <v>3974</v>
      </c>
      <c r="C824" s="338" t="s">
        <v>3975</v>
      </c>
      <c r="D824" s="338">
        <v>15</v>
      </c>
      <c r="E824" s="338" t="s">
        <v>3847</v>
      </c>
      <c r="F824" s="338" t="s">
        <v>3848</v>
      </c>
      <c r="G824" s="338" t="s">
        <v>3849</v>
      </c>
      <c r="H824" s="338" t="s">
        <v>4210</v>
      </c>
      <c r="I824" s="338" t="s">
        <v>4211</v>
      </c>
      <c r="J824" s="338"/>
      <c r="K824" s="338" t="s">
        <v>4209</v>
      </c>
      <c r="L824" s="338">
        <v>2.7920713424682622</v>
      </c>
      <c r="M824" s="338" t="s">
        <v>6</v>
      </c>
      <c r="N824" s="338" t="s">
        <v>5</v>
      </c>
      <c r="O824" s="338" t="s">
        <v>5</v>
      </c>
      <c r="P824" s="338" t="s">
        <v>5</v>
      </c>
      <c r="Q824" s="338" t="s">
        <v>5</v>
      </c>
      <c r="R824" s="338" t="s">
        <v>3991</v>
      </c>
      <c r="S824" s="338" t="s">
        <v>4212</v>
      </c>
      <c r="T824" s="338" t="s">
        <v>6</v>
      </c>
      <c r="U824" s="338" t="s">
        <v>28</v>
      </c>
      <c r="V824" s="338">
        <v>75000</v>
      </c>
      <c r="W824" s="338">
        <v>1000</v>
      </c>
      <c r="X824" s="338" t="s">
        <v>6</v>
      </c>
      <c r="Y824" s="338"/>
      <c r="Z824" s="338">
        <v>0</v>
      </c>
      <c r="AA824" s="338">
        <v>0.96030354499816895</v>
      </c>
      <c r="AB824" s="338">
        <v>0.84396493434906006</v>
      </c>
      <c r="AC824" s="338">
        <v>3.4405175596475601E-2</v>
      </c>
      <c r="AD824" s="338">
        <v>947</v>
      </c>
      <c r="AE824" s="338">
        <v>635</v>
      </c>
      <c r="AF824" s="338">
        <v>867</v>
      </c>
      <c r="AG824" s="338">
        <v>2580</v>
      </c>
      <c r="AH824" s="338">
        <v>3020</v>
      </c>
      <c r="AI824" s="338">
        <v>3020</v>
      </c>
      <c r="AJ824" s="338">
        <v>0</v>
      </c>
      <c r="AK824" s="338">
        <v>0</v>
      </c>
      <c r="AL824" s="338">
        <v>12</v>
      </c>
      <c r="AM824" s="338">
        <v>0</v>
      </c>
      <c r="AN824" s="338">
        <v>605.49029541015625</v>
      </c>
      <c r="AO824" s="338">
        <v>0</v>
      </c>
      <c r="AP824" s="338">
        <v>0</v>
      </c>
      <c r="AQ824" s="338">
        <v>0</v>
      </c>
      <c r="AR824" s="338">
        <v>0</v>
      </c>
      <c r="AS824" s="338">
        <v>0</v>
      </c>
      <c r="AT824" s="338">
        <v>0</v>
      </c>
      <c r="AU824" s="338">
        <v>0</v>
      </c>
      <c r="AV824" s="338">
        <v>0</v>
      </c>
      <c r="AW824" s="338">
        <v>0</v>
      </c>
      <c r="AX824" s="338">
        <v>0</v>
      </c>
      <c r="AY824" s="338">
        <v>0</v>
      </c>
      <c r="AZ824" s="338">
        <v>0</v>
      </c>
      <c r="BA824" s="338">
        <v>0</v>
      </c>
      <c r="BB824" s="338">
        <v>0</v>
      </c>
      <c r="BC824" s="338">
        <v>0</v>
      </c>
      <c r="BD824" s="338">
        <v>0</v>
      </c>
      <c r="BE824" s="338">
        <v>0</v>
      </c>
      <c r="BF824" s="338" t="s">
        <v>5</v>
      </c>
      <c r="BG824" s="338" t="s">
        <v>5</v>
      </c>
      <c r="BH824" s="338"/>
      <c r="BI824" s="338"/>
      <c r="BJ824" s="338" t="s">
        <v>5</v>
      </c>
      <c r="BK824" s="338"/>
      <c r="BL824" s="338">
        <v>0</v>
      </c>
      <c r="BM824" s="338">
        <v>0</v>
      </c>
      <c r="BN824" s="338" t="s">
        <v>5</v>
      </c>
      <c r="BO824" s="338"/>
      <c r="BP824" s="338"/>
      <c r="BQ824" s="338"/>
      <c r="BR824" s="338"/>
      <c r="BS824" s="338" t="s">
        <v>5</v>
      </c>
      <c r="BT824" s="338"/>
      <c r="BU824" s="338"/>
      <c r="BV824" s="338"/>
      <c r="BW824" s="338"/>
      <c r="BX824" s="338" t="s">
        <v>6</v>
      </c>
      <c r="BY824" s="338" t="s">
        <v>3850</v>
      </c>
      <c r="BZ824" s="338"/>
      <c r="CA824"/>
      <c r="CB824" s="338" t="s">
        <v>5</v>
      </c>
      <c r="CC824" s="338">
        <v>36100.525557018591</v>
      </c>
      <c r="CD824" s="338">
        <v>7231472.2386045614</v>
      </c>
      <c r="CE824" s="313" t="s">
        <v>11891</v>
      </c>
    </row>
    <row r="825" spans="1:83" ht="15" x14ac:dyDescent="0.25">
      <c r="A825" s="338" t="s">
        <v>3976</v>
      </c>
      <c r="B825" s="338" t="s">
        <v>3977</v>
      </c>
      <c r="C825" s="338" t="s">
        <v>3978</v>
      </c>
      <c r="D825" s="338">
        <v>15</v>
      </c>
      <c r="E825" s="338" t="s">
        <v>3847</v>
      </c>
      <c r="F825" s="338" t="s">
        <v>3848</v>
      </c>
      <c r="G825" s="338" t="s">
        <v>3849</v>
      </c>
      <c r="H825" s="338" t="s">
        <v>4096</v>
      </c>
      <c r="I825" s="338" t="s">
        <v>4097</v>
      </c>
      <c r="J825" s="338"/>
      <c r="K825" s="338" t="s">
        <v>4180</v>
      </c>
      <c r="L825" s="338">
        <v>2.3168168067932129</v>
      </c>
      <c r="M825" s="338" t="s">
        <v>6</v>
      </c>
      <c r="N825" s="338" t="s">
        <v>5</v>
      </c>
      <c r="O825" s="338" t="s">
        <v>5</v>
      </c>
      <c r="P825" s="338" t="s">
        <v>5</v>
      </c>
      <c r="Q825" s="338" t="s">
        <v>5</v>
      </c>
      <c r="R825" s="338" t="s">
        <v>3919</v>
      </c>
      <c r="S825" s="338" t="s">
        <v>4213</v>
      </c>
      <c r="T825" s="338" t="s">
        <v>6</v>
      </c>
      <c r="U825" s="338" t="s">
        <v>50</v>
      </c>
      <c r="V825" s="338">
        <v>5000</v>
      </c>
      <c r="W825" s="338">
        <v>1000</v>
      </c>
      <c r="X825" s="338" t="s">
        <v>6</v>
      </c>
      <c r="Y825" s="338"/>
      <c r="Z825" s="338">
        <v>0</v>
      </c>
      <c r="AA825" s="338">
        <v>0.71433568000793457</v>
      </c>
      <c r="AB825" s="338">
        <v>0.99454838037490845</v>
      </c>
      <c r="AC825" s="338">
        <v>0</v>
      </c>
      <c r="AD825" s="338">
        <v>633</v>
      </c>
      <c r="AE825" s="338">
        <v>615</v>
      </c>
      <c r="AF825" s="338">
        <v>609</v>
      </c>
      <c r="AG825" s="338">
        <v>884</v>
      </c>
      <c r="AH825" s="338">
        <v>1980</v>
      </c>
      <c r="AI825" s="338">
        <v>1980</v>
      </c>
      <c r="AJ825" s="338">
        <v>0</v>
      </c>
      <c r="AK825" s="338">
        <v>0</v>
      </c>
      <c r="AL825" s="338">
        <v>10</v>
      </c>
      <c r="AM825" s="338">
        <v>0</v>
      </c>
      <c r="AN825" s="338">
        <v>228.2784423828125</v>
      </c>
      <c r="AO825" s="338">
        <v>0</v>
      </c>
      <c r="AP825" s="338">
        <v>0</v>
      </c>
      <c r="AQ825" s="338">
        <v>0</v>
      </c>
      <c r="AR825" s="338">
        <v>0</v>
      </c>
      <c r="AS825" s="338">
        <v>0</v>
      </c>
      <c r="AT825" s="338">
        <v>0</v>
      </c>
      <c r="AU825" s="338">
        <v>0</v>
      </c>
      <c r="AV825" s="338">
        <v>0</v>
      </c>
      <c r="AW825" s="338">
        <v>0</v>
      </c>
      <c r="AX825" s="338">
        <v>0</v>
      </c>
      <c r="AY825" s="338">
        <v>0</v>
      </c>
      <c r="AZ825" s="338">
        <v>0</v>
      </c>
      <c r="BA825" s="338">
        <v>0</v>
      </c>
      <c r="BB825" s="338">
        <v>0</v>
      </c>
      <c r="BC825" s="338">
        <v>0</v>
      </c>
      <c r="BD825" s="338">
        <v>0</v>
      </c>
      <c r="BE825" s="338">
        <v>0</v>
      </c>
      <c r="BF825" s="338" t="s">
        <v>5</v>
      </c>
      <c r="BG825" s="338" t="s">
        <v>5</v>
      </c>
      <c r="BH825" s="338"/>
      <c r="BI825" s="338"/>
      <c r="BJ825" s="338" t="s">
        <v>5</v>
      </c>
      <c r="BK825" s="338"/>
      <c r="BL825" s="338">
        <v>0</v>
      </c>
      <c r="BM825" s="338">
        <v>0</v>
      </c>
      <c r="BN825" s="338" t="s">
        <v>5</v>
      </c>
      <c r="BO825" s="338"/>
      <c r="BP825" s="338"/>
      <c r="BQ825" s="338"/>
      <c r="BR825" s="338"/>
      <c r="BS825" s="338" t="s">
        <v>5</v>
      </c>
      <c r="BT825" s="338"/>
      <c r="BU825" s="338"/>
      <c r="BV825" s="338"/>
      <c r="BW825" s="338"/>
      <c r="BX825" s="338" t="s">
        <v>6</v>
      </c>
      <c r="BY825" s="338" t="s">
        <v>3850</v>
      </c>
      <c r="BZ825" s="338"/>
      <c r="CA825"/>
      <c r="CB825" s="338" t="s">
        <v>5</v>
      </c>
      <c r="CC825" s="338">
        <v>15103.60468439577</v>
      </c>
      <c r="CD825" s="338">
        <v>6000561.4172425531</v>
      </c>
      <c r="CE825" s="313" t="s">
        <v>11891</v>
      </c>
    </row>
    <row r="826" spans="1:83" ht="15" x14ac:dyDescent="0.25">
      <c r="A826" s="338" t="s">
        <v>3979</v>
      </c>
      <c r="B826" s="338" t="s">
        <v>3980</v>
      </c>
      <c r="C826" s="338" t="s">
        <v>3981</v>
      </c>
      <c r="D826" s="338">
        <v>15</v>
      </c>
      <c r="E826" s="338" t="s">
        <v>3847</v>
      </c>
      <c r="F826" s="338" t="s">
        <v>3848</v>
      </c>
      <c r="G826" s="338" t="s">
        <v>3849</v>
      </c>
      <c r="H826" s="338" t="s">
        <v>4096</v>
      </c>
      <c r="I826" s="338" t="s">
        <v>4097</v>
      </c>
      <c r="J826" s="338"/>
      <c r="K826" s="338" t="s">
        <v>4214</v>
      </c>
      <c r="L826" s="338">
        <v>2.3168168067932129</v>
      </c>
      <c r="M826" s="338" t="s">
        <v>6</v>
      </c>
      <c r="N826" s="338" t="s">
        <v>5</v>
      </c>
      <c r="O826" s="338" t="s">
        <v>5</v>
      </c>
      <c r="P826" s="338" t="s">
        <v>5</v>
      </c>
      <c r="Q826" s="338" t="s">
        <v>5</v>
      </c>
      <c r="R826" s="338" t="s">
        <v>3919</v>
      </c>
      <c r="S826" s="338" t="s">
        <v>4213</v>
      </c>
      <c r="T826" s="338" t="s">
        <v>6</v>
      </c>
      <c r="U826" s="338" t="s">
        <v>13</v>
      </c>
      <c r="V826" s="338">
        <v>5000</v>
      </c>
      <c r="W826" s="338">
        <v>1000</v>
      </c>
      <c r="X826" s="338" t="s">
        <v>6</v>
      </c>
      <c r="Y826" s="338"/>
      <c r="Z826" s="338">
        <v>0</v>
      </c>
      <c r="AA826" s="338">
        <v>0.71433568000793457</v>
      </c>
      <c r="AB826" s="338">
        <v>0.99454838037490845</v>
      </c>
      <c r="AC826" s="338">
        <v>0</v>
      </c>
      <c r="AD826" s="338">
        <v>633</v>
      </c>
      <c r="AE826" s="338">
        <v>615</v>
      </c>
      <c r="AF826" s="338">
        <v>609</v>
      </c>
      <c r="AG826" s="338">
        <v>884</v>
      </c>
      <c r="AH826" s="338">
        <v>1980</v>
      </c>
      <c r="AI826" s="338">
        <v>1980</v>
      </c>
      <c r="AJ826" s="338">
        <v>0</v>
      </c>
      <c r="AK826" s="338">
        <v>0</v>
      </c>
      <c r="AL826" s="338">
        <v>10</v>
      </c>
      <c r="AM826" s="338">
        <v>0</v>
      </c>
      <c r="AN826" s="338">
        <v>228.2784423828125</v>
      </c>
      <c r="AO826" s="338">
        <v>0</v>
      </c>
      <c r="AP826" s="338">
        <v>0</v>
      </c>
      <c r="AQ826" s="338">
        <v>0</v>
      </c>
      <c r="AR826" s="338">
        <v>0</v>
      </c>
      <c r="AS826" s="338">
        <v>0</v>
      </c>
      <c r="AT826" s="338">
        <v>0</v>
      </c>
      <c r="AU826" s="338">
        <v>0</v>
      </c>
      <c r="AV826" s="338">
        <v>0</v>
      </c>
      <c r="AW826" s="338">
        <v>0</v>
      </c>
      <c r="AX826" s="338">
        <v>0</v>
      </c>
      <c r="AY826" s="338">
        <v>0</v>
      </c>
      <c r="AZ826" s="338">
        <v>0</v>
      </c>
      <c r="BA826" s="338">
        <v>0</v>
      </c>
      <c r="BB826" s="338">
        <v>0</v>
      </c>
      <c r="BC826" s="338">
        <v>0</v>
      </c>
      <c r="BD826" s="338">
        <v>0</v>
      </c>
      <c r="BE826" s="338">
        <v>0</v>
      </c>
      <c r="BF826" s="338" t="s">
        <v>5</v>
      </c>
      <c r="BG826" s="338" t="s">
        <v>5</v>
      </c>
      <c r="BH826" s="338"/>
      <c r="BI826" s="338"/>
      <c r="BJ826" s="338" t="s">
        <v>5</v>
      </c>
      <c r="BK826" s="338"/>
      <c r="BL826" s="338">
        <v>0</v>
      </c>
      <c r="BM826" s="338">
        <v>0</v>
      </c>
      <c r="BN826" s="338" t="s">
        <v>5</v>
      </c>
      <c r="BO826" s="338"/>
      <c r="BP826" s="338"/>
      <c r="BQ826" s="338"/>
      <c r="BR826" s="338"/>
      <c r="BS826" s="338" t="s">
        <v>5</v>
      </c>
      <c r="BT826" s="338"/>
      <c r="BU826" s="338"/>
      <c r="BV826" s="338"/>
      <c r="BW826" s="338"/>
      <c r="BX826" s="338" t="s">
        <v>6</v>
      </c>
      <c r="BY826" s="338" t="s">
        <v>3850</v>
      </c>
      <c r="BZ826" s="338"/>
      <c r="CA826"/>
      <c r="CB826" s="338" t="s">
        <v>5</v>
      </c>
      <c r="CC826" s="338">
        <v>15103.60468439577</v>
      </c>
      <c r="CD826" s="338">
        <v>6000561.4172425531</v>
      </c>
      <c r="CE826" s="313" t="s">
        <v>11891</v>
      </c>
    </row>
    <row r="827" spans="1:83" ht="15" x14ac:dyDescent="0.25">
      <c r="A827" s="338" t="s">
        <v>3982</v>
      </c>
      <c r="B827" s="338" t="s">
        <v>3983</v>
      </c>
      <c r="C827" s="338" t="s">
        <v>3984</v>
      </c>
      <c r="D827" s="338">
        <v>15</v>
      </c>
      <c r="E827" s="338" t="s">
        <v>3847</v>
      </c>
      <c r="F827" s="338" t="s">
        <v>3848</v>
      </c>
      <c r="G827" s="338" t="s">
        <v>3849</v>
      </c>
      <c r="H827" s="338" t="s">
        <v>4210</v>
      </c>
      <c r="I827" s="338" t="s">
        <v>4211</v>
      </c>
      <c r="J827" s="338"/>
      <c r="K827" s="338" t="s">
        <v>4180</v>
      </c>
      <c r="L827" s="338">
        <v>1.82067346572876</v>
      </c>
      <c r="M827" s="338" t="s">
        <v>6</v>
      </c>
      <c r="N827" s="338" t="s">
        <v>6</v>
      </c>
      <c r="O827" s="338" t="s">
        <v>5</v>
      </c>
      <c r="P827" s="338" t="s">
        <v>5</v>
      </c>
      <c r="Q827" s="338" t="s">
        <v>5</v>
      </c>
      <c r="R827" s="338" t="s">
        <v>4215</v>
      </c>
      <c r="S827" s="338" t="s">
        <v>4216</v>
      </c>
      <c r="T827" s="338" t="s">
        <v>6</v>
      </c>
      <c r="U827" s="338" t="s">
        <v>50</v>
      </c>
      <c r="V827" s="338">
        <v>2000000</v>
      </c>
      <c r="W827" s="338">
        <v>1000</v>
      </c>
      <c r="X827" s="338" t="s">
        <v>6</v>
      </c>
      <c r="Y827" s="338"/>
      <c r="Z827" s="338">
        <v>0</v>
      </c>
      <c r="AA827" s="338">
        <v>0.32449829578399658</v>
      </c>
      <c r="AB827" s="338">
        <v>1.4377561807632451</v>
      </c>
      <c r="AC827" s="338">
        <v>0</v>
      </c>
      <c r="AD827" s="338">
        <v>874</v>
      </c>
      <c r="AE827" s="338">
        <v>872</v>
      </c>
      <c r="AF827" s="338">
        <v>661</v>
      </c>
      <c r="AG827" s="338">
        <v>3926</v>
      </c>
      <c r="AH827" s="338">
        <v>2581</v>
      </c>
      <c r="AI827" s="338">
        <v>3926</v>
      </c>
      <c r="AJ827" s="338">
        <v>0</v>
      </c>
      <c r="AK827" s="338">
        <v>0</v>
      </c>
      <c r="AL827" s="338">
        <v>15</v>
      </c>
      <c r="AM827" s="338">
        <v>0</v>
      </c>
      <c r="AN827" s="338">
        <v>398.51919555664063</v>
      </c>
      <c r="AO827" s="338">
        <v>0</v>
      </c>
      <c r="AP827" s="338">
        <v>0</v>
      </c>
      <c r="AQ827" s="338">
        <v>0</v>
      </c>
      <c r="AR827" s="338">
        <v>0</v>
      </c>
      <c r="AS827" s="338">
        <v>0</v>
      </c>
      <c r="AT827" s="338">
        <v>0</v>
      </c>
      <c r="AU827" s="338">
        <v>0</v>
      </c>
      <c r="AV827" s="338">
        <v>0</v>
      </c>
      <c r="AW827" s="338">
        <v>0</v>
      </c>
      <c r="AX827" s="338">
        <v>0</v>
      </c>
      <c r="AY827" s="338">
        <v>0</v>
      </c>
      <c r="AZ827" s="338">
        <v>0</v>
      </c>
      <c r="BA827" s="338">
        <v>0</v>
      </c>
      <c r="BB827" s="338">
        <v>0</v>
      </c>
      <c r="BC827" s="338">
        <v>0</v>
      </c>
      <c r="BD827" s="338">
        <v>0</v>
      </c>
      <c r="BE827" s="338">
        <v>0</v>
      </c>
      <c r="BF827" s="338" t="s">
        <v>5</v>
      </c>
      <c r="BG827" s="338" t="s">
        <v>5</v>
      </c>
      <c r="BH827" s="338"/>
      <c r="BI827" s="338"/>
      <c r="BJ827" s="338" t="s">
        <v>5</v>
      </c>
      <c r="BK827" s="338"/>
      <c r="BL827" s="338">
        <v>0</v>
      </c>
      <c r="BM827" s="338">
        <v>0</v>
      </c>
      <c r="BN827" s="338" t="s">
        <v>5</v>
      </c>
      <c r="BO827" s="338"/>
      <c r="BP827" s="338"/>
      <c r="BQ827" s="338"/>
      <c r="BR827" s="338"/>
      <c r="BS827" s="338" t="s">
        <v>5</v>
      </c>
      <c r="BT827" s="338"/>
      <c r="BU827" s="338"/>
      <c r="BV827" s="338"/>
      <c r="BW827" s="338"/>
      <c r="BX827" s="338" t="s">
        <v>6</v>
      </c>
      <c r="BY827" s="338" t="s">
        <v>3850</v>
      </c>
      <c r="BZ827" s="338"/>
      <c r="CA827"/>
      <c r="CB827" s="338" t="s">
        <v>5</v>
      </c>
      <c r="CC827" s="338">
        <v>16988.731893564542</v>
      </c>
      <c r="CD827" s="338">
        <v>4715549.0478553036</v>
      </c>
      <c r="CE827" s="313" t="s">
        <v>11891</v>
      </c>
    </row>
    <row r="828" spans="1:83" ht="15" x14ac:dyDescent="0.25">
      <c r="A828" s="338" t="s">
        <v>3985</v>
      </c>
      <c r="B828" s="338" t="s">
        <v>3986</v>
      </c>
      <c r="C828" s="338" t="s">
        <v>3987</v>
      </c>
      <c r="D828" s="338">
        <v>15</v>
      </c>
      <c r="E828" s="338" t="s">
        <v>3847</v>
      </c>
      <c r="F828" s="338" t="s">
        <v>3848</v>
      </c>
      <c r="G828" s="338" t="s">
        <v>4217</v>
      </c>
      <c r="H828" s="338" t="s">
        <v>4218</v>
      </c>
      <c r="I828" s="338" t="s">
        <v>4219</v>
      </c>
      <c r="J828" s="338"/>
      <c r="K828" s="338" t="s">
        <v>4180</v>
      </c>
      <c r="L828" s="338">
        <v>16.189060211181641</v>
      </c>
      <c r="M828" s="338" t="s">
        <v>6</v>
      </c>
      <c r="N828" s="338" t="s">
        <v>5</v>
      </c>
      <c r="O828" s="338" t="s">
        <v>5</v>
      </c>
      <c r="P828" s="338" t="s">
        <v>5</v>
      </c>
      <c r="Q828" s="338" t="s">
        <v>5</v>
      </c>
      <c r="R828" s="338" t="s">
        <v>4220</v>
      </c>
      <c r="S828" s="338" t="s">
        <v>4221</v>
      </c>
      <c r="T828" s="338" t="s">
        <v>6</v>
      </c>
      <c r="U828" s="338" t="s">
        <v>50</v>
      </c>
      <c r="V828" s="338">
        <v>10000</v>
      </c>
      <c r="W828" s="338">
        <v>1000</v>
      </c>
      <c r="X828" s="338" t="s">
        <v>6</v>
      </c>
      <c r="Y828" s="338"/>
      <c r="Z828" s="338">
        <v>0</v>
      </c>
      <c r="AA828" s="338">
        <v>6.8620057106018066</v>
      </c>
      <c r="AB828" s="338">
        <v>3.8571140766143799</v>
      </c>
      <c r="AC828" s="338">
        <v>0</v>
      </c>
      <c r="AD828" s="338">
        <v>5217</v>
      </c>
      <c r="AE828" s="338">
        <v>2895</v>
      </c>
      <c r="AF828" s="338">
        <v>3999</v>
      </c>
      <c r="AG828" s="338">
        <v>15128</v>
      </c>
      <c r="AH828" s="338">
        <v>15207</v>
      </c>
      <c r="AI828" s="338">
        <v>15207</v>
      </c>
      <c r="AJ828" s="338">
        <v>3</v>
      </c>
      <c r="AK828" s="338">
        <v>0</v>
      </c>
      <c r="AL828" s="338">
        <v>98</v>
      </c>
      <c r="AM828" s="338">
        <v>0</v>
      </c>
      <c r="AN828" s="338">
        <v>3046.16943359375</v>
      </c>
      <c r="AO828" s="338">
        <v>0</v>
      </c>
      <c r="AP828" s="338">
        <v>0</v>
      </c>
      <c r="AQ828" s="338">
        <v>0</v>
      </c>
      <c r="AR828" s="338">
        <v>0</v>
      </c>
      <c r="AS828" s="338">
        <v>0</v>
      </c>
      <c r="AT828" s="338">
        <v>0</v>
      </c>
      <c r="AU828" s="338">
        <v>0</v>
      </c>
      <c r="AV828" s="338">
        <v>0</v>
      </c>
      <c r="AW828" s="338">
        <v>0</v>
      </c>
      <c r="AX828" s="338">
        <v>0</v>
      </c>
      <c r="AY828" s="338">
        <v>0</v>
      </c>
      <c r="AZ828" s="338">
        <v>0</v>
      </c>
      <c r="BA828" s="338">
        <v>0</v>
      </c>
      <c r="BB828" s="338">
        <v>0</v>
      </c>
      <c r="BC828" s="338">
        <v>0</v>
      </c>
      <c r="BD828" s="338">
        <v>0</v>
      </c>
      <c r="BE828" s="338">
        <v>0</v>
      </c>
      <c r="BF828" s="338" t="s">
        <v>5</v>
      </c>
      <c r="BG828" s="338" t="s">
        <v>5</v>
      </c>
      <c r="BH828" s="338"/>
      <c r="BI828" s="338"/>
      <c r="BJ828" s="338" t="s">
        <v>5</v>
      </c>
      <c r="BK828" s="338"/>
      <c r="BL828" s="338">
        <v>0</v>
      </c>
      <c r="BM828" s="338">
        <v>0</v>
      </c>
      <c r="BN828" s="338" t="s">
        <v>5</v>
      </c>
      <c r="BO828" s="338"/>
      <c r="BP828" s="338"/>
      <c r="BQ828" s="338"/>
      <c r="BR828" s="338"/>
      <c r="BS828" s="338" t="s">
        <v>5</v>
      </c>
      <c r="BT828" s="338"/>
      <c r="BU828" s="338"/>
      <c r="BV828" s="338"/>
      <c r="BW828" s="338"/>
      <c r="BX828" s="338" t="s">
        <v>6</v>
      </c>
      <c r="BY828" s="338" t="s">
        <v>3850</v>
      </c>
      <c r="BZ828" s="338"/>
      <c r="CA828"/>
      <c r="CB828" s="338" t="s">
        <v>5</v>
      </c>
      <c r="CC828" s="338">
        <v>81311.177569609295</v>
      </c>
      <c r="CD828" s="338">
        <v>41929709.615982063</v>
      </c>
      <c r="CE828" s="313" t="s">
        <v>11891</v>
      </c>
    </row>
    <row r="829" spans="1:83" ht="15" x14ac:dyDescent="0.25">
      <c r="A829" s="338" t="s">
        <v>3988</v>
      </c>
      <c r="B829" s="338" t="s">
        <v>3989</v>
      </c>
      <c r="C829" s="338" t="s">
        <v>3990</v>
      </c>
      <c r="D829" s="338">
        <v>15</v>
      </c>
      <c r="E829" s="338" t="s">
        <v>3847</v>
      </c>
      <c r="F829" s="338" t="s">
        <v>3848</v>
      </c>
      <c r="G829" s="338" t="s">
        <v>4139</v>
      </c>
      <c r="H829" s="338" t="s">
        <v>4222</v>
      </c>
      <c r="I829" s="338" t="s">
        <v>4223</v>
      </c>
      <c r="J829" s="338"/>
      <c r="K829" s="338" t="s">
        <v>4180</v>
      </c>
      <c r="L829" s="338">
        <v>2.976470947265625</v>
      </c>
      <c r="M829" s="338" t="s">
        <v>6</v>
      </c>
      <c r="N829" s="338" t="s">
        <v>6</v>
      </c>
      <c r="O829" s="338" t="s">
        <v>5</v>
      </c>
      <c r="P829" s="338" t="s">
        <v>5</v>
      </c>
      <c r="Q829" s="338" t="s">
        <v>5</v>
      </c>
      <c r="R829" s="338" t="s">
        <v>4134</v>
      </c>
      <c r="S829" s="338" t="s">
        <v>4135</v>
      </c>
      <c r="T829" s="338" t="s">
        <v>6</v>
      </c>
      <c r="U829" s="338" t="s">
        <v>50</v>
      </c>
      <c r="V829" s="338">
        <v>5000</v>
      </c>
      <c r="W829" s="338">
        <v>1000</v>
      </c>
      <c r="X829" s="338" t="s">
        <v>6</v>
      </c>
      <c r="Y829" s="338"/>
      <c r="Z829" s="338">
        <v>0</v>
      </c>
      <c r="AA829" s="338">
        <v>2.368294239044189</v>
      </c>
      <c r="AB829" s="338">
        <v>0.5385206937789917</v>
      </c>
      <c r="AC829" s="338">
        <v>0</v>
      </c>
      <c r="AD829" s="338">
        <v>1847</v>
      </c>
      <c r="AE829" s="338">
        <v>920</v>
      </c>
      <c r="AF829" s="338">
        <v>1442</v>
      </c>
      <c r="AG829" s="338">
        <v>5905</v>
      </c>
      <c r="AH829" s="338">
        <v>2676</v>
      </c>
      <c r="AI829" s="338">
        <v>5905</v>
      </c>
      <c r="AJ829" s="338">
        <v>2</v>
      </c>
      <c r="AK829" s="338">
        <v>0</v>
      </c>
      <c r="AL829" s="338">
        <v>35</v>
      </c>
      <c r="AM829" s="338">
        <v>0</v>
      </c>
      <c r="AN829" s="338">
        <v>23.87187576293945</v>
      </c>
      <c r="AO829" s="338">
        <v>0</v>
      </c>
      <c r="AP829" s="338">
        <v>0</v>
      </c>
      <c r="AQ829" s="338">
        <v>0</v>
      </c>
      <c r="AR829" s="338">
        <v>0</v>
      </c>
      <c r="AS829" s="338">
        <v>0</v>
      </c>
      <c r="AT829" s="338">
        <v>0</v>
      </c>
      <c r="AU829" s="338">
        <v>0</v>
      </c>
      <c r="AV829" s="338">
        <v>0</v>
      </c>
      <c r="AW829" s="338">
        <v>0</v>
      </c>
      <c r="AX829" s="338">
        <v>0</v>
      </c>
      <c r="AY829" s="338">
        <v>0</v>
      </c>
      <c r="AZ829" s="338">
        <v>0</v>
      </c>
      <c r="BA829" s="338">
        <v>0</v>
      </c>
      <c r="BB829" s="338">
        <v>0</v>
      </c>
      <c r="BC829" s="338">
        <v>0</v>
      </c>
      <c r="BD829" s="338">
        <v>0</v>
      </c>
      <c r="BE829" s="338">
        <v>0</v>
      </c>
      <c r="BF829" s="338" t="s">
        <v>5</v>
      </c>
      <c r="BG829" s="338" t="s">
        <v>5</v>
      </c>
      <c r="BH829" s="338"/>
      <c r="BI829" s="338"/>
      <c r="BJ829" s="338" t="s">
        <v>5</v>
      </c>
      <c r="BK829" s="338"/>
      <c r="BL829" s="338">
        <v>0</v>
      </c>
      <c r="BM829" s="338">
        <v>0</v>
      </c>
      <c r="BN829" s="338" t="s">
        <v>5</v>
      </c>
      <c r="BO829" s="338"/>
      <c r="BP829" s="338"/>
      <c r="BQ829" s="338"/>
      <c r="BR829" s="338"/>
      <c r="BS829" s="338" t="s">
        <v>5</v>
      </c>
      <c r="BT829" s="338"/>
      <c r="BU829" s="338"/>
      <c r="BV829" s="338"/>
      <c r="BW829" s="338"/>
      <c r="BX829" s="338" t="s">
        <v>6</v>
      </c>
      <c r="BY829" s="338" t="s">
        <v>3850</v>
      </c>
      <c r="BZ829" s="338"/>
      <c r="CA829"/>
      <c r="CB829" s="338" t="s">
        <v>5</v>
      </c>
      <c r="CC829" s="338">
        <v>32148.29448376827</v>
      </c>
      <c r="CD829" s="338">
        <v>7709067.6091599874</v>
      </c>
      <c r="CE829" s="313" t="s">
        <v>11891</v>
      </c>
    </row>
    <row r="830" spans="1:83" ht="15" x14ac:dyDescent="0.25">
      <c r="A830" s="338" t="s">
        <v>3992</v>
      </c>
      <c r="B830" s="338" t="s">
        <v>3993</v>
      </c>
      <c r="C830" s="338" t="s">
        <v>3994</v>
      </c>
      <c r="D830" s="338">
        <v>15</v>
      </c>
      <c r="E830" s="338" t="s">
        <v>3847</v>
      </c>
      <c r="F830" s="338" t="s">
        <v>3848</v>
      </c>
      <c r="G830" s="338" t="s">
        <v>4139</v>
      </c>
      <c r="H830" s="338" t="s">
        <v>4222</v>
      </c>
      <c r="I830" s="338" t="s">
        <v>4223</v>
      </c>
      <c r="J830" s="338"/>
      <c r="K830" s="338" t="s">
        <v>4180</v>
      </c>
      <c r="L830" s="338">
        <v>2.976470947265625</v>
      </c>
      <c r="M830" s="338" t="s">
        <v>6</v>
      </c>
      <c r="N830" s="338" t="s">
        <v>6</v>
      </c>
      <c r="O830" s="338" t="s">
        <v>5</v>
      </c>
      <c r="P830" s="338" t="s">
        <v>5</v>
      </c>
      <c r="Q830" s="338" t="s">
        <v>5</v>
      </c>
      <c r="R830" s="338" t="s">
        <v>4134</v>
      </c>
      <c r="S830" s="338" t="s">
        <v>4135</v>
      </c>
      <c r="T830" s="338" t="s">
        <v>6</v>
      </c>
      <c r="U830" s="338" t="s">
        <v>50</v>
      </c>
      <c r="V830" s="338">
        <v>5000</v>
      </c>
      <c r="W830" s="338">
        <v>1000</v>
      </c>
      <c r="X830" s="338" t="s">
        <v>6</v>
      </c>
      <c r="Y830" s="338"/>
      <c r="Z830" s="338">
        <v>0</v>
      </c>
      <c r="AA830" s="338">
        <v>2.368294239044189</v>
      </c>
      <c r="AB830" s="338">
        <v>0.5385206937789917</v>
      </c>
      <c r="AC830" s="338">
        <v>0</v>
      </c>
      <c r="AD830" s="338">
        <v>1847</v>
      </c>
      <c r="AE830" s="338">
        <v>920</v>
      </c>
      <c r="AF830" s="338">
        <v>1442</v>
      </c>
      <c r="AG830" s="338">
        <v>5905</v>
      </c>
      <c r="AH830" s="338">
        <v>2676</v>
      </c>
      <c r="AI830" s="338">
        <v>5905</v>
      </c>
      <c r="AJ830" s="338">
        <v>2</v>
      </c>
      <c r="AK830" s="338">
        <v>0</v>
      </c>
      <c r="AL830" s="338">
        <v>35</v>
      </c>
      <c r="AM830" s="338">
        <v>0</v>
      </c>
      <c r="AN830" s="338">
        <v>23.87187576293945</v>
      </c>
      <c r="AO830" s="338">
        <v>0</v>
      </c>
      <c r="AP830" s="338">
        <v>0</v>
      </c>
      <c r="AQ830" s="338">
        <v>0</v>
      </c>
      <c r="AR830" s="338">
        <v>0</v>
      </c>
      <c r="AS830" s="338">
        <v>0</v>
      </c>
      <c r="AT830" s="338">
        <v>0</v>
      </c>
      <c r="AU830" s="338">
        <v>0</v>
      </c>
      <c r="AV830" s="338">
        <v>0</v>
      </c>
      <c r="AW830" s="338">
        <v>0</v>
      </c>
      <c r="AX830" s="338">
        <v>0</v>
      </c>
      <c r="AY830" s="338">
        <v>0</v>
      </c>
      <c r="AZ830" s="338">
        <v>0</v>
      </c>
      <c r="BA830" s="338">
        <v>0</v>
      </c>
      <c r="BB830" s="338">
        <v>0</v>
      </c>
      <c r="BC830" s="338">
        <v>0</v>
      </c>
      <c r="BD830" s="338">
        <v>0</v>
      </c>
      <c r="BE830" s="338">
        <v>0</v>
      </c>
      <c r="BF830" s="338" t="s">
        <v>5</v>
      </c>
      <c r="BG830" s="338" t="s">
        <v>5</v>
      </c>
      <c r="BH830" s="338"/>
      <c r="BI830" s="338"/>
      <c r="BJ830" s="338" t="s">
        <v>5</v>
      </c>
      <c r="BK830" s="338"/>
      <c r="BL830" s="338">
        <v>0</v>
      </c>
      <c r="BM830" s="338">
        <v>0</v>
      </c>
      <c r="BN830" s="338" t="s">
        <v>5</v>
      </c>
      <c r="BO830" s="338"/>
      <c r="BP830" s="338"/>
      <c r="BQ830" s="338"/>
      <c r="BR830" s="338"/>
      <c r="BS830" s="338" t="s">
        <v>5</v>
      </c>
      <c r="BT830" s="338"/>
      <c r="BU830" s="338"/>
      <c r="BV830" s="338"/>
      <c r="BW830" s="338"/>
      <c r="BX830" s="338" t="s">
        <v>6</v>
      </c>
      <c r="BY830" s="338" t="s">
        <v>3850</v>
      </c>
      <c r="BZ830" s="338"/>
      <c r="CA830"/>
      <c r="CB830" s="338" t="s">
        <v>5</v>
      </c>
      <c r="CC830" s="338">
        <v>32148.29448376827</v>
      </c>
      <c r="CD830" s="338">
        <v>7709067.6091599874</v>
      </c>
      <c r="CE830" s="313" t="s">
        <v>11891</v>
      </c>
    </row>
    <row r="831" spans="1:83" ht="15" x14ac:dyDescent="0.25">
      <c r="A831" s="338" t="s">
        <v>3861</v>
      </c>
      <c r="B831" s="338" t="s">
        <v>3862</v>
      </c>
      <c r="C831" s="338" t="s">
        <v>3863</v>
      </c>
      <c r="D831" s="338">
        <v>15</v>
      </c>
      <c r="E831" s="338" t="s">
        <v>3847</v>
      </c>
      <c r="F831" s="338" t="s">
        <v>3864</v>
      </c>
      <c r="G831" s="338" t="s">
        <v>4139</v>
      </c>
      <c r="H831" s="338" t="s">
        <v>4151</v>
      </c>
      <c r="I831" s="338" t="s">
        <v>4152</v>
      </c>
      <c r="J831" s="338"/>
      <c r="K831" s="338" t="s">
        <v>4149</v>
      </c>
      <c r="L831" s="338">
        <v>7.5350532531738281</v>
      </c>
      <c r="M831" s="338" t="s">
        <v>6</v>
      </c>
      <c r="N831" s="338" t="s">
        <v>5</v>
      </c>
      <c r="O831" s="338" t="s">
        <v>5</v>
      </c>
      <c r="P831" s="338" t="s">
        <v>5</v>
      </c>
      <c r="Q831" s="338" t="s">
        <v>5</v>
      </c>
      <c r="R831" s="338" t="s">
        <v>4153</v>
      </c>
      <c r="S831" s="338" t="s">
        <v>4154</v>
      </c>
      <c r="T831" s="338" t="s">
        <v>6</v>
      </c>
      <c r="U831" s="338" t="s">
        <v>50</v>
      </c>
      <c r="V831" s="338">
        <v>1000</v>
      </c>
      <c r="W831" s="338">
        <v>1000</v>
      </c>
      <c r="X831" s="338" t="s">
        <v>6</v>
      </c>
      <c r="Y831" s="338"/>
      <c r="Z831" s="338">
        <v>0</v>
      </c>
      <c r="AA831" s="338">
        <v>4.0182099342346191</v>
      </c>
      <c r="AB831" s="338">
        <v>1.3637517690658569</v>
      </c>
      <c r="AC831" s="338">
        <v>7.5422585941851139E-3</v>
      </c>
      <c r="AD831" s="338">
        <v>4822</v>
      </c>
      <c r="AE831" s="338">
        <v>2058</v>
      </c>
      <c r="AF831" s="338">
        <v>3640</v>
      </c>
      <c r="AG831" s="338">
        <v>12302</v>
      </c>
      <c r="AH831" s="338">
        <v>14357</v>
      </c>
      <c r="AI831" s="338">
        <v>14357</v>
      </c>
      <c r="AJ831" s="338">
        <v>4</v>
      </c>
      <c r="AK831" s="338">
        <v>0</v>
      </c>
      <c r="AL831" s="338">
        <v>71</v>
      </c>
      <c r="AM831" s="338">
        <v>0</v>
      </c>
      <c r="AN831" s="338">
        <v>936.8443603515625</v>
      </c>
      <c r="AO831" s="338">
        <v>0</v>
      </c>
      <c r="AP831" s="338">
        <v>0</v>
      </c>
      <c r="AQ831" s="338">
        <v>0</v>
      </c>
      <c r="AR831" s="338">
        <v>0</v>
      </c>
      <c r="AS831" s="338">
        <v>0</v>
      </c>
      <c r="AT831" s="338">
        <v>0</v>
      </c>
      <c r="AU831" s="338">
        <v>0</v>
      </c>
      <c r="AV831" s="338">
        <v>0</v>
      </c>
      <c r="AW831" s="338">
        <v>0</v>
      </c>
      <c r="AX831" s="338">
        <v>0</v>
      </c>
      <c r="AY831" s="338">
        <v>0</v>
      </c>
      <c r="AZ831" s="338">
        <v>0</v>
      </c>
      <c r="BA831" s="338">
        <v>0</v>
      </c>
      <c r="BB831" s="338">
        <v>0</v>
      </c>
      <c r="BC831" s="338">
        <v>0</v>
      </c>
      <c r="BD831" s="338">
        <v>0</v>
      </c>
      <c r="BE831" s="338">
        <v>0</v>
      </c>
      <c r="BF831" s="338" t="s">
        <v>5</v>
      </c>
      <c r="BG831" s="338" t="s">
        <v>5</v>
      </c>
      <c r="BH831" s="338"/>
      <c r="BI831" s="338"/>
      <c r="BJ831" s="338" t="s">
        <v>5</v>
      </c>
      <c r="BK831" s="338"/>
      <c r="BL831" s="338">
        <v>0</v>
      </c>
      <c r="BM831" s="338">
        <v>0</v>
      </c>
      <c r="BN831" s="338" t="s">
        <v>5</v>
      </c>
      <c r="BO831" s="338"/>
      <c r="BP831" s="338"/>
      <c r="BQ831" s="338"/>
      <c r="BR831" s="338"/>
      <c r="BS831" s="338" t="s">
        <v>5</v>
      </c>
      <c r="BT831" s="338"/>
      <c r="BU831" s="338"/>
      <c r="BV831" s="338"/>
      <c r="BW831" s="338"/>
      <c r="BX831" s="338" t="s">
        <v>6</v>
      </c>
      <c r="BY831" s="338" t="s">
        <v>3850</v>
      </c>
      <c r="BZ831" s="338"/>
      <c r="CA831"/>
      <c r="CB831" s="338" t="s">
        <v>5</v>
      </c>
      <c r="CC831" s="338">
        <v>33137.615260250721</v>
      </c>
      <c r="CD831" s="338">
        <v>19515806.937569939</v>
      </c>
      <c r="CE831" s="313" t="s">
        <v>11891</v>
      </c>
    </row>
    <row r="832" spans="1:83" ht="15" x14ac:dyDescent="0.25">
      <c r="A832" s="338" t="s">
        <v>3866</v>
      </c>
      <c r="B832" s="338" t="s">
        <v>3867</v>
      </c>
      <c r="C832" s="338" t="s">
        <v>3868</v>
      </c>
      <c r="D832" s="338">
        <v>15</v>
      </c>
      <c r="E832" s="338" t="s">
        <v>3847</v>
      </c>
      <c r="F832" s="338" t="s">
        <v>3864</v>
      </c>
      <c r="G832" s="338" t="s">
        <v>4139</v>
      </c>
      <c r="H832" s="338" t="s">
        <v>4151</v>
      </c>
      <c r="I832" s="338" t="s">
        <v>4152</v>
      </c>
      <c r="J832" s="338"/>
      <c r="K832" s="338" t="s">
        <v>4155</v>
      </c>
      <c r="L832" s="338">
        <v>7.5350532531738281</v>
      </c>
      <c r="M832" s="338" t="s">
        <v>6</v>
      </c>
      <c r="N832" s="338" t="s">
        <v>5</v>
      </c>
      <c r="O832" s="338" t="s">
        <v>5</v>
      </c>
      <c r="P832" s="338" t="s">
        <v>5</v>
      </c>
      <c r="Q832" s="338" t="s">
        <v>5</v>
      </c>
      <c r="R832" s="338" t="s">
        <v>4153</v>
      </c>
      <c r="S832" s="338" t="s">
        <v>4154</v>
      </c>
      <c r="T832" s="338" t="s">
        <v>6</v>
      </c>
      <c r="U832" s="338" t="s">
        <v>28</v>
      </c>
      <c r="V832" s="338">
        <v>2000</v>
      </c>
      <c r="W832" s="338">
        <v>1000</v>
      </c>
      <c r="X832" s="338" t="s">
        <v>6</v>
      </c>
      <c r="Y832" s="338"/>
      <c r="Z832" s="338">
        <v>0</v>
      </c>
      <c r="AA832" s="338">
        <v>4.0182099342346191</v>
      </c>
      <c r="AB832" s="338">
        <v>1.3637517690658569</v>
      </c>
      <c r="AC832" s="338">
        <v>7.5422585941851139E-3</v>
      </c>
      <c r="AD832" s="338">
        <v>4822</v>
      </c>
      <c r="AE832" s="338">
        <v>2058</v>
      </c>
      <c r="AF832" s="338">
        <v>3640</v>
      </c>
      <c r="AG832" s="338">
        <v>12302</v>
      </c>
      <c r="AH832" s="338">
        <v>14357</v>
      </c>
      <c r="AI832" s="338">
        <v>14357</v>
      </c>
      <c r="AJ832" s="338">
        <v>4</v>
      </c>
      <c r="AK832" s="338">
        <v>0</v>
      </c>
      <c r="AL832" s="338">
        <v>71</v>
      </c>
      <c r="AM832" s="338">
        <v>0</v>
      </c>
      <c r="AN832" s="338">
        <v>936.8443603515625</v>
      </c>
      <c r="AO832" s="338">
        <v>0</v>
      </c>
      <c r="AP832" s="338">
        <v>0</v>
      </c>
      <c r="AQ832" s="338">
        <v>0</v>
      </c>
      <c r="AR832" s="338">
        <v>0</v>
      </c>
      <c r="AS832" s="338">
        <v>0</v>
      </c>
      <c r="AT832" s="338">
        <v>0</v>
      </c>
      <c r="AU832" s="338">
        <v>0</v>
      </c>
      <c r="AV832" s="338">
        <v>0</v>
      </c>
      <c r="AW832" s="338">
        <v>0</v>
      </c>
      <c r="AX832" s="338">
        <v>0</v>
      </c>
      <c r="AY832" s="338">
        <v>0</v>
      </c>
      <c r="AZ832" s="338">
        <v>0</v>
      </c>
      <c r="BA832" s="338">
        <v>0</v>
      </c>
      <c r="BB832" s="338">
        <v>0</v>
      </c>
      <c r="BC832" s="338">
        <v>0</v>
      </c>
      <c r="BD832" s="338">
        <v>0</v>
      </c>
      <c r="BE832" s="338">
        <v>0</v>
      </c>
      <c r="BF832" s="338" t="s">
        <v>5</v>
      </c>
      <c r="BG832" s="338" t="s">
        <v>5</v>
      </c>
      <c r="BH832" s="338"/>
      <c r="BI832" s="338"/>
      <c r="BJ832" s="338" t="s">
        <v>5</v>
      </c>
      <c r="BK832" s="338"/>
      <c r="BL832" s="338">
        <v>0</v>
      </c>
      <c r="BM832" s="338">
        <v>0</v>
      </c>
      <c r="BN832" s="338" t="s">
        <v>5</v>
      </c>
      <c r="BO832" s="338"/>
      <c r="BP832" s="338"/>
      <c r="BQ832" s="338"/>
      <c r="BR832" s="338"/>
      <c r="BS832" s="338" t="s">
        <v>5</v>
      </c>
      <c r="BT832" s="338"/>
      <c r="BU832" s="338"/>
      <c r="BV832" s="338"/>
      <c r="BW832" s="338"/>
      <c r="BX832" s="338" t="s">
        <v>6</v>
      </c>
      <c r="BY832" s="338" t="s">
        <v>3850</v>
      </c>
      <c r="BZ832" s="338"/>
      <c r="CA832"/>
      <c r="CB832" s="338" t="s">
        <v>5</v>
      </c>
      <c r="CC832" s="338">
        <v>33137.615260250721</v>
      </c>
      <c r="CD832" s="338">
        <v>19515806.937569939</v>
      </c>
      <c r="CE832" s="313" t="s">
        <v>11891</v>
      </c>
    </row>
    <row r="833" spans="1:83" ht="15" x14ac:dyDescent="0.25">
      <c r="A833" s="338" t="s">
        <v>3878</v>
      </c>
      <c r="B833" s="338" t="s">
        <v>3879</v>
      </c>
      <c r="C833" s="338" t="s">
        <v>3880</v>
      </c>
      <c r="D833" s="338">
        <v>15</v>
      </c>
      <c r="E833" s="338" t="s">
        <v>3847</v>
      </c>
      <c r="F833" s="338" t="s">
        <v>3864</v>
      </c>
      <c r="G833" s="338" t="s">
        <v>3849</v>
      </c>
      <c r="H833" s="338" t="s">
        <v>4162</v>
      </c>
      <c r="I833" s="338" t="s">
        <v>4163</v>
      </c>
      <c r="J833" s="338"/>
      <c r="K833" s="338" t="s">
        <v>4150</v>
      </c>
      <c r="L833" s="338">
        <v>1.0383403301239009</v>
      </c>
      <c r="M833" s="338" t="s">
        <v>6</v>
      </c>
      <c r="N833" s="338" t="s">
        <v>5</v>
      </c>
      <c r="O833" s="338" t="s">
        <v>5</v>
      </c>
      <c r="P833" s="338" t="s">
        <v>5</v>
      </c>
      <c r="Q833" s="338" t="s">
        <v>5</v>
      </c>
      <c r="R833" s="338" t="s">
        <v>4164</v>
      </c>
      <c r="S833" s="338" t="s">
        <v>4165</v>
      </c>
      <c r="T833" s="338" t="s">
        <v>6</v>
      </c>
      <c r="U833" s="338" t="s">
        <v>50</v>
      </c>
      <c r="V833" s="338">
        <v>5000</v>
      </c>
      <c r="W833" s="338">
        <v>1000</v>
      </c>
      <c r="X833" s="338" t="s">
        <v>6</v>
      </c>
      <c r="Y833" s="338"/>
      <c r="Z833" s="338">
        <v>0</v>
      </c>
      <c r="AA833" s="338">
        <v>0.40795338153839111</v>
      </c>
      <c r="AB833" s="338">
        <v>0.49719646573066711</v>
      </c>
      <c r="AC833" s="338">
        <v>2.3019472137093541E-2</v>
      </c>
      <c r="AD833" s="338">
        <v>953</v>
      </c>
      <c r="AE833" s="338">
        <v>704</v>
      </c>
      <c r="AF833" s="338">
        <v>815</v>
      </c>
      <c r="AG833" s="338">
        <v>3652</v>
      </c>
      <c r="AH833" s="338">
        <v>2993</v>
      </c>
      <c r="AI833" s="338">
        <v>3652</v>
      </c>
      <c r="AJ833" s="338">
        <v>0</v>
      </c>
      <c r="AK833" s="338">
        <v>0</v>
      </c>
      <c r="AL833" s="338">
        <v>16</v>
      </c>
      <c r="AM833" s="338">
        <v>0</v>
      </c>
      <c r="AN833" s="338">
        <v>168.09934997558591</v>
      </c>
      <c r="AO833" s="338">
        <v>0</v>
      </c>
      <c r="AP833" s="338">
        <v>0</v>
      </c>
      <c r="AQ833" s="338">
        <v>0</v>
      </c>
      <c r="AR833" s="338">
        <v>0</v>
      </c>
      <c r="AS833" s="338">
        <v>0</v>
      </c>
      <c r="AT833" s="338">
        <v>0</v>
      </c>
      <c r="AU833" s="338">
        <v>0</v>
      </c>
      <c r="AV833" s="338">
        <v>0</v>
      </c>
      <c r="AW833" s="338">
        <v>0</v>
      </c>
      <c r="AX833" s="338">
        <v>0</v>
      </c>
      <c r="AY833" s="338">
        <v>0</v>
      </c>
      <c r="AZ833" s="338">
        <v>0</v>
      </c>
      <c r="BA833" s="338">
        <v>0</v>
      </c>
      <c r="BB833" s="338">
        <v>0</v>
      </c>
      <c r="BC833" s="338">
        <v>0</v>
      </c>
      <c r="BD833" s="338">
        <v>0</v>
      </c>
      <c r="BE833" s="338">
        <v>0</v>
      </c>
      <c r="BF833" s="338" t="s">
        <v>5</v>
      </c>
      <c r="BG833" s="338" t="s">
        <v>5</v>
      </c>
      <c r="BH833" s="338"/>
      <c r="BI833" s="338"/>
      <c r="BJ833" s="338" t="s">
        <v>5</v>
      </c>
      <c r="BK833" s="338"/>
      <c r="BL833" s="338">
        <v>0</v>
      </c>
      <c r="BM833" s="338">
        <v>0</v>
      </c>
      <c r="BN833" s="338" t="s">
        <v>5</v>
      </c>
      <c r="BO833" s="338"/>
      <c r="BP833" s="338"/>
      <c r="BQ833" s="338"/>
      <c r="BR833" s="338"/>
      <c r="BS833" s="338" t="s">
        <v>5</v>
      </c>
      <c r="BT833" s="338"/>
      <c r="BU833" s="338"/>
      <c r="BV833" s="338"/>
      <c r="BW833" s="338"/>
      <c r="BX833" s="338" t="s">
        <v>6</v>
      </c>
      <c r="BY833" s="338" t="s">
        <v>3850</v>
      </c>
      <c r="BZ833" s="338"/>
      <c r="CA833"/>
      <c r="CB833" s="338" t="s">
        <v>5</v>
      </c>
      <c r="CC833" s="338">
        <v>11131.93716194871</v>
      </c>
      <c r="CD833" s="338">
        <v>2689304.0515982518</v>
      </c>
      <c r="CE833" s="313" t="s">
        <v>11891</v>
      </c>
    </row>
    <row r="834" spans="1:83" ht="15" x14ac:dyDescent="0.25">
      <c r="A834" s="338" t="s">
        <v>3882</v>
      </c>
      <c r="B834" s="338" t="s">
        <v>3883</v>
      </c>
      <c r="C834" s="338" t="s">
        <v>3868</v>
      </c>
      <c r="D834" s="338">
        <v>15</v>
      </c>
      <c r="E834" s="338" t="s">
        <v>3847</v>
      </c>
      <c r="F834" s="338" t="s">
        <v>3864</v>
      </c>
      <c r="G834" s="338" t="s">
        <v>3849</v>
      </c>
      <c r="H834" s="338" t="s">
        <v>4162</v>
      </c>
      <c r="I834" s="338" t="s">
        <v>4163</v>
      </c>
      <c r="J834" s="338"/>
      <c r="K834" s="338" t="s">
        <v>4155</v>
      </c>
      <c r="L834" s="338">
        <v>1.0383403301239009</v>
      </c>
      <c r="M834" s="338" t="s">
        <v>6</v>
      </c>
      <c r="N834" s="338" t="s">
        <v>5</v>
      </c>
      <c r="O834" s="338" t="s">
        <v>5</v>
      </c>
      <c r="P834" s="338" t="s">
        <v>5</v>
      </c>
      <c r="Q834" s="338" t="s">
        <v>5</v>
      </c>
      <c r="R834" s="338" t="s">
        <v>4164</v>
      </c>
      <c r="S834" s="338" t="s">
        <v>4165</v>
      </c>
      <c r="T834" s="338" t="s">
        <v>6</v>
      </c>
      <c r="U834" s="338" t="s">
        <v>28</v>
      </c>
      <c r="V834" s="338">
        <v>2000</v>
      </c>
      <c r="W834" s="338">
        <v>1000</v>
      </c>
      <c r="X834" s="338" t="s">
        <v>6</v>
      </c>
      <c r="Y834" s="338"/>
      <c r="Z834" s="338">
        <v>0</v>
      </c>
      <c r="AA834" s="338">
        <v>0.40795338153839111</v>
      </c>
      <c r="AB834" s="338">
        <v>0.49719646573066711</v>
      </c>
      <c r="AC834" s="338">
        <v>2.3019472137093541E-2</v>
      </c>
      <c r="AD834" s="338">
        <v>953</v>
      </c>
      <c r="AE834" s="338">
        <v>704</v>
      </c>
      <c r="AF834" s="338">
        <v>815</v>
      </c>
      <c r="AG834" s="338">
        <v>3652</v>
      </c>
      <c r="AH834" s="338">
        <v>2993</v>
      </c>
      <c r="AI834" s="338">
        <v>3652</v>
      </c>
      <c r="AJ834" s="338">
        <v>0</v>
      </c>
      <c r="AK834" s="338">
        <v>0</v>
      </c>
      <c r="AL834" s="338">
        <v>16</v>
      </c>
      <c r="AM834" s="338">
        <v>0</v>
      </c>
      <c r="AN834" s="338">
        <v>168.09934997558591</v>
      </c>
      <c r="AO834" s="338">
        <v>0</v>
      </c>
      <c r="AP834" s="338">
        <v>0</v>
      </c>
      <c r="AQ834" s="338">
        <v>0</v>
      </c>
      <c r="AR834" s="338">
        <v>0</v>
      </c>
      <c r="AS834" s="338">
        <v>0</v>
      </c>
      <c r="AT834" s="338">
        <v>0</v>
      </c>
      <c r="AU834" s="338">
        <v>0</v>
      </c>
      <c r="AV834" s="338">
        <v>0</v>
      </c>
      <c r="AW834" s="338">
        <v>0</v>
      </c>
      <c r="AX834" s="338">
        <v>0</v>
      </c>
      <c r="AY834" s="338">
        <v>0</v>
      </c>
      <c r="AZ834" s="338">
        <v>0</v>
      </c>
      <c r="BA834" s="338">
        <v>0</v>
      </c>
      <c r="BB834" s="338">
        <v>0</v>
      </c>
      <c r="BC834" s="338">
        <v>0</v>
      </c>
      <c r="BD834" s="338">
        <v>0</v>
      </c>
      <c r="BE834" s="338">
        <v>0</v>
      </c>
      <c r="BF834" s="338" t="s">
        <v>5</v>
      </c>
      <c r="BG834" s="338" t="s">
        <v>5</v>
      </c>
      <c r="BH834" s="338"/>
      <c r="BI834" s="338"/>
      <c r="BJ834" s="338" t="s">
        <v>5</v>
      </c>
      <c r="BK834" s="338"/>
      <c r="BL834" s="338">
        <v>0</v>
      </c>
      <c r="BM834" s="338">
        <v>0</v>
      </c>
      <c r="BN834" s="338" t="s">
        <v>5</v>
      </c>
      <c r="BO834" s="338"/>
      <c r="BP834" s="338"/>
      <c r="BQ834" s="338"/>
      <c r="BR834" s="338"/>
      <c r="BS834" s="338" t="s">
        <v>5</v>
      </c>
      <c r="BT834" s="338"/>
      <c r="BU834" s="338"/>
      <c r="BV834" s="338"/>
      <c r="BW834" s="338"/>
      <c r="BX834" s="338" t="s">
        <v>6</v>
      </c>
      <c r="BY834" s="338" t="s">
        <v>3850</v>
      </c>
      <c r="BZ834" s="338"/>
      <c r="CA834"/>
      <c r="CB834" s="338" t="s">
        <v>5</v>
      </c>
      <c r="CC834" s="338">
        <v>11131.93716194871</v>
      </c>
      <c r="CD834" s="338">
        <v>2689304.0515982518</v>
      </c>
      <c r="CE834" s="313" t="s">
        <v>11891</v>
      </c>
    </row>
    <row r="835" spans="1:83" ht="15" x14ac:dyDescent="0.25">
      <c r="A835" s="338" t="s">
        <v>3884</v>
      </c>
      <c r="B835" s="338" t="s">
        <v>3885</v>
      </c>
      <c r="C835" s="338" t="s">
        <v>3886</v>
      </c>
      <c r="D835" s="338">
        <v>15</v>
      </c>
      <c r="E835" s="338" t="s">
        <v>3847</v>
      </c>
      <c r="F835" s="338" t="s">
        <v>3864</v>
      </c>
      <c r="G835" s="338" t="s">
        <v>3849</v>
      </c>
      <c r="H835" s="338" t="s">
        <v>4162</v>
      </c>
      <c r="I835" s="338" t="s">
        <v>4163</v>
      </c>
      <c r="J835" s="338"/>
      <c r="K835" s="338" t="s">
        <v>11892</v>
      </c>
      <c r="L835" s="338">
        <v>1.0383403301239009</v>
      </c>
      <c r="M835" s="338" t="s">
        <v>6</v>
      </c>
      <c r="N835" s="338" t="s">
        <v>5</v>
      </c>
      <c r="O835" s="338" t="s">
        <v>5</v>
      </c>
      <c r="P835" s="338" t="s">
        <v>5</v>
      </c>
      <c r="Q835" s="338" t="s">
        <v>5</v>
      </c>
      <c r="R835" s="338" t="s">
        <v>4164</v>
      </c>
      <c r="S835" s="338" t="s">
        <v>4165</v>
      </c>
      <c r="T835" s="338" t="s">
        <v>6</v>
      </c>
      <c r="U835" s="338" t="s">
        <v>28</v>
      </c>
      <c r="V835" s="338">
        <v>25000</v>
      </c>
      <c r="W835" s="338">
        <v>1000</v>
      </c>
      <c r="X835" s="338" t="s">
        <v>6</v>
      </c>
      <c r="Y835" s="338"/>
      <c r="Z835" s="338">
        <v>0</v>
      </c>
      <c r="AA835" s="338">
        <v>0.40795338153839111</v>
      </c>
      <c r="AB835" s="338">
        <v>0.49719646573066711</v>
      </c>
      <c r="AC835" s="338">
        <v>2.3019472137093541E-2</v>
      </c>
      <c r="AD835" s="338">
        <v>953</v>
      </c>
      <c r="AE835" s="338">
        <v>704</v>
      </c>
      <c r="AF835" s="338">
        <v>815</v>
      </c>
      <c r="AG835" s="338">
        <v>3652</v>
      </c>
      <c r="AH835" s="338">
        <v>2993</v>
      </c>
      <c r="AI835" s="338">
        <v>3652</v>
      </c>
      <c r="AJ835" s="338">
        <v>0</v>
      </c>
      <c r="AK835" s="338">
        <v>0</v>
      </c>
      <c r="AL835" s="338">
        <v>16</v>
      </c>
      <c r="AM835" s="338">
        <v>0</v>
      </c>
      <c r="AN835" s="338">
        <v>168.09934997558591</v>
      </c>
      <c r="AO835" s="338">
        <v>0</v>
      </c>
      <c r="AP835" s="338">
        <v>0</v>
      </c>
      <c r="AQ835" s="338">
        <v>0</v>
      </c>
      <c r="AR835" s="338">
        <v>0</v>
      </c>
      <c r="AS835" s="338">
        <v>0</v>
      </c>
      <c r="AT835" s="338">
        <v>0</v>
      </c>
      <c r="AU835" s="338">
        <v>0</v>
      </c>
      <c r="AV835" s="338">
        <v>0</v>
      </c>
      <c r="AW835" s="338">
        <v>0</v>
      </c>
      <c r="AX835" s="338">
        <v>0</v>
      </c>
      <c r="AY835" s="338">
        <v>0</v>
      </c>
      <c r="AZ835" s="338">
        <v>0</v>
      </c>
      <c r="BA835" s="338">
        <v>0</v>
      </c>
      <c r="BB835" s="338">
        <v>0</v>
      </c>
      <c r="BC835" s="338">
        <v>0</v>
      </c>
      <c r="BD835" s="338">
        <v>0</v>
      </c>
      <c r="BE835" s="338">
        <v>0</v>
      </c>
      <c r="BF835" s="338" t="s">
        <v>5</v>
      </c>
      <c r="BG835" s="338" t="s">
        <v>5</v>
      </c>
      <c r="BH835" s="338"/>
      <c r="BI835" s="338"/>
      <c r="BJ835" s="338" t="s">
        <v>5</v>
      </c>
      <c r="BK835" s="338"/>
      <c r="BL835" s="338">
        <v>0</v>
      </c>
      <c r="BM835" s="338">
        <v>0</v>
      </c>
      <c r="BN835" s="338" t="s">
        <v>5</v>
      </c>
      <c r="BO835" s="338"/>
      <c r="BP835" s="338"/>
      <c r="BQ835" s="338"/>
      <c r="BR835" s="338"/>
      <c r="BS835" s="338" t="s">
        <v>5</v>
      </c>
      <c r="BT835" s="338"/>
      <c r="BU835" s="338"/>
      <c r="BV835" s="338"/>
      <c r="BW835" s="338"/>
      <c r="BX835" s="338" t="s">
        <v>6</v>
      </c>
      <c r="BY835" s="338" t="s">
        <v>3850</v>
      </c>
      <c r="BZ835" s="338"/>
      <c r="CA835"/>
      <c r="CB835" s="338" t="s">
        <v>5</v>
      </c>
      <c r="CC835" s="338">
        <v>11131.93716194871</v>
      </c>
      <c r="CD835" s="338">
        <v>2689304.0515982518</v>
      </c>
      <c r="CE835" s="313" t="s">
        <v>11891</v>
      </c>
    </row>
    <row r="836" spans="1:83" ht="15" x14ac:dyDescent="0.25">
      <c r="A836" s="338" t="s">
        <v>3887</v>
      </c>
      <c r="B836" s="338" t="s">
        <v>3888</v>
      </c>
      <c r="C836" s="338" t="s">
        <v>3889</v>
      </c>
      <c r="D836" s="338">
        <v>15</v>
      </c>
      <c r="E836" s="338" t="s">
        <v>3847</v>
      </c>
      <c r="F836" s="338" t="s">
        <v>3864</v>
      </c>
      <c r="G836" s="338" t="s">
        <v>4078</v>
      </c>
      <c r="H836" s="338" t="s">
        <v>4166</v>
      </c>
      <c r="I836" s="338" t="s">
        <v>4167</v>
      </c>
      <c r="J836" s="338"/>
      <c r="K836" s="338" t="s">
        <v>4155</v>
      </c>
      <c r="L836" s="338">
        <v>44.921024322509773</v>
      </c>
      <c r="M836" s="338" t="s">
        <v>6</v>
      </c>
      <c r="N836" s="338" t="s">
        <v>5</v>
      </c>
      <c r="O836" s="338" t="s">
        <v>5</v>
      </c>
      <c r="P836" s="338" t="s">
        <v>5</v>
      </c>
      <c r="Q836" s="338" t="s">
        <v>5</v>
      </c>
      <c r="R836" s="338" t="s">
        <v>4168</v>
      </c>
      <c r="S836" s="338" t="s">
        <v>4169</v>
      </c>
      <c r="T836" s="338" t="s">
        <v>6</v>
      </c>
      <c r="U836" s="338" t="s">
        <v>28</v>
      </c>
      <c r="V836" s="338">
        <v>250000</v>
      </c>
      <c r="W836" s="338">
        <v>1000</v>
      </c>
      <c r="X836" s="338" t="s">
        <v>6</v>
      </c>
      <c r="Y836" s="338"/>
      <c r="Z836" s="338">
        <v>0</v>
      </c>
      <c r="AA836" s="338">
        <v>24.456977844238281</v>
      </c>
      <c r="AB836" s="338">
        <v>5.3716769218444824</v>
      </c>
      <c r="AC836" s="338">
        <v>1.9157644419465211E-4</v>
      </c>
      <c r="AD836" s="338">
        <v>16985</v>
      </c>
      <c r="AE836" s="338">
        <v>6969</v>
      </c>
      <c r="AF836" s="338">
        <v>14417</v>
      </c>
      <c r="AG836" s="338">
        <v>89221</v>
      </c>
      <c r="AH836" s="338">
        <v>65788</v>
      </c>
      <c r="AI836" s="338">
        <v>89221</v>
      </c>
      <c r="AJ836" s="338">
        <v>15</v>
      </c>
      <c r="AK836" s="338">
        <v>1</v>
      </c>
      <c r="AL836" s="338">
        <v>287</v>
      </c>
      <c r="AM836" s="338">
        <v>0</v>
      </c>
      <c r="AN836" s="338">
        <v>5997.40380859375</v>
      </c>
      <c r="AO836" s="338">
        <v>0</v>
      </c>
      <c r="AP836" s="338">
        <v>0</v>
      </c>
      <c r="AQ836" s="338">
        <v>0</v>
      </c>
      <c r="AR836" s="338">
        <v>0</v>
      </c>
      <c r="AS836" s="338">
        <v>0</v>
      </c>
      <c r="AT836" s="338">
        <v>0</v>
      </c>
      <c r="AU836" s="338">
        <v>0</v>
      </c>
      <c r="AV836" s="338">
        <v>0</v>
      </c>
      <c r="AW836" s="338">
        <v>0</v>
      </c>
      <c r="AX836" s="338">
        <v>0</v>
      </c>
      <c r="AY836" s="338">
        <v>0</v>
      </c>
      <c r="AZ836" s="338">
        <v>0</v>
      </c>
      <c r="BA836" s="338">
        <v>0</v>
      </c>
      <c r="BB836" s="338">
        <v>0</v>
      </c>
      <c r="BC836" s="338">
        <v>0</v>
      </c>
      <c r="BD836" s="338">
        <v>0</v>
      </c>
      <c r="BE836" s="338">
        <v>0</v>
      </c>
      <c r="BF836" s="338" t="s">
        <v>5</v>
      </c>
      <c r="BG836" s="338" t="s">
        <v>5</v>
      </c>
      <c r="BH836" s="338"/>
      <c r="BI836" s="338"/>
      <c r="BJ836" s="338" t="s">
        <v>5</v>
      </c>
      <c r="BK836" s="338"/>
      <c r="BL836" s="338">
        <v>0</v>
      </c>
      <c r="BM836" s="338">
        <v>0</v>
      </c>
      <c r="BN836" s="338" t="s">
        <v>5</v>
      </c>
      <c r="BO836" s="338"/>
      <c r="BP836" s="338"/>
      <c r="BQ836" s="338"/>
      <c r="BR836" s="338"/>
      <c r="BS836" s="338" t="s">
        <v>5</v>
      </c>
      <c r="BT836" s="338"/>
      <c r="BU836" s="338"/>
      <c r="BV836" s="338"/>
      <c r="BW836" s="338"/>
      <c r="BX836" s="338" t="s">
        <v>6</v>
      </c>
      <c r="BY836" s="338" t="s">
        <v>3850</v>
      </c>
      <c r="BZ836" s="338"/>
      <c r="CA836"/>
      <c r="CB836" s="338" t="s">
        <v>5</v>
      </c>
      <c r="CC836" s="338">
        <v>104083.8322281563</v>
      </c>
      <c r="CD836" s="338">
        <v>116345570.441662</v>
      </c>
      <c r="CE836" s="313" t="s">
        <v>11891</v>
      </c>
    </row>
    <row r="837" spans="1:83" ht="15" x14ac:dyDescent="0.25">
      <c r="A837" s="338" t="s">
        <v>3891</v>
      </c>
      <c r="B837" s="338" t="s">
        <v>3892</v>
      </c>
      <c r="C837" s="338" t="s">
        <v>3868</v>
      </c>
      <c r="D837" s="338">
        <v>15</v>
      </c>
      <c r="E837" s="338" t="s">
        <v>3847</v>
      </c>
      <c r="F837" s="338" t="s">
        <v>3864</v>
      </c>
      <c r="G837" s="338" t="s">
        <v>4078</v>
      </c>
      <c r="H837" s="338" t="s">
        <v>4166</v>
      </c>
      <c r="I837" s="338" t="s">
        <v>4167</v>
      </c>
      <c r="J837" s="338"/>
      <c r="K837" s="338" t="s">
        <v>4155</v>
      </c>
      <c r="L837" s="338">
        <v>44.921024322509773</v>
      </c>
      <c r="M837" s="338" t="s">
        <v>6</v>
      </c>
      <c r="N837" s="338" t="s">
        <v>5</v>
      </c>
      <c r="O837" s="338" t="s">
        <v>5</v>
      </c>
      <c r="P837" s="338" t="s">
        <v>5</v>
      </c>
      <c r="Q837" s="338" t="s">
        <v>5</v>
      </c>
      <c r="R837" s="338" t="s">
        <v>4168</v>
      </c>
      <c r="S837" s="338" t="s">
        <v>4169</v>
      </c>
      <c r="T837" s="338" t="s">
        <v>6</v>
      </c>
      <c r="U837" s="338" t="s">
        <v>28</v>
      </c>
      <c r="V837" s="338">
        <v>1000</v>
      </c>
      <c r="W837" s="338">
        <v>1000</v>
      </c>
      <c r="X837" s="338" t="s">
        <v>6</v>
      </c>
      <c r="Y837" s="338"/>
      <c r="Z837" s="338">
        <v>0</v>
      </c>
      <c r="AA837" s="338">
        <v>24.456977844238281</v>
      </c>
      <c r="AB837" s="338">
        <v>5.3716769218444824</v>
      </c>
      <c r="AC837" s="338">
        <v>1.9157644419465211E-4</v>
      </c>
      <c r="AD837" s="338">
        <v>16985</v>
      </c>
      <c r="AE837" s="338">
        <v>6969</v>
      </c>
      <c r="AF837" s="338">
        <v>14417</v>
      </c>
      <c r="AG837" s="338">
        <v>89221</v>
      </c>
      <c r="AH837" s="338">
        <v>65788</v>
      </c>
      <c r="AI837" s="338">
        <v>89221</v>
      </c>
      <c r="AJ837" s="338">
        <v>15</v>
      </c>
      <c r="AK837" s="338">
        <v>1</v>
      </c>
      <c r="AL837" s="338">
        <v>287</v>
      </c>
      <c r="AM837" s="338">
        <v>0</v>
      </c>
      <c r="AN837" s="338">
        <v>5997.40380859375</v>
      </c>
      <c r="AO837" s="338">
        <v>0</v>
      </c>
      <c r="AP837" s="338">
        <v>0</v>
      </c>
      <c r="AQ837" s="338">
        <v>0</v>
      </c>
      <c r="AR837" s="338">
        <v>0</v>
      </c>
      <c r="AS837" s="338">
        <v>0</v>
      </c>
      <c r="AT837" s="338">
        <v>0</v>
      </c>
      <c r="AU837" s="338">
        <v>0</v>
      </c>
      <c r="AV837" s="338">
        <v>0</v>
      </c>
      <c r="AW837" s="338">
        <v>0</v>
      </c>
      <c r="AX837" s="338">
        <v>0</v>
      </c>
      <c r="AY837" s="338">
        <v>0</v>
      </c>
      <c r="AZ837" s="338">
        <v>0</v>
      </c>
      <c r="BA837" s="338">
        <v>0</v>
      </c>
      <c r="BB837" s="338">
        <v>0</v>
      </c>
      <c r="BC837" s="338">
        <v>0</v>
      </c>
      <c r="BD837" s="338">
        <v>0</v>
      </c>
      <c r="BE837" s="338">
        <v>0</v>
      </c>
      <c r="BF837" s="338" t="s">
        <v>5</v>
      </c>
      <c r="BG837" s="338" t="s">
        <v>5</v>
      </c>
      <c r="BH837" s="338"/>
      <c r="BI837" s="338"/>
      <c r="BJ837" s="338" t="s">
        <v>5</v>
      </c>
      <c r="BK837" s="338"/>
      <c r="BL837" s="338">
        <v>0</v>
      </c>
      <c r="BM837" s="338">
        <v>0</v>
      </c>
      <c r="BN837" s="338" t="s">
        <v>5</v>
      </c>
      <c r="BO837" s="338"/>
      <c r="BP837" s="338"/>
      <c r="BQ837" s="338"/>
      <c r="BR837" s="338"/>
      <c r="BS837" s="338" t="s">
        <v>5</v>
      </c>
      <c r="BT837" s="338"/>
      <c r="BU837" s="338"/>
      <c r="BV837" s="338"/>
      <c r="BW837" s="338"/>
      <c r="BX837" s="338" t="s">
        <v>6</v>
      </c>
      <c r="BY837" s="338" t="s">
        <v>3850</v>
      </c>
      <c r="BZ837" s="338"/>
      <c r="CA837"/>
      <c r="CB837" s="338" t="s">
        <v>5</v>
      </c>
      <c r="CC837" s="338">
        <v>104083.8322281563</v>
      </c>
      <c r="CD837" s="338">
        <v>116345570.441662</v>
      </c>
      <c r="CE837" s="313" t="s">
        <v>11891</v>
      </c>
    </row>
    <row r="838" spans="1:83" s="345" customFormat="1" ht="15" x14ac:dyDescent="0.25">
      <c r="A838" s="338" t="s">
        <v>3893</v>
      </c>
      <c r="B838" s="338" t="s">
        <v>3894</v>
      </c>
      <c r="C838" s="338" t="s">
        <v>3886</v>
      </c>
      <c r="D838" s="338">
        <v>15</v>
      </c>
      <c r="E838" s="338" t="s">
        <v>3847</v>
      </c>
      <c r="F838" s="338" t="s">
        <v>3864</v>
      </c>
      <c r="G838" s="338" t="s">
        <v>4078</v>
      </c>
      <c r="H838" s="338" t="s">
        <v>4166</v>
      </c>
      <c r="I838" s="338" t="s">
        <v>4167</v>
      </c>
      <c r="J838" s="338"/>
      <c r="K838" s="338" t="s">
        <v>4155</v>
      </c>
      <c r="L838" s="338">
        <v>44.921024322509773</v>
      </c>
      <c r="M838" s="338" t="s">
        <v>6</v>
      </c>
      <c r="N838" s="338" t="s">
        <v>5</v>
      </c>
      <c r="O838" s="338" t="s">
        <v>5</v>
      </c>
      <c r="P838" s="338" t="s">
        <v>5</v>
      </c>
      <c r="Q838" s="338" t="s">
        <v>5</v>
      </c>
      <c r="R838" s="338" t="s">
        <v>4168</v>
      </c>
      <c r="S838" s="338" t="s">
        <v>4169</v>
      </c>
      <c r="T838" s="338" t="s">
        <v>6</v>
      </c>
      <c r="U838" s="338" t="s">
        <v>28</v>
      </c>
      <c r="V838" s="338">
        <v>31000</v>
      </c>
      <c r="W838" s="338">
        <v>1000</v>
      </c>
      <c r="X838" s="338" t="s">
        <v>6</v>
      </c>
      <c r="Y838" s="338"/>
      <c r="Z838" s="338">
        <v>0</v>
      </c>
      <c r="AA838" s="338">
        <v>24.456977844238281</v>
      </c>
      <c r="AB838" s="338">
        <v>5.3716769218444824</v>
      </c>
      <c r="AC838" s="338">
        <v>1.9157644419465211E-4</v>
      </c>
      <c r="AD838" s="338">
        <v>16985</v>
      </c>
      <c r="AE838" s="338">
        <v>6969</v>
      </c>
      <c r="AF838" s="338">
        <v>14417</v>
      </c>
      <c r="AG838" s="338">
        <v>89221</v>
      </c>
      <c r="AH838" s="338">
        <v>65788</v>
      </c>
      <c r="AI838" s="338">
        <v>89221</v>
      </c>
      <c r="AJ838" s="338">
        <v>15</v>
      </c>
      <c r="AK838" s="338">
        <v>1</v>
      </c>
      <c r="AL838" s="338">
        <v>287</v>
      </c>
      <c r="AM838" s="338">
        <v>0</v>
      </c>
      <c r="AN838" s="338">
        <v>5997.40380859375</v>
      </c>
      <c r="AO838" s="338">
        <v>0</v>
      </c>
      <c r="AP838" s="338">
        <v>0</v>
      </c>
      <c r="AQ838" s="338">
        <v>0</v>
      </c>
      <c r="AR838" s="338">
        <v>0</v>
      </c>
      <c r="AS838" s="338">
        <v>0</v>
      </c>
      <c r="AT838" s="338">
        <v>0</v>
      </c>
      <c r="AU838" s="338">
        <v>0</v>
      </c>
      <c r="AV838" s="338">
        <v>0</v>
      </c>
      <c r="AW838" s="338">
        <v>0</v>
      </c>
      <c r="AX838" s="338">
        <v>0</v>
      </c>
      <c r="AY838" s="338">
        <v>0</v>
      </c>
      <c r="AZ838" s="338">
        <v>0</v>
      </c>
      <c r="BA838" s="338">
        <v>0</v>
      </c>
      <c r="BB838" s="338">
        <v>0</v>
      </c>
      <c r="BC838" s="338">
        <v>0</v>
      </c>
      <c r="BD838" s="338">
        <v>0</v>
      </c>
      <c r="BE838" s="338">
        <v>0</v>
      </c>
      <c r="BF838" s="338" t="s">
        <v>5</v>
      </c>
      <c r="BG838" s="338" t="s">
        <v>5</v>
      </c>
      <c r="BH838" s="338"/>
      <c r="BI838" s="338"/>
      <c r="BJ838" s="338" t="s">
        <v>5</v>
      </c>
      <c r="BK838" s="338"/>
      <c r="BL838" s="338">
        <v>0</v>
      </c>
      <c r="BM838" s="338">
        <v>0</v>
      </c>
      <c r="BN838" s="338" t="s">
        <v>5</v>
      </c>
      <c r="BO838" s="338"/>
      <c r="BP838" s="338"/>
      <c r="BQ838" s="338"/>
      <c r="BR838" s="338"/>
      <c r="BS838" s="338" t="s">
        <v>5</v>
      </c>
      <c r="BT838" s="338"/>
      <c r="BU838" s="338"/>
      <c r="BV838" s="338"/>
      <c r="BW838" s="338"/>
      <c r="BX838" s="338" t="s">
        <v>6</v>
      </c>
      <c r="BY838" s="338" t="s">
        <v>3850</v>
      </c>
      <c r="BZ838" s="338"/>
      <c r="CA838"/>
      <c r="CB838" s="338" t="s">
        <v>5</v>
      </c>
      <c r="CC838" s="338">
        <v>104083.8322281563</v>
      </c>
      <c r="CD838" s="338">
        <v>116345570.441662</v>
      </c>
      <c r="CE838" s="313" t="s">
        <v>11891</v>
      </c>
    </row>
    <row r="839" spans="1:83" ht="15" x14ac:dyDescent="0.25">
      <c r="A839" s="338" t="s">
        <v>3895</v>
      </c>
      <c r="B839" s="338" t="s">
        <v>3896</v>
      </c>
      <c r="C839" s="338" t="s">
        <v>3868</v>
      </c>
      <c r="D839" s="338">
        <v>15</v>
      </c>
      <c r="E839" s="338" t="s">
        <v>3847</v>
      </c>
      <c r="F839" s="338" t="s">
        <v>3864</v>
      </c>
      <c r="G839" s="338" t="s">
        <v>4170</v>
      </c>
      <c r="H839" s="338" t="s">
        <v>4171</v>
      </c>
      <c r="I839" s="338" t="s">
        <v>4172</v>
      </c>
      <c r="J839" s="338"/>
      <c r="K839" s="338" t="s">
        <v>4155</v>
      </c>
      <c r="L839" s="338">
        <v>8.4789943695068359</v>
      </c>
      <c r="M839" s="338" t="s">
        <v>6</v>
      </c>
      <c r="N839" s="338" t="s">
        <v>5</v>
      </c>
      <c r="O839" s="338" t="s">
        <v>5</v>
      </c>
      <c r="P839" s="338" t="s">
        <v>5</v>
      </c>
      <c r="Q839" s="338" t="s">
        <v>5</v>
      </c>
      <c r="R839" s="338" t="s">
        <v>4173</v>
      </c>
      <c r="S839" s="338" t="s">
        <v>4174</v>
      </c>
      <c r="T839" s="338" t="s">
        <v>6</v>
      </c>
      <c r="U839" s="338" t="s">
        <v>13</v>
      </c>
      <c r="V839" s="338">
        <v>5000</v>
      </c>
      <c r="W839" s="338">
        <v>1000</v>
      </c>
      <c r="X839" s="338" t="s">
        <v>6</v>
      </c>
      <c r="Y839" s="338"/>
      <c r="Z839" s="338">
        <v>0</v>
      </c>
      <c r="AA839" s="338">
        <v>3.6913964748382568</v>
      </c>
      <c r="AB839" s="338">
        <v>4.3818778991699219</v>
      </c>
      <c r="AC839" s="338">
        <v>0</v>
      </c>
      <c r="AD839" s="338">
        <v>3776</v>
      </c>
      <c r="AE839" s="338">
        <v>2817</v>
      </c>
      <c r="AF839" s="338">
        <v>3144</v>
      </c>
      <c r="AG839" s="338">
        <v>14338</v>
      </c>
      <c r="AH839" s="338">
        <v>13853</v>
      </c>
      <c r="AI839" s="338">
        <v>14338</v>
      </c>
      <c r="AJ839" s="338">
        <v>2</v>
      </c>
      <c r="AK839" s="338">
        <v>0</v>
      </c>
      <c r="AL839" s="338">
        <v>54</v>
      </c>
      <c r="AM839" s="338">
        <v>0</v>
      </c>
      <c r="AN839" s="338">
        <v>1875.234985351562</v>
      </c>
      <c r="AO839" s="338">
        <v>0</v>
      </c>
      <c r="AP839" s="338">
        <v>0</v>
      </c>
      <c r="AQ839" s="338">
        <v>0</v>
      </c>
      <c r="AR839" s="338">
        <v>0</v>
      </c>
      <c r="AS839" s="338">
        <v>0</v>
      </c>
      <c r="AT839" s="338">
        <v>0</v>
      </c>
      <c r="AU839" s="338">
        <v>0</v>
      </c>
      <c r="AV839" s="338">
        <v>0</v>
      </c>
      <c r="AW839" s="338">
        <v>0</v>
      </c>
      <c r="AX839" s="338">
        <v>0</v>
      </c>
      <c r="AY839" s="338">
        <v>0</v>
      </c>
      <c r="AZ839" s="338">
        <v>0</v>
      </c>
      <c r="BA839" s="338">
        <v>0</v>
      </c>
      <c r="BB839" s="338">
        <v>0</v>
      </c>
      <c r="BC839" s="338">
        <v>0</v>
      </c>
      <c r="BD839" s="338">
        <v>0</v>
      </c>
      <c r="BE839" s="338">
        <v>0</v>
      </c>
      <c r="BF839" s="338" t="s">
        <v>5</v>
      </c>
      <c r="BG839" s="338" t="s">
        <v>5</v>
      </c>
      <c r="BH839" s="338"/>
      <c r="BI839" s="338"/>
      <c r="BJ839" s="338" t="s">
        <v>5</v>
      </c>
      <c r="BK839" s="338"/>
      <c r="BL839" s="338">
        <v>0</v>
      </c>
      <c r="BM839" s="338">
        <v>0</v>
      </c>
      <c r="BN839" s="338" t="s">
        <v>5</v>
      </c>
      <c r="BO839" s="338"/>
      <c r="BP839" s="338"/>
      <c r="BQ839" s="338"/>
      <c r="BR839" s="338"/>
      <c r="BS839" s="338" t="s">
        <v>5</v>
      </c>
      <c r="BT839" s="338"/>
      <c r="BU839" s="338"/>
      <c r="BV839" s="338"/>
      <c r="BW839" s="338"/>
      <c r="BX839" s="338" t="s">
        <v>6</v>
      </c>
      <c r="BY839" s="338" t="s">
        <v>3850</v>
      </c>
      <c r="BZ839" s="338"/>
      <c r="CA839"/>
      <c r="CB839" s="338" t="s">
        <v>5</v>
      </c>
      <c r="CC839" s="338">
        <v>23638.8272526129</v>
      </c>
      <c r="CD839" s="338">
        <v>21960617.200157769</v>
      </c>
      <c r="CE839" s="313" t="s">
        <v>11891</v>
      </c>
    </row>
    <row r="840" spans="1:83" ht="15" x14ac:dyDescent="0.25">
      <c r="A840" s="338" t="s">
        <v>3899</v>
      </c>
      <c r="B840" s="338" t="s">
        <v>3900</v>
      </c>
      <c r="C840" s="338" t="s">
        <v>3901</v>
      </c>
      <c r="D840" s="338">
        <v>15</v>
      </c>
      <c r="E840" s="338" t="s">
        <v>3847</v>
      </c>
      <c r="F840" s="338" t="s">
        <v>3864</v>
      </c>
      <c r="G840" s="338" t="s">
        <v>4175</v>
      </c>
      <c r="H840" s="338" t="s">
        <v>4176</v>
      </c>
      <c r="I840" s="338" t="s">
        <v>4177</v>
      </c>
      <c r="J840" s="338"/>
      <c r="K840" s="338" t="s">
        <v>4098</v>
      </c>
      <c r="L840" s="338">
        <v>1586.387817382812</v>
      </c>
      <c r="M840" s="338" t="s">
        <v>6</v>
      </c>
      <c r="N840" s="338" t="s">
        <v>5</v>
      </c>
      <c r="O840" s="338" t="s">
        <v>5</v>
      </c>
      <c r="P840" s="338" t="s">
        <v>5</v>
      </c>
      <c r="Q840" s="338" t="s">
        <v>5</v>
      </c>
      <c r="R840" s="338" t="s">
        <v>4107</v>
      </c>
      <c r="S840" s="338" t="s">
        <v>4174</v>
      </c>
      <c r="T840" s="338" t="s">
        <v>6</v>
      </c>
      <c r="U840" s="338" t="s">
        <v>50</v>
      </c>
      <c r="V840" s="338">
        <v>10000</v>
      </c>
      <c r="W840" s="338">
        <v>1000</v>
      </c>
      <c r="X840" s="338" t="s">
        <v>6</v>
      </c>
      <c r="Y840" s="338"/>
      <c r="Z840" s="338">
        <v>0</v>
      </c>
      <c r="AA840" s="338">
        <v>707.0999755859375</v>
      </c>
      <c r="AB840" s="338">
        <v>217.64697265625</v>
      </c>
      <c r="AC840" s="338">
        <v>2.3561801910400391</v>
      </c>
      <c r="AD840" s="338">
        <v>167224</v>
      </c>
      <c r="AE840" s="338">
        <v>94635</v>
      </c>
      <c r="AF840" s="338">
        <v>135738</v>
      </c>
      <c r="AG840" s="338">
        <v>536486</v>
      </c>
      <c r="AH840" s="338">
        <v>569558</v>
      </c>
      <c r="AI840" s="338">
        <v>569558</v>
      </c>
      <c r="AJ840" s="338">
        <v>62</v>
      </c>
      <c r="AK840" s="338">
        <v>16</v>
      </c>
      <c r="AL840" s="338">
        <v>3065</v>
      </c>
      <c r="AM840" s="338">
        <v>0</v>
      </c>
      <c r="AN840" s="338">
        <v>338728.96875</v>
      </c>
      <c r="AO840" s="338">
        <v>0</v>
      </c>
      <c r="AP840" s="338">
        <v>0</v>
      </c>
      <c r="AQ840" s="338">
        <v>0</v>
      </c>
      <c r="AR840" s="338">
        <v>0</v>
      </c>
      <c r="AS840" s="338">
        <v>0</v>
      </c>
      <c r="AT840" s="338">
        <v>0</v>
      </c>
      <c r="AU840" s="338">
        <v>0</v>
      </c>
      <c r="AV840" s="338">
        <v>0</v>
      </c>
      <c r="AW840" s="338">
        <v>0</v>
      </c>
      <c r="AX840" s="338">
        <v>0</v>
      </c>
      <c r="AY840" s="338">
        <v>0</v>
      </c>
      <c r="AZ840" s="338">
        <v>0</v>
      </c>
      <c r="BA840" s="338">
        <v>0</v>
      </c>
      <c r="BB840" s="338">
        <v>0</v>
      </c>
      <c r="BC840" s="338">
        <v>0</v>
      </c>
      <c r="BD840" s="338">
        <v>0</v>
      </c>
      <c r="BE840" s="338">
        <v>0</v>
      </c>
      <c r="BF840" s="338" t="s">
        <v>5</v>
      </c>
      <c r="BG840" s="338" t="s">
        <v>5</v>
      </c>
      <c r="BH840" s="338"/>
      <c r="BI840" s="338"/>
      <c r="BJ840" s="338" t="s">
        <v>5</v>
      </c>
      <c r="BK840" s="338"/>
      <c r="BL840" s="338">
        <v>0</v>
      </c>
      <c r="BM840" s="338">
        <v>0</v>
      </c>
      <c r="BN840" s="338" t="s">
        <v>5</v>
      </c>
      <c r="BO840" s="338"/>
      <c r="BP840" s="338"/>
      <c r="BQ840" s="338"/>
      <c r="BR840" s="338"/>
      <c r="BS840" s="338" t="s">
        <v>5</v>
      </c>
      <c r="BT840" s="338"/>
      <c r="BU840" s="338"/>
      <c r="BV840" s="338"/>
      <c r="BW840" s="338"/>
      <c r="BX840" s="338" t="s">
        <v>6</v>
      </c>
      <c r="BY840" s="338" t="s">
        <v>3850</v>
      </c>
      <c r="BZ840" s="338"/>
      <c r="CA840"/>
      <c r="CB840" s="338" t="s">
        <v>5</v>
      </c>
      <c r="CC840" s="338">
        <v>347610.15449321893</v>
      </c>
      <c r="CD840" s="338">
        <v>4108748644.5812788</v>
      </c>
      <c r="CE840" s="313" t="s">
        <v>11891</v>
      </c>
    </row>
    <row r="841" spans="1:83" ht="15" x14ac:dyDescent="0.25">
      <c r="A841" s="338" t="s">
        <v>3903</v>
      </c>
      <c r="B841" s="338" t="s">
        <v>3904</v>
      </c>
      <c r="C841" s="338" t="s">
        <v>3868</v>
      </c>
      <c r="D841" s="338">
        <v>15</v>
      </c>
      <c r="E841" s="338" t="s">
        <v>3847</v>
      </c>
      <c r="F841" s="338" t="s">
        <v>3864</v>
      </c>
      <c r="G841" s="338" t="s">
        <v>4175</v>
      </c>
      <c r="H841" s="338" t="s">
        <v>4176</v>
      </c>
      <c r="I841" s="338" t="s">
        <v>4177</v>
      </c>
      <c r="J841" s="338"/>
      <c r="K841" s="338" t="s">
        <v>4155</v>
      </c>
      <c r="L841" s="338">
        <v>1586.387817382812</v>
      </c>
      <c r="M841" s="338" t="s">
        <v>6</v>
      </c>
      <c r="N841" s="338" t="s">
        <v>5</v>
      </c>
      <c r="O841" s="338" t="s">
        <v>5</v>
      </c>
      <c r="P841" s="338" t="s">
        <v>5</v>
      </c>
      <c r="Q841" s="338" t="s">
        <v>5</v>
      </c>
      <c r="R841" s="338" t="s">
        <v>4107</v>
      </c>
      <c r="S841" s="338" t="s">
        <v>4174</v>
      </c>
      <c r="T841" s="338" t="s">
        <v>6</v>
      </c>
      <c r="U841" s="338" t="s">
        <v>28</v>
      </c>
      <c r="V841" s="338">
        <v>100000</v>
      </c>
      <c r="W841" s="338">
        <v>1000</v>
      </c>
      <c r="X841" s="338" t="s">
        <v>6</v>
      </c>
      <c r="Y841" s="338"/>
      <c r="Z841" s="338">
        <v>0</v>
      </c>
      <c r="AA841" s="338">
        <v>707.0999755859375</v>
      </c>
      <c r="AB841" s="338">
        <v>217.64697265625</v>
      </c>
      <c r="AC841" s="338">
        <v>2.3561801910400391</v>
      </c>
      <c r="AD841" s="338">
        <v>167224</v>
      </c>
      <c r="AE841" s="338">
        <v>94635</v>
      </c>
      <c r="AF841" s="338">
        <v>135738</v>
      </c>
      <c r="AG841" s="338">
        <v>536486</v>
      </c>
      <c r="AH841" s="338">
        <v>569558</v>
      </c>
      <c r="AI841" s="338">
        <v>569558</v>
      </c>
      <c r="AJ841" s="338">
        <v>62</v>
      </c>
      <c r="AK841" s="338">
        <v>16</v>
      </c>
      <c r="AL841" s="338">
        <v>3065</v>
      </c>
      <c r="AM841" s="338">
        <v>0</v>
      </c>
      <c r="AN841" s="338">
        <v>338728.96875</v>
      </c>
      <c r="AO841" s="338">
        <v>0</v>
      </c>
      <c r="AP841" s="338">
        <v>0</v>
      </c>
      <c r="AQ841" s="338">
        <v>0</v>
      </c>
      <c r="AR841" s="338">
        <v>0</v>
      </c>
      <c r="AS841" s="338">
        <v>0</v>
      </c>
      <c r="AT841" s="338">
        <v>0</v>
      </c>
      <c r="AU841" s="338">
        <v>0</v>
      </c>
      <c r="AV841" s="338">
        <v>0</v>
      </c>
      <c r="AW841" s="338">
        <v>0</v>
      </c>
      <c r="AX841" s="338">
        <v>0</v>
      </c>
      <c r="AY841" s="338">
        <v>0</v>
      </c>
      <c r="AZ841" s="338">
        <v>0</v>
      </c>
      <c r="BA841" s="338">
        <v>0</v>
      </c>
      <c r="BB841" s="338">
        <v>0</v>
      </c>
      <c r="BC841" s="338">
        <v>0</v>
      </c>
      <c r="BD841" s="338">
        <v>0</v>
      </c>
      <c r="BE841" s="338">
        <v>0</v>
      </c>
      <c r="BF841" s="338" t="s">
        <v>5</v>
      </c>
      <c r="BG841" s="338" t="s">
        <v>5</v>
      </c>
      <c r="BH841" s="338"/>
      <c r="BI841" s="338"/>
      <c r="BJ841" s="338" t="s">
        <v>5</v>
      </c>
      <c r="BK841" s="338"/>
      <c r="BL841" s="338">
        <v>0</v>
      </c>
      <c r="BM841" s="338">
        <v>0</v>
      </c>
      <c r="BN841" s="338" t="s">
        <v>5</v>
      </c>
      <c r="BO841" s="338"/>
      <c r="BP841" s="338"/>
      <c r="BQ841" s="338"/>
      <c r="BR841" s="338"/>
      <c r="BS841" s="338" t="s">
        <v>5</v>
      </c>
      <c r="BT841" s="338"/>
      <c r="BU841" s="338"/>
      <c r="BV841" s="338"/>
      <c r="BW841" s="338"/>
      <c r="BX841" s="338" t="s">
        <v>6</v>
      </c>
      <c r="BY841" s="338" t="s">
        <v>3850</v>
      </c>
      <c r="BZ841" s="338"/>
      <c r="CA841"/>
      <c r="CB841" s="338" t="s">
        <v>5</v>
      </c>
      <c r="CC841" s="338">
        <v>347610.15449321893</v>
      </c>
      <c r="CD841" s="338">
        <v>4108748644.5812788</v>
      </c>
      <c r="CE841" s="313" t="s">
        <v>11891</v>
      </c>
    </row>
    <row r="842" spans="1:83" ht="15" x14ac:dyDescent="0.25">
      <c r="A842" s="338" t="s">
        <v>3905</v>
      </c>
      <c r="B842" s="338" t="s">
        <v>3906</v>
      </c>
      <c r="C842" s="338" t="s">
        <v>3886</v>
      </c>
      <c r="D842" s="338">
        <v>15</v>
      </c>
      <c r="E842" s="338" t="s">
        <v>3847</v>
      </c>
      <c r="F842" s="338" t="s">
        <v>3864</v>
      </c>
      <c r="G842" s="338" t="s">
        <v>4175</v>
      </c>
      <c r="H842" s="338" t="s">
        <v>4176</v>
      </c>
      <c r="I842" s="338" t="s">
        <v>4177</v>
      </c>
      <c r="J842" s="338"/>
      <c r="K842" s="338" t="s">
        <v>4155</v>
      </c>
      <c r="L842" s="338">
        <v>1586.387817382812</v>
      </c>
      <c r="M842" s="338" t="s">
        <v>6</v>
      </c>
      <c r="N842" s="338" t="s">
        <v>5</v>
      </c>
      <c r="O842" s="338" t="s">
        <v>5</v>
      </c>
      <c r="P842" s="338" t="s">
        <v>5</v>
      </c>
      <c r="Q842" s="338" t="s">
        <v>5</v>
      </c>
      <c r="R842" s="338" t="s">
        <v>4107</v>
      </c>
      <c r="S842" s="338" t="s">
        <v>4174</v>
      </c>
      <c r="T842" s="338" t="s">
        <v>6</v>
      </c>
      <c r="U842" s="338" t="s">
        <v>28</v>
      </c>
      <c r="V842" s="338">
        <v>100000</v>
      </c>
      <c r="W842" s="338">
        <v>1000</v>
      </c>
      <c r="X842" s="338" t="s">
        <v>6</v>
      </c>
      <c r="Y842" s="338"/>
      <c r="Z842" s="338">
        <v>0</v>
      </c>
      <c r="AA842" s="338">
        <v>707.0999755859375</v>
      </c>
      <c r="AB842" s="338">
        <v>217.64697265625</v>
      </c>
      <c r="AC842" s="338">
        <v>2.3561801910400391</v>
      </c>
      <c r="AD842" s="338">
        <v>167224</v>
      </c>
      <c r="AE842" s="338">
        <v>94635</v>
      </c>
      <c r="AF842" s="338">
        <v>135738</v>
      </c>
      <c r="AG842" s="338">
        <v>536486</v>
      </c>
      <c r="AH842" s="338">
        <v>569558</v>
      </c>
      <c r="AI842" s="338">
        <v>569558</v>
      </c>
      <c r="AJ842" s="338">
        <v>62</v>
      </c>
      <c r="AK842" s="338">
        <v>16</v>
      </c>
      <c r="AL842" s="338">
        <v>3065</v>
      </c>
      <c r="AM842" s="338">
        <v>0</v>
      </c>
      <c r="AN842" s="338">
        <v>338728.96875</v>
      </c>
      <c r="AO842" s="338">
        <v>0</v>
      </c>
      <c r="AP842" s="338">
        <v>0</v>
      </c>
      <c r="AQ842" s="338">
        <v>0</v>
      </c>
      <c r="AR842" s="338">
        <v>0</v>
      </c>
      <c r="AS842" s="338">
        <v>0</v>
      </c>
      <c r="AT842" s="338">
        <v>0</v>
      </c>
      <c r="AU842" s="338">
        <v>0</v>
      </c>
      <c r="AV842" s="338">
        <v>0</v>
      </c>
      <c r="AW842" s="338">
        <v>0</v>
      </c>
      <c r="AX842" s="338">
        <v>0</v>
      </c>
      <c r="AY842" s="338">
        <v>0</v>
      </c>
      <c r="AZ842" s="338">
        <v>0</v>
      </c>
      <c r="BA842" s="338">
        <v>0</v>
      </c>
      <c r="BB842" s="338">
        <v>0</v>
      </c>
      <c r="BC842" s="338">
        <v>0</v>
      </c>
      <c r="BD842" s="338">
        <v>0</v>
      </c>
      <c r="BE842" s="338">
        <v>0</v>
      </c>
      <c r="BF842" s="338" t="s">
        <v>5</v>
      </c>
      <c r="BG842" s="338" t="s">
        <v>5</v>
      </c>
      <c r="BH842" s="338"/>
      <c r="BI842" s="338"/>
      <c r="BJ842" s="338" t="s">
        <v>5</v>
      </c>
      <c r="BK842" s="338"/>
      <c r="BL842" s="338">
        <v>0</v>
      </c>
      <c r="BM842" s="338">
        <v>0</v>
      </c>
      <c r="BN842" s="338" t="s">
        <v>5</v>
      </c>
      <c r="BO842" s="338"/>
      <c r="BP842" s="338"/>
      <c r="BQ842" s="338"/>
      <c r="BR842" s="338"/>
      <c r="BS842" s="338" t="s">
        <v>5</v>
      </c>
      <c r="BT842" s="338"/>
      <c r="BU842" s="338"/>
      <c r="BV842" s="338"/>
      <c r="BW842" s="338"/>
      <c r="BX842" s="338" t="s">
        <v>6</v>
      </c>
      <c r="BY842" s="338" t="s">
        <v>3850</v>
      </c>
      <c r="BZ842" s="338"/>
      <c r="CA842"/>
      <c r="CB842" s="338" t="s">
        <v>5</v>
      </c>
      <c r="CC842" s="338">
        <v>347610.15449321893</v>
      </c>
      <c r="CD842" s="338">
        <v>4108748644.5812788</v>
      </c>
      <c r="CE842" s="313" t="s">
        <v>11891</v>
      </c>
    </row>
    <row r="843" spans="1:83" ht="15" x14ac:dyDescent="0.25">
      <c r="A843" s="338" t="s">
        <v>3907</v>
      </c>
      <c r="B843" s="338" t="s">
        <v>3908</v>
      </c>
      <c r="C843" s="338" t="s">
        <v>3909</v>
      </c>
      <c r="D843" s="338">
        <v>15</v>
      </c>
      <c r="E843" s="338" t="s">
        <v>3847</v>
      </c>
      <c r="F843" s="338" t="s">
        <v>3864</v>
      </c>
      <c r="G843" s="338" t="s">
        <v>4175</v>
      </c>
      <c r="H843" s="338" t="s">
        <v>4176</v>
      </c>
      <c r="I843" s="338" t="s">
        <v>4177</v>
      </c>
      <c r="J843" s="338"/>
      <c r="K843" s="338" t="s">
        <v>4148</v>
      </c>
      <c r="L843" s="338">
        <v>1586.387817382812</v>
      </c>
      <c r="M843" s="338" t="s">
        <v>6</v>
      </c>
      <c r="N843" s="338" t="s">
        <v>5</v>
      </c>
      <c r="O843" s="338" t="s">
        <v>5</v>
      </c>
      <c r="P843" s="338" t="s">
        <v>5</v>
      </c>
      <c r="Q843" s="338" t="s">
        <v>5</v>
      </c>
      <c r="R843" s="338" t="s">
        <v>4107</v>
      </c>
      <c r="S843" s="338" t="s">
        <v>4174</v>
      </c>
      <c r="T843" s="338" t="s">
        <v>6</v>
      </c>
      <c r="U843" s="338" t="s">
        <v>28</v>
      </c>
      <c r="V843" s="338">
        <v>25000</v>
      </c>
      <c r="W843" s="338">
        <v>1000</v>
      </c>
      <c r="X843" s="338" t="s">
        <v>6</v>
      </c>
      <c r="Y843" s="338"/>
      <c r="Z843" s="338">
        <v>0</v>
      </c>
      <c r="AA843" s="338">
        <v>707.0999755859375</v>
      </c>
      <c r="AB843" s="338">
        <v>217.64697265625</v>
      </c>
      <c r="AC843" s="338">
        <v>2.3561801910400391</v>
      </c>
      <c r="AD843" s="338">
        <v>167224</v>
      </c>
      <c r="AE843" s="338">
        <v>94635</v>
      </c>
      <c r="AF843" s="338">
        <v>135738</v>
      </c>
      <c r="AG843" s="338">
        <v>536486</v>
      </c>
      <c r="AH843" s="338">
        <v>569558</v>
      </c>
      <c r="AI843" s="338">
        <v>569558</v>
      </c>
      <c r="AJ843" s="338">
        <v>62</v>
      </c>
      <c r="AK843" s="338">
        <v>16</v>
      </c>
      <c r="AL843" s="338">
        <v>3065</v>
      </c>
      <c r="AM843" s="338">
        <v>0</v>
      </c>
      <c r="AN843" s="338">
        <v>338728.96875</v>
      </c>
      <c r="AO843" s="338">
        <v>0</v>
      </c>
      <c r="AP843" s="338">
        <v>0</v>
      </c>
      <c r="AQ843" s="338">
        <v>0</v>
      </c>
      <c r="AR843" s="338">
        <v>0</v>
      </c>
      <c r="AS843" s="338">
        <v>0</v>
      </c>
      <c r="AT843" s="338">
        <v>0</v>
      </c>
      <c r="AU843" s="338">
        <v>0</v>
      </c>
      <c r="AV843" s="338">
        <v>0</v>
      </c>
      <c r="AW843" s="338">
        <v>0</v>
      </c>
      <c r="AX843" s="338">
        <v>0</v>
      </c>
      <c r="AY843" s="338">
        <v>0</v>
      </c>
      <c r="AZ843" s="338">
        <v>0</v>
      </c>
      <c r="BA843" s="338">
        <v>0</v>
      </c>
      <c r="BB843" s="338">
        <v>0</v>
      </c>
      <c r="BC843" s="338">
        <v>0</v>
      </c>
      <c r="BD843" s="338">
        <v>0</v>
      </c>
      <c r="BE843" s="338">
        <v>0</v>
      </c>
      <c r="BF843" s="338" t="s">
        <v>5</v>
      </c>
      <c r="BG843" s="338" t="s">
        <v>5</v>
      </c>
      <c r="BH843" s="338"/>
      <c r="BI843" s="338"/>
      <c r="BJ843" s="338" t="s">
        <v>5</v>
      </c>
      <c r="BK843" s="338"/>
      <c r="BL843" s="338">
        <v>0</v>
      </c>
      <c r="BM843" s="338">
        <v>0</v>
      </c>
      <c r="BN843" s="338" t="s">
        <v>5</v>
      </c>
      <c r="BO843" s="338"/>
      <c r="BP843" s="338"/>
      <c r="BQ843" s="338"/>
      <c r="BR843" s="338"/>
      <c r="BS843" s="338" t="s">
        <v>5</v>
      </c>
      <c r="BT843" s="338"/>
      <c r="BU843" s="338"/>
      <c r="BV843" s="338"/>
      <c r="BW843" s="338"/>
      <c r="BX843" s="338" t="s">
        <v>6</v>
      </c>
      <c r="BY843" s="338" t="s">
        <v>3850</v>
      </c>
      <c r="BZ843" s="338"/>
      <c r="CA843"/>
      <c r="CB843" s="338" t="s">
        <v>5</v>
      </c>
      <c r="CC843" s="338">
        <v>347610.15449321893</v>
      </c>
      <c r="CD843" s="338">
        <v>4108748644.5812788</v>
      </c>
      <c r="CE843" s="313" t="s">
        <v>11891</v>
      </c>
    </row>
    <row r="844" spans="1:83" ht="15" x14ac:dyDescent="0.25">
      <c r="A844" s="338" t="s">
        <v>3910</v>
      </c>
      <c r="B844" s="338" t="s">
        <v>3911</v>
      </c>
      <c r="C844" s="338" t="s">
        <v>3912</v>
      </c>
      <c r="D844" s="338">
        <v>15</v>
      </c>
      <c r="E844" s="338" t="s">
        <v>3847</v>
      </c>
      <c r="F844" s="338" t="s">
        <v>3864</v>
      </c>
      <c r="G844" s="338" t="s">
        <v>4175</v>
      </c>
      <c r="H844" s="338" t="s">
        <v>4176</v>
      </c>
      <c r="I844" s="338" t="s">
        <v>4177</v>
      </c>
      <c r="J844" s="338"/>
      <c r="K844" s="338" t="s">
        <v>4178</v>
      </c>
      <c r="L844" s="338">
        <v>1586.387817382812</v>
      </c>
      <c r="M844" s="338" t="s">
        <v>6</v>
      </c>
      <c r="N844" s="338" t="s">
        <v>5</v>
      </c>
      <c r="O844" s="338" t="s">
        <v>5</v>
      </c>
      <c r="P844" s="338" t="s">
        <v>5</v>
      </c>
      <c r="Q844" s="338" t="s">
        <v>5</v>
      </c>
      <c r="R844" s="338" t="s">
        <v>4107</v>
      </c>
      <c r="S844" s="338" t="s">
        <v>4174</v>
      </c>
      <c r="T844" s="338" t="s">
        <v>6</v>
      </c>
      <c r="U844" s="338" t="s">
        <v>13</v>
      </c>
      <c r="V844" s="338">
        <v>50000</v>
      </c>
      <c r="W844" s="338">
        <v>1000</v>
      </c>
      <c r="X844" s="338" t="s">
        <v>6</v>
      </c>
      <c r="Y844" s="338"/>
      <c r="Z844" s="338">
        <v>0</v>
      </c>
      <c r="AA844" s="338">
        <v>707.0999755859375</v>
      </c>
      <c r="AB844" s="338">
        <v>217.64697265625</v>
      </c>
      <c r="AC844" s="338">
        <v>2.3561801910400391</v>
      </c>
      <c r="AD844" s="338">
        <v>167224</v>
      </c>
      <c r="AE844" s="338">
        <v>94635</v>
      </c>
      <c r="AF844" s="338">
        <v>135738</v>
      </c>
      <c r="AG844" s="338">
        <v>536486</v>
      </c>
      <c r="AH844" s="338">
        <v>569558</v>
      </c>
      <c r="AI844" s="338">
        <v>569558</v>
      </c>
      <c r="AJ844" s="338">
        <v>62</v>
      </c>
      <c r="AK844" s="338">
        <v>16</v>
      </c>
      <c r="AL844" s="338">
        <v>3065</v>
      </c>
      <c r="AM844" s="338">
        <v>0</v>
      </c>
      <c r="AN844" s="338">
        <v>338728.96875</v>
      </c>
      <c r="AO844" s="338">
        <v>0</v>
      </c>
      <c r="AP844" s="338">
        <v>0</v>
      </c>
      <c r="AQ844" s="338">
        <v>0</v>
      </c>
      <c r="AR844" s="338">
        <v>0</v>
      </c>
      <c r="AS844" s="338">
        <v>0</v>
      </c>
      <c r="AT844" s="338">
        <v>0</v>
      </c>
      <c r="AU844" s="338">
        <v>0</v>
      </c>
      <c r="AV844" s="338">
        <v>0</v>
      </c>
      <c r="AW844" s="338">
        <v>0</v>
      </c>
      <c r="AX844" s="338">
        <v>0</v>
      </c>
      <c r="AY844" s="338">
        <v>0</v>
      </c>
      <c r="AZ844" s="338">
        <v>0</v>
      </c>
      <c r="BA844" s="338">
        <v>0</v>
      </c>
      <c r="BB844" s="338">
        <v>0</v>
      </c>
      <c r="BC844" s="338">
        <v>0</v>
      </c>
      <c r="BD844" s="338">
        <v>0</v>
      </c>
      <c r="BE844" s="338">
        <v>0</v>
      </c>
      <c r="BF844" s="338" t="s">
        <v>5</v>
      </c>
      <c r="BG844" s="338" t="s">
        <v>5</v>
      </c>
      <c r="BH844" s="338"/>
      <c r="BI844" s="338"/>
      <c r="BJ844" s="338" t="s">
        <v>5</v>
      </c>
      <c r="BK844" s="338"/>
      <c r="BL844" s="338">
        <v>0</v>
      </c>
      <c r="BM844" s="338">
        <v>0</v>
      </c>
      <c r="BN844" s="338" t="s">
        <v>5</v>
      </c>
      <c r="BO844" s="338"/>
      <c r="BP844" s="338"/>
      <c r="BQ844" s="338"/>
      <c r="BR844" s="338"/>
      <c r="BS844" s="338" t="s">
        <v>5</v>
      </c>
      <c r="BT844" s="338"/>
      <c r="BU844" s="338"/>
      <c r="BV844" s="338"/>
      <c r="BW844" s="338"/>
      <c r="BX844" s="338" t="s">
        <v>6</v>
      </c>
      <c r="BY844" s="338" t="s">
        <v>3850</v>
      </c>
      <c r="BZ844" s="338"/>
      <c r="CA844"/>
      <c r="CB844" s="338" t="s">
        <v>5</v>
      </c>
      <c r="CC844" s="338">
        <v>347610.15449321893</v>
      </c>
      <c r="CD844" s="338">
        <v>4108748644.5812788</v>
      </c>
      <c r="CE844" s="313" t="s">
        <v>11891</v>
      </c>
    </row>
    <row r="845" spans="1:83" ht="15" x14ac:dyDescent="0.25">
      <c r="A845" s="338" t="s">
        <v>3923</v>
      </c>
      <c r="B845" s="338" t="s">
        <v>3924</v>
      </c>
      <c r="C845" s="338" t="s">
        <v>3868</v>
      </c>
      <c r="D845" s="338">
        <v>15</v>
      </c>
      <c r="E845" s="338" t="s">
        <v>3847</v>
      </c>
      <c r="F845" s="338" t="s">
        <v>3864</v>
      </c>
      <c r="G845" s="338" t="s">
        <v>3849</v>
      </c>
      <c r="H845" s="338" t="s">
        <v>4162</v>
      </c>
      <c r="I845" s="338" t="s">
        <v>4163</v>
      </c>
      <c r="J845" s="338"/>
      <c r="K845" s="338" t="s">
        <v>4155</v>
      </c>
      <c r="L845" s="338">
        <v>0.59850817918777466</v>
      </c>
      <c r="M845" s="338" t="s">
        <v>6</v>
      </c>
      <c r="N845" s="338" t="s">
        <v>5</v>
      </c>
      <c r="O845" s="338" t="s">
        <v>5</v>
      </c>
      <c r="P845" s="338" t="s">
        <v>5</v>
      </c>
      <c r="Q845" s="338" t="s">
        <v>5</v>
      </c>
      <c r="R845" s="338" t="s">
        <v>3890</v>
      </c>
      <c r="S845" s="338" t="s">
        <v>4181</v>
      </c>
      <c r="T845" s="338" t="s">
        <v>6</v>
      </c>
      <c r="U845" s="338" t="s">
        <v>13</v>
      </c>
      <c r="V845" s="338">
        <v>1000</v>
      </c>
      <c r="W845" s="338">
        <v>1000</v>
      </c>
      <c r="X845" s="338" t="s">
        <v>6</v>
      </c>
      <c r="Y845" s="338"/>
      <c r="Z845" s="338">
        <v>0</v>
      </c>
      <c r="AA845" s="338">
        <v>0.47058364748954767</v>
      </c>
      <c r="AB845" s="338">
        <v>0.1224890723824501</v>
      </c>
      <c r="AC845" s="338">
        <v>0</v>
      </c>
      <c r="AD845" s="338">
        <v>509</v>
      </c>
      <c r="AE845" s="338">
        <v>158</v>
      </c>
      <c r="AF845" s="338">
        <v>423</v>
      </c>
      <c r="AG845" s="338">
        <v>1661</v>
      </c>
      <c r="AH845" s="338">
        <v>1881</v>
      </c>
      <c r="AI845" s="338">
        <v>1881</v>
      </c>
      <c r="AJ845" s="338">
        <v>2</v>
      </c>
      <c r="AK845" s="338">
        <v>0</v>
      </c>
      <c r="AL845" s="338">
        <v>7</v>
      </c>
      <c r="AM845" s="338">
        <v>0</v>
      </c>
      <c r="AN845" s="338">
        <v>117.64060211181641</v>
      </c>
      <c r="AO845" s="338">
        <v>0</v>
      </c>
      <c r="AP845" s="338">
        <v>0</v>
      </c>
      <c r="AQ845" s="338">
        <v>0</v>
      </c>
      <c r="AR845" s="338">
        <v>0</v>
      </c>
      <c r="AS845" s="338">
        <v>0</v>
      </c>
      <c r="AT845" s="338">
        <v>0</v>
      </c>
      <c r="AU845" s="338">
        <v>0</v>
      </c>
      <c r="AV845" s="338">
        <v>0</v>
      </c>
      <c r="AW845" s="338">
        <v>0</v>
      </c>
      <c r="AX845" s="338">
        <v>0</v>
      </c>
      <c r="AY845" s="338">
        <v>0</v>
      </c>
      <c r="AZ845" s="338">
        <v>0</v>
      </c>
      <c r="BA845" s="338">
        <v>0</v>
      </c>
      <c r="BB845" s="338">
        <v>0</v>
      </c>
      <c r="BC845" s="338">
        <v>0</v>
      </c>
      <c r="BD845" s="338">
        <v>0</v>
      </c>
      <c r="BE845" s="338">
        <v>0</v>
      </c>
      <c r="BF845" s="338" t="s">
        <v>5</v>
      </c>
      <c r="BG845" s="338" t="s">
        <v>5</v>
      </c>
      <c r="BH845" s="338"/>
      <c r="BI845" s="338"/>
      <c r="BJ845" s="338" t="s">
        <v>5</v>
      </c>
      <c r="BK845" s="338"/>
      <c r="BL845" s="338">
        <v>0</v>
      </c>
      <c r="BM845" s="338">
        <v>0</v>
      </c>
      <c r="BN845" s="338" t="s">
        <v>5</v>
      </c>
      <c r="BO845" s="338"/>
      <c r="BP845" s="338"/>
      <c r="BQ845" s="338"/>
      <c r="BR845" s="338"/>
      <c r="BS845" s="338" t="s">
        <v>5</v>
      </c>
      <c r="BT845" s="338"/>
      <c r="BU845" s="338"/>
      <c r="BV845" s="338"/>
      <c r="BW845" s="338"/>
      <c r="BX845" s="338" t="s">
        <v>6</v>
      </c>
      <c r="BY845" s="338" t="s">
        <v>3850</v>
      </c>
      <c r="BZ845" s="338"/>
      <c r="CA845"/>
      <c r="CB845" s="338" t="s">
        <v>5</v>
      </c>
      <c r="CC845" s="338">
        <v>9632.9005147919252</v>
      </c>
      <c r="CD845" s="338">
        <v>1550137.6953193559</v>
      </c>
      <c r="CE845" s="313" t="s">
        <v>11891</v>
      </c>
    </row>
    <row r="846" spans="1:83" ht="15" x14ac:dyDescent="0.25">
      <c r="A846" s="338" t="s">
        <v>3925</v>
      </c>
      <c r="B846" s="338" t="s">
        <v>3926</v>
      </c>
      <c r="C846" s="338" t="s">
        <v>3886</v>
      </c>
      <c r="D846" s="338">
        <v>15</v>
      </c>
      <c r="E846" s="338" t="s">
        <v>3847</v>
      </c>
      <c r="F846" s="338" t="s">
        <v>3864</v>
      </c>
      <c r="G846" s="338" t="s">
        <v>3849</v>
      </c>
      <c r="H846" s="338" t="s">
        <v>4162</v>
      </c>
      <c r="I846" s="338" t="s">
        <v>4163</v>
      </c>
      <c r="J846" s="338"/>
      <c r="K846" s="338" t="s">
        <v>4155</v>
      </c>
      <c r="L846" s="338">
        <v>0.59850817918777466</v>
      </c>
      <c r="M846" s="338" t="s">
        <v>6</v>
      </c>
      <c r="N846" s="338" t="s">
        <v>5</v>
      </c>
      <c r="O846" s="338" t="s">
        <v>5</v>
      </c>
      <c r="P846" s="338" t="s">
        <v>5</v>
      </c>
      <c r="Q846" s="338" t="s">
        <v>5</v>
      </c>
      <c r="R846" s="338" t="s">
        <v>3890</v>
      </c>
      <c r="S846" s="338" t="s">
        <v>4181</v>
      </c>
      <c r="T846" s="338" t="s">
        <v>6</v>
      </c>
      <c r="U846" s="338" t="s">
        <v>28</v>
      </c>
      <c r="V846" s="338">
        <v>31000</v>
      </c>
      <c r="W846" s="338">
        <v>1000</v>
      </c>
      <c r="X846" s="338" t="s">
        <v>6</v>
      </c>
      <c r="Y846" s="338"/>
      <c r="Z846" s="338">
        <v>0</v>
      </c>
      <c r="AA846" s="338">
        <v>0.47058364748954767</v>
      </c>
      <c r="AB846" s="338">
        <v>0.1224890723824501</v>
      </c>
      <c r="AC846" s="338">
        <v>0</v>
      </c>
      <c r="AD846" s="338">
        <v>509</v>
      </c>
      <c r="AE846" s="338">
        <v>158</v>
      </c>
      <c r="AF846" s="338">
        <v>423</v>
      </c>
      <c r="AG846" s="338">
        <v>1661</v>
      </c>
      <c r="AH846" s="338">
        <v>1881</v>
      </c>
      <c r="AI846" s="338">
        <v>1881</v>
      </c>
      <c r="AJ846" s="338">
        <v>2</v>
      </c>
      <c r="AK846" s="338">
        <v>0</v>
      </c>
      <c r="AL846" s="338">
        <v>7</v>
      </c>
      <c r="AM846" s="338">
        <v>0</v>
      </c>
      <c r="AN846" s="338">
        <v>117.64060211181641</v>
      </c>
      <c r="AO846" s="338">
        <v>0</v>
      </c>
      <c r="AP846" s="338">
        <v>0</v>
      </c>
      <c r="AQ846" s="338">
        <v>0</v>
      </c>
      <c r="AR846" s="338">
        <v>0</v>
      </c>
      <c r="AS846" s="338">
        <v>0</v>
      </c>
      <c r="AT846" s="338">
        <v>0</v>
      </c>
      <c r="AU846" s="338">
        <v>0</v>
      </c>
      <c r="AV846" s="338">
        <v>0</v>
      </c>
      <c r="AW846" s="338">
        <v>0</v>
      </c>
      <c r="AX846" s="338">
        <v>0</v>
      </c>
      <c r="AY846" s="338">
        <v>0</v>
      </c>
      <c r="AZ846" s="338">
        <v>0</v>
      </c>
      <c r="BA846" s="338">
        <v>0</v>
      </c>
      <c r="BB846" s="338">
        <v>0</v>
      </c>
      <c r="BC846" s="338">
        <v>0</v>
      </c>
      <c r="BD846" s="338">
        <v>0</v>
      </c>
      <c r="BE846" s="338">
        <v>0</v>
      </c>
      <c r="BF846" s="338" t="s">
        <v>5</v>
      </c>
      <c r="BG846" s="338" t="s">
        <v>5</v>
      </c>
      <c r="BH846" s="338"/>
      <c r="BI846" s="338"/>
      <c r="BJ846" s="338" t="s">
        <v>5</v>
      </c>
      <c r="BK846" s="338"/>
      <c r="BL846" s="338">
        <v>0</v>
      </c>
      <c r="BM846" s="338">
        <v>0</v>
      </c>
      <c r="BN846" s="338" t="s">
        <v>5</v>
      </c>
      <c r="BO846" s="338"/>
      <c r="BP846" s="338"/>
      <c r="BQ846" s="338"/>
      <c r="BR846" s="338"/>
      <c r="BS846" s="338" t="s">
        <v>5</v>
      </c>
      <c r="BT846" s="338"/>
      <c r="BU846" s="338"/>
      <c r="BV846" s="338"/>
      <c r="BW846" s="338"/>
      <c r="BX846" s="338" t="s">
        <v>6</v>
      </c>
      <c r="BY846" s="338" t="s">
        <v>3850</v>
      </c>
      <c r="BZ846" s="338"/>
      <c r="CA846"/>
      <c r="CB846" s="338" t="s">
        <v>5</v>
      </c>
      <c r="CC846" s="338">
        <v>9632.9005147919252</v>
      </c>
      <c r="CD846" s="338">
        <v>1550137.6953193559</v>
      </c>
      <c r="CE846" s="313" t="s">
        <v>11891</v>
      </c>
    </row>
    <row r="847" spans="1:83" ht="15" x14ac:dyDescent="0.25">
      <c r="A847" s="338" t="s">
        <v>3927</v>
      </c>
      <c r="B847" s="338" t="s">
        <v>3928</v>
      </c>
      <c r="C847" s="338" t="s">
        <v>3868</v>
      </c>
      <c r="D847" s="338">
        <v>15</v>
      </c>
      <c r="E847" s="338" t="s">
        <v>3847</v>
      </c>
      <c r="F847" s="338" t="s">
        <v>3864</v>
      </c>
      <c r="G847" s="338" t="s">
        <v>4182</v>
      </c>
      <c r="H847" s="338" t="s">
        <v>4183</v>
      </c>
      <c r="I847" s="338" t="s">
        <v>4184</v>
      </c>
      <c r="J847" s="338"/>
      <c r="K847" s="338" t="s">
        <v>4155</v>
      </c>
      <c r="L847" s="338">
        <v>62.884021759033203</v>
      </c>
      <c r="M847" s="338" t="s">
        <v>6</v>
      </c>
      <c r="N847" s="338" t="s">
        <v>5</v>
      </c>
      <c r="O847" s="338" t="s">
        <v>5</v>
      </c>
      <c r="P847" s="338" t="s">
        <v>5</v>
      </c>
      <c r="Q847" s="338" t="s">
        <v>5</v>
      </c>
      <c r="R847" s="338" t="s">
        <v>4185</v>
      </c>
      <c r="S847" s="338" t="s">
        <v>4186</v>
      </c>
      <c r="T847" s="338" t="s">
        <v>6</v>
      </c>
      <c r="U847" s="338" t="s">
        <v>28</v>
      </c>
      <c r="V847" s="338">
        <v>1000</v>
      </c>
      <c r="W847" s="338">
        <v>1000</v>
      </c>
      <c r="X847" s="338" t="s">
        <v>6</v>
      </c>
      <c r="Y847" s="338"/>
      <c r="Z847" s="338">
        <v>0</v>
      </c>
      <c r="AA847" s="338">
        <v>31.946149826049801</v>
      </c>
      <c r="AB847" s="338">
        <v>15.606863021850589</v>
      </c>
      <c r="AC847" s="338">
        <v>0</v>
      </c>
      <c r="AD847" s="338">
        <v>26851</v>
      </c>
      <c r="AE847" s="338">
        <v>15594</v>
      </c>
      <c r="AF847" s="338">
        <v>22997</v>
      </c>
      <c r="AG847" s="338">
        <v>132724</v>
      </c>
      <c r="AH847" s="338">
        <v>94326</v>
      </c>
      <c r="AI847" s="338">
        <v>132724</v>
      </c>
      <c r="AJ847" s="338">
        <v>12</v>
      </c>
      <c r="AK847" s="338">
        <v>0</v>
      </c>
      <c r="AL847" s="338">
        <v>468</v>
      </c>
      <c r="AM847" s="338">
        <v>0</v>
      </c>
      <c r="AN847" s="338">
        <v>11587.71484375</v>
      </c>
      <c r="AO847" s="338">
        <v>0</v>
      </c>
      <c r="AP847" s="338">
        <v>0</v>
      </c>
      <c r="AQ847" s="338">
        <v>0</v>
      </c>
      <c r="AR847" s="338">
        <v>0</v>
      </c>
      <c r="AS847" s="338">
        <v>0</v>
      </c>
      <c r="AT847" s="338">
        <v>0</v>
      </c>
      <c r="AU847" s="338">
        <v>0</v>
      </c>
      <c r="AV847" s="338">
        <v>0</v>
      </c>
      <c r="AW847" s="338">
        <v>0</v>
      </c>
      <c r="AX847" s="338">
        <v>0</v>
      </c>
      <c r="AY847" s="338">
        <v>0</v>
      </c>
      <c r="AZ847" s="338">
        <v>0</v>
      </c>
      <c r="BA847" s="338">
        <v>0</v>
      </c>
      <c r="BB847" s="338">
        <v>0</v>
      </c>
      <c r="BC847" s="338">
        <v>0</v>
      </c>
      <c r="BD847" s="338">
        <v>0</v>
      </c>
      <c r="BE847" s="338">
        <v>0</v>
      </c>
      <c r="BF847" s="338" t="s">
        <v>5</v>
      </c>
      <c r="BG847" s="338" t="s">
        <v>5</v>
      </c>
      <c r="BH847" s="338"/>
      <c r="BI847" s="338"/>
      <c r="BJ847" s="338" t="s">
        <v>5</v>
      </c>
      <c r="BK847" s="338"/>
      <c r="BL847" s="338">
        <v>0</v>
      </c>
      <c r="BM847" s="338">
        <v>0</v>
      </c>
      <c r="BN847" s="338" t="s">
        <v>5</v>
      </c>
      <c r="BO847" s="338"/>
      <c r="BP847" s="338"/>
      <c r="BQ847" s="338"/>
      <c r="BR847" s="338"/>
      <c r="BS847" s="338" t="s">
        <v>5</v>
      </c>
      <c r="BT847" s="338"/>
      <c r="BU847" s="338"/>
      <c r="BV847" s="338"/>
      <c r="BW847" s="338"/>
      <c r="BX847" s="338" t="s">
        <v>6</v>
      </c>
      <c r="BY847" s="338" t="s">
        <v>3850</v>
      </c>
      <c r="BZ847" s="338"/>
      <c r="CA847"/>
      <c r="CB847" s="338" t="s">
        <v>5</v>
      </c>
      <c r="CC847" s="338">
        <v>187487.1233701098</v>
      </c>
      <c r="CD847" s="338">
        <v>162869774.62363499</v>
      </c>
      <c r="CE847" s="313" t="s">
        <v>11891</v>
      </c>
    </row>
    <row r="848" spans="1:83" ht="15" x14ac:dyDescent="0.25">
      <c r="A848" s="338" t="s">
        <v>3929</v>
      </c>
      <c r="B848" s="338" t="s">
        <v>3930</v>
      </c>
      <c r="C848" s="338" t="s">
        <v>3931</v>
      </c>
      <c r="D848" s="338">
        <v>15</v>
      </c>
      <c r="E848" s="338" t="s">
        <v>3847</v>
      </c>
      <c r="F848" s="338" t="s">
        <v>3864</v>
      </c>
      <c r="G848" s="338" t="s">
        <v>4182</v>
      </c>
      <c r="H848" s="338" t="s">
        <v>4183</v>
      </c>
      <c r="I848" s="338" t="s">
        <v>4184</v>
      </c>
      <c r="J848" s="338"/>
      <c r="K848" s="338" t="s">
        <v>4155</v>
      </c>
      <c r="L848" s="338">
        <v>62.884021759033203</v>
      </c>
      <c r="M848" s="338" t="s">
        <v>6</v>
      </c>
      <c r="N848" s="338" t="s">
        <v>5</v>
      </c>
      <c r="O848" s="338" t="s">
        <v>5</v>
      </c>
      <c r="P848" s="338" t="s">
        <v>5</v>
      </c>
      <c r="Q848" s="338" t="s">
        <v>5</v>
      </c>
      <c r="R848" s="338" t="s">
        <v>4185</v>
      </c>
      <c r="S848" s="338" t="s">
        <v>4186</v>
      </c>
      <c r="T848" s="338" t="s">
        <v>6</v>
      </c>
      <c r="U848" s="338" t="s">
        <v>28</v>
      </c>
      <c r="V848" s="338">
        <v>500000</v>
      </c>
      <c r="W848" s="338">
        <v>1000</v>
      </c>
      <c r="X848" s="338" t="s">
        <v>6</v>
      </c>
      <c r="Y848" s="338"/>
      <c r="Z848" s="338">
        <v>0</v>
      </c>
      <c r="AA848" s="338">
        <v>31.946149826049801</v>
      </c>
      <c r="AB848" s="338">
        <v>15.606863021850589</v>
      </c>
      <c r="AC848" s="338">
        <v>0</v>
      </c>
      <c r="AD848" s="338">
        <v>26851</v>
      </c>
      <c r="AE848" s="338">
        <v>15594</v>
      </c>
      <c r="AF848" s="338">
        <v>22997</v>
      </c>
      <c r="AG848" s="338">
        <v>132724</v>
      </c>
      <c r="AH848" s="338">
        <v>94326</v>
      </c>
      <c r="AI848" s="338">
        <v>132724</v>
      </c>
      <c r="AJ848" s="338">
        <v>12</v>
      </c>
      <c r="AK848" s="338">
        <v>0</v>
      </c>
      <c r="AL848" s="338">
        <v>468</v>
      </c>
      <c r="AM848" s="338">
        <v>0</v>
      </c>
      <c r="AN848" s="338">
        <v>11587.71484375</v>
      </c>
      <c r="AO848" s="338">
        <v>0</v>
      </c>
      <c r="AP848" s="338">
        <v>0</v>
      </c>
      <c r="AQ848" s="338">
        <v>0</v>
      </c>
      <c r="AR848" s="338">
        <v>0</v>
      </c>
      <c r="AS848" s="338">
        <v>0</v>
      </c>
      <c r="AT848" s="338">
        <v>0</v>
      </c>
      <c r="AU848" s="338">
        <v>0</v>
      </c>
      <c r="AV848" s="338">
        <v>0</v>
      </c>
      <c r="AW848" s="338">
        <v>0</v>
      </c>
      <c r="AX848" s="338">
        <v>0</v>
      </c>
      <c r="AY848" s="338">
        <v>0</v>
      </c>
      <c r="AZ848" s="338">
        <v>0</v>
      </c>
      <c r="BA848" s="338">
        <v>0</v>
      </c>
      <c r="BB848" s="338">
        <v>0</v>
      </c>
      <c r="BC848" s="338">
        <v>0</v>
      </c>
      <c r="BD848" s="338">
        <v>0</v>
      </c>
      <c r="BE848" s="338">
        <v>0</v>
      </c>
      <c r="BF848" s="338" t="s">
        <v>5</v>
      </c>
      <c r="BG848" s="338" t="s">
        <v>5</v>
      </c>
      <c r="BH848" s="338"/>
      <c r="BI848" s="338"/>
      <c r="BJ848" s="338" t="s">
        <v>5</v>
      </c>
      <c r="BK848" s="338"/>
      <c r="BL848" s="338">
        <v>0</v>
      </c>
      <c r="BM848" s="338">
        <v>0</v>
      </c>
      <c r="BN848" s="338" t="s">
        <v>5</v>
      </c>
      <c r="BO848" s="338"/>
      <c r="BP848" s="338"/>
      <c r="BQ848" s="338"/>
      <c r="BR848" s="338"/>
      <c r="BS848" s="338" t="s">
        <v>5</v>
      </c>
      <c r="BT848" s="338"/>
      <c r="BU848" s="338"/>
      <c r="BV848" s="338"/>
      <c r="BW848" s="338"/>
      <c r="BX848" s="338" t="s">
        <v>6</v>
      </c>
      <c r="BY848" s="338" t="s">
        <v>3850</v>
      </c>
      <c r="BZ848" s="338"/>
      <c r="CA848"/>
      <c r="CB848" s="338" t="s">
        <v>5</v>
      </c>
      <c r="CC848" s="338">
        <v>187487.1233701098</v>
      </c>
      <c r="CD848" s="338">
        <v>162869774.62363499</v>
      </c>
      <c r="CE848" s="313" t="s">
        <v>11891</v>
      </c>
    </row>
    <row r="849" spans="1:83" ht="15" x14ac:dyDescent="0.25">
      <c r="A849" s="338" t="s">
        <v>3932</v>
      </c>
      <c r="B849" s="338" t="s">
        <v>3930</v>
      </c>
      <c r="C849" s="338" t="s">
        <v>3933</v>
      </c>
      <c r="D849" s="338">
        <v>15</v>
      </c>
      <c r="E849" s="338" t="s">
        <v>3847</v>
      </c>
      <c r="F849" s="338" t="s">
        <v>3864</v>
      </c>
      <c r="G849" s="338" t="s">
        <v>4182</v>
      </c>
      <c r="H849" s="338" t="s">
        <v>4183</v>
      </c>
      <c r="I849" s="338" t="s">
        <v>4184</v>
      </c>
      <c r="J849" s="338"/>
      <c r="K849" s="338" t="s">
        <v>4155</v>
      </c>
      <c r="L849" s="338">
        <v>62.884021759033203</v>
      </c>
      <c r="M849" s="338" t="s">
        <v>6</v>
      </c>
      <c r="N849" s="338" t="s">
        <v>5</v>
      </c>
      <c r="O849" s="338" t="s">
        <v>5</v>
      </c>
      <c r="P849" s="338" t="s">
        <v>5</v>
      </c>
      <c r="Q849" s="338" t="s">
        <v>5</v>
      </c>
      <c r="R849" s="338" t="s">
        <v>4185</v>
      </c>
      <c r="S849" s="338" t="s">
        <v>4186</v>
      </c>
      <c r="T849" s="338" t="s">
        <v>6</v>
      </c>
      <c r="U849" s="338" t="s">
        <v>28</v>
      </c>
      <c r="V849" s="338">
        <v>500000</v>
      </c>
      <c r="W849" s="338">
        <v>1000</v>
      </c>
      <c r="X849" s="338" t="s">
        <v>6</v>
      </c>
      <c r="Y849" s="338"/>
      <c r="Z849" s="338">
        <v>0</v>
      </c>
      <c r="AA849" s="338">
        <v>31.946149826049801</v>
      </c>
      <c r="AB849" s="338">
        <v>15.606863021850589</v>
      </c>
      <c r="AC849" s="338">
        <v>0</v>
      </c>
      <c r="AD849" s="338">
        <v>26851</v>
      </c>
      <c r="AE849" s="338">
        <v>15594</v>
      </c>
      <c r="AF849" s="338">
        <v>22997</v>
      </c>
      <c r="AG849" s="338">
        <v>132724</v>
      </c>
      <c r="AH849" s="338">
        <v>94326</v>
      </c>
      <c r="AI849" s="338">
        <v>132724</v>
      </c>
      <c r="AJ849" s="338">
        <v>12</v>
      </c>
      <c r="AK849" s="338">
        <v>0</v>
      </c>
      <c r="AL849" s="338">
        <v>468</v>
      </c>
      <c r="AM849" s="338">
        <v>0</v>
      </c>
      <c r="AN849" s="338">
        <v>11587.71484375</v>
      </c>
      <c r="AO849" s="338">
        <v>0</v>
      </c>
      <c r="AP849" s="338">
        <v>0</v>
      </c>
      <c r="AQ849" s="338">
        <v>0</v>
      </c>
      <c r="AR849" s="338">
        <v>0</v>
      </c>
      <c r="AS849" s="338">
        <v>0</v>
      </c>
      <c r="AT849" s="338">
        <v>0</v>
      </c>
      <c r="AU849" s="338">
        <v>0</v>
      </c>
      <c r="AV849" s="338">
        <v>0</v>
      </c>
      <c r="AW849" s="338">
        <v>0</v>
      </c>
      <c r="AX849" s="338">
        <v>0</v>
      </c>
      <c r="AY849" s="338">
        <v>0</v>
      </c>
      <c r="AZ849" s="338">
        <v>0</v>
      </c>
      <c r="BA849" s="338">
        <v>0</v>
      </c>
      <c r="BB849" s="338">
        <v>0</v>
      </c>
      <c r="BC849" s="338">
        <v>0</v>
      </c>
      <c r="BD849" s="338">
        <v>0</v>
      </c>
      <c r="BE849" s="338">
        <v>0</v>
      </c>
      <c r="BF849" s="338" t="s">
        <v>5</v>
      </c>
      <c r="BG849" s="338" t="s">
        <v>5</v>
      </c>
      <c r="BH849" s="338"/>
      <c r="BI849" s="338"/>
      <c r="BJ849" s="338" t="s">
        <v>5</v>
      </c>
      <c r="BK849" s="338"/>
      <c r="BL849" s="338">
        <v>0</v>
      </c>
      <c r="BM849" s="338">
        <v>0</v>
      </c>
      <c r="BN849" s="338" t="s">
        <v>5</v>
      </c>
      <c r="BO849" s="338"/>
      <c r="BP849" s="338"/>
      <c r="BQ849" s="338"/>
      <c r="BR849" s="338"/>
      <c r="BS849" s="338" t="s">
        <v>5</v>
      </c>
      <c r="BT849" s="338"/>
      <c r="BU849" s="338"/>
      <c r="BV849" s="338"/>
      <c r="BW849" s="338"/>
      <c r="BX849" s="338" t="s">
        <v>6</v>
      </c>
      <c r="BY849" s="338" t="s">
        <v>3850</v>
      </c>
      <c r="BZ849" s="338"/>
      <c r="CA849"/>
      <c r="CB849" s="338" t="s">
        <v>5</v>
      </c>
      <c r="CC849" s="338">
        <v>187487.1233701098</v>
      </c>
      <c r="CD849" s="338">
        <v>162869774.62363499</v>
      </c>
      <c r="CE849" s="313" t="s">
        <v>11891</v>
      </c>
    </row>
    <row r="850" spans="1:83" ht="15" x14ac:dyDescent="0.25">
      <c r="A850" s="338" t="s">
        <v>3934</v>
      </c>
      <c r="B850" s="338" t="s">
        <v>3935</v>
      </c>
      <c r="C850" s="338" t="s">
        <v>3886</v>
      </c>
      <c r="D850" s="338">
        <v>15</v>
      </c>
      <c r="E850" s="338" t="s">
        <v>3847</v>
      </c>
      <c r="F850" s="338" t="s">
        <v>3864</v>
      </c>
      <c r="G850" s="338" t="s">
        <v>4078</v>
      </c>
      <c r="H850" s="338" t="s">
        <v>4187</v>
      </c>
      <c r="I850" s="338" t="s">
        <v>4188</v>
      </c>
      <c r="J850" s="338"/>
      <c r="K850" s="338" t="s">
        <v>4155</v>
      </c>
      <c r="L850" s="338">
        <v>11.906917572021481</v>
      </c>
      <c r="M850" s="338" t="s">
        <v>6</v>
      </c>
      <c r="N850" s="338" t="s">
        <v>5</v>
      </c>
      <c r="O850" s="338" t="s">
        <v>5</v>
      </c>
      <c r="P850" s="338" t="s">
        <v>5</v>
      </c>
      <c r="Q850" s="338" t="s">
        <v>5</v>
      </c>
      <c r="R850" s="338" t="s">
        <v>3881</v>
      </c>
      <c r="S850" s="338" t="s">
        <v>4189</v>
      </c>
      <c r="T850" s="338" t="s">
        <v>6</v>
      </c>
      <c r="U850" s="338" t="s">
        <v>28</v>
      </c>
      <c r="V850" s="338">
        <v>25000</v>
      </c>
      <c r="W850" s="338">
        <v>1000</v>
      </c>
      <c r="X850" s="338" t="s">
        <v>6</v>
      </c>
      <c r="Y850" s="338"/>
      <c r="Z850" s="338">
        <v>0</v>
      </c>
      <c r="AA850" s="338">
        <v>4.3799548149108887</v>
      </c>
      <c r="AB850" s="338">
        <v>4.6406869888305664</v>
      </c>
      <c r="AC850" s="338">
        <v>0</v>
      </c>
      <c r="AD850" s="338">
        <v>4021</v>
      </c>
      <c r="AE850" s="338">
        <v>2930</v>
      </c>
      <c r="AF850" s="338">
        <v>2866</v>
      </c>
      <c r="AG850" s="338">
        <v>13565</v>
      </c>
      <c r="AH850" s="338">
        <v>12245</v>
      </c>
      <c r="AI850" s="338">
        <v>13565</v>
      </c>
      <c r="AJ850" s="338">
        <v>1</v>
      </c>
      <c r="AK850" s="338">
        <v>0</v>
      </c>
      <c r="AL850" s="338">
        <v>77</v>
      </c>
      <c r="AM850" s="338">
        <v>0</v>
      </c>
      <c r="AN850" s="338">
        <v>2751.86962890625</v>
      </c>
      <c r="AO850" s="338">
        <v>0</v>
      </c>
      <c r="AP850" s="338">
        <v>0</v>
      </c>
      <c r="AQ850" s="338">
        <v>0</v>
      </c>
      <c r="AR850" s="338">
        <v>0</v>
      </c>
      <c r="AS850" s="338">
        <v>0</v>
      </c>
      <c r="AT850" s="338">
        <v>0</v>
      </c>
      <c r="AU850" s="338">
        <v>0</v>
      </c>
      <c r="AV850" s="338">
        <v>0</v>
      </c>
      <c r="AW850" s="338">
        <v>0</v>
      </c>
      <c r="AX850" s="338">
        <v>0</v>
      </c>
      <c r="AY850" s="338">
        <v>0</v>
      </c>
      <c r="AZ850" s="338">
        <v>0</v>
      </c>
      <c r="BA850" s="338">
        <v>0</v>
      </c>
      <c r="BB850" s="338">
        <v>0</v>
      </c>
      <c r="BC850" s="338">
        <v>0</v>
      </c>
      <c r="BD850" s="338">
        <v>0</v>
      </c>
      <c r="BE850" s="338">
        <v>0</v>
      </c>
      <c r="BF850" s="338" t="s">
        <v>5</v>
      </c>
      <c r="BG850" s="338" t="s">
        <v>5</v>
      </c>
      <c r="BH850" s="338"/>
      <c r="BI850" s="338"/>
      <c r="BJ850" s="338" t="s">
        <v>5</v>
      </c>
      <c r="BK850" s="338"/>
      <c r="BL850" s="338">
        <v>0</v>
      </c>
      <c r="BM850" s="338">
        <v>0</v>
      </c>
      <c r="BN850" s="338" t="s">
        <v>5</v>
      </c>
      <c r="BO850" s="338"/>
      <c r="BP850" s="338"/>
      <c r="BQ850" s="338"/>
      <c r="BR850" s="338"/>
      <c r="BS850" s="338" t="s">
        <v>5</v>
      </c>
      <c r="BT850" s="338"/>
      <c r="BU850" s="338"/>
      <c r="BV850" s="338"/>
      <c r="BW850" s="338"/>
      <c r="BX850" s="338" t="s">
        <v>6</v>
      </c>
      <c r="BY850" s="338" t="s">
        <v>3850</v>
      </c>
      <c r="BZ850" s="338"/>
      <c r="CA850"/>
      <c r="CB850" s="338" t="s">
        <v>5</v>
      </c>
      <c r="CC850" s="338">
        <v>50232.936022714472</v>
      </c>
      <c r="CD850" s="338">
        <v>30838946.76646623</v>
      </c>
      <c r="CE850" s="313" t="s">
        <v>11891</v>
      </c>
    </row>
    <row r="851" spans="1:83" ht="15" x14ac:dyDescent="0.25">
      <c r="A851" s="338" t="s">
        <v>3937</v>
      </c>
      <c r="B851" s="338" t="s">
        <v>3938</v>
      </c>
      <c r="C851" s="338" t="s">
        <v>3868</v>
      </c>
      <c r="D851" s="338">
        <v>15</v>
      </c>
      <c r="E851" s="338" t="s">
        <v>3847</v>
      </c>
      <c r="F851" s="338" t="s">
        <v>3864</v>
      </c>
      <c r="G851" s="338" t="s">
        <v>4078</v>
      </c>
      <c r="H851" s="338" t="s">
        <v>4187</v>
      </c>
      <c r="I851" s="338" t="s">
        <v>4188</v>
      </c>
      <c r="J851" s="338"/>
      <c r="K851" s="338" t="s">
        <v>4155</v>
      </c>
      <c r="L851" s="338">
        <v>11.906917572021481</v>
      </c>
      <c r="M851" s="338" t="s">
        <v>6</v>
      </c>
      <c r="N851" s="338" t="s">
        <v>5</v>
      </c>
      <c r="O851" s="338" t="s">
        <v>5</v>
      </c>
      <c r="P851" s="338" t="s">
        <v>5</v>
      </c>
      <c r="Q851" s="338" t="s">
        <v>5</v>
      </c>
      <c r="R851" s="338" t="s">
        <v>3881</v>
      </c>
      <c r="S851" s="338" t="s">
        <v>4189</v>
      </c>
      <c r="T851" s="338" t="s">
        <v>6</v>
      </c>
      <c r="U851" s="338" t="s">
        <v>4</v>
      </c>
      <c r="V851" s="338">
        <v>1000</v>
      </c>
      <c r="W851" s="338">
        <v>1000</v>
      </c>
      <c r="X851" s="338" t="s">
        <v>6</v>
      </c>
      <c r="Y851" s="338"/>
      <c r="Z851" s="338">
        <v>0</v>
      </c>
      <c r="AA851" s="338">
        <v>4.3799548149108887</v>
      </c>
      <c r="AB851" s="338">
        <v>4.6406869888305664</v>
      </c>
      <c r="AC851" s="338">
        <v>0</v>
      </c>
      <c r="AD851" s="338">
        <v>4021</v>
      </c>
      <c r="AE851" s="338">
        <v>2930</v>
      </c>
      <c r="AF851" s="338">
        <v>2866</v>
      </c>
      <c r="AG851" s="338">
        <v>13565</v>
      </c>
      <c r="AH851" s="338">
        <v>12245</v>
      </c>
      <c r="AI851" s="338">
        <v>13565</v>
      </c>
      <c r="AJ851" s="338">
        <v>1</v>
      </c>
      <c r="AK851" s="338">
        <v>0</v>
      </c>
      <c r="AL851" s="338">
        <v>77</v>
      </c>
      <c r="AM851" s="338">
        <v>0</v>
      </c>
      <c r="AN851" s="338">
        <v>2751.86962890625</v>
      </c>
      <c r="AO851" s="338">
        <v>0</v>
      </c>
      <c r="AP851" s="338">
        <v>0</v>
      </c>
      <c r="AQ851" s="338">
        <v>0</v>
      </c>
      <c r="AR851" s="338">
        <v>0</v>
      </c>
      <c r="AS851" s="338">
        <v>0</v>
      </c>
      <c r="AT851" s="338">
        <v>0</v>
      </c>
      <c r="AU851" s="338">
        <v>0</v>
      </c>
      <c r="AV851" s="338">
        <v>0</v>
      </c>
      <c r="AW851" s="338">
        <v>0</v>
      </c>
      <c r="AX851" s="338">
        <v>0</v>
      </c>
      <c r="AY851" s="338">
        <v>0</v>
      </c>
      <c r="AZ851" s="338">
        <v>0</v>
      </c>
      <c r="BA851" s="338">
        <v>0</v>
      </c>
      <c r="BB851" s="338">
        <v>0</v>
      </c>
      <c r="BC851" s="338">
        <v>0</v>
      </c>
      <c r="BD851" s="338">
        <v>0</v>
      </c>
      <c r="BE851" s="338">
        <v>0</v>
      </c>
      <c r="BF851" s="338" t="s">
        <v>5</v>
      </c>
      <c r="BG851" s="338" t="s">
        <v>5</v>
      </c>
      <c r="BH851" s="338"/>
      <c r="BI851" s="338"/>
      <c r="BJ851" s="338" t="s">
        <v>5</v>
      </c>
      <c r="BK851" s="338"/>
      <c r="BL851" s="338">
        <v>0</v>
      </c>
      <c r="BM851" s="338">
        <v>0</v>
      </c>
      <c r="BN851" s="338" t="s">
        <v>5</v>
      </c>
      <c r="BO851" s="338"/>
      <c r="BP851" s="338"/>
      <c r="BQ851" s="338"/>
      <c r="BR851" s="338"/>
      <c r="BS851" s="338" t="s">
        <v>5</v>
      </c>
      <c r="BT851" s="338"/>
      <c r="BU851" s="338"/>
      <c r="BV851" s="338"/>
      <c r="BW851" s="338"/>
      <c r="BX851" s="338" t="s">
        <v>6</v>
      </c>
      <c r="BY851" s="338" t="s">
        <v>3850</v>
      </c>
      <c r="BZ851" s="338"/>
      <c r="CA851"/>
      <c r="CB851" s="338" t="s">
        <v>5</v>
      </c>
      <c r="CC851" s="338">
        <v>50232.936022714472</v>
      </c>
      <c r="CD851" s="338">
        <v>30838946.76646623</v>
      </c>
      <c r="CE851" s="313" t="s">
        <v>11891</v>
      </c>
    </row>
    <row r="852" spans="1:83" ht="15" x14ac:dyDescent="0.25">
      <c r="A852" s="338" t="s">
        <v>3939</v>
      </c>
      <c r="B852" s="338" t="s">
        <v>3940</v>
      </c>
      <c r="C852" s="338" t="s">
        <v>3886</v>
      </c>
      <c r="D852" s="338">
        <v>15</v>
      </c>
      <c r="E852" s="338" t="s">
        <v>3847</v>
      </c>
      <c r="F852" s="338" t="s">
        <v>3864</v>
      </c>
      <c r="G852" s="338" t="s">
        <v>4190</v>
      </c>
      <c r="H852" s="338" t="s">
        <v>4191</v>
      </c>
      <c r="I852" s="338" t="s">
        <v>4192</v>
      </c>
      <c r="J852" s="338"/>
      <c r="K852" s="338" t="s">
        <v>4155</v>
      </c>
      <c r="L852" s="338">
        <v>36.481475830078118</v>
      </c>
      <c r="M852" s="338" t="s">
        <v>6</v>
      </c>
      <c r="N852" s="338" t="s">
        <v>5</v>
      </c>
      <c r="O852" s="338" t="s">
        <v>5</v>
      </c>
      <c r="P852" s="338" t="s">
        <v>5</v>
      </c>
      <c r="Q852" s="338" t="s">
        <v>5</v>
      </c>
      <c r="R852" s="338" t="s">
        <v>4193</v>
      </c>
      <c r="S852" s="338" t="s">
        <v>4194</v>
      </c>
      <c r="T852" s="338" t="s">
        <v>6</v>
      </c>
      <c r="U852" s="338" t="s">
        <v>28</v>
      </c>
      <c r="V852" s="338">
        <v>31000</v>
      </c>
      <c r="W852" s="338">
        <v>1000</v>
      </c>
      <c r="X852" s="338" t="s">
        <v>6</v>
      </c>
      <c r="Y852" s="338"/>
      <c r="Z852" s="338">
        <v>0</v>
      </c>
      <c r="AA852" s="338">
        <v>11.05998516082764</v>
      </c>
      <c r="AB852" s="338">
        <v>17.45277214050293</v>
      </c>
      <c r="AC852" s="338">
        <v>0.52277296781539917</v>
      </c>
      <c r="AD852" s="338">
        <v>19515</v>
      </c>
      <c r="AE852" s="338">
        <v>13647</v>
      </c>
      <c r="AF852" s="338">
        <v>16701</v>
      </c>
      <c r="AG852" s="338">
        <v>57192</v>
      </c>
      <c r="AH852" s="338">
        <v>63919</v>
      </c>
      <c r="AI852" s="338">
        <v>63919</v>
      </c>
      <c r="AJ852" s="338">
        <v>6</v>
      </c>
      <c r="AK852" s="338">
        <v>0</v>
      </c>
      <c r="AL852" s="338">
        <v>301</v>
      </c>
      <c r="AM852" s="338">
        <v>0</v>
      </c>
      <c r="AN852" s="338">
        <v>6277.85498046875</v>
      </c>
      <c r="AO852" s="338">
        <v>0</v>
      </c>
      <c r="AP852" s="338">
        <v>0</v>
      </c>
      <c r="AQ852" s="338">
        <v>0</v>
      </c>
      <c r="AR852" s="338">
        <v>0</v>
      </c>
      <c r="AS852" s="338">
        <v>0</v>
      </c>
      <c r="AT852" s="338">
        <v>0</v>
      </c>
      <c r="AU852" s="338">
        <v>0</v>
      </c>
      <c r="AV852" s="338">
        <v>0</v>
      </c>
      <c r="AW852" s="338">
        <v>0</v>
      </c>
      <c r="AX852" s="338">
        <v>0</v>
      </c>
      <c r="AY852" s="338">
        <v>0</v>
      </c>
      <c r="AZ852" s="338">
        <v>0</v>
      </c>
      <c r="BA852" s="338">
        <v>0</v>
      </c>
      <c r="BB852" s="338">
        <v>0</v>
      </c>
      <c r="BC852" s="338">
        <v>0</v>
      </c>
      <c r="BD852" s="338">
        <v>0</v>
      </c>
      <c r="BE852" s="338">
        <v>0</v>
      </c>
      <c r="BF852" s="338" t="s">
        <v>5</v>
      </c>
      <c r="BG852" s="338" t="s">
        <v>5</v>
      </c>
      <c r="BH852" s="338"/>
      <c r="BI852" s="338"/>
      <c r="BJ852" s="338" t="s">
        <v>5</v>
      </c>
      <c r="BK852" s="338"/>
      <c r="BL852" s="338">
        <v>0</v>
      </c>
      <c r="BM852" s="338">
        <v>0</v>
      </c>
      <c r="BN852" s="338" t="s">
        <v>5</v>
      </c>
      <c r="BO852" s="338"/>
      <c r="BP852" s="338"/>
      <c r="BQ852" s="338"/>
      <c r="BR852" s="338"/>
      <c r="BS852" s="338" t="s">
        <v>5</v>
      </c>
      <c r="BT852" s="338"/>
      <c r="BU852" s="338"/>
      <c r="BV852" s="338"/>
      <c r="BW852" s="338"/>
      <c r="BX852" s="338" t="s">
        <v>6</v>
      </c>
      <c r="BY852" s="338" t="s">
        <v>3850</v>
      </c>
      <c r="BZ852" s="338"/>
      <c r="CA852"/>
      <c r="CB852" s="338" t="s">
        <v>5</v>
      </c>
      <c r="CC852" s="338">
        <v>76792.269957741955</v>
      </c>
      <c r="CD852" s="338">
        <v>94487113.817026451</v>
      </c>
      <c r="CE852" s="313" t="s">
        <v>11891</v>
      </c>
    </row>
    <row r="853" spans="1:83" ht="15" x14ac:dyDescent="0.25">
      <c r="A853" s="338" t="s">
        <v>3941</v>
      </c>
      <c r="B853" s="338" t="s">
        <v>3942</v>
      </c>
      <c r="C853" s="338" t="s">
        <v>3868</v>
      </c>
      <c r="D853" s="338">
        <v>15</v>
      </c>
      <c r="E853" s="338" t="s">
        <v>3847</v>
      </c>
      <c r="F853" s="338" t="s">
        <v>3864</v>
      </c>
      <c r="G853" s="338" t="s">
        <v>4190</v>
      </c>
      <c r="H853" s="338" t="s">
        <v>4191</v>
      </c>
      <c r="I853" s="338" t="s">
        <v>4192</v>
      </c>
      <c r="J853" s="338"/>
      <c r="K853" s="338" t="s">
        <v>4155</v>
      </c>
      <c r="L853" s="338">
        <v>36.481475830078118</v>
      </c>
      <c r="M853" s="338" t="s">
        <v>6</v>
      </c>
      <c r="N853" s="338" t="s">
        <v>5</v>
      </c>
      <c r="O853" s="338" t="s">
        <v>5</v>
      </c>
      <c r="P853" s="338" t="s">
        <v>5</v>
      </c>
      <c r="Q853" s="338" t="s">
        <v>5</v>
      </c>
      <c r="R853" s="338" t="s">
        <v>4193</v>
      </c>
      <c r="S853" s="338" t="s">
        <v>4194</v>
      </c>
      <c r="T853" s="338" t="s">
        <v>6</v>
      </c>
      <c r="U853" s="338" t="s">
        <v>28</v>
      </c>
      <c r="V853" s="338">
        <v>8500</v>
      </c>
      <c r="W853" s="338">
        <v>1000</v>
      </c>
      <c r="X853" s="338" t="s">
        <v>6</v>
      </c>
      <c r="Y853" s="338"/>
      <c r="Z853" s="338">
        <v>0</v>
      </c>
      <c r="AA853" s="338">
        <v>11.05998516082764</v>
      </c>
      <c r="AB853" s="338">
        <v>17.45277214050293</v>
      </c>
      <c r="AC853" s="338">
        <v>0.52277296781539917</v>
      </c>
      <c r="AD853" s="338">
        <v>19515</v>
      </c>
      <c r="AE853" s="338">
        <v>13647</v>
      </c>
      <c r="AF853" s="338">
        <v>16701</v>
      </c>
      <c r="AG853" s="338">
        <v>57192</v>
      </c>
      <c r="AH853" s="338">
        <v>63919</v>
      </c>
      <c r="AI853" s="338">
        <v>63919</v>
      </c>
      <c r="AJ853" s="338">
        <v>6</v>
      </c>
      <c r="AK853" s="338">
        <v>0</v>
      </c>
      <c r="AL853" s="338">
        <v>301</v>
      </c>
      <c r="AM853" s="338">
        <v>0</v>
      </c>
      <c r="AN853" s="338">
        <v>6277.85498046875</v>
      </c>
      <c r="AO853" s="338">
        <v>0</v>
      </c>
      <c r="AP853" s="338">
        <v>0</v>
      </c>
      <c r="AQ853" s="338">
        <v>0</v>
      </c>
      <c r="AR853" s="338">
        <v>0</v>
      </c>
      <c r="AS853" s="338">
        <v>0</v>
      </c>
      <c r="AT853" s="338">
        <v>0</v>
      </c>
      <c r="AU853" s="338">
        <v>0</v>
      </c>
      <c r="AV853" s="338">
        <v>0</v>
      </c>
      <c r="AW853" s="338">
        <v>0</v>
      </c>
      <c r="AX853" s="338">
        <v>0</v>
      </c>
      <c r="AY853" s="338">
        <v>0</v>
      </c>
      <c r="AZ853" s="338">
        <v>0</v>
      </c>
      <c r="BA853" s="338">
        <v>0</v>
      </c>
      <c r="BB853" s="338">
        <v>0</v>
      </c>
      <c r="BC853" s="338">
        <v>0</v>
      </c>
      <c r="BD853" s="338">
        <v>0</v>
      </c>
      <c r="BE853" s="338">
        <v>0</v>
      </c>
      <c r="BF853" s="338" t="s">
        <v>5</v>
      </c>
      <c r="BG853" s="338" t="s">
        <v>5</v>
      </c>
      <c r="BH853" s="338"/>
      <c r="BI853" s="338"/>
      <c r="BJ853" s="338" t="s">
        <v>5</v>
      </c>
      <c r="BK853" s="338"/>
      <c r="BL853" s="338">
        <v>0</v>
      </c>
      <c r="BM853" s="338">
        <v>0</v>
      </c>
      <c r="BN853" s="338" t="s">
        <v>5</v>
      </c>
      <c r="BO853" s="338"/>
      <c r="BP853" s="338"/>
      <c r="BQ853" s="338"/>
      <c r="BR853" s="338"/>
      <c r="BS853" s="338" t="s">
        <v>5</v>
      </c>
      <c r="BT853" s="338"/>
      <c r="BU853" s="338"/>
      <c r="BV853" s="338"/>
      <c r="BW853" s="338"/>
      <c r="BX853" s="338" t="s">
        <v>6</v>
      </c>
      <c r="BY853" s="338" t="s">
        <v>3850</v>
      </c>
      <c r="BZ853" s="338"/>
      <c r="CA853"/>
      <c r="CB853" s="338" t="s">
        <v>5</v>
      </c>
      <c r="CC853" s="338">
        <v>76792.269957741955</v>
      </c>
      <c r="CD853" s="338">
        <v>94487113.817026451</v>
      </c>
      <c r="CE853" s="313" t="s">
        <v>11891</v>
      </c>
    </row>
    <row r="854" spans="1:83" ht="15" x14ac:dyDescent="0.25">
      <c r="A854" s="338" t="s">
        <v>3943</v>
      </c>
      <c r="B854" s="338" t="s">
        <v>3944</v>
      </c>
      <c r="C854" s="338" t="s">
        <v>3868</v>
      </c>
      <c r="D854" s="338">
        <v>15</v>
      </c>
      <c r="E854" s="338" t="s">
        <v>3847</v>
      </c>
      <c r="F854" s="338" t="s">
        <v>3864</v>
      </c>
      <c r="G854" s="338" t="s">
        <v>4078</v>
      </c>
      <c r="H854" s="338" t="s">
        <v>4195</v>
      </c>
      <c r="I854" s="338" t="s">
        <v>4196</v>
      </c>
      <c r="J854" s="338"/>
      <c r="K854" s="338" t="s">
        <v>4155</v>
      </c>
      <c r="L854" s="338">
        <v>7.6382637023925781</v>
      </c>
      <c r="M854" s="338" t="s">
        <v>6</v>
      </c>
      <c r="N854" s="338" t="s">
        <v>5</v>
      </c>
      <c r="O854" s="338" t="s">
        <v>5</v>
      </c>
      <c r="P854" s="338" t="s">
        <v>5</v>
      </c>
      <c r="Q854" s="338" t="s">
        <v>5</v>
      </c>
      <c r="R854" s="338" t="s">
        <v>4197</v>
      </c>
      <c r="S854" s="338" t="s">
        <v>4198</v>
      </c>
      <c r="T854" s="338" t="s">
        <v>6</v>
      </c>
      <c r="U854" s="338" t="s">
        <v>13</v>
      </c>
      <c r="V854" s="338">
        <v>1000</v>
      </c>
      <c r="W854" s="338">
        <v>1000</v>
      </c>
      <c r="X854" s="338" t="s">
        <v>6</v>
      </c>
      <c r="Y854" s="338"/>
      <c r="Z854" s="338">
        <v>0</v>
      </c>
      <c r="AA854" s="338">
        <v>1.8752878904342649</v>
      </c>
      <c r="AB854" s="338">
        <v>3.586625337600708</v>
      </c>
      <c r="AC854" s="338">
        <v>0</v>
      </c>
      <c r="AD854" s="338">
        <v>3774</v>
      </c>
      <c r="AE854" s="338">
        <v>2975</v>
      </c>
      <c r="AF854" s="338">
        <v>3069</v>
      </c>
      <c r="AG854" s="338">
        <v>7882</v>
      </c>
      <c r="AH854" s="338">
        <v>11496</v>
      </c>
      <c r="AI854" s="338">
        <v>11496</v>
      </c>
      <c r="AJ854" s="338">
        <v>4</v>
      </c>
      <c r="AK854" s="338">
        <v>0</v>
      </c>
      <c r="AL854" s="338">
        <v>55</v>
      </c>
      <c r="AM854" s="338">
        <v>0</v>
      </c>
      <c r="AN854" s="338">
        <v>506.71859741210938</v>
      </c>
      <c r="AO854" s="338">
        <v>0</v>
      </c>
      <c r="AP854" s="338">
        <v>0</v>
      </c>
      <c r="AQ854" s="338">
        <v>0</v>
      </c>
      <c r="AR854" s="338">
        <v>0</v>
      </c>
      <c r="AS854" s="338">
        <v>0</v>
      </c>
      <c r="AT854" s="338">
        <v>0</v>
      </c>
      <c r="AU854" s="338">
        <v>0</v>
      </c>
      <c r="AV854" s="338">
        <v>0</v>
      </c>
      <c r="AW854" s="338">
        <v>0</v>
      </c>
      <c r="AX854" s="338">
        <v>0</v>
      </c>
      <c r="AY854" s="338">
        <v>0</v>
      </c>
      <c r="AZ854" s="338">
        <v>0</v>
      </c>
      <c r="BA854" s="338">
        <v>0</v>
      </c>
      <c r="BB854" s="338">
        <v>0</v>
      </c>
      <c r="BC854" s="338">
        <v>0</v>
      </c>
      <c r="BD854" s="338">
        <v>0</v>
      </c>
      <c r="BE854" s="338">
        <v>0</v>
      </c>
      <c r="BF854" s="338" t="s">
        <v>5</v>
      </c>
      <c r="BG854" s="338" t="s">
        <v>5</v>
      </c>
      <c r="BH854" s="338"/>
      <c r="BI854" s="338"/>
      <c r="BJ854" s="338" t="s">
        <v>5</v>
      </c>
      <c r="BK854" s="338"/>
      <c r="BL854" s="338">
        <v>0</v>
      </c>
      <c r="BM854" s="338">
        <v>0</v>
      </c>
      <c r="BN854" s="338" t="s">
        <v>5</v>
      </c>
      <c r="BO854" s="338"/>
      <c r="BP854" s="338"/>
      <c r="BQ854" s="338"/>
      <c r="BR854" s="338"/>
      <c r="BS854" s="338" t="s">
        <v>5</v>
      </c>
      <c r="BT854" s="338"/>
      <c r="BU854" s="338"/>
      <c r="BV854" s="338"/>
      <c r="BW854" s="338"/>
      <c r="BX854" s="338" t="s">
        <v>6</v>
      </c>
      <c r="BY854" s="338" t="s">
        <v>3850</v>
      </c>
      <c r="BZ854" s="338"/>
      <c r="CA854"/>
      <c r="CB854" s="338" t="s">
        <v>5</v>
      </c>
      <c r="CC854" s="338">
        <v>24085.158110860779</v>
      </c>
      <c r="CD854" s="338">
        <v>19783122.71898967</v>
      </c>
      <c r="CE854" s="313" t="s">
        <v>11891</v>
      </c>
    </row>
    <row r="855" spans="1:83" ht="15" x14ac:dyDescent="0.25">
      <c r="A855" s="338" t="s">
        <v>3946</v>
      </c>
      <c r="B855" s="338" t="s">
        <v>3947</v>
      </c>
      <c r="C855" s="338" t="s">
        <v>3886</v>
      </c>
      <c r="D855" s="338">
        <v>15</v>
      </c>
      <c r="E855" s="338" t="s">
        <v>3847</v>
      </c>
      <c r="F855" s="338" t="s">
        <v>3864</v>
      </c>
      <c r="G855" s="338" t="s">
        <v>4078</v>
      </c>
      <c r="H855" s="338" t="s">
        <v>4195</v>
      </c>
      <c r="I855" s="338" t="s">
        <v>4196</v>
      </c>
      <c r="J855" s="338"/>
      <c r="K855" s="338" t="s">
        <v>4155</v>
      </c>
      <c r="L855" s="338">
        <v>7.6382637023925781</v>
      </c>
      <c r="M855" s="338" t="s">
        <v>6</v>
      </c>
      <c r="N855" s="338" t="s">
        <v>5</v>
      </c>
      <c r="O855" s="338" t="s">
        <v>5</v>
      </c>
      <c r="P855" s="338" t="s">
        <v>5</v>
      </c>
      <c r="Q855" s="338" t="s">
        <v>5</v>
      </c>
      <c r="R855" s="338" t="s">
        <v>4197</v>
      </c>
      <c r="S855" s="338" t="s">
        <v>4198</v>
      </c>
      <c r="T855" s="338" t="s">
        <v>6</v>
      </c>
      <c r="U855" s="338" t="s">
        <v>28</v>
      </c>
      <c r="V855" s="338">
        <v>31000</v>
      </c>
      <c r="W855" s="338">
        <v>1000</v>
      </c>
      <c r="X855" s="338" t="s">
        <v>6</v>
      </c>
      <c r="Y855" s="338"/>
      <c r="Z855" s="338">
        <v>0</v>
      </c>
      <c r="AA855" s="338">
        <v>1.8752878904342649</v>
      </c>
      <c r="AB855" s="338">
        <v>3.586625337600708</v>
      </c>
      <c r="AC855" s="338">
        <v>0</v>
      </c>
      <c r="AD855" s="338">
        <v>3774</v>
      </c>
      <c r="AE855" s="338">
        <v>2975</v>
      </c>
      <c r="AF855" s="338">
        <v>3069</v>
      </c>
      <c r="AG855" s="338">
        <v>7882</v>
      </c>
      <c r="AH855" s="338">
        <v>11496</v>
      </c>
      <c r="AI855" s="338">
        <v>11496</v>
      </c>
      <c r="AJ855" s="338">
        <v>4</v>
      </c>
      <c r="AK855" s="338">
        <v>0</v>
      </c>
      <c r="AL855" s="338">
        <v>55</v>
      </c>
      <c r="AM855" s="338">
        <v>0</v>
      </c>
      <c r="AN855" s="338">
        <v>506.71859741210938</v>
      </c>
      <c r="AO855" s="338">
        <v>0</v>
      </c>
      <c r="AP855" s="338">
        <v>0</v>
      </c>
      <c r="AQ855" s="338">
        <v>0</v>
      </c>
      <c r="AR855" s="338">
        <v>0</v>
      </c>
      <c r="AS855" s="338">
        <v>0</v>
      </c>
      <c r="AT855" s="338">
        <v>0</v>
      </c>
      <c r="AU855" s="338">
        <v>0</v>
      </c>
      <c r="AV855" s="338">
        <v>0</v>
      </c>
      <c r="AW855" s="338">
        <v>0</v>
      </c>
      <c r="AX855" s="338">
        <v>0</v>
      </c>
      <c r="AY855" s="338">
        <v>0</v>
      </c>
      <c r="AZ855" s="338">
        <v>0</v>
      </c>
      <c r="BA855" s="338">
        <v>0</v>
      </c>
      <c r="BB855" s="338">
        <v>0</v>
      </c>
      <c r="BC855" s="338">
        <v>0</v>
      </c>
      <c r="BD855" s="338">
        <v>0</v>
      </c>
      <c r="BE855" s="338">
        <v>0</v>
      </c>
      <c r="BF855" s="338" t="s">
        <v>5</v>
      </c>
      <c r="BG855" s="338" t="s">
        <v>5</v>
      </c>
      <c r="BH855" s="338"/>
      <c r="BI855" s="338"/>
      <c r="BJ855" s="338" t="s">
        <v>5</v>
      </c>
      <c r="BK855" s="338"/>
      <c r="BL855" s="338">
        <v>0</v>
      </c>
      <c r="BM855" s="338">
        <v>0</v>
      </c>
      <c r="BN855" s="338" t="s">
        <v>5</v>
      </c>
      <c r="BO855" s="338"/>
      <c r="BP855" s="338"/>
      <c r="BQ855" s="338"/>
      <c r="BR855" s="338"/>
      <c r="BS855" s="338" t="s">
        <v>5</v>
      </c>
      <c r="BT855" s="338"/>
      <c r="BU855" s="338"/>
      <c r="BV855" s="338"/>
      <c r="BW855" s="338"/>
      <c r="BX855" s="338" t="s">
        <v>6</v>
      </c>
      <c r="BY855" s="338" t="s">
        <v>3850</v>
      </c>
      <c r="BZ855" s="338"/>
      <c r="CA855"/>
      <c r="CB855" s="338" t="s">
        <v>5</v>
      </c>
      <c r="CC855" s="338">
        <v>24085.158110860779</v>
      </c>
      <c r="CD855" s="338">
        <v>19783122.71898967</v>
      </c>
      <c r="CE855" s="313" t="s">
        <v>11891</v>
      </c>
    </row>
    <row r="856" spans="1:83" ht="15" x14ac:dyDescent="0.25">
      <c r="A856" s="338" t="s">
        <v>3948</v>
      </c>
      <c r="B856" s="338" t="s">
        <v>3949</v>
      </c>
      <c r="C856" s="338" t="s">
        <v>3886</v>
      </c>
      <c r="D856" s="338">
        <v>15</v>
      </c>
      <c r="E856" s="338" t="s">
        <v>3847</v>
      </c>
      <c r="F856" s="338" t="s">
        <v>3864</v>
      </c>
      <c r="G856" s="338" t="s">
        <v>4199</v>
      </c>
      <c r="H856" s="338" t="s">
        <v>4200</v>
      </c>
      <c r="I856" s="338" t="s">
        <v>4201</v>
      </c>
      <c r="J856" s="338"/>
      <c r="K856" s="338" t="s">
        <v>4155</v>
      </c>
      <c r="L856" s="338">
        <v>23.736700057983398</v>
      </c>
      <c r="M856" s="338" t="s">
        <v>6</v>
      </c>
      <c r="N856" s="338" t="s">
        <v>5</v>
      </c>
      <c r="O856" s="338" t="s">
        <v>5</v>
      </c>
      <c r="P856" s="338" t="s">
        <v>5</v>
      </c>
      <c r="Q856" s="338" t="s">
        <v>5</v>
      </c>
      <c r="R856" s="338" t="s">
        <v>4202</v>
      </c>
      <c r="S856" s="338" t="s">
        <v>4203</v>
      </c>
      <c r="T856" s="338" t="s">
        <v>6</v>
      </c>
      <c r="U856" s="338" t="s">
        <v>28</v>
      </c>
      <c r="V856" s="338">
        <v>5000</v>
      </c>
      <c r="W856" s="338">
        <v>1000</v>
      </c>
      <c r="X856" s="338" t="s">
        <v>6</v>
      </c>
      <c r="Y856" s="338"/>
      <c r="Z856" s="338">
        <v>0</v>
      </c>
      <c r="AA856" s="338">
        <v>8.9416122436523438</v>
      </c>
      <c r="AB856" s="338">
        <v>9.6113548278808594</v>
      </c>
      <c r="AC856" s="338">
        <v>0</v>
      </c>
      <c r="AD856" s="338">
        <v>16963</v>
      </c>
      <c r="AE856" s="338">
        <v>12097</v>
      </c>
      <c r="AF856" s="338">
        <v>13949</v>
      </c>
      <c r="AG856" s="338">
        <v>53598</v>
      </c>
      <c r="AH856" s="338">
        <v>62907</v>
      </c>
      <c r="AI856" s="338">
        <v>62907</v>
      </c>
      <c r="AJ856" s="338">
        <v>2</v>
      </c>
      <c r="AK856" s="338">
        <v>0</v>
      </c>
      <c r="AL856" s="338">
        <v>198</v>
      </c>
      <c r="AM856" s="338">
        <v>0</v>
      </c>
      <c r="AN856" s="338">
        <v>3349.10888671875</v>
      </c>
      <c r="AO856" s="338">
        <v>0</v>
      </c>
      <c r="AP856" s="338">
        <v>0</v>
      </c>
      <c r="AQ856" s="338">
        <v>0</v>
      </c>
      <c r="AR856" s="338">
        <v>0</v>
      </c>
      <c r="AS856" s="338">
        <v>0</v>
      </c>
      <c r="AT856" s="338">
        <v>0</v>
      </c>
      <c r="AU856" s="338">
        <v>0</v>
      </c>
      <c r="AV856" s="338">
        <v>0</v>
      </c>
      <c r="AW856" s="338">
        <v>0</v>
      </c>
      <c r="AX856" s="338">
        <v>0</v>
      </c>
      <c r="AY856" s="338">
        <v>0</v>
      </c>
      <c r="AZ856" s="338">
        <v>0</v>
      </c>
      <c r="BA856" s="338">
        <v>0</v>
      </c>
      <c r="BB856" s="338">
        <v>0</v>
      </c>
      <c r="BC856" s="338">
        <v>0</v>
      </c>
      <c r="BD856" s="338">
        <v>0</v>
      </c>
      <c r="BE856" s="338">
        <v>0</v>
      </c>
      <c r="BF856" s="338" t="s">
        <v>5</v>
      </c>
      <c r="BG856" s="338" t="s">
        <v>5</v>
      </c>
      <c r="BH856" s="338"/>
      <c r="BI856" s="338"/>
      <c r="BJ856" s="338" t="s">
        <v>5</v>
      </c>
      <c r="BK856" s="338"/>
      <c r="BL856" s="338">
        <v>0</v>
      </c>
      <c r="BM856" s="338">
        <v>0</v>
      </c>
      <c r="BN856" s="338" t="s">
        <v>5</v>
      </c>
      <c r="BO856" s="338"/>
      <c r="BP856" s="338"/>
      <c r="BQ856" s="338"/>
      <c r="BR856" s="338"/>
      <c r="BS856" s="338" t="s">
        <v>5</v>
      </c>
      <c r="BT856" s="338"/>
      <c r="BU856" s="338"/>
      <c r="BV856" s="338"/>
      <c r="BW856" s="338"/>
      <c r="BX856" s="338" t="s">
        <v>6</v>
      </c>
      <c r="BY856" s="338" t="s">
        <v>3850</v>
      </c>
      <c r="BZ856" s="338"/>
      <c r="CA856"/>
      <c r="CB856" s="338" t="s">
        <v>5</v>
      </c>
      <c r="CC856" s="338">
        <v>61207.839172288353</v>
      </c>
      <c r="CD856" s="338">
        <v>61478115.700650483</v>
      </c>
      <c r="CE856" s="313" t="s">
        <v>11891</v>
      </c>
    </row>
    <row r="857" spans="1:83" ht="15" x14ac:dyDescent="0.25">
      <c r="A857" s="338" t="s">
        <v>3950</v>
      </c>
      <c r="B857" s="338" t="s">
        <v>3951</v>
      </c>
      <c r="C857" s="338" t="s">
        <v>3868</v>
      </c>
      <c r="D857" s="338">
        <v>15</v>
      </c>
      <c r="E857" s="338" t="s">
        <v>3847</v>
      </c>
      <c r="F857" s="338" t="s">
        <v>3864</v>
      </c>
      <c r="G857" s="338" t="s">
        <v>4199</v>
      </c>
      <c r="H857" s="338" t="s">
        <v>4200</v>
      </c>
      <c r="I857" s="338" t="s">
        <v>4201</v>
      </c>
      <c r="J857" s="338"/>
      <c r="K857" s="338" t="s">
        <v>4155</v>
      </c>
      <c r="L857" s="338">
        <v>23.736700057983398</v>
      </c>
      <c r="M857" s="338" t="s">
        <v>6</v>
      </c>
      <c r="N857" s="338" t="s">
        <v>5</v>
      </c>
      <c r="O857" s="338" t="s">
        <v>5</v>
      </c>
      <c r="P857" s="338" t="s">
        <v>5</v>
      </c>
      <c r="Q857" s="338" t="s">
        <v>5</v>
      </c>
      <c r="R857" s="338" t="s">
        <v>4202</v>
      </c>
      <c r="S857" s="338" t="s">
        <v>4203</v>
      </c>
      <c r="T857" s="338" t="s">
        <v>6</v>
      </c>
      <c r="U857" s="338" t="s">
        <v>28</v>
      </c>
      <c r="V857" s="338">
        <v>1000</v>
      </c>
      <c r="W857" s="338">
        <v>1000</v>
      </c>
      <c r="X857" s="338" t="s">
        <v>6</v>
      </c>
      <c r="Y857" s="338"/>
      <c r="Z857" s="338">
        <v>0</v>
      </c>
      <c r="AA857" s="338">
        <v>8.9416122436523438</v>
      </c>
      <c r="AB857" s="338">
        <v>9.6113548278808594</v>
      </c>
      <c r="AC857" s="338">
        <v>0</v>
      </c>
      <c r="AD857" s="338">
        <v>16963</v>
      </c>
      <c r="AE857" s="338">
        <v>12097</v>
      </c>
      <c r="AF857" s="338">
        <v>13949</v>
      </c>
      <c r="AG857" s="338">
        <v>53598</v>
      </c>
      <c r="AH857" s="338">
        <v>62907</v>
      </c>
      <c r="AI857" s="338">
        <v>62907</v>
      </c>
      <c r="AJ857" s="338">
        <v>2</v>
      </c>
      <c r="AK857" s="338">
        <v>0</v>
      </c>
      <c r="AL857" s="338">
        <v>198</v>
      </c>
      <c r="AM857" s="338">
        <v>0</v>
      </c>
      <c r="AN857" s="338">
        <v>3349.10888671875</v>
      </c>
      <c r="AO857" s="338">
        <v>0</v>
      </c>
      <c r="AP857" s="338">
        <v>0</v>
      </c>
      <c r="AQ857" s="338">
        <v>0</v>
      </c>
      <c r="AR857" s="338">
        <v>0</v>
      </c>
      <c r="AS857" s="338">
        <v>0</v>
      </c>
      <c r="AT857" s="338">
        <v>0</v>
      </c>
      <c r="AU857" s="338">
        <v>0</v>
      </c>
      <c r="AV857" s="338">
        <v>0</v>
      </c>
      <c r="AW857" s="338">
        <v>0</v>
      </c>
      <c r="AX857" s="338">
        <v>0</v>
      </c>
      <c r="AY857" s="338">
        <v>0</v>
      </c>
      <c r="AZ857" s="338">
        <v>0</v>
      </c>
      <c r="BA857" s="338">
        <v>0</v>
      </c>
      <c r="BB857" s="338">
        <v>0</v>
      </c>
      <c r="BC857" s="338">
        <v>0</v>
      </c>
      <c r="BD857" s="338">
        <v>0</v>
      </c>
      <c r="BE857" s="338">
        <v>0</v>
      </c>
      <c r="BF857" s="338" t="s">
        <v>5</v>
      </c>
      <c r="BG857" s="338" t="s">
        <v>5</v>
      </c>
      <c r="BH857" s="338"/>
      <c r="BI857" s="338"/>
      <c r="BJ857" s="338" t="s">
        <v>5</v>
      </c>
      <c r="BK857" s="338"/>
      <c r="BL857" s="338">
        <v>0</v>
      </c>
      <c r="BM857" s="338">
        <v>0</v>
      </c>
      <c r="BN857" s="338" t="s">
        <v>5</v>
      </c>
      <c r="BO857" s="338"/>
      <c r="BP857" s="338"/>
      <c r="BQ857" s="338"/>
      <c r="BR857" s="338"/>
      <c r="BS857" s="338" t="s">
        <v>5</v>
      </c>
      <c r="BT857" s="338"/>
      <c r="BU857" s="338"/>
      <c r="BV857" s="338"/>
      <c r="BW857" s="338"/>
      <c r="BX857" s="338" t="s">
        <v>6</v>
      </c>
      <c r="BY857" s="338" t="s">
        <v>3850</v>
      </c>
      <c r="BZ857" s="338"/>
      <c r="CA857"/>
      <c r="CB857" s="338" t="s">
        <v>5</v>
      </c>
      <c r="CC857" s="338">
        <v>61207.839172288353</v>
      </c>
      <c r="CD857" s="338">
        <v>61478115.700650483</v>
      </c>
      <c r="CE857" s="313" t="s">
        <v>11891</v>
      </c>
    </row>
    <row r="858" spans="1:83" ht="15" x14ac:dyDescent="0.25">
      <c r="A858" s="338" t="s">
        <v>3869</v>
      </c>
      <c r="B858" s="338" t="s">
        <v>3870</v>
      </c>
      <c r="C858" s="338" t="s">
        <v>3871</v>
      </c>
      <c r="D858" s="338">
        <v>15</v>
      </c>
      <c r="E858" s="338" t="s">
        <v>3847</v>
      </c>
      <c r="F858" s="338" t="s">
        <v>3864</v>
      </c>
      <c r="G858" s="338" t="s">
        <v>4139</v>
      </c>
      <c r="H858" s="338" t="s">
        <v>4151</v>
      </c>
      <c r="I858" s="338" t="s">
        <v>4152</v>
      </c>
      <c r="J858" s="338"/>
      <c r="K858" s="338" t="s">
        <v>4149</v>
      </c>
      <c r="L858" s="338">
        <v>7.5350532531738281</v>
      </c>
      <c r="M858" s="338" t="s">
        <v>6</v>
      </c>
      <c r="N858" s="338" t="s">
        <v>5</v>
      </c>
      <c r="O858" s="338" t="s">
        <v>5</v>
      </c>
      <c r="P858" s="338" t="s">
        <v>5</v>
      </c>
      <c r="Q858" s="338" t="s">
        <v>5</v>
      </c>
      <c r="R858" s="338" t="s">
        <v>4153</v>
      </c>
      <c r="S858" s="338" t="s">
        <v>4154</v>
      </c>
      <c r="T858" s="338" t="s">
        <v>6</v>
      </c>
      <c r="U858" s="338" t="s">
        <v>28</v>
      </c>
      <c r="V858" s="338">
        <v>10000</v>
      </c>
      <c r="W858" s="338">
        <v>1000</v>
      </c>
      <c r="X858" s="338" t="s">
        <v>6</v>
      </c>
      <c r="Y858" s="338"/>
      <c r="Z858" s="338">
        <v>0</v>
      </c>
      <c r="AA858" s="338">
        <v>4.0182099342346191</v>
      </c>
      <c r="AB858" s="338">
        <v>1.3637517690658569</v>
      </c>
      <c r="AC858" s="338">
        <v>7.5422585941851139E-3</v>
      </c>
      <c r="AD858" s="338">
        <v>4822</v>
      </c>
      <c r="AE858" s="338">
        <v>2058</v>
      </c>
      <c r="AF858" s="338">
        <v>3640</v>
      </c>
      <c r="AG858" s="338">
        <v>12302</v>
      </c>
      <c r="AH858" s="338">
        <v>14357</v>
      </c>
      <c r="AI858" s="338">
        <v>14357</v>
      </c>
      <c r="AJ858" s="338">
        <v>4</v>
      </c>
      <c r="AK858" s="338">
        <v>0</v>
      </c>
      <c r="AL858" s="338">
        <v>71</v>
      </c>
      <c r="AM858" s="338">
        <v>0</v>
      </c>
      <c r="AN858" s="338">
        <v>936.8443603515625</v>
      </c>
      <c r="AO858" s="338">
        <v>0</v>
      </c>
      <c r="AP858" s="338">
        <v>0</v>
      </c>
      <c r="AQ858" s="338">
        <v>0</v>
      </c>
      <c r="AR858" s="338">
        <v>0</v>
      </c>
      <c r="AS858" s="338">
        <v>0</v>
      </c>
      <c r="AT858" s="338">
        <v>0</v>
      </c>
      <c r="AU858" s="338">
        <v>0</v>
      </c>
      <c r="AV858" s="338">
        <v>0</v>
      </c>
      <c r="AW858" s="338">
        <v>0</v>
      </c>
      <c r="AX858" s="338">
        <v>0</v>
      </c>
      <c r="AY858" s="338">
        <v>0</v>
      </c>
      <c r="AZ858" s="338">
        <v>0</v>
      </c>
      <c r="BA858" s="338">
        <v>0</v>
      </c>
      <c r="BB858" s="338">
        <v>0</v>
      </c>
      <c r="BC858" s="338">
        <v>0</v>
      </c>
      <c r="BD858" s="338">
        <v>0</v>
      </c>
      <c r="BE858" s="338">
        <v>0</v>
      </c>
      <c r="BF858" s="338" t="s">
        <v>5</v>
      </c>
      <c r="BG858" s="338" t="s">
        <v>5</v>
      </c>
      <c r="BH858" s="338"/>
      <c r="BI858" s="338"/>
      <c r="BJ858" s="338" t="s">
        <v>5</v>
      </c>
      <c r="BK858" s="338"/>
      <c r="BL858" s="338">
        <v>0</v>
      </c>
      <c r="BM858" s="338">
        <v>0</v>
      </c>
      <c r="BN858" s="338" t="s">
        <v>5</v>
      </c>
      <c r="BO858" s="338"/>
      <c r="BP858" s="338"/>
      <c r="BQ858" s="338"/>
      <c r="BR858" s="338"/>
      <c r="BS858" s="338" t="s">
        <v>5</v>
      </c>
      <c r="BT858" s="338"/>
      <c r="BU858" s="338"/>
      <c r="BV858" s="338"/>
      <c r="BW858" s="338"/>
      <c r="BX858" s="338" t="s">
        <v>6</v>
      </c>
      <c r="BY858" s="338" t="s">
        <v>3850</v>
      </c>
      <c r="BZ858" s="338"/>
      <c r="CA858"/>
      <c r="CB858" s="338" t="s">
        <v>5</v>
      </c>
      <c r="CC858" s="338">
        <v>33137.615260250721</v>
      </c>
      <c r="CD858" s="338">
        <v>19515806.937569939</v>
      </c>
      <c r="CE858" s="313" t="s">
        <v>11891</v>
      </c>
    </row>
    <row r="859" spans="1:83" ht="15" x14ac:dyDescent="0.25">
      <c r="A859" s="338" t="s">
        <v>71</v>
      </c>
      <c r="B859" s="338" t="s">
        <v>72</v>
      </c>
      <c r="C859" s="338" t="s">
        <v>59</v>
      </c>
      <c r="D859" s="338">
        <v>6</v>
      </c>
      <c r="E859" s="338" t="s">
        <v>259</v>
      </c>
      <c r="F859" s="338" t="s">
        <v>73</v>
      </c>
      <c r="G859" s="338" t="s">
        <v>74</v>
      </c>
      <c r="H859" s="338" t="s">
        <v>317</v>
      </c>
      <c r="I859" s="338" t="s">
        <v>318</v>
      </c>
      <c r="J859" s="338" t="s">
        <v>319</v>
      </c>
      <c r="K859" s="338" t="s">
        <v>289</v>
      </c>
      <c r="L859" s="338">
        <v>1.950981140136719</v>
      </c>
      <c r="M859" s="338" t="s">
        <v>6</v>
      </c>
      <c r="N859" s="338" t="s">
        <v>5</v>
      </c>
      <c r="O859" s="338" t="s">
        <v>6</v>
      </c>
      <c r="P859" s="338" t="s">
        <v>5</v>
      </c>
      <c r="Q859" s="338" t="s">
        <v>5</v>
      </c>
      <c r="R859" s="338" t="s">
        <v>320</v>
      </c>
      <c r="S859" s="338" t="s">
        <v>320</v>
      </c>
      <c r="T859" s="338" t="s">
        <v>5</v>
      </c>
      <c r="U859" s="338" t="s">
        <v>13</v>
      </c>
      <c r="V859" s="338">
        <v>20000</v>
      </c>
      <c r="W859" s="338">
        <v>1000</v>
      </c>
      <c r="X859" s="338" t="s">
        <v>6</v>
      </c>
      <c r="Y859" s="338"/>
      <c r="Z859" s="338"/>
      <c r="AA859" s="338">
        <v>0.31315100193023682</v>
      </c>
      <c r="AB859" s="338">
        <v>0</v>
      </c>
      <c r="AC859" s="338">
        <v>0</v>
      </c>
      <c r="AD859" s="338">
        <v>20</v>
      </c>
      <c r="AE859" s="338">
        <v>0</v>
      </c>
      <c r="AF859" s="338">
        <v>11</v>
      </c>
      <c r="AG859" s="338">
        <v>13</v>
      </c>
      <c r="AH859" s="338">
        <v>16</v>
      </c>
      <c r="AI859" s="338">
        <v>16</v>
      </c>
      <c r="AJ859" s="338">
        <v>0</v>
      </c>
      <c r="AK859" s="338">
        <v>0</v>
      </c>
      <c r="AL859" s="338">
        <v>0</v>
      </c>
      <c r="AM859" s="338">
        <v>0</v>
      </c>
      <c r="AN859" s="338">
        <v>1.2848939895629881</v>
      </c>
      <c r="AO859" s="338"/>
      <c r="AP859" s="338"/>
      <c r="AQ859" s="338"/>
      <c r="AR859" s="338"/>
      <c r="AS859" s="338"/>
      <c r="AT859" s="338"/>
      <c r="AU859" s="338"/>
      <c r="AV859" s="338"/>
      <c r="AW859" s="338"/>
      <c r="AX859" s="338"/>
      <c r="AY859" s="338"/>
      <c r="AZ859" s="338"/>
      <c r="BA859" s="338"/>
      <c r="BB859" s="338"/>
      <c r="BC859" s="338"/>
      <c r="BD859" s="338"/>
      <c r="BE859" s="338"/>
      <c r="BF859" s="338" t="s">
        <v>291</v>
      </c>
      <c r="BG859" s="338" t="s">
        <v>5</v>
      </c>
      <c r="BH859" s="338"/>
      <c r="BI859" s="338"/>
      <c r="BJ859" s="338" t="s">
        <v>5</v>
      </c>
      <c r="BK859" s="338"/>
      <c r="BL859" s="338">
        <v>0</v>
      </c>
      <c r="BM859" s="338"/>
      <c r="BN859" s="338" t="s">
        <v>5</v>
      </c>
      <c r="BO859" s="338" t="s">
        <v>2518</v>
      </c>
      <c r="BP859" s="338" t="s">
        <v>2518</v>
      </c>
      <c r="BQ859" s="338" t="s">
        <v>2518</v>
      </c>
      <c r="BR859" s="338"/>
      <c r="BS859" s="338" t="s">
        <v>6</v>
      </c>
      <c r="BT859" s="338" t="s">
        <v>2518</v>
      </c>
      <c r="BU859" s="338" t="s">
        <v>2518</v>
      </c>
      <c r="BV859" s="338" t="s">
        <v>2518</v>
      </c>
      <c r="BW859" s="338"/>
      <c r="BX859" s="338" t="s">
        <v>6</v>
      </c>
      <c r="BY859" s="338" t="s">
        <v>7</v>
      </c>
      <c r="BZ859" s="338" t="s">
        <v>2518</v>
      </c>
      <c r="CA859"/>
      <c r="CB859" s="338" t="s">
        <v>5</v>
      </c>
      <c r="CC859" s="338">
        <v>10095.826328657589</v>
      </c>
      <c r="CD859" s="338">
        <v>5053018.0044685043</v>
      </c>
      <c r="CE859" s="313" t="s">
        <v>11891</v>
      </c>
    </row>
    <row r="860" spans="1:83" ht="15" x14ac:dyDescent="0.25">
      <c r="A860" s="338" t="s">
        <v>40</v>
      </c>
      <c r="B860" s="338" t="s">
        <v>41</v>
      </c>
      <c r="C860" s="338" t="s">
        <v>42</v>
      </c>
      <c r="D860" s="338">
        <v>6</v>
      </c>
      <c r="E860" s="338" t="s">
        <v>259</v>
      </c>
      <c r="F860" s="338" t="s">
        <v>38</v>
      </c>
      <c r="G860" s="338" t="s">
        <v>39</v>
      </c>
      <c r="H860" s="338" t="s">
        <v>276</v>
      </c>
      <c r="I860" s="338" t="s">
        <v>277</v>
      </c>
      <c r="J860" s="338" t="s">
        <v>278</v>
      </c>
      <c r="K860" s="338" t="s">
        <v>289</v>
      </c>
      <c r="L860" s="338">
        <v>1481.625122070312</v>
      </c>
      <c r="M860" s="338" t="s">
        <v>6</v>
      </c>
      <c r="N860" s="338" t="s">
        <v>6</v>
      </c>
      <c r="O860" s="338" t="s">
        <v>6</v>
      </c>
      <c r="P860" s="338" t="s">
        <v>5</v>
      </c>
      <c r="Q860" s="338" t="s">
        <v>5</v>
      </c>
      <c r="R860" s="338" t="s">
        <v>342</v>
      </c>
      <c r="S860" s="338" t="s">
        <v>342</v>
      </c>
      <c r="T860" s="338" t="s">
        <v>5</v>
      </c>
      <c r="U860" s="338" t="s">
        <v>13</v>
      </c>
      <c r="V860" s="338">
        <v>20000</v>
      </c>
      <c r="W860" s="338">
        <v>1000</v>
      </c>
      <c r="X860" s="338" t="s">
        <v>6</v>
      </c>
      <c r="Y860" s="338"/>
      <c r="Z860" s="338"/>
      <c r="AA860" s="338">
        <v>178.8987121582031</v>
      </c>
      <c r="AB860" s="338">
        <v>46.420326232910163</v>
      </c>
      <c r="AC860" s="338">
        <v>0</v>
      </c>
      <c r="AD860" s="338">
        <v>18845</v>
      </c>
      <c r="AE860" s="338">
        <v>10045</v>
      </c>
      <c r="AF860" s="338">
        <v>14341</v>
      </c>
      <c r="AG860" s="338">
        <v>38623</v>
      </c>
      <c r="AH860" s="338">
        <v>35438</v>
      </c>
      <c r="AI860" s="338">
        <v>38623</v>
      </c>
      <c r="AJ860" s="338">
        <v>248</v>
      </c>
      <c r="AK860" s="338">
        <v>0</v>
      </c>
      <c r="AL860" s="338">
        <v>328</v>
      </c>
      <c r="AM860" s="338">
        <v>0</v>
      </c>
      <c r="AN860" s="338">
        <v>8576.763671875</v>
      </c>
      <c r="AO860" s="338"/>
      <c r="AP860" s="338"/>
      <c r="AQ860" s="338"/>
      <c r="AR860" s="338"/>
      <c r="AS860" s="338"/>
      <c r="AT860" s="338"/>
      <c r="AU860" s="338"/>
      <c r="AV860" s="338"/>
      <c r="AW860" s="338"/>
      <c r="AX860" s="338"/>
      <c r="AY860" s="338"/>
      <c r="AZ860" s="338"/>
      <c r="BA860" s="338"/>
      <c r="BB860" s="338"/>
      <c r="BC860" s="338"/>
      <c r="BD860" s="338"/>
      <c r="BE860" s="338"/>
      <c r="BF860" s="338" t="s">
        <v>291</v>
      </c>
      <c r="BG860" s="338" t="s">
        <v>5</v>
      </c>
      <c r="BH860" s="338"/>
      <c r="BI860" s="338"/>
      <c r="BJ860" s="338" t="s">
        <v>5</v>
      </c>
      <c r="BK860" s="338"/>
      <c r="BL860" s="338">
        <v>0</v>
      </c>
      <c r="BM860" s="338"/>
      <c r="BN860" s="338" t="s">
        <v>5</v>
      </c>
      <c r="BO860" s="338" t="s">
        <v>2518</v>
      </c>
      <c r="BP860" s="338" t="s">
        <v>2518</v>
      </c>
      <c r="BQ860" s="338" t="s">
        <v>2518</v>
      </c>
      <c r="BR860" s="338"/>
      <c r="BS860" s="338" t="s">
        <v>6</v>
      </c>
      <c r="BT860" s="338" t="s">
        <v>2518</v>
      </c>
      <c r="BU860" s="338" t="s">
        <v>2518</v>
      </c>
      <c r="BV860" s="338" t="s">
        <v>2518</v>
      </c>
      <c r="BW860" s="338"/>
      <c r="BX860" s="338" t="s">
        <v>6</v>
      </c>
      <c r="BY860" s="338" t="s">
        <v>7</v>
      </c>
      <c r="BZ860" s="338" t="s">
        <v>2518</v>
      </c>
      <c r="CA860"/>
      <c r="CB860" s="338" t="s">
        <v>5</v>
      </c>
      <c r="CC860" s="338">
        <v>311776.98263552098</v>
      </c>
      <c r="CD860" s="338">
        <v>3837391544.448369</v>
      </c>
      <c r="CE860" s="313" t="s">
        <v>11891</v>
      </c>
    </row>
    <row r="861" spans="1:83" ht="15" x14ac:dyDescent="0.25">
      <c r="A861" s="338" t="s">
        <v>107</v>
      </c>
      <c r="B861" s="338" t="s">
        <v>108</v>
      </c>
      <c r="C861" s="338" t="s">
        <v>109</v>
      </c>
      <c r="D861" s="338">
        <v>6</v>
      </c>
      <c r="E861" s="338" t="s">
        <v>259</v>
      </c>
      <c r="F861" s="338" t="s">
        <v>38</v>
      </c>
      <c r="G861" s="338" t="s">
        <v>39</v>
      </c>
      <c r="H861" s="338" t="s">
        <v>276</v>
      </c>
      <c r="I861" s="338" t="s">
        <v>277</v>
      </c>
      <c r="J861" s="338" t="s">
        <v>278</v>
      </c>
      <c r="K861" s="338" t="s">
        <v>289</v>
      </c>
      <c r="L861" s="338">
        <v>1481.869750976562</v>
      </c>
      <c r="M861" s="338" t="s">
        <v>6</v>
      </c>
      <c r="N861" s="338" t="s">
        <v>6</v>
      </c>
      <c r="O861" s="338" t="s">
        <v>6</v>
      </c>
      <c r="P861" s="338" t="s">
        <v>5</v>
      </c>
      <c r="Q861" s="338" t="s">
        <v>5</v>
      </c>
      <c r="R861" s="338" t="s">
        <v>342</v>
      </c>
      <c r="S861" s="338" t="s">
        <v>349</v>
      </c>
      <c r="T861" s="338" t="s">
        <v>5</v>
      </c>
      <c r="U861" s="338" t="s">
        <v>13</v>
      </c>
      <c r="V861" s="338">
        <v>20000</v>
      </c>
      <c r="W861" s="338">
        <v>1000</v>
      </c>
      <c r="X861" s="338" t="s">
        <v>6</v>
      </c>
      <c r="Y861" s="338"/>
      <c r="Z861" s="338"/>
      <c r="AA861" s="338">
        <v>179.06492614746091</v>
      </c>
      <c r="AB861" s="338">
        <v>46.511585235595703</v>
      </c>
      <c r="AC861" s="338">
        <v>0</v>
      </c>
      <c r="AD861" s="338">
        <v>18848</v>
      </c>
      <c r="AE861" s="338">
        <v>10051</v>
      </c>
      <c r="AF861" s="338">
        <v>14344</v>
      </c>
      <c r="AG861" s="338">
        <v>38626</v>
      </c>
      <c r="AH861" s="338">
        <v>35449</v>
      </c>
      <c r="AI861" s="338">
        <v>38626</v>
      </c>
      <c r="AJ861" s="338">
        <v>248</v>
      </c>
      <c r="AK861" s="338">
        <v>0</v>
      </c>
      <c r="AL861" s="338">
        <v>328</v>
      </c>
      <c r="AM861" s="338">
        <v>0</v>
      </c>
      <c r="AN861" s="338">
        <v>8584.16015625</v>
      </c>
      <c r="AO861" s="338"/>
      <c r="AP861" s="338"/>
      <c r="AQ861" s="338"/>
      <c r="AR861" s="338"/>
      <c r="AS861" s="338"/>
      <c r="AT861" s="338"/>
      <c r="AU861" s="338"/>
      <c r="AV861" s="338"/>
      <c r="AW861" s="338"/>
      <c r="AX861" s="338"/>
      <c r="AY861" s="338"/>
      <c r="AZ861" s="338"/>
      <c r="BA861" s="338"/>
      <c r="BB861" s="338"/>
      <c r="BC861" s="338"/>
      <c r="BD861" s="338"/>
      <c r="BE861" s="338"/>
      <c r="BF861" s="338" t="s">
        <v>291</v>
      </c>
      <c r="BG861" s="338" t="s">
        <v>5</v>
      </c>
      <c r="BH861" s="338"/>
      <c r="BI861" s="338"/>
      <c r="BJ861" s="338" t="s">
        <v>5</v>
      </c>
      <c r="BK861" s="338"/>
      <c r="BL861" s="338">
        <v>0</v>
      </c>
      <c r="BM861" s="338"/>
      <c r="BN861" s="338" t="s">
        <v>5</v>
      </c>
      <c r="BO861" s="338" t="s">
        <v>2518</v>
      </c>
      <c r="BP861" s="338" t="s">
        <v>2518</v>
      </c>
      <c r="BQ861" s="338" t="s">
        <v>2518</v>
      </c>
      <c r="BR861" s="338"/>
      <c r="BS861" s="338" t="s">
        <v>6</v>
      </c>
      <c r="BT861" s="338" t="s">
        <v>2518</v>
      </c>
      <c r="BU861" s="338" t="s">
        <v>2518</v>
      </c>
      <c r="BV861" s="338" t="s">
        <v>2518</v>
      </c>
      <c r="BW861" s="338"/>
      <c r="BX861" s="338" t="s">
        <v>6</v>
      </c>
      <c r="BY861" s="338" t="s">
        <v>7</v>
      </c>
      <c r="BZ861" s="338" t="s">
        <v>2518</v>
      </c>
      <c r="CA861"/>
      <c r="CB861" s="338" t="s">
        <v>5</v>
      </c>
      <c r="CC861" s="338">
        <v>315075.8612686072</v>
      </c>
      <c r="CD861" s="338">
        <v>3838025113.4231911</v>
      </c>
      <c r="CE861" s="313" t="s">
        <v>11891</v>
      </c>
    </row>
    <row r="862" spans="1:83" ht="15" x14ac:dyDescent="0.25">
      <c r="A862" s="338" t="s">
        <v>110</v>
      </c>
      <c r="B862" s="338" t="s">
        <v>111</v>
      </c>
      <c r="C862" s="338" t="s">
        <v>112</v>
      </c>
      <c r="D862" s="338">
        <v>6</v>
      </c>
      <c r="E862" s="338" t="s">
        <v>259</v>
      </c>
      <c r="F862" s="338" t="s">
        <v>73</v>
      </c>
      <c r="G862" s="338" t="s">
        <v>368</v>
      </c>
      <c r="H862" s="338" t="s">
        <v>369</v>
      </c>
      <c r="I862" s="338" t="s">
        <v>370</v>
      </c>
      <c r="J862" s="338" t="s">
        <v>371</v>
      </c>
      <c r="K862" s="338" t="s">
        <v>279</v>
      </c>
      <c r="L862" s="338">
        <v>798.8736572265625</v>
      </c>
      <c r="M862" s="338" t="s">
        <v>6</v>
      </c>
      <c r="N862" s="338" t="s">
        <v>5</v>
      </c>
      <c r="O862" s="338" t="s">
        <v>6</v>
      </c>
      <c r="P862" s="338" t="s">
        <v>5</v>
      </c>
      <c r="Q862" s="338" t="s">
        <v>5</v>
      </c>
      <c r="R862" s="338" t="s">
        <v>372</v>
      </c>
      <c r="S862" s="338" t="s">
        <v>373</v>
      </c>
      <c r="T862" s="338" t="s">
        <v>5</v>
      </c>
      <c r="U862" s="338" t="s">
        <v>50</v>
      </c>
      <c r="V862" s="338">
        <v>20000</v>
      </c>
      <c r="W862" s="338">
        <v>1000</v>
      </c>
      <c r="X862" s="338" t="s">
        <v>6</v>
      </c>
      <c r="Y862" s="338"/>
      <c r="Z862" s="338"/>
      <c r="AA862" s="338">
        <v>24.835664749145511</v>
      </c>
      <c r="AB862" s="338">
        <v>3.89348292350769</v>
      </c>
      <c r="AC862" s="338">
        <v>0</v>
      </c>
      <c r="AD862" s="338">
        <v>145</v>
      </c>
      <c r="AE862" s="338">
        <v>50</v>
      </c>
      <c r="AF862" s="338">
        <v>76</v>
      </c>
      <c r="AG862" s="338">
        <v>50</v>
      </c>
      <c r="AH862" s="338">
        <v>95</v>
      </c>
      <c r="AI862" s="338">
        <v>95</v>
      </c>
      <c r="AJ862" s="338">
        <v>0</v>
      </c>
      <c r="AK862" s="338">
        <v>1</v>
      </c>
      <c r="AL862" s="338">
        <v>11</v>
      </c>
      <c r="AM862" s="338">
        <v>1</v>
      </c>
      <c r="AN862" s="338">
        <v>151.27351379394531</v>
      </c>
      <c r="AO862" s="338"/>
      <c r="AP862" s="338"/>
      <c r="AQ862" s="338"/>
      <c r="AR862" s="338"/>
      <c r="AS862" s="338"/>
      <c r="AT862" s="338"/>
      <c r="AU862" s="338"/>
      <c r="AV862" s="338"/>
      <c r="AW862" s="338"/>
      <c r="AX862" s="338"/>
      <c r="AY862" s="338"/>
      <c r="AZ862" s="338"/>
      <c r="BA862" s="338"/>
      <c r="BB862" s="338"/>
      <c r="BC862" s="338"/>
      <c r="BD862" s="338"/>
      <c r="BE862" s="338"/>
      <c r="BF862" s="338"/>
      <c r="BG862" s="338" t="s">
        <v>5</v>
      </c>
      <c r="BH862" s="338"/>
      <c r="BI862" s="338"/>
      <c r="BJ862" s="338" t="s">
        <v>5</v>
      </c>
      <c r="BK862" s="338"/>
      <c r="BL862" s="338">
        <v>0</v>
      </c>
      <c r="BM862" s="338"/>
      <c r="BN862" s="338" t="s">
        <v>5</v>
      </c>
      <c r="BO862" s="338" t="s">
        <v>2518</v>
      </c>
      <c r="BP862" s="338" t="s">
        <v>2518</v>
      </c>
      <c r="BQ862" s="338" t="s">
        <v>2518</v>
      </c>
      <c r="BR862" s="338"/>
      <c r="BS862" s="338" t="s">
        <v>6</v>
      </c>
      <c r="BT862" s="338" t="s">
        <v>2518</v>
      </c>
      <c r="BU862" s="338" t="s">
        <v>2518</v>
      </c>
      <c r="BV862" s="338" t="s">
        <v>2518</v>
      </c>
      <c r="BW862" s="338"/>
      <c r="BX862" s="338" t="s">
        <v>6</v>
      </c>
      <c r="BY862" s="338" t="s">
        <v>7</v>
      </c>
      <c r="BZ862" s="338" t="s">
        <v>2518</v>
      </c>
      <c r="CA862"/>
      <c r="CB862" s="338" t="s">
        <v>5</v>
      </c>
      <c r="CC862" s="338">
        <v>250626.77186907371</v>
      </c>
      <c r="CD862" s="338">
        <v>2069073328.998071</v>
      </c>
      <c r="CE862" s="313" t="s">
        <v>11891</v>
      </c>
    </row>
    <row r="863" spans="1:83" ht="15" x14ac:dyDescent="0.25">
      <c r="A863" s="338" t="s">
        <v>124</v>
      </c>
      <c r="B863" s="338" t="s">
        <v>125</v>
      </c>
      <c r="C863" s="338" t="s">
        <v>379</v>
      </c>
      <c r="D863" s="338">
        <v>6</v>
      </c>
      <c r="E863" s="338" t="s">
        <v>259</v>
      </c>
      <c r="F863" s="338" t="s">
        <v>53</v>
      </c>
      <c r="G863" s="338" t="s">
        <v>356</v>
      </c>
      <c r="H863" s="338" t="s">
        <v>380</v>
      </c>
      <c r="I863" s="338" t="s">
        <v>381</v>
      </c>
      <c r="J863" s="338" t="s">
        <v>382</v>
      </c>
      <c r="K863" s="338" t="s">
        <v>289</v>
      </c>
      <c r="L863" s="338">
        <v>515.94830322265625</v>
      </c>
      <c r="M863" s="338" t="s">
        <v>6</v>
      </c>
      <c r="N863" s="338" t="s">
        <v>5</v>
      </c>
      <c r="O863" s="338" t="s">
        <v>6</v>
      </c>
      <c r="P863" s="338" t="s">
        <v>5</v>
      </c>
      <c r="Q863" s="338" t="s">
        <v>5</v>
      </c>
      <c r="R863" s="338" t="s">
        <v>336</v>
      </c>
      <c r="S863" s="338" t="s">
        <v>337</v>
      </c>
      <c r="T863" s="338" t="s">
        <v>5</v>
      </c>
      <c r="U863" s="338" t="s">
        <v>13</v>
      </c>
      <c r="V863" s="338">
        <v>20000</v>
      </c>
      <c r="W863" s="338">
        <v>1000</v>
      </c>
      <c r="X863" s="338" t="s">
        <v>6</v>
      </c>
      <c r="Y863" s="338" t="s">
        <v>302</v>
      </c>
      <c r="Z863" s="338">
        <v>10000</v>
      </c>
      <c r="AA863" s="338">
        <v>28.4786491394043</v>
      </c>
      <c r="AB863" s="338">
        <v>5.5907998085021973</v>
      </c>
      <c r="AC863" s="338">
        <v>2.6062000542879101E-2</v>
      </c>
      <c r="AD863" s="338">
        <v>1067</v>
      </c>
      <c r="AE863" s="338">
        <v>707</v>
      </c>
      <c r="AF863" s="338">
        <v>708</v>
      </c>
      <c r="AG863" s="338">
        <v>1171</v>
      </c>
      <c r="AH863" s="338">
        <v>1859</v>
      </c>
      <c r="AI863" s="338">
        <v>1859</v>
      </c>
      <c r="AJ863" s="338">
        <v>6</v>
      </c>
      <c r="AK863" s="338">
        <v>19</v>
      </c>
      <c r="AL863" s="338">
        <v>41</v>
      </c>
      <c r="AM863" s="338">
        <v>19</v>
      </c>
      <c r="AN863" s="338">
        <v>1357.317260742188</v>
      </c>
      <c r="AO863" s="338"/>
      <c r="AP863" s="338"/>
      <c r="AQ863" s="338"/>
      <c r="AR863" s="338"/>
      <c r="AS863" s="338"/>
      <c r="AT863" s="338"/>
      <c r="AU863" s="338"/>
      <c r="AV863" s="338"/>
      <c r="AW863" s="338"/>
      <c r="AX863" s="338"/>
      <c r="AY863" s="338"/>
      <c r="AZ863" s="338"/>
      <c r="BA863" s="338"/>
      <c r="BB863" s="338"/>
      <c r="BC863" s="338"/>
      <c r="BD863" s="338"/>
      <c r="BE863" s="338"/>
      <c r="BF863" s="338" t="s">
        <v>291</v>
      </c>
      <c r="BG863" s="338" t="s">
        <v>5</v>
      </c>
      <c r="BH863" s="338"/>
      <c r="BI863" s="338"/>
      <c r="BJ863" s="338" t="s">
        <v>5</v>
      </c>
      <c r="BK863" s="338"/>
      <c r="BL863" s="338">
        <v>0</v>
      </c>
      <c r="BM863" s="338"/>
      <c r="BN863" s="338" t="s">
        <v>5</v>
      </c>
      <c r="BO863" s="338" t="s">
        <v>2518</v>
      </c>
      <c r="BP863" s="338" t="s">
        <v>2518</v>
      </c>
      <c r="BQ863" s="338" t="s">
        <v>2518</v>
      </c>
      <c r="BR863" s="338"/>
      <c r="BS863" s="338" t="s">
        <v>6</v>
      </c>
      <c r="BT863" s="338" t="s">
        <v>2518</v>
      </c>
      <c r="BU863" s="338" t="s">
        <v>2518</v>
      </c>
      <c r="BV863" s="338" t="s">
        <v>2518</v>
      </c>
      <c r="BW863" s="338"/>
      <c r="BX863" s="338" t="s">
        <v>6</v>
      </c>
      <c r="BY863" s="338" t="s">
        <v>7</v>
      </c>
      <c r="BZ863" s="338" t="s">
        <v>2518</v>
      </c>
      <c r="CA863"/>
      <c r="CB863" s="338" t="s">
        <v>5</v>
      </c>
      <c r="CC863" s="338">
        <v>251551.1790098162</v>
      </c>
      <c r="CD863" s="338">
        <v>1336299991.290905</v>
      </c>
      <c r="CE863" s="313" t="s">
        <v>11891</v>
      </c>
    </row>
    <row r="864" spans="1:83" ht="15" x14ac:dyDescent="0.25">
      <c r="A864" s="338" t="s">
        <v>132</v>
      </c>
      <c r="B864" s="338" t="s">
        <v>133</v>
      </c>
      <c r="C864" s="338" t="s">
        <v>134</v>
      </c>
      <c r="D864" s="338">
        <v>6</v>
      </c>
      <c r="E864" s="338" t="s">
        <v>259</v>
      </c>
      <c r="F864" s="338" t="s">
        <v>63</v>
      </c>
      <c r="G864" s="338" t="s">
        <v>332</v>
      </c>
      <c r="H864" s="338" t="s">
        <v>333</v>
      </c>
      <c r="I864" s="338" t="s">
        <v>334</v>
      </c>
      <c r="J864" s="338" t="s">
        <v>335</v>
      </c>
      <c r="K864" s="338" t="s">
        <v>289</v>
      </c>
      <c r="L864" s="338">
        <v>797.83648681640625</v>
      </c>
      <c r="M864" s="338" t="s">
        <v>6</v>
      </c>
      <c r="N864" s="338" t="s">
        <v>5</v>
      </c>
      <c r="O864" s="338" t="s">
        <v>6</v>
      </c>
      <c r="P864" s="338" t="s">
        <v>5</v>
      </c>
      <c r="Q864" s="338" t="s">
        <v>5</v>
      </c>
      <c r="R864" s="338" t="s">
        <v>338</v>
      </c>
      <c r="S864" s="338" t="s">
        <v>383</v>
      </c>
      <c r="T864" s="338" t="s">
        <v>5</v>
      </c>
      <c r="U864" s="338" t="s">
        <v>13</v>
      </c>
      <c r="V864" s="338">
        <v>20000</v>
      </c>
      <c r="W864" s="338">
        <v>1000</v>
      </c>
      <c r="X864" s="338" t="s">
        <v>6</v>
      </c>
      <c r="Y864" s="338"/>
      <c r="Z864" s="338"/>
      <c r="AA864" s="338">
        <v>61.209434509277337</v>
      </c>
      <c r="AB864" s="338">
        <v>10.473307609558111</v>
      </c>
      <c r="AC864" s="338">
        <v>0</v>
      </c>
      <c r="AD864" s="338">
        <v>505</v>
      </c>
      <c r="AE864" s="338">
        <v>234</v>
      </c>
      <c r="AF864" s="338">
        <v>437</v>
      </c>
      <c r="AG864" s="338">
        <v>266</v>
      </c>
      <c r="AH864" s="338">
        <v>545</v>
      </c>
      <c r="AI864" s="338">
        <v>545</v>
      </c>
      <c r="AJ864" s="338">
        <v>1</v>
      </c>
      <c r="AK864" s="338">
        <v>2</v>
      </c>
      <c r="AL864" s="338">
        <v>25</v>
      </c>
      <c r="AM864" s="338">
        <v>2</v>
      </c>
      <c r="AN864" s="338">
        <v>180.46464538574219</v>
      </c>
      <c r="AO864" s="338"/>
      <c r="AP864" s="338"/>
      <c r="AQ864" s="338"/>
      <c r="AR864" s="338"/>
      <c r="AS864" s="338"/>
      <c r="AT864" s="338"/>
      <c r="AU864" s="338"/>
      <c r="AV864" s="338"/>
      <c r="AW864" s="338"/>
      <c r="AX864" s="338"/>
      <c r="AY864" s="338"/>
      <c r="AZ864" s="338"/>
      <c r="BA864" s="338"/>
      <c r="BB864" s="338"/>
      <c r="BC864" s="338"/>
      <c r="BD864" s="338"/>
      <c r="BE864" s="338"/>
      <c r="BF864" s="338" t="s">
        <v>291</v>
      </c>
      <c r="BG864" s="338" t="s">
        <v>5</v>
      </c>
      <c r="BH864" s="338"/>
      <c r="BI864" s="338"/>
      <c r="BJ864" s="338" t="s">
        <v>5</v>
      </c>
      <c r="BK864" s="338"/>
      <c r="BL864" s="338">
        <v>0</v>
      </c>
      <c r="BM864" s="338"/>
      <c r="BN864" s="338" t="s">
        <v>5</v>
      </c>
      <c r="BO864" s="338" t="s">
        <v>2518</v>
      </c>
      <c r="BP864" s="338" t="s">
        <v>2518</v>
      </c>
      <c r="BQ864" s="338" t="s">
        <v>2518</v>
      </c>
      <c r="BR864" s="338"/>
      <c r="BS864" s="338" t="s">
        <v>6</v>
      </c>
      <c r="BT864" s="338" t="s">
        <v>2518</v>
      </c>
      <c r="BU864" s="338" t="s">
        <v>2518</v>
      </c>
      <c r="BV864" s="338" t="s">
        <v>2518</v>
      </c>
      <c r="BW864" s="338"/>
      <c r="BX864" s="338" t="s">
        <v>6</v>
      </c>
      <c r="BY864" s="338" t="s">
        <v>7</v>
      </c>
      <c r="BZ864" s="338" t="s">
        <v>2518</v>
      </c>
      <c r="CA864"/>
      <c r="CB864" s="338" t="s">
        <v>5</v>
      </c>
      <c r="CC864" s="338">
        <v>222708.2324043249</v>
      </c>
      <c r="CD864" s="338">
        <v>2066387072.0613821</v>
      </c>
      <c r="CE864" s="313" t="s">
        <v>11891</v>
      </c>
    </row>
    <row r="865" spans="1:83" ht="15" x14ac:dyDescent="0.25">
      <c r="A865" s="338" t="s">
        <v>60</v>
      </c>
      <c r="B865" s="338" t="s">
        <v>61</v>
      </c>
      <c r="C865" s="338" t="s">
        <v>62</v>
      </c>
      <c r="D865" s="338">
        <v>6</v>
      </c>
      <c r="E865" s="338" t="s">
        <v>259</v>
      </c>
      <c r="F865" s="338" t="s">
        <v>63</v>
      </c>
      <c r="G865" s="338" t="s">
        <v>64</v>
      </c>
      <c r="H865" s="338" t="s">
        <v>321</v>
      </c>
      <c r="I865" s="338" t="s">
        <v>65</v>
      </c>
      <c r="J865" s="338" t="s">
        <v>322</v>
      </c>
      <c r="K865" s="338" t="s">
        <v>289</v>
      </c>
      <c r="L865" s="338">
        <v>2.2123451232910161</v>
      </c>
      <c r="M865" s="338" t="s">
        <v>5</v>
      </c>
      <c r="N865" s="338" t="s">
        <v>5</v>
      </c>
      <c r="O865" s="338" t="s">
        <v>6</v>
      </c>
      <c r="P865" s="338" t="s">
        <v>5</v>
      </c>
      <c r="Q865" s="338" t="s">
        <v>5</v>
      </c>
      <c r="R865" s="338" t="s">
        <v>323</v>
      </c>
      <c r="S865" s="338" t="s">
        <v>324</v>
      </c>
      <c r="T865" s="338" t="s">
        <v>5</v>
      </c>
      <c r="U865" s="338" t="s">
        <v>13</v>
      </c>
      <c r="V865" s="338">
        <v>10000</v>
      </c>
      <c r="W865" s="338">
        <v>500</v>
      </c>
      <c r="X865" s="338" t="s">
        <v>6</v>
      </c>
      <c r="Y865" s="338"/>
      <c r="Z865" s="338"/>
      <c r="AA865" s="338">
        <v>0.28715598583221441</v>
      </c>
      <c r="AB865" s="338">
        <v>8.1762000918388367E-2</v>
      </c>
      <c r="AC865" s="338">
        <v>0</v>
      </c>
      <c r="AD865" s="338">
        <v>23</v>
      </c>
      <c r="AE865" s="338">
        <v>9</v>
      </c>
      <c r="AF865" s="338">
        <v>18</v>
      </c>
      <c r="AG865" s="338">
        <v>4</v>
      </c>
      <c r="AH865" s="338">
        <v>19</v>
      </c>
      <c r="AI865" s="338">
        <v>19</v>
      </c>
      <c r="AJ865" s="338">
        <v>0</v>
      </c>
      <c r="AK865" s="338">
        <v>0</v>
      </c>
      <c r="AL865" s="338">
        <v>0</v>
      </c>
      <c r="AM865" s="338">
        <v>0</v>
      </c>
      <c r="AN865" s="338">
        <v>0.90334498882293701</v>
      </c>
      <c r="AO865" s="338"/>
      <c r="AP865" s="338"/>
      <c r="AQ865" s="338"/>
      <c r="AR865" s="338"/>
      <c r="AS865" s="338"/>
      <c r="AT865" s="338"/>
      <c r="AU865" s="338"/>
      <c r="AV865" s="338"/>
      <c r="AW865" s="338"/>
      <c r="AX865" s="338"/>
      <c r="AY865" s="338"/>
      <c r="AZ865" s="338"/>
      <c r="BA865" s="338"/>
      <c r="BB865" s="338"/>
      <c r="BC865" s="338"/>
      <c r="BD865" s="338"/>
      <c r="BE865" s="338"/>
      <c r="BF865" s="338" t="s">
        <v>291</v>
      </c>
      <c r="BG865" s="338" t="s">
        <v>5</v>
      </c>
      <c r="BH865" s="338"/>
      <c r="BI865" s="338"/>
      <c r="BJ865" s="338" t="s">
        <v>5</v>
      </c>
      <c r="BK865" s="338"/>
      <c r="BL865" s="338">
        <v>0</v>
      </c>
      <c r="BM865" s="338"/>
      <c r="BN865" s="338" t="s">
        <v>5</v>
      </c>
      <c r="BO865" s="338" t="s">
        <v>2518</v>
      </c>
      <c r="BP865" s="338" t="s">
        <v>2518</v>
      </c>
      <c r="BQ865" s="338" t="s">
        <v>2518</v>
      </c>
      <c r="BR865" s="338"/>
      <c r="BS865" s="338" t="s">
        <v>6</v>
      </c>
      <c r="BT865" s="338" t="s">
        <v>2518</v>
      </c>
      <c r="BU865" s="338" t="s">
        <v>2518</v>
      </c>
      <c r="BV865" s="338" t="s">
        <v>2518</v>
      </c>
      <c r="BW865" s="338"/>
      <c r="BX865" s="338" t="s">
        <v>6</v>
      </c>
      <c r="BY865" s="338" t="s">
        <v>7</v>
      </c>
      <c r="BZ865" s="338" t="s">
        <v>2518</v>
      </c>
      <c r="CA865"/>
      <c r="CB865" s="338" t="s">
        <v>5</v>
      </c>
      <c r="CC865" s="338">
        <v>9575.6615404958138</v>
      </c>
      <c r="CD865" s="338">
        <v>5729947.8196691535</v>
      </c>
      <c r="CE865" s="313" t="s">
        <v>11891</v>
      </c>
    </row>
    <row r="866" spans="1:83" ht="15" x14ac:dyDescent="0.25">
      <c r="A866" s="338" t="s">
        <v>78</v>
      </c>
      <c r="B866" s="338" t="s">
        <v>79</v>
      </c>
      <c r="C866" s="338" t="s">
        <v>80</v>
      </c>
      <c r="D866" s="338">
        <v>6</v>
      </c>
      <c r="E866" s="338" t="s">
        <v>259</v>
      </c>
      <c r="F866" s="338" t="s">
        <v>81</v>
      </c>
      <c r="G866" s="338" t="s">
        <v>269</v>
      </c>
      <c r="H866" s="338" t="s">
        <v>270</v>
      </c>
      <c r="I866" s="338" t="s">
        <v>271</v>
      </c>
      <c r="J866" s="338" t="s">
        <v>272</v>
      </c>
      <c r="K866" s="338" t="s">
        <v>289</v>
      </c>
      <c r="L866" s="338">
        <v>1169.76806640625</v>
      </c>
      <c r="M866" s="338" t="s">
        <v>6</v>
      </c>
      <c r="N866" s="338" t="s">
        <v>5</v>
      </c>
      <c r="O866" s="338" t="s">
        <v>6</v>
      </c>
      <c r="P866" s="338" t="s">
        <v>5</v>
      </c>
      <c r="Q866" s="338" t="s">
        <v>5</v>
      </c>
      <c r="R866" s="338" t="s">
        <v>273</v>
      </c>
      <c r="S866" s="338" t="s">
        <v>2973</v>
      </c>
      <c r="T866" s="338" t="s">
        <v>5</v>
      </c>
      <c r="U866" s="338" t="s">
        <v>13</v>
      </c>
      <c r="V866" s="338">
        <v>10000</v>
      </c>
      <c r="W866" s="338">
        <v>500</v>
      </c>
      <c r="X866" s="338" t="s">
        <v>6</v>
      </c>
      <c r="Y866" s="338"/>
      <c r="Z866" s="338"/>
      <c r="AA866" s="338">
        <v>84.488754272460938</v>
      </c>
      <c r="AB866" s="338">
        <v>27.97203254699707</v>
      </c>
      <c r="AC866" s="338">
        <v>0</v>
      </c>
      <c r="AD866" s="338">
        <v>3617</v>
      </c>
      <c r="AE866" s="338">
        <v>1663</v>
      </c>
      <c r="AF866" s="338">
        <v>2271</v>
      </c>
      <c r="AG866" s="338">
        <v>2546</v>
      </c>
      <c r="AH866" s="338">
        <v>3575</v>
      </c>
      <c r="AI866" s="338">
        <v>3575</v>
      </c>
      <c r="AJ866" s="338">
        <v>8</v>
      </c>
      <c r="AK866" s="338">
        <v>7</v>
      </c>
      <c r="AL866" s="338">
        <v>144</v>
      </c>
      <c r="AM866" s="338">
        <v>7</v>
      </c>
      <c r="AN866" s="338">
        <v>1379.380126953125</v>
      </c>
      <c r="AO866" s="338"/>
      <c r="AP866" s="338"/>
      <c r="AQ866" s="338"/>
      <c r="AR866" s="338"/>
      <c r="AS866" s="338"/>
      <c r="AT866" s="338"/>
      <c r="AU866" s="338"/>
      <c r="AV866" s="338"/>
      <c r="AW866" s="338"/>
      <c r="AX866" s="338"/>
      <c r="AY866" s="338"/>
      <c r="AZ866" s="338"/>
      <c r="BA866" s="338"/>
      <c r="BB866" s="338"/>
      <c r="BC866" s="338"/>
      <c r="BD866" s="338"/>
      <c r="BE866" s="338"/>
      <c r="BF866" s="338" t="s">
        <v>291</v>
      </c>
      <c r="BG866" s="338" t="s">
        <v>5</v>
      </c>
      <c r="BH866" s="338"/>
      <c r="BI866" s="338"/>
      <c r="BJ866" s="338" t="s">
        <v>5</v>
      </c>
      <c r="BK866" s="338"/>
      <c r="BL866" s="338">
        <v>0</v>
      </c>
      <c r="BM866" s="338"/>
      <c r="BN866" s="338" t="s">
        <v>5</v>
      </c>
      <c r="BO866" s="338" t="s">
        <v>2518</v>
      </c>
      <c r="BP866" s="338" t="s">
        <v>2518</v>
      </c>
      <c r="BQ866" s="338" t="s">
        <v>2518</v>
      </c>
      <c r="BR866" s="338"/>
      <c r="BS866" s="338" t="s">
        <v>6</v>
      </c>
      <c r="BT866" s="338" t="s">
        <v>2518</v>
      </c>
      <c r="BU866" s="338" t="s">
        <v>2518</v>
      </c>
      <c r="BV866" s="338" t="s">
        <v>2518</v>
      </c>
      <c r="BW866" s="338"/>
      <c r="BX866" s="338" t="s">
        <v>6</v>
      </c>
      <c r="BY866" s="338" t="s">
        <v>7</v>
      </c>
      <c r="BZ866" s="338" t="s">
        <v>2518</v>
      </c>
      <c r="CA866"/>
      <c r="CB866" s="338" t="s">
        <v>5</v>
      </c>
      <c r="CC866" s="338">
        <v>246504.3911273627</v>
      </c>
      <c r="CD866" s="338">
        <v>3029685245.9550719</v>
      </c>
      <c r="CE866" s="313" t="s">
        <v>11891</v>
      </c>
    </row>
    <row r="867" spans="1:83" ht="15" x14ac:dyDescent="0.25">
      <c r="A867" s="338" t="s">
        <v>43</v>
      </c>
      <c r="B867" s="338" t="s">
        <v>44</v>
      </c>
      <c r="C867" s="338" t="s">
        <v>45</v>
      </c>
      <c r="D867" s="338">
        <v>6</v>
      </c>
      <c r="E867" s="338" t="s">
        <v>259</v>
      </c>
      <c r="F867" s="338" t="s">
        <v>46</v>
      </c>
      <c r="G867" s="338" t="s">
        <v>39</v>
      </c>
      <c r="H867" s="338" t="s">
        <v>343</v>
      </c>
      <c r="I867" s="338" t="s">
        <v>344</v>
      </c>
      <c r="J867" s="338" t="s">
        <v>345</v>
      </c>
      <c r="K867" s="338" t="s">
        <v>346</v>
      </c>
      <c r="L867" s="338">
        <v>53.422172546386719</v>
      </c>
      <c r="M867" s="338" t="s">
        <v>6</v>
      </c>
      <c r="N867" s="338" t="s">
        <v>6</v>
      </c>
      <c r="O867" s="338" t="s">
        <v>6</v>
      </c>
      <c r="P867" s="338" t="s">
        <v>5</v>
      </c>
      <c r="Q867" s="338" t="s">
        <v>5</v>
      </c>
      <c r="R867" s="338" t="s">
        <v>347</v>
      </c>
      <c r="S867" s="338" t="s">
        <v>267</v>
      </c>
      <c r="T867" s="338" t="s">
        <v>5</v>
      </c>
      <c r="U867" s="338" t="s">
        <v>4</v>
      </c>
      <c r="V867" s="338">
        <v>10000</v>
      </c>
      <c r="W867" s="338">
        <v>500</v>
      </c>
      <c r="X867" s="338" t="s">
        <v>6</v>
      </c>
      <c r="Y867" s="338"/>
      <c r="Z867" s="338"/>
      <c r="AA867" s="338">
        <v>49.328132629394531</v>
      </c>
      <c r="AB867" s="338">
        <v>2.261214971542358</v>
      </c>
      <c r="AC867" s="338">
        <v>0</v>
      </c>
      <c r="AD867" s="338">
        <v>23123</v>
      </c>
      <c r="AE867" s="338">
        <v>2651</v>
      </c>
      <c r="AF867" s="338">
        <v>20373</v>
      </c>
      <c r="AG867" s="338">
        <v>64429</v>
      </c>
      <c r="AH867" s="338">
        <v>46115</v>
      </c>
      <c r="AI867" s="338">
        <v>64429</v>
      </c>
      <c r="AJ867" s="338">
        <v>513</v>
      </c>
      <c r="AK867" s="338">
        <v>0</v>
      </c>
      <c r="AL867" s="338">
        <v>408</v>
      </c>
      <c r="AM867" s="338">
        <v>0</v>
      </c>
      <c r="AN867" s="338">
        <v>262.80068969726563</v>
      </c>
      <c r="AO867" s="338"/>
      <c r="AP867" s="338"/>
      <c r="AQ867" s="338"/>
      <c r="AR867" s="338"/>
      <c r="AS867" s="338"/>
      <c r="AT867" s="338"/>
      <c r="AU867" s="338"/>
      <c r="AV867" s="338"/>
      <c r="AW867" s="338"/>
      <c r="AX867" s="338"/>
      <c r="AY867" s="338"/>
      <c r="AZ867" s="338"/>
      <c r="BA867" s="338"/>
      <c r="BB867" s="338"/>
      <c r="BC867" s="338"/>
      <c r="BD867" s="338"/>
      <c r="BE867" s="338"/>
      <c r="BF867" s="338"/>
      <c r="BG867" s="338" t="s">
        <v>5</v>
      </c>
      <c r="BH867" s="338"/>
      <c r="BI867" s="338"/>
      <c r="BJ867" s="338" t="s">
        <v>5</v>
      </c>
      <c r="BK867" s="338"/>
      <c r="BL867" s="338">
        <v>0</v>
      </c>
      <c r="BM867" s="338"/>
      <c r="BN867" s="338" t="s">
        <v>5</v>
      </c>
      <c r="BO867" s="338" t="s">
        <v>2518</v>
      </c>
      <c r="BP867" s="338" t="s">
        <v>2518</v>
      </c>
      <c r="BQ867" s="338" t="s">
        <v>2518</v>
      </c>
      <c r="BR867" s="338"/>
      <c r="BS867" s="338" t="s">
        <v>6</v>
      </c>
      <c r="BT867" s="338" t="s">
        <v>2518</v>
      </c>
      <c r="BU867" s="338" t="s">
        <v>2518</v>
      </c>
      <c r="BV867" s="338" t="s">
        <v>2518</v>
      </c>
      <c r="BW867" s="338"/>
      <c r="BX867" s="338" t="s">
        <v>6</v>
      </c>
      <c r="BY867" s="338" t="s">
        <v>7</v>
      </c>
      <c r="BZ867" s="338" t="s">
        <v>2518</v>
      </c>
      <c r="CA867"/>
      <c r="CB867" s="338" t="s">
        <v>5</v>
      </c>
      <c r="CC867" s="338">
        <v>145685.27918375959</v>
      </c>
      <c r="CD867" s="338">
        <v>138362794.01388451</v>
      </c>
      <c r="CE867" s="313" t="s">
        <v>11891</v>
      </c>
    </row>
    <row r="868" spans="1:83" ht="15" x14ac:dyDescent="0.25">
      <c r="A868" s="338" t="s">
        <v>156</v>
      </c>
      <c r="B868" s="338" t="s">
        <v>157</v>
      </c>
      <c r="C868" s="338" t="s">
        <v>158</v>
      </c>
      <c r="D868" s="338">
        <v>6</v>
      </c>
      <c r="E868" s="338" t="s">
        <v>259</v>
      </c>
      <c r="F868" s="338" t="s">
        <v>46</v>
      </c>
      <c r="G868" s="338" t="s">
        <v>39</v>
      </c>
      <c r="H868" s="338" t="s">
        <v>343</v>
      </c>
      <c r="I868" s="338" t="s">
        <v>344</v>
      </c>
      <c r="J868" s="338" t="s">
        <v>345</v>
      </c>
      <c r="K868" s="338" t="s">
        <v>279</v>
      </c>
      <c r="L868" s="338">
        <v>211.07994079589841</v>
      </c>
      <c r="M868" s="338" t="s">
        <v>6</v>
      </c>
      <c r="N868" s="338" t="s">
        <v>6</v>
      </c>
      <c r="O868" s="338" t="s">
        <v>6</v>
      </c>
      <c r="P868" s="338" t="s">
        <v>5</v>
      </c>
      <c r="Q868" s="338" t="s">
        <v>5</v>
      </c>
      <c r="R868" s="338" t="s">
        <v>347</v>
      </c>
      <c r="S868" s="338" t="s">
        <v>267</v>
      </c>
      <c r="T868" s="338" t="s">
        <v>5</v>
      </c>
      <c r="U868" s="338" t="s">
        <v>50</v>
      </c>
      <c r="V868" s="338">
        <v>10000</v>
      </c>
      <c r="W868" s="338">
        <v>500</v>
      </c>
      <c r="X868" s="338" t="s">
        <v>6</v>
      </c>
      <c r="Y868" s="338"/>
      <c r="Z868" s="338"/>
      <c r="AA868" s="338">
        <v>76.413352966308594</v>
      </c>
      <c r="AB868" s="338">
        <v>2.2757019996643071</v>
      </c>
      <c r="AC868" s="338">
        <v>0</v>
      </c>
      <c r="AD868" s="338">
        <v>21858</v>
      </c>
      <c r="AE868" s="338">
        <v>2651</v>
      </c>
      <c r="AF868" s="338">
        <v>19143</v>
      </c>
      <c r="AG868" s="338">
        <v>64300</v>
      </c>
      <c r="AH868" s="338">
        <v>45844</v>
      </c>
      <c r="AI868" s="338">
        <v>64300</v>
      </c>
      <c r="AJ868" s="338">
        <v>509</v>
      </c>
      <c r="AK868" s="338">
        <v>0</v>
      </c>
      <c r="AL868" s="338">
        <v>409</v>
      </c>
      <c r="AM868" s="338">
        <v>0</v>
      </c>
      <c r="AN868" s="338">
        <v>260.88226318359381</v>
      </c>
      <c r="AO868" s="338"/>
      <c r="AP868" s="338"/>
      <c r="AQ868" s="338"/>
      <c r="AR868" s="338"/>
      <c r="AS868" s="338"/>
      <c r="AT868" s="338"/>
      <c r="AU868" s="338"/>
      <c r="AV868" s="338"/>
      <c r="AW868" s="338"/>
      <c r="AX868" s="338"/>
      <c r="AY868" s="338"/>
      <c r="AZ868" s="338"/>
      <c r="BA868" s="338"/>
      <c r="BB868" s="338"/>
      <c r="BC868" s="338"/>
      <c r="BD868" s="338"/>
      <c r="BE868" s="338"/>
      <c r="BF868" s="338"/>
      <c r="BG868" s="338" t="s">
        <v>5</v>
      </c>
      <c r="BH868" s="338"/>
      <c r="BI868" s="338"/>
      <c r="BJ868" s="338" t="s">
        <v>5</v>
      </c>
      <c r="BK868" s="338"/>
      <c r="BL868" s="338">
        <v>0</v>
      </c>
      <c r="BM868" s="338"/>
      <c r="BN868" s="338" t="s">
        <v>5</v>
      </c>
      <c r="BO868" s="338" t="s">
        <v>2518</v>
      </c>
      <c r="BP868" s="338" t="s">
        <v>2518</v>
      </c>
      <c r="BQ868" s="338" t="s">
        <v>2518</v>
      </c>
      <c r="BR868" s="338"/>
      <c r="BS868" s="338" t="s">
        <v>6</v>
      </c>
      <c r="BT868" s="338" t="s">
        <v>2518</v>
      </c>
      <c r="BU868" s="338" t="s">
        <v>2518</v>
      </c>
      <c r="BV868" s="338" t="s">
        <v>2518</v>
      </c>
      <c r="BW868" s="338"/>
      <c r="BX868" s="338" t="s">
        <v>6</v>
      </c>
      <c r="BY868" s="338" t="s">
        <v>7</v>
      </c>
      <c r="BZ868" s="338" t="s">
        <v>2518</v>
      </c>
      <c r="CA868"/>
      <c r="CB868" s="338" t="s">
        <v>5</v>
      </c>
      <c r="CC868" s="338">
        <v>144994.51579439509</v>
      </c>
      <c r="CD868" s="338">
        <v>546694535.25939405</v>
      </c>
      <c r="CE868" s="313" t="s">
        <v>11891</v>
      </c>
    </row>
    <row r="869" spans="1:83" ht="15" x14ac:dyDescent="0.25">
      <c r="A869" s="338" t="s">
        <v>12405</v>
      </c>
      <c r="B869" s="338" t="s">
        <v>12406</v>
      </c>
      <c r="C869" s="338" t="s">
        <v>12374</v>
      </c>
      <c r="D869" s="338">
        <v>6</v>
      </c>
      <c r="E869" s="338" t="s">
        <v>259</v>
      </c>
      <c r="F869" s="338" t="s">
        <v>2644</v>
      </c>
      <c r="G869" s="338" t="s">
        <v>12407</v>
      </c>
      <c r="H869" s="338" t="s">
        <v>12408</v>
      </c>
      <c r="I869" s="338" t="s">
        <v>12409</v>
      </c>
      <c r="J869" s="338" t="s">
        <v>12410</v>
      </c>
      <c r="K869" s="338" t="s">
        <v>266</v>
      </c>
      <c r="L869" s="338">
        <v>53.587665557861328</v>
      </c>
      <c r="M869" s="338" t="s">
        <v>6</v>
      </c>
      <c r="N869" s="338" t="s">
        <v>6</v>
      </c>
      <c r="O869" s="338" t="s">
        <v>5</v>
      </c>
      <c r="P869" s="338" t="s">
        <v>5</v>
      </c>
      <c r="Q869" s="338" t="s">
        <v>5</v>
      </c>
      <c r="R869" s="338" t="s">
        <v>2649</v>
      </c>
      <c r="S869" s="338" t="s">
        <v>12411</v>
      </c>
      <c r="T869" s="338" t="s">
        <v>5</v>
      </c>
      <c r="U869" s="338" t="s">
        <v>50</v>
      </c>
      <c r="V869" s="338">
        <v>8000</v>
      </c>
      <c r="W869" s="338">
        <v>400</v>
      </c>
      <c r="X869" s="338" t="s">
        <v>6</v>
      </c>
      <c r="Y869" s="338"/>
      <c r="Z869" s="338"/>
      <c r="AA869" s="338">
        <v>9.8893566131591797</v>
      </c>
      <c r="AB869" s="338">
        <v>4.5800600051879883</v>
      </c>
      <c r="AC869" s="338">
        <v>0</v>
      </c>
      <c r="AD869" s="338">
        <v>146</v>
      </c>
      <c r="AE869" s="338">
        <v>458</v>
      </c>
      <c r="AF869" s="338">
        <v>54</v>
      </c>
      <c r="AG869" s="338">
        <v>696</v>
      </c>
      <c r="AH869" s="338">
        <v>123</v>
      </c>
      <c r="AI869" s="338">
        <v>775</v>
      </c>
      <c r="AJ869" s="338">
        <v>0</v>
      </c>
      <c r="AK869" s="338">
        <v>0</v>
      </c>
      <c r="AL869" s="338">
        <v>7</v>
      </c>
      <c r="AM869" s="338">
        <v>0</v>
      </c>
      <c r="AN869" s="338">
        <v>353.7679443359375</v>
      </c>
      <c r="AO869" s="338"/>
      <c r="AP869" s="338"/>
      <c r="AQ869" s="338"/>
      <c r="AR869" s="338"/>
      <c r="AS869" s="338"/>
      <c r="AT869" s="338"/>
      <c r="AU869" s="338"/>
      <c r="AV869" s="338"/>
      <c r="AW869" s="338"/>
      <c r="AX869" s="338"/>
      <c r="AY869" s="338"/>
      <c r="AZ869" s="338"/>
      <c r="BA869" s="338"/>
      <c r="BB869" s="338"/>
      <c r="BC869" s="338"/>
      <c r="BD869" s="338"/>
      <c r="BE869" s="338"/>
      <c r="BF869" s="338"/>
      <c r="BG869" s="338" t="s">
        <v>5</v>
      </c>
      <c r="BH869" s="338"/>
      <c r="BI869" s="338"/>
      <c r="BJ869" s="338" t="s">
        <v>5</v>
      </c>
      <c r="BK869" s="338"/>
      <c r="BL869" s="338">
        <v>0</v>
      </c>
      <c r="BM869" s="338"/>
      <c r="BN869" s="338" t="s">
        <v>6</v>
      </c>
      <c r="BO869" s="338" t="s">
        <v>2518</v>
      </c>
      <c r="BP869" s="338" t="s">
        <v>2518</v>
      </c>
      <c r="BQ869" s="338" t="s">
        <v>12372</v>
      </c>
      <c r="BR869" s="338"/>
      <c r="BS869" s="338" t="s">
        <v>6</v>
      </c>
      <c r="BT869" s="338" t="s">
        <v>2518</v>
      </c>
      <c r="BU869" s="338" t="s">
        <v>2518</v>
      </c>
      <c r="BV869" s="338" t="s">
        <v>2518</v>
      </c>
      <c r="BW869" s="338"/>
      <c r="BX869" s="338" t="s">
        <v>6</v>
      </c>
      <c r="BY869" s="338" t="s">
        <v>12412</v>
      </c>
      <c r="BZ869" s="338" t="s">
        <v>2518</v>
      </c>
      <c r="CA869"/>
      <c r="CB869" s="338" t="s">
        <v>5</v>
      </c>
      <c r="CC869" s="338">
        <v>99525.004158167096</v>
      </c>
      <c r="CD869" s="338">
        <v>138791976.74950919</v>
      </c>
      <c r="CE869" s="313" t="s">
        <v>11902</v>
      </c>
    </row>
    <row r="870" spans="1:83" ht="15" x14ac:dyDescent="0.25">
      <c r="A870" s="343" t="s">
        <v>152</v>
      </c>
      <c r="B870" s="343" t="s">
        <v>404</v>
      </c>
      <c r="C870" s="343" t="s">
        <v>153</v>
      </c>
      <c r="D870" s="343">
        <v>6</v>
      </c>
      <c r="E870" s="343" t="s">
        <v>259</v>
      </c>
      <c r="F870" s="343" t="s">
        <v>46</v>
      </c>
      <c r="G870" s="343" t="s">
        <v>39</v>
      </c>
      <c r="H870" s="343" t="s">
        <v>374</v>
      </c>
      <c r="I870" s="343" t="s">
        <v>375</v>
      </c>
      <c r="J870" s="343" t="s">
        <v>376</v>
      </c>
      <c r="K870" s="343" t="s">
        <v>340</v>
      </c>
      <c r="L870" s="343">
        <v>17.035295486450199</v>
      </c>
      <c r="M870" s="343" t="s">
        <v>5</v>
      </c>
      <c r="N870" s="343" t="s">
        <v>5</v>
      </c>
      <c r="O870" s="343" t="s">
        <v>6</v>
      </c>
      <c r="P870" s="343" t="s">
        <v>5</v>
      </c>
      <c r="Q870" s="343" t="s">
        <v>5</v>
      </c>
      <c r="R870" s="343" t="s">
        <v>377</v>
      </c>
      <c r="S870" s="343" t="s">
        <v>377</v>
      </c>
      <c r="T870" s="343" t="s">
        <v>5</v>
      </c>
      <c r="U870" s="343" t="s">
        <v>85</v>
      </c>
      <c r="V870" s="343">
        <v>5000</v>
      </c>
      <c r="W870" s="343">
        <v>250</v>
      </c>
      <c r="X870" s="343" t="s">
        <v>6</v>
      </c>
      <c r="Y870" s="343"/>
      <c r="Z870" s="343"/>
      <c r="AA870" s="343">
        <v>0.6812329888343811</v>
      </c>
      <c r="AB870" s="343">
        <v>2.3715629577636719</v>
      </c>
      <c r="AC870" s="343">
        <v>0</v>
      </c>
      <c r="AD870" s="343">
        <v>400</v>
      </c>
      <c r="AE870" s="343">
        <v>979</v>
      </c>
      <c r="AF870" s="343">
        <v>306</v>
      </c>
      <c r="AG870" s="343">
        <v>227</v>
      </c>
      <c r="AH870" s="343">
        <v>748</v>
      </c>
      <c r="AI870" s="343">
        <v>748</v>
      </c>
      <c r="AJ870" s="343">
        <v>1</v>
      </c>
      <c r="AK870" s="343">
        <v>9</v>
      </c>
      <c r="AL870" s="343">
        <v>4</v>
      </c>
      <c r="AM870" s="343">
        <v>9</v>
      </c>
      <c r="AN870" s="343">
        <v>12.12156867980957</v>
      </c>
      <c r="AO870" s="343"/>
      <c r="AP870" s="343"/>
      <c r="AQ870" s="343"/>
      <c r="AR870" s="343"/>
      <c r="AS870" s="343"/>
      <c r="AT870" s="343"/>
      <c r="AU870" s="343"/>
      <c r="AV870" s="343"/>
      <c r="AW870" s="343"/>
      <c r="AX870" s="343"/>
      <c r="AY870" s="343"/>
      <c r="AZ870" s="343"/>
      <c r="BA870" s="343"/>
      <c r="BB870" s="343"/>
      <c r="BC870" s="343"/>
      <c r="BD870" s="343"/>
      <c r="BE870" s="343"/>
      <c r="BF870" s="343" t="s">
        <v>367</v>
      </c>
      <c r="BG870" s="343" t="s">
        <v>5</v>
      </c>
      <c r="BH870" s="343"/>
      <c r="BI870" s="343"/>
      <c r="BJ870" s="343" t="s">
        <v>5</v>
      </c>
      <c r="BK870" s="343"/>
      <c r="BL870" s="343">
        <v>0</v>
      </c>
      <c r="BM870" s="343"/>
      <c r="BN870" s="343" t="s">
        <v>5</v>
      </c>
      <c r="BO870" s="343" t="s">
        <v>2518</v>
      </c>
      <c r="BP870" s="343" t="s">
        <v>2518</v>
      </c>
      <c r="BQ870" s="343" t="s">
        <v>2518</v>
      </c>
      <c r="BR870" s="343"/>
      <c r="BS870" s="343" t="s">
        <v>6</v>
      </c>
      <c r="BT870" s="343" t="s">
        <v>2518</v>
      </c>
      <c r="BU870" s="343" t="s">
        <v>2518</v>
      </c>
      <c r="BV870" s="343" t="s">
        <v>2518</v>
      </c>
      <c r="BW870" s="343"/>
      <c r="BX870" s="343" t="s">
        <v>6</v>
      </c>
      <c r="BY870" s="343" t="s">
        <v>7</v>
      </c>
      <c r="BZ870" s="343" t="s">
        <v>2518</v>
      </c>
      <c r="CA870" s="59"/>
      <c r="CB870" s="343" t="s">
        <v>5</v>
      </c>
      <c r="CC870" s="343">
        <v>61949.128517273457</v>
      </c>
      <c r="CD870" s="343">
        <v>44121213.590359837</v>
      </c>
      <c r="CE870" s="344" t="s">
        <v>11891</v>
      </c>
    </row>
    <row r="871" spans="1:83" ht="15" x14ac:dyDescent="0.25">
      <c r="A871" s="338" t="s">
        <v>11893</v>
      </c>
      <c r="B871" s="338" t="s">
        <v>11894</v>
      </c>
      <c r="C871" s="338" t="s">
        <v>11895</v>
      </c>
      <c r="D871" s="338">
        <v>15</v>
      </c>
      <c r="E871" s="338" t="s">
        <v>3847</v>
      </c>
      <c r="F871" s="338" t="s">
        <v>3864</v>
      </c>
      <c r="G871" s="338" t="s">
        <v>11896</v>
      </c>
      <c r="H871" s="338" t="s">
        <v>11897</v>
      </c>
      <c r="I871" s="338" t="s">
        <v>11898</v>
      </c>
      <c r="J871" s="338" t="s">
        <v>11899</v>
      </c>
      <c r="K871" s="338" t="s">
        <v>11900</v>
      </c>
      <c r="L871" s="338">
        <v>807.23931884765625</v>
      </c>
      <c r="M871" s="338" t="s">
        <v>5</v>
      </c>
      <c r="N871" s="338" t="s">
        <v>5</v>
      </c>
      <c r="O871" s="338" t="s">
        <v>6</v>
      </c>
      <c r="P871" s="338" t="s">
        <v>5</v>
      </c>
      <c r="Q871" s="338" t="s">
        <v>5</v>
      </c>
      <c r="R871" s="338" t="s">
        <v>11573</v>
      </c>
      <c r="S871" s="338" t="s">
        <v>11901</v>
      </c>
      <c r="T871" s="338" t="s">
        <v>6</v>
      </c>
      <c r="U871" s="338" t="s">
        <v>28</v>
      </c>
      <c r="V871" s="338">
        <v>50000</v>
      </c>
      <c r="W871" s="338">
        <v>0</v>
      </c>
      <c r="X871" s="338" t="s">
        <v>6</v>
      </c>
      <c r="Y871" s="338"/>
      <c r="Z871" s="338">
        <v>0</v>
      </c>
      <c r="AA871" s="338">
        <v>374.6278076171875</v>
      </c>
      <c r="AB871" s="338">
        <v>557.8006591796875</v>
      </c>
      <c r="AC871" s="338">
        <v>2.348208904266357</v>
      </c>
      <c r="AD871" s="338">
        <v>75816</v>
      </c>
      <c r="AE871" s="338">
        <v>149258</v>
      </c>
      <c r="AF871" s="338">
        <v>61251</v>
      </c>
      <c r="AG871" s="338">
        <v>177730</v>
      </c>
      <c r="AH871" s="338">
        <v>244800</v>
      </c>
      <c r="AI871" s="338">
        <v>244800</v>
      </c>
      <c r="AJ871" s="338">
        <v>459</v>
      </c>
      <c r="AK871" s="338">
        <v>17</v>
      </c>
      <c r="AL871" s="338">
        <v>1840</v>
      </c>
      <c r="AM871" s="338">
        <v>5</v>
      </c>
      <c r="AN871" s="338">
        <v>334.99685668945313</v>
      </c>
      <c r="AO871" s="338"/>
      <c r="AP871" s="338"/>
      <c r="AQ871" s="338"/>
      <c r="AR871" s="338">
        <v>0</v>
      </c>
      <c r="AS871" s="338">
        <v>0</v>
      </c>
      <c r="AT871" s="338">
        <v>0</v>
      </c>
      <c r="AU871" s="338">
        <v>0</v>
      </c>
      <c r="AV871" s="338">
        <v>0</v>
      </c>
      <c r="AW871" s="338">
        <v>0</v>
      </c>
      <c r="AX871" s="338">
        <v>0</v>
      </c>
      <c r="AY871" s="338">
        <v>0</v>
      </c>
      <c r="AZ871" s="338">
        <v>0</v>
      </c>
      <c r="BA871" s="338">
        <v>0</v>
      </c>
      <c r="BB871" s="338">
        <v>0</v>
      </c>
      <c r="BC871" s="338">
        <v>0</v>
      </c>
      <c r="BD871" s="338">
        <v>0</v>
      </c>
      <c r="BE871" s="338">
        <v>0</v>
      </c>
      <c r="BF871" s="338" t="s">
        <v>5</v>
      </c>
      <c r="BG871" s="338" t="s">
        <v>5</v>
      </c>
      <c r="BH871" s="338"/>
      <c r="BI871" s="338"/>
      <c r="BJ871" s="338" t="s">
        <v>5</v>
      </c>
      <c r="BK871" s="338"/>
      <c r="BL871" s="338">
        <v>0</v>
      </c>
      <c r="BM871" s="338">
        <v>0</v>
      </c>
      <c r="BN871" s="338" t="s">
        <v>5</v>
      </c>
      <c r="BO871" s="338"/>
      <c r="BP871" s="338"/>
      <c r="BQ871" s="338"/>
      <c r="BR871" s="338"/>
      <c r="BS871" s="338" t="s">
        <v>5</v>
      </c>
      <c r="BT871" s="338"/>
      <c r="BU871" s="338"/>
      <c r="BV871" s="338"/>
      <c r="BW871" s="338"/>
      <c r="BX871" s="338" t="s">
        <v>6</v>
      </c>
      <c r="BY871" s="338" t="s">
        <v>4232</v>
      </c>
      <c r="BZ871" s="338"/>
      <c r="CA871"/>
      <c r="CB871" s="338" t="s">
        <v>5</v>
      </c>
      <c r="CC871" s="338">
        <v>288949.96145606658</v>
      </c>
      <c r="CD871" s="338">
        <v>4616947534.7312641</v>
      </c>
      <c r="CE871" s="313" t="s">
        <v>11902</v>
      </c>
    </row>
    <row r="872" spans="1:83" ht="15" x14ac:dyDescent="0.25">
      <c r="A872" s="338" t="s">
        <v>11941</v>
      </c>
      <c r="B872" s="338" t="s">
        <v>11942</v>
      </c>
      <c r="C872" s="338" t="s">
        <v>11943</v>
      </c>
      <c r="D872" s="338">
        <v>15</v>
      </c>
      <c r="E872" s="338" t="s">
        <v>3847</v>
      </c>
      <c r="F872" s="338" t="s">
        <v>3864</v>
      </c>
      <c r="G872" s="338" t="s">
        <v>11896</v>
      </c>
      <c r="H872" s="338" t="s">
        <v>11897</v>
      </c>
      <c r="I872" s="338" t="s">
        <v>11898</v>
      </c>
      <c r="J872" s="338" t="s">
        <v>11899</v>
      </c>
      <c r="K872" s="338" t="s">
        <v>4106</v>
      </c>
      <c r="L872" s="338">
        <v>807.23931884765625</v>
      </c>
      <c r="M872" s="338" t="s">
        <v>5</v>
      </c>
      <c r="N872" s="338" t="s">
        <v>5</v>
      </c>
      <c r="O872" s="338" t="s">
        <v>6</v>
      </c>
      <c r="P872" s="338" t="s">
        <v>5</v>
      </c>
      <c r="Q872" s="338" t="s">
        <v>5</v>
      </c>
      <c r="R872" s="338" t="s">
        <v>11573</v>
      </c>
      <c r="S872" s="338" t="s">
        <v>11901</v>
      </c>
      <c r="T872" s="338" t="s">
        <v>6</v>
      </c>
      <c r="U872" s="338" t="s">
        <v>85</v>
      </c>
      <c r="V872" s="338">
        <v>200000</v>
      </c>
      <c r="W872" s="338">
        <v>0</v>
      </c>
      <c r="X872" s="338" t="s">
        <v>6</v>
      </c>
      <c r="Y872" s="338"/>
      <c r="Z872" s="338">
        <v>0</v>
      </c>
      <c r="AA872" s="338">
        <v>374.6278076171875</v>
      </c>
      <c r="AB872" s="338">
        <v>557.8006591796875</v>
      </c>
      <c r="AC872" s="338">
        <v>2.348208904266357</v>
      </c>
      <c r="AD872" s="338">
        <v>75816</v>
      </c>
      <c r="AE872" s="338">
        <v>149258</v>
      </c>
      <c r="AF872" s="338">
        <v>61251</v>
      </c>
      <c r="AG872" s="338">
        <v>177730</v>
      </c>
      <c r="AH872" s="338">
        <v>244800</v>
      </c>
      <c r="AI872" s="338">
        <v>244800</v>
      </c>
      <c r="AJ872" s="338">
        <v>459</v>
      </c>
      <c r="AK872" s="338">
        <v>17</v>
      </c>
      <c r="AL872" s="338">
        <v>1840</v>
      </c>
      <c r="AM872" s="338">
        <v>5</v>
      </c>
      <c r="AN872" s="338">
        <v>334.99685668945313</v>
      </c>
      <c r="AO872" s="338"/>
      <c r="AP872" s="338"/>
      <c r="AQ872" s="338"/>
      <c r="AR872" s="338">
        <v>0</v>
      </c>
      <c r="AS872" s="338">
        <v>0</v>
      </c>
      <c r="AT872" s="338">
        <v>0</v>
      </c>
      <c r="AU872" s="338">
        <v>0</v>
      </c>
      <c r="AV872" s="338">
        <v>0</v>
      </c>
      <c r="AW872" s="338">
        <v>0</v>
      </c>
      <c r="AX872" s="338">
        <v>0</v>
      </c>
      <c r="AY872" s="338">
        <v>0</v>
      </c>
      <c r="AZ872" s="338">
        <v>0</v>
      </c>
      <c r="BA872" s="338">
        <v>0</v>
      </c>
      <c r="BB872" s="338">
        <v>0</v>
      </c>
      <c r="BC872" s="338">
        <v>0</v>
      </c>
      <c r="BD872" s="338">
        <v>0</v>
      </c>
      <c r="BE872" s="338">
        <v>0</v>
      </c>
      <c r="BF872" s="338" t="s">
        <v>5</v>
      </c>
      <c r="BG872" s="338" t="s">
        <v>5</v>
      </c>
      <c r="BH872" s="338"/>
      <c r="BI872" s="338"/>
      <c r="BJ872" s="338" t="s">
        <v>5</v>
      </c>
      <c r="BK872" s="338"/>
      <c r="BL872" s="338">
        <v>0</v>
      </c>
      <c r="BM872" s="338">
        <v>0</v>
      </c>
      <c r="BN872" s="338" t="s">
        <v>5</v>
      </c>
      <c r="BO872" s="338"/>
      <c r="BP872" s="338"/>
      <c r="BQ872" s="338"/>
      <c r="BR872" s="338"/>
      <c r="BS872" s="338" t="s">
        <v>5</v>
      </c>
      <c r="BT872" s="338"/>
      <c r="BU872" s="338"/>
      <c r="BV872" s="338"/>
      <c r="BW872" s="338"/>
      <c r="BX872" s="338" t="s">
        <v>6</v>
      </c>
      <c r="BY872" s="338" t="s">
        <v>4232</v>
      </c>
      <c r="BZ872" s="338"/>
      <c r="CA872"/>
      <c r="CB872" s="338" t="s">
        <v>5</v>
      </c>
      <c r="CC872" s="338">
        <v>288949.96145606658</v>
      </c>
      <c r="CD872" s="338">
        <v>4616947534.7312641</v>
      </c>
      <c r="CE872" s="313" t="s">
        <v>11902</v>
      </c>
    </row>
    <row r="873" spans="1:83" ht="15" x14ac:dyDescent="0.25">
      <c r="A873" s="338" t="s">
        <v>11944</v>
      </c>
      <c r="B873" s="338" t="s">
        <v>11945</v>
      </c>
      <c r="C873" s="338" t="s">
        <v>11946</v>
      </c>
      <c r="D873" s="338">
        <v>15</v>
      </c>
      <c r="E873" s="338" t="s">
        <v>3847</v>
      </c>
      <c r="F873" s="338" t="s">
        <v>3864</v>
      </c>
      <c r="G873" s="338" t="s">
        <v>11896</v>
      </c>
      <c r="H873" s="338" t="s">
        <v>11897</v>
      </c>
      <c r="I873" s="338" t="s">
        <v>11898</v>
      </c>
      <c r="J873" s="338" t="s">
        <v>11899</v>
      </c>
      <c r="K873" s="338" t="s">
        <v>4106</v>
      </c>
      <c r="L873" s="338">
        <v>807.23931884765625</v>
      </c>
      <c r="M873" s="338" t="s">
        <v>5</v>
      </c>
      <c r="N873" s="338" t="s">
        <v>5</v>
      </c>
      <c r="O873" s="338" t="s">
        <v>6</v>
      </c>
      <c r="P873" s="338" t="s">
        <v>5</v>
      </c>
      <c r="Q873" s="338" t="s">
        <v>5</v>
      </c>
      <c r="R873" s="338" t="s">
        <v>11573</v>
      </c>
      <c r="S873" s="338" t="s">
        <v>11901</v>
      </c>
      <c r="T873" s="338" t="s">
        <v>6</v>
      </c>
      <c r="U873" s="338" t="s">
        <v>85</v>
      </c>
      <c r="V873" s="338">
        <v>3000000</v>
      </c>
      <c r="W873" s="338">
        <v>0</v>
      </c>
      <c r="X873" s="338" t="s">
        <v>6</v>
      </c>
      <c r="Y873" s="338"/>
      <c r="Z873" s="338">
        <v>0</v>
      </c>
      <c r="AA873" s="338">
        <v>374.6278076171875</v>
      </c>
      <c r="AB873" s="338">
        <v>557.8006591796875</v>
      </c>
      <c r="AC873" s="338">
        <v>2.348208904266357</v>
      </c>
      <c r="AD873" s="338">
        <v>75816</v>
      </c>
      <c r="AE873" s="338">
        <v>149258</v>
      </c>
      <c r="AF873" s="338">
        <v>61251</v>
      </c>
      <c r="AG873" s="338">
        <v>177730</v>
      </c>
      <c r="AH873" s="338">
        <v>244800</v>
      </c>
      <c r="AI873" s="338">
        <v>244800</v>
      </c>
      <c r="AJ873" s="338">
        <v>459</v>
      </c>
      <c r="AK873" s="338">
        <v>17</v>
      </c>
      <c r="AL873" s="338">
        <v>1840</v>
      </c>
      <c r="AM873" s="338">
        <v>5</v>
      </c>
      <c r="AN873" s="338">
        <v>334.99685668945313</v>
      </c>
      <c r="AO873" s="338"/>
      <c r="AP873" s="338"/>
      <c r="AQ873" s="338"/>
      <c r="AR873" s="338">
        <v>0</v>
      </c>
      <c r="AS873" s="338">
        <v>0</v>
      </c>
      <c r="AT873" s="338">
        <v>0</v>
      </c>
      <c r="AU873" s="338">
        <v>0</v>
      </c>
      <c r="AV873" s="338">
        <v>0</v>
      </c>
      <c r="AW873" s="338">
        <v>0</v>
      </c>
      <c r="AX873" s="338">
        <v>0</v>
      </c>
      <c r="AY873" s="338">
        <v>0</v>
      </c>
      <c r="AZ873" s="338">
        <v>0</v>
      </c>
      <c r="BA873" s="338">
        <v>0</v>
      </c>
      <c r="BB873" s="338">
        <v>0</v>
      </c>
      <c r="BC873" s="338">
        <v>0</v>
      </c>
      <c r="BD873" s="338">
        <v>0</v>
      </c>
      <c r="BE873" s="338">
        <v>0</v>
      </c>
      <c r="BF873" s="338" t="s">
        <v>5</v>
      </c>
      <c r="BG873" s="338" t="s">
        <v>5</v>
      </c>
      <c r="BH873" s="338"/>
      <c r="BI873" s="338"/>
      <c r="BJ873" s="338" t="s">
        <v>5</v>
      </c>
      <c r="BK873" s="338"/>
      <c r="BL873" s="338">
        <v>0</v>
      </c>
      <c r="BM873" s="338">
        <v>0</v>
      </c>
      <c r="BN873" s="338" t="s">
        <v>5</v>
      </c>
      <c r="BO873" s="338"/>
      <c r="BP873" s="338"/>
      <c r="BQ873" s="338"/>
      <c r="BR873" s="338"/>
      <c r="BS873" s="338" t="s">
        <v>5</v>
      </c>
      <c r="BT873" s="338"/>
      <c r="BU873" s="338"/>
      <c r="BV873" s="338"/>
      <c r="BW873" s="338"/>
      <c r="BX873" s="338" t="s">
        <v>6</v>
      </c>
      <c r="BY873" s="338" t="s">
        <v>4232</v>
      </c>
      <c r="BZ873" s="338"/>
      <c r="CA873"/>
      <c r="CB873" s="338" t="s">
        <v>5</v>
      </c>
      <c r="CC873" s="338">
        <v>288949.96145606658</v>
      </c>
      <c r="CD873" s="338">
        <v>4616947534.7312641</v>
      </c>
      <c r="CE873" s="313" t="s">
        <v>11902</v>
      </c>
    </row>
    <row r="874" spans="1:83" ht="15" x14ac:dyDescent="0.25">
      <c r="A874" s="338" t="s">
        <v>12091</v>
      </c>
      <c r="B874" s="338" t="s">
        <v>12092</v>
      </c>
      <c r="C874" s="338" t="s">
        <v>12093</v>
      </c>
      <c r="D874" s="338">
        <v>5</v>
      </c>
      <c r="E874" s="338" t="s">
        <v>2598</v>
      </c>
      <c r="F874" s="338" t="s">
        <v>2606</v>
      </c>
      <c r="G874" s="338" t="s">
        <v>12094</v>
      </c>
      <c r="H874" s="338" t="s">
        <v>12095</v>
      </c>
      <c r="I874" s="338" t="s">
        <v>12096</v>
      </c>
      <c r="J874" s="338" t="s">
        <v>12097</v>
      </c>
      <c r="K874" s="338" t="s">
        <v>2607</v>
      </c>
      <c r="L874" s="338">
        <v>111.9383163452148</v>
      </c>
      <c r="M874" s="338" t="s">
        <v>6</v>
      </c>
      <c r="N874" s="338" t="s">
        <v>6</v>
      </c>
      <c r="O874" s="338" t="s">
        <v>5</v>
      </c>
      <c r="P874" s="338" t="s">
        <v>5</v>
      </c>
      <c r="Q874" s="338" t="s">
        <v>6</v>
      </c>
      <c r="R874" s="338" t="s">
        <v>7064</v>
      </c>
      <c r="S874" s="338" t="s">
        <v>7064</v>
      </c>
      <c r="T874" s="338" t="s">
        <v>6</v>
      </c>
      <c r="U874" s="338" t="s">
        <v>50</v>
      </c>
      <c r="V874" s="338">
        <v>50000</v>
      </c>
      <c r="W874" s="338">
        <v>0</v>
      </c>
      <c r="X874" s="338" t="s">
        <v>6</v>
      </c>
      <c r="Y874" s="338"/>
      <c r="Z874" s="338"/>
      <c r="AA874" s="338">
        <v>36.654869079589837</v>
      </c>
      <c r="AB874" s="338">
        <v>45.183612823486328</v>
      </c>
      <c r="AC874" s="338">
        <v>10.60597038269043</v>
      </c>
      <c r="AD874" s="338">
        <v>4705</v>
      </c>
      <c r="AE874" s="338">
        <v>27530</v>
      </c>
      <c r="AF874" s="338">
        <v>3668</v>
      </c>
      <c r="AG874" s="338">
        <v>9049</v>
      </c>
      <c r="AH874" s="338">
        <v>12671</v>
      </c>
      <c r="AI874" s="338">
        <v>17575</v>
      </c>
      <c r="AJ874" s="338">
        <v>82</v>
      </c>
      <c r="AK874" s="338">
        <v>3</v>
      </c>
      <c r="AL874" s="338">
        <v>95</v>
      </c>
      <c r="AM874" s="338">
        <v>3</v>
      </c>
      <c r="AN874" s="338">
        <v>875.97601318359375</v>
      </c>
      <c r="AO874" s="338"/>
      <c r="AP874" s="338"/>
      <c r="AQ874" s="338"/>
      <c r="AR874" s="338">
        <v>0</v>
      </c>
      <c r="AS874" s="338">
        <v>0</v>
      </c>
      <c r="AT874" s="338">
        <v>0</v>
      </c>
      <c r="AU874" s="338">
        <v>0</v>
      </c>
      <c r="AV874" s="338">
        <v>0</v>
      </c>
      <c r="AW874" s="338">
        <v>0</v>
      </c>
      <c r="AX874" s="338">
        <v>0</v>
      </c>
      <c r="AY874" s="338">
        <v>0</v>
      </c>
      <c r="AZ874" s="338">
        <v>0</v>
      </c>
      <c r="BA874" s="338">
        <v>0</v>
      </c>
      <c r="BB874" s="338"/>
      <c r="BC874" s="338"/>
      <c r="BD874" s="338"/>
      <c r="BE874" s="338">
        <v>0</v>
      </c>
      <c r="BF874" s="338" t="s">
        <v>2516</v>
      </c>
      <c r="BG874" s="338" t="s">
        <v>5</v>
      </c>
      <c r="BH874" s="338" t="s">
        <v>1020</v>
      </c>
      <c r="BI874" s="338"/>
      <c r="BJ874" s="338" t="s">
        <v>5</v>
      </c>
      <c r="BK874" s="338"/>
      <c r="BL874" s="338">
        <v>0</v>
      </c>
      <c r="BM874" s="338"/>
      <c r="BN874" s="338" t="s">
        <v>6</v>
      </c>
      <c r="BO874" s="338" t="s">
        <v>2518</v>
      </c>
      <c r="BP874" s="338" t="s">
        <v>2518</v>
      </c>
      <c r="BQ874" s="338" t="s">
        <v>2518</v>
      </c>
      <c r="BR874" s="338"/>
      <c r="BS874" s="338" t="s">
        <v>6</v>
      </c>
      <c r="BT874" s="338" t="s">
        <v>2518</v>
      </c>
      <c r="BU874" s="338" t="s">
        <v>2518</v>
      </c>
      <c r="BV874" s="338" t="s">
        <v>2518</v>
      </c>
      <c r="BW874" s="338"/>
      <c r="BX874" s="338" t="s">
        <v>6</v>
      </c>
      <c r="BY874" s="338" t="s">
        <v>2605</v>
      </c>
      <c r="BZ874" s="338" t="s">
        <v>2518</v>
      </c>
      <c r="CA874"/>
      <c r="CB874" s="338" t="s">
        <v>5</v>
      </c>
      <c r="CC874" s="338">
        <v>111438.5092805106</v>
      </c>
      <c r="CD874" s="338">
        <v>289918904.1431908</v>
      </c>
      <c r="CE874" s="313" t="s">
        <v>11891</v>
      </c>
    </row>
    <row r="875" spans="1:83" ht="15" x14ac:dyDescent="0.25">
      <c r="A875" s="338" t="s">
        <v>12098</v>
      </c>
      <c r="B875" s="338" t="s">
        <v>12099</v>
      </c>
      <c r="C875" s="338" t="s">
        <v>12100</v>
      </c>
      <c r="D875" s="338">
        <v>5</v>
      </c>
      <c r="E875" s="338" t="s">
        <v>2598</v>
      </c>
      <c r="F875" s="338" t="s">
        <v>2608</v>
      </c>
      <c r="G875" s="338" t="s">
        <v>2599</v>
      </c>
      <c r="H875" s="338" t="s">
        <v>2609</v>
      </c>
      <c r="I875" s="338" t="s">
        <v>2610</v>
      </c>
      <c r="J875" s="338" t="s">
        <v>2611</v>
      </c>
      <c r="K875" s="338" t="s">
        <v>12101</v>
      </c>
      <c r="L875" s="338">
        <v>2.934918880462646</v>
      </c>
      <c r="M875" s="338" t="s">
        <v>6</v>
      </c>
      <c r="N875" s="338" t="s">
        <v>5</v>
      </c>
      <c r="O875" s="338" t="s">
        <v>6</v>
      </c>
      <c r="P875" s="338" t="s">
        <v>5</v>
      </c>
      <c r="Q875" s="338" t="s">
        <v>5</v>
      </c>
      <c r="R875" s="338" t="s">
        <v>2612</v>
      </c>
      <c r="S875" s="338" t="s">
        <v>2612</v>
      </c>
      <c r="T875" s="338" t="s">
        <v>6</v>
      </c>
      <c r="U875" s="338" t="s">
        <v>50</v>
      </c>
      <c r="V875" s="338">
        <v>10000</v>
      </c>
      <c r="W875" s="338">
        <v>0</v>
      </c>
      <c r="X875" s="338" t="s">
        <v>6</v>
      </c>
      <c r="Y875" s="338"/>
      <c r="Z875" s="338"/>
      <c r="AA875" s="338">
        <v>0.61059534549713135</v>
      </c>
      <c r="AB875" s="338">
        <v>3.2617159187793732E-2</v>
      </c>
      <c r="AC875" s="338">
        <v>0.1324794143438339</v>
      </c>
      <c r="AD875" s="338">
        <v>1</v>
      </c>
      <c r="AE875" s="338">
        <v>2</v>
      </c>
      <c r="AF875" s="338">
        <v>0</v>
      </c>
      <c r="AG875" s="338">
        <v>0</v>
      </c>
      <c r="AH875" s="338">
        <v>0</v>
      </c>
      <c r="AI875" s="338">
        <v>0</v>
      </c>
      <c r="AJ875" s="338">
        <v>0</v>
      </c>
      <c r="AK875" s="338">
        <v>0</v>
      </c>
      <c r="AL875" s="338">
        <v>0</v>
      </c>
      <c r="AM875" s="338">
        <v>0</v>
      </c>
      <c r="AN875" s="338">
        <v>1.055945992469788</v>
      </c>
      <c r="AO875" s="338"/>
      <c r="AP875" s="338"/>
      <c r="AQ875" s="338"/>
      <c r="AR875" s="338">
        <v>0</v>
      </c>
      <c r="AS875" s="338">
        <v>0</v>
      </c>
      <c r="AT875" s="338">
        <v>0</v>
      </c>
      <c r="AU875" s="338">
        <v>0</v>
      </c>
      <c r="AV875" s="338">
        <v>0</v>
      </c>
      <c r="AW875" s="338">
        <v>0</v>
      </c>
      <c r="AX875" s="338">
        <v>0</v>
      </c>
      <c r="AY875" s="338">
        <v>0</v>
      </c>
      <c r="AZ875" s="338">
        <v>0</v>
      </c>
      <c r="BA875" s="338">
        <v>0</v>
      </c>
      <c r="BB875" s="338"/>
      <c r="BC875" s="338"/>
      <c r="BD875" s="338"/>
      <c r="BE875" s="338">
        <v>0</v>
      </c>
      <c r="BF875" s="338" t="s">
        <v>2516</v>
      </c>
      <c r="BG875" s="338" t="s">
        <v>5</v>
      </c>
      <c r="BH875" s="338" t="s">
        <v>1020</v>
      </c>
      <c r="BI875" s="338"/>
      <c r="BJ875" s="338" t="s">
        <v>5</v>
      </c>
      <c r="BK875" s="338"/>
      <c r="BL875" s="338">
        <v>0</v>
      </c>
      <c r="BM875" s="338"/>
      <c r="BN875" s="338" t="s">
        <v>6</v>
      </c>
      <c r="BO875" s="338" t="s">
        <v>2518</v>
      </c>
      <c r="BP875" s="338" t="s">
        <v>2518</v>
      </c>
      <c r="BQ875" s="338" t="s">
        <v>2518</v>
      </c>
      <c r="BR875" s="338"/>
      <c r="BS875" s="338" t="s">
        <v>6</v>
      </c>
      <c r="BT875" s="338" t="s">
        <v>2518</v>
      </c>
      <c r="BU875" s="338" t="s">
        <v>2518</v>
      </c>
      <c r="BV875" s="338" t="s">
        <v>2518</v>
      </c>
      <c r="BW875" s="338"/>
      <c r="BX875" s="338" t="s">
        <v>6</v>
      </c>
      <c r="BY875" s="338" t="s">
        <v>2605</v>
      </c>
      <c r="BZ875" s="338" t="s">
        <v>2518</v>
      </c>
      <c r="CA875"/>
      <c r="CB875" s="338" t="s">
        <v>5</v>
      </c>
      <c r="CC875" s="338">
        <v>26132.266751598068</v>
      </c>
      <c r="CD875" s="338">
        <v>7601405.1609179284</v>
      </c>
      <c r="CE875" s="313" t="s">
        <v>11891</v>
      </c>
    </row>
    <row r="876" spans="1:83" ht="15" x14ac:dyDescent="0.25">
      <c r="A876" s="338" t="s">
        <v>12102</v>
      </c>
      <c r="B876" s="338" t="s">
        <v>12103</v>
      </c>
      <c r="C876" s="338" t="s">
        <v>12104</v>
      </c>
      <c r="D876" s="338">
        <v>5</v>
      </c>
      <c r="E876" s="338" t="s">
        <v>2598</v>
      </c>
      <c r="F876" s="338" t="s">
        <v>2613</v>
      </c>
      <c r="G876" s="338" t="s">
        <v>2614</v>
      </c>
      <c r="H876" s="338" t="s">
        <v>2615</v>
      </c>
      <c r="I876" s="338" t="s">
        <v>12105</v>
      </c>
      <c r="J876" s="338" t="s">
        <v>12106</v>
      </c>
      <c r="K876" s="338" t="s">
        <v>2607</v>
      </c>
      <c r="L876" s="338">
        <v>5.0120892524719238</v>
      </c>
      <c r="M876" s="338" t="s">
        <v>6</v>
      </c>
      <c r="N876" s="338" t="s">
        <v>5</v>
      </c>
      <c r="O876" s="338" t="s">
        <v>6</v>
      </c>
      <c r="P876" s="338" t="s">
        <v>5</v>
      </c>
      <c r="Q876" s="338" t="s">
        <v>5</v>
      </c>
      <c r="R876" s="338" t="s">
        <v>7162</v>
      </c>
      <c r="S876" s="338" t="s">
        <v>7162</v>
      </c>
      <c r="T876" s="338" t="s">
        <v>6</v>
      </c>
      <c r="U876" s="338" t="s">
        <v>50</v>
      </c>
      <c r="V876" s="338">
        <v>10000</v>
      </c>
      <c r="W876" s="338">
        <v>0</v>
      </c>
      <c r="X876" s="338" t="s">
        <v>6</v>
      </c>
      <c r="Y876" s="338"/>
      <c r="Z876" s="338"/>
      <c r="AA876" s="338">
        <v>0.97570294141769409</v>
      </c>
      <c r="AB876" s="338">
        <v>6.7129701375961304E-2</v>
      </c>
      <c r="AC876" s="338">
        <v>0.18705269694328311</v>
      </c>
      <c r="AD876" s="338">
        <v>118</v>
      </c>
      <c r="AE876" s="338">
        <v>19</v>
      </c>
      <c r="AF876" s="338">
        <v>49</v>
      </c>
      <c r="AG876" s="338">
        <v>517</v>
      </c>
      <c r="AH876" s="338">
        <v>129</v>
      </c>
      <c r="AI876" s="338">
        <v>610</v>
      </c>
      <c r="AJ876" s="338">
        <v>6</v>
      </c>
      <c r="AK876" s="338">
        <v>0</v>
      </c>
      <c r="AL876" s="338">
        <v>4</v>
      </c>
      <c r="AM876" s="338">
        <v>0</v>
      </c>
      <c r="AN876" s="338">
        <v>1.0826201438903811</v>
      </c>
      <c r="AO876" s="338"/>
      <c r="AP876" s="338"/>
      <c r="AQ876" s="338"/>
      <c r="AR876" s="338">
        <v>0</v>
      </c>
      <c r="AS876" s="338">
        <v>0</v>
      </c>
      <c r="AT876" s="338">
        <v>0</v>
      </c>
      <c r="AU876" s="338">
        <v>0</v>
      </c>
      <c r="AV876" s="338">
        <v>0</v>
      </c>
      <c r="AW876" s="338">
        <v>0</v>
      </c>
      <c r="AX876" s="338">
        <v>0</v>
      </c>
      <c r="AY876" s="338">
        <v>0</v>
      </c>
      <c r="AZ876" s="338">
        <v>0</v>
      </c>
      <c r="BA876" s="338">
        <v>0</v>
      </c>
      <c r="BB876" s="338"/>
      <c r="BC876" s="338"/>
      <c r="BD876" s="338"/>
      <c r="BE876" s="338">
        <v>0</v>
      </c>
      <c r="BF876" s="338" t="s">
        <v>2516</v>
      </c>
      <c r="BG876" s="338" t="s">
        <v>5</v>
      </c>
      <c r="BH876" s="338" t="s">
        <v>1020</v>
      </c>
      <c r="BI876" s="338"/>
      <c r="BJ876" s="338" t="s">
        <v>5</v>
      </c>
      <c r="BK876" s="338"/>
      <c r="BL876" s="338">
        <v>0</v>
      </c>
      <c r="BM876" s="338"/>
      <c r="BN876" s="338" t="s">
        <v>5</v>
      </c>
      <c r="BO876" s="338" t="s">
        <v>2518</v>
      </c>
      <c r="BP876" s="338" t="s">
        <v>2518</v>
      </c>
      <c r="BQ876" s="338" t="s">
        <v>2518</v>
      </c>
      <c r="BR876" s="338"/>
      <c r="BS876" s="338" t="s">
        <v>6</v>
      </c>
      <c r="BT876" s="338" t="s">
        <v>2518</v>
      </c>
      <c r="BU876" s="338" t="s">
        <v>2518</v>
      </c>
      <c r="BV876" s="338" t="s">
        <v>2518</v>
      </c>
      <c r="BW876" s="338"/>
      <c r="BX876" s="338" t="s">
        <v>6</v>
      </c>
      <c r="BY876" s="338" t="s">
        <v>2605</v>
      </c>
      <c r="BZ876" s="338" t="s">
        <v>2518</v>
      </c>
      <c r="CA876"/>
      <c r="CB876" s="338" t="s">
        <v>5</v>
      </c>
      <c r="CC876" s="338">
        <v>30444.241060071661</v>
      </c>
      <c r="CD876" s="338">
        <v>12981251.24294826</v>
      </c>
      <c r="CE876" s="313" t="s">
        <v>11891</v>
      </c>
    </row>
    <row r="877" spans="1:83" ht="15" x14ac:dyDescent="0.25">
      <c r="A877" s="338" t="s">
        <v>12107</v>
      </c>
      <c r="B877" s="338" t="s">
        <v>12108</v>
      </c>
      <c r="C877" s="338" t="s">
        <v>12109</v>
      </c>
      <c r="D877" s="338">
        <v>5</v>
      </c>
      <c r="E877" s="338" t="s">
        <v>2598</v>
      </c>
      <c r="F877" s="338" t="s">
        <v>2608</v>
      </c>
      <c r="G877" s="338" t="s">
        <v>2599</v>
      </c>
      <c r="H877" s="338" t="s">
        <v>12110</v>
      </c>
      <c r="I877" s="338" t="s">
        <v>12111</v>
      </c>
      <c r="J877" s="338" t="s">
        <v>12112</v>
      </c>
      <c r="K877" s="338" t="s">
        <v>12113</v>
      </c>
      <c r="L877" s="338">
        <v>4.5848512649536133</v>
      </c>
      <c r="M877" s="338" t="s">
        <v>6</v>
      </c>
      <c r="N877" s="338" t="s">
        <v>5</v>
      </c>
      <c r="O877" s="338" t="s">
        <v>6</v>
      </c>
      <c r="P877" s="338" t="s">
        <v>5</v>
      </c>
      <c r="Q877" s="338" t="s">
        <v>5</v>
      </c>
      <c r="R877" s="338" t="s">
        <v>7172</v>
      </c>
      <c r="S877" s="338" t="s">
        <v>7172</v>
      </c>
      <c r="T877" s="338" t="s">
        <v>6</v>
      </c>
      <c r="U877" s="338" t="s">
        <v>50</v>
      </c>
      <c r="V877" s="338">
        <v>5000</v>
      </c>
      <c r="W877" s="338">
        <v>0</v>
      </c>
      <c r="X877" s="338" t="s">
        <v>6</v>
      </c>
      <c r="Y877" s="338"/>
      <c r="Z877" s="338"/>
      <c r="AA877" s="338">
        <v>0.83591091632843018</v>
      </c>
      <c r="AB877" s="338">
        <v>5.6112900376319892E-2</v>
      </c>
      <c r="AC877" s="338">
        <v>0.26684904098510742</v>
      </c>
      <c r="AD877" s="338">
        <v>2</v>
      </c>
      <c r="AE877" s="338">
        <v>0</v>
      </c>
      <c r="AF877" s="338">
        <v>2</v>
      </c>
      <c r="AG877" s="338">
        <v>0</v>
      </c>
      <c r="AH877" s="338">
        <v>0</v>
      </c>
      <c r="AI877" s="338">
        <v>0</v>
      </c>
      <c r="AJ877" s="338">
        <v>0</v>
      </c>
      <c r="AK877" s="338">
        <v>0</v>
      </c>
      <c r="AL877" s="338">
        <v>1</v>
      </c>
      <c r="AM877" s="338">
        <v>0</v>
      </c>
      <c r="AN877" s="338">
        <v>59.758132934570313</v>
      </c>
      <c r="AO877" s="338"/>
      <c r="AP877" s="338"/>
      <c r="AQ877" s="338"/>
      <c r="AR877" s="338">
        <v>0</v>
      </c>
      <c r="AS877" s="338">
        <v>0</v>
      </c>
      <c r="AT877" s="338">
        <v>0</v>
      </c>
      <c r="AU877" s="338">
        <v>0</v>
      </c>
      <c r="AV877" s="338">
        <v>0</v>
      </c>
      <c r="AW877" s="338">
        <v>0</v>
      </c>
      <c r="AX877" s="338">
        <v>0</v>
      </c>
      <c r="AY877" s="338">
        <v>0</v>
      </c>
      <c r="AZ877" s="338">
        <v>0</v>
      </c>
      <c r="BA877" s="338">
        <v>0</v>
      </c>
      <c r="BB877" s="338"/>
      <c r="BC877" s="338"/>
      <c r="BD877" s="338"/>
      <c r="BE877" s="338">
        <v>0</v>
      </c>
      <c r="BF877" s="338" t="s">
        <v>2516</v>
      </c>
      <c r="BG877" s="338" t="s">
        <v>5</v>
      </c>
      <c r="BH877" s="338" t="s">
        <v>1020</v>
      </c>
      <c r="BI877" s="338"/>
      <c r="BJ877" s="338" t="s">
        <v>5</v>
      </c>
      <c r="BK877" s="338"/>
      <c r="BL877" s="338">
        <v>0</v>
      </c>
      <c r="BM877" s="338"/>
      <c r="BN877" s="338" t="s">
        <v>6</v>
      </c>
      <c r="BO877" s="338" t="s">
        <v>2518</v>
      </c>
      <c r="BP877" s="338" t="s">
        <v>2518</v>
      </c>
      <c r="BQ877" s="338" t="s">
        <v>2518</v>
      </c>
      <c r="BR877" s="338"/>
      <c r="BS877" s="338" t="s">
        <v>6</v>
      </c>
      <c r="BT877" s="338" t="s">
        <v>2518</v>
      </c>
      <c r="BU877" s="338" t="s">
        <v>2518</v>
      </c>
      <c r="BV877" s="338" t="s">
        <v>2518</v>
      </c>
      <c r="BW877" s="338"/>
      <c r="BX877" s="338" t="s">
        <v>6</v>
      </c>
      <c r="BY877" s="338" t="s">
        <v>2605</v>
      </c>
      <c r="BZ877" s="338" t="s">
        <v>2518</v>
      </c>
      <c r="CA877"/>
      <c r="CB877" s="338" t="s">
        <v>5</v>
      </c>
      <c r="CC877" s="338">
        <v>22464.52304499373</v>
      </c>
      <c r="CD877" s="338">
        <v>11874710.87914004</v>
      </c>
      <c r="CE877" s="313" t="s">
        <v>11891</v>
      </c>
    </row>
    <row r="878" spans="1:83" ht="15" x14ac:dyDescent="0.25">
      <c r="A878" s="338" t="s">
        <v>12114</v>
      </c>
      <c r="B878" s="338" t="s">
        <v>12115</v>
      </c>
      <c r="C878" s="338" t="s">
        <v>12116</v>
      </c>
      <c r="D878" s="338">
        <v>5</v>
      </c>
      <c r="E878" s="338" t="s">
        <v>2598</v>
      </c>
      <c r="F878" s="338" t="s">
        <v>81</v>
      </c>
      <c r="G878" s="338" t="s">
        <v>2616</v>
      </c>
      <c r="H878" s="338" t="s">
        <v>2617</v>
      </c>
      <c r="I878" s="338" t="s">
        <v>2618</v>
      </c>
      <c r="J878" s="338" t="s">
        <v>2619</v>
      </c>
      <c r="K878" s="338" t="s">
        <v>2620</v>
      </c>
      <c r="L878" s="338">
        <v>1.475543856620789</v>
      </c>
      <c r="M878" s="338" t="s">
        <v>6</v>
      </c>
      <c r="N878" s="338" t="s">
        <v>5</v>
      </c>
      <c r="O878" s="338" t="s">
        <v>5</v>
      </c>
      <c r="P878" s="338" t="s">
        <v>5</v>
      </c>
      <c r="Q878" s="338" t="s">
        <v>6</v>
      </c>
      <c r="R878" s="338" t="s">
        <v>2621</v>
      </c>
      <c r="S878" s="338" t="s">
        <v>2621</v>
      </c>
      <c r="T878" s="338" t="s">
        <v>6</v>
      </c>
      <c r="U878" s="338" t="s">
        <v>50</v>
      </c>
      <c r="V878" s="338">
        <v>5000</v>
      </c>
      <c r="W878" s="338">
        <v>0</v>
      </c>
      <c r="X878" s="338" t="s">
        <v>6</v>
      </c>
      <c r="Y878" s="338"/>
      <c r="Z878" s="338"/>
      <c r="AA878" s="338">
        <v>0.16025398671627039</v>
      </c>
      <c r="AB878" s="338">
        <v>1.214464008808136E-2</v>
      </c>
      <c r="AC878" s="338">
        <v>5.6243568658828742E-2</v>
      </c>
      <c r="AD878" s="338">
        <v>0</v>
      </c>
      <c r="AE878" s="338">
        <v>0</v>
      </c>
      <c r="AF878" s="338">
        <v>0</v>
      </c>
      <c r="AG878" s="338">
        <v>0</v>
      </c>
      <c r="AH878" s="338">
        <v>0</v>
      </c>
      <c r="AI878" s="338">
        <v>0</v>
      </c>
      <c r="AJ878" s="338">
        <v>0</v>
      </c>
      <c r="AK878" s="338">
        <v>0</v>
      </c>
      <c r="AL878" s="338">
        <v>0</v>
      </c>
      <c r="AM878" s="338">
        <v>0</v>
      </c>
      <c r="AN878" s="338">
        <v>0.42639347910881042</v>
      </c>
      <c r="AO878" s="338"/>
      <c r="AP878" s="338"/>
      <c r="AQ878" s="338"/>
      <c r="AR878" s="338">
        <v>0</v>
      </c>
      <c r="AS878" s="338">
        <v>0</v>
      </c>
      <c r="AT878" s="338">
        <v>0</v>
      </c>
      <c r="AU878" s="338">
        <v>0</v>
      </c>
      <c r="AV878" s="338">
        <v>0</v>
      </c>
      <c r="AW878" s="338">
        <v>0</v>
      </c>
      <c r="AX878" s="338">
        <v>0</v>
      </c>
      <c r="AY878" s="338">
        <v>0</v>
      </c>
      <c r="AZ878" s="338">
        <v>0</v>
      </c>
      <c r="BA878" s="338">
        <v>0</v>
      </c>
      <c r="BB878" s="338"/>
      <c r="BC878" s="338"/>
      <c r="BD878" s="338"/>
      <c r="BE878" s="338">
        <v>0</v>
      </c>
      <c r="BF878" s="338" t="s">
        <v>2516</v>
      </c>
      <c r="BG878" s="338" t="s">
        <v>5</v>
      </c>
      <c r="BH878" s="338" t="s">
        <v>1020</v>
      </c>
      <c r="BI878" s="338"/>
      <c r="BJ878" s="338" t="s">
        <v>5</v>
      </c>
      <c r="BK878" s="338"/>
      <c r="BL878" s="338">
        <v>0</v>
      </c>
      <c r="BM878" s="338"/>
      <c r="BN878" s="338" t="s">
        <v>6</v>
      </c>
      <c r="BO878" s="338" t="s">
        <v>2518</v>
      </c>
      <c r="BP878" s="338" t="s">
        <v>2518</v>
      </c>
      <c r="BQ878" s="338" t="s">
        <v>2518</v>
      </c>
      <c r="BR878" s="338"/>
      <c r="BS878" s="338" t="s">
        <v>6</v>
      </c>
      <c r="BT878" s="338" t="s">
        <v>2518</v>
      </c>
      <c r="BU878" s="338" t="s">
        <v>2518</v>
      </c>
      <c r="BV878" s="338" t="s">
        <v>2518</v>
      </c>
      <c r="BW878" s="338"/>
      <c r="BX878" s="338" t="s">
        <v>6</v>
      </c>
      <c r="BY878" s="338" t="s">
        <v>2605</v>
      </c>
      <c r="BZ878" s="338" t="s">
        <v>2518</v>
      </c>
      <c r="CA878"/>
      <c r="CB878" s="338" t="s">
        <v>5</v>
      </c>
      <c r="CC878" s="338">
        <v>9573.6399279461621</v>
      </c>
      <c r="CD878" s="338">
        <v>3821641.0535767069</v>
      </c>
      <c r="CE878" s="313" t="s">
        <v>11891</v>
      </c>
    </row>
    <row r="879" spans="1:83" ht="15" x14ac:dyDescent="0.25">
      <c r="A879" s="338" t="s">
        <v>12117</v>
      </c>
      <c r="B879" s="338" t="s">
        <v>12118</v>
      </c>
      <c r="C879" s="338" t="s">
        <v>12119</v>
      </c>
      <c r="D879" s="338">
        <v>5</v>
      </c>
      <c r="E879" s="338" t="s">
        <v>2598</v>
      </c>
      <c r="F879" s="338" t="s">
        <v>81</v>
      </c>
      <c r="G879" s="338" t="s">
        <v>2616</v>
      </c>
      <c r="H879" s="338" t="s">
        <v>2617</v>
      </c>
      <c r="I879" s="338" t="s">
        <v>2618</v>
      </c>
      <c r="J879" s="338" t="s">
        <v>2619</v>
      </c>
      <c r="K879" s="338" t="s">
        <v>2620</v>
      </c>
      <c r="L879" s="338">
        <v>1.475543856620789</v>
      </c>
      <c r="M879" s="338" t="s">
        <v>6</v>
      </c>
      <c r="N879" s="338" t="s">
        <v>5</v>
      </c>
      <c r="O879" s="338" t="s">
        <v>5</v>
      </c>
      <c r="P879" s="338" t="s">
        <v>5</v>
      </c>
      <c r="Q879" s="338" t="s">
        <v>6</v>
      </c>
      <c r="R879" s="338" t="s">
        <v>2621</v>
      </c>
      <c r="S879" s="338" t="s">
        <v>2621</v>
      </c>
      <c r="T879" s="338" t="s">
        <v>6</v>
      </c>
      <c r="U879" s="338" t="s">
        <v>50</v>
      </c>
      <c r="V879" s="338">
        <v>10000</v>
      </c>
      <c r="W879" s="338">
        <v>0</v>
      </c>
      <c r="X879" s="338" t="s">
        <v>6</v>
      </c>
      <c r="Y879" s="338"/>
      <c r="Z879" s="338"/>
      <c r="AA879" s="338">
        <v>0.16025398671627039</v>
      </c>
      <c r="AB879" s="338">
        <v>1.214464008808136E-2</v>
      </c>
      <c r="AC879" s="338">
        <v>5.6243568658828742E-2</v>
      </c>
      <c r="AD879" s="338">
        <v>0</v>
      </c>
      <c r="AE879" s="338">
        <v>0</v>
      </c>
      <c r="AF879" s="338">
        <v>0</v>
      </c>
      <c r="AG879" s="338">
        <v>0</v>
      </c>
      <c r="AH879" s="338">
        <v>0</v>
      </c>
      <c r="AI879" s="338">
        <v>0</v>
      </c>
      <c r="AJ879" s="338">
        <v>0</v>
      </c>
      <c r="AK879" s="338">
        <v>0</v>
      </c>
      <c r="AL879" s="338">
        <v>0</v>
      </c>
      <c r="AM879" s="338">
        <v>0</v>
      </c>
      <c r="AN879" s="338">
        <v>0.42639347910881042</v>
      </c>
      <c r="AO879" s="338"/>
      <c r="AP879" s="338"/>
      <c r="AQ879" s="338"/>
      <c r="AR879" s="338">
        <v>0</v>
      </c>
      <c r="AS879" s="338">
        <v>0</v>
      </c>
      <c r="AT879" s="338">
        <v>0</v>
      </c>
      <c r="AU879" s="338">
        <v>0</v>
      </c>
      <c r="AV879" s="338">
        <v>0</v>
      </c>
      <c r="AW879" s="338">
        <v>0</v>
      </c>
      <c r="AX879" s="338">
        <v>0</v>
      </c>
      <c r="AY879" s="338">
        <v>0</v>
      </c>
      <c r="AZ879" s="338">
        <v>0</v>
      </c>
      <c r="BA879" s="338">
        <v>0</v>
      </c>
      <c r="BB879" s="338"/>
      <c r="BC879" s="338"/>
      <c r="BD879" s="338"/>
      <c r="BE879" s="338">
        <v>0</v>
      </c>
      <c r="BF879" s="338" t="s">
        <v>2516</v>
      </c>
      <c r="BG879" s="338" t="s">
        <v>5</v>
      </c>
      <c r="BH879" s="338" t="s">
        <v>1020</v>
      </c>
      <c r="BI879" s="338"/>
      <c r="BJ879" s="338" t="s">
        <v>5</v>
      </c>
      <c r="BK879" s="338"/>
      <c r="BL879" s="338">
        <v>0</v>
      </c>
      <c r="BM879" s="338"/>
      <c r="BN879" s="338" t="s">
        <v>6</v>
      </c>
      <c r="BO879" s="338" t="s">
        <v>2518</v>
      </c>
      <c r="BP879" s="338" t="s">
        <v>2518</v>
      </c>
      <c r="BQ879" s="338" t="s">
        <v>2518</v>
      </c>
      <c r="BR879" s="338"/>
      <c r="BS879" s="338" t="s">
        <v>6</v>
      </c>
      <c r="BT879" s="338" t="s">
        <v>2518</v>
      </c>
      <c r="BU879" s="338" t="s">
        <v>2518</v>
      </c>
      <c r="BV879" s="338" t="s">
        <v>2518</v>
      </c>
      <c r="BW879" s="338"/>
      <c r="BX879" s="338" t="s">
        <v>6</v>
      </c>
      <c r="BY879" s="338" t="s">
        <v>2605</v>
      </c>
      <c r="BZ879" s="338" t="s">
        <v>2518</v>
      </c>
      <c r="CA879"/>
      <c r="CB879" s="338" t="s">
        <v>5</v>
      </c>
      <c r="CC879" s="338">
        <v>9573.6399279461621</v>
      </c>
      <c r="CD879" s="338">
        <v>3821641.0535767069</v>
      </c>
      <c r="CE879" s="313" t="s">
        <v>11891</v>
      </c>
    </row>
    <row r="880" spans="1:83" ht="15" x14ac:dyDescent="0.25">
      <c r="A880" s="338" t="s">
        <v>12120</v>
      </c>
      <c r="B880" s="338" t="s">
        <v>12121</v>
      </c>
      <c r="C880" s="338" t="s">
        <v>12122</v>
      </c>
      <c r="D880" s="338">
        <v>5</v>
      </c>
      <c r="E880" s="338" t="s">
        <v>2598</v>
      </c>
      <c r="F880" s="338" t="s">
        <v>2559</v>
      </c>
      <c r="G880" s="338" t="s">
        <v>12123</v>
      </c>
      <c r="H880" s="338" t="s">
        <v>2622</v>
      </c>
      <c r="I880" s="338" t="s">
        <v>12124</v>
      </c>
      <c r="J880" s="338" t="s">
        <v>2623</v>
      </c>
      <c r="K880" s="338" t="s">
        <v>2620</v>
      </c>
      <c r="L880" s="338">
        <v>155.72517395019531</v>
      </c>
      <c r="M880" s="338" t="s">
        <v>6</v>
      </c>
      <c r="N880" s="338" t="s">
        <v>6</v>
      </c>
      <c r="O880" s="338" t="s">
        <v>5</v>
      </c>
      <c r="P880" s="338" t="s">
        <v>5</v>
      </c>
      <c r="Q880" s="338" t="s">
        <v>6</v>
      </c>
      <c r="R880" s="338" t="s">
        <v>2567</v>
      </c>
      <c r="S880" s="338" t="s">
        <v>2567</v>
      </c>
      <c r="T880" s="338" t="s">
        <v>6</v>
      </c>
      <c r="U880" s="338" t="s">
        <v>50</v>
      </c>
      <c r="V880" s="338">
        <v>20000</v>
      </c>
      <c r="W880" s="338">
        <v>0</v>
      </c>
      <c r="X880" s="338" t="s">
        <v>6</v>
      </c>
      <c r="Y880" s="338"/>
      <c r="Z880" s="338"/>
      <c r="AA880" s="338">
        <v>102.59104919433589</v>
      </c>
      <c r="AB880" s="338">
        <v>18.99287033081055</v>
      </c>
      <c r="AC880" s="338">
        <v>1.4080532789230349</v>
      </c>
      <c r="AD880" s="338">
        <v>5007</v>
      </c>
      <c r="AE880" s="338">
        <v>5820</v>
      </c>
      <c r="AF880" s="338">
        <v>4273</v>
      </c>
      <c r="AG880" s="338">
        <v>5971</v>
      </c>
      <c r="AH880" s="338">
        <v>8737</v>
      </c>
      <c r="AI880" s="338">
        <v>11929</v>
      </c>
      <c r="AJ880" s="338">
        <v>36</v>
      </c>
      <c r="AK880" s="338">
        <v>20</v>
      </c>
      <c r="AL880" s="338">
        <v>136</v>
      </c>
      <c r="AM880" s="338">
        <v>20</v>
      </c>
      <c r="AN880" s="338">
        <v>346.02401733398438</v>
      </c>
      <c r="AO880" s="338"/>
      <c r="AP880" s="338"/>
      <c r="AQ880" s="338"/>
      <c r="AR880" s="338">
        <v>0</v>
      </c>
      <c r="AS880" s="338">
        <v>0</v>
      </c>
      <c r="AT880" s="338">
        <v>0</v>
      </c>
      <c r="AU880" s="338">
        <v>0</v>
      </c>
      <c r="AV880" s="338">
        <v>0</v>
      </c>
      <c r="AW880" s="338">
        <v>0</v>
      </c>
      <c r="AX880" s="338">
        <v>0</v>
      </c>
      <c r="AY880" s="338">
        <v>0</v>
      </c>
      <c r="AZ880" s="338">
        <v>0</v>
      </c>
      <c r="BA880" s="338">
        <v>0</v>
      </c>
      <c r="BB880" s="338"/>
      <c r="BC880" s="338"/>
      <c r="BD880" s="338"/>
      <c r="BE880" s="338">
        <v>0</v>
      </c>
      <c r="BF880" s="338" t="s">
        <v>2516</v>
      </c>
      <c r="BG880" s="338" t="s">
        <v>5</v>
      </c>
      <c r="BH880" s="338" t="s">
        <v>1020</v>
      </c>
      <c r="BI880" s="338"/>
      <c r="BJ880" s="338" t="s">
        <v>5</v>
      </c>
      <c r="BK880" s="338"/>
      <c r="BL880" s="338">
        <v>0</v>
      </c>
      <c r="BM880" s="338"/>
      <c r="BN880" s="338" t="s">
        <v>6</v>
      </c>
      <c r="BO880" s="338" t="s">
        <v>2518</v>
      </c>
      <c r="BP880" s="338" t="s">
        <v>2518</v>
      </c>
      <c r="BQ880" s="338" t="s">
        <v>2518</v>
      </c>
      <c r="BR880" s="338"/>
      <c r="BS880" s="338" t="s">
        <v>6</v>
      </c>
      <c r="BT880" s="338" t="s">
        <v>2518</v>
      </c>
      <c r="BU880" s="338" t="s">
        <v>2518</v>
      </c>
      <c r="BV880" s="338" t="s">
        <v>2518</v>
      </c>
      <c r="BW880" s="338"/>
      <c r="BX880" s="338" t="s">
        <v>6</v>
      </c>
      <c r="BY880" s="338" t="s">
        <v>2605</v>
      </c>
      <c r="BZ880" s="338" t="s">
        <v>2518</v>
      </c>
      <c r="CA880"/>
      <c r="CB880" s="338" t="s">
        <v>5</v>
      </c>
      <c r="CC880" s="338">
        <v>157923.02568495279</v>
      </c>
      <c r="CD880" s="338">
        <v>403326337.33387882</v>
      </c>
      <c r="CE880" s="313" t="s">
        <v>11891</v>
      </c>
    </row>
    <row r="881" spans="1:83" ht="15" x14ac:dyDescent="0.25">
      <c r="A881" s="338" t="s">
        <v>12125</v>
      </c>
      <c r="B881" s="338" t="s">
        <v>12126</v>
      </c>
      <c r="C881" s="338" t="s">
        <v>12127</v>
      </c>
      <c r="D881" s="338">
        <v>5</v>
      </c>
      <c r="E881" s="338" t="s">
        <v>2598</v>
      </c>
      <c r="F881" s="338" t="s">
        <v>2624</v>
      </c>
      <c r="G881" s="338" t="s">
        <v>2625</v>
      </c>
      <c r="H881" s="338" t="s">
        <v>2626</v>
      </c>
      <c r="I881" s="338" t="s">
        <v>2627</v>
      </c>
      <c r="J881" s="338" t="s">
        <v>2628</v>
      </c>
      <c r="K881" s="338" t="s">
        <v>2629</v>
      </c>
      <c r="L881" s="338">
        <v>27.54345703125</v>
      </c>
      <c r="M881" s="338" t="s">
        <v>6</v>
      </c>
      <c r="N881" s="338" t="s">
        <v>5</v>
      </c>
      <c r="O881" s="338" t="s">
        <v>6</v>
      </c>
      <c r="P881" s="338" t="s">
        <v>5</v>
      </c>
      <c r="Q881" s="338" t="s">
        <v>5</v>
      </c>
      <c r="R881" s="338" t="s">
        <v>2630</v>
      </c>
      <c r="S881" s="338" t="s">
        <v>2630</v>
      </c>
      <c r="T881" s="338" t="s">
        <v>5</v>
      </c>
      <c r="U881" s="338" t="s">
        <v>50</v>
      </c>
      <c r="V881" s="338">
        <v>40000</v>
      </c>
      <c r="W881" s="338">
        <v>0</v>
      </c>
      <c r="X881" s="338" t="s">
        <v>6</v>
      </c>
      <c r="Y881" s="338"/>
      <c r="Z881" s="338"/>
      <c r="AA881" s="338">
        <v>3.4080324172973628</v>
      </c>
      <c r="AB881" s="338">
        <v>0.26862069964408869</v>
      </c>
      <c r="AC881" s="338">
        <v>1.278700113296509</v>
      </c>
      <c r="AD881" s="338">
        <v>446</v>
      </c>
      <c r="AE881" s="338">
        <v>72</v>
      </c>
      <c r="AF881" s="338">
        <v>185</v>
      </c>
      <c r="AG881" s="338">
        <v>3965</v>
      </c>
      <c r="AH881" s="338">
        <v>2012</v>
      </c>
      <c r="AI881" s="338">
        <v>5331</v>
      </c>
      <c r="AJ881" s="338">
        <v>1</v>
      </c>
      <c r="AK881" s="338">
        <v>0</v>
      </c>
      <c r="AL881" s="338">
        <v>14</v>
      </c>
      <c r="AM881" s="338">
        <v>0</v>
      </c>
      <c r="AN881" s="338">
        <v>4.4304699897766113</v>
      </c>
      <c r="AO881" s="338"/>
      <c r="AP881" s="338"/>
      <c r="AQ881" s="338"/>
      <c r="AR881" s="338">
        <v>0</v>
      </c>
      <c r="AS881" s="338">
        <v>0</v>
      </c>
      <c r="AT881" s="338">
        <v>0</v>
      </c>
      <c r="AU881" s="338">
        <v>0</v>
      </c>
      <c r="AV881" s="338">
        <v>0</v>
      </c>
      <c r="AW881" s="338">
        <v>0</v>
      </c>
      <c r="AX881" s="338">
        <v>0</v>
      </c>
      <c r="AY881" s="338">
        <v>0</v>
      </c>
      <c r="AZ881" s="338">
        <v>0</v>
      </c>
      <c r="BA881" s="338">
        <v>0</v>
      </c>
      <c r="BB881" s="338"/>
      <c r="BC881" s="338"/>
      <c r="BD881" s="338"/>
      <c r="BE881" s="338">
        <v>0</v>
      </c>
      <c r="BF881" s="338" t="s">
        <v>2516</v>
      </c>
      <c r="BG881" s="338" t="s">
        <v>5</v>
      </c>
      <c r="BH881" s="338" t="s">
        <v>1020</v>
      </c>
      <c r="BI881" s="338"/>
      <c r="BJ881" s="338" t="s">
        <v>5</v>
      </c>
      <c r="BK881" s="338"/>
      <c r="BL881" s="338">
        <v>0</v>
      </c>
      <c r="BM881" s="338"/>
      <c r="BN881" s="338" t="s">
        <v>5</v>
      </c>
      <c r="BO881" s="338" t="s">
        <v>2518</v>
      </c>
      <c r="BP881" s="338" t="s">
        <v>2518</v>
      </c>
      <c r="BQ881" s="338" t="s">
        <v>2518</v>
      </c>
      <c r="BR881" s="338"/>
      <c r="BS881" s="338" t="s">
        <v>6</v>
      </c>
      <c r="BT881" s="338" t="s">
        <v>2518</v>
      </c>
      <c r="BU881" s="338" t="s">
        <v>2518</v>
      </c>
      <c r="BV881" s="338" t="s">
        <v>2518</v>
      </c>
      <c r="BW881" s="338"/>
      <c r="BX881" s="338" t="s">
        <v>6</v>
      </c>
      <c r="BY881" s="338" t="s">
        <v>2605</v>
      </c>
      <c r="BZ881" s="338" t="s">
        <v>2518</v>
      </c>
      <c r="CA881"/>
      <c r="CB881" s="338" t="s">
        <v>5</v>
      </c>
      <c r="CC881" s="338">
        <v>90371.337625108135</v>
      </c>
      <c r="CD881" s="338">
        <v>71337225.877445862</v>
      </c>
      <c r="CE881" s="313" t="s">
        <v>11891</v>
      </c>
    </row>
    <row r="882" spans="1:83" ht="15" x14ac:dyDescent="0.25">
      <c r="A882" s="338" t="s">
        <v>12128</v>
      </c>
      <c r="B882" s="338" t="s">
        <v>12129</v>
      </c>
      <c r="C882" s="338" t="s">
        <v>12130</v>
      </c>
      <c r="D882" s="338">
        <v>5</v>
      </c>
      <c r="E882" s="338" t="s">
        <v>2598</v>
      </c>
      <c r="F882" s="338" t="s">
        <v>81</v>
      </c>
      <c r="G882" s="338" t="s">
        <v>2616</v>
      </c>
      <c r="H882" s="338" t="s">
        <v>2617</v>
      </c>
      <c r="I882" s="338" t="s">
        <v>12131</v>
      </c>
      <c r="J882" s="338" t="s">
        <v>12132</v>
      </c>
      <c r="K882" s="338" t="s">
        <v>2620</v>
      </c>
      <c r="L882" s="338">
        <v>1.099694490432739</v>
      </c>
      <c r="M882" s="338" t="s">
        <v>6</v>
      </c>
      <c r="N882" s="338" t="s">
        <v>5</v>
      </c>
      <c r="O882" s="338" t="s">
        <v>5</v>
      </c>
      <c r="P882" s="338" t="s">
        <v>5</v>
      </c>
      <c r="Q882" s="338" t="s">
        <v>6</v>
      </c>
      <c r="R882" s="338" t="s">
        <v>5604</v>
      </c>
      <c r="S882" s="338" t="s">
        <v>5604</v>
      </c>
      <c r="T882" s="338" t="s">
        <v>6</v>
      </c>
      <c r="U882" s="338" t="s">
        <v>50</v>
      </c>
      <c r="V882" s="338">
        <v>10000</v>
      </c>
      <c r="W882" s="338">
        <v>0</v>
      </c>
      <c r="X882" s="338" t="s">
        <v>6</v>
      </c>
      <c r="Y882" s="338"/>
      <c r="Z882" s="338"/>
      <c r="AA882" s="338">
        <v>0.1174581721425056</v>
      </c>
      <c r="AB882" s="338">
        <v>6.1436798423528671E-3</v>
      </c>
      <c r="AC882" s="338">
        <v>8.8948458433151245E-2</v>
      </c>
      <c r="AD882" s="338">
        <v>1</v>
      </c>
      <c r="AE882" s="338">
        <v>0</v>
      </c>
      <c r="AF882" s="338">
        <v>1</v>
      </c>
      <c r="AG882" s="338">
        <v>0</v>
      </c>
      <c r="AH882" s="338">
        <v>1</v>
      </c>
      <c r="AI882" s="338">
        <v>1</v>
      </c>
      <c r="AJ882" s="338">
        <v>0</v>
      </c>
      <c r="AK882" s="338">
        <v>0</v>
      </c>
      <c r="AL882" s="338">
        <v>0</v>
      </c>
      <c r="AM882" s="338">
        <v>0</v>
      </c>
      <c r="AN882" s="338">
        <v>0.94680583477020264</v>
      </c>
      <c r="AO882" s="338"/>
      <c r="AP882" s="338"/>
      <c r="AQ882" s="338"/>
      <c r="AR882" s="338">
        <v>0</v>
      </c>
      <c r="AS882" s="338">
        <v>0</v>
      </c>
      <c r="AT882" s="338">
        <v>0</v>
      </c>
      <c r="AU882" s="338">
        <v>0</v>
      </c>
      <c r="AV882" s="338">
        <v>0</v>
      </c>
      <c r="AW882" s="338">
        <v>0</v>
      </c>
      <c r="AX882" s="338">
        <v>0</v>
      </c>
      <c r="AY882" s="338">
        <v>0</v>
      </c>
      <c r="AZ882" s="338">
        <v>0</v>
      </c>
      <c r="BA882" s="338">
        <v>0</v>
      </c>
      <c r="BB882" s="338"/>
      <c r="BC882" s="338"/>
      <c r="BD882" s="338"/>
      <c r="BE882" s="338">
        <v>0</v>
      </c>
      <c r="BF882" s="338" t="s">
        <v>2516</v>
      </c>
      <c r="BG882" s="338" t="s">
        <v>5</v>
      </c>
      <c r="BH882" s="338" t="s">
        <v>1020</v>
      </c>
      <c r="BI882" s="338"/>
      <c r="BJ882" s="338" t="s">
        <v>5</v>
      </c>
      <c r="BK882" s="338"/>
      <c r="BL882" s="338">
        <v>0</v>
      </c>
      <c r="BM882" s="338"/>
      <c r="BN882" s="338" t="s">
        <v>6</v>
      </c>
      <c r="BO882" s="338" t="s">
        <v>2518</v>
      </c>
      <c r="BP882" s="338" t="s">
        <v>2518</v>
      </c>
      <c r="BQ882" s="338" t="s">
        <v>2518</v>
      </c>
      <c r="BR882" s="338"/>
      <c r="BS882" s="338" t="s">
        <v>6</v>
      </c>
      <c r="BT882" s="338" t="s">
        <v>2518</v>
      </c>
      <c r="BU882" s="338" t="s">
        <v>2518</v>
      </c>
      <c r="BV882" s="338" t="s">
        <v>2518</v>
      </c>
      <c r="BW882" s="338"/>
      <c r="BX882" s="338" t="s">
        <v>6</v>
      </c>
      <c r="BY882" s="338" t="s">
        <v>2605</v>
      </c>
      <c r="BZ882" s="338" t="s">
        <v>2518</v>
      </c>
      <c r="CA882"/>
      <c r="CB882" s="338" t="s">
        <v>5</v>
      </c>
      <c r="CC882" s="338">
        <v>11377.00239606122</v>
      </c>
      <c r="CD882" s="338">
        <v>2848195.5882048621</v>
      </c>
      <c r="CE882" s="313" t="s">
        <v>11891</v>
      </c>
    </row>
    <row r="883" spans="1:83" ht="15" x14ac:dyDescent="0.25">
      <c r="A883" s="338" t="s">
        <v>12133</v>
      </c>
      <c r="B883" s="338" t="s">
        <v>12134</v>
      </c>
      <c r="C883" s="338" t="s">
        <v>12135</v>
      </c>
      <c r="D883" s="338">
        <v>5</v>
      </c>
      <c r="E883" s="338" t="s">
        <v>2598</v>
      </c>
      <c r="F883" s="338" t="s">
        <v>2138</v>
      </c>
      <c r="G883" s="338" t="s">
        <v>2571</v>
      </c>
      <c r="H883" s="338" t="s">
        <v>2631</v>
      </c>
      <c r="I883" s="338" t="s">
        <v>2632</v>
      </c>
      <c r="J883" s="338" t="s">
        <v>2633</v>
      </c>
      <c r="K883" s="338" t="s">
        <v>12101</v>
      </c>
      <c r="L883" s="338">
        <v>244.0077819824219</v>
      </c>
      <c r="M883" s="338" t="s">
        <v>6</v>
      </c>
      <c r="N883" s="338" t="s">
        <v>5</v>
      </c>
      <c r="O883" s="338" t="s">
        <v>6</v>
      </c>
      <c r="P883" s="338" t="s">
        <v>5</v>
      </c>
      <c r="Q883" s="338" t="s">
        <v>6</v>
      </c>
      <c r="R883" s="338" t="s">
        <v>2494</v>
      </c>
      <c r="S883" s="338" t="s">
        <v>2494</v>
      </c>
      <c r="T883" s="338" t="s">
        <v>6</v>
      </c>
      <c r="U883" s="338" t="s">
        <v>50</v>
      </c>
      <c r="V883" s="338">
        <v>30000</v>
      </c>
      <c r="W883" s="338">
        <v>0</v>
      </c>
      <c r="X883" s="338" t="s">
        <v>6</v>
      </c>
      <c r="Y883" s="338"/>
      <c r="Z883" s="338"/>
      <c r="AA883" s="338">
        <v>29.912782669067379</v>
      </c>
      <c r="AB883" s="338">
        <v>2.0945956707000728</v>
      </c>
      <c r="AC883" s="338">
        <v>2.7268669605255131</v>
      </c>
      <c r="AD883" s="338">
        <v>217</v>
      </c>
      <c r="AE883" s="338">
        <v>47</v>
      </c>
      <c r="AF883" s="338">
        <v>144</v>
      </c>
      <c r="AG883" s="338">
        <v>85</v>
      </c>
      <c r="AH883" s="338">
        <v>202</v>
      </c>
      <c r="AI883" s="338">
        <v>233</v>
      </c>
      <c r="AJ883" s="338">
        <v>0</v>
      </c>
      <c r="AK883" s="338">
        <v>0</v>
      </c>
      <c r="AL883" s="338">
        <v>13</v>
      </c>
      <c r="AM883" s="338">
        <v>0</v>
      </c>
      <c r="AN883" s="338">
        <v>231.7996826171875</v>
      </c>
      <c r="AO883" s="338"/>
      <c r="AP883" s="338"/>
      <c r="AQ883" s="338"/>
      <c r="AR883" s="338">
        <v>0</v>
      </c>
      <c r="AS883" s="338">
        <v>0</v>
      </c>
      <c r="AT883" s="338">
        <v>0</v>
      </c>
      <c r="AU883" s="338">
        <v>0</v>
      </c>
      <c r="AV883" s="338">
        <v>0</v>
      </c>
      <c r="AW883" s="338">
        <v>0</v>
      </c>
      <c r="AX883" s="338">
        <v>0</v>
      </c>
      <c r="AY883" s="338">
        <v>0</v>
      </c>
      <c r="AZ883" s="338">
        <v>0</v>
      </c>
      <c r="BA883" s="338">
        <v>0</v>
      </c>
      <c r="BB883" s="338"/>
      <c r="BC883" s="338"/>
      <c r="BD883" s="338"/>
      <c r="BE883" s="338">
        <v>0</v>
      </c>
      <c r="BF883" s="338" t="s">
        <v>2516</v>
      </c>
      <c r="BG883" s="338" t="s">
        <v>5</v>
      </c>
      <c r="BH883" s="338" t="s">
        <v>1020</v>
      </c>
      <c r="BI883" s="338"/>
      <c r="BJ883" s="338" t="s">
        <v>5</v>
      </c>
      <c r="BK883" s="338"/>
      <c r="BL883" s="338">
        <v>0</v>
      </c>
      <c r="BM883" s="338"/>
      <c r="BN883" s="338" t="s">
        <v>5</v>
      </c>
      <c r="BO883" s="338" t="s">
        <v>2518</v>
      </c>
      <c r="BP883" s="338" t="s">
        <v>2518</v>
      </c>
      <c r="BQ883" s="338" t="s">
        <v>2518</v>
      </c>
      <c r="BR883" s="338"/>
      <c r="BS883" s="338" t="s">
        <v>6</v>
      </c>
      <c r="BT883" s="338" t="s">
        <v>2518</v>
      </c>
      <c r="BU883" s="338" t="s">
        <v>2518</v>
      </c>
      <c r="BV883" s="338" t="s">
        <v>2518</v>
      </c>
      <c r="BW883" s="338"/>
      <c r="BX883" s="338" t="s">
        <v>6</v>
      </c>
      <c r="BY883" s="338" t="s">
        <v>2605</v>
      </c>
      <c r="BZ883" s="338" t="s">
        <v>2518</v>
      </c>
      <c r="CA883"/>
      <c r="CB883" s="338" t="s">
        <v>5</v>
      </c>
      <c r="CC883" s="338">
        <v>144729.1007365452</v>
      </c>
      <c r="CD883" s="338">
        <v>631977240.83358073</v>
      </c>
      <c r="CE883" s="313" t="s">
        <v>11891</v>
      </c>
    </row>
    <row r="884" spans="1:83" ht="15" x14ac:dyDescent="0.25">
      <c r="A884" s="338" t="s">
        <v>12136</v>
      </c>
      <c r="B884" s="338" t="s">
        <v>12137</v>
      </c>
      <c r="C884" s="338" t="s">
        <v>12138</v>
      </c>
      <c r="D884" s="338">
        <v>5</v>
      </c>
      <c r="E884" s="338" t="s">
        <v>2598</v>
      </c>
      <c r="F884" s="338" t="s">
        <v>2553</v>
      </c>
      <c r="G884" s="338" t="s">
        <v>2599</v>
      </c>
      <c r="H884" s="338" t="s">
        <v>12139</v>
      </c>
      <c r="I884" s="338" t="s">
        <v>12140</v>
      </c>
      <c r="J884" s="338" t="s">
        <v>12141</v>
      </c>
      <c r="K884" s="338" t="s">
        <v>12101</v>
      </c>
      <c r="L884" s="338">
        <v>2.4584863185882568</v>
      </c>
      <c r="M884" s="338" t="s">
        <v>6</v>
      </c>
      <c r="N884" s="338" t="s">
        <v>5</v>
      </c>
      <c r="O884" s="338" t="s">
        <v>6</v>
      </c>
      <c r="P884" s="338" t="s">
        <v>5</v>
      </c>
      <c r="Q884" s="338" t="s">
        <v>5</v>
      </c>
      <c r="R884" s="338" t="s">
        <v>7093</v>
      </c>
      <c r="S884" s="338" t="s">
        <v>7093</v>
      </c>
      <c r="T884" s="338" t="s">
        <v>6</v>
      </c>
      <c r="U884" s="338" t="s">
        <v>50</v>
      </c>
      <c r="V884" s="338">
        <v>40000</v>
      </c>
      <c r="W884" s="338">
        <v>0</v>
      </c>
      <c r="X884" s="338" t="s">
        <v>6</v>
      </c>
      <c r="Y884" s="338"/>
      <c r="Z884" s="338"/>
      <c r="AA884" s="338">
        <v>4.6710740774869919E-2</v>
      </c>
      <c r="AB884" s="338">
        <v>7.7696801163256168E-3</v>
      </c>
      <c r="AC884" s="338">
        <v>8.8512636721134186E-2</v>
      </c>
      <c r="AD884" s="338">
        <v>1</v>
      </c>
      <c r="AE884" s="338">
        <v>1</v>
      </c>
      <c r="AF884" s="338">
        <v>1</v>
      </c>
      <c r="AG884" s="338">
        <v>5</v>
      </c>
      <c r="AH884" s="338">
        <v>17</v>
      </c>
      <c r="AI884" s="338">
        <v>17</v>
      </c>
      <c r="AJ884" s="338">
        <v>0</v>
      </c>
      <c r="AK884" s="338">
        <v>0</v>
      </c>
      <c r="AL884" s="338">
        <v>0</v>
      </c>
      <c r="AM884" s="338">
        <v>0</v>
      </c>
      <c r="AN884" s="338">
        <v>0</v>
      </c>
      <c r="AO884" s="338"/>
      <c r="AP884" s="338"/>
      <c r="AQ884" s="338"/>
      <c r="AR884" s="338">
        <v>0</v>
      </c>
      <c r="AS884" s="338">
        <v>0</v>
      </c>
      <c r="AT884" s="338">
        <v>0</v>
      </c>
      <c r="AU884" s="338">
        <v>0</v>
      </c>
      <c r="AV884" s="338">
        <v>0</v>
      </c>
      <c r="AW884" s="338">
        <v>0</v>
      </c>
      <c r="AX884" s="338">
        <v>0</v>
      </c>
      <c r="AY884" s="338">
        <v>0</v>
      </c>
      <c r="AZ884" s="338">
        <v>0</v>
      </c>
      <c r="BA884" s="338">
        <v>0</v>
      </c>
      <c r="BB884" s="338"/>
      <c r="BC884" s="338"/>
      <c r="BD884" s="338"/>
      <c r="BE884" s="338">
        <v>0</v>
      </c>
      <c r="BF884" s="338" t="s">
        <v>2516</v>
      </c>
      <c r="BG884" s="338" t="s">
        <v>5</v>
      </c>
      <c r="BH884" s="338" t="s">
        <v>1020</v>
      </c>
      <c r="BI884" s="338"/>
      <c r="BJ884" s="338" t="s">
        <v>5</v>
      </c>
      <c r="BK884" s="338"/>
      <c r="BL884" s="338">
        <v>0</v>
      </c>
      <c r="BM884" s="338"/>
      <c r="BN884" s="338" t="s">
        <v>6</v>
      </c>
      <c r="BO884" s="338" t="s">
        <v>2518</v>
      </c>
      <c r="BP884" s="338" t="s">
        <v>2518</v>
      </c>
      <c r="BQ884" s="338" t="s">
        <v>2518</v>
      </c>
      <c r="BR884" s="338"/>
      <c r="BS884" s="338" t="s">
        <v>6</v>
      </c>
      <c r="BT884" s="338" t="s">
        <v>2518</v>
      </c>
      <c r="BU884" s="338" t="s">
        <v>2518</v>
      </c>
      <c r="BV884" s="338" t="s">
        <v>2518</v>
      </c>
      <c r="BW884" s="338"/>
      <c r="BX884" s="338" t="s">
        <v>6</v>
      </c>
      <c r="BY884" s="338" t="s">
        <v>2605</v>
      </c>
      <c r="BZ884" s="338" t="s">
        <v>2518</v>
      </c>
      <c r="CA884"/>
      <c r="CB884" s="338" t="s">
        <v>5</v>
      </c>
      <c r="CC884" s="338">
        <v>15707.893272396759</v>
      </c>
      <c r="CD884" s="338">
        <v>6367450.020923066</v>
      </c>
      <c r="CE884" s="313" t="s">
        <v>11891</v>
      </c>
    </row>
    <row r="885" spans="1:83" ht="15" x14ac:dyDescent="0.25">
      <c r="A885" s="338" t="s">
        <v>12142</v>
      </c>
      <c r="B885" s="338" t="s">
        <v>12143</v>
      </c>
      <c r="C885" s="338" t="s">
        <v>12144</v>
      </c>
      <c r="D885" s="338">
        <v>5</v>
      </c>
      <c r="E885" s="338" t="s">
        <v>2598</v>
      </c>
      <c r="F885" s="338" t="s">
        <v>81</v>
      </c>
      <c r="G885" s="338" t="s">
        <v>2639</v>
      </c>
      <c r="H885" s="338" t="s">
        <v>2640</v>
      </c>
      <c r="I885" s="338" t="s">
        <v>2641</v>
      </c>
      <c r="J885" s="338" t="s">
        <v>2642</v>
      </c>
      <c r="K885" s="338" t="s">
        <v>12145</v>
      </c>
      <c r="L885" s="338">
        <v>235.48802185058591</v>
      </c>
      <c r="M885" s="338" t="s">
        <v>6</v>
      </c>
      <c r="N885" s="338" t="s">
        <v>5</v>
      </c>
      <c r="O885" s="338" t="s">
        <v>5</v>
      </c>
      <c r="P885" s="338" t="s">
        <v>5</v>
      </c>
      <c r="Q885" s="338" t="s">
        <v>6</v>
      </c>
      <c r="R885" s="338" t="s">
        <v>5442</v>
      </c>
      <c r="S885" s="338" t="s">
        <v>5442</v>
      </c>
      <c r="T885" s="338" t="s">
        <v>6</v>
      </c>
      <c r="U885" s="338" t="s">
        <v>4</v>
      </c>
      <c r="V885" s="338">
        <v>50000</v>
      </c>
      <c r="W885" s="338">
        <v>0</v>
      </c>
      <c r="X885" s="338" t="s">
        <v>6</v>
      </c>
      <c r="Y885" s="338"/>
      <c r="Z885" s="338"/>
      <c r="AA885" s="338">
        <v>73.971359252929688</v>
      </c>
      <c r="AB885" s="338">
        <v>11.692916870117189</v>
      </c>
      <c r="AC885" s="338">
        <v>31.773134231567379</v>
      </c>
      <c r="AD885" s="338">
        <v>116</v>
      </c>
      <c r="AE885" s="338">
        <v>39</v>
      </c>
      <c r="AF885" s="338">
        <v>57</v>
      </c>
      <c r="AG885" s="338">
        <v>51</v>
      </c>
      <c r="AH885" s="338">
        <v>140</v>
      </c>
      <c r="AI885" s="338">
        <v>143</v>
      </c>
      <c r="AJ885" s="338">
        <v>1</v>
      </c>
      <c r="AK885" s="338">
        <v>0</v>
      </c>
      <c r="AL885" s="338">
        <v>7</v>
      </c>
      <c r="AM885" s="338">
        <v>0</v>
      </c>
      <c r="AN885" s="338">
        <v>1525.707641601562</v>
      </c>
      <c r="AO885" s="338"/>
      <c r="AP885" s="338"/>
      <c r="AQ885" s="338"/>
      <c r="AR885" s="338">
        <v>0</v>
      </c>
      <c r="AS885" s="338">
        <v>0</v>
      </c>
      <c r="AT885" s="338">
        <v>0</v>
      </c>
      <c r="AU885" s="338">
        <v>0</v>
      </c>
      <c r="AV885" s="338">
        <v>0</v>
      </c>
      <c r="AW885" s="338">
        <v>0</v>
      </c>
      <c r="AX885" s="338">
        <v>0</v>
      </c>
      <c r="AY885" s="338">
        <v>0</v>
      </c>
      <c r="AZ885" s="338">
        <v>0</v>
      </c>
      <c r="BA885" s="338">
        <v>0</v>
      </c>
      <c r="BB885" s="338"/>
      <c r="BC885" s="338"/>
      <c r="BD885" s="338"/>
      <c r="BE885" s="338">
        <v>0</v>
      </c>
      <c r="BF885" s="338" t="s">
        <v>2516</v>
      </c>
      <c r="BG885" s="338" t="s">
        <v>5</v>
      </c>
      <c r="BH885" s="338" t="s">
        <v>1020</v>
      </c>
      <c r="BI885" s="338"/>
      <c r="BJ885" s="338" t="s">
        <v>5</v>
      </c>
      <c r="BK885" s="338"/>
      <c r="BL885" s="338">
        <v>0</v>
      </c>
      <c r="BM885" s="338"/>
      <c r="BN885" s="338" t="s">
        <v>5</v>
      </c>
      <c r="BO885" s="338" t="s">
        <v>2518</v>
      </c>
      <c r="BP885" s="338" t="s">
        <v>2518</v>
      </c>
      <c r="BQ885" s="338" t="s">
        <v>2518</v>
      </c>
      <c r="BR885" s="338"/>
      <c r="BS885" s="338" t="s">
        <v>6</v>
      </c>
      <c r="BT885" s="338" t="s">
        <v>2518</v>
      </c>
      <c r="BU885" s="338" t="s">
        <v>2518</v>
      </c>
      <c r="BV885" s="338" t="s">
        <v>2518</v>
      </c>
      <c r="BW885" s="338"/>
      <c r="BX885" s="338" t="s">
        <v>6</v>
      </c>
      <c r="BY885" s="338" t="s">
        <v>2605</v>
      </c>
      <c r="BZ885" s="338" t="s">
        <v>2518</v>
      </c>
      <c r="CA885"/>
      <c r="CB885" s="338" t="s">
        <v>5</v>
      </c>
      <c r="CC885" s="338">
        <v>178341.80696763989</v>
      </c>
      <c r="CD885" s="338">
        <v>609911165.17401922</v>
      </c>
      <c r="CE885" s="313" t="s">
        <v>11891</v>
      </c>
    </row>
    <row r="886" spans="1:83" ht="15" x14ac:dyDescent="0.25">
      <c r="A886" s="338" t="s">
        <v>12146</v>
      </c>
      <c r="B886" s="338" t="s">
        <v>12147</v>
      </c>
      <c r="C886" s="338" t="s">
        <v>12148</v>
      </c>
      <c r="D886" s="338">
        <v>5</v>
      </c>
      <c r="E886" s="338" t="s">
        <v>2598</v>
      </c>
      <c r="F886" s="338" t="s">
        <v>2606</v>
      </c>
      <c r="G886" s="338" t="s">
        <v>2643</v>
      </c>
      <c r="H886" s="338" t="s">
        <v>12149</v>
      </c>
      <c r="I886" s="338" t="s">
        <v>12150</v>
      </c>
      <c r="J886" s="338" t="s">
        <v>12151</v>
      </c>
      <c r="K886" s="338" t="s">
        <v>12152</v>
      </c>
      <c r="L886" s="338">
        <v>496.66119384765619</v>
      </c>
      <c r="M886" s="338" t="s">
        <v>6</v>
      </c>
      <c r="N886" s="338" t="s">
        <v>6</v>
      </c>
      <c r="O886" s="338" t="s">
        <v>5</v>
      </c>
      <c r="P886" s="338" t="s">
        <v>5</v>
      </c>
      <c r="Q886" s="338" t="s">
        <v>6</v>
      </c>
      <c r="R886" s="338" t="s">
        <v>7072</v>
      </c>
      <c r="S886" s="338" t="s">
        <v>7072</v>
      </c>
      <c r="T886" s="338" t="s">
        <v>6</v>
      </c>
      <c r="U886" s="338" t="s">
        <v>50</v>
      </c>
      <c r="V886" s="338">
        <v>60000</v>
      </c>
      <c r="W886" s="338">
        <v>0</v>
      </c>
      <c r="X886" s="338" t="s">
        <v>6</v>
      </c>
      <c r="Y886" s="338"/>
      <c r="Z886" s="338"/>
      <c r="AA886" s="338">
        <v>254.2128601074219</v>
      </c>
      <c r="AB886" s="338">
        <v>35.054698944091797</v>
      </c>
      <c r="AC886" s="338">
        <v>105.627571105957</v>
      </c>
      <c r="AD886" s="338">
        <v>6491</v>
      </c>
      <c r="AE886" s="338">
        <v>4747</v>
      </c>
      <c r="AF886" s="338">
        <v>5238</v>
      </c>
      <c r="AG886" s="338">
        <v>12550</v>
      </c>
      <c r="AH886" s="338">
        <v>11980</v>
      </c>
      <c r="AI886" s="338">
        <v>20772</v>
      </c>
      <c r="AJ886" s="338">
        <v>30</v>
      </c>
      <c r="AK886" s="338">
        <v>16</v>
      </c>
      <c r="AL886" s="338">
        <v>215</v>
      </c>
      <c r="AM886" s="338">
        <v>16</v>
      </c>
      <c r="AN886" s="338">
        <v>20945.373046875</v>
      </c>
      <c r="AO886" s="338"/>
      <c r="AP886" s="338"/>
      <c r="AQ886" s="338"/>
      <c r="AR886" s="338">
        <v>0</v>
      </c>
      <c r="AS886" s="338">
        <v>0</v>
      </c>
      <c r="AT886" s="338">
        <v>0</v>
      </c>
      <c r="AU886" s="338">
        <v>0</v>
      </c>
      <c r="AV886" s="338">
        <v>0</v>
      </c>
      <c r="AW886" s="338">
        <v>0</v>
      </c>
      <c r="AX886" s="338">
        <v>0</v>
      </c>
      <c r="AY886" s="338">
        <v>0</v>
      </c>
      <c r="AZ886" s="338">
        <v>0</v>
      </c>
      <c r="BA886" s="338">
        <v>0</v>
      </c>
      <c r="BB886" s="338"/>
      <c r="BC886" s="338"/>
      <c r="BD886" s="338"/>
      <c r="BE886" s="338">
        <v>0</v>
      </c>
      <c r="BF886" s="338" t="s">
        <v>2516</v>
      </c>
      <c r="BG886" s="338" t="s">
        <v>5</v>
      </c>
      <c r="BH886" s="338" t="s">
        <v>1020</v>
      </c>
      <c r="BI886" s="338"/>
      <c r="BJ886" s="338" t="s">
        <v>5</v>
      </c>
      <c r="BK886" s="338"/>
      <c r="BL886" s="338">
        <v>0</v>
      </c>
      <c r="BM886" s="338"/>
      <c r="BN886" s="338" t="s">
        <v>5</v>
      </c>
      <c r="BO886" s="338" t="s">
        <v>2518</v>
      </c>
      <c r="BP886" s="338" t="s">
        <v>2518</v>
      </c>
      <c r="BQ886" s="338" t="s">
        <v>2518</v>
      </c>
      <c r="BR886" s="338"/>
      <c r="BS886" s="338" t="s">
        <v>6</v>
      </c>
      <c r="BT886" s="338" t="s">
        <v>2518</v>
      </c>
      <c r="BU886" s="338" t="s">
        <v>2518</v>
      </c>
      <c r="BV886" s="338" t="s">
        <v>2518</v>
      </c>
      <c r="BW886" s="338"/>
      <c r="BX886" s="338" t="s">
        <v>6</v>
      </c>
      <c r="BY886" s="338" t="s">
        <v>2605</v>
      </c>
      <c r="BZ886" s="338" t="s">
        <v>2518</v>
      </c>
      <c r="CA886"/>
      <c r="CB886" s="338" t="s">
        <v>5</v>
      </c>
      <c r="CC886" s="338">
        <v>379970.7810234066</v>
      </c>
      <c r="CD886" s="338">
        <v>1286346578.0240791</v>
      </c>
      <c r="CE886" s="313" t="s">
        <v>11891</v>
      </c>
    </row>
    <row r="887" spans="1:83" ht="15" x14ac:dyDescent="0.25">
      <c r="A887" s="338" t="s">
        <v>12153</v>
      </c>
      <c r="B887" s="338" t="s">
        <v>12154</v>
      </c>
      <c r="C887" s="338" t="s">
        <v>12155</v>
      </c>
      <c r="D887" s="338">
        <v>5</v>
      </c>
      <c r="E887" s="338" t="s">
        <v>2598</v>
      </c>
      <c r="F887" s="338" t="s">
        <v>2606</v>
      </c>
      <c r="G887" s="338" t="s">
        <v>2643</v>
      </c>
      <c r="H887" s="338" t="s">
        <v>12149</v>
      </c>
      <c r="I887" s="338" t="s">
        <v>12150</v>
      </c>
      <c r="J887" s="338" t="s">
        <v>12151</v>
      </c>
      <c r="K887" s="338" t="s">
        <v>12145</v>
      </c>
      <c r="L887" s="338">
        <v>496.66119384765619</v>
      </c>
      <c r="M887" s="338" t="s">
        <v>6</v>
      </c>
      <c r="N887" s="338" t="s">
        <v>6</v>
      </c>
      <c r="O887" s="338" t="s">
        <v>5</v>
      </c>
      <c r="P887" s="338" t="s">
        <v>5</v>
      </c>
      <c r="Q887" s="338" t="s">
        <v>6</v>
      </c>
      <c r="R887" s="338" t="s">
        <v>7072</v>
      </c>
      <c r="S887" s="338" t="s">
        <v>12156</v>
      </c>
      <c r="T887" s="338" t="s">
        <v>6</v>
      </c>
      <c r="U887" s="338" t="s">
        <v>50</v>
      </c>
      <c r="V887" s="338">
        <v>20000</v>
      </c>
      <c r="W887" s="338">
        <v>0</v>
      </c>
      <c r="X887" s="338" t="s">
        <v>6</v>
      </c>
      <c r="Y887" s="338"/>
      <c r="Z887" s="338"/>
      <c r="AA887" s="338">
        <v>254.2128601074219</v>
      </c>
      <c r="AB887" s="338">
        <v>35.054698944091797</v>
      </c>
      <c r="AC887" s="338">
        <v>105.627571105957</v>
      </c>
      <c r="AD887" s="338">
        <v>6491</v>
      </c>
      <c r="AE887" s="338">
        <v>4747</v>
      </c>
      <c r="AF887" s="338">
        <v>5238</v>
      </c>
      <c r="AG887" s="338">
        <v>12550</v>
      </c>
      <c r="AH887" s="338">
        <v>11980</v>
      </c>
      <c r="AI887" s="338">
        <v>20772</v>
      </c>
      <c r="AJ887" s="338">
        <v>30</v>
      </c>
      <c r="AK887" s="338">
        <v>16</v>
      </c>
      <c r="AL887" s="338">
        <v>215</v>
      </c>
      <c r="AM887" s="338">
        <v>16</v>
      </c>
      <c r="AN887" s="338">
        <v>20945.373046875</v>
      </c>
      <c r="AO887" s="338"/>
      <c r="AP887" s="338"/>
      <c r="AQ887" s="338"/>
      <c r="AR887" s="338">
        <v>0</v>
      </c>
      <c r="AS887" s="338">
        <v>0</v>
      </c>
      <c r="AT887" s="338">
        <v>0</v>
      </c>
      <c r="AU887" s="338">
        <v>0</v>
      </c>
      <c r="AV887" s="338">
        <v>0</v>
      </c>
      <c r="AW887" s="338">
        <v>0</v>
      </c>
      <c r="AX887" s="338">
        <v>0</v>
      </c>
      <c r="AY887" s="338">
        <v>0</v>
      </c>
      <c r="AZ887" s="338">
        <v>0</v>
      </c>
      <c r="BA887" s="338">
        <v>0</v>
      </c>
      <c r="BB887" s="338"/>
      <c r="BC887" s="338"/>
      <c r="BD887" s="338"/>
      <c r="BE887" s="338">
        <v>0</v>
      </c>
      <c r="BF887" s="338" t="s">
        <v>2516</v>
      </c>
      <c r="BG887" s="338" t="s">
        <v>5</v>
      </c>
      <c r="BH887" s="338" t="s">
        <v>1020</v>
      </c>
      <c r="BI887" s="338"/>
      <c r="BJ887" s="338" t="s">
        <v>5</v>
      </c>
      <c r="BK887" s="338"/>
      <c r="BL887" s="338">
        <v>0</v>
      </c>
      <c r="BM887" s="338"/>
      <c r="BN887" s="338" t="s">
        <v>6</v>
      </c>
      <c r="BO887" s="338" t="s">
        <v>2518</v>
      </c>
      <c r="BP887" s="338" t="s">
        <v>2518</v>
      </c>
      <c r="BQ887" s="338" t="s">
        <v>2518</v>
      </c>
      <c r="BR887" s="338"/>
      <c r="BS887" s="338" t="s">
        <v>6</v>
      </c>
      <c r="BT887" s="338" t="s">
        <v>2518</v>
      </c>
      <c r="BU887" s="338" t="s">
        <v>2518</v>
      </c>
      <c r="BV887" s="338" t="s">
        <v>2518</v>
      </c>
      <c r="BW887" s="338"/>
      <c r="BX887" s="338" t="s">
        <v>6</v>
      </c>
      <c r="BY887" s="338" t="s">
        <v>2605</v>
      </c>
      <c r="BZ887" s="338" t="s">
        <v>2518</v>
      </c>
      <c r="CA887"/>
      <c r="CB887" s="338" t="s">
        <v>5</v>
      </c>
      <c r="CC887" s="338">
        <v>379970.7810234066</v>
      </c>
      <c r="CD887" s="338">
        <v>1286346578.0240791</v>
      </c>
      <c r="CE887" s="313" t="s">
        <v>11891</v>
      </c>
    </row>
    <row r="888" spans="1:83" ht="15" x14ac:dyDescent="0.25">
      <c r="A888" s="338" t="s">
        <v>12157</v>
      </c>
      <c r="B888" s="338" t="s">
        <v>12158</v>
      </c>
      <c r="C888" s="338" t="s">
        <v>12159</v>
      </c>
      <c r="D888" s="338">
        <v>5</v>
      </c>
      <c r="E888" s="338" t="s">
        <v>2598</v>
      </c>
      <c r="F888" s="338" t="s">
        <v>2608</v>
      </c>
      <c r="G888" s="338" t="s">
        <v>2571</v>
      </c>
      <c r="H888" s="338" t="s">
        <v>12160</v>
      </c>
      <c r="I888" s="338" t="s">
        <v>12161</v>
      </c>
      <c r="J888" s="338" t="s">
        <v>12162</v>
      </c>
      <c r="K888" s="338" t="s">
        <v>12101</v>
      </c>
      <c r="L888" s="338">
        <v>1.6366510391235349</v>
      </c>
      <c r="M888" s="338" t="s">
        <v>6</v>
      </c>
      <c r="N888" s="338" t="s">
        <v>5</v>
      </c>
      <c r="O888" s="338" t="s">
        <v>6</v>
      </c>
      <c r="P888" s="338" t="s">
        <v>5</v>
      </c>
      <c r="Q888" s="338" t="s">
        <v>5</v>
      </c>
      <c r="R888" s="338" t="s">
        <v>7112</v>
      </c>
      <c r="S888" s="338" t="s">
        <v>7112</v>
      </c>
      <c r="T888" s="338" t="s">
        <v>6</v>
      </c>
      <c r="U888" s="338" t="s">
        <v>50</v>
      </c>
      <c r="V888" s="338">
        <v>5000</v>
      </c>
      <c r="W888" s="338">
        <v>0</v>
      </c>
      <c r="X888" s="338" t="s">
        <v>6</v>
      </c>
      <c r="Y888" s="338"/>
      <c r="Z888" s="338"/>
      <c r="AA888" s="338">
        <v>0.1466505974531174</v>
      </c>
      <c r="AB888" s="338">
        <v>7.8530795872211456E-3</v>
      </c>
      <c r="AC888" s="338">
        <v>8.1688776612281799E-2</v>
      </c>
      <c r="AD888" s="338">
        <v>0</v>
      </c>
      <c r="AE888" s="338">
        <v>0</v>
      </c>
      <c r="AF888" s="338">
        <v>0</v>
      </c>
      <c r="AG888" s="338">
        <v>0</v>
      </c>
      <c r="AH888" s="338">
        <v>0</v>
      </c>
      <c r="AI888" s="338">
        <v>0</v>
      </c>
      <c r="AJ888" s="338">
        <v>0</v>
      </c>
      <c r="AK888" s="338">
        <v>0</v>
      </c>
      <c r="AL888" s="338">
        <v>0</v>
      </c>
      <c r="AM888" s="338">
        <v>0</v>
      </c>
      <c r="AN888" s="338">
        <v>0</v>
      </c>
      <c r="AO888" s="338"/>
      <c r="AP888" s="338"/>
      <c r="AQ888" s="338"/>
      <c r="AR888" s="338">
        <v>0</v>
      </c>
      <c r="AS888" s="338">
        <v>0</v>
      </c>
      <c r="AT888" s="338">
        <v>0</v>
      </c>
      <c r="AU888" s="338">
        <v>0</v>
      </c>
      <c r="AV888" s="338">
        <v>0</v>
      </c>
      <c r="AW888" s="338">
        <v>0</v>
      </c>
      <c r="AX888" s="338">
        <v>0</v>
      </c>
      <c r="AY888" s="338">
        <v>0</v>
      </c>
      <c r="AZ888" s="338">
        <v>0</v>
      </c>
      <c r="BA888" s="338">
        <v>0</v>
      </c>
      <c r="BB888" s="338"/>
      <c r="BC888" s="338"/>
      <c r="BD888" s="338"/>
      <c r="BE888" s="338">
        <v>0</v>
      </c>
      <c r="BF888" s="338" t="s">
        <v>2516</v>
      </c>
      <c r="BG888" s="338" t="s">
        <v>5</v>
      </c>
      <c r="BH888" s="338" t="s">
        <v>1020</v>
      </c>
      <c r="BI888" s="338"/>
      <c r="BJ888" s="338" t="s">
        <v>5</v>
      </c>
      <c r="BK888" s="338"/>
      <c r="BL888" s="338">
        <v>0</v>
      </c>
      <c r="BM888" s="338"/>
      <c r="BN888" s="338" t="s">
        <v>6</v>
      </c>
      <c r="BO888" s="338" t="s">
        <v>2518</v>
      </c>
      <c r="BP888" s="338" t="s">
        <v>2518</v>
      </c>
      <c r="BQ888" s="338" t="s">
        <v>2518</v>
      </c>
      <c r="BR888" s="338"/>
      <c r="BS888" s="338" t="s">
        <v>6</v>
      </c>
      <c r="BT888" s="338" t="s">
        <v>2518</v>
      </c>
      <c r="BU888" s="338" t="s">
        <v>2518</v>
      </c>
      <c r="BV888" s="338" t="s">
        <v>2518</v>
      </c>
      <c r="BW888" s="338"/>
      <c r="BX888" s="338" t="s">
        <v>6</v>
      </c>
      <c r="BY888" s="338" t="s">
        <v>2605</v>
      </c>
      <c r="BZ888" s="338" t="s">
        <v>2518</v>
      </c>
      <c r="CA888"/>
      <c r="CB888" s="338" t="s">
        <v>5</v>
      </c>
      <c r="CC888" s="338">
        <v>11038.235175090011</v>
      </c>
      <c r="CD888" s="338">
        <v>4238906.7328522168</v>
      </c>
      <c r="CE888" s="313" t="s">
        <v>11891</v>
      </c>
    </row>
    <row r="889" spans="1:83" ht="15" x14ac:dyDescent="0.25">
      <c r="A889" s="338" t="s">
        <v>12163</v>
      </c>
      <c r="B889" s="338" t="s">
        <v>12164</v>
      </c>
      <c r="C889" s="338" t="s">
        <v>12165</v>
      </c>
      <c r="D889" s="338">
        <v>5</v>
      </c>
      <c r="E889" s="338" t="s">
        <v>2598</v>
      </c>
      <c r="F889" s="338" t="s">
        <v>12166</v>
      </c>
      <c r="G889" s="338" t="s">
        <v>2625</v>
      </c>
      <c r="H889" s="338" t="s">
        <v>2626</v>
      </c>
      <c r="I889" s="338" t="s">
        <v>2627</v>
      </c>
      <c r="J889" s="338" t="s">
        <v>2628</v>
      </c>
      <c r="K889" s="338" t="s">
        <v>12101</v>
      </c>
      <c r="L889" s="338">
        <v>27.54345703125</v>
      </c>
      <c r="M889" s="338" t="s">
        <v>6</v>
      </c>
      <c r="N889" s="338" t="s">
        <v>5</v>
      </c>
      <c r="O889" s="338" t="s">
        <v>6</v>
      </c>
      <c r="P889" s="338" t="s">
        <v>5</v>
      </c>
      <c r="Q889" s="338" t="s">
        <v>5</v>
      </c>
      <c r="R889" s="338" t="s">
        <v>2630</v>
      </c>
      <c r="S889" s="338" t="s">
        <v>2630</v>
      </c>
      <c r="T889" s="338" t="s">
        <v>6</v>
      </c>
      <c r="U889" s="338" t="s">
        <v>50</v>
      </c>
      <c r="V889" s="338">
        <v>30000</v>
      </c>
      <c r="W889" s="338">
        <v>0</v>
      </c>
      <c r="X889" s="338" t="s">
        <v>6</v>
      </c>
      <c r="Y889" s="338"/>
      <c r="Z889" s="338"/>
      <c r="AA889" s="338">
        <v>3.4080324172973628</v>
      </c>
      <c r="AB889" s="338">
        <v>0.26862069964408869</v>
      </c>
      <c r="AC889" s="338">
        <v>1.278700113296509</v>
      </c>
      <c r="AD889" s="338">
        <v>446</v>
      </c>
      <c r="AE889" s="338">
        <v>72</v>
      </c>
      <c r="AF889" s="338">
        <v>185</v>
      </c>
      <c r="AG889" s="338">
        <v>3965</v>
      </c>
      <c r="AH889" s="338">
        <v>2012</v>
      </c>
      <c r="AI889" s="338">
        <v>5331</v>
      </c>
      <c r="AJ889" s="338">
        <v>1</v>
      </c>
      <c r="AK889" s="338">
        <v>0</v>
      </c>
      <c r="AL889" s="338">
        <v>14</v>
      </c>
      <c r="AM889" s="338">
        <v>0</v>
      </c>
      <c r="AN889" s="338">
        <v>4.4304699897766113</v>
      </c>
      <c r="AO889" s="338"/>
      <c r="AP889" s="338"/>
      <c r="AQ889" s="338"/>
      <c r="AR889" s="338">
        <v>0</v>
      </c>
      <c r="AS889" s="338">
        <v>0</v>
      </c>
      <c r="AT889" s="338">
        <v>0</v>
      </c>
      <c r="AU889" s="338">
        <v>0</v>
      </c>
      <c r="AV889" s="338">
        <v>0</v>
      </c>
      <c r="AW889" s="338">
        <v>0</v>
      </c>
      <c r="AX889" s="338">
        <v>0</v>
      </c>
      <c r="AY889" s="338">
        <v>0</v>
      </c>
      <c r="AZ889" s="338">
        <v>0</v>
      </c>
      <c r="BA889" s="338">
        <v>0</v>
      </c>
      <c r="BB889" s="338"/>
      <c r="BC889" s="338"/>
      <c r="BD889" s="338"/>
      <c r="BE889" s="338">
        <v>0</v>
      </c>
      <c r="BF889" s="338" t="s">
        <v>2516</v>
      </c>
      <c r="BG889" s="338" t="s">
        <v>5</v>
      </c>
      <c r="BH889" s="338" t="s">
        <v>1020</v>
      </c>
      <c r="BI889" s="338"/>
      <c r="BJ889" s="338" t="s">
        <v>5</v>
      </c>
      <c r="BK889" s="338"/>
      <c r="BL889" s="338">
        <v>0</v>
      </c>
      <c r="BM889" s="338"/>
      <c r="BN889" s="338" t="s">
        <v>6</v>
      </c>
      <c r="BO889" s="338" t="s">
        <v>2518</v>
      </c>
      <c r="BP889" s="338" t="s">
        <v>2518</v>
      </c>
      <c r="BQ889" s="338" t="s">
        <v>2518</v>
      </c>
      <c r="BR889" s="338"/>
      <c r="BS889" s="338" t="s">
        <v>6</v>
      </c>
      <c r="BT889" s="338" t="s">
        <v>2518</v>
      </c>
      <c r="BU889" s="338" t="s">
        <v>2518</v>
      </c>
      <c r="BV889" s="338" t="s">
        <v>2518</v>
      </c>
      <c r="BW889" s="338"/>
      <c r="BX889" s="338" t="s">
        <v>6</v>
      </c>
      <c r="BY889" s="338" t="s">
        <v>2605</v>
      </c>
      <c r="BZ889" s="338" t="s">
        <v>2518</v>
      </c>
      <c r="CA889"/>
      <c r="CB889" s="338" t="s">
        <v>5</v>
      </c>
      <c r="CC889" s="338">
        <v>90371.337625108135</v>
      </c>
      <c r="CD889" s="338">
        <v>71337225.877445862</v>
      </c>
      <c r="CE889" s="313" t="s">
        <v>11891</v>
      </c>
    </row>
    <row r="890" spans="1:83" ht="15" x14ac:dyDescent="0.25">
      <c r="A890" s="338" t="s">
        <v>12167</v>
      </c>
      <c r="B890" s="338" t="s">
        <v>12168</v>
      </c>
      <c r="C890" s="338" t="s">
        <v>12169</v>
      </c>
      <c r="D890" s="338">
        <v>5</v>
      </c>
      <c r="E890" s="338" t="s">
        <v>2598</v>
      </c>
      <c r="F890" s="338" t="s">
        <v>2624</v>
      </c>
      <c r="G890" s="338" t="s">
        <v>2625</v>
      </c>
      <c r="H890" s="338" t="s">
        <v>2626</v>
      </c>
      <c r="I890" s="338" t="s">
        <v>2627</v>
      </c>
      <c r="J890" s="338" t="s">
        <v>2628</v>
      </c>
      <c r="K890" s="338" t="s">
        <v>12152</v>
      </c>
      <c r="L890" s="338">
        <v>27.54345703125</v>
      </c>
      <c r="M890" s="338" t="s">
        <v>6</v>
      </c>
      <c r="N890" s="338" t="s">
        <v>5</v>
      </c>
      <c r="O890" s="338" t="s">
        <v>6</v>
      </c>
      <c r="P890" s="338" t="s">
        <v>5</v>
      </c>
      <c r="Q890" s="338" t="s">
        <v>5</v>
      </c>
      <c r="R890" s="338" t="s">
        <v>2630</v>
      </c>
      <c r="S890" s="338" t="s">
        <v>2630</v>
      </c>
      <c r="T890" s="338" t="s">
        <v>5</v>
      </c>
      <c r="U890" s="338" t="s">
        <v>13</v>
      </c>
      <c r="V890" s="338">
        <v>20000</v>
      </c>
      <c r="W890" s="338">
        <v>0</v>
      </c>
      <c r="X890" s="338" t="s">
        <v>6</v>
      </c>
      <c r="Y890" s="338"/>
      <c r="Z890" s="338"/>
      <c r="AA890" s="338">
        <v>3.4080324172973628</v>
      </c>
      <c r="AB890" s="338">
        <v>0.26862069964408869</v>
      </c>
      <c r="AC890" s="338">
        <v>1.278700113296509</v>
      </c>
      <c r="AD890" s="338">
        <v>446</v>
      </c>
      <c r="AE890" s="338">
        <v>72</v>
      </c>
      <c r="AF890" s="338">
        <v>185</v>
      </c>
      <c r="AG890" s="338">
        <v>3965</v>
      </c>
      <c r="AH890" s="338">
        <v>2012</v>
      </c>
      <c r="AI890" s="338">
        <v>5331</v>
      </c>
      <c r="AJ890" s="338">
        <v>1</v>
      </c>
      <c r="AK890" s="338">
        <v>0</v>
      </c>
      <c r="AL890" s="338">
        <v>14</v>
      </c>
      <c r="AM890" s="338">
        <v>0</v>
      </c>
      <c r="AN890" s="338">
        <v>4.4304699897766113</v>
      </c>
      <c r="AO890" s="338"/>
      <c r="AP890" s="338"/>
      <c r="AQ890" s="338"/>
      <c r="AR890" s="338">
        <v>0</v>
      </c>
      <c r="AS890" s="338">
        <v>0</v>
      </c>
      <c r="AT890" s="338">
        <v>0</v>
      </c>
      <c r="AU890" s="338">
        <v>0</v>
      </c>
      <c r="AV890" s="338">
        <v>0</v>
      </c>
      <c r="AW890" s="338">
        <v>0</v>
      </c>
      <c r="AX890" s="338">
        <v>0</v>
      </c>
      <c r="AY890" s="338">
        <v>0</v>
      </c>
      <c r="AZ890" s="338">
        <v>0</v>
      </c>
      <c r="BA890" s="338">
        <v>0</v>
      </c>
      <c r="BB890" s="338"/>
      <c r="BC890" s="338"/>
      <c r="BD890" s="338"/>
      <c r="BE890" s="338">
        <v>0</v>
      </c>
      <c r="BF890" s="338" t="s">
        <v>2516</v>
      </c>
      <c r="BG890" s="338" t="s">
        <v>5</v>
      </c>
      <c r="BH890" s="338" t="s">
        <v>1020</v>
      </c>
      <c r="BI890" s="338"/>
      <c r="BJ890" s="338" t="s">
        <v>5</v>
      </c>
      <c r="BK890" s="338"/>
      <c r="BL890" s="338">
        <v>0</v>
      </c>
      <c r="BM890" s="338"/>
      <c r="BN890" s="338" t="s">
        <v>6</v>
      </c>
      <c r="BO890" s="338" t="s">
        <v>2518</v>
      </c>
      <c r="BP890" s="338" t="s">
        <v>2518</v>
      </c>
      <c r="BQ890" s="338" t="s">
        <v>2518</v>
      </c>
      <c r="BR890" s="338"/>
      <c r="BS890" s="338" t="s">
        <v>6</v>
      </c>
      <c r="BT890" s="338" t="s">
        <v>2518</v>
      </c>
      <c r="BU890" s="338" t="s">
        <v>2518</v>
      </c>
      <c r="BV890" s="338" t="s">
        <v>2518</v>
      </c>
      <c r="BW890" s="338"/>
      <c r="BX890" s="338" t="s">
        <v>6</v>
      </c>
      <c r="BY890" s="338" t="s">
        <v>2605</v>
      </c>
      <c r="BZ890" s="338" t="s">
        <v>2518</v>
      </c>
      <c r="CA890"/>
      <c r="CB890" s="338" t="s">
        <v>5</v>
      </c>
      <c r="CC890" s="338">
        <v>90371.337625108135</v>
      </c>
      <c r="CD890" s="338">
        <v>71337225.877445862</v>
      </c>
      <c r="CE890" s="313" t="s">
        <v>11891</v>
      </c>
    </row>
    <row r="891" spans="1:83" ht="15" x14ac:dyDescent="0.25">
      <c r="A891" s="338" t="s">
        <v>12170</v>
      </c>
      <c r="B891" s="338" t="s">
        <v>12171</v>
      </c>
      <c r="C891" s="338" t="s">
        <v>12172</v>
      </c>
      <c r="D891" s="338">
        <v>5</v>
      </c>
      <c r="E891" s="338" t="s">
        <v>2598</v>
      </c>
      <c r="F891" s="338" t="s">
        <v>2553</v>
      </c>
      <c r="G891" s="338" t="s">
        <v>2571</v>
      </c>
      <c r="H891" s="338" t="s">
        <v>12173</v>
      </c>
      <c r="I891" s="338" t="s">
        <v>12174</v>
      </c>
      <c r="J891" s="338" t="s">
        <v>12175</v>
      </c>
      <c r="K891" s="338" t="s">
        <v>12176</v>
      </c>
      <c r="L891" s="338">
        <v>3.944330215454102</v>
      </c>
      <c r="M891" s="338" t="s">
        <v>6</v>
      </c>
      <c r="N891" s="338" t="s">
        <v>5</v>
      </c>
      <c r="O891" s="338" t="s">
        <v>6</v>
      </c>
      <c r="P891" s="338" t="s">
        <v>5</v>
      </c>
      <c r="Q891" s="338" t="s">
        <v>5</v>
      </c>
      <c r="R891" s="338" t="s">
        <v>5612</v>
      </c>
      <c r="S891" s="338" t="s">
        <v>5612</v>
      </c>
      <c r="T891" s="338" t="s">
        <v>6</v>
      </c>
      <c r="U891" s="338" t="s">
        <v>50</v>
      </c>
      <c r="V891" s="338">
        <v>60000</v>
      </c>
      <c r="W891" s="338">
        <v>0</v>
      </c>
      <c r="X891" s="338" t="s">
        <v>6</v>
      </c>
      <c r="Y891" s="338"/>
      <c r="Z891" s="338"/>
      <c r="AA891" s="338">
        <v>0.30004796385765081</v>
      </c>
      <c r="AB891" s="338">
        <v>2.4843620136380199E-2</v>
      </c>
      <c r="AC891" s="338">
        <v>0.19001464545726779</v>
      </c>
      <c r="AD891" s="338">
        <v>17</v>
      </c>
      <c r="AE891" s="338">
        <v>4</v>
      </c>
      <c r="AF891" s="338">
        <v>6</v>
      </c>
      <c r="AG891" s="338">
        <v>67</v>
      </c>
      <c r="AH891" s="338">
        <v>3</v>
      </c>
      <c r="AI891" s="338">
        <v>69</v>
      </c>
      <c r="AJ891" s="338">
        <v>0</v>
      </c>
      <c r="AK891" s="338">
        <v>0</v>
      </c>
      <c r="AL891" s="338">
        <v>0</v>
      </c>
      <c r="AM891" s="338">
        <v>0</v>
      </c>
      <c r="AN891" s="338">
        <v>1.101364731788635</v>
      </c>
      <c r="AO891" s="338"/>
      <c r="AP891" s="338"/>
      <c r="AQ891" s="338"/>
      <c r="AR891" s="338">
        <v>0</v>
      </c>
      <c r="AS891" s="338">
        <v>0</v>
      </c>
      <c r="AT891" s="338">
        <v>0</v>
      </c>
      <c r="AU891" s="338">
        <v>0</v>
      </c>
      <c r="AV891" s="338">
        <v>0</v>
      </c>
      <c r="AW891" s="338">
        <v>0</v>
      </c>
      <c r="AX891" s="338">
        <v>0</v>
      </c>
      <c r="AY891" s="338">
        <v>0</v>
      </c>
      <c r="AZ891" s="338">
        <v>0</v>
      </c>
      <c r="BA891" s="338">
        <v>0</v>
      </c>
      <c r="BB891" s="338"/>
      <c r="BC891" s="338"/>
      <c r="BD891" s="338"/>
      <c r="BE891" s="338">
        <v>0</v>
      </c>
      <c r="BF891" s="338" t="s">
        <v>2516</v>
      </c>
      <c r="BG891" s="338" t="s">
        <v>5</v>
      </c>
      <c r="BH891" s="338" t="s">
        <v>1020</v>
      </c>
      <c r="BI891" s="338"/>
      <c r="BJ891" s="338" t="s">
        <v>5</v>
      </c>
      <c r="BK891" s="338"/>
      <c r="BL891" s="338">
        <v>0</v>
      </c>
      <c r="BM891" s="338"/>
      <c r="BN891" s="338" t="s">
        <v>5</v>
      </c>
      <c r="BO891" s="338" t="s">
        <v>2518</v>
      </c>
      <c r="BP891" s="338" t="s">
        <v>2518</v>
      </c>
      <c r="BQ891" s="338" t="s">
        <v>2518</v>
      </c>
      <c r="BR891" s="338"/>
      <c r="BS891" s="338" t="s">
        <v>6</v>
      </c>
      <c r="BT891" s="338" t="s">
        <v>2518</v>
      </c>
      <c r="BU891" s="338" t="s">
        <v>2518</v>
      </c>
      <c r="BV891" s="338" t="s">
        <v>2518</v>
      </c>
      <c r="BW891" s="338"/>
      <c r="BX891" s="338" t="s">
        <v>6</v>
      </c>
      <c r="BY891" s="338" t="s">
        <v>2605</v>
      </c>
      <c r="BZ891" s="338" t="s">
        <v>2518</v>
      </c>
      <c r="CA891"/>
      <c r="CB891" s="338" t="s">
        <v>5</v>
      </c>
      <c r="CC891" s="338">
        <v>46266.023779280193</v>
      </c>
      <c r="CD891" s="338">
        <v>10215768.438590171</v>
      </c>
      <c r="CE891" s="313" t="s">
        <v>11891</v>
      </c>
    </row>
    <row r="892" spans="1:83" ht="15" x14ac:dyDescent="0.25">
      <c r="A892" s="338" t="s">
        <v>12177</v>
      </c>
      <c r="B892" s="338" t="s">
        <v>12178</v>
      </c>
      <c r="C892" s="338" t="s">
        <v>12179</v>
      </c>
      <c r="D892" s="338">
        <v>5</v>
      </c>
      <c r="E892" s="338" t="s">
        <v>2598</v>
      </c>
      <c r="F892" s="338" t="s">
        <v>2553</v>
      </c>
      <c r="G892" s="338" t="s">
        <v>2571</v>
      </c>
      <c r="H892" s="338" t="s">
        <v>12173</v>
      </c>
      <c r="I892" s="338" t="s">
        <v>12174</v>
      </c>
      <c r="J892" s="338" t="s">
        <v>12175</v>
      </c>
      <c r="K892" s="338" t="s">
        <v>12180</v>
      </c>
      <c r="L892" s="338">
        <v>3.944330215454102</v>
      </c>
      <c r="M892" s="338" t="s">
        <v>6</v>
      </c>
      <c r="N892" s="338" t="s">
        <v>5</v>
      </c>
      <c r="O892" s="338" t="s">
        <v>6</v>
      </c>
      <c r="P892" s="338" t="s">
        <v>5</v>
      </c>
      <c r="Q892" s="338" t="s">
        <v>5</v>
      </c>
      <c r="R892" s="338" t="s">
        <v>5612</v>
      </c>
      <c r="S892" s="338" t="s">
        <v>5612</v>
      </c>
      <c r="T892" s="338" t="s">
        <v>6</v>
      </c>
      <c r="U892" s="338" t="s">
        <v>50</v>
      </c>
      <c r="V892" s="338">
        <v>30000</v>
      </c>
      <c r="W892" s="338">
        <v>0</v>
      </c>
      <c r="X892" s="338" t="s">
        <v>6</v>
      </c>
      <c r="Y892" s="338"/>
      <c r="Z892" s="338"/>
      <c r="AA892" s="338">
        <v>0.30004796385765081</v>
      </c>
      <c r="AB892" s="338">
        <v>2.4843620136380199E-2</v>
      </c>
      <c r="AC892" s="338">
        <v>0.19001464545726779</v>
      </c>
      <c r="AD892" s="338">
        <v>17</v>
      </c>
      <c r="AE892" s="338">
        <v>4</v>
      </c>
      <c r="AF892" s="338">
        <v>6</v>
      </c>
      <c r="AG892" s="338">
        <v>67</v>
      </c>
      <c r="AH892" s="338">
        <v>3</v>
      </c>
      <c r="AI892" s="338">
        <v>69</v>
      </c>
      <c r="AJ892" s="338">
        <v>0</v>
      </c>
      <c r="AK892" s="338">
        <v>0</v>
      </c>
      <c r="AL892" s="338">
        <v>0</v>
      </c>
      <c r="AM892" s="338">
        <v>0</v>
      </c>
      <c r="AN892" s="338">
        <v>1.101364731788635</v>
      </c>
      <c r="AO892" s="338"/>
      <c r="AP892" s="338"/>
      <c r="AQ892" s="338"/>
      <c r="AR892" s="338">
        <v>0</v>
      </c>
      <c r="AS892" s="338">
        <v>0</v>
      </c>
      <c r="AT892" s="338">
        <v>0</v>
      </c>
      <c r="AU892" s="338">
        <v>0</v>
      </c>
      <c r="AV892" s="338">
        <v>0</v>
      </c>
      <c r="AW892" s="338">
        <v>0</v>
      </c>
      <c r="AX892" s="338">
        <v>0</v>
      </c>
      <c r="AY892" s="338">
        <v>0</v>
      </c>
      <c r="AZ892" s="338">
        <v>0</v>
      </c>
      <c r="BA892" s="338">
        <v>0</v>
      </c>
      <c r="BB892" s="338"/>
      <c r="BC892" s="338"/>
      <c r="BD892" s="338"/>
      <c r="BE892" s="338">
        <v>0</v>
      </c>
      <c r="BF892" s="338" t="s">
        <v>2516</v>
      </c>
      <c r="BG892" s="338" t="s">
        <v>5</v>
      </c>
      <c r="BH892" s="338" t="s">
        <v>1020</v>
      </c>
      <c r="BI892" s="338"/>
      <c r="BJ892" s="338" t="s">
        <v>5</v>
      </c>
      <c r="BK892" s="338"/>
      <c r="BL892" s="338">
        <v>100</v>
      </c>
      <c r="BM892" s="338"/>
      <c r="BN892" s="338" t="s">
        <v>6</v>
      </c>
      <c r="BO892" s="338" t="s">
        <v>2518</v>
      </c>
      <c r="BP892" s="338" t="s">
        <v>2518</v>
      </c>
      <c r="BQ892" s="338" t="s">
        <v>2518</v>
      </c>
      <c r="BR892" s="338"/>
      <c r="BS892" s="338" t="s">
        <v>6</v>
      </c>
      <c r="BT892" s="338" t="s">
        <v>2518</v>
      </c>
      <c r="BU892" s="338" t="s">
        <v>2518</v>
      </c>
      <c r="BV892" s="338" t="s">
        <v>2518</v>
      </c>
      <c r="BW892" s="338"/>
      <c r="BX892" s="338" t="s">
        <v>6</v>
      </c>
      <c r="BY892" s="338" t="s">
        <v>2605</v>
      </c>
      <c r="BZ892" s="338" t="s">
        <v>2518</v>
      </c>
      <c r="CA892"/>
      <c r="CB892" s="338" t="s">
        <v>6</v>
      </c>
      <c r="CC892" s="338">
        <v>46266.023779280193</v>
      </c>
      <c r="CD892" s="338">
        <v>10215768.438590171</v>
      </c>
      <c r="CE892" s="313" t="s">
        <v>11891</v>
      </c>
    </row>
    <row r="893" spans="1:83" ht="15" x14ac:dyDescent="0.25">
      <c r="A893" s="338" t="s">
        <v>12181</v>
      </c>
      <c r="B893" s="338" t="s">
        <v>12182</v>
      </c>
      <c r="C893" s="338" t="s">
        <v>12183</v>
      </c>
      <c r="D893" s="338">
        <v>5</v>
      </c>
      <c r="E893" s="338" t="s">
        <v>2598</v>
      </c>
      <c r="F893" s="338" t="s">
        <v>2644</v>
      </c>
      <c r="G893" s="338" t="s">
        <v>2645</v>
      </c>
      <c r="H893" s="338" t="s">
        <v>2646</v>
      </c>
      <c r="I893" s="338" t="s">
        <v>2647</v>
      </c>
      <c r="J893" s="338" t="s">
        <v>2648</v>
      </c>
      <c r="K893" s="338" t="s">
        <v>12152</v>
      </c>
      <c r="L893" s="338">
        <v>434.46490478515619</v>
      </c>
      <c r="M893" s="338" t="s">
        <v>6</v>
      </c>
      <c r="N893" s="338" t="s">
        <v>6</v>
      </c>
      <c r="O893" s="338" t="s">
        <v>5</v>
      </c>
      <c r="P893" s="338" t="s">
        <v>5</v>
      </c>
      <c r="Q893" s="338" t="s">
        <v>6</v>
      </c>
      <c r="R893" s="338" t="s">
        <v>2649</v>
      </c>
      <c r="S893" s="338" t="s">
        <v>2649</v>
      </c>
      <c r="T893" s="338" t="s">
        <v>5</v>
      </c>
      <c r="U893" s="338" t="s">
        <v>13</v>
      </c>
      <c r="V893" s="338">
        <v>50000</v>
      </c>
      <c r="W893" s="338">
        <v>0</v>
      </c>
      <c r="X893" s="338" t="s">
        <v>6</v>
      </c>
      <c r="Y893" s="338"/>
      <c r="Z893" s="338"/>
      <c r="AA893" s="338">
        <v>264.63662719726563</v>
      </c>
      <c r="AB893" s="338">
        <v>106.7567901611328</v>
      </c>
      <c r="AC893" s="338">
        <v>12.27080821990967</v>
      </c>
      <c r="AD893" s="338">
        <v>1175</v>
      </c>
      <c r="AE893" s="338">
        <v>911</v>
      </c>
      <c r="AF893" s="338">
        <v>459</v>
      </c>
      <c r="AG893" s="338">
        <v>617</v>
      </c>
      <c r="AH893" s="338">
        <v>1128</v>
      </c>
      <c r="AI893" s="338">
        <v>1431</v>
      </c>
      <c r="AJ893" s="338">
        <v>0</v>
      </c>
      <c r="AK893" s="338">
        <v>0</v>
      </c>
      <c r="AL893" s="338">
        <v>162</v>
      </c>
      <c r="AM893" s="338">
        <v>0</v>
      </c>
      <c r="AN893" s="338">
        <v>36932.59375</v>
      </c>
      <c r="AO893" s="338"/>
      <c r="AP893" s="338"/>
      <c r="AQ893" s="338"/>
      <c r="AR893" s="338">
        <v>0</v>
      </c>
      <c r="AS893" s="338">
        <v>0</v>
      </c>
      <c r="AT893" s="338">
        <v>0</v>
      </c>
      <c r="AU893" s="338">
        <v>0</v>
      </c>
      <c r="AV893" s="338">
        <v>0</v>
      </c>
      <c r="AW893" s="338">
        <v>0</v>
      </c>
      <c r="AX893" s="338">
        <v>0</v>
      </c>
      <c r="AY893" s="338">
        <v>0</v>
      </c>
      <c r="AZ893" s="338">
        <v>0</v>
      </c>
      <c r="BA893" s="338">
        <v>0</v>
      </c>
      <c r="BB893" s="338"/>
      <c r="BC893" s="338"/>
      <c r="BD893" s="338"/>
      <c r="BE893" s="338">
        <v>0</v>
      </c>
      <c r="BF893" s="338" t="s">
        <v>2516</v>
      </c>
      <c r="BG893" s="338" t="s">
        <v>5</v>
      </c>
      <c r="BH893" s="338" t="s">
        <v>1020</v>
      </c>
      <c r="BI893" s="338"/>
      <c r="BJ893" s="338" t="s">
        <v>5</v>
      </c>
      <c r="BK893" s="338"/>
      <c r="BL893" s="338">
        <v>0</v>
      </c>
      <c r="BM893" s="338"/>
      <c r="BN893" s="338" t="s">
        <v>6</v>
      </c>
      <c r="BO893" s="338" t="s">
        <v>2518</v>
      </c>
      <c r="BP893" s="338" t="s">
        <v>2518</v>
      </c>
      <c r="BQ893" s="338" t="s">
        <v>2518</v>
      </c>
      <c r="BR893" s="338"/>
      <c r="BS893" s="338" t="s">
        <v>6</v>
      </c>
      <c r="BT893" s="338" t="s">
        <v>2518</v>
      </c>
      <c r="BU893" s="338" t="s">
        <v>2518</v>
      </c>
      <c r="BV893" s="338" t="s">
        <v>2518</v>
      </c>
      <c r="BW893" s="338"/>
      <c r="BX893" s="338" t="s">
        <v>6</v>
      </c>
      <c r="BY893" s="338" t="s">
        <v>2605</v>
      </c>
      <c r="BZ893" s="338" t="s">
        <v>2518</v>
      </c>
      <c r="CA893"/>
      <c r="CB893" s="338" t="s">
        <v>5</v>
      </c>
      <c r="CC893" s="338">
        <v>278427.62777734583</v>
      </c>
      <c r="CD893" s="338">
        <v>1125258898.973012</v>
      </c>
      <c r="CE893" s="313" t="s">
        <v>11891</v>
      </c>
    </row>
    <row r="894" spans="1:83" ht="15" x14ac:dyDescent="0.25">
      <c r="A894" s="338" t="s">
        <v>12184</v>
      </c>
      <c r="B894" s="338" t="s">
        <v>12185</v>
      </c>
      <c r="C894" s="338" t="s">
        <v>12186</v>
      </c>
      <c r="D894" s="338">
        <v>5</v>
      </c>
      <c r="E894" s="338" t="s">
        <v>2598</v>
      </c>
      <c r="F894" s="338" t="s">
        <v>2660</v>
      </c>
      <c r="G894" s="338" t="s">
        <v>2661</v>
      </c>
      <c r="H894" s="338" t="s">
        <v>2662</v>
      </c>
      <c r="I894" s="338"/>
      <c r="J894" s="338" t="s">
        <v>2663</v>
      </c>
      <c r="K894" s="338" t="s">
        <v>12152</v>
      </c>
      <c r="L894" s="338">
        <v>535.169921875</v>
      </c>
      <c r="M894" s="338" t="s">
        <v>6</v>
      </c>
      <c r="N894" s="338" t="s">
        <v>5</v>
      </c>
      <c r="O894" s="338" t="s">
        <v>5</v>
      </c>
      <c r="P894" s="338" t="s">
        <v>5</v>
      </c>
      <c r="Q894" s="338" t="s">
        <v>6</v>
      </c>
      <c r="R894" s="338" t="s">
        <v>2664</v>
      </c>
      <c r="S894" s="338" t="s">
        <v>2664</v>
      </c>
      <c r="T894" s="338" t="s">
        <v>5</v>
      </c>
      <c r="U894" s="338" t="s">
        <v>13</v>
      </c>
      <c r="V894" s="338">
        <v>50000</v>
      </c>
      <c r="W894" s="338">
        <v>0</v>
      </c>
      <c r="X894" s="338" t="s">
        <v>6</v>
      </c>
      <c r="Y894" s="338"/>
      <c r="Z894" s="338"/>
      <c r="AA894" s="338">
        <v>100.67148590087891</v>
      </c>
      <c r="AB894" s="338">
        <v>5.3430233001708984</v>
      </c>
      <c r="AC894" s="338">
        <v>1.483112692832947</v>
      </c>
      <c r="AD894" s="338">
        <v>84</v>
      </c>
      <c r="AE894" s="338">
        <v>32</v>
      </c>
      <c r="AF894" s="338">
        <v>45</v>
      </c>
      <c r="AG894" s="338">
        <v>321</v>
      </c>
      <c r="AH894" s="338">
        <v>124</v>
      </c>
      <c r="AI894" s="338">
        <v>368</v>
      </c>
      <c r="AJ894" s="338">
        <v>0</v>
      </c>
      <c r="AK894" s="338">
        <v>8</v>
      </c>
      <c r="AL894" s="338">
        <v>17</v>
      </c>
      <c r="AM894" s="338">
        <v>8</v>
      </c>
      <c r="AN894" s="338">
        <v>62.190280914306641</v>
      </c>
      <c r="AO894" s="338"/>
      <c r="AP894" s="338"/>
      <c r="AQ894" s="338"/>
      <c r="AR894" s="338">
        <v>0</v>
      </c>
      <c r="AS894" s="338">
        <v>0</v>
      </c>
      <c r="AT894" s="338">
        <v>0</v>
      </c>
      <c r="AU894" s="338">
        <v>0</v>
      </c>
      <c r="AV894" s="338">
        <v>0</v>
      </c>
      <c r="AW894" s="338">
        <v>0</v>
      </c>
      <c r="AX894" s="338">
        <v>0</v>
      </c>
      <c r="AY894" s="338">
        <v>0</v>
      </c>
      <c r="AZ894" s="338">
        <v>0</v>
      </c>
      <c r="BA894" s="338">
        <v>0</v>
      </c>
      <c r="BB894" s="338"/>
      <c r="BC894" s="338"/>
      <c r="BD894" s="338"/>
      <c r="BE894" s="338">
        <v>0</v>
      </c>
      <c r="BF894" s="338" t="s">
        <v>2516</v>
      </c>
      <c r="BG894" s="338" t="s">
        <v>5</v>
      </c>
      <c r="BH894" s="338" t="s">
        <v>1020</v>
      </c>
      <c r="BI894" s="338"/>
      <c r="BJ894" s="338" t="s">
        <v>5</v>
      </c>
      <c r="BK894" s="338"/>
      <c r="BL894" s="338">
        <v>0</v>
      </c>
      <c r="BM894" s="338"/>
      <c r="BN894" s="338" t="s">
        <v>6</v>
      </c>
      <c r="BO894" s="338" t="s">
        <v>2518</v>
      </c>
      <c r="BP894" s="338" t="s">
        <v>2518</v>
      </c>
      <c r="BQ894" s="338" t="s">
        <v>2518</v>
      </c>
      <c r="BR894" s="338"/>
      <c r="BS894" s="338" t="s">
        <v>6</v>
      </c>
      <c r="BT894" s="338" t="s">
        <v>2518</v>
      </c>
      <c r="BU894" s="338" t="s">
        <v>2518</v>
      </c>
      <c r="BV894" s="338" t="s">
        <v>2518</v>
      </c>
      <c r="BW894" s="338"/>
      <c r="BX894" s="338" t="s">
        <v>6</v>
      </c>
      <c r="BY894" s="338" t="s">
        <v>2605</v>
      </c>
      <c r="BZ894" s="338" t="s">
        <v>2518</v>
      </c>
      <c r="CA894"/>
      <c r="CB894" s="338" t="s">
        <v>5</v>
      </c>
      <c r="CC894" s="338">
        <v>244800.71167295959</v>
      </c>
      <c r="CD894" s="338">
        <v>1386083750.736033</v>
      </c>
      <c r="CE894" s="313" t="s">
        <v>11891</v>
      </c>
    </row>
    <row r="895" spans="1:83" ht="15" x14ac:dyDescent="0.25">
      <c r="A895" s="338" t="s">
        <v>12187</v>
      </c>
      <c r="B895" s="338" t="s">
        <v>12188</v>
      </c>
      <c r="C895" s="338" t="s">
        <v>12189</v>
      </c>
      <c r="D895" s="338">
        <v>5</v>
      </c>
      <c r="E895" s="338" t="s">
        <v>2598</v>
      </c>
      <c r="F895" s="338" t="s">
        <v>1771</v>
      </c>
      <c r="G895" s="338" t="s">
        <v>2614</v>
      </c>
      <c r="H895" s="338" t="s">
        <v>2665</v>
      </c>
      <c r="I895" s="338" t="s">
        <v>2666</v>
      </c>
      <c r="J895" s="338" t="s">
        <v>2667</v>
      </c>
      <c r="K895" s="338" t="s">
        <v>12152</v>
      </c>
      <c r="L895" s="338">
        <v>341.74038696289063</v>
      </c>
      <c r="M895" s="338" t="s">
        <v>6</v>
      </c>
      <c r="N895" s="338" t="s">
        <v>5</v>
      </c>
      <c r="O895" s="338" t="s">
        <v>6</v>
      </c>
      <c r="P895" s="338" t="s">
        <v>5</v>
      </c>
      <c r="Q895" s="338" t="s">
        <v>5</v>
      </c>
      <c r="R895" s="338" t="s">
        <v>2668</v>
      </c>
      <c r="S895" s="338" t="s">
        <v>2668</v>
      </c>
      <c r="T895" s="338" t="s">
        <v>5</v>
      </c>
      <c r="U895" s="338" t="s">
        <v>13</v>
      </c>
      <c r="V895" s="338">
        <v>10200</v>
      </c>
      <c r="W895" s="338">
        <v>0</v>
      </c>
      <c r="X895" s="338" t="s">
        <v>6</v>
      </c>
      <c r="Y895" s="338"/>
      <c r="Z895" s="338"/>
      <c r="AA895" s="338">
        <v>73.890914916992188</v>
      </c>
      <c r="AB895" s="338">
        <v>5.1078891754150391</v>
      </c>
      <c r="AC895" s="338">
        <v>2.3389770984649658</v>
      </c>
      <c r="AD895" s="338">
        <v>32</v>
      </c>
      <c r="AE895" s="338">
        <v>9</v>
      </c>
      <c r="AF895" s="338">
        <v>15</v>
      </c>
      <c r="AG895" s="338">
        <v>7</v>
      </c>
      <c r="AH895" s="338">
        <v>15</v>
      </c>
      <c r="AI895" s="338">
        <v>15</v>
      </c>
      <c r="AJ895" s="338">
        <v>0</v>
      </c>
      <c r="AK895" s="338">
        <v>1</v>
      </c>
      <c r="AL895" s="338">
        <v>22</v>
      </c>
      <c r="AM895" s="338">
        <v>1</v>
      </c>
      <c r="AN895" s="338">
        <v>68.388084411621094</v>
      </c>
      <c r="AO895" s="338"/>
      <c r="AP895" s="338"/>
      <c r="AQ895" s="338"/>
      <c r="AR895" s="338">
        <v>0</v>
      </c>
      <c r="AS895" s="338">
        <v>0</v>
      </c>
      <c r="AT895" s="338">
        <v>0</v>
      </c>
      <c r="AU895" s="338">
        <v>0</v>
      </c>
      <c r="AV895" s="338">
        <v>0</v>
      </c>
      <c r="AW895" s="338">
        <v>0</v>
      </c>
      <c r="AX895" s="338">
        <v>0</v>
      </c>
      <c r="AY895" s="338">
        <v>0</v>
      </c>
      <c r="AZ895" s="338">
        <v>0</v>
      </c>
      <c r="BA895" s="338">
        <v>0</v>
      </c>
      <c r="BB895" s="338"/>
      <c r="BC895" s="338"/>
      <c r="BD895" s="338"/>
      <c r="BE895" s="338">
        <v>0</v>
      </c>
      <c r="BF895" s="338" t="s">
        <v>2516</v>
      </c>
      <c r="BG895" s="338" t="s">
        <v>5</v>
      </c>
      <c r="BH895" s="338" t="s">
        <v>1020</v>
      </c>
      <c r="BI895" s="338"/>
      <c r="BJ895" s="338" t="s">
        <v>5</v>
      </c>
      <c r="BK895" s="338"/>
      <c r="BL895" s="338">
        <v>0</v>
      </c>
      <c r="BM895" s="338"/>
      <c r="BN895" s="338" t="s">
        <v>6</v>
      </c>
      <c r="BO895" s="338" t="s">
        <v>2518</v>
      </c>
      <c r="BP895" s="338" t="s">
        <v>2518</v>
      </c>
      <c r="BQ895" s="338" t="s">
        <v>2518</v>
      </c>
      <c r="BR895" s="338"/>
      <c r="BS895" s="338" t="s">
        <v>6</v>
      </c>
      <c r="BT895" s="338" t="s">
        <v>2518</v>
      </c>
      <c r="BU895" s="338" t="s">
        <v>2518</v>
      </c>
      <c r="BV895" s="338" t="s">
        <v>2518</v>
      </c>
      <c r="BW895" s="338"/>
      <c r="BX895" s="338" t="s">
        <v>6</v>
      </c>
      <c r="BY895" s="338" t="s">
        <v>2605</v>
      </c>
      <c r="BZ895" s="338" t="s">
        <v>2518</v>
      </c>
      <c r="CA895"/>
      <c r="CB895" s="338" t="s">
        <v>5</v>
      </c>
      <c r="CC895" s="338">
        <v>156080.71091351419</v>
      </c>
      <c r="CD895" s="338">
        <v>885103503.67053807</v>
      </c>
      <c r="CE895" s="313" t="s">
        <v>11891</v>
      </c>
    </row>
    <row r="896" spans="1:83" ht="15" x14ac:dyDescent="0.25">
      <c r="A896" s="338" t="s">
        <v>12190</v>
      </c>
      <c r="B896" s="338" t="s">
        <v>12191</v>
      </c>
      <c r="C896" s="338" t="s">
        <v>12192</v>
      </c>
      <c r="D896" s="338">
        <v>5</v>
      </c>
      <c r="E896" s="338" t="s">
        <v>2598</v>
      </c>
      <c r="F896" s="338" t="s">
        <v>1771</v>
      </c>
      <c r="G896" s="338" t="s">
        <v>2614</v>
      </c>
      <c r="H896" s="338" t="s">
        <v>2665</v>
      </c>
      <c r="I896" s="338" t="s">
        <v>2666</v>
      </c>
      <c r="J896" s="338" t="s">
        <v>2667</v>
      </c>
      <c r="K896" s="338" t="s">
        <v>2672</v>
      </c>
      <c r="L896" s="338">
        <v>341.74038696289063</v>
      </c>
      <c r="M896" s="338" t="s">
        <v>6</v>
      </c>
      <c r="N896" s="338" t="s">
        <v>5</v>
      </c>
      <c r="O896" s="338" t="s">
        <v>6</v>
      </c>
      <c r="P896" s="338" t="s">
        <v>5</v>
      </c>
      <c r="Q896" s="338" t="s">
        <v>5</v>
      </c>
      <c r="R896" s="338" t="s">
        <v>2668</v>
      </c>
      <c r="S896" s="338" t="s">
        <v>2668</v>
      </c>
      <c r="T896" s="338" t="s">
        <v>6</v>
      </c>
      <c r="U896" s="338" t="s">
        <v>50</v>
      </c>
      <c r="V896" s="338">
        <v>30600</v>
      </c>
      <c r="W896" s="338">
        <v>0</v>
      </c>
      <c r="X896" s="338" t="s">
        <v>6</v>
      </c>
      <c r="Y896" s="338"/>
      <c r="Z896" s="338"/>
      <c r="AA896" s="338">
        <v>73.890914916992188</v>
      </c>
      <c r="AB896" s="338">
        <v>5.1078891754150391</v>
      </c>
      <c r="AC896" s="338">
        <v>2.3389770984649658</v>
      </c>
      <c r="AD896" s="338">
        <v>32</v>
      </c>
      <c r="AE896" s="338">
        <v>9</v>
      </c>
      <c r="AF896" s="338">
        <v>15</v>
      </c>
      <c r="AG896" s="338">
        <v>7</v>
      </c>
      <c r="AH896" s="338">
        <v>15</v>
      </c>
      <c r="AI896" s="338">
        <v>15</v>
      </c>
      <c r="AJ896" s="338">
        <v>0</v>
      </c>
      <c r="AK896" s="338">
        <v>1</v>
      </c>
      <c r="AL896" s="338">
        <v>22</v>
      </c>
      <c r="AM896" s="338">
        <v>1</v>
      </c>
      <c r="AN896" s="338">
        <v>68.388084411621094</v>
      </c>
      <c r="AO896" s="338"/>
      <c r="AP896" s="338"/>
      <c r="AQ896" s="338"/>
      <c r="AR896" s="338">
        <v>0</v>
      </c>
      <c r="AS896" s="338">
        <v>0</v>
      </c>
      <c r="AT896" s="338">
        <v>0</v>
      </c>
      <c r="AU896" s="338">
        <v>0</v>
      </c>
      <c r="AV896" s="338">
        <v>0</v>
      </c>
      <c r="AW896" s="338">
        <v>0</v>
      </c>
      <c r="AX896" s="338">
        <v>0</v>
      </c>
      <c r="AY896" s="338">
        <v>0</v>
      </c>
      <c r="AZ896" s="338">
        <v>0</v>
      </c>
      <c r="BA896" s="338">
        <v>0</v>
      </c>
      <c r="BB896" s="338"/>
      <c r="BC896" s="338"/>
      <c r="BD896" s="338"/>
      <c r="BE896" s="338">
        <v>0</v>
      </c>
      <c r="BF896" s="338" t="s">
        <v>2516</v>
      </c>
      <c r="BG896" s="338" t="s">
        <v>5</v>
      </c>
      <c r="BH896" s="338" t="s">
        <v>1020</v>
      </c>
      <c r="BI896" s="338"/>
      <c r="BJ896" s="338" t="s">
        <v>5</v>
      </c>
      <c r="BK896" s="338"/>
      <c r="BL896" s="338">
        <v>0</v>
      </c>
      <c r="BM896" s="338"/>
      <c r="BN896" s="338" t="s">
        <v>5</v>
      </c>
      <c r="BO896" s="338" t="s">
        <v>2518</v>
      </c>
      <c r="BP896" s="338" t="s">
        <v>2518</v>
      </c>
      <c r="BQ896" s="338" t="s">
        <v>2518</v>
      </c>
      <c r="BR896" s="338"/>
      <c r="BS896" s="338" t="s">
        <v>6</v>
      </c>
      <c r="BT896" s="338" t="s">
        <v>2518</v>
      </c>
      <c r="BU896" s="338" t="s">
        <v>2518</v>
      </c>
      <c r="BV896" s="338" t="s">
        <v>2518</v>
      </c>
      <c r="BW896" s="338"/>
      <c r="BX896" s="338" t="s">
        <v>6</v>
      </c>
      <c r="BY896" s="338" t="s">
        <v>2605</v>
      </c>
      <c r="BZ896" s="338" t="s">
        <v>2518</v>
      </c>
      <c r="CA896"/>
      <c r="CB896" s="338" t="s">
        <v>5</v>
      </c>
      <c r="CC896" s="338">
        <v>156080.71091351419</v>
      </c>
      <c r="CD896" s="338">
        <v>885103503.67053807</v>
      </c>
      <c r="CE896" s="313" t="s">
        <v>11891</v>
      </c>
    </row>
    <row r="897" spans="1:83" ht="15" x14ac:dyDescent="0.25">
      <c r="A897" s="338" t="s">
        <v>12193</v>
      </c>
      <c r="B897" s="338" t="s">
        <v>12194</v>
      </c>
      <c r="C897" s="338" t="s">
        <v>12195</v>
      </c>
      <c r="D897" s="338">
        <v>5</v>
      </c>
      <c r="E897" s="338" t="s">
        <v>2598</v>
      </c>
      <c r="F897" s="338" t="s">
        <v>2613</v>
      </c>
      <c r="G897" s="338" t="s">
        <v>2676</v>
      </c>
      <c r="H897" s="338" t="s">
        <v>2682</v>
      </c>
      <c r="I897" s="338"/>
      <c r="J897" s="338"/>
      <c r="K897" s="338" t="s">
        <v>12152</v>
      </c>
      <c r="L897" s="338">
        <v>860.9822998046875</v>
      </c>
      <c r="M897" s="338" t="s">
        <v>6</v>
      </c>
      <c r="N897" s="338" t="s">
        <v>5</v>
      </c>
      <c r="O897" s="338" t="s">
        <v>6</v>
      </c>
      <c r="P897" s="338" t="s">
        <v>5</v>
      </c>
      <c r="Q897" s="338" t="s">
        <v>6</v>
      </c>
      <c r="R897" s="338" t="s">
        <v>2678</v>
      </c>
      <c r="S897" s="338" t="s">
        <v>2684</v>
      </c>
      <c r="T897" s="338" t="s">
        <v>5</v>
      </c>
      <c r="U897" s="338" t="s">
        <v>13</v>
      </c>
      <c r="V897" s="338">
        <v>10000</v>
      </c>
      <c r="W897" s="338">
        <v>0</v>
      </c>
      <c r="X897" s="338" t="s">
        <v>6</v>
      </c>
      <c r="Y897" s="338"/>
      <c r="Z897" s="338"/>
      <c r="AA897" s="338">
        <v>228.10618591308591</v>
      </c>
      <c r="AB897" s="338">
        <v>10.454215049743651</v>
      </c>
      <c r="AC897" s="338">
        <v>8.7180318832397461</v>
      </c>
      <c r="AD897" s="338">
        <v>1201</v>
      </c>
      <c r="AE897" s="338">
        <v>217</v>
      </c>
      <c r="AF897" s="338">
        <v>750</v>
      </c>
      <c r="AG897" s="338">
        <v>6718</v>
      </c>
      <c r="AH897" s="338">
        <v>2570</v>
      </c>
      <c r="AI897" s="338">
        <v>8420</v>
      </c>
      <c r="AJ897" s="338">
        <v>11</v>
      </c>
      <c r="AK897" s="338">
        <v>19</v>
      </c>
      <c r="AL897" s="338">
        <v>66</v>
      </c>
      <c r="AM897" s="338">
        <v>19</v>
      </c>
      <c r="AN897" s="338">
        <v>165.36151123046881</v>
      </c>
      <c r="AO897" s="338"/>
      <c r="AP897" s="338"/>
      <c r="AQ897" s="338"/>
      <c r="AR897" s="338">
        <v>0</v>
      </c>
      <c r="AS897" s="338">
        <v>0</v>
      </c>
      <c r="AT897" s="338">
        <v>0</v>
      </c>
      <c r="AU897" s="338">
        <v>0</v>
      </c>
      <c r="AV897" s="338">
        <v>0</v>
      </c>
      <c r="AW897" s="338">
        <v>0</v>
      </c>
      <c r="AX897" s="338">
        <v>0</v>
      </c>
      <c r="AY897" s="338">
        <v>0</v>
      </c>
      <c r="AZ897" s="338">
        <v>0</v>
      </c>
      <c r="BA897" s="338">
        <v>0</v>
      </c>
      <c r="BB897" s="338"/>
      <c r="BC897" s="338"/>
      <c r="BD897" s="338"/>
      <c r="BE897" s="338">
        <v>0</v>
      </c>
      <c r="BF897" s="338" t="s">
        <v>2516</v>
      </c>
      <c r="BG897" s="338" t="s">
        <v>5</v>
      </c>
      <c r="BH897" s="338" t="s">
        <v>1020</v>
      </c>
      <c r="BI897" s="338"/>
      <c r="BJ897" s="338" t="s">
        <v>5</v>
      </c>
      <c r="BK897" s="338"/>
      <c r="BL897" s="338">
        <v>0</v>
      </c>
      <c r="BM897" s="338"/>
      <c r="BN897" s="338" t="s">
        <v>6</v>
      </c>
      <c r="BO897" s="338" t="s">
        <v>2518</v>
      </c>
      <c r="BP897" s="338" t="s">
        <v>2518</v>
      </c>
      <c r="BQ897" s="338" t="s">
        <v>2518</v>
      </c>
      <c r="BR897" s="338"/>
      <c r="BS897" s="338" t="s">
        <v>6</v>
      </c>
      <c r="BT897" s="338" t="s">
        <v>2518</v>
      </c>
      <c r="BU897" s="338" t="s">
        <v>2518</v>
      </c>
      <c r="BV897" s="338" t="s">
        <v>2518</v>
      </c>
      <c r="BW897" s="338"/>
      <c r="BX897" s="338" t="s">
        <v>6</v>
      </c>
      <c r="BY897" s="338" t="s">
        <v>2605</v>
      </c>
      <c r="BZ897" s="338" t="s">
        <v>2518</v>
      </c>
      <c r="CA897"/>
      <c r="CB897" s="338" t="s">
        <v>5</v>
      </c>
      <c r="CC897" s="338">
        <v>347588.24190946837</v>
      </c>
      <c r="CD897" s="338">
        <v>2229933853.8416839</v>
      </c>
      <c r="CE897" s="313" t="s">
        <v>11891</v>
      </c>
    </row>
    <row r="898" spans="1:83" ht="15" x14ac:dyDescent="0.25">
      <c r="A898" s="338" t="s">
        <v>12196</v>
      </c>
      <c r="B898" s="338" t="s">
        <v>12197</v>
      </c>
      <c r="C898" s="338" t="s">
        <v>12198</v>
      </c>
      <c r="D898" s="338">
        <v>5</v>
      </c>
      <c r="E898" s="338" t="s">
        <v>2598</v>
      </c>
      <c r="F898" s="338" t="s">
        <v>2171</v>
      </c>
      <c r="G898" s="338" t="s">
        <v>2685</v>
      </c>
      <c r="H898" s="338" t="s">
        <v>2686</v>
      </c>
      <c r="I898" s="338" t="s">
        <v>2687</v>
      </c>
      <c r="J898" s="338" t="s">
        <v>2688</v>
      </c>
      <c r="K898" s="338" t="s">
        <v>12152</v>
      </c>
      <c r="L898" s="338">
        <v>418.21084594726563</v>
      </c>
      <c r="M898" s="338" t="s">
        <v>6</v>
      </c>
      <c r="N898" s="338" t="s">
        <v>5</v>
      </c>
      <c r="O898" s="338" t="s">
        <v>6</v>
      </c>
      <c r="P898" s="338" t="s">
        <v>5</v>
      </c>
      <c r="Q898" s="338" t="s">
        <v>6</v>
      </c>
      <c r="R898" s="338" t="s">
        <v>2067</v>
      </c>
      <c r="S898" s="338" t="s">
        <v>12199</v>
      </c>
      <c r="T898" s="338" t="s">
        <v>5</v>
      </c>
      <c r="U898" s="338" t="s">
        <v>13</v>
      </c>
      <c r="V898" s="338">
        <v>22200</v>
      </c>
      <c r="W898" s="338">
        <v>0</v>
      </c>
      <c r="X898" s="338" t="s">
        <v>6</v>
      </c>
      <c r="Y898" s="338"/>
      <c r="Z898" s="338"/>
      <c r="AA898" s="338">
        <v>61.414657592773438</v>
      </c>
      <c r="AB898" s="338">
        <v>4.7471528053283691</v>
      </c>
      <c r="AC898" s="338">
        <v>3.9730210304260249</v>
      </c>
      <c r="AD898" s="338">
        <v>17</v>
      </c>
      <c r="AE898" s="338">
        <v>2</v>
      </c>
      <c r="AF898" s="338">
        <v>3</v>
      </c>
      <c r="AG898" s="338">
        <v>5</v>
      </c>
      <c r="AH898" s="338">
        <v>16</v>
      </c>
      <c r="AI898" s="338">
        <v>16</v>
      </c>
      <c r="AJ898" s="338">
        <v>0</v>
      </c>
      <c r="AK898" s="338">
        <v>7</v>
      </c>
      <c r="AL898" s="338">
        <v>20</v>
      </c>
      <c r="AM898" s="338">
        <v>7</v>
      </c>
      <c r="AN898" s="338">
        <v>116.8699188232422</v>
      </c>
      <c r="AO898" s="338"/>
      <c r="AP898" s="338"/>
      <c r="AQ898" s="338"/>
      <c r="AR898" s="338">
        <v>0</v>
      </c>
      <c r="AS898" s="338">
        <v>0</v>
      </c>
      <c r="AT898" s="338">
        <v>0</v>
      </c>
      <c r="AU898" s="338">
        <v>0</v>
      </c>
      <c r="AV898" s="338">
        <v>0</v>
      </c>
      <c r="AW898" s="338">
        <v>0</v>
      </c>
      <c r="AX898" s="338">
        <v>0</v>
      </c>
      <c r="AY898" s="338">
        <v>0</v>
      </c>
      <c r="AZ898" s="338">
        <v>0</v>
      </c>
      <c r="BA898" s="338">
        <v>0</v>
      </c>
      <c r="BB898" s="338"/>
      <c r="BC898" s="338"/>
      <c r="BD898" s="338"/>
      <c r="BE898" s="338">
        <v>0</v>
      </c>
      <c r="BF898" s="338" t="s">
        <v>2516</v>
      </c>
      <c r="BG898" s="338" t="s">
        <v>5</v>
      </c>
      <c r="BH898" s="338" t="s">
        <v>1020</v>
      </c>
      <c r="BI898" s="338"/>
      <c r="BJ898" s="338" t="s">
        <v>5</v>
      </c>
      <c r="BK898" s="338"/>
      <c r="BL898" s="338">
        <v>0</v>
      </c>
      <c r="BM898" s="338"/>
      <c r="BN898" s="338" t="s">
        <v>6</v>
      </c>
      <c r="BO898" s="338" t="s">
        <v>2518</v>
      </c>
      <c r="BP898" s="338" t="s">
        <v>2518</v>
      </c>
      <c r="BQ898" s="338" t="s">
        <v>2518</v>
      </c>
      <c r="BR898" s="338"/>
      <c r="BS898" s="338" t="s">
        <v>6</v>
      </c>
      <c r="BT898" s="338" t="s">
        <v>2518</v>
      </c>
      <c r="BU898" s="338" t="s">
        <v>2518</v>
      </c>
      <c r="BV898" s="338" t="s">
        <v>2518</v>
      </c>
      <c r="BW898" s="338"/>
      <c r="BX898" s="338" t="s">
        <v>6</v>
      </c>
      <c r="BY898" s="338" t="s">
        <v>2605</v>
      </c>
      <c r="BZ898" s="338" t="s">
        <v>2518</v>
      </c>
      <c r="CA898"/>
      <c r="CB898" s="338" t="s">
        <v>5</v>
      </c>
      <c r="CC898" s="338">
        <v>191278.39302701049</v>
      </c>
      <c r="CD898" s="338">
        <v>1083161157.7274129</v>
      </c>
      <c r="CE898" s="313" t="s">
        <v>11891</v>
      </c>
    </row>
    <row r="899" spans="1:83" ht="15" x14ac:dyDescent="0.25">
      <c r="A899" s="338" t="s">
        <v>12200</v>
      </c>
      <c r="B899" s="338" t="s">
        <v>12201</v>
      </c>
      <c r="C899" s="338" t="s">
        <v>12202</v>
      </c>
      <c r="D899" s="338">
        <v>5</v>
      </c>
      <c r="E899" s="338" t="s">
        <v>2598</v>
      </c>
      <c r="F899" s="338" t="s">
        <v>2171</v>
      </c>
      <c r="G899" s="338" t="s">
        <v>2685</v>
      </c>
      <c r="H899" s="338" t="s">
        <v>2686</v>
      </c>
      <c r="I899" s="338" t="s">
        <v>2687</v>
      </c>
      <c r="J899" s="338" t="s">
        <v>2688</v>
      </c>
      <c r="K899" s="338" t="s">
        <v>12152</v>
      </c>
      <c r="L899" s="338">
        <v>418.21084594726563</v>
      </c>
      <c r="M899" s="338" t="s">
        <v>6</v>
      </c>
      <c r="N899" s="338" t="s">
        <v>5</v>
      </c>
      <c r="O899" s="338" t="s">
        <v>6</v>
      </c>
      <c r="P899" s="338" t="s">
        <v>5</v>
      </c>
      <c r="Q899" s="338" t="s">
        <v>6</v>
      </c>
      <c r="R899" s="338" t="s">
        <v>2067</v>
      </c>
      <c r="S899" s="338" t="s">
        <v>2067</v>
      </c>
      <c r="T899" s="338" t="s">
        <v>5</v>
      </c>
      <c r="U899" s="338" t="s">
        <v>13</v>
      </c>
      <c r="V899" s="338">
        <v>10000</v>
      </c>
      <c r="W899" s="338">
        <v>0</v>
      </c>
      <c r="X899" s="338" t="s">
        <v>6</v>
      </c>
      <c r="Y899" s="338"/>
      <c r="Z899" s="338"/>
      <c r="AA899" s="338">
        <v>61.414657592773438</v>
      </c>
      <c r="AB899" s="338">
        <v>4.7471528053283691</v>
      </c>
      <c r="AC899" s="338">
        <v>3.9730210304260249</v>
      </c>
      <c r="AD899" s="338">
        <v>17</v>
      </c>
      <c r="AE899" s="338">
        <v>2</v>
      </c>
      <c r="AF899" s="338">
        <v>3</v>
      </c>
      <c r="AG899" s="338">
        <v>5</v>
      </c>
      <c r="AH899" s="338">
        <v>16</v>
      </c>
      <c r="AI899" s="338">
        <v>16</v>
      </c>
      <c r="AJ899" s="338">
        <v>0</v>
      </c>
      <c r="AK899" s="338">
        <v>7</v>
      </c>
      <c r="AL899" s="338">
        <v>20</v>
      </c>
      <c r="AM899" s="338">
        <v>7</v>
      </c>
      <c r="AN899" s="338">
        <v>116.8699188232422</v>
      </c>
      <c r="AO899" s="338"/>
      <c r="AP899" s="338"/>
      <c r="AQ899" s="338"/>
      <c r="AR899" s="338">
        <v>0</v>
      </c>
      <c r="AS899" s="338">
        <v>0</v>
      </c>
      <c r="AT899" s="338">
        <v>0</v>
      </c>
      <c r="AU899" s="338">
        <v>0</v>
      </c>
      <c r="AV899" s="338">
        <v>0</v>
      </c>
      <c r="AW899" s="338">
        <v>0</v>
      </c>
      <c r="AX899" s="338">
        <v>0</v>
      </c>
      <c r="AY899" s="338">
        <v>0</v>
      </c>
      <c r="AZ899" s="338">
        <v>0</v>
      </c>
      <c r="BA899" s="338">
        <v>0</v>
      </c>
      <c r="BB899" s="338"/>
      <c r="BC899" s="338"/>
      <c r="BD899" s="338"/>
      <c r="BE899" s="338">
        <v>0</v>
      </c>
      <c r="BF899" s="338" t="s">
        <v>2516</v>
      </c>
      <c r="BG899" s="338" t="s">
        <v>5</v>
      </c>
      <c r="BH899" s="338" t="s">
        <v>1020</v>
      </c>
      <c r="BI899" s="338"/>
      <c r="BJ899" s="338" t="s">
        <v>5</v>
      </c>
      <c r="BK899" s="338"/>
      <c r="BL899" s="338">
        <v>0</v>
      </c>
      <c r="BM899" s="338"/>
      <c r="BN899" s="338" t="s">
        <v>6</v>
      </c>
      <c r="BO899" s="338" t="s">
        <v>2518</v>
      </c>
      <c r="BP899" s="338" t="s">
        <v>2518</v>
      </c>
      <c r="BQ899" s="338" t="s">
        <v>2518</v>
      </c>
      <c r="BR899" s="338"/>
      <c r="BS899" s="338" t="s">
        <v>6</v>
      </c>
      <c r="BT899" s="338" t="s">
        <v>2518</v>
      </c>
      <c r="BU899" s="338" t="s">
        <v>2518</v>
      </c>
      <c r="BV899" s="338" t="s">
        <v>2518</v>
      </c>
      <c r="BW899" s="338"/>
      <c r="BX899" s="338" t="s">
        <v>6</v>
      </c>
      <c r="BY899" s="338" t="s">
        <v>2605</v>
      </c>
      <c r="BZ899" s="338" t="s">
        <v>2518</v>
      </c>
      <c r="CA899"/>
      <c r="CB899" s="338" t="s">
        <v>5</v>
      </c>
      <c r="CC899" s="338">
        <v>191278.39302701049</v>
      </c>
      <c r="CD899" s="338">
        <v>1083161157.7274129</v>
      </c>
      <c r="CE899" s="313" t="s">
        <v>11891</v>
      </c>
    </row>
    <row r="900" spans="1:83" ht="15" x14ac:dyDescent="0.25">
      <c r="A900" s="338" t="s">
        <v>12203</v>
      </c>
      <c r="B900" s="338" t="s">
        <v>12204</v>
      </c>
      <c r="C900" s="338" t="s">
        <v>12205</v>
      </c>
      <c r="D900" s="338">
        <v>5</v>
      </c>
      <c r="E900" s="338" t="s">
        <v>2598</v>
      </c>
      <c r="F900" s="338" t="s">
        <v>2171</v>
      </c>
      <c r="G900" s="338" t="s">
        <v>2685</v>
      </c>
      <c r="H900" s="338" t="s">
        <v>2689</v>
      </c>
      <c r="I900" s="338" t="s">
        <v>2687</v>
      </c>
      <c r="J900" s="338" t="s">
        <v>2688</v>
      </c>
      <c r="K900" s="338" t="s">
        <v>12152</v>
      </c>
      <c r="L900" s="338">
        <v>418.21084594726563</v>
      </c>
      <c r="M900" s="338" t="s">
        <v>6</v>
      </c>
      <c r="N900" s="338" t="s">
        <v>5</v>
      </c>
      <c r="O900" s="338" t="s">
        <v>6</v>
      </c>
      <c r="P900" s="338" t="s">
        <v>5</v>
      </c>
      <c r="Q900" s="338" t="s">
        <v>6</v>
      </c>
      <c r="R900" s="338" t="s">
        <v>2067</v>
      </c>
      <c r="S900" s="338" t="s">
        <v>2067</v>
      </c>
      <c r="T900" s="338" t="s">
        <v>5</v>
      </c>
      <c r="U900" s="338" t="s">
        <v>13</v>
      </c>
      <c r="V900" s="338">
        <v>10000</v>
      </c>
      <c r="W900" s="338">
        <v>0</v>
      </c>
      <c r="X900" s="338" t="s">
        <v>6</v>
      </c>
      <c r="Y900" s="338"/>
      <c r="Z900" s="338"/>
      <c r="AA900" s="338">
        <v>61.414657592773438</v>
      </c>
      <c r="AB900" s="338">
        <v>4.7471528053283691</v>
      </c>
      <c r="AC900" s="338">
        <v>3.9730210304260249</v>
      </c>
      <c r="AD900" s="338">
        <v>17</v>
      </c>
      <c r="AE900" s="338">
        <v>2</v>
      </c>
      <c r="AF900" s="338">
        <v>3</v>
      </c>
      <c r="AG900" s="338">
        <v>5</v>
      </c>
      <c r="AH900" s="338">
        <v>16</v>
      </c>
      <c r="AI900" s="338">
        <v>16</v>
      </c>
      <c r="AJ900" s="338">
        <v>0</v>
      </c>
      <c r="AK900" s="338">
        <v>7</v>
      </c>
      <c r="AL900" s="338">
        <v>20</v>
      </c>
      <c r="AM900" s="338">
        <v>7</v>
      </c>
      <c r="AN900" s="338">
        <v>116.8699188232422</v>
      </c>
      <c r="AO900" s="338"/>
      <c r="AP900" s="338"/>
      <c r="AQ900" s="338"/>
      <c r="AR900" s="338">
        <v>0</v>
      </c>
      <c r="AS900" s="338">
        <v>0</v>
      </c>
      <c r="AT900" s="338">
        <v>0</v>
      </c>
      <c r="AU900" s="338">
        <v>0</v>
      </c>
      <c r="AV900" s="338">
        <v>0</v>
      </c>
      <c r="AW900" s="338">
        <v>0</v>
      </c>
      <c r="AX900" s="338">
        <v>0</v>
      </c>
      <c r="AY900" s="338">
        <v>0</v>
      </c>
      <c r="AZ900" s="338">
        <v>0</v>
      </c>
      <c r="BA900" s="338">
        <v>0</v>
      </c>
      <c r="BB900" s="338"/>
      <c r="BC900" s="338"/>
      <c r="BD900" s="338"/>
      <c r="BE900" s="338">
        <v>0</v>
      </c>
      <c r="BF900" s="338" t="s">
        <v>2516</v>
      </c>
      <c r="BG900" s="338" t="s">
        <v>5</v>
      </c>
      <c r="BH900" s="338" t="s">
        <v>1020</v>
      </c>
      <c r="BI900" s="338"/>
      <c r="BJ900" s="338" t="s">
        <v>5</v>
      </c>
      <c r="BK900" s="338"/>
      <c r="BL900" s="338">
        <v>0</v>
      </c>
      <c r="BM900" s="338"/>
      <c r="BN900" s="338" t="s">
        <v>6</v>
      </c>
      <c r="BO900" s="338" t="s">
        <v>2518</v>
      </c>
      <c r="BP900" s="338" t="s">
        <v>2518</v>
      </c>
      <c r="BQ900" s="338" t="s">
        <v>2518</v>
      </c>
      <c r="BR900" s="338"/>
      <c r="BS900" s="338" t="s">
        <v>6</v>
      </c>
      <c r="BT900" s="338" t="s">
        <v>2518</v>
      </c>
      <c r="BU900" s="338" t="s">
        <v>2518</v>
      </c>
      <c r="BV900" s="338" t="s">
        <v>2518</v>
      </c>
      <c r="BW900" s="338"/>
      <c r="BX900" s="338" t="s">
        <v>6</v>
      </c>
      <c r="BY900" s="338" t="s">
        <v>2605</v>
      </c>
      <c r="BZ900" s="338" t="s">
        <v>2518</v>
      </c>
      <c r="CA900"/>
      <c r="CB900" s="338" t="s">
        <v>5</v>
      </c>
      <c r="CC900" s="338">
        <v>191278.39302701049</v>
      </c>
      <c r="CD900" s="338">
        <v>1083161157.7274129</v>
      </c>
      <c r="CE900" s="313" t="s">
        <v>11891</v>
      </c>
    </row>
    <row r="901" spans="1:83" ht="15" x14ac:dyDescent="0.25">
      <c r="A901" s="338" t="s">
        <v>12206</v>
      </c>
      <c r="B901" s="338" t="s">
        <v>12207</v>
      </c>
      <c r="C901" s="338" t="s">
        <v>12208</v>
      </c>
      <c r="D901" s="338">
        <v>5</v>
      </c>
      <c r="E901" s="338" t="s">
        <v>2598</v>
      </c>
      <c r="F901" s="338" t="s">
        <v>2690</v>
      </c>
      <c r="G901" s="338" t="s">
        <v>2691</v>
      </c>
      <c r="H901" s="338" t="s">
        <v>2692</v>
      </c>
      <c r="I901" s="338"/>
      <c r="J901" s="338" t="s">
        <v>2693</v>
      </c>
      <c r="K901" s="338" t="s">
        <v>12152</v>
      </c>
      <c r="L901" s="338">
        <v>533.49688720703125</v>
      </c>
      <c r="M901" s="338" t="s">
        <v>6</v>
      </c>
      <c r="N901" s="338" t="s">
        <v>5</v>
      </c>
      <c r="O901" s="338" t="s">
        <v>6</v>
      </c>
      <c r="P901" s="338" t="s">
        <v>5</v>
      </c>
      <c r="Q901" s="338" t="s">
        <v>5</v>
      </c>
      <c r="R901" s="338" t="s">
        <v>2694</v>
      </c>
      <c r="S901" s="338" t="s">
        <v>2695</v>
      </c>
      <c r="T901" s="338" t="s">
        <v>5</v>
      </c>
      <c r="U901" s="338" t="s">
        <v>13</v>
      </c>
      <c r="V901" s="338">
        <v>10600</v>
      </c>
      <c r="W901" s="338">
        <v>0</v>
      </c>
      <c r="X901" s="338" t="s">
        <v>6</v>
      </c>
      <c r="Y901" s="338"/>
      <c r="Z901" s="338"/>
      <c r="AA901" s="338">
        <v>122.7117156982422</v>
      </c>
      <c r="AB901" s="338">
        <v>4.3492550849914551</v>
      </c>
      <c r="AC901" s="338">
        <v>4.5395288467407227</v>
      </c>
      <c r="AD901" s="338">
        <v>64</v>
      </c>
      <c r="AE901" s="338">
        <v>19</v>
      </c>
      <c r="AF901" s="338">
        <v>28</v>
      </c>
      <c r="AG901" s="338">
        <v>110</v>
      </c>
      <c r="AH901" s="338">
        <v>105</v>
      </c>
      <c r="AI901" s="338">
        <v>146</v>
      </c>
      <c r="AJ901" s="338">
        <v>0</v>
      </c>
      <c r="AK901" s="338">
        <v>2</v>
      </c>
      <c r="AL901" s="338">
        <v>13</v>
      </c>
      <c r="AM901" s="338">
        <v>2</v>
      </c>
      <c r="AN901" s="338">
        <v>41.607803344726563</v>
      </c>
      <c r="AO901" s="338"/>
      <c r="AP901" s="338"/>
      <c r="AQ901" s="338"/>
      <c r="AR901" s="338">
        <v>0</v>
      </c>
      <c r="AS901" s="338">
        <v>0</v>
      </c>
      <c r="AT901" s="338">
        <v>0</v>
      </c>
      <c r="AU901" s="338">
        <v>0</v>
      </c>
      <c r="AV901" s="338">
        <v>0</v>
      </c>
      <c r="AW901" s="338">
        <v>0</v>
      </c>
      <c r="AX901" s="338">
        <v>0</v>
      </c>
      <c r="AY901" s="338">
        <v>0</v>
      </c>
      <c r="AZ901" s="338">
        <v>0</v>
      </c>
      <c r="BA901" s="338">
        <v>0</v>
      </c>
      <c r="BB901" s="338"/>
      <c r="BC901" s="338"/>
      <c r="BD901" s="338"/>
      <c r="BE901" s="338">
        <v>0</v>
      </c>
      <c r="BF901" s="338" t="s">
        <v>2516</v>
      </c>
      <c r="BG901" s="338" t="s">
        <v>5</v>
      </c>
      <c r="BH901" s="338" t="s">
        <v>1020</v>
      </c>
      <c r="BI901" s="338"/>
      <c r="BJ901" s="338" t="s">
        <v>5</v>
      </c>
      <c r="BK901" s="338"/>
      <c r="BL901" s="338">
        <v>0</v>
      </c>
      <c r="BM901" s="338"/>
      <c r="BN901" s="338" t="s">
        <v>6</v>
      </c>
      <c r="BO901" s="338" t="s">
        <v>2518</v>
      </c>
      <c r="BP901" s="338" t="s">
        <v>2518</v>
      </c>
      <c r="BQ901" s="338" t="s">
        <v>2518</v>
      </c>
      <c r="BR901" s="338"/>
      <c r="BS901" s="338" t="s">
        <v>6</v>
      </c>
      <c r="BT901" s="338" t="s">
        <v>2518</v>
      </c>
      <c r="BU901" s="338" t="s">
        <v>2518</v>
      </c>
      <c r="BV901" s="338" t="s">
        <v>2518</v>
      </c>
      <c r="BW901" s="338"/>
      <c r="BX901" s="338" t="s">
        <v>6</v>
      </c>
      <c r="BY901" s="338" t="s">
        <v>2605</v>
      </c>
      <c r="BZ901" s="338" t="s">
        <v>2518</v>
      </c>
      <c r="CA901"/>
      <c r="CB901" s="338" t="s">
        <v>5</v>
      </c>
      <c r="CC901" s="338">
        <v>265851.37858495401</v>
      </c>
      <c r="CD901" s="338">
        <v>1381750542.167592</v>
      </c>
      <c r="CE901" s="313" t="s">
        <v>11891</v>
      </c>
    </row>
    <row r="902" spans="1:83" ht="15" x14ac:dyDescent="0.25">
      <c r="A902" s="338" t="s">
        <v>12209</v>
      </c>
      <c r="B902" s="338" t="s">
        <v>12210</v>
      </c>
      <c r="C902" s="338" t="s">
        <v>12211</v>
      </c>
      <c r="D902" s="338">
        <v>5</v>
      </c>
      <c r="E902" s="338" t="s">
        <v>2598</v>
      </c>
      <c r="F902" s="338" t="s">
        <v>2690</v>
      </c>
      <c r="G902" s="338" t="s">
        <v>2691</v>
      </c>
      <c r="H902" s="338" t="s">
        <v>2692</v>
      </c>
      <c r="I902" s="338"/>
      <c r="J902" s="338" t="s">
        <v>2693</v>
      </c>
      <c r="K902" s="338" t="s">
        <v>12101</v>
      </c>
      <c r="L902" s="338">
        <v>533.49688720703125</v>
      </c>
      <c r="M902" s="338" t="s">
        <v>6</v>
      </c>
      <c r="N902" s="338" t="s">
        <v>5</v>
      </c>
      <c r="O902" s="338" t="s">
        <v>6</v>
      </c>
      <c r="P902" s="338" t="s">
        <v>5</v>
      </c>
      <c r="Q902" s="338" t="s">
        <v>5</v>
      </c>
      <c r="R902" s="338" t="s">
        <v>2694</v>
      </c>
      <c r="S902" s="338" t="s">
        <v>2695</v>
      </c>
      <c r="T902" s="338" t="s">
        <v>6</v>
      </c>
      <c r="U902" s="338" t="s">
        <v>50</v>
      </c>
      <c r="V902" s="338">
        <v>53000</v>
      </c>
      <c r="W902" s="338">
        <v>0</v>
      </c>
      <c r="X902" s="338" t="s">
        <v>6</v>
      </c>
      <c r="Y902" s="338"/>
      <c r="Z902" s="338"/>
      <c r="AA902" s="338">
        <v>122.7117156982422</v>
      </c>
      <c r="AB902" s="338">
        <v>4.3492550849914551</v>
      </c>
      <c r="AC902" s="338">
        <v>4.5395288467407227</v>
      </c>
      <c r="AD902" s="338">
        <v>64</v>
      </c>
      <c r="AE902" s="338">
        <v>19</v>
      </c>
      <c r="AF902" s="338">
        <v>28</v>
      </c>
      <c r="AG902" s="338">
        <v>110</v>
      </c>
      <c r="AH902" s="338">
        <v>105</v>
      </c>
      <c r="AI902" s="338">
        <v>146</v>
      </c>
      <c r="AJ902" s="338">
        <v>0</v>
      </c>
      <c r="AK902" s="338">
        <v>2</v>
      </c>
      <c r="AL902" s="338">
        <v>13</v>
      </c>
      <c r="AM902" s="338">
        <v>2</v>
      </c>
      <c r="AN902" s="338">
        <v>41.607803344726563</v>
      </c>
      <c r="AO902" s="338"/>
      <c r="AP902" s="338"/>
      <c r="AQ902" s="338"/>
      <c r="AR902" s="338">
        <v>0</v>
      </c>
      <c r="AS902" s="338">
        <v>0</v>
      </c>
      <c r="AT902" s="338">
        <v>0</v>
      </c>
      <c r="AU902" s="338">
        <v>0</v>
      </c>
      <c r="AV902" s="338">
        <v>0</v>
      </c>
      <c r="AW902" s="338">
        <v>0</v>
      </c>
      <c r="AX902" s="338">
        <v>0</v>
      </c>
      <c r="AY902" s="338">
        <v>0</v>
      </c>
      <c r="AZ902" s="338">
        <v>0</v>
      </c>
      <c r="BA902" s="338">
        <v>0</v>
      </c>
      <c r="BB902" s="338"/>
      <c r="BC902" s="338"/>
      <c r="BD902" s="338"/>
      <c r="BE902" s="338">
        <v>0</v>
      </c>
      <c r="BF902" s="338" t="s">
        <v>2516</v>
      </c>
      <c r="BG902" s="338" t="s">
        <v>5</v>
      </c>
      <c r="BH902" s="338" t="s">
        <v>1020</v>
      </c>
      <c r="BI902" s="338"/>
      <c r="BJ902" s="338" t="s">
        <v>5</v>
      </c>
      <c r="BK902" s="338"/>
      <c r="BL902" s="338">
        <v>0</v>
      </c>
      <c r="BM902" s="338"/>
      <c r="BN902" s="338" t="s">
        <v>6</v>
      </c>
      <c r="BO902" s="338" t="s">
        <v>2518</v>
      </c>
      <c r="BP902" s="338" t="s">
        <v>2518</v>
      </c>
      <c r="BQ902" s="338" t="s">
        <v>2518</v>
      </c>
      <c r="BR902" s="338"/>
      <c r="BS902" s="338" t="s">
        <v>6</v>
      </c>
      <c r="BT902" s="338" t="s">
        <v>2518</v>
      </c>
      <c r="BU902" s="338" t="s">
        <v>2518</v>
      </c>
      <c r="BV902" s="338" t="s">
        <v>2518</v>
      </c>
      <c r="BW902" s="338"/>
      <c r="BX902" s="338" t="s">
        <v>6</v>
      </c>
      <c r="BY902" s="338" t="s">
        <v>2605</v>
      </c>
      <c r="BZ902" s="338" t="s">
        <v>2518</v>
      </c>
      <c r="CA902"/>
      <c r="CB902" s="338" t="s">
        <v>5</v>
      </c>
      <c r="CC902" s="338">
        <v>265851.37858495401</v>
      </c>
      <c r="CD902" s="338">
        <v>1381750542.167592</v>
      </c>
      <c r="CE902" s="313" t="s">
        <v>11891</v>
      </c>
    </row>
    <row r="903" spans="1:83" ht="15" x14ac:dyDescent="0.25">
      <c r="A903" s="338" t="s">
        <v>12212</v>
      </c>
      <c r="B903" s="338" t="s">
        <v>12213</v>
      </c>
      <c r="C903" s="338" t="s">
        <v>12214</v>
      </c>
      <c r="D903" s="338">
        <v>5</v>
      </c>
      <c r="E903" s="338" t="s">
        <v>2598</v>
      </c>
      <c r="F903" s="338" t="s">
        <v>2702</v>
      </c>
      <c r="G903" s="338" t="s">
        <v>2691</v>
      </c>
      <c r="H903" s="338" t="s">
        <v>2703</v>
      </c>
      <c r="I903" s="338" t="s">
        <v>2704</v>
      </c>
      <c r="J903" s="338" t="s">
        <v>2705</v>
      </c>
      <c r="K903" s="338" t="s">
        <v>12152</v>
      </c>
      <c r="L903" s="338">
        <v>159.87260437011719</v>
      </c>
      <c r="M903" s="338" t="s">
        <v>6</v>
      </c>
      <c r="N903" s="338" t="s">
        <v>5</v>
      </c>
      <c r="O903" s="338" t="s">
        <v>6</v>
      </c>
      <c r="P903" s="338" t="s">
        <v>5</v>
      </c>
      <c r="Q903" s="338" t="s">
        <v>5</v>
      </c>
      <c r="R903" s="338" t="s">
        <v>2706</v>
      </c>
      <c r="S903" s="338" t="s">
        <v>2706</v>
      </c>
      <c r="T903" s="338" t="s">
        <v>5</v>
      </c>
      <c r="U903" s="338" t="s">
        <v>13</v>
      </c>
      <c r="V903" s="338">
        <v>50000</v>
      </c>
      <c r="W903" s="338">
        <v>0</v>
      </c>
      <c r="X903" s="338" t="s">
        <v>6</v>
      </c>
      <c r="Y903" s="338"/>
      <c r="Z903" s="338"/>
      <c r="AA903" s="338">
        <v>21.602313995361332</v>
      </c>
      <c r="AB903" s="338">
        <v>1.0663367509841919</v>
      </c>
      <c r="AC903" s="338">
        <v>1.222298741340637</v>
      </c>
      <c r="AD903" s="338">
        <v>15</v>
      </c>
      <c r="AE903" s="338">
        <v>14</v>
      </c>
      <c r="AF903" s="338">
        <v>0</v>
      </c>
      <c r="AG903" s="338">
        <v>3</v>
      </c>
      <c r="AH903" s="338">
        <v>7</v>
      </c>
      <c r="AI903" s="338">
        <v>8</v>
      </c>
      <c r="AJ903" s="338">
        <v>0</v>
      </c>
      <c r="AK903" s="338">
        <v>4</v>
      </c>
      <c r="AL903" s="338">
        <v>5</v>
      </c>
      <c r="AM903" s="338">
        <v>4</v>
      </c>
      <c r="AN903" s="338">
        <v>56.068603515625</v>
      </c>
      <c r="AO903" s="338"/>
      <c r="AP903" s="338"/>
      <c r="AQ903" s="338"/>
      <c r="AR903" s="338">
        <v>0</v>
      </c>
      <c r="AS903" s="338">
        <v>0</v>
      </c>
      <c r="AT903" s="338">
        <v>0</v>
      </c>
      <c r="AU903" s="338">
        <v>0</v>
      </c>
      <c r="AV903" s="338">
        <v>0</v>
      </c>
      <c r="AW903" s="338">
        <v>0</v>
      </c>
      <c r="AX903" s="338">
        <v>0</v>
      </c>
      <c r="AY903" s="338">
        <v>0</v>
      </c>
      <c r="AZ903" s="338">
        <v>0</v>
      </c>
      <c r="BA903" s="338">
        <v>0</v>
      </c>
      <c r="BB903" s="338"/>
      <c r="BC903" s="338"/>
      <c r="BD903" s="338"/>
      <c r="BE903" s="338">
        <v>0</v>
      </c>
      <c r="BF903" s="338" t="s">
        <v>2516</v>
      </c>
      <c r="BG903" s="338" t="s">
        <v>5</v>
      </c>
      <c r="BH903" s="338" t="s">
        <v>1020</v>
      </c>
      <c r="BI903" s="338"/>
      <c r="BJ903" s="338" t="s">
        <v>5</v>
      </c>
      <c r="BK903" s="338"/>
      <c r="BL903" s="338">
        <v>0</v>
      </c>
      <c r="BM903" s="338"/>
      <c r="BN903" s="338" t="s">
        <v>6</v>
      </c>
      <c r="BO903" s="338" t="s">
        <v>2518</v>
      </c>
      <c r="BP903" s="338" t="s">
        <v>2518</v>
      </c>
      <c r="BQ903" s="338" t="s">
        <v>2518</v>
      </c>
      <c r="BR903" s="338"/>
      <c r="BS903" s="338" t="s">
        <v>6</v>
      </c>
      <c r="BT903" s="338" t="s">
        <v>2518</v>
      </c>
      <c r="BU903" s="338" t="s">
        <v>2518</v>
      </c>
      <c r="BV903" s="338" t="s">
        <v>2518</v>
      </c>
      <c r="BW903" s="338"/>
      <c r="BX903" s="338" t="s">
        <v>6</v>
      </c>
      <c r="BY903" s="338" t="s">
        <v>2605</v>
      </c>
      <c r="BZ903" s="338" t="s">
        <v>2518</v>
      </c>
      <c r="CA903"/>
      <c r="CB903" s="338" t="s">
        <v>5</v>
      </c>
      <c r="CC903" s="338">
        <v>172484.12849168849</v>
      </c>
      <c r="CD903" s="338">
        <v>414068156.42226398</v>
      </c>
      <c r="CE903" s="313" t="s">
        <v>11891</v>
      </c>
    </row>
    <row r="904" spans="1:83" ht="15" x14ac:dyDescent="0.25">
      <c r="A904" s="338" t="s">
        <v>12215</v>
      </c>
      <c r="B904" s="338" t="s">
        <v>12216</v>
      </c>
      <c r="C904" s="338" t="s">
        <v>12217</v>
      </c>
      <c r="D904" s="338">
        <v>5</v>
      </c>
      <c r="E904" s="338" t="s">
        <v>2598</v>
      </c>
      <c r="F904" s="338" t="s">
        <v>1772</v>
      </c>
      <c r="G904" s="338" t="s">
        <v>2571</v>
      </c>
      <c r="H904" s="338" t="s">
        <v>2637</v>
      </c>
      <c r="I904" s="338"/>
      <c r="J904" s="338" t="s">
        <v>2638</v>
      </c>
      <c r="K904" s="338" t="s">
        <v>12152</v>
      </c>
      <c r="L904" s="338">
        <v>495.35064697265619</v>
      </c>
      <c r="M904" s="338" t="s">
        <v>6</v>
      </c>
      <c r="N904" s="338" t="s">
        <v>5</v>
      </c>
      <c r="O904" s="338" t="s">
        <v>6</v>
      </c>
      <c r="P904" s="338" t="s">
        <v>5</v>
      </c>
      <c r="Q904" s="338" t="s">
        <v>5</v>
      </c>
      <c r="R904" s="338" t="s">
        <v>1776</v>
      </c>
      <c r="S904" s="338" t="s">
        <v>1776</v>
      </c>
      <c r="T904" s="338" t="s">
        <v>5</v>
      </c>
      <c r="U904" s="338" t="s">
        <v>13</v>
      </c>
      <c r="V904" s="338">
        <v>50000</v>
      </c>
      <c r="W904" s="338">
        <v>0</v>
      </c>
      <c r="X904" s="338" t="s">
        <v>6</v>
      </c>
      <c r="Y904" s="338"/>
      <c r="Z904" s="338"/>
      <c r="AA904" s="338">
        <v>70.713302612304688</v>
      </c>
      <c r="AB904" s="338">
        <v>3.9517948627471919</v>
      </c>
      <c r="AC904" s="338">
        <v>3.9604015350341801</v>
      </c>
      <c r="AD904" s="338">
        <v>69</v>
      </c>
      <c r="AE904" s="338">
        <v>29</v>
      </c>
      <c r="AF904" s="338">
        <v>28</v>
      </c>
      <c r="AG904" s="338">
        <v>22</v>
      </c>
      <c r="AH904" s="338">
        <v>61</v>
      </c>
      <c r="AI904" s="338">
        <v>73</v>
      </c>
      <c r="AJ904" s="338">
        <v>0</v>
      </c>
      <c r="AK904" s="338">
        <v>2</v>
      </c>
      <c r="AL904" s="338">
        <v>22</v>
      </c>
      <c r="AM904" s="338">
        <v>2</v>
      </c>
      <c r="AN904" s="338">
        <v>348.31265258789063</v>
      </c>
      <c r="AO904" s="338"/>
      <c r="AP904" s="338"/>
      <c r="AQ904" s="338"/>
      <c r="AR904" s="338">
        <v>0</v>
      </c>
      <c r="AS904" s="338">
        <v>0</v>
      </c>
      <c r="AT904" s="338">
        <v>0</v>
      </c>
      <c r="AU904" s="338">
        <v>0</v>
      </c>
      <c r="AV904" s="338">
        <v>0</v>
      </c>
      <c r="AW904" s="338">
        <v>0</v>
      </c>
      <c r="AX904" s="338">
        <v>0</v>
      </c>
      <c r="AY904" s="338">
        <v>0</v>
      </c>
      <c r="AZ904" s="338">
        <v>0</v>
      </c>
      <c r="BA904" s="338">
        <v>0</v>
      </c>
      <c r="BB904" s="338"/>
      <c r="BC904" s="338"/>
      <c r="BD904" s="338"/>
      <c r="BE904" s="338">
        <v>0</v>
      </c>
      <c r="BF904" s="338" t="s">
        <v>2516</v>
      </c>
      <c r="BG904" s="338" t="s">
        <v>5</v>
      </c>
      <c r="BH904" s="338" t="s">
        <v>1020</v>
      </c>
      <c r="BI904" s="338"/>
      <c r="BJ904" s="338" t="s">
        <v>5</v>
      </c>
      <c r="BK904" s="338"/>
      <c r="BL904" s="338">
        <v>0</v>
      </c>
      <c r="BM904" s="338"/>
      <c r="BN904" s="338" t="s">
        <v>6</v>
      </c>
      <c r="BO904" s="338" t="s">
        <v>2518</v>
      </c>
      <c r="BP904" s="338" t="s">
        <v>2518</v>
      </c>
      <c r="BQ904" s="338" t="s">
        <v>2518</v>
      </c>
      <c r="BR904" s="338"/>
      <c r="BS904" s="338" t="s">
        <v>6</v>
      </c>
      <c r="BT904" s="338" t="s">
        <v>2518</v>
      </c>
      <c r="BU904" s="338" t="s">
        <v>2518</v>
      </c>
      <c r="BV904" s="338" t="s">
        <v>2518</v>
      </c>
      <c r="BW904" s="338"/>
      <c r="BX904" s="338" t="s">
        <v>6</v>
      </c>
      <c r="BY904" s="338" t="s">
        <v>2605</v>
      </c>
      <c r="BZ904" s="338" t="s">
        <v>2518</v>
      </c>
      <c r="CA904"/>
      <c r="CB904" s="338" t="s">
        <v>5</v>
      </c>
      <c r="CC904" s="338">
        <v>247720.06472447389</v>
      </c>
      <c r="CD904" s="338">
        <v>1282952257.090363</v>
      </c>
      <c r="CE904" s="313" t="s">
        <v>11891</v>
      </c>
    </row>
    <row r="905" spans="1:83" ht="15" x14ac:dyDescent="0.25">
      <c r="A905" s="338" t="s">
        <v>12218</v>
      </c>
      <c r="B905" s="338" t="s">
        <v>12219</v>
      </c>
      <c r="C905" s="338" t="s">
        <v>12220</v>
      </c>
      <c r="D905" s="338">
        <v>5</v>
      </c>
      <c r="E905" s="338" t="s">
        <v>2598</v>
      </c>
      <c r="F905" s="338" t="s">
        <v>1772</v>
      </c>
      <c r="G905" s="338" t="s">
        <v>2571</v>
      </c>
      <c r="H905" s="338" t="s">
        <v>2637</v>
      </c>
      <c r="I905" s="338"/>
      <c r="J905" s="338" t="s">
        <v>2638</v>
      </c>
      <c r="K905" s="338" t="s">
        <v>12152</v>
      </c>
      <c r="L905" s="338">
        <v>495.35064697265619</v>
      </c>
      <c r="M905" s="338" t="s">
        <v>6</v>
      </c>
      <c r="N905" s="338" t="s">
        <v>5</v>
      </c>
      <c r="O905" s="338" t="s">
        <v>6</v>
      </c>
      <c r="P905" s="338" t="s">
        <v>5</v>
      </c>
      <c r="Q905" s="338" t="s">
        <v>5</v>
      </c>
      <c r="R905" s="338" t="s">
        <v>1776</v>
      </c>
      <c r="S905" s="338" t="s">
        <v>1776</v>
      </c>
      <c r="T905" s="338" t="s">
        <v>5</v>
      </c>
      <c r="U905" s="338" t="s">
        <v>13</v>
      </c>
      <c r="V905" s="338">
        <v>50000</v>
      </c>
      <c r="W905" s="338">
        <v>0</v>
      </c>
      <c r="X905" s="338" t="s">
        <v>6</v>
      </c>
      <c r="Y905" s="338"/>
      <c r="Z905" s="338"/>
      <c r="AA905" s="338">
        <v>70.713302612304688</v>
      </c>
      <c r="AB905" s="338">
        <v>3.9517948627471919</v>
      </c>
      <c r="AC905" s="338">
        <v>3.9604015350341801</v>
      </c>
      <c r="AD905" s="338">
        <v>69</v>
      </c>
      <c r="AE905" s="338">
        <v>29</v>
      </c>
      <c r="AF905" s="338">
        <v>28</v>
      </c>
      <c r="AG905" s="338">
        <v>22</v>
      </c>
      <c r="AH905" s="338">
        <v>61</v>
      </c>
      <c r="AI905" s="338">
        <v>73</v>
      </c>
      <c r="AJ905" s="338">
        <v>0</v>
      </c>
      <c r="AK905" s="338">
        <v>2</v>
      </c>
      <c r="AL905" s="338">
        <v>22</v>
      </c>
      <c r="AM905" s="338">
        <v>2</v>
      </c>
      <c r="AN905" s="338">
        <v>348.31265258789063</v>
      </c>
      <c r="AO905" s="338"/>
      <c r="AP905" s="338"/>
      <c r="AQ905" s="338"/>
      <c r="AR905" s="338">
        <v>0</v>
      </c>
      <c r="AS905" s="338">
        <v>0</v>
      </c>
      <c r="AT905" s="338">
        <v>0</v>
      </c>
      <c r="AU905" s="338">
        <v>0</v>
      </c>
      <c r="AV905" s="338">
        <v>0</v>
      </c>
      <c r="AW905" s="338">
        <v>0</v>
      </c>
      <c r="AX905" s="338">
        <v>0</v>
      </c>
      <c r="AY905" s="338">
        <v>0</v>
      </c>
      <c r="AZ905" s="338">
        <v>0</v>
      </c>
      <c r="BA905" s="338">
        <v>0</v>
      </c>
      <c r="BB905" s="338"/>
      <c r="BC905" s="338"/>
      <c r="BD905" s="338"/>
      <c r="BE905" s="338">
        <v>0</v>
      </c>
      <c r="BF905" s="338" t="s">
        <v>2516</v>
      </c>
      <c r="BG905" s="338" t="s">
        <v>5</v>
      </c>
      <c r="BH905" s="338" t="s">
        <v>1020</v>
      </c>
      <c r="BI905" s="338"/>
      <c r="BJ905" s="338" t="s">
        <v>5</v>
      </c>
      <c r="BK905" s="338"/>
      <c r="BL905" s="338">
        <v>0</v>
      </c>
      <c r="BM905" s="338"/>
      <c r="BN905" s="338" t="s">
        <v>6</v>
      </c>
      <c r="BO905" s="338" t="s">
        <v>2518</v>
      </c>
      <c r="BP905" s="338" t="s">
        <v>2518</v>
      </c>
      <c r="BQ905" s="338" t="s">
        <v>2518</v>
      </c>
      <c r="BR905" s="338"/>
      <c r="BS905" s="338" t="s">
        <v>6</v>
      </c>
      <c r="BT905" s="338" t="s">
        <v>2518</v>
      </c>
      <c r="BU905" s="338" t="s">
        <v>2518</v>
      </c>
      <c r="BV905" s="338" t="s">
        <v>2518</v>
      </c>
      <c r="BW905" s="338"/>
      <c r="BX905" s="338" t="s">
        <v>6</v>
      </c>
      <c r="BY905" s="338" t="s">
        <v>2605</v>
      </c>
      <c r="BZ905" s="338" t="s">
        <v>2518</v>
      </c>
      <c r="CA905"/>
      <c r="CB905" s="338" t="s">
        <v>5</v>
      </c>
      <c r="CC905" s="338">
        <v>247720.06472447389</v>
      </c>
      <c r="CD905" s="338">
        <v>1282952257.090363</v>
      </c>
      <c r="CE905" s="313" t="s">
        <v>11891</v>
      </c>
    </row>
    <row r="906" spans="1:83" ht="15" x14ac:dyDescent="0.25">
      <c r="A906" s="338" t="s">
        <v>12221</v>
      </c>
      <c r="B906" s="338" t="s">
        <v>12222</v>
      </c>
      <c r="C906" s="338" t="s">
        <v>12223</v>
      </c>
      <c r="D906" s="338">
        <v>5</v>
      </c>
      <c r="E906" s="338" t="s">
        <v>2598</v>
      </c>
      <c r="F906" s="338" t="s">
        <v>2113</v>
      </c>
      <c r="G906" s="338" t="s">
        <v>2571</v>
      </c>
      <c r="H906" s="338" t="s">
        <v>12224</v>
      </c>
      <c r="I906" s="338" t="s">
        <v>12225</v>
      </c>
      <c r="J906" s="338" t="s">
        <v>12226</v>
      </c>
      <c r="K906" s="338" t="s">
        <v>12152</v>
      </c>
      <c r="L906" s="338">
        <v>373.90789794921881</v>
      </c>
      <c r="M906" s="338" t="s">
        <v>6</v>
      </c>
      <c r="N906" s="338" t="s">
        <v>5</v>
      </c>
      <c r="O906" s="338" t="s">
        <v>6</v>
      </c>
      <c r="P906" s="338" t="s">
        <v>5</v>
      </c>
      <c r="Q906" s="338" t="s">
        <v>6</v>
      </c>
      <c r="R906" s="338" t="s">
        <v>5054</v>
      </c>
      <c r="S906" s="338" t="s">
        <v>5054</v>
      </c>
      <c r="T906" s="338" t="s">
        <v>5</v>
      </c>
      <c r="U906" s="338" t="s">
        <v>13</v>
      </c>
      <c r="V906" s="338">
        <v>50000</v>
      </c>
      <c r="W906" s="338">
        <v>0</v>
      </c>
      <c r="X906" s="338" t="s">
        <v>6</v>
      </c>
      <c r="Y906" s="338"/>
      <c r="Z906" s="338"/>
      <c r="AA906" s="338">
        <v>74.628715515136719</v>
      </c>
      <c r="AB906" s="338">
        <v>3.9444727897644039</v>
      </c>
      <c r="AC906" s="338">
        <v>2.6556704044342041</v>
      </c>
      <c r="AD906" s="338">
        <v>240</v>
      </c>
      <c r="AE906" s="338">
        <v>75</v>
      </c>
      <c r="AF906" s="338">
        <v>108</v>
      </c>
      <c r="AG906" s="338">
        <v>162</v>
      </c>
      <c r="AH906" s="338">
        <v>156</v>
      </c>
      <c r="AI906" s="338">
        <v>267</v>
      </c>
      <c r="AJ906" s="338">
        <v>0</v>
      </c>
      <c r="AK906" s="338">
        <v>1</v>
      </c>
      <c r="AL906" s="338">
        <v>20</v>
      </c>
      <c r="AM906" s="338">
        <v>1</v>
      </c>
      <c r="AN906" s="338">
        <v>347.5087890625</v>
      </c>
      <c r="AO906" s="338"/>
      <c r="AP906" s="338"/>
      <c r="AQ906" s="338"/>
      <c r="AR906" s="338">
        <v>0</v>
      </c>
      <c r="AS906" s="338">
        <v>0</v>
      </c>
      <c r="AT906" s="338">
        <v>0</v>
      </c>
      <c r="AU906" s="338">
        <v>0</v>
      </c>
      <c r="AV906" s="338">
        <v>0</v>
      </c>
      <c r="AW906" s="338">
        <v>0</v>
      </c>
      <c r="AX906" s="338">
        <v>0</v>
      </c>
      <c r="AY906" s="338">
        <v>0</v>
      </c>
      <c r="AZ906" s="338">
        <v>0</v>
      </c>
      <c r="BA906" s="338">
        <v>0</v>
      </c>
      <c r="BB906" s="338"/>
      <c r="BC906" s="338"/>
      <c r="BD906" s="338"/>
      <c r="BE906" s="338">
        <v>0</v>
      </c>
      <c r="BF906" s="338" t="s">
        <v>2516</v>
      </c>
      <c r="BG906" s="338" t="s">
        <v>5</v>
      </c>
      <c r="BH906" s="338" t="s">
        <v>1020</v>
      </c>
      <c r="BI906" s="338"/>
      <c r="BJ906" s="338" t="s">
        <v>5</v>
      </c>
      <c r="BK906" s="338"/>
      <c r="BL906" s="338">
        <v>0</v>
      </c>
      <c r="BM906" s="338"/>
      <c r="BN906" s="338" t="s">
        <v>6</v>
      </c>
      <c r="BO906" s="338" t="s">
        <v>2518</v>
      </c>
      <c r="BP906" s="338" t="s">
        <v>2518</v>
      </c>
      <c r="BQ906" s="338" t="s">
        <v>2518</v>
      </c>
      <c r="BR906" s="338"/>
      <c r="BS906" s="338" t="s">
        <v>6</v>
      </c>
      <c r="BT906" s="338" t="s">
        <v>2518</v>
      </c>
      <c r="BU906" s="338" t="s">
        <v>2518</v>
      </c>
      <c r="BV906" s="338" t="s">
        <v>2518</v>
      </c>
      <c r="BW906" s="338"/>
      <c r="BX906" s="338" t="s">
        <v>6</v>
      </c>
      <c r="BY906" s="338" t="s">
        <v>2605</v>
      </c>
      <c r="BZ906" s="338" t="s">
        <v>2518</v>
      </c>
      <c r="CA906"/>
      <c r="CB906" s="338" t="s">
        <v>5</v>
      </c>
      <c r="CC906" s="338">
        <v>187586.87071941269</v>
      </c>
      <c r="CD906" s="338">
        <v>968417036.55126727</v>
      </c>
      <c r="CE906" s="313" t="s">
        <v>11891</v>
      </c>
    </row>
    <row r="907" spans="1:83" ht="15" x14ac:dyDescent="0.25">
      <c r="A907" s="338" t="s">
        <v>12227</v>
      </c>
      <c r="B907" s="338" t="s">
        <v>12228</v>
      </c>
      <c r="C907" s="338" t="s">
        <v>12229</v>
      </c>
      <c r="D907" s="338">
        <v>5</v>
      </c>
      <c r="E907" s="338" t="s">
        <v>2598</v>
      </c>
      <c r="F907" s="338" t="s">
        <v>2606</v>
      </c>
      <c r="G907" s="338" t="s">
        <v>2643</v>
      </c>
      <c r="H907" s="338" t="s">
        <v>12149</v>
      </c>
      <c r="I907" s="338" t="s">
        <v>12150</v>
      </c>
      <c r="J907" s="338" t="s">
        <v>12151</v>
      </c>
      <c r="K907" s="338" t="s">
        <v>12152</v>
      </c>
      <c r="L907" s="338">
        <v>496.66119384765619</v>
      </c>
      <c r="M907" s="338" t="s">
        <v>6</v>
      </c>
      <c r="N907" s="338" t="s">
        <v>6</v>
      </c>
      <c r="O907" s="338" t="s">
        <v>5</v>
      </c>
      <c r="P907" s="338" t="s">
        <v>5</v>
      </c>
      <c r="Q907" s="338" t="s">
        <v>6</v>
      </c>
      <c r="R907" s="338" t="s">
        <v>7072</v>
      </c>
      <c r="S907" s="338" t="s">
        <v>7072</v>
      </c>
      <c r="T907" s="338" t="s">
        <v>5</v>
      </c>
      <c r="U907" s="338" t="s">
        <v>13</v>
      </c>
      <c r="V907" s="338">
        <v>50000</v>
      </c>
      <c r="W907" s="338">
        <v>0</v>
      </c>
      <c r="X907" s="338" t="s">
        <v>6</v>
      </c>
      <c r="Y907" s="338"/>
      <c r="Z907" s="338"/>
      <c r="AA907" s="338">
        <v>254.2128601074219</v>
      </c>
      <c r="AB907" s="338">
        <v>35.054698944091797</v>
      </c>
      <c r="AC907" s="338">
        <v>105.627571105957</v>
      </c>
      <c r="AD907" s="338">
        <v>6491</v>
      </c>
      <c r="AE907" s="338">
        <v>4747</v>
      </c>
      <c r="AF907" s="338">
        <v>5238</v>
      </c>
      <c r="AG907" s="338">
        <v>12550</v>
      </c>
      <c r="AH907" s="338">
        <v>11980</v>
      </c>
      <c r="AI907" s="338">
        <v>20772</v>
      </c>
      <c r="AJ907" s="338">
        <v>30</v>
      </c>
      <c r="AK907" s="338">
        <v>16</v>
      </c>
      <c r="AL907" s="338">
        <v>215</v>
      </c>
      <c r="AM907" s="338">
        <v>16</v>
      </c>
      <c r="AN907" s="338">
        <v>20945.373046875</v>
      </c>
      <c r="AO907" s="338"/>
      <c r="AP907" s="338"/>
      <c r="AQ907" s="338"/>
      <c r="AR907" s="338">
        <v>0</v>
      </c>
      <c r="AS907" s="338">
        <v>0</v>
      </c>
      <c r="AT907" s="338">
        <v>0</v>
      </c>
      <c r="AU907" s="338">
        <v>0</v>
      </c>
      <c r="AV907" s="338">
        <v>0</v>
      </c>
      <c r="AW907" s="338">
        <v>0</v>
      </c>
      <c r="AX907" s="338">
        <v>0</v>
      </c>
      <c r="AY907" s="338">
        <v>0</v>
      </c>
      <c r="AZ907" s="338">
        <v>0</v>
      </c>
      <c r="BA907" s="338">
        <v>0</v>
      </c>
      <c r="BB907" s="338"/>
      <c r="BC907" s="338"/>
      <c r="BD907" s="338"/>
      <c r="BE907" s="338">
        <v>0</v>
      </c>
      <c r="BF907" s="338" t="s">
        <v>2516</v>
      </c>
      <c r="BG907" s="338" t="s">
        <v>5</v>
      </c>
      <c r="BH907" s="338" t="s">
        <v>1020</v>
      </c>
      <c r="BI907" s="338"/>
      <c r="BJ907" s="338" t="s">
        <v>5</v>
      </c>
      <c r="BK907" s="338"/>
      <c r="BL907" s="338">
        <v>0</v>
      </c>
      <c r="BM907" s="338"/>
      <c r="BN907" s="338" t="s">
        <v>6</v>
      </c>
      <c r="BO907" s="338" t="s">
        <v>2518</v>
      </c>
      <c r="BP907" s="338" t="s">
        <v>2518</v>
      </c>
      <c r="BQ907" s="338" t="s">
        <v>2518</v>
      </c>
      <c r="BR907" s="338"/>
      <c r="BS907" s="338" t="s">
        <v>6</v>
      </c>
      <c r="BT907" s="338" t="s">
        <v>2518</v>
      </c>
      <c r="BU907" s="338" t="s">
        <v>2518</v>
      </c>
      <c r="BV907" s="338" t="s">
        <v>2518</v>
      </c>
      <c r="BW907" s="338"/>
      <c r="BX907" s="338" t="s">
        <v>6</v>
      </c>
      <c r="BY907" s="338" t="s">
        <v>2605</v>
      </c>
      <c r="BZ907" s="338" t="s">
        <v>2518</v>
      </c>
      <c r="CA907"/>
      <c r="CB907" s="338" t="s">
        <v>5</v>
      </c>
      <c r="CC907" s="338">
        <v>379970.78079877922</v>
      </c>
      <c r="CD907" s="338">
        <v>1286346578.0123999</v>
      </c>
      <c r="CE907" s="313" t="s">
        <v>11891</v>
      </c>
    </row>
    <row r="908" spans="1:83" ht="15" x14ac:dyDescent="0.25">
      <c r="A908" s="338" t="s">
        <v>12230</v>
      </c>
      <c r="B908" s="338" t="s">
        <v>12231</v>
      </c>
      <c r="C908" s="338" t="s">
        <v>12232</v>
      </c>
      <c r="D908" s="338">
        <v>5</v>
      </c>
      <c r="E908" s="338" t="s">
        <v>2598</v>
      </c>
      <c r="F908" s="338" t="s">
        <v>81</v>
      </c>
      <c r="G908" s="338" t="s">
        <v>2616</v>
      </c>
      <c r="H908" s="338" t="s">
        <v>2640</v>
      </c>
      <c r="I908" s="338" t="s">
        <v>2618</v>
      </c>
      <c r="J908" s="338" t="s">
        <v>2619</v>
      </c>
      <c r="K908" s="338" t="s">
        <v>12152</v>
      </c>
      <c r="L908" s="338">
        <v>1.475543856620789</v>
      </c>
      <c r="M908" s="338" t="s">
        <v>6</v>
      </c>
      <c r="N908" s="338" t="s">
        <v>5</v>
      </c>
      <c r="O908" s="338" t="s">
        <v>5</v>
      </c>
      <c r="P908" s="338" t="s">
        <v>5</v>
      </c>
      <c r="Q908" s="338" t="s">
        <v>6</v>
      </c>
      <c r="R908" s="338" t="s">
        <v>2621</v>
      </c>
      <c r="S908" s="338" t="s">
        <v>2621</v>
      </c>
      <c r="T908" s="338" t="s">
        <v>5</v>
      </c>
      <c r="U908" s="338" t="s">
        <v>13</v>
      </c>
      <c r="V908" s="338">
        <v>10000</v>
      </c>
      <c r="W908" s="338">
        <v>0</v>
      </c>
      <c r="X908" s="338" t="s">
        <v>6</v>
      </c>
      <c r="Y908" s="338"/>
      <c r="Z908" s="338"/>
      <c r="AA908" s="338">
        <v>0.16025398671627039</v>
      </c>
      <c r="AB908" s="338">
        <v>1.214464008808136E-2</v>
      </c>
      <c r="AC908" s="338">
        <v>5.6243568658828742E-2</v>
      </c>
      <c r="AD908" s="338">
        <v>0</v>
      </c>
      <c r="AE908" s="338">
        <v>0</v>
      </c>
      <c r="AF908" s="338">
        <v>0</v>
      </c>
      <c r="AG908" s="338">
        <v>0</v>
      </c>
      <c r="AH908" s="338">
        <v>0</v>
      </c>
      <c r="AI908" s="338">
        <v>0</v>
      </c>
      <c r="AJ908" s="338">
        <v>0</v>
      </c>
      <c r="AK908" s="338">
        <v>0</v>
      </c>
      <c r="AL908" s="338">
        <v>0</v>
      </c>
      <c r="AM908" s="338">
        <v>0</v>
      </c>
      <c r="AN908" s="338">
        <v>0.42639347910881042</v>
      </c>
      <c r="AO908" s="338"/>
      <c r="AP908" s="338"/>
      <c r="AQ908" s="338"/>
      <c r="AR908" s="338">
        <v>0</v>
      </c>
      <c r="AS908" s="338">
        <v>0</v>
      </c>
      <c r="AT908" s="338">
        <v>0</v>
      </c>
      <c r="AU908" s="338">
        <v>0</v>
      </c>
      <c r="AV908" s="338">
        <v>0</v>
      </c>
      <c r="AW908" s="338">
        <v>0</v>
      </c>
      <c r="AX908" s="338">
        <v>0</v>
      </c>
      <c r="AY908" s="338">
        <v>0</v>
      </c>
      <c r="AZ908" s="338">
        <v>0</v>
      </c>
      <c r="BA908" s="338">
        <v>0</v>
      </c>
      <c r="BB908" s="338"/>
      <c r="BC908" s="338"/>
      <c r="BD908" s="338"/>
      <c r="BE908" s="338">
        <v>0</v>
      </c>
      <c r="BF908" s="338" t="s">
        <v>2516</v>
      </c>
      <c r="BG908" s="338" t="s">
        <v>5</v>
      </c>
      <c r="BH908" s="338" t="s">
        <v>1020</v>
      </c>
      <c r="BI908" s="338"/>
      <c r="BJ908" s="338" t="s">
        <v>5</v>
      </c>
      <c r="BK908" s="338"/>
      <c r="BL908" s="338">
        <v>0</v>
      </c>
      <c r="BM908" s="338"/>
      <c r="BN908" s="338" t="s">
        <v>6</v>
      </c>
      <c r="BO908" s="338" t="s">
        <v>2518</v>
      </c>
      <c r="BP908" s="338" t="s">
        <v>2518</v>
      </c>
      <c r="BQ908" s="338" t="s">
        <v>2518</v>
      </c>
      <c r="BR908" s="338"/>
      <c r="BS908" s="338" t="s">
        <v>6</v>
      </c>
      <c r="BT908" s="338" t="s">
        <v>2518</v>
      </c>
      <c r="BU908" s="338" t="s">
        <v>2518</v>
      </c>
      <c r="BV908" s="338" t="s">
        <v>2518</v>
      </c>
      <c r="BW908" s="338"/>
      <c r="BX908" s="338" t="s">
        <v>6</v>
      </c>
      <c r="BY908" s="338" t="s">
        <v>2605</v>
      </c>
      <c r="BZ908" s="338" t="s">
        <v>2518</v>
      </c>
      <c r="CA908"/>
      <c r="CB908" s="338" t="s">
        <v>5</v>
      </c>
      <c r="CC908" s="338">
        <v>9573.6399279461621</v>
      </c>
      <c r="CD908" s="338">
        <v>3821641.0535767069</v>
      </c>
      <c r="CE908" s="313" t="s">
        <v>11891</v>
      </c>
    </row>
    <row r="909" spans="1:83" ht="15" x14ac:dyDescent="0.25">
      <c r="A909" s="338" t="s">
        <v>12233</v>
      </c>
      <c r="B909" s="338" t="s">
        <v>12234</v>
      </c>
      <c r="C909" s="338" t="s">
        <v>12235</v>
      </c>
      <c r="D909" s="338">
        <v>5</v>
      </c>
      <c r="E909" s="338" t="s">
        <v>2598</v>
      </c>
      <c r="F909" s="338" t="s">
        <v>2608</v>
      </c>
      <c r="G909" s="338" t="s">
        <v>2710</v>
      </c>
      <c r="H909" s="338" t="s">
        <v>2711</v>
      </c>
      <c r="I909" s="338" t="s">
        <v>2712</v>
      </c>
      <c r="J909" s="338" t="s">
        <v>2713</v>
      </c>
      <c r="K909" s="338" t="s">
        <v>12152</v>
      </c>
      <c r="L909" s="338">
        <v>7.2287583351135254</v>
      </c>
      <c r="M909" s="338" t="s">
        <v>6</v>
      </c>
      <c r="N909" s="338" t="s">
        <v>5</v>
      </c>
      <c r="O909" s="338" t="s">
        <v>6</v>
      </c>
      <c r="P909" s="338" t="s">
        <v>5</v>
      </c>
      <c r="Q909" s="338" t="s">
        <v>5</v>
      </c>
      <c r="R909" s="338" t="s">
        <v>2714</v>
      </c>
      <c r="S909" s="338" t="s">
        <v>2714</v>
      </c>
      <c r="T909" s="338" t="s">
        <v>5</v>
      </c>
      <c r="U909" s="338" t="s">
        <v>13</v>
      </c>
      <c r="V909" s="338">
        <v>10000</v>
      </c>
      <c r="W909" s="338">
        <v>0</v>
      </c>
      <c r="X909" s="338" t="s">
        <v>6</v>
      </c>
      <c r="Y909" s="338"/>
      <c r="Z909" s="338"/>
      <c r="AA909" s="338">
        <v>0.53891837596893311</v>
      </c>
      <c r="AB909" s="338">
        <v>5.941322073340416E-2</v>
      </c>
      <c r="AC909" s="338">
        <v>0.38180527091026312</v>
      </c>
      <c r="AD909" s="338">
        <v>41</v>
      </c>
      <c r="AE909" s="338">
        <v>2</v>
      </c>
      <c r="AF909" s="338">
        <v>9</v>
      </c>
      <c r="AG909" s="338">
        <v>455</v>
      </c>
      <c r="AH909" s="338">
        <v>10</v>
      </c>
      <c r="AI909" s="338">
        <v>462</v>
      </c>
      <c r="AJ909" s="338">
        <v>0</v>
      </c>
      <c r="AK909" s="338">
        <v>0</v>
      </c>
      <c r="AL909" s="338">
        <v>2</v>
      </c>
      <c r="AM909" s="338">
        <v>0</v>
      </c>
      <c r="AN909" s="338">
        <v>1.2863245010375981</v>
      </c>
      <c r="AO909" s="338"/>
      <c r="AP909" s="338"/>
      <c r="AQ909" s="338"/>
      <c r="AR909" s="338">
        <v>0</v>
      </c>
      <c r="AS909" s="338">
        <v>0</v>
      </c>
      <c r="AT909" s="338">
        <v>0</v>
      </c>
      <c r="AU909" s="338">
        <v>0</v>
      </c>
      <c r="AV909" s="338">
        <v>0</v>
      </c>
      <c r="AW909" s="338">
        <v>0</v>
      </c>
      <c r="AX909" s="338">
        <v>0</v>
      </c>
      <c r="AY909" s="338">
        <v>0</v>
      </c>
      <c r="AZ909" s="338">
        <v>0</v>
      </c>
      <c r="BA909" s="338">
        <v>0</v>
      </c>
      <c r="BB909" s="338"/>
      <c r="BC909" s="338"/>
      <c r="BD909" s="338"/>
      <c r="BE909" s="338">
        <v>0</v>
      </c>
      <c r="BF909" s="338" t="s">
        <v>2516</v>
      </c>
      <c r="BG909" s="338" t="s">
        <v>5</v>
      </c>
      <c r="BH909" s="338" t="s">
        <v>1020</v>
      </c>
      <c r="BI909" s="338"/>
      <c r="BJ909" s="338" t="s">
        <v>5</v>
      </c>
      <c r="BK909" s="338"/>
      <c r="BL909" s="338">
        <v>0</v>
      </c>
      <c r="BM909" s="338"/>
      <c r="BN909" s="338" t="s">
        <v>6</v>
      </c>
      <c r="BO909" s="338" t="s">
        <v>2518</v>
      </c>
      <c r="BP909" s="338" t="s">
        <v>2518</v>
      </c>
      <c r="BQ909" s="338" t="s">
        <v>2518</v>
      </c>
      <c r="BR909" s="338"/>
      <c r="BS909" s="338" t="s">
        <v>6</v>
      </c>
      <c r="BT909" s="338" t="s">
        <v>2518</v>
      </c>
      <c r="BU909" s="338" t="s">
        <v>2518</v>
      </c>
      <c r="BV909" s="338" t="s">
        <v>2518</v>
      </c>
      <c r="BW909" s="338"/>
      <c r="BX909" s="338" t="s">
        <v>6</v>
      </c>
      <c r="BY909" s="338" t="s">
        <v>2605</v>
      </c>
      <c r="BZ909" s="338" t="s">
        <v>2518</v>
      </c>
      <c r="CA909"/>
      <c r="CB909" s="338" t="s">
        <v>5</v>
      </c>
      <c r="CC909" s="338">
        <v>31089.797862692289</v>
      </c>
      <c r="CD909" s="338">
        <v>18722398.42037737</v>
      </c>
      <c r="CE909" s="313" t="s">
        <v>11891</v>
      </c>
    </row>
    <row r="910" spans="1:83" ht="15" x14ac:dyDescent="0.25">
      <c r="A910" s="338" t="s">
        <v>12236</v>
      </c>
      <c r="B910" s="338" t="s">
        <v>12237</v>
      </c>
      <c r="C910" s="338" t="s">
        <v>12081</v>
      </c>
      <c r="D910" s="338">
        <v>5</v>
      </c>
      <c r="E910" s="338" t="s">
        <v>2598</v>
      </c>
      <c r="F910" s="338" t="s">
        <v>2608</v>
      </c>
      <c r="G910" s="338" t="s">
        <v>2710</v>
      </c>
      <c r="H910" s="338" t="s">
        <v>2711</v>
      </c>
      <c r="I910" s="338" t="s">
        <v>2712</v>
      </c>
      <c r="J910" s="338" t="s">
        <v>2713</v>
      </c>
      <c r="K910" s="338" t="s">
        <v>12238</v>
      </c>
      <c r="L910" s="338">
        <v>7.2287583351135254</v>
      </c>
      <c r="M910" s="338" t="s">
        <v>6</v>
      </c>
      <c r="N910" s="338" t="s">
        <v>5</v>
      </c>
      <c r="O910" s="338" t="s">
        <v>6</v>
      </c>
      <c r="P910" s="338" t="s">
        <v>5</v>
      </c>
      <c r="Q910" s="338" t="s">
        <v>5</v>
      </c>
      <c r="R910" s="338" t="s">
        <v>2714</v>
      </c>
      <c r="S910" s="338" t="s">
        <v>2714</v>
      </c>
      <c r="T910" s="338" t="s">
        <v>6</v>
      </c>
      <c r="U910" s="338" t="s">
        <v>50</v>
      </c>
      <c r="V910" s="338">
        <v>10000</v>
      </c>
      <c r="W910" s="338">
        <v>0</v>
      </c>
      <c r="X910" s="338" t="s">
        <v>6</v>
      </c>
      <c r="Y910" s="338"/>
      <c r="Z910" s="338"/>
      <c r="AA910" s="338">
        <v>0.53891837596893311</v>
      </c>
      <c r="AB910" s="338">
        <v>5.941322073340416E-2</v>
      </c>
      <c r="AC910" s="338">
        <v>0.38180527091026312</v>
      </c>
      <c r="AD910" s="338">
        <v>41</v>
      </c>
      <c r="AE910" s="338">
        <v>2</v>
      </c>
      <c r="AF910" s="338">
        <v>9</v>
      </c>
      <c r="AG910" s="338">
        <v>455</v>
      </c>
      <c r="AH910" s="338">
        <v>10</v>
      </c>
      <c r="AI910" s="338">
        <v>462</v>
      </c>
      <c r="AJ910" s="338">
        <v>0</v>
      </c>
      <c r="AK910" s="338">
        <v>0</v>
      </c>
      <c r="AL910" s="338">
        <v>2</v>
      </c>
      <c r="AM910" s="338">
        <v>0</v>
      </c>
      <c r="AN910" s="338">
        <v>1.2863245010375981</v>
      </c>
      <c r="AO910" s="338"/>
      <c r="AP910" s="338"/>
      <c r="AQ910" s="338"/>
      <c r="AR910" s="338">
        <v>0</v>
      </c>
      <c r="AS910" s="338">
        <v>0</v>
      </c>
      <c r="AT910" s="338">
        <v>0</v>
      </c>
      <c r="AU910" s="338">
        <v>0</v>
      </c>
      <c r="AV910" s="338">
        <v>0</v>
      </c>
      <c r="AW910" s="338">
        <v>0</v>
      </c>
      <c r="AX910" s="338">
        <v>0</v>
      </c>
      <c r="AY910" s="338">
        <v>0</v>
      </c>
      <c r="AZ910" s="338">
        <v>0</v>
      </c>
      <c r="BA910" s="338">
        <v>0</v>
      </c>
      <c r="BB910" s="338"/>
      <c r="BC910" s="338"/>
      <c r="BD910" s="338"/>
      <c r="BE910" s="338">
        <v>0</v>
      </c>
      <c r="BF910" s="338" t="s">
        <v>2516</v>
      </c>
      <c r="BG910" s="338" t="s">
        <v>5</v>
      </c>
      <c r="BH910" s="338" t="s">
        <v>1020</v>
      </c>
      <c r="BI910" s="338"/>
      <c r="BJ910" s="338" t="s">
        <v>5</v>
      </c>
      <c r="BK910" s="338"/>
      <c r="BL910" s="338">
        <v>0</v>
      </c>
      <c r="BM910" s="338"/>
      <c r="BN910" s="338" t="s">
        <v>6</v>
      </c>
      <c r="BO910" s="338" t="s">
        <v>2518</v>
      </c>
      <c r="BP910" s="338" t="s">
        <v>2518</v>
      </c>
      <c r="BQ910" s="338" t="s">
        <v>2518</v>
      </c>
      <c r="BR910" s="338"/>
      <c r="BS910" s="338" t="s">
        <v>6</v>
      </c>
      <c r="BT910" s="338" t="s">
        <v>2518</v>
      </c>
      <c r="BU910" s="338" t="s">
        <v>2518</v>
      </c>
      <c r="BV910" s="338" t="s">
        <v>2518</v>
      </c>
      <c r="BW910" s="338"/>
      <c r="BX910" s="338" t="s">
        <v>6</v>
      </c>
      <c r="BY910" s="338" t="s">
        <v>2605</v>
      </c>
      <c r="BZ910" s="338" t="s">
        <v>2518</v>
      </c>
      <c r="CA910"/>
      <c r="CB910" s="338" t="s">
        <v>5</v>
      </c>
      <c r="CC910" s="338">
        <v>31089.797862692289</v>
      </c>
      <c r="CD910" s="338">
        <v>18722398.42037737</v>
      </c>
      <c r="CE910" s="313" t="s">
        <v>11891</v>
      </c>
    </row>
    <row r="911" spans="1:83" ht="15" x14ac:dyDescent="0.25">
      <c r="A911" s="338" t="s">
        <v>12239</v>
      </c>
      <c r="B911" s="338" t="s">
        <v>12240</v>
      </c>
      <c r="C911" s="338" t="s">
        <v>12241</v>
      </c>
      <c r="D911" s="338">
        <v>5</v>
      </c>
      <c r="E911" s="338" t="s">
        <v>2598</v>
      </c>
      <c r="F911" s="338" t="s">
        <v>2113</v>
      </c>
      <c r="G911" s="338" t="s">
        <v>2571</v>
      </c>
      <c r="H911" s="338" t="s">
        <v>12242</v>
      </c>
      <c r="I911" s="338" t="s">
        <v>12243</v>
      </c>
      <c r="J911" s="338" t="s">
        <v>12244</v>
      </c>
      <c r="K911" s="338" t="s">
        <v>12152</v>
      </c>
      <c r="L911" s="338">
        <v>1.3039495944976811</v>
      </c>
      <c r="M911" s="338" t="s">
        <v>6</v>
      </c>
      <c r="N911" s="338" t="s">
        <v>5</v>
      </c>
      <c r="O911" s="338" t="s">
        <v>6</v>
      </c>
      <c r="P911" s="338" t="s">
        <v>5</v>
      </c>
      <c r="Q911" s="338" t="s">
        <v>5</v>
      </c>
      <c r="R911" s="338" t="s">
        <v>7122</v>
      </c>
      <c r="S911" s="338" t="s">
        <v>7122</v>
      </c>
      <c r="T911" s="338" t="s">
        <v>5</v>
      </c>
      <c r="U911" s="338" t="s">
        <v>13</v>
      </c>
      <c r="V911" s="338">
        <v>3000</v>
      </c>
      <c r="W911" s="338">
        <v>0</v>
      </c>
      <c r="X911" s="338" t="s">
        <v>6</v>
      </c>
      <c r="Y911" s="338"/>
      <c r="Z911" s="338"/>
      <c r="AA911" s="338">
        <v>6.7045547068119049E-2</v>
      </c>
      <c r="AB911" s="338">
        <v>1.4296050183475019E-2</v>
      </c>
      <c r="AC911" s="338">
        <v>4.3277241289615631E-2</v>
      </c>
      <c r="AD911" s="338">
        <v>0</v>
      </c>
      <c r="AE911" s="338">
        <v>0</v>
      </c>
      <c r="AF911" s="338">
        <v>0</v>
      </c>
      <c r="AG911" s="338">
        <v>0</v>
      </c>
      <c r="AH911" s="338">
        <v>0</v>
      </c>
      <c r="AI911" s="338">
        <v>0</v>
      </c>
      <c r="AJ911" s="338">
        <v>0</v>
      </c>
      <c r="AK911" s="338">
        <v>0</v>
      </c>
      <c r="AL911" s="338">
        <v>0</v>
      </c>
      <c r="AM911" s="338">
        <v>0</v>
      </c>
      <c r="AN911" s="338">
        <v>0.32887226343154907</v>
      </c>
      <c r="AO911" s="338"/>
      <c r="AP911" s="338"/>
      <c r="AQ911" s="338"/>
      <c r="AR911" s="338">
        <v>0</v>
      </c>
      <c r="AS911" s="338">
        <v>0</v>
      </c>
      <c r="AT911" s="338">
        <v>0</v>
      </c>
      <c r="AU911" s="338">
        <v>0</v>
      </c>
      <c r="AV911" s="338">
        <v>0</v>
      </c>
      <c r="AW911" s="338">
        <v>0</v>
      </c>
      <c r="AX911" s="338">
        <v>0</v>
      </c>
      <c r="AY911" s="338">
        <v>0</v>
      </c>
      <c r="AZ911" s="338">
        <v>0</v>
      </c>
      <c r="BA911" s="338">
        <v>0</v>
      </c>
      <c r="BB911" s="338"/>
      <c r="BC911" s="338"/>
      <c r="BD911" s="338"/>
      <c r="BE911" s="338">
        <v>0</v>
      </c>
      <c r="BF911" s="338" t="s">
        <v>2516</v>
      </c>
      <c r="BG911" s="338" t="s">
        <v>5</v>
      </c>
      <c r="BH911" s="338" t="s">
        <v>1020</v>
      </c>
      <c r="BI911" s="338"/>
      <c r="BJ911" s="338" t="s">
        <v>5</v>
      </c>
      <c r="BK911" s="338"/>
      <c r="BL911" s="338">
        <v>0</v>
      </c>
      <c r="BM911" s="338"/>
      <c r="BN911" s="338" t="s">
        <v>6</v>
      </c>
      <c r="BO911" s="338" t="s">
        <v>2518</v>
      </c>
      <c r="BP911" s="338" t="s">
        <v>2518</v>
      </c>
      <c r="BQ911" s="338" t="s">
        <v>2518</v>
      </c>
      <c r="BR911" s="338"/>
      <c r="BS911" s="338" t="s">
        <v>6</v>
      </c>
      <c r="BT911" s="338" t="s">
        <v>2518</v>
      </c>
      <c r="BU911" s="338" t="s">
        <v>2518</v>
      </c>
      <c r="BV911" s="338" t="s">
        <v>2518</v>
      </c>
      <c r="BW911" s="338"/>
      <c r="BX911" s="338" t="s">
        <v>6</v>
      </c>
      <c r="BY911" s="338" t="s">
        <v>2605</v>
      </c>
      <c r="BZ911" s="338" t="s">
        <v>2518</v>
      </c>
      <c r="CA911"/>
      <c r="CB911" s="338" t="s">
        <v>5</v>
      </c>
      <c r="CC911" s="338">
        <v>32497.134942559049</v>
      </c>
      <c r="CD911" s="338">
        <v>3377214.0708315871</v>
      </c>
      <c r="CE911" s="313" t="s">
        <v>11891</v>
      </c>
    </row>
    <row r="912" spans="1:83" ht="15" x14ac:dyDescent="0.25">
      <c r="A912" s="338" t="s">
        <v>12245</v>
      </c>
      <c r="B912" s="338" t="s">
        <v>12246</v>
      </c>
      <c r="C912" s="338" t="s">
        <v>12247</v>
      </c>
      <c r="D912" s="338">
        <v>5</v>
      </c>
      <c r="E912" s="338" t="s">
        <v>2598</v>
      </c>
      <c r="F912" s="338" t="s">
        <v>2113</v>
      </c>
      <c r="G912" s="338" t="s">
        <v>2571</v>
      </c>
      <c r="H912" s="338" t="s">
        <v>12248</v>
      </c>
      <c r="I912" s="338" t="s">
        <v>12249</v>
      </c>
      <c r="J912" s="338" t="s">
        <v>12250</v>
      </c>
      <c r="K912" s="338" t="s">
        <v>12152</v>
      </c>
      <c r="L912" s="338">
        <v>2.3633136749267578</v>
      </c>
      <c r="M912" s="338" t="s">
        <v>6</v>
      </c>
      <c r="N912" s="338" t="s">
        <v>5</v>
      </c>
      <c r="O912" s="338" t="s">
        <v>6</v>
      </c>
      <c r="P912" s="338" t="s">
        <v>5</v>
      </c>
      <c r="Q912" s="338" t="s">
        <v>5</v>
      </c>
      <c r="R912" s="338" t="s">
        <v>7124</v>
      </c>
      <c r="S912" s="338" t="s">
        <v>7124</v>
      </c>
      <c r="T912" s="338" t="s">
        <v>5</v>
      </c>
      <c r="U912" s="338" t="s">
        <v>13</v>
      </c>
      <c r="V912" s="338">
        <v>5000</v>
      </c>
      <c r="W912" s="338">
        <v>0</v>
      </c>
      <c r="X912" s="338" t="s">
        <v>6</v>
      </c>
      <c r="Y912" s="338"/>
      <c r="Z912" s="338"/>
      <c r="AA912" s="338">
        <v>0.55424273014068604</v>
      </c>
      <c r="AB912" s="338">
        <v>5.3512971848249442E-2</v>
      </c>
      <c r="AC912" s="338">
        <v>7.1393333375453949E-2</v>
      </c>
      <c r="AD912" s="338">
        <v>32</v>
      </c>
      <c r="AE912" s="338">
        <v>15</v>
      </c>
      <c r="AF912" s="338">
        <v>15</v>
      </c>
      <c r="AG912" s="338">
        <v>42</v>
      </c>
      <c r="AH912" s="338">
        <v>17</v>
      </c>
      <c r="AI912" s="338">
        <v>52</v>
      </c>
      <c r="AJ912" s="338">
        <v>0</v>
      </c>
      <c r="AK912" s="338">
        <v>0</v>
      </c>
      <c r="AL912" s="338">
        <v>1</v>
      </c>
      <c r="AM912" s="338">
        <v>0</v>
      </c>
      <c r="AN912" s="338">
        <v>7.8792834281921387</v>
      </c>
      <c r="AO912" s="338"/>
      <c r="AP912" s="338"/>
      <c r="AQ912" s="338"/>
      <c r="AR912" s="338">
        <v>0</v>
      </c>
      <c r="AS912" s="338">
        <v>0</v>
      </c>
      <c r="AT912" s="338">
        <v>0</v>
      </c>
      <c r="AU912" s="338">
        <v>0</v>
      </c>
      <c r="AV912" s="338">
        <v>0</v>
      </c>
      <c r="AW912" s="338">
        <v>0</v>
      </c>
      <c r="AX912" s="338">
        <v>0</v>
      </c>
      <c r="AY912" s="338">
        <v>0</v>
      </c>
      <c r="AZ912" s="338">
        <v>0</v>
      </c>
      <c r="BA912" s="338">
        <v>0</v>
      </c>
      <c r="BB912" s="338"/>
      <c r="BC912" s="338"/>
      <c r="BD912" s="338"/>
      <c r="BE912" s="338">
        <v>0</v>
      </c>
      <c r="BF912" s="338" t="s">
        <v>2516</v>
      </c>
      <c r="BG912" s="338" t="s">
        <v>5</v>
      </c>
      <c r="BH912" s="338" t="s">
        <v>1020</v>
      </c>
      <c r="BI912" s="338"/>
      <c r="BJ912" s="338" t="s">
        <v>5</v>
      </c>
      <c r="BK912" s="338"/>
      <c r="BL912" s="338">
        <v>0</v>
      </c>
      <c r="BM912" s="338"/>
      <c r="BN912" s="338" t="s">
        <v>6</v>
      </c>
      <c r="BO912" s="338" t="s">
        <v>2518</v>
      </c>
      <c r="BP912" s="338" t="s">
        <v>2518</v>
      </c>
      <c r="BQ912" s="338" t="s">
        <v>2518</v>
      </c>
      <c r="BR912" s="338"/>
      <c r="BS912" s="338" t="s">
        <v>6</v>
      </c>
      <c r="BT912" s="338" t="s">
        <v>2518</v>
      </c>
      <c r="BU912" s="338" t="s">
        <v>2518</v>
      </c>
      <c r="BV912" s="338" t="s">
        <v>2518</v>
      </c>
      <c r="BW912" s="338"/>
      <c r="BX912" s="338" t="s">
        <v>6</v>
      </c>
      <c r="BY912" s="338" t="s">
        <v>2605</v>
      </c>
      <c r="BZ912" s="338" t="s">
        <v>2518</v>
      </c>
      <c r="CA912"/>
      <c r="CB912" s="338" t="s">
        <v>5</v>
      </c>
      <c r="CC912" s="338">
        <v>19113.01836635001</v>
      </c>
      <c r="CD912" s="338">
        <v>6120954.0824353807</v>
      </c>
      <c r="CE912" s="313" t="s">
        <v>11891</v>
      </c>
    </row>
    <row r="913" spans="1:83" ht="15" x14ac:dyDescent="0.25">
      <c r="A913" s="338" t="s">
        <v>12251</v>
      </c>
      <c r="B913" s="338" t="s">
        <v>12252</v>
      </c>
      <c r="C913" s="338" t="s">
        <v>12253</v>
      </c>
      <c r="D913" s="338">
        <v>5</v>
      </c>
      <c r="E913" s="338" t="s">
        <v>2598</v>
      </c>
      <c r="F913" s="338" t="s">
        <v>2113</v>
      </c>
      <c r="G913" s="338" t="s">
        <v>2571</v>
      </c>
      <c r="H913" s="338" t="s">
        <v>12248</v>
      </c>
      <c r="I913" s="338" t="s">
        <v>12249</v>
      </c>
      <c r="J913" s="338" t="s">
        <v>12250</v>
      </c>
      <c r="K913" s="338" t="s">
        <v>12152</v>
      </c>
      <c r="L913" s="338">
        <v>2.3633136749267578</v>
      </c>
      <c r="M913" s="338" t="s">
        <v>6</v>
      </c>
      <c r="N913" s="338" t="s">
        <v>5</v>
      </c>
      <c r="O913" s="338" t="s">
        <v>6</v>
      </c>
      <c r="P913" s="338" t="s">
        <v>5</v>
      </c>
      <c r="Q913" s="338" t="s">
        <v>5</v>
      </c>
      <c r="R913" s="338" t="s">
        <v>7124</v>
      </c>
      <c r="S913" s="338" t="s">
        <v>7124</v>
      </c>
      <c r="T913" s="338" t="s">
        <v>5</v>
      </c>
      <c r="U913" s="338" t="s">
        <v>13</v>
      </c>
      <c r="V913" s="338">
        <v>5000</v>
      </c>
      <c r="W913" s="338">
        <v>0</v>
      </c>
      <c r="X913" s="338" t="s">
        <v>6</v>
      </c>
      <c r="Y913" s="338"/>
      <c r="Z913" s="338"/>
      <c r="AA913" s="338">
        <v>0.55424273014068604</v>
      </c>
      <c r="AB913" s="338">
        <v>5.3512971848249442E-2</v>
      </c>
      <c r="AC913" s="338">
        <v>7.1393333375453949E-2</v>
      </c>
      <c r="AD913" s="338">
        <v>32</v>
      </c>
      <c r="AE913" s="338">
        <v>15</v>
      </c>
      <c r="AF913" s="338">
        <v>15</v>
      </c>
      <c r="AG913" s="338">
        <v>42</v>
      </c>
      <c r="AH913" s="338">
        <v>17</v>
      </c>
      <c r="AI913" s="338">
        <v>52</v>
      </c>
      <c r="AJ913" s="338">
        <v>0</v>
      </c>
      <c r="AK913" s="338">
        <v>0</v>
      </c>
      <c r="AL913" s="338">
        <v>1</v>
      </c>
      <c r="AM913" s="338">
        <v>0</v>
      </c>
      <c r="AN913" s="338">
        <v>7.8792834281921387</v>
      </c>
      <c r="AO913" s="338"/>
      <c r="AP913" s="338"/>
      <c r="AQ913" s="338"/>
      <c r="AR913" s="338">
        <v>0</v>
      </c>
      <c r="AS913" s="338">
        <v>0</v>
      </c>
      <c r="AT913" s="338">
        <v>0</v>
      </c>
      <c r="AU913" s="338">
        <v>0</v>
      </c>
      <c r="AV913" s="338">
        <v>0</v>
      </c>
      <c r="AW913" s="338">
        <v>0</v>
      </c>
      <c r="AX913" s="338">
        <v>0</v>
      </c>
      <c r="AY913" s="338">
        <v>0</v>
      </c>
      <c r="AZ913" s="338">
        <v>0</v>
      </c>
      <c r="BA913" s="338">
        <v>0</v>
      </c>
      <c r="BB913" s="338"/>
      <c r="BC913" s="338"/>
      <c r="BD913" s="338"/>
      <c r="BE913" s="338">
        <v>0</v>
      </c>
      <c r="BF913" s="338" t="s">
        <v>2516</v>
      </c>
      <c r="BG913" s="338" t="s">
        <v>5</v>
      </c>
      <c r="BH913" s="338" t="s">
        <v>1020</v>
      </c>
      <c r="BI913" s="338"/>
      <c r="BJ913" s="338" t="s">
        <v>5</v>
      </c>
      <c r="BK913" s="338"/>
      <c r="BL913" s="338">
        <v>0</v>
      </c>
      <c r="BM913" s="338"/>
      <c r="BN913" s="338" t="s">
        <v>6</v>
      </c>
      <c r="BO913" s="338" t="s">
        <v>2518</v>
      </c>
      <c r="BP913" s="338" t="s">
        <v>2518</v>
      </c>
      <c r="BQ913" s="338" t="s">
        <v>2518</v>
      </c>
      <c r="BR913" s="338"/>
      <c r="BS913" s="338" t="s">
        <v>6</v>
      </c>
      <c r="BT913" s="338" t="s">
        <v>2518</v>
      </c>
      <c r="BU913" s="338" t="s">
        <v>2518</v>
      </c>
      <c r="BV913" s="338" t="s">
        <v>2518</v>
      </c>
      <c r="BW913" s="338"/>
      <c r="BX913" s="338" t="s">
        <v>6</v>
      </c>
      <c r="BY913" s="338" t="s">
        <v>2605</v>
      </c>
      <c r="BZ913" s="338" t="s">
        <v>2518</v>
      </c>
      <c r="CA913"/>
      <c r="CB913" s="338" t="s">
        <v>5</v>
      </c>
      <c r="CC913" s="338">
        <v>19113.01836635001</v>
      </c>
      <c r="CD913" s="338">
        <v>6120954.0824353807</v>
      </c>
      <c r="CE913" s="313" t="s">
        <v>11891</v>
      </c>
    </row>
    <row r="914" spans="1:83" ht="15" x14ac:dyDescent="0.25">
      <c r="A914" s="338" t="s">
        <v>12254</v>
      </c>
      <c r="B914" s="338" t="s">
        <v>12255</v>
      </c>
      <c r="C914" s="338" t="s">
        <v>12256</v>
      </c>
      <c r="D914" s="338">
        <v>5</v>
      </c>
      <c r="E914" s="338" t="s">
        <v>2598</v>
      </c>
      <c r="F914" s="338" t="s">
        <v>2113</v>
      </c>
      <c r="G914" s="338" t="s">
        <v>2571</v>
      </c>
      <c r="H914" s="338" t="s">
        <v>12257</v>
      </c>
      <c r="I914" s="338" t="s">
        <v>12258</v>
      </c>
      <c r="J914" s="338" t="s">
        <v>12259</v>
      </c>
      <c r="K914" s="338" t="s">
        <v>12152</v>
      </c>
      <c r="L914" s="338">
        <v>6.1753630638122559</v>
      </c>
      <c r="M914" s="338" t="s">
        <v>6</v>
      </c>
      <c r="N914" s="338" t="s">
        <v>5</v>
      </c>
      <c r="O914" s="338" t="s">
        <v>6</v>
      </c>
      <c r="P914" s="338" t="s">
        <v>5</v>
      </c>
      <c r="Q914" s="338" t="s">
        <v>5</v>
      </c>
      <c r="R914" s="338" t="s">
        <v>7128</v>
      </c>
      <c r="S914" s="338" t="s">
        <v>7128</v>
      </c>
      <c r="T914" s="338" t="s">
        <v>5</v>
      </c>
      <c r="U914" s="338" t="s">
        <v>13</v>
      </c>
      <c r="V914" s="338">
        <v>10000</v>
      </c>
      <c r="W914" s="338">
        <v>0</v>
      </c>
      <c r="X914" s="338" t="s">
        <v>6</v>
      </c>
      <c r="Y914" s="338"/>
      <c r="Z914" s="338"/>
      <c r="AA914" s="338">
        <v>1.034947872161865</v>
      </c>
      <c r="AB914" s="338">
        <v>7.2122283279895782E-2</v>
      </c>
      <c r="AC914" s="338">
        <v>0.27832379937171942</v>
      </c>
      <c r="AD914" s="338">
        <v>29</v>
      </c>
      <c r="AE914" s="338">
        <v>14</v>
      </c>
      <c r="AF914" s="338">
        <v>13</v>
      </c>
      <c r="AG914" s="338">
        <v>73</v>
      </c>
      <c r="AH914" s="338">
        <v>47</v>
      </c>
      <c r="AI914" s="338">
        <v>105</v>
      </c>
      <c r="AJ914" s="338">
        <v>0</v>
      </c>
      <c r="AK914" s="338">
        <v>0</v>
      </c>
      <c r="AL914" s="338">
        <v>1</v>
      </c>
      <c r="AM914" s="338">
        <v>0</v>
      </c>
      <c r="AN914" s="338">
        <v>7.1171345710754386</v>
      </c>
      <c r="AO914" s="338"/>
      <c r="AP914" s="338"/>
      <c r="AQ914" s="338"/>
      <c r="AR914" s="338">
        <v>0</v>
      </c>
      <c r="AS914" s="338">
        <v>0</v>
      </c>
      <c r="AT914" s="338">
        <v>0</v>
      </c>
      <c r="AU914" s="338">
        <v>0</v>
      </c>
      <c r="AV914" s="338">
        <v>0</v>
      </c>
      <c r="AW914" s="338">
        <v>0</v>
      </c>
      <c r="AX914" s="338">
        <v>0</v>
      </c>
      <c r="AY914" s="338">
        <v>0</v>
      </c>
      <c r="AZ914" s="338">
        <v>0</v>
      </c>
      <c r="BA914" s="338">
        <v>0</v>
      </c>
      <c r="BB914" s="338"/>
      <c r="BC914" s="338"/>
      <c r="BD914" s="338"/>
      <c r="BE914" s="338">
        <v>0</v>
      </c>
      <c r="BF914" s="338" t="s">
        <v>2516</v>
      </c>
      <c r="BG914" s="338" t="s">
        <v>5</v>
      </c>
      <c r="BH914" s="338" t="s">
        <v>1020</v>
      </c>
      <c r="BI914" s="338"/>
      <c r="BJ914" s="338" t="s">
        <v>5</v>
      </c>
      <c r="BK914" s="338"/>
      <c r="BL914" s="338">
        <v>0</v>
      </c>
      <c r="BM914" s="338"/>
      <c r="BN914" s="338" t="s">
        <v>6</v>
      </c>
      <c r="BO914" s="338" t="s">
        <v>2518</v>
      </c>
      <c r="BP914" s="338" t="s">
        <v>2518</v>
      </c>
      <c r="BQ914" s="338" t="s">
        <v>2518</v>
      </c>
      <c r="BR914" s="338"/>
      <c r="BS914" s="338" t="s">
        <v>6</v>
      </c>
      <c r="BT914" s="338" t="s">
        <v>2518</v>
      </c>
      <c r="BU914" s="338" t="s">
        <v>2518</v>
      </c>
      <c r="BV914" s="338" t="s">
        <v>2518</v>
      </c>
      <c r="BW914" s="338"/>
      <c r="BX914" s="338" t="s">
        <v>6</v>
      </c>
      <c r="BY914" s="338" t="s">
        <v>2605</v>
      </c>
      <c r="BZ914" s="338" t="s">
        <v>2518</v>
      </c>
      <c r="CA914"/>
      <c r="CB914" s="338" t="s">
        <v>5</v>
      </c>
      <c r="CC914" s="338">
        <v>25347.99776000873</v>
      </c>
      <c r="CD914" s="338">
        <v>15994117.077197339</v>
      </c>
      <c r="CE914" s="313" t="s">
        <v>11891</v>
      </c>
    </row>
    <row r="915" spans="1:83" ht="15" x14ac:dyDescent="0.25">
      <c r="A915" s="338" t="s">
        <v>12260</v>
      </c>
      <c r="B915" s="338" t="s">
        <v>12261</v>
      </c>
      <c r="C915" s="338" t="s">
        <v>12262</v>
      </c>
      <c r="D915" s="338">
        <v>5</v>
      </c>
      <c r="E915" s="338" t="s">
        <v>2598</v>
      </c>
      <c r="F915" s="338" t="s">
        <v>2113</v>
      </c>
      <c r="G915" s="338" t="s">
        <v>2571</v>
      </c>
      <c r="H915" s="338" t="s">
        <v>12257</v>
      </c>
      <c r="I915" s="338" t="s">
        <v>12258</v>
      </c>
      <c r="J915" s="338" t="s">
        <v>12259</v>
      </c>
      <c r="K915" s="338" t="s">
        <v>12152</v>
      </c>
      <c r="L915" s="338">
        <v>6.1753630638122559</v>
      </c>
      <c r="M915" s="338" t="s">
        <v>6</v>
      </c>
      <c r="N915" s="338" t="s">
        <v>5</v>
      </c>
      <c r="O915" s="338" t="s">
        <v>6</v>
      </c>
      <c r="P915" s="338" t="s">
        <v>5</v>
      </c>
      <c r="Q915" s="338" t="s">
        <v>5</v>
      </c>
      <c r="R915" s="338" t="s">
        <v>7128</v>
      </c>
      <c r="S915" s="338" t="s">
        <v>7128</v>
      </c>
      <c r="T915" s="338" t="s">
        <v>5</v>
      </c>
      <c r="U915" s="338" t="s">
        <v>13</v>
      </c>
      <c r="V915" s="338">
        <v>10000</v>
      </c>
      <c r="W915" s="338">
        <v>0</v>
      </c>
      <c r="X915" s="338" t="s">
        <v>6</v>
      </c>
      <c r="Y915" s="338"/>
      <c r="Z915" s="338"/>
      <c r="AA915" s="338">
        <v>1.034947872161865</v>
      </c>
      <c r="AB915" s="338">
        <v>7.2122283279895782E-2</v>
      </c>
      <c r="AC915" s="338">
        <v>0.27832379937171942</v>
      </c>
      <c r="AD915" s="338">
        <v>29</v>
      </c>
      <c r="AE915" s="338">
        <v>14</v>
      </c>
      <c r="AF915" s="338">
        <v>13</v>
      </c>
      <c r="AG915" s="338">
        <v>73</v>
      </c>
      <c r="AH915" s="338">
        <v>47</v>
      </c>
      <c r="AI915" s="338">
        <v>105</v>
      </c>
      <c r="AJ915" s="338">
        <v>0</v>
      </c>
      <c r="AK915" s="338">
        <v>0</v>
      </c>
      <c r="AL915" s="338">
        <v>1</v>
      </c>
      <c r="AM915" s="338">
        <v>0</v>
      </c>
      <c r="AN915" s="338">
        <v>7.1171345710754386</v>
      </c>
      <c r="AO915" s="338"/>
      <c r="AP915" s="338"/>
      <c r="AQ915" s="338"/>
      <c r="AR915" s="338">
        <v>0</v>
      </c>
      <c r="AS915" s="338">
        <v>0</v>
      </c>
      <c r="AT915" s="338">
        <v>0</v>
      </c>
      <c r="AU915" s="338">
        <v>0</v>
      </c>
      <c r="AV915" s="338">
        <v>0</v>
      </c>
      <c r="AW915" s="338">
        <v>0</v>
      </c>
      <c r="AX915" s="338">
        <v>0</v>
      </c>
      <c r="AY915" s="338">
        <v>0</v>
      </c>
      <c r="AZ915" s="338">
        <v>0</v>
      </c>
      <c r="BA915" s="338">
        <v>0</v>
      </c>
      <c r="BB915" s="338"/>
      <c r="BC915" s="338"/>
      <c r="BD915" s="338"/>
      <c r="BE915" s="338">
        <v>0</v>
      </c>
      <c r="BF915" s="338" t="s">
        <v>2516</v>
      </c>
      <c r="BG915" s="338" t="s">
        <v>5</v>
      </c>
      <c r="BH915" s="338" t="s">
        <v>1020</v>
      </c>
      <c r="BI915" s="338"/>
      <c r="BJ915" s="338" t="s">
        <v>5</v>
      </c>
      <c r="BK915" s="338"/>
      <c r="BL915" s="338">
        <v>0</v>
      </c>
      <c r="BM915" s="338"/>
      <c r="BN915" s="338" t="s">
        <v>6</v>
      </c>
      <c r="BO915" s="338" t="s">
        <v>2518</v>
      </c>
      <c r="BP915" s="338" t="s">
        <v>2518</v>
      </c>
      <c r="BQ915" s="338" t="s">
        <v>2518</v>
      </c>
      <c r="BR915" s="338"/>
      <c r="BS915" s="338" t="s">
        <v>6</v>
      </c>
      <c r="BT915" s="338" t="s">
        <v>2518</v>
      </c>
      <c r="BU915" s="338" t="s">
        <v>2518</v>
      </c>
      <c r="BV915" s="338" t="s">
        <v>2518</v>
      </c>
      <c r="BW915" s="338"/>
      <c r="BX915" s="338" t="s">
        <v>6</v>
      </c>
      <c r="BY915" s="338" t="s">
        <v>2605</v>
      </c>
      <c r="BZ915" s="338" t="s">
        <v>2518</v>
      </c>
      <c r="CA915"/>
      <c r="CB915" s="338" t="s">
        <v>5</v>
      </c>
      <c r="CC915" s="338">
        <v>25347.99776000873</v>
      </c>
      <c r="CD915" s="338">
        <v>15994117.077197339</v>
      </c>
      <c r="CE915" s="313" t="s">
        <v>11891</v>
      </c>
    </row>
    <row r="916" spans="1:83" ht="15" x14ac:dyDescent="0.25">
      <c r="A916" s="338" t="s">
        <v>12263</v>
      </c>
      <c r="B916" s="338" t="s">
        <v>12264</v>
      </c>
      <c r="C916" s="338" t="s">
        <v>12235</v>
      </c>
      <c r="D916" s="338">
        <v>5</v>
      </c>
      <c r="E916" s="338" t="s">
        <v>2598</v>
      </c>
      <c r="F916" s="338" t="s">
        <v>2608</v>
      </c>
      <c r="G916" s="338" t="s">
        <v>2599</v>
      </c>
      <c r="H916" s="338" t="s">
        <v>12110</v>
      </c>
      <c r="I916" s="338" t="s">
        <v>12111</v>
      </c>
      <c r="J916" s="338" t="s">
        <v>12112</v>
      </c>
      <c r="K916" s="338" t="s">
        <v>12152</v>
      </c>
      <c r="L916" s="338">
        <v>4.5848512649536133</v>
      </c>
      <c r="M916" s="338" t="s">
        <v>6</v>
      </c>
      <c r="N916" s="338" t="s">
        <v>5</v>
      </c>
      <c r="O916" s="338" t="s">
        <v>6</v>
      </c>
      <c r="P916" s="338" t="s">
        <v>5</v>
      </c>
      <c r="Q916" s="338" t="s">
        <v>5</v>
      </c>
      <c r="R916" s="338" t="s">
        <v>7172</v>
      </c>
      <c r="S916" s="338" t="s">
        <v>7172</v>
      </c>
      <c r="T916" s="338" t="s">
        <v>5</v>
      </c>
      <c r="U916" s="338" t="s">
        <v>13</v>
      </c>
      <c r="V916" s="338">
        <v>10000</v>
      </c>
      <c r="W916" s="338">
        <v>0</v>
      </c>
      <c r="X916" s="338" t="s">
        <v>6</v>
      </c>
      <c r="Y916" s="338"/>
      <c r="Z916" s="338"/>
      <c r="AA916" s="338">
        <v>0.83591091632843018</v>
      </c>
      <c r="AB916" s="338">
        <v>5.6112900376319892E-2</v>
      </c>
      <c r="AC916" s="338">
        <v>0.26684904098510742</v>
      </c>
      <c r="AD916" s="338">
        <v>2</v>
      </c>
      <c r="AE916" s="338">
        <v>0</v>
      </c>
      <c r="AF916" s="338">
        <v>2</v>
      </c>
      <c r="AG916" s="338">
        <v>0</v>
      </c>
      <c r="AH916" s="338">
        <v>0</v>
      </c>
      <c r="AI916" s="338">
        <v>0</v>
      </c>
      <c r="AJ916" s="338">
        <v>0</v>
      </c>
      <c r="AK916" s="338">
        <v>0</v>
      </c>
      <c r="AL916" s="338">
        <v>1</v>
      </c>
      <c r="AM916" s="338">
        <v>0</v>
      </c>
      <c r="AN916" s="338">
        <v>59.758132934570313</v>
      </c>
      <c r="AO916" s="338"/>
      <c r="AP916" s="338"/>
      <c r="AQ916" s="338"/>
      <c r="AR916" s="338">
        <v>0</v>
      </c>
      <c r="AS916" s="338">
        <v>0</v>
      </c>
      <c r="AT916" s="338">
        <v>0</v>
      </c>
      <c r="AU916" s="338">
        <v>0</v>
      </c>
      <c r="AV916" s="338">
        <v>0</v>
      </c>
      <c r="AW916" s="338">
        <v>0</v>
      </c>
      <c r="AX916" s="338">
        <v>0</v>
      </c>
      <c r="AY916" s="338">
        <v>0</v>
      </c>
      <c r="AZ916" s="338">
        <v>0</v>
      </c>
      <c r="BA916" s="338">
        <v>0</v>
      </c>
      <c r="BB916" s="338"/>
      <c r="BC916" s="338"/>
      <c r="BD916" s="338"/>
      <c r="BE916" s="338">
        <v>0</v>
      </c>
      <c r="BF916" s="338" t="s">
        <v>2516</v>
      </c>
      <c r="BG916" s="338" t="s">
        <v>5</v>
      </c>
      <c r="BH916" s="338" t="s">
        <v>1020</v>
      </c>
      <c r="BI916" s="338"/>
      <c r="BJ916" s="338" t="s">
        <v>5</v>
      </c>
      <c r="BK916" s="338"/>
      <c r="BL916" s="338">
        <v>0</v>
      </c>
      <c r="BM916" s="338"/>
      <c r="BN916" s="338" t="s">
        <v>6</v>
      </c>
      <c r="BO916" s="338" t="s">
        <v>2518</v>
      </c>
      <c r="BP916" s="338" t="s">
        <v>2518</v>
      </c>
      <c r="BQ916" s="338" t="s">
        <v>2518</v>
      </c>
      <c r="BR916" s="338"/>
      <c r="BS916" s="338" t="s">
        <v>6</v>
      </c>
      <c r="BT916" s="338" t="s">
        <v>2518</v>
      </c>
      <c r="BU916" s="338" t="s">
        <v>2518</v>
      </c>
      <c r="BV916" s="338" t="s">
        <v>2518</v>
      </c>
      <c r="BW916" s="338"/>
      <c r="BX916" s="338" t="s">
        <v>6</v>
      </c>
      <c r="BY916" s="338" t="s">
        <v>2605</v>
      </c>
      <c r="BZ916" s="338" t="s">
        <v>2518</v>
      </c>
      <c r="CA916"/>
      <c r="CB916" s="338" t="s">
        <v>5</v>
      </c>
      <c r="CC916" s="338">
        <v>22464.52304499373</v>
      </c>
      <c r="CD916" s="338">
        <v>11874710.87914004</v>
      </c>
      <c r="CE916" s="313" t="s">
        <v>11891</v>
      </c>
    </row>
    <row r="917" spans="1:83" ht="15" x14ac:dyDescent="0.25">
      <c r="A917" s="338" t="s">
        <v>12265</v>
      </c>
      <c r="B917" s="338" t="s">
        <v>12266</v>
      </c>
      <c r="C917" s="338" t="s">
        <v>12267</v>
      </c>
      <c r="D917" s="338">
        <v>5</v>
      </c>
      <c r="E917" s="338" t="s">
        <v>2598</v>
      </c>
      <c r="F917" s="338" t="s">
        <v>1772</v>
      </c>
      <c r="G917" s="338" t="s">
        <v>2571</v>
      </c>
      <c r="H917" s="338" t="s">
        <v>2718</v>
      </c>
      <c r="I917" s="338" t="s">
        <v>2719</v>
      </c>
      <c r="J917" s="338" t="s">
        <v>2720</v>
      </c>
      <c r="K917" s="338" t="s">
        <v>12152</v>
      </c>
      <c r="L917" s="338">
        <v>2.4749705791473389</v>
      </c>
      <c r="M917" s="338" t="s">
        <v>6</v>
      </c>
      <c r="N917" s="338" t="s">
        <v>5</v>
      </c>
      <c r="O917" s="338" t="s">
        <v>6</v>
      </c>
      <c r="P917" s="338" t="s">
        <v>5</v>
      </c>
      <c r="Q917" s="338" t="s">
        <v>5</v>
      </c>
      <c r="R917" s="338" t="s">
        <v>2721</v>
      </c>
      <c r="S917" s="338" t="s">
        <v>2721</v>
      </c>
      <c r="T917" s="338" t="s">
        <v>5</v>
      </c>
      <c r="U917" s="338" t="s">
        <v>13</v>
      </c>
      <c r="V917" s="338">
        <v>50000</v>
      </c>
      <c r="W917" s="338">
        <v>0</v>
      </c>
      <c r="X917" s="338" t="s">
        <v>6</v>
      </c>
      <c r="Y917" s="338"/>
      <c r="Z917" s="338"/>
      <c r="AA917" s="338">
        <v>0.2360410541296005</v>
      </c>
      <c r="AB917" s="338">
        <v>1.546739041805267E-2</v>
      </c>
      <c r="AC917" s="338">
        <v>0.15368993580341339</v>
      </c>
      <c r="AD917" s="338">
        <v>0</v>
      </c>
      <c r="AE917" s="338">
        <v>0</v>
      </c>
      <c r="AF917" s="338">
        <v>0</v>
      </c>
      <c r="AG917" s="338">
        <v>0</v>
      </c>
      <c r="AH917" s="338">
        <v>0</v>
      </c>
      <c r="AI917" s="338">
        <v>0</v>
      </c>
      <c r="AJ917" s="338">
        <v>0</v>
      </c>
      <c r="AK917" s="338">
        <v>0</v>
      </c>
      <c r="AL917" s="338">
        <v>0</v>
      </c>
      <c r="AM917" s="338">
        <v>0</v>
      </c>
      <c r="AN917" s="338">
        <v>0.17298674583435061</v>
      </c>
      <c r="AO917" s="338"/>
      <c r="AP917" s="338"/>
      <c r="AQ917" s="338"/>
      <c r="AR917" s="338">
        <v>0</v>
      </c>
      <c r="AS917" s="338">
        <v>0</v>
      </c>
      <c r="AT917" s="338">
        <v>0</v>
      </c>
      <c r="AU917" s="338">
        <v>0</v>
      </c>
      <c r="AV917" s="338">
        <v>0</v>
      </c>
      <c r="AW917" s="338">
        <v>0</v>
      </c>
      <c r="AX917" s="338">
        <v>0</v>
      </c>
      <c r="AY917" s="338">
        <v>0</v>
      </c>
      <c r="AZ917" s="338">
        <v>0</v>
      </c>
      <c r="BA917" s="338">
        <v>0</v>
      </c>
      <c r="BB917" s="338"/>
      <c r="BC917" s="338"/>
      <c r="BD917" s="338"/>
      <c r="BE917" s="338">
        <v>0</v>
      </c>
      <c r="BF917" s="338" t="s">
        <v>2516</v>
      </c>
      <c r="BG917" s="338" t="s">
        <v>5</v>
      </c>
      <c r="BH917" s="338" t="s">
        <v>1020</v>
      </c>
      <c r="BI917" s="338"/>
      <c r="BJ917" s="338" t="s">
        <v>5</v>
      </c>
      <c r="BK917" s="338"/>
      <c r="BL917" s="338">
        <v>0</v>
      </c>
      <c r="BM917" s="338"/>
      <c r="BN917" s="338" t="s">
        <v>6</v>
      </c>
      <c r="BO917" s="338" t="s">
        <v>2518</v>
      </c>
      <c r="BP917" s="338" t="s">
        <v>2518</v>
      </c>
      <c r="BQ917" s="338" t="s">
        <v>2518</v>
      </c>
      <c r="BR917" s="338"/>
      <c r="BS917" s="338" t="s">
        <v>6</v>
      </c>
      <c r="BT917" s="338" t="s">
        <v>2518</v>
      </c>
      <c r="BU917" s="338" t="s">
        <v>2518</v>
      </c>
      <c r="BV917" s="338" t="s">
        <v>2518</v>
      </c>
      <c r="BW917" s="338"/>
      <c r="BX917" s="338" t="s">
        <v>6</v>
      </c>
      <c r="BY917" s="338" t="s">
        <v>2605</v>
      </c>
      <c r="BZ917" s="338" t="s">
        <v>2518</v>
      </c>
      <c r="CA917"/>
      <c r="CB917" s="338" t="s">
        <v>5</v>
      </c>
      <c r="CC917" s="338">
        <v>15663.57372780068</v>
      </c>
      <c r="CD917" s="338">
        <v>6410144.6303594066</v>
      </c>
      <c r="CE917" s="313" t="s">
        <v>11891</v>
      </c>
    </row>
    <row r="918" spans="1:83" ht="15" x14ac:dyDescent="0.25">
      <c r="A918" s="338" t="s">
        <v>12268</v>
      </c>
      <c r="B918" s="338" t="s">
        <v>12269</v>
      </c>
      <c r="C918" s="338" t="s">
        <v>12109</v>
      </c>
      <c r="D918" s="338">
        <v>5</v>
      </c>
      <c r="E918" s="338" t="s">
        <v>2598</v>
      </c>
      <c r="F918" s="338" t="s">
        <v>2608</v>
      </c>
      <c r="G918" s="338" t="s">
        <v>2710</v>
      </c>
      <c r="H918" s="338" t="s">
        <v>12270</v>
      </c>
      <c r="I918" s="338" t="s">
        <v>12271</v>
      </c>
      <c r="J918" s="338" t="s">
        <v>12272</v>
      </c>
      <c r="K918" s="338" t="s">
        <v>12113</v>
      </c>
      <c r="L918" s="338">
        <v>14.139585494995121</v>
      </c>
      <c r="M918" s="338" t="s">
        <v>6</v>
      </c>
      <c r="N918" s="338" t="s">
        <v>5</v>
      </c>
      <c r="O918" s="338" t="s">
        <v>6</v>
      </c>
      <c r="P918" s="338" t="s">
        <v>5</v>
      </c>
      <c r="Q918" s="338" t="s">
        <v>5</v>
      </c>
      <c r="R918" s="338" t="s">
        <v>7182</v>
      </c>
      <c r="S918" s="338" t="s">
        <v>7182</v>
      </c>
      <c r="T918" s="338" t="s">
        <v>5</v>
      </c>
      <c r="U918" s="338" t="s">
        <v>50</v>
      </c>
      <c r="V918" s="338">
        <v>10000</v>
      </c>
      <c r="W918" s="338">
        <v>0</v>
      </c>
      <c r="X918" s="338" t="s">
        <v>6</v>
      </c>
      <c r="Y918" s="338"/>
      <c r="Z918" s="338"/>
      <c r="AA918" s="338">
        <v>0.66106134653091431</v>
      </c>
      <c r="AB918" s="338">
        <v>0.25628319382667542</v>
      </c>
      <c r="AC918" s="338">
        <v>0.64628434181213379</v>
      </c>
      <c r="AD918" s="338">
        <v>192</v>
      </c>
      <c r="AE918" s="338">
        <v>96</v>
      </c>
      <c r="AF918" s="338">
        <v>134</v>
      </c>
      <c r="AG918" s="338">
        <v>417</v>
      </c>
      <c r="AH918" s="338">
        <v>348</v>
      </c>
      <c r="AI918" s="338">
        <v>606</v>
      </c>
      <c r="AJ918" s="338">
        <v>0</v>
      </c>
      <c r="AK918" s="338">
        <v>7</v>
      </c>
      <c r="AL918" s="338">
        <v>4</v>
      </c>
      <c r="AM918" s="338">
        <v>7</v>
      </c>
      <c r="AN918" s="338">
        <v>3.508731365203857</v>
      </c>
      <c r="AO918" s="338"/>
      <c r="AP918" s="338"/>
      <c r="AQ918" s="338"/>
      <c r="AR918" s="338">
        <v>0</v>
      </c>
      <c r="AS918" s="338">
        <v>0</v>
      </c>
      <c r="AT918" s="338">
        <v>0</v>
      </c>
      <c r="AU918" s="338">
        <v>0</v>
      </c>
      <c r="AV918" s="338">
        <v>0</v>
      </c>
      <c r="AW918" s="338">
        <v>0</v>
      </c>
      <c r="AX918" s="338">
        <v>0</v>
      </c>
      <c r="AY918" s="338">
        <v>0</v>
      </c>
      <c r="AZ918" s="338">
        <v>0</v>
      </c>
      <c r="BA918" s="338">
        <v>0</v>
      </c>
      <c r="BB918" s="338"/>
      <c r="BC918" s="338"/>
      <c r="BD918" s="338"/>
      <c r="BE918" s="338">
        <v>0</v>
      </c>
      <c r="BF918" s="338" t="s">
        <v>2516</v>
      </c>
      <c r="BG918" s="338" t="s">
        <v>5</v>
      </c>
      <c r="BH918" s="338" t="s">
        <v>1020</v>
      </c>
      <c r="BI918" s="338"/>
      <c r="BJ918" s="338" t="s">
        <v>5</v>
      </c>
      <c r="BK918" s="338"/>
      <c r="BL918" s="338">
        <v>0</v>
      </c>
      <c r="BM918" s="338"/>
      <c r="BN918" s="338" t="s">
        <v>6</v>
      </c>
      <c r="BO918" s="338" t="s">
        <v>2518</v>
      </c>
      <c r="BP918" s="338" t="s">
        <v>2518</v>
      </c>
      <c r="BQ918" s="338" t="s">
        <v>2518</v>
      </c>
      <c r="BR918" s="338"/>
      <c r="BS918" s="338" t="s">
        <v>6</v>
      </c>
      <c r="BT918" s="338" t="s">
        <v>2518</v>
      </c>
      <c r="BU918" s="338" t="s">
        <v>2518</v>
      </c>
      <c r="BV918" s="338" t="s">
        <v>2518</v>
      </c>
      <c r="BW918" s="338"/>
      <c r="BX918" s="338" t="s">
        <v>6</v>
      </c>
      <c r="BY918" s="338" t="s">
        <v>2605</v>
      </c>
      <c r="BZ918" s="338" t="s">
        <v>2518</v>
      </c>
      <c r="CA918"/>
      <c r="CB918" s="338" t="s">
        <v>5</v>
      </c>
      <c r="CC918" s="338">
        <v>51119.400928620104</v>
      </c>
      <c r="CD918" s="338">
        <v>36621358.575476341</v>
      </c>
      <c r="CE918" s="313" t="s">
        <v>11891</v>
      </c>
    </row>
    <row r="919" spans="1:83" ht="15" x14ac:dyDescent="0.25">
      <c r="A919" s="338" t="s">
        <v>12273</v>
      </c>
      <c r="B919" s="338" t="s">
        <v>12274</v>
      </c>
      <c r="C919" s="338" t="s">
        <v>12275</v>
      </c>
      <c r="D919" s="338">
        <v>5</v>
      </c>
      <c r="E919" s="338" t="s">
        <v>2598</v>
      </c>
      <c r="F919" s="338" t="s">
        <v>2608</v>
      </c>
      <c r="G919" s="338" t="s">
        <v>2710</v>
      </c>
      <c r="H919" s="338" t="s">
        <v>12270</v>
      </c>
      <c r="I919" s="338" t="s">
        <v>12271</v>
      </c>
      <c r="J919" s="338" t="s">
        <v>12272</v>
      </c>
      <c r="K919" s="338" t="s">
        <v>12152</v>
      </c>
      <c r="L919" s="338">
        <v>14.139585494995121</v>
      </c>
      <c r="M919" s="338" t="s">
        <v>6</v>
      </c>
      <c r="N919" s="338" t="s">
        <v>5</v>
      </c>
      <c r="O919" s="338" t="s">
        <v>6</v>
      </c>
      <c r="P919" s="338" t="s">
        <v>5</v>
      </c>
      <c r="Q919" s="338" t="s">
        <v>5</v>
      </c>
      <c r="R919" s="338" t="s">
        <v>7182</v>
      </c>
      <c r="S919" s="338" t="s">
        <v>7182</v>
      </c>
      <c r="T919" s="338" t="s">
        <v>5</v>
      </c>
      <c r="U919" s="338" t="s">
        <v>13</v>
      </c>
      <c r="V919" s="338">
        <v>20000</v>
      </c>
      <c r="W919" s="338">
        <v>0</v>
      </c>
      <c r="X919" s="338" t="s">
        <v>6</v>
      </c>
      <c r="Y919" s="338"/>
      <c r="Z919" s="338"/>
      <c r="AA919" s="338">
        <v>0.66106134653091431</v>
      </c>
      <c r="AB919" s="338">
        <v>0.25628319382667542</v>
      </c>
      <c r="AC919" s="338">
        <v>0.64628434181213379</v>
      </c>
      <c r="AD919" s="338">
        <v>192</v>
      </c>
      <c r="AE919" s="338">
        <v>96</v>
      </c>
      <c r="AF919" s="338">
        <v>134</v>
      </c>
      <c r="AG919" s="338">
        <v>417</v>
      </c>
      <c r="AH919" s="338">
        <v>348</v>
      </c>
      <c r="AI919" s="338">
        <v>606</v>
      </c>
      <c r="AJ919" s="338">
        <v>0</v>
      </c>
      <c r="AK919" s="338">
        <v>7</v>
      </c>
      <c r="AL919" s="338">
        <v>4</v>
      </c>
      <c r="AM919" s="338">
        <v>7</v>
      </c>
      <c r="AN919" s="338">
        <v>3.508731365203857</v>
      </c>
      <c r="AO919" s="338"/>
      <c r="AP919" s="338"/>
      <c r="AQ919" s="338"/>
      <c r="AR919" s="338">
        <v>0</v>
      </c>
      <c r="AS919" s="338">
        <v>0</v>
      </c>
      <c r="AT919" s="338">
        <v>0</v>
      </c>
      <c r="AU919" s="338">
        <v>0</v>
      </c>
      <c r="AV919" s="338">
        <v>0</v>
      </c>
      <c r="AW919" s="338">
        <v>0</v>
      </c>
      <c r="AX919" s="338">
        <v>0</v>
      </c>
      <c r="AY919" s="338">
        <v>0</v>
      </c>
      <c r="AZ919" s="338">
        <v>0</v>
      </c>
      <c r="BA919" s="338">
        <v>0</v>
      </c>
      <c r="BB919" s="338"/>
      <c r="BC919" s="338"/>
      <c r="BD919" s="338"/>
      <c r="BE919" s="338">
        <v>0</v>
      </c>
      <c r="BF919" s="338" t="s">
        <v>2516</v>
      </c>
      <c r="BG919" s="338" t="s">
        <v>5</v>
      </c>
      <c r="BH919" s="338" t="s">
        <v>1020</v>
      </c>
      <c r="BI919" s="338"/>
      <c r="BJ919" s="338" t="s">
        <v>5</v>
      </c>
      <c r="BK919" s="338"/>
      <c r="BL919" s="338">
        <v>0</v>
      </c>
      <c r="BM919" s="338"/>
      <c r="BN919" s="338" t="s">
        <v>6</v>
      </c>
      <c r="BO919" s="338" t="s">
        <v>2518</v>
      </c>
      <c r="BP919" s="338" t="s">
        <v>2518</v>
      </c>
      <c r="BQ919" s="338" t="s">
        <v>2518</v>
      </c>
      <c r="BR919" s="338"/>
      <c r="BS919" s="338" t="s">
        <v>6</v>
      </c>
      <c r="BT919" s="338" t="s">
        <v>2518</v>
      </c>
      <c r="BU919" s="338" t="s">
        <v>2518</v>
      </c>
      <c r="BV919" s="338" t="s">
        <v>2518</v>
      </c>
      <c r="BW919" s="338"/>
      <c r="BX919" s="338" t="s">
        <v>6</v>
      </c>
      <c r="BY919" s="338" t="s">
        <v>2605</v>
      </c>
      <c r="BZ919" s="338" t="s">
        <v>2518</v>
      </c>
      <c r="CA919"/>
      <c r="CB919" s="338" t="s">
        <v>5</v>
      </c>
      <c r="CC919" s="338">
        <v>51119.400928620104</v>
      </c>
      <c r="CD919" s="338">
        <v>36621358.575476341</v>
      </c>
      <c r="CE919" s="313" t="s">
        <v>11891</v>
      </c>
    </row>
    <row r="920" spans="1:83" ht="15" x14ac:dyDescent="0.25">
      <c r="A920" s="338" t="s">
        <v>12276</v>
      </c>
      <c r="B920" s="338" t="s">
        <v>12277</v>
      </c>
      <c r="C920" s="338" t="s">
        <v>12189</v>
      </c>
      <c r="D920" s="338">
        <v>5</v>
      </c>
      <c r="E920" s="338" t="s">
        <v>2598</v>
      </c>
      <c r="F920" s="338" t="s">
        <v>1771</v>
      </c>
      <c r="G920" s="338" t="s">
        <v>2614</v>
      </c>
      <c r="H920" s="338" t="s">
        <v>2722</v>
      </c>
      <c r="I920" s="338" t="s">
        <v>2723</v>
      </c>
      <c r="J920" s="338" t="s">
        <v>2724</v>
      </c>
      <c r="K920" s="338" t="s">
        <v>12152</v>
      </c>
      <c r="L920" s="338">
        <v>0.63485258817672729</v>
      </c>
      <c r="M920" s="338" t="s">
        <v>6</v>
      </c>
      <c r="N920" s="338" t="s">
        <v>5</v>
      </c>
      <c r="O920" s="338" t="s">
        <v>6</v>
      </c>
      <c r="P920" s="338" t="s">
        <v>5</v>
      </c>
      <c r="Q920" s="338" t="s">
        <v>5</v>
      </c>
      <c r="R920" s="338" t="s">
        <v>2725</v>
      </c>
      <c r="S920" s="338" t="s">
        <v>2725</v>
      </c>
      <c r="T920" s="338" t="s">
        <v>5</v>
      </c>
      <c r="U920" s="338" t="s">
        <v>13</v>
      </c>
      <c r="V920" s="338">
        <v>5100</v>
      </c>
      <c r="W920" s="338">
        <v>0</v>
      </c>
      <c r="X920" s="338" t="s">
        <v>6</v>
      </c>
      <c r="Y920" s="338"/>
      <c r="Z920" s="338"/>
      <c r="AA920" s="338">
        <v>2.656619064509869E-2</v>
      </c>
      <c r="AB920" s="338">
        <v>2.387569984421134E-3</v>
      </c>
      <c r="AC920" s="338">
        <v>8.6294598877429962E-3</v>
      </c>
      <c r="AD920" s="338">
        <v>3</v>
      </c>
      <c r="AE920" s="338">
        <v>0</v>
      </c>
      <c r="AF920" s="338">
        <v>3</v>
      </c>
      <c r="AG920" s="338">
        <v>1</v>
      </c>
      <c r="AH920" s="338">
        <v>2</v>
      </c>
      <c r="AI920" s="338">
        <v>2</v>
      </c>
      <c r="AJ920" s="338">
        <v>0</v>
      </c>
      <c r="AK920" s="338">
        <v>0</v>
      </c>
      <c r="AL920" s="338">
        <v>0</v>
      </c>
      <c r="AM920" s="338">
        <v>0</v>
      </c>
      <c r="AN920" s="338">
        <v>0</v>
      </c>
      <c r="AO920" s="338"/>
      <c r="AP920" s="338"/>
      <c r="AQ920" s="338"/>
      <c r="AR920" s="338">
        <v>0</v>
      </c>
      <c r="AS920" s="338">
        <v>0</v>
      </c>
      <c r="AT920" s="338">
        <v>0</v>
      </c>
      <c r="AU920" s="338">
        <v>0</v>
      </c>
      <c r="AV920" s="338">
        <v>0</v>
      </c>
      <c r="AW920" s="338">
        <v>0</v>
      </c>
      <c r="AX920" s="338">
        <v>0</v>
      </c>
      <c r="AY920" s="338">
        <v>0</v>
      </c>
      <c r="AZ920" s="338">
        <v>0</v>
      </c>
      <c r="BA920" s="338">
        <v>0</v>
      </c>
      <c r="BB920" s="338"/>
      <c r="BC920" s="338"/>
      <c r="BD920" s="338"/>
      <c r="BE920" s="338">
        <v>0</v>
      </c>
      <c r="BF920" s="338" t="s">
        <v>2516</v>
      </c>
      <c r="BG920" s="338" t="s">
        <v>5</v>
      </c>
      <c r="BH920" s="338" t="s">
        <v>1020</v>
      </c>
      <c r="BI920" s="338"/>
      <c r="BJ920" s="338" t="s">
        <v>5</v>
      </c>
      <c r="BK920" s="338"/>
      <c r="BL920" s="338">
        <v>0</v>
      </c>
      <c r="BM920" s="338"/>
      <c r="BN920" s="338" t="s">
        <v>6</v>
      </c>
      <c r="BO920" s="338" t="s">
        <v>2518</v>
      </c>
      <c r="BP920" s="338" t="s">
        <v>2518</v>
      </c>
      <c r="BQ920" s="338" t="s">
        <v>2518</v>
      </c>
      <c r="BR920" s="338"/>
      <c r="BS920" s="338" t="s">
        <v>6</v>
      </c>
      <c r="BT920" s="338" t="s">
        <v>2518</v>
      </c>
      <c r="BU920" s="338" t="s">
        <v>2518</v>
      </c>
      <c r="BV920" s="338" t="s">
        <v>2518</v>
      </c>
      <c r="BW920" s="338"/>
      <c r="BX920" s="338" t="s">
        <v>6</v>
      </c>
      <c r="BY920" s="338" t="s">
        <v>2605</v>
      </c>
      <c r="BZ920" s="338" t="s">
        <v>2518</v>
      </c>
      <c r="CA920"/>
      <c r="CB920" s="338" t="s">
        <v>5</v>
      </c>
      <c r="CC920" s="338">
        <v>9475.4889831687724</v>
      </c>
      <c r="CD920" s="338">
        <v>1644260.584749891</v>
      </c>
      <c r="CE920" s="313" t="s">
        <v>11891</v>
      </c>
    </row>
    <row r="921" spans="1:83" ht="15" x14ac:dyDescent="0.25">
      <c r="A921" s="338" t="s">
        <v>12278</v>
      </c>
      <c r="B921" s="338" t="s">
        <v>12279</v>
      </c>
      <c r="C921" s="338" t="s">
        <v>12280</v>
      </c>
      <c r="D921" s="338">
        <v>5</v>
      </c>
      <c r="E921" s="338" t="s">
        <v>2598</v>
      </c>
      <c r="F921" s="338" t="s">
        <v>81</v>
      </c>
      <c r="G921" s="338" t="s">
        <v>2639</v>
      </c>
      <c r="H921" s="338" t="s">
        <v>2640</v>
      </c>
      <c r="I921" s="338" t="s">
        <v>2641</v>
      </c>
      <c r="J921" s="338" t="s">
        <v>2642</v>
      </c>
      <c r="K921" s="338" t="s">
        <v>12238</v>
      </c>
      <c r="L921" s="338">
        <v>235.4879455566406</v>
      </c>
      <c r="M921" s="338" t="s">
        <v>6</v>
      </c>
      <c r="N921" s="338" t="s">
        <v>5</v>
      </c>
      <c r="O921" s="338" t="s">
        <v>5</v>
      </c>
      <c r="P921" s="338" t="s">
        <v>5</v>
      </c>
      <c r="Q921" s="338" t="s">
        <v>6</v>
      </c>
      <c r="R921" s="338" t="s">
        <v>273</v>
      </c>
      <c r="S921" s="338" t="s">
        <v>273</v>
      </c>
      <c r="T921" s="338" t="s">
        <v>6</v>
      </c>
      <c r="U921" s="338" t="s">
        <v>4</v>
      </c>
      <c r="V921" s="338">
        <v>107000</v>
      </c>
      <c r="W921" s="338">
        <v>0</v>
      </c>
      <c r="X921" s="338" t="s">
        <v>6</v>
      </c>
      <c r="Y921" s="338"/>
      <c r="Z921" s="338"/>
      <c r="AA921" s="338">
        <v>73.971321105957031</v>
      </c>
      <c r="AB921" s="338">
        <v>11.69291973114014</v>
      </c>
      <c r="AC921" s="338">
        <v>31.773128509521481</v>
      </c>
      <c r="AD921" s="338">
        <v>116</v>
      </c>
      <c r="AE921" s="338">
        <v>39</v>
      </c>
      <c r="AF921" s="338">
        <v>57</v>
      </c>
      <c r="AG921" s="338">
        <v>51</v>
      </c>
      <c r="AH921" s="338">
        <v>140</v>
      </c>
      <c r="AI921" s="338">
        <v>143</v>
      </c>
      <c r="AJ921" s="338">
        <v>1</v>
      </c>
      <c r="AK921" s="338">
        <v>0</v>
      </c>
      <c r="AL921" s="338">
        <v>7</v>
      </c>
      <c r="AM921" s="338">
        <v>0</v>
      </c>
      <c r="AN921" s="338">
        <v>1525.707397460938</v>
      </c>
      <c r="AO921" s="338"/>
      <c r="AP921" s="338"/>
      <c r="AQ921" s="338"/>
      <c r="AR921" s="338">
        <v>0</v>
      </c>
      <c r="AS921" s="338">
        <v>0</v>
      </c>
      <c r="AT921" s="338">
        <v>0</v>
      </c>
      <c r="AU921" s="338">
        <v>0</v>
      </c>
      <c r="AV921" s="338">
        <v>0</v>
      </c>
      <c r="AW921" s="338">
        <v>0</v>
      </c>
      <c r="AX921" s="338">
        <v>0</v>
      </c>
      <c r="AY921" s="338">
        <v>0</v>
      </c>
      <c r="AZ921" s="338">
        <v>0</v>
      </c>
      <c r="BA921" s="338">
        <v>0</v>
      </c>
      <c r="BB921" s="338"/>
      <c r="BC921" s="338"/>
      <c r="BD921" s="338"/>
      <c r="BE921" s="338">
        <v>0</v>
      </c>
      <c r="BF921" s="338" t="s">
        <v>2516</v>
      </c>
      <c r="BG921" s="338" t="s">
        <v>5</v>
      </c>
      <c r="BH921" s="338" t="s">
        <v>1020</v>
      </c>
      <c r="BI921" s="338"/>
      <c r="BJ921" s="338" t="s">
        <v>5</v>
      </c>
      <c r="BK921" s="338"/>
      <c r="BL921" s="338">
        <v>0</v>
      </c>
      <c r="BM921" s="338"/>
      <c r="BN921" s="338" t="s">
        <v>5</v>
      </c>
      <c r="BO921" s="338" t="s">
        <v>2518</v>
      </c>
      <c r="BP921" s="338" t="s">
        <v>2518</v>
      </c>
      <c r="BQ921" s="338" t="s">
        <v>2518</v>
      </c>
      <c r="BR921" s="338"/>
      <c r="BS921" s="338" t="s">
        <v>6</v>
      </c>
      <c r="BT921" s="338" t="s">
        <v>2518</v>
      </c>
      <c r="BU921" s="338" t="s">
        <v>2518</v>
      </c>
      <c r="BV921" s="338" t="s">
        <v>2518</v>
      </c>
      <c r="BW921" s="338"/>
      <c r="BX921" s="338" t="s">
        <v>6</v>
      </c>
      <c r="BY921" s="338" t="s">
        <v>2605</v>
      </c>
      <c r="BZ921" s="338" t="s">
        <v>2518</v>
      </c>
      <c r="CA921"/>
      <c r="CB921" s="338" t="s">
        <v>5</v>
      </c>
      <c r="CC921" s="338">
        <v>178341.81564558871</v>
      </c>
      <c r="CD921" s="338">
        <v>609910960.05168712</v>
      </c>
      <c r="CE921" s="313" t="s">
        <v>11891</v>
      </c>
    </row>
    <row r="922" spans="1:83" ht="15" x14ac:dyDescent="0.25">
      <c r="A922" s="338" t="s">
        <v>12281</v>
      </c>
      <c r="B922" s="338" t="s">
        <v>12282</v>
      </c>
      <c r="C922" s="338" t="s">
        <v>12283</v>
      </c>
      <c r="D922" s="338">
        <v>5</v>
      </c>
      <c r="E922" s="338" t="s">
        <v>2598</v>
      </c>
      <c r="F922" s="338" t="s">
        <v>2660</v>
      </c>
      <c r="G922" s="338" t="s">
        <v>2661</v>
      </c>
      <c r="H922" s="338" t="s">
        <v>2662</v>
      </c>
      <c r="I922" s="338"/>
      <c r="J922" s="338" t="s">
        <v>2663</v>
      </c>
      <c r="K922" s="338" t="s">
        <v>12152</v>
      </c>
      <c r="L922" s="338">
        <v>535.169921875</v>
      </c>
      <c r="M922" s="338" t="s">
        <v>6</v>
      </c>
      <c r="N922" s="338" t="s">
        <v>5</v>
      </c>
      <c r="O922" s="338" t="s">
        <v>5</v>
      </c>
      <c r="P922" s="338" t="s">
        <v>5</v>
      </c>
      <c r="Q922" s="338" t="s">
        <v>6</v>
      </c>
      <c r="R922" s="338" t="s">
        <v>2664</v>
      </c>
      <c r="S922" s="338" t="s">
        <v>2664</v>
      </c>
      <c r="T922" s="338" t="s">
        <v>6</v>
      </c>
      <c r="U922" s="338" t="s">
        <v>28</v>
      </c>
      <c r="V922" s="338">
        <v>3110000</v>
      </c>
      <c r="W922" s="338">
        <v>0</v>
      </c>
      <c r="X922" s="338" t="s">
        <v>6</v>
      </c>
      <c r="Y922" s="338"/>
      <c r="Z922" s="338"/>
      <c r="AA922" s="338">
        <v>100.67148590087891</v>
      </c>
      <c r="AB922" s="338">
        <v>5.3430233001708984</v>
      </c>
      <c r="AC922" s="338">
        <v>1.483112692832947</v>
      </c>
      <c r="AD922" s="338">
        <v>84</v>
      </c>
      <c r="AE922" s="338">
        <v>32</v>
      </c>
      <c r="AF922" s="338">
        <v>45</v>
      </c>
      <c r="AG922" s="338">
        <v>321</v>
      </c>
      <c r="AH922" s="338">
        <v>124</v>
      </c>
      <c r="AI922" s="338">
        <v>368</v>
      </c>
      <c r="AJ922" s="338">
        <v>0</v>
      </c>
      <c r="AK922" s="338">
        <v>8</v>
      </c>
      <c r="AL922" s="338">
        <v>17</v>
      </c>
      <c r="AM922" s="338">
        <v>8</v>
      </c>
      <c r="AN922" s="338">
        <v>62.190280914306641</v>
      </c>
      <c r="AO922" s="338"/>
      <c r="AP922" s="338"/>
      <c r="AQ922" s="338"/>
      <c r="AR922" s="338">
        <v>0</v>
      </c>
      <c r="AS922" s="338">
        <v>0</v>
      </c>
      <c r="AT922" s="338">
        <v>0</v>
      </c>
      <c r="AU922" s="338">
        <v>0</v>
      </c>
      <c r="AV922" s="338">
        <v>0</v>
      </c>
      <c r="AW922" s="338">
        <v>0</v>
      </c>
      <c r="AX922" s="338">
        <v>0</v>
      </c>
      <c r="AY922" s="338">
        <v>0</v>
      </c>
      <c r="AZ922" s="338">
        <v>0</v>
      </c>
      <c r="BA922" s="338">
        <v>0</v>
      </c>
      <c r="BB922" s="338"/>
      <c r="BC922" s="338"/>
      <c r="BD922" s="338"/>
      <c r="BE922" s="338">
        <v>0</v>
      </c>
      <c r="BF922" s="338" t="s">
        <v>2516</v>
      </c>
      <c r="BG922" s="338" t="s">
        <v>5</v>
      </c>
      <c r="BH922" s="338" t="s">
        <v>1020</v>
      </c>
      <c r="BI922" s="338"/>
      <c r="BJ922" s="338" t="s">
        <v>5</v>
      </c>
      <c r="BK922" s="338"/>
      <c r="BL922" s="338">
        <v>0</v>
      </c>
      <c r="BM922" s="338"/>
      <c r="BN922" s="338" t="s">
        <v>5</v>
      </c>
      <c r="BO922" s="338" t="s">
        <v>2518</v>
      </c>
      <c r="BP922" s="338" t="s">
        <v>2518</v>
      </c>
      <c r="BQ922" s="338" t="s">
        <v>2518</v>
      </c>
      <c r="BR922" s="338"/>
      <c r="BS922" s="338" t="s">
        <v>6</v>
      </c>
      <c r="BT922" s="338" t="s">
        <v>2518</v>
      </c>
      <c r="BU922" s="338" t="s">
        <v>2518</v>
      </c>
      <c r="BV922" s="338" t="s">
        <v>2518</v>
      </c>
      <c r="BW922" s="338"/>
      <c r="BX922" s="338" t="s">
        <v>6</v>
      </c>
      <c r="BY922" s="338" t="s">
        <v>2605</v>
      </c>
      <c r="BZ922" s="338" t="s">
        <v>2518</v>
      </c>
      <c r="CA922"/>
      <c r="CB922" s="338" t="s">
        <v>5</v>
      </c>
      <c r="CC922" s="338">
        <v>244800.71167295959</v>
      </c>
      <c r="CD922" s="338">
        <v>1386083750.736033</v>
      </c>
      <c r="CE922" s="313" t="s">
        <v>11891</v>
      </c>
    </row>
    <row r="923" spans="1:83" ht="15" x14ac:dyDescent="0.25">
      <c r="A923" s="338" t="s">
        <v>12284</v>
      </c>
      <c r="B923" s="338" t="s">
        <v>12285</v>
      </c>
      <c r="C923" s="338" t="s">
        <v>12286</v>
      </c>
      <c r="D923" s="338">
        <v>5</v>
      </c>
      <c r="E923" s="338" t="s">
        <v>2598</v>
      </c>
      <c r="F923" s="338" t="s">
        <v>2138</v>
      </c>
      <c r="G923" s="338" t="s">
        <v>2571</v>
      </c>
      <c r="H923" s="338" t="s">
        <v>2631</v>
      </c>
      <c r="I923" s="338" t="s">
        <v>2632</v>
      </c>
      <c r="J923" s="338" t="s">
        <v>2633</v>
      </c>
      <c r="K923" s="338" t="s">
        <v>12152</v>
      </c>
      <c r="L923" s="338">
        <v>244.0077819824219</v>
      </c>
      <c r="M923" s="338" t="s">
        <v>6</v>
      </c>
      <c r="N923" s="338" t="s">
        <v>5</v>
      </c>
      <c r="O923" s="338" t="s">
        <v>6</v>
      </c>
      <c r="P923" s="338" t="s">
        <v>5</v>
      </c>
      <c r="Q923" s="338" t="s">
        <v>6</v>
      </c>
      <c r="R923" s="338" t="s">
        <v>2494</v>
      </c>
      <c r="S923" s="338" t="s">
        <v>2494</v>
      </c>
      <c r="T923" s="338" t="s">
        <v>5</v>
      </c>
      <c r="U923" s="338" t="s">
        <v>28</v>
      </c>
      <c r="V923" s="338">
        <v>82000</v>
      </c>
      <c r="W923" s="338">
        <v>0</v>
      </c>
      <c r="X923" s="338" t="s">
        <v>6</v>
      </c>
      <c r="Y923" s="338"/>
      <c r="Z923" s="338"/>
      <c r="AA923" s="338">
        <v>29.912782669067379</v>
      </c>
      <c r="AB923" s="338">
        <v>2.0945956707000728</v>
      </c>
      <c r="AC923" s="338">
        <v>2.7268669605255131</v>
      </c>
      <c r="AD923" s="338">
        <v>217</v>
      </c>
      <c r="AE923" s="338">
        <v>47</v>
      </c>
      <c r="AF923" s="338">
        <v>144</v>
      </c>
      <c r="AG923" s="338">
        <v>85</v>
      </c>
      <c r="AH923" s="338">
        <v>202</v>
      </c>
      <c r="AI923" s="338">
        <v>233</v>
      </c>
      <c r="AJ923" s="338">
        <v>0</v>
      </c>
      <c r="AK923" s="338">
        <v>0</v>
      </c>
      <c r="AL923" s="338">
        <v>13</v>
      </c>
      <c r="AM923" s="338">
        <v>0</v>
      </c>
      <c r="AN923" s="338">
        <v>231.7996826171875</v>
      </c>
      <c r="AO923" s="338"/>
      <c r="AP923" s="338"/>
      <c r="AQ923" s="338"/>
      <c r="AR923" s="338">
        <v>0</v>
      </c>
      <c r="AS923" s="338">
        <v>0</v>
      </c>
      <c r="AT923" s="338">
        <v>0</v>
      </c>
      <c r="AU923" s="338">
        <v>0</v>
      </c>
      <c r="AV923" s="338">
        <v>0</v>
      </c>
      <c r="AW923" s="338">
        <v>0</v>
      </c>
      <c r="AX923" s="338">
        <v>0</v>
      </c>
      <c r="AY923" s="338">
        <v>0</v>
      </c>
      <c r="AZ923" s="338">
        <v>0</v>
      </c>
      <c r="BA923" s="338">
        <v>0</v>
      </c>
      <c r="BB923" s="338"/>
      <c r="BC923" s="338"/>
      <c r="BD923" s="338"/>
      <c r="BE923" s="338">
        <v>0</v>
      </c>
      <c r="BF923" s="338" t="s">
        <v>2516</v>
      </c>
      <c r="BG923" s="338" t="s">
        <v>5</v>
      </c>
      <c r="BH923" s="338" t="s">
        <v>1020</v>
      </c>
      <c r="BI923" s="338"/>
      <c r="BJ923" s="338" t="s">
        <v>5</v>
      </c>
      <c r="BK923" s="338"/>
      <c r="BL923" s="338">
        <v>0</v>
      </c>
      <c r="BM923" s="338"/>
      <c r="BN923" s="338" t="s">
        <v>5</v>
      </c>
      <c r="BO923" s="338" t="s">
        <v>2518</v>
      </c>
      <c r="BP923" s="338" t="s">
        <v>2518</v>
      </c>
      <c r="BQ923" s="338" t="s">
        <v>2518</v>
      </c>
      <c r="BR923" s="338"/>
      <c r="BS923" s="338" t="s">
        <v>6</v>
      </c>
      <c r="BT923" s="338" t="s">
        <v>2518</v>
      </c>
      <c r="BU923" s="338" t="s">
        <v>2518</v>
      </c>
      <c r="BV923" s="338" t="s">
        <v>2518</v>
      </c>
      <c r="BW923" s="338"/>
      <c r="BX923" s="338" t="s">
        <v>6</v>
      </c>
      <c r="BY923" s="338" t="s">
        <v>2605</v>
      </c>
      <c r="BZ923" s="338" t="s">
        <v>2518</v>
      </c>
      <c r="CA923"/>
      <c r="CB923" s="338" t="s">
        <v>5</v>
      </c>
      <c r="CC923" s="338">
        <v>144729.1007365452</v>
      </c>
      <c r="CD923" s="338">
        <v>631977240.83358073</v>
      </c>
      <c r="CE923" s="313" t="s">
        <v>11891</v>
      </c>
    </row>
    <row r="924" spans="1:83" ht="15" x14ac:dyDescent="0.25">
      <c r="A924" s="338" t="s">
        <v>12287</v>
      </c>
      <c r="B924" s="338" t="s">
        <v>12288</v>
      </c>
      <c r="C924" s="338" t="s">
        <v>12289</v>
      </c>
      <c r="D924" s="338">
        <v>5</v>
      </c>
      <c r="E924" s="338" t="s">
        <v>2598</v>
      </c>
      <c r="F924" s="338" t="s">
        <v>2613</v>
      </c>
      <c r="G924" s="338" t="s">
        <v>2676</v>
      </c>
      <c r="H924" s="338" t="s">
        <v>2682</v>
      </c>
      <c r="I924" s="338"/>
      <c r="J924" s="338"/>
      <c r="K924" s="338" t="s">
        <v>12152</v>
      </c>
      <c r="L924" s="338">
        <v>860.9822998046875</v>
      </c>
      <c r="M924" s="338" t="s">
        <v>6</v>
      </c>
      <c r="N924" s="338" t="s">
        <v>5</v>
      </c>
      <c r="O924" s="338" t="s">
        <v>6</v>
      </c>
      <c r="P924" s="338" t="s">
        <v>5</v>
      </c>
      <c r="Q924" s="338" t="s">
        <v>6</v>
      </c>
      <c r="R924" s="338" t="s">
        <v>2678</v>
      </c>
      <c r="S924" s="338" t="s">
        <v>2684</v>
      </c>
      <c r="T924" s="338" t="s">
        <v>5</v>
      </c>
      <c r="U924" s="338" t="s">
        <v>28</v>
      </c>
      <c r="V924" s="338">
        <v>209000</v>
      </c>
      <c r="W924" s="338">
        <v>0</v>
      </c>
      <c r="X924" s="338" t="s">
        <v>6</v>
      </c>
      <c r="Y924" s="338"/>
      <c r="Z924" s="338"/>
      <c r="AA924" s="338">
        <v>228.10618591308591</v>
      </c>
      <c r="AB924" s="338">
        <v>10.454215049743651</v>
      </c>
      <c r="AC924" s="338">
        <v>8.7180318832397461</v>
      </c>
      <c r="AD924" s="338">
        <v>1201</v>
      </c>
      <c r="AE924" s="338">
        <v>217</v>
      </c>
      <c r="AF924" s="338">
        <v>750</v>
      </c>
      <c r="AG924" s="338">
        <v>6718</v>
      </c>
      <c r="AH924" s="338">
        <v>2570</v>
      </c>
      <c r="AI924" s="338">
        <v>8420</v>
      </c>
      <c r="AJ924" s="338">
        <v>11</v>
      </c>
      <c r="AK924" s="338">
        <v>19</v>
      </c>
      <c r="AL924" s="338">
        <v>66</v>
      </c>
      <c r="AM924" s="338">
        <v>19</v>
      </c>
      <c r="AN924" s="338">
        <v>165.36151123046881</v>
      </c>
      <c r="AO924" s="338"/>
      <c r="AP924" s="338"/>
      <c r="AQ924" s="338"/>
      <c r="AR924" s="338">
        <v>0</v>
      </c>
      <c r="AS924" s="338">
        <v>0</v>
      </c>
      <c r="AT924" s="338">
        <v>0</v>
      </c>
      <c r="AU924" s="338">
        <v>0</v>
      </c>
      <c r="AV924" s="338">
        <v>0</v>
      </c>
      <c r="AW924" s="338">
        <v>0</v>
      </c>
      <c r="AX924" s="338">
        <v>0</v>
      </c>
      <c r="AY924" s="338">
        <v>0</v>
      </c>
      <c r="AZ924" s="338">
        <v>0</v>
      </c>
      <c r="BA924" s="338">
        <v>0</v>
      </c>
      <c r="BB924" s="338"/>
      <c r="BC924" s="338"/>
      <c r="BD924" s="338"/>
      <c r="BE924" s="338">
        <v>0</v>
      </c>
      <c r="BF924" s="338" t="s">
        <v>2516</v>
      </c>
      <c r="BG924" s="338" t="s">
        <v>5</v>
      </c>
      <c r="BH924" s="338" t="s">
        <v>1020</v>
      </c>
      <c r="BI924" s="338"/>
      <c r="BJ924" s="338" t="s">
        <v>5</v>
      </c>
      <c r="BK924" s="338"/>
      <c r="BL924" s="338">
        <v>0</v>
      </c>
      <c r="BM924" s="338"/>
      <c r="BN924" s="338" t="s">
        <v>5</v>
      </c>
      <c r="BO924" s="338" t="s">
        <v>2518</v>
      </c>
      <c r="BP924" s="338" t="s">
        <v>2518</v>
      </c>
      <c r="BQ924" s="338" t="s">
        <v>2518</v>
      </c>
      <c r="BR924" s="338"/>
      <c r="BS924" s="338" t="s">
        <v>6</v>
      </c>
      <c r="BT924" s="338" t="s">
        <v>2518</v>
      </c>
      <c r="BU924" s="338" t="s">
        <v>2518</v>
      </c>
      <c r="BV924" s="338" t="s">
        <v>2518</v>
      </c>
      <c r="BW924" s="338"/>
      <c r="BX924" s="338" t="s">
        <v>6</v>
      </c>
      <c r="BY924" s="338" t="s">
        <v>2605</v>
      </c>
      <c r="BZ924" s="338" t="s">
        <v>2518</v>
      </c>
      <c r="CA924"/>
      <c r="CB924" s="338" t="s">
        <v>5</v>
      </c>
      <c r="CC924" s="338">
        <v>347588.24190946837</v>
      </c>
      <c r="CD924" s="338">
        <v>2229933853.8416839</v>
      </c>
      <c r="CE924" s="313" t="s">
        <v>11891</v>
      </c>
    </row>
    <row r="925" spans="1:83" ht="15" x14ac:dyDescent="0.25">
      <c r="A925" s="338" t="s">
        <v>12290</v>
      </c>
      <c r="B925" s="338" t="s">
        <v>12291</v>
      </c>
      <c r="C925" s="338" t="s">
        <v>12292</v>
      </c>
      <c r="D925" s="338">
        <v>5</v>
      </c>
      <c r="E925" s="338" t="s">
        <v>2598</v>
      </c>
      <c r="F925" s="338" t="s">
        <v>2171</v>
      </c>
      <c r="G925" s="338" t="s">
        <v>2685</v>
      </c>
      <c r="H925" s="338" t="s">
        <v>2686</v>
      </c>
      <c r="I925" s="338" t="s">
        <v>2687</v>
      </c>
      <c r="J925" s="338" t="s">
        <v>2688</v>
      </c>
      <c r="K925" s="338" t="s">
        <v>12152</v>
      </c>
      <c r="L925" s="338">
        <v>418.21084594726563</v>
      </c>
      <c r="M925" s="338" t="s">
        <v>6</v>
      </c>
      <c r="N925" s="338" t="s">
        <v>5</v>
      </c>
      <c r="O925" s="338" t="s">
        <v>6</v>
      </c>
      <c r="P925" s="338" t="s">
        <v>5</v>
      </c>
      <c r="Q925" s="338" t="s">
        <v>6</v>
      </c>
      <c r="R925" s="338" t="s">
        <v>2067</v>
      </c>
      <c r="S925" s="338" t="s">
        <v>2067</v>
      </c>
      <c r="T925" s="338" t="s">
        <v>5</v>
      </c>
      <c r="U925" s="338" t="s">
        <v>28</v>
      </c>
      <c r="V925" s="338">
        <v>602000</v>
      </c>
      <c r="W925" s="338">
        <v>0</v>
      </c>
      <c r="X925" s="338" t="s">
        <v>6</v>
      </c>
      <c r="Y925" s="338"/>
      <c r="Z925" s="338"/>
      <c r="AA925" s="338">
        <v>61.414657592773438</v>
      </c>
      <c r="AB925" s="338">
        <v>4.7471528053283691</v>
      </c>
      <c r="AC925" s="338">
        <v>3.9730210304260249</v>
      </c>
      <c r="AD925" s="338">
        <v>17</v>
      </c>
      <c r="AE925" s="338">
        <v>2</v>
      </c>
      <c r="AF925" s="338">
        <v>3</v>
      </c>
      <c r="AG925" s="338">
        <v>5</v>
      </c>
      <c r="AH925" s="338">
        <v>16</v>
      </c>
      <c r="AI925" s="338">
        <v>16</v>
      </c>
      <c r="AJ925" s="338">
        <v>0</v>
      </c>
      <c r="AK925" s="338">
        <v>7</v>
      </c>
      <c r="AL925" s="338">
        <v>20</v>
      </c>
      <c r="AM925" s="338">
        <v>7</v>
      </c>
      <c r="AN925" s="338">
        <v>116.8699188232422</v>
      </c>
      <c r="AO925" s="338"/>
      <c r="AP925" s="338"/>
      <c r="AQ925" s="338"/>
      <c r="AR925" s="338">
        <v>0</v>
      </c>
      <c r="AS925" s="338">
        <v>0</v>
      </c>
      <c r="AT925" s="338">
        <v>0</v>
      </c>
      <c r="AU925" s="338">
        <v>0</v>
      </c>
      <c r="AV925" s="338">
        <v>0</v>
      </c>
      <c r="AW925" s="338">
        <v>0</v>
      </c>
      <c r="AX925" s="338">
        <v>0</v>
      </c>
      <c r="AY925" s="338">
        <v>0</v>
      </c>
      <c r="AZ925" s="338">
        <v>0</v>
      </c>
      <c r="BA925" s="338">
        <v>0</v>
      </c>
      <c r="BB925" s="338"/>
      <c r="BC925" s="338"/>
      <c r="BD925" s="338"/>
      <c r="BE925" s="338">
        <v>0</v>
      </c>
      <c r="BF925" s="338" t="s">
        <v>2516</v>
      </c>
      <c r="BG925" s="338" t="s">
        <v>5</v>
      </c>
      <c r="BH925" s="338" t="s">
        <v>1020</v>
      </c>
      <c r="BI925" s="338"/>
      <c r="BJ925" s="338" t="s">
        <v>5</v>
      </c>
      <c r="BK925" s="338"/>
      <c r="BL925" s="338">
        <v>0</v>
      </c>
      <c r="BM925" s="338"/>
      <c r="BN925" s="338" t="s">
        <v>5</v>
      </c>
      <c r="BO925" s="338" t="s">
        <v>2518</v>
      </c>
      <c r="BP925" s="338" t="s">
        <v>2518</v>
      </c>
      <c r="BQ925" s="338" t="s">
        <v>2518</v>
      </c>
      <c r="BR925" s="338"/>
      <c r="BS925" s="338" t="s">
        <v>6</v>
      </c>
      <c r="BT925" s="338" t="s">
        <v>2518</v>
      </c>
      <c r="BU925" s="338" t="s">
        <v>2518</v>
      </c>
      <c r="BV925" s="338" t="s">
        <v>2518</v>
      </c>
      <c r="BW925" s="338"/>
      <c r="BX925" s="338" t="s">
        <v>6</v>
      </c>
      <c r="BY925" s="338" t="s">
        <v>2605</v>
      </c>
      <c r="BZ925" s="338" t="s">
        <v>2518</v>
      </c>
      <c r="CA925"/>
      <c r="CB925" s="338" t="s">
        <v>5</v>
      </c>
      <c r="CC925" s="338">
        <v>191278.39302701049</v>
      </c>
      <c r="CD925" s="338">
        <v>1083161157.7274129</v>
      </c>
      <c r="CE925" s="313" t="s">
        <v>11891</v>
      </c>
    </row>
    <row r="926" spans="1:83" ht="15" x14ac:dyDescent="0.25">
      <c r="A926" s="338" t="s">
        <v>12293</v>
      </c>
      <c r="B926" s="338" t="s">
        <v>12294</v>
      </c>
      <c r="C926" s="338" t="s">
        <v>12295</v>
      </c>
      <c r="D926" s="338">
        <v>5</v>
      </c>
      <c r="E926" s="338" t="s">
        <v>2598</v>
      </c>
      <c r="F926" s="338" t="s">
        <v>2171</v>
      </c>
      <c r="G926" s="338" t="s">
        <v>2685</v>
      </c>
      <c r="H926" s="338" t="s">
        <v>2686</v>
      </c>
      <c r="I926" s="338" t="s">
        <v>2687</v>
      </c>
      <c r="J926" s="338" t="s">
        <v>2688</v>
      </c>
      <c r="K926" s="338" t="s">
        <v>12296</v>
      </c>
      <c r="L926" s="338">
        <v>418.21084594726563</v>
      </c>
      <c r="M926" s="338" t="s">
        <v>6</v>
      </c>
      <c r="N926" s="338" t="s">
        <v>5</v>
      </c>
      <c r="O926" s="338" t="s">
        <v>6</v>
      </c>
      <c r="P926" s="338" t="s">
        <v>5</v>
      </c>
      <c r="Q926" s="338" t="s">
        <v>6</v>
      </c>
      <c r="R926" s="338" t="s">
        <v>2067</v>
      </c>
      <c r="S926" s="338" t="s">
        <v>2067</v>
      </c>
      <c r="T926" s="338" t="s">
        <v>6</v>
      </c>
      <c r="U926" s="338" t="s">
        <v>28</v>
      </c>
      <c r="V926" s="338">
        <v>121000</v>
      </c>
      <c r="W926" s="338">
        <v>0</v>
      </c>
      <c r="X926" s="338" t="s">
        <v>6</v>
      </c>
      <c r="Y926" s="338"/>
      <c r="Z926" s="338"/>
      <c r="AA926" s="338">
        <v>61.414657592773438</v>
      </c>
      <c r="AB926" s="338">
        <v>4.7471528053283691</v>
      </c>
      <c r="AC926" s="338">
        <v>3.9730210304260249</v>
      </c>
      <c r="AD926" s="338">
        <v>17</v>
      </c>
      <c r="AE926" s="338">
        <v>2</v>
      </c>
      <c r="AF926" s="338">
        <v>3</v>
      </c>
      <c r="AG926" s="338">
        <v>5</v>
      </c>
      <c r="AH926" s="338">
        <v>16</v>
      </c>
      <c r="AI926" s="338">
        <v>16</v>
      </c>
      <c r="AJ926" s="338">
        <v>0</v>
      </c>
      <c r="AK926" s="338">
        <v>7</v>
      </c>
      <c r="AL926" s="338">
        <v>20</v>
      </c>
      <c r="AM926" s="338">
        <v>7</v>
      </c>
      <c r="AN926" s="338">
        <v>116.8699188232422</v>
      </c>
      <c r="AO926" s="338"/>
      <c r="AP926" s="338"/>
      <c r="AQ926" s="338"/>
      <c r="AR926" s="338">
        <v>0</v>
      </c>
      <c r="AS926" s="338">
        <v>0</v>
      </c>
      <c r="AT926" s="338">
        <v>0</v>
      </c>
      <c r="AU926" s="338">
        <v>0</v>
      </c>
      <c r="AV926" s="338">
        <v>0</v>
      </c>
      <c r="AW926" s="338">
        <v>0</v>
      </c>
      <c r="AX926" s="338">
        <v>0</v>
      </c>
      <c r="AY926" s="338">
        <v>0</v>
      </c>
      <c r="AZ926" s="338">
        <v>0</v>
      </c>
      <c r="BA926" s="338">
        <v>0</v>
      </c>
      <c r="BB926" s="338"/>
      <c r="BC926" s="338"/>
      <c r="BD926" s="338"/>
      <c r="BE926" s="338">
        <v>0</v>
      </c>
      <c r="BF926" s="338" t="s">
        <v>2516</v>
      </c>
      <c r="BG926" s="338" t="s">
        <v>5</v>
      </c>
      <c r="BH926" s="338" t="s">
        <v>1020</v>
      </c>
      <c r="BI926" s="338"/>
      <c r="BJ926" s="338" t="s">
        <v>5</v>
      </c>
      <c r="BK926" s="338"/>
      <c r="BL926" s="338">
        <v>0</v>
      </c>
      <c r="BM926" s="338"/>
      <c r="BN926" s="338" t="s">
        <v>5</v>
      </c>
      <c r="BO926" s="338" t="s">
        <v>2518</v>
      </c>
      <c r="BP926" s="338" t="s">
        <v>2518</v>
      </c>
      <c r="BQ926" s="338" t="s">
        <v>2518</v>
      </c>
      <c r="BR926" s="338"/>
      <c r="BS926" s="338" t="s">
        <v>6</v>
      </c>
      <c r="BT926" s="338" t="s">
        <v>2518</v>
      </c>
      <c r="BU926" s="338" t="s">
        <v>2518</v>
      </c>
      <c r="BV926" s="338" t="s">
        <v>2518</v>
      </c>
      <c r="BW926" s="338"/>
      <c r="BX926" s="338" t="s">
        <v>6</v>
      </c>
      <c r="BY926" s="338" t="s">
        <v>2605</v>
      </c>
      <c r="BZ926" s="338" t="s">
        <v>2518</v>
      </c>
      <c r="CA926"/>
      <c r="CB926" s="338" t="s">
        <v>5</v>
      </c>
      <c r="CC926" s="338">
        <v>191278.39302701049</v>
      </c>
      <c r="CD926" s="338">
        <v>1083161157.7274129</v>
      </c>
      <c r="CE926" s="313" t="s">
        <v>11891</v>
      </c>
    </row>
    <row r="927" spans="1:83" ht="15" x14ac:dyDescent="0.25">
      <c r="A927" s="338" t="s">
        <v>12297</v>
      </c>
      <c r="B927" s="338" t="s">
        <v>12298</v>
      </c>
      <c r="C927" s="338" t="s">
        <v>12299</v>
      </c>
      <c r="D927" s="338">
        <v>5</v>
      </c>
      <c r="E927" s="338" t="s">
        <v>2598</v>
      </c>
      <c r="F927" s="338" t="s">
        <v>2171</v>
      </c>
      <c r="G927" s="338" t="s">
        <v>2685</v>
      </c>
      <c r="H927" s="338" t="s">
        <v>2686</v>
      </c>
      <c r="I927" s="338" t="s">
        <v>2687</v>
      </c>
      <c r="J927" s="338" t="s">
        <v>2688</v>
      </c>
      <c r="K927" s="338" t="s">
        <v>2620</v>
      </c>
      <c r="L927" s="338">
        <v>418.21084594726563</v>
      </c>
      <c r="M927" s="338" t="s">
        <v>6</v>
      </c>
      <c r="N927" s="338" t="s">
        <v>5</v>
      </c>
      <c r="O927" s="338" t="s">
        <v>6</v>
      </c>
      <c r="P927" s="338" t="s">
        <v>5</v>
      </c>
      <c r="Q927" s="338" t="s">
        <v>6</v>
      </c>
      <c r="R927" s="338" t="s">
        <v>2067</v>
      </c>
      <c r="S927" s="338" t="s">
        <v>2067</v>
      </c>
      <c r="T927" s="338" t="s">
        <v>6</v>
      </c>
      <c r="U927" s="338" t="s">
        <v>50</v>
      </c>
      <c r="V927" s="338">
        <v>61000</v>
      </c>
      <c r="W927" s="338">
        <v>0</v>
      </c>
      <c r="X927" s="338" t="s">
        <v>6</v>
      </c>
      <c r="Y927" s="338"/>
      <c r="Z927" s="338"/>
      <c r="AA927" s="338">
        <v>61.414657592773438</v>
      </c>
      <c r="AB927" s="338">
        <v>4.7471528053283691</v>
      </c>
      <c r="AC927" s="338">
        <v>3.9730210304260249</v>
      </c>
      <c r="AD927" s="338">
        <v>17</v>
      </c>
      <c r="AE927" s="338">
        <v>2</v>
      </c>
      <c r="AF927" s="338">
        <v>3</v>
      </c>
      <c r="AG927" s="338">
        <v>5</v>
      </c>
      <c r="AH927" s="338">
        <v>16</v>
      </c>
      <c r="AI927" s="338">
        <v>16</v>
      </c>
      <c r="AJ927" s="338">
        <v>0</v>
      </c>
      <c r="AK927" s="338">
        <v>7</v>
      </c>
      <c r="AL927" s="338">
        <v>20</v>
      </c>
      <c r="AM927" s="338">
        <v>7</v>
      </c>
      <c r="AN927" s="338">
        <v>116.8699188232422</v>
      </c>
      <c r="AO927" s="338"/>
      <c r="AP927" s="338"/>
      <c r="AQ927" s="338"/>
      <c r="AR927" s="338">
        <v>0</v>
      </c>
      <c r="AS927" s="338">
        <v>0</v>
      </c>
      <c r="AT927" s="338">
        <v>0</v>
      </c>
      <c r="AU927" s="338">
        <v>0</v>
      </c>
      <c r="AV927" s="338">
        <v>0</v>
      </c>
      <c r="AW927" s="338">
        <v>0</v>
      </c>
      <c r="AX927" s="338">
        <v>0</v>
      </c>
      <c r="AY927" s="338">
        <v>0</v>
      </c>
      <c r="AZ927" s="338">
        <v>0</v>
      </c>
      <c r="BA927" s="338">
        <v>0</v>
      </c>
      <c r="BB927" s="338"/>
      <c r="BC927" s="338"/>
      <c r="BD927" s="338"/>
      <c r="BE927" s="338">
        <v>0</v>
      </c>
      <c r="BF927" s="338" t="s">
        <v>2516</v>
      </c>
      <c r="BG927" s="338" t="s">
        <v>5</v>
      </c>
      <c r="BH927" s="338" t="s">
        <v>1020</v>
      </c>
      <c r="BI927" s="338"/>
      <c r="BJ927" s="338" t="s">
        <v>5</v>
      </c>
      <c r="BK927" s="338"/>
      <c r="BL927" s="338">
        <v>0</v>
      </c>
      <c r="BM927" s="338"/>
      <c r="BN927" s="338" t="s">
        <v>6</v>
      </c>
      <c r="BO927" s="338" t="s">
        <v>2518</v>
      </c>
      <c r="BP927" s="338" t="s">
        <v>2518</v>
      </c>
      <c r="BQ927" s="338" t="s">
        <v>2518</v>
      </c>
      <c r="BR927" s="338"/>
      <c r="BS927" s="338" t="s">
        <v>6</v>
      </c>
      <c r="BT927" s="338" t="s">
        <v>2518</v>
      </c>
      <c r="BU927" s="338" t="s">
        <v>2518</v>
      </c>
      <c r="BV927" s="338" t="s">
        <v>2518</v>
      </c>
      <c r="BW927" s="338"/>
      <c r="BX927" s="338" t="s">
        <v>6</v>
      </c>
      <c r="BY927" s="338" t="s">
        <v>2605</v>
      </c>
      <c r="BZ927" s="338" t="s">
        <v>2518</v>
      </c>
      <c r="CA927"/>
      <c r="CB927" s="338" t="s">
        <v>5</v>
      </c>
      <c r="CC927" s="338">
        <v>191278.39302701049</v>
      </c>
      <c r="CD927" s="338">
        <v>1083161157.7274129</v>
      </c>
      <c r="CE927" s="313" t="s">
        <v>11891</v>
      </c>
    </row>
    <row r="928" spans="1:83" ht="15" x14ac:dyDescent="0.25">
      <c r="A928" s="338" t="s">
        <v>12300</v>
      </c>
      <c r="B928" s="338" t="s">
        <v>12301</v>
      </c>
      <c r="C928" s="338" t="s">
        <v>12302</v>
      </c>
      <c r="D928" s="338">
        <v>5</v>
      </c>
      <c r="E928" s="338" t="s">
        <v>2598</v>
      </c>
      <c r="F928" s="338" t="s">
        <v>2171</v>
      </c>
      <c r="G928" s="338" t="s">
        <v>2685</v>
      </c>
      <c r="H928" s="338" t="s">
        <v>2686</v>
      </c>
      <c r="I928" s="338" t="s">
        <v>2687</v>
      </c>
      <c r="J928" s="338" t="s">
        <v>2688</v>
      </c>
      <c r="K928" s="338" t="s">
        <v>12296</v>
      </c>
      <c r="L928" s="338">
        <v>418.21084594726563</v>
      </c>
      <c r="M928" s="338" t="s">
        <v>6</v>
      </c>
      <c r="N928" s="338" t="s">
        <v>5</v>
      </c>
      <c r="O928" s="338" t="s">
        <v>6</v>
      </c>
      <c r="P928" s="338" t="s">
        <v>5</v>
      </c>
      <c r="Q928" s="338" t="s">
        <v>6</v>
      </c>
      <c r="R928" s="338" t="s">
        <v>2067</v>
      </c>
      <c r="S928" s="338" t="s">
        <v>2067</v>
      </c>
      <c r="T928" s="338" t="s">
        <v>5</v>
      </c>
      <c r="U928" s="338" t="s">
        <v>28</v>
      </c>
      <c r="V928" s="338">
        <v>5000</v>
      </c>
      <c r="W928" s="338">
        <v>0</v>
      </c>
      <c r="X928" s="338" t="s">
        <v>6</v>
      </c>
      <c r="Y928" s="338"/>
      <c r="Z928" s="338"/>
      <c r="AA928" s="338">
        <v>61.414657592773438</v>
      </c>
      <c r="AB928" s="338">
        <v>4.7471528053283691</v>
      </c>
      <c r="AC928" s="338">
        <v>3.9730210304260249</v>
      </c>
      <c r="AD928" s="338">
        <v>17</v>
      </c>
      <c r="AE928" s="338">
        <v>2</v>
      </c>
      <c r="AF928" s="338">
        <v>3</v>
      </c>
      <c r="AG928" s="338">
        <v>5</v>
      </c>
      <c r="AH928" s="338">
        <v>16</v>
      </c>
      <c r="AI928" s="338">
        <v>16</v>
      </c>
      <c r="AJ928" s="338">
        <v>0</v>
      </c>
      <c r="AK928" s="338">
        <v>7</v>
      </c>
      <c r="AL928" s="338">
        <v>20</v>
      </c>
      <c r="AM928" s="338">
        <v>7</v>
      </c>
      <c r="AN928" s="338">
        <v>116.8699188232422</v>
      </c>
      <c r="AO928" s="338"/>
      <c r="AP928" s="338"/>
      <c r="AQ928" s="338"/>
      <c r="AR928" s="338">
        <v>0</v>
      </c>
      <c r="AS928" s="338">
        <v>0</v>
      </c>
      <c r="AT928" s="338">
        <v>0</v>
      </c>
      <c r="AU928" s="338">
        <v>0</v>
      </c>
      <c r="AV928" s="338">
        <v>0</v>
      </c>
      <c r="AW928" s="338">
        <v>0</v>
      </c>
      <c r="AX928" s="338">
        <v>0</v>
      </c>
      <c r="AY928" s="338">
        <v>0</v>
      </c>
      <c r="AZ928" s="338">
        <v>0</v>
      </c>
      <c r="BA928" s="338">
        <v>0</v>
      </c>
      <c r="BB928" s="338"/>
      <c r="BC928" s="338"/>
      <c r="BD928" s="338"/>
      <c r="BE928" s="338">
        <v>0</v>
      </c>
      <c r="BF928" s="338" t="s">
        <v>2516</v>
      </c>
      <c r="BG928" s="338" t="s">
        <v>5</v>
      </c>
      <c r="BH928" s="338" t="s">
        <v>1020</v>
      </c>
      <c r="BI928" s="338"/>
      <c r="BJ928" s="338" t="s">
        <v>5</v>
      </c>
      <c r="BK928" s="338"/>
      <c r="BL928" s="338">
        <v>0</v>
      </c>
      <c r="BM928" s="338"/>
      <c r="BN928" s="338" t="s">
        <v>5</v>
      </c>
      <c r="BO928" s="338" t="s">
        <v>2518</v>
      </c>
      <c r="BP928" s="338" t="s">
        <v>2518</v>
      </c>
      <c r="BQ928" s="338" t="s">
        <v>2518</v>
      </c>
      <c r="BR928" s="338"/>
      <c r="BS928" s="338" t="s">
        <v>6</v>
      </c>
      <c r="BT928" s="338" t="s">
        <v>2518</v>
      </c>
      <c r="BU928" s="338" t="s">
        <v>2518</v>
      </c>
      <c r="BV928" s="338" t="s">
        <v>2518</v>
      </c>
      <c r="BW928" s="338"/>
      <c r="BX928" s="338" t="s">
        <v>6</v>
      </c>
      <c r="BY928" s="338" t="s">
        <v>2605</v>
      </c>
      <c r="BZ928" s="338" t="s">
        <v>2518</v>
      </c>
      <c r="CA928"/>
      <c r="CB928" s="338" t="s">
        <v>5</v>
      </c>
      <c r="CC928" s="338">
        <v>191278.39302701049</v>
      </c>
      <c r="CD928" s="338">
        <v>1083161157.7274129</v>
      </c>
      <c r="CE928" s="313" t="s">
        <v>11891</v>
      </c>
    </row>
    <row r="929" spans="1:83" ht="15" x14ac:dyDescent="0.25">
      <c r="A929" s="338" t="s">
        <v>12303</v>
      </c>
      <c r="B929" s="338" t="s">
        <v>12304</v>
      </c>
      <c r="C929" s="338" t="s">
        <v>12305</v>
      </c>
      <c r="D929" s="338">
        <v>5</v>
      </c>
      <c r="E929" s="338" t="s">
        <v>2598</v>
      </c>
      <c r="F929" s="338" t="s">
        <v>2702</v>
      </c>
      <c r="G929" s="338" t="s">
        <v>2691</v>
      </c>
      <c r="H929" s="338" t="s">
        <v>2703</v>
      </c>
      <c r="I929" s="338" t="s">
        <v>2704</v>
      </c>
      <c r="J929" s="338" t="s">
        <v>2705</v>
      </c>
      <c r="K929" s="338" t="s">
        <v>12152</v>
      </c>
      <c r="L929" s="338">
        <v>159.87260437011719</v>
      </c>
      <c r="M929" s="338" t="s">
        <v>6</v>
      </c>
      <c r="N929" s="338" t="s">
        <v>5</v>
      </c>
      <c r="O929" s="338" t="s">
        <v>6</v>
      </c>
      <c r="P929" s="338" t="s">
        <v>5</v>
      </c>
      <c r="Q929" s="338" t="s">
        <v>5</v>
      </c>
      <c r="R929" s="338" t="s">
        <v>2706</v>
      </c>
      <c r="S929" s="338" t="s">
        <v>2706</v>
      </c>
      <c r="T929" s="338" t="s">
        <v>5</v>
      </c>
      <c r="U929" s="338" t="s">
        <v>28</v>
      </c>
      <c r="V929" s="338">
        <v>3319000</v>
      </c>
      <c r="W929" s="338">
        <v>0</v>
      </c>
      <c r="X929" s="338" t="s">
        <v>6</v>
      </c>
      <c r="Y929" s="338"/>
      <c r="Z929" s="338"/>
      <c r="AA929" s="338">
        <v>21.602313995361332</v>
      </c>
      <c r="AB929" s="338">
        <v>1.0663367509841919</v>
      </c>
      <c r="AC929" s="338">
        <v>1.222298741340637</v>
      </c>
      <c r="AD929" s="338">
        <v>15</v>
      </c>
      <c r="AE929" s="338">
        <v>14</v>
      </c>
      <c r="AF929" s="338">
        <v>0</v>
      </c>
      <c r="AG929" s="338">
        <v>3</v>
      </c>
      <c r="AH929" s="338">
        <v>7</v>
      </c>
      <c r="AI929" s="338">
        <v>8</v>
      </c>
      <c r="AJ929" s="338">
        <v>0</v>
      </c>
      <c r="AK929" s="338">
        <v>4</v>
      </c>
      <c r="AL929" s="338">
        <v>5</v>
      </c>
      <c r="AM929" s="338">
        <v>4</v>
      </c>
      <c r="AN929" s="338">
        <v>56.068603515625</v>
      </c>
      <c r="AO929" s="338"/>
      <c r="AP929" s="338"/>
      <c r="AQ929" s="338"/>
      <c r="AR929" s="338">
        <v>0</v>
      </c>
      <c r="AS929" s="338">
        <v>0</v>
      </c>
      <c r="AT929" s="338">
        <v>0</v>
      </c>
      <c r="AU929" s="338">
        <v>0</v>
      </c>
      <c r="AV929" s="338">
        <v>0</v>
      </c>
      <c r="AW929" s="338">
        <v>0</v>
      </c>
      <c r="AX929" s="338">
        <v>0</v>
      </c>
      <c r="AY929" s="338">
        <v>0</v>
      </c>
      <c r="AZ929" s="338">
        <v>0</v>
      </c>
      <c r="BA929" s="338">
        <v>0</v>
      </c>
      <c r="BB929" s="338"/>
      <c r="BC929" s="338"/>
      <c r="BD929" s="338"/>
      <c r="BE929" s="338">
        <v>0</v>
      </c>
      <c r="BF929" s="338" t="s">
        <v>2516</v>
      </c>
      <c r="BG929" s="338" t="s">
        <v>5</v>
      </c>
      <c r="BH929" s="338" t="s">
        <v>1020</v>
      </c>
      <c r="BI929" s="338"/>
      <c r="BJ929" s="338" t="s">
        <v>5</v>
      </c>
      <c r="BK929" s="338"/>
      <c r="BL929" s="338">
        <v>0</v>
      </c>
      <c r="BM929" s="338"/>
      <c r="BN929" s="338" t="s">
        <v>5</v>
      </c>
      <c r="BO929" s="338" t="s">
        <v>2518</v>
      </c>
      <c r="BP929" s="338" t="s">
        <v>2518</v>
      </c>
      <c r="BQ929" s="338" t="s">
        <v>2518</v>
      </c>
      <c r="BR929" s="338"/>
      <c r="BS929" s="338" t="s">
        <v>6</v>
      </c>
      <c r="BT929" s="338" t="s">
        <v>2518</v>
      </c>
      <c r="BU929" s="338" t="s">
        <v>2518</v>
      </c>
      <c r="BV929" s="338" t="s">
        <v>2518</v>
      </c>
      <c r="BW929" s="338"/>
      <c r="BX929" s="338" t="s">
        <v>6</v>
      </c>
      <c r="BY929" s="338" t="s">
        <v>2605</v>
      </c>
      <c r="BZ929" s="338" t="s">
        <v>2518</v>
      </c>
      <c r="CA929"/>
      <c r="CB929" s="338" t="s">
        <v>5</v>
      </c>
      <c r="CC929" s="338">
        <v>172484.12849168849</v>
      </c>
      <c r="CD929" s="338">
        <v>414068156.42226398</v>
      </c>
      <c r="CE929" s="313" t="s">
        <v>11891</v>
      </c>
    </row>
    <row r="930" spans="1:83" ht="15" x14ac:dyDescent="0.25">
      <c r="A930" s="338" t="s">
        <v>12306</v>
      </c>
      <c r="B930" s="338" t="s">
        <v>12307</v>
      </c>
      <c r="C930" s="338" t="s">
        <v>12308</v>
      </c>
      <c r="D930" s="338">
        <v>5</v>
      </c>
      <c r="E930" s="338" t="s">
        <v>2598</v>
      </c>
      <c r="F930" s="338" t="s">
        <v>2702</v>
      </c>
      <c r="G930" s="338" t="s">
        <v>2691</v>
      </c>
      <c r="H930" s="338" t="s">
        <v>2703</v>
      </c>
      <c r="I930" s="338" t="s">
        <v>2704</v>
      </c>
      <c r="J930" s="338" t="s">
        <v>2705</v>
      </c>
      <c r="K930" s="338" t="s">
        <v>12152</v>
      </c>
      <c r="L930" s="338">
        <v>159.87260437011719</v>
      </c>
      <c r="M930" s="338" t="s">
        <v>6</v>
      </c>
      <c r="N930" s="338" t="s">
        <v>5</v>
      </c>
      <c r="O930" s="338" t="s">
        <v>6</v>
      </c>
      <c r="P930" s="338" t="s">
        <v>5</v>
      </c>
      <c r="Q930" s="338" t="s">
        <v>5</v>
      </c>
      <c r="R930" s="338" t="s">
        <v>2706</v>
      </c>
      <c r="S930" s="338" t="s">
        <v>2706</v>
      </c>
      <c r="T930" s="338" t="s">
        <v>6</v>
      </c>
      <c r="U930" s="338" t="s">
        <v>28</v>
      </c>
      <c r="V930" s="338">
        <v>111000</v>
      </c>
      <c r="W930" s="338">
        <v>0</v>
      </c>
      <c r="X930" s="338" t="s">
        <v>6</v>
      </c>
      <c r="Y930" s="338"/>
      <c r="Z930" s="338"/>
      <c r="AA930" s="338">
        <v>21.602313995361332</v>
      </c>
      <c r="AB930" s="338">
        <v>1.0663367509841919</v>
      </c>
      <c r="AC930" s="338">
        <v>1.222298741340637</v>
      </c>
      <c r="AD930" s="338">
        <v>15</v>
      </c>
      <c r="AE930" s="338">
        <v>14</v>
      </c>
      <c r="AF930" s="338">
        <v>0</v>
      </c>
      <c r="AG930" s="338">
        <v>3</v>
      </c>
      <c r="AH930" s="338">
        <v>7</v>
      </c>
      <c r="AI930" s="338">
        <v>8</v>
      </c>
      <c r="AJ930" s="338">
        <v>0</v>
      </c>
      <c r="AK930" s="338">
        <v>4</v>
      </c>
      <c r="AL930" s="338">
        <v>5</v>
      </c>
      <c r="AM930" s="338">
        <v>4</v>
      </c>
      <c r="AN930" s="338">
        <v>56.068603515625</v>
      </c>
      <c r="AO930" s="338"/>
      <c r="AP930" s="338"/>
      <c r="AQ930" s="338"/>
      <c r="AR930" s="338">
        <v>0</v>
      </c>
      <c r="AS930" s="338">
        <v>0</v>
      </c>
      <c r="AT930" s="338">
        <v>0</v>
      </c>
      <c r="AU930" s="338">
        <v>0</v>
      </c>
      <c r="AV930" s="338">
        <v>0</v>
      </c>
      <c r="AW930" s="338">
        <v>0</v>
      </c>
      <c r="AX930" s="338">
        <v>0</v>
      </c>
      <c r="AY930" s="338">
        <v>0</v>
      </c>
      <c r="AZ930" s="338">
        <v>0</v>
      </c>
      <c r="BA930" s="338">
        <v>0</v>
      </c>
      <c r="BB930" s="338"/>
      <c r="BC930" s="338"/>
      <c r="BD930" s="338"/>
      <c r="BE930" s="338">
        <v>0</v>
      </c>
      <c r="BF930" s="338" t="s">
        <v>2516</v>
      </c>
      <c r="BG930" s="338" t="s">
        <v>5</v>
      </c>
      <c r="BH930" s="338" t="s">
        <v>1020</v>
      </c>
      <c r="BI930" s="338"/>
      <c r="BJ930" s="338" t="s">
        <v>5</v>
      </c>
      <c r="BK930" s="338"/>
      <c r="BL930" s="338">
        <v>0</v>
      </c>
      <c r="BM930" s="338"/>
      <c r="BN930" s="338" t="s">
        <v>5</v>
      </c>
      <c r="BO930" s="338" t="s">
        <v>2518</v>
      </c>
      <c r="BP930" s="338" t="s">
        <v>2518</v>
      </c>
      <c r="BQ930" s="338" t="s">
        <v>2518</v>
      </c>
      <c r="BR930" s="338"/>
      <c r="BS930" s="338" t="s">
        <v>6</v>
      </c>
      <c r="BT930" s="338" t="s">
        <v>2518</v>
      </c>
      <c r="BU930" s="338" t="s">
        <v>2518</v>
      </c>
      <c r="BV930" s="338" t="s">
        <v>2518</v>
      </c>
      <c r="BW930" s="338"/>
      <c r="BX930" s="338" t="s">
        <v>6</v>
      </c>
      <c r="BY930" s="338" t="s">
        <v>2605</v>
      </c>
      <c r="BZ930" s="338" t="s">
        <v>2518</v>
      </c>
      <c r="CA930"/>
      <c r="CB930" s="338" t="s">
        <v>5</v>
      </c>
      <c r="CC930" s="338">
        <v>172484.12849168849</v>
      </c>
      <c r="CD930" s="338">
        <v>414068156.42226398</v>
      </c>
      <c r="CE930" s="313" t="s">
        <v>11891</v>
      </c>
    </row>
    <row r="931" spans="1:83" ht="15" x14ac:dyDescent="0.25">
      <c r="A931" s="338" t="s">
        <v>12309</v>
      </c>
      <c r="B931" s="338" t="s">
        <v>12310</v>
      </c>
      <c r="C931" s="338" t="s">
        <v>12311</v>
      </c>
      <c r="D931" s="338">
        <v>5</v>
      </c>
      <c r="E931" s="338" t="s">
        <v>2598</v>
      </c>
      <c r="F931" s="338" t="s">
        <v>1772</v>
      </c>
      <c r="G931" s="338" t="s">
        <v>2571</v>
      </c>
      <c r="H931" s="338" t="s">
        <v>2637</v>
      </c>
      <c r="I931" s="338"/>
      <c r="J931" s="338" t="s">
        <v>2638</v>
      </c>
      <c r="K931" s="338" t="s">
        <v>12152</v>
      </c>
      <c r="L931" s="338">
        <v>495.35064697265619</v>
      </c>
      <c r="M931" s="338" t="s">
        <v>6</v>
      </c>
      <c r="N931" s="338" t="s">
        <v>5</v>
      </c>
      <c r="O931" s="338" t="s">
        <v>6</v>
      </c>
      <c r="P931" s="338" t="s">
        <v>5</v>
      </c>
      <c r="Q931" s="338" t="s">
        <v>5</v>
      </c>
      <c r="R931" s="338" t="s">
        <v>1776</v>
      </c>
      <c r="S931" s="338" t="s">
        <v>1776</v>
      </c>
      <c r="T931" s="338" t="s">
        <v>5</v>
      </c>
      <c r="U931" s="338" t="s">
        <v>28</v>
      </c>
      <c r="V931" s="338">
        <v>100000</v>
      </c>
      <c r="W931" s="338">
        <v>0</v>
      </c>
      <c r="X931" s="338" t="s">
        <v>6</v>
      </c>
      <c r="Y931" s="338"/>
      <c r="Z931" s="338"/>
      <c r="AA931" s="338">
        <v>70.713302612304688</v>
      </c>
      <c r="AB931" s="338">
        <v>3.9517948627471919</v>
      </c>
      <c r="AC931" s="338">
        <v>3.9604015350341801</v>
      </c>
      <c r="AD931" s="338">
        <v>69</v>
      </c>
      <c r="AE931" s="338">
        <v>29</v>
      </c>
      <c r="AF931" s="338">
        <v>28</v>
      </c>
      <c r="AG931" s="338">
        <v>22</v>
      </c>
      <c r="AH931" s="338">
        <v>61</v>
      </c>
      <c r="AI931" s="338">
        <v>73</v>
      </c>
      <c r="AJ931" s="338">
        <v>0</v>
      </c>
      <c r="AK931" s="338">
        <v>2</v>
      </c>
      <c r="AL931" s="338">
        <v>22</v>
      </c>
      <c r="AM931" s="338">
        <v>2</v>
      </c>
      <c r="AN931" s="338">
        <v>348.31265258789063</v>
      </c>
      <c r="AO931" s="338"/>
      <c r="AP931" s="338"/>
      <c r="AQ931" s="338"/>
      <c r="AR931" s="338">
        <v>0</v>
      </c>
      <c r="AS931" s="338">
        <v>0</v>
      </c>
      <c r="AT931" s="338">
        <v>0</v>
      </c>
      <c r="AU931" s="338">
        <v>0</v>
      </c>
      <c r="AV931" s="338">
        <v>0</v>
      </c>
      <c r="AW931" s="338">
        <v>0</v>
      </c>
      <c r="AX931" s="338">
        <v>0</v>
      </c>
      <c r="AY931" s="338">
        <v>0</v>
      </c>
      <c r="AZ931" s="338">
        <v>0</v>
      </c>
      <c r="BA931" s="338">
        <v>0</v>
      </c>
      <c r="BB931" s="338"/>
      <c r="BC931" s="338"/>
      <c r="BD931" s="338"/>
      <c r="BE931" s="338">
        <v>0</v>
      </c>
      <c r="BF931" s="338" t="s">
        <v>2516</v>
      </c>
      <c r="BG931" s="338" t="s">
        <v>5</v>
      </c>
      <c r="BH931" s="338" t="s">
        <v>1020</v>
      </c>
      <c r="BI931" s="338"/>
      <c r="BJ931" s="338" t="s">
        <v>5</v>
      </c>
      <c r="BK931" s="338"/>
      <c r="BL931" s="338">
        <v>0</v>
      </c>
      <c r="BM931" s="338"/>
      <c r="BN931" s="338" t="s">
        <v>5</v>
      </c>
      <c r="BO931" s="338" t="s">
        <v>2518</v>
      </c>
      <c r="BP931" s="338" t="s">
        <v>2518</v>
      </c>
      <c r="BQ931" s="338" t="s">
        <v>2518</v>
      </c>
      <c r="BR931" s="338"/>
      <c r="BS931" s="338" t="s">
        <v>6</v>
      </c>
      <c r="BT931" s="338" t="s">
        <v>2518</v>
      </c>
      <c r="BU931" s="338" t="s">
        <v>2518</v>
      </c>
      <c r="BV931" s="338" t="s">
        <v>2518</v>
      </c>
      <c r="BW931" s="338"/>
      <c r="BX931" s="338" t="s">
        <v>6</v>
      </c>
      <c r="BY931" s="338" t="s">
        <v>2605</v>
      </c>
      <c r="BZ931" s="338" t="s">
        <v>2518</v>
      </c>
      <c r="CA931"/>
      <c r="CB931" s="338" t="s">
        <v>5</v>
      </c>
      <c r="CC931" s="338">
        <v>247720.06472447389</v>
      </c>
      <c r="CD931" s="338">
        <v>1282952257.090363</v>
      </c>
      <c r="CE931" s="313" t="s">
        <v>11891</v>
      </c>
    </row>
    <row r="932" spans="1:83" ht="15" x14ac:dyDescent="0.25">
      <c r="A932" s="338" t="s">
        <v>12312</v>
      </c>
      <c r="B932" s="338" t="s">
        <v>12313</v>
      </c>
      <c r="C932" s="338" t="s">
        <v>12314</v>
      </c>
      <c r="D932" s="338">
        <v>5</v>
      </c>
      <c r="E932" s="338" t="s">
        <v>2598</v>
      </c>
      <c r="F932" s="338" t="s">
        <v>2559</v>
      </c>
      <c r="G932" s="338" t="s">
        <v>2806</v>
      </c>
      <c r="H932" s="338" t="s">
        <v>2622</v>
      </c>
      <c r="I932" s="338" t="s">
        <v>2807</v>
      </c>
      <c r="J932" s="338" t="s">
        <v>2623</v>
      </c>
      <c r="K932" s="338" t="s">
        <v>12296</v>
      </c>
      <c r="L932" s="338">
        <v>155.72517395019531</v>
      </c>
      <c r="M932" s="338" t="s">
        <v>6</v>
      </c>
      <c r="N932" s="338" t="s">
        <v>6</v>
      </c>
      <c r="O932" s="338" t="s">
        <v>5</v>
      </c>
      <c r="P932" s="338" t="s">
        <v>5</v>
      </c>
      <c r="Q932" s="338" t="s">
        <v>6</v>
      </c>
      <c r="R932" s="338" t="s">
        <v>2567</v>
      </c>
      <c r="S932" s="338" t="s">
        <v>2567</v>
      </c>
      <c r="T932" s="338" t="s">
        <v>6</v>
      </c>
      <c r="U932" s="338" t="s">
        <v>28</v>
      </c>
      <c r="V932" s="338">
        <v>534000</v>
      </c>
      <c r="W932" s="338">
        <v>0</v>
      </c>
      <c r="X932" s="338" t="s">
        <v>6</v>
      </c>
      <c r="Y932" s="338"/>
      <c r="Z932" s="338"/>
      <c r="AA932" s="338">
        <v>102.59104919433589</v>
      </c>
      <c r="AB932" s="338">
        <v>18.99287033081055</v>
      </c>
      <c r="AC932" s="338">
        <v>1.4080532789230349</v>
      </c>
      <c r="AD932" s="338">
        <v>5007</v>
      </c>
      <c r="AE932" s="338">
        <v>5820</v>
      </c>
      <c r="AF932" s="338">
        <v>4273</v>
      </c>
      <c r="AG932" s="338">
        <v>5971</v>
      </c>
      <c r="AH932" s="338">
        <v>8737</v>
      </c>
      <c r="AI932" s="338">
        <v>11929</v>
      </c>
      <c r="AJ932" s="338">
        <v>36</v>
      </c>
      <c r="AK932" s="338">
        <v>20</v>
      </c>
      <c r="AL932" s="338">
        <v>136</v>
      </c>
      <c r="AM932" s="338">
        <v>20</v>
      </c>
      <c r="AN932" s="338">
        <v>346.02401733398438</v>
      </c>
      <c r="AO932" s="338"/>
      <c r="AP932" s="338"/>
      <c r="AQ932" s="338"/>
      <c r="AR932" s="338">
        <v>0</v>
      </c>
      <c r="AS932" s="338">
        <v>0</v>
      </c>
      <c r="AT932" s="338">
        <v>0</v>
      </c>
      <c r="AU932" s="338">
        <v>0</v>
      </c>
      <c r="AV932" s="338">
        <v>0</v>
      </c>
      <c r="AW932" s="338">
        <v>0</v>
      </c>
      <c r="AX932" s="338">
        <v>0</v>
      </c>
      <c r="AY932" s="338">
        <v>0</v>
      </c>
      <c r="AZ932" s="338">
        <v>0</v>
      </c>
      <c r="BA932" s="338">
        <v>0</v>
      </c>
      <c r="BB932" s="338"/>
      <c r="BC932" s="338"/>
      <c r="BD932" s="338"/>
      <c r="BE932" s="338">
        <v>0</v>
      </c>
      <c r="BF932" s="338" t="s">
        <v>2516</v>
      </c>
      <c r="BG932" s="338" t="s">
        <v>5</v>
      </c>
      <c r="BH932" s="338" t="s">
        <v>1020</v>
      </c>
      <c r="BI932" s="338"/>
      <c r="BJ932" s="338" t="s">
        <v>5</v>
      </c>
      <c r="BK932" s="338"/>
      <c r="BL932" s="338">
        <v>0</v>
      </c>
      <c r="BM932" s="338"/>
      <c r="BN932" s="338" t="s">
        <v>5</v>
      </c>
      <c r="BO932" s="338" t="s">
        <v>2518</v>
      </c>
      <c r="BP932" s="338" t="s">
        <v>2518</v>
      </c>
      <c r="BQ932" s="338" t="s">
        <v>2518</v>
      </c>
      <c r="BR932" s="338"/>
      <c r="BS932" s="338" t="s">
        <v>6</v>
      </c>
      <c r="BT932" s="338" t="s">
        <v>2518</v>
      </c>
      <c r="BU932" s="338" t="s">
        <v>2518</v>
      </c>
      <c r="BV932" s="338" t="s">
        <v>2518</v>
      </c>
      <c r="BW932" s="338"/>
      <c r="BX932" s="338" t="s">
        <v>6</v>
      </c>
      <c r="BY932" s="338" t="s">
        <v>2605</v>
      </c>
      <c r="BZ932" s="338" t="s">
        <v>2518</v>
      </c>
      <c r="CA932"/>
      <c r="CB932" s="338" t="s">
        <v>5</v>
      </c>
      <c r="CC932" s="338">
        <v>157923.02438758191</v>
      </c>
      <c r="CD932" s="338">
        <v>403326337.59955341</v>
      </c>
      <c r="CE932" s="313" t="s">
        <v>11891</v>
      </c>
    </row>
    <row r="933" spans="1:83" ht="15" x14ac:dyDescent="0.25">
      <c r="A933" s="338" t="s">
        <v>12315</v>
      </c>
      <c r="B933" s="338" t="s">
        <v>12316</v>
      </c>
      <c r="C933" s="338" t="s">
        <v>12317</v>
      </c>
      <c r="D933" s="338">
        <v>5</v>
      </c>
      <c r="E933" s="338" t="s">
        <v>2598</v>
      </c>
      <c r="F933" s="338" t="s">
        <v>2559</v>
      </c>
      <c r="G933" s="338" t="s">
        <v>2806</v>
      </c>
      <c r="H933" s="338" t="s">
        <v>2622</v>
      </c>
      <c r="I933" s="338" t="s">
        <v>2807</v>
      </c>
      <c r="J933" s="338" t="s">
        <v>2623</v>
      </c>
      <c r="K933" s="338" t="s">
        <v>12152</v>
      </c>
      <c r="L933" s="338">
        <v>155.72517395019531</v>
      </c>
      <c r="M933" s="338" t="s">
        <v>6</v>
      </c>
      <c r="N933" s="338" t="s">
        <v>6</v>
      </c>
      <c r="O933" s="338" t="s">
        <v>5</v>
      </c>
      <c r="P933" s="338" t="s">
        <v>5</v>
      </c>
      <c r="Q933" s="338" t="s">
        <v>6</v>
      </c>
      <c r="R933" s="338" t="s">
        <v>2567</v>
      </c>
      <c r="S933" s="338" t="s">
        <v>2567</v>
      </c>
      <c r="T933" s="338" t="s">
        <v>6</v>
      </c>
      <c r="U933" s="338" t="s">
        <v>28</v>
      </c>
      <c r="V933" s="338">
        <v>11000</v>
      </c>
      <c r="W933" s="338">
        <v>0</v>
      </c>
      <c r="X933" s="338" t="s">
        <v>6</v>
      </c>
      <c r="Y933" s="338"/>
      <c r="Z933" s="338"/>
      <c r="AA933" s="338">
        <v>102.59104919433589</v>
      </c>
      <c r="AB933" s="338">
        <v>18.99287033081055</v>
      </c>
      <c r="AC933" s="338">
        <v>1.4080532789230349</v>
      </c>
      <c r="AD933" s="338">
        <v>5007</v>
      </c>
      <c r="AE933" s="338">
        <v>5820</v>
      </c>
      <c r="AF933" s="338">
        <v>4273</v>
      </c>
      <c r="AG933" s="338">
        <v>5971</v>
      </c>
      <c r="AH933" s="338">
        <v>8737</v>
      </c>
      <c r="AI933" s="338">
        <v>11929</v>
      </c>
      <c r="AJ933" s="338">
        <v>36</v>
      </c>
      <c r="AK933" s="338">
        <v>20</v>
      </c>
      <c r="AL933" s="338">
        <v>136</v>
      </c>
      <c r="AM933" s="338">
        <v>20</v>
      </c>
      <c r="AN933" s="338">
        <v>346.02401733398438</v>
      </c>
      <c r="AO933" s="338"/>
      <c r="AP933" s="338"/>
      <c r="AQ933" s="338"/>
      <c r="AR933" s="338">
        <v>0</v>
      </c>
      <c r="AS933" s="338">
        <v>0</v>
      </c>
      <c r="AT933" s="338">
        <v>0</v>
      </c>
      <c r="AU933" s="338">
        <v>0</v>
      </c>
      <c r="AV933" s="338">
        <v>0</v>
      </c>
      <c r="AW933" s="338">
        <v>0</v>
      </c>
      <c r="AX933" s="338">
        <v>0</v>
      </c>
      <c r="AY933" s="338">
        <v>0</v>
      </c>
      <c r="AZ933" s="338">
        <v>0</v>
      </c>
      <c r="BA933" s="338">
        <v>0</v>
      </c>
      <c r="BB933" s="338"/>
      <c r="BC933" s="338"/>
      <c r="BD933" s="338"/>
      <c r="BE933" s="338">
        <v>0</v>
      </c>
      <c r="BF933" s="338" t="s">
        <v>2516</v>
      </c>
      <c r="BG933" s="338" t="s">
        <v>5</v>
      </c>
      <c r="BH933" s="338" t="s">
        <v>1020</v>
      </c>
      <c r="BI933" s="338"/>
      <c r="BJ933" s="338" t="s">
        <v>5</v>
      </c>
      <c r="BK933" s="338"/>
      <c r="BL933" s="338">
        <v>0</v>
      </c>
      <c r="BM933" s="338"/>
      <c r="BN933" s="338" t="s">
        <v>5</v>
      </c>
      <c r="BO933" s="338" t="s">
        <v>2518</v>
      </c>
      <c r="BP933" s="338" t="s">
        <v>2518</v>
      </c>
      <c r="BQ933" s="338" t="s">
        <v>2518</v>
      </c>
      <c r="BR933" s="338"/>
      <c r="BS933" s="338" t="s">
        <v>6</v>
      </c>
      <c r="BT933" s="338" t="s">
        <v>2518</v>
      </c>
      <c r="BU933" s="338" t="s">
        <v>2518</v>
      </c>
      <c r="BV933" s="338" t="s">
        <v>2518</v>
      </c>
      <c r="BW933" s="338"/>
      <c r="BX933" s="338" t="s">
        <v>6</v>
      </c>
      <c r="BY933" s="338" t="s">
        <v>2605</v>
      </c>
      <c r="BZ933" s="338" t="s">
        <v>2518</v>
      </c>
      <c r="CA933"/>
      <c r="CB933" s="338" t="s">
        <v>5</v>
      </c>
      <c r="CC933" s="338">
        <v>157923.02438758191</v>
      </c>
      <c r="CD933" s="338">
        <v>403326337.59955341</v>
      </c>
      <c r="CE933" s="313" t="s">
        <v>11891</v>
      </c>
    </row>
    <row r="934" spans="1:83" ht="15" x14ac:dyDescent="0.25">
      <c r="A934" s="338" t="s">
        <v>12318</v>
      </c>
      <c r="B934" s="338" t="s">
        <v>12319</v>
      </c>
      <c r="C934" s="338" t="s">
        <v>12320</v>
      </c>
      <c r="D934" s="338">
        <v>5</v>
      </c>
      <c r="E934" s="338" t="s">
        <v>2598</v>
      </c>
      <c r="F934" s="338" t="s">
        <v>2606</v>
      </c>
      <c r="G934" s="338" t="s">
        <v>12094</v>
      </c>
      <c r="H934" s="338" t="s">
        <v>12321</v>
      </c>
      <c r="I934" s="338" t="s">
        <v>12096</v>
      </c>
      <c r="J934" s="338" t="s">
        <v>12097</v>
      </c>
      <c r="K934" s="338" t="s">
        <v>12296</v>
      </c>
      <c r="L934" s="338">
        <v>111.9383163452148</v>
      </c>
      <c r="M934" s="338" t="s">
        <v>6</v>
      </c>
      <c r="N934" s="338" t="s">
        <v>6</v>
      </c>
      <c r="O934" s="338" t="s">
        <v>5</v>
      </c>
      <c r="P934" s="338" t="s">
        <v>5</v>
      </c>
      <c r="Q934" s="338" t="s">
        <v>6</v>
      </c>
      <c r="R934" s="338" t="s">
        <v>7064</v>
      </c>
      <c r="S934" s="338" t="s">
        <v>7064</v>
      </c>
      <c r="T934" s="338" t="s">
        <v>6</v>
      </c>
      <c r="U934" s="338" t="s">
        <v>28</v>
      </c>
      <c r="V934" s="338">
        <v>104000</v>
      </c>
      <c r="W934" s="338">
        <v>0</v>
      </c>
      <c r="X934" s="338" t="s">
        <v>6</v>
      </c>
      <c r="Y934" s="338"/>
      <c r="Z934" s="338"/>
      <c r="AA934" s="338">
        <v>36.654869079589837</v>
      </c>
      <c r="AB934" s="338">
        <v>45.183612823486328</v>
      </c>
      <c r="AC934" s="338">
        <v>10.60597038269043</v>
      </c>
      <c r="AD934" s="338">
        <v>4705</v>
      </c>
      <c r="AE934" s="338">
        <v>27530</v>
      </c>
      <c r="AF934" s="338">
        <v>3668</v>
      </c>
      <c r="AG934" s="338">
        <v>9049</v>
      </c>
      <c r="AH934" s="338">
        <v>12671</v>
      </c>
      <c r="AI934" s="338">
        <v>17575</v>
      </c>
      <c r="AJ934" s="338">
        <v>82</v>
      </c>
      <c r="AK934" s="338">
        <v>3</v>
      </c>
      <c r="AL934" s="338">
        <v>95</v>
      </c>
      <c r="AM934" s="338">
        <v>3</v>
      </c>
      <c r="AN934" s="338">
        <v>875.97601318359375</v>
      </c>
      <c r="AO934" s="338"/>
      <c r="AP934" s="338"/>
      <c r="AQ934" s="338"/>
      <c r="AR934" s="338">
        <v>0</v>
      </c>
      <c r="AS934" s="338">
        <v>0</v>
      </c>
      <c r="AT934" s="338">
        <v>0</v>
      </c>
      <c r="AU934" s="338">
        <v>0</v>
      </c>
      <c r="AV934" s="338">
        <v>0</v>
      </c>
      <c r="AW934" s="338">
        <v>0</v>
      </c>
      <c r="AX934" s="338">
        <v>0</v>
      </c>
      <c r="AY934" s="338">
        <v>0</v>
      </c>
      <c r="AZ934" s="338">
        <v>0</v>
      </c>
      <c r="BA934" s="338">
        <v>0</v>
      </c>
      <c r="BB934" s="338"/>
      <c r="BC934" s="338"/>
      <c r="BD934" s="338"/>
      <c r="BE934" s="338">
        <v>0</v>
      </c>
      <c r="BF934" s="338" t="s">
        <v>2516</v>
      </c>
      <c r="BG934" s="338" t="s">
        <v>5</v>
      </c>
      <c r="BH934" s="338" t="s">
        <v>1020</v>
      </c>
      <c r="BI934" s="338"/>
      <c r="BJ934" s="338" t="s">
        <v>5</v>
      </c>
      <c r="BK934" s="338"/>
      <c r="BL934" s="338">
        <v>0</v>
      </c>
      <c r="BM934" s="338"/>
      <c r="BN934" s="338" t="s">
        <v>5</v>
      </c>
      <c r="BO934" s="338" t="s">
        <v>2518</v>
      </c>
      <c r="BP934" s="338" t="s">
        <v>2518</v>
      </c>
      <c r="BQ934" s="338" t="s">
        <v>2518</v>
      </c>
      <c r="BR934" s="338"/>
      <c r="BS934" s="338" t="s">
        <v>6</v>
      </c>
      <c r="BT934" s="338" t="s">
        <v>2518</v>
      </c>
      <c r="BU934" s="338" t="s">
        <v>2518</v>
      </c>
      <c r="BV934" s="338" t="s">
        <v>2518</v>
      </c>
      <c r="BW934" s="338"/>
      <c r="BX934" s="338" t="s">
        <v>6</v>
      </c>
      <c r="BY934" s="338" t="s">
        <v>2605</v>
      </c>
      <c r="BZ934" s="338" t="s">
        <v>2518</v>
      </c>
      <c r="CA934"/>
      <c r="CB934" s="338" t="s">
        <v>5</v>
      </c>
      <c r="CC934" s="338">
        <v>111438.5092805106</v>
      </c>
      <c r="CD934" s="338">
        <v>289918904.1431908</v>
      </c>
      <c r="CE934" s="313" t="s">
        <v>11891</v>
      </c>
    </row>
    <row r="935" spans="1:83" ht="15" x14ac:dyDescent="0.25">
      <c r="A935" s="338" t="s">
        <v>12322</v>
      </c>
      <c r="B935" s="338" t="s">
        <v>12323</v>
      </c>
      <c r="C935" s="338" t="s">
        <v>12324</v>
      </c>
      <c r="D935" s="338">
        <v>5</v>
      </c>
      <c r="E935" s="338" t="s">
        <v>2598</v>
      </c>
      <c r="F935" s="338" t="s">
        <v>2606</v>
      </c>
      <c r="G935" s="338" t="s">
        <v>2643</v>
      </c>
      <c r="H935" s="338" t="s">
        <v>12149</v>
      </c>
      <c r="I935" s="338" t="s">
        <v>12150</v>
      </c>
      <c r="J935" s="338" t="s">
        <v>12151</v>
      </c>
      <c r="K935" s="338" t="s">
        <v>12152</v>
      </c>
      <c r="L935" s="338">
        <v>496.66119384765619</v>
      </c>
      <c r="M935" s="338" t="s">
        <v>6</v>
      </c>
      <c r="N935" s="338" t="s">
        <v>6</v>
      </c>
      <c r="O935" s="338" t="s">
        <v>5</v>
      </c>
      <c r="P935" s="338" t="s">
        <v>5</v>
      </c>
      <c r="Q935" s="338" t="s">
        <v>6</v>
      </c>
      <c r="R935" s="338" t="s">
        <v>7072</v>
      </c>
      <c r="S935" s="338" t="s">
        <v>7072</v>
      </c>
      <c r="T935" s="338" t="s">
        <v>6</v>
      </c>
      <c r="U935" s="338" t="s">
        <v>28</v>
      </c>
      <c r="V935" s="338">
        <v>100000</v>
      </c>
      <c r="W935" s="338">
        <v>0</v>
      </c>
      <c r="X935" s="338" t="s">
        <v>6</v>
      </c>
      <c r="Y935" s="338"/>
      <c r="Z935" s="338"/>
      <c r="AA935" s="338">
        <v>254.2128601074219</v>
      </c>
      <c r="AB935" s="338">
        <v>35.054698944091797</v>
      </c>
      <c r="AC935" s="338">
        <v>105.627571105957</v>
      </c>
      <c r="AD935" s="338">
        <v>6491</v>
      </c>
      <c r="AE935" s="338">
        <v>4747</v>
      </c>
      <c r="AF935" s="338">
        <v>5238</v>
      </c>
      <c r="AG935" s="338">
        <v>12550</v>
      </c>
      <c r="AH935" s="338">
        <v>11980</v>
      </c>
      <c r="AI935" s="338">
        <v>20772</v>
      </c>
      <c r="AJ935" s="338">
        <v>30</v>
      </c>
      <c r="AK935" s="338">
        <v>16</v>
      </c>
      <c r="AL935" s="338">
        <v>215</v>
      </c>
      <c r="AM935" s="338">
        <v>16</v>
      </c>
      <c r="AN935" s="338">
        <v>20945.373046875</v>
      </c>
      <c r="AO935" s="338"/>
      <c r="AP935" s="338"/>
      <c r="AQ935" s="338"/>
      <c r="AR935" s="338">
        <v>0</v>
      </c>
      <c r="AS935" s="338">
        <v>0</v>
      </c>
      <c r="AT935" s="338">
        <v>0</v>
      </c>
      <c r="AU935" s="338">
        <v>0</v>
      </c>
      <c r="AV935" s="338">
        <v>0</v>
      </c>
      <c r="AW935" s="338">
        <v>0</v>
      </c>
      <c r="AX935" s="338">
        <v>0</v>
      </c>
      <c r="AY935" s="338">
        <v>0</v>
      </c>
      <c r="AZ935" s="338">
        <v>0</v>
      </c>
      <c r="BA935" s="338">
        <v>0</v>
      </c>
      <c r="BB935" s="338"/>
      <c r="BC935" s="338"/>
      <c r="BD935" s="338"/>
      <c r="BE935" s="338">
        <v>0</v>
      </c>
      <c r="BF935" s="338" t="s">
        <v>2516</v>
      </c>
      <c r="BG935" s="338" t="s">
        <v>5</v>
      </c>
      <c r="BH935" s="338" t="s">
        <v>1020</v>
      </c>
      <c r="BI935" s="338"/>
      <c r="BJ935" s="338" t="s">
        <v>5</v>
      </c>
      <c r="BK935" s="338"/>
      <c r="BL935" s="338">
        <v>0</v>
      </c>
      <c r="BM935" s="338"/>
      <c r="BN935" s="338" t="s">
        <v>5</v>
      </c>
      <c r="BO935" s="338" t="s">
        <v>2518</v>
      </c>
      <c r="BP935" s="338" t="s">
        <v>2518</v>
      </c>
      <c r="BQ935" s="338" t="s">
        <v>2518</v>
      </c>
      <c r="BR935" s="338"/>
      <c r="BS935" s="338" t="s">
        <v>6</v>
      </c>
      <c r="BT935" s="338" t="s">
        <v>2518</v>
      </c>
      <c r="BU935" s="338" t="s">
        <v>2518</v>
      </c>
      <c r="BV935" s="338" t="s">
        <v>2518</v>
      </c>
      <c r="BW935" s="338"/>
      <c r="BX935" s="338" t="s">
        <v>6</v>
      </c>
      <c r="BY935" s="338" t="s">
        <v>2605</v>
      </c>
      <c r="BZ935" s="338" t="s">
        <v>2518</v>
      </c>
      <c r="CA935"/>
      <c r="CB935" s="338" t="s">
        <v>5</v>
      </c>
      <c r="CC935" s="338">
        <v>379970.78079877922</v>
      </c>
      <c r="CD935" s="338">
        <v>1286346578.0123999</v>
      </c>
      <c r="CE935" s="313" t="s">
        <v>11891</v>
      </c>
    </row>
    <row r="936" spans="1:83" ht="15" x14ac:dyDescent="0.25">
      <c r="A936" s="338" t="s">
        <v>12325</v>
      </c>
      <c r="B936" s="338" t="s">
        <v>12326</v>
      </c>
      <c r="C936" s="338" t="s">
        <v>12327</v>
      </c>
      <c r="D936" s="338">
        <v>5</v>
      </c>
      <c r="E936" s="338" t="s">
        <v>2598</v>
      </c>
      <c r="F936" s="338" t="s">
        <v>2608</v>
      </c>
      <c r="G936" s="338" t="s">
        <v>2571</v>
      </c>
      <c r="H936" s="338" t="s">
        <v>12160</v>
      </c>
      <c r="I936" s="338" t="s">
        <v>12161</v>
      </c>
      <c r="J936" s="338" t="s">
        <v>12162</v>
      </c>
      <c r="K936" s="338" t="s">
        <v>12328</v>
      </c>
      <c r="L936" s="338">
        <v>1.6366510391235349</v>
      </c>
      <c r="M936" s="338" t="s">
        <v>6</v>
      </c>
      <c r="N936" s="338" t="s">
        <v>5</v>
      </c>
      <c r="O936" s="338" t="s">
        <v>6</v>
      </c>
      <c r="P936" s="338" t="s">
        <v>5</v>
      </c>
      <c r="Q936" s="338" t="s">
        <v>5</v>
      </c>
      <c r="R936" s="338" t="s">
        <v>7112</v>
      </c>
      <c r="S936" s="338" t="s">
        <v>7112</v>
      </c>
      <c r="T936" s="338" t="s">
        <v>6</v>
      </c>
      <c r="U936" s="338" t="s">
        <v>50</v>
      </c>
      <c r="V936" s="338">
        <v>25000</v>
      </c>
      <c r="W936" s="338">
        <v>0</v>
      </c>
      <c r="X936" s="338" t="s">
        <v>6</v>
      </c>
      <c r="Y936" s="338"/>
      <c r="Z936" s="338"/>
      <c r="AA936" s="338">
        <v>0.1466505974531174</v>
      </c>
      <c r="AB936" s="338">
        <v>7.8530795872211456E-3</v>
      </c>
      <c r="AC936" s="338">
        <v>8.1688776612281799E-2</v>
      </c>
      <c r="AD936" s="338">
        <v>0</v>
      </c>
      <c r="AE936" s="338">
        <v>0</v>
      </c>
      <c r="AF936" s="338">
        <v>0</v>
      </c>
      <c r="AG936" s="338">
        <v>0</v>
      </c>
      <c r="AH936" s="338">
        <v>0</v>
      </c>
      <c r="AI936" s="338">
        <v>0</v>
      </c>
      <c r="AJ936" s="338">
        <v>0</v>
      </c>
      <c r="AK936" s="338">
        <v>0</v>
      </c>
      <c r="AL936" s="338">
        <v>0</v>
      </c>
      <c r="AM936" s="338">
        <v>0</v>
      </c>
      <c r="AN936" s="338">
        <v>0</v>
      </c>
      <c r="AO936" s="338"/>
      <c r="AP936" s="338"/>
      <c r="AQ936" s="338"/>
      <c r="AR936" s="338">
        <v>0</v>
      </c>
      <c r="AS936" s="338">
        <v>0</v>
      </c>
      <c r="AT936" s="338">
        <v>0</v>
      </c>
      <c r="AU936" s="338">
        <v>0</v>
      </c>
      <c r="AV936" s="338">
        <v>0</v>
      </c>
      <c r="AW936" s="338">
        <v>0</v>
      </c>
      <c r="AX936" s="338">
        <v>0</v>
      </c>
      <c r="AY936" s="338">
        <v>0</v>
      </c>
      <c r="AZ936" s="338">
        <v>0</v>
      </c>
      <c r="BA936" s="338">
        <v>0</v>
      </c>
      <c r="BB936" s="338"/>
      <c r="BC936" s="338"/>
      <c r="BD936" s="338"/>
      <c r="BE936" s="338">
        <v>0</v>
      </c>
      <c r="BF936" s="338" t="s">
        <v>2516</v>
      </c>
      <c r="BG936" s="338" t="s">
        <v>5</v>
      </c>
      <c r="BH936" s="338" t="s">
        <v>1020</v>
      </c>
      <c r="BI936" s="338"/>
      <c r="BJ936" s="338" t="s">
        <v>5</v>
      </c>
      <c r="BK936" s="338"/>
      <c r="BL936" s="338">
        <v>0</v>
      </c>
      <c r="BM936" s="338"/>
      <c r="BN936" s="338" t="s">
        <v>6</v>
      </c>
      <c r="BO936" s="338" t="s">
        <v>2518</v>
      </c>
      <c r="BP936" s="338" t="s">
        <v>2518</v>
      </c>
      <c r="BQ936" s="338" t="s">
        <v>2518</v>
      </c>
      <c r="BR936" s="338"/>
      <c r="BS936" s="338" t="s">
        <v>6</v>
      </c>
      <c r="BT936" s="338" t="s">
        <v>2518</v>
      </c>
      <c r="BU936" s="338" t="s">
        <v>2518</v>
      </c>
      <c r="BV936" s="338" t="s">
        <v>2518</v>
      </c>
      <c r="BW936" s="338"/>
      <c r="BX936" s="338" t="s">
        <v>6</v>
      </c>
      <c r="BY936" s="338" t="s">
        <v>2605</v>
      </c>
      <c r="BZ936" s="338" t="s">
        <v>2518</v>
      </c>
      <c r="CA936"/>
      <c r="CB936" s="338" t="s">
        <v>5</v>
      </c>
      <c r="CC936" s="338">
        <v>11038.235175090011</v>
      </c>
      <c r="CD936" s="338">
        <v>4238906.7328522168</v>
      </c>
      <c r="CE936" s="313" t="s">
        <v>11891</v>
      </c>
    </row>
    <row r="937" spans="1:83" ht="15" x14ac:dyDescent="0.25">
      <c r="A937" s="338" t="s">
        <v>12329</v>
      </c>
      <c r="B937" s="338" t="s">
        <v>12330</v>
      </c>
      <c r="C937" s="338" t="s">
        <v>12331</v>
      </c>
      <c r="D937" s="338">
        <v>5</v>
      </c>
      <c r="E937" s="338" t="s">
        <v>2598</v>
      </c>
      <c r="F937" s="338" t="s">
        <v>2113</v>
      </c>
      <c r="G937" s="338" t="s">
        <v>2571</v>
      </c>
      <c r="H937" s="338" t="s">
        <v>12257</v>
      </c>
      <c r="I937" s="338" t="s">
        <v>12332</v>
      </c>
      <c r="J937" s="338" t="s">
        <v>12333</v>
      </c>
      <c r="K937" s="338" t="s">
        <v>12152</v>
      </c>
      <c r="L937" s="338">
        <v>1.5717407464981079</v>
      </c>
      <c r="M937" s="338" t="s">
        <v>6</v>
      </c>
      <c r="N937" s="338" t="s">
        <v>5</v>
      </c>
      <c r="O937" s="338" t="s">
        <v>6</v>
      </c>
      <c r="P937" s="338" t="s">
        <v>5</v>
      </c>
      <c r="Q937" s="338" t="s">
        <v>5</v>
      </c>
      <c r="R937" s="338" t="s">
        <v>7120</v>
      </c>
      <c r="S937" s="338" t="s">
        <v>7120</v>
      </c>
      <c r="T937" s="338" t="s">
        <v>5</v>
      </c>
      <c r="U937" s="338" t="s">
        <v>28</v>
      </c>
      <c r="V937" s="338">
        <v>100000</v>
      </c>
      <c r="W937" s="338">
        <v>0</v>
      </c>
      <c r="X937" s="338" t="s">
        <v>6</v>
      </c>
      <c r="Y937" s="338"/>
      <c r="Z937" s="338"/>
      <c r="AA937" s="338">
        <v>7.9636126756668091E-2</v>
      </c>
      <c r="AB937" s="338">
        <v>1.4897359535098079E-2</v>
      </c>
      <c r="AC937" s="338">
        <v>9.2561021447181702E-2</v>
      </c>
      <c r="AD937" s="338">
        <v>3</v>
      </c>
      <c r="AE937" s="338">
        <v>2</v>
      </c>
      <c r="AF937" s="338">
        <v>2</v>
      </c>
      <c r="AG937" s="338">
        <v>0</v>
      </c>
      <c r="AH937" s="338">
        <v>1</v>
      </c>
      <c r="AI937" s="338">
        <v>1</v>
      </c>
      <c r="AJ937" s="338">
        <v>0</v>
      </c>
      <c r="AK937" s="338">
        <v>0</v>
      </c>
      <c r="AL937" s="338">
        <v>0</v>
      </c>
      <c r="AM937" s="338">
        <v>0</v>
      </c>
      <c r="AN937" s="338">
        <v>0.22881171107292181</v>
      </c>
      <c r="AO937" s="338"/>
      <c r="AP937" s="338"/>
      <c r="AQ937" s="338"/>
      <c r="AR937" s="338">
        <v>0</v>
      </c>
      <c r="AS937" s="338">
        <v>0</v>
      </c>
      <c r="AT937" s="338">
        <v>0</v>
      </c>
      <c r="AU937" s="338">
        <v>0</v>
      </c>
      <c r="AV937" s="338">
        <v>0</v>
      </c>
      <c r="AW937" s="338">
        <v>0</v>
      </c>
      <c r="AX937" s="338">
        <v>0</v>
      </c>
      <c r="AY937" s="338">
        <v>0</v>
      </c>
      <c r="AZ937" s="338">
        <v>0</v>
      </c>
      <c r="BA937" s="338">
        <v>0</v>
      </c>
      <c r="BB937" s="338"/>
      <c r="BC937" s="338"/>
      <c r="BD937" s="338"/>
      <c r="BE937" s="338">
        <v>0</v>
      </c>
      <c r="BF937" s="338" t="s">
        <v>2516</v>
      </c>
      <c r="BG937" s="338" t="s">
        <v>5</v>
      </c>
      <c r="BH937" s="338" t="s">
        <v>1020</v>
      </c>
      <c r="BI937" s="338"/>
      <c r="BJ937" s="338" t="s">
        <v>5</v>
      </c>
      <c r="BK937" s="338"/>
      <c r="BL937" s="338">
        <v>0</v>
      </c>
      <c r="BM937" s="338"/>
      <c r="BN937" s="338" t="s">
        <v>5</v>
      </c>
      <c r="BO937" s="338" t="s">
        <v>2518</v>
      </c>
      <c r="BP937" s="338" t="s">
        <v>2518</v>
      </c>
      <c r="BQ937" s="338" t="s">
        <v>2518</v>
      </c>
      <c r="BR937" s="338"/>
      <c r="BS937" s="338" t="s">
        <v>6</v>
      </c>
      <c r="BT937" s="338" t="s">
        <v>2518</v>
      </c>
      <c r="BU937" s="338" t="s">
        <v>2518</v>
      </c>
      <c r="BV937" s="338" t="s">
        <v>2518</v>
      </c>
      <c r="BW937" s="338"/>
      <c r="BX937" s="338" t="s">
        <v>6</v>
      </c>
      <c r="BY937" s="338" t="s">
        <v>2605</v>
      </c>
      <c r="BZ937" s="338" t="s">
        <v>2518</v>
      </c>
      <c r="CA937"/>
      <c r="CB937" s="338" t="s">
        <v>5</v>
      </c>
      <c r="CC937" s="338">
        <v>18017.920418281268</v>
      </c>
      <c r="CD937" s="338">
        <v>4070789.703301291</v>
      </c>
      <c r="CE937" s="313" t="s">
        <v>11891</v>
      </c>
    </row>
    <row r="938" spans="1:83" ht="15" x14ac:dyDescent="0.25">
      <c r="A938" s="338" t="s">
        <v>12334</v>
      </c>
      <c r="B938" s="338" t="s">
        <v>12335</v>
      </c>
      <c r="C938" s="338" t="s">
        <v>12336</v>
      </c>
      <c r="D938" s="338">
        <v>5</v>
      </c>
      <c r="E938" s="338" t="s">
        <v>2598</v>
      </c>
      <c r="F938" s="338" t="s">
        <v>2113</v>
      </c>
      <c r="G938" s="338" t="s">
        <v>2571</v>
      </c>
      <c r="H938" s="338" t="s">
        <v>12248</v>
      </c>
      <c r="I938" s="338" t="s">
        <v>12249</v>
      </c>
      <c r="J938" s="338" t="s">
        <v>12250</v>
      </c>
      <c r="K938" s="338" t="s">
        <v>12152</v>
      </c>
      <c r="L938" s="338">
        <v>2.3633136749267578</v>
      </c>
      <c r="M938" s="338" t="s">
        <v>6</v>
      </c>
      <c r="N938" s="338" t="s">
        <v>5</v>
      </c>
      <c r="O938" s="338" t="s">
        <v>6</v>
      </c>
      <c r="P938" s="338" t="s">
        <v>5</v>
      </c>
      <c r="Q938" s="338" t="s">
        <v>5</v>
      </c>
      <c r="R938" s="338" t="s">
        <v>7124</v>
      </c>
      <c r="S938" s="338" t="s">
        <v>7124</v>
      </c>
      <c r="T938" s="338" t="s">
        <v>5</v>
      </c>
      <c r="U938" s="338" t="s">
        <v>28</v>
      </c>
      <c r="V938" s="338">
        <v>100000</v>
      </c>
      <c r="W938" s="338">
        <v>0</v>
      </c>
      <c r="X938" s="338" t="s">
        <v>6</v>
      </c>
      <c r="Y938" s="338"/>
      <c r="Z938" s="338"/>
      <c r="AA938" s="338">
        <v>0.55424273014068604</v>
      </c>
      <c r="AB938" s="338">
        <v>5.3512971848249442E-2</v>
      </c>
      <c r="AC938" s="338">
        <v>7.1393333375453949E-2</v>
      </c>
      <c r="AD938" s="338">
        <v>32</v>
      </c>
      <c r="AE938" s="338">
        <v>15</v>
      </c>
      <c r="AF938" s="338">
        <v>15</v>
      </c>
      <c r="AG938" s="338">
        <v>42</v>
      </c>
      <c r="AH938" s="338">
        <v>17</v>
      </c>
      <c r="AI938" s="338">
        <v>52</v>
      </c>
      <c r="AJ938" s="338">
        <v>0</v>
      </c>
      <c r="AK938" s="338">
        <v>0</v>
      </c>
      <c r="AL938" s="338">
        <v>1</v>
      </c>
      <c r="AM938" s="338">
        <v>0</v>
      </c>
      <c r="AN938" s="338">
        <v>7.8792834281921387</v>
      </c>
      <c r="AO938" s="338"/>
      <c r="AP938" s="338"/>
      <c r="AQ938" s="338"/>
      <c r="AR938" s="338">
        <v>0</v>
      </c>
      <c r="AS938" s="338">
        <v>0</v>
      </c>
      <c r="AT938" s="338">
        <v>0</v>
      </c>
      <c r="AU938" s="338">
        <v>0</v>
      </c>
      <c r="AV938" s="338">
        <v>0</v>
      </c>
      <c r="AW938" s="338">
        <v>0</v>
      </c>
      <c r="AX938" s="338">
        <v>0</v>
      </c>
      <c r="AY938" s="338">
        <v>0</v>
      </c>
      <c r="AZ938" s="338">
        <v>0</v>
      </c>
      <c r="BA938" s="338">
        <v>0</v>
      </c>
      <c r="BB938" s="338"/>
      <c r="BC938" s="338"/>
      <c r="BD938" s="338"/>
      <c r="BE938" s="338">
        <v>0</v>
      </c>
      <c r="BF938" s="338" t="s">
        <v>2516</v>
      </c>
      <c r="BG938" s="338" t="s">
        <v>5</v>
      </c>
      <c r="BH938" s="338" t="s">
        <v>1020</v>
      </c>
      <c r="BI938" s="338"/>
      <c r="BJ938" s="338" t="s">
        <v>5</v>
      </c>
      <c r="BK938" s="338"/>
      <c r="BL938" s="338">
        <v>0</v>
      </c>
      <c r="BM938" s="338"/>
      <c r="BN938" s="338" t="s">
        <v>5</v>
      </c>
      <c r="BO938" s="338" t="s">
        <v>2518</v>
      </c>
      <c r="BP938" s="338" t="s">
        <v>2518</v>
      </c>
      <c r="BQ938" s="338" t="s">
        <v>2518</v>
      </c>
      <c r="BR938" s="338"/>
      <c r="BS938" s="338" t="s">
        <v>6</v>
      </c>
      <c r="BT938" s="338" t="s">
        <v>2518</v>
      </c>
      <c r="BU938" s="338" t="s">
        <v>2518</v>
      </c>
      <c r="BV938" s="338" t="s">
        <v>2518</v>
      </c>
      <c r="BW938" s="338"/>
      <c r="BX938" s="338" t="s">
        <v>6</v>
      </c>
      <c r="BY938" s="338" t="s">
        <v>2605</v>
      </c>
      <c r="BZ938" s="338" t="s">
        <v>2518</v>
      </c>
      <c r="CA938"/>
      <c r="CB938" s="338" t="s">
        <v>5</v>
      </c>
      <c r="CC938" s="338">
        <v>19113.01836635001</v>
      </c>
      <c r="CD938" s="338">
        <v>6120954.0824353807</v>
      </c>
      <c r="CE938" s="313" t="s">
        <v>11891</v>
      </c>
    </row>
    <row r="939" spans="1:83" ht="15" x14ac:dyDescent="0.25">
      <c r="A939" s="338" t="s">
        <v>12337</v>
      </c>
      <c r="B939" s="338" t="s">
        <v>12338</v>
      </c>
      <c r="C939" s="338" t="s">
        <v>12339</v>
      </c>
      <c r="D939" s="338">
        <v>5</v>
      </c>
      <c r="E939" s="338" t="s">
        <v>2598</v>
      </c>
      <c r="F939" s="338" t="s">
        <v>2113</v>
      </c>
      <c r="G939" s="338" t="s">
        <v>2571</v>
      </c>
      <c r="H939" s="338" t="s">
        <v>12257</v>
      </c>
      <c r="I939" s="338" t="s">
        <v>12258</v>
      </c>
      <c r="J939" s="338" t="s">
        <v>12259</v>
      </c>
      <c r="K939" s="338" t="s">
        <v>12152</v>
      </c>
      <c r="L939" s="338">
        <v>6.1753630638122559</v>
      </c>
      <c r="M939" s="338" t="s">
        <v>6</v>
      </c>
      <c r="N939" s="338" t="s">
        <v>5</v>
      </c>
      <c r="O939" s="338" t="s">
        <v>6</v>
      </c>
      <c r="P939" s="338" t="s">
        <v>5</v>
      </c>
      <c r="Q939" s="338" t="s">
        <v>5</v>
      </c>
      <c r="R939" s="338" t="s">
        <v>7128</v>
      </c>
      <c r="S939" s="338" t="s">
        <v>7128</v>
      </c>
      <c r="T939" s="338" t="s">
        <v>5</v>
      </c>
      <c r="U939" s="338" t="s">
        <v>28</v>
      </c>
      <c r="V939" s="338">
        <v>100000</v>
      </c>
      <c r="W939" s="338">
        <v>0</v>
      </c>
      <c r="X939" s="338" t="s">
        <v>6</v>
      </c>
      <c r="Y939" s="338"/>
      <c r="Z939" s="338"/>
      <c r="AA939" s="338">
        <v>1.034947872161865</v>
      </c>
      <c r="AB939" s="338">
        <v>7.2122283279895782E-2</v>
      </c>
      <c r="AC939" s="338">
        <v>0.27832379937171942</v>
      </c>
      <c r="AD939" s="338">
        <v>29</v>
      </c>
      <c r="AE939" s="338">
        <v>14</v>
      </c>
      <c r="AF939" s="338">
        <v>13</v>
      </c>
      <c r="AG939" s="338">
        <v>73</v>
      </c>
      <c r="AH939" s="338">
        <v>47</v>
      </c>
      <c r="AI939" s="338">
        <v>105</v>
      </c>
      <c r="AJ939" s="338">
        <v>0</v>
      </c>
      <c r="AK939" s="338">
        <v>0</v>
      </c>
      <c r="AL939" s="338">
        <v>1</v>
      </c>
      <c r="AM939" s="338">
        <v>0</v>
      </c>
      <c r="AN939" s="338">
        <v>7.1171345710754386</v>
      </c>
      <c r="AO939" s="338"/>
      <c r="AP939" s="338"/>
      <c r="AQ939" s="338"/>
      <c r="AR939" s="338">
        <v>0</v>
      </c>
      <c r="AS939" s="338">
        <v>0</v>
      </c>
      <c r="AT939" s="338">
        <v>0</v>
      </c>
      <c r="AU939" s="338">
        <v>0</v>
      </c>
      <c r="AV939" s="338">
        <v>0</v>
      </c>
      <c r="AW939" s="338">
        <v>0</v>
      </c>
      <c r="AX939" s="338">
        <v>0</v>
      </c>
      <c r="AY939" s="338">
        <v>0</v>
      </c>
      <c r="AZ939" s="338">
        <v>0</v>
      </c>
      <c r="BA939" s="338">
        <v>0</v>
      </c>
      <c r="BB939" s="338"/>
      <c r="BC939" s="338"/>
      <c r="BD939" s="338"/>
      <c r="BE939" s="338">
        <v>0</v>
      </c>
      <c r="BF939" s="338" t="s">
        <v>2516</v>
      </c>
      <c r="BG939" s="338" t="s">
        <v>5</v>
      </c>
      <c r="BH939" s="338" t="s">
        <v>1020</v>
      </c>
      <c r="BI939" s="338"/>
      <c r="BJ939" s="338" t="s">
        <v>5</v>
      </c>
      <c r="BK939" s="338"/>
      <c r="BL939" s="338">
        <v>0</v>
      </c>
      <c r="BM939" s="338"/>
      <c r="BN939" s="338" t="s">
        <v>5</v>
      </c>
      <c r="BO939" s="338" t="s">
        <v>2518</v>
      </c>
      <c r="BP939" s="338" t="s">
        <v>2518</v>
      </c>
      <c r="BQ939" s="338" t="s">
        <v>2518</v>
      </c>
      <c r="BR939" s="338"/>
      <c r="BS939" s="338" t="s">
        <v>6</v>
      </c>
      <c r="BT939" s="338" t="s">
        <v>2518</v>
      </c>
      <c r="BU939" s="338" t="s">
        <v>2518</v>
      </c>
      <c r="BV939" s="338" t="s">
        <v>2518</v>
      </c>
      <c r="BW939" s="338"/>
      <c r="BX939" s="338" t="s">
        <v>6</v>
      </c>
      <c r="BY939" s="338" t="s">
        <v>2605</v>
      </c>
      <c r="BZ939" s="338" t="s">
        <v>2518</v>
      </c>
      <c r="CA939"/>
      <c r="CB939" s="338" t="s">
        <v>5</v>
      </c>
      <c r="CC939" s="338">
        <v>25347.99776000873</v>
      </c>
      <c r="CD939" s="338">
        <v>15994117.077197339</v>
      </c>
      <c r="CE939" s="313" t="s">
        <v>11891</v>
      </c>
    </row>
    <row r="940" spans="1:83" ht="15" x14ac:dyDescent="0.25">
      <c r="A940" s="338" t="s">
        <v>12340</v>
      </c>
      <c r="B940" s="338" t="s">
        <v>12341</v>
      </c>
      <c r="C940" s="338" t="s">
        <v>12342</v>
      </c>
      <c r="D940" s="338">
        <v>5</v>
      </c>
      <c r="E940" s="338" t="s">
        <v>2598</v>
      </c>
      <c r="F940" s="338" t="s">
        <v>1771</v>
      </c>
      <c r="G940" s="338" t="s">
        <v>2614</v>
      </c>
      <c r="H940" s="338" t="s">
        <v>2722</v>
      </c>
      <c r="I940" s="338" t="s">
        <v>2723</v>
      </c>
      <c r="J940" s="338" t="s">
        <v>2724</v>
      </c>
      <c r="K940" s="338" t="s">
        <v>12152</v>
      </c>
      <c r="L940" s="338">
        <v>0.63485258817672729</v>
      </c>
      <c r="M940" s="338" t="s">
        <v>6</v>
      </c>
      <c r="N940" s="338" t="s">
        <v>5</v>
      </c>
      <c r="O940" s="338" t="s">
        <v>6</v>
      </c>
      <c r="P940" s="338" t="s">
        <v>5</v>
      </c>
      <c r="Q940" s="338" t="s">
        <v>5</v>
      </c>
      <c r="R940" s="338" t="s">
        <v>2725</v>
      </c>
      <c r="S940" s="338" t="s">
        <v>2725</v>
      </c>
      <c r="T940" s="338" t="s">
        <v>5</v>
      </c>
      <c r="U940" s="338" t="s">
        <v>28</v>
      </c>
      <c r="V940" s="338">
        <v>11000</v>
      </c>
      <c r="W940" s="338">
        <v>0</v>
      </c>
      <c r="X940" s="338" t="s">
        <v>6</v>
      </c>
      <c r="Y940" s="338"/>
      <c r="Z940" s="338"/>
      <c r="AA940" s="338">
        <v>2.656619064509869E-2</v>
      </c>
      <c r="AB940" s="338">
        <v>2.387569984421134E-3</v>
      </c>
      <c r="AC940" s="338">
        <v>8.6294598877429962E-3</v>
      </c>
      <c r="AD940" s="338">
        <v>3</v>
      </c>
      <c r="AE940" s="338">
        <v>0</v>
      </c>
      <c r="AF940" s="338">
        <v>3</v>
      </c>
      <c r="AG940" s="338">
        <v>1</v>
      </c>
      <c r="AH940" s="338">
        <v>2</v>
      </c>
      <c r="AI940" s="338">
        <v>2</v>
      </c>
      <c r="AJ940" s="338">
        <v>0</v>
      </c>
      <c r="AK940" s="338">
        <v>0</v>
      </c>
      <c r="AL940" s="338">
        <v>0</v>
      </c>
      <c r="AM940" s="338">
        <v>0</v>
      </c>
      <c r="AN940" s="338">
        <v>0</v>
      </c>
      <c r="AO940" s="338"/>
      <c r="AP940" s="338"/>
      <c r="AQ940" s="338"/>
      <c r="AR940" s="338">
        <v>0</v>
      </c>
      <c r="AS940" s="338">
        <v>0</v>
      </c>
      <c r="AT940" s="338">
        <v>0</v>
      </c>
      <c r="AU940" s="338">
        <v>0</v>
      </c>
      <c r="AV940" s="338">
        <v>0</v>
      </c>
      <c r="AW940" s="338">
        <v>0</v>
      </c>
      <c r="AX940" s="338">
        <v>0</v>
      </c>
      <c r="AY940" s="338">
        <v>0</v>
      </c>
      <c r="AZ940" s="338">
        <v>0</v>
      </c>
      <c r="BA940" s="338">
        <v>0</v>
      </c>
      <c r="BB940" s="338"/>
      <c r="BC940" s="338"/>
      <c r="BD940" s="338"/>
      <c r="BE940" s="338">
        <v>0</v>
      </c>
      <c r="BF940" s="338" t="s">
        <v>2516</v>
      </c>
      <c r="BG940" s="338" t="s">
        <v>5</v>
      </c>
      <c r="BH940" s="338" t="s">
        <v>1020</v>
      </c>
      <c r="BI940" s="338"/>
      <c r="BJ940" s="338" t="s">
        <v>5</v>
      </c>
      <c r="BK940" s="338"/>
      <c r="BL940" s="338">
        <v>0</v>
      </c>
      <c r="BM940" s="338"/>
      <c r="BN940" s="338" t="s">
        <v>5</v>
      </c>
      <c r="BO940" s="338" t="s">
        <v>2518</v>
      </c>
      <c r="BP940" s="338" t="s">
        <v>2518</v>
      </c>
      <c r="BQ940" s="338" t="s">
        <v>2518</v>
      </c>
      <c r="BR940" s="338"/>
      <c r="BS940" s="338" t="s">
        <v>6</v>
      </c>
      <c r="BT940" s="338" t="s">
        <v>2518</v>
      </c>
      <c r="BU940" s="338" t="s">
        <v>2518</v>
      </c>
      <c r="BV940" s="338" t="s">
        <v>2518</v>
      </c>
      <c r="BW940" s="338"/>
      <c r="BX940" s="338" t="s">
        <v>6</v>
      </c>
      <c r="BY940" s="338" t="s">
        <v>2605</v>
      </c>
      <c r="BZ940" s="338" t="s">
        <v>2518</v>
      </c>
      <c r="CA940"/>
      <c r="CB940" s="338" t="s">
        <v>5</v>
      </c>
      <c r="CC940" s="338">
        <v>9475.4889831687724</v>
      </c>
      <c r="CD940" s="338">
        <v>1644260.584749891</v>
      </c>
      <c r="CE940" s="313" t="s">
        <v>11891</v>
      </c>
    </row>
    <row r="941" spans="1:83" ht="15" x14ac:dyDescent="0.25">
      <c r="A941" s="338" t="s">
        <v>12343</v>
      </c>
      <c r="B941" s="338" t="s">
        <v>12344</v>
      </c>
      <c r="C941" s="338" t="s">
        <v>12345</v>
      </c>
      <c r="D941" s="338">
        <v>5</v>
      </c>
      <c r="E941" s="338" t="s">
        <v>2598</v>
      </c>
      <c r="F941" s="338" t="s">
        <v>2874</v>
      </c>
      <c r="G941" s="338" t="s">
        <v>2875</v>
      </c>
      <c r="H941" s="338" t="s">
        <v>2876</v>
      </c>
      <c r="I941" s="338" t="s">
        <v>2877</v>
      </c>
      <c r="J941" s="338" t="s">
        <v>2878</v>
      </c>
      <c r="K941" s="338" t="s">
        <v>12101</v>
      </c>
      <c r="L941" s="338">
        <v>3.9684593677520752</v>
      </c>
      <c r="M941" s="338" t="s">
        <v>6</v>
      </c>
      <c r="N941" s="338" t="s">
        <v>5</v>
      </c>
      <c r="O941" s="338" t="s">
        <v>5</v>
      </c>
      <c r="P941" s="338" t="s">
        <v>5</v>
      </c>
      <c r="Q941" s="338" t="s">
        <v>6</v>
      </c>
      <c r="R941" s="338" t="s">
        <v>2879</v>
      </c>
      <c r="S941" s="338" t="s">
        <v>2879</v>
      </c>
      <c r="T941" s="338" t="s">
        <v>6</v>
      </c>
      <c r="U941" s="338" t="s">
        <v>50</v>
      </c>
      <c r="V941" s="338">
        <v>60000</v>
      </c>
      <c r="W941" s="338">
        <v>0</v>
      </c>
      <c r="X941" s="338" t="s">
        <v>6</v>
      </c>
      <c r="Y941" s="338"/>
      <c r="Z941" s="338"/>
      <c r="AA941" s="338">
        <v>0.63839852809906006</v>
      </c>
      <c r="AB941" s="338">
        <v>0.45848017930984503</v>
      </c>
      <c r="AC941" s="338">
        <v>0.13193340599536901</v>
      </c>
      <c r="AD941" s="338">
        <v>3</v>
      </c>
      <c r="AE941" s="338">
        <v>16</v>
      </c>
      <c r="AF941" s="338">
        <v>2</v>
      </c>
      <c r="AG941" s="338">
        <v>1</v>
      </c>
      <c r="AH941" s="338">
        <v>2</v>
      </c>
      <c r="AI941" s="338">
        <v>2</v>
      </c>
      <c r="AJ941" s="338">
        <v>0</v>
      </c>
      <c r="AK941" s="338">
        <v>0</v>
      </c>
      <c r="AL941" s="338">
        <v>1</v>
      </c>
      <c r="AM941" s="338">
        <v>0</v>
      </c>
      <c r="AN941" s="338">
        <v>4.4087089598178857E-2</v>
      </c>
      <c r="AO941" s="338"/>
      <c r="AP941" s="338"/>
      <c r="AQ941" s="338"/>
      <c r="AR941" s="338">
        <v>0</v>
      </c>
      <c r="AS941" s="338">
        <v>0</v>
      </c>
      <c r="AT941" s="338">
        <v>0</v>
      </c>
      <c r="AU941" s="338">
        <v>0</v>
      </c>
      <c r="AV941" s="338">
        <v>0</v>
      </c>
      <c r="AW941" s="338">
        <v>0</v>
      </c>
      <c r="AX941" s="338">
        <v>0</v>
      </c>
      <c r="AY941" s="338">
        <v>0</v>
      </c>
      <c r="AZ941" s="338">
        <v>0</v>
      </c>
      <c r="BA941" s="338">
        <v>0</v>
      </c>
      <c r="BB941" s="338"/>
      <c r="BC941" s="338"/>
      <c r="BD941" s="338"/>
      <c r="BE941" s="338">
        <v>0</v>
      </c>
      <c r="BF941" s="338" t="s">
        <v>2516</v>
      </c>
      <c r="BG941" s="338" t="s">
        <v>5</v>
      </c>
      <c r="BH941" s="338" t="s">
        <v>1020</v>
      </c>
      <c r="BI941" s="338"/>
      <c r="BJ941" s="338" t="s">
        <v>5</v>
      </c>
      <c r="BK941" s="338"/>
      <c r="BL941" s="338">
        <v>0</v>
      </c>
      <c r="BM941" s="338"/>
      <c r="BN941" s="338" t="s">
        <v>6</v>
      </c>
      <c r="BO941" s="338" t="s">
        <v>2518</v>
      </c>
      <c r="BP941" s="338" t="s">
        <v>2518</v>
      </c>
      <c r="BQ941" s="338" t="s">
        <v>2518</v>
      </c>
      <c r="BR941" s="338"/>
      <c r="BS941" s="338" t="s">
        <v>6</v>
      </c>
      <c r="BT941" s="338" t="s">
        <v>2518</v>
      </c>
      <c r="BU941" s="338" t="s">
        <v>2518</v>
      </c>
      <c r="BV941" s="338" t="s">
        <v>2518</v>
      </c>
      <c r="BW941" s="338"/>
      <c r="BX941" s="338" t="s">
        <v>6</v>
      </c>
      <c r="BY941" s="338" t="s">
        <v>2605</v>
      </c>
      <c r="BZ941" s="338" t="s">
        <v>2518</v>
      </c>
      <c r="CA941"/>
      <c r="CB941" s="338" t="s">
        <v>5</v>
      </c>
      <c r="CC941" s="338">
        <v>19244.66955430185</v>
      </c>
      <c r="CD941" s="338">
        <v>10278262.3944008</v>
      </c>
      <c r="CE941" s="313" t="s">
        <v>11891</v>
      </c>
    </row>
    <row r="942" spans="1:83" ht="15" x14ac:dyDescent="0.25">
      <c r="A942" s="338" t="s">
        <v>12346</v>
      </c>
      <c r="B942" s="338" t="s">
        <v>12347</v>
      </c>
      <c r="C942" s="338" t="s">
        <v>12345</v>
      </c>
      <c r="D942" s="338">
        <v>5</v>
      </c>
      <c r="E942" s="338" t="s">
        <v>2598</v>
      </c>
      <c r="F942" s="338" t="s">
        <v>2874</v>
      </c>
      <c r="G942" s="338" t="s">
        <v>2887</v>
      </c>
      <c r="H942" s="338" t="s">
        <v>2888</v>
      </c>
      <c r="I942" s="338" t="s">
        <v>2889</v>
      </c>
      <c r="J942" s="338" t="s">
        <v>2890</v>
      </c>
      <c r="K942" s="338" t="s">
        <v>12101</v>
      </c>
      <c r="L942" s="338">
        <v>13.45718574523926</v>
      </c>
      <c r="M942" s="338" t="s">
        <v>6</v>
      </c>
      <c r="N942" s="338" t="s">
        <v>5</v>
      </c>
      <c r="O942" s="338" t="s">
        <v>5</v>
      </c>
      <c r="P942" s="338" t="s">
        <v>5</v>
      </c>
      <c r="Q942" s="338" t="s">
        <v>6</v>
      </c>
      <c r="R942" s="338" t="s">
        <v>2891</v>
      </c>
      <c r="S942" s="338" t="s">
        <v>2891</v>
      </c>
      <c r="T942" s="338" t="s">
        <v>6</v>
      </c>
      <c r="U942" s="338" t="s">
        <v>50</v>
      </c>
      <c r="V942" s="338">
        <v>80000</v>
      </c>
      <c r="W942" s="338">
        <v>0</v>
      </c>
      <c r="X942" s="338" t="s">
        <v>6</v>
      </c>
      <c r="Y942" s="338"/>
      <c r="Z942" s="338"/>
      <c r="AA942" s="338">
        <v>2.6110191345214839</v>
      </c>
      <c r="AB942" s="338">
        <v>1.2883826494216919</v>
      </c>
      <c r="AC942" s="338">
        <v>0.55457472801208496</v>
      </c>
      <c r="AD942" s="338">
        <v>235</v>
      </c>
      <c r="AE942" s="338">
        <v>274</v>
      </c>
      <c r="AF942" s="338">
        <v>210</v>
      </c>
      <c r="AG942" s="338">
        <v>232</v>
      </c>
      <c r="AH942" s="338">
        <v>649</v>
      </c>
      <c r="AI942" s="338">
        <v>658</v>
      </c>
      <c r="AJ942" s="338">
        <v>0</v>
      </c>
      <c r="AK942" s="338">
        <v>1</v>
      </c>
      <c r="AL942" s="338">
        <v>4</v>
      </c>
      <c r="AM942" s="338">
        <v>1</v>
      </c>
      <c r="AN942" s="338">
        <v>22.859420776367191</v>
      </c>
      <c r="AO942" s="338"/>
      <c r="AP942" s="338"/>
      <c r="AQ942" s="338"/>
      <c r="AR942" s="338">
        <v>0</v>
      </c>
      <c r="AS942" s="338">
        <v>0</v>
      </c>
      <c r="AT942" s="338">
        <v>0</v>
      </c>
      <c r="AU942" s="338">
        <v>0</v>
      </c>
      <c r="AV942" s="338">
        <v>0</v>
      </c>
      <c r="AW942" s="338">
        <v>0</v>
      </c>
      <c r="AX942" s="338">
        <v>0</v>
      </c>
      <c r="AY942" s="338">
        <v>0</v>
      </c>
      <c r="AZ942" s="338">
        <v>0</v>
      </c>
      <c r="BA942" s="338">
        <v>0</v>
      </c>
      <c r="BB942" s="338"/>
      <c r="BC942" s="338"/>
      <c r="BD942" s="338"/>
      <c r="BE942" s="338">
        <v>0</v>
      </c>
      <c r="BF942" s="338" t="s">
        <v>2516</v>
      </c>
      <c r="BG942" s="338" t="s">
        <v>5</v>
      </c>
      <c r="BH942" s="338" t="s">
        <v>1020</v>
      </c>
      <c r="BI942" s="338"/>
      <c r="BJ942" s="338" t="s">
        <v>5</v>
      </c>
      <c r="BK942" s="338"/>
      <c r="BL942" s="338">
        <v>0</v>
      </c>
      <c r="BM942" s="338"/>
      <c r="BN942" s="338" t="s">
        <v>6</v>
      </c>
      <c r="BO942" s="338" t="s">
        <v>2518</v>
      </c>
      <c r="BP942" s="338" t="s">
        <v>2518</v>
      </c>
      <c r="BQ942" s="338" t="s">
        <v>2518</v>
      </c>
      <c r="BR942" s="338"/>
      <c r="BS942" s="338" t="s">
        <v>6</v>
      </c>
      <c r="BT942" s="338" t="s">
        <v>2518</v>
      </c>
      <c r="BU942" s="338" t="s">
        <v>2518</v>
      </c>
      <c r="BV942" s="338" t="s">
        <v>2518</v>
      </c>
      <c r="BW942" s="338"/>
      <c r="BX942" s="338" t="s">
        <v>6</v>
      </c>
      <c r="BY942" s="338" t="s">
        <v>2605</v>
      </c>
      <c r="BZ942" s="338" t="s">
        <v>2518</v>
      </c>
      <c r="CA942"/>
      <c r="CB942" s="338" t="s">
        <v>5</v>
      </c>
      <c r="CC942" s="338">
        <v>38295.693349540241</v>
      </c>
      <c r="CD942" s="338">
        <v>34853950.42662929</v>
      </c>
      <c r="CE942" s="313" t="s">
        <v>11891</v>
      </c>
    </row>
    <row r="943" spans="1:83" ht="15" x14ac:dyDescent="0.25">
      <c r="A943" s="338" t="s">
        <v>12348</v>
      </c>
      <c r="B943" s="338" t="s">
        <v>12349</v>
      </c>
      <c r="C943" s="338" t="s">
        <v>12345</v>
      </c>
      <c r="D943" s="338">
        <v>5</v>
      </c>
      <c r="E943" s="338" t="s">
        <v>2598</v>
      </c>
      <c r="F943" s="338" t="s">
        <v>2874</v>
      </c>
      <c r="G943" s="338" t="s">
        <v>2616</v>
      </c>
      <c r="H943" s="338" t="s">
        <v>2899</v>
      </c>
      <c r="I943" s="338" t="s">
        <v>2900</v>
      </c>
      <c r="J943" s="338" t="s">
        <v>2901</v>
      </c>
      <c r="K943" s="338" t="s">
        <v>12101</v>
      </c>
      <c r="L943" s="338">
        <v>0.4180661141872406</v>
      </c>
      <c r="M943" s="338" t="s">
        <v>6</v>
      </c>
      <c r="N943" s="338" t="s">
        <v>5</v>
      </c>
      <c r="O943" s="338" t="s">
        <v>5</v>
      </c>
      <c r="P943" s="338" t="s">
        <v>5</v>
      </c>
      <c r="Q943" s="338" t="s">
        <v>5</v>
      </c>
      <c r="R943" s="338" t="s">
        <v>2902</v>
      </c>
      <c r="S943" s="338" t="s">
        <v>2902</v>
      </c>
      <c r="T943" s="338" t="s">
        <v>6</v>
      </c>
      <c r="U943" s="338" t="s">
        <v>50</v>
      </c>
      <c r="V943" s="338">
        <v>80000</v>
      </c>
      <c r="W943" s="338">
        <v>0</v>
      </c>
      <c r="X943" s="338" t="s">
        <v>6</v>
      </c>
      <c r="Y943" s="338"/>
      <c r="Z943" s="338"/>
      <c r="AA943" s="338">
        <v>0.33450999855995178</v>
      </c>
      <c r="AB943" s="338">
        <v>5.1253270357847207E-2</v>
      </c>
      <c r="AC943" s="338">
        <v>0</v>
      </c>
      <c r="AD943" s="338">
        <v>134</v>
      </c>
      <c r="AE943" s="338">
        <v>46</v>
      </c>
      <c r="AF943" s="338">
        <v>123</v>
      </c>
      <c r="AG943" s="338">
        <v>122</v>
      </c>
      <c r="AH943" s="338">
        <v>236</v>
      </c>
      <c r="AI943" s="338">
        <v>278</v>
      </c>
      <c r="AJ943" s="338">
        <v>0</v>
      </c>
      <c r="AK943" s="338">
        <v>0</v>
      </c>
      <c r="AL943" s="338">
        <v>2</v>
      </c>
      <c r="AM943" s="338">
        <v>0</v>
      </c>
      <c r="AN943" s="338">
        <v>0.2223948389291763</v>
      </c>
      <c r="AO943" s="338"/>
      <c r="AP943" s="338"/>
      <c r="AQ943" s="338"/>
      <c r="AR943" s="338">
        <v>0</v>
      </c>
      <c r="AS943" s="338">
        <v>0</v>
      </c>
      <c r="AT943" s="338">
        <v>0</v>
      </c>
      <c r="AU943" s="338">
        <v>0</v>
      </c>
      <c r="AV943" s="338">
        <v>0</v>
      </c>
      <c r="AW943" s="338">
        <v>0</v>
      </c>
      <c r="AX943" s="338">
        <v>0</v>
      </c>
      <c r="AY943" s="338">
        <v>0</v>
      </c>
      <c r="AZ943" s="338">
        <v>0</v>
      </c>
      <c r="BA943" s="338">
        <v>0</v>
      </c>
      <c r="BB943" s="338"/>
      <c r="BC943" s="338"/>
      <c r="BD943" s="338"/>
      <c r="BE943" s="338">
        <v>0</v>
      </c>
      <c r="BF943" s="338" t="s">
        <v>2516</v>
      </c>
      <c r="BG943" s="338" t="s">
        <v>5</v>
      </c>
      <c r="BH943" s="338" t="s">
        <v>1020</v>
      </c>
      <c r="BI943" s="338"/>
      <c r="BJ943" s="338" t="s">
        <v>5</v>
      </c>
      <c r="BK943" s="338"/>
      <c r="BL943" s="338">
        <v>0</v>
      </c>
      <c r="BM943" s="338"/>
      <c r="BN943" s="338" t="s">
        <v>6</v>
      </c>
      <c r="BO943" s="338" t="s">
        <v>2518</v>
      </c>
      <c r="BP943" s="338" t="s">
        <v>2518</v>
      </c>
      <c r="BQ943" s="338" t="s">
        <v>2518</v>
      </c>
      <c r="BR943" s="338"/>
      <c r="BS943" s="338" t="s">
        <v>6</v>
      </c>
      <c r="BT943" s="338" t="s">
        <v>2518</v>
      </c>
      <c r="BU943" s="338" t="s">
        <v>2518</v>
      </c>
      <c r="BV943" s="338" t="s">
        <v>2518</v>
      </c>
      <c r="BW943" s="338"/>
      <c r="BX943" s="338" t="s">
        <v>6</v>
      </c>
      <c r="BY943" s="338" t="s">
        <v>2605</v>
      </c>
      <c r="BZ943" s="338" t="s">
        <v>2518</v>
      </c>
      <c r="CA943"/>
      <c r="CB943" s="338" t="s">
        <v>5</v>
      </c>
      <c r="CC943" s="338">
        <v>6430.4885656078204</v>
      </c>
      <c r="CD943" s="338">
        <v>1082786.2221894299</v>
      </c>
      <c r="CE943" s="313" t="s">
        <v>11891</v>
      </c>
    </row>
    <row r="944" spans="1:83" ht="15" x14ac:dyDescent="0.25">
      <c r="A944" s="338" t="s">
        <v>12350</v>
      </c>
      <c r="B944" s="338" t="s">
        <v>12351</v>
      </c>
      <c r="C944" s="338" t="s">
        <v>12345</v>
      </c>
      <c r="D944" s="338">
        <v>5</v>
      </c>
      <c r="E944" s="338" t="s">
        <v>2598</v>
      </c>
      <c r="F944" s="338" t="s">
        <v>2874</v>
      </c>
      <c r="G944" s="338" t="s">
        <v>2915</v>
      </c>
      <c r="H944" s="338" t="s">
        <v>2916</v>
      </c>
      <c r="I944" s="338" t="s">
        <v>2917</v>
      </c>
      <c r="J944" s="338" t="s">
        <v>2918</v>
      </c>
      <c r="K944" s="338" t="s">
        <v>12101</v>
      </c>
      <c r="L944" s="338">
        <v>7.6997427940368652</v>
      </c>
      <c r="M944" s="338" t="s">
        <v>6</v>
      </c>
      <c r="N944" s="338" t="s">
        <v>5</v>
      </c>
      <c r="O944" s="338" t="s">
        <v>5</v>
      </c>
      <c r="P944" s="338" t="s">
        <v>5</v>
      </c>
      <c r="Q944" s="338" t="s">
        <v>6</v>
      </c>
      <c r="R944" s="338" t="s">
        <v>2920</v>
      </c>
      <c r="S944" s="338" t="s">
        <v>2920</v>
      </c>
      <c r="T944" s="338" t="s">
        <v>6</v>
      </c>
      <c r="U944" s="338" t="s">
        <v>50</v>
      </c>
      <c r="V944" s="338">
        <v>50000</v>
      </c>
      <c r="W944" s="338">
        <v>0</v>
      </c>
      <c r="X944" s="338" t="s">
        <v>6</v>
      </c>
      <c r="Y944" s="338"/>
      <c r="Z944" s="338"/>
      <c r="AA944" s="338">
        <v>0.92796564102172852</v>
      </c>
      <c r="AB944" s="338">
        <v>0.242571085691452</v>
      </c>
      <c r="AC944" s="338">
        <v>0.19187590479850769</v>
      </c>
      <c r="AD944" s="338">
        <v>87</v>
      </c>
      <c r="AE944" s="338">
        <v>34</v>
      </c>
      <c r="AF944" s="338">
        <v>69</v>
      </c>
      <c r="AG944" s="338">
        <v>615</v>
      </c>
      <c r="AH944" s="338">
        <v>242</v>
      </c>
      <c r="AI944" s="338">
        <v>780</v>
      </c>
      <c r="AJ944" s="338">
        <v>2</v>
      </c>
      <c r="AK944" s="338">
        <v>3</v>
      </c>
      <c r="AL944" s="338">
        <v>2</v>
      </c>
      <c r="AM944" s="338">
        <v>3</v>
      </c>
      <c r="AN944" s="338">
        <v>1.197979331016541</v>
      </c>
      <c r="AO944" s="338"/>
      <c r="AP944" s="338"/>
      <c r="AQ944" s="338"/>
      <c r="AR944" s="338">
        <v>0</v>
      </c>
      <c r="AS944" s="338">
        <v>0</v>
      </c>
      <c r="AT944" s="338">
        <v>0</v>
      </c>
      <c r="AU944" s="338">
        <v>0</v>
      </c>
      <c r="AV944" s="338">
        <v>0</v>
      </c>
      <c r="AW944" s="338">
        <v>0</v>
      </c>
      <c r="AX944" s="338">
        <v>0</v>
      </c>
      <c r="AY944" s="338">
        <v>0</v>
      </c>
      <c r="AZ944" s="338">
        <v>0</v>
      </c>
      <c r="BA944" s="338">
        <v>0</v>
      </c>
      <c r="BB944" s="338"/>
      <c r="BC944" s="338"/>
      <c r="BD944" s="338"/>
      <c r="BE944" s="338">
        <v>0</v>
      </c>
      <c r="BF944" s="338" t="s">
        <v>2516</v>
      </c>
      <c r="BG944" s="338" t="s">
        <v>5</v>
      </c>
      <c r="BH944" s="338" t="s">
        <v>1020</v>
      </c>
      <c r="BI944" s="338"/>
      <c r="BJ944" s="338" t="s">
        <v>5</v>
      </c>
      <c r="BK944" s="338"/>
      <c r="BL944" s="338">
        <v>0</v>
      </c>
      <c r="BM944" s="338"/>
      <c r="BN944" s="338" t="s">
        <v>6</v>
      </c>
      <c r="BO944" s="338" t="s">
        <v>2518</v>
      </c>
      <c r="BP944" s="338" t="s">
        <v>2518</v>
      </c>
      <c r="BQ944" s="338" t="s">
        <v>2518</v>
      </c>
      <c r="BR944" s="338"/>
      <c r="BS944" s="338" t="s">
        <v>6</v>
      </c>
      <c r="BT944" s="338" t="s">
        <v>2518</v>
      </c>
      <c r="BU944" s="338" t="s">
        <v>2518</v>
      </c>
      <c r="BV944" s="338" t="s">
        <v>2518</v>
      </c>
      <c r="BW944" s="338"/>
      <c r="BX944" s="338" t="s">
        <v>6</v>
      </c>
      <c r="BY944" s="338" t="s">
        <v>2605</v>
      </c>
      <c r="BZ944" s="338" t="s">
        <v>2518</v>
      </c>
      <c r="CA944"/>
      <c r="CB944" s="338" t="s">
        <v>5</v>
      </c>
      <c r="CC944" s="338">
        <v>23708.446352938801</v>
      </c>
      <c r="CD944" s="338">
        <v>19942242.74323054</v>
      </c>
      <c r="CE944" s="313" t="s">
        <v>11891</v>
      </c>
    </row>
    <row r="945" spans="1:83" ht="15" x14ac:dyDescent="0.25">
      <c r="A945" s="338" t="s">
        <v>12352</v>
      </c>
      <c r="B945" s="338" t="s">
        <v>12353</v>
      </c>
      <c r="C945" s="338" t="s">
        <v>12345</v>
      </c>
      <c r="D945" s="338">
        <v>5</v>
      </c>
      <c r="E945" s="338" t="s">
        <v>2598</v>
      </c>
      <c r="F945" s="338" t="s">
        <v>2874</v>
      </c>
      <c r="G945" s="338" t="s">
        <v>2616</v>
      </c>
      <c r="H945" s="338" t="s">
        <v>2931</v>
      </c>
      <c r="I945" s="338" t="s">
        <v>2932</v>
      </c>
      <c r="J945" s="338" t="s">
        <v>2933</v>
      </c>
      <c r="K945" s="338" t="s">
        <v>12101</v>
      </c>
      <c r="L945" s="338">
        <v>2.3354461193084721</v>
      </c>
      <c r="M945" s="338" t="s">
        <v>6</v>
      </c>
      <c r="N945" s="338" t="s">
        <v>5</v>
      </c>
      <c r="O945" s="338" t="s">
        <v>5</v>
      </c>
      <c r="P945" s="338" t="s">
        <v>5</v>
      </c>
      <c r="Q945" s="338" t="s">
        <v>6</v>
      </c>
      <c r="R945" s="338" t="s">
        <v>2934</v>
      </c>
      <c r="S945" s="338" t="s">
        <v>2934</v>
      </c>
      <c r="T945" s="338" t="s">
        <v>6</v>
      </c>
      <c r="U945" s="338" t="s">
        <v>50</v>
      </c>
      <c r="V945" s="338">
        <v>60000</v>
      </c>
      <c r="W945" s="338">
        <v>0</v>
      </c>
      <c r="X945" s="338" t="s">
        <v>6</v>
      </c>
      <c r="Y945" s="338"/>
      <c r="Z945" s="338"/>
      <c r="AA945" s="338">
        <v>1.164615750312805</v>
      </c>
      <c r="AB945" s="338">
        <v>0.423287034034729</v>
      </c>
      <c r="AC945" s="338">
        <v>2.466953918337822E-2</v>
      </c>
      <c r="AD945" s="338">
        <v>435</v>
      </c>
      <c r="AE945" s="338">
        <v>225</v>
      </c>
      <c r="AF945" s="338">
        <v>323</v>
      </c>
      <c r="AG945" s="338">
        <v>1125</v>
      </c>
      <c r="AH945" s="338">
        <v>857</v>
      </c>
      <c r="AI945" s="338">
        <v>1687</v>
      </c>
      <c r="AJ945" s="338">
        <v>7</v>
      </c>
      <c r="AK945" s="338">
        <v>3</v>
      </c>
      <c r="AL945" s="338">
        <v>8</v>
      </c>
      <c r="AM945" s="338">
        <v>3</v>
      </c>
      <c r="AN945" s="338">
        <v>7.4686717987060547</v>
      </c>
      <c r="AO945" s="338"/>
      <c r="AP945" s="338"/>
      <c r="AQ945" s="338"/>
      <c r="AR945" s="338">
        <v>0</v>
      </c>
      <c r="AS945" s="338">
        <v>0</v>
      </c>
      <c r="AT945" s="338">
        <v>0</v>
      </c>
      <c r="AU945" s="338">
        <v>0</v>
      </c>
      <c r="AV945" s="338">
        <v>0</v>
      </c>
      <c r="AW945" s="338">
        <v>0</v>
      </c>
      <c r="AX945" s="338">
        <v>0</v>
      </c>
      <c r="AY945" s="338">
        <v>0</v>
      </c>
      <c r="AZ945" s="338">
        <v>0</v>
      </c>
      <c r="BA945" s="338">
        <v>0</v>
      </c>
      <c r="BB945" s="338"/>
      <c r="BC945" s="338"/>
      <c r="BD945" s="338"/>
      <c r="BE945" s="338">
        <v>0</v>
      </c>
      <c r="BF945" s="338" t="s">
        <v>2516</v>
      </c>
      <c r="BG945" s="338" t="s">
        <v>5</v>
      </c>
      <c r="BH945" s="338" t="s">
        <v>1020</v>
      </c>
      <c r="BI945" s="338"/>
      <c r="BJ945" s="338" t="s">
        <v>5</v>
      </c>
      <c r="BK945" s="338"/>
      <c r="BL945" s="338">
        <v>0</v>
      </c>
      <c r="BM945" s="338"/>
      <c r="BN945" s="338" t="s">
        <v>6</v>
      </c>
      <c r="BO945" s="338" t="s">
        <v>2518</v>
      </c>
      <c r="BP945" s="338" t="s">
        <v>2518</v>
      </c>
      <c r="BQ945" s="338" t="s">
        <v>2518</v>
      </c>
      <c r="BR945" s="338"/>
      <c r="BS945" s="338" t="s">
        <v>6</v>
      </c>
      <c r="BT945" s="338" t="s">
        <v>2518</v>
      </c>
      <c r="BU945" s="338" t="s">
        <v>2518</v>
      </c>
      <c r="BV945" s="338" t="s">
        <v>2518</v>
      </c>
      <c r="BW945" s="338"/>
      <c r="BX945" s="338" t="s">
        <v>6</v>
      </c>
      <c r="BY945" s="338" t="s">
        <v>2605</v>
      </c>
      <c r="BZ945" s="338" t="s">
        <v>2518</v>
      </c>
      <c r="CA945"/>
      <c r="CB945" s="338" t="s">
        <v>5</v>
      </c>
      <c r="CC945" s="338">
        <v>17135.771403508392</v>
      </c>
      <c r="CD945" s="338">
        <v>6048777.7369492687</v>
      </c>
      <c r="CE945" s="313" t="s">
        <v>11891</v>
      </c>
    </row>
    <row r="946" spans="1:83" ht="15" x14ac:dyDescent="0.25">
      <c r="A946" s="338" t="s">
        <v>12354</v>
      </c>
      <c r="B946" s="338" t="s">
        <v>12355</v>
      </c>
      <c r="C946" s="338" t="s">
        <v>12356</v>
      </c>
      <c r="D946" s="338">
        <v>5</v>
      </c>
      <c r="E946" s="338" t="s">
        <v>2598</v>
      </c>
      <c r="F946" s="338" t="s">
        <v>2874</v>
      </c>
      <c r="G946" s="338" t="s">
        <v>2946</v>
      </c>
      <c r="H946" s="338" t="s">
        <v>2947</v>
      </c>
      <c r="I946" s="338"/>
      <c r="J946" s="338"/>
      <c r="K946" s="338" t="s">
        <v>12357</v>
      </c>
      <c r="L946" s="338">
        <v>893.9681396484375</v>
      </c>
      <c r="M946" s="338" t="s">
        <v>6</v>
      </c>
      <c r="N946" s="338" t="s">
        <v>5</v>
      </c>
      <c r="O946" s="338" t="s">
        <v>5</v>
      </c>
      <c r="P946" s="338" t="s">
        <v>5</v>
      </c>
      <c r="Q946" s="338" t="s">
        <v>6</v>
      </c>
      <c r="R946" s="338" t="s">
        <v>2948</v>
      </c>
      <c r="S946" s="338" t="s">
        <v>2948</v>
      </c>
      <c r="T946" s="338" t="s">
        <v>6</v>
      </c>
      <c r="U946" s="338" t="s">
        <v>50</v>
      </c>
      <c r="V946" s="338">
        <v>900000</v>
      </c>
      <c r="W946" s="338">
        <v>0</v>
      </c>
      <c r="X946" s="338" t="s">
        <v>6</v>
      </c>
      <c r="Y946" s="338"/>
      <c r="Z946" s="338"/>
      <c r="AA946" s="338">
        <v>306.3753662109375</v>
      </c>
      <c r="AB946" s="338">
        <v>49.1329345703125</v>
      </c>
      <c r="AC946" s="338">
        <v>22.512029647827148</v>
      </c>
      <c r="AD946" s="338">
        <v>3678</v>
      </c>
      <c r="AE946" s="338">
        <v>2001</v>
      </c>
      <c r="AF946" s="338">
        <v>2638</v>
      </c>
      <c r="AG946" s="338">
        <v>5704</v>
      </c>
      <c r="AH946" s="338">
        <v>7212</v>
      </c>
      <c r="AI946" s="338">
        <v>10528</v>
      </c>
      <c r="AJ946" s="338">
        <v>25</v>
      </c>
      <c r="AK946" s="338">
        <v>13</v>
      </c>
      <c r="AL946" s="338">
        <v>136</v>
      </c>
      <c r="AM946" s="338">
        <v>13</v>
      </c>
      <c r="AN946" s="338">
        <v>743.241455078125</v>
      </c>
      <c r="AO946" s="338"/>
      <c r="AP946" s="338"/>
      <c r="AQ946" s="338"/>
      <c r="AR946" s="338">
        <v>0</v>
      </c>
      <c r="AS946" s="338">
        <v>0</v>
      </c>
      <c r="AT946" s="338">
        <v>0</v>
      </c>
      <c r="AU946" s="338">
        <v>0</v>
      </c>
      <c r="AV946" s="338">
        <v>0</v>
      </c>
      <c r="AW946" s="338">
        <v>0</v>
      </c>
      <c r="AX946" s="338">
        <v>0</v>
      </c>
      <c r="AY946" s="338">
        <v>0</v>
      </c>
      <c r="AZ946" s="338">
        <v>0</v>
      </c>
      <c r="BA946" s="338">
        <v>0</v>
      </c>
      <c r="BB946" s="338"/>
      <c r="BC946" s="338"/>
      <c r="BD946" s="338"/>
      <c r="BE946" s="338">
        <v>0</v>
      </c>
      <c r="BF946" s="338" t="s">
        <v>2516</v>
      </c>
      <c r="BG946" s="338" t="s">
        <v>5</v>
      </c>
      <c r="BH946" s="338" t="s">
        <v>1020</v>
      </c>
      <c r="BI946" s="338"/>
      <c r="BJ946" s="338" t="s">
        <v>5</v>
      </c>
      <c r="BK946" s="338"/>
      <c r="BL946" s="338">
        <v>0</v>
      </c>
      <c r="BM946" s="338"/>
      <c r="BN946" s="338" t="s">
        <v>5</v>
      </c>
      <c r="BO946" s="338" t="s">
        <v>2518</v>
      </c>
      <c r="BP946" s="338" t="s">
        <v>2518</v>
      </c>
      <c r="BQ946" s="338" t="s">
        <v>2518</v>
      </c>
      <c r="BR946" s="338"/>
      <c r="BS946" s="338" t="s">
        <v>6</v>
      </c>
      <c r="BT946" s="338" t="s">
        <v>2518</v>
      </c>
      <c r="BU946" s="338" t="s">
        <v>2518</v>
      </c>
      <c r="BV946" s="338" t="s">
        <v>2518</v>
      </c>
      <c r="BW946" s="338"/>
      <c r="BX946" s="338" t="s">
        <v>6</v>
      </c>
      <c r="BY946" s="338" t="s">
        <v>2605</v>
      </c>
      <c r="BZ946" s="338" t="s">
        <v>2518</v>
      </c>
      <c r="CA946"/>
      <c r="CB946" s="338" t="s">
        <v>5</v>
      </c>
      <c r="CC946" s="338">
        <v>275512.20260966558</v>
      </c>
      <c r="CD946" s="338">
        <v>2315366848.9534798</v>
      </c>
      <c r="CE946" s="313" t="s">
        <v>11891</v>
      </c>
    </row>
    <row r="947" spans="1:83" ht="15" x14ac:dyDescent="0.25">
      <c r="A947" s="338" t="s">
        <v>12358</v>
      </c>
      <c r="B947" s="338" t="s">
        <v>12359</v>
      </c>
      <c r="C947" s="338" t="s">
        <v>12345</v>
      </c>
      <c r="D947" s="338">
        <v>5</v>
      </c>
      <c r="E947" s="338" t="s">
        <v>2598</v>
      </c>
      <c r="F947" s="338" t="s">
        <v>2874</v>
      </c>
      <c r="G947" s="338" t="s">
        <v>2946</v>
      </c>
      <c r="H947" s="338" t="s">
        <v>2947</v>
      </c>
      <c r="I947" s="338"/>
      <c r="J947" s="338"/>
      <c r="K947" s="338" t="s">
        <v>12101</v>
      </c>
      <c r="L947" s="338">
        <v>893.9637451171875</v>
      </c>
      <c r="M947" s="338" t="s">
        <v>6</v>
      </c>
      <c r="N947" s="338" t="s">
        <v>5</v>
      </c>
      <c r="O947" s="338" t="s">
        <v>5</v>
      </c>
      <c r="P947" s="338" t="s">
        <v>5</v>
      </c>
      <c r="Q947" s="338" t="s">
        <v>6</v>
      </c>
      <c r="R947" s="338" t="s">
        <v>2948</v>
      </c>
      <c r="S947" s="338" t="s">
        <v>2948</v>
      </c>
      <c r="T947" s="338" t="s">
        <v>6</v>
      </c>
      <c r="U947" s="338" t="s">
        <v>50</v>
      </c>
      <c r="V947" s="338">
        <v>80000</v>
      </c>
      <c r="W947" s="338">
        <v>0</v>
      </c>
      <c r="X947" s="338" t="s">
        <v>6</v>
      </c>
      <c r="Y947" s="338"/>
      <c r="Z947" s="338"/>
      <c r="AA947" s="338">
        <v>306.37478637695313</v>
      </c>
      <c r="AB947" s="338">
        <v>49.132797241210938</v>
      </c>
      <c r="AC947" s="338">
        <v>22.512029647827148</v>
      </c>
      <c r="AD947" s="338">
        <v>3678</v>
      </c>
      <c r="AE947" s="338">
        <v>2001</v>
      </c>
      <c r="AF947" s="338">
        <v>2638</v>
      </c>
      <c r="AG947" s="338">
        <v>5704</v>
      </c>
      <c r="AH947" s="338">
        <v>7212</v>
      </c>
      <c r="AI947" s="338">
        <v>10528</v>
      </c>
      <c r="AJ947" s="338">
        <v>25</v>
      </c>
      <c r="AK947" s="338">
        <v>13</v>
      </c>
      <c r="AL947" s="338">
        <v>136</v>
      </c>
      <c r="AM947" s="338">
        <v>13</v>
      </c>
      <c r="AN947" s="338">
        <v>743.241455078125</v>
      </c>
      <c r="AO947" s="338"/>
      <c r="AP947" s="338"/>
      <c r="AQ947" s="338"/>
      <c r="AR947" s="338">
        <v>0</v>
      </c>
      <c r="AS947" s="338">
        <v>0</v>
      </c>
      <c r="AT947" s="338">
        <v>0</v>
      </c>
      <c r="AU947" s="338">
        <v>0</v>
      </c>
      <c r="AV947" s="338">
        <v>0</v>
      </c>
      <c r="AW947" s="338">
        <v>0</v>
      </c>
      <c r="AX947" s="338">
        <v>0</v>
      </c>
      <c r="AY947" s="338">
        <v>0</v>
      </c>
      <c r="AZ947" s="338">
        <v>0</v>
      </c>
      <c r="BA947" s="338">
        <v>0</v>
      </c>
      <c r="BB947" s="338"/>
      <c r="BC947" s="338"/>
      <c r="BD947" s="338"/>
      <c r="BE947" s="338">
        <v>0</v>
      </c>
      <c r="BF947" s="338" t="s">
        <v>2516</v>
      </c>
      <c r="BG947" s="338" t="s">
        <v>5</v>
      </c>
      <c r="BH947" s="338" t="s">
        <v>1020</v>
      </c>
      <c r="BI947" s="338"/>
      <c r="BJ947" s="338" t="s">
        <v>5</v>
      </c>
      <c r="BK947" s="338"/>
      <c r="BL947" s="338">
        <v>0</v>
      </c>
      <c r="BM947" s="338"/>
      <c r="BN947" s="338" t="s">
        <v>6</v>
      </c>
      <c r="BO947" s="338" t="s">
        <v>2518</v>
      </c>
      <c r="BP947" s="338" t="s">
        <v>2518</v>
      </c>
      <c r="BQ947" s="338" t="s">
        <v>2518</v>
      </c>
      <c r="BR947" s="338"/>
      <c r="BS947" s="338" t="s">
        <v>6</v>
      </c>
      <c r="BT947" s="338" t="s">
        <v>2518</v>
      </c>
      <c r="BU947" s="338" t="s">
        <v>2518</v>
      </c>
      <c r="BV947" s="338" t="s">
        <v>2518</v>
      </c>
      <c r="BW947" s="338"/>
      <c r="BX947" s="338" t="s">
        <v>6</v>
      </c>
      <c r="BY947" s="338" t="s">
        <v>2605</v>
      </c>
      <c r="BZ947" s="338" t="s">
        <v>2518</v>
      </c>
      <c r="CA947"/>
      <c r="CB947" s="338" t="s">
        <v>5</v>
      </c>
      <c r="CC947" s="338">
        <v>275521.36393287312</v>
      </c>
      <c r="CD947" s="338">
        <v>2315355529.1446981</v>
      </c>
      <c r="CE947" s="313" t="s">
        <v>11891</v>
      </c>
    </row>
    <row r="948" spans="1:83" ht="15" x14ac:dyDescent="0.25">
      <c r="A948" s="338" t="s">
        <v>12360</v>
      </c>
      <c r="B948" s="338" t="s">
        <v>12361</v>
      </c>
      <c r="C948" s="338" t="s">
        <v>12362</v>
      </c>
      <c r="D948" s="338">
        <v>5</v>
      </c>
      <c r="E948" s="338" t="s">
        <v>2598</v>
      </c>
      <c r="F948" s="338" t="s">
        <v>2559</v>
      </c>
      <c r="G948" s="338" t="s">
        <v>2806</v>
      </c>
      <c r="H948" s="338" t="s">
        <v>2622</v>
      </c>
      <c r="I948" s="338" t="s">
        <v>2807</v>
      </c>
      <c r="J948" s="338" t="s">
        <v>2623</v>
      </c>
      <c r="K948" s="338" t="s">
        <v>2620</v>
      </c>
      <c r="L948" s="338">
        <v>155.72517395019531</v>
      </c>
      <c r="M948" s="338" t="s">
        <v>6</v>
      </c>
      <c r="N948" s="338" t="s">
        <v>6</v>
      </c>
      <c r="O948" s="338" t="s">
        <v>5</v>
      </c>
      <c r="P948" s="338" t="s">
        <v>5</v>
      </c>
      <c r="Q948" s="338" t="s">
        <v>6</v>
      </c>
      <c r="R948" s="338" t="s">
        <v>2567</v>
      </c>
      <c r="S948" s="338" t="s">
        <v>2567</v>
      </c>
      <c r="T948" s="338" t="s">
        <v>6</v>
      </c>
      <c r="U948" s="338" t="s">
        <v>50</v>
      </c>
      <c r="V948" s="338">
        <v>40000</v>
      </c>
      <c r="W948" s="338">
        <v>0</v>
      </c>
      <c r="X948" s="338" t="s">
        <v>6</v>
      </c>
      <c r="Y948" s="338"/>
      <c r="Z948" s="338"/>
      <c r="AA948" s="338">
        <v>102.59104919433589</v>
      </c>
      <c r="AB948" s="338">
        <v>18.99287033081055</v>
      </c>
      <c r="AC948" s="338">
        <v>1.4080532789230349</v>
      </c>
      <c r="AD948" s="338">
        <v>5007</v>
      </c>
      <c r="AE948" s="338">
        <v>5820</v>
      </c>
      <c r="AF948" s="338">
        <v>4273</v>
      </c>
      <c r="AG948" s="338">
        <v>5971</v>
      </c>
      <c r="AH948" s="338">
        <v>8737</v>
      </c>
      <c r="AI948" s="338">
        <v>11929</v>
      </c>
      <c r="AJ948" s="338">
        <v>36</v>
      </c>
      <c r="AK948" s="338">
        <v>20</v>
      </c>
      <c r="AL948" s="338">
        <v>136</v>
      </c>
      <c r="AM948" s="338">
        <v>20</v>
      </c>
      <c r="AN948" s="338">
        <v>346.02401733398438</v>
      </c>
      <c r="AO948" s="338"/>
      <c r="AP948" s="338"/>
      <c r="AQ948" s="338"/>
      <c r="AR948" s="338">
        <v>0</v>
      </c>
      <c r="AS948" s="338">
        <v>0</v>
      </c>
      <c r="AT948" s="338">
        <v>0</v>
      </c>
      <c r="AU948" s="338">
        <v>0</v>
      </c>
      <c r="AV948" s="338">
        <v>0</v>
      </c>
      <c r="AW948" s="338">
        <v>0</v>
      </c>
      <c r="AX948" s="338">
        <v>0</v>
      </c>
      <c r="AY948" s="338">
        <v>0</v>
      </c>
      <c r="AZ948" s="338">
        <v>0</v>
      </c>
      <c r="BA948" s="338">
        <v>0</v>
      </c>
      <c r="BB948" s="338"/>
      <c r="BC948" s="338"/>
      <c r="BD948" s="338"/>
      <c r="BE948" s="338">
        <v>0</v>
      </c>
      <c r="BF948" s="338" t="s">
        <v>2516</v>
      </c>
      <c r="BG948" s="338" t="s">
        <v>5</v>
      </c>
      <c r="BH948" s="338" t="s">
        <v>1020</v>
      </c>
      <c r="BI948" s="338"/>
      <c r="BJ948" s="338" t="s">
        <v>5</v>
      </c>
      <c r="BK948" s="338"/>
      <c r="BL948" s="338">
        <v>0</v>
      </c>
      <c r="BM948" s="338"/>
      <c r="BN948" s="338" t="s">
        <v>6</v>
      </c>
      <c r="BO948" s="338" t="s">
        <v>2518</v>
      </c>
      <c r="BP948" s="338" t="s">
        <v>2518</v>
      </c>
      <c r="BQ948" s="338" t="s">
        <v>2518</v>
      </c>
      <c r="BR948" s="338"/>
      <c r="BS948" s="338" t="s">
        <v>6</v>
      </c>
      <c r="BT948" s="338" t="s">
        <v>2518</v>
      </c>
      <c r="BU948" s="338" t="s">
        <v>2518</v>
      </c>
      <c r="BV948" s="338" t="s">
        <v>2518</v>
      </c>
      <c r="BW948" s="338"/>
      <c r="BX948" s="338" t="s">
        <v>6</v>
      </c>
      <c r="BY948" s="338" t="s">
        <v>2605</v>
      </c>
      <c r="BZ948" s="338" t="s">
        <v>2518</v>
      </c>
      <c r="CA948"/>
      <c r="CB948" s="338" t="s">
        <v>5</v>
      </c>
      <c r="CC948" s="338">
        <v>157923.02438758191</v>
      </c>
      <c r="CD948" s="338">
        <v>403326337.59955341</v>
      </c>
      <c r="CE948" s="313" t="s">
        <v>11891</v>
      </c>
    </row>
    <row r="949" spans="1:83" ht="15" x14ac:dyDescent="0.25">
      <c r="A949" s="338" t="s">
        <v>12580</v>
      </c>
      <c r="B949" s="338" t="s">
        <v>12581</v>
      </c>
      <c r="C949" s="338" t="s">
        <v>12582</v>
      </c>
      <c r="D949" s="338">
        <v>14</v>
      </c>
      <c r="E949" s="338" t="s">
        <v>12583</v>
      </c>
      <c r="F949" s="338" t="s">
        <v>12584</v>
      </c>
      <c r="G949" s="338" t="s">
        <v>12585</v>
      </c>
      <c r="H949" s="338" t="s">
        <v>1585</v>
      </c>
      <c r="I949" s="338" t="s">
        <v>12586</v>
      </c>
      <c r="J949" s="338" t="s">
        <v>1585</v>
      </c>
      <c r="K949" s="338" t="s">
        <v>12587</v>
      </c>
      <c r="L949" s="338">
        <v>6.2577001750469208E-2</v>
      </c>
      <c r="M949" s="338" t="s">
        <v>5</v>
      </c>
      <c r="N949" s="338" t="s">
        <v>5</v>
      </c>
      <c r="O949" s="338" t="s">
        <v>6</v>
      </c>
      <c r="P949" s="338" t="s">
        <v>5</v>
      </c>
      <c r="Q949" s="338" t="s">
        <v>5</v>
      </c>
      <c r="R949" s="338" t="s">
        <v>12588</v>
      </c>
      <c r="S949" s="338" t="s">
        <v>12589</v>
      </c>
      <c r="T949" s="338" t="s">
        <v>5</v>
      </c>
      <c r="U949" s="338" t="s">
        <v>85</v>
      </c>
      <c r="V949" s="338">
        <v>1282000</v>
      </c>
      <c r="W949" s="338">
        <v>0</v>
      </c>
      <c r="X949" s="338" t="s">
        <v>5</v>
      </c>
      <c r="Y949" s="338" t="s">
        <v>12590</v>
      </c>
      <c r="Z949" s="338">
        <v>0</v>
      </c>
      <c r="AA949" s="338">
        <v>5.9999998658895493E-2</v>
      </c>
      <c r="AB949" s="338">
        <v>0.10000000149011611</v>
      </c>
      <c r="AC949" s="338">
        <v>0</v>
      </c>
      <c r="AD949" s="338">
        <v>13</v>
      </c>
      <c r="AE949" s="338">
        <v>17</v>
      </c>
      <c r="AF949" s="338">
        <v>5</v>
      </c>
      <c r="AG949" s="338">
        <v>25</v>
      </c>
      <c r="AH949" s="338">
        <v>42</v>
      </c>
      <c r="AI949" s="338">
        <v>42</v>
      </c>
      <c r="AJ949" s="338">
        <v>0</v>
      </c>
      <c r="AK949" s="338">
        <v>0</v>
      </c>
      <c r="AL949" s="338">
        <v>0</v>
      </c>
      <c r="AM949" s="338">
        <v>5</v>
      </c>
      <c r="AN949" s="338">
        <v>0</v>
      </c>
      <c r="AO949" s="338">
        <v>0</v>
      </c>
      <c r="AP949" s="338">
        <v>0</v>
      </c>
      <c r="AQ949" s="338">
        <v>0</v>
      </c>
      <c r="AR949" s="338">
        <v>0</v>
      </c>
      <c r="AS949" s="338">
        <v>0</v>
      </c>
      <c r="AT949" s="338">
        <v>0</v>
      </c>
      <c r="AU949" s="338">
        <v>0</v>
      </c>
      <c r="AV949" s="338">
        <v>0</v>
      </c>
      <c r="AW949" s="338">
        <v>0</v>
      </c>
      <c r="AX949" s="338">
        <v>0</v>
      </c>
      <c r="AY949" s="338">
        <v>0</v>
      </c>
      <c r="AZ949" s="338">
        <v>0</v>
      </c>
      <c r="BA949" s="338">
        <v>0</v>
      </c>
      <c r="BB949" s="338">
        <v>0</v>
      </c>
      <c r="BC949" s="338">
        <v>0</v>
      </c>
      <c r="BD949" s="338">
        <v>0</v>
      </c>
      <c r="BE949" s="338">
        <v>0</v>
      </c>
      <c r="BF949" s="338" t="s">
        <v>6</v>
      </c>
      <c r="BG949" s="338" t="s">
        <v>5</v>
      </c>
      <c r="BH949" s="338" t="s">
        <v>12591</v>
      </c>
      <c r="BI949" s="338" t="s">
        <v>1585</v>
      </c>
      <c r="BJ949" s="338" t="s">
        <v>6</v>
      </c>
      <c r="BK949" s="338" t="s">
        <v>12592</v>
      </c>
      <c r="BL949" s="338">
        <v>100</v>
      </c>
      <c r="BM949" s="338">
        <v>0</v>
      </c>
      <c r="BN949" s="338" t="s">
        <v>5</v>
      </c>
      <c r="BO949" s="338" t="s">
        <v>1585</v>
      </c>
      <c r="BP949" s="338" t="s">
        <v>1585</v>
      </c>
      <c r="BQ949" s="338" t="s">
        <v>1585</v>
      </c>
      <c r="BR949" s="338" t="s">
        <v>1585</v>
      </c>
      <c r="BS949" s="338" t="s">
        <v>6</v>
      </c>
      <c r="BT949" s="338" t="s">
        <v>1585</v>
      </c>
      <c r="BU949" s="338" t="s">
        <v>1585</v>
      </c>
      <c r="BV949" s="338" t="s">
        <v>1585</v>
      </c>
      <c r="BW949" s="338" t="s">
        <v>1585</v>
      </c>
      <c r="BX949" s="338" t="s">
        <v>6</v>
      </c>
      <c r="BY949" s="338" t="s">
        <v>12593</v>
      </c>
      <c r="BZ949" s="338"/>
      <c r="CA949"/>
      <c r="CB949" s="338" t="s">
        <v>6</v>
      </c>
      <c r="CC949" s="338">
        <v>2068.0225372968639</v>
      </c>
      <c r="CD949" s="338">
        <v>256325.2951909081</v>
      </c>
      <c r="CE949" s="313" t="s">
        <v>11891</v>
      </c>
    </row>
    <row r="950" spans="1:83" ht="15" x14ac:dyDescent="0.25">
      <c r="A950" s="338" t="s">
        <v>12594</v>
      </c>
      <c r="B950" s="338" t="s">
        <v>12595</v>
      </c>
      <c r="C950" s="338" t="s">
        <v>12596</v>
      </c>
      <c r="D950" s="338">
        <v>14</v>
      </c>
      <c r="E950" s="338" t="s">
        <v>12583</v>
      </c>
      <c r="F950" s="338" t="s">
        <v>12597</v>
      </c>
      <c r="G950" s="338" t="s">
        <v>12598</v>
      </c>
      <c r="H950" s="338" t="s">
        <v>1585</v>
      </c>
      <c r="I950" s="338" t="s">
        <v>12599</v>
      </c>
      <c r="J950" s="338" t="s">
        <v>1585</v>
      </c>
      <c r="K950" s="338" t="s">
        <v>12600</v>
      </c>
      <c r="L950" s="338">
        <v>91.187797546386719</v>
      </c>
      <c r="M950" s="338" t="s">
        <v>6</v>
      </c>
      <c r="N950" s="338" t="s">
        <v>5</v>
      </c>
      <c r="O950" s="338" t="s">
        <v>5</v>
      </c>
      <c r="P950" s="338" t="s">
        <v>5</v>
      </c>
      <c r="Q950" s="338" t="s">
        <v>5</v>
      </c>
      <c r="R950" s="338" t="s">
        <v>12601</v>
      </c>
      <c r="S950" s="338" t="s">
        <v>12602</v>
      </c>
      <c r="T950" s="338" t="s">
        <v>5</v>
      </c>
      <c r="U950" s="338" t="s">
        <v>50</v>
      </c>
      <c r="V950" s="338">
        <v>482000</v>
      </c>
      <c r="W950" s="338">
        <v>0</v>
      </c>
      <c r="X950" s="338" t="s">
        <v>6</v>
      </c>
      <c r="Y950" s="338" t="s">
        <v>12603</v>
      </c>
      <c r="Z950" s="338">
        <v>24100</v>
      </c>
      <c r="AA950" s="338">
        <v>54.299999237060547</v>
      </c>
      <c r="AB950" s="338">
        <v>65.699996948242188</v>
      </c>
      <c r="AC950" s="338">
        <v>260.3900146484375</v>
      </c>
      <c r="AD950" s="338">
        <v>11251</v>
      </c>
      <c r="AE950" s="338">
        <v>11575</v>
      </c>
      <c r="AF950" s="338">
        <v>9905</v>
      </c>
      <c r="AG950" s="338">
        <v>12254</v>
      </c>
      <c r="AH950" s="338">
        <v>30450</v>
      </c>
      <c r="AI950" s="338">
        <v>30450</v>
      </c>
      <c r="AJ950" s="338">
        <v>35</v>
      </c>
      <c r="AK950" s="338">
        <v>34</v>
      </c>
      <c r="AL950" s="338">
        <v>196</v>
      </c>
      <c r="AM950" s="338">
        <v>334</v>
      </c>
      <c r="AN950" s="338">
        <v>23451.400390625</v>
      </c>
      <c r="AO950" s="338">
        <v>0</v>
      </c>
      <c r="AP950" s="338">
        <v>0</v>
      </c>
      <c r="AQ950" s="338">
        <v>0</v>
      </c>
      <c r="AR950" s="338">
        <v>11036</v>
      </c>
      <c r="AS950" s="338">
        <v>10275</v>
      </c>
      <c r="AT950" s="338">
        <v>0</v>
      </c>
      <c r="AU950" s="338">
        <v>9160</v>
      </c>
      <c r="AV950" s="338">
        <v>28148</v>
      </c>
      <c r="AW950" s="338">
        <v>30</v>
      </c>
      <c r="AX950" s="338">
        <v>32</v>
      </c>
      <c r="AY950" s="338">
        <v>168</v>
      </c>
      <c r="AZ950" s="338">
        <v>188</v>
      </c>
      <c r="BA950" s="338">
        <v>17834</v>
      </c>
      <c r="BB950" s="338">
        <v>0</v>
      </c>
      <c r="BC950" s="338">
        <v>0</v>
      </c>
      <c r="BD950" s="338">
        <v>0</v>
      </c>
      <c r="BE950" s="338">
        <v>49.370098114013672</v>
      </c>
      <c r="BF950" s="338" t="s">
        <v>6</v>
      </c>
      <c r="BG950" s="338" t="s">
        <v>5</v>
      </c>
      <c r="BH950" s="338" t="s">
        <v>12591</v>
      </c>
      <c r="BI950" s="338" t="s">
        <v>1585</v>
      </c>
      <c r="BJ950" s="338" t="s">
        <v>5</v>
      </c>
      <c r="BK950" s="338" t="s">
        <v>1585</v>
      </c>
      <c r="BL950" s="338">
        <v>0</v>
      </c>
      <c r="BM950" s="338">
        <v>0</v>
      </c>
      <c r="BN950" s="338" t="s">
        <v>5</v>
      </c>
      <c r="BO950" s="338" t="s">
        <v>1585</v>
      </c>
      <c r="BP950" s="338" t="s">
        <v>1585</v>
      </c>
      <c r="BQ950" s="338" t="s">
        <v>1585</v>
      </c>
      <c r="BR950" s="338" t="s">
        <v>1585</v>
      </c>
      <c r="BS950" s="338" t="s">
        <v>6</v>
      </c>
      <c r="BT950" s="338" t="s">
        <v>1585</v>
      </c>
      <c r="BU950" s="338" t="s">
        <v>1585</v>
      </c>
      <c r="BV950" s="338" t="s">
        <v>1585</v>
      </c>
      <c r="BW950" s="338" t="s">
        <v>1585</v>
      </c>
      <c r="BX950" s="338" t="s">
        <v>6</v>
      </c>
      <c r="BY950" s="338" t="s">
        <v>12593</v>
      </c>
      <c r="BZ950" s="338"/>
      <c r="CA950"/>
      <c r="CB950" s="338" t="s">
        <v>5</v>
      </c>
      <c r="CC950" s="338">
        <v>267882.62258554378</v>
      </c>
      <c r="CD950" s="338">
        <v>264291393.77190781</v>
      </c>
      <c r="CE950" s="313" t="s">
        <v>11891</v>
      </c>
    </row>
    <row r="951" spans="1:83" ht="15" x14ac:dyDescent="0.25">
      <c r="A951" s="338" t="s">
        <v>12604</v>
      </c>
      <c r="B951" s="338" t="s">
        <v>12605</v>
      </c>
      <c r="C951" s="338" t="s">
        <v>12606</v>
      </c>
      <c r="D951" s="338">
        <v>14</v>
      </c>
      <c r="E951" s="338" t="s">
        <v>12583</v>
      </c>
      <c r="F951" s="338" t="s">
        <v>12597</v>
      </c>
      <c r="G951" s="338" t="s">
        <v>12607</v>
      </c>
      <c r="H951" s="338" t="s">
        <v>1585</v>
      </c>
      <c r="I951" s="338" t="s">
        <v>12608</v>
      </c>
      <c r="J951" s="338" t="s">
        <v>1585</v>
      </c>
      <c r="K951" s="338" t="s">
        <v>12609</v>
      </c>
      <c r="L951" s="338">
        <v>0.6719440221786499</v>
      </c>
      <c r="M951" s="338" t="s">
        <v>5</v>
      </c>
      <c r="N951" s="338" t="s">
        <v>5</v>
      </c>
      <c r="O951" s="338" t="s">
        <v>6</v>
      </c>
      <c r="P951" s="338" t="s">
        <v>5</v>
      </c>
      <c r="Q951" s="338" t="s">
        <v>5</v>
      </c>
      <c r="R951" s="338" t="s">
        <v>12610</v>
      </c>
      <c r="S951" s="338" t="s">
        <v>12611</v>
      </c>
      <c r="T951" s="338" t="s">
        <v>5</v>
      </c>
      <c r="U951" s="338" t="s">
        <v>85</v>
      </c>
      <c r="V951" s="338">
        <v>49000</v>
      </c>
      <c r="W951" s="338">
        <v>0</v>
      </c>
      <c r="X951" s="338" t="s">
        <v>6</v>
      </c>
      <c r="Y951" s="338" t="s">
        <v>12603</v>
      </c>
      <c r="Z951" s="338">
        <v>2450</v>
      </c>
      <c r="AA951" s="338">
        <v>1</v>
      </c>
      <c r="AB951" s="338">
        <v>1.1000000238418579</v>
      </c>
      <c r="AC951" s="338">
        <v>3.0000000260770321E-3</v>
      </c>
      <c r="AD951" s="338">
        <v>119</v>
      </c>
      <c r="AE951" s="338">
        <v>1828</v>
      </c>
      <c r="AF951" s="338">
        <v>104</v>
      </c>
      <c r="AG951" s="338">
        <v>189</v>
      </c>
      <c r="AH951" s="338">
        <v>443</v>
      </c>
      <c r="AI951" s="338">
        <v>443</v>
      </c>
      <c r="AJ951" s="338">
        <v>3</v>
      </c>
      <c r="AK951" s="338">
        <v>5</v>
      </c>
      <c r="AL951" s="338">
        <v>30</v>
      </c>
      <c r="AM951" s="338">
        <v>87</v>
      </c>
      <c r="AN951" s="338">
        <v>0</v>
      </c>
      <c r="AO951" s="338">
        <v>0</v>
      </c>
      <c r="AP951" s="338">
        <v>0</v>
      </c>
      <c r="AQ951" s="338">
        <v>0</v>
      </c>
      <c r="AR951" s="338">
        <v>118</v>
      </c>
      <c r="AS951" s="338">
        <v>5</v>
      </c>
      <c r="AT951" s="338">
        <v>0</v>
      </c>
      <c r="AU951" s="338">
        <v>4</v>
      </c>
      <c r="AV951" s="338">
        <v>15</v>
      </c>
      <c r="AW951" s="338">
        <v>0</v>
      </c>
      <c r="AX951" s="338">
        <v>0</v>
      </c>
      <c r="AY951" s="338">
        <v>1</v>
      </c>
      <c r="AZ951" s="338">
        <v>0</v>
      </c>
      <c r="BA951" s="338">
        <v>0</v>
      </c>
      <c r="BB951" s="338">
        <v>0</v>
      </c>
      <c r="BC951" s="338">
        <v>0</v>
      </c>
      <c r="BD951" s="338">
        <v>0</v>
      </c>
      <c r="BE951" s="338">
        <v>415.25399780273438</v>
      </c>
      <c r="BF951" s="338" t="s">
        <v>6</v>
      </c>
      <c r="BG951" s="338" t="s">
        <v>5</v>
      </c>
      <c r="BH951" s="338" t="s">
        <v>12612</v>
      </c>
      <c r="BI951" s="338" t="s">
        <v>1585</v>
      </c>
      <c r="BJ951" s="338" t="s">
        <v>5</v>
      </c>
      <c r="BK951" s="338" t="s">
        <v>1585</v>
      </c>
      <c r="BL951" s="338">
        <v>0</v>
      </c>
      <c r="BM951" s="338">
        <v>0</v>
      </c>
      <c r="BN951" s="338" t="s">
        <v>5</v>
      </c>
      <c r="BO951" s="338" t="s">
        <v>1585</v>
      </c>
      <c r="BP951" s="338" t="s">
        <v>1585</v>
      </c>
      <c r="BQ951" s="338" t="s">
        <v>1585</v>
      </c>
      <c r="BR951" s="338" t="s">
        <v>1585</v>
      </c>
      <c r="BS951" s="338" t="s">
        <v>6</v>
      </c>
      <c r="BT951" s="338" t="s">
        <v>1585</v>
      </c>
      <c r="BU951" s="338" t="s">
        <v>1585</v>
      </c>
      <c r="BV951" s="338" t="s">
        <v>1585</v>
      </c>
      <c r="BW951" s="338" t="s">
        <v>1585</v>
      </c>
      <c r="BX951" s="338" t="s">
        <v>6</v>
      </c>
      <c r="BY951" s="338" t="s">
        <v>12593</v>
      </c>
      <c r="BZ951" s="338"/>
      <c r="CA951"/>
      <c r="CB951" s="338" t="s">
        <v>5</v>
      </c>
      <c r="CC951" s="338">
        <v>9516.4570624878434</v>
      </c>
      <c r="CD951" s="338">
        <v>1740327.68107897</v>
      </c>
      <c r="CE951" s="313" t="s">
        <v>11891</v>
      </c>
    </row>
    <row r="952" spans="1:83" ht="15" x14ac:dyDescent="0.25">
      <c r="A952" s="338" t="s">
        <v>12613</v>
      </c>
      <c r="B952" s="338" t="s">
        <v>12614</v>
      </c>
      <c r="C952" s="338" t="s">
        <v>12615</v>
      </c>
      <c r="D952" s="338">
        <v>14</v>
      </c>
      <c r="E952" s="338" t="s">
        <v>12583</v>
      </c>
      <c r="F952" s="338" t="s">
        <v>12616</v>
      </c>
      <c r="G952" s="338" t="s">
        <v>12617</v>
      </c>
      <c r="H952" s="338" t="s">
        <v>1585</v>
      </c>
      <c r="I952" s="338" t="s">
        <v>12618</v>
      </c>
      <c r="J952" s="338" t="s">
        <v>1585</v>
      </c>
      <c r="K952" s="338" t="s">
        <v>12619</v>
      </c>
      <c r="L952" s="338">
        <v>2.7499101161956792</v>
      </c>
      <c r="M952" s="338" t="s">
        <v>6</v>
      </c>
      <c r="N952" s="338" t="s">
        <v>5</v>
      </c>
      <c r="O952" s="338" t="s">
        <v>5</v>
      </c>
      <c r="P952" s="338" t="s">
        <v>5</v>
      </c>
      <c r="Q952" s="338" t="s">
        <v>5</v>
      </c>
      <c r="R952" s="338" t="s">
        <v>12620</v>
      </c>
      <c r="S952" s="338" t="s">
        <v>12621</v>
      </c>
      <c r="T952" s="338" t="s">
        <v>5</v>
      </c>
      <c r="U952" s="338" t="s">
        <v>50</v>
      </c>
      <c r="V952" s="338">
        <v>79000</v>
      </c>
      <c r="W952" s="338">
        <v>0</v>
      </c>
      <c r="X952" s="338" t="s">
        <v>6</v>
      </c>
      <c r="Y952" s="338" t="s">
        <v>12603</v>
      </c>
      <c r="Z952" s="338">
        <v>15800</v>
      </c>
      <c r="AA952" s="338">
        <v>1.6000000238418579</v>
      </c>
      <c r="AB952" s="338">
        <v>1.700000047683716</v>
      </c>
      <c r="AC952" s="338">
        <v>3.3900001049041748</v>
      </c>
      <c r="AD952" s="338">
        <v>712</v>
      </c>
      <c r="AE952" s="338">
        <v>716</v>
      </c>
      <c r="AF952" s="338">
        <v>479</v>
      </c>
      <c r="AG952" s="338">
        <v>599</v>
      </c>
      <c r="AH952" s="338">
        <v>1472</v>
      </c>
      <c r="AI952" s="338">
        <v>1472</v>
      </c>
      <c r="AJ952" s="338">
        <v>0</v>
      </c>
      <c r="AK952" s="338">
        <v>0</v>
      </c>
      <c r="AL952" s="338">
        <v>14</v>
      </c>
      <c r="AM952" s="338">
        <v>22</v>
      </c>
      <c r="AN952" s="338">
        <v>34.439998626708977</v>
      </c>
      <c r="AO952" s="338">
        <v>0</v>
      </c>
      <c r="AP952" s="338">
        <v>0</v>
      </c>
      <c r="AQ952" s="338">
        <v>0</v>
      </c>
      <c r="AR952" s="338">
        <v>681</v>
      </c>
      <c r="AS952" s="338">
        <v>681</v>
      </c>
      <c r="AT952" s="338">
        <v>0</v>
      </c>
      <c r="AU952" s="338">
        <v>462</v>
      </c>
      <c r="AV952" s="338">
        <v>1401</v>
      </c>
      <c r="AW952" s="338">
        <v>0</v>
      </c>
      <c r="AX952" s="338">
        <v>0</v>
      </c>
      <c r="AY952" s="338">
        <v>13</v>
      </c>
      <c r="AZ952" s="338">
        <v>11</v>
      </c>
      <c r="BA952" s="338">
        <v>30.170000076293949</v>
      </c>
      <c r="BB952" s="338">
        <v>0</v>
      </c>
      <c r="BC952" s="338">
        <v>0</v>
      </c>
      <c r="BD952" s="338">
        <v>0</v>
      </c>
      <c r="BE952" s="338">
        <v>116.00599670410161</v>
      </c>
      <c r="BF952" s="338" t="s">
        <v>6</v>
      </c>
      <c r="BG952" s="338" t="s">
        <v>5</v>
      </c>
      <c r="BH952" s="338" t="s">
        <v>12591</v>
      </c>
      <c r="BI952" s="338" t="s">
        <v>1585</v>
      </c>
      <c r="BJ952" s="338" t="s">
        <v>5</v>
      </c>
      <c r="BK952" s="338" t="s">
        <v>1585</v>
      </c>
      <c r="BL952" s="338">
        <v>0</v>
      </c>
      <c r="BM952" s="338">
        <v>0</v>
      </c>
      <c r="BN952" s="338" t="s">
        <v>6</v>
      </c>
      <c r="BO952" s="338" t="s">
        <v>12622</v>
      </c>
      <c r="BP952" s="338" t="s">
        <v>1585</v>
      </c>
      <c r="BQ952" s="338" t="s">
        <v>1585</v>
      </c>
      <c r="BR952" s="338" t="s">
        <v>1585</v>
      </c>
      <c r="BS952" s="338" t="s">
        <v>6</v>
      </c>
      <c r="BT952" s="338" t="s">
        <v>1585</v>
      </c>
      <c r="BU952" s="338" t="s">
        <v>1585</v>
      </c>
      <c r="BV952" s="338" t="s">
        <v>1585</v>
      </c>
      <c r="BW952" s="338" t="s">
        <v>1585</v>
      </c>
      <c r="BX952" s="338" t="s">
        <v>6</v>
      </c>
      <c r="BY952" s="338" t="s">
        <v>12593</v>
      </c>
      <c r="BZ952" s="338"/>
      <c r="CA952"/>
      <c r="CB952" s="338" t="s">
        <v>5</v>
      </c>
      <c r="CC952" s="338">
        <v>13012.458157060681</v>
      </c>
      <c r="CD952" s="338">
        <v>5742598.6912229639</v>
      </c>
      <c r="CE952" s="313" t="s">
        <v>11891</v>
      </c>
    </row>
    <row r="953" spans="1:83" ht="15" x14ac:dyDescent="0.25">
      <c r="A953" s="338" t="s">
        <v>12623</v>
      </c>
      <c r="B953" s="338" t="s">
        <v>12624</v>
      </c>
      <c r="C953" s="338" t="s">
        <v>12625</v>
      </c>
      <c r="D953" s="338">
        <v>14</v>
      </c>
      <c r="E953" s="338" t="s">
        <v>12583</v>
      </c>
      <c r="F953" s="338" t="s">
        <v>12626</v>
      </c>
      <c r="G953" s="338"/>
      <c r="H953" s="338" t="s">
        <v>1585</v>
      </c>
      <c r="I953" s="338" t="s">
        <v>1585</v>
      </c>
      <c r="J953" s="338" t="s">
        <v>1585</v>
      </c>
      <c r="K953" s="338" t="s">
        <v>12627</v>
      </c>
      <c r="L953" s="338">
        <v>16144.5</v>
      </c>
      <c r="M953" s="338" t="s">
        <v>6</v>
      </c>
      <c r="N953" s="338" t="s">
        <v>5</v>
      </c>
      <c r="O953" s="338" t="s">
        <v>6</v>
      </c>
      <c r="P953" s="338" t="s">
        <v>5</v>
      </c>
      <c r="Q953" s="338" t="s">
        <v>5</v>
      </c>
      <c r="R953" s="338" t="s">
        <v>12628</v>
      </c>
      <c r="S953" s="338" t="s">
        <v>12629</v>
      </c>
      <c r="T953" s="338" t="s">
        <v>5</v>
      </c>
      <c r="U953" s="338" t="s">
        <v>50</v>
      </c>
      <c r="V953" s="338">
        <v>44000</v>
      </c>
      <c r="W953" s="338">
        <v>0</v>
      </c>
      <c r="X953" s="338" t="s">
        <v>5</v>
      </c>
      <c r="Y953" s="338" t="s">
        <v>12603</v>
      </c>
      <c r="Z953" s="338">
        <v>0</v>
      </c>
      <c r="AA953" s="338">
        <v>3900</v>
      </c>
      <c r="AB953" s="338">
        <v>4843</v>
      </c>
      <c r="AC953" s="338">
        <v>271.29998779296881</v>
      </c>
      <c r="AD953" s="338">
        <v>8498</v>
      </c>
      <c r="AE953" s="338">
        <v>11532</v>
      </c>
      <c r="AF953" s="338">
        <v>3843</v>
      </c>
      <c r="AG953" s="338">
        <v>13230</v>
      </c>
      <c r="AH953" s="338">
        <v>16881</v>
      </c>
      <c r="AI953" s="338">
        <v>22565</v>
      </c>
      <c r="AJ953" s="338">
        <v>22</v>
      </c>
      <c r="AK953" s="338">
        <v>523</v>
      </c>
      <c r="AL953" s="338">
        <v>1243</v>
      </c>
      <c r="AM953" s="338">
        <v>1188</v>
      </c>
      <c r="AN953" s="338">
        <v>28217.19921875</v>
      </c>
      <c r="AO953" s="338">
        <v>0</v>
      </c>
      <c r="AP953" s="338">
        <v>0</v>
      </c>
      <c r="AQ953" s="338">
        <v>0</v>
      </c>
      <c r="AR953" s="338">
        <v>0</v>
      </c>
      <c r="AS953" s="338">
        <v>0</v>
      </c>
      <c r="AT953" s="338">
        <v>0</v>
      </c>
      <c r="AU953" s="338">
        <v>0</v>
      </c>
      <c r="AV953" s="338">
        <v>0</v>
      </c>
      <c r="AW953" s="338">
        <v>0</v>
      </c>
      <c r="AX953" s="338">
        <v>0</v>
      </c>
      <c r="AY953" s="338">
        <v>0</v>
      </c>
      <c r="AZ953" s="338">
        <v>0</v>
      </c>
      <c r="BA953" s="338">
        <v>0</v>
      </c>
      <c r="BB953" s="338">
        <v>0</v>
      </c>
      <c r="BC953" s="338">
        <v>0</v>
      </c>
      <c r="BD953" s="338">
        <v>0</v>
      </c>
      <c r="BE953" s="338">
        <v>0</v>
      </c>
      <c r="BF953" s="338" t="s">
        <v>6</v>
      </c>
      <c r="BG953" s="338" t="s">
        <v>5</v>
      </c>
      <c r="BH953" s="338" t="s">
        <v>12591</v>
      </c>
      <c r="BI953" s="338" t="s">
        <v>1585</v>
      </c>
      <c r="BJ953" s="338" t="s">
        <v>5</v>
      </c>
      <c r="BK953" s="338" t="s">
        <v>1585</v>
      </c>
      <c r="BL953" s="338">
        <v>0</v>
      </c>
      <c r="BM953" s="338">
        <v>0</v>
      </c>
      <c r="BN953" s="338" t="s">
        <v>5</v>
      </c>
      <c r="BO953" s="338" t="s">
        <v>1585</v>
      </c>
      <c r="BP953" s="338" t="s">
        <v>1585</v>
      </c>
      <c r="BQ953" s="338" t="s">
        <v>1585</v>
      </c>
      <c r="BR953" s="338" t="s">
        <v>1585</v>
      </c>
      <c r="BS953" s="338" t="s">
        <v>6</v>
      </c>
      <c r="BT953" s="338" t="s">
        <v>1585</v>
      </c>
      <c r="BU953" s="338" t="s">
        <v>1585</v>
      </c>
      <c r="BV953" s="338" t="s">
        <v>1585</v>
      </c>
      <c r="BW953" s="338" t="s">
        <v>1585</v>
      </c>
      <c r="BX953" s="338" t="s">
        <v>6</v>
      </c>
      <c r="BY953" s="338" t="s">
        <v>12593</v>
      </c>
      <c r="BZ953" s="338"/>
      <c r="CA953"/>
      <c r="CB953" s="338" t="s">
        <v>5</v>
      </c>
      <c r="CC953" s="338">
        <v>2748344.6641677921</v>
      </c>
      <c r="CD953" s="338">
        <v>52355092168.115829</v>
      </c>
      <c r="CE953" s="313" t="s">
        <v>11891</v>
      </c>
    </row>
    <row r="954" spans="1:83" ht="15" x14ac:dyDescent="0.25">
      <c r="A954" s="338" t="s">
        <v>12630</v>
      </c>
      <c r="B954" s="338" t="s">
        <v>12631</v>
      </c>
      <c r="C954" s="338" t="s">
        <v>12632</v>
      </c>
      <c r="D954" s="338">
        <v>14</v>
      </c>
      <c r="E954" s="338" t="s">
        <v>12583</v>
      </c>
      <c r="F954" s="338" t="s">
        <v>12633</v>
      </c>
      <c r="G954" s="338" t="s">
        <v>12634</v>
      </c>
      <c r="H954" s="338" t="s">
        <v>1585</v>
      </c>
      <c r="I954" s="338" t="s">
        <v>1585</v>
      </c>
      <c r="J954" s="338" t="s">
        <v>1585</v>
      </c>
      <c r="K954" s="338" t="s">
        <v>12635</v>
      </c>
      <c r="L954" s="338">
        <v>124.3330001831055</v>
      </c>
      <c r="M954" s="338" t="s">
        <v>6</v>
      </c>
      <c r="N954" s="338" t="s">
        <v>5</v>
      </c>
      <c r="O954" s="338" t="s">
        <v>5</v>
      </c>
      <c r="P954" s="338" t="s">
        <v>5</v>
      </c>
      <c r="Q954" s="338" t="s">
        <v>5</v>
      </c>
      <c r="R954" s="338" t="s">
        <v>12636</v>
      </c>
      <c r="S954" s="338" t="s">
        <v>12637</v>
      </c>
      <c r="T954" s="338" t="s">
        <v>5</v>
      </c>
      <c r="U954" s="338" t="s">
        <v>4</v>
      </c>
      <c r="V954" s="338">
        <v>73000</v>
      </c>
      <c r="W954" s="338">
        <v>0</v>
      </c>
      <c r="X954" s="338" t="s">
        <v>5</v>
      </c>
      <c r="Y954" s="338" t="s">
        <v>12603</v>
      </c>
      <c r="Z954" s="338">
        <v>0</v>
      </c>
      <c r="AA954" s="338">
        <v>12.80000019073486</v>
      </c>
      <c r="AB954" s="338">
        <v>12.89999961853027</v>
      </c>
      <c r="AC954" s="338">
        <v>3.9999999105930328E-2</v>
      </c>
      <c r="AD954" s="338">
        <v>2120</v>
      </c>
      <c r="AE954" s="338">
        <v>2992</v>
      </c>
      <c r="AF954" s="338">
        <v>1240</v>
      </c>
      <c r="AG954" s="338">
        <v>5708</v>
      </c>
      <c r="AH954" s="338">
        <v>352</v>
      </c>
      <c r="AI954" s="338">
        <v>7359</v>
      </c>
      <c r="AJ954" s="338">
        <v>3</v>
      </c>
      <c r="AK954" s="338">
        <v>18</v>
      </c>
      <c r="AL954" s="338">
        <v>90</v>
      </c>
      <c r="AM954" s="338">
        <v>295</v>
      </c>
      <c r="AN954" s="338">
        <v>531.6500244140625</v>
      </c>
      <c r="AO954" s="338">
        <v>0</v>
      </c>
      <c r="AP954" s="338">
        <v>0</v>
      </c>
      <c r="AQ954" s="338">
        <v>0</v>
      </c>
      <c r="AR954" s="338">
        <v>0</v>
      </c>
      <c r="AS954" s="338">
        <v>0</v>
      </c>
      <c r="AT954" s="338">
        <v>0</v>
      </c>
      <c r="AU954" s="338">
        <v>0</v>
      </c>
      <c r="AV954" s="338">
        <v>0</v>
      </c>
      <c r="AW954" s="338">
        <v>0</v>
      </c>
      <c r="AX954" s="338">
        <v>0</v>
      </c>
      <c r="AY954" s="338">
        <v>0</v>
      </c>
      <c r="AZ954" s="338">
        <v>0</v>
      </c>
      <c r="BA954" s="338">
        <v>0</v>
      </c>
      <c r="BB954" s="338">
        <v>0</v>
      </c>
      <c r="BC954" s="338">
        <v>0</v>
      </c>
      <c r="BD954" s="338">
        <v>0</v>
      </c>
      <c r="BE954" s="338">
        <v>0</v>
      </c>
      <c r="BF954" s="338" t="s">
        <v>12638</v>
      </c>
      <c r="BG954" s="338" t="s">
        <v>5</v>
      </c>
      <c r="BH954" s="338" t="s">
        <v>12591</v>
      </c>
      <c r="BI954" s="338" t="s">
        <v>1585</v>
      </c>
      <c r="BJ954" s="338" t="s">
        <v>5</v>
      </c>
      <c r="BK954" s="338" t="s">
        <v>1585</v>
      </c>
      <c r="BL954" s="338">
        <v>100</v>
      </c>
      <c r="BM954" s="338">
        <v>0</v>
      </c>
      <c r="BN954" s="338" t="s">
        <v>6</v>
      </c>
      <c r="BO954" s="338" t="s">
        <v>12639</v>
      </c>
      <c r="BP954" s="338" t="s">
        <v>12640</v>
      </c>
      <c r="BQ954" s="338" t="s">
        <v>1585</v>
      </c>
      <c r="BR954" s="338" t="s">
        <v>1585</v>
      </c>
      <c r="BS954" s="338" t="s">
        <v>6</v>
      </c>
      <c r="BT954" s="338" t="s">
        <v>1585</v>
      </c>
      <c r="BU954" s="338" t="s">
        <v>1585</v>
      </c>
      <c r="BV954" s="338" t="s">
        <v>1585</v>
      </c>
      <c r="BW954" s="338" t="s">
        <v>1585</v>
      </c>
      <c r="BX954" s="338" t="s">
        <v>6</v>
      </c>
      <c r="BY954" s="338" t="s">
        <v>12593</v>
      </c>
      <c r="BZ954" s="338"/>
      <c r="CA954"/>
      <c r="CB954" s="338" t="s">
        <v>6</v>
      </c>
      <c r="CC954" s="338">
        <v>58970.215803189873</v>
      </c>
      <c r="CD954" s="338">
        <v>59637404.016444199</v>
      </c>
      <c r="CE954" s="313" t="s">
        <v>11891</v>
      </c>
    </row>
    <row r="955" spans="1:83" ht="15" x14ac:dyDescent="0.25">
      <c r="A955" s="338" t="s">
        <v>12641</v>
      </c>
      <c r="B955" s="338" t="s">
        <v>12642</v>
      </c>
      <c r="C955" s="338" t="s">
        <v>12643</v>
      </c>
      <c r="D955" s="338">
        <v>14</v>
      </c>
      <c r="E955" s="338" t="s">
        <v>12583</v>
      </c>
      <c r="F955" s="338" t="s">
        <v>12644</v>
      </c>
      <c r="G955" s="338" t="s">
        <v>12607</v>
      </c>
      <c r="H955" s="338" t="s">
        <v>1585</v>
      </c>
      <c r="I955" s="338" t="s">
        <v>12645</v>
      </c>
      <c r="J955" s="338" t="s">
        <v>1585</v>
      </c>
      <c r="K955" s="338" t="s">
        <v>12646</v>
      </c>
      <c r="L955" s="338">
        <v>1.1199899911880491</v>
      </c>
      <c r="M955" s="338" t="s">
        <v>5</v>
      </c>
      <c r="N955" s="338" t="s">
        <v>5</v>
      </c>
      <c r="O955" s="338" t="s">
        <v>6</v>
      </c>
      <c r="P955" s="338" t="s">
        <v>5</v>
      </c>
      <c r="Q955" s="338" t="s">
        <v>5</v>
      </c>
      <c r="R955" s="338" t="s">
        <v>12647</v>
      </c>
      <c r="S955" s="338" t="s">
        <v>12648</v>
      </c>
      <c r="T955" s="338" t="s">
        <v>5</v>
      </c>
      <c r="U955" s="338" t="s">
        <v>13</v>
      </c>
      <c r="V955" s="338">
        <v>404000</v>
      </c>
      <c r="W955" s="338">
        <v>0</v>
      </c>
      <c r="X955" s="338" t="s">
        <v>5</v>
      </c>
      <c r="Y955" s="338" t="s">
        <v>12590</v>
      </c>
      <c r="Z955" s="338">
        <v>0</v>
      </c>
      <c r="AA955" s="338">
        <v>0.30000001192092901</v>
      </c>
      <c r="AB955" s="338">
        <v>0.40000000596046448</v>
      </c>
      <c r="AC955" s="338">
        <v>263.1400146484375</v>
      </c>
      <c r="AD955" s="338">
        <v>12</v>
      </c>
      <c r="AE955" s="338">
        <v>30</v>
      </c>
      <c r="AF955" s="338">
        <v>0</v>
      </c>
      <c r="AG955" s="338">
        <v>16</v>
      </c>
      <c r="AH955" s="338">
        <v>16</v>
      </c>
      <c r="AI955" s="338">
        <v>16</v>
      </c>
      <c r="AJ955" s="338">
        <v>0</v>
      </c>
      <c r="AK955" s="338">
        <v>6</v>
      </c>
      <c r="AL955" s="338">
        <v>2</v>
      </c>
      <c r="AM955" s="338">
        <v>0</v>
      </c>
      <c r="AN955" s="338">
        <v>61.115299224853523</v>
      </c>
      <c r="AO955" s="338">
        <v>0</v>
      </c>
      <c r="AP955" s="338">
        <v>0</v>
      </c>
      <c r="AQ955" s="338">
        <v>0</v>
      </c>
      <c r="AR955" s="338">
        <v>0</v>
      </c>
      <c r="AS955" s="338">
        <v>0</v>
      </c>
      <c r="AT955" s="338">
        <v>0</v>
      </c>
      <c r="AU955" s="338">
        <v>0</v>
      </c>
      <c r="AV955" s="338">
        <v>0</v>
      </c>
      <c r="AW955" s="338">
        <v>0</v>
      </c>
      <c r="AX955" s="338">
        <v>0</v>
      </c>
      <c r="AY955" s="338">
        <v>0</v>
      </c>
      <c r="AZ955" s="338">
        <v>0</v>
      </c>
      <c r="BA955" s="338">
        <v>0</v>
      </c>
      <c r="BB955" s="338">
        <v>0</v>
      </c>
      <c r="BC955" s="338">
        <v>0</v>
      </c>
      <c r="BD955" s="338">
        <v>0</v>
      </c>
      <c r="BE955" s="338">
        <v>0</v>
      </c>
      <c r="BF955" s="338" t="s">
        <v>6</v>
      </c>
      <c r="BG955" s="338" t="s">
        <v>5</v>
      </c>
      <c r="BH955" s="338" t="s">
        <v>12591</v>
      </c>
      <c r="BI955" s="338" t="s">
        <v>1585</v>
      </c>
      <c r="BJ955" s="338" t="s">
        <v>5</v>
      </c>
      <c r="BK955" s="338" t="s">
        <v>1585</v>
      </c>
      <c r="BL955" s="338">
        <v>0</v>
      </c>
      <c r="BM955" s="338">
        <v>0</v>
      </c>
      <c r="BN955" s="338" t="s">
        <v>6</v>
      </c>
      <c r="BO955" s="338" t="s">
        <v>12649</v>
      </c>
      <c r="BP955" s="338" t="s">
        <v>1585</v>
      </c>
      <c r="BQ955" s="338" t="s">
        <v>1585</v>
      </c>
      <c r="BR955" s="338" t="s">
        <v>1585</v>
      </c>
      <c r="BS955" s="338" t="s">
        <v>6</v>
      </c>
      <c r="BT955" s="338" t="s">
        <v>1585</v>
      </c>
      <c r="BU955" s="338" t="s">
        <v>1585</v>
      </c>
      <c r="BV955" s="338" t="s">
        <v>1585</v>
      </c>
      <c r="BW955" s="338" t="s">
        <v>1585</v>
      </c>
      <c r="BX955" s="338" t="s">
        <v>6</v>
      </c>
      <c r="BY955" s="338" t="s">
        <v>12593</v>
      </c>
      <c r="BZ955" s="338"/>
      <c r="CA955"/>
      <c r="CB955" s="338" t="s">
        <v>5</v>
      </c>
      <c r="CC955" s="338">
        <v>6816.4716829299387</v>
      </c>
      <c r="CD955" s="338">
        <v>2900760.7033918859</v>
      </c>
      <c r="CE955" s="313" t="s">
        <v>11891</v>
      </c>
    </row>
    <row r="956" spans="1:83" ht="15" x14ac:dyDescent="0.25">
      <c r="A956" s="338" t="s">
        <v>12640</v>
      </c>
      <c r="B956" s="338" t="s">
        <v>12650</v>
      </c>
      <c r="C956" s="338" t="s">
        <v>12651</v>
      </c>
      <c r="D956" s="338">
        <v>14</v>
      </c>
      <c r="E956" s="338" t="s">
        <v>12583</v>
      </c>
      <c r="F956" s="338" t="s">
        <v>12616</v>
      </c>
      <c r="G956" s="338" t="s">
        <v>12617</v>
      </c>
      <c r="H956" s="338" t="s">
        <v>1585</v>
      </c>
      <c r="I956" s="338" t="s">
        <v>1585</v>
      </c>
      <c r="J956" s="338" t="s">
        <v>1585</v>
      </c>
      <c r="K956" s="338" t="s">
        <v>12652</v>
      </c>
      <c r="L956" s="338">
        <v>28.864200592041019</v>
      </c>
      <c r="M956" s="338" t="s">
        <v>5</v>
      </c>
      <c r="N956" s="338" t="s">
        <v>5</v>
      </c>
      <c r="O956" s="338" t="s">
        <v>6</v>
      </c>
      <c r="P956" s="338" t="s">
        <v>5</v>
      </c>
      <c r="Q956" s="338" t="s">
        <v>5</v>
      </c>
      <c r="R956" s="338" t="s">
        <v>12653</v>
      </c>
      <c r="S956" s="338" t="s">
        <v>12654</v>
      </c>
      <c r="T956" s="338" t="s">
        <v>5</v>
      </c>
      <c r="U956" s="338" t="s">
        <v>13</v>
      </c>
      <c r="V956" s="338">
        <v>97000</v>
      </c>
      <c r="W956" s="338">
        <v>0</v>
      </c>
      <c r="X956" s="338" t="s">
        <v>6</v>
      </c>
      <c r="Y956" s="338" t="s">
        <v>12603</v>
      </c>
      <c r="Z956" s="338">
        <v>19400</v>
      </c>
      <c r="AA956" s="338">
        <v>21.60000038146973</v>
      </c>
      <c r="AB956" s="338">
        <v>22.5</v>
      </c>
      <c r="AC956" s="338">
        <v>0</v>
      </c>
      <c r="AD956" s="338">
        <v>18</v>
      </c>
      <c r="AE956" s="338">
        <v>20</v>
      </c>
      <c r="AF956" s="338">
        <v>0</v>
      </c>
      <c r="AG956" s="338">
        <v>36</v>
      </c>
      <c r="AH956" s="338">
        <v>49</v>
      </c>
      <c r="AI956" s="338">
        <v>49</v>
      </c>
      <c r="AJ956" s="338">
        <v>0</v>
      </c>
      <c r="AK956" s="338">
        <v>2</v>
      </c>
      <c r="AL956" s="338">
        <v>1</v>
      </c>
      <c r="AM956" s="338">
        <v>2</v>
      </c>
      <c r="AN956" s="338">
        <v>108.57700347900391</v>
      </c>
      <c r="AO956" s="338">
        <v>0</v>
      </c>
      <c r="AP956" s="338">
        <v>0</v>
      </c>
      <c r="AQ956" s="338">
        <v>0</v>
      </c>
      <c r="AR956" s="338">
        <v>0</v>
      </c>
      <c r="AS956" s="338">
        <v>0</v>
      </c>
      <c r="AT956" s="338">
        <v>0</v>
      </c>
      <c r="AU956" s="338">
        <v>0</v>
      </c>
      <c r="AV956" s="338">
        <v>0</v>
      </c>
      <c r="AW956" s="338">
        <v>0</v>
      </c>
      <c r="AX956" s="338">
        <v>0</v>
      </c>
      <c r="AY956" s="338">
        <v>0</v>
      </c>
      <c r="AZ956" s="338">
        <v>0</v>
      </c>
      <c r="BA956" s="338">
        <v>0</v>
      </c>
      <c r="BB956" s="338">
        <v>0</v>
      </c>
      <c r="BC956" s="338">
        <v>0</v>
      </c>
      <c r="BD956" s="338">
        <v>0</v>
      </c>
      <c r="BE956" s="338">
        <v>0</v>
      </c>
      <c r="BF956" s="338" t="s">
        <v>12638</v>
      </c>
      <c r="BG956" s="338" t="s">
        <v>5</v>
      </c>
      <c r="BH956" s="338" t="s">
        <v>12591</v>
      </c>
      <c r="BI956" s="338" t="s">
        <v>1585</v>
      </c>
      <c r="BJ956" s="338" t="s">
        <v>5</v>
      </c>
      <c r="BK956" s="338" t="s">
        <v>1585</v>
      </c>
      <c r="BL956" s="338">
        <v>100</v>
      </c>
      <c r="BM956" s="338">
        <v>0</v>
      </c>
      <c r="BN956" s="338" t="s">
        <v>6</v>
      </c>
      <c r="BO956" s="338" t="s">
        <v>1585</v>
      </c>
      <c r="BP956" s="338" t="s">
        <v>12630</v>
      </c>
      <c r="BQ956" s="338" t="s">
        <v>1585</v>
      </c>
      <c r="BR956" s="338" t="s">
        <v>1585</v>
      </c>
      <c r="BS956" s="338" t="s">
        <v>6</v>
      </c>
      <c r="BT956" s="338" t="s">
        <v>1585</v>
      </c>
      <c r="BU956" s="338" t="s">
        <v>1585</v>
      </c>
      <c r="BV956" s="338" t="s">
        <v>1585</v>
      </c>
      <c r="BW956" s="338" t="s">
        <v>1585</v>
      </c>
      <c r="BX956" s="338" t="s">
        <v>6</v>
      </c>
      <c r="BY956" s="338" t="s">
        <v>12593</v>
      </c>
      <c r="BZ956" s="338"/>
      <c r="CA956"/>
      <c r="CB956" s="338" t="s">
        <v>6</v>
      </c>
      <c r="CC956" s="338">
        <v>201864.63721998769</v>
      </c>
      <c r="CD956" s="338">
        <v>74757980.954840168</v>
      </c>
      <c r="CE956" s="313" t="s">
        <v>11891</v>
      </c>
    </row>
    <row r="957" spans="1:83" ht="15" x14ac:dyDescent="0.25">
      <c r="A957" s="338" t="s">
        <v>12655</v>
      </c>
      <c r="B957" s="338" t="s">
        <v>12656</v>
      </c>
      <c r="C957" s="338" t="s">
        <v>12657</v>
      </c>
      <c r="D957" s="338">
        <v>14</v>
      </c>
      <c r="E957" s="338" t="s">
        <v>12583</v>
      </c>
      <c r="F957" s="338" t="s">
        <v>12658</v>
      </c>
      <c r="G957" s="338" t="s">
        <v>12659</v>
      </c>
      <c r="H957" s="338" t="s">
        <v>1585</v>
      </c>
      <c r="I957" s="338" t="s">
        <v>1585</v>
      </c>
      <c r="J957" s="338" t="s">
        <v>1585</v>
      </c>
      <c r="K957" s="338" t="s">
        <v>12652</v>
      </c>
      <c r="L957" s="338">
        <v>212.78599548339841</v>
      </c>
      <c r="M957" s="338" t="s">
        <v>6</v>
      </c>
      <c r="N957" s="338" t="s">
        <v>5</v>
      </c>
      <c r="O957" s="338" t="s">
        <v>5</v>
      </c>
      <c r="P957" s="338" t="s">
        <v>5</v>
      </c>
      <c r="Q957" s="338" t="s">
        <v>5</v>
      </c>
      <c r="R957" s="338" t="s">
        <v>12660</v>
      </c>
      <c r="S957" s="338" t="s">
        <v>12661</v>
      </c>
      <c r="T957" s="338" t="s">
        <v>5</v>
      </c>
      <c r="U957" s="338" t="s">
        <v>4</v>
      </c>
      <c r="V957" s="338">
        <v>63000</v>
      </c>
      <c r="W957" s="338">
        <v>0</v>
      </c>
      <c r="X957" s="338" t="s">
        <v>6</v>
      </c>
      <c r="Y957" s="338" t="s">
        <v>12662</v>
      </c>
      <c r="Z957" s="338">
        <v>12600</v>
      </c>
      <c r="AA957" s="338">
        <v>64.900001525878906</v>
      </c>
      <c r="AB957" s="338">
        <v>70.900001525878906</v>
      </c>
      <c r="AC957" s="338">
        <v>5.2800002098083496</v>
      </c>
      <c r="AD957" s="338">
        <v>136</v>
      </c>
      <c r="AE957" s="338">
        <v>958</v>
      </c>
      <c r="AF957" s="338">
        <v>46</v>
      </c>
      <c r="AG957" s="338">
        <v>361</v>
      </c>
      <c r="AH957" s="338">
        <v>137</v>
      </c>
      <c r="AI957" s="338">
        <v>361</v>
      </c>
      <c r="AJ957" s="338">
        <v>0</v>
      </c>
      <c r="AK957" s="338">
        <v>107</v>
      </c>
      <c r="AL957" s="338">
        <v>182</v>
      </c>
      <c r="AM957" s="338">
        <v>113</v>
      </c>
      <c r="AN957" s="338">
        <v>281.51300048828119</v>
      </c>
      <c r="AO957" s="338">
        <v>0</v>
      </c>
      <c r="AP957" s="338">
        <v>0</v>
      </c>
      <c r="AQ957" s="338">
        <v>0</v>
      </c>
      <c r="AR957" s="338">
        <v>0</v>
      </c>
      <c r="AS957" s="338">
        <v>0</v>
      </c>
      <c r="AT957" s="338">
        <v>0</v>
      </c>
      <c r="AU957" s="338">
        <v>0</v>
      </c>
      <c r="AV957" s="338">
        <v>0</v>
      </c>
      <c r="AW957" s="338">
        <v>0</v>
      </c>
      <c r="AX957" s="338">
        <v>0</v>
      </c>
      <c r="AY957" s="338">
        <v>0</v>
      </c>
      <c r="AZ957" s="338">
        <v>0</v>
      </c>
      <c r="BA957" s="338">
        <v>0</v>
      </c>
      <c r="BB957" s="338">
        <v>0</v>
      </c>
      <c r="BC957" s="338">
        <v>0</v>
      </c>
      <c r="BD957" s="338">
        <v>0</v>
      </c>
      <c r="BE957" s="338">
        <v>0</v>
      </c>
      <c r="BF957" s="338" t="s">
        <v>6</v>
      </c>
      <c r="BG957" s="338" t="s">
        <v>5</v>
      </c>
      <c r="BH957" s="338" t="s">
        <v>12591</v>
      </c>
      <c r="BI957" s="338" t="s">
        <v>1585</v>
      </c>
      <c r="BJ957" s="338" t="s">
        <v>5</v>
      </c>
      <c r="BK957" s="338" t="s">
        <v>1585</v>
      </c>
      <c r="BL957" s="338">
        <v>100</v>
      </c>
      <c r="BM957" s="338">
        <v>0</v>
      </c>
      <c r="BN957" s="338" t="s">
        <v>6</v>
      </c>
      <c r="BO957" s="338" t="s">
        <v>12663</v>
      </c>
      <c r="BP957" s="338" t="s">
        <v>1585</v>
      </c>
      <c r="BQ957" s="338" t="s">
        <v>1585</v>
      </c>
      <c r="BR957" s="338" t="s">
        <v>1585</v>
      </c>
      <c r="BS957" s="338" t="s">
        <v>6</v>
      </c>
      <c r="BT957" s="338" t="s">
        <v>1585</v>
      </c>
      <c r="BU957" s="338" t="s">
        <v>1585</v>
      </c>
      <c r="BV957" s="338" t="s">
        <v>1585</v>
      </c>
      <c r="BW957" s="338" t="s">
        <v>1585</v>
      </c>
      <c r="BX957" s="338" t="s">
        <v>6</v>
      </c>
      <c r="BY957" s="338" t="s">
        <v>12593</v>
      </c>
      <c r="BZ957" s="338"/>
      <c r="CA957"/>
      <c r="CB957" s="338" t="s">
        <v>6</v>
      </c>
      <c r="CC957" s="338">
        <v>487115.05928623141</v>
      </c>
      <c r="CD957" s="338">
        <v>551113871.11106539</v>
      </c>
      <c r="CE957" s="313" t="s">
        <v>11891</v>
      </c>
    </row>
    <row r="958" spans="1:83" ht="15" x14ac:dyDescent="0.25">
      <c r="A958" s="338" t="s">
        <v>12664</v>
      </c>
      <c r="B958" s="338" t="s">
        <v>12665</v>
      </c>
      <c r="C958" s="338" t="s">
        <v>12666</v>
      </c>
      <c r="D958" s="338">
        <v>14</v>
      </c>
      <c r="E958" s="338" t="s">
        <v>12583</v>
      </c>
      <c r="F958" s="338" t="s">
        <v>12597</v>
      </c>
      <c r="G958" s="338" t="s">
        <v>12667</v>
      </c>
      <c r="H958" s="338" t="s">
        <v>1585</v>
      </c>
      <c r="I958" s="338" t="s">
        <v>1585</v>
      </c>
      <c r="J958" s="338" t="s">
        <v>1585</v>
      </c>
      <c r="K958" s="338" t="s">
        <v>12668</v>
      </c>
      <c r="L958" s="338">
        <v>620.48797607421875</v>
      </c>
      <c r="M958" s="338" t="s">
        <v>5</v>
      </c>
      <c r="N958" s="338" t="s">
        <v>5</v>
      </c>
      <c r="O958" s="338" t="s">
        <v>5</v>
      </c>
      <c r="P958" s="338" t="s">
        <v>5</v>
      </c>
      <c r="Q958" s="338" t="s">
        <v>6</v>
      </c>
      <c r="R958" s="338" t="s">
        <v>12669</v>
      </c>
      <c r="S958" s="338" t="s">
        <v>12670</v>
      </c>
      <c r="T958" s="338" t="s">
        <v>5</v>
      </c>
      <c r="U958" s="338" t="s">
        <v>50</v>
      </c>
      <c r="V958" s="338">
        <v>99000</v>
      </c>
      <c r="W958" s="338">
        <v>0</v>
      </c>
      <c r="X958" s="338" t="s">
        <v>6</v>
      </c>
      <c r="Y958" s="338" t="s">
        <v>12671</v>
      </c>
      <c r="Z958" s="338">
        <v>49500</v>
      </c>
      <c r="AA958" s="338">
        <v>118</v>
      </c>
      <c r="AB958" s="338">
        <v>168.69999694824219</v>
      </c>
      <c r="AC958" s="338">
        <v>260.29998779296881</v>
      </c>
      <c r="AD958" s="338">
        <v>2603</v>
      </c>
      <c r="AE958" s="338">
        <v>2794</v>
      </c>
      <c r="AF958" s="338">
        <v>2056</v>
      </c>
      <c r="AG958" s="338">
        <v>1953</v>
      </c>
      <c r="AH958" s="338">
        <v>7150</v>
      </c>
      <c r="AI958" s="338">
        <v>7134</v>
      </c>
      <c r="AJ958" s="338">
        <v>1</v>
      </c>
      <c r="AK958" s="338">
        <v>51</v>
      </c>
      <c r="AL958" s="338">
        <v>97</v>
      </c>
      <c r="AM958" s="338">
        <v>104</v>
      </c>
      <c r="AN958" s="338">
        <v>35062.6015625</v>
      </c>
      <c r="AO958" s="338">
        <v>0</v>
      </c>
      <c r="AP958" s="338">
        <v>0</v>
      </c>
      <c r="AQ958" s="338">
        <v>0</v>
      </c>
      <c r="AR958" s="338">
        <v>0</v>
      </c>
      <c r="AS958" s="338">
        <v>0</v>
      </c>
      <c r="AT958" s="338">
        <v>0</v>
      </c>
      <c r="AU958" s="338">
        <v>0</v>
      </c>
      <c r="AV958" s="338">
        <v>0</v>
      </c>
      <c r="AW958" s="338">
        <v>0</v>
      </c>
      <c r="AX958" s="338">
        <v>0</v>
      </c>
      <c r="AY958" s="338">
        <v>0</v>
      </c>
      <c r="AZ958" s="338">
        <v>0</v>
      </c>
      <c r="BA958" s="338">
        <v>0</v>
      </c>
      <c r="BB958" s="338">
        <v>0</v>
      </c>
      <c r="BC958" s="338">
        <v>0</v>
      </c>
      <c r="BD958" s="338">
        <v>0</v>
      </c>
      <c r="BE958" s="338">
        <v>0</v>
      </c>
      <c r="BF958" s="338" t="s">
        <v>12638</v>
      </c>
      <c r="BG958" s="338" t="s">
        <v>5</v>
      </c>
      <c r="BH958" s="338" t="s">
        <v>12591</v>
      </c>
      <c r="BI958" s="338" t="s">
        <v>1585</v>
      </c>
      <c r="BJ958" s="338" t="s">
        <v>5</v>
      </c>
      <c r="BK958" s="338" t="s">
        <v>1585</v>
      </c>
      <c r="BL958" s="338">
        <v>0</v>
      </c>
      <c r="BM958" s="338">
        <v>0</v>
      </c>
      <c r="BN958" s="338" t="s">
        <v>5</v>
      </c>
      <c r="BO958" s="338" t="s">
        <v>1585</v>
      </c>
      <c r="BP958" s="338" t="s">
        <v>1585</v>
      </c>
      <c r="BQ958" s="338" t="s">
        <v>1585</v>
      </c>
      <c r="BR958" s="338" t="s">
        <v>1585</v>
      </c>
      <c r="BS958" s="338" t="s">
        <v>6</v>
      </c>
      <c r="BT958" s="338" t="s">
        <v>1585</v>
      </c>
      <c r="BU958" s="338" t="s">
        <v>1585</v>
      </c>
      <c r="BV958" s="338" t="s">
        <v>1585</v>
      </c>
      <c r="BW958" s="338" t="s">
        <v>1585</v>
      </c>
      <c r="BX958" s="338" t="s">
        <v>6</v>
      </c>
      <c r="BY958" s="338" t="s">
        <v>12593</v>
      </c>
      <c r="BZ958" s="338"/>
      <c r="CA958"/>
      <c r="CB958" s="338" t="s">
        <v>5</v>
      </c>
      <c r="CC958" s="338">
        <v>457662.4538582259</v>
      </c>
      <c r="CD958" s="338">
        <v>1607055486.1993561</v>
      </c>
      <c r="CE958" s="313" t="s">
        <v>11891</v>
      </c>
    </row>
    <row r="959" spans="1:83" ht="15" x14ac:dyDescent="0.25">
      <c r="A959" s="338" t="s">
        <v>12672</v>
      </c>
      <c r="B959" s="338" t="s">
        <v>12673</v>
      </c>
      <c r="C959" s="338" t="s">
        <v>12674</v>
      </c>
      <c r="D959" s="338">
        <v>14</v>
      </c>
      <c r="E959" s="338" t="s">
        <v>12583</v>
      </c>
      <c r="F959" s="338" t="s">
        <v>12597</v>
      </c>
      <c r="G959" s="338" t="s">
        <v>12667</v>
      </c>
      <c r="H959" s="338" t="s">
        <v>1585</v>
      </c>
      <c r="I959" s="338" t="s">
        <v>1585</v>
      </c>
      <c r="J959" s="338" t="s">
        <v>1585</v>
      </c>
      <c r="K959" s="338" t="s">
        <v>12675</v>
      </c>
      <c r="L959" s="338">
        <v>619.885009765625</v>
      </c>
      <c r="M959" s="338" t="s">
        <v>5</v>
      </c>
      <c r="N959" s="338" t="s">
        <v>5</v>
      </c>
      <c r="O959" s="338" t="s">
        <v>6</v>
      </c>
      <c r="P959" s="338" t="s">
        <v>5</v>
      </c>
      <c r="Q959" s="338" t="s">
        <v>5</v>
      </c>
      <c r="R959" s="338" t="s">
        <v>12669</v>
      </c>
      <c r="S959" s="338" t="s">
        <v>12670</v>
      </c>
      <c r="T959" s="338" t="s">
        <v>5</v>
      </c>
      <c r="U959" s="338" t="s">
        <v>50</v>
      </c>
      <c r="V959" s="338">
        <v>64000</v>
      </c>
      <c r="W959" s="338">
        <v>0</v>
      </c>
      <c r="X959" s="338" t="s">
        <v>6</v>
      </c>
      <c r="Y959" s="338" t="s">
        <v>12671</v>
      </c>
      <c r="Z959" s="338">
        <v>32000</v>
      </c>
      <c r="AA959" s="338">
        <v>117.90000152587891</v>
      </c>
      <c r="AB959" s="338">
        <v>168.5</v>
      </c>
      <c r="AC959" s="338">
        <v>260.29998779296881</v>
      </c>
      <c r="AD959" s="338">
        <v>2603</v>
      </c>
      <c r="AE959" s="338">
        <v>2794</v>
      </c>
      <c r="AF959" s="338">
        <v>2056</v>
      </c>
      <c r="AG959" s="338">
        <v>1953</v>
      </c>
      <c r="AH959" s="338">
        <v>7150</v>
      </c>
      <c r="AI959" s="338">
        <v>7134</v>
      </c>
      <c r="AJ959" s="338">
        <v>1</v>
      </c>
      <c r="AK959" s="338">
        <v>51</v>
      </c>
      <c r="AL959" s="338">
        <v>97</v>
      </c>
      <c r="AM959" s="338">
        <v>103</v>
      </c>
      <c r="AN959" s="338">
        <v>35025.8984375</v>
      </c>
      <c r="AO959" s="338">
        <v>0</v>
      </c>
      <c r="AP959" s="338">
        <v>0</v>
      </c>
      <c r="AQ959" s="338">
        <v>0</v>
      </c>
      <c r="AR959" s="338">
        <v>0</v>
      </c>
      <c r="AS959" s="338">
        <v>0</v>
      </c>
      <c r="AT959" s="338">
        <v>0</v>
      </c>
      <c r="AU959" s="338">
        <v>0</v>
      </c>
      <c r="AV959" s="338">
        <v>0</v>
      </c>
      <c r="AW959" s="338">
        <v>0</v>
      </c>
      <c r="AX959" s="338">
        <v>0</v>
      </c>
      <c r="AY959" s="338">
        <v>0</v>
      </c>
      <c r="AZ959" s="338">
        <v>0</v>
      </c>
      <c r="BA959" s="338">
        <v>0</v>
      </c>
      <c r="BB959" s="338">
        <v>0</v>
      </c>
      <c r="BC959" s="338">
        <v>0</v>
      </c>
      <c r="BD959" s="338">
        <v>0</v>
      </c>
      <c r="BE959" s="338">
        <v>0</v>
      </c>
      <c r="BF959" s="338" t="s">
        <v>6</v>
      </c>
      <c r="BG959" s="338" t="s">
        <v>5</v>
      </c>
      <c r="BH959" s="338" t="s">
        <v>12591</v>
      </c>
      <c r="BI959" s="338" t="s">
        <v>1585</v>
      </c>
      <c r="BJ959" s="338" t="s">
        <v>5</v>
      </c>
      <c r="BK959" s="338" t="s">
        <v>1585</v>
      </c>
      <c r="BL959" s="338">
        <v>0</v>
      </c>
      <c r="BM959" s="338">
        <v>0</v>
      </c>
      <c r="BN959" s="338" t="s">
        <v>5</v>
      </c>
      <c r="BO959" s="338" t="s">
        <v>1585</v>
      </c>
      <c r="BP959" s="338" t="s">
        <v>1585</v>
      </c>
      <c r="BQ959" s="338" t="s">
        <v>1585</v>
      </c>
      <c r="BR959" s="338" t="s">
        <v>1585</v>
      </c>
      <c r="BS959" s="338" t="s">
        <v>6</v>
      </c>
      <c r="BT959" s="338" t="s">
        <v>1585</v>
      </c>
      <c r="BU959" s="338" t="s">
        <v>1585</v>
      </c>
      <c r="BV959" s="338" t="s">
        <v>1585</v>
      </c>
      <c r="BW959" s="338" t="s">
        <v>1585</v>
      </c>
      <c r="BX959" s="338" t="s">
        <v>6</v>
      </c>
      <c r="BY959" s="338" t="s">
        <v>12593</v>
      </c>
      <c r="BZ959" s="338"/>
      <c r="CA959"/>
      <c r="CB959" s="338" t="s">
        <v>5</v>
      </c>
      <c r="CC959" s="338">
        <v>458066.16165904893</v>
      </c>
      <c r="CD959" s="338">
        <v>1605494381.981436</v>
      </c>
      <c r="CE959" s="313" t="s">
        <v>11891</v>
      </c>
    </row>
    <row r="960" spans="1:83" ht="15" x14ac:dyDescent="0.25">
      <c r="A960" s="338" t="s">
        <v>12676</v>
      </c>
      <c r="B960" s="338" t="s">
        <v>12677</v>
      </c>
      <c r="C960" s="338" t="s">
        <v>12678</v>
      </c>
      <c r="D960" s="338">
        <v>14</v>
      </c>
      <c r="E960" s="338" t="s">
        <v>12583</v>
      </c>
      <c r="F960" s="338" t="s">
        <v>12597</v>
      </c>
      <c r="G960" s="338" t="s">
        <v>12679</v>
      </c>
      <c r="H960" s="338" t="s">
        <v>1585</v>
      </c>
      <c r="I960" s="338" t="s">
        <v>1585</v>
      </c>
      <c r="J960" s="338" t="s">
        <v>1585</v>
      </c>
      <c r="K960" s="338" t="s">
        <v>12680</v>
      </c>
      <c r="L960" s="338">
        <v>1011.049987792969</v>
      </c>
      <c r="M960" s="338" t="s">
        <v>5</v>
      </c>
      <c r="N960" s="338" t="s">
        <v>5</v>
      </c>
      <c r="O960" s="338" t="s">
        <v>6</v>
      </c>
      <c r="P960" s="338" t="s">
        <v>5</v>
      </c>
      <c r="Q960" s="338" t="s">
        <v>5</v>
      </c>
      <c r="R960" s="338" t="s">
        <v>12681</v>
      </c>
      <c r="S960" s="338" t="s">
        <v>12682</v>
      </c>
      <c r="T960" s="338" t="s">
        <v>5</v>
      </c>
      <c r="U960" s="338" t="s">
        <v>50</v>
      </c>
      <c r="V960" s="338">
        <v>35000</v>
      </c>
      <c r="W960" s="338">
        <v>0</v>
      </c>
      <c r="X960" s="338" t="s">
        <v>6</v>
      </c>
      <c r="Y960" s="338" t="s">
        <v>12671</v>
      </c>
      <c r="Z960" s="338">
        <v>1750</v>
      </c>
      <c r="AA960" s="338">
        <v>179</v>
      </c>
      <c r="AB960" s="338">
        <v>245</v>
      </c>
      <c r="AC960" s="338">
        <v>267.47000122070313</v>
      </c>
      <c r="AD960" s="338">
        <v>21373</v>
      </c>
      <c r="AE960" s="338">
        <v>29823</v>
      </c>
      <c r="AF960" s="338">
        <v>16856</v>
      </c>
      <c r="AG960" s="338">
        <v>68846</v>
      </c>
      <c r="AH960" s="338">
        <v>70237</v>
      </c>
      <c r="AI960" s="338">
        <v>70212</v>
      </c>
      <c r="AJ960" s="338">
        <v>37</v>
      </c>
      <c r="AK960" s="338">
        <v>132</v>
      </c>
      <c r="AL960" s="338">
        <v>607</v>
      </c>
      <c r="AM960" s="338">
        <v>841</v>
      </c>
      <c r="AN960" s="338">
        <v>48551</v>
      </c>
      <c r="AO960" s="338">
        <v>0</v>
      </c>
      <c r="AP960" s="338">
        <v>0</v>
      </c>
      <c r="AQ960" s="338">
        <v>0</v>
      </c>
      <c r="AR960" s="338">
        <v>0</v>
      </c>
      <c r="AS960" s="338">
        <v>0</v>
      </c>
      <c r="AT960" s="338">
        <v>0</v>
      </c>
      <c r="AU960" s="338">
        <v>0</v>
      </c>
      <c r="AV960" s="338">
        <v>0</v>
      </c>
      <c r="AW960" s="338">
        <v>0</v>
      </c>
      <c r="AX960" s="338">
        <v>0</v>
      </c>
      <c r="AY960" s="338">
        <v>0</v>
      </c>
      <c r="AZ960" s="338">
        <v>0</v>
      </c>
      <c r="BA960" s="338">
        <v>0</v>
      </c>
      <c r="BB960" s="338">
        <v>0</v>
      </c>
      <c r="BC960" s="338">
        <v>0</v>
      </c>
      <c r="BD960" s="338">
        <v>0</v>
      </c>
      <c r="BE960" s="338">
        <v>0</v>
      </c>
      <c r="BF960" s="338" t="s">
        <v>6</v>
      </c>
      <c r="BG960" s="338" t="s">
        <v>5</v>
      </c>
      <c r="BH960" s="338" t="s">
        <v>12591</v>
      </c>
      <c r="BI960" s="338" t="s">
        <v>1585</v>
      </c>
      <c r="BJ960" s="338" t="s">
        <v>5</v>
      </c>
      <c r="BK960" s="338" t="s">
        <v>1585</v>
      </c>
      <c r="BL960" s="338">
        <v>0</v>
      </c>
      <c r="BM960" s="338">
        <v>0</v>
      </c>
      <c r="BN960" s="338" t="s">
        <v>5</v>
      </c>
      <c r="BO960" s="338" t="s">
        <v>1585</v>
      </c>
      <c r="BP960" s="338" t="s">
        <v>1585</v>
      </c>
      <c r="BQ960" s="338" t="s">
        <v>1585</v>
      </c>
      <c r="BR960" s="338" t="s">
        <v>1585</v>
      </c>
      <c r="BS960" s="338" t="s">
        <v>6</v>
      </c>
      <c r="BT960" s="338" t="s">
        <v>1585</v>
      </c>
      <c r="BU960" s="338" t="s">
        <v>1585</v>
      </c>
      <c r="BV960" s="338" t="s">
        <v>1585</v>
      </c>
      <c r="BW960" s="338" t="s">
        <v>1585</v>
      </c>
      <c r="BX960" s="338" t="s">
        <v>6</v>
      </c>
      <c r="BY960" s="338" t="s">
        <v>12593</v>
      </c>
      <c r="BZ960" s="338"/>
      <c r="CA960"/>
      <c r="CB960" s="338" t="s">
        <v>5</v>
      </c>
      <c r="CC960" s="338">
        <v>247981.19182197651</v>
      </c>
      <c r="CD960" s="338">
        <v>2618605326.615912</v>
      </c>
      <c r="CE960" s="313" t="s">
        <v>11891</v>
      </c>
    </row>
    <row r="961" spans="1:83" ht="15" x14ac:dyDescent="0.25">
      <c r="A961" s="338" t="s">
        <v>12683</v>
      </c>
      <c r="B961" s="338" t="s">
        <v>12684</v>
      </c>
      <c r="C961" s="338" t="s">
        <v>12684</v>
      </c>
      <c r="D961" s="338">
        <v>14</v>
      </c>
      <c r="E961" s="338" t="s">
        <v>12583</v>
      </c>
      <c r="F961" s="338" t="s">
        <v>12597</v>
      </c>
      <c r="G961" s="338" t="s">
        <v>12679</v>
      </c>
      <c r="H961" s="338" t="s">
        <v>1585</v>
      </c>
      <c r="I961" s="338" t="s">
        <v>1585</v>
      </c>
      <c r="J961" s="338" t="s">
        <v>1585</v>
      </c>
      <c r="K961" s="338" t="s">
        <v>12685</v>
      </c>
      <c r="L961" s="338">
        <v>1011.049987792969</v>
      </c>
      <c r="M961" s="338" t="s">
        <v>6</v>
      </c>
      <c r="N961" s="338" t="s">
        <v>5</v>
      </c>
      <c r="O961" s="338" t="s">
        <v>6</v>
      </c>
      <c r="P961" s="338" t="s">
        <v>5</v>
      </c>
      <c r="Q961" s="338" t="s">
        <v>5</v>
      </c>
      <c r="R961" s="338" t="s">
        <v>12686</v>
      </c>
      <c r="S961" s="338" t="s">
        <v>12687</v>
      </c>
      <c r="T961" s="338" t="s">
        <v>5</v>
      </c>
      <c r="U961" s="338" t="s">
        <v>4</v>
      </c>
      <c r="V961" s="338">
        <v>21000</v>
      </c>
      <c r="W961" s="338">
        <v>0</v>
      </c>
      <c r="X961" s="338" t="s">
        <v>6</v>
      </c>
      <c r="Y961" s="338" t="s">
        <v>12590</v>
      </c>
      <c r="Z961" s="338">
        <v>10500</v>
      </c>
      <c r="AA961" s="338">
        <v>179</v>
      </c>
      <c r="AB961" s="338">
        <v>245</v>
      </c>
      <c r="AC961" s="338">
        <v>267.45999145507813</v>
      </c>
      <c r="AD961" s="338">
        <v>21373</v>
      </c>
      <c r="AE961" s="338">
        <v>59646</v>
      </c>
      <c r="AF961" s="338">
        <v>16856</v>
      </c>
      <c r="AG961" s="338">
        <v>68846</v>
      </c>
      <c r="AH961" s="338">
        <v>70237</v>
      </c>
      <c r="AI961" s="338">
        <v>70212</v>
      </c>
      <c r="AJ961" s="338">
        <v>37</v>
      </c>
      <c r="AK961" s="338">
        <v>132</v>
      </c>
      <c r="AL961" s="338">
        <v>607</v>
      </c>
      <c r="AM961" s="338">
        <v>841</v>
      </c>
      <c r="AN961" s="338">
        <v>48551</v>
      </c>
      <c r="AO961" s="338">
        <v>0</v>
      </c>
      <c r="AP961" s="338">
        <v>0</v>
      </c>
      <c r="AQ961" s="338">
        <v>0</v>
      </c>
      <c r="AR961" s="338">
        <v>0</v>
      </c>
      <c r="AS961" s="338">
        <v>0</v>
      </c>
      <c r="AT961" s="338">
        <v>0</v>
      </c>
      <c r="AU961" s="338">
        <v>0</v>
      </c>
      <c r="AV961" s="338">
        <v>0</v>
      </c>
      <c r="AW961" s="338">
        <v>0</v>
      </c>
      <c r="AX961" s="338">
        <v>0</v>
      </c>
      <c r="AY961" s="338">
        <v>0</v>
      </c>
      <c r="AZ961" s="338">
        <v>0</v>
      </c>
      <c r="BA961" s="338">
        <v>0</v>
      </c>
      <c r="BB961" s="338">
        <v>0</v>
      </c>
      <c r="BC961" s="338">
        <v>0</v>
      </c>
      <c r="BD961" s="338">
        <v>0</v>
      </c>
      <c r="BE961" s="338">
        <v>0</v>
      </c>
      <c r="BF961" s="338" t="s">
        <v>6</v>
      </c>
      <c r="BG961" s="338" t="s">
        <v>5</v>
      </c>
      <c r="BH961" s="338" t="s">
        <v>12591</v>
      </c>
      <c r="BI961" s="338" t="s">
        <v>1585</v>
      </c>
      <c r="BJ961" s="338" t="s">
        <v>5</v>
      </c>
      <c r="BK961" s="338" t="s">
        <v>1585</v>
      </c>
      <c r="BL961" s="338">
        <v>0</v>
      </c>
      <c r="BM961" s="338">
        <v>0</v>
      </c>
      <c r="BN961" s="338" t="s">
        <v>5</v>
      </c>
      <c r="BO961" s="338" t="s">
        <v>1585</v>
      </c>
      <c r="BP961" s="338" t="s">
        <v>1585</v>
      </c>
      <c r="BQ961" s="338" t="s">
        <v>1585</v>
      </c>
      <c r="BR961" s="338" t="s">
        <v>1585</v>
      </c>
      <c r="BS961" s="338" t="s">
        <v>6</v>
      </c>
      <c r="BT961" s="338" t="s">
        <v>1585</v>
      </c>
      <c r="BU961" s="338" t="s">
        <v>1585</v>
      </c>
      <c r="BV961" s="338" t="s">
        <v>1585</v>
      </c>
      <c r="BW961" s="338" t="s">
        <v>1585</v>
      </c>
      <c r="BX961" s="338" t="s">
        <v>6</v>
      </c>
      <c r="BY961" s="338" t="s">
        <v>12593</v>
      </c>
      <c r="BZ961" s="338"/>
      <c r="CA961"/>
      <c r="CB961" s="338" t="s">
        <v>5</v>
      </c>
      <c r="CC961" s="338">
        <v>247981.19182197651</v>
      </c>
      <c r="CD961" s="338">
        <v>2618605326.615912</v>
      </c>
      <c r="CE961" s="313" t="s">
        <v>11891</v>
      </c>
    </row>
    <row r="962" spans="1:83" ht="15" x14ac:dyDescent="0.25">
      <c r="A962" s="338" t="s">
        <v>12688</v>
      </c>
      <c r="B962" s="338" t="s">
        <v>12689</v>
      </c>
      <c r="C962" s="338" t="s">
        <v>12690</v>
      </c>
      <c r="D962" s="338">
        <v>14</v>
      </c>
      <c r="E962" s="338" t="s">
        <v>12583</v>
      </c>
      <c r="F962" s="338" t="s">
        <v>12633</v>
      </c>
      <c r="G962" s="338" t="s">
        <v>12691</v>
      </c>
      <c r="H962" s="338" t="s">
        <v>1585</v>
      </c>
      <c r="I962" s="338" t="s">
        <v>12692</v>
      </c>
      <c r="J962" s="338" t="s">
        <v>1585</v>
      </c>
      <c r="K962" s="338" t="s">
        <v>12693</v>
      </c>
      <c r="L962" s="338">
        <v>23.02610015869141</v>
      </c>
      <c r="M962" s="338" t="s">
        <v>6</v>
      </c>
      <c r="N962" s="338" t="s">
        <v>5</v>
      </c>
      <c r="O962" s="338" t="s">
        <v>6</v>
      </c>
      <c r="P962" s="338" t="s">
        <v>5</v>
      </c>
      <c r="Q962" s="338" t="s">
        <v>5</v>
      </c>
      <c r="R962" s="338" t="s">
        <v>12636</v>
      </c>
      <c r="S962" s="338" t="s">
        <v>12637</v>
      </c>
      <c r="T962" s="338" t="s">
        <v>6</v>
      </c>
      <c r="U962" s="338" t="s">
        <v>28</v>
      </c>
      <c r="V962" s="338">
        <v>50000</v>
      </c>
      <c r="W962" s="338">
        <v>0</v>
      </c>
      <c r="X962" s="338" t="s">
        <v>5</v>
      </c>
      <c r="Y962" s="338" t="s">
        <v>12590</v>
      </c>
      <c r="Z962" s="338">
        <v>0</v>
      </c>
      <c r="AA962" s="338">
        <v>12.80000019073486</v>
      </c>
      <c r="AB962" s="338">
        <v>12.89999961853027</v>
      </c>
      <c r="AC962" s="338">
        <v>3.9999999105930328E-2</v>
      </c>
      <c r="AD962" s="338">
        <v>2120</v>
      </c>
      <c r="AE962" s="338">
        <v>2992</v>
      </c>
      <c r="AF962" s="338">
        <v>1240</v>
      </c>
      <c r="AG962" s="338">
        <v>5708</v>
      </c>
      <c r="AH962" s="338">
        <v>7382</v>
      </c>
      <c r="AI962" s="338">
        <v>7359</v>
      </c>
      <c r="AJ962" s="338">
        <v>3</v>
      </c>
      <c r="AK962" s="338">
        <v>18</v>
      </c>
      <c r="AL962" s="338">
        <v>90</v>
      </c>
      <c r="AM962" s="338">
        <v>295</v>
      </c>
      <c r="AN962" s="338">
        <v>531.6500244140625</v>
      </c>
      <c r="AO962" s="338">
        <v>0</v>
      </c>
      <c r="AP962" s="338">
        <v>0</v>
      </c>
      <c r="AQ962" s="338">
        <v>0</v>
      </c>
      <c r="AR962" s="338">
        <v>0</v>
      </c>
      <c r="AS962" s="338">
        <v>0</v>
      </c>
      <c r="AT962" s="338">
        <v>0</v>
      </c>
      <c r="AU962" s="338">
        <v>0</v>
      </c>
      <c r="AV962" s="338">
        <v>0</v>
      </c>
      <c r="AW962" s="338">
        <v>0</v>
      </c>
      <c r="AX962" s="338">
        <v>0</v>
      </c>
      <c r="AY962" s="338">
        <v>0</v>
      </c>
      <c r="AZ962" s="338">
        <v>0</v>
      </c>
      <c r="BA962" s="338">
        <v>0</v>
      </c>
      <c r="BB962" s="338">
        <v>0</v>
      </c>
      <c r="BC962" s="338">
        <v>0</v>
      </c>
      <c r="BD962" s="338">
        <v>0</v>
      </c>
      <c r="BE962" s="338">
        <v>0</v>
      </c>
      <c r="BF962" s="338" t="s">
        <v>6</v>
      </c>
      <c r="BG962" s="338" t="s">
        <v>5</v>
      </c>
      <c r="BH962" s="338" t="s">
        <v>12591</v>
      </c>
      <c r="BI962" s="338" t="s">
        <v>1585</v>
      </c>
      <c r="BJ962" s="338" t="s">
        <v>5</v>
      </c>
      <c r="BK962" s="338" t="s">
        <v>1585</v>
      </c>
      <c r="BL962" s="338">
        <v>0</v>
      </c>
      <c r="BM962" s="338">
        <v>0</v>
      </c>
      <c r="BN962" s="338" t="s">
        <v>5</v>
      </c>
      <c r="BO962" s="338" t="s">
        <v>1585</v>
      </c>
      <c r="BP962" s="338" t="s">
        <v>1585</v>
      </c>
      <c r="BQ962" s="338" t="s">
        <v>1585</v>
      </c>
      <c r="BR962" s="338" t="s">
        <v>1585</v>
      </c>
      <c r="BS962" s="338" t="s">
        <v>6</v>
      </c>
      <c r="BT962" s="338" t="s">
        <v>1585</v>
      </c>
      <c r="BU962" s="338" t="s">
        <v>1585</v>
      </c>
      <c r="BV962" s="338" t="s">
        <v>1585</v>
      </c>
      <c r="BW962" s="338" t="s">
        <v>1585</v>
      </c>
      <c r="BX962" s="338" t="s">
        <v>6</v>
      </c>
      <c r="BY962" s="338" t="s">
        <v>12593</v>
      </c>
      <c r="BZ962" s="338"/>
      <c r="CA962"/>
      <c r="CB962" s="338" t="s">
        <v>5</v>
      </c>
      <c r="CC962" s="338">
        <v>58970.215803189873</v>
      </c>
      <c r="CD962" s="338">
        <v>59637404.016444199</v>
      </c>
      <c r="CE962" s="313" t="s">
        <v>11891</v>
      </c>
    </row>
    <row r="963" spans="1:83" ht="15" x14ac:dyDescent="0.25">
      <c r="A963" s="338" t="s">
        <v>12694</v>
      </c>
      <c r="B963" s="338" t="s">
        <v>12695</v>
      </c>
      <c r="C963" s="338" t="s">
        <v>12696</v>
      </c>
      <c r="D963" s="338">
        <v>14</v>
      </c>
      <c r="E963" s="338" t="s">
        <v>12583</v>
      </c>
      <c r="F963" s="338" t="s">
        <v>12597</v>
      </c>
      <c r="G963" s="338" t="s">
        <v>12679</v>
      </c>
      <c r="H963" s="338" t="s">
        <v>1585</v>
      </c>
      <c r="I963" s="338" t="s">
        <v>1585</v>
      </c>
      <c r="J963" s="338" t="s">
        <v>1585</v>
      </c>
      <c r="K963" s="338" t="s">
        <v>12693</v>
      </c>
      <c r="L963" s="338">
        <v>1010.830017089844</v>
      </c>
      <c r="M963" s="338" t="s">
        <v>6</v>
      </c>
      <c r="N963" s="338" t="s">
        <v>5</v>
      </c>
      <c r="O963" s="338" t="s">
        <v>6</v>
      </c>
      <c r="P963" s="338" t="s">
        <v>5</v>
      </c>
      <c r="Q963" s="338" t="s">
        <v>5</v>
      </c>
      <c r="R963" s="338" t="s">
        <v>12697</v>
      </c>
      <c r="S963" s="338" t="s">
        <v>12698</v>
      </c>
      <c r="T963" s="338" t="s">
        <v>6</v>
      </c>
      <c r="U963" s="338" t="s">
        <v>28</v>
      </c>
      <c r="V963" s="338">
        <v>140000</v>
      </c>
      <c r="W963" s="338">
        <v>0</v>
      </c>
      <c r="X963" s="338" t="s">
        <v>6</v>
      </c>
      <c r="Y963" s="338" t="s">
        <v>12590</v>
      </c>
      <c r="Z963" s="338">
        <v>70000</v>
      </c>
      <c r="AA963" s="338">
        <v>179</v>
      </c>
      <c r="AB963" s="338">
        <v>245</v>
      </c>
      <c r="AC963" s="338">
        <v>267.45999145507813</v>
      </c>
      <c r="AD963" s="338">
        <v>21373</v>
      </c>
      <c r="AE963" s="338">
        <v>59646</v>
      </c>
      <c r="AF963" s="338">
        <v>16856</v>
      </c>
      <c r="AG963" s="338">
        <v>68846</v>
      </c>
      <c r="AH963" s="338">
        <v>70237</v>
      </c>
      <c r="AI963" s="338">
        <v>70212</v>
      </c>
      <c r="AJ963" s="338">
        <v>37</v>
      </c>
      <c r="AK963" s="338">
        <v>132</v>
      </c>
      <c r="AL963" s="338">
        <v>607</v>
      </c>
      <c r="AM963" s="338">
        <v>841</v>
      </c>
      <c r="AN963" s="338">
        <v>48550.98828125</v>
      </c>
      <c r="AO963" s="338">
        <v>0</v>
      </c>
      <c r="AP963" s="338">
        <v>0</v>
      </c>
      <c r="AQ963" s="338">
        <v>0</v>
      </c>
      <c r="AR963" s="338">
        <v>0</v>
      </c>
      <c r="AS963" s="338">
        <v>0</v>
      </c>
      <c r="AT963" s="338">
        <v>0</v>
      </c>
      <c r="AU963" s="338">
        <v>0</v>
      </c>
      <c r="AV963" s="338">
        <v>0</v>
      </c>
      <c r="AW963" s="338">
        <v>0</v>
      </c>
      <c r="AX963" s="338">
        <v>0</v>
      </c>
      <c r="AY963" s="338">
        <v>0</v>
      </c>
      <c r="AZ963" s="338">
        <v>0</v>
      </c>
      <c r="BA963" s="338">
        <v>0</v>
      </c>
      <c r="BB963" s="338">
        <v>0</v>
      </c>
      <c r="BC963" s="338">
        <v>0</v>
      </c>
      <c r="BD963" s="338">
        <v>0</v>
      </c>
      <c r="BE963" s="338">
        <v>0</v>
      </c>
      <c r="BF963" s="338" t="s">
        <v>6</v>
      </c>
      <c r="BG963" s="338" t="s">
        <v>5</v>
      </c>
      <c r="BH963" s="338" t="s">
        <v>12591</v>
      </c>
      <c r="BI963" s="338" t="s">
        <v>1585</v>
      </c>
      <c r="BJ963" s="338" t="s">
        <v>5</v>
      </c>
      <c r="BK963" s="338" t="s">
        <v>1585</v>
      </c>
      <c r="BL963" s="338">
        <v>0</v>
      </c>
      <c r="BM963" s="338">
        <v>0</v>
      </c>
      <c r="BN963" s="338" t="s">
        <v>5</v>
      </c>
      <c r="BO963" s="338" t="s">
        <v>1585</v>
      </c>
      <c r="BP963" s="338" t="s">
        <v>1585</v>
      </c>
      <c r="BQ963" s="338" t="s">
        <v>1585</v>
      </c>
      <c r="BR963" s="338" t="s">
        <v>1585</v>
      </c>
      <c r="BS963" s="338" t="s">
        <v>6</v>
      </c>
      <c r="BT963" s="338" t="s">
        <v>1585</v>
      </c>
      <c r="BU963" s="338" t="s">
        <v>1585</v>
      </c>
      <c r="BV963" s="338" t="s">
        <v>1585</v>
      </c>
      <c r="BW963" s="338" t="s">
        <v>1585</v>
      </c>
      <c r="BX963" s="338" t="s">
        <v>6</v>
      </c>
      <c r="BY963" s="338" t="s">
        <v>12593</v>
      </c>
      <c r="BZ963" s="338"/>
      <c r="CA963"/>
      <c r="CB963" s="338" t="s">
        <v>5</v>
      </c>
      <c r="CC963" s="338">
        <v>248611.98560426579</v>
      </c>
      <c r="CD963" s="338">
        <v>2618042069.539113</v>
      </c>
      <c r="CE963" s="313" t="s">
        <v>11891</v>
      </c>
    </row>
    <row r="964" spans="1:83" ht="15" x14ac:dyDescent="0.25">
      <c r="A964" s="338" t="s">
        <v>12699</v>
      </c>
      <c r="B964" s="338" t="s">
        <v>12700</v>
      </c>
      <c r="C964" s="338" t="s">
        <v>12701</v>
      </c>
      <c r="D964" s="338">
        <v>14</v>
      </c>
      <c r="E964" s="338" t="s">
        <v>12583</v>
      </c>
      <c r="F964" s="338" t="s">
        <v>12702</v>
      </c>
      <c r="G964" s="338" t="s">
        <v>12703</v>
      </c>
      <c r="H964" s="338" t="s">
        <v>1585</v>
      </c>
      <c r="I964" s="338" t="s">
        <v>12704</v>
      </c>
      <c r="J964" s="338" t="s">
        <v>1585</v>
      </c>
      <c r="K964" s="338" t="s">
        <v>12693</v>
      </c>
      <c r="L964" s="338">
        <v>5.5253901481628418</v>
      </c>
      <c r="M964" s="338" t="s">
        <v>6</v>
      </c>
      <c r="N964" s="338" t="s">
        <v>5</v>
      </c>
      <c r="O964" s="338" t="s">
        <v>6</v>
      </c>
      <c r="P964" s="338" t="s">
        <v>5</v>
      </c>
      <c r="Q964" s="338" t="s">
        <v>5</v>
      </c>
      <c r="R964" s="338" t="s">
        <v>12705</v>
      </c>
      <c r="S964" s="338" t="s">
        <v>12706</v>
      </c>
      <c r="T964" s="338" t="s">
        <v>6</v>
      </c>
      <c r="U964" s="338" t="s">
        <v>28</v>
      </c>
      <c r="V964" s="338">
        <v>50000</v>
      </c>
      <c r="W964" s="338">
        <v>0</v>
      </c>
      <c r="X964" s="338" t="s">
        <v>5</v>
      </c>
      <c r="Y964" s="338" t="s">
        <v>12590</v>
      </c>
      <c r="Z964" s="338">
        <v>0</v>
      </c>
      <c r="AA964" s="338">
        <v>0.80000001192092896</v>
      </c>
      <c r="AB964" s="338">
        <v>1.1000000238418579</v>
      </c>
      <c r="AC964" s="338">
        <v>0</v>
      </c>
      <c r="AD964" s="338">
        <v>166</v>
      </c>
      <c r="AE964" s="338">
        <v>316</v>
      </c>
      <c r="AF964" s="338">
        <v>108</v>
      </c>
      <c r="AG964" s="338">
        <v>899</v>
      </c>
      <c r="AH964" s="338">
        <v>432</v>
      </c>
      <c r="AI964" s="338">
        <v>899</v>
      </c>
      <c r="AJ964" s="338">
        <v>2</v>
      </c>
      <c r="AK964" s="338">
        <v>4</v>
      </c>
      <c r="AL964" s="338">
        <v>22</v>
      </c>
      <c r="AM964" s="338">
        <v>26</v>
      </c>
      <c r="AN964" s="338">
        <v>13.87919998168945</v>
      </c>
      <c r="AO964" s="338">
        <v>0</v>
      </c>
      <c r="AP964" s="338">
        <v>0</v>
      </c>
      <c r="AQ964" s="338">
        <v>0</v>
      </c>
      <c r="AR964" s="338">
        <v>0</v>
      </c>
      <c r="AS964" s="338">
        <v>0</v>
      </c>
      <c r="AT964" s="338">
        <v>0</v>
      </c>
      <c r="AU964" s="338">
        <v>0</v>
      </c>
      <c r="AV964" s="338">
        <v>0</v>
      </c>
      <c r="AW964" s="338">
        <v>0</v>
      </c>
      <c r="AX964" s="338">
        <v>0</v>
      </c>
      <c r="AY964" s="338">
        <v>0</v>
      </c>
      <c r="AZ964" s="338">
        <v>0</v>
      </c>
      <c r="BA964" s="338">
        <v>0</v>
      </c>
      <c r="BB964" s="338">
        <v>0</v>
      </c>
      <c r="BC964" s="338">
        <v>0</v>
      </c>
      <c r="BD964" s="338">
        <v>0</v>
      </c>
      <c r="BE964" s="338">
        <v>0</v>
      </c>
      <c r="BF964" s="338" t="s">
        <v>6</v>
      </c>
      <c r="BG964" s="338" t="s">
        <v>5</v>
      </c>
      <c r="BH964" s="338" t="s">
        <v>12591</v>
      </c>
      <c r="BI964" s="338" t="s">
        <v>1585</v>
      </c>
      <c r="BJ964" s="338" t="s">
        <v>5</v>
      </c>
      <c r="BK964" s="338" t="s">
        <v>1585</v>
      </c>
      <c r="BL964" s="338">
        <v>0</v>
      </c>
      <c r="BM964" s="338">
        <v>0</v>
      </c>
      <c r="BN964" s="338" t="s">
        <v>5</v>
      </c>
      <c r="BO964" s="338" t="s">
        <v>1585</v>
      </c>
      <c r="BP964" s="338" t="s">
        <v>1585</v>
      </c>
      <c r="BQ964" s="338" t="s">
        <v>1585</v>
      </c>
      <c r="BR964" s="338" t="s">
        <v>1585</v>
      </c>
      <c r="BS964" s="338" t="s">
        <v>6</v>
      </c>
      <c r="BT964" s="338" t="s">
        <v>1585</v>
      </c>
      <c r="BU964" s="338" t="s">
        <v>1585</v>
      </c>
      <c r="BV964" s="338" t="s">
        <v>1585</v>
      </c>
      <c r="BW964" s="338" t="s">
        <v>1585</v>
      </c>
      <c r="BX964" s="338" t="s">
        <v>6</v>
      </c>
      <c r="BY964" s="338" t="s">
        <v>12593</v>
      </c>
      <c r="BZ964" s="338"/>
      <c r="CA964"/>
      <c r="CB964" s="338" t="s">
        <v>5</v>
      </c>
      <c r="CC964" s="338">
        <v>51910.966727413557</v>
      </c>
      <c r="CD964" s="338">
        <v>14310703.73852502</v>
      </c>
      <c r="CE964" s="313" t="s">
        <v>11891</v>
      </c>
    </row>
    <row r="965" spans="1:83" ht="15" x14ac:dyDescent="0.25">
      <c r="A965" s="338" t="s">
        <v>12707</v>
      </c>
      <c r="B965" s="338" t="s">
        <v>12708</v>
      </c>
      <c r="C965" s="338" t="s">
        <v>12709</v>
      </c>
      <c r="D965" s="338">
        <v>14</v>
      </c>
      <c r="E965" s="338" t="s">
        <v>12583</v>
      </c>
      <c r="F965" s="338" t="s">
        <v>12616</v>
      </c>
      <c r="G965" s="338" t="s">
        <v>12617</v>
      </c>
      <c r="H965" s="338" t="s">
        <v>1585</v>
      </c>
      <c r="I965" s="338" t="s">
        <v>12710</v>
      </c>
      <c r="J965" s="338" t="s">
        <v>1585</v>
      </c>
      <c r="K965" s="338" t="s">
        <v>12693</v>
      </c>
      <c r="L965" s="338">
        <v>2.5659999847412109</v>
      </c>
      <c r="M965" s="338" t="s">
        <v>6</v>
      </c>
      <c r="N965" s="338" t="s">
        <v>5</v>
      </c>
      <c r="O965" s="338" t="s">
        <v>6</v>
      </c>
      <c r="P965" s="338" t="s">
        <v>5</v>
      </c>
      <c r="Q965" s="338" t="s">
        <v>5</v>
      </c>
      <c r="R965" s="338" t="s">
        <v>12711</v>
      </c>
      <c r="S965" s="338" t="s">
        <v>12712</v>
      </c>
      <c r="T965" s="338" t="s">
        <v>6</v>
      </c>
      <c r="U965" s="338" t="s">
        <v>28</v>
      </c>
      <c r="V965" s="338">
        <v>50000</v>
      </c>
      <c r="W965" s="338">
        <v>0</v>
      </c>
      <c r="X965" s="338" t="s">
        <v>6</v>
      </c>
      <c r="Y965" s="338" t="s">
        <v>12590</v>
      </c>
      <c r="Z965" s="338">
        <v>10000</v>
      </c>
      <c r="AA965" s="338">
        <v>0.80000001192092896</v>
      </c>
      <c r="AB965" s="338">
        <v>0.89999997615814209</v>
      </c>
      <c r="AC965" s="338">
        <v>5.4999999701976783E-2</v>
      </c>
      <c r="AD965" s="338">
        <v>655</v>
      </c>
      <c r="AE965" s="338">
        <v>674</v>
      </c>
      <c r="AF965" s="338">
        <v>513</v>
      </c>
      <c r="AG965" s="338">
        <v>575</v>
      </c>
      <c r="AH965" s="338">
        <v>1292</v>
      </c>
      <c r="AI965" s="338">
        <v>1292</v>
      </c>
      <c r="AJ965" s="338">
        <v>0</v>
      </c>
      <c r="AK965" s="338">
        <v>0</v>
      </c>
      <c r="AL965" s="338">
        <v>16</v>
      </c>
      <c r="AM965" s="338">
        <v>56</v>
      </c>
      <c r="AN965" s="338">
        <v>14.446700096130369</v>
      </c>
      <c r="AO965" s="338">
        <v>0</v>
      </c>
      <c r="AP965" s="338">
        <v>0</v>
      </c>
      <c r="AQ965" s="338">
        <v>0</v>
      </c>
      <c r="AR965" s="338">
        <v>0</v>
      </c>
      <c r="AS965" s="338">
        <v>0</v>
      </c>
      <c r="AT965" s="338">
        <v>0</v>
      </c>
      <c r="AU965" s="338">
        <v>0</v>
      </c>
      <c r="AV965" s="338">
        <v>0</v>
      </c>
      <c r="AW965" s="338">
        <v>0</v>
      </c>
      <c r="AX965" s="338">
        <v>0</v>
      </c>
      <c r="AY965" s="338">
        <v>0</v>
      </c>
      <c r="AZ965" s="338">
        <v>0</v>
      </c>
      <c r="BA965" s="338">
        <v>0</v>
      </c>
      <c r="BB965" s="338">
        <v>0</v>
      </c>
      <c r="BC965" s="338">
        <v>0</v>
      </c>
      <c r="BD965" s="338">
        <v>0</v>
      </c>
      <c r="BE965" s="338">
        <v>0</v>
      </c>
      <c r="BF965" s="338" t="s">
        <v>12638</v>
      </c>
      <c r="BG965" s="338" t="s">
        <v>5</v>
      </c>
      <c r="BH965" s="338" t="s">
        <v>12591</v>
      </c>
      <c r="BI965" s="338" t="s">
        <v>1585</v>
      </c>
      <c r="BJ965" s="338" t="s">
        <v>5</v>
      </c>
      <c r="BK965" s="338" t="s">
        <v>1585</v>
      </c>
      <c r="BL965" s="338">
        <v>0</v>
      </c>
      <c r="BM965" s="338">
        <v>0</v>
      </c>
      <c r="BN965" s="338" t="s">
        <v>5</v>
      </c>
      <c r="BO965" s="338" t="s">
        <v>1585</v>
      </c>
      <c r="BP965" s="338" t="s">
        <v>1585</v>
      </c>
      <c r="BQ965" s="338" t="s">
        <v>1585</v>
      </c>
      <c r="BR965" s="338" t="s">
        <v>1585</v>
      </c>
      <c r="BS965" s="338" t="s">
        <v>6</v>
      </c>
      <c r="BT965" s="338" t="s">
        <v>1585</v>
      </c>
      <c r="BU965" s="338" t="s">
        <v>1585</v>
      </c>
      <c r="BV965" s="338" t="s">
        <v>1585</v>
      </c>
      <c r="BW965" s="338" t="s">
        <v>1585</v>
      </c>
      <c r="BX965" s="338" t="s">
        <v>6</v>
      </c>
      <c r="BY965" s="338" t="s">
        <v>12593</v>
      </c>
      <c r="BZ965" s="338"/>
      <c r="CA965"/>
      <c r="CB965" s="338" t="s">
        <v>5</v>
      </c>
      <c r="CC965" s="338">
        <v>17189.697169338611</v>
      </c>
      <c r="CD965" s="338">
        <v>6645706.0621408802</v>
      </c>
      <c r="CE965" s="313" t="s">
        <v>11891</v>
      </c>
    </row>
    <row r="966" spans="1:83" ht="15" x14ac:dyDescent="0.25">
      <c r="A966" s="338" t="s">
        <v>12713</v>
      </c>
      <c r="B966" s="338" t="s">
        <v>12714</v>
      </c>
      <c r="C966" s="338" t="s">
        <v>12715</v>
      </c>
      <c r="D966" s="338">
        <v>14</v>
      </c>
      <c r="E966" s="338" t="s">
        <v>12583</v>
      </c>
      <c r="F966" s="338" t="s">
        <v>12584</v>
      </c>
      <c r="G966" s="338" t="s">
        <v>12585</v>
      </c>
      <c r="H966" s="338" t="s">
        <v>1585</v>
      </c>
      <c r="I966" s="338" t="s">
        <v>12716</v>
      </c>
      <c r="J966" s="338" t="s">
        <v>1585</v>
      </c>
      <c r="K966" s="338" t="s">
        <v>12693</v>
      </c>
      <c r="L966" s="338">
        <v>4.7878599166870117</v>
      </c>
      <c r="M966" s="338" t="s">
        <v>6</v>
      </c>
      <c r="N966" s="338" t="s">
        <v>5</v>
      </c>
      <c r="O966" s="338" t="s">
        <v>6</v>
      </c>
      <c r="P966" s="338" t="s">
        <v>5</v>
      </c>
      <c r="Q966" s="338" t="s">
        <v>5</v>
      </c>
      <c r="R966" s="338" t="s">
        <v>12588</v>
      </c>
      <c r="S966" s="338" t="s">
        <v>12589</v>
      </c>
      <c r="T966" s="338" t="s">
        <v>6</v>
      </c>
      <c r="U966" s="338" t="s">
        <v>28</v>
      </c>
      <c r="V966" s="338">
        <v>50000</v>
      </c>
      <c r="W966" s="338">
        <v>0</v>
      </c>
      <c r="X966" s="338" t="s">
        <v>5</v>
      </c>
      <c r="Y966" s="338" t="s">
        <v>12590</v>
      </c>
      <c r="Z966" s="338">
        <v>0</v>
      </c>
      <c r="AA966" s="338">
        <v>2</v>
      </c>
      <c r="AB966" s="338">
        <v>2.2999999523162842</v>
      </c>
      <c r="AC966" s="338">
        <v>0</v>
      </c>
      <c r="AD966" s="338">
        <v>1640</v>
      </c>
      <c r="AE966" s="338">
        <v>1837</v>
      </c>
      <c r="AF966" s="338">
        <v>1181</v>
      </c>
      <c r="AG966" s="338">
        <v>4364</v>
      </c>
      <c r="AH966" s="338">
        <v>3970</v>
      </c>
      <c r="AI966" s="338">
        <v>4364</v>
      </c>
      <c r="AJ966" s="338">
        <v>6</v>
      </c>
      <c r="AK966" s="338">
        <v>18</v>
      </c>
      <c r="AL966" s="338">
        <v>38</v>
      </c>
      <c r="AM966" s="338">
        <v>199</v>
      </c>
      <c r="AN966" s="338">
        <v>49.910099029541023</v>
      </c>
      <c r="AO966" s="338">
        <v>0</v>
      </c>
      <c r="AP966" s="338">
        <v>0</v>
      </c>
      <c r="AQ966" s="338">
        <v>0</v>
      </c>
      <c r="AR966" s="338">
        <v>0</v>
      </c>
      <c r="AS966" s="338">
        <v>0</v>
      </c>
      <c r="AT966" s="338">
        <v>0</v>
      </c>
      <c r="AU966" s="338">
        <v>0</v>
      </c>
      <c r="AV966" s="338">
        <v>0</v>
      </c>
      <c r="AW966" s="338">
        <v>0</v>
      </c>
      <c r="AX966" s="338">
        <v>0</v>
      </c>
      <c r="AY966" s="338">
        <v>0</v>
      </c>
      <c r="AZ966" s="338">
        <v>0</v>
      </c>
      <c r="BA966" s="338">
        <v>0</v>
      </c>
      <c r="BB966" s="338">
        <v>0</v>
      </c>
      <c r="BC966" s="338">
        <v>0</v>
      </c>
      <c r="BD966" s="338">
        <v>0</v>
      </c>
      <c r="BE966" s="338">
        <v>0</v>
      </c>
      <c r="BF966" s="338" t="s">
        <v>12638</v>
      </c>
      <c r="BG966" s="338" t="s">
        <v>5</v>
      </c>
      <c r="BH966" s="338" t="s">
        <v>12591</v>
      </c>
      <c r="BI966" s="338" t="s">
        <v>1585</v>
      </c>
      <c r="BJ966" s="338" t="s">
        <v>5</v>
      </c>
      <c r="BK966" s="338" t="s">
        <v>1585</v>
      </c>
      <c r="BL966" s="338">
        <v>0</v>
      </c>
      <c r="BM966" s="338">
        <v>0</v>
      </c>
      <c r="BN966" s="338" t="s">
        <v>5</v>
      </c>
      <c r="BO966" s="338" t="s">
        <v>1585</v>
      </c>
      <c r="BP966" s="338" t="s">
        <v>1585</v>
      </c>
      <c r="BQ966" s="338" t="s">
        <v>1585</v>
      </c>
      <c r="BR966" s="338" t="s">
        <v>1585</v>
      </c>
      <c r="BS966" s="338" t="s">
        <v>6</v>
      </c>
      <c r="BT966" s="338" t="s">
        <v>1585</v>
      </c>
      <c r="BU966" s="338" t="s">
        <v>1585</v>
      </c>
      <c r="BV966" s="338" t="s">
        <v>1585</v>
      </c>
      <c r="BW966" s="338" t="s">
        <v>1585</v>
      </c>
      <c r="BX966" s="338" t="s">
        <v>6</v>
      </c>
      <c r="BY966" s="338" t="s">
        <v>12593</v>
      </c>
      <c r="BZ966" s="338"/>
      <c r="CA966"/>
      <c r="CB966" s="338" t="s">
        <v>5</v>
      </c>
      <c r="CC966" s="338">
        <v>41177.870590762417</v>
      </c>
      <c r="CD966" s="338">
        <v>12400487.07003651</v>
      </c>
      <c r="CE966" s="313" t="s">
        <v>11891</v>
      </c>
    </row>
    <row r="967" spans="1:83" ht="15" x14ac:dyDescent="0.25">
      <c r="A967" s="338" t="s">
        <v>12717</v>
      </c>
      <c r="B967" s="338" t="s">
        <v>12718</v>
      </c>
      <c r="C967" s="338" t="s">
        <v>12719</v>
      </c>
      <c r="D967" s="338">
        <v>14</v>
      </c>
      <c r="E967" s="338" t="s">
        <v>12583</v>
      </c>
      <c r="F967" s="338" t="s">
        <v>12720</v>
      </c>
      <c r="G967" s="338"/>
      <c r="H967" s="338" t="s">
        <v>1585</v>
      </c>
      <c r="I967" s="338" t="s">
        <v>1585</v>
      </c>
      <c r="J967" s="338" t="s">
        <v>1585</v>
      </c>
      <c r="K967" s="338" t="s">
        <v>12721</v>
      </c>
      <c r="L967" s="338">
        <v>43031.1015625</v>
      </c>
      <c r="M967" s="338" t="s">
        <v>6</v>
      </c>
      <c r="N967" s="338" t="s">
        <v>5</v>
      </c>
      <c r="O967" s="338" t="s">
        <v>5</v>
      </c>
      <c r="P967" s="338" t="s">
        <v>5</v>
      </c>
      <c r="Q967" s="338" t="s">
        <v>5</v>
      </c>
      <c r="R967" s="338" t="s">
        <v>12628</v>
      </c>
      <c r="S967" s="338"/>
      <c r="T967" s="338" t="s">
        <v>6</v>
      </c>
      <c r="U967" s="338" t="s">
        <v>28</v>
      </c>
      <c r="V967" s="338">
        <v>240000</v>
      </c>
      <c r="W967" s="338">
        <v>0</v>
      </c>
      <c r="X967" s="338" t="s">
        <v>5</v>
      </c>
      <c r="Y967" s="338" t="s">
        <v>12603</v>
      </c>
      <c r="Z967" s="338">
        <v>0</v>
      </c>
      <c r="AA967" s="338">
        <v>9286</v>
      </c>
      <c r="AB967" s="338">
        <v>11041</v>
      </c>
      <c r="AC967" s="338">
        <v>283.07998657226563</v>
      </c>
      <c r="AD967" s="338">
        <v>40121</v>
      </c>
      <c r="AE967" s="338">
        <v>54411</v>
      </c>
      <c r="AF967" s="338">
        <v>24931</v>
      </c>
      <c r="AG967" s="338">
        <v>94295</v>
      </c>
      <c r="AH967" s="338">
        <v>115519</v>
      </c>
      <c r="AI967" s="338">
        <v>115519</v>
      </c>
      <c r="AJ967" s="338">
        <v>94</v>
      </c>
      <c r="AK967" s="338">
        <v>1778</v>
      </c>
      <c r="AL967" s="338">
        <v>3792</v>
      </c>
      <c r="AM967" s="338">
        <v>5871</v>
      </c>
      <c r="AN967" s="338">
        <v>479713</v>
      </c>
      <c r="AO967" s="338">
        <v>0</v>
      </c>
      <c r="AP967" s="338">
        <v>0</v>
      </c>
      <c r="AQ967" s="338">
        <v>0</v>
      </c>
      <c r="AR967" s="338">
        <v>0</v>
      </c>
      <c r="AS967" s="338">
        <v>0</v>
      </c>
      <c r="AT967" s="338">
        <v>0</v>
      </c>
      <c r="AU967" s="338">
        <v>0</v>
      </c>
      <c r="AV967" s="338">
        <v>0</v>
      </c>
      <c r="AW967" s="338">
        <v>0</v>
      </c>
      <c r="AX967" s="338">
        <v>0</v>
      </c>
      <c r="AY967" s="338">
        <v>0</v>
      </c>
      <c r="AZ967" s="338">
        <v>0</v>
      </c>
      <c r="BA967" s="338">
        <v>0</v>
      </c>
      <c r="BB967" s="338">
        <v>0</v>
      </c>
      <c r="BC967" s="338">
        <v>0</v>
      </c>
      <c r="BD967" s="338">
        <v>0</v>
      </c>
      <c r="BE967" s="338">
        <v>0</v>
      </c>
      <c r="BF967" s="338" t="s">
        <v>12638</v>
      </c>
      <c r="BG967" s="338" t="s">
        <v>5</v>
      </c>
      <c r="BH967" s="338" t="s">
        <v>12591</v>
      </c>
      <c r="BI967" s="338" t="s">
        <v>1585</v>
      </c>
      <c r="BJ967" s="338" t="s">
        <v>5</v>
      </c>
      <c r="BK967" s="338" t="s">
        <v>1585</v>
      </c>
      <c r="BL967" s="338">
        <v>0</v>
      </c>
      <c r="BM967" s="338">
        <v>0</v>
      </c>
      <c r="BN967" s="338" t="s">
        <v>5</v>
      </c>
      <c r="BO967" s="338" t="s">
        <v>1585</v>
      </c>
      <c r="BP967" s="338" t="s">
        <v>1585</v>
      </c>
      <c r="BQ967" s="338" t="s">
        <v>1585</v>
      </c>
      <c r="BR967" s="338" t="s">
        <v>1585</v>
      </c>
      <c r="BS967" s="338" t="s">
        <v>6</v>
      </c>
      <c r="BT967" s="338" t="s">
        <v>1585</v>
      </c>
      <c r="BU967" s="338" t="s">
        <v>1585</v>
      </c>
      <c r="BV967" s="338" t="s">
        <v>1585</v>
      </c>
      <c r="BW967" s="338" t="s">
        <v>1585</v>
      </c>
      <c r="BX967" s="338" t="s">
        <v>6</v>
      </c>
      <c r="BY967" s="338" t="s">
        <v>12593</v>
      </c>
      <c r="BZ967" s="338"/>
      <c r="CA967"/>
      <c r="CB967" s="338" t="s">
        <v>5</v>
      </c>
      <c r="CC967" s="338">
        <v>2214847.6270719571</v>
      </c>
      <c r="CD967" s="338">
        <v>111450167805.703</v>
      </c>
      <c r="CE967" s="313" t="s">
        <v>11891</v>
      </c>
    </row>
    <row r="968" spans="1:83" ht="15" x14ac:dyDescent="0.25">
      <c r="A968" s="338" t="s">
        <v>12722</v>
      </c>
      <c r="B968" s="338" t="s">
        <v>12723</v>
      </c>
      <c r="C968" s="338" t="s">
        <v>12724</v>
      </c>
      <c r="D968" s="338">
        <v>14</v>
      </c>
      <c r="E968" s="338" t="s">
        <v>12583</v>
      </c>
      <c r="F968" s="338" t="s">
        <v>12616</v>
      </c>
      <c r="G968" s="338" t="s">
        <v>12725</v>
      </c>
      <c r="H968" s="338" t="s">
        <v>1585</v>
      </c>
      <c r="I968" s="338" t="s">
        <v>12726</v>
      </c>
      <c r="J968" s="338" t="s">
        <v>1585</v>
      </c>
      <c r="K968" s="338" t="s">
        <v>12693</v>
      </c>
      <c r="L968" s="338">
        <v>1.6160000562667849</v>
      </c>
      <c r="M968" s="338" t="s">
        <v>6</v>
      </c>
      <c r="N968" s="338" t="s">
        <v>5</v>
      </c>
      <c r="O968" s="338" t="s">
        <v>6</v>
      </c>
      <c r="P968" s="338" t="s">
        <v>5</v>
      </c>
      <c r="Q968" s="338" t="s">
        <v>5</v>
      </c>
      <c r="R968" s="338" t="s">
        <v>12727</v>
      </c>
      <c r="S968" s="338" t="s">
        <v>12728</v>
      </c>
      <c r="T968" s="338" t="s">
        <v>6</v>
      </c>
      <c r="U968" s="338" t="s">
        <v>28</v>
      </c>
      <c r="V968" s="338">
        <v>50000</v>
      </c>
      <c r="W968" s="338">
        <v>0</v>
      </c>
      <c r="X968" s="338" t="s">
        <v>6</v>
      </c>
      <c r="Y968" s="338" t="s">
        <v>12590</v>
      </c>
      <c r="Z968" s="338">
        <v>10000</v>
      </c>
      <c r="AA968" s="338">
        <v>0.30000001192092901</v>
      </c>
      <c r="AB968" s="338">
        <v>0.40000000596046448</v>
      </c>
      <c r="AC968" s="338">
        <v>0</v>
      </c>
      <c r="AD968" s="338">
        <v>212</v>
      </c>
      <c r="AE968" s="338">
        <v>350</v>
      </c>
      <c r="AF968" s="338">
        <v>140</v>
      </c>
      <c r="AG968" s="338">
        <v>334</v>
      </c>
      <c r="AH968" s="338">
        <v>327</v>
      </c>
      <c r="AI968" s="338">
        <v>334</v>
      </c>
      <c r="AJ968" s="338">
        <v>1</v>
      </c>
      <c r="AK968" s="338">
        <v>12</v>
      </c>
      <c r="AL968" s="338">
        <v>6</v>
      </c>
      <c r="AM968" s="338">
        <v>55</v>
      </c>
      <c r="AN968" s="338">
        <v>0</v>
      </c>
      <c r="AO968" s="338">
        <v>0</v>
      </c>
      <c r="AP968" s="338">
        <v>0</v>
      </c>
      <c r="AQ968" s="338">
        <v>0</v>
      </c>
      <c r="AR968" s="338">
        <v>0</v>
      </c>
      <c r="AS968" s="338">
        <v>0</v>
      </c>
      <c r="AT968" s="338">
        <v>0</v>
      </c>
      <c r="AU968" s="338">
        <v>0</v>
      </c>
      <c r="AV968" s="338">
        <v>0</v>
      </c>
      <c r="AW968" s="338">
        <v>0</v>
      </c>
      <c r="AX968" s="338">
        <v>0</v>
      </c>
      <c r="AY968" s="338">
        <v>0</v>
      </c>
      <c r="AZ968" s="338">
        <v>0</v>
      </c>
      <c r="BA968" s="338">
        <v>0</v>
      </c>
      <c r="BB968" s="338">
        <v>1</v>
      </c>
      <c r="BC968" s="338">
        <v>0</v>
      </c>
      <c r="BD968" s="338">
        <v>0</v>
      </c>
      <c r="BE968" s="338">
        <v>0</v>
      </c>
      <c r="BF968" s="338" t="s">
        <v>6</v>
      </c>
      <c r="BG968" s="338" t="s">
        <v>5</v>
      </c>
      <c r="BH968" s="338" t="s">
        <v>12591</v>
      </c>
      <c r="BI968" s="338" t="s">
        <v>1585</v>
      </c>
      <c r="BJ968" s="338" t="s">
        <v>5</v>
      </c>
      <c r="BK968" s="338" t="s">
        <v>1585</v>
      </c>
      <c r="BL968" s="338">
        <v>0</v>
      </c>
      <c r="BM968" s="338">
        <v>0</v>
      </c>
      <c r="BN968" s="338" t="s">
        <v>6</v>
      </c>
      <c r="BO968" s="338" t="s">
        <v>1585</v>
      </c>
      <c r="BP968" s="338" t="s">
        <v>1585</v>
      </c>
      <c r="BQ968" s="338" t="s">
        <v>12729</v>
      </c>
      <c r="BR968" s="338" t="s">
        <v>1585</v>
      </c>
      <c r="BS968" s="338" t="s">
        <v>6</v>
      </c>
      <c r="BT968" s="338" t="s">
        <v>1585</v>
      </c>
      <c r="BU968" s="338" t="s">
        <v>1585</v>
      </c>
      <c r="BV968" s="338" t="s">
        <v>12729</v>
      </c>
      <c r="BW968" s="338" t="s">
        <v>12730</v>
      </c>
      <c r="BX968" s="338" t="s">
        <v>6</v>
      </c>
      <c r="BY968" s="338" t="s">
        <v>12593</v>
      </c>
      <c r="BZ968" s="338"/>
      <c r="CA968"/>
      <c r="CB968" s="338" t="s">
        <v>5</v>
      </c>
      <c r="CC968" s="338">
        <v>10792.41479503858</v>
      </c>
      <c r="CD968" s="338">
        <v>4186067.9723753822</v>
      </c>
      <c r="CE968" s="313" t="s">
        <v>11891</v>
      </c>
    </row>
    <row r="969" spans="1:83" ht="15" x14ac:dyDescent="0.25">
      <c r="A969" s="338" t="s">
        <v>12731</v>
      </c>
      <c r="B969" s="338" t="s">
        <v>12732</v>
      </c>
      <c r="C969" s="338" t="s">
        <v>12733</v>
      </c>
      <c r="D969" s="338">
        <v>14</v>
      </c>
      <c r="E969" s="338" t="s">
        <v>12583</v>
      </c>
      <c r="F969" s="338" t="s">
        <v>12597</v>
      </c>
      <c r="G969" s="338" t="s">
        <v>12734</v>
      </c>
      <c r="H969" s="338" t="s">
        <v>1585</v>
      </c>
      <c r="I969" s="338" t="s">
        <v>1585</v>
      </c>
      <c r="J969" s="338" t="s">
        <v>1585</v>
      </c>
      <c r="K969" s="338" t="s">
        <v>12735</v>
      </c>
      <c r="L969" s="338">
        <v>17923.69921875</v>
      </c>
      <c r="M969" s="338" t="s">
        <v>6</v>
      </c>
      <c r="N969" s="338" t="s">
        <v>5</v>
      </c>
      <c r="O969" s="338" t="s">
        <v>6</v>
      </c>
      <c r="P969" s="338" t="s">
        <v>5</v>
      </c>
      <c r="Q969" s="338" t="s">
        <v>5</v>
      </c>
      <c r="R969" s="338" t="s">
        <v>12681</v>
      </c>
      <c r="S969" s="338" t="s">
        <v>12682</v>
      </c>
      <c r="T969" s="338" t="s">
        <v>5</v>
      </c>
      <c r="U969" s="338" t="s">
        <v>85</v>
      </c>
      <c r="V969" s="338">
        <v>99000</v>
      </c>
      <c r="W969" s="338">
        <v>0</v>
      </c>
      <c r="X969" s="338" t="s">
        <v>6</v>
      </c>
      <c r="Y969" s="338" t="s">
        <v>12603</v>
      </c>
      <c r="Z969" s="338">
        <v>4950</v>
      </c>
      <c r="AA969" s="338">
        <v>179</v>
      </c>
      <c r="AB969" s="338">
        <v>245</v>
      </c>
      <c r="AC969" s="338">
        <v>267.45999145507813</v>
      </c>
      <c r="AD969" s="338">
        <v>21373</v>
      </c>
      <c r="AE969" s="338">
        <v>59646</v>
      </c>
      <c r="AF969" s="338">
        <v>16856</v>
      </c>
      <c r="AG969" s="338">
        <v>68846</v>
      </c>
      <c r="AH969" s="338">
        <v>70237</v>
      </c>
      <c r="AI969" s="338">
        <v>70212</v>
      </c>
      <c r="AJ969" s="338">
        <v>37</v>
      </c>
      <c r="AK969" s="338">
        <v>132</v>
      </c>
      <c r="AL969" s="338">
        <v>607</v>
      </c>
      <c r="AM969" s="338">
        <v>841</v>
      </c>
      <c r="AN969" s="338">
        <v>48551</v>
      </c>
      <c r="AO969" s="338">
        <v>0</v>
      </c>
      <c r="AP969" s="338">
        <v>0</v>
      </c>
      <c r="AQ969" s="338">
        <v>0</v>
      </c>
      <c r="AR969" s="338">
        <v>0</v>
      </c>
      <c r="AS969" s="338">
        <v>0</v>
      </c>
      <c r="AT969" s="338">
        <v>0</v>
      </c>
      <c r="AU969" s="338">
        <v>0</v>
      </c>
      <c r="AV969" s="338">
        <v>0</v>
      </c>
      <c r="AW969" s="338">
        <v>0</v>
      </c>
      <c r="AX969" s="338">
        <v>0</v>
      </c>
      <c r="AY969" s="338">
        <v>0</v>
      </c>
      <c r="AZ969" s="338">
        <v>0</v>
      </c>
      <c r="BA969" s="338">
        <v>0</v>
      </c>
      <c r="BB969" s="338">
        <v>0</v>
      </c>
      <c r="BC969" s="338">
        <v>0</v>
      </c>
      <c r="BD969" s="338">
        <v>0</v>
      </c>
      <c r="BE969" s="338">
        <v>0</v>
      </c>
      <c r="BF969" s="338" t="s">
        <v>6</v>
      </c>
      <c r="BG969" s="338" t="s">
        <v>5</v>
      </c>
      <c r="BH969" s="338" t="s">
        <v>12591</v>
      </c>
      <c r="BI969" s="338" t="s">
        <v>1585</v>
      </c>
      <c r="BJ969" s="338" t="s">
        <v>5</v>
      </c>
      <c r="BK969" s="338" t="s">
        <v>1585</v>
      </c>
      <c r="BL969" s="338">
        <v>0</v>
      </c>
      <c r="BM969" s="338">
        <v>0</v>
      </c>
      <c r="BN969" s="338" t="s">
        <v>6</v>
      </c>
      <c r="BO969" s="338" t="s">
        <v>12736</v>
      </c>
      <c r="BP969" s="338" t="s">
        <v>1585</v>
      </c>
      <c r="BQ969" s="338" t="s">
        <v>1585</v>
      </c>
      <c r="BR969" s="338" t="s">
        <v>1585</v>
      </c>
      <c r="BS969" s="338" t="s">
        <v>6</v>
      </c>
      <c r="BT969" s="338" t="s">
        <v>1585</v>
      </c>
      <c r="BU969" s="338" t="s">
        <v>1585</v>
      </c>
      <c r="BV969" s="338" t="s">
        <v>1585</v>
      </c>
      <c r="BW969" s="338" t="s">
        <v>1585</v>
      </c>
      <c r="BX969" s="338" t="s">
        <v>6</v>
      </c>
      <c r="BY969" s="338" t="s">
        <v>12593</v>
      </c>
      <c r="BZ969" s="338"/>
      <c r="CA969"/>
      <c r="CB969" s="338" t="s">
        <v>5</v>
      </c>
      <c r="CC969" s="338">
        <v>247981.19182197651</v>
      </c>
      <c r="CD969" s="338">
        <v>2618605326.615912</v>
      </c>
      <c r="CE969" s="313" t="s">
        <v>11891</v>
      </c>
    </row>
    <row r="970" spans="1:83" ht="15" x14ac:dyDescent="0.25">
      <c r="A970" s="338" t="s">
        <v>12737</v>
      </c>
      <c r="B970" s="338" t="s">
        <v>12738</v>
      </c>
      <c r="C970" s="338" t="s">
        <v>12739</v>
      </c>
      <c r="D970" s="338">
        <v>14</v>
      </c>
      <c r="E970" s="338" t="s">
        <v>12583</v>
      </c>
      <c r="F970" s="338" t="s">
        <v>12720</v>
      </c>
      <c r="G970" s="338" t="s">
        <v>12679</v>
      </c>
      <c r="H970" s="338" t="s">
        <v>1585</v>
      </c>
      <c r="I970" s="338" t="s">
        <v>1585</v>
      </c>
      <c r="J970" s="338" t="s">
        <v>1585</v>
      </c>
      <c r="K970" s="338" t="s">
        <v>12740</v>
      </c>
      <c r="L970" s="338">
        <v>1011.049987792969</v>
      </c>
      <c r="M970" s="338" t="s">
        <v>6</v>
      </c>
      <c r="N970" s="338" t="s">
        <v>5</v>
      </c>
      <c r="O970" s="338" t="s">
        <v>6</v>
      </c>
      <c r="P970" s="338" t="s">
        <v>5</v>
      </c>
      <c r="Q970" s="338" t="s">
        <v>5</v>
      </c>
      <c r="R970" s="338" t="s">
        <v>12628</v>
      </c>
      <c r="S970" s="338"/>
      <c r="T970" s="338" t="s">
        <v>5</v>
      </c>
      <c r="U970" s="338" t="s">
        <v>4</v>
      </c>
      <c r="V970" s="338">
        <v>57000</v>
      </c>
      <c r="W970" s="338">
        <v>0</v>
      </c>
      <c r="X970" s="338" t="s">
        <v>5</v>
      </c>
      <c r="Y970" s="338" t="s">
        <v>12671</v>
      </c>
      <c r="Z970" s="338">
        <v>0</v>
      </c>
      <c r="AA970" s="338">
        <v>9286</v>
      </c>
      <c r="AB970" s="338">
        <v>11041</v>
      </c>
      <c r="AC970" s="338">
        <v>283.07998657226563</v>
      </c>
      <c r="AD970" s="338">
        <v>40121</v>
      </c>
      <c r="AE970" s="338">
        <v>54411</v>
      </c>
      <c r="AF970" s="338">
        <v>24931</v>
      </c>
      <c r="AG970" s="338">
        <v>94295</v>
      </c>
      <c r="AH970" s="338">
        <v>115519</v>
      </c>
      <c r="AI970" s="338">
        <v>115519</v>
      </c>
      <c r="AJ970" s="338">
        <v>94</v>
      </c>
      <c r="AK970" s="338">
        <v>1778</v>
      </c>
      <c r="AL970" s="338">
        <v>3792</v>
      </c>
      <c r="AM970" s="338">
        <v>5871</v>
      </c>
      <c r="AN970" s="338">
        <v>479713</v>
      </c>
      <c r="AO970" s="338">
        <v>0</v>
      </c>
      <c r="AP970" s="338">
        <v>0</v>
      </c>
      <c r="AQ970" s="338">
        <v>0</v>
      </c>
      <c r="AR970" s="338">
        <v>0</v>
      </c>
      <c r="AS970" s="338">
        <v>0</v>
      </c>
      <c r="AT970" s="338">
        <v>0</v>
      </c>
      <c r="AU970" s="338">
        <v>0</v>
      </c>
      <c r="AV970" s="338">
        <v>0</v>
      </c>
      <c r="AW970" s="338">
        <v>0</v>
      </c>
      <c r="AX970" s="338">
        <v>0</v>
      </c>
      <c r="AY970" s="338">
        <v>0</v>
      </c>
      <c r="AZ970" s="338">
        <v>0</v>
      </c>
      <c r="BA970" s="338">
        <v>0</v>
      </c>
      <c r="BB970" s="338">
        <v>0</v>
      </c>
      <c r="BC970" s="338">
        <v>0</v>
      </c>
      <c r="BD970" s="338">
        <v>0</v>
      </c>
      <c r="BE970" s="338">
        <v>0</v>
      </c>
      <c r="BF970" s="338" t="s">
        <v>6</v>
      </c>
      <c r="BG970" s="338" t="s">
        <v>5</v>
      </c>
      <c r="BH970" s="338" t="s">
        <v>12591</v>
      </c>
      <c r="BI970" s="338" t="s">
        <v>1585</v>
      </c>
      <c r="BJ970" s="338" t="s">
        <v>5</v>
      </c>
      <c r="BK970" s="338" t="s">
        <v>1585</v>
      </c>
      <c r="BL970" s="338">
        <v>0</v>
      </c>
      <c r="BM970" s="338">
        <v>0</v>
      </c>
      <c r="BN970" s="338" t="s">
        <v>6</v>
      </c>
      <c r="BO970" s="338" t="s">
        <v>12741</v>
      </c>
      <c r="BP970" s="338" t="s">
        <v>1585</v>
      </c>
      <c r="BQ970" s="338" t="s">
        <v>1585</v>
      </c>
      <c r="BR970" s="338" t="s">
        <v>1585</v>
      </c>
      <c r="BS970" s="338" t="s">
        <v>6</v>
      </c>
      <c r="BT970" s="338" t="s">
        <v>1585</v>
      </c>
      <c r="BU970" s="338" t="s">
        <v>1585</v>
      </c>
      <c r="BV970" s="338" t="s">
        <v>1585</v>
      </c>
      <c r="BW970" s="338" t="s">
        <v>1585</v>
      </c>
      <c r="BX970" s="338" t="s">
        <v>6</v>
      </c>
      <c r="BY970" s="338" t="s">
        <v>12593</v>
      </c>
      <c r="BZ970" s="338"/>
      <c r="CA970"/>
      <c r="CB970" s="338" t="s">
        <v>5</v>
      </c>
      <c r="CC970" s="338">
        <v>2214847.6270719571</v>
      </c>
      <c r="CD970" s="338">
        <v>111450167805.703</v>
      </c>
      <c r="CE970" s="313" t="s">
        <v>11891</v>
      </c>
    </row>
    <row r="971" spans="1:83" ht="15" x14ac:dyDescent="0.25">
      <c r="A971" s="313" t="s">
        <v>12821</v>
      </c>
      <c r="B971" s="313" t="s">
        <v>12822</v>
      </c>
      <c r="C971" s="313" t="s">
        <v>12823</v>
      </c>
      <c r="D971" s="313">
        <v>9</v>
      </c>
      <c r="E971" s="313" t="s">
        <v>416</v>
      </c>
      <c r="F971" s="313" t="s">
        <v>417</v>
      </c>
      <c r="G971" s="313" t="s">
        <v>418</v>
      </c>
      <c r="H971" s="313" t="s">
        <v>419</v>
      </c>
      <c r="I971" s="313" t="s">
        <v>420</v>
      </c>
      <c r="J971" s="313" t="s">
        <v>421</v>
      </c>
      <c r="K971" s="313" t="s">
        <v>427</v>
      </c>
      <c r="L971" s="313">
        <v>5.3115334510803223</v>
      </c>
      <c r="M971" s="313" t="s">
        <v>5</v>
      </c>
      <c r="N971" s="313" t="s">
        <v>5</v>
      </c>
      <c r="O971" s="313" t="s">
        <v>5</v>
      </c>
      <c r="P971" s="313" t="s">
        <v>5</v>
      </c>
      <c r="Q971" s="313" t="s">
        <v>5</v>
      </c>
      <c r="R971" s="313" t="s">
        <v>423</v>
      </c>
      <c r="S971" s="313" t="s">
        <v>424</v>
      </c>
      <c r="T971" s="313" t="s">
        <v>5</v>
      </c>
      <c r="U971" s="313" t="s">
        <v>4</v>
      </c>
      <c r="V971" s="313">
        <v>25000</v>
      </c>
      <c r="W971" s="313">
        <v>0</v>
      </c>
      <c r="X971" s="313" t="s">
        <v>6</v>
      </c>
      <c r="Y971" s="313"/>
      <c r="Z971" s="313"/>
      <c r="AA971" s="313">
        <v>500.92422485351563</v>
      </c>
      <c r="AB971" s="313">
        <v>0.23701925575733179</v>
      </c>
      <c r="AC971" s="313">
        <v>500.92422485351563</v>
      </c>
      <c r="AD971" s="313">
        <v>143</v>
      </c>
      <c r="AE971" s="313">
        <v>103</v>
      </c>
      <c r="AF971" s="313">
        <v>93</v>
      </c>
      <c r="AG971" s="313">
        <v>353</v>
      </c>
      <c r="AH971" s="313">
        <v>151</v>
      </c>
      <c r="AI971" s="313">
        <v>353</v>
      </c>
      <c r="AJ971" s="313">
        <v>2</v>
      </c>
      <c r="AK971" s="313">
        <v>1</v>
      </c>
      <c r="AL971" s="313">
        <v>10</v>
      </c>
      <c r="AM971" s="313">
        <v>0</v>
      </c>
      <c r="AN971" s="313">
        <v>37.864822387695313</v>
      </c>
      <c r="AO971" s="313"/>
      <c r="AP971" s="313"/>
      <c r="AQ971" s="313"/>
      <c r="AR971" s="313">
        <v>36</v>
      </c>
      <c r="AS971" s="313">
        <v>36</v>
      </c>
      <c r="AT971" s="313">
        <v>25</v>
      </c>
      <c r="AU971" s="313">
        <v>23</v>
      </c>
      <c r="AV971" s="313">
        <v>109</v>
      </c>
      <c r="AW971" s="313">
        <v>0</v>
      </c>
      <c r="AX971" s="313">
        <v>0</v>
      </c>
      <c r="AY971" s="313">
        <v>2</v>
      </c>
      <c r="AZ971" s="313">
        <v>0</v>
      </c>
      <c r="BA971" s="313">
        <v>9.4662055969238281</v>
      </c>
      <c r="BB971" s="313"/>
      <c r="BC971" s="313"/>
      <c r="BD971" s="313"/>
      <c r="BE971" s="313">
        <v>25000</v>
      </c>
      <c r="BF971" s="313" t="s">
        <v>425</v>
      </c>
      <c r="BG971" s="313" t="s">
        <v>5</v>
      </c>
      <c r="BH971" s="313" t="s">
        <v>1020</v>
      </c>
      <c r="BI971" s="313"/>
      <c r="BJ971" s="313" t="s">
        <v>5</v>
      </c>
      <c r="BK971" s="313"/>
      <c r="BL971" s="313">
        <v>0</v>
      </c>
      <c r="BM971" s="313"/>
      <c r="BN971" s="313" t="s">
        <v>5</v>
      </c>
      <c r="BO971" s="313"/>
      <c r="BP971" s="313"/>
      <c r="BQ971" s="313"/>
      <c r="BR971" s="313"/>
      <c r="BS971" s="313" t="s">
        <v>5</v>
      </c>
      <c r="BT971" s="313"/>
      <c r="BU971" s="313"/>
      <c r="BV971" s="313"/>
      <c r="BW971" s="313"/>
      <c r="BX971" s="313" t="s">
        <v>6</v>
      </c>
      <c r="BY971" s="313" t="s">
        <v>426</v>
      </c>
      <c r="BZ971" s="313"/>
      <c r="CB971" s="313" t="s">
        <v>5</v>
      </c>
      <c r="CC971" s="313">
        <v>21721.127558054221</v>
      </c>
      <c r="CD971" s="313">
        <v>13756808.62225158</v>
      </c>
      <c r="CE971" s="313" t="s">
        <v>11891</v>
      </c>
    </row>
    <row r="972" spans="1:83" ht="15" x14ac:dyDescent="0.25">
      <c r="A972" s="313" t="s">
        <v>12824</v>
      </c>
      <c r="B972" s="313" t="s">
        <v>12825</v>
      </c>
      <c r="C972" s="313" t="s">
        <v>12826</v>
      </c>
      <c r="D972" s="313">
        <v>9</v>
      </c>
      <c r="E972" s="313" t="s">
        <v>416</v>
      </c>
      <c r="F972" s="313" t="s">
        <v>12827</v>
      </c>
      <c r="G972" s="313" t="s">
        <v>12828</v>
      </c>
      <c r="H972" s="313" t="s">
        <v>12828</v>
      </c>
      <c r="I972" s="313" t="s">
        <v>12828</v>
      </c>
      <c r="J972" s="313" t="s">
        <v>12829</v>
      </c>
      <c r="K972" s="313" t="s">
        <v>422</v>
      </c>
      <c r="L972" s="313">
        <v>21171.580078125</v>
      </c>
      <c r="M972" s="313" t="s">
        <v>5</v>
      </c>
      <c r="N972" s="313" t="s">
        <v>5</v>
      </c>
      <c r="O972" s="313" t="s">
        <v>5</v>
      </c>
      <c r="P972" s="313" t="s">
        <v>5</v>
      </c>
      <c r="Q972" s="313" t="s">
        <v>5</v>
      </c>
      <c r="R972" s="313" t="s">
        <v>637</v>
      </c>
      <c r="S972" s="313" t="s">
        <v>12830</v>
      </c>
      <c r="T972" s="313" t="s">
        <v>5</v>
      </c>
      <c r="U972" s="313" t="s">
        <v>4</v>
      </c>
      <c r="V972" s="313">
        <v>25000</v>
      </c>
      <c r="W972" s="313">
        <v>0</v>
      </c>
      <c r="X972" s="313" t="s">
        <v>6</v>
      </c>
      <c r="Y972" s="313"/>
      <c r="Z972" s="313"/>
      <c r="AA972" s="313">
        <v>2893507.75</v>
      </c>
      <c r="AB972" s="313">
        <v>1127.2216796875</v>
      </c>
      <c r="AC972" s="313">
        <v>2893507.75</v>
      </c>
      <c r="AD972" s="313">
        <v>36361</v>
      </c>
      <c r="AE972" s="313">
        <v>17273</v>
      </c>
      <c r="AF972" s="313">
        <v>23637</v>
      </c>
      <c r="AG972" s="313">
        <v>81457</v>
      </c>
      <c r="AH972" s="313">
        <v>68653</v>
      </c>
      <c r="AI972" s="313">
        <v>81457</v>
      </c>
      <c r="AJ972" s="313">
        <v>54</v>
      </c>
      <c r="AK972" s="313">
        <v>255</v>
      </c>
      <c r="AL972" s="313">
        <v>4338</v>
      </c>
      <c r="AM972" s="313">
        <v>0</v>
      </c>
      <c r="AN972" s="313">
        <v>719367.3125</v>
      </c>
      <c r="AO972" s="313"/>
      <c r="AP972" s="313"/>
      <c r="AQ972" s="313"/>
      <c r="AR972" s="313">
        <v>9090</v>
      </c>
      <c r="AS972" s="313">
        <v>9090</v>
      </c>
      <c r="AT972" s="313">
        <v>4318</v>
      </c>
      <c r="AU972" s="313">
        <v>5909</v>
      </c>
      <c r="AV972" s="313">
        <v>32721</v>
      </c>
      <c r="AW972" s="313">
        <v>13</v>
      </c>
      <c r="AX972" s="313">
        <v>63</v>
      </c>
      <c r="AY972" s="313">
        <v>1084</v>
      </c>
      <c r="AZ972" s="313">
        <v>0</v>
      </c>
      <c r="BA972" s="313">
        <v>179841.828125</v>
      </c>
      <c r="BB972" s="313"/>
      <c r="BC972" s="313"/>
      <c r="BD972" s="313"/>
      <c r="BE972" s="313">
        <v>25000</v>
      </c>
      <c r="BF972" s="313" t="s">
        <v>425</v>
      </c>
      <c r="BG972" s="313" t="s">
        <v>5</v>
      </c>
      <c r="BH972" s="313" t="s">
        <v>1020</v>
      </c>
      <c r="BI972" s="313"/>
      <c r="BJ972" s="313" t="s">
        <v>5</v>
      </c>
      <c r="BK972" s="313"/>
      <c r="BL972" s="313">
        <v>0</v>
      </c>
      <c r="BM972" s="313"/>
      <c r="BN972" s="313" t="s">
        <v>5</v>
      </c>
      <c r="BO972" s="313"/>
      <c r="BP972" s="313"/>
      <c r="BQ972" s="313"/>
      <c r="BR972" s="313"/>
      <c r="BS972" s="313" t="s">
        <v>5</v>
      </c>
      <c r="BT972" s="313"/>
      <c r="BU972" s="313"/>
      <c r="BV972" s="313"/>
      <c r="BW972" s="313"/>
      <c r="BX972" s="313" t="s">
        <v>6</v>
      </c>
      <c r="BY972" s="313" t="s">
        <v>426</v>
      </c>
      <c r="BZ972" s="313"/>
      <c r="CB972" s="313" t="s">
        <v>5</v>
      </c>
      <c r="CC972" s="313">
        <v>1391161.739992467</v>
      </c>
      <c r="CD972" s="313">
        <v>54834140622.426987</v>
      </c>
      <c r="CE972" s="313" t="s">
        <v>11891</v>
      </c>
    </row>
    <row r="973" spans="1:83" ht="15" x14ac:dyDescent="0.25">
      <c r="A973" s="313" t="s">
        <v>12831</v>
      </c>
      <c r="B973" s="313" t="s">
        <v>12832</v>
      </c>
      <c r="C973" s="313" t="s">
        <v>12833</v>
      </c>
      <c r="D973" s="313">
        <v>9</v>
      </c>
      <c r="E973" s="313" t="s">
        <v>416</v>
      </c>
      <c r="F973" s="313" t="s">
        <v>12827</v>
      </c>
      <c r="G973" s="313" t="s">
        <v>12828</v>
      </c>
      <c r="H973" s="313" t="s">
        <v>12828</v>
      </c>
      <c r="I973" s="313" t="s">
        <v>12828</v>
      </c>
      <c r="J973" s="313" t="s">
        <v>12829</v>
      </c>
      <c r="K973" s="313" t="s">
        <v>422</v>
      </c>
      <c r="L973" s="313">
        <v>21171.580078125</v>
      </c>
      <c r="M973" s="313" t="s">
        <v>5</v>
      </c>
      <c r="N973" s="313" t="s">
        <v>5</v>
      </c>
      <c r="O973" s="313" t="s">
        <v>5</v>
      </c>
      <c r="P973" s="313" t="s">
        <v>5</v>
      </c>
      <c r="Q973" s="313" t="s">
        <v>5</v>
      </c>
      <c r="R973" s="313" t="s">
        <v>637</v>
      </c>
      <c r="S973" s="313" t="s">
        <v>12830</v>
      </c>
      <c r="T973" s="313" t="s">
        <v>5</v>
      </c>
      <c r="U973" s="313" t="s">
        <v>4</v>
      </c>
      <c r="V973" s="313">
        <v>25000</v>
      </c>
      <c r="W973" s="313">
        <v>0</v>
      </c>
      <c r="X973" s="313" t="s">
        <v>6</v>
      </c>
      <c r="Y973" s="313"/>
      <c r="Z973" s="313"/>
      <c r="AA973" s="313">
        <v>2893507.75</v>
      </c>
      <c r="AB973" s="313">
        <v>1127.2216796875</v>
      </c>
      <c r="AC973" s="313">
        <v>2893507.75</v>
      </c>
      <c r="AD973" s="313">
        <v>36361</v>
      </c>
      <c r="AE973" s="313">
        <v>17273</v>
      </c>
      <c r="AF973" s="313">
        <v>23637</v>
      </c>
      <c r="AG973" s="313">
        <v>81457</v>
      </c>
      <c r="AH973" s="313">
        <v>68653</v>
      </c>
      <c r="AI973" s="313">
        <v>81457</v>
      </c>
      <c r="AJ973" s="313">
        <v>54</v>
      </c>
      <c r="AK973" s="313">
        <v>255</v>
      </c>
      <c r="AL973" s="313">
        <v>4338</v>
      </c>
      <c r="AM973" s="313">
        <v>0</v>
      </c>
      <c r="AN973" s="313">
        <v>719367.3125</v>
      </c>
      <c r="AO973" s="313"/>
      <c r="AP973" s="313"/>
      <c r="AQ973" s="313"/>
      <c r="AR973" s="313">
        <v>9090</v>
      </c>
      <c r="AS973" s="313">
        <v>9090</v>
      </c>
      <c r="AT973" s="313">
        <v>4318</v>
      </c>
      <c r="AU973" s="313">
        <v>5909</v>
      </c>
      <c r="AV973" s="313">
        <v>32721</v>
      </c>
      <c r="AW973" s="313">
        <v>13</v>
      </c>
      <c r="AX973" s="313">
        <v>63</v>
      </c>
      <c r="AY973" s="313">
        <v>1084</v>
      </c>
      <c r="AZ973" s="313">
        <v>0</v>
      </c>
      <c r="BA973" s="313">
        <v>179841.828125</v>
      </c>
      <c r="BB973" s="313"/>
      <c r="BC973" s="313"/>
      <c r="BD973" s="313"/>
      <c r="BE973" s="313">
        <v>25000</v>
      </c>
      <c r="BF973" s="313" t="s">
        <v>425</v>
      </c>
      <c r="BG973" s="313" t="s">
        <v>5</v>
      </c>
      <c r="BH973" s="313" t="s">
        <v>1020</v>
      </c>
      <c r="BI973" s="313"/>
      <c r="BJ973" s="313" t="s">
        <v>5</v>
      </c>
      <c r="BK973" s="313"/>
      <c r="BL973" s="313">
        <v>0</v>
      </c>
      <c r="BM973" s="313"/>
      <c r="BN973" s="313" t="s">
        <v>5</v>
      </c>
      <c r="BO973" s="313"/>
      <c r="BP973" s="313"/>
      <c r="BQ973" s="313"/>
      <c r="BR973" s="313"/>
      <c r="BS973" s="313" t="s">
        <v>5</v>
      </c>
      <c r="BT973" s="313"/>
      <c r="BU973" s="313"/>
      <c r="BV973" s="313"/>
      <c r="BW973" s="313"/>
      <c r="BX973" s="313" t="s">
        <v>6</v>
      </c>
      <c r="BY973" s="313" t="s">
        <v>426</v>
      </c>
      <c r="BZ973" s="313"/>
      <c r="CB973" s="313" t="s">
        <v>5</v>
      </c>
      <c r="CC973" s="313">
        <v>1391161.739992467</v>
      </c>
      <c r="CD973" s="313">
        <v>54834140622.426987</v>
      </c>
      <c r="CE973" s="313" t="s">
        <v>11891</v>
      </c>
    </row>
    <row r="974" spans="1:83" ht="15" x14ac:dyDescent="0.25">
      <c r="A974" s="313" t="s">
        <v>12834</v>
      </c>
      <c r="B974" s="313" t="s">
        <v>12835</v>
      </c>
      <c r="C974" s="313" t="s">
        <v>12836</v>
      </c>
      <c r="D974" s="313">
        <v>9</v>
      </c>
      <c r="E974" s="313" t="s">
        <v>416</v>
      </c>
      <c r="F974" s="313" t="s">
        <v>671</v>
      </c>
      <c r="G974" s="313" t="s">
        <v>672</v>
      </c>
      <c r="H974" s="313" t="s">
        <v>673</v>
      </c>
      <c r="I974" s="313" t="s">
        <v>674</v>
      </c>
      <c r="J974" s="313" t="s">
        <v>675</v>
      </c>
      <c r="K974" s="313" t="s">
        <v>653</v>
      </c>
      <c r="L974" s="313">
        <v>0.31107339262962341</v>
      </c>
      <c r="M974" s="313" t="s">
        <v>5</v>
      </c>
      <c r="N974" s="313" t="s">
        <v>5</v>
      </c>
      <c r="O974" s="313" t="s">
        <v>5</v>
      </c>
      <c r="P974" s="313" t="s">
        <v>5</v>
      </c>
      <c r="Q974" s="313" t="s">
        <v>5</v>
      </c>
      <c r="R974" s="313" t="s">
        <v>676</v>
      </c>
      <c r="S974" s="313" t="s">
        <v>677</v>
      </c>
      <c r="T974" s="313" t="s">
        <v>5</v>
      </c>
      <c r="U974" s="313" t="s">
        <v>4</v>
      </c>
      <c r="V974" s="313">
        <v>25000</v>
      </c>
      <c r="W974" s="313">
        <v>0</v>
      </c>
      <c r="X974" s="313" t="s">
        <v>6</v>
      </c>
      <c r="Y974" s="313"/>
      <c r="Z974" s="313"/>
      <c r="AA974" s="313">
        <v>99</v>
      </c>
      <c r="AB974" s="313">
        <v>1</v>
      </c>
      <c r="AC974" s="313">
        <v>99</v>
      </c>
      <c r="AD974" s="313">
        <v>9</v>
      </c>
      <c r="AE974" s="313">
        <v>1</v>
      </c>
      <c r="AF974" s="313">
        <v>9</v>
      </c>
      <c r="AG974" s="313">
        <v>99</v>
      </c>
      <c r="AH974" s="313">
        <v>99</v>
      </c>
      <c r="AI974" s="313">
        <v>99</v>
      </c>
      <c r="AJ974" s="313">
        <v>0</v>
      </c>
      <c r="AK974" s="313">
        <v>0</v>
      </c>
      <c r="AL974" s="313">
        <v>0</v>
      </c>
      <c r="AM974" s="313">
        <v>0</v>
      </c>
      <c r="AN974" s="313">
        <v>0</v>
      </c>
      <c r="AO974" s="313"/>
      <c r="AP974" s="313"/>
      <c r="AQ974" s="313"/>
      <c r="AR974" s="313">
        <v>3</v>
      </c>
      <c r="AS974" s="313">
        <v>3</v>
      </c>
      <c r="AT974" s="313">
        <v>0</v>
      </c>
      <c r="AU974" s="313">
        <v>2</v>
      </c>
      <c r="AV974" s="313">
        <v>24</v>
      </c>
      <c r="AW974" s="313">
        <v>0</v>
      </c>
      <c r="AX974" s="313">
        <v>0</v>
      </c>
      <c r="AY974" s="313">
        <v>0</v>
      </c>
      <c r="AZ974" s="313">
        <v>0</v>
      </c>
      <c r="BA974" s="313">
        <v>0</v>
      </c>
      <c r="BB974" s="313"/>
      <c r="BC974" s="313"/>
      <c r="BD974" s="313"/>
      <c r="BE974" s="313">
        <v>25000</v>
      </c>
      <c r="BF974" s="313" t="s">
        <v>425</v>
      </c>
      <c r="BG974" s="313" t="s">
        <v>5</v>
      </c>
      <c r="BH974" s="313" t="s">
        <v>1020</v>
      </c>
      <c r="BI974" s="313"/>
      <c r="BJ974" s="313" t="s">
        <v>5</v>
      </c>
      <c r="BK974" s="313"/>
      <c r="BL974" s="313">
        <v>10</v>
      </c>
      <c r="BM974" s="313"/>
      <c r="BN974" s="313" t="s">
        <v>5</v>
      </c>
      <c r="BO974" s="313"/>
      <c r="BP974" s="313"/>
      <c r="BQ974" s="313"/>
      <c r="BR974" s="313"/>
      <c r="BS974" s="313" t="s">
        <v>5</v>
      </c>
      <c r="BT974" s="313"/>
      <c r="BU974" s="313"/>
      <c r="BV974" s="313"/>
      <c r="BW974" s="313"/>
      <c r="BX974" s="313" t="s">
        <v>6</v>
      </c>
      <c r="BY974" s="313" t="s">
        <v>426</v>
      </c>
      <c r="BZ974" s="313"/>
      <c r="CB974" s="313" t="s">
        <v>6</v>
      </c>
      <c r="CC974" s="313">
        <v>4024.2127948410662</v>
      </c>
      <c r="CD974" s="313">
        <v>805676.41798537993</v>
      </c>
      <c r="CE974" s="313" t="s">
        <v>11891</v>
      </c>
    </row>
    <row r="975" spans="1:83" ht="15" x14ac:dyDescent="0.25">
      <c r="A975" s="313" t="s">
        <v>12837</v>
      </c>
      <c r="B975" s="313" t="s">
        <v>12838</v>
      </c>
      <c r="C975" s="313" t="s">
        <v>683</v>
      </c>
      <c r="D975" s="313">
        <v>9</v>
      </c>
      <c r="E975" s="313" t="s">
        <v>416</v>
      </c>
      <c r="F975" s="313" t="s">
        <v>417</v>
      </c>
      <c r="G975" s="313" t="s">
        <v>418</v>
      </c>
      <c r="H975" s="313" t="s">
        <v>475</v>
      </c>
      <c r="I975" s="313" t="s">
        <v>476</v>
      </c>
      <c r="J975" s="313" t="s">
        <v>477</v>
      </c>
      <c r="K975" s="313" t="s">
        <v>444</v>
      </c>
      <c r="L975" s="313">
        <v>0.40153923630714422</v>
      </c>
      <c r="M975" s="313" t="s">
        <v>5</v>
      </c>
      <c r="N975" s="313" t="s">
        <v>5</v>
      </c>
      <c r="O975" s="313" t="s">
        <v>5</v>
      </c>
      <c r="P975" s="313" t="s">
        <v>5</v>
      </c>
      <c r="Q975" s="313" t="s">
        <v>5</v>
      </c>
      <c r="R975" s="313" t="s">
        <v>423</v>
      </c>
      <c r="S975" s="313" t="s">
        <v>478</v>
      </c>
      <c r="T975" s="313" t="s">
        <v>5</v>
      </c>
      <c r="U975" s="313" t="s">
        <v>4</v>
      </c>
      <c r="V975" s="313">
        <v>25000</v>
      </c>
      <c r="W975" s="313">
        <v>0</v>
      </c>
      <c r="X975" s="313" t="s">
        <v>6</v>
      </c>
      <c r="Y975" s="313"/>
      <c r="Z975" s="313"/>
      <c r="AA975" s="313">
        <v>2.464128971099854</v>
      </c>
      <c r="AB975" s="313">
        <v>5.1202601753175259E-4</v>
      </c>
      <c r="AC975" s="313">
        <v>2.464128971099854</v>
      </c>
      <c r="AD975" s="313">
        <v>9</v>
      </c>
      <c r="AE975" s="313">
        <v>1</v>
      </c>
      <c r="AF975" s="313">
        <v>9</v>
      </c>
      <c r="AG975" s="313">
        <v>99</v>
      </c>
      <c r="AH975" s="313">
        <v>99</v>
      </c>
      <c r="AI975" s="313">
        <v>99</v>
      </c>
      <c r="AJ975" s="313">
        <v>0</v>
      </c>
      <c r="AK975" s="313">
        <v>0</v>
      </c>
      <c r="AL975" s="313">
        <v>0</v>
      </c>
      <c r="AM975" s="313">
        <v>0</v>
      </c>
      <c r="AN975" s="313">
        <v>0</v>
      </c>
      <c r="AO975" s="313"/>
      <c r="AP975" s="313"/>
      <c r="AQ975" s="313"/>
      <c r="AR975" s="313">
        <v>3</v>
      </c>
      <c r="AS975" s="313">
        <v>3</v>
      </c>
      <c r="AT975" s="313">
        <v>0</v>
      </c>
      <c r="AU975" s="313">
        <v>2</v>
      </c>
      <c r="AV975" s="313">
        <v>24</v>
      </c>
      <c r="AW975" s="313">
        <v>0</v>
      </c>
      <c r="AX975" s="313">
        <v>0</v>
      </c>
      <c r="AY975" s="313">
        <v>0</v>
      </c>
      <c r="AZ975" s="313">
        <v>0</v>
      </c>
      <c r="BA975" s="313">
        <v>0</v>
      </c>
      <c r="BB975" s="313"/>
      <c r="BC975" s="313"/>
      <c r="BD975" s="313"/>
      <c r="BE975" s="313">
        <v>25000</v>
      </c>
      <c r="BF975" s="313" t="s">
        <v>425</v>
      </c>
      <c r="BG975" s="313" t="s">
        <v>5</v>
      </c>
      <c r="BH975" s="313" t="s">
        <v>1020</v>
      </c>
      <c r="BI975" s="313"/>
      <c r="BJ975" s="313" t="s">
        <v>5</v>
      </c>
      <c r="BK975" s="313"/>
      <c r="BL975" s="313">
        <v>10</v>
      </c>
      <c r="BM975" s="313"/>
      <c r="BN975" s="313" t="s">
        <v>5</v>
      </c>
      <c r="BO975" s="313"/>
      <c r="BP975" s="313"/>
      <c r="BQ975" s="313"/>
      <c r="BR975" s="313"/>
      <c r="BS975" s="313" t="s">
        <v>5</v>
      </c>
      <c r="BT975" s="313"/>
      <c r="BU975" s="313"/>
      <c r="BV975" s="313"/>
      <c r="BW975" s="313"/>
      <c r="BX975" s="313" t="s">
        <v>6</v>
      </c>
      <c r="BY975" s="313" t="s">
        <v>426</v>
      </c>
      <c r="BZ975" s="313"/>
      <c r="CB975" s="313" t="s">
        <v>6</v>
      </c>
      <c r="CC975" s="313">
        <v>4282.641684507942</v>
      </c>
      <c r="CD975" s="313">
        <v>1039981.827936379</v>
      </c>
      <c r="CE975" s="313" t="s">
        <v>11891</v>
      </c>
    </row>
    <row r="976" spans="1:83" ht="15" x14ac:dyDescent="0.25">
      <c r="A976" s="313" t="s">
        <v>12839</v>
      </c>
      <c r="B976" s="313" t="s">
        <v>12840</v>
      </c>
      <c r="C976" s="313" t="s">
        <v>683</v>
      </c>
      <c r="D976" s="313">
        <v>9</v>
      </c>
      <c r="E976" s="313" t="s">
        <v>416</v>
      </c>
      <c r="F976" s="313" t="s">
        <v>691</v>
      </c>
      <c r="G976" s="313" t="s">
        <v>12841</v>
      </c>
      <c r="H976" s="313" t="s">
        <v>12842</v>
      </c>
      <c r="I976" s="313" t="s">
        <v>12842</v>
      </c>
      <c r="J976" s="313" t="s">
        <v>692</v>
      </c>
      <c r="K976" s="313" t="s">
        <v>653</v>
      </c>
      <c r="L976" s="313">
        <v>1052.472900390625</v>
      </c>
      <c r="M976" s="313" t="s">
        <v>5</v>
      </c>
      <c r="N976" s="313" t="s">
        <v>5</v>
      </c>
      <c r="O976" s="313" t="s">
        <v>5</v>
      </c>
      <c r="P976" s="313" t="s">
        <v>5</v>
      </c>
      <c r="Q976" s="313" t="s">
        <v>5</v>
      </c>
      <c r="R976" s="313" t="s">
        <v>693</v>
      </c>
      <c r="S976" s="313" t="s">
        <v>694</v>
      </c>
      <c r="T976" s="313" t="s">
        <v>5</v>
      </c>
      <c r="U976" s="313" t="s">
        <v>4</v>
      </c>
      <c r="V976" s="313">
        <v>25000</v>
      </c>
      <c r="W976" s="313">
        <v>0</v>
      </c>
      <c r="X976" s="313" t="s">
        <v>6</v>
      </c>
      <c r="Y976" s="313"/>
      <c r="Z976" s="313"/>
      <c r="AA976" s="313">
        <v>128592.46875</v>
      </c>
      <c r="AB976" s="313">
        <v>35.382354736328118</v>
      </c>
      <c r="AC976" s="313">
        <v>128592.46875</v>
      </c>
      <c r="AD976" s="313">
        <v>164</v>
      </c>
      <c r="AE976" s="313">
        <v>68</v>
      </c>
      <c r="AF976" s="313">
        <v>41</v>
      </c>
      <c r="AG976" s="313">
        <v>172</v>
      </c>
      <c r="AH976" s="313">
        <v>178</v>
      </c>
      <c r="AI976" s="313">
        <v>178</v>
      </c>
      <c r="AJ976" s="313">
        <v>0</v>
      </c>
      <c r="AK976" s="313">
        <v>18</v>
      </c>
      <c r="AL976" s="313">
        <v>125</v>
      </c>
      <c r="AM976" s="313">
        <v>0</v>
      </c>
      <c r="AN976" s="313">
        <v>39209.76953125</v>
      </c>
      <c r="AO976" s="313"/>
      <c r="AP976" s="313"/>
      <c r="AQ976" s="313"/>
      <c r="AR976" s="313">
        <v>41</v>
      </c>
      <c r="AS976" s="313">
        <v>41</v>
      </c>
      <c r="AT976" s="313">
        <v>17</v>
      </c>
      <c r="AU976" s="313">
        <v>10</v>
      </c>
      <c r="AV976" s="313">
        <v>62</v>
      </c>
      <c r="AW976" s="313">
        <v>0</v>
      </c>
      <c r="AX976" s="313">
        <v>4</v>
      </c>
      <c r="AY976" s="313">
        <v>31</v>
      </c>
      <c r="AZ976" s="313">
        <v>0</v>
      </c>
      <c r="BA976" s="313">
        <v>9802.4423828125</v>
      </c>
      <c r="BB976" s="313"/>
      <c r="BC976" s="313"/>
      <c r="BD976" s="313"/>
      <c r="BE976" s="313">
        <v>25000</v>
      </c>
      <c r="BF976" s="313" t="s">
        <v>425</v>
      </c>
      <c r="BG976" s="313" t="s">
        <v>5</v>
      </c>
      <c r="BH976" s="313" t="s">
        <v>1020</v>
      </c>
      <c r="BI976" s="313"/>
      <c r="BJ976" s="313" t="s">
        <v>5</v>
      </c>
      <c r="BK976" s="313"/>
      <c r="BL976" s="313">
        <v>10</v>
      </c>
      <c r="BM976" s="313"/>
      <c r="BN976" s="313" t="s">
        <v>5</v>
      </c>
      <c r="BO976" s="313"/>
      <c r="BP976" s="313"/>
      <c r="BQ976" s="313"/>
      <c r="BR976" s="313"/>
      <c r="BS976" s="313" t="s">
        <v>5</v>
      </c>
      <c r="BT976" s="313"/>
      <c r="BU976" s="313"/>
      <c r="BV976" s="313"/>
      <c r="BW976" s="313"/>
      <c r="BX976" s="313" t="s">
        <v>6</v>
      </c>
      <c r="BY976" s="313" t="s">
        <v>426</v>
      </c>
      <c r="BZ976" s="313"/>
      <c r="CB976" s="313" t="s">
        <v>6</v>
      </c>
      <c r="CC976" s="313">
        <v>209051.31353958411</v>
      </c>
      <c r="CD976" s="313">
        <v>2725892250.830832</v>
      </c>
      <c r="CE976" s="313" t="s">
        <v>11891</v>
      </c>
    </row>
    <row r="977" spans="1:83" ht="15" x14ac:dyDescent="0.25">
      <c r="A977" s="313" t="s">
        <v>12843</v>
      </c>
      <c r="B977" s="313" t="s">
        <v>12844</v>
      </c>
      <c r="C977" s="313" t="s">
        <v>12845</v>
      </c>
      <c r="D977" s="313">
        <v>9</v>
      </c>
      <c r="E977" s="313" t="s">
        <v>416</v>
      </c>
      <c r="F977" s="313" t="s">
        <v>707</v>
      </c>
      <c r="G977" s="313" t="s">
        <v>672</v>
      </c>
      <c r="H977" s="313" t="s">
        <v>708</v>
      </c>
      <c r="I977" s="313" t="s">
        <v>709</v>
      </c>
      <c r="J977" s="313" t="s">
        <v>710</v>
      </c>
      <c r="K977" s="313" t="s">
        <v>427</v>
      </c>
      <c r="L977" s="313">
        <v>44.264347076416023</v>
      </c>
      <c r="M977" s="313" t="s">
        <v>5</v>
      </c>
      <c r="N977" s="313" t="s">
        <v>5</v>
      </c>
      <c r="O977" s="313" t="s">
        <v>5</v>
      </c>
      <c r="P977" s="313" t="s">
        <v>5</v>
      </c>
      <c r="Q977" s="313" t="s">
        <v>5</v>
      </c>
      <c r="R977" s="313" t="s">
        <v>711</v>
      </c>
      <c r="S977" s="313" t="s">
        <v>12846</v>
      </c>
      <c r="T977" s="313" t="s">
        <v>5</v>
      </c>
      <c r="U977" s="313" t="s">
        <v>4</v>
      </c>
      <c r="V977" s="313">
        <v>25000</v>
      </c>
      <c r="W977" s="313">
        <v>0</v>
      </c>
      <c r="X977" s="313" t="s">
        <v>6</v>
      </c>
      <c r="Y977" s="313"/>
      <c r="Z977" s="313"/>
      <c r="AA977" s="313">
        <v>5885.91357421875</v>
      </c>
      <c r="AB977" s="313">
        <v>3.6880602836608891</v>
      </c>
      <c r="AC977" s="313">
        <v>5885.91357421875</v>
      </c>
      <c r="AD977" s="313">
        <v>6574</v>
      </c>
      <c r="AE977" s="313">
        <v>2980</v>
      </c>
      <c r="AF977" s="313">
        <v>5476</v>
      </c>
      <c r="AG977" s="313">
        <v>24987</v>
      </c>
      <c r="AH977" s="313">
        <v>21360</v>
      </c>
      <c r="AI977" s="313">
        <v>24987</v>
      </c>
      <c r="AJ977" s="313">
        <v>10</v>
      </c>
      <c r="AK977" s="313">
        <v>26</v>
      </c>
      <c r="AL977" s="313">
        <v>155</v>
      </c>
      <c r="AM977" s="313">
        <v>0</v>
      </c>
      <c r="AN977" s="313">
        <v>25.717668533325199</v>
      </c>
      <c r="AO977" s="313"/>
      <c r="AP977" s="313"/>
      <c r="AQ977" s="313"/>
      <c r="AR977" s="313">
        <v>1644</v>
      </c>
      <c r="AS977" s="313">
        <v>1644</v>
      </c>
      <c r="AT977" s="313">
        <v>745</v>
      </c>
      <c r="AU977" s="313">
        <v>1369</v>
      </c>
      <c r="AV977" s="313">
        <v>10133</v>
      </c>
      <c r="AW977" s="313">
        <v>2</v>
      </c>
      <c r="AX977" s="313">
        <v>6</v>
      </c>
      <c r="AY977" s="313">
        <v>39</v>
      </c>
      <c r="AZ977" s="313">
        <v>0</v>
      </c>
      <c r="BA977" s="313">
        <v>6.4294171333312988</v>
      </c>
      <c r="BB977" s="313"/>
      <c r="BC977" s="313"/>
      <c r="BD977" s="313"/>
      <c r="BE977" s="313">
        <v>25000</v>
      </c>
      <c r="BF977" s="313" t="s">
        <v>425</v>
      </c>
      <c r="BG977" s="313" t="s">
        <v>5</v>
      </c>
      <c r="BH977" s="313" t="s">
        <v>1020</v>
      </c>
      <c r="BI977" s="313"/>
      <c r="BJ977" s="313" t="s">
        <v>5</v>
      </c>
      <c r="BK977" s="313"/>
      <c r="BL977" s="313">
        <v>0</v>
      </c>
      <c r="BM977" s="313"/>
      <c r="BN977" s="313" t="s">
        <v>5</v>
      </c>
      <c r="BO977" s="313"/>
      <c r="BP977" s="313"/>
      <c r="BQ977" s="313"/>
      <c r="BR977" s="313"/>
      <c r="BS977" s="313" t="s">
        <v>5</v>
      </c>
      <c r="BT977" s="313"/>
      <c r="BU977" s="313"/>
      <c r="BV977" s="313"/>
      <c r="BW977" s="313"/>
      <c r="BX977" s="313" t="s">
        <v>6</v>
      </c>
      <c r="BY977" s="313" t="s">
        <v>426</v>
      </c>
      <c r="BZ977" s="313"/>
      <c r="CB977" s="313" t="s">
        <v>5</v>
      </c>
      <c r="CC977" s="313">
        <v>154187.81334145271</v>
      </c>
      <c r="CD977" s="313">
        <v>114644129.9113322</v>
      </c>
      <c r="CE977" s="313" t="s">
        <v>11891</v>
      </c>
    </row>
    <row r="978" spans="1:83" ht="15" x14ac:dyDescent="0.25">
      <c r="A978" s="313" t="s">
        <v>12847</v>
      </c>
      <c r="B978" s="313" t="s">
        <v>12848</v>
      </c>
      <c r="C978" s="313" t="s">
        <v>12849</v>
      </c>
      <c r="D978" s="313">
        <v>9</v>
      </c>
      <c r="E978" s="313" t="s">
        <v>416</v>
      </c>
      <c r="F978" s="313" t="s">
        <v>12850</v>
      </c>
      <c r="G978" s="313" t="s">
        <v>12828</v>
      </c>
      <c r="H978" s="313" t="s">
        <v>12828</v>
      </c>
      <c r="I978" s="313" t="s">
        <v>12828</v>
      </c>
      <c r="J978" s="313" t="s">
        <v>893</v>
      </c>
      <c r="K978" s="313" t="s">
        <v>894</v>
      </c>
      <c r="L978" s="313">
        <v>21171.580078125</v>
      </c>
      <c r="M978" s="313" t="s">
        <v>5</v>
      </c>
      <c r="N978" s="313" t="s">
        <v>5</v>
      </c>
      <c r="O978" s="313" t="s">
        <v>5</v>
      </c>
      <c r="P978" s="313" t="s">
        <v>5</v>
      </c>
      <c r="Q978" s="313" t="s">
        <v>5</v>
      </c>
      <c r="R978" s="313" t="s">
        <v>894</v>
      </c>
      <c r="S978" s="313" t="s">
        <v>894</v>
      </c>
      <c r="T978" s="313" t="s">
        <v>5</v>
      </c>
      <c r="U978" s="313" t="s">
        <v>4</v>
      </c>
      <c r="V978" s="313">
        <v>25000</v>
      </c>
      <c r="W978" s="313">
        <v>0</v>
      </c>
      <c r="X978" s="313" t="s">
        <v>6</v>
      </c>
      <c r="Y978" s="313"/>
      <c r="Z978" s="313"/>
      <c r="AA978" s="313">
        <v>2893507.75</v>
      </c>
      <c r="AB978" s="313">
        <v>1127.2216796875</v>
      </c>
      <c r="AC978" s="313">
        <v>2893507.75</v>
      </c>
      <c r="AD978" s="313">
        <v>36361</v>
      </c>
      <c r="AE978" s="313">
        <v>17273</v>
      </c>
      <c r="AF978" s="313">
        <v>23637</v>
      </c>
      <c r="AG978" s="313">
        <v>81457</v>
      </c>
      <c r="AH978" s="313">
        <v>68653</v>
      </c>
      <c r="AI978" s="313">
        <v>81457</v>
      </c>
      <c r="AJ978" s="313">
        <v>54</v>
      </c>
      <c r="AK978" s="313">
        <v>255</v>
      </c>
      <c r="AL978" s="313">
        <v>4338</v>
      </c>
      <c r="AM978" s="313">
        <v>0</v>
      </c>
      <c r="AN978" s="313">
        <v>719367.3125</v>
      </c>
      <c r="AO978" s="313"/>
      <c r="AP978" s="313"/>
      <c r="AQ978" s="313"/>
      <c r="AR978" s="313">
        <v>9090</v>
      </c>
      <c r="AS978" s="313">
        <v>9090</v>
      </c>
      <c r="AT978" s="313">
        <v>4318</v>
      </c>
      <c r="AU978" s="313">
        <v>5909</v>
      </c>
      <c r="AV978" s="313">
        <v>32721</v>
      </c>
      <c r="AW978" s="313">
        <v>13</v>
      </c>
      <c r="AX978" s="313">
        <v>63</v>
      </c>
      <c r="AY978" s="313">
        <v>1084</v>
      </c>
      <c r="AZ978" s="313">
        <v>0</v>
      </c>
      <c r="BA978" s="313">
        <v>179841.828125</v>
      </c>
      <c r="BB978" s="313"/>
      <c r="BC978" s="313"/>
      <c r="BD978" s="313"/>
      <c r="BE978" s="313">
        <v>25000</v>
      </c>
      <c r="BF978" s="313" t="s">
        <v>425</v>
      </c>
      <c r="BG978" s="313" t="s">
        <v>5</v>
      </c>
      <c r="BH978" s="313" t="s">
        <v>1020</v>
      </c>
      <c r="BI978" s="313"/>
      <c r="BJ978" s="313" t="s">
        <v>5</v>
      </c>
      <c r="BK978" s="313"/>
      <c r="BL978" s="313">
        <v>25</v>
      </c>
      <c r="BM978" s="313"/>
      <c r="BN978" s="313" t="s">
        <v>5</v>
      </c>
      <c r="BO978" s="313"/>
      <c r="BP978" s="313"/>
      <c r="BQ978" s="313"/>
      <c r="BR978" s="313"/>
      <c r="BS978" s="313" t="s">
        <v>5</v>
      </c>
      <c r="BT978" s="313"/>
      <c r="BU978" s="313"/>
      <c r="BV978" s="313"/>
      <c r="BW978" s="313"/>
      <c r="BX978" s="313" t="s">
        <v>6</v>
      </c>
      <c r="BY978" s="313" t="s">
        <v>426</v>
      </c>
      <c r="BZ978" s="313"/>
      <c r="CB978" s="313" t="s">
        <v>6</v>
      </c>
      <c r="CC978" s="313">
        <v>1391161.739992467</v>
      </c>
      <c r="CD978" s="313">
        <v>54834140622.426987</v>
      </c>
      <c r="CE978" s="313" t="s">
        <v>11891</v>
      </c>
    </row>
    <row r="979" spans="1:83" ht="15" x14ac:dyDescent="0.25">
      <c r="A979" s="313" t="s">
        <v>12851</v>
      </c>
      <c r="B979" s="313" t="s">
        <v>12852</v>
      </c>
      <c r="C979" s="313" t="s">
        <v>683</v>
      </c>
      <c r="D979" s="313">
        <v>9</v>
      </c>
      <c r="E979" s="313" t="s">
        <v>416</v>
      </c>
      <c r="F979" s="313" t="s">
        <v>784</v>
      </c>
      <c r="G979" s="313" t="s">
        <v>785</v>
      </c>
      <c r="H979" s="313" t="s">
        <v>786</v>
      </c>
      <c r="I979" s="313" t="s">
        <v>787</v>
      </c>
      <c r="J979" s="313" t="s">
        <v>788</v>
      </c>
      <c r="K979" s="313" t="s">
        <v>894</v>
      </c>
      <c r="L979" s="313">
        <v>2.3781611919403081</v>
      </c>
      <c r="M979" s="313" t="s">
        <v>5</v>
      </c>
      <c r="N979" s="313" t="s">
        <v>5</v>
      </c>
      <c r="O979" s="313" t="s">
        <v>5</v>
      </c>
      <c r="P979" s="313" t="s">
        <v>5</v>
      </c>
      <c r="Q979" s="313" t="s">
        <v>5</v>
      </c>
      <c r="R979" s="313" t="s">
        <v>10265</v>
      </c>
      <c r="S979" s="313" t="s">
        <v>10265</v>
      </c>
      <c r="T979" s="313" t="s">
        <v>5</v>
      </c>
      <c r="U979" s="313" t="s">
        <v>4</v>
      </c>
      <c r="V979" s="313">
        <v>25000</v>
      </c>
      <c r="W979" s="313">
        <v>0</v>
      </c>
      <c r="X979" s="313" t="s">
        <v>6</v>
      </c>
      <c r="Y979" s="313"/>
      <c r="Z979" s="313"/>
      <c r="AA979" s="313">
        <v>94.960365295410156</v>
      </c>
      <c r="AB979" s="313">
        <v>7.5819984078407288E-2</v>
      </c>
      <c r="AC979" s="313">
        <v>94.960365295410156</v>
      </c>
      <c r="AD979" s="313">
        <v>75</v>
      </c>
      <c r="AE979" s="313">
        <v>80</v>
      </c>
      <c r="AF979" s="313">
        <v>53</v>
      </c>
      <c r="AG979" s="313">
        <v>142</v>
      </c>
      <c r="AH979" s="313">
        <v>115</v>
      </c>
      <c r="AI979" s="313">
        <v>142</v>
      </c>
      <c r="AJ979" s="313">
        <v>0</v>
      </c>
      <c r="AK979" s="313">
        <v>2</v>
      </c>
      <c r="AL979" s="313">
        <v>2</v>
      </c>
      <c r="AM979" s="313">
        <v>0</v>
      </c>
      <c r="AN979" s="313">
        <v>3.9354839324951172</v>
      </c>
      <c r="AO979" s="313"/>
      <c r="AP979" s="313"/>
      <c r="AQ979" s="313"/>
      <c r="AR979" s="313">
        <v>19</v>
      </c>
      <c r="AS979" s="313">
        <v>19</v>
      </c>
      <c r="AT979" s="313">
        <v>20</v>
      </c>
      <c r="AU979" s="313">
        <v>13</v>
      </c>
      <c r="AV979" s="313">
        <v>42</v>
      </c>
      <c r="AW979" s="313">
        <v>0</v>
      </c>
      <c r="AX979" s="313">
        <v>0</v>
      </c>
      <c r="AY979" s="313">
        <v>0</v>
      </c>
      <c r="AZ979" s="313">
        <v>0</v>
      </c>
      <c r="BA979" s="313">
        <v>0.9838709831237793</v>
      </c>
      <c r="BB979" s="313"/>
      <c r="BC979" s="313"/>
      <c r="BD979" s="313"/>
      <c r="BE979" s="313">
        <v>25000</v>
      </c>
      <c r="BF979" s="313" t="s">
        <v>425</v>
      </c>
      <c r="BG979" s="313" t="s">
        <v>5</v>
      </c>
      <c r="BH979" s="313" t="s">
        <v>1020</v>
      </c>
      <c r="BI979" s="313"/>
      <c r="BJ979" s="313" t="s">
        <v>5</v>
      </c>
      <c r="BK979" s="313"/>
      <c r="BL979" s="313">
        <v>25</v>
      </c>
      <c r="BM979" s="313"/>
      <c r="BN979" s="313" t="s">
        <v>5</v>
      </c>
      <c r="BO979" s="313"/>
      <c r="BP979" s="313"/>
      <c r="BQ979" s="313"/>
      <c r="BR979" s="313"/>
      <c r="BS979" s="313" t="s">
        <v>5</v>
      </c>
      <c r="BT979" s="313"/>
      <c r="BU979" s="313"/>
      <c r="BV979" s="313"/>
      <c r="BW979" s="313"/>
      <c r="BX979" s="313" t="s">
        <v>6</v>
      </c>
      <c r="BY979" s="313" t="s">
        <v>426</v>
      </c>
      <c r="BZ979" s="313"/>
      <c r="CB979" s="313" t="s">
        <v>6</v>
      </c>
      <c r="CC979" s="313">
        <v>15387.538052449259</v>
      </c>
      <c r="CD979" s="313">
        <v>6159409.1447510039</v>
      </c>
      <c r="CE979" s="313" t="s">
        <v>11891</v>
      </c>
    </row>
    <row r="980" spans="1:83" ht="15" x14ac:dyDescent="0.25">
      <c r="A980" s="313" t="s">
        <v>12853</v>
      </c>
      <c r="B980" s="313" t="s">
        <v>12854</v>
      </c>
      <c r="C980" s="313" t="s">
        <v>12855</v>
      </c>
      <c r="D980" s="313">
        <v>9</v>
      </c>
      <c r="E980" s="313" t="s">
        <v>416</v>
      </c>
      <c r="F980" s="313" t="s">
        <v>879</v>
      </c>
      <c r="G980" s="313" t="s">
        <v>672</v>
      </c>
      <c r="H980" s="313" t="s">
        <v>12856</v>
      </c>
      <c r="I980" s="313" t="s">
        <v>12857</v>
      </c>
      <c r="J980" s="313" t="s">
        <v>893</v>
      </c>
      <c r="K980" s="313" t="s">
        <v>894</v>
      </c>
      <c r="L980" s="313">
        <v>15.450619697570801</v>
      </c>
      <c r="M980" s="313" t="s">
        <v>5</v>
      </c>
      <c r="N980" s="313" t="s">
        <v>5</v>
      </c>
      <c r="O980" s="313" t="s">
        <v>5</v>
      </c>
      <c r="P980" s="313" t="s">
        <v>5</v>
      </c>
      <c r="Q980" s="313" t="s">
        <v>5</v>
      </c>
      <c r="R980" s="313" t="s">
        <v>711</v>
      </c>
      <c r="S980" s="313" t="s">
        <v>711</v>
      </c>
      <c r="T980" s="313" t="s">
        <v>5</v>
      </c>
      <c r="U980" s="313" t="s">
        <v>4</v>
      </c>
      <c r="V980" s="313">
        <v>25000</v>
      </c>
      <c r="W980" s="313">
        <v>0</v>
      </c>
      <c r="X980" s="313" t="s">
        <v>6</v>
      </c>
      <c r="Y980" s="313"/>
      <c r="Z980" s="313"/>
      <c r="AA980" s="313">
        <v>2709.76806640625</v>
      </c>
      <c r="AB980" s="313">
        <v>2.05367112159729</v>
      </c>
      <c r="AC980" s="313">
        <v>2709.76806640625</v>
      </c>
      <c r="AD980" s="313">
        <v>1109</v>
      </c>
      <c r="AE980" s="313">
        <v>471</v>
      </c>
      <c r="AF980" s="313">
        <v>720</v>
      </c>
      <c r="AG980" s="313">
        <v>2381</v>
      </c>
      <c r="AH980" s="313">
        <v>2217</v>
      </c>
      <c r="AI980" s="313">
        <v>2381</v>
      </c>
      <c r="AJ980" s="313">
        <v>0</v>
      </c>
      <c r="AK980" s="313">
        <v>0</v>
      </c>
      <c r="AL980" s="313">
        <v>33</v>
      </c>
      <c r="AM980" s="313">
        <v>0</v>
      </c>
      <c r="AN980" s="313">
        <v>12.2166748046875</v>
      </c>
      <c r="AO980" s="313"/>
      <c r="AP980" s="313"/>
      <c r="AQ980" s="313"/>
      <c r="AR980" s="313">
        <v>278</v>
      </c>
      <c r="AS980" s="313">
        <v>278</v>
      </c>
      <c r="AT980" s="313">
        <v>117</v>
      </c>
      <c r="AU980" s="313">
        <v>180</v>
      </c>
      <c r="AV980" s="313">
        <v>1050</v>
      </c>
      <c r="AW980" s="313">
        <v>0</v>
      </c>
      <c r="AX980" s="313">
        <v>0</v>
      </c>
      <c r="AY980" s="313">
        <v>8</v>
      </c>
      <c r="AZ980" s="313">
        <v>0</v>
      </c>
      <c r="BA980" s="313">
        <v>3.054168701171875</v>
      </c>
      <c r="BB980" s="313"/>
      <c r="BC980" s="313"/>
      <c r="BD980" s="313"/>
      <c r="BE980" s="313">
        <v>25000</v>
      </c>
      <c r="BF980" s="313" t="s">
        <v>425</v>
      </c>
      <c r="BG980" s="313" t="s">
        <v>5</v>
      </c>
      <c r="BH980" s="313" t="s">
        <v>1020</v>
      </c>
      <c r="BI980" s="313"/>
      <c r="BJ980" s="313" t="s">
        <v>5</v>
      </c>
      <c r="BK980" s="313"/>
      <c r="BL980" s="313">
        <v>0</v>
      </c>
      <c r="BM980" s="313"/>
      <c r="BN980" s="313" t="s">
        <v>5</v>
      </c>
      <c r="BO980" s="313"/>
      <c r="BP980" s="313"/>
      <c r="BQ980" s="313"/>
      <c r="BR980" s="313"/>
      <c r="BS980" s="313" t="s">
        <v>5</v>
      </c>
      <c r="BT980" s="313"/>
      <c r="BU980" s="313"/>
      <c r="BV980" s="313"/>
      <c r="BW980" s="313"/>
      <c r="BX980" s="313" t="s">
        <v>6</v>
      </c>
      <c r="BY980" s="313" t="s">
        <v>426</v>
      </c>
      <c r="BZ980" s="313"/>
      <c r="CB980" s="313" t="s">
        <v>5</v>
      </c>
      <c r="CC980" s="313">
        <v>25511.333529526441</v>
      </c>
      <c r="CD980" s="313">
        <v>40016921.522395812</v>
      </c>
      <c r="CE980" s="313" t="s">
        <v>11891</v>
      </c>
    </row>
    <row r="981" spans="1:83" ht="15" x14ac:dyDescent="0.25">
      <c r="A981" s="313" t="s">
        <v>12858</v>
      </c>
      <c r="B981" s="313" t="s">
        <v>12859</v>
      </c>
      <c r="C981" s="313" t="s">
        <v>12860</v>
      </c>
      <c r="D981" s="313">
        <v>9</v>
      </c>
      <c r="E981" s="313" t="s">
        <v>416</v>
      </c>
      <c r="F981" s="313" t="s">
        <v>879</v>
      </c>
      <c r="G981" s="313" t="s">
        <v>672</v>
      </c>
      <c r="H981" s="313" t="s">
        <v>12856</v>
      </c>
      <c r="I981" s="313" t="s">
        <v>12861</v>
      </c>
      <c r="J981" s="313" t="s">
        <v>893</v>
      </c>
      <c r="K981" s="313" t="s">
        <v>894</v>
      </c>
      <c r="L981" s="313">
        <v>13.770298004150391</v>
      </c>
      <c r="M981" s="313" t="s">
        <v>5</v>
      </c>
      <c r="N981" s="313" t="s">
        <v>5</v>
      </c>
      <c r="O981" s="313" t="s">
        <v>5</v>
      </c>
      <c r="P981" s="313" t="s">
        <v>5</v>
      </c>
      <c r="Q981" s="313" t="s">
        <v>5</v>
      </c>
      <c r="R981" s="313" t="s">
        <v>711</v>
      </c>
      <c r="S981" s="313" t="s">
        <v>711</v>
      </c>
      <c r="T981" s="313" t="s">
        <v>5</v>
      </c>
      <c r="U981" s="313" t="s">
        <v>4</v>
      </c>
      <c r="V981" s="313">
        <v>25000</v>
      </c>
      <c r="W981" s="313">
        <v>0</v>
      </c>
      <c r="X981" s="313" t="s">
        <v>6</v>
      </c>
      <c r="Y981" s="313"/>
      <c r="Z981" s="313"/>
      <c r="AA981" s="313">
        <v>3065.01708984375</v>
      </c>
      <c r="AB981" s="313">
        <v>1.4357897043228149</v>
      </c>
      <c r="AC981" s="313">
        <v>3065.01708984375</v>
      </c>
      <c r="AD981" s="313">
        <v>138</v>
      </c>
      <c r="AE981" s="313">
        <v>59</v>
      </c>
      <c r="AF981" s="313">
        <v>22</v>
      </c>
      <c r="AG981" s="313">
        <v>490</v>
      </c>
      <c r="AH981" s="313">
        <v>52</v>
      </c>
      <c r="AI981" s="313">
        <v>490</v>
      </c>
      <c r="AJ981" s="313">
        <v>0</v>
      </c>
      <c r="AK981" s="313">
        <v>0</v>
      </c>
      <c r="AL981" s="313">
        <v>12</v>
      </c>
      <c r="AM981" s="313">
        <v>0</v>
      </c>
      <c r="AN981" s="313">
        <v>17.918930053710941</v>
      </c>
      <c r="AO981" s="313"/>
      <c r="AP981" s="313"/>
      <c r="AQ981" s="313"/>
      <c r="AR981" s="313">
        <v>35</v>
      </c>
      <c r="AS981" s="313">
        <v>35</v>
      </c>
      <c r="AT981" s="313">
        <v>14</v>
      </c>
      <c r="AU981" s="313">
        <v>5</v>
      </c>
      <c r="AV981" s="313">
        <v>133</v>
      </c>
      <c r="AW981" s="313">
        <v>0</v>
      </c>
      <c r="AX981" s="313">
        <v>0</v>
      </c>
      <c r="AY981" s="313">
        <v>3</v>
      </c>
      <c r="AZ981" s="313">
        <v>0</v>
      </c>
      <c r="BA981" s="313">
        <v>4.4797325134277344</v>
      </c>
      <c r="BB981" s="313"/>
      <c r="BC981" s="313"/>
      <c r="BD981" s="313"/>
      <c r="BE981" s="313">
        <v>25000</v>
      </c>
      <c r="BF981" s="313" t="s">
        <v>425</v>
      </c>
      <c r="BG981" s="313" t="s">
        <v>5</v>
      </c>
      <c r="BH981" s="313" t="s">
        <v>1020</v>
      </c>
      <c r="BI981" s="313"/>
      <c r="BJ981" s="313" t="s">
        <v>5</v>
      </c>
      <c r="BK981" s="313"/>
      <c r="BL981" s="313">
        <v>0</v>
      </c>
      <c r="BM981" s="313"/>
      <c r="BN981" s="313" t="s">
        <v>5</v>
      </c>
      <c r="BO981" s="313"/>
      <c r="BP981" s="313"/>
      <c r="BQ981" s="313"/>
      <c r="BR981" s="313"/>
      <c r="BS981" s="313" t="s">
        <v>5</v>
      </c>
      <c r="BT981" s="313"/>
      <c r="BU981" s="313"/>
      <c r="BV981" s="313"/>
      <c r="BW981" s="313"/>
      <c r="BX981" s="313" t="s">
        <v>6</v>
      </c>
      <c r="BY981" s="313" t="s">
        <v>426</v>
      </c>
      <c r="BZ981" s="313"/>
      <c r="CB981" s="313" t="s">
        <v>5</v>
      </c>
      <c r="CC981" s="313">
        <v>23940.965609801919</v>
      </c>
      <c r="CD981" s="313">
        <v>35664908.424974963</v>
      </c>
      <c r="CE981" s="313" t="s">
        <v>11891</v>
      </c>
    </row>
    <row r="982" spans="1:83" ht="15" x14ac:dyDescent="0.25">
      <c r="A982" s="313" t="s">
        <v>12862</v>
      </c>
      <c r="B982" s="313" t="s">
        <v>12863</v>
      </c>
      <c r="C982" s="313" t="s">
        <v>12864</v>
      </c>
      <c r="D982" s="313">
        <v>9</v>
      </c>
      <c r="E982" s="313" t="s">
        <v>416</v>
      </c>
      <c r="F982" s="313" t="s">
        <v>879</v>
      </c>
      <c r="G982" s="313" t="s">
        <v>672</v>
      </c>
      <c r="H982" s="313" t="s">
        <v>12865</v>
      </c>
      <c r="I982" s="313" t="s">
        <v>12866</v>
      </c>
      <c r="J982" s="313" t="s">
        <v>893</v>
      </c>
      <c r="K982" s="313" t="s">
        <v>894</v>
      </c>
      <c r="L982" s="313">
        <v>85.377655029296875</v>
      </c>
      <c r="M982" s="313" t="s">
        <v>5</v>
      </c>
      <c r="N982" s="313" t="s">
        <v>5</v>
      </c>
      <c r="O982" s="313" t="s">
        <v>5</v>
      </c>
      <c r="P982" s="313" t="s">
        <v>5</v>
      </c>
      <c r="Q982" s="313" t="s">
        <v>5</v>
      </c>
      <c r="R982" s="313" t="s">
        <v>711</v>
      </c>
      <c r="S982" s="313" t="s">
        <v>711</v>
      </c>
      <c r="T982" s="313" t="s">
        <v>5</v>
      </c>
      <c r="U982" s="313" t="s">
        <v>4</v>
      </c>
      <c r="V982" s="313">
        <v>25000</v>
      </c>
      <c r="W982" s="313">
        <v>0</v>
      </c>
      <c r="X982" s="313" t="s">
        <v>6</v>
      </c>
      <c r="Y982" s="313"/>
      <c r="Z982" s="313"/>
      <c r="AA982" s="313">
        <v>13260.2646484375</v>
      </c>
      <c r="AB982" s="313">
        <v>8.2825851440429688</v>
      </c>
      <c r="AC982" s="313">
        <v>13260.2646484375</v>
      </c>
      <c r="AD982" s="313">
        <v>352</v>
      </c>
      <c r="AE982" s="313">
        <v>191</v>
      </c>
      <c r="AF982" s="313">
        <v>114</v>
      </c>
      <c r="AG982" s="313">
        <v>246</v>
      </c>
      <c r="AH982" s="313">
        <v>227</v>
      </c>
      <c r="AI982" s="313">
        <v>246</v>
      </c>
      <c r="AJ982" s="313">
        <v>0</v>
      </c>
      <c r="AK982" s="313">
        <v>1</v>
      </c>
      <c r="AL982" s="313">
        <v>12</v>
      </c>
      <c r="AM982" s="313">
        <v>0</v>
      </c>
      <c r="AN982" s="313">
        <v>136.16941833496091</v>
      </c>
      <c r="AO982" s="313"/>
      <c r="AP982" s="313"/>
      <c r="AQ982" s="313"/>
      <c r="AR982" s="313">
        <v>88</v>
      </c>
      <c r="AS982" s="313">
        <v>88</v>
      </c>
      <c r="AT982" s="313">
        <v>47</v>
      </c>
      <c r="AU982" s="313">
        <v>28</v>
      </c>
      <c r="AV982" s="313">
        <v>110</v>
      </c>
      <c r="AW982" s="313">
        <v>0</v>
      </c>
      <c r="AX982" s="313">
        <v>0</v>
      </c>
      <c r="AY982" s="313">
        <v>3</v>
      </c>
      <c r="AZ982" s="313">
        <v>0</v>
      </c>
      <c r="BA982" s="313">
        <v>34.042354583740227</v>
      </c>
      <c r="BB982" s="313"/>
      <c r="BC982" s="313"/>
      <c r="BD982" s="313"/>
      <c r="BE982" s="313">
        <v>25000</v>
      </c>
      <c r="BF982" s="313" t="s">
        <v>425</v>
      </c>
      <c r="BG982" s="313" t="s">
        <v>5</v>
      </c>
      <c r="BH982" s="313" t="s">
        <v>1020</v>
      </c>
      <c r="BI982" s="313"/>
      <c r="BJ982" s="313" t="s">
        <v>5</v>
      </c>
      <c r="BK982" s="313"/>
      <c r="BL982" s="313">
        <v>10</v>
      </c>
      <c r="BM982" s="313"/>
      <c r="BN982" s="313" t="s">
        <v>5</v>
      </c>
      <c r="BO982" s="313"/>
      <c r="BP982" s="313"/>
      <c r="BQ982" s="313"/>
      <c r="BR982" s="313"/>
      <c r="BS982" s="313" t="s">
        <v>5</v>
      </c>
      <c r="BT982" s="313"/>
      <c r="BU982" s="313"/>
      <c r="BV982" s="313"/>
      <c r="BW982" s="313"/>
      <c r="BX982" s="313" t="s">
        <v>6</v>
      </c>
      <c r="BY982" s="313" t="s">
        <v>426</v>
      </c>
      <c r="BZ982" s="313"/>
      <c r="CB982" s="313" t="s">
        <v>6</v>
      </c>
      <c r="CC982" s="313">
        <v>60185.309373752883</v>
      </c>
      <c r="CD982" s="313">
        <v>221127104.55104199</v>
      </c>
      <c r="CE982" s="313" t="s">
        <v>11891</v>
      </c>
    </row>
    <row r="983" spans="1:83" ht="15" x14ac:dyDescent="0.25">
      <c r="A983" s="313" t="s">
        <v>12867</v>
      </c>
      <c r="B983" s="313" t="s">
        <v>12868</v>
      </c>
      <c r="C983" s="313" t="s">
        <v>12869</v>
      </c>
      <c r="D983" s="313">
        <v>9</v>
      </c>
      <c r="E983" s="313" t="s">
        <v>416</v>
      </c>
      <c r="F983" s="313" t="s">
        <v>879</v>
      </c>
      <c r="G983" s="313" t="s">
        <v>672</v>
      </c>
      <c r="H983" s="313" t="s">
        <v>12870</v>
      </c>
      <c r="I983" s="313" t="s">
        <v>12871</v>
      </c>
      <c r="J983" s="313" t="s">
        <v>893</v>
      </c>
      <c r="K983" s="313" t="s">
        <v>894</v>
      </c>
      <c r="L983" s="313">
        <v>76.078666687011719</v>
      </c>
      <c r="M983" s="313" t="s">
        <v>5</v>
      </c>
      <c r="N983" s="313" t="s">
        <v>5</v>
      </c>
      <c r="O983" s="313" t="s">
        <v>5</v>
      </c>
      <c r="P983" s="313" t="s">
        <v>5</v>
      </c>
      <c r="Q983" s="313" t="s">
        <v>5</v>
      </c>
      <c r="R983" s="313" t="s">
        <v>711</v>
      </c>
      <c r="S983" s="313" t="s">
        <v>711</v>
      </c>
      <c r="T983" s="313" t="s">
        <v>5</v>
      </c>
      <c r="U983" s="313" t="s">
        <v>4</v>
      </c>
      <c r="V983" s="313">
        <v>25000</v>
      </c>
      <c r="W983" s="313">
        <v>0</v>
      </c>
      <c r="X983" s="313" t="s">
        <v>6</v>
      </c>
      <c r="Y983" s="313"/>
      <c r="Z983" s="313"/>
      <c r="AA983" s="313">
        <v>10876.4375</v>
      </c>
      <c r="AB983" s="313">
        <v>5.5954232215881348</v>
      </c>
      <c r="AC983" s="313">
        <v>10876.4375</v>
      </c>
      <c r="AD983" s="313">
        <v>259</v>
      </c>
      <c r="AE983" s="313">
        <v>131</v>
      </c>
      <c r="AF983" s="313">
        <v>139</v>
      </c>
      <c r="AG983" s="313">
        <v>113</v>
      </c>
      <c r="AH983" s="313">
        <v>253</v>
      </c>
      <c r="AI983" s="313">
        <v>253</v>
      </c>
      <c r="AJ983" s="313">
        <v>0</v>
      </c>
      <c r="AK983" s="313">
        <v>1</v>
      </c>
      <c r="AL983" s="313">
        <v>10</v>
      </c>
      <c r="AM983" s="313">
        <v>0</v>
      </c>
      <c r="AN983" s="313">
        <v>652.37664794921875</v>
      </c>
      <c r="AO983" s="313"/>
      <c r="AP983" s="313"/>
      <c r="AQ983" s="313"/>
      <c r="AR983" s="313">
        <v>65</v>
      </c>
      <c r="AS983" s="313">
        <v>65</v>
      </c>
      <c r="AT983" s="313">
        <v>32</v>
      </c>
      <c r="AU983" s="313">
        <v>34</v>
      </c>
      <c r="AV983" s="313">
        <v>84</v>
      </c>
      <c r="AW983" s="313">
        <v>0</v>
      </c>
      <c r="AX983" s="313">
        <v>0</v>
      </c>
      <c r="AY983" s="313">
        <v>2</v>
      </c>
      <c r="AZ983" s="313">
        <v>0</v>
      </c>
      <c r="BA983" s="313">
        <v>163.09416198730469</v>
      </c>
      <c r="BB983" s="313"/>
      <c r="BC983" s="313"/>
      <c r="BD983" s="313"/>
      <c r="BE983" s="313">
        <v>25000</v>
      </c>
      <c r="BF983" s="313" t="s">
        <v>425</v>
      </c>
      <c r="BG983" s="313" t="s">
        <v>5</v>
      </c>
      <c r="BH983" s="313" t="s">
        <v>1020</v>
      </c>
      <c r="BI983" s="313"/>
      <c r="BJ983" s="313" t="s">
        <v>5</v>
      </c>
      <c r="BK983" s="313"/>
      <c r="BL983" s="313">
        <v>10</v>
      </c>
      <c r="BM983" s="313"/>
      <c r="BN983" s="313" t="s">
        <v>5</v>
      </c>
      <c r="BO983" s="313"/>
      <c r="BP983" s="313"/>
      <c r="BQ983" s="313"/>
      <c r="BR983" s="313"/>
      <c r="BS983" s="313" t="s">
        <v>5</v>
      </c>
      <c r="BT983" s="313"/>
      <c r="BU983" s="313"/>
      <c r="BV983" s="313"/>
      <c r="BW983" s="313"/>
      <c r="BX983" s="313" t="s">
        <v>6</v>
      </c>
      <c r="BY983" s="313" t="s">
        <v>426</v>
      </c>
      <c r="BZ983" s="313"/>
      <c r="CB983" s="313" t="s">
        <v>6</v>
      </c>
      <c r="CC983" s="313">
        <v>57956.581068606829</v>
      </c>
      <c r="CD983" s="313">
        <v>197042840.52063459</v>
      </c>
      <c r="CE983" s="313" t="s">
        <v>11891</v>
      </c>
    </row>
    <row r="984" spans="1:83" ht="15" x14ac:dyDescent="0.25">
      <c r="A984" s="313" t="s">
        <v>12872</v>
      </c>
      <c r="B984" s="313" t="s">
        <v>12873</v>
      </c>
      <c r="C984" s="313" t="s">
        <v>12874</v>
      </c>
      <c r="D984" s="313">
        <v>9</v>
      </c>
      <c r="E984" s="313" t="s">
        <v>416</v>
      </c>
      <c r="F984" s="313" t="s">
        <v>879</v>
      </c>
      <c r="G984" s="313" t="s">
        <v>672</v>
      </c>
      <c r="H984" s="313" t="s">
        <v>12875</v>
      </c>
      <c r="I984" s="313" t="s">
        <v>12876</v>
      </c>
      <c r="J984" s="313" t="s">
        <v>893</v>
      </c>
      <c r="K984" s="313" t="s">
        <v>894</v>
      </c>
      <c r="L984" s="313">
        <v>12.59779739379883</v>
      </c>
      <c r="M984" s="313" t="s">
        <v>5</v>
      </c>
      <c r="N984" s="313" t="s">
        <v>5</v>
      </c>
      <c r="O984" s="313" t="s">
        <v>5</v>
      </c>
      <c r="P984" s="313" t="s">
        <v>5</v>
      </c>
      <c r="Q984" s="313" t="s">
        <v>5</v>
      </c>
      <c r="R984" s="313" t="s">
        <v>711</v>
      </c>
      <c r="S984" s="313" t="s">
        <v>711</v>
      </c>
      <c r="T984" s="313" t="s">
        <v>5</v>
      </c>
      <c r="U984" s="313" t="s">
        <v>4</v>
      </c>
      <c r="V984" s="313">
        <v>25000</v>
      </c>
      <c r="W984" s="313">
        <v>0</v>
      </c>
      <c r="X984" s="313" t="s">
        <v>6</v>
      </c>
      <c r="Y984" s="313"/>
      <c r="Z984" s="313"/>
      <c r="AA984" s="313">
        <v>1398.321044921875</v>
      </c>
      <c r="AB984" s="313">
        <v>0.81207448244094849</v>
      </c>
      <c r="AC984" s="313">
        <v>1398.321044921875</v>
      </c>
      <c r="AD984" s="313">
        <v>525</v>
      </c>
      <c r="AE984" s="313">
        <v>267</v>
      </c>
      <c r="AF984" s="313">
        <v>258</v>
      </c>
      <c r="AG984" s="313">
        <v>960</v>
      </c>
      <c r="AH984" s="313">
        <v>487</v>
      </c>
      <c r="AI984" s="313">
        <v>960</v>
      </c>
      <c r="AJ984" s="313">
        <v>0</v>
      </c>
      <c r="AK984" s="313">
        <v>0</v>
      </c>
      <c r="AL984" s="313">
        <v>16</v>
      </c>
      <c r="AM984" s="313">
        <v>0</v>
      </c>
      <c r="AN984" s="313">
        <v>19.15266036987305</v>
      </c>
      <c r="AO984" s="313"/>
      <c r="AP984" s="313"/>
      <c r="AQ984" s="313"/>
      <c r="AR984" s="313">
        <v>132</v>
      </c>
      <c r="AS984" s="313">
        <v>132</v>
      </c>
      <c r="AT984" s="313">
        <v>66</v>
      </c>
      <c r="AU984" s="313">
        <v>64</v>
      </c>
      <c r="AV984" s="313">
        <v>346</v>
      </c>
      <c r="AW984" s="313">
        <v>0</v>
      </c>
      <c r="AX984" s="313">
        <v>0</v>
      </c>
      <c r="AY984" s="313">
        <v>4</v>
      </c>
      <c r="AZ984" s="313">
        <v>0</v>
      </c>
      <c r="BA984" s="313">
        <v>4.7881650924682617</v>
      </c>
      <c r="BB984" s="313"/>
      <c r="BC984" s="313"/>
      <c r="BD984" s="313"/>
      <c r="BE984" s="313">
        <v>25000</v>
      </c>
      <c r="BF984" s="313" t="s">
        <v>425</v>
      </c>
      <c r="BG984" s="313" t="s">
        <v>5</v>
      </c>
      <c r="BH984" s="313" t="s">
        <v>1020</v>
      </c>
      <c r="BI984" s="313"/>
      <c r="BJ984" s="313" t="s">
        <v>5</v>
      </c>
      <c r="BK984" s="313"/>
      <c r="BL984" s="313">
        <v>0</v>
      </c>
      <c r="BM984" s="313"/>
      <c r="BN984" s="313" t="s">
        <v>5</v>
      </c>
      <c r="BO984" s="313"/>
      <c r="BP984" s="313"/>
      <c r="BQ984" s="313"/>
      <c r="BR984" s="313"/>
      <c r="BS984" s="313" t="s">
        <v>5</v>
      </c>
      <c r="BT984" s="313"/>
      <c r="BU984" s="313"/>
      <c r="BV984" s="313"/>
      <c r="BW984" s="313"/>
      <c r="BX984" s="313" t="s">
        <v>6</v>
      </c>
      <c r="BY984" s="313" t="s">
        <v>426</v>
      </c>
      <c r="BZ984" s="313"/>
      <c r="CB984" s="313" t="s">
        <v>5</v>
      </c>
      <c r="CC984" s="313">
        <v>23041.240741315629</v>
      </c>
      <c r="CD984" s="313">
        <v>32628144.758050431</v>
      </c>
      <c r="CE984" s="313" t="s">
        <v>11891</v>
      </c>
    </row>
    <row r="985" spans="1:83" ht="15" x14ac:dyDescent="0.25">
      <c r="A985" s="313" t="s">
        <v>12877</v>
      </c>
      <c r="B985" s="313" t="s">
        <v>12878</v>
      </c>
      <c r="C985" s="313" t="s">
        <v>12879</v>
      </c>
      <c r="D985" s="313">
        <v>9</v>
      </c>
      <c r="E985" s="313" t="s">
        <v>416</v>
      </c>
      <c r="F985" s="313" t="s">
        <v>879</v>
      </c>
      <c r="G985" s="313" t="s">
        <v>672</v>
      </c>
      <c r="H985" s="313" t="s">
        <v>12880</v>
      </c>
      <c r="I985" s="313" t="s">
        <v>12881</v>
      </c>
      <c r="J985" s="313" t="s">
        <v>893</v>
      </c>
      <c r="K985" s="313" t="s">
        <v>894</v>
      </c>
      <c r="L985" s="313">
        <v>83.064933776855469</v>
      </c>
      <c r="M985" s="313" t="s">
        <v>5</v>
      </c>
      <c r="N985" s="313" t="s">
        <v>5</v>
      </c>
      <c r="O985" s="313" t="s">
        <v>5</v>
      </c>
      <c r="P985" s="313" t="s">
        <v>5</v>
      </c>
      <c r="Q985" s="313" t="s">
        <v>5</v>
      </c>
      <c r="R985" s="313" t="s">
        <v>711</v>
      </c>
      <c r="S985" s="313" t="s">
        <v>711</v>
      </c>
      <c r="T985" s="313" t="s">
        <v>5</v>
      </c>
      <c r="U985" s="313" t="s">
        <v>4</v>
      </c>
      <c r="V985" s="313">
        <v>25000</v>
      </c>
      <c r="W985" s="313">
        <v>0</v>
      </c>
      <c r="X985" s="313" t="s">
        <v>6</v>
      </c>
      <c r="Y985" s="313"/>
      <c r="Z985" s="313"/>
      <c r="AA985" s="313">
        <v>12999.5576171875</v>
      </c>
      <c r="AB985" s="313">
        <v>5.9786643981933594</v>
      </c>
      <c r="AC985" s="313">
        <v>12999.5576171875</v>
      </c>
      <c r="AD985" s="313">
        <v>212</v>
      </c>
      <c r="AE985" s="313">
        <v>93</v>
      </c>
      <c r="AF985" s="313">
        <v>101</v>
      </c>
      <c r="AG985" s="313">
        <v>99</v>
      </c>
      <c r="AH985" s="313">
        <v>131</v>
      </c>
      <c r="AI985" s="313">
        <v>131</v>
      </c>
      <c r="AJ985" s="313">
        <v>0</v>
      </c>
      <c r="AK985" s="313">
        <v>1</v>
      </c>
      <c r="AL985" s="313">
        <v>13</v>
      </c>
      <c r="AM985" s="313">
        <v>0</v>
      </c>
      <c r="AN985" s="313">
        <v>1193.406982421875</v>
      </c>
      <c r="AO985" s="313"/>
      <c r="AP985" s="313"/>
      <c r="AQ985" s="313"/>
      <c r="AR985" s="313">
        <v>53</v>
      </c>
      <c r="AS985" s="313">
        <v>53</v>
      </c>
      <c r="AT985" s="313">
        <v>23</v>
      </c>
      <c r="AU985" s="313">
        <v>25</v>
      </c>
      <c r="AV985" s="313">
        <v>54</v>
      </c>
      <c r="AW985" s="313">
        <v>0</v>
      </c>
      <c r="AX985" s="313">
        <v>0</v>
      </c>
      <c r="AY985" s="313">
        <v>3</v>
      </c>
      <c r="AZ985" s="313">
        <v>0</v>
      </c>
      <c r="BA985" s="313">
        <v>298.35174560546881</v>
      </c>
      <c r="BB985" s="313"/>
      <c r="BC985" s="313"/>
      <c r="BD985" s="313"/>
      <c r="BE985" s="313">
        <v>25000</v>
      </c>
      <c r="BF985" s="313" t="s">
        <v>425</v>
      </c>
      <c r="BG985" s="313" t="s">
        <v>5</v>
      </c>
      <c r="BH985" s="313" t="s">
        <v>1020</v>
      </c>
      <c r="BI985" s="313"/>
      <c r="BJ985" s="313" t="s">
        <v>5</v>
      </c>
      <c r="BK985" s="313"/>
      <c r="BL985" s="313">
        <v>0</v>
      </c>
      <c r="BM985" s="313"/>
      <c r="BN985" s="313" t="s">
        <v>5</v>
      </c>
      <c r="BO985" s="313"/>
      <c r="BP985" s="313"/>
      <c r="BQ985" s="313"/>
      <c r="BR985" s="313"/>
      <c r="BS985" s="313" t="s">
        <v>5</v>
      </c>
      <c r="BT985" s="313"/>
      <c r="BU985" s="313"/>
      <c r="BV985" s="313"/>
      <c r="BW985" s="313"/>
      <c r="BX985" s="313" t="s">
        <v>6</v>
      </c>
      <c r="BY985" s="313" t="s">
        <v>426</v>
      </c>
      <c r="BZ985" s="313"/>
      <c r="CB985" s="313" t="s">
        <v>5</v>
      </c>
      <c r="CC985" s="313">
        <v>59096.198500053637</v>
      </c>
      <c r="CD985" s="313">
        <v>215137190.57204479</v>
      </c>
      <c r="CE985" s="313" t="s">
        <v>11891</v>
      </c>
    </row>
    <row r="986" spans="1:83" ht="15" x14ac:dyDescent="0.25">
      <c r="A986" s="313" t="s">
        <v>12882</v>
      </c>
      <c r="B986" s="313" t="s">
        <v>12883</v>
      </c>
      <c r="C986" s="313" t="s">
        <v>12884</v>
      </c>
      <c r="D986" s="313">
        <v>9</v>
      </c>
      <c r="E986" s="313" t="s">
        <v>416</v>
      </c>
      <c r="F986" s="313" t="s">
        <v>879</v>
      </c>
      <c r="G986" s="313" t="s">
        <v>672</v>
      </c>
      <c r="H986" s="313" t="s">
        <v>12875</v>
      </c>
      <c r="I986" s="313" t="s">
        <v>12885</v>
      </c>
      <c r="J986" s="313" t="s">
        <v>893</v>
      </c>
      <c r="K986" s="313" t="s">
        <v>894</v>
      </c>
      <c r="L986" s="313">
        <v>20.75303840637207</v>
      </c>
      <c r="M986" s="313" t="s">
        <v>5</v>
      </c>
      <c r="N986" s="313" t="s">
        <v>5</v>
      </c>
      <c r="O986" s="313" t="s">
        <v>5</v>
      </c>
      <c r="P986" s="313" t="s">
        <v>5</v>
      </c>
      <c r="Q986" s="313" t="s">
        <v>5</v>
      </c>
      <c r="R986" s="313" t="s">
        <v>711</v>
      </c>
      <c r="S986" s="313" t="s">
        <v>711</v>
      </c>
      <c r="T986" s="313" t="s">
        <v>5</v>
      </c>
      <c r="U986" s="313" t="s">
        <v>4</v>
      </c>
      <c r="V986" s="313">
        <v>25000</v>
      </c>
      <c r="W986" s="313">
        <v>0</v>
      </c>
      <c r="X986" s="313" t="s">
        <v>6</v>
      </c>
      <c r="Y986" s="313"/>
      <c r="Z986" s="313"/>
      <c r="AA986" s="313">
        <v>1906.081787109375</v>
      </c>
      <c r="AB986" s="313">
        <v>0.91215664148330688</v>
      </c>
      <c r="AC986" s="313">
        <v>1906.081787109375</v>
      </c>
      <c r="AD986" s="313">
        <v>750</v>
      </c>
      <c r="AE986" s="313">
        <v>286</v>
      </c>
      <c r="AF986" s="313">
        <v>346</v>
      </c>
      <c r="AG986" s="313">
        <v>1904</v>
      </c>
      <c r="AH986" s="313">
        <v>1506</v>
      </c>
      <c r="AI986" s="313">
        <v>1904</v>
      </c>
      <c r="AJ986" s="313">
        <v>0</v>
      </c>
      <c r="AK986" s="313">
        <v>2</v>
      </c>
      <c r="AL986" s="313">
        <v>13</v>
      </c>
      <c r="AM986" s="313">
        <v>0</v>
      </c>
      <c r="AN986" s="313">
        <v>209.72239685058591</v>
      </c>
      <c r="AO986" s="313"/>
      <c r="AP986" s="313"/>
      <c r="AQ986" s="313"/>
      <c r="AR986" s="313">
        <v>188</v>
      </c>
      <c r="AS986" s="313">
        <v>188</v>
      </c>
      <c r="AT986" s="313">
        <v>71</v>
      </c>
      <c r="AU986" s="313">
        <v>86</v>
      </c>
      <c r="AV986" s="313">
        <v>788</v>
      </c>
      <c r="AW986" s="313">
        <v>0</v>
      </c>
      <c r="AX986" s="313">
        <v>0</v>
      </c>
      <c r="AY986" s="313">
        <v>3</v>
      </c>
      <c r="AZ986" s="313">
        <v>0</v>
      </c>
      <c r="BA986" s="313">
        <v>52.430599212646477</v>
      </c>
      <c r="BB986" s="313"/>
      <c r="BC986" s="313"/>
      <c r="BD986" s="313"/>
      <c r="BE986" s="313">
        <v>25000</v>
      </c>
      <c r="BF986" s="313" t="s">
        <v>425</v>
      </c>
      <c r="BG986" s="313" t="s">
        <v>5</v>
      </c>
      <c r="BH986" s="313" t="s">
        <v>1020</v>
      </c>
      <c r="BI986" s="313"/>
      <c r="BJ986" s="313" t="s">
        <v>5</v>
      </c>
      <c r="BK986" s="313"/>
      <c r="BL986" s="313">
        <v>0</v>
      </c>
      <c r="BM986" s="313"/>
      <c r="BN986" s="313" t="s">
        <v>5</v>
      </c>
      <c r="BO986" s="313"/>
      <c r="BP986" s="313"/>
      <c r="BQ986" s="313"/>
      <c r="BR986" s="313"/>
      <c r="BS986" s="313" t="s">
        <v>5</v>
      </c>
      <c r="BT986" s="313"/>
      <c r="BU986" s="313"/>
      <c r="BV986" s="313"/>
      <c r="BW986" s="313"/>
      <c r="BX986" s="313" t="s">
        <v>6</v>
      </c>
      <c r="BY986" s="313" t="s">
        <v>426</v>
      </c>
      <c r="BZ986" s="313"/>
      <c r="CB986" s="313" t="s">
        <v>5</v>
      </c>
      <c r="CC986" s="313">
        <v>29614.31007223326</v>
      </c>
      <c r="CD986" s="313">
        <v>53750121.092686288</v>
      </c>
      <c r="CE986" s="313" t="s">
        <v>11891</v>
      </c>
    </row>
    <row r="987" spans="1:83" ht="15" x14ac:dyDescent="0.25">
      <c r="A987" s="313" t="s">
        <v>12886</v>
      </c>
      <c r="B987" s="313" t="s">
        <v>12887</v>
      </c>
      <c r="C987" s="313" t="s">
        <v>12888</v>
      </c>
      <c r="D987" s="313">
        <v>9</v>
      </c>
      <c r="E987" s="313" t="s">
        <v>12889</v>
      </c>
      <c r="F987" s="313" t="s">
        <v>879</v>
      </c>
      <c r="G987" s="313" t="s">
        <v>12890</v>
      </c>
      <c r="H987" s="313" t="s">
        <v>12891</v>
      </c>
      <c r="I987" s="313" t="s">
        <v>12892</v>
      </c>
      <c r="J987" s="313" t="s">
        <v>893</v>
      </c>
      <c r="K987" s="313" t="s">
        <v>894</v>
      </c>
      <c r="L987" s="313">
        <v>19.999359130859379</v>
      </c>
      <c r="M987" s="313" t="s">
        <v>5</v>
      </c>
      <c r="N987" s="313" t="s">
        <v>5</v>
      </c>
      <c r="O987" s="313" t="s">
        <v>5</v>
      </c>
      <c r="P987" s="313" t="s">
        <v>5</v>
      </c>
      <c r="Q987" s="313" t="s">
        <v>5</v>
      </c>
      <c r="R987" s="313" t="s">
        <v>711</v>
      </c>
      <c r="S987" s="313" t="s">
        <v>711</v>
      </c>
      <c r="T987" s="313" t="s">
        <v>5</v>
      </c>
      <c r="U987" s="313" t="s">
        <v>4</v>
      </c>
      <c r="V987" s="313">
        <v>25000</v>
      </c>
      <c r="W987" s="313">
        <v>0</v>
      </c>
      <c r="X987" s="313" t="s">
        <v>6</v>
      </c>
      <c r="Y987" s="313"/>
      <c r="Z987" s="313"/>
      <c r="AA987" s="313">
        <v>2506.465087890625</v>
      </c>
      <c r="AB987" s="313">
        <v>1.69652783870697</v>
      </c>
      <c r="AC987" s="313">
        <v>2506.465087890625</v>
      </c>
      <c r="AD987" s="313">
        <v>463</v>
      </c>
      <c r="AE987" s="313">
        <v>265</v>
      </c>
      <c r="AF987" s="313">
        <v>182</v>
      </c>
      <c r="AG987" s="313">
        <v>2446</v>
      </c>
      <c r="AH987" s="313">
        <v>592</v>
      </c>
      <c r="AI987" s="313">
        <v>2446</v>
      </c>
      <c r="AJ987" s="313">
        <v>2</v>
      </c>
      <c r="AK987" s="313">
        <v>7</v>
      </c>
      <c r="AL987" s="313">
        <v>20</v>
      </c>
      <c r="AM987" s="313">
        <v>0</v>
      </c>
      <c r="AN987" s="313">
        <v>439.039794921875</v>
      </c>
      <c r="AO987" s="313"/>
      <c r="AP987" s="313"/>
      <c r="AQ987" s="313"/>
      <c r="AR987" s="313">
        <v>116</v>
      </c>
      <c r="AS987" s="313">
        <v>116</v>
      </c>
      <c r="AT987" s="313">
        <v>66</v>
      </c>
      <c r="AU987" s="313">
        <v>45</v>
      </c>
      <c r="AV987" s="313">
        <v>736</v>
      </c>
      <c r="AW987" s="313">
        <v>0</v>
      </c>
      <c r="AX987" s="313">
        <v>1</v>
      </c>
      <c r="AY987" s="313">
        <v>5</v>
      </c>
      <c r="AZ987" s="313">
        <v>0</v>
      </c>
      <c r="BA987" s="313">
        <v>109.75994873046881</v>
      </c>
      <c r="BB987" s="313"/>
      <c r="BC987" s="313"/>
      <c r="BD987" s="313"/>
      <c r="BE987" s="313">
        <v>25000</v>
      </c>
      <c r="BF987" s="313" t="s">
        <v>425</v>
      </c>
      <c r="BG987" s="313" t="s">
        <v>5</v>
      </c>
      <c r="BH987" s="313" t="s">
        <v>1020</v>
      </c>
      <c r="BI987" s="313"/>
      <c r="BJ987" s="313" t="s">
        <v>5</v>
      </c>
      <c r="BK987" s="313"/>
      <c r="BL987" s="313">
        <v>0</v>
      </c>
      <c r="BM987" s="313"/>
      <c r="BN987" s="313" t="s">
        <v>5</v>
      </c>
      <c r="BO987" s="313"/>
      <c r="BP987" s="313"/>
      <c r="BQ987" s="313"/>
      <c r="BR987" s="313"/>
      <c r="BS987" s="313" t="s">
        <v>5</v>
      </c>
      <c r="BT987" s="313"/>
      <c r="BU987" s="313"/>
      <c r="BV987" s="313"/>
      <c r="BW987" s="313"/>
      <c r="BX987" s="313" t="s">
        <v>6</v>
      </c>
      <c r="BY987" s="313" t="s">
        <v>426</v>
      </c>
      <c r="BZ987" s="313"/>
      <c r="CB987" s="313" t="s">
        <v>5</v>
      </c>
      <c r="CC987" s="313">
        <v>29060.812365766651</v>
      </c>
      <c r="CD987" s="313">
        <v>51798102.865923233</v>
      </c>
      <c r="CE987" s="313" t="s">
        <v>11891</v>
      </c>
    </row>
    <row r="988" spans="1:83" ht="15" x14ac:dyDescent="0.25">
      <c r="A988" s="313" t="s">
        <v>12893</v>
      </c>
      <c r="B988" s="313" t="s">
        <v>12894</v>
      </c>
      <c r="C988" s="313" t="s">
        <v>12895</v>
      </c>
      <c r="D988" s="313">
        <v>9</v>
      </c>
      <c r="E988" s="313" t="s">
        <v>416</v>
      </c>
      <c r="F988" s="313" t="s">
        <v>12896</v>
      </c>
      <c r="G988" s="313" t="s">
        <v>12897</v>
      </c>
      <c r="H988" s="313" t="s">
        <v>12898</v>
      </c>
      <c r="I988" s="313"/>
      <c r="J988" s="313" t="s">
        <v>12899</v>
      </c>
      <c r="K988" s="313" t="s">
        <v>653</v>
      </c>
      <c r="L988" s="313">
        <v>396</v>
      </c>
      <c r="M988" s="313" t="s">
        <v>6</v>
      </c>
      <c r="N988" s="313" t="s">
        <v>5</v>
      </c>
      <c r="O988" s="313" t="s">
        <v>5</v>
      </c>
      <c r="P988" s="313" t="s">
        <v>5</v>
      </c>
      <c r="Q988" s="313" t="s">
        <v>5</v>
      </c>
      <c r="R988" s="313" t="s">
        <v>12900</v>
      </c>
      <c r="S988" s="313" t="s">
        <v>755</v>
      </c>
      <c r="T988" s="313" t="s">
        <v>5</v>
      </c>
      <c r="U988" s="313" t="s">
        <v>28</v>
      </c>
      <c r="V988" s="313">
        <v>150000</v>
      </c>
      <c r="W988" s="313">
        <v>0</v>
      </c>
      <c r="X988" s="313" t="s">
        <v>5</v>
      </c>
      <c r="Y988" s="313"/>
      <c r="Z988" s="313">
        <v>0</v>
      </c>
      <c r="AA988" s="313">
        <v>0</v>
      </c>
      <c r="AB988" s="313">
        <v>0</v>
      </c>
      <c r="AC988" s="313">
        <v>0</v>
      </c>
      <c r="AD988" s="313">
        <v>0</v>
      </c>
      <c r="AE988" s="313">
        <v>0</v>
      </c>
      <c r="AF988" s="313">
        <v>0</v>
      </c>
      <c r="AG988" s="313">
        <v>0</v>
      </c>
      <c r="AH988" s="313">
        <v>0</v>
      </c>
      <c r="AI988" s="313">
        <v>0</v>
      </c>
      <c r="AJ988" s="313">
        <v>0</v>
      </c>
      <c r="AK988" s="313">
        <v>0</v>
      </c>
      <c r="AL988" s="313">
        <v>0</v>
      </c>
      <c r="AM988" s="313">
        <v>0</v>
      </c>
      <c r="AN988" s="313">
        <v>0</v>
      </c>
      <c r="AO988" s="313">
        <v>0</v>
      </c>
      <c r="AP988" s="313">
        <v>0</v>
      </c>
      <c r="AQ988" s="313">
        <v>0</v>
      </c>
      <c r="AR988" s="313">
        <v>0</v>
      </c>
      <c r="AS988" s="313">
        <v>0</v>
      </c>
      <c r="AT988" s="313">
        <v>0</v>
      </c>
      <c r="AU988" s="313">
        <v>0</v>
      </c>
      <c r="AV988" s="313">
        <v>0</v>
      </c>
      <c r="AW988" s="313">
        <v>0</v>
      </c>
      <c r="AX988" s="313">
        <v>0</v>
      </c>
      <c r="AY988" s="313">
        <v>0</v>
      </c>
      <c r="AZ988" s="313">
        <v>0</v>
      </c>
      <c r="BA988" s="313">
        <v>0</v>
      </c>
      <c r="BB988" s="313">
        <v>0</v>
      </c>
      <c r="BC988" s="313">
        <v>0</v>
      </c>
      <c r="BD988" s="313">
        <v>0</v>
      </c>
      <c r="BE988" s="313">
        <v>0</v>
      </c>
      <c r="BF988" s="313" t="s">
        <v>12901</v>
      </c>
      <c r="BG988" s="313" t="s">
        <v>5</v>
      </c>
      <c r="BH988" s="313" t="s">
        <v>12902</v>
      </c>
      <c r="BI988" s="313" t="s">
        <v>12902</v>
      </c>
      <c r="BJ988" s="313" t="s">
        <v>5</v>
      </c>
      <c r="BK988" s="313" t="s">
        <v>12901</v>
      </c>
      <c r="BL988" s="313">
        <v>0</v>
      </c>
      <c r="BM988" s="313">
        <v>0</v>
      </c>
      <c r="BN988" s="313" t="s">
        <v>5</v>
      </c>
      <c r="BO988" s="313"/>
      <c r="BP988" s="313"/>
      <c r="BQ988" s="313"/>
      <c r="BR988" s="313"/>
      <c r="BS988" s="313" t="s">
        <v>5</v>
      </c>
      <c r="BT988" s="313"/>
      <c r="BU988" s="313"/>
      <c r="BV988" s="313"/>
      <c r="BW988" s="313"/>
      <c r="BX988" s="313" t="s">
        <v>6</v>
      </c>
      <c r="BY988" s="313" t="s">
        <v>426</v>
      </c>
      <c r="BZ988" s="313"/>
      <c r="CB988" s="313" t="s">
        <v>5</v>
      </c>
      <c r="CC988" s="313">
        <v>741543.91097685148</v>
      </c>
      <c r="CD988" s="313">
        <v>11366259374.452761</v>
      </c>
      <c r="CE988" s="313" t="s">
        <v>11891</v>
      </c>
    </row>
    <row r="989" spans="1:83" ht="15" x14ac:dyDescent="0.25">
      <c r="A989" s="338" t="s">
        <v>12558</v>
      </c>
      <c r="B989" s="338" t="s">
        <v>12559</v>
      </c>
      <c r="C989" s="338" t="s">
        <v>12560</v>
      </c>
      <c r="D989" s="338">
        <v>10</v>
      </c>
      <c r="E989" s="338" t="s">
        <v>12561</v>
      </c>
      <c r="F989" s="338" t="s">
        <v>12562</v>
      </c>
      <c r="G989" s="338" t="s">
        <v>12562</v>
      </c>
      <c r="H989" s="338"/>
      <c r="I989" s="338"/>
      <c r="J989" s="338"/>
      <c r="K989" s="338" t="s">
        <v>12563</v>
      </c>
      <c r="L989" s="338">
        <v>24288.7578125</v>
      </c>
      <c r="M989" s="338" t="s">
        <v>6</v>
      </c>
      <c r="N989" s="338" t="s">
        <v>6</v>
      </c>
      <c r="O989" s="338" t="s">
        <v>6</v>
      </c>
      <c r="P989" s="338" t="s">
        <v>5</v>
      </c>
      <c r="Q989" s="338" t="s">
        <v>5</v>
      </c>
      <c r="R989" s="338" t="s">
        <v>5162</v>
      </c>
      <c r="S989" s="338" t="s">
        <v>5162</v>
      </c>
      <c r="T989" s="338" t="s">
        <v>5</v>
      </c>
      <c r="U989" s="338" t="s">
        <v>13</v>
      </c>
      <c r="V989" s="338"/>
      <c r="W989" s="338"/>
      <c r="X989" s="338" t="s">
        <v>6</v>
      </c>
      <c r="Y989" s="338" t="s">
        <v>12564</v>
      </c>
      <c r="Z989" s="338"/>
      <c r="AA989" s="338">
        <v>4526.36279296875</v>
      </c>
      <c r="AB989" s="338">
        <v>725.55389404296875</v>
      </c>
      <c r="AC989" s="338">
        <v>0</v>
      </c>
      <c r="AD989" s="338">
        <v>67825</v>
      </c>
      <c r="AE989" s="338">
        <v>34477</v>
      </c>
      <c r="AF989" s="338">
        <v>45799</v>
      </c>
      <c r="AG989" s="338">
        <v>149869</v>
      </c>
      <c r="AH989" s="338">
        <v>97242</v>
      </c>
      <c r="AI989" s="338">
        <v>149869</v>
      </c>
      <c r="AJ989" s="338">
        <v>94</v>
      </c>
      <c r="AK989" s="338">
        <v>1132</v>
      </c>
      <c r="AL989" s="338">
        <v>2374</v>
      </c>
      <c r="AM989" s="338"/>
      <c r="AN989" s="338">
        <v>2268491.5</v>
      </c>
      <c r="AO989" s="338"/>
      <c r="AP989" s="338"/>
      <c r="AQ989" s="338"/>
      <c r="AR989" s="338">
        <v>0</v>
      </c>
      <c r="AS989" s="338">
        <v>0</v>
      </c>
      <c r="AT989" s="338">
        <v>0</v>
      </c>
      <c r="AU989" s="338">
        <v>0</v>
      </c>
      <c r="AV989" s="338">
        <v>0</v>
      </c>
      <c r="AW989" s="338">
        <v>0</v>
      </c>
      <c r="AX989" s="338">
        <v>0</v>
      </c>
      <c r="AY989" s="338">
        <v>0</v>
      </c>
      <c r="AZ989" s="338">
        <v>0</v>
      </c>
      <c r="BA989" s="338">
        <v>0</v>
      </c>
      <c r="BB989" s="338"/>
      <c r="BC989" s="338"/>
      <c r="BD989" s="338"/>
      <c r="BE989" s="338">
        <v>0</v>
      </c>
      <c r="BF989" s="338" t="s">
        <v>3407</v>
      </c>
      <c r="BG989" s="338" t="s">
        <v>5</v>
      </c>
      <c r="BH989" s="338" t="s">
        <v>1020</v>
      </c>
      <c r="BI989" s="338"/>
      <c r="BJ989" s="338" t="s">
        <v>5</v>
      </c>
      <c r="BK989" s="338"/>
      <c r="BL989" s="338">
        <v>0</v>
      </c>
      <c r="BM989" s="338"/>
      <c r="BN989" s="338" t="s">
        <v>5</v>
      </c>
      <c r="BO989" s="338"/>
      <c r="BP989" s="338"/>
      <c r="BQ989" s="338"/>
      <c r="BR989" s="338"/>
      <c r="BS989" s="338" t="s">
        <v>5</v>
      </c>
      <c r="BT989" s="338"/>
      <c r="BU989" s="338"/>
      <c r="BV989" s="338"/>
      <c r="BW989" s="338"/>
      <c r="BX989" s="338" t="s">
        <v>6</v>
      </c>
      <c r="BY989" s="338" t="s">
        <v>12565</v>
      </c>
      <c r="BZ989" s="338" t="s">
        <v>12564</v>
      </c>
      <c r="CA989"/>
      <c r="CB989" s="338" t="s">
        <v>5</v>
      </c>
      <c r="CC989" s="338">
        <v>3243558.2003708342</v>
      </c>
      <c r="CD989" s="338">
        <v>62907592542.024017</v>
      </c>
      <c r="CE989" s="313" t="s">
        <v>11891</v>
      </c>
    </row>
    <row r="990" spans="1:83" ht="15" x14ac:dyDescent="0.25">
      <c r="A990" s="338" t="s">
        <v>12566</v>
      </c>
      <c r="B990" s="338" t="s">
        <v>12567</v>
      </c>
      <c r="C990" s="338" t="s">
        <v>3408</v>
      </c>
      <c r="D990" s="338">
        <v>10</v>
      </c>
      <c r="E990" s="338" t="s">
        <v>12561</v>
      </c>
      <c r="F990" s="338" t="s">
        <v>12562</v>
      </c>
      <c r="G990" s="338" t="s">
        <v>12562</v>
      </c>
      <c r="H990" s="338"/>
      <c r="I990" s="338"/>
      <c r="J990" s="338"/>
      <c r="K990" s="338" t="s">
        <v>12568</v>
      </c>
      <c r="L990" s="338">
        <v>24288.7578125</v>
      </c>
      <c r="M990" s="338" t="s">
        <v>6</v>
      </c>
      <c r="N990" s="338" t="s">
        <v>6</v>
      </c>
      <c r="O990" s="338" t="s">
        <v>6</v>
      </c>
      <c r="P990" s="338" t="s">
        <v>5</v>
      </c>
      <c r="Q990" s="338" t="s">
        <v>5</v>
      </c>
      <c r="R990" s="338" t="s">
        <v>5162</v>
      </c>
      <c r="S990" s="338" t="s">
        <v>5162</v>
      </c>
      <c r="T990" s="338" t="s">
        <v>5</v>
      </c>
      <c r="U990" s="338" t="s">
        <v>13</v>
      </c>
      <c r="V990" s="338"/>
      <c r="W990" s="338"/>
      <c r="X990" s="338" t="s">
        <v>6</v>
      </c>
      <c r="Y990" s="338" t="s">
        <v>12564</v>
      </c>
      <c r="Z990" s="338"/>
      <c r="AA990" s="338">
        <v>4526.36279296875</v>
      </c>
      <c r="AB990" s="338">
        <v>725.55389404296875</v>
      </c>
      <c r="AC990" s="338">
        <v>0</v>
      </c>
      <c r="AD990" s="338">
        <v>67825</v>
      </c>
      <c r="AE990" s="338">
        <v>34477</v>
      </c>
      <c r="AF990" s="338">
        <v>45799</v>
      </c>
      <c r="AG990" s="338">
        <v>149869</v>
      </c>
      <c r="AH990" s="338">
        <v>97249</v>
      </c>
      <c r="AI990" s="338">
        <v>149869</v>
      </c>
      <c r="AJ990" s="338">
        <v>94</v>
      </c>
      <c r="AK990" s="338">
        <v>1132</v>
      </c>
      <c r="AL990" s="338">
        <v>2374</v>
      </c>
      <c r="AM990" s="338"/>
      <c r="AN990" s="338">
        <v>2268491.5</v>
      </c>
      <c r="AO990" s="338"/>
      <c r="AP990" s="338"/>
      <c r="AQ990" s="338"/>
      <c r="AR990" s="338">
        <v>0</v>
      </c>
      <c r="AS990" s="338">
        <v>0</v>
      </c>
      <c r="AT990" s="338">
        <v>0</v>
      </c>
      <c r="AU990" s="338">
        <v>0</v>
      </c>
      <c r="AV990" s="338">
        <v>0</v>
      </c>
      <c r="AW990" s="338">
        <v>0</v>
      </c>
      <c r="AX990" s="338">
        <v>0</v>
      </c>
      <c r="AY990" s="338">
        <v>0</v>
      </c>
      <c r="AZ990" s="338">
        <v>0</v>
      </c>
      <c r="BA990" s="338">
        <v>0</v>
      </c>
      <c r="BB990" s="338"/>
      <c r="BC990" s="338"/>
      <c r="BD990" s="338"/>
      <c r="BE990" s="338">
        <v>0</v>
      </c>
      <c r="BF990" s="338" t="s">
        <v>3407</v>
      </c>
      <c r="BG990" s="338" t="s">
        <v>5</v>
      </c>
      <c r="BH990" s="338" t="s">
        <v>1020</v>
      </c>
      <c r="BI990" s="338"/>
      <c r="BJ990" s="338" t="s">
        <v>5</v>
      </c>
      <c r="BK990" s="338"/>
      <c r="BL990" s="338">
        <v>0</v>
      </c>
      <c r="BM990" s="338"/>
      <c r="BN990" s="338" t="s">
        <v>5</v>
      </c>
      <c r="BO990" s="338"/>
      <c r="BP990" s="338"/>
      <c r="BQ990" s="338"/>
      <c r="BR990" s="338"/>
      <c r="BS990" s="338" t="s">
        <v>5</v>
      </c>
      <c r="BT990" s="338"/>
      <c r="BU990" s="338"/>
      <c r="BV990" s="338"/>
      <c r="BW990" s="338"/>
      <c r="BX990" s="338" t="s">
        <v>6</v>
      </c>
      <c r="BY990" s="338" t="s">
        <v>12565</v>
      </c>
      <c r="BZ990" s="338" t="s">
        <v>12564</v>
      </c>
      <c r="CA990"/>
      <c r="CB990" s="338" t="s">
        <v>5</v>
      </c>
      <c r="CC990" s="338">
        <v>3243558.2003708342</v>
      </c>
      <c r="CD990" s="338">
        <v>62907592542.024017</v>
      </c>
      <c r="CE990" s="313" t="s">
        <v>11891</v>
      </c>
    </row>
    <row r="991" spans="1:83" ht="15" x14ac:dyDescent="0.25">
      <c r="A991" s="338" t="s">
        <v>12569</v>
      </c>
      <c r="B991" s="338" t="s">
        <v>12570</v>
      </c>
      <c r="C991" s="338" t="s">
        <v>12571</v>
      </c>
      <c r="D991" s="338">
        <v>10</v>
      </c>
      <c r="E991" s="338" t="s">
        <v>12561</v>
      </c>
      <c r="F991" s="338" t="s">
        <v>12562</v>
      </c>
      <c r="G991" s="338" t="s">
        <v>12562</v>
      </c>
      <c r="H991" s="338"/>
      <c r="I991" s="338"/>
      <c r="J991" s="338"/>
      <c r="K991" s="338" t="s">
        <v>12572</v>
      </c>
      <c r="L991" s="338">
        <v>24288.7578125</v>
      </c>
      <c r="M991" s="338" t="s">
        <v>6</v>
      </c>
      <c r="N991" s="338" t="s">
        <v>6</v>
      </c>
      <c r="O991" s="338" t="s">
        <v>6</v>
      </c>
      <c r="P991" s="338" t="s">
        <v>5</v>
      </c>
      <c r="Q991" s="338" t="s">
        <v>5</v>
      </c>
      <c r="R991" s="338" t="s">
        <v>5162</v>
      </c>
      <c r="S991" s="338" t="s">
        <v>5162</v>
      </c>
      <c r="T991" s="338" t="s">
        <v>5</v>
      </c>
      <c r="U991" s="338" t="s">
        <v>85</v>
      </c>
      <c r="V991" s="338"/>
      <c r="W991" s="338"/>
      <c r="X991" s="338" t="s">
        <v>6</v>
      </c>
      <c r="Y991" s="338" t="s">
        <v>12564</v>
      </c>
      <c r="Z991" s="338"/>
      <c r="AA991" s="338">
        <v>4526.36279296875</v>
      </c>
      <c r="AB991" s="338">
        <v>725.55389404296875</v>
      </c>
      <c r="AC991" s="338">
        <v>0</v>
      </c>
      <c r="AD991" s="338">
        <v>67825</v>
      </c>
      <c r="AE991" s="338">
        <v>34477</v>
      </c>
      <c r="AF991" s="338">
        <v>45799</v>
      </c>
      <c r="AG991" s="338">
        <v>149869</v>
      </c>
      <c r="AH991" s="338">
        <v>97249</v>
      </c>
      <c r="AI991" s="338">
        <v>149869</v>
      </c>
      <c r="AJ991" s="338">
        <v>94</v>
      </c>
      <c r="AK991" s="338">
        <v>1132</v>
      </c>
      <c r="AL991" s="338">
        <v>2374</v>
      </c>
      <c r="AM991" s="338"/>
      <c r="AN991" s="338">
        <v>2268491.5</v>
      </c>
      <c r="AO991" s="338"/>
      <c r="AP991" s="338"/>
      <c r="AQ991" s="338"/>
      <c r="AR991" s="338">
        <v>0</v>
      </c>
      <c r="AS991" s="338">
        <v>0</v>
      </c>
      <c r="AT991" s="338">
        <v>0</v>
      </c>
      <c r="AU991" s="338">
        <v>0</v>
      </c>
      <c r="AV991" s="338">
        <v>0</v>
      </c>
      <c r="AW991" s="338">
        <v>0</v>
      </c>
      <c r="AX991" s="338">
        <v>0</v>
      </c>
      <c r="AY991" s="338">
        <v>0</v>
      </c>
      <c r="AZ991" s="338">
        <v>0</v>
      </c>
      <c r="BA991" s="338">
        <v>0</v>
      </c>
      <c r="BB991" s="338"/>
      <c r="BC991" s="338"/>
      <c r="BD991" s="338"/>
      <c r="BE991" s="338">
        <v>0</v>
      </c>
      <c r="BF991" s="338" t="s">
        <v>3409</v>
      </c>
      <c r="BG991" s="338" t="s">
        <v>5</v>
      </c>
      <c r="BH991" s="338" t="s">
        <v>1020</v>
      </c>
      <c r="BI991" s="338"/>
      <c r="BJ991" s="338" t="s">
        <v>5</v>
      </c>
      <c r="BK991" s="338"/>
      <c r="BL991" s="338">
        <v>0</v>
      </c>
      <c r="BM991" s="338"/>
      <c r="BN991" s="338" t="s">
        <v>5</v>
      </c>
      <c r="BO991" s="338"/>
      <c r="BP991" s="338"/>
      <c r="BQ991" s="338"/>
      <c r="BR991" s="338"/>
      <c r="BS991" s="338" t="s">
        <v>5</v>
      </c>
      <c r="BT991" s="338"/>
      <c r="BU991" s="338"/>
      <c r="BV991" s="338"/>
      <c r="BW991" s="338"/>
      <c r="BX991" s="338" t="s">
        <v>6</v>
      </c>
      <c r="BY991" s="338" t="s">
        <v>12565</v>
      </c>
      <c r="BZ991" s="338" t="s">
        <v>12564</v>
      </c>
      <c r="CA991"/>
      <c r="CB991" s="338" t="s">
        <v>5</v>
      </c>
      <c r="CC991" s="338">
        <v>3243558.2003708342</v>
      </c>
      <c r="CD991" s="338">
        <v>62907592542.024017</v>
      </c>
      <c r="CE991" s="313" t="s">
        <v>11891</v>
      </c>
    </row>
    <row r="992" spans="1:83" ht="15" x14ac:dyDescent="0.25">
      <c r="A992" s="338" t="s">
        <v>12573</v>
      </c>
      <c r="B992" s="338" t="s">
        <v>12574</v>
      </c>
      <c r="C992" s="338" t="s">
        <v>12575</v>
      </c>
      <c r="D992" s="338">
        <v>10</v>
      </c>
      <c r="E992" s="338" t="s">
        <v>12561</v>
      </c>
      <c r="F992" s="338" t="s">
        <v>12562</v>
      </c>
      <c r="G992" s="338" t="s">
        <v>12562</v>
      </c>
      <c r="H992" s="338"/>
      <c r="I992" s="338"/>
      <c r="J992" s="338"/>
      <c r="K992" s="338" t="s">
        <v>12576</v>
      </c>
      <c r="L992" s="338">
        <v>24288.7578125</v>
      </c>
      <c r="M992" s="338" t="s">
        <v>6</v>
      </c>
      <c r="N992" s="338" t="s">
        <v>6</v>
      </c>
      <c r="O992" s="338" t="s">
        <v>6</v>
      </c>
      <c r="P992" s="338" t="s">
        <v>5</v>
      </c>
      <c r="Q992" s="338" t="s">
        <v>5</v>
      </c>
      <c r="R992" s="338" t="s">
        <v>5162</v>
      </c>
      <c r="S992" s="338" t="s">
        <v>5162</v>
      </c>
      <c r="T992" s="338" t="s">
        <v>5</v>
      </c>
      <c r="U992" s="338" t="s">
        <v>98</v>
      </c>
      <c r="V992" s="338"/>
      <c r="W992" s="338"/>
      <c r="X992" s="338" t="s">
        <v>6</v>
      </c>
      <c r="Y992" s="338" t="s">
        <v>12564</v>
      </c>
      <c r="Z992" s="338"/>
      <c r="AA992" s="338">
        <v>4526.36279296875</v>
      </c>
      <c r="AB992" s="338">
        <v>725.55389404296875</v>
      </c>
      <c r="AC992" s="338">
        <v>0</v>
      </c>
      <c r="AD992" s="338">
        <v>67825</v>
      </c>
      <c r="AE992" s="338">
        <v>34477</v>
      </c>
      <c r="AF992" s="338">
        <v>45799</v>
      </c>
      <c r="AG992" s="338">
        <v>149869</v>
      </c>
      <c r="AH992" s="338">
        <v>97249</v>
      </c>
      <c r="AI992" s="338">
        <v>149869</v>
      </c>
      <c r="AJ992" s="338">
        <v>94</v>
      </c>
      <c r="AK992" s="338">
        <v>1132</v>
      </c>
      <c r="AL992" s="338">
        <v>2374</v>
      </c>
      <c r="AM992" s="338"/>
      <c r="AN992" s="338">
        <v>2268491.5</v>
      </c>
      <c r="AO992" s="338"/>
      <c r="AP992" s="338"/>
      <c r="AQ992" s="338"/>
      <c r="AR992" s="338">
        <v>0</v>
      </c>
      <c r="AS992" s="338">
        <v>0</v>
      </c>
      <c r="AT992" s="338">
        <v>0</v>
      </c>
      <c r="AU992" s="338">
        <v>0</v>
      </c>
      <c r="AV992" s="338">
        <v>0</v>
      </c>
      <c r="AW992" s="338">
        <v>0</v>
      </c>
      <c r="AX992" s="338">
        <v>0</v>
      </c>
      <c r="AY992" s="338">
        <v>0</v>
      </c>
      <c r="AZ992" s="338">
        <v>0</v>
      </c>
      <c r="BA992" s="338">
        <v>0</v>
      </c>
      <c r="BB992" s="338"/>
      <c r="BC992" s="338"/>
      <c r="BD992" s="338"/>
      <c r="BE992" s="338">
        <v>0</v>
      </c>
      <c r="BF992" s="338" t="s">
        <v>12577</v>
      </c>
      <c r="BG992" s="338" t="s">
        <v>5</v>
      </c>
      <c r="BH992" s="338" t="s">
        <v>1020</v>
      </c>
      <c r="BI992" s="338"/>
      <c r="BJ992" s="338" t="s">
        <v>5</v>
      </c>
      <c r="BK992" s="338"/>
      <c r="BL992" s="338">
        <v>0</v>
      </c>
      <c r="BM992" s="338"/>
      <c r="BN992" s="338" t="s">
        <v>5</v>
      </c>
      <c r="BO992" s="338"/>
      <c r="BP992" s="338"/>
      <c r="BQ992" s="338"/>
      <c r="BR992" s="338"/>
      <c r="BS992" s="338" t="s">
        <v>5</v>
      </c>
      <c r="BT992" s="338"/>
      <c r="BU992" s="338"/>
      <c r="BV992" s="338"/>
      <c r="BW992" s="338"/>
      <c r="BX992" s="338" t="s">
        <v>6</v>
      </c>
      <c r="BY992" s="338" t="s">
        <v>12565</v>
      </c>
      <c r="BZ992" s="338" t="s">
        <v>12564</v>
      </c>
      <c r="CA992"/>
      <c r="CB992" s="338" t="s">
        <v>5</v>
      </c>
      <c r="CC992" s="338">
        <v>3243558.2003708342</v>
      </c>
      <c r="CD992" s="338">
        <v>62907592542.024017</v>
      </c>
      <c r="CE992" s="313" t="s">
        <v>11891</v>
      </c>
    </row>
    <row r="993" spans="1:83" ht="15" x14ac:dyDescent="0.25">
      <c r="A993" s="338" t="s">
        <v>12578</v>
      </c>
      <c r="B993" s="338" t="s">
        <v>12579</v>
      </c>
      <c r="C993" s="338" t="s">
        <v>12579</v>
      </c>
      <c r="D993" s="338">
        <v>10</v>
      </c>
      <c r="E993" s="338" t="s">
        <v>12561</v>
      </c>
      <c r="F993" s="338" t="s">
        <v>12562</v>
      </c>
      <c r="G993" s="338" t="s">
        <v>12562</v>
      </c>
      <c r="H993" s="338"/>
      <c r="I993" s="338"/>
      <c r="J993" s="338"/>
      <c r="K993" s="338" t="s">
        <v>12563</v>
      </c>
      <c r="L993" s="338">
        <v>24288.7578125</v>
      </c>
      <c r="M993" s="338" t="s">
        <v>6</v>
      </c>
      <c r="N993" s="338" t="s">
        <v>6</v>
      </c>
      <c r="O993" s="338" t="s">
        <v>6</v>
      </c>
      <c r="P993" s="338" t="s">
        <v>5</v>
      </c>
      <c r="Q993" s="338" t="s">
        <v>5</v>
      </c>
      <c r="R993" s="338" t="s">
        <v>5162</v>
      </c>
      <c r="S993" s="338" t="s">
        <v>5162</v>
      </c>
      <c r="T993" s="338" t="s">
        <v>5</v>
      </c>
      <c r="U993" s="338" t="s">
        <v>28</v>
      </c>
      <c r="V993" s="338"/>
      <c r="W993" s="338"/>
      <c r="X993" s="338" t="s">
        <v>6</v>
      </c>
      <c r="Y993" s="338" t="s">
        <v>12564</v>
      </c>
      <c r="Z993" s="338"/>
      <c r="AA993" s="338">
        <v>4526.36279296875</v>
      </c>
      <c r="AB993" s="338">
        <v>725.55389404296875</v>
      </c>
      <c r="AC993" s="338">
        <v>0</v>
      </c>
      <c r="AD993" s="338">
        <v>67825</v>
      </c>
      <c r="AE993" s="338">
        <v>34477</v>
      </c>
      <c r="AF993" s="338">
        <v>45799</v>
      </c>
      <c r="AG993" s="338">
        <v>149869</v>
      </c>
      <c r="AH993" s="338">
        <v>97249</v>
      </c>
      <c r="AI993" s="338">
        <v>149869</v>
      </c>
      <c r="AJ993" s="338">
        <v>94</v>
      </c>
      <c r="AK993" s="338">
        <v>1132</v>
      </c>
      <c r="AL993" s="338">
        <v>2374</v>
      </c>
      <c r="AM993" s="338"/>
      <c r="AN993" s="338">
        <v>2268491.5</v>
      </c>
      <c r="AO993" s="338"/>
      <c r="AP993" s="338"/>
      <c r="AQ993" s="338"/>
      <c r="AR993" s="338">
        <v>0</v>
      </c>
      <c r="AS993" s="338">
        <v>0</v>
      </c>
      <c r="AT993" s="338">
        <v>0</v>
      </c>
      <c r="AU993" s="338">
        <v>0</v>
      </c>
      <c r="AV993" s="338">
        <v>0</v>
      </c>
      <c r="AW993" s="338">
        <v>0</v>
      </c>
      <c r="AX993" s="338">
        <v>0</v>
      </c>
      <c r="AY993" s="338">
        <v>0</v>
      </c>
      <c r="AZ993" s="338">
        <v>0</v>
      </c>
      <c r="BA993" s="338">
        <v>0</v>
      </c>
      <c r="BB993" s="338"/>
      <c r="BC993" s="338"/>
      <c r="BD993" s="338"/>
      <c r="BE993" s="338">
        <v>0</v>
      </c>
      <c r="BF993" s="338" t="s">
        <v>3407</v>
      </c>
      <c r="BG993" s="338" t="s">
        <v>5</v>
      </c>
      <c r="BH993" s="338" t="s">
        <v>1020</v>
      </c>
      <c r="BI993" s="338"/>
      <c r="BJ993" s="338" t="s">
        <v>5</v>
      </c>
      <c r="BK993" s="338"/>
      <c r="BL993" s="338">
        <v>0</v>
      </c>
      <c r="BM993" s="338"/>
      <c r="BN993" s="338" t="s">
        <v>5</v>
      </c>
      <c r="BO993" s="338"/>
      <c r="BP993" s="338"/>
      <c r="BQ993" s="338"/>
      <c r="BR993" s="338"/>
      <c r="BS993" s="338" t="s">
        <v>5</v>
      </c>
      <c r="BT993" s="338"/>
      <c r="BU993" s="338"/>
      <c r="BV993" s="338"/>
      <c r="BW993" s="338"/>
      <c r="BX993" s="338" t="s">
        <v>6</v>
      </c>
      <c r="BY993" s="338" t="s">
        <v>12565</v>
      </c>
      <c r="BZ993" s="338" t="s">
        <v>12564</v>
      </c>
      <c r="CA993"/>
      <c r="CB993" s="338" t="s">
        <v>5</v>
      </c>
      <c r="CC993" s="338">
        <v>3243558.2003708342</v>
      </c>
      <c r="CD993" s="338">
        <v>62907592542.024017</v>
      </c>
      <c r="CE993" s="313" t="s">
        <v>11891</v>
      </c>
    </row>
  </sheetData>
  <mergeCells count="1">
    <mergeCell ref="C1:G6"/>
  </mergeCells>
  <conditionalFormatting sqref="B8:CB993">
    <cfRule type="containsText" dxfId="90" priority="1" operator="containsText" text="CHANGE">
      <formula>NOT(ISERROR(SEARCH("CHANGE",B8)))</formula>
    </cfRule>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EFA11-820E-4C00-A6C9-8F0A95C4E965}">
  <sheetPr>
    <tabColor rgb="FF00B050"/>
  </sheetPr>
  <dimension ref="A1:AB73"/>
  <sheetViews>
    <sheetView workbookViewId="0"/>
  </sheetViews>
  <sheetFormatPr defaultColWidth="9.140625" defaultRowHeight="15" x14ac:dyDescent="0.25"/>
  <cols>
    <col min="1" max="1" width="13.85546875" style="11" customWidth="1"/>
    <col min="2" max="2" width="4.42578125" customWidth="1"/>
    <col min="3" max="3" width="34.140625" customWidth="1"/>
    <col min="4" max="4" width="23.42578125" customWidth="1"/>
    <col min="5" max="5" width="21.5703125" customWidth="1"/>
    <col min="6" max="6" width="12.5703125" hidden="1" customWidth="1"/>
    <col min="7" max="7" width="12.5703125" style="13" hidden="1" customWidth="1"/>
    <col min="8" max="8" width="12.5703125" hidden="1" customWidth="1"/>
    <col min="9" max="10" width="12.5703125" style="52" hidden="1" customWidth="1"/>
    <col min="11" max="11" width="12.5703125" style="13" hidden="1" customWidth="1"/>
    <col min="12" max="14" width="12.5703125" style="13" customWidth="1"/>
    <col min="15" max="15" width="11.140625" customWidth="1"/>
    <col min="16" max="16" width="16.5703125" customWidth="1"/>
    <col min="17" max="17" width="16.42578125" customWidth="1"/>
    <col min="18" max="18" width="12.5703125" hidden="1" customWidth="1"/>
    <col min="19" max="19" width="9" hidden="1" customWidth="1"/>
    <col min="20" max="21" width="9.5703125" hidden="1" customWidth="1"/>
    <col min="22" max="22" width="11.140625" hidden="1" customWidth="1"/>
    <col min="23" max="26" width="9" hidden="1" customWidth="1"/>
    <col min="27" max="27" width="8.140625" hidden="1" customWidth="1"/>
  </cols>
  <sheetData>
    <row r="1" spans="1:28" ht="15.75" x14ac:dyDescent="0.25">
      <c r="A1" s="51" t="s">
        <v>4633</v>
      </c>
    </row>
    <row r="2" spans="1:28" x14ac:dyDescent="0.25">
      <c r="B2" t="s">
        <v>4012</v>
      </c>
    </row>
    <row r="3" spans="1:28" ht="15.75" thickBot="1" x14ac:dyDescent="0.3">
      <c r="B3" t="s">
        <v>4730</v>
      </c>
    </row>
    <row r="4" spans="1:28" ht="15.75" thickBot="1" x14ac:dyDescent="0.3">
      <c r="B4" t="s">
        <v>4696</v>
      </c>
      <c r="F4" s="12"/>
      <c r="G4" s="53"/>
      <c r="H4" s="12"/>
      <c r="I4" s="54"/>
      <c r="J4" s="55"/>
      <c r="K4" s="53"/>
      <c r="L4" s="53"/>
      <c r="M4" s="5"/>
      <c r="N4" s="5"/>
      <c r="R4" s="56" t="s">
        <v>4634</v>
      </c>
      <c r="S4" s="57"/>
      <c r="T4" s="57"/>
      <c r="U4" s="57"/>
      <c r="V4" s="57"/>
      <c r="W4" s="57"/>
      <c r="X4" s="57"/>
      <c r="Y4" s="58"/>
    </row>
    <row r="5" spans="1:28" ht="15.75" thickBot="1" x14ac:dyDescent="0.3">
      <c r="B5" s="59" t="s">
        <v>4734</v>
      </c>
      <c r="F5" s="12"/>
      <c r="G5" s="53"/>
      <c r="H5" s="12"/>
      <c r="I5" s="54"/>
      <c r="J5" s="55"/>
      <c r="K5" s="53"/>
      <c r="L5" s="53"/>
      <c r="M5" s="5"/>
      <c r="N5" s="5"/>
      <c r="R5" s="56"/>
      <c r="S5" s="57"/>
      <c r="T5" s="57"/>
      <c r="U5" s="57"/>
      <c r="V5" s="57"/>
      <c r="W5" s="57"/>
      <c r="X5" s="57"/>
      <c r="Y5" s="57"/>
    </row>
    <row r="6" spans="1:28" s="8" customFormat="1" ht="75" customHeight="1" thickBot="1" x14ac:dyDescent="0.3">
      <c r="A6" s="60"/>
      <c r="B6" s="61"/>
      <c r="C6" s="62" t="s">
        <v>1026</v>
      </c>
      <c r="D6" s="62" t="s">
        <v>1027</v>
      </c>
      <c r="E6" s="63" t="s">
        <v>4001</v>
      </c>
      <c r="F6" s="64" t="s">
        <v>4002</v>
      </c>
      <c r="G6" s="65" t="s">
        <v>4635</v>
      </c>
      <c r="H6" s="66" t="s">
        <v>4003</v>
      </c>
      <c r="I6" s="67" t="s">
        <v>4636</v>
      </c>
      <c r="J6" s="68" t="s">
        <v>4637</v>
      </c>
      <c r="K6" s="69" t="s">
        <v>4004</v>
      </c>
      <c r="L6" s="70" t="s">
        <v>1039</v>
      </c>
      <c r="M6" s="71" t="s">
        <v>1040</v>
      </c>
      <c r="N6" s="72" t="s">
        <v>4009</v>
      </c>
      <c r="O6" s="73" t="s">
        <v>4638</v>
      </c>
      <c r="R6" s="74" t="s">
        <v>4639</v>
      </c>
      <c r="S6" s="7" t="s">
        <v>4640</v>
      </c>
      <c r="T6" s="7" t="s">
        <v>4641</v>
      </c>
      <c r="U6" s="7" t="s">
        <v>4642</v>
      </c>
      <c r="V6" s="7" t="s">
        <v>4643</v>
      </c>
      <c r="W6" s="7" t="s">
        <v>4644</v>
      </c>
      <c r="X6" s="7" t="s">
        <v>4645</v>
      </c>
      <c r="Y6" s="7" t="s">
        <v>4646</v>
      </c>
      <c r="Z6" s="7" t="s">
        <v>4647</v>
      </c>
      <c r="AA6" s="75" t="s">
        <v>4648</v>
      </c>
    </row>
    <row r="7" spans="1:28" ht="16.5" customHeight="1" thickBot="1" x14ac:dyDescent="0.3">
      <c r="A7" s="411" t="s">
        <v>4007</v>
      </c>
      <c r="B7" s="76">
        <v>1</v>
      </c>
      <c r="C7" s="171" t="s">
        <v>1055</v>
      </c>
      <c r="D7" s="172" t="s">
        <v>4</v>
      </c>
      <c r="E7" s="173"/>
      <c r="F7" s="167" t="s">
        <v>5</v>
      </c>
      <c r="G7" s="168">
        <v>0</v>
      </c>
      <c r="H7" s="77"/>
      <c r="I7" s="177" t="s">
        <v>5</v>
      </c>
      <c r="J7" s="178">
        <v>0</v>
      </c>
      <c r="K7" s="78"/>
      <c r="L7" s="167" t="s">
        <v>5</v>
      </c>
      <c r="M7" s="45">
        <v>0</v>
      </c>
      <c r="N7" s="79"/>
      <c r="O7" s="32">
        <v>0</v>
      </c>
      <c r="R7" s="80">
        <v>264431</v>
      </c>
      <c r="S7" s="81">
        <v>56892.5</v>
      </c>
      <c r="T7" s="81">
        <v>899869</v>
      </c>
      <c r="U7" s="81">
        <v>668883</v>
      </c>
      <c r="V7" s="81">
        <v>2724638</v>
      </c>
      <c r="W7" s="81">
        <v>54820</v>
      </c>
      <c r="X7" s="81">
        <v>44272.7</v>
      </c>
      <c r="Y7" s="81">
        <v>17221.8</v>
      </c>
      <c r="Z7" s="81">
        <v>7091</v>
      </c>
      <c r="AA7" s="82">
        <v>10962</v>
      </c>
    </row>
    <row r="8" spans="1:28" ht="15" customHeight="1" x14ac:dyDescent="0.25">
      <c r="A8" s="412"/>
      <c r="B8" s="165">
        <v>2</v>
      </c>
      <c r="C8" s="174" t="s">
        <v>1056</v>
      </c>
      <c r="D8" s="175" t="s">
        <v>1029</v>
      </c>
      <c r="E8" s="414" t="s">
        <v>4034</v>
      </c>
      <c r="F8" s="169" t="s">
        <v>6</v>
      </c>
      <c r="G8" s="170">
        <v>0.15</v>
      </c>
      <c r="H8" s="417">
        <f>SUM(G8:G12)</f>
        <v>0.75</v>
      </c>
      <c r="I8" s="28" t="s">
        <v>5</v>
      </c>
      <c r="J8" s="179">
        <v>0</v>
      </c>
      <c r="K8" s="417">
        <f>SUM(J8:J9)</f>
        <v>0</v>
      </c>
      <c r="L8" s="169" t="s">
        <v>6</v>
      </c>
      <c r="M8" s="188">
        <v>0.1</v>
      </c>
      <c r="N8" s="417">
        <f>SUM(M8:M12)</f>
        <v>0.4</v>
      </c>
      <c r="O8" s="33">
        <v>10</v>
      </c>
    </row>
    <row r="9" spans="1:28" ht="31.5" x14ac:dyDescent="0.25">
      <c r="A9" s="412"/>
      <c r="B9" s="165">
        <f t="shared" ref="B9:B28" si="0">B8+1</f>
        <v>3</v>
      </c>
      <c r="C9" s="174" t="s">
        <v>1057</v>
      </c>
      <c r="D9" s="175" t="s">
        <v>1029</v>
      </c>
      <c r="E9" s="415"/>
      <c r="F9" s="169" t="s">
        <v>5</v>
      </c>
      <c r="G9" s="185">
        <v>0</v>
      </c>
      <c r="H9" s="418"/>
      <c r="I9" s="28" t="s">
        <v>5</v>
      </c>
      <c r="J9" s="179">
        <v>0</v>
      </c>
      <c r="K9" s="418"/>
      <c r="L9" s="169" t="s">
        <v>5</v>
      </c>
      <c r="M9" s="282">
        <v>0</v>
      </c>
      <c r="N9" s="418"/>
      <c r="O9" s="33">
        <v>0</v>
      </c>
    </row>
    <row r="10" spans="1:28" ht="31.5" x14ac:dyDescent="0.25">
      <c r="A10" s="412"/>
      <c r="B10" s="165">
        <f t="shared" si="0"/>
        <v>4</v>
      </c>
      <c r="C10" s="174" t="s">
        <v>1058</v>
      </c>
      <c r="D10" s="175" t="s">
        <v>1029</v>
      </c>
      <c r="E10" s="415"/>
      <c r="F10" s="169" t="s">
        <v>6</v>
      </c>
      <c r="G10" s="170">
        <v>0.15</v>
      </c>
      <c r="H10" s="418"/>
      <c r="I10" s="28" t="s">
        <v>5</v>
      </c>
      <c r="J10" s="179">
        <v>0</v>
      </c>
      <c r="K10" s="418"/>
      <c r="L10" s="169" t="s">
        <v>6</v>
      </c>
      <c r="M10" s="188">
        <v>0.1</v>
      </c>
      <c r="N10" s="418"/>
      <c r="O10" s="33">
        <v>10</v>
      </c>
    </row>
    <row r="11" spans="1:28" ht="14.45" customHeight="1" x14ac:dyDescent="0.25">
      <c r="A11" s="412"/>
      <c r="B11" s="165">
        <f t="shared" si="0"/>
        <v>5</v>
      </c>
      <c r="C11" s="174" t="s">
        <v>1059</v>
      </c>
      <c r="D11" s="175" t="s">
        <v>1029</v>
      </c>
      <c r="E11" s="415"/>
      <c r="F11" s="169" t="s">
        <v>6</v>
      </c>
      <c r="G11" s="186">
        <v>0.25</v>
      </c>
      <c r="H11" s="418"/>
      <c r="I11" s="28" t="s">
        <v>5</v>
      </c>
      <c r="J11" s="179">
        <v>0</v>
      </c>
      <c r="K11" s="418"/>
      <c r="L11" s="169" t="s">
        <v>6</v>
      </c>
      <c r="M11" s="188">
        <v>0.1</v>
      </c>
      <c r="N11" s="418"/>
      <c r="O11" s="33">
        <v>10</v>
      </c>
    </row>
    <row r="12" spans="1:28" ht="14.45" customHeight="1" x14ac:dyDescent="0.25">
      <c r="A12" s="412"/>
      <c r="B12" s="165">
        <f t="shared" si="0"/>
        <v>6</v>
      </c>
      <c r="C12" s="174" t="s">
        <v>1030</v>
      </c>
      <c r="D12" s="175" t="s">
        <v>1029</v>
      </c>
      <c r="E12" s="416"/>
      <c r="F12" s="169" t="s">
        <v>6</v>
      </c>
      <c r="G12" s="170">
        <v>0.2</v>
      </c>
      <c r="H12" s="419"/>
      <c r="I12" s="28" t="s">
        <v>5</v>
      </c>
      <c r="J12" s="179">
        <v>0</v>
      </c>
      <c r="K12" s="419"/>
      <c r="L12" s="169" t="s">
        <v>6</v>
      </c>
      <c r="M12" s="188">
        <v>0.1</v>
      </c>
      <c r="N12" s="419"/>
      <c r="O12" s="33">
        <v>10</v>
      </c>
    </row>
    <row r="13" spans="1:28" ht="31.5" x14ac:dyDescent="0.25">
      <c r="A13" s="412"/>
      <c r="B13" s="165">
        <f t="shared" si="0"/>
        <v>7</v>
      </c>
      <c r="C13" s="174" t="s">
        <v>1031</v>
      </c>
      <c r="D13" s="175" t="s">
        <v>1029</v>
      </c>
      <c r="E13" s="420" t="s">
        <v>4005</v>
      </c>
      <c r="F13" s="169" t="s">
        <v>6</v>
      </c>
      <c r="G13" s="170">
        <v>0.05</v>
      </c>
      <c r="H13" s="421">
        <f>G13+G14</f>
        <v>0.15000000000000002</v>
      </c>
      <c r="I13" s="28" t="s">
        <v>5</v>
      </c>
      <c r="J13" s="179">
        <v>0</v>
      </c>
      <c r="K13" s="421">
        <f>J13+J14</f>
        <v>0</v>
      </c>
      <c r="L13" s="169" t="s">
        <v>6</v>
      </c>
      <c r="M13" s="188">
        <v>0.05</v>
      </c>
      <c r="N13" s="421">
        <f>M13+M14</f>
        <v>0.15000000000000002</v>
      </c>
      <c r="O13" s="33">
        <v>10</v>
      </c>
    </row>
    <row r="14" spans="1:28" ht="31.5" x14ac:dyDescent="0.25">
      <c r="A14" s="412"/>
      <c r="B14" s="165">
        <f t="shared" si="0"/>
        <v>8</v>
      </c>
      <c r="C14" s="174" t="s">
        <v>1060</v>
      </c>
      <c r="D14" s="175" t="s">
        <v>1029</v>
      </c>
      <c r="E14" s="420"/>
      <c r="F14" s="169" t="s">
        <v>6</v>
      </c>
      <c r="G14" s="170">
        <v>0.1</v>
      </c>
      <c r="H14" s="421"/>
      <c r="I14" s="28" t="s">
        <v>5</v>
      </c>
      <c r="J14" s="179">
        <v>0</v>
      </c>
      <c r="K14" s="421"/>
      <c r="L14" s="169" t="s">
        <v>6</v>
      </c>
      <c r="M14" s="188">
        <v>0.1</v>
      </c>
      <c r="N14" s="421"/>
      <c r="O14" s="33">
        <v>10</v>
      </c>
    </row>
    <row r="15" spans="1:28" ht="31.5" x14ac:dyDescent="0.25">
      <c r="A15" s="412"/>
      <c r="B15" s="165">
        <f t="shared" si="0"/>
        <v>9</v>
      </c>
      <c r="C15" s="174" t="s">
        <v>1061</v>
      </c>
      <c r="D15" s="175" t="s">
        <v>1029</v>
      </c>
      <c r="E15" s="176" t="s">
        <v>4006</v>
      </c>
      <c r="F15" s="169" t="s">
        <v>6</v>
      </c>
      <c r="G15" s="186">
        <v>0.1</v>
      </c>
      <c r="H15" s="166">
        <f>G15</f>
        <v>0.1</v>
      </c>
      <c r="I15" s="28" t="s">
        <v>5</v>
      </c>
      <c r="J15" s="179">
        <v>0</v>
      </c>
      <c r="K15" s="166">
        <f>J15</f>
        <v>0</v>
      </c>
      <c r="L15" s="169" t="s">
        <v>6</v>
      </c>
      <c r="M15" s="188">
        <v>0.05</v>
      </c>
      <c r="N15" s="166">
        <f>M15</f>
        <v>0.05</v>
      </c>
      <c r="O15" s="33">
        <v>10</v>
      </c>
    </row>
    <row r="16" spans="1:28" ht="47.25" x14ac:dyDescent="0.25">
      <c r="A16" s="412"/>
      <c r="B16" s="160">
        <f t="shared" si="0"/>
        <v>10</v>
      </c>
      <c r="C16" s="161" t="s">
        <v>1087</v>
      </c>
      <c r="D16" s="161" t="s">
        <v>1032</v>
      </c>
      <c r="E16" s="422" t="s">
        <v>4034</v>
      </c>
      <c r="F16" s="83"/>
      <c r="G16" s="84"/>
      <c r="H16" s="408"/>
      <c r="I16" s="28" t="s">
        <v>5</v>
      </c>
      <c r="J16" s="85">
        <v>0</v>
      </c>
      <c r="K16" s="404">
        <f>SUM(J16:J22)</f>
        <v>0.45</v>
      </c>
      <c r="L16" s="169" t="s">
        <v>5</v>
      </c>
      <c r="M16" s="46">
        <v>0</v>
      </c>
      <c r="N16" s="404">
        <v>0.2</v>
      </c>
      <c r="O16" s="33">
        <v>0</v>
      </c>
      <c r="AB16" s="86"/>
    </row>
    <row r="17" spans="1:15" ht="33" customHeight="1" x14ac:dyDescent="0.25">
      <c r="A17" s="412"/>
      <c r="B17" s="160">
        <f t="shared" si="0"/>
        <v>11</v>
      </c>
      <c r="C17" s="162" t="s">
        <v>1079</v>
      </c>
      <c r="D17" s="162" t="s">
        <v>1032</v>
      </c>
      <c r="E17" s="423"/>
      <c r="F17" s="83"/>
      <c r="G17" s="84"/>
      <c r="H17" s="425"/>
      <c r="I17" s="28" t="s">
        <v>6</v>
      </c>
      <c r="J17" s="85">
        <v>0.05</v>
      </c>
      <c r="K17" s="405"/>
      <c r="L17" s="169" t="s">
        <v>6</v>
      </c>
      <c r="M17" s="188">
        <v>0.1</v>
      </c>
      <c r="N17" s="405"/>
      <c r="O17" s="33">
        <v>10</v>
      </c>
    </row>
    <row r="18" spans="1:15" ht="32.450000000000003" customHeight="1" x14ac:dyDescent="0.25">
      <c r="A18" s="412"/>
      <c r="B18" s="160">
        <f t="shared" si="0"/>
        <v>12</v>
      </c>
      <c r="C18" s="162" t="s">
        <v>4649</v>
      </c>
      <c r="D18" s="162" t="s">
        <v>1032</v>
      </c>
      <c r="E18" s="423"/>
      <c r="F18" s="83"/>
      <c r="G18" s="84"/>
      <c r="H18" s="425"/>
      <c r="I18" s="28" t="s">
        <v>6</v>
      </c>
      <c r="J18" s="85">
        <v>0.1</v>
      </c>
      <c r="K18" s="405"/>
      <c r="L18" s="87"/>
      <c r="M18" s="88"/>
      <c r="N18" s="405"/>
      <c r="O18" s="33">
        <v>10</v>
      </c>
    </row>
    <row r="19" spans="1:15" ht="19.350000000000001" customHeight="1" x14ac:dyDescent="0.25">
      <c r="A19" s="412"/>
      <c r="B19" s="160">
        <f t="shared" si="0"/>
        <v>13</v>
      </c>
      <c r="C19" s="162" t="s">
        <v>1080</v>
      </c>
      <c r="D19" s="162" t="s">
        <v>1032</v>
      </c>
      <c r="E19" s="423"/>
      <c r="F19" s="83"/>
      <c r="G19" s="84"/>
      <c r="H19" s="425"/>
      <c r="I19" s="28" t="s">
        <v>6</v>
      </c>
      <c r="J19" s="85">
        <v>2.5000000000000001E-2</v>
      </c>
      <c r="K19" s="405"/>
      <c r="L19" s="169" t="s">
        <v>6</v>
      </c>
      <c r="M19" s="188">
        <v>0.05</v>
      </c>
      <c r="N19" s="405"/>
      <c r="O19" s="33">
        <v>10</v>
      </c>
    </row>
    <row r="20" spans="1:15" ht="19.350000000000001" customHeight="1" x14ac:dyDescent="0.25">
      <c r="A20" s="412"/>
      <c r="B20" s="160">
        <f t="shared" si="0"/>
        <v>14</v>
      </c>
      <c r="C20" s="162" t="s">
        <v>1081</v>
      </c>
      <c r="D20" s="162" t="s">
        <v>1032</v>
      </c>
      <c r="E20" s="423"/>
      <c r="F20" s="83"/>
      <c r="G20" s="84"/>
      <c r="H20" s="425"/>
      <c r="I20" s="28" t="s">
        <v>6</v>
      </c>
      <c r="J20" s="85">
        <v>0.1</v>
      </c>
      <c r="K20" s="405"/>
      <c r="L20" s="169" t="s">
        <v>6</v>
      </c>
      <c r="M20" s="188">
        <v>0.1</v>
      </c>
      <c r="N20" s="405"/>
      <c r="O20" s="33">
        <v>10</v>
      </c>
    </row>
    <row r="21" spans="1:15" ht="18" customHeight="1" x14ac:dyDescent="0.25">
      <c r="A21" s="412"/>
      <c r="B21" s="160">
        <f t="shared" si="0"/>
        <v>15</v>
      </c>
      <c r="C21" s="162" t="s">
        <v>1082</v>
      </c>
      <c r="D21" s="162" t="s">
        <v>1032</v>
      </c>
      <c r="E21" s="423"/>
      <c r="F21" s="83"/>
      <c r="G21" s="84"/>
      <c r="H21" s="425"/>
      <c r="I21" s="28" t="s">
        <v>6</v>
      </c>
      <c r="J21" s="85">
        <v>0.1</v>
      </c>
      <c r="K21" s="405"/>
      <c r="L21" s="169" t="s">
        <v>5</v>
      </c>
      <c r="M21" s="46">
        <v>0</v>
      </c>
      <c r="N21" s="405"/>
      <c r="O21" s="33">
        <v>10</v>
      </c>
    </row>
    <row r="22" spans="1:15" ht="20.100000000000001" customHeight="1" x14ac:dyDescent="0.25">
      <c r="A22" s="412"/>
      <c r="B22" s="160">
        <f t="shared" si="0"/>
        <v>16</v>
      </c>
      <c r="C22" s="162" t="s">
        <v>1083</v>
      </c>
      <c r="D22" s="162" t="s">
        <v>1032</v>
      </c>
      <c r="E22" s="424"/>
      <c r="F22" s="83"/>
      <c r="G22" s="84"/>
      <c r="H22" s="409"/>
      <c r="I22" s="28" t="s">
        <v>6</v>
      </c>
      <c r="J22" s="85">
        <v>7.4999999999999997E-2</v>
      </c>
      <c r="K22" s="406"/>
      <c r="L22" s="169" t="s">
        <v>5</v>
      </c>
      <c r="M22" s="46">
        <v>0</v>
      </c>
      <c r="N22" s="406"/>
      <c r="O22" s="33">
        <v>10</v>
      </c>
    </row>
    <row r="23" spans="1:15" ht="31.5" x14ac:dyDescent="0.25">
      <c r="A23" s="412"/>
      <c r="B23" s="160">
        <f t="shared" si="0"/>
        <v>17</v>
      </c>
      <c r="C23" s="162" t="s">
        <v>1062</v>
      </c>
      <c r="D23" s="162" t="s">
        <v>1032</v>
      </c>
      <c r="E23" s="407" t="s">
        <v>4650</v>
      </c>
      <c r="F23" s="83"/>
      <c r="G23" s="84"/>
      <c r="H23" s="408"/>
      <c r="I23" s="28" t="s">
        <v>5</v>
      </c>
      <c r="J23" s="85">
        <v>0</v>
      </c>
      <c r="K23" s="410">
        <f>J24+J23</f>
        <v>0.05</v>
      </c>
      <c r="L23" s="169" t="s">
        <v>5</v>
      </c>
      <c r="M23" s="46">
        <v>0</v>
      </c>
      <c r="N23" s="410">
        <f>M24+M23</f>
        <v>0</v>
      </c>
      <c r="O23" s="33">
        <v>0</v>
      </c>
    </row>
    <row r="24" spans="1:15" ht="17.100000000000001" customHeight="1" x14ac:dyDescent="0.25">
      <c r="A24" s="412"/>
      <c r="B24" s="160">
        <f t="shared" si="0"/>
        <v>18</v>
      </c>
      <c r="C24" s="162" t="s">
        <v>1084</v>
      </c>
      <c r="D24" s="162" t="s">
        <v>1032</v>
      </c>
      <c r="E24" s="407"/>
      <c r="F24" s="83"/>
      <c r="G24" s="84"/>
      <c r="H24" s="409"/>
      <c r="I24" s="28" t="s">
        <v>6</v>
      </c>
      <c r="J24" s="85">
        <v>0.05</v>
      </c>
      <c r="K24" s="410"/>
      <c r="L24" s="169" t="s">
        <v>5</v>
      </c>
      <c r="M24" s="46">
        <v>0</v>
      </c>
      <c r="N24" s="410"/>
      <c r="O24" s="33">
        <v>10</v>
      </c>
    </row>
    <row r="25" spans="1:15" ht="17.100000000000001" customHeight="1" x14ac:dyDescent="0.25">
      <c r="A25" s="412"/>
      <c r="B25" s="160">
        <f t="shared" si="0"/>
        <v>19</v>
      </c>
      <c r="C25" s="162" t="s">
        <v>1085</v>
      </c>
      <c r="D25" s="162" t="s">
        <v>1032</v>
      </c>
      <c r="E25" s="163" t="s">
        <v>4006</v>
      </c>
      <c r="F25" s="83"/>
      <c r="G25" s="84"/>
      <c r="H25" s="30"/>
      <c r="I25" s="28" t="s">
        <v>6</v>
      </c>
      <c r="J25" s="85">
        <v>0.05</v>
      </c>
      <c r="K25" s="164">
        <f>J25</f>
        <v>0.05</v>
      </c>
      <c r="L25" s="169" t="s">
        <v>5</v>
      </c>
      <c r="M25" s="46">
        <v>0</v>
      </c>
      <c r="N25" s="164">
        <f>M25</f>
        <v>0</v>
      </c>
      <c r="O25" s="33">
        <v>10</v>
      </c>
    </row>
    <row r="26" spans="1:15" ht="15" customHeight="1" x14ac:dyDescent="0.25">
      <c r="A26" s="412"/>
      <c r="B26" s="89">
        <f t="shared" si="0"/>
        <v>20</v>
      </c>
      <c r="C26" s="90" t="s">
        <v>1086</v>
      </c>
      <c r="D26" s="91" t="s">
        <v>4</v>
      </c>
      <c r="E26" s="92"/>
      <c r="F26" s="83"/>
      <c r="G26" s="84"/>
      <c r="H26" s="30"/>
      <c r="I26" s="28" t="s">
        <v>6</v>
      </c>
      <c r="J26" s="187">
        <v>0.05</v>
      </c>
      <c r="K26" s="93"/>
      <c r="L26" s="181" t="s">
        <v>5</v>
      </c>
      <c r="M26" s="46">
        <v>0</v>
      </c>
      <c r="N26" s="94"/>
      <c r="O26" s="33">
        <v>10</v>
      </c>
    </row>
    <row r="27" spans="1:15" ht="31.5" x14ac:dyDescent="0.25">
      <c r="A27" s="412"/>
      <c r="B27" s="89">
        <f t="shared" si="0"/>
        <v>21</v>
      </c>
      <c r="C27" s="90" t="s">
        <v>1063</v>
      </c>
      <c r="D27" s="91" t="s">
        <v>4</v>
      </c>
      <c r="E27" s="92"/>
      <c r="F27" s="83"/>
      <c r="G27" s="84"/>
      <c r="H27" s="30"/>
      <c r="I27" s="28" t="s">
        <v>6</v>
      </c>
      <c r="J27" s="85">
        <v>2.5000000000000001E-2</v>
      </c>
      <c r="K27" s="93"/>
      <c r="L27" s="169" t="s">
        <v>6</v>
      </c>
      <c r="M27" s="188">
        <v>7.4999999999999997E-2</v>
      </c>
      <c r="N27" s="94"/>
      <c r="O27" s="33">
        <v>10</v>
      </c>
    </row>
    <row r="28" spans="1:15" ht="15.75" x14ac:dyDescent="0.25">
      <c r="A28" s="412"/>
      <c r="B28" s="89">
        <f t="shared" si="0"/>
        <v>22</v>
      </c>
      <c r="C28" s="90" t="s">
        <v>1064</v>
      </c>
      <c r="D28" s="91" t="s">
        <v>4</v>
      </c>
      <c r="E28" s="92"/>
      <c r="F28" s="83"/>
      <c r="G28" s="84"/>
      <c r="H28" s="30"/>
      <c r="I28" s="28" t="s">
        <v>6</v>
      </c>
      <c r="J28" s="85">
        <v>0.05</v>
      </c>
      <c r="K28" s="93"/>
      <c r="L28" s="181"/>
      <c r="M28" s="47"/>
      <c r="N28" s="95"/>
      <c r="O28" s="33">
        <v>10</v>
      </c>
    </row>
    <row r="29" spans="1:15" ht="15.75" x14ac:dyDescent="0.25">
      <c r="A29" s="412"/>
      <c r="B29" s="96">
        <v>23</v>
      </c>
      <c r="C29" s="97" t="s">
        <v>1065</v>
      </c>
      <c r="D29" s="98" t="s">
        <v>4</v>
      </c>
      <c r="E29" s="99"/>
      <c r="F29" s="100"/>
      <c r="G29" s="101"/>
      <c r="H29" s="102"/>
      <c r="I29" s="180" t="s">
        <v>6</v>
      </c>
      <c r="J29" s="187">
        <v>2.5000000000000001E-2</v>
      </c>
      <c r="K29" s="103"/>
      <c r="L29" s="182" t="s">
        <v>6</v>
      </c>
      <c r="M29" s="283">
        <v>0.05</v>
      </c>
      <c r="N29" s="104"/>
      <c r="O29" s="34">
        <v>10</v>
      </c>
    </row>
    <row r="30" spans="1:15" ht="16.5" thickBot="1" x14ac:dyDescent="0.3">
      <c r="A30" s="412"/>
      <c r="B30" s="105">
        <v>24</v>
      </c>
      <c r="C30" s="285" t="s">
        <v>4042</v>
      </c>
      <c r="D30" s="106" t="s">
        <v>4</v>
      </c>
      <c r="E30" s="107" t="s">
        <v>4</v>
      </c>
      <c r="F30" s="83"/>
      <c r="G30" s="84"/>
      <c r="H30" s="108"/>
      <c r="I30" s="83"/>
      <c r="J30" s="84"/>
      <c r="K30" s="108"/>
      <c r="L30" s="183" t="s">
        <v>6</v>
      </c>
      <c r="M30" s="284">
        <v>2.5000000000000001E-2</v>
      </c>
      <c r="N30" s="109"/>
      <c r="O30" s="184">
        <v>10</v>
      </c>
    </row>
    <row r="31" spans="1:15" s="48" customFormat="1" ht="18" customHeight="1" thickBot="1" x14ac:dyDescent="0.3">
      <c r="A31" s="413"/>
      <c r="B31" s="110"/>
      <c r="C31" s="111" t="s">
        <v>4010</v>
      </c>
      <c r="D31" s="110"/>
      <c r="E31" s="112"/>
      <c r="F31" s="426">
        <f>SUM(G7:G29)</f>
        <v>1</v>
      </c>
      <c r="G31" s="427"/>
      <c r="H31" s="428"/>
      <c r="I31" s="429">
        <f>SUM(J7:J29)</f>
        <v>0.70000000000000018</v>
      </c>
      <c r="J31" s="430"/>
      <c r="K31" s="431"/>
      <c r="L31" s="401">
        <f>SUM(M7:M30)</f>
        <v>1</v>
      </c>
      <c r="M31" s="402"/>
      <c r="N31" s="403"/>
      <c r="O31" s="113"/>
    </row>
    <row r="32" spans="1:15" ht="15.75" customHeight="1" thickBot="1" x14ac:dyDescent="0.3">
      <c r="A32" s="114"/>
      <c r="B32" s="115"/>
      <c r="C32" s="115"/>
      <c r="D32" s="115"/>
      <c r="E32" s="115"/>
      <c r="F32" s="115"/>
      <c r="G32" s="115"/>
      <c r="H32" s="115"/>
      <c r="I32" s="116"/>
      <c r="J32" s="116"/>
      <c r="K32" s="115"/>
      <c r="L32" s="115"/>
      <c r="M32" s="115"/>
      <c r="N32" s="115"/>
    </row>
    <row r="33" spans="1:15" ht="15" customHeight="1" x14ac:dyDescent="0.25">
      <c r="A33" s="435" t="s">
        <v>4008</v>
      </c>
      <c r="B33" s="117">
        <v>25</v>
      </c>
      <c r="C33" s="118" t="s">
        <v>1033</v>
      </c>
      <c r="D33" s="119" t="s">
        <v>1029</v>
      </c>
      <c r="E33" s="120"/>
      <c r="F33" s="121"/>
      <c r="G33" s="122"/>
      <c r="H33" s="123"/>
      <c r="I33" s="31" t="s">
        <v>6</v>
      </c>
      <c r="J33" s="194">
        <v>0.05</v>
      </c>
      <c r="K33" s="124"/>
      <c r="L33" s="121"/>
      <c r="M33" s="122"/>
      <c r="N33" s="125"/>
      <c r="O33" s="32">
        <v>10</v>
      </c>
    </row>
    <row r="34" spans="1:15" ht="31.5" x14ac:dyDescent="0.25">
      <c r="A34" s="436"/>
      <c r="B34" s="126">
        <f t="shared" ref="B34:B48" si="1">B33+1</f>
        <v>26</v>
      </c>
      <c r="C34" s="127" t="s">
        <v>1034</v>
      </c>
      <c r="D34" s="128" t="s">
        <v>1029</v>
      </c>
      <c r="E34" s="129"/>
      <c r="F34" s="83"/>
      <c r="G34" s="130"/>
      <c r="H34" s="108"/>
      <c r="I34" s="28" t="s">
        <v>6</v>
      </c>
      <c r="J34" s="197">
        <v>0.05</v>
      </c>
      <c r="K34" s="93"/>
      <c r="L34" s="83"/>
      <c r="M34" s="130"/>
      <c r="N34" s="95"/>
      <c r="O34" s="33">
        <v>10</v>
      </c>
    </row>
    <row r="35" spans="1:15" ht="18" customHeight="1" x14ac:dyDescent="0.25">
      <c r="A35" s="436"/>
      <c r="B35" s="126">
        <f t="shared" si="1"/>
        <v>27</v>
      </c>
      <c r="C35" s="127" t="s">
        <v>4651</v>
      </c>
      <c r="D35" s="131" t="s">
        <v>1032</v>
      </c>
      <c r="E35" s="129"/>
      <c r="F35" s="83"/>
      <c r="G35" s="130"/>
      <c r="H35" s="108"/>
      <c r="I35" s="28" t="s">
        <v>4011</v>
      </c>
      <c r="J35" s="195">
        <v>0</v>
      </c>
      <c r="K35" s="93"/>
      <c r="L35" s="83"/>
      <c r="M35" s="130"/>
      <c r="N35" s="95"/>
      <c r="O35" s="33">
        <v>10</v>
      </c>
    </row>
    <row r="36" spans="1:15" ht="15.75" x14ac:dyDescent="0.25">
      <c r="A36" s="436"/>
      <c r="B36" s="126">
        <f t="shared" si="1"/>
        <v>28</v>
      </c>
      <c r="C36" s="127" t="s">
        <v>4033</v>
      </c>
      <c r="D36" s="131" t="s">
        <v>1032</v>
      </c>
      <c r="E36" s="132"/>
      <c r="F36" s="83"/>
      <c r="G36" s="130"/>
      <c r="H36" s="108"/>
      <c r="I36" s="28" t="s">
        <v>5</v>
      </c>
      <c r="J36" s="198">
        <v>0</v>
      </c>
      <c r="K36" s="93"/>
      <c r="L36" s="83"/>
      <c r="M36" s="130"/>
      <c r="N36" s="95"/>
      <c r="O36" s="33">
        <v>0</v>
      </c>
    </row>
    <row r="37" spans="1:15" ht="31.5" x14ac:dyDescent="0.25">
      <c r="A37" s="436"/>
      <c r="B37" s="126">
        <f t="shared" si="1"/>
        <v>29</v>
      </c>
      <c r="C37" s="127" t="s">
        <v>1022</v>
      </c>
      <c r="D37" s="131" t="s">
        <v>1032</v>
      </c>
      <c r="E37" s="132"/>
      <c r="F37" s="83"/>
      <c r="G37" s="130"/>
      <c r="H37" s="108"/>
      <c r="I37" s="28" t="s">
        <v>5</v>
      </c>
      <c r="J37" s="195">
        <v>0</v>
      </c>
      <c r="K37" s="93"/>
      <c r="L37" s="83"/>
      <c r="M37" s="130"/>
      <c r="N37" s="95"/>
      <c r="O37" s="33">
        <v>0</v>
      </c>
    </row>
    <row r="38" spans="1:15" ht="15.75" x14ac:dyDescent="0.25">
      <c r="A38" s="436"/>
      <c r="B38" s="126">
        <f t="shared" si="1"/>
        <v>30</v>
      </c>
      <c r="C38" s="127" t="s">
        <v>1035</v>
      </c>
      <c r="D38" s="131" t="s">
        <v>1032</v>
      </c>
      <c r="E38" s="132"/>
      <c r="F38" s="83"/>
      <c r="G38" s="130"/>
      <c r="H38" s="108"/>
      <c r="I38" s="28" t="s">
        <v>6</v>
      </c>
      <c r="J38" s="195">
        <v>0.05</v>
      </c>
      <c r="K38" s="93"/>
      <c r="L38" s="83"/>
      <c r="M38" s="130"/>
      <c r="N38" s="95"/>
      <c r="O38" s="33">
        <v>10</v>
      </c>
    </row>
    <row r="39" spans="1:15" ht="15.75" x14ac:dyDescent="0.25">
      <c r="A39" s="436"/>
      <c r="B39" s="126">
        <f t="shared" si="1"/>
        <v>31</v>
      </c>
      <c r="C39" s="127" t="s">
        <v>1021</v>
      </c>
      <c r="D39" s="133" t="s">
        <v>1050</v>
      </c>
      <c r="E39" s="132"/>
      <c r="F39" s="83"/>
      <c r="G39" s="130"/>
      <c r="H39" s="108"/>
      <c r="I39" s="28" t="s">
        <v>6</v>
      </c>
      <c r="J39" s="198">
        <v>0</v>
      </c>
      <c r="K39" s="93"/>
      <c r="L39" s="83"/>
      <c r="M39" s="130"/>
      <c r="N39" s="95"/>
      <c r="O39" s="33">
        <v>10</v>
      </c>
    </row>
    <row r="40" spans="1:15" ht="15.75" x14ac:dyDescent="0.25">
      <c r="A40" s="436"/>
      <c r="B40" s="126">
        <f t="shared" si="1"/>
        <v>32</v>
      </c>
      <c r="C40" s="127" t="s">
        <v>1023</v>
      </c>
      <c r="D40" s="133" t="s">
        <v>4</v>
      </c>
      <c r="E40" s="132"/>
      <c r="F40" s="83"/>
      <c r="G40" s="130"/>
      <c r="H40" s="108"/>
      <c r="I40" s="28" t="s">
        <v>6</v>
      </c>
      <c r="J40" s="197">
        <v>0.05</v>
      </c>
      <c r="K40" s="93"/>
      <c r="L40" s="83"/>
      <c r="M40" s="130"/>
      <c r="N40" s="95"/>
      <c r="O40" s="33">
        <v>10</v>
      </c>
    </row>
    <row r="41" spans="1:15" ht="15.75" x14ac:dyDescent="0.25">
      <c r="A41" s="436"/>
      <c r="B41" s="126">
        <f t="shared" si="1"/>
        <v>33</v>
      </c>
      <c r="C41" s="127" t="s">
        <v>1036</v>
      </c>
      <c r="D41" s="133" t="s">
        <v>1050</v>
      </c>
      <c r="E41" s="132"/>
      <c r="F41" s="83"/>
      <c r="G41" s="130"/>
      <c r="H41" s="108"/>
      <c r="I41" s="28" t="s">
        <v>4011</v>
      </c>
      <c r="J41" s="195">
        <v>0</v>
      </c>
      <c r="K41" s="93"/>
      <c r="L41" s="83"/>
      <c r="M41" s="130"/>
      <c r="N41" s="95"/>
      <c r="O41" s="33">
        <v>10</v>
      </c>
    </row>
    <row r="42" spans="1:15" ht="15.75" x14ac:dyDescent="0.25">
      <c r="A42" s="436"/>
      <c r="B42" s="126">
        <f t="shared" si="1"/>
        <v>34</v>
      </c>
      <c r="C42" s="127" t="s">
        <v>4652</v>
      </c>
      <c r="D42" s="133" t="s">
        <v>1050</v>
      </c>
      <c r="E42" s="132"/>
      <c r="F42" s="83"/>
      <c r="G42" s="130"/>
      <c r="H42" s="108"/>
      <c r="I42" s="28" t="s">
        <v>6</v>
      </c>
      <c r="J42" s="195">
        <v>2.5000000000000001E-2</v>
      </c>
      <c r="K42" s="93"/>
      <c r="L42" s="83"/>
      <c r="M42" s="130"/>
      <c r="N42" s="95"/>
      <c r="O42" s="33">
        <v>10</v>
      </c>
    </row>
    <row r="43" spans="1:15" ht="15.75" x14ac:dyDescent="0.25">
      <c r="A43" s="436"/>
      <c r="B43" s="126">
        <f t="shared" si="1"/>
        <v>35</v>
      </c>
      <c r="C43" s="127" t="s">
        <v>1024</v>
      </c>
      <c r="D43" s="133" t="s">
        <v>4</v>
      </c>
      <c r="E43" s="132"/>
      <c r="F43" s="83"/>
      <c r="G43" s="130"/>
      <c r="H43" s="108"/>
      <c r="I43" s="28" t="s">
        <v>5</v>
      </c>
      <c r="J43" s="198">
        <v>0</v>
      </c>
      <c r="K43" s="93"/>
      <c r="L43" s="83"/>
      <c r="M43" s="130"/>
      <c r="N43" s="95"/>
      <c r="O43" s="33">
        <v>0</v>
      </c>
    </row>
    <row r="44" spans="1:15" ht="31.5" x14ac:dyDescent="0.25">
      <c r="A44" s="436"/>
      <c r="B44" s="126">
        <f t="shared" si="1"/>
        <v>36</v>
      </c>
      <c r="C44" s="127" t="s">
        <v>1025</v>
      </c>
      <c r="D44" s="133" t="s">
        <v>4</v>
      </c>
      <c r="E44" s="132"/>
      <c r="F44" s="83"/>
      <c r="G44" s="130"/>
      <c r="H44" s="108"/>
      <c r="I44" s="28" t="s">
        <v>5</v>
      </c>
      <c r="J44" s="195">
        <v>0</v>
      </c>
      <c r="K44" s="93"/>
      <c r="L44" s="83"/>
      <c r="M44" s="130"/>
      <c r="N44" s="95"/>
      <c r="O44" s="33">
        <v>0</v>
      </c>
    </row>
    <row r="45" spans="1:15" ht="15.75" x14ac:dyDescent="0.25">
      <c r="A45" s="436"/>
      <c r="B45" s="126">
        <f t="shared" si="1"/>
        <v>37</v>
      </c>
      <c r="C45" s="127" t="s">
        <v>4653</v>
      </c>
      <c r="D45" s="133" t="s">
        <v>1050</v>
      </c>
      <c r="E45" s="132"/>
      <c r="F45" s="83"/>
      <c r="G45" s="130"/>
      <c r="H45" s="134"/>
      <c r="I45" s="28" t="s">
        <v>6</v>
      </c>
      <c r="J45" s="195">
        <v>2.5000000000000001E-2</v>
      </c>
      <c r="K45" s="93"/>
      <c r="L45" s="83"/>
      <c r="M45" s="130"/>
      <c r="N45" s="95"/>
      <c r="O45" s="33">
        <v>10</v>
      </c>
    </row>
    <row r="46" spans="1:15" ht="15.75" x14ac:dyDescent="0.25">
      <c r="A46" s="436"/>
      <c r="B46" s="126">
        <f t="shared" si="1"/>
        <v>38</v>
      </c>
      <c r="C46" s="127" t="s">
        <v>1037</v>
      </c>
      <c r="D46" s="133" t="s">
        <v>1050</v>
      </c>
      <c r="E46" s="135"/>
      <c r="F46" s="83"/>
      <c r="G46" s="130"/>
      <c r="H46" s="95"/>
      <c r="I46" s="28" t="s">
        <v>5</v>
      </c>
      <c r="J46" s="195">
        <v>0</v>
      </c>
      <c r="K46" s="93"/>
      <c r="L46" s="83"/>
      <c r="M46" s="130"/>
      <c r="N46" s="95"/>
      <c r="O46" s="33">
        <v>0</v>
      </c>
    </row>
    <row r="47" spans="1:15" ht="15.75" x14ac:dyDescent="0.25">
      <c r="A47" s="436"/>
      <c r="B47" s="126">
        <f t="shared" si="1"/>
        <v>39</v>
      </c>
      <c r="C47" s="127" t="s">
        <v>1038</v>
      </c>
      <c r="D47" s="133" t="s">
        <v>1050</v>
      </c>
      <c r="E47" s="135"/>
      <c r="F47" s="83"/>
      <c r="G47" s="130"/>
      <c r="H47" s="95"/>
      <c r="I47" s="28" t="s">
        <v>6</v>
      </c>
      <c r="J47" s="197">
        <v>0.05</v>
      </c>
      <c r="K47" s="93"/>
      <c r="L47" s="83"/>
      <c r="M47" s="130"/>
      <c r="N47" s="95"/>
      <c r="O47" s="33">
        <v>10</v>
      </c>
    </row>
    <row r="48" spans="1:15" ht="32.25" thickBot="1" x14ac:dyDescent="0.3">
      <c r="A48" s="436"/>
      <c r="B48" s="136">
        <f t="shared" si="1"/>
        <v>40</v>
      </c>
      <c r="C48" s="137" t="s">
        <v>4654</v>
      </c>
      <c r="D48" s="138" t="s">
        <v>1050</v>
      </c>
      <c r="E48" s="107"/>
      <c r="F48" s="139"/>
      <c r="G48" s="140"/>
      <c r="H48" s="141"/>
      <c r="I48" s="29" t="s">
        <v>5</v>
      </c>
      <c r="J48" s="196">
        <v>0</v>
      </c>
      <c r="K48" s="142"/>
      <c r="L48" s="139"/>
      <c r="M48" s="143"/>
      <c r="N48" s="144"/>
      <c r="O48" s="184">
        <v>0</v>
      </c>
    </row>
    <row r="49" spans="1:15" s="48" customFormat="1" ht="19.350000000000001" customHeight="1" thickBot="1" x14ac:dyDescent="0.3">
      <c r="A49" s="437"/>
      <c r="B49" s="145"/>
      <c r="C49" s="111" t="s">
        <v>4010</v>
      </c>
      <c r="D49" s="110"/>
      <c r="E49" s="112"/>
      <c r="F49" s="438">
        <v>0</v>
      </c>
      <c r="G49" s="439"/>
      <c r="H49" s="440"/>
      <c r="I49" s="398">
        <f>SUM(J33:J48)</f>
        <v>0.3</v>
      </c>
      <c r="J49" s="399"/>
      <c r="K49" s="400"/>
      <c r="L49" s="401">
        <v>0</v>
      </c>
      <c r="M49" s="402"/>
      <c r="N49" s="403"/>
      <c r="O49" s="146"/>
    </row>
    <row r="50" spans="1:15" s="48" customFormat="1" ht="24" customHeight="1" thickBot="1" x14ac:dyDescent="0.3">
      <c r="A50" s="147"/>
      <c r="B50" s="110"/>
      <c r="C50" s="111" t="s">
        <v>4655</v>
      </c>
      <c r="D50" s="110"/>
      <c r="E50" s="112"/>
      <c r="F50" s="438">
        <f>F31+F49</f>
        <v>1</v>
      </c>
      <c r="G50" s="439"/>
      <c r="H50" s="440"/>
      <c r="I50" s="398">
        <f>I31+I49</f>
        <v>1.0000000000000002</v>
      </c>
      <c r="J50" s="399"/>
      <c r="K50" s="400"/>
      <c r="L50" s="401">
        <f>L31+L49</f>
        <v>1</v>
      </c>
      <c r="M50" s="402"/>
      <c r="N50" s="403"/>
      <c r="O50" s="148"/>
    </row>
    <row r="51" spans="1:15" s="48" customFormat="1" ht="12.75" customHeight="1" x14ac:dyDescent="0.25">
      <c r="A51" s="189"/>
      <c r="B51" s="190"/>
      <c r="C51" s="191"/>
      <c r="D51" s="190"/>
      <c r="E51" s="1"/>
      <c r="F51" s="193"/>
      <c r="G51" s="193"/>
      <c r="H51" s="193"/>
      <c r="I51" s="192"/>
      <c r="J51" s="192"/>
      <c r="K51" s="192"/>
      <c r="L51"/>
    </row>
    <row r="52" spans="1:15" s="48" customFormat="1" ht="12.75" customHeight="1" x14ac:dyDescent="0.25">
      <c r="A52" s="9" t="s">
        <v>4697</v>
      </c>
      <c r="B52"/>
      <c r="C52"/>
      <c r="D52" s="190"/>
      <c r="E52" s="1"/>
      <c r="F52" s="193"/>
      <c r="G52" s="193"/>
      <c r="H52" s="193"/>
      <c r="I52" s="192"/>
      <c r="J52" s="192"/>
      <c r="K52" s="192"/>
      <c r="L52"/>
    </row>
    <row r="53" spans="1:15" s="48" customFormat="1" ht="43.5" customHeight="1" x14ac:dyDescent="0.25">
      <c r="A53" s="432" t="s">
        <v>4698</v>
      </c>
      <c r="B53" s="432"/>
      <c r="C53" s="154" t="s">
        <v>4699</v>
      </c>
      <c r="D53" s="190"/>
      <c r="E53" s="1"/>
      <c r="F53" s="193"/>
      <c r="G53" s="193"/>
      <c r="H53" s="193"/>
      <c r="I53" s="192"/>
      <c r="J53" s="192"/>
      <c r="K53" s="192"/>
      <c r="L53"/>
    </row>
    <row r="54" spans="1:15" s="48" customFormat="1" ht="95.25" customHeight="1" x14ac:dyDescent="0.25">
      <c r="A54" s="433" t="s">
        <v>4041</v>
      </c>
      <c r="B54" s="433"/>
      <c r="C54" s="434" t="s">
        <v>4043</v>
      </c>
      <c r="D54" s="434"/>
      <c r="E54" s="1"/>
      <c r="F54" s="193"/>
      <c r="G54" s="193"/>
      <c r="H54" s="193"/>
      <c r="I54" s="192"/>
      <c r="J54" s="192"/>
      <c r="K54" s="192"/>
      <c r="L54"/>
    </row>
    <row r="55" spans="1:15" s="48" customFormat="1" ht="12.75" customHeight="1" x14ac:dyDescent="0.25">
      <c r="A55" s="189"/>
      <c r="B55" s="190"/>
      <c r="C55" s="191"/>
      <c r="D55" s="190"/>
      <c r="E55" s="1"/>
      <c r="F55" s="193"/>
      <c r="G55" s="193"/>
      <c r="H55" s="193"/>
      <c r="I55" s="192"/>
      <c r="J55" s="192"/>
      <c r="K55" s="192"/>
      <c r="L55"/>
    </row>
    <row r="56" spans="1:15" ht="15.75" x14ac:dyDescent="0.25">
      <c r="A56" s="149" t="s">
        <v>4013</v>
      </c>
      <c r="B56" s="1"/>
      <c r="C56" s="1"/>
      <c r="D56" s="1"/>
      <c r="E56" s="1"/>
      <c r="F56" s="1"/>
      <c r="G56" s="150"/>
      <c r="H56" s="1"/>
      <c r="I56" s="151"/>
      <c r="J56" s="151"/>
      <c r="K56" s="150"/>
      <c r="L56" s="150"/>
      <c r="M56" s="150"/>
      <c r="N56" s="150"/>
    </row>
    <row r="57" spans="1:15" ht="15.75" x14ac:dyDescent="0.25">
      <c r="A57" s="152" t="s">
        <v>4014</v>
      </c>
      <c r="B57" s="1"/>
      <c r="C57" s="1"/>
      <c r="D57" s="1"/>
      <c r="E57" s="1"/>
      <c r="F57" s="1"/>
      <c r="G57" s="150"/>
      <c r="H57" s="1"/>
      <c r="I57" s="151"/>
      <c r="J57" s="151"/>
      <c r="K57" s="150"/>
      <c r="L57" s="150"/>
      <c r="M57" s="150"/>
      <c r="N57" s="150"/>
    </row>
    <row r="58" spans="1:15" ht="15.75" x14ac:dyDescent="0.25">
      <c r="A58" s="153">
        <v>1</v>
      </c>
      <c r="B58" s="1" t="s">
        <v>4015</v>
      </c>
      <c r="C58" s="1"/>
      <c r="D58" s="1"/>
      <c r="E58" s="1"/>
      <c r="F58" s="1"/>
      <c r="G58" s="150"/>
      <c r="H58" s="1"/>
      <c r="I58" s="151"/>
      <c r="J58" s="151"/>
      <c r="K58" s="150"/>
      <c r="L58" s="150"/>
      <c r="M58" s="150"/>
      <c r="N58" s="150"/>
    </row>
    <row r="59" spans="1:15" ht="15.75" x14ac:dyDescent="0.25">
      <c r="A59" s="153">
        <v>2</v>
      </c>
      <c r="B59" s="1" t="s">
        <v>4016</v>
      </c>
      <c r="C59" s="1"/>
      <c r="D59" s="1"/>
      <c r="E59" s="1"/>
      <c r="F59" s="1"/>
      <c r="G59" s="150"/>
      <c r="H59" s="1"/>
      <c r="I59" s="151"/>
      <c r="J59" s="151"/>
      <c r="K59" s="150"/>
      <c r="L59" s="150"/>
      <c r="M59" s="150"/>
      <c r="N59" s="150"/>
    </row>
    <row r="60" spans="1:15" ht="15.75" x14ac:dyDescent="0.25">
      <c r="A60" s="153">
        <v>3</v>
      </c>
      <c r="B60" s="1" t="s">
        <v>4017</v>
      </c>
      <c r="C60" s="1"/>
      <c r="D60" s="1"/>
      <c r="E60" s="1"/>
      <c r="F60" s="1"/>
      <c r="G60" s="150"/>
      <c r="H60" s="1"/>
      <c r="I60" s="151"/>
      <c r="J60" s="151"/>
      <c r="K60" s="150"/>
      <c r="L60" s="150"/>
      <c r="M60" s="150"/>
      <c r="N60" s="150"/>
    </row>
    <row r="61" spans="1:15" ht="15.75" x14ac:dyDescent="0.25">
      <c r="A61" s="153">
        <v>4</v>
      </c>
      <c r="B61" s="1" t="s">
        <v>4018</v>
      </c>
      <c r="C61" s="1"/>
      <c r="D61" s="1"/>
      <c r="E61" s="1"/>
      <c r="F61" s="1"/>
      <c r="G61" s="150"/>
      <c r="H61" s="1"/>
      <c r="I61" s="151"/>
      <c r="J61" s="151"/>
      <c r="K61" s="150"/>
      <c r="L61" s="150"/>
      <c r="M61" s="150"/>
      <c r="N61" s="150"/>
    </row>
    <row r="62" spans="1:15" ht="15.75" x14ac:dyDescent="0.25">
      <c r="A62" s="153">
        <v>5</v>
      </c>
      <c r="B62" s="1" t="s">
        <v>4019</v>
      </c>
      <c r="C62" s="1"/>
      <c r="D62" s="1"/>
      <c r="E62" s="1"/>
      <c r="F62" s="1"/>
      <c r="G62" s="150"/>
      <c r="H62" s="1"/>
      <c r="I62" s="151"/>
      <c r="J62" s="151"/>
      <c r="K62" s="150"/>
      <c r="L62" s="150"/>
      <c r="M62" s="150"/>
      <c r="N62" s="150"/>
    </row>
    <row r="63" spans="1:15" ht="15.75" x14ac:dyDescent="0.25">
      <c r="A63" s="153">
        <v>6</v>
      </c>
      <c r="B63" s="1" t="s">
        <v>4020</v>
      </c>
      <c r="C63" s="1"/>
      <c r="D63" s="1"/>
      <c r="E63" s="1"/>
      <c r="F63" s="1"/>
      <c r="G63" s="150"/>
      <c r="H63" s="1"/>
      <c r="I63" s="151"/>
      <c r="J63" s="151"/>
      <c r="K63" s="150"/>
      <c r="L63" s="150"/>
      <c r="M63" s="150"/>
      <c r="N63" s="150"/>
    </row>
    <row r="64" spans="1:15" ht="15.75" x14ac:dyDescent="0.25">
      <c r="A64" s="153">
        <v>7</v>
      </c>
      <c r="B64" s="1" t="s">
        <v>4021</v>
      </c>
      <c r="C64" s="1"/>
      <c r="D64" s="1"/>
      <c r="E64" s="1"/>
      <c r="F64" s="1"/>
      <c r="G64" s="150"/>
      <c r="H64" s="1"/>
      <c r="I64" s="151"/>
      <c r="J64" s="151"/>
      <c r="K64" s="150"/>
      <c r="L64" s="150"/>
      <c r="M64" s="150"/>
      <c r="N64" s="150"/>
    </row>
    <row r="65" spans="1:14" ht="15.75" x14ac:dyDescent="0.25">
      <c r="A65" s="153">
        <v>8</v>
      </c>
      <c r="B65" s="1" t="s">
        <v>4022</v>
      </c>
      <c r="C65" s="1"/>
      <c r="D65" s="1"/>
      <c r="E65" s="1"/>
      <c r="F65" s="1"/>
      <c r="G65" s="150"/>
      <c r="H65" s="1"/>
      <c r="I65" s="151"/>
      <c r="J65" s="151"/>
      <c r="K65" s="150"/>
      <c r="L65" s="150"/>
      <c r="M65" s="150"/>
      <c r="N65" s="150"/>
    </row>
    <row r="66" spans="1:14" ht="15.75" x14ac:dyDescent="0.25">
      <c r="A66" s="153">
        <v>9</v>
      </c>
      <c r="B66" s="1" t="s">
        <v>4023</v>
      </c>
      <c r="C66" s="1"/>
      <c r="D66" s="1"/>
      <c r="E66" s="1"/>
      <c r="F66" s="1"/>
      <c r="G66" s="150"/>
      <c r="H66" s="1"/>
      <c r="I66" s="151"/>
      <c r="J66" s="151"/>
      <c r="K66" s="150"/>
      <c r="L66" s="150"/>
      <c r="M66" s="150"/>
      <c r="N66" s="150"/>
    </row>
    <row r="67" spans="1:14" ht="15.75" x14ac:dyDescent="0.25">
      <c r="A67" s="153">
        <v>10</v>
      </c>
      <c r="B67" s="1" t="s">
        <v>4024</v>
      </c>
      <c r="C67" s="1"/>
      <c r="D67" s="1"/>
      <c r="E67" s="1"/>
      <c r="F67" s="1"/>
      <c r="G67" s="150"/>
      <c r="H67" s="1"/>
      <c r="I67" s="151"/>
      <c r="J67" s="151"/>
      <c r="K67" s="150"/>
      <c r="L67" s="150"/>
      <c r="M67" s="150"/>
      <c r="N67" s="150"/>
    </row>
    <row r="68" spans="1:14" ht="15.75" x14ac:dyDescent="0.25">
      <c r="A68" s="153">
        <v>11</v>
      </c>
      <c r="B68" s="1" t="s">
        <v>4025</v>
      </c>
      <c r="C68" s="1"/>
      <c r="D68" s="1"/>
      <c r="E68" s="1"/>
      <c r="F68" s="1"/>
      <c r="G68" s="150"/>
      <c r="H68" s="1"/>
      <c r="I68" s="151"/>
      <c r="J68" s="151"/>
      <c r="K68" s="150"/>
      <c r="L68" s="150"/>
      <c r="M68" s="150"/>
      <c r="N68" s="150"/>
    </row>
    <row r="69" spans="1:14" ht="15.75" x14ac:dyDescent="0.25">
      <c r="A69" s="153">
        <v>12</v>
      </c>
      <c r="B69" s="1" t="s">
        <v>4026</v>
      </c>
      <c r="C69" s="1"/>
      <c r="D69" s="1"/>
      <c r="E69" s="1"/>
      <c r="F69" s="1"/>
      <c r="G69" s="150"/>
      <c r="H69" s="1"/>
      <c r="I69" s="151"/>
      <c r="J69" s="151"/>
      <c r="K69" s="150"/>
      <c r="L69" s="150"/>
      <c r="M69" s="150"/>
      <c r="N69" s="150"/>
    </row>
    <row r="70" spans="1:14" ht="15.75" x14ac:dyDescent="0.25">
      <c r="A70" s="153">
        <v>13</v>
      </c>
      <c r="B70" s="1" t="s">
        <v>4027</v>
      </c>
      <c r="C70" s="1"/>
      <c r="D70" s="1"/>
      <c r="E70" s="1"/>
      <c r="F70" s="1"/>
      <c r="G70" s="150"/>
      <c r="H70" s="1"/>
      <c r="I70" s="151"/>
      <c r="J70" s="151"/>
      <c r="K70" s="150"/>
      <c r="L70" s="150"/>
      <c r="M70" s="150"/>
      <c r="N70" s="150"/>
    </row>
    <row r="71" spans="1:14" ht="15.75" x14ac:dyDescent="0.25">
      <c r="A71" s="153">
        <v>14</v>
      </c>
      <c r="B71" s="1" t="s">
        <v>4028</v>
      </c>
      <c r="C71" s="1"/>
      <c r="D71" s="1"/>
      <c r="E71" s="1"/>
      <c r="F71" s="1"/>
      <c r="G71" s="150"/>
      <c r="H71" s="1"/>
      <c r="I71" s="151"/>
      <c r="J71" s="151"/>
      <c r="K71" s="150"/>
      <c r="L71" s="150"/>
      <c r="M71" s="150"/>
      <c r="N71" s="150"/>
    </row>
    <row r="72" spans="1:14" ht="15.75" x14ac:dyDescent="0.25">
      <c r="A72" s="153">
        <v>15</v>
      </c>
      <c r="B72" s="1" t="s">
        <v>4029</v>
      </c>
      <c r="C72" s="1"/>
      <c r="D72" s="1"/>
      <c r="E72" s="1"/>
      <c r="F72" s="1"/>
      <c r="G72" s="150"/>
      <c r="H72" s="1"/>
      <c r="I72" s="151"/>
      <c r="J72" s="151"/>
      <c r="K72" s="150"/>
      <c r="L72" s="150"/>
      <c r="M72" s="150"/>
      <c r="N72" s="150"/>
    </row>
    <row r="73" spans="1:14" ht="15.75" x14ac:dyDescent="0.25">
      <c r="A73" s="153">
        <v>16</v>
      </c>
      <c r="B73" s="1" t="s">
        <v>4030</v>
      </c>
      <c r="C73" s="1"/>
      <c r="D73" s="1"/>
      <c r="E73" s="1"/>
      <c r="F73" s="1"/>
      <c r="G73" s="150"/>
      <c r="H73" s="1"/>
      <c r="I73" s="151"/>
      <c r="J73" s="151"/>
      <c r="K73" s="150"/>
      <c r="L73" s="150"/>
      <c r="M73" s="150"/>
      <c r="N73" s="150"/>
    </row>
  </sheetData>
  <protectedRanges>
    <protectedRange algorithmName="SHA-512" hashValue="5BTMAcui1HbDolzIc7kDz0VN+VrNt8ikPGGeSbiULVSpRWtzCblavo2tLKqQBefd3CZmDbb1uqXP2abILWVjKQ==" saltValue="J53yhX8XSdMtCDV1ws5vYg==" spinCount="100000" sqref="I31 I1:J29 I32:J32 I56:J1048576 F51:F55 I33:I50" name="Range1_3"/>
    <protectedRange algorithmName="SHA-512" hashValue="5BTMAcui1HbDolzIc7kDz0VN+VrNt8ikPGGeSbiULVSpRWtzCblavo2tLKqQBefd3CZmDbb1uqXP2abILWVjKQ==" saltValue="J53yhX8XSdMtCDV1ws5vYg==" spinCount="100000" sqref="J33:J48" name="Range1_1_1"/>
  </protectedRanges>
  <mergeCells count="30">
    <mergeCell ref="A53:B53"/>
    <mergeCell ref="A54:B54"/>
    <mergeCell ref="C54:D54"/>
    <mergeCell ref="A33:A49"/>
    <mergeCell ref="F49:H49"/>
    <mergeCell ref="F50:H50"/>
    <mergeCell ref="A7:A31"/>
    <mergeCell ref="E8:E12"/>
    <mergeCell ref="H8:H12"/>
    <mergeCell ref="K8:K12"/>
    <mergeCell ref="N8:N12"/>
    <mergeCell ref="E13:E14"/>
    <mergeCell ref="H13:H14"/>
    <mergeCell ref="K13:K14"/>
    <mergeCell ref="N13:N14"/>
    <mergeCell ref="E16:E22"/>
    <mergeCell ref="H16:H22"/>
    <mergeCell ref="K16:K22"/>
    <mergeCell ref="N23:N24"/>
    <mergeCell ref="F31:H31"/>
    <mergeCell ref="I31:K31"/>
    <mergeCell ref="L31:N31"/>
    <mergeCell ref="I50:K50"/>
    <mergeCell ref="L50:N50"/>
    <mergeCell ref="N16:N22"/>
    <mergeCell ref="E23:E24"/>
    <mergeCell ref="H23:H24"/>
    <mergeCell ref="K23:K24"/>
    <mergeCell ref="I49:K49"/>
    <mergeCell ref="L49:N49"/>
  </mergeCells>
  <conditionalFormatting sqref="F7:F15 L19:L25 L29:L30">
    <cfRule type="cellIs" dxfId="89" priority="70" operator="equal">
      <formula>"Yes"</formula>
    </cfRule>
  </conditionalFormatting>
  <conditionalFormatting sqref="F7:F15 L49:L50 I51:I55 F16:G30 H23 F31 L31 F33:G48">
    <cfRule type="cellIs" dxfId="88" priority="74" operator="equal">
      <formula>"Yes"</formula>
    </cfRule>
  </conditionalFormatting>
  <conditionalFormatting sqref="F7:F15">
    <cfRule type="cellIs" dxfId="87" priority="80" stopIfTrue="1" operator="equal">
      <formula>"N"</formula>
    </cfRule>
    <cfRule type="cellIs" dxfId="86" priority="79" stopIfTrue="1" operator="equal">
      <formula>"Y"</formula>
    </cfRule>
    <cfRule type="cellIs" dxfId="85" priority="71" operator="equal">
      <formula>"No"</formula>
    </cfRule>
    <cfRule type="cellIs" dxfId="84" priority="75" operator="greaterThan">
      <formula>0</formula>
    </cfRule>
    <cfRule type="colorScale" priority="81">
      <colorScale>
        <cfvo type="min"/>
        <cfvo type="percentile" val="50"/>
        <cfvo type="max"/>
        <color rgb="FF63BE7B"/>
        <color rgb="FFFFEB84"/>
        <color rgb="FFF8696B"/>
      </colorScale>
    </cfRule>
  </conditionalFormatting>
  <conditionalFormatting sqref="F49">
    <cfRule type="cellIs" dxfId="83" priority="56" operator="equal">
      <formula>"Maybe"</formula>
    </cfRule>
    <cfRule type="cellIs" dxfId="82" priority="58" operator="equal">
      <formula>"Yes"</formula>
    </cfRule>
    <cfRule type="cellIs" dxfId="81" priority="57" operator="equal">
      <formula>"No"</formula>
    </cfRule>
  </conditionalFormatting>
  <conditionalFormatting sqref="F16:G30 H23 F31 F33:G48">
    <cfRule type="cellIs" dxfId="80" priority="73" operator="equal">
      <formula>"No"</formula>
    </cfRule>
  </conditionalFormatting>
  <conditionalFormatting sqref="F16:G30">
    <cfRule type="cellIs" dxfId="79" priority="62" operator="equal">
      <formula>"N"</formula>
    </cfRule>
    <cfRule type="cellIs" dxfId="78" priority="61" operator="equal">
      <formula>"Y"</formula>
    </cfRule>
  </conditionalFormatting>
  <conditionalFormatting sqref="F50:H50">
    <cfRule type="cellIs" dxfId="77" priority="8" operator="notEqual">
      <formula>1</formula>
    </cfRule>
    <cfRule type="cellIs" dxfId="76" priority="9" operator="equal">
      <formula>1</formula>
    </cfRule>
  </conditionalFormatting>
  <conditionalFormatting sqref="G7 M7 J7:J15 M18">
    <cfRule type="cellIs" dxfId="75" priority="20" operator="greaterThan">
      <formula>0</formula>
    </cfRule>
  </conditionalFormatting>
  <conditionalFormatting sqref="H16">
    <cfRule type="cellIs" dxfId="74" priority="44" operator="equal">
      <formula>"No"</formula>
    </cfRule>
    <cfRule type="cellIs" dxfId="73" priority="43" operator="equal">
      <formula>"Maybe"</formula>
    </cfRule>
    <cfRule type="cellIs" dxfId="72" priority="41" operator="equal">
      <formula>"Y"</formula>
    </cfRule>
    <cfRule type="cellIs" dxfId="71" priority="42" operator="equal">
      <formula>"N"</formula>
    </cfRule>
    <cfRule type="cellIs" dxfId="70" priority="45" operator="equal">
      <formula>"Yes"</formula>
    </cfRule>
  </conditionalFormatting>
  <conditionalFormatting sqref="H23 F33:G48">
    <cfRule type="cellIs" dxfId="69" priority="69" operator="equal">
      <formula>"N"</formula>
    </cfRule>
    <cfRule type="cellIs" dxfId="68" priority="68" operator="equal">
      <formula>"Y"</formula>
    </cfRule>
  </conditionalFormatting>
  <conditionalFormatting sqref="H25:H30">
    <cfRule type="cellIs" dxfId="67" priority="50" operator="equal">
      <formula>"Yes"</formula>
    </cfRule>
    <cfRule type="cellIs" dxfId="66" priority="49" operator="equal">
      <formula>"No"</formula>
    </cfRule>
    <cfRule type="cellIs" dxfId="65" priority="48" operator="equal">
      <formula>"Maybe"</formula>
    </cfRule>
    <cfRule type="cellIs" dxfId="64" priority="47" operator="equal">
      <formula>"N"</formula>
    </cfRule>
    <cfRule type="cellIs" dxfId="63" priority="46" operator="equal">
      <formula>"Y"</formula>
    </cfRule>
  </conditionalFormatting>
  <conditionalFormatting sqref="H32:H48">
    <cfRule type="cellIs" dxfId="62" priority="36" operator="equal">
      <formula>"Y"</formula>
    </cfRule>
    <cfRule type="cellIs" dxfId="61" priority="37" operator="equal">
      <formula>"N"</formula>
    </cfRule>
    <cfRule type="cellIs" dxfId="60" priority="38" operator="equal">
      <formula>"Maybe"</formula>
    </cfRule>
    <cfRule type="cellIs" dxfId="59" priority="39" operator="equal">
      <formula>"No"</formula>
    </cfRule>
    <cfRule type="cellIs" dxfId="58" priority="40" operator="equal">
      <formula>"Yes"</formula>
    </cfRule>
  </conditionalFormatting>
  <conditionalFormatting sqref="I7 I16:I18 I20:I29">
    <cfRule type="cellIs" dxfId="57" priority="35" operator="greaterThan">
      <formula>0</formula>
    </cfRule>
    <cfRule type="cellIs" dxfId="56" priority="33" operator="equal">
      <formula>"Maybe"</formula>
    </cfRule>
    <cfRule type="cellIs" dxfId="55" priority="34" operator="equal">
      <formula>"Yes"</formula>
    </cfRule>
    <cfRule type="cellIs" dxfId="54" priority="76" stopIfTrue="1" operator="equal">
      <formula>"Y"</formula>
    </cfRule>
    <cfRule type="cellIs" dxfId="53" priority="77" stopIfTrue="1" operator="equal">
      <formula>"N"</formula>
    </cfRule>
  </conditionalFormatting>
  <conditionalFormatting sqref="I7:I29">
    <cfRule type="cellIs" dxfId="52" priority="19" operator="equal">
      <formula>"No"</formula>
    </cfRule>
    <cfRule type="cellIs" dxfId="51" priority="18" operator="equal">
      <formula>"Yes"</formula>
    </cfRule>
  </conditionalFormatting>
  <conditionalFormatting sqref="I20:I29 I7 I16:I18">
    <cfRule type="colorScale" priority="78">
      <colorScale>
        <cfvo type="min"/>
        <cfvo type="percentile" val="50"/>
        <cfvo type="max"/>
        <color rgb="FF63BE7B"/>
        <color rgb="FFFFEB84"/>
        <color rgb="FFF8696B"/>
      </colorScale>
    </cfRule>
  </conditionalFormatting>
  <conditionalFormatting sqref="I33:I34 I36:I40 I42:I48">
    <cfRule type="cellIs" dxfId="50" priority="25" operator="equal">
      <formula>"Yes"</formula>
    </cfRule>
    <cfRule type="cellIs" dxfId="49" priority="26" operator="equal">
      <formula>"No"</formula>
    </cfRule>
    <cfRule type="cellIs" dxfId="48" priority="27" operator="equal">
      <formula>"Maybe"</formula>
    </cfRule>
    <cfRule type="cellIs" dxfId="47" priority="28" operator="equal">
      <formula>"Yes"</formula>
    </cfRule>
    <cfRule type="cellIs" dxfId="46" priority="29" operator="greaterThan">
      <formula>0</formula>
    </cfRule>
    <cfRule type="cellIs" dxfId="45" priority="30" stopIfTrue="1" operator="equal">
      <formula>"Y"</formula>
    </cfRule>
    <cfRule type="cellIs" dxfId="44" priority="31" stopIfTrue="1" operator="equal">
      <formula>"N"</formula>
    </cfRule>
    <cfRule type="colorScale" priority="32">
      <colorScale>
        <cfvo type="min"/>
        <cfvo type="percentile" val="50"/>
        <cfvo type="max"/>
        <color rgb="FF63BE7B"/>
        <color rgb="FFFFEB84"/>
        <color rgb="FFF8696B"/>
      </colorScale>
    </cfRule>
  </conditionalFormatting>
  <conditionalFormatting sqref="I35">
    <cfRule type="cellIs" dxfId="43" priority="24" operator="equal">
      <formula>"Yes"</formula>
    </cfRule>
    <cfRule type="cellIs" dxfId="42" priority="23" operator="equal">
      <formula>"No"</formula>
    </cfRule>
  </conditionalFormatting>
  <conditionalFormatting sqref="I41">
    <cfRule type="cellIs" dxfId="41" priority="22" operator="equal">
      <formula>"Yes"</formula>
    </cfRule>
    <cfRule type="cellIs" dxfId="40" priority="21" operator="equal">
      <formula>"No"</formula>
    </cfRule>
  </conditionalFormatting>
  <conditionalFormatting sqref="I30:K30">
    <cfRule type="cellIs" dxfId="39" priority="5" operator="equal">
      <formula>"Yes"</formula>
    </cfRule>
    <cfRule type="cellIs" dxfId="38" priority="4" operator="equal">
      <formula>"No"</formula>
    </cfRule>
    <cfRule type="cellIs" dxfId="37" priority="3" operator="equal">
      <formula>"Maybe"</formula>
    </cfRule>
    <cfRule type="cellIs" dxfId="36" priority="2" operator="equal">
      <formula>"N"</formula>
    </cfRule>
    <cfRule type="cellIs" dxfId="35" priority="1" operator="equal">
      <formula>"Y"</formula>
    </cfRule>
  </conditionalFormatting>
  <conditionalFormatting sqref="I50:N50 F51:K55">
    <cfRule type="cellIs" dxfId="34" priority="6" operator="notEqual">
      <formula>1</formula>
    </cfRule>
  </conditionalFormatting>
  <conditionalFormatting sqref="L7">
    <cfRule type="cellIs" dxfId="33" priority="13" operator="equal">
      <formula>"Yes"</formula>
    </cfRule>
    <cfRule type="cellIs" dxfId="32" priority="12" operator="equal">
      <formula>"Maybe"</formula>
    </cfRule>
    <cfRule type="colorScale" priority="17">
      <colorScale>
        <cfvo type="min"/>
        <cfvo type="percentile" val="50"/>
        <cfvo type="max"/>
        <color rgb="FF63BE7B"/>
        <color rgb="FFFFEB84"/>
        <color rgb="FFF8696B"/>
      </colorScale>
    </cfRule>
    <cfRule type="cellIs" dxfId="31" priority="16" stopIfTrue="1" operator="equal">
      <formula>"N"</formula>
    </cfRule>
    <cfRule type="cellIs" dxfId="30" priority="15" stopIfTrue="1" operator="equal">
      <formula>"Y"</formula>
    </cfRule>
    <cfRule type="cellIs" dxfId="29" priority="14" operator="greaterThan">
      <formula>0</formula>
    </cfRule>
  </conditionalFormatting>
  <conditionalFormatting sqref="L7:L17">
    <cfRule type="cellIs" dxfId="28" priority="11" operator="equal">
      <formula>"No"</formula>
    </cfRule>
    <cfRule type="cellIs" dxfId="27" priority="10" operator="equal">
      <formula>"Yes"</formula>
    </cfRule>
  </conditionalFormatting>
  <conditionalFormatting sqref="L26 L28 N28">
    <cfRule type="cellIs" dxfId="26" priority="63" operator="equal">
      <formula>"Y"</formula>
    </cfRule>
    <cfRule type="cellIs" dxfId="25" priority="64" operator="equal">
      <formula>"N"</formula>
    </cfRule>
    <cfRule type="cellIs" dxfId="24" priority="65" operator="equal">
      <formula>"Maybe"</formula>
    </cfRule>
    <cfRule type="cellIs" dxfId="23" priority="67" operator="equal">
      <formula>"Yes"</formula>
    </cfRule>
  </conditionalFormatting>
  <conditionalFormatting sqref="L27">
    <cfRule type="cellIs" dxfId="22" priority="59" operator="equal">
      <formula>"Yes"</formula>
    </cfRule>
  </conditionalFormatting>
  <conditionalFormatting sqref="L49:L50 I51:I55 F7:F15 F16:G30 H23 F31 L31 F33:G48">
    <cfRule type="cellIs" dxfId="21" priority="72" operator="equal">
      <formula>"Maybe"</formula>
    </cfRule>
  </conditionalFormatting>
  <conditionalFormatting sqref="L49:L50 I51:I55 L19:L31">
    <cfRule type="cellIs" dxfId="20" priority="60" operator="equal">
      <formula>"No"</formula>
    </cfRule>
  </conditionalFormatting>
  <conditionalFormatting sqref="L18:M18">
    <cfRule type="cellIs" dxfId="19" priority="51" operator="equal">
      <formula>"Y"</formula>
    </cfRule>
    <cfRule type="cellIs" dxfId="18" priority="52" operator="equal">
      <formula>"N"</formula>
    </cfRule>
    <cfRule type="cellIs" dxfId="17" priority="53" operator="equal">
      <formula>"Maybe"</formula>
    </cfRule>
    <cfRule type="cellIs" dxfId="16" priority="54" operator="equal">
      <formula>"No"</formula>
    </cfRule>
    <cfRule type="cellIs" dxfId="15" priority="55" operator="equal">
      <formula>"Yes"</formula>
    </cfRule>
  </conditionalFormatting>
  <conditionalFormatting sqref="N28">
    <cfRule type="cellIs" dxfId="14" priority="66" operator="equal">
      <formula>"No"</formula>
    </cfRule>
  </conditionalFormatting>
  <hyperlinks>
    <hyperlink ref="AA6" r:id="rId1" xr:uid="{D2E7AABC-EAC8-4DE6-BB28-CF3AA3B6AC57}"/>
    <hyperlink ref="A57" r:id="rId2" display="https://www.twdb.texas.gov/flood/planning/planningdocu/2023/doc/04_Exhibit_C_TechnicalGuidelines_April2021.pdf" xr:uid="{A4CCC11B-8CFA-4BED-8B88-589DC5DB404A}"/>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89DB9-EF97-4A9A-B61D-4FB69C0F73D5}">
  <sheetPr>
    <tabColor rgb="FF00B050"/>
    <pageSetUpPr fitToPage="1"/>
  </sheetPr>
  <dimension ref="B1:CR870"/>
  <sheetViews>
    <sheetView zoomScale="85" zoomScaleNormal="85" zoomScaleSheetLayoutView="70" zoomScalePageLayoutView="70" workbookViewId="0"/>
  </sheetViews>
  <sheetFormatPr defaultColWidth="0.140625" defaultRowHeight="15" x14ac:dyDescent="0.25"/>
  <cols>
    <col min="1" max="1" width="4.42578125" customWidth="1"/>
    <col min="2" max="2" width="14.85546875" style="16" customWidth="1"/>
    <col min="3" max="3" width="13" style="4" customWidth="1"/>
    <col min="4" max="6" width="24.140625" style="207" customWidth="1"/>
    <col min="7" max="7" width="30.5703125" style="207" customWidth="1"/>
    <col min="8" max="8" width="15.5703125" style="207" customWidth="1"/>
    <col min="9" max="9" width="14.42578125" style="4" customWidth="1"/>
    <col min="10" max="10" width="15.42578125" style="4" customWidth="1"/>
    <col min="11" max="11" width="11.5703125" hidden="1" customWidth="1"/>
    <col min="12" max="12" width="14.140625" hidden="1" customWidth="1"/>
    <col min="13" max="13" width="10.85546875" customWidth="1"/>
    <col min="14" max="14" width="17.140625" hidden="1" customWidth="1"/>
    <col min="15" max="15" width="10.85546875" customWidth="1"/>
    <col min="16" max="17" width="20.140625" hidden="1" customWidth="1"/>
    <col min="18" max="18" width="10.85546875" customWidth="1"/>
    <col min="19" max="19" width="17.85546875" hidden="1" customWidth="1"/>
    <col min="20" max="21" width="10.85546875" customWidth="1"/>
    <col min="22" max="22" width="19.5703125" hidden="1" customWidth="1"/>
    <col min="23" max="24" width="10.85546875" customWidth="1"/>
    <col min="25" max="25" width="13.5703125" hidden="1" customWidth="1"/>
    <col min="26" max="27" width="10.85546875" customWidth="1"/>
    <col min="28" max="28" width="12.5703125" hidden="1" customWidth="1"/>
    <col min="29" max="30" width="10.85546875" customWidth="1"/>
    <col min="31" max="31" width="16.5703125" hidden="1" customWidth="1"/>
    <col min="32" max="33" width="10.85546875" customWidth="1"/>
    <col min="34" max="34" width="16.5703125" hidden="1" customWidth="1"/>
    <col min="35" max="35" width="10.85546875" customWidth="1"/>
    <col min="36" max="36" width="19.85546875" hidden="1" customWidth="1"/>
    <col min="37" max="37" width="10.85546875" customWidth="1"/>
    <col min="38" max="38" width="15.140625" hidden="1" customWidth="1"/>
    <col min="39" max="39" width="10.85546875" customWidth="1"/>
    <col min="40" max="40" width="10.5703125" customWidth="1"/>
    <col min="41" max="41" width="10.85546875" customWidth="1"/>
    <col min="42" max="42" width="14.5703125" hidden="1" customWidth="1"/>
    <col min="43" max="43" width="11.42578125" hidden="1" customWidth="1"/>
    <col min="44" max="44" width="10.85546875" customWidth="1"/>
    <col min="45" max="45" width="17.85546875" hidden="1" customWidth="1"/>
    <col min="46" max="46" width="11.5703125" customWidth="1"/>
    <col min="47" max="47" width="22" hidden="1" customWidth="1"/>
    <col min="48" max="48" width="20.5703125" hidden="1" customWidth="1"/>
    <col min="49" max="49" width="19.5703125" hidden="1" customWidth="1"/>
    <col min="50" max="50" width="21.5703125" hidden="1" customWidth="1"/>
    <col min="51" max="51" width="23.5703125" hidden="1" customWidth="1"/>
    <col min="52" max="52" width="10.85546875" customWidth="1"/>
    <col min="53" max="53" width="13.140625" customWidth="1"/>
    <col min="54" max="54" width="12" customWidth="1"/>
    <col min="55" max="55" width="12.42578125" customWidth="1"/>
    <col min="56" max="56" width="13" customWidth="1"/>
    <col min="57" max="57" width="19.140625" customWidth="1"/>
    <col min="58" max="60" width="21.42578125" style="14" hidden="1" customWidth="1"/>
    <col min="61" max="61" width="18.42578125" style="5" hidden="1" customWidth="1"/>
    <col min="62" max="62" width="14.42578125" style="15" hidden="1" customWidth="1"/>
    <col min="63" max="63" width="19" style="15" hidden="1" customWidth="1"/>
    <col min="64" max="64" width="7.42578125" style="15" hidden="1" customWidth="1"/>
    <col min="65" max="65" width="18.140625" style="15" customWidth="1"/>
    <col min="66" max="68" width="15.5703125" style="15" customWidth="1"/>
    <col min="69" max="69" width="19" style="15" hidden="1" customWidth="1"/>
    <col min="70" max="70" width="15.42578125" hidden="1" customWidth="1"/>
    <col min="71" max="71" width="19" hidden="1" customWidth="1"/>
    <col min="72" max="72" width="13.42578125" hidden="1" customWidth="1"/>
    <col min="73" max="73" width="13.5703125" hidden="1" customWidth="1"/>
    <col min="74" max="74" width="12.85546875" hidden="1" customWidth="1"/>
    <col min="75" max="76" width="13.5703125" hidden="1" customWidth="1"/>
    <col min="77" max="77" width="20.42578125" hidden="1" customWidth="1"/>
    <col min="78" max="83" width="14.42578125" hidden="1" customWidth="1"/>
    <col min="84" max="85" width="0.140625" hidden="1" customWidth="1"/>
    <col min="86" max="139" width="0" hidden="1" customWidth="1"/>
    <col min="142" max="142" width="1.85546875" customWidth="1"/>
    <col min="143" max="143" width="2.42578125" customWidth="1"/>
    <col min="201" max="201" width="0.28515625" customWidth="1"/>
  </cols>
  <sheetData>
    <row r="1" spans="2:85" x14ac:dyDescent="0.25">
      <c r="B1" s="59" t="s">
        <v>12918</v>
      </c>
    </row>
    <row r="2" spans="2:85" ht="15.75" thickBot="1" x14ac:dyDescent="0.3"/>
    <row r="3" spans="2:85" x14ac:dyDescent="0.25">
      <c r="B3" s="355" t="s">
        <v>4000</v>
      </c>
      <c r="C3" s="356"/>
      <c r="D3" s="356"/>
      <c r="E3" s="356"/>
      <c r="F3" s="356"/>
      <c r="G3" s="356"/>
      <c r="H3" s="356"/>
      <c r="I3" s="357"/>
      <c r="J3" s="274" t="s">
        <v>4702</v>
      </c>
      <c r="K3" s="378" t="str">
        <f>Ranking_Criteria!L7</f>
        <v>No</v>
      </c>
      <c r="L3" s="370"/>
      <c r="M3" s="369" t="str">
        <f>Ranking_Criteria!L8</f>
        <v>Yes</v>
      </c>
      <c r="N3" s="378"/>
      <c r="O3" s="378"/>
      <c r="P3" s="23" t="str">
        <f>Ranking_Criteria!L9</f>
        <v>No</v>
      </c>
      <c r="Q3" s="208"/>
      <c r="R3" s="369" t="str">
        <f>Ranking_Criteria!L10</f>
        <v>Yes</v>
      </c>
      <c r="S3" s="378"/>
      <c r="T3" s="378"/>
      <c r="U3" s="369" t="str">
        <f>Ranking_Criteria!L11</f>
        <v>Yes</v>
      </c>
      <c r="V3" s="378"/>
      <c r="W3" s="378"/>
      <c r="X3" s="369" t="str">
        <f>Ranking_Criteria!L12</f>
        <v>Yes</v>
      </c>
      <c r="Y3" s="378"/>
      <c r="Z3" s="378"/>
      <c r="AA3" s="369" t="str">
        <f>Ranking_Criteria!L13</f>
        <v>Yes</v>
      </c>
      <c r="AB3" s="378"/>
      <c r="AC3" s="378"/>
      <c r="AD3" s="369" t="str">
        <f>Ranking_Criteria!L14</f>
        <v>Yes</v>
      </c>
      <c r="AE3" s="378"/>
      <c r="AF3" s="378"/>
      <c r="AG3" s="369" t="str">
        <f>Ranking_Criteria!L15</f>
        <v>Yes</v>
      </c>
      <c r="AH3" s="378"/>
      <c r="AI3" s="378"/>
      <c r="AJ3" s="43" t="str">
        <f>Ranking_Criteria!L16</f>
        <v>No</v>
      </c>
      <c r="AK3" s="369" t="str">
        <f>Ranking_Criteria!L17</f>
        <v>Yes</v>
      </c>
      <c r="AL3" s="378"/>
      <c r="AM3" s="378"/>
      <c r="AN3" s="369" t="str">
        <f>Ranking_Criteria!L19</f>
        <v>Yes</v>
      </c>
      <c r="AO3" s="378"/>
      <c r="AP3" s="208"/>
      <c r="AQ3" s="208"/>
      <c r="AR3" s="369" t="str">
        <f>Ranking_Criteria!L20</f>
        <v>Yes</v>
      </c>
      <c r="AS3" s="378"/>
      <c r="AT3" s="378"/>
      <c r="AU3" s="23" t="str">
        <f>Ranking_Criteria!L21</f>
        <v>No</v>
      </c>
      <c r="AV3" s="208" t="str">
        <f>Ranking_Criteria!L22</f>
        <v>No</v>
      </c>
      <c r="AW3" s="23" t="str">
        <f>Ranking_Criteria!L23</f>
        <v>No</v>
      </c>
      <c r="AX3" s="208" t="str">
        <f>Ranking_Criteria!L25</f>
        <v>No</v>
      </c>
      <c r="AY3" s="23" t="str">
        <f>Ranking_Criteria!L26</f>
        <v>No</v>
      </c>
      <c r="AZ3" s="369" t="str">
        <f>Ranking_Criteria!L27</f>
        <v>Yes</v>
      </c>
      <c r="BA3" s="378"/>
      <c r="BB3" s="369" t="str">
        <f>Ranking_Criteria!L29</f>
        <v>Yes</v>
      </c>
      <c r="BC3" s="370"/>
      <c r="BD3" s="369" t="str">
        <f>Ranking_Criteria!L30</f>
        <v>Yes</v>
      </c>
      <c r="BE3" s="370"/>
      <c r="BF3"/>
      <c r="BG3"/>
      <c r="BH3"/>
      <c r="BI3"/>
      <c r="BJ3"/>
      <c r="BK3"/>
      <c r="BL3"/>
      <c r="BM3"/>
      <c r="BN3"/>
      <c r="BO3"/>
      <c r="BP3"/>
      <c r="BQ3"/>
      <c r="BY3">
        <f>COUNT(FMS_Ranking4[Flood Measurement and warning])</f>
        <v>113</v>
      </c>
      <c r="BZ3">
        <f>COUNT(FMS_Ranking4[Regulatory and Guidance])</f>
        <v>298</v>
      </c>
      <c r="CA3">
        <f>COUNT(FMS_Ranking4[Education and Outreach])</f>
        <v>99</v>
      </c>
      <c r="CB3">
        <f>COUNT(FMS_Ranking4[Property Acquisition and Structural Elevation])</f>
        <v>77</v>
      </c>
      <c r="CC3">
        <f>COUNT(FMS_Ranking4[Infrastructure Projects])</f>
        <v>100</v>
      </c>
      <c r="CD3">
        <f>COUNT(FMS_Ranking4[Other])</f>
        <v>176</v>
      </c>
    </row>
    <row r="4" spans="2:85" ht="157.5" customHeight="1" x14ac:dyDescent="0.25">
      <c r="B4" s="358"/>
      <c r="C4" s="359"/>
      <c r="D4" s="359"/>
      <c r="E4" s="359"/>
      <c r="F4" s="359"/>
      <c r="G4" s="359"/>
      <c r="H4" s="359"/>
      <c r="I4" s="360"/>
      <c r="J4" s="275" t="s">
        <v>4703</v>
      </c>
      <c r="K4" s="381" t="s">
        <v>1045</v>
      </c>
      <c r="L4" s="381"/>
      <c r="M4" s="379">
        <f>MAX(FMS_Ranking4[Structure at Risk Raw])</f>
        <v>167224</v>
      </c>
      <c r="N4" s="380"/>
      <c r="O4" s="380"/>
      <c r="P4" s="27">
        <f>MAX(FMS_Ranking4[Res Structure Raw])</f>
        <v>135738</v>
      </c>
      <c r="Q4" s="44">
        <f>ASINH(P4)</f>
        <v>12.511629016672325</v>
      </c>
      <c r="R4" s="379">
        <f>MAX(FMS_Ranking4[Pop at Risk Raw])</f>
        <v>976848</v>
      </c>
      <c r="S4" s="380"/>
      <c r="T4" s="380"/>
      <c r="U4" s="379">
        <f>MAX(FMS_Ranking4[Critical Facilities Raw])</f>
        <v>2332</v>
      </c>
      <c r="V4" s="380"/>
      <c r="W4" s="380"/>
      <c r="X4" s="379">
        <v>803</v>
      </c>
      <c r="Y4" s="380"/>
      <c r="Z4" s="380"/>
      <c r="AA4" s="379">
        <f>MAX(FMS_Ranking4[Road Closures Raw])</f>
        <v>7400</v>
      </c>
      <c r="AB4" s="380"/>
      <c r="AC4" s="380"/>
      <c r="AD4" s="379">
        <f>MAX(FMS_Ranking4[Road Miles Raw])</f>
        <v>5944</v>
      </c>
      <c r="AE4" s="380"/>
      <c r="AF4" s="380"/>
      <c r="AG4" s="379">
        <f>MAX(FMS_Ranking4[Ag Land Raw])</f>
        <v>2425093.5</v>
      </c>
      <c r="AH4" s="380"/>
      <c r="AI4" s="380"/>
      <c r="AJ4" s="24">
        <f>MAX(FMS_Ranking4[Reduced Structures Raw])</f>
        <v>3261</v>
      </c>
      <c r="AK4" s="379">
        <v>3261</v>
      </c>
      <c r="AL4" s="380"/>
      <c r="AM4" s="380"/>
      <c r="AN4" s="379">
        <v>2519</v>
      </c>
      <c r="AO4" s="380"/>
      <c r="AP4" s="42">
        <f>ASINH(AN4)</f>
        <v>8.5247644963114144</v>
      </c>
      <c r="AQ4" s="42">
        <f>LOG10(AN4)</f>
        <v>3.4012281674981129</v>
      </c>
      <c r="AR4" s="379">
        <v>13281</v>
      </c>
      <c r="AS4" s="380"/>
      <c r="AT4" s="380"/>
      <c r="AU4" s="27">
        <f>MAX(FMS_Ranking4[Removed Crit Fac Raw])</f>
        <v>5</v>
      </c>
      <c r="AV4" s="25">
        <f>MAX(FMS_Ranking4[Removed LWC Raw])</f>
        <v>11</v>
      </c>
      <c r="AW4" s="27">
        <f>MAX(FMS_Ranking4[Reduced Closures Raw])</f>
        <v>0</v>
      </c>
      <c r="AX4" s="25">
        <f>MAX(FMS_Ranking4[Ag Removed Raw])</f>
        <v>36323.8671875</v>
      </c>
      <c r="AY4" s="27">
        <f>MAX(FMS_Ranking4[Cost per Structure Raw])</f>
        <v>1087000</v>
      </c>
      <c r="AZ4" s="382">
        <v>100</v>
      </c>
      <c r="BA4" s="383"/>
      <c r="BB4" s="384" t="s">
        <v>412</v>
      </c>
      <c r="BC4" s="385"/>
      <c r="BD4" s="365" t="s">
        <v>4658</v>
      </c>
      <c r="BE4" s="366"/>
      <c r="BF4"/>
      <c r="BG4"/>
      <c r="BH4"/>
      <c r="BI4"/>
      <c r="BJ4"/>
      <c r="BK4"/>
      <c r="BL4"/>
      <c r="BM4"/>
      <c r="BN4"/>
      <c r="BO4"/>
      <c r="BP4"/>
      <c r="BQ4"/>
      <c r="BW4" s="392" t="s">
        <v>4681</v>
      </c>
      <c r="BX4" s="392"/>
      <c r="BY4" s="9" t="s">
        <v>4684</v>
      </c>
      <c r="BZ4" s="9"/>
      <c r="CA4" s="9"/>
      <c r="CB4" s="9"/>
      <c r="CC4" s="9"/>
      <c r="CD4" s="9"/>
    </row>
    <row r="5" spans="2:85" ht="60" x14ac:dyDescent="0.25">
      <c r="B5" s="358"/>
      <c r="C5" s="359"/>
      <c r="D5" s="359"/>
      <c r="E5" s="359"/>
      <c r="F5" s="359"/>
      <c r="G5" s="359"/>
      <c r="H5" s="359"/>
      <c r="I5" s="360"/>
      <c r="J5" s="275" t="s">
        <v>4704</v>
      </c>
      <c r="K5" s="386">
        <f>Ranking_Criteria!$M$7</f>
        <v>0</v>
      </c>
      <c r="L5" s="386"/>
      <c r="M5" s="390">
        <f>Ranking_Criteria!$M$8</f>
        <v>0.1</v>
      </c>
      <c r="N5" s="391"/>
      <c r="O5" s="391"/>
      <c r="P5" s="35">
        <f>Ranking_Criteria!$M$9</f>
        <v>0</v>
      </c>
      <c r="Q5" s="36"/>
      <c r="R5" s="375">
        <f>Ranking_Criteria!$M$10</f>
        <v>0.1</v>
      </c>
      <c r="S5" s="376"/>
      <c r="T5" s="376"/>
      <c r="U5" s="375">
        <f>Ranking_Criteria!$M$11</f>
        <v>0.1</v>
      </c>
      <c r="V5" s="376"/>
      <c r="W5" s="376"/>
      <c r="X5" s="375">
        <f>Ranking_Criteria!$M$12</f>
        <v>0.1</v>
      </c>
      <c r="Y5" s="376"/>
      <c r="Z5" s="376"/>
      <c r="AA5" s="375">
        <f>Ranking_Criteria!$M$13</f>
        <v>0.05</v>
      </c>
      <c r="AB5" s="376"/>
      <c r="AC5" s="376"/>
      <c r="AD5" s="375">
        <f>Ranking_Criteria!$M$14</f>
        <v>0.1</v>
      </c>
      <c r="AE5" s="376"/>
      <c r="AF5" s="376"/>
      <c r="AG5" s="375">
        <f>Ranking_Criteria!$M$15</f>
        <v>0.05</v>
      </c>
      <c r="AH5" s="376"/>
      <c r="AI5" s="376"/>
      <c r="AJ5" s="37">
        <f>Ranking_Criteria!$M$16</f>
        <v>0</v>
      </c>
      <c r="AK5" s="375">
        <f>Ranking_Criteria!$M$17</f>
        <v>0.1</v>
      </c>
      <c r="AL5" s="376"/>
      <c r="AM5" s="376"/>
      <c r="AN5" s="375">
        <f>Ranking_Criteria!$M$19</f>
        <v>0.05</v>
      </c>
      <c r="AO5" s="376"/>
      <c r="AP5" s="38"/>
      <c r="AQ5" s="38"/>
      <c r="AR5" s="375">
        <f>Ranking_Criteria!$M$20</f>
        <v>0.1</v>
      </c>
      <c r="AS5" s="376"/>
      <c r="AT5" s="376"/>
      <c r="AU5" s="37">
        <f>Ranking_Criteria!$M$21</f>
        <v>0</v>
      </c>
      <c r="AV5" s="38">
        <f>Ranking_Criteria!$M$22</f>
        <v>0</v>
      </c>
      <c r="AW5" s="37">
        <f>Ranking_Criteria!$M$23</f>
        <v>0</v>
      </c>
      <c r="AX5" s="38">
        <f>Ranking_Criteria!$M$25</f>
        <v>0</v>
      </c>
      <c r="AY5" s="37">
        <f>Ranking_Criteria!$M$26</f>
        <v>0</v>
      </c>
      <c r="AZ5" s="375">
        <f>Ranking_Criteria!$M$27</f>
        <v>7.4999999999999997E-2</v>
      </c>
      <c r="BA5" s="387"/>
      <c r="BB5" s="388">
        <f>Ranking_Criteria!$M$29</f>
        <v>0.05</v>
      </c>
      <c r="BC5" s="389"/>
      <c r="BD5" s="367">
        <f>Ranking_Criteria!$M$30</f>
        <v>2.5000000000000001E-2</v>
      </c>
      <c r="BE5" s="368"/>
      <c r="BF5"/>
      <c r="BG5"/>
      <c r="BH5"/>
      <c r="BI5"/>
      <c r="BJ5"/>
      <c r="BK5"/>
      <c r="BL5"/>
      <c r="BM5" s="281"/>
      <c r="BN5"/>
      <c r="BO5"/>
      <c r="BP5"/>
      <c r="BQ5"/>
      <c r="BW5" s="393" t="s">
        <v>4682</v>
      </c>
      <c r="BX5" s="393"/>
      <c r="BY5" s="154" t="s">
        <v>28</v>
      </c>
      <c r="BZ5" s="154" t="s">
        <v>50</v>
      </c>
      <c r="CA5" s="154" t="s">
        <v>13</v>
      </c>
      <c r="CB5" s="154" t="s">
        <v>98</v>
      </c>
      <c r="CC5" s="154" t="s">
        <v>85</v>
      </c>
      <c r="CD5" s="154" t="s">
        <v>4</v>
      </c>
    </row>
    <row r="6" spans="2:85" s="6" customFormat="1" ht="90.75" thickBot="1" x14ac:dyDescent="0.3">
      <c r="B6" s="361"/>
      <c r="C6" s="362"/>
      <c r="D6" s="362"/>
      <c r="E6" s="362"/>
      <c r="F6" s="362"/>
      <c r="G6" s="362"/>
      <c r="H6" s="362"/>
      <c r="I6" s="363"/>
      <c r="J6" s="275" t="s">
        <v>4705</v>
      </c>
      <c r="K6" s="371" t="s">
        <v>1028</v>
      </c>
      <c r="L6" s="372"/>
      <c r="M6" s="373" t="s">
        <v>1088</v>
      </c>
      <c r="N6" s="377"/>
      <c r="O6" s="377"/>
      <c r="P6" s="218" t="s">
        <v>1051</v>
      </c>
      <c r="Q6" s="26"/>
      <c r="R6" s="373" t="s">
        <v>1066</v>
      </c>
      <c r="S6" s="377"/>
      <c r="T6" s="377"/>
      <c r="U6" s="373" t="s">
        <v>1067</v>
      </c>
      <c r="V6" s="377"/>
      <c r="W6" s="377"/>
      <c r="X6" s="373" t="s">
        <v>1030</v>
      </c>
      <c r="Y6" s="377"/>
      <c r="Z6" s="377"/>
      <c r="AA6" s="373" t="s">
        <v>1031</v>
      </c>
      <c r="AB6" s="377"/>
      <c r="AC6" s="377"/>
      <c r="AD6" s="373" t="s">
        <v>1060</v>
      </c>
      <c r="AE6" s="377"/>
      <c r="AF6" s="377"/>
      <c r="AG6" s="373" t="s">
        <v>1061</v>
      </c>
      <c r="AH6" s="377"/>
      <c r="AI6" s="377"/>
      <c r="AJ6" s="218" t="s">
        <v>1087</v>
      </c>
      <c r="AK6" s="373" t="s">
        <v>1079</v>
      </c>
      <c r="AL6" s="377"/>
      <c r="AM6" s="377"/>
      <c r="AN6" s="373" t="s">
        <v>4727</v>
      </c>
      <c r="AO6" s="377"/>
      <c r="AP6" s="26"/>
      <c r="AQ6" s="26"/>
      <c r="AR6" s="373" t="s">
        <v>1081</v>
      </c>
      <c r="AS6" s="377"/>
      <c r="AT6" s="377"/>
      <c r="AU6" s="218" t="s">
        <v>1082</v>
      </c>
      <c r="AV6" s="26" t="s">
        <v>1083</v>
      </c>
      <c r="AW6" s="218" t="s">
        <v>1062</v>
      </c>
      <c r="AX6" s="26" t="s">
        <v>1085</v>
      </c>
      <c r="AY6" s="218" t="s">
        <v>1086</v>
      </c>
      <c r="AZ6" s="373" t="s">
        <v>1068</v>
      </c>
      <c r="BA6" s="374"/>
      <c r="BB6" s="364" t="s">
        <v>1069</v>
      </c>
      <c r="BC6" s="364"/>
      <c r="BD6" s="364" t="s">
        <v>4657</v>
      </c>
      <c r="BE6" s="364"/>
      <c r="BF6" s="13" t="s">
        <v>1053</v>
      </c>
      <c r="BG6" s="41" t="s">
        <v>4035</v>
      </c>
      <c r="BH6" s="13" t="s">
        <v>1054</v>
      </c>
      <c r="BI6" s="41" t="s">
        <v>4662</v>
      </c>
      <c r="BJ6"/>
      <c r="BK6"/>
      <c r="BL6"/>
      <c r="BM6"/>
      <c r="BN6"/>
      <c r="BO6"/>
      <c r="BP6"/>
      <c r="BQ6"/>
      <c r="BR6"/>
      <c r="BS6" s="154" t="s">
        <v>4669</v>
      </c>
      <c r="BT6"/>
      <c r="BU6"/>
      <c r="BV6"/>
      <c r="BW6" s="394"/>
      <c r="BX6" s="394"/>
      <c r="BY6">
        <f>AVERAGE(FMS_Ranking4[Flood Measurement and warning])</f>
        <v>332.06194690265488</v>
      </c>
      <c r="BZ6">
        <f>AVERAGE(FMS_Ranking4[Regulatory and Guidance])</f>
        <v>502.88590604026848</v>
      </c>
      <c r="CA6">
        <f>AVERAGE(FMS_Ranking4[Education and Outreach])</f>
        <v>412.35353535353534</v>
      </c>
      <c r="CB6">
        <f>AVERAGE(FMS_Ranking4[Property Acquisition and Structural Elevation])</f>
        <v>391.23376623376623</v>
      </c>
      <c r="CC6">
        <f>AVERAGE(FMS_Ranking4[Infrastructure Projects])</f>
        <v>541.1</v>
      </c>
      <c r="CD6">
        <f>AVERAGE(FMS_Ranking4[Other])</f>
        <v>340.10795454545456</v>
      </c>
      <c r="CE6"/>
      <c r="CF6"/>
      <c r="CG6"/>
    </row>
    <row r="7" spans="2:85" ht="81" customHeight="1" x14ac:dyDescent="0.25">
      <c r="B7" s="209" t="s">
        <v>0</v>
      </c>
      <c r="C7" s="210" t="s">
        <v>1052</v>
      </c>
      <c r="D7" s="212" t="s">
        <v>1018</v>
      </c>
      <c r="E7" s="211" t="s">
        <v>12907</v>
      </c>
      <c r="F7" s="212" t="s">
        <v>12917</v>
      </c>
      <c r="G7" s="212" t="s">
        <v>1019</v>
      </c>
      <c r="H7" s="213" t="s">
        <v>4657</v>
      </c>
      <c r="I7" s="210" t="s">
        <v>4685</v>
      </c>
      <c r="J7" s="219" t="s">
        <v>4695</v>
      </c>
      <c r="K7" s="40" t="s">
        <v>1041</v>
      </c>
      <c r="L7" s="39" t="s">
        <v>4032</v>
      </c>
      <c r="M7" s="40" t="s">
        <v>4710</v>
      </c>
      <c r="N7" s="220" t="s">
        <v>4686</v>
      </c>
      <c r="O7" s="221" t="s">
        <v>4723</v>
      </c>
      <c r="P7" s="40" t="s">
        <v>1042</v>
      </c>
      <c r="Q7" s="223" t="s">
        <v>4036</v>
      </c>
      <c r="R7" s="224" t="s">
        <v>4711</v>
      </c>
      <c r="S7" s="225" t="s">
        <v>4687</v>
      </c>
      <c r="T7" s="221" t="s">
        <v>4722</v>
      </c>
      <c r="U7" s="224" t="s">
        <v>1070</v>
      </c>
      <c r="V7" s="225" t="s">
        <v>4688</v>
      </c>
      <c r="W7" s="221" t="s">
        <v>4721</v>
      </c>
      <c r="X7" s="224" t="s">
        <v>1043</v>
      </c>
      <c r="Y7" s="225" t="s">
        <v>4689</v>
      </c>
      <c r="Z7" s="221" t="s">
        <v>4720</v>
      </c>
      <c r="AA7" s="224" t="s">
        <v>4712</v>
      </c>
      <c r="AB7" s="225" t="s">
        <v>4690</v>
      </c>
      <c r="AC7" s="221" t="s">
        <v>4719</v>
      </c>
      <c r="AD7" s="224" t="s">
        <v>4713</v>
      </c>
      <c r="AE7" s="225" t="s">
        <v>4691</v>
      </c>
      <c r="AF7" s="221" t="s">
        <v>4718</v>
      </c>
      <c r="AG7" s="224" t="s">
        <v>1071</v>
      </c>
      <c r="AH7" s="225" t="s">
        <v>4692</v>
      </c>
      <c r="AI7" s="221" t="s">
        <v>4717</v>
      </c>
      <c r="AJ7" s="224" t="s">
        <v>1072</v>
      </c>
      <c r="AK7" s="276" t="s">
        <v>4714</v>
      </c>
      <c r="AL7" s="277" t="s">
        <v>4693</v>
      </c>
      <c r="AM7" s="278" t="s">
        <v>4716</v>
      </c>
      <c r="AN7" s="224" t="s">
        <v>4726</v>
      </c>
      <c r="AO7" s="221" t="s">
        <v>4724</v>
      </c>
      <c r="AP7" s="223" t="s">
        <v>4037</v>
      </c>
      <c r="AQ7" s="222" t="s">
        <v>4725</v>
      </c>
      <c r="AR7" s="40" t="s">
        <v>1073</v>
      </c>
      <c r="AS7" s="225" t="s">
        <v>4694</v>
      </c>
      <c r="AT7" s="223" t="s">
        <v>4715</v>
      </c>
      <c r="AU7" s="226" t="s">
        <v>1074</v>
      </c>
      <c r="AV7" s="226" t="s">
        <v>1075</v>
      </c>
      <c r="AW7" s="226" t="s">
        <v>1076</v>
      </c>
      <c r="AX7" s="226" t="s">
        <v>1077</v>
      </c>
      <c r="AY7" s="226" t="s">
        <v>1078</v>
      </c>
      <c r="AZ7" s="224" t="s">
        <v>4706</v>
      </c>
      <c r="BA7" s="39" t="s">
        <v>4707</v>
      </c>
      <c r="BB7" s="224" t="s">
        <v>1044</v>
      </c>
      <c r="BC7" s="227" t="s">
        <v>4031</v>
      </c>
      <c r="BD7" s="224" t="s">
        <v>4659</v>
      </c>
      <c r="BE7" s="40" t="s">
        <v>4660</v>
      </c>
      <c r="BF7" s="214" t="s">
        <v>3996</v>
      </c>
      <c r="BG7" s="214" t="s">
        <v>3995</v>
      </c>
      <c r="BH7" s="215" t="s">
        <v>3997</v>
      </c>
      <c r="BI7" s="216" t="s">
        <v>4700</v>
      </c>
      <c r="BJ7" s="216" t="s">
        <v>4701</v>
      </c>
      <c r="BK7" s="215" t="s">
        <v>4670</v>
      </c>
      <c r="BL7" s="217" t="s">
        <v>4666</v>
      </c>
      <c r="BM7" s="217" t="s">
        <v>4709</v>
      </c>
      <c r="BN7" s="217" t="s">
        <v>4708</v>
      </c>
      <c r="BO7" s="311" t="s">
        <v>11887</v>
      </c>
      <c r="BP7" s="311" t="s">
        <v>11888</v>
      </c>
      <c r="BQ7" s="310" t="s">
        <v>4667</v>
      </c>
      <c r="BR7" s="310" t="s">
        <v>4665</v>
      </c>
      <c r="BS7" s="310" t="s">
        <v>4664</v>
      </c>
      <c r="BT7" s="310" t="s">
        <v>4040</v>
      </c>
      <c r="BU7" s="310" t="s">
        <v>4668</v>
      </c>
      <c r="BV7" s="310" t="s">
        <v>4663</v>
      </c>
      <c r="BW7" s="310" t="s">
        <v>4672</v>
      </c>
      <c r="BX7" s="310" t="s">
        <v>4673</v>
      </c>
      <c r="BY7" s="155" t="s">
        <v>4683</v>
      </c>
      <c r="BZ7" s="155" t="s">
        <v>50</v>
      </c>
      <c r="CA7" s="155" t="s">
        <v>13</v>
      </c>
      <c r="CB7" s="155" t="s">
        <v>98</v>
      </c>
      <c r="CC7" s="155" t="s">
        <v>85</v>
      </c>
      <c r="CD7" s="155" t="s">
        <v>4</v>
      </c>
      <c r="CE7" s="159"/>
      <c r="CF7" s="395" t="s">
        <v>4674</v>
      </c>
      <c r="CG7" s="395"/>
    </row>
    <row r="8" spans="2:85" ht="30" x14ac:dyDescent="0.25">
      <c r="B8" s="340" t="s">
        <v>938</v>
      </c>
      <c r="C8" s="228">
        <f>_xlfn.XLOOKUP(FMS_Ranking4[[#This Row],[FMS ID]],FMS_Input[FMS_ID],FMS_Input[RFPG_NUM])</f>
        <v>9</v>
      </c>
      <c r="D8" s="312" t="str">
        <f>_xlfn.XLOOKUP(FMS_Ranking4[[#This Row],[FMS ID]],FMS_Input[FMS_ID],FMS_Input[FMS_NAME])</f>
        <v>Ector County DCM</v>
      </c>
      <c r="E8" s="306" t="str">
        <f>_xlfn.XLOOKUP(FMS_Ranking4[[#This Row],[FMS ID]],FMS_Input[FMS_ID],FMS_Input[SPONSOR])</f>
        <v>00000152</v>
      </c>
      <c r="F8" s="307" t="str">
        <f>_xlfn.XLOOKUP(FMS_Ranking4[[#This Row],[FMS ID]],Sponsor[FMS_ID],Sponsor[SPONSOR NAME])</f>
        <v>Ector</v>
      </c>
      <c r="G8" s="307" t="str">
        <f>_xlfn.XLOOKUP(FMS_Ranking4[[#This Row],[FMS ID]],FMS_Input[FMS_ID],FMS_Input[FMS_DESCR])</f>
        <v>Outreach Program: Discuss Drainage Criteria Manual</v>
      </c>
      <c r="H8" s="229" t="str">
        <f>_xlfn.XLOOKUP(FMS_Ranking4[[#This Row],[FMS ID]],FMS_Input[FMS_ID],FMS_Input[FMS_TYPE])</f>
        <v>Other</v>
      </c>
      <c r="I8" s="230">
        <f>_xlfn.XLOOKUP(FMS_Ranking4[[#This Row],[FMS ID]],FMS_Input[FMS_ID],FMS_Input[NRNC_COST])</f>
        <v>75000</v>
      </c>
      <c r="J8" s="231">
        <f>_xlfn.XLOOKUP(FMS_Ranking4[[#This Row],[FMS ID]],FMS_Input[FMS_ID],FMS_Input[FMS_COST])</f>
        <v>100000</v>
      </c>
      <c r="K8" s="232" t="str">
        <f>_xlfn.XLOOKUP(FMS_Ranking4[[#This Row],[FMS ID]],FMS_Input[FMS_ID],FMS_Input[EMER_NEED])</f>
        <v>No</v>
      </c>
      <c r="L8" s="233">
        <f t="shared" ref="L8:L71" si="0">IF(K8="Yes",1,0)</f>
        <v>0</v>
      </c>
      <c r="M8" s="234">
        <f>_xlfn.XLOOKUP(FMS_Ranking4[[#This Row],[FMS ID]],FMS_Input[FMS_ID],FMS_Input[STRUCT_100])</f>
        <v>13045</v>
      </c>
      <c r="N8" s="235">
        <f>(ASINH(FMS_Ranking4[[#This Row],[Structure at Risk Raw]]))*(10)/(ASINH(M$4))</f>
        <v>7.9945897446533909</v>
      </c>
      <c r="O8" s="236">
        <f>FMS_Ranking4[[#This Row],[Structures at risk, ArcSinh (0-10)]]*M$5*10</f>
        <v>7.9945897446533909</v>
      </c>
      <c r="P8" s="234">
        <f>_xlfn.XLOOKUP(FMS_Ranking4[[#This Row],[FMS ID]],FMS_Input[FMS_ID],FMS_Input[RES_STRUCT100])</f>
        <v>10079</v>
      </c>
      <c r="Q8" s="237">
        <f>ASINH(FMS_Ranking4[[#This Row],[Res Structure Raw]])/Q$4*P$5*100</f>
        <v>0</v>
      </c>
      <c r="R8" s="234">
        <f>_xlfn.XLOOKUP(FMS_Ranking4[[#This Row],[FMS ID]],FMS_Input[FMS_ID],FMS_Input[POP100])</f>
        <v>32288</v>
      </c>
      <c r="S8" s="239">
        <f>(ASINH(FMS_Ranking4[[#This Row],[Pop at Risk Raw]]))*(10)/(ASINH(R$4))</f>
        <v>7.6461301695675719</v>
      </c>
      <c r="T8" s="236">
        <f>FMS_Ranking4[[#This Row],[Population at risk, ArcSinh (0-10)]]*R$5*10</f>
        <v>7.6461301695675719</v>
      </c>
      <c r="U8" s="234">
        <f>_xlfn.XLOOKUP(FMS_Ranking4[[#This Row],[FMS ID]],FMS_Input[FMS_ID],FMS_Input[CRITFAC100])</f>
        <v>13</v>
      </c>
      <c r="V8" s="239">
        <f>(ASINH(FMS_Ranking4[[#This Row],[Critical Facilities Raw]]))*(10)/(ASINH(U$4))</f>
        <v>3.8585650997055194</v>
      </c>
      <c r="W8" s="236">
        <f>FMS_Ranking4[[#This Row],[Critical facilities at risk, ArcSinh (0-10)]]*U$5*10</f>
        <v>3.8585650997055199</v>
      </c>
      <c r="X8" s="234">
        <f>_xlfn.XLOOKUP(FMS_Ranking4[[#This Row],[FMS ID]],FMS_Input[FMS_ID],FMS_Input[LWC])</f>
        <v>34</v>
      </c>
      <c r="Y8" s="239">
        <f>(ASINH(FMS_Ranking4[[#This Row],[LWC Raw]]))*(10)/(ASINH(X$4))</f>
        <v>5.7166193773268246</v>
      </c>
      <c r="Z8" s="236">
        <f>FMS_Ranking4[[#This Row],[LWC, ArcSInh (0-10)]]*X$5*10</f>
        <v>5.7166193773268246</v>
      </c>
      <c r="AA8" s="234">
        <f>_xlfn.XLOOKUP(FMS_Ranking4[[#This Row],[FMS ID]],FMS_Input[FMS_ID],FMS_Input[ROADCLS])</f>
        <v>0</v>
      </c>
      <c r="AB8" s="235">
        <f>(ASINH(FMS_Ranking4[[#This Row],[Road Closures Raw]]))*(10)/(ASINH(AA$4))</f>
        <v>0</v>
      </c>
      <c r="AC8" s="236">
        <f>FMS_Ranking4[[#This Row],[Road closures, ArcSinh (0-10)]]*AA$5*10</f>
        <v>0</v>
      </c>
      <c r="AD8" s="234">
        <f>_xlfn.XLOOKUP(FMS_Ranking4[[#This Row],[FMS ID]],FMS_Input[FMS_ID],FMS_Input[ROAD_MILES100])</f>
        <v>306</v>
      </c>
      <c r="AE8" s="239">
        <f>(ASINH(FMS_Ranking4[[#This Row],[Road Miles Raw]]))*(10)/(ASINH(AD$4))</f>
        <v>6.8384740599284282</v>
      </c>
      <c r="AF8" s="236">
        <f>FMS_Ranking4[[#This Row],[Length of roads at risk, ArcSinh (0-10)]]*AD$5*10</f>
        <v>6.838474059928429</v>
      </c>
      <c r="AG8" s="234">
        <f>_xlfn.XLOOKUP(FMS_Ranking4[[#This Row],[FMS ID]],FMS_Input[FMS_ID],FMS_Input[FARMACRE100])</f>
        <v>150.4828796386719</v>
      </c>
      <c r="AH8" s="235">
        <f>(ASINH(FMS_Ranking4[[#This Row],[Ag Land Raw]]))*(10)/(ASINH(AG$4))</f>
        <v>3.7071663441752398</v>
      </c>
      <c r="AI8" s="236">
        <f>FMS_Ranking4[[#This Row],[Farm &amp; ranch land, ArcSinh (0-10)]]*AG$5*10</f>
        <v>1.8535831720876201</v>
      </c>
      <c r="AJ8" s="238">
        <f>_xlfn.XLOOKUP(FMS_Ranking4[[#This Row],[FMS ID]],FMS_Input[FMS_ID],FMS_Input[REDSTRUCT100])</f>
        <v>3261</v>
      </c>
      <c r="AK8" s="279">
        <f>_xlfn.XLOOKUP(FMS_Ranking4[[#This Row],[FMS ID]],FMS_Input[FMS_ID],FMS_Input[REMSTRC100])</f>
        <v>3261</v>
      </c>
      <c r="AL8" s="347">
        <f>(ASINH(FMS_Ranking4[[#This Row],[Structures Removed Raw]]))*(10)/(ASINH(AK$4))</f>
        <v>10</v>
      </c>
      <c r="AM8" s="280">
        <f>FMS_Ranking4[[#This Row],[Structures removed, ArcSinh (0-10)]]*AK$5*10</f>
        <v>10</v>
      </c>
      <c r="AN8" s="279">
        <f>_xlfn.XLOOKUP(FMS_Ranking4[[#This Row],[FMS ID]],FMS_Input[FMS_ID],FMS_Input[REMRESSTRC100])</f>
        <v>2519</v>
      </c>
      <c r="AO8" s="240">
        <f>FMS_Ranking4[[#This Row],[ArcSinh Res struct removed 0-10]]*AN$5*10</f>
        <v>5</v>
      </c>
      <c r="AP8" s="237">
        <f>ASINH(FMS_Ranking4[[#This Row],[Residential Structures Removed Raw]])/AP$4*AN$5*100</f>
        <v>5</v>
      </c>
      <c r="AQ8" s="235">
        <f>(ASINH(FMS_Ranking4[[#This Row],[Residential Structures Removed Raw]]))*(10)/(ASINH(AN$4))</f>
        <v>10</v>
      </c>
      <c r="AR8" s="234">
        <f>_xlfn.XLOOKUP(FMS_Ranking4[[#This Row],[FMS ID]],FMS_Input[FMS_ID],FMS_Input[REMPOP100])</f>
        <v>13281</v>
      </c>
      <c r="AS8" s="239">
        <f>(ASINH(FMS_Ranking4[[#This Row],[Removed Pop Raw]]))*(10)/(ASINH(AR$4))</f>
        <v>10</v>
      </c>
      <c r="AT8" s="236">
        <f>FMS_Ranking4[[#This Row],[Removed population, ArcSinh (0-10)]]*AR$5*10</f>
        <v>10</v>
      </c>
      <c r="AU8" s="241">
        <f>_xlfn.XLOOKUP(FMS_Ranking4[[#This Row],[FMS ID]],FMS_Input[FMS_ID],FMS_Input[REMCRITFAC100])</f>
        <v>3</v>
      </c>
      <c r="AV8" s="241">
        <f>_xlfn.XLOOKUP(FMS_Ranking4[[#This Row],[FMS ID]],FMS_Input[FMS_ID],FMS_Input[REMLWC100])</f>
        <v>8</v>
      </c>
      <c r="AW8" s="241">
        <f>_xlfn.XLOOKUP(FMS_Ranking4[[#This Row],[FMS ID]],FMS_Input[FMS_ID],FMS_Input[REMROADCLS])</f>
        <v>0</v>
      </c>
      <c r="AX8" s="241">
        <f>_xlfn.XLOOKUP(FMS_Ranking4[[#This Row],[FMS ID]],FMS_Input[FMS_ID],FMS_Input[REMFRMACRE100])</f>
        <v>37.620719909667969</v>
      </c>
      <c r="AY8" s="238">
        <f>_xlfn.XLOOKUP(FMS_Ranking4[[#This Row],[FMS ID]],FMS_Input[FMS_ID],FMS_Input[COSTSTRUCT])</f>
        <v>25000</v>
      </c>
      <c r="AZ8" s="234">
        <f>_xlfn.XLOOKUP(FMS_Ranking4[[#This Row],[FMS ID]],FMS_Input[FMS_ID],FMS_Input[NATURE])</f>
        <v>0</v>
      </c>
      <c r="BA8" s="242">
        <f>(((FMS_Ranking4[[#This Row],[% NBS Raw]]/AZ$4)*100)*AZ$5)</f>
        <v>0</v>
      </c>
      <c r="BB8" s="232" t="str">
        <f>_xlfn.XLOOKUP(FMS_Ranking4[[#This Row],[FMS ID]],FMS_Input[FMS_ID],FMS_Input[WATER_SUP])</f>
        <v>No</v>
      </c>
      <c r="BC8" s="243">
        <f>IF(FMS_Ranking4[[#This Row],[Water Supply Raw]]="Yes",10,0)</f>
        <v>0</v>
      </c>
      <c r="BD8" s="244">
        <f>_xlfn.XLOOKUP(FMS_Ranking4[[#This Row],[FMS Type]],FMS_TYPE[FMS_Type],FMS_TYPE[Score])</f>
        <v>2</v>
      </c>
      <c r="BE8" s="245">
        <f>FMS_Ranking4[[#This Row],[FMS_Type Score]]*$BD$5*10</f>
        <v>0.5</v>
      </c>
      <c r="BF8" s="34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2.1048973147338317</v>
      </c>
      <c r="BG8" s="349">
        <f>_xlfn.RANK.EQ(BF8,$BF$8:$BF$870,0)+COUNTIF($BF$8:BF8,BF8)-1</f>
        <v>99</v>
      </c>
      <c r="BH8" s="348">
        <f>(((FMS_Ranking4[[#This Row],[Structures Removed Raw]]/AK$4)*100)*AK$5)+(((FMS_Ranking4[[#This Row],[Removed Pop Raw]]/AR$4)*100)*AR$5)</f>
        <v>20</v>
      </c>
      <c r="BI8" s="34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22.604897314733833</v>
      </c>
      <c r="BJ8" s="350">
        <f>_xlfn.RANK.EQ(FMS_Ranking4[[#This Row],[Total Score 
(with linear
normalization)]],FMS_Ranking4[Total Score 
(with linear
normalization)],0)</f>
        <v>20</v>
      </c>
      <c r="BK8" s="350" t="e">
        <f>_xlfn.XLOOKUP(FMS_Ranking4[[#This Row],[FMS ID]],#REF!,#REF!)</f>
        <v>#REF!</v>
      </c>
      <c r="BL8" s="351">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58.907961623269351</v>
      </c>
      <c r="BM8" s="351">
        <f>FMS_Ranking4[[#This Row],[ArcSinh Score Based on Normalized Reported Factors]]+FMS_Ranking4[[#This Row],[% NBS Score (Normalized)]]+(FMS_Ranking4[[#This Row],[Water Supply Score (Normalized)]]*10*$BB$5)+FMS_Ranking4[[#This Row],[FMS_Type Score Weighted]]</f>
        <v>59.407961623269351</v>
      </c>
      <c r="BN8" s="350">
        <f>_xlfn.RANK.EQ(FMS_Ranking4[[#This Row],[Total Score (with ArcSinh normalization of select criteria)]],FMS_Ranking4[Total Score (with ArcSinh normalization of select criteria)],0)</f>
        <v>1</v>
      </c>
      <c r="BO8" s="270" t="str">
        <f>_xlfn.XLOOKUP(FMS_Ranking4[[#This Row],[FMS ID]],FMS_Input[FMS_ID],FMS_Input[FMS_RANK_YEAR])</f>
        <v>2023 Amended Plan</v>
      </c>
      <c r="BP8" s="204">
        <f>_xlfn.XLOOKUP(FMS_Ranking4[[#This Row],[FMS ID]],Prev_Rank[FMS ID],Prev_Rank[Prev Rank])</f>
        <v>3</v>
      </c>
      <c r="BQ8" s="350" t="e">
        <f>_xlfn.XLOOKUP(FMS_Ranking4[[#This Row],[FMS ID]],#REF!,#REF!)</f>
        <v>#REF!</v>
      </c>
      <c r="BR8" s="199" t="e">
        <f>SUM(#REF!,#REF!,#REF!,#REF!,#REF!,#REF!,#REF!,#REF!,#REF!,FMS_Ranking4[[#This Row],[ArcSinh Res struct removed 0-10]],#REF!)</f>
        <v>#REF!</v>
      </c>
      <c r="BS8" s="199" t="e">
        <f>FMS_Ranking4[[#This Row],[Log Score Based on Normalized Reported Factors]]+FMS_Ranking4[[#This Row],[% NBS Score (Normalized)]]+(FMS_Ranking4[[#This Row],[Water Supply Score (Normalized)]]*10*$BB$5)+(FMS_Ranking4[[#This Row],[FMS_Type Score Weighted]])</f>
        <v>#REF!</v>
      </c>
      <c r="BT8" s="200" t="e">
        <f>_xlfn.RANK.EQ(FMS_Ranking4[[#This Row],[Log Total Score]],FMS_Ranking4[Log Total Score],0)</f>
        <v>#REF!</v>
      </c>
      <c r="BU8" s="200" t="e">
        <f>_xlfn.XLOOKUP(FMS_Ranking4[[#This Row],[FMS ID]],#REF!,#REF!)</f>
        <v>#REF!</v>
      </c>
      <c r="BV8" s="200">
        <f>FMS_Ranking4[[#This Row],[Region Number]]</f>
        <v>9</v>
      </c>
      <c r="BW8" s="200">
        <f>FMS_Ranking4[[#This Row],[Rank (with ArcSinh normalization of select criteria)]]-FMS_Ranking4[[#This Row],[Rank
(with linear
normalization)]]</f>
        <v>-19</v>
      </c>
      <c r="BX8" s="200" t="e">
        <f>FMS_Ranking4[[#This Row],[Log Rank]]-FMS_Ranking4[[#This Row],[Rank
(with linear
normalization)]]</f>
        <v>#REF!</v>
      </c>
      <c r="BY8" s="336" t="str">
        <f>IF(FMS_Ranking4[[#This Row],[FMS Type]]="Flood Measurement and Warning",FMS_Ranking4[[#This Row],[Rank (with ArcSinh normalization of select criteria)]],"")</f>
        <v/>
      </c>
      <c r="BZ8" s="336" t="str">
        <f>IF(FMS_Ranking4[[#This Row],[FMS Type]]="Regulatory and Guidance",FMS_Ranking4[[#This Row],[Rank (with ArcSinh normalization of select criteria)]],"")</f>
        <v/>
      </c>
      <c r="CA8" s="336" t="str">
        <f>IF(FMS_Ranking4[[#This Row],[FMS Type]]="Education and Outreach",FMS_Ranking4[[#This Row],[Rank (with ArcSinh normalization of select criteria)]],"")</f>
        <v/>
      </c>
      <c r="CB8" s="336" t="str">
        <f>IF(FMS_Ranking4[[#This Row],[FMS Type]]="Property Acquisition and Structural Elevation",FMS_Ranking4[[#This Row],[Rank (with ArcSinh normalization of select criteria)]],"")</f>
        <v/>
      </c>
      <c r="CC8" s="336" t="str">
        <f>IF(FMS_Ranking4[[#This Row],[FMS Type]]="Infrastructure Projects",FMS_Ranking4[[#This Row],[Rank (with ArcSinh normalization of select criteria)]],"")</f>
        <v/>
      </c>
      <c r="CD8" s="336">
        <f>IF(FMS_Ranking4[[#This Row],[FMS Type]]="Other",FMS_Ranking4[[#This Row],[Rank (with ArcSinh normalization of select criteria)]],"")</f>
        <v>1</v>
      </c>
      <c r="CE8" s="201"/>
      <c r="CF8" s="158" t="s">
        <v>4661</v>
      </c>
      <c r="CG8" s="158" t="s">
        <v>4038</v>
      </c>
    </row>
    <row r="9" spans="2:85" ht="45" x14ac:dyDescent="0.25">
      <c r="B9" s="341" t="s">
        <v>877</v>
      </c>
      <c r="C9" s="246">
        <f>_xlfn.XLOOKUP(FMS_Ranking4[[#This Row],[FMS ID]],FMS_Input[FMS_ID],FMS_Input[RFPG_NUM])</f>
        <v>9</v>
      </c>
      <c r="D9" s="309" t="str">
        <f>_xlfn.XLOOKUP(FMS_Ranking4[[#This Row],[FMS ID]],FMS_Input[FMS_ID],FMS_Input[FMS_NAME])</f>
        <v>Midland County DCM</v>
      </c>
      <c r="E9" s="308" t="str">
        <f>_xlfn.XLOOKUP(FMS_Ranking4[[#This Row],[FMS ID]],FMS_Input[FMS_ID],FMS_Input[SPONSOR])</f>
        <v>00000102</v>
      </c>
      <c r="F9" s="309" t="str">
        <f>_xlfn.XLOOKUP(FMS_Ranking4[[#This Row],[FMS ID]],Sponsor[FMS_ID],Sponsor[SPONSOR NAME])</f>
        <v>Andrews</v>
      </c>
      <c r="G9" s="309" t="str">
        <f>_xlfn.XLOOKUP(FMS_Ranking4[[#This Row],[FMS ID]],FMS_Input[FMS_ID],FMS_Input[FMS_DESCR])</f>
        <v>Outreach Program: Discuss Stormwater Criteria Design Manual</v>
      </c>
      <c r="H9" s="248" t="str">
        <f>_xlfn.XLOOKUP(FMS_Ranking4[[#This Row],[FMS ID]],FMS_Input[FMS_ID],FMS_Input[FMS_TYPE])</f>
        <v>Other</v>
      </c>
      <c r="I9" s="249">
        <f>_xlfn.XLOOKUP(FMS_Ranking4[[#This Row],[FMS ID]],FMS_Input[FMS_ID],FMS_Input[NRNC_COST])</f>
        <v>75000</v>
      </c>
      <c r="J9" s="250">
        <f>_xlfn.XLOOKUP(FMS_Ranking4[[#This Row],[FMS ID]],FMS_Input[FMS_ID],FMS_Input[FMS_COST])</f>
        <v>100000</v>
      </c>
      <c r="K9" s="251" t="str">
        <f>_xlfn.XLOOKUP(FMS_Ranking4[[#This Row],[FMS ID]],FMS_Input[FMS_ID],FMS_Input[EMER_NEED])</f>
        <v>No</v>
      </c>
      <c r="L9" s="252">
        <f t="shared" si="0"/>
        <v>0</v>
      </c>
      <c r="M9" s="253">
        <f>_xlfn.XLOOKUP(FMS_Ranking4[[#This Row],[FMS ID]],FMS_Input[FMS_ID],FMS_Input[STRUCT_100])</f>
        <v>8432</v>
      </c>
      <c r="N9" s="255">
        <f>(ASINH(FMS_Ranking4[[#This Row],[Structure at Risk Raw]]))*(10)/(ASINH(M$4))</f>
        <v>7.6515372249891742</v>
      </c>
      <c r="O9" s="256">
        <f>FMS_Ranking4[[#This Row],[Structures at risk, ArcSinh (0-10)]]*M$5*10</f>
        <v>7.6515372249891742</v>
      </c>
      <c r="P9" s="253">
        <f>_xlfn.XLOOKUP(FMS_Ranking4[[#This Row],[FMS ID]],FMS_Input[FMS_ID],FMS_Input[RES_STRUCT100])</f>
        <v>5663</v>
      </c>
      <c r="Q9" s="257">
        <f>ASINH(FMS_Ranking4[[#This Row],[Res Structure Raw]])/Q$4*P$5*100</f>
        <v>0</v>
      </c>
      <c r="R9" s="253">
        <f>_xlfn.XLOOKUP(FMS_Ranking4[[#This Row],[FMS ID]],FMS_Input[FMS_ID],FMS_Input[POP100])</f>
        <v>23038</v>
      </c>
      <c r="S9" s="259">
        <f>(ASINH(FMS_Ranking4[[#This Row],[Pop at Risk Raw]]))*(10)/(ASINH(R$4))</f>
        <v>7.4130993268531062</v>
      </c>
      <c r="T9" s="256">
        <f>FMS_Ranking4[[#This Row],[Population at risk, ArcSinh (0-10)]]*R$5*10</f>
        <v>7.4130993268531062</v>
      </c>
      <c r="U9" s="253">
        <f>_xlfn.XLOOKUP(FMS_Ranking4[[#This Row],[FMS ID]],FMS_Input[FMS_ID],FMS_Input[CRITFAC100])</f>
        <v>22</v>
      </c>
      <c r="V9" s="259">
        <f>(ASINH(FMS_Ranking4[[#This Row],[Critical Facilities Raw]]))*(10)/(ASINH(U$4))</f>
        <v>4.4801989580169597</v>
      </c>
      <c r="W9" s="256">
        <f>FMS_Ranking4[[#This Row],[Critical facilities at risk, ArcSinh (0-10)]]*U$5*10</f>
        <v>4.4801989580169597</v>
      </c>
      <c r="X9" s="253">
        <f>_xlfn.XLOOKUP(FMS_Ranking4[[#This Row],[FMS ID]],FMS_Input[FMS_ID],FMS_Input[LWC])</f>
        <v>28</v>
      </c>
      <c r="Y9" s="259">
        <f>(ASINH(FMS_Ranking4[[#This Row],[LWC Raw]]))*(10)/(ASINH(X$4))</f>
        <v>5.4537277940935365</v>
      </c>
      <c r="Z9" s="256">
        <f>FMS_Ranking4[[#This Row],[LWC, ArcSInh (0-10)]]*X$5*10</f>
        <v>5.4537277940935365</v>
      </c>
      <c r="AA9" s="253">
        <f>_xlfn.XLOOKUP(FMS_Ranking4[[#This Row],[FMS ID]],FMS_Input[FMS_ID],FMS_Input[ROADCLS])</f>
        <v>0</v>
      </c>
      <c r="AB9" s="255">
        <f>(ASINH(FMS_Ranking4[[#This Row],[Road Closures Raw]]))*(10)/(ASINH(AA$4))</f>
        <v>0</v>
      </c>
      <c r="AC9" s="256">
        <f>FMS_Ranking4[[#This Row],[Road closures, ArcSinh (0-10)]]*AA$5*10</f>
        <v>0</v>
      </c>
      <c r="AD9" s="253">
        <f>_xlfn.XLOOKUP(FMS_Ranking4[[#This Row],[FMS ID]],FMS_Input[FMS_ID],FMS_Input[ROAD_MILES100])</f>
        <v>290</v>
      </c>
      <c r="AE9" s="259">
        <f>(ASINH(FMS_Ranking4[[#This Row],[Road Miles Raw]]))*(10)/(ASINH(AD$4))</f>
        <v>6.7812405030990384</v>
      </c>
      <c r="AF9" s="256">
        <f>FMS_Ranking4[[#This Row],[Length of roads at risk, ArcSinh (0-10)]]*AD$5*10</f>
        <v>6.7812405030990384</v>
      </c>
      <c r="AG9" s="253">
        <f>_xlfn.XLOOKUP(FMS_Ranking4[[#This Row],[FMS ID]],FMS_Input[FMS_ID],FMS_Input[FARMACRE100])</f>
        <v>8189.255859375</v>
      </c>
      <c r="AH9" s="255">
        <f>(ASINH(FMS_Ranking4[[#This Row],[Ag Land Raw]]))*(10)/(ASINH(AG$4))</f>
        <v>6.3033602663995527</v>
      </c>
      <c r="AI9" s="260">
        <f>FMS_Ranking4[[#This Row],[Farm &amp; ranch land, ArcSinh (0-10)]]*AG$5*10</f>
        <v>3.1516801331997768</v>
      </c>
      <c r="AJ9" s="258">
        <f>_xlfn.XLOOKUP(FMS_Ranking4[[#This Row],[FMS ID]],FMS_Input[FMS_ID],FMS_Input[REDSTRUCT100])</f>
        <v>2108</v>
      </c>
      <c r="AK9" s="253">
        <f>_xlfn.XLOOKUP(FMS_Ranking4[[#This Row],[FMS ID]],FMS_Input[FMS_ID],FMS_Input[REMSTRC100])</f>
        <v>2108</v>
      </c>
      <c r="AL9" s="259">
        <f>(ASINH(FMS_Ranking4[[#This Row],[Structures Removed Raw]]))*(10)/(ASINH(AK$4))</f>
        <v>9.5032478723426088</v>
      </c>
      <c r="AM9" s="262">
        <f>FMS_Ranking4[[#This Row],[Structures removed, ArcSinh (0-10)]]*AK$5*10</f>
        <v>9.5032478723426088</v>
      </c>
      <c r="AN9" s="253">
        <f>_xlfn.XLOOKUP(FMS_Ranking4[[#This Row],[FMS ID]],FMS_Input[FMS_ID],FMS_Input[REMRESSTRC100])</f>
        <v>1415</v>
      </c>
      <c r="AO9" s="261">
        <f>FMS_Ranking4[[#This Row],[ArcSinh Res struct removed 0-10]]*AN$5*10</f>
        <v>4.6617311944144557</v>
      </c>
      <c r="AP9" s="254">
        <f>ASINH(FMS_Ranking4[[#This Row],[Residential Structures Removed Raw]])/AP$4*AN$5*100</f>
        <v>4.6617311944144566</v>
      </c>
      <c r="AQ9" s="254">
        <f>(ASINH(FMS_Ranking4[[#This Row],[Residential Structures Removed Raw]]))*(10)/(ASINH(AN$4))</f>
        <v>9.3234623888289114</v>
      </c>
      <c r="AR9" s="253">
        <f>_xlfn.XLOOKUP(FMS_Ranking4[[#This Row],[FMS ID]],FMS_Input[FMS_ID],FMS_Input[REMPOP100])</f>
        <v>9394</v>
      </c>
      <c r="AS9" s="259">
        <f>(ASINH(FMS_Ranking4[[#This Row],[Removed Pop Raw]]))*(10)/(ASINH(AR$4))</f>
        <v>9.6601009118744336</v>
      </c>
      <c r="AT9" s="262">
        <f>FMS_Ranking4[[#This Row],[Removed population, ArcSinh (0-10)]]*AR$5*10</f>
        <v>9.6601009118744336</v>
      </c>
      <c r="AU9" s="264">
        <f>_xlfn.XLOOKUP(FMS_Ranking4[[#This Row],[FMS ID]],FMS_Input[FMS_ID],FMS_Input[REMCRITFAC100])</f>
        <v>5</v>
      </c>
      <c r="AV9" s="264">
        <f>_xlfn.XLOOKUP(FMS_Ranking4[[#This Row],[FMS ID]],FMS_Input[FMS_ID],FMS_Input[REMLWC100])</f>
        <v>7</v>
      </c>
      <c r="AW9" s="264">
        <f>_xlfn.XLOOKUP(FMS_Ranking4[[#This Row],[FMS ID]],FMS_Input[FMS_ID],FMS_Input[REMROADCLS])</f>
        <v>0</v>
      </c>
      <c r="AX9" s="264">
        <f>_xlfn.XLOOKUP(FMS_Ranking4[[#This Row],[FMS ID]],FMS_Input[FMS_ID],FMS_Input[REMFRMACRE100])</f>
        <v>2047.31396484375</v>
      </c>
      <c r="AY9" s="258">
        <f>_xlfn.XLOOKUP(FMS_Ranking4[[#This Row],[FMS ID]],FMS_Input[FMS_ID],FMS_Input[COSTSTRUCT])</f>
        <v>25000</v>
      </c>
      <c r="AZ9" s="253">
        <f>_xlfn.XLOOKUP(FMS_Ranking4[[#This Row],[FMS ID]],FMS_Input[FMS_ID],FMS_Input[NATURE])</f>
        <v>0</v>
      </c>
      <c r="BA9" s="262">
        <f>(((FMS_Ranking4[[#This Row],[% NBS Raw]]/AZ$4)*100)*AZ$5)</f>
        <v>0</v>
      </c>
      <c r="BB9" s="251" t="str">
        <f>_xlfn.XLOOKUP(FMS_Ranking4[[#This Row],[FMS ID]],FMS_Input[FMS_ID],FMS_Input[WATER_SUP])</f>
        <v>No</v>
      </c>
      <c r="BC9" s="265">
        <f>IF(FMS_Ranking4[[#This Row],[Water Supply Raw]]="Yes",10,0)</f>
        <v>0</v>
      </c>
      <c r="BD9" s="266">
        <f>_xlfn.XLOOKUP(FMS_Ranking4[[#This Row],[FMS Type]],FMS_TYPE[FMS_Type],FMS_TYPE[Score])</f>
        <v>2</v>
      </c>
      <c r="BE9" s="267">
        <f>FMS_Ranking4[[#This Row],[FMS_Type Score]]*$BD$5*10</f>
        <v>0.5</v>
      </c>
      <c r="BF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1.6878773972534464</v>
      </c>
      <c r="BG9" s="271">
        <f>_xlfn.RANK.EQ(BF9,$BF$8:$BF$870,0)+COUNTIF($BF$8:BF9,BF9)-1</f>
        <v>107</v>
      </c>
      <c r="BH9" s="268">
        <f>(((FMS_Ranking4[[#This Row],[Structures Removed Raw]]/AK$4)*100)*AK$5)+(((FMS_Ranking4[[#This Row],[Removed Pop Raw]]/AR$4)*100)*AR$5)</f>
        <v>13.537537317873298</v>
      </c>
      <c r="BI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15.725414715126744</v>
      </c>
      <c r="BJ9" s="205">
        <f>_xlfn.RANK.EQ(FMS_Ranking4[[#This Row],[Total Score 
(with linear
normalization)]],FMS_Ranking4[Total Score 
(with linear
normalization)],0)</f>
        <v>29</v>
      </c>
      <c r="BK9" s="205" t="e">
        <f>_xlfn.XLOOKUP(FMS_Ranking4[[#This Row],[FMS ID]],#REF!,#REF!)</f>
        <v>#REF!</v>
      </c>
      <c r="BL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58.756563918883103</v>
      </c>
      <c r="BM9" s="272">
        <f>FMS_Ranking4[[#This Row],[ArcSinh Score Based on Normalized Reported Factors]]+FMS_Ranking4[[#This Row],[% NBS Score (Normalized)]]+(FMS_Ranking4[[#This Row],[Water Supply Score (Normalized)]]*10*$BB$5)+FMS_Ranking4[[#This Row],[FMS_Type Score Weighted]]</f>
        <v>59.256563918883103</v>
      </c>
      <c r="BN9" s="205">
        <f>_xlfn.RANK.EQ(FMS_Ranking4[[#This Row],[Total Score (with ArcSinh normalization of select criteria)]],FMS_Ranking4[Total Score (with ArcSinh normalization of select criteria)],0)</f>
        <v>2</v>
      </c>
      <c r="BO9" s="270" t="str">
        <f>_xlfn.XLOOKUP(FMS_Ranking4[[#This Row],[FMS ID]],FMS_Input[FMS_ID],FMS_Input[FMS_RANK_YEAR])</f>
        <v>2023 Amended Plan</v>
      </c>
      <c r="BP9" s="204">
        <f>_xlfn.XLOOKUP(FMS_Ranking4[[#This Row],[FMS ID]],Prev_Rank[FMS ID],Prev_Rank[Prev Rank])</f>
        <v>4</v>
      </c>
      <c r="BQ9" s="205" t="e">
        <f>_xlfn.XLOOKUP(FMS_Ranking4[[#This Row],[FMS ID]],#REF!,#REF!)</f>
        <v>#REF!</v>
      </c>
      <c r="BR9" s="199" t="e">
        <f>SUM(#REF!,#REF!,#REF!,#REF!,#REF!,#REF!,#REF!,#REF!,#REF!,FMS_Ranking4[[#This Row],[ArcSinh Res struct removed 0-10]],#REF!)</f>
        <v>#REF!</v>
      </c>
      <c r="BS9" s="199" t="e">
        <f>FMS_Ranking4[[#This Row],[Log Score Based on Normalized Reported Factors]]+FMS_Ranking4[[#This Row],[% NBS Score (Normalized)]]+(FMS_Ranking4[[#This Row],[Water Supply Score (Normalized)]]*10*$BB$5)+(FMS_Ranking4[[#This Row],[FMS_Type Score Weighted]])</f>
        <v>#REF!</v>
      </c>
      <c r="BT9" s="200" t="e">
        <f>_xlfn.RANK.EQ(FMS_Ranking4[[#This Row],[Log Total Score]],FMS_Ranking4[Log Total Score],0)</f>
        <v>#REF!</v>
      </c>
      <c r="BU9" s="200" t="e">
        <f>_xlfn.XLOOKUP(FMS_Ranking4[[#This Row],[FMS ID]],#REF!,#REF!)</f>
        <v>#REF!</v>
      </c>
      <c r="BV9" s="200">
        <f>FMS_Ranking4[[#This Row],[Region Number]]</f>
        <v>9</v>
      </c>
      <c r="BW9" s="200">
        <f>FMS_Ranking4[[#This Row],[Rank (with ArcSinh normalization of select criteria)]]-FMS_Ranking4[[#This Row],[Rank
(with linear
normalization)]]</f>
        <v>-27</v>
      </c>
      <c r="BX9" s="200" t="e">
        <f>FMS_Ranking4[[#This Row],[Log Rank]]-FMS_Ranking4[[#This Row],[Rank
(with linear
normalization)]]</f>
        <v>#REF!</v>
      </c>
      <c r="BY9" s="200" t="str">
        <f>IF(FMS_Ranking4[[#This Row],[FMS Type]]="Flood Measurement and Warning",FMS_Ranking4[[#This Row],[Rank (with ArcSinh normalization of select criteria)]],"")</f>
        <v/>
      </c>
      <c r="BZ9" s="200" t="str">
        <f>IF(FMS_Ranking4[[#This Row],[FMS Type]]="Regulatory and Guidance",FMS_Ranking4[[#This Row],[Rank (with ArcSinh normalization of select criteria)]],"")</f>
        <v/>
      </c>
      <c r="CA9" s="200" t="str">
        <f>IF(FMS_Ranking4[[#This Row],[FMS Type]]="Education and Outreach",FMS_Ranking4[[#This Row],[Rank (with ArcSinh normalization of select criteria)]],"")</f>
        <v/>
      </c>
      <c r="CB9" s="200" t="str">
        <f>IF(FMS_Ranking4[[#This Row],[FMS Type]]="Property Acquisition and Structural Elevation",FMS_Ranking4[[#This Row],[Rank (with ArcSinh normalization of select criteria)]],"")</f>
        <v/>
      </c>
      <c r="CC9" s="200" t="str">
        <f>IF(FMS_Ranking4[[#This Row],[FMS Type]]="Infrastructure Projects",FMS_Ranking4[[#This Row],[Rank (with ArcSinh normalization of select criteria)]],"")</f>
        <v/>
      </c>
      <c r="CD9" s="200">
        <f>IF(FMS_Ranking4[[#This Row],[FMS Type]]="Other",FMS_Ranking4[[#This Row],[Rank (with ArcSinh normalization of select criteria)]],"")</f>
        <v>2</v>
      </c>
      <c r="CE9" s="201"/>
      <c r="CF9" s="392" t="s">
        <v>4675</v>
      </c>
      <c r="CG9" s="392"/>
    </row>
    <row r="10" spans="2:85" ht="60" x14ac:dyDescent="0.25">
      <c r="B10" s="341" t="s">
        <v>1813</v>
      </c>
      <c r="C10" s="246">
        <f>_xlfn.XLOOKUP(FMS_Ranking4[[#This Row],[FMS ID]],FMS_Input[FMS_ID],FMS_Input[RFPG_NUM])</f>
        <v>3</v>
      </c>
      <c r="D10" s="309" t="str">
        <f>_xlfn.XLOOKUP(FMS_Ranking4[[#This Row],[FMS ID]],FMS_Input[FMS_ID],FMS_Input[FMS_NAME])</f>
        <v xml:space="preserve">Dallas County Acquisition of Flood-Prone and Repetitive Loss Properties </v>
      </c>
      <c r="E10" s="308" t="str">
        <f>_xlfn.XLOOKUP(FMS_Ranking4[[#This Row],[FMS ID]],FMS_Input[FMS_ID],FMS_Input[SPONSOR])</f>
        <v>Dallas County</v>
      </c>
      <c r="F10" s="309" t="str">
        <f>_xlfn.XLOOKUP(FMS_Ranking4[[#This Row],[FMS ID]],Sponsor[FMS_ID],Sponsor[SPONSOR NAME])</f>
        <v>Dallas County</v>
      </c>
      <c r="G10" s="309" t="str">
        <f>_xlfn.XLOOKUP(FMS_Ranking4[[#This Row],[FMS ID]],FMS_Input[FMS_ID],FMS_Input[FMS_DESCR])</f>
        <v>Acquisition / demolition of 46 flood-prone and repetitive loss properties.</v>
      </c>
      <c r="H10" s="248" t="str">
        <f>_xlfn.XLOOKUP(FMS_Ranking4[[#This Row],[FMS ID]],FMS_Input[FMS_ID],FMS_Input[FMS_TYPE])</f>
        <v>Property Acquisition and Structural Elevation</v>
      </c>
      <c r="I10" s="249">
        <f>_xlfn.XLOOKUP(FMS_Ranking4[[#This Row],[FMS ID]],FMS_Input[FMS_ID],FMS_Input[NRNC_COST])</f>
        <v>5000000</v>
      </c>
      <c r="J10" s="250">
        <f>_xlfn.XLOOKUP(FMS_Ranking4[[#This Row],[FMS ID]],FMS_Input[FMS_ID],FMS_Input[FMS_COST])</f>
        <v>50000000</v>
      </c>
      <c r="K10" s="251" t="str">
        <f>_xlfn.XLOOKUP(FMS_Ranking4[[#This Row],[FMS ID]],FMS_Input[FMS_ID],FMS_Input[EMER_NEED])</f>
        <v>No</v>
      </c>
      <c r="L10" s="252">
        <f t="shared" si="0"/>
        <v>0</v>
      </c>
      <c r="M10" s="253">
        <f>_xlfn.XLOOKUP(FMS_Ranking4[[#This Row],[FMS ID]],FMS_Input[FMS_ID],FMS_Input[STRUCT_100])</f>
        <v>22225</v>
      </c>
      <c r="N10" s="255">
        <f>(ASINH(FMS_Ranking4[[#This Row],[Structure at Risk Raw]]))*(10)/(ASINH(M$4))</f>
        <v>8.413459986465222</v>
      </c>
      <c r="O10" s="256">
        <f>FMS_Ranking4[[#This Row],[Structures at risk, ArcSinh (0-10)]]*M$5*10</f>
        <v>8.413459986465222</v>
      </c>
      <c r="P10" s="253">
        <f>_xlfn.XLOOKUP(FMS_Ranking4[[#This Row],[FMS ID]],FMS_Input[FMS_ID],FMS_Input[RES_STRUCT100])</f>
        <v>20521</v>
      </c>
      <c r="Q10" s="257">
        <f>ASINH(FMS_Ranking4[[#This Row],[Res Structure Raw]])/Q$4*P$5*100</f>
        <v>0</v>
      </c>
      <c r="R10" s="253">
        <f>_xlfn.XLOOKUP(FMS_Ranking4[[#This Row],[FMS ID]],FMS_Input[FMS_ID],FMS_Input[POP100])</f>
        <v>105914</v>
      </c>
      <c r="S10" s="255">
        <f>(ASINH(FMS_Ranking4[[#This Row],[Pop at Risk Raw]]))*(10)/(ASINH(R$4))</f>
        <v>8.4662286498114732</v>
      </c>
      <c r="T10" s="256">
        <f>FMS_Ranking4[[#This Row],[Population at risk, ArcSinh (0-10)]]*R$5*10</f>
        <v>8.4662286498114732</v>
      </c>
      <c r="U10" s="253">
        <f>_xlfn.XLOOKUP(FMS_Ranking4[[#This Row],[FMS ID]],FMS_Input[FMS_ID],FMS_Input[CRITFAC100])</f>
        <v>369</v>
      </c>
      <c r="V10" s="255">
        <f>(ASINH(FMS_Ranking4[[#This Row],[Critical Facilities Raw]]))*(10)/(ASINH(U$4))</f>
        <v>7.8175140472338498</v>
      </c>
      <c r="W10" s="256">
        <f>FMS_Ranking4[[#This Row],[Critical facilities at risk, ArcSinh (0-10)]]*U$5*10</f>
        <v>7.8175140472338498</v>
      </c>
      <c r="X10" s="253">
        <f>_xlfn.XLOOKUP(FMS_Ranking4[[#This Row],[FMS ID]],FMS_Input[FMS_ID],FMS_Input[LWC])</f>
        <v>387</v>
      </c>
      <c r="Y10" s="255">
        <f>(ASINH(FMS_Ranking4[[#This Row],[LWC Raw]]))*(10)/(ASINH(X$4))</f>
        <v>9.0111379615044935</v>
      </c>
      <c r="Z10" s="256">
        <f>FMS_Ranking4[[#This Row],[LWC, ArcSInh (0-10)]]*X$5*10</f>
        <v>9.0111379615044935</v>
      </c>
      <c r="AA10" s="253">
        <f>_xlfn.XLOOKUP(FMS_Ranking4[[#This Row],[FMS ID]],FMS_Input[FMS_ID],FMS_Input[ROADCLS])</f>
        <v>0</v>
      </c>
      <c r="AB10" s="255">
        <f>(ASINH(FMS_Ranking4[[#This Row],[Road Closures Raw]]))*(10)/(ASINH(AA$4))</f>
        <v>0</v>
      </c>
      <c r="AC10" s="256">
        <f>FMS_Ranking4[[#This Row],[Road closures, ArcSinh (0-10)]]*AA$5*10</f>
        <v>0</v>
      </c>
      <c r="AD10" s="253">
        <f>_xlfn.XLOOKUP(FMS_Ranking4[[#This Row],[FMS ID]],FMS_Input[FMS_ID],FMS_Input[ROAD_MILES100])</f>
        <v>791</v>
      </c>
      <c r="AE10" s="255">
        <f>(ASINH(FMS_Ranking4[[#This Row],[Road Miles Raw]]))*(10)/(ASINH(AD$4))</f>
        <v>7.8506042662984106</v>
      </c>
      <c r="AF10" s="256">
        <f>FMS_Ranking4[[#This Row],[Length of roads at risk, ArcSinh (0-10)]]*AD$5*10</f>
        <v>7.8506042662984115</v>
      </c>
      <c r="AG10" s="253">
        <f>_xlfn.XLOOKUP(FMS_Ranking4[[#This Row],[FMS ID]],FMS_Input[FMS_ID],FMS_Input[FARMACRE100])</f>
        <v>31557.6796875</v>
      </c>
      <c r="AH10" s="255">
        <f>(ASINH(FMS_Ranking4[[#This Row],[Ag Land Raw]]))*(10)/(ASINH(AG$4))</f>
        <v>7.1796417288252785</v>
      </c>
      <c r="AI10" s="260">
        <f>FMS_Ranking4[[#This Row],[Farm &amp; ranch land, ArcSinh (0-10)]]*AG$5*10</f>
        <v>3.5898208644126397</v>
      </c>
      <c r="AJ10" s="258">
        <f>_xlfn.XLOOKUP(FMS_Ranking4[[#This Row],[FMS ID]],FMS_Input[FMS_ID],FMS_Input[REDSTRUCT100])</f>
        <v>0</v>
      </c>
      <c r="AK10" s="253">
        <f>_xlfn.XLOOKUP(FMS_Ranking4[[#This Row],[FMS ID]],FMS_Input[FMS_ID],FMS_Input[REMSTRC100])</f>
        <v>46</v>
      </c>
      <c r="AL10" s="255">
        <f>(ASINH(FMS_Ranking4[[#This Row],[Structures Removed Raw]]))*(10)/(ASINH(AK$4))</f>
        <v>5.1485135585567985</v>
      </c>
      <c r="AM10" s="262">
        <f>FMS_Ranking4[[#This Row],[Structures removed, ArcSinh (0-10)]]*AK$5*10</f>
        <v>5.1485135585567985</v>
      </c>
      <c r="AN10" s="253">
        <f>_xlfn.XLOOKUP(FMS_Ranking4[[#This Row],[FMS ID]],FMS_Input[FMS_ID],FMS_Input[REMRESSTRC100])</f>
        <v>39</v>
      </c>
      <c r="AO10" s="261">
        <f>FMS_Ranking4[[#This Row],[ArcSinh Res struct removed 0-10]]*AN$5*10</f>
        <v>2.5554214158141826</v>
      </c>
      <c r="AP10" s="254">
        <f>ASINH(FMS_Ranking4[[#This Row],[Residential Structures Removed Raw]])/AP$4*AN$5*100</f>
        <v>2.5554214158141821</v>
      </c>
      <c r="AQ10" s="258">
        <f>(ASINH(FMS_Ranking4[[#This Row],[Residential Structures Removed Raw]]))*(10)/(ASINH(AN$4))</f>
        <v>5.1108428316283643</v>
      </c>
      <c r="AR10" s="253">
        <f>_xlfn.XLOOKUP(FMS_Ranking4[[#This Row],[FMS ID]],FMS_Input[FMS_ID],FMS_Input[REMPOP100])</f>
        <v>117</v>
      </c>
      <c r="AS10" s="255">
        <f>(ASINH(FMS_Ranking4[[#This Row],[Removed Pop Raw]]))*(10)/(ASINH(AR$4))</f>
        <v>5.3550726555573656</v>
      </c>
      <c r="AT10" s="262">
        <f>FMS_Ranking4[[#This Row],[Removed population, ArcSinh (0-10)]]*AR$5*10</f>
        <v>5.3550726555573656</v>
      </c>
      <c r="AU10" s="264">
        <f>_xlfn.XLOOKUP(FMS_Ranking4[[#This Row],[FMS ID]],FMS_Input[FMS_ID],FMS_Input[REMCRITFAC100])</f>
        <v>0</v>
      </c>
      <c r="AV10" s="264">
        <f>_xlfn.XLOOKUP(FMS_Ranking4[[#This Row],[FMS ID]],FMS_Input[FMS_ID],FMS_Input[REMLWC100])</f>
        <v>0</v>
      </c>
      <c r="AW10" s="264">
        <f>_xlfn.XLOOKUP(FMS_Ranking4[[#This Row],[FMS ID]],FMS_Input[FMS_ID],FMS_Input[REMROADCLS])</f>
        <v>0</v>
      </c>
      <c r="AX10" s="264">
        <f>_xlfn.XLOOKUP(FMS_Ranking4[[#This Row],[FMS ID]],FMS_Input[FMS_ID],FMS_Input[REMFRMACRE100])</f>
        <v>0</v>
      </c>
      <c r="AY10" s="258">
        <f>_xlfn.XLOOKUP(FMS_Ranking4[[#This Row],[FMS ID]],FMS_Input[FMS_ID],FMS_Input[COSTSTRUCT])</f>
        <v>1087000</v>
      </c>
      <c r="AZ10" s="253">
        <f>_xlfn.XLOOKUP(FMS_Ranking4[[#This Row],[FMS ID]],FMS_Input[FMS_ID],FMS_Input[NATURE])</f>
        <v>0</v>
      </c>
      <c r="BA10" s="262">
        <f>(((FMS_Ranking4[[#This Row],[% NBS Raw]]/AZ$4)*100)*AZ$5)</f>
        <v>0</v>
      </c>
      <c r="BB10" s="251" t="str">
        <f>_xlfn.XLOOKUP(FMS_Ranking4[[#This Row],[FMS ID]],FMS_Input[FMS_ID],FMS_Input[WATER_SUP])</f>
        <v>No</v>
      </c>
      <c r="BC10" s="265">
        <f>IF(FMS_Ranking4[[#This Row],[Water Supply Raw]]="Yes",10,0)</f>
        <v>0</v>
      </c>
      <c r="BD10" s="266">
        <f>_xlfn.XLOOKUP(FMS_Ranking4[[#This Row],[FMS Type]],FMS_TYPE[FMS_Type],FMS_TYPE[Score])</f>
        <v>4</v>
      </c>
      <c r="BE10" s="267">
        <f>FMS_Ranking4[[#This Row],[FMS_Type Score]]*$BD$5*10</f>
        <v>1</v>
      </c>
      <c r="BF1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10.210876500614324</v>
      </c>
      <c r="BG10" s="321">
        <f>_xlfn.RANK.EQ(BF10,$BF$8:$BF$870,0)+COUNTIF($BF$8:BF10,BF10)-1</f>
        <v>42</v>
      </c>
      <c r="BH10" s="294">
        <f>(((FMS_Ranking4[[#This Row],[Structures Removed Raw]]/AK$4)*100)*AK$5)+(((FMS_Ranking4[[#This Row],[Removed Pop Raw]]/AR$4)*100)*AR$5)</f>
        <v>0.22915680014618556</v>
      </c>
      <c r="BI1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11.44003330076051</v>
      </c>
      <c r="BJ10" s="251">
        <f>_xlfn.RANK.EQ(FMS_Ranking4[[#This Row],[Total Score 
(with linear
normalization)]],FMS_Ranking4[Total Score 
(with linear
normalization)],0)</f>
        <v>48</v>
      </c>
      <c r="BK10" s="251" t="e">
        <f>_xlfn.XLOOKUP(FMS_Ranking4[[#This Row],[FMS ID]],#REF!,#REF!)</f>
        <v>#REF!</v>
      </c>
      <c r="BL1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58.207773405654436</v>
      </c>
      <c r="BM10" s="324">
        <f>FMS_Ranking4[[#This Row],[ArcSinh Score Based on Normalized Reported Factors]]+FMS_Ranking4[[#This Row],[% NBS Score (Normalized)]]+(FMS_Ranking4[[#This Row],[Water Supply Score (Normalized)]]*10*$BB$5)+FMS_Ranking4[[#This Row],[FMS_Type Score Weighted]]</f>
        <v>59.207773405654436</v>
      </c>
      <c r="BN10" s="251">
        <f>_xlfn.RANK.EQ(FMS_Ranking4[[#This Row],[Total Score (with ArcSinh normalization of select criteria)]],FMS_Ranking4[Total Score (with ArcSinh normalization of select criteria)],0)</f>
        <v>3</v>
      </c>
      <c r="BO10" s="270" t="str">
        <f>_xlfn.XLOOKUP(FMS_Ranking4[[#This Row],[FMS ID]],FMS_Input[FMS_ID],FMS_Input[FMS_RANK_YEAR])</f>
        <v>2023 Amended Plan</v>
      </c>
      <c r="BP10" s="204">
        <f>_xlfn.XLOOKUP(FMS_Ranking4[[#This Row],[FMS ID]],Prev_Rank[FMS ID],Prev_Rank[Prev Rank])</f>
        <v>2</v>
      </c>
      <c r="BQ10" s="251" t="e">
        <f>_xlfn.XLOOKUP(FMS_Ranking4[[#This Row],[FMS ID]],#REF!,#REF!)</f>
        <v>#REF!</v>
      </c>
      <c r="BR10" s="199" t="e">
        <f>SUM(#REF!,#REF!,#REF!,#REF!,#REF!,#REF!,#REF!,#REF!,#REF!,FMS_Ranking4[[#This Row],[ArcSinh Res struct removed 0-10]],#REF!)</f>
        <v>#REF!</v>
      </c>
      <c r="BS10" s="199" t="e">
        <f>FMS_Ranking4[[#This Row],[Log Score Based on Normalized Reported Factors]]+FMS_Ranking4[[#This Row],[% NBS Score (Normalized)]]+(FMS_Ranking4[[#This Row],[Water Supply Score (Normalized)]]*10*$BB$5)+(FMS_Ranking4[[#This Row],[FMS_Type Score Weighted]])</f>
        <v>#REF!</v>
      </c>
      <c r="BT10" s="200" t="e">
        <f>_xlfn.RANK.EQ(FMS_Ranking4[[#This Row],[Log Total Score]],FMS_Ranking4[Log Total Score],0)</f>
        <v>#REF!</v>
      </c>
      <c r="BU10" s="200" t="e">
        <f>_xlfn.XLOOKUP(FMS_Ranking4[[#This Row],[FMS ID]],#REF!,#REF!)</f>
        <v>#REF!</v>
      </c>
      <c r="BV10" s="200">
        <f>FMS_Ranking4[[#This Row],[Region Number]]</f>
        <v>3</v>
      </c>
      <c r="BW10" s="200">
        <f>FMS_Ranking4[[#This Row],[Rank (with ArcSinh normalization of select criteria)]]-FMS_Ranking4[[#This Row],[Rank
(with linear
normalization)]]</f>
        <v>-45</v>
      </c>
      <c r="BX10" s="200" t="e">
        <f>FMS_Ranking4[[#This Row],[Log Rank]]-FMS_Ranking4[[#This Row],[Rank
(with linear
normalization)]]</f>
        <v>#REF!</v>
      </c>
      <c r="BY10" s="200" t="str">
        <f>IF(FMS_Ranking4[[#This Row],[FMS Type]]="Flood Measurement and Warning",FMS_Ranking4[[#This Row],[Rank (with ArcSinh normalization of select criteria)]],"")</f>
        <v/>
      </c>
      <c r="BZ10" s="200" t="str">
        <f>IF(FMS_Ranking4[[#This Row],[FMS Type]]="Regulatory and Guidance",FMS_Ranking4[[#This Row],[Rank (with ArcSinh normalization of select criteria)]],"")</f>
        <v/>
      </c>
      <c r="CA10" s="200" t="str">
        <f>IF(FMS_Ranking4[[#This Row],[FMS Type]]="Education and Outreach",FMS_Ranking4[[#This Row],[Rank (with ArcSinh normalization of select criteria)]],"")</f>
        <v/>
      </c>
      <c r="CB10" s="200">
        <f>IF(FMS_Ranking4[[#This Row],[FMS Type]]="Property Acquisition and Structural Elevation",FMS_Ranking4[[#This Row],[Rank (with ArcSinh normalization of select criteria)]],"")</f>
        <v>3</v>
      </c>
      <c r="CC10" s="200" t="str">
        <f>IF(FMS_Ranking4[[#This Row],[FMS Type]]="Infrastructure Projects",FMS_Ranking4[[#This Row],[Rank (with ArcSinh normalization of select criteria)]],"")</f>
        <v/>
      </c>
      <c r="CD10" s="200" t="str">
        <f>IF(FMS_Ranking4[[#This Row],[FMS Type]]="Other",FMS_Ranking4[[#This Row],[Rank (with ArcSinh normalization of select criteria)]],"")</f>
        <v/>
      </c>
      <c r="CE10" s="201"/>
      <c r="CF10" s="202">
        <f>AVERAGE(FMS_Ranking4[ArcSinh Rank Residual])</f>
        <v>0</v>
      </c>
      <c r="CG10" s="202" t="e">
        <f>AVERAGE(FMS_Ranking4[Log Rank Residual])</f>
        <v>#REF!</v>
      </c>
    </row>
    <row r="11" spans="2:85" ht="45" x14ac:dyDescent="0.25">
      <c r="B11" s="341" t="s">
        <v>964</v>
      </c>
      <c r="C11" s="246">
        <f>_xlfn.XLOOKUP(FMS_Ranking4[[#This Row],[FMS ID]],FMS_Input[FMS_ID],FMS_Input[RFPG_NUM])</f>
        <v>9</v>
      </c>
      <c r="D11" s="309" t="str">
        <f>_xlfn.XLOOKUP(FMS_Ranking4[[#This Row],[FMS ID]],FMS_Input[FMS_ID],FMS_Input[FMS_NAME])</f>
        <v>Tom Green County DCM</v>
      </c>
      <c r="E11" s="308" t="str">
        <f>_xlfn.XLOOKUP(FMS_Ranking4[[#This Row],[FMS ID]],FMS_Input[FMS_ID],FMS_Input[SPONSOR])</f>
        <v>09000131</v>
      </c>
      <c r="F11" s="309" t="str">
        <f>_xlfn.XLOOKUP(FMS_Ranking4[[#This Row],[FMS ID]],Sponsor[FMS_ID],Sponsor[SPONSOR NAME])</f>
        <v>Tom Green</v>
      </c>
      <c r="G11" s="309" t="str">
        <f>_xlfn.XLOOKUP(FMS_Ranking4[[#This Row],[FMS ID]],FMS_Input[FMS_ID],FMS_Input[FMS_DESCR])</f>
        <v>Outreach Program: Discuss Stormwater Criteria Design Manual</v>
      </c>
      <c r="H11" s="248" t="str">
        <f>_xlfn.XLOOKUP(FMS_Ranking4[[#This Row],[FMS ID]],FMS_Input[FMS_ID],FMS_Input[FMS_TYPE])</f>
        <v>Other</v>
      </c>
      <c r="I11" s="249">
        <f>_xlfn.XLOOKUP(FMS_Ranking4[[#This Row],[FMS ID]],FMS_Input[FMS_ID],FMS_Input[NRNC_COST])</f>
        <v>75000</v>
      </c>
      <c r="J11" s="250">
        <f>_xlfn.XLOOKUP(FMS_Ranking4[[#This Row],[FMS ID]],FMS_Input[FMS_ID],FMS_Input[FMS_COST])</f>
        <v>100000</v>
      </c>
      <c r="K11" s="251" t="str">
        <f>_xlfn.XLOOKUP(FMS_Ranking4[[#This Row],[FMS ID]],FMS_Input[FMS_ID],FMS_Input[EMER_NEED])</f>
        <v>No</v>
      </c>
      <c r="L11" s="252">
        <f t="shared" si="0"/>
        <v>0</v>
      </c>
      <c r="M11" s="253">
        <f>_xlfn.XLOOKUP(FMS_Ranking4[[#This Row],[FMS ID]],FMS_Input[FMS_ID],FMS_Input[STRUCT_100])</f>
        <v>5166</v>
      </c>
      <c r="N11" s="255">
        <f>(ASINH(FMS_Ranking4[[#This Row],[Structure at Risk Raw]]))*(10)/(ASINH(M$4))</f>
        <v>7.2663751378425365</v>
      </c>
      <c r="O11" s="256">
        <f>FMS_Ranking4[[#This Row],[Structures at risk, ArcSinh (0-10)]]*M$5*10</f>
        <v>7.2663751378425365</v>
      </c>
      <c r="P11" s="253">
        <f>_xlfn.XLOOKUP(FMS_Ranking4[[#This Row],[FMS ID]],FMS_Input[FMS_ID],FMS_Input[RES_STRUCT100])</f>
        <v>3373</v>
      </c>
      <c r="Q11" s="257">
        <f>ASINH(FMS_Ranking4[[#This Row],[Res Structure Raw]])/Q$4*P$5*100</f>
        <v>0</v>
      </c>
      <c r="R11" s="253">
        <f>_xlfn.XLOOKUP(FMS_Ranking4[[#This Row],[FMS ID]],FMS_Input[FMS_ID],FMS_Input[POP100])</f>
        <v>9948</v>
      </c>
      <c r="S11" s="259">
        <f>(ASINH(FMS_Ranking4[[#This Row],[Pop at Risk Raw]]))*(10)/(ASINH(R$4))</f>
        <v>6.8333547909572578</v>
      </c>
      <c r="T11" s="256">
        <f>FMS_Ranking4[[#This Row],[Population at risk, ArcSinh (0-10)]]*R$5*10</f>
        <v>6.8333547909572578</v>
      </c>
      <c r="U11" s="253">
        <f>_xlfn.XLOOKUP(FMS_Ranking4[[#This Row],[FMS ID]],FMS_Input[FMS_ID],FMS_Input[CRITFAC100])</f>
        <v>7</v>
      </c>
      <c r="V11" s="259">
        <f>(ASINH(FMS_Ranking4[[#This Row],[Critical Facilities Raw]]))*(10)/(ASINH(U$4))</f>
        <v>3.1300153354232236</v>
      </c>
      <c r="W11" s="256">
        <f>FMS_Ranking4[[#This Row],[Critical facilities at risk, ArcSinh (0-10)]]*U$5*10</f>
        <v>3.1300153354232241</v>
      </c>
      <c r="X11" s="253">
        <f>_xlfn.XLOOKUP(FMS_Ranking4[[#This Row],[FMS ID]],FMS_Input[FMS_ID],FMS_Input[LWC])</f>
        <v>47</v>
      </c>
      <c r="Y11" s="259">
        <f>(ASINH(FMS_Ranking4[[#This Row],[LWC Raw]]))*(10)/(ASINH(X$4))</f>
        <v>6.155126372295598</v>
      </c>
      <c r="Z11" s="256">
        <f>FMS_Ranking4[[#This Row],[LWC, ArcSInh (0-10)]]*X$5*10</f>
        <v>6.155126372295598</v>
      </c>
      <c r="AA11" s="253">
        <f>_xlfn.XLOOKUP(FMS_Ranking4[[#This Row],[FMS ID]],FMS_Input[FMS_ID],FMS_Input[ROADCLS])</f>
        <v>0</v>
      </c>
      <c r="AB11" s="255">
        <f>(ASINH(FMS_Ranking4[[#This Row],[Road Closures Raw]]))*(10)/(ASINH(AA$4))</f>
        <v>0</v>
      </c>
      <c r="AC11" s="256">
        <f>FMS_Ranking4[[#This Row],[Road closures, ArcSinh (0-10)]]*AA$5*10</f>
        <v>0</v>
      </c>
      <c r="AD11" s="253">
        <f>_xlfn.XLOOKUP(FMS_Ranking4[[#This Row],[FMS ID]],FMS_Input[FMS_ID],FMS_Input[ROAD_MILES100])</f>
        <v>253</v>
      </c>
      <c r="AE11" s="259">
        <f>(ASINH(FMS_Ranking4[[#This Row],[Road Miles Raw]]))*(10)/(ASINH(AD$4))</f>
        <v>6.6357791806512925</v>
      </c>
      <c r="AF11" s="256">
        <f>FMS_Ranking4[[#This Row],[Length of roads at risk, ArcSinh (0-10)]]*AD$5*10</f>
        <v>6.6357791806512934</v>
      </c>
      <c r="AG11" s="253">
        <f>_xlfn.XLOOKUP(FMS_Ranking4[[#This Row],[FMS ID]],FMS_Input[FMS_ID],FMS_Input[FARMACRE100])</f>
        <v>48498.69140625</v>
      </c>
      <c r="AH11" s="255">
        <f>(ASINH(FMS_Ranking4[[#This Row],[Ag Land Raw]]))*(10)/(ASINH(AG$4))</f>
        <v>7.4587797761731762</v>
      </c>
      <c r="AI11" s="260">
        <f>FMS_Ranking4[[#This Row],[Farm &amp; ranch land, ArcSinh (0-10)]]*AG$5*10</f>
        <v>3.7293898880865886</v>
      </c>
      <c r="AJ11" s="258">
        <f>_xlfn.XLOOKUP(FMS_Ranking4[[#This Row],[FMS ID]],FMS_Input[FMS_ID],FMS_Input[REDSTRUCT100])</f>
        <v>1292</v>
      </c>
      <c r="AK11" s="253">
        <f>_xlfn.XLOOKUP(FMS_Ranking4[[#This Row],[FMS ID]],FMS_Input[FMS_ID],FMS_Input[REMSTRC100])</f>
        <v>1292</v>
      </c>
      <c r="AL11" s="259">
        <f>(ASINH(FMS_Ranking4[[#This Row],[Structures Removed Raw]]))*(10)/(ASINH(AK$4))</f>
        <v>8.945862380020623</v>
      </c>
      <c r="AM11" s="262">
        <f>FMS_Ranking4[[#This Row],[Structures removed, ArcSinh (0-10)]]*AK$5*10</f>
        <v>8.9458623800206247</v>
      </c>
      <c r="AN11" s="253">
        <f>_xlfn.XLOOKUP(FMS_Ranking4[[#This Row],[FMS ID]],FMS_Input[FMS_ID],FMS_Input[REMRESSTRC100])</f>
        <v>843</v>
      </c>
      <c r="AO11" s="261">
        <f>FMS_Ranking4[[#This Row],[ArcSinh Res struct removed 0-10]]*AN$5*10</f>
        <v>4.3579587996640061</v>
      </c>
      <c r="AP11" s="254">
        <f>ASINH(FMS_Ranking4[[#This Row],[Residential Structures Removed Raw]])/AP$4*AN$5*100</f>
        <v>4.3579587996640061</v>
      </c>
      <c r="AQ11" s="254">
        <f>(ASINH(FMS_Ranking4[[#This Row],[Residential Structures Removed Raw]]))*(10)/(ASINH(AN$4))</f>
        <v>8.7159175993280105</v>
      </c>
      <c r="AR11" s="253">
        <f>_xlfn.XLOOKUP(FMS_Ranking4[[#This Row],[FMS ID]],FMS_Input[FMS_ID],FMS_Input[REMPOP100])</f>
        <v>4008</v>
      </c>
      <c r="AS11" s="259">
        <f>(ASINH(FMS_Ranking4[[#This Row],[Removed Pop Raw]]))*(10)/(ASINH(AR$4))</f>
        <v>8.8239774181623165</v>
      </c>
      <c r="AT11" s="262">
        <f>FMS_Ranking4[[#This Row],[Removed population, ArcSinh (0-10)]]*AR$5*10</f>
        <v>8.8239774181623165</v>
      </c>
      <c r="AU11" s="264">
        <f>_xlfn.XLOOKUP(FMS_Ranking4[[#This Row],[FMS ID]],FMS_Input[FMS_ID],FMS_Input[REMCRITFAC100])</f>
        <v>1</v>
      </c>
      <c r="AV11" s="264">
        <f>_xlfn.XLOOKUP(FMS_Ranking4[[#This Row],[FMS ID]],FMS_Input[FMS_ID],FMS_Input[REMLWC100])</f>
        <v>11</v>
      </c>
      <c r="AW11" s="264">
        <f>_xlfn.XLOOKUP(FMS_Ranking4[[#This Row],[FMS ID]],FMS_Input[FMS_ID],FMS_Input[REMROADCLS])</f>
        <v>0</v>
      </c>
      <c r="AX11" s="264">
        <f>_xlfn.XLOOKUP(FMS_Ranking4[[#This Row],[FMS ID]],FMS_Input[FMS_ID],FMS_Input[REMFRMACRE100])</f>
        <v>12124.6728515625</v>
      </c>
      <c r="AY11" s="258">
        <f>_xlfn.XLOOKUP(FMS_Ranking4[[#This Row],[FMS ID]],FMS_Input[FMS_ID],FMS_Input[COSTSTRUCT])</f>
        <v>25000</v>
      </c>
      <c r="AZ11" s="253">
        <f>_xlfn.XLOOKUP(FMS_Ranking4[[#This Row],[FMS ID]],FMS_Input[FMS_ID],FMS_Input[NATURE])</f>
        <v>0</v>
      </c>
      <c r="BA11" s="262">
        <f>(((FMS_Ranking4[[#This Row],[% NBS Raw]]/AZ$4)*100)*AZ$5)</f>
        <v>0</v>
      </c>
      <c r="BB11" s="251" t="str">
        <f>_xlfn.XLOOKUP(FMS_Ranking4[[#This Row],[FMS ID]],FMS_Input[FMS_ID],FMS_Input[WATER_SUP])</f>
        <v>No</v>
      </c>
      <c r="BC11" s="265">
        <f>IF(FMS_Ranking4[[#This Row],[Water Supply Raw]]="Yes",10,0)</f>
        <v>0</v>
      </c>
      <c r="BD11" s="266">
        <f>_xlfn.XLOOKUP(FMS_Ranking4[[#This Row],[FMS Type]],FMS_TYPE[FMS_Type],FMS_TYPE[Score])</f>
        <v>2</v>
      </c>
      <c r="BE11" s="267">
        <f>FMS_Ranking4[[#This Row],[FMS_Type Score]]*$BD$5*10</f>
        <v>0.5</v>
      </c>
      <c r="BF1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1.5517197009132087</v>
      </c>
      <c r="BG11" s="271">
        <f>_xlfn.RANK.EQ(BF11,$BF$8:$BF$870,0)+COUNTIF($BF$8:BF11,BF11)-1</f>
        <v>108</v>
      </c>
      <c r="BH11" s="268">
        <f>(((FMS_Ranking4[[#This Row],[Structures Removed Raw]]/AK$4)*100)*AK$5)+(((FMS_Ranking4[[#This Row],[Removed Pop Raw]]/AR$4)*100)*AR$5)</f>
        <v>6.9798198961281814</v>
      </c>
      <c r="BI1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9.031539597041391</v>
      </c>
      <c r="BJ11" s="205">
        <f>_xlfn.RANK.EQ(FMS_Ranking4[[#This Row],[Total Score 
(with linear
normalization)]],FMS_Ranking4[Total Score 
(with linear
normalization)],0)</f>
        <v>62</v>
      </c>
      <c r="BK11" s="205" t="e">
        <f>_xlfn.XLOOKUP(FMS_Ranking4[[#This Row],[FMS ID]],#REF!,#REF!)</f>
        <v>#REF!</v>
      </c>
      <c r="BL1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55.877839303103443</v>
      </c>
      <c r="BM11" s="272">
        <f>FMS_Ranking4[[#This Row],[ArcSinh Score Based on Normalized Reported Factors]]+FMS_Ranking4[[#This Row],[% NBS Score (Normalized)]]+(FMS_Ranking4[[#This Row],[Water Supply Score (Normalized)]]*10*$BB$5)+FMS_Ranking4[[#This Row],[FMS_Type Score Weighted]]</f>
        <v>56.377839303103443</v>
      </c>
      <c r="BN11" s="205">
        <f>_xlfn.RANK.EQ(FMS_Ranking4[[#This Row],[Total Score (with ArcSinh normalization of select criteria)]],FMS_Ranking4[Total Score (with ArcSinh normalization of select criteria)],0)</f>
        <v>4</v>
      </c>
      <c r="BO11" s="270" t="str">
        <f>_xlfn.XLOOKUP(FMS_Ranking4[[#This Row],[FMS ID]],FMS_Input[FMS_ID],FMS_Input[FMS_RANK_YEAR])</f>
        <v>2023 Amended Plan</v>
      </c>
      <c r="BP11" s="204">
        <f>_xlfn.XLOOKUP(FMS_Ranking4[[#This Row],[FMS ID]],Prev_Rank[FMS ID],Prev_Rank[Prev Rank])</f>
        <v>7</v>
      </c>
      <c r="BQ11" s="205" t="e">
        <f>_xlfn.XLOOKUP(FMS_Ranking4[[#This Row],[FMS ID]],#REF!,#REF!)</f>
        <v>#REF!</v>
      </c>
      <c r="BR11" s="199" t="e">
        <f>SUM(#REF!,#REF!,#REF!,#REF!,#REF!,#REF!,#REF!,#REF!,#REF!,FMS_Ranking4[[#This Row],[ArcSinh Res struct removed 0-10]],#REF!)</f>
        <v>#REF!</v>
      </c>
      <c r="BS11" s="199" t="e">
        <f>FMS_Ranking4[[#This Row],[Log Score Based on Normalized Reported Factors]]+FMS_Ranking4[[#This Row],[% NBS Score (Normalized)]]+(FMS_Ranking4[[#This Row],[Water Supply Score (Normalized)]]*10*$BB$5)+(FMS_Ranking4[[#This Row],[FMS_Type Score Weighted]])</f>
        <v>#REF!</v>
      </c>
      <c r="BT11" s="200" t="e">
        <f>_xlfn.RANK.EQ(FMS_Ranking4[[#This Row],[Log Total Score]],FMS_Ranking4[Log Total Score],0)</f>
        <v>#REF!</v>
      </c>
      <c r="BU11" s="200" t="e">
        <f>_xlfn.XLOOKUP(FMS_Ranking4[[#This Row],[FMS ID]],#REF!,#REF!)</f>
        <v>#REF!</v>
      </c>
      <c r="BV11" s="200">
        <f>FMS_Ranking4[[#This Row],[Region Number]]</f>
        <v>9</v>
      </c>
      <c r="BW11" s="200">
        <f>FMS_Ranking4[[#This Row],[Rank (with ArcSinh normalization of select criteria)]]-FMS_Ranking4[[#This Row],[Rank
(with linear
normalization)]]</f>
        <v>-58</v>
      </c>
      <c r="BX11" s="200" t="e">
        <f>FMS_Ranking4[[#This Row],[Log Rank]]-FMS_Ranking4[[#This Row],[Rank
(with linear
normalization)]]</f>
        <v>#REF!</v>
      </c>
      <c r="BY11" s="200" t="str">
        <f>IF(FMS_Ranking4[[#This Row],[FMS Type]]="Flood Measurement and Warning",FMS_Ranking4[[#This Row],[Rank (with ArcSinh normalization of select criteria)]],"")</f>
        <v/>
      </c>
      <c r="BZ11" s="200" t="str">
        <f>IF(FMS_Ranking4[[#This Row],[FMS Type]]="Regulatory and Guidance",FMS_Ranking4[[#This Row],[Rank (with ArcSinh normalization of select criteria)]],"")</f>
        <v/>
      </c>
      <c r="CA11" s="200" t="str">
        <f>IF(FMS_Ranking4[[#This Row],[FMS Type]]="Education and Outreach",FMS_Ranking4[[#This Row],[Rank (with ArcSinh normalization of select criteria)]],"")</f>
        <v/>
      </c>
      <c r="CB11" s="200" t="str">
        <f>IF(FMS_Ranking4[[#This Row],[FMS Type]]="Property Acquisition and Structural Elevation",FMS_Ranking4[[#This Row],[Rank (with ArcSinh normalization of select criteria)]],"")</f>
        <v/>
      </c>
      <c r="CC11" s="200" t="str">
        <f>IF(FMS_Ranking4[[#This Row],[FMS Type]]="Infrastructure Projects",FMS_Ranking4[[#This Row],[Rank (with ArcSinh normalization of select criteria)]],"")</f>
        <v/>
      </c>
      <c r="CD11" s="200">
        <f>IF(FMS_Ranking4[[#This Row],[FMS Type]]="Other",FMS_Ranking4[[#This Row],[Rank (with ArcSinh normalization of select criteria)]],"")</f>
        <v>4</v>
      </c>
      <c r="CE11" s="201"/>
      <c r="CF11" s="392" t="s">
        <v>4676</v>
      </c>
      <c r="CG11" s="392"/>
    </row>
    <row r="12" spans="2:85" ht="75" x14ac:dyDescent="0.25">
      <c r="B12" s="341" t="s">
        <v>638</v>
      </c>
      <c r="C12" s="246">
        <f>_xlfn.XLOOKUP(FMS_Ranking4[[#This Row],[FMS ID]],FMS_Input[FMS_ID],FMS_Input[RFPG_NUM])</f>
        <v>9</v>
      </c>
      <c r="D12" s="309" t="str">
        <f>_xlfn.XLOOKUP(FMS_Ranking4[[#This Row],[FMS ID]],FMS_Input[FMS_ID],FMS_Input[FMS_NAME])</f>
        <v>Tom Green County Flood Insurance Awareness</v>
      </c>
      <c r="E12" s="308" t="str">
        <f>_xlfn.XLOOKUP(FMS_Ranking4[[#This Row],[FMS ID]],FMS_Input[FMS_ID],FMS_Input[SPONSOR])</f>
        <v>00000050</v>
      </c>
      <c r="F12" s="309" t="str">
        <f>_xlfn.XLOOKUP(FMS_Ranking4[[#This Row],[FMS ID]],Sponsor[FMS_ID],Sponsor[SPONSOR NAME])</f>
        <v>Menard</v>
      </c>
      <c r="G12" s="309" t="str">
        <f>_xlfn.XLOOKUP(FMS_Ranking4[[#This Row],[FMS ID]],FMS_Input[FMS_ID],FMS_Input[FMS_DESCR])</f>
        <v>Develop flood insurance and awareness program; disseminate materials with new permits and place in the library at City Hall</v>
      </c>
      <c r="H12" s="248" t="str">
        <f>_xlfn.XLOOKUP(FMS_Ranking4[[#This Row],[FMS ID]],FMS_Input[FMS_ID],FMS_Input[FMS_TYPE])</f>
        <v>Other</v>
      </c>
      <c r="I12" s="249">
        <f>_xlfn.XLOOKUP(FMS_Ranking4[[#This Row],[FMS ID]],FMS_Input[FMS_ID],FMS_Input[NRNC_COST])</f>
        <v>5000</v>
      </c>
      <c r="J12" s="250">
        <f>_xlfn.XLOOKUP(FMS_Ranking4[[#This Row],[FMS ID]],FMS_Input[FMS_ID],FMS_Input[FMS_COST])</f>
        <v>30000</v>
      </c>
      <c r="K12" s="251" t="str">
        <f>_xlfn.XLOOKUP(FMS_Ranking4[[#This Row],[FMS ID]],FMS_Input[FMS_ID],FMS_Input[EMER_NEED])</f>
        <v>No</v>
      </c>
      <c r="L12" s="252">
        <f t="shared" si="0"/>
        <v>0</v>
      </c>
      <c r="M12" s="253">
        <f>_xlfn.XLOOKUP(FMS_Ranking4[[#This Row],[FMS ID]],FMS_Input[FMS_ID],FMS_Input[STRUCT_100])</f>
        <v>5164</v>
      </c>
      <c r="N12" s="255">
        <f>(ASINH(FMS_Ranking4[[#This Row],[Structure at Risk Raw]]))*(10)/(ASINH(M$4))</f>
        <v>7.2660707239456768</v>
      </c>
      <c r="O12" s="256">
        <f>FMS_Ranking4[[#This Row],[Structures at risk, ArcSinh (0-10)]]*M$5*10</f>
        <v>7.2660707239456768</v>
      </c>
      <c r="P12" s="253">
        <f>_xlfn.XLOOKUP(FMS_Ranking4[[#This Row],[FMS ID]],FMS_Input[FMS_ID],FMS_Input[RES_STRUCT100])</f>
        <v>3371</v>
      </c>
      <c r="Q12" s="257">
        <f>ASINH(FMS_Ranking4[[#This Row],[Res Structure Raw]])/Q$4*P$5*100</f>
        <v>0</v>
      </c>
      <c r="R12" s="253">
        <f>_xlfn.XLOOKUP(FMS_Ranking4[[#This Row],[FMS ID]],FMS_Input[FMS_ID],FMS_Input[POP100])</f>
        <v>9948</v>
      </c>
      <c r="S12" s="259">
        <f>(ASINH(FMS_Ranking4[[#This Row],[Pop at Risk Raw]]))*(10)/(ASINH(R$4))</f>
        <v>6.8333547909572578</v>
      </c>
      <c r="T12" s="256">
        <f>FMS_Ranking4[[#This Row],[Population at risk, ArcSinh (0-10)]]*R$5*10</f>
        <v>6.8333547909572578</v>
      </c>
      <c r="U12" s="253">
        <f>_xlfn.XLOOKUP(FMS_Ranking4[[#This Row],[FMS ID]],FMS_Input[FMS_ID],FMS_Input[CRITFAC100])</f>
        <v>7</v>
      </c>
      <c r="V12" s="259">
        <f>(ASINH(FMS_Ranking4[[#This Row],[Critical Facilities Raw]]))*(10)/(ASINH(U$4))</f>
        <v>3.1300153354232236</v>
      </c>
      <c r="W12" s="256">
        <f>FMS_Ranking4[[#This Row],[Critical facilities at risk, ArcSinh (0-10)]]*U$5*10</f>
        <v>3.1300153354232241</v>
      </c>
      <c r="X12" s="253">
        <f>_xlfn.XLOOKUP(FMS_Ranking4[[#This Row],[FMS ID]],FMS_Input[FMS_ID],FMS_Input[LWC])</f>
        <v>46</v>
      </c>
      <c r="Y12" s="259">
        <f>(ASINH(FMS_Ranking4[[#This Row],[LWC Raw]]))*(10)/(ASINH(X$4))</f>
        <v>6.1259978398400747</v>
      </c>
      <c r="Z12" s="256">
        <f>FMS_Ranking4[[#This Row],[LWC, ArcSInh (0-10)]]*X$5*10</f>
        <v>6.1259978398400747</v>
      </c>
      <c r="AA12" s="253">
        <f>_xlfn.XLOOKUP(FMS_Ranking4[[#This Row],[FMS ID]],FMS_Input[FMS_ID],FMS_Input[ROADCLS])</f>
        <v>0</v>
      </c>
      <c r="AB12" s="255">
        <f>(ASINH(FMS_Ranking4[[#This Row],[Road Closures Raw]]))*(10)/(ASINH(AA$4))</f>
        <v>0</v>
      </c>
      <c r="AC12" s="256">
        <f>FMS_Ranking4[[#This Row],[Road closures, ArcSinh (0-10)]]*AA$5*10</f>
        <v>0</v>
      </c>
      <c r="AD12" s="253">
        <f>_xlfn.XLOOKUP(FMS_Ranking4[[#This Row],[FMS ID]],FMS_Input[FMS_ID],FMS_Input[ROAD_MILES100])</f>
        <v>253</v>
      </c>
      <c r="AE12" s="259">
        <f>(ASINH(FMS_Ranking4[[#This Row],[Road Miles Raw]]))*(10)/(ASINH(AD$4))</f>
        <v>6.6357791806512925</v>
      </c>
      <c r="AF12" s="256">
        <f>FMS_Ranking4[[#This Row],[Length of roads at risk, ArcSinh (0-10)]]*AD$5*10</f>
        <v>6.6357791806512934</v>
      </c>
      <c r="AG12" s="253">
        <f>_xlfn.XLOOKUP(FMS_Ranking4[[#This Row],[FMS ID]],FMS_Input[FMS_ID],FMS_Input[FARMACRE100])</f>
        <v>48446.87890625</v>
      </c>
      <c r="AH12" s="255">
        <f>(ASINH(FMS_Ranking4[[#This Row],[Ag Land Raw]]))*(10)/(ASINH(AG$4))</f>
        <v>7.4580854392794373</v>
      </c>
      <c r="AI12" s="260">
        <f>FMS_Ranking4[[#This Row],[Farm &amp; ranch land, ArcSinh (0-10)]]*AG$5*10</f>
        <v>3.7290427196397191</v>
      </c>
      <c r="AJ12" s="258">
        <f>_xlfn.XLOOKUP(FMS_Ranking4[[#This Row],[FMS ID]],FMS_Input[FMS_ID],FMS_Input[REDSTRUCT100])</f>
        <v>1291</v>
      </c>
      <c r="AK12" s="253">
        <f>_xlfn.XLOOKUP(FMS_Ranking4[[#This Row],[FMS ID]],FMS_Input[FMS_ID],FMS_Input[REMSTRC100])</f>
        <v>1291</v>
      </c>
      <c r="AL12" s="259">
        <f>(ASINH(FMS_Ranking4[[#This Row],[Structures Removed Raw]]))*(10)/(ASINH(AK$4))</f>
        <v>8.9449807918702469</v>
      </c>
      <c r="AM12" s="262">
        <f>FMS_Ranking4[[#This Row],[Structures removed, ArcSinh (0-10)]]*AK$5*10</f>
        <v>8.9449807918702469</v>
      </c>
      <c r="AN12" s="253">
        <f>_xlfn.XLOOKUP(FMS_Ranking4[[#This Row],[FMS ID]],FMS_Input[FMS_ID],FMS_Input[REMRESSTRC100])</f>
        <v>842</v>
      </c>
      <c r="AO12" s="261">
        <f>FMS_Ranking4[[#This Row],[ArcSinh Res struct removed 0-10]]*AN$5*10</f>
        <v>4.3572626262248804</v>
      </c>
      <c r="AP12" s="254">
        <f>ASINH(FMS_Ranking4[[#This Row],[Residential Structures Removed Raw]])/AP$4*AN$5*100</f>
        <v>4.3572626262248813</v>
      </c>
      <c r="AQ12" s="254">
        <f>(ASINH(FMS_Ranking4[[#This Row],[Residential Structures Removed Raw]]))*(10)/(ASINH(AN$4))</f>
        <v>8.7145252524497607</v>
      </c>
      <c r="AR12" s="253">
        <f>_xlfn.XLOOKUP(FMS_Ranking4[[#This Row],[FMS ID]],FMS_Input[FMS_ID],FMS_Input[REMPOP100])</f>
        <v>4008</v>
      </c>
      <c r="AS12" s="259">
        <f>(ASINH(FMS_Ranking4[[#This Row],[Removed Pop Raw]]))*(10)/(ASINH(AR$4))</f>
        <v>8.8239774181623165</v>
      </c>
      <c r="AT12" s="262">
        <f>FMS_Ranking4[[#This Row],[Removed population, ArcSinh (0-10)]]*AR$5*10</f>
        <v>8.8239774181623165</v>
      </c>
      <c r="AU12" s="264">
        <f>_xlfn.XLOOKUP(FMS_Ranking4[[#This Row],[FMS ID]],FMS_Input[FMS_ID],FMS_Input[REMCRITFAC100])</f>
        <v>1</v>
      </c>
      <c r="AV12" s="264">
        <f>_xlfn.XLOOKUP(FMS_Ranking4[[#This Row],[FMS ID]],FMS_Input[FMS_ID],FMS_Input[REMLWC100])</f>
        <v>11</v>
      </c>
      <c r="AW12" s="264">
        <f>_xlfn.XLOOKUP(FMS_Ranking4[[#This Row],[FMS ID]],FMS_Input[FMS_ID],FMS_Input[REMROADCLS])</f>
        <v>0</v>
      </c>
      <c r="AX12" s="264">
        <f>_xlfn.XLOOKUP(FMS_Ranking4[[#This Row],[FMS ID]],FMS_Input[FMS_ID],FMS_Input[REMFRMACRE100])</f>
        <v>12111.7197265625</v>
      </c>
      <c r="AY12" s="258">
        <f>_xlfn.XLOOKUP(FMS_Ranking4[[#This Row],[FMS ID]],FMS_Input[FMS_ID],FMS_Input[COSTSTRUCT])</f>
        <v>25000</v>
      </c>
      <c r="AZ12" s="253">
        <f>_xlfn.XLOOKUP(FMS_Ranking4[[#This Row],[FMS ID]],FMS_Input[FMS_ID],FMS_Input[NATURE])</f>
        <v>0</v>
      </c>
      <c r="BA12" s="262">
        <f>(((FMS_Ranking4[[#This Row],[% NBS Raw]]/AZ$4)*100)*AZ$5)</f>
        <v>0</v>
      </c>
      <c r="BB12" s="251" t="str">
        <f>_xlfn.XLOOKUP(FMS_Ranking4[[#This Row],[FMS ID]],FMS_Input[FMS_ID],FMS_Input[WATER_SUP])</f>
        <v>No</v>
      </c>
      <c r="BC12" s="265">
        <f>IF(FMS_Ranking4[[#This Row],[Water Supply Raw]]="Yes",10,0)</f>
        <v>0</v>
      </c>
      <c r="BD12" s="266">
        <f>_xlfn.XLOOKUP(FMS_Ranking4[[#This Row],[FMS Type]],FMS_TYPE[FMS_Type],FMS_TYPE[Score])</f>
        <v>2</v>
      </c>
      <c r="BE12" s="267">
        <f>FMS_Ranking4[[#This Row],[FMS_Type Score]]*$BD$5*10</f>
        <v>0.5</v>
      </c>
      <c r="BF1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1.53903997495321</v>
      </c>
      <c r="BG12" s="271">
        <f>_xlfn.RANK.EQ(BF12,$BF$8:$BF$870,0)+COUNTIF($BF$8:BF12,BF12)-1</f>
        <v>109</v>
      </c>
      <c r="BH12" s="268">
        <f>(((FMS_Ranking4[[#This Row],[Structures Removed Raw]]/AK$4)*100)*AK$5)+(((FMS_Ranking4[[#This Row],[Removed Pop Raw]]/AR$4)*100)*AR$5)</f>
        <v>6.976753352123275</v>
      </c>
      <c r="BI1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9.0157933270764854</v>
      </c>
      <c r="BJ12" s="205">
        <f>_xlfn.RANK.EQ(FMS_Ranking4[[#This Row],[Total Score 
(with linear
normalization)]],FMS_Ranking4[Total Score 
(with linear
normalization)],0)</f>
        <v>63</v>
      </c>
      <c r="BK12" s="205" t="e">
        <f>_xlfn.XLOOKUP(FMS_Ranking4[[#This Row],[FMS ID]],#REF!,#REF!)</f>
        <v>#REF!</v>
      </c>
      <c r="BL1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55.846481426714689</v>
      </c>
      <c r="BM12" s="272">
        <f>FMS_Ranking4[[#This Row],[ArcSinh Score Based on Normalized Reported Factors]]+FMS_Ranking4[[#This Row],[% NBS Score (Normalized)]]+(FMS_Ranking4[[#This Row],[Water Supply Score (Normalized)]]*10*$BB$5)+FMS_Ranking4[[#This Row],[FMS_Type Score Weighted]]</f>
        <v>56.346481426714689</v>
      </c>
      <c r="BN12" s="205">
        <f>_xlfn.RANK.EQ(FMS_Ranking4[[#This Row],[Total Score (with ArcSinh normalization of select criteria)]],FMS_Ranking4[Total Score (with ArcSinh normalization of select criteria)],0)</f>
        <v>5</v>
      </c>
      <c r="BO12" s="270" t="str">
        <f>_xlfn.XLOOKUP(FMS_Ranking4[[#This Row],[FMS ID]],FMS_Input[FMS_ID],FMS_Input[FMS_RANK_YEAR])</f>
        <v>2023 Amended Plan</v>
      </c>
      <c r="BP12" s="204">
        <f>_xlfn.XLOOKUP(FMS_Ranking4[[#This Row],[FMS ID]],Prev_Rank[FMS ID],Prev_Rank[Prev Rank])</f>
        <v>8</v>
      </c>
      <c r="BQ12" s="205" t="e">
        <f>_xlfn.XLOOKUP(FMS_Ranking4[[#This Row],[FMS ID]],#REF!,#REF!)</f>
        <v>#REF!</v>
      </c>
      <c r="BR12" s="199" t="e">
        <f>SUM(#REF!,#REF!,#REF!,#REF!,#REF!,#REF!,#REF!,#REF!,#REF!,FMS_Ranking4[[#This Row],[ArcSinh Res struct removed 0-10]],#REF!)</f>
        <v>#REF!</v>
      </c>
      <c r="BS12" s="199" t="e">
        <f>FMS_Ranking4[[#This Row],[Log Score Based on Normalized Reported Factors]]+FMS_Ranking4[[#This Row],[% NBS Score (Normalized)]]+(FMS_Ranking4[[#This Row],[Water Supply Score (Normalized)]]*10*$BB$5)+(FMS_Ranking4[[#This Row],[FMS_Type Score Weighted]])</f>
        <v>#REF!</v>
      </c>
      <c r="BT12" s="200" t="e">
        <f>_xlfn.RANK.EQ(FMS_Ranking4[[#This Row],[Log Total Score]],FMS_Ranking4[Log Total Score],0)</f>
        <v>#REF!</v>
      </c>
      <c r="BU12" s="200" t="e">
        <f>_xlfn.XLOOKUP(FMS_Ranking4[[#This Row],[FMS ID]],#REF!,#REF!)</f>
        <v>#REF!</v>
      </c>
      <c r="BV12" s="200">
        <f>FMS_Ranking4[[#This Row],[Region Number]]</f>
        <v>9</v>
      </c>
      <c r="BW12" s="200">
        <f>FMS_Ranking4[[#This Row],[Rank (with ArcSinh normalization of select criteria)]]-FMS_Ranking4[[#This Row],[Rank
(with linear
normalization)]]</f>
        <v>-58</v>
      </c>
      <c r="BX12" s="200" t="e">
        <f>FMS_Ranking4[[#This Row],[Log Rank]]-FMS_Ranking4[[#This Row],[Rank
(with linear
normalization)]]</f>
        <v>#REF!</v>
      </c>
      <c r="BY12" s="200" t="str">
        <f>IF(FMS_Ranking4[[#This Row],[FMS Type]]="Flood Measurement and Warning",FMS_Ranking4[[#This Row],[Rank (with ArcSinh normalization of select criteria)]],"")</f>
        <v/>
      </c>
      <c r="BZ12" s="200" t="str">
        <f>IF(FMS_Ranking4[[#This Row],[FMS Type]]="Regulatory and Guidance",FMS_Ranking4[[#This Row],[Rank (with ArcSinh normalization of select criteria)]],"")</f>
        <v/>
      </c>
      <c r="CA12" s="200" t="str">
        <f>IF(FMS_Ranking4[[#This Row],[FMS Type]]="Education and Outreach",FMS_Ranking4[[#This Row],[Rank (with ArcSinh normalization of select criteria)]],"")</f>
        <v/>
      </c>
      <c r="CB12" s="200" t="str">
        <f>IF(FMS_Ranking4[[#This Row],[FMS Type]]="Property Acquisition and Structural Elevation",FMS_Ranking4[[#This Row],[Rank (with ArcSinh normalization of select criteria)]],"")</f>
        <v/>
      </c>
      <c r="CC12" s="200" t="str">
        <f>IF(FMS_Ranking4[[#This Row],[FMS Type]]="Infrastructure Projects",FMS_Ranking4[[#This Row],[Rank (with ArcSinh normalization of select criteria)]],"")</f>
        <v/>
      </c>
      <c r="CD12" s="200">
        <f>IF(FMS_Ranking4[[#This Row],[FMS Type]]="Other",FMS_Ranking4[[#This Row],[Rank (with ArcSinh normalization of select criteria)]],"")</f>
        <v>5</v>
      </c>
      <c r="CE12" s="201"/>
      <c r="CF12">
        <f>MIN(FMS_Ranking4[ArcSinh Rank Residual])</f>
        <v>-594</v>
      </c>
      <c r="CG12" t="e">
        <f>MIN(FMS_Ranking4[Log Rank Residual])</f>
        <v>#REF!</v>
      </c>
    </row>
    <row r="13" spans="2:85" ht="135" x14ac:dyDescent="0.25">
      <c r="B13" s="341" t="s">
        <v>3766</v>
      </c>
      <c r="C13" s="246">
        <f>_xlfn.XLOOKUP(FMS_Ranking4[[#This Row],[FMS ID]],FMS_Input[FMS_ID],FMS_Input[RFPG_NUM])</f>
        <v>13</v>
      </c>
      <c r="D13" s="309" t="str">
        <f>_xlfn.XLOOKUP(FMS_Ranking4[[#This Row],[FMS ID]],FMS_Input[FMS_ID],FMS_Input[FMS_NAME])</f>
        <v>Nueces Basin Minimum Flood Management Standards</v>
      </c>
      <c r="E13" s="308" t="str">
        <f>_xlfn.XLOOKUP(FMS_Ranking4[[#This Row],[FMS ID]],FMS_Input[FMS_ID],FMS_Input[SPONSOR])</f>
        <v>00000290</v>
      </c>
      <c r="F13" s="309" t="str">
        <f>_xlfn.XLOOKUP(FMS_Ranking4[[#This Row],[FMS ID]],Sponsor[FMS_ID],Sponsor[SPONSOR NAME])</f>
        <v>Nueces River Authority</v>
      </c>
      <c r="G13" s="309" t="str">
        <f>_xlfn.XLOOKUP(FMS_Ranking4[[#This Row],[FMS ID]],FMS_Input[FMS_ID],FMS_Input[FMS_DESCR])</f>
        <v xml:space="preserve">Promote minimum flood management standards ) and identify and promote best practices to maintain drainage structures. Minimum flood management standards to require 1 ft above 100-year BFE or based on local ordinances, whichever is more stringent. </v>
      </c>
      <c r="H13" s="248" t="str">
        <f>_xlfn.XLOOKUP(FMS_Ranking4[[#This Row],[FMS ID]],FMS_Input[FMS_ID],FMS_Input[FMS_TYPE])</f>
        <v>Regulatory and Guidance</v>
      </c>
      <c r="I13" s="249">
        <f>_xlfn.XLOOKUP(FMS_Ranking4[[#This Row],[FMS ID]],FMS_Input[FMS_ID],FMS_Input[NRNC_COST])</f>
        <v>100000</v>
      </c>
      <c r="J13" s="250">
        <f>_xlfn.XLOOKUP(FMS_Ranking4[[#This Row],[FMS ID]],FMS_Input[FMS_ID],FMS_Input[FMS_COST])</f>
        <v>100000</v>
      </c>
      <c r="K13" s="251" t="str">
        <f>_xlfn.XLOOKUP(FMS_Ranking4[[#This Row],[FMS ID]],FMS_Input[FMS_ID],FMS_Input[EMER_NEED])</f>
        <v>No</v>
      </c>
      <c r="L13" s="252">
        <f t="shared" si="0"/>
        <v>0</v>
      </c>
      <c r="M13" s="253">
        <f>_xlfn.XLOOKUP(FMS_Ranking4[[#This Row],[FMS ID]],FMS_Input[FMS_ID],FMS_Input[STRUCT_100])</f>
        <v>60967</v>
      </c>
      <c r="N13" s="255">
        <f>(ASINH(FMS_Ranking4[[#This Row],[Structure at Risk Raw]]))*(10)/(ASINH(M$4))</f>
        <v>9.2067745897159217</v>
      </c>
      <c r="O13" s="256">
        <f>FMS_Ranking4[[#This Row],[Structures at risk, ArcSinh (0-10)]]*M$5*10</f>
        <v>9.2067745897159234</v>
      </c>
      <c r="P13" s="253">
        <f>_xlfn.XLOOKUP(FMS_Ranking4[[#This Row],[FMS ID]],FMS_Input[FMS_ID],FMS_Input[RES_STRUCT100])</f>
        <v>42976</v>
      </c>
      <c r="Q13" s="257">
        <f>ASINH(FMS_Ranking4[[#This Row],[Res Structure Raw]])/Q$4*P$5*100</f>
        <v>0</v>
      </c>
      <c r="R13" s="253">
        <f>_xlfn.XLOOKUP(FMS_Ranking4[[#This Row],[FMS ID]],FMS_Input[FMS_ID],FMS_Input[POP100])</f>
        <v>136543</v>
      </c>
      <c r="S13" s="259">
        <f>(ASINH(FMS_Ranking4[[#This Row],[Pop at Risk Raw]]))*(10)/(ASINH(R$4))</f>
        <v>8.6415880176071926</v>
      </c>
      <c r="T13" s="256">
        <f>FMS_Ranking4[[#This Row],[Population at risk, ArcSinh (0-10)]]*R$5*10</f>
        <v>8.6415880176071944</v>
      </c>
      <c r="U13" s="253">
        <f>_xlfn.XLOOKUP(FMS_Ranking4[[#This Row],[FMS ID]],FMS_Input[FMS_ID],FMS_Input[CRITFAC100])</f>
        <v>445</v>
      </c>
      <c r="V13" s="259">
        <f>(ASINH(FMS_Ranking4[[#This Row],[Critical Facilities Raw]]))*(10)/(ASINH(U$4))</f>
        <v>8.0392059202360002</v>
      </c>
      <c r="W13" s="256">
        <f>FMS_Ranking4[[#This Row],[Critical facilities at risk, ArcSinh (0-10)]]*U$5*10</f>
        <v>8.0392059202360002</v>
      </c>
      <c r="X13" s="253">
        <f>_xlfn.XLOOKUP(FMS_Ranking4[[#This Row],[FMS ID]],FMS_Input[FMS_ID],FMS_Input[LWC])</f>
        <v>526</v>
      </c>
      <c r="Y13" s="259">
        <f>(ASINH(FMS_Ranking4[[#This Row],[LWC Raw]]))*(10)/(ASINH(X$4))</f>
        <v>9.4268741386737673</v>
      </c>
      <c r="Z13" s="256">
        <f>FMS_Ranking4[[#This Row],[LWC, ArcSInh (0-10)]]*X$5*10</f>
        <v>9.4268741386737673</v>
      </c>
      <c r="AA13" s="253">
        <f>_xlfn.XLOOKUP(FMS_Ranking4[[#This Row],[FMS ID]],FMS_Input[FMS_ID],FMS_Input[ROADCLS])</f>
        <v>7400</v>
      </c>
      <c r="AB13" s="255">
        <f>(ASINH(FMS_Ranking4[[#This Row],[Road Closures Raw]]))*(10)/(ASINH(AA$4))</f>
        <v>10</v>
      </c>
      <c r="AC13" s="256">
        <f>FMS_Ranking4[[#This Row],[Road closures, ArcSinh (0-10)]]*AA$5*10</f>
        <v>5</v>
      </c>
      <c r="AD13" s="253">
        <f>_xlfn.XLOOKUP(FMS_Ranking4[[#This Row],[FMS ID]],FMS_Input[FMS_ID],FMS_Input[ROAD_MILES100])</f>
        <v>3215</v>
      </c>
      <c r="AE13" s="259">
        <f>(ASINH(FMS_Ranking4[[#This Row],[Road Miles Raw]]))*(10)/(ASINH(AD$4))</f>
        <v>9.3450535207929786</v>
      </c>
      <c r="AF13" s="256">
        <f>FMS_Ranking4[[#This Row],[Length of roads at risk, ArcSinh (0-10)]]*AD$5*10</f>
        <v>9.3450535207929786</v>
      </c>
      <c r="AG13" s="253">
        <f>_xlfn.XLOOKUP(FMS_Ranking4[[#This Row],[FMS ID]],FMS_Input[FMS_ID],FMS_Input[FARMACRE100])</f>
        <v>251436.96875</v>
      </c>
      <c r="AH13" s="255">
        <f>(ASINH(FMS_Ranking4[[#This Row],[Ag Land Raw]]))*(10)/(ASINH(AG$4))</f>
        <v>8.5277671071597112</v>
      </c>
      <c r="AI13" s="260">
        <f>FMS_Ranking4[[#This Row],[Farm &amp; ranch land, ArcSinh (0-10)]]*AG$5*10</f>
        <v>4.2638835535798556</v>
      </c>
      <c r="AJ13" s="258">
        <f>_xlfn.XLOOKUP(FMS_Ranking4[[#This Row],[FMS ID]],FMS_Input[FMS_ID],FMS_Input[REDSTRUCT100])</f>
        <v>0</v>
      </c>
      <c r="AK13" s="253">
        <f>_xlfn.XLOOKUP(FMS_Ranking4[[#This Row],[FMS ID]],FMS_Input[FMS_ID],FMS_Input[REMSTRC100])</f>
        <v>0</v>
      </c>
      <c r="AL13" s="259">
        <f>(ASINH(FMS_Ranking4[[#This Row],[Structures Removed Raw]]))*(10)/(ASINH(AK$4))</f>
        <v>0</v>
      </c>
      <c r="AM13" s="262">
        <f>FMS_Ranking4[[#This Row],[Structures removed, ArcSinh (0-10)]]*AK$5*10</f>
        <v>0</v>
      </c>
      <c r="AN13" s="253">
        <f>_xlfn.XLOOKUP(FMS_Ranking4[[#This Row],[FMS ID]],FMS_Input[FMS_ID],FMS_Input[REMRESSTRC100])</f>
        <v>0</v>
      </c>
      <c r="AO13" s="261">
        <f>FMS_Ranking4[[#This Row],[ArcSinh Res struct removed 0-10]]*AN$5*10</f>
        <v>0</v>
      </c>
      <c r="AP13" s="254">
        <f>ASINH(FMS_Ranking4[[#This Row],[Residential Structures Removed Raw]])/AP$4*AN$5*100</f>
        <v>0</v>
      </c>
      <c r="AQ13" s="254">
        <f>(ASINH(FMS_Ranking4[[#This Row],[Residential Structures Removed Raw]]))*(10)/(ASINH(AN$4))</f>
        <v>0</v>
      </c>
      <c r="AR13" s="253">
        <f>_xlfn.XLOOKUP(FMS_Ranking4[[#This Row],[FMS ID]],FMS_Input[FMS_ID],FMS_Input[REMPOP100])</f>
        <v>0</v>
      </c>
      <c r="AS13" s="259">
        <f>(ASINH(FMS_Ranking4[[#This Row],[Removed Pop Raw]]))*(10)/(ASINH(AR$4))</f>
        <v>0</v>
      </c>
      <c r="AT13" s="262">
        <f>FMS_Ranking4[[#This Row],[Removed population, ArcSinh (0-10)]]*AR$5*10</f>
        <v>0</v>
      </c>
      <c r="AU13" s="264">
        <f>_xlfn.XLOOKUP(FMS_Ranking4[[#This Row],[FMS ID]],FMS_Input[FMS_ID],FMS_Input[REMCRITFAC100])</f>
        <v>0</v>
      </c>
      <c r="AV13" s="264">
        <f>_xlfn.XLOOKUP(FMS_Ranking4[[#This Row],[FMS ID]],FMS_Input[FMS_ID],FMS_Input[REMLWC100])</f>
        <v>0</v>
      </c>
      <c r="AW13" s="264">
        <f>_xlfn.XLOOKUP(FMS_Ranking4[[#This Row],[FMS ID]],FMS_Input[FMS_ID],FMS_Input[REMROADCLS])</f>
        <v>0</v>
      </c>
      <c r="AX13" s="264">
        <f>_xlfn.XLOOKUP(FMS_Ranking4[[#This Row],[FMS ID]],FMS_Input[FMS_ID],FMS_Input[REMFRMACRE100])</f>
        <v>0</v>
      </c>
      <c r="AY13" s="258">
        <f>_xlfn.XLOOKUP(FMS_Ranking4[[#This Row],[FMS ID]],FMS_Input[FMS_ID],FMS_Input[COSTSTRUCT])</f>
        <v>0</v>
      </c>
      <c r="AZ13" s="253">
        <f>_xlfn.XLOOKUP(FMS_Ranking4[[#This Row],[FMS ID]],FMS_Input[FMS_ID],FMS_Input[NATURE])</f>
        <v>0</v>
      </c>
      <c r="BA13" s="262">
        <f>(((FMS_Ranking4[[#This Row],[% NBS Raw]]/AZ$4)*100)*AZ$5)</f>
        <v>0</v>
      </c>
      <c r="BB13" s="251" t="str">
        <f>_xlfn.XLOOKUP(FMS_Ranking4[[#This Row],[FMS ID]],FMS_Input[FMS_ID],FMS_Input[WATER_SUP])</f>
        <v>No</v>
      </c>
      <c r="BC13" s="265">
        <f>IF(FMS_Ranking4[[#This Row],[Water Supply Raw]]="Yes",10,0)</f>
        <v>0</v>
      </c>
      <c r="BD13" s="266">
        <f>_xlfn.XLOOKUP(FMS_Ranking4[[#This Row],[FMS Type]],FMS_TYPE[FMS_Type],FMS_TYPE[Score])</f>
        <v>8</v>
      </c>
      <c r="BE13" s="267">
        <f>FMS_Ranking4[[#This Row],[FMS_Type Score]]*$BD$5*10</f>
        <v>2</v>
      </c>
      <c r="BF1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24.429511528487463</v>
      </c>
      <c r="BG13" s="271">
        <f>_xlfn.RANK.EQ(BF13,$BF$8:$BF$870,0)+COUNTIF($BF$8:BF13,BF13)-1</f>
        <v>9</v>
      </c>
      <c r="BH13" s="268">
        <f>(((FMS_Ranking4[[#This Row],[Structures Removed Raw]]/AK$4)*100)*AK$5)+(((FMS_Ranking4[[#This Row],[Removed Pop Raw]]/AR$4)*100)*AR$5)</f>
        <v>0</v>
      </c>
      <c r="BI1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26.429511528487463</v>
      </c>
      <c r="BJ13" s="205">
        <f>_xlfn.RANK.EQ(FMS_Ranking4[[#This Row],[Total Score 
(with linear
normalization)]],FMS_Ranking4[Total Score 
(with linear
normalization)],0)</f>
        <v>9</v>
      </c>
      <c r="BK13" s="205" t="e">
        <f>_xlfn.XLOOKUP(FMS_Ranking4[[#This Row],[FMS ID]],#REF!,#REF!)</f>
        <v>#REF!</v>
      </c>
      <c r="BL1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53.923379740605725</v>
      </c>
      <c r="BM13" s="272">
        <f>FMS_Ranking4[[#This Row],[ArcSinh Score Based on Normalized Reported Factors]]+FMS_Ranking4[[#This Row],[% NBS Score (Normalized)]]+(FMS_Ranking4[[#This Row],[Water Supply Score (Normalized)]]*10*$BB$5)+FMS_Ranking4[[#This Row],[FMS_Type Score Weighted]]</f>
        <v>55.923379740605725</v>
      </c>
      <c r="BN13" s="205">
        <f>_xlfn.RANK.EQ(FMS_Ranking4[[#This Row],[Total Score (with ArcSinh normalization of select criteria)]],FMS_Ranking4[Total Score (with ArcSinh normalization of select criteria)],0)</f>
        <v>6</v>
      </c>
      <c r="BO13" s="270" t="str">
        <f>_xlfn.XLOOKUP(FMS_Ranking4[[#This Row],[FMS ID]],FMS_Input[FMS_ID],FMS_Input[FMS_RANK_YEAR])</f>
        <v>2023 Amended Plan</v>
      </c>
      <c r="BP13" s="204">
        <f>_xlfn.XLOOKUP(FMS_Ranking4[[#This Row],[FMS ID]],Prev_Rank[FMS ID],Prev_Rank[Prev Rank])</f>
        <v>5</v>
      </c>
      <c r="BQ13" s="205" t="e">
        <f>_xlfn.XLOOKUP(FMS_Ranking4[[#This Row],[FMS ID]],#REF!,#REF!)</f>
        <v>#REF!</v>
      </c>
      <c r="BR13" s="199" t="e">
        <f>SUM(#REF!,#REF!,#REF!,#REF!,#REF!,#REF!,#REF!,#REF!,#REF!,FMS_Ranking4[[#This Row],[ArcSinh Res struct removed 0-10]],#REF!)</f>
        <v>#REF!</v>
      </c>
      <c r="BS13" s="199" t="e">
        <f>FMS_Ranking4[[#This Row],[Log Score Based on Normalized Reported Factors]]+FMS_Ranking4[[#This Row],[% NBS Score (Normalized)]]+(FMS_Ranking4[[#This Row],[Water Supply Score (Normalized)]]*10*$BB$5)+(FMS_Ranking4[[#This Row],[FMS_Type Score Weighted]])</f>
        <v>#REF!</v>
      </c>
      <c r="BT13" s="200" t="e">
        <f>_xlfn.RANK.EQ(FMS_Ranking4[[#This Row],[Log Total Score]],FMS_Ranking4[Log Total Score],0)</f>
        <v>#REF!</v>
      </c>
      <c r="BU13" s="200" t="e">
        <f>_xlfn.XLOOKUP(FMS_Ranking4[[#This Row],[FMS ID]],#REF!,#REF!)</f>
        <v>#REF!</v>
      </c>
      <c r="BV13" s="200">
        <f>FMS_Ranking4[[#This Row],[Region Number]]</f>
        <v>13</v>
      </c>
      <c r="BW13" s="200">
        <f>FMS_Ranking4[[#This Row],[Rank (with ArcSinh normalization of select criteria)]]-FMS_Ranking4[[#This Row],[Rank
(with linear
normalization)]]</f>
        <v>-3</v>
      </c>
      <c r="BX13" s="200" t="e">
        <f>FMS_Ranking4[[#This Row],[Log Rank]]-FMS_Ranking4[[#This Row],[Rank
(with linear
normalization)]]</f>
        <v>#REF!</v>
      </c>
      <c r="BY13" s="200" t="str">
        <f>IF(FMS_Ranking4[[#This Row],[FMS Type]]="Flood Measurement and Warning",FMS_Ranking4[[#This Row],[Rank (with ArcSinh normalization of select criteria)]],"")</f>
        <v/>
      </c>
      <c r="BZ13" s="200">
        <f>IF(FMS_Ranking4[[#This Row],[FMS Type]]="Regulatory and Guidance",FMS_Ranking4[[#This Row],[Rank (with ArcSinh normalization of select criteria)]],"")</f>
        <v>6</v>
      </c>
      <c r="CA13" s="200" t="str">
        <f>IF(FMS_Ranking4[[#This Row],[FMS Type]]="Education and Outreach",FMS_Ranking4[[#This Row],[Rank (with ArcSinh normalization of select criteria)]],"")</f>
        <v/>
      </c>
      <c r="CB13" s="200" t="str">
        <f>IF(FMS_Ranking4[[#This Row],[FMS Type]]="Property Acquisition and Structural Elevation",FMS_Ranking4[[#This Row],[Rank (with ArcSinh normalization of select criteria)]],"")</f>
        <v/>
      </c>
      <c r="CC13" s="200" t="str">
        <f>IF(FMS_Ranking4[[#This Row],[FMS Type]]="Infrastructure Projects",FMS_Ranking4[[#This Row],[Rank (with ArcSinh normalization of select criteria)]],"")</f>
        <v/>
      </c>
      <c r="CD13" s="200" t="str">
        <f>IF(FMS_Ranking4[[#This Row],[FMS Type]]="Other",FMS_Ranking4[[#This Row],[Rank (with ArcSinh normalization of select criteria)]],"")</f>
        <v/>
      </c>
      <c r="CE13" s="201"/>
      <c r="CF13" s="392" t="s">
        <v>4677</v>
      </c>
      <c r="CG13" s="392"/>
    </row>
    <row r="14" spans="2:85" ht="60" x14ac:dyDescent="0.25">
      <c r="B14" s="341" t="s">
        <v>704</v>
      </c>
      <c r="C14" s="246">
        <f>_xlfn.XLOOKUP(FMS_Ranking4[[#This Row],[FMS ID]],FMS_Input[FMS_ID],FMS_Input[RFPG_NUM])</f>
        <v>9</v>
      </c>
      <c r="D14" s="309" t="str">
        <f>_xlfn.XLOOKUP(FMS_Ranking4[[#This Row],[FMS ID]],FMS_Input[FMS_ID],FMS_Input[FMS_NAME])</f>
        <v>City of Odessa Rain Guage Program</v>
      </c>
      <c r="E14" s="308" t="str">
        <f>_xlfn.XLOOKUP(FMS_Ranking4[[#This Row],[FMS ID]],FMS_Input[FMS_ID],FMS_Input[SPONSOR])</f>
        <v>00000151</v>
      </c>
      <c r="F14" s="309" t="str">
        <f>_xlfn.XLOOKUP(FMS_Ranking4[[#This Row],[FMS ID]],Sponsor[FMS_ID],Sponsor[SPONSOR NAME])</f>
        <v>Midland</v>
      </c>
      <c r="G14" s="309" t="str">
        <f>_xlfn.XLOOKUP(FMS_Ranking4[[#This Row],[FMS ID]],FMS_Input[FMS_ID],FMS_Input[FMS_DESCR])</f>
        <v>Install Rain gauges at eight (8) locations around city to collect data and improve warning system.</v>
      </c>
      <c r="H14" s="248" t="str">
        <f>_xlfn.XLOOKUP(FMS_Ranking4[[#This Row],[FMS ID]],FMS_Input[FMS_ID],FMS_Input[FMS_TYPE])</f>
        <v>Other</v>
      </c>
      <c r="I14" s="249">
        <f>_xlfn.XLOOKUP(FMS_Ranking4[[#This Row],[FMS ID]],FMS_Input[FMS_ID],FMS_Input[NRNC_COST])</f>
        <v>5000</v>
      </c>
      <c r="J14" s="250">
        <f>_xlfn.XLOOKUP(FMS_Ranking4[[#This Row],[FMS ID]],FMS_Input[FMS_ID],FMS_Input[FMS_COST])</f>
        <v>30000</v>
      </c>
      <c r="K14" s="251" t="str">
        <f>_xlfn.XLOOKUP(FMS_Ranking4[[#This Row],[FMS ID]],FMS_Input[FMS_ID],FMS_Input[EMER_NEED])</f>
        <v>No</v>
      </c>
      <c r="L14" s="252">
        <f t="shared" si="0"/>
        <v>0</v>
      </c>
      <c r="M14" s="253">
        <f>_xlfn.XLOOKUP(FMS_Ranking4[[#This Row],[FMS ID]],FMS_Input[FMS_ID],FMS_Input[STRUCT_100])</f>
        <v>6774</v>
      </c>
      <c r="N14" s="255">
        <f>(ASINH(FMS_Ranking4[[#This Row],[Structure at Risk Raw]]))*(10)/(ASINH(M$4))</f>
        <v>7.4794160288216434</v>
      </c>
      <c r="O14" s="256">
        <f>FMS_Ranking4[[#This Row],[Structures at risk, ArcSinh (0-10)]]*M$5*10</f>
        <v>7.4794160288216442</v>
      </c>
      <c r="P14" s="253">
        <f>_xlfn.XLOOKUP(FMS_Ranking4[[#This Row],[FMS ID]],FMS_Input[FMS_ID],FMS_Input[RES_STRUCT100])</f>
        <v>5481</v>
      </c>
      <c r="Q14" s="257">
        <f>ASINH(FMS_Ranking4[[#This Row],[Res Structure Raw]])/Q$4*P$5*100</f>
        <v>0</v>
      </c>
      <c r="R14" s="253">
        <f>_xlfn.XLOOKUP(FMS_Ranking4[[#This Row],[FMS ID]],FMS_Input[FMS_ID],FMS_Input[POP100])</f>
        <v>25984</v>
      </c>
      <c r="S14" s="259">
        <f>(ASINH(FMS_Ranking4[[#This Row],[Pop at Risk Raw]]))*(10)/(ASINH(R$4))</f>
        <v>7.4961742301318415</v>
      </c>
      <c r="T14" s="256">
        <f>FMS_Ranking4[[#This Row],[Population at risk, ArcSinh (0-10)]]*R$5*10</f>
        <v>7.4961742301318424</v>
      </c>
      <c r="U14" s="253">
        <f>_xlfn.XLOOKUP(FMS_Ranking4[[#This Row],[FMS ID]],FMS_Input[FMS_ID],FMS_Input[CRITFAC100])</f>
        <v>10</v>
      </c>
      <c r="V14" s="259">
        <f>(ASINH(FMS_Ranking4[[#This Row],[Critical Facilities Raw]]))*(10)/(ASINH(U$4))</f>
        <v>3.5491888084919516</v>
      </c>
      <c r="W14" s="256">
        <f>FMS_Ranking4[[#This Row],[Critical facilities at risk, ArcSinh (0-10)]]*U$5*10</f>
        <v>3.5491888084919521</v>
      </c>
      <c r="X14" s="253">
        <f>_xlfn.XLOOKUP(FMS_Ranking4[[#This Row],[FMS ID]],FMS_Input[FMS_ID],FMS_Input[LWC])</f>
        <v>26</v>
      </c>
      <c r="Y14" s="259">
        <f>(ASINH(FMS_Ranking4[[#This Row],[LWC Raw]]))*(10)/(ASINH(X$4))</f>
        <v>5.3533998703778476</v>
      </c>
      <c r="Z14" s="256">
        <f>FMS_Ranking4[[#This Row],[LWC, ArcSInh (0-10)]]*X$5*10</f>
        <v>5.3533998703778476</v>
      </c>
      <c r="AA14" s="253">
        <f>_xlfn.XLOOKUP(FMS_Ranking4[[#This Row],[FMS ID]],FMS_Input[FMS_ID],FMS_Input[ROADCLS])</f>
        <v>0</v>
      </c>
      <c r="AB14" s="255">
        <f>(ASINH(FMS_Ranking4[[#This Row],[Road Closures Raw]]))*(10)/(ASINH(AA$4))</f>
        <v>0</v>
      </c>
      <c r="AC14" s="256">
        <f>FMS_Ranking4[[#This Row],[Road closures, ArcSinh (0-10)]]*AA$5*10</f>
        <v>0</v>
      </c>
      <c r="AD14" s="253">
        <f>_xlfn.XLOOKUP(FMS_Ranking4[[#This Row],[FMS ID]],FMS_Input[FMS_ID],FMS_Input[ROAD_MILES100])</f>
        <v>167</v>
      </c>
      <c r="AE14" s="259">
        <f>(ASINH(FMS_Ranking4[[#This Row],[Road Miles Raw]]))*(10)/(ASINH(AD$4))</f>
        <v>6.1930870658910315</v>
      </c>
      <c r="AF14" s="256">
        <f>FMS_Ranking4[[#This Row],[Length of roads at risk, ArcSinh (0-10)]]*AD$5*10</f>
        <v>6.1930870658910315</v>
      </c>
      <c r="AG14" s="253">
        <f>_xlfn.XLOOKUP(FMS_Ranking4[[#This Row],[FMS ID]],FMS_Input[FMS_ID],FMS_Input[FARMACRE100])</f>
        <v>45.750217437744141</v>
      </c>
      <c r="AH14" s="255">
        <f>(ASINH(FMS_Ranking4[[#This Row],[Ag Land Raw]]))*(10)/(ASINH(AG$4))</f>
        <v>2.9338107656327161</v>
      </c>
      <c r="AI14" s="260">
        <f>FMS_Ranking4[[#This Row],[Farm &amp; ranch land, ArcSinh (0-10)]]*AG$5*10</f>
        <v>1.4669053828163581</v>
      </c>
      <c r="AJ14" s="258">
        <f>_xlfn.XLOOKUP(FMS_Ranking4[[#This Row],[FMS ID]],FMS_Input[FMS_ID],FMS_Input[REDSTRUCT100])</f>
        <v>1694</v>
      </c>
      <c r="AK14" s="253">
        <f>_xlfn.XLOOKUP(FMS_Ranking4[[#This Row],[FMS ID]],FMS_Input[FMS_ID],FMS_Input[REMSTRC100])</f>
        <v>1694</v>
      </c>
      <c r="AL14" s="259">
        <f>(ASINH(FMS_Ranking4[[#This Row],[Structures Removed Raw]]))*(10)/(ASINH(AK$4))</f>
        <v>9.2543026515944664</v>
      </c>
      <c r="AM14" s="262">
        <f>FMS_Ranking4[[#This Row],[Structures removed, ArcSinh (0-10)]]*AK$5*10</f>
        <v>9.2543026515944664</v>
      </c>
      <c r="AN14" s="253">
        <f>_xlfn.XLOOKUP(FMS_Ranking4[[#This Row],[FMS ID]],FMS_Input[FMS_ID],FMS_Input[REMRESSTRC100])</f>
        <v>1370</v>
      </c>
      <c r="AO14" s="261">
        <f>FMS_Ranking4[[#This Row],[ArcSinh Res struct removed 0-10]]*AN$5*10</f>
        <v>4.6427753728595693</v>
      </c>
      <c r="AP14" s="254">
        <f>ASINH(FMS_Ranking4[[#This Row],[Residential Structures Removed Raw]])/AP$4*AN$5*100</f>
        <v>4.6427753728595684</v>
      </c>
      <c r="AQ14" s="254">
        <f>(ASINH(FMS_Ranking4[[#This Row],[Residential Structures Removed Raw]]))*(10)/(ASINH(AN$4))</f>
        <v>9.2855507457191369</v>
      </c>
      <c r="AR14" s="253">
        <f>_xlfn.XLOOKUP(FMS_Ranking4[[#This Row],[FMS ID]],FMS_Input[FMS_ID],FMS_Input[REMPOP100])</f>
        <v>10384</v>
      </c>
      <c r="AS14" s="259">
        <f>(ASINH(FMS_Ranking4[[#This Row],[Removed Pop Raw]]))*(10)/(ASINH(AR$4))</f>
        <v>9.7584543445007821</v>
      </c>
      <c r="AT14" s="262">
        <f>FMS_Ranking4[[#This Row],[Removed population, ArcSinh (0-10)]]*AR$5*10</f>
        <v>9.7584543445007821</v>
      </c>
      <c r="AU14" s="264">
        <f>_xlfn.XLOOKUP(FMS_Ranking4[[#This Row],[FMS ID]],FMS_Input[FMS_ID],FMS_Input[REMCRITFAC100])</f>
        <v>2</v>
      </c>
      <c r="AV14" s="264">
        <f>_xlfn.XLOOKUP(FMS_Ranking4[[#This Row],[FMS ID]],FMS_Input[FMS_ID],FMS_Input[REMLWC100])</f>
        <v>6</v>
      </c>
      <c r="AW14" s="264">
        <f>_xlfn.XLOOKUP(FMS_Ranking4[[#This Row],[FMS ID]],FMS_Input[FMS_ID],FMS_Input[REMROADCLS])</f>
        <v>0</v>
      </c>
      <c r="AX14" s="264">
        <f>_xlfn.XLOOKUP(FMS_Ranking4[[#This Row],[FMS ID]],FMS_Input[FMS_ID],FMS_Input[REMFRMACRE100])</f>
        <v>11.43755435943604</v>
      </c>
      <c r="AY14" s="258">
        <f>_xlfn.XLOOKUP(FMS_Ranking4[[#This Row],[FMS ID]],FMS_Input[FMS_ID],FMS_Input[COSTSTRUCT])</f>
        <v>25000</v>
      </c>
      <c r="AZ14" s="253">
        <f>_xlfn.XLOOKUP(FMS_Ranking4[[#This Row],[FMS ID]],FMS_Input[FMS_ID],FMS_Input[NATURE])</f>
        <v>0</v>
      </c>
      <c r="BA14" s="262">
        <f>(((FMS_Ranking4[[#This Row],[% NBS Raw]]/AZ$4)*100)*AZ$5)</f>
        <v>0</v>
      </c>
      <c r="BB14" s="251" t="str">
        <f>_xlfn.XLOOKUP(FMS_Ranking4[[#This Row],[FMS ID]],FMS_Input[FMS_ID],FMS_Input[WATER_SUP])</f>
        <v>No</v>
      </c>
      <c r="BC14" s="265">
        <f>IF(FMS_Ranking4[[#This Row],[Water Supply Raw]]="Yes",10,0)</f>
        <v>0</v>
      </c>
      <c r="BD14" s="266">
        <f>_xlfn.XLOOKUP(FMS_Ranking4[[#This Row],[FMS Type]],FMS_TYPE[FMS_Type],FMS_TYPE[Score])</f>
        <v>2</v>
      </c>
      <c r="BE14" s="267">
        <f>FMS_Ranking4[[#This Row],[FMS_Type Score]]*$BD$5*10</f>
        <v>0.5</v>
      </c>
      <c r="BF1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1.318801151343991</v>
      </c>
      <c r="BG14" s="271">
        <f>_xlfn.RANK.EQ(BF14,$BF$8:$BF$870,0)+COUNTIF($BF$8:BF14,BF14)-1</f>
        <v>117</v>
      </c>
      <c r="BH14" s="268">
        <f>(((FMS_Ranking4[[#This Row],[Structures Removed Raw]]/AK$4)*100)*AK$5)+(((FMS_Ranking4[[#This Row],[Removed Pop Raw]]/AR$4)*100)*AR$5)</f>
        <v>13.013413896092302</v>
      </c>
      <c r="BI1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14.832215047436293</v>
      </c>
      <c r="BJ14" s="205">
        <f>_xlfn.RANK.EQ(FMS_Ranking4[[#This Row],[Total Score 
(with linear
normalization)]],FMS_Ranking4[Total Score 
(with linear
normalization)],0)</f>
        <v>32</v>
      </c>
      <c r="BK14" s="205" t="e">
        <f>_xlfn.XLOOKUP(FMS_Ranking4[[#This Row],[FMS ID]],#REF!,#REF!)</f>
        <v>#REF!</v>
      </c>
      <c r="BL1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55.193703755485494</v>
      </c>
      <c r="BM14" s="272">
        <f>FMS_Ranking4[[#This Row],[ArcSinh Score Based on Normalized Reported Factors]]+FMS_Ranking4[[#This Row],[% NBS Score (Normalized)]]+(FMS_Ranking4[[#This Row],[Water Supply Score (Normalized)]]*10*$BB$5)+FMS_Ranking4[[#This Row],[FMS_Type Score Weighted]]</f>
        <v>55.693703755485494</v>
      </c>
      <c r="BN14" s="205">
        <f>_xlfn.RANK.EQ(FMS_Ranking4[[#This Row],[Total Score (with ArcSinh normalization of select criteria)]],FMS_Ranking4[Total Score (with ArcSinh normalization of select criteria)],0)</f>
        <v>7</v>
      </c>
      <c r="BO14" s="270" t="str">
        <f>_xlfn.XLOOKUP(FMS_Ranking4[[#This Row],[FMS ID]],FMS_Input[FMS_ID],FMS_Input[FMS_RANK_YEAR])</f>
        <v>2023 Amended Plan</v>
      </c>
      <c r="BP14" s="204">
        <f>_xlfn.XLOOKUP(FMS_Ranking4[[#This Row],[FMS ID]],Prev_Rank[FMS ID],Prev_Rank[Prev Rank])</f>
        <v>9</v>
      </c>
      <c r="BQ14" s="205" t="e">
        <f>_xlfn.XLOOKUP(FMS_Ranking4[[#This Row],[FMS ID]],#REF!,#REF!)</f>
        <v>#REF!</v>
      </c>
      <c r="BR14" s="199" t="e">
        <f>SUM(#REF!,#REF!,#REF!,#REF!,#REF!,#REF!,#REF!,#REF!,#REF!,FMS_Ranking4[[#This Row],[ArcSinh Res struct removed 0-10]],#REF!)</f>
        <v>#REF!</v>
      </c>
      <c r="BS14" s="199" t="e">
        <f>FMS_Ranking4[[#This Row],[Log Score Based on Normalized Reported Factors]]+FMS_Ranking4[[#This Row],[% NBS Score (Normalized)]]+(FMS_Ranking4[[#This Row],[Water Supply Score (Normalized)]]*10*$BB$5)+(FMS_Ranking4[[#This Row],[FMS_Type Score Weighted]])</f>
        <v>#REF!</v>
      </c>
      <c r="BT14" s="200" t="e">
        <f>_xlfn.RANK.EQ(FMS_Ranking4[[#This Row],[Log Total Score]],FMS_Ranking4[Log Total Score],0)</f>
        <v>#REF!</v>
      </c>
      <c r="BU14" s="200" t="e">
        <f>_xlfn.XLOOKUP(FMS_Ranking4[[#This Row],[FMS ID]],#REF!,#REF!)</f>
        <v>#REF!</v>
      </c>
      <c r="BV14" s="200">
        <f>FMS_Ranking4[[#This Row],[Region Number]]</f>
        <v>9</v>
      </c>
      <c r="BW14" s="200">
        <f>FMS_Ranking4[[#This Row],[Rank (with ArcSinh normalization of select criteria)]]-FMS_Ranking4[[#This Row],[Rank
(with linear
normalization)]]</f>
        <v>-25</v>
      </c>
      <c r="BX14" s="200" t="e">
        <f>FMS_Ranking4[[#This Row],[Log Rank]]-FMS_Ranking4[[#This Row],[Rank
(with linear
normalization)]]</f>
        <v>#REF!</v>
      </c>
      <c r="BY14" s="200" t="str">
        <f>IF(FMS_Ranking4[[#This Row],[FMS Type]]="Flood Measurement and Warning",FMS_Ranking4[[#This Row],[Rank (with ArcSinh normalization of select criteria)]],"")</f>
        <v/>
      </c>
      <c r="BZ14" s="200" t="str">
        <f>IF(FMS_Ranking4[[#This Row],[FMS Type]]="Regulatory and Guidance",FMS_Ranking4[[#This Row],[Rank (with ArcSinh normalization of select criteria)]],"")</f>
        <v/>
      </c>
      <c r="CA14" s="200" t="str">
        <f>IF(FMS_Ranking4[[#This Row],[FMS Type]]="Education and Outreach",FMS_Ranking4[[#This Row],[Rank (with ArcSinh normalization of select criteria)]],"")</f>
        <v/>
      </c>
      <c r="CB14" s="200" t="str">
        <f>IF(FMS_Ranking4[[#This Row],[FMS Type]]="Property Acquisition and Structural Elevation",FMS_Ranking4[[#This Row],[Rank (with ArcSinh normalization of select criteria)]],"")</f>
        <v/>
      </c>
      <c r="CC14" s="200" t="str">
        <f>IF(FMS_Ranking4[[#This Row],[FMS Type]]="Infrastructure Projects",FMS_Ranking4[[#This Row],[Rank (with ArcSinh normalization of select criteria)]],"")</f>
        <v/>
      </c>
      <c r="CD14" s="200">
        <f>IF(FMS_Ranking4[[#This Row],[FMS Type]]="Other",FMS_Ranking4[[#This Row],[Rank (with ArcSinh normalization of select criteria)]],"")</f>
        <v>7</v>
      </c>
      <c r="CE14" s="201"/>
      <c r="CF14">
        <f>MAX(FMS_Ranking4[ArcSinh Rank Residual])</f>
        <v>642</v>
      </c>
      <c r="CG14" t="e">
        <f>MAX(FMS_Ranking4[Log Rank Residual])</f>
        <v>#REF!</v>
      </c>
    </row>
    <row r="15" spans="2:85" ht="90" x14ac:dyDescent="0.25">
      <c r="B15" s="341" t="s">
        <v>3773</v>
      </c>
      <c r="C15" s="246">
        <f>_xlfn.XLOOKUP(FMS_Ranking4[[#This Row],[FMS ID]],FMS_Input[FMS_ID],FMS_Input[RFPG_NUM])</f>
        <v>13</v>
      </c>
      <c r="D15" s="309" t="str">
        <f>_xlfn.XLOOKUP(FMS_Ranking4[[#This Row],[FMS ID]],FMS_Input[FMS_ID],FMS_Input[FMS_NAME])</f>
        <v>Nueces Basin flood public information campaign</v>
      </c>
      <c r="E15" s="308" t="str">
        <f>_xlfn.XLOOKUP(FMS_Ranking4[[#This Row],[FMS ID]],FMS_Input[FMS_ID],FMS_Input[SPONSOR])</f>
        <v>00000290</v>
      </c>
      <c r="F15" s="309" t="str">
        <f>_xlfn.XLOOKUP(FMS_Ranking4[[#This Row],[FMS ID]],Sponsor[FMS_ID],Sponsor[SPONSOR NAME])</f>
        <v>Nueces River Authority</v>
      </c>
      <c r="G15" s="309" t="str">
        <f>_xlfn.XLOOKUP(FMS_Ranking4[[#This Row],[FMS ID]],FMS_Input[FMS_ID],FMS_Input[FMS_DESCR])</f>
        <v xml:space="preserve">Identify local, subregional workgroups aligned with flooding issues.  Develop public information campaign templates with relevant flood-related communications. </v>
      </c>
      <c r="H15" s="248" t="str">
        <f>_xlfn.XLOOKUP(FMS_Ranking4[[#This Row],[FMS ID]],FMS_Input[FMS_ID],FMS_Input[FMS_TYPE])</f>
        <v>Education and Outreach</v>
      </c>
      <c r="I15" s="249">
        <f>_xlfn.XLOOKUP(FMS_Ranking4[[#This Row],[FMS ID]],FMS_Input[FMS_ID],FMS_Input[NRNC_COST])</f>
        <v>100000</v>
      </c>
      <c r="J15" s="250">
        <f>_xlfn.XLOOKUP(FMS_Ranking4[[#This Row],[FMS ID]],FMS_Input[FMS_ID],FMS_Input[FMS_COST])</f>
        <v>100000</v>
      </c>
      <c r="K15" s="251" t="str">
        <f>_xlfn.XLOOKUP(FMS_Ranking4[[#This Row],[FMS ID]],FMS_Input[FMS_ID],FMS_Input[EMER_NEED])</f>
        <v>No</v>
      </c>
      <c r="L15" s="252">
        <f t="shared" si="0"/>
        <v>0</v>
      </c>
      <c r="M15" s="253">
        <f>_xlfn.XLOOKUP(FMS_Ranking4[[#This Row],[FMS ID]],FMS_Input[FMS_ID],FMS_Input[STRUCT_100])</f>
        <v>60967</v>
      </c>
      <c r="N15" s="255">
        <f>(ASINH(FMS_Ranking4[[#This Row],[Structure at Risk Raw]]))*(10)/(ASINH(M$4))</f>
        <v>9.2067745897159217</v>
      </c>
      <c r="O15" s="256">
        <f>FMS_Ranking4[[#This Row],[Structures at risk, ArcSinh (0-10)]]*M$5*10</f>
        <v>9.2067745897159234</v>
      </c>
      <c r="P15" s="253">
        <f>_xlfn.XLOOKUP(FMS_Ranking4[[#This Row],[FMS ID]],FMS_Input[FMS_ID],FMS_Input[RES_STRUCT100])</f>
        <v>42976</v>
      </c>
      <c r="Q15" s="257">
        <f>ASINH(FMS_Ranking4[[#This Row],[Res Structure Raw]])/Q$4*P$5*100</f>
        <v>0</v>
      </c>
      <c r="R15" s="253">
        <f>_xlfn.XLOOKUP(FMS_Ranking4[[#This Row],[FMS ID]],FMS_Input[FMS_ID],FMS_Input[POP100])</f>
        <v>136543</v>
      </c>
      <c r="S15" s="259">
        <f>(ASINH(FMS_Ranking4[[#This Row],[Pop at Risk Raw]]))*(10)/(ASINH(R$4))</f>
        <v>8.6415880176071926</v>
      </c>
      <c r="T15" s="256">
        <f>FMS_Ranking4[[#This Row],[Population at risk, ArcSinh (0-10)]]*R$5*10</f>
        <v>8.6415880176071944</v>
      </c>
      <c r="U15" s="253">
        <f>_xlfn.XLOOKUP(FMS_Ranking4[[#This Row],[FMS ID]],FMS_Input[FMS_ID],FMS_Input[CRITFAC100])</f>
        <v>445</v>
      </c>
      <c r="V15" s="259">
        <f>(ASINH(FMS_Ranking4[[#This Row],[Critical Facilities Raw]]))*(10)/(ASINH(U$4))</f>
        <v>8.0392059202360002</v>
      </c>
      <c r="W15" s="256">
        <f>FMS_Ranking4[[#This Row],[Critical facilities at risk, ArcSinh (0-10)]]*U$5*10</f>
        <v>8.0392059202360002</v>
      </c>
      <c r="X15" s="253">
        <f>_xlfn.XLOOKUP(FMS_Ranking4[[#This Row],[FMS ID]],FMS_Input[FMS_ID],FMS_Input[LWC])</f>
        <v>526</v>
      </c>
      <c r="Y15" s="259">
        <f>(ASINH(FMS_Ranking4[[#This Row],[LWC Raw]]))*(10)/(ASINH(X$4))</f>
        <v>9.4268741386737673</v>
      </c>
      <c r="Z15" s="256">
        <f>FMS_Ranking4[[#This Row],[LWC, ArcSInh (0-10)]]*X$5*10</f>
        <v>9.4268741386737673</v>
      </c>
      <c r="AA15" s="253">
        <f>_xlfn.XLOOKUP(FMS_Ranking4[[#This Row],[FMS ID]],FMS_Input[FMS_ID],FMS_Input[ROADCLS])</f>
        <v>7400</v>
      </c>
      <c r="AB15" s="255">
        <f>(ASINH(FMS_Ranking4[[#This Row],[Road Closures Raw]]))*(10)/(ASINH(AA$4))</f>
        <v>10</v>
      </c>
      <c r="AC15" s="256">
        <f>FMS_Ranking4[[#This Row],[Road closures, ArcSinh (0-10)]]*AA$5*10</f>
        <v>5</v>
      </c>
      <c r="AD15" s="253">
        <f>_xlfn.XLOOKUP(FMS_Ranking4[[#This Row],[FMS ID]],FMS_Input[FMS_ID],FMS_Input[ROAD_MILES100])</f>
        <v>3215</v>
      </c>
      <c r="AE15" s="259">
        <f>(ASINH(FMS_Ranking4[[#This Row],[Road Miles Raw]]))*(10)/(ASINH(AD$4))</f>
        <v>9.3450535207929786</v>
      </c>
      <c r="AF15" s="256">
        <f>FMS_Ranking4[[#This Row],[Length of roads at risk, ArcSinh (0-10)]]*AD$5*10</f>
        <v>9.3450535207929786</v>
      </c>
      <c r="AG15" s="253">
        <f>_xlfn.XLOOKUP(FMS_Ranking4[[#This Row],[FMS ID]],FMS_Input[FMS_ID],FMS_Input[FARMACRE100])</f>
        <v>251436.96875</v>
      </c>
      <c r="AH15" s="255">
        <f>(ASINH(FMS_Ranking4[[#This Row],[Ag Land Raw]]))*(10)/(ASINH(AG$4))</f>
        <v>8.5277671071597112</v>
      </c>
      <c r="AI15" s="260">
        <f>FMS_Ranking4[[#This Row],[Farm &amp; ranch land, ArcSinh (0-10)]]*AG$5*10</f>
        <v>4.2638835535798556</v>
      </c>
      <c r="AJ15" s="258">
        <f>_xlfn.XLOOKUP(FMS_Ranking4[[#This Row],[FMS ID]],FMS_Input[FMS_ID],FMS_Input[REDSTRUCT100])</f>
        <v>0</v>
      </c>
      <c r="AK15" s="253">
        <f>_xlfn.XLOOKUP(FMS_Ranking4[[#This Row],[FMS ID]],FMS_Input[FMS_ID],FMS_Input[REMSTRC100])</f>
        <v>0</v>
      </c>
      <c r="AL15" s="259">
        <f>(ASINH(FMS_Ranking4[[#This Row],[Structures Removed Raw]]))*(10)/(ASINH(AK$4))</f>
        <v>0</v>
      </c>
      <c r="AM15" s="262">
        <f>FMS_Ranking4[[#This Row],[Structures removed, ArcSinh (0-10)]]*AK$5*10</f>
        <v>0</v>
      </c>
      <c r="AN15" s="253">
        <f>_xlfn.XLOOKUP(FMS_Ranking4[[#This Row],[FMS ID]],FMS_Input[FMS_ID],FMS_Input[REMRESSTRC100])</f>
        <v>0</v>
      </c>
      <c r="AO15" s="261">
        <f>FMS_Ranking4[[#This Row],[ArcSinh Res struct removed 0-10]]*AN$5*10</f>
        <v>0</v>
      </c>
      <c r="AP15" s="254">
        <f>ASINH(FMS_Ranking4[[#This Row],[Residential Structures Removed Raw]])/AP$4*AN$5*100</f>
        <v>0</v>
      </c>
      <c r="AQ15" s="254">
        <f>(ASINH(FMS_Ranking4[[#This Row],[Residential Structures Removed Raw]]))*(10)/(ASINH(AN$4))</f>
        <v>0</v>
      </c>
      <c r="AR15" s="253">
        <f>_xlfn.XLOOKUP(FMS_Ranking4[[#This Row],[FMS ID]],FMS_Input[FMS_ID],FMS_Input[REMPOP100])</f>
        <v>0</v>
      </c>
      <c r="AS15" s="259">
        <f>(ASINH(FMS_Ranking4[[#This Row],[Removed Pop Raw]]))*(10)/(ASINH(AR$4))</f>
        <v>0</v>
      </c>
      <c r="AT15" s="262">
        <f>FMS_Ranking4[[#This Row],[Removed population, ArcSinh (0-10)]]*AR$5*10</f>
        <v>0</v>
      </c>
      <c r="AU15" s="264">
        <f>_xlfn.XLOOKUP(FMS_Ranking4[[#This Row],[FMS ID]],FMS_Input[FMS_ID],FMS_Input[REMCRITFAC100])</f>
        <v>0</v>
      </c>
      <c r="AV15" s="264">
        <f>_xlfn.XLOOKUP(FMS_Ranking4[[#This Row],[FMS ID]],FMS_Input[FMS_ID],FMS_Input[REMLWC100])</f>
        <v>0</v>
      </c>
      <c r="AW15" s="264">
        <f>_xlfn.XLOOKUP(FMS_Ranking4[[#This Row],[FMS ID]],FMS_Input[FMS_ID],FMS_Input[REMROADCLS])</f>
        <v>0</v>
      </c>
      <c r="AX15" s="264">
        <f>_xlfn.XLOOKUP(FMS_Ranking4[[#This Row],[FMS ID]],FMS_Input[FMS_ID],FMS_Input[REMFRMACRE100])</f>
        <v>0</v>
      </c>
      <c r="AY15" s="258">
        <f>_xlfn.XLOOKUP(FMS_Ranking4[[#This Row],[FMS ID]],FMS_Input[FMS_ID],FMS_Input[COSTSTRUCT])</f>
        <v>0</v>
      </c>
      <c r="AZ15" s="253">
        <f>_xlfn.XLOOKUP(FMS_Ranking4[[#This Row],[FMS ID]],FMS_Input[FMS_ID],FMS_Input[NATURE])</f>
        <v>0</v>
      </c>
      <c r="BA15" s="262">
        <f>(((FMS_Ranking4[[#This Row],[% NBS Raw]]/AZ$4)*100)*AZ$5)</f>
        <v>0</v>
      </c>
      <c r="BB15" s="251" t="str">
        <f>_xlfn.XLOOKUP(FMS_Ranking4[[#This Row],[FMS ID]],FMS_Input[FMS_ID],FMS_Input[WATER_SUP])</f>
        <v>No</v>
      </c>
      <c r="BC15" s="265">
        <f>IF(FMS_Ranking4[[#This Row],[Water Supply Raw]]="Yes",10,0)</f>
        <v>0</v>
      </c>
      <c r="BD15" s="266">
        <f>_xlfn.XLOOKUP(FMS_Ranking4[[#This Row],[FMS Type]],FMS_TYPE[FMS_Type],FMS_TYPE[Score])</f>
        <v>6</v>
      </c>
      <c r="BE15" s="267">
        <f>FMS_Ranking4[[#This Row],[FMS_Type Score]]*$BD$5*10</f>
        <v>1.5000000000000002</v>
      </c>
      <c r="BF1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24.429511528487463</v>
      </c>
      <c r="BG15" s="271">
        <f>_xlfn.RANK.EQ(BF15,$BF$8:$BF$870,0)+COUNTIF($BF$8:BF15,BF15)-1</f>
        <v>10</v>
      </c>
      <c r="BH15" s="268">
        <f>(((FMS_Ranking4[[#This Row],[Structures Removed Raw]]/AK$4)*100)*AK$5)+(((FMS_Ranking4[[#This Row],[Removed Pop Raw]]/AR$4)*100)*AR$5)</f>
        <v>0</v>
      </c>
      <c r="BI1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25.929511528487463</v>
      </c>
      <c r="BJ15" s="205">
        <f>_xlfn.RANK.EQ(FMS_Ranking4[[#This Row],[Total Score 
(with linear
normalization)]],FMS_Ranking4[Total Score 
(with linear
normalization)],0)</f>
        <v>10</v>
      </c>
      <c r="BK15" s="205" t="e">
        <f>_xlfn.XLOOKUP(FMS_Ranking4[[#This Row],[FMS ID]],#REF!,#REF!)</f>
        <v>#REF!</v>
      </c>
      <c r="BL1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53.923379740605725</v>
      </c>
      <c r="BM15" s="272">
        <f>FMS_Ranking4[[#This Row],[ArcSinh Score Based on Normalized Reported Factors]]+FMS_Ranking4[[#This Row],[% NBS Score (Normalized)]]+(FMS_Ranking4[[#This Row],[Water Supply Score (Normalized)]]*10*$BB$5)+FMS_Ranking4[[#This Row],[FMS_Type Score Weighted]]</f>
        <v>55.423379740605725</v>
      </c>
      <c r="BN15" s="205">
        <f>_xlfn.RANK.EQ(FMS_Ranking4[[#This Row],[Total Score (with ArcSinh normalization of select criteria)]],FMS_Ranking4[Total Score (with ArcSinh normalization of select criteria)],0)</f>
        <v>8</v>
      </c>
      <c r="BO15" s="270" t="str">
        <f>_xlfn.XLOOKUP(FMS_Ranking4[[#This Row],[FMS ID]],FMS_Input[FMS_ID],FMS_Input[FMS_RANK_YEAR])</f>
        <v>2023 Amended Plan</v>
      </c>
      <c r="BP15" s="204">
        <f>_xlfn.XLOOKUP(FMS_Ranking4[[#This Row],[FMS ID]],Prev_Rank[FMS ID],Prev_Rank[Prev Rank])</f>
        <v>6</v>
      </c>
      <c r="BQ15" s="205" t="e">
        <f>_xlfn.XLOOKUP(FMS_Ranking4[[#This Row],[FMS ID]],#REF!,#REF!)</f>
        <v>#REF!</v>
      </c>
      <c r="BR15" s="199" t="e">
        <f>SUM(#REF!,#REF!,#REF!,#REF!,#REF!,#REF!,#REF!,#REF!,#REF!,FMS_Ranking4[[#This Row],[ArcSinh Res struct removed 0-10]],#REF!)</f>
        <v>#REF!</v>
      </c>
      <c r="BS15" s="199" t="e">
        <f>FMS_Ranking4[[#This Row],[Log Score Based on Normalized Reported Factors]]+FMS_Ranking4[[#This Row],[% NBS Score (Normalized)]]+(FMS_Ranking4[[#This Row],[Water Supply Score (Normalized)]]*10*$BB$5)+(FMS_Ranking4[[#This Row],[FMS_Type Score Weighted]])</f>
        <v>#REF!</v>
      </c>
      <c r="BT15" s="200" t="e">
        <f>_xlfn.RANK.EQ(FMS_Ranking4[[#This Row],[Log Total Score]],FMS_Ranking4[Log Total Score],0)</f>
        <v>#REF!</v>
      </c>
      <c r="BU15" s="200" t="e">
        <f>_xlfn.XLOOKUP(FMS_Ranking4[[#This Row],[FMS ID]],#REF!,#REF!)</f>
        <v>#REF!</v>
      </c>
      <c r="BV15" s="200">
        <f>FMS_Ranking4[[#This Row],[Region Number]]</f>
        <v>13</v>
      </c>
      <c r="BW15" s="200">
        <f>FMS_Ranking4[[#This Row],[Rank (with ArcSinh normalization of select criteria)]]-FMS_Ranking4[[#This Row],[Rank
(with linear
normalization)]]</f>
        <v>-2</v>
      </c>
      <c r="BX15" s="200" t="e">
        <f>FMS_Ranking4[[#This Row],[Log Rank]]-FMS_Ranking4[[#This Row],[Rank
(with linear
normalization)]]</f>
        <v>#REF!</v>
      </c>
      <c r="BY15" s="200" t="str">
        <f>IF(FMS_Ranking4[[#This Row],[FMS Type]]="Flood Measurement and Warning",FMS_Ranking4[[#This Row],[Rank (with ArcSinh normalization of select criteria)]],"")</f>
        <v/>
      </c>
      <c r="BZ15" s="200" t="str">
        <f>IF(FMS_Ranking4[[#This Row],[FMS Type]]="Regulatory and Guidance",FMS_Ranking4[[#This Row],[Rank (with ArcSinh normalization of select criteria)]],"")</f>
        <v/>
      </c>
      <c r="CA15" s="200">
        <f>IF(FMS_Ranking4[[#This Row],[FMS Type]]="Education and Outreach",FMS_Ranking4[[#This Row],[Rank (with ArcSinh normalization of select criteria)]],"")</f>
        <v>8</v>
      </c>
      <c r="CB15" s="200" t="str">
        <f>IF(FMS_Ranking4[[#This Row],[FMS Type]]="Property Acquisition and Structural Elevation",FMS_Ranking4[[#This Row],[Rank (with ArcSinh normalization of select criteria)]],"")</f>
        <v/>
      </c>
      <c r="CC15" s="200" t="str">
        <f>IF(FMS_Ranking4[[#This Row],[FMS Type]]="Infrastructure Projects",FMS_Ranking4[[#This Row],[Rank (with ArcSinh normalization of select criteria)]],"")</f>
        <v/>
      </c>
      <c r="CD15" s="200" t="str">
        <f>IF(FMS_Ranking4[[#This Row],[FMS Type]]="Other",FMS_Ranking4[[#This Row],[Rank (with ArcSinh normalization of select criteria)]],"")</f>
        <v/>
      </c>
      <c r="CE15" s="201"/>
      <c r="CF15" s="392" t="s">
        <v>4678</v>
      </c>
      <c r="CG15" s="392"/>
    </row>
    <row r="16" spans="2:85" ht="135" x14ac:dyDescent="0.25">
      <c r="B16" s="341" t="s">
        <v>12458</v>
      </c>
      <c r="C16" s="246">
        <f>_xlfn.XLOOKUP(FMS_Ranking4[[#This Row],[FMS ID]],FMS_Input[FMS_ID],FMS_Input[RFPG_NUM])</f>
        <v>6</v>
      </c>
      <c r="D16" s="309" t="str">
        <f>_xlfn.XLOOKUP(FMS_Ranking4[[#This Row],[FMS ID]],FMS_Input[FMS_ID],FMS_Input[FMS_NAME])</f>
        <v>Harris County Flood Control District's Flood Warning System</v>
      </c>
      <c r="E16" s="308" t="str">
        <f>_xlfn.XLOOKUP(FMS_Ranking4[[#This Row],[FMS ID]],FMS_Input[FMS_ID],FMS_Input[SPONSOR])</f>
        <v>00000310</v>
      </c>
      <c r="F16" s="309" t="str">
        <f>_xlfn.XLOOKUP(FMS_Ranking4[[#This Row],[FMS ID]],Sponsor[FMS_ID],Sponsor[SPONSOR NAME])</f>
        <v>Harris County Flood Control District</v>
      </c>
      <c r="G16" s="309" t="str">
        <f>_xlfn.XLOOKUP(FMS_Ranking4[[#This Row],[FMS ID]],FMS_Input[FMS_ID],FMS_Input[FMS_DESCR])</f>
        <v>The Harris County Flood Control District’s Flood Warning System relies on 188 gage stations strategically placed throughout Harris County bayous and their tributaries that contain sensors that transmit flows and water levels during times of heavy rainfall</v>
      </c>
      <c r="H16" s="248" t="str">
        <f>_xlfn.XLOOKUP(FMS_Ranking4[[#This Row],[FMS ID]],FMS_Input[FMS_ID],FMS_Input[FMS_TYPE])</f>
        <v>Flood Measurement and Warning</v>
      </c>
      <c r="I16" s="249">
        <f>_xlfn.XLOOKUP(FMS_Ranking4[[#This Row],[FMS ID]],FMS_Input[FMS_ID],FMS_Input[NRNC_COST])</f>
        <v>52750</v>
      </c>
      <c r="J16" s="250">
        <f>_xlfn.XLOOKUP(FMS_Ranking4[[#This Row],[FMS ID]],FMS_Input[FMS_ID],FMS_Input[FMS_COST])</f>
        <v>1055000</v>
      </c>
      <c r="K16" s="251" t="str">
        <f>_xlfn.XLOOKUP(FMS_Ranking4[[#This Row],[FMS ID]],FMS_Input[FMS_ID],FMS_Input[EMER_NEED])</f>
        <v>No</v>
      </c>
      <c r="L16" s="252">
        <f t="shared" si="0"/>
        <v>0</v>
      </c>
      <c r="M16" s="253">
        <f>_xlfn.XLOOKUP(FMS_Ranking4[[#This Row],[FMS ID]],FMS_Input[FMS_ID],FMS_Input[STRUCT_100])</f>
        <v>143588</v>
      </c>
      <c r="N16" s="255">
        <f>(ASINH(FMS_Ranking4[[#This Row],[Structure at Risk Raw]]))*(10)/(ASINH(M$4))</f>
        <v>9.8802018020100739</v>
      </c>
      <c r="O16" s="256">
        <f>FMS_Ranking4[[#This Row],[Structures at risk, ArcSinh (0-10)]]*M$5*10</f>
        <v>9.8802018020100739</v>
      </c>
      <c r="P16" s="253">
        <f>_xlfn.XLOOKUP(FMS_Ranking4[[#This Row],[FMS ID]],FMS_Input[FMS_ID],FMS_Input[RES_STRUCT100])</f>
        <v>120752</v>
      </c>
      <c r="Q16" s="257">
        <f>ASINH(FMS_Ranking4[[#This Row],[Res Structure Raw]])/Q$4*P$5*100</f>
        <v>0</v>
      </c>
      <c r="R16" s="253">
        <f>_xlfn.XLOOKUP(FMS_Ranking4[[#This Row],[FMS ID]],FMS_Input[FMS_ID],FMS_Input[POP100])</f>
        <v>976848</v>
      </c>
      <c r="S16" s="255">
        <f>(ASINH(FMS_Ranking4[[#This Row],[Pop at Risk Raw]]))*(10)/(ASINH(R$4))</f>
        <v>10</v>
      </c>
      <c r="T16" s="256">
        <f>FMS_Ranking4[[#This Row],[Population at risk, ArcSinh (0-10)]]*R$5*10</f>
        <v>10</v>
      </c>
      <c r="U16" s="253">
        <f>_xlfn.XLOOKUP(FMS_Ranking4[[#This Row],[FMS ID]],FMS_Input[FMS_ID],FMS_Input[CRITFAC100])</f>
        <v>2132</v>
      </c>
      <c r="V16" s="255">
        <f>(ASINH(FMS_Ranking4[[#This Row],[Critical Facilities Raw]]))*(10)/(ASINH(U$4))</f>
        <v>9.8938568969423368</v>
      </c>
      <c r="W16" s="256">
        <f>FMS_Ranking4[[#This Row],[Critical facilities at risk, ArcSinh (0-10)]]*U$5*10</f>
        <v>9.8938568969423368</v>
      </c>
      <c r="X16" s="253">
        <f>_xlfn.XLOOKUP(FMS_Ranking4[[#This Row],[FMS ID]],FMS_Input[FMS_ID],FMS_Input[LWC])</f>
        <v>84</v>
      </c>
      <c r="Y16" s="255">
        <f>(ASINH(FMS_Ranking4[[#This Row],[LWC Raw]]))*(10)/(ASINH(X$4))</f>
        <v>6.9416755728748436</v>
      </c>
      <c r="Z16" s="256">
        <f>FMS_Ranking4[[#This Row],[LWC, ArcSInh (0-10)]]*X$5*10</f>
        <v>6.9416755728748436</v>
      </c>
      <c r="AA16" s="253">
        <f>_xlfn.XLOOKUP(FMS_Ranking4[[#This Row],[FMS ID]],FMS_Input[FMS_ID],FMS_Input[ROADCLS])</f>
        <v>84</v>
      </c>
      <c r="AB16" s="255">
        <f>(ASINH(FMS_Ranking4[[#This Row],[Road Closures Raw]]))*(10)/(ASINH(AA$4))</f>
        <v>5.3361750871725384</v>
      </c>
      <c r="AC16" s="256">
        <f>FMS_Ranking4[[#This Row],[Road closures, ArcSinh (0-10)]]*AA$5*10</f>
        <v>2.6680875435862692</v>
      </c>
      <c r="AD16" s="253">
        <f>_xlfn.XLOOKUP(FMS_Ranking4[[#This Row],[FMS ID]],FMS_Input[FMS_ID],FMS_Input[ROAD_MILES100])</f>
        <v>2407</v>
      </c>
      <c r="AE16" s="255">
        <f>(ASINH(FMS_Ranking4[[#This Row],[Road Miles Raw]]))*(10)/(ASINH(AD$4))</f>
        <v>9.0365835266543346</v>
      </c>
      <c r="AF16" s="256">
        <f>FMS_Ranking4[[#This Row],[Length of roads at risk, ArcSinh (0-10)]]*AD$5*10</f>
        <v>9.0365835266543346</v>
      </c>
      <c r="AG16" s="253">
        <f>_xlfn.XLOOKUP(FMS_Ranking4[[#This Row],[FMS ID]],FMS_Input[FMS_ID],FMS_Input[FARMACRE100])</f>
        <v>5983.72802734375</v>
      </c>
      <c r="AH16" s="255">
        <f>(ASINH(FMS_Ranking4[[#This Row],[Ag Land Raw]]))*(10)/(ASINH(AG$4))</f>
        <v>6.0995350858874389</v>
      </c>
      <c r="AI16" s="260">
        <f>FMS_Ranking4[[#This Row],[Farm &amp; ranch land, ArcSinh (0-10)]]*AG$5*10</f>
        <v>3.0497675429437199</v>
      </c>
      <c r="AJ16" s="258">
        <f>_xlfn.XLOOKUP(FMS_Ranking4[[#This Row],[FMS ID]],FMS_Input[FMS_ID],FMS_Input[REDSTRUCT100])</f>
        <v>0</v>
      </c>
      <c r="AK16" s="253">
        <f>_xlfn.XLOOKUP(FMS_Ranking4[[#This Row],[FMS ID]],FMS_Input[FMS_ID],FMS_Input[REMSTRC100])</f>
        <v>0</v>
      </c>
      <c r="AL16" s="255">
        <f>(ASINH(FMS_Ranking4[[#This Row],[Structures Removed Raw]]))*(10)/(ASINH(AK$4))</f>
        <v>0</v>
      </c>
      <c r="AM16" s="262">
        <f>FMS_Ranking4[[#This Row],[Structures removed, ArcSinh (0-10)]]*AK$5*10</f>
        <v>0</v>
      </c>
      <c r="AN16" s="253">
        <f>_xlfn.XLOOKUP(FMS_Ranking4[[#This Row],[FMS ID]],FMS_Input[FMS_ID],FMS_Input[REMRESSTRC100])</f>
        <v>0</v>
      </c>
      <c r="AO16" s="261">
        <f>FMS_Ranking4[[#This Row],[ArcSinh Res struct removed 0-10]]*AN$5*10</f>
        <v>0</v>
      </c>
      <c r="AP16" s="254">
        <f>ASINH(FMS_Ranking4[[#This Row],[Residential Structures Removed Raw]])/AP$4*AN$5*100</f>
        <v>0</v>
      </c>
      <c r="AQ16" s="258">
        <f>(ASINH(FMS_Ranking4[[#This Row],[Residential Structures Removed Raw]]))*(10)/(ASINH(AN$4))</f>
        <v>0</v>
      </c>
      <c r="AR16" s="253">
        <f>_xlfn.XLOOKUP(FMS_Ranking4[[#This Row],[FMS ID]],FMS_Input[FMS_ID],FMS_Input[REMPOP100])</f>
        <v>0</v>
      </c>
      <c r="AS16" s="255">
        <f>(ASINH(FMS_Ranking4[[#This Row],[Removed Pop Raw]]))*(10)/(ASINH(AR$4))</f>
        <v>0</v>
      </c>
      <c r="AT16" s="262">
        <f>FMS_Ranking4[[#This Row],[Removed population, ArcSinh (0-10)]]*AR$5*10</f>
        <v>0</v>
      </c>
      <c r="AU16" s="264">
        <f>_xlfn.XLOOKUP(FMS_Ranking4[[#This Row],[FMS ID]],FMS_Input[FMS_ID],FMS_Input[REMCRITFAC100])</f>
        <v>0</v>
      </c>
      <c r="AV16" s="264">
        <f>_xlfn.XLOOKUP(FMS_Ranking4[[#This Row],[FMS ID]],FMS_Input[FMS_ID],FMS_Input[REMLWC100])</f>
        <v>0</v>
      </c>
      <c r="AW16" s="264">
        <f>_xlfn.XLOOKUP(FMS_Ranking4[[#This Row],[FMS ID]],FMS_Input[FMS_ID],FMS_Input[REMROADCLS])</f>
        <v>0</v>
      </c>
      <c r="AX16" s="264">
        <f>_xlfn.XLOOKUP(FMS_Ranking4[[#This Row],[FMS ID]],FMS_Input[FMS_ID],FMS_Input[REMFRMACRE100])</f>
        <v>0</v>
      </c>
      <c r="AY16" s="258">
        <f>_xlfn.XLOOKUP(FMS_Ranking4[[#This Row],[FMS ID]],FMS_Input[FMS_ID],FMS_Input[COSTSTRUCT])</f>
        <v>0</v>
      </c>
      <c r="AZ16" s="253">
        <f>_xlfn.XLOOKUP(FMS_Ranking4[[#This Row],[FMS ID]],FMS_Input[FMS_ID],FMS_Input[NATURE])</f>
        <v>0</v>
      </c>
      <c r="BA16" s="262">
        <f>(((FMS_Ranking4[[#This Row],[% NBS Raw]]/AZ$4)*100)*AZ$5)</f>
        <v>0</v>
      </c>
      <c r="BB16" s="251" t="str">
        <f>_xlfn.XLOOKUP(FMS_Ranking4[[#This Row],[FMS ID]],FMS_Input[FMS_ID],FMS_Input[WATER_SUP])</f>
        <v>No</v>
      </c>
      <c r="BC16" s="265">
        <f>IF(FMS_Ranking4[[#This Row],[Water Supply Raw]]="Yes",10,0)</f>
        <v>0</v>
      </c>
      <c r="BD16" s="266">
        <f>_xlfn.XLOOKUP(FMS_Ranking4[[#This Row],[FMS Type]],FMS_TYPE[FMS_Type],FMS_TYPE[Score])</f>
        <v>10</v>
      </c>
      <c r="BE16" s="352">
        <f>FMS_Ranking4[[#This Row],[FMS_Type Score]]*$BD$5*10</f>
        <v>2.5</v>
      </c>
      <c r="BF1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32.893566305540105</v>
      </c>
      <c r="BG16" s="321">
        <f>_xlfn.RANK.EQ(BF16,$BF$8:$BF$870,0)+COUNTIF($BF$8:BF16,BF16)-1</f>
        <v>1</v>
      </c>
      <c r="BH16" s="294">
        <f>(((FMS_Ranking4[[#This Row],[Structures Removed Raw]]/AK$4)*100)*AK$5)+(((FMS_Ranking4[[#This Row],[Removed Pop Raw]]/AR$4)*100)*AR$5)</f>
        <v>0</v>
      </c>
      <c r="BI1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35.393566305540105</v>
      </c>
      <c r="BJ16" s="251">
        <f>_xlfn.RANK.EQ(FMS_Ranking4[[#This Row],[Total Score 
(with linear
normalization)]],FMS_Ranking4[Total Score 
(with linear
normalization)],0)</f>
        <v>1</v>
      </c>
      <c r="BK16" s="251" t="e">
        <f>_xlfn.XLOOKUP(FMS_Ranking4[[#This Row],[FMS ID]],#REF!,#REF!)</f>
        <v>#REF!</v>
      </c>
      <c r="BL1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51.470172885011571</v>
      </c>
      <c r="BM16" s="324">
        <f>FMS_Ranking4[[#This Row],[ArcSinh Score Based on Normalized Reported Factors]]+FMS_Ranking4[[#This Row],[% NBS Score (Normalized)]]+(FMS_Ranking4[[#This Row],[Water Supply Score (Normalized)]]*10*$BB$5)+FMS_Ranking4[[#This Row],[FMS_Type Score Weighted]]</f>
        <v>53.970172885011571</v>
      </c>
      <c r="BN16" s="251">
        <f>_xlfn.RANK.EQ(FMS_Ranking4[[#This Row],[Total Score (with ArcSinh normalization of select criteria)]],FMS_Ranking4[Total Score (with ArcSinh normalization of select criteria)],0)</f>
        <v>9</v>
      </c>
      <c r="BO16" s="270" t="str">
        <f>_xlfn.XLOOKUP(FMS_Ranking4[[#This Row],[FMS ID]],FMS_Input[FMS_ID],FMS_Input[FMS_RANK_YEAR])</f>
        <v>2025 Amended Plan</v>
      </c>
      <c r="BP16" s="204" t="e">
        <f>_xlfn.XLOOKUP(FMS_Ranking4[[#This Row],[FMS ID]],Prev_Rank[FMS ID],Prev_Rank[Prev Rank])</f>
        <v>#N/A</v>
      </c>
      <c r="BQ16" s="251" t="e">
        <f>_xlfn.XLOOKUP(FMS_Ranking4[[#This Row],[FMS ID]],#REF!,#REF!)</f>
        <v>#REF!</v>
      </c>
      <c r="BR16" s="199" t="e">
        <f>SUM(#REF!,#REF!,#REF!,#REF!,#REF!,#REF!,#REF!,#REF!,#REF!,FMS_Ranking4[[#This Row],[ArcSinh Res struct removed 0-10]],#REF!)</f>
        <v>#REF!</v>
      </c>
      <c r="BS16" s="199" t="e">
        <f>FMS_Ranking4[[#This Row],[Log Score Based on Normalized Reported Factors]]+FMS_Ranking4[[#This Row],[% NBS Score (Normalized)]]+(FMS_Ranking4[[#This Row],[Water Supply Score (Normalized)]]*10*$BB$5)+(FMS_Ranking4[[#This Row],[FMS_Type Score Weighted]])</f>
        <v>#REF!</v>
      </c>
      <c r="BT16" s="200" t="e">
        <f>_xlfn.RANK.EQ(FMS_Ranking4[[#This Row],[Log Total Score]],FMS_Ranking4[Log Total Score],0)</f>
        <v>#REF!</v>
      </c>
      <c r="BU16" s="200" t="e">
        <f>_xlfn.XLOOKUP(FMS_Ranking4[[#This Row],[FMS ID]],#REF!,#REF!)</f>
        <v>#REF!</v>
      </c>
      <c r="BV16" s="200">
        <f>FMS_Ranking4[[#This Row],[Region Number]]</f>
        <v>6</v>
      </c>
      <c r="BW16" s="200">
        <f>FMS_Ranking4[[#This Row],[Rank (with ArcSinh normalization of select criteria)]]-FMS_Ranking4[[#This Row],[Rank
(with linear
normalization)]]</f>
        <v>8</v>
      </c>
      <c r="BX16" s="200" t="e">
        <f>FMS_Ranking4[[#This Row],[Log Rank]]-FMS_Ranking4[[#This Row],[Rank
(with linear
normalization)]]</f>
        <v>#REF!</v>
      </c>
      <c r="BY16" s="200">
        <f>IF(FMS_Ranking4[[#This Row],[FMS Type]]="Flood Measurement and Warning",FMS_Ranking4[[#This Row],[Rank (with ArcSinh normalization of select criteria)]],"")</f>
        <v>9</v>
      </c>
      <c r="BZ16" s="200" t="str">
        <f>IF(FMS_Ranking4[[#This Row],[FMS Type]]="Regulatory and Guidance",FMS_Ranking4[[#This Row],[Rank (with ArcSinh normalization of select criteria)]],"")</f>
        <v/>
      </c>
      <c r="CA16" s="200" t="str">
        <f>IF(FMS_Ranking4[[#This Row],[FMS Type]]="Education and Outreach",FMS_Ranking4[[#This Row],[Rank (with ArcSinh normalization of select criteria)]],"")</f>
        <v/>
      </c>
      <c r="CB16" s="200" t="str">
        <f>IF(FMS_Ranking4[[#This Row],[FMS Type]]="Property Acquisition and Structural Elevation",FMS_Ranking4[[#This Row],[Rank (with ArcSinh normalization of select criteria)]],"")</f>
        <v/>
      </c>
      <c r="CC16" s="200" t="str">
        <f>IF(FMS_Ranking4[[#This Row],[FMS Type]]="Infrastructure Projects",FMS_Ranking4[[#This Row],[Rank (with ArcSinh normalization of select criteria)]],"")</f>
        <v/>
      </c>
      <c r="CD16" s="200" t="str">
        <f>IF(FMS_Ranking4[[#This Row],[FMS Type]]="Other",FMS_Ranking4[[#This Row],[Rank (with ArcSinh normalization of select criteria)]],"")</f>
        <v/>
      </c>
      <c r="CE16" s="201"/>
      <c r="CF16" s="203">
        <f>_xlfn.STDEV.P(FMS_Ranking4[ArcSinh Rank Residual])</f>
        <v>246.21690594685822</v>
      </c>
      <c r="CG16" s="203" t="e">
        <f>_xlfn.STDEV.P(FMS_Ranking4[Log Rank Residual])</f>
        <v>#REF!</v>
      </c>
    </row>
    <row r="17" spans="2:85" ht="135" x14ac:dyDescent="0.25">
      <c r="B17" s="341" t="s">
        <v>32</v>
      </c>
      <c r="C17" s="246">
        <f>_xlfn.XLOOKUP(FMS_Ranking4[[#This Row],[FMS ID]],FMS_Input[FMS_ID],FMS_Input[RFPG_NUM])</f>
        <v>6</v>
      </c>
      <c r="D17" s="309" t="str">
        <f>_xlfn.XLOOKUP(FMS_Ranking4[[#This Row],[FMS ID]],FMS_Input[FMS_ID],FMS_Input[FMS_NAME])</f>
        <v>Harris County Hazard Mitigation Action AW-6</v>
      </c>
      <c r="E17" s="308" t="str">
        <f>_xlfn.XLOOKUP(FMS_Ranking4[[#This Row],[FMS ID]],FMS_Input[FMS_ID],FMS_Input[SPONSOR])</f>
        <v>00000020</v>
      </c>
      <c r="F17" s="309" t="str">
        <f>_xlfn.XLOOKUP(FMS_Ranking4[[#This Row],[FMS ID]],Sponsor[FMS_ID],Sponsor[SPONSOR NAME])</f>
        <v>Harris</v>
      </c>
      <c r="G17" s="309" t="str">
        <f>_xlfn.XLOOKUP(FMS_Ranking4[[#This Row],[FMS ID]],FMS_Input[FMS_ID],FMS_Input[FMS_DESCR])</f>
        <v xml:space="preserve">Utilize viable and relevant information, data and tools (Hazus models) developed as part of the update to the risk assessment of this plan update to support training and exercise of the County's preparedness, response and recovery programs. </v>
      </c>
      <c r="H17" s="248" t="str">
        <f>_xlfn.XLOOKUP(FMS_Ranking4[[#This Row],[FMS ID]],FMS_Input[FMS_ID],FMS_Input[FMS_TYPE])</f>
        <v>Flood Measurement and Warning</v>
      </c>
      <c r="I17" s="249">
        <f>_xlfn.XLOOKUP(FMS_Ranking4[[#This Row],[FMS ID]],FMS_Input[FMS_ID],FMS_Input[NRNC_COST])</f>
        <v>25000</v>
      </c>
      <c r="J17" s="250">
        <f>_xlfn.XLOOKUP(FMS_Ranking4[[#This Row],[FMS ID]],FMS_Input[FMS_ID],FMS_Input[FMS_COST])</f>
        <v>500000</v>
      </c>
      <c r="K17" s="251" t="str">
        <f>_xlfn.XLOOKUP(FMS_Ranking4[[#This Row],[FMS ID]],FMS_Input[FMS_ID],FMS_Input[EMER_NEED])</f>
        <v>No</v>
      </c>
      <c r="L17" s="252">
        <f t="shared" si="0"/>
        <v>0</v>
      </c>
      <c r="M17" s="253">
        <f>_xlfn.XLOOKUP(FMS_Ranking4[[#This Row],[FMS ID]],FMS_Input[FMS_ID],FMS_Input[STRUCT_100])</f>
        <v>143642</v>
      </c>
      <c r="N17" s="255">
        <f>(ASINH(FMS_Ranking4[[#This Row],[Structure at Risk Raw]]))*(10)/(ASINH(M$4))</f>
        <v>9.8804973981577646</v>
      </c>
      <c r="O17" s="256">
        <f>FMS_Ranking4[[#This Row],[Structures at risk, ArcSinh (0-10)]]*M$5*10</f>
        <v>9.8804973981577646</v>
      </c>
      <c r="P17" s="253">
        <f>_xlfn.XLOOKUP(FMS_Ranking4[[#This Row],[FMS ID]],FMS_Input[FMS_ID],FMS_Input[RES_STRUCT100])</f>
        <v>120807</v>
      </c>
      <c r="Q17" s="257">
        <f>ASINH(FMS_Ranking4[[#This Row],[Res Structure Raw]])/Q$4*P$5*100</f>
        <v>0</v>
      </c>
      <c r="R17" s="253">
        <f>_xlfn.XLOOKUP(FMS_Ranking4[[#This Row],[FMS ID]],FMS_Input[FMS_ID],FMS_Input[POP100])</f>
        <v>590954</v>
      </c>
      <c r="S17" s="259">
        <f>(ASINH(FMS_Ranking4[[#This Row],[Pop at Risk Raw]]))*(10)/(ASINH(R$4))</f>
        <v>9.6530308740239228</v>
      </c>
      <c r="T17" s="256">
        <f>FMS_Ranking4[[#This Row],[Population at risk, ArcSinh (0-10)]]*R$5*10</f>
        <v>9.6530308740239228</v>
      </c>
      <c r="U17" s="253">
        <f>_xlfn.XLOOKUP(FMS_Ranking4[[#This Row],[FMS ID]],FMS_Input[FMS_ID],FMS_Input[CRITFAC100])</f>
        <v>2332</v>
      </c>
      <c r="V17" s="259">
        <f>(ASINH(FMS_Ranking4[[#This Row],[Critical Facilities Raw]]))*(10)/(ASINH(U$4))</f>
        <v>10</v>
      </c>
      <c r="W17" s="256">
        <f>FMS_Ranking4[[#This Row],[Critical facilities at risk, ArcSinh (0-10)]]*U$5*10</f>
        <v>10</v>
      </c>
      <c r="X17" s="253">
        <f>_xlfn.XLOOKUP(FMS_Ranking4[[#This Row],[FMS ID]],FMS_Input[FMS_ID],FMS_Input[LWC])</f>
        <v>89</v>
      </c>
      <c r="Y17" s="259">
        <f>(ASINH(FMS_Ranking4[[#This Row],[LWC Raw]]))*(10)/(ASINH(X$4))</f>
        <v>7.020000688684088</v>
      </c>
      <c r="Z17" s="256">
        <f>FMS_Ranking4[[#This Row],[LWC, ArcSInh (0-10)]]*X$5*10</f>
        <v>7.020000688684088</v>
      </c>
      <c r="AA17" s="253">
        <f>_xlfn.XLOOKUP(FMS_Ranking4[[#This Row],[FMS ID]],FMS_Input[FMS_ID],FMS_Input[ROADCLS])</f>
        <v>89</v>
      </c>
      <c r="AB17" s="255">
        <f>(ASINH(FMS_Ranking4[[#This Row],[Road Closures Raw]]))*(10)/(ASINH(AA$4))</f>
        <v>5.3963848344148895</v>
      </c>
      <c r="AC17" s="256">
        <f>FMS_Ranking4[[#This Row],[Road closures, ArcSinh (0-10)]]*AA$5*10</f>
        <v>2.6981924172074452</v>
      </c>
      <c r="AD17" s="253">
        <f>_xlfn.XLOOKUP(FMS_Ranking4[[#This Row],[FMS ID]],FMS_Input[FMS_ID],FMS_Input[ROAD_MILES100])</f>
        <v>2408</v>
      </c>
      <c r="AE17" s="259">
        <f>(ASINH(FMS_Ranking4[[#This Row],[Road Miles Raw]]))*(10)/(ASINH(AD$4))</f>
        <v>9.0370261953144126</v>
      </c>
      <c r="AF17" s="256">
        <f>FMS_Ranking4[[#This Row],[Length of roads at risk, ArcSinh (0-10)]]*AD$5*10</f>
        <v>9.0370261953144126</v>
      </c>
      <c r="AG17" s="253">
        <f>_xlfn.XLOOKUP(FMS_Ranking4[[#This Row],[FMS ID]],FMS_Input[FMS_ID],FMS_Input[FARMACRE100])</f>
        <v>5993.46923828125</v>
      </c>
      <c r="AH17" s="255">
        <f>(ASINH(FMS_Ranking4[[#This Row],[Ag Land Raw]]))*(10)/(ASINH(AG$4))</f>
        <v>6.1005917122884838</v>
      </c>
      <c r="AI17" s="260">
        <f>FMS_Ranking4[[#This Row],[Farm &amp; ranch land, ArcSinh (0-10)]]*AG$5*10</f>
        <v>3.0502958561442424</v>
      </c>
      <c r="AJ17" s="258">
        <f>_xlfn.XLOOKUP(FMS_Ranking4[[#This Row],[FMS ID]],FMS_Input[FMS_ID],FMS_Input[REDSTRUCT100])</f>
        <v>0</v>
      </c>
      <c r="AK17" s="253">
        <f>_xlfn.XLOOKUP(FMS_Ranking4[[#This Row],[FMS ID]],FMS_Input[FMS_ID],FMS_Input[REMSTRC100])</f>
        <v>0</v>
      </c>
      <c r="AL17" s="259">
        <f>(ASINH(FMS_Ranking4[[#This Row],[Structures Removed Raw]]))*(10)/(ASINH(AK$4))</f>
        <v>0</v>
      </c>
      <c r="AM17" s="262">
        <f>FMS_Ranking4[[#This Row],[Structures removed, ArcSinh (0-10)]]*AK$5*10</f>
        <v>0</v>
      </c>
      <c r="AN17" s="253">
        <f>_xlfn.XLOOKUP(FMS_Ranking4[[#This Row],[FMS ID]],FMS_Input[FMS_ID],FMS_Input[REMRESSTRC100])</f>
        <v>0</v>
      </c>
      <c r="AO17" s="261">
        <f>FMS_Ranking4[[#This Row],[ArcSinh Res struct removed 0-10]]*AN$5*10</f>
        <v>0</v>
      </c>
      <c r="AP17" s="254">
        <f>ASINH(FMS_Ranking4[[#This Row],[Residential Structures Removed Raw]])/AP$4*AN$5*100</f>
        <v>0</v>
      </c>
      <c r="AQ17" s="254">
        <f>(ASINH(FMS_Ranking4[[#This Row],[Residential Structures Removed Raw]]))*(10)/(ASINH(AN$4))</f>
        <v>0</v>
      </c>
      <c r="AR17" s="253">
        <f>_xlfn.XLOOKUP(FMS_Ranking4[[#This Row],[FMS ID]],FMS_Input[FMS_ID],FMS_Input[REMPOP100])</f>
        <v>0</v>
      </c>
      <c r="AS17" s="259">
        <f>(ASINH(FMS_Ranking4[[#This Row],[Removed Pop Raw]]))*(10)/(ASINH(AR$4))</f>
        <v>0</v>
      </c>
      <c r="AT17" s="262">
        <f>FMS_Ranking4[[#This Row],[Removed population, ArcSinh (0-10)]]*AR$5*10</f>
        <v>0</v>
      </c>
      <c r="AU17" s="264">
        <f>_xlfn.XLOOKUP(FMS_Ranking4[[#This Row],[FMS ID]],FMS_Input[FMS_ID],FMS_Input[REMCRITFAC100])</f>
        <v>0</v>
      </c>
      <c r="AV17" s="264">
        <f>_xlfn.XLOOKUP(FMS_Ranking4[[#This Row],[FMS ID]],FMS_Input[FMS_ID],FMS_Input[REMLWC100])</f>
        <v>0</v>
      </c>
      <c r="AW17" s="264">
        <f>_xlfn.XLOOKUP(FMS_Ranking4[[#This Row],[FMS ID]],FMS_Input[FMS_ID],FMS_Input[REMROADCLS])</f>
        <v>0</v>
      </c>
      <c r="AX17" s="264">
        <f>_xlfn.XLOOKUP(FMS_Ranking4[[#This Row],[FMS ID]],FMS_Input[FMS_ID],FMS_Input[REMFRMACRE100])</f>
        <v>0</v>
      </c>
      <c r="AY17" s="258">
        <f>_xlfn.XLOOKUP(FMS_Ranking4[[#This Row],[FMS ID]],FMS_Input[FMS_ID],FMS_Input[COSTSTRUCT])</f>
        <v>0</v>
      </c>
      <c r="AZ17" s="253">
        <f>_xlfn.XLOOKUP(FMS_Ranking4[[#This Row],[FMS ID]],FMS_Input[FMS_ID],FMS_Input[NATURE])</f>
        <v>0</v>
      </c>
      <c r="BA17" s="262">
        <f>(((FMS_Ranking4[[#This Row],[% NBS Raw]]/AZ$4)*100)*AZ$5)</f>
        <v>0</v>
      </c>
      <c r="BB17" s="251" t="str">
        <f>_xlfn.XLOOKUP(FMS_Ranking4[[#This Row],[FMS ID]],FMS_Input[FMS_ID],FMS_Input[WATER_SUP])</f>
        <v>No</v>
      </c>
      <c r="BC17" s="265">
        <f>IF(FMS_Ranking4[[#This Row],[Water Supply Raw]]="Yes",10,0)</f>
        <v>0</v>
      </c>
      <c r="BD17" s="266">
        <f>_xlfn.XLOOKUP(FMS_Ranking4[[#This Row],[FMS Type]],FMS_TYPE[FMS_Type],FMS_TYPE[Score])</f>
        <v>10</v>
      </c>
      <c r="BE17" s="267">
        <f>FMS_Ranking4[[#This Row],[FMS_Type Score]]*$BD$5*10</f>
        <v>2.5</v>
      </c>
      <c r="BF1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29.871376119406943</v>
      </c>
      <c r="BG17" s="271">
        <f>_xlfn.RANK.EQ(BF17,$BF$8:$BF$870,0)+COUNTIF($BF$8:BF17,BF17)-1</f>
        <v>3</v>
      </c>
      <c r="BH17" s="268">
        <f>(((FMS_Ranking4[[#This Row],[Structures Removed Raw]]/AK$4)*100)*AK$5)+(((FMS_Ranking4[[#This Row],[Removed Pop Raw]]/AR$4)*100)*AR$5)</f>
        <v>0</v>
      </c>
      <c r="BI1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32.371376119406946</v>
      </c>
      <c r="BJ17" s="205">
        <f>_xlfn.RANK.EQ(FMS_Ranking4[[#This Row],[Total Score 
(with linear
normalization)]],FMS_Ranking4[Total Score 
(with linear
normalization)],0)</f>
        <v>3</v>
      </c>
      <c r="BK17" s="205" t="e">
        <f>_xlfn.XLOOKUP(FMS_Ranking4[[#This Row],[FMS ID]],#REF!,#REF!)</f>
        <v>#REF!</v>
      </c>
      <c r="BL1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51.339043429531877</v>
      </c>
      <c r="BM17" s="272">
        <f>FMS_Ranking4[[#This Row],[ArcSinh Score Based on Normalized Reported Factors]]+FMS_Ranking4[[#This Row],[% NBS Score (Normalized)]]+(FMS_Ranking4[[#This Row],[Water Supply Score (Normalized)]]*10*$BB$5)+FMS_Ranking4[[#This Row],[FMS_Type Score Weighted]]</f>
        <v>53.839043429531877</v>
      </c>
      <c r="BN17" s="205">
        <f>_xlfn.RANK.EQ(FMS_Ranking4[[#This Row],[Total Score (with ArcSinh normalization of select criteria)]],FMS_Ranking4[Total Score (with ArcSinh normalization of select criteria)],0)</f>
        <v>10</v>
      </c>
      <c r="BO17" s="270" t="str">
        <f>_xlfn.XLOOKUP(FMS_Ranking4[[#This Row],[FMS ID]],FMS_Input[FMS_ID],FMS_Input[FMS_RANK_YEAR])</f>
        <v>2023 Amended Plan</v>
      </c>
      <c r="BP17" s="204">
        <f>_xlfn.XLOOKUP(FMS_Ranking4[[#This Row],[FMS ID]],Prev_Rank[FMS ID],Prev_Rank[Prev Rank])</f>
        <v>10</v>
      </c>
      <c r="BQ17" s="205" t="e">
        <f>_xlfn.XLOOKUP(FMS_Ranking4[[#This Row],[FMS ID]],#REF!,#REF!)</f>
        <v>#REF!</v>
      </c>
      <c r="BR17" s="199" t="e">
        <f>SUM(#REF!,#REF!,#REF!,#REF!,#REF!,#REF!,#REF!,#REF!,#REF!,FMS_Ranking4[[#This Row],[ArcSinh Res struct removed 0-10]],#REF!)</f>
        <v>#REF!</v>
      </c>
      <c r="BS17" s="199" t="e">
        <f>FMS_Ranking4[[#This Row],[Log Score Based on Normalized Reported Factors]]+FMS_Ranking4[[#This Row],[% NBS Score (Normalized)]]+(FMS_Ranking4[[#This Row],[Water Supply Score (Normalized)]]*10*$BB$5)+(FMS_Ranking4[[#This Row],[FMS_Type Score Weighted]])</f>
        <v>#REF!</v>
      </c>
      <c r="BT17" s="200" t="e">
        <f>_xlfn.RANK.EQ(FMS_Ranking4[[#This Row],[Log Total Score]],FMS_Ranking4[Log Total Score],0)</f>
        <v>#REF!</v>
      </c>
      <c r="BU17" s="200" t="e">
        <f>_xlfn.XLOOKUP(FMS_Ranking4[[#This Row],[FMS ID]],#REF!,#REF!)</f>
        <v>#REF!</v>
      </c>
      <c r="BV17" s="200">
        <f>FMS_Ranking4[[#This Row],[Region Number]]</f>
        <v>6</v>
      </c>
      <c r="BW17" s="200">
        <f>FMS_Ranking4[[#This Row],[Rank (with ArcSinh normalization of select criteria)]]-FMS_Ranking4[[#This Row],[Rank
(with linear
normalization)]]</f>
        <v>7</v>
      </c>
      <c r="BX17" s="200" t="e">
        <f>FMS_Ranking4[[#This Row],[Log Rank]]-FMS_Ranking4[[#This Row],[Rank
(with linear
normalization)]]</f>
        <v>#REF!</v>
      </c>
      <c r="BY17" s="200">
        <f>IF(FMS_Ranking4[[#This Row],[FMS Type]]="Flood Measurement and Warning",FMS_Ranking4[[#This Row],[Rank (with ArcSinh normalization of select criteria)]],"")</f>
        <v>10</v>
      </c>
      <c r="BZ17" s="200" t="str">
        <f>IF(FMS_Ranking4[[#This Row],[FMS Type]]="Regulatory and Guidance",FMS_Ranking4[[#This Row],[Rank (with ArcSinh normalization of select criteria)]],"")</f>
        <v/>
      </c>
      <c r="CA17" s="200" t="str">
        <f>IF(FMS_Ranking4[[#This Row],[FMS Type]]="Education and Outreach",FMS_Ranking4[[#This Row],[Rank (with ArcSinh normalization of select criteria)]],"")</f>
        <v/>
      </c>
      <c r="CB17" s="200" t="str">
        <f>IF(FMS_Ranking4[[#This Row],[FMS Type]]="Property Acquisition and Structural Elevation",FMS_Ranking4[[#This Row],[Rank (with ArcSinh normalization of select criteria)]],"")</f>
        <v/>
      </c>
      <c r="CC17" s="200" t="str">
        <f>IF(FMS_Ranking4[[#This Row],[FMS Type]]="Infrastructure Projects",FMS_Ranking4[[#This Row],[Rank (with ArcSinh normalization of select criteria)]],"")</f>
        <v/>
      </c>
      <c r="CD17" s="200" t="str">
        <f>IF(FMS_Ranking4[[#This Row],[FMS Type]]="Other",FMS_Ranking4[[#This Row],[Rank (with ArcSinh normalization of select criteria)]],"")</f>
        <v/>
      </c>
      <c r="CE17" s="201"/>
      <c r="CF17" s="392" t="s">
        <v>4679</v>
      </c>
      <c r="CG17" s="392"/>
    </row>
    <row r="18" spans="2:85" ht="120" x14ac:dyDescent="0.25">
      <c r="B18" s="341" t="s">
        <v>25</v>
      </c>
      <c r="C18" s="246">
        <f>_xlfn.XLOOKUP(FMS_Ranking4[[#This Row],[FMS ID]],FMS_Input[FMS_ID],FMS_Input[RFPG_NUM])</f>
        <v>6</v>
      </c>
      <c r="D18" s="309" t="str">
        <f>_xlfn.XLOOKUP(FMS_Ranking4[[#This Row],[FMS ID]],FMS_Input[FMS_ID],FMS_Input[FMS_NAME])</f>
        <v>Harris County Hazard Mitigation Action AW-4</v>
      </c>
      <c r="E18" s="308" t="str">
        <f>_xlfn.XLOOKUP(FMS_Ranking4[[#This Row],[FMS ID]],FMS_Input[FMS_ID],FMS_Input[SPONSOR])</f>
        <v>00000020</v>
      </c>
      <c r="F18" s="309" t="str">
        <f>_xlfn.XLOOKUP(FMS_Ranking4[[#This Row],[FMS ID]],Sponsor[FMS_ID],Sponsor[SPONSOR NAME])</f>
        <v>Harris</v>
      </c>
      <c r="G18" s="309" t="str">
        <f>_xlfn.XLOOKUP(FMS_Ranking4[[#This Row],[FMS ID]],FMS_Input[FMS_ID],FMS_Input[FMS_DESCR])</f>
        <v>Strive to capture time-sensitive data such as high-water marks, extent and location of hazard, and loss information to support future updates to risk assessments as well as other plans and programs that utilize hazard extent data.</v>
      </c>
      <c r="H18" s="248" t="str">
        <f>_xlfn.XLOOKUP(FMS_Ranking4[[#This Row],[FMS ID]],FMS_Input[FMS_ID],FMS_Input[FMS_TYPE])</f>
        <v>Flood Measurement and Warning</v>
      </c>
      <c r="I18" s="249">
        <f>_xlfn.XLOOKUP(FMS_Ranking4[[#This Row],[FMS ID]],FMS_Input[FMS_ID],FMS_Input[NRNC_COST])</f>
        <v>15000</v>
      </c>
      <c r="J18" s="250">
        <f>_xlfn.XLOOKUP(FMS_Ranking4[[#This Row],[FMS ID]],FMS_Input[FMS_ID],FMS_Input[FMS_COST])</f>
        <v>300000</v>
      </c>
      <c r="K18" s="251" t="str">
        <f>_xlfn.XLOOKUP(FMS_Ranking4[[#This Row],[FMS ID]],FMS_Input[FMS_ID],FMS_Input[EMER_NEED])</f>
        <v>No</v>
      </c>
      <c r="L18" s="252">
        <f t="shared" si="0"/>
        <v>0</v>
      </c>
      <c r="M18" s="253">
        <f>_xlfn.XLOOKUP(FMS_Ranking4[[#This Row],[FMS ID]],FMS_Input[FMS_ID],FMS_Input[STRUCT_100])</f>
        <v>143642</v>
      </c>
      <c r="N18" s="255">
        <f>(ASINH(FMS_Ranking4[[#This Row],[Structure at Risk Raw]]))*(10)/(ASINH(M$4))</f>
        <v>9.8804973981577646</v>
      </c>
      <c r="O18" s="256">
        <f>FMS_Ranking4[[#This Row],[Structures at risk, ArcSinh (0-10)]]*M$5*10</f>
        <v>9.8804973981577646</v>
      </c>
      <c r="P18" s="253">
        <f>_xlfn.XLOOKUP(FMS_Ranking4[[#This Row],[FMS ID]],FMS_Input[FMS_ID],FMS_Input[RES_STRUCT100])</f>
        <v>120807</v>
      </c>
      <c r="Q18" s="257">
        <f>ASINH(FMS_Ranking4[[#This Row],[Res Structure Raw]])/Q$4*P$5*100</f>
        <v>0</v>
      </c>
      <c r="R18" s="253">
        <f>_xlfn.XLOOKUP(FMS_Ranking4[[#This Row],[FMS ID]],FMS_Input[FMS_ID],FMS_Input[POP100])</f>
        <v>590954</v>
      </c>
      <c r="S18" s="259">
        <f>(ASINH(FMS_Ranking4[[#This Row],[Pop at Risk Raw]]))*(10)/(ASINH(R$4))</f>
        <v>9.6530308740239228</v>
      </c>
      <c r="T18" s="256">
        <f>FMS_Ranking4[[#This Row],[Population at risk, ArcSinh (0-10)]]*R$5*10</f>
        <v>9.6530308740239228</v>
      </c>
      <c r="U18" s="253">
        <f>_xlfn.XLOOKUP(FMS_Ranking4[[#This Row],[FMS ID]],FMS_Input[FMS_ID],FMS_Input[CRITFAC100])</f>
        <v>2332</v>
      </c>
      <c r="V18" s="259">
        <f>(ASINH(FMS_Ranking4[[#This Row],[Critical Facilities Raw]]))*(10)/(ASINH(U$4))</f>
        <v>10</v>
      </c>
      <c r="W18" s="256">
        <f>FMS_Ranking4[[#This Row],[Critical facilities at risk, ArcSinh (0-10)]]*U$5*10</f>
        <v>10</v>
      </c>
      <c r="X18" s="253">
        <f>_xlfn.XLOOKUP(FMS_Ranking4[[#This Row],[FMS ID]],FMS_Input[FMS_ID],FMS_Input[LWC])</f>
        <v>89</v>
      </c>
      <c r="Y18" s="259">
        <f>(ASINH(FMS_Ranking4[[#This Row],[LWC Raw]]))*(10)/(ASINH(X$4))</f>
        <v>7.020000688684088</v>
      </c>
      <c r="Z18" s="256">
        <f>FMS_Ranking4[[#This Row],[LWC, ArcSInh (0-10)]]*X$5*10</f>
        <v>7.020000688684088</v>
      </c>
      <c r="AA18" s="253">
        <f>_xlfn.XLOOKUP(FMS_Ranking4[[#This Row],[FMS ID]],FMS_Input[FMS_ID],FMS_Input[ROADCLS])</f>
        <v>89</v>
      </c>
      <c r="AB18" s="255">
        <f>(ASINH(FMS_Ranking4[[#This Row],[Road Closures Raw]]))*(10)/(ASINH(AA$4))</f>
        <v>5.3963848344148895</v>
      </c>
      <c r="AC18" s="256">
        <f>FMS_Ranking4[[#This Row],[Road closures, ArcSinh (0-10)]]*AA$5*10</f>
        <v>2.6981924172074452</v>
      </c>
      <c r="AD18" s="253">
        <f>_xlfn.XLOOKUP(FMS_Ranking4[[#This Row],[FMS ID]],FMS_Input[FMS_ID],FMS_Input[ROAD_MILES100])</f>
        <v>2408</v>
      </c>
      <c r="AE18" s="259">
        <f>(ASINH(FMS_Ranking4[[#This Row],[Road Miles Raw]]))*(10)/(ASINH(AD$4))</f>
        <v>9.0370261953144126</v>
      </c>
      <c r="AF18" s="256">
        <f>FMS_Ranking4[[#This Row],[Length of roads at risk, ArcSinh (0-10)]]*AD$5*10</f>
        <v>9.0370261953144126</v>
      </c>
      <c r="AG18" s="253">
        <f>_xlfn.XLOOKUP(FMS_Ranking4[[#This Row],[FMS ID]],FMS_Input[FMS_ID],FMS_Input[FARMACRE100])</f>
        <v>5993.46923828125</v>
      </c>
      <c r="AH18" s="255">
        <f>(ASINH(FMS_Ranking4[[#This Row],[Ag Land Raw]]))*(10)/(ASINH(AG$4))</f>
        <v>6.1005917122884838</v>
      </c>
      <c r="AI18" s="260">
        <f>FMS_Ranking4[[#This Row],[Farm &amp; ranch land, ArcSinh (0-10)]]*AG$5*10</f>
        <v>3.0502958561442424</v>
      </c>
      <c r="AJ18" s="258">
        <f>_xlfn.XLOOKUP(FMS_Ranking4[[#This Row],[FMS ID]],FMS_Input[FMS_ID],FMS_Input[REDSTRUCT100])</f>
        <v>0</v>
      </c>
      <c r="AK18" s="253">
        <f>_xlfn.XLOOKUP(FMS_Ranking4[[#This Row],[FMS ID]],FMS_Input[FMS_ID],FMS_Input[REMSTRC100])</f>
        <v>0</v>
      </c>
      <c r="AL18" s="259">
        <f>(ASINH(FMS_Ranking4[[#This Row],[Structures Removed Raw]]))*(10)/(ASINH(AK$4))</f>
        <v>0</v>
      </c>
      <c r="AM18" s="262">
        <f>FMS_Ranking4[[#This Row],[Structures removed, ArcSinh (0-10)]]*AK$5*10</f>
        <v>0</v>
      </c>
      <c r="AN18" s="253">
        <f>_xlfn.XLOOKUP(FMS_Ranking4[[#This Row],[FMS ID]],FMS_Input[FMS_ID],FMS_Input[REMRESSTRC100])</f>
        <v>0</v>
      </c>
      <c r="AO18" s="261">
        <f>FMS_Ranking4[[#This Row],[ArcSinh Res struct removed 0-10]]*AN$5*10</f>
        <v>0</v>
      </c>
      <c r="AP18" s="254">
        <f>ASINH(FMS_Ranking4[[#This Row],[Residential Structures Removed Raw]])/AP$4*AN$5*100</f>
        <v>0</v>
      </c>
      <c r="AQ18" s="254">
        <f>(ASINH(FMS_Ranking4[[#This Row],[Residential Structures Removed Raw]]))*(10)/(ASINH(AN$4))</f>
        <v>0</v>
      </c>
      <c r="AR18" s="253">
        <f>_xlfn.XLOOKUP(FMS_Ranking4[[#This Row],[FMS ID]],FMS_Input[FMS_ID],FMS_Input[REMPOP100])</f>
        <v>0</v>
      </c>
      <c r="AS18" s="259">
        <f>(ASINH(FMS_Ranking4[[#This Row],[Removed Pop Raw]]))*(10)/(ASINH(AR$4))</f>
        <v>0</v>
      </c>
      <c r="AT18" s="262">
        <f>FMS_Ranking4[[#This Row],[Removed population, ArcSinh (0-10)]]*AR$5*10</f>
        <v>0</v>
      </c>
      <c r="AU18" s="264">
        <f>_xlfn.XLOOKUP(FMS_Ranking4[[#This Row],[FMS ID]],FMS_Input[FMS_ID],FMS_Input[REMCRITFAC100])</f>
        <v>0</v>
      </c>
      <c r="AV18" s="264">
        <f>_xlfn.XLOOKUP(FMS_Ranking4[[#This Row],[FMS ID]],FMS_Input[FMS_ID],FMS_Input[REMLWC100])</f>
        <v>0</v>
      </c>
      <c r="AW18" s="264">
        <f>_xlfn.XLOOKUP(FMS_Ranking4[[#This Row],[FMS ID]],FMS_Input[FMS_ID],FMS_Input[REMROADCLS])</f>
        <v>0</v>
      </c>
      <c r="AX18" s="264">
        <f>_xlfn.XLOOKUP(FMS_Ranking4[[#This Row],[FMS ID]],FMS_Input[FMS_ID],FMS_Input[REMFRMACRE100])</f>
        <v>0</v>
      </c>
      <c r="AY18" s="258">
        <f>_xlfn.XLOOKUP(FMS_Ranking4[[#This Row],[FMS ID]],FMS_Input[FMS_ID],FMS_Input[COSTSTRUCT])</f>
        <v>0</v>
      </c>
      <c r="AZ18" s="253">
        <f>_xlfn.XLOOKUP(FMS_Ranking4[[#This Row],[FMS ID]],FMS_Input[FMS_ID],FMS_Input[NATURE])</f>
        <v>0</v>
      </c>
      <c r="BA18" s="262">
        <f>(((FMS_Ranking4[[#This Row],[% NBS Raw]]/AZ$4)*100)*AZ$5)</f>
        <v>0</v>
      </c>
      <c r="BB18" s="251" t="str">
        <f>_xlfn.XLOOKUP(FMS_Ranking4[[#This Row],[FMS ID]],FMS_Input[FMS_ID],FMS_Input[WATER_SUP])</f>
        <v>No</v>
      </c>
      <c r="BC18" s="265">
        <f>IF(FMS_Ranking4[[#This Row],[Water Supply Raw]]="Yes",10,0)</f>
        <v>0</v>
      </c>
      <c r="BD18" s="266">
        <f>_xlfn.XLOOKUP(FMS_Ranking4[[#This Row],[FMS Type]],FMS_TYPE[FMS_Type],FMS_TYPE[Score])</f>
        <v>10</v>
      </c>
      <c r="BE18" s="267">
        <f>FMS_Ranking4[[#This Row],[FMS_Type Score]]*$BD$5*10</f>
        <v>2.5</v>
      </c>
      <c r="BF1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29.871376119406943</v>
      </c>
      <c r="BG18" s="271">
        <f>_xlfn.RANK.EQ(BF18,$BF$8:$BF$870,0)+COUNTIF($BF$8:BF18,BF18)-1</f>
        <v>4</v>
      </c>
      <c r="BH18" s="268">
        <f>(((FMS_Ranking4[[#This Row],[Structures Removed Raw]]/AK$4)*100)*AK$5)+(((FMS_Ranking4[[#This Row],[Removed Pop Raw]]/AR$4)*100)*AR$5)</f>
        <v>0</v>
      </c>
      <c r="BI1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32.371376119406946</v>
      </c>
      <c r="BJ18" s="205">
        <f>_xlfn.RANK.EQ(FMS_Ranking4[[#This Row],[Total Score 
(with linear
normalization)]],FMS_Ranking4[Total Score 
(with linear
normalization)],0)</f>
        <v>3</v>
      </c>
      <c r="BK18" s="205" t="e">
        <f>_xlfn.XLOOKUP(FMS_Ranking4[[#This Row],[FMS ID]],#REF!,#REF!)</f>
        <v>#REF!</v>
      </c>
      <c r="BL1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51.339043429531877</v>
      </c>
      <c r="BM18" s="272">
        <f>FMS_Ranking4[[#This Row],[ArcSinh Score Based on Normalized Reported Factors]]+FMS_Ranking4[[#This Row],[% NBS Score (Normalized)]]+(FMS_Ranking4[[#This Row],[Water Supply Score (Normalized)]]*10*$BB$5)+FMS_Ranking4[[#This Row],[FMS_Type Score Weighted]]</f>
        <v>53.839043429531877</v>
      </c>
      <c r="BN18" s="205">
        <f>_xlfn.RANK.EQ(FMS_Ranking4[[#This Row],[Total Score (with ArcSinh normalization of select criteria)]],FMS_Ranking4[Total Score (with ArcSinh normalization of select criteria)],0)</f>
        <v>10</v>
      </c>
      <c r="BO18" s="270" t="str">
        <f>_xlfn.XLOOKUP(FMS_Ranking4[[#This Row],[FMS ID]],FMS_Input[FMS_ID],FMS_Input[FMS_RANK_YEAR])</f>
        <v>2023 Amended Plan</v>
      </c>
      <c r="BP18" s="204">
        <f>_xlfn.XLOOKUP(FMS_Ranking4[[#This Row],[FMS ID]],Prev_Rank[FMS ID],Prev_Rank[Prev Rank])</f>
        <v>10</v>
      </c>
      <c r="BQ18" s="205" t="e">
        <f>_xlfn.XLOOKUP(FMS_Ranking4[[#This Row],[FMS ID]],#REF!,#REF!)</f>
        <v>#REF!</v>
      </c>
      <c r="BR18" s="199" t="e">
        <f>SUM(#REF!,#REF!,#REF!,#REF!,#REF!,#REF!,#REF!,#REF!,#REF!,FMS_Ranking4[[#This Row],[ArcSinh Res struct removed 0-10]],#REF!)</f>
        <v>#REF!</v>
      </c>
      <c r="BS18" s="199" t="e">
        <f>FMS_Ranking4[[#This Row],[Log Score Based on Normalized Reported Factors]]+FMS_Ranking4[[#This Row],[% NBS Score (Normalized)]]+(FMS_Ranking4[[#This Row],[Water Supply Score (Normalized)]]*10*$BB$5)+(FMS_Ranking4[[#This Row],[FMS_Type Score Weighted]])</f>
        <v>#REF!</v>
      </c>
      <c r="BT18" s="200" t="e">
        <f>_xlfn.RANK.EQ(FMS_Ranking4[[#This Row],[Log Total Score]],FMS_Ranking4[Log Total Score],0)</f>
        <v>#REF!</v>
      </c>
      <c r="BU18" s="200" t="e">
        <f>_xlfn.XLOOKUP(FMS_Ranking4[[#This Row],[FMS ID]],#REF!,#REF!)</f>
        <v>#REF!</v>
      </c>
      <c r="BV18" s="200">
        <f>FMS_Ranking4[[#This Row],[Region Number]]</f>
        <v>6</v>
      </c>
      <c r="BW18" s="200">
        <f>FMS_Ranking4[[#This Row],[Rank (with ArcSinh normalization of select criteria)]]-FMS_Ranking4[[#This Row],[Rank
(with linear
normalization)]]</f>
        <v>7</v>
      </c>
      <c r="BX18" s="200" t="e">
        <f>FMS_Ranking4[[#This Row],[Log Rank]]-FMS_Ranking4[[#This Row],[Rank
(with linear
normalization)]]</f>
        <v>#REF!</v>
      </c>
      <c r="BY18" s="200">
        <f>IF(FMS_Ranking4[[#This Row],[FMS Type]]="Flood Measurement and Warning",FMS_Ranking4[[#This Row],[Rank (with ArcSinh normalization of select criteria)]],"")</f>
        <v>10</v>
      </c>
      <c r="BZ18" s="200" t="str">
        <f>IF(FMS_Ranking4[[#This Row],[FMS Type]]="Regulatory and Guidance",FMS_Ranking4[[#This Row],[Rank (with ArcSinh normalization of select criteria)]],"")</f>
        <v/>
      </c>
      <c r="CA18" s="200" t="str">
        <f>IF(FMS_Ranking4[[#This Row],[FMS Type]]="Education and Outreach",FMS_Ranking4[[#This Row],[Rank (with ArcSinh normalization of select criteria)]],"")</f>
        <v/>
      </c>
      <c r="CB18" s="200" t="str">
        <f>IF(FMS_Ranking4[[#This Row],[FMS Type]]="Property Acquisition and Structural Elevation",FMS_Ranking4[[#This Row],[Rank (with ArcSinh normalization of select criteria)]],"")</f>
        <v/>
      </c>
      <c r="CC18" s="200" t="str">
        <f>IF(FMS_Ranking4[[#This Row],[FMS Type]]="Infrastructure Projects",FMS_Ranking4[[#This Row],[Rank (with ArcSinh normalization of select criteria)]],"")</f>
        <v/>
      </c>
      <c r="CD18" s="200" t="str">
        <f>IF(FMS_Ranking4[[#This Row],[FMS Type]]="Other",FMS_Ranking4[[#This Row],[Rank (with ArcSinh normalization of select criteria)]],"")</f>
        <v/>
      </c>
      <c r="CE18" s="201"/>
      <c r="CF18">
        <f>MEDIAN(FMS_Ranking4[ArcSinh Rank Residual])</f>
        <v>18</v>
      </c>
      <c r="CG18" t="e">
        <f>MEDIAN(FMS_Ranking4[Log Rank Residual])</f>
        <v>#REF!</v>
      </c>
    </row>
    <row r="19" spans="2:85" ht="135" x14ac:dyDescent="0.25">
      <c r="B19" s="341" t="s">
        <v>29</v>
      </c>
      <c r="C19" s="246">
        <f>_xlfn.XLOOKUP(FMS_Ranking4[[#This Row],[FMS ID]],FMS_Input[FMS_ID],FMS_Input[RFPG_NUM])</f>
        <v>6</v>
      </c>
      <c r="D19" s="309" t="str">
        <f>_xlfn.XLOOKUP(FMS_Ranking4[[#This Row],[FMS ID]],FMS_Input[FMS_ID],FMS_Input[FMS_NAME])</f>
        <v>Harris County Hazard Mitigation Action AW-5</v>
      </c>
      <c r="E19" s="308" t="str">
        <f>_xlfn.XLOOKUP(FMS_Ranking4[[#This Row],[FMS ID]],FMS_Input[FMS_ID],FMS_Input[SPONSOR])</f>
        <v>00000020</v>
      </c>
      <c r="F19" s="309" t="str">
        <f>_xlfn.XLOOKUP(FMS_Ranking4[[#This Row],[FMS ID]],Sponsor[FMS_ID],Sponsor[SPONSOR NAME])</f>
        <v>Harris</v>
      </c>
      <c r="G19" s="309" t="str">
        <f>_xlfn.XLOOKUP(FMS_Ranking4[[#This Row],[FMS ID]],FMS_Input[FMS_ID],FMS_Input[FMS_DESCR])</f>
        <v>Continue to develop, improve, and implement an enhanced mass public warning and alert system within the Harris County Joint Information Center to provide warning capability throughout Harris County to support the emergency management of all hazards.</v>
      </c>
      <c r="H19" s="248" t="str">
        <f>_xlfn.XLOOKUP(FMS_Ranking4[[#This Row],[FMS ID]],FMS_Input[FMS_ID],FMS_Input[FMS_TYPE])</f>
        <v>Flood Measurement and Warning</v>
      </c>
      <c r="I19" s="249">
        <f>_xlfn.XLOOKUP(FMS_Ranking4[[#This Row],[FMS ID]],FMS_Input[FMS_ID],FMS_Input[NRNC_COST])</f>
        <v>5000</v>
      </c>
      <c r="J19" s="250">
        <f>_xlfn.XLOOKUP(FMS_Ranking4[[#This Row],[FMS ID]],FMS_Input[FMS_ID],FMS_Input[FMS_COST])</f>
        <v>100000</v>
      </c>
      <c r="K19" s="251" t="str">
        <f>_xlfn.XLOOKUP(FMS_Ranking4[[#This Row],[FMS ID]],FMS_Input[FMS_ID],FMS_Input[EMER_NEED])</f>
        <v>No</v>
      </c>
      <c r="L19" s="252">
        <f t="shared" si="0"/>
        <v>0</v>
      </c>
      <c r="M19" s="253">
        <f>_xlfn.XLOOKUP(FMS_Ranking4[[#This Row],[FMS ID]],FMS_Input[FMS_ID],FMS_Input[STRUCT_100])</f>
        <v>143642</v>
      </c>
      <c r="N19" s="255">
        <f>(ASINH(FMS_Ranking4[[#This Row],[Structure at Risk Raw]]))*(10)/(ASINH(M$4))</f>
        <v>9.8804973981577646</v>
      </c>
      <c r="O19" s="256">
        <f>FMS_Ranking4[[#This Row],[Structures at risk, ArcSinh (0-10)]]*M$5*10</f>
        <v>9.8804973981577646</v>
      </c>
      <c r="P19" s="253">
        <f>_xlfn.XLOOKUP(FMS_Ranking4[[#This Row],[FMS ID]],FMS_Input[FMS_ID],FMS_Input[RES_STRUCT100])</f>
        <v>120807</v>
      </c>
      <c r="Q19" s="257">
        <f>ASINH(FMS_Ranking4[[#This Row],[Res Structure Raw]])/Q$4*P$5*100</f>
        <v>0</v>
      </c>
      <c r="R19" s="253">
        <f>_xlfn.XLOOKUP(FMS_Ranking4[[#This Row],[FMS ID]],FMS_Input[FMS_ID],FMS_Input[POP100])</f>
        <v>590954</v>
      </c>
      <c r="S19" s="259">
        <f>(ASINH(FMS_Ranking4[[#This Row],[Pop at Risk Raw]]))*(10)/(ASINH(R$4))</f>
        <v>9.6530308740239228</v>
      </c>
      <c r="T19" s="256">
        <f>FMS_Ranking4[[#This Row],[Population at risk, ArcSinh (0-10)]]*R$5*10</f>
        <v>9.6530308740239228</v>
      </c>
      <c r="U19" s="253">
        <f>_xlfn.XLOOKUP(FMS_Ranking4[[#This Row],[FMS ID]],FMS_Input[FMS_ID],FMS_Input[CRITFAC100])</f>
        <v>2332</v>
      </c>
      <c r="V19" s="259">
        <f>(ASINH(FMS_Ranking4[[#This Row],[Critical Facilities Raw]]))*(10)/(ASINH(U$4))</f>
        <v>10</v>
      </c>
      <c r="W19" s="256">
        <f>FMS_Ranking4[[#This Row],[Critical facilities at risk, ArcSinh (0-10)]]*U$5*10</f>
        <v>10</v>
      </c>
      <c r="X19" s="253">
        <f>_xlfn.XLOOKUP(FMS_Ranking4[[#This Row],[FMS ID]],FMS_Input[FMS_ID],FMS_Input[LWC])</f>
        <v>89</v>
      </c>
      <c r="Y19" s="259">
        <f>(ASINH(FMS_Ranking4[[#This Row],[LWC Raw]]))*(10)/(ASINH(X$4))</f>
        <v>7.020000688684088</v>
      </c>
      <c r="Z19" s="256">
        <f>FMS_Ranking4[[#This Row],[LWC, ArcSInh (0-10)]]*X$5*10</f>
        <v>7.020000688684088</v>
      </c>
      <c r="AA19" s="253">
        <f>_xlfn.XLOOKUP(FMS_Ranking4[[#This Row],[FMS ID]],FMS_Input[FMS_ID],FMS_Input[ROADCLS])</f>
        <v>89</v>
      </c>
      <c r="AB19" s="255">
        <f>(ASINH(FMS_Ranking4[[#This Row],[Road Closures Raw]]))*(10)/(ASINH(AA$4))</f>
        <v>5.3963848344148895</v>
      </c>
      <c r="AC19" s="256">
        <f>FMS_Ranking4[[#This Row],[Road closures, ArcSinh (0-10)]]*AA$5*10</f>
        <v>2.6981924172074452</v>
      </c>
      <c r="AD19" s="253">
        <f>_xlfn.XLOOKUP(FMS_Ranking4[[#This Row],[FMS ID]],FMS_Input[FMS_ID],FMS_Input[ROAD_MILES100])</f>
        <v>2408</v>
      </c>
      <c r="AE19" s="259">
        <f>(ASINH(FMS_Ranking4[[#This Row],[Road Miles Raw]]))*(10)/(ASINH(AD$4))</f>
        <v>9.0370261953144126</v>
      </c>
      <c r="AF19" s="256">
        <f>FMS_Ranking4[[#This Row],[Length of roads at risk, ArcSinh (0-10)]]*AD$5*10</f>
        <v>9.0370261953144126</v>
      </c>
      <c r="AG19" s="253">
        <f>_xlfn.XLOOKUP(FMS_Ranking4[[#This Row],[FMS ID]],FMS_Input[FMS_ID],FMS_Input[FARMACRE100])</f>
        <v>5993.46923828125</v>
      </c>
      <c r="AH19" s="255">
        <f>(ASINH(FMS_Ranking4[[#This Row],[Ag Land Raw]]))*(10)/(ASINH(AG$4))</f>
        <v>6.1005917122884838</v>
      </c>
      <c r="AI19" s="260">
        <f>FMS_Ranking4[[#This Row],[Farm &amp; ranch land, ArcSinh (0-10)]]*AG$5*10</f>
        <v>3.0502958561442424</v>
      </c>
      <c r="AJ19" s="258">
        <f>_xlfn.XLOOKUP(FMS_Ranking4[[#This Row],[FMS ID]],FMS_Input[FMS_ID],FMS_Input[REDSTRUCT100])</f>
        <v>0</v>
      </c>
      <c r="AK19" s="253">
        <f>_xlfn.XLOOKUP(FMS_Ranking4[[#This Row],[FMS ID]],FMS_Input[FMS_ID],FMS_Input[REMSTRC100])</f>
        <v>0</v>
      </c>
      <c r="AL19" s="259">
        <f>(ASINH(FMS_Ranking4[[#This Row],[Structures Removed Raw]]))*(10)/(ASINH(AK$4))</f>
        <v>0</v>
      </c>
      <c r="AM19" s="262">
        <f>FMS_Ranking4[[#This Row],[Structures removed, ArcSinh (0-10)]]*AK$5*10</f>
        <v>0</v>
      </c>
      <c r="AN19" s="253">
        <f>_xlfn.XLOOKUP(FMS_Ranking4[[#This Row],[FMS ID]],FMS_Input[FMS_ID],FMS_Input[REMRESSTRC100])</f>
        <v>0</v>
      </c>
      <c r="AO19" s="261">
        <f>FMS_Ranking4[[#This Row],[ArcSinh Res struct removed 0-10]]*AN$5*10</f>
        <v>0</v>
      </c>
      <c r="AP19" s="254">
        <f>ASINH(FMS_Ranking4[[#This Row],[Residential Structures Removed Raw]])/AP$4*AN$5*100</f>
        <v>0</v>
      </c>
      <c r="AQ19" s="254">
        <f>(ASINH(FMS_Ranking4[[#This Row],[Residential Structures Removed Raw]]))*(10)/(ASINH(AN$4))</f>
        <v>0</v>
      </c>
      <c r="AR19" s="253">
        <f>_xlfn.XLOOKUP(FMS_Ranking4[[#This Row],[FMS ID]],FMS_Input[FMS_ID],FMS_Input[REMPOP100])</f>
        <v>0</v>
      </c>
      <c r="AS19" s="259">
        <f>(ASINH(FMS_Ranking4[[#This Row],[Removed Pop Raw]]))*(10)/(ASINH(AR$4))</f>
        <v>0</v>
      </c>
      <c r="AT19" s="262">
        <f>FMS_Ranking4[[#This Row],[Removed population, ArcSinh (0-10)]]*AR$5*10</f>
        <v>0</v>
      </c>
      <c r="AU19" s="264">
        <f>_xlfn.XLOOKUP(FMS_Ranking4[[#This Row],[FMS ID]],FMS_Input[FMS_ID],FMS_Input[REMCRITFAC100])</f>
        <v>0</v>
      </c>
      <c r="AV19" s="264">
        <f>_xlfn.XLOOKUP(FMS_Ranking4[[#This Row],[FMS ID]],FMS_Input[FMS_ID],FMS_Input[REMLWC100])</f>
        <v>0</v>
      </c>
      <c r="AW19" s="264">
        <f>_xlfn.XLOOKUP(FMS_Ranking4[[#This Row],[FMS ID]],FMS_Input[FMS_ID],FMS_Input[REMROADCLS])</f>
        <v>0</v>
      </c>
      <c r="AX19" s="264">
        <f>_xlfn.XLOOKUP(FMS_Ranking4[[#This Row],[FMS ID]],FMS_Input[FMS_ID],FMS_Input[REMFRMACRE100])</f>
        <v>0</v>
      </c>
      <c r="AY19" s="258">
        <f>_xlfn.XLOOKUP(FMS_Ranking4[[#This Row],[FMS ID]],FMS_Input[FMS_ID],FMS_Input[COSTSTRUCT])</f>
        <v>0</v>
      </c>
      <c r="AZ19" s="253">
        <f>_xlfn.XLOOKUP(FMS_Ranking4[[#This Row],[FMS ID]],FMS_Input[FMS_ID],FMS_Input[NATURE])</f>
        <v>0</v>
      </c>
      <c r="BA19" s="262">
        <f>(((FMS_Ranking4[[#This Row],[% NBS Raw]]/AZ$4)*100)*AZ$5)</f>
        <v>0</v>
      </c>
      <c r="BB19" s="251" t="str">
        <f>_xlfn.XLOOKUP(FMS_Ranking4[[#This Row],[FMS ID]],FMS_Input[FMS_ID],FMS_Input[WATER_SUP])</f>
        <v>No</v>
      </c>
      <c r="BC19" s="265">
        <f>IF(FMS_Ranking4[[#This Row],[Water Supply Raw]]="Yes",10,0)</f>
        <v>0</v>
      </c>
      <c r="BD19" s="266">
        <f>_xlfn.XLOOKUP(FMS_Ranking4[[#This Row],[FMS Type]],FMS_TYPE[FMS_Type],FMS_TYPE[Score])</f>
        <v>10</v>
      </c>
      <c r="BE19" s="267">
        <f>FMS_Ranking4[[#This Row],[FMS_Type Score]]*$BD$5*10</f>
        <v>2.5</v>
      </c>
      <c r="BF1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29.871376119406943</v>
      </c>
      <c r="BG19" s="271">
        <f>_xlfn.RANK.EQ(BF19,$BF$8:$BF$870,0)+COUNTIF($BF$8:BF19,BF19)-1</f>
        <v>5</v>
      </c>
      <c r="BH19" s="268">
        <f>(((FMS_Ranking4[[#This Row],[Structures Removed Raw]]/AK$4)*100)*AK$5)+(((FMS_Ranking4[[#This Row],[Removed Pop Raw]]/AR$4)*100)*AR$5)</f>
        <v>0</v>
      </c>
      <c r="BI1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32.371376119406946</v>
      </c>
      <c r="BJ19" s="205">
        <f>_xlfn.RANK.EQ(FMS_Ranking4[[#This Row],[Total Score 
(with linear
normalization)]],FMS_Ranking4[Total Score 
(with linear
normalization)],0)</f>
        <v>3</v>
      </c>
      <c r="BK19" s="205" t="e">
        <f>_xlfn.XLOOKUP(FMS_Ranking4[[#This Row],[FMS ID]],#REF!,#REF!)</f>
        <v>#REF!</v>
      </c>
      <c r="BL1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51.339043429531877</v>
      </c>
      <c r="BM19" s="272">
        <f>FMS_Ranking4[[#This Row],[ArcSinh Score Based on Normalized Reported Factors]]+FMS_Ranking4[[#This Row],[% NBS Score (Normalized)]]+(FMS_Ranking4[[#This Row],[Water Supply Score (Normalized)]]*10*$BB$5)+FMS_Ranking4[[#This Row],[FMS_Type Score Weighted]]</f>
        <v>53.839043429531877</v>
      </c>
      <c r="BN19" s="205">
        <f>_xlfn.RANK.EQ(FMS_Ranking4[[#This Row],[Total Score (with ArcSinh normalization of select criteria)]],FMS_Ranking4[Total Score (with ArcSinh normalization of select criteria)],0)</f>
        <v>10</v>
      </c>
      <c r="BO19" s="270" t="str">
        <f>_xlfn.XLOOKUP(FMS_Ranking4[[#This Row],[FMS ID]],FMS_Input[FMS_ID],FMS_Input[FMS_RANK_YEAR])</f>
        <v>2023 Amended Plan</v>
      </c>
      <c r="BP19" s="204">
        <f>_xlfn.XLOOKUP(FMS_Ranking4[[#This Row],[FMS ID]],Prev_Rank[FMS ID],Prev_Rank[Prev Rank])</f>
        <v>10</v>
      </c>
      <c r="BQ19" s="205" t="e">
        <f>_xlfn.XLOOKUP(FMS_Ranking4[[#This Row],[FMS ID]],#REF!,#REF!)</f>
        <v>#REF!</v>
      </c>
      <c r="BR19" s="199" t="e">
        <f>SUM(#REF!,#REF!,#REF!,#REF!,#REF!,#REF!,#REF!,#REF!,#REF!,FMS_Ranking4[[#This Row],[ArcSinh Res struct removed 0-10]],#REF!)</f>
        <v>#REF!</v>
      </c>
      <c r="BS19" s="199" t="e">
        <f>FMS_Ranking4[[#This Row],[Log Score Based on Normalized Reported Factors]]+FMS_Ranking4[[#This Row],[% NBS Score (Normalized)]]+(FMS_Ranking4[[#This Row],[Water Supply Score (Normalized)]]*10*$BB$5)+(FMS_Ranking4[[#This Row],[FMS_Type Score Weighted]])</f>
        <v>#REF!</v>
      </c>
      <c r="BT19" s="200" t="e">
        <f>_xlfn.RANK.EQ(FMS_Ranking4[[#This Row],[Log Total Score]],FMS_Ranking4[Log Total Score],0)</f>
        <v>#REF!</v>
      </c>
      <c r="BU19" s="200" t="e">
        <f>_xlfn.XLOOKUP(FMS_Ranking4[[#This Row],[FMS ID]],#REF!,#REF!)</f>
        <v>#REF!</v>
      </c>
      <c r="BV19" s="200">
        <f>FMS_Ranking4[[#This Row],[Region Number]]</f>
        <v>6</v>
      </c>
      <c r="BW19" s="200">
        <f>FMS_Ranking4[[#This Row],[Rank (with ArcSinh normalization of select criteria)]]-FMS_Ranking4[[#This Row],[Rank
(with linear
normalization)]]</f>
        <v>7</v>
      </c>
      <c r="BX19" s="200" t="e">
        <f>FMS_Ranking4[[#This Row],[Log Rank]]-FMS_Ranking4[[#This Row],[Rank
(with linear
normalization)]]</f>
        <v>#REF!</v>
      </c>
      <c r="BY19" s="200">
        <f>IF(FMS_Ranking4[[#This Row],[FMS Type]]="Flood Measurement and Warning",FMS_Ranking4[[#This Row],[Rank (with ArcSinh normalization of select criteria)]],"")</f>
        <v>10</v>
      </c>
      <c r="BZ19" s="200" t="str">
        <f>IF(FMS_Ranking4[[#This Row],[FMS Type]]="Regulatory and Guidance",FMS_Ranking4[[#This Row],[Rank (with ArcSinh normalization of select criteria)]],"")</f>
        <v/>
      </c>
      <c r="CA19" s="200" t="str">
        <f>IF(FMS_Ranking4[[#This Row],[FMS Type]]="Education and Outreach",FMS_Ranking4[[#This Row],[Rank (with ArcSinh normalization of select criteria)]],"")</f>
        <v/>
      </c>
      <c r="CB19" s="200" t="str">
        <f>IF(FMS_Ranking4[[#This Row],[FMS Type]]="Property Acquisition and Structural Elevation",FMS_Ranking4[[#This Row],[Rank (with ArcSinh normalization of select criteria)]],"")</f>
        <v/>
      </c>
      <c r="CC19" s="200" t="str">
        <f>IF(FMS_Ranking4[[#This Row],[FMS Type]]="Infrastructure Projects",FMS_Ranking4[[#This Row],[Rank (with ArcSinh normalization of select criteria)]],"")</f>
        <v/>
      </c>
      <c r="CD19" s="200" t="str">
        <f>IF(FMS_Ranking4[[#This Row],[FMS Type]]="Other",FMS_Ranking4[[#This Row],[Rank (with ArcSinh normalization of select criteria)]],"")</f>
        <v/>
      </c>
      <c r="CE19" s="201"/>
      <c r="CF19" s="392" t="s">
        <v>4680</v>
      </c>
      <c r="CG19" s="392"/>
    </row>
    <row r="20" spans="2:85" ht="105" x14ac:dyDescent="0.25">
      <c r="B20" s="341" t="s">
        <v>12453</v>
      </c>
      <c r="C20" s="246">
        <f>_xlfn.XLOOKUP(FMS_Ranking4[[#This Row],[FMS ID]],FMS_Input[FMS_ID],FMS_Input[RFPG_NUM])</f>
        <v>6</v>
      </c>
      <c r="D20" s="309" t="str">
        <f>_xlfn.XLOOKUP(FMS_Ranking4[[#This Row],[FMS ID]],FMS_Input[FMS_ID],FMS_Input[FMS_NAME])</f>
        <v>Harris County Community Based Catastrophe Insurance</v>
      </c>
      <c r="E20" s="308" t="str">
        <f>_xlfn.XLOOKUP(FMS_Ranking4[[#This Row],[FMS ID]],FMS_Input[FMS_ID],FMS_Input[SPONSOR])</f>
        <v>00000310</v>
      </c>
      <c r="F20" s="309" t="str">
        <f>_xlfn.XLOOKUP(FMS_Ranking4[[#This Row],[FMS ID]],Sponsor[FMS_ID],Sponsor[SPONSOR NAME])</f>
        <v>Harris County Flood Control District</v>
      </c>
      <c r="G20" s="309" t="str">
        <f>_xlfn.XLOOKUP(FMS_Ranking4[[#This Row],[FMS ID]],FMS_Input[FMS_ID],FMS_Input[FMS_DESCR])</f>
        <v>Community Based Catastrophe Insurance to reduce impact of flood damages in areas several feet deep in the floodplain where structural projects to reduce flooding are not cost effective</v>
      </c>
      <c r="H20" s="248" t="str">
        <f>_xlfn.XLOOKUP(FMS_Ranking4[[#This Row],[FMS ID]],FMS_Input[FMS_ID],FMS_Input[FMS_TYPE])</f>
        <v>Regulatory and Guidance</v>
      </c>
      <c r="I20" s="249">
        <f>_xlfn.XLOOKUP(FMS_Ranking4[[#This Row],[FMS ID]],FMS_Input[FMS_ID],FMS_Input[NRNC_COST])</f>
        <v>63300</v>
      </c>
      <c r="J20" s="250">
        <f>_xlfn.XLOOKUP(FMS_Ranking4[[#This Row],[FMS ID]],FMS_Input[FMS_ID],FMS_Input[FMS_COST])</f>
        <v>1266000</v>
      </c>
      <c r="K20" s="251" t="str">
        <f>_xlfn.XLOOKUP(FMS_Ranking4[[#This Row],[FMS ID]],FMS_Input[FMS_ID],FMS_Input[EMER_NEED])</f>
        <v>Yes</v>
      </c>
      <c r="L20" s="252">
        <f t="shared" si="0"/>
        <v>1</v>
      </c>
      <c r="M20" s="253">
        <f>_xlfn.XLOOKUP(FMS_Ranking4[[#This Row],[FMS ID]],FMS_Input[FMS_ID],FMS_Input[STRUCT_100])</f>
        <v>143588</v>
      </c>
      <c r="N20" s="255">
        <f>(ASINH(FMS_Ranking4[[#This Row],[Structure at Risk Raw]]))*(10)/(ASINH(M$4))</f>
        <v>9.8802018020100739</v>
      </c>
      <c r="O20" s="256">
        <f>FMS_Ranking4[[#This Row],[Structures at risk, ArcSinh (0-10)]]*M$5*10</f>
        <v>9.8802018020100739</v>
      </c>
      <c r="P20" s="253">
        <f>_xlfn.XLOOKUP(FMS_Ranking4[[#This Row],[FMS ID]],FMS_Input[FMS_ID],FMS_Input[RES_STRUCT100])</f>
        <v>120752</v>
      </c>
      <c r="Q20" s="257">
        <f>ASINH(FMS_Ranking4[[#This Row],[Res Structure Raw]])/Q$4*P$5*100</f>
        <v>0</v>
      </c>
      <c r="R20" s="253">
        <f>_xlfn.XLOOKUP(FMS_Ranking4[[#This Row],[FMS ID]],FMS_Input[FMS_ID],FMS_Input[POP100])</f>
        <v>976848</v>
      </c>
      <c r="S20" s="259">
        <f>(ASINH(FMS_Ranking4[[#This Row],[Pop at Risk Raw]]))*(10)/(ASINH(R$4))</f>
        <v>10</v>
      </c>
      <c r="T20" s="256">
        <f>FMS_Ranking4[[#This Row],[Population at risk, ArcSinh (0-10)]]*R$5*10</f>
        <v>10</v>
      </c>
      <c r="U20" s="253">
        <f>_xlfn.XLOOKUP(FMS_Ranking4[[#This Row],[FMS ID]],FMS_Input[FMS_ID],FMS_Input[CRITFAC100])</f>
        <v>2132</v>
      </c>
      <c r="V20" s="259">
        <f>(ASINH(FMS_Ranking4[[#This Row],[Critical Facilities Raw]]))*(10)/(ASINH(U$4))</f>
        <v>9.8938568969423368</v>
      </c>
      <c r="W20" s="256">
        <f>FMS_Ranking4[[#This Row],[Critical facilities at risk, ArcSinh (0-10)]]*U$5*10</f>
        <v>9.8938568969423368</v>
      </c>
      <c r="X20" s="253">
        <f>_xlfn.XLOOKUP(FMS_Ranking4[[#This Row],[FMS ID]],FMS_Input[FMS_ID],FMS_Input[LWC])</f>
        <v>84</v>
      </c>
      <c r="Y20" s="259">
        <f>(ASINH(FMS_Ranking4[[#This Row],[LWC Raw]]))*(10)/(ASINH(X$4))</f>
        <v>6.9416755728748436</v>
      </c>
      <c r="Z20" s="256">
        <f>FMS_Ranking4[[#This Row],[LWC, ArcSInh (0-10)]]*X$5*10</f>
        <v>6.9416755728748436</v>
      </c>
      <c r="AA20" s="253">
        <f>_xlfn.XLOOKUP(FMS_Ranking4[[#This Row],[FMS ID]],FMS_Input[FMS_ID],FMS_Input[ROADCLS])</f>
        <v>84</v>
      </c>
      <c r="AB20" s="255">
        <f>(ASINH(FMS_Ranking4[[#This Row],[Road Closures Raw]]))*(10)/(ASINH(AA$4))</f>
        <v>5.3361750871725384</v>
      </c>
      <c r="AC20" s="256">
        <f>FMS_Ranking4[[#This Row],[Road closures, ArcSinh (0-10)]]*AA$5*10</f>
        <v>2.6680875435862692</v>
      </c>
      <c r="AD20" s="253">
        <f>_xlfn.XLOOKUP(FMS_Ranking4[[#This Row],[FMS ID]],FMS_Input[FMS_ID],FMS_Input[ROAD_MILES100])</f>
        <v>2407</v>
      </c>
      <c r="AE20" s="259">
        <f>(ASINH(FMS_Ranking4[[#This Row],[Road Miles Raw]]))*(10)/(ASINH(AD$4))</f>
        <v>9.0365835266543346</v>
      </c>
      <c r="AF20" s="256">
        <f>FMS_Ranking4[[#This Row],[Length of roads at risk, ArcSinh (0-10)]]*AD$5*10</f>
        <v>9.0365835266543346</v>
      </c>
      <c r="AG20" s="253">
        <f>_xlfn.XLOOKUP(FMS_Ranking4[[#This Row],[FMS ID]],FMS_Input[FMS_ID],FMS_Input[FARMACRE100])</f>
        <v>5983.72802734375</v>
      </c>
      <c r="AH20" s="255">
        <f>(ASINH(FMS_Ranking4[[#This Row],[Ag Land Raw]]))*(10)/(ASINH(AG$4))</f>
        <v>6.0995350858874389</v>
      </c>
      <c r="AI20" s="260">
        <f>FMS_Ranking4[[#This Row],[Farm &amp; ranch land, ArcSinh (0-10)]]*AG$5*10</f>
        <v>3.0497675429437199</v>
      </c>
      <c r="AJ20" s="258">
        <f>_xlfn.XLOOKUP(FMS_Ranking4[[#This Row],[FMS ID]],FMS_Input[FMS_ID],FMS_Input[REDSTRUCT100])</f>
        <v>0</v>
      </c>
      <c r="AK20" s="253">
        <f>_xlfn.XLOOKUP(FMS_Ranking4[[#This Row],[FMS ID]],FMS_Input[FMS_ID],FMS_Input[REMSTRC100])</f>
        <v>0</v>
      </c>
      <c r="AL20" s="259">
        <f>(ASINH(FMS_Ranking4[[#This Row],[Structures Removed Raw]]))*(10)/(ASINH(AK$4))</f>
        <v>0</v>
      </c>
      <c r="AM20" s="262">
        <f>FMS_Ranking4[[#This Row],[Structures removed, ArcSinh (0-10)]]*AK$5*10</f>
        <v>0</v>
      </c>
      <c r="AN20" s="253">
        <f>_xlfn.XLOOKUP(FMS_Ranking4[[#This Row],[FMS ID]],FMS_Input[FMS_ID],FMS_Input[REMRESSTRC100])</f>
        <v>0</v>
      </c>
      <c r="AO20" s="261">
        <f>FMS_Ranking4[[#This Row],[ArcSinh Res struct removed 0-10]]*AN$5*10</f>
        <v>0</v>
      </c>
      <c r="AP20" s="254">
        <f>ASINH(FMS_Ranking4[[#This Row],[Residential Structures Removed Raw]])/AP$4*AN$5*100</f>
        <v>0</v>
      </c>
      <c r="AQ20" s="254">
        <f>(ASINH(FMS_Ranking4[[#This Row],[Residential Structures Removed Raw]]))*(10)/(ASINH(AN$4))</f>
        <v>0</v>
      </c>
      <c r="AR20" s="253">
        <f>_xlfn.XLOOKUP(FMS_Ranking4[[#This Row],[FMS ID]],FMS_Input[FMS_ID],FMS_Input[REMPOP100])</f>
        <v>0</v>
      </c>
      <c r="AS20" s="259">
        <f>(ASINH(FMS_Ranking4[[#This Row],[Removed Pop Raw]]))*(10)/(ASINH(AR$4))</f>
        <v>0</v>
      </c>
      <c r="AT20" s="262">
        <f>FMS_Ranking4[[#This Row],[Removed population, ArcSinh (0-10)]]*AR$5*10</f>
        <v>0</v>
      </c>
      <c r="AU20" s="264">
        <f>_xlfn.XLOOKUP(FMS_Ranking4[[#This Row],[FMS ID]],FMS_Input[FMS_ID],FMS_Input[REMCRITFAC100])</f>
        <v>0</v>
      </c>
      <c r="AV20" s="264">
        <f>_xlfn.XLOOKUP(FMS_Ranking4[[#This Row],[FMS ID]],FMS_Input[FMS_ID],FMS_Input[REMLWC100])</f>
        <v>0</v>
      </c>
      <c r="AW20" s="264">
        <f>_xlfn.XLOOKUP(FMS_Ranking4[[#This Row],[FMS ID]],FMS_Input[FMS_ID],FMS_Input[REMROADCLS])</f>
        <v>0</v>
      </c>
      <c r="AX20" s="264">
        <f>_xlfn.XLOOKUP(FMS_Ranking4[[#This Row],[FMS ID]],FMS_Input[FMS_ID],FMS_Input[REMFRMACRE100])</f>
        <v>0</v>
      </c>
      <c r="AY20" s="258">
        <f>_xlfn.XLOOKUP(FMS_Ranking4[[#This Row],[FMS ID]],FMS_Input[FMS_ID],FMS_Input[COSTSTRUCT])</f>
        <v>0</v>
      </c>
      <c r="AZ20" s="253">
        <f>_xlfn.XLOOKUP(FMS_Ranking4[[#This Row],[FMS ID]],FMS_Input[FMS_ID],FMS_Input[NATURE])</f>
        <v>0</v>
      </c>
      <c r="BA20" s="262">
        <f>(((FMS_Ranking4[[#This Row],[% NBS Raw]]/AZ$4)*100)*AZ$5)</f>
        <v>0</v>
      </c>
      <c r="BB20" s="251" t="str">
        <f>_xlfn.XLOOKUP(FMS_Ranking4[[#This Row],[FMS ID]],FMS_Input[FMS_ID],FMS_Input[WATER_SUP])</f>
        <v>No</v>
      </c>
      <c r="BC20" s="265">
        <f>IF(FMS_Ranking4[[#This Row],[Water Supply Raw]]="Yes",10,0)</f>
        <v>0</v>
      </c>
      <c r="BD20" s="266">
        <f>_xlfn.XLOOKUP(FMS_Ranking4[[#This Row],[FMS Type]],FMS_TYPE[FMS_Type],FMS_TYPE[Score])</f>
        <v>8</v>
      </c>
      <c r="BE20" s="267">
        <f>FMS_Ranking4[[#This Row],[FMS_Type Score]]*$BD$5*10</f>
        <v>2</v>
      </c>
      <c r="BF2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32.893566305540105</v>
      </c>
      <c r="BG20" s="271">
        <f>_xlfn.RANK.EQ(BF20,$BF$8:$BF$870,0)+COUNTIF($BF$8:BF20,BF20)-1</f>
        <v>2</v>
      </c>
      <c r="BH20" s="268">
        <f>(((FMS_Ranking4[[#This Row],[Structures Removed Raw]]/AK$4)*100)*AK$5)+(((FMS_Ranking4[[#This Row],[Removed Pop Raw]]/AR$4)*100)*AR$5)</f>
        <v>0</v>
      </c>
      <c r="BI2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34.893566305540105</v>
      </c>
      <c r="BJ20" s="205">
        <f>_xlfn.RANK.EQ(FMS_Ranking4[[#This Row],[Total Score 
(with linear
normalization)]],FMS_Ranking4[Total Score 
(with linear
normalization)],0)</f>
        <v>2</v>
      </c>
      <c r="BK20" s="205" t="e">
        <f>_xlfn.XLOOKUP(FMS_Ranking4[[#This Row],[FMS ID]],#REF!,#REF!)</f>
        <v>#REF!</v>
      </c>
      <c r="BL2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51.470172885011571</v>
      </c>
      <c r="BM20" s="272">
        <f>FMS_Ranking4[[#This Row],[ArcSinh Score Based on Normalized Reported Factors]]+FMS_Ranking4[[#This Row],[% NBS Score (Normalized)]]+(FMS_Ranking4[[#This Row],[Water Supply Score (Normalized)]]*10*$BB$5)+FMS_Ranking4[[#This Row],[FMS_Type Score Weighted]]</f>
        <v>53.470172885011571</v>
      </c>
      <c r="BN20" s="205">
        <f>_xlfn.RANK.EQ(FMS_Ranking4[[#This Row],[Total Score (with ArcSinh normalization of select criteria)]],FMS_Ranking4[Total Score (with ArcSinh normalization of select criteria)],0)</f>
        <v>13</v>
      </c>
      <c r="BO20" s="270" t="str">
        <f>_xlfn.XLOOKUP(FMS_Ranking4[[#This Row],[FMS ID]],FMS_Input[FMS_ID],FMS_Input[FMS_RANK_YEAR])</f>
        <v>2025 Amended Plan</v>
      </c>
      <c r="BP20" s="204" t="e">
        <f>_xlfn.XLOOKUP(FMS_Ranking4[[#This Row],[FMS ID]],Prev_Rank[FMS ID],Prev_Rank[Prev Rank])</f>
        <v>#N/A</v>
      </c>
      <c r="BQ20" s="205" t="e">
        <f>_xlfn.XLOOKUP(FMS_Ranking4[[#This Row],[FMS ID]],#REF!,#REF!)</f>
        <v>#REF!</v>
      </c>
      <c r="BR20" s="199" t="e">
        <f>SUM(#REF!,#REF!,#REF!,#REF!,#REF!,#REF!,#REF!,#REF!,#REF!,FMS_Ranking4[[#This Row],[ArcSinh Res struct removed 0-10]],#REF!)</f>
        <v>#REF!</v>
      </c>
      <c r="BS20" s="199" t="e">
        <f>FMS_Ranking4[[#This Row],[Log Score Based on Normalized Reported Factors]]+FMS_Ranking4[[#This Row],[% NBS Score (Normalized)]]+(FMS_Ranking4[[#This Row],[Water Supply Score (Normalized)]]*10*$BB$5)+(FMS_Ranking4[[#This Row],[FMS_Type Score Weighted]])</f>
        <v>#REF!</v>
      </c>
      <c r="BT20" s="200" t="e">
        <f>_xlfn.RANK.EQ(FMS_Ranking4[[#This Row],[Log Total Score]],FMS_Ranking4[Log Total Score],0)</f>
        <v>#REF!</v>
      </c>
      <c r="BU20" s="200" t="e">
        <f>_xlfn.XLOOKUP(FMS_Ranking4[[#This Row],[FMS ID]],#REF!,#REF!)</f>
        <v>#REF!</v>
      </c>
      <c r="BV20" s="200">
        <f>FMS_Ranking4[[#This Row],[Region Number]]</f>
        <v>6</v>
      </c>
      <c r="BW20" s="200">
        <f>FMS_Ranking4[[#This Row],[Rank (with ArcSinh normalization of select criteria)]]-FMS_Ranking4[[#This Row],[Rank
(with linear
normalization)]]</f>
        <v>11</v>
      </c>
      <c r="BX20" s="200" t="e">
        <f>FMS_Ranking4[[#This Row],[Log Rank]]-FMS_Ranking4[[#This Row],[Rank
(with linear
normalization)]]</f>
        <v>#REF!</v>
      </c>
      <c r="BY20" s="200" t="str">
        <f>IF(FMS_Ranking4[[#This Row],[FMS Type]]="Flood Measurement and Warning",FMS_Ranking4[[#This Row],[Rank (with ArcSinh normalization of select criteria)]],"")</f>
        <v/>
      </c>
      <c r="BZ20" s="200">
        <f>IF(FMS_Ranking4[[#This Row],[FMS Type]]="Regulatory and Guidance",FMS_Ranking4[[#This Row],[Rank (with ArcSinh normalization of select criteria)]],"")</f>
        <v>13</v>
      </c>
      <c r="CA20" s="200" t="str">
        <f>IF(FMS_Ranking4[[#This Row],[FMS Type]]="Education and Outreach",FMS_Ranking4[[#This Row],[Rank (with ArcSinh normalization of select criteria)]],"")</f>
        <v/>
      </c>
      <c r="CB20" s="200" t="str">
        <f>IF(FMS_Ranking4[[#This Row],[FMS Type]]="Property Acquisition and Structural Elevation",FMS_Ranking4[[#This Row],[Rank (with ArcSinh normalization of select criteria)]],"")</f>
        <v/>
      </c>
      <c r="CC20" s="200" t="str">
        <f>IF(FMS_Ranking4[[#This Row],[FMS Type]]="Infrastructure Projects",FMS_Ranking4[[#This Row],[Rank (with ArcSinh normalization of select criteria)]],"")</f>
        <v/>
      </c>
      <c r="CD20" s="200" t="str">
        <f>IF(FMS_Ranking4[[#This Row],[FMS Type]]="Other",FMS_Ranking4[[#This Row],[Rank (with ArcSinh normalization of select criteria)]],"")</f>
        <v/>
      </c>
      <c r="CE20" s="201"/>
      <c r="CF20" cm="1">
        <f t="array" ref="CF20">_xlfn.MODE.MULT(FMS_Ranking4[ArcSinh Rank Residual])</f>
        <v>314</v>
      </c>
      <c r="CG20" t="e" cm="1">
        <f t="array" ref="CG20">_xlfn.MODE.MULT(FMS_Ranking4[Log Rank Residual])</f>
        <v>#REF!</v>
      </c>
    </row>
    <row r="21" spans="2:85" ht="105" x14ac:dyDescent="0.25">
      <c r="B21" s="341" t="s">
        <v>22</v>
      </c>
      <c r="C21" s="246">
        <f>_xlfn.XLOOKUP(FMS_Ranking4[[#This Row],[FMS ID]],FMS_Input[FMS_ID],FMS_Input[RFPG_NUM])</f>
        <v>6</v>
      </c>
      <c r="D21" s="309" t="str">
        <f>_xlfn.XLOOKUP(FMS_Ranking4[[#This Row],[FMS ID]],FMS_Input[FMS_ID],FMS_Input[FMS_NAME])</f>
        <v>Harris County Hazard Mitigation Action AW-3</v>
      </c>
      <c r="E21" s="308" t="str">
        <f>_xlfn.XLOOKUP(FMS_Ranking4[[#This Row],[FMS ID]],FMS_Input[FMS_ID],FMS_Input[SPONSOR])</f>
        <v>00000020</v>
      </c>
      <c r="F21" s="309" t="str">
        <f>_xlfn.XLOOKUP(FMS_Ranking4[[#This Row],[FMS ID]],Sponsor[FMS_ID],Sponsor[SPONSOR NAME])</f>
        <v>Harris</v>
      </c>
      <c r="G21" s="309" t="str">
        <f>_xlfn.XLOOKUP(FMS_Ranking4[[#This Row],[FMS ID]],FMS_Input[FMS_ID],FMS_Input[FMS_DESCR])</f>
        <v>Utilizing the existing public outreach capability to develop, deploy, and disseminate targeted outreach projects promoting risk communication, mitigation and resilience to all the hazards of concern.</v>
      </c>
      <c r="H21" s="248" t="str">
        <f>_xlfn.XLOOKUP(FMS_Ranking4[[#This Row],[FMS ID]],FMS_Input[FMS_ID],FMS_Input[FMS_TYPE])</f>
        <v>Education and Outreach</v>
      </c>
      <c r="I21" s="249">
        <f>_xlfn.XLOOKUP(FMS_Ranking4[[#This Row],[FMS ID]],FMS_Input[FMS_ID],FMS_Input[NRNC_COST])</f>
        <v>5000</v>
      </c>
      <c r="J21" s="250">
        <f>_xlfn.XLOOKUP(FMS_Ranking4[[#This Row],[FMS ID]],FMS_Input[FMS_ID],FMS_Input[FMS_COST])</f>
        <v>100000</v>
      </c>
      <c r="K21" s="251" t="str">
        <f>_xlfn.XLOOKUP(FMS_Ranking4[[#This Row],[FMS ID]],FMS_Input[FMS_ID],FMS_Input[EMER_NEED])</f>
        <v>No</v>
      </c>
      <c r="L21" s="252">
        <f t="shared" si="0"/>
        <v>0</v>
      </c>
      <c r="M21" s="253">
        <f>_xlfn.XLOOKUP(FMS_Ranking4[[#This Row],[FMS ID]],FMS_Input[FMS_ID],FMS_Input[STRUCT_100])</f>
        <v>143642</v>
      </c>
      <c r="N21" s="255">
        <f>(ASINH(FMS_Ranking4[[#This Row],[Structure at Risk Raw]]))*(10)/(ASINH(M$4))</f>
        <v>9.8804973981577646</v>
      </c>
      <c r="O21" s="256">
        <f>FMS_Ranking4[[#This Row],[Structures at risk, ArcSinh (0-10)]]*M$5*10</f>
        <v>9.8804973981577646</v>
      </c>
      <c r="P21" s="253">
        <f>_xlfn.XLOOKUP(FMS_Ranking4[[#This Row],[FMS ID]],FMS_Input[FMS_ID],FMS_Input[RES_STRUCT100])</f>
        <v>120807</v>
      </c>
      <c r="Q21" s="257">
        <f>ASINH(FMS_Ranking4[[#This Row],[Res Structure Raw]])/Q$4*P$5*100</f>
        <v>0</v>
      </c>
      <c r="R21" s="253">
        <f>_xlfn.XLOOKUP(FMS_Ranking4[[#This Row],[FMS ID]],FMS_Input[FMS_ID],FMS_Input[POP100])</f>
        <v>590954</v>
      </c>
      <c r="S21" s="259">
        <f>(ASINH(FMS_Ranking4[[#This Row],[Pop at Risk Raw]]))*(10)/(ASINH(R$4))</f>
        <v>9.6530308740239228</v>
      </c>
      <c r="T21" s="256">
        <f>FMS_Ranking4[[#This Row],[Population at risk, ArcSinh (0-10)]]*R$5*10</f>
        <v>9.6530308740239228</v>
      </c>
      <c r="U21" s="253">
        <f>_xlfn.XLOOKUP(FMS_Ranking4[[#This Row],[FMS ID]],FMS_Input[FMS_ID],FMS_Input[CRITFAC100])</f>
        <v>2332</v>
      </c>
      <c r="V21" s="259">
        <f>(ASINH(FMS_Ranking4[[#This Row],[Critical Facilities Raw]]))*(10)/(ASINH(U$4))</f>
        <v>10</v>
      </c>
      <c r="W21" s="256">
        <f>FMS_Ranking4[[#This Row],[Critical facilities at risk, ArcSinh (0-10)]]*U$5*10</f>
        <v>10</v>
      </c>
      <c r="X21" s="253">
        <f>_xlfn.XLOOKUP(FMS_Ranking4[[#This Row],[FMS ID]],FMS_Input[FMS_ID],FMS_Input[LWC])</f>
        <v>89</v>
      </c>
      <c r="Y21" s="259">
        <f>(ASINH(FMS_Ranking4[[#This Row],[LWC Raw]]))*(10)/(ASINH(X$4))</f>
        <v>7.020000688684088</v>
      </c>
      <c r="Z21" s="256">
        <f>FMS_Ranking4[[#This Row],[LWC, ArcSInh (0-10)]]*X$5*10</f>
        <v>7.020000688684088</v>
      </c>
      <c r="AA21" s="253">
        <f>_xlfn.XLOOKUP(FMS_Ranking4[[#This Row],[FMS ID]],FMS_Input[FMS_ID],FMS_Input[ROADCLS])</f>
        <v>89</v>
      </c>
      <c r="AB21" s="255">
        <f>(ASINH(FMS_Ranking4[[#This Row],[Road Closures Raw]]))*(10)/(ASINH(AA$4))</f>
        <v>5.3963848344148895</v>
      </c>
      <c r="AC21" s="256">
        <f>FMS_Ranking4[[#This Row],[Road closures, ArcSinh (0-10)]]*AA$5*10</f>
        <v>2.6981924172074452</v>
      </c>
      <c r="AD21" s="253">
        <f>_xlfn.XLOOKUP(FMS_Ranking4[[#This Row],[FMS ID]],FMS_Input[FMS_ID],FMS_Input[ROAD_MILES100])</f>
        <v>2408</v>
      </c>
      <c r="AE21" s="259">
        <f>(ASINH(FMS_Ranking4[[#This Row],[Road Miles Raw]]))*(10)/(ASINH(AD$4))</f>
        <v>9.0370261953144126</v>
      </c>
      <c r="AF21" s="256">
        <f>FMS_Ranking4[[#This Row],[Length of roads at risk, ArcSinh (0-10)]]*AD$5*10</f>
        <v>9.0370261953144126</v>
      </c>
      <c r="AG21" s="253">
        <f>_xlfn.XLOOKUP(FMS_Ranking4[[#This Row],[FMS ID]],FMS_Input[FMS_ID],FMS_Input[FARMACRE100])</f>
        <v>5993.46923828125</v>
      </c>
      <c r="AH21" s="255">
        <f>(ASINH(FMS_Ranking4[[#This Row],[Ag Land Raw]]))*(10)/(ASINH(AG$4))</f>
        <v>6.1005917122884838</v>
      </c>
      <c r="AI21" s="260">
        <f>FMS_Ranking4[[#This Row],[Farm &amp; ranch land, ArcSinh (0-10)]]*AG$5*10</f>
        <v>3.0502958561442424</v>
      </c>
      <c r="AJ21" s="258">
        <f>_xlfn.XLOOKUP(FMS_Ranking4[[#This Row],[FMS ID]],FMS_Input[FMS_ID],FMS_Input[REDSTRUCT100])</f>
        <v>0</v>
      </c>
      <c r="AK21" s="253">
        <f>_xlfn.XLOOKUP(FMS_Ranking4[[#This Row],[FMS ID]],FMS_Input[FMS_ID],FMS_Input[REMSTRC100])</f>
        <v>0</v>
      </c>
      <c r="AL21" s="259">
        <f>(ASINH(FMS_Ranking4[[#This Row],[Structures Removed Raw]]))*(10)/(ASINH(AK$4))</f>
        <v>0</v>
      </c>
      <c r="AM21" s="262">
        <f>FMS_Ranking4[[#This Row],[Structures removed, ArcSinh (0-10)]]*AK$5*10</f>
        <v>0</v>
      </c>
      <c r="AN21" s="253">
        <f>_xlfn.XLOOKUP(FMS_Ranking4[[#This Row],[FMS ID]],FMS_Input[FMS_ID],FMS_Input[REMRESSTRC100])</f>
        <v>0</v>
      </c>
      <c r="AO21" s="261">
        <f>FMS_Ranking4[[#This Row],[ArcSinh Res struct removed 0-10]]*AN$5*10</f>
        <v>0</v>
      </c>
      <c r="AP21" s="254">
        <f>ASINH(FMS_Ranking4[[#This Row],[Residential Structures Removed Raw]])/AP$4*AN$5*100</f>
        <v>0</v>
      </c>
      <c r="AQ21" s="254">
        <f>(ASINH(FMS_Ranking4[[#This Row],[Residential Structures Removed Raw]]))*(10)/(ASINH(AN$4))</f>
        <v>0</v>
      </c>
      <c r="AR21" s="253">
        <f>_xlfn.XLOOKUP(FMS_Ranking4[[#This Row],[FMS ID]],FMS_Input[FMS_ID],FMS_Input[REMPOP100])</f>
        <v>0</v>
      </c>
      <c r="AS21" s="259">
        <f>(ASINH(FMS_Ranking4[[#This Row],[Removed Pop Raw]]))*(10)/(ASINH(AR$4))</f>
        <v>0</v>
      </c>
      <c r="AT21" s="262">
        <f>FMS_Ranking4[[#This Row],[Removed population, ArcSinh (0-10)]]*AR$5*10</f>
        <v>0</v>
      </c>
      <c r="AU21" s="264">
        <f>_xlfn.XLOOKUP(FMS_Ranking4[[#This Row],[FMS ID]],FMS_Input[FMS_ID],FMS_Input[REMCRITFAC100])</f>
        <v>0</v>
      </c>
      <c r="AV21" s="264">
        <f>_xlfn.XLOOKUP(FMS_Ranking4[[#This Row],[FMS ID]],FMS_Input[FMS_ID],FMS_Input[REMLWC100])</f>
        <v>0</v>
      </c>
      <c r="AW21" s="264">
        <f>_xlfn.XLOOKUP(FMS_Ranking4[[#This Row],[FMS ID]],FMS_Input[FMS_ID],FMS_Input[REMROADCLS])</f>
        <v>0</v>
      </c>
      <c r="AX21" s="264">
        <f>_xlfn.XLOOKUP(FMS_Ranking4[[#This Row],[FMS ID]],FMS_Input[FMS_ID],FMS_Input[REMFRMACRE100])</f>
        <v>0</v>
      </c>
      <c r="AY21" s="258">
        <f>_xlfn.XLOOKUP(FMS_Ranking4[[#This Row],[FMS ID]],FMS_Input[FMS_ID],FMS_Input[COSTSTRUCT])</f>
        <v>0</v>
      </c>
      <c r="AZ21" s="253">
        <f>_xlfn.XLOOKUP(FMS_Ranking4[[#This Row],[FMS ID]],FMS_Input[FMS_ID],FMS_Input[NATURE])</f>
        <v>0</v>
      </c>
      <c r="BA21" s="262">
        <f>(((FMS_Ranking4[[#This Row],[% NBS Raw]]/AZ$4)*100)*AZ$5)</f>
        <v>0</v>
      </c>
      <c r="BB21" s="251" t="str">
        <f>_xlfn.XLOOKUP(FMS_Ranking4[[#This Row],[FMS ID]],FMS_Input[FMS_ID],FMS_Input[WATER_SUP])</f>
        <v>No</v>
      </c>
      <c r="BC21" s="265">
        <f>IF(FMS_Ranking4[[#This Row],[Water Supply Raw]]="Yes",10,0)</f>
        <v>0</v>
      </c>
      <c r="BD21" s="266">
        <f>_xlfn.XLOOKUP(FMS_Ranking4[[#This Row],[FMS Type]],FMS_TYPE[FMS_Type],FMS_TYPE[Score])</f>
        <v>6</v>
      </c>
      <c r="BE21" s="267">
        <f>FMS_Ranking4[[#This Row],[FMS_Type Score]]*$BD$5*10</f>
        <v>1.5000000000000002</v>
      </c>
      <c r="BF2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29.871376119406943</v>
      </c>
      <c r="BG21" s="271">
        <f>_xlfn.RANK.EQ(BF21,$BF$8:$BF$870,0)+COUNTIF($BF$8:BF21,BF21)-1</f>
        <v>6</v>
      </c>
      <c r="BH21" s="268">
        <f>(((FMS_Ranking4[[#This Row],[Structures Removed Raw]]/AK$4)*100)*AK$5)+(((FMS_Ranking4[[#This Row],[Removed Pop Raw]]/AR$4)*100)*AR$5)</f>
        <v>0</v>
      </c>
      <c r="BI2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31.371376119406943</v>
      </c>
      <c r="BJ21" s="205">
        <f>_xlfn.RANK.EQ(FMS_Ranking4[[#This Row],[Total Score 
(with linear
normalization)]],FMS_Ranking4[Total Score 
(with linear
normalization)],0)</f>
        <v>6</v>
      </c>
      <c r="BK21" s="205" t="e">
        <f>_xlfn.XLOOKUP(FMS_Ranking4[[#This Row],[FMS ID]],#REF!,#REF!)</f>
        <v>#REF!</v>
      </c>
      <c r="BL2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51.339043429531877</v>
      </c>
      <c r="BM21" s="272">
        <f>FMS_Ranking4[[#This Row],[ArcSinh Score Based on Normalized Reported Factors]]+FMS_Ranking4[[#This Row],[% NBS Score (Normalized)]]+(FMS_Ranking4[[#This Row],[Water Supply Score (Normalized)]]*10*$BB$5)+FMS_Ranking4[[#This Row],[FMS_Type Score Weighted]]</f>
        <v>52.839043429531877</v>
      </c>
      <c r="BN21" s="205">
        <f>_xlfn.RANK.EQ(FMS_Ranking4[[#This Row],[Total Score (with ArcSinh normalization of select criteria)]],FMS_Ranking4[Total Score (with ArcSinh normalization of select criteria)],0)</f>
        <v>14</v>
      </c>
      <c r="BO21" s="270" t="str">
        <f>_xlfn.XLOOKUP(FMS_Ranking4[[#This Row],[FMS ID]],FMS_Input[FMS_ID],FMS_Input[FMS_RANK_YEAR])</f>
        <v>2023 Amended Plan</v>
      </c>
      <c r="BP21" s="204">
        <f>_xlfn.XLOOKUP(FMS_Ranking4[[#This Row],[FMS ID]],Prev_Rank[FMS ID],Prev_Rank[Prev Rank])</f>
        <v>13</v>
      </c>
      <c r="BQ21" s="205" t="e">
        <f>_xlfn.XLOOKUP(FMS_Ranking4[[#This Row],[FMS ID]],#REF!,#REF!)</f>
        <v>#REF!</v>
      </c>
      <c r="BR21" s="199" t="e">
        <f>SUM(#REF!,#REF!,#REF!,#REF!,#REF!,#REF!,#REF!,#REF!,#REF!,FMS_Ranking4[[#This Row],[ArcSinh Res struct removed 0-10]],#REF!)</f>
        <v>#REF!</v>
      </c>
      <c r="BS21" s="199" t="e">
        <f>FMS_Ranking4[[#This Row],[Log Score Based on Normalized Reported Factors]]+FMS_Ranking4[[#This Row],[% NBS Score (Normalized)]]+(FMS_Ranking4[[#This Row],[Water Supply Score (Normalized)]]*10*$BB$5)+(FMS_Ranking4[[#This Row],[FMS_Type Score Weighted]])</f>
        <v>#REF!</v>
      </c>
      <c r="BT21" s="200" t="e">
        <f>_xlfn.RANK.EQ(FMS_Ranking4[[#This Row],[Log Total Score]],FMS_Ranking4[Log Total Score],0)</f>
        <v>#REF!</v>
      </c>
      <c r="BU21" s="200" t="e">
        <f>_xlfn.XLOOKUP(FMS_Ranking4[[#This Row],[FMS ID]],#REF!,#REF!)</f>
        <v>#REF!</v>
      </c>
      <c r="BV21" s="200">
        <f>FMS_Ranking4[[#This Row],[Region Number]]</f>
        <v>6</v>
      </c>
      <c r="BW21" s="200">
        <f>FMS_Ranking4[[#This Row],[Rank (with ArcSinh normalization of select criteria)]]-FMS_Ranking4[[#This Row],[Rank
(with linear
normalization)]]</f>
        <v>8</v>
      </c>
      <c r="BX21" s="200" t="e">
        <f>FMS_Ranking4[[#This Row],[Log Rank]]-FMS_Ranking4[[#This Row],[Rank
(with linear
normalization)]]</f>
        <v>#REF!</v>
      </c>
      <c r="BY21" s="200" t="str">
        <f>IF(FMS_Ranking4[[#This Row],[FMS Type]]="Flood Measurement and Warning",FMS_Ranking4[[#This Row],[Rank (with ArcSinh normalization of select criteria)]],"")</f>
        <v/>
      </c>
      <c r="BZ21" s="200" t="str">
        <f>IF(FMS_Ranking4[[#This Row],[FMS Type]]="Regulatory and Guidance",FMS_Ranking4[[#This Row],[Rank (with ArcSinh normalization of select criteria)]],"")</f>
        <v/>
      </c>
      <c r="CA21" s="200">
        <f>IF(FMS_Ranking4[[#This Row],[FMS Type]]="Education and Outreach",FMS_Ranking4[[#This Row],[Rank (with ArcSinh normalization of select criteria)]],"")</f>
        <v>14</v>
      </c>
      <c r="CB21" s="200" t="str">
        <f>IF(FMS_Ranking4[[#This Row],[FMS Type]]="Property Acquisition and Structural Elevation",FMS_Ranking4[[#This Row],[Rank (with ArcSinh normalization of select criteria)]],"")</f>
        <v/>
      </c>
      <c r="CC21" s="200" t="str">
        <f>IF(FMS_Ranking4[[#This Row],[FMS Type]]="Infrastructure Projects",FMS_Ranking4[[#This Row],[Rank (with ArcSinh normalization of select criteria)]],"")</f>
        <v/>
      </c>
      <c r="CD21" s="200" t="str">
        <f>IF(FMS_Ranking4[[#This Row],[FMS Type]]="Other",FMS_Ranking4[[#This Row],[Rank (with ArcSinh normalization of select criteria)]],"")</f>
        <v/>
      </c>
      <c r="CE21" s="201"/>
    </row>
    <row r="22" spans="2:85" ht="60" x14ac:dyDescent="0.25">
      <c r="B22" s="341" t="s">
        <v>1960</v>
      </c>
      <c r="C22" s="246">
        <f>_xlfn.XLOOKUP(FMS_Ranking4[[#This Row],[FMS ID]],FMS_Input[FMS_ID],FMS_Input[RFPG_NUM])</f>
        <v>3</v>
      </c>
      <c r="D22" s="309" t="str">
        <f>_xlfn.XLOOKUP(FMS_Ranking4[[#This Row],[FMS ID]],FMS_Input[FMS_ID],FMS_Input[FMS_NAME])</f>
        <v>Tarrant County Promotion of Open Space and LID</v>
      </c>
      <c r="E22" s="308" t="str">
        <f>_xlfn.XLOOKUP(FMS_Ranking4[[#This Row],[FMS ID]],FMS_Input[FMS_ID],FMS_Input[SPONSOR])</f>
        <v>North Central Texas Council of Govt</v>
      </c>
      <c r="F22" s="309" t="str">
        <f>_xlfn.XLOOKUP(FMS_Ranking4[[#This Row],[FMS ID]],Sponsor[FMS_ID],Sponsor[SPONSOR NAME])</f>
        <v>North Central Texas Council of Govt</v>
      </c>
      <c r="G22" s="309" t="str">
        <f>_xlfn.XLOOKUP(FMS_Ranking4[[#This Row],[FMS ID]],FMS_Input[FMS_ID],FMS_Input[FMS_DESCR])</f>
        <v>Promote the inclusion of low impact development requirements in local and regional ordinances</v>
      </c>
      <c r="H22" s="248" t="str">
        <f>_xlfn.XLOOKUP(FMS_Ranking4[[#This Row],[FMS ID]],FMS_Input[FMS_ID],FMS_Input[FMS_TYPE])</f>
        <v>Regulatory and Guidance</v>
      </c>
      <c r="I22" s="249">
        <f>_xlfn.XLOOKUP(FMS_Ranking4[[#This Row],[FMS ID]],FMS_Input[FMS_ID],FMS_Input[NRNC_COST])</f>
        <v>500000</v>
      </c>
      <c r="J22" s="250">
        <f>_xlfn.XLOOKUP(FMS_Ranking4[[#This Row],[FMS ID]],FMS_Input[FMS_ID],FMS_Input[FMS_COST])</f>
        <v>500000</v>
      </c>
      <c r="K22" s="251" t="str">
        <f>_xlfn.XLOOKUP(FMS_Ranking4[[#This Row],[FMS ID]],FMS_Input[FMS_ID],FMS_Input[EMER_NEED])</f>
        <v>No</v>
      </c>
      <c r="L22" s="252">
        <f t="shared" si="0"/>
        <v>0</v>
      </c>
      <c r="M22" s="253">
        <f>_xlfn.XLOOKUP(FMS_Ranking4[[#This Row],[FMS ID]],FMS_Input[FMS_ID],FMS_Input[STRUCT_100])</f>
        <v>14853</v>
      </c>
      <c r="N22" s="255">
        <f>(ASINH(FMS_Ranking4[[#This Row],[Structure at Risk Raw]]))*(10)/(ASINH(M$4))</f>
        <v>8.0966294702341557</v>
      </c>
      <c r="O22" s="256">
        <f>FMS_Ranking4[[#This Row],[Structures at risk, ArcSinh (0-10)]]*M$5*10</f>
        <v>8.0966294702341557</v>
      </c>
      <c r="P22" s="253">
        <f>_xlfn.XLOOKUP(FMS_Ranking4[[#This Row],[FMS ID]],FMS_Input[FMS_ID],FMS_Input[RES_STRUCT100])</f>
        <v>12825</v>
      </c>
      <c r="Q22" s="257">
        <f>ASINH(FMS_Ranking4[[#This Row],[Res Structure Raw]])/Q$4*P$5*100</f>
        <v>0</v>
      </c>
      <c r="R22" s="253">
        <f>_xlfn.XLOOKUP(FMS_Ranking4[[#This Row],[FMS ID]],FMS_Input[FMS_ID],FMS_Input[POP100])</f>
        <v>46034</v>
      </c>
      <c r="S22" s="259">
        <f>(ASINH(FMS_Ranking4[[#This Row],[Pop at Risk Raw]]))*(10)/(ASINH(R$4))</f>
        <v>7.8909896045845125</v>
      </c>
      <c r="T22" s="256">
        <f>FMS_Ranking4[[#This Row],[Population at risk, ArcSinh (0-10)]]*R$5*10</f>
        <v>7.8909896045845134</v>
      </c>
      <c r="U22" s="253">
        <f>_xlfn.XLOOKUP(FMS_Ranking4[[#This Row],[FMS ID]],FMS_Input[FMS_ID],FMS_Input[CRITFAC100])</f>
        <v>163</v>
      </c>
      <c r="V22" s="259">
        <f>(ASINH(FMS_Ranking4[[#This Row],[Critical Facilities Raw]]))*(10)/(ASINH(U$4))</f>
        <v>6.8503327330221842</v>
      </c>
      <c r="W22" s="256">
        <f>FMS_Ranking4[[#This Row],[Critical facilities at risk, ArcSinh (0-10)]]*U$5*10</f>
        <v>6.8503327330221842</v>
      </c>
      <c r="X22" s="253">
        <f>_xlfn.XLOOKUP(FMS_Ranking4[[#This Row],[FMS ID]],FMS_Input[FMS_ID],FMS_Input[LWC])</f>
        <v>530</v>
      </c>
      <c r="Y22" s="259">
        <f>(ASINH(FMS_Ranking4[[#This Row],[LWC Raw]]))*(10)/(ASINH(X$4))</f>
        <v>9.4371373343368088</v>
      </c>
      <c r="Z22" s="256">
        <f>FMS_Ranking4[[#This Row],[LWC, ArcSInh (0-10)]]*X$5*10</f>
        <v>9.4371373343368088</v>
      </c>
      <c r="AA22" s="253">
        <f>_xlfn.XLOOKUP(FMS_Ranking4[[#This Row],[FMS ID]],FMS_Input[FMS_ID],FMS_Input[ROADCLS])</f>
        <v>0</v>
      </c>
      <c r="AB22" s="255">
        <f>(ASINH(FMS_Ranking4[[#This Row],[Road Closures Raw]]))*(10)/(ASINH(AA$4))</f>
        <v>0</v>
      </c>
      <c r="AC22" s="256">
        <f>FMS_Ranking4[[#This Row],[Road closures, ArcSinh (0-10)]]*AA$5*10</f>
        <v>0</v>
      </c>
      <c r="AD22" s="253">
        <f>_xlfn.XLOOKUP(FMS_Ranking4[[#This Row],[FMS ID]],FMS_Input[FMS_ID],FMS_Input[ROAD_MILES100])</f>
        <v>468</v>
      </c>
      <c r="AE22" s="259">
        <f>(ASINH(FMS_Ranking4[[#This Row],[Road Miles Raw]]))*(10)/(ASINH(AD$4))</f>
        <v>7.2912810200922396</v>
      </c>
      <c r="AF22" s="256">
        <f>FMS_Ranking4[[#This Row],[Length of roads at risk, ArcSinh (0-10)]]*AD$5*10</f>
        <v>7.2912810200922396</v>
      </c>
      <c r="AG22" s="253">
        <f>_xlfn.XLOOKUP(FMS_Ranking4[[#This Row],[FMS ID]],FMS_Input[FMS_ID],FMS_Input[FARMACRE100])</f>
        <v>20062.69921875</v>
      </c>
      <c r="AH22" s="255">
        <f>(ASINH(FMS_Ranking4[[#This Row],[Ag Land Raw]]))*(10)/(ASINH(AG$4))</f>
        <v>6.88541078727786</v>
      </c>
      <c r="AI22" s="260">
        <f>FMS_Ranking4[[#This Row],[Farm &amp; ranch land, ArcSinh (0-10)]]*AG$5*10</f>
        <v>3.44270539363893</v>
      </c>
      <c r="AJ22" s="258">
        <f>_xlfn.XLOOKUP(FMS_Ranking4[[#This Row],[FMS ID]],FMS_Input[FMS_ID],FMS_Input[REDSTRUCT100])</f>
        <v>0</v>
      </c>
      <c r="AK22" s="253">
        <f>_xlfn.XLOOKUP(FMS_Ranking4[[#This Row],[FMS ID]],FMS_Input[FMS_ID],FMS_Input[REMSTRC100])</f>
        <v>0</v>
      </c>
      <c r="AL22" s="259">
        <f>(ASINH(FMS_Ranking4[[#This Row],[Structures Removed Raw]]))*(10)/(ASINH(AK$4))</f>
        <v>0</v>
      </c>
      <c r="AM22" s="262">
        <f>FMS_Ranking4[[#This Row],[Structures removed, ArcSinh (0-10)]]*AK$5*10</f>
        <v>0</v>
      </c>
      <c r="AN22" s="253">
        <f>_xlfn.XLOOKUP(FMS_Ranking4[[#This Row],[FMS ID]],FMS_Input[FMS_ID],FMS_Input[REMRESSTRC100])</f>
        <v>0</v>
      </c>
      <c r="AO22" s="261">
        <f>FMS_Ranking4[[#This Row],[ArcSinh Res struct removed 0-10]]*AN$5*10</f>
        <v>0</v>
      </c>
      <c r="AP22" s="254">
        <f>ASINH(FMS_Ranking4[[#This Row],[Residential Structures Removed Raw]])/AP$4*AN$5*100</f>
        <v>0</v>
      </c>
      <c r="AQ22" s="254">
        <f>(ASINH(FMS_Ranking4[[#This Row],[Residential Structures Removed Raw]]))*(10)/(ASINH(AN$4))</f>
        <v>0</v>
      </c>
      <c r="AR22" s="253">
        <f>_xlfn.XLOOKUP(FMS_Ranking4[[#This Row],[FMS ID]],FMS_Input[FMS_ID],FMS_Input[REMPOP100])</f>
        <v>0</v>
      </c>
      <c r="AS22" s="259">
        <f>(ASINH(FMS_Ranking4[[#This Row],[Removed Pop Raw]]))*(10)/(ASINH(AR$4))</f>
        <v>0</v>
      </c>
      <c r="AT22" s="262">
        <f>FMS_Ranking4[[#This Row],[Removed population, ArcSinh (0-10)]]*AR$5*10</f>
        <v>0</v>
      </c>
      <c r="AU22" s="264">
        <f>_xlfn.XLOOKUP(FMS_Ranking4[[#This Row],[FMS ID]],FMS_Input[FMS_ID],FMS_Input[REMCRITFAC100])</f>
        <v>0</v>
      </c>
      <c r="AV22" s="264">
        <f>_xlfn.XLOOKUP(FMS_Ranking4[[#This Row],[FMS ID]],FMS_Input[FMS_ID],FMS_Input[REMLWC100])</f>
        <v>0</v>
      </c>
      <c r="AW22" s="264">
        <f>_xlfn.XLOOKUP(FMS_Ranking4[[#This Row],[FMS ID]],FMS_Input[FMS_ID],FMS_Input[REMROADCLS])</f>
        <v>0</v>
      </c>
      <c r="AX22" s="264">
        <f>_xlfn.XLOOKUP(FMS_Ranking4[[#This Row],[FMS ID]],FMS_Input[FMS_ID],FMS_Input[REMFRMACRE100])</f>
        <v>0</v>
      </c>
      <c r="AY22" s="258">
        <f>_xlfn.XLOOKUP(FMS_Ranking4[[#This Row],[FMS ID]],FMS_Input[FMS_ID],FMS_Input[COSTSTRUCT])</f>
        <v>0</v>
      </c>
      <c r="AZ22" s="253">
        <f>_xlfn.XLOOKUP(FMS_Ranking4[[#This Row],[FMS ID]],FMS_Input[FMS_ID],FMS_Input[NATURE])</f>
        <v>100</v>
      </c>
      <c r="BA22" s="262">
        <f>(((FMS_Ranking4[[#This Row],[% NBS Raw]]/AZ$4)*100)*AZ$5)</f>
        <v>7.5</v>
      </c>
      <c r="BB22" s="251" t="str">
        <f>_xlfn.XLOOKUP(FMS_Ranking4[[#This Row],[FMS ID]],FMS_Input[FMS_ID],FMS_Input[WATER_SUP])</f>
        <v>No</v>
      </c>
      <c r="BC22" s="265">
        <f>IF(FMS_Ranking4[[#This Row],[Water Supply Raw]]="Yes",10,0)</f>
        <v>0</v>
      </c>
      <c r="BD22" s="266">
        <f>_xlfn.XLOOKUP(FMS_Ranking4[[#This Row],[FMS Type]],FMS_TYPE[FMS_Type],FMS_TYPE[Score])</f>
        <v>8</v>
      </c>
      <c r="BE22" s="267">
        <f>FMS_Ranking4[[#This Row],[FMS_Type Score]]*$BD$5*10</f>
        <v>2</v>
      </c>
      <c r="BF2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9.4873935038916919</v>
      </c>
      <c r="BG22" s="271">
        <f>_xlfn.RANK.EQ(BF22,$BF$8:$BF$870,0)+COUNTIF($BF$8:BF22,BF22)-1</f>
        <v>44</v>
      </c>
      <c r="BH22" s="268">
        <f>(((FMS_Ranking4[[#This Row],[Structures Removed Raw]]/AK$4)*100)*AK$5)+(((FMS_Ranking4[[#This Row],[Removed Pop Raw]]/AR$4)*100)*AR$5)</f>
        <v>0</v>
      </c>
      <c r="BI2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18.987393503891692</v>
      </c>
      <c r="BJ22" s="205">
        <f>_xlfn.RANK.EQ(FMS_Ranking4[[#This Row],[Total Score 
(with linear
normalization)]],FMS_Ranking4[Total Score 
(with linear
normalization)],0)</f>
        <v>26</v>
      </c>
      <c r="BK22" s="205" t="e">
        <f>_xlfn.XLOOKUP(FMS_Ranking4[[#This Row],[FMS ID]],#REF!,#REF!)</f>
        <v>#REF!</v>
      </c>
      <c r="BL2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43.009075555908836</v>
      </c>
      <c r="BM22" s="272">
        <f>FMS_Ranking4[[#This Row],[ArcSinh Score Based on Normalized Reported Factors]]+FMS_Ranking4[[#This Row],[% NBS Score (Normalized)]]+(FMS_Ranking4[[#This Row],[Water Supply Score (Normalized)]]*10*$BB$5)+FMS_Ranking4[[#This Row],[FMS_Type Score Weighted]]</f>
        <v>52.509075555908836</v>
      </c>
      <c r="BN22" s="205">
        <f>_xlfn.RANK.EQ(FMS_Ranking4[[#This Row],[Total Score (with ArcSinh normalization of select criteria)]],FMS_Ranking4[Total Score (with ArcSinh normalization of select criteria)],0)</f>
        <v>15</v>
      </c>
      <c r="BO22" s="270" t="str">
        <f>_xlfn.XLOOKUP(FMS_Ranking4[[#This Row],[FMS ID]],FMS_Input[FMS_ID],FMS_Input[FMS_RANK_YEAR])</f>
        <v>2023 Amended Plan</v>
      </c>
      <c r="BP22" s="204">
        <f>_xlfn.XLOOKUP(FMS_Ranking4[[#This Row],[FMS ID]],Prev_Rank[FMS ID],Prev_Rank[Prev Rank])</f>
        <v>14</v>
      </c>
      <c r="BQ22" s="205" t="e">
        <f>_xlfn.XLOOKUP(FMS_Ranking4[[#This Row],[FMS ID]],#REF!,#REF!)</f>
        <v>#REF!</v>
      </c>
      <c r="BR22" s="199" t="e">
        <f>SUM(#REF!,#REF!,#REF!,#REF!,#REF!,#REF!,#REF!,#REF!,#REF!,FMS_Ranking4[[#This Row],[ArcSinh Res struct removed 0-10]],#REF!)</f>
        <v>#REF!</v>
      </c>
      <c r="BS22" s="199" t="e">
        <f>FMS_Ranking4[[#This Row],[Log Score Based on Normalized Reported Factors]]+FMS_Ranking4[[#This Row],[% NBS Score (Normalized)]]+(FMS_Ranking4[[#This Row],[Water Supply Score (Normalized)]]*10*$BB$5)+(FMS_Ranking4[[#This Row],[FMS_Type Score Weighted]])</f>
        <v>#REF!</v>
      </c>
      <c r="BT22" s="200" t="e">
        <f>_xlfn.RANK.EQ(FMS_Ranking4[[#This Row],[Log Total Score]],FMS_Ranking4[Log Total Score],0)</f>
        <v>#REF!</v>
      </c>
      <c r="BU22" s="200" t="e">
        <f>_xlfn.XLOOKUP(FMS_Ranking4[[#This Row],[FMS ID]],#REF!,#REF!)</f>
        <v>#REF!</v>
      </c>
      <c r="BV22" s="200">
        <f>FMS_Ranking4[[#This Row],[Region Number]]</f>
        <v>3</v>
      </c>
      <c r="BW22" s="200">
        <f>FMS_Ranking4[[#This Row],[Rank (with ArcSinh normalization of select criteria)]]-FMS_Ranking4[[#This Row],[Rank
(with linear
normalization)]]</f>
        <v>-11</v>
      </c>
      <c r="BX22" s="200" t="e">
        <f>FMS_Ranking4[[#This Row],[Log Rank]]-FMS_Ranking4[[#This Row],[Rank
(with linear
normalization)]]</f>
        <v>#REF!</v>
      </c>
      <c r="BY22" s="200" t="str">
        <f>IF(FMS_Ranking4[[#This Row],[FMS Type]]="Flood Measurement and Warning",FMS_Ranking4[[#This Row],[Rank (with ArcSinh normalization of select criteria)]],"")</f>
        <v/>
      </c>
      <c r="BZ22" s="200">
        <f>IF(FMS_Ranking4[[#This Row],[FMS Type]]="Regulatory and Guidance",FMS_Ranking4[[#This Row],[Rank (with ArcSinh normalization of select criteria)]],"")</f>
        <v>15</v>
      </c>
      <c r="CA22" s="200" t="str">
        <f>IF(FMS_Ranking4[[#This Row],[FMS Type]]="Education and Outreach",FMS_Ranking4[[#This Row],[Rank (with ArcSinh normalization of select criteria)]],"")</f>
        <v/>
      </c>
      <c r="CB22" s="200" t="str">
        <f>IF(FMS_Ranking4[[#This Row],[FMS Type]]="Property Acquisition and Structural Elevation",FMS_Ranking4[[#This Row],[Rank (with ArcSinh normalization of select criteria)]],"")</f>
        <v/>
      </c>
      <c r="CC22" s="200" t="str">
        <f>IF(FMS_Ranking4[[#This Row],[FMS Type]]="Infrastructure Projects",FMS_Ranking4[[#This Row],[Rank (with ArcSinh normalization of select criteria)]],"")</f>
        <v/>
      </c>
      <c r="CD22" s="200" t="str">
        <f>IF(FMS_Ranking4[[#This Row],[FMS Type]]="Other",FMS_Ranking4[[#This Row],[Rank (with ArcSinh normalization of select criteria)]],"")</f>
        <v/>
      </c>
      <c r="CE22" s="201"/>
    </row>
    <row r="23" spans="2:85" ht="105" x14ac:dyDescent="0.25">
      <c r="B23" s="341" t="s">
        <v>173</v>
      </c>
      <c r="C23" s="246">
        <f>_xlfn.XLOOKUP(FMS_Ranking4[[#This Row],[FMS ID]],FMS_Input[FMS_ID],FMS_Input[RFPG_NUM])</f>
        <v>6</v>
      </c>
      <c r="D23" s="309" t="str">
        <f>_xlfn.XLOOKUP(FMS_Ranking4[[#This Row],[FMS ID]],FMS_Input[FMS_ID],FMS_Input[FMS_NAME])</f>
        <v>Harris County Wide Voluntary Buyout Program</v>
      </c>
      <c r="E23" s="308" t="str">
        <f>_xlfn.XLOOKUP(FMS_Ranking4[[#This Row],[FMS ID]],FMS_Input[FMS_ID],FMS_Input[SPONSOR])</f>
        <v>00000310</v>
      </c>
      <c r="F23" s="309" t="str">
        <f>_xlfn.XLOOKUP(FMS_Ranking4[[#This Row],[FMS ID]],Sponsor[FMS_ID],Sponsor[SPONSOR NAME])</f>
        <v>Harris County Flood Control District</v>
      </c>
      <c r="G23" s="309" t="str">
        <f>_xlfn.XLOOKUP(FMS_Ranking4[[#This Row],[FMS ID]],FMS_Input[FMS_ID],FMS_Input[FMS_DESCR])</f>
        <v>Targeted home buyouts to reduce flood damages in areas several feet deep in the floodplain where structural projects to reduce flooding are not cost-effective and/or beneficial.</v>
      </c>
      <c r="H23" s="248" t="str">
        <f>_xlfn.XLOOKUP(FMS_Ranking4[[#This Row],[FMS ID]],FMS_Input[FMS_ID],FMS_Input[FMS_TYPE])</f>
        <v>Property Acquisition and Structural Elevation</v>
      </c>
      <c r="I23" s="249">
        <f>_xlfn.XLOOKUP(FMS_Ranking4[[#This Row],[FMS ID]],FMS_Input[FMS_ID],FMS_Input[NRNC_COST])</f>
        <v>50000000</v>
      </c>
      <c r="J23" s="250">
        <f>_xlfn.XLOOKUP(FMS_Ranking4[[#This Row],[FMS ID]],FMS_Input[FMS_ID],FMS_Input[FMS_COST])</f>
        <v>500000000</v>
      </c>
      <c r="K23" s="251" t="str">
        <f>_xlfn.XLOOKUP(FMS_Ranking4[[#This Row],[FMS ID]],FMS_Input[FMS_ID],FMS_Input[EMER_NEED])</f>
        <v>Yes</v>
      </c>
      <c r="L23" s="252">
        <f t="shared" si="0"/>
        <v>1</v>
      </c>
      <c r="M23" s="253">
        <f>_xlfn.XLOOKUP(FMS_Ranking4[[#This Row],[FMS ID]],FMS_Input[FMS_ID],FMS_Input[STRUCT_100])</f>
        <v>143642</v>
      </c>
      <c r="N23" s="255">
        <f>(ASINH(FMS_Ranking4[[#This Row],[Structure at Risk Raw]]))*(10)/(ASINH(M$4))</f>
        <v>9.8804973981577646</v>
      </c>
      <c r="O23" s="256">
        <f>FMS_Ranking4[[#This Row],[Structures at risk, ArcSinh (0-10)]]*M$5*10</f>
        <v>9.8804973981577646</v>
      </c>
      <c r="P23" s="253">
        <f>_xlfn.XLOOKUP(FMS_Ranking4[[#This Row],[FMS ID]],FMS_Input[FMS_ID],FMS_Input[RES_STRUCT100])</f>
        <v>120807</v>
      </c>
      <c r="Q23" s="257">
        <f>ASINH(FMS_Ranking4[[#This Row],[Res Structure Raw]])/Q$4*P$5*100</f>
        <v>0</v>
      </c>
      <c r="R23" s="253">
        <f>_xlfn.XLOOKUP(FMS_Ranking4[[#This Row],[FMS ID]],FMS_Input[FMS_ID],FMS_Input[POP100])</f>
        <v>590954</v>
      </c>
      <c r="S23" s="255">
        <f>(ASINH(FMS_Ranking4[[#This Row],[Pop at Risk Raw]]))*(10)/(ASINH(R$4))</f>
        <v>9.6530308740239228</v>
      </c>
      <c r="T23" s="256">
        <f>FMS_Ranking4[[#This Row],[Population at risk, ArcSinh (0-10)]]*R$5*10</f>
        <v>9.6530308740239228</v>
      </c>
      <c r="U23" s="253">
        <f>_xlfn.XLOOKUP(FMS_Ranking4[[#This Row],[FMS ID]],FMS_Input[FMS_ID],FMS_Input[CRITFAC100])</f>
        <v>2332</v>
      </c>
      <c r="V23" s="255">
        <f>(ASINH(FMS_Ranking4[[#This Row],[Critical Facilities Raw]]))*(10)/(ASINH(U$4))</f>
        <v>10</v>
      </c>
      <c r="W23" s="256">
        <f>FMS_Ranking4[[#This Row],[Critical facilities at risk, ArcSinh (0-10)]]*U$5*10</f>
        <v>10</v>
      </c>
      <c r="X23" s="253">
        <f>_xlfn.XLOOKUP(FMS_Ranking4[[#This Row],[FMS ID]],FMS_Input[FMS_ID],FMS_Input[LWC])</f>
        <v>89</v>
      </c>
      <c r="Y23" s="255">
        <f>(ASINH(FMS_Ranking4[[#This Row],[LWC Raw]]))*(10)/(ASINH(X$4))</f>
        <v>7.020000688684088</v>
      </c>
      <c r="Z23" s="256">
        <f>FMS_Ranking4[[#This Row],[LWC, ArcSInh (0-10)]]*X$5*10</f>
        <v>7.020000688684088</v>
      </c>
      <c r="AA23" s="253">
        <f>_xlfn.XLOOKUP(FMS_Ranking4[[#This Row],[FMS ID]],FMS_Input[FMS_ID],FMS_Input[ROADCLS])</f>
        <v>89</v>
      </c>
      <c r="AB23" s="255">
        <f>(ASINH(FMS_Ranking4[[#This Row],[Road Closures Raw]]))*(10)/(ASINH(AA$4))</f>
        <v>5.3963848344148895</v>
      </c>
      <c r="AC23" s="256">
        <f>FMS_Ranking4[[#This Row],[Road closures, ArcSinh (0-10)]]*AA$5*10</f>
        <v>2.6981924172074452</v>
      </c>
      <c r="AD23" s="253">
        <f>_xlfn.XLOOKUP(FMS_Ranking4[[#This Row],[FMS ID]],FMS_Input[FMS_ID],FMS_Input[ROAD_MILES100])</f>
        <v>2408</v>
      </c>
      <c r="AE23" s="255">
        <f>(ASINH(FMS_Ranking4[[#This Row],[Road Miles Raw]]))*(10)/(ASINH(AD$4))</f>
        <v>9.0370261953144126</v>
      </c>
      <c r="AF23" s="256">
        <f>FMS_Ranking4[[#This Row],[Length of roads at risk, ArcSinh (0-10)]]*AD$5*10</f>
        <v>9.0370261953144126</v>
      </c>
      <c r="AG23" s="253">
        <f>_xlfn.XLOOKUP(FMS_Ranking4[[#This Row],[FMS ID]],FMS_Input[FMS_ID],FMS_Input[FARMACRE100])</f>
        <v>5993.46923828125</v>
      </c>
      <c r="AH23" s="255">
        <f>(ASINH(FMS_Ranking4[[#This Row],[Ag Land Raw]]))*(10)/(ASINH(AG$4))</f>
        <v>6.1005917122884838</v>
      </c>
      <c r="AI23" s="260">
        <f>FMS_Ranking4[[#This Row],[Farm &amp; ranch land, ArcSinh (0-10)]]*AG$5*10</f>
        <v>3.0502958561442424</v>
      </c>
      <c r="AJ23" s="258">
        <f>_xlfn.XLOOKUP(FMS_Ranking4[[#This Row],[FMS ID]],FMS_Input[FMS_ID],FMS_Input[REDSTRUCT100])</f>
        <v>0</v>
      </c>
      <c r="AK23" s="253">
        <f>_xlfn.XLOOKUP(FMS_Ranking4[[#This Row],[FMS ID]],FMS_Input[FMS_ID],FMS_Input[REMSTRC100])</f>
        <v>0</v>
      </c>
      <c r="AL23" s="255">
        <f>(ASINH(FMS_Ranking4[[#This Row],[Structures Removed Raw]]))*(10)/(ASINH(AK$4))</f>
        <v>0</v>
      </c>
      <c r="AM23" s="262">
        <f>FMS_Ranking4[[#This Row],[Structures removed, ArcSinh (0-10)]]*AK$5*10</f>
        <v>0</v>
      </c>
      <c r="AN23" s="253">
        <f>_xlfn.XLOOKUP(FMS_Ranking4[[#This Row],[FMS ID]],FMS_Input[FMS_ID],FMS_Input[REMRESSTRC100])</f>
        <v>0</v>
      </c>
      <c r="AO23" s="261">
        <f>FMS_Ranking4[[#This Row],[ArcSinh Res struct removed 0-10]]*AN$5*10</f>
        <v>0</v>
      </c>
      <c r="AP23" s="254">
        <f>ASINH(FMS_Ranking4[[#This Row],[Residential Structures Removed Raw]])/AP$4*AN$5*100</f>
        <v>0</v>
      </c>
      <c r="AQ23" s="258">
        <f>(ASINH(FMS_Ranking4[[#This Row],[Residential Structures Removed Raw]]))*(10)/(ASINH(AN$4))</f>
        <v>0</v>
      </c>
      <c r="AR23" s="253">
        <f>_xlfn.XLOOKUP(FMS_Ranking4[[#This Row],[FMS ID]],FMS_Input[FMS_ID],FMS_Input[REMPOP100])</f>
        <v>0</v>
      </c>
      <c r="AS23" s="255">
        <f>(ASINH(FMS_Ranking4[[#This Row],[Removed Pop Raw]]))*(10)/(ASINH(AR$4))</f>
        <v>0</v>
      </c>
      <c r="AT23" s="262">
        <f>FMS_Ranking4[[#This Row],[Removed population, ArcSinh (0-10)]]*AR$5*10</f>
        <v>0</v>
      </c>
      <c r="AU23" s="264">
        <f>_xlfn.XLOOKUP(FMS_Ranking4[[#This Row],[FMS ID]],FMS_Input[FMS_ID],FMS_Input[REMCRITFAC100])</f>
        <v>0</v>
      </c>
      <c r="AV23" s="264">
        <f>_xlfn.XLOOKUP(FMS_Ranking4[[#This Row],[FMS ID]],FMS_Input[FMS_ID],FMS_Input[REMLWC100])</f>
        <v>0</v>
      </c>
      <c r="AW23" s="264">
        <f>_xlfn.XLOOKUP(FMS_Ranking4[[#This Row],[FMS ID]],FMS_Input[FMS_ID],FMS_Input[REMROADCLS])</f>
        <v>0</v>
      </c>
      <c r="AX23" s="264">
        <f>_xlfn.XLOOKUP(FMS_Ranking4[[#This Row],[FMS ID]],FMS_Input[FMS_ID],FMS_Input[REMFRMACRE100])</f>
        <v>0</v>
      </c>
      <c r="AY23" s="258">
        <f>_xlfn.XLOOKUP(FMS_Ranking4[[#This Row],[FMS ID]],FMS_Input[FMS_ID],FMS_Input[COSTSTRUCT])</f>
        <v>0</v>
      </c>
      <c r="AZ23" s="253">
        <f>_xlfn.XLOOKUP(FMS_Ranking4[[#This Row],[FMS ID]],FMS_Input[FMS_ID],FMS_Input[NATURE])</f>
        <v>0</v>
      </c>
      <c r="BA23" s="262">
        <f>(((FMS_Ranking4[[#This Row],[% NBS Raw]]/AZ$4)*100)*AZ$5)</f>
        <v>0</v>
      </c>
      <c r="BB23" s="251" t="str">
        <f>_xlfn.XLOOKUP(FMS_Ranking4[[#This Row],[FMS ID]],FMS_Input[FMS_ID],FMS_Input[WATER_SUP])</f>
        <v>No</v>
      </c>
      <c r="BC23" s="265">
        <f>IF(FMS_Ranking4[[#This Row],[Water Supply Raw]]="Yes",10,0)</f>
        <v>0</v>
      </c>
      <c r="BD23" s="266">
        <f>_xlfn.XLOOKUP(FMS_Ranking4[[#This Row],[FMS Type]],FMS_TYPE[FMS_Type],FMS_TYPE[Score])</f>
        <v>4</v>
      </c>
      <c r="BE23" s="267">
        <f>FMS_Ranking4[[#This Row],[FMS_Type Score]]*$BD$5*10</f>
        <v>1</v>
      </c>
      <c r="BF2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29.871376119406943</v>
      </c>
      <c r="BG23" s="321">
        <f>_xlfn.RANK.EQ(BF23,$BF$8:$BF$870,0)+COUNTIF($BF$8:BF23,BF23)-1</f>
        <v>7</v>
      </c>
      <c r="BH23" s="294">
        <f>(((FMS_Ranking4[[#This Row],[Structures Removed Raw]]/AK$4)*100)*AK$5)+(((FMS_Ranking4[[#This Row],[Removed Pop Raw]]/AR$4)*100)*AR$5)</f>
        <v>0</v>
      </c>
      <c r="BI2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30.871376119406943</v>
      </c>
      <c r="BJ23" s="251">
        <f>_xlfn.RANK.EQ(FMS_Ranking4[[#This Row],[Total Score 
(with linear
normalization)]],FMS_Ranking4[Total Score 
(with linear
normalization)],0)</f>
        <v>7</v>
      </c>
      <c r="BK23" s="251" t="e">
        <f>_xlfn.XLOOKUP(FMS_Ranking4[[#This Row],[FMS ID]],#REF!,#REF!)</f>
        <v>#REF!</v>
      </c>
      <c r="BL2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51.339043429531877</v>
      </c>
      <c r="BM23" s="324">
        <f>FMS_Ranking4[[#This Row],[ArcSinh Score Based on Normalized Reported Factors]]+FMS_Ranking4[[#This Row],[% NBS Score (Normalized)]]+(FMS_Ranking4[[#This Row],[Water Supply Score (Normalized)]]*10*$BB$5)+FMS_Ranking4[[#This Row],[FMS_Type Score Weighted]]</f>
        <v>52.339043429531877</v>
      </c>
      <c r="BN23" s="251">
        <f>_xlfn.RANK.EQ(FMS_Ranking4[[#This Row],[Total Score (with ArcSinh normalization of select criteria)]],FMS_Ranking4[Total Score (with ArcSinh normalization of select criteria)],0)</f>
        <v>16</v>
      </c>
      <c r="BO23" s="270" t="str">
        <f>_xlfn.XLOOKUP(FMS_Ranking4[[#This Row],[FMS ID]],FMS_Input[FMS_ID],FMS_Input[FMS_RANK_YEAR])</f>
        <v>2023 Amended Plan</v>
      </c>
      <c r="BP23" s="204">
        <f>_xlfn.XLOOKUP(FMS_Ranking4[[#This Row],[FMS ID]],Prev_Rank[FMS ID],Prev_Rank[Prev Rank])</f>
        <v>15</v>
      </c>
      <c r="BQ23" s="251" t="e">
        <f>_xlfn.XLOOKUP(FMS_Ranking4[[#This Row],[FMS ID]],#REF!,#REF!)</f>
        <v>#REF!</v>
      </c>
      <c r="BR23" s="199" t="e">
        <f>SUM(#REF!,#REF!,#REF!,#REF!,#REF!,#REF!,#REF!,#REF!,#REF!,FMS_Ranking4[[#This Row],[ArcSinh Res struct removed 0-10]],#REF!)</f>
        <v>#REF!</v>
      </c>
      <c r="BS23" s="199" t="e">
        <f>FMS_Ranking4[[#This Row],[Log Score Based on Normalized Reported Factors]]+FMS_Ranking4[[#This Row],[% NBS Score (Normalized)]]+(FMS_Ranking4[[#This Row],[Water Supply Score (Normalized)]]*10*$BB$5)+(FMS_Ranking4[[#This Row],[FMS_Type Score Weighted]])</f>
        <v>#REF!</v>
      </c>
      <c r="BT23" s="200" t="e">
        <f>_xlfn.RANK.EQ(FMS_Ranking4[[#This Row],[Log Total Score]],FMS_Ranking4[Log Total Score],0)</f>
        <v>#REF!</v>
      </c>
      <c r="BU23" s="200" t="e">
        <f>_xlfn.XLOOKUP(FMS_Ranking4[[#This Row],[FMS ID]],#REF!,#REF!)</f>
        <v>#REF!</v>
      </c>
      <c r="BV23" s="200">
        <f>FMS_Ranking4[[#This Row],[Region Number]]</f>
        <v>6</v>
      </c>
      <c r="BW23" s="200">
        <f>FMS_Ranking4[[#This Row],[Rank (with ArcSinh normalization of select criteria)]]-FMS_Ranking4[[#This Row],[Rank
(with linear
normalization)]]</f>
        <v>9</v>
      </c>
      <c r="BX23" s="200" t="e">
        <f>FMS_Ranking4[[#This Row],[Log Rank]]-FMS_Ranking4[[#This Row],[Rank
(with linear
normalization)]]</f>
        <v>#REF!</v>
      </c>
      <c r="BY23" s="200" t="str">
        <f>IF(FMS_Ranking4[[#This Row],[FMS Type]]="Flood Measurement and Warning",FMS_Ranking4[[#This Row],[Rank (with ArcSinh normalization of select criteria)]],"")</f>
        <v/>
      </c>
      <c r="BZ23" s="200" t="str">
        <f>IF(FMS_Ranking4[[#This Row],[FMS Type]]="Regulatory and Guidance",FMS_Ranking4[[#This Row],[Rank (with ArcSinh normalization of select criteria)]],"")</f>
        <v/>
      </c>
      <c r="CA23" s="200" t="str">
        <f>IF(FMS_Ranking4[[#This Row],[FMS Type]]="Education and Outreach",FMS_Ranking4[[#This Row],[Rank (with ArcSinh normalization of select criteria)]],"")</f>
        <v/>
      </c>
      <c r="CB23" s="200">
        <f>IF(FMS_Ranking4[[#This Row],[FMS Type]]="Property Acquisition and Structural Elevation",FMS_Ranking4[[#This Row],[Rank (with ArcSinh normalization of select criteria)]],"")</f>
        <v>16</v>
      </c>
      <c r="CC23" s="200" t="str">
        <f>IF(FMS_Ranking4[[#This Row],[FMS Type]]="Infrastructure Projects",FMS_Ranking4[[#This Row],[Rank (with ArcSinh normalization of select criteria)]],"")</f>
        <v/>
      </c>
      <c r="CD23" s="200" t="str">
        <f>IF(FMS_Ranking4[[#This Row],[FMS Type]]="Other",FMS_Ranking4[[#This Row],[Rank (with ArcSinh normalization of select criteria)]],"")</f>
        <v/>
      </c>
      <c r="CE23" s="201"/>
    </row>
    <row r="24" spans="2:85" ht="120" x14ac:dyDescent="0.25">
      <c r="B24" s="341" t="s">
        <v>166</v>
      </c>
      <c r="C24" s="246">
        <f>_xlfn.XLOOKUP(FMS_Ranking4[[#This Row],[FMS ID]],FMS_Input[FMS_ID],FMS_Input[RFPG_NUM])</f>
        <v>6</v>
      </c>
      <c r="D24" s="309" t="str">
        <f>_xlfn.XLOOKUP(FMS_Ranking4[[#This Row],[FMS ID]],FMS_Input[FMS_ID],FMS_Input[FMS_NAME])</f>
        <v>Harris County Mitigation Buyout and Relocation Program</v>
      </c>
      <c r="E24" s="308" t="str">
        <f>_xlfn.XLOOKUP(FMS_Ranking4[[#This Row],[FMS ID]],FMS_Input[FMS_ID],FMS_Input[SPONSOR])</f>
        <v>00000020</v>
      </c>
      <c r="F24" s="309" t="str">
        <f>_xlfn.XLOOKUP(FMS_Ranking4[[#This Row],[FMS ID]],Sponsor[FMS_ID],Sponsor[SPONSOR NAME])</f>
        <v>Harris</v>
      </c>
      <c r="G24" s="309" t="str">
        <f>_xlfn.XLOOKUP(FMS_Ranking4[[#This Row],[FMS ID]],FMS_Input[FMS_ID],FMS_Input[FMS_DESCR])</f>
        <v xml:space="preserve">This program is designed to assist owners whose properties were damaged by a natural disaster and or in an area that is designated hopelessly deep in the floodplain and repetitively flooded, to relocate outside the threat of flooding. </v>
      </c>
      <c r="H24" s="248" t="str">
        <f>_xlfn.XLOOKUP(FMS_Ranking4[[#This Row],[FMS ID]],FMS_Input[FMS_ID],FMS_Input[FMS_TYPE])</f>
        <v>Property Acquisition and Structural Elevation</v>
      </c>
      <c r="I24" s="249">
        <f>_xlfn.XLOOKUP(FMS_Ranking4[[#This Row],[FMS ID]],FMS_Input[FMS_ID],FMS_Input[NRNC_COST])</f>
        <v>7500000</v>
      </c>
      <c r="J24" s="250">
        <f>_xlfn.XLOOKUP(FMS_Ranking4[[#This Row],[FMS ID]],FMS_Input[FMS_ID],FMS_Input[FMS_COST])</f>
        <v>75000000</v>
      </c>
      <c r="K24" s="251" t="str">
        <f>_xlfn.XLOOKUP(FMS_Ranking4[[#This Row],[FMS ID]],FMS_Input[FMS_ID],FMS_Input[EMER_NEED])</f>
        <v>Yes</v>
      </c>
      <c r="L24" s="252">
        <f t="shared" si="0"/>
        <v>1</v>
      </c>
      <c r="M24" s="253">
        <f>_xlfn.XLOOKUP(FMS_Ranking4[[#This Row],[FMS ID]],FMS_Input[FMS_ID],FMS_Input[STRUCT_100])</f>
        <v>143642</v>
      </c>
      <c r="N24" s="255">
        <f>(ASINH(FMS_Ranking4[[#This Row],[Structure at Risk Raw]]))*(10)/(ASINH(M$4))</f>
        <v>9.8804973981577646</v>
      </c>
      <c r="O24" s="256">
        <f>FMS_Ranking4[[#This Row],[Structures at risk, ArcSinh (0-10)]]*M$5*10</f>
        <v>9.8804973981577646</v>
      </c>
      <c r="P24" s="253">
        <f>_xlfn.XLOOKUP(FMS_Ranking4[[#This Row],[FMS ID]],FMS_Input[FMS_ID],FMS_Input[RES_STRUCT100])</f>
        <v>120807</v>
      </c>
      <c r="Q24" s="257">
        <f>ASINH(FMS_Ranking4[[#This Row],[Res Structure Raw]])/Q$4*P$5*100</f>
        <v>0</v>
      </c>
      <c r="R24" s="253">
        <f>_xlfn.XLOOKUP(FMS_Ranking4[[#This Row],[FMS ID]],FMS_Input[FMS_ID],FMS_Input[POP100])</f>
        <v>590954</v>
      </c>
      <c r="S24" s="259">
        <f>(ASINH(FMS_Ranking4[[#This Row],[Pop at Risk Raw]]))*(10)/(ASINH(R$4))</f>
        <v>9.6530308740239228</v>
      </c>
      <c r="T24" s="256">
        <f>FMS_Ranking4[[#This Row],[Population at risk, ArcSinh (0-10)]]*R$5*10</f>
        <v>9.6530308740239228</v>
      </c>
      <c r="U24" s="253">
        <f>_xlfn.XLOOKUP(FMS_Ranking4[[#This Row],[FMS ID]],FMS_Input[FMS_ID],FMS_Input[CRITFAC100])</f>
        <v>2332</v>
      </c>
      <c r="V24" s="259">
        <f>(ASINH(FMS_Ranking4[[#This Row],[Critical Facilities Raw]]))*(10)/(ASINH(U$4))</f>
        <v>10</v>
      </c>
      <c r="W24" s="256">
        <f>FMS_Ranking4[[#This Row],[Critical facilities at risk, ArcSinh (0-10)]]*U$5*10</f>
        <v>10</v>
      </c>
      <c r="X24" s="253">
        <f>_xlfn.XLOOKUP(FMS_Ranking4[[#This Row],[FMS ID]],FMS_Input[FMS_ID],FMS_Input[LWC])</f>
        <v>89</v>
      </c>
      <c r="Y24" s="259">
        <f>(ASINH(FMS_Ranking4[[#This Row],[LWC Raw]]))*(10)/(ASINH(X$4))</f>
        <v>7.020000688684088</v>
      </c>
      <c r="Z24" s="256">
        <f>FMS_Ranking4[[#This Row],[LWC, ArcSInh (0-10)]]*X$5*10</f>
        <v>7.020000688684088</v>
      </c>
      <c r="AA24" s="253">
        <f>_xlfn.XLOOKUP(FMS_Ranking4[[#This Row],[FMS ID]],FMS_Input[FMS_ID],FMS_Input[ROADCLS])</f>
        <v>89</v>
      </c>
      <c r="AB24" s="255">
        <f>(ASINH(FMS_Ranking4[[#This Row],[Road Closures Raw]]))*(10)/(ASINH(AA$4))</f>
        <v>5.3963848344148895</v>
      </c>
      <c r="AC24" s="256">
        <f>FMS_Ranking4[[#This Row],[Road closures, ArcSinh (0-10)]]*AA$5*10</f>
        <v>2.6981924172074452</v>
      </c>
      <c r="AD24" s="253">
        <f>_xlfn.XLOOKUP(FMS_Ranking4[[#This Row],[FMS ID]],FMS_Input[FMS_ID],FMS_Input[ROAD_MILES100])</f>
        <v>2408</v>
      </c>
      <c r="AE24" s="259">
        <f>(ASINH(FMS_Ranking4[[#This Row],[Road Miles Raw]]))*(10)/(ASINH(AD$4))</f>
        <v>9.0370261953144126</v>
      </c>
      <c r="AF24" s="256">
        <f>FMS_Ranking4[[#This Row],[Length of roads at risk, ArcSinh (0-10)]]*AD$5*10</f>
        <v>9.0370261953144126</v>
      </c>
      <c r="AG24" s="253">
        <f>_xlfn.XLOOKUP(FMS_Ranking4[[#This Row],[FMS ID]],FMS_Input[FMS_ID],FMS_Input[FARMACRE100])</f>
        <v>5993.46923828125</v>
      </c>
      <c r="AH24" s="255">
        <f>(ASINH(FMS_Ranking4[[#This Row],[Ag Land Raw]]))*(10)/(ASINH(AG$4))</f>
        <v>6.1005917122884838</v>
      </c>
      <c r="AI24" s="260">
        <f>FMS_Ranking4[[#This Row],[Farm &amp; ranch land, ArcSinh (0-10)]]*AG$5*10</f>
        <v>3.0502958561442424</v>
      </c>
      <c r="AJ24" s="258">
        <f>_xlfn.XLOOKUP(FMS_Ranking4[[#This Row],[FMS ID]],FMS_Input[FMS_ID],FMS_Input[REDSTRUCT100])</f>
        <v>0</v>
      </c>
      <c r="AK24" s="253">
        <f>_xlfn.XLOOKUP(FMS_Ranking4[[#This Row],[FMS ID]],FMS_Input[FMS_ID],FMS_Input[REMSTRC100])</f>
        <v>0</v>
      </c>
      <c r="AL24" s="259">
        <f>(ASINH(FMS_Ranking4[[#This Row],[Structures Removed Raw]]))*(10)/(ASINH(AK$4))</f>
        <v>0</v>
      </c>
      <c r="AM24" s="262">
        <f>FMS_Ranking4[[#This Row],[Structures removed, ArcSinh (0-10)]]*AK$5*10</f>
        <v>0</v>
      </c>
      <c r="AN24" s="253">
        <f>_xlfn.XLOOKUP(FMS_Ranking4[[#This Row],[FMS ID]],FMS_Input[FMS_ID],FMS_Input[REMRESSTRC100])</f>
        <v>0</v>
      </c>
      <c r="AO24" s="261">
        <f>FMS_Ranking4[[#This Row],[ArcSinh Res struct removed 0-10]]*AN$5*10</f>
        <v>0</v>
      </c>
      <c r="AP24" s="254">
        <f>ASINH(FMS_Ranking4[[#This Row],[Residential Structures Removed Raw]])/AP$4*AN$5*100</f>
        <v>0</v>
      </c>
      <c r="AQ24" s="254">
        <f>(ASINH(FMS_Ranking4[[#This Row],[Residential Structures Removed Raw]]))*(10)/(ASINH(AN$4))</f>
        <v>0</v>
      </c>
      <c r="AR24" s="253">
        <f>_xlfn.XLOOKUP(FMS_Ranking4[[#This Row],[FMS ID]],FMS_Input[FMS_ID],FMS_Input[REMPOP100])</f>
        <v>0</v>
      </c>
      <c r="AS24" s="259">
        <f>(ASINH(FMS_Ranking4[[#This Row],[Removed Pop Raw]]))*(10)/(ASINH(AR$4))</f>
        <v>0</v>
      </c>
      <c r="AT24" s="262">
        <f>FMS_Ranking4[[#This Row],[Removed population, ArcSinh (0-10)]]*AR$5*10</f>
        <v>0</v>
      </c>
      <c r="AU24" s="264">
        <f>_xlfn.XLOOKUP(FMS_Ranking4[[#This Row],[FMS ID]],FMS_Input[FMS_ID],FMS_Input[REMCRITFAC100])</f>
        <v>0</v>
      </c>
      <c r="AV24" s="264">
        <f>_xlfn.XLOOKUP(FMS_Ranking4[[#This Row],[FMS ID]],FMS_Input[FMS_ID],FMS_Input[REMLWC100])</f>
        <v>0</v>
      </c>
      <c r="AW24" s="264">
        <f>_xlfn.XLOOKUP(FMS_Ranking4[[#This Row],[FMS ID]],FMS_Input[FMS_ID],FMS_Input[REMROADCLS])</f>
        <v>0</v>
      </c>
      <c r="AX24" s="264">
        <f>_xlfn.XLOOKUP(FMS_Ranking4[[#This Row],[FMS ID]],FMS_Input[FMS_ID],FMS_Input[REMFRMACRE100])</f>
        <v>0</v>
      </c>
      <c r="AY24" s="258">
        <f>_xlfn.XLOOKUP(FMS_Ranking4[[#This Row],[FMS ID]],FMS_Input[FMS_ID],FMS_Input[COSTSTRUCT])</f>
        <v>0</v>
      </c>
      <c r="AZ24" s="253">
        <f>_xlfn.XLOOKUP(FMS_Ranking4[[#This Row],[FMS ID]],FMS_Input[FMS_ID],FMS_Input[NATURE])</f>
        <v>0</v>
      </c>
      <c r="BA24" s="262">
        <f>(((FMS_Ranking4[[#This Row],[% NBS Raw]]/AZ$4)*100)*AZ$5)</f>
        <v>0</v>
      </c>
      <c r="BB24" s="251" t="str">
        <f>_xlfn.XLOOKUP(FMS_Ranking4[[#This Row],[FMS ID]],FMS_Input[FMS_ID],FMS_Input[WATER_SUP])</f>
        <v>No</v>
      </c>
      <c r="BC24" s="265">
        <f>IF(FMS_Ranking4[[#This Row],[Water Supply Raw]]="Yes",10,0)</f>
        <v>0</v>
      </c>
      <c r="BD24" s="266">
        <f>_xlfn.XLOOKUP(FMS_Ranking4[[#This Row],[FMS Type]],FMS_TYPE[FMS_Type],FMS_TYPE[Score])</f>
        <v>4</v>
      </c>
      <c r="BE24" s="267">
        <f>FMS_Ranking4[[#This Row],[FMS_Type Score]]*$BD$5*10</f>
        <v>1</v>
      </c>
      <c r="BF2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29.871376119406943</v>
      </c>
      <c r="BG24" s="271">
        <f>_xlfn.RANK.EQ(BF24,$BF$8:$BF$870,0)+COUNTIF($BF$8:BF24,BF24)-1</f>
        <v>8</v>
      </c>
      <c r="BH24" s="268">
        <f>(((FMS_Ranking4[[#This Row],[Structures Removed Raw]]/AK$4)*100)*AK$5)+(((FMS_Ranking4[[#This Row],[Removed Pop Raw]]/AR$4)*100)*AR$5)</f>
        <v>0</v>
      </c>
      <c r="BI2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30.871376119406943</v>
      </c>
      <c r="BJ24" s="205">
        <f>_xlfn.RANK.EQ(FMS_Ranking4[[#This Row],[Total Score 
(with linear
normalization)]],FMS_Ranking4[Total Score 
(with linear
normalization)],0)</f>
        <v>7</v>
      </c>
      <c r="BK24" s="205" t="e">
        <f>_xlfn.XLOOKUP(FMS_Ranking4[[#This Row],[FMS ID]],#REF!,#REF!)</f>
        <v>#REF!</v>
      </c>
      <c r="BL2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51.339043429531877</v>
      </c>
      <c r="BM24" s="272">
        <f>FMS_Ranking4[[#This Row],[ArcSinh Score Based on Normalized Reported Factors]]+FMS_Ranking4[[#This Row],[% NBS Score (Normalized)]]+(FMS_Ranking4[[#This Row],[Water Supply Score (Normalized)]]*10*$BB$5)+FMS_Ranking4[[#This Row],[FMS_Type Score Weighted]]</f>
        <v>52.339043429531877</v>
      </c>
      <c r="BN24" s="205">
        <f>_xlfn.RANK.EQ(FMS_Ranking4[[#This Row],[Total Score (with ArcSinh normalization of select criteria)]],FMS_Ranking4[Total Score (with ArcSinh normalization of select criteria)],0)</f>
        <v>16</v>
      </c>
      <c r="BO24" s="270" t="str">
        <f>_xlfn.XLOOKUP(FMS_Ranking4[[#This Row],[FMS ID]],FMS_Input[FMS_ID],FMS_Input[FMS_RANK_YEAR])</f>
        <v>2023 Amended Plan</v>
      </c>
      <c r="BP24" s="204">
        <f>_xlfn.XLOOKUP(FMS_Ranking4[[#This Row],[FMS ID]],Prev_Rank[FMS ID],Prev_Rank[Prev Rank])</f>
        <v>15</v>
      </c>
      <c r="BQ24" s="205" t="e">
        <f>_xlfn.XLOOKUP(FMS_Ranking4[[#This Row],[FMS ID]],#REF!,#REF!)</f>
        <v>#REF!</v>
      </c>
      <c r="BR24" s="199" t="e">
        <f>SUM(#REF!,#REF!,#REF!,#REF!,#REF!,#REF!,#REF!,#REF!,#REF!,FMS_Ranking4[[#This Row],[ArcSinh Res struct removed 0-10]],#REF!)</f>
        <v>#REF!</v>
      </c>
      <c r="BS24" s="199" t="e">
        <f>FMS_Ranking4[[#This Row],[Log Score Based on Normalized Reported Factors]]+FMS_Ranking4[[#This Row],[% NBS Score (Normalized)]]+(FMS_Ranking4[[#This Row],[Water Supply Score (Normalized)]]*10*$BB$5)+(FMS_Ranking4[[#This Row],[FMS_Type Score Weighted]])</f>
        <v>#REF!</v>
      </c>
      <c r="BT24" s="200" t="e">
        <f>_xlfn.RANK.EQ(FMS_Ranking4[[#This Row],[Log Total Score]],FMS_Ranking4[Log Total Score],0)</f>
        <v>#REF!</v>
      </c>
      <c r="BU24" s="200" t="e">
        <f>_xlfn.XLOOKUP(FMS_Ranking4[[#This Row],[FMS ID]],#REF!,#REF!)</f>
        <v>#REF!</v>
      </c>
      <c r="BV24" s="200">
        <f>FMS_Ranking4[[#This Row],[Region Number]]</f>
        <v>6</v>
      </c>
      <c r="BW24" s="200">
        <f>FMS_Ranking4[[#This Row],[Rank (with ArcSinh normalization of select criteria)]]-FMS_Ranking4[[#This Row],[Rank
(with linear
normalization)]]</f>
        <v>9</v>
      </c>
      <c r="BX24" s="200" t="e">
        <f>FMS_Ranking4[[#This Row],[Log Rank]]-FMS_Ranking4[[#This Row],[Rank
(with linear
normalization)]]</f>
        <v>#REF!</v>
      </c>
      <c r="BY24" s="200" t="str">
        <f>IF(FMS_Ranking4[[#This Row],[FMS Type]]="Flood Measurement and Warning",FMS_Ranking4[[#This Row],[Rank (with ArcSinh normalization of select criteria)]],"")</f>
        <v/>
      </c>
      <c r="BZ24" s="200" t="str">
        <f>IF(FMS_Ranking4[[#This Row],[FMS Type]]="Regulatory and Guidance",FMS_Ranking4[[#This Row],[Rank (with ArcSinh normalization of select criteria)]],"")</f>
        <v/>
      </c>
      <c r="CA24" s="200" t="str">
        <f>IF(FMS_Ranking4[[#This Row],[FMS Type]]="Education and Outreach",FMS_Ranking4[[#This Row],[Rank (with ArcSinh normalization of select criteria)]],"")</f>
        <v/>
      </c>
      <c r="CB24" s="200">
        <f>IF(FMS_Ranking4[[#This Row],[FMS Type]]="Property Acquisition and Structural Elevation",FMS_Ranking4[[#This Row],[Rank (with ArcSinh normalization of select criteria)]],"")</f>
        <v>16</v>
      </c>
      <c r="CC24" s="200" t="str">
        <f>IF(FMS_Ranking4[[#This Row],[FMS Type]]="Infrastructure Projects",FMS_Ranking4[[#This Row],[Rank (with ArcSinh normalization of select criteria)]],"")</f>
        <v/>
      </c>
      <c r="CD24" s="200" t="str">
        <f>IF(FMS_Ranking4[[#This Row],[FMS Type]]="Other",FMS_Ranking4[[#This Row],[Rank (with ArcSinh normalization of select criteria)]],"")</f>
        <v/>
      </c>
      <c r="CE24" s="201"/>
    </row>
    <row r="25" spans="2:85" ht="90" x14ac:dyDescent="0.25">
      <c r="B25" s="341" t="s">
        <v>1481</v>
      </c>
      <c r="C25" s="246">
        <f>_xlfn.XLOOKUP(FMS_Ranking4[[#This Row],[FMS ID]],FMS_Input[FMS_ID],FMS_Input[RFPG_NUM])</f>
        <v>1</v>
      </c>
      <c r="D25" s="309" t="str">
        <f>_xlfn.XLOOKUP(FMS_Ranking4[[#This Row],[FMS ID]],FMS_Input[FMS_ID],FMS_Input[FMS_NAME])</f>
        <v>Region-Wide Initiative to  Increase Communities with Dedicated Funding Sources for Operations &amp; Maintenance of Storm Drainage System</v>
      </c>
      <c r="E25" s="308" t="str">
        <f>_xlfn.XLOOKUP(FMS_Ranking4[[#This Row],[FMS ID]],FMS_Input[FMS_ID],FMS_Input[SPONSOR])</f>
        <v>00000271</v>
      </c>
      <c r="F25" s="309" t="str">
        <f>_xlfn.XLOOKUP(FMS_Ranking4[[#This Row],[FMS ID]],Sponsor[FMS_ID],Sponsor[SPONSOR NAME])</f>
        <v>Panhandle Regional Planning Commission</v>
      </c>
      <c r="G25" s="309" t="str">
        <f>_xlfn.XLOOKUP(FMS_Ranking4[[#This Row],[FMS ID]],FMS_Input[FMS_ID],FMS_Input[FMS_DESCR])</f>
        <v>Provide resources and assistance for communities looking to developing funding sources for drainage</v>
      </c>
      <c r="H25" s="248" t="str">
        <f>_xlfn.XLOOKUP(FMS_Ranking4[[#This Row],[FMS ID]],FMS_Input[FMS_ID],FMS_Input[FMS_TYPE])</f>
        <v>Regulatory and Guidance</v>
      </c>
      <c r="I25" s="249">
        <f>_xlfn.XLOOKUP(FMS_Ranking4[[#This Row],[FMS ID]],FMS_Input[FMS_ID],FMS_Input[NRNC_COST])</f>
        <v>100000</v>
      </c>
      <c r="J25" s="250">
        <f>_xlfn.XLOOKUP(FMS_Ranking4[[#This Row],[FMS ID]],FMS_Input[FMS_ID],FMS_Input[FMS_COST])</f>
        <v>100000</v>
      </c>
      <c r="K25" s="251" t="str">
        <f>_xlfn.XLOOKUP(FMS_Ranking4[[#This Row],[FMS ID]],FMS_Input[FMS_ID],FMS_Input[EMER_NEED])</f>
        <v>No</v>
      </c>
      <c r="L25" s="252">
        <f t="shared" si="0"/>
        <v>0</v>
      </c>
      <c r="M25" s="253">
        <f>_xlfn.XLOOKUP(FMS_Ranking4[[#This Row],[FMS ID]],FMS_Input[FMS_ID],FMS_Input[STRUCT_100])</f>
        <v>11544</v>
      </c>
      <c r="N25" s="255">
        <f>(ASINH(FMS_Ranking4[[#This Row],[Structure at Risk Raw]]))*(10)/(ASINH(M$4))</f>
        <v>7.8984916140259456</v>
      </c>
      <c r="O25" s="256">
        <f>FMS_Ranking4[[#This Row],[Structures at risk, ArcSinh (0-10)]]*M$5*10</f>
        <v>7.8984916140259465</v>
      </c>
      <c r="P25" s="253">
        <f>_xlfn.XLOOKUP(FMS_Ranking4[[#This Row],[FMS ID]],FMS_Input[FMS_ID],FMS_Input[RES_STRUCT100])</f>
        <v>6885</v>
      </c>
      <c r="Q25" s="257">
        <f>ASINH(FMS_Ranking4[[#This Row],[Res Structure Raw]])/Q$4*P$5*100</f>
        <v>0</v>
      </c>
      <c r="R25" s="253">
        <f>_xlfn.XLOOKUP(FMS_Ranking4[[#This Row],[FMS ID]],FMS_Input[FMS_ID],FMS_Input[POP100])</f>
        <v>26657</v>
      </c>
      <c r="S25" s="259">
        <f>(ASINH(FMS_Ranking4[[#This Row],[Pop at Risk Raw]]))*(10)/(ASINH(R$4))</f>
        <v>7.5138272532961876</v>
      </c>
      <c r="T25" s="256">
        <f>FMS_Ranking4[[#This Row],[Population at risk, ArcSinh (0-10)]]*R$5*10</f>
        <v>7.5138272532961885</v>
      </c>
      <c r="U25" s="253">
        <f>_xlfn.XLOOKUP(FMS_Ranking4[[#This Row],[FMS ID]],FMS_Input[FMS_ID],FMS_Input[CRITFAC100])</f>
        <v>160</v>
      </c>
      <c r="V25" s="259">
        <f>(ASINH(FMS_Ranking4[[#This Row],[Critical Facilities Raw]]))*(10)/(ASINH(U$4))</f>
        <v>6.8283430955543247</v>
      </c>
      <c r="W25" s="256">
        <f>FMS_Ranking4[[#This Row],[Critical facilities at risk, ArcSinh (0-10)]]*U$5*10</f>
        <v>6.8283430955543256</v>
      </c>
      <c r="X25" s="253">
        <f>_xlfn.XLOOKUP(FMS_Ranking4[[#This Row],[FMS ID]],FMS_Input[FMS_ID],FMS_Input[LWC])</f>
        <v>803</v>
      </c>
      <c r="Y25" s="259">
        <f>(ASINH(FMS_Ranking4[[#This Row],[LWC Raw]]))*(10)/(ASINH(X$4))</f>
        <v>10</v>
      </c>
      <c r="Z25" s="256">
        <f>FMS_Ranking4[[#This Row],[LWC, ArcSInh (0-10)]]*X$5*10</f>
        <v>10</v>
      </c>
      <c r="AA25" s="253">
        <f>_xlfn.XLOOKUP(FMS_Ranking4[[#This Row],[FMS ID]],FMS_Input[FMS_ID],FMS_Input[ROADCLS])</f>
        <v>1250</v>
      </c>
      <c r="AB25" s="255">
        <f>(ASINH(FMS_Ranking4[[#This Row],[Road Closures Raw]]))*(10)/(ASINH(AA$4))</f>
        <v>8.1480259716069217</v>
      </c>
      <c r="AC25" s="256">
        <f>FMS_Ranking4[[#This Row],[Road closures, ArcSinh (0-10)]]*AA$5*10</f>
        <v>4.0740129858034617</v>
      </c>
      <c r="AD25" s="253">
        <f>_xlfn.XLOOKUP(FMS_Ranking4[[#This Row],[FMS ID]],FMS_Input[FMS_ID],FMS_Input[ROAD_MILES100])</f>
        <v>2299</v>
      </c>
      <c r="AE25" s="259">
        <f>(ASINH(FMS_Ranking4[[#This Row],[Road Miles Raw]]))*(10)/(ASINH(AD$4))</f>
        <v>8.9876593919019427</v>
      </c>
      <c r="AF25" s="256">
        <f>FMS_Ranking4[[#This Row],[Length of roads at risk, ArcSinh (0-10)]]*AD$5*10</f>
        <v>8.9876593919019427</v>
      </c>
      <c r="AG25" s="253">
        <f>_xlfn.XLOOKUP(FMS_Ranking4[[#This Row],[FMS ID]],FMS_Input[FMS_ID],FMS_Input[FARMACRE100])</f>
        <v>2425093.5</v>
      </c>
      <c r="AH25" s="255">
        <f>(ASINH(FMS_Ranking4[[#This Row],[Ag Land Raw]]))*(10)/(ASINH(AG$4))</f>
        <v>10</v>
      </c>
      <c r="AI25" s="260">
        <f>FMS_Ranking4[[#This Row],[Farm &amp; ranch land, ArcSinh (0-10)]]*AG$5*10</f>
        <v>5</v>
      </c>
      <c r="AJ25" s="258">
        <f>_xlfn.XLOOKUP(FMS_Ranking4[[#This Row],[FMS ID]],FMS_Input[FMS_ID],FMS_Input[REDSTRUCT100])</f>
        <v>0</v>
      </c>
      <c r="AK25" s="253">
        <f>_xlfn.XLOOKUP(FMS_Ranking4[[#This Row],[FMS ID]],FMS_Input[FMS_ID],FMS_Input[REMSTRC100])</f>
        <v>0</v>
      </c>
      <c r="AL25" s="259">
        <f>(ASINH(FMS_Ranking4[[#This Row],[Structures Removed Raw]]))*(10)/(ASINH(AK$4))</f>
        <v>0</v>
      </c>
      <c r="AM25" s="262">
        <f>FMS_Ranking4[[#This Row],[Structures removed, ArcSinh (0-10)]]*AK$5*10</f>
        <v>0</v>
      </c>
      <c r="AN25" s="253">
        <f>_xlfn.XLOOKUP(FMS_Ranking4[[#This Row],[FMS ID]],FMS_Input[FMS_ID],FMS_Input[REMRESSTRC100])</f>
        <v>0</v>
      </c>
      <c r="AO25" s="261">
        <f>FMS_Ranking4[[#This Row],[ArcSinh Res struct removed 0-10]]*AN$5*10</f>
        <v>0</v>
      </c>
      <c r="AP25" s="254">
        <f>ASINH(FMS_Ranking4[[#This Row],[Residential Structures Removed Raw]])/AP$4*AN$5*100</f>
        <v>0</v>
      </c>
      <c r="AQ25" s="254">
        <f>(ASINH(FMS_Ranking4[[#This Row],[Residential Structures Removed Raw]]))*(10)/(ASINH(AN$4))</f>
        <v>0</v>
      </c>
      <c r="AR25" s="253">
        <f>_xlfn.XLOOKUP(FMS_Ranking4[[#This Row],[FMS ID]],FMS_Input[FMS_ID],FMS_Input[REMPOP100])</f>
        <v>0</v>
      </c>
      <c r="AS25" s="259">
        <f>(ASINH(FMS_Ranking4[[#This Row],[Removed Pop Raw]]))*(10)/(ASINH(AR$4))</f>
        <v>0</v>
      </c>
      <c r="AT25" s="262">
        <f>FMS_Ranking4[[#This Row],[Removed population, ArcSinh (0-10)]]*AR$5*10</f>
        <v>0</v>
      </c>
      <c r="AU25" s="264">
        <f>_xlfn.XLOOKUP(FMS_Ranking4[[#This Row],[FMS ID]],FMS_Input[FMS_ID],FMS_Input[REMCRITFAC100])</f>
        <v>0</v>
      </c>
      <c r="AV25" s="264">
        <f>_xlfn.XLOOKUP(FMS_Ranking4[[#This Row],[FMS ID]],FMS_Input[FMS_ID],FMS_Input[REMLWC100])</f>
        <v>0</v>
      </c>
      <c r="AW25" s="264">
        <f>_xlfn.XLOOKUP(FMS_Ranking4[[#This Row],[FMS ID]],FMS_Input[FMS_ID],FMS_Input[REMROADCLS])</f>
        <v>0</v>
      </c>
      <c r="AX25" s="264">
        <f>_xlfn.XLOOKUP(FMS_Ranking4[[#This Row],[FMS ID]],FMS_Input[FMS_ID],FMS_Input[REMFRMACRE100])</f>
        <v>0</v>
      </c>
      <c r="AY25" s="258">
        <f>_xlfn.XLOOKUP(FMS_Ranking4[[#This Row],[FMS ID]],FMS_Input[FMS_ID],FMS_Input[COSTSTRUCT])</f>
        <v>0</v>
      </c>
      <c r="AZ25" s="253">
        <f>_xlfn.XLOOKUP(FMS_Ranking4[[#This Row],[FMS ID]],FMS_Input[FMS_ID],FMS_Input[NATURE])</f>
        <v>0</v>
      </c>
      <c r="BA25" s="262">
        <f>(((FMS_Ranking4[[#This Row],[% NBS Raw]]/AZ$4)*100)*AZ$5)</f>
        <v>0</v>
      </c>
      <c r="BB25" s="251" t="str">
        <f>_xlfn.XLOOKUP(FMS_Ranking4[[#This Row],[FMS ID]],FMS_Input[FMS_ID],FMS_Input[WATER_SUP])</f>
        <v>No</v>
      </c>
      <c r="BC25" s="265">
        <f>IF(FMS_Ranking4[[#This Row],[Water Supply Raw]]="Yes",10,0)</f>
        <v>0</v>
      </c>
      <c r="BD25" s="266">
        <f>_xlfn.XLOOKUP(FMS_Ranking4[[#This Row],[FMS Type]],FMS_TYPE[FMS_Type],FMS_TYPE[Score])</f>
        <v>8</v>
      </c>
      <c r="BE25" s="267">
        <f>FMS_Ranking4[[#This Row],[FMS_Type Score]]*$BD$5*10</f>
        <v>2</v>
      </c>
      <c r="BF2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21.361686187380386</v>
      </c>
      <c r="BG25" s="271">
        <f>_xlfn.RANK.EQ(BF25,$BF$8:$BF$870,0)+COUNTIF($BF$8:BF25,BF25)-1</f>
        <v>16</v>
      </c>
      <c r="BH25" s="268">
        <f>(((FMS_Ranking4[[#This Row],[Structures Removed Raw]]/AK$4)*100)*AK$5)+(((FMS_Ranking4[[#This Row],[Removed Pop Raw]]/AR$4)*100)*AR$5)</f>
        <v>0</v>
      </c>
      <c r="BI2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23.361686187380386</v>
      </c>
      <c r="BJ25" s="205">
        <f>_xlfn.RANK.EQ(FMS_Ranking4[[#This Row],[Total Score 
(with linear
normalization)]],FMS_Ranking4[Total Score 
(with linear
normalization)],0)</f>
        <v>17</v>
      </c>
      <c r="BK25" s="205" t="e">
        <f>_xlfn.XLOOKUP(FMS_Ranking4[[#This Row],[FMS ID]],#REF!,#REF!)</f>
        <v>#REF!</v>
      </c>
      <c r="BL2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50.302334340581865</v>
      </c>
      <c r="BM25" s="272">
        <f>FMS_Ranking4[[#This Row],[ArcSinh Score Based on Normalized Reported Factors]]+FMS_Ranking4[[#This Row],[% NBS Score (Normalized)]]+(FMS_Ranking4[[#This Row],[Water Supply Score (Normalized)]]*10*$BB$5)+FMS_Ranking4[[#This Row],[FMS_Type Score Weighted]]</f>
        <v>52.302334340581865</v>
      </c>
      <c r="BN25" s="205">
        <f>_xlfn.RANK.EQ(FMS_Ranking4[[#This Row],[Total Score (with ArcSinh normalization of select criteria)]],FMS_Ranking4[Total Score (with ArcSinh normalization of select criteria)],0)</f>
        <v>18</v>
      </c>
      <c r="BO25" s="270" t="str">
        <f>_xlfn.XLOOKUP(FMS_Ranking4[[#This Row],[FMS ID]],FMS_Input[FMS_ID],FMS_Input[FMS_RANK_YEAR])</f>
        <v>2023 Amended Plan</v>
      </c>
      <c r="BP25" s="204">
        <f>_xlfn.XLOOKUP(FMS_Ranking4[[#This Row],[FMS ID]],Prev_Rank[FMS ID],Prev_Rank[Prev Rank])</f>
        <v>17</v>
      </c>
      <c r="BQ25" s="205" t="e">
        <f>_xlfn.XLOOKUP(FMS_Ranking4[[#This Row],[FMS ID]],#REF!,#REF!)</f>
        <v>#REF!</v>
      </c>
      <c r="BR25" s="199" t="e">
        <f>SUM(#REF!,#REF!,#REF!,#REF!,#REF!,#REF!,#REF!,#REF!,#REF!,FMS_Ranking4[[#This Row],[ArcSinh Res struct removed 0-10]],#REF!)</f>
        <v>#REF!</v>
      </c>
      <c r="BS25" s="199" t="e">
        <f>FMS_Ranking4[[#This Row],[Log Score Based on Normalized Reported Factors]]+FMS_Ranking4[[#This Row],[% NBS Score (Normalized)]]+(FMS_Ranking4[[#This Row],[Water Supply Score (Normalized)]]*10*$BB$5)+(FMS_Ranking4[[#This Row],[FMS_Type Score Weighted]])</f>
        <v>#REF!</v>
      </c>
      <c r="BT25" s="200" t="e">
        <f>_xlfn.RANK.EQ(FMS_Ranking4[[#This Row],[Log Total Score]],FMS_Ranking4[Log Total Score],0)</f>
        <v>#REF!</v>
      </c>
      <c r="BU25" s="200" t="e">
        <f>_xlfn.XLOOKUP(FMS_Ranking4[[#This Row],[FMS ID]],#REF!,#REF!)</f>
        <v>#REF!</v>
      </c>
      <c r="BV25" s="200">
        <f>FMS_Ranking4[[#This Row],[Region Number]]</f>
        <v>1</v>
      </c>
      <c r="BW25" s="200">
        <f>FMS_Ranking4[[#This Row],[Rank (with ArcSinh normalization of select criteria)]]-FMS_Ranking4[[#This Row],[Rank
(with linear
normalization)]]</f>
        <v>1</v>
      </c>
      <c r="BX25" s="200" t="e">
        <f>FMS_Ranking4[[#This Row],[Log Rank]]-FMS_Ranking4[[#This Row],[Rank
(with linear
normalization)]]</f>
        <v>#REF!</v>
      </c>
      <c r="BY25" s="200" t="str">
        <f>IF(FMS_Ranking4[[#This Row],[FMS Type]]="Flood Measurement and Warning",FMS_Ranking4[[#This Row],[Rank (with ArcSinh normalization of select criteria)]],"")</f>
        <v/>
      </c>
      <c r="BZ25" s="200">
        <f>IF(FMS_Ranking4[[#This Row],[FMS Type]]="Regulatory and Guidance",FMS_Ranking4[[#This Row],[Rank (with ArcSinh normalization of select criteria)]],"")</f>
        <v>18</v>
      </c>
      <c r="CA25" s="200" t="str">
        <f>IF(FMS_Ranking4[[#This Row],[FMS Type]]="Education and Outreach",FMS_Ranking4[[#This Row],[Rank (with ArcSinh normalization of select criteria)]],"")</f>
        <v/>
      </c>
      <c r="CB25" s="200" t="str">
        <f>IF(FMS_Ranking4[[#This Row],[FMS Type]]="Property Acquisition and Structural Elevation",FMS_Ranking4[[#This Row],[Rank (with ArcSinh normalization of select criteria)]],"")</f>
        <v/>
      </c>
      <c r="CC25" s="200" t="str">
        <f>IF(FMS_Ranking4[[#This Row],[FMS Type]]="Infrastructure Projects",FMS_Ranking4[[#This Row],[Rank (with ArcSinh normalization of select criteria)]],"")</f>
        <v/>
      </c>
      <c r="CD25" s="200" t="str">
        <f>IF(FMS_Ranking4[[#This Row],[FMS Type]]="Other",FMS_Ranking4[[#This Row],[Rank (with ArcSinh normalization of select criteria)]],"")</f>
        <v/>
      </c>
      <c r="CE25" s="201"/>
    </row>
    <row r="26" spans="2:85" ht="30" x14ac:dyDescent="0.25">
      <c r="B26" s="341" t="s">
        <v>1446</v>
      </c>
      <c r="C26" s="246">
        <f>_xlfn.XLOOKUP(FMS_Ranking4[[#This Row],[FMS ID]],FMS_Input[FMS_ID],FMS_Input[RFPG_NUM])</f>
        <v>1</v>
      </c>
      <c r="D26" s="309" t="str">
        <f>_xlfn.XLOOKUP(FMS_Ranking4[[#This Row],[FMS ID]],FMS_Input[FMS_ID],FMS_Input[FMS_NAME])</f>
        <v>Region-Wide Turn Around/Don't Drown</v>
      </c>
      <c r="E26" s="308" t="str">
        <f>_xlfn.XLOOKUP(FMS_Ranking4[[#This Row],[FMS ID]],FMS_Input[FMS_ID],FMS_Input[SPONSOR])</f>
        <v>00000271</v>
      </c>
      <c r="F26" s="309" t="str">
        <f>_xlfn.XLOOKUP(FMS_Ranking4[[#This Row],[FMS ID]],Sponsor[FMS_ID],Sponsor[SPONSOR NAME])</f>
        <v>Panhandle Regional Planning Commission</v>
      </c>
      <c r="G26" s="309" t="str">
        <f>_xlfn.XLOOKUP(FMS_Ranking4[[#This Row],[FMS ID]],FMS_Input[FMS_ID],FMS_Input[FMS_DESCR])</f>
        <v xml:space="preserve">Educate public on Turn Around/Don’t Drown program </v>
      </c>
      <c r="H26" s="248" t="str">
        <f>_xlfn.XLOOKUP(FMS_Ranking4[[#This Row],[FMS ID]],FMS_Input[FMS_ID],FMS_Input[FMS_TYPE])</f>
        <v>Education and Outreach</v>
      </c>
      <c r="I26" s="249">
        <f>_xlfn.XLOOKUP(FMS_Ranking4[[#This Row],[FMS ID]],FMS_Input[FMS_ID],FMS_Input[NRNC_COST])</f>
        <v>90000</v>
      </c>
      <c r="J26" s="250">
        <f>_xlfn.XLOOKUP(FMS_Ranking4[[#This Row],[FMS ID]],FMS_Input[FMS_ID],FMS_Input[FMS_COST])</f>
        <v>100000</v>
      </c>
      <c r="K26" s="251" t="str">
        <f>_xlfn.XLOOKUP(FMS_Ranking4[[#This Row],[FMS ID]],FMS_Input[FMS_ID],FMS_Input[EMER_NEED])</f>
        <v>No</v>
      </c>
      <c r="L26" s="252">
        <f t="shared" si="0"/>
        <v>0</v>
      </c>
      <c r="M26" s="253">
        <f>_xlfn.XLOOKUP(FMS_Ranking4[[#This Row],[FMS ID]],FMS_Input[FMS_ID],FMS_Input[STRUCT_100])</f>
        <v>11544</v>
      </c>
      <c r="N26" s="255">
        <f>(ASINH(FMS_Ranking4[[#This Row],[Structure at Risk Raw]]))*(10)/(ASINH(M$4))</f>
        <v>7.8984916140259456</v>
      </c>
      <c r="O26" s="256">
        <f>FMS_Ranking4[[#This Row],[Structures at risk, ArcSinh (0-10)]]*M$5*10</f>
        <v>7.8984916140259465</v>
      </c>
      <c r="P26" s="253">
        <f>_xlfn.XLOOKUP(FMS_Ranking4[[#This Row],[FMS ID]],FMS_Input[FMS_ID],FMS_Input[RES_STRUCT100])</f>
        <v>6885</v>
      </c>
      <c r="Q26" s="257">
        <f>ASINH(FMS_Ranking4[[#This Row],[Res Structure Raw]])/Q$4*P$5*100</f>
        <v>0</v>
      </c>
      <c r="R26" s="253">
        <f>_xlfn.XLOOKUP(FMS_Ranking4[[#This Row],[FMS ID]],FMS_Input[FMS_ID],FMS_Input[POP100])</f>
        <v>26657</v>
      </c>
      <c r="S26" s="259">
        <f>(ASINH(FMS_Ranking4[[#This Row],[Pop at Risk Raw]]))*(10)/(ASINH(R$4))</f>
        <v>7.5138272532961876</v>
      </c>
      <c r="T26" s="256">
        <f>FMS_Ranking4[[#This Row],[Population at risk, ArcSinh (0-10)]]*R$5*10</f>
        <v>7.5138272532961885</v>
      </c>
      <c r="U26" s="253">
        <f>_xlfn.XLOOKUP(FMS_Ranking4[[#This Row],[FMS ID]],FMS_Input[FMS_ID],FMS_Input[CRITFAC100])</f>
        <v>160</v>
      </c>
      <c r="V26" s="259">
        <f>(ASINH(FMS_Ranking4[[#This Row],[Critical Facilities Raw]]))*(10)/(ASINH(U$4))</f>
        <v>6.8283430955543247</v>
      </c>
      <c r="W26" s="256">
        <f>FMS_Ranking4[[#This Row],[Critical facilities at risk, ArcSinh (0-10)]]*U$5*10</f>
        <v>6.8283430955543256</v>
      </c>
      <c r="X26" s="253">
        <f>_xlfn.XLOOKUP(FMS_Ranking4[[#This Row],[FMS ID]],FMS_Input[FMS_ID],FMS_Input[LWC])</f>
        <v>803</v>
      </c>
      <c r="Y26" s="259">
        <f>(ASINH(FMS_Ranking4[[#This Row],[LWC Raw]]))*(10)/(ASINH(X$4))</f>
        <v>10</v>
      </c>
      <c r="Z26" s="256">
        <f>FMS_Ranking4[[#This Row],[LWC, ArcSInh (0-10)]]*X$5*10</f>
        <v>10</v>
      </c>
      <c r="AA26" s="253">
        <f>_xlfn.XLOOKUP(FMS_Ranking4[[#This Row],[FMS ID]],FMS_Input[FMS_ID],FMS_Input[ROADCLS])</f>
        <v>1250</v>
      </c>
      <c r="AB26" s="255">
        <f>(ASINH(FMS_Ranking4[[#This Row],[Road Closures Raw]]))*(10)/(ASINH(AA$4))</f>
        <v>8.1480259716069217</v>
      </c>
      <c r="AC26" s="256">
        <f>FMS_Ranking4[[#This Row],[Road closures, ArcSinh (0-10)]]*AA$5*10</f>
        <v>4.0740129858034617</v>
      </c>
      <c r="AD26" s="253">
        <f>_xlfn.XLOOKUP(FMS_Ranking4[[#This Row],[FMS ID]],FMS_Input[FMS_ID],FMS_Input[ROAD_MILES100])</f>
        <v>2299</v>
      </c>
      <c r="AE26" s="259">
        <f>(ASINH(FMS_Ranking4[[#This Row],[Road Miles Raw]]))*(10)/(ASINH(AD$4))</f>
        <v>8.9876593919019427</v>
      </c>
      <c r="AF26" s="256">
        <f>FMS_Ranking4[[#This Row],[Length of roads at risk, ArcSinh (0-10)]]*AD$5*10</f>
        <v>8.9876593919019427</v>
      </c>
      <c r="AG26" s="253">
        <f>_xlfn.XLOOKUP(FMS_Ranking4[[#This Row],[FMS ID]],FMS_Input[FMS_ID],FMS_Input[FARMACRE100])</f>
        <v>2425093.5</v>
      </c>
      <c r="AH26" s="255">
        <f>(ASINH(FMS_Ranking4[[#This Row],[Ag Land Raw]]))*(10)/(ASINH(AG$4))</f>
        <v>10</v>
      </c>
      <c r="AI26" s="260">
        <f>FMS_Ranking4[[#This Row],[Farm &amp; ranch land, ArcSinh (0-10)]]*AG$5*10</f>
        <v>5</v>
      </c>
      <c r="AJ26" s="258">
        <f>_xlfn.XLOOKUP(FMS_Ranking4[[#This Row],[FMS ID]],FMS_Input[FMS_ID],FMS_Input[REDSTRUCT100])</f>
        <v>0</v>
      </c>
      <c r="AK26" s="253">
        <f>_xlfn.XLOOKUP(FMS_Ranking4[[#This Row],[FMS ID]],FMS_Input[FMS_ID],FMS_Input[REMSTRC100])</f>
        <v>0</v>
      </c>
      <c r="AL26" s="259">
        <f>(ASINH(FMS_Ranking4[[#This Row],[Structures Removed Raw]]))*(10)/(ASINH(AK$4))</f>
        <v>0</v>
      </c>
      <c r="AM26" s="262">
        <f>FMS_Ranking4[[#This Row],[Structures removed, ArcSinh (0-10)]]*AK$5*10</f>
        <v>0</v>
      </c>
      <c r="AN26" s="253">
        <f>_xlfn.XLOOKUP(FMS_Ranking4[[#This Row],[FMS ID]],FMS_Input[FMS_ID],FMS_Input[REMRESSTRC100])</f>
        <v>0</v>
      </c>
      <c r="AO26" s="261">
        <f>FMS_Ranking4[[#This Row],[ArcSinh Res struct removed 0-10]]*AN$5*10</f>
        <v>0</v>
      </c>
      <c r="AP26" s="254">
        <f>ASINH(FMS_Ranking4[[#This Row],[Residential Structures Removed Raw]])/AP$4*AN$5*100</f>
        <v>0</v>
      </c>
      <c r="AQ26" s="254">
        <f>(ASINH(FMS_Ranking4[[#This Row],[Residential Structures Removed Raw]]))*(10)/(ASINH(AN$4))</f>
        <v>0</v>
      </c>
      <c r="AR26" s="253">
        <f>_xlfn.XLOOKUP(FMS_Ranking4[[#This Row],[FMS ID]],FMS_Input[FMS_ID],FMS_Input[REMPOP100])</f>
        <v>0</v>
      </c>
      <c r="AS26" s="259">
        <f>(ASINH(FMS_Ranking4[[#This Row],[Removed Pop Raw]]))*(10)/(ASINH(AR$4))</f>
        <v>0</v>
      </c>
      <c r="AT26" s="262">
        <f>FMS_Ranking4[[#This Row],[Removed population, ArcSinh (0-10)]]*AR$5*10</f>
        <v>0</v>
      </c>
      <c r="AU26" s="264">
        <f>_xlfn.XLOOKUP(FMS_Ranking4[[#This Row],[FMS ID]],FMS_Input[FMS_ID],FMS_Input[REMCRITFAC100])</f>
        <v>0</v>
      </c>
      <c r="AV26" s="264">
        <f>_xlfn.XLOOKUP(FMS_Ranking4[[#This Row],[FMS ID]],FMS_Input[FMS_ID],FMS_Input[REMLWC100])</f>
        <v>0</v>
      </c>
      <c r="AW26" s="264">
        <f>_xlfn.XLOOKUP(FMS_Ranking4[[#This Row],[FMS ID]],FMS_Input[FMS_ID],FMS_Input[REMROADCLS])</f>
        <v>0</v>
      </c>
      <c r="AX26" s="264">
        <f>_xlfn.XLOOKUP(FMS_Ranking4[[#This Row],[FMS ID]],FMS_Input[FMS_ID],FMS_Input[REMFRMACRE100])</f>
        <v>0</v>
      </c>
      <c r="AY26" s="258">
        <f>_xlfn.XLOOKUP(FMS_Ranking4[[#This Row],[FMS ID]],FMS_Input[FMS_ID],FMS_Input[COSTSTRUCT])</f>
        <v>0</v>
      </c>
      <c r="AZ26" s="253">
        <f>_xlfn.XLOOKUP(FMS_Ranking4[[#This Row],[FMS ID]],FMS_Input[FMS_ID],FMS_Input[NATURE])</f>
        <v>0</v>
      </c>
      <c r="BA26" s="262">
        <f>(((FMS_Ranking4[[#This Row],[% NBS Raw]]/AZ$4)*100)*AZ$5)</f>
        <v>0</v>
      </c>
      <c r="BB26" s="251" t="str">
        <f>_xlfn.XLOOKUP(FMS_Ranking4[[#This Row],[FMS ID]],FMS_Input[FMS_ID],FMS_Input[WATER_SUP])</f>
        <v>No</v>
      </c>
      <c r="BC26" s="265">
        <f>IF(FMS_Ranking4[[#This Row],[Water Supply Raw]]="Yes",10,0)</f>
        <v>0</v>
      </c>
      <c r="BD26" s="266">
        <f>_xlfn.XLOOKUP(FMS_Ranking4[[#This Row],[FMS Type]],FMS_TYPE[FMS_Type],FMS_TYPE[Score])</f>
        <v>6</v>
      </c>
      <c r="BE26" s="267">
        <f>FMS_Ranking4[[#This Row],[FMS_Type Score]]*$BD$5*10</f>
        <v>1.5000000000000002</v>
      </c>
      <c r="BF2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21.361686187380386</v>
      </c>
      <c r="BG26" s="271">
        <f>_xlfn.RANK.EQ(BF26,$BF$8:$BF$870,0)+COUNTIF($BF$8:BF26,BF26)-1</f>
        <v>17</v>
      </c>
      <c r="BH26" s="268">
        <f>(((FMS_Ranking4[[#This Row],[Structures Removed Raw]]/AK$4)*100)*AK$5)+(((FMS_Ranking4[[#This Row],[Removed Pop Raw]]/AR$4)*100)*AR$5)</f>
        <v>0</v>
      </c>
      <c r="BI2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22.861686187380386</v>
      </c>
      <c r="BJ26" s="205">
        <f>_xlfn.RANK.EQ(FMS_Ranking4[[#This Row],[Total Score 
(with linear
normalization)]],FMS_Ranking4[Total Score 
(with linear
normalization)],0)</f>
        <v>18</v>
      </c>
      <c r="BK26" s="205" t="e">
        <f>_xlfn.XLOOKUP(FMS_Ranking4[[#This Row],[FMS ID]],#REF!,#REF!)</f>
        <v>#REF!</v>
      </c>
      <c r="BL2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50.302334340581865</v>
      </c>
      <c r="BM26" s="272">
        <f>FMS_Ranking4[[#This Row],[ArcSinh Score Based on Normalized Reported Factors]]+FMS_Ranking4[[#This Row],[% NBS Score (Normalized)]]+(FMS_Ranking4[[#This Row],[Water Supply Score (Normalized)]]*10*$BB$5)+FMS_Ranking4[[#This Row],[FMS_Type Score Weighted]]</f>
        <v>51.802334340581865</v>
      </c>
      <c r="BN26" s="205">
        <f>_xlfn.RANK.EQ(FMS_Ranking4[[#This Row],[Total Score (with ArcSinh normalization of select criteria)]],FMS_Ranking4[Total Score (with ArcSinh normalization of select criteria)],0)</f>
        <v>19</v>
      </c>
      <c r="BO26" s="270" t="str">
        <f>_xlfn.XLOOKUP(FMS_Ranking4[[#This Row],[FMS ID]],FMS_Input[FMS_ID],FMS_Input[FMS_RANK_YEAR])</f>
        <v>2023 Amended Plan</v>
      </c>
      <c r="BP26" s="204">
        <f>_xlfn.XLOOKUP(FMS_Ranking4[[#This Row],[FMS ID]],Prev_Rank[FMS ID],Prev_Rank[Prev Rank])</f>
        <v>18</v>
      </c>
      <c r="BQ26" s="205" t="e">
        <f>_xlfn.XLOOKUP(FMS_Ranking4[[#This Row],[FMS ID]],#REF!,#REF!)</f>
        <v>#REF!</v>
      </c>
      <c r="BR26" s="199" t="e">
        <f>SUM(#REF!,#REF!,#REF!,#REF!,#REF!,#REF!,#REF!,#REF!,#REF!,FMS_Ranking4[[#This Row],[ArcSinh Res struct removed 0-10]],#REF!)</f>
        <v>#REF!</v>
      </c>
      <c r="BS26" s="199" t="e">
        <f>FMS_Ranking4[[#This Row],[Log Score Based on Normalized Reported Factors]]+FMS_Ranking4[[#This Row],[% NBS Score (Normalized)]]+(FMS_Ranking4[[#This Row],[Water Supply Score (Normalized)]]*10*$BB$5)+(FMS_Ranking4[[#This Row],[FMS_Type Score Weighted]])</f>
        <v>#REF!</v>
      </c>
      <c r="BT26" s="200" t="e">
        <f>_xlfn.RANK.EQ(FMS_Ranking4[[#This Row],[Log Total Score]],FMS_Ranking4[Log Total Score],0)</f>
        <v>#REF!</v>
      </c>
      <c r="BU26" s="200" t="e">
        <f>_xlfn.XLOOKUP(FMS_Ranking4[[#This Row],[FMS ID]],#REF!,#REF!)</f>
        <v>#REF!</v>
      </c>
      <c r="BV26" s="200">
        <f>FMS_Ranking4[[#This Row],[Region Number]]</f>
        <v>1</v>
      </c>
      <c r="BW26" s="200">
        <f>FMS_Ranking4[[#This Row],[Rank (with ArcSinh normalization of select criteria)]]-FMS_Ranking4[[#This Row],[Rank
(with linear
normalization)]]</f>
        <v>1</v>
      </c>
      <c r="BX26" s="200" t="e">
        <f>FMS_Ranking4[[#This Row],[Log Rank]]-FMS_Ranking4[[#This Row],[Rank
(with linear
normalization)]]</f>
        <v>#REF!</v>
      </c>
      <c r="BY26" s="200" t="str">
        <f>IF(FMS_Ranking4[[#This Row],[FMS Type]]="Flood Measurement and Warning",FMS_Ranking4[[#This Row],[Rank (with ArcSinh normalization of select criteria)]],"")</f>
        <v/>
      </c>
      <c r="BZ26" s="200" t="str">
        <f>IF(FMS_Ranking4[[#This Row],[FMS Type]]="Regulatory and Guidance",FMS_Ranking4[[#This Row],[Rank (with ArcSinh normalization of select criteria)]],"")</f>
        <v/>
      </c>
      <c r="CA26" s="200">
        <f>IF(FMS_Ranking4[[#This Row],[FMS Type]]="Education and Outreach",FMS_Ranking4[[#This Row],[Rank (with ArcSinh normalization of select criteria)]],"")</f>
        <v>19</v>
      </c>
      <c r="CB26" s="200" t="str">
        <f>IF(FMS_Ranking4[[#This Row],[FMS Type]]="Property Acquisition and Structural Elevation",FMS_Ranking4[[#This Row],[Rank (with ArcSinh normalization of select criteria)]],"")</f>
        <v/>
      </c>
      <c r="CC26" s="200" t="str">
        <f>IF(FMS_Ranking4[[#This Row],[FMS Type]]="Infrastructure Projects",FMS_Ranking4[[#This Row],[Rank (with ArcSinh normalization of select criteria)]],"")</f>
        <v/>
      </c>
      <c r="CD26" s="200" t="str">
        <f>IF(FMS_Ranking4[[#This Row],[FMS Type]]="Other",FMS_Ranking4[[#This Row],[Rank (with ArcSinh normalization of select criteria)]],"")</f>
        <v/>
      </c>
      <c r="CE26" s="201"/>
    </row>
    <row r="27" spans="2:85" ht="30" x14ac:dyDescent="0.25">
      <c r="B27" s="341" t="s">
        <v>1451</v>
      </c>
      <c r="C27" s="246">
        <f>_xlfn.XLOOKUP(FMS_Ranking4[[#This Row],[FMS ID]],FMS_Input[FMS_ID],FMS_Input[RFPG_NUM])</f>
        <v>1</v>
      </c>
      <c r="D27" s="309" t="str">
        <f>_xlfn.XLOOKUP(FMS_Ranking4[[#This Row],[FMS ID]],FMS_Input[FMS_ID],FMS_Input[FMS_NAME])</f>
        <v>Region-Wide Public Awareness</v>
      </c>
      <c r="E27" s="308" t="str">
        <f>_xlfn.XLOOKUP(FMS_Ranking4[[#This Row],[FMS ID]],FMS_Input[FMS_ID],FMS_Input[SPONSOR])</f>
        <v>00000271</v>
      </c>
      <c r="F27" s="309" t="str">
        <f>_xlfn.XLOOKUP(FMS_Ranking4[[#This Row],[FMS ID]],Sponsor[FMS_ID],Sponsor[SPONSOR NAME])</f>
        <v>Panhandle Regional Planning Commission</v>
      </c>
      <c r="G27" s="309" t="str">
        <f>_xlfn.XLOOKUP(FMS_Ranking4[[#This Row],[FMS ID]],FMS_Input[FMS_ID],FMS_Input[FMS_DESCR])</f>
        <v xml:space="preserve">Educate public on flood safety </v>
      </c>
      <c r="H27" s="248" t="str">
        <f>_xlfn.XLOOKUP(FMS_Ranking4[[#This Row],[FMS ID]],FMS_Input[FMS_ID],FMS_Input[FMS_TYPE])</f>
        <v>Education and Outreach</v>
      </c>
      <c r="I27" s="249">
        <f>_xlfn.XLOOKUP(FMS_Ranking4[[#This Row],[FMS ID]],FMS_Input[FMS_ID],FMS_Input[NRNC_COST])</f>
        <v>90000</v>
      </c>
      <c r="J27" s="250">
        <f>_xlfn.XLOOKUP(FMS_Ranking4[[#This Row],[FMS ID]],FMS_Input[FMS_ID],FMS_Input[FMS_COST])</f>
        <v>100000</v>
      </c>
      <c r="K27" s="251" t="str">
        <f>_xlfn.XLOOKUP(FMS_Ranking4[[#This Row],[FMS ID]],FMS_Input[FMS_ID],FMS_Input[EMER_NEED])</f>
        <v>No</v>
      </c>
      <c r="L27" s="252">
        <f t="shared" si="0"/>
        <v>0</v>
      </c>
      <c r="M27" s="253">
        <f>_xlfn.XLOOKUP(FMS_Ranking4[[#This Row],[FMS ID]],FMS_Input[FMS_ID],FMS_Input[STRUCT_100])</f>
        <v>11544</v>
      </c>
      <c r="N27" s="255">
        <f>(ASINH(FMS_Ranking4[[#This Row],[Structure at Risk Raw]]))*(10)/(ASINH(M$4))</f>
        <v>7.8984916140259456</v>
      </c>
      <c r="O27" s="256">
        <f>FMS_Ranking4[[#This Row],[Structures at risk, ArcSinh (0-10)]]*M$5*10</f>
        <v>7.8984916140259465</v>
      </c>
      <c r="P27" s="253">
        <f>_xlfn.XLOOKUP(FMS_Ranking4[[#This Row],[FMS ID]],FMS_Input[FMS_ID],FMS_Input[RES_STRUCT100])</f>
        <v>6885</v>
      </c>
      <c r="Q27" s="257">
        <f>ASINH(FMS_Ranking4[[#This Row],[Res Structure Raw]])/Q$4*P$5*100</f>
        <v>0</v>
      </c>
      <c r="R27" s="253">
        <f>_xlfn.XLOOKUP(FMS_Ranking4[[#This Row],[FMS ID]],FMS_Input[FMS_ID],FMS_Input[POP100])</f>
        <v>26657</v>
      </c>
      <c r="S27" s="259">
        <f>(ASINH(FMS_Ranking4[[#This Row],[Pop at Risk Raw]]))*(10)/(ASINH(R$4))</f>
        <v>7.5138272532961876</v>
      </c>
      <c r="T27" s="256">
        <f>FMS_Ranking4[[#This Row],[Population at risk, ArcSinh (0-10)]]*R$5*10</f>
        <v>7.5138272532961885</v>
      </c>
      <c r="U27" s="253">
        <f>_xlfn.XLOOKUP(FMS_Ranking4[[#This Row],[FMS ID]],FMS_Input[FMS_ID],FMS_Input[CRITFAC100])</f>
        <v>160</v>
      </c>
      <c r="V27" s="259">
        <f>(ASINH(FMS_Ranking4[[#This Row],[Critical Facilities Raw]]))*(10)/(ASINH(U$4))</f>
        <v>6.8283430955543247</v>
      </c>
      <c r="W27" s="256">
        <f>FMS_Ranking4[[#This Row],[Critical facilities at risk, ArcSinh (0-10)]]*U$5*10</f>
        <v>6.8283430955543256</v>
      </c>
      <c r="X27" s="253">
        <f>_xlfn.XLOOKUP(FMS_Ranking4[[#This Row],[FMS ID]],FMS_Input[FMS_ID],FMS_Input[LWC])</f>
        <v>803</v>
      </c>
      <c r="Y27" s="259">
        <f>(ASINH(FMS_Ranking4[[#This Row],[LWC Raw]]))*(10)/(ASINH(X$4))</f>
        <v>10</v>
      </c>
      <c r="Z27" s="256">
        <f>FMS_Ranking4[[#This Row],[LWC, ArcSInh (0-10)]]*X$5*10</f>
        <v>10</v>
      </c>
      <c r="AA27" s="253">
        <f>_xlfn.XLOOKUP(FMS_Ranking4[[#This Row],[FMS ID]],FMS_Input[FMS_ID],FMS_Input[ROADCLS])</f>
        <v>1250</v>
      </c>
      <c r="AB27" s="255">
        <f>(ASINH(FMS_Ranking4[[#This Row],[Road Closures Raw]]))*(10)/(ASINH(AA$4))</f>
        <v>8.1480259716069217</v>
      </c>
      <c r="AC27" s="256">
        <f>FMS_Ranking4[[#This Row],[Road closures, ArcSinh (0-10)]]*AA$5*10</f>
        <v>4.0740129858034617</v>
      </c>
      <c r="AD27" s="253">
        <f>_xlfn.XLOOKUP(FMS_Ranking4[[#This Row],[FMS ID]],FMS_Input[FMS_ID],FMS_Input[ROAD_MILES100])</f>
        <v>2299</v>
      </c>
      <c r="AE27" s="259">
        <f>(ASINH(FMS_Ranking4[[#This Row],[Road Miles Raw]]))*(10)/(ASINH(AD$4))</f>
        <v>8.9876593919019427</v>
      </c>
      <c r="AF27" s="256">
        <f>FMS_Ranking4[[#This Row],[Length of roads at risk, ArcSinh (0-10)]]*AD$5*10</f>
        <v>8.9876593919019427</v>
      </c>
      <c r="AG27" s="253">
        <f>_xlfn.XLOOKUP(FMS_Ranking4[[#This Row],[FMS ID]],FMS_Input[FMS_ID],FMS_Input[FARMACRE100])</f>
        <v>2425093.5</v>
      </c>
      <c r="AH27" s="255">
        <f>(ASINH(FMS_Ranking4[[#This Row],[Ag Land Raw]]))*(10)/(ASINH(AG$4))</f>
        <v>10</v>
      </c>
      <c r="AI27" s="260">
        <f>FMS_Ranking4[[#This Row],[Farm &amp; ranch land, ArcSinh (0-10)]]*AG$5*10</f>
        <v>5</v>
      </c>
      <c r="AJ27" s="258">
        <f>_xlfn.XLOOKUP(FMS_Ranking4[[#This Row],[FMS ID]],FMS_Input[FMS_ID],FMS_Input[REDSTRUCT100])</f>
        <v>0</v>
      </c>
      <c r="AK27" s="253">
        <f>_xlfn.XLOOKUP(FMS_Ranking4[[#This Row],[FMS ID]],FMS_Input[FMS_ID],FMS_Input[REMSTRC100])</f>
        <v>0</v>
      </c>
      <c r="AL27" s="259">
        <f>(ASINH(FMS_Ranking4[[#This Row],[Structures Removed Raw]]))*(10)/(ASINH(AK$4))</f>
        <v>0</v>
      </c>
      <c r="AM27" s="262">
        <f>FMS_Ranking4[[#This Row],[Structures removed, ArcSinh (0-10)]]*AK$5*10</f>
        <v>0</v>
      </c>
      <c r="AN27" s="253">
        <f>_xlfn.XLOOKUP(FMS_Ranking4[[#This Row],[FMS ID]],FMS_Input[FMS_ID],FMS_Input[REMRESSTRC100])</f>
        <v>0</v>
      </c>
      <c r="AO27" s="261">
        <f>FMS_Ranking4[[#This Row],[ArcSinh Res struct removed 0-10]]*AN$5*10</f>
        <v>0</v>
      </c>
      <c r="AP27" s="254">
        <f>ASINH(FMS_Ranking4[[#This Row],[Residential Structures Removed Raw]])/AP$4*AN$5*100</f>
        <v>0</v>
      </c>
      <c r="AQ27" s="254">
        <f>(ASINH(FMS_Ranking4[[#This Row],[Residential Structures Removed Raw]]))*(10)/(ASINH(AN$4))</f>
        <v>0</v>
      </c>
      <c r="AR27" s="253">
        <f>_xlfn.XLOOKUP(FMS_Ranking4[[#This Row],[FMS ID]],FMS_Input[FMS_ID],FMS_Input[REMPOP100])</f>
        <v>0</v>
      </c>
      <c r="AS27" s="259">
        <f>(ASINH(FMS_Ranking4[[#This Row],[Removed Pop Raw]]))*(10)/(ASINH(AR$4))</f>
        <v>0</v>
      </c>
      <c r="AT27" s="262">
        <f>FMS_Ranking4[[#This Row],[Removed population, ArcSinh (0-10)]]*AR$5*10</f>
        <v>0</v>
      </c>
      <c r="AU27" s="264">
        <f>_xlfn.XLOOKUP(FMS_Ranking4[[#This Row],[FMS ID]],FMS_Input[FMS_ID],FMS_Input[REMCRITFAC100])</f>
        <v>0</v>
      </c>
      <c r="AV27" s="264">
        <f>_xlfn.XLOOKUP(FMS_Ranking4[[#This Row],[FMS ID]],FMS_Input[FMS_ID],FMS_Input[REMLWC100])</f>
        <v>0</v>
      </c>
      <c r="AW27" s="264">
        <f>_xlfn.XLOOKUP(FMS_Ranking4[[#This Row],[FMS ID]],FMS_Input[FMS_ID],FMS_Input[REMROADCLS])</f>
        <v>0</v>
      </c>
      <c r="AX27" s="264">
        <f>_xlfn.XLOOKUP(FMS_Ranking4[[#This Row],[FMS ID]],FMS_Input[FMS_ID],FMS_Input[REMFRMACRE100])</f>
        <v>0</v>
      </c>
      <c r="AY27" s="258">
        <f>_xlfn.XLOOKUP(FMS_Ranking4[[#This Row],[FMS ID]],FMS_Input[FMS_ID],FMS_Input[COSTSTRUCT])</f>
        <v>0</v>
      </c>
      <c r="AZ27" s="253">
        <f>_xlfn.XLOOKUP(FMS_Ranking4[[#This Row],[FMS ID]],FMS_Input[FMS_ID],FMS_Input[NATURE])</f>
        <v>0</v>
      </c>
      <c r="BA27" s="262">
        <f>(((FMS_Ranking4[[#This Row],[% NBS Raw]]/AZ$4)*100)*AZ$5)</f>
        <v>0</v>
      </c>
      <c r="BB27" s="251" t="str">
        <f>_xlfn.XLOOKUP(FMS_Ranking4[[#This Row],[FMS ID]],FMS_Input[FMS_ID],FMS_Input[WATER_SUP])</f>
        <v>No</v>
      </c>
      <c r="BC27" s="265">
        <f>IF(FMS_Ranking4[[#This Row],[Water Supply Raw]]="Yes",10,0)</f>
        <v>0</v>
      </c>
      <c r="BD27" s="266">
        <f>_xlfn.XLOOKUP(FMS_Ranking4[[#This Row],[FMS Type]],FMS_TYPE[FMS_Type],FMS_TYPE[Score])</f>
        <v>6</v>
      </c>
      <c r="BE27" s="267">
        <f>FMS_Ranking4[[#This Row],[FMS_Type Score]]*$BD$5*10</f>
        <v>1.5000000000000002</v>
      </c>
      <c r="BF2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21.361686187380386</v>
      </c>
      <c r="BG27" s="271">
        <f>_xlfn.RANK.EQ(BF27,$BF$8:$BF$870,0)+COUNTIF($BF$8:BF27,BF27)-1</f>
        <v>18</v>
      </c>
      <c r="BH27" s="268">
        <f>(((FMS_Ranking4[[#This Row],[Structures Removed Raw]]/AK$4)*100)*AK$5)+(((FMS_Ranking4[[#This Row],[Removed Pop Raw]]/AR$4)*100)*AR$5)</f>
        <v>0</v>
      </c>
      <c r="BI2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22.861686187380386</v>
      </c>
      <c r="BJ27" s="205">
        <f>_xlfn.RANK.EQ(FMS_Ranking4[[#This Row],[Total Score 
(with linear
normalization)]],FMS_Ranking4[Total Score 
(with linear
normalization)],0)</f>
        <v>18</v>
      </c>
      <c r="BK27" s="205" t="e">
        <f>_xlfn.XLOOKUP(FMS_Ranking4[[#This Row],[FMS ID]],#REF!,#REF!)</f>
        <v>#REF!</v>
      </c>
      <c r="BL2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50.302334340581865</v>
      </c>
      <c r="BM27" s="272">
        <f>FMS_Ranking4[[#This Row],[ArcSinh Score Based on Normalized Reported Factors]]+FMS_Ranking4[[#This Row],[% NBS Score (Normalized)]]+(FMS_Ranking4[[#This Row],[Water Supply Score (Normalized)]]*10*$BB$5)+FMS_Ranking4[[#This Row],[FMS_Type Score Weighted]]</f>
        <v>51.802334340581865</v>
      </c>
      <c r="BN27" s="205">
        <f>_xlfn.RANK.EQ(FMS_Ranking4[[#This Row],[Total Score (with ArcSinh normalization of select criteria)]],FMS_Ranking4[Total Score (with ArcSinh normalization of select criteria)],0)</f>
        <v>19</v>
      </c>
      <c r="BO27" s="270" t="str">
        <f>_xlfn.XLOOKUP(FMS_Ranking4[[#This Row],[FMS ID]],FMS_Input[FMS_ID],FMS_Input[FMS_RANK_YEAR])</f>
        <v>2023 Amended Plan</v>
      </c>
      <c r="BP27" s="204">
        <f>_xlfn.XLOOKUP(FMS_Ranking4[[#This Row],[FMS ID]],Prev_Rank[FMS ID],Prev_Rank[Prev Rank])</f>
        <v>18</v>
      </c>
      <c r="BQ27" s="205" t="e">
        <f>_xlfn.XLOOKUP(FMS_Ranking4[[#This Row],[FMS ID]],#REF!,#REF!)</f>
        <v>#REF!</v>
      </c>
      <c r="BR27" s="199" t="e">
        <f>SUM(#REF!,#REF!,#REF!,#REF!,#REF!,#REF!,#REF!,#REF!,#REF!,FMS_Ranking4[[#This Row],[ArcSinh Res struct removed 0-10]],#REF!)</f>
        <v>#REF!</v>
      </c>
      <c r="BS27" s="199" t="e">
        <f>FMS_Ranking4[[#This Row],[Log Score Based on Normalized Reported Factors]]+FMS_Ranking4[[#This Row],[% NBS Score (Normalized)]]+(FMS_Ranking4[[#This Row],[Water Supply Score (Normalized)]]*10*$BB$5)+(FMS_Ranking4[[#This Row],[FMS_Type Score Weighted]])</f>
        <v>#REF!</v>
      </c>
      <c r="BT27" s="200" t="e">
        <f>_xlfn.RANK.EQ(FMS_Ranking4[[#This Row],[Log Total Score]],FMS_Ranking4[Log Total Score],0)</f>
        <v>#REF!</v>
      </c>
      <c r="BU27" s="200" t="e">
        <f>_xlfn.XLOOKUP(FMS_Ranking4[[#This Row],[FMS ID]],#REF!,#REF!)</f>
        <v>#REF!</v>
      </c>
      <c r="BV27" s="200">
        <f>FMS_Ranking4[[#This Row],[Region Number]]</f>
        <v>1</v>
      </c>
      <c r="BW27" s="200">
        <f>FMS_Ranking4[[#This Row],[Rank (with ArcSinh normalization of select criteria)]]-FMS_Ranking4[[#This Row],[Rank
(with linear
normalization)]]</f>
        <v>1</v>
      </c>
      <c r="BX27" s="200" t="e">
        <f>FMS_Ranking4[[#This Row],[Log Rank]]-FMS_Ranking4[[#This Row],[Rank
(with linear
normalization)]]</f>
        <v>#REF!</v>
      </c>
      <c r="BY27" s="200" t="str">
        <f>IF(FMS_Ranking4[[#This Row],[FMS Type]]="Flood Measurement and Warning",FMS_Ranking4[[#This Row],[Rank (with ArcSinh normalization of select criteria)]],"")</f>
        <v/>
      </c>
      <c r="BZ27" s="200" t="str">
        <f>IF(FMS_Ranking4[[#This Row],[FMS Type]]="Regulatory and Guidance",FMS_Ranking4[[#This Row],[Rank (with ArcSinh normalization of select criteria)]],"")</f>
        <v/>
      </c>
      <c r="CA27" s="200">
        <f>IF(FMS_Ranking4[[#This Row],[FMS Type]]="Education and Outreach",FMS_Ranking4[[#This Row],[Rank (with ArcSinh normalization of select criteria)]],"")</f>
        <v>19</v>
      </c>
      <c r="CB27" s="200" t="str">
        <f>IF(FMS_Ranking4[[#This Row],[FMS Type]]="Property Acquisition and Structural Elevation",FMS_Ranking4[[#This Row],[Rank (with ArcSinh normalization of select criteria)]],"")</f>
        <v/>
      </c>
      <c r="CC27" s="200" t="str">
        <f>IF(FMS_Ranking4[[#This Row],[FMS Type]]="Infrastructure Projects",FMS_Ranking4[[#This Row],[Rank (with ArcSinh normalization of select criteria)]],"")</f>
        <v/>
      </c>
      <c r="CD27" s="200" t="str">
        <f>IF(FMS_Ranking4[[#This Row],[FMS Type]]="Other",FMS_Ranking4[[#This Row],[Rank (with ArcSinh normalization of select criteria)]],"")</f>
        <v/>
      </c>
      <c r="CE27" s="201"/>
    </row>
    <row r="28" spans="2:85" ht="30" x14ac:dyDescent="0.25">
      <c r="B28" s="341" t="s">
        <v>867</v>
      </c>
      <c r="C28" s="246">
        <f>_xlfn.XLOOKUP(FMS_Ranking4[[#This Row],[FMS ID]],FMS_Input[FMS_ID],FMS_Input[RFPG_NUM])</f>
        <v>9</v>
      </c>
      <c r="D28" s="309" t="str">
        <f>_xlfn.XLOOKUP(FMS_Ranking4[[#This Row],[FMS ID]],FMS_Input[FMS_ID],FMS_Input[FMS_NAME])</f>
        <v>City of San Angelo LWC Awareness Program</v>
      </c>
      <c r="E28" s="308" t="str">
        <f>_xlfn.XLOOKUP(FMS_Ranking4[[#This Row],[FMS ID]],FMS_Input[FMS_ID],FMS_Input[SPONSOR])</f>
        <v>09000131</v>
      </c>
      <c r="F28" s="309" t="str">
        <f>_xlfn.XLOOKUP(FMS_Ranking4[[#This Row],[FMS ID]],Sponsor[FMS_ID],Sponsor[SPONSOR NAME])</f>
        <v>Tom Green</v>
      </c>
      <c r="G28" s="309" t="str">
        <f>_xlfn.XLOOKUP(FMS_Ranking4[[#This Row],[FMS ID]],FMS_Input[FMS_ID],FMS_Input[FMS_DESCR])</f>
        <v>Draft flood awareness program</v>
      </c>
      <c r="H28" s="248" t="str">
        <f>_xlfn.XLOOKUP(FMS_Ranking4[[#This Row],[FMS ID]],FMS_Input[FMS_ID],FMS_Input[FMS_TYPE])</f>
        <v>Other</v>
      </c>
      <c r="I28" s="249">
        <f>_xlfn.XLOOKUP(FMS_Ranking4[[#This Row],[FMS ID]],FMS_Input[FMS_ID],FMS_Input[NRNC_COST])</f>
        <v>85000</v>
      </c>
      <c r="J28" s="250">
        <f>_xlfn.XLOOKUP(FMS_Ranking4[[#This Row],[FMS ID]],FMS_Input[FMS_ID],FMS_Input[FMS_COST])</f>
        <v>110000</v>
      </c>
      <c r="K28" s="251" t="str">
        <f>_xlfn.XLOOKUP(FMS_Ranking4[[#This Row],[FMS ID]],FMS_Input[FMS_ID],FMS_Input[EMER_NEED])</f>
        <v>No</v>
      </c>
      <c r="L28" s="252">
        <f t="shared" si="0"/>
        <v>0</v>
      </c>
      <c r="M28" s="253">
        <f>_xlfn.XLOOKUP(FMS_Ranking4[[#This Row],[FMS ID]],FMS_Input[FMS_ID],FMS_Input[STRUCT_100])</f>
        <v>2587</v>
      </c>
      <c r="N28" s="255">
        <f>(ASINH(FMS_Ranking4[[#This Row],[Structure at Risk Raw]]))*(10)/(ASINH(M$4))</f>
        <v>6.7226747490005279</v>
      </c>
      <c r="O28" s="256">
        <f>FMS_Ranking4[[#This Row],[Structures at risk, ArcSinh (0-10)]]*M$5*10</f>
        <v>6.7226747490005279</v>
      </c>
      <c r="P28" s="253">
        <f>_xlfn.XLOOKUP(FMS_Ranking4[[#This Row],[FMS ID]],FMS_Input[FMS_ID],FMS_Input[RES_STRUCT100])</f>
        <v>1821</v>
      </c>
      <c r="Q28" s="257">
        <f>ASINH(FMS_Ranking4[[#This Row],[Res Structure Raw]])/Q$4*P$5*100</f>
        <v>0</v>
      </c>
      <c r="R28" s="253">
        <f>_xlfn.XLOOKUP(FMS_Ranking4[[#This Row],[FMS ID]],FMS_Input[FMS_ID],FMS_Input[POP100])</f>
        <v>7934</v>
      </c>
      <c r="S28" s="259">
        <f>(ASINH(FMS_Ranking4[[#This Row],[Pop at Risk Raw]]))*(10)/(ASINH(R$4))</f>
        <v>6.6771859573150962</v>
      </c>
      <c r="T28" s="256">
        <f>FMS_Ranking4[[#This Row],[Population at risk, ArcSinh (0-10)]]*R$5*10</f>
        <v>6.6771859573150971</v>
      </c>
      <c r="U28" s="253">
        <f>_xlfn.XLOOKUP(FMS_Ranking4[[#This Row],[FMS ID]],FMS_Input[FMS_ID],FMS_Input[CRITFAC100])</f>
        <v>6</v>
      </c>
      <c r="V28" s="259">
        <f>(ASINH(FMS_Ranking4[[#This Row],[Critical Facilities Raw]]))*(10)/(ASINH(U$4))</f>
        <v>2.9496796311809068</v>
      </c>
      <c r="W28" s="256">
        <f>FMS_Ranking4[[#This Row],[Critical facilities at risk, ArcSinh (0-10)]]*U$5*10</f>
        <v>2.9496796311809073</v>
      </c>
      <c r="X28" s="253">
        <f>_xlfn.XLOOKUP(FMS_Ranking4[[#This Row],[FMS ID]],FMS_Input[FMS_ID],FMS_Input[LWC])</f>
        <v>27</v>
      </c>
      <c r="Y28" s="259">
        <f>(ASINH(FMS_Ranking4[[#This Row],[LWC Raw]]))*(10)/(ASINH(X$4))</f>
        <v>5.4044917325700892</v>
      </c>
      <c r="Z28" s="256">
        <f>FMS_Ranking4[[#This Row],[LWC, ArcSInh (0-10)]]*X$5*10</f>
        <v>5.4044917325700892</v>
      </c>
      <c r="AA28" s="253">
        <f>_xlfn.XLOOKUP(FMS_Ranking4[[#This Row],[FMS ID]],FMS_Input[FMS_ID],FMS_Input[ROADCLS])</f>
        <v>0</v>
      </c>
      <c r="AB28" s="255">
        <f>(ASINH(FMS_Ranking4[[#This Row],[Road Closures Raw]]))*(10)/(ASINH(AA$4))</f>
        <v>0</v>
      </c>
      <c r="AC28" s="256">
        <f>FMS_Ranking4[[#This Row],[Road closures, ArcSinh (0-10)]]*AA$5*10</f>
        <v>0</v>
      </c>
      <c r="AD28" s="253">
        <f>_xlfn.XLOOKUP(FMS_Ranking4[[#This Row],[FMS ID]],FMS_Input[FMS_ID],FMS_Input[ROAD_MILES100])</f>
        <v>94</v>
      </c>
      <c r="AE28" s="259">
        <f>(ASINH(FMS_Ranking4[[#This Row],[Road Miles Raw]]))*(10)/(ASINH(AD$4))</f>
        <v>5.5806366118884574</v>
      </c>
      <c r="AF28" s="256">
        <f>FMS_Ranking4[[#This Row],[Length of roads at risk, ArcSinh (0-10)]]*AD$5*10</f>
        <v>5.5806366118884574</v>
      </c>
      <c r="AG28" s="253">
        <f>_xlfn.XLOOKUP(FMS_Ranking4[[#This Row],[FMS ID]],FMS_Input[FMS_ID],FMS_Input[FARMACRE100])</f>
        <v>300.4580078125</v>
      </c>
      <c r="AH28" s="255">
        <f>(ASINH(FMS_Ranking4[[#This Row],[Ag Land Raw]]))*(10)/(ASINH(AG$4))</f>
        <v>4.1563197184745073</v>
      </c>
      <c r="AI28" s="260">
        <f>FMS_Ranking4[[#This Row],[Farm &amp; ranch land, ArcSinh (0-10)]]*AG$5*10</f>
        <v>2.0781598592372537</v>
      </c>
      <c r="AJ28" s="258">
        <f>_xlfn.XLOOKUP(FMS_Ranking4[[#This Row],[FMS ID]],FMS_Input[FMS_ID],FMS_Input[REDSTRUCT100])</f>
        <v>647</v>
      </c>
      <c r="AK28" s="253">
        <f>_xlfn.XLOOKUP(FMS_Ranking4[[#This Row],[FMS ID]],FMS_Input[FMS_ID],FMS_Input[REMSTRC100])</f>
        <v>647</v>
      </c>
      <c r="AL28" s="259">
        <f>(ASINH(FMS_Ranking4[[#This Row],[Structures Removed Raw]]))*(10)/(ASINH(AK$4))</f>
        <v>8.1584264787669731</v>
      </c>
      <c r="AM28" s="262">
        <f>FMS_Ranking4[[#This Row],[Structures removed, ArcSinh (0-10)]]*AK$5*10</f>
        <v>8.1584264787669731</v>
      </c>
      <c r="AN28" s="253">
        <f>_xlfn.XLOOKUP(FMS_Ranking4[[#This Row],[FMS ID]],FMS_Input[FMS_ID],FMS_Input[REMRESSTRC100])</f>
        <v>455</v>
      </c>
      <c r="AO28" s="261">
        <f>FMS_Ranking4[[#This Row],[ArcSinh Res struct removed 0-10]]*AN$5*10</f>
        <v>3.99626629570849</v>
      </c>
      <c r="AP28" s="254">
        <f>ASINH(FMS_Ranking4[[#This Row],[Residential Structures Removed Raw]])/AP$4*AN$5*100</f>
        <v>3.99626629570849</v>
      </c>
      <c r="AQ28" s="254">
        <f>(ASINH(FMS_Ranking4[[#This Row],[Residential Structures Removed Raw]]))*(10)/(ASINH(AN$4))</f>
        <v>7.9925325914169791</v>
      </c>
      <c r="AR28" s="253">
        <f>_xlfn.XLOOKUP(FMS_Ranking4[[#This Row],[FMS ID]],FMS_Input[FMS_ID],FMS_Input[REMPOP100])</f>
        <v>2928</v>
      </c>
      <c r="AS28" s="259">
        <f>(ASINH(FMS_Ranking4[[#This Row],[Removed Pop Raw]]))*(10)/(ASINH(AR$4))</f>
        <v>8.5157753442698407</v>
      </c>
      <c r="AT28" s="262">
        <f>FMS_Ranking4[[#This Row],[Removed population, ArcSinh (0-10)]]*AR$5*10</f>
        <v>8.5157753442698407</v>
      </c>
      <c r="AU28" s="264">
        <f>_xlfn.XLOOKUP(FMS_Ranking4[[#This Row],[FMS ID]],FMS_Input[FMS_ID],FMS_Input[REMCRITFAC100])</f>
        <v>1</v>
      </c>
      <c r="AV28" s="264">
        <f>_xlfn.XLOOKUP(FMS_Ranking4[[#This Row],[FMS ID]],FMS_Input[FMS_ID],FMS_Input[REMLWC100])</f>
        <v>6</v>
      </c>
      <c r="AW28" s="264">
        <f>_xlfn.XLOOKUP(FMS_Ranking4[[#This Row],[FMS ID]],FMS_Input[FMS_ID],FMS_Input[REMROADCLS])</f>
        <v>0</v>
      </c>
      <c r="AX28" s="264">
        <f>_xlfn.XLOOKUP(FMS_Ranking4[[#This Row],[FMS ID]],FMS_Input[FMS_ID],FMS_Input[REMFRMACRE100])</f>
        <v>75.114501953125</v>
      </c>
      <c r="AY28" s="258">
        <f>_xlfn.XLOOKUP(FMS_Ranking4[[#This Row],[FMS ID]],FMS_Input[FMS_ID],FMS_Input[COSTSTRUCT])</f>
        <v>25000</v>
      </c>
      <c r="AZ28" s="253">
        <f>_xlfn.XLOOKUP(FMS_Ranking4[[#This Row],[FMS ID]],FMS_Input[FMS_ID],FMS_Input[NATURE])</f>
        <v>0</v>
      </c>
      <c r="BA28" s="262">
        <f>(((FMS_Ranking4[[#This Row],[% NBS Raw]]/AZ$4)*100)*AZ$5)</f>
        <v>0</v>
      </c>
      <c r="BB28" s="251" t="str">
        <f>_xlfn.XLOOKUP(FMS_Ranking4[[#This Row],[FMS ID]],FMS_Input[FMS_ID],FMS_Input[WATER_SUP])</f>
        <v>No</v>
      </c>
      <c r="BC28" s="265">
        <f>IF(FMS_Ranking4[[#This Row],[Water Supply Raw]]="Yes",10,0)</f>
        <v>0</v>
      </c>
      <c r="BD28" s="266">
        <f>_xlfn.XLOOKUP(FMS_Ranking4[[#This Row],[FMS Type]],FMS_TYPE[FMS_Type],FMS_TYPE[Score])</f>
        <v>2</v>
      </c>
      <c r="BE28" s="267">
        <f>FMS_Ranking4[[#This Row],[FMS_Type Score]]*$BD$5*10</f>
        <v>0.5</v>
      </c>
      <c r="BF2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0.75665332269621355</v>
      </c>
      <c r="BG28" s="271">
        <f>_xlfn.RANK.EQ(BF28,$BF$8:$BF$870,0)+COUNTIF($BF$8:BF28,BF28)-1</f>
        <v>178</v>
      </c>
      <c r="BH28" s="268">
        <f>(((FMS_Ranking4[[#This Row],[Structures Removed Raw]]/AK$4)*100)*AK$5)+(((FMS_Ranking4[[#This Row],[Removed Pop Raw]]/AR$4)*100)*AR$5)</f>
        <v>4.1887072352359276</v>
      </c>
      <c r="BI2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5.4453605579321414</v>
      </c>
      <c r="BJ28" s="205">
        <f>_xlfn.RANK.EQ(FMS_Ranking4[[#This Row],[Total Score 
(with linear
normalization)]],FMS_Ranking4[Total Score 
(with linear
normalization)],0)</f>
        <v>106</v>
      </c>
      <c r="BK28" s="205" t="e">
        <f>_xlfn.XLOOKUP(FMS_Ranking4[[#This Row],[FMS ID]],#REF!,#REF!)</f>
        <v>#REF!</v>
      </c>
      <c r="BL2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50.083296659937638</v>
      </c>
      <c r="BM28" s="272">
        <f>FMS_Ranking4[[#This Row],[ArcSinh Score Based on Normalized Reported Factors]]+FMS_Ranking4[[#This Row],[% NBS Score (Normalized)]]+(FMS_Ranking4[[#This Row],[Water Supply Score (Normalized)]]*10*$BB$5)+FMS_Ranking4[[#This Row],[FMS_Type Score Weighted]]</f>
        <v>50.583296659937638</v>
      </c>
      <c r="BN28" s="205">
        <f>_xlfn.RANK.EQ(FMS_Ranking4[[#This Row],[Total Score (with ArcSinh normalization of select criteria)]],FMS_Ranking4[Total Score (with ArcSinh normalization of select criteria)],0)</f>
        <v>21</v>
      </c>
      <c r="BO28" s="270" t="str">
        <f>_xlfn.XLOOKUP(FMS_Ranking4[[#This Row],[FMS ID]],FMS_Input[FMS_ID],FMS_Input[FMS_RANK_YEAR])</f>
        <v>2023 Amended Plan</v>
      </c>
      <c r="BP28" s="204">
        <f>_xlfn.XLOOKUP(FMS_Ranking4[[#This Row],[FMS ID]],Prev_Rank[FMS ID],Prev_Rank[Prev Rank])</f>
        <v>22</v>
      </c>
      <c r="BQ28" s="205" t="e">
        <f>_xlfn.XLOOKUP(FMS_Ranking4[[#This Row],[FMS ID]],#REF!,#REF!)</f>
        <v>#REF!</v>
      </c>
      <c r="BR28" s="199" t="e">
        <f>SUM(#REF!,#REF!,#REF!,#REF!,#REF!,#REF!,#REF!,#REF!,#REF!,FMS_Ranking4[[#This Row],[ArcSinh Res struct removed 0-10]],#REF!)</f>
        <v>#REF!</v>
      </c>
      <c r="BS28" s="199" t="e">
        <f>FMS_Ranking4[[#This Row],[Log Score Based on Normalized Reported Factors]]+FMS_Ranking4[[#This Row],[% NBS Score (Normalized)]]+(FMS_Ranking4[[#This Row],[Water Supply Score (Normalized)]]*10*$BB$5)+(FMS_Ranking4[[#This Row],[FMS_Type Score Weighted]])</f>
        <v>#REF!</v>
      </c>
      <c r="BT28" s="200" t="e">
        <f>_xlfn.RANK.EQ(FMS_Ranking4[[#This Row],[Log Total Score]],FMS_Ranking4[Log Total Score],0)</f>
        <v>#REF!</v>
      </c>
      <c r="BU28" s="200" t="e">
        <f>_xlfn.XLOOKUP(FMS_Ranking4[[#This Row],[FMS ID]],#REF!,#REF!)</f>
        <v>#REF!</v>
      </c>
      <c r="BV28" s="200">
        <f>FMS_Ranking4[[#This Row],[Region Number]]</f>
        <v>9</v>
      </c>
      <c r="BW28" s="200">
        <f>FMS_Ranking4[[#This Row],[Rank (with ArcSinh normalization of select criteria)]]-FMS_Ranking4[[#This Row],[Rank
(with linear
normalization)]]</f>
        <v>-85</v>
      </c>
      <c r="BX28" s="200" t="e">
        <f>FMS_Ranking4[[#This Row],[Log Rank]]-FMS_Ranking4[[#This Row],[Rank
(with linear
normalization)]]</f>
        <v>#REF!</v>
      </c>
      <c r="BY28" s="200" t="str">
        <f>IF(FMS_Ranking4[[#This Row],[FMS Type]]="Flood Measurement and Warning",FMS_Ranking4[[#This Row],[Rank (with ArcSinh normalization of select criteria)]],"")</f>
        <v/>
      </c>
      <c r="BZ28" s="200" t="str">
        <f>IF(FMS_Ranking4[[#This Row],[FMS Type]]="Regulatory and Guidance",FMS_Ranking4[[#This Row],[Rank (with ArcSinh normalization of select criteria)]],"")</f>
        <v/>
      </c>
      <c r="CA28" s="200" t="str">
        <f>IF(FMS_Ranking4[[#This Row],[FMS Type]]="Education and Outreach",FMS_Ranking4[[#This Row],[Rank (with ArcSinh normalization of select criteria)]],"")</f>
        <v/>
      </c>
      <c r="CB28" s="200" t="str">
        <f>IF(FMS_Ranking4[[#This Row],[FMS Type]]="Property Acquisition and Structural Elevation",FMS_Ranking4[[#This Row],[Rank (with ArcSinh normalization of select criteria)]],"")</f>
        <v/>
      </c>
      <c r="CC28" s="200" t="str">
        <f>IF(FMS_Ranking4[[#This Row],[FMS Type]]="Infrastructure Projects",FMS_Ranking4[[#This Row],[Rank (with ArcSinh normalization of select criteria)]],"")</f>
        <v/>
      </c>
      <c r="CD28" s="200">
        <f>IF(FMS_Ranking4[[#This Row],[FMS Type]]="Other",FMS_Ranking4[[#This Row],[Rank (with ArcSinh normalization of select criteria)]],"")</f>
        <v>21</v>
      </c>
      <c r="CE28" s="201"/>
    </row>
    <row r="29" spans="2:85" ht="135" x14ac:dyDescent="0.25">
      <c r="B29" s="341" t="s">
        <v>3425</v>
      </c>
      <c r="C29" s="246">
        <f>_xlfn.XLOOKUP(FMS_Ranking4[[#This Row],[FMS ID]],FMS_Input[FMS_ID],FMS_Input[RFPG_NUM])</f>
        <v>11</v>
      </c>
      <c r="D29" s="309" t="str">
        <f>_xlfn.XLOOKUP(FMS_Ranking4[[#This Row],[FMS ID]],FMS_Input[FMS_ID],FMS_Input[FMS_NAME])</f>
        <v>Flood Measurement and Warning</v>
      </c>
      <c r="E29" s="308" t="str">
        <f>_xlfn.XLOOKUP(FMS_Ranking4[[#This Row],[FMS ID]],FMS_Input[FMS_ID],FMS_Input[SPONSOR])</f>
        <v>11003546</v>
      </c>
      <c r="F29" s="309" t="str">
        <f>_xlfn.XLOOKUP(FMS_Ranking4[[#This Row],[FMS ID]],Sponsor[FMS_ID],Sponsor[SPONSOR NAME])</f>
        <v>Guadalupe Regional Flood Planning Group</v>
      </c>
      <c r="G29" s="309" t="str">
        <f>_xlfn.XLOOKUP(FMS_Ranking4[[#This Row],[FMS ID]],FMS_Input[FMS_ID],FMS_Input[FMS_DESCR])</f>
        <v>Develop or implement programs to increase flood warning including reverse 911 systems; evacuation/emergency management plans and personnel training; NOAA all-hazards radios, and programs to increase safety at low water crossings (signs, flashers, gages)</v>
      </c>
      <c r="H29" s="248" t="str">
        <f>_xlfn.XLOOKUP(FMS_Ranking4[[#This Row],[FMS ID]],FMS_Input[FMS_ID],FMS_Input[FMS_TYPE])</f>
        <v>Flood Measurement and Warning</v>
      </c>
      <c r="I29" s="249">
        <f>_xlfn.XLOOKUP(FMS_Ranking4[[#This Row],[FMS ID]],FMS_Input[FMS_ID],FMS_Input[NRNC_COST])</f>
        <v>1000000</v>
      </c>
      <c r="J29" s="250">
        <f>_xlfn.XLOOKUP(FMS_Ranking4[[#This Row],[FMS ID]],FMS_Input[FMS_ID],FMS_Input[FMS_COST])</f>
        <v>9541000</v>
      </c>
      <c r="K29" s="251" t="str">
        <f>_xlfn.XLOOKUP(FMS_Ranking4[[#This Row],[FMS ID]],FMS_Input[FMS_ID],FMS_Input[EMER_NEED])</f>
        <v>No</v>
      </c>
      <c r="L29" s="252">
        <f t="shared" si="0"/>
        <v>0</v>
      </c>
      <c r="M29" s="253">
        <f>_xlfn.XLOOKUP(FMS_Ranking4[[#This Row],[FMS ID]],FMS_Input[FMS_ID],FMS_Input[STRUCT_100])</f>
        <v>27069</v>
      </c>
      <c r="N29" s="255">
        <f>(ASINH(FMS_Ranking4[[#This Row],[Structure at Risk Raw]]))*(10)/(ASINH(M$4))</f>
        <v>8.5684660487830211</v>
      </c>
      <c r="O29" s="256">
        <f>FMS_Ranking4[[#This Row],[Structures at risk, ArcSinh (0-10)]]*M$5*10</f>
        <v>8.5684660487830211</v>
      </c>
      <c r="P29" s="253">
        <f>_xlfn.XLOOKUP(FMS_Ranking4[[#This Row],[FMS ID]],FMS_Input[FMS_ID],FMS_Input[RES_STRUCT100])</f>
        <v>18879</v>
      </c>
      <c r="Q29" s="257">
        <f>ASINH(FMS_Ranking4[[#This Row],[Res Structure Raw]])/Q$4*P$5*100</f>
        <v>0</v>
      </c>
      <c r="R29" s="253">
        <f>_xlfn.XLOOKUP(FMS_Ranking4[[#This Row],[FMS ID]],FMS_Input[FMS_ID],FMS_Input[POP100])</f>
        <v>62638</v>
      </c>
      <c r="S29" s="259">
        <f>(ASINH(FMS_Ranking4[[#This Row],[Pop at Risk Raw]]))*(10)/(ASINH(R$4))</f>
        <v>8.1036143222230006</v>
      </c>
      <c r="T29" s="256">
        <f>FMS_Ranking4[[#This Row],[Population at risk, ArcSinh (0-10)]]*R$5*10</f>
        <v>8.1036143222230006</v>
      </c>
      <c r="U29" s="253">
        <f>_xlfn.XLOOKUP(FMS_Ranking4[[#This Row],[FMS ID]],FMS_Input[FMS_ID],FMS_Input[CRITFAC100])</f>
        <v>136</v>
      </c>
      <c r="V29" s="259">
        <f>(ASINH(FMS_Ranking4[[#This Row],[Critical Facilities Raw]]))*(10)/(ASINH(U$4))</f>
        <v>6.6359634548699029</v>
      </c>
      <c r="W29" s="256">
        <f>FMS_Ranking4[[#This Row],[Critical facilities at risk, ArcSinh (0-10)]]*U$5*10</f>
        <v>6.6359634548699029</v>
      </c>
      <c r="X29" s="253">
        <f>_xlfn.XLOOKUP(FMS_Ranking4[[#This Row],[FMS ID]],FMS_Input[FMS_ID],FMS_Input[LWC])</f>
        <v>661</v>
      </c>
      <c r="Y29" s="259">
        <f>(ASINH(FMS_Ranking4[[#This Row],[LWC Raw]]))*(10)/(ASINH(X$4))</f>
        <v>9.7363670941482745</v>
      </c>
      <c r="Z29" s="256">
        <f>FMS_Ranking4[[#This Row],[LWC, ArcSInh (0-10)]]*X$5*10</f>
        <v>9.7363670941482745</v>
      </c>
      <c r="AA29" s="253">
        <f>_xlfn.XLOOKUP(FMS_Ranking4[[#This Row],[FMS ID]],FMS_Input[FMS_ID],FMS_Input[ROADCLS])</f>
        <v>0</v>
      </c>
      <c r="AB29" s="255">
        <f>(ASINH(FMS_Ranking4[[#This Row],[Road Closures Raw]]))*(10)/(ASINH(AA$4))</f>
        <v>0</v>
      </c>
      <c r="AC29" s="256">
        <f>FMS_Ranking4[[#This Row],[Road closures, ArcSinh (0-10)]]*AA$5*10</f>
        <v>0</v>
      </c>
      <c r="AD29" s="253">
        <f>_xlfn.XLOOKUP(FMS_Ranking4[[#This Row],[FMS ID]],FMS_Input[FMS_ID],FMS_Input[ROAD_MILES100])</f>
        <v>935</v>
      </c>
      <c r="AE29" s="259">
        <f>(ASINH(FMS_Ranking4[[#This Row],[Road Miles Raw]]))*(10)/(ASINH(AD$4))</f>
        <v>8.028845097682872</v>
      </c>
      <c r="AF29" s="256">
        <f>FMS_Ranking4[[#This Row],[Length of roads at risk, ArcSinh (0-10)]]*AD$5*10</f>
        <v>8.028845097682872</v>
      </c>
      <c r="AG29" s="253">
        <f>_xlfn.XLOOKUP(FMS_Ranking4[[#This Row],[FMS ID]],FMS_Input[FMS_ID],FMS_Input[FARMACRE100])</f>
        <v>360251.3125</v>
      </c>
      <c r="AH29" s="255">
        <f>(ASINH(FMS_Ranking4[[#This Row],[Ag Land Raw]]))*(10)/(ASINH(AG$4))</f>
        <v>8.7613628013886231</v>
      </c>
      <c r="AI29" s="260">
        <f>FMS_Ranking4[[#This Row],[Farm &amp; ranch land, ArcSinh (0-10)]]*AG$5*10</f>
        <v>4.3806814006943116</v>
      </c>
      <c r="AJ29" s="258">
        <f>_xlfn.XLOOKUP(FMS_Ranking4[[#This Row],[FMS ID]],FMS_Input[FMS_ID],FMS_Input[REDSTRUCT100])</f>
        <v>0</v>
      </c>
      <c r="AK29" s="253">
        <f>_xlfn.XLOOKUP(FMS_Ranking4[[#This Row],[FMS ID]],FMS_Input[FMS_ID],FMS_Input[REMSTRC100])</f>
        <v>0</v>
      </c>
      <c r="AL29" s="259">
        <f>(ASINH(FMS_Ranking4[[#This Row],[Structures Removed Raw]]))*(10)/(ASINH(AK$4))</f>
        <v>0</v>
      </c>
      <c r="AM29" s="262">
        <f>FMS_Ranking4[[#This Row],[Structures removed, ArcSinh (0-10)]]*AK$5*10</f>
        <v>0</v>
      </c>
      <c r="AN29" s="253">
        <f>_xlfn.XLOOKUP(FMS_Ranking4[[#This Row],[FMS ID]],FMS_Input[FMS_ID],FMS_Input[REMRESSTRC100])</f>
        <v>0</v>
      </c>
      <c r="AO29" s="261">
        <f>FMS_Ranking4[[#This Row],[ArcSinh Res struct removed 0-10]]*AN$5*10</f>
        <v>0</v>
      </c>
      <c r="AP29" s="254">
        <f>ASINH(FMS_Ranking4[[#This Row],[Residential Structures Removed Raw]])/AP$4*AN$5*100</f>
        <v>0</v>
      </c>
      <c r="AQ29" s="254">
        <f>(ASINH(FMS_Ranking4[[#This Row],[Residential Structures Removed Raw]]))*(10)/(ASINH(AN$4))</f>
        <v>0</v>
      </c>
      <c r="AR29" s="253">
        <f>_xlfn.XLOOKUP(FMS_Ranking4[[#This Row],[FMS ID]],FMS_Input[FMS_ID],FMS_Input[REMPOP100])</f>
        <v>0</v>
      </c>
      <c r="AS29" s="259">
        <f>(ASINH(FMS_Ranking4[[#This Row],[Removed Pop Raw]]))*(10)/(ASINH(AR$4))</f>
        <v>0</v>
      </c>
      <c r="AT29" s="262">
        <f>FMS_Ranking4[[#This Row],[Removed population, ArcSinh (0-10)]]*AR$5*10</f>
        <v>0</v>
      </c>
      <c r="AU29" s="264">
        <f>_xlfn.XLOOKUP(FMS_Ranking4[[#This Row],[FMS ID]],FMS_Input[FMS_ID],FMS_Input[REMCRITFAC100])</f>
        <v>0</v>
      </c>
      <c r="AV29" s="264">
        <f>_xlfn.XLOOKUP(FMS_Ranking4[[#This Row],[FMS ID]],FMS_Input[FMS_ID],FMS_Input[REMLWC100])</f>
        <v>0</v>
      </c>
      <c r="AW29" s="264">
        <f>_xlfn.XLOOKUP(FMS_Ranking4[[#This Row],[FMS ID]],FMS_Input[FMS_ID],FMS_Input[REMROADCLS])</f>
        <v>0</v>
      </c>
      <c r="AX29" s="264">
        <f>_xlfn.XLOOKUP(FMS_Ranking4[[#This Row],[FMS ID]],FMS_Input[FMS_ID],FMS_Input[REMFRMACRE100])</f>
        <v>0</v>
      </c>
      <c r="AY29" s="258">
        <f>_xlfn.XLOOKUP(FMS_Ranking4[[#This Row],[FMS ID]],FMS_Input[FMS_ID],FMS_Input[COSTSTRUCT])</f>
        <v>0</v>
      </c>
      <c r="AZ29" s="253">
        <f>_xlfn.XLOOKUP(FMS_Ranking4[[#This Row],[FMS ID]],FMS_Input[FMS_ID],FMS_Input[NATURE])</f>
        <v>0</v>
      </c>
      <c r="BA29" s="262">
        <f>(((FMS_Ranking4[[#This Row],[% NBS Raw]]/AZ$4)*100)*AZ$5)</f>
        <v>0</v>
      </c>
      <c r="BB29" s="251" t="str">
        <f>_xlfn.XLOOKUP(FMS_Ranking4[[#This Row],[FMS ID]],FMS_Input[FMS_ID],FMS_Input[WATER_SUP])</f>
        <v>No</v>
      </c>
      <c r="BC29" s="265">
        <f>IF(FMS_Ranking4[[#This Row],[Water Supply Raw]]="Yes",10,0)</f>
        <v>0</v>
      </c>
      <c r="BD29" s="266">
        <f>_xlfn.XLOOKUP(FMS_Ranking4[[#This Row],[FMS Type]],FMS_TYPE[FMS_Type],FMS_TYPE[Score])</f>
        <v>10</v>
      </c>
      <c r="BE29" s="267">
        <f>FMS_Ranking4[[#This Row],[FMS_Type Score]]*$BD$5*10</f>
        <v>2.5</v>
      </c>
      <c r="BF2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13.390546788117057</v>
      </c>
      <c r="BG29" s="271">
        <f>_xlfn.RANK.EQ(BF29,$BF$8:$BF$870,0)+COUNTIF($BF$8:BF29,BF29)-1</f>
        <v>26</v>
      </c>
      <c r="BH29" s="268">
        <f>(((FMS_Ranking4[[#This Row],[Structures Removed Raw]]/AK$4)*100)*AK$5)+(((FMS_Ranking4[[#This Row],[Removed Pop Raw]]/AR$4)*100)*AR$5)</f>
        <v>0</v>
      </c>
      <c r="BI2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15.890546788117057</v>
      </c>
      <c r="BJ29" s="205">
        <f>_xlfn.RANK.EQ(FMS_Ranking4[[#This Row],[Total Score 
(with linear
normalization)]],FMS_Ranking4[Total Score 
(with linear
normalization)],0)</f>
        <v>28</v>
      </c>
      <c r="BK29" s="205" t="e">
        <f>_xlfn.XLOOKUP(FMS_Ranking4[[#This Row],[FMS ID]],#REF!,#REF!)</f>
        <v>#REF!</v>
      </c>
      <c r="BL2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45.453937418401381</v>
      </c>
      <c r="BM29" s="272">
        <f>FMS_Ranking4[[#This Row],[ArcSinh Score Based on Normalized Reported Factors]]+FMS_Ranking4[[#This Row],[% NBS Score (Normalized)]]+(FMS_Ranking4[[#This Row],[Water Supply Score (Normalized)]]*10*$BB$5)+FMS_Ranking4[[#This Row],[FMS_Type Score Weighted]]</f>
        <v>47.953937418401381</v>
      </c>
      <c r="BN29" s="205">
        <f>_xlfn.RANK.EQ(FMS_Ranking4[[#This Row],[Total Score (with ArcSinh normalization of select criteria)]],FMS_Ranking4[Total Score (with ArcSinh normalization of select criteria)],0)</f>
        <v>22</v>
      </c>
      <c r="BO29" s="270" t="str">
        <f>_xlfn.XLOOKUP(FMS_Ranking4[[#This Row],[FMS ID]],FMS_Input[FMS_ID],FMS_Input[FMS_RANK_YEAR])</f>
        <v>2023 Amended Plan</v>
      </c>
      <c r="BP29" s="204">
        <f>_xlfn.XLOOKUP(FMS_Ranking4[[#This Row],[FMS ID]],Prev_Rank[FMS ID],Prev_Rank[Prev Rank])</f>
        <v>23</v>
      </c>
      <c r="BQ29" s="205" t="e">
        <f>_xlfn.XLOOKUP(FMS_Ranking4[[#This Row],[FMS ID]],#REF!,#REF!)</f>
        <v>#REF!</v>
      </c>
      <c r="BR29" s="199" t="e">
        <f>SUM(#REF!,#REF!,#REF!,#REF!,#REF!,#REF!,#REF!,#REF!,#REF!,FMS_Ranking4[[#This Row],[ArcSinh Res struct removed 0-10]],#REF!)</f>
        <v>#REF!</v>
      </c>
      <c r="BS29" s="199" t="e">
        <f>FMS_Ranking4[[#This Row],[Log Score Based on Normalized Reported Factors]]+FMS_Ranking4[[#This Row],[% NBS Score (Normalized)]]+(FMS_Ranking4[[#This Row],[Water Supply Score (Normalized)]]*10*$BB$5)+(FMS_Ranking4[[#This Row],[FMS_Type Score Weighted]])</f>
        <v>#REF!</v>
      </c>
      <c r="BT29" s="200" t="e">
        <f>_xlfn.RANK.EQ(FMS_Ranking4[[#This Row],[Log Total Score]],FMS_Ranking4[Log Total Score],0)</f>
        <v>#REF!</v>
      </c>
      <c r="BU29" s="200" t="e">
        <f>_xlfn.XLOOKUP(FMS_Ranking4[[#This Row],[FMS ID]],#REF!,#REF!)</f>
        <v>#REF!</v>
      </c>
      <c r="BV29" s="200">
        <f>FMS_Ranking4[[#This Row],[Region Number]]</f>
        <v>11</v>
      </c>
      <c r="BW29" s="200">
        <f>FMS_Ranking4[[#This Row],[Rank (with ArcSinh normalization of select criteria)]]-FMS_Ranking4[[#This Row],[Rank
(with linear
normalization)]]</f>
        <v>-6</v>
      </c>
      <c r="BX29" s="200" t="e">
        <f>FMS_Ranking4[[#This Row],[Log Rank]]-FMS_Ranking4[[#This Row],[Rank
(with linear
normalization)]]</f>
        <v>#REF!</v>
      </c>
      <c r="BY29" s="200">
        <f>IF(FMS_Ranking4[[#This Row],[FMS Type]]="Flood Measurement and Warning",FMS_Ranking4[[#This Row],[Rank (with ArcSinh normalization of select criteria)]],"")</f>
        <v>22</v>
      </c>
      <c r="BZ29" s="200" t="str">
        <f>IF(FMS_Ranking4[[#This Row],[FMS Type]]="Regulatory and Guidance",FMS_Ranking4[[#This Row],[Rank (with ArcSinh normalization of select criteria)]],"")</f>
        <v/>
      </c>
      <c r="CA29" s="200" t="str">
        <f>IF(FMS_Ranking4[[#This Row],[FMS Type]]="Education and Outreach",FMS_Ranking4[[#This Row],[Rank (with ArcSinh normalization of select criteria)]],"")</f>
        <v/>
      </c>
      <c r="CB29" s="200" t="str">
        <f>IF(FMS_Ranking4[[#This Row],[FMS Type]]="Property Acquisition and Structural Elevation",FMS_Ranking4[[#This Row],[Rank (with ArcSinh normalization of select criteria)]],"")</f>
        <v/>
      </c>
      <c r="CC29" s="200" t="str">
        <f>IF(FMS_Ranking4[[#This Row],[FMS Type]]="Infrastructure Projects",FMS_Ranking4[[#This Row],[Rank (with ArcSinh normalization of select criteria)]],"")</f>
        <v/>
      </c>
      <c r="CD29" s="200" t="str">
        <f>IF(FMS_Ranking4[[#This Row],[FMS Type]]="Other",FMS_Ranking4[[#This Row],[Rank (with ArcSinh normalization of select criteria)]],"")</f>
        <v/>
      </c>
      <c r="CE29" s="201"/>
    </row>
    <row r="30" spans="2:85" ht="45" x14ac:dyDescent="0.25">
      <c r="B30" s="341" t="s">
        <v>950</v>
      </c>
      <c r="C30" s="246">
        <f>_xlfn.XLOOKUP(FMS_Ranking4[[#This Row],[FMS ID]],FMS_Input[FMS_ID],FMS_Input[RFPG_NUM])</f>
        <v>9</v>
      </c>
      <c r="D30" s="309" t="str">
        <f>_xlfn.XLOOKUP(FMS_Ranking4[[#This Row],[FMS ID]],FMS_Input[FMS_ID],FMS_Input[FMS_NAME])</f>
        <v>Howard County DCM</v>
      </c>
      <c r="E30" s="308" t="str">
        <f>_xlfn.XLOOKUP(FMS_Ranking4[[#This Row],[FMS ID]],FMS_Input[FMS_ID],FMS_Input[SPONSOR])</f>
        <v>09000173</v>
      </c>
      <c r="F30" s="309" t="str">
        <f>_xlfn.XLOOKUP(FMS_Ranking4[[#This Row],[FMS ID]],Sponsor[FMS_ID],Sponsor[SPONSOR NAME])</f>
        <v>Howard</v>
      </c>
      <c r="G30" s="309" t="str">
        <f>_xlfn.XLOOKUP(FMS_Ranking4[[#This Row],[FMS ID]],FMS_Input[FMS_ID],FMS_Input[FMS_DESCR])</f>
        <v>Outreach Program: Discuss Stormwater Criteria Design Manual</v>
      </c>
      <c r="H30" s="248" t="str">
        <f>_xlfn.XLOOKUP(FMS_Ranking4[[#This Row],[FMS ID]],FMS_Input[FMS_ID],FMS_Input[FMS_TYPE])</f>
        <v>Other</v>
      </c>
      <c r="I30" s="249">
        <f>_xlfn.XLOOKUP(FMS_Ranking4[[#This Row],[FMS ID]],FMS_Input[FMS_ID],FMS_Input[NRNC_COST])</f>
        <v>75000</v>
      </c>
      <c r="J30" s="250">
        <f>_xlfn.XLOOKUP(FMS_Ranking4[[#This Row],[FMS ID]],FMS_Input[FMS_ID],FMS_Input[FMS_COST])</f>
        <v>100000</v>
      </c>
      <c r="K30" s="251" t="str">
        <f>_xlfn.XLOOKUP(FMS_Ranking4[[#This Row],[FMS ID]],FMS_Input[FMS_ID],FMS_Input[EMER_NEED])</f>
        <v>No</v>
      </c>
      <c r="L30" s="252">
        <f t="shared" si="0"/>
        <v>0</v>
      </c>
      <c r="M30" s="253">
        <f>_xlfn.XLOOKUP(FMS_Ranking4[[#This Row],[FMS ID]],FMS_Input[FMS_ID],FMS_Input[STRUCT_100])</f>
        <v>1372</v>
      </c>
      <c r="N30" s="255">
        <f>(ASINH(FMS_Ranking4[[#This Row],[Structure at Risk Raw]]))*(10)/(ASINH(M$4))</f>
        <v>6.2240761034934575</v>
      </c>
      <c r="O30" s="256">
        <f>FMS_Ranking4[[#This Row],[Structures at risk, ArcSinh (0-10)]]*M$5*10</f>
        <v>6.2240761034934575</v>
      </c>
      <c r="P30" s="253">
        <f>_xlfn.XLOOKUP(FMS_Ranking4[[#This Row],[FMS ID]],FMS_Input[FMS_ID],FMS_Input[RES_STRUCT100])</f>
        <v>662</v>
      </c>
      <c r="Q30" s="257">
        <f>ASINH(FMS_Ranking4[[#This Row],[Res Structure Raw]])/Q$4*P$5*100</f>
        <v>0</v>
      </c>
      <c r="R30" s="253">
        <f>_xlfn.XLOOKUP(FMS_Ranking4[[#This Row],[FMS ID]],FMS_Input[FMS_ID],FMS_Input[POP100])</f>
        <v>3981</v>
      </c>
      <c r="S30" s="259">
        <f>(ASINH(FMS_Ranking4[[#This Row],[Pop at Risk Raw]]))*(10)/(ASINH(R$4))</f>
        <v>6.2010981778101382</v>
      </c>
      <c r="T30" s="256">
        <f>FMS_Ranking4[[#This Row],[Population at risk, ArcSinh (0-10)]]*R$5*10</f>
        <v>6.2010981778101382</v>
      </c>
      <c r="U30" s="253">
        <f>_xlfn.XLOOKUP(FMS_Ranking4[[#This Row],[FMS ID]],FMS_Input[FMS_ID],FMS_Input[CRITFAC100])</f>
        <v>1</v>
      </c>
      <c r="V30" s="259">
        <f>(ASINH(FMS_Ranking4[[#This Row],[Critical Facilities Raw]]))*(10)/(ASINH(U$4))</f>
        <v>1.0433384451410745</v>
      </c>
      <c r="W30" s="256">
        <f>FMS_Ranking4[[#This Row],[Critical facilities at risk, ArcSinh (0-10)]]*U$5*10</f>
        <v>1.0433384451410745</v>
      </c>
      <c r="X30" s="253">
        <f>_xlfn.XLOOKUP(FMS_Ranking4[[#This Row],[FMS ID]],FMS_Input[FMS_ID],FMS_Input[LWC])</f>
        <v>20</v>
      </c>
      <c r="Y30" s="259">
        <f>(ASINH(FMS_Ranking4[[#This Row],[LWC Raw]]))*(10)/(ASINH(X$4))</f>
        <v>4.998310273339353</v>
      </c>
      <c r="Z30" s="256">
        <f>FMS_Ranking4[[#This Row],[LWC, ArcSInh (0-10)]]*X$5*10</f>
        <v>4.998310273339353</v>
      </c>
      <c r="AA30" s="253">
        <f>_xlfn.XLOOKUP(FMS_Ranking4[[#This Row],[FMS ID]],FMS_Input[FMS_ID],FMS_Input[ROADCLS])</f>
        <v>0</v>
      </c>
      <c r="AB30" s="255">
        <f>(ASINH(FMS_Ranking4[[#This Row],[Road Closures Raw]]))*(10)/(ASINH(AA$4))</f>
        <v>0</v>
      </c>
      <c r="AC30" s="256">
        <f>FMS_Ranking4[[#This Row],[Road closures, ArcSinh (0-10)]]*AA$5*10</f>
        <v>0</v>
      </c>
      <c r="AD30" s="253">
        <f>_xlfn.XLOOKUP(FMS_Ranking4[[#This Row],[FMS ID]],FMS_Input[FMS_ID],FMS_Input[ROAD_MILES100])</f>
        <v>196</v>
      </c>
      <c r="AE30" s="259">
        <f>(ASINH(FMS_Ranking4[[#This Row],[Road Miles Raw]]))*(10)/(ASINH(AD$4))</f>
        <v>6.3637292176791531</v>
      </c>
      <c r="AF30" s="256">
        <f>FMS_Ranking4[[#This Row],[Length of roads at risk, ArcSinh (0-10)]]*AD$5*10</f>
        <v>6.363729217679154</v>
      </c>
      <c r="AG30" s="253">
        <f>_xlfn.XLOOKUP(FMS_Ranking4[[#This Row],[FMS ID]],FMS_Input[FMS_ID],FMS_Input[FARMACRE100])</f>
        <v>35444.83984375</v>
      </c>
      <c r="AH30" s="255">
        <f>(ASINH(FMS_Ranking4[[#This Row],[Ag Land Raw]]))*(10)/(ASINH(AG$4))</f>
        <v>7.2550975723349937</v>
      </c>
      <c r="AI30" s="260">
        <f>FMS_Ranking4[[#This Row],[Farm &amp; ranch land, ArcSinh (0-10)]]*AG$5*10</f>
        <v>3.6275487861674973</v>
      </c>
      <c r="AJ30" s="258">
        <f>_xlfn.XLOOKUP(FMS_Ranking4[[#This Row],[FMS ID]],FMS_Input[FMS_ID],FMS_Input[REDSTRUCT100])</f>
        <v>343</v>
      </c>
      <c r="AK30" s="253">
        <f>_xlfn.XLOOKUP(FMS_Ranking4[[#This Row],[FMS ID]],FMS_Input[FMS_ID],FMS_Input[REMSTRC100])</f>
        <v>343</v>
      </c>
      <c r="AL30" s="259">
        <f>(ASINH(FMS_Ranking4[[#This Row],[Structures Removed Raw]]))*(10)/(ASINH(AK$4))</f>
        <v>7.4358727767412924</v>
      </c>
      <c r="AM30" s="262">
        <f>FMS_Ranking4[[#This Row],[Structures removed, ArcSinh (0-10)]]*AK$5*10</f>
        <v>7.4358727767412924</v>
      </c>
      <c r="AN30" s="253">
        <f>_xlfn.XLOOKUP(FMS_Ranking4[[#This Row],[FMS ID]],FMS_Input[FMS_ID],FMS_Input[REMRESSTRC100])</f>
        <v>165</v>
      </c>
      <c r="AO30" s="261">
        <f>FMS_Ranking4[[#This Row],[ArcSinh Res struct removed 0-10]]*AN$5*10</f>
        <v>3.4013267108902054</v>
      </c>
      <c r="AP30" s="254">
        <f>ASINH(FMS_Ranking4[[#This Row],[Residential Structures Removed Raw]])/AP$4*AN$5*100</f>
        <v>3.4013267108902054</v>
      </c>
      <c r="AQ30" s="254">
        <f>(ASINH(FMS_Ranking4[[#This Row],[Residential Structures Removed Raw]]))*(10)/(ASINH(AN$4))</f>
        <v>6.8026534217804109</v>
      </c>
      <c r="AR30" s="253">
        <f>_xlfn.XLOOKUP(FMS_Ranking4[[#This Row],[FMS ID]],FMS_Input[FMS_ID],FMS_Input[REMPOP100])</f>
        <v>1248</v>
      </c>
      <c r="AS30" s="259">
        <f>(ASINH(FMS_Ranking4[[#This Row],[Removed Pop Raw]]))*(10)/(ASINH(AR$4))</f>
        <v>7.6786718167013479</v>
      </c>
      <c r="AT30" s="262">
        <f>FMS_Ranking4[[#This Row],[Removed population, ArcSinh (0-10)]]*AR$5*10</f>
        <v>7.6786718167013479</v>
      </c>
      <c r="AU30" s="264">
        <f>_xlfn.XLOOKUP(FMS_Ranking4[[#This Row],[FMS ID]],FMS_Input[FMS_ID],FMS_Input[REMCRITFAC100])</f>
        <v>0</v>
      </c>
      <c r="AV30" s="264">
        <f>_xlfn.XLOOKUP(FMS_Ranking4[[#This Row],[FMS ID]],FMS_Input[FMS_ID],FMS_Input[REMLWC100])</f>
        <v>5</v>
      </c>
      <c r="AW30" s="264">
        <f>_xlfn.XLOOKUP(FMS_Ranking4[[#This Row],[FMS ID]],FMS_Input[FMS_ID],FMS_Input[REMROADCLS])</f>
        <v>0</v>
      </c>
      <c r="AX30" s="264">
        <f>_xlfn.XLOOKUP(FMS_Ranking4[[#This Row],[FMS ID]],FMS_Input[FMS_ID],FMS_Input[REMFRMACRE100])</f>
        <v>8861.2099609375</v>
      </c>
      <c r="AY30" s="258">
        <f>_xlfn.XLOOKUP(FMS_Ranking4[[#This Row],[FMS ID]],FMS_Input[FMS_ID],FMS_Input[COSTSTRUCT])</f>
        <v>25000</v>
      </c>
      <c r="AZ30" s="253">
        <f>_xlfn.XLOOKUP(FMS_Ranking4[[#This Row],[FMS ID]],FMS_Input[FMS_ID],FMS_Input[NATURE])</f>
        <v>0</v>
      </c>
      <c r="BA30" s="262">
        <f>(((FMS_Ranking4[[#This Row],[% NBS Raw]]/AZ$4)*100)*AZ$5)</f>
        <v>0</v>
      </c>
      <c r="BB30" s="251" t="str">
        <f>_xlfn.XLOOKUP(FMS_Ranking4[[#This Row],[FMS ID]],FMS_Input[FMS_ID],FMS_Input[WATER_SUP])</f>
        <v>No</v>
      </c>
      <c r="BC30" s="265">
        <f>IF(FMS_Ranking4[[#This Row],[Water Supply Raw]]="Yes",10,0)</f>
        <v>0</v>
      </c>
      <c r="BD30" s="266">
        <f>_xlfn.XLOOKUP(FMS_Ranking4[[#This Row],[FMS Type]],FMS_TYPE[FMS_Type],FMS_TYPE[Score])</f>
        <v>2</v>
      </c>
      <c r="BE30" s="267">
        <f>FMS_Ranking4[[#This Row],[FMS_Type Score]]*$BD$5*10</f>
        <v>0.5</v>
      </c>
      <c r="BF3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0.77897693841952653</v>
      </c>
      <c r="BG30" s="271">
        <f>_xlfn.RANK.EQ(BF30,$BF$8:$BF$870,0)+COUNTIF($BF$8:BF30,BF30)-1</f>
        <v>175</v>
      </c>
      <c r="BH30" s="268">
        <f>(((FMS_Ranking4[[#This Row],[Structures Removed Raw]]/AK$4)*100)*AK$5)+(((FMS_Ranking4[[#This Row],[Removed Pop Raw]]/AR$4)*100)*AR$5)</f>
        <v>1.9915128701681239</v>
      </c>
      <c r="BI3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3.2704898085876506</v>
      </c>
      <c r="BJ30" s="205">
        <f>_xlfn.RANK.EQ(FMS_Ranking4[[#This Row],[Total Score 
(with linear
normalization)]],FMS_Ranking4[Total Score 
(with linear
normalization)],0)</f>
        <v>156</v>
      </c>
      <c r="BK30" s="205" t="e">
        <f>_xlfn.XLOOKUP(FMS_Ranking4[[#This Row],[FMS ID]],#REF!,#REF!)</f>
        <v>#REF!</v>
      </c>
      <c r="BL3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46.973972307963514</v>
      </c>
      <c r="BM30" s="272">
        <f>FMS_Ranking4[[#This Row],[ArcSinh Score Based on Normalized Reported Factors]]+FMS_Ranking4[[#This Row],[% NBS Score (Normalized)]]+(FMS_Ranking4[[#This Row],[Water Supply Score (Normalized)]]*10*$BB$5)+FMS_Ranking4[[#This Row],[FMS_Type Score Weighted]]</f>
        <v>47.473972307963514</v>
      </c>
      <c r="BN30" s="205">
        <f>_xlfn.RANK.EQ(FMS_Ranking4[[#This Row],[Total Score (with ArcSinh normalization of select criteria)]],FMS_Ranking4[Total Score (with ArcSinh normalization of select criteria)],0)</f>
        <v>23</v>
      </c>
      <c r="BO30" s="270" t="str">
        <f>_xlfn.XLOOKUP(FMS_Ranking4[[#This Row],[FMS ID]],FMS_Input[FMS_ID],FMS_Input[FMS_RANK_YEAR])</f>
        <v>2023 Amended Plan</v>
      </c>
      <c r="BP30" s="204">
        <f>_xlfn.XLOOKUP(FMS_Ranking4[[#This Row],[FMS ID]],Prev_Rank[FMS ID],Prev_Rank[Prev Rank])</f>
        <v>40</v>
      </c>
      <c r="BQ30" s="205" t="e">
        <f>_xlfn.XLOOKUP(FMS_Ranking4[[#This Row],[FMS ID]],#REF!,#REF!)</f>
        <v>#REF!</v>
      </c>
      <c r="BR30" s="199" t="e">
        <f>SUM(#REF!,#REF!,#REF!,#REF!,#REF!,#REF!,#REF!,#REF!,#REF!,FMS_Ranking4[[#This Row],[ArcSinh Res struct removed 0-10]],#REF!)</f>
        <v>#REF!</v>
      </c>
      <c r="BS30" s="199" t="e">
        <f>FMS_Ranking4[[#This Row],[Log Score Based on Normalized Reported Factors]]+FMS_Ranking4[[#This Row],[% NBS Score (Normalized)]]+(FMS_Ranking4[[#This Row],[Water Supply Score (Normalized)]]*10*$BB$5)+(FMS_Ranking4[[#This Row],[FMS_Type Score Weighted]])</f>
        <v>#REF!</v>
      </c>
      <c r="BT30" s="200" t="e">
        <f>_xlfn.RANK.EQ(FMS_Ranking4[[#This Row],[Log Total Score]],FMS_Ranking4[Log Total Score],0)</f>
        <v>#REF!</v>
      </c>
      <c r="BU30" s="200" t="e">
        <f>_xlfn.XLOOKUP(FMS_Ranking4[[#This Row],[FMS ID]],#REF!,#REF!)</f>
        <v>#REF!</v>
      </c>
      <c r="BV30" s="200">
        <f>FMS_Ranking4[[#This Row],[Region Number]]</f>
        <v>9</v>
      </c>
      <c r="BW30" s="200">
        <f>FMS_Ranking4[[#This Row],[Rank (with ArcSinh normalization of select criteria)]]-FMS_Ranking4[[#This Row],[Rank
(with linear
normalization)]]</f>
        <v>-133</v>
      </c>
      <c r="BX30" s="200" t="e">
        <f>FMS_Ranking4[[#This Row],[Log Rank]]-FMS_Ranking4[[#This Row],[Rank
(with linear
normalization)]]</f>
        <v>#REF!</v>
      </c>
      <c r="BY30" s="200" t="str">
        <f>IF(FMS_Ranking4[[#This Row],[FMS Type]]="Flood Measurement and Warning",FMS_Ranking4[[#This Row],[Rank (with ArcSinh normalization of select criteria)]],"")</f>
        <v/>
      </c>
      <c r="BZ30" s="200" t="str">
        <f>IF(FMS_Ranking4[[#This Row],[FMS Type]]="Regulatory and Guidance",FMS_Ranking4[[#This Row],[Rank (with ArcSinh normalization of select criteria)]],"")</f>
        <v/>
      </c>
      <c r="CA30" s="200" t="str">
        <f>IF(FMS_Ranking4[[#This Row],[FMS Type]]="Education and Outreach",FMS_Ranking4[[#This Row],[Rank (with ArcSinh normalization of select criteria)]],"")</f>
        <v/>
      </c>
      <c r="CB30" s="200" t="str">
        <f>IF(FMS_Ranking4[[#This Row],[FMS Type]]="Property Acquisition and Structural Elevation",FMS_Ranking4[[#This Row],[Rank (with ArcSinh normalization of select criteria)]],"")</f>
        <v/>
      </c>
      <c r="CC30" s="200" t="str">
        <f>IF(FMS_Ranking4[[#This Row],[FMS Type]]="Infrastructure Projects",FMS_Ranking4[[#This Row],[Rank (with ArcSinh normalization of select criteria)]],"")</f>
        <v/>
      </c>
      <c r="CD30" s="200">
        <f>IF(FMS_Ranking4[[#This Row],[FMS Type]]="Other",FMS_Ranking4[[#This Row],[Rank (with ArcSinh normalization of select criteria)]],"")</f>
        <v>23</v>
      </c>
      <c r="CE30" s="201"/>
    </row>
    <row r="31" spans="2:85" ht="30" x14ac:dyDescent="0.25">
      <c r="B31" s="341" t="s">
        <v>997</v>
      </c>
      <c r="C31" s="246">
        <f>_xlfn.XLOOKUP(FMS_Ranking4[[#This Row],[FMS ID]],FMS_Input[FMS_ID],FMS_Input[RFPG_NUM])</f>
        <v>9</v>
      </c>
      <c r="D31" s="309" t="str">
        <f>_xlfn.XLOOKUP(FMS_Ranking4[[#This Row],[FMS ID]],FMS_Input[FMS_ID],FMS_Input[FMS_NAME])</f>
        <v>Howard County NFIP Application</v>
      </c>
      <c r="E31" s="308" t="str">
        <f>_xlfn.XLOOKUP(FMS_Ranking4[[#This Row],[FMS ID]],FMS_Input[FMS_ID],FMS_Input[SPONSOR])</f>
        <v>09000173</v>
      </c>
      <c r="F31" s="309" t="str">
        <f>_xlfn.XLOOKUP(FMS_Ranking4[[#This Row],[FMS ID]],Sponsor[FMS_ID],Sponsor[SPONSOR NAME])</f>
        <v>Howard</v>
      </c>
      <c r="G31" s="309" t="str">
        <f>_xlfn.XLOOKUP(FMS_Ranking4[[#This Row],[FMS ID]],FMS_Input[FMS_ID],FMS_Input[FMS_DESCR])</f>
        <v>Application to join the NFIP</v>
      </c>
      <c r="H31" s="248" t="str">
        <f>_xlfn.XLOOKUP(FMS_Ranking4[[#This Row],[FMS ID]],FMS_Input[FMS_ID],FMS_Input[FMS_TYPE])</f>
        <v>Other</v>
      </c>
      <c r="I31" s="249">
        <f>_xlfn.XLOOKUP(FMS_Ranking4[[#This Row],[FMS ID]],FMS_Input[FMS_ID],FMS_Input[NRNC_COST])</f>
        <v>5000</v>
      </c>
      <c r="J31" s="250">
        <f>_xlfn.XLOOKUP(FMS_Ranking4[[#This Row],[FMS ID]],FMS_Input[FMS_ID],FMS_Input[FMS_COST])</f>
        <v>30000</v>
      </c>
      <c r="K31" s="251" t="str">
        <f>_xlfn.XLOOKUP(FMS_Ranking4[[#This Row],[FMS ID]],FMS_Input[FMS_ID],FMS_Input[EMER_NEED])</f>
        <v>No</v>
      </c>
      <c r="L31" s="252">
        <f t="shared" si="0"/>
        <v>0</v>
      </c>
      <c r="M31" s="253">
        <f>_xlfn.XLOOKUP(FMS_Ranking4[[#This Row],[FMS ID]],FMS_Input[FMS_ID],FMS_Input[STRUCT_100])</f>
        <v>1372</v>
      </c>
      <c r="N31" s="255">
        <f>(ASINH(FMS_Ranking4[[#This Row],[Structure at Risk Raw]]))*(10)/(ASINH(M$4))</f>
        <v>6.2240761034934575</v>
      </c>
      <c r="O31" s="256">
        <f>FMS_Ranking4[[#This Row],[Structures at risk, ArcSinh (0-10)]]*M$5*10</f>
        <v>6.2240761034934575</v>
      </c>
      <c r="P31" s="253">
        <f>_xlfn.XLOOKUP(FMS_Ranking4[[#This Row],[FMS ID]],FMS_Input[FMS_ID],FMS_Input[RES_STRUCT100])</f>
        <v>662</v>
      </c>
      <c r="Q31" s="257">
        <f>ASINH(FMS_Ranking4[[#This Row],[Res Structure Raw]])/Q$4*P$5*100</f>
        <v>0</v>
      </c>
      <c r="R31" s="253">
        <f>_xlfn.XLOOKUP(FMS_Ranking4[[#This Row],[FMS ID]],FMS_Input[FMS_ID],FMS_Input[POP100])</f>
        <v>3981</v>
      </c>
      <c r="S31" s="255">
        <f>(ASINH(FMS_Ranking4[[#This Row],[Pop at Risk Raw]]))*(10)/(ASINH(R$4))</f>
        <v>6.2010981778101382</v>
      </c>
      <c r="T31" s="256">
        <f>FMS_Ranking4[[#This Row],[Population at risk, ArcSinh (0-10)]]*R$5*10</f>
        <v>6.2010981778101382</v>
      </c>
      <c r="U31" s="253">
        <f>_xlfn.XLOOKUP(FMS_Ranking4[[#This Row],[FMS ID]],FMS_Input[FMS_ID],FMS_Input[CRITFAC100])</f>
        <v>1</v>
      </c>
      <c r="V31" s="255">
        <f>(ASINH(FMS_Ranking4[[#This Row],[Critical Facilities Raw]]))*(10)/(ASINH(U$4))</f>
        <v>1.0433384451410745</v>
      </c>
      <c r="W31" s="256">
        <f>FMS_Ranking4[[#This Row],[Critical facilities at risk, ArcSinh (0-10)]]*U$5*10</f>
        <v>1.0433384451410745</v>
      </c>
      <c r="X31" s="253">
        <f>_xlfn.XLOOKUP(FMS_Ranking4[[#This Row],[FMS ID]],FMS_Input[FMS_ID],FMS_Input[LWC])</f>
        <v>20</v>
      </c>
      <c r="Y31" s="255">
        <f>(ASINH(FMS_Ranking4[[#This Row],[LWC Raw]]))*(10)/(ASINH(X$4))</f>
        <v>4.998310273339353</v>
      </c>
      <c r="Z31" s="256">
        <f>FMS_Ranking4[[#This Row],[LWC, ArcSInh (0-10)]]*X$5*10</f>
        <v>4.998310273339353</v>
      </c>
      <c r="AA31" s="253">
        <f>_xlfn.XLOOKUP(FMS_Ranking4[[#This Row],[FMS ID]],FMS_Input[FMS_ID],FMS_Input[ROADCLS])</f>
        <v>0</v>
      </c>
      <c r="AB31" s="255">
        <f>(ASINH(FMS_Ranking4[[#This Row],[Road Closures Raw]]))*(10)/(ASINH(AA$4))</f>
        <v>0</v>
      </c>
      <c r="AC31" s="256">
        <f>FMS_Ranking4[[#This Row],[Road closures, ArcSinh (0-10)]]*AA$5*10</f>
        <v>0</v>
      </c>
      <c r="AD31" s="253">
        <f>_xlfn.XLOOKUP(FMS_Ranking4[[#This Row],[FMS ID]],FMS_Input[FMS_ID],FMS_Input[ROAD_MILES100])</f>
        <v>196</v>
      </c>
      <c r="AE31" s="255">
        <f>(ASINH(FMS_Ranking4[[#This Row],[Road Miles Raw]]))*(10)/(ASINH(AD$4))</f>
        <v>6.3637292176791531</v>
      </c>
      <c r="AF31" s="256">
        <f>FMS_Ranking4[[#This Row],[Length of roads at risk, ArcSinh (0-10)]]*AD$5*10</f>
        <v>6.363729217679154</v>
      </c>
      <c r="AG31" s="253">
        <f>_xlfn.XLOOKUP(FMS_Ranking4[[#This Row],[FMS ID]],FMS_Input[FMS_ID],FMS_Input[FARMACRE100])</f>
        <v>35444.83984375</v>
      </c>
      <c r="AH31" s="255">
        <f>(ASINH(FMS_Ranking4[[#This Row],[Ag Land Raw]]))*(10)/(ASINH(AG$4))</f>
        <v>7.2550975723349937</v>
      </c>
      <c r="AI31" s="260">
        <f>FMS_Ranking4[[#This Row],[Farm &amp; ranch land, ArcSinh (0-10)]]*AG$5*10</f>
        <v>3.6275487861674973</v>
      </c>
      <c r="AJ31" s="258">
        <f>_xlfn.XLOOKUP(FMS_Ranking4[[#This Row],[FMS ID]],FMS_Input[FMS_ID],FMS_Input[REDSTRUCT100])</f>
        <v>343</v>
      </c>
      <c r="AK31" s="253">
        <f>_xlfn.XLOOKUP(FMS_Ranking4[[#This Row],[FMS ID]],FMS_Input[FMS_ID],FMS_Input[REMSTRC100])</f>
        <v>343</v>
      </c>
      <c r="AL31" s="255">
        <f>(ASINH(FMS_Ranking4[[#This Row],[Structures Removed Raw]]))*(10)/(ASINH(AK$4))</f>
        <v>7.4358727767412924</v>
      </c>
      <c r="AM31" s="262">
        <f>FMS_Ranking4[[#This Row],[Structures removed, ArcSinh (0-10)]]*AK$5*10</f>
        <v>7.4358727767412924</v>
      </c>
      <c r="AN31" s="253">
        <f>_xlfn.XLOOKUP(FMS_Ranking4[[#This Row],[FMS ID]],FMS_Input[FMS_ID],FMS_Input[REMRESSTRC100])</f>
        <v>165</v>
      </c>
      <c r="AO31" s="261">
        <f>FMS_Ranking4[[#This Row],[ArcSinh Res struct removed 0-10]]*AN$5*10</f>
        <v>3.4013267108902054</v>
      </c>
      <c r="AP31" s="254">
        <f>ASINH(FMS_Ranking4[[#This Row],[Residential Structures Removed Raw]])/AP$4*AN$5*100</f>
        <v>3.4013267108902054</v>
      </c>
      <c r="AQ31" s="258">
        <f>(ASINH(FMS_Ranking4[[#This Row],[Residential Structures Removed Raw]]))*(10)/(ASINH(AN$4))</f>
        <v>6.8026534217804109</v>
      </c>
      <c r="AR31" s="253">
        <f>_xlfn.XLOOKUP(FMS_Ranking4[[#This Row],[FMS ID]],FMS_Input[FMS_ID],FMS_Input[REMPOP100])</f>
        <v>1248</v>
      </c>
      <c r="AS31" s="255">
        <f>(ASINH(FMS_Ranking4[[#This Row],[Removed Pop Raw]]))*(10)/(ASINH(AR$4))</f>
        <v>7.6786718167013479</v>
      </c>
      <c r="AT31" s="262">
        <f>FMS_Ranking4[[#This Row],[Removed population, ArcSinh (0-10)]]*AR$5*10</f>
        <v>7.6786718167013479</v>
      </c>
      <c r="AU31" s="264">
        <f>_xlfn.XLOOKUP(FMS_Ranking4[[#This Row],[FMS ID]],FMS_Input[FMS_ID],FMS_Input[REMCRITFAC100])</f>
        <v>0</v>
      </c>
      <c r="AV31" s="264">
        <f>_xlfn.XLOOKUP(FMS_Ranking4[[#This Row],[FMS ID]],FMS_Input[FMS_ID],FMS_Input[REMLWC100])</f>
        <v>5</v>
      </c>
      <c r="AW31" s="264">
        <f>_xlfn.XLOOKUP(FMS_Ranking4[[#This Row],[FMS ID]],FMS_Input[FMS_ID],FMS_Input[REMROADCLS])</f>
        <v>0</v>
      </c>
      <c r="AX31" s="264">
        <f>_xlfn.XLOOKUP(FMS_Ranking4[[#This Row],[FMS ID]],FMS_Input[FMS_ID],FMS_Input[REMFRMACRE100])</f>
        <v>8861.2099609375</v>
      </c>
      <c r="AY31" s="258">
        <f>_xlfn.XLOOKUP(FMS_Ranking4[[#This Row],[FMS ID]],FMS_Input[FMS_ID],FMS_Input[COSTSTRUCT])</f>
        <v>25000</v>
      </c>
      <c r="AZ31" s="253">
        <f>_xlfn.XLOOKUP(FMS_Ranking4[[#This Row],[FMS ID]],FMS_Input[FMS_ID],FMS_Input[NATURE])</f>
        <v>0</v>
      </c>
      <c r="BA31" s="262">
        <f>(((FMS_Ranking4[[#This Row],[% NBS Raw]]/AZ$4)*100)*AZ$5)</f>
        <v>0</v>
      </c>
      <c r="BB31" s="251" t="str">
        <f>_xlfn.XLOOKUP(FMS_Ranking4[[#This Row],[FMS ID]],FMS_Input[FMS_ID],FMS_Input[WATER_SUP])</f>
        <v>No</v>
      </c>
      <c r="BC31" s="265">
        <f>IF(FMS_Ranking4[[#This Row],[Water Supply Raw]]="Yes",10,0)</f>
        <v>0</v>
      </c>
      <c r="BD31" s="266">
        <f>_xlfn.XLOOKUP(FMS_Ranking4[[#This Row],[FMS Type]],FMS_TYPE[FMS_Type],FMS_TYPE[Score])</f>
        <v>2</v>
      </c>
      <c r="BE31" s="267">
        <f>FMS_Ranking4[[#This Row],[FMS_Type Score]]*$BD$5*10</f>
        <v>0.5</v>
      </c>
      <c r="BF3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0.77897693841952653</v>
      </c>
      <c r="BG31" s="321">
        <f>_xlfn.RANK.EQ(BF31,$BF$8:$BF$870,0)+COUNTIF($BF$8:BF31,BF31)-1</f>
        <v>176</v>
      </c>
      <c r="BH31" s="294">
        <f>(((FMS_Ranking4[[#This Row],[Structures Removed Raw]]/AK$4)*100)*AK$5)+(((FMS_Ranking4[[#This Row],[Removed Pop Raw]]/AR$4)*100)*AR$5)</f>
        <v>1.9915128701681239</v>
      </c>
      <c r="BI3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3.2704898085876506</v>
      </c>
      <c r="BJ31" s="251">
        <f>_xlfn.RANK.EQ(FMS_Ranking4[[#This Row],[Total Score 
(with linear
normalization)]],FMS_Ranking4[Total Score 
(with linear
normalization)],0)</f>
        <v>156</v>
      </c>
      <c r="BK31" s="251" t="e">
        <f>_xlfn.XLOOKUP(FMS_Ranking4[[#This Row],[FMS ID]],#REF!,#REF!)</f>
        <v>#REF!</v>
      </c>
      <c r="BL3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46.973972307963514</v>
      </c>
      <c r="BM31" s="324">
        <f>FMS_Ranking4[[#This Row],[ArcSinh Score Based on Normalized Reported Factors]]+FMS_Ranking4[[#This Row],[% NBS Score (Normalized)]]+(FMS_Ranking4[[#This Row],[Water Supply Score (Normalized)]]*10*$BB$5)+FMS_Ranking4[[#This Row],[FMS_Type Score Weighted]]</f>
        <v>47.473972307963514</v>
      </c>
      <c r="BN31" s="251">
        <f>_xlfn.RANK.EQ(FMS_Ranking4[[#This Row],[Total Score (with ArcSinh normalization of select criteria)]],FMS_Ranking4[Total Score (with ArcSinh normalization of select criteria)],0)</f>
        <v>23</v>
      </c>
      <c r="BO31" s="270" t="str">
        <f>_xlfn.XLOOKUP(FMS_Ranking4[[#This Row],[FMS ID]],FMS_Input[FMS_ID],FMS_Input[FMS_RANK_YEAR])</f>
        <v>2023 Amended Plan</v>
      </c>
      <c r="BP31" s="204">
        <f>_xlfn.XLOOKUP(FMS_Ranking4[[#This Row],[FMS ID]],Prev_Rank[FMS ID],Prev_Rank[Prev Rank])</f>
        <v>40</v>
      </c>
      <c r="BQ31" s="251" t="e">
        <f>_xlfn.XLOOKUP(FMS_Ranking4[[#This Row],[FMS ID]],#REF!,#REF!)</f>
        <v>#REF!</v>
      </c>
      <c r="BR31" s="199" t="e">
        <f>SUM(#REF!,#REF!,#REF!,#REF!,#REF!,#REF!,#REF!,#REF!,#REF!,FMS_Ranking4[[#This Row],[ArcSinh Res struct removed 0-10]],#REF!)</f>
        <v>#REF!</v>
      </c>
      <c r="BS31" s="199" t="e">
        <f>FMS_Ranking4[[#This Row],[Log Score Based on Normalized Reported Factors]]+FMS_Ranking4[[#This Row],[% NBS Score (Normalized)]]+(FMS_Ranking4[[#This Row],[Water Supply Score (Normalized)]]*10*$BB$5)+(FMS_Ranking4[[#This Row],[FMS_Type Score Weighted]])</f>
        <v>#REF!</v>
      </c>
      <c r="BT31" s="200" t="e">
        <f>_xlfn.RANK.EQ(FMS_Ranking4[[#This Row],[Log Total Score]],FMS_Ranking4[Log Total Score],0)</f>
        <v>#REF!</v>
      </c>
      <c r="BU31" s="200" t="e">
        <f>_xlfn.XLOOKUP(FMS_Ranking4[[#This Row],[FMS ID]],#REF!,#REF!)</f>
        <v>#REF!</v>
      </c>
      <c r="BV31" s="200">
        <f>FMS_Ranking4[[#This Row],[Region Number]]</f>
        <v>9</v>
      </c>
      <c r="BW31" s="200">
        <f>FMS_Ranking4[[#This Row],[Rank (with ArcSinh normalization of select criteria)]]-FMS_Ranking4[[#This Row],[Rank
(with linear
normalization)]]</f>
        <v>-133</v>
      </c>
      <c r="BX31" s="200" t="e">
        <f>FMS_Ranking4[[#This Row],[Log Rank]]-FMS_Ranking4[[#This Row],[Rank
(with linear
normalization)]]</f>
        <v>#REF!</v>
      </c>
      <c r="BY31" s="200" t="str">
        <f>IF(FMS_Ranking4[[#This Row],[FMS Type]]="Flood Measurement and Warning",FMS_Ranking4[[#This Row],[Rank (with ArcSinh normalization of select criteria)]],"")</f>
        <v/>
      </c>
      <c r="BZ31" s="200" t="str">
        <f>IF(FMS_Ranking4[[#This Row],[FMS Type]]="Regulatory and Guidance",FMS_Ranking4[[#This Row],[Rank (with ArcSinh normalization of select criteria)]],"")</f>
        <v/>
      </c>
      <c r="CA31" s="200" t="str">
        <f>IF(FMS_Ranking4[[#This Row],[FMS Type]]="Education and Outreach",FMS_Ranking4[[#This Row],[Rank (with ArcSinh normalization of select criteria)]],"")</f>
        <v/>
      </c>
      <c r="CB31" s="200" t="str">
        <f>IF(FMS_Ranking4[[#This Row],[FMS Type]]="Property Acquisition and Structural Elevation",FMS_Ranking4[[#This Row],[Rank (with ArcSinh normalization of select criteria)]],"")</f>
        <v/>
      </c>
      <c r="CC31" s="200" t="str">
        <f>IF(FMS_Ranking4[[#This Row],[FMS Type]]="Infrastructure Projects",FMS_Ranking4[[#This Row],[Rank (with ArcSinh normalization of select criteria)]],"")</f>
        <v/>
      </c>
      <c r="CD31" s="200">
        <f>IF(FMS_Ranking4[[#This Row],[FMS Type]]="Other",FMS_Ranking4[[#This Row],[Rank (with ArcSinh normalization of select criteria)]],"")</f>
        <v>23</v>
      </c>
      <c r="CE31" s="201"/>
    </row>
    <row r="32" spans="2:85" ht="135" x14ac:dyDescent="0.25">
      <c r="B32" s="341" t="s">
        <v>3422</v>
      </c>
      <c r="C32" s="246">
        <f>_xlfn.XLOOKUP(FMS_Ranking4[[#This Row],[FMS ID]],FMS_Input[FMS_ID],FMS_Input[RFPG_NUM])</f>
        <v>11</v>
      </c>
      <c r="D32" s="309" t="str">
        <f>_xlfn.XLOOKUP(FMS_Ranking4[[#This Row],[FMS ID]],FMS_Input[FMS_ID],FMS_Input[FMS_NAME])</f>
        <v>Regulatory and Guidance</v>
      </c>
      <c r="E32" s="308" t="str">
        <f>_xlfn.XLOOKUP(FMS_Ranking4[[#This Row],[FMS ID]],FMS_Input[FMS_ID],FMS_Input[SPONSOR])</f>
        <v>11003546</v>
      </c>
      <c r="F32" s="309" t="str">
        <f>_xlfn.XLOOKUP(FMS_Ranking4[[#This Row],[FMS ID]],Sponsor[FMS_ID],Sponsor[SPONSOR NAME])</f>
        <v>Guadalupe Regional Flood Planning Group</v>
      </c>
      <c r="G32" s="309" t="str">
        <f>_xlfn.XLOOKUP(FMS_Ranking4[[#This Row],[FMS ID]],FMS_Input[FMS_ID],FMS_Input[FMS_DESCR])</f>
        <v>Regularly review and update floodplain ordnances, land use/zoning, development criteria, and enforcement. Develop and implement higher standards, green infrastructure program, and use best available data (eg. BLE) to manage floodplains</v>
      </c>
      <c r="H32" s="248" t="str">
        <f>_xlfn.XLOOKUP(FMS_Ranking4[[#This Row],[FMS ID]],FMS_Input[FMS_ID],FMS_Input[FMS_TYPE])</f>
        <v>Regulatory and Guidance</v>
      </c>
      <c r="I32" s="249">
        <f>_xlfn.XLOOKUP(FMS_Ranking4[[#This Row],[FMS ID]],FMS_Input[FMS_ID],FMS_Input[NRNC_COST])</f>
        <v>93000</v>
      </c>
      <c r="J32" s="250">
        <f>_xlfn.XLOOKUP(FMS_Ranking4[[#This Row],[FMS ID]],FMS_Input[FMS_ID],FMS_Input[FMS_COST])</f>
        <v>93000</v>
      </c>
      <c r="K32" s="251" t="str">
        <f>_xlfn.XLOOKUP(FMS_Ranking4[[#This Row],[FMS ID]],FMS_Input[FMS_ID],FMS_Input[EMER_NEED])</f>
        <v>No</v>
      </c>
      <c r="L32" s="252">
        <f t="shared" si="0"/>
        <v>0</v>
      </c>
      <c r="M32" s="253">
        <f>_xlfn.XLOOKUP(FMS_Ranking4[[#This Row],[FMS ID]],FMS_Input[FMS_ID],FMS_Input[STRUCT_100])</f>
        <v>27069</v>
      </c>
      <c r="N32" s="255">
        <f>(ASINH(FMS_Ranking4[[#This Row],[Structure at Risk Raw]]))*(10)/(ASINH(M$4))</f>
        <v>8.5684660487830211</v>
      </c>
      <c r="O32" s="256">
        <f>FMS_Ranking4[[#This Row],[Structures at risk, ArcSinh (0-10)]]*M$5*10</f>
        <v>8.5684660487830211</v>
      </c>
      <c r="P32" s="253">
        <f>_xlfn.XLOOKUP(FMS_Ranking4[[#This Row],[FMS ID]],FMS_Input[FMS_ID],FMS_Input[RES_STRUCT100])</f>
        <v>18879</v>
      </c>
      <c r="Q32" s="257">
        <f>ASINH(FMS_Ranking4[[#This Row],[Res Structure Raw]])/Q$4*P$5*100</f>
        <v>0</v>
      </c>
      <c r="R32" s="253">
        <f>_xlfn.XLOOKUP(FMS_Ranking4[[#This Row],[FMS ID]],FMS_Input[FMS_ID],FMS_Input[POP100])</f>
        <v>62638</v>
      </c>
      <c r="S32" s="259">
        <f>(ASINH(FMS_Ranking4[[#This Row],[Pop at Risk Raw]]))*(10)/(ASINH(R$4))</f>
        <v>8.1036143222230006</v>
      </c>
      <c r="T32" s="256">
        <f>FMS_Ranking4[[#This Row],[Population at risk, ArcSinh (0-10)]]*R$5*10</f>
        <v>8.1036143222230006</v>
      </c>
      <c r="U32" s="253">
        <f>_xlfn.XLOOKUP(FMS_Ranking4[[#This Row],[FMS ID]],FMS_Input[FMS_ID],FMS_Input[CRITFAC100])</f>
        <v>136</v>
      </c>
      <c r="V32" s="259">
        <f>(ASINH(FMS_Ranking4[[#This Row],[Critical Facilities Raw]]))*(10)/(ASINH(U$4))</f>
        <v>6.6359634548699029</v>
      </c>
      <c r="W32" s="256">
        <f>FMS_Ranking4[[#This Row],[Critical facilities at risk, ArcSinh (0-10)]]*U$5*10</f>
        <v>6.6359634548699029</v>
      </c>
      <c r="X32" s="253">
        <f>_xlfn.XLOOKUP(FMS_Ranking4[[#This Row],[FMS ID]],FMS_Input[FMS_ID],FMS_Input[LWC])</f>
        <v>661</v>
      </c>
      <c r="Y32" s="259">
        <f>(ASINH(FMS_Ranking4[[#This Row],[LWC Raw]]))*(10)/(ASINH(X$4))</f>
        <v>9.7363670941482745</v>
      </c>
      <c r="Z32" s="256">
        <f>FMS_Ranking4[[#This Row],[LWC, ArcSInh (0-10)]]*X$5*10</f>
        <v>9.7363670941482745</v>
      </c>
      <c r="AA32" s="253">
        <f>_xlfn.XLOOKUP(FMS_Ranking4[[#This Row],[FMS ID]],FMS_Input[FMS_ID],FMS_Input[ROADCLS])</f>
        <v>0</v>
      </c>
      <c r="AB32" s="255">
        <f>(ASINH(FMS_Ranking4[[#This Row],[Road Closures Raw]]))*(10)/(ASINH(AA$4))</f>
        <v>0</v>
      </c>
      <c r="AC32" s="256">
        <f>FMS_Ranking4[[#This Row],[Road closures, ArcSinh (0-10)]]*AA$5*10</f>
        <v>0</v>
      </c>
      <c r="AD32" s="253">
        <f>_xlfn.XLOOKUP(FMS_Ranking4[[#This Row],[FMS ID]],FMS_Input[FMS_ID],FMS_Input[ROAD_MILES100])</f>
        <v>935</v>
      </c>
      <c r="AE32" s="259">
        <f>(ASINH(FMS_Ranking4[[#This Row],[Road Miles Raw]]))*(10)/(ASINH(AD$4))</f>
        <v>8.028845097682872</v>
      </c>
      <c r="AF32" s="256">
        <f>FMS_Ranking4[[#This Row],[Length of roads at risk, ArcSinh (0-10)]]*AD$5*10</f>
        <v>8.028845097682872</v>
      </c>
      <c r="AG32" s="253">
        <f>_xlfn.XLOOKUP(FMS_Ranking4[[#This Row],[FMS ID]],FMS_Input[FMS_ID],FMS_Input[FARMACRE100])</f>
        <v>360251.3125</v>
      </c>
      <c r="AH32" s="255">
        <f>(ASINH(FMS_Ranking4[[#This Row],[Ag Land Raw]]))*(10)/(ASINH(AG$4))</f>
        <v>8.7613628013886231</v>
      </c>
      <c r="AI32" s="260">
        <f>FMS_Ranking4[[#This Row],[Farm &amp; ranch land, ArcSinh (0-10)]]*AG$5*10</f>
        <v>4.3806814006943116</v>
      </c>
      <c r="AJ32" s="258">
        <f>_xlfn.XLOOKUP(FMS_Ranking4[[#This Row],[FMS ID]],FMS_Input[FMS_ID],FMS_Input[REDSTRUCT100])</f>
        <v>0</v>
      </c>
      <c r="AK32" s="253">
        <f>_xlfn.XLOOKUP(FMS_Ranking4[[#This Row],[FMS ID]],FMS_Input[FMS_ID],FMS_Input[REMSTRC100])</f>
        <v>0</v>
      </c>
      <c r="AL32" s="259">
        <f>(ASINH(FMS_Ranking4[[#This Row],[Structures Removed Raw]]))*(10)/(ASINH(AK$4))</f>
        <v>0</v>
      </c>
      <c r="AM32" s="262">
        <f>FMS_Ranking4[[#This Row],[Structures removed, ArcSinh (0-10)]]*AK$5*10</f>
        <v>0</v>
      </c>
      <c r="AN32" s="253">
        <f>_xlfn.XLOOKUP(FMS_Ranking4[[#This Row],[FMS ID]],FMS_Input[FMS_ID],FMS_Input[REMRESSTRC100])</f>
        <v>0</v>
      </c>
      <c r="AO32" s="261">
        <f>FMS_Ranking4[[#This Row],[ArcSinh Res struct removed 0-10]]*AN$5*10</f>
        <v>0</v>
      </c>
      <c r="AP32" s="254">
        <f>ASINH(FMS_Ranking4[[#This Row],[Residential Structures Removed Raw]])/AP$4*AN$5*100</f>
        <v>0</v>
      </c>
      <c r="AQ32" s="254">
        <f>(ASINH(FMS_Ranking4[[#This Row],[Residential Structures Removed Raw]]))*(10)/(ASINH(AN$4))</f>
        <v>0</v>
      </c>
      <c r="AR32" s="253">
        <f>_xlfn.XLOOKUP(FMS_Ranking4[[#This Row],[FMS ID]],FMS_Input[FMS_ID],FMS_Input[REMPOP100])</f>
        <v>0</v>
      </c>
      <c r="AS32" s="259">
        <f>(ASINH(FMS_Ranking4[[#This Row],[Removed Pop Raw]]))*(10)/(ASINH(AR$4))</f>
        <v>0</v>
      </c>
      <c r="AT32" s="262">
        <f>FMS_Ranking4[[#This Row],[Removed population, ArcSinh (0-10)]]*AR$5*10</f>
        <v>0</v>
      </c>
      <c r="AU32" s="264">
        <f>_xlfn.XLOOKUP(FMS_Ranking4[[#This Row],[FMS ID]],FMS_Input[FMS_ID],FMS_Input[REMCRITFAC100])</f>
        <v>0</v>
      </c>
      <c r="AV32" s="264">
        <f>_xlfn.XLOOKUP(FMS_Ranking4[[#This Row],[FMS ID]],FMS_Input[FMS_ID],FMS_Input[REMLWC100])</f>
        <v>0</v>
      </c>
      <c r="AW32" s="264">
        <f>_xlfn.XLOOKUP(FMS_Ranking4[[#This Row],[FMS ID]],FMS_Input[FMS_ID],FMS_Input[REMROADCLS])</f>
        <v>0</v>
      </c>
      <c r="AX32" s="264">
        <f>_xlfn.XLOOKUP(FMS_Ranking4[[#This Row],[FMS ID]],FMS_Input[FMS_ID],FMS_Input[REMFRMACRE100])</f>
        <v>0</v>
      </c>
      <c r="AY32" s="258">
        <f>_xlfn.XLOOKUP(FMS_Ranking4[[#This Row],[FMS ID]],FMS_Input[FMS_ID],FMS_Input[COSTSTRUCT])</f>
        <v>0</v>
      </c>
      <c r="AZ32" s="253">
        <f>_xlfn.XLOOKUP(FMS_Ranking4[[#This Row],[FMS ID]],FMS_Input[FMS_ID],FMS_Input[NATURE])</f>
        <v>0</v>
      </c>
      <c r="BA32" s="262">
        <f>(((FMS_Ranking4[[#This Row],[% NBS Raw]]/AZ$4)*100)*AZ$5)</f>
        <v>0</v>
      </c>
      <c r="BB32" s="251" t="str">
        <f>_xlfn.XLOOKUP(FMS_Ranking4[[#This Row],[FMS ID]],FMS_Input[FMS_ID],FMS_Input[WATER_SUP])</f>
        <v>No</v>
      </c>
      <c r="BC32" s="265">
        <f>IF(FMS_Ranking4[[#This Row],[Water Supply Raw]]="Yes",10,0)</f>
        <v>0</v>
      </c>
      <c r="BD32" s="266">
        <f>_xlfn.XLOOKUP(FMS_Ranking4[[#This Row],[FMS Type]],FMS_TYPE[FMS_Type],FMS_TYPE[Score])</f>
        <v>8</v>
      </c>
      <c r="BE32" s="267">
        <f>FMS_Ranking4[[#This Row],[FMS_Type Score]]*$BD$5*10</f>
        <v>2</v>
      </c>
      <c r="BF3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13.390546788117057</v>
      </c>
      <c r="BG32" s="271">
        <f>_xlfn.RANK.EQ(BF32,$BF$8:$BF$870,0)+COUNTIF($BF$8:BF32,BF32)-1</f>
        <v>27</v>
      </c>
      <c r="BH32" s="268">
        <f>(((FMS_Ranking4[[#This Row],[Structures Removed Raw]]/AK$4)*100)*AK$5)+(((FMS_Ranking4[[#This Row],[Removed Pop Raw]]/AR$4)*100)*AR$5)</f>
        <v>0</v>
      </c>
      <c r="BI3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15.390546788117057</v>
      </c>
      <c r="BJ32" s="205">
        <f>_xlfn.RANK.EQ(FMS_Ranking4[[#This Row],[Total Score 
(with linear
normalization)]],FMS_Ranking4[Total Score 
(with linear
normalization)],0)</f>
        <v>30</v>
      </c>
      <c r="BK32" s="205" t="e">
        <f>_xlfn.XLOOKUP(FMS_Ranking4[[#This Row],[FMS ID]],#REF!,#REF!)</f>
        <v>#REF!</v>
      </c>
      <c r="BL3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45.453937418401381</v>
      </c>
      <c r="BM32" s="272">
        <f>FMS_Ranking4[[#This Row],[ArcSinh Score Based on Normalized Reported Factors]]+FMS_Ranking4[[#This Row],[% NBS Score (Normalized)]]+(FMS_Ranking4[[#This Row],[Water Supply Score (Normalized)]]*10*$BB$5)+FMS_Ranking4[[#This Row],[FMS_Type Score Weighted]]</f>
        <v>47.453937418401381</v>
      </c>
      <c r="BN32" s="205">
        <f>_xlfn.RANK.EQ(FMS_Ranking4[[#This Row],[Total Score (with ArcSinh normalization of select criteria)]],FMS_Ranking4[Total Score (with ArcSinh normalization of select criteria)],0)</f>
        <v>25</v>
      </c>
      <c r="BO32" s="270" t="str">
        <f>_xlfn.XLOOKUP(FMS_Ranking4[[#This Row],[FMS ID]],FMS_Input[FMS_ID],FMS_Input[FMS_RANK_YEAR])</f>
        <v>2023 Amended Plan</v>
      </c>
      <c r="BP32" s="204">
        <f>_xlfn.XLOOKUP(FMS_Ranking4[[#This Row],[FMS ID]],Prev_Rank[FMS ID],Prev_Rank[Prev Rank])</f>
        <v>25</v>
      </c>
      <c r="BQ32" s="205" t="e">
        <f>_xlfn.XLOOKUP(FMS_Ranking4[[#This Row],[FMS ID]],#REF!,#REF!)</f>
        <v>#REF!</v>
      </c>
      <c r="BR32" s="199" t="e">
        <f>SUM(#REF!,#REF!,#REF!,#REF!,#REF!,#REF!,#REF!,#REF!,#REF!,FMS_Ranking4[[#This Row],[ArcSinh Res struct removed 0-10]],#REF!)</f>
        <v>#REF!</v>
      </c>
      <c r="BS32" s="199" t="e">
        <f>FMS_Ranking4[[#This Row],[Log Score Based on Normalized Reported Factors]]+FMS_Ranking4[[#This Row],[% NBS Score (Normalized)]]+(FMS_Ranking4[[#This Row],[Water Supply Score (Normalized)]]*10*$BB$5)+(FMS_Ranking4[[#This Row],[FMS_Type Score Weighted]])</f>
        <v>#REF!</v>
      </c>
      <c r="BT32" s="200" t="e">
        <f>_xlfn.RANK.EQ(FMS_Ranking4[[#This Row],[Log Total Score]],FMS_Ranking4[Log Total Score],0)</f>
        <v>#REF!</v>
      </c>
      <c r="BU32" s="200" t="e">
        <f>_xlfn.XLOOKUP(FMS_Ranking4[[#This Row],[FMS ID]],#REF!,#REF!)</f>
        <v>#REF!</v>
      </c>
      <c r="BV32" s="200">
        <f>FMS_Ranking4[[#This Row],[Region Number]]</f>
        <v>11</v>
      </c>
      <c r="BW32" s="200">
        <f>FMS_Ranking4[[#This Row],[Rank (with ArcSinh normalization of select criteria)]]-FMS_Ranking4[[#This Row],[Rank
(with linear
normalization)]]</f>
        <v>-5</v>
      </c>
      <c r="BX32" s="200" t="e">
        <f>FMS_Ranking4[[#This Row],[Log Rank]]-FMS_Ranking4[[#This Row],[Rank
(with linear
normalization)]]</f>
        <v>#REF!</v>
      </c>
      <c r="BY32" s="200" t="str">
        <f>IF(FMS_Ranking4[[#This Row],[FMS Type]]="Flood Measurement and Warning",FMS_Ranking4[[#This Row],[Rank (with ArcSinh normalization of select criteria)]],"")</f>
        <v/>
      </c>
      <c r="BZ32" s="200">
        <f>IF(FMS_Ranking4[[#This Row],[FMS Type]]="Regulatory and Guidance",FMS_Ranking4[[#This Row],[Rank (with ArcSinh normalization of select criteria)]],"")</f>
        <v>25</v>
      </c>
      <c r="CA32" s="200" t="str">
        <f>IF(FMS_Ranking4[[#This Row],[FMS Type]]="Education and Outreach",FMS_Ranking4[[#This Row],[Rank (with ArcSinh normalization of select criteria)]],"")</f>
        <v/>
      </c>
      <c r="CB32" s="200" t="str">
        <f>IF(FMS_Ranking4[[#This Row],[FMS Type]]="Property Acquisition and Structural Elevation",FMS_Ranking4[[#This Row],[Rank (with ArcSinh normalization of select criteria)]],"")</f>
        <v/>
      </c>
      <c r="CC32" s="200" t="str">
        <f>IF(FMS_Ranking4[[#This Row],[FMS Type]]="Infrastructure Projects",FMS_Ranking4[[#This Row],[Rank (with ArcSinh normalization of select criteria)]],"")</f>
        <v/>
      </c>
      <c r="CD32" s="200" t="str">
        <f>IF(FMS_Ranking4[[#This Row],[FMS Type]]="Other",FMS_Ranking4[[#This Row],[Rank (with ArcSinh normalization of select criteria)]],"")</f>
        <v/>
      </c>
      <c r="CE32" s="201"/>
    </row>
    <row r="33" spans="2:83" ht="30" x14ac:dyDescent="0.25">
      <c r="B33" s="341" t="s">
        <v>941</v>
      </c>
      <c r="C33" s="246">
        <f>_xlfn.XLOOKUP(FMS_Ranking4[[#This Row],[FMS ID]],FMS_Input[FMS_ID],FMS_Input[RFPG_NUM])</f>
        <v>9</v>
      </c>
      <c r="D33" s="309" t="str">
        <f>_xlfn.XLOOKUP(FMS_Ranking4[[#This Row],[FMS ID]],FMS_Input[FMS_ID],FMS_Input[FMS_NAME])</f>
        <v>Gaines County DCM</v>
      </c>
      <c r="E33" s="308" t="str">
        <f>_xlfn.XLOOKUP(FMS_Ranking4[[#This Row],[FMS ID]],FMS_Input[FMS_ID],FMS_Input[SPONSOR])</f>
        <v>09000118</v>
      </c>
      <c r="F33" s="309" t="str">
        <f>_xlfn.XLOOKUP(FMS_Ranking4[[#This Row],[FMS ID]],Sponsor[FMS_ID],Sponsor[SPONSOR NAME])</f>
        <v>Gaines</v>
      </c>
      <c r="G33" s="309" t="str">
        <f>_xlfn.XLOOKUP(FMS_Ranking4[[#This Row],[FMS ID]],FMS_Input[FMS_ID],FMS_Input[FMS_DESCR])</f>
        <v>Outreach Program: Discuss Drainage Criteria Manual</v>
      </c>
      <c r="H33" s="248" t="str">
        <f>_xlfn.XLOOKUP(FMS_Ranking4[[#This Row],[FMS ID]],FMS_Input[FMS_ID],FMS_Input[FMS_TYPE])</f>
        <v>Other</v>
      </c>
      <c r="I33" s="249">
        <f>_xlfn.XLOOKUP(FMS_Ranking4[[#This Row],[FMS ID]],FMS_Input[FMS_ID],FMS_Input[NRNC_COST])</f>
        <v>75000</v>
      </c>
      <c r="J33" s="250">
        <f>_xlfn.XLOOKUP(FMS_Ranking4[[#This Row],[FMS ID]],FMS_Input[FMS_ID],FMS_Input[FMS_COST])</f>
        <v>100000</v>
      </c>
      <c r="K33" s="251" t="str">
        <f>_xlfn.XLOOKUP(FMS_Ranking4[[#This Row],[FMS ID]],FMS_Input[FMS_ID],FMS_Input[EMER_NEED])</f>
        <v>No</v>
      </c>
      <c r="L33" s="252">
        <f t="shared" si="0"/>
        <v>0</v>
      </c>
      <c r="M33" s="253">
        <f>_xlfn.XLOOKUP(FMS_Ranking4[[#This Row],[FMS ID]],FMS_Input[FMS_ID],FMS_Input[STRUCT_100])</f>
        <v>1890</v>
      </c>
      <c r="N33" s="255">
        <f>(ASINH(FMS_Ranking4[[#This Row],[Structure at Risk Raw]]))*(10)/(ASINH(M$4))</f>
        <v>6.4758852834137137</v>
      </c>
      <c r="O33" s="256">
        <f>FMS_Ranking4[[#This Row],[Structures at risk, ArcSinh (0-10)]]*M$5*10</f>
        <v>6.4758852834137137</v>
      </c>
      <c r="P33" s="253">
        <f>_xlfn.XLOOKUP(FMS_Ranking4[[#This Row],[FMS ID]],FMS_Input[FMS_ID],FMS_Input[RES_STRUCT100])</f>
        <v>814</v>
      </c>
      <c r="Q33" s="257">
        <f>ASINH(FMS_Ranking4[[#This Row],[Res Structure Raw]])/Q$4*P$5*100</f>
        <v>0</v>
      </c>
      <c r="R33" s="253">
        <f>_xlfn.XLOOKUP(FMS_Ranking4[[#This Row],[FMS ID]],FMS_Input[FMS_ID],FMS_Input[POP100])</f>
        <v>2679</v>
      </c>
      <c r="S33" s="255">
        <f>(ASINH(FMS_Ranking4[[#This Row],[Pop at Risk Raw]]))*(10)/(ASINH(R$4))</f>
        <v>5.9276545817384951</v>
      </c>
      <c r="T33" s="256">
        <f>FMS_Ranking4[[#This Row],[Population at risk, ArcSinh (0-10)]]*R$5*10</f>
        <v>5.9276545817384951</v>
      </c>
      <c r="U33" s="253">
        <f>_xlfn.XLOOKUP(FMS_Ranking4[[#This Row],[FMS ID]],FMS_Input[FMS_ID],FMS_Input[CRITFAC100])</f>
        <v>1</v>
      </c>
      <c r="V33" s="255">
        <f>(ASINH(FMS_Ranking4[[#This Row],[Critical Facilities Raw]]))*(10)/(ASINH(U$4))</f>
        <v>1.0433384451410745</v>
      </c>
      <c r="W33" s="256">
        <f>FMS_Ranking4[[#This Row],[Critical facilities at risk, ArcSinh (0-10)]]*U$5*10</f>
        <v>1.0433384451410745</v>
      </c>
      <c r="X33" s="253">
        <f>_xlfn.XLOOKUP(FMS_Ranking4[[#This Row],[FMS ID]],FMS_Input[FMS_ID],FMS_Input[LWC])</f>
        <v>5</v>
      </c>
      <c r="Y33" s="255">
        <f>(ASINH(FMS_Ranking4[[#This Row],[LWC Raw]]))*(10)/(ASINH(X$4))</f>
        <v>3.1327475801820781</v>
      </c>
      <c r="Z33" s="256">
        <f>FMS_Ranking4[[#This Row],[LWC, ArcSInh (0-10)]]*X$5*10</f>
        <v>3.1327475801820781</v>
      </c>
      <c r="AA33" s="253">
        <f>_xlfn.XLOOKUP(FMS_Ranking4[[#This Row],[FMS ID]],FMS_Input[FMS_ID],FMS_Input[ROADCLS])</f>
        <v>0</v>
      </c>
      <c r="AB33" s="255">
        <f>(ASINH(FMS_Ranking4[[#This Row],[Road Closures Raw]]))*(10)/(ASINH(AA$4))</f>
        <v>0</v>
      </c>
      <c r="AC33" s="256">
        <f>FMS_Ranking4[[#This Row],[Road closures, ArcSinh (0-10)]]*AA$5*10</f>
        <v>0</v>
      </c>
      <c r="AD33" s="253">
        <f>_xlfn.XLOOKUP(FMS_Ranking4[[#This Row],[FMS ID]],FMS_Input[FMS_ID],FMS_Input[ROAD_MILES100])</f>
        <v>434</v>
      </c>
      <c r="AE33" s="255">
        <f>(ASINH(FMS_Ranking4[[#This Row],[Road Miles Raw]]))*(10)/(ASINH(AD$4))</f>
        <v>7.2109002389608934</v>
      </c>
      <c r="AF33" s="256">
        <f>FMS_Ranking4[[#This Row],[Length of roads at risk, ArcSinh (0-10)]]*AD$5*10</f>
        <v>7.2109002389608934</v>
      </c>
      <c r="AG33" s="253">
        <f>_xlfn.XLOOKUP(FMS_Ranking4[[#This Row],[FMS ID]],FMS_Input[FMS_ID],FMS_Input[FARMACRE100])</f>
        <v>145295.46875</v>
      </c>
      <c r="AH33" s="255">
        <f>(ASINH(FMS_Ranking4[[#This Row],[Ag Land Raw]]))*(10)/(ASINH(AG$4))</f>
        <v>8.171521720039193</v>
      </c>
      <c r="AI33" s="260">
        <f>FMS_Ranking4[[#This Row],[Farm &amp; ranch land, ArcSinh (0-10)]]*AG$5*10</f>
        <v>4.0857608600195965</v>
      </c>
      <c r="AJ33" s="258">
        <f>_xlfn.XLOOKUP(FMS_Ranking4[[#This Row],[FMS ID]],FMS_Input[FMS_ID],FMS_Input[REDSTRUCT100])</f>
        <v>473</v>
      </c>
      <c r="AK33" s="253">
        <f>_xlfn.XLOOKUP(FMS_Ranking4[[#This Row],[FMS ID]],FMS_Input[FMS_ID],FMS_Input[REMSTRC100])</f>
        <v>473</v>
      </c>
      <c r="AL33" s="255">
        <f>(ASINH(FMS_Ranking4[[#This Row],[Structures Removed Raw]]))*(10)/(ASINH(AK$4))</f>
        <v>7.8017685545203914</v>
      </c>
      <c r="AM33" s="262">
        <f>FMS_Ranking4[[#This Row],[Structures removed, ArcSinh (0-10)]]*AK$5*10</f>
        <v>7.8017685545203914</v>
      </c>
      <c r="AN33" s="253">
        <f>_xlfn.XLOOKUP(FMS_Ranking4[[#This Row],[FMS ID]],FMS_Input[FMS_ID],FMS_Input[REMRESSTRC100])</f>
        <v>203</v>
      </c>
      <c r="AO33" s="261">
        <f>FMS_Ranking4[[#This Row],[ArcSinh Res struct removed 0-10]]*AN$5*10</f>
        <v>3.5228886550363665</v>
      </c>
      <c r="AP33" s="254">
        <f>ASINH(FMS_Ranking4[[#This Row],[Residential Structures Removed Raw]])/AP$4*AN$5*100</f>
        <v>3.5228886550363656</v>
      </c>
      <c r="AQ33" s="258">
        <f>(ASINH(FMS_Ranking4[[#This Row],[Residential Structures Removed Raw]]))*(10)/(ASINH(AN$4))</f>
        <v>7.0457773100727321</v>
      </c>
      <c r="AR33" s="253">
        <f>_xlfn.XLOOKUP(FMS_Ranking4[[#This Row],[FMS ID]],FMS_Input[FMS_ID],FMS_Input[REMPOP100])</f>
        <v>996</v>
      </c>
      <c r="AS33" s="255">
        <f>(ASINH(FMS_Ranking4[[#This Row],[Removed Pop Raw]]))*(10)/(ASINH(AR$4))</f>
        <v>7.4572671296549329</v>
      </c>
      <c r="AT33" s="262">
        <f>FMS_Ranking4[[#This Row],[Removed population, ArcSinh (0-10)]]*AR$5*10</f>
        <v>7.4572671296549329</v>
      </c>
      <c r="AU33" s="264">
        <f>_xlfn.XLOOKUP(FMS_Ranking4[[#This Row],[FMS ID]],FMS_Input[FMS_ID],FMS_Input[REMCRITFAC100])</f>
        <v>0</v>
      </c>
      <c r="AV33" s="264">
        <f>_xlfn.XLOOKUP(FMS_Ranking4[[#This Row],[FMS ID]],FMS_Input[FMS_ID],FMS_Input[REMLWC100])</f>
        <v>1</v>
      </c>
      <c r="AW33" s="264">
        <f>_xlfn.XLOOKUP(FMS_Ranking4[[#This Row],[FMS ID]],FMS_Input[FMS_ID],FMS_Input[REMROADCLS])</f>
        <v>0</v>
      </c>
      <c r="AX33" s="264">
        <f>_xlfn.XLOOKUP(FMS_Ranking4[[#This Row],[FMS ID]],FMS_Input[FMS_ID],FMS_Input[REMFRMACRE100])</f>
        <v>36323.8671875</v>
      </c>
      <c r="AY33" s="258">
        <f>_xlfn.XLOOKUP(FMS_Ranking4[[#This Row],[FMS ID]],FMS_Input[FMS_ID],FMS_Input[COSTSTRUCT])</f>
        <v>25000</v>
      </c>
      <c r="AZ33" s="253">
        <f>_xlfn.XLOOKUP(FMS_Ranking4[[#This Row],[FMS ID]],FMS_Input[FMS_ID],FMS_Input[NATURE])</f>
        <v>0</v>
      </c>
      <c r="BA33" s="262">
        <f>(((FMS_Ranking4[[#This Row],[% NBS Raw]]/AZ$4)*100)*AZ$5)</f>
        <v>0</v>
      </c>
      <c r="BB33" s="251" t="str">
        <f>_xlfn.XLOOKUP(FMS_Ranking4[[#This Row],[FMS ID]],FMS_Input[FMS_ID],FMS_Input[WATER_SUP])</f>
        <v>No</v>
      </c>
      <c r="BC33" s="265">
        <f>IF(FMS_Ranking4[[#This Row],[Water Supply Raw]]="Yes",10,0)</f>
        <v>0</v>
      </c>
      <c r="BD33" s="266">
        <f>_xlfn.XLOOKUP(FMS_Ranking4[[#This Row],[FMS Type]],FMS_TYPE[FMS_Type],FMS_TYPE[Score])</f>
        <v>2</v>
      </c>
      <c r="BE33" s="267">
        <f>FMS_Ranking4[[#This Row],[FMS_Type Score]]*$BD$5*10</f>
        <v>0.5</v>
      </c>
      <c r="BF3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1.2367164460316786</v>
      </c>
      <c r="BG33" s="321">
        <f>_xlfn.RANK.EQ(BF33,$BF$8:$BF$870,0)+COUNTIF($BF$8:BF33,BF33)-1</f>
        <v>120</v>
      </c>
      <c r="BH33" s="294">
        <f>(((FMS_Ranking4[[#This Row],[Structures Removed Raw]]/AK$4)*100)*AK$5)+(((FMS_Ranking4[[#This Row],[Removed Pop Raw]]/AR$4)*100)*AR$5)</f>
        <v>2.2004188426695297</v>
      </c>
      <c r="BI3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3.9371352887012083</v>
      </c>
      <c r="BJ33" s="251">
        <f>_xlfn.RANK.EQ(FMS_Ranking4[[#This Row],[Total Score 
(with linear
normalization)]],FMS_Ranking4[Total Score 
(with linear
normalization)],0)</f>
        <v>135</v>
      </c>
      <c r="BK33" s="251" t="e">
        <f>_xlfn.XLOOKUP(FMS_Ranking4[[#This Row],[FMS ID]],#REF!,#REF!)</f>
        <v>#REF!</v>
      </c>
      <c r="BL3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46.658211328667541</v>
      </c>
      <c r="BM33" s="324">
        <f>FMS_Ranking4[[#This Row],[ArcSinh Score Based on Normalized Reported Factors]]+FMS_Ranking4[[#This Row],[% NBS Score (Normalized)]]+(FMS_Ranking4[[#This Row],[Water Supply Score (Normalized)]]*10*$BB$5)+FMS_Ranking4[[#This Row],[FMS_Type Score Weighted]]</f>
        <v>47.158211328667541</v>
      </c>
      <c r="BN33" s="251">
        <f>_xlfn.RANK.EQ(FMS_Ranking4[[#This Row],[Total Score (with ArcSinh normalization of select criteria)]],FMS_Ranking4[Total Score (with ArcSinh normalization of select criteria)],0)</f>
        <v>26</v>
      </c>
      <c r="BO33" s="270" t="str">
        <f>_xlfn.XLOOKUP(FMS_Ranking4[[#This Row],[FMS ID]],FMS_Input[FMS_ID],FMS_Input[FMS_RANK_YEAR])</f>
        <v>2023 Amended Plan</v>
      </c>
      <c r="BP33" s="204">
        <f>_xlfn.XLOOKUP(FMS_Ranking4[[#This Row],[FMS ID]],Prev_Rank[FMS ID],Prev_Rank[Prev Rank])</f>
        <v>43</v>
      </c>
      <c r="BQ33" s="251" t="e">
        <f>_xlfn.XLOOKUP(FMS_Ranking4[[#This Row],[FMS ID]],#REF!,#REF!)</f>
        <v>#REF!</v>
      </c>
      <c r="BR33" s="199" t="e">
        <f>SUM(#REF!,#REF!,#REF!,#REF!,#REF!,#REF!,#REF!,#REF!,#REF!,FMS_Ranking4[[#This Row],[ArcSinh Res struct removed 0-10]],#REF!)</f>
        <v>#REF!</v>
      </c>
      <c r="BS33" s="199" t="e">
        <f>FMS_Ranking4[[#This Row],[Log Score Based on Normalized Reported Factors]]+FMS_Ranking4[[#This Row],[% NBS Score (Normalized)]]+(FMS_Ranking4[[#This Row],[Water Supply Score (Normalized)]]*10*$BB$5)+(FMS_Ranking4[[#This Row],[FMS_Type Score Weighted]])</f>
        <v>#REF!</v>
      </c>
      <c r="BT33" s="200" t="e">
        <f>_xlfn.RANK.EQ(FMS_Ranking4[[#This Row],[Log Total Score]],FMS_Ranking4[Log Total Score],0)</f>
        <v>#REF!</v>
      </c>
      <c r="BU33" s="200" t="e">
        <f>_xlfn.XLOOKUP(FMS_Ranking4[[#This Row],[FMS ID]],#REF!,#REF!)</f>
        <v>#REF!</v>
      </c>
      <c r="BV33" s="200">
        <f>FMS_Ranking4[[#This Row],[Region Number]]</f>
        <v>9</v>
      </c>
      <c r="BW33" s="200">
        <f>FMS_Ranking4[[#This Row],[Rank (with ArcSinh normalization of select criteria)]]-FMS_Ranking4[[#This Row],[Rank
(with linear
normalization)]]</f>
        <v>-109</v>
      </c>
      <c r="BX33" s="200" t="e">
        <f>FMS_Ranking4[[#This Row],[Log Rank]]-FMS_Ranking4[[#This Row],[Rank
(with linear
normalization)]]</f>
        <v>#REF!</v>
      </c>
      <c r="BY33" s="200" t="str">
        <f>IF(FMS_Ranking4[[#This Row],[FMS Type]]="Flood Measurement and Warning",FMS_Ranking4[[#This Row],[Rank (with ArcSinh normalization of select criteria)]],"")</f>
        <v/>
      </c>
      <c r="BZ33" s="200" t="str">
        <f>IF(FMS_Ranking4[[#This Row],[FMS Type]]="Regulatory and Guidance",FMS_Ranking4[[#This Row],[Rank (with ArcSinh normalization of select criteria)]],"")</f>
        <v/>
      </c>
      <c r="CA33" s="200" t="str">
        <f>IF(FMS_Ranking4[[#This Row],[FMS Type]]="Education and Outreach",FMS_Ranking4[[#This Row],[Rank (with ArcSinh normalization of select criteria)]],"")</f>
        <v/>
      </c>
      <c r="CB33" s="200" t="str">
        <f>IF(FMS_Ranking4[[#This Row],[FMS Type]]="Property Acquisition and Structural Elevation",FMS_Ranking4[[#This Row],[Rank (with ArcSinh normalization of select criteria)]],"")</f>
        <v/>
      </c>
      <c r="CC33" s="200" t="str">
        <f>IF(FMS_Ranking4[[#This Row],[FMS Type]]="Infrastructure Projects",FMS_Ranking4[[#This Row],[Rank (with ArcSinh normalization of select criteria)]],"")</f>
        <v/>
      </c>
      <c r="CD33" s="200">
        <f>IF(FMS_Ranking4[[#This Row],[FMS Type]]="Other",FMS_Ranking4[[#This Row],[Rank (with ArcSinh normalization of select criteria)]],"")</f>
        <v>26</v>
      </c>
      <c r="CE33" s="201"/>
    </row>
    <row r="34" spans="2:83" ht="30" x14ac:dyDescent="0.25">
      <c r="B34" s="341" t="s">
        <v>573</v>
      </c>
      <c r="C34" s="246">
        <f>_xlfn.XLOOKUP(FMS_Ranking4[[#This Row],[FMS ID]],FMS_Input[FMS_ID],FMS_Input[RFPG_NUM])</f>
        <v>9</v>
      </c>
      <c r="D34" s="309" t="str">
        <f>_xlfn.XLOOKUP(FMS_Ranking4[[#This Row],[FMS ID]],FMS_Input[FMS_ID],FMS_Input[FMS_NAME])</f>
        <v>Gaines County NFIP Application</v>
      </c>
      <c r="E34" s="308" t="str">
        <f>_xlfn.XLOOKUP(FMS_Ranking4[[#This Row],[FMS ID]],FMS_Input[FMS_ID],FMS_Input[SPONSOR])</f>
        <v>00000102</v>
      </c>
      <c r="F34" s="309" t="str">
        <f>_xlfn.XLOOKUP(FMS_Ranking4[[#This Row],[FMS ID]],Sponsor[FMS_ID],Sponsor[SPONSOR NAME])</f>
        <v>Andrews</v>
      </c>
      <c r="G34" s="309" t="str">
        <f>_xlfn.XLOOKUP(FMS_Ranking4[[#This Row],[FMS ID]],FMS_Input[FMS_ID],FMS_Input[FMS_DESCR])</f>
        <v>Application to join the NFIP.</v>
      </c>
      <c r="H34" s="248" t="str">
        <f>_xlfn.XLOOKUP(FMS_Ranking4[[#This Row],[FMS ID]],FMS_Input[FMS_ID],FMS_Input[FMS_TYPE])</f>
        <v>Other</v>
      </c>
      <c r="I34" s="249">
        <f>_xlfn.XLOOKUP(FMS_Ranking4[[#This Row],[FMS ID]],FMS_Input[FMS_ID],FMS_Input[NRNC_COST])</f>
        <v>5000</v>
      </c>
      <c r="J34" s="250">
        <f>_xlfn.XLOOKUP(FMS_Ranking4[[#This Row],[FMS ID]],FMS_Input[FMS_ID],FMS_Input[FMS_COST])</f>
        <v>30000</v>
      </c>
      <c r="K34" s="251" t="str">
        <f>_xlfn.XLOOKUP(FMS_Ranking4[[#This Row],[FMS ID]],FMS_Input[FMS_ID],FMS_Input[EMER_NEED])</f>
        <v>No</v>
      </c>
      <c r="L34" s="252">
        <f t="shared" si="0"/>
        <v>0</v>
      </c>
      <c r="M34" s="253">
        <f>_xlfn.XLOOKUP(FMS_Ranking4[[#This Row],[FMS ID]],FMS_Input[FMS_ID],FMS_Input[STRUCT_100])</f>
        <v>1890</v>
      </c>
      <c r="N34" s="255">
        <f>(ASINH(FMS_Ranking4[[#This Row],[Structure at Risk Raw]]))*(10)/(ASINH(M$4))</f>
        <v>6.4758852834137137</v>
      </c>
      <c r="O34" s="256">
        <f>FMS_Ranking4[[#This Row],[Structures at risk, ArcSinh (0-10)]]*M$5*10</f>
        <v>6.4758852834137137</v>
      </c>
      <c r="P34" s="253">
        <f>_xlfn.XLOOKUP(FMS_Ranking4[[#This Row],[FMS ID]],FMS_Input[FMS_ID],FMS_Input[RES_STRUCT100])</f>
        <v>814</v>
      </c>
      <c r="Q34" s="257">
        <f>ASINH(FMS_Ranking4[[#This Row],[Res Structure Raw]])/Q$4*P$5*100</f>
        <v>0</v>
      </c>
      <c r="R34" s="253">
        <f>_xlfn.XLOOKUP(FMS_Ranking4[[#This Row],[FMS ID]],FMS_Input[FMS_ID],FMS_Input[POP100])</f>
        <v>2679</v>
      </c>
      <c r="S34" s="259">
        <f>(ASINH(FMS_Ranking4[[#This Row],[Pop at Risk Raw]]))*(10)/(ASINH(R$4))</f>
        <v>5.9276545817384951</v>
      </c>
      <c r="T34" s="256">
        <f>FMS_Ranking4[[#This Row],[Population at risk, ArcSinh (0-10)]]*R$5*10</f>
        <v>5.9276545817384951</v>
      </c>
      <c r="U34" s="253">
        <f>_xlfn.XLOOKUP(FMS_Ranking4[[#This Row],[FMS ID]],FMS_Input[FMS_ID],FMS_Input[CRITFAC100])</f>
        <v>1</v>
      </c>
      <c r="V34" s="259">
        <f>(ASINH(FMS_Ranking4[[#This Row],[Critical Facilities Raw]]))*(10)/(ASINH(U$4))</f>
        <v>1.0433384451410745</v>
      </c>
      <c r="W34" s="256">
        <f>FMS_Ranking4[[#This Row],[Critical facilities at risk, ArcSinh (0-10)]]*U$5*10</f>
        <v>1.0433384451410745</v>
      </c>
      <c r="X34" s="253">
        <f>_xlfn.XLOOKUP(FMS_Ranking4[[#This Row],[FMS ID]],FMS_Input[FMS_ID],FMS_Input[LWC])</f>
        <v>5</v>
      </c>
      <c r="Y34" s="259">
        <f>(ASINH(FMS_Ranking4[[#This Row],[LWC Raw]]))*(10)/(ASINH(X$4))</f>
        <v>3.1327475801820781</v>
      </c>
      <c r="Z34" s="256">
        <f>FMS_Ranking4[[#This Row],[LWC, ArcSInh (0-10)]]*X$5*10</f>
        <v>3.1327475801820781</v>
      </c>
      <c r="AA34" s="253">
        <f>_xlfn.XLOOKUP(FMS_Ranking4[[#This Row],[FMS ID]],FMS_Input[FMS_ID],FMS_Input[ROADCLS])</f>
        <v>0</v>
      </c>
      <c r="AB34" s="255">
        <f>(ASINH(FMS_Ranking4[[#This Row],[Road Closures Raw]]))*(10)/(ASINH(AA$4))</f>
        <v>0</v>
      </c>
      <c r="AC34" s="256">
        <f>FMS_Ranking4[[#This Row],[Road closures, ArcSinh (0-10)]]*AA$5*10</f>
        <v>0</v>
      </c>
      <c r="AD34" s="253">
        <f>_xlfn.XLOOKUP(FMS_Ranking4[[#This Row],[FMS ID]],FMS_Input[FMS_ID],FMS_Input[ROAD_MILES100])</f>
        <v>434</v>
      </c>
      <c r="AE34" s="259">
        <f>(ASINH(FMS_Ranking4[[#This Row],[Road Miles Raw]]))*(10)/(ASINH(AD$4))</f>
        <v>7.2109002389608934</v>
      </c>
      <c r="AF34" s="256">
        <f>FMS_Ranking4[[#This Row],[Length of roads at risk, ArcSinh (0-10)]]*AD$5*10</f>
        <v>7.2109002389608934</v>
      </c>
      <c r="AG34" s="253">
        <f>_xlfn.XLOOKUP(FMS_Ranking4[[#This Row],[FMS ID]],FMS_Input[FMS_ID],FMS_Input[FARMACRE100])</f>
        <v>145295.46875</v>
      </c>
      <c r="AH34" s="255">
        <f>(ASINH(FMS_Ranking4[[#This Row],[Ag Land Raw]]))*(10)/(ASINH(AG$4))</f>
        <v>8.171521720039193</v>
      </c>
      <c r="AI34" s="260">
        <f>FMS_Ranking4[[#This Row],[Farm &amp; ranch land, ArcSinh (0-10)]]*AG$5*10</f>
        <v>4.0857608600195965</v>
      </c>
      <c r="AJ34" s="258">
        <f>_xlfn.XLOOKUP(FMS_Ranking4[[#This Row],[FMS ID]],FMS_Input[FMS_ID],FMS_Input[REDSTRUCT100])</f>
        <v>473</v>
      </c>
      <c r="AK34" s="253">
        <f>_xlfn.XLOOKUP(FMS_Ranking4[[#This Row],[FMS ID]],FMS_Input[FMS_ID],FMS_Input[REMSTRC100])</f>
        <v>473</v>
      </c>
      <c r="AL34" s="259">
        <f>(ASINH(FMS_Ranking4[[#This Row],[Structures Removed Raw]]))*(10)/(ASINH(AK$4))</f>
        <v>7.8017685545203914</v>
      </c>
      <c r="AM34" s="262">
        <f>FMS_Ranking4[[#This Row],[Structures removed, ArcSinh (0-10)]]*AK$5*10</f>
        <v>7.8017685545203914</v>
      </c>
      <c r="AN34" s="253">
        <f>_xlfn.XLOOKUP(FMS_Ranking4[[#This Row],[FMS ID]],FMS_Input[FMS_ID],FMS_Input[REMRESSTRC100])</f>
        <v>203</v>
      </c>
      <c r="AO34" s="261">
        <f>FMS_Ranking4[[#This Row],[ArcSinh Res struct removed 0-10]]*AN$5*10</f>
        <v>3.5228886550363665</v>
      </c>
      <c r="AP34" s="254">
        <f>ASINH(FMS_Ranking4[[#This Row],[Residential Structures Removed Raw]])/AP$4*AN$5*100</f>
        <v>3.5228886550363656</v>
      </c>
      <c r="AQ34" s="254">
        <f>(ASINH(FMS_Ranking4[[#This Row],[Residential Structures Removed Raw]]))*(10)/(ASINH(AN$4))</f>
        <v>7.0457773100727321</v>
      </c>
      <c r="AR34" s="253">
        <f>_xlfn.XLOOKUP(FMS_Ranking4[[#This Row],[FMS ID]],FMS_Input[FMS_ID],FMS_Input[REMPOP100])</f>
        <v>996</v>
      </c>
      <c r="AS34" s="259">
        <f>(ASINH(FMS_Ranking4[[#This Row],[Removed Pop Raw]]))*(10)/(ASINH(AR$4))</f>
        <v>7.4572671296549329</v>
      </c>
      <c r="AT34" s="262">
        <f>FMS_Ranking4[[#This Row],[Removed population, ArcSinh (0-10)]]*AR$5*10</f>
        <v>7.4572671296549329</v>
      </c>
      <c r="AU34" s="264">
        <f>_xlfn.XLOOKUP(FMS_Ranking4[[#This Row],[FMS ID]],FMS_Input[FMS_ID],FMS_Input[REMCRITFAC100])</f>
        <v>0</v>
      </c>
      <c r="AV34" s="264">
        <f>_xlfn.XLOOKUP(FMS_Ranking4[[#This Row],[FMS ID]],FMS_Input[FMS_ID],FMS_Input[REMLWC100])</f>
        <v>1</v>
      </c>
      <c r="AW34" s="264">
        <f>_xlfn.XLOOKUP(FMS_Ranking4[[#This Row],[FMS ID]],FMS_Input[FMS_ID],FMS_Input[REMROADCLS])</f>
        <v>0</v>
      </c>
      <c r="AX34" s="264">
        <f>_xlfn.XLOOKUP(FMS_Ranking4[[#This Row],[FMS ID]],FMS_Input[FMS_ID],FMS_Input[REMFRMACRE100])</f>
        <v>36323.8671875</v>
      </c>
      <c r="AY34" s="258">
        <f>_xlfn.XLOOKUP(FMS_Ranking4[[#This Row],[FMS ID]],FMS_Input[FMS_ID],FMS_Input[COSTSTRUCT])</f>
        <v>25000</v>
      </c>
      <c r="AZ34" s="253">
        <f>_xlfn.XLOOKUP(FMS_Ranking4[[#This Row],[FMS ID]],FMS_Input[FMS_ID],FMS_Input[NATURE])</f>
        <v>0</v>
      </c>
      <c r="BA34" s="262">
        <f>(((FMS_Ranking4[[#This Row],[% NBS Raw]]/AZ$4)*100)*AZ$5)</f>
        <v>0</v>
      </c>
      <c r="BB34" s="251" t="str">
        <f>_xlfn.XLOOKUP(FMS_Ranking4[[#This Row],[FMS ID]],FMS_Input[FMS_ID],FMS_Input[WATER_SUP])</f>
        <v>No</v>
      </c>
      <c r="BC34" s="265">
        <f>IF(FMS_Ranking4[[#This Row],[Water Supply Raw]]="Yes",10,0)</f>
        <v>0</v>
      </c>
      <c r="BD34" s="266">
        <f>_xlfn.XLOOKUP(FMS_Ranking4[[#This Row],[FMS Type]],FMS_TYPE[FMS_Type],FMS_TYPE[Score])</f>
        <v>2</v>
      </c>
      <c r="BE34" s="267">
        <f>FMS_Ranking4[[#This Row],[FMS_Type Score]]*$BD$5*10</f>
        <v>0.5</v>
      </c>
      <c r="BF3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1.2367164460316786</v>
      </c>
      <c r="BG34" s="271">
        <f>_xlfn.RANK.EQ(BF34,$BF$8:$BF$870,0)+COUNTIF($BF$8:BF34,BF34)-1</f>
        <v>121</v>
      </c>
      <c r="BH34" s="268">
        <f>(((FMS_Ranking4[[#This Row],[Structures Removed Raw]]/AK$4)*100)*AK$5)+(((FMS_Ranking4[[#This Row],[Removed Pop Raw]]/AR$4)*100)*AR$5)</f>
        <v>2.2004188426695297</v>
      </c>
      <c r="BI3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3.9371352887012083</v>
      </c>
      <c r="BJ34" s="205">
        <f>_xlfn.RANK.EQ(FMS_Ranking4[[#This Row],[Total Score 
(with linear
normalization)]],FMS_Ranking4[Total Score 
(with linear
normalization)],0)</f>
        <v>135</v>
      </c>
      <c r="BK34" s="205" t="e">
        <f>_xlfn.XLOOKUP(FMS_Ranking4[[#This Row],[FMS ID]],#REF!,#REF!)</f>
        <v>#REF!</v>
      </c>
      <c r="BL3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46.658211328667541</v>
      </c>
      <c r="BM34" s="272">
        <f>FMS_Ranking4[[#This Row],[ArcSinh Score Based on Normalized Reported Factors]]+FMS_Ranking4[[#This Row],[% NBS Score (Normalized)]]+(FMS_Ranking4[[#This Row],[Water Supply Score (Normalized)]]*10*$BB$5)+FMS_Ranking4[[#This Row],[FMS_Type Score Weighted]]</f>
        <v>47.158211328667541</v>
      </c>
      <c r="BN34" s="205">
        <f>_xlfn.RANK.EQ(FMS_Ranking4[[#This Row],[Total Score (with ArcSinh normalization of select criteria)]],FMS_Ranking4[Total Score (with ArcSinh normalization of select criteria)],0)</f>
        <v>26</v>
      </c>
      <c r="BO34" s="270" t="str">
        <f>_xlfn.XLOOKUP(FMS_Ranking4[[#This Row],[FMS ID]],FMS_Input[FMS_ID],FMS_Input[FMS_RANK_YEAR])</f>
        <v>2023 Amended Plan</v>
      </c>
      <c r="BP34" s="204">
        <f>_xlfn.XLOOKUP(FMS_Ranking4[[#This Row],[FMS ID]],Prev_Rank[FMS ID],Prev_Rank[Prev Rank])</f>
        <v>43</v>
      </c>
      <c r="BQ34" s="205" t="e">
        <f>_xlfn.XLOOKUP(FMS_Ranking4[[#This Row],[FMS ID]],#REF!,#REF!)</f>
        <v>#REF!</v>
      </c>
      <c r="BR34" s="199" t="e">
        <f>SUM(#REF!,#REF!,#REF!,#REF!,#REF!,#REF!,#REF!,#REF!,#REF!,FMS_Ranking4[[#This Row],[ArcSinh Res struct removed 0-10]],#REF!)</f>
        <v>#REF!</v>
      </c>
      <c r="BS34" s="199" t="e">
        <f>FMS_Ranking4[[#This Row],[Log Score Based on Normalized Reported Factors]]+FMS_Ranking4[[#This Row],[% NBS Score (Normalized)]]+(FMS_Ranking4[[#This Row],[Water Supply Score (Normalized)]]*10*$BB$5)+(FMS_Ranking4[[#This Row],[FMS_Type Score Weighted]])</f>
        <v>#REF!</v>
      </c>
      <c r="BT34" s="200" t="e">
        <f>_xlfn.RANK.EQ(FMS_Ranking4[[#This Row],[Log Total Score]],FMS_Ranking4[Log Total Score],0)</f>
        <v>#REF!</v>
      </c>
      <c r="BU34" s="200" t="e">
        <f>_xlfn.XLOOKUP(FMS_Ranking4[[#This Row],[FMS ID]],#REF!,#REF!)</f>
        <v>#REF!</v>
      </c>
      <c r="BV34" s="200">
        <f>FMS_Ranking4[[#This Row],[Region Number]]</f>
        <v>9</v>
      </c>
      <c r="BW34" s="200">
        <f>FMS_Ranking4[[#This Row],[Rank (with ArcSinh normalization of select criteria)]]-FMS_Ranking4[[#This Row],[Rank
(with linear
normalization)]]</f>
        <v>-109</v>
      </c>
      <c r="BX34" s="200" t="e">
        <f>FMS_Ranking4[[#This Row],[Log Rank]]-FMS_Ranking4[[#This Row],[Rank
(with linear
normalization)]]</f>
        <v>#REF!</v>
      </c>
      <c r="BY34" s="200" t="str">
        <f>IF(FMS_Ranking4[[#This Row],[FMS Type]]="Flood Measurement and Warning",FMS_Ranking4[[#This Row],[Rank (with ArcSinh normalization of select criteria)]],"")</f>
        <v/>
      </c>
      <c r="BZ34" s="200" t="str">
        <f>IF(FMS_Ranking4[[#This Row],[FMS Type]]="Regulatory and Guidance",FMS_Ranking4[[#This Row],[Rank (with ArcSinh normalization of select criteria)]],"")</f>
        <v/>
      </c>
      <c r="CA34" s="200" t="str">
        <f>IF(FMS_Ranking4[[#This Row],[FMS Type]]="Education and Outreach",FMS_Ranking4[[#This Row],[Rank (with ArcSinh normalization of select criteria)]],"")</f>
        <v/>
      </c>
      <c r="CB34" s="200" t="str">
        <f>IF(FMS_Ranking4[[#This Row],[FMS Type]]="Property Acquisition and Structural Elevation",FMS_Ranking4[[#This Row],[Rank (with ArcSinh normalization of select criteria)]],"")</f>
        <v/>
      </c>
      <c r="CC34" s="200" t="str">
        <f>IF(FMS_Ranking4[[#This Row],[FMS Type]]="Infrastructure Projects",FMS_Ranking4[[#This Row],[Rank (with ArcSinh normalization of select criteria)]],"")</f>
        <v/>
      </c>
      <c r="CD34" s="200">
        <f>IF(FMS_Ranking4[[#This Row],[FMS Type]]="Other",FMS_Ranking4[[#This Row],[Rank (with ArcSinh normalization of select criteria)]],"")</f>
        <v>26</v>
      </c>
      <c r="CE34" s="201"/>
    </row>
    <row r="35" spans="2:83" ht="90" x14ac:dyDescent="0.25">
      <c r="B35" s="341" t="s">
        <v>1823</v>
      </c>
      <c r="C35" s="246">
        <f>_xlfn.XLOOKUP(FMS_Ranking4[[#This Row],[FMS ID]],FMS_Input[FMS_ID],FMS_Input[RFPG_NUM])</f>
        <v>3</v>
      </c>
      <c r="D35" s="309" t="str">
        <f>_xlfn.XLOOKUP(FMS_Ranking4[[#This Row],[FMS ID]],FMS_Input[FMS_ID],FMS_Input[FMS_NAME])</f>
        <v xml:space="preserve">Dallas County Floodplain Management </v>
      </c>
      <c r="E35" s="308" t="str">
        <f>_xlfn.XLOOKUP(FMS_Ranking4[[#This Row],[FMS ID]],FMS_Input[FMS_ID],FMS_Input[SPONSOR])</f>
        <v>Dallas County</v>
      </c>
      <c r="F35" s="309" t="str">
        <f>_xlfn.XLOOKUP(FMS_Ranking4[[#This Row],[FMS ID]],Sponsor[FMS_ID],Sponsor[SPONSOR NAME])</f>
        <v>Dallas County</v>
      </c>
      <c r="G35" s="309" t="str">
        <f>_xlfn.XLOOKUP(FMS_Ranking4[[#This Row],[FMS ID]],FMS_Input[FMS_ID],FMS_Input[FMS_DESCR])</f>
        <v>Manage the Floodplain beyond the minimum requirements. This action will include developing an incentive program for building above the required freeboard minimum</v>
      </c>
      <c r="H35" s="248" t="str">
        <f>_xlfn.XLOOKUP(FMS_Ranking4[[#This Row],[FMS ID]],FMS_Input[FMS_ID],FMS_Input[FMS_TYPE])</f>
        <v>Regulatory and Guidance</v>
      </c>
      <c r="I35" s="249">
        <f>_xlfn.XLOOKUP(FMS_Ranking4[[#This Row],[FMS ID]],FMS_Input[FMS_ID],FMS_Input[NRNC_COST])</f>
        <v>1000000</v>
      </c>
      <c r="J35" s="250">
        <f>_xlfn.XLOOKUP(FMS_Ranking4[[#This Row],[FMS ID]],FMS_Input[FMS_ID],FMS_Input[FMS_COST])</f>
        <v>1000000</v>
      </c>
      <c r="K35" s="251" t="str">
        <f>_xlfn.XLOOKUP(FMS_Ranking4[[#This Row],[FMS ID]],FMS_Input[FMS_ID],FMS_Input[EMER_NEED])</f>
        <v>No</v>
      </c>
      <c r="L35" s="252">
        <f t="shared" si="0"/>
        <v>0</v>
      </c>
      <c r="M35" s="253">
        <f>_xlfn.XLOOKUP(FMS_Ranking4[[#This Row],[FMS ID]],FMS_Input[FMS_ID],FMS_Input[STRUCT_100])</f>
        <v>22225</v>
      </c>
      <c r="N35" s="255">
        <f>(ASINH(FMS_Ranking4[[#This Row],[Structure at Risk Raw]]))*(10)/(ASINH(M$4))</f>
        <v>8.413459986465222</v>
      </c>
      <c r="O35" s="256">
        <f>FMS_Ranking4[[#This Row],[Structures at risk, ArcSinh (0-10)]]*M$5*10</f>
        <v>8.413459986465222</v>
      </c>
      <c r="P35" s="253">
        <f>_xlfn.XLOOKUP(FMS_Ranking4[[#This Row],[FMS ID]],FMS_Input[FMS_ID],FMS_Input[RES_STRUCT100])</f>
        <v>20521</v>
      </c>
      <c r="Q35" s="257">
        <f>ASINH(FMS_Ranking4[[#This Row],[Res Structure Raw]])/Q$4*P$5*100</f>
        <v>0</v>
      </c>
      <c r="R35" s="253">
        <f>_xlfn.XLOOKUP(FMS_Ranking4[[#This Row],[FMS ID]],FMS_Input[FMS_ID],FMS_Input[POP100])</f>
        <v>105914</v>
      </c>
      <c r="S35" s="259">
        <f>(ASINH(FMS_Ranking4[[#This Row],[Pop at Risk Raw]]))*(10)/(ASINH(R$4))</f>
        <v>8.4662286498114732</v>
      </c>
      <c r="T35" s="256">
        <f>FMS_Ranking4[[#This Row],[Population at risk, ArcSinh (0-10)]]*R$5*10</f>
        <v>8.4662286498114732</v>
      </c>
      <c r="U35" s="253">
        <f>_xlfn.XLOOKUP(FMS_Ranking4[[#This Row],[FMS ID]],FMS_Input[FMS_ID],FMS_Input[CRITFAC100])</f>
        <v>369</v>
      </c>
      <c r="V35" s="259">
        <f>(ASINH(FMS_Ranking4[[#This Row],[Critical Facilities Raw]]))*(10)/(ASINH(U$4))</f>
        <v>7.8175140472338498</v>
      </c>
      <c r="W35" s="256">
        <f>FMS_Ranking4[[#This Row],[Critical facilities at risk, ArcSinh (0-10)]]*U$5*10</f>
        <v>7.8175140472338498</v>
      </c>
      <c r="X35" s="253">
        <f>_xlfn.XLOOKUP(FMS_Ranking4[[#This Row],[FMS ID]],FMS_Input[FMS_ID],FMS_Input[LWC])</f>
        <v>387</v>
      </c>
      <c r="Y35" s="259">
        <f>(ASINH(FMS_Ranking4[[#This Row],[LWC Raw]]))*(10)/(ASINH(X$4))</f>
        <v>9.0111379615044935</v>
      </c>
      <c r="Z35" s="256">
        <f>FMS_Ranking4[[#This Row],[LWC, ArcSInh (0-10)]]*X$5*10</f>
        <v>9.0111379615044935</v>
      </c>
      <c r="AA35" s="253">
        <f>_xlfn.XLOOKUP(FMS_Ranking4[[#This Row],[FMS ID]],FMS_Input[FMS_ID],FMS_Input[ROADCLS])</f>
        <v>0</v>
      </c>
      <c r="AB35" s="255">
        <f>(ASINH(FMS_Ranking4[[#This Row],[Road Closures Raw]]))*(10)/(ASINH(AA$4))</f>
        <v>0</v>
      </c>
      <c r="AC35" s="256">
        <f>FMS_Ranking4[[#This Row],[Road closures, ArcSinh (0-10)]]*AA$5*10</f>
        <v>0</v>
      </c>
      <c r="AD35" s="253">
        <f>_xlfn.XLOOKUP(FMS_Ranking4[[#This Row],[FMS ID]],FMS_Input[FMS_ID],FMS_Input[ROAD_MILES100])</f>
        <v>791</v>
      </c>
      <c r="AE35" s="259">
        <f>(ASINH(FMS_Ranking4[[#This Row],[Road Miles Raw]]))*(10)/(ASINH(AD$4))</f>
        <v>7.8506042662984106</v>
      </c>
      <c r="AF35" s="256">
        <f>FMS_Ranking4[[#This Row],[Length of roads at risk, ArcSinh (0-10)]]*AD$5*10</f>
        <v>7.8506042662984115</v>
      </c>
      <c r="AG35" s="253">
        <f>_xlfn.XLOOKUP(FMS_Ranking4[[#This Row],[FMS ID]],FMS_Input[FMS_ID],FMS_Input[FARMACRE100])</f>
        <v>31557.6796875</v>
      </c>
      <c r="AH35" s="255">
        <f>(ASINH(FMS_Ranking4[[#This Row],[Ag Land Raw]]))*(10)/(ASINH(AG$4))</f>
        <v>7.1796417288252785</v>
      </c>
      <c r="AI35" s="260">
        <f>FMS_Ranking4[[#This Row],[Farm &amp; ranch land, ArcSinh (0-10)]]*AG$5*10</f>
        <v>3.5898208644126397</v>
      </c>
      <c r="AJ35" s="258">
        <f>_xlfn.XLOOKUP(FMS_Ranking4[[#This Row],[FMS ID]],FMS_Input[FMS_ID],FMS_Input[REDSTRUCT100])</f>
        <v>0</v>
      </c>
      <c r="AK35" s="253">
        <f>_xlfn.XLOOKUP(FMS_Ranking4[[#This Row],[FMS ID]],FMS_Input[FMS_ID],FMS_Input[REMSTRC100])</f>
        <v>0</v>
      </c>
      <c r="AL35" s="259">
        <f>(ASINH(FMS_Ranking4[[#This Row],[Structures Removed Raw]]))*(10)/(ASINH(AK$4))</f>
        <v>0</v>
      </c>
      <c r="AM35" s="262">
        <f>FMS_Ranking4[[#This Row],[Structures removed, ArcSinh (0-10)]]*AK$5*10</f>
        <v>0</v>
      </c>
      <c r="AN35" s="253">
        <f>_xlfn.XLOOKUP(FMS_Ranking4[[#This Row],[FMS ID]],FMS_Input[FMS_ID],FMS_Input[REMRESSTRC100])</f>
        <v>0</v>
      </c>
      <c r="AO35" s="261">
        <f>FMS_Ranking4[[#This Row],[ArcSinh Res struct removed 0-10]]*AN$5*10</f>
        <v>0</v>
      </c>
      <c r="AP35" s="254">
        <f>ASINH(FMS_Ranking4[[#This Row],[Residential Structures Removed Raw]])/AP$4*AN$5*100</f>
        <v>0</v>
      </c>
      <c r="AQ35" s="254">
        <f>(ASINH(FMS_Ranking4[[#This Row],[Residential Structures Removed Raw]]))*(10)/(ASINH(AN$4))</f>
        <v>0</v>
      </c>
      <c r="AR35" s="253">
        <f>_xlfn.XLOOKUP(FMS_Ranking4[[#This Row],[FMS ID]],FMS_Input[FMS_ID],FMS_Input[REMPOP100])</f>
        <v>0</v>
      </c>
      <c r="AS35" s="259">
        <f>(ASINH(FMS_Ranking4[[#This Row],[Removed Pop Raw]]))*(10)/(ASINH(AR$4))</f>
        <v>0</v>
      </c>
      <c r="AT35" s="262">
        <f>FMS_Ranking4[[#This Row],[Removed population, ArcSinh (0-10)]]*AR$5*10</f>
        <v>0</v>
      </c>
      <c r="AU35" s="264">
        <f>_xlfn.XLOOKUP(FMS_Ranking4[[#This Row],[FMS ID]],FMS_Input[FMS_ID],FMS_Input[REMCRITFAC100])</f>
        <v>0</v>
      </c>
      <c r="AV35" s="264">
        <f>_xlfn.XLOOKUP(FMS_Ranking4[[#This Row],[FMS ID]],FMS_Input[FMS_ID],FMS_Input[REMLWC100])</f>
        <v>0</v>
      </c>
      <c r="AW35" s="264">
        <f>_xlfn.XLOOKUP(FMS_Ranking4[[#This Row],[FMS ID]],FMS_Input[FMS_ID],FMS_Input[REMROADCLS])</f>
        <v>0</v>
      </c>
      <c r="AX35" s="264">
        <f>_xlfn.XLOOKUP(FMS_Ranking4[[#This Row],[FMS ID]],FMS_Input[FMS_ID],FMS_Input[REMFRMACRE100])</f>
        <v>0</v>
      </c>
      <c r="AY35" s="258">
        <f>_xlfn.XLOOKUP(FMS_Ranking4[[#This Row],[FMS ID]],FMS_Input[FMS_ID],FMS_Input[COSTSTRUCT])</f>
        <v>0</v>
      </c>
      <c r="AZ35" s="253">
        <f>_xlfn.XLOOKUP(FMS_Ranking4[[#This Row],[FMS ID]],FMS_Input[FMS_ID],FMS_Input[NATURE])</f>
        <v>0</v>
      </c>
      <c r="BA35" s="262">
        <f>(((FMS_Ranking4[[#This Row],[% NBS Raw]]/AZ$4)*100)*AZ$5)</f>
        <v>0</v>
      </c>
      <c r="BB35" s="251" t="str">
        <f>_xlfn.XLOOKUP(FMS_Ranking4[[#This Row],[FMS ID]],FMS_Input[FMS_ID],FMS_Input[WATER_SUP])</f>
        <v>No</v>
      </c>
      <c r="BC35" s="265">
        <f>IF(FMS_Ranking4[[#This Row],[Water Supply Raw]]="Yes",10,0)</f>
        <v>0</v>
      </c>
      <c r="BD35" s="266">
        <f>_xlfn.XLOOKUP(FMS_Ranking4[[#This Row],[FMS Type]],FMS_TYPE[FMS_Type],FMS_TYPE[Score])</f>
        <v>8</v>
      </c>
      <c r="BE35" s="267">
        <f>FMS_Ranking4[[#This Row],[FMS_Type Score]]*$BD$5*10</f>
        <v>2</v>
      </c>
      <c r="BF3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10.210876500614324</v>
      </c>
      <c r="BG35" s="271">
        <f>_xlfn.RANK.EQ(BF35,$BF$8:$BF$870,0)+COUNTIF($BF$8:BF35,BF35)-1</f>
        <v>43</v>
      </c>
      <c r="BH35" s="268">
        <f>(((FMS_Ranking4[[#This Row],[Structures Removed Raw]]/AK$4)*100)*AK$5)+(((FMS_Ranking4[[#This Row],[Removed Pop Raw]]/AR$4)*100)*AR$5)</f>
        <v>0</v>
      </c>
      <c r="BI3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12.210876500614324</v>
      </c>
      <c r="BJ35" s="205">
        <f>_xlfn.RANK.EQ(FMS_Ranking4[[#This Row],[Total Score 
(with linear
normalization)]],FMS_Ranking4[Total Score 
(with linear
normalization)],0)</f>
        <v>46</v>
      </c>
      <c r="BK35" s="205" t="e">
        <f>_xlfn.XLOOKUP(FMS_Ranking4[[#This Row],[FMS ID]],#REF!,#REF!)</f>
        <v>#REF!</v>
      </c>
      <c r="BL3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45.148765775726091</v>
      </c>
      <c r="BM35" s="272">
        <f>FMS_Ranking4[[#This Row],[ArcSinh Score Based on Normalized Reported Factors]]+FMS_Ranking4[[#This Row],[% NBS Score (Normalized)]]+(FMS_Ranking4[[#This Row],[Water Supply Score (Normalized)]]*10*$BB$5)+FMS_Ranking4[[#This Row],[FMS_Type Score Weighted]]</f>
        <v>47.148765775726091</v>
      </c>
      <c r="BN35" s="205">
        <f>_xlfn.RANK.EQ(FMS_Ranking4[[#This Row],[Total Score (with ArcSinh normalization of select criteria)]],FMS_Ranking4[Total Score (with ArcSinh normalization of select criteria)],0)</f>
        <v>28</v>
      </c>
      <c r="BO35" s="270" t="str">
        <f>_xlfn.XLOOKUP(FMS_Ranking4[[#This Row],[FMS ID]],FMS_Input[FMS_ID],FMS_Input[FMS_RANK_YEAR])</f>
        <v>2023 Amended Plan</v>
      </c>
      <c r="BP35" s="204">
        <f>_xlfn.XLOOKUP(FMS_Ranking4[[#This Row],[FMS ID]],Prev_Rank[FMS ID],Prev_Rank[Prev Rank])</f>
        <v>24</v>
      </c>
      <c r="BQ35" s="205" t="e">
        <f>_xlfn.XLOOKUP(FMS_Ranking4[[#This Row],[FMS ID]],#REF!,#REF!)</f>
        <v>#REF!</v>
      </c>
      <c r="BR35" s="199" t="e">
        <f>SUM(#REF!,#REF!,#REF!,#REF!,#REF!,#REF!,#REF!,#REF!,#REF!,FMS_Ranking4[[#This Row],[ArcSinh Res struct removed 0-10]],#REF!)</f>
        <v>#REF!</v>
      </c>
      <c r="BS35" s="199" t="e">
        <f>FMS_Ranking4[[#This Row],[Log Score Based on Normalized Reported Factors]]+FMS_Ranking4[[#This Row],[% NBS Score (Normalized)]]+(FMS_Ranking4[[#This Row],[Water Supply Score (Normalized)]]*10*$BB$5)+(FMS_Ranking4[[#This Row],[FMS_Type Score Weighted]])</f>
        <v>#REF!</v>
      </c>
      <c r="BT35" s="200" t="e">
        <f>_xlfn.RANK.EQ(FMS_Ranking4[[#This Row],[Log Total Score]],FMS_Ranking4[Log Total Score],0)</f>
        <v>#REF!</v>
      </c>
      <c r="BU35" s="200" t="e">
        <f>_xlfn.XLOOKUP(FMS_Ranking4[[#This Row],[FMS ID]],#REF!,#REF!)</f>
        <v>#REF!</v>
      </c>
      <c r="BV35" s="200">
        <f>FMS_Ranking4[[#This Row],[Region Number]]</f>
        <v>3</v>
      </c>
      <c r="BW35" s="200">
        <f>FMS_Ranking4[[#This Row],[Rank (with ArcSinh normalization of select criteria)]]-FMS_Ranking4[[#This Row],[Rank
(with linear
normalization)]]</f>
        <v>-18</v>
      </c>
      <c r="BX35" s="200" t="e">
        <f>FMS_Ranking4[[#This Row],[Log Rank]]-FMS_Ranking4[[#This Row],[Rank
(with linear
normalization)]]</f>
        <v>#REF!</v>
      </c>
      <c r="BY35" s="200" t="str">
        <f>IF(FMS_Ranking4[[#This Row],[FMS Type]]="Flood Measurement and Warning",FMS_Ranking4[[#This Row],[Rank (with ArcSinh normalization of select criteria)]],"")</f>
        <v/>
      </c>
      <c r="BZ35" s="200">
        <f>IF(FMS_Ranking4[[#This Row],[FMS Type]]="Regulatory and Guidance",FMS_Ranking4[[#This Row],[Rank (with ArcSinh normalization of select criteria)]],"")</f>
        <v>28</v>
      </c>
      <c r="CA35" s="200" t="str">
        <f>IF(FMS_Ranking4[[#This Row],[FMS Type]]="Education and Outreach",FMS_Ranking4[[#This Row],[Rank (with ArcSinh normalization of select criteria)]],"")</f>
        <v/>
      </c>
      <c r="CB35" s="200" t="str">
        <f>IF(FMS_Ranking4[[#This Row],[FMS Type]]="Property Acquisition and Structural Elevation",FMS_Ranking4[[#This Row],[Rank (with ArcSinh normalization of select criteria)]],"")</f>
        <v/>
      </c>
      <c r="CC35" s="200" t="str">
        <f>IF(FMS_Ranking4[[#This Row],[FMS Type]]="Infrastructure Projects",FMS_Ranking4[[#This Row],[Rank (with ArcSinh normalization of select criteria)]],"")</f>
        <v/>
      </c>
      <c r="CD35" s="200" t="str">
        <f>IF(FMS_Ranking4[[#This Row],[FMS Type]]="Other",FMS_Ranking4[[#This Row],[Rank (with ArcSinh normalization of select criteria)]],"")</f>
        <v/>
      </c>
      <c r="CE35" s="201"/>
    </row>
    <row r="36" spans="2:83" ht="135" x14ac:dyDescent="0.25">
      <c r="B36" s="341" t="s">
        <v>3410</v>
      </c>
      <c r="C36" s="246">
        <f>_xlfn.XLOOKUP(FMS_Ranking4[[#This Row],[FMS ID]],FMS_Input[FMS_ID],FMS_Input[RFPG_NUM])</f>
        <v>11</v>
      </c>
      <c r="D36" s="309" t="str">
        <f>_xlfn.XLOOKUP(FMS_Ranking4[[#This Row],[FMS ID]],FMS_Input[FMS_ID],FMS_Input[FMS_NAME])</f>
        <v>Education and Outreach</v>
      </c>
      <c r="E36" s="308" t="str">
        <f>_xlfn.XLOOKUP(FMS_Ranking4[[#This Row],[FMS ID]],FMS_Input[FMS_ID],FMS_Input[SPONSOR])</f>
        <v>11003546</v>
      </c>
      <c r="F36" s="309" t="str">
        <f>_xlfn.XLOOKUP(FMS_Ranking4[[#This Row],[FMS ID]],Sponsor[FMS_ID],Sponsor[SPONSOR NAME])</f>
        <v>Guadalupe Regional Flood Planning Group</v>
      </c>
      <c r="G36" s="309" t="str">
        <f>_xlfn.XLOOKUP(FMS_Ranking4[[#This Row],[FMS ID]],FMS_Input[FMS_ID],FMS_Input[FMS_DESCR])</f>
        <v>Activities not limited to implementing/improving flood education and awareness programs for residents, elected officials, and real estate agents/developers; and flood insurance campaigns to reduce flood risk and increase NFIP participation.</v>
      </c>
      <c r="H36" s="248" t="str">
        <f>_xlfn.XLOOKUP(FMS_Ranking4[[#This Row],[FMS ID]],FMS_Input[FMS_ID],FMS_Input[FMS_TYPE])</f>
        <v>Education and Outreach</v>
      </c>
      <c r="I36" s="249">
        <f>_xlfn.XLOOKUP(FMS_Ranking4[[#This Row],[FMS ID]],FMS_Input[FMS_ID],FMS_Input[NRNC_COST])</f>
        <v>978000</v>
      </c>
      <c r="J36" s="250">
        <f>_xlfn.XLOOKUP(FMS_Ranking4[[#This Row],[FMS ID]],FMS_Input[FMS_ID],FMS_Input[FMS_COST])</f>
        <v>978000</v>
      </c>
      <c r="K36" s="251" t="str">
        <f>_xlfn.XLOOKUP(FMS_Ranking4[[#This Row],[FMS ID]],FMS_Input[FMS_ID],FMS_Input[EMER_NEED])</f>
        <v>No</v>
      </c>
      <c r="L36" s="252">
        <f t="shared" si="0"/>
        <v>0</v>
      </c>
      <c r="M36" s="253">
        <f>_xlfn.XLOOKUP(FMS_Ranking4[[#This Row],[FMS ID]],FMS_Input[FMS_ID],FMS_Input[STRUCT_100])</f>
        <v>27069</v>
      </c>
      <c r="N36" s="255">
        <f>(ASINH(FMS_Ranking4[[#This Row],[Structure at Risk Raw]]))*(10)/(ASINH(M$4))</f>
        <v>8.5684660487830211</v>
      </c>
      <c r="O36" s="256">
        <f>FMS_Ranking4[[#This Row],[Structures at risk, ArcSinh (0-10)]]*M$5*10</f>
        <v>8.5684660487830211</v>
      </c>
      <c r="P36" s="253">
        <f>_xlfn.XLOOKUP(FMS_Ranking4[[#This Row],[FMS ID]],FMS_Input[FMS_ID],FMS_Input[RES_STRUCT100])</f>
        <v>18879</v>
      </c>
      <c r="Q36" s="257">
        <f>ASINH(FMS_Ranking4[[#This Row],[Res Structure Raw]])/Q$4*P$5*100</f>
        <v>0</v>
      </c>
      <c r="R36" s="253">
        <f>_xlfn.XLOOKUP(FMS_Ranking4[[#This Row],[FMS ID]],FMS_Input[FMS_ID],FMS_Input[POP100])</f>
        <v>62638</v>
      </c>
      <c r="S36" s="255">
        <f>(ASINH(FMS_Ranking4[[#This Row],[Pop at Risk Raw]]))*(10)/(ASINH(R$4))</f>
        <v>8.1036143222230006</v>
      </c>
      <c r="T36" s="256">
        <f>FMS_Ranking4[[#This Row],[Population at risk, ArcSinh (0-10)]]*R$5*10</f>
        <v>8.1036143222230006</v>
      </c>
      <c r="U36" s="253">
        <f>_xlfn.XLOOKUP(FMS_Ranking4[[#This Row],[FMS ID]],FMS_Input[FMS_ID],FMS_Input[CRITFAC100])</f>
        <v>136</v>
      </c>
      <c r="V36" s="255">
        <f>(ASINH(FMS_Ranking4[[#This Row],[Critical Facilities Raw]]))*(10)/(ASINH(U$4))</f>
        <v>6.6359634548699029</v>
      </c>
      <c r="W36" s="256">
        <f>FMS_Ranking4[[#This Row],[Critical facilities at risk, ArcSinh (0-10)]]*U$5*10</f>
        <v>6.6359634548699029</v>
      </c>
      <c r="X36" s="253">
        <f>_xlfn.XLOOKUP(FMS_Ranking4[[#This Row],[FMS ID]],FMS_Input[FMS_ID],FMS_Input[LWC])</f>
        <v>661</v>
      </c>
      <c r="Y36" s="255">
        <f>(ASINH(FMS_Ranking4[[#This Row],[LWC Raw]]))*(10)/(ASINH(X$4))</f>
        <v>9.7363670941482745</v>
      </c>
      <c r="Z36" s="256">
        <f>FMS_Ranking4[[#This Row],[LWC, ArcSInh (0-10)]]*X$5*10</f>
        <v>9.7363670941482745</v>
      </c>
      <c r="AA36" s="253">
        <f>_xlfn.XLOOKUP(FMS_Ranking4[[#This Row],[FMS ID]],FMS_Input[FMS_ID],FMS_Input[ROADCLS])</f>
        <v>0</v>
      </c>
      <c r="AB36" s="255">
        <f>(ASINH(FMS_Ranking4[[#This Row],[Road Closures Raw]]))*(10)/(ASINH(AA$4))</f>
        <v>0</v>
      </c>
      <c r="AC36" s="256">
        <f>FMS_Ranking4[[#This Row],[Road closures, ArcSinh (0-10)]]*AA$5*10</f>
        <v>0</v>
      </c>
      <c r="AD36" s="253">
        <f>_xlfn.XLOOKUP(FMS_Ranking4[[#This Row],[FMS ID]],FMS_Input[FMS_ID],FMS_Input[ROAD_MILES100])</f>
        <v>935</v>
      </c>
      <c r="AE36" s="255">
        <f>(ASINH(FMS_Ranking4[[#This Row],[Road Miles Raw]]))*(10)/(ASINH(AD$4))</f>
        <v>8.028845097682872</v>
      </c>
      <c r="AF36" s="256">
        <f>FMS_Ranking4[[#This Row],[Length of roads at risk, ArcSinh (0-10)]]*AD$5*10</f>
        <v>8.028845097682872</v>
      </c>
      <c r="AG36" s="253">
        <f>_xlfn.XLOOKUP(FMS_Ranking4[[#This Row],[FMS ID]],FMS_Input[FMS_ID],FMS_Input[FARMACRE100])</f>
        <v>360251.3125</v>
      </c>
      <c r="AH36" s="255">
        <f>(ASINH(FMS_Ranking4[[#This Row],[Ag Land Raw]]))*(10)/(ASINH(AG$4))</f>
        <v>8.7613628013886231</v>
      </c>
      <c r="AI36" s="260">
        <f>FMS_Ranking4[[#This Row],[Farm &amp; ranch land, ArcSinh (0-10)]]*AG$5*10</f>
        <v>4.3806814006943116</v>
      </c>
      <c r="AJ36" s="258">
        <f>_xlfn.XLOOKUP(FMS_Ranking4[[#This Row],[FMS ID]],FMS_Input[FMS_ID],FMS_Input[REDSTRUCT100])</f>
        <v>0</v>
      </c>
      <c r="AK36" s="253">
        <f>_xlfn.XLOOKUP(FMS_Ranking4[[#This Row],[FMS ID]],FMS_Input[FMS_ID],FMS_Input[REMSTRC100])</f>
        <v>0</v>
      </c>
      <c r="AL36" s="255">
        <f>(ASINH(FMS_Ranking4[[#This Row],[Structures Removed Raw]]))*(10)/(ASINH(AK$4))</f>
        <v>0</v>
      </c>
      <c r="AM36" s="262">
        <f>FMS_Ranking4[[#This Row],[Structures removed, ArcSinh (0-10)]]*AK$5*10</f>
        <v>0</v>
      </c>
      <c r="AN36" s="253">
        <f>_xlfn.XLOOKUP(FMS_Ranking4[[#This Row],[FMS ID]],FMS_Input[FMS_ID],FMS_Input[REMRESSTRC100])</f>
        <v>0</v>
      </c>
      <c r="AO36" s="261">
        <f>FMS_Ranking4[[#This Row],[ArcSinh Res struct removed 0-10]]*AN$5*10</f>
        <v>0</v>
      </c>
      <c r="AP36" s="254">
        <f>ASINH(FMS_Ranking4[[#This Row],[Residential Structures Removed Raw]])/AP$4*AN$5*100</f>
        <v>0</v>
      </c>
      <c r="AQ36" s="258">
        <f>(ASINH(FMS_Ranking4[[#This Row],[Residential Structures Removed Raw]]))*(10)/(ASINH(AN$4))</f>
        <v>0</v>
      </c>
      <c r="AR36" s="253">
        <f>_xlfn.XLOOKUP(FMS_Ranking4[[#This Row],[FMS ID]],FMS_Input[FMS_ID],FMS_Input[REMPOP100])</f>
        <v>0</v>
      </c>
      <c r="AS36" s="255">
        <f>(ASINH(FMS_Ranking4[[#This Row],[Removed Pop Raw]]))*(10)/(ASINH(AR$4))</f>
        <v>0</v>
      </c>
      <c r="AT36" s="262">
        <f>FMS_Ranking4[[#This Row],[Removed population, ArcSinh (0-10)]]*AR$5*10</f>
        <v>0</v>
      </c>
      <c r="AU36" s="264">
        <f>_xlfn.XLOOKUP(FMS_Ranking4[[#This Row],[FMS ID]],FMS_Input[FMS_ID],FMS_Input[REMCRITFAC100])</f>
        <v>0</v>
      </c>
      <c r="AV36" s="264">
        <f>_xlfn.XLOOKUP(FMS_Ranking4[[#This Row],[FMS ID]],FMS_Input[FMS_ID],FMS_Input[REMLWC100])</f>
        <v>0</v>
      </c>
      <c r="AW36" s="264">
        <f>_xlfn.XLOOKUP(FMS_Ranking4[[#This Row],[FMS ID]],FMS_Input[FMS_ID],FMS_Input[REMROADCLS])</f>
        <v>0</v>
      </c>
      <c r="AX36" s="264">
        <f>_xlfn.XLOOKUP(FMS_Ranking4[[#This Row],[FMS ID]],FMS_Input[FMS_ID],FMS_Input[REMFRMACRE100])</f>
        <v>0</v>
      </c>
      <c r="AY36" s="258">
        <f>_xlfn.XLOOKUP(FMS_Ranking4[[#This Row],[FMS ID]],FMS_Input[FMS_ID],FMS_Input[COSTSTRUCT])</f>
        <v>0</v>
      </c>
      <c r="AZ36" s="253">
        <f>_xlfn.XLOOKUP(FMS_Ranking4[[#This Row],[FMS ID]],FMS_Input[FMS_ID],FMS_Input[NATURE])</f>
        <v>0</v>
      </c>
      <c r="BA36" s="262">
        <f>(((FMS_Ranking4[[#This Row],[% NBS Raw]]/AZ$4)*100)*AZ$5)</f>
        <v>0</v>
      </c>
      <c r="BB36" s="251" t="str">
        <f>_xlfn.XLOOKUP(FMS_Ranking4[[#This Row],[FMS ID]],FMS_Input[FMS_ID],FMS_Input[WATER_SUP])</f>
        <v>No</v>
      </c>
      <c r="BC36" s="265">
        <f>IF(FMS_Ranking4[[#This Row],[Water Supply Raw]]="Yes",10,0)</f>
        <v>0</v>
      </c>
      <c r="BD36" s="266">
        <f>_xlfn.XLOOKUP(FMS_Ranking4[[#This Row],[FMS Type]],FMS_TYPE[FMS_Type],FMS_TYPE[Score])</f>
        <v>6</v>
      </c>
      <c r="BE36" s="267">
        <f>FMS_Ranking4[[#This Row],[FMS_Type Score]]*$BD$5*10</f>
        <v>1.5000000000000002</v>
      </c>
      <c r="BF3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13.390546788117057</v>
      </c>
      <c r="BG36" s="321">
        <f>_xlfn.RANK.EQ(BF36,$BF$8:$BF$870,0)+COUNTIF($BF$8:BF36,BF36)-1</f>
        <v>28</v>
      </c>
      <c r="BH36" s="294">
        <f>(((FMS_Ranking4[[#This Row],[Structures Removed Raw]]/AK$4)*100)*AK$5)+(((FMS_Ranking4[[#This Row],[Removed Pop Raw]]/AR$4)*100)*AR$5)</f>
        <v>0</v>
      </c>
      <c r="BI3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14.890546788117057</v>
      </c>
      <c r="BJ36" s="251">
        <f>_xlfn.RANK.EQ(FMS_Ranking4[[#This Row],[Total Score 
(with linear
normalization)]],FMS_Ranking4[Total Score 
(with linear
normalization)],0)</f>
        <v>31</v>
      </c>
      <c r="BK36" s="251" t="e">
        <f>_xlfn.XLOOKUP(FMS_Ranking4[[#This Row],[FMS ID]],#REF!,#REF!)</f>
        <v>#REF!</v>
      </c>
      <c r="BL3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45.453937418401381</v>
      </c>
      <c r="BM36" s="324">
        <f>FMS_Ranking4[[#This Row],[ArcSinh Score Based on Normalized Reported Factors]]+FMS_Ranking4[[#This Row],[% NBS Score (Normalized)]]+(FMS_Ranking4[[#This Row],[Water Supply Score (Normalized)]]*10*$BB$5)+FMS_Ranking4[[#This Row],[FMS_Type Score Weighted]]</f>
        <v>46.953937418401381</v>
      </c>
      <c r="BN36" s="251">
        <f>_xlfn.RANK.EQ(FMS_Ranking4[[#This Row],[Total Score (with ArcSinh normalization of select criteria)]],FMS_Ranking4[Total Score (with ArcSinh normalization of select criteria)],0)</f>
        <v>29</v>
      </c>
      <c r="BO36" s="270" t="str">
        <f>_xlfn.XLOOKUP(FMS_Ranking4[[#This Row],[FMS ID]],FMS_Input[FMS_ID],FMS_Input[FMS_RANK_YEAR])</f>
        <v>2023 Amended Plan</v>
      </c>
      <c r="BP36" s="204">
        <f>_xlfn.XLOOKUP(FMS_Ranking4[[#This Row],[FMS ID]],Prev_Rank[FMS ID],Prev_Rank[Prev Rank])</f>
        <v>26</v>
      </c>
      <c r="BQ36" s="251" t="e">
        <f>_xlfn.XLOOKUP(FMS_Ranking4[[#This Row],[FMS ID]],#REF!,#REF!)</f>
        <v>#REF!</v>
      </c>
      <c r="BR36" s="199" t="e">
        <f>SUM(#REF!,#REF!,#REF!,#REF!,#REF!,#REF!,#REF!,#REF!,#REF!,FMS_Ranking4[[#This Row],[ArcSinh Res struct removed 0-10]],#REF!)</f>
        <v>#REF!</v>
      </c>
      <c r="BS36" s="199" t="e">
        <f>FMS_Ranking4[[#This Row],[Log Score Based on Normalized Reported Factors]]+FMS_Ranking4[[#This Row],[% NBS Score (Normalized)]]+(FMS_Ranking4[[#This Row],[Water Supply Score (Normalized)]]*10*$BB$5)+(FMS_Ranking4[[#This Row],[FMS_Type Score Weighted]])</f>
        <v>#REF!</v>
      </c>
      <c r="BT36" s="200" t="e">
        <f>_xlfn.RANK.EQ(FMS_Ranking4[[#This Row],[Log Total Score]],FMS_Ranking4[Log Total Score],0)</f>
        <v>#REF!</v>
      </c>
      <c r="BU36" s="200" t="e">
        <f>_xlfn.XLOOKUP(FMS_Ranking4[[#This Row],[FMS ID]],#REF!,#REF!)</f>
        <v>#REF!</v>
      </c>
      <c r="BV36" s="200">
        <f>FMS_Ranking4[[#This Row],[Region Number]]</f>
        <v>11</v>
      </c>
      <c r="BW36" s="200">
        <f>FMS_Ranking4[[#This Row],[Rank (with ArcSinh normalization of select criteria)]]-FMS_Ranking4[[#This Row],[Rank
(with linear
normalization)]]</f>
        <v>-2</v>
      </c>
      <c r="BX36" s="200" t="e">
        <f>FMS_Ranking4[[#This Row],[Log Rank]]-FMS_Ranking4[[#This Row],[Rank
(with linear
normalization)]]</f>
        <v>#REF!</v>
      </c>
      <c r="BY36" s="200" t="str">
        <f>IF(FMS_Ranking4[[#This Row],[FMS Type]]="Flood Measurement and Warning",FMS_Ranking4[[#This Row],[Rank (with ArcSinh normalization of select criteria)]],"")</f>
        <v/>
      </c>
      <c r="BZ36" s="200" t="str">
        <f>IF(FMS_Ranking4[[#This Row],[FMS Type]]="Regulatory and Guidance",FMS_Ranking4[[#This Row],[Rank (with ArcSinh normalization of select criteria)]],"")</f>
        <v/>
      </c>
      <c r="CA36" s="200">
        <f>IF(FMS_Ranking4[[#This Row],[FMS Type]]="Education and Outreach",FMS_Ranking4[[#This Row],[Rank (with ArcSinh normalization of select criteria)]],"")</f>
        <v>29</v>
      </c>
      <c r="CB36" s="200" t="str">
        <f>IF(FMS_Ranking4[[#This Row],[FMS Type]]="Property Acquisition and Structural Elevation",FMS_Ranking4[[#This Row],[Rank (with ArcSinh normalization of select criteria)]],"")</f>
        <v/>
      </c>
      <c r="CC36" s="200" t="str">
        <f>IF(FMS_Ranking4[[#This Row],[FMS Type]]="Infrastructure Projects",FMS_Ranking4[[#This Row],[Rank (with ArcSinh normalization of select criteria)]],"")</f>
        <v/>
      </c>
      <c r="CD36" s="200" t="str">
        <f>IF(FMS_Ranking4[[#This Row],[FMS Type]]="Other",FMS_Ranking4[[#This Row],[Rank (with ArcSinh normalization of select criteria)]],"")</f>
        <v/>
      </c>
      <c r="CE36" s="201"/>
    </row>
    <row r="37" spans="2:83" ht="75" x14ac:dyDescent="0.25">
      <c r="B37" s="341" t="s">
        <v>2976</v>
      </c>
      <c r="C37" s="246">
        <f>_xlfn.XLOOKUP(FMS_Ranking4[[#This Row],[FMS ID]],FMS_Input[FMS_ID],FMS_Input[RFPG_NUM])</f>
        <v>7</v>
      </c>
      <c r="D37" s="309" t="str">
        <f>_xlfn.XLOOKUP(FMS_Ranking4[[#This Row],[FMS ID]],FMS_Input[FMS_ID],FMS_Input[FMS_NAME])</f>
        <v>Upper Brazos Warning System Outreach Program</v>
      </c>
      <c r="E37" s="308" t="str">
        <f>_xlfn.XLOOKUP(FMS_Ranking4[[#This Row],[FMS ID]],FMS_Input[FMS_ID],FMS_Input[SPONSOR])</f>
        <v>00000275</v>
      </c>
      <c r="F37" s="309" t="str">
        <f>_xlfn.XLOOKUP(FMS_Ranking4[[#This Row],[FMS ID]],Sponsor[FMS_ID],Sponsor[SPONSOR NAME])</f>
        <v>South Plains Association of Governments</v>
      </c>
      <c r="G37" s="309" t="str">
        <f>_xlfn.XLOOKUP(FMS_Ranking4[[#This Row],[FMS ID]],FMS_Input[FMS_ID],FMS_Input[FMS_DESCR])</f>
        <v>Basin wide Study Program: Reach out to proper authorities with jurisdiction to improve on Warning signs, lights, or systems.</v>
      </c>
      <c r="H37" s="248" t="str">
        <f>_xlfn.XLOOKUP(FMS_Ranking4[[#This Row],[FMS ID]],FMS_Input[FMS_ID],FMS_Input[FMS_TYPE])</f>
        <v>Education and Outreach</v>
      </c>
      <c r="I37" s="249">
        <f>_xlfn.XLOOKUP(FMS_Ranking4[[#This Row],[FMS ID]],FMS_Input[FMS_ID],FMS_Input[NRNC_COST])</f>
        <v>100000</v>
      </c>
      <c r="J37" s="250">
        <f>_xlfn.XLOOKUP(FMS_Ranking4[[#This Row],[FMS ID]],FMS_Input[FMS_ID],FMS_Input[FMS_COST])</f>
        <v>100000</v>
      </c>
      <c r="K37" s="251" t="str">
        <f>_xlfn.XLOOKUP(FMS_Ranking4[[#This Row],[FMS ID]],FMS_Input[FMS_ID],FMS_Input[EMER_NEED])</f>
        <v>No</v>
      </c>
      <c r="L37" s="252">
        <f t="shared" si="0"/>
        <v>0</v>
      </c>
      <c r="M37" s="253">
        <f>_xlfn.XLOOKUP(FMS_Ranking4[[#This Row],[FMS ID]],FMS_Input[FMS_ID],FMS_Input[STRUCT_100])</f>
        <v>28532</v>
      </c>
      <c r="N37" s="255">
        <f>(ASINH(FMS_Ranking4[[#This Row],[Structure at Risk Raw]]))*(10)/(ASINH(M$4))</f>
        <v>8.6098466488313239</v>
      </c>
      <c r="O37" s="256">
        <f>FMS_Ranking4[[#This Row],[Structures at risk, ArcSinh (0-10)]]*M$5*10</f>
        <v>8.6098466488313239</v>
      </c>
      <c r="P37" s="253">
        <f>_xlfn.XLOOKUP(FMS_Ranking4[[#This Row],[FMS ID]],FMS_Input[FMS_ID],FMS_Input[RES_STRUCT100])</f>
        <v>19838</v>
      </c>
      <c r="Q37" s="257">
        <f>ASINH(FMS_Ranking4[[#This Row],[Res Structure Raw]])/Q$4*P$5*100</f>
        <v>0</v>
      </c>
      <c r="R37" s="253">
        <f>_xlfn.XLOOKUP(FMS_Ranking4[[#This Row],[FMS ID]],FMS_Input[FMS_ID],FMS_Input[POP100])</f>
        <v>60299</v>
      </c>
      <c r="S37" s="259">
        <f>(ASINH(FMS_Ranking4[[#This Row],[Pop at Risk Raw]]))*(10)/(ASINH(R$4))</f>
        <v>8.0773416337059469</v>
      </c>
      <c r="T37" s="256">
        <f>FMS_Ranking4[[#This Row],[Population at risk, ArcSinh (0-10)]]*R$5*10</f>
        <v>8.0773416337059487</v>
      </c>
      <c r="U37" s="253">
        <f>_xlfn.XLOOKUP(FMS_Ranking4[[#This Row],[FMS ID]],FMS_Input[FMS_ID],FMS_Input[CRITFAC100])</f>
        <v>44</v>
      </c>
      <c r="V37" s="259">
        <f>(ASINH(FMS_Ranking4[[#This Row],[Critical Facilities Raw]]))*(10)/(ASINH(U$4))</f>
        <v>5.3002635905168187</v>
      </c>
      <c r="W37" s="256">
        <f>FMS_Ranking4[[#This Row],[Critical facilities at risk, ArcSinh (0-10)]]*U$5*10</f>
        <v>5.3002635905168196</v>
      </c>
      <c r="X37" s="253">
        <f>_xlfn.XLOOKUP(FMS_Ranking4[[#This Row],[FMS ID]],FMS_Input[FMS_ID],FMS_Input[LWC])</f>
        <v>292</v>
      </c>
      <c r="Y37" s="259">
        <f>(ASINH(FMS_Ranking4[[#This Row],[LWC Raw]]))*(10)/(ASINH(X$4))</f>
        <v>8.6295494756264421</v>
      </c>
      <c r="Z37" s="256">
        <f>FMS_Ranking4[[#This Row],[LWC, ArcSInh (0-10)]]*X$5*10</f>
        <v>8.6295494756264421</v>
      </c>
      <c r="AA37" s="253">
        <f>_xlfn.XLOOKUP(FMS_Ranking4[[#This Row],[FMS ID]],FMS_Input[FMS_ID],FMS_Input[ROADCLS])</f>
        <v>0</v>
      </c>
      <c r="AB37" s="255">
        <f>(ASINH(FMS_Ranking4[[#This Row],[Road Closures Raw]]))*(10)/(ASINH(AA$4))</f>
        <v>0</v>
      </c>
      <c r="AC37" s="256">
        <f>FMS_Ranking4[[#This Row],[Road closures, ArcSinh (0-10)]]*AA$5*10</f>
        <v>0</v>
      </c>
      <c r="AD37" s="253">
        <f>_xlfn.XLOOKUP(FMS_Ranking4[[#This Row],[FMS ID]],FMS_Input[FMS_ID],FMS_Input[ROAD_MILES100])</f>
        <v>5944</v>
      </c>
      <c r="AE37" s="259">
        <f>(ASINH(FMS_Ranking4[[#This Row],[Road Miles Raw]]))*(10)/(ASINH(AD$4))</f>
        <v>10</v>
      </c>
      <c r="AF37" s="256">
        <f>FMS_Ranking4[[#This Row],[Length of roads at risk, ArcSinh (0-10)]]*AD$5*10</f>
        <v>10</v>
      </c>
      <c r="AG37" s="253">
        <f>_xlfn.XLOOKUP(FMS_Ranking4[[#This Row],[FMS ID]],FMS_Input[FMS_ID],FMS_Input[FARMACRE100])</f>
        <v>869137.9375</v>
      </c>
      <c r="AH37" s="255">
        <f>(ASINH(FMS_Ranking4[[#This Row],[Ag Land Raw]]))*(10)/(ASINH(AG$4))</f>
        <v>9.3334491791934653</v>
      </c>
      <c r="AI37" s="260">
        <f>FMS_Ranking4[[#This Row],[Farm &amp; ranch land, ArcSinh (0-10)]]*AG$5*10</f>
        <v>4.6667245895967326</v>
      </c>
      <c r="AJ37" s="258">
        <f>_xlfn.XLOOKUP(FMS_Ranking4[[#This Row],[FMS ID]],FMS_Input[FMS_ID],FMS_Input[REDSTRUCT100])</f>
        <v>0</v>
      </c>
      <c r="AK37" s="253">
        <f>_xlfn.XLOOKUP(FMS_Ranking4[[#This Row],[FMS ID]],FMS_Input[FMS_ID],FMS_Input[REMSTRC100])</f>
        <v>0</v>
      </c>
      <c r="AL37" s="259">
        <f>(ASINH(FMS_Ranking4[[#This Row],[Structures Removed Raw]]))*(10)/(ASINH(AK$4))</f>
        <v>0</v>
      </c>
      <c r="AM37" s="262">
        <f>FMS_Ranking4[[#This Row],[Structures removed, ArcSinh (0-10)]]*AK$5*10</f>
        <v>0</v>
      </c>
      <c r="AN37" s="253">
        <f>_xlfn.XLOOKUP(FMS_Ranking4[[#This Row],[FMS ID]],FMS_Input[FMS_ID],FMS_Input[REMRESSTRC100])</f>
        <v>0</v>
      </c>
      <c r="AO37" s="261">
        <f>FMS_Ranking4[[#This Row],[ArcSinh Res struct removed 0-10]]*AN$5*10</f>
        <v>0</v>
      </c>
      <c r="AP37" s="254">
        <f>ASINH(FMS_Ranking4[[#This Row],[Residential Structures Removed Raw]])/AP$4*AN$5*100</f>
        <v>0</v>
      </c>
      <c r="AQ37" s="254">
        <f>(ASINH(FMS_Ranking4[[#This Row],[Residential Structures Removed Raw]]))*(10)/(ASINH(AN$4))</f>
        <v>0</v>
      </c>
      <c r="AR37" s="253">
        <f>_xlfn.XLOOKUP(FMS_Ranking4[[#This Row],[FMS ID]],FMS_Input[FMS_ID],FMS_Input[REMPOP100])</f>
        <v>0</v>
      </c>
      <c r="AS37" s="259">
        <f>(ASINH(FMS_Ranking4[[#This Row],[Removed Pop Raw]]))*(10)/(ASINH(AR$4))</f>
        <v>0</v>
      </c>
      <c r="AT37" s="262">
        <f>FMS_Ranking4[[#This Row],[Removed population, ArcSinh (0-10)]]*AR$5*10</f>
        <v>0</v>
      </c>
      <c r="AU37" s="264">
        <f>_xlfn.XLOOKUP(FMS_Ranking4[[#This Row],[FMS ID]],FMS_Input[FMS_ID],FMS_Input[REMCRITFAC100])</f>
        <v>0</v>
      </c>
      <c r="AV37" s="264">
        <f>_xlfn.XLOOKUP(FMS_Ranking4[[#This Row],[FMS ID]],FMS_Input[FMS_ID],FMS_Input[REMLWC100])</f>
        <v>0</v>
      </c>
      <c r="AW37" s="264">
        <f>_xlfn.XLOOKUP(FMS_Ranking4[[#This Row],[FMS ID]],FMS_Input[FMS_ID],FMS_Input[REMROADCLS])</f>
        <v>0</v>
      </c>
      <c r="AX37" s="264">
        <f>_xlfn.XLOOKUP(FMS_Ranking4[[#This Row],[FMS ID]],FMS_Input[FMS_ID],FMS_Input[REMFRMACRE100])</f>
        <v>0</v>
      </c>
      <c r="AY37" s="258">
        <f>_xlfn.XLOOKUP(FMS_Ranking4[[#This Row],[FMS ID]],FMS_Input[FMS_ID],FMS_Input[COSTSTRUCT])</f>
        <v>0</v>
      </c>
      <c r="AZ37" s="253">
        <f>_xlfn.XLOOKUP(FMS_Ranking4[[#This Row],[FMS ID]],FMS_Input[FMS_ID],FMS_Input[NATURE])</f>
        <v>0</v>
      </c>
      <c r="BA37" s="262">
        <f>(((FMS_Ranking4[[#This Row],[% NBS Raw]]/AZ$4)*100)*AZ$5)</f>
        <v>0</v>
      </c>
      <c r="BB37" s="251" t="str">
        <f>_xlfn.XLOOKUP(FMS_Ranking4[[#This Row],[FMS ID]],FMS_Input[FMS_ID],FMS_Input[WATER_SUP])</f>
        <v>No</v>
      </c>
      <c r="BC37" s="265">
        <f>IF(FMS_Ranking4[[#This Row],[Water Supply Raw]]="Yes",10,0)</f>
        <v>0</v>
      </c>
      <c r="BD37" s="266">
        <f>_xlfn.XLOOKUP(FMS_Ranking4[[#This Row],[FMS Type]],FMS_TYPE[FMS_Type],FMS_TYPE[Score])</f>
        <v>6</v>
      </c>
      <c r="BE37" s="267">
        <f>FMS_Ranking4[[#This Row],[FMS_Type Score]]*$BD$5*10</f>
        <v>1.5000000000000002</v>
      </c>
      <c r="BF3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17.940506489373767</v>
      </c>
      <c r="BG37" s="271">
        <f>_xlfn.RANK.EQ(BF37,$BF$8:$BF$870,0)+COUNTIF($BF$8:BF37,BF37)-1</f>
        <v>19</v>
      </c>
      <c r="BH37" s="268">
        <f>(((FMS_Ranking4[[#This Row],[Structures Removed Raw]]/AK$4)*100)*AK$5)+(((FMS_Ranking4[[#This Row],[Removed Pop Raw]]/AR$4)*100)*AR$5)</f>
        <v>0</v>
      </c>
      <c r="BI3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19.440506489373767</v>
      </c>
      <c r="BJ37" s="205">
        <f>_xlfn.RANK.EQ(FMS_Ranking4[[#This Row],[Total Score 
(with linear
normalization)]],FMS_Ranking4[Total Score 
(with linear
normalization)],0)</f>
        <v>21</v>
      </c>
      <c r="BK37" s="205" t="e">
        <f>_xlfn.XLOOKUP(FMS_Ranking4[[#This Row],[FMS ID]],#REF!,#REF!)</f>
        <v>#REF!</v>
      </c>
      <c r="BL3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45.283725938277264</v>
      </c>
      <c r="BM37" s="272">
        <f>FMS_Ranking4[[#This Row],[ArcSinh Score Based on Normalized Reported Factors]]+FMS_Ranking4[[#This Row],[% NBS Score (Normalized)]]+(FMS_Ranking4[[#This Row],[Water Supply Score (Normalized)]]*10*$BB$5)+FMS_Ranking4[[#This Row],[FMS_Type Score Weighted]]</f>
        <v>46.783725938277264</v>
      </c>
      <c r="BN37" s="205">
        <f>_xlfn.RANK.EQ(FMS_Ranking4[[#This Row],[Total Score (with ArcSinh normalization of select criteria)]],FMS_Ranking4[Total Score (with ArcSinh normalization of select criteria)],0)</f>
        <v>30</v>
      </c>
      <c r="BO37" s="270" t="str">
        <f>_xlfn.XLOOKUP(FMS_Ranking4[[#This Row],[FMS ID]],FMS_Input[FMS_ID],FMS_Input[FMS_RANK_YEAR])</f>
        <v>2023 Amended Plan</v>
      </c>
      <c r="BP37" s="204">
        <f>_xlfn.XLOOKUP(FMS_Ranking4[[#This Row],[FMS ID]],Prev_Rank[FMS ID],Prev_Rank[Prev Rank])</f>
        <v>27</v>
      </c>
      <c r="BQ37" s="205" t="e">
        <f>_xlfn.XLOOKUP(FMS_Ranking4[[#This Row],[FMS ID]],#REF!,#REF!)</f>
        <v>#REF!</v>
      </c>
      <c r="BR37" s="199" t="e">
        <f>SUM(#REF!,#REF!,#REF!,#REF!,#REF!,#REF!,#REF!,#REF!,#REF!,FMS_Ranking4[[#This Row],[ArcSinh Res struct removed 0-10]],#REF!)</f>
        <v>#REF!</v>
      </c>
      <c r="BS37" s="199" t="e">
        <f>FMS_Ranking4[[#This Row],[Log Score Based on Normalized Reported Factors]]+FMS_Ranking4[[#This Row],[% NBS Score (Normalized)]]+(FMS_Ranking4[[#This Row],[Water Supply Score (Normalized)]]*10*$BB$5)+(FMS_Ranking4[[#This Row],[FMS_Type Score Weighted]])</f>
        <v>#REF!</v>
      </c>
      <c r="BT37" s="200" t="e">
        <f>_xlfn.RANK.EQ(FMS_Ranking4[[#This Row],[Log Total Score]],FMS_Ranking4[Log Total Score],0)</f>
        <v>#REF!</v>
      </c>
      <c r="BU37" s="200" t="e">
        <f>_xlfn.XLOOKUP(FMS_Ranking4[[#This Row],[FMS ID]],#REF!,#REF!)</f>
        <v>#REF!</v>
      </c>
      <c r="BV37" s="200">
        <f>FMS_Ranking4[[#This Row],[Region Number]]</f>
        <v>7</v>
      </c>
      <c r="BW37" s="200">
        <f>FMS_Ranking4[[#This Row],[Rank (with ArcSinh normalization of select criteria)]]-FMS_Ranking4[[#This Row],[Rank
(with linear
normalization)]]</f>
        <v>9</v>
      </c>
      <c r="BX37" s="200" t="e">
        <f>FMS_Ranking4[[#This Row],[Log Rank]]-FMS_Ranking4[[#This Row],[Rank
(with linear
normalization)]]</f>
        <v>#REF!</v>
      </c>
      <c r="BY37" s="200" t="str">
        <f>IF(FMS_Ranking4[[#This Row],[FMS Type]]="Flood Measurement and Warning",FMS_Ranking4[[#This Row],[Rank (with ArcSinh normalization of select criteria)]],"")</f>
        <v/>
      </c>
      <c r="BZ37" s="200" t="str">
        <f>IF(FMS_Ranking4[[#This Row],[FMS Type]]="Regulatory and Guidance",FMS_Ranking4[[#This Row],[Rank (with ArcSinh normalization of select criteria)]],"")</f>
        <v/>
      </c>
      <c r="CA37" s="200">
        <f>IF(FMS_Ranking4[[#This Row],[FMS Type]]="Education and Outreach",FMS_Ranking4[[#This Row],[Rank (with ArcSinh normalization of select criteria)]],"")</f>
        <v>30</v>
      </c>
      <c r="CB37" s="200" t="str">
        <f>IF(FMS_Ranking4[[#This Row],[FMS Type]]="Property Acquisition and Structural Elevation",FMS_Ranking4[[#This Row],[Rank (with ArcSinh normalization of select criteria)]],"")</f>
        <v/>
      </c>
      <c r="CC37" s="200" t="str">
        <f>IF(FMS_Ranking4[[#This Row],[FMS Type]]="Infrastructure Projects",FMS_Ranking4[[#This Row],[Rank (with ArcSinh normalization of select criteria)]],"")</f>
        <v/>
      </c>
      <c r="CD37" s="200" t="str">
        <f>IF(FMS_Ranking4[[#This Row],[FMS Type]]="Other",FMS_Ranking4[[#This Row],[Rank (with ArcSinh normalization of select criteria)]],"")</f>
        <v/>
      </c>
      <c r="CE37" s="201"/>
    </row>
    <row r="38" spans="2:83" ht="60" x14ac:dyDescent="0.25">
      <c r="B38" s="341" t="s">
        <v>2990</v>
      </c>
      <c r="C38" s="246">
        <f>_xlfn.XLOOKUP(FMS_Ranking4[[#This Row],[FMS ID]],FMS_Input[FMS_ID],FMS_Input[RFPG_NUM])</f>
        <v>7</v>
      </c>
      <c r="D38" s="309" t="str">
        <f>_xlfn.XLOOKUP(FMS_Ranking4[[#This Row],[FMS ID]],FMS_Input[FMS_ID],FMS_Input[FMS_NAME])</f>
        <v>Upper Brazos Stormwater Maintenance Outreach Program</v>
      </c>
      <c r="E38" s="308" t="str">
        <f>_xlfn.XLOOKUP(FMS_Ranking4[[#This Row],[FMS ID]],FMS_Input[FMS_ID],FMS_Input[SPONSOR])</f>
        <v>00000275</v>
      </c>
      <c r="F38" s="309" t="str">
        <f>_xlfn.XLOOKUP(FMS_Ranking4[[#This Row],[FMS ID]],Sponsor[FMS_ID],Sponsor[SPONSOR NAME])</f>
        <v>South Plains Association of Governments</v>
      </c>
      <c r="G38" s="309" t="str">
        <f>_xlfn.XLOOKUP(FMS_Ranking4[[#This Row],[FMS ID]],FMS_Input[FMS_ID],FMS_Input[FMS_DESCR])</f>
        <v>Outreach Program: Encourage maintenance programs on storm water infrastructure, Dams, ditches, and channels.</v>
      </c>
      <c r="H38" s="248" t="str">
        <f>_xlfn.XLOOKUP(FMS_Ranking4[[#This Row],[FMS ID]],FMS_Input[FMS_ID],FMS_Input[FMS_TYPE])</f>
        <v>Education and Outreach</v>
      </c>
      <c r="I38" s="249">
        <f>_xlfn.XLOOKUP(FMS_Ranking4[[#This Row],[FMS ID]],FMS_Input[FMS_ID],FMS_Input[NRNC_COST])</f>
        <v>100000</v>
      </c>
      <c r="J38" s="250">
        <f>_xlfn.XLOOKUP(FMS_Ranking4[[#This Row],[FMS ID]],FMS_Input[FMS_ID],FMS_Input[FMS_COST])</f>
        <v>100000</v>
      </c>
      <c r="K38" s="251" t="str">
        <f>_xlfn.XLOOKUP(FMS_Ranking4[[#This Row],[FMS ID]],FMS_Input[FMS_ID],FMS_Input[EMER_NEED])</f>
        <v>No</v>
      </c>
      <c r="L38" s="252">
        <f t="shared" si="0"/>
        <v>0</v>
      </c>
      <c r="M38" s="253">
        <f>_xlfn.XLOOKUP(FMS_Ranking4[[#This Row],[FMS ID]],FMS_Input[FMS_ID],FMS_Input[STRUCT_100])</f>
        <v>28532</v>
      </c>
      <c r="N38" s="255">
        <f>(ASINH(FMS_Ranking4[[#This Row],[Structure at Risk Raw]]))*(10)/(ASINH(M$4))</f>
        <v>8.6098466488313239</v>
      </c>
      <c r="O38" s="256">
        <f>FMS_Ranking4[[#This Row],[Structures at risk, ArcSinh (0-10)]]*M$5*10</f>
        <v>8.6098466488313239</v>
      </c>
      <c r="P38" s="253">
        <f>_xlfn.XLOOKUP(FMS_Ranking4[[#This Row],[FMS ID]],FMS_Input[FMS_ID],FMS_Input[RES_STRUCT100])</f>
        <v>19838</v>
      </c>
      <c r="Q38" s="257">
        <f>ASINH(FMS_Ranking4[[#This Row],[Res Structure Raw]])/Q$4*P$5*100</f>
        <v>0</v>
      </c>
      <c r="R38" s="253">
        <f>_xlfn.XLOOKUP(FMS_Ranking4[[#This Row],[FMS ID]],FMS_Input[FMS_ID],FMS_Input[POP100])</f>
        <v>60299</v>
      </c>
      <c r="S38" s="259">
        <f>(ASINH(FMS_Ranking4[[#This Row],[Pop at Risk Raw]]))*(10)/(ASINH(R$4))</f>
        <v>8.0773416337059469</v>
      </c>
      <c r="T38" s="256">
        <f>FMS_Ranking4[[#This Row],[Population at risk, ArcSinh (0-10)]]*R$5*10</f>
        <v>8.0773416337059487</v>
      </c>
      <c r="U38" s="253">
        <f>_xlfn.XLOOKUP(FMS_Ranking4[[#This Row],[FMS ID]],FMS_Input[FMS_ID],FMS_Input[CRITFAC100])</f>
        <v>44</v>
      </c>
      <c r="V38" s="259">
        <f>(ASINH(FMS_Ranking4[[#This Row],[Critical Facilities Raw]]))*(10)/(ASINH(U$4))</f>
        <v>5.3002635905168187</v>
      </c>
      <c r="W38" s="256">
        <f>FMS_Ranking4[[#This Row],[Critical facilities at risk, ArcSinh (0-10)]]*U$5*10</f>
        <v>5.3002635905168196</v>
      </c>
      <c r="X38" s="253">
        <f>_xlfn.XLOOKUP(FMS_Ranking4[[#This Row],[FMS ID]],FMS_Input[FMS_ID],FMS_Input[LWC])</f>
        <v>292</v>
      </c>
      <c r="Y38" s="259">
        <f>(ASINH(FMS_Ranking4[[#This Row],[LWC Raw]]))*(10)/(ASINH(X$4))</f>
        <v>8.6295494756264421</v>
      </c>
      <c r="Z38" s="256">
        <f>FMS_Ranking4[[#This Row],[LWC, ArcSInh (0-10)]]*X$5*10</f>
        <v>8.6295494756264421</v>
      </c>
      <c r="AA38" s="253">
        <f>_xlfn.XLOOKUP(FMS_Ranking4[[#This Row],[FMS ID]],FMS_Input[FMS_ID],FMS_Input[ROADCLS])</f>
        <v>0</v>
      </c>
      <c r="AB38" s="255">
        <f>(ASINH(FMS_Ranking4[[#This Row],[Road Closures Raw]]))*(10)/(ASINH(AA$4))</f>
        <v>0</v>
      </c>
      <c r="AC38" s="256">
        <f>FMS_Ranking4[[#This Row],[Road closures, ArcSinh (0-10)]]*AA$5*10</f>
        <v>0</v>
      </c>
      <c r="AD38" s="253">
        <f>_xlfn.XLOOKUP(FMS_Ranking4[[#This Row],[FMS ID]],FMS_Input[FMS_ID],FMS_Input[ROAD_MILES100])</f>
        <v>5944</v>
      </c>
      <c r="AE38" s="259">
        <f>(ASINH(FMS_Ranking4[[#This Row],[Road Miles Raw]]))*(10)/(ASINH(AD$4))</f>
        <v>10</v>
      </c>
      <c r="AF38" s="256">
        <f>FMS_Ranking4[[#This Row],[Length of roads at risk, ArcSinh (0-10)]]*AD$5*10</f>
        <v>10</v>
      </c>
      <c r="AG38" s="253">
        <f>_xlfn.XLOOKUP(FMS_Ranking4[[#This Row],[FMS ID]],FMS_Input[FMS_ID],FMS_Input[FARMACRE100])</f>
        <v>869137.9375</v>
      </c>
      <c r="AH38" s="255">
        <f>(ASINH(FMS_Ranking4[[#This Row],[Ag Land Raw]]))*(10)/(ASINH(AG$4))</f>
        <v>9.3334491791934653</v>
      </c>
      <c r="AI38" s="260">
        <f>FMS_Ranking4[[#This Row],[Farm &amp; ranch land, ArcSinh (0-10)]]*AG$5*10</f>
        <v>4.6667245895967326</v>
      </c>
      <c r="AJ38" s="258">
        <f>_xlfn.XLOOKUP(FMS_Ranking4[[#This Row],[FMS ID]],FMS_Input[FMS_ID],FMS_Input[REDSTRUCT100])</f>
        <v>0</v>
      </c>
      <c r="AK38" s="253">
        <f>_xlfn.XLOOKUP(FMS_Ranking4[[#This Row],[FMS ID]],FMS_Input[FMS_ID],FMS_Input[REMSTRC100])</f>
        <v>0</v>
      </c>
      <c r="AL38" s="259">
        <f>(ASINH(FMS_Ranking4[[#This Row],[Structures Removed Raw]]))*(10)/(ASINH(AK$4))</f>
        <v>0</v>
      </c>
      <c r="AM38" s="262">
        <f>FMS_Ranking4[[#This Row],[Structures removed, ArcSinh (0-10)]]*AK$5*10</f>
        <v>0</v>
      </c>
      <c r="AN38" s="253">
        <f>_xlfn.XLOOKUP(FMS_Ranking4[[#This Row],[FMS ID]],FMS_Input[FMS_ID],FMS_Input[REMRESSTRC100])</f>
        <v>0</v>
      </c>
      <c r="AO38" s="261">
        <f>FMS_Ranking4[[#This Row],[ArcSinh Res struct removed 0-10]]*AN$5*10</f>
        <v>0</v>
      </c>
      <c r="AP38" s="254">
        <f>ASINH(FMS_Ranking4[[#This Row],[Residential Structures Removed Raw]])/AP$4*AN$5*100</f>
        <v>0</v>
      </c>
      <c r="AQ38" s="254">
        <f>(ASINH(FMS_Ranking4[[#This Row],[Residential Structures Removed Raw]]))*(10)/(ASINH(AN$4))</f>
        <v>0</v>
      </c>
      <c r="AR38" s="253">
        <f>_xlfn.XLOOKUP(FMS_Ranking4[[#This Row],[FMS ID]],FMS_Input[FMS_ID],FMS_Input[REMPOP100])</f>
        <v>0</v>
      </c>
      <c r="AS38" s="259">
        <f>(ASINH(FMS_Ranking4[[#This Row],[Removed Pop Raw]]))*(10)/(ASINH(AR$4))</f>
        <v>0</v>
      </c>
      <c r="AT38" s="262">
        <f>FMS_Ranking4[[#This Row],[Removed population, ArcSinh (0-10)]]*AR$5*10</f>
        <v>0</v>
      </c>
      <c r="AU38" s="264">
        <f>_xlfn.XLOOKUP(FMS_Ranking4[[#This Row],[FMS ID]],FMS_Input[FMS_ID],FMS_Input[REMCRITFAC100])</f>
        <v>0</v>
      </c>
      <c r="AV38" s="264">
        <f>_xlfn.XLOOKUP(FMS_Ranking4[[#This Row],[FMS ID]],FMS_Input[FMS_ID],FMS_Input[REMLWC100])</f>
        <v>0</v>
      </c>
      <c r="AW38" s="264">
        <f>_xlfn.XLOOKUP(FMS_Ranking4[[#This Row],[FMS ID]],FMS_Input[FMS_ID],FMS_Input[REMROADCLS])</f>
        <v>0</v>
      </c>
      <c r="AX38" s="264">
        <f>_xlfn.XLOOKUP(FMS_Ranking4[[#This Row],[FMS ID]],FMS_Input[FMS_ID],FMS_Input[REMFRMACRE100])</f>
        <v>0</v>
      </c>
      <c r="AY38" s="258">
        <f>_xlfn.XLOOKUP(FMS_Ranking4[[#This Row],[FMS ID]],FMS_Input[FMS_ID],FMS_Input[COSTSTRUCT])</f>
        <v>0</v>
      </c>
      <c r="AZ38" s="253">
        <f>_xlfn.XLOOKUP(FMS_Ranking4[[#This Row],[FMS ID]],FMS_Input[FMS_ID],FMS_Input[NATURE])</f>
        <v>0</v>
      </c>
      <c r="BA38" s="262">
        <f>(((FMS_Ranking4[[#This Row],[% NBS Raw]]/AZ$4)*100)*AZ$5)</f>
        <v>0</v>
      </c>
      <c r="BB38" s="251" t="str">
        <f>_xlfn.XLOOKUP(FMS_Ranking4[[#This Row],[FMS ID]],FMS_Input[FMS_ID],FMS_Input[WATER_SUP])</f>
        <v>No</v>
      </c>
      <c r="BC38" s="265">
        <f>IF(FMS_Ranking4[[#This Row],[Water Supply Raw]]="Yes",10,0)</f>
        <v>0</v>
      </c>
      <c r="BD38" s="266">
        <f>_xlfn.XLOOKUP(FMS_Ranking4[[#This Row],[FMS Type]],FMS_TYPE[FMS_Type],FMS_TYPE[Score])</f>
        <v>6</v>
      </c>
      <c r="BE38" s="267">
        <f>FMS_Ranking4[[#This Row],[FMS_Type Score]]*$BD$5*10</f>
        <v>1.5000000000000002</v>
      </c>
      <c r="BF3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17.940506489373767</v>
      </c>
      <c r="BG38" s="271">
        <f>_xlfn.RANK.EQ(BF38,$BF$8:$BF$870,0)+COUNTIF($BF$8:BF38,BF38)-1</f>
        <v>20</v>
      </c>
      <c r="BH38" s="268">
        <f>(((FMS_Ranking4[[#This Row],[Structures Removed Raw]]/AK$4)*100)*AK$5)+(((FMS_Ranking4[[#This Row],[Removed Pop Raw]]/AR$4)*100)*AR$5)</f>
        <v>0</v>
      </c>
      <c r="BI3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19.440506489373767</v>
      </c>
      <c r="BJ38" s="205">
        <f>_xlfn.RANK.EQ(FMS_Ranking4[[#This Row],[Total Score 
(with linear
normalization)]],FMS_Ranking4[Total Score 
(with linear
normalization)],0)</f>
        <v>21</v>
      </c>
      <c r="BK38" s="205" t="e">
        <f>_xlfn.XLOOKUP(FMS_Ranking4[[#This Row],[FMS ID]],#REF!,#REF!)</f>
        <v>#REF!</v>
      </c>
      <c r="BL3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45.283725938277264</v>
      </c>
      <c r="BM38" s="272">
        <f>FMS_Ranking4[[#This Row],[ArcSinh Score Based on Normalized Reported Factors]]+FMS_Ranking4[[#This Row],[% NBS Score (Normalized)]]+(FMS_Ranking4[[#This Row],[Water Supply Score (Normalized)]]*10*$BB$5)+FMS_Ranking4[[#This Row],[FMS_Type Score Weighted]]</f>
        <v>46.783725938277264</v>
      </c>
      <c r="BN38" s="205">
        <f>_xlfn.RANK.EQ(FMS_Ranking4[[#This Row],[Total Score (with ArcSinh normalization of select criteria)]],FMS_Ranking4[Total Score (with ArcSinh normalization of select criteria)],0)</f>
        <v>30</v>
      </c>
      <c r="BO38" s="270" t="str">
        <f>_xlfn.XLOOKUP(FMS_Ranking4[[#This Row],[FMS ID]],FMS_Input[FMS_ID],FMS_Input[FMS_RANK_YEAR])</f>
        <v>2023 Amended Plan</v>
      </c>
      <c r="BP38" s="204">
        <f>_xlfn.XLOOKUP(FMS_Ranking4[[#This Row],[FMS ID]],Prev_Rank[FMS ID],Prev_Rank[Prev Rank])</f>
        <v>27</v>
      </c>
      <c r="BQ38" s="205" t="e">
        <f>_xlfn.XLOOKUP(FMS_Ranking4[[#This Row],[FMS ID]],#REF!,#REF!)</f>
        <v>#REF!</v>
      </c>
      <c r="BR38" s="199" t="e">
        <f>SUM(#REF!,#REF!,#REF!,#REF!,#REF!,#REF!,#REF!,#REF!,#REF!,FMS_Ranking4[[#This Row],[ArcSinh Res struct removed 0-10]],#REF!)</f>
        <v>#REF!</v>
      </c>
      <c r="BS38" s="199" t="e">
        <f>FMS_Ranking4[[#This Row],[Log Score Based on Normalized Reported Factors]]+FMS_Ranking4[[#This Row],[% NBS Score (Normalized)]]+(FMS_Ranking4[[#This Row],[Water Supply Score (Normalized)]]*10*$BB$5)+(FMS_Ranking4[[#This Row],[FMS_Type Score Weighted]])</f>
        <v>#REF!</v>
      </c>
      <c r="BT38" s="200" t="e">
        <f>_xlfn.RANK.EQ(FMS_Ranking4[[#This Row],[Log Total Score]],FMS_Ranking4[Log Total Score],0)</f>
        <v>#REF!</v>
      </c>
      <c r="BU38" s="200" t="e">
        <f>_xlfn.XLOOKUP(FMS_Ranking4[[#This Row],[FMS ID]],#REF!,#REF!)</f>
        <v>#REF!</v>
      </c>
      <c r="BV38" s="200">
        <f>FMS_Ranking4[[#This Row],[Region Number]]</f>
        <v>7</v>
      </c>
      <c r="BW38" s="200">
        <f>FMS_Ranking4[[#This Row],[Rank (with ArcSinh normalization of select criteria)]]-FMS_Ranking4[[#This Row],[Rank
(with linear
normalization)]]</f>
        <v>9</v>
      </c>
      <c r="BX38" s="200" t="e">
        <f>FMS_Ranking4[[#This Row],[Log Rank]]-FMS_Ranking4[[#This Row],[Rank
(with linear
normalization)]]</f>
        <v>#REF!</v>
      </c>
      <c r="BY38" s="200" t="str">
        <f>IF(FMS_Ranking4[[#This Row],[FMS Type]]="Flood Measurement and Warning",FMS_Ranking4[[#This Row],[Rank (with ArcSinh normalization of select criteria)]],"")</f>
        <v/>
      </c>
      <c r="BZ38" s="200" t="str">
        <f>IF(FMS_Ranking4[[#This Row],[FMS Type]]="Regulatory and Guidance",FMS_Ranking4[[#This Row],[Rank (with ArcSinh normalization of select criteria)]],"")</f>
        <v/>
      </c>
      <c r="CA38" s="200">
        <f>IF(FMS_Ranking4[[#This Row],[FMS Type]]="Education and Outreach",FMS_Ranking4[[#This Row],[Rank (with ArcSinh normalization of select criteria)]],"")</f>
        <v>30</v>
      </c>
      <c r="CB38" s="200" t="str">
        <f>IF(FMS_Ranking4[[#This Row],[FMS Type]]="Property Acquisition and Structural Elevation",FMS_Ranking4[[#This Row],[Rank (with ArcSinh normalization of select criteria)]],"")</f>
        <v/>
      </c>
      <c r="CC38" s="200" t="str">
        <f>IF(FMS_Ranking4[[#This Row],[FMS Type]]="Infrastructure Projects",FMS_Ranking4[[#This Row],[Rank (with ArcSinh normalization of select criteria)]],"")</f>
        <v/>
      </c>
      <c r="CD38" s="200" t="str">
        <f>IF(FMS_Ranking4[[#This Row],[FMS Type]]="Other",FMS_Ranking4[[#This Row],[Rank (with ArcSinh normalization of select criteria)]],"")</f>
        <v/>
      </c>
      <c r="CE38" s="201"/>
    </row>
    <row r="39" spans="2:83" ht="75" x14ac:dyDescent="0.25">
      <c r="B39" s="341" t="s">
        <v>2993</v>
      </c>
      <c r="C39" s="246">
        <f>_xlfn.XLOOKUP(FMS_Ranking4[[#This Row],[FMS ID]],FMS_Input[FMS_ID],FMS_Input[RFPG_NUM])</f>
        <v>7</v>
      </c>
      <c r="D39" s="309" t="str">
        <f>_xlfn.XLOOKUP(FMS_Ranking4[[#This Row],[FMS ID]],FMS_Input[FMS_ID],FMS_Input[FMS_NAME])</f>
        <v>Upper Brazos Building Codes Outreach Program</v>
      </c>
      <c r="E39" s="308" t="str">
        <f>_xlfn.XLOOKUP(FMS_Ranking4[[#This Row],[FMS ID]],FMS_Input[FMS_ID],FMS_Input[SPONSOR])</f>
        <v>00000275</v>
      </c>
      <c r="F39" s="309" t="str">
        <f>_xlfn.XLOOKUP(FMS_Ranking4[[#This Row],[FMS ID]],Sponsor[FMS_ID],Sponsor[SPONSOR NAME])</f>
        <v>South Plains Association of Governments</v>
      </c>
      <c r="G39" s="309" t="str">
        <f>_xlfn.XLOOKUP(FMS_Ranking4[[#This Row],[FMS ID]],FMS_Input[FMS_ID],FMS_Input[FMS_DESCR])</f>
        <v>Outreach Program: Encourage communities to adopt current building codes, adopt new construction codes for setting the minimum floor elevation</v>
      </c>
      <c r="H39" s="248" t="str">
        <f>_xlfn.XLOOKUP(FMS_Ranking4[[#This Row],[FMS ID]],FMS_Input[FMS_ID],FMS_Input[FMS_TYPE])</f>
        <v>Education and Outreach</v>
      </c>
      <c r="I39" s="249">
        <f>_xlfn.XLOOKUP(FMS_Ranking4[[#This Row],[FMS ID]],FMS_Input[FMS_ID],FMS_Input[NRNC_COST])</f>
        <v>100000</v>
      </c>
      <c r="J39" s="250">
        <f>_xlfn.XLOOKUP(FMS_Ranking4[[#This Row],[FMS ID]],FMS_Input[FMS_ID],FMS_Input[FMS_COST])</f>
        <v>100000</v>
      </c>
      <c r="K39" s="251" t="str">
        <f>_xlfn.XLOOKUP(FMS_Ranking4[[#This Row],[FMS ID]],FMS_Input[FMS_ID],FMS_Input[EMER_NEED])</f>
        <v>No</v>
      </c>
      <c r="L39" s="252">
        <f t="shared" si="0"/>
        <v>0</v>
      </c>
      <c r="M39" s="253">
        <f>_xlfn.XLOOKUP(FMS_Ranking4[[#This Row],[FMS ID]],FMS_Input[FMS_ID],FMS_Input[STRUCT_100])</f>
        <v>28532</v>
      </c>
      <c r="N39" s="255">
        <f>(ASINH(FMS_Ranking4[[#This Row],[Structure at Risk Raw]]))*(10)/(ASINH(M$4))</f>
        <v>8.6098466488313239</v>
      </c>
      <c r="O39" s="256">
        <f>FMS_Ranking4[[#This Row],[Structures at risk, ArcSinh (0-10)]]*M$5*10</f>
        <v>8.6098466488313239</v>
      </c>
      <c r="P39" s="253">
        <f>_xlfn.XLOOKUP(FMS_Ranking4[[#This Row],[FMS ID]],FMS_Input[FMS_ID],FMS_Input[RES_STRUCT100])</f>
        <v>19838</v>
      </c>
      <c r="Q39" s="257">
        <f>ASINH(FMS_Ranking4[[#This Row],[Res Structure Raw]])/Q$4*P$5*100</f>
        <v>0</v>
      </c>
      <c r="R39" s="253">
        <f>_xlfn.XLOOKUP(FMS_Ranking4[[#This Row],[FMS ID]],FMS_Input[FMS_ID],FMS_Input[POP100])</f>
        <v>60299</v>
      </c>
      <c r="S39" s="255">
        <f>(ASINH(FMS_Ranking4[[#This Row],[Pop at Risk Raw]]))*(10)/(ASINH(R$4))</f>
        <v>8.0773416337059469</v>
      </c>
      <c r="T39" s="256">
        <f>FMS_Ranking4[[#This Row],[Population at risk, ArcSinh (0-10)]]*R$5*10</f>
        <v>8.0773416337059487</v>
      </c>
      <c r="U39" s="253">
        <f>_xlfn.XLOOKUP(FMS_Ranking4[[#This Row],[FMS ID]],FMS_Input[FMS_ID],FMS_Input[CRITFAC100])</f>
        <v>44</v>
      </c>
      <c r="V39" s="255">
        <f>(ASINH(FMS_Ranking4[[#This Row],[Critical Facilities Raw]]))*(10)/(ASINH(U$4))</f>
        <v>5.3002635905168187</v>
      </c>
      <c r="W39" s="256">
        <f>FMS_Ranking4[[#This Row],[Critical facilities at risk, ArcSinh (0-10)]]*U$5*10</f>
        <v>5.3002635905168196</v>
      </c>
      <c r="X39" s="253">
        <f>_xlfn.XLOOKUP(FMS_Ranking4[[#This Row],[FMS ID]],FMS_Input[FMS_ID],FMS_Input[LWC])</f>
        <v>292</v>
      </c>
      <c r="Y39" s="255">
        <f>(ASINH(FMS_Ranking4[[#This Row],[LWC Raw]]))*(10)/(ASINH(X$4))</f>
        <v>8.6295494756264421</v>
      </c>
      <c r="Z39" s="256">
        <f>FMS_Ranking4[[#This Row],[LWC, ArcSInh (0-10)]]*X$5*10</f>
        <v>8.6295494756264421</v>
      </c>
      <c r="AA39" s="253">
        <f>_xlfn.XLOOKUP(FMS_Ranking4[[#This Row],[FMS ID]],FMS_Input[FMS_ID],FMS_Input[ROADCLS])</f>
        <v>0</v>
      </c>
      <c r="AB39" s="255">
        <f>(ASINH(FMS_Ranking4[[#This Row],[Road Closures Raw]]))*(10)/(ASINH(AA$4))</f>
        <v>0</v>
      </c>
      <c r="AC39" s="256">
        <f>FMS_Ranking4[[#This Row],[Road closures, ArcSinh (0-10)]]*AA$5*10</f>
        <v>0</v>
      </c>
      <c r="AD39" s="253">
        <f>_xlfn.XLOOKUP(FMS_Ranking4[[#This Row],[FMS ID]],FMS_Input[FMS_ID],FMS_Input[ROAD_MILES100])</f>
        <v>5944</v>
      </c>
      <c r="AE39" s="255">
        <f>(ASINH(FMS_Ranking4[[#This Row],[Road Miles Raw]]))*(10)/(ASINH(AD$4))</f>
        <v>10</v>
      </c>
      <c r="AF39" s="256">
        <f>FMS_Ranking4[[#This Row],[Length of roads at risk, ArcSinh (0-10)]]*AD$5*10</f>
        <v>10</v>
      </c>
      <c r="AG39" s="253">
        <f>_xlfn.XLOOKUP(FMS_Ranking4[[#This Row],[FMS ID]],FMS_Input[FMS_ID],FMS_Input[FARMACRE100])</f>
        <v>869137.9375</v>
      </c>
      <c r="AH39" s="255">
        <f>(ASINH(FMS_Ranking4[[#This Row],[Ag Land Raw]]))*(10)/(ASINH(AG$4))</f>
        <v>9.3334491791934653</v>
      </c>
      <c r="AI39" s="260">
        <f>FMS_Ranking4[[#This Row],[Farm &amp; ranch land, ArcSinh (0-10)]]*AG$5*10</f>
        <v>4.6667245895967326</v>
      </c>
      <c r="AJ39" s="258">
        <f>_xlfn.XLOOKUP(FMS_Ranking4[[#This Row],[FMS ID]],FMS_Input[FMS_ID],FMS_Input[REDSTRUCT100])</f>
        <v>0</v>
      </c>
      <c r="AK39" s="253">
        <f>_xlfn.XLOOKUP(FMS_Ranking4[[#This Row],[FMS ID]],FMS_Input[FMS_ID],FMS_Input[REMSTRC100])</f>
        <v>0</v>
      </c>
      <c r="AL39" s="255">
        <f>(ASINH(FMS_Ranking4[[#This Row],[Structures Removed Raw]]))*(10)/(ASINH(AK$4))</f>
        <v>0</v>
      </c>
      <c r="AM39" s="262">
        <f>FMS_Ranking4[[#This Row],[Structures removed, ArcSinh (0-10)]]*AK$5*10</f>
        <v>0</v>
      </c>
      <c r="AN39" s="253">
        <f>_xlfn.XLOOKUP(FMS_Ranking4[[#This Row],[FMS ID]],FMS_Input[FMS_ID],FMS_Input[REMRESSTRC100])</f>
        <v>0</v>
      </c>
      <c r="AO39" s="261">
        <f>FMS_Ranking4[[#This Row],[ArcSinh Res struct removed 0-10]]*AN$5*10</f>
        <v>0</v>
      </c>
      <c r="AP39" s="254">
        <f>ASINH(FMS_Ranking4[[#This Row],[Residential Structures Removed Raw]])/AP$4*AN$5*100</f>
        <v>0</v>
      </c>
      <c r="AQ39" s="258">
        <f>(ASINH(FMS_Ranking4[[#This Row],[Residential Structures Removed Raw]]))*(10)/(ASINH(AN$4))</f>
        <v>0</v>
      </c>
      <c r="AR39" s="253">
        <f>_xlfn.XLOOKUP(FMS_Ranking4[[#This Row],[FMS ID]],FMS_Input[FMS_ID],FMS_Input[REMPOP100])</f>
        <v>0</v>
      </c>
      <c r="AS39" s="255">
        <f>(ASINH(FMS_Ranking4[[#This Row],[Removed Pop Raw]]))*(10)/(ASINH(AR$4))</f>
        <v>0</v>
      </c>
      <c r="AT39" s="262">
        <f>FMS_Ranking4[[#This Row],[Removed population, ArcSinh (0-10)]]*AR$5*10</f>
        <v>0</v>
      </c>
      <c r="AU39" s="264">
        <f>_xlfn.XLOOKUP(FMS_Ranking4[[#This Row],[FMS ID]],FMS_Input[FMS_ID],FMS_Input[REMCRITFAC100])</f>
        <v>0</v>
      </c>
      <c r="AV39" s="264">
        <f>_xlfn.XLOOKUP(FMS_Ranking4[[#This Row],[FMS ID]],FMS_Input[FMS_ID],FMS_Input[REMLWC100])</f>
        <v>0</v>
      </c>
      <c r="AW39" s="264">
        <f>_xlfn.XLOOKUP(FMS_Ranking4[[#This Row],[FMS ID]],FMS_Input[FMS_ID],FMS_Input[REMROADCLS])</f>
        <v>0</v>
      </c>
      <c r="AX39" s="264">
        <f>_xlfn.XLOOKUP(FMS_Ranking4[[#This Row],[FMS ID]],FMS_Input[FMS_ID],FMS_Input[REMFRMACRE100])</f>
        <v>0</v>
      </c>
      <c r="AY39" s="258">
        <f>_xlfn.XLOOKUP(FMS_Ranking4[[#This Row],[FMS ID]],FMS_Input[FMS_ID],FMS_Input[COSTSTRUCT])</f>
        <v>0</v>
      </c>
      <c r="AZ39" s="253">
        <f>_xlfn.XLOOKUP(FMS_Ranking4[[#This Row],[FMS ID]],FMS_Input[FMS_ID],FMS_Input[NATURE])</f>
        <v>0</v>
      </c>
      <c r="BA39" s="262">
        <f>(((FMS_Ranking4[[#This Row],[% NBS Raw]]/AZ$4)*100)*AZ$5)</f>
        <v>0</v>
      </c>
      <c r="BB39" s="251" t="str">
        <f>_xlfn.XLOOKUP(FMS_Ranking4[[#This Row],[FMS ID]],FMS_Input[FMS_ID],FMS_Input[WATER_SUP])</f>
        <v>No</v>
      </c>
      <c r="BC39" s="265">
        <f>IF(FMS_Ranking4[[#This Row],[Water Supply Raw]]="Yes",10,0)</f>
        <v>0</v>
      </c>
      <c r="BD39" s="266">
        <f>_xlfn.XLOOKUP(FMS_Ranking4[[#This Row],[FMS Type]],FMS_TYPE[FMS_Type],FMS_TYPE[Score])</f>
        <v>6</v>
      </c>
      <c r="BE39" s="267">
        <f>FMS_Ranking4[[#This Row],[FMS_Type Score]]*$BD$5*10</f>
        <v>1.5000000000000002</v>
      </c>
      <c r="BF3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17.940506489373767</v>
      </c>
      <c r="BG39" s="321">
        <f>_xlfn.RANK.EQ(BF39,$BF$8:$BF$870,0)+COUNTIF($BF$8:BF39,BF39)-1</f>
        <v>21</v>
      </c>
      <c r="BH39" s="294">
        <f>(((FMS_Ranking4[[#This Row],[Structures Removed Raw]]/AK$4)*100)*AK$5)+(((FMS_Ranking4[[#This Row],[Removed Pop Raw]]/AR$4)*100)*AR$5)</f>
        <v>0</v>
      </c>
      <c r="BI3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19.440506489373767</v>
      </c>
      <c r="BJ39" s="251">
        <f>_xlfn.RANK.EQ(FMS_Ranking4[[#This Row],[Total Score 
(with linear
normalization)]],FMS_Ranking4[Total Score 
(with linear
normalization)],0)</f>
        <v>21</v>
      </c>
      <c r="BK39" s="251" t="e">
        <f>_xlfn.XLOOKUP(FMS_Ranking4[[#This Row],[FMS ID]],#REF!,#REF!)</f>
        <v>#REF!</v>
      </c>
      <c r="BL3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45.283725938277264</v>
      </c>
      <c r="BM39" s="324">
        <f>FMS_Ranking4[[#This Row],[ArcSinh Score Based on Normalized Reported Factors]]+FMS_Ranking4[[#This Row],[% NBS Score (Normalized)]]+(FMS_Ranking4[[#This Row],[Water Supply Score (Normalized)]]*10*$BB$5)+FMS_Ranking4[[#This Row],[FMS_Type Score Weighted]]</f>
        <v>46.783725938277264</v>
      </c>
      <c r="BN39" s="251">
        <f>_xlfn.RANK.EQ(FMS_Ranking4[[#This Row],[Total Score (with ArcSinh normalization of select criteria)]],FMS_Ranking4[Total Score (with ArcSinh normalization of select criteria)],0)</f>
        <v>30</v>
      </c>
      <c r="BO39" s="270" t="str">
        <f>_xlfn.XLOOKUP(FMS_Ranking4[[#This Row],[FMS ID]],FMS_Input[FMS_ID],FMS_Input[FMS_RANK_YEAR])</f>
        <v>2023 Amended Plan</v>
      </c>
      <c r="BP39" s="204">
        <f>_xlfn.XLOOKUP(FMS_Ranking4[[#This Row],[FMS ID]],Prev_Rank[FMS ID],Prev_Rank[Prev Rank])</f>
        <v>27</v>
      </c>
      <c r="BQ39" s="251" t="e">
        <f>_xlfn.XLOOKUP(FMS_Ranking4[[#This Row],[FMS ID]],#REF!,#REF!)</f>
        <v>#REF!</v>
      </c>
      <c r="BR39" s="199" t="e">
        <f>SUM(#REF!,#REF!,#REF!,#REF!,#REF!,#REF!,#REF!,#REF!,#REF!,FMS_Ranking4[[#This Row],[ArcSinh Res struct removed 0-10]],#REF!)</f>
        <v>#REF!</v>
      </c>
      <c r="BS39" s="199" t="e">
        <f>FMS_Ranking4[[#This Row],[Log Score Based on Normalized Reported Factors]]+FMS_Ranking4[[#This Row],[% NBS Score (Normalized)]]+(FMS_Ranking4[[#This Row],[Water Supply Score (Normalized)]]*10*$BB$5)+(FMS_Ranking4[[#This Row],[FMS_Type Score Weighted]])</f>
        <v>#REF!</v>
      </c>
      <c r="BT39" s="200" t="e">
        <f>_xlfn.RANK.EQ(FMS_Ranking4[[#This Row],[Log Total Score]],FMS_Ranking4[Log Total Score],0)</f>
        <v>#REF!</v>
      </c>
      <c r="BU39" s="200" t="e">
        <f>_xlfn.XLOOKUP(FMS_Ranking4[[#This Row],[FMS ID]],#REF!,#REF!)</f>
        <v>#REF!</v>
      </c>
      <c r="BV39" s="200">
        <f>FMS_Ranking4[[#This Row],[Region Number]]</f>
        <v>7</v>
      </c>
      <c r="BW39" s="200">
        <f>FMS_Ranking4[[#This Row],[Rank (with ArcSinh normalization of select criteria)]]-FMS_Ranking4[[#This Row],[Rank
(with linear
normalization)]]</f>
        <v>9</v>
      </c>
      <c r="BX39" s="200" t="e">
        <f>FMS_Ranking4[[#This Row],[Log Rank]]-FMS_Ranking4[[#This Row],[Rank
(with linear
normalization)]]</f>
        <v>#REF!</v>
      </c>
      <c r="BY39" s="200" t="str">
        <f>IF(FMS_Ranking4[[#This Row],[FMS Type]]="Flood Measurement and Warning",FMS_Ranking4[[#This Row],[Rank (with ArcSinh normalization of select criteria)]],"")</f>
        <v/>
      </c>
      <c r="BZ39" s="200" t="str">
        <f>IF(FMS_Ranking4[[#This Row],[FMS Type]]="Regulatory and Guidance",FMS_Ranking4[[#This Row],[Rank (with ArcSinh normalization of select criteria)]],"")</f>
        <v/>
      </c>
      <c r="CA39" s="200">
        <f>IF(FMS_Ranking4[[#This Row],[FMS Type]]="Education and Outreach",FMS_Ranking4[[#This Row],[Rank (with ArcSinh normalization of select criteria)]],"")</f>
        <v>30</v>
      </c>
      <c r="CB39" s="200" t="str">
        <f>IF(FMS_Ranking4[[#This Row],[FMS Type]]="Property Acquisition and Structural Elevation",FMS_Ranking4[[#This Row],[Rank (with ArcSinh normalization of select criteria)]],"")</f>
        <v/>
      </c>
      <c r="CC39" s="200" t="str">
        <f>IF(FMS_Ranking4[[#This Row],[FMS Type]]="Infrastructure Projects",FMS_Ranking4[[#This Row],[Rank (with ArcSinh normalization of select criteria)]],"")</f>
        <v/>
      </c>
      <c r="CD39" s="200" t="str">
        <f>IF(FMS_Ranking4[[#This Row],[FMS Type]]="Other",FMS_Ranking4[[#This Row],[Rank (with ArcSinh normalization of select criteria)]],"")</f>
        <v/>
      </c>
      <c r="CE39" s="201"/>
    </row>
    <row r="40" spans="2:83" ht="90" x14ac:dyDescent="0.25">
      <c r="B40" s="341" t="s">
        <v>3095</v>
      </c>
      <c r="C40" s="246">
        <f>_xlfn.XLOOKUP(FMS_Ranking4[[#This Row],[FMS ID]],FMS_Input[FMS_ID],FMS_Input[RFPG_NUM])</f>
        <v>7</v>
      </c>
      <c r="D40" s="309" t="str">
        <f>_xlfn.XLOOKUP(FMS_Ranking4[[#This Row],[FMS ID]],FMS_Input[FMS_ID],FMS_Input[FMS_NAME])</f>
        <v>Upper Brazos Industry Flood Losses Outreach Program</v>
      </c>
      <c r="E40" s="308" t="str">
        <f>_xlfn.XLOOKUP(FMS_Ranking4[[#This Row],[FMS ID]],FMS_Input[FMS_ID],FMS_Input[SPONSOR])</f>
        <v>00000275</v>
      </c>
      <c r="F40" s="309" t="str">
        <f>_xlfn.XLOOKUP(FMS_Ranking4[[#This Row],[FMS ID]],Sponsor[FMS_ID],Sponsor[SPONSOR NAME])</f>
        <v>South Plains Association of Governments</v>
      </c>
      <c r="G40" s="309" t="str">
        <f>_xlfn.XLOOKUP(FMS_Ranking4[[#This Row],[FMS ID]],FMS_Input[FMS_ID],FMS_Input[FMS_DESCR])</f>
        <v>Encourage best practices to reduce the vulnerability of agriculture, ranching, energy and forestry to flood-related losses through community outreach.</v>
      </c>
      <c r="H40" s="248" t="str">
        <f>_xlfn.XLOOKUP(FMS_Ranking4[[#This Row],[FMS ID]],FMS_Input[FMS_ID],FMS_Input[FMS_TYPE])</f>
        <v>Education and Outreach</v>
      </c>
      <c r="I40" s="249">
        <f>_xlfn.XLOOKUP(FMS_Ranking4[[#This Row],[FMS ID]],FMS_Input[FMS_ID],FMS_Input[NRNC_COST])</f>
        <v>100000</v>
      </c>
      <c r="J40" s="250">
        <f>_xlfn.XLOOKUP(FMS_Ranking4[[#This Row],[FMS ID]],FMS_Input[FMS_ID],FMS_Input[FMS_COST])</f>
        <v>100000</v>
      </c>
      <c r="K40" s="251" t="str">
        <f>_xlfn.XLOOKUP(FMS_Ranking4[[#This Row],[FMS ID]],FMS_Input[FMS_ID],FMS_Input[EMER_NEED])</f>
        <v>No</v>
      </c>
      <c r="L40" s="252">
        <f t="shared" si="0"/>
        <v>0</v>
      </c>
      <c r="M40" s="253">
        <f>_xlfn.XLOOKUP(FMS_Ranking4[[#This Row],[FMS ID]],FMS_Input[FMS_ID],FMS_Input[STRUCT_100])</f>
        <v>28532</v>
      </c>
      <c r="N40" s="255">
        <f>(ASINH(FMS_Ranking4[[#This Row],[Structure at Risk Raw]]))*(10)/(ASINH(M$4))</f>
        <v>8.6098466488313239</v>
      </c>
      <c r="O40" s="256">
        <f>FMS_Ranking4[[#This Row],[Structures at risk, ArcSinh (0-10)]]*M$5*10</f>
        <v>8.6098466488313239</v>
      </c>
      <c r="P40" s="253">
        <f>_xlfn.XLOOKUP(FMS_Ranking4[[#This Row],[FMS ID]],FMS_Input[FMS_ID],FMS_Input[RES_STRUCT100])</f>
        <v>19838</v>
      </c>
      <c r="Q40" s="257">
        <f>ASINH(FMS_Ranking4[[#This Row],[Res Structure Raw]])/Q$4*P$5*100</f>
        <v>0</v>
      </c>
      <c r="R40" s="253">
        <f>_xlfn.XLOOKUP(FMS_Ranking4[[#This Row],[FMS ID]],FMS_Input[FMS_ID],FMS_Input[POP100])</f>
        <v>60299</v>
      </c>
      <c r="S40" s="259">
        <f>(ASINH(FMS_Ranking4[[#This Row],[Pop at Risk Raw]]))*(10)/(ASINH(R$4))</f>
        <v>8.0773416337059469</v>
      </c>
      <c r="T40" s="256">
        <f>FMS_Ranking4[[#This Row],[Population at risk, ArcSinh (0-10)]]*R$5*10</f>
        <v>8.0773416337059487</v>
      </c>
      <c r="U40" s="253">
        <f>_xlfn.XLOOKUP(FMS_Ranking4[[#This Row],[FMS ID]],FMS_Input[FMS_ID],FMS_Input[CRITFAC100])</f>
        <v>44</v>
      </c>
      <c r="V40" s="259">
        <f>(ASINH(FMS_Ranking4[[#This Row],[Critical Facilities Raw]]))*(10)/(ASINH(U$4))</f>
        <v>5.3002635905168187</v>
      </c>
      <c r="W40" s="256">
        <f>FMS_Ranking4[[#This Row],[Critical facilities at risk, ArcSinh (0-10)]]*U$5*10</f>
        <v>5.3002635905168196</v>
      </c>
      <c r="X40" s="253">
        <f>_xlfn.XLOOKUP(FMS_Ranking4[[#This Row],[FMS ID]],FMS_Input[FMS_ID],FMS_Input[LWC])</f>
        <v>292</v>
      </c>
      <c r="Y40" s="259">
        <f>(ASINH(FMS_Ranking4[[#This Row],[LWC Raw]]))*(10)/(ASINH(X$4))</f>
        <v>8.6295494756264421</v>
      </c>
      <c r="Z40" s="256">
        <f>FMS_Ranking4[[#This Row],[LWC, ArcSInh (0-10)]]*X$5*10</f>
        <v>8.6295494756264421</v>
      </c>
      <c r="AA40" s="253">
        <f>_xlfn.XLOOKUP(FMS_Ranking4[[#This Row],[FMS ID]],FMS_Input[FMS_ID],FMS_Input[ROADCLS])</f>
        <v>0</v>
      </c>
      <c r="AB40" s="255">
        <f>(ASINH(FMS_Ranking4[[#This Row],[Road Closures Raw]]))*(10)/(ASINH(AA$4))</f>
        <v>0</v>
      </c>
      <c r="AC40" s="256">
        <f>FMS_Ranking4[[#This Row],[Road closures, ArcSinh (0-10)]]*AA$5*10</f>
        <v>0</v>
      </c>
      <c r="AD40" s="253">
        <f>_xlfn.XLOOKUP(FMS_Ranking4[[#This Row],[FMS ID]],FMS_Input[FMS_ID],FMS_Input[ROAD_MILES100])</f>
        <v>5944</v>
      </c>
      <c r="AE40" s="259">
        <f>(ASINH(FMS_Ranking4[[#This Row],[Road Miles Raw]]))*(10)/(ASINH(AD$4))</f>
        <v>10</v>
      </c>
      <c r="AF40" s="256">
        <f>FMS_Ranking4[[#This Row],[Length of roads at risk, ArcSinh (0-10)]]*AD$5*10</f>
        <v>10</v>
      </c>
      <c r="AG40" s="253">
        <f>_xlfn.XLOOKUP(FMS_Ranking4[[#This Row],[FMS ID]],FMS_Input[FMS_ID],FMS_Input[FARMACRE100])</f>
        <v>869137.9375</v>
      </c>
      <c r="AH40" s="255">
        <f>(ASINH(FMS_Ranking4[[#This Row],[Ag Land Raw]]))*(10)/(ASINH(AG$4))</f>
        <v>9.3334491791934653</v>
      </c>
      <c r="AI40" s="260">
        <f>FMS_Ranking4[[#This Row],[Farm &amp; ranch land, ArcSinh (0-10)]]*AG$5*10</f>
        <v>4.6667245895967326</v>
      </c>
      <c r="AJ40" s="258">
        <f>_xlfn.XLOOKUP(FMS_Ranking4[[#This Row],[FMS ID]],FMS_Input[FMS_ID],FMS_Input[REDSTRUCT100])</f>
        <v>0</v>
      </c>
      <c r="AK40" s="253">
        <f>_xlfn.XLOOKUP(FMS_Ranking4[[#This Row],[FMS ID]],FMS_Input[FMS_ID],FMS_Input[REMSTRC100])</f>
        <v>0</v>
      </c>
      <c r="AL40" s="259">
        <f>(ASINH(FMS_Ranking4[[#This Row],[Structures Removed Raw]]))*(10)/(ASINH(AK$4))</f>
        <v>0</v>
      </c>
      <c r="AM40" s="262">
        <f>FMS_Ranking4[[#This Row],[Structures removed, ArcSinh (0-10)]]*AK$5*10</f>
        <v>0</v>
      </c>
      <c r="AN40" s="253">
        <f>_xlfn.XLOOKUP(FMS_Ranking4[[#This Row],[FMS ID]],FMS_Input[FMS_ID],FMS_Input[REMRESSTRC100])</f>
        <v>0</v>
      </c>
      <c r="AO40" s="261">
        <f>FMS_Ranking4[[#This Row],[ArcSinh Res struct removed 0-10]]*AN$5*10</f>
        <v>0</v>
      </c>
      <c r="AP40" s="254">
        <f>ASINH(FMS_Ranking4[[#This Row],[Residential Structures Removed Raw]])/AP$4*AN$5*100</f>
        <v>0</v>
      </c>
      <c r="AQ40" s="254">
        <f>(ASINH(FMS_Ranking4[[#This Row],[Residential Structures Removed Raw]]))*(10)/(ASINH(AN$4))</f>
        <v>0</v>
      </c>
      <c r="AR40" s="253">
        <f>_xlfn.XLOOKUP(FMS_Ranking4[[#This Row],[FMS ID]],FMS_Input[FMS_ID],FMS_Input[REMPOP100])</f>
        <v>0</v>
      </c>
      <c r="AS40" s="259">
        <f>(ASINH(FMS_Ranking4[[#This Row],[Removed Pop Raw]]))*(10)/(ASINH(AR$4))</f>
        <v>0</v>
      </c>
      <c r="AT40" s="262">
        <f>FMS_Ranking4[[#This Row],[Removed population, ArcSinh (0-10)]]*AR$5*10</f>
        <v>0</v>
      </c>
      <c r="AU40" s="264">
        <f>_xlfn.XLOOKUP(FMS_Ranking4[[#This Row],[FMS ID]],FMS_Input[FMS_ID],FMS_Input[REMCRITFAC100])</f>
        <v>0</v>
      </c>
      <c r="AV40" s="264">
        <f>_xlfn.XLOOKUP(FMS_Ranking4[[#This Row],[FMS ID]],FMS_Input[FMS_ID],FMS_Input[REMLWC100])</f>
        <v>0</v>
      </c>
      <c r="AW40" s="264">
        <f>_xlfn.XLOOKUP(FMS_Ranking4[[#This Row],[FMS ID]],FMS_Input[FMS_ID],FMS_Input[REMROADCLS])</f>
        <v>0</v>
      </c>
      <c r="AX40" s="264">
        <f>_xlfn.XLOOKUP(FMS_Ranking4[[#This Row],[FMS ID]],FMS_Input[FMS_ID],FMS_Input[REMFRMACRE100])</f>
        <v>0</v>
      </c>
      <c r="AY40" s="258">
        <f>_xlfn.XLOOKUP(FMS_Ranking4[[#This Row],[FMS ID]],FMS_Input[FMS_ID],FMS_Input[COSTSTRUCT])</f>
        <v>0</v>
      </c>
      <c r="AZ40" s="253">
        <f>_xlfn.XLOOKUP(FMS_Ranking4[[#This Row],[FMS ID]],FMS_Input[FMS_ID],FMS_Input[NATURE])</f>
        <v>0</v>
      </c>
      <c r="BA40" s="262">
        <f>(((FMS_Ranking4[[#This Row],[% NBS Raw]]/AZ$4)*100)*AZ$5)</f>
        <v>0</v>
      </c>
      <c r="BB40" s="251" t="str">
        <f>_xlfn.XLOOKUP(FMS_Ranking4[[#This Row],[FMS ID]],FMS_Input[FMS_ID],FMS_Input[WATER_SUP])</f>
        <v>No</v>
      </c>
      <c r="BC40" s="265">
        <f>IF(FMS_Ranking4[[#This Row],[Water Supply Raw]]="Yes",10,0)</f>
        <v>0</v>
      </c>
      <c r="BD40" s="266">
        <f>_xlfn.XLOOKUP(FMS_Ranking4[[#This Row],[FMS Type]],FMS_TYPE[FMS_Type],FMS_TYPE[Score])</f>
        <v>6</v>
      </c>
      <c r="BE40" s="267">
        <f>FMS_Ranking4[[#This Row],[FMS_Type Score]]*$BD$5*10</f>
        <v>1.5000000000000002</v>
      </c>
      <c r="BF4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17.940506489373767</v>
      </c>
      <c r="BG40" s="271">
        <f>_xlfn.RANK.EQ(BF40,$BF$8:$BF$870,0)+COUNTIF($BF$8:BF40,BF40)-1</f>
        <v>22</v>
      </c>
      <c r="BH40" s="268">
        <f>(((FMS_Ranking4[[#This Row],[Structures Removed Raw]]/AK$4)*100)*AK$5)+(((FMS_Ranking4[[#This Row],[Removed Pop Raw]]/AR$4)*100)*AR$5)</f>
        <v>0</v>
      </c>
      <c r="BI4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19.440506489373767</v>
      </c>
      <c r="BJ40" s="205">
        <f>_xlfn.RANK.EQ(FMS_Ranking4[[#This Row],[Total Score 
(with linear
normalization)]],FMS_Ranking4[Total Score 
(with linear
normalization)],0)</f>
        <v>21</v>
      </c>
      <c r="BK40" s="205" t="e">
        <f>_xlfn.XLOOKUP(FMS_Ranking4[[#This Row],[FMS ID]],#REF!,#REF!)</f>
        <v>#REF!</v>
      </c>
      <c r="BL4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45.283725938277264</v>
      </c>
      <c r="BM40" s="272">
        <f>FMS_Ranking4[[#This Row],[ArcSinh Score Based on Normalized Reported Factors]]+FMS_Ranking4[[#This Row],[% NBS Score (Normalized)]]+(FMS_Ranking4[[#This Row],[Water Supply Score (Normalized)]]*10*$BB$5)+FMS_Ranking4[[#This Row],[FMS_Type Score Weighted]]</f>
        <v>46.783725938277264</v>
      </c>
      <c r="BN40" s="205">
        <f>_xlfn.RANK.EQ(FMS_Ranking4[[#This Row],[Total Score (with ArcSinh normalization of select criteria)]],FMS_Ranking4[Total Score (with ArcSinh normalization of select criteria)],0)</f>
        <v>30</v>
      </c>
      <c r="BO40" s="270" t="str">
        <f>_xlfn.XLOOKUP(FMS_Ranking4[[#This Row],[FMS ID]],FMS_Input[FMS_ID],FMS_Input[FMS_RANK_YEAR])</f>
        <v>2023 Amended Plan</v>
      </c>
      <c r="BP40" s="204">
        <f>_xlfn.XLOOKUP(FMS_Ranking4[[#This Row],[FMS ID]],Prev_Rank[FMS ID],Prev_Rank[Prev Rank])</f>
        <v>27</v>
      </c>
      <c r="BQ40" s="205" t="e">
        <f>_xlfn.XLOOKUP(FMS_Ranking4[[#This Row],[FMS ID]],#REF!,#REF!)</f>
        <v>#REF!</v>
      </c>
      <c r="BR40" s="199" t="e">
        <f>SUM(#REF!,#REF!,#REF!,#REF!,#REF!,#REF!,#REF!,#REF!,#REF!,FMS_Ranking4[[#This Row],[ArcSinh Res struct removed 0-10]],#REF!)</f>
        <v>#REF!</v>
      </c>
      <c r="BS40" s="199" t="e">
        <f>FMS_Ranking4[[#This Row],[Log Score Based on Normalized Reported Factors]]+FMS_Ranking4[[#This Row],[% NBS Score (Normalized)]]+(FMS_Ranking4[[#This Row],[Water Supply Score (Normalized)]]*10*$BB$5)+(FMS_Ranking4[[#This Row],[FMS_Type Score Weighted]])</f>
        <v>#REF!</v>
      </c>
      <c r="BT40" s="200" t="e">
        <f>_xlfn.RANK.EQ(FMS_Ranking4[[#This Row],[Log Total Score]],FMS_Ranking4[Log Total Score],0)</f>
        <v>#REF!</v>
      </c>
      <c r="BU40" s="200" t="e">
        <f>_xlfn.XLOOKUP(FMS_Ranking4[[#This Row],[FMS ID]],#REF!,#REF!)</f>
        <v>#REF!</v>
      </c>
      <c r="BV40" s="200">
        <f>FMS_Ranking4[[#This Row],[Region Number]]</f>
        <v>7</v>
      </c>
      <c r="BW40" s="200">
        <f>FMS_Ranking4[[#This Row],[Rank (with ArcSinh normalization of select criteria)]]-FMS_Ranking4[[#This Row],[Rank
(with linear
normalization)]]</f>
        <v>9</v>
      </c>
      <c r="BX40" s="200" t="e">
        <f>FMS_Ranking4[[#This Row],[Log Rank]]-FMS_Ranking4[[#This Row],[Rank
(with linear
normalization)]]</f>
        <v>#REF!</v>
      </c>
      <c r="BY40" s="200" t="str">
        <f>IF(FMS_Ranking4[[#This Row],[FMS Type]]="Flood Measurement and Warning",FMS_Ranking4[[#This Row],[Rank (with ArcSinh normalization of select criteria)]],"")</f>
        <v/>
      </c>
      <c r="BZ40" s="200" t="str">
        <f>IF(FMS_Ranking4[[#This Row],[FMS Type]]="Regulatory and Guidance",FMS_Ranking4[[#This Row],[Rank (with ArcSinh normalization of select criteria)]],"")</f>
        <v/>
      </c>
      <c r="CA40" s="200">
        <f>IF(FMS_Ranking4[[#This Row],[FMS Type]]="Education and Outreach",FMS_Ranking4[[#This Row],[Rank (with ArcSinh normalization of select criteria)]],"")</f>
        <v>30</v>
      </c>
      <c r="CB40" s="200" t="str">
        <f>IF(FMS_Ranking4[[#This Row],[FMS Type]]="Property Acquisition and Structural Elevation",FMS_Ranking4[[#This Row],[Rank (with ArcSinh normalization of select criteria)]],"")</f>
        <v/>
      </c>
      <c r="CC40" s="200" t="str">
        <f>IF(FMS_Ranking4[[#This Row],[FMS Type]]="Infrastructure Projects",FMS_Ranking4[[#This Row],[Rank (with ArcSinh normalization of select criteria)]],"")</f>
        <v/>
      </c>
      <c r="CD40" s="200" t="str">
        <f>IF(FMS_Ranking4[[#This Row],[FMS Type]]="Other",FMS_Ranking4[[#This Row],[Rank (with ArcSinh normalization of select criteria)]],"")</f>
        <v/>
      </c>
      <c r="CE40" s="201"/>
    </row>
    <row r="41" spans="2:83" ht="105" x14ac:dyDescent="0.25">
      <c r="B41" s="341" t="s">
        <v>3100</v>
      </c>
      <c r="C41" s="246">
        <f>_xlfn.XLOOKUP(FMS_Ranking4[[#This Row],[FMS ID]],FMS_Input[FMS_ID],FMS_Input[RFPG_NUM])</f>
        <v>7</v>
      </c>
      <c r="D41" s="309" t="str">
        <f>_xlfn.XLOOKUP(FMS_Ranking4[[#This Row],[FMS ID]],FMS_Input[FMS_ID],FMS_Input[FMS_NAME])</f>
        <v>Upper Brazos Public Awareness Outreach Program</v>
      </c>
      <c r="E41" s="308" t="str">
        <f>_xlfn.XLOOKUP(FMS_Ranking4[[#This Row],[FMS ID]],FMS_Input[FMS_ID],FMS_Input[SPONSOR])</f>
        <v>00000275</v>
      </c>
      <c r="F41" s="309" t="str">
        <f>_xlfn.XLOOKUP(FMS_Ranking4[[#This Row],[FMS ID]],Sponsor[FMS_ID],Sponsor[SPONSOR NAME])</f>
        <v>South Plains Association of Governments</v>
      </c>
      <c r="G41" s="309" t="str">
        <f>_xlfn.XLOOKUP(FMS_Ranking4[[#This Row],[FMS ID]],FMS_Input[FMS_ID],FMS_Input[FMS_DESCR])</f>
        <v>Encourage annual public outreach and education activities to improve awareness of flood hazards, flood planning, and projects associated with emergency response associated with flooding.</v>
      </c>
      <c r="H41" s="248" t="str">
        <f>_xlfn.XLOOKUP(FMS_Ranking4[[#This Row],[FMS ID]],FMS_Input[FMS_ID],FMS_Input[FMS_TYPE])</f>
        <v>Education and Outreach</v>
      </c>
      <c r="I41" s="249">
        <f>_xlfn.XLOOKUP(FMS_Ranking4[[#This Row],[FMS ID]],FMS_Input[FMS_ID],FMS_Input[NRNC_COST])</f>
        <v>100000</v>
      </c>
      <c r="J41" s="250">
        <f>_xlfn.XLOOKUP(FMS_Ranking4[[#This Row],[FMS ID]],FMS_Input[FMS_ID],FMS_Input[FMS_COST])</f>
        <v>100000</v>
      </c>
      <c r="K41" s="251" t="str">
        <f>_xlfn.XLOOKUP(FMS_Ranking4[[#This Row],[FMS ID]],FMS_Input[FMS_ID],FMS_Input[EMER_NEED])</f>
        <v>No</v>
      </c>
      <c r="L41" s="252">
        <f t="shared" si="0"/>
        <v>0</v>
      </c>
      <c r="M41" s="253">
        <f>_xlfn.XLOOKUP(FMS_Ranking4[[#This Row],[FMS ID]],FMS_Input[FMS_ID],FMS_Input[STRUCT_100])</f>
        <v>28532</v>
      </c>
      <c r="N41" s="255">
        <f>(ASINH(FMS_Ranking4[[#This Row],[Structure at Risk Raw]]))*(10)/(ASINH(M$4))</f>
        <v>8.6098466488313239</v>
      </c>
      <c r="O41" s="256">
        <f>FMS_Ranking4[[#This Row],[Structures at risk, ArcSinh (0-10)]]*M$5*10</f>
        <v>8.6098466488313239</v>
      </c>
      <c r="P41" s="253">
        <f>_xlfn.XLOOKUP(FMS_Ranking4[[#This Row],[FMS ID]],FMS_Input[FMS_ID],FMS_Input[RES_STRUCT100])</f>
        <v>19838</v>
      </c>
      <c r="Q41" s="257">
        <f>ASINH(FMS_Ranking4[[#This Row],[Res Structure Raw]])/Q$4*P$5*100</f>
        <v>0</v>
      </c>
      <c r="R41" s="253">
        <f>_xlfn.XLOOKUP(FMS_Ranking4[[#This Row],[FMS ID]],FMS_Input[FMS_ID],FMS_Input[POP100])</f>
        <v>60299</v>
      </c>
      <c r="S41" s="255">
        <f>(ASINH(FMS_Ranking4[[#This Row],[Pop at Risk Raw]]))*(10)/(ASINH(R$4))</f>
        <v>8.0773416337059469</v>
      </c>
      <c r="T41" s="256">
        <f>FMS_Ranking4[[#This Row],[Population at risk, ArcSinh (0-10)]]*R$5*10</f>
        <v>8.0773416337059487</v>
      </c>
      <c r="U41" s="253">
        <f>_xlfn.XLOOKUP(FMS_Ranking4[[#This Row],[FMS ID]],FMS_Input[FMS_ID],FMS_Input[CRITFAC100])</f>
        <v>44</v>
      </c>
      <c r="V41" s="255">
        <f>(ASINH(FMS_Ranking4[[#This Row],[Critical Facilities Raw]]))*(10)/(ASINH(U$4))</f>
        <v>5.3002635905168187</v>
      </c>
      <c r="W41" s="256">
        <f>FMS_Ranking4[[#This Row],[Critical facilities at risk, ArcSinh (0-10)]]*U$5*10</f>
        <v>5.3002635905168196</v>
      </c>
      <c r="X41" s="253">
        <f>_xlfn.XLOOKUP(FMS_Ranking4[[#This Row],[FMS ID]],FMS_Input[FMS_ID],FMS_Input[LWC])</f>
        <v>292</v>
      </c>
      <c r="Y41" s="255">
        <f>(ASINH(FMS_Ranking4[[#This Row],[LWC Raw]]))*(10)/(ASINH(X$4))</f>
        <v>8.6295494756264421</v>
      </c>
      <c r="Z41" s="256">
        <f>FMS_Ranking4[[#This Row],[LWC, ArcSInh (0-10)]]*X$5*10</f>
        <v>8.6295494756264421</v>
      </c>
      <c r="AA41" s="253">
        <f>_xlfn.XLOOKUP(FMS_Ranking4[[#This Row],[FMS ID]],FMS_Input[FMS_ID],FMS_Input[ROADCLS])</f>
        <v>0</v>
      </c>
      <c r="AB41" s="255">
        <f>(ASINH(FMS_Ranking4[[#This Row],[Road Closures Raw]]))*(10)/(ASINH(AA$4))</f>
        <v>0</v>
      </c>
      <c r="AC41" s="256">
        <f>FMS_Ranking4[[#This Row],[Road closures, ArcSinh (0-10)]]*AA$5*10</f>
        <v>0</v>
      </c>
      <c r="AD41" s="253">
        <f>_xlfn.XLOOKUP(FMS_Ranking4[[#This Row],[FMS ID]],FMS_Input[FMS_ID],FMS_Input[ROAD_MILES100])</f>
        <v>5944</v>
      </c>
      <c r="AE41" s="255">
        <f>(ASINH(FMS_Ranking4[[#This Row],[Road Miles Raw]]))*(10)/(ASINH(AD$4))</f>
        <v>10</v>
      </c>
      <c r="AF41" s="256">
        <f>FMS_Ranking4[[#This Row],[Length of roads at risk, ArcSinh (0-10)]]*AD$5*10</f>
        <v>10</v>
      </c>
      <c r="AG41" s="253">
        <f>_xlfn.XLOOKUP(FMS_Ranking4[[#This Row],[FMS ID]],FMS_Input[FMS_ID],FMS_Input[FARMACRE100])</f>
        <v>869137.9375</v>
      </c>
      <c r="AH41" s="255">
        <f>(ASINH(FMS_Ranking4[[#This Row],[Ag Land Raw]]))*(10)/(ASINH(AG$4))</f>
        <v>9.3334491791934653</v>
      </c>
      <c r="AI41" s="260">
        <f>FMS_Ranking4[[#This Row],[Farm &amp; ranch land, ArcSinh (0-10)]]*AG$5*10</f>
        <v>4.6667245895967326</v>
      </c>
      <c r="AJ41" s="258">
        <f>_xlfn.XLOOKUP(FMS_Ranking4[[#This Row],[FMS ID]],FMS_Input[FMS_ID],FMS_Input[REDSTRUCT100])</f>
        <v>0</v>
      </c>
      <c r="AK41" s="253">
        <f>_xlfn.XLOOKUP(FMS_Ranking4[[#This Row],[FMS ID]],FMS_Input[FMS_ID],FMS_Input[REMSTRC100])</f>
        <v>0</v>
      </c>
      <c r="AL41" s="255">
        <f>(ASINH(FMS_Ranking4[[#This Row],[Structures Removed Raw]]))*(10)/(ASINH(AK$4))</f>
        <v>0</v>
      </c>
      <c r="AM41" s="262">
        <f>FMS_Ranking4[[#This Row],[Structures removed, ArcSinh (0-10)]]*AK$5*10</f>
        <v>0</v>
      </c>
      <c r="AN41" s="253">
        <f>_xlfn.XLOOKUP(FMS_Ranking4[[#This Row],[FMS ID]],FMS_Input[FMS_ID],FMS_Input[REMRESSTRC100])</f>
        <v>0</v>
      </c>
      <c r="AO41" s="261">
        <f>FMS_Ranking4[[#This Row],[ArcSinh Res struct removed 0-10]]*AN$5*10</f>
        <v>0</v>
      </c>
      <c r="AP41" s="254">
        <f>ASINH(FMS_Ranking4[[#This Row],[Residential Structures Removed Raw]])/AP$4*AN$5*100</f>
        <v>0</v>
      </c>
      <c r="AQ41" s="258">
        <f>(ASINH(FMS_Ranking4[[#This Row],[Residential Structures Removed Raw]]))*(10)/(ASINH(AN$4))</f>
        <v>0</v>
      </c>
      <c r="AR41" s="253">
        <f>_xlfn.XLOOKUP(FMS_Ranking4[[#This Row],[FMS ID]],FMS_Input[FMS_ID],FMS_Input[REMPOP100])</f>
        <v>0</v>
      </c>
      <c r="AS41" s="255">
        <f>(ASINH(FMS_Ranking4[[#This Row],[Removed Pop Raw]]))*(10)/(ASINH(AR$4))</f>
        <v>0</v>
      </c>
      <c r="AT41" s="262">
        <f>FMS_Ranking4[[#This Row],[Removed population, ArcSinh (0-10)]]*AR$5*10</f>
        <v>0</v>
      </c>
      <c r="AU41" s="264">
        <f>_xlfn.XLOOKUP(FMS_Ranking4[[#This Row],[FMS ID]],FMS_Input[FMS_ID],FMS_Input[REMCRITFAC100])</f>
        <v>0</v>
      </c>
      <c r="AV41" s="264">
        <f>_xlfn.XLOOKUP(FMS_Ranking4[[#This Row],[FMS ID]],FMS_Input[FMS_ID],FMS_Input[REMLWC100])</f>
        <v>0</v>
      </c>
      <c r="AW41" s="264">
        <f>_xlfn.XLOOKUP(FMS_Ranking4[[#This Row],[FMS ID]],FMS_Input[FMS_ID],FMS_Input[REMROADCLS])</f>
        <v>0</v>
      </c>
      <c r="AX41" s="264">
        <f>_xlfn.XLOOKUP(FMS_Ranking4[[#This Row],[FMS ID]],FMS_Input[FMS_ID],FMS_Input[REMFRMACRE100])</f>
        <v>0</v>
      </c>
      <c r="AY41" s="258">
        <f>_xlfn.XLOOKUP(FMS_Ranking4[[#This Row],[FMS ID]],FMS_Input[FMS_ID],FMS_Input[COSTSTRUCT])</f>
        <v>0</v>
      </c>
      <c r="AZ41" s="253">
        <f>_xlfn.XLOOKUP(FMS_Ranking4[[#This Row],[FMS ID]],FMS_Input[FMS_ID],FMS_Input[NATURE])</f>
        <v>0</v>
      </c>
      <c r="BA41" s="262">
        <f>(((FMS_Ranking4[[#This Row],[% NBS Raw]]/AZ$4)*100)*AZ$5)</f>
        <v>0</v>
      </c>
      <c r="BB41" s="251" t="str">
        <f>_xlfn.XLOOKUP(FMS_Ranking4[[#This Row],[FMS ID]],FMS_Input[FMS_ID],FMS_Input[WATER_SUP])</f>
        <v>No</v>
      </c>
      <c r="BC41" s="265">
        <f>IF(FMS_Ranking4[[#This Row],[Water Supply Raw]]="Yes",10,0)</f>
        <v>0</v>
      </c>
      <c r="BD41" s="266">
        <f>_xlfn.XLOOKUP(FMS_Ranking4[[#This Row],[FMS Type]],FMS_TYPE[FMS_Type],FMS_TYPE[Score])</f>
        <v>6</v>
      </c>
      <c r="BE41" s="267">
        <f>FMS_Ranking4[[#This Row],[FMS_Type Score]]*$BD$5*10</f>
        <v>1.5000000000000002</v>
      </c>
      <c r="BF4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17.940506489373767</v>
      </c>
      <c r="BG41" s="321">
        <f>_xlfn.RANK.EQ(BF41,$BF$8:$BF$870,0)+COUNTIF($BF$8:BF41,BF41)-1</f>
        <v>23</v>
      </c>
      <c r="BH41" s="294">
        <f>(((FMS_Ranking4[[#This Row],[Structures Removed Raw]]/AK$4)*100)*AK$5)+(((FMS_Ranking4[[#This Row],[Removed Pop Raw]]/AR$4)*100)*AR$5)</f>
        <v>0</v>
      </c>
      <c r="BI4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19.440506489373767</v>
      </c>
      <c r="BJ41" s="251">
        <f>_xlfn.RANK.EQ(FMS_Ranking4[[#This Row],[Total Score 
(with linear
normalization)]],FMS_Ranking4[Total Score 
(with linear
normalization)],0)</f>
        <v>21</v>
      </c>
      <c r="BK41" s="251" t="e">
        <f>_xlfn.XLOOKUP(FMS_Ranking4[[#This Row],[FMS ID]],#REF!,#REF!)</f>
        <v>#REF!</v>
      </c>
      <c r="BL4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45.283725938277264</v>
      </c>
      <c r="BM41" s="324">
        <f>FMS_Ranking4[[#This Row],[ArcSinh Score Based on Normalized Reported Factors]]+FMS_Ranking4[[#This Row],[% NBS Score (Normalized)]]+(FMS_Ranking4[[#This Row],[Water Supply Score (Normalized)]]*10*$BB$5)+FMS_Ranking4[[#This Row],[FMS_Type Score Weighted]]</f>
        <v>46.783725938277264</v>
      </c>
      <c r="BN41" s="251">
        <f>_xlfn.RANK.EQ(FMS_Ranking4[[#This Row],[Total Score (with ArcSinh normalization of select criteria)]],FMS_Ranking4[Total Score (with ArcSinh normalization of select criteria)],0)</f>
        <v>30</v>
      </c>
      <c r="BO41" s="270" t="str">
        <f>_xlfn.XLOOKUP(FMS_Ranking4[[#This Row],[FMS ID]],FMS_Input[FMS_ID],FMS_Input[FMS_RANK_YEAR])</f>
        <v>2023 Amended Plan</v>
      </c>
      <c r="BP41" s="204">
        <f>_xlfn.XLOOKUP(FMS_Ranking4[[#This Row],[FMS ID]],Prev_Rank[FMS ID],Prev_Rank[Prev Rank])</f>
        <v>27</v>
      </c>
      <c r="BQ41" s="251" t="e">
        <f>_xlfn.XLOOKUP(FMS_Ranking4[[#This Row],[FMS ID]],#REF!,#REF!)</f>
        <v>#REF!</v>
      </c>
      <c r="BR41" s="199" t="e">
        <f>SUM(#REF!,#REF!,#REF!,#REF!,#REF!,#REF!,#REF!,#REF!,#REF!,FMS_Ranking4[[#This Row],[ArcSinh Res struct removed 0-10]],#REF!)</f>
        <v>#REF!</v>
      </c>
      <c r="BS41" s="199" t="e">
        <f>FMS_Ranking4[[#This Row],[Log Score Based on Normalized Reported Factors]]+FMS_Ranking4[[#This Row],[% NBS Score (Normalized)]]+(FMS_Ranking4[[#This Row],[Water Supply Score (Normalized)]]*10*$BB$5)+(FMS_Ranking4[[#This Row],[FMS_Type Score Weighted]])</f>
        <v>#REF!</v>
      </c>
      <c r="BT41" s="200" t="e">
        <f>_xlfn.RANK.EQ(FMS_Ranking4[[#This Row],[Log Total Score]],FMS_Ranking4[Log Total Score],0)</f>
        <v>#REF!</v>
      </c>
      <c r="BU41" s="200" t="e">
        <f>_xlfn.XLOOKUP(FMS_Ranking4[[#This Row],[FMS ID]],#REF!,#REF!)</f>
        <v>#REF!</v>
      </c>
      <c r="BV41" s="200">
        <f>FMS_Ranking4[[#This Row],[Region Number]]</f>
        <v>7</v>
      </c>
      <c r="BW41" s="200">
        <f>FMS_Ranking4[[#This Row],[Rank (with ArcSinh normalization of select criteria)]]-FMS_Ranking4[[#This Row],[Rank
(with linear
normalization)]]</f>
        <v>9</v>
      </c>
      <c r="BX41" s="200" t="e">
        <f>FMS_Ranking4[[#This Row],[Log Rank]]-FMS_Ranking4[[#This Row],[Rank
(with linear
normalization)]]</f>
        <v>#REF!</v>
      </c>
      <c r="BY41" s="200" t="str">
        <f>IF(FMS_Ranking4[[#This Row],[FMS Type]]="Flood Measurement and Warning",FMS_Ranking4[[#This Row],[Rank (with ArcSinh normalization of select criteria)]],"")</f>
        <v/>
      </c>
      <c r="BZ41" s="200" t="str">
        <f>IF(FMS_Ranking4[[#This Row],[FMS Type]]="Regulatory and Guidance",FMS_Ranking4[[#This Row],[Rank (with ArcSinh normalization of select criteria)]],"")</f>
        <v/>
      </c>
      <c r="CA41" s="200">
        <f>IF(FMS_Ranking4[[#This Row],[FMS Type]]="Education and Outreach",FMS_Ranking4[[#This Row],[Rank (with ArcSinh normalization of select criteria)]],"")</f>
        <v>30</v>
      </c>
      <c r="CB41" s="200" t="str">
        <f>IF(FMS_Ranking4[[#This Row],[FMS Type]]="Property Acquisition and Structural Elevation",FMS_Ranking4[[#This Row],[Rank (with ArcSinh normalization of select criteria)]],"")</f>
        <v/>
      </c>
      <c r="CC41" s="200" t="str">
        <f>IF(FMS_Ranking4[[#This Row],[FMS Type]]="Infrastructure Projects",FMS_Ranking4[[#This Row],[Rank (with ArcSinh normalization of select criteria)]],"")</f>
        <v/>
      </c>
      <c r="CD41" s="200" t="str">
        <f>IF(FMS_Ranking4[[#This Row],[FMS Type]]="Other",FMS_Ranking4[[#This Row],[Rank (with ArcSinh normalization of select criteria)]],"")</f>
        <v/>
      </c>
      <c r="CE41" s="201"/>
    </row>
    <row r="42" spans="2:83" ht="120" x14ac:dyDescent="0.25">
      <c r="B42" s="341" t="s">
        <v>47</v>
      </c>
      <c r="C42" s="246">
        <f>_xlfn.XLOOKUP(FMS_Ranking4[[#This Row],[FMS ID]],FMS_Input[FMS_ID],FMS_Input[RFPG_NUM])</f>
        <v>6</v>
      </c>
      <c r="D42" s="309" t="str">
        <f>_xlfn.XLOOKUP(FMS_Ranking4[[#This Row],[FMS ID]],FMS_Input[FMS_ID],FMS_Input[FMS_NAME])</f>
        <v>Develop Applicable Plans and Studies to Address Hazard Mitigation in Galveston County</v>
      </c>
      <c r="E42" s="308" t="str">
        <f>_xlfn.XLOOKUP(FMS_Ranking4[[#This Row],[FMS ID]],FMS_Input[FMS_ID],FMS_Input[SPONSOR])</f>
        <v>00000006</v>
      </c>
      <c r="F42" s="309" t="str">
        <f>_xlfn.XLOOKUP(FMS_Ranking4[[#This Row],[FMS ID]],Sponsor[FMS_ID],Sponsor[SPONSOR NAME])</f>
        <v>Galveston</v>
      </c>
      <c r="G42" s="309" t="str">
        <f>_xlfn.XLOOKUP(FMS_Ranking4[[#This Row],[FMS ID]],FMS_Input[FMS_ID],FMS_Input[FMS_DESCR])</f>
        <v xml:space="preserve">Review planning needs annually to include, but not be limited to, CEMP, debris management, stormwater management, master plan, drainage, drought, GIS mapping, complete study to locate areas prone to expansive soils and land subsidence, etc. </v>
      </c>
      <c r="H42" s="248" t="str">
        <f>_xlfn.XLOOKUP(FMS_Ranking4[[#This Row],[FMS ID]],FMS_Input[FMS_ID],FMS_Input[FMS_TYPE])</f>
        <v>Regulatory and Guidance</v>
      </c>
      <c r="I42" s="249">
        <f>_xlfn.XLOOKUP(FMS_Ranking4[[#This Row],[FMS ID]],FMS_Input[FMS_ID],FMS_Input[NRNC_COST])</f>
        <v>5000</v>
      </c>
      <c r="J42" s="250">
        <f>_xlfn.XLOOKUP(FMS_Ranking4[[#This Row],[FMS ID]],FMS_Input[FMS_ID],FMS_Input[FMS_COST])</f>
        <v>100000</v>
      </c>
      <c r="K42" s="251" t="str">
        <f>_xlfn.XLOOKUP(FMS_Ranking4[[#This Row],[FMS ID]],FMS_Input[FMS_ID],FMS_Input[EMER_NEED])</f>
        <v>No</v>
      </c>
      <c r="L42" s="252">
        <f t="shared" si="0"/>
        <v>0</v>
      </c>
      <c r="M42" s="253">
        <f>_xlfn.XLOOKUP(FMS_Ranking4[[#This Row],[FMS ID]],FMS_Input[FMS_ID],FMS_Input[STRUCT_100])</f>
        <v>48566</v>
      </c>
      <c r="N42" s="255">
        <f>(ASINH(FMS_Ranking4[[#This Row],[Structure at Risk Raw]]))*(10)/(ASINH(M$4))</f>
        <v>9.0279972272559146</v>
      </c>
      <c r="O42" s="256">
        <f>FMS_Ranking4[[#This Row],[Structures at risk, ArcSinh (0-10)]]*M$5*10</f>
        <v>9.0279972272559146</v>
      </c>
      <c r="P42" s="253">
        <f>_xlfn.XLOOKUP(FMS_Ranking4[[#This Row],[FMS ID]],FMS_Input[FMS_ID],FMS_Input[RES_STRUCT100])</f>
        <v>42184</v>
      </c>
      <c r="Q42" s="257">
        <f>ASINH(FMS_Ranking4[[#This Row],[Res Structure Raw]])/Q$4*P$5*100</f>
        <v>0</v>
      </c>
      <c r="R42" s="253">
        <f>_xlfn.XLOOKUP(FMS_Ranking4[[#This Row],[FMS ID]],FMS_Input[FMS_ID],FMS_Input[POP100])</f>
        <v>102742</v>
      </c>
      <c r="S42" s="259">
        <f>(ASINH(FMS_Ranking4[[#This Row],[Pop at Risk Raw]]))*(10)/(ASINH(R$4))</f>
        <v>8.4452373053859375</v>
      </c>
      <c r="T42" s="256">
        <f>FMS_Ranking4[[#This Row],[Population at risk, ArcSinh (0-10)]]*R$5*10</f>
        <v>8.4452373053859375</v>
      </c>
      <c r="U42" s="253">
        <f>_xlfn.XLOOKUP(FMS_Ranking4[[#This Row],[FMS ID]],FMS_Input[FMS_ID],FMS_Input[CRITFAC100])</f>
        <v>680</v>
      </c>
      <c r="V42" s="259">
        <f>(ASINH(FMS_Ranking4[[#This Row],[Critical Facilities Raw]]))*(10)/(ASINH(U$4))</f>
        <v>8.5411429791908375</v>
      </c>
      <c r="W42" s="256">
        <f>FMS_Ranking4[[#This Row],[Critical facilities at risk, ArcSinh (0-10)]]*U$5*10</f>
        <v>8.5411429791908375</v>
      </c>
      <c r="X42" s="253">
        <f>_xlfn.XLOOKUP(FMS_Ranking4[[#This Row],[FMS ID]],FMS_Input[FMS_ID],FMS_Input[LWC])</f>
        <v>30</v>
      </c>
      <c r="Y42" s="259">
        <f>(ASINH(FMS_Ranking4[[#This Row],[LWC Raw]]))*(10)/(ASINH(X$4))</f>
        <v>5.5471394138756107</v>
      </c>
      <c r="Z42" s="256">
        <f>FMS_Ranking4[[#This Row],[LWC, ArcSInh (0-10)]]*X$5*10</f>
        <v>5.5471394138756116</v>
      </c>
      <c r="AA42" s="253">
        <f>_xlfn.XLOOKUP(FMS_Ranking4[[#This Row],[FMS ID]],FMS_Input[FMS_ID],FMS_Input[ROADCLS])</f>
        <v>30</v>
      </c>
      <c r="AB42" s="255">
        <f>(ASINH(FMS_Ranking4[[#This Row],[Road Closures Raw]]))*(10)/(ASINH(AA$4))</f>
        <v>4.2641732294523065</v>
      </c>
      <c r="AC42" s="256">
        <f>FMS_Ranking4[[#This Row],[Road closures, ArcSinh (0-10)]]*AA$5*10</f>
        <v>2.1320866147261532</v>
      </c>
      <c r="AD42" s="253">
        <f>_xlfn.XLOOKUP(FMS_Ranking4[[#This Row],[FMS ID]],FMS_Input[FMS_ID],FMS_Input[ROAD_MILES100])</f>
        <v>910</v>
      </c>
      <c r="AE42" s="259">
        <f>(ASINH(FMS_Ranking4[[#This Row],[Road Miles Raw]]))*(10)/(ASINH(AD$4))</f>
        <v>7.9999619139128653</v>
      </c>
      <c r="AF42" s="256">
        <f>FMS_Ranking4[[#This Row],[Length of roads at risk, ArcSinh (0-10)]]*AD$5*10</f>
        <v>7.9999619139128653</v>
      </c>
      <c r="AG42" s="253">
        <f>_xlfn.XLOOKUP(FMS_Ranking4[[#This Row],[FMS ID]],FMS_Input[FMS_ID],FMS_Input[FARMACRE100])</f>
        <v>3412.4375</v>
      </c>
      <c r="AH42" s="255">
        <f>(ASINH(FMS_Ranking4[[#This Row],[Ag Land Raw]]))*(10)/(ASINH(AG$4))</f>
        <v>5.7347191354020071</v>
      </c>
      <c r="AI42" s="260">
        <f>FMS_Ranking4[[#This Row],[Farm &amp; ranch land, ArcSinh (0-10)]]*AG$5*10</f>
        <v>2.867359567701004</v>
      </c>
      <c r="AJ42" s="258">
        <f>_xlfn.XLOOKUP(FMS_Ranking4[[#This Row],[FMS ID]],FMS_Input[FMS_ID],FMS_Input[REDSTRUCT100])</f>
        <v>0</v>
      </c>
      <c r="AK42" s="253">
        <f>_xlfn.XLOOKUP(FMS_Ranking4[[#This Row],[FMS ID]],FMS_Input[FMS_ID],FMS_Input[REMSTRC100])</f>
        <v>0</v>
      </c>
      <c r="AL42" s="259">
        <f>(ASINH(FMS_Ranking4[[#This Row],[Structures Removed Raw]]))*(10)/(ASINH(AK$4))</f>
        <v>0</v>
      </c>
      <c r="AM42" s="262">
        <f>FMS_Ranking4[[#This Row],[Structures removed, ArcSinh (0-10)]]*AK$5*10</f>
        <v>0</v>
      </c>
      <c r="AN42" s="253">
        <f>_xlfn.XLOOKUP(FMS_Ranking4[[#This Row],[FMS ID]],FMS_Input[FMS_ID],FMS_Input[REMRESSTRC100])</f>
        <v>0</v>
      </c>
      <c r="AO42" s="261">
        <f>FMS_Ranking4[[#This Row],[ArcSinh Res struct removed 0-10]]*AN$5*10</f>
        <v>0</v>
      </c>
      <c r="AP42" s="254">
        <f>ASINH(FMS_Ranking4[[#This Row],[Residential Structures Removed Raw]])/AP$4*AN$5*100</f>
        <v>0</v>
      </c>
      <c r="AQ42" s="254">
        <f>(ASINH(FMS_Ranking4[[#This Row],[Residential Structures Removed Raw]]))*(10)/(ASINH(AN$4))</f>
        <v>0</v>
      </c>
      <c r="AR42" s="253">
        <f>_xlfn.XLOOKUP(FMS_Ranking4[[#This Row],[FMS ID]],FMS_Input[FMS_ID],FMS_Input[REMPOP100])</f>
        <v>0</v>
      </c>
      <c r="AS42" s="259">
        <f>(ASINH(FMS_Ranking4[[#This Row],[Removed Pop Raw]]))*(10)/(ASINH(AR$4))</f>
        <v>0</v>
      </c>
      <c r="AT42" s="262">
        <f>FMS_Ranking4[[#This Row],[Removed population, ArcSinh (0-10)]]*AR$5*10</f>
        <v>0</v>
      </c>
      <c r="AU42" s="264">
        <f>_xlfn.XLOOKUP(FMS_Ranking4[[#This Row],[FMS ID]],FMS_Input[FMS_ID],FMS_Input[REMCRITFAC100])</f>
        <v>0</v>
      </c>
      <c r="AV42" s="264">
        <f>_xlfn.XLOOKUP(FMS_Ranking4[[#This Row],[FMS ID]],FMS_Input[FMS_ID],FMS_Input[REMLWC100])</f>
        <v>0</v>
      </c>
      <c r="AW42" s="264">
        <f>_xlfn.XLOOKUP(FMS_Ranking4[[#This Row],[FMS ID]],FMS_Input[FMS_ID],FMS_Input[REMROADCLS])</f>
        <v>0</v>
      </c>
      <c r="AX42" s="264">
        <f>_xlfn.XLOOKUP(FMS_Ranking4[[#This Row],[FMS ID]],FMS_Input[FMS_ID],FMS_Input[REMFRMACRE100])</f>
        <v>0</v>
      </c>
      <c r="AY42" s="258">
        <f>_xlfn.XLOOKUP(FMS_Ranking4[[#This Row],[FMS ID]],FMS_Input[FMS_ID],FMS_Input[COSTSTRUCT])</f>
        <v>0</v>
      </c>
      <c r="AZ42" s="253">
        <f>_xlfn.XLOOKUP(FMS_Ranking4[[#This Row],[FMS ID]],FMS_Input[FMS_ID],FMS_Input[NATURE])</f>
        <v>0</v>
      </c>
      <c r="BA42" s="262">
        <f>(((FMS_Ranking4[[#This Row],[% NBS Raw]]/AZ$4)*100)*AZ$5)</f>
        <v>0</v>
      </c>
      <c r="BB42" s="251" t="str">
        <f>_xlfn.XLOOKUP(FMS_Ranking4[[#This Row],[FMS ID]],FMS_Input[FMS_ID],FMS_Input[WATER_SUP])</f>
        <v>No</v>
      </c>
      <c r="BC42" s="265">
        <f>IF(FMS_Ranking4[[#This Row],[Water Supply Raw]]="Yes",10,0)</f>
        <v>0</v>
      </c>
      <c r="BD42" s="266">
        <f>_xlfn.XLOOKUP(FMS_Ranking4[[#This Row],[FMS Type]],FMS_TYPE[FMS_Type],FMS_TYPE[Score])</f>
        <v>8</v>
      </c>
      <c r="BE42" s="267">
        <f>FMS_Ranking4[[#This Row],[FMS_Type Score]]*$BD$5*10</f>
        <v>2</v>
      </c>
      <c r="BF4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8.8038313011646832</v>
      </c>
      <c r="BG42" s="269">
        <f>_xlfn.RANK.EQ(BF42,$BF$8:$BF$870,0)+COUNTIF($BF$8:BF42,BF42)-1</f>
        <v>46</v>
      </c>
      <c r="BH42" s="268">
        <f>(((FMS_Ranking4[[#This Row],[Structures Removed Raw]]/AK$4)*100)*AK$5)+(((FMS_Ranking4[[#This Row],[Removed Pop Raw]]/AR$4)*100)*AR$5)</f>
        <v>0</v>
      </c>
      <c r="BI4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10.803831301164683</v>
      </c>
      <c r="BJ42" s="204">
        <f>_xlfn.RANK.EQ(FMS_Ranking4[[#This Row],[Total Score 
(with linear
normalization)]],FMS_Ranking4[Total Score 
(with linear
normalization)],0)</f>
        <v>49</v>
      </c>
      <c r="BK42" s="204" t="e">
        <f>_xlfn.XLOOKUP(FMS_Ranking4[[#This Row],[FMS ID]],#REF!,#REF!)</f>
        <v>#REF!</v>
      </c>
      <c r="BL42"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44.560925022048323</v>
      </c>
      <c r="BM42" s="270">
        <f>FMS_Ranking4[[#This Row],[ArcSinh Score Based on Normalized Reported Factors]]+FMS_Ranking4[[#This Row],[% NBS Score (Normalized)]]+(FMS_Ranking4[[#This Row],[Water Supply Score (Normalized)]]*10*$BB$5)+FMS_Ranking4[[#This Row],[FMS_Type Score Weighted]]</f>
        <v>46.560925022048323</v>
      </c>
      <c r="BN42" s="204">
        <f>_xlfn.RANK.EQ(FMS_Ranking4[[#This Row],[Total Score (with ArcSinh normalization of select criteria)]],FMS_Ranking4[Total Score (with ArcSinh normalization of select criteria)],0)</f>
        <v>35</v>
      </c>
      <c r="BO42" s="270" t="str">
        <f>_xlfn.XLOOKUP(FMS_Ranking4[[#This Row],[FMS ID]],FMS_Input[FMS_ID],FMS_Input[FMS_RANK_YEAR])</f>
        <v>2023 Amended Plan</v>
      </c>
      <c r="BP42" s="204">
        <f>_xlfn.XLOOKUP(FMS_Ranking4[[#This Row],[FMS ID]],Prev_Rank[FMS ID],Prev_Rank[Prev Rank])</f>
        <v>32</v>
      </c>
      <c r="BQ42" s="204" t="e">
        <f>_xlfn.XLOOKUP(FMS_Ranking4[[#This Row],[FMS ID]],#REF!,#REF!)</f>
        <v>#REF!</v>
      </c>
      <c r="BR42" s="199" t="e">
        <f>SUM(#REF!,#REF!,#REF!,#REF!,#REF!,#REF!,#REF!,#REF!,#REF!,FMS_Ranking4[[#This Row],[ArcSinh Res struct removed 0-10]],#REF!)</f>
        <v>#REF!</v>
      </c>
      <c r="BS42" s="199" t="e">
        <f>FMS_Ranking4[[#This Row],[Log Score Based on Normalized Reported Factors]]+FMS_Ranking4[[#This Row],[% NBS Score (Normalized)]]+(FMS_Ranking4[[#This Row],[Water Supply Score (Normalized)]]*10*$BB$5)+(FMS_Ranking4[[#This Row],[FMS_Type Score Weighted]])</f>
        <v>#REF!</v>
      </c>
      <c r="BT42" s="200" t="e">
        <f>_xlfn.RANK.EQ(FMS_Ranking4[[#This Row],[Log Total Score]],FMS_Ranking4[Log Total Score],0)</f>
        <v>#REF!</v>
      </c>
      <c r="BU42" s="200" t="e">
        <f>_xlfn.XLOOKUP(FMS_Ranking4[[#This Row],[FMS ID]],#REF!,#REF!)</f>
        <v>#REF!</v>
      </c>
      <c r="BV42" s="200">
        <f>FMS_Ranking4[[#This Row],[Region Number]]</f>
        <v>6</v>
      </c>
      <c r="BW42" s="200">
        <f>FMS_Ranking4[[#This Row],[Rank (with ArcSinh normalization of select criteria)]]-FMS_Ranking4[[#This Row],[Rank
(with linear
normalization)]]</f>
        <v>-14</v>
      </c>
      <c r="BX42" s="200" t="e">
        <f>FMS_Ranking4[[#This Row],[Log Rank]]-FMS_Ranking4[[#This Row],[Rank
(with linear
normalization)]]</f>
        <v>#REF!</v>
      </c>
      <c r="BY42" s="200" t="str">
        <f>IF(FMS_Ranking4[[#This Row],[FMS Type]]="Flood Measurement and Warning",FMS_Ranking4[[#This Row],[Rank (with ArcSinh normalization of select criteria)]],"")</f>
        <v/>
      </c>
      <c r="BZ42" s="200">
        <f>IF(FMS_Ranking4[[#This Row],[FMS Type]]="Regulatory and Guidance",FMS_Ranking4[[#This Row],[Rank (with ArcSinh normalization of select criteria)]],"")</f>
        <v>35</v>
      </c>
      <c r="CA42" s="200" t="str">
        <f>IF(FMS_Ranking4[[#This Row],[FMS Type]]="Education and Outreach",FMS_Ranking4[[#This Row],[Rank (with ArcSinh normalization of select criteria)]],"")</f>
        <v/>
      </c>
      <c r="CB42" s="200" t="str">
        <f>IF(FMS_Ranking4[[#This Row],[FMS Type]]="Property Acquisition and Structural Elevation",FMS_Ranking4[[#This Row],[Rank (with ArcSinh normalization of select criteria)]],"")</f>
        <v/>
      </c>
      <c r="CC42" s="200" t="str">
        <f>IF(FMS_Ranking4[[#This Row],[FMS Type]]="Infrastructure Projects",FMS_Ranking4[[#This Row],[Rank (with ArcSinh normalization of select criteria)]],"")</f>
        <v/>
      </c>
      <c r="CD42" s="200" t="str">
        <f>IF(FMS_Ranking4[[#This Row],[FMS Type]]="Other",FMS_Ranking4[[#This Row],[Rank (with ArcSinh normalization of select criteria)]],"")</f>
        <v/>
      </c>
      <c r="CE42" s="201"/>
    </row>
    <row r="43" spans="2:83" ht="135" x14ac:dyDescent="0.25">
      <c r="B43" s="341" t="s">
        <v>3429</v>
      </c>
      <c r="C43" s="246">
        <f>_xlfn.XLOOKUP(FMS_Ranking4[[#This Row],[FMS ID]],FMS_Input[FMS_ID],FMS_Input[RFPG_NUM])</f>
        <v>11</v>
      </c>
      <c r="D43" s="309" t="str">
        <f>_xlfn.XLOOKUP(FMS_Ranking4[[#This Row],[FMS ID]],FMS_Input[FMS_ID],FMS_Input[FMS_NAME])</f>
        <v>Infrastructure Projects</v>
      </c>
      <c r="E43" s="308" t="str">
        <f>_xlfn.XLOOKUP(FMS_Ranking4[[#This Row],[FMS ID]],FMS_Input[FMS_ID],FMS_Input[SPONSOR])</f>
        <v>11003546</v>
      </c>
      <c r="F43" s="309" t="str">
        <f>_xlfn.XLOOKUP(FMS_Ranking4[[#This Row],[FMS ID]],Sponsor[FMS_ID],Sponsor[SPONSOR NAME])</f>
        <v>Guadalupe Regional Flood Planning Group</v>
      </c>
      <c r="G43" s="309" t="str">
        <f>_xlfn.XLOOKUP(FMS_Ranking4[[#This Row],[FMS ID]],FMS_Input[FMS_ID],FMS_Input[FMS_DESCR])</f>
        <v>Develop programs to preserve system functionality (storm drains, culverts, bridges); enhance riparian corridors &amp; preserve floodplain capacity: and infrastructure improvements programs that identify and prioritize flood risk reduction projects</v>
      </c>
      <c r="H43" s="248" t="str">
        <f>_xlfn.XLOOKUP(FMS_Ranking4[[#This Row],[FMS ID]],FMS_Input[FMS_ID],FMS_Input[FMS_TYPE])</f>
        <v>Infrastructure Projects</v>
      </c>
      <c r="I43" s="249">
        <f>_xlfn.XLOOKUP(FMS_Ranking4[[#This Row],[FMS ID]],FMS_Input[FMS_ID],FMS_Input[NRNC_COST])</f>
        <v>2000000</v>
      </c>
      <c r="J43" s="250">
        <f>_xlfn.XLOOKUP(FMS_Ranking4[[#This Row],[FMS ID]],FMS_Input[FMS_ID],FMS_Input[FMS_COST])</f>
        <v>21611000</v>
      </c>
      <c r="K43" s="251" t="str">
        <f>_xlfn.XLOOKUP(FMS_Ranking4[[#This Row],[FMS ID]],FMS_Input[FMS_ID],FMS_Input[EMER_NEED])</f>
        <v>No</v>
      </c>
      <c r="L43" s="252">
        <f t="shared" si="0"/>
        <v>0</v>
      </c>
      <c r="M43" s="253">
        <f>_xlfn.XLOOKUP(FMS_Ranking4[[#This Row],[FMS ID]],FMS_Input[FMS_ID],FMS_Input[STRUCT_100])</f>
        <v>27069</v>
      </c>
      <c r="N43" s="255">
        <f>(ASINH(FMS_Ranking4[[#This Row],[Structure at Risk Raw]]))*(10)/(ASINH(M$4))</f>
        <v>8.5684660487830211</v>
      </c>
      <c r="O43" s="256">
        <f>FMS_Ranking4[[#This Row],[Structures at risk, ArcSinh (0-10)]]*M$5*10</f>
        <v>8.5684660487830211</v>
      </c>
      <c r="P43" s="253">
        <f>_xlfn.XLOOKUP(FMS_Ranking4[[#This Row],[FMS ID]],FMS_Input[FMS_ID],FMS_Input[RES_STRUCT100])</f>
        <v>18879</v>
      </c>
      <c r="Q43" s="257">
        <f>ASINH(FMS_Ranking4[[#This Row],[Res Structure Raw]])/Q$4*P$5*100</f>
        <v>0</v>
      </c>
      <c r="R43" s="253">
        <f>_xlfn.XLOOKUP(FMS_Ranking4[[#This Row],[FMS ID]],FMS_Input[FMS_ID],FMS_Input[POP100])</f>
        <v>62638</v>
      </c>
      <c r="S43" s="259">
        <f>(ASINH(FMS_Ranking4[[#This Row],[Pop at Risk Raw]]))*(10)/(ASINH(R$4))</f>
        <v>8.1036143222230006</v>
      </c>
      <c r="T43" s="256">
        <f>FMS_Ranking4[[#This Row],[Population at risk, ArcSinh (0-10)]]*R$5*10</f>
        <v>8.1036143222230006</v>
      </c>
      <c r="U43" s="253">
        <f>_xlfn.XLOOKUP(FMS_Ranking4[[#This Row],[FMS ID]],FMS_Input[FMS_ID],FMS_Input[CRITFAC100])</f>
        <v>136</v>
      </c>
      <c r="V43" s="259">
        <f>(ASINH(FMS_Ranking4[[#This Row],[Critical Facilities Raw]]))*(10)/(ASINH(U$4))</f>
        <v>6.6359634548699029</v>
      </c>
      <c r="W43" s="256">
        <f>FMS_Ranking4[[#This Row],[Critical facilities at risk, ArcSinh (0-10)]]*U$5*10</f>
        <v>6.6359634548699029</v>
      </c>
      <c r="X43" s="253">
        <f>_xlfn.XLOOKUP(FMS_Ranking4[[#This Row],[FMS ID]],FMS_Input[FMS_ID],FMS_Input[LWC])</f>
        <v>661</v>
      </c>
      <c r="Y43" s="259">
        <f>(ASINH(FMS_Ranking4[[#This Row],[LWC Raw]]))*(10)/(ASINH(X$4))</f>
        <v>9.7363670941482745</v>
      </c>
      <c r="Z43" s="256">
        <f>FMS_Ranking4[[#This Row],[LWC, ArcSInh (0-10)]]*X$5*10</f>
        <v>9.7363670941482745</v>
      </c>
      <c r="AA43" s="253">
        <f>_xlfn.XLOOKUP(FMS_Ranking4[[#This Row],[FMS ID]],FMS_Input[FMS_ID],FMS_Input[ROADCLS])</f>
        <v>0</v>
      </c>
      <c r="AB43" s="255">
        <f>(ASINH(FMS_Ranking4[[#This Row],[Road Closures Raw]]))*(10)/(ASINH(AA$4))</f>
        <v>0</v>
      </c>
      <c r="AC43" s="256">
        <f>FMS_Ranking4[[#This Row],[Road closures, ArcSinh (0-10)]]*AA$5*10</f>
        <v>0</v>
      </c>
      <c r="AD43" s="253">
        <f>_xlfn.XLOOKUP(FMS_Ranking4[[#This Row],[FMS ID]],FMS_Input[FMS_ID],FMS_Input[ROAD_MILES100])</f>
        <v>935</v>
      </c>
      <c r="AE43" s="259">
        <f>(ASINH(FMS_Ranking4[[#This Row],[Road Miles Raw]]))*(10)/(ASINH(AD$4))</f>
        <v>8.028845097682872</v>
      </c>
      <c r="AF43" s="256">
        <f>FMS_Ranking4[[#This Row],[Length of roads at risk, ArcSinh (0-10)]]*AD$5*10</f>
        <v>8.028845097682872</v>
      </c>
      <c r="AG43" s="253">
        <f>_xlfn.XLOOKUP(FMS_Ranking4[[#This Row],[FMS ID]],FMS_Input[FMS_ID],FMS_Input[FARMACRE100])</f>
        <v>360251.3125</v>
      </c>
      <c r="AH43" s="255">
        <f>(ASINH(FMS_Ranking4[[#This Row],[Ag Land Raw]]))*(10)/(ASINH(AG$4))</f>
        <v>8.7613628013886231</v>
      </c>
      <c r="AI43" s="260">
        <f>FMS_Ranking4[[#This Row],[Farm &amp; ranch land, ArcSinh (0-10)]]*AG$5*10</f>
        <v>4.3806814006943116</v>
      </c>
      <c r="AJ43" s="258">
        <f>_xlfn.XLOOKUP(FMS_Ranking4[[#This Row],[FMS ID]],FMS_Input[FMS_ID],FMS_Input[REDSTRUCT100])</f>
        <v>0</v>
      </c>
      <c r="AK43" s="253">
        <f>_xlfn.XLOOKUP(FMS_Ranking4[[#This Row],[FMS ID]],FMS_Input[FMS_ID],FMS_Input[REMSTRC100])</f>
        <v>0</v>
      </c>
      <c r="AL43" s="259">
        <f>(ASINH(FMS_Ranking4[[#This Row],[Structures Removed Raw]]))*(10)/(ASINH(AK$4))</f>
        <v>0</v>
      </c>
      <c r="AM43" s="262">
        <f>FMS_Ranking4[[#This Row],[Structures removed, ArcSinh (0-10)]]*AK$5*10</f>
        <v>0</v>
      </c>
      <c r="AN43" s="253">
        <f>_xlfn.XLOOKUP(FMS_Ranking4[[#This Row],[FMS ID]],FMS_Input[FMS_ID],FMS_Input[REMRESSTRC100])</f>
        <v>0</v>
      </c>
      <c r="AO43" s="261">
        <f>FMS_Ranking4[[#This Row],[ArcSinh Res struct removed 0-10]]*AN$5*10</f>
        <v>0</v>
      </c>
      <c r="AP43" s="254">
        <f>ASINH(FMS_Ranking4[[#This Row],[Residential Structures Removed Raw]])/AP$4*AN$5*100</f>
        <v>0</v>
      </c>
      <c r="AQ43" s="254">
        <f>(ASINH(FMS_Ranking4[[#This Row],[Residential Structures Removed Raw]]))*(10)/(ASINH(AN$4))</f>
        <v>0</v>
      </c>
      <c r="AR43" s="253">
        <f>_xlfn.XLOOKUP(FMS_Ranking4[[#This Row],[FMS ID]],FMS_Input[FMS_ID],FMS_Input[REMPOP100])</f>
        <v>0</v>
      </c>
      <c r="AS43" s="259">
        <f>(ASINH(FMS_Ranking4[[#This Row],[Removed Pop Raw]]))*(10)/(ASINH(AR$4))</f>
        <v>0</v>
      </c>
      <c r="AT43" s="262">
        <f>FMS_Ranking4[[#This Row],[Removed population, ArcSinh (0-10)]]*AR$5*10</f>
        <v>0</v>
      </c>
      <c r="AU43" s="264">
        <f>_xlfn.XLOOKUP(FMS_Ranking4[[#This Row],[FMS ID]],FMS_Input[FMS_ID],FMS_Input[REMCRITFAC100])</f>
        <v>0</v>
      </c>
      <c r="AV43" s="264">
        <f>_xlfn.XLOOKUP(FMS_Ranking4[[#This Row],[FMS ID]],FMS_Input[FMS_ID],FMS_Input[REMLWC100])</f>
        <v>0</v>
      </c>
      <c r="AW43" s="264">
        <f>_xlfn.XLOOKUP(FMS_Ranking4[[#This Row],[FMS ID]],FMS_Input[FMS_ID],FMS_Input[REMROADCLS])</f>
        <v>0</v>
      </c>
      <c r="AX43" s="264">
        <f>_xlfn.XLOOKUP(FMS_Ranking4[[#This Row],[FMS ID]],FMS_Input[FMS_ID],FMS_Input[REMFRMACRE100])</f>
        <v>0</v>
      </c>
      <c r="AY43" s="258">
        <f>_xlfn.XLOOKUP(FMS_Ranking4[[#This Row],[FMS ID]],FMS_Input[FMS_ID],FMS_Input[COSTSTRUCT])</f>
        <v>0</v>
      </c>
      <c r="AZ43" s="253">
        <f>_xlfn.XLOOKUP(FMS_Ranking4[[#This Row],[FMS ID]],FMS_Input[FMS_ID],FMS_Input[NATURE])</f>
        <v>0</v>
      </c>
      <c r="BA43" s="262">
        <f>(((FMS_Ranking4[[#This Row],[% NBS Raw]]/AZ$4)*100)*AZ$5)</f>
        <v>0</v>
      </c>
      <c r="BB43" s="251" t="str">
        <f>_xlfn.XLOOKUP(FMS_Ranking4[[#This Row],[FMS ID]],FMS_Input[FMS_ID],FMS_Input[WATER_SUP])</f>
        <v>No</v>
      </c>
      <c r="BC43" s="265">
        <f>IF(FMS_Ranking4[[#This Row],[Water Supply Raw]]="Yes",10,0)</f>
        <v>0</v>
      </c>
      <c r="BD43" s="266">
        <f>_xlfn.XLOOKUP(FMS_Ranking4[[#This Row],[FMS Type]],FMS_TYPE[FMS_Type],FMS_TYPE[Score])</f>
        <v>4</v>
      </c>
      <c r="BE43" s="267">
        <f>FMS_Ranking4[[#This Row],[FMS_Type Score]]*$BD$5*10</f>
        <v>1</v>
      </c>
      <c r="BF4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13.390546788117057</v>
      </c>
      <c r="BG43" s="271">
        <f>_xlfn.RANK.EQ(BF43,$BF$8:$BF$870,0)+COUNTIF($BF$8:BF43,BF43)-1</f>
        <v>29</v>
      </c>
      <c r="BH43" s="268">
        <f>(((FMS_Ranking4[[#This Row],[Structures Removed Raw]]/AK$4)*100)*AK$5)+(((FMS_Ranking4[[#This Row],[Removed Pop Raw]]/AR$4)*100)*AR$5)</f>
        <v>0</v>
      </c>
      <c r="BI4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14.390546788117057</v>
      </c>
      <c r="BJ43" s="205">
        <f>_xlfn.RANK.EQ(FMS_Ranking4[[#This Row],[Total Score 
(with linear
normalization)]],FMS_Ranking4[Total Score 
(with linear
normalization)],0)</f>
        <v>35</v>
      </c>
      <c r="BK43" s="205" t="e">
        <f>_xlfn.XLOOKUP(FMS_Ranking4[[#This Row],[FMS ID]],#REF!,#REF!)</f>
        <v>#REF!</v>
      </c>
      <c r="BL4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45.453937418401381</v>
      </c>
      <c r="BM43" s="272">
        <f>FMS_Ranking4[[#This Row],[ArcSinh Score Based on Normalized Reported Factors]]+FMS_Ranking4[[#This Row],[% NBS Score (Normalized)]]+(FMS_Ranking4[[#This Row],[Water Supply Score (Normalized)]]*10*$BB$5)+FMS_Ranking4[[#This Row],[FMS_Type Score Weighted]]</f>
        <v>46.453937418401381</v>
      </c>
      <c r="BN43" s="205">
        <f>_xlfn.RANK.EQ(FMS_Ranking4[[#This Row],[Total Score (with ArcSinh normalization of select criteria)]],FMS_Ranking4[Total Score (with ArcSinh normalization of select criteria)],0)</f>
        <v>36</v>
      </c>
      <c r="BO43" s="270" t="str">
        <f>_xlfn.XLOOKUP(FMS_Ranking4[[#This Row],[FMS ID]],FMS_Input[FMS_ID],FMS_Input[FMS_RANK_YEAR])</f>
        <v>2023 Amended Plan</v>
      </c>
      <c r="BP43" s="204">
        <f>_xlfn.XLOOKUP(FMS_Ranking4[[#This Row],[FMS ID]],Prev_Rank[FMS ID],Prev_Rank[Prev Rank])</f>
        <v>33</v>
      </c>
      <c r="BQ43" s="205" t="e">
        <f>_xlfn.XLOOKUP(FMS_Ranking4[[#This Row],[FMS ID]],#REF!,#REF!)</f>
        <v>#REF!</v>
      </c>
      <c r="BR43" s="199" t="e">
        <f>SUM(#REF!,#REF!,#REF!,#REF!,#REF!,#REF!,#REF!,#REF!,#REF!,FMS_Ranking4[[#This Row],[ArcSinh Res struct removed 0-10]],#REF!)</f>
        <v>#REF!</v>
      </c>
      <c r="BS43" s="199" t="e">
        <f>FMS_Ranking4[[#This Row],[Log Score Based on Normalized Reported Factors]]+FMS_Ranking4[[#This Row],[% NBS Score (Normalized)]]+(FMS_Ranking4[[#This Row],[Water Supply Score (Normalized)]]*10*$BB$5)+(FMS_Ranking4[[#This Row],[FMS_Type Score Weighted]])</f>
        <v>#REF!</v>
      </c>
      <c r="BT43" s="200" t="e">
        <f>_xlfn.RANK.EQ(FMS_Ranking4[[#This Row],[Log Total Score]],FMS_Ranking4[Log Total Score],0)</f>
        <v>#REF!</v>
      </c>
      <c r="BU43" s="200" t="e">
        <f>_xlfn.XLOOKUP(FMS_Ranking4[[#This Row],[FMS ID]],#REF!,#REF!)</f>
        <v>#REF!</v>
      </c>
      <c r="BV43" s="200">
        <f>FMS_Ranking4[[#This Row],[Region Number]]</f>
        <v>11</v>
      </c>
      <c r="BW43" s="200">
        <f>FMS_Ranking4[[#This Row],[Rank (with ArcSinh normalization of select criteria)]]-FMS_Ranking4[[#This Row],[Rank
(with linear
normalization)]]</f>
        <v>1</v>
      </c>
      <c r="BX43" s="200" t="e">
        <f>FMS_Ranking4[[#This Row],[Log Rank]]-FMS_Ranking4[[#This Row],[Rank
(with linear
normalization)]]</f>
        <v>#REF!</v>
      </c>
      <c r="BY43" s="200" t="str">
        <f>IF(FMS_Ranking4[[#This Row],[FMS Type]]="Flood Measurement and Warning",FMS_Ranking4[[#This Row],[Rank (with ArcSinh normalization of select criteria)]],"")</f>
        <v/>
      </c>
      <c r="BZ43" s="200" t="str">
        <f>IF(FMS_Ranking4[[#This Row],[FMS Type]]="Regulatory and Guidance",FMS_Ranking4[[#This Row],[Rank (with ArcSinh normalization of select criteria)]],"")</f>
        <v/>
      </c>
      <c r="CA43" s="200" t="str">
        <f>IF(FMS_Ranking4[[#This Row],[FMS Type]]="Education and Outreach",FMS_Ranking4[[#This Row],[Rank (with ArcSinh normalization of select criteria)]],"")</f>
        <v/>
      </c>
      <c r="CB43" s="200" t="str">
        <f>IF(FMS_Ranking4[[#This Row],[FMS Type]]="Property Acquisition and Structural Elevation",FMS_Ranking4[[#This Row],[Rank (with ArcSinh normalization of select criteria)]],"")</f>
        <v/>
      </c>
      <c r="CC43" s="200">
        <f>IF(FMS_Ranking4[[#This Row],[FMS Type]]="Infrastructure Projects",FMS_Ranking4[[#This Row],[Rank (with ArcSinh normalization of select criteria)]],"")</f>
        <v>36</v>
      </c>
      <c r="CD43" s="200" t="str">
        <f>IF(FMS_Ranking4[[#This Row],[FMS Type]]="Other",FMS_Ranking4[[#This Row],[Rank (with ArcSinh normalization of select criteria)]],"")</f>
        <v/>
      </c>
      <c r="CE43" s="201"/>
    </row>
    <row r="44" spans="2:83" ht="120" x14ac:dyDescent="0.25">
      <c r="B44" s="341" t="s">
        <v>3418</v>
      </c>
      <c r="C44" s="246">
        <f>_xlfn.XLOOKUP(FMS_Ranking4[[#This Row],[FMS ID]],FMS_Input[FMS_ID],FMS_Input[RFPG_NUM])</f>
        <v>11</v>
      </c>
      <c r="D44" s="309" t="str">
        <f>_xlfn.XLOOKUP(FMS_Ranking4[[#This Row],[FMS ID]],FMS_Input[FMS_ID],FMS_Input[FMS_NAME])</f>
        <v>Property Acquisitions and Structural Elevation</v>
      </c>
      <c r="E44" s="308" t="str">
        <f>_xlfn.XLOOKUP(FMS_Ranking4[[#This Row],[FMS ID]],FMS_Input[FMS_ID],FMS_Input[SPONSOR])</f>
        <v>11003546</v>
      </c>
      <c r="F44" s="309" t="str">
        <f>_xlfn.XLOOKUP(FMS_Ranking4[[#This Row],[FMS ID]],Sponsor[FMS_ID],Sponsor[SPONSOR NAME])</f>
        <v>Guadalupe Regional Flood Planning Group</v>
      </c>
      <c r="G44" s="309" t="str">
        <f>_xlfn.XLOOKUP(FMS_Ranking4[[#This Row],[FMS ID]],FMS_Input[FMS_ID],FMS_Input[FMS_DESCR])</f>
        <v>Develop and implement a voluntary buyout or structural elevation assistance programs to eliminate repetitive loss structures and implementing programs to purchase/preserve open space to protect riparian corridors.</v>
      </c>
      <c r="H44" s="248" t="str">
        <f>_xlfn.XLOOKUP(FMS_Ranking4[[#This Row],[FMS ID]],FMS_Input[FMS_ID],FMS_Input[FMS_TYPE])</f>
        <v>Property Acquisition and Structural Elevation</v>
      </c>
      <c r="I44" s="249">
        <f>_xlfn.XLOOKUP(FMS_Ranking4[[#This Row],[FMS ID]],FMS_Input[FMS_ID],FMS_Input[NRNC_COST])</f>
        <v>1250000</v>
      </c>
      <c r="J44" s="250">
        <f>_xlfn.XLOOKUP(FMS_Ranking4[[#This Row],[FMS ID]],FMS_Input[FMS_ID],FMS_Input[FMS_COST])</f>
        <v>1250000</v>
      </c>
      <c r="K44" s="251" t="str">
        <f>_xlfn.XLOOKUP(FMS_Ranking4[[#This Row],[FMS ID]],FMS_Input[FMS_ID],FMS_Input[EMER_NEED])</f>
        <v>No</v>
      </c>
      <c r="L44" s="252">
        <f t="shared" si="0"/>
        <v>0</v>
      </c>
      <c r="M44" s="253">
        <f>_xlfn.XLOOKUP(FMS_Ranking4[[#This Row],[FMS ID]],FMS_Input[FMS_ID],FMS_Input[STRUCT_100])</f>
        <v>27069</v>
      </c>
      <c r="N44" s="255">
        <f>(ASINH(FMS_Ranking4[[#This Row],[Structure at Risk Raw]]))*(10)/(ASINH(M$4))</f>
        <v>8.5684660487830211</v>
      </c>
      <c r="O44" s="256">
        <f>FMS_Ranking4[[#This Row],[Structures at risk, ArcSinh (0-10)]]*M$5*10</f>
        <v>8.5684660487830211</v>
      </c>
      <c r="P44" s="253">
        <f>_xlfn.XLOOKUP(FMS_Ranking4[[#This Row],[FMS ID]],FMS_Input[FMS_ID],FMS_Input[RES_STRUCT100])</f>
        <v>18879</v>
      </c>
      <c r="Q44" s="257">
        <f>ASINH(FMS_Ranking4[[#This Row],[Res Structure Raw]])/Q$4*P$5*100</f>
        <v>0</v>
      </c>
      <c r="R44" s="253">
        <f>_xlfn.XLOOKUP(FMS_Ranking4[[#This Row],[FMS ID]],FMS_Input[FMS_ID],FMS_Input[POP100])</f>
        <v>62638</v>
      </c>
      <c r="S44" s="259">
        <f>(ASINH(FMS_Ranking4[[#This Row],[Pop at Risk Raw]]))*(10)/(ASINH(R$4))</f>
        <v>8.1036143222230006</v>
      </c>
      <c r="T44" s="256">
        <f>FMS_Ranking4[[#This Row],[Population at risk, ArcSinh (0-10)]]*R$5*10</f>
        <v>8.1036143222230006</v>
      </c>
      <c r="U44" s="253">
        <f>_xlfn.XLOOKUP(FMS_Ranking4[[#This Row],[FMS ID]],FMS_Input[FMS_ID],FMS_Input[CRITFAC100])</f>
        <v>136</v>
      </c>
      <c r="V44" s="259">
        <f>(ASINH(FMS_Ranking4[[#This Row],[Critical Facilities Raw]]))*(10)/(ASINH(U$4))</f>
        <v>6.6359634548699029</v>
      </c>
      <c r="W44" s="256">
        <f>FMS_Ranking4[[#This Row],[Critical facilities at risk, ArcSinh (0-10)]]*U$5*10</f>
        <v>6.6359634548699029</v>
      </c>
      <c r="X44" s="253">
        <f>_xlfn.XLOOKUP(FMS_Ranking4[[#This Row],[FMS ID]],FMS_Input[FMS_ID],FMS_Input[LWC])</f>
        <v>661</v>
      </c>
      <c r="Y44" s="259">
        <f>(ASINH(FMS_Ranking4[[#This Row],[LWC Raw]]))*(10)/(ASINH(X$4))</f>
        <v>9.7363670941482745</v>
      </c>
      <c r="Z44" s="256">
        <f>FMS_Ranking4[[#This Row],[LWC, ArcSInh (0-10)]]*X$5*10</f>
        <v>9.7363670941482745</v>
      </c>
      <c r="AA44" s="253">
        <f>_xlfn.XLOOKUP(FMS_Ranking4[[#This Row],[FMS ID]],FMS_Input[FMS_ID],FMS_Input[ROADCLS])</f>
        <v>0</v>
      </c>
      <c r="AB44" s="255">
        <f>(ASINH(FMS_Ranking4[[#This Row],[Road Closures Raw]]))*(10)/(ASINH(AA$4))</f>
        <v>0</v>
      </c>
      <c r="AC44" s="256">
        <f>FMS_Ranking4[[#This Row],[Road closures, ArcSinh (0-10)]]*AA$5*10</f>
        <v>0</v>
      </c>
      <c r="AD44" s="253">
        <f>_xlfn.XLOOKUP(FMS_Ranking4[[#This Row],[FMS ID]],FMS_Input[FMS_ID],FMS_Input[ROAD_MILES100])</f>
        <v>935</v>
      </c>
      <c r="AE44" s="259">
        <f>(ASINH(FMS_Ranking4[[#This Row],[Road Miles Raw]]))*(10)/(ASINH(AD$4))</f>
        <v>8.028845097682872</v>
      </c>
      <c r="AF44" s="256">
        <f>FMS_Ranking4[[#This Row],[Length of roads at risk, ArcSinh (0-10)]]*AD$5*10</f>
        <v>8.028845097682872</v>
      </c>
      <c r="AG44" s="253">
        <f>_xlfn.XLOOKUP(FMS_Ranking4[[#This Row],[FMS ID]],FMS_Input[FMS_ID],FMS_Input[FARMACRE100])</f>
        <v>360251.3125</v>
      </c>
      <c r="AH44" s="255">
        <f>(ASINH(FMS_Ranking4[[#This Row],[Ag Land Raw]]))*(10)/(ASINH(AG$4))</f>
        <v>8.7613628013886231</v>
      </c>
      <c r="AI44" s="260">
        <f>FMS_Ranking4[[#This Row],[Farm &amp; ranch land, ArcSinh (0-10)]]*AG$5*10</f>
        <v>4.3806814006943116</v>
      </c>
      <c r="AJ44" s="258">
        <f>_xlfn.XLOOKUP(FMS_Ranking4[[#This Row],[FMS ID]],FMS_Input[FMS_ID],FMS_Input[REDSTRUCT100])</f>
        <v>0</v>
      </c>
      <c r="AK44" s="253">
        <f>_xlfn.XLOOKUP(FMS_Ranking4[[#This Row],[FMS ID]],FMS_Input[FMS_ID],FMS_Input[REMSTRC100])</f>
        <v>0</v>
      </c>
      <c r="AL44" s="259">
        <f>(ASINH(FMS_Ranking4[[#This Row],[Structures Removed Raw]]))*(10)/(ASINH(AK$4))</f>
        <v>0</v>
      </c>
      <c r="AM44" s="262">
        <f>FMS_Ranking4[[#This Row],[Structures removed, ArcSinh (0-10)]]*AK$5*10</f>
        <v>0</v>
      </c>
      <c r="AN44" s="253">
        <f>_xlfn.XLOOKUP(FMS_Ranking4[[#This Row],[FMS ID]],FMS_Input[FMS_ID],FMS_Input[REMRESSTRC100])</f>
        <v>0</v>
      </c>
      <c r="AO44" s="261">
        <f>FMS_Ranking4[[#This Row],[ArcSinh Res struct removed 0-10]]*AN$5*10</f>
        <v>0</v>
      </c>
      <c r="AP44" s="254">
        <f>ASINH(FMS_Ranking4[[#This Row],[Residential Structures Removed Raw]])/AP$4*AN$5*100</f>
        <v>0</v>
      </c>
      <c r="AQ44" s="254">
        <f>(ASINH(FMS_Ranking4[[#This Row],[Residential Structures Removed Raw]]))*(10)/(ASINH(AN$4))</f>
        <v>0</v>
      </c>
      <c r="AR44" s="253">
        <f>_xlfn.XLOOKUP(FMS_Ranking4[[#This Row],[FMS ID]],FMS_Input[FMS_ID],FMS_Input[REMPOP100])</f>
        <v>0</v>
      </c>
      <c r="AS44" s="259">
        <f>(ASINH(FMS_Ranking4[[#This Row],[Removed Pop Raw]]))*(10)/(ASINH(AR$4))</f>
        <v>0</v>
      </c>
      <c r="AT44" s="262">
        <f>FMS_Ranking4[[#This Row],[Removed population, ArcSinh (0-10)]]*AR$5*10</f>
        <v>0</v>
      </c>
      <c r="AU44" s="264">
        <f>_xlfn.XLOOKUP(FMS_Ranking4[[#This Row],[FMS ID]],FMS_Input[FMS_ID],FMS_Input[REMCRITFAC100])</f>
        <v>0</v>
      </c>
      <c r="AV44" s="264">
        <f>_xlfn.XLOOKUP(FMS_Ranking4[[#This Row],[FMS ID]],FMS_Input[FMS_ID],FMS_Input[REMLWC100])</f>
        <v>0</v>
      </c>
      <c r="AW44" s="264">
        <f>_xlfn.XLOOKUP(FMS_Ranking4[[#This Row],[FMS ID]],FMS_Input[FMS_ID],FMS_Input[REMROADCLS])</f>
        <v>0</v>
      </c>
      <c r="AX44" s="264">
        <f>_xlfn.XLOOKUP(FMS_Ranking4[[#This Row],[FMS ID]],FMS_Input[FMS_ID],FMS_Input[REMFRMACRE100])</f>
        <v>0</v>
      </c>
      <c r="AY44" s="258">
        <f>_xlfn.XLOOKUP(FMS_Ranking4[[#This Row],[FMS ID]],FMS_Input[FMS_ID],FMS_Input[COSTSTRUCT])</f>
        <v>0</v>
      </c>
      <c r="AZ44" s="253">
        <f>_xlfn.XLOOKUP(FMS_Ranking4[[#This Row],[FMS ID]],FMS_Input[FMS_ID],FMS_Input[NATURE])</f>
        <v>0</v>
      </c>
      <c r="BA44" s="262">
        <f>(((FMS_Ranking4[[#This Row],[% NBS Raw]]/AZ$4)*100)*AZ$5)</f>
        <v>0</v>
      </c>
      <c r="BB44" s="251" t="str">
        <f>_xlfn.XLOOKUP(FMS_Ranking4[[#This Row],[FMS ID]],FMS_Input[FMS_ID],FMS_Input[WATER_SUP])</f>
        <v>No</v>
      </c>
      <c r="BC44" s="265">
        <f>IF(FMS_Ranking4[[#This Row],[Water Supply Raw]]="Yes",10,0)</f>
        <v>0</v>
      </c>
      <c r="BD44" s="266">
        <f>_xlfn.XLOOKUP(FMS_Ranking4[[#This Row],[FMS Type]],FMS_TYPE[FMS_Type],FMS_TYPE[Score])</f>
        <v>4</v>
      </c>
      <c r="BE44" s="267">
        <f>FMS_Ranking4[[#This Row],[FMS_Type Score]]*$BD$5*10</f>
        <v>1</v>
      </c>
      <c r="BF4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13.390546788117057</v>
      </c>
      <c r="BG44" s="271">
        <f>_xlfn.RANK.EQ(BF44,$BF$8:$BF$870,0)+COUNTIF($BF$8:BF44,BF44)-1</f>
        <v>30</v>
      </c>
      <c r="BH44" s="268">
        <f>(((FMS_Ranking4[[#This Row],[Structures Removed Raw]]/AK$4)*100)*AK$5)+(((FMS_Ranking4[[#This Row],[Removed Pop Raw]]/AR$4)*100)*AR$5)</f>
        <v>0</v>
      </c>
      <c r="BI4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14.390546788117057</v>
      </c>
      <c r="BJ44" s="205">
        <f>_xlfn.RANK.EQ(FMS_Ranking4[[#This Row],[Total Score 
(with linear
normalization)]],FMS_Ranking4[Total Score 
(with linear
normalization)],0)</f>
        <v>35</v>
      </c>
      <c r="BK44" s="205" t="e">
        <f>_xlfn.XLOOKUP(FMS_Ranking4[[#This Row],[FMS ID]],#REF!,#REF!)</f>
        <v>#REF!</v>
      </c>
      <c r="BL4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45.453937418401381</v>
      </c>
      <c r="BM44" s="272">
        <f>FMS_Ranking4[[#This Row],[ArcSinh Score Based on Normalized Reported Factors]]+FMS_Ranking4[[#This Row],[% NBS Score (Normalized)]]+(FMS_Ranking4[[#This Row],[Water Supply Score (Normalized)]]*10*$BB$5)+FMS_Ranking4[[#This Row],[FMS_Type Score Weighted]]</f>
        <v>46.453937418401381</v>
      </c>
      <c r="BN44" s="205">
        <f>_xlfn.RANK.EQ(FMS_Ranking4[[#This Row],[Total Score (with ArcSinh normalization of select criteria)]],FMS_Ranking4[Total Score (with ArcSinh normalization of select criteria)],0)</f>
        <v>36</v>
      </c>
      <c r="BO44" s="270" t="str">
        <f>_xlfn.XLOOKUP(FMS_Ranking4[[#This Row],[FMS ID]],FMS_Input[FMS_ID],FMS_Input[FMS_RANK_YEAR])</f>
        <v>2023 Amended Plan</v>
      </c>
      <c r="BP44" s="204">
        <f>_xlfn.XLOOKUP(FMS_Ranking4[[#This Row],[FMS ID]],Prev_Rank[FMS ID],Prev_Rank[Prev Rank])</f>
        <v>33</v>
      </c>
      <c r="BQ44" s="205" t="e">
        <f>_xlfn.XLOOKUP(FMS_Ranking4[[#This Row],[FMS ID]],#REF!,#REF!)</f>
        <v>#REF!</v>
      </c>
      <c r="BR44" s="199" t="e">
        <f>SUM(#REF!,#REF!,#REF!,#REF!,#REF!,#REF!,#REF!,#REF!,#REF!,FMS_Ranking4[[#This Row],[ArcSinh Res struct removed 0-10]],#REF!)</f>
        <v>#REF!</v>
      </c>
      <c r="BS44" s="199" t="e">
        <f>FMS_Ranking4[[#This Row],[Log Score Based on Normalized Reported Factors]]+FMS_Ranking4[[#This Row],[% NBS Score (Normalized)]]+(FMS_Ranking4[[#This Row],[Water Supply Score (Normalized)]]*10*$BB$5)+(FMS_Ranking4[[#This Row],[FMS_Type Score Weighted]])</f>
        <v>#REF!</v>
      </c>
      <c r="BT44" s="200" t="e">
        <f>_xlfn.RANK.EQ(FMS_Ranking4[[#This Row],[Log Total Score]],FMS_Ranking4[Log Total Score],0)</f>
        <v>#REF!</v>
      </c>
      <c r="BU44" s="200" t="e">
        <f>_xlfn.XLOOKUP(FMS_Ranking4[[#This Row],[FMS ID]],#REF!,#REF!)</f>
        <v>#REF!</v>
      </c>
      <c r="BV44" s="200">
        <f>FMS_Ranking4[[#This Row],[Region Number]]</f>
        <v>11</v>
      </c>
      <c r="BW44" s="200">
        <f>FMS_Ranking4[[#This Row],[Rank (with ArcSinh normalization of select criteria)]]-FMS_Ranking4[[#This Row],[Rank
(with linear
normalization)]]</f>
        <v>1</v>
      </c>
      <c r="BX44" s="200" t="e">
        <f>FMS_Ranking4[[#This Row],[Log Rank]]-FMS_Ranking4[[#This Row],[Rank
(with linear
normalization)]]</f>
        <v>#REF!</v>
      </c>
      <c r="BY44" s="200" t="str">
        <f>IF(FMS_Ranking4[[#This Row],[FMS Type]]="Flood Measurement and Warning",FMS_Ranking4[[#This Row],[Rank (with ArcSinh normalization of select criteria)]],"")</f>
        <v/>
      </c>
      <c r="BZ44" s="200" t="str">
        <f>IF(FMS_Ranking4[[#This Row],[FMS Type]]="Regulatory and Guidance",FMS_Ranking4[[#This Row],[Rank (with ArcSinh normalization of select criteria)]],"")</f>
        <v/>
      </c>
      <c r="CA44" s="200" t="str">
        <f>IF(FMS_Ranking4[[#This Row],[FMS Type]]="Education and Outreach",FMS_Ranking4[[#This Row],[Rank (with ArcSinh normalization of select criteria)]],"")</f>
        <v/>
      </c>
      <c r="CB44" s="200">
        <f>IF(FMS_Ranking4[[#This Row],[FMS Type]]="Property Acquisition and Structural Elevation",FMS_Ranking4[[#This Row],[Rank (with ArcSinh normalization of select criteria)]],"")</f>
        <v>36</v>
      </c>
      <c r="CC44" s="200" t="str">
        <f>IF(FMS_Ranking4[[#This Row],[FMS Type]]="Infrastructure Projects",FMS_Ranking4[[#This Row],[Rank (with ArcSinh normalization of select criteria)]],"")</f>
        <v/>
      </c>
      <c r="CD44" s="200" t="str">
        <f>IF(FMS_Ranking4[[#This Row],[FMS Type]]="Other",FMS_Ranking4[[#This Row],[Rank (with ArcSinh normalization of select criteria)]],"")</f>
        <v/>
      </c>
      <c r="CE44" s="201"/>
    </row>
    <row r="45" spans="2:83" ht="105" x14ac:dyDescent="0.25">
      <c r="B45" s="341" t="s">
        <v>4538</v>
      </c>
      <c r="C45" s="246">
        <f>_xlfn.XLOOKUP(FMS_Ranking4[[#This Row],[FMS ID]],FMS_Input[FMS_ID],FMS_Input[RFPG_NUM])</f>
        <v>3</v>
      </c>
      <c r="D45" s="309" t="str">
        <f>_xlfn.XLOOKUP(FMS_Ranking4[[#This Row],[FMS ID]],FMS_Input[FMS_ID],FMS_Input[FMS_NAME])</f>
        <v>Trinity Basin Stakeholder Nature-based Solutions Project Planning and Analysis </v>
      </c>
      <c r="E45" s="308" t="str">
        <f>_xlfn.XLOOKUP(FMS_Ranking4[[#This Row],[FMS ID]],FMS_Input[FMS_ID],FMS_Input[SPONSOR])</f>
        <v>The Nature Conservancy (TNC)</v>
      </c>
      <c r="F45" s="309" t="str">
        <f>_xlfn.XLOOKUP(FMS_Ranking4[[#This Row],[FMS ID]],Sponsor[FMS_ID],Sponsor[SPONSOR NAME])</f>
        <v>The Nature Conservancy (TNC)</v>
      </c>
      <c r="G45" s="309" t="str">
        <f>_xlfn.XLOOKUP(FMS_Ranking4[[#This Row],[FMS ID]],FMS_Input[FMS_ID],FMS_Input[FMS_DESCR])</f>
        <v xml:space="preserve">Multi-jurisdictional stakeholder engagement, planning and analysis will further refine priority NBS areas and identify as well as prepare a portfolio of priority NBS flood mitigation, projects, and strategies. </v>
      </c>
      <c r="H45" s="248" t="str">
        <f>_xlfn.XLOOKUP(FMS_Ranking4[[#This Row],[FMS ID]],FMS_Input[FMS_ID],FMS_Input[FMS_TYPE])</f>
        <v>Other</v>
      </c>
      <c r="I45" s="249">
        <f>_xlfn.XLOOKUP(FMS_Ranking4[[#This Row],[FMS ID]],FMS_Input[FMS_ID],FMS_Input[NRNC_COST])</f>
        <v>1964000</v>
      </c>
      <c r="J45" s="250">
        <f>_xlfn.XLOOKUP(FMS_Ranking4[[#This Row],[FMS ID]],FMS_Input[FMS_ID],FMS_Input[FMS_COST])</f>
        <v>1964000</v>
      </c>
      <c r="K45" s="251" t="str">
        <f>_xlfn.XLOOKUP(FMS_Ranking4[[#This Row],[FMS ID]],FMS_Input[FMS_ID],FMS_Input[EMER_NEED])</f>
        <v>No</v>
      </c>
      <c r="L45" s="252">
        <f t="shared" si="0"/>
        <v>0</v>
      </c>
      <c r="M45" s="253">
        <f>_xlfn.XLOOKUP(FMS_Ranking4[[#This Row],[FMS ID]],FMS_Input[FMS_ID],FMS_Input[STRUCT_100])</f>
        <v>85859</v>
      </c>
      <c r="N45" s="255">
        <f>(ASINH(FMS_Ranking4[[#This Row],[Structure at Risk Raw]]))*(10)/(ASINH(M$4))</f>
        <v>9.4759312807228788</v>
      </c>
      <c r="O45" s="256">
        <f>FMS_Ranking4[[#This Row],[Structures at risk, ArcSinh (0-10)]]*M$5*10</f>
        <v>9.4759312807228788</v>
      </c>
      <c r="P45" s="253">
        <f>_xlfn.XLOOKUP(FMS_Ranking4[[#This Row],[FMS ID]],FMS_Input[FMS_ID],FMS_Input[RES_STRUCT100])</f>
        <v>72930</v>
      </c>
      <c r="Q45" s="257">
        <f>ASINH(FMS_Ranking4[[#This Row],[Res Structure Raw]])/Q$4*P$5*100</f>
        <v>0</v>
      </c>
      <c r="R45" s="253">
        <f>_xlfn.XLOOKUP(FMS_Ranking4[[#This Row],[FMS ID]],FMS_Input[FMS_ID],FMS_Input[POP100])</f>
        <v>227593</v>
      </c>
      <c r="S45" s="259">
        <f>(ASINH(FMS_Ranking4[[#This Row],[Pop at Risk Raw]]))*(10)/(ASINH(R$4))</f>
        <v>8.9943053983657375</v>
      </c>
      <c r="T45" s="256">
        <f>FMS_Ranking4[[#This Row],[Population at risk, ArcSinh (0-10)]]*R$5*10</f>
        <v>8.9943053983657393</v>
      </c>
      <c r="U45" s="253">
        <f>_xlfn.XLOOKUP(FMS_Ranking4[[#This Row],[FMS ID]],FMS_Input[FMS_ID],FMS_Input[CRITFAC100])</f>
        <v>342</v>
      </c>
      <c r="V45" s="259">
        <f>(ASINH(FMS_Ranking4[[#This Row],[Critical Facilities Raw]]))*(10)/(ASINH(U$4))</f>
        <v>7.7275650122271351</v>
      </c>
      <c r="W45" s="256">
        <f>FMS_Ranking4[[#This Row],[Critical facilities at risk, ArcSinh (0-10)]]*U$5*10</f>
        <v>7.7275650122271351</v>
      </c>
      <c r="X45" s="253">
        <f>_xlfn.XLOOKUP(FMS_Ranking4[[#This Row],[FMS ID]],FMS_Input[FMS_ID],FMS_Input[LWC])</f>
        <v>0</v>
      </c>
      <c r="Y45" s="259">
        <f>(ASINH(FMS_Ranking4[[#This Row],[LWC Raw]]))*(10)/(ASINH(X$4))</f>
        <v>0</v>
      </c>
      <c r="Z45" s="256">
        <f>FMS_Ranking4[[#This Row],[LWC, ArcSInh (0-10)]]*X$5*10</f>
        <v>0</v>
      </c>
      <c r="AA45" s="253">
        <f>_xlfn.XLOOKUP(FMS_Ranking4[[#This Row],[FMS ID]],FMS_Input[FMS_ID],FMS_Input[ROADCLS])</f>
        <v>0</v>
      </c>
      <c r="AB45" s="255">
        <f>(ASINH(FMS_Ranking4[[#This Row],[Road Closures Raw]]))*(10)/(ASINH(AA$4))</f>
        <v>0</v>
      </c>
      <c r="AC45" s="256">
        <f>FMS_Ranking4[[#This Row],[Road closures, ArcSinh (0-10)]]*AA$5*10</f>
        <v>0</v>
      </c>
      <c r="AD45" s="253">
        <f>_xlfn.XLOOKUP(FMS_Ranking4[[#This Row],[FMS ID]],FMS_Input[FMS_ID],FMS_Input[ROAD_MILES100])</f>
        <v>3952</v>
      </c>
      <c r="AE45" s="259">
        <f>(ASINH(FMS_Ranking4[[#This Row],[Road Miles Raw]]))*(10)/(ASINH(AD$4))</f>
        <v>9.5650131820272595</v>
      </c>
      <c r="AF45" s="256">
        <f>FMS_Ranking4[[#This Row],[Length of roads at risk, ArcSinh (0-10)]]*AD$5*10</f>
        <v>9.5650131820272595</v>
      </c>
      <c r="AG45" s="253">
        <f>_xlfn.XLOOKUP(FMS_Ranking4[[#This Row],[FMS ID]],FMS_Input[FMS_ID],FMS_Input[FARMACRE100])</f>
        <v>1887.699951171875</v>
      </c>
      <c r="AH45" s="255">
        <f>(ASINH(FMS_Ranking4[[#This Row],[Ag Land Raw]]))*(10)/(ASINH(AG$4))</f>
        <v>5.3501229511756767</v>
      </c>
      <c r="AI45" s="260">
        <f>FMS_Ranking4[[#This Row],[Farm &amp; ranch land, ArcSinh (0-10)]]*AG$5*10</f>
        <v>2.6750614755878384</v>
      </c>
      <c r="AJ45" s="258">
        <f>_xlfn.XLOOKUP(FMS_Ranking4[[#This Row],[FMS ID]],FMS_Input[FMS_ID],FMS_Input[REDSTRUCT100])</f>
        <v>0</v>
      </c>
      <c r="AK45" s="253">
        <f>_xlfn.XLOOKUP(FMS_Ranking4[[#This Row],[FMS ID]],FMS_Input[FMS_ID],FMS_Input[REMSTRC100])</f>
        <v>0</v>
      </c>
      <c r="AL45" s="259">
        <f>(ASINH(FMS_Ranking4[[#This Row],[Structures Removed Raw]]))*(10)/(ASINH(AK$4))</f>
        <v>0</v>
      </c>
      <c r="AM45" s="262">
        <f>FMS_Ranking4[[#This Row],[Structures removed, ArcSinh (0-10)]]*AK$5*10</f>
        <v>0</v>
      </c>
      <c r="AN45" s="253">
        <f>_xlfn.XLOOKUP(FMS_Ranking4[[#This Row],[FMS ID]],FMS_Input[FMS_ID],FMS_Input[REMRESSTRC100])</f>
        <v>0</v>
      </c>
      <c r="AO45" s="261">
        <f>FMS_Ranking4[[#This Row],[ArcSinh Res struct removed 0-10]]*AN$5*10</f>
        <v>0</v>
      </c>
      <c r="AP45" s="254">
        <f>ASINH(FMS_Ranking4[[#This Row],[Residential Structures Removed Raw]])/AP$4*AN$5*100</f>
        <v>0</v>
      </c>
      <c r="AQ45" s="254">
        <f>(ASINH(FMS_Ranking4[[#This Row],[Residential Structures Removed Raw]]))*(10)/(ASINH(AN$4))</f>
        <v>0</v>
      </c>
      <c r="AR45" s="253">
        <f>_xlfn.XLOOKUP(FMS_Ranking4[[#This Row],[FMS ID]],FMS_Input[FMS_ID],FMS_Input[REMPOP100])</f>
        <v>0</v>
      </c>
      <c r="AS45" s="259">
        <f>(ASINH(FMS_Ranking4[[#This Row],[Removed Pop Raw]]))*(10)/(ASINH(AR$4))</f>
        <v>0</v>
      </c>
      <c r="AT45" s="262">
        <f>FMS_Ranking4[[#This Row],[Removed population, ArcSinh (0-10)]]*AR$5*10</f>
        <v>0</v>
      </c>
      <c r="AU45" s="264">
        <f>_xlfn.XLOOKUP(FMS_Ranking4[[#This Row],[FMS ID]],FMS_Input[FMS_ID],FMS_Input[REMCRITFAC100])</f>
        <v>0</v>
      </c>
      <c r="AV45" s="264">
        <f>_xlfn.XLOOKUP(FMS_Ranking4[[#This Row],[FMS ID]],FMS_Input[FMS_ID],FMS_Input[REMLWC100])</f>
        <v>0</v>
      </c>
      <c r="AW45" s="264">
        <f>_xlfn.XLOOKUP(FMS_Ranking4[[#This Row],[FMS ID]],FMS_Input[FMS_ID],FMS_Input[REMROADCLS])</f>
        <v>0</v>
      </c>
      <c r="AX45" s="264">
        <f>_xlfn.XLOOKUP(FMS_Ranking4[[#This Row],[FMS ID]],FMS_Input[FMS_ID],FMS_Input[REMFRMACRE100])</f>
        <v>0</v>
      </c>
      <c r="AY45" s="258">
        <f>_xlfn.XLOOKUP(FMS_Ranking4[[#This Row],[FMS ID]],FMS_Input[FMS_ID],FMS_Input[COSTSTRUCT])</f>
        <v>0</v>
      </c>
      <c r="AZ45" s="253">
        <f>_xlfn.XLOOKUP(FMS_Ranking4[[#This Row],[FMS ID]],FMS_Input[FMS_ID],FMS_Input[NATURE])</f>
        <v>100</v>
      </c>
      <c r="BA45" s="262">
        <f>(((FMS_Ranking4[[#This Row],[% NBS Raw]]/AZ$4)*100)*AZ$5)</f>
        <v>7.5</v>
      </c>
      <c r="BB45" s="251" t="str">
        <f>_xlfn.XLOOKUP(FMS_Ranking4[[#This Row],[FMS ID]],FMS_Input[FMS_ID],FMS_Input[WATER_SUP])</f>
        <v>No</v>
      </c>
      <c r="BC45" s="265">
        <f>IF(FMS_Ranking4[[#This Row],[Water Supply Raw]]="Yes",10,0)</f>
        <v>0</v>
      </c>
      <c r="BD45" s="266">
        <f>_xlfn.XLOOKUP(FMS_Ranking4[[#This Row],[FMS Type]],FMS_TYPE[FMS_Type],FMS_TYPE[Score])</f>
        <v>2</v>
      </c>
      <c r="BE45" s="267">
        <f>FMS_Ranking4[[#This Row],[FMS_Type Score]]*$BD$5*10</f>
        <v>0.5</v>
      </c>
      <c r="BF4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15.583407572123701</v>
      </c>
      <c r="BG45" s="271">
        <f>_xlfn.RANK.EQ(BF45,$BF$8:$BF$870,0)+COUNTIF($BF$8:BF45,BF45)-1</f>
        <v>24</v>
      </c>
      <c r="BH45" s="268">
        <f>(((FMS_Ranking4[[#This Row],[Structures Removed Raw]]/AK$4)*100)*AK$5)+(((FMS_Ranking4[[#This Row],[Removed Pop Raw]]/AR$4)*100)*AR$5)</f>
        <v>0</v>
      </c>
      <c r="BI4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23.583407572123701</v>
      </c>
      <c r="BJ45" s="205">
        <f>_xlfn.RANK.EQ(FMS_Ranking4[[#This Row],[Total Score 
(with linear
normalization)]],FMS_Ranking4[Total Score 
(with linear
normalization)],0)</f>
        <v>16</v>
      </c>
      <c r="BK45" s="205" t="e">
        <f>_xlfn.XLOOKUP(FMS_Ranking4[[#This Row],[FMS ID]],#REF!,#REF!)</f>
        <v>#REF!</v>
      </c>
      <c r="BL4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38.43787634893085</v>
      </c>
      <c r="BM45" s="272">
        <f>FMS_Ranking4[[#This Row],[ArcSinh Score Based on Normalized Reported Factors]]+FMS_Ranking4[[#This Row],[% NBS Score (Normalized)]]+(FMS_Ranking4[[#This Row],[Water Supply Score (Normalized)]]*10*$BB$5)+FMS_Ranking4[[#This Row],[FMS_Type Score Weighted]]</f>
        <v>46.43787634893085</v>
      </c>
      <c r="BN45" s="205">
        <f>_xlfn.RANK.EQ(FMS_Ranking4[[#This Row],[Total Score (with ArcSinh normalization of select criteria)]],FMS_Ranking4[Total Score (with ArcSinh normalization of select criteria)],0)</f>
        <v>38</v>
      </c>
      <c r="BO45" s="270" t="str">
        <f>_xlfn.XLOOKUP(FMS_Ranking4[[#This Row],[FMS ID]],FMS_Input[FMS_ID],FMS_Input[FMS_RANK_YEAR])</f>
        <v>2023 Amended Plan</v>
      </c>
      <c r="BP45" s="204">
        <f>_xlfn.XLOOKUP(FMS_Ranking4[[#This Row],[FMS ID]],Prev_Rank[FMS ID],Prev_Rank[Prev Rank])</f>
        <v>1</v>
      </c>
      <c r="BQ45" s="205" t="e">
        <f>_xlfn.XLOOKUP(FMS_Ranking4[[#This Row],[FMS ID]],#REF!,#REF!)</f>
        <v>#REF!</v>
      </c>
      <c r="BR45" s="199" t="e">
        <f>SUM(#REF!,#REF!,#REF!,#REF!,#REF!,#REF!,#REF!,#REF!,#REF!,FMS_Ranking4[[#This Row],[ArcSinh Res struct removed 0-10]],#REF!)</f>
        <v>#REF!</v>
      </c>
      <c r="BS45" s="199" t="e">
        <f>FMS_Ranking4[[#This Row],[Log Score Based on Normalized Reported Factors]]+FMS_Ranking4[[#This Row],[% NBS Score (Normalized)]]+(FMS_Ranking4[[#This Row],[Water Supply Score (Normalized)]]*10*$BB$5)+(FMS_Ranking4[[#This Row],[FMS_Type Score Weighted]])</f>
        <v>#REF!</v>
      </c>
      <c r="BT45" s="200" t="e">
        <f>_xlfn.RANK.EQ(FMS_Ranking4[[#This Row],[Log Total Score]],FMS_Ranking4[Log Total Score],0)</f>
        <v>#REF!</v>
      </c>
      <c r="BU45" s="200" t="e">
        <f>_xlfn.XLOOKUP(FMS_Ranking4[[#This Row],[FMS ID]],#REF!,#REF!)</f>
        <v>#REF!</v>
      </c>
      <c r="BV45" s="200">
        <f>FMS_Ranking4[[#This Row],[Region Number]]</f>
        <v>3</v>
      </c>
      <c r="BW45" s="200">
        <f>FMS_Ranking4[[#This Row],[Rank (with ArcSinh normalization of select criteria)]]-FMS_Ranking4[[#This Row],[Rank
(with linear
normalization)]]</f>
        <v>22</v>
      </c>
      <c r="BX45" s="200" t="e">
        <f>FMS_Ranking4[[#This Row],[Log Rank]]-FMS_Ranking4[[#This Row],[Rank
(with linear
normalization)]]</f>
        <v>#REF!</v>
      </c>
      <c r="BY45" s="200" t="str">
        <f>IF(FMS_Ranking4[[#This Row],[FMS Type]]="Flood Measurement and Warning",FMS_Ranking4[[#This Row],[Rank (with ArcSinh normalization of select criteria)]],"")</f>
        <v/>
      </c>
      <c r="BZ45" s="200" t="str">
        <f>IF(FMS_Ranking4[[#This Row],[FMS Type]]="Regulatory and Guidance",FMS_Ranking4[[#This Row],[Rank (with ArcSinh normalization of select criteria)]],"")</f>
        <v/>
      </c>
      <c r="CA45" s="200" t="str">
        <f>IF(FMS_Ranking4[[#This Row],[FMS Type]]="Education and Outreach",FMS_Ranking4[[#This Row],[Rank (with ArcSinh normalization of select criteria)]],"")</f>
        <v/>
      </c>
      <c r="CB45" s="200" t="str">
        <f>IF(FMS_Ranking4[[#This Row],[FMS Type]]="Property Acquisition and Structural Elevation",FMS_Ranking4[[#This Row],[Rank (with ArcSinh normalization of select criteria)]],"")</f>
        <v/>
      </c>
      <c r="CC45" s="200" t="str">
        <f>IF(FMS_Ranking4[[#This Row],[FMS Type]]="Infrastructure Projects",FMS_Ranking4[[#This Row],[Rank (with ArcSinh normalization of select criteria)]],"")</f>
        <v/>
      </c>
      <c r="CD45" s="200">
        <f>IF(FMS_Ranking4[[#This Row],[FMS Type]]="Other",FMS_Ranking4[[#This Row],[Rank (with ArcSinh normalization of select criteria)]],"")</f>
        <v>38</v>
      </c>
      <c r="CE45" s="201"/>
    </row>
    <row r="46" spans="2:83" ht="90" x14ac:dyDescent="0.25">
      <c r="B46" s="341" t="s">
        <v>12447</v>
      </c>
      <c r="C46" s="246">
        <f>_xlfn.XLOOKUP(FMS_Ranking4[[#This Row],[FMS ID]],FMS_Input[FMS_ID],FMS_Input[RFPG_NUM])</f>
        <v>6</v>
      </c>
      <c r="D46" s="309" t="str">
        <f>_xlfn.XLOOKUP(FMS_Ranking4[[#This Row],[FMS ID]],FMS_Input[FMS_ID],FMS_Input[FMS_NAME])</f>
        <v>San Jacinto River Watershed Gage Network Expansion</v>
      </c>
      <c r="E46" s="308" t="str">
        <f>_xlfn.XLOOKUP(FMS_Ranking4[[#This Row],[FMS ID]],FMS_Input[FMS_ID],FMS_Input[SPONSOR])</f>
        <v>00000287</v>
      </c>
      <c r="F46" s="309" t="str">
        <f>_xlfn.XLOOKUP(FMS_Ranking4[[#This Row],[FMS ID]],Sponsor[FMS_ID],Sponsor[SPONSOR NAME])</f>
        <v>San Jacinto River Authority</v>
      </c>
      <c r="G46" s="309" t="str">
        <f>_xlfn.XLOOKUP(FMS_Ranking4[[#This Row],[FMS ID]],FMS_Input[FMS_ID],FMS_Input[FMS_DESCR])</f>
        <v>Install up to 48 rain/stream gages in Montgomery, Waller, Grimes, Walker, San Jacinto, and Liberty counties to enhance flood warning in the San Jacinto River Watershed.</v>
      </c>
      <c r="H46" s="248" t="str">
        <f>_xlfn.XLOOKUP(FMS_Ranking4[[#This Row],[FMS ID]],FMS_Input[FMS_ID],FMS_Input[FMS_TYPE])</f>
        <v>Flood Measurement and Warning</v>
      </c>
      <c r="I46" s="249">
        <f>_xlfn.XLOOKUP(FMS_Ranking4[[#This Row],[FMS ID]],FMS_Input[FMS_ID],FMS_Input[NRNC_COST])</f>
        <v>64300</v>
      </c>
      <c r="J46" s="250">
        <f>_xlfn.XLOOKUP(FMS_Ranking4[[#This Row],[FMS ID]],FMS_Input[FMS_ID],FMS_Input[FMS_COST])</f>
        <v>1286000</v>
      </c>
      <c r="K46" s="251" t="str">
        <f>_xlfn.XLOOKUP(FMS_Ranking4[[#This Row],[FMS ID]],FMS_Input[FMS_ID],FMS_Input[EMER_NEED])</f>
        <v>No</v>
      </c>
      <c r="L46" s="252">
        <f t="shared" si="0"/>
        <v>0</v>
      </c>
      <c r="M46" s="253">
        <f>_xlfn.XLOOKUP(FMS_Ranking4[[#This Row],[FMS ID]],FMS_Input[FMS_ID],FMS_Input[STRUCT_100])</f>
        <v>27280</v>
      </c>
      <c r="N46" s="255">
        <f>(ASINH(FMS_Ranking4[[#This Row],[Structure at Risk Raw]]))*(10)/(ASINH(M$4))</f>
        <v>8.574570236526073</v>
      </c>
      <c r="O46" s="256">
        <f>FMS_Ranking4[[#This Row],[Structures at risk, ArcSinh (0-10)]]*M$5*10</f>
        <v>8.574570236526073</v>
      </c>
      <c r="P46" s="253">
        <f>_xlfn.XLOOKUP(FMS_Ranking4[[#This Row],[FMS ID]],FMS_Input[FMS_ID],FMS_Input[RES_STRUCT100])</f>
        <v>21172</v>
      </c>
      <c r="Q46" s="257">
        <f>ASINH(FMS_Ranking4[[#This Row],[Res Structure Raw]])/Q$4*P$5*100</f>
        <v>0</v>
      </c>
      <c r="R46" s="253">
        <f>_xlfn.XLOOKUP(FMS_Ranking4[[#This Row],[FMS ID]],FMS_Input[FMS_ID],FMS_Input[POP100])</f>
        <v>76613</v>
      </c>
      <c r="S46" s="259">
        <f>(ASINH(FMS_Ranking4[[#This Row],[Pop at Risk Raw]]))*(10)/(ASINH(R$4))</f>
        <v>8.2426487755733469</v>
      </c>
      <c r="T46" s="256">
        <f>FMS_Ranking4[[#This Row],[Population at risk, ArcSinh (0-10)]]*R$5*10</f>
        <v>8.2426487755733469</v>
      </c>
      <c r="U46" s="253">
        <f>_xlfn.XLOOKUP(FMS_Ranking4[[#This Row],[FMS ID]],FMS_Input[FMS_ID],FMS_Input[CRITFAC100])</f>
        <v>130</v>
      </c>
      <c r="V46" s="259">
        <f>(ASINH(FMS_Ranking4[[#This Row],[Critical Facilities Raw]]))*(10)/(ASINH(U$4))</f>
        <v>6.582553012628277</v>
      </c>
      <c r="W46" s="256">
        <f>FMS_Ranking4[[#This Row],[Critical facilities at risk, ArcSinh (0-10)]]*U$5*10</f>
        <v>6.582553012628277</v>
      </c>
      <c r="X46" s="253">
        <f>_xlfn.XLOOKUP(FMS_Ranking4[[#This Row],[FMS ID]],FMS_Input[FMS_ID],FMS_Input[LWC])</f>
        <v>102</v>
      </c>
      <c r="Y46" s="259">
        <f>(ASINH(FMS_Ranking4[[#This Row],[LWC Raw]]))*(10)/(ASINH(X$4))</f>
        <v>7.2046906156338011</v>
      </c>
      <c r="Z46" s="256">
        <f>FMS_Ranking4[[#This Row],[LWC, ArcSInh (0-10)]]*X$5*10</f>
        <v>7.204690615633802</v>
      </c>
      <c r="AA46" s="253">
        <f>_xlfn.XLOOKUP(FMS_Ranking4[[#This Row],[FMS ID]],FMS_Input[FMS_ID],FMS_Input[ROADCLS])</f>
        <v>102</v>
      </c>
      <c r="AB46" s="255">
        <f>(ASINH(FMS_Ranking4[[#This Row],[Road Closures Raw]]))*(10)/(ASINH(AA$4))</f>
        <v>5.5383588832874464</v>
      </c>
      <c r="AC46" s="256">
        <f>FMS_Ranking4[[#This Row],[Road closures, ArcSinh (0-10)]]*AA$5*10</f>
        <v>2.7691794416437232</v>
      </c>
      <c r="AD46" s="253">
        <f>_xlfn.XLOOKUP(FMS_Ranking4[[#This Row],[FMS ID]],FMS_Input[FMS_ID],FMS_Input[ROAD_MILES100])</f>
        <v>668</v>
      </c>
      <c r="AE46" s="259">
        <f>(ASINH(FMS_Ranking4[[#This Row],[Road Miles Raw]]))*(10)/(ASINH(AD$4))</f>
        <v>7.6704864955931624</v>
      </c>
      <c r="AF46" s="256">
        <f>FMS_Ranking4[[#This Row],[Length of roads at risk, ArcSinh (0-10)]]*AD$5*10</f>
        <v>7.6704864955931633</v>
      </c>
      <c r="AG46" s="253">
        <f>_xlfn.XLOOKUP(FMS_Ranking4[[#This Row],[FMS ID]],FMS_Input[FMS_ID],FMS_Input[FARMACRE100])</f>
        <v>2806.271240234375</v>
      </c>
      <c r="AH46" s="255">
        <f>(ASINH(FMS_Ranking4[[#This Row],[Ag Land Raw]]))*(10)/(ASINH(AG$4))</f>
        <v>5.6076803616463442</v>
      </c>
      <c r="AI46" s="260">
        <f>FMS_Ranking4[[#This Row],[Farm &amp; ranch land, ArcSinh (0-10)]]*AG$5*10</f>
        <v>2.8038401808231721</v>
      </c>
      <c r="AJ46" s="258">
        <f>_xlfn.XLOOKUP(FMS_Ranking4[[#This Row],[FMS ID]],FMS_Input[FMS_ID],FMS_Input[REDSTRUCT100])</f>
        <v>0</v>
      </c>
      <c r="AK46" s="253">
        <f>_xlfn.XLOOKUP(FMS_Ranking4[[#This Row],[FMS ID]],FMS_Input[FMS_ID],FMS_Input[REMSTRC100])</f>
        <v>0</v>
      </c>
      <c r="AL46" s="259">
        <f>(ASINH(FMS_Ranking4[[#This Row],[Structures Removed Raw]]))*(10)/(ASINH(AK$4))</f>
        <v>0</v>
      </c>
      <c r="AM46" s="262">
        <f>FMS_Ranking4[[#This Row],[Structures removed, ArcSinh (0-10)]]*AK$5*10</f>
        <v>0</v>
      </c>
      <c r="AN46" s="253">
        <f>_xlfn.XLOOKUP(FMS_Ranking4[[#This Row],[FMS ID]],FMS_Input[FMS_ID],FMS_Input[REMRESSTRC100])</f>
        <v>0</v>
      </c>
      <c r="AO46" s="261">
        <f>FMS_Ranking4[[#This Row],[ArcSinh Res struct removed 0-10]]*AN$5*10</f>
        <v>0</v>
      </c>
      <c r="AP46" s="254">
        <f>ASINH(FMS_Ranking4[[#This Row],[Residential Structures Removed Raw]])/AP$4*AN$5*100</f>
        <v>0</v>
      </c>
      <c r="AQ46" s="254">
        <f>(ASINH(FMS_Ranking4[[#This Row],[Residential Structures Removed Raw]]))*(10)/(ASINH(AN$4))</f>
        <v>0</v>
      </c>
      <c r="AR46" s="253">
        <f>_xlfn.XLOOKUP(FMS_Ranking4[[#This Row],[FMS ID]],FMS_Input[FMS_ID],FMS_Input[REMPOP100])</f>
        <v>0</v>
      </c>
      <c r="AS46" s="259">
        <f>(ASINH(FMS_Ranking4[[#This Row],[Removed Pop Raw]]))*(10)/(ASINH(AR$4))</f>
        <v>0</v>
      </c>
      <c r="AT46" s="262">
        <f>FMS_Ranking4[[#This Row],[Removed population, ArcSinh (0-10)]]*AR$5*10</f>
        <v>0</v>
      </c>
      <c r="AU46" s="264">
        <f>_xlfn.XLOOKUP(FMS_Ranking4[[#This Row],[FMS ID]],FMS_Input[FMS_ID],FMS_Input[REMCRITFAC100])</f>
        <v>0</v>
      </c>
      <c r="AV46" s="264">
        <f>_xlfn.XLOOKUP(FMS_Ranking4[[#This Row],[FMS ID]],FMS_Input[FMS_ID],FMS_Input[REMLWC100])</f>
        <v>0</v>
      </c>
      <c r="AW46" s="264">
        <f>_xlfn.XLOOKUP(FMS_Ranking4[[#This Row],[FMS ID]],FMS_Input[FMS_ID],FMS_Input[REMROADCLS])</f>
        <v>0</v>
      </c>
      <c r="AX46" s="264">
        <f>_xlfn.XLOOKUP(FMS_Ranking4[[#This Row],[FMS ID]],FMS_Input[FMS_ID],FMS_Input[REMFRMACRE100])</f>
        <v>0</v>
      </c>
      <c r="AY46" s="258">
        <f>_xlfn.XLOOKUP(FMS_Ranking4[[#This Row],[FMS ID]],FMS_Input[FMS_ID],FMS_Input[COSTSTRUCT])</f>
        <v>0</v>
      </c>
      <c r="AZ46" s="253">
        <f>_xlfn.XLOOKUP(FMS_Ranking4[[#This Row],[FMS ID]],FMS_Input[FMS_ID],FMS_Input[NATURE])</f>
        <v>0</v>
      </c>
      <c r="BA46" s="262">
        <f>(((FMS_Ranking4[[#This Row],[% NBS Raw]]/AZ$4)*100)*AZ$5)</f>
        <v>0</v>
      </c>
      <c r="BB46" s="251" t="str">
        <f>_xlfn.XLOOKUP(FMS_Ranking4[[#This Row],[FMS ID]],FMS_Input[FMS_ID],FMS_Input[WATER_SUP])</f>
        <v>No</v>
      </c>
      <c r="BC46" s="265">
        <f>IF(FMS_Ranking4[[#This Row],[Water Supply Raw]]="Yes",10,0)</f>
        <v>0</v>
      </c>
      <c r="BD46" s="266">
        <f>_xlfn.XLOOKUP(FMS_Ranking4[[#This Row],[FMS Type]],FMS_TYPE[FMS_Type],FMS_TYPE[Score])</f>
        <v>10</v>
      </c>
      <c r="BE46" s="352">
        <f>FMS_Ranking4[[#This Row],[FMS_Type Score]]*$BD$5*10</f>
        <v>2.5</v>
      </c>
      <c r="BF4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5.4418577981090852</v>
      </c>
      <c r="BG46" s="271">
        <f>_xlfn.RANK.EQ(BF46,$BF$8:$BF$870,0)+COUNTIF($BF$8:BF46,BF46)-1</f>
        <v>57</v>
      </c>
      <c r="BH46" s="268">
        <f>(((FMS_Ranking4[[#This Row],[Structures Removed Raw]]/AK$4)*100)*AK$5)+(((FMS_Ranking4[[#This Row],[Removed Pop Raw]]/AR$4)*100)*AR$5)</f>
        <v>0</v>
      </c>
      <c r="BI4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7.9418577981090852</v>
      </c>
      <c r="BJ46" s="205">
        <f>_xlfn.RANK.EQ(FMS_Ranking4[[#This Row],[Total Score 
(with linear
normalization)]],FMS_Ranking4[Total Score 
(with linear
normalization)],0)</f>
        <v>90</v>
      </c>
      <c r="BK46" s="205" t="e">
        <f>_xlfn.XLOOKUP(FMS_Ranking4[[#This Row],[FMS ID]],#REF!,#REF!)</f>
        <v>#REF!</v>
      </c>
      <c r="BL4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43.847968758421558</v>
      </c>
      <c r="BM46" s="272">
        <f>FMS_Ranking4[[#This Row],[ArcSinh Score Based on Normalized Reported Factors]]+FMS_Ranking4[[#This Row],[% NBS Score (Normalized)]]+(FMS_Ranking4[[#This Row],[Water Supply Score (Normalized)]]*10*$BB$5)+FMS_Ranking4[[#This Row],[FMS_Type Score Weighted]]</f>
        <v>46.347968758421558</v>
      </c>
      <c r="BN46" s="205">
        <f>_xlfn.RANK.EQ(FMS_Ranking4[[#This Row],[Total Score (with ArcSinh normalization of select criteria)]],FMS_Ranking4[Total Score (with ArcSinh normalization of select criteria)],0)</f>
        <v>39</v>
      </c>
      <c r="BO46" s="270" t="str">
        <f>_xlfn.XLOOKUP(FMS_Ranking4[[#This Row],[FMS ID]],FMS_Input[FMS_ID],FMS_Input[FMS_RANK_YEAR])</f>
        <v>2025 Amended Plan</v>
      </c>
      <c r="BP46" s="204" t="e">
        <f>_xlfn.XLOOKUP(FMS_Ranking4[[#This Row],[FMS ID]],Prev_Rank[FMS ID],Prev_Rank[Prev Rank])</f>
        <v>#N/A</v>
      </c>
      <c r="BQ46" s="205" t="e">
        <f>_xlfn.XLOOKUP(FMS_Ranking4[[#This Row],[FMS ID]],#REF!,#REF!)</f>
        <v>#REF!</v>
      </c>
      <c r="BR46" s="199" t="e">
        <f>SUM(#REF!,#REF!,#REF!,#REF!,#REF!,#REF!,#REF!,#REF!,#REF!,FMS_Ranking4[[#This Row],[ArcSinh Res struct removed 0-10]],#REF!)</f>
        <v>#REF!</v>
      </c>
      <c r="BS46" s="199" t="e">
        <f>FMS_Ranking4[[#This Row],[Log Score Based on Normalized Reported Factors]]+FMS_Ranking4[[#This Row],[% NBS Score (Normalized)]]+(FMS_Ranking4[[#This Row],[Water Supply Score (Normalized)]]*10*$BB$5)+(FMS_Ranking4[[#This Row],[FMS_Type Score Weighted]])</f>
        <v>#REF!</v>
      </c>
      <c r="BT46" s="200" t="e">
        <f>_xlfn.RANK.EQ(FMS_Ranking4[[#This Row],[Log Total Score]],FMS_Ranking4[Log Total Score],0)</f>
        <v>#REF!</v>
      </c>
      <c r="BU46" s="200" t="e">
        <f>_xlfn.XLOOKUP(FMS_Ranking4[[#This Row],[FMS ID]],#REF!,#REF!)</f>
        <v>#REF!</v>
      </c>
      <c r="BV46" s="200">
        <f>FMS_Ranking4[[#This Row],[Region Number]]</f>
        <v>6</v>
      </c>
      <c r="BW46" s="200">
        <f>FMS_Ranking4[[#This Row],[Rank (with ArcSinh normalization of select criteria)]]-FMS_Ranking4[[#This Row],[Rank
(with linear
normalization)]]</f>
        <v>-51</v>
      </c>
      <c r="BX46" s="200" t="e">
        <f>FMS_Ranking4[[#This Row],[Log Rank]]-FMS_Ranking4[[#This Row],[Rank
(with linear
normalization)]]</f>
        <v>#REF!</v>
      </c>
      <c r="BY46" s="200">
        <f>IF(FMS_Ranking4[[#This Row],[FMS Type]]="Flood Measurement and Warning",FMS_Ranking4[[#This Row],[Rank (with ArcSinh normalization of select criteria)]],"")</f>
        <v>39</v>
      </c>
      <c r="BZ46" s="200" t="str">
        <f>IF(FMS_Ranking4[[#This Row],[FMS Type]]="Regulatory and Guidance",FMS_Ranking4[[#This Row],[Rank (with ArcSinh normalization of select criteria)]],"")</f>
        <v/>
      </c>
      <c r="CA46" s="200" t="str">
        <f>IF(FMS_Ranking4[[#This Row],[FMS Type]]="Education and Outreach",FMS_Ranking4[[#This Row],[Rank (with ArcSinh normalization of select criteria)]],"")</f>
        <v/>
      </c>
      <c r="CB46" s="200" t="str">
        <f>IF(FMS_Ranking4[[#This Row],[FMS Type]]="Property Acquisition and Structural Elevation",FMS_Ranking4[[#This Row],[Rank (with ArcSinh normalization of select criteria)]],"")</f>
        <v/>
      </c>
      <c r="CC46" s="200" t="str">
        <f>IF(FMS_Ranking4[[#This Row],[FMS Type]]="Infrastructure Projects",FMS_Ranking4[[#This Row],[Rank (with ArcSinh normalization of select criteria)]],"")</f>
        <v/>
      </c>
      <c r="CD46" s="200" t="str">
        <f>IF(FMS_Ranking4[[#This Row],[FMS Type]]="Other",FMS_Ranking4[[#This Row],[Rank (with ArcSinh normalization of select criteria)]],"")</f>
        <v/>
      </c>
      <c r="CE46" s="201"/>
    </row>
    <row r="47" spans="2:83" ht="75" x14ac:dyDescent="0.25">
      <c r="B47" s="346" t="s">
        <v>3903</v>
      </c>
      <c r="C47" s="246">
        <f>_xlfn.XLOOKUP(FMS_Ranking4[[#This Row],[FMS ID]],FMS_Input[FMS_ID],FMS_Input[RFPG_NUM])</f>
        <v>15</v>
      </c>
      <c r="D47" s="309" t="str">
        <f>_xlfn.XLOOKUP(FMS_Ranking4[[#This Row],[FMS ID]],FMS_Input[FMS_ID],FMS_Input[FMS_NAME])</f>
        <v>Hidalgo County #12-1.1</v>
      </c>
      <c r="E47" s="308" t="str">
        <f>_xlfn.XLOOKUP(FMS_Ranking4[[#This Row],[FMS ID]],FMS_Input[FMS_ID],FMS_Input[SPONSOR])</f>
        <v>15000004</v>
      </c>
      <c r="F47" s="309" t="str">
        <f>_xlfn.XLOOKUP(FMS_Ranking4[[#This Row],[FMS ID]],Sponsor[FMS_ID],Sponsor[SPONSOR NAME])</f>
        <v>Hidalgo</v>
      </c>
      <c r="G47" s="309" t="str">
        <f>_xlfn.XLOOKUP(FMS_Ranking4[[#This Row],[FMS ID]],FMS_Input[FMS_ID],FMS_Input[FMS_DESCR])</f>
        <v>Develop a Program To Provide Links To Weather Alerts And Departmental Phone Listings With Contact Personnel For Residents.</v>
      </c>
      <c r="H47" s="248" t="str">
        <f>_xlfn.XLOOKUP(FMS_Ranking4[[#This Row],[FMS ID]],FMS_Input[FMS_ID],FMS_Input[FMS_TYPE])</f>
        <v>Flood Measurement and Warning</v>
      </c>
      <c r="I47" s="249">
        <f>_xlfn.XLOOKUP(FMS_Ranking4[[#This Row],[FMS ID]],FMS_Input[FMS_ID],FMS_Input[NRNC_COST])</f>
        <v>1000</v>
      </c>
      <c r="J47" s="250">
        <f>_xlfn.XLOOKUP(FMS_Ranking4[[#This Row],[FMS ID]],FMS_Input[FMS_ID],FMS_Input[FMS_COST])</f>
        <v>100000</v>
      </c>
      <c r="K47" s="251" t="str">
        <f>_xlfn.XLOOKUP(FMS_Ranking4[[#This Row],[FMS ID]],FMS_Input[FMS_ID],FMS_Input[EMER_NEED])</f>
        <v>Yes</v>
      </c>
      <c r="L47" s="252">
        <f t="shared" si="0"/>
        <v>1</v>
      </c>
      <c r="M47" s="253">
        <f>_xlfn.XLOOKUP(FMS_Ranking4[[#This Row],[FMS ID]],FMS_Input[FMS_ID],FMS_Input[STRUCT_100])</f>
        <v>167224</v>
      </c>
      <c r="N47" s="255">
        <f>(ASINH(FMS_Ranking4[[#This Row],[Structure at Risk Raw]]))*(10)/(ASINH(M$4))</f>
        <v>10</v>
      </c>
      <c r="O47" s="256">
        <f>FMS_Ranking4[[#This Row],[Structures at risk, ArcSinh (0-10)]]*M$5*10</f>
        <v>10</v>
      </c>
      <c r="P47" s="253">
        <f>_xlfn.XLOOKUP(FMS_Ranking4[[#This Row],[FMS ID]],FMS_Input[FMS_ID],FMS_Input[RES_STRUCT100])</f>
        <v>135738</v>
      </c>
      <c r="Q47" s="257">
        <f>ASINH(FMS_Ranking4[[#This Row],[Res Structure Raw]])/Q$4*P$5*100</f>
        <v>0</v>
      </c>
      <c r="R47" s="253">
        <f>_xlfn.XLOOKUP(FMS_Ranking4[[#This Row],[FMS ID]],FMS_Input[FMS_ID],FMS_Input[POP100])</f>
        <v>569558</v>
      </c>
      <c r="S47" s="255">
        <f>(ASINH(FMS_Ranking4[[#This Row],[Pop at Risk Raw]]))*(10)/(ASINH(R$4))</f>
        <v>9.6275721482674861</v>
      </c>
      <c r="T47" s="256">
        <f>FMS_Ranking4[[#This Row],[Population at risk, ArcSinh (0-10)]]*R$5*10</f>
        <v>9.6275721482674861</v>
      </c>
      <c r="U47" s="253">
        <f>_xlfn.XLOOKUP(FMS_Ranking4[[#This Row],[FMS ID]],FMS_Input[FMS_ID],FMS_Input[CRITFAC100])</f>
        <v>62</v>
      </c>
      <c r="V47" s="255">
        <f>(ASINH(FMS_Ranking4[[#This Row],[Critical Facilities Raw]]))*(10)/(ASINH(U$4))</f>
        <v>5.7061534362365105</v>
      </c>
      <c r="W47" s="256">
        <f>FMS_Ranking4[[#This Row],[Critical facilities at risk, ArcSinh (0-10)]]*U$5*10</f>
        <v>5.7061534362365105</v>
      </c>
      <c r="X47" s="253">
        <f>_xlfn.XLOOKUP(FMS_Ranking4[[#This Row],[FMS ID]],FMS_Input[FMS_ID],FMS_Input[LWC])</f>
        <v>16</v>
      </c>
      <c r="Y47" s="255">
        <f>(ASINH(FMS_Ranking4[[#This Row],[LWC Raw]]))*(10)/(ASINH(X$4))</f>
        <v>4.6964844083783914</v>
      </c>
      <c r="Z47" s="256">
        <f>FMS_Ranking4[[#This Row],[LWC, ArcSInh (0-10)]]*X$5*10</f>
        <v>4.6964844083783923</v>
      </c>
      <c r="AA47" s="253">
        <f>_xlfn.XLOOKUP(FMS_Ranking4[[#This Row],[FMS ID]],FMS_Input[FMS_ID],FMS_Input[ROADCLS])</f>
        <v>0</v>
      </c>
      <c r="AB47" s="255">
        <f>(ASINH(FMS_Ranking4[[#This Row],[Road Closures Raw]]))*(10)/(ASINH(AA$4))</f>
        <v>0</v>
      </c>
      <c r="AC47" s="256">
        <f>FMS_Ranking4[[#This Row],[Road closures, ArcSinh (0-10)]]*AA$5*10</f>
        <v>0</v>
      </c>
      <c r="AD47" s="253">
        <f>_xlfn.XLOOKUP(FMS_Ranking4[[#This Row],[FMS ID]],FMS_Input[FMS_ID],FMS_Input[ROAD_MILES100])</f>
        <v>3065</v>
      </c>
      <c r="AE47" s="255">
        <f>(ASINH(FMS_Ranking4[[#This Row],[Road Miles Raw]]))*(10)/(ASINH(AD$4))</f>
        <v>9.2941334144264758</v>
      </c>
      <c r="AF47" s="256">
        <f>FMS_Ranking4[[#This Row],[Length of roads at risk, ArcSinh (0-10)]]*AD$5*10</f>
        <v>9.2941334144264758</v>
      </c>
      <c r="AG47" s="253">
        <f>_xlfn.XLOOKUP(FMS_Ranking4[[#This Row],[FMS ID]],FMS_Input[FMS_ID],FMS_Input[FARMACRE100])</f>
        <v>338728.96875</v>
      </c>
      <c r="AH47" s="255">
        <f>(ASINH(FMS_Ranking4[[#This Row],[Ag Land Raw]]))*(10)/(ASINH(AG$4))</f>
        <v>8.7213475482382332</v>
      </c>
      <c r="AI47" s="260">
        <f>FMS_Ranking4[[#This Row],[Farm &amp; ranch land, ArcSinh (0-10)]]*AG$5*10</f>
        <v>4.3606737741191175</v>
      </c>
      <c r="AJ47" s="258">
        <f>_xlfn.XLOOKUP(FMS_Ranking4[[#This Row],[FMS ID]],FMS_Input[FMS_ID],FMS_Input[REDSTRUCT100])</f>
        <v>0</v>
      </c>
      <c r="AK47" s="253">
        <f>_xlfn.XLOOKUP(FMS_Ranking4[[#This Row],[FMS ID]],FMS_Input[FMS_ID],FMS_Input[REMSTRC100])</f>
        <v>0</v>
      </c>
      <c r="AL47" s="255">
        <f>(ASINH(FMS_Ranking4[[#This Row],[Structures Removed Raw]]))*(10)/(ASINH(AK$4))</f>
        <v>0</v>
      </c>
      <c r="AM47" s="262">
        <f>FMS_Ranking4[[#This Row],[Structures removed, ArcSinh (0-10)]]*AK$5*10</f>
        <v>0</v>
      </c>
      <c r="AN47" s="253">
        <f>_xlfn.XLOOKUP(FMS_Ranking4[[#This Row],[FMS ID]],FMS_Input[FMS_ID],FMS_Input[REMRESSTRC100])</f>
        <v>0</v>
      </c>
      <c r="AO47" s="261">
        <f>FMS_Ranking4[[#This Row],[ArcSinh Res struct removed 0-10]]*AN$5*10</f>
        <v>0</v>
      </c>
      <c r="AP47" s="254">
        <f>ASINH(FMS_Ranking4[[#This Row],[Residential Structures Removed Raw]])/AP$4*AN$5*100</f>
        <v>0</v>
      </c>
      <c r="AQ47" s="258">
        <f>(ASINH(FMS_Ranking4[[#This Row],[Residential Structures Removed Raw]]))*(10)/(ASINH(AN$4))</f>
        <v>0</v>
      </c>
      <c r="AR47" s="253">
        <f>_xlfn.XLOOKUP(FMS_Ranking4[[#This Row],[FMS ID]],FMS_Input[FMS_ID],FMS_Input[REMPOP100])</f>
        <v>0</v>
      </c>
      <c r="AS47" s="255">
        <f>(ASINH(FMS_Ranking4[[#This Row],[Removed Pop Raw]]))*(10)/(ASINH(AR$4))</f>
        <v>0</v>
      </c>
      <c r="AT47" s="262">
        <f>FMS_Ranking4[[#This Row],[Removed population, ArcSinh (0-10)]]*AR$5*10</f>
        <v>0</v>
      </c>
      <c r="AU47" s="264">
        <f>_xlfn.XLOOKUP(FMS_Ranking4[[#This Row],[FMS ID]],FMS_Input[FMS_ID],FMS_Input[REMCRITFAC100])</f>
        <v>0</v>
      </c>
      <c r="AV47" s="264">
        <f>_xlfn.XLOOKUP(FMS_Ranking4[[#This Row],[FMS ID]],FMS_Input[FMS_ID],FMS_Input[REMLWC100])</f>
        <v>0</v>
      </c>
      <c r="AW47" s="264">
        <f>_xlfn.XLOOKUP(FMS_Ranking4[[#This Row],[FMS ID]],FMS_Input[FMS_ID],FMS_Input[REMROADCLS])</f>
        <v>0</v>
      </c>
      <c r="AX47" s="264">
        <f>_xlfn.XLOOKUP(FMS_Ranking4[[#This Row],[FMS ID]],FMS_Input[FMS_ID],FMS_Input[REMFRMACRE100])</f>
        <v>0</v>
      </c>
      <c r="AY47" s="258">
        <f>_xlfn.XLOOKUP(FMS_Ranking4[[#This Row],[FMS ID]],FMS_Input[FMS_ID],FMS_Input[COSTSTRUCT])</f>
        <v>0</v>
      </c>
      <c r="AZ47" s="253">
        <f>_xlfn.XLOOKUP(FMS_Ranking4[[#This Row],[FMS ID]],FMS_Input[FMS_ID],FMS_Input[NATURE])</f>
        <v>0</v>
      </c>
      <c r="BA47" s="262">
        <f>(((FMS_Ranking4[[#This Row],[% NBS Raw]]/AZ$4)*100)*AZ$5)</f>
        <v>0</v>
      </c>
      <c r="BB47" s="251" t="str">
        <f>_xlfn.XLOOKUP(FMS_Ranking4[[#This Row],[FMS ID]],FMS_Input[FMS_ID],FMS_Input[WATER_SUP])</f>
        <v>No</v>
      </c>
      <c r="BC47" s="265">
        <f>IF(FMS_Ranking4[[#This Row],[Water Supply Raw]]="Yes",10,0)</f>
        <v>0</v>
      </c>
      <c r="BD47" s="266">
        <f>_xlfn.XLOOKUP(FMS_Ranking4[[#This Row],[FMS Type]],FMS_TYPE[FMS_Type],FMS_TYPE[Score])</f>
        <v>10</v>
      </c>
      <c r="BE47" s="267">
        <f>FMS_Ranking4[[#This Row],[FMS_Type Score]]*$BD$5*10</f>
        <v>2.5</v>
      </c>
      <c r="BF4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22.150531966232357</v>
      </c>
      <c r="BG47" s="293">
        <f>_xlfn.RANK.EQ(BF47,$BF$8:$BF$870,0)+COUNTIF($BF$8:BF47,BF47)-1</f>
        <v>11</v>
      </c>
      <c r="BH47" s="294">
        <f>(((FMS_Ranking4[[#This Row],[Structures Removed Raw]]/AK$4)*100)*AK$5)+(((FMS_Ranking4[[#This Row],[Removed Pop Raw]]/AR$4)*100)*AR$5)</f>
        <v>0</v>
      </c>
      <c r="BI4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24.650531966232357</v>
      </c>
      <c r="BJ47" s="251">
        <f>_xlfn.RANK.EQ(FMS_Ranking4[[#This Row],[Total Score 
(with linear
normalization)]],FMS_Ranking4[Total Score 
(with linear
normalization)],0)</f>
        <v>11</v>
      </c>
      <c r="BK47" s="251" t="e">
        <f>_xlfn.XLOOKUP(FMS_Ranking4[[#This Row],[FMS ID]],#REF!,#REF!)</f>
        <v>#REF!</v>
      </c>
      <c r="BL4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43.68501718142798</v>
      </c>
      <c r="BM47" s="324">
        <f>FMS_Ranking4[[#This Row],[ArcSinh Score Based on Normalized Reported Factors]]+FMS_Ranking4[[#This Row],[% NBS Score (Normalized)]]+(FMS_Ranking4[[#This Row],[Water Supply Score (Normalized)]]*10*$BB$5)+FMS_Ranking4[[#This Row],[FMS_Type Score Weighted]]</f>
        <v>46.18501718142798</v>
      </c>
      <c r="BN47" s="251">
        <f>_xlfn.RANK.EQ(FMS_Ranking4[[#This Row],[Total Score (with ArcSinh normalization of select criteria)]],FMS_Ranking4[Total Score (with ArcSinh normalization of select criteria)],0)</f>
        <v>40</v>
      </c>
      <c r="BO47" s="270" t="str">
        <f>_xlfn.XLOOKUP(FMS_Ranking4[[#This Row],[FMS ID]],FMS_Input[FMS_ID],FMS_Input[FMS_RANK_YEAR])</f>
        <v>2023 Amended Plan</v>
      </c>
      <c r="BP47" s="324">
        <f>_xlfn.XLOOKUP(FMS_Ranking4[[#This Row],[FMS ID]],Prev_Rank[FMS ID],Prev_Rank[Prev Rank])</f>
        <v>35</v>
      </c>
      <c r="BQ47" s="251" t="e">
        <f>_xlfn.XLOOKUP(FMS_Ranking4[[#This Row],[FMS ID]],#REF!,#REF!)</f>
        <v>#REF!</v>
      </c>
      <c r="BR47" s="199" t="e">
        <f>SUM(#REF!,#REF!,#REF!,#REF!,#REF!,#REF!,#REF!,#REF!,#REF!,FMS_Ranking4[[#This Row],[ArcSinh Res struct removed 0-10]],#REF!)</f>
        <v>#REF!</v>
      </c>
      <c r="BS47" s="199" t="e">
        <f>FMS_Ranking4[[#This Row],[Log Score Based on Normalized Reported Factors]]+FMS_Ranking4[[#This Row],[% NBS Score (Normalized)]]+(FMS_Ranking4[[#This Row],[Water Supply Score (Normalized)]]*10*$BB$5)+(FMS_Ranking4[[#This Row],[FMS_Type Score Weighted]])</f>
        <v>#REF!</v>
      </c>
      <c r="BT47" s="200" t="e">
        <f>_xlfn.RANK.EQ(FMS_Ranking4[[#This Row],[Log Total Score]],FMS_Ranking4[Log Total Score],0)</f>
        <v>#REF!</v>
      </c>
      <c r="BU47" s="200" t="e">
        <f>_xlfn.XLOOKUP(FMS_Ranking4[[#This Row],[FMS ID]],#REF!,#REF!)</f>
        <v>#REF!</v>
      </c>
      <c r="BV47" s="200">
        <f>FMS_Ranking4[[#This Row],[Region Number]]</f>
        <v>15</v>
      </c>
      <c r="BW47" s="200">
        <f>FMS_Ranking4[[#This Row],[Rank (with ArcSinh normalization of select criteria)]]-FMS_Ranking4[[#This Row],[Rank
(with linear
normalization)]]</f>
        <v>29</v>
      </c>
      <c r="BX47" s="200" t="e">
        <f>FMS_Ranking4[[#This Row],[Log Rank]]-FMS_Ranking4[[#This Row],[Rank
(with linear
normalization)]]</f>
        <v>#REF!</v>
      </c>
      <c r="BY47" s="200">
        <f>IF(FMS_Ranking4[[#This Row],[FMS Type]]="Flood Measurement and Warning",FMS_Ranking4[[#This Row],[Rank (with ArcSinh normalization of select criteria)]],"")</f>
        <v>40</v>
      </c>
      <c r="BZ47" s="200" t="str">
        <f>IF(FMS_Ranking4[[#This Row],[FMS Type]]="Regulatory and Guidance",FMS_Ranking4[[#This Row],[Rank (with ArcSinh normalization of select criteria)]],"")</f>
        <v/>
      </c>
      <c r="CA47" s="200" t="str">
        <f>IF(FMS_Ranking4[[#This Row],[FMS Type]]="Education and Outreach",FMS_Ranking4[[#This Row],[Rank (with ArcSinh normalization of select criteria)]],"")</f>
        <v/>
      </c>
      <c r="CB47" s="200" t="str">
        <f>IF(FMS_Ranking4[[#This Row],[FMS Type]]="Property Acquisition and Structural Elevation",FMS_Ranking4[[#This Row],[Rank (with ArcSinh normalization of select criteria)]],"")</f>
        <v/>
      </c>
      <c r="CC47" s="200" t="str">
        <f>IF(FMS_Ranking4[[#This Row],[FMS Type]]="Infrastructure Projects",FMS_Ranking4[[#This Row],[Rank (with ArcSinh normalization of select criteria)]],"")</f>
        <v/>
      </c>
      <c r="CD47" s="200" t="str">
        <f>IF(FMS_Ranking4[[#This Row],[FMS Type]]="Other",FMS_Ranking4[[#This Row],[Rank (with ArcSinh normalization of select criteria)]],"")</f>
        <v/>
      </c>
      <c r="CE47" s="201"/>
    </row>
    <row r="48" spans="2:83" ht="60" x14ac:dyDescent="0.25">
      <c r="B48" s="346" t="s">
        <v>3905</v>
      </c>
      <c r="C48" s="246">
        <f>_xlfn.XLOOKUP(FMS_Ranking4[[#This Row],[FMS ID]],FMS_Input[FMS_ID],FMS_Input[RFPG_NUM])</f>
        <v>15</v>
      </c>
      <c r="D48" s="309" t="str">
        <f>_xlfn.XLOOKUP(FMS_Ranking4[[#This Row],[FMS ID]],FMS_Input[FMS_ID],FMS_Input[FMS_NAME])</f>
        <v>Hidalgo County #14-1.1</v>
      </c>
      <c r="E48" s="308" t="str">
        <f>_xlfn.XLOOKUP(FMS_Ranking4[[#This Row],[FMS ID]],FMS_Input[FMS_ID],FMS_Input[SPONSOR])</f>
        <v>15000004</v>
      </c>
      <c r="F48" s="309" t="str">
        <f>_xlfn.XLOOKUP(FMS_Ranking4[[#This Row],[FMS ID]],Sponsor[FMS_ID],Sponsor[SPONSOR NAME])</f>
        <v>Hidalgo</v>
      </c>
      <c r="G48" s="309" t="str">
        <f>_xlfn.XLOOKUP(FMS_Ranking4[[#This Row],[FMS ID]],FMS_Input[FMS_ID],FMS_Input[FMS_DESCR])</f>
        <v>Develop Procedures For Mass Notifications To Citizens And Merchants During Natural Hazard Incident.</v>
      </c>
      <c r="H48" s="248" t="str">
        <f>_xlfn.XLOOKUP(FMS_Ranking4[[#This Row],[FMS ID]],FMS_Input[FMS_ID],FMS_Input[FMS_TYPE])</f>
        <v>Flood Measurement and Warning</v>
      </c>
      <c r="I48" s="249">
        <f>_xlfn.XLOOKUP(FMS_Ranking4[[#This Row],[FMS ID]],FMS_Input[FMS_ID],FMS_Input[NRNC_COST])</f>
        <v>1000</v>
      </c>
      <c r="J48" s="250">
        <f>_xlfn.XLOOKUP(FMS_Ranking4[[#This Row],[FMS ID]],FMS_Input[FMS_ID],FMS_Input[FMS_COST])</f>
        <v>100000</v>
      </c>
      <c r="K48" s="251" t="str">
        <f>_xlfn.XLOOKUP(FMS_Ranking4[[#This Row],[FMS ID]],FMS_Input[FMS_ID],FMS_Input[EMER_NEED])</f>
        <v>Yes</v>
      </c>
      <c r="L48" s="252">
        <f t="shared" si="0"/>
        <v>1</v>
      </c>
      <c r="M48" s="253">
        <f>_xlfn.XLOOKUP(FMS_Ranking4[[#This Row],[FMS ID]],FMS_Input[FMS_ID],FMS_Input[STRUCT_100])</f>
        <v>167224</v>
      </c>
      <c r="N48" s="255">
        <f>(ASINH(FMS_Ranking4[[#This Row],[Structure at Risk Raw]]))*(10)/(ASINH(M$4))</f>
        <v>10</v>
      </c>
      <c r="O48" s="256">
        <f>FMS_Ranking4[[#This Row],[Structures at risk, ArcSinh (0-10)]]*M$5*10</f>
        <v>10</v>
      </c>
      <c r="P48" s="253">
        <f>_xlfn.XLOOKUP(FMS_Ranking4[[#This Row],[FMS ID]],FMS_Input[FMS_ID],FMS_Input[RES_STRUCT100])</f>
        <v>135738</v>
      </c>
      <c r="Q48" s="257">
        <f>ASINH(FMS_Ranking4[[#This Row],[Res Structure Raw]])/Q$4*P$5*100</f>
        <v>0</v>
      </c>
      <c r="R48" s="253">
        <f>_xlfn.XLOOKUP(FMS_Ranking4[[#This Row],[FMS ID]],FMS_Input[FMS_ID],FMS_Input[POP100])</f>
        <v>569558</v>
      </c>
      <c r="S48" s="255">
        <f>(ASINH(FMS_Ranking4[[#This Row],[Pop at Risk Raw]]))*(10)/(ASINH(R$4))</f>
        <v>9.6275721482674861</v>
      </c>
      <c r="T48" s="256">
        <f>FMS_Ranking4[[#This Row],[Population at risk, ArcSinh (0-10)]]*R$5*10</f>
        <v>9.6275721482674861</v>
      </c>
      <c r="U48" s="253">
        <f>_xlfn.XLOOKUP(FMS_Ranking4[[#This Row],[FMS ID]],FMS_Input[FMS_ID],FMS_Input[CRITFAC100])</f>
        <v>62</v>
      </c>
      <c r="V48" s="255">
        <f>(ASINH(FMS_Ranking4[[#This Row],[Critical Facilities Raw]]))*(10)/(ASINH(U$4))</f>
        <v>5.7061534362365105</v>
      </c>
      <c r="W48" s="256">
        <f>FMS_Ranking4[[#This Row],[Critical facilities at risk, ArcSinh (0-10)]]*U$5*10</f>
        <v>5.7061534362365105</v>
      </c>
      <c r="X48" s="253">
        <f>_xlfn.XLOOKUP(FMS_Ranking4[[#This Row],[FMS ID]],FMS_Input[FMS_ID],FMS_Input[LWC])</f>
        <v>16</v>
      </c>
      <c r="Y48" s="255">
        <f>(ASINH(FMS_Ranking4[[#This Row],[LWC Raw]]))*(10)/(ASINH(X$4))</f>
        <v>4.6964844083783914</v>
      </c>
      <c r="Z48" s="256">
        <f>FMS_Ranking4[[#This Row],[LWC, ArcSInh (0-10)]]*X$5*10</f>
        <v>4.6964844083783923</v>
      </c>
      <c r="AA48" s="253">
        <f>_xlfn.XLOOKUP(FMS_Ranking4[[#This Row],[FMS ID]],FMS_Input[FMS_ID],FMS_Input[ROADCLS])</f>
        <v>0</v>
      </c>
      <c r="AB48" s="255">
        <f>(ASINH(FMS_Ranking4[[#This Row],[Road Closures Raw]]))*(10)/(ASINH(AA$4))</f>
        <v>0</v>
      </c>
      <c r="AC48" s="256">
        <f>FMS_Ranking4[[#This Row],[Road closures, ArcSinh (0-10)]]*AA$5*10</f>
        <v>0</v>
      </c>
      <c r="AD48" s="253">
        <f>_xlfn.XLOOKUP(FMS_Ranking4[[#This Row],[FMS ID]],FMS_Input[FMS_ID],FMS_Input[ROAD_MILES100])</f>
        <v>3065</v>
      </c>
      <c r="AE48" s="255">
        <f>(ASINH(FMS_Ranking4[[#This Row],[Road Miles Raw]]))*(10)/(ASINH(AD$4))</f>
        <v>9.2941334144264758</v>
      </c>
      <c r="AF48" s="256">
        <f>FMS_Ranking4[[#This Row],[Length of roads at risk, ArcSinh (0-10)]]*AD$5*10</f>
        <v>9.2941334144264758</v>
      </c>
      <c r="AG48" s="253">
        <f>_xlfn.XLOOKUP(FMS_Ranking4[[#This Row],[FMS ID]],FMS_Input[FMS_ID],FMS_Input[FARMACRE100])</f>
        <v>338728.96875</v>
      </c>
      <c r="AH48" s="255">
        <f>(ASINH(FMS_Ranking4[[#This Row],[Ag Land Raw]]))*(10)/(ASINH(AG$4))</f>
        <v>8.7213475482382332</v>
      </c>
      <c r="AI48" s="260">
        <f>FMS_Ranking4[[#This Row],[Farm &amp; ranch land, ArcSinh (0-10)]]*AG$5*10</f>
        <v>4.3606737741191175</v>
      </c>
      <c r="AJ48" s="258">
        <f>_xlfn.XLOOKUP(FMS_Ranking4[[#This Row],[FMS ID]],FMS_Input[FMS_ID],FMS_Input[REDSTRUCT100])</f>
        <v>0</v>
      </c>
      <c r="AK48" s="253">
        <f>_xlfn.XLOOKUP(FMS_Ranking4[[#This Row],[FMS ID]],FMS_Input[FMS_ID],FMS_Input[REMSTRC100])</f>
        <v>0</v>
      </c>
      <c r="AL48" s="255">
        <f>(ASINH(FMS_Ranking4[[#This Row],[Structures Removed Raw]]))*(10)/(ASINH(AK$4))</f>
        <v>0</v>
      </c>
      <c r="AM48" s="262">
        <f>FMS_Ranking4[[#This Row],[Structures removed, ArcSinh (0-10)]]*AK$5*10</f>
        <v>0</v>
      </c>
      <c r="AN48" s="253">
        <f>_xlfn.XLOOKUP(FMS_Ranking4[[#This Row],[FMS ID]],FMS_Input[FMS_ID],FMS_Input[REMRESSTRC100])</f>
        <v>0</v>
      </c>
      <c r="AO48" s="261">
        <f>FMS_Ranking4[[#This Row],[ArcSinh Res struct removed 0-10]]*AN$5*10</f>
        <v>0</v>
      </c>
      <c r="AP48" s="254">
        <f>ASINH(FMS_Ranking4[[#This Row],[Residential Structures Removed Raw]])/AP$4*AN$5*100</f>
        <v>0</v>
      </c>
      <c r="AQ48" s="258">
        <f>(ASINH(FMS_Ranking4[[#This Row],[Residential Structures Removed Raw]]))*(10)/(ASINH(AN$4))</f>
        <v>0</v>
      </c>
      <c r="AR48" s="253">
        <f>_xlfn.XLOOKUP(FMS_Ranking4[[#This Row],[FMS ID]],FMS_Input[FMS_ID],FMS_Input[REMPOP100])</f>
        <v>0</v>
      </c>
      <c r="AS48" s="255">
        <f>(ASINH(FMS_Ranking4[[#This Row],[Removed Pop Raw]]))*(10)/(ASINH(AR$4))</f>
        <v>0</v>
      </c>
      <c r="AT48" s="262">
        <f>FMS_Ranking4[[#This Row],[Removed population, ArcSinh (0-10)]]*AR$5*10</f>
        <v>0</v>
      </c>
      <c r="AU48" s="264">
        <f>_xlfn.XLOOKUP(FMS_Ranking4[[#This Row],[FMS ID]],FMS_Input[FMS_ID],FMS_Input[REMCRITFAC100])</f>
        <v>0</v>
      </c>
      <c r="AV48" s="264">
        <f>_xlfn.XLOOKUP(FMS_Ranking4[[#This Row],[FMS ID]],FMS_Input[FMS_ID],FMS_Input[REMLWC100])</f>
        <v>0</v>
      </c>
      <c r="AW48" s="264">
        <f>_xlfn.XLOOKUP(FMS_Ranking4[[#This Row],[FMS ID]],FMS_Input[FMS_ID],FMS_Input[REMROADCLS])</f>
        <v>0</v>
      </c>
      <c r="AX48" s="264">
        <f>_xlfn.XLOOKUP(FMS_Ranking4[[#This Row],[FMS ID]],FMS_Input[FMS_ID],FMS_Input[REMFRMACRE100])</f>
        <v>0</v>
      </c>
      <c r="AY48" s="258">
        <f>_xlfn.XLOOKUP(FMS_Ranking4[[#This Row],[FMS ID]],FMS_Input[FMS_ID],FMS_Input[COSTSTRUCT])</f>
        <v>0</v>
      </c>
      <c r="AZ48" s="253">
        <f>_xlfn.XLOOKUP(FMS_Ranking4[[#This Row],[FMS ID]],FMS_Input[FMS_ID],FMS_Input[NATURE])</f>
        <v>0</v>
      </c>
      <c r="BA48" s="262">
        <f>(((FMS_Ranking4[[#This Row],[% NBS Raw]]/AZ$4)*100)*AZ$5)</f>
        <v>0</v>
      </c>
      <c r="BB48" s="251" t="str">
        <f>_xlfn.XLOOKUP(FMS_Ranking4[[#This Row],[FMS ID]],FMS_Input[FMS_ID],FMS_Input[WATER_SUP])</f>
        <v>No</v>
      </c>
      <c r="BC48" s="265">
        <f>IF(FMS_Ranking4[[#This Row],[Water Supply Raw]]="Yes",10,0)</f>
        <v>0</v>
      </c>
      <c r="BD48" s="266">
        <f>_xlfn.XLOOKUP(FMS_Ranking4[[#This Row],[FMS Type]],FMS_TYPE[FMS_Type],FMS_TYPE[Score])</f>
        <v>10</v>
      </c>
      <c r="BE48" s="267">
        <f>FMS_Ranking4[[#This Row],[FMS_Type Score]]*$BD$5*10</f>
        <v>2.5</v>
      </c>
      <c r="BF4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22.150531966232357</v>
      </c>
      <c r="BG48" s="293">
        <f>_xlfn.RANK.EQ(BF48,$BF$8:$BF$870,0)+COUNTIF($BF$8:BF48,BF48)-1</f>
        <v>12</v>
      </c>
      <c r="BH48" s="294">
        <f>(((FMS_Ranking4[[#This Row],[Structures Removed Raw]]/AK$4)*100)*AK$5)+(((FMS_Ranking4[[#This Row],[Removed Pop Raw]]/AR$4)*100)*AR$5)</f>
        <v>0</v>
      </c>
      <c r="BI4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24.650531966232357</v>
      </c>
      <c r="BJ48" s="251">
        <f>_xlfn.RANK.EQ(FMS_Ranking4[[#This Row],[Total Score 
(with linear
normalization)]],FMS_Ranking4[Total Score 
(with linear
normalization)],0)</f>
        <v>11</v>
      </c>
      <c r="BK48" s="251" t="e">
        <f>_xlfn.XLOOKUP(FMS_Ranking4[[#This Row],[FMS ID]],#REF!,#REF!)</f>
        <v>#REF!</v>
      </c>
      <c r="BL4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43.68501718142798</v>
      </c>
      <c r="BM48" s="324">
        <f>FMS_Ranking4[[#This Row],[ArcSinh Score Based on Normalized Reported Factors]]+FMS_Ranking4[[#This Row],[% NBS Score (Normalized)]]+(FMS_Ranking4[[#This Row],[Water Supply Score (Normalized)]]*10*$BB$5)+FMS_Ranking4[[#This Row],[FMS_Type Score Weighted]]</f>
        <v>46.18501718142798</v>
      </c>
      <c r="BN48" s="251">
        <f>_xlfn.RANK.EQ(FMS_Ranking4[[#This Row],[Total Score (with ArcSinh normalization of select criteria)]],FMS_Ranking4[Total Score (with ArcSinh normalization of select criteria)],0)</f>
        <v>40</v>
      </c>
      <c r="BO48" s="270" t="str">
        <f>_xlfn.XLOOKUP(FMS_Ranking4[[#This Row],[FMS ID]],FMS_Input[FMS_ID],FMS_Input[FMS_RANK_YEAR])</f>
        <v>2023 Amended Plan</v>
      </c>
      <c r="BP48" s="324">
        <f>_xlfn.XLOOKUP(FMS_Ranking4[[#This Row],[FMS ID]],Prev_Rank[FMS ID],Prev_Rank[Prev Rank])</f>
        <v>35</v>
      </c>
      <c r="BQ48" s="251" t="e">
        <f>_xlfn.XLOOKUP(FMS_Ranking4[[#This Row],[FMS ID]],#REF!,#REF!)</f>
        <v>#REF!</v>
      </c>
      <c r="BR48" s="199" t="e">
        <f>SUM(#REF!,#REF!,#REF!,#REF!,#REF!,#REF!,#REF!,#REF!,#REF!,FMS_Ranking4[[#This Row],[ArcSinh Res struct removed 0-10]],#REF!)</f>
        <v>#REF!</v>
      </c>
      <c r="BS48" s="199" t="e">
        <f>FMS_Ranking4[[#This Row],[Log Score Based on Normalized Reported Factors]]+FMS_Ranking4[[#This Row],[% NBS Score (Normalized)]]+(FMS_Ranking4[[#This Row],[Water Supply Score (Normalized)]]*10*$BB$5)+(FMS_Ranking4[[#This Row],[FMS_Type Score Weighted]])</f>
        <v>#REF!</v>
      </c>
      <c r="BT48" s="200" t="e">
        <f>_xlfn.RANK.EQ(FMS_Ranking4[[#This Row],[Log Total Score]],FMS_Ranking4[Log Total Score],0)</f>
        <v>#REF!</v>
      </c>
      <c r="BU48" s="200" t="e">
        <f>_xlfn.XLOOKUP(FMS_Ranking4[[#This Row],[FMS ID]],#REF!,#REF!)</f>
        <v>#REF!</v>
      </c>
      <c r="BV48" s="200">
        <f>FMS_Ranking4[[#This Row],[Region Number]]</f>
        <v>15</v>
      </c>
      <c r="BW48" s="200">
        <f>FMS_Ranking4[[#This Row],[Rank (with ArcSinh normalization of select criteria)]]-FMS_Ranking4[[#This Row],[Rank
(with linear
normalization)]]</f>
        <v>29</v>
      </c>
      <c r="BX48" s="200" t="e">
        <f>FMS_Ranking4[[#This Row],[Log Rank]]-FMS_Ranking4[[#This Row],[Rank
(with linear
normalization)]]</f>
        <v>#REF!</v>
      </c>
      <c r="BY48" s="200">
        <f>IF(FMS_Ranking4[[#This Row],[FMS Type]]="Flood Measurement and Warning",FMS_Ranking4[[#This Row],[Rank (with ArcSinh normalization of select criteria)]],"")</f>
        <v>40</v>
      </c>
      <c r="BZ48" s="200" t="str">
        <f>IF(FMS_Ranking4[[#This Row],[FMS Type]]="Regulatory and Guidance",FMS_Ranking4[[#This Row],[Rank (with ArcSinh normalization of select criteria)]],"")</f>
        <v/>
      </c>
      <c r="CA48" s="200" t="str">
        <f>IF(FMS_Ranking4[[#This Row],[FMS Type]]="Education and Outreach",FMS_Ranking4[[#This Row],[Rank (with ArcSinh normalization of select criteria)]],"")</f>
        <v/>
      </c>
      <c r="CB48" s="200" t="str">
        <f>IF(FMS_Ranking4[[#This Row],[FMS Type]]="Property Acquisition and Structural Elevation",FMS_Ranking4[[#This Row],[Rank (with ArcSinh normalization of select criteria)]],"")</f>
        <v/>
      </c>
      <c r="CC48" s="200" t="str">
        <f>IF(FMS_Ranking4[[#This Row],[FMS Type]]="Infrastructure Projects",FMS_Ranking4[[#This Row],[Rank (with ArcSinh normalization of select criteria)]],"")</f>
        <v/>
      </c>
      <c r="CD48" s="200" t="str">
        <f>IF(FMS_Ranking4[[#This Row],[FMS Type]]="Other",FMS_Ranking4[[#This Row],[Rank (with ArcSinh normalization of select criteria)]],"")</f>
        <v/>
      </c>
      <c r="CE48" s="201"/>
    </row>
    <row r="49" spans="2:83" ht="105" x14ac:dyDescent="0.25">
      <c r="B49" s="346" t="s">
        <v>3907</v>
      </c>
      <c r="C49" s="246">
        <f>_xlfn.XLOOKUP(FMS_Ranking4[[#This Row],[FMS ID]],FMS_Input[FMS_ID],FMS_Input[RFPG_NUM])</f>
        <v>15</v>
      </c>
      <c r="D49" s="309" t="str">
        <f>_xlfn.XLOOKUP(FMS_Ranking4[[#This Row],[FMS ID]],FMS_Input[FMS_ID],FMS_Input[FMS_NAME])</f>
        <v>Hidalgo County #2-2.1</v>
      </c>
      <c r="E49" s="308" t="str">
        <f>_xlfn.XLOOKUP(FMS_Ranking4[[#This Row],[FMS ID]],FMS_Input[FMS_ID],FMS_Input[SPONSOR])</f>
        <v>15000004</v>
      </c>
      <c r="F49" s="309" t="str">
        <f>_xlfn.XLOOKUP(FMS_Ranking4[[#This Row],[FMS ID]],Sponsor[FMS_ID],Sponsor[SPONSOR NAME])</f>
        <v>Hidalgo</v>
      </c>
      <c r="G49" s="309" t="str">
        <f>_xlfn.XLOOKUP(FMS_Ranking4[[#This Row],[FMS ID]],FMS_Input[FMS_ID],FMS_Input[FMS_DESCR])</f>
        <v>Incorporate Assessments of Hazards, Including Hurricane, Flood, Wild Land Fires, And Severe Storms, Into Site Selection And Design For New Buildings And When Siting Or Leasing County Facilities</v>
      </c>
      <c r="H49" s="248" t="str">
        <f>_xlfn.XLOOKUP(FMS_Ranking4[[#This Row],[FMS ID]],FMS_Input[FMS_ID],FMS_Input[FMS_TYPE])</f>
        <v>Flood Measurement and Warning</v>
      </c>
      <c r="I49" s="249">
        <f>_xlfn.XLOOKUP(FMS_Ranking4[[#This Row],[FMS ID]],FMS_Input[FMS_ID],FMS_Input[NRNC_COST])</f>
        <v>1000</v>
      </c>
      <c r="J49" s="250">
        <f>_xlfn.XLOOKUP(FMS_Ranking4[[#This Row],[FMS ID]],FMS_Input[FMS_ID],FMS_Input[FMS_COST])</f>
        <v>25000</v>
      </c>
      <c r="K49" s="251" t="str">
        <f>_xlfn.XLOOKUP(FMS_Ranking4[[#This Row],[FMS ID]],FMS_Input[FMS_ID],FMS_Input[EMER_NEED])</f>
        <v>Yes</v>
      </c>
      <c r="L49" s="252">
        <f t="shared" si="0"/>
        <v>1</v>
      </c>
      <c r="M49" s="253">
        <f>_xlfn.XLOOKUP(FMS_Ranking4[[#This Row],[FMS ID]],FMS_Input[FMS_ID],FMS_Input[STRUCT_100])</f>
        <v>167224</v>
      </c>
      <c r="N49" s="255">
        <f>(ASINH(FMS_Ranking4[[#This Row],[Structure at Risk Raw]]))*(10)/(ASINH(M$4))</f>
        <v>10</v>
      </c>
      <c r="O49" s="256">
        <f>FMS_Ranking4[[#This Row],[Structures at risk, ArcSinh (0-10)]]*M$5*10</f>
        <v>10</v>
      </c>
      <c r="P49" s="253">
        <f>_xlfn.XLOOKUP(FMS_Ranking4[[#This Row],[FMS ID]],FMS_Input[FMS_ID],FMS_Input[RES_STRUCT100])</f>
        <v>135738</v>
      </c>
      <c r="Q49" s="257">
        <f>ASINH(FMS_Ranking4[[#This Row],[Res Structure Raw]])/Q$4*P$5*100</f>
        <v>0</v>
      </c>
      <c r="R49" s="253">
        <f>_xlfn.XLOOKUP(FMS_Ranking4[[#This Row],[FMS ID]],FMS_Input[FMS_ID],FMS_Input[POP100])</f>
        <v>569558</v>
      </c>
      <c r="S49" s="255">
        <f>(ASINH(FMS_Ranking4[[#This Row],[Pop at Risk Raw]]))*(10)/(ASINH(R$4))</f>
        <v>9.6275721482674861</v>
      </c>
      <c r="T49" s="256">
        <f>FMS_Ranking4[[#This Row],[Population at risk, ArcSinh (0-10)]]*R$5*10</f>
        <v>9.6275721482674861</v>
      </c>
      <c r="U49" s="253">
        <f>_xlfn.XLOOKUP(FMS_Ranking4[[#This Row],[FMS ID]],FMS_Input[FMS_ID],FMS_Input[CRITFAC100])</f>
        <v>62</v>
      </c>
      <c r="V49" s="255">
        <f>(ASINH(FMS_Ranking4[[#This Row],[Critical Facilities Raw]]))*(10)/(ASINH(U$4))</f>
        <v>5.7061534362365105</v>
      </c>
      <c r="W49" s="256">
        <f>FMS_Ranking4[[#This Row],[Critical facilities at risk, ArcSinh (0-10)]]*U$5*10</f>
        <v>5.7061534362365105</v>
      </c>
      <c r="X49" s="253">
        <f>_xlfn.XLOOKUP(FMS_Ranking4[[#This Row],[FMS ID]],FMS_Input[FMS_ID],FMS_Input[LWC])</f>
        <v>16</v>
      </c>
      <c r="Y49" s="255">
        <f>(ASINH(FMS_Ranking4[[#This Row],[LWC Raw]]))*(10)/(ASINH(X$4))</f>
        <v>4.6964844083783914</v>
      </c>
      <c r="Z49" s="256">
        <f>FMS_Ranking4[[#This Row],[LWC, ArcSInh (0-10)]]*X$5*10</f>
        <v>4.6964844083783923</v>
      </c>
      <c r="AA49" s="253">
        <f>_xlfn.XLOOKUP(FMS_Ranking4[[#This Row],[FMS ID]],FMS_Input[FMS_ID],FMS_Input[ROADCLS])</f>
        <v>0</v>
      </c>
      <c r="AB49" s="255">
        <f>(ASINH(FMS_Ranking4[[#This Row],[Road Closures Raw]]))*(10)/(ASINH(AA$4))</f>
        <v>0</v>
      </c>
      <c r="AC49" s="256">
        <f>FMS_Ranking4[[#This Row],[Road closures, ArcSinh (0-10)]]*AA$5*10</f>
        <v>0</v>
      </c>
      <c r="AD49" s="253">
        <f>_xlfn.XLOOKUP(FMS_Ranking4[[#This Row],[FMS ID]],FMS_Input[FMS_ID],FMS_Input[ROAD_MILES100])</f>
        <v>3065</v>
      </c>
      <c r="AE49" s="255">
        <f>(ASINH(FMS_Ranking4[[#This Row],[Road Miles Raw]]))*(10)/(ASINH(AD$4))</f>
        <v>9.2941334144264758</v>
      </c>
      <c r="AF49" s="256">
        <f>FMS_Ranking4[[#This Row],[Length of roads at risk, ArcSinh (0-10)]]*AD$5*10</f>
        <v>9.2941334144264758</v>
      </c>
      <c r="AG49" s="253">
        <f>_xlfn.XLOOKUP(FMS_Ranking4[[#This Row],[FMS ID]],FMS_Input[FMS_ID],FMS_Input[FARMACRE100])</f>
        <v>338728.96875</v>
      </c>
      <c r="AH49" s="255">
        <f>(ASINH(FMS_Ranking4[[#This Row],[Ag Land Raw]]))*(10)/(ASINH(AG$4))</f>
        <v>8.7213475482382332</v>
      </c>
      <c r="AI49" s="260">
        <f>FMS_Ranking4[[#This Row],[Farm &amp; ranch land, ArcSinh (0-10)]]*AG$5*10</f>
        <v>4.3606737741191175</v>
      </c>
      <c r="AJ49" s="258">
        <f>_xlfn.XLOOKUP(FMS_Ranking4[[#This Row],[FMS ID]],FMS_Input[FMS_ID],FMS_Input[REDSTRUCT100])</f>
        <v>0</v>
      </c>
      <c r="AK49" s="253">
        <f>_xlfn.XLOOKUP(FMS_Ranking4[[#This Row],[FMS ID]],FMS_Input[FMS_ID],FMS_Input[REMSTRC100])</f>
        <v>0</v>
      </c>
      <c r="AL49" s="255">
        <f>(ASINH(FMS_Ranking4[[#This Row],[Structures Removed Raw]]))*(10)/(ASINH(AK$4))</f>
        <v>0</v>
      </c>
      <c r="AM49" s="262">
        <f>FMS_Ranking4[[#This Row],[Structures removed, ArcSinh (0-10)]]*AK$5*10</f>
        <v>0</v>
      </c>
      <c r="AN49" s="253">
        <f>_xlfn.XLOOKUP(FMS_Ranking4[[#This Row],[FMS ID]],FMS_Input[FMS_ID],FMS_Input[REMRESSTRC100])</f>
        <v>0</v>
      </c>
      <c r="AO49" s="261">
        <f>FMS_Ranking4[[#This Row],[ArcSinh Res struct removed 0-10]]*AN$5*10</f>
        <v>0</v>
      </c>
      <c r="AP49" s="254">
        <f>ASINH(FMS_Ranking4[[#This Row],[Residential Structures Removed Raw]])/AP$4*AN$5*100</f>
        <v>0</v>
      </c>
      <c r="AQ49" s="258">
        <f>(ASINH(FMS_Ranking4[[#This Row],[Residential Structures Removed Raw]]))*(10)/(ASINH(AN$4))</f>
        <v>0</v>
      </c>
      <c r="AR49" s="253">
        <f>_xlfn.XLOOKUP(FMS_Ranking4[[#This Row],[FMS ID]],FMS_Input[FMS_ID],FMS_Input[REMPOP100])</f>
        <v>0</v>
      </c>
      <c r="AS49" s="255">
        <f>(ASINH(FMS_Ranking4[[#This Row],[Removed Pop Raw]]))*(10)/(ASINH(AR$4))</f>
        <v>0</v>
      </c>
      <c r="AT49" s="262">
        <f>FMS_Ranking4[[#This Row],[Removed population, ArcSinh (0-10)]]*AR$5*10</f>
        <v>0</v>
      </c>
      <c r="AU49" s="264">
        <f>_xlfn.XLOOKUP(FMS_Ranking4[[#This Row],[FMS ID]],FMS_Input[FMS_ID],FMS_Input[REMCRITFAC100])</f>
        <v>0</v>
      </c>
      <c r="AV49" s="264">
        <f>_xlfn.XLOOKUP(FMS_Ranking4[[#This Row],[FMS ID]],FMS_Input[FMS_ID],FMS_Input[REMLWC100])</f>
        <v>0</v>
      </c>
      <c r="AW49" s="264">
        <f>_xlfn.XLOOKUP(FMS_Ranking4[[#This Row],[FMS ID]],FMS_Input[FMS_ID],FMS_Input[REMROADCLS])</f>
        <v>0</v>
      </c>
      <c r="AX49" s="264">
        <f>_xlfn.XLOOKUP(FMS_Ranking4[[#This Row],[FMS ID]],FMS_Input[FMS_ID],FMS_Input[REMFRMACRE100])</f>
        <v>0</v>
      </c>
      <c r="AY49" s="258">
        <f>_xlfn.XLOOKUP(FMS_Ranking4[[#This Row],[FMS ID]],FMS_Input[FMS_ID],FMS_Input[COSTSTRUCT])</f>
        <v>0</v>
      </c>
      <c r="AZ49" s="253">
        <f>_xlfn.XLOOKUP(FMS_Ranking4[[#This Row],[FMS ID]],FMS_Input[FMS_ID],FMS_Input[NATURE])</f>
        <v>0</v>
      </c>
      <c r="BA49" s="262">
        <f>(((FMS_Ranking4[[#This Row],[% NBS Raw]]/AZ$4)*100)*AZ$5)</f>
        <v>0</v>
      </c>
      <c r="BB49" s="251" t="str">
        <f>_xlfn.XLOOKUP(FMS_Ranking4[[#This Row],[FMS ID]],FMS_Input[FMS_ID],FMS_Input[WATER_SUP])</f>
        <v>No</v>
      </c>
      <c r="BC49" s="265">
        <f>IF(FMS_Ranking4[[#This Row],[Water Supply Raw]]="Yes",10,0)</f>
        <v>0</v>
      </c>
      <c r="BD49" s="266">
        <f>_xlfn.XLOOKUP(FMS_Ranking4[[#This Row],[FMS Type]],FMS_TYPE[FMS_Type],FMS_TYPE[Score])</f>
        <v>10</v>
      </c>
      <c r="BE49" s="267">
        <f>FMS_Ranking4[[#This Row],[FMS_Type Score]]*$BD$5*10</f>
        <v>2.5</v>
      </c>
      <c r="BF4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22.150531966232357</v>
      </c>
      <c r="BG49" s="293">
        <f>_xlfn.RANK.EQ(BF49,$BF$8:$BF$870,0)+COUNTIF($BF$8:BF49,BF49)-1</f>
        <v>13</v>
      </c>
      <c r="BH49" s="294">
        <f>(((FMS_Ranking4[[#This Row],[Structures Removed Raw]]/AK$4)*100)*AK$5)+(((FMS_Ranking4[[#This Row],[Removed Pop Raw]]/AR$4)*100)*AR$5)</f>
        <v>0</v>
      </c>
      <c r="BI4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24.650531966232357</v>
      </c>
      <c r="BJ49" s="251">
        <f>_xlfn.RANK.EQ(FMS_Ranking4[[#This Row],[Total Score 
(with linear
normalization)]],FMS_Ranking4[Total Score 
(with linear
normalization)],0)</f>
        <v>11</v>
      </c>
      <c r="BK49" s="251" t="e">
        <f>_xlfn.XLOOKUP(FMS_Ranking4[[#This Row],[FMS ID]],#REF!,#REF!)</f>
        <v>#REF!</v>
      </c>
      <c r="BL4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43.68501718142798</v>
      </c>
      <c r="BM49" s="324">
        <f>FMS_Ranking4[[#This Row],[ArcSinh Score Based on Normalized Reported Factors]]+FMS_Ranking4[[#This Row],[% NBS Score (Normalized)]]+(FMS_Ranking4[[#This Row],[Water Supply Score (Normalized)]]*10*$BB$5)+FMS_Ranking4[[#This Row],[FMS_Type Score Weighted]]</f>
        <v>46.18501718142798</v>
      </c>
      <c r="BN49" s="251">
        <f>_xlfn.RANK.EQ(FMS_Ranking4[[#This Row],[Total Score (with ArcSinh normalization of select criteria)]],FMS_Ranking4[Total Score (with ArcSinh normalization of select criteria)],0)</f>
        <v>40</v>
      </c>
      <c r="BO49" s="270" t="str">
        <f>_xlfn.XLOOKUP(FMS_Ranking4[[#This Row],[FMS ID]],FMS_Input[FMS_ID],FMS_Input[FMS_RANK_YEAR])</f>
        <v>2023 Amended Plan</v>
      </c>
      <c r="BP49" s="324">
        <f>_xlfn.XLOOKUP(FMS_Ranking4[[#This Row],[FMS ID]],Prev_Rank[FMS ID],Prev_Rank[Prev Rank])</f>
        <v>35</v>
      </c>
      <c r="BQ49" s="251" t="e">
        <f>_xlfn.XLOOKUP(FMS_Ranking4[[#This Row],[FMS ID]],#REF!,#REF!)</f>
        <v>#REF!</v>
      </c>
      <c r="BR49" s="199" t="e">
        <f>SUM(#REF!,#REF!,#REF!,#REF!,#REF!,#REF!,#REF!,#REF!,#REF!,FMS_Ranking4[[#This Row],[ArcSinh Res struct removed 0-10]],#REF!)</f>
        <v>#REF!</v>
      </c>
      <c r="BS49" s="199" t="e">
        <f>FMS_Ranking4[[#This Row],[Log Score Based on Normalized Reported Factors]]+FMS_Ranking4[[#This Row],[% NBS Score (Normalized)]]+(FMS_Ranking4[[#This Row],[Water Supply Score (Normalized)]]*10*$BB$5)+(FMS_Ranking4[[#This Row],[FMS_Type Score Weighted]])</f>
        <v>#REF!</v>
      </c>
      <c r="BT49" s="200" t="e">
        <f>_xlfn.RANK.EQ(FMS_Ranking4[[#This Row],[Log Total Score]],FMS_Ranking4[Log Total Score],0)</f>
        <v>#REF!</v>
      </c>
      <c r="BU49" s="200" t="e">
        <f>_xlfn.XLOOKUP(FMS_Ranking4[[#This Row],[FMS ID]],#REF!,#REF!)</f>
        <v>#REF!</v>
      </c>
      <c r="BV49" s="200">
        <f>FMS_Ranking4[[#This Row],[Region Number]]</f>
        <v>15</v>
      </c>
      <c r="BW49" s="200">
        <f>FMS_Ranking4[[#This Row],[Rank (with ArcSinh normalization of select criteria)]]-FMS_Ranking4[[#This Row],[Rank
(with linear
normalization)]]</f>
        <v>29</v>
      </c>
      <c r="BX49" s="200" t="e">
        <f>FMS_Ranking4[[#This Row],[Log Rank]]-FMS_Ranking4[[#This Row],[Rank
(with linear
normalization)]]</f>
        <v>#REF!</v>
      </c>
      <c r="BY49" s="200">
        <f>IF(FMS_Ranking4[[#This Row],[FMS Type]]="Flood Measurement and Warning",FMS_Ranking4[[#This Row],[Rank (with ArcSinh normalization of select criteria)]],"")</f>
        <v>40</v>
      </c>
      <c r="BZ49" s="200" t="str">
        <f>IF(FMS_Ranking4[[#This Row],[FMS Type]]="Regulatory and Guidance",FMS_Ranking4[[#This Row],[Rank (with ArcSinh normalization of select criteria)]],"")</f>
        <v/>
      </c>
      <c r="CA49" s="200" t="str">
        <f>IF(FMS_Ranking4[[#This Row],[FMS Type]]="Education and Outreach",FMS_Ranking4[[#This Row],[Rank (with ArcSinh normalization of select criteria)]],"")</f>
        <v/>
      </c>
      <c r="CB49" s="200" t="str">
        <f>IF(FMS_Ranking4[[#This Row],[FMS Type]]="Property Acquisition and Structural Elevation",FMS_Ranking4[[#This Row],[Rank (with ArcSinh normalization of select criteria)]],"")</f>
        <v/>
      </c>
      <c r="CC49" s="200" t="str">
        <f>IF(FMS_Ranking4[[#This Row],[FMS Type]]="Infrastructure Projects",FMS_Ranking4[[#This Row],[Rank (with ArcSinh normalization of select criteria)]],"")</f>
        <v/>
      </c>
      <c r="CD49" s="200" t="str">
        <f>IF(FMS_Ranking4[[#This Row],[FMS Type]]="Other",FMS_Ranking4[[#This Row],[Rank (with ArcSinh normalization of select criteria)]],"")</f>
        <v/>
      </c>
      <c r="CE49" s="201"/>
    </row>
    <row r="50" spans="2:83" ht="60" x14ac:dyDescent="0.25">
      <c r="B50" s="341" t="s">
        <v>57</v>
      </c>
      <c r="C50" s="246">
        <f>_xlfn.XLOOKUP(FMS_Ranking4[[#This Row],[FMS ID]],FMS_Input[FMS_ID],FMS_Input[RFPG_NUM])</f>
        <v>6</v>
      </c>
      <c r="D50" s="309" t="str">
        <f>_xlfn.XLOOKUP(FMS_Ranking4[[#This Row],[FMS ID]],FMS_Input[FMS_ID],FMS_Input[FMS_NAME])</f>
        <v>Galveston County-wide Education and Outreach</v>
      </c>
      <c r="E50" s="308" t="str">
        <f>_xlfn.XLOOKUP(FMS_Ranking4[[#This Row],[FMS ID]],FMS_Input[FMS_ID],FMS_Input[SPONSOR])</f>
        <v>00000006</v>
      </c>
      <c r="F50" s="309" t="str">
        <f>_xlfn.XLOOKUP(FMS_Ranking4[[#This Row],[FMS ID]],Sponsor[FMS_ID],Sponsor[SPONSOR NAME])</f>
        <v>Galveston</v>
      </c>
      <c r="G50" s="309" t="str">
        <f>_xlfn.XLOOKUP(FMS_Ranking4[[#This Row],[FMS ID]],FMS_Input[FMS_ID],FMS_Input[FMS_DESCR])</f>
        <v>Provide educational information related to preparedness, mitigation, response, and recovery to the public.</v>
      </c>
      <c r="H50" s="248" t="str">
        <f>_xlfn.XLOOKUP(FMS_Ranking4[[#This Row],[FMS ID]],FMS_Input[FMS_ID],FMS_Input[FMS_TYPE])</f>
        <v>Education and Outreach</v>
      </c>
      <c r="I50" s="249">
        <f>_xlfn.XLOOKUP(FMS_Ranking4[[#This Row],[FMS ID]],FMS_Input[FMS_ID],FMS_Input[NRNC_COST])</f>
        <v>2500</v>
      </c>
      <c r="J50" s="250">
        <f>_xlfn.XLOOKUP(FMS_Ranking4[[#This Row],[FMS ID]],FMS_Input[FMS_ID],FMS_Input[FMS_COST])</f>
        <v>50000</v>
      </c>
      <c r="K50" s="251" t="str">
        <f>_xlfn.XLOOKUP(FMS_Ranking4[[#This Row],[FMS ID]],FMS_Input[FMS_ID],FMS_Input[EMER_NEED])</f>
        <v>No</v>
      </c>
      <c r="L50" s="252">
        <f t="shared" si="0"/>
        <v>0</v>
      </c>
      <c r="M50" s="253">
        <f>_xlfn.XLOOKUP(FMS_Ranking4[[#This Row],[FMS ID]],FMS_Input[FMS_ID],FMS_Input[STRUCT_100])</f>
        <v>48564</v>
      </c>
      <c r="N50" s="255">
        <f>(ASINH(FMS_Ranking4[[#This Row],[Structure at Risk Raw]]))*(10)/(ASINH(M$4))</f>
        <v>9.0279648521341809</v>
      </c>
      <c r="O50" s="256">
        <f>FMS_Ranking4[[#This Row],[Structures at risk, ArcSinh (0-10)]]*M$5*10</f>
        <v>9.0279648521341809</v>
      </c>
      <c r="P50" s="253">
        <f>_xlfn.XLOOKUP(FMS_Ranking4[[#This Row],[FMS ID]],FMS_Input[FMS_ID],FMS_Input[RES_STRUCT100])</f>
        <v>42182</v>
      </c>
      <c r="Q50" s="257">
        <f>ASINH(FMS_Ranking4[[#This Row],[Res Structure Raw]])/Q$4*P$5*100</f>
        <v>0</v>
      </c>
      <c r="R50" s="253">
        <f>_xlfn.XLOOKUP(FMS_Ranking4[[#This Row],[FMS ID]],FMS_Input[FMS_ID],FMS_Input[POP100])</f>
        <v>102735</v>
      </c>
      <c r="S50" s="255">
        <f>(ASINH(FMS_Ranking4[[#This Row],[Pop at Risk Raw]]))*(10)/(ASINH(R$4))</f>
        <v>8.4451902684180347</v>
      </c>
      <c r="T50" s="256">
        <f>FMS_Ranking4[[#This Row],[Population at risk, ArcSinh (0-10)]]*R$5*10</f>
        <v>8.4451902684180347</v>
      </c>
      <c r="U50" s="253">
        <f>_xlfn.XLOOKUP(FMS_Ranking4[[#This Row],[FMS ID]],FMS_Input[FMS_ID],FMS_Input[CRITFAC100])</f>
        <v>680</v>
      </c>
      <c r="V50" s="255">
        <f>(ASINH(FMS_Ranking4[[#This Row],[Critical Facilities Raw]]))*(10)/(ASINH(U$4))</f>
        <v>8.5411429791908375</v>
      </c>
      <c r="W50" s="256">
        <f>FMS_Ranking4[[#This Row],[Critical facilities at risk, ArcSinh (0-10)]]*U$5*10</f>
        <v>8.5411429791908375</v>
      </c>
      <c r="X50" s="253">
        <f>_xlfn.XLOOKUP(FMS_Ranking4[[#This Row],[FMS ID]],FMS_Input[FMS_ID],FMS_Input[LWC])</f>
        <v>30</v>
      </c>
      <c r="Y50" s="255">
        <f>(ASINH(FMS_Ranking4[[#This Row],[LWC Raw]]))*(10)/(ASINH(X$4))</f>
        <v>5.5471394138756107</v>
      </c>
      <c r="Z50" s="256">
        <f>FMS_Ranking4[[#This Row],[LWC, ArcSInh (0-10)]]*X$5*10</f>
        <v>5.5471394138756116</v>
      </c>
      <c r="AA50" s="253">
        <f>_xlfn.XLOOKUP(FMS_Ranking4[[#This Row],[FMS ID]],FMS_Input[FMS_ID],FMS_Input[ROADCLS])</f>
        <v>30</v>
      </c>
      <c r="AB50" s="255">
        <f>(ASINH(FMS_Ranking4[[#This Row],[Road Closures Raw]]))*(10)/(ASINH(AA$4))</f>
        <v>4.2641732294523065</v>
      </c>
      <c r="AC50" s="256">
        <f>FMS_Ranking4[[#This Row],[Road closures, ArcSinh (0-10)]]*AA$5*10</f>
        <v>2.1320866147261532</v>
      </c>
      <c r="AD50" s="253">
        <f>_xlfn.XLOOKUP(FMS_Ranking4[[#This Row],[FMS ID]],FMS_Input[FMS_ID],FMS_Input[ROAD_MILES100])</f>
        <v>910</v>
      </c>
      <c r="AE50" s="255">
        <f>(ASINH(FMS_Ranking4[[#This Row],[Road Miles Raw]]))*(10)/(ASINH(AD$4))</f>
        <v>7.9999619139128653</v>
      </c>
      <c r="AF50" s="256">
        <f>FMS_Ranking4[[#This Row],[Length of roads at risk, ArcSinh (0-10)]]*AD$5*10</f>
        <v>7.9999619139128653</v>
      </c>
      <c r="AG50" s="253">
        <f>_xlfn.XLOOKUP(FMS_Ranking4[[#This Row],[FMS ID]],FMS_Input[FMS_ID],FMS_Input[FARMACRE100])</f>
        <v>3414.6865234375</v>
      </c>
      <c r="AH50" s="255">
        <f>(ASINH(FMS_Ranking4[[#This Row],[Ag Land Raw]]))*(10)/(ASINH(AG$4))</f>
        <v>5.7351471117897805</v>
      </c>
      <c r="AI50" s="260">
        <f>FMS_Ranking4[[#This Row],[Farm &amp; ranch land, ArcSinh (0-10)]]*AG$5*10</f>
        <v>2.8675735558948907</v>
      </c>
      <c r="AJ50" s="258">
        <f>_xlfn.XLOOKUP(FMS_Ranking4[[#This Row],[FMS ID]],FMS_Input[FMS_ID],FMS_Input[REDSTRUCT100])</f>
        <v>0</v>
      </c>
      <c r="AK50" s="253">
        <f>_xlfn.XLOOKUP(FMS_Ranking4[[#This Row],[FMS ID]],FMS_Input[FMS_ID],FMS_Input[REMSTRC100])</f>
        <v>0</v>
      </c>
      <c r="AL50" s="255">
        <f>(ASINH(FMS_Ranking4[[#This Row],[Structures Removed Raw]]))*(10)/(ASINH(AK$4))</f>
        <v>0</v>
      </c>
      <c r="AM50" s="262">
        <f>FMS_Ranking4[[#This Row],[Structures removed, ArcSinh (0-10)]]*AK$5*10</f>
        <v>0</v>
      </c>
      <c r="AN50" s="253">
        <f>_xlfn.XLOOKUP(FMS_Ranking4[[#This Row],[FMS ID]],FMS_Input[FMS_ID],FMS_Input[REMRESSTRC100])</f>
        <v>0</v>
      </c>
      <c r="AO50" s="261">
        <f>FMS_Ranking4[[#This Row],[ArcSinh Res struct removed 0-10]]*AN$5*10</f>
        <v>0</v>
      </c>
      <c r="AP50" s="254">
        <f>ASINH(FMS_Ranking4[[#This Row],[Residential Structures Removed Raw]])/AP$4*AN$5*100</f>
        <v>0</v>
      </c>
      <c r="AQ50" s="258">
        <f>(ASINH(FMS_Ranking4[[#This Row],[Residential Structures Removed Raw]]))*(10)/(ASINH(AN$4))</f>
        <v>0</v>
      </c>
      <c r="AR50" s="253">
        <f>_xlfn.XLOOKUP(FMS_Ranking4[[#This Row],[FMS ID]],FMS_Input[FMS_ID],FMS_Input[REMPOP100])</f>
        <v>0</v>
      </c>
      <c r="AS50" s="255">
        <f>(ASINH(FMS_Ranking4[[#This Row],[Removed Pop Raw]]))*(10)/(ASINH(AR$4))</f>
        <v>0</v>
      </c>
      <c r="AT50" s="262">
        <f>FMS_Ranking4[[#This Row],[Removed population, ArcSinh (0-10)]]*AR$5*10</f>
        <v>0</v>
      </c>
      <c r="AU50" s="264">
        <f>_xlfn.XLOOKUP(FMS_Ranking4[[#This Row],[FMS ID]],FMS_Input[FMS_ID],FMS_Input[REMCRITFAC100])</f>
        <v>0</v>
      </c>
      <c r="AV50" s="264">
        <f>_xlfn.XLOOKUP(FMS_Ranking4[[#This Row],[FMS ID]],FMS_Input[FMS_ID],FMS_Input[REMLWC100])</f>
        <v>0</v>
      </c>
      <c r="AW50" s="264">
        <f>_xlfn.XLOOKUP(FMS_Ranking4[[#This Row],[FMS ID]],FMS_Input[FMS_ID],FMS_Input[REMROADCLS])</f>
        <v>0</v>
      </c>
      <c r="AX50" s="264">
        <f>_xlfn.XLOOKUP(FMS_Ranking4[[#This Row],[FMS ID]],FMS_Input[FMS_ID],FMS_Input[REMFRMACRE100])</f>
        <v>0</v>
      </c>
      <c r="AY50" s="258">
        <f>_xlfn.XLOOKUP(FMS_Ranking4[[#This Row],[FMS ID]],FMS_Input[FMS_ID],FMS_Input[COSTSTRUCT])</f>
        <v>0</v>
      </c>
      <c r="AZ50" s="253">
        <f>_xlfn.XLOOKUP(FMS_Ranking4[[#This Row],[FMS ID]],FMS_Input[FMS_ID],FMS_Input[NATURE])</f>
        <v>0</v>
      </c>
      <c r="BA50" s="262">
        <f>(((FMS_Ranking4[[#This Row],[% NBS Raw]]/AZ$4)*100)*AZ$5)</f>
        <v>0</v>
      </c>
      <c r="BB50" s="251" t="str">
        <f>_xlfn.XLOOKUP(FMS_Ranking4[[#This Row],[FMS ID]],FMS_Input[FMS_ID],FMS_Input[WATER_SUP])</f>
        <v>No</v>
      </c>
      <c r="BC50" s="265">
        <f>IF(FMS_Ranking4[[#This Row],[Water Supply Raw]]="Yes",10,0)</f>
        <v>0</v>
      </c>
      <c r="BD50" s="266">
        <f>_xlfn.XLOOKUP(FMS_Ranking4[[#This Row],[FMS Type]],FMS_TYPE[FMS_Type],FMS_TYPE[Score])</f>
        <v>6</v>
      </c>
      <c r="BE50" s="267">
        <f>FMS_Ranking4[[#This Row],[FMS_Type Score]]*$BD$5*10</f>
        <v>1.5000000000000002</v>
      </c>
      <c r="BF5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8.8036446790398823</v>
      </c>
      <c r="BG50" s="321">
        <f>_xlfn.RANK.EQ(BF50,$BF$8:$BF$870,0)+COUNTIF($BF$8:BF50,BF50)-1</f>
        <v>47</v>
      </c>
      <c r="BH50" s="294">
        <f>(((FMS_Ranking4[[#This Row],[Structures Removed Raw]]/AK$4)*100)*AK$5)+(((FMS_Ranking4[[#This Row],[Removed Pop Raw]]/AR$4)*100)*AR$5)</f>
        <v>0</v>
      </c>
      <c r="BI5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10.303644679039882</v>
      </c>
      <c r="BJ50" s="251">
        <f>_xlfn.RANK.EQ(FMS_Ranking4[[#This Row],[Total Score 
(with linear
normalization)]],FMS_Ranking4[Total Score 
(with linear
normalization)],0)</f>
        <v>51</v>
      </c>
      <c r="BK50" s="251" t="e">
        <f>_xlfn.XLOOKUP(FMS_Ranking4[[#This Row],[FMS ID]],#REF!,#REF!)</f>
        <v>#REF!</v>
      </c>
      <c r="BL5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44.561059598152575</v>
      </c>
      <c r="BM50" s="324">
        <f>FMS_Ranking4[[#This Row],[ArcSinh Score Based on Normalized Reported Factors]]+FMS_Ranking4[[#This Row],[% NBS Score (Normalized)]]+(FMS_Ranking4[[#This Row],[Water Supply Score (Normalized)]]*10*$BB$5)+FMS_Ranking4[[#This Row],[FMS_Type Score Weighted]]</f>
        <v>46.061059598152575</v>
      </c>
      <c r="BN50" s="251">
        <f>_xlfn.RANK.EQ(FMS_Ranking4[[#This Row],[Total Score (with ArcSinh normalization of select criteria)]],FMS_Ranking4[Total Score (with ArcSinh normalization of select criteria)],0)</f>
        <v>43</v>
      </c>
      <c r="BO50" s="270" t="str">
        <f>_xlfn.XLOOKUP(FMS_Ranking4[[#This Row],[FMS ID]],FMS_Input[FMS_ID],FMS_Input[FMS_RANK_YEAR])</f>
        <v>2023 Amended Plan</v>
      </c>
      <c r="BP50" s="204">
        <f>_xlfn.XLOOKUP(FMS_Ranking4[[#This Row],[FMS ID]],Prev_Rank[FMS ID],Prev_Rank[Prev Rank])</f>
        <v>39</v>
      </c>
      <c r="BQ50" s="251" t="e">
        <f>_xlfn.XLOOKUP(FMS_Ranking4[[#This Row],[FMS ID]],#REF!,#REF!)</f>
        <v>#REF!</v>
      </c>
      <c r="BR50" s="199" t="e">
        <f>SUM(#REF!,#REF!,#REF!,#REF!,#REF!,#REF!,#REF!,#REF!,#REF!,FMS_Ranking4[[#This Row],[ArcSinh Res struct removed 0-10]],#REF!)</f>
        <v>#REF!</v>
      </c>
      <c r="BS50" s="199" t="e">
        <f>FMS_Ranking4[[#This Row],[Log Score Based on Normalized Reported Factors]]+FMS_Ranking4[[#This Row],[% NBS Score (Normalized)]]+(FMS_Ranking4[[#This Row],[Water Supply Score (Normalized)]]*10*$BB$5)+(FMS_Ranking4[[#This Row],[FMS_Type Score Weighted]])</f>
        <v>#REF!</v>
      </c>
      <c r="BT50" s="200" t="e">
        <f>_xlfn.RANK.EQ(FMS_Ranking4[[#This Row],[Log Total Score]],FMS_Ranking4[Log Total Score],0)</f>
        <v>#REF!</v>
      </c>
      <c r="BU50" s="200" t="e">
        <f>_xlfn.XLOOKUP(FMS_Ranking4[[#This Row],[FMS ID]],#REF!,#REF!)</f>
        <v>#REF!</v>
      </c>
      <c r="BV50" s="200">
        <f>FMS_Ranking4[[#This Row],[Region Number]]</f>
        <v>6</v>
      </c>
      <c r="BW50" s="200">
        <f>FMS_Ranking4[[#This Row],[Rank (with ArcSinh normalization of select criteria)]]-FMS_Ranking4[[#This Row],[Rank
(with linear
normalization)]]</f>
        <v>-8</v>
      </c>
      <c r="BX50" s="200" t="e">
        <f>FMS_Ranking4[[#This Row],[Log Rank]]-FMS_Ranking4[[#This Row],[Rank
(with linear
normalization)]]</f>
        <v>#REF!</v>
      </c>
      <c r="BY50" s="200" t="str">
        <f>IF(FMS_Ranking4[[#This Row],[FMS Type]]="Flood Measurement and Warning",FMS_Ranking4[[#This Row],[Rank (with ArcSinh normalization of select criteria)]],"")</f>
        <v/>
      </c>
      <c r="BZ50" s="200" t="str">
        <f>IF(FMS_Ranking4[[#This Row],[FMS Type]]="Regulatory and Guidance",FMS_Ranking4[[#This Row],[Rank (with ArcSinh normalization of select criteria)]],"")</f>
        <v/>
      </c>
      <c r="CA50" s="200">
        <f>IF(FMS_Ranking4[[#This Row],[FMS Type]]="Education and Outreach",FMS_Ranking4[[#This Row],[Rank (with ArcSinh normalization of select criteria)]],"")</f>
        <v>43</v>
      </c>
      <c r="CB50" s="200" t="str">
        <f>IF(FMS_Ranking4[[#This Row],[FMS Type]]="Property Acquisition and Structural Elevation",FMS_Ranking4[[#This Row],[Rank (with ArcSinh normalization of select criteria)]],"")</f>
        <v/>
      </c>
      <c r="CC50" s="200" t="str">
        <f>IF(FMS_Ranking4[[#This Row],[FMS Type]]="Infrastructure Projects",FMS_Ranking4[[#This Row],[Rank (with ArcSinh normalization of select criteria)]],"")</f>
        <v/>
      </c>
      <c r="CD50" s="200" t="str">
        <f>IF(FMS_Ranking4[[#This Row],[FMS Type]]="Other",FMS_Ranking4[[#This Row],[Rank (with ArcSinh normalization of select criteria)]],"")</f>
        <v/>
      </c>
      <c r="CE50" s="201"/>
    </row>
    <row r="51" spans="2:83" ht="45" x14ac:dyDescent="0.25">
      <c r="B51" s="341" t="s">
        <v>11916</v>
      </c>
      <c r="C51" s="246">
        <f>_xlfn.XLOOKUP(FMS_Ranking4[[#This Row],[FMS ID]],FMS_Input[FMS_ID],FMS_Input[RFPG_NUM])</f>
        <v>15</v>
      </c>
      <c r="D51" s="309" t="str">
        <f>_xlfn.XLOOKUP(FMS_Ranking4[[#This Row],[FMS ID]],FMS_Input[FMS_ID],FMS_Input[FMS_NAME])</f>
        <v>Hidalgo County Drainage District #1 - Action #106</v>
      </c>
      <c r="E51" s="308" t="str">
        <f>_xlfn.XLOOKUP(FMS_Ranking4[[#This Row],[FMS ID]],FMS_Input[FMS_ID],FMS_Input[SPONSOR])</f>
        <v>15000099</v>
      </c>
      <c r="F51" s="309" t="str">
        <f>_xlfn.XLOOKUP(FMS_Ranking4[[#This Row],[FMS ID]],Sponsor[FMS_ID],Sponsor[SPONSOR NAME])</f>
        <v>Hidalgo County Drainage District 1</v>
      </c>
      <c r="G51" s="309" t="str">
        <f>_xlfn.XLOOKUP(FMS_Ranking4[[#This Row],[FMS ID]],FMS_Input[FMS_ID],FMS_Input[FMS_DESCR])</f>
        <v>Develop a program to provide hyperlinks to weather data</v>
      </c>
      <c r="H51" s="248" t="str">
        <f>_xlfn.XLOOKUP(FMS_Ranking4[[#This Row],[FMS ID]],FMS_Input[FMS_ID],FMS_Input[FMS_TYPE])</f>
        <v>Flood Measurement and Warning</v>
      </c>
      <c r="I51" s="249">
        <f>_xlfn.XLOOKUP(FMS_Ranking4[[#This Row],[FMS ID]],FMS_Input[FMS_ID],FMS_Input[NRNC_COST])</f>
        <v>247250</v>
      </c>
      <c r="J51" s="250">
        <f>_xlfn.XLOOKUP(FMS_Ranking4[[#This Row],[FMS ID]],FMS_Input[FMS_ID],FMS_Input[FMS_COST])</f>
        <v>247250</v>
      </c>
      <c r="K51" s="251" t="str">
        <f>_xlfn.XLOOKUP(FMS_Ranking4[[#This Row],[FMS ID]],FMS_Input[FMS_ID],FMS_Input[EMER_NEED])</f>
        <v>Yes</v>
      </c>
      <c r="L51" s="252">
        <f t="shared" si="0"/>
        <v>1</v>
      </c>
      <c r="M51" s="253">
        <f>_xlfn.XLOOKUP(FMS_Ranking4[[#This Row],[FMS ID]],FMS_Input[FMS_ID],FMS_Input[STRUCT_100])</f>
        <v>75816</v>
      </c>
      <c r="N51" s="255">
        <f>(ASINH(FMS_Ranking4[[#This Row],[Structure at Risk Raw]]))*(10)/(ASINH(M$4))</f>
        <v>9.3781366667466006</v>
      </c>
      <c r="O51" s="256">
        <f>FMS_Ranking4[[#This Row],[Structures at risk, ArcSinh (0-10)]]*M$5*10</f>
        <v>9.3781366667466024</v>
      </c>
      <c r="P51" s="253">
        <f>_xlfn.XLOOKUP(FMS_Ranking4[[#This Row],[FMS ID]],FMS_Input[FMS_ID],FMS_Input[RES_STRUCT100])</f>
        <v>61251</v>
      </c>
      <c r="Q51" s="257">
        <f>ASINH(FMS_Ranking4[[#This Row],[Res Structure Raw]])/Q$4*P$5*100</f>
        <v>0</v>
      </c>
      <c r="R51" s="253">
        <f>_xlfn.XLOOKUP(FMS_Ranking4[[#This Row],[FMS ID]],FMS_Input[FMS_ID],FMS_Input[POP100])</f>
        <v>244800</v>
      </c>
      <c r="S51" s="259">
        <f>(ASINH(FMS_Ranking4[[#This Row],[Pop at Risk Raw]]))*(10)/(ASINH(R$4))</f>
        <v>9.0446205033749258</v>
      </c>
      <c r="T51" s="256">
        <f>FMS_Ranking4[[#This Row],[Population at risk, ArcSinh (0-10)]]*R$5*10</f>
        <v>9.0446205033749258</v>
      </c>
      <c r="U51" s="253">
        <f>_xlfn.XLOOKUP(FMS_Ranking4[[#This Row],[FMS ID]],FMS_Input[FMS_ID],FMS_Input[CRITFAC100])</f>
        <v>459</v>
      </c>
      <c r="V51" s="259">
        <f>(ASINH(FMS_Ranking4[[#This Row],[Critical Facilities Raw]]))*(10)/(ASINH(U$4))</f>
        <v>8.0758740230664419</v>
      </c>
      <c r="W51" s="256">
        <f>FMS_Ranking4[[#This Row],[Critical facilities at risk, ArcSinh (0-10)]]*U$5*10</f>
        <v>8.0758740230664436</v>
      </c>
      <c r="X51" s="253">
        <f>_xlfn.XLOOKUP(FMS_Ranking4[[#This Row],[FMS ID]],FMS_Input[FMS_ID],FMS_Input[LWC])</f>
        <v>17</v>
      </c>
      <c r="Y51" s="259">
        <f>(ASINH(FMS_Ranking4[[#This Row],[LWC Raw]]))*(10)/(ASINH(X$4))</f>
        <v>4.7784642222450291</v>
      </c>
      <c r="Z51" s="256">
        <f>FMS_Ranking4[[#This Row],[LWC, ArcSInh (0-10)]]*X$5*10</f>
        <v>4.7784642222450291</v>
      </c>
      <c r="AA51" s="253">
        <f>_xlfn.XLOOKUP(FMS_Ranking4[[#This Row],[FMS ID]],FMS_Input[FMS_ID],FMS_Input[ROADCLS])</f>
        <v>5</v>
      </c>
      <c r="AB51" s="255">
        <f>(ASINH(FMS_Ranking4[[#This Row],[Road Closures Raw]]))*(10)/(ASINH(AA$4))</f>
        <v>2.4081922896382904</v>
      </c>
      <c r="AC51" s="256">
        <f>FMS_Ranking4[[#This Row],[Road closures, ArcSinh (0-10)]]*AA$5*10</f>
        <v>1.2040961448191452</v>
      </c>
      <c r="AD51" s="253">
        <f>_xlfn.XLOOKUP(FMS_Ranking4[[#This Row],[FMS ID]],FMS_Input[FMS_ID],FMS_Input[ROAD_MILES100])</f>
        <v>1840</v>
      </c>
      <c r="AE51" s="259">
        <f>(ASINH(FMS_Ranking4[[#This Row],[Road Miles Raw]]))*(10)/(ASINH(AD$4))</f>
        <v>8.7503132460891155</v>
      </c>
      <c r="AF51" s="256">
        <f>FMS_Ranking4[[#This Row],[Length of roads at risk, ArcSinh (0-10)]]*AD$5*10</f>
        <v>8.7503132460891173</v>
      </c>
      <c r="AG51" s="253">
        <f>_xlfn.XLOOKUP(FMS_Ranking4[[#This Row],[FMS ID]],FMS_Input[FMS_ID],FMS_Input[FARMACRE100])</f>
        <v>334.99685668945313</v>
      </c>
      <c r="AH51" s="255">
        <f>(ASINH(FMS_Ranking4[[#This Row],[Ag Land Raw]]))*(10)/(ASINH(AG$4))</f>
        <v>4.2270023696663568</v>
      </c>
      <c r="AI51" s="260">
        <f>FMS_Ranking4[[#This Row],[Farm &amp; ranch land, ArcSinh (0-10)]]*AG$5*10</f>
        <v>2.1135011848331784</v>
      </c>
      <c r="AJ51" s="258">
        <f>_xlfn.XLOOKUP(FMS_Ranking4[[#This Row],[FMS ID]],FMS_Input[FMS_ID],FMS_Input[REDSTRUCT100])</f>
        <v>0</v>
      </c>
      <c r="AK51" s="253">
        <f>_xlfn.XLOOKUP(FMS_Ranking4[[#This Row],[FMS ID]],FMS_Input[FMS_ID],FMS_Input[REMSTRC100])</f>
        <v>0</v>
      </c>
      <c r="AL51" s="259">
        <f>(ASINH(FMS_Ranking4[[#This Row],[Structures Removed Raw]]))*(10)/(ASINH(AK$4))</f>
        <v>0</v>
      </c>
      <c r="AM51" s="262">
        <f>FMS_Ranking4[[#This Row],[Structures removed, ArcSinh (0-10)]]*AK$5*10</f>
        <v>0</v>
      </c>
      <c r="AN51" s="253">
        <f>_xlfn.XLOOKUP(FMS_Ranking4[[#This Row],[FMS ID]],FMS_Input[FMS_ID],FMS_Input[REMRESSTRC100])</f>
        <v>0</v>
      </c>
      <c r="AO51" s="261">
        <f>FMS_Ranking4[[#This Row],[ArcSinh Res struct removed 0-10]]*AN$5*10</f>
        <v>0</v>
      </c>
      <c r="AP51" s="254">
        <f>ASINH(FMS_Ranking4[[#This Row],[Residential Structures Removed Raw]])/AP$4*AN$5*100</f>
        <v>0</v>
      </c>
      <c r="AQ51" s="254">
        <f>(ASINH(FMS_Ranking4[[#This Row],[Residential Structures Removed Raw]]))*(10)/(ASINH(AN$4))</f>
        <v>0</v>
      </c>
      <c r="AR51" s="253">
        <f>_xlfn.XLOOKUP(FMS_Ranking4[[#This Row],[FMS ID]],FMS_Input[FMS_ID],FMS_Input[REMPOP100])</f>
        <v>0</v>
      </c>
      <c r="AS51" s="259">
        <f>(ASINH(FMS_Ranking4[[#This Row],[Removed Pop Raw]]))*(10)/(ASINH(AR$4))</f>
        <v>0</v>
      </c>
      <c r="AT51" s="262">
        <f>FMS_Ranking4[[#This Row],[Removed population, ArcSinh (0-10)]]*AR$5*10</f>
        <v>0</v>
      </c>
      <c r="AU51" s="264">
        <f>_xlfn.XLOOKUP(FMS_Ranking4[[#This Row],[FMS ID]],FMS_Input[FMS_ID],FMS_Input[REMCRITFAC100])</f>
        <v>0</v>
      </c>
      <c r="AV51" s="264">
        <f>_xlfn.XLOOKUP(FMS_Ranking4[[#This Row],[FMS ID]],FMS_Input[FMS_ID],FMS_Input[REMLWC100])</f>
        <v>0</v>
      </c>
      <c r="AW51" s="264">
        <f>_xlfn.XLOOKUP(FMS_Ranking4[[#This Row],[FMS ID]],FMS_Input[FMS_ID],FMS_Input[REMROADCLS])</f>
        <v>0</v>
      </c>
      <c r="AX51" s="264">
        <f>_xlfn.XLOOKUP(FMS_Ranking4[[#This Row],[FMS ID]],FMS_Input[FMS_ID],FMS_Input[REMFRMACRE100])</f>
        <v>0</v>
      </c>
      <c r="AY51" s="258">
        <f>_xlfn.XLOOKUP(FMS_Ranking4[[#This Row],[FMS ID]],FMS_Input[FMS_ID],FMS_Input[COSTSTRUCT])</f>
        <v>0</v>
      </c>
      <c r="AZ51" s="253">
        <f>_xlfn.XLOOKUP(FMS_Ranking4[[#This Row],[FMS ID]],FMS_Input[FMS_ID],FMS_Input[NATURE])</f>
        <v>0</v>
      </c>
      <c r="BA51" s="262">
        <f>(((FMS_Ranking4[[#This Row],[% NBS Raw]]/AZ$4)*100)*AZ$5)</f>
        <v>0</v>
      </c>
      <c r="BB51" s="251" t="str">
        <f>_xlfn.XLOOKUP(FMS_Ranking4[[#This Row],[FMS ID]],FMS_Input[FMS_ID],FMS_Input[WATER_SUP])</f>
        <v>No</v>
      </c>
      <c r="BC51" s="265">
        <f>IF(FMS_Ranking4[[#This Row],[Water Supply Raw]]="Yes",10,0)</f>
        <v>0</v>
      </c>
      <c r="BD51" s="266">
        <f>_xlfn.XLOOKUP(FMS_Ranking4[[#This Row],[FMS Type]],FMS_TYPE[FMS_Type],FMS_TYPE[Score])</f>
        <v>10</v>
      </c>
      <c r="BE51" s="352">
        <f>FMS_Ranking4[[#This Row],[FMS_Type Score]]*$BD$5*10</f>
        <v>2.5</v>
      </c>
      <c r="BF5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51" s="271">
        <f>_xlfn.RANK.EQ(BF51,$BF$8:$BF$870,0)+COUNTIF($BF$8:BF51,BF51)-1</f>
        <v>31</v>
      </c>
      <c r="BH51" s="268">
        <f>(((FMS_Ranking4[[#This Row],[Structures Removed Raw]]/AK$4)*100)*AK$5)+(((FMS_Ranking4[[#This Row],[Removed Pop Raw]]/AR$4)*100)*AR$5)</f>
        <v>0</v>
      </c>
      <c r="BI5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14.819419633393215</v>
      </c>
      <c r="BJ51" s="205">
        <f>_xlfn.RANK.EQ(FMS_Ranking4[[#This Row],[Total Score 
(with linear
normalization)]],FMS_Ranking4[Total Score 
(with linear
normalization)],0)</f>
        <v>33</v>
      </c>
      <c r="BK51" s="205" t="e">
        <f>_xlfn.XLOOKUP(FMS_Ranking4[[#This Row],[FMS ID]],#REF!,#REF!)</f>
        <v>#REF!</v>
      </c>
      <c r="BL5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51" s="272">
        <f>FMS_Ranking4[[#This Row],[ArcSinh Score Based on Normalized Reported Factors]]+FMS_Ranking4[[#This Row],[% NBS Score (Normalized)]]+(FMS_Ranking4[[#This Row],[Water Supply Score (Normalized)]]*10*$BB$5)+FMS_Ranking4[[#This Row],[FMS_Type Score Weighted]]</f>
        <v>45.845005991174439</v>
      </c>
      <c r="BN51" s="205">
        <f>_xlfn.RANK.EQ(FMS_Ranking4[[#This Row],[Total Score (with ArcSinh normalization of select criteria)]],FMS_Ranking4[Total Score (with ArcSinh normalization of select criteria)],0)</f>
        <v>44</v>
      </c>
      <c r="BO51" s="270" t="str">
        <f>_xlfn.XLOOKUP(FMS_Ranking4[[#This Row],[FMS ID]],FMS_Input[FMS_ID],FMS_Input[FMS_RANK_YEAR])</f>
        <v>2025 Amended Plan</v>
      </c>
      <c r="BP51" s="204" t="e">
        <f>_xlfn.XLOOKUP(FMS_Ranking4[[#This Row],[FMS ID]],Prev_Rank[FMS ID],Prev_Rank[Prev Rank])</f>
        <v>#N/A</v>
      </c>
      <c r="BQ51" s="205" t="e">
        <f>_xlfn.XLOOKUP(FMS_Ranking4[[#This Row],[FMS ID]],#REF!,#REF!)</f>
        <v>#REF!</v>
      </c>
      <c r="BR51" s="199" t="e">
        <f>SUM(#REF!,#REF!,#REF!,#REF!,#REF!,#REF!,#REF!,#REF!,#REF!,FMS_Ranking4[[#This Row],[ArcSinh Res struct removed 0-10]],#REF!)</f>
        <v>#REF!</v>
      </c>
      <c r="BS51" s="199" t="e">
        <f>FMS_Ranking4[[#This Row],[Log Score Based on Normalized Reported Factors]]+FMS_Ranking4[[#This Row],[% NBS Score (Normalized)]]+(FMS_Ranking4[[#This Row],[Water Supply Score (Normalized)]]*10*$BB$5)+(FMS_Ranking4[[#This Row],[FMS_Type Score Weighted]])</f>
        <v>#REF!</v>
      </c>
      <c r="BT51" s="200" t="e">
        <f>_xlfn.RANK.EQ(FMS_Ranking4[[#This Row],[Log Total Score]],FMS_Ranking4[Log Total Score],0)</f>
        <v>#REF!</v>
      </c>
      <c r="BU51" s="200" t="e">
        <f>_xlfn.XLOOKUP(FMS_Ranking4[[#This Row],[FMS ID]],#REF!,#REF!)</f>
        <v>#REF!</v>
      </c>
      <c r="BV51" s="200">
        <f>FMS_Ranking4[[#This Row],[Region Number]]</f>
        <v>15</v>
      </c>
      <c r="BW51" s="200">
        <f>FMS_Ranking4[[#This Row],[Rank (with ArcSinh normalization of select criteria)]]-FMS_Ranking4[[#This Row],[Rank
(with linear
normalization)]]</f>
        <v>11</v>
      </c>
      <c r="BX51" s="200" t="e">
        <f>FMS_Ranking4[[#This Row],[Log Rank]]-FMS_Ranking4[[#This Row],[Rank
(with linear
normalization)]]</f>
        <v>#REF!</v>
      </c>
      <c r="BY51" s="200">
        <f>IF(FMS_Ranking4[[#This Row],[FMS Type]]="Flood Measurement and Warning",FMS_Ranking4[[#This Row],[Rank (with ArcSinh normalization of select criteria)]],"")</f>
        <v>44</v>
      </c>
      <c r="BZ51" s="200" t="str">
        <f>IF(FMS_Ranking4[[#This Row],[FMS Type]]="Regulatory and Guidance",FMS_Ranking4[[#This Row],[Rank (with ArcSinh normalization of select criteria)]],"")</f>
        <v/>
      </c>
      <c r="CA51" s="200" t="str">
        <f>IF(FMS_Ranking4[[#This Row],[FMS Type]]="Education and Outreach",FMS_Ranking4[[#This Row],[Rank (with ArcSinh normalization of select criteria)]],"")</f>
        <v/>
      </c>
      <c r="CB51" s="200" t="str">
        <f>IF(FMS_Ranking4[[#This Row],[FMS Type]]="Property Acquisition and Structural Elevation",FMS_Ranking4[[#This Row],[Rank (with ArcSinh normalization of select criteria)]],"")</f>
        <v/>
      </c>
      <c r="CC51" s="200" t="str">
        <f>IF(FMS_Ranking4[[#This Row],[FMS Type]]="Infrastructure Projects",FMS_Ranking4[[#This Row],[Rank (with ArcSinh normalization of select criteria)]],"")</f>
        <v/>
      </c>
      <c r="CD51" s="200" t="str">
        <f>IF(FMS_Ranking4[[#This Row],[FMS Type]]="Other",FMS_Ranking4[[#This Row],[Rank (with ArcSinh normalization of select criteria)]],"")</f>
        <v/>
      </c>
      <c r="CE51" s="201"/>
    </row>
    <row r="52" spans="2:83" ht="45" x14ac:dyDescent="0.25">
      <c r="B52" s="341" t="s">
        <v>11927</v>
      </c>
      <c r="C52" s="246">
        <f>_xlfn.XLOOKUP(FMS_Ranking4[[#This Row],[FMS ID]],FMS_Input[FMS_ID],FMS_Input[RFPG_NUM])</f>
        <v>15</v>
      </c>
      <c r="D52" s="309" t="str">
        <f>_xlfn.XLOOKUP(FMS_Ranking4[[#This Row],[FMS ID]],FMS_Input[FMS_ID],FMS_Input[FMS_NAME])</f>
        <v>Hidalgo County Drainage District #1 - Action #107</v>
      </c>
      <c r="E52" s="308" t="str">
        <f>_xlfn.XLOOKUP(FMS_Ranking4[[#This Row],[FMS ID]],FMS_Input[FMS_ID],FMS_Input[SPONSOR])</f>
        <v>15000099</v>
      </c>
      <c r="F52" s="309" t="str">
        <f>_xlfn.XLOOKUP(FMS_Ranking4[[#This Row],[FMS ID]],Sponsor[FMS_ID],Sponsor[SPONSOR NAME])</f>
        <v>Hidalgo County Drainage District 1</v>
      </c>
      <c r="G52" s="309" t="str">
        <f>_xlfn.XLOOKUP(FMS_Ranking4[[#This Row],[FMS ID]],FMS_Input[FMS_ID],FMS_Input[FMS_DESCR])</f>
        <v>Develop procedures for mass notifications</v>
      </c>
      <c r="H52" s="248" t="str">
        <f>_xlfn.XLOOKUP(FMS_Ranking4[[#This Row],[FMS ID]],FMS_Input[FMS_ID],FMS_Input[FMS_TYPE])</f>
        <v>Flood Measurement and Warning</v>
      </c>
      <c r="I52" s="249">
        <f>_xlfn.XLOOKUP(FMS_Ranking4[[#This Row],[FMS ID]],FMS_Input[FMS_ID],FMS_Input[NRNC_COST])</f>
        <v>243800</v>
      </c>
      <c r="J52" s="250">
        <f>_xlfn.XLOOKUP(FMS_Ranking4[[#This Row],[FMS ID]],FMS_Input[FMS_ID],FMS_Input[FMS_COST])</f>
        <v>243800</v>
      </c>
      <c r="K52" s="251" t="str">
        <f>_xlfn.XLOOKUP(FMS_Ranking4[[#This Row],[FMS ID]],FMS_Input[FMS_ID],FMS_Input[EMER_NEED])</f>
        <v>Yes</v>
      </c>
      <c r="L52" s="252">
        <f t="shared" si="0"/>
        <v>1</v>
      </c>
      <c r="M52" s="253">
        <f>_xlfn.XLOOKUP(FMS_Ranking4[[#This Row],[FMS ID]],FMS_Input[FMS_ID],FMS_Input[STRUCT_100])</f>
        <v>75816</v>
      </c>
      <c r="N52" s="255">
        <f>(ASINH(FMS_Ranking4[[#This Row],[Structure at Risk Raw]]))*(10)/(ASINH(M$4))</f>
        <v>9.3781366667466006</v>
      </c>
      <c r="O52" s="256">
        <f>FMS_Ranking4[[#This Row],[Structures at risk, ArcSinh (0-10)]]*M$5*10</f>
        <v>9.3781366667466024</v>
      </c>
      <c r="P52" s="253">
        <f>_xlfn.XLOOKUP(FMS_Ranking4[[#This Row],[FMS ID]],FMS_Input[FMS_ID],FMS_Input[RES_STRUCT100])</f>
        <v>61251</v>
      </c>
      <c r="Q52" s="257">
        <f>ASINH(FMS_Ranking4[[#This Row],[Res Structure Raw]])/Q$4*P$5*100</f>
        <v>0</v>
      </c>
      <c r="R52" s="253">
        <f>_xlfn.XLOOKUP(FMS_Ranking4[[#This Row],[FMS ID]],FMS_Input[FMS_ID],FMS_Input[POP100])</f>
        <v>244800</v>
      </c>
      <c r="S52" s="255">
        <f>(ASINH(FMS_Ranking4[[#This Row],[Pop at Risk Raw]]))*(10)/(ASINH(R$4))</f>
        <v>9.0446205033749258</v>
      </c>
      <c r="T52" s="256">
        <f>FMS_Ranking4[[#This Row],[Population at risk, ArcSinh (0-10)]]*R$5*10</f>
        <v>9.0446205033749258</v>
      </c>
      <c r="U52" s="253">
        <f>_xlfn.XLOOKUP(FMS_Ranking4[[#This Row],[FMS ID]],FMS_Input[FMS_ID],FMS_Input[CRITFAC100])</f>
        <v>459</v>
      </c>
      <c r="V52" s="255">
        <f>(ASINH(FMS_Ranking4[[#This Row],[Critical Facilities Raw]]))*(10)/(ASINH(U$4))</f>
        <v>8.0758740230664419</v>
      </c>
      <c r="W52" s="256">
        <f>FMS_Ranking4[[#This Row],[Critical facilities at risk, ArcSinh (0-10)]]*U$5*10</f>
        <v>8.0758740230664436</v>
      </c>
      <c r="X52" s="253">
        <f>_xlfn.XLOOKUP(FMS_Ranking4[[#This Row],[FMS ID]],FMS_Input[FMS_ID],FMS_Input[LWC])</f>
        <v>17</v>
      </c>
      <c r="Y52" s="255">
        <f>(ASINH(FMS_Ranking4[[#This Row],[LWC Raw]]))*(10)/(ASINH(X$4))</f>
        <v>4.7784642222450291</v>
      </c>
      <c r="Z52" s="256">
        <f>FMS_Ranking4[[#This Row],[LWC, ArcSInh (0-10)]]*X$5*10</f>
        <v>4.7784642222450291</v>
      </c>
      <c r="AA52" s="253">
        <f>_xlfn.XLOOKUP(FMS_Ranking4[[#This Row],[FMS ID]],FMS_Input[FMS_ID],FMS_Input[ROADCLS])</f>
        <v>5</v>
      </c>
      <c r="AB52" s="255">
        <f>(ASINH(FMS_Ranking4[[#This Row],[Road Closures Raw]]))*(10)/(ASINH(AA$4))</f>
        <v>2.4081922896382904</v>
      </c>
      <c r="AC52" s="256">
        <f>FMS_Ranking4[[#This Row],[Road closures, ArcSinh (0-10)]]*AA$5*10</f>
        <v>1.2040961448191452</v>
      </c>
      <c r="AD52" s="253">
        <f>_xlfn.XLOOKUP(FMS_Ranking4[[#This Row],[FMS ID]],FMS_Input[FMS_ID],FMS_Input[ROAD_MILES100])</f>
        <v>1840</v>
      </c>
      <c r="AE52" s="255">
        <f>(ASINH(FMS_Ranking4[[#This Row],[Road Miles Raw]]))*(10)/(ASINH(AD$4))</f>
        <v>8.7503132460891155</v>
      </c>
      <c r="AF52" s="256">
        <f>FMS_Ranking4[[#This Row],[Length of roads at risk, ArcSinh (0-10)]]*AD$5*10</f>
        <v>8.7503132460891173</v>
      </c>
      <c r="AG52" s="253">
        <f>_xlfn.XLOOKUP(FMS_Ranking4[[#This Row],[FMS ID]],FMS_Input[FMS_ID],FMS_Input[FARMACRE100])</f>
        <v>334.99685668945313</v>
      </c>
      <c r="AH52" s="255">
        <f>(ASINH(FMS_Ranking4[[#This Row],[Ag Land Raw]]))*(10)/(ASINH(AG$4))</f>
        <v>4.2270023696663568</v>
      </c>
      <c r="AI52" s="260">
        <f>FMS_Ranking4[[#This Row],[Farm &amp; ranch land, ArcSinh (0-10)]]*AG$5*10</f>
        <v>2.1135011848331784</v>
      </c>
      <c r="AJ52" s="258">
        <f>_xlfn.XLOOKUP(FMS_Ranking4[[#This Row],[FMS ID]],FMS_Input[FMS_ID],FMS_Input[REDSTRUCT100])</f>
        <v>0</v>
      </c>
      <c r="AK52" s="253">
        <f>_xlfn.XLOOKUP(FMS_Ranking4[[#This Row],[FMS ID]],FMS_Input[FMS_ID],FMS_Input[REMSTRC100])</f>
        <v>0</v>
      </c>
      <c r="AL52" s="255">
        <f>(ASINH(FMS_Ranking4[[#This Row],[Structures Removed Raw]]))*(10)/(ASINH(AK$4))</f>
        <v>0</v>
      </c>
      <c r="AM52" s="262">
        <f>FMS_Ranking4[[#This Row],[Structures removed, ArcSinh (0-10)]]*AK$5*10</f>
        <v>0</v>
      </c>
      <c r="AN52" s="253">
        <f>_xlfn.XLOOKUP(FMS_Ranking4[[#This Row],[FMS ID]],FMS_Input[FMS_ID],FMS_Input[REMRESSTRC100])</f>
        <v>0</v>
      </c>
      <c r="AO52" s="261">
        <f>FMS_Ranking4[[#This Row],[ArcSinh Res struct removed 0-10]]*AN$5*10</f>
        <v>0</v>
      </c>
      <c r="AP52" s="254">
        <f>ASINH(FMS_Ranking4[[#This Row],[Residential Structures Removed Raw]])/AP$4*AN$5*100</f>
        <v>0</v>
      </c>
      <c r="AQ52" s="258">
        <f>(ASINH(FMS_Ranking4[[#This Row],[Residential Structures Removed Raw]]))*(10)/(ASINH(AN$4))</f>
        <v>0</v>
      </c>
      <c r="AR52" s="253">
        <f>_xlfn.XLOOKUP(FMS_Ranking4[[#This Row],[FMS ID]],FMS_Input[FMS_ID],FMS_Input[REMPOP100])</f>
        <v>0</v>
      </c>
      <c r="AS52" s="255">
        <f>(ASINH(FMS_Ranking4[[#This Row],[Removed Pop Raw]]))*(10)/(ASINH(AR$4))</f>
        <v>0</v>
      </c>
      <c r="AT52" s="262">
        <f>FMS_Ranking4[[#This Row],[Removed population, ArcSinh (0-10)]]*AR$5*10</f>
        <v>0</v>
      </c>
      <c r="AU52" s="264">
        <f>_xlfn.XLOOKUP(FMS_Ranking4[[#This Row],[FMS ID]],FMS_Input[FMS_ID],FMS_Input[REMCRITFAC100])</f>
        <v>0</v>
      </c>
      <c r="AV52" s="264">
        <f>_xlfn.XLOOKUP(FMS_Ranking4[[#This Row],[FMS ID]],FMS_Input[FMS_ID],FMS_Input[REMLWC100])</f>
        <v>0</v>
      </c>
      <c r="AW52" s="264">
        <f>_xlfn.XLOOKUP(FMS_Ranking4[[#This Row],[FMS ID]],FMS_Input[FMS_ID],FMS_Input[REMROADCLS])</f>
        <v>0</v>
      </c>
      <c r="AX52" s="264">
        <f>_xlfn.XLOOKUP(FMS_Ranking4[[#This Row],[FMS ID]],FMS_Input[FMS_ID],FMS_Input[REMFRMACRE100])</f>
        <v>0</v>
      </c>
      <c r="AY52" s="258">
        <f>_xlfn.XLOOKUP(FMS_Ranking4[[#This Row],[FMS ID]],FMS_Input[FMS_ID],FMS_Input[COSTSTRUCT])</f>
        <v>0</v>
      </c>
      <c r="AZ52" s="253">
        <f>_xlfn.XLOOKUP(FMS_Ranking4[[#This Row],[FMS ID]],FMS_Input[FMS_ID],FMS_Input[NATURE])</f>
        <v>0</v>
      </c>
      <c r="BA52" s="262">
        <f>(((FMS_Ranking4[[#This Row],[% NBS Raw]]/AZ$4)*100)*AZ$5)</f>
        <v>0</v>
      </c>
      <c r="BB52" s="251" t="str">
        <f>_xlfn.XLOOKUP(FMS_Ranking4[[#This Row],[FMS ID]],FMS_Input[FMS_ID],FMS_Input[WATER_SUP])</f>
        <v>No</v>
      </c>
      <c r="BC52" s="265">
        <f>IF(FMS_Ranking4[[#This Row],[Water Supply Raw]]="Yes",10,0)</f>
        <v>0</v>
      </c>
      <c r="BD52" s="266">
        <f>_xlfn.XLOOKUP(FMS_Ranking4[[#This Row],[FMS Type]],FMS_TYPE[FMS_Type],FMS_TYPE[Score])</f>
        <v>10</v>
      </c>
      <c r="BE52" s="352">
        <f>FMS_Ranking4[[#This Row],[FMS_Type Score]]*$BD$5*10</f>
        <v>2.5</v>
      </c>
      <c r="BF5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52" s="321">
        <f>_xlfn.RANK.EQ(BF52,$BF$8:$BF$870,0)+COUNTIF($BF$8:BF52,BF52)-1</f>
        <v>32</v>
      </c>
      <c r="BH52" s="294">
        <f>(((FMS_Ranking4[[#This Row],[Structures Removed Raw]]/AK$4)*100)*AK$5)+(((FMS_Ranking4[[#This Row],[Removed Pop Raw]]/AR$4)*100)*AR$5)</f>
        <v>0</v>
      </c>
      <c r="BI5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14.819419633393215</v>
      </c>
      <c r="BJ52" s="251">
        <f>_xlfn.RANK.EQ(FMS_Ranking4[[#This Row],[Total Score 
(with linear
normalization)]],FMS_Ranking4[Total Score 
(with linear
normalization)],0)</f>
        <v>33</v>
      </c>
      <c r="BK52" s="251" t="e">
        <f>_xlfn.XLOOKUP(FMS_Ranking4[[#This Row],[FMS ID]],#REF!,#REF!)</f>
        <v>#REF!</v>
      </c>
      <c r="BL5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52" s="324">
        <f>FMS_Ranking4[[#This Row],[ArcSinh Score Based on Normalized Reported Factors]]+FMS_Ranking4[[#This Row],[% NBS Score (Normalized)]]+(FMS_Ranking4[[#This Row],[Water Supply Score (Normalized)]]*10*$BB$5)+FMS_Ranking4[[#This Row],[FMS_Type Score Weighted]]</f>
        <v>45.845005991174439</v>
      </c>
      <c r="BN52" s="251">
        <f>_xlfn.RANK.EQ(FMS_Ranking4[[#This Row],[Total Score (with ArcSinh normalization of select criteria)]],FMS_Ranking4[Total Score (with ArcSinh normalization of select criteria)],0)</f>
        <v>44</v>
      </c>
      <c r="BO52" s="270" t="str">
        <f>_xlfn.XLOOKUP(FMS_Ranking4[[#This Row],[FMS ID]],FMS_Input[FMS_ID],FMS_Input[FMS_RANK_YEAR])</f>
        <v>2025 Amended Plan</v>
      </c>
      <c r="BP52" s="204" t="e">
        <f>_xlfn.XLOOKUP(FMS_Ranking4[[#This Row],[FMS ID]],Prev_Rank[FMS ID],Prev_Rank[Prev Rank])</f>
        <v>#N/A</v>
      </c>
      <c r="BQ52" s="251" t="e">
        <f>_xlfn.XLOOKUP(FMS_Ranking4[[#This Row],[FMS ID]],#REF!,#REF!)</f>
        <v>#REF!</v>
      </c>
      <c r="BR52" s="199" t="e">
        <f>SUM(#REF!,#REF!,#REF!,#REF!,#REF!,#REF!,#REF!,#REF!,#REF!,FMS_Ranking4[[#This Row],[ArcSinh Res struct removed 0-10]],#REF!)</f>
        <v>#REF!</v>
      </c>
      <c r="BS52" s="199" t="e">
        <f>FMS_Ranking4[[#This Row],[Log Score Based on Normalized Reported Factors]]+FMS_Ranking4[[#This Row],[% NBS Score (Normalized)]]+(FMS_Ranking4[[#This Row],[Water Supply Score (Normalized)]]*10*$BB$5)+(FMS_Ranking4[[#This Row],[FMS_Type Score Weighted]])</f>
        <v>#REF!</v>
      </c>
      <c r="BT52" s="200" t="e">
        <f>_xlfn.RANK.EQ(FMS_Ranking4[[#This Row],[Log Total Score]],FMS_Ranking4[Log Total Score],0)</f>
        <v>#REF!</v>
      </c>
      <c r="BU52" s="200" t="e">
        <f>_xlfn.XLOOKUP(FMS_Ranking4[[#This Row],[FMS ID]],#REF!,#REF!)</f>
        <v>#REF!</v>
      </c>
      <c r="BV52" s="200">
        <f>FMS_Ranking4[[#This Row],[Region Number]]</f>
        <v>15</v>
      </c>
      <c r="BW52" s="200">
        <f>FMS_Ranking4[[#This Row],[Rank (with ArcSinh normalization of select criteria)]]-FMS_Ranking4[[#This Row],[Rank
(with linear
normalization)]]</f>
        <v>11</v>
      </c>
      <c r="BX52" s="200" t="e">
        <f>FMS_Ranking4[[#This Row],[Log Rank]]-FMS_Ranking4[[#This Row],[Rank
(with linear
normalization)]]</f>
        <v>#REF!</v>
      </c>
      <c r="BY52" s="200">
        <f>IF(FMS_Ranking4[[#This Row],[FMS Type]]="Flood Measurement and Warning",FMS_Ranking4[[#This Row],[Rank (with ArcSinh normalization of select criteria)]],"")</f>
        <v>44</v>
      </c>
      <c r="BZ52" s="200" t="str">
        <f>IF(FMS_Ranking4[[#This Row],[FMS Type]]="Regulatory and Guidance",FMS_Ranking4[[#This Row],[Rank (with ArcSinh normalization of select criteria)]],"")</f>
        <v/>
      </c>
      <c r="CA52" s="200" t="str">
        <f>IF(FMS_Ranking4[[#This Row],[FMS Type]]="Education and Outreach",FMS_Ranking4[[#This Row],[Rank (with ArcSinh normalization of select criteria)]],"")</f>
        <v/>
      </c>
      <c r="CB52" s="200" t="str">
        <f>IF(FMS_Ranking4[[#This Row],[FMS Type]]="Property Acquisition and Structural Elevation",FMS_Ranking4[[#This Row],[Rank (with ArcSinh normalization of select criteria)]],"")</f>
        <v/>
      </c>
      <c r="CC52" s="200" t="str">
        <f>IF(FMS_Ranking4[[#This Row],[FMS Type]]="Infrastructure Projects",FMS_Ranking4[[#This Row],[Rank (with ArcSinh normalization of select criteria)]],"")</f>
        <v/>
      </c>
      <c r="CD52" s="200" t="str">
        <f>IF(FMS_Ranking4[[#This Row],[FMS Type]]="Other",FMS_Ranking4[[#This Row],[Rank (with ArcSinh normalization of select criteria)]],"")</f>
        <v/>
      </c>
      <c r="CE52" s="201"/>
    </row>
    <row r="53" spans="2:83" ht="45" x14ac:dyDescent="0.25">
      <c r="B53" s="341" t="s">
        <v>2558</v>
      </c>
      <c r="C53" s="246">
        <f>_xlfn.XLOOKUP(FMS_Ranking4[[#This Row],[FMS ID]],FMS_Input[FMS_ID],FMS_Input[RFPG_NUM])</f>
        <v>4</v>
      </c>
      <c r="D53" s="309" t="str">
        <f>_xlfn.XLOOKUP(FMS_Ranking4[[#This Row],[FMS ID]],FMS_Input[FMS_ID],FMS_Input[FMS_NAME])</f>
        <v>Sabine Flood Measurement Gages</v>
      </c>
      <c r="E53" s="308" t="str">
        <f>_xlfn.XLOOKUP(FMS_Ranking4[[#This Row],[FMS ID]],FMS_Input[FMS_ID],FMS_Input[SPONSOR])</f>
        <v>00000293</v>
      </c>
      <c r="F53" s="309" t="str">
        <f>_xlfn.XLOOKUP(FMS_Ranking4[[#This Row],[FMS ID]],Sponsor[FMS_ID],Sponsor[SPONSOR NAME])</f>
        <v>Sabine River Authority</v>
      </c>
      <c r="G53" s="309" t="str">
        <f>_xlfn.XLOOKUP(FMS_Ranking4[[#This Row],[FMS ID]],FMS_Input[FMS_ID],FMS_Input[FMS_DESCR])</f>
        <v>Install flood measurement gages in Upper Sabine Basin</v>
      </c>
      <c r="H53" s="248" t="str">
        <f>_xlfn.XLOOKUP(FMS_Ranking4[[#This Row],[FMS ID]],FMS_Input[FMS_ID],FMS_Input[FMS_TYPE])</f>
        <v>Flood Measurement and Warning</v>
      </c>
      <c r="I53" s="249">
        <f>_xlfn.XLOOKUP(FMS_Ranking4[[#This Row],[FMS ID]],FMS_Input[FMS_ID],FMS_Input[NRNC_COST])</f>
        <v>50000</v>
      </c>
      <c r="J53" s="250">
        <f>_xlfn.XLOOKUP(FMS_Ranking4[[#This Row],[FMS ID]],FMS_Input[FMS_ID],FMS_Input[FMS_COST])</f>
        <v>800100</v>
      </c>
      <c r="K53" s="251" t="str">
        <f>_xlfn.XLOOKUP(FMS_Ranking4[[#This Row],[FMS ID]],FMS_Input[FMS_ID],FMS_Input[EMER_NEED])</f>
        <v>Yes</v>
      </c>
      <c r="L53" s="252">
        <f t="shared" si="0"/>
        <v>1</v>
      </c>
      <c r="M53" s="253">
        <f>_xlfn.XLOOKUP(FMS_Ranking4[[#This Row],[FMS ID]],FMS_Input[FMS_ID],FMS_Input[STRUCT_100])</f>
        <v>12591</v>
      </c>
      <c r="N53" s="255">
        <f>(ASINH(FMS_Ranking4[[#This Row],[Structure at Risk Raw]]))*(10)/(ASINH(M$4))</f>
        <v>7.9667422711173606</v>
      </c>
      <c r="O53" s="256">
        <f>FMS_Ranking4[[#This Row],[Structures at risk, ArcSinh (0-10)]]*M$5*10</f>
        <v>7.9667422711173606</v>
      </c>
      <c r="P53" s="253">
        <f>_xlfn.XLOOKUP(FMS_Ranking4[[#This Row],[FMS ID]],FMS_Input[FMS_ID],FMS_Input[RES_STRUCT100])</f>
        <v>7574</v>
      </c>
      <c r="Q53" s="257">
        <f>ASINH(FMS_Ranking4[[#This Row],[Res Structure Raw]])/Q$4*P$5*100</f>
        <v>0</v>
      </c>
      <c r="R53" s="253">
        <f>_xlfn.XLOOKUP(FMS_Ranking4[[#This Row],[FMS ID]],FMS_Input[FMS_ID],FMS_Input[POP100])</f>
        <v>43502</v>
      </c>
      <c r="S53" s="259">
        <f>(ASINH(FMS_Ranking4[[#This Row],[Pop at Risk Raw]]))*(10)/(ASINH(R$4))</f>
        <v>7.8519337345114293</v>
      </c>
      <c r="T53" s="256">
        <f>FMS_Ranking4[[#This Row],[Population at risk, ArcSinh (0-10)]]*R$5*10</f>
        <v>7.8519337345114293</v>
      </c>
      <c r="U53" s="253">
        <f>_xlfn.XLOOKUP(FMS_Ranking4[[#This Row],[FMS ID]],FMS_Input[FMS_ID],FMS_Input[CRITFAC100])</f>
        <v>88</v>
      </c>
      <c r="V53" s="259">
        <f>(ASINH(FMS_Ranking4[[#This Row],[Critical Facilities Raw]]))*(10)/(ASINH(U$4))</f>
        <v>6.1206717468999408</v>
      </c>
      <c r="W53" s="256">
        <f>FMS_Ranking4[[#This Row],[Critical facilities at risk, ArcSinh (0-10)]]*U$5*10</f>
        <v>6.1206717468999416</v>
      </c>
      <c r="X53" s="253">
        <f>_xlfn.XLOOKUP(FMS_Ranking4[[#This Row],[FMS ID]],FMS_Input[FMS_ID],FMS_Input[LWC])</f>
        <v>67</v>
      </c>
      <c r="Y53" s="259">
        <f>(ASINH(FMS_Ranking4[[#This Row],[LWC Raw]]))*(10)/(ASINH(X$4))</f>
        <v>6.6353640488452017</v>
      </c>
      <c r="Z53" s="256">
        <f>FMS_Ranking4[[#This Row],[LWC, ArcSInh (0-10)]]*X$5*10</f>
        <v>6.6353640488452026</v>
      </c>
      <c r="AA53" s="253">
        <f>_xlfn.XLOOKUP(FMS_Ranking4[[#This Row],[FMS ID]],FMS_Input[FMS_ID],FMS_Input[ROADCLS])</f>
        <v>67</v>
      </c>
      <c r="AB53" s="255">
        <f>(ASINH(FMS_Ranking4[[#This Row],[Road Closures Raw]]))*(10)/(ASINH(AA$4))</f>
        <v>5.1007086055887703</v>
      </c>
      <c r="AC53" s="256">
        <f>FMS_Ranking4[[#This Row],[Road closures, ArcSinh (0-10)]]*AA$5*10</f>
        <v>2.5503543027943856</v>
      </c>
      <c r="AD53" s="253">
        <f>_xlfn.XLOOKUP(FMS_Ranking4[[#This Row],[FMS ID]],FMS_Input[FMS_ID],FMS_Input[ROAD_MILES100])</f>
        <v>877</v>
      </c>
      <c r="AE53" s="259">
        <f>(ASINH(FMS_Ranking4[[#This Row],[Road Miles Raw]]))*(10)/(ASINH(AD$4))</f>
        <v>7.960596611802611</v>
      </c>
      <c r="AF53" s="256">
        <f>FMS_Ranking4[[#This Row],[Length of roads at risk, ArcSinh (0-10)]]*AD$5*10</f>
        <v>7.9605966118026119</v>
      </c>
      <c r="AG53" s="253">
        <f>_xlfn.XLOOKUP(FMS_Ranking4[[#This Row],[FMS ID]],FMS_Input[FMS_ID],FMS_Input[FARMACRE100])</f>
        <v>170165.609375</v>
      </c>
      <c r="AH53" s="255">
        <f>(ASINH(FMS_Ranking4[[#This Row],[Ag Land Raw]]))*(10)/(ASINH(AG$4))</f>
        <v>8.2741573792098961</v>
      </c>
      <c r="AI53" s="260">
        <f>FMS_Ranking4[[#This Row],[Farm &amp; ranch land, ArcSinh (0-10)]]*AG$5*10</f>
        <v>4.1370786896049481</v>
      </c>
      <c r="AJ53" s="258">
        <f>_xlfn.XLOOKUP(FMS_Ranking4[[#This Row],[FMS ID]],FMS_Input[FMS_ID],FMS_Input[REDSTRUCT100])</f>
        <v>0</v>
      </c>
      <c r="AK53" s="253">
        <f>_xlfn.XLOOKUP(FMS_Ranking4[[#This Row],[FMS ID]],FMS_Input[FMS_ID],FMS_Input[REMSTRC100])</f>
        <v>0</v>
      </c>
      <c r="AL53" s="259">
        <f>(ASINH(FMS_Ranking4[[#This Row],[Structures Removed Raw]]))*(10)/(ASINH(AK$4))</f>
        <v>0</v>
      </c>
      <c r="AM53" s="262">
        <f>FMS_Ranking4[[#This Row],[Structures removed, ArcSinh (0-10)]]*AK$5*10</f>
        <v>0</v>
      </c>
      <c r="AN53" s="253">
        <f>_xlfn.XLOOKUP(FMS_Ranking4[[#This Row],[FMS ID]],FMS_Input[FMS_ID],FMS_Input[REMRESSTRC100])</f>
        <v>0</v>
      </c>
      <c r="AO53" s="253">
        <f>FMS_Ranking4[[#This Row],[ArcSinh Res struct removed 0-10]]*AN$5*10</f>
        <v>0</v>
      </c>
      <c r="AP53" s="260">
        <f>ASINH(FMS_Ranking4[[#This Row],[Residential Structures Removed Raw]])/AP$4*AN$5*100</f>
        <v>0</v>
      </c>
      <c r="AQ53" s="254">
        <f>(ASINH(FMS_Ranking4[[#This Row],[Residential Structures Removed Raw]]))*(10)/(ASINH(AN$4))</f>
        <v>0</v>
      </c>
      <c r="AR53" s="253">
        <f>_xlfn.XLOOKUP(FMS_Ranking4[[#This Row],[FMS ID]],FMS_Input[FMS_ID],FMS_Input[REMPOP100])</f>
        <v>0</v>
      </c>
      <c r="AS53" s="259">
        <f>(ASINH(FMS_Ranking4[[#This Row],[Removed Pop Raw]]))*(10)/(ASINH(AR$4))</f>
        <v>0</v>
      </c>
      <c r="AT53" s="262">
        <f>FMS_Ranking4[[#This Row],[Removed population, ArcSinh (0-10)]]*AR$5*10</f>
        <v>0</v>
      </c>
      <c r="AU53" s="264">
        <f>_xlfn.XLOOKUP(FMS_Ranking4[[#This Row],[FMS ID]],FMS_Input[FMS_ID],FMS_Input[REMCRITFAC100])</f>
        <v>0</v>
      </c>
      <c r="AV53" s="264">
        <f>_xlfn.XLOOKUP(FMS_Ranking4[[#This Row],[FMS ID]],FMS_Input[FMS_ID],FMS_Input[REMLWC100])</f>
        <v>0</v>
      </c>
      <c r="AW53" s="264">
        <f>_xlfn.XLOOKUP(FMS_Ranking4[[#This Row],[FMS ID]],FMS_Input[FMS_ID],FMS_Input[REMROADCLS])</f>
        <v>0</v>
      </c>
      <c r="AX53" s="264">
        <f>_xlfn.XLOOKUP(FMS_Ranking4[[#This Row],[FMS ID]],FMS_Input[FMS_ID],FMS_Input[REMFRMACRE100])</f>
        <v>0</v>
      </c>
      <c r="AY53" s="258">
        <f>_xlfn.XLOOKUP(FMS_Ranking4[[#This Row],[FMS ID]],FMS_Input[FMS_ID],FMS_Input[COSTSTRUCT])</f>
        <v>0</v>
      </c>
      <c r="AZ53" s="253">
        <f>_xlfn.XLOOKUP(FMS_Ranking4[[#This Row],[FMS ID]],FMS_Input[FMS_ID],FMS_Input[NATURE])</f>
        <v>0</v>
      </c>
      <c r="BA53" s="262">
        <f>(((FMS_Ranking4[[#This Row],[% NBS Raw]]/AZ$4)*100)*AZ$5)</f>
        <v>0</v>
      </c>
      <c r="BB53" s="251" t="str">
        <f>_xlfn.XLOOKUP(FMS_Ranking4[[#This Row],[FMS ID]],FMS_Input[FMS_ID],FMS_Input[WATER_SUP])</f>
        <v>No</v>
      </c>
      <c r="BC53" s="265">
        <f>IF(FMS_Ranking4[[#This Row],[Water Supply Raw]]="Yes",10,0)</f>
        <v>0</v>
      </c>
      <c r="BD53" s="266">
        <f>_xlfn.XLOOKUP(FMS_Ranking4[[#This Row],[FMS Type]],FMS_TYPE[FMS_Type],FMS_TYPE[Score])</f>
        <v>10</v>
      </c>
      <c r="BE53" s="267">
        <f>FMS_Ranking4[[#This Row],[FMS_Type Score]]*$BD$5*10</f>
        <v>2.5</v>
      </c>
      <c r="BF5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4.2815531324561515</v>
      </c>
      <c r="BG53" s="271">
        <f>_xlfn.RANK.EQ(BF53,$BF$8:$BF$870,0)+COUNTIF($BF$8:BF53,BF53)-1</f>
        <v>66</v>
      </c>
      <c r="BH53" s="268">
        <f>(((FMS_Ranking4[[#This Row],[Structures Removed Raw]]/AK$4)*100)*AK$5)+(((FMS_Ranking4[[#This Row],[Removed Pop Raw]]/AR$4)*100)*AR$5)</f>
        <v>0</v>
      </c>
      <c r="BI5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6.7815531324561515</v>
      </c>
      <c r="BJ53" s="205">
        <f>_xlfn.RANK.EQ(FMS_Ranking4[[#This Row],[Total Score 
(with linear
normalization)]],FMS_Ranking4[Total Score 
(with linear
normalization)],0)</f>
        <v>97</v>
      </c>
      <c r="BK53" s="205" t="e">
        <f>_xlfn.XLOOKUP(FMS_Ranking4[[#This Row],[FMS ID]],#REF!,#REF!)</f>
        <v>#REF!</v>
      </c>
      <c r="BL5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43.222741405575881</v>
      </c>
      <c r="BM53" s="272">
        <f>FMS_Ranking4[[#This Row],[ArcSinh Score Based on Normalized Reported Factors]]+FMS_Ranking4[[#This Row],[% NBS Score (Normalized)]]+(FMS_Ranking4[[#This Row],[Water Supply Score (Normalized)]]*10*$BB$5)+FMS_Ranking4[[#This Row],[FMS_Type Score Weighted]]</f>
        <v>45.722741405575881</v>
      </c>
      <c r="BN53" s="205">
        <f>_xlfn.RANK.EQ(FMS_Ranking4[[#This Row],[Total Score (with ArcSinh normalization of select criteria)]],FMS_Ranking4[Total Score (with ArcSinh normalization of select criteria)],0)</f>
        <v>46</v>
      </c>
      <c r="BO53" s="270" t="str">
        <f>_xlfn.XLOOKUP(FMS_Ranking4[[#This Row],[FMS ID]],FMS_Input[FMS_ID],FMS_Input[FMS_RANK_YEAR])</f>
        <v>2023 Amended Plan</v>
      </c>
      <c r="BP53" s="204">
        <f>_xlfn.XLOOKUP(FMS_Ranking4[[#This Row],[FMS ID]],Prev_Rank[FMS ID],Prev_Rank[Prev Rank])</f>
        <v>49</v>
      </c>
      <c r="BQ53" s="205" t="e">
        <f>_xlfn.XLOOKUP(FMS_Ranking4[[#This Row],[FMS ID]],#REF!,#REF!)</f>
        <v>#REF!</v>
      </c>
      <c r="BR53" s="199" t="e">
        <f>SUM(#REF!,#REF!,#REF!,#REF!,#REF!,#REF!,#REF!,#REF!,#REF!,FMS_Ranking4[[#This Row],[ArcSinh Res struct removed 0-10]],#REF!)</f>
        <v>#REF!</v>
      </c>
      <c r="BS53" s="199" t="e">
        <f>FMS_Ranking4[[#This Row],[Log Score Based on Normalized Reported Factors]]+FMS_Ranking4[[#This Row],[% NBS Score (Normalized)]]+(FMS_Ranking4[[#This Row],[Water Supply Score (Normalized)]]*10*$BB$5)+(FMS_Ranking4[[#This Row],[FMS_Type Score Weighted]])</f>
        <v>#REF!</v>
      </c>
      <c r="BT53" s="200" t="e">
        <f>_xlfn.RANK.EQ(FMS_Ranking4[[#This Row],[Log Total Score]],FMS_Ranking4[Log Total Score],0)</f>
        <v>#REF!</v>
      </c>
      <c r="BU53" s="200" t="e">
        <f>_xlfn.XLOOKUP(FMS_Ranking4[[#This Row],[FMS ID]],#REF!,#REF!)</f>
        <v>#REF!</v>
      </c>
      <c r="BV53" s="200">
        <f>FMS_Ranking4[[#This Row],[Region Number]]</f>
        <v>4</v>
      </c>
      <c r="BW53" s="200">
        <f>FMS_Ranking4[[#This Row],[Rank (with ArcSinh normalization of select criteria)]]-FMS_Ranking4[[#This Row],[Rank
(with linear
normalization)]]</f>
        <v>-51</v>
      </c>
      <c r="BX53" s="200" t="e">
        <f>FMS_Ranking4[[#This Row],[Log Rank]]-FMS_Ranking4[[#This Row],[Rank
(with linear
normalization)]]</f>
        <v>#REF!</v>
      </c>
      <c r="BY53" s="200">
        <f>IF(FMS_Ranking4[[#This Row],[FMS Type]]="Flood Measurement and Warning",FMS_Ranking4[[#This Row],[Rank (with ArcSinh normalization of select criteria)]],"")</f>
        <v>46</v>
      </c>
      <c r="BZ53" s="200" t="str">
        <f>IF(FMS_Ranking4[[#This Row],[FMS Type]]="Regulatory and Guidance",FMS_Ranking4[[#This Row],[Rank (with ArcSinh normalization of select criteria)]],"")</f>
        <v/>
      </c>
      <c r="CA53" s="200" t="str">
        <f>IF(FMS_Ranking4[[#This Row],[FMS Type]]="Education and Outreach",FMS_Ranking4[[#This Row],[Rank (with ArcSinh normalization of select criteria)]],"")</f>
        <v/>
      </c>
      <c r="CB53" s="200" t="str">
        <f>IF(FMS_Ranking4[[#This Row],[FMS Type]]="Property Acquisition and Structural Elevation",FMS_Ranking4[[#This Row],[Rank (with ArcSinh normalization of select criteria)]],"")</f>
        <v/>
      </c>
      <c r="CC53" s="200" t="str">
        <f>IF(FMS_Ranking4[[#This Row],[FMS Type]]="Infrastructure Projects",FMS_Ranking4[[#This Row],[Rank (with ArcSinh normalization of select criteria)]],"")</f>
        <v/>
      </c>
      <c r="CD53" s="200" t="str">
        <f>IF(FMS_Ranking4[[#This Row],[FMS Type]]="Other",FMS_Ranking4[[#This Row],[Rank (with ArcSinh normalization of select criteria)]],"")</f>
        <v/>
      </c>
      <c r="CE53" s="201"/>
    </row>
    <row r="54" spans="2:83" ht="60" x14ac:dyDescent="0.25">
      <c r="B54" s="341" t="s">
        <v>1819</v>
      </c>
      <c r="C54" s="246">
        <f>_xlfn.XLOOKUP(FMS_Ranking4[[#This Row],[FMS ID]],FMS_Input[FMS_ID],FMS_Input[RFPG_NUM])</f>
        <v>3</v>
      </c>
      <c r="D54" s="309" t="str">
        <f>_xlfn.XLOOKUP(FMS_Ranking4[[#This Row],[FMS ID]],FMS_Input[FMS_ID],FMS_Input[FMS_NAME])</f>
        <v>Dallas County Open Space System Program and Dallas Trails Program</v>
      </c>
      <c r="E54" s="308" t="str">
        <f>_xlfn.XLOOKUP(FMS_Ranking4[[#This Row],[FMS ID]],FMS_Input[FMS_ID],FMS_Input[SPONSOR])</f>
        <v>Dallas County</v>
      </c>
      <c r="F54" s="309" t="str">
        <f>_xlfn.XLOOKUP(FMS_Ranking4[[#This Row],[FMS ID]],Sponsor[FMS_ID],Sponsor[SPONSOR NAME])</f>
        <v>Dallas County</v>
      </c>
      <c r="G54" s="309" t="str">
        <f>_xlfn.XLOOKUP(FMS_Ranking4[[#This Row],[FMS ID]],FMS_Input[FMS_ID],FMS_Input[FMS_DESCR])</f>
        <v>Adopt and implement Dallas County Open Space System Program and Dallas Trails Program.</v>
      </c>
      <c r="H54" s="248" t="str">
        <f>_xlfn.XLOOKUP(FMS_Ranking4[[#This Row],[FMS ID]],FMS_Input[FMS_ID],FMS_Input[FMS_TYPE])</f>
        <v>Other</v>
      </c>
      <c r="I54" s="249">
        <f>_xlfn.XLOOKUP(FMS_Ranking4[[#This Row],[FMS ID]],FMS_Input[FMS_ID],FMS_Input[NRNC_COST])</f>
        <v>500000</v>
      </c>
      <c r="J54" s="250">
        <f>_xlfn.XLOOKUP(FMS_Ranking4[[#This Row],[FMS ID]],FMS_Input[FMS_ID],FMS_Input[FMS_COST])</f>
        <v>5000000</v>
      </c>
      <c r="K54" s="251" t="str">
        <f>_xlfn.XLOOKUP(FMS_Ranking4[[#This Row],[FMS ID]],FMS_Input[FMS_ID],FMS_Input[EMER_NEED])</f>
        <v>No</v>
      </c>
      <c r="L54" s="252">
        <f t="shared" si="0"/>
        <v>0</v>
      </c>
      <c r="M54" s="253">
        <f>_xlfn.XLOOKUP(FMS_Ranking4[[#This Row],[FMS ID]],FMS_Input[FMS_ID],FMS_Input[STRUCT_100])</f>
        <v>22225</v>
      </c>
      <c r="N54" s="255">
        <f>(ASINH(FMS_Ranking4[[#This Row],[Structure at Risk Raw]]))*(10)/(ASINH(M$4))</f>
        <v>8.413459986465222</v>
      </c>
      <c r="O54" s="256">
        <f>FMS_Ranking4[[#This Row],[Structures at risk, ArcSinh (0-10)]]*M$5*10</f>
        <v>8.413459986465222</v>
      </c>
      <c r="P54" s="253">
        <f>_xlfn.XLOOKUP(FMS_Ranking4[[#This Row],[FMS ID]],FMS_Input[FMS_ID],FMS_Input[RES_STRUCT100])</f>
        <v>20521</v>
      </c>
      <c r="Q54" s="257">
        <f>ASINH(FMS_Ranking4[[#This Row],[Res Structure Raw]])/Q$4*P$5*100</f>
        <v>0</v>
      </c>
      <c r="R54" s="253">
        <f>_xlfn.XLOOKUP(FMS_Ranking4[[#This Row],[FMS ID]],FMS_Input[FMS_ID],FMS_Input[POP100])</f>
        <v>105914</v>
      </c>
      <c r="S54" s="259">
        <f>(ASINH(FMS_Ranking4[[#This Row],[Pop at Risk Raw]]))*(10)/(ASINH(R$4))</f>
        <v>8.4662286498114732</v>
      </c>
      <c r="T54" s="256">
        <f>FMS_Ranking4[[#This Row],[Population at risk, ArcSinh (0-10)]]*R$5*10</f>
        <v>8.4662286498114732</v>
      </c>
      <c r="U54" s="253">
        <f>_xlfn.XLOOKUP(FMS_Ranking4[[#This Row],[FMS ID]],FMS_Input[FMS_ID],FMS_Input[CRITFAC100])</f>
        <v>18</v>
      </c>
      <c r="V54" s="259">
        <f>(ASINH(FMS_Ranking4[[#This Row],[Critical Facilities Raw]]))*(10)/(ASINH(U$4))</f>
        <v>4.2429535527087694</v>
      </c>
      <c r="W54" s="256">
        <f>FMS_Ranking4[[#This Row],[Critical facilities at risk, ArcSinh (0-10)]]*U$5*10</f>
        <v>4.2429535527087694</v>
      </c>
      <c r="X54" s="253">
        <f>_xlfn.XLOOKUP(FMS_Ranking4[[#This Row],[FMS ID]],FMS_Input[FMS_ID],FMS_Input[LWC])</f>
        <v>22</v>
      </c>
      <c r="Y54" s="259">
        <f>(ASINH(FMS_Ranking4[[#This Row],[LWC Raw]]))*(10)/(ASINH(X$4))</f>
        <v>5.1272838758265653</v>
      </c>
      <c r="Z54" s="256">
        <f>FMS_Ranking4[[#This Row],[LWC, ArcSInh (0-10)]]*X$5*10</f>
        <v>5.1272838758265662</v>
      </c>
      <c r="AA54" s="253">
        <f>_xlfn.XLOOKUP(FMS_Ranking4[[#This Row],[FMS ID]],FMS_Input[FMS_ID],FMS_Input[ROADCLS])</f>
        <v>0</v>
      </c>
      <c r="AB54" s="255">
        <f>(ASINH(FMS_Ranking4[[#This Row],[Road Closures Raw]]))*(10)/(ASINH(AA$4))</f>
        <v>0</v>
      </c>
      <c r="AC54" s="256">
        <f>FMS_Ranking4[[#This Row],[Road closures, ArcSinh (0-10)]]*AA$5*10</f>
        <v>0</v>
      </c>
      <c r="AD54" s="253">
        <f>_xlfn.XLOOKUP(FMS_Ranking4[[#This Row],[FMS ID]],FMS_Input[FMS_ID],FMS_Input[ROAD_MILES100])</f>
        <v>791</v>
      </c>
      <c r="AE54" s="259">
        <f>(ASINH(FMS_Ranking4[[#This Row],[Road Miles Raw]]))*(10)/(ASINH(AD$4))</f>
        <v>7.8506042662984106</v>
      </c>
      <c r="AF54" s="256">
        <f>FMS_Ranking4[[#This Row],[Length of roads at risk, ArcSinh (0-10)]]*AD$5*10</f>
        <v>7.8506042662984115</v>
      </c>
      <c r="AG54" s="253">
        <f>_xlfn.XLOOKUP(FMS_Ranking4[[#This Row],[FMS ID]],FMS_Input[FMS_ID],FMS_Input[FARMACRE100])</f>
        <v>31557.6796875</v>
      </c>
      <c r="AH54" s="255">
        <f>(ASINH(FMS_Ranking4[[#This Row],[Ag Land Raw]]))*(10)/(ASINH(AG$4))</f>
        <v>7.1796417288252785</v>
      </c>
      <c r="AI54" s="260">
        <f>FMS_Ranking4[[#This Row],[Farm &amp; ranch land, ArcSinh (0-10)]]*AG$5*10</f>
        <v>3.5898208644126397</v>
      </c>
      <c r="AJ54" s="258">
        <f>_xlfn.XLOOKUP(FMS_Ranking4[[#This Row],[FMS ID]],FMS_Input[FMS_ID],FMS_Input[REDSTRUCT100])</f>
        <v>0</v>
      </c>
      <c r="AK54" s="253">
        <f>_xlfn.XLOOKUP(FMS_Ranking4[[#This Row],[FMS ID]],FMS_Input[FMS_ID],FMS_Input[REMSTRC100])</f>
        <v>0</v>
      </c>
      <c r="AL54" s="259">
        <f>(ASINH(FMS_Ranking4[[#This Row],[Structures Removed Raw]]))*(10)/(ASINH(AK$4))</f>
        <v>0</v>
      </c>
      <c r="AM54" s="262">
        <f>FMS_Ranking4[[#This Row],[Structures removed, ArcSinh (0-10)]]*AK$5*10</f>
        <v>0</v>
      </c>
      <c r="AN54" s="253">
        <f>_xlfn.XLOOKUP(FMS_Ranking4[[#This Row],[FMS ID]],FMS_Input[FMS_ID],FMS_Input[REMRESSTRC100])</f>
        <v>0</v>
      </c>
      <c r="AO54" s="253">
        <f>FMS_Ranking4[[#This Row],[ArcSinh Res struct removed 0-10]]*AN$5*10</f>
        <v>0</v>
      </c>
      <c r="AP54" s="260">
        <f>ASINH(FMS_Ranking4[[#This Row],[Residential Structures Removed Raw]])/AP$4*AN$5*100</f>
        <v>0</v>
      </c>
      <c r="AQ54" s="254">
        <f>(ASINH(FMS_Ranking4[[#This Row],[Residential Structures Removed Raw]]))*(10)/(ASINH(AN$4))</f>
        <v>0</v>
      </c>
      <c r="AR54" s="253">
        <f>_xlfn.XLOOKUP(FMS_Ranking4[[#This Row],[FMS ID]],FMS_Input[FMS_ID],FMS_Input[REMPOP100])</f>
        <v>0</v>
      </c>
      <c r="AS54" s="259">
        <f>(ASINH(FMS_Ranking4[[#This Row],[Removed Pop Raw]]))*(10)/(ASINH(AR$4))</f>
        <v>0</v>
      </c>
      <c r="AT54" s="262">
        <f>FMS_Ranking4[[#This Row],[Removed population, ArcSinh (0-10)]]*AR$5*10</f>
        <v>0</v>
      </c>
      <c r="AU54" s="264">
        <f>_xlfn.XLOOKUP(FMS_Ranking4[[#This Row],[FMS ID]],FMS_Input[FMS_ID],FMS_Input[REMCRITFAC100])</f>
        <v>0</v>
      </c>
      <c r="AV54" s="264">
        <f>_xlfn.XLOOKUP(FMS_Ranking4[[#This Row],[FMS ID]],FMS_Input[FMS_ID],FMS_Input[REMLWC100])</f>
        <v>0</v>
      </c>
      <c r="AW54" s="264">
        <f>_xlfn.XLOOKUP(FMS_Ranking4[[#This Row],[FMS ID]],FMS_Input[FMS_ID],FMS_Input[REMROADCLS])</f>
        <v>0</v>
      </c>
      <c r="AX54" s="264">
        <f>_xlfn.XLOOKUP(FMS_Ranking4[[#This Row],[FMS ID]],FMS_Input[FMS_ID],FMS_Input[REMFRMACRE100])</f>
        <v>0</v>
      </c>
      <c r="AY54" s="258">
        <f>_xlfn.XLOOKUP(FMS_Ranking4[[#This Row],[FMS ID]],FMS_Input[FMS_ID],FMS_Input[COSTSTRUCT])</f>
        <v>0</v>
      </c>
      <c r="AZ54" s="253">
        <f>_xlfn.XLOOKUP(FMS_Ranking4[[#This Row],[FMS ID]],FMS_Input[FMS_ID],FMS_Input[NATURE])</f>
        <v>100</v>
      </c>
      <c r="BA54" s="262">
        <f>(((FMS_Ranking4[[#This Row],[% NBS Raw]]/AZ$4)*100)*AZ$5)</f>
        <v>7.5</v>
      </c>
      <c r="BB54" s="251" t="str">
        <f>_xlfn.XLOOKUP(FMS_Ranking4[[#This Row],[FMS ID]],FMS_Input[FMS_ID],FMS_Input[WATER_SUP])</f>
        <v>No</v>
      </c>
      <c r="BC54" s="265">
        <f>IF(FMS_Ranking4[[#This Row],[Water Supply Raw]]="Yes",10,0)</f>
        <v>0</v>
      </c>
      <c r="BD54" s="266">
        <f>_xlfn.XLOOKUP(FMS_Ranking4[[#This Row],[FMS Type]],FMS_TYPE[FMS_Type],FMS_TYPE[Score])</f>
        <v>2</v>
      </c>
      <c r="BE54" s="267">
        <f>FMS_Ranking4[[#This Row],[FMS_Type Score]]*$BD$5*10</f>
        <v>0.5</v>
      </c>
      <c r="BF5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4.1602761575611495</v>
      </c>
      <c r="BG54" s="271">
        <f>_xlfn.RANK.EQ(BF54,$BF$8:$BF$870,0)+COUNTIF($BF$8:BF54,BF54)-1</f>
        <v>68</v>
      </c>
      <c r="BH54" s="268">
        <f>(((FMS_Ranking4[[#This Row],[Structures Removed Raw]]/AK$4)*100)*AK$5)+(((FMS_Ranking4[[#This Row],[Removed Pop Raw]]/AR$4)*100)*AR$5)</f>
        <v>0</v>
      </c>
      <c r="BI5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12.16027615756115</v>
      </c>
      <c r="BJ54" s="205">
        <f>_xlfn.RANK.EQ(FMS_Ranking4[[#This Row],[Total Score 
(with linear
normalization)]],FMS_Ranking4[Total Score 
(with linear
normalization)],0)</f>
        <v>47</v>
      </c>
      <c r="BK54" s="205" t="e">
        <f>_xlfn.XLOOKUP(FMS_Ranking4[[#This Row],[FMS ID]],#REF!,#REF!)</f>
        <v>#REF!</v>
      </c>
      <c r="BL5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37.690351195523085</v>
      </c>
      <c r="BM54" s="272">
        <f>FMS_Ranking4[[#This Row],[ArcSinh Score Based on Normalized Reported Factors]]+FMS_Ranking4[[#This Row],[% NBS Score (Normalized)]]+(FMS_Ranking4[[#This Row],[Water Supply Score (Normalized)]]*10*$BB$5)+FMS_Ranking4[[#This Row],[FMS_Type Score Weighted]]</f>
        <v>45.690351195523085</v>
      </c>
      <c r="BN54" s="205">
        <f>_xlfn.RANK.EQ(FMS_Ranking4[[#This Row],[Total Score (with ArcSinh normalization of select criteria)]],FMS_Ranking4[Total Score (with ArcSinh normalization of select criteria)],0)</f>
        <v>47</v>
      </c>
      <c r="BO54" s="270" t="str">
        <f>_xlfn.XLOOKUP(FMS_Ranking4[[#This Row],[FMS ID]],FMS_Input[FMS_ID],FMS_Input[FMS_RANK_YEAR])</f>
        <v>2023 Amended Plan</v>
      </c>
      <c r="BP54" s="204">
        <f>_xlfn.XLOOKUP(FMS_Ranking4[[#This Row],[FMS ID]],Prev_Rank[FMS ID],Prev_Rank[Prev Rank])</f>
        <v>38</v>
      </c>
      <c r="BQ54" s="205" t="e">
        <f>_xlfn.XLOOKUP(FMS_Ranking4[[#This Row],[FMS ID]],#REF!,#REF!)</f>
        <v>#REF!</v>
      </c>
      <c r="BR54" s="199" t="e">
        <f>SUM(#REF!,#REF!,#REF!,#REF!,#REF!,#REF!,#REF!,#REF!,#REF!,FMS_Ranking4[[#This Row],[ArcSinh Res struct removed 0-10]],#REF!)</f>
        <v>#REF!</v>
      </c>
      <c r="BS54" s="199" t="e">
        <f>FMS_Ranking4[[#This Row],[Log Score Based on Normalized Reported Factors]]+FMS_Ranking4[[#This Row],[% NBS Score (Normalized)]]+(FMS_Ranking4[[#This Row],[Water Supply Score (Normalized)]]*10*$BB$5)+(FMS_Ranking4[[#This Row],[FMS_Type Score Weighted]])</f>
        <v>#REF!</v>
      </c>
      <c r="BT54" s="200" t="e">
        <f>_xlfn.RANK.EQ(FMS_Ranking4[[#This Row],[Log Total Score]],FMS_Ranking4[Log Total Score],0)</f>
        <v>#REF!</v>
      </c>
      <c r="BU54" s="200" t="e">
        <f>_xlfn.XLOOKUP(FMS_Ranking4[[#This Row],[FMS ID]],#REF!,#REF!)</f>
        <v>#REF!</v>
      </c>
      <c r="BV54" s="200">
        <f>FMS_Ranking4[[#This Row],[Region Number]]</f>
        <v>3</v>
      </c>
      <c r="BW54" s="200">
        <f>FMS_Ranking4[[#This Row],[Rank (with ArcSinh normalization of select criteria)]]-FMS_Ranking4[[#This Row],[Rank
(with linear
normalization)]]</f>
        <v>0</v>
      </c>
      <c r="BX54" s="200" t="e">
        <f>FMS_Ranking4[[#This Row],[Log Rank]]-FMS_Ranking4[[#This Row],[Rank
(with linear
normalization)]]</f>
        <v>#REF!</v>
      </c>
      <c r="BY54" s="200" t="str">
        <f>IF(FMS_Ranking4[[#This Row],[FMS Type]]="Flood Measurement and Warning",FMS_Ranking4[[#This Row],[Rank (with ArcSinh normalization of select criteria)]],"")</f>
        <v/>
      </c>
      <c r="BZ54" s="200" t="str">
        <f>IF(FMS_Ranking4[[#This Row],[FMS Type]]="Regulatory and Guidance",FMS_Ranking4[[#This Row],[Rank (with ArcSinh normalization of select criteria)]],"")</f>
        <v/>
      </c>
      <c r="CA54" s="200" t="str">
        <f>IF(FMS_Ranking4[[#This Row],[FMS Type]]="Education and Outreach",FMS_Ranking4[[#This Row],[Rank (with ArcSinh normalization of select criteria)]],"")</f>
        <v/>
      </c>
      <c r="CB54" s="200" t="str">
        <f>IF(FMS_Ranking4[[#This Row],[FMS Type]]="Property Acquisition and Structural Elevation",FMS_Ranking4[[#This Row],[Rank (with ArcSinh normalization of select criteria)]],"")</f>
        <v/>
      </c>
      <c r="CC54" s="200" t="str">
        <f>IF(FMS_Ranking4[[#This Row],[FMS Type]]="Infrastructure Projects",FMS_Ranking4[[#This Row],[Rank (with ArcSinh normalization of select criteria)]],"")</f>
        <v/>
      </c>
      <c r="CD54" s="200">
        <f>IF(FMS_Ranking4[[#This Row],[FMS Type]]="Other",FMS_Ranking4[[#This Row],[Rank (with ArcSinh normalization of select criteria)]],"")</f>
        <v>47</v>
      </c>
      <c r="CE54" s="201"/>
    </row>
    <row r="55" spans="2:83" ht="75" x14ac:dyDescent="0.25">
      <c r="B55" s="346" t="s">
        <v>3899</v>
      </c>
      <c r="C55" s="246">
        <f>_xlfn.XLOOKUP(FMS_Ranking4[[#This Row],[FMS ID]],FMS_Input[FMS_ID],FMS_Input[RFPG_NUM])</f>
        <v>15</v>
      </c>
      <c r="D55" s="309" t="str">
        <f>_xlfn.XLOOKUP(FMS_Ranking4[[#This Row],[FMS ID]],FMS_Input[FMS_ID],FMS_Input[FMS_NAME])</f>
        <v>Hidalgo County #11-1.2</v>
      </c>
      <c r="E55" s="308" t="str">
        <f>_xlfn.XLOOKUP(FMS_Ranking4[[#This Row],[FMS ID]],FMS_Input[FMS_ID],FMS_Input[SPONSOR])</f>
        <v>15000004</v>
      </c>
      <c r="F55" s="309" t="str">
        <f>_xlfn.XLOOKUP(FMS_Ranking4[[#This Row],[FMS ID]],Sponsor[FMS_ID],Sponsor[SPONSOR NAME])</f>
        <v>Hidalgo</v>
      </c>
      <c r="G55" s="309" t="str">
        <f>_xlfn.XLOOKUP(FMS_Ranking4[[#This Row],[FMS ID]],FMS_Input[FMS_ID],FMS_Input[FMS_DESCR])</f>
        <v>Develop a An Inspection, Maintenance, And Enforcement Program To Ensure Continued Structural Integrity of Dams And Levees.</v>
      </c>
      <c r="H55" s="248" t="str">
        <f>_xlfn.XLOOKUP(FMS_Ranking4[[#This Row],[FMS ID]],FMS_Input[FMS_ID],FMS_Input[FMS_TYPE])</f>
        <v>Regulatory and Guidance</v>
      </c>
      <c r="I55" s="249">
        <f>_xlfn.XLOOKUP(FMS_Ranking4[[#This Row],[FMS ID]],FMS_Input[FMS_ID],FMS_Input[NRNC_COST])</f>
        <v>1000</v>
      </c>
      <c r="J55" s="250">
        <f>_xlfn.XLOOKUP(FMS_Ranking4[[#This Row],[FMS ID]],FMS_Input[FMS_ID],FMS_Input[FMS_COST])</f>
        <v>10000</v>
      </c>
      <c r="K55" s="251" t="str">
        <f>_xlfn.XLOOKUP(FMS_Ranking4[[#This Row],[FMS ID]],FMS_Input[FMS_ID],FMS_Input[EMER_NEED])</f>
        <v>Yes</v>
      </c>
      <c r="L55" s="252">
        <f t="shared" si="0"/>
        <v>1</v>
      </c>
      <c r="M55" s="253">
        <f>_xlfn.XLOOKUP(FMS_Ranking4[[#This Row],[FMS ID]],FMS_Input[FMS_ID],FMS_Input[STRUCT_100])</f>
        <v>167224</v>
      </c>
      <c r="N55" s="255">
        <f>(ASINH(FMS_Ranking4[[#This Row],[Structure at Risk Raw]]))*(10)/(ASINH(M$4))</f>
        <v>10</v>
      </c>
      <c r="O55" s="256">
        <f>FMS_Ranking4[[#This Row],[Structures at risk, ArcSinh (0-10)]]*M$5*10</f>
        <v>10</v>
      </c>
      <c r="P55" s="253">
        <f>_xlfn.XLOOKUP(FMS_Ranking4[[#This Row],[FMS ID]],FMS_Input[FMS_ID],FMS_Input[RES_STRUCT100])</f>
        <v>135738</v>
      </c>
      <c r="Q55" s="257">
        <f>ASINH(FMS_Ranking4[[#This Row],[Res Structure Raw]])/Q$4*P$5*100</f>
        <v>0</v>
      </c>
      <c r="R55" s="253">
        <f>_xlfn.XLOOKUP(FMS_Ranking4[[#This Row],[FMS ID]],FMS_Input[FMS_ID],FMS_Input[POP100])</f>
        <v>569558</v>
      </c>
      <c r="S55" s="255">
        <f>(ASINH(FMS_Ranking4[[#This Row],[Pop at Risk Raw]]))*(10)/(ASINH(R$4))</f>
        <v>9.6275721482674861</v>
      </c>
      <c r="T55" s="256">
        <f>FMS_Ranking4[[#This Row],[Population at risk, ArcSinh (0-10)]]*R$5*10</f>
        <v>9.6275721482674861</v>
      </c>
      <c r="U55" s="253">
        <f>_xlfn.XLOOKUP(FMS_Ranking4[[#This Row],[FMS ID]],FMS_Input[FMS_ID],FMS_Input[CRITFAC100])</f>
        <v>62</v>
      </c>
      <c r="V55" s="255">
        <f>(ASINH(FMS_Ranking4[[#This Row],[Critical Facilities Raw]]))*(10)/(ASINH(U$4))</f>
        <v>5.7061534362365105</v>
      </c>
      <c r="W55" s="256">
        <f>FMS_Ranking4[[#This Row],[Critical facilities at risk, ArcSinh (0-10)]]*U$5*10</f>
        <v>5.7061534362365105</v>
      </c>
      <c r="X55" s="253">
        <f>_xlfn.XLOOKUP(FMS_Ranking4[[#This Row],[FMS ID]],FMS_Input[FMS_ID],FMS_Input[LWC])</f>
        <v>16</v>
      </c>
      <c r="Y55" s="255">
        <f>(ASINH(FMS_Ranking4[[#This Row],[LWC Raw]]))*(10)/(ASINH(X$4))</f>
        <v>4.6964844083783914</v>
      </c>
      <c r="Z55" s="256">
        <f>FMS_Ranking4[[#This Row],[LWC, ArcSInh (0-10)]]*X$5*10</f>
        <v>4.6964844083783923</v>
      </c>
      <c r="AA55" s="253">
        <f>_xlfn.XLOOKUP(FMS_Ranking4[[#This Row],[FMS ID]],FMS_Input[FMS_ID],FMS_Input[ROADCLS])</f>
        <v>0</v>
      </c>
      <c r="AB55" s="255">
        <f>(ASINH(FMS_Ranking4[[#This Row],[Road Closures Raw]]))*(10)/(ASINH(AA$4))</f>
        <v>0</v>
      </c>
      <c r="AC55" s="256">
        <f>FMS_Ranking4[[#This Row],[Road closures, ArcSinh (0-10)]]*AA$5*10</f>
        <v>0</v>
      </c>
      <c r="AD55" s="253">
        <f>_xlfn.XLOOKUP(FMS_Ranking4[[#This Row],[FMS ID]],FMS_Input[FMS_ID],FMS_Input[ROAD_MILES100])</f>
        <v>3065</v>
      </c>
      <c r="AE55" s="255">
        <f>(ASINH(FMS_Ranking4[[#This Row],[Road Miles Raw]]))*(10)/(ASINH(AD$4))</f>
        <v>9.2941334144264758</v>
      </c>
      <c r="AF55" s="256">
        <f>FMS_Ranking4[[#This Row],[Length of roads at risk, ArcSinh (0-10)]]*AD$5*10</f>
        <v>9.2941334144264758</v>
      </c>
      <c r="AG55" s="253">
        <f>_xlfn.XLOOKUP(FMS_Ranking4[[#This Row],[FMS ID]],FMS_Input[FMS_ID],FMS_Input[FARMACRE100])</f>
        <v>338728.96875</v>
      </c>
      <c r="AH55" s="255">
        <f>(ASINH(FMS_Ranking4[[#This Row],[Ag Land Raw]]))*(10)/(ASINH(AG$4))</f>
        <v>8.7213475482382332</v>
      </c>
      <c r="AI55" s="260">
        <f>FMS_Ranking4[[#This Row],[Farm &amp; ranch land, ArcSinh (0-10)]]*AG$5*10</f>
        <v>4.3606737741191175</v>
      </c>
      <c r="AJ55" s="258">
        <f>_xlfn.XLOOKUP(FMS_Ranking4[[#This Row],[FMS ID]],FMS_Input[FMS_ID],FMS_Input[REDSTRUCT100])</f>
        <v>0</v>
      </c>
      <c r="AK55" s="253">
        <f>_xlfn.XLOOKUP(FMS_Ranking4[[#This Row],[FMS ID]],FMS_Input[FMS_ID],FMS_Input[REMSTRC100])</f>
        <v>0</v>
      </c>
      <c r="AL55" s="255">
        <f>(ASINH(FMS_Ranking4[[#This Row],[Structures Removed Raw]]))*(10)/(ASINH(AK$4))</f>
        <v>0</v>
      </c>
      <c r="AM55" s="262">
        <f>FMS_Ranking4[[#This Row],[Structures removed, ArcSinh (0-10)]]*AK$5*10</f>
        <v>0</v>
      </c>
      <c r="AN55" s="253">
        <f>_xlfn.XLOOKUP(FMS_Ranking4[[#This Row],[FMS ID]],FMS_Input[FMS_ID],FMS_Input[REMRESSTRC100])</f>
        <v>0</v>
      </c>
      <c r="AO55" s="253">
        <f>FMS_Ranking4[[#This Row],[ArcSinh Res struct removed 0-10]]*AN$5*10</f>
        <v>0</v>
      </c>
      <c r="AP55" s="260">
        <f>ASINH(FMS_Ranking4[[#This Row],[Residential Structures Removed Raw]])/AP$4*AN$5*100</f>
        <v>0</v>
      </c>
      <c r="AQ55" s="258">
        <f>(ASINH(FMS_Ranking4[[#This Row],[Residential Structures Removed Raw]]))*(10)/(ASINH(AN$4))</f>
        <v>0</v>
      </c>
      <c r="AR55" s="253">
        <f>_xlfn.XLOOKUP(FMS_Ranking4[[#This Row],[FMS ID]],FMS_Input[FMS_ID],FMS_Input[REMPOP100])</f>
        <v>0</v>
      </c>
      <c r="AS55" s="255">
        <f>(ASINH(FMS_Ranking4[[#This Row],[Removed Pop Raw]]))*(10)/(ASINH(AR$4))</f>
        <v>0</v>
      </c>
      <c r="AT55" s="262">
        <f>FMS_Ranking4[[#This Row],[Removed population, ArcSinh (0-10)]]*AR$5*10</f>
        <v>0</v>
      </c>
      <c r="AU55" s="264">
        <f>_xlfn.XLOOKUP(FMS_Ranking4[[#This Row],[FMS ID]],FMS_Input[FMS_ID],FMS_Input[REMCRITFAC100])</f>
        <v>0</v>
      </c>
      <c r="AV55" s="264">
        <f>_xlfn.XLOOKUP(FMS_Ranking4[[#This Row],[FMS ID]],FMS_Input[FMS_ID],FMS_Input[REMLWC100])</f>
        <v>0</v>
      </c>
      <c r="AW55" s="264">
        <f>_xlfn.XLOOKUP(FMS_Ranking4[[#This Row],[FMS ID]],FMS_Input[FMS_ID],FMS_Input[REMROADCLS])</f>
        <v>0</v>
      </c>
      <c r="AX55" s="264">
        <f>_xlfn.XLOOKUP(FMS_Ranking4[[#This Row],[FMS ID]],FMS_Input[FMS_ID],FMS_Input[REMFRMACRE100])</f>
        <v>0</v>
      </c>
      <c r="AY55" s="258">
        <f>_xlfn.XLOOKUP(FMS_Ranking4[[#This Row],[FMS ID]],FMS_Input[FMS_ID],FMS_Input[COSTSTRUCT])</f>
        <v>0</v>
      </c>
      <c r="AZ55" s="253">
        <f>_xlfn.XLOOKUP(FMS_Ranking4[[#This Row],[FMS ID]],FMS_Input[FMS_ID],FMS_Input[NATURE])</f>
        <v>0</v>
      </c>
      <c r="BA55" s="262">
        <f>(((FMS_Ranking4[[#This Row],[% NBS Raw]]/AZ$4)*100)*AZ$5)</f>
        <v>0</v>
      </c>
      <c r="BB55" s="251" t="str">
        <f>_xlfn.XLOOKUP(FMS_Ranking4[[#This Row],[FMS ID]],FMS_Input[FMS_ID],FMS_Input[WATER_SUP])</f>
        <v>No</v>
      </c>
      <c r="BC55" s="265">
        <f>IF(FMS_Ranking4[[#This Row],[Water Supply Raw]]="Yes",10,0)</f>
        <v>0</v>
      </c>
      <c r="BD55" s="266">
        <f>_xlfn.XLOOKUP(FMS_Ranking4[[#This Row],[FMS Type]],FMS_TYPE[FMS_Type],FMS_TYPE[Score])</f>
        <v>8</v>
      </c>
      <c r="BE55" s="267">
        <f>FMS_Ranking4[[#This Row],[FMS_Type Score]]*$BD$5*10</f>
        <v>2</v>
      </c>
      <c r="BF5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22.150531966232357</v>
      </c>
      <c r="BG55" s="293">
        <f>_xlfn.RANK.EQ(BF55,$BF$8:$BF$870,0)+COUNTIF($BF$8:BF55,BF55)-1</f>
        <v>14</v>
      </c>
      <c r="BH55" s="294">
        <f>(((FMS_Ranking4[[#This Row],[Structures Removed Raw]]/AK$4)*100)*AK$5)+(((FMS_Ranking4[[#This Row],[Removed Pop Raw]]/AR$4)*100)*AR$5)</f>
        <v>0</v>
      </c>
      <c r="BI5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24.150531966232357</v>
      </c>
      <c r="BJ55" s="251">
        <f>_xlfn.RANK.EQ(FMS_Ranking4[[#This Row],[Total Score 
(with linear
normalization)]],FMS_Ranking4[Total Score 
(with linear
normalization)],0)</f>
        <v>14</v>
      </c>
      <c r="BK55" s="251" t="e">
        <f>_xlfn.XLOOKUP(FMS_Ranking4[[#This Row],[FMS ID]],#REF!,#REF!)</f>
        <v>#REF!</v>
      </c>
      <c r="BL5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43.68501718142798</v>
      </c>
      <c r="BM55" s="324">
        <f>FMS_Ranking4[[#This Row],[ArcSinh Score Based on Normalized Reported Factors]]+FMS_Ranking4[[#This Row],[% NBS Score (Normalized)]]+(FMS_Ranking4[[#This Row],[Water Supply Score (Normalized)]]*10*$BB$5)+FMS_Ranking4[[#This Row],[FMS_Type Score Weighted]]</f>
        <v>45.68501718142798</v>
      </c>
      <c r="BN55" s="251">
        <f>_xlfn.RANK.EQ(FMS_Ranking4[[#This Row],[Total Score (with ArcSinh normalization of select criteria)]],FMS_Ranking4[Total Score (with ArcSinh normalization of select criteria)],0)</f>
        <v>48</v>
      </c>
      <c r="BO55" s="270" t="str">
        <f>_xlfn.XLOOKUP(FMS_Ranking4[[#This Row],[FMS ID]],FMS_Input[FMS_ID],FMS_Input[FMS_RANK_YEAR])</f>
        <v>2023 Amended Plan</v>
      </c>
      <c r="BP55" s="324">
        <f>_xlfn.XLOOKUP(FMS_Ranking4[[#This Row],[FMS ID]],Prev_Rank[FMS ID],Prev_Rank[Prev Rank])</f>
        <v>42</v>
      </c>
      <c r="BQ55" s="251" t="e">
        <f>_xlfn.XLOOKUP(FMS_Ranking4[[#This Row],[FMS ID]],#REF!,#REF!)</f>
        <v>#REF!</v>
      </c>
      <c r="BR55" s="199" t="e">
        <f>SUM(#REF!,#REF!,#REF!,#REF!,#REF!,#REF!,#REF!,#REF!,#REF!,FMS_Ranking4[[#This Row],[ArcSinh Res struct removed 0-10]],#REF!)</f>
        <v>#REF!</v>
      </c>
      <c r="BS55" s="199" t="e">
        <f>FMS_Ranking4[[#This Row],[Log Score Based on Normalized Reported Factors]]+FMS_Ranking4[[#This Row],[% NBS Score (Normalized)]]+(FMS_Ranking4[[#This Row],[Water Supply Score (Normalized)]]*10*$BB$5)+(FMS_Ranking4[[#This Row],[FMS_Type Score Weighted]])</f>
        <v>#REF!</v>
      </c>
      <c r="BT55" s="200" t="e">
        <f>_xlfn.RANK.EQ(FMS_Ranking4[[#This Row],[Log Total Score]],FMS_Ranking4[Log Total Score],0)</f>
        <v>#REF!</v>
      </c>
      <c r="BU55" s="200" t="e">
        <f>_xlfn.XLOOKUP(FMS_Ranking4[[#This Row],[FMS ID]],#REF!,#REF!)</f>
        <v>#REF!</v>
      </c>
      <c r="BV55" s="200">
        <f>FMS_Ranking4[[#This Row],[Region Number]]</f>
        <v>15</v>
      </c>
      <c r="BW55" s="200">
        <f>FMS_Ranking4[[#This Row],[Rank (with ArcSinh normalization of select criteria)]]-FMS_Ranking4[[#This Row],[Rank
(with linear
normalization)]]</f>
        <v>34</v>
      </c>
      <c r="BX55" s="200" t="e">
        <f>FMS_Ranking4[[#This Row],[Log Rank]]-FMS_Ranking4[[#This Row],[Rank
(with linear
normalization)]]</f>
        <v>#REF!</v>
      </c>
      <c r="BY55" s="200" t="str">
        <f>IF(FMS_Ranking4[[#This Row],[FMS Type]]="Flood Measurement and Warning",FMS_Ranking4[[#This Row],[Rank (with ArcSinh normalization of select criteria)]],"")</f>
        <v/>
      </c>
      <c r="BZ55" s="200">
        <f>IF(FMS_Ranking4[[#This Row],[FMS Type]]="Regulatory and Guidance",FMS_Ranking4[[#This Row],[Rank (with ArcSinh normalization of select criteria)]],"")</f>
        <v>48</v>
      </c>
      <c r="CA55" s="200" t="str">
        <f>IF(FMS_Ranking4[[#This Row],[FMS Type]]="Education and Outreach",FMS_Ranking4[[#This Row],[Rank (with ArcSinh normalization of select criteria)]],"")</f>
        <v/>
      </c>
      <c r="CB55" s="200" t="str">
        <f>IF(FMS_Ranking4[[#This Row],[FMS Type]]="Property Acquisition and Structural Elevation",FMS_Ranking4[[#This Row],[Rank (with ArcSinh normalization of select criteria)]],"")</f>
        <v/>
      </c>
      <c r="CC55" s="200" t="str">
        <f>IF(FMS_Ranking4[[#This Row],[FMS Type]]="Infrastructure Projects",FMS_Ranking4[[#This Row],[Rank (with ArcSinh normalization of select criteria)]],"")</f>
        <v/>
      </c>
      <c r="CD55" s="200" t="str">
        <f>IF(FMS_Ranking4[[#This Row],[FMS Type]]="Other",FMS_Ranking4[[#This Row],[Rank (with ArcSinh normalization of select criteria)]],"")</f>
        <v/>
      </c>
      <c r="CE55" s="201"/>
    </row>
    <row r="56" spans="2:83" ht="45" x14ac:dyDescent="0.25">
      <c r="B56" s="341" t="s">
        <v>1757</v>
      </c>
      <c r="C56" s="246">
        <f>_xlfn.XLOOKUP(FMS_Ranking4[[#This Row],[FMS ID]],FMS_Input[FMS_ID],FMS_Input[RFPG_NUM])</f>
        <v>2</v>
      </c>
      <c r="D56" s="309" t="str">
        <f>_xlfn.XLOOKUP(FMS_Ranking4[[#This Row],[FMS ID]],FMS_Input[FMS_ID],FMS_Input[FMS_NAME])</f>
        <v>Regional Flood Warning System Study</v>
      </c>
      <c r="E56" s="308" t="str">
        <f>_xlfn.XLOOKUP(FMS_Ranking4[[#This Row],[FMS ID]],FMS_Input[FMS_ID],FMS_Input[SPONSOR])</f>
        <v>Ark - Tex Council of Goverments</v>
      </c>
      <c r="F56" s="309" t="str">
        <f>_xlfn.XLOOKUP(FMS_Ranking4[[#This Row],[FMS ID]],Sponsor[FMS_ID],Sponsor[SPONSOR NAME])</f>
        <v>Ark - Tex Council of Goverments</v>
      </c>
      <c r="G56" s="309" t="str">
        <f>_xlfn.XLOOKUP(FMS_Ranking4[[#This Row],[FMS ID]],FMS_Input[FMS_ID],FMS_Input[FMS_DESCR])</f>
        <v>Evaluate the potential for future flood warning systems in the region</v>
      </c>
      <c r="H56" s="248" t="str">
        <f>_xlfn.XLOOKUP(FMS_Ranking4[[#This Row],[FMS ID]],FMS_Input[FMS_ID],FMS_Input[FMS_TYPE])</f>
        <v>Flood Measurement and Warning</v>
      </c>
      <c r="I56" s="249">
        <f>_xlfn.XLOOKUP(FMS_Ranking4[[#This Row],[FMS ID]],FMS_Input[FMS_ID],FMS_Input[NRNC_COST])</f>
        <v>250000</v>
      </c>
      <c r="J56" s="250">
        <f>_xlfn.XLOOKUP(FMS_Ranking4[[#This Row],[FMS ID]],FMS_Input[FMS_ID],FMS_Input[FMS_COST])</f>
        <v>250000</v>
      </c>
      <c r="K56" s="251" t="str">
        <f>_xlfn.XLOOKUP(FMS_Ranking4[[#This Row],[FMS ID]],FMS_Input[FMS_ID],FMS_Input[EMER_NEED])</f>
        <v>No</v>
      </c>
      <c r="L56" s="252">
        <f t="shared" si="0"/>
        <v>0</v>
      </c>
      <c r="M56" s="253">
        <f>_xlfn.XLOOKUP(FMS_Ranking4[[#This Row],[FMS ID]],FMS_Input[FMS_ID],FMS_Input[STRUCT_100])</f>
        <v>13438</v>
      </c>
      <c r="N56" s="255">
        <f>(ASINH(FMS_Ranking4[[#This Row],[Structure at Risk Raw]]))*(10)/(ASINH(M$4))</f>
        <v>8.0179238983697285</v>
      </c>
      <c r="O56" s="256">
        <f>FMS_Ranking4[[#This Row],[Structures at risk, ArcSinh (0-10)]]*M$5*10</f>
        <v>8.0179238983697285</v>
      </c>
      <c r="P56" s="253">
        <f>_xlfn.XLOOKUP(FMS_Ranking4[[#This Row],[FMS ID]],FMS_Input[FMS_ID],FMS_Input[RES_STRUCT100])</f>
        <v>8069</v>
      </c>
      <c r="Q56" s="257">
        <f>ASINH(FMS_Ranking4[[#This Row],[Res Structure Raw]])/Q$4*P$5*100</f>
        <v>0</v>
      </c>
      <c r="R56" s="253">
        <f>_xlfn.XLOOKUP(FMS_Ranking4[[#This Row],[FMS ID]],FMS_Input[FMS_ID],FMS_Input[POP100])</f>
        <v>51360</v>
      </c>
      <c r="S56" s="259">
        <f>(ASINH(FMS_Ranking4[[#This Row],[Pop at Risk Raw]]))*(10)/(ASINH(R$4))</f>
        <v>7.966569611835979</v>
      </c>
      <c r="T56" s="256">
        <f>FMS_Ranking4[[#This Row],[Population at risk, ArcSinh (0-10)]]*R$5*10</f>
        <v>7.9665696118359799</v>
      </c>
      <c r="U56" s="253">
        <f>_xlfn.XLOOKUP(FMS_Ranking4[[#This Row],[FMS ID]],FMS_Input[FMS_ID],FMS_Input[CRITFAC100])</f>
        <v>159</v>
      </c>
      <c r="V56" s="259">
        <f>(ASINH(FMS_Ranking4[[#This Row],[Critical Facilities Raw]]))*(10)/(ASINH(U$4))</f>
        <v>6.8209214983693363</v>
      </c>
      <c r="W56" s="256">
        <f>FMS_Ranking4[[#This Row],[Critical facilities at risk, ArcSinh (0-10)]]*U$5*10</f>
        <v>6.8209214983693371</v>
      </c>
      <c r="X56" s="253">
        <f>_xlfn.XLOOKUP(FMS_Ranking4[[#This Row],[FMS ID]],FMS_Input[FMS_ID],FMS_Input[LWC])</f>
        <v>116</v>
      </c>
      <c r="Y56" s="259">
        <f>(ASINH(FMS_Ranking4[[#This Row],[LWC Raw]]))*(10)/(ASINH(X$4))</f>
        <v>7.3789260532265324</v>
      </c>
      <c r="Z56" s="256">
        <f>FMS_Ranking4[[#This Row],[LWC, ArcSInh (0-10)]]*X$5*10</f>
        <v>7.3789260532265333</v>
      </c>
      <c r="AA56" s="253">
        <f>_xlfn.XLOOKUP(FMS_Ranking4[[#This Row],[FMS ID]],FMS_Input[FMS_ID],FMS_Input[ROADCLS])</f>
        <v>0</v>
      </c>
      <c r="AB56" s="255">
        <f>(ASINH(FMS_Ranking4[[#This Row],[Road Closures Raw]]))*(10)/(ASINH(AA$4))</f>
        <v>0</v>
      </c>
      <c r="AC56" s="256">
        <f>FMS_Ranking4[[#This Row],[Road closures, ArcSinh (0-10)]]*AA$5*10</f>
        <v>0</v>
      </c>
      <c r="AD56" s="253">
        <f>_xlfn.XLOOKUP(FMS_Ranking4[[#This Row],[FMS ID]],FMS_Input[FMS_ID],FMS_Input[ROAD_MILES100])</f>
        <v>1924</v>
      </c>
      <c r="AE56" s="259">
        <f>(ASINH(FMS_Ranking4[[#This Row],[Road Miles Raw]]))*(10)/(ASINH(AD$4))</f>
        <v>8.7978880297503288</v>
      </c>
      <c r="AF56" s="256">
        <f>FMS_Ranking4[[#This Row],[Length of roads at risk, ArcSinh (0-10)]]*AD$5*10</f>
        <v>8.7978880297503288</v>
      </c>
      <c r="AG56" s="253">
        <f>_xlfn.XLOOKUP(FMS_Ranking4[[#This Row],[FMS ID]],FMS_Input[FMS_ID],FMS_Input[FARMACRE100])</f>
        <v>180986.3125</v>
      </c>
      <c r="AH56" s="255">
        <f>(ASINH(FMS_Ranking4[[#This Row],[Ag Land Raw]]))*(10)/(ASINH(AG$4))</f>
        <v>8.3142036033862752</v>
      </c>
      <c r="AI56" s="260">
        <f>FMS_Ranking4[[#This Row],[Farm &amp; ranch land, ArcSinh (0-10)]]*AG$5*10</f>
        <v>4.1571018016931376</v>
      </c>
      <c r="AJ56" s="258">
        <f>_xlfn.XLOOKUP(FMS_Ranking4[[#This Row],[FMS ID]],FMS_Input[FMS_ID],FMS_Input[REDSTRUCT100])</f>
        <v>0</v>
      </c>
      <c r="AK56" s="253">
        <f>_xlfn.XLOOKUP(FMS_Ranking4[[#This Row],[FMS ID]],FMS_Input[FMS_ID],FMS_Input[REMSTRC100])</f>
        <v>0</v>
      </c>
      <c r="AL56" s="259">
        <f>(ASINH(FMS_Ranking4[[#This Row],[Structures Removed Raw]]))*(10)/(ASINH(AK$4))</f>
        <v>0</v>
      </c>
      <c r="AM56" s="262">
        <f>FMS_Ranking4[[#This Row],[Structures removed, ArcSinh (0-10)]]*AK$5*10</f>
        <v>0</v>
      </c>
      <c r="AN56" s="253">
        <f>_xlfn.XLOOKUP(FMS_Ranking4[[#This Row],[FMS ID]],FMS_Input[FMS_ID],FMS_Input[REMRESSTRC100])</f>
        <v>0</v>
      </c>
      <c r="AO56" s="261">
        <f>FMS_Ranking4[[#This Row],[ArcSinh Res struct removed 0-10]]*AN$5*10</f>
        <v>0</v>
      </c>
      <c r="AP56" s="260">
        <f>ASINH(FMS_Ranking4[[#This Row],[Residential Structures Removed Raw]])/AP$4*AN$5*100</f>
        <v>0</v>
      </c>
      <c r="AQ56" s="254">
        <f>(ASINH(FMS_Ranking4[[#This Row],[Residential Structures Removed Raw]]))*(10)/(ASINH(AN$4))</f>
        <v>0</v>
      </c>
      <c r="AR56" s="253">
        <f>_xlfn.XLOOKUP(FMS_Ranking4[[#This Row],[FMS ID]],FMS_Input[FMS_ID],FMS_Input[REMPOP100])</f>
        <v>0</v>
      </c>
      <c r="AS56" s="259">
        <f>(ASINH(FMS_Ranking4[[#This Row],[Removed Pop Raw]]))*(10)/(ASINH(AR$4))</f>
        <v>0</v>
      </c>
      <c r="AT56" s="262">
        <f>FMS_Ranking4[[#This Row],[Removed population, ArcSinh (0-10)]]*AR$5*10</f>
        <v>0</v>
      </c>
      <c r="AU56" s="264">
        <f>_xlfn.XLOOKUP(FMS_Ranking4[[#This Row],[FMS ID]],FMS_Input[FMS_ID],FMS_Input[REMCRITFAC100])</f>
        <v>0</v>
      </c>
      <c r="AV56" s="264">
        <f>_xlfn.XLOOKUP(FMS_Ranking4[[#This Row],[FMS ID]],FMS_Input[FMS_ID],FMS_Input[REMLWC100])</f>
        <v>0</v>
      </c>
      <c r="AW56" s="264">
        <f>_xlfn.XLOOKUP(FMS_Ranking4[[#This Row],[FMS ID]],FMS_Input[FMS_ID],FMS_Input[REMROADCLS])</f>
        <v>0</v>
      </c>
      <c r="AX56" s="264">
        <f>_xlfn.XLOOKUP(FMS_Ranking4[[#This Row],[FMS ID]],FMS_Input[FMS_ID],FMS_Input[REMFRMACRE100])</f>
        <v>0</v>
      </c>
      <c r="AY56" s="258">
        <f>_xlfn.XLOOKUP(FMS_Ranking4[[#This Row],[FMS ID]],FMS_Input[FMS_ID],FMS_Input[COSTSTRUCT])</f>
        <v>0</v>
      </c>
      <c r="AZ56" s="253">
        <f>_xlfn.XLOOKUP(FMS_Ranking4[[#This Row],[FMS ID]],FMS_Input[FMS_ID],FMS_Input[NATURE])</f>
        <v>0</v>
      </c>
      <c r="BA56" s="262">
        <f>(((FMS_Ranking4[[#This Row],[% NBS Raw]]/AZ$4)*100)*AZ$5)</f>
        <v>0</v>
      </c>
      <c r="BB56" s="251" t="str">
        <f>_xlfn.XLOOKUP(FMS_Ranking4[[#This Row],[FMS ID]],FMS_Input[FMS_ID],FMS_Input[WATER_SUP])</f>
        <v>No</v>
      </c>
      <c r="BC56" s="265">
        <f>IF(FMS_Ranking4[[#This Row],[Water Supply Raw]]="Yes",10,0)</f>
        <v>0</v>
      </c>
      <c r="BD56" s="266">
        <f>_xlfn.XLOOKUP(FMS_Ranking4[[#This Row],[FMS Type]],FMS_TYPE[FMS_Type],FMS_TYPE[Score])</f>
        <v>10</v>
      </c>
      <c r="BE56" s="267">
        <f>FMS_Ranking4[[#This Row],[FMS_Type Score]]*$BD$5*10</f>
        <v>2.5</v>
      </c>
      <c r="BF5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7.065797261924665</v>
      </c>
      <c r="BG56" s="271">
        <f>_xlfn.RANK.EQ(BF56,$BF$8:$BF$870,0)+COUNTIF($BF$8:BF56,BF56)-1</f>
        <v>51</v>
      </c>
      <c r="BH56" s="268">
        <f>(((FMS_Ranking4[[#This Row],[Structures Removed Raw]]/AK$4)*100)*AK$5)+(((FMS_Ranking4[[#This Row],[Removed Pop Raw]]/AR$4)*100)*AR$5)</f>
        <v>0</v>
      </c>
      <c r="BI5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9.565797261924665</v>
      </c>
      <c r="BJ56" s="205">
        <f>_xlfn.RANK.EQ(FMS_Ranking4[[#This Row],[Total Score 
(with linear
normalization)]],FMS_Ranking4[Total Score 
(with linear
normalization)],0)</f>
        <v>55</v>
      </c>
      <c r="BK56" s="205" t="e">
        <f>_xlfn.XLOOKUP(FMS_Ranking4[[#This Row],[FMS ID]],#REF!,#REF!)</f>
        <v>#REF!</v>
      </c>
      <c r="BL5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43.139330893245045</v>
      </c>
      <c r="BM56" s="272">
        <f>FMS_Ranking4[[#This Row],[ArcSinh Score Based on Normalized Reported Factors]]+FMS_Ranking4[[#This Row],[% NBS Score (Normalized)]]+(FMS_Ranking4[[#This Row],[Water Supply Score (Normalized)]]*10*$BB$5)+FMS_Ranking4[[#This Row],[FMS_Type Score Weighted]]</f>
        <v>45.639330893245045</v>
      </c>
      <c r="BN56" s="205">
        <f>_xlfn.RANK.EQ(FMS_Ranking4[[#This Row],[Total Score (with ArcSinh normalization of select criteria)]],FMS_Ranking4[Total Score (with ArcSinh normalization of select criteria)],0)</f>
        <v>49</v>
      </c>
      <c r="BO56" s="270" t="str">
        <f>_xlfn.XLOOKUP(FMS_Ranking4[[#This Row],[FMS ID]],FMS_Input[FMS_ID],FMS_Input[FMS_RANK_YEAR])</f>
        <v>2023 Amended Plan</v>
      </c>
      <c r="BP56" s="204">
        <f>_xlfn.XLOOKUP(FMS_Ranking4[[#This Row],[FMS ID]],Prev_Rank[FMS ID],Prev_Rank[Prev Rank])</f>
        <v>46</v>
      </c>
      <c r="BQ56" s="205" t="e">
        <f>_xlfn.XLOOKUP(FMS_Ranking4[[#This Row],[FMS ID]],#REF!,#REF!)</f>
        <v>#REF!</v>
      </c>
      <c r="BR56" s="199" t="e">
        <f>SUM(#REF!,#REF!,#REF!,#REF!,#REF!,#REF!,#REF!,#REF!,#REF!,FMS_Ranking4[[#This Row],[ArcSinh Res struct removed 0-10]],#REF!)</f>
        <v>#REF!</v>
      </c>
      <c r="BS56" s="199" t="e">
        <f>FMS_Ranking4[[#This Row],[Log Score Based on Normalized Reported Factors]]+FMS_Ranking4[[#This Row],[% NBS Score (Normalized)]]+(FMS_Ranking4[[#This Row],[Water Supply Score (Normalized)]]*10*$BB$5)+(FMS_Ranking4[[#This Row],[FMS_Type Score Weighted]])</f>
        <v>#REF!</v>
      </c>
      <c r="BT56" s="200" t="e">
        <f>_xlfn.RANK.EQ(FMS_Ranking4[[#This Row],[Log Total Score]],FMS_Ranking4[Log Total Score],0)</f>
        <v>#REF!</v>
      </c>
      <c r="BU56" s="200" t="e">
        <f>_xlfn.XLOOKUP(FMS_Ranking4[[#This Row],[FMS ID]],#REF!,#REF!)</f>
        <v>#REF!</v>
      </c>
      <c r="BV56" s="200">
        <f>FMS_Ranking4[[#This Row],[Region Number]]</f>
        <v>2</v>
      </c>
      <c r="BW56" s="200">
        <f>FMS_Ranking4[[#This Row],[Rank (with ArcSinh normalization of select criteria)]]-FMS_Ranking4[[#This Row],[Rank
(with linear
normalization)]]</f>
        <v>-6</v>
      </c>
      <c r="BX56" s="200" t="e">
        <f>FMS_Ranking4[[#This Row],[Log Rank]]-FMS_Ranking4[[#This Row],[Rank
(with linear
normalization)]]</f>
        <v>#REF!</v>
      </c>
      <c r="BY56" s="200">
        <f>IF(FMS_Ranking4[[#This Row],[FMS Type]]="Flood Measurement and Warning",FMS_Ranking4[[#This Row],[Rank (with ArcSinh normalization of select criteria)]],"")</f>
        <v>49</v>
      </c>
      <c r="BZ56" s="200" t="str">
        <f>IF(FMS_Ranking4[[#This Row],[FMS Type]]="Regulatory and Guidance",FMS_Ranking4[[#This Row],[Rank (with ArcSinh normalization of select criteria)]],"")</f>
        <v/>
      </c>
      <c r="CA56" s="200" t="str">
        <f>IF(FMS_Ranking4[[#This Row],[FMS Type]]="Education and Outreach",FMS_Ranking4[[#This Row],[Rank (with ArcSinh normalization of select criteria)]],"")</f>
        <v/>
      </c>
      <c r="CB56" s="200" t="str">
        <f>IF(FMS_Ranking4[[#This Row],[FMS Type]]="Property Acquisition and Structural Elevation",FMS_Ranking4[[#This Row],[Rank (with ArcSinh normalization of select criteria)]],"")</f>
        <v/>
      </c>
      <c r="CC56" s="200" t="str">
        <f>IF(FMS_Ranking4[[#This Row],[FMS Type]]="Infrastructure Projects",FMS_Ranking4[[#This Row],[Rank (with ArcSinh normalization of select criteria)]],"")</f>
        <v/>
      </c>
      <c r="CD56" s="200" t="str">
        <f>IF(FMS_Ranking4[[#This Row],[FMS Type]]="Other",FMS_Ranking4[[#This Row],[Rank (with ArcSinh normalization of select criteria)]],"")</f>
        <v/>
      </c>
      <c r="CE56" s="201"/>
    </row>
    <row r="57" spans="2:83" ht="60" x14ac:dyDescent="0.25">
      <c r="B57" s="341" t="s">
        <v>154</v>
      </c>
      <c r="C57" s="246">
        <f>_xlfn.XLOOKUP(FMS_Ranking4[[#This Row],[FMS ID]],FMS_Input[FMS_ID],FMS_Input[RFPG_NUM])</f>
        <v>6</v>
      </c>
      <c r="D57" s="309" t="str">
        <f>_xlfn.XLOOKUP(FMS_Ranking4[[#This Row],[FMS ID]],FMS_Input[FMS_ID],FMS_Input[FMS_NAME])</f>
        <v>Liberty County Floodplain Acquistion</v>
      </c>
      <c r="E57" s="308" t="str">
        <f>_xlfn.XLOOKUP(FMS_Ranking4[[#This Row],[FMS ID]],FMS_Input[FMS_ID],FMS_Input[SPONSOR])</f>
        <v>00000033</v>
      </c>
      <c r="F57" s="309" t="str">
        <f>_xlfn.XLOOKUP(FMS_Ranking4[[#This Row],[FMS ID]],Sponsor[FMS_ID],Sponsor[SPONSOR NAME])</f>
        <v>Liberty</v>
      </c>
      <c r="G57" s="309" t="str">
        <f>_xlfn.XLOOKUP(FMS_Ranking4[[#This Row],[FMS ID]],FMS_Input[FMS_ID],FMS_Input[FMS_DESCR])</f>
        <v>Acquisition of property in the floodplain.</v>
      </c>
      <c r="H57" s="248" t="str">
        <f>_xlfn.XLOOKUP(FMS_Ranking4[[#This Row],[FMS ID]],FMS_Input[FMS_ID],FMS_Input[FMS_TYPE])</f>
        <v>Property Acquisition and Structural Elevation</v>
      </c>
      <c r="I57" s="249">
        <f>_xlfn.XLOOKUP(FMS_Ranking4[[#This Row],[FMS ID]],FMS_Input[FMS_ID],FMS_Input[NRNC_COST])</f>
        <v>75000</v>
      </c>
      <c r="J57" s="250">
        <f>_xlfn.XLOOKUP(FMS_Ranking4[[#This Row],[FMS ID]],FMS_Input[FMS_ID],FMS_Input[FMS_COST])</f>
        <v>750000</v>
      </c>
      <c r="K57" s="251" t="str">
        <f>_xlfn.XLOOKUP(FMS_Ranking4[[#This Row],[FMS ID]],FMS_Input[FMS_ID],FMS_Input[EMER_NEED])</f>
        <v>Yes</v>
      </c>
      <c r="L57" s="252">
        <f t="shared" si="0"/>
        <v>1</v>
      </c>
      <c r="M57" s="253">
        <f>_xlfn.XLOOKUP(FMS_Ranking4[[#This Row],[FMS ID]],FMS_Input[FMS_ID],FMS_Input[STRUCT_100])</f>
        <v>48570</v>
      </c>
      <c r="N57" s="255">
        <f>(ASINH(FMS_Ranking4[[#This Row],[Structure at Risk Raw]]))*(10)/(ASINH(M$4))</f>
        <v>9.0280619734998471</v>
      </c>
      <c r="O57" s="256">
        <f>FMS_Ranking4[[#This Row],[Structures at risk, ArcSinh (0-10)]]*M$5*10</f>
        <v>9.0280619734998488</v>
      </c>
      <c r="P57" s="253">
        <f>_xlfn.XLOOKUP(FMS_Ranking4[[#This Row],[FMS ID]],FMS_Input[FMS_ID],FMS_Input[RES_STRUCT100])</f>
        <v>42185</v>
      </c>
      <c r="Q57" s="257">
        <f>ASINH(FMS_Ranking4[[#This Row],[Res Structure Raw]])/Q$4*P$5*100</f>
        <v>0</v>
      </c>
      <c r="R57" s="253">
        <f>_xlfn.XLOOKUP(FMS_Ranking4[[#This Row],[FMS ID]],FMS_Input[FMS_ID],FMS_Input[POP100])</f>
        <v>102755</v>
      </c>
      <c r="S57" s="259">
        <f>(ASINH(FMS_Ranking4[[#This Row],[Pop at Risk Raw]]))*(10)/(ASINH(R$4))</f>
        <v>8.4453246512532214</v>
      </c>
      <c r="T57" s="256">
        <f>FMS_Ranking4[[#This Row],[Population at risk, ArcSinh (0-10)]]*R$5*10</f>
        <v>8.4453246512532214</v>
      </c>
      <c r="U57" s="253">
        <f>_xlfn.XLOOKUP(FMS_Ranking4[[#This Row],[FMS ID]],FMS_Input[FMS_ID],FMS_Input[CRITFAC100])</f>
        <v>681</v>
      </c>
      <c r="V57" s="259">
        <f>(ASINH(FMS_Ranking4[[#This Row],[Critical Facilities Raw]]))*(10)/(ASINH(U$4))</f>
        <v>8.542882528160149</v>
      </c>
      <c r="W57" s="256">
        <f>FMS_Ranking4[[#This Row],[Critical facilities at risk, ArcSinh (0-10)]]*U$5*10</f>
        <v>8.542882528160149</v>
      </c>
      <c r="X57" s="253">
        <f>_xlfn.XLOOKUP(FMS_Ranking4[[#This Row],[FMS ID]],FMS_Input[FMS_ID],FMS_Input[LWC])</f>
        <v>30</v>
      </c>
      <c r="Y57" s="259">
        <f>(ASINH(FMS_Ranking4[[#This Row],[LWC Raw]]))*(10)/(ASINH(X$4))</f>
        <v>5.5471394138756107</v>
      </c>
      <c r="Z57" s="256">
        <f>FMS_Ranking4[[#This Row],[LWC, ArcSInh (0-10)]]*X$5*10</f>
        <v>5.5471394138756116</v>
      </c>
      <c r="AA57" s="253">
        <f>_xlfn.XLOOKUP(FMS_Ranking4[[#This Row],[FMS ID]],FMS_Input[FMS_ID],FMS_Input[ROADCLS])</f>
        <v>30</v>
      </c>
      <c r="AB57" s="255">
        <f>(ASINH(FMS_Ranking4[[#This Row],[Road Closures Raw]]))*(10)/(ASINH(AA$4))</f>
        <v>4.2641732294523065</v>
      </c>
      <c r="AC57" s="256">
        <f>FMS_Ranking4[[#This Row],[Road closures, ArcSinh (0-10)]]*AA$5*10</f>
        <v>2.1320866147261532</v>
      </c>
      <c r="AD57" s="253">
        <f>_xlfn.XLOOKUP(FMS_Ranking4[[#This Row],[FMS ID]],FMS_Input[FMS_ID],FMS_Input[ROAD_MILES100])</f>
        <v>910</v>
      </c>
      <c r="AE57" s="259">
        <f>(ASINH(FMS_Ranking4[[#This Row],[Road Miles Raw]]))*(10)/(ASINH(AD$4))</f>
        <v>7.9999619139128653</v>
      </c>
      <c r="AF57" s="256">
        <f>FMS_Ranking4[[#This Row],[Length of roads at risk, ArcSinh (0-10)]]*AD$5*10</f>
        <v>7.9999619139128653</v>
      </c>
      <c r="AG57" s="253">
        <f>_xlfn.XLOOKUP(FMS_Ranking4[[#This Row],[FMS ID]],FMS_Input[FMS_ID],FMS_Input[FARMACRE100])</f>
        <v>3412.02490234375</v>
      </c>
      <c r="AH57" s="255">
        <f>(ASINH(FMS_Ranking4[[#This Row],[Ag Land Raw]]))*(10)/(ASINH(AG$4))</f>
        <v>5.7346405897921704</v>
      </c>
      <c r="AI57" s="260">
        <f>FMS_Ranking4[[#This Row],[Farm &amp; ranch land, ArcSinh (0-10)]]*AG$5*10</f>
        <v>2.8673202948960852</v>
      </c>
      <c r="AJ57" s="258">
        <f>_xlfn.XLOOKUP(FMS_Ranking4[[#This Row],[FMS ID]],FMS_Input[FMS_ID],FMS_Input[REDSTRUCT100])</f>
        <v>0</v>
      </c>
      <c r="AK57" s="253">
        <f>_xlfn.XLOOKUP(FMS_Ranking4[[#This Row],[FMS ID]],FMS_Input[FMS_ID],FMS_Input[REMSTRC100])</f>
        <v>0</v>
      </c>
      <c r="AL57" s="259">
        <f>(ASINH(FMS_Ranking4[[#This Row],[Structures Removed Raw]]))*(10)/(ASINH(AK$4))</f>
        <v>0</v>
      </c>
      <c r="AM57" s="262">
        <f>FMS_Ranking4[[#This Row],[Structures removed, ArcSinh (0-10)]]*AK$5*10</f>
        <v>0</v>
      </c>
      <c r="AN57" s="253">
        <f>_xlfn.XLOOKUP(FMS_Ranking4[[#This Row],[FMS ID]],FMS_Input[FMS_ID],FMS_Input[REMRESSTRC100])</f>
        <v>0</v>
      </c>
      <c r="AO57" s="261">
        <f>FMS_Ranking4[[#This Row],[ArcSinh Res struct removed 0-10]]*AN$5*10</f>
        <v>0</v>
      </c>
      <c r="AP57" s="260">
        <f>ASINH(FMS_Ranking4[[#This Row],[Residential Structures Removed Raw]])/AP$4*AN$5*100</f>
        <v>0</v>
      </c>
      <c r="AQ57" s="254">
        <f>(ASINH(FMS_Ranking4[[#This Row],[Residential Structures Removed Raw]]))*(10)/(ASINH(AN$4))</f>
        <v>0</v>
      </c>
      <c r="AR57" s="253">
        <f>_xlfn.XLOOKUP(FMS_Ranking4[[#This Row],[FMS ID]],FMS_Input[FMS_ID],FMS_Input[REMPOP100])</f>
        <v>0</v>
      </c>
      <c r="AS57" s="259">
        <f>(ASINH(FMS_Ranking4[[#This Row],[Removed Pop Raw]]))*(10)/(ASINH(AR$4))</f>
        <v>0</v>
      </c>
      <c r="AT57" s="262">
        <f>FMS_Ranking4[[#This Row],[Removed population, ArcSinh (0-10)]]*AR$5*10</f>
        <v>0</v>
      </c>
      <c r="AU57" s="264">
        <f>_xlfn.XLOOKUP(FMS_Ranking4[[#This Row],[FMS ID]],FMS_Input[FMS_ID],FMS_Input[REMCRITFAC100])</f>
        <v>0</v>
      </c>
      <c r="AV57" s="264">
        <f>_xlfn.XLOOKUP(FMS_Ranking4[[#This Row],[FMS ID]],FMS_Input[FMS_ID],FMS_Input[REMLWC100])</f>
        <v>0</v>
      </c>
      <c r="AW57" s="264">
        <f>_xlfn.XLOOKUP(FMS_Ranking4[[#This Row],[FMS ID]],FMS_Input[FMS_ID],FMS_Input[REMROADCLS])</f>
        <v>0</v>
      </c>
      <c r="AX57" s="264">
        <f>_xlfn.XLOOKUP(FMS_Ranking4[[#This Row],[FMS ID]],FMS_Input[FMS_ID],FMS_Input[REMFRMACRE100])</f>
        <v>0</v>
      </c>
      <c r="AY57" s="258">
        <f>_xlfn.XLOOKUP(FMS_Ranking4[[#This Row],[FMS ID]],FMS_Input[FMS_ID],FMS_Input[COSTSTRUCT])</f>
        <v>0</v>
      </c>
      <c r="AZ57" s="253">
        <f>_xlfn.XLOOKUP(FMS_Ranking4[[#This Row],[FMS ID]],FMS_Input[FMS_ID],FMS_Input[NATURE])</f>
        <v>0</v>
      </c>
      <c r="BA57" s="262">
        <f>(((FMS_Ranking4[[#This Row],[% NBS Raw]]/AZ$4)*100)*AZ$5)</f>
        <v>0</v>
      </c>
      <c r="BB57" s="251" t="str">
        <f>_xlfn.XLOOKUP(FMS_Ranking4[[#This Row],[FMS ID]],FMS_Input[FMS_ID],FMS_Input[WATER_SUP])</f>
        <v>No</v>
      </c>
      <c r="BC57" s="265">
        <f>IF(FMS_Ranking4[[#This Row],[Water Supply Raw]]="Yes",10,0)</f>
        <v>0</v>
      </c>
      <c r="BD57" s="266">
        <f>_xlfn.XLOOKUP(FMS_Ranking4[[#This Row],[FMS Type]],FMS_TYPE[FMS_Type],FMS_TYPE[Score])</f>
        <v>4</v>
      </c>
      <c r="BE57" s="267">
        <f>FMS_Ranking4[[#This Row],[FMS_Type Score]]*$BD$5*10</f>
        <v>1</v>
      </c>
      <c r="BF5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8.8084908963544812</v>
      </c>
      <c r="BG57" s="271">
        <f>_xlfn.RANK.EQ(BF57,$BF$8:$BF$870,0)+COUNTIF($BF$8:BF57,BF57)-1</f>
        <v>45</v>
      </c>
      <c r="BH57" s="268">
        <f>(((FMS_Ranking4[[#This Row],[Structures Removed Raw]]/AK$4)*100)*AK$5)+(((FMS_Ranking4[[#This Row],[Removed Pop Raw]]/AR$4)*100)*AR$5)</f>
        <v>0</v>
      </c>
      <c r="BI5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9.8084908963544812</v>
      </c>
      <c r="BJ57" s="205">
        <f>_xlfn.RANK.EQ(FMS_Ranking4[[#This Row],[Total Score 
(with linear
normalization)]],FMS_Ranking4[Total Score 
(with linear
normalization)],0)</f>
        <v>53</v>
      </c>
      <c r="BK57" s="205" t="e">
        <f>_xlfn.XLOOKUP(FMS_Ranking4[[#This Row],[FMS ID]],#REF!,#REF!)</f>
        <v>#REF!</v>
      </c>
      <c r="BL5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44.56277739032393</v>
      </c>
      <c r="BM57" s="272">
        <f>FMS_Ranking4[[#This Row],[ArcSinh Score Based on Normalized Reported Factors]]+FMS_Ranking4[[#This Row],[% NBS Score (Normalized)]]+(FMS_Ranking4[[#This Row],[Water Supply Score (Normalized)]]*10*$BB$5)+FMS_Ranking4[[#This Row],[FMS_Type Score Weighted]]</f>
        <v>45.56277739032393</v>
      </c>
      <c r="BN57" s="205">
        <f>_xlfn.RANK.EQ(FMS_Ranking4[[#This Row],[Total Score (with ArcSinh normalization of select criteria)]],FMS_Ranking4[Total Score (with ArcSinh normalization of select criteria)],0)</f>
        <v>50</v>
      </c>
      <c r="BO57" s="270" t="str">
        <f>_xlfn.XLOOKUP(FMS_Ranking4[[#This Row],[FMS ID]],FMS_Input[FMS_ID],FMS_Input[FMS_RANK_YEAR])</f>
        <v>2023 Amended Plan</v>
      </c>
      <c r="BP57" s="204">
        <f>_xlfn.XLOOKUP(FMS_Ranking4[[#This Row],[FMS ID]],Prev_Rank[FMS ID],Prev_Rank[Prev Rank])</f>
        <v>47</v>
      </c>
      <c r="BQ57" s="205" t="e">
        <f>_xlfn.XLOOKUP(FMS_Ranking4[[#This Row],[FMS ID]],#REF!,#REF!)</f>
        <v>#REF!</v>
      </c>
      <c r="BR57" s="199" t="e">
        <f>SUM(#REF!,#REF!,#REF!,#REF!,#REF!,#REF!,#REF!,#REF!,#REF!,FMS_Ranking4[[#This Row],[ArcSinh Res struct removed 0-10]],#REF!)</f>
        <v>#REF!</v>
      </c>
      <c r="BS57" s="199" t="e">
        <f>FMS_Ranking4[[#This Row],[Log Score Based on Normalized Reported Factors]]+FMS_Ranking4[[#This Row],[% NBS Score (Normalized)]]+(FMS_Ranking4[[#This Row],[Water Supply Score (Normalized)]]*10*$BB$5)+(FMS_Ranking4[[#This Row],[FMS_Type Score Weighted]])</f>
        <v>#REF!</v>
      </c>
      <c r="BT57" s="200" t="e">
        <f>_xlfn.RANK.EQ(FMS_Ranking4[[#This Row],[Log Total Score]],FMS_Ranking4[Log Total Score],0)</f>
        <v>#REF!</v>
      </c>
      <c r="BU57" s="200" t="e">
        <f>_xlfn.XLOOKUP(FMS_Ranking4[[#This Row],[FMS ID]],#REF!,#REF!)</f>
        <v>#REF!</v>
      </c>
      <c r="BV57" s="200">
        <f>FMS_Ranking4[[#This Row],[Region Number]]</f>
        <v>6</v>
      </c>
      <c r="BW57" s="200">
        <f>FMS_Ranking4[[#This Row],[Rank (with ArcSinh normalization of select criteria)]]-FMS_Ranking4[[#This Row],[Rank
(with linear
normalization)]]</f>
        <v>-3</v>
      </c>
      <c r="BX57" s="200" t="e">
        <f>FMS_Ranking4[[#This Row],[Log Rank]]-FMS_Ranking4[[#This Row],[Rank
(with linear
normalization)]]</f>
        <v>#REF!</v>
      </c>
      <c r="BY57" s="200" t="str">
        <f>IF(FMS_Ranking4[[#This Row],[FMS Type]]="Flood Measurement and Warning",FMS_Ranking4[[#This Row],[Rank (with ArcSinh normalization of select criteria)]],"")</f>
        <v/>
      </c>
      <c r="BZ57" s="200" t="str">
        <f>IF(FMS_Ranking4[[#This Row],[FMS Type]]="Regulatory and Guidance",FMS_Ranking4[[#This Row],[Rank (with ArcSinh normalization of select criteria)]],"")</f>
        <v/>
      </c>
      <c r="CA57" s="200" t="str">
        <f>IF(FMS_Ranking4[[#This Row],[FMS Type]]="Education and Outreach",FMS_Ranking4[[#This Row],[Rank (with ArcSinh normalization of select criteria)]],"")</f>
        <v/>
      </c>
      <c r="CB57" s="200">
        <f>IF(FMS_Ranking4[[#This Row],[FMS Type]]="Property Acquisition and Structural Elevation",FMS_Ranking4[[#This Row],[Rank (with ArcSinh normalization of select criteria)]],"")</f>
        <v>50</v>
      </c>
      <c r="CC57" s="200" t="str">
        <f>IF(FMS_Ranking4[[#This Row],[FMS Type]]="Infrastructure Projects",FMS_Ranking4[[#This Row],[Rank (with ArcSinh normalization of select criteria)]],"")</f>
        <v/>
      </c>
      <c r="CD57" s="200" t="str">
        <f>IF(FMS_Ranking4[[#This Row],[FMS Type]]="Other",FMS_Ranking4[[#This Row],[Rank (with ArcSinh normalization of select criteria)]],"")</f>
        <v/>
      </c>
      <c r="CE57" s="201"/>
    </row>
    <row r="58" spans="2:83" ht="60" x14ac:dyDescent="0.25">
      <c r="B58" s="341" t="s">
        <v>82</v>
      </c>
      <c r="C58" s="246">
        <f>_xlfn.XLOOKUP(FMS_Ranking4[[#This Row],[FMS ID]],FMS_Input[FMS_ID],FMS_Input[RFPG_NUM])</f>
        <v>6</v>
      </c>
      <c r="D58" s="309" t="str">
        <f>_xlfn.XLOOKUP(FMS_Ranking4[[#This Row],[FMS ID]],FMS_Input[FMS_ID],FMS_Input[FMS_NAME])</f>
        <v>Galveston County Stormproof/Retrofit Infrastructure</v>
      </c>
      <c r="E58" s="308" t="str">
        <f>_xlfn.XLOOKUP(FMS_Ranking4[[#This Row],[FMS ID]],FMS_Input[FMS_ID],FMS_Input[SPONSOR])</f>
        <v>00000006</v>
      </c>
      <c r="F58" s="309" t="str">
        <f>_xlfn.XLOOKUP(FMS_Ranking4[[#This Row],[FMS ID]],Sponsor[FMS_ID],Sponsor[SPONSOR NAME])</f>
        <v>Galveston</v>
      </c>
      <c r="G58" s="309" t="str">
        <f>_xlfn.XLOOKUP(FMS_Ranking4[[#This Row],[FMS ID]],FMS_Input[FMS_ID],FMS_Input[FMS_DESCR])</f>
        <v>Stormproof/retrofit critical facilities and infrastructure for county-owned properties and unincorporated areas.</v>
      </c>
      <c r="H58" s="248" t="str">
        <f>_xlfn.XLOOKUP(FMS_Ranking4[[#This Row],[FMS ID]],FMS_Input[FMS_ID],FMS_Input[FMS_TYPE])</f>
        <v>Infrastructure Projects</v>
      </c>
      <c r="I58" s="249">
        <f>_xlfn.XLOOKUP(FMS_Ranking4[[#This Row],[FMS ID]],FMS_Input[FMS_ID],FMS_Input[NRNC_COST])</f>
        <v>250000</v>
      </c>
      <c r="J58" s="250">
        <f>_xlfn.XLOOKUP(FMS_Ranking4[[#This Row],[FMS ID]],FMS_Input[FMS_ID],FMS_Input[FMS_COST])</f>
        <v>5000000</v>
      </c>
      <c r="K58" s="251" t="str">
        <f>_xlfn.XLOOKUP(FMS_Ranking4[[#This Row],[FMS ID]],FMS_Input[FMS_ID],FMS_Input[EMER_NEED])</f>
        <v>Yes</v>
      </c>
      <c r="L58" s="252">
        <f t="shared" si="0"/>
        <v>1</v>
      </c>
      <c r="M58" s="253">
        <f>_xlfn.XLOOKUP(FMS_Ranking4[[#This Row],[FMS ID]],FMS_Input[FMS_ID],FMS_Input[STRUCT_100])</f>
        <v>48564</v>
      </c>
      <c r="N58" s="255">
        <f>(ASINH(FMS_Ranking4[[#This Row],[Structure at Risk Raw]]))*(10)/(ASINH(M$4))</f>
        <v>9.0279648521341809</v>
      </c>
      <c r="O58" s="256">
        <f>FMS_Ranking4[[#This Row],[Structures at risk, ArcSinh (0-10)]]*M$5*10</f>
        <v>9.0279648521341809</v>
      </c>
      <c r="P58" s="253">
        <f>_xlfn.XLOOKUP(FMS_Ranking4[[#This Row],[FMS ID]],FMS_Input[FMS_ID],FMS_Input[RES_STRUCT100])</f>
        <v>42183</v>
      </c>
      <c r="Q58" s="257">
        <f>ASINH(FMS_Ranking4[[#This Row],[Res Structure Raw]])/Q$4*P$5*100</f>
        <v>0</v>
      </c>
      <c r="R58" s="253">
        <f>_xlfn.XLOOKUP(FMS_Ranking4[[#This Row],[FMS ID]],FMS_Input[FMS_ID],FMS_Input[POP100])</f>
        <v>102739</v>
      </c>
      <c r="S58" s="259">
        <f>(ASINH(FMS_Ranking4[[#This Row],[Pop at Risk Raw]]))*(10)/(ASINH(R$4))</f>
        <v>8.4452171470778339</v>
      </c>
      <c r="T58" s="256">
        <f>FMS_Ranking4[[#This Row],[Population at risk, ArcSinh (0-10)]]*R$5*10</f>
        <v>8.4452171470778339</v>
      </c>
      <c r="U58" s="253">
        <f>_xlfn.XLOOKUP(FMS_Ranking4[[#This Row],[FMS ID]],FMS_Input[FMS_ID],FMS_Input[CRITFAC100])</f>
        <v>680</v>
      </c>
      <c r="V58" s="259">
        <f>(ASINH(FMS_Ranking4[[#This Row],[Critical Facilities Raw]]))*(10)/(ASINH(U$4))</f>
        <v>8.5411429791908375</v>
      </c>
      <c r="W58" s="256">
        <f>FMS_Ranking4[[#This Row],[Critical facilities at risk, ArcSinh (0-10)]]*U$5*10</f>
        <v>8.5411429791908375</v>
      </c>
      <c r="X58" s="253">
        <f>_xlfn.XLOOKUP(FMS_Ranking4[[#This Row],[FMS ID]],FMS_Input[FMS_ID],FMS_Input[LWC])</f>
        <v>30</v>
      </c>
      <c r="Y58" s="259">
        <f>(ASINH(FMS_Ranking4[[#This Row],[LWC Raw]]))*(10)/(ASINH(X$4))</f>
        <v>5.5471394138756107</v>
      </c>
      <c r="Z58" s="256">
        <f>FMS_Ranking4[[#This Row],[LWC, ArcSInh (0-10)]]*X$5*10</f>
        <v>5.5471394138756116</v>
      </c>
      <c r="AA58" s="253">
        <f>_xlfn.XLOOKUP(FMS_Ranking4[[#This Row],[FMS ID]],FMS_Input[FMS_ID],FMS_Input[ROADCLS])</f>
        <v>30</v>
      </c>
      <c r="AB58" s="255">
        <f>(ASINH(FMS_Ranking4[[#This Row],[Road Closures Raw]]))*(10)/(ASINH(AA$4))</f>
        <v>4.2641732294523065</v>
      </c>
      <c r="AC58" s="256">
        <f>FMS_Ranking4[[#This Row],[Road closures, ArcSinh (0-10)]]*AA$5*10</f>
        <v>2.1320866147261532</v>
      </c>
      <c r="AD58" s="253">
        <f>_xlfn.XLOOKUP(FMS_Ranking4[[#This Row],[FMS ID]],FMS_Input[FMS_ID],FMS_Input[ROAD_MILES100])</f>
        <v>909</v>
      </c>
      <c r="AE58" s="259">
        <f>(ASINH(FMS_Ranking4[[#This Row],[Road Miles Raw]]))*(10)/(ASINH(AD$4))</f>
        <v>7.9987901444362981</v>
      </c>
      <c r="AF58" s="256">
        <f>FMS_Ranking4[[#This Row],[Length of roads at risk, ArcSinh (0-10)]]*AD$5*10</f>
        <v>7.998790144436299</v>
      </c>
      <c r="AG58" s="253">
        <f>_xlfn.XLOOKUP(FMS_Ranking4[[#This Row],[FMS ID]],FMS_Input[FMS_ID],FMS_Input[FARMACRE100])</f>
        <v>3415.793701171875</v>
      </c>
      <c r="AH58" s="255">
        <f>(ASINH(FMS_Ranking4[[#This Row],[Ag Land Raw]]))*(10)/(ASINH(AG$4))</f>
        <v>5.7353576978953855</v>
      </c>
      <c r="AI58" s="260">
        <f>FMS_Ranking4[[#This Row],[Farm &amp; ranch land, ArcSinh (0-10)]]*AG$5*10</f>
        <v>2.8676788489476928</v>
      </c>
      <c r="AJ58" s="258">
        <f>_xlfn.XLOOKUP(FMS_Ranking4[[#This Row],[FMS ID]],FMS_Input[FMS_ID],FMS_Input[REDSTRUCT100])</f>
        <v>0</v>
      </c>
      <c r="AK58" s="253">
        <f>_xlfn.XLOOKUP(FMS_Ranking4[[#This Row],[FMS ID]],FMS_Input[FMS_ID],FMS_Input[REMSTRC100])</f>
        <v>0</v>
      </c>
      <c r="AL58" s="259">
        <f>(ASINH(FMS_Ranking4[[#This Row],[Structures Removed Raw]]))*(10)/(ASINH(AK$4))</f>
        <v>0</v>
      </c>
      <c r="AM58" s="262">
        <f>FMS_Ranking4[[#This Row],[Structures removed, ArcSinh (0-10)]]*AK$5*10</f>
        <v>0</v>
      </c>
      <c r="AN58" s="253">
        <f>_xlfn.XLOOKUP(FMS_Ranking4[[#This Row],[FMS ID]],FMS_Input[FMS_ID],FMS_Input[REMRESSTRC100])</f>
        <v>0</v>
      </c>
      <c r="AO58" s="261">
        <f>FMS_Ranking4[[#This Row],[ArcSinh Res struct removed 0-10]]*AN$5*10</f>
        <v>0</v>
      </c>
      <c r="AP58" s="260">
        <f>ASINH(FMS_Ranking4[[#This Row],[Residential Structures Removed Raw]])/AP$4*AN$5*100</f>
        <v>0</v>
      </c>
      <c r="AQ58" s="254">
        <f>(ASINH(FMS_Ranking4[[#This Row],[Residential Structures Removed Raw]]))*(10)/(ASINH(AN$4))</f>
        <v>0</v>
      </c>
      <c r="AR58" s="253">
        <f>_xlfn.XLOOKUP(FMS_Ranking4[[#This Row],[FMS ID]],FMS_Input[FMS_ID],FMS_Input[REMPOP100])</f>
        <v>0</v>
      </c>
      <c r="AS58" s="259">
        <f>(ASINH(FMS_Ranking4[[#This Row],[Removed Pop Raw]]))*(10)/(ASINH(AR$4))</f>
        <v>0</v>
      </c>
      <c r="AT58" s="262">
        <f>FMS_Ranking4[[#This Row],[Removed population, ArcSinh (0-10)]]*AR$5*10</f>
        <v>0</v>
      </c>
      <c r="AU58" s="264">
        <f>_xlfn.XLOOKUP(FMS_Ranking4[[#This Row],[FMS ID]],FMS_Input[FMS_ID],FMS_Input[REMCRITFAC100])</f>
        <v>0</v>
      </c>
      <c r="AV58" s="264">
        <f>_xlfn.XLOOKUP(FMS_Ranking4[[#This Row],[FMS ID]],FMS_Input[FMS_ID],FMS_Input[REMLWC100])</f>
        <v>0</v>
      </c>
      <c r="AW58" s="264">
        <f>_xlfn.XLOOKUP(FMS_Ranking4[[#This Row],[FMS ID]],FMS_Input[FMS_ID],FMS_Input[REMROADCLS])</f>
        <v>0</v>
      </c>
      <c r="AX58" s="264">
        <f>_xlfn.XLOOKUP(FMS_Ranking4[[#This Row],[FMS ID]],FMS_Input[FMS_ID],FMS_Input[REMFRMACRE100])</f>
        <v>0</v>
      </c>
      <c r="AY58" s="258">
        <f>_xlfn.XLOOKUP(FMS_Ranking4[[#This Row],[FMS ID]],FMS_Input[FMS_ID],FMS_Input[COSTSTRUCT])</f>
        <v>0</v>
      </c>
      <c r="AZ58" s="253">
        <f>_xlfn.XLOOKUP(FMS_Ranking4[[#This Row],[FMS ID]],FMS_Input[FMS_ID],FMS_Input[NATURE])</f>
        <v>0</v>
      </c>
      <c r="BA58" s="262">
        <f>(((FMS_Ranking4[[#This Row],[% NBS Raw]]/AZ$4)*100)*AZ$5)</f>
        <v>0</v>
      </c>
      <c r="BB58" s="251" t="str">
        <f>_xlfn.XLOOKUP(FMS_Ranking4[[#This Row],[FMS ID]],FMS_Input[FMS_ID],FMS_Input[WATER_SUP])</f>
        <v>No</v>
      </c>
      <c r="BC58" s="265">
        <f>IF(FMS_Ranking4[[#This Row],[Water Supply Raw]]="Yes",10,0)</f>
        <v>0</v>
      </c>
      <c r="BD58" s="266">
        <f>_xlfn.XLOOKUP(FMS_Ranking4[[#This Row],[FMS Type]],FMS_TYPE[FMS_Type],FMS_TYPE[Score])</f>
        <v>4</v>
      </c>
      <c r="BE58" s="267">
        <f>FMS_Ranking4[[#This Row],[FMS_Type Score]]*$BD$5*10</f>
        <v>1</v>
      </c>
      <c r="BF5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8.8020055410460838</v>
      </c>
      <c r="BG58" s="269">
        <f>_xlfn.RANK.EQ(BF58,$BF$8:$BF$870,0)+COUNTIF($BF$8:BF58,BF58)-1</f>
        <v>48</v>
      </c>
      <c r="BH58" s="268">
        <f>(((FMS_Ranking4[[#This Row],[Structures Removed Raw]]/AK$4)*100)*AK$5)+(((FMS_Ranking4[[#This Row],[Removed Pop Raw]]/AR$4)*100)*AR$5)</f>
        <v>0</v>
      </c>
      <c r="BI5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9.8020055410460838</v>
      </c>
      <c r="BJ58" s="204">
        <f>_xlfn.RANK.EQ(FMS_Ranking4[[#This Row],[Total Score 
(with linear
normalization)]],FMS_Ranking4[Total Score 
(with linear
normalization)],0)</f>
        <v>54</v>
      </c>
      <c r="BK58" s="204" t="e">
        <f>_xlfn.XLOOKUP(FMS_Ranking4[[#This Row],[FMS ID]],#REF!,#REF!)</f>
        <v>#REF!</v>
      </c>
      <c r="BL58"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44.560020000388612</v>
      </c>
      <c r="BM58" s="270">
        <f>FMS_Ranking4[[#This Row],[ArcSinh Score Based on Normalized Reported Factors]]+FMS_Ranking4[[#This Row],[% NBS Score (Normalized)]]+(FMS_Ranking4[[#This Row],[Water Supply Score (Normalized)]]*10*$BB$5)+FMS_Ranking4[[#This Row],[FMS_Type Score Weighted]]</f>
        <v>45.560020000388612</v>
      </c>
      <c r="BN58" s="204">
        <f>_xlfn.RANK.EQ(FMS_Ranking4[[#This Row],[Total Score (with ArcSinh normalization of select criteria)]],FMS_Ranking4[Total Score (with ArcSinh normalization of select criteria)],0)</f>
        <v>51</v>
      </c>
      <c r="BO58" s="270" t="str">
        <f>_xlfn.XLOOKUP(FMS_Ranking4[[#This Row],[FMS ID]],FMS_Input[FMS_ID],FMS_Input[FMS_RANK_YEAR])</f>
        <v>2023 Amended Plan</v>
      </c>
      <c r="BP58" s="204">
        <f>_xlfn.XLOOKUP(FMS_Ranking4[[#This Row],[FMS ID]],Prev_Rank[FMS ID],Prev_Rank[Prev Rank])</f>
        <v>48</v>
      </c>
      <c r="BQ58" s="204" t="e">
        <f>_xlfn.XLOOKUP(FMS_Ranking4[[#This Row],[FMS ID]],#REF!,#REF!)</f>
        <v>#REF!</v>
      </c>
      <c r="BR58" s="199" t="e">
        <f>SUM(#REF!,#REF!,#REF!,#REF!,#REF!,#REF!,#REF!,#REF!,#REF!,FMS_Ranking4[[#This Row],[ArcSinh Res struct removed 0-10]],#REF!)</f>
        <v>#REF!</v>
      </c>
      <c r="BS58" s="199" t="e">
        <f>FMS_Ranking4[[#This Row],[Log Score Based on Normalized Reported Factors]]+FMS_Ranking4[[#This Row],[% NBS Score (Normalized)]]+(FMS_Ranking4[[#This Row],[Water Supply Score (Normalized)]]*10*$BB$5)+(FMS_Ranking4[[#This Row],[FMS_Type Score Weighted]])</f>
        <v>#REF!</v>
      </c>
      <c r="BT58" s="200" t="e">
        <f>_xlfn.RANK.EQ(FMS_Ranking4[[#This Row],[Log Total Score]],FMS_Ranking4[Log Total Score],0)</f>
        <v>#REF!</v>
      </c>
      <c r="BU58" s="200" t="e">
        <f>_xlfn.XLOOKUP(FMS_Ranking4[[#This Row],[FMS ID]],#REF!,#REF!)</f>
        <v>#REF!</v>
      </c>
      <c r="BV58" s="200">
        <f>FMS_Ranking4[[#This Row],[Region Number]]</f>
        <v>6</v>
      </c>
      <c r="BW58" s="200">
        <f>FMS_Ranking4[[#This Row],[Rank (with ArcSinh normalization of select criteria)]]-FMS_Ranking4[[#This Row],[Rank
(with linear
normalization)]]</f>
        <v>-3</v>
      </c>
      <c r="BX58" s="200" t="e">
        <f>FMS_Ranking4[[#This Row],[Log Rank]]-FMS_Ranking4[[#This Row],[Rank
(with linear
normalization)]]</f>
        <v>#REF!</v>
      </c>
      <c r="BY58" s="200" t="str">
        <f>IF(FMS_Ranking4[[#This Row],[FMS Type]]="Flood Measurement and Warning",FMS_Ranking4[[#This Row],[Rank (with ArcSinh normalization of select criteria)]],"")</f>
        <v/>
      </c>
      <c r="BZ58" s="200" t="str">
        <f>IF(FMS_Ranking4[[#This Row],[FMS Type]]="Regulatory and Guidance",FMS_Ranking4[[#This Row],[Rank (with ArcSinh normalization of select criteria)]],"")</f>
        <v/>
      </c>
      <c r="CA58" s="200" t="str">
        <f>IF(FMS_Ranking4[[#This Row],[FMS Type]]="Education and Outreach",FMS_Ranking4[[#This Row],[Rank (with ArcSinh normalization of select criteria)]],"")</f>
        <v/>
      </c>
      <c r="CB58" s="200" t="str">
        <f>IF(FMS_Ranking4[[#This Row],[FMS Type]]="Property Acquisition and Structural Elevation",FMS_Ranking4[[#This Row],[Rank (with ArcSinh normalization of select criteria)]],"")</f>
        <v/>
      </c>
      <c r="CC58" s="200">
        <f>IF(FMS_Ranking4[[#This Row],[FMS Type]]="Infrastructure Projects",FMS_Ranking4[[#This Row],[Rank (with ArcSinh normalization of select criteria)]],"")</f>
        <v>51</v>
      </c>
      <c r="CD58" s="200" t="str">
        <f>IF(FMS_Ranking4[[#This Row],[FMS Type]]="Other",FMS_Ranking4[[#This Row],[Rank (with ArcSinh normalization of select criteria)]],"")</f>
        <v/>
      </c>
      <c r="CE58" s="201"/>
    </row>
    <row r="59" spans="2:83" ht="60" x14ac:dyDescent="0.25">
      <c r="B59" s="341" t="s">
        <v>4336</v>
      </c>
      <c r="C59" s="246">
        <f>_xlfn.XLOOKUP(FMS_Ranking4[[#This Row],[FMS ID]],FMS_Input[FMS_ID],FMS_Input[RFPG_NUM])</f>
        <v>15</v>
      </c>
      <c r="D59" s="309" t="str">
        <f>_xlfn.XLOOKUP(FMS_Ranking4[[#This Row],[FMS ID]],FMS_Input[FMS_ID],FMS_Input[FMS_NAME])</f>
        <v>Cameron County - Flood Warning System, planning, operation &amp; maintenance</v>
      </c>
      <c r="E59" s="308" t="str">
        <f>_xlfn.XLOOKUP(FMS_Ranking4[[#This Row],[FMS ID]],FMS_Input[FMS_ID],FMS_Input[SPONSOR])</f>
        <v>15000001</v>
      </c>
      <c r="F59" s="309" t="str">
        <f>_xlfn.XLOOKUP(FMS_Ranking4[[#This Row],[FMS ID]],Sponsor[FMS_ID],Sponsor[SPONSOR NAME])</f>
        <v>Cameron</v>
      </c>
      <c r="G59" s="309" t="str">
        <f>_xlfn.XLOOKUP(FMS_Ranking4[[#This Row],[FMS ID]],FMS_Input[FMS_ID],FMS_Input[FMS_DESCR])</f>
        <v>Develop and Implement a Flood Warning System, planning, operation &amp; Maintenance plan</v>
      </c>
      <c r="H59" s="248" t="str">
        <f>_xlfn.XLOOKUP(FMS_Ranking4[[#This Row],[FMS ID]],FMS_Input[FMS_ID],FMS_Input[FMS_TYPE])</f>
        <v>Flood Measurement and Warning</v>
      </c>
      <c r="I59" s="249">
        <f>_xlfn.XLOOKUP(FMS_Ranking4[[#This Row],[FMS ID]],FMS_Input[FMS_ID],FMS_Input[NRNC_COST])</f>
        <v>600000</v>
      </c>
      <c r="J59" s="250">
        <f>_xlfn.XLOOKUP(FMS_Ranking4[[#This Row],[FMS ID]],FMS_Input[FMS_ID],FMS_Input[FMS_COST])</f>
        <v>5000000</v>
      </c>
      <c r="K59" s="251" t="str">
        <f>_xlfn.XLOOKUP(FMS_Ranking4[[#This Row],[FMS ID]],FMS_Input[FMS_ID],FMS_Input[EMER_NEED])</f>
        <v>Yes</v>
      </c>
      <c r="L59" s="252">
        <f t="shared" si="0"/>
        <v>1</v>
      </c>
      <c r="M59" s="253">
        <f>_xlfn.XLOOKUP(FMS_Ranking4[[#This Row],[FMS ID]],FMS_Input[FMS_ID],FMS_Input[STRUCT_100])</f>
        <v>96099</v>
      </c>
      <c r="N59" s="255">
        <f>(ASINH(FMS_Ranking4[[#This Row],[Structure at Risk Raw]]))*(10)/(ASINH(M$4))</f>
        <v>9.564508637392608</v>
      </c>
      <c r="O59" s="256">
        <f>FMS_Ranking4[[#This Row],[Structures at risk, ArcSinh (0-10)]]*M$5*10</f>
        <v>9.564508637392608</v>
      </c>
      <c r="P59" s="253">
        <f>_xlfn.XLOOKUP(FMS_Ranking4[[#This Row],[FMS ID]],FMS_Input[FMS_ID],FMS_Input[RES_STRUCT100])</f>
        <v>80721</v>
      </c>
      <c r="Q59" s="257">
        <f>ASINH(FMS_Ranking4[[#This Row],[Res Structure Raw]])/Q$4*P$5*100</f>
        <v>0</v>
      </c>
      <c r="R59" s="253">
        <f>_xlfn.XLOOKUP(FMS_Ranking4[[#This Row],[FMS ID]],FMS_Input[FMS_ID],FMS_Input[POP100])</f>
        <v>310632</v>
      </c>
      <c r="S59" s="255">
        <f>(ASINH(FMS_Ranking4[[#This Row],[Pop at Risk Raw]]))*(10)/(ASINH(R$4))</f>
        <v>9.2090413122077575</v>
      </c>
      <c r="T59" s="256">
        <f>FMS_Ranking4[[#This Row],[Population at risk, ArcSinh (0-10)]]*R$5*10</f>
        <v>9.2090413122077575</v>
      </c>
      <c r="U59" s="253">
        <f>_xlfn.XLOOKUP(FMS_Ranking4[[#This Row],[FMS ID]],FMS_Input[FMS_ID],FMS_Input[CRITFAC100])</f>
        <v>34</v>
      </c>
      <c r="V59" s="255">
        <f>(ASINH(FMS_Ranking4[[#This Row],[Critical Facilities Raw]]))*(10)/(ASINH(U$4))</f>
        <v>4.9951578258479739</v>
      </c>
      <c r="W59" s="256">
        <f>FMS_Ranking4[[#This Row],[Critical facilities at risk, ArcSinh (0-10)]]*U$5*10</f>
        <v>4.9951578258479739</v>
      </c>
      <c r="X59" s="253">
        <f>_xlfn.XLOOKUP(FMS_Ranking4[[#This Row],[FMS ID]],FMS_Input[FMS_ID],FMS_Input[LWC])</f>
        <v>2</v>
      </c>
      <c r="Y59" s="255">
        <f>(ASINH(FMS_Ranking4[[#This Row],[LWC Raw]]))*(10)/(ASINH(X$4))</f>
        <v>1.9557475158633808</v>
      </c>
      <c r="Z59" s="256">
        <f>FMS_Ranking4[[#This Row],[LWC, ArcSInh (0-10)]]*X$5*10</f>
        <v>1.9557475158633808</v>
      </c>
      <c r="AA59" s="253">
        <f>_xlfn.XLOOKUP(FMS_Ranking4[[#This Row],[FMS ID]],FMS_Input[FMS_ID],FMS_Input[ROADCLS])</f>
        <v>1741</v>
      </c>
      <c r="AB59" s="255">
        <f>(ASINH(FMS_Ranking4[[#This Row],[Road Closures Raw]]))*(10)/(ASINH(AA$4))</f>
        <v>8.4930612096656688</v>
      </c>
      <c r="AC59" s="256">
        <f>FMS_Ranking4[[#This Row],[Road closures, ArcSinh (0-10)]]*AA$5*10</f>
        <v>4.2465306048328344</v>
      </c>
      <c r="AD59" s="253">
        <f>_xlfn.XLOOKUP(FMS_Ranking4[[#This Row],[FMS ID]],FMS_Input[FMS_ID],FMS_Input[ROAD_MILES100])</f>
        <v>1956</v>
      </c>
      <c r="AE59" s="255">
        <f>(ASINH(FMS_Ranking4[[#This Row],[Road Miles Raw]]))*(10)/(ASINH(AD$4))</f>
        <v>8.8154673930273475</v>
      </c>
      <c r="AF59" s="256">
        <f>FMS_Ranking4[[#This Row],[Length of roads at risk, ArcSinh (0-10)]]*AD$5*10</f>
        <v>8.8154673930273475</v>
      </c>
      <c r="AG59" s="253">
        <f>_xlfn.XLOOKUP(FMS_Ranking4[[#This Row],[FMS ID]],FMS_Input[FMS_ID],FMS_Input[FARMACRE100])</f>
        <v>212333.75</v>
      </c>
      <c r="AH59" s="255">
        <f>(ASINH(FMS_Ranking4[[#This Row],[Ag Land Raw]]))*(10)/(ASINH(AG$4))</f>
        <v>8.4179663977008925</v>
      </c>
      <c r="AI59" s="260">
        <f>FMS_Ranking4[[#This Row],[Farm &amp; ranch land, ArcSinh (0-10)]]*AG$5*10</f>
        <v>4.2089831988504471</v>
      </c>
      <c r="AJ59" s="258">
        <f>_xlfn.XLOOKUP(FMS_Ranking4[[#This Row],[FMS ID]],FMS_Input[FMS_ID],FMS_Input[REDSTRUCT100])</f>
        <v>0</v>
      </c>
      <c r="AK59" s="253">
        <f>_xlfn.XLOOKUP(FMS_Ranking4[[#This Row],[FMS ID]],FMS_Input[FMS_ID],FMS_Input[REMSTRC100])</f>
        <v>0</v>
      </c>
      <c r="AL59" s="255">
        <f>(ASINH(FMS_Ranking4[[#This Row],[Structures Removed Raw]]))*(10)/(ASINH(AK$4))</f>
        <v>0</v>
      </c>
      <c r="AM59" s="262">
        <f>FMS_Ranking4[[#This Row],[Structures removed, ArcSinh (0-10)]]*AK$5*10</f>
        <v>0</v>
      </c>
      <c r="AN59" s="253">
        <f>_xlfn.XLOOKUP(FMS_Ranking4[[#This Row],[FMS ID]],FMS_Input[FMS_ID],FMS_Input[REMRESSTRC100])</f>
        <v>0</v>
      </c>
      <c r="AO59" s="261">
        <f>FMS_Ranking4[[#This Row],[ArcSinh Res struct removed 0-10]]*AN$5*10</f>
        <v>0</v>
      </c>
      <c r="AP59" s="260">
        <f>ASINH(FMS_Ranking4[[#This Row],[Residential Structures Removed Raw]])/AP$4*AN$5*100</f>
        <v>0</v>
      </c>
      <c r="AQ59" s="258">
        <f>(ASINH(FMS_Ranking4[[#This Row],[Residential Structures Removed Raw]]))*(10)/(ASINH(AN$4))</f>
        <v>0</v>
      </c>
      <c r="AR59" s="253">
        <f>_xlfn.XLOOKUP(FMS_Ranking4[[#This Row],[FMS ID]],FMS_Input[FMS_ID],FMS_Input[REMPOP100])</f>
        <v>0</v>
      </c>
      <c r="AS59" s="255">
        <f>(ASINH(FMS_Ranking4[[#This Row],[Removed Pop Raw]]))*(10)/(ASINH(AR$4))</f>
        <v>0</v>
      </c>
      <c r="AT59" s="262">
        <f>FMS_Ranking4[[#This Row],[Removed population, ArcSinh (0-10)]]*AR$5*10</f>
        <v>0</v>
      </c>
      <c r="AU59" s="264">
        <f>_xlfn.XLOOKUP(FMS_Ranking4[[#This Row],[FMS ID]],FMS_Input[FMS_ID],FMS_Input[REMCRITFAC100])</f>
        <v>0</v>
      </c>
      <c r="AV59" s="264">
        <f>_xlfn.XLOOKUP(FMS_Ranking4[[#This Row],[FMS ID]],FMS_Input[FMS_ID],FMS_Input[REMLWC100])</f>
        <v>0</v>
      </c>
      <c r="AW59" s="264">
        <f>_xlfn.XLOOKUP(FMS_Ranking4[[#This Row],[FMS ID]],FMS_Input[FMS_ID],FMS_Input[REMROADCLS])</f>
        <v>0</v>
      </c>
      <c r="AX59" s="264">
        <f>_xlfn.XLOOKUP(FMS_Ranking4[[#This Row],[FMS ID]],FMS_Input[FMS_ID],FMS_Input[REMFRMACRE100])</f>
        <v>0</v>
      </c>
      <c r="AY59" s="258">
        <f>_xlfn.XLOOKUP(FMS_Ranking4[[#This Row],[FMS ID]],FMS_Input[FMS_ID],FMS_Input[COSTSTRUCT])</f>
        <v>0</v>
      </c>
      <c r="AZ59" s="253">
        <f>_xlfn.XLOOKUP(FMS_Ranking4[[#This Row],[FMS ID]],FMS_Input[FMS_ID],FMS_Input[NATURE])</f>
        <v>0</v>
      </c>
      <c r="BA59" s="262">
        <f>(((FMS_Ranking4[[#This Row],[% NBS Raw]]/AZ$4)*100)*AZ$5)</f>
        <v>0</v>
      </c>
      <c r="BB59" s="251" t="str">
        <f>_xlfn.XLOOKUP(FMS_Ranking4[[#This Row],[FMS ID]],FMS_Input[FMS_ID],FMS_Input[WATER_SUP])</f>
        <v>No</v>
      </c>
      <c r="BC59" s="265">
        <f>IF(FMS_Ranking4[[#This Row],[Water Supply Raw]]="Yes",10,0)</f>
        <v>0</v>
      </c>
      <c r="BD59" s="266">
        <f>_xlfn.XLOOKUP(FMS_Ranking4[[#This Row],[FMS Type]],FMS_TYPE[FMS_Type],FMS_TYPE[Score])</f>
        <v>10</v>
      </c>
      <c r="BE59" s="267">
        <f>FMS_Ranking4[[#This Row],[FMS_Type Score]]*$BD$5*10</f>
        <v>2.5</v>
      </c>
      <c r="BF5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14.002218517466437</v>
      </c>
      <c r="BG59" s="321">
        <f>_xlfn.RANK.EQ(BF59,$BF$8:$BF$870,0)+COUNTIF($BF$8:BF59,BF59)-1</f>
        <v>25</v>
      </c>
      <c r="BH59" s="294">
        <f>(((FMS_Ranking4[[#This Row],[Structures Removed Raw]]/AK$4)*100)*AK$5)+(((FMS_Ranking4[[#This Row],[Removed Pop Raw]]/AR$4)*100)*AR$5)</f>
        <v>0</v>
      </c>
      <c r="BI5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16.502218517466439</v>
      </c>
      <c r="BJ59" s="251">
        <f>_xlfn.RANK.EQ(FMS_Ranking4[[#This Row],[Total Score 
(with linear
normalization)]],FMS_Ranking4[Total Score 
(with linear
normalization)],0)</f>
        <v>27</v>
      </c>
      <c r="BK59" s="251" t="e">
        <f>_xlfn.XLOOKUP(FMS_Ranking4[[#This Row],[FMS ID]],#REF!,#REF!)</f>
        <v>#REF!</v>
      </c>
      <c r="BL5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42.995436488022349</v>
      </c>
      <c r="BM59" s="324">
        <f>FMS_Ranking4[[#This Row],[ArcSinh Score Based on Normalized Reported Factors]]+FMS_Ranking4[[#This Row],[% NBS Score (Normalized)]]+(FMS_Ranking4[[#This Row],[Water Supply Score (Normalized)]]*10*$BB$5)+FMS_Ranking4[[#This Row],[FMS_Type Score Weighted]]</f>
        <v>45.495436488022349</v>
      </c>
      <c r="BN59" s="251">
        <f>_xlfn.RANK.EQ(FMS_Ranking4[[#This Row],[Total Score (with ArcSinh normalization of select criteria)]],FMS_Ranking4[Total Score (with ArcSinh normalization of select criteria)],0)</f>
        <v>52</v>
      </c>
      <c r="BO59" s="270" t="str">
        <f>_xlfn.XLOOKUP(FMS_Ranking4[[#This Row],[FMS ID]],FMS_Input[FMS_ID],FMS_Input[FMS_RANK_YEAR])</f>
        <v>2023 Amended Plan</v>
      </c>
      <c r="BP59" s="204">
        <f>_xlfn.XLOOKUP(FMS_Ranking4[[#This Row],[FMS ID]],Prev_Rank[FMS ID],Prev_Rank[Prev Rank])</f>
        <v>45</v>
      </c>
      <c r="BQ59" s="251" t="e">
        <f>_xlfn.XLOOKUP(FMS_Ranking4[[#This Row],[FMS ID]],#REF!,#REF!)</f>
        <v>#REF!</v>
      </c>
      <c r="BR59" s="199" t="e">
        <f>SUM(#REF!,#REF!,#REF!,#REF!,#REF!,#REF!,#REF!,#REF!,#REF!,FMS_Ranking4[[#This Row],[ArcSinh Res struct removed 0-10]],#REF!)</f>
        <v>#REF!</v>
      </c>
      <c r="BS59" s="199" t="e">
        <f>FMS_Ranking4[[#This Row],[Log Score Based on Normalized Reported Factors]]+FMS_Ranking4[[#This Row],[% NBS Score (Normalized)]]+(FMS_Ranking4[[#This Row],[Water Supply Score (Normalized)]]*10*$BB$5)+(FMS_Ranking4[[#This Row],[FMS_Type Score Weighted]])</f>
        <v>#REF!</v>
      </c>
      <c r="BT59" s="200" t="e">
        <f>_xlfn.RANK.EQ(FMS_Ranking4[[#This Row],[Log Total Score]],FMS_Ranking4[Log Total Score],0)</f>
        <v>#REF!</v>
      </c>
      <c r="BU59" s="200" t="e">
        <f>_xlfn.XLOOKUP(FMS_Ranking4[[#This Row],[FMS ID]],#REF!,#REF!)</f>
        <v>#REF!</v>
      </c>
      <c r="BV59" s="200">
        <f>FMS_Ranking4[[#This Row],[Region Number]]</f>
        <v>15</v>
      </c>
      <c r="BW59" s="200">
        <f>FMS_Ranking4[[#This Row],[Rank (with ArcSinh normalization of select criteria)]]-FMS_Ranking4[[#This Row],[Rank
(with linear
normalization)]]</f>
        <v>25</v>
      </c>
      <c r="BX59" s="200" t="e">
        <f>FMS_Ranking4[[#This Row],[Log Rank]]-FMS_Ranking4[[#This Row],[Rank
(with linear
normalization)]]</f>
        <v>#REF!</v>
      </c>
      <c r="BY59" s="200">
        <f>IF(FMS_Ranking4[[#This Row],[FMS Type]]="Flood Measurement and Warning",FMS_Ranking4[[#This Row],[Rank (with ArcSinh normalization of select criteria)]],"")</f>
        <v>52</v>
      </c>
      <c r="BZ59" s="200" t="str">
        <f>IF(FMS_Ranking4[[#This Row],[FMS Type]]="Regulatory and Guidance",FMS_Ranking4[[#This Row],[Rank (with ArcSinh normalization of select criteria)]],"")</f>
        <v/>
      </c>
      <c r="CA59" s="200" t="str">
        <f>IF(FMS_Ranking4[[#This Row],[FMS Type]]="Education and Outreach",FMS_Ranking4[[#This Row],[Rank (with ArcSinh normalization of select criteria)]],"")</f>
        <v/>
      </c>
      <c r="CB59" s="200" t="str">
        <f>IF(FMS_Ranking4[[#This Row],[FMS Type]]="Property Acquisition and Structural Elevation",FMS_Ranking4[[#This Row],[Rank (with ArcSinh normalization of select criteria)]],"")</f>
        <v/>
      </c>
      <c r="CC59" s="200" t="str">
        <f>IF(FMS_Ranking4[[#This Row],[FMS Type]]="Infrastructure Projects",FMS_Ranking4[[#This Row],[Rank (with ArcSinh normalization of select criteria)]],"")</f>
        <v/>
      </c>
      <c r="CD59" s="200" t="str">
        <f>IF(FMS_Ranking4[[#This Row],[FMS Type]]="Other",FMS_Ranking4[[#This Row],[Rank (with ArcSinh normalization of select criteria)]],"")</f>
        <v/>
      </c>
      <c r="CE59" s="201"/>
    </row>
    <row r="60" spans="2:83" ht="30" x14ac:dyDescent="0.25">
      <c r="B60" s="341" t="s">
        <v>11910</v>
      </c>
      <c r="C60" s="246">
        <f>_xlfn.XLOOKUP(FMS_Ranking4[[#This Row],[FMS ID]],FMS_Input[FMS_ID],FMS_Input[RFPG_NUM])</f>
        <v>15</v>
      </c>
      <c r="D60" s="309" t="str">
        <f>_xlfn.XLOOKUP(FMS_Ranking4[[#This Row],[FMS ID]],FMS_Input[FMS_ID],FMS_Input[FMS_NAME])</f>
        <v>Hidalgo County Drainage District #1 - Action #105</v>
      </c>
      <c r="E60" s="308" t="str">
        <f>_xlfn.XLOOKUP(FMS_Ranking4[[#This Row],[FMS ID]],FMS_Input[FMS_ID],FMS_Input[SPONSOR])</f>
        <v>15000099</v>
      </c>
      <c r="F60" s="309" t="str">
        <f>_xlfn.XLOOKUP(FMS_Ranking4[[#This Row],[FMS ID]],Sponsor[FMS_ID],Sponsor[SPONSOR NAME])</f>
        <v>Hidalgo County Drainage District 1</v>
      </c>
      <c r="G60" s="309" t="str">
        <f>_xlfn.XLOOKUP(FMS_Ranking4[[#This Row],[FMS ID]],FMS_Input[FMS_ID],FMS_Input[FMS_DESCR])</f>
        <v xml:space="preserve">Coordinate a debris removal program </v>
      </c>
      <c r="H60" s="248" t="str">
        <f>_xlfn.XLOOKUP(FMS_Ranking4[[#This Row],[FMS ID]],FMS_Input[FMS_ID],FMS_Input[FMS_TYPE])</f>
        <v>Regulatory and Guidance</v>
      </c>
      <c r="I60" s="249">
        <f>_xlfn.XLOOKUP(FMS_Ranking4[[#This Row],[FMS ID]],FMS_Input[FMS_ID],FMS_Input[NRNC_COST])</f>
        <v>750000</v>
      </c>
      <c r="J60" s="250">
        <f>_xlfn.XLOOKUP(FMS_Ranking4[[#This Row],[FMS ID]],FMS_Input[FMS_ID],FMS_Input[FMS_COST])</f>
        <v>750000</v>
      </c>
      <c r="K60" s="251" t="str">
        <f>_xlfn.XLOOKUP(FMS_Ranking4[[#This Row],[FMS ID]],FMS_Input[FMS_ID],FMS_Input[EMER_NEED])</f>
        <v>Yes</v>
      </c>
      <c r="L60" s="252">
        <f t="shared" si="0"/>
        <v>1</v>
      </c>
      <c r="M60" s="253">
        <f>_xlfn.XLOOKUP(FMS_Ranking4[[#This Row],[FMS ID]],FMS_Input[FMS_ID],FMS_Input[STRUCT_100])</f>
        <v>75816</v>
      </c>
      <c r="N60" s="255">
        <f>(ASINH(FMS_Ranking4[[#This Row],[Structure at Risk Raw]]))*(10)/(ASINH(M$4))</f>
        <v>9.3781366667466006</v>
      </c>
      <c r="O60" s="256">
        <f>FMS_Ranking4[[#This Row],[Structures at risk, ArcSinh (0-10)]]*M$5*10</f>
        <v>9.3781366667466024</v>
      </c>
      <c r="P60" s="253">
        <f>_xlfn.XLOOKUP(FMS_Ranking4[[#This Row],[FMS ID]],FMS_Input[FMS_ID],FMS_Input[RES_STRUCT100])</f>
        <v>61251</v>
      </c>
      <c r="Q60" s="257">
        <f>ASINH(FMS_Ranking4[[#This Row],[Res Structure Raw]])/Q$4*P$5*100</f>
        <v>0</v>
      </c>
      <c r="R60" s="253">
        <f>_xlfn.XLOOKUP(FMS_Ranking4[[#This Row],[FMS ID]],FMS_Input[FMS_ID],FMS_Input[POP100])</f>
        <v>244800</v>
      </c>
      <c r="S60" s="259">
        <f>(ASINH(FMS_Ranking4[[#This Row],[Pop at Risk Raw]]))*(10)/(ASINH(R$4))</f>
        <v>9.0446205033749258</v>
      </c>
      <c r="T60" s="256">
        <f>FMS_Ranking4[[#This Row],[Population at risk, ArcSinh (0-10)]]*R$5*10</f>
        <v>9.0446205033749258</v>
      </c>
      <c r="U60" s="253">
        <f>_xlfn.XLOOKUP(FMS_Ranking4[[#This Row],[FMS ID]],FMS_Input[FMS_ID],FMS_Input[CRITFAC100])</f>
        <v>459</v>
      </c>
      <c r="V60" s="259">
        <f>(ASINH(FMS_Ranking4[[#This Row],[Critical Facilities Raw]]))*(10)/(ASINH(U$4))</f>
        <v>8.0758740230664419</v>
      </c>
      <c r="W60" s="256">
        <f>FMS_Ranking4[[#This Row],[Critical facilities at risk, ArcSinh (0-10)]]*U$5*10</f>
        <v>8.0758740230664436</v>
      </c>
      <c r="X60" s="253">
        <f>_xlfn.XLOOKUP(FMS_Ranking4[[#This Row],[FMS ID]],FMS_Input[FMS_ID],FMS_Input[LWC])</f>
        <v>17</v>
      </c>
      <c r="Y60" s="259">
        <f>(ASINH(FMS_Ranking4[[#This Row],[LWC Raw]]))*(10)/(ASINH(X$4))</f>
        <v>4.7784642222450291</v>
      </c>
      <c r="Z60" s="256">
        <f>FMS_Ranking4[[#This Row],[LWC, ArcSInh (0-10)]]*X$5*10</f>
        <v>4.7784642222450291</v>
      </c>
      <c r="AA60" s="253">
        <f>_xlfn.XLOOKUP(FMS_Ranking4[[#This Row],[FMS ID]],FMS_Input[FMS_ID],FMS_Input[ROADCLS])</f>
        <v>5</v>
      </c>
      <c r="AB60" s="255">
        <f>(ASINH(FMS_Ranking4[[#This Row],[Road Closures Raw]]))*(10)/(ASINH(AA$4))</f>
        <v>2.4081922896382904</v>
      </c>
      <c r="AC60" s="256">
        <f>FMS_Ranking4[[#This Row],[Road closures, ArcSinh (0-10)]]*AA$5*10</f>
        <v>1.2040961448191452</v>
      </c>
      <c r="AD60" s="253">
        <f>_xlfn.XLOOKUP(FMS_Ranking4[[#This Row],[FMS ID]],FMS_Input[FMS_ID],FMS_Input[ROAD_MILES100])</f>
        <v>1840</v>
      </c>
      <c r="AE60" s="259">
        <f>(ASINH(FMS_Ranking4[[#This Row],[Road Miles Raw]]))*(10)/(ASINH(AD$4))</f>
        <v>8.7503132460891155</v>
      </c>
      <c r="AF60" s="256">
        <f>FMS_Ranking4[[#This Row],[Length of roads at risk, ArcSinh (0-10)]]*AD$5*10</f>
        <v>8.7503132460891173</v>
      </c>
      <c r="AG60" s="253">
        <f>_xlfn.XLOOKUP(FMS_Ranking4[[#This Row],[FMS ID]],FMS_Input[FMS_ID],FMS_Input[FARMACRE100])</f>
        <v>334.99685668945313</v>
      </c>
      <c r="AH60" s="255">
        <f>(ASINH(FMS_Ranking4[[#This Row],[Ag Land Raw]]))*(10)/(ASINH(AG$4))</f>
        <v>4.2270023696663568</v>
      </c>
      <c r="AI60" s="260">
        <f>FMS_Ranking4[[#This Row],[Farm &amp; ranch land, ArcSinh (0-10)]]*AG$5*10</f>
        <v>2.1135011848331784</v>
      </c>
      <c r="AJ60" s="258">
        <f>_xlfn.XLOOKUP(FMS_Ranking4[[#This Row],[FMS ID]],FMS_Input[FMS_ID],FMS_Input[REDSTRUCT100])</f>
        <v>0</v>
      </c>
      <c r="AK60" s="253">
        <f>_xlfn.XLOOKUP(FMS_Ranking4[[#This Row],[FMS ID]],FMS_Input[FMS_ID],FMS_Input[REMSTRC100])</f>
        <v>0</v>
      </c>
      <c r="AL60" s="259">
        <f>(ASINH(FMS_Ranking4[[#This Row],[Structures Removed Raw]]))*(10)/(ASINH(AK$4))</f>
        <v>0</v>
      </c>
      <c r="AM60" s="262">
        <f>FMS_Ranking4[[#This Row],[Structures removed, ArcSinh (0-10)]]*AK$5*10</f>
        <v>0</v>
      </c>
      <c r="AN60" s="253">
        <f>_xlfn.XLOOKUP(FMS_Ranking4[[#This Row],[FMS ID]],FMS_Input[FMS_ID],FMS_Input[REMRESSTRC100])</f>
        <v>0</v>
      </c>
      <c r="AO60" s="261">
        <f>FMS_Ranking4[[#This Row],[ArcSinh Res struct removed 0-10]]*AN$5*10</f>
        <v>0</v>
      </c>
      <c r="AP60" s="260">
        <f>ASINH(FMS_Ranking4[[#This Row],[Residential Structures Removed Raw]])/AP$4*AN$5*100</f>
        <v>0</v>
      </c>
      <c r="AQ60" s="254">
        <f>(ASINH(FMS_Ranking4[[#This Row],[Residential Structures Removed Raw]]))*(10)/(ASINH(AN$4))</f>
        <v>0</v>
      </c>
      <c r="AR60" s="253">
        <f>_xlfn.XLOOKUP(FMS_Ranking4[[#This Row],[FMS ID]],FMS_Input[FMS_ID],FMS_Input[REMPOP100])</f>
        <v>0</v>
      </c>
      <c r="AS60" s="259">
        <f>(ASINH(FMS_Ranking4[[#This Row],[Removed Pop Raw]]))*(10)/(ASINH(AR$4))</f>
        <v>0</v>
      </c>
      <c r="AT60" s="262">
        <f>FMS_Ranking4[[#This Row],[Removed population, ArcSinh (0-10)]]*AR$5*10</f>
        <v>0</v>
      </c>
      <c r="AU60" s="264">
        <f>_xlfn.XLOOKUP(FMS_Ranking4[[#This Row],[FMS ID]],FMS_Input[FMS_ID],FMS_Input[REMCRITFAC100])</f>
        <v>0</v>
      </c>
      <c r="AV60" s="264">
        <f>_xlfn.XLOOKUP(FMS_Ranking4[[#This Row],[FMS ID]],FMS_Input[FMS_ID],FMS_Input[REMLWC100])</f>
        <v>0</v>
      </c>
      <c r="AW60" s="264">
        <f>_xlfn.XLOOKUP(FMS_Ranking4[[#This Row],[FMS ID]],FMS_Input[FMS_ID],FMS_Input[REMROADCLS])</f>
        <v>0</v>
      </c>
      <c r="AX60" s="264">
        <f>_xlfn.XLOOKUP(FMS_Ranking4[[#This Row],[FMS ID]],FMS_Input[FMS_ID],FMS_Input[REMFRMACRE100])</f>
        <v>0</v>
      </c>
      <c r="AY60" s="258">
        <f>_xlfn.XLOOKUP(FMS_Ranking4[[#This Row],[FMS ID]],FMS_Input[FMS_ID],FMS_Input[COSTSTRUCT])</f>
        <v>0</v>
      </c>
      <c r="AZ60" s="253">
        <f>_xlfn.XLOOKUP(FMS_Ranking4[[#This Row],[FMS ID]],FMS_Input[FMS_ID],FMS_Input[NATURE])</f>
        <v>0</v>
      </c>
      <c r="BA60" s="262">
        <f>(((FMS_Ranking4[[#This Row],[% NBS Raw]]/AZ$4)*100)*AZ$5)</f>
        <v>0</v>
      </c>
      <c r="BB60" s="251" t="str">
        <f>_xlfn.XLOOKUP(FMS_Ranking4[[#This Row],[FMS ID]],FMS_Input[FMS_ID],FMS_Input[WATER_SUP])</f>
        <v>No</v>
      </c>
      <c r="BC60" s="265">
        <f>IF(FMS_Ranking4[[#This Row],[Water Supply Raw]]="Yes",10,0)</f>
        <v>0</v>
      </c>
      <c r="BD60" s="266">
        <f>_xlfn.XLOOKUP(FMS_Ranking4[[#This Row],[FMS Type]],FMS_TYPE[FMS_Type],FMS_TYPE[Score])</f>
        <v>8</v>
      </c>
      <c r="BE60" s="267">
        <f>FMS_Ranking4[[#This Row],[FMS_Type Score]]*$BD$5*10</f>
        <v>2</v>
      </c>
      <c r="BF6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60" s="271">
        <f>_xlfn.RANK.EQ(BF60,$BF$8:$BF$870,0)+COUNTIF($BF$8:BF60,BF60)-1</f>
        <v>33</v>
      </c>
      <c r="BH60" s="268">
        <f>(((FMS_Ranking4[[#This Row],[Structures Removed Raw]]/AK$4)*100)*AK$5)+(((FMS_Ranking4[[#This Row],[Removed Pop Raw]]/AR$4)*100)*AR$5)</f>
        <v>0</v>
      </c>
      <c r="BI6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14.319419633393215</v>
      </c>
      <c r="BJ60" s="205">
        <f>_xlfn.RANK.EQ(FMS_Ranking4[[#This Row],[Total Score 
(with linear
normalization)]],FMS_Ranking4[Total Score 
(with linear
normalization)],0)</f>
        <v>37</v>
      </c>
      <c r="BK60" s="205" t="e">
        <f>_xlfn.XLOOKUP(FMS_Ranking4[[#This Row],[FMS ID]],#REF!,#REF!)</f>
        <v>#REF!</v>
      </c>
      <c r="BL6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60" s="272">
        <f>FMS_Ranking4[[#This Row],[ArcSinh Score Based on Normalized Reported Factors]]+FMS_Ranking4[[#This Row],[% NBS Score (Normalized)]]+(FMS_Ranking4[[#This Row],[Water Supply Score (Normalized)]]*10*$BB$5)+FMS_Ranking4[[#This Row],[FMS_Type Score Weighted]]</f>
        <v>45.345005991174439</v>
      </c>
      <c r="BN60" s="205">
        <f>_xlfn.RANK.EQ(FMS_Ranking4[[#This Row],[Total Score (with ArcSinh normalization of select criteria)]],FMS_Ranking4[Total Score (with ArcSinh normalization of select criteria)],0)</f>
        <v>53</v>
      </c>
      <c r="BO60" s="270" t="str">
        <f>_xlfn.XLOOKUP(FMS_Ranking4[[#This Row],[FMS ID]],FMS_Input[FMS_ID],FMS_Input[FMS_RANK_YEAR])</f>
        <v>2025 Amended Plan</v>
      </c>
      <c r="BP60" s="204" t="e">
        <f>_xlfn.XLOOKUP(FMS_Ranking4[[#This Row],[FMS ID]],Prev_Rank[FMS ID],Prev_Rank[Prev Rank])</f>
        <v>#N/A</v>
      </c>
      <c r="BQ60" s="205" t="e">
        <f>_xlfn.XLOOKUP(FMS_Ranking4[[#This Row],[FMS ID]],#REF!,#REF!)</f>
        <v>#REF!</v>
      </c>
      <c r="BR60" s="199" t="e">
        <f>SUM(#REF!,#REF!,#REF!,#REF!,#REF!,#REF!,#REF!,#REF!,#REF!,FMS_Ranking4[[#This Row],[ArcSinh Res struct removed 0-10]],#REF!)</f>
        <v>#REF!</v>
      </c>
      <c r="BS60" s="199" t="e">
        <f>FMS_Ranking4[[#This Row],[Log Score Based on Normalized Reported Factors]]+FMS_Ranking4[[#This Row],[% NBS Score (Normalized)]]+(FMS_Ranking4[[#This Row],[Water Supply Score (Normalized)]]*10*$BB$5)+(FMS_Ranking4[[#This Row],[FMS_Type Score Weighted]])</f>
        <v>#REF!</v>
      </c>
      <c r="BT60" s="200" t="e">
        <f>_xlfn.RANK.EQ(FMS_Ranking4[[#This Row],[Log Total Score]],FMS_Ranking4[Log Total Score],0)</f>
        <v>#REF!</v>
      </c>
      <c r="BU60" s="200" t="e">
        <f>_xlfn.XLOOKUP(FMS_Ranking4[[#This Row],[FMS ID]],#REF!,#REF!)</f>
        <v>#REF!</v>
      </c>
      <c r="BV60" s="200">
        <f>FMS_Ranking4[[#This Row],[Region Number]]</f>
        <v>15</v>
      </c>
      <c r="BW60" s="200">
        <f>FMS_Ranking4[[#This Row],[Rank (with ArcSinh normalization of select criteria)]]-FMS_Ranking4[[#This Row],[Rank
(with linear
normalization)]]</f>
        <v>16</v>
      </c>
      <c r="BX60" s="200" t="e">
        <f>FMS_Ranking4[[#This Row],[Log Rank]]-FMS_Ranking4[[#This Row],[Rank
(with linear
normalization)]]</f>
        <v>#REF!</v>
      </c>
      <c r="BY60" s="200" t="str">
        <f>IF(FMS_Ranking4[[#This Row],[FMS Type]]="Flood Measurement and Warning",FMS_Ranking4[[#This Row],[Rank (with ArcSinh normalization of select criteria)]],"")</f>
        <v/>
      </c>
      <c r="BZ60" s="200">
        <f>IF(FMS_Ranking4[[#This Row],[FMS Type]]="Regulatory and Guidance",FMS_Ranking4[[#This Row],[Rank (with ArcSinh normalization of select criteria)]],"")</f>
        <v>53</v>
      </c>
      <c r="CA60" s="200" t="str">
        <f>IF(FMS_Ranking4[[#This Row],[FMS Type]]="Education and Outreach",FMS_Ranking4[[#This Row],[Rank (with ArcSinh normalization of select criteria)]],"")</f>
        <v/>
      </c>
      <c r="CB60" s="200" t="str">
        <f>IF(FMS_Ranking4[[#This Row],[FMS Type]]="Property Acquisition and Structural Elevation",FMS_Ranking4[[#This Row],[Rank (with ArcSinh normalization of select criteria)]],"")</f>
        <v/>
      </c>
      <c r="CC60" s="200" t="str">
        <f>IF(FMS_Ranking4[[#This Row],[FMS Type]]="Infrastructure Projects",FMS_Ranking4[[#This Row],[Rank (with ArcSinh normalization of select criteria)]],"")</f>
        <v/>
      </c>
      <c r="CD60" s="200" t="str">
        <f>IF(FMS_Ranking4[[#This Row],[FMS Type]]="Other",FMS_Ranking4[[#This Row],[Rank (with ArcSinh normalization of select criteria)]],"")</f>
        <v/>
      </c>
      <c r="CE60" s="201"/>
    </row>
    <row r="61" spans="2:83" ht="30" x14ac:dyDescent="0.25">
      <c r="B61" s="341" t="s">
        <v>11913</v>
      </c>
      <c r="C61" s="246">
        <f>_xlfn.XLOOKUP(FMS_Ranking4[[#This Row],[FMS ID]],FMS_Input[FMS_ID],FMS_Input[RFPG_NUM])</f>
        <v>15</v>
      </c>
      <c r="D61" s="309" t="str">
        <f>_xlfn.XLOOKUP(FMS_Ranking4[[#This Row],[FMS ID]],FMS_Input[FMS_ID],FMS_Input[FMS_NAME])</f>
        <v>Hidalgo County Drainage District #1 - Action #91</v>
      </c>
      <c r="E61" s="308" t="str">
        <f>_xlfn.XLOOKUP(FMS_Ranking4[[#This Row],[FMS ID]],FMS_Input[FMS_ID],FMS_Input[SPONSOR])</f>
        <v>15000099</v>
      </c>
      <c r="F61" s="309" t="str">
        <f>_xlfn.XLOOKUP(FMS_Ranking4[[#This Row],[FMS ID]],Sponsor[FMS_ID],Sponsor[SPONSOR NAME])</f>
        <v>Hidalgo County Drainage District 1</v>
      </c>
      <c r="G61" s="309" t="str">
        <f>_xlfn.XLOOKUP(FMS_Ranking4[[#This Row],[FMS ID]],FMS_Input[FMS_ID],FMS_Input[FMS_DESCR])</f>
        <v>Projects to increase cyber security</v>
      </c>
      <c r="H61" s="248" t="str">
        <f>_xlfn.XLOOKUP(FMS_Ranking4[[#This Row],[FMS ID]],FMS_Input[FMS_ID],FMS_Input[FMS_TYPE])</f>
        <v>Regulatory and Guidance</v>
      </c>
      <c r="I61" s="249">
        <f>_xlfn.XLOOKUP(FMS_Ranking4[[#This Row],[FMS ID]],FMS_Input[FMS_ID],FMS_Input[NRNC_COST])</f>
        <v>250000</v>
      </c>
      <c r="J61" s="250">
        <f>_xlfn.XLOOKUP(FMS_Ranking4[[#This Row],[FMS ID]],FMS_Input[FMS_ID],FMS_Input[FMS_COST])</f>
        <v>250000</v>
      </c>
      <c r="K61" s="251" t="str">
        <f>_xlfn.XLOOKUP(FMS_Ranking4[[#This Row],[FMS ID]],FMS_Input[FMS_ID],FMS_Input[EMER_NEED])</f>
        <v>Yes</v>
      </c>
      <c r="L61" s="252">
        <f t="shared" si="0"/>
        <v>1</v>
      </c>
      <c r="M61" s="253">
        <f>_xlfn.XLOOKUP(FMS_Ranking4[[#This Row],[FMS ID]],FMS_Input[FMS_ID],FMS_Input[STRUCT_100])</f>
        <v>75816</v>
      </c>
      <c r="N61" s="255">
        <f>(ASINH(FMS_Ranking4[[#This Row],[Structure at Risk Raw]]))*(10)/(ASINH(M$4))</f>
        <v>9.3781366667466006</v>
      </c>
      <c r="O61" s="256">
        <f>FMS_Ranking4[[#This Row],[Structures at risk, ArcSinh (0-10)]]*M$5*10</f>
        <v>9.3781366667466024</v>
      </c>
      <c r="P61" s="253">
        <f>_xlfn.XLOOKUP(FMS_Ranking4[[#This Row],[FMS ID]],FMS_Input[FMS_ID],FMS_Input[RES_STRUCT100])</f>
        <v>61251</v>
      </c>
      <c r="Q61" s="257">
        <f>ASINH(FMS_Ranking4[[#This Row],[Res Structure Raw]])/Q$4*P$5*100</f>
        <v>0</v>
      </c>
      <c r="R61" s="253">
        <f>_xlfn.XLOOKUP(FMS_Ranking4[[#This Row],[FMS ID]],FMS_Input[FMS_ID],FMS_Input[POP100])</f>
        <v>244800</v>
      </c>
      <c r="S61" s="259">
        <f>(ASINH(FMS_Ranking4[[#This Row],[Pop at Risk Raw]]))*(10)/(ASINH(R$4))</f>
        <v>9.0446205033749258</v>
      </c>
      <c r="T61" s="256">
        <f>FMS_Ranking4[[#This Row],[Population at risk, ArcSinh (0-10)]]*R$5*10</f>
        <v>9.0446205033749258</v>
      </c>
      <c r="U61" s="253">
        <f>_xlfn.XLOOKUP(FMS_Ranking4[[#This Row],[FMS ID]],FMS_Input[FMS_ID],FMS_Input[CRITFAC100])</f>
        <v>459</v>
      </c>
      <c r="V61" s="259">
        <f>(ASINH(FMS_Ranking4[[#This Row],[Critical Facilities Raw]]))*(10)/(ASINH(U$4))</f>
        <v>8.0758740230664419</v>
      </c>
      <c r="W61" s="256">
        <f>FMS_Ranking4[[#This Row],[Critical facilities at risk, ArcSinh (0-10)]]*U$5*10</f>
        <v>8.0758740230664436</v>
      </c>
      <c r="X61" s="253">
        <f>_xlfn.XLOOKUP(FMS_Ranking4[[#This Row],[FMS ID]],FMS_Input[FMS_ID],FMS_Input[LWC])</f>
        <v>17</v>
      </c>
      <c r="Y61" s="259">
        <f>(ASINH(FMS_Ranking4[[#This Row],[LWC Raw]]))*(10)/(ASINH(X$4))</f>
        <v>4.7784642222450291</v>
      </c>
      <c r="Z61" s="256">
        <f>FMS_Ranking4[[#This Row],[LWC, ArcSInh (0-10)]]*X$5*10</f>
        <v>4.7784642222450291</v>
      </c>
      <c r="AA61" s="253">
        <f>_xlfn.XLOOKUP(FMS_Ranking4[[#This Row],[FMS ID]],FMS_Input[FMS_ID],FMS_Input[ROADCLS])</f>
        <v>5</v>
      </c>
      <c r="AB61" s="255">
        <f>(ASINH(FMS_Ranking4[[#This Row],[Road Closures Raw]]))*(10)/(ASINH(AA$4))</f>
        <v>2.4081922896382904</v>
      </c>
      <c r="AC61" s="256">
        <f>FMS_Ranking4[[#This Row],[Road closures, ArcSinh (0-10)]]*AA$5*10</f>
        <v>1.2040961448191452</v>
      </c>
      <c r="AD61" s="253">
        <f>_xlfn.XLOOKUP(FMS_Ranking4[[#This Row],[FMS ID]],FMS_Input[FMS_ID],FMS_Input[ROAD_MILES100])</f>
        <v>1840</v>
      </c>
      <c r="AE61" s="259">
        <f>(ASINH(FMS_Ranking4[[#This Row],[Road Miles Raw]]))*(10)/(ASINH(AD$4))</f>
        <v>8.7503132460891155</v>
      </c>
      <c r="AF61" s="256">
        <f>FMS_Ranking4[[#This Row],[Length of roads at risk, ArcSinh (0-10)]]*AD$5*10</f>
        <v>8.7503132460891173</v>
      </c>
      <c r="AG61" s="253">
        <f>_xlfn.XLOOKUP(FMS_Ranking4[[#This Row],[FMS ID]],FMS_Input[FMS_ID],FMS_Input[FARMACRE100])</f>
        <v>334.99685668945313</v>
      </c>
      <c r="AH61" s="255">
        <f>(ASINH(FMS_Ranking4[[#This Row],[Ag Land Raw]]))*(10)/(ASINH(AG$4))</f>
        <v>4.2270023696663568</v>
      </c>
      <c r="AI61" s="260">
        <f>FMS_Ranking4[[#This Row],[Farm &amp; ranch land, ArcSinh (0-10)]]*AG$5*10</f>
        <v>2.1135011848331784</v>
      </c>
      <c r="AJ61" s="258">
        <f>_xlfn.XLOOKUP(FMS_Ranking4[[#This Row],[FMS ID]],FMS_Input[FMS_ID],FMS_Input[REDSTRUCT100])</f>
        <v>0</v>
      </c>
      <c r="AK61" s="253">
        <f>_xlfn.XLOOKUP(FMS_Ranking4[[#This Row],[FMS ID]],FMS_Input[FMS_ID],FMS_Input[REMSTRC100])</f>
        <v>0</v>
      </c>
      <c r="AL61" s="259">
        <f>(ASINH(FMS_Ranking4[[#This Row],[Structures Removed Raw]]))*(10)/(ASINH(AK$4))</f>
        <v>0</v>
      </c>
      <c r="AM61" s="262">
        <f>FMS_Ranking4[[#This Row],[Structures removed, ArcSinh (0-10)]]*AK$5*10</f>
        <v>0</v>
      </c>
      <c r="AN61" s="253">
        <f>_xlfn.XLOOKUP(FMS_Ranking4[[#This Row],[FMS ID]],FMS_Input[FMS_ID],FMS_Input[REMRESSTRC100])</f>
        <v>0</v>
      </c>
      <c r="AO61" s="261">
        <f>FMS_Ranking4[[#This Row],[ArcSinh Res struct removed 0-10]]*AN$5*10</f>
        <v>0</v>
      </c>
      <c r="AP61" s="260">
        <f>ASINH(FMS_Ranking4[[#This Row],[Residential Structures Removed Raw]])/AP$4*AN$5*100</f>
        <v>0</v>
      </c>
      <c r="AQ61" s="254">
        <f>(ASINH(FMS_Ranking4[[#This Row],[Residential Structures Removed Raw]]))*(10)/(ASINH(AN$4))</f>
        <v>0</v>
      </c>
      <c r="AR61" s="253">
        <f>_xlfn.XLOOKUP(FMS_Ranking4[[#This Row],[FMS ID]],FMS_Input[FMS_ID],FMS_Input[REMPOP100])</f>
        <v>0</v>
      </c>
      <c r="AS61" s="259">
        <f>(ASINH(FMS_Ranking4[[#This Row],[Removed Pop Raw]]))*(10)/(ASINH(AR$4))</f>
        <v>0</v>
      </c>
      <c r="AT61" s="262">
        <f>FMS_Ranking4[[#This Row],[Removed population, ArcSinh (0-10)]]*AR$5*10</f>
        <v>0</v>
      </c>
      <c r="AU61" s="264">
        <f>_xlfn.XLOOKUP(FMS_Ranking4[[#This Row],[FMS ID]],FMS_Input[FMS_ID],FMS_Input[REMCRITFAC100])</f>
        <v>0</v>
      </c>
      <c r="AV61" s="264">
        <f>_xlfn.XLOOKUP(FMS_Ranking4[[#This Row],[FMS ID]],FMS_Input[FMS_ID],FMS_Input[REMLWC100])</f>
        <v>0</v>
      </c>
      <c r="AW61" s="264">
        <f>_xlfn.XLOOKUP(FMS_Ranking4[[#This Row],[FMS ID]],FMS_Input[FMS_ID],FMS_Input[REMROADCLS])</f>
        <v>0</v>
      </c>
      <c r="AX61" s="264">
        <f>_xlfn.XLOOKUP(FMS_Ranking4[[#This Row],[FMS ID]],FMS_Input[FMS_ID],FMS_Input[REMFRMACRE100])</f>
        <v>0</v>
      </c>
      <c r="AY61" s="258">
        <f>_xlfn.XLOOKUP(FMS_Ranking4[[#This Row],[FMS ID]],FMS_Input[FMS_ID],FMS_Input[COSTSTRUCT])</f>
        <v>0</v>
      </c>
      <c r="AZ61" s="253">
        <f>_xlfn.XLOOKUP(FMS_Ranking4[[#This Row],[FMS ID]],FMS_Input[FMS_ID],FMS_Input[NATURE])</f>
        <v>0</v>
      </c>
      <c r="BA61" s="262">
        <f>(((FMS_Ranking4[[#This Row],[% NBS Raw]]/AZ$4)*100)*AZ$5)</f>
        <v>0</v>
      </c>
      <c r="BB61" s="251" t="str">
        <f>_xlfn.XLOOKUP(FMS_Ranking4[[#This Row],[FMS ID]],FMS_Input[FMS_ID],FMS_Input[WATER_SUP])</f>
        <v>No</v>
      </c>
      <c r="BC61" s="265">
        <f>IF(FMS_Ranking4[[#This Row],[Water Supply Raw]]="Yes",10,0)</f>
        <v>0</v>
      </c>
      <c r="BD61" s="266">
        <f>_xlfn.XLOOKUP(FMS_Ranking4[[#This Row],[FMS Type]],FMS_TYPE[FMS_Type],FMS_TYPE[Score])</f>
        <v>8</v>
      </c>
      <c r="BE61" s="267">
        <f>FMS_Ranking4[[#This Row],[FMS_Type Score]]*$BD$5*10</f>
        <v>2</v>
      </c>
      <c r="BF6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61" s="271">
        <f>_xlfn.RANK.EQ(BF61,$BF$8:$BF$870,0)+COUNTIF($BF$8:BF61,BF61)-1</f>
        <v>34</v>
      </c>
      <c r="BH61" s="268">
        <f>(((FMS_Ranking4[[#This Row],[Structures Removed Raw]]/AK$4)*100)*AK$5)+(((FMS_Ranking4[[#This Row],[Removed Pop Raw]]/AR$4)*100)*AR$5)</f>
        <v>0</v>
      </c>
      <c r="BI6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14.319419633393215</v>
      </c>
      <c r="BJ61" s="205">
        <f>_xlfn.RANK.EQ(FMS_Ranking4[[#This Row],[Total Score 
(with linear
normalization)]],FMS_Ranking4[Total Score 
(with linear
normalization)],0)</f>
        <v>37</v>
      </c>
      <c r="BK61" s="205" t="e">
        <f>_xlfn.XLOOKUP(FMS_Ranking4[[#This Row],[FMS ID]],#REF!,#REF!)</f>
        <v>#REF!</v>
      </c>
      <c r="BL6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61" s="272">
        <f>FMS_Ranking4[[#This Row],[ArcSinh Score Based on Normalized Reported Factors]]+FMS_Ranking4[[#This Row],[% NBS Score (Normalized)]]+(FMS_Ranking4[[#This Row],[Water Supply Score (Normalized)]]*10*$BB$5)+FMS_Ranking4[[#This Row],[FMS_Type Score Weighted]]</f>
        <v>45.345005991174439</v>
      </c>
      <c r="BN61" s="205">
        <f>_xlfn.RANK.EQ(FMS_Ranking4[[#This Row],[Total Score (with ArcSinh normalization of select criteria)]],FMS_Ranking4[Total Score (with ArcSinh normalization of select criteria)],0)</f>
        <v>53</v>
      </c>
      <c r="BO61" s="270" t="str">
        <f>_xlfn.XLOOKUP(FMS_Ranking4[[#This Row],[FMS ID]],FMS_Input[FMS_ID],FMS_Input[FMS_RANK_YEAR])</f>
        <v>2025 Amended Plan</v>
      </c>
      <c r="BP61" s="204" t="e">
        <f>_xlfn.XLOOKUP(FMS_Ranking4[[#This Row],[FMS ID]],Prev_Rank[FMS ID],Prev_Rank[Prev Rank])</f>
        <v>#N/A</v>
      </c>
      <c r="BQ61" s="205" t="e">
        <f>_xlfn.XLOOKUP(FMS_Ranking4[[#This Row],[FMS ID]],#REF!,#REF!)</f>
        <v>#REF!</v>
      </c>
      <c r="BR61" s="199" t="e">
        <f>SUM(#REF!,#REF!,#REF!,#REF!,#REF!,#REF!,#REF!,#REF!,#REF!,FMS_Ranking4[[#This Row],[ArcSinh Res struct removed 0-10]],#REF!)</f>
        <v>#REF!</v>
      </c>
      <c r="BS61" s="199" t="e">
        <f>FMS_Ranking4[[#This Row],[Log Score Based on Normalized Reported Factors]]+FMS_Ranking4[[#This Row],[% NBS Score (Normalized)]]+(FMS_Ranking4[[#This Row],[Water Supply Score (Normalized)]]*10*$BB$5)+(FMS_Ranking4[[#This Row],[FMS_Type Score Weighted]])</f>
        <v>#REF!</v>
      </c>
      <c r="BT61" s="200" t="e">
        <f>_xlfn.RANK.EQ(FMS_Ranking4[[#This Row],[Log Total Score]],FMS_Ranking4[Log Total Score],0)</f>
        <v>#REF!</v>
      </c>
      <c r="BU61" s="200" t="e">
        <f>_xlfn.XLOOKUP(FMS_Ranking4[[#This Row],[FMS ID]],#REF!,#REF!)</f>
        <v>#REF!</v>
      </c>
      <c r="BV61" s="200">
        <f>FMS_Ranking4[[#This Row],[Region Number]]</f>
        <v>15</v>
      </c>
      <c r="BW61" s="200">
        <f>FMS_Ranking4[[#This Row],[Rank (with ArcSinh normalization of select criteria)]]-FMS_Ranking4[[#This Row],[Rank
(with linear
normalization)]]</f>
        <v>16</v>
      </c>
      <c r="BX61" s="200" t="e">
        <f>FMS_Ranking4[[#This Row],[Log Rank]]-FMS_Ranking4[[#This Row],[Rank
(with linear
normalization)]]</f>
        <v>#REF!</v>
      </c>
      <c r="BY61" s="200" t="str">
        <f>IF(FMS_Ranking4[[#This Row],[FMS Type]]="Flood Measurement and Warning",FMS_Ranking4[[#This Row],[Rank (with ArcSinh normalization of select criteria)]],"")</f>
        <v/>
      </c>
      <c r="BZ61" s="200">
        <f>IF(FMS_Ranking4[[#This Row],[FMS Type]]="Regulatory and Guidance",FMS_Ranking4[[#This Row],[Rank (with ArcSinh normalization of select criteria)]],"")</f>
        <v>53</v>
      </c>
      <c r="CA61" s="200" t="str">
        <f>IF(FMS_Ranking4[[#This Row],[FMS Type]]="Education and Outreach",FMS_Ranking4[[#This Row],[Rank (with ArcSinh normalization of select criteria)]],"")</f>
        <v/>
      </c>
      <c r="CB61" s="200" t="str">
        <f>IF(FMS_Ranking4[[#This Row],[FMS Type]]="Property Acquisition and Structural Elevation",FMS_Ranking4[[#This Row],[Rank (with ArcSinh normalization of select criteria)]],"")</f>
        <v/>
      </c>
      <c r="CC61" s="200" t="str">
        <f>IF(FMS_Ranking4[[#This Row],[FMS Type]]="Infrastructure Projects",FMS_Ranking4[[#This Row],[Rank (with ArcSinh normalization of select criteria)]],"")</f>
        <v/>
      </c>
      <c r="CD61" s="200" t="str">
        <f>IF(FMS_Ranking4[[#This Row],[FMS Type]]="Other",FMS_Ranking4[[#This Row],[Rank (with ArcSinh normalization of select criteria)]],"")</f>
        <v/>
      </c>
      <c r="CE61" s="201"/>
    </row>
    <row r="62" spans="2:83" ht="45" x14ac:dyDescent="0.25">
      <c r="B62" s="341" t="s">
        <v>11903</v>
      </c>
      <c r="C62" s="246">
        <f>_xlfn.XLOOKUP(FMS_Ranking4[[#This Row],[FMS ID]],FMS_Input[FMS_ID],FMS_Input[RFPG_NUM])</f>
        <v>15</v>
      </c>
      <c r="D62" s="309" t="str">
        <f>_xlfn.XLOOKUP(FMS_Ranking4[[#This Row],[FMS ID]],FMS_Input[FMS_ID],FMS_Input[FMS_NAME])</f>
        <v>Hidalgo County Drainage District #1 - Action #10</v>
      </c>
      <c r="E62" s="308" t="str">
        <f>_xlfn.XLOOKUP(FMS_Ranking4[[#This Row],[FMS ID]],FMS_Input[FMS_ID],FMS_Input[SPONSOR])</f>
        <v>15000099</v>
      </c>
      <c r="F62" s="309" t="str">
        <f>_xlfn.XLOOKUP(FMS_Ranking4[[#This Row],[FMS ID]],Sponsor[FMS_ID],Sponsor[SPONSOR NAME])</f>
        <v>Hidalgo County Drainage District 1</v>
      </c>
      <c r="G62" s="309" t="str">
        <f>_xlfn.XLOOKUP(FMS_Ranking4[[#This Row],[FMS ID]],FMS_Input[FMS_ID],FMS_Input[FMS_DESCR])</f>
        <v>Adopt and implement program for cleaning debris from bridges, drains, culverts</v>
      </c>
      <c r="H62" s="248" t="str">
        <f>_xlfn.XLOOKUP(FMS_Ranking4[[#This Row],[FMS ID]],FMS_Input[FMS_ID],FMS_Input[FMS_TYPE])</f>
        <v>Regulatory and Guidance</v>
      </c>
      <c r="I62" s="249">
        <f>_xlfn.XLOOKUP(FMS_Ranking4[[#This Row],[FMS ID]],FMS_Input[FMS_ID],FMS_Input[NRNC_COST])</f>
        <v>50000</v>
      </c>
      <c r="J62" s="250">
        <f>_xlfn.XLOOKUP(FMS_Ranking4[[#This Row],[FMS ID]],FMS_Input[FMS_ID],FMS_Input[FMS_COST])</f>
        <v>50000</v>
      </c>
      <c r="K62" s="251" t="str">
        <f>_xlfn.XLOOKUP(FMS_Ranking4[[#This Row],[FMS ID]],FMS_Input[FMS_ID],FMS_Input[EMER_NEED])</f>
        <v>Yes</v>
      </c>
      <c r="L62" s="252">
        <f t="shared" si="0"/>
        <v>1</v>
      </c>
      <c r="M62" s="253">
        <f>_xlfn.XLOOKUP(FMS_Ranking4[[#This Row],[FMS ID]],FMS_Input[FMS_ID],FMS_Input[STRUCT_100])</f>
        <v>75816</v>
      </c>
      <c r="N62" s="255">
        <f>(ASINH(FMS_Ranking4[[#This Row],[Structure at Risk Raw]]))*(10)/(ASINH(M$4))</f>
        <v>9.3781366667466006</v>
      </c>
      <c r="O62" s="256">
        <f>FMS_Ranking4[[#This Row],[Structures at risk, ArcSinh (0-10)]]*M$5*10</f>
        <v>9.3781366667466024</v>
      </c>
      <c r="P62" s="253">
        <f>_xlfn.XLOOKUP(FMS_Ranking4[[#This Row],[FMS ID]],FMS_Input[FMS_ID],FMS_Input[RES_STRUCT100])</f>
        <v>61251</v>
      </c>
      <c r="Q62" s="257">
        <f>ASINH(FMS_Ranking4[[#This Row],[Res Structure Raw]])/Q$4*P$5*100</f>
        <v>0</v>
      </c>
      <c r="R62" s="253">
        <f>_xlfn.XLOOKUP(FMS_Ranking4[[#This Row],[FMS ID]],FMS_Input[FMS_ID],FMS_Input[POP100])</f>
        <v>244800</v>
      </c>
      <c r="S62" s="255">
        <f>(ASINH(FMS_Ranking4[[#This Row],[Pop at Risk Raw]]))*(10)/(ASINH(R$4))</f>
        <v>9.0446205033749258</v>
      </c>
      <c r="T62" s="256">
        <f>FMS_Ranking4[[#This Row],[Population at risk, ArcSinh (0-10)]]*R$5*10</f>
        <v>9.0446205033749258</v>
      </c>
      <c r="U62" s="253">
        <f>_xlfn.XLOOKUP(FMS_Ranking4[[#This Row],[FMS ID]],FMS_Input[FMS_ID],FMS_Input[CRITFAC100])</f>
        <v>459</v>
      </c>
      <c r="V62" s="255">
        <f>(ASINH(FMS_Ranking4[[#This Row],[Critical Facilities Raw]]))*(10)/(ASINH(U$4))</f>
        <v>8.0758740230664419</v>
      </c>
      <c r="W62" s="256">
        <f>FMS_Ranking4[[#This Row],[Critical facilities at risk, ArcSinh (0-10)]]*U$5*10</f>
        <v>8.0758740230664436</v>
      </c>
      <c r="X62" s="253">
        <f>_xlfn.XLOOKUP(FMS_Ranking4[[#This Row],[FMS ID]],FMS_Input[FMS_ID],FMS_Input[LWC])</f>
        <v>17</v>
      </c>
      <c r="Y62" s="255">
        <f>(ASINH(FMS_Ranking4[[#This Row],[LWC Raw]]))*(10)/(ASINH(X$4))</f>
        <v>4.7784642222450291</v>
      </c>
      <c r="Z62" s="256">
        <f>FMS_Ranking4[[#This Row],[LWC, ArcSInh (0-10)]]*X$5*10</f>
        <v>4.7784642222450291</v>
      </c>
      <c r="AA62" s="253">
        <f>_xlfn.XLOOKUP(FMS_Ranking4[[#This Row],[FMS ID]],FMS_Input[FMS_ID],FMS_Input[ROADCLS])</f>
        <v>5</v>
      </c>
      <c r="AB62" s="255">
        <f>(ASINH(FMS_Ranking4[[#This Row],[Road Closures Raw]]))*(10)/(ASINH(AA$4))</f>
        <v>2.4081922896382904</v>
      </c>
      <c r="AC62" s="256">
        <f>FMS_Ranking4[[#This Row],[Road closures, ArcSinh (0-10)]]*AA$5*10</f>
        <v>1.2040961448191452</v>
      </c>
      <c r="AD62" s="253">
        <f>_xlfn.XLOOKUP(FMS_Ranking4[[#This Row],[FMS ID]],FMS_Input[FMS_ID],FMS_Input[ROAD_MILES100])</f>
        <v>1840</v>
      </c>
      <c r="AE62" s="255">
        <f>(ASINH(FMS_Ranking4[[#This Row],[Road Miles Raw]]))*(10)/(ASINH(AD$4))</f>
        <v>8.7503132460891155</v>
      </c>
      <c r="AF62" s="256">
        <f>FMS_Ranking4[[#This Row],[Length of roads at risk, ArcSinh (0-10)]]*AD$5*10</f>
        <v>8.7503132460891173</v>
      </c>
      <c r="AG62" s="253">
        <f>_xlfn.XLOOKUP(FMS_Ranking4[[#This Row],[FMS ID]],FMS_Input[FMS_ID],FMS_Input[FARMACRE100])</f>
        <v>334.99685668945313</v>
      </c>
      <c r="AH62" s="255">
        <f>(ASINH(FMS_Ranking4[[#This Row],[Ag Land Raw]]))*(10)/(ASINH(AG$4))</f>
        <v>4.2270023696663568</v>
      </c>
      <c r="AI62" s="260">
        <f>FMS_Ranking4[[#This Row],[Farm &amp; ranch land, ArcSinh (0-10)]]*AG$5*10</f>
        <v>2.1135011848331784</v>
      </c>
      <c r="AJ62" s="258">
        <f>_xlfn.XLOOKUP(FMS_Ranking4[[#This Row],[FMS ID]],FMS_Input[FMS_ID],FMS_Input[REDSTRUCT100])</f>
        <v>0</v>
      </c>
      <c r="AK62" s="253">
        <f>_xlfn.XLOOKUP(FMS_Ranking4[[#This Row],[FMS ID]],FMS_Input[FMS_ID],FMS_Input[REMSTRC100])</f>
        <v>0</v>
      </c>
      <c r="AL62" s="255">
        <f>(ASINH(FMS_Ranking4[[#This Row],[Structures Removed Raw]]))*(10)/(ASINH(AK$4))</f>
        <v>0</v>
      </c>
      <c r="AM62" s="262">
        <f>FMS_Ranking4[[#This Row],[Structures removed, ArcSinh (0-10)]]*AK$5*10</f>
        <v>0</v>
      </c>
      <c r="AN62" s="253">
        <f>_xlfn.XLOOKUP(FMS_Ranking4[[#This Row],[FMS ID]],FMS_Input[FMS_ID],FMS_Input[REMRESSTRC100])</f>
        <v>0</v>
      </c>
      <c r="AO62" s="261">
        <f>FMS_Ranking4[[#This Row],[ArcSinh Res struct removed 0-10]]*AN$5*10</f>
        <v>0</v>
      </c>
      <c r="AP62" s="260">
        <f>ASINH(FMS_Ranking4[[#This Row],[Residential Structures Removed Raw]])/AP$4*AN$5*100</f>
        <v>0</v>
      </c>
      <c r="AQ62" s="258">
        <f>(ASINH(FMS_Ranking4[[#This Row],[Residential Structures Removed Raw]]))*(10)/(ASINH(AN$4))</f>
        <v>0</v>
      </c>
      <c r="AR62" s="253">
        <f>_xlfn.XLOOKUP(FMS_Ranking4[[#This Row],[FMS ID]],FMS_Input[FMS_ID],FMS_Input[REMPOP100])</f>
        <v>0</v>
      </c>
      <c r="AS62" s="255">
        <f>(ASINH(FMS_Ranking4[[#This Row],[Removed Pop Raw]]))*(10)/(ASINH(AR$4))</f>
        <v>0</v>
      </c>
      <c r="AT62" s="262">
        <f>FMS_Ranking4[[#This Row],[Removed population, ArcSinh (0-10)]]*AR$5*10</f>
        <v>0</v>
      </c>
      <c r="AU62" s="264">
        <f>_xlfn.XLOOKUP(FMS_Ranking4[[#This Row],[FMS ID]],FMS_Input[FMS_ID],FMS_Input[REMCRITFAC100])</f>
        <v>0</v>
      </c>
      <c r="AV62" s="264">
        <f>_xlfn.XLOOKUP(FMS_Ranking4[[#This Row],[FMS ID]],FMS_Input[FMS_ID],FMS_Input[REMLWC100])</f>
        <v>0</v>
      </c>
      <c r="AW62" s="264">
        <f>_xlfn.XLOOKUP(FMS_Ranking4[[#This Row],[FMS ID]],FMS_Input[FMS_ID],FMS_Input[REMROADCLS])</f>
        <v>0</v>
      </c>
      <c r="AX62" s="264">
        <f>_xlfn.XLOOKUP(FMS_Ranking4[[#This Row],[FMS ID]],FMS_Input[FMS_ID],FMS_Input[REMFRMACRE100])</f>
        <v>0</v>
      </c>
      <c r="AY62" s="258">
        <f>_xlfn.XLOOKUP(FMS_Ranking4[[#This Row],[FMS ID]],FMS_Input[FMS_ID],FMS_Input[COSTSTRUCT])</f>
        <v>0</v>
      </c>
      <c r="AZ62" s="253">
        <f>_xlfn.XLOOKUP(FMS_Ranking4[[#This Row],[FMS ID]],FMS_Input[FMS_ID],FMS_Input[NATURE])</f>
        <v>0</v>
      </c>
      <c r="BA62" s="262">
        <f>(((FMS_Ranking4[[#This Row],[% NBS Raw]]/AZ$4)*100)*AZ$5)</f>
        <v>0</v>
      </c>
      <c r="BB62" s="251" t="str">
        <f>_xlfn.XLOOKUP(FMS_Ranking4[[#This Row],[FMS ID]],FMS_Input[FMS_ID],FMS_Input[WATER_SUP])</f>
        <v>No</v>
      </c>
      <c r="BC62" s="265">
        <f>IF(FMS_Ranking4[[#This Row],[Water Supply Raw]]="Yes",10,0)</f>
        <v>0</v>
      </c>
      <c r="BD62" s="266">
        <f>_xlfn.XLOOKUP(FMS_Ranking4[[#This Row],[FMS Type]],FMS_TYPE[FMS_Type],FMS_TYPE[Score])</f>
        <v>8</v>
      </c>
      <c r="BE62" s="267">
        <f>FMS_Ranking4[[#This Row],[FMS_Type Score]]*$BD$5*10</f>
        <v>2</v>
      </c>
      <c r="BF6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62" s="321">
        <f>_xlfn.RANK.EQ(BF62,$BF$8:$BF$870,0)+COUNTIF($BF$8:BF62,BF62)-1</f>
        <v>35</v>
      </c>
      <c r="BH62" s="294">
        <f>(((FMS_Ranking4[[#This Row],[Structures Removed Raw]]/AK$4)*100)*AK$5)+(((FMS_Ranking4[[#This Row],[Removed Pop Raw]]/AR$4)*100)*AR$5)</f>
        <v>0</v>
      </c>
      <c r="BI6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14.319419633393215</v>
      </c>
      <c r="BJ62" s="251">
        <f>_xlfn.RANK.EQ(FMS_Ranking4[[#This Row],[Total Score 
(with linear
normalization)]],FMS_Ranking4[Total Score 
(with linear
normalization)],0)</f>
        <v>37</v>
      </c>
      <c r="BK62" s="251" t="e">
        <f>_xlfn.XLOOKUP(FMS_Ranking4[[#This Row],[FMS ID]],#REF!,#REF!)</f>
        <v>#REF!</v>
      </c>
      <c r="BL6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62" s="324">
        <f>FMS_Ranking4[[#This Row],[ArcSinh Score Based on Normalized Reported Factors]]+FMS_Ranking4[[#This Row],[% NBS Score (Normalized)]]+(FMS_Ranking4[[#This Row],[Water Supply Score (Normalized)]]*10*$BB$5)+FMS_Ranking4[[#This Row],[FMS_Type Score Weighted]]</f>
        <v>45.345005991174439</v>
      </c>
      <c r="BN62" s="251">
        <f>_xlfn.RANK.EQ(FMS_Ranking4[[#This Row],[Total Score (with ArcSinh normalization of select criteria)]],FMS_Ranking4[Total Score (with ArcSinh normalization of select criteria)],0)</f>
        <v>53</v>
      </c>
      <c r="BO62" s="270" t="str">
        <f>_xlfn.XLOOKUP(FMS_Ranking4[[#This Row],[FMS ID]],FMS_Input[FMS_ID],FMS_Input[FMS_RANK_YEAR])</f>
        <v>2025 Amended Plan</v>
      </c>
      <c r="BP62" s="204" t="e">
        <f>_xlfn.XLOOKUP(FMS_Ranking4[[#This Row],[FMS ID]],Prev_Rank[FMS ID],Prev_Rank[Prev Rank])</f>
        <v>#N/A</v>
      </c>
      <c r="BQ62" s="251" t="e">
        <f>_xlfn.XLOOKUP(FMS_Ranking4[[#This Row],[FMS ID]],#REF!,#REF!)</f>
        <v>#REF!</v>
      </c>
      <c r="BR62" s="199" t="e">
        <f>SUM(#REF!,#REF!,#REF!,#REF!,#REF!,#REF!,#REF!,#REF!,#REF!,FMS_Ranking4[[#This Row],[ArcSinh Res struct removed 0-10]],#REF!)</f>
        <v>#REF!</v>
      </c>
      <c r="BS62" s="199" t="e">
        <f>FMS_Ranking4[[#This Row],[Log Score Based on Normalized Reported Factors]]+FMS_Ranking4[[#This Row],[% NBS Score (Normalized)]]+(FMS_Ranking4[[#This Row],[Water Supply Score (Normalized)]]*10*$BB$5)+(FMS_Ranking4[[#This Row],[FMS_Type Score Weighted]])</f>
        <v>#REF!</v>
      </c>
      <c r="BT62" s="200" t="e">
        <f>_xlfn.RANK.EQ(FMS_Ranking4[[#This Row],[Log Total Score]],FMS_Ranking4[Log Total Score],0)</f>
        <v>#REF!</v>
      </c>
      <c r="BU62" s="200" t="e">
        <f>_xlfn.XLOOKUP(FMS_Ranking4[[#This Row],[FMS ID]],#REF!,#REF!)</f>
        <v>#REF!</v>
      </c>
      <c r="BV62" s="200">
        <f>FMS_Ranking4[[#This Row],[Region Number]]</f>
        <v>15</v>
      </c>
      <c r="BW62" s="200">
        <f>FMS_Ranking4[[#This Row],[Rank (with ArcSinh normalization of select criteria)]]-FMS_Ranking4[[#This Row],[Rank
(with linear
normalization)]]</f>
        <v>16</v>
      </c>
      <c r="BX62" s="200" t="e">
        <f>FMS_Ranking4[[#This Row],[Log Rank]]-FMS_Ranking4[[#This Row],[Rank
(with linear
normalization)]]</f>
        <v>#REF!</v>
      </c>
      <c r="BY62" s="200" t="str">
        <f>IF(FMS_Ranking4[[#This Row],[FMS Type]]="Flood Measurement and Warning",FMS_Ranking4[[#This Row],[Rank (with ArcSinh normalization of select criteria)]],"")</f>
        <v/>
      </c>
      <c r="BZ62" s="200">
        <f>IF(FMS_Ranking4[[#This Row],[FMS Type]]="Regulatory and Guidance",FMS_Ranking4[[#This Row],[Rank (with ArcSinh normalization of select criteria)]],"")</f>
        <v>53</v>
      </c>
      <c r="CA62" s="200" t="str">
        <f>IF(FMS_Ranking4[[#This Row],[FMS Type]]="Education and Outreach",FMS_Ranking4[[#This Row],[Rank (with ArcSinh normalization of select criteria)]],"")</f>
        <v/>
      </c>
      <c r="CB62" s="200" t="str">
        <f>IF(FMS_Ranking4[[#This Row],[FMS Type]]="Property Acquisition and Structural Elevation",FMS_Ranking4[[#This Row],[Rank (with ArcSinh normalization of select criteria)]],"")</f>
        <v/>
      </c>
      <c r="CC62" s="200" t="str">
        <f>IF(FMS_Ranking4[[#This Row],[FMS Type]]="Infrastructure Projects",FMS_Ranking4[[#This Row],[Rank (with ArcSinh normalization of select criteria)]],"")</f>
        <v/>
      </c>
      <c r="CD62" s="200" t="str">
        <f>IF(FMS_Ranking4[[#This Row],[FMS Type]]="Other",FMS_Ranking4[[#This Row],[Rank (with ArcSinh normalization of select criteria)]],"")</f>
        <v/>
      </c>
      <c r="CE62" s="201"/>
    </row>
    <row r="63" spans="2:83" ht="45" x14ac:dyDescent="0.25">
      <c r="B63" s="341" t="s">
        <v>11924</v>
      </c>
      <c r="C63" s="246">
        <f>_xlfn.XLOOKUP(FMS_Ranking4[[#This Row],[FMS ID]],FMS_Input[FMS_ID],FMS_Input[RFPG_NUM])</f>
        <v>15</v>
      </c>
      <c r="D63" s="309" t="str">
        <f>_xlfn.XLOOKUP(FMS_Ranking4[[#This Row],[FMS ID]],FMS_Input[FMS_ID],FMS_Input[FMS_NAME])</f>
        <v>Hidalgo County Drainage District #1 - Action #36</v>
      </c>
      <c r="E63" s="308" t="str">
        <f>_xlfn.XLOOKUP(FMS_Ranking4[[#This Row],[FMS ID]],FMS_Input[FMS_ID],FMS_Input[SPONSOR])</f>
        <v>15000099</v>
      </c>
      <c r="F63" s="309" t="str">
        <f>_xlfn.XLOOKUP(FMS_Ranking4[[#This Row],[FMS ID]],Sponsor[FMS_ID],Sponsor[SPONSOR NAME])</f>
        <v>Hidalgo County Drainage District 1</v>
      </c>
      <c r="G63" s="309" t="str">
        <f>_xlfn.XLOOKUP(FMS_Ranking4[[#This Row],[FMS ID]],FMS_Input[FMS_ID],FMS_Input[FMS_DESCR])</f>
        <v>Develop Hazardous Material Spills Prevention and Contingency Plan</v>
      </c>
      <c r="H63" s="248" t="str">
        <f>_xlfn.XLOOKUP(FMS_Ranking4[[#This Row],[FMS ID]],FMS_Input[FMS_ID],FMS_Input[FMS_TYPE])</f>
        <v>Regulatory and Guidance</v>
      </c>
      <c r="I63" s="249">
        <f>_xlfn.XLOOKUP(FMS_Ranking4[[#This Row],[FMS ID]],FMS_Input[FMS_ID],FMS_Input[NRNC_COST])</f>
        <v>30000</v>
      </c>
      <c r="J63" s="250">
        <f>_xlfn.XLOOKUP(FMS_Ranking4[[#This Row],[FMS ID]],FMS_Input[FMS_ID],FMS_Input[FMS_COST])</f>
        <v>30000</v>
      </c>
      <c r="K63" s="251" t="str">
        <f>_xlfn.XLOOKUP(FMS_Ranking4[[#This Row],[FMS ID]],FMS_Input[FMS_ID],FMS_Input[EMER_NEED])</f>
        <v>Yes</v>
      </c>
      <c r="L63" s="252">
        <f t="shared" si="0"/>
        <v>1</v>
      </c>
      <c r="M63" s="253">
        <f>_xlfn.XLOOKUP(FMS_Ranking4[[#This Row],[FMS ID]],FMS_Input[FMS_ID],FMS_Input[STRUCT_100])</f>
        <v>75816</v>
      </c>
      <c r="N63" s="255">
        <f>(ASINH(FMS_Ranking4[[#This Row],[Structure at Risk Raw]]))*(10)/(ASINH(M$4))</f>
        <v>9.3781366667466006</v>
      </c>
      <c r="O63" s="256">
        <f>FMS_Ranking4[[#This Row],[Structures at risk, ArcSinh (0-10)]]*M$5*10</f>
        <v>9.3781366667466024</v>
      </c>
      <c r="P63" s="253">
        <f>_xlfn.XLOOKUP(FMS_Ranking4[[#This Row],[FMS ID]],FMS_Input[FMS_ID],FMS_Input[RES_STRUCT100])</f>
        <v>61251</v>
      </c>
      <c r="Q63" s="257">
        <f>ASINH(FMS_Ranking4[[#This Row],[Res Structure Raw]])/Q$4*P$5*100</f>
        <v>0</v>
      </c>
      <c r="R63" s="253">
        <f>_xlfn.XLOOKUP(FMS_Ranking4[[#This Row],[FMS ID]],FMS_Input[FMS_ID],FMS_Input[POP100])</f>
        <v>244800</v>
      </c>
      <c r="S63" s="255">
        <f>(ASINH(FMS_Ranking4[[#This Row],[Pop at Risk Raw]]))*(10)/(ASINH(R$4))</f>
        <v>9.0446205033749258</v>
      </c>
      <c r="T63" s="256">
        <f>FMS_Ranking4[[#This Row],[Population at risk, ArcSinh (0-10)]]*R$5*10</f>
        <v>9.0446205033749258</v>
      </c>
      <c r="U63" s="253">
        <f>_xlfn.XLOOKUP(FMS_Ranking4[[#This Row],[FMS ID]],FMS_Input[FMS_ID],FMS_Input[CRITFAC100])</f>
        <v>459</v>
      </c>
      <c r="V63" s="255">
        <f>(ASINH(FMS_Ranking4[[#This Row],[Critical Facilities Raw]]))*(10)/(ASINH(U$4))</f>
        <v>8.0758740230664419</v>
      </c>
      <c r="W63" s="256">
        <f>FMS_Ranking4[[#This Row],[Critical facilities at risk, ArcSinh (0-10)]]*U$5*10</f>
        <v>8.0758740230664436</v>
      </c>
      <c r="X63" s="253">
        <f>_xlfn.XLOOKUP(FMS_Ranking4[[#This Row],[FMS ID]],FMS_Input[FMS_ID],FMS_Input[LWC])</f>
        <v>17</v>
      </c>
      <c r="Y63" s="255">
        <f>(ASINH(FMS_Ranking4[[#This Row],[LWC Raw]]))*(10)/(ASINH(X$4))</f>
        <v>4.7784642222450291</v>
      </c>
      <c r="Z63" s="256">
        <f>FMS_Ranking4[[#This Row],[LWC, ArcSInh (0-10)]]*X$5*10</f>
        <v>4.7784642222450291</v>
      </c>
      <c r="AA63" s="253">
        <f>_xlfn.XLOOKUP(FMS_Ranking4[[#This Row],[FMS ID]],FMS_Input[FMS_ID],FMS_Input[ROADCLS])</f>
        <v>5</v>
      </c>
      <c r="AB63" s="255">
        <f>(ASINH(FMS_Ranking4[[#This Row],[Road Closures Raw]]))*(10)/(ASINH(AA$4))</f>
        <v>2.4081922896382904</v>
      </c>
      <c r="AC63" s="256">
        <f>FMS_Ranking4[[#This Row],[Road closures, ArcSinh (0-10)]]*AA$5*10</f>
        <v>1.2040961448191452</v>
      </c>
      <c r="AD63" s="253">
        <f>_xlfn.XLOOKUP(FMS_Ranking4[[#This Row],[FMS ID]],FMS_Input[FMS_ID],FMS_Input[ROAD_MILES100])</f>
        <v>1840</v>
      </c>
      <c r="AE63" s="255">
        <f>(ASINH(FMS_Ranking4[[#This Row],[Road Miles Raw]]))*(10)/(ASINH(AD$4))</f>
        <v>8.7503132460891155</v>
      </c>
      <c r="AF63" s="256">
        <f>FMS_Ranking4[[#This Row],[Length of roads at risk, ArcSinh (0-10)]]*AD$5*10</f>
        <v>8.7503132460891173</v>
      </c>
      <c r="AG63" s="253">
        <f>_xlfn.XLOOKUP(FMS_Ranking4[[#This Row],[FMS ID]],FMS_Input[FMS_ID],FMS_Input[FARMACRE100])</f>
        <v>334.99685668945313</v>
      </c>
      <c r="AH63" s="255">
        <f>(ASINH(FMS_Ranking4[[#This Row],[Ag Land Raw]]))*(10)/(ASINH(AG$4))</f>
        <v>4.2270023696663568</v>
      </c>
      <c r="AI63" s="260">
        <f>FMS_Ranking4[[#This Row],[Farm &amp; ranch land, ArcSinh (0-10)]]*AG$5*10</f>
        <v>2.1135011848331784</v>
      </c>
      <c r="AJ63" s="258">
        <f>_xlfn.XLOOKUP(FMS_Ranking4[[#This Row],[FMS ID]],FMS_Input[FMS_ID],FMS_Input[REDSTRUCT100])</f>
        <v>0</v>
      </c>
      <c r="AK63" s="253">
        <f>_xlfn.XLOOKUP(FMS_Ranking4[[#This Row],[FMS ID]],FMS_Input[FMS_ID],FMS_Input[REMSTRC100])</f>
        <v>0</v>
      </c>
      <c r="AL63" s="255">
        <f>(ASINH(FMS_Ranking4[[#This Row],[Structures Removed Raw]]))*(10)/(ASINH(AK$4))</f>
        <v>0</v>
      </c>
      <c r="AM63" s="262">
        <f>FMS_Ranking4[[#This Row],[Structures removed, ArcSinh (0-10)]]*AK$5*10</f>
        <v>0</v>
      </c>
      <c r="AN63" s="253">
        <f>_xlfn.XLOOKUP(FMS_Ranking4[[#This Row],[FMS ID]],FMS_Input[FMS_ID],FMS_Input[REMRESSTRC100])</f>
        <v>0</v>
      </c>
      <c r="AO63" s="261">
        <f>FMS_Ranking4[[#This Row],[ArcSinh Res struct removed 0-10]]*AN$5*10</f>
        <v>0</v>
      </c>
      <c r="AP63" s="260">
        <f>ASINH(FMS_Ranking4[[#This Row],[Residential Structures Removed Raw]])/AP$4*AN$5*100</f>
        <v>0</v>
      </c>
      <c r="AQ63" s="258">
        <f>(ASINH(FMS_Ranking4[[#This Row],[Residential Structures Removed Raw]]))*(10)/(ASINH(AN$4))</f>
        <v>0</v>
      </c>
      <c r="AR63" s="253">
        <f>_xlfn.XLOOKUP(FMS_Ranking4[[#This Row],[FMS ID]],FMS_Input[FMS_ID],FMS_Input[REMPOP100])</f>
        <v>0</v>
      </c>
      <c r="AS63" s="255">
        <f>(ASINH(FMS_Ranking4[[#This Row],[Removed Pop Raw]]))*(10)/(ASINH(AR$4))</f>
        <v>0</v>
      </c>
      <c r="AT63" s="262">
        <f>FMS_Ranking4[[#This Row],[Removed population, ArcSinh (0-10)]]*AR$5*10</f>
        <v>0</v>
      </c>
      <c r="AU63" s="264">
        <f>_xlfn.XLOOKUP(FMS_Ranking4[[#This Row],[FMS ID]],FMS_Input[FMS_ID],FMS_Input[REMCRITFAC100])</f>
        <v>0</v>
      </c>
      <c r="AV63" s="264">
        <f>_xlfn.XLOOKUP(FMS_Ranking4[[#This Row],[FMS ID]],FMS_Input[FMS_ID],FMS_Input[REMLWC100])</f>
        <v>0</v>
      </c>
      <c r="AW63" s="264">
        <f>_xlfn.XLOOKUP(FMS_Ranking4[[#This Row],[FMS ID]],FMS_Input[FMS_ID],FMS_Input[REMROADCLS])</f>
        <v>0</v>
      </c>
      <c r="AX63" s="264">
        <f>_xlfn.XLOOKUP(FMS_Ranking4[[#This Row],[FMS ID]],FMS_Input[FMS_ID],FMS_Input[REMFRMACRE100])</f>
        <v>0</v>
      </c>
      <c r="AY63" s="258">
        <f>_xlfn.XLOOKUP(FMS_Ranking4[[#This Row],[FMS ID]],FMS_Input[FMS_ID],FMS_Input[COSTSTRUCT])</f>
        <v>0</v>
      </c>
      <c r="AZ63" s="253">
        <f>_xlfn.XLOOKUP(FMS_Ranking4[[#This Row],[FMS ID]],FMS_Input[FMS_ID],FMS_Input[NATURE])</f>
        <v>0</v>
      </c>
      <c r="BA63" s="262">
        <f>(((FMS_Ranking4[[#This Row],[% NBS Raw]]/AZ$4)*100)*AZ$5)</f>
        <v>0</v>
      </c>
      <c r="BB63" s="251" t="str">
        <f>_xlfn.XLOOKUP(FMS_Ranking4[[#This Row],[FMS ID]],FMS_Input[FMS_ID],FMS_Input[WATER_SUP])</f>
        <v>No</v>
      </c>
      <c r="BC63" s="265">
        <f>IF(FMS_Ranking4[[#This Row],[Water Supply Raw]]="Yes",10,0)</f>
        <v>0</v>
      </c>
      <c r="BD63" s="266">
        <f>_xlfn.XLOOKUP(FMS_Ranking4[[#This Row],[FMS Type]],FMS_TYPE[FMS_Type],FMS_TYPE[Score])</f>
        <v>8</v>
      </c>
      <c r="BE63" s="267">
        <f>FMS_Ranking4[[#This Row],[FMS_Type Score]]*$BD$5*10</f>
        <v>2</v>
      </c>
      <c r="BF6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63" s="321">
        <f>_xlfn.RANK.EQ(BF63,$BF$8:$BF$870,0)+COUNTIF($BF$8:BF63,BF63)-1</f>
        <v>36</v>
      </c>
      <c r="BH63" s="294">
        <f>(((FMS_Ranking4[[#This Row],[Structures Removed Raw]]/AK$4)*100)*AK$5)+(((FMS_Ranking4[[#This Row],[Removed Pop Raw]]/AR$4)*100)*AR$5)</f>
        <v>0</v>
      </c>
      <c r="BI6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14.319419633393215</v>
      </c>
      <c r="BJ63" s="251">
        <f>_xlfn.RANK.EQ(FMS_Ranking4[[#This Row],[Total Score 
(with linear
normalization)]],FMS_Ranking4[Total Score 
(with linear
normalization)],0)</f>
        <v>37</v>
      </c>
      <c r="BK63" s="251" t="e">
        <f>_xlfn.XLOOKUP(FMS_Ranking4[[#This Row],[FMS ID]],#REF!,#REF!)</f>
        <v>#REF!</v>
      </c>
      <c r="BL6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63" s="324">
        <f>FMS_Ranking4[[#This Row],[ArcSinh Score Based on Normalized Reported Factors]]+FMS_Ranking4[[#This Row],[% NBS Score (Normalized)]]+(FMS_Ranking4[[#This Row],[Water Supply Score (Normalized)]]*10*$BB$5)+FMS_Ranking4[[#This Row],[FMS_Type Score Weighted]]</f>
        <v>45.345005991174439</v>
      </c>
      <c r="BN63" s="251">
        <f>_xlfn.RANK.EQ(FMS_Ranking4[[#This Row],[Total Score (with ArcSinh normalization of select criteria)]],FMS_Ranking4[Total Score (with ArcSinh normalization of select criteria)],0)</f>
        <v>53</v>
      </c>
      <c r="BO63" s="270" t="str">
        <f>_xlfn.XLOOKUP(FMS_Ranking4[[#This Row],[FMS ID]],FMS_Input[FMS_ID],FMS_Input[FMS_RANK_YEAR])</f>
        <v>2025 Amended Plan</v>
      </c>
      <c r="BP63" s="204" t="e">
        <f>_xlfn.XLOOKUP(FMS_Ranking4[[#This Row],[FMS ID]],Prev_Rank[FMS ID],Prev_Rank[Prev Rank])</f>
        <v>#N/A</v>
      </c>
      <c r="BQ63" s="251" t="e">
        <f>_xlfn.XLOOKUP(FMS_Ranking4[[#This Row],[FMS ID]],#REF!,#REF!)</f>
        <v>#REF!</v>
      </c>
      <c r="BR63" s="199" t="e">
        <f>SUM(#REF!,#REF!,#REF!,#REF!,#REF!,#REF!,#REF!,#REF!,#REF!,FMS_Ranking4[[#This Row],[ArcSinh Res struct removed 0-10]],#REF!)</f>
        <v>#REF!</v>
      </c>
      <c r="BS63" s="199" t="e">
        <f>FMS_Ranking4[[#This Row],[Log Score Based on Normalized Reported Factors]]+FMS_Ranking4[[#This Row],[% NBS Score (Normalized)]]+(FMS_Ranking4[[#This Row],[Water Supply Score (Normalized)]]*10*$BB$5)+(FMS_Ranking4[[#This Row],[FMS_Type Score Weighted]])</f>
        <v>#REF!</v>
      </c>
      <c r="BT63" s="200" t="e">
        <f>_xlfn.RANK.EQ(FMS_Ranking4[[#This Row],[Log Total Score]],FMS_Ranking4[Log Total Score],0)</f>
        <v>#REF!</v>
      </c>
      <c r="BU63" s="200" t="e">
        <f>_xlfn.XLOOKUP(FMS_Ranking4[[#This Row],[FMS ID]],#REF!,#REF!)</f>
        <v>#REF!</v>
      </c>
      <c r="BV63" s="200">
        <f>FMS_Ranking4[[#This Row],[Region Number]]</f>
        <v>15</v>
      </c>
      <c r="BW63" s="200">
        <f>FMS_Ranking4[[#This Row],[Rank (with ArcSinh normalization of select criteria)]]-FMS_Ranking4[[#This Row],[Rank
(with linear
normalization)]]</f>
        <v>16</v>
      </c>
      <c r="BX63" s="200" t="e">
        <f>FMS_Ranking4[[#This Row],[Log Rank]]-FMS_Ranking4[[#This Row],[Rank
(with linear
normalization)]]</f>
        <v>#REF!</v>
      </c>
      <c r="BY63" s="200" t="str">
        <f>IF(FMS_Ranking4[[#This Row],[FMS Type]]="Flood Measurement and Warning",FMS_Ranking4[[#This Row],[Rank (with ArcSinh normalization of select criteria)]],"")</f>
        <v/>
      </c>
      <c r="BZ63" s="200">
        <f>IF(FMS_Ranking4[[#This Row],[FMS Type]]="Regulatory and Guidance",FMS_Ranking4[[#This Row],[Rank (with ArcSinh normalization of select criteria)]],"")</f>
        <v>53</v>
      </c>
      <c r="CA63" s="200" t="str">
        <f>IF(FMS_Ranking4[[#This Row],[FMS Type]]="Education and Outreach",FMS_Ranking4[[#This Row],[Rank (with ArcSinh normalization of select criteria)]],"")</f>
        <v/>
      </c>
      <c r="CB63" s="200" t="str">
        <f>IF(FMS_Ranking4[[#This Row],[FMS Type]]="Property Acquisition and Structural Elevation",FMS_Ranking4[[#This Row],[Rank (with ArcSinh normalization of select criteria)]],"")</f>
        <v/>
      </c>
      <c r="CC63" s="200" t="str">
        <f>IF(FMS_Ranking4[[#This Row],[FMS Type]]="Infrastructure Projects",FMS_Ranking4[[#This Row],[Rank (with ArcSinh normalization of select criteria)]],"")</f>
        <v/>
      </c>
      <c r="CD63" s="200" t="str">
        <f>IF(FMS_Ranking4[[#This Row],[FMS Type]]="Other",FMS_Ranking4[[#This Row],[Rank (with ArcSinh normalization of select criteria)]],"")</f>
        <v/>
      </c>
      <c r="CE63" s="201"/>
    </row>
    <row r="64" spans="2:83" ht="30" x14ac:dyDescent="0.25">
      <c r="B64" s="341" t="s">
        <v>11937</v>
      </c>
      <c r="C64" s="246">
        <f>_xlfn.XLOOKUP(FMS_Ranking4[[#This Row],[FMS ID]],FMS_Input[FMS_ID],FMS_Input[RFPG_NUM])</f>
        <v>15</v>
      </c>
      <c r="D64" s="309" t="str">
        <f>_xlfn.XLOOKUP(FMS_Ranking4[[#This Row],[FMS ID]],FMS_Input[FMS_ID],FMS_Input[FMS_NAME])</f>
        <v>Hidalgo County Drainage District #1 - Action #16</v>
      </c>
      <c r="E64" s="308" t="str">
        <f>_xlfn.XLOOKUP(FMS_Ranking4[[#This Row],[FMS ID]],FMS_Input[FMS_ID],FMS_Input[SPONSOR])</f>
        <v>15000099</v>
      </c>
      <c r="F64" s="309" t="str">
        <f>_xlfn.XLOOKUP(FMS_Ranking4[[#This Row],[FMS ID]],Sponsor[FMS_ID],Sponsor[SPONSOR NAME])</f>
        <v>Hidalgo County Drainage District 1</v>
      </c>
      <c r="G64" s="309" t="str">
        <f>_xlfn.XLOOKUP(FMS_Ranking4[[#This Row],[FMS ID]],FMS_Input[FMS_ID],FMS_Input[FMS_DESCR])</f>
        <v>Incorporate Higher standards for hazard resistance</v>
      </c>
      <c r="H64" s="248" t="str">
        <f>_xlfn.XLOOKUP(FMS_Ranking4[[#This Row],[FMS ID]],FMS_Input[FMS_ID],FMS_Input[FMS_TYPE])</f>
        <v>Regulatory and Guidance</v>
      </c>
      <c r="I64" s="249">
        <f>_xlfn.XLOOKUP(FMS_Ranking4[[#This Row],[FMS ID]],FMS_Input[FMS_ID],FMS_Input[NRNC_COST])</f>
        <v>15000</v>
      </c>
      <c r="J64" s="250">
        <f>_xlfn.XLOOKUP(FMS_Ranking4[[#This Row],[FMS ID]],FMS_Input[FMS_ID],FMS_Input[FMS_COST])</f>
        <v>15000</v>
      </c>
      <c r="K64" s="251" t="str">
        <f>_xlfn.XLOOKUP(FMS_Ranking4[[#This Row],[FMS ID]],FMS_Input[FMS_ID],FMS_Input[EMER_NEED])</f>
        <v>Yes</v>
      </c>
      <c r="L64" s="252">
        <f t="shared" si="0"/>
        <v>1</v>
      </c>
      <c r="M64" s="253">
        <f>_xlfn.XLOOKUP(FMS_Ranking4[[#This Row],[FMS ID]],FMS_Input[FMS_ID],FMS_Input[STRUCT_100])</f>
        <v>75816</v>
      </c>
      <c r="N64" s="255">
        <f>(ASINH(FMS_Ranking4[[#This Row],[Structure at Risk Raw]]))*(10)/(ASINH(M$4))</f>
        <v>9.3781366667466006</v>
      </c>
      <c r="O64" s="256">
        <f>FMS_Ranking4[[#This Row],[Structures at risk, ArcSinh (0-10)]]*M$5*10</f>
        <v>9.3781366667466024</v>
      </c>
      <c r="P64" s="253">
        <f>_xlfn.XLOOKUP(FMS_Ranking4[[#This Row],[FMS ID]],FMS_Input[FMS_ID],FMS_Input[RES_STRUCT100])</f>
        <v>61251</v>
      </c>
      <c r="Q64" s="257">
        <f>ASINH(FMS_Ranking4[[#This Row],[Res Structure Raw]])/Q$4*P$5*100</f>
        <v>0</v>
      </c>
      <c r="R64" s="253">
        <f>_xlfn.XLOOKUP(FMS_Ranking4[[#This Row],[FMS ID]],FMS_Input[FMS_ID],FMS_Input[POP100])</f>
        <v>244800</v>
      </c>
      <c r="S64" s="259">
        <f>(ASINH(FMS_Ranking4[[#This Row],[Pop at Risk Raw]]))*(10)/(ASINH(R$4))</f>
        <v>9.0446205033749258</v>
      </c>
      <c r="T64" s="256">
        <f>FMS_Ranking4[[#This Row],[Population at risk, ArcSinh (0-10)]]*R$5*10</f>
        <v>9.0446205033749258</v>
      </c>
      <c r="U64" s="253">
        <f>_xlfn.XLOOKUP(FMS_Ranking4[[#This Row],[FMS ID]],FMS_Input[FMS_ID],FMS_Input[CRITFAC100])</f>
        <v>459</v>
      </c>
      <c r="V64" s="259">
        <f>(ASINH(FMS_Ranking4[[#This Row],[Critical Facilities Raw]]))*(10)/(ASINH(U$4))</f>
        <v>8.0758740230664419</v>
      </c>
      <c r="W64" s="256">
        <f>FMS_Ranking4[[#This Row],[Critical facilities at risk, ArcSinh (0-10)]]*U$5*10</f>
        <v>8.0758740230664436</v>
      </c>
      <c r="X64" s="253">
        <f>_xlfn.XLOOKUP(FMS_Ranking4[[#This Row],[FMS ID]],FMS_Input[FMS_ID],FMS_Input[LWC])</f>
        <v>17</v>
      </c>
      <c r="Y64" s="259">
        <f>(ASINH(FMS_Ranking4[[#This Row],[LWC Raw]]))*(10)/(ASINH(X$4))</f>
        <v>4.7784642222450291</v>
      </c>
      <c r="Z64" s="256">
        <f>FMS_Ranking4[[#This Row],[LWC, ArcSInh (0-10)]]*X$5*10</f>
        <v>4.7784642222450291</v>
      </c>
      <c r="AA64" s="253">
        <f>_xlfn.XLOOKUP(FMS_Ranking4[[#This Row],[FMS ID]],FMS_Input[FMS_ID],FMS_Input[ROADCLS])</f>
        <v>5</v>
      </c>
      <c r="AB64" s="255">
        <f>(ASINH(FMS_Ranking4[[#This Row],[Road Closures Raw]]))*(10)/(ASINH(AA$4))</f>
        <v>2.4081922896382904</v>
      </c>
      <c r="AC64" s="256">
        <f>FMS_Ranking4[[#This Row],[Road closures, ArcSinh (0-10)]]*AA$5*10</f>
        <v>1.2040961448191452</v>
      </c>
      <c r="AD64" s="253">
        <f>_xlfn.XLOOKUP(FMS_Ranking4[[#This Row],[FMS ID]],FMS_Input[FMS_ID],FMS_Input[ROAD_MILES100])</f>
        <v>1840</v>
      </c>
      <c r="AE64" s="259">
        <f>(ASINH(FMS_Ranking4[[#This Row],[Road Miles Raw]]))*(10)/(ASINH(AD$4))</f>
        <v>8.7503132460891155</v>
      </c>
      <c r="AF64" s="256">
        <f>FMS_Ranking4[[#This Row],[Length of roads at risk, ArcSinh (0-10)]]*AD$5*10</f>
        <v>8.7503132460891173</v>
      </c>
      <c r="AG64" s="253">
        <f>_xlfn.XLOOKUP(FMS_Ranking4[[#This Row],[FMS ID]],FMS_Input[FMS_ID],FMS_Input[FARMACRE100])</f>
        <v>334.99685668945313</v>
      </c>
      <c r="AH64" s="255">
        <f>(ASINH(FMS_Ranking4[[#This Row],[Ag Land Raw]]))*(10)/(ASINH(AG$4))</f>
        <v>4.2270023696663568</v>
      </c>
      <c r="AI64" s="260">
        <f>FMS_Ranking4[[#This Row],[Farm &amp; ranch land, ArcSinh (0-10)]]*AG$5*10</f>
        <v>2.1135011848331784</v>
      </c>
      <c r="AJ64" s="258">
        <f>_xlfn.XLOOKUP(FMS_Ranking4[[#This Row],[FMS ID]],FMS_Input[FMS_ID],FMS_Input[REDSTRUCT100])</f>
        <v>0</v>
      </c>
      <c r="AK64" s="253">
        <f>_xlfn.XLOOKUP(FMS_Ranking4[[#This Row],[FMS ID]],FMS_Input[FMS_ID],FMS_Input[REMSTRC100])</f>
        <v>0</v>
      </c>
      <c r="AL64" s="259">
        <f>(ASINH(FMS_Ranking4[[#This Row],[Structures Removed Raw]]))*(10)/(ASINH(AK$4))</f>
        <v>0</v>
      </c>
      <c r="AM64" s="262">
        <f>FMS_Ranking4[[#This Row],[Structures removed, ArcSinh (0-10)]]*AK$5*10</f>
        <v>0</v>
      </c>
      <c r="AN64" s="253">
        <f>_xlfn.XLOOKUP(FMS_Ranking4[[#This Row],[FMS ID]],FMS_Input[FMS_ID],FMS_Input[REMRESSTRC100])</f>
        <v>0</v>
      </c>
      <c r="AO64" s="261">
        <f>FMS_Ranking4[[#This Row],[ArcSinh Res struct removed 0-10]]*AN$5*10</f>
        <v>0</v>
      </c>
      <c r="AP64" s="260">
        <f>ASINH(FMS_Ranking4[[#This Row],[Residential Structures Removed Raw]])/AP$4*AN$5*100</f>
        <v>0</v>
      </c>
      <c r="AQ64" s="254">
        <f>(ASINH(FMS_Ranking4[[#This Row],[Residential Structures Removed Raw]]))*(10)/(ASINH(AN$4))</f>
        <v>0</v>
      </c>
      <c r="AR64" s="253">
        <f>_xlfn.XLOOKUP(FMS_Ranking4[[#This Row],[FMS ID]],FMS_Input[FMS_ID],FMS_Input[REMPOP100])</f>
        <v>0</v>
      </c>
      <c r="AS64" s="259">
        <f>(ASINH(FMS_Ranking4[[#This Row],[Removed Pop Raw]]))*(10)/(ASINH(AR$4))</f>
        <v>0</v>
      </c>
      <c r="AT64" s="262">
        <f>FMS_Ranking4[[#This Row],[Removed population, ArcSinh (0-10)]]*AR$5*10</f>
        <v>0</v>
      </c>
      <c r="AU64" s="264">
        <f>_xlfn.XLOOKUP(FMS_Ranking4[[#This Row],[FMS ID]],FMS_Input[FMS_ID],FMS_Input[REMCRITFAC100])</f>
        <v>0</v>
      </c>
      <c r="AV64" s="264">
        <f>_xlfn.XLOOKUP(FMS_Ranking4[[#This Row],[FMS ID]],FMS_Input[FMS_ID],FMS_Input[REMLWC100])</f>
        <v>0</v>
      </c>
      <c r="AW64" s="264">
        <f>_xlfn.XLOOKUP(FMS_Ranking4[[#This Row],[FMS ID]],FMS_Input[FMS_ID],FMS_Input[REMROADCLS])</f>
        <v>0</v>
      </c>
      <c r="AX64" s="264">
        <f>_xlfn.XLOOKUP(FMS_Ranking4[[#This Row],[FMS ID]],FMS_Input[FMS_ID],FMS_Input[REMFRMACRE100])</f>
        <v>0</v>
      </c>
      <c r="AY64" s="258">
        <f>_xlfn.XLOOKUP(FMS_Ranking4[[#This Row],[FMS ID]],FMS_Input[FMS_ID],FMS_Input[COSTSTRUCT])</f>
        <v>0</v>
      </c>
      <c r="AZ64" s="253">
        <f>_xlfn.XLOOKUP(FMS_Ranking4[[#This Row],[FMS ID]],FMS_Input[FMS_ID],FMS_Input[NATURE])</f>
        <v>0</v>
      </c>
      <c r="BA64" s="262">
        <f>(((FMS_Ranking4[[#This Row],[% NBS Raw]]/AZ$4)*100)*AZ$5)</f>
        <v>0</v>
      </c>
      <c r="BB64" s="251" t="str">
        <f>_xlfn.XLOOKUP(FMS_Ranking4[[#This Row],[FMS ID]],FMS_Input[FMS_ID],FMS_Input[WATER_SUP])</f>
        <v>No</v>
      </c>
      <c r="BC64" s="265">
        <f>IF(FMS_Ranking4[[#This Row],[Water Supply Raw]]="Yes",10,0)</f>
        <v>0</v>
      </c>
      <c r="BD64" s="266">
        <f>_xlfn.XLOOKUP(FMS_Ranking4[[#This Row],[FMS Type]],FMS_TYPE[FMS_Type],FMS_TYPE[Score])</f>
        <v>8</v>
      </c>
      <c r="BE64" s="267">
        <f>FMS_Ranking4[[#This Row],[FMS_Type Score]]*$BD$5*10</f>
        <v>2</v>
      </c>
      <c r="BF6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64" s="271">
        <f>_xlfn.RANK.EQ(BF64,$BF$8:$BF$870,0)+COUNTIF($BF$8:BF64,BF64)-1</f>
        <v>37</v>
      </c>
      <c r="BH64" s="268">
        <f>(((FMS_Ranking4[[#This Row],[Structures Removed Raw]]/AK$4)*100)*AK$5)+(((FMS_Ranking4[[#This Row],[Removed Pop Raw]]/AR$4)*100)*AR$5)</f>
        <v>0</v>
      </c>
      <c r="BI6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14.319419633393215</v>
      </c>
      <c r="BJ64" s="205">
        <f>_xlfn.RANK.EQ(FMS_Ranking4[[#This Row],[Total Score 
(with linear
normalization)]],FMS_Ranking4[Total Score 
(with linear
normalization)],0)</f>
        <v>37</v>
      </c>
      <c r="BK64" s="205" t="e">
        <f>_xlfn.XLOOKUP(FMS_Ranking4[[#This Row],[FMS ID]],#REF!,#REF!)</f>
        <v>#REF!</v>
      </c>
      <c r="BL6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64" s="272">
        <f>FMS_Ranking4[[#This Row],[ArcSinh Score Based on Normalized Reported Factors]]+FMS_Ranking4[[#This Row],[% NBS Score (Normalized)]]+(FMS_Ranking4[[#This Row],[Water Supply Score (Normalized)]]*10*$BB$5)+FMS_Ranking4[[#This Row],[FMS_Type Score Weighted]]</f>
        <v>45.345005991174439</v>
      </c>
      <c r="BN64" s="205">
        <f>_xlfn.RANK.EQ(FMS_Ranking4[[#This Row],[Total Score (with ArcSinh normalization of select criteria)]],FMS_Ranking4[Total Score (with ArcSinh normalization of select criteria)],0)</f>
        <v>53</v>
      </c>
      <c r="BO64" s="270" t="str">
        <f>_xlfn.XLOOKUP(FMS_Ranking4[[#This Row],[FMS ID]],FMS_Input[FMS_ID],FMS_Input[FMS_RANK_YEAR])</f>
        <v>2025 Amended Plan</v>
      </c>
      <c r="BP64" s="204" t="e">
        <f>_xlfn.XLOOKUP(FMS_Ranking4[[#This Row],[FMS ID]],Prev_Rank[FMS ID],Prev_Rank[Prev Rank])</f>
        <v>#N/A</v>
      </c>
      <c r="BQ64" s="205" t="e">
        <f>_xlfn.XLOOKUP(FMS_Ranking4[[#This Row],[FMS ID]],#REF!,#REF!)</f>
        <v>#REF!</v>
      </c>
      <c r="BR64" s="199" t="e">
        <f>SUM(#REF!,#REF!,#REF!,#REF!,#REF!,#REF!,#REF!,#REF!,#REF!,FMS_Ranking4[[#This Row],[ArcSinh Res struct removed 0-10]],#REF!)</f>
        <v>#REF!</v>
      </c>
      <c r="BS64" s="199" t="e">
        <f>FMS_Ranking4[[#This Row],[Log Score Based on Normalized Reported Factors]]+FMS_Ranking4[[#This Row],[% NBS Score (Normalized)]]+(FMS_Ranking4[[#This Row],[Water Supply Score (Normalized)]]*10*$BB$5)+(FMS_Ranking4[[#This Row],[FMS_Type Score Weighted]])</f>
        <v>#REF!</v>
      </c>
      <c r="BT64" s="200" t="e">
        <f>_xlfn.RANK.EQ(FMS_Ranking4[[#This Row],[Log Total Score]],FMS_Ranking4[Log Total Score],0)</f>
        <v>#REF!</v>
      </c>
      <c r="BU64" s="200" t="e">
        <f>_xlfn.XLOOKUP(FMS_Ranking4[[#This Row],[FMS ID]],#REF!,#REF!)</f>
        <v>#REF!</v>
      </c>
      <c r="BV64" s="200">
        <f>FMS_Ranking4[[#This Row],[Region Number]]</f>
        <v>15</v>
      </c>
      <c r="BW64" s="200">
        <f>FMS_Ranking4[[#This Row],[Rank (with ArcSinh normalization of select criteria)]]-FMS_Ranking4[[#This Row],[Rank
(with linear
normalization)]]</f>
        <v>16</v>
      </c>
      <c r="BX64" s="200" t="e">
        <f>FMS_Ranking4[[#This Row],[Log Rank]]-FMS_Ranking4[[#This Row],[Rank
(with linear
normalization)]]</f>
        <v>#REF!</v>
      </c>
      <c r="BY64" s="200" t="str">
        <f>IF(FMS_Ranking4[[#This Row],[FMS Type]]="Flood Measurement and Warning",FMS_Ranking4[[#This Row],[Rank (with ArcSinh normalization of select criteria)]],"")</f>
        <v/>
      </c>
      <c r="BZ64" s="200">
        <f>IF(FMS_Ranking4[[#This Row],[FMS Type]]="Regulatory and Guidance",FMS_Ranking4[[#This Row],[Rank (with ArcSinh normalization of select criteria)]],"")</f>
        <v>53</v>
      </c>
      <c r="CA64" s="200" t="str">
        <f>IF(FMS_Ranking4[[#This Row],[FMS Type]]="Education and Outreach",FMS_Ranking4[[#This Row],[Rank (with ArcSinh normalization of select criteria)]],"")</f>
        <v/>
      </c>
      <c r="CB64" s="200" t="str">
        <f>IF(FMS_Ranking4[[#This Row],[FMS Type]]="Property Acquisition and Structural Elevation",FMS_Ranking4[[#This Row],[Rank (with ArcSinh normalization of select criteria)]],"")</f>
        <v/>
      </c>
      <c r="CC64" s="200" t="str">
        <f>IF(FMS_Ranking4[[#This Row],[FMS Type]]="Infrastructure Projects",FMS_Ranking4[[#This Row],[Rank (with ArcSinh normalization of select criteria)]],"")</f>
        <v/>
      </c>
      <c r="CD64" s="200" t="str">
        <f>IF(FMS_Ranking4[[#This Row],[FMS Type]]="Other",FMS_Ranking4[[#This Row],[Rank (with ArcSinh normalization of select criteria)]],"")</f>
        <v/>
      </c>
      <c r="CE64" s="201"/>
    </row>
    <row r="65" spans="2:83" ht="60" x14ac:dyDescent="0.25">
      <c r="B65" s="346" t="s">
        <v>3910</v>
      </c>
      <c r="C65" s="246">
        <f>_xlfn.XLOOKUP(FMS_Ranking4[[#This Row],[FMS ID]],FMS_Input[FMS_ID],FMS_Input[RFPG_NUM])</f>
        <v>15</v>
      </c>
      <c r="D65" s="309" t="str">
        <f>_xlfn.XLOOKUP(FMS_Ranking4[[#This Row],[FMS ID]],FMS_Input[FMS_ID],FMS_Input[FMS_NAME])</f>
        <v>Hidalgo County #3-1.2</v>
      </c>
      <c r="E65" s="308" t="str">
        <f>_xlfn.XLOOKUP(FMS_Ranking4[[#This Row],[FMS ID]],FMS_Input[FMS_ID],FMS_Input[SPONSOR])</f>
        <v>15000004</v>
      </c>
      <c r="F65" s="309" t="str">
        <f>_xlfn.XLOOKUP(FMS_Ranking4[[#This Row],[FMS ID]],Sponsor[FMS_ID],Sponsor[SPONSOR NAME])</f>
        <v>Hidalgo</v>
      </c>
      <c r="G65" s="309" t="str">
        <f>_xlfn.XLOOKUP(FMS_Ranking4[[#This Row],[FMS ID]],FMS_Input[FMS_ID],FMS_Input[FMS_DESCR])</f>
        <v>Enhance The Appropriate Websites To Provide Convenient Access To Most Current Hazard Maps.</v>
      </c>
      <c r="H65" s="248" t="str">
        <f>_xlfn.XLOOKUP(FMS_Ranking4[[#This Row],[FMS ID]],FMS_Input[FMS_ID],FMS_Input[FMS_TYPE])</f>
        <v>Education and Outreach</v>
      </c>
      <c r="I65" s="249">
        <f>_xlfn.XLOOKUP(FMS_Ranking4[[#This Row],[FMS ID]],FMS_Input[FMS_ID],FMS_Input[NRNC_COST])</f>
        <v>1000</v>
      </c>
      <c r="J65" s="250">
        <f>_xlfn.XLOOKUP(FMS_Ranking4[[#This Row],[FMS ID]],FMS_Input[FMS_ID],FMS_Input[FMS_COST])</f>
        <v>50000</v>
      </c>
      <c r="K65" s="251" t="str">
        <f>_xlfn.XLOOKUP(FMS_Ranking4[[#This Row],[FMS ID]],FMS_Input[FMS_ID],FMS_Input[EMER_NEED])</f>
        <v>Yes</v>
      </c>
      <c r="L65" s="252">
        <f t="shared" si="0"/>
        <v>1</v>
      </c>
      <c r="M65" s="253">
        <f>_xlfn.XLOOKUP(FMS_Ranking4[[#This Row],[FMS ID]],FMS_Input[FMS_ID],FMS_Input[STRUCT_100])</f>
        <v>167224</v>
      </c>
      <c r="N65" s="255">
        <f>(ASINH(FMS_Ranking4[[#This Row],[Structure at Risk Raw]]))*(10)/(ASINH(M$4))</f>
        <v>10</v>
      </c>
      <c r="O65" s="256">
        <f>FMS_Ranking4[[#This Row],[Structures at risk, ArcSinh (0-10)]]*M$5*10</f>
        <v>10</v>
      </c>
      <c r="P65" s="253">
        <f>_xlfn.XLOOKUP(FMS_Ranking4[[#This Row],[FMS ID]],FMS_Input[FMS_ID],FMS_Input[RES_STRUCT100])</f>
        <v>135738</v>
      </c>
      <c r="Q65" s="257">
        <f>ASINH(FMS_Ranking4[[#This Row],[Res Structure Raw]])/Q$4*P$5*100</f>
        <v>0</v>
      </c>
      <c r="R65" s="253">
        <f>_xlfn.XLOOKUP(FMS_Ranking4[[#This Row],[FMS ID]],FMS_Input[FMS_ID],FMS_Input[POP100])</f>
        <v>569558</v>
      </c>
      <c r="S65" s="255">
        <f>(ASINH(FMS_Ranking4[[#This Row],[Pop at Risk Raw]]))*(10)/(ASINH(R$4))</f>
        <v>9.6275721482674861</v>
      </c>
      <c r="T65" s="256">
        <f>FMS_Ranking4[[#This Row],[Population at risk, ArcSinh (0-10)]]*R$5*10</f>
        <v>9.6275721482674861</v>
      </c>
      <c r="U65" s="253">
        <f>_xlfn.XLOOKUP(FMS_Ranking4[[#This Row],[FMS ID]],FMS_Input[FMS_ID],FMS_Input[CRITFAC100])</f>
        <v>62</v>
      </c>
      <c r="V65" s="255">
        <f>(ASINH(FMS_Ranking4[[#This Row],[Critical Facilities Raw]]))*(10)/(ASINH(U$4))</f>
        <v>5.7061534362365105</v>
      </c>
      <c r="W65" s="256">
        <f>FMS_Ranking4[[#This Row],[Critical facilities at risk, ArcSinh (0-10)]]*U$5*10</f>
        <v>5.7061534362365105</v>
      </c>
      <c r="X65" s="253">
        <f>_xlfn.XLOOKUP(FMS_Ranking4[[#This Row],[FMS ID]],FMS_Input[FMS_ID],FMS_Input[LWC])</f>
        <v>16</v>
      </c>
      <c r="Y65" s="255">
        <f>(ASINH(FMS_Ranking4[[#This Row],[LWC Raw]]))*(10)/(ASINH(X$4))</f>
        <v>4.6964844083783914</v>
      </c>
      <c r="Z65" s="256">
        <f>FMS_Ranking4[[#This Row],[LWC, ArcSInh (0-10)]]*X$5*10</f>
        <v>4.6964844083783923</v>
      </c>
      <c r="AA65" s="253">
        <f>_xlfn.XLOOKUP(FMS_Ranking4[[#This Row],[FMS ID]],FMS_Input[FMS_ID],FMS_Input[ROADCLS])</f>
        <v>0</v>
      </c>
      <c r="AB65" s="255">
        <f>(ASINH(FMS_Ranking4[[#This Row],[Road Closures Raw]]))*(10)/(ASINH(AA$4))</f>
        <v>0</v>
      </c>
      <c r="AC65" s="256">
        <f>FMS_Ranking4[[#This Row],[Road closures, ArcSinh (0-10)]]*AA$5*10</f>
        <v>0</v>
      </c>
      <c r="AD65" s="253">
        <f>_xlfn.XLOOKUP(FMS_Ranking4[[#This Row],[FMS ID]],FMS_Input[FMS_ID],FMS_Input[ROAD_MILES100])</f>
        <v>3065</v>
      </c>
      <c r="AE65" s="255">
        <f>(ASINH(FMS_Ranking4[[#This Row],[Road Miles Raw]]))*(10)/(ASINH(AD$4))</f>
        <v>9.2941334144264758</v>
      </c>
      <c r="AF65" s="256">
        <f>FMS_Ranking4[[#This Row],[Length of roads at risk, ArcSinh (0-10)]]*AD$5*10</f>
        <v>9.2941334144264758</v>
      </c>
      <c r="AG65" s="253">
        <f>_xlfn.XLOOKUP(FMS_Ranking4[[#This Row],[FMS ID]],FMS_Input[FMS_ID],FMS_Input[FARMACRE100])</f>
        <v>338728.96875</v>
      </c>
      <c r="AH65" s="255">
        <f>(ASINH(FMS_Ranking4[[#This Row],[Ag Land Raw]]))*(10)/(ASINH(AG$4))</f>
        <v>8.7213475482382332</v>
      </c>
      <c r="AI65" s="260">
        <f>FMS_Ranking4[[#This Row],[Farm &amp; ranch land, ArcSinh (0-10)]]*AG$5*10</f>
        <v>4.3606737741191175</v>
      </c>
      <c r="AJ65" s="258">
        <f>_xlfn.XLOOKUP(FMS_Ranking4[[#This Row],[FMS ID]],FMS_Input[FMS_ID],FMS_Input[REDSTRUCT100])</f>
        <v>0</v>
      </c>
      <c r="AK65" s="253">
        <f>_xlfn.XLOOKUP(FMS_Ranking4[[#This Row],[FMS ID]],FMS_Input[FMS_ID],FMS_Input[REMSTRC100])</f>
        <v>0</v>
      </c>
      <c r="AL65" s="255">
        <f>(ASINH(FMS_Ranking4[[#This Row],[Structures Removed Raw]]))*(10)/(ASINH(AK$4))</f>
        <v>0</v>
      </c>
      <c r="AM65" s="262">
        <f>FMS_Ranking4[[#This Row],[Structures removed, ArcSinh (0-10)]]*AK$5*10</f>
        <v>0</v>
      </c>
      <c r="AN65" s="253">
        <f>_xlfn.XLOOKUP(FMS_Ranking4[[#This Row],[FMS ID]],FMS_Input[FMS_ID],FMS_Input[REMRESSTRC100])</f>
        <v>0</v>
      </c>
      <c r="AO65" s="261">
        <f>FMS_Ranking4[[#This Row],[ArcSinh Res struct removed 0-10]]*AN$5*10</f>
        <v>0</v>
      </c>
      <c r="AP65" s="260">
        <f>ASINH(FMS_Ranking4[[#This Row],[Residential Structures Removed Raw]])/AP$4*AN$5*100</f>
        <v>0</v>
      </c>
      <c r="AQ65" s="258">
        <f>(ASINH(FMS_Ranking4[[#This Row],[Residential Structures Removed Raw]]))*(10)/(ASINH(AN$4))</f>
        <v>0</v>
      </c>
      <c r="AR65" s="253">
        <f>_xlfn.XLOOKUP(FMS_Ranking4[[#This Row],[FMS ID]],FMS_Input[FMS_ID],FMS_Input[REMPOP100])</f>
        <v>0</v>
      </c>
      <c r="AS65" s="255">
        <f>(ASINH(FMS_Ranking4[[#This Row],[Removed Pop Raw]]))*(10)/(ASINH(AR$4))</f>
        <v>0</v>
      </c>
      <c r="AT65" s="262">
        <f>FMS_Ranking4[[#This Row],[Removed population, ArcSinh (0-10)]]*AR$5*10</f>
        <v>0</v>
      </c>
      <c r="AU65" s="264">
        <f>_xlfn.XLOOKUP(FMS_Ranking4[[#This Row],[FMS ID]],FMS_Input[FMS_ID],FMS_Input[REMCRITFAC100])</f>
        <v>0</v>
      </c>
      <c r="AV65" s="264">
        <f>_xlfn.XLOOKUP(FMS_Ranking4[[#This Row],[FMS ID]],FMS_Input[FMS_ID],FMS_Input[REMLWC100])</f>
        <v>0</v>
      </c>
      <c r="AW65" s="264">
        <f>_xlfn.XLOOKUP(FMS_Ranking4[[#This Row],[FMS ID]],FMS_Input[FMS_ID],FMS_Input[REMROADCLS])</f>
        <v>0</v>
      </c>
      <c r="AX65" s="264">
        <f>_xlfn.XLOOKUP(FMS_Ranking4[[#This Row],[FMS ID]],FMS_Input[FMS_ID],FMS_Input[REMFRMACRE100])</f>
        <v>0</v>
      </c>
      <c r="AY65" s="258">
        <f>_xlfn.XLOOKUP(FMS_Ranking4[[#This Row],[FMS ID]],FMS_Input[FMS_ID],FMS_Input[COSTSTRUCT])</f>
        <v>0</v>
      </c>
      <c r="AZ65" s="253">
        <f>_xlfn.XLOOKUP(FMS_Ranking4[[#This Row],[FMS ID]],FMS_Input[FMS_ID],FMS_Input[NATURE])</f>
        <v>0</v>
      </c>
      <c r="BA65" s="262">
        <f>(((FMS_Ranking4[[#This Row],[% NBS Raw]]/AZ$4)*100)*AZ$5)</f>
        <v>0</v>
      </c>
      <c r="BB65" s="251" t="str">
        <f>_xlfn.XLOOKUP(FMS_Ranking4[[#This Row],[FMS ID]],FMS_Input[FMS_ID],FMS_Input[WATER_SUP])</f>
        <v>No</v>
      </c>
      <c r="BC65" s="265">
        <f>IF(FMS_Ranking4[[#This Row],[Water Supply Raw]]="Yes",10,0)</f>
        <v>0</v>
      </c>
      <c r="BD65" s="266">
        <f>_xlfn.XLOOKUP(FMS_Ranking4[[#This Row],[FMS Type]],FMS_TYPE[FMS_Type],FMS_TYPE[Score])</f>
        <v>6</v>
      </c>
      <c r="BE65" s="267">
        <f>FMS_Ranking4[[#This Row],[FMS_Type Score]]*$BD$5*10</f>
        <v>1.5000000000000002</v>
      </c>
      <c r="BF6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22.150531966232357</v>
      </c>
      <c r="BG65" s="293">
        <f>_xlfn.RANK.EQ(BF65,$BF$8:$BF$870,0)+COUNTIF($BF$8:BF65,BF65)-1</f>
        <v>15</v>
      </c>
      <c r="BH65" s="294">
        <f>(((FMS_Ranking4[[#This Row],[Structures Removed Raw]]/AK$4)*100)*AK$5)+(((FMS_Ranking4[[#This Row],[Removed Pop Raw]]/AR$4)*100)*AR$5)</f>
        <v>0</v>
      </c>
      <c r="BI6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23.650531966232357</v>
      </c>
      <c r="BJ65" s="251">
        <f>_xlfn.RANK.EQ(FMS_Ranking4[[#This Row],[Total Score 
(with linear
normalization)]],FMS_Ranking4[Total Score 
(with linear
normalization)],0)</f>
        <v>15</v>
      </c>
      <c r="BK65" s="251" t="e">
        <f>_xlfn.XLOOKUP(FMS_Ranking4[[#This Row],[FMS ID]],#REF!,#REF!)</f>
        <v>#REF!</v>
      </c>
      <c r="BL6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43.68501718142798</v>
      </c>
      <c r="BM65" s="324">
        <f>FMS_Ranking4[[#This Row],[ArcSinh Score Based on Normalized Reported Factors]]+FMS_Ranking4[[#This Row],[% NBS Score (Normalized)]]+(FMS_Ranking4[[#This Row],[Water Supply Score (Normalized)]]*10*$BB$5)+FMS_Ranking4[[#This Row],[FMS_Type Score Weighted]]</f>
        <v>45.18501718142798</v>
      </c>
      <c r="BN65" s="251">
        <f>_xlfn.RANK.EQ(FMS_Ranking4[[#This Row],[Total Score (with ArcSinh normalization of select criteria)]],FMS_Ranking4[Total Score (with ArcSinh normalization of select criteria)],0)</f>
        <v>58</v>
      </c>
      <c r="BO65" s="270" t="str">
        <f>_xlfn.XLOOKUP(FMS_Ranking4[[#This Row],[FMS ID]],FMS_Input[FMS_ID],FMS_Input[FMS_RANK_YEAR])</f>
        <v>2023 Amended Plan</v>
      </c>
      <c r="BP65" s="324">
        <f>_xlfn.XLOOKUP(FMS_Ranking4[[#This Row],[FMS ID]],Prev_Rank[FMS ID],Prev_Rank[Prev Rank])</f>
        <v>50</v>
      </c>
      <c r="BQ65" s="251" t="e">
        <f>_xlfn.XLOOKUP(FMS_Ranking4[[#This Row],[FMS ID]],#REF!,#REF!)</f>
        <v>#REF!</v>
      </c>
      <c r="BR65" s="199" t="e">
        <f>SUM(#REF!,#REF!,#REF!,#REF!,#REF!,#REF!,#REF!,#REF!,#REF!,FMS_Ranking4[[#This Row],[ArcSinh Res struct removed 0-10]],#REF!)</f>
        <v>#REF!</v>
      </c>
      <c r="BS65" s="199" t="e">
        <f>FMS_Ranking4[[#This Row],[Log Score Based on Normalized Reported Factors]]+FMS_Ranking4[[#This Row],[% NBS Score (Normalized)]]+(FMS_Ranking4[[#This Row],[Water Supply Score (Normalized)]]*10*$BB$5)+(FMS_Ranking4[[#This Row],[FMS_Type Score Weighted]])</f>
        <v>#REF!</v>
      </c>
      <c r="BT65" s="200" t="e">
        <f>_xlfn.RANK.EQ(FMS_Ranking4[[#This Row],[Log Total Score]],FMS_Ranking4[Log Total Score],0)</f>
        <v>#REF!</v>
      </c>
      <c r="BU65" s="200" t="e">
        <f>_xlfn.XLOOKUP(FMS_Ranking4[[#This Row],[FMS ID]],#REF!,#REF!)</f>
        <v>#REF!</v>
      </c>
      <c r="BV65" s="200">
        <f>FMS_Ranking4[[#This Row],[Region Number]]</f>
        <v>15</v>
      </c>
      <c r="BW65" s="200">
        <f>FMS_Ranking4[[#This Row],[Rank (with ArcSinh normalization of select criteria)]]-FMS_Ranking4[[#This Row],[Rank
(with linear
normalization)]]</f>
        <v>43</v>
      </c>
      <c r="BX65" s="200" t="e">
        <f>FMS_Ranking4[[#This Row],[Log Rank]]-FMS_Ranking4[[#This Row],[Rank
(with linear
normalization)]]</f>
        <v>#REF!</v>
      </c>
      <c r="BY65" s="200" t="str">
        <f>IF(FMS_Ranking4[[#This Row],[FMS Type]]="Flood Measurement and Warning",FMS_Ranking4[[#This Row],[Rank (with ArcSinh normalization of select criteria)]],"")</f>
        <v/>
      </c>
      <c r="BZ65" s="200" t="str">
        <f>IF(FMS_Ranking4[[#This Row],[FMS Type]]="Regulatory and Guidance",FMS_Ranking4[[#This Row],[Rank (with ArcSinh normalization of select criteria)]],"")</f>
        <v/>
      </c>
      <c r="CA65" s="200">
        <f>IF(FMS_Ranking4[[#This Row],[FMS Type]]="Education and Outreach",FMS_Ranking4[[#This Row],[Rank (with ArcSinh normalization of select criteria)]],"")</f>
        <v>58</v>
      </c>
      <c r="CB65" s="200" t="str">
        <f>IF(FMS_Ranking4[[#This Row],[FMS Type]]="Property Acquisition and Structural Elevation",FMS_Ranking4[[#This Row],[Rank (with ArcSinh normalization of select criteria)]],"")</f>
        <v/>
      </c>
      <c r="CC65" s="200" t="str">
        <f>IF(FMS_Ranking4[[#This Row],[FMS Type]]="Infrastructure Projects",FMS_Ranking4[[#This Row],[Rank (with ArcSinh normalization of select criteria)]],"")</f>
        <v/>
      </c>
      <c r="CD65" s="200" t="str">
        <f>IF(FMS_Ranking4[[#This Row],[FMS Type]]="Other",FMS_Ranking4[[#This Row],[Rank (with ArcSinh normalization of select criteria)]],"")</f>
        <v/>
      </c>
      <c r="CE65" s="201"/>
    </row>
    <row r="66" spans="2:83" ht="60" x14ac:dyDescent="0.25">
      <c r="B66" s="341" t="s">
        <v>1741</v>
      </c>
      <c r="C66" s="246">
        <f>_xlfn.XLOOKUP(FMS_Ranking4[[#This Row],[FMS ID]],FMS_Input[FMS_ID],FMS_Input[RFPG_NUM])</f>
        <v>2</v>
      </c>
      <c r="D66" s="309" t="str">
        <f>_xlfn.XLOOKUP(FMS_Ranking4[[#This Row],[FMS ID]],FMS_Input[FMS_ID],FMS_Input[FMS_NAME])</f>
        <v>Creation of Region Wide Stormwater Management Manual</v>
      </c>
      <c r="E66" s="308" t="str">
        <f>_xlfn.XLOOKUP(FMS_Ranking4[[#This Row],[FMS ID]],FMS_Input[FMS_ID],FMS_Input[SPONSOR])</f>
        <v>Ark - Tex Council of Goverments</v>
      </c>
      <c r="F66" s="309" t="str">
        <f>_xlfn.XLOOKUP(FMS_Ranking4[[#This Row],[FMS ID]],Sponsor[FMS_ID],Sponsor[SPONSOR NAME])</f>
        <v>Ark - Tex Council of Goverments</v>
      </c>
      <c r="G66" s="309" t="str">
        <f>_xlfn.XLOOKUP(FMS_Ranking4[[#This Row],[FMS ID]],FMS_Input[FMS_ID],FMS_Input[FMS_DESCR])</f>
        <v>Creation of stormwater management manual and assistance to Region 2 communities for adoption.</v>
      </c>
      <c r="H66" s="248" t="str">
        <f>_xlfn.XLOOKUP(FMS_Ranking4[[#This Row],[FMS ID]],FMS_Input[FMS_ID],FMS_Input[FMS_TYPE])</f>
        <v>Regulatory and Guidance</v>
      </c>
      <c r="I66" s="249">
        <f>_xlfn.XLOOKUP(FMS_Ranking4[[#This Row],[FMS ID]],FMS_Input[FMS_ID],FMS_Input[NRNC_COST])</f>
        <v>500000</v>
      </c>
      <c r="J66" s="250">
        <f>_xlfn.XLOOKUP(FMS_Ranking4[[#This Row],[FMS ID]],FMS_Input[FMS_ID],FMS_Input[FMS_COST])</f>
        <v>500000</v>
      </c>
      <c r="K66" s="251" t="str">
        <f>_xlfn.XLOOKUP(FMS_Ranking4[[#This Row],[FMS ID]],FMS_Input[FMS_ID],FMS_Input[EMER_NEED])</f>
        <v>No</v>
      </c>
      <c r="L66" s="252">
        <f t="shared" si="0"/>
        <v>0</v>
      </c>
      <c r="M66" s="253">
        <f>_xlfn.XLOOKUP(FMS_Ranking4[[#This Row],[FMS ID]],FMS_Input[FMS_ID],FMS_Input[STRUCT_100])</f>
        <v>13438</v>
      </c>
      <c r="N66" s="255">
        <f>(ASINH(FMS_Ranking4[[#This Row],[Structure at Risk Raw]]))*(10)/(ASINH(M$4))</f>
        <v>8.0179238983697285</v>
      </c>
      <c r="O66" s="256">
        <f>FMS_Ranking4[[#This Row],[Structures at risk, ArcSinh (0-10)]]*M$5*10</f>
        <v>8.0179238983697285</v>
      </c>
      <c r="P66" s="253">
        <f>_xlfn.XLOOKUP(FMS_Ranking4[[#This Row],[FMS ID]],FMS_Input[FMS_ID],FMS_Input[RES_STRUCT100])</f>
        <v>8069</v>
      </c>
      <c r="Q66" s="257">
        <f>ASINH(FMS_Ranking4[[#This Row],[Res Structure Raw]])/Q$4*P$5*100</f>
        <v>0</v>
      </c>
      <c r="R66" s="253">
        <f>_xlfn.XLOOKUP(FMS_Ranking4[[#This Row],[FMS ID]],FMS_Input[FMS_ID],FMS_Input[POP100])</f>
        <v>51360</v>
      </c>
      <c r="S66" s="259">
        <f>(ASINH(FMS_Ranking4[[#This Row],[Pop at Risk Raw]]))*(10)/(ASINH(R$4))</f>
        <v>7.966569611835979</v>
      </c>
      <c r="T66" s="256">
        <f>FMS_Ranking4[[#This Row],[Population at risk, ArcSinh (0-10)]]*R$5*10</f>
        <v>7.9665696118359799</v>
      </c>
      <c r="U66" s="253">
        <f>_xlfn.XLOOKUP(FMS_Ranking4[[#This Row],[FMS ID]],FMS_Input[FMS_ID],FMS_Input[CRITFAC100])</f>
        <v>159</v>
      </c>
      <c r="V66" s="259">
        <f>(ASINH(FMS_Ranking4[[#This Row],[Critical Facilities Raw]]))*(10)/(ASINH(U$4))</f>
        <v>6.8209214983693363</v>
      </c>
      <c r="W66" s="256">
        <f>FMS_Ranking4[[#This Row],[Critical facilities at risk, ArcSinh (0-10)]]*U$5*10</f>
        <v>6.8209214983693371</v>
      </c>
      <c r="X66" s="253">
        <f>_xlfn.XLOOKUP(FMS_Ranking4[[#This Row],[FMS ID]],FMS_Input[FMS_ID],FMS_Input[LWC])</f>
        <v>116</v>
      </c>
      <c r="Y66" s="259">
        <f>(ASINH(FMS_Ranking4[[#This Row],[LWC Raw]]))*(10)/(ASINH(X$4))</f>
        <v>7.3789260532265324</v>
      </c>
      <c r="Z66" s="256">
        <f>FMS_Ranking4[[#This Row],[LWC, ArcSInh (0-10)]]*X$5*10</f>
        <v>7.3789260532265333</v>
      </c>
      <c r="AA66" s="253">
        <f>_xlfn.XLOOKUP(FMS_Ranking4[[#This Row],[FMS ID]],FMS_Input[FMS_ID],FMS_Input[ROADCLS])</f>
        <v>0</v>
      </c>
      <c r="AB66" s="255">
        <f>(ASINH(FMS_Ranking4[[#This Row],[Road Closures Raw]]))*(10)/(ASINH(AA$4))</f>
        <v>0</v>
      </c>
      <c r="AC66" s="256">
        <f>FMS_Ranking4[[#This Row],[Road closures, ArcSinh (0-10)]]*AA$5*10</f>
        <v>0</v>
      </c>
      <c r="AD66" s="253">
        <f>_xlfn.XLOOKUP(FMS_Ranking4[[#This Row],[FMS ID]],FMS_Input[FMS_ID],FMS_Input[ROAD_MILES100])</f>
        <v>1924</v>
      </c>
      <c r="AE66" s="259">
        <f>(ASINH(FMS_Ranking4[[#This Row],[Road Miles Raw]]))*(10)/(ASINH(AD$4))</f>
        <v>8.7978880297503288</v>
      </c>
      <c r="AF66" s="256">
        <f>FMS_Ranking4[[#This Row],[Length of roads at risk, ArcSinh (0-10)]]*AD$5*10</f>
        <v>8.7978880297503288</v>
      </c>
      <c r="AG66" s="253">
        <f>_xlfn.XLOOKUP(FMS_Ranking4[[#This Row],[FMS ID]],FMS_Input[FMS_ID],FMS_Input[FARMACRE100])</f>
        <v>180986.3125</v>
      </c>
      <c r="AH66" s="255">
        <f>(ASINH(FMS_Ranking4[[#This Row],[Ag Land Raw]]))*(10)/(ASINH(AG$4))</f>
        <v>8.3142036033862752</v>
      </c>
      <c r="AI66" s="260">
        <f>FMS_Ranking4[[#This Row],[Farm &amp; ranch land, ArcSinh (0-10)]]*AG$5*10</f>
        <v>4.1571018016931376</v>
      </c>
      <c r="AJ66" s="258">
        <f>_xlfn.XLOOKUP(FMS_Ranking4[[#This Row],[FMS ID]],FMS_Input[FMS_ID],FMS_Input[REDSTRUCT100])</f>
        <v>0</v>
      </c>
      <c r="AK66" s="253">
        <f>_xlfn.XLOOKUP(FMS_Ranking4[[#This Row],[FMS ID]],FMS_Input[FMS_ID],FMS_Input[REMSTRC100])</f>
        <v>0</v>
      </c>
      <c r="AL66" s="259">
        <f>(ASINH(FMS_Ranking4[[#This Row],[Structures Removed Raw]]))*(10)/(ASINH(AK$4))</f>
        <v>0</v>
      </c>
      <c r="AM66" s="262">
        <f>FMS_Ranking4[[#This Row],[Structures removed, ArcSinh (0-10)]]*AK$5*10</f>
        <v>0</v>
      </c>
      <c r="AN66" s="253">
        <f>_xlfn.XLOOKUP(FMS_Ranking4[[#This Row],[FMS ID]],FMS_Input[FMS_ID],FMS_Input[REMRESSTRC100])</f>
        <v>0</v>
      </c>
      <c r="AO66" s="261">
        <f>FMS_Ranking4[[#This Row],[ArcSinh Res struct removed 0-10]]*AN$5*10</f>
        <v>0</v>
      </c>
      <c r="AP66" s="260">
        <f>ASINH(FMS_Ranking4[[#This Row],[Residential Structures Removed Raw]])/AP$4*AN$5*100</f>
        <v>0</v>
      </c>
      <c r="AQ66" s="254">
        <f>(ASINH(FMS_Ranking4[[#This Row],[Residential Structures Removed Raw]]))*(10)/(ASINH(AN$4))</f>
        <v>0</v>
      </c>
      <c r="AR66" s="253">
        <f>_xlfn.XLOOKUP(FMS_Ranking4[[#This Row],[FMS ID]],FMS_Input[FMS_ID],FMS_Input[REMPOP100])</f>
        <v>0</v>
      </c>
      <c r="AS66" s="259">
        <f>(ASINH(FMS_Ranking4[[#This Row],[Removed Pop Raw]]))*(10)/(ASINH(AR$4))</f>
        <v>0</v>
      </c>
      <c r="AT66" s="262">
        <f>FMS_Ranking4[[#This Row],[Removed population, ArcSinh (0-10)]]*AR$5*10</f>
        <v>0</v>
      </c>
      <c r="AU66" s="264">
        <f>_xlfn.XLOOKUP(FMS_Ranking4[[#This Row],[FMS ID]],FMS_Input[FMS_ID],FMS_Input[REMCRITFAC100])</f>
        <v>0</v>
      </c>
      <c r="AV66" s="264">
        <f>_xlfn.XLOOKUP(FMS_Ranking4[[#This Row],[FMS ID]],FMS_Input[FMS_ID],FMS_Input[REMLWC100])</f>
        <v>0</v>
      </c>
      <c r="AW66" s="264">
        <f>_xlfn.XLOOKUP(FMS_Ranking4[[#This Row],[FMS ID]],FMS_Input[FMS_ID],FMS_Input[REMROADCLS])</f>
        <v>0</v>
      </c>
      <c r="AX66" s="264">
        <f>_xlfn.XLOOKUP(FMS_Ranking4[[#This Row],[FMS ID]],FMS_Input[FMS_ID],FMS_Input[REMFRMACRE100])</f>
        <v>0</v>
      </c>
      <c r="AY66" s="258">
        <f>_xlfn.XLOOKUP(FMS_Ranking4[[#This Row],[FMS ID]],FMS_Input[FMS_ID],FMS_Input[COSTSTRUCT])</f>
        <v>0</v>
      </c>
      <c r="AZ66" s="253">
        <f>_xlfn.XLOOKUP(FMS_Ranking4[[#This Row],[FMS ID]],FMS_Input[FMS_ID],FMS_Input[NATURE])</f>
        <v>0</v>
      </c>
      <c r="BA66" s="262">
        <f>(((FMS_Ranking4[[#This Row],[% NBS Raw]]/AZ$4)*100)*AZ$5)</f>
        <v>0</v>
      </c>
      <c r="BB66" s="251" t="str">
        <f>_xlfn.XLOOKUP(FMS_Ranking4[[#This Row],[FMS ID]],FMS_Input[FMS_ID],FMS_Input[WATER_SUP])</f>
        <v>No</v>
      </c>
      <c r="BC66" s="265">
        <f>IF(FMS_Ranking4[[#This Row],[Water Supply Raw]]="Yes",10,0)</f>
        <v>0</v>
      </c>
      <c r="BD66" s="266">
        <f>_xlfn.XLOOKUP(FMS_Ranking4[[#This Row],[FMS Type]],FMS_TYPE[FMS_Type],FMS_TYPE[Score])</f>
        <v>8</v>
      </c>
      <c r="BE66" s="267">
        <f>FMS_Ranking4[[#This Row],[FMS_Type Score]]*$BD$5*10</f>
        <v>2</v>
      </c>
      <c r="BF6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7.065797261924665</v>
      </c>
      <c r="BG66" s="271">
        <f>_xlfn.RANK.EQ(BF66,$BF$8:$BF$870,0)+COUNTIF($BF$8:BF66,BF66)-1</f>
        <v>52</v>
      </c>
      <c r="BH66" s="268">
        <f>(((FMS_Ranking4[[#This Row],[Structures Removed Raw]]/AK$4)*100)*AK$5)+(((FMS_Ranking4[[#This Row],[Removed Pop Raw]]/AR$4)*100)*AR$5)</f>
        <v>0</v>
      </c>
      <c r="BI6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9.065797261924665</v>
      </c>
      <c r="BJ66" s="205">
        <f>_xlfn.RANK.EQ(FMS_Ranking4[[#This Row],[Total Score 
(with linear
normalization)]],FMS_Ranking4[Total Score 
(with linear
normalization)],0)</f>
        <v>61</v>
      </c>
      <c r="BK66" s="205" t="e">
        <f>_xlfn.XLOOKUP(FMS_Ranking4[[#This Row],[FMS ID]],#REF!,#REF!)</f>
        <v>#REF!</v>
      </c>
      <c r="BL6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43.139330893245045</v>
      </c>
      <c r="BM66" s="272">
        <f>FMS_Ranking4[[#This Row],[ArcSinh Score Based on Normalized Reported Factors]]+FMS_Ranking4[[#This Row],[% NBS Score (Normalized)]]+(FMS_Ranking4[[#This Row],[Water Supply Score (Normalized)]]*10*$BB$5)+FMS_Ranking4[[#This Row],[FMS_Type Score Weighted]]</f>
        <v>45.139330893245045</v>
      </c>
      <c r="BN66" s="205">
        <f>_xlfn.RANK.EQ(FMS_Ranking4[[#This Row],[Total Score (with ArcSinh normalization of select criteria)]],FMS_Ranking4[Total Score (with ArcSinh normalization of select criteria)],0)</f>
        <v>59</v>
      </c>
      <c r="BO66" s="270" t="str">
        <f>_xlfn.XLOOKUP(FMS_Ranking4[[#This Row],[FMS ID]],FMS_Input[FMS_ID],FMS_Input[FMS_RANK_YEAR])</f>
        <v>2023 Amended Plan</v>
      </c>
      <c r="BP66" s="204">
        <f>_xlfn.XLOOKUP(FMS_Ranking4[[#This Row],[FMS ID]],Prev_Rank[FMS ID],Prev_Rank[Prev Rank])</f>
        <v>51</v>
      </c>
      <c r="BQ66" s="205" t="e">
        <f>_xlfn.XLOOKUP(FMS_Ranking4[[#This Row],[FMS ID]],#REF!,#REF!)</f>
        <v>#REF!</v>
      </c>
      <c r="BR66" s="199" t="e">
        <f>SUM(#REF!,#REF!,#REF!,#REF!,#REF!,#REF!,#REF!,#REF!,#REF!,FMS_Ranking4[[#This Row],[ArcSinh Res struct removed 0-10]],#REF!)</f>
        <v>#REF!</v>
      </c>
      <c r="BS66" s="199" t="e">
        <f>FMS_Ranking4[[#This Row],[Log Score Based on Normalized Reported Factors]]+FMS_Ranking4[[#This Row],[% NBS Score (Normalized)]]+(FMS_Ranking4[[#This Row],[Water Supply Score (Normalized)]]*10*$BB$5)+(FMS_Ranking4[[#This Row],[FMS_Type Score Weighted]])</f>
        <v>#REF!</v>
      </c>
      <c r="BT66" s="200" t="e">
        <f>_xlfn.RANK.EQ(FMS_Ranking4[[#This Row],[Log Total Score]],FMS_Ranking4[Log Total Score],0)</f>
        <v>#REF!</v>
      </c>
      <c r="BU66" s="200" t="e">
        <f>_xlfn.XLOOKUP(FMS_Ranking4[[#This Row],[FMS ID]],#REF!,#REF!)</f>
        <v>#REF!</v>
      </c>
      <c r="BV66" s="200">
        <f>FMS_Ranking4[[#This Row],[Region Number]]</f>
        <v>2</v>
      </c>
      <c r="BW66" s="200">
        <f>FMS_Ranking4[[#This Row],[Rank (with ArcSinh normalization of select criteria)]]-FMS_Ranking4[[#This Row],[Rank
(with linear
normalization)]]</f>
        <v>-2</v>
      </c>
      <c r="BX66" s="200" t="e">
        <f>FMS_Ranking4[[#This Row],[Log Rank]]-FMS_Ranking4[[#This Row],[Rank
(with linear
normalization)]]</f>
        <v>#REF!</v>
      </c>
      <c r="BY66" s="200" t="str">
        <f>IF(FMS_Ranking4[[#This Row],[FMS Type]]="Flood Measurement and Warning",FMS_Ranking4[[#This Row],[Rank (with ArcSinh normalization of select criteria)]],"")</f>
        <v/>
      </c>
      <c r="BZ66" s="200">
        <f>IF(FMS_Ranking4[[#This Row],[FMS Type]]="Regulatory and Guidance",FMS_Ranking4[[#This Row],[Rank (with ArcSinh normalization of select criteria)]],"")</f>
        <v>59</v>
      </c>
      <c r="CA66" s="200" t="str">
        <f>IF(FMS_Ranking4[[#This Row],[FMS Type]]="Education and Outreach",FMS_Ranking4[[#This Row],[Rank (with ArcSinh normalization of select criteria)]],"")</f>
        <v/>
      </c>
      <c r="CB66" s="200" t="str">
        <f>IF(FMS_Ranking4[[#This Row],[FMS Type]]="Property Acquisition and Structural Elevation",FMS_Ranking4[[#This Row],[Rank (with ArcSinh normalization of select criteria)]],"")</f>
        <v/>
      </c>
      <c r="CC66" s="200" t="str">
        <f>IF(FMS_Ranking4[[#This Row],[FMS Type]]="Infrastructure Projects",FMS_Ranking4[[#This Row],[Rank (with ArcSinh normalization of select criteria)]],"")</f>
        <v/>
      </c>
      <c r="CD66" s="200" t="str">
        <f>IF(FMS_Ranking4[[#This Row],[FMS Type]]="Other",FMS_Ranking4[[#This Row],[Rank (with ArcSinh normalization of select criteria)]],"")</f>
        <v/>
      </c>
      <c r="CE66" s="201"/>
    </row>
    <row r="67" spans="2:83" ht="45" x14ac:dyDescent="0.25">
      <c r="B67" s="341" t="s">
        <v>958</v>
      </c>
      <c r="C67" s="246">
        <f>_xlfn.XLOOKUP(FMS_Ranking4[[#This Row],[FMS ID]],FMS_Input[FMS_ID],FMS_Input[RFPG_NUM])</f>
        <v>9</v>
      </c>
      <c r="D67" s="309" t="str">
        <f>_xlfn.XLOOKUP(FMS_Ranking4[[#This Row],[FMS ID]],FMS_Input[FMS_ID],FMS_Input[FMS_NAME])</f>
        <v>Martin County DCM</v>
      </c>
      <c r="E67" s="308" t="str">
        <f>_xlfn.XLOOKUP(FMS_Ranking4[[#This Row],[FMS ID]],FMS_Input[FMS_ID],FMS_Input[SPONSOR])</f>
        <v>09000174</v>
      </c>
      <c r="F67" s="309" t="str">
        <f>_xlfn.XLOOKUP(FMS_Ranking4[[#This Row],[FMS ID]],Sponsor[FMS_ID],Sponsor[SPONSOR NAME])</f>
        <v>Martin</v>
      </c>
      <c r="G67" s="309" t="str">
        <f>_xlfn.XLOOKUP(FMS_Ranking4[[#This Row],[FMS ID]],FMS_Input[FMS_ID],FMS_Input[FMS_DESCR])</f>
        <v>Outreach Program: Discuss Stormwater Criteria Design Manual</v>
      </c>
      <c r="H67" s="248" t="str">
        <f>_xlfn.XLOOKUP(FMS_Ranking4[[#This Row],[FMS ID]],FMS_Input[FMS_ID],FMS_Input[FMS_TYPE])</f>
        <v>Other</v>
      </c>
      <c r="I67" s="249">
        <f>_xlfn.XLOOKUP(FMS_Ranking4[[#This Row],[FMS ID]],FMS_Input[FMS_ID],FMS_Input[NRNC_COST])</f>
        <v>75000</v>
      </c>
      <c r="J67" s="250">
        <f>_xlfn.XLOOKUP(FMS_Ranking4[[#This Row],[FMS ID]],FMS_Input[FMS_ID],FMS_Input[FMS_COST])</f>
        <v>100000</v>
      </c>
      <c r="K67" s="251" t="str">
        <f>_xlfn.XLOOKUP(FMS_Ranking4[[#This Row],[FMS ID]],FMS_Input[FMS_ID],FMS_Input[EMER_NEED])</f>
        <v>No</v>
      </c>
      <c r="L67" s="252">
        <f t="shared" si="0"/>
        <v>0</v>
      </c>
      <c r="M67" s="253">
        <f>_xlfn.XLOOKUP(FMS_Ranking4[[#This Row],[FMS ID]],FMS_Input[FMS_ID],FMS_Input[STRUCT_100])</f>
        <v>902</v>
      </c>
      <c r="N67" s="255">
        <f>(ASINH(FMS_Ranking4[[#This Row],[Structure at Risk Raw]]))*(10)/(ASINH(M$4))</f>
        <v>5.8943573066178097</v>
      </c>
      <c r="O67" s="256">
        <f>FMS_Ranking4[[#This Row],[Structures at risk, ArcSinh (0-10)]]*M$5*10</f>
        <v>5.8943573066178097</v>
      </c>
      <c r="P67" s="253">
        <f>_xlfn.XLOOKUP(FMS_Ranking4[[#This Row],[FMS ID]],FMS_Input[FMS_ID],FMS_Input[RES_STRUCT100])</f>
        <v>451</v>
      </c>
      <c r="Q67" s="257">
        <f>ASINH(FMS_Ranking4[[#This Row],[Res Structure Raw]])/Q$4*P$5*100</f>
        <v>0</v>
      </c>
      <c r="R67" s="253">
        <f>_xlfn.XLOOKUP(FMS_Ranking4[[#This Row],[FMS ID]],FMS_Input[FMS_ID],FMS_Input[POP100])</f>
        <v>2015</v>
      </c>
      <c r="S67" s="259">
        <f>(ASINH(FMS_Ranking4[[#This Row],[Pop at Risk Raw]]))*(10)/(ASINH(R$4))</f>
        <v>5.7310237383297871</v>
      </c>
      <c r="T67" s="256">
        <f>FMS_Ranking4[[#This Row],[Population at risk, ArcSinh (0-10)]]*R$5*10</f>
        <v>5.7310237383297871</v>
      </c>
      <c r="U67" s="253">
        <f>_xlfn.XLOOKUP(FMS_Ranking4[[#This Row],[FMS ID]],FMS_Input[FMS_ID],FMS_Input[CRITFAC100])</f>
        <v>3</v>
      </c>
      <c r="V67" s="259">
        <f>(ASINH(FMS_Ranking4[[#This Row],[Critical Facilities Raw]]))*(10)/(ASINH(U$4))</f>
        <v>2.152611706646717</v>
      </c>
      <c r="W67" s="256">
        <f>FMS_Ranking4[[#This Row],[Critical facilities at risk, ArcSinh (0-10)]]*U$5*10</f>
        <v>2.152611706646717</v>
      </c>
      <c r="X67" s="253">
        <f>_xlfn.XLOOKUP(FMS_Ranking4[[#This Row],[FMS ID]],FMS_Input[FMS_ID],FMS_Input[LWC])</f>
        <v>5</v>
      </c>
      <c r="Y67" s="259">
        <f>(ASINH(FMS_Ranking4[[#This Row],[LWC Raw]]))*(10)/(ASINH(X$4))</f>
        <v>3.1327475801820781</v>
      </c>
      <c r="Z67" s="256">
        <f>FMS_Ranking4[[#This Row],[LWC, ArcSInh (0-10)]]*X$5*10</f>
        <v>3.1327475801820781</v>
      </c>
      <c r="AA67" s="253">
        <f>_xlfn.XLOOKUP(FMS_Ranking4[[#This Row],[FMS ID]],FMS_Input[FMS_ID],FMS_Input[ROADCLS])</f>
        <v>0</v>
      </c>
      <c r="AB67" s="255">
        <f>(ASINH(FMS_Ranking4[[#This Row],[Road Closures Raw]]))*(10)/(ASINH(AA$4))</f>
        <v>0</v>
      </c>
      <c r="AC67" s="256">
        <f>FMS_Ranking4[[#This Row],[Road closures, ArcSinh (0-10)]]*AA$5*10</f>
        <v>0</v>
      </c>
      <c r="AD67" s="253">
        <f>_xlfn.XLOOKUP(FMS_Ranking4[[#This Row],[FMS ID]],FMS_Input[FMS_ID],FMS_Input[ROAD_MILES100])</f>
        <v>229</v>
      </c>
      <c r="AE67" s="259">
        <f>(ASINH(FMS_Ranking4[[#This Row],[Road Miles Raw]]))*(10)/(ASINH(AD$4))</f>
        <v>6.5295619805735505</v>
      </c>
      <c r="AF67" s="256">
        <f>FMS_Ranking4[[#This Row],[Length of roads at risk, ArcSinh (0-10)]]*AD$5*10</f>
        <v>6.5295619805735505</v>
      </c>
      <c r="AG67" s="253">
        <f>_xlfn.XLOOKUP(FMS_Ranking4[[#This Row],[FMS ID]],FMS_Input[FMS_ID],FMS_Input[FARMACRE100])</f>
        <v>55702.26953125</v>
      </c>
      <c r="AH67" s="255">
        <f>(ASINH(FMS_Ranking4[[#This Row],[Ag Land Raw]]))*(10)/(ASINH(AG$4))</f>
        <v>7.5487364653718911</v>
      </c>
      <c r="AI67" s="260">
        <f>FMS_Ranking4[[#This Row],[Farm &amp; ranch land, ArcSinh (0-10)]]*AG$5*10</f>
        <v>3.7743682326859456</v>
      </c>
      <c r="AJ67" s="258">
        <f>_xlfn.XLOOKUP(FMS_Ranking4[[#This Row],[FMS ID]],FMS_Input[FMS_ID],FMS_Input[REDSTRUCT100])</f>
        <v>226</v>
      </c>
      <c r="AK67" s="253">
        <f>_xlfn.XLOOKUP(FMS_Ranking4[[#This Row],[FMS ID]],FMS_Input[FMS_ID],FMS_Input[REMSTRC100])</f>
        <v>226</v>
      </c>
      <c r="AL67" s="259">
        <f>(ASINH(FMS_Ranking4[[#This Row],[Structures Removed Raw]]))*(10)/(ASINH(AK$4))</f>
        <v>6.9608691331105437</v>
      </c>
      <c r="AM67" s="262">
        <f>FMS_Ranking4[[#This Row],[Structures removed, ArcSinh (0-10)]]*AK$5*10</f>
        <v>6.9608691331105446</v>
      </c>
      <c r="AN67" s="253">
        <f>_xlfn.XLOOKUP(FMS_Ranking4[[#This Row],[FMS ID]],FMS_Input[FMS_ID],FMS_Input[REMRESSTRC100])</f>
        <v>112</v>
      </c>
      <c r="AO67" s="261">
        <f>FMS_Ranking4[[#This Row],[ArcSinh Res struct removed 0-10]]*AN$5*10</f>
        <v>3.1740853271945424</v>
      </c>
      <c r="AP67" s="260">
        <f>ASINH(FMS_Ranking4[[#This Row],[Residential Structures Removed Raw]])/AP$4*AN$5*100</f>
        <v>3.1740853271945424</v>
      </c>
      <c r="AQ67" s="254">
        <f>(ASINH(FMS_Ranking4[[#This Row],[Residential Structures Removed Raw]]))*(10)/(ASINH(AN$4))</f>
        <v>6.3481706543890848</v>
      </c>
      <c r="AR67" s="253">
        <f>_xlfn.XLOOKUP(FMS_Ranking4[[#This Row],[FMS ID]],FMS_Input[FMS_ID],FMS_Input[REMPOP100])</f>
        <v>728</v>
      </c>
      <c r="AS67" s="259">
        <f>(ASINH(FMS_Ranking4[[#This Row],[Removed Pop Raw]]))*(10)/(ASINH(AR$4))</f>
        <v>7.1495821384637113</v>
      </c>
      <c r="AT67" s="262">
        <f>FMS_Ranking4[[#This Row],[Removed population, ArcSinh (0-10)]]*AR$5*10</f>
        <v>7.1495821384637113</v>
      </c>
      <c r="AU67" s="264">
        <f>_xlfn.XLOOKUP(FMS_Ranking4[[#This Row],[FMS ID]],FMS_Input[FMS_ID],FMS_Input[REMCRITFAC100])</f>
        <v>0</v>
      </c>
      <c r="AV67" s="264">
        <f>_xlfn.XLOOKUP(FMS_Ranking4[[#This Row],[FMS ID]],FMS_Input[FMS_ID],FMS_Input[REMLWC100])</f>
        <v>1</v>
      </c>
      <c r="AW67" s="264">
        <f>_xlfn.XLOOKUP(FMS_Ranking4[[#This Row],[FMS ID]],FMS_Input[FMS_ID],FMS_Input[REMROADCLS])</f>
        <v>0</v>
      </c>
      <c r="AX67" s="264">
        <f>_xlfn.XLOOKUP(FMS_Ranking4[[#This Row],[FMS ID]],FMS_Input[FMS_ID],FMS_Input[REMFRMACRE100])</f>
        <v>13925.5673828125</v>
      </c>
      <c r="AY67" s="258">
        <f>_xlfn.XLOOKUP(FMS_Ranking4[[#This Row],[FMS ID]],FMS_Input[FMS_ID],FMS_Input[COSTSTRUCT])</f>
        <v>25000</v>
      </c>
      <c r="AZ67" s="253">
        <f>_xlfn.XLOOKUP(FMS_Ranking4[[#This Row],[FMS ID]],FMS_Input[FMS_ID],FMS_Input[NATURE])</f>
        <v>0</v>
      </c>
      <c r="BA67" s="262">
        <f>(((FMS_Ranking4[[#This Row],[% NBS Raw]]/AZ$4)*100)*AZ$5)</f>
        <v>0</v>
      </c>
      <c r="BB67" s="251" t="str">
        <f>_xlfn.XLOOKUP(FMS_Ranking4[[#This Row],[FMS ID]],FMS_Input[FMS_ID],FMS_Input[WATER_SUP])</f>
        <v>No</v>
      </c>
      <c r="BC67" s="265">
        <f>IF(FMS_Ranking4[[#This Row],[Water Supply Raw]]="Yes",10,0)</f>
        <v>0</v>
      </c>
      <c r="BD67" s="266">
        <f>_xlfn.XLOOKUP(FMS_Ranking4[[#This Row],[FMS Type]],FMS_TYPE[FMS_Type],FMS_TYPE[Score])</f>
        <v>2</v>
      </c>
      <c r="BE67" s="267">
        <f>FMS_Ranking4[[#This Row],[FMS_Type Score]]*$BD$5*10</f>
        <v>0.5</v>
      </c>
      <c r="BF6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0.64980625173068063</v>
      </c>
      <c r="BG67" s="271">
        <f>_xlfn.RANK.EQ(BF67,$BF$8:$BF$870,0)+COUNTIF($BF$8:BF67,BF67)-1</f>
        <v>188</v>
      </c>
      <c r="BH67" s="268">
        <f>(((FMS_Ranking4[[#This Row],[Structures Removed Raw]]/AK$4)*100)*AK$5)+(((FMS_Ranking4[[#This Row],[Removed Pop Raw]]/AR$4)*100)*AR$5)</f>
        <v>1.2411904397252316</v>
      </c>
      <c r="BI6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2.3909966914559124</v>
      </c>
      <c r="BJ67" s="205">
        <f>_xlfn.RANK.EQ(FMS_Ranking4[[#This Row],[Total Score 
(with linear
normalization)]],FMS_Ranking4[Total Score 
(with linear
normalization)],0)</f>
        <v>278</v>
      </c>
      <c r="BK67" s="205" t="e">
        <f>_xlfn.XLOOKUP(FMS_Ranking4[[#This Row],[FMS ID]],#REF!,#REF!)</f>
        <v>#REF!</v>
      </c>
      <c r="BL6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44.499207143804682</v>
      </c>
      <c r="BM67" s="272">
        <f>FMS_Ranking4[[#This Row],[ArcSinh Score Based on Normalized Reported Factors]]+FMS_Ranking4[[#This Row],[% NBS Score (Normalized)]]+(FMS_Ranking4[[#This Row],[Water Supply Score (Normalized)]]*10*$BB$5)+FMS_Ranking4[[#This Row],[FMS_Type Score Weighted]]</f>
        <v>44.999207143804682</v>
      </c>
      <c r="BN67" s="205">
        <f>_xlfn.RANK.EQ(FMS_Ranking4[[#This Row],[Total Score (with ArcSinh normalization of select criteria)]],FMS_Ranking4[Total Score (with ArcSinh normalization of select criteria)],0)</f>
        <v>60</v>
      </c>
      <c r="BO67" s="270" t="str">
        <f>_xlfn.XLOOKUP(FMS_Ranking4[[#This Row],[FMS ID]],FMS_Input[FMS_ID],FMS_Input[FMS_RANK_YEAR])</f>
        <v>2023 Amended Plan</v>
      </c>
      <c r="BP67" s="204">
        <f>_xlfn.XLOOKUP(FMS_Ranking4[[#This Row],[FMS ID]],Prev_Rank[FMS ID],Prev_Rank[Prev Rank])</f>
        <v>54</v>
      </c>
      <c r="BQ67" s="205" t="e">
        <f>_xlfn.XLOOKUP(FMS_Ranking4[[#This Row],[FMS ID]],#REF!,#REF!)</f>
        <v>#REF!</v>
      </c>
      <c r="BR67" s="199" t="e">
        <f>SUM(#REF!,#REF!,#REF!,#REF!,#REF!,#REF!,#REF!,#REF!,#REF!,FMS_Ranking4[[#This Row],[ArcSinh Res struct removed 0-10]],#REF!)</f>
        <v>#REF!</v>
      </c>
      <c r="BS67" s="199" t="e">
        <f>FMS_Ranking4[[#This Row],[Log Score Based on Normalized Reported Factors]]+FMS_Ranking4[[#This Row],[% NBS Score (Normalized)]]+(FMS_Ranking4[[#This Row],[Water Supply Score (Normalized)]]*10*$BB$5)+(FMS_Ranking4[[#This Row],[FMS_Type Score Weighted]])</f>
        <v>#REF!</v>
      </c>
      <c r="BT67" s="200" t="e">
        <f>_xlfn.RANK.EQ(FMS_Ranking4[[#This Row],[Log Total Score]],FMS_Ranking4[Log Total Score],0)</f>
        <v>#REF!</v>
      </c>
      <c r="BU67" s="200" t="e">
        <f>_xlfn.XLOOKUP(FMS_Ranking4[[#This Row],[FMS ID]],#REF!,#REF!)</f>
        <v>#REF!</v>
      </c>
      <c r="BV67" s="200">
        <f>FMS_Ranking4[[#This Row],[Region Number]]</f>
        <v>9</v>
      </c>
      <c r="BW67" s="200">
        <f>FMS_Ranking4[[#This Row],[Rank (with ArcSinh normalization of select criteria)]]-FMS_Ranking4[[#This Row],[Rank
(with linear
normalization)]]</f>
        <v>-218</v>
      </c>
      <c r="BX67" s="200" t="e">
        <f>FMS_Ranking4[[#This Row],[Log Rank]]-FMS_Ranking4[[#This Row],[Rank
(with linear
normalization)]]</f>
        <v>#REF!</v>
      </c>
      <c r="BY67" s="200" t="str">
        <f>IF(FMS_Ranking4[[#This Row],[FMS Type]]="Flood Measurement and Warning",FMS_Ranking4[[#This Row],[Rank (with ArcSinh normalization of select criteria)]],"")</f>
        <v/>
      </c>
      <c r="BZ67" s="200" t="str">
        <f>IF(FMS_Ranking4[[#This Row],[FMS Type]]="Regulatory and Guidance",FMS_Ranking4[[#This Row],[Rank (with ArcSinh normalization of select criteria)]],"")</f>
        <v/>
      </c>
      <c r="CA67" s="200" t="str">
        <f>IF(FMS_Ranking4[[#This Row],[FMS Type]]="Education and Outreach",FMS_Ranking4[[#This Row],[Rank (with ArcSinh normalization of select criteria)]],"")</f>
        <v/>
      </c>
      <c r="CB67" s="200" t="str">
        <f>IF(FMS_Ranking4[[#This Row],[FMS Type]]="Property Acquisition and Structural Elevation",FMS_Ranking4[[#This Row],[Rank (with ArcSinh normalization of select criteria)]],"")</f>
        <v/>
      </c>
      <c r="CC67" s="200" t="str">
        <f>IF(FMS_Ranking4[[#This Row],[FMS Type]]="Infrastructure Projects",FMS_Ranking4[[#This Row],[Rank (with ArcSinh normalization of select criteria)]],"")</f>
        <v/>
      </c>
      <c r="CD67" s="200">
        <f>IF(FMS_Ranking4[[#This Row],[FMS Type]]="Other",FMS_Ranking4[[#This Row],[Rank (with ArcSinh normalization of select criteria)]],"")</f>
        <v>60</v>
      </c>
      <c r="CE67" s="201"/>
    </row>
    <row r="68" spans="2:83" ht="30" x14ac:dyDescent="0.25">
      <c r="B68" s="341" t="s">
        <v>595</v>
      </c>
      <c r="C68" s="246">
        <f>_xlfn.XLOOKUP(FMS_Ranking4[[#This Row],[FMS ID]],FMS_Input[FMS_ID],FMS_Input[RFPG_NUM])</f>
        <v>9</v>
      </c>
      <c r="D68" s="309" t="str">
        <f>_xlfn.XLOOKUP(FMS_Ranking4[[#This Row],[FMS ID]],FMS_Input[FMS_ID],FMS_Input[FMS_NAME])</f>
        <v>Martin County NFIP Application</v>
      </c>
      <c r="E68" s="308" t="str">
        <f>_xlfn.XLOOKUP(FMS_Ranking4[[#This Row],[FMS ID]],FMS_Input[FMS_ID],FMS_Input[SPONSOR])</f>
        <v>00000102</v>
      </c>
      <c r="F68" s="309" t="str">
        <f>_xlfn.XLOOKUP(FMS_Ranking4[[#This Row],[FMS ID]],Sponsor[FMS_ID],Sponsor[SPONSOR NAME])</f>
        <v>Andrews</v>
      </c>
      <c r="G68" s="309" t="str">
        <f>_xlfn.XLOOKUP(FMS_Ranking4[[#This Row],[FMS ID]],FMS_Input[FMS_ID],FMS_Input[FMS_DESCR])</f>
        <v>Application to join the NFIP.</v>
      </c>
      <c r="H68" s="248" t="str">
        <f>_xlfn.XLOOKUP(FMS_Ranking4[[#This Row],[FMS ID]],FMS_Input[FMS_ID],FMS_Input[FMS_TYPE])</f>
        <v>Other</v>
      </c>
      <c r="I68" s="249">
        <f>_xlfn.XLOOKUP(FMS_Ranking4[[#This Row],[FMS ID]],FMS_Input[FMS_ID],FMS_Input[NRNC_COST])</f>
        <v>5000</v>
      </c>
      <c r="J68" s="250">
        <f>_xlfn.XLOOKUP(FMS_Ranking4[[#This Row],[FMS ID]],FMS_Input[FMS_ID],FMS_Input[FMS_COST])</f>
        <v>30000</v>
      </c>
      <c r="K68" s="251" t="str">
        <f>_xlfn.XLOOKUP(FMS_Ranking4[[#This Row],[FMS ID]],FMS_Input[FMS_ID],FMS_Input[EMER_NEED])</f>
        <v>No</v>
      </c>
      <c r="L68" s="252">
        <f t="shared" si="0"/>
        <v>0</v>
      </c>
      <c r="M68" s="253">
        <f>_xlfn.XLOOKUP(FMS_Ranking4[[#This Row],[FMS ID]],FMS_Input[FMS_ID],FMS_Input[STRUCT_100])</f>
        <v>902</v>
      </c>
      <c r="N68" s="255">
        <f>(ASINH(FMS_Ranking4[[#This Row],[Structure at Risk Raw]]))*(10)/(ASINH(M$4))</f>
        <v>5.8943573066178097</v>
      </c>
      <c r="O68" s="256">
        <f>FMS_Ranking4[[#This Row],[Structures at risk, ArcSinh (0-10)]]*M$5*10</f>
        <v>5.8943573066178097</v>
      </c>
      <c r="P68" s="253">
        <f>_xlfn.XLOOKUP(FMS_Ranking4[[#This Row],[FMS ID]],FMS_Input[FMS_ID],FMS_Input[RES_STRUCT100])</f>
        <v>451</v>
      </c>
      <c r="Q68" s="257">
        <f>ASINH(FMS_Ranking4[[#This Row],[Res Structure Raw]])/Q$4*P$5*100</f>
        <v>0</v>
      </c>
      <c r="R68" s="253">
        <f>_xlfn.XLOOKUP(FMS_Ranking4[[#This Row],[FMS ID]],FMS_Input[FMS_ID],FMS_Input[POP100])</f>
        <v>2015</v>
      </c>
      <c r="S68" s="259">
        <f>(ASINH(FMS_Ranking4[[#This Row],[Pop at Risk Raw]]))*(10)/(ASINH(R$4))</f>
        <v>5.7310237383297871</v>
      </c>
      <c r="T68" s="256">
        <f>FMS_Ranking4[[#This Row],[Population at risk, ArcSinh (0-10)]]*R$5*10</f>
        <v>5.7310237383297871</v>
      </c>
      <c r="U68" s="253">
        <f>_xlfn.XLOOKUP(FMS_Ranking4[[#This Row],[FMS ID]],FMS_Input[FMS_ID],FMS_Input[CRITFAC100])</f>
        <v>3</v>
      </c>
      <c r="V68" s="259">
        <f>(ASINH(FMS_Ranking4[[#This Row],[Critical Facilities Raw]]))*(10)/(ASINH(U$4))</f>
        <v>2.152611706646717</v>
      </c>
      <c r="W68" s="256">
        <f>FMS_Ranking4[[#This Row],[Critical facilities at risk, ArcSinh (0-10)]]*U$5*10</f>
        <v>2.152611706646717</v>
      </c>
      <c r="X68" s="253">
        <f>_xlfn.XLOOKUP(FMS_Ranking4[[#This Row],[FMS ID]],FMS_Input[FMS_ID],FMS_Input[LWC])</f>
        <v>5</v>
      </c>
      <c r="Y68" s="259">
        <f>(ASINH(FMS_Ranking4[[#This Row],[LWC Raw]]))*(10)/(ASINH(X$4))</f>
        <v>3.1327475801820781</v>
      </c>
      <c r="Z68" s="256">
        <f>FMS_Ranking4[[#This Row],[LWC, ArcSInh (0-10)]]*X$5*10</f>
        <v>3.1327475801820781</v>
      </c>
      <c r="AA68" s="253">
        <f>_xlfn.XLOOKUP(FMS_Ranking4[[#This Row],[FMS ID]],FMS_Input[FMS_ID],FMS_Input[ROADCLS])</f>
        <v>0</v>
      </c>
      <c r="AB68" s="255">
        <f>(ASINH(FMS_Ranking4[[#This Row],[Road Closures Raw]]))*(10)/(ASINH(AA$4))</f>
        <v>0</v>
      </c>
      <c r="AC68" s="256">
        <f>FMS_Ranking4[[#This Row],[Road closures, ArcSinh (0-10)]]*AA$5*10</f>
        <v>0</v>
      </c>
      <c r="AD68" s="253">
        <f>_xlfn.XLOOKUP(FMS_Ranking4[[#This Row],[FMS ID]],FMS_Input[FMS_ID],FMS_Input[ROAD_MILES100])</f>
        <v>229</v>
      </c>
      <c r="AE68" s="259">
        <f>(ASINH(FMS_Ranking4[[#This Row],[Road Miles Raw]]))*(10)/(ASINH(AD$4))</f>
        <v>6.5295619805735505</v>
      </c>
      <c r="AF68" s="256">
        <f>FMS_Ranking4[[#This Row],[Length of roads at risk, ArcSinh (0-10)]]*AD$5*10</f>
        <v>6.5295619805735505</v>
      </c>
      <c r="AG68" s="253">
        <f>_xlfn.XLOOKUP(FMS_Ranking4[[#This Row],[FMS ID]],FMS_Input[FMS_ID],FMS_Input[FARMACRE100])</f>
        <v>55702.26953125</v>
      </c>
      <c r="AH68" s="255">
        <f>(ASINH(FMS_Ranking4[[#This Row],[Ag Land Raw]]))*(10)/(ASINH(AG$4))</f>
        <v>7.5487364653718911</v>
      </c>
      <c r="AI68" s="260">
        <f>FMS_Ranking4[[#This Row],[Farm &amp; ranch land, ArcSinh (0-10)]]*AG$5*10</f>
        <v>3.7743682326859456</v>
      </c>
      <c r="AJ68" s="258">
        <f>_xlfn.XLOOKUP(FMS_Ranking4[[#This Row],[FMS ID]],FMS_Input[FMS_ID],FMS_Input[REDSTRUCT100])</f>
        <v>226</v>
      </c>
      <c r="AK68" s="253">
        <f>_xlfn.XLOOKUP(FMS_Ranking4[[#This Row],[FMS ID]],FMS_Input[FMS_ID],FMS_Input[REMSTRC100])</f>
        <v>226</v>
      </c>
      <c r="AL68" s="259">
        <f>(ASINH(FMS_Ranking4[[#This Row],[Structures Removed Raw]]))*(10)/(ASINH(AK$4))</f>
        <v>6.9608691331105437</v>
      </c>
      <c r="AM68" s="262">
        <f>FMS_Ranking4[[#This Row],[Structures removed, ArcSinh (0-10)]]*AK$5*10</f>
        <v>6.9608691331105446</v>
      </c>
      <c r="AN68" s="253">
        <f>_xlfn.XLOOKUP(FMS_Ranking4[[#This Row],[FMS ID]],FMS_Input[FMS_ID],FMS_Input[REMRESSTRC100])</f>
        <v>112</v>
      </c>
      <c r="AO68" s="261">
        <f>FMS_Ranking4[[#This Row],[ArcSinh Res struct removed 0-10]]*AN$5*10</f>
        <v>3.1740853271945424</v>
      </c>
      <c r="AP68" s="260">
        <f>ASINH(FMS_Ranking4[[#This Row],[Residential Structures Removed Raw]])/AP$4*AN$5*100</f>
        <v>3.1740853271945424</v>
      </c>
      <c r="AQ68" s="254">
        <f>(ASINH(FMS_Ranking4[[#This Row],[Residential Structures Removed Raw]]))*(10)/(ASINH(AN$4))</f>
        <v>6.3481706543890848</v>
      </c>
      <c r="AR68" s="253">
        <f>_xlfn.XLOOKUP(FMS_Ranking4[[#This Row],[FMS ID]],FMS_Input[FMS_ID],FMS_Input[REMPOP100])</f>
        <v>728</v>
      </c>
      <c r="AS68" s="259">
        <f>(ASINH(FMS_Ranking4[[#This Row],[Removed Pop Raw]]))*(10)/(ASINH(AR$4))</f>
        <v>7.1495821384637113</v>
      </c>
      <c r="AT68" s="262">
        <f>FMS_Ranking4[[#This Row],[Removed population, ArcSinh (0-10)]]*AR$5*10</f>
        <v>7.1495821384637113</v>
      </c>
      <c r="AU68" s="264">
        <f>_xlfn.XLOOKUP(FMS_Ranking4[[#This Row],[FMS ID]],FMS_Input[FMS_ID],FMS_Input[REMCRITFAC100])</f>
        <v>0</v>
      </c>
      <c r="AV68" s="264">
        <f>_xlfn.XLOOKUP(FMS_Ranking4[[#This Row],[FMS ID]],FMS_Input[FMS_ID],FMS_Input[REMLWC100])</f>
        <v>1</v>
      </c>
      <c r="AW68" s="264">
        <f>_xlfn.XLOOKUP(FMS_Ranking4[[#This Row],[FMS ID]],FMS_Input[FMS_ID],FMS_Input[REMROADCLS])</f>
        <v>0</v>
      </c>
      <c r="AX68" s="264">
        <f>_xlfn.XLOOKUP(FMS_Ranking4[[#This Row],[FMS ID]],FMS_Input[FMS_ID],FMS_Input[REMFRMACRE100])</f>
        <v>13925.5673828125</v>
      </c>
      <c r="AY68" s="258">
        <f>_xlfn.XLOOKUP(FMS_Ranking4[[#This Row],[FMS ID]],FMS_Input[FMS_ID],FMS_Input[COSTSTRUCT])</f>
        <v>25000</v>
      </c>
      <c r="AZ68" s="253">
        <f>_xlfn.XLOOKUP(FMS_Ranking4[[#This Row],[FMS ID]],FMS_Input[FMS_ID],FMS_Input[NATURE])</f>
        <v>0</v>
      </c>
      <c r="BA68" s="262">
        <f>(((FMS_Ranking4[[#This Row],[% NBS Raw]]/AZ$4)*100)*AZ$5)</f>
        <v>0</v>
      </c>
      <c r="BB68" s="251" t="str">
        <f>_xlfn.XLOOKUP(FMS_Ranking4[[#This Row],[FMS ID]],FMS_Input[FMS_ID],FMS_Input[WATER_SUP])</f>
        <v>No</v>
      </c>
      <c r="BC68" s="265">
        <f>IF(FMS_Ranking4[[#This Row],[Water Supply Raw]]="Yes",10,0)</f>
        <v>0</v>
      </c>
      <c r="BD68" s="266">
        <f>_xlfn.XLOOKUP(FMS_Ranking4[[#This Row],[FMS Type]],FMS_TYPE[FMS_Type],FMS_TYPE[Score])</f>
        <v>2</v>
      </c>
      <c r="BE68" s="267">
        <f>FMS_Ranking4[[#This Row],[FMS_Type Score]]*$BD$5*10</f>
        <v>0.5</v>
      </c>
      <c r="BF6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0.64980625173068063</v>
      </c>
      <c r="BG68" s="271">
        <f>_xlfn.RANK.EQ(BF68,$BF$8:$BF$870,0)+COUNTIF($BF$8:BF68,BF68)-1</f>
        <v>189</v>
      </c>
      <c r="BH68" s="268">
        <f>(((FMS_Ranking4[[#This Row],[Structures Removed Raw]]/AK$4)*100)*AK$5)+(((FMS_Ranking4[[#This Row],[Removed Pop Raw]]/AR$4)*100)*AR$5)</f>
        <v>1.2411904397252316</v>
      </c>
      <c r="BI6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2.3909966914559124</v>
      </c>
      <c r="BJ68" s="205">
        <f>_xlfn.RANK.EQ(FMS_Ranking4[[#This Row],[Total Score 
(with linear
normalization)]],FMS_Ranking4[Total Score 
(with linear
normalization)],0)</f>
        <v>278</v>
      </c>
      <c r="BK68" s="205" t="e">
        <f>_xlfn.XLOOKUP(FMS_Ranking4[[#This Row],[FMS ID]],#REF!,#REF!)</f>
        <v>#REF!</v>
      </c>
      <c r="BL6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44.499207143804682</v>
      </c>
      <c r="BM68" s="272">
        <f>FMS_Ranking4[[#This Row],[ArcSinh Score Based on Normalized Reported Factors]]+FMS_Ranking4[[#This Row],[% NBS Score (Normalized)]]+(FMS_Ranking4[[#This Row],[Water Supply Score (Normalized)]]*10*$BB$5)+FMS_Ranking4[[#This Row],[FMS_Type Score Weighted]]</f>
        <v>44.999207143804682</v>
      </c>
      <c r="BN68" s="205">
        <f>_xlfn.RANK.EQ(FMS_Ranking4[[#This Row],[Total Score (with ArcSinh normalization of select criteria)]],FMS_Ranking4[Total Score (with ArcSinh normalization of select criteria)],0)</f>
        <v>60</v>
      </c>
      <c r="BO68" s="270" t="str">
        <f>_xlfn.XLOOKUP(FMS_Ranking4[[#This Row],[FMS ID]],FMS_Input[FMS_ID],FMS_Input[FMS_RANK_YEAR])</f>
        <v>2023 Amended Plan</v>
      </c>
      <c r="BP68" s="204">
        <f>_xlfn.XLOOKUP(FMS_Ranking4[[#This Row],[FMS ID]],Prev_Rank[FMS ID],Prev_Rank[Prev Rank])</f>
        <v>54</v>
      </c>
      <c r="BQ68" s="205" t="e">
        <f>_xlfn.XLOOKUP(FMS_Ranking4[[#This Row],[FMS ID]],#REF!,#REF!)</f>
        <v>#REF!</v>
      </c>
      <c r="BR68" s="199" t="e">
        <f>SUM(#REF!,#REF!,#REF!,#REF!,#REF!,#REF!,#REF!,#REF!,#REF!,FMS_Ranking4[[#This Row],[ArcSinh Res struct removed 0-10]],#REF!)</f>
        <v>#REF!</v>
      </c>
      <c r="BS68" s="199" t="e">
        <f>FMS_Ranking4[[#This Row],[Log Score Based on Normalized Reported Factors]]+FMS_Ranking4[[#This Row],[% NBS Score (Normalized)]]+(FMS_Ranking4[[#This Row],[Water Supply Score (Normalized)]]*10*$BB$5)+(FMS_Ranking4[[#This Row],[FMS_Type Score Weighted]])</f>
        <v>#REF!</v>
      </c>
      <c r="BT68" s="200" t="e">
        <f>_xlfn.RANK.EQ(FMS_Ranking4[[#This Row],[Log Total Score]],FMS_Ranking4[Log Total Score],0)</f>
        <v>#REF!</v>
      </c>
      <c r="BU68" s="200" t="e">
        <f>_xlfn.XLOOKUP(FMS_Ranking4[[#This Row],[FMS ID]],#REF!,#REF!)</f>
        <v>#REF!</v>
      </c>
      <c r="BV68" s="200">
        <f>FMS_Ranking4[[#This Row],[Region Number]]</f>
        <v>9</v>
      </c>
      <c r="BW68" s="200">
        <f>FMS_Ranking4[[#This Row],[Rank (with ArcSinh normalization of select criteria)]]-FMS_Ranking4[[#This Row],[Rank
(with linear
normalization)]]</f>
        <v>-218</v>
      </c>
      <c r="BX68" s="200" t="e">
        <f>FMS_Ranking4[[#This Row],[Log Rank]]-FMS_Ranking4[[#This Row],[Rank
(with linear
normalization)]]</f>
        <v>#REF!</v>
      </c>
      <c r="BY68" s="200" t="str">
        <f>IF(FMS_Ranking4[[#This Row],[FMS Type]]="Flood Measurement and Warning",FMS_Ranking4[[#This Row],[Rank (with ArcSinh normalization of select criteria)]],"")</f>
        <v/>
      </c>
      <c r="BZ68" s="200" t="str">
        <f>IF(FMS_Ranking4[[#This Row],[FMS Type]]="Regulatory and Guidance",FMS_Ranking4[[#This Row],[Rank (with ArcSinh normalization of select criteria)]],"")</f>
        <v/>
      </c>
      <c r="CA68" s="200" t="str">
        <f>IF(FMS_Ranking4[[#This Row],[FMS Type]]="Education and Outreach",FMS_Ranking4[[#This Row],[Rank (with ArcSinh normalization of select criteria)]],"")</f>
        <v/>
      </c>
      <c r="CB68" s="200" t="str">
        <f>IF(FMS_Ranking4[[#This Row],[FMS Type]]="Property Acquisition and Structural Elevation",FMS_Ranking4[[#This Row],[Rank (with ArcSinh normalization of select criteria)]],"")</f>
        <v/>
      </c>
      <c r="CC68" s="200" t="str">
        <f>IF(FMS_Ranking4[[#This Row],[FMS Type]]="Infrastructure Projects",FMS_Ranking4[[#This Row],[Rank (with ArcSinh normalization of select criteria)]],"")</f>
        <v/>
      </c>
      <c r="CD68" s="200">
        <f>IF(FMS_Ranking4[[#This Row],[FMS Type]]="Other",FMS_Ranking4[[#This Row],[Rank (with ArcSinh normalization of select criteria)]],"")</f>
        <v>60</v>
      </c>
      <c r="CE68" s="201"/>
    </row>
    <row r="69" spans="2:83" ht="30" x14ac:dyDescent="0.25">
      <c r="B69" s="341" t="s">
        <v>11934</v>
      </c>
      <c r="C69" s="246">
        <f>_xlfn.XLOOKUP(FMS_Ranking4[[#This Row],[FMS ID]],FMS_Input[FMS_ID],FMS_Input[RFPG_NUM])</f>
        <v>15</v>
      </c>
      <c r="D69" s="309" t="str">
        <f>_xlfn.XLOOKUP(FMS_Ranking4[[#This Row],[FMS ID]],FMS_Input[FMS_ID],FMS_Input[FMS_NAME])</f>
        <v>Hidalgo County Drainage District #1 - Action #90</v>
      </c>
      <c r="E69" s="308" t="str">
        <f>_xlfn.XLOOKUP(FMS_Ranking4[[#This Row],[FMS ID]],FMS_Input[FMS_ID],FMS_Input[SPONSOR])</f>
        <v>15000099</v>
      </c>
      <c r="F69" s="309" t="str">
        <f>_xlfn.XLOOKUP(FMS_Ranking4[[#This Row],[FMS ID]],Sponsor[FMS_ID],Sponsor[SPONSOR NAME])</f>
        <v>Hidalgo County Drainage District 1</v>
      </c>
      <c r="G69" s="309" t="str">
        <f>_xlfn.XLOOKUP(FMS_Ranking4[[#This Row],[FMS ID]],FMS_Input[FMS_ID],FMS_Input[FMS_DESCR])</f>
        <v>Illegal dumping outreach program</v>
      </c>
      <c r="H69" s="248" t="str">
        <f>_xlfn.XLOOKUP(FMS_Ranking4[[#This Row],[FMS ID]],FMS_Input[FMS_ID],FMS_Input[FMS_TYPE])</f>
        <v>Education and Outreach</v>
      </c>
      <c r="I69" s="249">
        <f>_xlfn.XLOOKUP(FMS_Ranking4[[#This Row],[FMS ID]],FMS_Input[FMS_ID],FMS_Input[NRNC_COST])</f>
        <v>500000</v>
      </c>
      <c r="J69" s="250">
        <f>_xlfn.XLOOKUP(FMS_Ranking4[[#This Row],[FMS ID]],FMS_Input[FMS_ID],FMS_Input[FMS_COST])</f>
        <v>500000</v>
      </c>
      <c r="K69" s="251" t="str">
        <f>_xlfn.XLOOKUP(FMS_Ranking4[[#This Row],[FMS ID]],FMS_Input[FMS_ID],FMS_Input[EMER_NEED])</f>
        <v>Yes</v>
      </c>
      <c r="L69" s="252">
        <f t="shared" si="0"/>
        <v>1</v>
      </c>
      <c r="M69" s="253">
        <f>_xlfn.XLOOKUP(FMS_Ranking4[[#This Row],[FMS ID]],FMS_Input[FMS_ID],FMS_Input[STRUCT_100])</f>
        <v>75816</v>
      </c>
      <c r="N69" s="255">
        <f>(ASINH(FMS_Ranking4[[#This Row],[Structure at Risk Raw]]))*(10)/(ASINH(M$4))</f>
        <v>9.3781366667466006</v>
      </c>
      <c r="O69" s="256">
        <f>FMS_Ranking4[[#This Row],[Structures at risk, ArcSinh (0-10)]]*M$5*10</f>
        <v>9.3781366667466024</v>
      </c>
      <c r="P69" s="253">
        <f>_xlfn.XLOOKUP(FMS_Ranking4[[#This Row],[FMS ID]],FMS_Input[FMS_ID],FMS_Input[RES_STRUCT100])</f>
        <v>61251</v>
      </c>
      <c r="Q69" s="257">
        <f>ASINH(FMS_Ranking4[[#This Row],[Res Structure Raw]])/Q$4*P$5*100</f>
        <v>0</v>
      </c>
      <c r="R69" s="253">
        <f>_xlfn.XLOOKUP(FMS_Ranking4[[#This Row],[FMS ID]],FMS_Input[FMS_ID],FMS_Input[POP100])</f>
        <v>244800</v>
      </c>
      <c r="S69" s="255">
        <f>(ASINH(FMS_Ranking4[[#This Row],[Pop at Risk Raw]]))*(10)/(ASINH(R$4))</f>
        <v>9.0446205033749258</v>
      </c>
      <c r="T69" s="256">
        <f>FMS_Ranking4[[#This Row],[Population at risk, ArcSinh (0-10)]]*R$5*10</f>
        <v>9.0446205033749258</v>
      </c>
      <c r="U69" s="253">
        <f>_xlfn.XLOOKUP(FMS_Ranking4[[#This Row],[FMS ID]],FMS_Input[FMS_ID],FMS_Input[CRITFAC100])</f>
        <v>459</v>
      </c>
      <c r="V69" s="255">
        <f>(ASINH(FMS_Ranking4[[#This Row],[Critical Facilities Raw]]))*(10)/(ASINH(U$4))</f>
        <v>8.0758740230664419</v>
      </c>
      <c r="W69" s="256">
        <f>FMS_Ranking4[[#This Row],[Critical facilities at risk, ArcSinh (0-10)]]*U$5*10</f>
        <v>8.0758740230664436</v>
      </c>
      <c r="X69" s="253">
        <f>_xlfn.XLOOKUP(FMS_Ranking4[[#This Row],[FMS ID]],FMS_Input[FMS_ID],FMS_Input[LWC])</f>
        <v>17</v>
      </c>
      <c r="Y69" s="255">
        <f>(ASINH(FMS_Ranking4[[#This Row],[LWC Raw]]))*(10)/(ASINH(X$4))</f>
        <v>4.7784642222450291</v>
      </c>
      <c r="Z69" s="256">
        <f>FMS_Ranking4[[#This Row],[LWC, ArcSInh (0-10)]]*X$5*10</f>
        <v>4.7784642222450291</v>
      </c>
      <c r="AA69" s="253">
        <f>_xlfn.XLOOKUP(FMS_Ranking4[[#This Row],[FMS ID]],FMS_Input[FMS_ID],FMS_Input[ROADCLS])</f>
        <v>5</v>
      </c>
      <c r="AB69" s="255">
        <f>(ASINH(FMS_Ranking4[[#This Row],[Road Closures Raw]]))*(10)/(ASINH(AA$4))</f>
        <v>2.4081922896382904</v>
      </c>
      <c r="AC69" s="256">
        <f>FMS_Ranking4[[#This Row],[Road closures, ArcSinh (0-10)]]*AA$5*10</f>
        <v>1.2040961448191452</v>
      </c>
      <c r="AD69" s="253">
        <f>_xlfn.XLOOKUP(FMS_Ranking4[[#This Row],[FMS ID]],FMS_Input[FMS_ID],FMS_Input[ROAD_MILES100])</f>
        <v>1840</v>
      </c>
      <c r="AE69" s="255">
        <f>(ASINH(FMS_Ranking4[[#This Row],[Road Miles Raw]]))*(10)/(ASINH(AD$4))</f>
        <v>8.7503132460891155</v>
      </c>
      <c r="AF69" s="256">
        <f>FMS_Ranking4[[#This Row],[Length of roads at risk, ArcSinh (0-10)]]*AD$5*10</f>
        <v>8.7503132460891173</v>
      </c>
      <c r="AG69" s="253">
        <f>_xlfn.XLOOKUP(FMS_Ranking4[[#This Row],[FMS ID]],FMS_Input[FMS_ID],FMS_Input[FARMACRE100])</f>
        <v>334.99685668945313</v>
      </c>
      <c r="AH69" s="255">
        <f>(ASINH(FMS_Ranking4[[#This Row],[Ag Land Raw]]))*(10)/(ASINH(AG$4))</f>
        <v>4.2270023696663568</v>
      </c>
      <c r="AI69" s="260">
        <f>FMS_Ranking4[[#This Row],[Farm &amp; ranch land, ArcSinh (0-10)]]*AG$5*10</f>
        <v>2.1135011848331784</v>
      </c>
      <c r="AJ69" s="258">
        <f>_xlfn.XLOOKUP(FMS_Ranking4[[#This Row],[FMS ID]],FMS_Input[FMS_ID],FMS_Input[REDSTRUCT100])</f>
        <v>0</v>
      </c>
      <c r="AK69" s="253">
        <f>_xlfn.XLOOKUP(FMS_Ranking4[[#This Row],[FMS ID]],FMS_Input[FMS_ID],FMS_Input[REMSTRC100])</f>
        <v>0</v>
      </c>
      <c r="AL69" s="255">
        <f>(ASINH(FMS_Ranking4[[#This Row],[Structures Removed Raw]]))*(10)/(ASINH(AK$4))</f>
        <v>0</v>
      </c>
      <c r="AM69" s="262">
        <f>FMS_Ranking4[[#This Row],[Structures removed, ArcSinh (0-10)]]*AK$5*10</f>
        <v>0</v>
      </c>
      <c r="AN69" s="253">
        <f>_xlfn.XLOOKUP(FMS_Ranking4[[#This Row],[FMS ID]],FMS_Input[FMS_ID],FMS_Input[REMRESSTRC100])</f>
        <v>0</v>
      </c>
      <c r="AO69" s="261">
        <f>FMS_Ranking4[[#This Row],[ArcSinh Res struct removed 0-10]]*AN$5*10</f>
        <v>0</v>
      </c>
      <c r="AP69" s="260">
        <f>ASINH(FMS_Ranking4[[#This Row],[Residential Structures Removed Raw]])/AP$4*AN$5*100</f>
        <v>0</v>
      </c>
      <c r="AQ69" s="258">
        <f>(ASINH(FMS_Ranking4[[#This Row],[Residential Structures Removed Raw]]))*(10)/(ASINH(AN$4))</f>
        <v>0</v>
      </c>
      <c r="AR69" s="253">
        <f>_xlfn.XLOOKUP(FMS_Ranking4[[#This Row],[FMS ID]],FMS_Input[FMS_ID],FMS_Input[REMPOP100])</f>
        <v>0</v>
      </c>
      <c r="AS69" s="255">
        <f>(ASINH(FMS_Ranking4[[#This Row],[Removed Pop Raw]]))*(10)/(ASINH(AR$4))</f>
        <v>0</v>
      </c>
      <c r="AT69" s="262">
        <f>FMS_Ranking4[[#This Row],[Removed population, ArcSinh (0-10)]]*AR$5*10</f>
        <v>0</v>
      </c>
      <c r="AU69" s="264">
        <f>_xlfn.XLOOKUP(FMS_Ranking4[[#This Row],[FMS ID]],FMS_Input[FMS_ID],FMS_Input[REMCRITFAC100])</f>
        <v>0</v>
      </c>
      <c r="AV69" s="264">
        <f>_xlfn.XLOOKUP(FMS_Ranking4[[#This Row],[FMS ID]],FMS_Input[FMS_ID],FMS_Input[REMLWC100])</f>
        <v>0</v>
      </c>
      <c r="AW69" s="264">
        <f>_xlfn.XLOOKUP(FMS_Ranking4[[#This Row],[FMS ID]],FMS_Input[FMS_ID],FMS_Input[REMROADCLS])</f>
        <v>0</v>
      </c>
      <c r="AX69" s="264">
        <f>_xlfn.XLOOKUP(FMS_Ranking4[[#This Row],[FMS ID]],FMS_Input[FMS_ID],FMS_Input[REMFRMACRE100])</f>
        <v>0</v>
      </c>
      <c r="AY69" s="258">
        <f>_xlfn.XLOOKUP(FMS_Ranking4[[#This Row],[FMS ID]],FMS_Input[FMS_ID],FMS_Input[COSTSTRUCT])</f>
        <v>0</v>
      </c>
      <c r="AZ69" s="253">
        <f>_xlfn.XLOOKUP(FMS_Ranking4[[#This Row],[FMS ID]],FMS_Input[FMS_ID],FMS_Input[NATURE])</f>
        <v>0</v>
      </c>
      <c r="BA69" s="262">
        <f>(((FMS_Ranking4[[#This Row],[% NBS Raw]]/AZ$4)*100)*AZ$5)</f>
        <v>0</v>
      </c>
      <c r="BB69" s="251" t="str">
        <f>_xlfn.XLOOKUP(FMS_Ranking4[[#This Row],[FMS ID]],FMS_Input[FMS_ID],FMS_Input[WATER_SUP])</f>
        <v>No</v>
      </c>
      <c r="BC69" s="265">
        <f>IF(FMS_Ranking4[[#This Row],[Water Supply Raw]]="Yes",10,0)</f>
        <v>0</v>
      </c>
      <c r="BD69" s="266">
        <f>_xlfn.XLOOKUP(FMS_Ranking4[[#This Row],[FMS Type]],FMS_TYPE[FMS_Type],FMS_TYPE[Score])</f>
        <v>6</v>
      </c>
      <c r="BE69" s="267">
        <f>FMS_Ranking4[[#This Row],[FMS_Type Score]]*$BD$5*10</f>
        <v>1.5000000000000002</v>
      </c>
      <c r="BF6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69" s="321">
        <f>_xlfn.RANK.EQ(BF69,$BF$8:$BF$870,0)+COUNTIF($BF$8:BF69,BF69)-1</f>
        <v>38</v>
      </c>
      <c r="BH69" s="294">
        <f>(((FMS_Ranking4[[#This Row],[Structures Removed Raw]]/AK$4)*100)*AK$5)+(((FMS_Ranking4[[#This Row],[Removed Pop Raw]]/AR$4)*100)*AR$5)</f>
        <v>0</v>
      </c>
      <c r="BI6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13.819419633393215</v>
      </c>
      <c r="BJ69" s="251">
        <f>_xlfn.RANK.EQ(FMS_Ranking4[[#This Row],[Total Score 
(with linear
normalization)]],FMS_Ranking4[Total Score 
(with linear
normalization)],0)</f>
        <v>42</v>
      </c>
      <c r="BK69" s="251" t="e">
        <f>_xlfn.XLOOKUP(FMS_Ranking4[[#This Row],[FMS ID]],#REF!,#REF!)</f>
        <v>#REF!</v>
      </c>
      <c r="BL6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69" s="324">
        <f>FMS_Ranking4[[#This Row],[ArcSinh Score Based on Normalized Reported Factors]]+FMS_Ranking4[[#This Row],[% NBS Score (Normalized)]]+(FMS_Ranking4[[#This Row],[Water Supply Score (Normalized)]]*10*$BB$5)+FMS_Ranking4[[#This Row],[FMS_Type Score Weighted]]</f>
        <v>44.845005991174439</v>
      </c>
      <c r="BN69" s="251">
        <f>_xlfn.RANK.EQ(FMS_Ranking4[[#This Row],[Total Score (with ArcSinh normalization of select criteria)]],FMS_Ranking4[Total Score (with ArcSinh normalization of select criteria)],0)</f>
        <v>62</v>
      </c>
      <c r="BO69" s="270" t="str">
        <f>_xlfn.XLOOKUP(FMS_Ranking4[[#This Row],[FMS ID]],FMS_Input[FMS_ID],FMS_Input[FMS_RANK_YEAR])</f>
        <v>2025 Amended Plan</v>
      </c>
      <c r="BP69" s="204" t="e">
        <f>_xlfn.XLOOKUP(FMS_Ranking4[[#This Row],[FMS ID]],Prev_Rank[FMS ID],Prev_Rank[Prev Rank])</f>
        <v>#N/A</v>
      </c>
      <c r="BQ69" s="251" t="e">
        <f>_xlfn.XLOOKUP(FMS_Ranking4[[#This Row],[FMS ID]],#REF!,#REF!)</f>
        <v>#REF!</v>
      </c>
      <c r="BR69" s="199" t="e">
        <f>SUM(#REF!,#REF!,#REF!,#REF!,#REF!,#REF!,#REF!,#REF!,#REF!,FMS_Ranking4[[#This Row],[ArcSinh Res struct removed 0-10]],#REF!)</f>
        <v>#REF!</v>
      </c>
      <c r="BS69" s="199" t="e">
        <f>FMS_Ranking4[[#This Row],[Log Score Based on Normalized Reported Factors]]+FMS_Ranking4[[#This Row],[% NBS Score (Normalized)]]+(FMS_Ranking4[[#This Row],[Water Supply Score (Normalized)]]*10*$BB$5)+(FMS_Ranking4[[#This Row],[FMS_Type Score Weighted]])</f>
        <v>#REF!</v>
      </c>
      <c r="BT69" s="200" t="e">
        <f>_xlfn.RANK.EQ(FMS_Ranking4[[#This Row],[Log Total Score]],FMS_Ranking4[Log Total Score],0)</f>
        <v>#REF!</v>
      </c>
      <c r="BU69" s="200" t="e">
        <f>_xlfn.XLOOKUP(FMS_Ranking4[[#This Row],[FMS ID]],#REF!,#REF!)</f>
        <v>#REF!</v>
      </c>
      <c r="BV69" s="200">
        <f>FMS_Ranking4[[#This Row],[Region Number]]</f>
        <v>15</v>
      </c>
      <c r="BW69" s="200">
        <f>FMS_Ranking4[[#This Row],[Rank (with ArcSinh normalization of select criteria)]]-FMS_Ranking4[[#This Row],[Rank
(with linear
normalization)]]</f>
        <v>20</v>
      </c>
      <c r="BX69" s="200" t="e">
        <f>FMS_Ranking4[[#This Row],[Log Rank]]-FMS_Ranking4[[#This Row],[Rank
(with linear
normalization)]]</f>
        <v>#REF!</v>
      </c>
      <c r="BY69" s="200" t="str">
        <f>IF(FMS_Ranking4[[#This Row],[FMS Type]]="Flood Measurement and Warning",FMS_Ranking4[[#This Row],[Rank (with ArcSinh normalization of select criteria)]],"")</f>
        <v/>
      </c>
      <c r="BZ69" s="200" t="str">
        <f>IF(FMS_Ranking4[[#This Row],[FMS Type]]="Regulatory and Guidance",FMS_Ranking4[[#This Row],[Rank (with ArcSinh normalization of select criteria)]],"")</f>
        <v/>
      </c>
      <c r="CA69" s="200">
        <f>IF(FMS_Ranking4[[#This Row],[FMS Type]]="Education and Outreach",FMS_Ranking4[[#This Row],[Rank (with ArcSinh normalization of select criteria)]],"")</f>
        <v>62</v>
      </c>
      <c r="CB69" s="200" t="str">
        <f>IF(FMS_Ranking4[[#This Row],[FMS Type]]="Property Acquisition and Structural Elevation",FMS_Ranking4[[#This Row],[Rank (with ArcSinh normalization of select criteria)]],"")</f>
        <v/>
      </c>
      <c r="CC69" s="200" t="str">
        <f>IF(FMS_Ranking4[[#This Row],[FMS Type]]="Infrastructure Projects",FMS_Ranking4[[#This Row],[Rank (with ArcSinh normalization of select criteria)]],"")</f>
        <v/>
      </c>
      <c r="CD69" s="200" t="str">
        <f>IF(FMS_Ranking4[[#This Row],[FMS Type]]="Other",FMS_Ranking4[[#This Row],[Rank (with ArcSinh normalization of select criteria)]],"")</f>
        <v/>
      </c>
      <c r="CE69" s="201"/>
    </row>
    <row r="70" spans="2:83" ht="30" x14ac:dyDescent="0.25">
      <c r="B70" s="341" t="s">
        <v>11906</v>
      </c>
      <c r="C70" s="246">
        <f>_xlfn.XLOOKUP(FMS_Ranking4[[#This Row],[FMS ID]],FMS_Input[FMS_ID],FMS_Input[RFPG_NUM])</f>
        <v>15</v>
      </c>
      <c r="D70" s="309" t="str">
        <f>_xlfn.XLOOKUP(FMS_Ranking4[[#This Row],[FMS ID]],FMS_Input[FMS_ID],FMS_Input[FMS_NAME])</f>
        <v>Hidalgo County Drainage District #1 - Action #124</v>
      </c>
      <c r="E70" s="308" t="str">
        <f>_xlfn.XLOOKUP(FMS_Ranking4[[#This Row],[FMS ID]],FMS_Input[FMS_ID],FMS_Input[SPONSOR])</f>
        <v>15000099</v>
      </c>
      <c r="F70" s="309" t="str">
        <f>_xlfn.XLOOKUP(FMS_Ranking4[[#This Row],[FMS ID]],Sponsor[FMS_ID],Sponsor[SPONSOR NAME])</f>
        <v>Hidalgo County Drainage District 1</v>
      </c>
      <c r="G70" s="309" t="str">
        <f>_xlfn.XLOOKUP(FMS_Ranking4[[#This Row],[FMS ID]],FMS_Input[FMS_ID],FMS_Input[FMS_DESCR])</f>
        <v>Increase communication with local municipalities</v>
      </c>
      <c r="H70" s="248" t="str">
        <f>_xlfn.XLOOKUP(FMS_Ranking4[[#This Row],[FMS ID]],FMS_Input[FMS_ID],FMS_Input[FMS_TYPE])</f>
        <v>Education and Outreach</v>
      </c>
      <c r="I70" s="249">
        <f>_xlfn.XLOOKUP(FMS_Ranking4[[#This Row],[FMS ID]],FMS_Input[FMS_ID],FMS_Input[NRNC_COST])</f>
        <v>200000</v>
      </c>
      <c r="J70" s="250">
        <f>_xlfn.XLOOKUP(FMS_Ranking4[[#This Row],[FMS ID]],FMS_Input[FMS_ID],FMS_Input[FMS_COST])</f>
        <v>200000</v>
      </c>
      <c r="K70" s="251" t="str">
        <f>_xlfn.XLOOKUP(FMS_Ranking4[[#This Row],[FMS ID]],FMS_Input[FMS_ID],FMS_Input[EMER_NEED])</f>
        <v>Yes</v>
      </c>
      <c r="L70" s="252">
        <f t="shared" si="0"/>
        <v>1</v>
      </c>
      <c r="M70" s="253">
        <f>_xlfn.XLOOKUP(FMS_Ranking4[[#This Row],[FMS ID]],FMS_Input[FMS_ID],FMS_Input[STRUCT_100])</f>
        <v>75816</v>
      </c>
      <c r="N70" s="255">
        <f>(ASINH(FMS_Ranking4[[#This Row],[Structure at Risk Raw]]))*(10)/(ASINH(M$4))</f>
        <v>9.3781366667466006</v>
      </c>
      <c r="O70" s="256">
        <f>FMS_Ranking4[[#This Row],[Structures at risk, ArcSinh (0-10)]]*M$5*10</f>
        <v>9.3781366667466024</v>
      </c>
      <c r="P70" s="253">
        <f>_xlfn.XLOOKUP(FMS_Ranking4[[#This Row],[FMS ID]],FMS_Input[FMS_ID],FMS_Input[RES_STRUCT100])</f>
        <v>61251</v>
      </c>
      <c r="Q70" s="257">
        <f>ASINH(FMS_Ranking4[[#This Row],[Res Structure Raw]])/Q$4*P$5*100</f>
        <v>0</v>
      </c>
      <c r="R70" s="253">
        <f>_xlfn.XLOOKUP(FMS_Ranking4[[#This Row],[FMS ID]],FMS_Input[FMS_ID],FMS_Input[POP100])</f>
        <v>244800</v>
      </c>
      <c r="S70" s="259">
        <f>(ASINH(FMS_Ranking4[[#This Row],[Pop at Risk Raw]]))*(10)/(ASINH(R$4))</f>
        <v>9.0446205033749258</v>
      </c>
      <c r="T70" s="256">
        <f>FMS_Ranking4[[#This Row],[Population at risk, ArcSinh (0-10)]]*R$5*10</f>
        <v>9.0446205033749258</v>
      </c>
      <c r="U70" s="253">
        <f>_xlfn.XLOOKUP(FMS_Ranking4[[#This Row],[FMS ID]],FMS_Input[FMS_ID],FMS_Input[CRITFAC100])</f>
        <v>459</v>
      </c>
      <c r="V70" s="259">
        <f>(ASINH(FMS_Ranking4[[#This Row],[Critical Facilities Raw]]))*(10)/(ASINH(U$4))</f>
        <v>8.0758740230664419</v>
      </c>
      <c r="W70" s="256">
        <f>FMS_Ranking4[[#This Row],[Critical facilities at risk, ArcSinh (0-10)]]*U$5*10</f>
        <v>8.0758740230664436</v>
      </c>
      <c r="X70" s="253">
        <f>_xlfn.XLOOKUP(FMS_Ranking4[[#This Row],[FMS ID]],FMS_Input[FMS_ID],FMS_Input[LWC])</f>
        <v>17</v>
      </c>
      <c r="Y70" s="259">
        <f>(ASINH(FMS_Ranking4[[#This Row],[LWC Raw]]))*(10)/(ASINH(X$4))</f>
        <v>4.7784642222450291</v>
      </c>
      <c r="Z70" s="256">
        <f>FMS_Ranking4[[#This Row],[LWC, ArcSInh (0-10)]]*X$5*10</f>
        <v>4.7784642222450291</v>
      </c>
      <c r="AA70" s="253">
        <f>_xlfn.XLOOKUP(FMS_Ranking4[[#This Row],[FMS ID]],FMS_Input[FMS_ID],FMS_Input[ROADCLS])</f>
        <v>5</v>
      </c>
      <c r="AB70" s="255">
        <f>(ASINH(FMS_Ranking4[[#This Row],[Road Closures Raw]]))*(10)/(ASINH(AA$4))</f>
        <v>2.4081922896382904</v>
      </c>
      <c r="AC70" s="256">
        <f>FMS_Ranking4[[#This Row],[Road closures, ArcSinh (0-10)]]*AA$5*10</f>
        <v>1.2040961448191452</v>
      </c>
      <c r="AD70" s="253">
        <f>_xlfn.XLOOKUP(FMS_Ranking4[[#This Row],[FMS ID]],FMS_Input[FMS_ID],FMS_Input[ROAD_MILES100])</f>
        <v>1840</v>
      </c>
      <c r="AE70" s="259">
        <f>(ASINH(FMS_Ranking4[[#This Row],[Road Miles Raw]]))*(10)/(ASINH(AD$4))</f>
        <v>8.7503132460891155</v>
      </c>
      <c r="AF70" s="256">
        <f>FMS_Ranking4[[#This Row],[Length of roads at risk, ArcSinh (0-10)]]*AD$5*10</f>
        <v>8.7503132460891173</v>
      </c>
      <c r="AG70" s="253">
        <f>_xlfn.XLOOKUP(FMS_Ranking4[[#This Row],[FMS ID]],FMS_Input[FMS_ID],FMS_Input[FARMACRE100])</f>
        <v>334.99685668945313</v>
      </c>
      <c r="AH70" s="255">
        <f>(ASINH(FMS_Ranking4[[#This Row],[Ag Land Raw]]))*(10)/(ASINH(AG$4))</f>
        <v>4.2270023696663568</v>
      </c>
      <c r="AI70" s="260">
        <f>FMS_Ranking4[[#This Row],[Farm &amp; ranch land, ArcSinh (0-10)]]*AG$5*10</f>
        <v>2.1135011848331784</v>
      </c>
      <c r="AJ70" s="258">
        <f>_xlfn.XLOOKUP(FMS_Ranking4[[#This Row],[FMS ID]],FMS_Input[FMS_ID],FMS_Input[REDSTRUCT100])</f>
        <v>0</v>
      </c>
      <c r="AK70" s="253">
        <f>_xlfn.XLOOKUP(FMS_Ranking4[[#This Row],[FMS ID]],FMS_Input[FMS_ID],FMS_Input[REMSTRC100])</f>
        <v>0</v>
      </c>
      <c r="AL70" s="259">
        <f>(ASINH(FMS_Ranking4[[#This Row],[Structures Removed Raw]]))*(10)/(ASINH(AK$4))</f>
        <v>0</v>
      </c>
      <c r="AM70" s="262">
        <f>FMS_Ranking4[[#This Row],[Structures removed, ArcSinh (0-10)]]*AK$5*10</f>
        <v>0</v>
      </c>
      <c r="AN70" s="253">
        <f>_xlfn.XLOOKUP(FMS_Ranking4[[#This Row],[FMS ID]],FMS_Input[FMS_ID],FMS_Input[REMRESSTRC100])</f>
        <v>0</v>
      </c>
      <c r="AO70" s="261">
        <f>FMS_Ranking4[[#This Row],[ArcSinh Res struct removed 0-10]]*AN$5*10</f>
        <v>0</v>
      </c>
      <c r="AP70" s="260">
        <f>ASINH(FMS_Ranking4[[#This Row],[Residential Structures Removed Raw]])/AP$4*AN$5*100</f>
        <v>0</v>
      </c>
      <c r="AQ70" s="254">
        <f>(ASINH(FMS_Ranking4[[#This Row],[Residential Structures Removed Raw]]))*(10)/(ASINH(AN$4))</f>
        <v>0</v>
      </c>
      <c r="AR70" s="253">
        <f>_xlfn.XLOOKUP(FMS_Ranking4[[#This Row],[FMS ID]],FMS_Input[FMS_ID],FMS_Input[REMPOP100])</f>
        <v>0</v>
      </c>
      <c r="AS70" s="259">
        <f>(ASINH(FMS_Ranking4[[#This Row],[Removed Pop Raw]]))*(10)/(ASINH(AR$4))</f>
        <v>0</v>
      </c>
      <c r="AT70" s="262">
        <f>FMS_Ranking4[[#This Row],[Removed population, ArcSinh (0-10)]]*AR$5*10</f>
        <v>0</v>
      </c>
      <c r="AU70" s="264">
        <f>_xlfn.XLOOKUP(FMS_Ranking4[[#This Row],[FMS ID]],FMS_Input[FMS_ID],FMS_Input[REMCRITFAC100])</f>
        <v>0</v>
      </c>
      <c r="AV70" s="264">
        <f>_xlfn.XLOOKUP(FMS_Ranking4[[#This Row],[FMS ID]],FMS_Input[FMS_ID],FMS_Input[REMLWC100])</f>
        <v>0</v>
      </c>
      <c r="AW70" s="264">
        <f>_xlfn.XLOOKUP(FMS_Ranking4[[#This Row],[FMS ID]],FMS_Input[FMS_ID],FMS_Input[REMROADCLS])</f>
        <v>0</v>
      </c>
      <c r="AX70" s="264">
        <f>_xlfn.XLOOKUP(FMS_Ranking4[[#This Row],[FMS ID]],FMS_Input[FMS_ID],FMS_Input[REMFRMACRE100])</f>
        <v>0</v>
      </c>
      <c r="AY70" s="258">
        <f>_xlfn.XLOOKUP(FMS_Ranking4[[#This Row],[FMS ID]],FMS_Input[FMS_ID],FMS_Input[COSTSTRUCT])</f>
        <v>0</v>
      </c>
      <c r="AZ70" s="253">
        <f>_xlfn.XLOOKUP(FMS_Ranking4[[#This Row],[FMS ID]],FMS_Input[FMS_ID],FMS_Input[NATURE])</f>
        <v>0</v>
      </c>
      <c r="BA70" s="262">
        <f>(((FMS_Ranking4[[#This Row],[% NBS Raw]]/AZ$4)*100)*AZ$5)</f>
        <v>0</v>
      </c>
      <c r="BB70" s="251" t="str">
        <f>_xlfn.XLOOKUP(FMS_Ranking4[[#This Row],[FMS ID]],FMS_Input[FMS_ID],FMS_Input[WATER_SUP])</f>
        <v>No</v>
      </c>
      <c r="BC70" s="265">
        <f>IF(FMS_Ranking4[[#This Row],[Water Supply Raw]]="Yes",10,0)</f>
        <v>0</v>
      </c>
      <c r="BD70" s="266">
        <f>_xlfn.XLOOKUP(FMS_Ranking4[[#This Row],[FMS Type]],FMS_TYPE[FMS_Type],FMS_TYPE[Score])</f>
        <v>6</v>
      </c>
      <c r="BE70" s="267">
        <f>FMS_Ranking4[[#This Row],[FMS_Type Score]]*$BD$5*10</f>
        <v>1.5000000000000002</v>
      </c>
      <c r="BF7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70" s="269">
        <f>_xlfn.RANK.EQ(BF70,$BF$8:$BF$870,0)+COUNTIF($BF$8:BF70,BF70)-1</f>
        <v>39</v>
      </c>
      <c r="BH70" s="268">
        <f>(((FMS_Ranking4[[#This Row],[Structures Removed Raw]]/AK$4)*100)*AK$5)+(((FMS_Ranking4[[#This Row],[Removed Pop Raw]]/AR$4)*100)*AR$5)</f>
        <v>0</v>
      </c>
      <c r="BI7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13.819419633393215</v>
      </c>
      <c r="BJ70" s="204">
        <f>_xlfn.RANK.EQ(FMS_Ranking4[[#This Row],[Total Score 
(with linear
normalization)]],FMS_Ranking4[Total Score 
(with linear
normalization)],0)</f>
        <v>42</v>
      </c>
      <c r="BK70" s="204" t="e">
        <f>_xlfn.XLOOKUP(FMS_Ranking4[[#This Row],[FMS ID]],#REF!,#REF!)</f>
        <v>#REF!</v>
      </c>
      <c r="BL70"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70" s="270">
        <f>FMS_Ranking4[[#This Row],[ArcSinh Score Based on Normalized Reported Factors]]+FMS_Ranking4[[#This Row],[% NBS Score (Normalized)]]+(FMS_Ranking4[[#This Row],[Water Supply Score (Normalized)]]*10*$BB$5)+FMS_Ranking4[[#This Row],[FMS_Type Score Weighted]]</f>
        <v>44.845005991174439</v>
      </c>
      <c r="BN70" s="204">
        <f>_xlfn.RANK.EQ(FMS_Ranking4[[#This Row],[Total Score (with ArcSinh normalization of select criteria)]],FMS_Ranking4[Total Score (with ArcSinh normalization of select criteria)],0)</f>
        <v>62</v>
      </c>
      <c r="BO70" s="270" t="str">
        <f>_xlfn.XLOOKUP(FMS_Ranking4[[#This Row],[FMS ID]],FMS_Input[FMS_ID],FMS_Input[FMS_RANK_YEAR])</f>
        <v>2025 Amended Plan</v>
      </c>
      <c r="BP70" s="204" t="e">
        <f>_xlfn.XLOOKUP(FMS_Ranking4[[#This Row],[FMS ID]],Prev_Rank[FMS ID],Prev_Rank[Prev Rank])</f>
        <v>#N/A</v>
      </c>
      <c r="BQ70" s="204" t="e">
        <f>_xlfn.XLOOKUP(FMS_Ranking4[[#This Row],[FMS ID]],#REF!,#REF!)</f>
        <v>#REF!</v>
      </c>
      <c r="BR70" s="199" t="e">
        <f>SUM(#REF!,#REF!,#REF!,#REF!,#REF!,#REF!,#REF!,#REF!,#REF!,FMS_Ranking4[[#This Row],[ArcSinh Res struct removed 0-10]],#REF!)</f>
        <v>#REF!</v>
      </c>
      <c r="BS70" s="199" t="e">
        <f>FMS_Ranking4[[#This Row],[Log Score Based on Normalized Reported Factors]]+FMS_Ranking4[[#This Row],[% NBS Score (Normalized)]]+(FMS_Ranking4[[#This Row],[Water Supply Score (Normalized)]]*10*$BB$5)+(FMS_Ranking4[[#This Row],[FMS_Type Score Weighted]])</f>
        <v>#REF!</v>
      </c>
      <c r="BT70" s="200" t="e">
        <f>_xlfn.RANK.EQ(FMS_Ranking4[[#This Row],[Log Total Score]],FMS_Ranking4[Log Total Score],0)</f>
        <v>#REF!</v>
      </c>
      <c r="BU70" s="200" t="e">
        <f>_xlfn.XLOOKUP(FMS_Ranking4[[#This Row],[FMS ID]],#REF!,#REF!)</f>
        <v>#REF!</v>
      </c>
      <c r="BV70" s="200">
        <f>FMS_Ranking4[[#This Row],[Region Number]]</f>
        <v>15</v>
      </c>
      <c r="BW70" s="200">
        <f>FMS_Ranking4[[#This Row],[Rank (with ArcSinh normalization of select criteria)]]-FMS_Ranking4[[#This Row],[Rank
(with linear
normalization)]]</f>
        <v>20</v>
      </c>
      <c r="BX70" s="200" t="e">
        <f>FMS_Ranking4[[#This Row],[Log Rank]]-FMS_Ranking4[[#This Row],[Rank
(with linear
normalization)]]</f>
        <v>#REF!</v>
      </c>
      <c r="BY70" s="200" t="str">
        <f>IF(FMS_Ranking4[[#This Row],[FMS Type]]="Flood Measurement and Warning",FMS_Ranking4[[#This Row],[Rank (with ArcSinh normalization of select criteria)]],"")</f>
        <v/>
      </c>
      <c r="BZ70" s="200" t="str">
        <f>IF(FMS_Ranking4[[#This Row],[FMS Type]]="Regulatory and Guidance",FMS_Ranking4[[#This Row],[Rank (with ArcSinh normalization of select criteria)]],"")</f>
        <v/>
      </c>
      <c r="CA70" s="200">
        <f>IF(FMS_Ranking4[[#This Row],[FMS Type]]="Education and Outreach",FMS_Ranking4[[#This Row],[Rank (with ArcSinh normalization of select criteria)]],"")</f>
        <v>62</v>
      </c>
      <c r="CB70" s="200" t="str">
        <f>IF(FMS_Ranking4[[#This Row],[FMS Type]]="Property Acquisition and Structural Elevation",FMS_Ranking4[[#This Row],[Rank (with ArcSinh normalization of select criteria)]],"")</f>
        <v/>
      </c>
      <c r="CC70" s="200" t="str">
        <f>IF(FMS_Ranking4[[#This Row],[FMS Type]]="Infrastructure Projects",FMS_Ranking4[[#This Row],[Rank (with ArcSinh normalization of select criteria)]],"")</f>
        <v/>
      </c>
      <c r="CD70" s="200" t="str">
        <f>IF(FMS_Ranking4[[#This Row],[FMS Type]]="Other",FMS_Ranking4[[#This Row],[Rank (with ArcSinh normalization of select criteria)]],"")</f>
        <v/>
      </c>
      <c r="CE70" s="201"/>
    </row>
    <row r="71" spans="2:83" ht="30" x14ac:dyDescent="0.25">
      <c r="B71" s="341" t="s">
        <v>1750</v>
      </c>
      <c r="C71" s="246">
        <f>_xlfn.XLOOKUP(FMS_Ranking4[[#This Row],[FMS ID]],FMS_Input[FMS_ID],FMS_Input[RFPG_NUM])</f>
        <v>2</v>
      </c>
      <c r="D71" s="309" t="str">
        <f>_xlfn.XLOOKUP(FMS_Ranking4[[#This Row],[FMS ID]],FMS_Input[FMS_ID],FMS_Input[FMS_NAME])</f>
        <v>Turn Around/Don't Drown</v>
      </c>
      <c r="E71" s="308" t="str">
        <f>_xlfn.XLOOKUP(FMS_Ranking4[[#This Row],[FMS ID]],FMS_Input[FMS_ID],FMS_Input[SPONSOR])</f>
        <v>Ark - Tex Council of Goverments</v>
      </c>
      <c r="F71" s="309" t="str">
        <f>_xlfn.XLOOKUP(FMS_Ranking4[[#This Row],[FMS ID]],Sponsor[FMS_ID],Sponsor[SPONSOR NAME])</f>
        <v>Ark - Tex Council of Goverments</v>
      </c>
      <c r="G71" s="309" t="str">
        <f>_xlfn.XLOOKUP(FMS_Ranking4[[#This Row],[FMS ID]],FMS_Input[FMS_ID],FMS_Input[FMS_DESCR])</f>
        <v>Educate the public on the Turn-Around/Don’t Drown program</v>
      </c>
      <c r="H71" s="248" t="str">
        <f>_xlfn.XLOOKUP(FMS_Ranking4[[#This Row],[FMS ID]],FMS_Input[FMS_ID],FMS_Input[FMS_TYPE])</f>
        <v>Education and Outreach</v>
      </c>
      <c r="I71" s="249">
        <f>_xlfn.XLOOKUP(FMS_Ranking4[[#This Row],[FMS ID]],FMS_Input[FMS_ID],FMS_Input[NRNC_COST])</f>
        <v>100000</v>
      </c>
      <c r="J71" s="250">
        <f>_xlfn.XLOOKUP(FMS_Ranking4[[#This Row],[FMS ID]],FMS_Input[FMS_ID],FMS_Input[FMS_COST])</f>
        <v>100000</v>
      </c>
      <c r="K71" s="251" t="str">
        <f>_xlfn.XLOOKUP(FMS_Ranking4[[#This Row],[FMS ID]],FMS_Input[FMS_ID],FMS_Input[EMER_NEED])</f>
        <v>No</v>
      </c>
      <c r="L71" s="252">
        <f t="shared" si="0"/>
        <v>0</v>
      </c>
      <c r="M71" s="253">
        <f>_xlfn.XLOOKUP(FMS_Ranking4[[#This Row],[FMS ID]],FMS_Input[FMS_ID],FMS_Input[STRUCT_100])</f>
        <v>13438</v>
      </c>
      <c r="N71" s="255">
        <f>(ASINH(FMS_Ranking4[[#This Row],[Structure at Risk Raw]]))*(10)/(ASINH(M$4))</f>
        <v>8.0179238983697285</v>
      </c>
      <c r="O71" s="256">
        <f>FMS_Ranking4[[#This Row],[Structures at risk, ArcSinh (0-10)]]*M$5*10</f>
        <v>8.0179238983697285</v>
      </c>
      <c r="P71" s="253">
        <f>_xlfn.XLOOKUP(FMS_Ranking4[[#This Row],[FMS ID]],FMS_Input[FMS_ID],FMS_Input[RES_STRUCT100])</f>
        <v>8069</v>
      </c>
      <c r="Q71" s="257">
        <f>ASINH(FMS_Ranking4[[#This Row],[Res Structure Raw]])/Q$4*P$5*100</f>
        <v>0</v>
      </c>
      <c r="R71" s="253">
        <f>_xlfn.XLOOKUP(FMS_Ranking4[[#This Row],[FMS ID]],FMS_Input[FMS_ID],FMS_Input[POP100])</f>
        <v>51360</v>
      </c>
      <c r="S71" s="255">
        <f>(ASINH(FMS_Ranking4[[#This Row],[Pop at Risk Raw]]))*(10)/(ASINH(R$4))</f>
        <v>7.966569611835979</v>
      </c>
      <c r="T71" s="256">
        <f>FMS_Ranking4[[#This Row],[Population at risk, ArcSinh (0-10)]]*R$5*10</f>
        <v>7.9665696118359799</v>
      </c>
      <c r="U71" s="253">
        <f>_xlfn.XLOOKUP(FMS_Ranking4[[#This Row],[FMS ID]],FMS_Input[FMS_ID],FMS_Input[CRITFAC100])</f>
        <v>159</v>
      </c>
      <c r="V71" s="255">
        <f>(ASINH(FMS_Ranking4[[#This Row],[Critical Facilities Raw]]))*(10)/(ASINH(U$4))</f>
        <v>6.8209214983693363</v>
      </c>
      <c r="W71" s="256">
        <f>FMS_Ranking4[[#This Row],[Critical facilities at risk, ArcSinh (0-10)]]*U$5*10</f>
        <v>6.8209214983693371</v>
      </c>
      <c r="X71" s="253">
        <f>_xlfn.XLOOKUP(FMS_Ranking4[[#This Row],[FMS ID]],FMS_Input[FMS_ID],FMS_Input[LWC])</f>
        <v>116</v>
      </c>
      <c r="Y71" s="255">
        <f>(ASINH(FMS_Ranking4[[#This Row],[LWC Raw]]))*(10)/(ASINH(X$4))</f>
        <v>7.3789260532265324</v>
      </c>
      <c r="Z71" s="256">
        <f>FMS_Ranking4[[#This Row],[LWC, ArcSInh (0-10)]]*X$5*10</f>
        <v>7.3789260532265333</v>
      </c>
      <c r="AA71" s="253">
        <f>_xlfn.XLOOKUP(FMS_Ranking4[[#This Row],[FMS ID]],FMS_Input[FMS_ID],FMS_Input[ROADCLS])</f>
        <v>0</v>
      </c>
      <c r="AB71" s="255">
        <f>(ASINH(FMS_Ranking4[[#This Row],[Road Closures Raw]]))*(10)/(ASINH(AA$4))</f>
        <v>0</v>
      </c>
      <c r="AC71" s="256">
        <f>FMS_Ranking4[[#This Row],[Road closures, ArcSinh (0-10)]]*AA$5*10</f>
        <v>0</v>
      </c>
      <c r="AD71" s="253">
        <f>_xlfn.XLOOKUP(FMS_Ranking4[[#This Row],[FMS ID]],FMS_Input[FMS_ID],FMS_Input[ROAD_MILES100])</f>
        <v>1924</v>
      </c>
      <c r="AE71" s="255">
        <f>(ASINH(FMS_Ranking4[[#This Row],[Road Miles Raw]]))*(10)/(ASINH(AD$4))</f>
        <v>8.7978880297503288</v>
      </c>
      <c r="AF71" s="256">
        <f>FMS_Ranking4[[#This Row],[Length of roads at risk, ArcSinh (0-10)]]*AD$5*10</f>
        <v>8.7978880297503288</v>
      </c>
      <c r="AG71" s="253">
        <f>_xlfn.XLOOKUP(FMS_Ranking4[[#This Row],[FMS ID]],FMS_Input[FMS_ID],FMS_Input[FARMACRE100])</f>
        <v>180986.3125</v>
      </c>
      <c r="AH71" s="255">
        <f>(ASINH(FMS_Ranking4[[#This Row],[Ag Land Raw]]))*(10)/(ASINH(AG$4))</f>
        <v>8.3142036033862752</v>
      </c>
      <c r="AI71" s="260">
        <f>FMS_Ranking4[[#This Row],[Farm &amp; ranch land, ArcSinh (0-10)]]*AG$5*10</f>
        <v>4.1571018016931376</v>
      </c>
      <c r="AJ71" s="258">
        <f>_xlfn.XLOOKUP(FMS_Ranking4[[#This Row],[FMS ID]],FMS_Input[FMS_ID],FMS_Input[REDSTRUCT100])</f>
        <v>0</v>
      </c>
      <c r="AK71" s="253">
        <f>_xlfn.XLOOKUP(FMS_Ranking4[[#This Row],[FMS ID]],FMS_Input[FMS_ID],FMS_Input[REMSTRC100])</f>
        <v>0</v>
      </c>
      <c r="AL71" s="255">
        <f>(ASINH(FMS_Ranking4[[#This Row],[Structures Removed Raw]]))*(10)/(ASINH(AK$4))</f>
        <v>0</v>
      </c>
      <c r="AM71" s="262">
        <f>FMS_Ranking4[[#This Row],[Structures removed, ArcSinh (0-10)]]*AK$5*10</f>
        <v>0</v>
      </c>
      <c r="AN71" s="253">
        <f>_xlfn.XLOOKUP(FMS_Ranking4[[#This Row],[FMS ID]],FMS_Input[FMS_ID],FMS_Input[REMRESSTRC100])</f>
        <v>0</v>
      </c>
      <c r="AO71" s="261">
        <f>FMS_Ranking4[[#This Row],[ArcSinh Res struct removed 0-10]]*AN$5*10</f>
        <v>0</v>
      </c>
      <c r="AP71" s="260">
        <f>ASINH(FMS_Ranking4[[#This Row],[Residential Structures Removed Raw]])/AP$4*AN$5*100</f>
        <v>0</v>
      </c>
      <c r="AQ71" s="258">
        <f>(ASINH(FMS_Ranking4[[#This Row],[Residential Structures Removed Raw]]))*(10)/(ASINH(AN$4))</f>
        <v>0</v>
      </c>
      <c r="AR71" s="253">
        <f>_xlfn.XLOOKUP(FMS_Ranking4[[#This Row],[FMS ID]],FMS_Input[FMS_ID],FMS_Input[REMPOP100])</f>
        <v>0</v>
      </c>
      <c r="AS71" s="255">
        <f>(ASINH(FMS_Ranking4[[#This Row],[Removed Pop Raw]]))*(10)/(ASINH(AR$4))</f>
        <v>0</v>
      </c>
      <c r="AT71" s="262">
        <f>FMS_Ranking4[[#This Row],[Removed population, ArcSinh (0-10)]]*AR$5*10</f>
        <v>0</v>
      </c>
      <c r="AU71" s="264">
        <f>_xlfn.XLOOKUP(FMS_Ranking4[[#This Row],[FMS ID]],FMS_Input[FMS_ID],FMS_Input[REMCRITFAC100])</f>
        <v>0</v>
      </c>
      <c r="AV71" s="264">
        <f>_xlfn.XLOOKUP(FMS_Ranking4[[#This Row],[FMS ID]],FMS_Input[FMS_ID],FMS_Input[REMLWC100])</f>
        <v>0</v>
      </c>
      <c r="AW71" s="264">
        <f>_xlfn.XLOOKUP(FMS_Ranking4[[#This Row],[FMS ID]],FMS_Input[FMS_ID],FMS_Input[REMROADCLS])</f>
        <v>0</v>
      </c>
      <c r="AX71" s="264">
        <f>_xlfn.XLOOKUP(FMS_Ranking4[[#This Row],[FMS ID]],FMS_Input[FMS_ID],FMS_Input[REMFRMACRE100])</f>
        <v>0</v>
      </c>
      <c r="AY71" s="258">
        <f>_xlfn.XLOOKUP(FMS_Ranking4[[#This Row],[FMS ID]],FMS_Input[FMS_ID],FMS_Input[COSTSTRUCT])</f>
        <v>0</v>
      </c>
      <c r="AZ71" s="253">
        <f>_xlfn.XLOOKUP(FMS_Ranking4[[#This Row],[FMS ID]],FMS_Input[FMS_ID],FMS_Input[NATURE])</f>
        <v>0</v>
      </c>
      <c r="BA71" s="262">
        <f>(((FMS_Ranking4[[#This Row],[% NBS Raw]]/AZ$4)*100)*AZ$5)</f>
        <v>0</v>
      </c>
      <c r="BB71" s="251" t="str">
        <f>_xlfn.XLOOKUP(FMS_Ranking4[[#This Row],[FMS ID]],FMS_Input[FMS_ID],FMS_Input[WATER_SUP])</f>
        <v>No</v>
      </c>
      <c r="BC71" s="265">
        <f>IF(FMS_Ranking4[[#This Row],[Water Supply Raw]]="Yes",10,0)</f>
        <v>0</v>
      </c>
      <c r="BD71" s="266">
        <f>_xlfn.XLOOKUP(FMS_Ranking4[[#This Row],[FMS Type]],FMS_TYPE[FMS_Type],FMS_TYPE[Score])</f>
        <v>6</v>
      </c>
      <c r="BE71" s="267">
        <f>FMS_Ranking4[[#This Row],[FMS_Type Score]]*$BD$5*10</f>
        <v>1.5000000000000002</v>
      </c>
      <c r="BF7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7.065797261924665</v>
      </c>
      <c r="BG71" s="321">
        <f>_xlfn.RANK.EQ(BF71,$BF$8:$BF$870,0)+COUNTIF($BF$8:BF71,BF71)-1</f>
        <v>53</v>
      </c>
      <c r="BH71" s="294">
        <f>(((FMS_Ranking4[[#This Row],[Structures Removed Raw]]/AK$4)*100)*AK$5)+(((FMS_Ranking4[[#This Row],[Removed Pop Raw]]/AR$4)*100)*AR$5)</f>
        <v>0</v>
      </c>
      <c r="BI7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8.565797261924665</v>
      </c>
      <c r="BJ71" s="251">
        <f>_xlfn.RANK.EQ(FMS_Ranking4[[#This Row],[Total Score 
(with linear
normalization)]],FMS_Ranking4[Total Score 
(with linear
normalization)],0)</f>
        <v>71</v>
      </c>
      <c r="BK71" s="251" t="e">
        <f>_xlfn.XLOOKUP(FMS_Ranking4[[#This Row],[FMS ID]],#REF!,#REF!)</f>
        <v>#REF!</v>
      </c>
      <c r="BL7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43.139330893245045</v>
      </c>
      <c r="BM71" s="324">
        <f>FMS_Ranking4[[#This Row],[ArcSinh Score Based on Normalized Reported Factors]]+FMS_Ranking4[[#This Row],[% NBS Score (Normalized)]]+(FMS_Ranking4[[#This Row],[Water Supply Score (Normalized)]]*10*$BB$5)+FMS_Ranking4[[#This Row],[FMS_Type Score Weighted]]</f>
        <v>44.639330893245045</v>
      </c>
      <c r="BN71" s="251">
        <f>_xlfn.RANK.EQ(FMS_Ranking4[[#This Row],[Total Score (with ArcSinh normalization of select criteria)]],FMS_Ranking4[Total Score (with ArcSinh normalization of select criteria)],0)</f>
        <v>64</v>
      </c>
      <c r="BO71" s="270" t="str">
        <f>_xlfn.XLOOKUP(FMS_Ranking4[[#This Row],[FMS ID]],FMS_Input[FMS_ID],FMS_Input[FMS_RANK_YEAR])</f>
        <v>2023 Amended Plan</v>
      </c>
      <c r="BP71" s="204">
        <f>_xlfn.XLOOKUP(FMS_Ranking4[[#This Row],[FMS ID]],Prev_Rank[FMS ID],Prev_Rank[Prev Rank])</f>
        <v>52</v>
      </c>
      <c r="BQ71" s="251" t="e">
        <f>_xlfn.XLOOKUP(FMS_Ranking4[[#This Row],[FMS ID]],#REF!,#REF!)</f>
        <v>#REF!</v>
      </c>
      <c r="BR71" s="199" t="e">
        <f>SUM(#REF!,#REF!,#REF!,#REF!,#REF!,#REF!,#REF!,#REF!,#REF!,FMS_Ranking4[[#This Row],[ArcSinh Res struct removed 0-10]],#REF!)</f>
        <v>#REF!</v>
      </c>
      <c r="BS71" s="199" t="e">
        <f>FMS_Ranking4[[#This Row],[Log Score Based on Normalized Reported Factors]]+FMS_Ranking4[[#This Row],[% NBS Score (Normalized)]]+(FMS_Ranking4[[#This Row],[Water Supply Score (Normalized)]]*10*$BB$5)+(FMS_Ranking4[[#This Row],[FMS_Type Score Weighted]])</f>
        <v>#REF!</v>
      </c>
      <c r="BT71" s="200" t="e">
        <f>_xlfn.RANK.EQ(FMS_Ranking4[[#This Row],[Log Total Score]],FMS_Ranking4[Log Total Score],0)</f>
        <v>#REF!</v>
      </c>
      <c r="BU71" s="200" t="e">
        <f>_xlfn.XLOOKUP(FMS_Ranking4[[#This Row],[FMS ID]],#REF!,#REF!)</f>
        <v>#REF!</v>
      </c>
      <c r="BV71" s="200">
        <f>FMS_Ranking4[[#This Row],[Region Number]]</f>
        <v>2</v>
      </c>
      <c r="BW71" s="200">
        <f>FMS_Ranking4[[#This Row],[Rank (with ArcSinh normalization of select criteria)]]-FMS_Ranking4[[#This Row],[Rank
(with linear
normalization)]]</f>
        <v>-7</v>
      </c>
      <c r="BX71" s="200" t="e">
        <f>FMS_Ranking4[[#This Row],[Log Rank]]-FMS_Ranking4[[#This Row],[Rank
(with linear
normalization)]]</f>
        <v>#REF!</v>
      </c>
      <c r="BY71" s="200" t="str">
        <f>IF(FMS_Ranking4[[#This Row],[FMS Type]]="Flood Measurement and Warning",FMS_Ranking4[[#This Row],[Rank (with ArcSinh normalization of select criteria)]],"")</f>
        <v/>
      </c>
      <c r="BZ71" s="200" t="str">
        <f>IF(FMS_Ranking4[[#This Row],[FMS Type]]="Regulatory and Guidance",FMS_Ranking4[[#This Row],[Rank (with ArcSinh normalization of select criteria)]],"")</f>
        <v/>
      </c>
      <c r="CA71" s="200">
        <f>IF(FMS_Ranking4[[#This Row],[FMS Type]]="Education and Outreach",FMS_Ranking4[[#This Row],[Rank (with ArcSinh normalization of select criteria)]],"")</f>
        <v>64</v>
      </c>
      <c r="CB71" s="200" t="str">
        <f>IF(FMS_Ranking4[[#This Row],[FMS Type]]="Property Acquisition and Structural Elevation",FMS_Ranking4[[#This Row],[Rank (with ArcSinh normalization of select criteria)]],"")</f>
        <v/>
      </c>
      <c r="CC71" s="200" t="str">
        <f>IF(FMS_Ranking4[[#This Row],[FMS Type]]="Infrastructure Projects",FMS_Ranking4[[#This Row],[Rank (with ArcSinh normalization of select criteria)]],"")</f>
        <v/>
      </c>
      <c r="CD71" s="200" t="str">
        <f>IF(FMS_Ranking4[[#This Row],[FMS Type]]="Other",FMS_Ranking4[[#This Row],[Rank (with ArcSinh normalization of select criteria)]],"")</f>
        <v/>
      </c>
      <c r="CE71" s="201"/>
    </row>
    <row r="72" spans="2:83" ht="45" x14ac:dyDescent="0.25">
      <c r="B72" s="341" t="s">
        <v>1754</v>
      </c>
      <c r="C72" s="246">
        <f>_xlfn.XLOOKUP(FMS_Ranking4[[#This Row],[FMS ID]],FMS_Input[FMS_ID],FMS_Input[RFPG_NUM])</f>
        <v>2</v>
      </c>
      <c r="D72" s="309" t="str">
        <f>_xlfn.XLOOKUP(FMS_Ranking4[[#This Row],[FMS ID]],FMS_Input[FMS_ID],FMS_Input[FMS_NAME])</f>
        <v>Public NFIP Education</v>
      </c>
      <c r="E72" s="308" t="str">
        <f>_xlfn.XLOOKUP(FMS_Ranking4[[#This Row],[FMS ID]],FMS_Input[FMS_ID],FMS_Input[SPONSOR])</f>
        <v>Ark - Tex Council of Goverments</v>
      </c>
      <c r="F72" s="309" t="str">
        <f>_xlfn.XLOOKUP(FMS_Ranking4[[#This Row],[FMS ID]],Sponsor[FMS_ID],Sponsor[SPONSOR NAME])</f>
        <v>Ark - Tex Council of Goverments</v>
      </c>
      <c r="G72" s="309" t="str">
        <f>_xlfn.XLOOKUP(FMS_Ranking4[[#This Row],[FMS ID]],FMS_Input[FMS_ID],FMS_Input[FMS_DESCR])</f>
        <v>Educate the public on the NFIP program and the importance of purchasing flood insurance</v>
      </c>
      <c r="H72" s="248" t="str">
        <f>_xlfn.XLOOKUP(FMS_Ranking4[[#This Row],[FMS ID]],FMS_Input[FMS_ID],FMS_Input[FMS_TYPE])</f>
        <v>Education and Outreach</v>
      </c>
      <c r="I72" s="249">
        <f>_xlfn.XLOOKUP(FMS_Ranking4[[#This Row],[FMS ID]],FMS_Input[FMS_ID],FMS_Input[NRNC_COST])</f>
        <v>100000</v>
      </c>
      <c r="J72" s="250">
        <f>_xlfn.XLOOKUP(FMS_Ranking4[[#This Row],[FMS ID]],FMS_Input[FMS_ID],FMS_Input[FMS_COST])</f>
        <v>100000</v>
      </c>
      <c r="K72" s="251" t="str">
        <f>_xlfn.XLOOKUP(FMS_Ranking4[[#This Row],[FMS ID]],FMS_Input[FMS_ID],FMS_Input[EMER_NEED])</f>
        <v>No</v>
      </c>
      <c r="L72" s="252">
        <f t="shared" ref="L72:L135" si="1">IF(K72="Yes",1,0)</f>
        <v>0</v>
      </c>
      <c r="M72" s="253">
        <f>_xlfn.XLOOKUP(FMS_Ranking4[[#This Row],[FMS ID]],FMS_Input[FMS_ID],FMS_Input[STRUCT_100])</f>
        <v>13438</v>
      </c>
      <c r="N72" s="255">
        <f>(ASINH(FMS_Ranking4[[#This Row],[Structure at Risk Raw]]))*(10)/(ASINH(M$4))</f>
        <v>8.0179238983697285</v>
      </c>
      <c r="O72" s="256">
        <f>FMS_Ranking4[[#This Row],[Structures at risk, ArcSinh (0-10)]]*M$5*10</f>
        <v>8.0179238983697285</v>
      </c>
      <c r="P72" s="253">
        <f>_xlfn.XLOOKUP(FMS_Ranking4[[#This Row],[FMS ID]],FMS_Input[FMS_ID],FMS_Input[RES_STRUCT100])</f>
        <v>8069</v>
      </c>
      <c r="Q72" s="257">
        <f>ASINH(FMS_Ranking4[[#This Row],[Res Structure Raw]])/Q$4*P$5*100</f>
        <v>0</v>
      </c>
      <c r="R72" s="253">
        <f>_xlfn.XLOOKUP(FMS_Ranking4[[#This Row],[FMS ID]],FMS_Input[FMS_ID],FMS_Input[POP100])</f>
        <v>51360</v>
      </c>
      <c r="S72" s="259">
        <f>(ASINH(FMS_Ranking4[[#This Row],[Pop at Risk Raw]]))*(10)/(ASINH(R$4))</f>
        <v>7.966569611835979</v>
      </c>
      <c r="T72" s="256">
        <f>FMS_Ranking4[[#This Row],[Population at risk, ArcSinh (0-10)]]*R$5*10</f>
        <v>7.9665696118359799</v>
      </c>
      <c r="U72" s="253">
        <f>_xlfn.XLOOKUP(FMS_Ranking4[[#This Row],[FMS ID]],FMS_Input[FMS_ID],FMS_Input[CRITFAC100])</f>
        <v>159</v>
      </c>
      <c r="V72" s="259">
        <f>(ASINH(FMS_Ranking4[[#This Row],[Critical Facilities Raw]]))*(10)/(ASINH(U$4))</f>
        <v>6.8209214983693363</v>
      </c>
      <c r="W72" s="256">
        <f>FMS_Ranking4[[#This Row],[Critical facilities at risk, ArcSinh (0-10)]]*U$5*10</f>
        <v>6.8209214983693371</v>
      </c>
      <c r="X72" s="253">
        <f>_xlfn.XLOOKUP(FMS_Ranking4[[#This Row],[FMS ID]],FMS_Input[FMS_ID],FMS_Input[LWC])</f>
        <v>116</v>
      </c>
      <c r="Y72" s="259">
        <f>(ASINH(FMS_Ranking4[[#This Row],[LWC Raw]]))*(10)/(ASINH(X$4))</f>
        <v>7.3789260532265324</v>
      </c>
      <c r="Z72" s="256">
        <f>FMS_Ranking4[[#This Row],[LWC, ArcSInh (0-10)]]*X$5*10</f>
        <v>7.3789260532265333</v>
      </c>
      <c r="AA72" s="253">
        <f>_xlfn.XLOOKUP(FMS_Ranking4[[#This Row],[FMS ID]],FMS_Input[FMS_ID],FMS_Input[ROADCLS])</f>
        <v>0</v>
      </c>
      <c r="AB72" s="255">
        <f>(ASINH(FMS_Ranking4[[#This Row],[Road Closures Raw]]))*(10)/(ASINH(AA$4))</f>
        <v>0</v>
      </c>
      <c r="AC72" s="256">
        <f>FMS_Ranking4[[#This Row],[Road closures, ArcSinh (0-10)]]*AA$5*10</f>
        <v>0</v>
      </c>
      <c r="AD72" s="253">
        <f>_xlfn.XLOOKUP(FMS_Ranking4[[#This Row],[FMS ID]],FMS_Input[FMS_ID],FMS_Input[ROAD_MILES100])</f>
        <v>1924</v>
      </c>
      <c r="AE72" s="259">
        <f>(ASINH(FMS_Ranking4[[#This Row],[Road Miles Raw]]))*(10)/(ASINH(AD$4))</f>
        <v>8.7978880297503288</v>
      </c>
      <c r="AF72" s="256">
        <f>FMS_Ranking4[[#This Row],[Length of roads at risk, ArcSinh (0-10)]]*AD$5*10</f>
        <v>8.7978880297503288</v>
      </c>
      <c r="AG72" s="253">
        <f>_xlfn.XLOOKUP(FMS_Ranking4[[#This Row],[FMS ID]],FMS_Input[FMS_ID],FMS_Input[FARMACRE100])</f>
        <v>180986.3125</v>
      </c>
      <c r="AH72" s="255">
        <f>(ASINH(FMS_Ranking4[[#This Row],[Ag Land Raw]]))*(10)/(ASINH(AG$4))</f>
        <v>8.3142036033862752</v>
      </c>
      <c r="AI72" s="260">
        <f>FMS_Ranking4[[#This Row],[Farm &amp; ranch land, ArcSinh (0-10)]]*AG$5*10</f>
        <v>4.1571018016931376</v>
      </c>
      <c r="AJ72" s="258">
        <f>_xlfn.XLOOKUP(FMS_Ranking4[[#This Row],[FMS ID]],FMS_Input[FMS_ID],FMS_Input[REDSTRUCT100])</f>
        <v>0</v>
      </c>
      <c r="AK72" s="253">
        <f>_xlfn.XLOOKUP(FMS_Ranking4[[#This Row],[FMS ID]],FMS_Input[FMS_ID],FMS_Input[REMSTRC100])</f>
        <v>0</v>
      </c>
      <c r="AL72" s="259">
        <f>(ASINH(FMS_Ranking4[[#This Row],[Structures Removed Raw]]))*(10)/(ASINH(AK$4))</f>
        <v>0</v>
      </c>
      <c r="AM72" s="262">
        <f>FMS_Ranking4[[#This Row],[Structures removed, ArcSinh (0-10)]]*AK$5*10</f>
        <v>0</v>
      </c>
      <c r="AN72" s="253">
        <f>_xlfn.XLOOKUP(FMS_Ranking4[[#This Row],[FMS ID]],FMS_Input[FMS_ID],FMS_Input[REMRESSTRC100])</f>
        <v>0</v>
      </c>
      <c r="AO72" s="261">
        <f>FMS_Ranking4[[#This Row],[ArcSinh Res struct removed 0-10]]*AN$5*10</f>
        <v>0</v>
      </c>
      <c r="AP72" s="260">
        <f>ASINH(FMS_Ranking4[[#This Row],[Residential Structures Removed Raw]])/AP$4*AN$5*100</f>
        <v>0</v>
      </c>
      <c r="AQ72" s="254">
        <f>(ASINH(FMS_Ranking4[[#This Row],[Residential Structures Removed Raw]]))*(10)/(ASINH(AN$4))</f>
        <v>0</v>
      </c>
      <c r="AR72" s="253">
        <f>_xlfn.XLOOKUP(FMS_Ranking4[[#This Row],[FMS ID]],FMS_Input[FMS_ID],FMS_Input[REMPOP100])</f>
        <v>0</v>
      </c>
      <c r="AS72" s="259">
        <f>(ASINH(FMS_Ranking4[[#This Row],[Removed Pop Raw]]))*(10)/(ASINH(AR$4))</f>
        <v>0</v>
      </c>
      <c r="AT72" s="262">
        <f>FMS_Ranking4[[#This Row],[Removed population, ArcSinh (0-10)]]*AR$5*10</f>
        <v>0</v>
      </c>
      <c r="AU72" s="264">
        <f>_xlfn.XLOOKUP(FMS_Ranking4[[#This Row],[FMS ID]],FMS_Input[FMS_ID],FMS_Input[REMCRITFAC100])</f>
        <v>0</v>
      </c>
      <c r="AV72" s="264">
        <f>_xlfn.XLOOKUP(FMS_Ranking4[[#This Row],[FMS ID]],FMS_Input[FMS_ID],FMS_Input[REMLWC100])</f>
        <v>0</v>
      </c>
      <c r="AW72" s="264">
        <f>_xlfn.XLOOKUP(FMS_Ranking4[[#This Row],[FMS ID]],FMS_Input[FMS_ID],FMS_Input[REMROADCLS])</f>
        <v>0</v>
      </c>
      <c r="AX72" s="264">
        <f>_xlfn.XLOOKUP(FMS_Ranking4[[#This Row],[FMS ID]],FMS_Input[FMS_ID],FMS_Input[REMFRMACRE100])</f>
        <v>0</v>
      </c>
      <c r="AY72" s="258">
        <f>_xlfn.XLOOKUP(FMS_Ranking4[[#This Row],[FMS ID]],FMS_Input[FMS_ID],FMS_Input[COSTSTRUCT])</f>
        <v>0</v>
      </c>
      <c r="AZ72" s="253">
        <f>_xlfn.XLOOKUP(FMS_Ranking4[[#This Row],[FMS ID]],FMS_Input[FMS_ID],FMS_Input[NATURE])</f>
        <v>0</v>
      </c>
      <c r="BA72" s="262">
        <f>(((FMS_Ranking4[[#This Row],[% NBS Raw]]/AZ$4)*100)*AZ$5)</f>
        <v>0</v>
      </c>
      <c r="BB72" s="251" t="str">
        <f>_xlfn.XLOOKUP(FMS_Ranking4[[#This Row],[FMS ID]],FMS_Input[FMS_ID],FMS_Input[WATER_SUP])</f>
        <v>No</v>
      </c>
      <c r="BC72" s="265">
        <f>IF(FMS_Ranking4[[#This Row],[Water Supply Raw]]="Yes",10,0)</f>
        <v>0</v>
      </c>
      <c r="BD72" s="266">
        <f>_xlfn.XLOOKUP(FMS_Ranking4[[#This Row],[FMS Type]],FMS_TYPE[FMS_Type],FMS_TYPE[Score])</f>
        <v>6</v>
      </c>
      <c r="BE72" s="267">
        <f>FMS_Ranking4[[#This Row],[FMS_Type Score]]*$BD$5*10</f>
        <v>1.5000000000000002</v>
      </c>
      <c r="BF7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7.065797261924665</v>
      </c>
      <c r="BG72" s="271">
        <f>_xlfn.RANK.EQ(BF72,$BF$8:$BF$870,0)+COUNTIF($BF$8:BF72,BF72)-1</f>
        <v>54</v>
      </c>
      <c r="BH72" s="268">
        <f>(((FMS_Ranking4[[#This Row],[Structures Removed Raw]]/AK$4)*100)*AK$5)+(((FMS_Ranking4[[#This Row],[Removed Pop Raw]]/AR$4)*100)*AR$5)</f>
        <v>0</v>
      </c>
      <c r="BI7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8.565797261924665</v>
      </c>
      <c r="BJ72" s="205">
        <f>_xlfn.RANK.EQ(FMS_Ranking4[[#This Row],[Total Score 
(with linear
normalization)]],FMS_Ranking4[Total Score 
(with linear
normalization)],0)</f>
        <v>71</v>
      </c>
      <c r="BK72" s="205" t="e">
        <f>_xlfn.XLOOKUP(FMS_Ranking4[[#This Row],[FMS ID]],#REF!,#REF!)</f>
        <v>#REF!</v>
      </c>
      <c r="BL7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43.139330893245045</v>
      </c>
      <c r="BM72" s="272">
        <f>FMS_Ranking4[[#This Row],[ArcSinh Score Based on Normalized Reported Factors]]+FMS_Ranking4[[#This Row],[% NBS Score (Normalized)]]+(FMS_Ranking4[[#This Row],[Water Supply Score (Normalized)]]*10*$BB$5)+FMS_Ranking4[[#This Row],[FMS_Type Score Weighted]]</f>
        <v>44.639330893245045</v>
      </c>
      <c r="BN72" s="205">
        <f>_xlfn.RANK.EQ(FMS_Ranking4[[#This Row],[Total Score (with ArcSinh normalization of select criteria)]],FMS_Ranking4[Total Score (with ArcSinh normalization of select criteria)],0)</f>
        <v>64</v>
      </c>
      <c r="BO72" s="270" t="str">
        <f>_xlfn.XLOOKUP(FMS_Ranking4[[#This Row],[FMS ID]],FMS_Input[FMS_ID],FMS_Input[FMS_RANK_YEAR])</f>
        <v>2023 Amended Plan</v>
      </c>
      <c r="BP72" s="204">
        <f>_xlfn.XLOOKUP(FMS_Ranking4[[#This Row],[FMS ID]],Prev_Rank[FMS ID],Prev_Rank[Prev Rank])</f>
        <v>52</v>
      </c>
      <c r="BQ72" s="205" t="e">
        <f>_xlfn.XLOOKUP(FMS_Ranking4[[#This Row],[FMS ID]],#REF!,#REF!)</f>
        <v>#REF!</v>
      </c>
      <c r="BR72" s="199" t="e">
        <f>SUM(#REF!,#REF!,#REF!,#REF!,#REF!,#REF!,#REF!,#REF!,#REF!,FMS_Ranking4[[#This Row],[ArcSinh Res struct removed 0-10]],#REF!)</f>
        <v>#REF!</v>
      </c>
      <c r="BS72" s="199" t="e">
        <f>FMS_Ranking4[[#This Row],[Log Score Based on Normalized Reported Factors]]+FMS_Ranking4[[#This Row],[% NBS Score (Normalized)]]+(FMS_Ranking4[[#This Row],[Water Supply Score (Normalized)]]*10*$BB$5)+(FMS_Ranking4[[#This Row],[FMS_Type Score Weighted]])</f>
        <v>#REF!</v>
      </c>
      <c r="BT72" s="200" t="e">
        <f>_xlfn.RANK.EQ(FMS_Ranking4[[#This Row],[Log Total Score]],FMS_Ranking4[Log Total Score],0)</f>
        <v>#REF!</v>
      </c>
      <c r="BU72" s="200" t="e">
        <f>_xlfn.XLOOKUP(FMS_Ranking4[[#This Row],[FMS ID]],#REF!,#REF!)</f>
        <v>#REF!</v>
      </c>
      <c r="BV72" s="200">
        <f>FMS_Ranking4[[#This Row],[Region Number]]</f>
        <v>2</v>
      </c>
      <c r="BW72" s="200">
        <f>FMS_Ranking4[[#This Row],[Rank (with ArcSinh normalization of select criteria)]]-FMS_Ranking4[[#This Row],[Rank
(with linear
normalization)]]</f>
        <v>-7</v>
      </c>
      <c r="BX72" s="200" t="e">
        <f>FMS_Ranking4[[#This Row],[Log Rank]]-FMS_Ranking4[[#This Row],[Rank
(with linear
normalization)]]</f>
        <v>#REF!</v>
      </c>
      <c r="BY72" s="200" t="str">
        <f>IF(FMS_Ranking4[[#This Row],[FMS Type]]="Flood Measurement and Warning",FMS_Ranking4[[#This Row],[Rank (with ArcSinh normalization of select criteria)]],"")</f>
        <v/>
      </c>
      <c r="BZ72" s="200" t="str">
        <f>IF(FMS_Ranking4[[#This Row],[FMS Type]]="Regulatory and Guidance",FMS_Ranking4[[#This Row],[Rank (with ArcSinh normalization of select criteria)]],"")</f>
        <v/>
      </c>
      <c r="CA72" s="200">
        <f>IF(FMS_Ranking4[[#This Row],[FMS Type]]="Education and Outreach",FMS_Ranking4[[#This Row],[Rank (with ArcSinh normalization of select criteria)]],"")</f>
        <v>64</v>
      </c>
      <c r="CB72" s="200" t="str">
        <f>IF(FMS_Ranking4[[#This Row],[FMS Type]]="Property Acquisition and Structural Elevation",FMS_Ranking4[[#This Row],[Rank (with ArcSinh normalization of select criteria)]],"")</f>
        <v/>
      </c>
      <c r="CC72" s="200" t="str">
        <f>IF(FMS_Ranking4[[#This Row],[FMS Type]]="Infrastructure Projects",FMS_Ranking4[[#This Row],[Rank (with ArcSinh normalization of select criteria)]],"")</f>
        <v/>
      </c>
      <c r="CD72" s="200" t="str">
        <f>IF(FMS_Ranking4[[#This Row],[FMS Type]]="Other",FMS_Ranking4[[#This Row],[Rank (with ArcSinh normalization of select criteria)]],"")</f>
        <v/>
      </c>
      <c r="CE72" s="201"/>
    </row>
    <row r="73" spans="2:83" ht="120" x14ac:dyDescent="0.25">
      <c r="B73" s="341" t="s">
        <v>12429</v>
      </c>
      <c r="C73" s="246">
        <f>_xlfn.XLOOKUP(FMS_Ranking4[[#This Row],[FMS ID]],FMS_Input[FMS_ID],FMS_Input[RFPG_NUM])</f>
        <v>6</v>
      </c>
      <c r="D73" s="309" t="str">
        <f>_xlfn.XLOOKUP(FMS_Ranking4[[#This Row],[FMS ID]],FMS_Input[FMS_ID],FMS_Input[FMS_NAME])</f>
        <v xml:space="preserve">Spring Creek floodplain preservation_x000D_
</v>
      </c>
      <c r="E73" s="308" t="str">
        <f>_xlfn.XLOOKUP(FMS_Ranking4[[#This Row],[FMS ID]],FMS_Input[FMS_ID],FMS_Input[SPONSOR])</f>
        <v>06003603</v>
      </c>
      <c r="F73" s="309" t="str">
        <f>_xlfn.XLOOKUP(FMS_Ranking4[[#This Row],[FMS ID]],Sponsor[FMS_ID],Sponsor[SPONSOR NAME])</f>
        <v>Bayou Land Conservancy</v>
      </c>
      <c r="G73" s="309" t="str">
        <f>_xlfn.XLOOKUP(FMS_Ranking4[[#This Row],[FMS ID]],FMS_Input[FMS_ID],FMS_Input[FMS_DESCR])</f>
        <v>Partnerships to acquire/place conservation easements on high-quality floodplain parcels below Lake Conroe and upstream of Spring Creek. This pre-disaster strategy enhances resilience and floodplain function per ASFPM best practices.</v>
      </c>
      <c r="H73" s="248" t="str">
        <f>_xlfn.XLOOKUP(FMS_Ranking4[[#This Row],[FMS ID]],FMS_Input[FMS_ID],FMS_Input[FMS_TYPE])</f>
        <v>Other</v>
      </c>
      <c r="I73" s="249">
        <f>_xlfn.XLOOKUP(FMS_Ranking4[[#This Row],[FMS ID]],FMS_Input[FMS_ID],FMS_Input[NRNC_COST])</f>
        <v>1644850</v>
      </c>
      <c r="J73" s="250">
        <f>_xlfn.XLOOKUP(FMS_Ranking4[[#This Row],[FMS ID]],FMS_Input[FMS_ID],FMS_Input[FMS_COST])</f>
        <v>32897000</v>
      </c>
      <c r="K73" s="251" t="str">
        <f>_xlfn.XLOOKUP(FMS_Ranking4[[#This Row],[FMS ID]],FMS_Input[FMS_ID],FMS_Input[EMER_NEED])</f>
        <v>No</v>
      </c>
      <c r="L73" s="252">
        <f t="shared" si="1"/>
        <v>0</v>
      </c>
      <c r="M73" s="253">
        <f>_xlfn.XLOOKUP(FMS_Ranking4[[#This Row],[FMS ID]],FMS_Input[FMS_ID],FMS_Input[STRUCT_100])</f>
        <v>5516</v>
      </c>
      <c r="N73" s="255">
        <f>(ASINH(FMS_Ranking4[[#This Row],[Structure at Risk Raw]]))*(10)/(ASINH(M$4))</f>
        <v>7.3179105500372854</v>
      </c>
      <c r="O73" s="256">
        <f>FMS_Ranking4[[#This Row],[Structures at risk, ArcSinh (0-10)]]*M$5*10</f>
        <v>7.3179105500372854</v>
      </c>
      <c r="P73" s="253">
        <f>_xlfn.XLOOKUP(FMS_Ranking4[[#This Row],[FMS ID]],FMS_Input[FMS_ID],FMS_Input[RES_STRUCT100])</f>
        <v>4473</v>
      </c>
      <c r="Q73" s="257">
        <f>ASINH(FMS_Ranking4[[#This Row],[Res Structure Raw]])/Q$4*P$5*100</f>
        <v>0</v>
      </c>
      <c r="R73" s="253">
        <f>_xlfn.XLOOKUP(FMS_Ranking4[[#This Row],[FMS ID]],FMS_Input[FMS_ID],FMS_Input[POP100])</f>
        <v>27005</v>
      </c>
      <c r="S73" s="259">
        <f>(ASINH(FMS_Ranking4[[#This Row],[Pop at Risk Raw]]))*(10)/(ASINH(R$4))</f>
        <v>7.5227813745605197</v>
      </c>
      <c r="T73" s="256">
        <f>FMS_Ranking4[[#This Row],[Population at risk, ArcSinh (0-10)]]*R$5*10</f>
        <v>7.5227813745605197</v>
      </c>
      <c r="U73" s="253">
        <f>_xlfn.XLOOKUP(FMS_Ranking4[[#This Row],[FMS ID]],FMS_Input[FMS_ID],FMS_Input[CRITFAC100])</f>
        <v>51</v>
      </c>
      <c r="V73" s="259">
        <f>(ASINH(FMS_Ranking4[[#This Row],[Critical Facilities Raw]]))*(10)/(ASINH(U$4))</f>
        <v>5.4749907222982896</v>
      </c>
      <c r="W73" s="256">
        <f>FMS_Ranking4[[#This Row],[Critical facilities at risk, ArcSinh (0-10)]]*U$5*10</f>
        <v>5.4749907222982896</v>
      </c>
      <c r="X73" s="253">
        <f>_xlfn.XLOOKUP(FMS_Ranking4[[#This Row],[FMS ID]],FMS_Input[FMS_ID],FMS_Input[LWC])</f>
        <v>36</v>
      </c>
      <c r="Y73" s="259">
        <f>(ASINH(FMS_Ranking4[[#This Row],[LWC Raw]]))*(10)/(ASINH(X$4))</f>
        <v>5.7940224102633247</v>
      </c>
      <c r="Z73" s="256">
        <f>FMS_Ranking4[[#This Row],[LWC, ArcSInh (0-10)]]*X$5*10</f>
        <v>5.7940224102633255</v>
      </c>
      <c r="AA73" s="253">
        <f>_xlfn.XLOOKUP(FMS_Ranking4[[#This Row],[FMS ID]],FMS_Input[FMS_ID],FMS_Input[ROADCLS])</f>
        <v>36</v>
      </c>
      <c r="AB73" s="255">
        <f>(ASINH(FMS_Ranking4[[#This Row],[Road Closures Raw]]))*(10)/(ASINH(AA$4))</f>
        <v>4.4539560680393642</v>
      </c>
      <c r="AC73" s="256">
        <f>FMS_Ranking4[[#This Row],[Road closures, ArcSinh (0-10)]]*AA$5*10</f>
        <v>2.2269780340196821</v>
      </c>
      <c r="AD73" s="253">
        <f>_xlfn.XLOOKUP(FMS_Ranking4[[#This Row],[FMS ID]],FMS_Input[FMS_ID],FMS_Input[ROAD_MILES100])</f>
        <v>142</v>
      </c>
      <c r="AE73" s="259">
        <f>(ASINH(FMS_Ranking4[[#This Row],[Road Miles Raw]]))*(10)/(ASINH(AD$4))</f>
        <v>6.0202655810861128</v>
      </c>
      <c r="AF73" s="256">
        <f>FMS_Ranking4[[#This Row],[Length of roads at risk, ArcSinh (0-10)]]*AD$5*10</f>
        <v>6.0202655810861128</v>
      </c>
      <c r="AG73" s="253">
        <f>_xlfn.XLOOKUP(FMS_Ranking4[[#This Row],[FMS ID]],FMS_Input[FMS_ID],FMS_Input[FARMACRE100])</f>
        <v>290.83477783203119</v>
      </c>
      <c r="AH73" s="255">
        <f>(ASINH(FMS_Ranking4[[#This Row],[Ag Land Raw]]))*(10)/(ASINH(AG$4))</f>
        <v>4.135174227629383</v>
      </c>
      <c r="AI73" s="260">
        <f>FMS_Ranking4[[#This Row],[Farm &amp; ranch land, ArcSinh (0-10)]]*AG$5*10</f>
        <v>2.0675871138146915</v>
      </c>
      <c r="AJ73" s="258">
        <f>_xlfn.XLOOKUP(FMS_Ranking4[[#This Row],[FMS ID]],FMS_Input[FMS_ID],FMS_Input[REDSTRUCT100])</f>
        <v>0</v>
      </c>
      <c r="AK73" s="253">
        <f>_xlfn.XLOOKUP(FMS_Ranking4[[#This Row],[FMS ID]],FMS_Input[FMS_ID],FMS_Input[REMSTRC100])</f>
        <v>0</v>
      </c>
      <c r="AL73" s="259">
        <f>(ASINH(FMS_Ranking4[[#This Row],[Structures Removed Raw]]))*(10)/(ASINH(AK$4))</f>
        <v>0</v>
      </c>
      <c r="AM73" s="262">
        <f>FMS_Ranking4[[#This Row],[Structures removed, ArcSinh (0-10)]]*AK$5*10</f>
        <v>0</v>
      </c>
      <c r="AN73" s="253">
        <f>_xlfn.XLOOKUP(FMS_Ranking4[[#This Row],[FMS ID]],FMS_Input[FMS_ID],FMS_Input[REMRESSTRC100])</f>
        <v>0</v>
      </c>
      <c r="AO73" s="261">
        <f>FMS_Ranking4[[#This Row],[ArcSinh Res struct removed 0-10]]*AN$5*10</f>
        <v>0</v>
      </c>
      <c r="AP73" s="260">
        <f>ASINH(FMS_Ranking4[[#This Row],[Residential Structures Removed Raw]])/AP$4*AN$5*100</f>
        <v>0</v>
      </c>
      <c r="AQ73" s="254">
        <f>(ASINH(FMS_Ranking4[[#This Row],[Residential Structures Removed Raw]]))*(10)/(ASINH(AN$4))</f>
        <v>0</v>
      </c>
      <c r="AR73" s="253">
        <f>_xlfn.XLOOKUP(FMS_Ranking4[[#This Row],[FMS ID]],FMS_Input[FMS_ID],FMS_Input[REMPOP100])</f>
        <v>0</v>
      </c>
      <c r="AS73" s="259">
        <f>(ASINH(FMS_Ranking4[[#This Row],[Removed Pop Raw]]))*(10)/(ASINH(AR$4))</f>
        <v>0</v>
      </c>
      <c r="AT73" s="262">
        <f>FMS_Ranking4[[#This Row],[Removed population, ArcSinh (0-10)]]*AR$5*10</f>
        <v>0</v>
      </c>
      <c r="AU73" s="264">
        <f>_xlfn.XLOOKUP(FMS_Ranking4[[#This Row],[FMS ID]],FMS_Input[FMS_ID],FMS_Input[REMCRITFAC100])</f>
        <v>0</v>
      </c>
      <c r="AV73" s="264">
        <f>_xlfn.XLOOKUP(FMS_Ranking4[[#This Row],[FMS ID]],FMS_Input[FMS_ID],FMS_Input[REMLWC100])</f>
        <v>0</v>
      </c>
      <c r="AW73" s="264">
        <f>_xlfn.XLOOKUP(FMS_Ranking4[[#This Row],[FMS ID]],FMS_Input[FMS_ID],FMS_Input[REMROADCLS])</f>
        <v>0</v>
      </c>
      <c r="AX73" s="264">
        <f>_xlfn.XLOOKUP(FMS_Ranking4[[#This Row],[FMS ID]],FMS_Input[FMS_ID],FMS_Input[REMFRMACRE100])</f>
        <v>0</v>
      </c>
      <c r="AY73" s="258">
        <f>_xlfn.XLOOKUP(FMS_Ranking4[[#This Row],[FMS ID]],FMS_Input[FMS_ID],FMS_Input[COSTSTRUCT])</f>
        <v>0</v>
      </c>
      <c r="AZ73" s="253">
        <f>_xlfn.XLOOKUP(FMS_Ranking4[[#This Row],[FMS ID]],FMS_Input[FMS_ID],FMS_Input[NATURE])</f>
        <v>100</v>
      </c>
      <c r="BA73" s="262">
        <f>(((FMS_Ranking4[[#This Row],[% NBS Raw]]/AZ$4)*100)*AZ$5)</f>
        <v>7.5</v>
      </c>
      <c r="BB73" s="251" t="str">
        <f>_xlfn.XLOOKUP(FMS_Ranking4[[#This Row],[FMS ID]],FMS_Input[FMS_ID],FMS_Input[WATER_SUP])</f>
        <v>No</v>
      </c>
      <c r="BC73" s="265">
        <f>IF(FMS_Ranking4[[#This Row],[Water Supply Raw]]="Yes",10,0)</f>
        <v>0</v>
      </c>
      <c r="BD73" s="266">
        <f>_xlfn.XLOOKUP(FMS_Ranking4[[#This Row],[FMS Type]],FMS_TYPE[FMS_Type],FMS_TYPE[Score])</f>
        <v>2</v>
      </c>
      <c r="BE73" s="267">
        <f>FMS_Ranking4[[#This Row],[FMS_Type Score]]*$BD$5*10</f>
        <v>0.5</v>
      </c>
      <c r="BF7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1.5371428665584672</v>
      </c>
      <c r="BG73" s="271">
        <f>_xlfn.RANK.EQ(BF73,$BF$8:$BF$870,0)+COUNTIF($BF$8:BF73,BF73)-1</f>
        <v>110</v>
      </c>
      <c r="BH73" s="268">
        <f>(((FMS_Ranking4[[#This Row],[Structures Removed Raw]]/AK$4)*100)*AK$5)+(((FMS_Ranking4[[#This Row],[Removed Pop Raw]]/AR$4)*100)*AR$5)</f>
        <v>0</v>
      </c>
      <c r="BI7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9.537142866558467</v>
      </c>
      <c r="BJ73" s="205">
        <f>_xlfn.RANK.EQ(FMS_Ranking4[[#This Row],[Total Score 
(with linear
normalization)]],FMS_Ranking4[Total Score 
(with linear
normalization)],0)</f>
        <v>56</v>
      </c>
      <c r="BK73" s="205" t="e">
        <f>_xlfn.XLOOKUP(FMS_Ranking4[[#This Row],[FMS ID]],#REF!,#REF!)</f>
        <v>#REF!</v>
      </c>
      <c r="BL7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36.424535786079907</v>
      </c>
      <c r="BM73" s="272">
        <f>FMS_Ranking4[[#This Row],[ArcSinh Score Based on Normalized Reported Factors]]+FMS_Ranking4[[#This Row],[% NBS Score (Normalized)]]+(FMS_Ranking4[[#This Row],[Water Supply Score (Normalized)]]*10*$BB$5)+FMS_Ranking4[[#This Row],[FMS_Type Score Weighted]]</f>
        <v>44.424535786079907</v>
      </c>
      <c r="BN73" s="205">
        <f>_xlfn.RANK.EQ(FMS_Ranking4[[#This Row],[Total Score (with ArcSinh normalization of select criteria)]],FMS_Ranking4[Total Score (with ArcSinh normalization of select criteria)],0)</f>
        <v>66</v>
      </c>
      <c r="BO73" s="270" t="str">
        <f>_xlfn.XLOOKUP(FMS_Ranking4[[#This Row],[FMS ID]],FMS_Input[FMS_ID],FMS_Input[FMS_RANK_YEAR])</f>
        <v>2025 Amended Plan</v>
      </c>
      <c r="BP73" s="204" t="e">
        <f>_xlfn.XLOOKUP(FMS_Ranking4[[#This Row],[FMS ID]],Prev_Rank[FMS ID],Prev_Rank[Prev Rank])</f>
        <v>#N/A</v>
      </c>
      <c r="BQ73" s="205" t="e">
        <f>_xlfn.XLOOKUP(FMS_Ranking4[[#This Row],[FMS ID]],#REF!,#REF!)</f>
        <v>#REF!</v>
      </c>
      <c r="BR73" s="199" t="e">
        <f>SUM(#REF!,#REF!,#REF!,#REF!,#REF!,#REF!,#REF!,#REF!,#REF!,FMS_Ranking4[[#This Row],[ArcSinh Res struct removed 0-10]],#REF!)</f>
        <v>#REF!</v>
      </c>
      <c r="BS73" s="199" t="e">
        <f>FMS_Ranking4[[#This Row],[Log Score Based on Normalized Reported Factors]]+FMS_Ranking4[[#This Row],[% NBS Score (Normalized)]]+(FMS_Ranking4[[#This Row],[Water Supply Score (Normalized)]]*10*$BB$5)+(FMS_Ranking4[[#This Row],[FMS_Type Score Weighted]])</f>
        <v>#REF!</v>
      </c>
      <c r="BT73" s="200" t="e">
        <f>_xlfn.RANK.EQ(FMS_Ranking4[[#This Row],[Log Total Score]],FMS_Ranking4[Log Total Score],0)</f>
        <v>#REF!</v>
      </c>
      <c r="BU73" s="200" t="e">
        <f>_xlfn.XLOOKUP(FMS_Ranking4[[#This Row],[FMS ID]],#REF!,#REF!)</f>
        <v>#REF!</v>
      </c>
      <c r="BV73" s="200">
        <f>FMS_Ranking4[[#This Row],[Region Number]]</f>
        <v>6</v>
      </c>
      <c r="BW73" s="200">
        <f>FMS_Ranking4[[#This Row],[Rank (with ArcSinh normalization of select criteria)]]-FMS_Ranking4[[#This Row],[Rank
(with linear
normalization)]]</f>
        <v>10</v>
      </c>
      <c r="BX73" s="200" t="e">
        <f>FMS_Ranking4[[#This Row],[Log Rank]]-FMS_Ranking4[[#This Row],[Rank
(with linear
normalization)]]</f>
        <v>#REF!</v>
      </c>
      <c r="BY73" s="200" t="str">
        <f>IF(FMS_Ranking4[[#This Row],[FMS Type]]="Flood Measurement and Warning",FMS_Ranking4[[#This Row],[Rank (with ArcSinh normalization of select criteria)]],"")</f>
        <v/>
      </c>
      <c r="BZ73" s="200" t="str">
        <f>IF(FMS_Ranking4[[#This Row],[FMS Type]]="Regulatory and Guidance",FMS_Ranking4[[#This Row],[Rank (with ArcSinh normalization of select criteria)]],"")</f>
        <v/>
      </c>
      <c r="CA73" s="200" t="str">
        <f>IF(FMS_Ranking4[[#This Row],[FMS Type]]="Education and Outreach",FMS_Ranking4[[#This Row],[Rank (with ArcSinh normalization of select criteria)]],"")</f>
        <v/>
      </c>
      <c r="CB73" s="200" t="str">
        <f>IF(FMS_Ranking4[[#This Row],[FMS Type]]="Property Acquisition and Structural Elevation",FMS_Ranking4[[#This Row],[Rank (with ArcSinh normalization of select criteria)]],"")</f>
        <v/>
      </c>
      <c r="CC73" s="200" t="str">
        <f>IF(FMS_Ranking4[[#This Row],[FMS Type]]="Infrastructure Projects",FMS_Ranking4[[#This Row],[Rank (with ArcSinh normalization of select criteria)]],"")</f>
        <v/>
      </c>
      <c r="CD73" s="200">
        <f>IF(FMS_Ranking4[[#This Row],[FMS Type]]="Other",FMS_Ranking4[[#This Row],[Rank (with ArcSinh normalization of select criteria)]],"")</f>
        <v>66</v>
      </c>
      <c r="CE73" s="201"/>
    </row>
    <row r="74" spans="2:83" ht="30" x14ac:dyDescent="0.25">
      <c r="B74" s="341" t="s">
        <v>11930</v>
      </c>
      <c r="C74" s="246">
        <f>_xlfn.XLOOKUP(FMS_Ranking4[[#This Row],[FMS ID]],FMS_Input[FMS_ID],FMS_Input[RFPG_NUM])</f>
        <v>15</v>
      </c>
      <c r="D74" s="309" t="str">
        <f>_xlfn.XLOOKUP(FMS_Ranking4[[#This Row],[FMS ID]],FMS_Input[FMS_ID],FMS_Input[FMS_NAME])</f>
        <v>Hidalgo County Drainage District #1 - Action #17</v>
      </c>
      <c r="E74" s="308" t="str">
        <f>_xlfn.XLOOKUP(FMS_Ranking4[[#This Row],[FMS ID]],FMS_Input[FMS_ID],FMS_Input[SPONSOR])</f>
        <v>15000099</v>
      </c>
      <c r="F74" s="309" t="str">
        <f>_xlfn.XLOOKUP(FMS_Ranking4[[#This Row],[FMS ID]],Sponsor[FMS_ID],Sponsor[SPONSOR NAME])</f>
        <v>Hidalgo County Drainage District 1</v>
      </c>
      <c r="G74" s="309" t="str">
        <f>_xlfn.XLOOKUP(FMS_Ranking4[[#This Row],[FMS ID]],FMS_Input[FMS_ID],FMS_Input[FMS_DESCR])</f>
        <v>Identify flood-prone and repetitive loss properties</v>
      </c>
      <c r="H74" s="248" t="str">
        <f>_xlfn.XLOOKUP(FMS_Ranking4[[#This Row],[FMS ID]],FMS_Input[FMS_ID],FMS_Input[FMS_TYPE])</f>
        <v>Infrastructure Projects</v>
      </c>
      <c r="I74" s="249">
        <f>_xlfn.XLOOKUP(FMS_Ranking4[[#This Row],[FMS ID]],FMS_Input[FMS_ID],FMS_Input[NRNC_COST])</f>
        <v>1000000</v>
      </c>
      <c r="J74" s="250">
        <f>_xlfn.XLOOKUP(FMS_Ranking4[[#This Row],[FMS ID]],FMS_Input[FMS_ID],FMS_Input[FMS_COST])</f>
        <v>1000000</v>
      </c>
      <c r="K74" s="251" t="str">
        <f>_xlfn.XLOOKUP(FMS_Ranking4[[#This Row],[FMS ID]],FMS_Input[FMS_ID],FMS_Input[EMER_NEED])</f>
        <v>Yes</v>
      </c>
      <c r="L74" s="252">
        <f t="shared" si="1"/>
        <v>1</v>
      </c>
      <c r="M74" s="253">
        <f>_xlfn.XLOOKUP(FMS_Ranking4[[#This Row],[FMS ID]],FMS_Input[FMS_ID],FMS_Input[STRUCT_100])</f>
        <v>75816</v>
      </c>
      <c r="N74" s="255">
        <f>(ASINH(FMS_Ranking4[[#This Row],[Structure at Risk Raw]]))*(10)/(ASINH(M$4))</f>
        <v>9.3781366667466006</v>
      </c>
      <c r="O74" s="256">
        <f>FMS_Ranking4[[#This Row],[Structures at risk, ArcSinh (0-10)]]*M$5*10</f>
        <v>9.3781366667466024</v>
      </c>
      <c r="P74" s="253">
        <f>_xlfn.XLOOKUP(FMS_Ranking4[[#This Row],[FMS ID]],FMS_Input[FMS_ID],FMS_Input[RES_STRUCT100])</f>
        <v>61251</v>
      </c>
      <c r="Q74" s="257">
        <f>ASINH(FMS_Ranking4[[#This Row],[Res Structure Raw]])/Q$4*P$5*100</f>
        <v>0</v>
      </c>
      <c r="R74" s="253">
        <f>_xlfn.XLOOKUP(FMS_Ranking4[[#This Row],[FMS ID]],FMS_Input[FMS_ID],FMS_Input[POP100])</f>
        <v>244800</v>
      </c>
      <c r="S74" s="259">
        <f>(ASINH(FMS_Ranking4[[#This Row],[Pop at Risk Raw]]))*(10)/(ASINH(R$4))</f>
        <v>9.0446205033749258</v>
      </c>
      <c r="T74" s="256">
        <f>FMS_Ranking4[[#This Row],[Population at risk, ArcSinh (0-10)]]*R$5*10</f>
        <v>9.0446205033749258</v>
      </c>
      <c r="U74" s="253">
        <f>_xlfn.XLOOKUP(FMS_Ranking4[[#This Row],[FMS ID]],FMS_Input[FMS_ID],FMS_Input[CRITFAC100])</f>
        <v>459</v>
      </c>
      <c r="V74" s="259">
        <f>(ASINH(FMS_Ranking4[[#This Row],[Critical Facilities Raw]]))*(10)/(ASINH(U$4))</f>
        <v>8.0758740230664419</v>
      </c>
      <c r="W74" s="256">
        <f>FMS_Ranking4[[#This Row],[Critical facilities at risk, ArcSinh (0-10)]]*U$5*10</f>
        <v>8.0758740230664436</v>
      </c>
      <c r="X74" s="253">
        <f>_xlfn.XLOOKUP(FMS_Ranking4[[#This Row],[FMS ID]],FMS_Input[FMS_ID],FMS_Input[LWC])</f>
        <v>17</v>
      </c>
      <c r="Y74" s="259">
        <f>(ASINH(FMS_Ranking4[[#This Row],[LWC Raw]]))*(10)/(ASINH(X$4))</f>
        <v>4.7784642222450291</v>
      </c>
      <c r="Z74" s="256">
        <f>FMS_Ranking4[[#This Row],[LWC, ArcSInh (0-10)]]*X$5*10</f>
        <v>4.7784642222450291</v>
      </c>
      <c r="AA74" s="253">
        <f>_xlfn.XLOOKUP(FMS_Ranking4[[#This Row],[FMS ID]],FMS_Input[FMS_ID],FMS_Input[ROADCLS])</f>
        <v>5</v>
      </c>
      <c r="AB74" s="255">
        <f>(ASINH(FMS_Ranking4[[#This Row],[Road Closures Raw]]))*(10)/(ASINH(AA$4))</f>
        <v>2.4081922896382904</v>
      </c>
      <c r="AC74" s="256">
        <f>FMS_Ranking4[[#This Row],[Road closures, ArcSinh (0-10)]]*AA$5*10</f>
        <v>1.2040961448191452</v>
      </c>
      <c r="AD74" s="253">
        <f>_xlfn.XLOOKUP(FMS_Ranking4[[#This Row],[FMS ID]],FMS_Input[FMS_ID],FMS_Input[ROAD_MILES100])</f>
        <v>1840</v>
      </c>
      <c r="AE74" s="259">
        <f>(ASINH(FMS_Ranking4[[#This Row],[Road Miles Raw]]))*(10)/(ASINH(AD$4))</f>
        <v>8.7503132460891155</v>
      </c>
      <c r="AF74" s="256">
        <f>FMS_Ranking4[[#This Row],[Length of roads at risk, ArcSinh (0-10)]]*AD$5*10</f>
        <v>8.7503132460891173</v>
      </c>
      <c r="AG74" s="253">
        <f>_xlfn.XLOOKUP(FMS_Ranking4[[#This Row],[FMS ID]],FMS_Input[FMS_ID],FMS_Input[FARMACRE100])</f>
        <v>334.99685668945313</v>
      </c>
      <c r="AH74" s="255">
        <f>(ASINH(FMS_Ranking4[[#This Row],[Ag Land Raw]]))*(10)/(ASINH(AG$4))</f>
        <v>4.2270023696663568</v>
      </c>
      <c r="AI74" s="260">
        <f>FMS_Ranking4[[#This Row],[Farm &amp; ranch land, ArcSinh (0-10)]]*AG$5*10</f>
        <v>2.1135011848331784</v>
      </c>
      <c r="AJ74" s="258">
        <f>_xlfn.XLOOKUP(FMS_Ranking4[[#This Row],[FMS ID]],FMS_Input[FMS_ID],FMS_Input[REDSTRUCT100])</f>
        <v>0</v>
      </c>
      <c r="AK74" s="253">
        <f>_xlfn.XLOOKUP(FMS_Ranking4[[#This Row],[FMS ID]],FMS_Input[FMS_ID],FMS_Input[REMSTRC100])</f>
        <v>0</v>
      </c>
      <c r="AL74" s="259">
        <f>(ASINH(FMS_Ranking4[[#This Row],[Structures Removed Raw]]))*(10)/(ASINH(AK$4))</f>
        <v>0</v>
      </c>
      <c r="AM74" s="262">
        <f>FMS_Ranking4[[#This Row],[Structures removed, ArcSinh (0-10)]]*AK$5*10</f>
        <v>0</v>
      </c>
      <c r="AN74" s="253">
        <f>_xlfn.XLOOKUP(FMS_Ranking4[[#This Row],[FMS ID]],FMS_Input[FMS_ID],FMS_Input[REMRESSTRC100])</f>
        <v>0</v>
      </c>
      <c r="AO74" s="261">
        <f>FMS_Ranking4[[#This Row],[ArcSinh Res struct removed 0-10]]*AN$5*10</f>
        <v>0</v>
      </c>
      <c r="AP74" s="260">
        <f>ASINH(FMS_Ranking4[[#This Row],[Residential Structures Removed Raw]])/AP$4*AN$5*100</f>
        <v>0</v>
      </c>
      <c r="AQ74" s="254">
        <f>(ASINH(FMS_Ranking4[[#This Row],[Residential Structures Removed Raw]]))*(10)/(ASINH(AN$4))</f>
        <v>0</v>
      </c>
      <c r="AR74" s="253">
        <f>_xlfn.XLOOKUP(FMS_Ranking4[[#This Row],[FMS ID]],FMS_Input[FMS_ID],FMS_Input[REMPOP100])</f>
        <v>0</v>
      </c>
      <c r="AS74" s="259">
        <f>(ASINH(FMS_Ranking4[[#This Row],[Removed Pop Raw]]))*(10)/(ASINH(AR$4))</f>
        <v>0</v>
      </c>
      <c r="AT74" s="262">
        <f>FMS_Ranking4[[#This Row],[Removed population, ArcSinh (0-10)]]*AR$5*10</f>
        <v>0</v>
      </c>
      <c r="AU74" s="264">
        <f>_xlfn.XLOOKUP(FMS_Ranking4[[#This Row],[FMS ID]],FMS_Input[FMS_ID],FMS_Input[REMCRITFAC100])</f>
        <v>0</v>
      </c>
      <c r="AV74" s="264">
        <f>_xlfn.XLOOKUP(FMS_Ranking4[[#This Row],[FMS ID]],FMS_Input[FMS_ID],FMS_Input[REMLWC100])</f>
        <v>0</v>
      </c>
      <c r="AW74" s="264">
        <f>_xlfn.XLOOKUP(FMS_Ranking4[[#This Row],[FMS ID]],FMS_Input[FMS_ID],FMS_Input[REMROADCLS])</f>
        <v>0</v>
      </c>
      <c r="AX74" s="264">
        <f>_xlfn.XLOOKUP(FMS_Ranking4[[#This Row],[FMS ID]],FMS_Input[FMS_ID],FMS_Input[REMFRMACRE100])</f>
        <v>0</v>
      </c>
      <c r="AY74" s="258">
        <f>_xlfn.XLOOKUP(FMS_Ranking4[[#This Row],[FMS ID]],FMS_Input[FMS_ID],FMS_Input[COSTSTRUCT])</f>
        <v>0</v>
      </c>
      <c r="AZ74" s="253">
        <f>_xlfn.XLOOKUP(FMS_Ranking4[[#This Row],[FMS ID]],FMS_Input[FMS_ID],FMS_Input[NATURE])</f>
        <v>0</v>
      </c>
      <c r="BA74" s="262">
        <f>(((FMS_Ranking4[[#This Row],[% NBS Raw]]/AZ$4)*100)*AZ$5)</f>
        <v>0</v>
      </c>
      <c r="BB74" s="251" t="str">
        <f>_xlfn.XLOOKUP(FMS_Ranking4[[#This Row],[FMS ID]],FMS_Input[FMS_ID],FMS_Input[WATER_SUP])</f>
        <v>No</v>
      </c>
      <c r="BC74" s="265">
        <f>IF(FMS_Ranking4[[#This Row],[Water Supply Raw]]="Yes",10,0)</f>
        <v>0</v>
      </c>
      <c r="BD74" s="266">
        <f>_xlfn.XLOOKUP(FMS_Ranking4[[#This Row],[FMS Type]],FMS_TYPE[FMS_Type],FMS_TYPE[Score])</f>
        <v>4</v>
      </c>
      <c r="BE74" s="267">
        <f>FMS_Ranking4[[#This Row],[FMS_Type Score]]*$BD$5*10</f>
        <v>1</v>
      </c>
      <c r="BF7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74" s="271">
        <f>_xlfn.RANK.EQ(BF74,$BF$8:$BF$870,0)+COUNTIF($BF$8:BF74,BF74)-1</f>
        <v>40</v>
      </c>
      <c r="BH74" s="268">
        <f>(((FMS_Ranking4[[#This Row],[Structures Removed Raw]]/AK$4)*100)*AK$5)+(((FMS_Ranking4[[#This Row],[Removed Pop Raw]]/AR$4)*100)*AR$5)</f>
        <v>0</v>
      </c>
      <c r="BI7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13.319419633393215</v>
      </c>
      <c r="BJ74" s="205">
        <f>_xlfn.RANK.EQ(FMS_Ranking4[[#This Row],[Total Score 
(with linear
normalization)]],FMS_Ranking4[Total Score 
(with linear
normalization)],0)</f>
        <v>44</v>
      </c>
      <c r="BK74" s="205" t="e">
        <f>_xlfn.XLOOKUP(FMS_Ranking4[[#This Row],[FMS ID]],#REF!,#REF!)</f>
        <v>#REF!</v>
      </c>
      <c r="BL7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74" s="272">
        <f>FMS_Ranking4[[#This Row],[ArcSinh Score Based on Normalized Reported Factors]]+FMS_Ranking4[[#This Row],[% NBS Score (Normalized)]]+(FMS_Ranking4[[#This Row],[Water Supply Score (Normalized)]]*10*$BB$5)+FMS_Ranking4[[#This Row],[FMS_Type Score Weighted]]</f>
        <v>44.345005991174439</v>
      </c>
      <c r="BN74" s="205">
        <f>_xlfn.RANK.EQ(FMS_Ranking4[[#This Row],[Total Score (with ArcSinh normalization of select criteria)]],FMS_Ranking4[Total Score (with ArcSinh normalization of select criteria)],0)</f>
        <v>67</v>
      </c>
      <c r="BO74" s="270" t="str">
        <f>_xlfn.XLOOKUP(FMS_Ranking4[[#This Row],[FMS ID]],FMS_Input[FMS_ID],FMS_Input[FMS_RANK_YEAR])</f>
        <v>2025 Amended Plan</v>
      </c>
      <c r="BP74" s="204" t="e">
        <f>_xlfn.XLOOKUP(FMS_Ranking4[[#This Row],[FMS ID]],Prev_Rank[FMS ID],Prev_Rank[Prev Rank])</f>
        <v>#N/A</v>
      </c>
      <c r="BQ74" s="205" t="e">
        <f>_xlfn.XLOOKUP(FMS_Ranking4[[#This Row],[FMS ID]],#REF!,#REF!)</f>
        <v>#REF!</v>
      </c>
      <c r="BR74" s="199" t="e">
        <f>SUM(#REF!,#REF!,#REF!,#REF!,#REF!,#REF!,#REF!,#REF!,#REF!,FMS_Ranking4[[#This Row],[ArcSinh Res struct removed 0-10]],#REF!)</f>
        <v>#REF!</v>
      </c>
      <c r="BS74" s="199" t="e">
        <f>FMS_Ranking4[[#This Row],[Log Score Based on Normalized Reported Factors]]+FMS_Ranking4[[#This Row],[% NBS Score (Normalized)]]+(FMS_Ranking4[[#This Row],[Water Supply Score (Normalized)]]*10*$BB$5)+(FMS_Ranking4[[#This Row],[FMS_Type Score Weighted]])</f>
        <v>#REF!</v>
      </c>
      <c r="BT74" s="200" t="e">
        <f>_xlfn.RANK.EQ(FMS_Ranking4[[#This Row],[Log Total Score]],FMS_Ranking4[Log Total Score],0)</f>
        <v>#REF!</v>
      </c>
      <c r="BU74" s="200" t="e">
        <f>_xlfn.XLOOKUP(FMS_Ranking4[[#This Row],[FMS ID]],#REF!,#REF!)</f>
        <v>#REF!</v>
      </c>
      <c r="BV74" s="200">
        <f>FMS_Ranking4[[#This Row],[Region Number]]</f>
        <v>15</v>
      </c>
      <c r="BW74" s="200">
        <f>FMS_Ranking4[[#This Row],[Rank (with ArcSinh normalization of select criteria)]]-FMS_Ranking4[[#This Row],[Rank
(with linear
normalization)]]</f>
        <v>23</v>
      </c>
      <c r="BX74" s="200" t="e">
        <f>FMS_Ranking4[[#This Row],[Log Rank]]-FMS_Ranking4[[#This Row],[Rank
(with linear
normalization)]]</f>
        <v>#REF!</v>
      </c>
      <c r="BY74" s="200" t="str">
        <f>IF(FMS_Ranking4[[#This Row],[FMS Type]]="Flood Measurement and Warning",FMS_Ranking4[[#This Row],[Rank (with ArcSinh normalization of select criteria)]],"")</f>
        <v/>
      </c>
      <c r="BZ74" s="200" t="str">
        <f>IF(FMS_Ranking4[[#This Row],[FMS Type]]="Regulatory and Guidance",FMS_Ranking4[[#This Row],[Rank (with ArcSinh normalization of select criteria)]],"")</f>
        <v/>
      </c>
      <c r="CA74" s="200" t="str">
        <f>IF(FMS_Ranking4[[#This Row],[FMS Type]]="Education and Outreach",FMS_Ranking4[[#This Row],[Rank (with ArcSinh normalization of select criteria)]],"")</f>
        <v/>
      </c>
      <c r="CB74" s="200" t="str">
        <f>IF(FMS_Ranking4[[#This Row],[FMS Type]]="Property Acquisition and Structural Elevation",FMS_Ranking4[[#This Row],[Rank (with ArcSinh normalization of select criteria)]],"")</f>
        <v/>
      </c>
      <c r="CC74" s="200">
        <f>IF(FMS_Ranking4[[#This Row],[FMS Type]]="Infrastructure Projects",FMS_Ranking4[[#This Row],[Rank (with ArcSinh normalization of select criteria)]],"")</f>
        <v>67</v>
      </c>
      <c r="CD74" s="200" t="str">
        <f>IF(FMS_Ranking4[[#This Row],[FMS Type]]="Other",FMS_Ranking4[[#This Row],[Rank (with ArcSinh normalization of select criteria)]],"")</f>
        <v/>
      </c>
      <c r="CE74" s="201"/>
    </row>
    <row r="75" spans="2:83" ht="30" x14ac:dyDescent="0.25">
      <c r="B75" s="341" t="s">
        <v>11920</v>
      </c>
      <c r="C75" s="246">
        <f>_xlfn.XLOOKUP(FMS_Ranking4[[#This Row],[FMS ID]],FMS_Input[FMS_ID],FMS_Input[RFPG_NUM])</f>
        <v>15</v>
      </c>
      <c r="D75" s="309" t="str">
        <f>_xlfn.XLOOKUP(FMS_Ranking4[[#This Row],[FMS ID]],FMS_Input[FMS_ID],FMS_Input[FMS_NAME])</f>
        <v>Hidalgo County Drainage District #1 - Action #14</v>
      </c>
      <c r="E75" s="308" t="str">
        <f>_xlfn.XLOOKUP(FMS_Ranking4[[#This Row],[FMS ID]],FMS_Input[FMS_ID],FMS_Input[SPONSOR])</f>
        <v>15000099</v>
      </c>
      <c r="F75" s="309" t="str">
        <f>_xlfn.XLOOKUP(FMS_Ranking4[[#This Row],[FMS ID]],Sponsor[FMS_ID],Sponsor[SPONSOR NAME])</f>
        <v>Hidalgo County Drainage District 1</v>
      </c>
      <c r="G75" s="309" t="str">
        <f>_xlfn.XLOOKUP(FMS_Ranking4[[#This Row],[FMS ID]],FMS_Input[FMS_ID],FMS_Input[FMS_DESCR])</f>
        <v>Develop Acquisition/ buy-out program</v>
      </c>
      <c r="H75" s="248" t="str">
        <f>_xlfn.XLOOKUP(FMS_Ranking4[[#This Row],[FMS ID]],FMS_Input[FMS_ID],FMS_Input[FMS_TYPE])</f>
        <v>Infrastructure Projects</v>
      </c>
      <c r="I75" s="249">
        <f>_xlfn.XLOOKUP(FMS_Ranking4[[#This Row],[FMS ID]],FMS_Input[FMS_ID],FMS_Input[NRNC_COST])</f>
        <v>500000</v>
      </c>
      <c r="J75" s="250">
        <f>_xlfn.XLOOKUP(FMS_Ranking4[[#This Row],[FMS ID]],FMS_Input[FMS_ID],FMS_Input[FMS_COST])</f>
        <v>10000000</v>
      </c>
      <c r="K75" s="251" t="str">
        <f>_xlfn.XLOOKUP(FMS_Ranking4[[#This Row],[FMS ID]],FMS_Input[FMS_ID],FMS_Input[EMER_NEED])</f>
        <v>Yes</v>
      </c>
      <c r="L75" s="252">
        <f t="shared" si="1"/>
        <v>1</v>
      </c>
      <c r="M75" s="253">
        <f>_xlfn.XLOOKUP(FMS_Ranking4[[#This Row],[FMS ID]],FMS_Input[FMS_ID],FMS_Input[STRUCT_100])</f>
        <v>75816</v>
      </c>
      <c r="N75" s="255">
        <f>(ASINH(FMS_Ranking4[[#This Row],[Structure at Risk Raw]]))*(10)/(ASINH(M$4))</f>
        <v>9.3781366667466006</v>
      </c>
      <c r="O75" s="256">
        <f>FMS_Ranking4[[#This Row],[Structures at risk, ArcSinh (0-10)]]*M$5*10</f>
        <v>9.3781366667466024</v>
      </c>
      <c r="P75" s="253">
        <f>_xlfn.XLOOKUP(FMS_Ranking4[[#This Row],[FMS ID]],FMS_Input[FMS_ID],FMS_Input[RES_STRUCT100])</f>
        <v>61251</v>
      </c>
      <c r="Q75" s="257">
        <f>ASINH(FMS_Ranking4[[#This Row],[Res Structure Raw]])/Q$4*P$5*100</f>
        <v>0</v>
      </c>
      <c r="R75" s="253">
        <f>_xlfn.XLOOKUP(FMS_Ranking4[[#This Row],[FMS ID]],FMS_Input[FMS_ID],FMS_Input[POP100])</f>
        <v>244800</v>
      </c>
      <c r="S75" s="259">
        <f>(ASINH(FMS_Ranking4[[#This Row],[Pop at Risk Raw]]))*(10)/(ASINH(R$4))</f>
        <v>9.0446205033749258</v>
      </c>
      <c r="T75" s="256">
        <f>FMS_Ranking4[[#This Row],[Population at risk, ArcSinh (0-10)]]*R$5*10</f>
        <v>9.0446205033749258</v>
      </c>
      <c r="U75" s="253">
        <f>_xlfn.XLOOKUP(FMS_Ranking4[[#This Row],[FMS ID]],FMS_Input[FMS_ID],FMS_Input[CRITFAC100])</f>
        <v>459</v>
      </c>
      <c r="V75" s="259">
        <f>(ASINH(FMS_Ranking4[[#This Row],[Critical Facilities Raw]]))*(10)/(ASINH(U$4))</f>
        <v>8.0758740230664419</v>
      </c>
      <c r="W75" s="256">
        <f>FMS_Ranking4[[#This Row],[Critical facilities at risk, ArcSinh (0-10)]]*U$5*10</f>
        <v>8.0758740230664436</v>
      </c>
      <c r="X75" s="253">
        <f>_xlfn.XLOOKUP(FMS_Ranking4[[#This Row],[FMS ID]],FMS_Input[FMS_ID],FMS_Input[LWC])</f>
        <v>17</v>
      </c>
      <c r="Y75" s="259">
        <f>(ASINH(FMS_Ranking4[[#This Row],[LWC Raw]]))*(10)/(ASINH(X$4))</f>
        <v>4.7784642222450291</v>
      </c>
      <c r="Z75" s="256">
        <f>FMS_Ranking4[[#This Row],[LWC, ArcSInh (0-10)]]*X$5*10</f>
        <v>4.7784642222450291</v>
      </c>
      <c r="AA75" s="253">
        <f>_xlfn.XLOOKUP(FMS_Ranking4[[#This Row],[FMS ID]],FMS_Input[FMS_ID],FMS_Input[ROADCLS])</f>
        <v>5</v>
      </c>
      <c r="AB75" s="255">
        <f>(ASINH(FMS_Ranking4[[#This Row],[Road Closures Raw]]))*(10)/(ASINH(AA$4))</f>
        <v>2.4081922896382904</v>
      </c>
      <c r="AC75" s="256">
        <f>FMS_Ranking4[[#This Row],[Road closures, ArcSinh (0-10)]]*AA$5*10</f>
        <v>1.2040961448191452</v>
      </c>
      <c r="AD75" s="253">
        <f>_xlfn.XLOOKUP(FMS_Ranking4[[#This Row],[FMS ID]],FMS_Input[FMS_ID],FMS_Input[ROAD_MILES100])</f>
        <v>1840</v>
      </c>
      <c r="AE75" s="259">
        <f>(ASINH(FMS_Ranking4[[#This Row],[Road Miles Raw]]))*(10)/(ASINH(AD$4))</f>
        <v>8.7503132460891155</v>
      </c>
      <c r="AF75" s="256">
        <f>FMS_Ranking4[[#This Row],[Length of roads at risk, ArcSinh (0-10)]]*AD$5*10</f>
        <v>8.7503132460891173</v>
      </c>
      <c r="AG75" s="253">
        <f>_xlfn.XLOOKUP(FMS_Ranking4[[#This Row],[FMS ID]],FMS_Input[FMS_ID],FMS_Input[FARMACRE100])</f>
        <v>334.99685668945313</v>
      </c>
      <c r="AH75" s="255">
        <f>(ASINH(FMS_Ranking4[[#This Row],[Ag Land Raw]]))*(10)/(ASINH(AG$4))</f>
        <v>4.2270023696663568</v>
      </c>
      <c r="AI75" s="260">
        <f>FMS_Ranking4[[#This Row],[Farm &amp; ranch land, ArcSinh (0-10)]]*AG$5*10</f>
        <v>2.1135011848331784</v>
      </c>
      <c r="AJ75" s="258">
        <f>_xlfn.XLOOKUP(FMS_Ranking4[[#This Row],[FMS ID]],FMS_Input[FMS_ID],FMS_Input[REDSTRUCT100])</f>
        <v>0</v>
      </c>
      <c r="AK75" s="253">
        <f>_xlfn.XLOOKUP(FMS_Ranking4[[#This Row],[FMS ID]],FMS_Input[FMS_ID],FMS_Input[REMSTRC100])</f>
        <v>0</v>
      </c>
      <c r="AL75" s="259">
        <f>(ASINH(FMS_Ranking4[[#This Row],[Structures Removed Raw]]))*(10)/(ASINH(AK$4))</f>
        <v>0</v>
      </c>
      <c r="AM75" s="262">
        <f>FMS_Ranking4[[#This Row],[Structures removed, ArcSinh (0-10)]]*AK$5*10</f>
        <v>0</v>
      </c>
      <c r="AN75" s="253">
        <f>_xlfn.XLOOKUP(FMS_Ranking4[[#This Row],[FMS ID]],FMS_Input[FMS_ID],FMS_Input[REMRESSTRC100])</f>
        <v>0</v>
      </c>
      <c r="AO75" s="261">
        <f>FMS_Ranking4[[#This Row],[ArcSinh Res struct removed 0-10]]*AN$5*10</f>
        <v>0</v>
      </c>
      <c r="AP75" s="260">
        <f>ASINH(FMS_Ranking4[[#This Row],[Residential Structures Removed Raw]])/AP$4*AN$5*100</f>
        <v>0</v>
      </c>
      <c r="AQ75" s="254">
        <f>(ASINH(FMS_Ranking4[[#This Row],[Residential Structures Removed Raw]]))*(10)/(ASINH(AN$4))</f>
        <v>0</v>
      </c>
      <c r="AR75" s="253">
        <f>_xlfn.XLOOKUP(FMS_Ranking4[[#This Row],[FMS ID]],FMS_Input[FMS_ID],FMS_Input[REMPOP100])</f>
        <v>0</v>
      </c>
      <c r="AS75" s="259">
        <f>(ASINH(FMS_Ranking4[[#This Row],[Removed Pop Raw]]))*(10)/(ASINH(AR$4))</f>
        <v>0</v>
      </c>
      <c r="AT75" s="262">
        <f>FMS_Ranking4[[#This Row],[Removed population, ArcSinh (0-10)]]*AR$5*10</f>
        <v>0</v>
      </c>
      <c r="AU75" s="264">
        <f>_xlfn.XLOOKUP(FMS_Ranking4[[#This Row],[FMS ID]],FMS_Input[FMS_ID],FMS_Input[REMCRITFAC100])</f>
        <v>0</v>
      </c>
      <c r="AV75" s="264">
        <f>_xlfn.XLOOKUP(FMS_Ranking4[[#This Row],[FMS ID]],FMS_Input[FMS_ID],FMS_Input[REMLWC100])</f>
        <v>0</v>
      </c>
      <c r="AW75" s="264">
        <f>_xlfn.XLOOKUP(FMS_Ranking4[[#This Row],[FMS ID]],FMS_Input[FMS_ID],FMS_Input[REMROADCLS])</f>
        <v>0</v>
      </c>
      <c r="AX75" s="264">
        <f>_xlfn.XLOOKUP(FMS_Ranking4[[#This Row],[FMS ID]],FMS_Input[FMS_ID],FMS_Input[REMFRMACRE100])</f>
        <v>0</v>
      </c>
      <c r="AY75" s="258">
        <f>_xlfn.XLOOKUP(FMS_Ranking4[[#This Row],[FMS ID]],FMS_Input[FMS_ID],FMS_Input[COSTSTRUCT])</f>
        <v>0</v>
      </c>
      <c r="AZ75" s="253">
        <f>_xlfn.XLOOKUP(FMS_Ranking4[[#This Row],[FMS ID]],FMS_Input[FMS_ID],FMS_Input[NATURE])</f>
        <v>0</v>
      </c>
      <c r="BA75" s="262">
        <f>(((FMS_Ranking4[[#This Row],[% NBS Raw]]/AZ$4)*100)*AZ$5)</f>
        <v>0</v>
      </c>
      <c r="BB75" s="251" t="str">
        <f>_xlfn.XLOOKUP(FMS_Ranking4[[#This Row],[FMS ID]],FMS_Input[FMS_ID],FMS_Input[WATER_SUP])</f>
        <v>No</v>
      </c>
      <c r="BC75" s="265">
        <f>IF(FMS_Ranking4[[#This Row],[Water Supply Raw]]="Yes",10,0)</f>
        <v>0</v>
      </c>
      <c r="BD75" s="266">
        <f>_xlfn.XLOOKUP(FMS_Ranking4[[#This Row],[FMS Type]],FMS_TYPE[FMS_Type],FMS_TYPE[Score])</f>
        <v>4</v>
      </c>
      <c r="BE75" s="267">
        <f>FMS_Ranking4[[#This Row],[FMS_Type Score]]*$BD$5*10</f>
        <v>1</v>
      </c>
      <c r="BF7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12.319419633393215</v>
      </c>
      <c r="BG75" s="271">
        <f>_xlfn.RANK.EQ(BF75,$BF$8:$BF$870,0)+COUNTIF($BF$8:BF75,BF75)-1</f>
        <v>41</v>
      </c>
      <c r="BH75" s="268">
        <f>(((FMS_Ranking4[[#This Row],[Structures Removed Raw]]/AK$4)*100)*AK$5)+(((FMS_Ranking4[[#This Row],[Removed Pop Raw]]/AR$4)*100)*AR$5)</f>
        <v>0</v>
      </c>
      <c r="BI7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13.319419633393215</v>
      </c>
      <c r="BJ75" s="205">
        <f>_xlfn.RANK.EQ(FMS_Ranking4[[#This Row],[Total Score 
(with linear
normalization)]],FMS_Ranking4[Total Score 
(with linear
normalization)],0)</f>
        <v>44</v>
      </c>
      <c r="BK75" s="205" t="e">
        <f>_xlfn.XLOOKUP(FMS_Ranking4[[#This Row],[FMS ID]],#REF!,#REF!)</f>
        <v>#REF!</v>
      </c>
      <c r="BL7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43.345005991174439</v>
      </c>
      <c r="BM75" s="272">
        <f>FMS_Ranking4[[#This Row],[ArcSinh Score Based on Normalized Reported Factors]]+FMS_Ranking4[[#This Row],[% NBS Score (Normalized)]]+(FMS_Ranking4[[#This Row],[Water Supply Score (Normalized)]]*10*$BB$5)+FMS_Ranking4[[#This Row],[FMS_Type Score Weighted]]</f>
        <v>44.345005991174439</v>
      </c>
      <c r="BN75" s="205">
        <f>_xlfn.RANK.EQ(FMS_Ranking4[[#This Row],[Total Score (with ArcSinh normalization of select criteria)]],FMS_Ranking4[Total Score (with ArcSinh normalization of select criteria)],0)</f>
        <v>67</v>
      </c>
      <c r="BO75" s="270" t="str">
        <f>_xlfn.XLOOKUP(FMS_Ranking4[[#This Row],[FMS ID]],FMS_Input[FMS_ID],FMS_Input[FMS_RANK_YEAR])</f>
        <v>2025 Amended Plan</v>
      </c>
      <c r="BP75" s="204" t="e">
        <f>_xlfn.XLOOKUP(FMS_Ranking4[[#This Row],[FMS ID]],Prev_Rank[FMS ID],Prev_Rank[Prev Rank])</f>
        <v>#N/A</v>
      </c>
      <c r="BQ75" s="205" t="e">
        <f>_xlfn.XLOOKUP(FMS_Ranking4[[#This Row],[FMS ID]],#REF!,#REF!)</f>
        <v>#REF!</v>
      </c>
      <c r="BR75" s="199" t="e">
        <f>SUM(#REF!,#REF!,#REF!,#REF!,#REF!,#REF!,#REF!,#REF!,#REF!,FMS_Ranking4[[#This Row],[ArcSinh Res struct removed 0-10]],#REF!)</f>
        <v>#REF!</v>
      </c>
      <c r="BS75" s="199" t="e">
        <f>FMS_Ranking4[[#This Row],[Log Score Based on Normalized Reported Factors]]+FMS_Ranking4[[#This Row],[% NBS Score (Normalized)]]+(FMS_Ranking4[[#This Row],[Water Supply Score (Normalized)]]*10*$BB$5)+(FMS_Ranking4[[#This Row],[FMS_Type Score Weighted]])</f>
        <v>#REF!</v>
      </c>
      <c r="BT75" s="200" t="e">
        <f>_xlfn.RANK.EQ(FMS_Ranking4[[#This Row],[Log Total Score]],FMS_Ranking4[Log Total Score],0)</f>
        <v>#REF!</v>
      </c>
      <c r="BU75" s="200" t="e">
        <f>_xlfn.XLOOKUP(FMS_Ranking4[[#This Row],[FMS ID]],#REF!,#REF!)</f>
        <v>#REF!</v>
      </c>
      <c r="BV75" s="200">
        <f>FMS_Ranking4[[#This Row],[Region Number]]</f>
        <v>15</v>
      </c>
      <c r="BW75" s="200">
        <f>FMS_Ranking4[[#This Row],[Rank (with ArcSinh normalization of select criteria)]]-FMS_Ranking4[[#This Row],[Rank
(with linear
normalization)]]</f>
        <v>23</v>
      </c>
      <c r="BX75" s="200" t="e">
        <f>FMS_Ranking4[[#This Row],[Log Rank]]-FMS_Ranking4[[#This Row],[Rank
(with linear
normalization)]]</f>
        <v>#REF!</v>
      </c>
      <c r="BY75" s="200" t="str">
        <f>IF(FMS_Ranking4[[#This Row],[FMS Type]]="Flood Measurement and Warning",FMS_Ranking4[[#This Row],[Rank (with ArcSinh normalization of select criteria)]],"")</f>
        <v/>
      </c>
      <c r="BZ75" s="200" t="str">
        <f>IF(FMS_Ranking4[[#This Row],[FMS Type]]="Regulatory and Guidance",FMS_Ranking4[[#This Row],[Rank (with ArcSinh normalization of select criteria)]],"")</f>
        <v/>
      </c>
      <c r="CA75" s="200" t="str">
        <f>IF(FMS_Ranking4[[#This Row],[FMS Type]]="Education and Outreach",FMS_Ranking4[[#This Row],[Rank (with ArcSinh normalization of select criteria)]],"")</f>
        <v/>
      </c>
      <c r="CB75" s="200" t="str">
        <f>IF(FMS_Ranking4[[#This Row],[FMS Type]]="Property Acquisition and Structural Elevation",FMS_Ranking4[[#This Row],[Rank (with ArcSinh normalization of select criteria)]],"")</f>
        <v/>
      </c>
      <c r="CC75" s="200">
        <f>IF(FMS_Ranking4[[#This Row],[FMS Type]]="Infrastructure Projects",FMS_Ranking4[[#This Row],[Rank (with ArcSinh normalization of select criteria)]],"")</f>
        <v>67</v>
      </c>
      <c r="CD75" s="200" t="str">
        <f>IF(FMS_Ranking4[[#This Row],[FMS Type]]="Other",FMS_Ranking4[[#This Row],[Rank (with ArcSinh normalization of select criteria)]],"")</f>
        <v/>
      </c>
      <c r="CE75" s="201"/>
    </row>
    <row r="76" spans="2:83" ht="45" x14ac:dyDescent="0.25">
      <c r="B76" s="341" t="s">
        <v>453</v>
      </c>
      <c r="C76" s="246">
        <f>_xlfn.XLOOKUP(FMS_Ranking4[[#This Row],[FMS ID]],FMS_Input[FMS_ID],FMS_Input[RFPG_NUM])</f>
        <v>9</v>
      </c>
      <c r="D76" s="309" t="str">
        <f>_xlfn.XLOOKUP(FMS_Ranking4[[#This Row],[FMS ID]],FMS_Input[FMS_ID],FMS_Input[FMS_NAME])</f>
        <v>Scurry County Stormwater Channel Maintenance Program</v>
      </c>
      <c r="E76" s="308" t="str">
        <f>_xlfn.XLOOKUP(FMS_Ranking4[[#This Row],[FMS ID]],FMS_Input[FMS_ID],FMS_Input[SPONSOR])</f>
        <v>00000115</v>
      </c>
      <c r="F76" s="309" t="str">
        <f>_xlfn.XLOOKUP(FMS_Ranking4[[#This Row],[FMS ID]],Sponsor[FMS_ID],Sponsor[SPONSOR NAME])</f>
        <v>Borden</v>
      </c>
      <c r="G76" s="309" t="str">
        <f>_xlfn.XLOOKUP(FMS_Ranking4[[#This Row],[FMS ID]],FMS_Input[FMS_ID],FMS_Input[FMS_DESCR])</f>
        <v>Retain and maintain natural vegetation in stormwater channels</v>
      </c>
      <c r="H76" s="248" t="str">
        <f>_xlfn.XLOOKUP(FMS_Ranking4[[#This Row],[FMS ID]],FMS_Input[FMS_ID],FMS_Input[FMS_TYPE])</f>
        <v>Other</v>
      </c>
      <c r="I76" s="249">
        <f>_xlfn.XLOOKUP(FMS_Ranking4[[#This Row],[FMS ID]],FMS_Input[FMS_ID],FMS_Input[NRNC_COST])</f>
        <v>5000</v>
      </c>
      <c r="J76" s="250">
        <f>_xlfn.XLOOKUP(FMS_Ranking4[[#This Row],[FMS ID]],FMS_Input[FMS_ID],FMS_Input[FMS_COST])</f>
        <v>30000</v>
      </c>
      <c r="K76" s="251" t="str">
        <f>_xlfn.XLOOKUP(FMS_Ranking4[[#This Row],[FMS ID]],FMS_Input[FMS_ID],FMS_Input[EMER_NEED])</f>
        <v>No</v>
      </c>
      <c r="L76" s="252">
        <f t="shared" si="1"/>
        <v>0</v>
      </c>
      <c r="M76" s="253">
        <f>_xlfn.XLOOKUP(FMS_Ranking4[[#This Row],[FMS ID]],FMS_Input[FMS_ID],FMS_Input[STRUCT_100])</f>
        <v>606</v>
      </c>
      <c r="N76" s="255">
        <f>(ASINH(FMS_Ranking4[[#This Row],[Structure at Risk Raw]]))*(10)/(ASINH(M$4))</f>
        <v>5.5816790364073583</v>
      </c>
      <c r="O76" s="256">
        <f>FMS_Ranking4[[#This Row],[Structures at risk, ArcSinh (0-10)]]*M$5*10</f>
        <v>5.5816790364073583</v>
      </c>
      <c r="P76" s="253">
        <f>_xlfn.XLOOKUP(FMS_Ranking4[[#This Row],[FMS ID]],FMS_Input[FMS_ID],FMS_Input[RES_STRUCT100])</f>
        <v>324</v>
      </c>
      <c r="Q76" s="257">
        <f>ASINH(FMS_Ranking4[[#This Row],[Res Structure Raw]])/Q$4*P$5*100</f>
        <v>0</v>
      </c>
      <c r="R76" s="253">
        <f>_xlfn.XLOOKUP(FMS_Ranking4[[#This Row],[FMS ID]],FMS_Input[FMS_ID],FMS_Input[POP100])</f>
        <v>1754</v>
      </c>
      <c r="S76" s="259">
        <f>(ASINH(FMS_Ranking4[[#This Row],[Pop at Risk Raw]]))*(10)/(ASINH(R$4))</f>
        <v>5.6352570518224487</v>
      </c>
      <c r="T76" s="256">
        <f>FMS_Ranking4[[#This Row],[Population at risk, ArcSinh (0-10)]]*R$5*10</f>
        <v>5.6352570518224487</v>
      </c>
      <c r="U76" s="253">
        <f>_xlfn.XLOOKUP(FMS_Ranking4[[#This Row],[FMS ID]],FMS_Input[FMS_ID],FMS_Input[CRITFAC100])</f>
        <v>1</v>
      </c>
      <c r="V76" s="259">
        <f>(ASINH(FMS_Ranking4[[#This Row],[Critical Facilities Raw]]))*(10)/(ASINH(U$4))</f>
        <v>1.0433384451410745</v>
      </c>
      <c r="W76" s="256">
        <f>FMS_Ranking4[[#This Row],[Critical facilities at risk, ArcSinh (0-10)]]*U$5*10</f>
        <v>1.0433384451410745</v>
      </c>
      <c r="X76" s="253">
        <f>_xlfn.XLOOKUP(FMS_Ranking4[[#This Row],[FMS ID]],FMS_Input[FMS_ID],FMS_Input[LWC])</f>
        <v>10</v>
      </c>
      <c r="Y76" s="259">
        <f>(ASINH(FMS_Ranking4[[#This Row],[LWC Raw]]))*(10)/(ASINH(X$4))</f>
        <v>4.06180589758889</v>
      </c>
      <c r="Z76" s="256">
        <f>FMS_Ranking4[[#This Row],[LWC, ArcSInh (0-10)]]*X$5*10</f>
        <v>4.06180589758889</v>
      </c>
      <c r="AA76" s="253">
        <f>_xlfn.XLOOKUP(FMS_Ranking4[[#This Row],[FMS ID]],FMS_Input[FMS_ID],FMS_Input[ROADCLS])</f>
        <v>0</v>
      </c>
      <c r="AB76" s="255">
        <f>(ASINH(FMS_Ranking4[[#This Row],[Road Closures Raw]]))*(10)/(ASINH(AA$4))</f>
        <v>0</v>
      </c>
      <c r="AC76" s="256">
        <f>FMS_Ranking4[[#This Row],[Road closures, ArcSinh (0-10)]]*AA$5*10</f>
        <v>0</v>
      </c>
      <c r="AD76" s="253">
        <f>_xlfn.XLOOKUP(FMS_Ranking4[[#This Row],[FMS ID]],FMS_Input[FMS_ID],FMS_Input[ROAD_MILES100])</f>
        <v>76</v>
      </c>
      <c r="AE76" s="259">
        <f>(ASINH(FMS_Ranking4[[#This Row],[Road Miles Raw]]))*(10)/(ASINH(AD$4))</f>
        <v>5.3541205681913837</v>
      </c>
      <c r="AF76" s="256">
        <f>FMS_Ranking4[[#This Row],[Length of roads at risk, ArcSinh (0-10)]]*AD$5*10</f>
        <v>5.3541205681913837</v>
      </c>
      <c r="AG76" s="253">
        <f>_xlfn.XLOOKUP(FMS_Ranking4[[#This Row],[FMS ID]],FMS_Input[FMS_ID],FMS_Input[FARMACRE100])</f>
        <v>11692.568359375</v>
      </c>
      <c r="AH76" s="255">
        <f>(ASINH(FMS_Ranking4[[#This Row],[Ag Land Raw]]))*(10)/(ASINH(AG$4))</f>
        <v>6.5346959885764848</v>
      </c>
      <c r="AI76" s="260">
        <f>FMS_Ranking4[[#This Row],[Farm &amp; ranch land, ArcSinh (0-10)]]*AG$5*10</f>
        <v>3.2673479942882429</v>
      </c>
      <c r="AJ76" s="258">
        <f>_xlfn.XLOOKUP(FMS_Ranking4[[#This Row],[FMS ID]],FMS_Input[FMS_ID],FMS_Input[REDSTRUCT100])</f>
        <v>152</v>
      </c>
      <c r="AK76" s="253">
        <f>_xlfn.XLOOKUP(FMS_Ranking4[[#This Row],[FMS ID]],FMS_Input[FMS_ID],FMS_Input[REMSTRC100])</f>
        <v>152</v>
      </c>
      <c r="AL76" s="259">
        <f>(ASINH(FMS_Ranking4[[#This Row],[Structures Removed Raw]]))*(10)/(ASINH(AK$4))</f>
        <v>6.5092564429572075</v>
      </c>
      <c r="AM76" s="262">
        <f>FMS_Ranking4[[#This Row],[Structures removed, ArcSinh (0-10)]]*AK$5*10</f>
        <v>6.5092564429572075</v>
      </c>
      <c r="AN76" s="253">
        <f>_xlfn.XLOOKUP(FMS_Ranking4[[#This Row],[FMS ID]],FMS_Input[FMS_ID],FMS_Input[REMRESSTRC100])</f>
        <v>81</v>
      </c>
      <c r="AO76" s="261">
        <f>FMS_Ranking4[[#This Row],[ArcSinh Res struct removed 0-10]]*AN$5*10</f>
        <v>2.984032250511814</v>
      </c>
      <c r="AP76" s="260">
        <f>ASINH(FMS_Ranking4[[#This Row],[Residential Structures Removed Raw]])/AP$4*AN$5*100</f>
        <v>2.9840322505118135</v>
      </c>
      <c r="AQ76" s="254">
        <f>(ASINH(FMS_Ranking4[[#This Row],[Residential Structures Removed Raw]]))*(10)/(ASINH(AN$4))</f>
        <v>5.9680645010236271</v>
      </c>
      <c r="AR76" s="253">
        <f>_xlfn.XLOOKUP(FMS_Ranking4[[#This Row],[FMS ID]],FMS_Input[FMS_ID],FMS_Input[REMPOP100])</f>
        <v>537</v>
      </c>
      <c r="AS76" s="259">
        <f>(ASINH(FMS_Ranking4[[#This Row],[Removed Pop Raw]]))*(10)/(ASINH(AR$4))</f>
        <v>6.8508725262868362</v>
      </c>
      <c r="AT76" s="262">
        <f>FMS_Ranking4[[#This Row],[Removed population, ArcSinh (0-10)]]*AR$5*10</f>
        <v>6.8508725262868362</v>
      </c>
      <c r="AU76" s="264">
        <f>_xlfn.XLOOKUP(FMS_Ranking4[[#This Row],[FMS ID]],FMS_Input[FMS_ID],FMS_Input[REMCRITFAC100])</f>
        <v>0</v>
      </c>
      <c r="AV76" s="264">
        <f>_xlfn.XLOOKUP(FMS_Ranking4[[#This Row],[FMS ID]],FMS_Input[FMS_ID],FMS_Input[REMLWC100])</f>
        <v>2</v>
      </c>
      <c r="AW76" s="264">
        <f>_xlfn.XLOOKUP(FMS_Ranking4[[#This Row],[FMS ID]],FMS_Input[FMS_ID],FMS_Input[REMROADCLS])</f>
        <v>0</v>
      </c>
      <c r="AX76" s="264">
        <f>_xlfn.XLOOKUP(FMS_Ranking4[[#This Row],[FMS ID]],FMS_Input[FMS_ID],FMS_Input[REMFRMACRE100])</f>
        <v>2923.14208984375</v>
      </c>
      <c r="AY76" s="258">
        <f>_xlfn.XLOOKUP(FMS_Ranking4[[#This Row],[FMS ID]],FMS_Input[FMS_ID],FMS_Input[COSTSTRUCT])</f>
        <v>25000</v>
      </c>
      <c r="AZ76" s="253">
        <f>_xlfn.XLOOKUP(FMS_Ranking4[[#This Row],[FMS ID]],FMS_Input[FMS_ID],FMS_Input[NATURE])</f>
        <v>25</v>
      </c>
      <c r="BA76" s="262">
        <f>(((FMS_Ranking4[[#This Row],[% NBS Raw]]/AZ$4)*100)*AZ$5)</f>
        <v>1.875</v>
      </c>
      <c r="BB76" s="251" t="str">
        <f>_xlfn.XLOOKUP(FMS_Ranking4[[#This Row],[FMS ID]],FMS_Input[FMS_ID],FMS_Input[WATER_SUP])</f>
        <v>No</v>
      </c>
      <c r="BC76" s="265">
        <f>IF(FMS_Ranking4[[#This Row],[Water Supply Raw]]="Yes",10,0)</f>
        <v>0</v>
      </c>
      <c r="BD76" s="266">
        <f>_xlfn.XLOOKUP(FMS_Ranking4[[#This Row],[FMS Type]],FMS_TYPE[FMS_Type],FMS_TYPE[Score])</f>
        <v>2</v>
      </c>
      <c r="BE76" s="267">
        <f>FMS_Ranking4[[#This Row],[FMS_Type Score]]*$BD$5*10</f>
        <v>0.5</v>
      </c>
      <c r="BF7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0.33498317970123836</v>
      </c>
      <c r="BG76" s="271">
        <f>_xlfn.RANK.EQ(BF76,$BF$8:$BF$870,0)+COUNTIF($BF$8:BF76,BF76)-1</f>
        <v>282</v>
      </c>
      <c r="BH76" s="268">
        <f>(((FMS_Ranking4[[#This Row],[Structures Removed Raw]]/AK$4)*100)*AK$5)+(((FMS_Ranking4[[#This Row],[Removed Pop Raw]]/AR$4)*100)*AR$5)</f>
        <v>0.87045171156033052</v>
      </c>
      <c r="BI7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3.5804348912615689</v>
      </c>
      <c r="BJ76" s="205">
        <f>_xlfn.RANK.EQ(FMS_Ranking4[[#This Row],[Total Score 
(with linear
normalization)]],FMS_Ranking4[Total Score 
(with linear
normalization)],0)</f>
        <v>145</v>
      </c>
      <c r="BK76" s="205" t="e">
        <f>_xlfn.XLOOKUP(FMS_Ranking4[[#This Row],[FMS ID]],#REF!,#REF!)</f>
        <v>#REF!</v>
      </c>
      <c r="BL7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41.287710213195261</v>
      </c>
      <c r="BM76" s="272">
        <f>FMS_Ranking4[[#This Row],[ArcSinh Score Based on Normalized Reported Factors]]+FMS_Ranking4[[#This Row],[% NBS Score (Normalized)]]+(FMS_Ranking4[[#This Row],[Water Supply Score (Normalized)]]*10*$BB$5)+FMS_Ranking4[[#This Row],[FMS_Type Score Weighted]]</f>
        <v>43.662710213195261</v>
      </c>
      <c r="BN76" s="205">
        <f>_xlfn.RANK.EQ(FMS_Ranking4[[#This Row],[Total Score (with ArcSinh normalization of select criteria)]],FMS_Ranking4[Total Score (with ArcSinh normalization of select criteria)],0)</f>
        <v>69</v>
      </c>
      <c r="BO76" s="270" t="str">
        <f>_xlfn.XLOOKUP(FMS_Ranking4[[#This Row],[FMS ID]],FMS_Input[FMS_ID],FMS_Input[FMS_RANK_YEAR])</f>
        <v>2023 Amended Plan</v>
      </c>
      <c r="BP76" s="204">
        <f>_xlfn.XLOOKUP(FMS_Ranking4[[#This Row],[FMS ID]],Prev_Rank[FMS ID],Prev_Rank[Prev Rank])</f>
        <v>64</v>
      </c>
      <c r="BQ76" s="205" t="e">
        <f>_xlfn.XLOOKUP(FMS_Ranking4[[#This Row],[FMS ID]],#REF!,#REF!)</f>
        <v>#REF!</v>
      </c>
      <c r="BR76" s="199" t="e">
        <f>SUM(#REF!,#REF!,#REF!,#REF!,#REF!,#REF!,#REF!,#REF!,#REF!,FMS_Ranking4[[#This Row],[ArcSinh Res struct removed 0-10]],#REF!)</f>
        <v>#REF!</v>
      </c>
      <c r="BS76" s="199" t="e">
        <f>FMS_Ranking4[[#This Row],[Log Score Based on Normalized Reported Factors]]+FMS_Ranking4[[#This Row],[% NBS Score (Normalized)]]+(FMS_Ranking4[[#This Row],[Water Supply Score (Normalized)]]*10*$BB$5)+(FMS_Ranking4[[#This Row],[FMS_Type Score Weighted]])</f>
        <v>#REF!</v>
      </c>
      <c r="BT76" s="200" t="e">
        <f>_xlfn.RANK.EQ(FMS_Ranking4[[#This Row],[Log Total Score]],FMS_Ranking4[Log Total Score],0)</f>
        <v>#REF!</v>
      </c>
      <c r="BU76" s="200" t="e">
        <f>_xlfn.XLOOKUP(FMS_Ranking4[[#This Row],[FMS ID]],#REF!,#REF!)</f>
        <v>#REF!</v>
      </c>
      <c r="BV76" s="200">
        <f>FMS_Ranking4[[#This Row],[Region Number]]</f>
        <v>9</v>
      </c>
      <c r="BW76" s="200">
        <f>FMS_Ranking4[[#This Row],[Rank (with ArcSinh normalization of select criteria)]]-FMS_Ranking4[[#This Row],[Rank
(with linear
normalization)]]</f>
        <v>-76</v>
      </c>
      <c r="BX76" s="200" t="e">
        <f>FMS_Ranking4[[#This Row],[Log Rank]]-FMS_Ranking4[[#This Row],[Rank
(with linear
normalization)]]</f>
        <v>#REF!</v>
      </c>
      <c r="BY76" s="200" t="str">
        <f>IF(FMS_Ranking4[[#This Row],[FMS Type]]="Flood Measurement and Warning",FMS_Ranking4[[#This Row],[Rank (with ArcSinh normalization of select criteria)]],"")</f>
        <v/>
      </c>
      <c r="BZ76" s="200" t="str">
        <f>IF(FMS_Ranking4[[#This Row],[FMS Type]]="Regulatory and Guidance",FMS_Ranking4[[#This Row],[Rank (with ArcSinh normalization of select criteria)]],"")</f>
        <v/>
      </c>
      <c r="CA76" s="200" t="str">
        <f>IF(FMS_Ranking4[[#This Row],[FMS Type]]="Education and Outreach",FMS_Ranking4[[#This Row],[Rank (with ArcSinh normalization of select criteria)]],"")</f>
        <v/>
      </c>
      <c r="CB76" s="200" t="str">
        <f>IF(FMS_Ranking4[[#This Row],[FMS Type]]="Property Acquisition and Structural Elevation",FMS_Ranking4[[#This Row],[Rank (with ArcSinh normalization of select criteria)]],"")</f>
        <v/>
      </c>
      <c r="CC76" s="200" t="str">
        <f>IF(FMS_Ranking4[[#This Row],[FMS Type]]="Infrastructure Projects",FMS_Ranking4[[#This Row],[Rank (with ArcSinh normalization of select criteria)]],"")</f>
        <v/>
      </c>
      <c r="CD76" s="200">
        <f>IF(FMS_Ranking4[[#This Row],[FMS Type]]="Other",FMS_Ranking4[[#This Row],[Rank (with ArcSinh normalization of select criteria)]],"")</f>
        <v>69</v>
      </c>
      <c r="CE76" s="201"/>
    </row>
    <row r="77" spans="2:83" ht="45" x14ac:dyDescent="0.25">
      <c r="B77" s="341" t="s">
        <v>4770</v>
      </c>
      <c r="C77" s="246">
        <f>_xlfn.XLOOKUP(FMS_Ranking4[[#This Row],[FMS ID]],FMS_Input[FMS_ID],FMS_Input[RFPG_NUM])</f>
        <v>4</v>
      </c>
      <c r="D77" s="309" t="str">
        <f>_xlfn.XLOOKUP(FMS_Ranking4[[#This Row],[FMS ID]],FMS_Input[FMS_ID],FMS_Input[FMS_NAME])</f>
        <v>Orange County Drainage District Additional Gages And Warning Systems</v>
      </c>
      <c r="E77" s="308" t="str">
        <f>_xlfn.XLOOKUP(FMS_Ranking4[[#This Row],[FMS ID]],FMS_Input[FMS_ID],FMS_Input[SPONSOR])</f>
        <v>00000512</v>
      </c>
      <c r="F77" s="309" t="str">
        <f>_xlfn.XLOOKUP(FMS_Ranking4[[#This Row],[FMS ID]],Sponsor[FMS_ID],Sponsor[SPONSOR NAME])</f>
        <v>Orange County Drainage District</v>
      </c>
      <c r="G77" s="309" t="str">
        <f>_xlfn.XLOOKUP(FMS_Ranking4[[#This Row],[FMS ID]],FMS_Input[FMS_ID],FMS_Input[FMS_DESCR])</f>
        <v>Incorporation of additional rain gauges and flood sensors throughout jurisdiction.</v>
      </c>
      <c r="H77" s="248" t="str">
        <f>_xlfn.XLOOKUP(FMS_Ranking4[[#This Row],[FMS ID]],FMS_Input[FMS_ID],FMS_Input[FMS_TYPE])</f>
        <v>Flood Measurement and Warning</v>
      </c>
      <c r="I77" s="249">
        <f>_xlfn.XLOOKUP(FMS_Ranking4[[#This Row],[FMS ID]],FMS_Input[FMS_ID],FMS_Input[NRNC_COST])</f>
        <v>100000</v>
      </c>
      <c r="J77" s="250">
        <f>_xlfn.XLOOKUP(FMS_Ranking4[[#This Row],[FMS ID]],FMS_Input[FMS_ID],FMS_Input[FMS_COST])</f>
        <v>200000</v>
      </c>
      <c r="K77" s="251" t="str">
        <f>_xlfn.XLOOKUP(FMS_Ranking4[[#This Row],[FMS ID]],FMS_Input[FMS_ID],FMS_Input[EMER_NEED])</f>
        <v>Yes</v>
      </c>
      <c r="L77" s="252">
        <f t="shared" si="1"/>
        <v>1</v>
      </c>
      <c r="M77" s="253">
        <f>_xlfn.XLOOKUP(FMS_Ranking4[[#This Row],[FMS ID]],FMS_Input[FMS_ID],FMS_Input[STRUCT_100])</f>
        <v>16974</v>
      </c>
      <c r="N77" s="255">
        <f>(ASINH(FMS_Ranking4[[#This Row],[Structure at Risk Raw]]))*(10)/(ASINH(M$4))</f>
        <v>8.2015653291191768</v>
      </c>
      <c r="O77" s="256">
        <f>FMS_Ranking4[[#This Row],[Structures at risk, ArcSinh (0-10)]]*M$5*10</f>
        <v>8.2015653291191768</v>
      </c>
      <c r="P77" s="253">
        <f>_xlfn.XLOOKUP(FMS_Ranking4[[#This Row],[FMS ID]],FMS_Input[FMS_ID],FMS_Input[RES_STRUCT100])</f>
        <v>14040</v>
      </c>
      <c r="Q77" s="257">
        <f>ASINH(FMS_Ranking4[[#This Row],[Res Structure Raw]])/Q$4*P$5*100</f>
        <v>0</v>
      </c>
      <c r="R77" s="253">
        <f>_xlfn.XLOOKUP(FMS_Ranking4[[#This Row],[FMS ID]],FMS_Input[FMS_ID],FMS_Input[POP100])</f>
        <v>26881</v>
      </c>
      <c r="S77" s="255">
        <f>(ASINH(FMS_Ranking4[[#This Row],[Pop at Risk Raw]]))*(10)/(ASINH(R$4))</f>
        <v>7.5196041274066898</v>
      </c>
      <c r="T77" s="256">
        <f>FMS_Ranking4[[#This Row],[Population at risk, ArcSinh (0-10)]]*R$5*10</f>
        <v>7.5196041274066907</v>
      </c>
      <c r="U77" s="253">
        <f>_xlfn.XLOOKUP(FMS_Ranking4[[#This Row],[FMS ID]],FMS_Input[FMS_ID],FMS_Input[CRITFAC100])</f>
        <v>276</v>
      </c>
      <c r="V77" s="255">
        <f>(ASINH(FMS_Ranking4[[#This Row],[Critical Facilities Raw]]))*(10)/(ASINH(U$4))</f>
        <v>7.4737556503019542</v>
      </c>
      <c r="W77" s="256">
        <f>FMS_Ranking4[[#This Row],[Critical facilities at risk, ArcSinh (0-10)]]*U$5*10</f>
        <v>7.4737556503019542</v>
      </c>
      <c r="X77" s="253">
        <f>_xlfn.XLOOKUP(FMS_Ranking4[[#This Row],[FMS ID]],FMS_Input[FMS_ID],FMS_Input[LWC])</f>
        <v>22</v>
      </c>
      <c r="Y77" s="255">
        <f>(ASINH(FMS_Ranking4[[#This Row],[LWC Raw]]))*(10)/(ASINH(X$4))</f>
        <v>5.1272838758265653</v>
      </c>
      <c r="Z77" s="256">
        <f>FMS_Ranking4[[#This Row],[LWC, ArcSInh (0-10)]]*X$5*10</f>
        <v>5.1272838758265662</v>
      </c>
      <c r="AA77" s="253">
        <f>_xlfn.XLOOKUP(FMS_Ranking4[[#This Row],[FMS ID]],FMS_Input[FMS_ID],FMS_Input[ROADCLS])</f>
        <v>22</v>
      </c>
      <c r="AB77" s="255">
        <f>(ASINH(FMS_Ranking4[[#This Row],[Road Closures Raw]]))*(10)/(ASINH(AA$4))</f>
        <v>3.9414236801787323</v>
      </c>
      <c r="AC77" s="256">
        <f>FMS_Ranking4[[#This Row],[Road closures, ArcSinh (0-10)]]*AA$5*10</f>
        <v>1.9707118400893664</v>
      </c>
      <c r="AD77" s="253">
        <f>_xlfn.XLOOKUP(FMS_Ranking4[[#This Row],[FMS ID]],FMS_Input[FMS_ID],FMS_Input[ROAD_MILES100])</f>
        <v>364</v>
      </c>
      <c r="AE77" s="255">
        <f>(ASINH(FMS_Ranking4[[#This Row],[Road Miles Raw]]))*(10)/(ASINH(AD$4))</f>
        <v>7.0234497766477615</v>
      </c>
      <c r="AF77" s="256">
        <f>FMS_Ranking4[[#This Row],[Length of roads at risk, ArcSinh (0-10)]]*AD$5*10</f>
        <v>7.0234497766477624</v>
      </c>
      <c r="AG77" s="253">
        <f>_xlfn.XLOOKUP(FMS_Ranking4[[#This Row],[FMS ID]],FMS_Input[FMS_ID],FMS_Input[FARMACRE100])</f>
        <v>17171.212890625</v>
      </c>
      <c r="AH77" s="255">
        <f>(ASINH(FMS_Ranking4[[#This Row],[Ag Land Raw]]))*(10)/(ASINH(AG$4))</f>
        <v>6.7843177106788293</v>
      </c>
      <c r="AI77" s="260">
        <f>FMS_Ranking4[[#This Row],[Farm &amp; ranch land, ArcSinh (0-10)]]*AG$5*10</f>
        <v>3.3921588553394151</v>
      </c>
      <c r="AJ77" s="258">
        <f>_xlfn.XLOOKUP(FMS_Ranking4[[#This Row],[FMS ID]],FMS_Input[FMS_ID],FMS_Input[REDSTRUCT100])</f>
        <v>0</v>
      </c>
      <c r="AK77" s="253">
        <f>_xlfn.XLOOKUP(FMS_Ranking4[[#This Row],[FMS ID]],FMS_Input[FMS_ID],FMS_Input[REMSTRC100])</f>
        <v>0</v>
      </c>
      <c r="AL77" s="255">
        <f>(ASINH(FMS_Ranking4[[#This Row],[Structures Removed Raw]]))*(10)/(ASINH(AK$4))</f>
        <v>0</v>
      </c>
      <c r="AM77" s="262">
        <f>FMS_Ranking4[[#This Row],[Structures removed, ArcSinh (0-10)]]*AK$5*10</f>
        <v>0</v>
      </c>
      <c r="AN77" s="253">
        <f>_xlfn.XLOOKUP(FMS_Ranking4[[#This Row],[FMS ID]],FMS_Input[FMS_ID],FMS_Input[REMRESSTRC100])</f>
        <v>0</v>
      </c>
      <c r="AO77" s="261">
        <f>FMS_Ranking4[[#This Row],[ArcSinh Res struct removed 0-10]]*AN$5*10</f>
        <v>0</v>
      </c>
      <c r="AP77" s="260">
        <f>ASINH(FMS_Ranking4[[#This Row],[Residential Structures Removed Raw]])/AP$4*AN$5*100</f>
        <v>0</v>
      </c>
      <c r="AQ77" s="258">
        <f>(ASINH(FMS_Ranking4[[#This Row],[Residential Structures Removed Raw]]))*(10)/(ASINH(AN$4))</f>
        <v>0</v>
      </c>
      <c r="AR77" s="253">
        <f>_xlfn.XLOOKUP(FMS_Ranking4[[#This Row],[FMS ID]],FMS_Input[FMS_ID],FMS_Input[REMPOP100])</f>
        <v>0</v>
      </c>
      <c r="AS77" s="255">
        <f>(ASINH(FMS_Ranking4[[#This Row],[Removed Pop Raw]]))*(10)/(ASINH(AR$4))</f>
        <v>0</v>
      </c>
      <c r="AT77" s="262">
        <f>FMS_Ranking4[[#This Row],[Removed population, ArcSinh (0-10)]]*AR$5*10</f>
        <v>0</v>
      </c>
      <c r="AU77" s="264">
        <f>_xlfn.XLOOKUP(FMS_Ranking4[[#This Row],[FMS ID]],FMS_Input[FMS_ID],FMS_Input[REMCRITFAC100])</f>
        <v>0</v>
      </c>
      <c r="AV77" s="264">
        <f>_xlfn.XLOOKUP(FMS_Ranking4[[#This Row],[FMS ID]],FMS_Input[FMS_ID],FMS_Input[REMLWC100])</f>
        <v>0</v>
      </c>
      <c r="AW77" s="264">
        <f>_xlfn.XLOOKUP(FMS_Ranking4[[#This Row],[FMS ID]],FMS_Input[FMS_ID],FMS_Input[REMROADCLS])</f>
        <v>0</v>
      </c>
      <c r="AX77" s="264">
        <f>_xlfn.XLOOKUP(FMS_Ranking4[[#This Row],[FMS ID]],FMS_Input[FMS_ID],FMS_Input[REMFRMACRE100])</f>
        <v>0</v>
      </c>
      <c r="AY77" s="258">
        <f>_xlfn.XLOOKUP(FMS_Ranking4[[#This Row],[FMS ID]],FMS_Input[FMS_ID],FMS_Input[COSTSTRUCT])</f>
        <v>0</v>
      </c>
      <c r="AZ77" s="253">
        <f>_xlfn.XLOOKUP(FMS_Ranking4[[#This Row],[FMS ID]],FMS_Input[FMS_ID],FMS_Input[NATURE])</f>
        <v>0</v>
      </c>
      <c r="BA77" s="262">
        <f>(((FMS_Ranking4[[#This Row],[% NBS Raw]]/AZ$4)*100)*AZ$5)</f>
        <v>0</v>
      </c>
      <c r="BB77" s="251" t="str">
        <f>_xlfn.XLOOKUP(FMS_Ranking4[[#This Row],[FMS ID]],FMS_Input[FMS_ID],FMS_Input[WATER_SUP])</f>
        <v>No</v>
      </c>
      <c r="BC77" s="265">
        <f>IF(FMS_Ranking4[[#This Row],[Water Supply Raw]]="Yes",10,0)</f>
        <v>0</v>
      </c>
      <c r="BD77" s="266">
        <f>_xlfn.XLOOKUP(FMS_Ranking4[[#This Row],[FMS Type]],FMS_TYPE[FMS_Type],FMS_TYPE[Score])</f>
        <v>10</v>
      </c>
      <c r="BE77" s="267">
        <f>FMS_Ranking4[[#This Row],[FMS_Type Score]]*$BD$5*10</f>
        <v>2.5</v>
      </c>
      <c r="BF7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3.4103830246143496</v>
      </c>
      <c r="BG77" s="269">
        <f>_xlfn.RANK.EQ(BF77,$BF$8:$BF$870,0)+COUNTIF($BF$8:BF77,BF77)-1</f>
        <v>75</v>
      </c>
      <c r="BH77" s="268">
        <f>(((FMS_Ranking4[[#This Row],[Structures Removed Raw]]/AK$4)*100)*AK$5)+(((FMS_Ranking4[[#This Row],[Removed Pop Raw]]/AR$4)*100)*AR$5)</f>
        <v>0</v>
      </c>
      <c r="BI7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5.9103830246143492</v>
      </c>
      <c r="BJ77" s="251">
        <f>_xlfn.RANK.EQ(FMS_Ranking4[[#This Row],[Total Score 
(with linear
normalization)]],FMS_Ranking4[Total Score 
(with linear
normalization)],0)</f>
        <v>103</v>
      </c>
      <c r="BK77" s="251" t="e">
        <f>_xlfn.XLOOKUP(FMS_Ranking4[[#This Row],[FMS ID]],#REF!,#REF!)</f>
        <v>#REF!</v>
      </c>
      <c r="BL7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40.708529454730936</v>
      </c>
      <c r="BM77" s="324">
        <f>FMS_Ranking4[[#This Row],[ArcSinh Score Based on Normalized Reported Factors]]+FMS_Ranking4[[#This Row],[% NBS Score (Normalized)]]+(FMS_Ranking4[[#This Row],[Water Supply Score (Normalized)]]*10*$BB$5)+FMS_Ranking4[[#This Row],[FMS_Type Score Weighted]]</f>
        <v>43.208529454730936</v>
      </c>
      <c r="BN77" s="251">
        <f>_xlfn.RANK.EQ(FMS_Ranking4[[#This Row],[Total Score (with ArcSinh normalization of select criteria)]],FMS_Ranking4[Total Score (with ArcSinh normalization of select criteria)],0)</f>
        <v>70</v>
      </c>
      <c r="BO77" s="270" t="str">
        <f>_xlfn.XLOOKUP(FMS_Ranking4[[#This Row],[FMS ID]],FMS_Input[FMS_ID],FMS_Input[FMS_RANK_YEAR])</f>
        <v>2023 Amended Plan</v>
      </c>
      <c r="BP77" s="204">
        <f>_xlfn.XLOOKUP(FMS_Ranking4[[#This Row],[FMS ID]],Prev_Rank[FMS ID],Prev_Rank[Prev Rank])</f>
        <v>56</v>
      </c>
      <c r="BQ77" s="251" t="e">
        <f>_xlfn.XLOOKUP(FMS_Ranking4[[#This Row],[FMS ID]],#REF!,#REF!)</f>
        <v>#REF!</v>
      </c>
      <c r="BR77" s="199" t="e">
        <f>SUM(#REF!,#REF!,#REF!,#REF!,#REF!,#REF!,#REF!,#REF!,#REF!,FMS_Ranking4[[#This Row],[ArcSinh Res struct removed 0-10]],#REF!)</f>
        <v>#REF!</v>
      </c>
      <c r="BS77" s="199" t="e">
        <f>FMS_Ranking4[[#This Row],[Log Score Based on Normalized Reported Factors]]+FMS_Ranking4[[#This Row],[% NBS Score (Normalized)]]+(FMS_Ranking4[[#This Row],[Water Supply Score (Normalized)]]*10*$BB$5)+(FMS_Ranking4[[#This Row],[FMS_Type Score Weighted]])</f>
        <v>#REF!</v>
      </c>
      <c r="BT77" s="200" t="e">
        <f>_xlfn.RANK.EQ(FMS_Ranking4[[#This Row],[Log Total Score]],FMS_Ranking4[Log Total Score],0)</f>
        <v>#REF!</v>
      </c>
      <c r="BU77" s="200" t="e">
        <f>_xlfn.XLOOKUP(FMS_Ranking4[[#This Row],[FMS ID]],#REF!,#REF!)</f>
        <v>#REF!</v>
      </c>
      <c r="BV77" s="200">
        <f>FMS_Ranking4[[#This Row],[Region Number]]</f>
        <v>4</v>
      </c>
      <c r="BW77" s="200">
        <f>FMS_Ranking4[[#This Row],[Rank (with ArcSinh normalization of select criteria)]]-FMS_Ranking4[[#This Row],[Rank
(with linear
normalization)]]</f>
        <v>-33</v>
      </c>
      <c r="BX77" s="200" t="e">
        <f>FMS_Ranking4[[#This Row],[Log Rank]]-FMS_Ranking4[[#This Row],[Rank
(with linear
normalization)]]</f>
        <v>#REF!</v>
      </c>
      <c r="BY77" s="200">
        <f>IF(FMS_Ranking4[[#This Row],[FMS Type]]="Flood Measurement and Warning",FMS_Ranking4[[#This Row],[Rank (with ArcSinh normalization of select criteria)]],"")</f>
        <v>70</v>
      </c>
      <c r="BZ77" s="200" t="str">
        <f>IF(FMS_Ranking4[[#This Row],[FMS Type]]="Regulatory and Guidance",FMS_Ranking4[[#This Row],[Rank (with ArcSinh normalization of select criteria)]],"")</f>
        <v/>
      </c>
      <c r="CA77" s="200" t="str">
        <f>IF(FMS_Ranking4[[#This Row],[FMS Type]]="Education and Outreach",FMS_Ranking4[[#This Row],[Rank (with ArcSinh normalization of select criteria)]],"")</f>
        <v/>
      </c>
      <c r="CB77" s="200" t="str">
        <f>IF(FMS_Ranking4[[#This Row],[FMS Type]]="Property Acquisition and Structural Elevation",FMS_Ranking4[[#This Row],[Rank (with ArcSinh normalization of select criteria)]],"")</f>
        <v/>
      </c>
      <c r="CC77" s="200" t="str">
        <f>IF(FMS_Ranking4[[#This Row],[FMS Type]]="Infrastructure Projects",FMS_Ranking4[[#This Row],[Rank (with ArcSinh normalization of select criteria)]],"")</f>
        <v/>
      </c>
      <c r="CD77" s="200" t="str">
        <f>IF(FMS_Ranking4[[#This Row],[FMS Type]]="Other",FMS_Ranking4[[#This Row],[Rank (with ArcSinh normalization of select criteria)]],"")</f>
        <v/>
      </c>
      <c r="CE77" s="201"/>
    </row>
    <row r="78" spans="2:83" ht="45" x14ac:dyDescent="0.25">
      <c r="B78" s="341" t="s">
        <v>4749</v>
      </c>
      <c r="C78" s="246">
        <f>_xlfn.XLOOKUP(FMS_Ranking4[[#This Row],[FMS ID]],FMS_Input[FMS_ID],FMS_Input[RFPG_NUM])</f>
        <v>4</v>
      </c>
      <c r="D78" s="309" t="str">
        <f>_xlfn.XLOOKUP(FMS_Ranking4[[#This Row],[FMS ID]],FMS_Input[FMS_ID],FMS_Input[FMS_NAME])</f>
        <v>Orange County Drainage District Flood Warning System</v>
      </c>
      <c r="E78" s="308" t="str">
        <f>_xlfn.XLOOKUP(FMS_Ranking4[[#This Row],[FMS ID]],FMS_Input[FMS_ID],FMS_Input[SPONSOR])</f>
        <v>00000027</v>
      </c>
      <c r="F78" s="309" t="str">
        <f>_xlfn.XLOOKUP(FMS_Ranking4[[#This Row],[FMS ID]],Sponsor[FMS_ID],Sponsor[SPONSOR NAME])</f>
        <v>Orange</v>
      </c>
      <c r="G78" s="309" t="str">
        <f>_xlfn.XLOOKUP(FMS_Ranking4[[#This Row],[FMS ID]],FMS_Input[FMS_ID],FMS_Input[FMS_DESCR])</f>
        <v>Improvement of existing flood warning system</v>
      </c>
      <c r="H78" s="248" t="str">
        <f>_xlfn.XLOOKUP(FMS_Ranking4[[#This Row],[FMS ID]],FMS_Input[FMS_ID],FMS_Input[FMS_TYPE])</f>
        <v>Flood Measurement and Warning</v>
      </c>
      <c r="I78" s="249">
        <f>_xlfn.XLOOKUP(FMS_Ranking4[[#This Row],[FMS ID]],FMS_Input[FMS_ID],FMS_Input[NRNC_COST])</f>
        <v>150000</v>
      </c>
      <c r="J78" s="250">
        <f>_xlfn.XLOOKUP(FMS_Ranking4[[#This Row],[FMS ID]],FMS_Input[FMS_ID],FMS_Input[FMS_COST])</f>
        <v>150000</v>
      </c>
      <c r="K78" s="251" t="str">
        <f>_xlfn.XLOOKUP(FMS_Ranking4[[#This Row],[FMS ID]],FMS_Input[FMS_ID],FMS_Input[EMER_NEED])</f>
        <v>Yes</v>
      </c>
      <c r="L78" s="252">
        <f t="shared" si="1"/>
        <v>1</v>
      </c>
      <c r="M78" s="253">
        <f>_xlfn.XLOOKUP(FMS_Ranking4[[#This Row],[FMS ID]],FMS_Input[FMS_ID],FMS_Input[STRUCT_100])</f>
        <v>16974</v>
      </c>
      <c r="N78" s="255">
        <f>(ASINH(FMS_Ranking4[[#This Row],[Structure at Risk Raw]]))*(10)/(ASINH(M$4))</f>
        <v>8.2015653291191768</v>
      </c>
      <c r="O78" s="256">
        <f>FMS_Ranking4[[#This Row],[Structures at risk, ArcSinh (0-10)]]*M$5*10</f>
        <v>8.2015653291191768</v>
      </c>
      <c r="P78" s="253">
        <f>_xlfn.XLOOKUP(FMS_Ranking4[[#This Row],[FMS ID]],FMS_Input[FMS_ID],FMS_Input[RES_STRUCT100])</f>
        <v>14040</v>
      </c>
      <c r="Q78" s="257">
        <f>ASINH(FMS_Ranking4[[#This Row],[Res Structure Raw]])/Q$4*P$5*100</f>
        <v>0</v>
      </c>
      <c r="R78" s="253">
        <f>_xlfn.XLOOKUP(FMS_Ranking4[[#This Row],[FMS ID]],FMS_Input[FMS_ID],FMS_Input[POP100])</f>
        <v>26881</v>
      </c>
      <c r="S78" s="255">
        <f>(ASINH(FMS_Ranking4[[#This Row],[Pop at Risk Raw]]))*(10)/(ASINH(R$4))</f>
        <v>7.5196041274066898</v>
      </c>
      <c r="T78" s="256">
        <f>FMS_Ranking4[[#This Row],[Population at risk, ArcSinh (0-10)]]*R$5*10</f>
        <v>7.5196041274066907</v>
      </c>
      <c r="U78" s="253">
        <f>_xlfn.XLOOKUP(FMS_Ranking4[[#This Row],[FMS ID]],FMS_Input[FMS_ID],FMS_Input[CRITFAC100])</f>
        <v>276</v>
      </c>
      <c r="V78" s="255">
        <f>(ASINH(FMS_Ranking4[[#This Row],[Critical Facilities Raw]]))*(10)/(ASINH(U$4))</f>
        <v>7.4737556503019542</v>
      </c>
      <c r="W78" s="256">
        <f>FMS_Ranking4[[#This Row],[Critical facilities at risk, ArcSinh (0-10)]]*U$5*10</f>
        <v>7.4737556503019542</v>
      </c>
      <c r="X78" s="253">
        <f>_xlfn.XLOOKUP(FMS_Ranking4[[#This Row],[FMS ID]],FMS_Input[FMS_ID],FMS_Input[LWC])</f>
        <v>22</v>
      </c>
      <c r="Y78" s="255">
        <f>(ASINH(FMS_Ranking4[[#This Row],[LWC Raw]]))*(10)/(ASINH(X$4))</f>
        <v>5.1272838758265653</v>
      </c>
      <c r="Z78" s="256">
        <f>FMS_Ranking4[[#This Row],[LWC, ArcSInh (0-10)]]*X$5*10</f>
        <v>5.1272838758265662</v>
      </c>
      <c r="AA78" s="253">
        <f>_xlfn.XLOOKUP(FMS_Ranking4[[#This Row],[FMS ID]],FMS_Input[FMS_ID],FMS_Input[ROADCLS])</f>
        <v>22</v>
      </c>
      <c r="AB78" s="255">
        <f>(ASINH(FMS_Ranking4[[#This Row],[Road Closures Raw]]))*(10)/(ASINH(AA$4))</f>
        <v>3.9414236801787323</v>
      </c>
      <c r="AC78" s="256">
        <f>FMS_Ranking4[[#This Row],[Road closures, ArcSinh (0-10)]]*AA$5*10</f>
        <v>1.9707118400893664</v>
      </c>
      <c r="AD78" s="253">
        <f>_xlfn.XLOOKUP(FMS_Ranking4[[#This Row],[FMS ID]],FMS_Input[FMS_ID],FMS_Input[ROAD_MILES100])</f>
        <v>364</v>
      </c>
      <c r="AE78" s="255">
        <f>(ASINH(FMS_Ranking4[[#This Row],[Road Miles Raw]]))*(10)/(ASINH(AD$4))</f>
        <v>7.0234497766477615</v>
      </c>
      <c r="AF78" s="256">
        <f>FMS_Ranking4[[#This Row],[Length of roads at risk, ArcSinh (0-10)]]*AD$5*10</f>
        <v>7.0234497766477624</v>
      </c>
      <c r="AG78" s="253">
        <f>_xlfn.XLOOKUP(FMS_Ranking4[[#This Row],[FMS ID]],FMS_Input[FMS_ID],FMS_Input[FARMACRE100])</f>
        <v>17171.203125</v>
      </c>
      <c r="AH78" s="255">
        <f>(ASINH(FMS_Ranking4[[#This Row],[Ag Land Raw]]))*(10)/(ASINH(AG$4))</f>
        <v>6.7843173412482667</v>
      </c>
      <c r="AI78" s="260">
        <f>FMS_Ranking4[[#This Row],[Farm &amp; ranch land, ArcSinh (0-10)]]*AG$5*10</f>
        <v>3.3921586706241333</v>
      </c>
      <c r="AJ78" s="258">
        <f>_xlfn.XLOOKUP(FMS_Ranking4[[#This Row],[FMS ID]],FMS_Input[FMS_ID],FMS_Input[REDSTRUCT100])</f>
        <v>0</v>
      </c>
      <c r="AK78" s="253">
        <f>_xlfn.XLOOKUP(FMS_Ranking4[[#This Row],[FMS ID]],FMS_Input[FMS_ID],FMS_Input[REMSTRC100])</f>
        <v>0</v>
      </c>
      <c r="AL78" s="255">
        <f>(ASINH(FMS_Ranking4[[#This Row],[Structures Removed Raw]]))*(10)/(ASINH(AK$4))</f>
        <v>0</v>
      </c>
      <c r="AM78" s="262">
        <f>FMS_Ranking4[[#This Row],[Structures removed, ArcSinh (0-10)]]*AK$5*10</f>
        <v>0</v>
      </c>
      <c r="AN78" s="253">
        <f>_xlfn.XLOOKUP(FMS_Ranking4[[#This Row],[FMS ID]],FMS_Input[FMS_ID],FMS_Input[REMRESSTRC100])</f>
        <v>0</v>
      </c>
      <c r="AO78" s="261">
        <f>FMS_Ranking4[[#This Row],[ArcSinh Res struct removed 0-10]]*AN$5*10</f>
        <v>0</v>
      </c>
      <c r="AP78" s="260">
        <f>ASINH(FMS_Ranking4[[#This Row],[Residential Structures Removed Raw]])/AP$4*AN$5*100</f>
        <v>0</v>
      </c>
      <c r="AQ78" s="258">
        <f>(ASINH(FMS_Ranking4[[#This Row],[Residential Structures Removed Raw]]))*(10)/(ASINH(AN$4))</f>
        <v>0</v>
      </c>
      <c r="AR78" s="253">
        <f>_xlfn.XLOOKUP(FMS_Ranking4[[#This Row],[FMS ID]],FMS_Input[FMS_ID],FMS_Input[REMPOP100])</f>
        <v>0</v>
      </c>
      <c r="AS78" s="255">
        <f>(ASINH(FMS_Ranking4[[#This Row],[Removed Pop Raw]]))*(10)/(ASINH(AR$4))</f>
        <v>0</v>
      </c>
      <c r="AT78" s="262">
        <f>FMS_Ranking4[[#This Row],[Removed population, ArcSinh (0-10)]]*AR$5*10</f>
        <v>0</v>
      </c>
      <c r="AU78" s="264">
        <f>_xlfn.XLOOKUP(FMS_Ranking4[[#This Row],[FMS ID]],FMS_Input[FMS_ID],FMS_Input[REMCRITFAC100])</f>
        <v>0</v>
      </c>
      <c r="AV78" s="264">
        <f>_xlfn.XLOOKUP(FMS_Ranking4[[#This Row],[FMS ID]],FMS_Input[FMS_ID],FMS_Input[REMLWC100])</f>
        <v>0</v>
      </c>
      <c r="AW78" s="264">
        <f>_xlfn.XLOOKUP(FMS_Ranking4[[#This Row],[FMS ID]],FMS_Input[FMS_ID],FMS_Input[REMROADCLS])</f>
        <v>0</v>
      </c>
      <c r="AX78" s="264">
        <f>_xlfn.XLOOKUP(FMS_Ranking4[[#This Row],[FMS ID]],FMS_Input[FMS_ID],FMS_Input[REMFRMACRE100])</f>
        <v>0</v>
      </c>
      <c r="AY78" s="258">
        <f>_xlfn.XLOOKUP(FMS_Ranking4[[#This Row],[FMS ID]],FMS_Input[FMS_ID],FMS_Input[COSTSTRUCT])</f>
        <v>0</v>
      </c>
      <c r="AZ78" s="253">
        <f>_xlfn.XLOOKUP(FMS_Ranking4[[#This Row],[FMS ID]],FMS_Input[FMS_ID],FMS_Input[NATURE])</f>
        <v>0</v>
      </c>
      <c r="BA78" s="262">
        <f>(((FMS_Ranking4[[#This Row],[% NBS Raw]]/AZ$4)*100)*AZ$5)</f>
        <v>0</v>
      </c>
      <c r="BB78" s="251" t="str">
        <f>_xlfn.XLOOKUP(FMS_Ranking4[[#This Row],[FMS ID]],FMS_Input[FMS_ID],FMS_Input[WATER_SUP])</f>
        <v>No</v>
      </c>
      <c r="BC78" s="265">
        <f>IF(FMS_Ranking4[[#This Row],[Water Supply Raw]]="Yes",10,0)</f>
        <v>0</v>
      </c>
      <c r="BD78" s="266">
        <f>_xlfn.XLOOKUP(FMS_Ranking4[[#This Row],[FMS Type]],FMS_TYPE[FMS_Type],FMS_TYPE[Score])</f>
        <v>10</v>
      </c>
      <c r="BE78" s="267">
        <f>FMS_Ranking4[[#This Row],[FMS_Type Score]]*$BD$5*10</f>
        <v>2.5</v>
      </c>
      <c r="BF7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3.4103830044798165</v>
      </c>
      <c r="BG78" s="321">
        <f>_xlfn.RANK.EQ(BF78,$BF$8:$BF$870,0)+COUNTIF($BF$8:BF78,BF78)-1</f>
        <v>78</v>
      </c>
      <c r="BH78" s="294">
        <f>(((FMS_Ranking4[[#This Row],[Structures Removed Raw]]/AK$4)*100)*AK$5)+(((FMS_Ranking4[[#This Row],[Removed Pop Raw]]/AR$4)*100)*AR$5)</f>
        <v>0</v>
      </c>
      <c r="BI7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5.9103830044798169</v>
      </c>
      <c r="BJ78" s="251">
        <f>_xlfn.RANK.EQ(FMS_Ranking4[[#This Row],[Total Score 
(with linear
normalization)]],FMS_Ranking4[Total Score 
(with linear
normalization)],0)</f>
        <v>104</v>
      </c>
      <c r="BK78" s="251" t="e">
        <f>_xlfn.XLOOKUP(FMS_Ranking4[[#This Row],[FMS ID]],#REF!,#REF!)</f>
        <v>#REF!</v>
      </c>
      <c r="BL7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40.708529270015653</v>
      </c>
      <c r="BM78" s="324">
        <f>FMS_Ranking4[[#This Row],[ArcSinh Score Based on Normalized Reported Factors]]+FMS_Ranking4[[#This Row],[% NBS Score (Normalized)]]+(FMS_Ranking4[[#This Row],[Water Supply Score (Normalized)]]*10*$BB$5)+FMS_Ranking4[[#This Row],[FMS_Type Score Weighted]]</f>
        <v>43.208529270015653</v>
      </c>
      <c r="BN78" s="251">
        <f>_xlfn.RANK.EQ(FMS_Ranking4[[#This Row],[Total Score (with ArcSinh normalization of select criteria)]],FMS_Ranking4[Total Score (with ArcSinh normalization of select criteria)],0)</f>
        <v>71</v>
      </c>
      <c r="BO78" s="270" t="str">
        <f>_xlfn.XLOOKUP(FMS_Ranking4[[#This Row],[FMS ID]],FMS_Input[FMS_ID],FMS_Input[FMS_RANK_YEAR])</f>
        <v>2023 Amended Plan</v>
      </c>
      <c r="BP78" s="204">
        <f>_xlfn.XLOOKUP(FMS_Ranking4[[#This Row],[FMS ID]],Prev_Rank[FMS ID],Prev_Rank[Prev Rank])</f>
        <v>57</v>
      </c>
      <c r="BQ78" s="251" t="e">
        <f>_xlfn.XLOOKUP(FMS_Ranking4[[#This Row],[FMS ID]],#REF!,#REF!)</f>
        <v>#REF!</v>
      </c>
      <c r="BR78" s="199" t="e">
        <f>SUM(#REF!,#REF!,#REF!,#REF!,#REF!,#REF!,#REF!,#REF!,#REF!,FMS_Ranking4[[#This Row],[ArcSinh Res struct removed 0-10]],#REF!)</f>
        <v>#REF!</v>
      </c>
      <c r="BS78" s="199" t="e">
        <f>FMS_Ranking4[[#This Row],[Log Score Based on Normalized Reported Factors]]+FMS_Ranking4[[#This Row],[% NBS Score (Normalized)]]+(FMS_Ranking4[[#This Row],[Water Supply Score (Normalized)]]*10*$BB$5)+(FMS_Ranking4[[#This Row],[FMS_Type Score Weighted]])</f>
        <v>#REF!</v>
      </c>
      <c r="BT78" s="200" t="e">
        <f>_xlfn.RANK.EQ(FMS_Ranking4[[#This Row],[Log Total Score]],FMS_Ranking4[Log Total Score],0)</f>
        <v>#REF!</v>
      </c>
      <c r="BU78" s="200" t="e">
        <f>_xlfn.XLOOKUP(FMS_Ranking4[[#This Row],[FMS ID]],#REF!,#REF!)</f>
        <v>#REF!</v>
      </c>
      <c r="BV78" s="200">
        <f>FMS_Ranking4[[#This Row],[Region Number]]</f>
        <v>4</v>
      </c>
      <c r="BW78" s="200">
        <f>FMS_Ranking4[[#This Row],[Rank (with ArcSinh normalization of select criteria)]]-FMS_Ranking4[[#This Row],[Rank
(with linear
normalization)]]</f>
        <v>-33</v>
      </c>
      <c r="BX78" s="200" t="e">
        <f>FMS_Ranking4[[#This Row],[Log Rank]]-FMS_Ranking4[[#This Row],[Rank
(with linear
normalization)]]</f>
        <v>#REF!</v>
      </c>
      <c r="BY78" s="200">
        <f>IF(FMS_Ranking4[[#This Row],[FMS Type]]="Flood Measurement and Warning",FMS_Ranking4[[#This Row],[Rank (with ArcSinh normalization of select criteria)]],"")</f>
        <v>71</v>
      </c>
      <c r="BZ78" s="200" t="str">
        <f>IF(FMS_Ranking4[[#This Row],[FMS Type]]="Regulatory and Guidance",FMS_Ranking4[[#This Row],[Rank (with ArcSinh normalization of select criteria)]],"")</f>
        <v/>
      </c>
      <c r="CA78" s="200" t="str">
        <f>IF(FMS_Ranking4[[#This Row],[FMS Type]]="Education and Outreach",FMS_Ranking4[[#This Row],[Rank (with ArcSinh normalization of select criteria)]],"")</f>
        <v/>
      </c>
      <c r="CB78" s="200" t="str">
        <f>IF(FMS_Ranking4[[#This Row],[FMS Type]]="Property Acquisition and Structural Elevation",FMS_Ranking4[[#This Row],[Rank (with ArcSinh normalization of select criteria)]],"")</f>
        <v/>
      </c>
      <c r="CC78" s="200" t="str">
        <f>IF(FMS_Ranking4[[#This Row],[FMS Type]]="Infrastructure Projects",FMS_Ranking4[[#This Row],[Rank (with ArcSinh normalization of select criteria)]],"")</f>
        <v/>
      </c>
      <c r="CD78" s="200" t="str">
        <f>IF(FMS_Ranking4[[#This Row],[FMS Type]]="Other",FMS_Ranking4[[#This Row],[Rank (with ArcSinh normalization of select criteria)]],"")</f>
        <v/>
      </c>
      <c r="CE78" s="201"/>
    </row>
    <row r="79" spans="2:83" ht="45" x14ac:dyDescent="0.25">
      <c r="B79" s="341" t="s">
        <v>1506</v>
      </c>
      <c r="C79" s="246">
        <f>_xlfn.XLOOKUP(FMS_Ranking4[[#This Row],[FMS ID]],FMS_Input[FMS_ID],FMS_Input[RFPG_NUM])</f>
        <v>1</v>
      </c>
      <c r="D79" s="309" t="str">
        <f>_xlfn.XLOOKUP(FMS_Ranking4[[#This Row],[FMS ID]],FMS_Input[FMS_ID],FMS_Input[FMS_NAME])</f>
        <v>Wichita County Ordinance Development</v>
      </c>
      <c r="E79" s="308" t="str">
        <f>_xlfn.XLOOKUP(FMS_Ranking4[[#This Row],[FMS ID]],FMS_Input[FMS_ID],FMS_Input[SPONSOR])</f>
        <v>01000195</v>
      </c>
      <c r="F79" s="309" t="str">
        <f>_xlfn.XLOOKUP(FMS_Ranking4[[#This Row],[FMS ID]],Sponsor[FMS_ID],Sponsor[SPONSOR NAME])</f>
        <v>Wichita</v>
      </c>
      <c r="G79" s="309" t="str">
        <f>_xlfn.XLOOKUP(FMS_Ranking4[[#This Row],[FMS ID]],FMS_Input[FMS_ID],FMS_Input[FMS_DESCR])</f>
        <v>Update subdivision ordiance for enhanced consideration for floodplain management</v>
      </c>
      <c r="H79" s="248" t="str">
        <f>_xlfn.XLOOKUP(FMS_Ranking4[[#This Row],[FMS ID]],FMS_Input[FMS_ID],FMS_Input[FMS_TYPE])</f>
        <v>Regulatory and Guidance</v>
      </c>
      <c r="I79" s="249">
        <f>_xlfn.XLOOKUP(FMS_Ranking4[[#This Row],[FMS ID]],FMS_Input[FMS_ID],FMS_Input[NRNC_COST])</f>
        <v>100000</v>
      </c>
      <c r="J79" s="250">
        <f>_xlfn.XLOOKUP(FMS_Ranking4[[#This Row],[FMS ID]],FMS_Input[FMS_ID],FMS_Input[FMS_COST])</f>
        <v>100000</v>
      </c>
      <c r="K79" s="251" t="str">
        <f>_xlfn.XLOOKUP(FMS_Ranking4[[#This Row],[FMS ID]],FMS_Input[FMS_ID],FMS_Input[EMER_NEED])</f>
        <v>No</v>
      </c>
      <c r="L79" s="252">
        <f t="shared" si="1"/>
        <v>0</v>
      </c>
      <c r="M79" s="253">
        <f>_xlfn.XLOOKUP(FMS_Ranking4[[#This Row],[FMS ID]],FMS_Input[FMS_ID],FMS_Input[STRUCT_100])</f>
        <v>3986</v>
      </c>
      <c r="N79" s="255">
        <f>(ASINH(FMS_Ranking4[[#This Row],[Structure at Risk Raw]]))*(10)/(ASINH(M$4))</f>
        <v>7.0625185015049565</v>
      </c>
      <c r="O79" s="256">
        <f>FMS_Ranking4[[#This Row],[Structures at risk, ArcSinh (0-10)]]*M$5*10</f>
        <v>7.0625185015049574</v>
      </c>
      <c r="P79" s="253">
        <f>_xlfn.XLOOKUP(FMS_Ranking4[[#This Row],[FMS ID]],FMS_Input[FMS_ID],FMS_Input[RES_STRUCT100])</f>
        <v>2926</v>
      </c>
      <c r="Q79" s="257">
        <f>ASINH(FMS_Ranking4[[#This Row],[Res Structure Raw]])/Q$4*P$5*100</f>
        <v>0</v>
      </c>
      <c r="R79" s="253">
        <f>_xlfn.XLOOKUP(FMS_Ranking4[[#This Row],[FMS ID]],FMS_Input[FMS_ID],FMS_Input[POP100])</f>
        <v>10515</v>
      </c>
      <c r="S79" s="259">
        <f>(ASINH(FMS_Ranking4[[#This Row],[Pop at Risk Raw]]))*(10)/(ASINH(R$4))</f>
        <v>6.8716222326711645</v>
      </c>
      <c r="T79" s="256">
        <f>FMS_Ranking4[[#This Row],[Population at risk, ArcSinh (0-10)]]*R$5*10</f>
        <v>6.8716222326711653</v>
      </c>
      <c r="U79" s="253">
        <f>_xlfn.XLOOKUP(FMS_Ranking4[[#This Row],[FMS ID]],FMS_Input[FMS_ID],FMS_Input[CRITFAC100])</f>
        <v>72</v>
      </c>
      <c r="V79" s="259">
        <f>(ASINH(FMS_Ranking4[[#This Row],[Critical Facilities Raw]]))*(10)/(ASINH(U$4))</f>
        <v>5.8831438435031078</v>
      </c>
      <c r="W79" s="256">
        <f>FMS_Ranking4[[#This Row],[Critical facilities at risk, ArcSinh (0-10)]]*U$5*10</f>
        <v>5.8831438435031078</v>
      </c>
      <c r="X79" s="253">
        <f>_xlfn.XLOOKUP(FMS_Ranking4[[#This Row],[FMS ID]],FMS_Input[FMS_ID],FMS_Input[LWC])</f>
        <v>174</v>
      </c>
      <c r="Y79" s="259">
        <f>(ASINH(FMS_Ranking4[[#This Row],[LWC Raw]]))*(10)/(ASINH(X$4))</f>
        <v>7.9282109701917491</v>
      </c>
      <c r="Z79" s="256">
        <f>FMS_Ranking4[[#This Row],[LWC, ArcSInh (0-10)]]*X$5*10</f>
        <v>7.9282109701917491</v>
      </c>
      <c r="AA79" s="253">
        <f>_xlfn.XLOOKUP(FMS_Ranking4[[#This Row],[FMS ID]],FMS_Input[FMS_ID],FMS_Input[ROADCLS])</f>
        <v>267</v>
      </c>
      <c r="AB79" s="255">
        <f>(ASINH(FMS_Ranking4[[#This Row],[Road Closures Raw]]))*(10)/(ASINH(AA$4))</f>
        <v>6.5404594840208441</v>
      </c>
      <c r="AC79" s="256">
        <f>FMS_Ranking4[[#This Row],[Road closures, ArcSinh (0-10)]]*AA$5*10</f>
        <v>3.270229742010422</v>
      </c>
      <c r="AD79" s="253">
        <f>_xlfn.XLOOKUP(FMS_Ranking4[[#This Row],[FMS ID]],FMS_Input[FMS_ID],FMS_Input[ROAD_MILES100])</f>
        <v>193</v>
      </c>
      <c r="AE79" s="259">
        <f>(ASINH(FMS_Ranking4[[#This Row],[Road Miles Raw]]))*(10)/(ASINH(AD$4))</f>
        <v>6.3472911932381724</v>
      </c>
      <c r="AF79" s="256">
        <f>FMS_Ranking4[[#This Row],[Length of roads at risk, ArcSinh (0-10)]]*AD$5*10</f>
        <v>6.3472911932381724</v>
      </c>
      <c r="AG79" s="253">
        <f>_xlfn.XLOOKUP(FMS_Ranking4[[#This Row],[FMS ID]],FMS_Input[FMS_ID],FMS_Input[FARMACRE100])</f>
        <v>49700.4140625</v>
      </c>
      <c r="AH79" s="255">
        <f>(ASINH(FMS_Ranking4[[#This Row],[Ag Land Raw]]))*(10)/(ASINH(AG$4))</f>
        <v>7.4746792232515196</v>
      </c>
      <c r="AI79" s="260">
        <f>FMS_Ranking4[[#This Row],[Farm &amp; ranch land, ArcSinh (0-10)]]*AG$5*10</f>
        <v>3.7373396116257602</v>
      </c>
      <c r="AJ79" s="258">
        <f>_xlfn.XLOOKUP(FMS_Ranking4[[#This Row],[FMS ID]],FMS_Input[FMS_ID],FMS_Input[REDSTRUCT100])</f>
        <v>0</v>
      </c>
      <c r="AK79" s="253">
        <f>_xlfn.XLOOKUP(FMS_Ranking4[[#This Row],[FMS ID]],FMS_Input[FMS_ID],FMS_Input[REMSTRC100])</f>
        <v>0</v>
      </c>
      <c r="AL79" s="259">
        <f>(ASINH(FMS_Ranking4[[#This Row],[Structures Removed Raw]]))*(10)/(ASINH(AK$4))</f>
        <v>0</v>
      </c>
      <c r="AM79" s="262">
        <f>FMS_Ranking4[[#This Row],[Structures removed, ArcSinh (0-10)]]*AK$5*10</f>
        <v>0</v>
      </c>
      <c r="AN79" s="253">
        <f>_xlfn.XLOOKUP(FMS_Ranking4[[#This Row],[FMS ID]],FMS_Input[FMS_ID],FMS_Input[REMRESSTRC100])</f>
        <v>0</v>
      </c>
      <c r="AO79" s="261">
        <f>FMS_Ranking4[[#This Row],[ArcSinh Res struct removed 0-10]]*AN$5*10</f>
        <v>0</v>
      </c>
      <c r="AP79" s="260">
        <f>ASINH(FMS_Ranking4[[#This Row],[Residential Structures Removed Raw]])/AP$4*AN$5*100</f>
        <v>0</v>
      </c>
      <c r="AQ79" s="254">
        <f>(ASINH(FMS_Ranking4[[#This Row],[Residential Structures Removed Raw]]))*(10)/(ASINH(AN$4))</f>
        <v>0</v>
      </c>
      <c r="AR79" s="253">
        <f>_xlfn.XLOOKUP(FMS_Ranking4[[#This Row],[FMS ID]],FMS_Input[FMS_ID],FMS_Input[REMPOP100])</f>
        <v>0</v>
      </c>
      <c r="AS79" s="259">
        <f>(ASINH(FMS_Ranking4[[#This Row],[Removed Pop Raw]]))*(10)/(ASINH(AR$4))</f>
        <v>0</v>
      </c>
      <c r="AT79" s="262">
        <f>FMS_Ranking4[[#This Row],[Removed population, ArcSinh (0-10)]]*AR$5*10</f>
        <v>0</v>
      </c>
      <c r="AU79" s="264">
        <f>_xlfn.XLOOKUP(FMS_Ranking4[[#This Row],[FMS ID]],FMS_Input[FMS_ID],FMS_Input[REMCRITFAC100])</f>
        <v>0</v>
      </c>
      <c r="AV79" s="264">
        <f>_xlfn.XLOOKUP(FMS_Ranking4[[#This Row],[FMS ID]],FMS_Input[FMS_ID],FMS_Input[REMLWC100])</f>
        <v>0</v>
      </c>
      <c r="AW79" s="264">
        <f>_xlfn.XLOOKUP(FMS_Ranking4[[#This Row],[FMS ID]],FMS_Input[FMS_ID],FMS_Input[REMROADCLS])</f>
        <v>0</v>
      </c>
      <c r="AX79" s="264">
        <f>_xlfn.XLOOKUP(FMS_Ranking4[[#This Row],[FMS ID]],FMS_Input[FMS_ID],FMS_Input[REMFRMACRE100])</f>
        <v>0</v>
      </c>
      <c r="AY79" s="258">
        <f>_xlfn.XLOOKUP(FMS_Ranking4[[#This Row],[FMS ID]],FMS_Input[FMS_ID],FMS_Input[COSTSTRUCT])</f>
        <v>0</v>
      </c>
      <c r="AZ79" s="253">
        <f>_xlfn.XLOOKUP(FMS_Ranking4[[#This Row],[FMS ID]],FMS_Input[FMS_ID],FMS_Input[NATURE])</f>
        <v>0</v>
      </c>
      <c r="BA79" s="262">
        <f>(((FMS_Ranking4[[#This Row],[% NBS Raw]]/AZ$4)*100)*AZ$5)</f>
        <v>0</v>
      </c>
      <c r="BB79" s="251" t="str">
        <f>_xlfn.XLOOKUP(FMS_Ranking4[[#This Row],[FMS ID]],FMS_Input[FMS_ID],FMS_Input[WATER_SUP])</f>
        <v>No</v>
      </c>
      <c r="BC79" s="265">
        <f>IF(FMS_Ranking4[[#This Row],[Water Supply Raw]]="Yes",10,0)</f>
        <v>0</v>
      </c>
      <c r="BD79" s="266">
        <f>_xlfn.XLOOKUP(FMS_Ranking4[[#This Row],[FMS Type]],FMS_TYPE[FMS_Type],FMS_TYPE[Score])</f>
        <v>8</v>
      </c>
      <c r="BE79" s="267">
        <f>FMS_Ranking4[[#This Row],[FMS_Type Score]]*$BD$5*10</f>
        <v>2</v>
      </c>
      <c r="BF7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3.4292008312268334</v>
      </c>
      <c r="BG79" s="271">
        <f>_xlfn.RANK.EQ(BF79,$BF$8:$BF$870,0)+COUNTIF($BF$8:BF79,BF79)-1</f>
        <v>74</v>
      </c>
      <c r="BH79" s="268">
        <f>(((FMS_Ranking4[[#This Row],[Structures Removed Raw]]/AK$4)*100)*AK$5)+(((FMS_Ranking4[[#This Row],[Removed Pop Raw]]/AR$4)*100)*AR$5)</f>
        <v>0</v>
      </c>
      <c r="BI7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5.4292008312268329</v>
      </c>
      <c r="BJ79" s="205">
        <f>_xlfn.RANK.EQ(FMS_Ranking4[[#This Row],[Total Score 
(with linear
normalization)]],FMS_Ranking4[Total Score 
(with linear
normalization)],0)</f>
        <v>107</v>
      </c>
      <c r="BK79" s="205" t="e">
        <f>_xlfn.XLOOKUP(FMS_Ranking4[[#This Row],[FMS ID]],#REF!,#REF!)</f>
        <v>#REF!</v>
      </c>
      <c r="BL7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41.100356094745337</v>
      </c>
      <c r="BM79" s="272">
        <f>FMS_Ranking4[[#This Row],[ArcSinh Score Based on Normalized Reported Factors]]+FMS_Ranking4[[#This Row],[% NBS Score (Normalized)]]+(FMS_Ranking4[[#This Row],[Water Supply Score (Normalized)]]*10*$BB$5)+FMS_Ranking4[[#This Row],[FMS_Type Score Weighted]]</f>
        <v>43.100356094745337</v>
      </c>
      <c r="BN79" s="205">
        <f>_xlfn.RANK.EQ(FMS_Ranking4[[#This Row],[Total Score (with ArcSinh normalization of select criteria)]],FMS_Ranking4[Total Score (with ArcSinh normalization of select criteria)],0)</f>
        <v>72</v>
      </c>
      <c r="BO79" s="270" t="str">
        <f>_xlfn.XLOOKUP(FMS_Ranking4[[#This Row],[FMS ID]],FMS_Input[FMS_ID],FMS_Input[FMS_RANK_YEAR])</f>
        <v>2023 Amended Plan</v>
      </c>
      <c r="BP79" s="204">
        <f>_xlfn.XLOOKUP(FMS_Ranking4[[#This Row],[FMS ID]],Prev_Rank[FMS ID],Prev_Rank[Prev Rank])</f>
        <v>59</v>
      </c>
      <c r="BQ79" s="205" t="e">
        <f>_xlfn.XLOOKUP(FMS_Ranking4[[#This Row],[FMS ID]],#REF!,#REF!)</f>
        <v>#REF!</v>
      </c>
      <c r="BR79" s="199" t="e">
        <f>SUM(#REF!,#REF!,#REF!,#REF!,#REF!,#REF!,#REF!,#REF!,#REF!,FMS_Ranking4[[#This Row],[ArcSinh Res struct removed 0-10]],#REF!)</f>
        <v>#REF!</v>
      </c>
      <c r="BS79" s="199" t="e">
        <f>FMS_Ranking4[[#This Row],[Log Score Based on Normalized Reported Factors]]+FMS_Ranking4[[#This Row],[% NBS Score (Normalized)]]+(FMS_Ranking4[[#This Row],[Water Supply Score (Normalized)]]*10*$BB$5)+(FMS_Ranking4[[#This Row],[FMS_Type Score Weighted]])</f>
        <v>#REF!</v>
      </c>
      <c r="BT79" s="200" t="e">
        <f>_xlfn.RANK.EQ(FMS_Ranking4[[#This Row],[Log Total Score]],FMS_Ranking4[Log Total Score],0)</f>
        <v>#REF!</v>
      </c>
      <c r="BU79" s="200" t="e">
        <f>_xlfn.XLOOKUP(FMS_Ranking4[[#This Row],[FMS ID]],#REF!,#REF!)</f>
        <v>#REF!</v>
      </c>
      <c r="BV79" s="200">
        <f>FMS_Ranking4[[#This Row],[Region Number]]</f>
        <v>1</v>
      </c>
      <c r="BW79" s="200">
        <f>FMS_Ranking4[[#This Row],[Rank (with ArcSinh normalization of select criteria)]]-FMS_Ranking4[[#This Row],[Rank
(with linear
normalization)]]</f>
        <v>-35</v>
      </c>
      <c r="BX79" s="200" t="e">
        <f>FMS_Ranking4[[#This Row],[Log Rank]]-FMS_Ranking4[[#This Row],[Rank
(with linear
normalization)]]</f>
        <v>#REF!</v>
      </c>
      <c r="BY79" s="200" t="str">
        <f>IF(FMS_Ranking4[[#This Row],[FMS Type]]="Flood Measurement and Warning",FMS_Ranking4[[#This Row],[Rank (with ArcSinh normalization of select criteria)]],"")</f>
        <v/>
      </c>
      <c r="BZ79" s="200">
        <f>IF(FMS_Ranking4[[#This Row],[FMS Type]]="Regulatory and Guidance",FMS_Ranking4[[#This Row],[Rank (with ArcSinh normalization of select criteria)]],"")</f>
        <v>72</v>
      </c>
      <c r="CA79" s="200" t="str">
        <f>IF(FMS_Ranking4[[#This Row],[FMS Type]]="Education and Outreach",FMS_Ranking4[[#This Row],[Rank (with ArcSinh normalization of select criteria)]],"")</f>
        <v/>
      </c>
      <c r="CB79" s="200" t="str">
        <f>IF(FMS_Ranking4[[#This Row],[FMS Type]]="Property Acquisition and Structural Elevation",FMS_Ranking4[[#This Row],[Rank (with ArcSinh normalization of select criteria)]],"")</f>
        <v/>
      </c>
      <c r="CC79" s="200" t="str">
        <f>IF(FMS_Ranking4[[#This Row],[FMS Type]]="Infrastructure Projects",FMS_Ranking4[[#This Row],[Rank (with ArcSinh normalization of select criteria)]],"")</f>
        <v/>
      </c>
      <c r="CD79" s="200" t="str">
        <f>IF(FMS_Ranking4[[#This Row],[FMS Type]]="Other",FMS_Ranking4[[#This Row],[Rank (with ArcSinh normalization of select criteria)]],"")</f>
        <v/>
      </c>
      <c r="CE79" s="201"/>
    </row>
    <row r="80" spans="2:83" ht="120" x14ac:dyDescent="0.25">
      <c r="B80" s="341" t="s">
        <v>12420</v>
      </c>
      <c r="C80" s="246">
        <f>_xlfn.XLOOKUP(FMS_Ranking4[[#This Row],[FMS ID]],FMS_Input[FMS_ID],FMS_Input[RFPG_NUM])</f>
        <v>6</v>
      </c>
      <c r="D80" s="309" t="str">
        <f>_xlfn.XLOOKUP(FMS_Ranking4[[#This Row],[FMS ID]],FMS_Input[FMS_ID],FMS_Input[FMS_NAME])</f>
        <v xml:space="preserve">West Fork San Jacinto River floodplain preservation_x000D_
</v>
      </c>
      <c r="E80" s="308" t="str">
        <f>_xlfn.XLOOKUP(FMS_Ranking4[[#This Row],[FMS ID]],FMS_Input[FMS_ID],FMS_Input[SPONSOR])</f>
        <v>06003603</v>
      </c>
      <c r="F80" s="309" t="str">
        <f>_xlfn.XLOOKUP(FMS_Ranking4[[#This Row],[FMS ID]],Sponsor[FMS_ID],Sponsor[SPONSOR NAME])</f>
        <v>Bayou Land Conservancy</v>
      </c>
      <c r="G80" s="309" t="str">
        <f>_xlfn.XLOOKUP(FMS_Ranking4[[#This Row],[FMS ID]],FMS_Input[FMS_ID],FMS_Input[FMS_DESCR])</f>
        <v>Partnerships to acquire/place conservation easements on high-quality floodplain parcels upstream of the West Fork San Jacinto River. This pre-disaster strategy enhances resilience and floodplain function per ASFPM best practices.</v>
      </c>
      <c r="H80" s="248" t="str">
        <f>_xlfn.XLOOKUP(FMS_Ranking4[[#This Row],[FMS ID]],FMS_Input[FMS_ID],FMS_Input[FMS_TYPE])</f>
        <v>Other</v>
      </c>
      <c r="I80" s="249">
        <f>_xlfn.XLOOKUP(FMS_Ranking4[[#This Row],[FMS ID]],FMS_Input[FMS_ID],FMS_Input[NRNC_COST])</f>
        <v>2024450</v>
      </c>
      <c r="J80" s="250">
        <f>_xlfn.XLOOKUP(FMS_Ranking4[[#This Row],[FMS ID]],FMS_Input[FMS_ID],FMS_Input[FMS_COST])</f>
        <v>40489000</v>
      </c>
      <c r="K80" s="251" t="str">
        <f>_xlfn.XLOOKUP(FMS_Ranking4[[#This Row],[FMS ID]],FMS_Input[FMS_ID],FMS_Input[EMER_NEED])</f>
        <v>No</v>
      </c>
      <c r="L80" s="252">
        <f t="shared" si="1"/>
        <v>0</v>
      </c>
      <c r="M80" s="253">
        <f>_xlfn.XLOOKUP(FMS_Ranking4[[#This Row],[FMS ID]],FMS_Input[FMS_ID],FMS_Input[STRUCT_100])</f>
        <v>5153</v>
      </c>
      <c r="N80" s="255">
        <f>(ASINH(FMS_Ranking4[[#This Row],[Structure at Risk Raw]]))*(10)/(ASINH(M$4))</f>
        <v>7.2643943372163147</v>
      </c>
      <c r="O80" s="256">
        <f>FMS_Ranking4[[#This Row],[Structures at risk, ArcSinh (0-10)]]*M$5*10</f>
        <v>7.2643943372163156</v>
      </c>
      <c r="P80" s="253">
        <f>_xlfn.XLOOKUP(FMS_Ranking4[[#This Row],[FMS ID]],FMS_Input[FMS_ID],FMS_Input[RES_STRUCT100])</f>
        <v>3985</v>
      </c>
      <c r="Q80" s="257">
        <f>ASINH(FMS_Ranking4[[#This Row],[Res Structure Raw]])/Q$4*P$5*100</f>
        <v>0</v>
      </c>
      <c r="R80" s="253">
        <f>_xlfn.XLOOKUP(FMS_Ranking4[[#This Row],[FMS ID]],FMS_Input[FMS_ID],FMS_Input[POP100])</f>
        <v>18347</v>
      </c>
      <c r="S80" s="259">
        <f>(ASINH(FMS_Ranking4[[#This Row],[Pop at Risk Raw]]))*(10)/(ASINH(R$4))</f>
        <v>7.2559192907127468</v>
      </c>
      <c r="T80" s="256">
        <f>FMS_Ranking4[[#This Row],[Population at risk, ArcSinh (0-10)]]*R$5*10</f>
        <v>7.2559192907127468</v>
      </c>
      <c r="U80" s="253">
        <f>_xlfn.XLOOKUP(FMS_Ranking4[[#This Row],[FMS ID]],FMS_Input[FMS_ID],FMS_Input[CRITFAC100])</f>
        <v>49</v>
      </c>
      <c r="V80" s="259">
        <f>(ASINH(FMS_Ranking4[[#This Row],[Critical Facilities Raw]]))*(10)/(ASINH(U$4))</f>
        <v>5.4276433166725147</v>
      </c>
      <c r="W80" s="256">
        <f>FMS_Ranking4[[#This Row],[Critical facilities at risk, ArcSinh (0-10)]]*U$5*10</f>
        <v>5.4276433166725147</v>
      </c>
      <c r="X80" s="253">
        <f>_xlfn.XLOOKUP(FMS_Ranking4[[#This Row],[FMS ID]],FMS_Input[FMS_ID],FMS_Input[LWC])</f>
        <v>20</v>
      </c>
      <c r="Y80" s="259">
        <f>(ASINH(FMS_Ranking4[[#This Row],[LWC Raw]]))*(10)/(ASINH(X$4))</f>
        <v>4.998310273339353</v>
      </c>
      <c r="Z80" s="256">
        <f>FMS_Ranking4[[#This Row],[LWC, ArcSInh (0-10)]]*X$5*10</f>
        <v>4.998310273339353</v>
      </c>
      <c r="AA80" s="253">
        <f>_xlfn.XLOOKUP(FMS_Ranking4[[#This Row],[FMS ID]],FMS_Input[FMS_ID],FMS_Input[ROADCLS])</f>
        <v>20</v>
      </c>
      <c r="AB80" s="255">
        <f>(ASINH(FMS_Ranking4[[#This Row],[Road Closures Raw]]))*(10)/(ASINH(AA$4))</f>
        <v>3.8422796453891408</v>
      </c>
      <c r="AC80" s="256">
        <f>FMS_Ranking4[[#This Row],[Road closures, ArcSinh (0-10)]]*AA$5*10</f>
        <v>1.9211398226945706</v>
      </c>
      <c r="AD80" s="253">
        <f>_xlfn.XLOOKUP(FMS_Ranking4[[#This Row],[FMS ID]],FMS_Input[FMS_ID],FMS_Input[ROAD_MILES100])</f>
        <v>121</v>
      </c>
      <c r="AE80" s="259">
        <f>(ASINH(FMS_Ranking4[[#This Row],[Road Miles Raw]]))*(10)/(ASINH(AD$4))</f>
        <v>5.8497156733912927</v>
      </c>
      <c r="AF80" s="256">
        <f>FMS_Ranking4[[#This Row],[Length of roads at risk, ArcSinh (0-10)]]*AD$5*10</f>
        <v>5.8497156733912927</v>
      </c>
      <c r="AG80" s="253">
        <f>_xlfn.XLOOKUP(FMS_Ranking4[[#This Row],[FMS ID]],FMS_Input[FMS_ID],FMS_Input[FARMACRE100])</f>
        <v>331.53793334960938</v>
      </c>
      <c r="AH80" s="255">
        <f>(ASINH(FMS_Ranking4[[#This Row],[Ag Land Raw]]))*(10)/(ASINH(AG$4))</f>
        <v>4.2202604483347921</v>
      </c>
      <c r="AI80" s="260">
        <f>FMS_Ranking4[[#This Row],[Farm &amp; ranch land, ArcSinh (0-10)]]*AG$5*10</f>
        <v>2.110130224167396</v>
      </c>
      <c r="AJ80" s="258">
        <f>_xlfn.XLOOKUP(FMS_Ranking4[[#This Row],[FMS ID]],FMS_Input[FMS_ID],FMS_Input[REDSTRUCT100])</f>
        <v>0</v>
      </c>
      <c r="AK80" s="253">
        <f>_xlfn.XLOOKUP(FMS_Ranking4[[#This Row],[FMS ID]],FMS_Input[FMS_ID],FMS_Input[REMSTRC100])</f>
        <v>0</v>
      </c>
      <c r="AL80" s="259">
        <f>(ASINH(FMS_Ranking4[[#This Row],[Structures Removed Raw]]))*(10)/(ASINH(AK$4))</f>
        <v>0</v>
      </c>
      <c r="AM80" s="262">
        <f>FMS_Ranking4[[#This Row],[Structures removed, ArcSinh (0-10)]]*AK$5*10</f>
        <v>0</v>
      </c>
      <c r="AN80" s="253">
        <f>_xlfn.XLOOKUP(FMS_Ranking4[[#This Row],[FMS ID]],FMS_Input[FMS_ID],FMS_Input[REMRESSTRC100])</f>
        <v>0</v>
      </c>
      <c r="AO80" s="261">
        <f>FMS_Ranking4[[#This Row],[ArcSinh Res struct removed 0-10]]*AN$5*10</f>
        <v>0</v>
      </c>
      <c r="AP80" s="260">
        <f>ASINH(FMS_Ranking4[[#This Row],[Residential Structures Removed Raw]])/AP$4*AN$5*100</f>
        <v>0</v>
      </c>
      <c r="AQ80" s="254">
        <f>(ASINH(FMS_Ranking4[[#This Row],[Residential Structures Removed Raw]]))*(10)/(ASINH(AN$4))</f>
        <v>0</v>
      </c>
      <c r="AR80" s="253">
        <f>_xlfn.XLOOKUP(FMS_Ranking4[[#This Row],[FMS ID]],FMS_Input[FMS_ID],FMS_Input[REMPOP100])</f>
        <v>0</v>
      </c>
      <c r="AS80" s="259">
        <f>(ASINH(FMS_Ranking4[[#This Row],[Removed Pop Raw]]))*(10)/(ASINH(AR$4))</f>
        <v>0</v>
      </c>
      <c r="AT80" s="262">
        <f>FMS_Ranking4[[#This Row],[Removed population, ArcSinh (0-10)]]*AR$5*10</f>
        <v>0</v>
      </c>
      <c r="AU80" s="264">
        <f>_xlfn.XLOOKUP(FMS_Ranking4[[#This Row],[FMS ID]],FMS_Input[FMS_ID],FMS_Input[REMCRITFAC100])</f>
        <v>0</v>
      </c>
      <c r="AV80" s="264">
        <f>_xlfn.XLOOKUP(FMS_Ranking4[[#This Row],[FMS ID]],FMS_Input[FMS_ID],FMS_Input[REMLWC100])</f>
        <v>0</v>
      </c>
      <c r="AW80" s="264">
        <f>_xlfn.XLOOKUP(FMS_Ranking4[[#This Row],[FMS ID]],FMS_Input[FMS_ID],FMS_Input[REMROADCLS])</f>
        <v>0</v>
      </c>
      <c r="AX80" s="264">
        <f>_xlfn.XLOOKUP(FMS_Ranking4[[#This Row],[FMS ID]],FMS_Input[FMS_ID],FMS_Input[REMFRMACRE100])</f>
        <v>0</v>
      </c>
      <c r="AY80" s="258">
        <f>_xlfn.XLOOKUP(FMS_Ranking4[[#This Row],[FMS ID]],FMS_Input[FMS_ID],FMS_Input[COSTSTRUCT])</f>
        <v>0</v>
      </c>
      <c r="AZ80" s="253">
        <f>_xlfn.XLOOKUP(FMS_Ranking4[[#This Row],[FMS ID]],FMS_Input[FMS_ID],FMS_Input[NATURE])</f>
        <v>100</v>
      </c>
      <c r="BA80" s="262">
        <f>(((FMS_Ranking4[[#This Row],[% NBS Raw]]/AZ$4)*100)*AZ$5)</f>
        <v>7.5</v>
      </c>
      <c r="BB80" s="251" t="str">
        <f>_xlfn.XLOOKUP(FMS_Ranking4[[#This Row],[FMS ID]],FMS_Input[FMS_ID],FMS_Input[WATER_SUP])</f>
        <v>No</v>
      </c>
      <c r="BC80" s="265">
        <f>IF(FMS_Ranking4[[#This Row],[Water Supply Raw]]="Yes",10,0)</f>
        <v>0</v>
      </c>
      <c r="BD80" s="266">
        <f>_xlfn.XLOOKUP(FMS_Ranking4[[#This Row],[FMS Type]],FMS_TYPE[FMS_Type],FMS_TYPE[Score])</f>
        <v>2</v>
      </c>
      <c r="BE80" s="267">
        <f>FMS_Ranking4[[#This Row],[FMS_Type Score]]*$BD$5*10</f>
        <v>0.5</v>
      </c>
      <c r="BF8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1.1729176822657421</v>
      </c>
      <c r="BG80" s="271">
        <f>_xlfn.RANK.EQ(BF80,$BF$8:$BF$870,0)+COUNTIF($BF$8:BF314,BF80)-1</f>
        <v>128</v>
      </c>
      <c r="BH80" s="268">
        <f>(((FMS_Ranking4[[#This Row],[Structures Removed Raw]]/AK$4)*100)*AK$5)+(((FMS_Ranking4[[#This Row],[Removed Pop Raw]]/AR$4)*100)*AR$5)</f>
        <v>0</v>
      </c>
      <c r="BI8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9.1729176822657426</v>
      </c>
      <c r="BJ80" s="205">
        <f>_xlfn.RANK.EQ(FMS_Ranking4[[#This Row],[Total Score 
(with linear
normalization)]],FMS_Ranking4[Total Score 
(with linear
normalization)],0)</f>
        <v>59</v>
      </c>
      <c r="BK80" s="205" t="e">
        <f>_xlfn.XLOOKUP(FMS_Ranking4[[#This Row],[FMS ID]],#REF!,#REF!)</f>
        <v>#REF!</v>
      </c>
      <c r="BL8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34.827252938194192</v>
      </c>
      <c r="BM80" s="272">
        <f>FMS_Ranking4[[#This Row],[ArcSinh Score Based on Normalized Reported Factors]]+FMS_Ranking4[[#This Row],[% NBS Score (Normalized)]]+(FMS_Ranking4[[#This Row],[Water Supply Score (Normalized)]]*10*$BB$5)+FMS_Ranking4[[#This Row],[FMS_Type Score Weighted]]</f>
        <v>42.827252938194192</v>
      </c>
      <c r="BN80" s="205">
        <f>_xlfn.RANK.EQ(FMS_Ranking4[[#This Row],[Total Score (with ArcSinh normalization of select criteria)]],FMS_Ranking4[Total Score (with ArcSinh normalization of select criteria)],0)</f>
        <v>73</v>
      </c>
      <c r="BO80" s="270" t="str">
        <f>_xlfn.XLOOKUP(FMS_Ranking4[[#This Row],[FMS ID]],FMS_Input[FMS_ID],FMS_Input[FMS_RANK_YEAR])</f>
        <v>2025 Amended Plan</v>
      </c>
      <c r="BP80" s="204" t="e">
        <f>_xlfn.XLOOKUP(FMS_Ranking4[[#This Row],[FMS ID]],Prev_Rank[FMS ID],Prev_Rank[Prev Rank])</f>
        <v>#N/A</v>
      </c>
      <c r="BQ80" s="205" t="e">
        <f>_xlfn.XLOOKUP(FMS_Ranking4[[#This Row],[FMS ID]],#REF!,#REF!)</f>
        <v>#REF!</v>
      </c>
      <c r="BR80" s="199" t="e">
        <f>SUM(#REF!,#REF!,#REF!,#REF!,#REF!,#REF!,#REF!,#REF!,#REF!,FMS_Ranking4[[#This Row],[ArcSinh Res struct removed 0-10]],#REF!)</f>
        <v>#REF!</v>
      </c>
      <c r="BS80" s="199" t="e">
        <f>FMS_Ranking4[[#This Row],[Log Score Based on Normalized Reported Factors]]+FMS_Ranking4[[#This Row],[% NBS Score (Normalized)]]+(FMS_Ranking4[[#This Row],[Water Supply Score (Normalized)]]*10*$BB$5)+(FMS_Ranking4[[#This Row],[FMS_Type Score Weighted]])</f>
        <v>#REF!</v>
      </c>
      <c r="BT80" s="200" t="e">
        <f>_xlfn.RANK.EQ(FMS_Ranking4[[#This Row],[Log Total Score]],FMS_Ranking4[Log Total Score],0)</f>
        <v>#REF!</v>
      </c>
      <c r="BU80" s="200" t="e">
        <f>_xlfn.XLOOKUP(FMS_Ranking4[[#This Row],[FMS ID]],#REF!,#REF!)</f>
        <v>#REF!</v>
      </c>
      <c r="BV80" s="200">
        <f>FMS_Ranking4[[#This Row],[Region Number]]</f>
        <v>6</v>
      </c>
      <c r="BW80" s="200">
        <f>FMS_Ranking4[[#This Row],[Rank (with ArcSinh normalization of select criteria)]]-FMS_Ranking4[[#This Row],[Rank
(with linear
normalization)]]</f>
        <v>14</v>
      </c>
      <c r="BX80" s="200" t="e">
        <f>FMS_Ranking4[[#This Row],[Log Rank]]-FMS_Ranking4[[#This Row],[Rank
(with linear
normalization)]]</f>
        <v>#REF!</v>
      </c>
      <c r="BY80" s="200" t="str">
        <f>IF(FMS_Ranking4[[#This Row],[FMS Type]]="Flood Measurement and Warning",FMS_Ranking4[[#This Row],[Rank (with ArcSinh normalization of select criteria)]],"")</f>
        <v/>
      </c>
      <c r="BZ80" s="200" t="str">
        <f>IF(FMS_Ranking4[[#This Row],[FMS Type]]="Regulatory and Guidance",FMS_Ranking4[[#This Row],[Rank (with ArcSinh normalization of select criteria)]],"")</f>
        <v/>
      </c>
      <c r="CA80" s="200" t="str">
        <f>IF(FMS_Ranking4[[#This Row],[FMS Type]]="Education and Outreach",FMS_Ranking4[[#This Row],[Rank (with ArcSinh normalization of select criteria)]],"")</f>
        <v/>
      </c>
      <c r="CB80" s="200" t="str">
        <f>IF(FMS_Ranking4[[#This Row],[FMS Type]]="Property Acquisition and Structural Elevation",FMS_Ranking4[[#This Row],[Rank (with ArcSinh normalization of select criteria)]],"")</f>
        <v/>
      </c>
      <c r="CC80" s="200" t="str">
        <f>IF(FMS_Ranking4[[#This Row],[FMS Type]]="Infrastructure Projects",FMS_Ranking4[[#This Row],[Rank (with ArcSinh normalization of select criteria)]],"")</f>
        <v/>
      </c>
      <c r="CD80" s="200">
        <f>IF(FMS_Ranking4[[#This Row],[FMS Type]]="Other",FMS_Ranking4[[#This Row],[Rank (with ArcSinh normalization of select criteria)]],"")</f>
        <v>73</v>
      </c>
      <c r="CE80" s="201"/>
    </row>
    <row r="81" spans="2:83" ht="30" x14ac:dyDescent="0.25">
      <c r="B81" s="341" t="s">
        <v>4738</v>
      </c>
      <c r="C81" s="246">
        <f>_xlfn.XLOOKUP(FMS_Ranking4[[#This Row],[FMS ID]],FMS_Input[FMS_ID],FMS_Input[RFPG_NUM])</f>
        <v>4</v>
      </c>
      <c r="D81" s="309" t="str">
        <f>_xlfn.XLOOKUP(FMS_Ranking4[[#This Row],[FMS ID]],FMS_Input[FMS_ID],FMS_Input[FMS_NAME])</f>
        <v>Orange County Drainage District Design Criteria</v>
      </c>
      <c r="E81" s="308" t="str">
        <f>_xlfn.XLOOKUP(FMS_Ranking4[[#This Row],[FMS ID]],FMS_Input[FMS_ID],FMS_Input[SPONSOR])</f>
        <v>00000027</v>
      </c>
      <c r="F81" s="309" t="str">
        <f>_xlfn.XLOOKUP(FMS_Ranking4[[#This Row],[FMS ID]],Sponsor[FMS_ID],Sponsor[SPONSOR NAME])</f>
        <v>Orange</v>
      </c>
      <c r="G81" s="309" t="str">
        <f>_xlfn.XLOOKUP(FMS_Ranking4[[#This Row],[FMS ID]],FMS_Input[FMS_ID],FMS_Input[FMS_DESCR])</f>
        <v>Update Design Criteria</v>
      </c>
      <c r="H81" s="248" t="str">
        <f>_xlfn.XLOOKUP(FMS_Ranking4[[#This Row],[FMS ID]],FMS_Input[FMS_ID],FMS_Input[FMS_TYPE])</f>
        <v>Regulatory and Guidance</v>
      </c>
      <c r="I81" s="249">
        <f>_xlfn.XLOOKUP(FMS_Ranking4[[#This Row],[FMS ID]],FMS_Input[FMS_ID],FMS_Input[NRNC_COST])</f>
        <v>50000</v>
      </c>
      <c r="J81" s="250">
        <f>_xlfn.XLOOKUP(FMS_Ranking4[[#This Row],[FMS ID]],FMS_Input[FMS_ID],FMS_Input[FMS_COST])</f>
        <v>50000</v>
      </c>
      <c r="K81" s="251" t="str">
        <f>_xlfn.XLOOKUP(FMS_Ranking4[[#This Row],[FMS ID]],FMS_Input[FMS_ID],FMS_Input[EMER_NEED])</f>
        <v>Yes</v>
      </c>
      <c r="L81" s="252">
        <f t="shared" si="1"/>
        <v>1</v>
      </c>
      <c r="M81" s="253">
        <f>_xlfn.XLOOKUP(FMS_Ranking4[[#This Row],[FMS ID]],FMS_Input[FMS_ID],FMS_Input[STRUCT_100])</f>
        <v>16974</v>
      </c>
      <c r="N81" s="255">
        <f>(ASINH(FMS_Ranking4[[#This Row],[Structure at Risk Raw]]))*(10)/(ASINH(M$4))</f>
        <v>8.2015653291191768</v>
      </c>
      <c r="O81" s="256">
        <f>FMS_Ranking4[[#This Row],[Structures at risk, ArcSinh (0-10)]]*M$5*10</f>
        <v>8.2015653291191768</v>
      </c>
      <c r="P81" s="253">
        <f>_xlfn.XLOOKUP(FMS_Ranking4[[#This Row],[FMS ID]],FMS_Input[FMS_ID],FMS_Input[RES_STRUCT100])</f>
        <v>14040</v>
      </c>
      <c r="Q81" s="257">
        <f>ASINH(FMS_Ranking4[[#This Row],[Res Structure Raw]])/Q$4*P$5*100</f>
        <v>0</v>
      </c>
      <c r="R81" s="253">
        <f>_xlfn.XLOOKUP(FMS_Ranking4[[#This Row],[FMS ID]],FMS_Input[FMS_ID],FMS_Input[POP100])</f>
        <v>26881</v>
      </c>
      <c r="S81" s="259">
        <f>(ASINH(FMS_Ranking4[[#This Row],[Pop at Risk Raw]]))*(10)/(ASINH(R$4))</f>
        <v>7.5196041274066898</v>
      </c>
      <c r="T81" s="256">
        <f>FMS_Ranking4[[#This Row],[Population at risk, ArcSinh (0-10)]]*R$5*10</f>
        <v>7.5196041274066907</v>
      </c>
      <c r="U81" s="253">
        <f>_xlfn.XLOOKUP(FMS_Ranking4[[#This Row],[FMS ID]],FMS_Input[FMS_ID],FMS_Input[CRITFAC100])</f>
        <v>276</v>
      </c>
      <c r="V81" s="259">
        <f>(ASINH(FMS_Ranking4[[#This Row],[Critical Facilities Raw]]))*(10)/(ASINH(U$4))</f>
        <v>7.4737556503019542</v>
      </c>
      <c r="W81" s="256">
        <f>FMS_Ranking4[[#This Row],[Critical facilities at risk, ArcSinh (0-10)]]*U$5*10</f>
        <v>7.4737556503019542</v>
      </c>
      <c r="X81" s="253">
        <f>_xlfn.XLOOKUP(FMS_Ranking4[[#This Row],[FMS ID]],FMS_Input[FMS_ID],FMS_Input[LWC])</f>
        <v>22</v>
      </c>
      <c r="Y81" s="259">
        <f>(ASINH(FMS_Ranking4[[#This Row],[LWC Raw]]))*(10)/(ASINH(X$4))</f>
        <v>5.1272838758265653</v>
      </c>
      <c r="Z81" s="256">
        <f>FMS_Ranking4[[#This Row],[LWC, ArcSInh (0-10)]]*X$5*10</f>
        <v>5.1272838758265662</v>
      </c>
      <c r="AA81" s="253">
        <f>_xlfn.XLOOKUP(FMS_Ranking4[[#This Row],[FMS ID]],FMS_Input[FMS_ID],FMS_Input[ROADCLS])</f>
        <v>22</v>
      </c>
      <c r="AB81" s="255">
        <f>(ASINH(FMS_Ranking4[[#This Row],[Road Closures Raw]]))*(10)/(ASINH(AA$4))</f>
        <v>3.9414236801787323</v>
      </c>
      <c r="AC81" s="256">
        <f>FMS_Ranking4[[#This Row],[Road closures, ArcSinh (0-10)]]*AA$5*10</f>
        <v>1.9707118400893664</v>
      </c>
      <c r="AD81" s="253">
        <f>_xlfn.XLOOKUP(FMS_Ranking4[[#This Row],[FMS ID]],FMS_Input[FMS_ID],FMS_Input[ROAD_MILES100])</f>
        <v>364</v>
      </c>
      <c r="AE81" s="259">
        <f>(ASINH(FMS_Ranking4[[#This Row],[Road Miles Raw]]))*(10)/(ASINH(AD$4))</f>
        <v>7.0234497766477615</v>
      </c>
      <c r="AF81" s="256">
        <f>FMS_Ranking4[[#This Row],[Length of roads at risk, ArcSinh (0-10)]]*AD$5*10</f>
        <v>7.0234497766477624</v>
      </c>
      <c r="AG81" s="253">
        <f>_xlfn.XLOOKUP(FMS_Ranking4[[#This Row],[FMS ID]],FMS_Input[FMS_ID],FMS_Input[FARMACRE100])</f>
        <v>17171.203125</v>
      </c>
      <c r="AH81" s="255">
        <f>(ASINH(FMS_Ranking4[[#This Row],[Ag Land Raw]]))*(10)/(ASINH(AG$4))</f>
        <v>6.7843173412482667</v>
      </c>
      <c r="AI81" s="260">
        <f>FMS_Ranking4[[#This Row],[Farm &amp; ranch land, ArcSinh (0-10)]]*AG$5*10</f>
        <v>3.3921586706241333</v>
      </c>
      <c r="AJ81" s="258">
        <f>_xlfn.XLOOKUP(FMS_Ranking4[[#This Row],[FMS ID]],FMS_Input[FMS_ID],FMS_Input[REDSTRUCT100])</f>
        <v>0</v>
      </c>
      <c r="AK81" s="253">
        <f>_xlfn.XLOOKUP(FMS_Ranking4[[#This Row],[FMS ID]],FMS_Input[FMS_ID],FMS_Input[REMSTRC100])</f>
        <v>0</v>
      </c>
      <c r="AL81" s="259">
        <f>(ASINH(FMS_Ranking4[[#This Row],[Structures Removed Raw]]))*(10)/(ASINH(AK$4))</f>
        <v>0</v>
      </c>
      <c r="AM81" s="262">
        <f>FMS_Ranking4[[#This Row],[Structures removed, ArcSinh (0-10)]]*AK$5*10</f>
        <v>0</v>
      </c>
      <c r="AN81" s="253">
        <f>_xlfn.XLOOKUP(FMS_Ranking4[[#This Row],[FMS ID]],FMS_Input[FMS_ID],FMS_Input[REMRESSTRC100])</f>
        <v>0</v>
      </c>
      <c r="AO81" s="261">
        <f>FMS_Ranking4[[#This Row],[ArcSinh Res struct removed 0-10]]*AN$5*10</f>
        <v>0</v>
      </c>
      <c r="AP81" s="260">
        <f>ASINH(FMS_Ranking4[[#This Row],[Residential Structures Removed Raw]])/AP$4*AN$5*100</f>
        <v>0</v>
      </c>
      <c r="AQ81" s="254">
        <f>(ASINH(FMS_Ranking4[[#This Row],[Residential Structures Removed Raw]]))*(10)/(ASINH(AN$4))</f>
        <v>0</v>
      </c>
      <c r="AR81" s="253">
        <f>_xlfn.XLOOKUP(FMS_Ranking4[[#This Row],[FMS ID]],FMS_Input[FMS_ID],FMS_Input[REMPOP100])</f>
        <v>0</v>
      </c>
      <c r="AS81" s="259">
        <f>(ASINH(FMS_Ranking4[[#This Row],[Removed Pop Raw]]))*(10)/(ASINH(AR$4))</f>
        <v>0</v>
      </c>
      <c r="AT81" s="262">
        <f>FMS_Ranking4[[#This Row],[Removed population, ArcSinh (0-10)]]*AR$5*10</f>
        <v>0</v>
      </c>
      <c r="AU81" s="264">
        <f>_xlfn.XLOOKUP(FMS_Ranking4[[#This Row],[FMS ID]],FMS_Input[FMS_ID],FMS_Input[REMCRITFAC100])</f>
        <v>0</v>
      </c>
      <c r="AV81" s="264">
        <f>_xlfn.XLOOKUP(FMS_Ranking4[[#This Row],[FMS ID]],FMS_Input[FMS_ID],FMS_Input[REMLWC100])</f>
        <v>0</v>
      </c>
      <c r="AW81" s="264">
        <f>_xlfn.XLOOKUP(FMS_Ranking4[[#This Row],[FMS ID]],FMS_Input[FMS_ID],FMS_Input[REMROADCLS])</f>
        <v>0</v>
      </c>
      <c r="AX81" s="264">
        <f>_xlfn.XLOOKUP(FMS_Ranking4[[#This Row],[FMS ID]],FMS_Input[FMS_ID],FMS_Input[REMFRMACRE100])</f>
        <v>0</v>
      </c>
      <c r="AY81" s="258">
        <f>_xlfn.XLOOKUP(FMS_Ranking4[[#This Row],[FMS ID]],FMS_Input[FMS_ID],FMS_Input[COSTSTRUCT])</f>
        <v>0</v>
      </c>
      <c r="AZ81" s="253">
        <f>_xlfn.XLOOKUP(FMS_Ranking4[[#This Row],[FMS ID]],FMS_Input[FMS_ID],FMS_Input[NATURE])</f>
        <v>0</v>
      </c>
      <c r="BA81" s="262">
        <f>(((FMS_Ranking4[[#This Row],[% NBS Raw]]/AZ$4)*100)*AZ$5)</f>
        <v>0</v>
      </c>
      <c r="BB81" s="251" t="str">
        <f>_xlfn.XLOOKUP(FMS_Ranking4[[#This Row],[FMS ID]],FMS_Input[FMS_ID],FMS_Input[WATER_SUP])</f>
        <v>No</v>
      </c>
      <c r="BC81" s="265">
        <f>IF(FMS_Ranking4[[#This Row],[Water Supply Raw]]="Yes",10,0)</f>
        <v>0</v>
      </c>
      <c r="BD81" s="266">
        <f>_xlfn.XLOOKUP(FMS_Ranking4[[#This Row],[FMS Type]],FMS_TYPE[FMS_Type],FMS_TYPE[Score])</f>
        <v>8</v>
      </c>
      <c r="BE81" s="267">
        <f>FMS_Ranking4[[#This Row],[FMS_Type Score]]*$BD$5*10</f>
        <v>2</v>
      </c>
      <c r="BF8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3.4103830044798165</v>
      </c>
      <c r="BG81" s="271">
        <f>_xlfn.RANK.EQ(BF81,$BF$8:$BF$870,0)+COUNTIF($BF$8:BF81,BF81)-1</f>
        <v>79</v>
      </c>
      <c r="BH81" s="268">
        <f>(((FMS_Ranking4[[#This Row],[Structures Removed Raw]]/AK$4)*100)*AK$5)+(((FMS_Ranking4[[#This Row],[Removed Pop Raw]]/AR$4)*100)*AR$5)</f>
        <v>0</v>
      </c>
      <c r="BI8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5.4103830044798169</v>
      </c>
      <c r="BJ81" s="205">
        <f>_xlfn.RANK.EQ(FMS_Ranking4[[#This Row],[Total Score 
(with linear
normalization)]],FMS_Ranking4[Total Score 
(with linear
normalization)],0)</f>
        <v>109</v>
      </c>
      <c r="BK81" s="205" t="e">
        <f>_xlfn.XLOOKUP(FMS_Ranking4[[#This Row],[FMS ID]],#REF!,#REF!)</f>
        <v>#REF!</v>
      </c>
      <c r="BL8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40.708529270015653</v>
      </c>
      <c r="BM81" s="272">
        <f>FMS_Ranking4[[#This Row],[ArcSinh Score Based on Normalized Reported Factors]]+FMS_Ranking4[[#This Row],[% NBS Score (Normalized)]]+(FMS_Ranking4[[#This Row],[Water Supply Score (Normalized)]]*10*$BB$5)+FMS_Ranking4[[#This Row],[FMS_Type Score Weighted]]</f>
        <v>42.708529270015653</v>
      </c>
      <c r="BN81" s="205">
        <f>_xlfn.RANK.EQ(FMS_Ranking4[[#This Row],[Total Score (with ArcSinh normalization of select criteria)]],FMS_Ranking4[Total Score (with ArcSinh normalization of select criteria)],0)</f>
        <v>74</v>
      </c>
      <c r="BO81" s="270" t="str">
        <f>_xlfn.XLOOKUP(FMS_Ranking4[[#This Row],[FMS ID]],FMS_Input[FMS_ID],FMS_Input[FMS_RANK_YEAR])</f>
        <v>2023 Amended Plan</v>
      </c>
      <c r="BP81" s="204">
        <f>_xlfn.XLOOKUP(FMS_Ranking4[[#This Row],[FMS ID]],Prev_Rank[FMS ID],Prev_Rank[Prev Rank])</f>
        <v>61</v>
      </c>
      <c r="BQ81" s="205" t="e">
        <f>_xlfn.XLOOKUP(FMS_Ranking4[[#This Row],[FMS ID]],#REF!,#REF!)</f>
        <v>#REF!</v>
      </c>
      <c r="BR81" s="199" t="e">
        <f>SUM(#REF!,#REF!,#REF!,#REF!,#REF!,#REF!,#REF!,#REF!,#REF!,FMS_Ranking4[[#This Row],[ArcSinh Res struct removed 0-10]],#REF!)</f>
        <v>#REF!</v>
      </c>
      <c r="BS81" s="199" t="e">
        <f>FMS_Ranking4[[#This Row],[Log Score Based on Normalized Reported Factors]]+FMS_Ranking4[[#This Row],[% NBS Score (Normalized)]]+(FMS_Ranking4[[#This Row],[Water Supply Score (Normalized)]]*10*$BB$5)+(FMS_Ranking4[[#This Row],[FMS_Type Score Weighted]])</f>
        <v>#REF!</v>
      </c>
      <c r="BT81" s="200" t="e">
        <f>_xlfn.RANK.EQ(FMS_Ranking4[[#This Row],[Log Total Score]],FMS_Ranking4[Log Total Score],0)</f>
        <v>#REF!</v>
      </c>
      <c r="BU81" s="200" t="e">
        <f>_xlfn.XLOOKUP(FMS_Ranking4[[#This Row],[FMS ID]],#REF!,#REF!)</f>
        <v>#REF!</v>
      </c>
      <c r="BV81" s="200">
        <f>FMS_Ranking4[[#This Row],[Region Number]]</f>
        <v>4</v>
      </c>
      <c r="BW81" s="200">
        <f>FMS_Ranking4[[#This Row],[Rank (with ArcSinh normalization of select criteria)]]-FMS_Ranking4[[#This Row],[Rank
(with linear
normalization)]]</f>
        <v>-35</v>
      </c>
      <c r="BX81" s="200" t="e">
        <f>FMS_Ranking4[[#This Row],[Log Rank]]-FMS_Ranking4[[#This Row],[Rank
(with linear
normalization)]]</f>
        <v>#REF!</v>
      </c>
      <c r="BY81" s="200" t="str">
        <f>IF(FMS_Ranking4[[#This Row],[FMS Type]]="Flood Measurement and Warning",FMS_Ranking4[[#This Row],[Rank (with ArcSinh normalization of select criteria)]],"")</f>
        <v/>
      </c>
      <c r="BZ81" s="200">
        <f>IF(FMS_Ranking4[[#This Row],[FMS Type]]="Regulatory and Guidance",FMS_Ranking4[[#This Row],[Rank (with ArcSinh normalization of select criteria)]],"")</f>
        <v>74</v>
      </c>
      <c r="CA81" s="200" t="str">
        <f>IF(FMS_Ranking4[[#This Row],[FMS Type]]="Education and Outreach",FMS_Ranking4[[#This Row],[Rank (with ArcSinh normalization of select criteria)]],"")</f>
        <v/>
      </c>
      <c r="CB81" s="200" t="str">
        <f>IF(FMS_Ranking4[[#This Row],[FMS Type]]="Property Acquisition and Structural Elevation",FMS_Ranking4[[#This Row],[Rank (with ArcSinh normalization of select criteria)]],"")</f>
        <v/>
      </c>
      <c r="CC81" s="200" t="str">
        <f>IF(FMS_Ranking4[[#This Row],[FMS Type]]="Infrastructure Projects",FMS_Ranking4[[#This Row],[Rank (with ArcSinh normalization of select criteria)]],"")</f>
        <v/>
      </c>
      <c r="CD81" s="200" t="str">
        <f>IF(FMS_Ranking4[[#This Row],[FMS Type]]="Other",FMS_Ranking4[[#This Row],[Rank (with ArcSinh normalization of select criteria)]],"")</f>
        <v/>
      </c>
      <c r="CE81" s="201"/>
    </row>
    <row r="82" spans="2:83" ht="45" x14ac:dyDescent="0.25">
      <c r="B82" s="341" t="s">
        <v>2457</v>
      </c>
      <c r="C82" s="246">
        <f>_xlfn.XLOOKUP(FMS_Ranking4[[#This Row],[FMS ID]],FMS_Input[FMS_ID],FMS_Input[RFPG_NUM])</f>
        <v>3</v>
      </c>
      <c r="D82" s="309" t="str">
        <f>_xlfn.XLOOKUP(FMS_Ranking4[[#This Row],[FMS ID]],FMS_Input[FMS_ID],FMS_Input[FMS_NAME])</f>
        <v>City of Dallas Buyout of Repetitive Loss Properties</v>
      </c>
      <c r="E82" s="308" t="str">
        <f>_xlfn.XLOOKUP(FMS_Ranking4[[#This Row],[FMS ID]],FMS_Input[FMS_ID],FMS_Input[SPONSOR])</f>
        <v>Dallas</v>
      </c>
      <c r="F82" s="309" t="str">
        <f>_xlfn.XLOOKUP(FMS_Ranking4[[#This Row],[FMS ID]],Sponsor[FMS_ID],Sponsor[SPONSOR NAME])</f>
        <v>Dallas</v>
      </c>
      <c r="G82" s="309" t="str">
        <f>_xlfn.XLOOKUP(FMS_Ranking4[[#This Row],[FMS ID]],FMS_Input[FMS_ID],FMS_Input[FMS_DESCR])</f>
        <v>Develop a buyout program for repetitive loss properties within the city.</v>
      </c>
      <c r="H82" s="248" t="str">
        <f>_xlfn.XLOOKUP(FMS_Ranking4[[#This Row],[FMS ID]],FMS_Input[FMS_ID],FMS_Input[FMS_TYPE])</f>
        <v>Regulatory and Guidance</v>
      </c>
      <c r="I82" s="249">
        <f>_xlfn.XLOOKUP(FMS_Ranking4[[#This Row],[FMS ID]],FMS_Input[FMS_ID],FMS_Input[NRNC_COST])</f>
        <v>5000000</v>
      </c>
      <c r="J82" s="250">
        <f>_xlfn.XLOOKUP(FMS_Ranking4[[#This Row],[FMS ID]],FMS_Input[FMS_ID],FMS_Input[FMS_COST])</f>
        <v>50000000</v>
      </c>
      <c r="K82" s="251" t="str">
        <f>_xlfn.XLOOKUP(FMS_Ranking4[[#This Row],[FMS ID]],FMS_Input[FMS_ID],FMS_Input[EMER_NEED])</f>
        <v>No</v>
      </c>
      <c r="L82" s="252">
        <f t="shared" si="1"/>
        <v>0</v>
      </c>
      <c r="M82" s="253">
        <f>_xlfn.XLOOKUP(FMS_Ranking4[[#This Row],[FMS ID]],FMS_Input[FMS_ID],FMS_Input[STRUCT_100])</f>
        <v>11792</v>
      </c>
      <c r="N82" s="255">
        <f>(ASINH(FMS_Ranking4[[#This Row],[Structure at Risk Raw]]))*(10)/(ASINH(M$4))</f>
        <v>7.915201612758195</v>
      </c>
      <c r="O82" s="256">
        <f>FMS_Ranking4[[#This Row],[Structures at risk, ArcSinh (0-10)]]*M$5*10</f>
        <v>7.9152016127581959</v>
      </c>
      <c r="P82" s="253">
        <f>_xlfn.XLOOKUP(FMS_Ranking4[[#This Row],[FMS ID]],FMS_Input[FMS_ID],FMS_Input[RES_STRUCT100])</f>
        <v>10753</v>
      </c>
      <c r="Q82" s="257">
        <f>ASINH(FMS_Ranking4[[#This Row],[Res Structure Raw]])/Q$4*P$5*100</f>
        <v>0</v>
      </c>
      <c r="R82" s="253">
        <f>_xlfn.XLOOKUP(FMS_Ranking4[[#This Row],[FMS ID]],FMS_Input[FMS_ID],FMS_Input[POP100])</f>
        <v>52776</v>
      </c>
      <c r="S82" s="259">
        <f>(ASINH(FMS_Ranking4[[#This Row],[Pop at Risk Raw]]))*(10)/(ASINH(R$4))</f>
        <v>7.9853452031953305</v>
      </c>
      <c r="T82" s="256">
        <f>FMS_Ranking4[[#This Row],[Population at risk, ArcSinh (0-10)]]*R$5*10</f>
        <v>7.9853452031953314</v>
      </c>
      <c r="U82" s="253">
        <f>_xlfn.XLOOKUP(FMS_Ranking4[[#This Row],[FMS ID]],FMS_Input[FMS_ID],FMS_Input[CRITFAC100])</f>
        <v>64</v>
      </c>
      <c r="V82" s="259">
        <f>(ASINH(FMS_Ranking4[[#This Row],[Critical Facilities Raw]]))*(10)/(ASINH(U$4))</f>
        <v>5.7437316710953192</v>
      </c>
      <c r="W82" s="256">
        <f>FMS_Ranking4[[#This Row],[Critical facilities at risk, ArcSinh (0-10)]]*U$5*10</f>
        <v>5.7437316710953192</v>
      </c>
      <c r="X82" s="253">
        <f>_xlfn.XLOOKUP(FMS_Ranking4[[#This Row],[FMS ID]],FMS_Input[FMS_ID],FMS_Input[LWC])</f>
        <v>299</v>
      </c>
      <c r="Y82" s="259">
        <f>(ASINH(FMS_Ranking4[[#This Row],[LWC Raw]]))*(10)/(ASINH(X$4))</f>
        <v>8.6616427197078458</v>
      </c>
      <c r="Z82" s="256">
        <f>FMS_Ranking4[[#This Row],[LWC, ArcSInh (0-10)]]*X$5*10</f>
        <v>8.6616427197078458</v>
      </c>
      <c r="AA82" s="253">
        <f>_xlfn.XLOOKUP(FMS_Ranking4[[#This Row],[FMS ID]],FMS_Input[FMS_ID],FMS_Input[ROADCLS])</f>
        <v>0</v>
      </c>
      <c r="AB82" s="255">
        <f>(ASINH(FMS_Ranking4[[#This Row],[Road Closures Raw]]))*(10)/(ASINH(AA$4))</f>
        <v>0</v>
      </c>
      <c r="AC82" s="256">
        <f>FMS_Ranking4[[#This Row],[Road closures, ArcSinh (0-10)]]*AA$5*10</f>
        <v>0</v>
      </c>
      <c r="AD82" s="253">
        <f>_xlfn.XLOOKUP(FMS_Ranking4[[#This Row],[FMS ID]],FMS_Input[FMS_ID],FMS_Input[ROAD_MILES100])</f>
        <v>444</v>
      </c>
      <c r="AE82" s="259">
        <f>(ASINH(FMS_Ranking4[[#This Row],[Road Miles Raw]]))*(10)/(ASINH(AD$4))</f>
        <v>7.2351774188257272</v>
      </c>
      <c r="AF82" s="256">
        <f>FMS_Ranking4[[#This Row],[Length of roads at risk, ArcSinh (0-10)]]*AD$5*10</f>
        <v>7.2351774188257281</v>
      </c>
      <c r="AG82" s="253">
        <f>_xlfn.XLOOKUP(FMS_Ranking4[[#This Row],[FMS ID]],FMS_Input[FMS_ID],FMS_Input[FARMACRE100])</f>
        <v>7391.4931640625</v>
      </c>
      <c r="AH82" s="255">
        <f>(ASINH(FMS_Ranking4[[#This Row],[Ag Land Raw]]))*(10)/(ASINH(AG$4))</f>
        <v>6.2367825396172192</v>
      </c>
      <c r="AI82" s="260">
        <f>FMS_Ranking4[[#This Row],[Farm &amp; ranch land, ArcSinh (0-10)]]*AG$5*10</f>
        <v>3.1183912698086096</v>
      </c>
      <c r="AJ82" s="258">
        <f>_xlfn.XLOOKUP(FMS_Ranking4[[#This Row],[FMS ID]],FMS_Input[FMS_ID],FMS_Input[REDSTRUCT100])</f>
        <v>0</v>
      </c>
      <c r="AK82" s="253">
        <f>_xlfn.XLOOKUP(FMS_Ranking4[[#This Row],[FMS ID]],FMS_Input[FMS_ID],FMS_Input[REMSTRC100])</f>
        <v>0</v>
      </c>
      <c r="AL82" s="259">
        <f>(ASINH(FMS_Ranking4[[#This Row],[Structures Removed Raw]]))*(10)/(ASINH(AK$4))</f>
        <v>0</v>
      </c>
      <c r="AM82" s="262">
        <f>FMS_Ranking4[[#This Row],[Structures removed, ArcSinh (0-10)]]*AK$5*10</f>
        <v>0</v>
      </c>
      <c r="AN82" s="253">
        <f>_xlfn.XLOOKUP(FMS_Ranking4[[#This Row],[FMS ID]],FMS_Input[FMS_ID],FMS_Input[REMRESSTRC100])</f>
        <v>0</v>
      </c>
      <c r="AO82" s="261">
        <f>FMS_Ranking4[[#This Row],[ArcSinh Res struct removed 0-10]]*AN$5*10</f>
        <v>0</v>
      </c>
      <c r="AP82" s="260">
        <f>ASINH(FMS_Ranking4[[#This Row],[Residential Structures Removed Raw]])/AP$4*AN$5*100</f>
        <v>0</v>
      </c>
      <c r="AQ82" s="254">
        <f>(ASINH(FMS_Ranking4[[#This Row],[Residential Structures Removed Raw]]))*(10)/(ASINH(AN$4))</f>
        <v>0</v>
      </c>
      <c r="AR82" s="253">
        <f>_xlfn.XLOOKUP(FMS_Ranking4[[#This Row],[FMS ID]],FMS_Input[FMS_ID],FMS_Input[REMPOP100])</f>
        <v>0</v>
      </c>
      <c r="AS82" s="259">
        <f>(ASINH(FMS_Ranking4[[#This Row],[Removed Pop Raw]]))*(10)/(ASINH(AR$4))</f>
        <v>0</v>
      </c>
      <c r="AT82" s="262">
        <f>FMS_Ranking4[[#This Row],[Removed population, ArcSinh (0-10)]]*AR$5*10</f>
        <v>0</v>
      </c>
      <c r="AU82" s="264">
        <f>_xlfn.XLOOKUP(FMS_Ranking4[[#This Row],[FMS ID]],FMS_Input[FMS_ID],FMS_Input[REMCRITFAC100])</f>
        <v>0</v>
      </c>
      <c r="AV82" s="264">
        <f>_xlfn.XLOOKUP(FMS_Ranking4[[#This Row],[FMS ID]],FMS_Input[FMS_ID],FMS_Input[REMLWC100])</f>
        <v>0</v>
      </c>
      <c r="AW82" s="264">
        <f>_xlfn.XLOOKUP(FMS_Ranking4[[#This Row],[FMS ID]],FMS_Input[FMS_ID],FMS_Input[REMROADCLS])</f>
        <v>0</v>
      </c>
      <c r="AX82" s="264">
        <f>_xlfn.XLOOKUP(FMS_Ranking4[[#This Row],[FMS ID]],FMS_Input[FMS_ID],FMS_Input[REMFRMACRE100])</f>
        <v>0</v>
      </c>
      <c r="AY82" s="258">
        <f>_xlfn.XLOOKUP(FMS_Ranking4[[#This Row],[FMS ID]],FMS_Input[FMS_ID],FMS_Input[COSTSTRUCT])</f>
        <v>0</v>
      </c>
      <c r="AZ82" s="253">
        <f>_xlfn.XLOOKUP(FMS_Ranking4[[#This Row],[FMS ID]],FMS_Input[FMS_ID],FMS_Input[NATURE])</f>
        <v>0</v>
      </c>
      <c r="BA82" s="262">
        <f>(((FMS_Ranking4[[#This Row],[% NBS Raw]]/AZ$4)*100)*AZ$5)</f>
        <v>0</v>
      </c>
      <c r="BB82" s="251" t="str">
        <f>_xlfn.XLOOKUP(FMS_Ranking4[[#This Row],[FMS ID]],FMS_Input[FMS_ID],FMS_Input[WATER_SUP])</f>
        <v>No</v>
      </c>
      <c r="BC82" s="265">
        <f>IF(FMS_Ranking4[[#This Row],[Water Supply Raw]]="Yes",10,0)</f>
        <v>0</v>
      </c>
      <c r="BD82" s="266">
        <f>_xlfn.XLOOKUP(FMS_Ranking4[[#This Row],[FMS Type]],FMS_TYPE[FMS_Type],FMS_TYPE[Score])</f>
        <v>8</v>
      </c>
      <c r="BE82" s="267">
        <f>FMS_Ranking4[[#This Row],[FMS_Type Score]]*$BD$5*10</f>
        <v>2</v>
      </c>
      <c r="BF8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6.0056208464975791</v>
      </c>
      <c r="BG82" s="271">
        <f>_xlfn.RANK.EQ(BF82,$BF$8:$BF$870,0)+COUNTIF($BF$8:BF82,BF82)-1</f>
        <v>56</v>
      </c>
      <c r="BH82" s="268">
        <f>(((FMS_Ranking4[[#This Row],[Structures Removed Raw]]/AK$4)*100)*AK$5)+(((FMS_Ranking4[[#This Row],[Removed Pop Raw]]/AR$4)*100)*AR$5)</f>
        <v>0</v>
      </c>
      <c r="BI8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8.0056208464975782</v>
      </c>
      <c r="BJ82" s="205">
        <f>_xlfn.RANK.EQ(FMS_Ranking4[[#This Row],[Total Score 
(with linear
normalization)]],FMS_Ranking4[Total Score 
(with linear
normalization)],0)</f>
        <v>88</v>
      </c>
      <c r="BK82" s="205" t="e">
        <f>_xlfn.XLOOKUP(FMS_Ranking4[[#This Row],[FMS ID]],#REF!,#REF!)</f>
        <v>#REF!</v>
      </c>
      <c r="BL8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40.659489895391033</v>
      </c>
      <c r="BM82" s="272">
        <f>FMS_Ranking4[[#This Row],[ArcSinh Score Based on Normalized Reported Factors]]+FMS_Ranking4[[#This Row],[% NBS Score (Normalized)]]+(FMS_Ranking4[[#This Row],[Water Supply Score (Normalized)]]*10*$BB$5)+FMS_Ranking4[[#This Row],[FMS_Type Score Weighted]]</f>
        <v>42.659489895391033</v>
      </c>
      <c r="BN82" s="205">
        <f>_xlfn.RANK.EQ(FMS_Ranking4[[#This Row],[Total Score (with ArcSinh normalization of select criteria)]],FMS_Ranking4[Total Score (with ArcSinh normalization of select criteria)],0)</f>
        <v>75</v>
      </c>
      <c r="BO82" s="270" t="str">
        <f>_xlfn.XLOOKUP(FMS_Ranking4[[#This Row],[FMS ID]],FMS_Input[FMS_ID],FMS_Input[FMS_RANK_YEAR])</f>
        <v>2023 Amended Plan</v>
      </c>
      <c r="BP82" s="204">
        <f>_xlfn.XLOOKUP(FMS_Ranking4[[#This Row],[FMS ID]],Prev_Rank[FMS ID],Prev_Rank[Prev Rank])</f>
        <v>60</v>
      </c>
      <c r="BQ82" s="205" t="e">
        <f>_xlfn.XLOOKUP(FMS_Ranking4[[#This Row],[FMS ID]],#REF!,#REF!)</f>
        <v>#REF!</v>
      </c>
      <c r="BR82" s="199" t="e">
        <f>SUM(#REF!,#REF!,#REF!,#REF!,#REF!,#REF!,#REF!,#REF!,#REF!,FMS_Ranking4[[#This Row],[ArcSinh Res struct removed 0-10]],#REF!)</f>
        <v>#REF!</v>
      </c>
      <c r="BS82" s="199" t="e">
        <f>FMS_Ranking4[[#This Row],[Log Score Based on Normalized Reported Factors]]+FMS_Ranking4[[#This Row],[% NBS Score (Normalized)]]+(FMS_Ranking4[[#This Row],[Water Supply Score (Normalized)]]*10*$BB$5)+(FMS_Ranking4[[#This Row],[FMS_Type Score Weighted]])</f>
        <v>#REF!</v>
      </c>
      <c r="BT82" s="200" t="e">
        <f>_xlfn.RANK.EQ(FMS_Ranking4[[#This Row],[Log Total Score]],FMS_Ranking4[Log Total Score],0)</f>
        <v>#REF!</v>
      </c>
      <c r="BU82" s="200" t="e">
        <f>_xlfn.XLOOKUP(FMS_Ranking4[[#This Row],[FMS ID]],#REF!,#REF!)</f>
        <v>#REF!</v>
      </c>
      <c r="BV82" s="200">
        <f>FMS_Ranking4[[#This Row],[Region Number]]</f>
        <v>3</v>
      </c>
      <c r="BW82" s="200">
        <f>FMS_Ranking4[[#This Row],[Rank (with ArcSinh normalization of select criteria)]]-FMS_Ranking4[[#This Row],[Rank
(with linear
normalization)]]</f>
        <v>-13</v>
      </c>
      <c r="BX82" s="200" t="e">
        <f>FMS_Ranking4[[#This Row],[Log Rank]]-FMS_Ranking4[[#This Row],[Rank
(with linear
normalization)]]</f>
        <v>#REF!</v>
      </c>
      <c r="BY82" s="200" t="str">
        <f>IF(FMS_Ranking4[[#This Row],[FMS Type]]="Flood Measurement and Warning",FMS_Ranking4[[#This Row],[Rank (with ArcSinh normalization of select criteria)]],"")</f>
        <v/>
      </c>
      <c r="BZ82" s="200">
        <f>IF(FMS_Ranking4[[#This Row],[FMS Type]]="Regulatory and Guidance",FMS_Ranking4[[#This Row],[Rank (with ArcSinh normalization of select criteria)]],"")</f>
        <v>75</v>
      </c>
      <c r="CA82" s="200" t="str">
        <f>IF(FMS_Ranking4[[#This Row],[FMS Type]]="Education and Outreach",FMS_Ranking4[[#This Row],[Rank (with ArcSinh normalization of select criteria)]],"")</f>
        <v/>
      </c>
      <c r="CB82" s="200" t="str">
        <f>IF(FMS_Ranking4[[#This Row],[FMS Type]]="Property Acquisition and Structural Elevation",FMS_Ranking4[[#This Row],[Rank (with ArcSinh normalization of select criteria)]],"")</f>
        <v/>
      </c>
      <c r="CC82" s="200" t="str">
        <f>IF(FMS_Ranking4[[#This Row],[FMS Type]]="Infrastructure Projects",FMS_Ranking4[[#This Row],[Rank (with ArcSinh normalization of select criteria)]],"")</f>
        <v/>
      </c>
      <c r="CD82" s="200" t="str">
        <f>IF(FMS_Ranking4[[#This Row],[FMS Type]]="Other",FMS_Ranking4[[#This Row],[Rank (with ArcSinh normalization of select criteria)]],"")</f>
        <v/>
      </c>
      <c r="CE82" s="201"/>
    </row>
    <row r="83" spans="2:83" ht="75" x14ac:dyDescent="0.25">
      <c r="B83" s="341" t="s">
        <v>1802</v>
      </c>
      <c r="C83" s="246">
        <f>_xlfn.XLOOKUP(FMS_Ranking4[[#This Row],[FMS ID]],FMS_Input[FMS_ID],FMS_Input[RFPG_NUM])</f>
        <v>3</v>
      </c>
      <c r="D83" s="309" t="str">
        <f>_xlfn.XLOOKUP(FMS_Ranking4[[#This Row],[FMS ID]],FMS_Input[FMS_ID],FMS_Input[FMS_NAME])</f>
        <v xml:space="preserve">Cooke County Acquisition of Repetitive Loss and Damaged Properties </v>
      </c>
      <c r="E83" s="308" t="str">
        <f>_xlfn.XLOOKUP(FMS_Ranking4[[#This Row],[FMS ID]],FMS_Input[FMS_ID],FMS_Input[SPONSOR])</f>
        <v>Cooke County</v>
      </c>
      <c r="F83" s="309" t="str">
        <f>_xlfn.XLOOKUP(FMS_Ranking4[[#This Row],[FMS ID]],Sponsor[FMS_ID],Sponsor[SPONSOR NAME])</f>
        <v>Cooke County</v>
      </c>
      <c r="G83" s="309" t="str">
        <f>_xlfn.XLOOKUP(FMS_Ranking4[[#This Row],[FMS ID]],FMS_Input[FMS_ID],FMS_Input[FMS_DESCR])</f>
        <v>Purchase and removal of damaged homes that are located in the floodplain. Buyout of repetitive flood loss properties in the Wilson Court area.</v>
      </c>
      <c r="H83" s="248" t="str">
        <f>_xlfn.XLOOKUP(FMS_Ranking4[[#This Row],[FMS ID]],FMS_Input[FMS_ID],FMS_Input[FMS_TYPE])</f>
        <v>Property Acquisition and Structural Elevation</v>
      </c>
      <c r="I83" s="249">
        <f>_xlfn.XLOOKUP(FMS_Ranking4[[#This Row],[FMS ID]],FMS_Input[FMS_ID],FMS_Input[NRNC_COST])</f>
        <v>500000</v>
      </c>
      <c r="J83" s="250">
        <f>_xlfn.XLOOKUP(FMS_Ranking4[[#This Row],[FMS ID]],FMS_Input[FMS_ID],FMS_Input[FMS_COST])</f>
        <v>5000000</v>
      </c>
      <c r="K83" s="251" t="str">
        <f>_xlfn.XLOOKUP(FMS_Ranking4[[#This Row],[FMS ID]],FMS_Input[FMS_ID],FMS_Input[EMER_NEED])</f>
        <v>No</v>
      </c>
      <c r="L83" s="252">
        <f t="shared" si="1"/>
        <v>0</v>
      </c>
      <c r="M83" s="253">
        <f>_xlfn.XLOOKUP(FMS_Ranking4[[#This Row],[FMS ID]],FMS_Input[FMS_ID],FMS_Input[STRUCT_100])</f>
        <v>1328</v>
      </c>
      <c r="N83" s="255">
        <f>(ASINH(FMS_Ranking4[[#This Row],[Structure at Risk Raw]]))*(10)/(ASINH(M$4))</f>
        <v>6.1984512113661445</v>
      </c>
      <c r="O83" s="256">
        <f>FMS_Ranking4[[#This Row],[Structures at risk, ArcSinh (0-10)]]*M$5*10</f>
        <v>6.1984512113661445</v>
      </c>
      <c r="P83" s="253">
        <f>_xlfn.XLOOKUP(FMS_Ranking4[[#This Row],[FMS ID]],FMS_Input[FMS_ID],FMS_Input[RES_STRUCT100])</f>
        <v>964</v>
      </c>
      <c r="Q83" s="257">
        <f>ASINH(FMS_Ranking4[[#This Row],[Res Structure Raw]])/Q$4*P$5*100</f>
        <v>0</v>
      </c>
      <c r="R83" s="253">
        <f>_xlfn.XLOOKUP(FMS_Ranking4[[#This Row],[FMS ID]],FMS_Input[FMS_ID],FMS_Input[POP100])</f>
        <v>1528</v>
      </c>
      <c r="S83" s="259">
        <f>(ASINH(FMS_Ranking4[[#This Row],[Pop at Risk Raw]]))*(10)/(ASINH(R$4))</f>
        <v>5.5400296071364963</v>
      </c>
      <c r="T83" s="256">
        <f>FMS_Ranking4[[#This Row],[Population at risk, ArcSinh (0-10)]]*R$5*10</f>
        <v>5.5400296071364963</v>
      </c>
      <c r="U83" s="253">
        <f>_xlfn.XLOOKUP(FMS_Ranking4[[#This Row],[FMS ID]],FMS_Input[FMS_ID],FMS_Input[CRITFAC100])</f>
        <v>6</v>
      </c>
      <c r="V83" s="259">
        <f>(ASINH(FMS_Ranking4[[#This Row],[Critical Facilities Raw]]))*(10)/(ASINH(U$4))</f>
        <v>2.9496796311809068</v>
      </c>
      <c r="W83" s="256">
        <f>FMS_Ranking4[[#This Row],[Critical facilities at risk, ArcSinh (0-10)]]*U$5*10</f>
        <v>2.9496796311809073</v>
      </c>
      <c r="X83" s="253">
        <f>_xlfn.XLOOKUP(FMS_Ranking4[[#This Row],[FMS ID]],FMS_Input[FMS_ID],FMS_Input[LWC])</f>
        <v>32</v>
      </c>
      <c r="Y83" s="259">
        <f>(ASINH(FMS_Ranking4[[#This Row],[LWC Raw]]))*(10)/(ASINH(X$4))</f>
        <v>5.6345266527186313</v>
      </c>
      <c r="Z83" s="256">
        <f>FMS_Ranking4[[#This Row],[LWC, ArcSInh (0-10)]]*X$5*10</f>
        <v>5.6345266527186313</v>
      </c>
      <c r="AA83" s="253">
        <f>_xlfn.XLOOKUP(FMS_Ranking4[[#This Row],[FMS ID]],FMS_Input[FMS_ID],FMS_Input[ROADCLS])</f>
        <v>0</v>
      </c>
      <c r="AB83" s="255">
        <f>(ASINH(FMS_Ranking4[[#This Row],[Road Closures Raw]]))*(10)/(ASINH(AA$4))</f>
        <v>0</v>
      </c>
      <c r="AC83" s="256">
        <f>FMS_Ranking4[[#This Row],[Road closures, ArcSinh (0-10)]]*AA$5*10</f>
        <v>0</v>
      </c>
      <c r="AD83" s="253">
        <f>_xlfn.XLOOKUP(FMS_Ranking4[[#This Row],[FMS ID]],FMS_Input[FMS_ID],FMS_Input[ROAD_MILES100])</f>
        <v>81</v>
      </c>
      <c r="AE83" s="259">
        <f>(ASINH(FMS_Ranking4[[#This Row],[Road Miles Raw]]))*(10)/(ASINH(AD$4))</f>
        <v>5.4220185782716328</v>
      </c>
      <c r="AF83" s="256">
        <f>FMS_Ranking4[[#This Row],[Length of roads at risk, ArcSinh (0-10)]]*AD$5*10</f>
        <v>5.4220185782716337</v>
      </c>
      <c r="AG83" s="253">
        <f>_xlfn.XLOOKUP(FMS_Ranking4[[#This Row],[FMS ID]],FMS_Input[FMS_ID],FMS_Input[FARMACRE100])</f>
        <v>40878.87109375</v>
      </c>
      <c r="AH83" s="255">
        <f>(ASINH(FMS_Ranking4[[#This Row],[Ag Land Raw]]))*(10)/(ASINH(AG$4))</f>
        <v>7.3477510471065095</v>
      </c>
      <c r="AI83" s="260">
        <f>FMS_Ranking4[[#This Row],[Farm &amp; ranch land, ArcSinh (0-10)]]*AG$5*10</f>
        <v>3.6738755235532548</v>
      </c>
      <c r="AJ83" s="258">
        <f>_xlfn.XLOOKUP(FMS_Ranking4[[#This Row],[FMS ID]],FMS_Input[FMS_ID],FMS_Input[REDSTRUCT100])</f>
        <v>0</v>
      </c>
      <c r="AK83" s="253">
        <f>_xlfn.XLOOKUP(FMS_Ranking4[[#This Row],[FMS ID]],FMS_Input[FMS_ID],FMS_Input[REMSTRC100])</f>
        <v>30</v>
      </c>
      <c r="AL83" s="259">
        <f>(ASINH(FMS_Ranking4[[#This Row],[Structures Removed Raw]]))*(10)/(ASINH(AK$4))</f>
        <v>4.6620196791138548</v>
      </c>
      <c r="AM83" s="262">
        <f>FMS_Ranking4[[#This Row],[Structures removed, ArcSinh (0-10)]]*AK$5*10</f>
        <v>4.6620196791138548</v>
      </c>
      <c r="AN83" s="253">
        <f>_xlfn.XLOOKUP(FMS_Ranking4[[#This Row],[FMS ID]],FMS_Input[FMS_ID],FMS_Input[REMRESSTRC100])</f>
        <v>30</v>
      </c>
      <c r="AO83" s="261">
        <f>FMS_Ranking4[[#This Row],[ArcSinh Res struct removed 0-10]]*AN$5*10</f>
        <v>2.4016043059619037</v>
      </c>
      <c r="AP83" s="260">
        <f>ASINH(FMS_Ranking4[[#This Row],[Residential Structures Removed Raw]])/AP$4*AN$5*100</f>
        <v>2.4016043059619037</v>
      </c>
      <c r="AQ83" s="254">
        <f>(ASINH(FMS_Ranking4[[#This Row],[Residential Structures Removed Raw]]))*(10)/(ASINH(AN$4))</f>
        <v>4.8032086119238073</v>
      </c>
      <c r="AR83" s="253">
        <f>_xlfn.XLOOKUP(FMS_Ranking4[[#This Row],[FMS ID]],FMS_Input[FMS_ID],FMS_Input[REMPOP100])</f>
        <v>90</v>
      </c>
      <c r="AS83" s="259">
        <f>(ASINH(FMS_Ranking4[[#This Row],[Removed Pop Raw]]))*(10)/(ASINH(AR$4))</f>
        <v>5.0975428989358438</v>
      </c>
      <c r="AT83" s="262">
        <f>FMS_Ranking4[[#This Row],[Removed population, ArcSinh (0-10)]]*AR$5*10</f>
        <v>5.0975428989358438</v>
      </c>
      <c r="AU83" s="264">
        <f>_xlfn.XLOOKUP(FMS_Ranking4[[#This Row],[FMS ID]],FMS_Input[FMS_ID],FMS_Input[REMCRITFAC100])</f>
        <v>0</v>
      </c>
      <c r="AV83" s="264">
        <f>_xlfn.XLOOKUP(FMS_Ranking4[[#This Row],[FMS ID]],FMS_Input[FMS_ID],FMS_Input[REMLWC100])</f>
        <v>0</v>
      </c>
      <c r="AW83" s="264">
        <f>_xlfn.XLOOKUP(FMS_Ranking4[[#This Row],[FMS ID]],FMS_Input[FMS_ID],FMS_Input[REMROADCLS])</f>
        <v>0</v>
      </c>
      <c r="AX83" s="264">
        <f>_xlfn.XLOOKUP(FMS_Ranking4[[#This Row],[FMS ID]],FMS_Input[FMS_ID],FMS_Input[REMFRMACRE100])</f>
        <v>0</v>
      </c>
      <c r="AY83" s="258">
        <f>_xlfn.XLOOKUP(FMS_Ranking4[[#This Row],[FMS ID]],FMS_Input[FMS_ID],FMS_Input[COSTSTRUCT])</f>
        <v>167000</v>
      </c>
      <c r="AZ83" s="253">
        <f>_xlfn.XLOOKUP(FMS_Ranking4[[#This Row],[FMS ID]],FMS_Input[FMS_ID],FMS_Input[NATURE])</f>
        <v>0</v>
      </c>
      <c r="BA83" s="262">
        <f>(((FMS_Ranking4[[#This Row],[% NBS Raw]]/AZ$4)*100)*AZ$5)</f>
        <v>0</v>
      </c>
      <c r="BB83" s="251" t="str">
        <f>_xlfn.XLOOKUP(FMS_Ranking4[[#This Row],[FMS ID]],FMS_Input[FMS_ID],FMS_Input[WATER_SUP])</f>
        <v>No</v>
      </c>
      <c r="BC83" s="265">
        <f>IF(FMS_Ranking4[[#This Row],[Water Supply Raw]]="Yes",10,0)</f>
        <v>0</v>
      </c>
      <c r="BD83" s="266">
        <f>_xlfn.XLOOKUP(FMS_Ranking4[[#This Row],[FMS Type]],FMS_TYPE[FMS_Type],FMS_TYPE[Score])</f>
        <v>4</v>
      </c>
      <c r="BE83" s="267">
        <f>FMS_Ranking4[[#This Row],[FMS_Type Score]]*$BD$5*10</f>
        <v>1</v>
      </c>
      <c r="BF8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0.73984613035269642</v>
      </c>
      <c r="BG83" s="271">
        <f>_xlfn.RANK.EQ(BF83,$BF$8:$BF$870,0)+COUNTIF($BF$8:BF83,BF83)-1</f>
        <v>181</v>
      </c>
      <c r="BH83" s="268">
        <f>(((FMS_Ranking4[[#This Row],[Structures Removed Raw]]/AK$4)*100)*AK$5)+(((FMS_Ranking4[[#This Row],[Removed Pop Raw]]/AR$4)*100)*AR$5)</f>
        <v>0.15976230162449251</v>
      </c>
      <c r="BI8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1.8996084319771889</v>
      </c>
      <c r="BJ83" s="205">
        <f>_xlfn.RANK.EQ(FMS_Ranking4[[#This Row],[Total Score 
(with linear
normalization)]],FMS_Ranking4[Total Score 
(with linear
normalization)],0)</f>
        <v>528</v>
      </c>
      <c r="BK83" s="205" t="e">
        <f>_xlfn.XLOOKUP(FMS_Ranking4[[#This Row],[FMS ID]],#REF!,#REF!)</f>
        <v>#REF!</v>
      </c>
      <c r="BL8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41.579748088238667</v>
      </c>
      <c r="BM83" s="272">
        <f>FMS_Ranking4[[#This Row],[ArcSinh Score Based on Normalized Reported Factors]]+FMS_Ranking4[[#This Row],[% NBS Score (Normalized)]]+(FMS_Ranking4[[#This Row],[Water Supply Score (Normalized)]]*10*$BB$5)+FMS_Ranking4[[#This Row],[FMS_Type Score Weighted]]</f>
        <v>42.579748088238667</v>
      </c>
      <c r="BN83" s="205">
        <f>_xlfn.RANK.EQ(FMS_Ranking4[[#This Row],[Total Score (with ArcSinh normalization of select criteria)]],FMS_Ranking4[Total Score (with ArcSinh normalization of select criteria)],0)</f>
        <v>76</v>
      </c>
      <c r="BO83" s="270" t="str">
        <f>_xlfn.XLOOKUP(FMS_Ranking4[[#This Row],[FMS ID]],FMS_Input[FMS_ID],FMS_Input[FMS_RANK_YEAR])</f>
        <v>2023 Amended Plan</v>
      </c>
      <c r="BP83" s="204">
        <f>_xlfn.XLOOKUP(FMS_Ranking4[[#This Row],[FMS ID]],Prev_Rank[FMS ID],Prev_Rank[Prev Rank])</f>
        <v>65</v>
      </c>
      <c r="BQ83" s="205" t="e">
        <f>_xlfn.XLOOKUP(FMS_Ranking4[[#This Row],[FMS ID]],#REF!,#REF!)</f>
        <v>#REF!</v>
      </c>
      <c r="BR83" s="199" t="e">
        <f>SUM(#REF!,#REF!,#REF!,#REF!,#REF!,#REF!,#REF!,#REF!,#REF!,FMS_Ranking4[[#This Row],[ArcSinh Res struct removed 0-10]],#REF!)</f>
        <v>#REF!</v>
      </c>
      <c r="BS83" s="199" t="e">
        <f>FMS_Ranking4[[#This Row],[Log Score Based on Normalized Reported Factors]]+FMS_Ranking4[[#This Row],[% NBS Score (Normalized)]]+(FMS_Ranking4[[#This Row],[Water Supply Score (Normalized)]]*10*$BB$5)+(FMS_Ranking4[[#This Row],[FMS_Type Score Weighted]])</f>
        <v>#REF!</v>
      </c>
      <c r="BT83" s="200" t="e">
        <f>_xlfn.RANK.EQ(FMS_Ranking4[[#This Row],[Log Total Score]],FMS_Ranking4[Log Total Score],0)</f>
        <v>#REF!</v>
      </c>
      <c r="BU83" s="200" t="e">
        <f>_xlfn.XLOOKUP(FMS_Ranking4[[#This Row],[FMS ID]],#REF!,#REF!)</f>
        <v>#REF!</v>
      </c>
      <c r="BV83" s="200">
        <f>FMS_Ranking4[[#This Row],[Region Number]]</f>
        <v>3</v>
      </c>
      <c r="BW83" s="200">
        <f>FMS_Ranking4[[#This Row],[Rank (with ArcSinh normalization of select criteria)]]-FMS_Ranking4[[#This Row],[Rank
(with linear
normalization)]]</f>
        <v>-452</v>
      </c>
      <c r="BX83" s="200" t="e">
        <f>FMS_Ranking4[[#This Row],[Log Rank]]-FMS_Ranking4[[#This Row],[Rank
(with linear
normalization)]]</f>
        <v>#REF!</v>
      </c>
      <c r="BY83" s="200" t="str">
        <f>IF(FMS_Ranking4[[#This Row],[FMS Type]]="Flood Measurement and Warning",FMS_Ranking4[[#This Row],[Rank (with ArcSinh normalization of select criteria)]],"")</f>
        <v/>
      </c>
      <c r="BZ83" s="200" t="str">
        <f>IF(FMS_Ranking4[[#This Row],[FMS Type]]="Regulatory and Guidance",FMS_Ranking4[[#This Row],[Rank (with ArcSinh normalization of select criteria)]],"")</f>
        <v/>
      </c>
      <c r="CA83" s="200" t="str">
        <f>IF(FMS_Ranking4[[#This Row],[FMS Type]]="Education and Outreach",FMS_Ranking4[[#This Row],[Rank (with ArcSinh normalization of select criteria)]],"")</f>
        <v/>
      </c>
      <c r="CB83" s="200">
        <f>IF(FMS_Ranking4[[#This Row],[FMS Type]]="Property Acquisition and Structural Elevation",FMS_Ranking4[[#This Row],[Rank (with ArcSinh normalization of select criteria)]],"")</f>
        <v>76</v>
      </c>
      <c r="CC83" s="200" t="str">
        <f>IF(FMS_Ranking4[[#This Row],[FMS Type]]="Infrastructure Projects",FMS_Ranking4[[#This Row],[Rank (with ArcSinh normalization of select criteria)]],"")</f>
        <v/>
      </c>
      <c r="CD83" s="200" t="str">
        <f>IF(FMS_Ranking4[[#This Row],[FMS Type]]="Other",FMS_Ranking4[[#This Row],[Rank (with ArcSinh normalization of select criteria)]],"")</f>
        <v/>
      </c>
      <c r="CE83" s="201"/>
    </row>
    <row r="84" spans="2:83" ht="105" x14ac:dyDescent="0.25">
      <c r="B84" s="341" t="s">
        <v>3493</v>
      </c>
      <c r="C84" s="246">
        <f>_xlfn.XLOOKUP(FMS_Ranking4[[#This Row],[FMS ID]],FMS_Input[FMS_ID],FMS_Input[RFPG_NUM])</f>
        <v>12</v>
      </c>
      <c r="D84" s="309" t="str">
        <f>_xlfn.XLOOKUP(FMS_Ranking4[[#This Row],[FMS ID]],FMS_Input[FMS_ID],FMS_Input[FMS_NAME])</f>
        <v>Development of a Streamscaping Program for Flood Risk Management in Texas</v>
      </c>
      <c r="E84" s="308" t="str">
        <f>_xlfn.XLOOKUP(FMS_Ranking4[[#This Row],[FMS ID]],FMS_Input[FMS_ID],FMS_Input[SPONSOR])</f>
        <v>00000282</v>
      </c>
      <c r="F84" s="309" t="str">
        <f>_xlfn.XLOOKUP(FMS_Ranking4[[#This Row],[FMS ID]],Sponsor[FMS_ID],Sponsor[SPONSOR NAME])</f>
        <v>San Antonio River Authority</v>
      </c>
      <c r="G84" s="309" t="str">
        <f>_xlfn.XLOOKUP(FMS_Ranking4[[#This Row],[FMS ID]],FMS_Input[FMS_ID],FMS_Input[FMS_DESCR])</f>
        <v>Increase the number of public outreach and education activities to improve awareness of flood hazards and benefits of flood planning in the Flood Planning Region. Promote nature-based solution training</v>
      </c>
      <c r="H84" s="248" t="str">
        <f>_xlfn.XLOOKUP(FMS_Ranking4[[#This Row],[FMS ID]],FMS_Input[FMS_ID],FMS_Input[FMS_TYPE])</f>
        <v>Education and Outreach</v>
      </c>
      <c r="I84" s="249">
        <f>_xlfn.XLOOKUP(FMS_Ranking4[[#This Row],[FMS ID]],FMS_Input[FMS_ID],FMS_Input[NRNC_COST])</f>
        <v>129000</v>
      </c>
      <c r="J84" s="250">
        <f>_xlfn.XLOOKUP(FMS_Ranking4[[#This Row],[FMS ID]],FMS_Input[FMS_ID],FMS_Input[FMS_COST])</f>
        <v>129000</v>
      </c>
      <c r="K84" s="251" t="str">
        <f>_xlfn.XLOOKUP(FMS_Ranking4[[#This Row],[FMS ID]],FMS_Input[FMS_ID],FMS_Input[EMER_NEED])</f>
        <v>No</v>
      </c>
      <c r="L84" s="252">
        <f t="shared" si="1"/>
        <v>0</v>
      </c>
      <c r="M84" s="253">
        <f>_xlfn.XLOOKUP(FMS_Ranking4[[#This Row],[FMS ID]],FMS_Input[FMS_ID],FMS_Input[STRUCT_100])</f>
        <v>7156</v>
      </c>
      <c r="N84" s="255">
        <f>(ASINH(FMS_Ranking4[[#This Row],[Structure at Risk Raw]]))*(10)/(ASINH(M$4))</f>
        <v>7.5225436938323265</v>
      </c>
      <c r="O84" s="256">
        <f>FMS_Ranking4[[#This Row],[Structures at risk, ArcSinh (0-10)]]*M$5*10</f>
        <v>7.5225436938323265</v>
      </c>
      <c r="P84" s="253">
        <f>_xlfn.XLOOKUP(FMS_Ranking4[[#This Row],[FMS ID]],FMS_Input[FMS_ID],FMS_Input[RES_STRUCT100])</f>
        <v>5561</v>
      </c>
      <c r="Q84" s="257">
        <f>ASINH(FMS_Ranking4[[#This Row],[Res Structure Raw]])/Q$4*P$5*100</f>
        <v>0</v>
      </c>
      <c r="R84" s="253">
        <f>_xlfn.XLOOKUP(FMS_Ranking4[[#This Row],[FMS ID]],FMS_Input[FMS_ID],FMS_Input[POP100])</f>
        <v>41778</v>
      </c>
      <c r="S84" s="259">
        <f>(ASINH(FMS_Ranking4[[#This Row],[Pop at Risk Raw]]))*(10)/(ASINH(R$4))</f>
        <v>7.8240176993363653</v>
      </c>
      <c r="T84" s="256">
        <f>FMS_Ranking4[[#This Row],[Population at risk, ArcSinh (0-10)]]*R$5*10</f>
        <v>7.8240176993363653</v>
      </c>
      <c r="U84" s="253">
        <f>_xlfn.XLOOKUP(FMS_Ranking4[[#This Row],[FMS ID]],FMS_Input[FMS_ID],FMS_Input[CRITFAC100])</f>
        <v>73</v>
      </c>
      <c r="V84" s="259">
        <f>(ASINH(FMS_Ranking4[[#This Row],[Critical Facilities Raw]]))*(10)/(ASINH(U$4))</f>
        <v>5.8994703304934903</v>
      </c>
      <c r="W84" s="256">
        <f>FMS_Ranking4[[#This Row],[Critical facilities at risk, ArcSinh (0-10)]]*U$5*10</f>
        <v>5.8994703304934903</v>
      </c>
      <c r="X84" s="253">
        <f>_xlfn.XLOOKUP(FMS_Ranking4[[#This Row],[FMS ID]],FMS_Input[FMS_ID],FMS_Input[LWC])</f>
        <v>78</v>
      </c>
      <c r="Y84" s="259">
        <f>(ASINH(FMS_Ranking4[[#This Row],[LWC Raw]]))*(10)/(ASINH(X$4))</f>
        <v>6.8412863710268095</v>
      </c>
      <c r="Z84" s="256">
        <f>FMS_Ranking4[[#This Row],[LWC, ArcSInh (0-10)]]*X$5*10</f>
        <v>6.8412863710268104</v>
      </c>
      <c r="AA84" s="253">
        <f>_xlfn.XLOOKUP(FMS_Ranking4[[#This Row],[FMS ID]],FMS_Input[FMS_ID],FMS_Input[ROADCLS])</f>
        <v>1237</v>
      </c>
      <c r="AB84" s="255">
        <f>(ASINH(FMS_Ranking4[[#This Row],[Road Closures Raw]]))*(10)/(ASINH(AA$4))</f>
        <v>8.1371386167634103</v>
      </c>
      <c r="AC84" s="256">
        <f>FMS_Ranking4[[#This Row],[Road closures, ArcSinh (0-10)]]*AA$5*10</f>
        <v>4.0685693083817052</v>
      </c>
      <c r="AD84" s="253">
        <f>_xlfn.XLOOKUP(FMS_Ranking4[[#This Row],[FMS ID]],FMS_Input[FMS_ID],FMS_Input[ROAD_MILES100])</f>
        <v>194</v>
      </c>
      <c r="AE84" s="259">
        <f>(ASINH(FMS_Ranking4[[#This Row],[Road Miles Raw]]))*(10)/(ASINH(AD$4))</f>
        <v>6.3527987540454607</v>
      </c>
      <c r="AF84" s="256">
        <f>FMS_Ranking4[[#This Row],[Length of roads at risk, ArcSinh (0-10)]]*AD$5*10</f>
        <v>6.3527987540454607</v>
      </c>
      <c r="AG84" s="253">
        <f>_xlfn.XLOOKUP(FMS_Ranking4[[#This Row],[FMS ID]],FMS_Input[FMS_ID],FMS_Input[FARMACRE100])</f>
        <v>956.45001220703125</v>
      </c>
      <c r="AH84" s="255">
        <f>(ASINH(FMS_Ranking4[[#This Row],[Ag Land Raw]]))*(10)/(ASINH(AG$4))</f>
        <v>4.9084818119222335</v>
      </c>
      <c r="AI84" s="260">
        <f>FMS_Ranking4[[#This Row],[Farm &amp; ranch land, ArcSinh (0-10)]]*AG$5*10</f>
        <v>2.4542409059611172</v>
      </c>
      <c r="AJ84" s="258">
        <f>_xlfn.XLOOKUP(FMS_Ranking4[[#This Row],[FMS ID]],FMS_Input[FMS_ID],FMS_Input[REDSTRUCT100])</f>
        <v>0</v>
      </c>
      <c r="AK84" s="253">
        <f>_xlfn.XLOOKUP(FMS_Ranking4[[#This Row],[FMS ID]],FMS_Input[FMS_ID],FMS_Input[REMSTRC100])</f>
        <v>0</v>
      </c>
      <c r="AL84" s="259">
        <f>(ASINH(FMS_Ranking4[[#This Row],[Structures Removed Raw]]))*(10)/(ASINH(AK$4))</f>
        <v>0</v>
      </c>
      <c r="AM84" s="262">
        <f>FMS_Ranking4[[#This Row],[Structures removed, ArcSinh (0-10)]]*AK$5*10</f>
        <v>0</v>
      </c>
      <c r="AN84" s="253">
        <f>_xlfn.XLOOKUP(FMS_Ranking4[[#This Row],[FMS ID]],FMS_Input[FMS_ID],FMS_Input[REMRESSTRC100])</f>
        <v>0</v>
      </c>
      <c r="AO84" s="261">
        <f>FMS_Ranking4[[#This Row],[ArcSinh Res struct removed 0-10]]*AN$5*10</f>
        <v>0</v>
      </c>
      <c r="AP84" s="260">
        <f>ASINH(FMS_Ranking4[[#This Row],[Residential Structures Removed Raw]])/AP$4*AN$5*100</f>
        <v>0</v>
      </c>
      <c r="AQ84" s="254">
        <f>(ASINH(FMS_Ranking4[[#This Row],[Residential Structures Removed Raw]]))*(10)/(ASINH(AN$4))</f>
        <v>0</v>
      </c>
      <c r="AR84" s="253">
        <f>_xlfn.XLOOKUP(FMS_Ranking4[[#This Row],[FMS ID]],FMS_Input[FMS_ID],FMS_Input[REMPOP100])</f>
        <v>0</v>
      </c>
      <c r="AS84" s="259">
        <f>(ASINH(FMS_Ranking4[[#This Row],[Removed Pop Raw]]))*(10)/(ASINH(AR$4))</f>
        <v>0</v>
      </c>
      <c r="AT84" s="262">
        <f>FMS_Ranking4[[#This Row],[Removed population, ArcSinh (0-10)]]*AR$5*10</f>
        <v>0</v>
      </c>
      <c r="AU84" s="264">
        <f>_xlfn.XLOOKUP(FMS_Ranking4[[#This Row],[FMS ID]],FMS_Input[FMS_ID],FMS_Input[REMCRITFAC100])</f>
        <v>0</v>
      </c>
      <c r="AV84" s="264">
        <f>_xlfn.XLOOKUP(FMS_Ranking4[[#This Row],[FMS ID]],FMS_Input[FMS_ID],FMS_Input[REMLWC100])</f>
        <v>0</v>
      </c>
      <c r="AW84" s="264">
        <f>_xlfn.XLOOKUP(FMS_Ranking4[[#This Row],[FMS ID]],FMS_Input[FMS_ID],FMS_Input[REMROADCLS])</f>
        <v>0</v>
      </c>
      <c r="AX84" s="264">
        <f>_xlfn.XLOOKUP(FMS_Ranking4[[#This Row],[FMS ID]],FMS_Input[FMS_ID],FMS_Input[REMFRMACRE100])</f>
        <v>0</v>
      </c>
      <c r="AY84" s="258">
        <f>_xlfn.XLOOKUP(FMS_Ranking4[[#This Row],[FMS ID]],FMS_Input[FMS_ID],FMS_Input[COSTSTRUCT])</f>
        <v>0</v>
      </c>
      <c r="AZ84" s="253">
        <f>_xlfn.XLOOKUP(FMS_Ranking4[[#This Row],[FMS ID]],FMS_Input[FMS_ID],FMS_Input[NATURE])</f>
        <v>0</v>
      </c>
      <c r="BA84" s="262">
        <f>(((FMS_Ranking4[[#This Row],[% NBS Raw]]/AZ$4)*100)*AZ$5)</f>
        <v>0</v>
      </c>
      <c r="BB84" s="251" t="str">
        <f>_xlfn.XLOOKUP(FMS_Ranking4[[#This Row],[FMS ID]],FMS_Input[FMS_ID],FMS_Input[WATER_SUP])</f>
        <v>No</v>
      </c>
      <c r="BC84" s="265">
        <f>IF(FMS_Ranking4[[#This Row],[Water Supply Raw]]="Yes",10,0)</f>
        <v>0</v>
      </c>
      <c r="BD84" s="266">
        <f>_xlfn.XLOOKUP(FMS_Ranking4[[#This Row],[FMS Type]],FMS_TYPE[FMS_Type],FMS_TYPE[Score])</f>
        <v>6</v>
      </c>
      <c r="BE84" s="267">
        <f>FMS_Ranking4[[#This Row],[FMS_Type Score]]*$BD$5*10</f>
        <v>1.5000000000000002</v>
      </c>
      <c r="BF8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3.3041664611603778</v>
      </c>
      <c r="BG84" s="271">
        <f>_xlfn.RANK.EQ(BF84,$BF$8:$BF$870,0)+COUNTIF($BF$8:BF84,BF84)-1</f>
        <v>82</v>
      </c>
      <c r="BH84" s="268">
        <f>(((FMS_Ranking4[[#This Row],[Structures Removed Raw]]/AK$4)*100)*AK$5)+(((FMS_Ranking4[[#This Row],[Removed Pop Raw]]/AR$4)*100)*AR$5)</f>
        <v>0</v>
      </c>
      <c r="BI8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4.8041664611603778</v>
      </c>
      <c r="BJ84" s="205">
        <f>_xlfn.RANK.EQ(FMS_Ranking4[[#This Row],[Total Score 
(with linear
normalization)]],FMS_Ranking4[Total Score 
(with linear
normalization)],0)</f>
        <v>120</v>
      </c>
      <c r="BK84" s="205" t="e">
        <f>_xlfn.XLOOKUP(FMS_Ranking4[[#This Row],[FMS ID]],#REF!,#REF!)</f>
        <v>#REF!</v>
      </c>
      <c r="BL8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40.962927063077274</v>
      </c>
      <c r="BM84" s="272">
        <f>FMS_Ranking4[[#This Row],[ArcSinh Score Based on Normalized Reported Factors]]+FMS_Ranking4[[#This Row],[% NBS Score (Normalized)]]+(FMS_Ranking4[[#This Row],[Water Supply Score (Normalized)]]*10*$BB$5)+FMS_Ranking4[[#This Row],[FMS_Type Score Weighted]]</f>
        <v>42.462927063077274</v>
      </c>
      <c r="BN84" s="205">
        <f>_xlfn.RANK.EQ(FMS_Ranking4[[#This Row],[Total Score (with ArcSinh normalization of select criteria)]],FMS_Ranking4[Total Score (with ArcSinh normalization of select criteria)],0)</f>
        <v>77</v>
      </c>
      <c r="BO84" s="270" t="str">
        <f>_xlfn.XLOOKUP(FMS_Ranking4[[#This Row],[FMS ID]],FMS_Input[FMS_ID],FMS_Input[FMS_RANK_YEAR])</f>
        <v>2023 Amended Plan</v>
      </c>
      <c r="BP84" s="204">
        <f>_xlfn.XLOOKUP(FMS_Ranking4[[#This Row],[FMS ID]],Prev_Rank[FMS ID],Prev_Rank[Prev Rank])</f>
        <v>63</v>
      </c>
      <c r="BQ84" s="205" t="e">
        <f>_xlfn.XLOOKUP(FMS_Ranking4[[#This Row],[FMS ID]],#REF!,#REF!)</f>
        <v>#REF!</v>
      </c>
      <c r="BR84" s="199" t="e">
        <f>SUM(#REF!,#REF!,#REF!,#REF!,#REF!,#REF!,#REF!,#REF!,#REF!,FMS_Ranking4[[#This Row],[ArcSinh Res struct removed 0-10]],#REF!)</f>
        <v>#REF!</v>
      </c>
      <c r="BS84" s="199" t="e">
        <f>FMS_Ranking4[[#This Row],[Log Score Based on Normalized Reported Factors]]+FMS_Ranking4[[#This Row],[% NBS Score (Normalized)]]+(FMS_Ranking4[[#This Row],[Water Supply Score (Normalized)]]*10*$BB$5)+(FMS_Ranking4[[#This Row],[FMS_Type Score Weighted]])</f>
        <v>#REF!</v>
      </c>
      <c r="BT84" s="200" t="e">
        <f>_xlfn.RANK.EQ(FMS_Ranking4[[#This Row],[Log Total Score]],FMS_Ranking4[Log Total Score],0)</f>
        <v>#REF!</v>
      </c>
      <c r="BU84" s="200" t="e">
        <f>_xlfn.XLOOKUP(FMS_Ranking4[[#This Row],[FMS ID]],#REF!,#REF!)</f>
        <v>#REF!</v>
      </c>
      <c r="BV84" s="200">
        <f>FMS_Ranking4[[#This Row],[Region Number]]</f>
        <v>12</v>
      </c>
      <c r="BW84" s="200">
        <f>FMS_Ranking4[[#This Row],[Rank (with ArcSinh normalization of select criteria)]]-FMS_Ranking4[[#This Row],[Rank
(with linear
normalization)]]</f>
        <v>-43</v>
      </c>
      <c r="BX84" s="200" t="e">
        <f>FMS_Ranking4[[#This Row],[Log Rank]]-FMS_Ranking4[[#This Row],[Rank
(with linear
normalization)]]</f>
        <v>#REF!</v>
      </c>
      <c r="BY84" s="200" t="str">
        <f>IF(FMS_Ranking4[[#This Row],[FMS Type]]="Flood Measurement and Warning",FMS_Ranking4[[#This Row],[Rank (with ArcSinh normalization of select criteria)]],"")</f>
        <v/>
      </c>
      <c r="BZ84" s="200" t="str">
        <f>IF(FMS_Ranking4[[#This Row],[FMS Type]]="Regulatory and Guidance",FMS_Ranking4[[#This Row],[Rank (with ArcSinh normalization of select criteria)]],"")</f>
        <v/>
      </c>
      <c r="CA84" s="200">
        <f>IF(FMS_Ranking4[[#This Row],[FMS Type]]="Education and Outreach",FMS_Ranking4[[#This Row],[Rank (with ArcSinh normalization of select criteria)]],"")</f>
        <v>77</v>
      </c>
      <c r="CB84" s="200" t="str">
        <f>IF(FMS_Ranking4[[#This Row],[FMS Type]]="Property Acquisition and Structural Elevation",FMS_Ranking4[[#This Row],[Rank (with ArcSinh normalization of select criteria)]],"")</f>
        <v/>
      </c>
      <c r="CC84" s="200" t="str">
        <f>IF(FMS_Ranking4[[#This Row],[FMS Type]]="Infrastructure Projects",FMS_Ranking4[[#This Row],[Rank (with ArcSinh normalization of select criteria)]],"")</f>
        <v/>
      </c>
      <c r="CD84" s="200" t="str">
        <f>IF(FMS_Ranking4[[#This Row],[FMS Type]]="Other",FMS_Ranking4[[#This Row],[Rank (with ArcSinh normalization of select criteria)]],"")</f>
        <v/>
      </c>
      <c r="CE84" s="201"/>
    </row>
    <row r="85" spans="2:83" ht="60" x14ac:dyDescent="0.25">
      <c r="B85" s="341" t="s">
        <v>2650</v>
      </c>
      <c r="C85" s="246">
        <f>_xlfn.XLOOKUP(FMS_Ranking4[[#This Row],[FMS ID]],FMS_Input[FMS_ID],FMS_Input[RFPG_NUM])</f>
        <v>5</v>
      </c>
      <c r="D85" s="309" t="str">
        <f>_xlfn.XLOOKUP(FMS_Ranking4[[#This Row],[FMS ID]],FMS_Input[FMS_ID],FMS_Input[FMS_NAME])</f>
        <v>Jefferson County Property Elevation</v>
      </c>
      <c r="E85" s="308" t="str">
        <f>_xlfn.XLOOKUP(FMS_Ranking4[[#This Row],[FMS ID]],FMS_Input[FMS_ID],FMS_Input[SPONSOR])</f>
        <v>05000025</v>
      </c>
      <c r="F85" s="309" t="str">
        <f>_xlfn.XLOOKUP(FMS_Ranking4[[#This Row],[FMS ID]],Sponsor[FMS_ID],Sponsor[SPONSOR NAME])</f>
        <v>Jefferson</v>
      </c>
      <c r="G85" s="309" t="str">
        <f>_xlfn.XLOOKUP(FMS_Ranking4[[#This Row],[FMS ID]],FMS_Input[FMS_ID],FMS_Input[FMS_DESCR])</f>
        <v>FIF Application; aimed to elevate houses within county subject to inundation from flooding.</v>
      </c>
      <c r="H85" s="248" t="str">
        <f>_xlfn.XLOOKUP(FMS_Ranking4[[#This Row],[FMS ID]],FMS_Input[FMS_ID],FMS_Input[FMS_TYPE])</f>
        <v>Property Acquisition and Structural Elevation</v>
      </c>
      <c r="I85" s="249">
        <f>_xlfn.XLOOKUP(FMS_Ranking4[[#This Row],[FMS ID]],FMS_Input[FMS_ID],FMS_Input[NRNC_COST])</f>
        <v>500000</v>
      </c>
      <c r="J85" s="250">
        <f>_xlfn.XLOOKUP(FMS_Ranking4[[#This Row],[FMS ID]],FMS_Input[FMS_ID],FMS_Input[FMS_COST])</f>
        <v>1110000</v>
      </c>
      <c r="K85" s="251" t="str">
        <f>_xlfn.XLOOKUP(FMS_Ranking4[[#This Row],[FMS ID]],FMS_Input[FMS_ID],FMS_Input[EMER_NEED])</f>
        <v>Yes</v>
      </c>
      <c r="L85" s="252">
        <f t="shared" si="1"/>
        <v>1</v>
      </c>
      <c r="M85" s="253">
        <f>_xlfn.XLOOKUP(FMS_Ranking4[[#This Row],[FMS ID]],FMS_Input[FMS_ID],FMS_Input[STRUCT_100])</f>
        <v>12869</v>
      </c>
      <c r="N85" s="255">
        <f>(ASINH(FMS_Ranking4[[#This Row],[Structure at Risk Raw]]))*(10)/(ASINH(M$4))</f>
        <v>7.9839110125140955</v>
      </c>
      <c r="O85" s="256">
        <f>FMS_Ranking4[[#This Row],[Structures at risk, ArcSinh (0-10)]]*M$5*10</f>
        <v>7.9839110125140955</v>
      </c>
      <c r="P85" s="253">
        <f>_xlfn.XLOOKUP(FMS_Ranking4[[#This Row],[FMS ID]],FMS_Input[FMS_ID],FMS_Input[RES_STRUCT100])</f>
        <v>9726</v>
      </c>
      <c r="Q85" s="257">
        <f>ASINH(FMS_Ranking4[[#This Row],[Res Structure Raw]])/Q$4*P$5*100</f>
        <v>0</v>
      </c>
      <c r="R85" s="253">
        <f>_xlfn.XLOOKUP(FMS_Ranking4[[#This Row],[FMS ID]],FMS_Input[FMS_ID],FMS_Input[POP100])</f>
        <v>40765</v>
      </c>
      <c r="S85" s="259">
        <f>(ASINH(FMS_Ranking4[[#This Row],[Pop at Risk Raw]]))*(10)/(ASINH(R$4))</f>
        <v>7.8070721561178251</v>
      </c>
      <c r="T85" s="256">
        <f>FMS_Ranking4[[#This Row],[Population at risk, ArcSinh (0-10)]]*R$5*10</f>
        <v>7.807072156117826</v>
      </c>
      <c r="U85" s="253">
        <f>_xlfn.XLOOKUP(FMS_Ranking4[[#This Row],[FMS ID]],FMS_Input[FMS_ID],FMS_Input[CRITFAC100])</f>
        <v>316</v>
      </c>
      <c r="V85" s="259">
        <f>(ASINH(FMS_Ranking4[[#This Row],[Critical Facilities Raw]]))*(10)/(ASINH(U$4))</f>
        <v>7.6339669631199145</v>
      </c>
      <c r="W85" s="256">
        <f>FMS_Ranking4[[#This Row],[Critical facilities at risk, ArcSinh (0-10)]]*U$5*10</f>
        <v>7.6339669631199145</v>
      </c>
      <c r="X85" s="253">
        <f>_xlfn.XLOOKUP(FMS_Ranking4[[#This Row],[FMS ID]],FMS_Input[FMS_ID],FMS_Input[LWC])</f>
        <v>22</v>
      </c>
      <c r="Y85" s="259">
        <f>(ASINH(FMS_Ranking4[[#This Row],[LWC Raw]]))*(10)/(ASINH(X$4))</f>
        <v>5.1272838758265653</v>
      </c>
      <c r="Z85" s="256">
        <f>FMS_Ranking4[[#This Row],[LWC, ArcSInh (0-10)]]*X$5*10</f>
        <v>5.1272838758265662</v>
      </c>
      <c r="AA85" s="253">
        <f>_xlfn.XLOOKUP(FMS_Ranking4[[#This Row],[FMS ID]],FMS_Input[FMS_ID],FMS_Input[ROADCLS])</f>
        <v>22</v>
      </c>
      <c r="AB85" s="255">
        <f>(ASINH(FMS_Ranking4[[#This Row],[Road Closures Raw]]))*(10)/(ASINH(AA$4))</f>
        <v>3.9414236801787323</v>
      </c>
      <c r="AC85" s="256">
        <f>FMS_Ranking4[[#This Row],[Road closures, ArcSinh (0-10)]]*AA$5*10</f>
        <v>1.9707118400893664</v>
      </c>
      <c r="AD85" s="253">
        <f>_xlfn.XLOOKUP(FMS_Ranking4[[#This Row],[FMS ID]],FMS_Input[FMS_ID],FMS_Input[ROAD_MILES100])</f>
        <v>474</v>
      </c>
      <c r="AE85" s="259">
        <f>(ASINH(FMS_Ranking4[[#This Row],[Road Miles Raw]]))*(10)/(ASINH(AD$4))</f>
        <v>7.3048572861550314</v>
      </c>
      <c r="AF85" s="256">
        <f>FMS_Ranking4[[#This Row],[Length of roads at risk, ArcSinh (0-10)]]*AD$5*10</f>
        <v>7.3048572861550323</v>
      </c>
      <c r="AG85" s="253">
        <f>_xlfn.XLOOKUP(FMS_Ranking4[[#This Row],[FMS ID]],FMS_Input[FMS_ID],FMS_Input[FARMACRE100])</f>
        <v>33019.37890625</v>
      </c>
      <c r="AH85" s="255">
        <f>(ASINH(FMS_Ranking4[[#This Row],[Ag Land Raw]]))*(10)/(ASINH(AG$4))</f>
        <v>7.2090532551826474</v>
      </c>
      <c r="AI85" s="260">
        <f>FMS_Ranking4[[#This Row],[Farm &amp; ranch land, ArcSinh (0-10)]]*AG$5*10</f>
        <v>3.6045266275913241</v>
      </c>
      <c r="AJ85" s="258">
        <f>_xlfn.XLOOKUP(FMS_Ranking4[[#This Row],[FMS ID]],FMS_Input[FMS_ID],FMS_Input[REDSTRUCT100])</f>
        <v>0</v>
      </c>
      <c r="AK85" s="253">
        <f>_xlfn.XLOOKUP(FMS_Ranking4[[#This Row],[FMS ID]],FMS_Input[FMS_ID],FMS_Input[REMSTRC100])</f>
        <v>0</v>
      </c>
      <c r="AL85" s="259">
        <f>(ASINH(FMS_Ranking4[[#This Row],[Structures Removed Raw]]))*(10)/(ASINH(AK$4))</f>
        <v>0</v>
      </c>
      <c r="AM85" s="262">
        <f>FMS_Ranking4[[#This Row],[Structures removed, ArcSinh (0-10)]]*AK$5*10</f>
        <v>0</v>
      </c>
      <c r="AN85" s="253">
        <f>_xlfn.XLOOKUP(FMS_Ranking4[[#This Row],[FMS ID]],FMS_Input[FMS_ID],FMS_Input[REMRESSTRC100])</f>
        <v>0</v>
      </c>
      <c r="AO85" s="261">
        <f>FMS_Ranking4[[#This Row],[ArcSinh Res struct removed 0-10]]*AN$5*10</f>
        <v>0</v>
      </c>
      <c r="AP85" s="260">
        <f>ASINH(FMS_Ranking4[[#This Row],[Residential Structures Removed Raw]])/AP$4*AN$5*100</f>
        <v>0</v>
      </c>
      <c r="AQ85" s="254">
        <f>(ASINH(FMS_Ranking4[[#This Row],[Residential Structures Removed Raw]]))*(10)/(ASINH(AN$4))</f>
        <v>0</v>
      </c>
      <c r="AR85" s="253">
        <f>_xlfn.XLOOKUP(FMS_Ranking4[[#This Row],[FMS ID]],FMS_Input[FMS_ID],FMS_Input[REMPOP100])</f>
        <v>0</v>
      </c>
      <c r="AS85" s="259">
        <f>(ASINH(FMS_Ranking4[[#This Row],[Removed Pop Raw]]))*(10)/(ASINH(AR$4))</f>
        <v>0</v>
      </c>
      <c r="AT85" s="262">
        <f>FMS_Ranking4[[#This Row],[Removed population, ArcSinh (0-10)]]*AR$5*10</f>
        <v>0</v>
      </c>
      <c r="AU85" s="264">
        <f>_xlfn.XLOOKUP(FMS_Ranking4[[#This Row],[FMS ID]],FMS_Input[FMS_ID],FMS_Input[REMCRITFAC100])</f>
        <v>0</v>
      </c>
      <c r="AV85" s="264">
        <f>_xlfn.XLOOKUP(FMS_Ranking4[[#This Row],[FMS ID]],FMS_Input[FMS_ID],FMS_Input[REMLWC100])</f>
        <v>0</v>
      </c>
      <c r="AW85" s="264">
        <f>_xlfn.XLOOKUP(FMS_Ranking4[[#This Row],[FMS ID]],FMS_Input[FMS_ID],FMS_Input[REMROADCLS])</f>
        <v>0</v>
      </c>
      <c r="AX85" s="264">
        <f>_xlfn.XLOOKUP(FMS_Ranking4[[#This Row],[FMS ID]],FMS_Input[FMS_ID],FMS_Input[REMFRMACRE100])</f>
        <v>0</v>
      </c>
      <c r="AY85" s="258">
        <f>_xlfn.XLOOKUP(FMS_Ranking4[[#This Row],[FMS ID]],FMS_Input[FMS_ID],FMS_Input[COSTSTRUCT])</f>
        <v>0</v>
      </c>
      <c r="AZ85" s="253">
        <f>_xlfn.XLOOKUP(FMS_Ranking4[[#This Row],[FMS ID]],FMS_Input[FMS_ID],FMS_Input[NATURE])</f>
        <v>0</v>
      </c>
      <c r="BA85" s="262">
        <f>(((FMS_Ranking4[[#This Row],[% NBS Raw]]/AZ$4)*100)*AZ$5)</f>
        <v>0</v>
      </c>
      <c r="BB85" s="251" t="str">
        <f>_xlfn.XLOOKUP(FMS_Ranking4[[#This Row],[FMS ID]],FMS_Input[FMS_ID],FMS_Input[WATER_SUP])</f>
        <v>No</v>
      </c>
      <c r="BC85" s="265">
        <f>IF(FMS_Ranking4[[#This Row],[Water Supply Raw]]="Yes",10,0)</f>
        <v>0</v>
      </c>
      <c r="BD85" s="266">
        <f>_xlfn.XLOOKUP(FMS_Ranking4[[#This Row],[FMS Type]],FMS_TYPE[FMS_Type],FMS_TYPE[Score])</f>
        <v>4</v>
      </c>
      <c r="BE85" s="267">
        <f>FMS_Ranking4[[#This Row],[FMS_Type Score]]*$BD$5*10</f>
        <v>1</v>
      </c>
      <c r="BF8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3.6962970376192832</v>
      </c>
      <c r="BG85" s="271">
        <f>_xlfn.RANK.EQ(BF85,$BF$8:$BF$870,0)+COUNTIF($BF$8:BF85,BF85)-1</f>
        <v>73</v>
      </c>
      <c r="BH85" s="268">
        <f>(((FMS_Ranking4[[#This Row],[Structures Removed Raw]]/AK$4)*100)*AK$5)+(((FMS_Ranking4[[#This Row],[Removed Pop Raw]]/AR$4)*100)*AR$5)</f>
        <v>0</v>
      </c>
      <c r="BI8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4.6962970376192832</v>
      </c>
      <c r="BJ85" s="205">
        <f>_xlfn.RANK.EQ(FMS_Ranking4[[#This Row],[Total Score 
(with linear
normalization)]],FMS_Ranking4[Total Score 
(with linear
normalization)],0)</f>
        <v>123</v>
      </c>
      <c r="BK85" s="205" t="e">
        <f>_xlfn.XLOOKUP(FMS_Ranking4[[#This Row],[FMS ID]],#REF!,#REF!)</f>
        <v>#REF!</v>
      </c>
      <c r="BL8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41.432329761414124</v>
      </c>
      <c r="BM85" s="272">
        <f>FMS_Ranking4[[#This Row],[ArcSinh Score Based on Normalized Reported Factors]]+FMS_Ranking4[[#This Row],[% NBS Score (Normalized)]]+(FMS_Ranking4[[#This Row],[Water Supply Score (Normalized)]]*10*$BB$5)+FMS_Ranking4[[#This Row],[FMS_Type Score Weighted]]</f>
        <v>42.432329761414124</v>
      </c>
      <c r="BN85" s="205">
        <f>_xlfn.RANK.EQ(FMS_Ranking4[[#This Row],[Total Score (with ArcSinh normalization of select criteria)]],FMS_Ranking4[Total Score (with ArcSinh normalization of select criteria)],0)</f>
        <v>78</v>
      </c>
      <c r="BO85" s="270" t="str">
        <f>_xlfn.XLOOKUP(FMS_Ranking4[[#This Row],[FMS ID]],FMS_Input[FMS_ID],FMS_Input[FMS_RANK_YEAR])</f>
        <v>2023 Amended Plan</v>
      </c>
      <c r="BP85" s="204">
        <f>_xlfn.XLOOKUP(FMS_Ranking4[[#This Row],[FMS ID]],Prev_Rank[FMS ID],Prev_Rank[Prev Rank])</f>
        <v>62</v>
      </c>
      <c r="BQ85" s="205" t="e">
        <f>_xlfn.XLOOKUP(FMS_Ranking4[[#This Row],[FMS ID]],#REF!,#REF!)</f>
        <v>#REF!</v>
      </c>
      <c r="BR85" s="199" t="e">
        <f>SUM(#REF!,#REF!,#REF!,#REF!,#REF!,#REF!,#REF!,#REF!,#REF!,FMS_Ranking4[[#This Row],[ArcSinh Res struct removed 0-10]],#REF!)</f>
        <v>#REF!</v>
      </c>
      <c r="BS85" s="199" t="e">
        <f>FMS_Ranking4[[#This Row],[Log Score Based on Normalized Reported Factors]]+FMS_Ranking4[[#This Row],[% NBS Score (Normalized)]]+(FMS_Ranking4[[#This Row],[Water Supply Score (Normalized)]]*10*$BB$5)+(FMS_Ranking4[[#This Row],[FMS_Type Score Weighted]])</f>
        <v>#REF!</v>
      </c>
      <c r="BT85" s="200" t="e">
        <f>_xlfn.RANK.EQ(FMS_Ranking4[[#This Row],[Log Total Score]],FMS_Ranking4[Log Total Score],0)</f>
        <v>#REF!</v>
      </c>
      <c r="BU85" s="200" t="e">
        <f>_xlfn.XLOOKUP(FMS_Ranking4[[#This Row],[FMS ID]],#REF!,#REF!)</f>
        <v>#REF!</v>
      </c>
      <c r="BV85" s="200">
        <f>FMS_Ranking4[[#This Row],[Region Number]]</f>
        <v>5</v>
      </c>
      <c r="BW85" s="200">
        <f>FMS_Ranking4[[#This Row],[Rank (with ArcSinh normalization of select criteria)]]-FMS_Ranking4[[#This Row],[Rank
(with linear
normalization)]]</f>
        <v>-45</v>
      </c>
      <c r="BX85" s="200" t="e">
        <f>FMS_Ranking4[[#This Row],[Log Rank]]-FMS_Ranking4[[#This Row],[Rank
(with linear
normalization)]]</f>
        <v>#REF!</v>
      </c>
      <c r="BY85" s="200" t="str">
        <f>IF(FMS_Ranking4[[#This Row],[FMS Type]]="Flood Measurement and Warning",FMS_Ranking4[[#This Row],[Rank (with ArcSinh normalization of select criteria)]],"")</f>
        <v/>
      </c>
      <c r="BZ85" s="200" t="str">
        <f>IF(FMS_Ranking4[[#This Row],[FMS Type]]="Regulatory and Guidance",FMS_Ranking4[[#This Row],[Rank (with ArcSinh normalization of select criteria)]],"")</f>
        <v/>
      </c>
      <c r="CA85" s="200" t="str">
        <f>IF(FMS_Ranking4[[#This Row],[FMS Type]]="Education and Outreach",FMS_Ranking4[[#This Row],[Rank (with ArcSinh normalization of select criteria)]],"")</f>
        <v/>
      </c>
      <c r="CB85" s="200">
        <f>IF(FMS_Ranking4[[#This Row],[FMS Type]]="Property Acquisition and Structural Elevation",FMS_Ranking4[[#This Row],[Rank (with ArcSinh normalization of select criteria)]],"")</f>
        <v>78</v>
      </c>
      <c r="CC85" s="200" t="str">
        <f>IF(FMS_Ranking4[[#This Row],[FMS Type]]="Infrastructure Projects",FMS_Ranking4[[#This Row],[Rank (with ArcSinh normalization of select criteria)]],"")</f>
        <v/>
      </c>
      <c r="CD85" s="200" t="str">
        <f>IF(FMS_Ranking4[[#This Row],[FMS Type]]="Other",FMS_Ranking4[[#This Row],[Rank (with ArcSinh normalization of select criteria)]],"")</f>
        <v/>
      </c>
      <c r="CE85" s="201"/>
    </row>
    <row r="86" spans="2:83" ht="60" x14ac:dyDescent="0.25">
      <c r="B86" s="341" t="s">
        <v>436</v>
      </c>
      <c r="C86" s="246">
        <f>_xlfn.XLOOKUP(FMS_Ranking4[[#This Row],[FMS ID]],FMS_Input[FMS_ID],FMS_Input[RFPG_NUM])</f>
        <v>9</v>
      </c>
      <c r="D86" s="309" t="str">
        <f>_xlfn.XLOOKUP(FMS_Ranking4[[#This Row],[FMS ID]],FMS_Input[FMS_ID],FMS_Input[FMS_NAME])</f>
        <v>Scurry County Ordinance Update SFHA</v>
      </c>
      <c r="E86" s="308" t="str">
        <f>_xlfn.XLOOKUP(FMS_Ranking4[[#This Row],[FMS ID]],FMS_Input[FMS_ID],FMS_Input[SPONSOR])</f>
        <v>00000115</v>
      </c>
      <c r="F86" s="309" t="str">
        <f>_xlfn.XLOOKUP(FMS_Ranking4[[#This Row],[FMS ID]],Sponsor[FMS_ID],Sponsor[SPONSOR NAME])</f>
        <v>Borden</v>
      </c>
      <c r="G86" s="309" t="str">
        <f>_xlfn.XLOOKUP(FMS_Ranking4[[#This Row],[FMS ID]],FMS_Input[FMS_ID],FMS_Input[FMS_DESCR])</f>
        <v>Increase freeboard requirements for structures in the SFHA; adopt a ""no-rise"" in BFE in the 100-year floodplain.</v>
      </c>
      <c r="H86" s="248" t="str">
        <f>_xlfn.XLOOKUP(FMS_Ranking4[[#This Row],[FMS ID]],FMS_Input[FMS_ID],FMS_Input[FMS_TYPE])</f>
        <v>Other</v>
      </c>
      <c r="I86" s="249">
        <f>_xlfn.XLOOKUP(FMS_Ranking4[[#This Row],[FMS ID]],FMS_Input[FMS_ID],FMS_Input[NRNC_COST])</f>
        <v>75000</v>
      </c>
      <c r="J86" s="250">
        <f>_xlfn.XLOOKUP(FMS_Ranking4[[#This Row],[FMS ID]],FMS_Input[FMS_ID],FMS_Input[FMS_COST])</f>
        <v>100000</v>
      </c>
      <c r="K86" s="251" t="str">
        <f>_xlfn.XLOOKUP(FMS_Ranking4[[#This Row],[FMS ID]],FMS_Input[FMS_ID],FMS_Input[EMER_NEED])</f>
        <v>No</v>
      </c>
      <c r="L86" s="252">
        <f t="shared" si="1"/>
        <v>0</v>
      </c>
      <c r="M86" s="253">
        <f>_xlfn.XLOOKUP(FMS_Ranking4[[#This Row],[FMS ID]],FMS_Input[FMS_ID],FMS_Input[STRUCT_100])</f>
        <v>606</v>
      </c>
      <c r="N86" s="255">
        <f>(ASINH(FMS_Ranking4[[#This Row],[Structure at Risk Raw]]))*(10)/(ASINH(M$4))</f>
        <v>5.5816790364073583</v>
      </c>
      <c r="O86" s="256">
        <f>FMS_Ranking4[[#This Row],[Structures at risk, ArcSinh (0-10)]]*M$5*10</f>
        <v>5.5816790364073583</v>
      </c>
      <c r="P86" s="253">
        <f>_xlfn.XLOOKUP(FMS_Ranking4[[#This Row],[FMS ID]],FMS_Input[FMS_ID],FMS_Input[RES_STRUCT100])</f>
        <v>324</v>
      </c>
      <c r="Q86" s="257">
        <f>ASINH(FMS_Ranking4[[#This Row],[Res Structure Raw]])/Q$4*P$5*100</f>
        <v>0</v>
      </c>
      <c r="R86" s="253">
        <f>_xlfn.XLOOKUP(FMS_Ranking4[[#This Row],[FMS ID]],FMS_Input[FMS_ID],FMS_Input[POP100])</f>
        <v>1754</v>
      </c>
      <c r="S86" s="259">
        <f>(ASINH(FMS_Ranking4[[#This Row],[Pop at Risk Raw]]))*(10)/(ASINH(R$4))</f>
        <v>5.6352570518224487</v>
      </c>
      <c r="T86" s="256">
        <f>FMS_Ranking4[[#This Row],[Population at risk, ArcSinh (0-10)]]*R$5*10</f>
        <v>5.6352570518224487</v>
      </c>
      <c r="U86" s="253">
        <f>_xlfn.XLOOKUP(FMS_Ranking4[[#This Row],[FMS ID]],FMS_Input[FMS_ID],FMS_Input[CRITFAC100])</f>
        <v>1</v>
      </c>
      <c r="V86" s="259">
        <f>(ASINH(FMS_Ranking4[[#This Row],[Critical Facilities Raw]]))*(10)/(ASINH(U$4))</f>
        <v>1.0433384451410745</v>
      </c>
      <c r="W86" s="256">
        <f>FMS_Ranking4[[#This Row],[Critical facilities at risk, ArcSinh (0-10)]]*U$5*10</f>
        <v>1.0433384451410745</v>
      </c>
      <c r="X86" s="253">
        <f>_xlfn.XLOOKUP(FMS_Ranking4[[#This Row],[FMS ID]],FMS_Input[FMS_ID],FMS_Input[LWC])</f>
        <v>10</v>
      </c>
      <c r="Y86" s="259">
        <f>(ASINH(FMS_Ranking4[[#This Row],[LWC Raw]]))*(10)/(ASINH(X$4))</f>
        <v>4.06180589758889</v>
      </c>
      <c r="Z86" s="256">
        <f>FMS_Ranking4[[#This Row],[LWC, ArcSInh (0-10)]]*X$5*10</f>
        <v>4.06180589758889</v>
      </c>
      <c r="AA86" s="253">
        <f>_xlfn.XLOOKUP(FMS_Ranking4[[#This Row],[FMS ID]],FMS_Input[FMS_ID],FMS_Input[ROADCLS])</f>
        <v>0</v>
      </c>
      <c r="AB86" s="255">
        <f>(ASINH(FMS_Ranking4[[#This Row],[Road Closures Raw]]))*(10)/(ASINH(AA$4))</f>
        <v>0</v>
      </c>
      <c r="AC86" s="256">
        <f>FMS_Ranking4[[#This Row],[Road closures, ArcSinh (0-10)]]*AA$5*10</f>
        <v>0</v>
      </c>
      <c r="AD86" s="253">
        <f>_xlfn.XLOOKUP(FMS_Ranking4[[#This Row],[FMS ID]],FMS_Input[FMS_ID],FMS_Input[ROAD_MILES100])</f>
        <v>76</v>
      </c>
      <c r="AE86" s="259">
        <f>(ASINH(FMS_Ranking4[[#This Row],[Road Miles Raw]]))*(10)/(ASINH(AD$4))</f>
        <v>5.3541205681913837</v>
      </c>
      <c r="AF86" s="256">
        <f>FMS_Ranking4[[#This Row],[Length of roads at risk, ArcSinh (0-10)]]*AD$5*10</f>
        <v>5.3541205681913837</v>
      </c>
      <c r="AG86" s="253">
        <f>_xlfn.XLOOKUP(FMS_Ranking4[[#This Row],[FMS ID]],FMS_Input[FMS_ID],FMS_Input[FARMACRE100])</f>
        <v>11692.568359375</v>
      </c>
      <c r="AH86" s="255">
        <f>(ASINH(FMS_Ranking4[[#This Row],[Ag Land Raw]]))*(10)/(ASINH(AG$4))</f>
        <v>6.5346959885764848</v>
      </c>
      <c r="AI86" s="260">
        <f>FMS_Ranking4[[#This Row],[Farm &amp; ranch land, ArcSinh (0-10)]]*AG$5*10</f>
        <v>3.2673479942882429</v>
      </c>
      <c r="AJ86" s="258">
        <f>_xlfn.XLOOKUP(FMS_Ranking4[[#This Row],[FMS ID]],FMS_Input[FMS_ID],FMS_Input[REDSTRUCT100])</f>
        <v>152</v>
      </c>
      <c r="AK86" s="253">
        <f>_xlfn.XLOOKUP(FMS_Ranking4[[#This Row],[FMS ID]],FMS_Input[FMS_ID],FMS_Input[REMSTRC100])</f>
        <v>152</v>
      </c>
      <c r="AL86" s="259">
        <f>(ASINH(FMS_Ranking4[[#This Row],[Structures Removed Raw]]))*(10)/(ASINH(AK$4))</f>
        <v>6.5092564429572075</v>
      </c>
      <c r="AM86" s="262">
        <f>FMS_Ranking4[[#This Row],[Structures removed, ArcSinh (0-10)]]*AK$5*10</f>
        <v>6.5092564429572075</v>
      </c>
      <c r="AN86" s="253">
        <f>_xlfn.XLOOKUP(FMS_Ranking4[[#This Row],[FMS ID]],FMS_Input[FMS_ID],FMS_Input[REMRESSTRC100])</f>
        <v>81</v>
      </c>
      <c r="AO86" s="261">
        <f>FMS_Ranking4[[#This Row],[ArcSinh Res struct removed 0-10]]*AN$5*10</f>
        <v>2.984032250511814</v>
      </c>
      <c r="AP86" s="260">
        <f>ASINH(FMS_Ranking4[[#This Row],[Residential Structures Removed Raw]])/AP$4*AN$5*100</f>
        <v>2.9840322505118135</v>
      </c>
      <c r="AQ86" s="254">
        <f>(ASINH(FMS_Ranking4[[#This Row],[Residential Structures Removed Raw]]))*(10)/(ASINH(AN$4))</f>
        <v>5.9680645010236271</v>
      </c>
      <c r="AR86" s="253">
        <f>_xlfn.XLOOKUP(FMS_Ranking4[[#This Row],[FMS ID]],FMS_Input[FMS_ID],FMS_Input[REMPOP100])</f>
        <v>537</v>
      </c>
      <c r="AS86" s="259">
        <f>(ASINH(FMS_Ranking4[[#This Row],[Removed Pop Raw]]))*(10)/(ASINH(AR$4))</f>
        <v>6.8508725262868362</v>
      </c>
      <c r="AT86" s="262">
        <f>FMS_Ranking4[[#This Row],[Removed population, ArcSinh (0-10)]]*AR$5*10</f>
        <v>6.8508725262868362</v>
      </c>
      <c r="AU86" s="264">
        <f>_xlfn.XLOOKUP(FMS_Ranking4[[#This Row],[FMS ID]],FMS_Input[FMS_ID],FMS_Input[REMCRITFAC100])</f>
        <v>0</v>
      </c>
      <c r="AV86" s="264">
        <f>_xlfn.XLOOKUP(FMS_Ranking4[[#This Row],[FMS ID]],FMS_Input[FMS_ID],FMS_Input[REMLWC100])</f>
        <v>2</v>
      </c>
      <c r="AW86" s="264">
        <f>_xlfn.XLOOKUP(FMS_Ranking4[[#This Row],[FMS ID]],FMS_Input[FMS_ID],FMS_Input[REMROADCLS])</f>
        <v>0</v>
      </c>
      <c r="AX86" s="264">
        <f>_xlfn.XLOOKUP(FMS_Ranking4[[#This Row],[FMS ID]],FMS_Input[FMS_ID],FMS_Input[REMFRMACRE100])</f>
        <v>2923.14208984375</v>
      </c>
      <c r="AY86" s="258">
        <f>_xlfn.XLOOKUP(FMS_Ranking4[[#This Row],[FMS ID]],FMS_Input[FMS_ID],FMS_Input[COSTSTRUCT])</f>
        <v>25000</v>
      </c>
      <c r="AZ86" s="253">
        <f>_xlfn.XLOOKUP(FMS_Ranking4[[#This Row],[FMS ID]],FMS_Input[FMS_ID],FMS_Input[NATURE])</f>
        <v>0</v>
      </c>
      <c r="BA86" s="262">
        <f>(((FMS_Ranking4[[#This Row],[% NBS Raw]]/AZ$4)*100)*AZ$5)</f>
        <v>0</v>
      </c>
      <c r="BB86" s="251" t="str">
        <f>_xlfn.XLOOKUP(FMS_Ranking4[[#This Row],[FMS ID]],FMS_Input[FMS_ID],FMS_Input[WATER_SUP])</f>
        <v>No</v>
      </c>
      <c r="BC86" s="265">
        <f>IF(FMS_Ranking4[[#This Row],[Water Supply Raw]]="Yes",10,0)</f>
        <v>0</v>
      </c>
      <c r="BD86" s="266">
        <f>_xlfn.XLOOKUP(FMS_Ranking4[[#This Row],[FMS Type]],FMS_TYPE[FMS_Type],FMS_TYPE[Score])</f>
        <v>2</v>
      </c>
      <c r="BE86" s="267">
        <f>FMS_Ranking4[[#This Row],[FMS_Type Score]]*$BD$5*10</f>
        <v>0.5</v>
      </c>
      <c r="BF8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0.33498317970123836</v>
      </c>
      <c r="BG86" s="269">
        <f>_xlfn.RANK.EQ(BF86,$BF$8:$BF$870,0)+COUNTIF($BF$8:BF86,BF86)-1</f>
        <v>283</v>
      </c>
      <c r="BH86" s="268">
        <f>(((FMS_Ranking4[[#This Row],[Structures Removed Raw]]/AK$4)*100)*AK$5)+(((FMS_Ranking4[[#This Row],[Removed Pop Raw]]/AR$4)*100)*AR$5)</f>
        <v>0.87045171156033052</v>
      </c>
      <c r="BI8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1.7054348912615689</v>
      </c>
      <c r="BJ86" s="204">
        <f>_xlfn.RANK.EQ(FMS_Ranking4[[#This Row],[Total Score 
(with linear
normalization)]],FMS_Ranking4[Total Score 
(with linear
normalization)],0)</f>
        <v>549</v>
      </c>
      <c r="BK86" s="204" t="e">
        <f>_xlfn.XLOOKUP(FMS_Ranking4[[#This Row],[FMS ID]],#REF!,#REF!)</f>
        <v>#REF!</v>
      </c>
      <c r="BL86"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41.287710213195261</v>
      </c>
      <c r="BM86" s="270">
        <f>FMS_Ranking4[[#This Row],[ArcSinh Score Based on Normalized Reported Factors]]+FMS_Ranking4[[#This Row],[% NBS Score (Normalized)]]+(FMS_Ranking4[[#This Row],[Water Supply Score (Normalized)]]*10*$BB$5)+FMS_Ranking4[[#This Row],[FMS_Type Score Weighted]]</f>
        <v>41.787710213195261</v>
      </c>
      <c r="BN86" s="204">
        <f>_xlfn.RANK.EQ(FMS_Ranking4[[#This Row],[Total Score (with ArcSinh normalization of select criteria)]],FMS_Ranking4[Total Score (with ArcSinh normalization of select criteria)],0)</f>
        <v>79</v>
      </c>
      <c r="BO86" s="270" t="str">
        <f>_xlfn.XLOOKUP(FMS_Ranking4[[#This Row],[FMS ID]],FMS_Input[FMS_ID],FMS_Input[FMS_RANK_YEAR])</f>
        <v>2023 Amended Plan</v>
      </c>
      <c r="BP86" s="204">
        <f>_xlfn.XLOOKUP(FMS_Ranking4[[#This Row],[FMS ID]],Prev_Rank[FMS ID],Prev_Rank[Prev Rank])</f>
        <v>70</v>
      </c>
      <c r="BQ86" s="204" t="e">
        <f>_xlfn.XLOOKUP(FMS_Ranking4[[#This Row],[FMS ID]],#REF!,#REF!)</f>
        <v>#REF!</v>
      </c>
      <c r="BR86" s="199" t="e">
        <f>SUM(#REF!,#REF!,#REF!,#REF!,#REF!,#REF!,#REF!,#REF!,#REF!,FMS_Ranking4[[#This Row],[ArcSinh Res struct removed 0-10]],#REF!)</f>
        <v>#REF!</v>
      </c>
      <c r="BS86" s="199" t="e">
        <f>FMS_Ranking4[[#This Row],[Log Score Based on Normalized Reported Factors]]+FMS_Ranking4[[#This Row],[% NBS Score (Normalized)]]+(FMS_Ranking4[[#This Row],[Water Supply Score (Normalized)]]*10*$BB$5)+(FMS_Ranking4[[#This Row],[FMS_Type Score Weighted]])</f>
        <v>#REF!</v>
      </c>
      <c r="BT86" s="200" t="e">
        <f>_xlfn.RANK.EQ(FMS_Ranking4[[#This Row],[Log Total Score]],FMS_Ranking4[Log Total Score],0)</f>
        <v>#REF!</v>
      </c>
      <c r="BU86" s="200" t="e">
        <f>_xlfn.XLOOKUP(FMS_Ranking4[[#This Row],[FMS ID]],#REF!,#REF!)</f>
        <v>#REF!</v>
      </c>
      <c r="BV86" s="200">
        <f>FMS_Ranking4[[#This Row],[Region Number]]</f>
        <v>9</v>
      </c>
      <c r="BW86" s="200">
        <f>FMS_Ranking4[[#This Row],[Rank (with ArcSinh normalization of select criteria)]]-FMS_Ranking4[[#This Row],[Rank
(with linear
normalization)]]</f>
        <v>-470</v>
      </c>
      <c r="BX86" s="200" t="e">
        <f>FMS_Ranking4[[#This Row],[Log Rank]]-FMS_Ranking4[[#This Row],[Rank
(with linear
normalization)]]</f>
        <v>#REF!</v>
      </c>
      <c r="BY86" s="200" t="str">
        <f>IF(FMS_Ranking4[[#This Row],[FMS Type]]="Flood Measurement and Warning",FMS_Ranking4[[#This Row],[Rank (with ArcSinh normalization of select criteria)]],"")</f>
        <v/>
      </c>
      <c r="BZ86" s="200" t="str">
        <f>IF(FMS_Ranking4[[#This Row],[FMS Type]]="Regulatory and Guidance",FMS_Ranking4[[#This Row],[Rank (with ArcSinh normalization of select criteria)]],"")</f>
        <v/>
      </c>
      <c r="CA86" s="200" t="str">
        <f>IF(FMS_Ranking4[[#This Row],[FMS Type]]="Education and Outreach",FMS_Ranking4[[#This Row],[Rank (with ArcSinh normalization of select criteria)]],"")</f>
        <v/>
      </c>
      <c r="CB86" s="200" t="str">
        <f>IF(FMS_Ranking4[[#This Row],[FMS Type]]="Property Acquisition and Structural Elevation",FMS_Ranking4[[#This Row],[Rank (with ArcSinh normalization of select criteria)]],"")</f>
        <v/>
      </c>
      <c r="CC86" s="200" t="str">
        <f>IF(FMS_Ranking4[[#This Row],[FMS Type]]="Infrastructure Projects",FMS_Ranking4[[#This Row],[Rank (with ArcSinh normalization of select criteria)]],"")</f>
        <v/>
      </c>
      <c r="CD86" s="200">
        <f>IF(FMS_Ranking4[[#This Row],[FMS Type]]="Other",FMS_Ranking4[[#This Row],[Rank (with ArcSinh normalization of select criteria)]],"")</f>
        <v>79</v>
      </c>
      <c r="CE86" s="201"/>
    </row>
    <row r="87" spans="2:83" ht="30" x14ac:dyDescent="0.25">
      <c r="B87" s="341" t="s">
        <v>495</v>
      </c>
      <c r="C87" s="246">
        <f>_xlfn.XLOOKUP(FMS_Ranking4[[#This Row],[FMS ID]],FMS_Input[FMS_ID],FMS_Input[RFPG_NUM])</f>
        <v>9</v>
      </c>
      <c r="D87" s="309" t="str">
        <f>_xlfn.XLOOKUP(FMS_Ranking4[[#This Row],[FMS ID]],FMS_Input[FMS_ID],FMS_Input[FMS_NAME])</f>
        <v>Scurry County NFIP Application</v>
      </c>
      <c r="E87" s="308" t="str">
        <f>_xlfn.XLOOKUP(FMS_Ranking4[[#This Row],[FMS ID]],FMS_Input[FMS_ID],FMS_Input[SPONSOR])</f>
        <v>00000115</v>
      </c>
      <c r="F87" s="309" t="str">
        <f>_xlfn.XLOOKUP(FMS_Ranking4[[#This Row],[FMS ID]],Sponsor[FMS_ID],Sponsor[SPONSOR NAME])</f>
        <v>Borden</v>
      </c>
      <c r="G87" s="309" t="str">
        <f>_xlfn.XLOOKUP(FMS_Ranking4[[#This Row],[FMS ID]],FMS_Input[FMS_ID],FMS_Input[FMS_DESCR])</f>
        <v>Application to join NFIP</v>
      </c>
      <c r="H87" s="248" t="str">
        <f>_xlfn.XLOOKUP(FMS_Ranking4[[#This Row],[FMS ID]],FMS_Input[FMS_ID],FMS_Input[FMS_TYPE])</f>
        <v>Other</v>
      </c>
      <c r="I87" s="249">
        <f>_xlfn.XLOOKUP(FMS_Ranking4[[#This Row],[FMS ID]],FMS_Input[FMS_ID],FMS_Input[NRNC_COST])</f>
        <v>5000</v>
      </c>
      <c r="J87" s="250">
        <f>_xlfn.XLOOKUP(FMS_Ranking4[[#This Row],[FMS ID]],FMS_Input[FMS_ID],FMS_Input[FMS_COST])</f>
        <v>30000</v>
      </c>
      <c r="K87" s="251" t="str">
        <f>_xlfn.XLOOKUP(FMS_Ranking4[[#This Row],[FMS ID]],FMS_Input[FMS_ID],FMS_Input[EMER_NEED])</f>
        <v>No</v>
      </c>
      <c r="L87" s="252">
        <f t="shared" si="1"/>
        <v>0</v>
      </c>
      <c r="M87" s="253">
        <f>_xlfn.XLOOKUP(FMS_Ranking4[[#This Row],[FMS ID]],FMS_Input[FMS_ID],FMS_Input[STRUCT_100])</f>
        <v>606</v>
      </c>
      <c r="N87" s="255">
        <f>(ASINH(FMS_Ranking4[[#This Row],[Structure at Risk Raw]]))*(10)/(ASINH(M$4))</f>
        <v>5.5816790364073583</v>
      </c>
      <c r="O87" s="256">
        <f>FMS_Ranking4[[#This Row],[Structures at risk, ArcSinh (0-10)]]*M$5*10</f>
        <v>5.5816790364073583</v>
      </c>
      <c r="P87" s="253">
        <f>_xlfn.XLOOKUP(FMS_Ranking4[[#This Row],[FMS ID]],FMS_Input[FMS_ID],FMS_Input[RES_STRUCT100])</f>
        <v>324</v>
      </c>
      <c r="Q87" s="257">
        <f>ASINH(FMS_Ranking4[[#This Row],[Res Structure Raw]])/Q$4*P$5*100</f>
        <v>0</v>
      </c>
      <c r="R87" s="253">
        <f>_xlfn.XLOOKUP(FMS_Ranking4[[#This Row],[FMS ID]],FMS_Input[FMS_ID],FMS_Input[POP100])</f>
        <v>1754</v>
      </c>
      <c r="S87" s="259">
        <f>(ASINH(FMS_Ranking4[[#This Row],[Pop at Risk Raw]]))*(10)/(ASINH(R$4))</f>
        <v>5.6352570518224487</v>
      </c>
      <c r="T87" s="256">
        <f>FMS_Ranking4[[#This Row],[Population at risk, ArcSinh (0-10)]]*R$5*10</f>
        <v>5.6352570518224487</v>
      </c>
      <c r="U87" s="253">
        <f>_xlfn.XLOOKUP(FMS_Ranking4[[#This Row],[FMS ID]],FMS_Input[FMS_ID],FMS_Input[CRITFAC100])</f>
        <v>1</v>
      </c>
      <c r="V87" s="259">
        <f>(ASINH(FMS_Ranking4[[#This Row],[Critical Facilities Raw]]))*(10)/(ASINH(U$4))</f>
        <v>1.0433384451410745</v>
      </c>
      <c r="W87" s="256">
        <f>FMS_Ranking4[[#This Row],[Critical facilities at risk, ArcSinh (0-10)]]*U$5*10</f>
        <v>1.0433384451410745</v>
      </c>
      <c r="X87" s="253">
        <f>_xlfn.XLOOKUP(FMS_Ranking4[[#This Row],[FMS ID]],FMS_Input[FMS_ID],FMS_Input[LWC])</f>
        <v>10</v>
      </c>
      <c r="Y87" s="259">
        <f>(ASINH(FMS_Ranking4[[#This Row],[LWC Raw]]))*(10)/(ASINH(X$4))</f>
        <v>4.06180589758889</v>
      </c>
      <c r="Z87" s="256">
        <f>FMS_Ranking4[[#This Row],[LWC, ArcSInh (0-10)]]*X$5*10</f>
        <v>4.06180589758889</v>
      </c>
      <c r="AA87" s="253">
        <f>_xlfn.XLOOKUP(FMS_Ranking4[[#This Row],[FMS ID]],FMS_Input[FMS_ID],FMS_Input[ROADCLS])</f>
        <v>0</v>
      </c>
      <c r="AB87" s="255">
        <f>(ASINH(FMS_Ranking4[[#This Row],[Road Closures Raw]]))*(10)/(ASINH(AA$4))</f>
        <v>0</v>
      </c>
      <c r="AC87" s="256">
        <f>FMS_Ranking4[[#This Row],[Road closures, ArcSinh (0-10)]]*AA$5*10</f>
        <v>0</v>
      </c>
      <c r="AD87" s="253">
        <f>_xlfn.XLOOKUP(FMS_Ranking4[[#This Row],[FMS ID]],FMS_Input[FMS_ID],FMS_Input[ROAD_MILES100])</f>
        <v>76</v>
      </c>
      <c r="AE87" s="259">
        <f>(ASINH(FMS_Ranking4[[#This Row],[Road Miles Raw]]))*(10)/(ASINH(AD$4))</f>
        <v>5.3541205681913837</v>
      </c>
      <c r="AF87" s="256">
        <f>FMS_Ranking4[[#This Row],[Length of roads at risk, ArcSinh (0-10)]]*AD$5*10</f>
        <v>5.3541205681913837</v>
      </c>
      <c r="AG87" s="253">
        <f>_xlfn.XLOOKUP(FMS_Ranking4[[#This Row],[FMS ID]],FMS_Input[FMS_ID],FMS_Input[FARMACRE100])</f>
        <v>11692.568359375</v>
      </c>
      <c r="AH87" s="255">
        <f>(ASINH(FMS_Ranking4[[#This Row],[Ag Land Raw]]))*(10)/(ASINH(AG$4))</f>
        <v>6.5346959885764848</v>
      </c>
      <c r="AI87" s="260">
        <f>FMS_Ranking4[[#This Row],[Farm &amp; ranch land, ArcSinh (0-10)]]*AG$5*10</f>
        <v>3.2673479942882429</v>
      </c>
      <c r="AJ87" s="258">
        <f>_xlfn.XLOOKUP(FMS_Ranking4[[#This Row],[FMS ID]],FMS_Input[FMS_ID],FMS_Input[REDSTRUCT100])</f>
        <v>152</v>
      </c>
      <c r="AK87" s="253">
        <f>_xlfn.XLOOKUP(FMS_Ranking4[[#This Row],[FMS ID]],FMS_Input[FMS_ID],FMS_Input[REMSTRC100])</f>
        <v>152</v>
      </c>
      <c r="AL87" s="259">
        <f>(ASINH(FMS_Ranking4[[#This Row],[Structures Removed Raw]]))*(10)/(ASINH(AK$4))</f>
        <v>6.5092564429572075</v>
      </c>
      <c r="AM87" s="262">
        <f>FMS_Ranking4[[#This Row],[Structures removed, ArcSinh (0-10)]]*AK$5*10</f>
        <v>6.5092564429572075</v>
      </c>
      <c r="AN87" s="253">
        <f>_xlfn.XLOOKUP(FMS_Ranking4[[#This Row],[FMS ID]],FMS_Input[FMS_ID],FMS_Input[REMRESSTRC100])</f>
        <v>81</v>
      </c>
      <c r="AO87" s="261">
        <f>FMS_Ranking4[[#This Row],[ArcSinh Res struct removed 0-10]]*AN$5*10</f>
        <v>2.984032250511814</v>
      </c>
      <c r="AP87" s="260">
        <f>ASINH(FMS_Ranking4[[#This Row],[Residential Structures Removed Raw]])/AP$4*AN$5*100</f>
        <v>2.9840322505118135</v>
      </c>
      <c r="AQ87" s="254">
        <f>(ASINH(FMS_Ranking4[[#This Row],[Residential Structures Removed Raw]]))*(10)/(ASINH(AN$4))</f>
        <v>5.9680645010236271</v>
      </c>
      <c r="AR87" s="253">
        <f>_xlfn.XLOOKUP(FMS_Ranking4[[#This Row],[FMS ID]],FMS_Input[FMS_ID],FMS_Input[REMPOP100])</f>
        <v>537</v>
      </c>
      <c r="AS87" s="259">
        <f>(ASINH(FMS_Ranking4[[#This Row],[Removed Pop Raw]]))*(10)/(ASINH(AR$4))</f>
        <v>6.8508725262868362</v>
      </c>
      <c r="AT87" s="262">
        <f>FMS_Ranking4[[#This Row],[Removed population, ArcSinh (0-10)]]*AR$5*10</f>
        <v>6.8508725262868362</v>
      </c>
      <c r="AU87" s="264">
        <f>_xlfn.XLOOKUP(FMS_Ranking4[[#This Row],[FMS ID]],FMS_Input[FMS_ID],FMS_Input[REMCRITFAC100])</f>
        <v>0</v>
      </c>
      <c r="AV87" s="264">
        <f>_xlfn.XLOOKUP(FMS_Ranking4[[#This Row],[FMS ID]],FMS_Input[FMS_ID],FMS_Input[REMLWC100])</f>
        <v>2</v>
      </c>
      <c r="AW87" s="264">
        <f>_xlfn.XLOOKUP(FMS_Ranking4[[#This Row],[FMS ID]],FMS_Input[FMS_ID],FMS_Input[REMROADCLS])</f>
        <v>0</v>
      </c>
      <c r="AX87" s="264">
        <f>_xlfn.XLOOKUP(FMS_Ranking4[[#This Row],[FMS ID]],FMS_Input[FMS_ID],FMS_Input[REMFRMACRE100])</f>
        <v>2923.14208984375</v>
      </c>
      <c r="AY87" s="258">
        <f>_xlfn.XLOOKUP(FMS_Ranking4[[#This Row],[FMS ID]],FMS_Input[FMS_ID],FMS_Input[COSTSTRUCT])</f>
        <v>25000</v>
      </c>
      <c r="AZ87" s="253">
        <f>_xlfn.XLOOKUP(FMS_Ranking4[[#This Row],[FMS ID]],FMS_Input[FMS_ID],FMS_Input[NATURE])</f>
        <v>0</v>
      </c>
      <c r="BA87" s="262">
        <f>(((FMS_Ranking4[[#This Row],[% NBS Raw]]/AZ$4)*100)*AZ$5)</f>
        <v>0</v>
      </c>
      <c r="BB87" s="251" t="str">
        <f>_xlfn.XLOOKUP(FMS_Ranking4[[#This Row],[FMS ID]],FMS_Input[FMS_ID],FMS_Input[WATER_SUP])</f>
        <v>No</v>
      </c>
      <c r="BC87" s="265">
        <f>IF(FMS_Ranking4[[#This Row],[Water Supply Raw]]="Yes",10,0)</f>
        <v>0</v>
      </c>
      <c r="BD87" s="266">
        <f>_xlfn.XLOOKUP(FMS_Ranking4[[#This Row],[FMS Type]],FMS_TYPE[FMS_Type],FMS_TYPE[Score])</f>
        <v>2</v>
      </c>
      <c r="BE87" s="267">
        <f>FMS_Ranking4[[#This Row],[FMS_Type Score]]*$BD$5*10</f>
        <v>0.5</v>
      </c>
      <c r="BF8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0.33498317970123836</v>
      </c>
      <c r="BG87" s="269">
        <f>_xlfn.RANK.EQ(BF87,$BF$8:$BF$870,0)+COUNTIF($BF$8:BF87,BF87)-1</f>
        <v>284</v>
      </c>
      <c r="BH87" s="268">
        <f>(((FMS_Ranking4[[#This Row],[Structures Removed Raw]]/AK$4)*100)*AK$5)+(((FMS_Ranking4[[#This Row],[Removed Pop Raw]]/AR$4)*100)*AR$5)</f>
        <v>0.87045171156033052</v>
      </c>
      <c r="BI8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1.7054348912615689</v>
      </c>
      <c r="BJ87" s="204">
        <f>_xlfn.RANK.EQ(FMS_Ranking4[[#This Row],[Total Score 
(with linear
normalization)]],FMS_Ranking4[Total Score 
(with linear
normalization)],0)</f>
        <v>549</v>
      </c>
      <c r="BK87" s="204" t="e">
        <f>_xlfn.XLOOKUP(FMS_Ranking4[[#This Row],[FMS ID]],#REF!,#REF!)</f>
        <v>#REF!</v>
      </c>
      <c r="BL87"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41.287710213195261</v>
      </c>
      <c r="BM87" s="270">
        <f>FMS_Ranking4[[#This Row],[ArcSinh Score Based on Normalized Reported Factors]]+FMS_Ranking4[[#This Row],[% NBS Score (Normalized)]]+(FMS_Ranking4[[#This Row],[Water Supply Score (Normalized)]]*10*$BB$5)+FMS_Ranking4[[#This Row],[FMS_Type Score Weighted]]</f>
        <v>41.787710213195261</v>
      </c>
      <c r="BN87" s="204">
        <f>_xlfn.RANK.EQ(FMS_Ranking4[[#This Row],[Total Score (with ArcSinh normalization of select criteria)]],FMS_Ranking4[Total Score (with ArcSinh normalization of select criteria)],0)</f>
        <v>79</v>
      </c>
      <c r="BO87" s="270" t="str">
        <f>_xlfn.XLOOKUP(FMS_Ranking4[[#This Row],[FMS ID]],FMS_Input[FMS_ID],FMS_Input[FMS_RANK_YEAR])</f>
        <v>2023 Amended Plan</v>
      </c>
      <c r="BP87" s="204">
        <f>_xlfn.XLOOKUP(FMS_Ranking4[[#This Row],[FMS ID]],Prev_Rank[FMS ID],Prev_Rank[Prev Rank])</f>
        <v>70</v>
      </c>
      <c r="BQ87" s="204" t="e">
        <f>_xlfn.XLOOKUP(FMS_Ranking4[[#This Row],[FMS ID]],#REF!,#REF!)</f>
        <v>#REF!</v>
      </c>
      <c r="BR87" s="199" t="e">
        <f>SUM(#REF!,#REF!,#REF!,#REF!,#REF!,#REF!,#REF!,#REF!,#REF!,FMS_Ranking4[[#This Row],[ArcSinh Res struct removed 0-10]],#REF!)</f>
        <v>#REF!</v>
      </c>
      <c r="BS87" s="199" t="e">
        <f>FMS_Ranking4[[#This Row],[Log Score Based on Normalized Reported Factors]]+FMS_Ranking4[[#This Row],[% NBS Score (Normalized)]]+(FMS_Ranking4[[#This Row],[Water Supply Score (Normalized)]]*10*$BB$5)+(FMS_Ranking4[[#This Row],[FMS_Type Score Weighted]])</f>
        <v>#REF!</v>
      </c>
      <c r="BT87" s="200" t="e">
        <f>_xlfn.RANK.EQ(FMS_Ranking4[[#This Row],[Log Total Score]],FMS_Ranking4[Log Total Score],0)</f>
        <v>#REF!</v>
      </c>
      <c r="BU87" s="200" t="e">
        <f>_xlfn.XLOOKUP(FMS_Ranking4[[#This Row],[FMS ID]],#REF!,#REF!)</f>
        <v>#REF!</v>
      </c>
      <c r="BV87" s="200">
        <f>FMS_Ranking4[[#This Row],[Region Number]]</f>
        <v>9</v>
      </c>
      <c r="BW87" s="200">
        <f>FMS_Ranking4[[#This Row],[Rank (with ArcSinh normalization of select criteria)]]-FMS_Ranking4[[#This Row],[Rank
(with linear
normalization)]]</f>
        <v>-470</v>
      </c>
      <c r="BX87" s="200" t="e">
        <f>FMS_Ranking4[[#This Row],[Log Rank]]-FMS_Ranking4[[#This Row],[Rank
(with linear
normalization)]]</f>
        <v>#REF!</v>
      </c>
      <c r="BY87" s="200" t="str">
        <f>IF(FMS_Ranking4[[#This Row],[FMS Type]]="Flood Measurement and Warning",FMS_Ranking4[[#This Row],[Rank (with ArcSinh normalization of select criteria)]],"")</f>
        <v/>
      </c>
      <c r="BZ87" s="200" t="str">
        <f>IF(FMS_Ranking4[[#This Row],[FMS Type]]="Regulatory and Guidance",FMS_Ranking4[[#This Row],[Rank (with ArcSinh normalization of select criteria)]],"")</f>
        <v/>
      </c>
      <c r="CA87" s="200" t="str">
        <f>IF(FMS_Ranking4[[#This Row],[FMS Type]]="Education and Outreach",FMS_Ranking4[[#This Row],[Rank (with ArcSinh normalization of select criteria)]],"")</f>
        <v/>
      </c>
      <c r="CB87" s="200" t="str">
        <f>IF(FMS_Ranking4[[#This Row],[FMS Type]]="Property Acquisition and Structural Elevation",FMS_Ranking4[[#This Row],[Rank (with ArcSinh normalization of select criteria)]],"")</f>
        <v/>
      </c>
      <c r="CC87" s="200" t="str">
        <f>IF(FMS_Ranking4[[#This Row],[FMS Type]]="Infrastructure Projects",FMS_Ranking4[[#This Row],[Rank (with ArcSinh normalization of select criteria)]],"")</f>
        <v/>
      </c>
      <c r="CD87" s="200">
        <f>IF(FMS_Ranking4[[#This Row],[FMS Type]]="Other",FMS_Ranking4[[#This Row],[Rank (with ArcSinh normalization of select criteria)]],"")</f>
        <v>79</v>
      </c>
      <c r="CE87" s="201"/>
    </row>
    <row r="88" spans="2:83" ht="30" x14ac:dyDescent="0.25">
      <c r="B88" s="341" t="s">
        <v>849</v>
      </c>
      <c r="C88" s="246">
        <f>_xlfn.XLOOKUP(FMS_Ranking4[[#This Row],[FMS ID]],FMS_Input[FMS_ID],FMS_Input[RFPG_NUM])</f>
        <v>9</v>
      </c>
      <c r="D88" s="309" t="str">
        <f>_xlfn.XLOOKUP(FMS_Ranking4[[#This Row],[FMS ID]],FMS_Input[FMS_ID],FMS_Input[FMS_NAME])</f>
        <v>Scurry County New Development Criteria</v>
      </c>
      <c r="E88" s="308" t="str">
        <f>_xlfn.XLOOKUP(FMS_Ranking4[[#This Row],[FMS ID]],FMS_Input[FMS_ID],FMS_Input[SPONSOR])</f>
        <v>00000115</v>
      </c>
      <c r="F88" s="309" t="str">
        <f>_xlfn.XLOOKUP(FMS_Ranking4[[#This Row],[FMS ID]],Sponsor[FMS_ID],Sponsor[SPONSOR NAME])</f>
        <v>Borden</v>
      </c>
      <c r="G88" s="309" t="str">
        <f>_xlfn.XLOOKUP(FMS_Ranking4[[#This Row],[FMS ID]],FMS_Input[FMS_ID],FMS_Input[FMS_DESCR])</f>
        <v xml:space="preserve">Require new public buildings to be sited on low risk parcels. </v>
      </c>
      <c r="H88" s="248" t="str">
        <f>_xlfn.XLOOKUP(FMS_Ranking4[[#This Row],[FMS ID]],FMS_Input[FMS_ID],FMS_Input[FMS_TYPE])</f>
        <v>Other</v>
      </c>
      <c r="I88" s="249">
        <f>_xlfn.XLOOKUP(FMS_Ranking4[[#This Row],[FMS ID]],FMS_Input[FMS_ID],FMS_Input[NRNC_COST])</f>
        <v>5000</v>
      </c>
      <c r="J88" s="250">
        <f>_xlfn.XLOOKUP(FMS_Ranking4[[#This Row],[FMS ID]],FMS_Input[FMS_ID],FMS_Input[FMS_COST])</f>
        <v>30000</v>
      </c>
      <c r="K88" s="251" t="str">
        <f>_xlfn.XLOOKUP(FMS_Ranking4[[#This Row],[FMS ID]],FMS_Input[FMS_ID],FMS_Input[EMER_NEED])</f>
        <v>No</v>
      </c>
      <c r="L88" s="252">
        <f t="shared" si="1"/>
        <v>0</v>
      </c>
      <c r="M88" s="253">
        <f>_xlfn.XLOOKUP(FMS_Ranking4[[#This Row],[FMS ID]],FMS_Input[FMS_ID],FMS_Input[STRUCT_100])</f>
        <v>606</v>
      </c>
      <c r="N88" s="255">
        <f>(ASINH(FMS_Ranking4[[#This Row],[Structure at Risk Raw]]))*(10)/(ASINH(M$4))</f>
        <v>5.5816790364073583</v>
      </c>
      <c r="O88" s="256">
        <f>FMS_Ranking4[[#This Row],[Structures at risk, ArcSinh (0-10)]]*M$5*10</f>
        <v>5.5816790364073583</v>
      </c>
      <c r="P88" s="253">
        <f>_xlfn.XLOOKUP(FMS_Ranking4[[#This Row],[FMS ID]],FMS_Input[FMS_ID],FMS_Input[RES_STRUCT100])</f>
        <v>324</v>
      </c>
      <c r="Q88" s="257">
        <f>ASINH(FMS_Ranking4[[#This Row],[Res Structure Raw]])/Q$4*P$5*100</f>
        <v>0</v>
      </c>
      <c r="R88" s="253">
        <f>_xlfn.XLOOKUP(FMS_Ranking4[[#This Row],[FMS ID]],FMS_Input[FMS_ID],FMS_Input[POP100])</f>
        <v>1754</v>
      </c>
      <c r="S88" s="259">
        <f>(ASINH(FMS_Ranking4[[#This Row],[Pop at Risk Raw]]))*(10)/(ASINH(R$4))</f>
        <v>5.6352570518224487</v>
      </c>
      <c r="T88" s="256">
        <f>FMS_Ranking4[[#This Row],[Population at risk, ArcSinh (0-10)]]*R$5*10</f>
        <v>5.6352570518224487</v>
      </c>
      <c r="U88" s="253">
        <f>_xlfn.XLOOKUP(FMS_Ranking4[[#This Row],[FMS ID]],FMS_Input[FMS_ID],FMS_Input[CRITFAC100])</f>
        <v>1</v>
      </c>
      <c r="V88" s="259">
        <f>(ASINH(FMS_Ranking4[[#This Row],[Critical Facilities Raw]]))*(10)/(ASINH(U$4))</f>
        <v>1.0433384451410745</v>
      </c>
      <c r="W88" s="256">
        <f>FMS_Ranking4[[#This Row],[Critical facilities at risk, ArcSinh (0-10)]]*U$5*10</f>
        <v>1.0433384451410745</v>
      </c>
      <c r="X88" s="253">
        <f>_xlfn.XLOOKUP(FMS_Ranking4[[#This Row],[FMS ID]],FMS_Input[FMS_ID],FMS_Input[LWC])</f>
        <v>10</v>
      </c>
      <c r="Y88" s="259">
        <f>(ASINH(FMS_Ranking4[[#This Row],[LWC Raw]]))*(10)/(ASINH(X$4))</f>
        <v>4.06180589758889</v>
      </c>
      <c r="Z88" s="256">
        <f>FMS_Ranking4[[#This Row],[LWC, ArcSInh (0-10)]]*X$5*10</f>
        <v>4.06180589758889</v>
      </c>
      <c r="AA88" s="253">
        <f>_xlfn.XLOOKUP(FMS_Ranking4[[#This Row],[FMS ID]],FMS_Input[FMS_ID],FMS_Input[ROADCLS])</f>
        <v>0</v>
      </c>
      <c r="AB88" s="255">
        <f>(ASINH(FMS_Ranking4[[#This Row],[Road Closures Raw]]))*(10)/(ASINH(AA$4))</f>
        <v>0</v>
      </c>
      <c r="AC88" s="256">
        <f>FMS_Ranking4[[#This Row],[Road closures, ArcSinh (0-10)]]*AA$5*10</f>
        <v>0</v>
      </c>
      <c r="AD88" s="253">
        <f>_xlfn.XLOOKUP(FMS_Ranking4[[#This Row],[FMS ID]],FMS_Input[FMS_ID],FMS_Input[ROAD_MILES100])</f>
        <v>76</v>
      </c>
      <c r="AE88" s="259">
        <f>(ASINH(FMS_Ranking4[[#This Row],[Road Miles Raw]]))*(10)/(ASINH(AD$4))</f>
        <v>5.3541205681913837</v>
      </c>
      <c r="AF88" s="256">
        <f>FMS_Ranking4[[#This Row],[Length of roads at risk, ArcSinh (0-10)]]*AD$5*10</f>
        <v>5.3541205681913837</v>
      </c>
      <c r="AG88" s="253">
        <f>_xlfn.XLOOKUP(FMS_Ranking4[[#This Row],[FMS ID]],FMS_Input[FMS_ID],FMS_Input[FARMACRE100])</f>
        <v>11692.4853515625</v>
      </c>
      <c r="AH88" s="255">
        <f>(ASINH(FMS_Ranking4[[#This Row],[Ag Land Raw]]))*(10)/(ASINH(AG$4))</f>
        <v>6.5346913770551884</v>
      </c>
      <c r="AI88" s="260">
        <f>FMS_Ranking4[[#This Row],[Farm &amp; ranch land, ArcSinh (0-10)]]*AG$5*10</f>
        <v>3.2673456885275942</v>
      </c>
      <c r="AJ88" s="258">
        <f>_xlfn.XLOOKUP(FMS_Ranking4[[#This Row],[FMS ID]],FMS_Input[FMS_ID],FMS_Input[REDSTRUCT100])</f>
        <v>152</v>
      </c>
      <c r="AK88" s="253">
        <f>_xlfn.XLOOKUP(FMS_Ranking4[[#This Row],[FMS ID]],FMS_Input[FMS_ID],FMS_Input[REMSTRC100])</f>
        <v>152</v>
      </c>
      <c r="AL88" s="259">
        <f>(ASINH(FMS_Ranking4[[#This Row],[Structures Removed Raw]]))*(10)/(ASINH(AK$4))</f>
        <v>6.5092564429572075</v>
      </c>
      <c r="AM88" s="262">
        <f>FMS_Ranking4[[#This Row],[Structures removed, ArcSinh (0-10)]]*AK$5*10</f>
        <v>6.5092564429572075</v>
      </c>
      <c r="AN88" s="253">
        <f>_xlfn.XLOOKUP(FMS_Ranking4[[#This Row],[FMS ID]],FMS_Input[FMS_ID],FMS_Input[REMRESSTRC100])</f>
        <v>81</v>
      </c>
      <c r="AO88" s="261">
        <f>FMS_Ranking4[[#This Row],[ArcSinh Res struct removed 0-10]]*AN$5*10</f>
        <v>2.984032250511814</v>
      </c>
      <c r="AP88" s="260">
        <f>ASINH(FMS_Ranking4[[#This Row],[Residential Structures Removed Raw]])/AP$4*AN$5*100</f>
        <v>2.9840322505118135</v>
      </c>
      <c r="AQ88" s="254">
        <f>(ASINH(FMS_Ranking4[[#This Row],[Residential Structures Removed Raw]]))*(10)/(ASINH(AN$4))</f>
        <v>5.9680645010236271</v>
      </c>
      <c r="AR88" s="253">
        <f>_xlfn.XLOOKUP(FMS_Ranking4[[#This Row],[FMS ID]],FMS_Input[FMS_ID],FMS_Input[REMPOP100])</f>
        <v>537</v>
      </c>
      <c r="AS88" s="259">
        <f>(ASINH(FMS_Ranking4[[#This Row],[Removed Pop Raw]]))*(10)/(ASINH(AR$4))</f>
        <v>6.8508725262868362</v>
      </c>
      <c r="AT88" s="262">
        <f>FMS_Ranking4[[#This Row],[Removed population, ArcSinh (0-10)]]*AR$5*10</f>
        <v>6.8508725262868362</v>
      </c>
      <c r="AU88" s="264">
        <f>_xlfn.XLOOKUP(FMS_Ranking4[[#This Row],[FMS ID]],FMS_Input[FMS_ID],FMS_Input[REMCRITFAC100])</f>
        <v>0</v>
      </c>
      <c r="AV88" s="264">
        <f>_xlfn.XLOOKUP(FMS_Ranking4[[#This Row],[FMS ID]],FMS_Input[FMS_ID],FMS_Input[REMLWC100])</f>
        <v>2</v>
      </c>
      <c r="AW88" s="264">
        <f>_xlfn.XLOOKUP(FMS_Ranking4[[#This Row],[FMS ID]],FMS_Input[FMS_ID],FMS_Input[REMROADCLS])</f>
        <v>0</v>
      </c>
      <c r="AX88" s="264">
        <f>_xlfn.XLOOKUP(FMS_Ranking4[[#This Row],[FMS ID]],FMS_Input[FMS_ID],FMS_Input[REMFRMACRE100])</f>
        <v>2923.121337890625</v>
      </c>
      <c r="AY88" s="258">
        <f>_xlfn.XLOOKUP(FMS_Ranking4[[#This Row],[FMS ID]],FMS_Input[FMS_ID],FMS_Input[COSTSTRUCT])</f>
        <v>25000</v>
      </c>
      <c r="AZ88" s="253">
        <f>_xlfn.XLOOKUP(FMS_Ranking4[[#This Row],[FMS ID]],FMS_Input[FMS_ID],FMS_Input[NATURE])</f>
        <v>0</v>
      </c>
      <c r="BA88" s="262">
        <f>(((FMS_Ranking4[[#This Row],[% NBS Raw]]/AZ$4)*100)*AZ$5)</f>
        <v>0</v>
      </c>
      <c r="BB88" s="251" t="str">
        <f>_xlfn.XLOOKUP(FMS_Ranking4[[#This Row],[FMS ID]],FMS_Input[FMS_ID],FMS_Input[WATER_SUP])</f>
        <v>No</v>
      </c>
      <c r="BC88" s="265">
        <f>IF(FMS_Ranking4[[#This Row],[Water Supply Raw]]="Yes",10,0)</f>
        <v>0</v>
      </c>
      <c r="BD88" s="266">
        <f>_xlfn.XLOOKUP(FMS_Ranking4[[#This Row],[FMS Type]],FMS_TYPE[FMS_Type],FMS_TYPE[Score])</f>
        <v>2</v>
      </c>
      <c r="BE88" s="267">
        <f>FMS_Ranking4[[#This Row],[FMS_Type Score]]*$BD$5*10</f>
        <v>0.5</v>
      </c>
      <c r="BF8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0.33498300855770824</v>
      </c>
      <c r="BG88" s="271">
        <f>_xlfn.RANK.EQ(BF88,$BF$8:$BF$870,0)+COUNTIF($BF$8:BF88,BF88)-1</f>
        <v>285</v>
      </c>
      <c r="BH88" s="268">
        <f>(((FMS_Ranking4[[#This Row],[Structures Removed Raw]]/AK$4)*100)*AK$5)+(((FMS_Ranking4[[#This Row],[Removed Pop Raw]]/AR$4)*100)*AR$5)</f>
        <v>0.87045171156033052</v>
      </c>
      <c r="BI8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1.7054347201180389</v>
      </c>
      <c r="BJ88" s="205">
        <f>_xlfn.RANK.EQ(FMS_Ranking4[[#This Row],[Total Score 
(with linear
normalization)]],FMS_Ranking4[Total Score 
(with linear
normalization)],0)</f>
        <v>551</v>
      </c>
      <c r="BK88" s="205" t="e">
        <f>_xlfn.XLOOKUP(FMS_Ranking4[[#This Row],[FMS ID]],#REF!,#REF!)</f>
        <v>#REF!</v>
      </c>
      <c r="BL8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41.287707907434609</v>
      </c>
      <c r="BM88" s="272">
        <f>FMS_Ranking4[[#This Row],[ArcSinh Score Based on Normalized Reported Factors]]+FMS_Ranking4[[#This Row],[% NBS Score (Normalized)]]+(FMS_Ranking4[[#This Row],[Water Supply Score (Normalized)]]*10*$BB$5)+FMS_Ranking4[[#This Row],[FMS_Type Score Weighted]]</f>
        <v>41.787707907434609</v>
      </c>
      <c r="BN88" s="205">
        <f>_xlfn.RANK.EQ(FMS_Ranking4[[#This Row],[Total Score (with ArcSinh normalization of select criteria)]],FMS_Ranking4[Total Score (with ArcSinh normalization of select criteria)],0)</f>
        <v>81</v>
      </c>
      <c r="BO88" s="270" t="str">
        <f>_xlfn.XLOOKUP(FMS_Ranking4[[#This Row],[FMS ID]],FMS_Input[FMS_ID],FMS_Input[FMS_RANK_YEAR])</f>
        <v>2023 Amended Plan</v>
      </c>
      <c r="BP88" s="204">
        <f>_xlfn.XLOOKUP(FMS_Ranking4[[#This Row],[FMS ID]],Prev_Rank[FMS ID],Prev_Rank[Prev Rank])</f>
        <v>72</v>
      </c>
      <c r="BQ88" s="205" t="e">
        <f>_xlfn.XLOOKUP(FMS_Ranking4[[#This Row],[FMS ID]],#REF!,#REF!)</f>
        <v>#REF!</v>
      </c>
      <c r="BR88" s="199" t="e">
        <f>SUM(#REF!,#REF!,#REF!,#REF!,#REF!,#REF!,#REF!,#REF!,#REF!,FMS_Ranking4[[#This Row],[ArcSinh Res struct removed 0-10]],#REF!)</f>
        <v>#REF!</v>
      </c>
      <c r="BS88" s="199" t="e">
        <f>FMS_Ranking4[[#This Row],[Log Score Based on Normalized Reported Factors]]+FMS_Ranking4[[#This Row],[% NBS Score (Normalized)]]+(FMS_Ranking4[[#This Row],[Water Supply Score (Normalized)]]*10*$BB$5)+(FMS_Ranking4[[#This Row],[FMS_Type Score Weighted]])</f>
        <v>#REF!</v>
      </c>
      <c r="BT88" s="200" t="e">
        <f>_xlfn.RANK.EQ(FMS_Ranking4[[#This Row],[Log Total Score]],FMS_Ranking4[Log Total Score],0)</f>
        <v>#REF!</v>
      </c>
      <c r="BU88" s="200" t="e">
        <f>_xlfn.XLOOKUP(FMS_Ranking4[[#This Row],[FMS ID]],#REF!,#REF!)</f>
        <v>#REF!</v>
      </c>
      <c r="BV88" s="200">
        <f>FMS_Ranking4[[#This Row],[Region Number]]</f>
        <v>9</v>
      </c>
      <c r="BW88" s="200">
        <f>FMS_Ranking4[[#This Row],[Rank (with ArcSinh normalization of select criteria)]]-FMS_Ranking4[[#This Row],[Rank
(with linear
normalization)]]</f>
        <v>-470</v>
      </c>
      <c r="BX88" s="200" t="e">
        <f>FMS_Ranking4[[#This Row],[Log Rank]]-FMS_Ranking4[[#This Row],[Rank
(with linear
normalization)]]</f>
        <v>#REF!</v>
      </c>
      <c r="BY88" s="200" t="str">
        <f>IF(FMS_Ranking4[[#This Row],[FMS Type]]="Flood Measurement and Warning",FMS_Ranking4[[#This Row],[Rank (with ArcSinh normalization of select criteria)]],"")</f>
        <v/>
      </c>
      <c r="BZ88" s="200" t="str">
        <f>IF(FMS_Ranking4[[#This Row],[FMS Type]]="Regulatory and Guidance",FMS_Ranking4[[#This Row],[Rank (with ArcSinh normalization of select criteria)]],"")</f>
        <v/>
      </c>
      <c r="CA88" s="200" t="str">
        <f>IF(FMS_Ranking4[[#This Row],[FMS Type]]="Education and Outreach",FMS_Ranking4[[#This Row],[Rank (with ArcSinh normalization of select criteria)]],"")</f>
        <v/>
      </c>
      <c r="CB88" s="200" t="str">
        <f>IF(FMS_Ranking4[[#This Row],[FMS Type]]="Property Acquisition and Structural Elevation",FMS_Ranking4[[#This Row],[Rank (with ArcSinh normalization of select criteria)]],"")</f>
        <v/>
      </c>
      <c r="CC88" s="200" t="str">
        <f>IF(FMS_Ranking4[[#This Row],[FMS Type]]="Infrastructure Projects",FMS_Ranking4[[#This Row],[Rank (with ArcSinh normalization of select criteria)]],"")</f>
        <v/>
      </c>
      <c r="CD88" s="200">
        <f>IF(FMS_Ranking4[[#This Row],[FMS Type]]="Other",FMS_Ranking4[[#This Row],[Rank (with ArcSinh normalization of select criteria)]],"")</f>
        <v>81</v>
      </c>
      <c r="CE88" s="201"/>
    </row>
    <row r="89" spans="2:83" ht="120" x14ac:dyDescent="0.25">
      <c r="B89" s="341" t="s">
        <v>853</v>
      </c>
      <c r="C89" s="246">
        <f>_xlfn.XLOOKUP(FMS_Ranking4[[#This Row],[FMS ID]],FMS_Input[FMS_ID],FMS_Input[RFPG_NUM])</f>
        <v>9</v>
      </c>
      <c r="D89" s="309" t="str">
        <f>_xlfn.XLOOKUP(FMS_Ranking4[[#This Row],[FMS ID]],FMS_Input[FMS_ID],FMS_Input[FMS_NAME])</f>
        <v>Scurry County Flood Awareness Program</v>
      </c>
      <c r="E89" s="308" t="str">
        <f>_xlfn.XLOOKUP(FMS_Ranking4[[#This Row],[FMS ID]],FMS_Input[FMS_ID],FMS_Input[SPONSOR])</f>
        <v>00000115</v>
      </c>
      <c r="F89" s="309" t="str">
        <f>_xlfn.XLOOKUP(FMS_Ranking4[[#This Row],[FMS ID]],Sponsor[FMS_ID],Sponsor[SPONSOR NAME])</f>
        <v>Borden</v>
      </c>
      <c r="G89" s="309" t="str">
        <f>_xlfn.XLOOKUP(FMS_Ranking4[[#This Row],[FMS ID]],FMS_Input[FMS_ID],FMS_Input[FMS_DESCR])</f>
        <v>Implement education and awareness program utilizing media, social media, bulletins, flyers, etc. to educate citizens of hazards that can threaten the area and mitigation measures to reduce injuries, fatalities, and property damages</v>
      </c>
      <c r="H89" s="248" t="str">
        <f>_xlfn.XLOOKUP(FMS_Ranking4[[#This Row],[FMS ID]],FMS_Input[FMS_ID],FMS_Input[FMS_TYPE])</f>
        <v>Other</v>
      </c>
      <c r="I89" s="249">
        <f>_xlfn.XLOOKUP(FMS_Ranking4[[#This Row],[FMS ID]],FMS_Input[FMS_ID],FMS_Input[NRNC_COST])</f>
        <v>5000</v>
      </c>
      <c r="J89" s="250">
        <f>_xlfn.XLOOKUP(FMS_Ranking4[[#This Row],[FMS ID]],FMS_Input[FMS_ID],FMS_Input[FMS_COST])</f>
        <v>30000</v>
      </c>
      <c r="K89" s="251" t="str">
        <f>_xlfn.XLOOKUP(FMS_Ranking4[[#This Row],[FMS ID]],FMS_Input[FMS_ID],FMS_Input[EMER_NEED])</f>
        <v>No</v>
      </c>
      <c r="L89" s="252">
        <f t="shared" si="1"/>
        <v>0</v>
      </c>
      <c r="M89" s="253">
        <f>_xlfn.XLOOKUP(FMS_Ranking4[[#This Row],[FMS ID]],FMS_Input[FMS_ID],FMS_Input[STRUCT_100])</f>
        <v>606</v>
      </c>
      <c r="N89" s="255">
        <f>(ASINH(FMS_Ranking4[[#This Row],[Structure at Risk Raw]]))*(10)/(ASINH(M$4))</f>
        <v>5.5816790364073583</v>
      </c>
      <c r="O89" s="256">
        <f>FMS_Ranking4[[#This Row],[Structures at risk, ArcSinh (0-10)]]*M$5*10</f>
        <v>5.5816790364073583</v>
      </c>
      <c r="P89" s="253">
        <f>_xlfn.XLOOKUP(FMS_Ranking4[[#This Row],[FMS ID]],FMS_Input[FMS_ID],FMS_Input[RES_STRUCT100])</f>
        <v>324</v>
      </c>
      <c r="Q89" s="257">
        <f>ASINH(FMS_Ranking4[[#This Row],[Res Structure Raw]])/Q$4*P$5*100</f>
        <v>0</v>
      </c>
      <c r="R89" s="253">
        <f>_xlfn.XLOOKUP(FMS_Ranking4[[#This Row],[FMS ID]],FMS_Input[FMS_ID],FMS_Input[POP100])</f>
        <v>1754</v>
      </c>
      <c r="S89" s="259">
        <f>(ASINH(FMS_Ranking4[[#This Row],[Pop at Risk Raw]]))*(10)/(ASINH(R$4))</f>
        <v>5.6352570518224487</v>
      </c>
      <c r="T89" s="256">
        <f>FMS_Ranking4[[#This Row],[Population at risk, ArcSinh (0-10)]]*R$5*10</f>
        <v>5.6352570518224487</v>
      </c>
      <c r="U89" s="253">
        <f>_xlfn.XLOOKUP(FMS_Ranking4[[#This Row],[FMS ID]],FMS_Input[FMS_ID],FMS_Input[CRITFAC100])</f>
        <v>1</v>
      </c>
      <c r="V89" s="259">
        <f>(ASINH(FMS_Ranking4[[#This Row],[Critical Facilities Raw]]))*(10)/(ASINH(U$4))</f>
        <v>1.0433384451410745</v>
      </c>
      <c r="W89" s="256">
        <f>FMS_Ranking4[[#This Row],[Critical facilities at risk, ArcSinh (0-10)]]*U$5*10</f>
        <v>1.0433384451410745</v>
      </c>
      <c r="X89" s="253">
        <f>_xlfn.XLOOKUP(FMS_Ranking4[[#This Row],[FMS ID]],FMS_Input[FMS_ID],FMS_Input[LWC])</f>
        <v>10</v>
      </c>
      <c r="Y89" s="259">
        <f>(ASINH(FMS_Ranking4[[#This Row],[LWC Raw]]))*(10)/(ASINH(X$4))</f>
        <v>4.06180589758889</v>
      </c>
      <c r="Z89" s="256">
        <f>FMS_Ranking4[[#This Row],[LWC, ArcSInh (0-10)]]*X$5*10</f>
        <v>4.06180589758889</v>
      </c>
      <c r="AA89" s="253">
        <f>_xlfn.XLOOKUP(FMS_Ranking4[[#This Row],[FMS ID]],FMS_Input[FMS_ID],FMS_Input[ROADCLS])</f>
        <v>0</v>
      </c>
      <c r="AB89" s="255">
        <f>(ASINH(FMS_Ranking4[[#This Row],[Road Closures Raw]]))*(10)/(ASINH(AA$4))</f>
        <v>0</v>
      </c>
      <c r="AC89" s="256">
        <f>FMS_Ranking4[[#This Row],[Road closures, ArcSinh (0-10)]]*AA$5*10</f>
        <v>0</v>
      </c>
      <c r="AD89" s="253">
        <f>_xlfn.XLOOKUP(FMS_Ranking4[[#This Row],[FMS ID]],FMS_Input[FMS_ID],FMS_Input[ROAD_MILES100])</f>
        <v>76</v>
      </c>
      <c r="AE89" s="259">
        <f>(ASINH(FMS_Ranking4[[#This Row],[Road Miles Raw]]))*(10)/(ASINH(AD$4))</f>
        <v>5.3541205681913837</v>
      </c>
      <c r="AF89" s="256">
        <f>FMS_Ranking4[[#This Row],[Length of roads at risk, ArcSinh (0-10)]]*AD$5*10</f>
        <v>5.3541205681913837</v>
      </c>
      <c r="AG89" s="253">
        <f>_xlfn.XLOOKUP(FMS_Ranking4[[#This Row],[FMS ID]],FMS_Input[FMS_ID],FMS_Input[FARMACRE100])</f>
        <v>11692.4853515625</v>
      </c>
      <c r="AH89" s="255">
        <f>(ASINH(FMS_Ranking4[[#This Row],[Ag Land Raw]]))*(10)/(ASINH(AG$4))</f>
        <v>6.5346913770551884</v>
      </c>
      <c r="AI89" s="260">
        <f>FMS_Ranking4[[#This Row],[Farm &amp; ranch land, ArcSinh (0-10)]]*AG$5*10</f>
        <v>3.2673456885275942</v>
      </c>
      <c r="AJ89" s="258">
        <f>_xlfn.XLOOKUP(FMS_Ranking4[[#This Row],[FMS ID]],FMS_Input[FMS_ID],FMS_Input[REDSTRUCT100])</f>
        <v>152</v>
      </c>
      <c r="AK89" s="253">
        <f>_xlfn.XLOOKUP(FMS_Ranking4[[#This Row],[FMS ID]],FMS_Input[FMS_ID],FMS_Input[REMSTRC100])</f>
        <v>152</v>
      </c>
      <c r="AL89" s="259">
        <f>(ASINH(FMS_Ranking4[[#This Row],[Structures Removed Raw]]))*(10)/(ASINH(AK$4))</f>
        <v>6.5092564429572075</v>
      </c>
      <c r="AM89" s="262">
        <f>FMS_Ranking4[[#This Row],[Structures removed, ArcSinh (0-10)]]*AK$5*10</f>
        <v>6.5092564429572075</v>
      </c>
      <c r="AN89" s="253">
        <f>_xlfn.XLOOKUP(FMS_Ranking4[[#This Row],[FMS ID]],FMS_Input[FMS_ID],FMS_Input[REMRESSTRC100])</f>
        <v>81</v>
      </c>
      <c r="AO89" s="261">
        <f>FMS_Ranking4[[#This Row],[ArcSinh Res struct removed 0-10]]*AN$5*10</f>
        <v>2.984032250511814</v>
      </c>
      <c r="AP89" s="260">
        <f>ASINH(FMS_Ranking4[[#This Row],[Residential Structures Removed Raw]])/AP$4*AN$5*100</f>
        <v>2.9840322505118135</v>
      </c>
      <c r="AQ89" s="254">
        <f>(ASINH(FMS_Ranking4[[#This Row],[Residential Structures Removed Raw]]))*(10)/(ASINH(AN$4))</f>
        <v>5.9680645010236271</v>
      </c>
      <c r="AR89" s="253">
        <f>_xlfn.XLOOKUP(FMS_Ranking4[[#This Row],[FMS ID]],FMS_Input[FMS_ID],FMS_Input[REMPOP100])</f>
        <v>537</v>
      </c>
      <c r="AS89" s="259">
        <f>(ASINH(FMS_Ranking4[[#This Row],[Removed Pop Raw]]))*(10)/(ASINH(AR$4))</f>
        <v>6.8508725262868362</v>
      </c>
      <c r="AT89" s="262">
        <f>FMS_Ranking4[[#This Row],[Removed population, ArcSinh (0-10)]]*AR$5*10</f>
        <v>6.8508725262868362</v>
      </c>
      <c r="AU89" s="264">
        <f>_xlfn.XLOOKUP(FMS_Ranking4[[#This Row],[FMS ID]],FMS_Input[FMS_ID],FMS_Input[REMCRITFAC100])</f>
        <v>0</v>
      </c>
      <c r="AV89" s="264">
        <f>_xlfn.XLOOKUP(FMS_Ranking4[[#This Row],[FMS ID]],FMS_Input[FMS_ID],FMS_Input[REMLWC100])</f>
        <v>2</v>
      </c>
      <c r="AW89" s="264">
        <f>_xlfn.XLOOKUP(FMS_Ranking4[[#This Row],[FMS ID]],FMS_Input[FMS_ID],FMS_Input[REMROADCLS])</f>
        <v>0</v>
      </c>
      <c r="AX89" s="264">
        <f>_xlfn.XLOOKUP(FMS_Ranking4[[#This Row],[FMS ID]],FMS_Input[FMS_ID],FMS_Input[REMFRMACRE100])</f>
        <v>2923.121337890625</v>
      </c>
      <c r="AY89" s="258">
        <f>_xlfn.XLOOKUP(FMS_Ranking4[[#This Row],[FMS ID]],FMS_Input[FMS_ID],FMS_Input[COSTSTRUCT])</f>
        <v>25000</v>
      </c>
      <c r="AZ89" s="253">
        <f>_xlfn.XLOOKUP(FMS_Ranking4[[#This Row],[FMS ID]],FMS_Input[FMS_ID],FMS_Input[NATURE])</f>
        <v>0</v>
      </c>
      <c r="BA89" s="262">
        <f>(((FMS_Ranking4[[#This Row],[% NBS Raw]]/AZ$4)*100)*AZ$5)</f>
        <v>0</v>
      </c>
      <c r="BB89" s="251" t="str">
        <f>_xlfn.XLOOKUP(FMS_Ranking4[[#This Row],[FMS ID]],FMS_Input[FMS_ID],FMS_Input[WATER_SUP])</f>
        <v>No</v>
      </c>
      <c r="BC89" s="265">
        <f>IF(FMS_Ranking4[[#This Row],[Water Supply Raw]]="Yes",10,0)</f>
        <v>0</v>
      </c>
      <c r="BD89" s="266">
        <f>_xlfn.XLOOKUP(FMS_Ranking4[[#This Row],[FMS Type]],FMS_TYPE[FMS_Type],FMS_TYPE[Score])</f>
        <v>2</v>
      </c>
      <c r="BE89" s="267">
        <f>FMS_Ranking4[[#This Row],[FMS_Type Score]]*$BD$5*10</f>
        <v>0.5</v>
      </c>
      <c r="BF8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0.33498300855770824</v>
      </c>
      <c r="BG89" s="271">
        <f>_xlfn.RANK.EQ(BF89,$BF$8:$BF$870,0)+COUNTIF($BF$8:BF89,BF89)-1</f>
        <v>286</v>
      </c>
      <c r="BH89" s="268">
        <f>(((FMS_Ranking4[[#This Row],[Structures Removed Raw]]/AK$4)*100)*AK$5)+(((FMS_Ranking4[[#This Row],[Removed Pop Raw]]/AR$4)*100)*AR$5)</f>
        <v>0.87045171156033052</v>
      </c>
      <c r="BI8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1.7054347201180389</v>
      </c>
      <c r="BJ89" s="205">
        <f>_xlfn.RANK.EQ(FMS_Ranking4[[#This Row],[Total Score 
(with linear
normalization)]],FMS_Ranking4[Total Score 
(with linear
normalization)],0)</f>
        <v>551</v>
      </c>
      <c r="BK89" s="205" t="e">
        <f>_xlfn.XLOOKUP(FMS_Ranking4[[#This Row],[FMS ID]],#REF!,#REF!)</f>
        <v>#REF!</v>
      </c>
      <c r="BL8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41.287707907434609</v>
      </c>
      <c r="BM89" s="272">
        <f>FMS_Ranking4[[#This Row],[ArcSinh Score Based on Normalized Reported Factors]]+FMS_Ranking4[[#This Row],[% NBS Score (Normalized)]]+(FMS_Ranking4[[#This Row],[Water Supply Score (Normalized)]]*10*$BB$5)+FMS_Ranking4[[#This Row],[FMS_Type Score Weighted]]</f>
        <v>41.787707907434609</v>
      </c>
      <c r="BN89" s="205">
        <f>_xlfn.RANK.EQ(FMS_Ranking4[[#This Row],[Total Score (with ArcSinh normalization of select criteria)]],FMS_Ranking4[Total Score (with ArcSinh normalization of select criteria)],0)</f>
        <v>81</v>
      </c>
      <c r="BO89" s="270" t="str">
        <f>_xlfn.XLOOKUP(FMS_Ranking4[[#This Row],[FMS ID]],FMS_Input[FMS_ID],FMS_Input[FMS_RANK_YEAR])</f>
        <v>2023 Amended Plan</v>
      </c>
      <c r="BP89" s="204">
        <f>_xlfn.XLOOKUP(FMS_Ranking4[[#This Row],[FMS ID]],Prev_Rank[FMS ID],Prev_Rank[Prev Rank])</f>
        <v>72</v>
      </c>
      <c r="BQ89" s="205" t="e">
        <f>_xlfn.XLOOKUP(FMS_Ranking4[[#This Row],[FMS ID]],#REF!,#REF!)</f>
        <v>#REF!</v>
      </c>
      <c r="BR89" s="199" t="e">
        <f>SUM(#REF!,#REF!,#REF!,#REF!,#REF!,#REF!,#REF!,#REF!,#REF!,FMS_Ranking4[[#This Row],[ArcSinh Res struct removed 0-10]],#REF!)</f>
        <v>#REF!</v>
      </c>
      <c r="BS89" s="199" t="e">
        <f>FMS_Ranking4[[#This Row],[Log Score Based on Normalized Reported Factors]]+FMS_Ranking4[[#This Row],[% NBS Score (Normalized)]]+(FMS_Ranking4[[#This Row],[Water Supply Score (Normalized)]]*10*$BB$5)+(FMS_Ranking4[[#This Row],[FMS_Type Score Weighted]])</f>
        <v>#REF!</v>
      </c>
      <c r="BT89" s="200" t="e">
        <f>_xlfn.RANK.EQ(FMS_Ranking4[[#This Row],[Log Total Score]],FMS_Ranking4[Log Total Score],0)</f>
        <v>#REF!</v>
      </c>
      <c r="BU89" s="200" t="e">
        <f>_xlfn.XLOOKUP(FMS_Ranking4[[#This Row],[FMS ID]],#REF!,#REF!)</f>
        <v>#REF!</v>
      </c>
      <c r="BV89" s="200">
        <f>FMS_Ranking4[[#This Row],[Region Number]]</f>
        <v>9</v>
      </c>
      <c r="BW89" s="200">
        <f>FMS_Ranking4[[#This Row],[Rank (with ArcSinh normalization of select criteria)]]-FMS_Ranking4[[#This Row],[Rank
(with linear
normalization)]]</f>
        <v>-470</v>
      </c>
      <c r="BX89" s="200" t="e">
        <f>FMS_Ranking4[[#This Row],[Log Rank]]-FMS_Ranking4[[#This Row],[Rank
(with linear
normalization)]]</f>
        <v>#REF!</v>
      </c>
      <c r="BY89" s="200" t="str">
        <f>IF(FMS_Ranking4[[#This Row],[FMS Type]]="Flood Measurement and Warning",FMS_Ranking4[[#This Row],[Rank (with ArcSinh normalization of select criteria)]],"")</f>
        <v/>
      </c>
      <c r="BZ89" s="200" t="str">
        <f>IF(FMS_Ranking4[[#This Row],[FMS Type]]="Regulatory and Guidance",FMS_Ranking4[[#This Row],[Rank (with ArcSinh normalization of select criteria)]],"")</f>
        <v/>
      </c>
      <c r="CA89" s="200" t="str">
        <f>IF(FMS_Ranking4[[#This Row],[FMS Type]]="Education and Outreach",FMS_Ranking4[[#This Row],[Rank (with ArcSinh normalization of select criteria)]],"")</f>
        <v/>
      </c>
      <c r="CB89" s="200" t="str">
        <f>IF(FMS_Ranking4[[#This Row],[FMS Type]]="Property Acquisition and Structural Elevation",FMS_Ranking4[[#This Row],[Rank (with ArcSinh normalization of select criteria)]],"")</f>
        <v/>
      </c>
      <c r="CC89" s="200" t="str">
        <f>IF(FMS_Ranking4[[#This Row],[FMS Type]]="Infrastructure Projects",FMS_Ranking4[[#This Row],[Rank (with ArcSinh normalization of select criteria)]],"")</f>
        <v/>
      </c>
      <c r="CD89" s="200">
        <f>IF(FMS_Ranking4[[#This Row],[FMS Type]]="Other",FMS_Ranking4[[#This Row],[Rank (with ArcSinh normalization of select criteria)]],"")</f>
        <v>81</v>
      </c>
      <c r="CE89" s="201"/>
    </row>
    <row r="90" spans="2:83" ht="60" x14ac:dyDescent="0.25">
      <c r="B90" s="341" t="s">
        <v>4768</v>
      </c>
      <c r="C90" s="246">
        <f>_xlfn.XLOOKUP(FMS_Ranking4[[#This Row],[FMS ID]],FMS_Input[FMS_ID],FMS_Input[RFPG_NUM])</f>
        <v>4</v>
      </c>
      <c r="D90" s="309" t="str">
        <f>_xlfn.XLOOKUP(FMS_Ranking4[[#This Row],[FMS ID]],FMS_Input[FMS_ID],FMS_Input[FMS_NAME])</f>
        <v>Orange County Elevation of Residential Structures Program</v>
      </c>
      <c r="E90" s="308" t="str">
        <f>_xlfn.XLOOKUP(FMS_Ranking4[[#This Row],[FMS ID]],FMS_Input[FMS_ID],FMS_Input[SPONSOR])</f>
        <v>00000512</v>
      </c>
      <c r="F90" s="309" t="str">
        <f>_xlfn.XLOOKUP(FMS_Ranking4[[#This Row],[FMS ID]],Sponsor[FMS_ID],Sponsor[SPONSOR NAME])</f>
        <v>Orange County Drainage District</v>
      </c>
      <c r="G90" s="309" t="str">
        <f>_xlfn.XLOOKUP(FMS_Ranking4[[#This Row],[FMS ID]],FMS_Input[FMS_ID],FMS_Input[FMS_DESCR])</f>
        <v>Program to elevation of homes within Floodplains throughout County.</v>
      </c>
      <c r="H90" s="248" t="str">
        <f>_xlfn.XLOOKUP(FMS_Ranking4[[#This Row],[FMS ID]],FMS_Input[FMS_ID],FMS_Input[FMS_TYPE])</f>
        <v>Property Acquisition and Structural Elevation</v>
      </c>
      <c r="I90" s="249">
        <f>_xlfn.XLOOKUP(FMS_Ranking4[[#This Row],[FMS ID]],FMS_Input[FMS_ID],FMS_Input[NRNC_COST])</f>
        <v>50000</v>
      </c>
      <c r="J90" s="250">
        <f>_xlfn.XLOOKUP(FMS_Ranking4[[#This Row],[FMS ID]],FMS_Input[FMS_ID],FMS_Input[FMS_COST])</f>
        <v>50000</v>
      </c>
      <c r="K90" s="251" t="str">
        <f>_xlfn.XLOOKUP(FMS_Ranking4[[#This Row],[FMS ID]],FMS_Input[FMS_ID],FMS_Input[EMER_NEED])</f>
        <v>Yes</v>
      </c>
      <c r="L90" s="252">
        <f t="shared" si="1"/>
        <v>1</v>
      </c>
      <c r="M90" s="253">
        <f>_xlfn.XLOOKUP(FMS_Ranking4[[#This Row],[FMS ID]],FMS_Input[FMS_ID],FMS_Input[STRUCT_100])</f>
        <v>16974</v>
      </c>
      <c r="N90" s="255">
        <f>(ASINH(FMS_Ranking4[[#This Row],[Structure at Risk Raw]]))*(10)/(ASINH(M$4))</f>
        <v>8.2015653291191768</v>
      </c>
      <c r="O90" s="256">
        <f>FMS_Ranking4[[#This Row],[Structures at risk, ArcSinh (0-10)]]*M$5*10</f>
        <v>8.2015653291191768</v>
      </c>
      <c r="P90" s="253">
        <f>_xlfn.XLOOKUP(FMS_Ranking4[[#This Row],[FMS ID]],FMS_Input[FMS_ID],FMS_Input[RES_STRUCT100])</f>
        <v>14040</v>
      </c>
      <c r="Q90" s="257">
        <f>ASINH(FMS_Ranking4[[#This Row],[Res Structure Raw]])/Q$4*P$5*100</f>
        <v>0</v>
      </c>
      <c r="R90" s="253">
        <f>_xlfn.XLOOKUP(FMS_Ranking4[[#This Row],[FMS ID]],FMS_Input[FMS_ID],FMS_Input[POP100])</f>
        <v>26881</v>
      </c>
      <c r="S90" s="259">
        <f>(ASINH(FMS_Ranking4[[#This Row],[Pop at Risk Raw]]))*(10)/(ASINH(R$4))</f>
        <v>7.5196041274066898</v>
      </c>
      <c r="T90" s="256">
        <f>FMS_Ranking4[[#This Row],[Population at risk, ArcSinh (0-10)]]*R$5*10</f>
        <v>7.5196041274066907</v>
      </c>
      <c r="U90" s="253">
        <f>_xlfn.XLOOKUP(FMS_Ranking4[[#This Row],[FMS ID]],FMS_Input[FMS_ID],FMS_Input[CRITFAC100])</f>
        <v>276</v>
      </c>
      <c r="V90" s="259">
        <f>(ASINH(FMS_Ranking4[[#This Row],[Critical Facilities Raw]]))*(10)/(ASINH(U$4))</f>
        <v>7.4737556503019542</v>
      </c>
      <c r="W90" s="256">
        <f>FMS_Ranking4[[#This Row],[Critical facilities at risk, ArcSinh (0-10)]]*U$5*10</f>
        <v>7.4737556503019542</v>
      </c>
      <c r="X90" s="253">
        <f>_xlfn.XLOOKUP(FMS_Ranking4[[#This Row],[FMS ID]],FMS_Input[FMS_ID],FMS_Input[LWC])</f>
        <v>22</v>
      </c>
      <c r="Y90" s="259">
        <f>(ASINH(FMS_Ranking4[[#This Row],[LWC Raw]]))*(10)/(ASINH(X$4))</f>
        <v>5.1272838758265653</v>
      </c>
      <c r="Z90" s="256">
        <f>FMS_Ranking4[[#This Row],[LWC, ArcSInh (0-10)]]*X$5*10</f>
        <v>5.1272838758265662</v>
      </c>
      <c r="AA90" s="253">
        <f>_xlfn.XLOOKUP(FMS_Ranking4[[#This Row],[FMS ID]],FMS_Input[FMS_ID],FMS_Input[ROADCLS])</f>
        <v>22</v>
      </c>
      <c r="AB90" s="255">
        <f>(ASINH(FMS_Ranking4[[#This Row],[Road Closures Raw]]))*(10)/(ASINH(AA$4))</f>
        <v>3.9414236801787323</v>
      </c>
      <c r="AC90" s="256">
        <f>FMS_Ranking4[[#This Row],[Road closures, ArcSinh (0-10)]]*AA$5*10</f>
        <v>1.9707118400893664</v>
      </c>
      <c r="AD90" s="253">
        <f>_xlfn.XLOOKUP(FMS_Ranking4[[#This Row],[FMS ID]],FMS_Input[FMS_ID],FMS_Input[ROAD_MILES100])</f>
        <v>364</v>
      </c>
      <c r="AE90" s="259">
        <f>(ASINH(FMS_Ranking4[[#This Row],[Road Miles Raw]]))*(10)/(ASINH(AD$4))</f>
        <v>7.0234497766477615</v>
      </c>
      <c r="AF90" s="256">
        <f>FMS_Ranking4[[#This Row],[Length of roads at risk, ArcSinh (0-10)]]*AD$5*10</f>
        <v>7.0234497766477624</v>
      </c>
      <c r="AG90" s="253">
        <f>_xlfn.XLOOKUP(FMS_Ranking4[[#This Row],[FMS ID]],FMS_Input[FMS_ID],FMS_Input[FARMACRE100])</f>
        <v>17171.212890625</v>
      </c>
      <c r="AH90" s="255">
        <f>(ASINH(FMS_Ranking4[[#This Row],[Ag Land Raw]]))*(10)/(ASINH(AG$4))</f>
        <v>6.7843177106788293</v>
      </c>
      <c r="AI90" s="260">
        <f>FMS_Ranking4[[#This Row],[Farm &amp; ranch land, ArcSinh (0-10)]]*AG$5*10</f>
        <v>3.3921588553394151</v>
      </c>
      <c r="AJ90" s="258">
        <f>_xlfn.XLOOKUP(FMS_Ranking4[[#This Row],[FMS ID]],FMS_Input[FMS_ID],FMS_Input[REDSTRUCT100])</f>
        <v>0</v>
      </c>
      <c r="AK90" s="253">
        <f>_xlfn.XLOOKUP(FMS_Ranking4[[#This Row],[FMS ID]],FMS_Input[FMS_ID],FMS_Input[REMSTRC100])</f>
        <v>0</v>
      </c>
      <c r="AL90" s="259">
        <f>(ASINH(FMS_Ranking4[[#This Row],[Structures Removed Raw]]))*(10)/(ASINH(AK$4))</f>
        <v>0</v>
      </c>
      <c r="AM90" s="262">
        <f>FMS_Ranking4[[#This Row],[Structures removed, ArcSinh (0-10)]]*AK$5*10</f>
        <v>0</v>
      </c>
      <c r="AN90" s="253">
        <f>_xlfn.XLOOKUP(FMS_Ranking4[[#This Row],[FMS ID]],FMS_Input[FMS_ID],FMS_Input[REMRESSTRC100])</f>
        <v>0</v>
      </c>
      <c r="AO90" s="261">
        <f>FMS_Ranking4[[#This Row],[ArcSinh Res struct removed 0-10]]*AN$5*10</f>
        <v>0</v>
      </c>
      <c r="AP90" s="260">
        <f>ASINH(FMS_Ranking4[[#This Row],[Residential Structures Removed Raw]])/AP$4*AN$5*100</f>
        <v>0</v>
      </c>
      <c r="AQ90" s="254">
        <f>(ASINH(FMS_Ranking4[[#This Row],[Residential Structures Removed Raw]]))*(10)/(ASINH(AN$4))</f>
        <v>0</v>
      </c>
      <c r="AR90" s="253">
        <f>_xlfn.XLOOKUP(FMS_Ranking4[[#This Row],[FMS ID]],FMS_Input[FMS_ID],FMS_Input[REMPOP100])</f>
        <v>0</v>
      </c>
      <c r="AS90" s="259">
        <f>(ASINH(FMS_Ranking4[[#This Row],[Removed Pop Raw]]))*(10)/(ASINH(AR$4))</f>
        <v>0</v>
      </c>
      <c r="AT90" s="262">
        <f>FMS_Ranking4[[#This Row],[Removed population, ArcSinh (0-10)]]*AR$5*10</f>
        <v>0</v>
      </c>
      <c r="AU90" s="264">
        <f>_xlfn.XLOOKUP(FMS_Ranking4[[#This Row],[FMS ID]],FMS_Input[FMS_ID],FMS_Input[REMCRITFAC100])</f>
        <v>0</v>
      </c>
      <c r="AV90" s="264">
        <f>_xlfn.XLOOKUP(FMS_Ranking4[[#This Row],[FMS ID]],FMS_Input[FMS_ID],FMS_Input[REMLWC100])</f>
        <v>0</v>
      </c>
      <c r="AW90" s="264">
        <f>_xlfn.XLOOKUP(FMS_Ranking4[[#This Row],[FMS ID]],FMS_Input[FMS_ID],FMS_Input[REMROADCLS])</f>
        <v>0</v>
      </c>
      <c r="AX90" s="264">
        <f>_xlfn.XLOOKUP(FMS_Ranking4[[#This Row],[FMS ID]],FMS_Input[FMS_ID],FMS_Input[REMFRMACRE100])</f>
        <v>0</v>
      </c>
      <c r="AY90" s="258">
        <f>_xlfn.XLOOKUP(FMS_Ranking4[[#This Row],[FMS ID]],FMS_Input[FMS_ID],FMS_Input[COSTSTRUCT])</f>
        <v>0</v>
      </c>
      <c r="AZ90" s="253">
        <f>_xlfn.XLOOKUP(FMS_Ranking4[[#This Row],[FMS ID]],FMS_Input[FMS_ID],FMS_Input[NATURE])</f>
        <v>0</v>
      </c>
      <c r="BA90" s="262">
        <f>(((FMS_Ranking4[[#This Row],[% NBS Raw]]/AZ$4)*100)*AZ$5)</f>
        <v>0</v>
      </c>
      <c r="BB90" s="251" t="str">
        <f>_xlfn.XLOOKUP(FMS_Ranking4[[#This Row],[FMS ID]],FMS_Input[FMS_ID],FMS_Input[WATER_SUP])</f>
        <v>No</v>
      </c>
      <c r="BC90" s="265">
        <f>IF(FMS_Ranking4[[#This Row],[Water Supply Raw]]="Yes",10,0)</f>
        <v>0</v>
      </c>
      <c r="BD90" s="266">
        <f>_xlfn.XLOOKUP(FMS_Ranking4[[#This Row],[FMS Type]],FMS_TYPE[FMS_Type],FMS_TYPE[Score])</f>
        <v>4</v>
      </c>
      <c r="BE90" s="267">
        <f>FMS_Ranking4[[#This Row],[FMS_Type Score]]*$BD$5*10</f>
        <v>1</v>
      </c>
      <c r="BF9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3.4103830246143496</v>
      </c>
      <c r="BG90" s="271">
        <f>_xlfn.RANK.EQ(BF90,$BF$8:$BF$870,0)+COUNTIF($BF$8:BF90,BF90)-1</f>
        <v>76</v>
      </c>
      <c r="BH90" s="268">
        <f>(((FMS_Ranking4[[#This Row],[Structures Removed Raw]]/AK$4)*100)*AK$5)+(((FMS_Ranking4[[#This Row],[Removed Pop Raw]]/AR$4)*100)*AR$5)</f>
        <v>0</v>
      </c>
      <c r="BI9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4.4103830246143492</v>
      </c>
      <c r="BJ90" s="205">
        <f>_xlfn.RANK.EQ(FMS_Ranking4[[#This Row],[Total Score 
(with linear
normalization)]],FMS_Ranking4[Total Score 
(with linear
normalization)],0)</f>
        <v>129</v>
      </c>
      <c r="BK90" s="205" t="e">
        <f>_xlfn.XLOOKUP(FMS_Ranking4[[#This Row],[FMS ID]],#REF!,#REF!)</f>
        <v>#REF!</v>
      </c>
      <c r="BL9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40.708529454730936</v>
      </c>
      <c r="BM90" s="272">
        <f>FMS_Ranking4[[#This Row],[ArcSinh Score Based on Normalized Reported Factors]]+FMS_Ranking4[[#This Row],[% NBS Score (Normalized)]]+(FMS_Ranking4[[#This Row],[Water Supply Score (Normalized)]]*10*$BB$5)+FMS_Ranking4[[#This Row],[FMS_Type Score Weighted]]</f>
        <v>41.708529454730936</v>
      </c>
      <c r="BN90" s="205">
        <f>_xlfn.RANK.EQ(FMS_Ranking4[[#This Row],[Total Score (with ArcSinh normalization of select criteria)]],FMS_Ranking4[Total Score (with ArcSinh normalization of select criteria)],0)</f>
        <v>83</v>
      </c>
      <c r="BO90" s="270" t="str">
        <f>_xlfn.XLOOKUP(FMS_Ranking4[[#This Row],[FMS ID]],FMS_Input[FMS_ID],FMS_Input[FMS_RANK_YEAR])</f>
        <v>2023 Amended Plan</v>
      </c>
      <c r="BP90" s="204">
        <f>_xlfn.XLOOKUP(FMS_Ranking4[[#This Row],[FMS ID]],Prev_Rank[FMS ID],Prev_Rank[Prev Rank])</f>
        <v>20</v>
      </c>
      <c r="BQ90" s="205" t="e">
        <f>_xlfn.XLOOKUP(FMS_Ranking4[[#This Row],[FMS ID]],#REF!,#REF!)</f>
        <v>#REF!</v>
      </c>
      <c r="BR90" s="199" t="e">
        <f>SUM(#REF!,#REF!,#REF!,#REF!,#REF!,#REF!,#REF!,#REF!,#REF!,FMS_Ranking4[[#This Row],[ArcSinh Res struct removed 0-10]],#REF!)</f>
        <v>#REF!</v>
      </c>
      <c r="BS90" s="199" t="e">
        <f>FMS_Ranking4[[#This Row],[Log Score Based on Normalized Reported Factors]]+FMS_Ranking4[[#This Row],[% NBS Score (Normalized)]]+(FMS_Ranking4[[#This Row],[Water Supply Score (Normalized)]]*10*$BB$5)+(FMS_Ranking4[[#This Row],[FMS_Type Score Weighted]])</f>
        <v>#REF!</v>
      </c>
      <c r="BT90" s="200" t="e">
        <f>_xlfn.RANK.EQ(FMS_Ranking4[[#This Row],[Log Total Score]],FMS_Ranking4[Log Total Score],0)</f>
        <v>#REF!</v>
      </c>
      <c r="BU90" s="200" t="e">
        <f>_xlfn.XLOOKUP(FMS_Ranking4[[#This Row],[FMS ID]],#REF!,#REF!)</f>
        <v>#REF!</v>
      </c>
      <c r="BV90" s="200">
        <f>FMS_Ranking4[[#This Row],[Region Number]]</f>
        <v>4</v>
      </c>
      <c r="BW90" s="200">
        <f>FMS_Ranking4[[#This Row],[Rank (with ArcSinh normalization of select criteria)]]-FMS_Ranking4[[#This Row],[Rank
(with linear
normalization)]]</f>
        <v>-46</v>
      </c>
      <c r="BX90" s="200" t="e">
        <f>FMS_Ranking4[[#This Row],[Log Rank]]-FMS_Ranking4[[#This Row],[Rank
(with linear
normalization)]]</f>
        <v>#REF!</v>
      </c>
      <c r="BY90" s="200" t="str">
        <f>IF(FMS_Ranking4[[#This Row],[FMS Type]]="Flood Measurement and Warning",FMS_Ranking4[[#This Row],[Rank (with ArcSinh normalization of select criteria)]],"")</f>
        <v/>
      </c>
      <c r="BZ90" s="200" t="str">
        <f>IF(FMS_Ranking4[[#This Row],[FMS Type]]="Regulatory and Guidance",FMS_Ranking4[[#This Row],[Rank (with ArcSinh normalization of select criteria)]],"")</f>
        <v/>
      </c>
      <c r="CA90" s="200" t="str">
        <f>IF(FMS_Ranking4[[#This Row],[FMS Type]]="Education and Outreach",FMS_Ranking4[[#This Row],[Rank (with ArcSinh normalization of select criteria)]],"")</f>
        <v/>
      </c>
      <c r="CB90" s="200">
        <f>IF(FMS_Ranking4[[#This Row],[FMS Type]]="Property Acquisition and Structural Elevation",FMS_Ranking4[[#This Row],[Rank (with ArcSinh normalization of select criteria)]],"")</f>
        <v>83</v>
      </c>
      <c r="CC90" s="200" t="str">
        <f>IF(FMS_Ranking4[[#This Row],[FMS Type]]="Infrastructure Projects",FMS_Ranking4[[#This Row],[Rank (with ArcSinh normalization of select criteria)]],"")</f>
        <v/>
      </c>
      <c r="CD90" s="200" t="str">
        <f>IF(FMS_Ranking4[[#This Row],[FMS Type]]="Other",FMS_Ranking4[[#This Row],[Rank (with ArcSinh normalization of select criteria)]],"")</f>
        <v/>
      </c>
      <c r="CE90" s="201"/>
    </row>
    <row r="91" spans="2:83" ht="60" x14ac:dyDescent="0.25">
      <c r="B91" s="341" t="s">
        <v>4753</v>
      </c>
      <c r="C91" s="246">
        <f>_xlfn.XLOOKUP(FMS_Ranking4[[#This Row],[FMS ID]],FMS_Input[FMS_ID],FMS_Input[RFPG_NUM])</f>
        <v>4</v>
      </c>
      <c r="D91" s="309" t="str">
        <f>_xlfn.XLOOKUP(FMS_Ranking4[[#This Row],[FMS ID]],FMS_Input[FMS_ID],FMS_Input[FMS_NAME])</f>
        <v>Orange County Detention Ponds Throughout County</v>
      </c>
      <c r="E91" s="308" t="str">
        <f>_xlfn.XLOOKUP(FMS_Ranking4[[#This Row],[FMS ID]],FMS_Input[FMS_ID],FMS_Input[SPONSOR])</f>
        <v>00000027</v>
      </c>
      <c r="F91" s="309" t="str">
        <f>_xlfn.XLOOKUP(FMS_Ranking4[[#This Row],[FMS ID]],Sponsor[FMS_ID],Sponsor[SPONSOR NAME])</f>
        <v>Orange</v>
      </c>
      <c r="G91" s="309" t="str">
        <f>_xlfn.XLOOKUP(FMS_Ranking4[[#This Row],[FMS ID]],FMS_Input[FMS_ID],FMS_Input[FMS_DESCR])</f>
        <v xml:space="preserve">Series of detention ponds to prevent flooding along IH‐10, Hwy 12, Hwy 62, and Hwy 87 – the County’s evacuation routes.  </v>
      </c>
      <c r="H91" s="248" t="str">
        <f>_xlfn.XLOOKUP(FMS_Ranking4[[#This Row],[FMS ID]],FMS_Input[FMS_ID],FMS_Input[FMS_TYPE])</f>
        <v>Infrastructure Projects</v>
      </c>
      <c r="I91" s="249">
        <f>_xlfn.XLOOKUP(FMS_Ranking4[[#This Row],[FMS ID]],FMS_Input[FMS_ID],FMS_Input[NRNC_COST])</f>
        <v>500000</v>
      </c>
      <c r="J91" s="250">
        <f>_xlfn.XLOOKUP(FMS_Ranking4[[#This Row],[FMS ID]],FMS_Input[FMS_ID],FMS_Input[FMS_COST])</f>
        <v>44000000</v>
      </c>
      <c r="K91" s="251" t="str">
        <f>_xlfn.XLOOKUP(FMS_Ranking4[[#This Row],[FMS ID]],FMS_Input[FMS_ID],FMS_Input[EMER_NEED])</f>
        <v>Yes</v>
      </c>
      <c r="L91" s="252">
        <f t="shared" si="1"/>
        <v>1</v>
      </c>
      <c r="M91" s="253">
        <f>_xlfn.XLOOKUP(FMS_Ranking4[[#This Row],[FMS ID]],FMS_Input[FMS_ID],FMS_Input[STRUCT_100])</f>
        <v>16974</v>
      </c>
      <c r="N91" s="255">
        <f>(ASINH(FMS_Ranking4[[#This Row],[Structure at Risk Raw]]))*(10)/(ASINH(M$4))</f>
        <v>8.2015653291191768</v>
      </c>
      <c r="O91" s="256">
        <f>FMS_Ranking4[[#This Row],[Structures at risk, ArcSinh (0-10)]]*M$5*10</f>
        <v>8.2015653291191768</v>
      </c>
      <c r="P91" s="253">
        <f>_xlfn.XLOOKUP(FMS_Ranking4[[#This Row],[FMS ID]],FMS_Input[FMS_ID],FMS_Input[RES_STRUCT100])</f>
        <v>14040</v>
      </c>
      <c r="Q91" s="257">
        <f>ASINH(FMS_Ranking4[[#This Row],[Res Structure Raw]])/Q$4*P$5*100</f>
        <v>0</v>
      </c>
      <c r="R91" s="253">
        <f>_xlfn.XLOOKUP(FMS_Ranking4[[#This Row],[FMS ID]],FMS_Input[FMS_ID],FMS_Input[POP100])</f>
        <v>26881</v>
      </c>
      <c r="S91" s="255">
        <f>(ASINH(FMS_Ranking4[[#This Row],[Pop at Risk Raw]]))*(10)/(ASINH(R$4))</f>
        <v>7.5196041274066898</v>
      </c>
      <c r="T91" s="256">
        <f>FMS_Ranking4[[#This Row],[Population at risk, ArcSinh (0-10)]]*R$5*10</f>
        <v>7.5196041274066907</v>
      </c>
      <c r="U91" s="253">
        <f>_xlfn.XLOOKUP(FMS_Ranking4[[#This Row],[FMS ID]],FMS_Input[FMS_ID],FMS_Input[CRITFAC100])</f>
        <v>276</v>
      </c>
      <c r="V91" s="255">
        <f>(ASINH(FMS_Ranking4[[#This Row],[Critical Facilities Raw]]))*(10)/(ASINH(U$4))</f>
        <v>7.4737556503019542</v>
      </c>
      <c r="W91" s="256">
        <f>FMS_Ranking4[[#This Row],[Critical facilities at risk, ArcSinh (0-10)]]*U$5*10</f>
        <v>7.4737556503019542</v>
      </c>
      <c r="X91" s="253">
        <f>_xlfn.XLOOKUP(FMS_Ranking4[[#This Row],[FMS ID]],FMS_Input[FMS_ID],FMS_Input[LWC])</f>
        <v>22</v>
      </c>
      <c r="Y91" s="255">
        <f>(ASINH(FMS_Ranking4[[#This Row],[LWC Raw]]))*(10)/(ASINH(X$4))</f>
        <v>5.1272838758265653</v>
      </c>
      <c r="Z91" s="256">
        <f>FMS_Ranking4[[#This Row],[LWC, ArcSInh (0-10)]]*X$5*10</f>
        <v>5.1272838758265662</v>
      </c>
      <c r="AA91" s="253">
        <f>_xlfn.XLOOKUP(FMS_Ranking4[[#This Row],[FMS ID]],FMS_Input[FMS_ID],FMS_Input[ROADCLS])</f>
        <v>22</v>
      </c>
      <c r="AB91" s="255">
        <f>(ASINH(FMS_Ranking4[[#This Row],[Road Closures Raw]]))*(10)/(ASINH(AA$4))</f>
        <v>3.9414236801787323</v>
      </c>
      <c r="AC91" s="256">
        <f>FMS_Ranking4[[#This Row],[Road closures, ArcSinh (0-10)]]*AA$5*10</f>
        <v>1.9707118400893664</v>
      </c>
      <c r="AD91" s="253">
        <f>_xlfn.XLOOKUP(FMS_Ranking4[[#This Row],[FMS ID]],FMS_Input[FMS_ID],FMS_Input[ROAD_MILES100])</f>
        <v>364</v>
      </c>
      <c r="AE91" s="255">
        <f>(ASINH(FMS_Ranking4[[#This Row],[Road Miles Raw]]))*(10)/(ASINH(AD$4))</f>
        <v>7.0234497766477615</v>
      </c>
      <c r="AF91" s="256">
        <f>FMS_Ranking4[[#This Row],[Length of roads at risk, ArcSinh (0-10)]]*AD$5*10</f>
        <v>7.0234497766477624</v>
      </c>
      <c r="AG91" s="253">
        <f>_xlfn.XLOOKUP(FMS_Ranking4[[#This Row],[FMS ID]],FMS_Input[FMS_ID],FMS_Input[FARMACRE100])</f>
        <v>17171.203125</v>
      </c>
      <c r="AH91" s="255">
        <f>(ASINH(FMS_Ranking4[[#This Row],[Ag Land Raw]]))*(10)/(ASINH(AG$4))</f>
        <v>6.7843173412482667</v>
      </c>
      <c r="AI91" s="260">
        <f>FMS_Ranking4[[#This Row],[Farm &amp; ranch land, ArcSinh (0-10)]]*AG$5*10</f>
        <v>3.3921586706241333</v>
      </c>
      <c r="AJ91" s="258">
        <f>_xlfn.XLOOKUP(FMS_Ranking4[[#This Row],[FMS ID]],FMS_Input[FMS_ID],FMS_Input[REDSTRUCT100])</f>
        <v>0</v>
      </c>
      <c r="AK91" s="253">
        <f>_xlfn.XLOOKUP(FMS_Ranking4[[#This Row],[FMS ID]],FMS_Input[FMS_ID],FMS_Input[REMSTRC100])</f>
        <v>0</v>
      </c>
      <c r="AL91" s="255">
        <f>(ASINH(FMS_Ranking4[[#This Row],[Structures Removed Raw]]))*(10)/(ASINH(AK$4))</f>
        <v>0</v>
      </c>
      <c r="AM91" s="262">
        <f>FMS_Ranking4[[#This Row],[Structures removed, ArcSinh (0-10)]]*AK$5*10</f>
        <v>0</v>
      </c>
      <c r="AN91" s="253">
        <f>_xlfn.XLOOKUP(FMS_Ranking4[[#This Row],[FMS ID]],FMS_Input[FMS_ID],FMS_Input[REMRESSTRC100])</f>
        <v>0</v>
      </c>
      <c r="AO91" s="261">
        <f>FMS_Ranking4[[#This Row],[ArcSinh Res struct removed 0-10]]*AN$5*10</f>
        <v>0</v>
      </c>
      <c r="AP91" s="260">
        <f>ASINH(FMS_Ranking4[[#This Row],[Residential Structures Removed Raw]])/AP$4*AN$5*100</f>
        <v>0</v>
      </c>
      <c r="AQ91" s="258">
        <f>(ASINH(FMS_Ranking4[[#This Row],[Residential Structures Removed Raw]]))*(10)/(ASINH(AN$4))</f>
        <v>0</v>
      </c>
      <c r="AR91" s="253">
        <f>_xlfn.XLOOKUP(FMS_Ranking4[[#This Row],[FMS ID]],FMS_Input[FMS_ID],FMS_Input[REMPOP100])</f>
        <v>0</v>
      </c>
      <c r="AS91" s="255">
        <f>(ASINH(FMS_Ranking4[[#This Row],[Removed Pop Raw]]))*(10)/(ASINH(AR$4))</f>
        <v>0</v>
      </c>
      <c r="AT91" s="262">
        <f>FMS_Ranking4[[#This Row],[Removed population, ArcSinh (0-10)]]*AR$5*10</f>
        <v>0</v>
      </c>
      <c r="AU91" s="264">
        <f>_xlfn.XLOOKUP(FMS_Ranking4[[#This Row],[FMS ID]],FMS_Input[FMS_ID],FMS_Input[REMCRITFAC100])</f>
        <v>0</v>
      </c>
      <c r="AV91" s="264">
        <f>_xlfn.XLOOKUP(FMS_Ranking4[[#This Row],[FMS ID]],FMS_Input[FMS_ID],FMS_Input[REMLWC100])</f>
        <v>0</v>
      </c>
      <c r="AW91" s="264">
        <f>_xlfn.XLOOKUP(FMS_Ranking4[[#This Row],[FMS ID]],FMS_Input[FMS_ID],FMS_Input[REMROADCLS])</f>
        <v>0</v>
      </c>
      <c r="AX91" s="264">
        <f>_xlfn.XLOOKUP(FMS_Ranking4[[#This Row],[FMS ID]],FMS_Input[FMS_ID],FMS_Input[REMFRMACRE100])</f>
        <v>0</v>
      </c>
      <c r="AY91" s="258">
        <f>_xlfn.XLOOKUP(FMS_Ranking4[[#This Row],[FMS ID]],FMS_Input[FMS_ID],FMS_Input[COSTSTRUCT])</f>
        <v>0</v>
      </c>
      <c r="AZ91" s="253">
        <f>_xlfn.XLOOKUP(FMS_Ranking4[[#This Row],[FMS ID]],FMS_Input[FMS_ID],FMS_Input[NATURE])</f>
        <v>0</v>
      </c>
      <c r="BA91" s="262">
        <f>(((FMS_Ranking4[[#This Row],[% NBS Raw]]/AZ$4)*100)*AZ$5)</f>
        <v>0</v>
      </c>
      <c r="BB91" s="251" t="str">
        <f>_xlfn.XLOOKUP(FMS_Ranking4[[#This Row],[FMS ID]],FMS_Input[FMS_ID],FMS_Input[WATER_SUP])</f>
        <v>No</v>
      </c>
      <c r="BC91" s="265">
        <f>IF(FMS_Ranking4[[#This Row],[Water Supply Raw]]="Yes",10,0)</f>
        <v>0</v>
      </c>
      <c r="BD91" s="266">
        <f>_xlfn.XLOOKUP(FMS_Ranking4[[#This Row],[FMS Type]],FMS_TYPE[FMS_Type],FMS_TYPE[Score])</f>
        <v>4</v>
      </c>
      <c r="BE91" s="267">
        <f>FMS_Ranking4[[#This Row],[FMS_Type Score]]*$BD$5*10</f>
        <v>1</v>
      </c>
      <c r="BF9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3.4103830044798165</v>
      </c>
      <c r="BG91" s="321">
        <f>_xlfn.RANK.EQ(BF91,$BF$8:$BF$870,0)+COUNTIF($BF$8:BF91,BF91)-1</f>
        <v>80</v>
      </c>
      <c r="BH91" s="294">
        <f>(((FMS_Ranking4[[#This Row],[Structures Removed Raw]]/AK$4)*100)*AK$5)+(((FMS_Ranking4[[#This Row],[Removed Pop Raw]]/AR$4)*100)*AR$5)</f>
        <v>0</v>
      </c>
      <c r="BI9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4.4103830044798169</v>
      </c>
      <c r="BJ91" s="251">
        <f>_xlfn.RANK.EQ(FMS_Ranking4[[#This Row],[Total Score 
(with linear
normalization)]],FMS_Ranking4[Total Score 
(with linear
normalization)],0)</f>
        <v>130</v>
      </c>
      <c r="BK91" s="251" t="e">
        <f>_xlfn.XLOOKUP(FMS_Ranking4[[#This Row],[FMS ID]],#REF!,#REF!)</f>
        <v>#REF!</v>
      </c>
      <c r="BL9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40.708529270015653</v>
      </c>
      <c r="BM91" s="324">
        <f>FMS_Ranking4[[#This Row],[ArcSinh Score Based on Normalized Reported Factors]]+FMS_Ranking4[[#This Row],[% NBS Score (Normalized)]]+(FMS_Ranking4[[#This Row],[Water Supply Score (Normalized)]]*10*$BB$5)+FMS_Ranking4[[#This Row],[FMS_Type Score Weighted]]</f>
        <v>41.708529270015653</v>
      </c>
      <c r="BN91" s="251">
        <f>_xlfn.RANK.EQ(FMS_Ranking4[[#This Row],[Total Score (with ArcSinh normalization of select criteria)]],FMS_Ranking4[Total Score (with ArcSinh normalization of select criteria)],0)</f>
        <v>84</v>
      </c>
      <c r="BO91" s="270" t="str">
        <f>_xlfn.XLOOKUP(FMS_Ranking4[[#This Row],[FMS ID]],FMS_Input[FMS_ID],FMS_Input[FMS_RANK_YEAR])</f>
        <v>2023 Amended Plan</v>
      </c>
      <c r="BP91" s="204">
        <f>_xlfn.XLOOKUP(FMS_Ranking4[[#This Row],[FMS ID]],Prev_Rank[FMS ID],Prev_Rank[Prev Rank])</f>
        <v>66</v>
      </c>
      <c r="BQ91" s="251" t="e">
        <f>_xlfn.XLOOKUP(FMS_Ranking4[[#This Row],[FMS ID]],#REF!,#REF!)</f>
        <v>#REF!</v>
      </c>
      <c r="BR91" s="199" t="e">
        <f>SUM(#REF!,#REF!,#REF!,#REF!,#REF!,#REF!,#REF!,#REF!,#REF!,FMS_Ranking4[[#This Row],[ArcSinh Res struct removed 0-10]],#REF!)</f>
        <v>#REF!</v>
      </c>
      <c r="BS91" s="199" t="e">
        <f>FMS_Ranking4[[#This Row],[Log Score Based on Normalized Reported Factors]]+FMS_Ranking4[[#This Row],[% NBS Score (Normalized)]]+(FMS_Ranking4[[#This Row],[Water Supply Score (Normalized)]]*10*$BB$5)+(FMS_Ranking4[[#This Row],[FMS_Type Score Weighted]])</f>
        <v>#REF!</v>
      </c>
      <c r="BT91" s="200" t="e">
        <f>_xlfn.RANK.EQ(FMS_Ranking4[[#This Row],[Log Total Score]],FMS_Ranking4[Log Total Score],0)</f>
        <v>#REF!</v>
      </c>
      <c r="BU91" s="200" t="e">
        <f>_xlfn.XLOOKUP(FMS_Ranking4[[#This Row],[FMS ID]],#REF!,#REF!)</f>
        <v>#REF!</v>
      </c>
      <c r="BV91" s="200">
        <f>FMS_Ranking4[[#This Row],[Region Number]]</f>
        <v>4</v>
      </c>
      <c r="BW91" s="200">
        <f>FMS_Ranking4[[#This Row],[Rank (with ArcSinh normalization of select criteria)]]-FMS_Ranking4[[#This Row],[Rank
(with linear
normalization)]]</f>
        <v>-46</v>
      </c>
      <c r="BX91" s="200" t="e">
        <f>FMS_Ranking4[[#This Row],[Log Rank]]-FMS_Ranking4[[#This Row],[Rank
(with linear
normalization)]]</f>
        <v>#REF!</v>
      </c>
      <c r="BY91" s="200" t="str">
        <f>IF(FMS_Ranking4[[#This Row],[FMS Type]]="Flood Measurement and Warning",FMS_Ranking4[[#This Row],[Rank (with ArcSinh normalization of select criteria)]],"")</f>
        <v/>
      </c>
      <c r="BZ91" s="200" t="str">
        <f>IF(FMS_Ranking4[[#This Row],[FMS Type]]="Regulatory and Guidance",FMS_Ranking4[[#This Row],[Rank (with ArcSinh normalization of select criteria)]],"")</f>
        <v/>
      </c>
      <c r="CA91" s="200" t="str">
        <f>IF(FMS_Ranking4[[#This Row],[FMS Type]]="Education and Outreach",FMS_Ranking4[[#This Row],[Rank (with ArcSinh normalization of select criteria)]],"")</f>
        <v/>
      </c>
      <c r="CB91" s="200" t="str">
        <f>IF(FMS_Ranking4[[#This Row],[FMS Type]]="Property Acquisition and Structural Elevation",FMS_Ranking4[[#This Row],[Rank (with ArcSinh normalization of select criteria)]],"")</f>
        <v/>
      </c>
      <c r="CC91" s="200">
        <f>IF(FMS_Ranking4[[#This Row],[FMS Type]]="Infrastructure Projects",FMS_Ranking4[[#This Row],[Rank (with ArcSinh normalization of select criteria)]],"")</f>
        <v>84</v>
      </c>
      <c r="CD91" s="200" t="str">
        <f>IF(FMS_Ranking4[[#This Row],[FMS Type]]="Other",FMS_Ranking4[[#This Row],[Rank (with ArcSinh normalization of select criteria)]],"")</f>
        <v/>
      </c>
      <c r="CE91" s="201"/>
    </row>
    <row r="92" spans="2:83" ht="105" x14ac:dyDescent="0.25">
      <c r="B92" s="341" t="s">
        <v>4746</v>
      </c>
      <c r="C92" s="246">
        <f>_xlfn.XLOOKUP(FMS_Ranking4[[#This Row],[FMS ID]],FMS_Input[FMS_ID],FMS_Input[RFPG_NUM])</f>
        <v>4</v>
      </c>
      <c r="D92" s="309" t="str">
        <f>_xlfn.XLOOKUP(FMS_Ranking4[[#This Row],[FMS ID]],FMS_Input[FMS_ID],FMS_Input[FMS_NAME])</f>
        <v>Orange County Property Acquisition</v>
      </c>
      <c r="E92" s="308" t="str">
        <f>_xlfn.XLOOKUP(FMS_Ranking4[[#This Row],[FMS ID]],FMS_Input[FMS_ID],FMS_Input[SPONSOR])</f>
        <v>00000027</v>
      </c>
      <c r="F92" s="309" t="str">
        <f>_xlfn.XLOOKUP(FMS_Ranking4[[#This Row],[FMS ID]],Sponsor[FMS_ID],Sponsor[SPONSOR NAME])</f>
        <v>Orange</v>
      </c>
      <c r="G92" s="309" t="str">
        <f>_xlfn.XLOOKUP(FMS_Ranking4[[#This Row],[FMS ID]],FMS_Input[FMS_ID],FMS_Input[FMS_DESCR])</f>
        <v>Administer program to acquire flood prone/repetitive loss properties and convert to open space, parks, boating access, trails, agricultural projects, and/or as a general community asset.</v>
      </c>
      <c r="H92" s="248" t="str">
        <f>_xlfn.XLOOKUP(FMS_Ranking4[[#This Row],[FMS ID]],FMS_Input[FMS_ID],FMS_Input[FMS_TYPE])</f>
        <v>Property Acquisition and Structural Elevation</v>
      </c>
      <c r="I92" s="249">
        <f>_xlfn.XLOOKUP(FMS_Ranking4[[#This Row],[FMS ID]],FMS_Input[FMS_ID],FMS_Input[NRNC_COST])</f>
        <v>10000</v>
      </c>
      <c r="J92" s="250">
        <f>_xlfn.XLOOKUP(FMS_Ranking4[[#This Row],[FMS ID]],FMS_Input[FMS_ID],FMS_Input[FMS_COST])</f>
        <v>100000</v>
      </c>
      <c r="K92" s="251" t="str">
        <f>_xlfn.XLOOKUP(FMS_Ranking4[[#This Row],[FMS ID]],FMS_Input[FMS_ID],FMS_Input[EMER_NEED])</f>
        <v>Yes</v>
      </c>
      <c r="L92" s="252">
        <f t="shared" si="1"/>
        <v>1</v>
      </c>
      <c r="M92" s="253">
        <f>_xlfn.XLOOKUP(FMS_Ranking4[[#This Row],[FMS ID]],FMS_Input[FMS_ID],FMS_Input[STRUCT_100])</f>
        <v>16974</v>
      </c>
      <c r="N92" s="255">
        <f>(ASINH(FMS_Ranking4[[#This Row],[Structure at Risk Raw]]))*(10)/(ASINH(M$4))</f>
        <v>8.2015653291191768</v>
      </c>
      <c r="O92" s="256">
        <f>FMS_Ranking4[[#This Row],[Structures at risk, ArcSinh (0-10)]]*M$5*10</f>
        <v>8.2015653291191768</v>
      </c>
      <c r="P92" s="253">
        <f>_xlfn.XLOOKUP(FMS_Ranking4[[#This Row],[FMS ID]],FMS_Input[FMS_ID],FMS_Input[RES_STRUCT100])</f>
        <v>14040</v>
      </c>
      <c r="Q92" s="257">
        <f>ASINH(FMS_Ranking4[[#This Row],[Res Structure Raw]])/Q$4*P$5*100</f>
        <v>0</v>
      </c>
      <c r="R92" s="253">
        <f>_xlfn.XLOOKUP(FMS_Ranking4[[#This Row],[FMS ID]],FMS_Input[FMS_ID],FMS_Input[POP100])</f>
        <v>26881</v>
      </c>
      <c r="S92" s="259">
        <f>(ASINH(FMS_Ranking4[[#This Row],[Pop at Risk Raw]]))*(10)/(ASINH(R$4))</f>
        <v>7.5196041274066898</v>
      </c>
      <c r="T92" s="256">
        <f>FMS_Ranking4[[#This Row],[Population at risk, ArcSinh (0-10)]]*R$5*10</f>
        <v>7.5196041274066907</v>
      </c>
      <c r="U92" s="253">
        <f>_xlfn.XLOOKUP(FMS_Ranking4[[#This Row],[FMS ID]],FMS_Input[FMS_ID],FMS_Input[CRITFAC100])</f>
        <v>276</v>
      </c>
      <c r="V92" s="259">
        <f>(ASINH(FMS_Ranking4[[#This Row],[Critical Facilities Raw]]))*(10)/(ASINH(U$4))</f>
        <v>7.4737556503019542</v>
      </c>
      <c r="W92" s="256">
        <f>FMS_Ranking4[[#This Row],[Critical facilities at risk, ArcSinh (0-10)]]*U$5*10</f>
        <v>7.4737556503019542</v>
      </c>
      <c r="X92" s="253">
        <f>_xlfn.XLOOKUP(FMS_Ranking4[[#This Row],[FMS ID]],FMS_Input[FMS_ID],FMS_Input[LWC])</f>
        <v>22</v>
      </c>
      <c r="Y92" s="259">
        <f>(ASINH(FMS_Ranking4[[#This Row],[LWC Raw]]))*(10)/(ASINH(X$4))</f>
        <v>5.1272838758265653</v>
      </c>
      <c r="Z92" s="256">
        <f>FMS_Ranking4[[#This Row],[LWC, ArcSInh (0-10)]]*X$5*10</f>
        <v>5.1272838758265662</v>
      </c>
      <c r="AA92" s="253">
        <f>_xlfn.XLOOKUP(FMS_Ranking4[[#This Row],[FMS ID]],FMS_Input[FMS_ID],FMS_Input[ROADCLS])</f>
        <v>22</v>
      </c>
      <c r="AB92" s="255">
        <f>(ASINH(FMS_Ranking4[[#This Row],[Road Closures Raw]]))*(10)/(ASINH(AA$4))</f>
        <v>3.9414236801787323</v>
      </c>
      <c r="AC92" s="256">
        <f>FMS_Ranking4[[#This Row],[Road closures, ArcSinh (0-10)]]*AA$5*10</f>
        <v>1.9707118400893664</v>
      </c>
      <c r="AD92" s="253">
        <f>_xlfn.XLOOKUP(FMS_Ranking4[[#This Row],[FMS ID]],FMS_Input[FMS_ID],FMS_Input[ROAD_MILES100])</f>
        <v>364</v>
      </c>
      <c r="AE92" s="259">
        <f>(ASINH(FMS_Ranking4[[#This Row],[Road Miles Raw]]))*(10)/(ASINH(AD$4))</f>
        <v>7.0234497766477615</v>
      </c>
      <c r="AF92" s="256">
        <f>FMS_Ranking4[[#This Row],[Length of roads at risk, ArcSinh (0-10)]]*AD$5*10</f>
        <v>7.0234497766477624</v>
      </c>
      <c r="AG92" s="253">
        <f>_xlfn.XLOOKUP(FMS_Ranking4[[#This Row],[FMS ID]],FMS_Input[FMS_ID],FMS_Input[FARMACRE100])</f>
        <v>17171.203125</v>
      </c>
      <c r="AH92" s="255">
        <f>(ASINH(FMS_Ranking4[[#This Row],[Ag Land Raw]]))*(10)/(ASINH(AG$4))</f>
        <v>6.7843173412482667</v>
      </c>
      <c r="AI92" s="260">
        <f>FMS_Ranking4[[#This Row],[Farm &amp; ranch land, ArcSinh (0-10)]]*AG$5*10</f>
        <v>3.3921586706241333</v>
      </c>
      <c r="AJ92" s="258">
        <f>_xlfn.XLOOKUP(FMS_Ranking4[[#This Row],[FMS ID]],FMS_Input[FMS_ID],FMS_Input[REDSTRUCT100])</f>
        <v>0</v>
      </c>
      <c r="AK92" s="253">
        <f>_xlfn.XLOOKUP(FMS_Ranking4[[#This Row],[FMS ID]],FMS_Input[FMS_ID],FMS_Input[REMSTRC100])</f>
        <v>0</v>
      </c>
      <c r="AL92" s="259">
        <f>(ASINH(FMS_Ranking4[[#This Row],[Structures Removed Raw]]))*(10)/(ASINH(AK$4))</f>
        <v>0</v>
      </c>
      <c r="AM92" s="262">
        <f>FMS_Ranking4[[#This Row],[Structures removed, ArcSinh (0-10)]]*AK$5*10</f>
        <v>0</v>
      </c>
      <c r="AN92" s="253">
        <f>_xlfn.XLOOKUP(FMS_Ranking4[[#This Row],[FMS ID]],FMS_Input[FMS_ID],FMS_Input[REMRESSTRC100])</f>
        <v>0</v>
      </c>
      <c r="AO92" s="261">
        <f>FMS_Ranking4[[#This Row],[ArcSinh Res struct removed 0-10]]*AN$5*10</f>
        <v>0</v>
      </c>
      <c r="AP92" s="260">
        <f>ASINH(FMS_Ranking4[[#This Row],[Residential Structures Removed Raw]])/AP$4*AN$5*100</f>
        <v>0</v>
      </c>
      <c r="AQ92" s="254">
        <f>(ASINH(FMS_Ranking4[[#This Row],[Residential Structures Removed Raw]]))*(10)/(ASINH(AN$4))</f>
        <v>0</v>
      </c>
      <c r="AR92" s="253">
        <f>_xlfn.XLOOKUP(FMS_Ranking4[[#This Row],[FMS ID]],FMS_Input[FMS_ID],FMS_Input[REMPOP100])</f>
        <v>0</v>
      </c>
      <c r="AS92" s="259">
        <f>(ASINH(FMS_Ranking4[[#This Row],[Removed Pop Raw]]))*(10)/(ASINH(AR$4))</f>
        <v>0</v>
      </c>
      <c r="AT92" s="262">
        <f>FMS_Ranking4[[#This Row],[Removed population, ArcSinh (0-10)]]*AR$5*10</f>
        <v>0</v>
      </c>
      <c r="AU92" s="264">
        <f>_xlfn.XLOOKUP(FMS_Ranking4[[#This Row],[FMS ID]],FMS_Input[FMS_ID],FMS_Input[REMCRITFAC100])</f>
        <v>0</v>
      </c>
      <c r="AV92" s="264">
        <f>_xlfn.XLOOKUP(FMS_Ranking4[[#This Row],[FMS ID]],FMS_Input[FMS_ID],FMS_Input[REMLWC100])</f>
        <v>0</v>
      </c>
      <c r="AW92" s="264">
        <f>_xlfn.XLOOKUP(FMS_Ranking4[[#This Row],[FMS ID]],FMS_Input[FMS_ID],FMS_Input[REMROADCLS])</f>
        <v>0</v>
      </c>
      <c r="AX92" s="264">
        <f>_xlfn.XLOOKUP(FMS_Ranking4[[#This Row],[FMS ID]],FMS_Input[FMS_ID],FMS_Input[REMFRMACRE100])</f>
        <v>0</v>
      </c>
      <c r="AY92" s="258">
        <f>_xlfn.XLOOKUP(FMS_Ranking4[[#This Row],[FMS ID]],FMS_Input[FMS_ID],FMS_Input[COSTSTRUCT])</f>
        <v>0</v>
      </c>
      <c r="AZ92" s="253">
        <f>_xlfn.XLOOKUP(FMS_Ranking4[[#This Row],[FMS ID]],FMS_Input[FMS_ID],FMS_Input[NATURE])</f>
        <v>0</v>
      </c>
      <c r="BA92" s="262">
        <f>(((FMS_Ranking4[[#This Row],[% NBS Raw]]/AZ$4)*100)*AZ$5)</f>
        <v>0</v>
      </c>
      <c r="BB92" s="251" t="str">
        <f>_xlfn.XLOOKUP(FMS_Ranking4[[#This Row],[FMS ID]],FMS_Input[FMS_ID],FMS_Input[WATER_SUP])</f>
        <v>No</v>
      </c>
      <c r="BC92" s="265">
        <f>IF(FMS_Ranking4[[#This Row],[Water Supply Raw]]="Yes",10,0)</f>
        <v>0</v>
      </c>
      <c r="BD92" s="266">
        <f>_xlfn.XLOOKUP(FMS_Ranking4[[#This Row],[FMS Type]],FMS_TYPE[FMS_Type],FMS_TYPE[Score])</f>
        <v>4</v>
      </c>
      <c r="BE92" s="267">
        <f>FMS_Ranking4[[#This Row],[FMS_Type Score]]*$BD$5*10</f>
        <v>1</v>
      </c>
      <c r="BF9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3.4103830044798165</v>
      </c>
      <c r="BG92" s="271">
        <f>_xlfn.RANK.EQ(BF92,$BF$8:$BF$870,0)+COUNTIF($BF$8:BF92,BF92)-1</f>
        <v>81</v>
      </c>
      <c r="BH92" s="268">
        <f>(((FMS_Ranking4[[#This Row],[Structures Removed Raw]]/AK$4)*100)*AK$5)+(((FMS_Ranking4[[#This Row],[Removed Pop Raw]]/AR$4)*100)*AR$5)</f>
        <v>0</v>
      </c>
      <c r="BI9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4.4103830044798169</v>
      </c>
      <c r="BJ92" s="205">
        <f>_xlfn.RANK.EQ(FMS_Ranking4[[#This Row],[Total Score 
(with linear
normalization)]],FMS_Ranking4[Total Score 
(with linear
normalization)],0)</f>
        <v>130</v>
      </c>
      <c r="BK92" s="205" t="e">
        <f>_xlfn.XLOOKUP(FMS_Ranking4[[#This Row],[FMS ID]],#REF!,#REF!)</f>
        <v>#REF!</v>
      </c>
      <c r="BL9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40.708529270015653</v>
      </c>
      <c r="BM92" s="272">
        <f>FMS_Ranking4[[#This Row],[ArcSinh Score Based on Normalized Reported Factors]]+FMS_Ranking4[[#This Row],[% NBS Score (Normalized)]]+(FMS_Ranking4[[#This Row],[Water Supply Score (Normalized)]]*10*$BB$5)+FMS_Ranking4[[#This Row],[FMS_Type Score Weighted]]</f>
        <v>41.708529270015653</v>
      </c>
      <c r="BN92" s="205">
        <f>_xlfn.RANK.EQ(FMS_Ranking4[[#This Row],[Total Score (with ArcSinh normalization of select criteria)]],FMS_Ranking4[Total Score (with ArcSinh normalization of select criteria)],0)</f>
        <v>84</v>
      </c>
      <c r="BO92" s="270" t="str">
        <f>_xlfn.XLOOKUP(FMS_Ranking4[[#This Row],[FMS ID]],FMS_Input[FMS_ID],FMS_Input[FMS_RANK_YEAR])</f>
        <v>2023 Amended Plan</v>
      </c>
      <c r="BP92" s="204">
        <f>_xlfn.XLOOKUP(FMS_Ranking4[[#This Row],[FMS ID]],Prev_Rank[FMS ID],Prev_Rank[Prev Rank])</f>
        <v>21</v>
      </c>
      <c r="BQ92" s="205" t="e">
        <f>_xlfn.XLOOKUP(FMS_Ranking4[[#This Row],[FMS ID]],#REF!,#REF!)</f>
        <v>#REF!</v>
      </c>
      <c r="BR92" s="199" t="e">
        <f>SUM(#REF!,#REF!,#REF!,#REF!,#REF!,#REF!,#REF!,#REF!,#REF!,FMS_Ranking4[[#This Row],[ArcSinh Res struct removed 0-10]],#REF!)</f>
        <v>#REF!</v>
      </c>
      <c r="BS92" s="199" t="e">
        <f>FMS_Ranking4[[#This Row],[Log Score Based on Normalized Reported Factors]]+FMS_Ranking4[[#This Row],[% NBS Score (Normalized)]]+(FMS_Ranking4[[#This Row],[Water Supply Score (Normalized)]]*10*$BB$5)+(FMS_Ranking4[[#This Row],[FMS_Type Score Weighted]])</f>
        <v>#REF!</v>
      </c>
      <c r="BT92" s="200" t="e">
        <f>_xlfn.RANK.EQ(FMS_Ranking4[[#This Row],[Log Total Score]],FMS_Ranking4[Log Total Score],0)</f>
        <v>#REF!</v>
      </c>
      <c r="BU92" s="200" t="e">
        <f>_xlfn.XLOOKUP(FMS_Ranking4[[#This Row],[FMS ID]],#REF!,#REF!)</f>
        <v>#REF!</v>
      </c>
      <c r="BV92" s="200">
        <f>FMS_Ranking4[[#This Row],[Region Number]]</f>
        <v>4</v>
      </c>
      <c r="BW92" s="200">
        <f>FMS_Ranking4[[#This Row],[Rank (with ArcSinh normalization of select criteria)]]-FMS_Ranking4[[#This Row],[Rank
(with linear
normalization)]]</f>
        <v>-46</v>
      </c>
      <c r="BX92" s="200" t="e">
        <f>FMS_Ranking4[[#This Row],[Log Rank]]-FMS_Ranking4[[#This Row],[Rank
(with linear
normalization)]]</f>
        <v>#REF!</v>
      </c>
      <c r="BY92" s="200" t="str">
        <f>IF(FMS_Ranking4[[#This Row],[FMS Type]]="Flood Measurement and Warning",FMS_Ranking4[[#This Row],[Rank (with ArcSinh normalization of select criteria)]],"")</f>
        <v/>
      </c>
      <c r="BZ92" s="200" t="str">
        <f>IF(FMS_Ranking4[[#This Row],[FMS Type]]="Regulatory and Guidance",FMS_Ranking4[[#This Row],[Rank (with ArcSinh normalization of select criteria)]],"")</f>
        <v/>
      </c>
      <c r="CA92" s="200" t="str">
        <f>IF(FMS_Ranking4[[#This Row],[FMS Type]]="Education and Outreach",FMS_Ranking4[[#This Row],[Rank (with ArcSinh normalization of select criteria)]],"")</f>
        <v/>
      </c>
      <c r="CB92" s="200">
        <f>IF(FMS_Ranking4[[#This Row],[FMS Type]]="Property Acquisition and Structural Elevation",FMS_Ranking4[[#This Row],[Rank (with ArcSinh normalization of select criteria)]],"")</f>
        <v>84</v>
      </c>
      <c r="CC92" s="200" t="str">
        <f>IF(FMS_Ranking4[[#This Row],[FMS Type]]="Infrastructure Projects",FMS_Ranking4[[#This Row],[Rank (with ArcSinh normalization of select criteria)]],"")</f>
        <v/>
      </c>
      <c r="CD92" s="200" t="str">
        <f>IF(FMS_Ranking4[[#This Row],[FMS Type]]="Other",FMS_Ranking4[[#This Row],[Rank (with ArcSinh normalization of select criteria)]],"")</f>
        <v/>
      </c>
      <c r="CE92" s="201"/>
    </row>
    <row r="93" spans="2:83" ht="45" x14ac:dyDescent="0.25">
      <c r="B93" s="341" t="s">
        <v>611</v>
      </c>
      <c r="C93" s="246">
        <f>_xlfn.XLOOKUP(FMS_Ranking4[[#This Row],[FMS ID]],FMS_Input[FMS_ID],FMS_Input[RFPG_NUM])</f>
        <v>9</v>
      </c>
      <c r="D93" s="309" t="str">
        <f>_xlfn.XLOOKUP(FMS_Ranking4[[#This Row],[FMS ID]],FMS_Input[FMS_ID],FMS_Input[FMS_NAME])</f>
        <v>Terry County DCM</v>
      </c>
      <c r="E93" s="308" t="str">
        <f>_xlfn.XLOOKUP(FMS_Ranking4[[#This Row],[FMS ID]],FMS_Input[FMS_ID],FMS_Input[SPONSOR])</f>
        <v>00000117</v>
      </c>
      <c r="F93" s="309" t="str">
        <f>_xlfn.XLOOKUP(FMS_Ranking4[[#This Row],[FMS ID]],Sponsor[FMS_ID],Sponsor[SPONSOR NAME])</f>
        <v>Dawson</v>
      </c>
      <c r="G93" s="309" t="str">
        <f>_xlfn.XLOOKUP(FMS_Ranking4[[#This Row],[FMS ID]],FMS_Input[FMS_ID],FMS_Input[FMS_DESCR])</f>
        <v>Outreach Program: Discuss Stormwater Criteria Design Manual</v>
      </c>
      <c r="H93" s="248" t="str">
        <f>_xlfn.XLOOKUP(FMS_Ranking4[[#This Row],[FMS ID]],FMS_Input[FMS_ID],FMS_Input[FMS_TYPE])</f>
        <v>Other</v>
      </c>
      <c r="I93" s="249">
        <f>_xlfn.XLOOKUP(FMS_Ranking4[[#This Row],[FMS ID]],FMS_Input[FMS_ID],FMS_Input[NRNC_COST])</f>
        <v>75000</v>
      </c>
      <c r="J93" s="250">
        <f>_xlfn.XLOOKUP(FMS_Ranking4[[#This Row],[FMS ID]],FMS_Input[FMS_ID],FMS_Input[FMS_COST])</f>
        <v>100000</v>
      </c>
      <c r="K93" s="251" t="str">
        <f>_xlfn.XLOOKUP(FMS_Ranking4[[#This Row],[FMS ID]],FMS_Input[FMS_ID],FMS_Input[EMER_NEED])</f>
        <v>No</v>
      </c>
      <c r="L93" s="252">
        <f t="shared" si="1"/>
        <v>0</v>
      </c>
      <c r="M93" s="253">
        <f>_xlfn.XLOOKUP(FMS_Ranking4[[#This Row],[FMS ID]],FMS_Input[FMS_ID],FMS_Input[STRUCT_100])</f>
        <v>499</v>
      </c>
      <c r="N93" s="255">
        <f>(ASINH(FMS_Ranking4[[#This Row],[Structure at Risk Raw]]))*(10)/(ASINH(M$4))</f>
        <v>5.4289510866108426</v>
      </c>
      <c r="O93" s="256">
        <f>FMS_Ranking4[[#This Row],[Structures at risk, ArcSinh (0-10)]]*M$5*10</f>
        <v>5.4289510866108426</v>
      </c>
      <c r="P93" s="253">
        <f>_xlfn.XLOOKUP(FMS_Ranking4[[#This Row],[FMS ID]],FMS_Input[FMS_ID],FMS_Input[RES_STRUCT100])</f>
        <v>183</v>
      </c>
      <c r="Q93" s="257">
        <f>ASINH(FMS_Ranking4[[#This Row],[Res Structure Raw]])/Q$4*P$5*100</f>
        <v>0</v>
      </c>
      <c r="R93" s="253">
        <f>_xlfn.XLOOKUP(FMS_Ranking4[[#This Row],[FMS ID]],FMS_Input[FMS_ID],FMS_Input[POP100])</f>
        <v>1052</v>
      </c>
      <c r="S93" s="255">
        <f>(ASINH(FMS_Ranking4[[#This Row],[Pop at Risk Raw]]))*(10)/(ASINH(R$4))</f>
        <v>5.2823420406479302</v>
      </c>
      <c r="T93" s="256">
        <f>FMS_Ranking4[[#This Row],[Population at risk, ArcSinh (0-10)]]*R$5*10</f>
        <v>5.2823420406479302</v>
      </c>
      <c r="U93" s="253">
        <f>_xlfn.XLOOKUP(FMS_Ranking4[[#This Row],[FMS ID]],FMS_Input[FMS_ID],FMS_Input[CRITFAC100])</f>
        <v>0</v>
      </c>
      <c r="V93" s="255">
        <f>(ASINH(FMS_Ranking4[[#This Row],[Critical Facilities Raw]]))*(10)/(ASINH(U$4))</f>
        <v>0</v>
      </c>
      <c r="W93" s="256">
        <f>FMS_Ranking4[[#This Row],[Critical facilities at risk, ArcSinh (0-10)]]*U$5*10</f>
        <v>0</v>
      </c>
      <c r="X93" s="253">
        <f>_xlfn.XLOOKUP(FMS_Ranking4[[#This Row],[FMS ID]],FMS_Input[FMS_ID],FMS_Input[LWC])</f>
        <v>6</v>
      </c>
      <c r="Y93" s="255">
        <f>(ASINH(FMS_Ranking4[[#This Row],[LWC Raw]]))*(10)/(ASINH(X$4))</f>
        <v>3.375708300798784</v>
      </c>
      <c r="Z93" s="256">
        <f>FMS_Ranking4[[#This Row],[LWC, ArcSInh (0-10)]]*X$5*10</f>
        <v>3.3757083007987845</v>
      </c>
      <c r="AA93" s="253">
        <f>_xlfn.XLOOKUP(FMS_Ranking4[[#This Row],[FMS ID]],FMS_Input[FMS_ID],FMS_Input[ROADCLS])</f>
        <v>0</v>
      </c>
      <c r="AB93" s="255">
        <f>(ASINH(FMS_Ranking4[[#This Row],[Road Closures Raw]]))*(10)/(ASINH(AA$4))</f>
        <v>0</v>
      </c>
      <c r="AC93" s="256">
        <f>FMS_Ranking4[[#This Row],[Road closures, ArcSinh (0-10)]]*AA$5*10</f>
        <v>0</v>
      </c>
      <c r="AD93" s="253">
        <f>_xlfn.XLOOKUP(FMS_Ranking4[[#This Row],[FMS ID]],FMS_Input[FMS_ID],FMS_Input[ROAD_MILES100])</f>
        <v>634</v>
      </c>
      <c r="AE93" s="255">
        <f>(ASINH(FMS_Ranking4[[#This Row],[Road Miles Raw]]))*(10)/(ASINH(AD$4))</f>
        <v>7.6148139260659091</v>
      </c>
      <c r="AF93" s="256">
        <f>FMS_Ranking4[[#This Row],[Length of roads at risk, ArcSinh (0-10)]]*AD$5*10</f>
        <v>7.61481392606591</v>
      </c>
      <c r="AG93" s="253">
        <f>_xlfn.XLOOKUP(FMS_Ranking4[[#This Row],[FMS ID]],FMS_Input[FMS_ID],FMS_Input[FARMACRE100])</f>
        <v>84143.859375</v>
      </c>
      <c r="AH93" s="255">
        <f>(ASINH(FMS_Ranking4[[#This Row],[Ag Land Raw]]))*(10)/(ASINH(AG$4))</f>
        <v>7.8166934035025051</v>
      </c>
      <c r="AI93" s="260">
        <f>FMS_Ranking4[[#This Row],[Farm &amp; ranch land, ArcSinh (0-10)]]*AG$5*10</f>
        <v>3.908346701751253</v>
      </c>
      <c r="AJ93" s="258">
        <f>_xlfn.XLOOKUP(FMS_Ranking4[[#This Row],[FMS ID]],FMS_Input[FMS_ID],FMS_Input[REDSTRUCT100])</f>
        <v>125</v>
      </c>
      <c r="AK93" s="253">
        <f>_xlfn.XLOOKUP(FMS_Ranking4[[#This Row],[FMS ID]],FMS_Input[FMS_ID],FMS_Input[REMSTRC100])</f>
        <v>125</v>
      </c>
      <c r="AL93" s="255">
        <f>(ASINH(FMS_Ranking4[[#This Row],[Structures Removed Raw]]))*(10)/(ASINH(AK$4))</f>
        <v>6.2865955970493088</v>
      </c>
      <c r="AM93" s="262">
        <f>FMS_Ranking4[[#This Row],[Structures removed, ArcSinh (0-10)]]*AK$5*10</f>
        <v>6.2865955970493097</v>
      </c>
      <c r="AN93" s="253">
        <f>_xlfn.XLOOKUP(FMS_Ranking4[[#This Row],[FMS ID]],FMS_Input[FMS_ID],FMS_Input[REMRESSTRC100])</f>
        <v>45</v>
      </c>
      <c r="AO93" s="261">
        <f>FMS_Ranking4[[#This Row],[ArcSinh Res struct removed 0-10]]*AN$5*10</f>
        <v>2.6393298643096648</v>
      </c>
      <c r="AP93" s="260">
        <f>ASINH(FMS_Ranking4[[#This Row],[Residential Structures Removed Raw]])/AP$4*AN$5*100</f>
        <v>2.6393298643096648</v>
      </c>
      <c r="AQ93" s="258">
        <f>(ASINH(FMS_Ranking4[[#This Row],[Residential Structures Removed Raw]]))*(10)/(ASINH(AN$4))</f>
        <v>5.2786597286193286</v>
      </c>
      <c r="AR93" s="253">
        <f>_xlfn.XLOOKUP(FMS_Ranking4[[#This Row],[FMS ID]],FMS_Input[FMS_ID],FMS_Input[REMPOP100])</f>
        <v>398</v>
      </c>
      <c r="AS93" s="255">
        <f>(ASINH(FMS_Ranking4[[#This Row],[Removed Pop Raw]]))*(10)/(ASINH(AR$4))</f>
        <v>6.5568326597656874</v>
      </c>
      <c r="AT93" s="262">
        <f>FMS_Ranking4[[#This Row],[Removed population, ArcSinh (0-10)]]*AR$5*10</f>
        <v>6.5568326597656874</v>
      </c>
      <c r="AU93" s="264">
        <f>_xlfn.XLOOKUP(FMS_Ranking4[[#This Row],[FMS ID]],FMS_Input[FMS_ID],FMS_Input[REMCRITFAC100])</f>
        <v>0</v>
      </c>
      <c r="AV93" s="264">
        <f>_xlfn.XLOOKUP(FMS_Ranking4[[#This Row],[FMS ID]],FMS_Input[FMS_ID],FMS_Input[REMLWC100])</f>
        <v>1</v>
      </c>
      <c r="AW93" s="264">
        <f>_xlfn.XLOOKUP(FMS_Ranking4[[#This Row],[FMS ID]],FMS_Input[FMS_ID],FMS_Input[REMROADCLS])</f>
        <v>0</v>
      </c>
      <c r="AX93" s="264">
        <f>_xlfn.XLOOKUP(FMS_Ranking4[[#This Row],[FMS ID]],FMS_Input[FMS_ID],FMS_Input[REMFRMACRE100])</f>
        <v>21035.96484375</v>
      </c>
      <c r="AY93" s="258">
        <f>_xlfn.XLOOKUP(FMS_Ranking4[[#This Row],[FMS ID]],FMS_Input[FMS_ID],FMS_Input[COSTSTRUCT])</f>
        <v>25000</v>
      </c>
      <c r="AZ93" s="253">
        <f>_xlfn.XLOOKUP(FMS_Ranking4[[#This Row],[FMS ID]],FMS_Input[FMS_ID],FMS_Input[NATURE])</f>
        <v>0</v>
      </c>
      <c r="BA93" s="262">
        <f>(((FMS_Ranking4[[#This Row],[% NBS Raw]]/AZ$4)*100)*AZ$5)</f>
        <v>0</v>
      </c>
      <c r="BB93" s="251" t="str">
        <f>_xlfn.XLOOKUP(FMS_Ranking4[[#This Row],[FMS ID]],FMS_Input[FMS_ID],FMS_Input[WATER_SUP])</f>
        <v>No</v>
      </c>
      <c r="BC93" s="265">
        <f>IF(FMS_Ranking4[[#This Row],[Water Supply Raw]]="Yes",10,0)</f>
        <v>0</v>
      </c>
      <c r="BD93" s="266">
        <f>_xlfn.XLOOKUP(FMS_Ranking4[[#This Row],[FMS Type]],FMS_TYPE[FMS_Type],FMS_TYPE[Score])</f>
        <v>2</v>
      </c>
      <c r="BE93" s="267">
        <f>FMS_Ranking4[[#This Row],[FMS_Type Score]]*$BD$5*10</f>
        <v>0.5</v>
      </c>
      <c r="BF9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1.3554369546506098</v>
      </c>
      <c r="BG93" s="321">
        <f>_xlfn.RANK.EQ(BF93,$BF$8:$BF$870,0)+COUNTIF($BF$8:BF93,BF93)-1</f>
        <v>115</v>
      </c>
      <c r="BH93" s="294">
        <f>(((FMS_Ranking4[[#This Row],[Structures Removed Raw]]/AK$4)*100)*AK$5)+(((FMS_Ranking4[[#This Row],[Removed Pop Raw]]/AR$4)*100)*AR$5)</f>
        <v>0.68299422981291724</v>
      </c>
      <c r="BI9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2.5384311844635272</v>
      </c>
      <c r="BJ93" s="251">
        <f>_xlfn.RANK.EQ(FMS_Ranking4[[#This Row],[Total Score 
(with linear
normalization)]],FMS_Ranking4[Total Score 
(with linear
normalization)],0)</f>
        <v>240</v>
      </c>
      <c r="BK93" s="251" t="e">
        <f>_xlfn.XLOOKUP(FMS_Ranking4[[#This Row],[FMS ID]],#REF!,#REF!)</f>
        <v>#REF!</v>
      </c>
      <c r="BL9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41.092920176999385</v>
      </c>
      <c r="BM93" s="324">
        <f>FMS_Ranking4[[#This Row],[ArcSinh Score Based on Normalized Reported Factors]]+FMS_Ranking4[[#This Row],[% NBS Score (Normalized)]]+(FMS_Ranking4[[#This Row],[Water Supply Score (Normalized)]]*10*$BB$5)+FMS_Ranking4[[#This Row],[FMS_Type Score Weighted]]</f>
        <v>41.592920176999385</v>
      </c>
      <c r="BN93" s="251">
        <f>_xlfn.RANK.EQ(FMS_Ranking4[[#This Row],[Total Score (with ArcSinh normalization of select criteria)]],FMS_Ranking4[Total Score (with ArcSinh normalization of select criteria)],0)</f>
        <v>86</v>
      </c>
      <c r="BO93" s="270" t="str">
        <f>_xlfn.XLOOKUP(FMS_Ranking4[[#This Row],[FMS ID]],FMS_Input[FMS_ID],FMS_Input[FMS_RANK_YEAR])</f>
        <v>2023 Amended Plan</v>
      </c>
      <c r="BP93" s="204">
        <f>_xlfn.XLOOKUP(FMS_Ranking4[[#This Row],[FMS ID]],Prev_Rank[FMS ID],Prev_Rank[Prev Rank])</f>
        <v>74</v>
      </c>
      <c r="BQ93" s="251" t="e">
        <f>_xlfn.XLOOKUP(FMS_Ranking4[[#This Row],[FMS ID]],#REF!,#REF!)</f>
        <v>#REF!</v>
      </c>
      <c r="BR93" s="199" t="e">
        <f>SUM(#REF!,#REF!,#REF!,#REF!,#REF!,#REF!,#REF!,#REF!,#REF!,FMS_Ranking4[[#This Row],[ArcSinh Res struct removed 0-10]],#REF!)</f>
        <v>#REF!</v>
      </c>
      <c r="BS93" s="199" t="e">
        <f>FMS_Ranking4[[#This Row],[Log Score Based on Normalized Reported Factors]]+FMS_Ranking4[[#This Row],[% NBS Score (Normalized)]]+(FMS_Ranking4[[#This Row],[Water Supply Score (Normalized)]]*10*$BB$5)+(FMS_Ranking4[[#This Row],[FMS_Type Score Weighted]])</f>
        <v>#REF!</v>
      </c>
      <c r="BT93" s="200" t="e">
        <f>_xlfn.RANK.EQ(FMS_Ranking4[[#This Row],[Log Total Score]],FMS_Ranking4[Log Total Score],0)</f>
        <v>#REF!</v>
      </c>
      <c r="BU93" s="200" t="e">
        <f>_xlfn.XLOOKUP(FMS_Ranking4[[#This Row],[FMS ID]],#REF!,#REF!)</f>
        <v>#REF!</v>
      </c>
      <c r="BV93" s="200">
        <f>FMS_Ranking4[[#This Row],[Region Number]]</f>
        <v>9</v>
      </c>
      <c r="BW93" s="200">
        <f>FMS_Ranking4[[#This Row],[Rank (with ArcSinh normalization of select criteria)]]-FMS_Ranking4[[#This Row],[Rank
(with linear
normalization)]]</f>
        <v>-154</v>
      </c>
      <c r="BX93" s="200" t="e">
        <f>FMS_Ranking4[[#This Row],[Log Rank]]-FMS_Ranking4[[#This Row],[Rank
(with linear
normalization)]]</f>
        <v>#REF!</v>
      </c>
      <c r="BY93" s="200" t="str">
        <f>IF(FMS_Ranking4[[#This Row],[FMS Type]]="Flood Measurement and Warning",FMS_Ranking4[[#This Row],[Rank (with ArcSinh normalization of select criteria)]],"")</f>
        <v/>
      </c>
      <c r="BZ93" s="200" t="str">
        <f>IF(FMS_Ranking4[[#This Row],[FMS Type]]="Regulatory and Guidance",FMS_Ranking4[[#This Row],[Rank (with ArcSinh normalization of select criteria)]],"")</f>
        <v/>
      </c>
      <c r="CA93" s="200" t="str">
        <f>IF(FMS_Ranking4[[#This Row],[FMS Type]]="Education and Outreach",FMS_Ranking4[[#This Row],[Rank (with ArcSinh normalization of select criteria)]],"")</f>
        <v/>
      </c>
      <c r="CB93" s="200" t="str">
        <f>IF(FMS_Ranking4[[#This Row],[FMS Type]]="Property Acquisition and Structural Elevation",FMS_Ranking4[[#This Row],[Rank (with ArcSinh normalization of select criteria)]],"")</f>
        <v/>
      </c>
      <c r="CC93" s="200" t="str">
        <f>IF(FMS_Ranking4[[#This Row],[FMS Type]]="Infrastructure Projects",FMS_Ranking4[[#This Row],[Rank (with ArcSinh normalization of select criteria)]],"")</f>
        <v/>
      </c>
      <c r="CD93" s="200">
        <f>IF(FMS_Ranking4[[#This Row],[FMS Type]]="Other",FMS_Ranking4[[#This Row],[Rank (with ArcSinh normalization of select criteria)]],"")</f>
        <v>86</v>
      </c>
      <c r="CE93" s="201"/>
    </row>
    <row r="94" spans="2:83" ht="60" x14ac:dyDescent="0.25">
      <c r="B94" s="341" t="s">
        <v>2949</v>
      </c>
      <c r="C94" s="246">
        <f>_xlfn.XLOOKUP(FMS_Ranking4[[#This Row],[FMS ID]],FMS_Input[FMS_ID],FMS_Input[RFPG_NUM])</f>
        <v>5</v>
      </c>
      <c r="D94" s="309" t="str">
        <f>_xlfn.XLOOKUP(FMS_Ranking4[[#This Row],[FMS ID]],FMS_Input[FMS_ID],FMS_Input[FMS_NAME])</f>
        <v>Hardin County Voluntary Flood Buyout</v>
      </c>
      <c r="E94" s="308" t="str">
        <f>_xlfn.XLOOKUP(FMS_Ranking4[[#This Row],[FMS ID]],FMS_Input[FMS_ID],FMS_Input[SPONSOR])</f>
        <v>00000035</v>
      </c>
      <c r="F94" s="309" t="str">
        <f>_xlfn.XLOOKUP(FMS_Ranking4[[#This Row],[FMS ID]],Sponsor[FMS_ID],Sponsor[SPONSOR NAME])</f>
        <v>Hardin</v>
      </c>
      <c r="G94" s="309" t="str">
        <f>_xlfn.XLOOKUP(FMS_Ranking4[[#This Row],[FMS ID]],FMS_Input[FMS_ID],FMS_Input[FMS_DESCR])</f>
        <v>Voluntary flood buyouts.</v>
      </c>
      <c r="H94" s="248" t="str">
        <f>_xlfn.XLOOKUP(FMS_Ranking4[[#This Row],[FMS ID]],FMS_Input[FMS_ID],FMS_Input[FMS_TYPE])</f>
        <v>Property Acquisition and Structural Elevation</v>
      </c>
      <c r="I94" s="249">
        <f>_xlfn.XLOOKUP(FMS_Ranking4[[#This Row],[FMS ID]],FMS_Input[FMS_ID],FMS_Input[NRNC_COST])</f>
        <v>90000</v>
      </c>
      <c r="J94" s="250">
        <f>_xlfn.XLOOKUP(FMS_Ranking4[[#This Row],[FMS ID]],FMS_Input[FMS_ID],FMS_Input[FMS_COST])</f>
        <v>4000000</v>
      </c>
      <c r="K94" s="251" t="str">
        <f>_xlfn.XLOOKUP(FMS_Ranking4[[#This Row],[FMS ID]],FMS_Input[FMS_ID],FMS_Input[EMER_NEED])</f>
        <v>Yes</v>
      </c>
      <c r="L94" s="252">
        <f t="shared" si="1"/>
        <v>1</v>
      </c>
      <c r="M94" s="253">
        <f>_xlfn.XLOOKUP(FMS_Ranking4[[#This Row],[FMS ID]],FMS_Input[FMS_ID],FMS_Input[STRUCT_100])</f>
        <v>3678</v>
      </c>
      <c r="N94" s="255">
        <f>(ASINH(FMS_Ranking4[[#This Row],[Structure at Risk Raw]]))*(10)/(ASINH(M$4))</f>
        <v>6.999297120630481</v>
      </c>
      <c r="O94" s="256">
        <f>FMS_Ranking4[[#This Row],[Structures at risk, ArcSinh (0-10)]]*M$5*10</f>
        <v>6.999297120630481</v>
      </c>
      <c r="P94" s="253">
        <f>_xlfn.XLOOKUP(FMS_Ranking4[[#This Row],[FMS ID]],FMS_Input[FMS_ID],FMS_Input[RES_STRUCT100])</f>
        <v>2638</v>
      </c>
      <c r="Q94" s="257">
        <f>ASINH(FMS_Ranking4[[#This Row],[Res Structure Raw]])/Q$4*P$5*100</f>
        <v>0</v>
      </c>
      <c r="R94" s="253">
        <f>_xlfn.XLOOKUP(FMS_Ranking4[[#This Row],[FMS ID]],FMS_Input[FMS_ID],FMS_Input[POP100])</f>
        <v>10528</v>
      </c>
      <c r="S94" s="255">
        <f>(ASINH(FMS_Ranking4[[#This Row],[Pop at Risk Raw]]))*(10)/(ASINH(R$4))</f>
        <v>6.8724752154145294</v>
      </c>
      <c r="T94" s="256">
        <f>FMS_Ranking4[[#This Row],[Population at risk, ArcSinh (0-10)]]*R$5*10</f>
        <v>6.8724752154145294</v>
      </c>
      <c r="U94" s="253">
        <f>_xlfn.XLOOKUP(FMS_Ranking4[[#This Row],[FMS ID]],FMS_Input[FMS_ID],FMS_Input[CRITFAC100])</f>
        <v>25</v>
      </c>
      <c r="V94" s="255">
        <f>(ASINH(FMS_Ranking4[[#This Row],[Critical Facilities Raw]]))*(10)/(ASINH(U$4))</f>
        <v>4.631385765532567</v>
      </c>
      <c r="W94" s="256">
        <f>FMS_Ranking4[[#This Row],[Critical facilities at risk, ArcSinh (0-10)]]*U$5*10</f>
        <v>4.631385765532567</v>
      </c>
      <c r="X94" s="253">
        <f>_xlfn.XLOOKUP(FMS_Ranking4[[#This Row],[FMS ID]],FMS_Input[FMS_ID],FMS_Input[LWC])</f>
        <v>13</v>
      </c>
      <c r="Y94" s="255">
        <f>(ASINH(FMS_Ranking4[[#This Row],[LWC Raw]]))*(10)/(ASINH(X$4))</f>
        <v>4.4158660820509805</v>
      </c>
      <c r="Z94" s="256">
        <f>FMS_Ranking4[[#This Row],[LWC, ArcSInh (0-10)]]*X$5*10</f>
        <v>4.4158660820509805</v>
      </c>
      <c r="AA94" s="253">
        <f>_xlfn.XLOOKUP(FMS_Ranking4[[#This Row],[FMS ID]],FMS_Input[FMS_ID],FMS_Input[ROADCLS])</f>
        <v>13</v>
      </c>
      <c r="AB94" s="255">
        <f>(ASINH(FMS_Ranking4[[#This Row],[Road Closures Raw]]))*(10)/(ASINH(AA$4))</f>
        <v>3.3945456436207171</v>
      </c>
      <c r="AC94" s="256">
        <f>FMS_Ranking4[[#This Row],[Road closures, ArcSinh (0-10)]]*AA$5*10</f>
        <v>1.6972728218103585</v>
      </c>
      <c r="AD94" s="253">
        <f>_xlfn.XLOOKUP(FMS_Ranking4[[#This Row],[FMS ID]],FMS_Input[FMS_ID],FMS_Input[ROAD_MILES100])</f>
        <v>136</v>
      </c>
      <c r="AE94" s="255">
        <f>(ASINH(FMS_Ranking4[[#This Row],[Road Miles Raw]]))*(10)/(ASINH(AD$4))</f>
        <v>5.9742571151320423</v>
      </c>
      <c r="AF94" s="256">
        <f>FMS_Ranking4[[#This Row],[Length of roads at risk, ArcSinh (0-10)]]*AD$5*10</f>
        <v>5.9742571151320423</v>
      </c>
      <c r="AG94" s="253">
        <f>_xlfn.XLOOKUP(FMS_Ranking4[[#This Row],[FMS ID]],FMS_Input[FMS_ID],FMS_Input[FARMACRE100])</f>
        <v>743.241455078125</v>
      </c>
      <c r="AH94" s="255">
        <f>(ASINH(FMS_Ranking4[[#This Row],[Ag Land Raw]]))*(10)/(ASINH(AG$4))</f>
        <v>4.7446525701701683</v>
      </c>
      <c r="AI94" s="260">
        <f>FMS_Ranking4[[#This Row],[Farm &amp; ranch land, ArcSinh (0-10)]]*AG$5*10</f>
        <v>2.3723262850850841</v>
      </c>
      <c r="AJ94" s="258">
        <f>_xlfn.XLOOKUP(FMS_Ranking4[[#This Row],[FMS ID]],FMS_Input[FMS_ID],FMS_Input[REDSTRUCT100])</f>
        <v>0</v>
      </c>
      <c r="AK94" s="253">
        <f>_xlfn.XLOOKUP(FMS_Ranking4[[#This Row],[FMS ID]],FMS_Input[FMS_ID],FMS_Input[REMSTRC100])</f>
        <v>0</v>
      </c>
      <c r="AL94" s="255">
        <f>(ASINH(FMS_Ranking4[[#This Row],[Structures Removed Raw]]))*(10)/(ASINH(AK$4))</f>
        <v>0</v>
      </c>
      <c r="AM94" s="262">
        <f>FMS_Ranking4[[#This Row],[Structures removed, ArcSinh (0-10)]]*AK$5*10</f>
        <v>0</v>
      </c>
      <c r="AN94" s="253">
        <f>_xlfn.XLOOKUP(FMS_Ranking4[[#This Row],[FMS ID]],FMS_Input[FMS_ID],FMS_Input[REMRESSTRC100])</f>
        <v>0</v>
      </c>
      <c r="AO94" s="261">
        <f>FMS_Ranking4[[#This Row],[ArcSinh Res struct removed 0-10]]*AN$5*10</f>
        <v>0</v>
      </c>
      <c r="AP94" s="260">
        <f>ASINH(FMS_Ranking4[[#This Row],[Residential Structures Removed Raw]])/AP$4*AN$5*100</f>
        <v>0</v>
      </c>
      <c r="AQ94" s="258">
        <f>(ASINH(FMS_Ranking4[[#This Row],[Residential Structures Removed Raw]]))*(10)/(ASINH(AN$4))</f>
        <v>0</v>
      </c>
      <c r="AR94" s="253">
        <f>_xlfn.XLOOKUP(FMS_Ranking4[[#This Row],[FMS ID]],FMS_Input[FMS_ID],FMS_Input[REMPOP100])</f>
        <v>0</v>
      </c>
      <c r="AS94" s="255">
        <f>(ASINH(FMS_Ranking4[[#This Row],[Removed Pop Raw]]))*(10)/(ASINH(AR$4))</f>
        <v>0</v>
      </c>
      <c r="AT94" s="262">
        <f>FMS_Ranking4[[#This Row],[Removed population, ArcSinh (0-10)]]*AR$5*10</f>
        <v>0</v>
      </c>
      <c r="AU94" s="264">
        <f>_xlfn.XLOOKUP(FMS_Ranking4[[#This Row],[FMS ID]],FMS_Input[FMS_ID],FMS_Input[REMCRITFAC100])</f>
        <v>0</v>
      </c>
      <c r="AV94" s="264">
        <f>_xlfn.XLOOKUP(FMS_Ranking4[[#This Row],[FMS ID]],FMS_Input[FMS_ID],FMS_Input[REMLWC100])</f>
        <v>0</v>
      </c>
      <c r="AW94" s="264">
        <f>_xlfn.XLOOKUP(FMS_Ranking4[[#This Row],[FMS ID]],FMS_Input[FMS_ID],FMS_Input[REMROADCLS])</f>
        <v>0</v>
      </c>
      <c r="AX94" s="264">
        <f>_xlfn.XLOOKUP(FMS_Ranking4[[#This Row],[FMS ID]],FMS_Input[FMS_ID],FMS_Input[REMFRMACRE100])</f>
        <v>0</v>
      </c>
      <c r="AY94" s="258">
        <f>_xlfn.XLOOKUP(FMS_Ranking4[[#This Row],[FMS ID]],FMS_Input[FMS_ID],FMS_Input[COSTSTRUCT])</f>
        <v>0</v>
      </c>
      <c r="AZ94" s="253">
        <f>_xlfn.XLOOKUP(FMS_Ranking4[[#This Row],[FMS ID]],FMS_Input[FMS_ID],FMS_Input[NATURE])</f>
        <v>100</v>
      </c>
      <c r="BA94" s="262">
        <f>(((FMS_Ranking4[[#This Row],[% NBS Raw]]/AZ$4)*100)*AZ$5)</f>
        <v>7.5</v>
      </c>
      <c r="BB94" s="251" t="str">
        <f>_xlfn.XLOOKUP(FMS_Ranking4[[#This Row],[FMS ID]],FMS_Input[FMS_ID],FMS_Input[WATER_SUP])</f>
        <v>No</v>
      </c>
      <c r="BC94" s="265">
        <f>IF(FMS_Ranking4[[#This Row],[Water Supply Raw]]="Yes",10,0)</f>
        <v>0</v>
      </c>
      <c r="BD94" s="266">
        <f>_xlfn.XLOOKUP(FMS_Ranking4[[#This Row],[FMS Type]],FMS_TYPE[FMS_Type],FMS_TYPE[Score])</f>
        <v>4</v>
      </c>
      <c r="BE94" s="267">
        <f>FMS_Ranking4[[#This Row],[FMS_Type Score]]*$BD$5*10</f>
        <v>1</v>
      </c>
      <c r="BF9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0.83593507027171055</v>
      </c>
      <c r="BG94" s="321">
        <f>_xlfn.RANK.EQ(BF94,$BF$8:$BF$870,0)+COUNTIF($BF$8:BF94,BF94)-1</f>
        <v>161</v>
      </c>
      <c r="BH94" s="294">
        <f>(((FMS_Ranking4[[#This Row],[Structures Removed Raw]]/AK$4)*100)*AK$5)+(((FMS_Ranking4[[#This Row],[Removed Pop Raw]]/AR$4)*100)*AR$5)</f>
        <v>0</v>
      </c>
      <c r="BI9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9.3359350702717112</v>
      </c>
      <c r="BJ94" s="251">
        <f>_xlfn.RANK.EQ(FMS_Ranking4[[#This Row],[Total Score 
(with linear
normalization)]],FMS_Ranking4[Total Score 
(with linear
normalization)],0)</f>
        <v>58</v>
      </c>
      <c r="BK94" s="251" t="e">
        <f>_xlfn.XLOOKUP(FMS_Ranking4[[#This Row],[FMS ID]],#REF!,#REF!)</f>
        <v>#REF!</v>
      </c>
      <c r="BL9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32.962880405656044</v>
      </c>
      <c r="BM94" s="324">
        <f>FMS_Ranking4[[#This Row],[ArcSinh Score Based on Normalized Reported Factors]]+FMS_Ranking4[[#This Row],[% NBS Score (Normalized)]]+(FMS_Ranking4[[#This Row],[Water Supply Score (Normalized)]]*10*$BB$5)+FMS_Ranking4[[#This Row],[FMS_Type Score Weighted]]</f>
        <v>41.462880405656044</v>
      </c>
      <c r="BN94" s="251">
        <f>_xlfn.RANK.EQ(FMS_Ranking4[[#This Row],[Total Score (with ArcSinh normalization of select criteria)]],FMS_Ranking4[Total Score (with ArcSinh normalization of select criteria)],0)</f>
        <v>87</v>
      </c>
      <c r="BO94" s="270" t="str">
        <f>_xlfn.XLOOKUP(FMS_Ranking4[[#This Row],[FMS ID]],FMS_Input[FMS_ID],FMS_Input[FMS_RANK_YEAR])</f>
        <v>2023 Amended Plan</v>
      </c>
      <c r="BP94" s="204">
        <f>_xlfn.XLOOKUP(FMS_Ranking4[[#This Row],[FMS ID]],Prev_Rank[FMS ID],Prev_Rank[Prev Rank])</f>
        <v>67</v>
      </c>
      <c r="BQ94" s="251" t="e">
        <f>_xlfn.XLOOKUP(FMS_Ranking4[[#This Row],[FMS ID]],#REF!,#REF!)</f>
        <v>#REF!</v>
      </c>
      <c r="BR94" s="199" t="e">
        <f>SUM(#REF!,#REF!,#REF!,#REF!,#REF!,#REF!,#REF!,#REF!,#REF!,FMS_Ranking4[[#This Row],[ArcSinh Res struct removed 0-10]],#REF!)</f>
        <v>#REF!</v>
      </c>
      <c r="BS94" s="199" t="e">
        <f>FMS_Ranking4[[#This Row],[Log Score Based on Normalized Reported Factors]]+FMS_Ranking4[[#This Row],[% NBS Score (Normalized)]]+(FMS_Ranking4[[#This Row],[Water Supply Score (Normalized)]]*10*$BB$5)+(FMS_Ranking4[[#This Row],[FMS_Type Score Weighted]])</f>
        <v>#REF!</v>
      </c>
      <c r="BT94" s="200" t="e">
        <f>_xlfn.RANK.EQ(FMS_Ranking4[[#This Row],[Log Total Score]],FMS_Ranking4[Log Total Score],0)</f>
        <v>#REF!</v>
      </c>
      <c r="BU94" s="200" t="e">
        <f>_xlfn.XLOOKUP(FMS_Ranking4[[#This Row],[FMS ID]],#REF!,#REF!)</f>
        <v>#REF!</v>
      </c>
      <c r="BV94" s="200">
        <f>FMS_Ranking4[[#This Row],[Region Number]]</f>
        <v>5</v>
      </c>
      <c r="BW94" s="200">
        <f>FMS_Ranking4[[#This Row],[Rank (with ArcSinh normalization of select criteria)]]-FMS_Ranking4[[#This Row],[Rank
(with linear
normalization)]]</f>
        <v>29</v>
      </c>
      <c r="BX94" s="200" t="e">
        <f>FMS_Ranking4[[#This Row],[Log Rank]]-FMS_Ranking4[[#This Row],[Rank
(with linear
normalization)]]</f>
        <v>#REF!</v>
      </c>
      <c r="BY94" s="200" t="str">
        <f>IF(FMS_Ranking4[[#This Row],[FMS Type]]="Flood Measurement and Warning",FMS_Ranking4[[#This Row],[Rank (with ArcSinh normalization of select criteria)]],"")</f>
        <v/>
      </c>
      <c r="BZ94" s="200" t="str">
        <f>IF(FMS_Ranking4[[#This Row],[FMS Type]]="Regulatory and Guidance",FMS_Ranking4[[#This Row],[Rank (with ArcSinh normalization of select criteria)]],"")</f>
        <v/>
      </c>
      <c r="CA94" s="200" t="str">
        <f>IF(FMS_Ranking4[[#This Row],[FMS Type]]="Education and Outreach",FMS_Ranking4[[#This Row],[Rank (with ArcSinh normalization of select criteria)]],"")</f>
        <v/>
      </c>
      <c r="CB94" s="200">
        <f>IF(FMS_Ranking4[[#This Row],[FMS Type]]="Property Acquisition and Structural Elevation",FMS_Ranking4[[#This Row],[Rank (with ArcSinh normalization of select criteria)]],"")</f>
        <v>87</v>
      </c>
      <c r="CC94" s="200" t="str">
        <f>IF(FMS_Ranking4[[#This Row],[FMS Type]]="Infrastructure Projects",FMS_Ranking4[[#This Row],[Rank (with ArcSinh normalization of select criteria)]],"")</f>
        <v/>
      </c>
      <c r="CD94" s="200" t="str">
        <f>IF(FMS_Ranking4[[#This Row],[FMS Type]]="Other",FMS_Ranking4[[#This Row],[Rank (with ArcSinh normalization of select criteria)]],"")</f>
        <v/>
      </c>
      <c r="CE94" s="201"/>
    </row>
    <row r="95" spans="2:83" ht="45" x14ac:dyDescent="0.25">
      <c r="B95" s="341" t="s">
        <v>2564</v>
      </c>
      <c r="C95" s="246">
        <f>_xlfn.XLOOKUP(FMS_Ranking4[[#This Row],[FMS ID]],FMS_Input[FMS_ID],FMS_Input[RFPG_NUM])</f>
        <v>4</v>
      </c>
      <c r="D95" s="309" t="str">
        <f>_xlfn.XLOOKUP(FMS_Ranking4[[#This Row],[FMS ID]],FMS_Input[FMS_ID],FMS_Input[FMS_NAME])</f>
        <v>Orange County Emergency Response Staging Area</v>
      </c>
      <c r="E95" s="308" t="str">
        <f>_xlfn.XLOOKUP(FMS_Ranking4[[#This Row],[FMS ID]],FMS_Input[FMS_ID],FMS_Input[SPONSOR])</f>
        <v>00000512</v>
      </c>
      <c r="F95" s="309" t="str">
        <f>_xlfn.XLOOKUP(FMS_Ranking4[[#This Row],[FMS ID]],Sponsor[FMS_ID],Sponsor[SPONSOR NAME])</f>
        <v>Orange County Drainage District</v>
      </c>
      <c r="G95" s="309" t="str">
        <f>_xlfn.XLOOKUP(FMS_Ranking4[[#This Row],[FMS ID]],FMS_Input[FMS_ID],FMS_Input[FMS_DESCR])</f>
        <v>Staging Area and “lily pads” for use during disaster events.</v>
      </c>
      <c r="H95" s="248" t="str">
        <f>_xlfn.XLOOKUP(FMS_Ranking4[[#This Row],[FMS ID]],FMS_Input[FMS_ID],FMS_Input[FMS_TYPE])</f>
        <v>Other</v>
      </c>
      <c r="I95" s="249">
        <f>_xlfn.XLOOKUP(FMS_Ranking4[[#This Row],[FMS ID]],FMS_Input[FMS_ID],FMS_Input[NRNC_COST])</f>
        <v>10000</v>
      </c>
      <c r="J95" s="250">
        <f>_xlfn.XLOOKUP(FMS_Ranking4[[#This Row],[FMS ID]],FMS_Input[FMS_ID],FMS_Input[FMS_COST])</f>
        <v>10000</v>
      </c>
      <c r="K95" s="251" t="str">
        <f>_xlfn.XLOOKUP(FMS_Ranking4[[#This Row],[FMS ID]],FMS_Input[FMS_ID],FMS_Input[EMER_NEED])</f>
        <v>Yes</v>
      </c>
      <c r="L95" s="252">
        <f t="shared" si="1"/>
        <v>1</v>
      </c>
      <c r="M95" s="253">
        <f>_xlfn.XLOOKUP(FMS_Ranking4[[#This Row],[FMS ID]],FMS_Input[FMS_ID],FMS_Input[STRUCT_100])</f>
        <v>16974</v>
      </c>
      <c r="N95" s="255">
        <f>(ASINH(FMS_Ranking4[[#This Row],[Structure at Risk Raw]]))*(10)/(ASINH(M$4))</f>
        <v>8.2015653291191768</v>
      </c>
      <c r="O95" s="256">
        <f>FMS_Ranking4[[#This Row],[Structures at risk, ArcSinh (0-10)]]*M$5*10</f>
        <v>8.2015653291191768</v>
      </c>
      <c r="P95" s="253">
        <f>_xlfn.XLOOKUP(FMS_Ranking4[[#This Row],[FMS ID]],FMS_Input[FMS_ID],FMS_Input[RES_STRUCT100])</f>
        <v>14040</v>
      </c>
      <c r="Q95" s="257">
        <f>ASINH(FMS_Ranking4[[#This Row],[Res Structure Raw]])/Q$4*P$5*100</f>
        <v>0</v>
      </c>
      <c r="R95" s="253">
        <f>_xlfn.XLOOKUP(FMS_Ranking4[[#This Row],[FMS ID]],FMS_Input[FMS_ID],FMS_Input[POP100])</f>
        <v>26881</v>
      </c>
      <c r="S95" s="255">
        <f>(ASINH(FMS_Ranking4[[#This Row],[Pop at Risk Raw]]))*(10)/(ASINH(R$4))</f>
        <v>7.5196041274066898</v>
      </c>
      <c r="T95" s="256">
        <f>FMS_Ranking4[[#This Row],[Population at risk, ArcSinh (0-10)]]*R$5*10</f>
        <v>7.5196041274066907</v>
      </c>
      <c r="U95" s="253">
        <f>_xlfn.XLOOKUP(FMS_Ranking4[[#This Row],[FMS ID]],FMS_Input[FMS_ID],FMS_Input[CRITFAC100])</f>
        <v>276</v>
      </c>
      <c r="V95" s="255">
        <f>(ASINH(FMS_Ranking4[[#This Row],[Critical Facilities Raw]]))*(10)/(ASINH(U$4))</f>
        <v>7.4737556503019542</v>
      </c>
      <c r="W95" s="256">
        <f>FMS_Ranking4[[#This Row],[Critical facilities at risk, ArcSinh (0-10)]]*U$5*10</f>
        <v>7.4737556503019542</v>
      </c>
      <c r="X95" s="253">
        <f>_xlfn.XLOOKUP(FMS_Ranking4[[#This Row],[FMS ID]],FMS_Input[FMS_ID],FMS_Input[LWC])</f>
        <v>22</v>
      </c>
      <c r="Y95" s="255">
        <f>(ASINH(FMS_Ranking4[[#This Row],[LWC Raw]]))*(10)/(ASINH(X$4))</f>
        <v>5.1272838758265653</v>
      </c>
      <c r="Z95" s="256">
        <f>FMS_Ranking4[[#This Row],[LWC, ArcSInh (0-10)]]*X$5*10</f>
        <v>5.1272838758265662</v>
      </c>
      <c r="AA95" s="253">
        <f>_xlfn.XLOOKUP(FMS_Ranking4[[#This Row],[FMS ID]],FMS_Input[FMS_ID],FMS_Input[ROADCLS])</f>
        <v>22</v>
      </c>
      <c r="AB95" s="255">
        <f>(ASINH(FMS_Ranking4[[#This Row],[Road Closures Raw]]))*(10)/(ASINH(AA$4))</f>
        <v>3.9414236801787323</v>
      </c>
      <c r="AC95" s="256">
        <f>FMS_Ranking4[[#This Row],[Road closures, ArcSinh (0-10)]]*AA$5*10</f>
        <v>1.9707118400893664</v>
      </c>
      <c r="AD95" s="253">
        <f>_xlfn.XLOOKUP(FMS_Ranking4[[#This Row],[FMS ID]],FMS_Input[FMS_ID],FMS_Input[ROAD_MILES100])</f>
        <v>364</v>
      </c>
      <c r="AE95" s="255">
        <f>(ASINH(FMS_Ranking4[[#This Row],[Road Miles Raw]]))*(10)/(ASINH(AD$4))</f>
        <v>7.0234497766477615</v>
      </c>
      <c r="AF95" s="256">
        <f>FMS_Ranking4[[#This Row],[Length of roads at risk, ArcSinh (0-10)]]*AD$5*10</f>
        <v>7.0234497766477624</v>
      </c>
      <c r="AG95" s="253">
        <f>_xlfn.XLOOKUP(FMS_Ranking4[[#This Row],[FMS ID]],FMS_Input[FMS_ID],FMS_Input[FARMACRE100])</f>
        <v>17171.212890625</v>
      </c>
      <c r="AH95" s="255">
        <f>(ASINH(FMS_Ranking4[[#This Row],[Ag Land Raw]]))*(10)/(ASINH(AG$4))</f>
        <v>6.7843177106788293</v>
      </c>
      <c r="AI95" s="260">
        <f>FMS_Ranking4[[#This Row],[Farm &amp; ranch land, ArcSinh (0-10)]]*AG$5*10</f>
        <v>3.3921588553394151</v>
      </c>
      <c r="AJ95" s="258">
        <f>_xlfn.XLOOKUP(FMS_Ranking4[[#This Row],[FMS ID]],FMS_Input[FMS_ID],FMS_Input[REDSTRUCT100])</f>
        <v>0</v>
      </c>
      <c r="AK95" s="253">
        <f>_xlfn.XLOOKUP(FMS_Ranking4[[#This Row],[FMS ID]],FMS_Input[FMS_ID],FMS_Input[REMSTRC100])</f>
        <v>0</v>
      </c>
      <c r="AL95" s="255">
        <f>(ASINH(FMS_Ranking4[[#This Row],[Structures Removed Raw]]))*(10)/(ASINH(AK$4))</f>
        <v>0</v>
      </c>
      <c r="AM95" s="262">
        <f>FMS_Ranking4[[#This Row],[Structures removed, ArcSinh (0-10)]]*AK$5*10</f>
        <v>0</v>
      </c>
      <c r="AN95" s="253">
        <f>_xlfn.XLOOKUP(FMS_Ranking4[[#This Row],[FMS ID]],FMS_Input[FMS_ID],FMS_Input[REMRESSTRC100])</f>
        <v>0</v>
      </c>
      <c r="AO95" s="261">
        <f>FMS_Ranking4[[#This Row],[ArcSinh Res struct removed 0-10]]*AN$5*10</f>
        <v>0</v>
      </c>
      <c r="AP95" s="260">
        <f>ASINH(FMS_Ranking4[[#This Row],[Residential Structures Removed Raw]])/AP$4*AN$5*100</f>
        <v>0</v>
      </c>
      <c r="AQ95" s="258">
        <f>(ASINH(FMS_Ranking4[[#This Row],[Residential Structures Removed Raw]]))*(10)/(ASINH(AN$4))</f>
        <v>0</v>
      </c>
      <c r="AR95" s="253">
        <f>_xlfn.XLOOKUP(FMS_Ranking4[[#This Row],[FMS ID]],FMS_Input[FMS_ID],FMS_Input[REMPOP100])</f>
        <v>0</v>
      </c>
      <c r="AS95" s="255">
        <f>(ASINH(FMS_Ranking4[[#This Row],[Removed Pop Raw]]))*(10)/(ASINH(AR$4))</f>
        <v>0</v>
      </c>
      <c r="AT95" s="262">
        <f>FMS_Ranking4[[#This Row],[Removed population, ArcSinh (0-10)]]*AR$5*10</f>
        <v>0</v>
      </c>
      <c r="AU95" s="264">
        <f>_xlfn.XLOOKUP(FMS_Ranking4[[#This Row],[FMS ID]],FMS_Input[FMS_ID],FMS_Input[REMCRITFAC100])</f>
        <v>0</v>
      </c>
      <c r="AV95" s="264">
        <f>_xlfn.XLOOKUP(FMS_Ranking4[[#This Row],[FMS ID]],FMS_Input[FMS_ID],FMS_Input[REMLWC100])</f>
        <v>0</v>
      </c>
      <c r="AW95" s="264">
        <f>_xlfn.XLOOKUP(FMS_Ranking4[[#This Row],[FMS ID]],FMS_Input[FMS_ID],FMS_Input[REMROADCLS])</f>
        <v>0</v>
      </c>
      <c r="AX95" s="264">
        <f>_xlfn.XLOOKUP(FMS_Ranking4[[#This Row],[FMS ID]],FMS_Input[FMS_ID],FMS_Input[REMFRMACRE100])</f>
        <v>0</v>
      </c>
      <c r="AY95" s="258">
        <f>_xlfn.XLOOKUP(FMS_Ranking4[[#This Row],[FMS ID]],FMS_Input[FMS_ID],FMS_Input[COSTSTRUCT])</f>
        <v>0</v>
      </c>
      <c r="AZ95" s="253">
        <f>_xlfn.XLOOKUP(FMS_Ranking4[[#This Row],[FMS ID]],FMS_Input[FMS_ID],FMS_Input[NATURE])</f>
        <v>0</v>
      </c>
      <c r="BA95" s="262">
        <f>(((FMS_Ranking4[[#This Row],[% NBS Raw]]/AZ$4)*100)*AZ$5)</f>
        <v>0</v>
      </c>
      <c r="BB95" s="251" t="str">
        <f>_xlfn.XLOOKUP(FMS_Ranking4[[#This Row],[FMS ID]],FMS_Input[FMS_ID],FMS_Input[WATER_SUP])</f>
        <v>No</v>
      </c>
      <c r="BC95" s="265">
        <f>IF(FMS_Ranking4[[#This Row],[Water Supply Raw]]="Yes",10,0)</f>
        <v>0</v>
      </c>
      <c r="BD95" s="266">
        <f>_xlfn.XLOOKUP(FMS_Ranking4[[#This Row],[FMS Type]],FMS_TYPE[FMS_Type],FMS_TYPE[Score])</f>
        <v>2</v>
      </c>
      <c r="BE95" s="267">
        <f>FMS_Ranking4[[#This Row],[FMS_Type Score]]*$BD$5*10</f>
        <v>0.5</v>
      </c>
      <c r="BF9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3.4103830246143496</v>
      </c>
      <c r="BG95" s="269">
        <f>_xlfn.RANK.EQ(BF95,$BF$8:$BF$870,0)+COUNTIF($BF$8:BF95,BF95)-1</f>
        <v>77</v>
      </c>
      <c r="BH95" s="268">
        <f>(((FMS_Ranking4[[#This Row],[Structures Removed Raw]]/AK$4)*100)*AK$5)+(((FMS_Ranking4[[#This Row],[Removed Pop Raw]]/AR$4)*100)*AR$5)</f>
        <v>0</v>
      </c>
      <c r="BI9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3.9103830246143496</v>
      </c>
      <c r="BJ95" s="251">
        <f>_xlfn.RANK.EQ(FMS_Ranking4[[#This Row],[Total Score 
(with linear
normalization)]],FMS_Ranking4[Total Score 
(with linear
normalization)],0)</f>
        <v>138</v>
      </c>
      <c r="BK95" s="251" t="e">
        <f>_xlfn.XLOOKUP(FMS_Ranking4[[#This Row],[FMS ID]],#REF!,#REF!)</f>
        <v>#REF!</v>
      </c>
      <c r="BL9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40.708529454730936</v>
      </c>
      <c r="BM95" s="324">
        <f>FMS_Ranking4[[#This Row],[ArcSinh Score Based on Normalized Reported Factors]]+FMS_Ranking4[[#This Row],[% NBS Score (Normalized)]]+(FMS_Ranking4[[#This Row],[Water Supply Score (Normalized)]]*10*$BB$5)+FMS_Ranking4[[#This Row],[FMS_Type Score Weighted]]</f>
        <v>41.208529454730936</v>
      </c>
      <c r="BN95" s="251">
        <f>_xlfn.RANK.EQ(FMS_Ranking4[[#This Row],[Total Score (with ArcSinh normalization of select criteria)]],FMS_Ranking4[Total Score (with ArcSinh normalization of select criteria)],0)</f>
        <v>88</v>
      </c>
      <c r="BO95" s="270" t="str">
        <f>_xlfn.XLOOKUP(FMS_Ranking4[[#This Row],[FMS ID]],FMS_Input[FMS_ID],FMS_Input[FMS_RANK_YEAR])</f>
        <v>2023 Amended Plan</v>
      </c>
      <c r="BP95" s="204">
        <f>_xlfn.XLOOKUP(FMS_Ranking4[[#This Row],[FMS ID]],Prev_Rank[FMS ID],Prev_Rank[Prev Rank])</f>
        <v>68</v>
      </c>
      <c r="BQ95" s="251" t="e">
        <f>_xlfn.XLOOKUP(FMS_Ranking4[[#This Row],[FMS ID]],#REF!,#REF!)</f>
        <v>#REF!</v>
      </c>
      <c r="BR95" s="199" t="e">
        <f>SUM(#REF!,#REF!,#REF!,#REF!,#REF!,#REF!,#REF!,#REF!,#REF!,FMS_Ranking4[[#This Row],[ArcSinh Res struct removed 0-10]],#REF!)</f>
        <v>#REF!</v>
      </c>
      <c r="BS95" s="199" t="e">
        <f>FMS_Ranking4[[#This Row],[Log Score Based on Normalized Reported Factors]]+FMS_Ranking4[[#This Row],[% NBS Score (Normalized)]]+(FMS_Ranking4[[#This Row],[Water Supply Score (Normalized)]]*10*$BB$5)+(FMS_Ranking4[[#This Row],[FMS_Type Score Weighted]])</f>
        <v>#REF!</v>
      </c>
      <c r="BT95" s="200" t="e">
        <f>_xlfn.RANK.EQ(FMS_Ranking4[[#This Row],[Log Total Score]],FMS_Ranking4[Log Total Score],0)</f>
        <v>#REF!</v>
      </c>
      <c r="BU95" s="200" t="e">
        <f>_xlfn.XLOOKUP(FMS_Ranking4[[#This Row],[FMS ID]],#REF!,#REF!)</f>
        <v>#REF!</v>
      </c>
      <c r="BV95" s="200">
        <f>FMS_Ranking4[[#This Row],[Region Number]]</f>
        <v>4</v>
      </c>
      <c r="BW95" s="200">
        <f>FMS_Ranking4[[#This Row],[Rank (with ArcSinh normalization of select criteria)]]-FMS_Ranking4[[#This Row],[Rank
(with linear
normalization)]]</f>
        <v>-50</v>
      </c>
      <c r="BX95" s="200" t="e">
        <f>FMS_Ranking4[[#This Row],[Log Rank]]-FMS_Ranking4[[#This Row],[Rank
(with linear
normalization)]]</f>
        <v>#REF!</v>
      </c>
      <c r="BY95" s="200" t="str">
        <f>IF(FMS_Ranking4[[#This Row],[FMS Type]]="Flood Measurement and Warning",FMS_Ranking4[[#This Row],[Rank (with ArcSinh normalization of select criteria)]],"")</f>
        <v/>
      </c>
      <c r="BZ95" s="200" t="str">
        <f>IF(FMS_Ranking4[[#This Row],[FMS Type]]="Regulatory and Guidance",FMS_Ranking4[[#This Row],[Rank (with ArcSinh normalization of select criteria)]],"")</f>
        <v/>
      </c>
      <c r="CA95" s="200" t="str">
        <f>IF(FMS_Ranking4[[#This Row],[FMS Type]]="Education and Outreach",FMS_Ranking4[[#This Row],[Rank (with ArcSinh normalization of select criteria)]],"")</f>
        <v/>
      </c>
      <c r="CB95" s="200" t="str">
        <f>IF(FMS_Ranking4[[#This Row],[FMS Type]]="Property Acquisition and Structural Elevation",FMS_Ranking4[[#This Row],[Rank (with ArcSinh normalization of select criteria)]],"")</f>
        <v/>
      </c>
      <c r="CC95" s="200" t="str">
        <f>IF(FMS_Ranking4[[#This Row],[FMS Type]]="Infrastructure Projects",FMS_Ranking4[[#This Row],[Rank (with ArcSinh normalization of select criteria)]],"")</f>
        <v/>
      </c>
      <c r="CD95" s="200">
        <f>IF(FMS_Ranking4[[#This Row],[FMS Type]]="Other",FMS_Ranking4[[#This Row],[Rank (with ArcSinh normalization of select criteria)]],"")</f>
        <v>88</v>
      </c>
      <c r="CE95" s="201"/>
    </row>
    <row r="96" spans="2:83" ht="45" x14ac:dyDescent="0.25">
      <c r="B96" s="341" t="s">
        <v>874</v>
      </c>
      <c r="C96" s="246">
        <f>_xlfn.XLOOKUP(FMS_Ranking4[[#This Row],[FMS ID]],FMS_Input[FMS_ID],FMS_Input[RFPG_NUM])</f>
        <v>9</v>
      </c>
      <c r="D96" s="309" t="str">
        <f>_xlfn.XLOOKUP(FMS_Ranking4[[#This Row],[FMS ID]],FMS_Input[FMS_ID],FMS_Input[FMS_NAME])</f>
        <v>Andrews County DCM</v>
      </c>
      <c r="E96" s="308" t="str">
        <f>_xlfn.XLOOKUP(FMS_Ranking4[[#This Row],[FMS ID]],FMS_Input[FMS_ID],FMS_Input[SPONSOR])</f>
        <v>00000102</v>
      </c>
      <c r="F96" s="309" t="str">
        <f>_xlfn.XLOOKUP(FMS_Ranking4[[#This Row],[FMS ID]],Sponsor[FMS_ID],Sponsor[SPONSOR NAME])</f>
        <v>Andrews</v>
      </c>
      <c r="G96" s="309" t="str">
        <f>_xlfn.XLOOKUP(FMS_Ranking4[[#This Row],[FMS ID]],FMS_Input[FMS_ID],FMS_Input[FMS_DESCR])</f>
        <v>Outreach Program: Discuss Stormwater Criteria Design Manual</v>
      </c>
      <c r="H96" s="248" t="str">
        <f>_xlfn.XLOOKUP(FMS_Ranking4[[#This Row],[FMS ID]],FMS_Input[FMS_ID],FMS_Input[FMS_TYPE])</f>
        <v>Other</v>
      </c>
      <c r="I96" s="249">
        <f>_xlfn.XLOOKUP(FMS_Ranking4[[#This Row],[FMS ID]],FMS_Input[FMS_ID],FMS_Input[NRNC_COST])</f>
        <v>75000</v>
      </c>
      <c r="J96" s="250">
        <f>_xlfn.XLOOKUP(FMS_Ranking4[[#This Row],[FMS ID]],FMS_Input[FMS_ID],FMS_Input[FMS_COST])</f>
        <v>100000</v>
      </c>
      <c r="K96" s="251" t="str">
        <f>_xlfn.XLOOKUP(FMS_Ranking4[[#This Row],[FMS ID]],FMS_Input[FMS_ID],FMS_Input[EMER_NEED])</f>
        <v>No</v>
      </c>
      <c r="L96" s="252">
        <f t="shared" si="1"/>
        <v>0</v>
      </c>
      <c r="M96" s="253">
        <f>_xlfn.XLOOKUP(FMS_Ranking4[[#This Row],[FMS ID]],FMS_Input[FMS_ID],FMS_Input[STRUCT_100])</f>
        <v>959</v>
      </c>
      <c r="N96" s="255">
        <f>(ASINH(FMS_Ranking4[[#This Row],[Structure at Risk Raw]]))*(10)/(ASINH(M$4))</f>
        <v>5.9425297745286176</v>
      </c>
      <c r="O96" s="256">
        <f>FMS_Ranking4[[#This Row],[Structures at risk, ArcSinh (0-10)]]*M$5*10</f>
        <v>5.9425297745286176</v>
      </c>
      <c r="P96" s="253">
        <f>_xlfn.XLOOKUP(FMS_Ranking4[[#This Row],[FMS ID]],FMS_Input[FMS_ID],FMS_Input[RES_STRUCT100])</f>
        <v>763</v>
      </c>
      <c r="Q96" s="257">
        <f>ASINH(FMS_Ranking4[[#This Row],[Res Structure Raw]])/Q$4*P$5*100</f>
        <v>0</v>
      </c>
      <c r="R96" s="253">
        <f>_xlfn.XLOOKUP(FMS_Ranking4[[#This Row],[FMS ID]],FMS_Input[FMS_ID],FMS_Input[POP100])</f>
        <v>1463</v>
      </c>
      <c r="S96" s="255">
        <f>(ASINH(FMS_Ranking4[[#This Row],[Pop at Risk Raw]]))*(10)/(ASINH(R$4))</f>
        <v>5.5100193495063516</v>
      </c>
      <c r="T96" s="256">
        <f>FMS_Ranking4[[#This Row],[Population at risk, ArcSinh (0-10)]]*R$5*10</f>
        <v>5.5100193495063525</v>
      </c>
      <c r="U96" s="253">
        <f>_xlfn.XLOOKUP(FMS_Ranking4[[#This Row],[FMS ID]],FMS_Input[FMS_ID],FMS_Input[CRITFAC100])</f>
        <v>0</v>
      </c>
      <c r="V96" s="255">
        <f>(ASINH(FMS_Ranking4[[#This Row],[Critical Facilities Raw]]))*(10)/(ASINH(U$4))</f>
        <v>0</v>
      </c>
      <c r="W96" s="256">
        <f>FMS_Ranking4[[#This Row],[Critical facilities at risk, ArcSinh (0-10)]]*U$5*10</f>
        <v>0</v>
      </c>
      <c r="X96" s="253">
        <f>_xlfn.XLOOKUP(FMS_Ranking4[[#This Row],[FMS ID]],FMS_Input[FMS_ID],FMS_Input[LWC])</f>
        <v>3</v>
      </c>
      <c r="Y96" s="255">
        <f>(ASINH(FMS_Ranking4[[#This Row],[LWC Raw]]))*(10)/(ASINH(X$4))</f>
        <v>2.4635181155638843</v>
      </c>
      <c r="Z96" s="256">
        <f>FMS_Ranking4[[#This Row],[LWC, ArcSInh (0-10)]]*X$5*10</f>
        <v>2.4635181155638843</v>
      </c>
      <c r="AA96" s="253">
        <f>_xlfn.XLOOKUP(FMS_Ranking4[[#This Row],[FMS ID]],FMS_Input[FMS_ID],FMS_Input[ROADCLS])</f>
        <v>0</v>
      </c>
      <c r="AB96" s="255">
        <f>(ASINH(FMS_Ranking4[[#This Row],[Road Closures Raw]]))*(10)/(ASINH(AA$4))</f>
        <v>0</v>
      </c>
      <c r="AC96" s="256">
        <f>FMS_Ranking4[[#This Row],[Road closures, ArcSinh (0-10)]]*AA$5*10</f>
        <v>0</v>
      </c>
      <c r="AD96" s="253">
        <f>_xlfn.XLOOKUP(FMS_Ranking4[[#This Row],[FMS ID]],FMS_Input[FMS_ID],FMS_Input[ROAD_MILES100])</f>
        <v>173</v>
      </c>
      <c r="AE96" s="255">
        <f>(ASINH(FMS_Ranking4[[#This Row],[Road Miles Raw]]))*(10)/(ASINH(AD$4))</f>
        <v>6.2307041391671225</v>
      </c>
      <c r="AF96" s="256">
        <f>FMS_Ranking4[[#This Row],[Length of roads at risk, ArcSinh (0-10)]]*AD$5*10</f>
        <v>6.2307041391671225</v>
      </c>
      <c r="AG96" s="253">
        <f>_xlfn.XLOOKUP(FMS_Ranking4[[#This Row],[FMS ID]],FMS_Input[FMS_ID],FMS_Input[FARMACRE100])</f>
        <v>7785.767578125</v>
      </c>
      <c r="AH96" s="255">
        <f>(ASINH(FMS_Ranking4[[#This Row],[Ag Land Raw]]))*(10)/(ASINH(AG$4))</f>
        <v>6.2705397494037394</v>
      </c>
      <c r="AI96" s="260">
        <f>FMS_Ranking4[[#This Row],[Farm &amp; ranch land, ArcSinh (0-10)]]*AG$5*10</f>
        <v>3.1352698747018697</v>
      </c>
      <c r="AJ96" s="258">
        <f>_xlfn.XLOOKUP(FMS_Ranking4[[#This Row],[FMS ID]],FMS_Input[FMS_ID],FMS_Input[REDSTRUCT100])</f>
        <v>240</v>
      </c>
      <c r="AK96" s="253">
        <f>_xlfn.XLOOKUP(FMS_Ranking4[[#This Row],[FMS ID]],FMS_Input[FMS_ID],FMS_Input[REMSTRC100])</f>
        <v>240</v>
      </c>
      <c r="AL96" s="255">
        <f>(ASINH(FMS_Ranking4[[#This Row],[Structures Removed Raw]]))*(10)/(ASINH(AK$4))</f>
        <v>7.0293011097171645</v>
      </c>
      <c r="AM96" s="262">
        <f>FMS_Ranking4[[#This Row],[Structures removed, ArcSinh (0-10)]]*AK$5*10</f>
        <v>7.0293011097171654</v>
      </c>
      <c r="AN96" s="253">
        <f>_xlfn.XLOOKUP(FMS_Ranking4[[#This Row],[FMS ID]],FMS_Input[FMS_ID],FMS_Input[REMRESSTRC100])</f>
        <v>190</v>
      </c>
      <c r="AO96" s="261">
        <f>FMS_Ranking4[[#This Row],[ArcSinh Res struct removed 0-10]]*AN$5*10</f>
        <v>3.4840717185949894</v>
      </c>
      <c r="AP96" s="260">
        <f>ASINH(FMS_Ranking4[[#This Row],[Residential Structures Removed Raw]])/AP$4*AN$5*100</f>
        <v>3.484071718594989</v>
      </c>
      <c r="AQ96" s="258">
        <f>(ASINH(FMS_Ranking4[[#This Row],[Residential Structures Removed Raw]]))*(10)/(ASINH(AN$4))</f>
        <v>6.968143437189978</v>
      </c>
      <c r="AR96" s="253">
        <f>_xlfn.XLOOKUP(FMS_Ranking4[[#This Row],[FMS ID]],FMS_Input[FMS_ID],FMS_Input[REMPOP100])</f>
        <v>558</v>
      </c>
      <c r="AS96" s="255">
        <f>(ASINH(FMS_Ranking4[[#This Row],[Removed Pop Raw]]))*(10)/(ASINH(AR$4))</f>
        <v>6.8885282755448873</v>
      </c>
      <c r="AT96" s="262">
        <f>FMS_Ranking4[[#This Row],[Removed population, ArcSinh (0-10)]]*AR$5*10</f>
        <v>6.8885282755448873</v>
      </c>
      <c r="AU96" s="264">
        <f>_xlfn.XLOOKUP(FMS_Ranking4[[#This Row],[FMS ID]],FMS_Input[FMS_ID],FMS_Input[REMCRITFAC100])</f>
        <v>0</v>
      </c>
      <c r="AV96" s="264">
        <f>_xlfn.XLOOKUP(FMS_Ranking4[[#This Row],[FMS ID]],FMS_Input[FMS_ID],FMS_Input[REMLWC100])</f>
        <v>0</v>
      </c>
      <c r="AW96" s="264">
        <f>_xlfn.XLOOKUP(FMS_Ranking4[[#This Row],[FMS ID]],FMS_Input[FMS_ID],FMS_Input[REMROADCLS])</f>
        <v>0</v>
      </c>
      <c r="AX96" s="264">
        <f>_xlfn.XLOOKUP(FMS_Ranking4[[#This Row],[FMS ID]],FMS_Input[FMS_ID],FMS_Input[REMFRMACRE100])</f>
        <v>1946.44189453125</v>
      </c>
      <c r="AY96" s="258">
        <f>_xlfn.XLOOKUP(FMS_Ranking4[[#This Row],[FMS ID]],FMS_Input[FMS_ID],FMS_Input[COSTSTRUCT])</f>
        <v>25000</v>
      </c>
      <c r="AZ96" s="253">
        <f>_xlfn.XLOOKUP(FMS_Ranking4[[#This Row],[FMS ID]],FMS_Input[FMS_ID],FMS_Input[NATURE])</f>
        <v>0</v>
      </c>
      <c r="BA96" s="262">
        <f>(((FMS_Ranking4[[#This Row],[% NBS Raw]]/AZ$4)*100)*AZ$5)</f>
        <v>0</v>
      </c>
      <c r="BB96" s="251" t="str">
        <f>_xlfn.XLOOKUP(FMS_Ranking4[[#This Row],[FMS ID]],FMS_Input[FMS_ID],FMS_Input[WATER_SUP])</f>
        <v>No</v>
      </c>
      <c r="BC96" s="265">
        <f>IF(FMS_Ranking4[[#This Row],[Water Supply Raw]]="Yes",10,0)</f>
        <v>0</v>
      </c>
      <c r="BD96" s="266">
        <f>_xlfn.XLOOKUP(FMS_Ranking4[[#This Row],[FMS Type]],FMS_TYPE[FMS_Type],FMS_TYPE[Score])</f>
        <v>2</v>
      </c>
      <c r="BE96" s="267">
        <f>FMS_Ranking4[[#This Row],[FMS_Type Score]]*$BD$5*10</f>
        <v>0.5</v>
      </c>
      <c r="BF9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0.41678717763138773</v>
      </c>
      <c r="BG96" s="321">
        <f>_xlfn.RANK.EQ(BF96,$BF$8:$BF$870,0)+COUNTIF($BF$8:BF96,BF96)-1</f>
        <v>255</v>
      </c>
      <c r="BH96" s="294">
        <f>(((FMS_Ranking4[[#This Row],[Structures Removed Raw]]/AK$4)*100)*AK$5)+(((FMS_Ranking4[[#This Row],[Removed Pop Raw]]/AR$4)*100)*AR$5)</f>
        <v>1.1561196463368031</v>
      </c>
      <c r="BI9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2.0729068239681907</v>
      </c>
      <c r="BJ96" s="251">
        <f>_xlfn.RANK.EQ(FMS_Ranking4[[#This Row],[Total Score 
(with linear
normalization)]],FMS_Ranking4[Total Score 
(with linear
normalization)],0)</f>
        <v>376</v>
      </c>
      <c r="BK96" s="251" t="e">
        <f>_xlfn.XLOOKUP(FMS_Ranking4[[#This Row],[FMS ID]],#REF!,#REF!)</f>
        <v>#REF!</v>
      </c>
      <c r="BL9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40.683942357324888</v>
      </c>
      <c r="BM96" s="324">
        <f>FMS_Ranking4[[#This Row],[ArcSinh Score Based on Normalized Reported Factors]]+FMS_Ranking4[[#This Row],[% NBS Score (Normalized)]]+(FMS_Ranking4[[#This Row],[Water Supply Score (Normalized)]]*10*$BB$5)+FMS_Ranking4[[#This Row],[FMS_Type Score Weighted]]</f>
        <v>41.183942357324888</v>
      </c>
      <c r="BN96" s="251">
        <f>_xlfn.RANK.EQ(FMS_Ranking4[[#This Row],[Total Score (with ArcSinh normalization of select criteria)]],FMS_Ranking4[Total Score (with ArcSinh normalization of select criteria)],0)</f>
        <v>89</v>
      </c>
      <c r="BO96" s="270" t="str">
        <f>_xlfn.XLOOKUP(FMS_Ranking4[[#This Row],[FMS ID]],FMS_Input[FMS_ID],FMS_Input[FMS_RANK_YEAR])</f>
        <v>2023 Amended Plan</v>
      </c>
      <c r="BP96" s="204">
        <f>_xlfn.XLOOKUP(FMS_Ranking4[[#This Row],[FMS ID]],Prev_Rank[FMS ID],Prev_Rank[Prev Rank])</f>
        <v>75</v>
      </c>
      <c r="BQ96" s="251" t="e">
        <f>_xlfn.XLOOKUP(FMS_Ranking4[[#This Row],[FMS ID]],#REF!,#REF!)</f>
        <v>#REF!</v>
      </c>
      <c r="BR96" s="199" t="e">
        <f>SUM(#REF!,#REF!,#REF!,#REF!,#REF!,#REF!,#REF!,#REF!,#REF!,FMS_Ranking4[[#This Row],[ArcSinh Res struct removed 0-10]],#REF!)</f>
        <v>#REF!</v>
      </c>
      <c r="BS96" s="199" t="e">
        <f>FMS_Ranking4[[#This Row],[Log Score Based on Normalized Reported Factors]]+FMS_Ranking4[[#This Row],[% NBS Score (Normalized)]]+(FMS_Ranking4[[#This Row],[Water Supply Score (Normalized)]]*10*$BB$5)+(FMS_Ranking4[[#This Row],[FMS_Type Score Weighted]])</f>
        <v>#REF!</v>
      </c>
      <c r="BT96" s="200" t="e">
        <f>_xlfn.RANK.EQ(FMS_Ranking4[[#This Row],[Log Total Score]],FMS_Ranking4[Log Total Score],0)</f>
        <v>#REF!</v>
      </c>
      <c r="BU96" s="200" t="e">
        <f>_xlfn.XLOOKUP(FMS_Ranking4[[#This Row],[FMS ID]],#REF!,#REF!)</f>
        <v>#REF!</v>
      </c>
      <c r="BV96" s="200">
        <f>FMS_Ranking4[[#This Row],[Region Number]]</f>
        <v>9</v>
      </c>
      <c r="BW96" s="200">
        <f>FMS_Ranking4[[#This Row],[Rank (with ArcSinh normalization of select criteria)]]-FMS_Ranking4[[#This Row],[Rank
(with linear
normalization)]]</f>
        <v>-287</v>
      </c>
      <c r="BX96" s="200" t="e">
        <f>FMS_Ranking4[[#This Row],[Log Rank]]-FMS_Ranking4[[#This Row],[Rank
(with linear
normalization)]]</f>
        <v>#REF!</v>
      </c>
      <c r="BY96" s="200" t="str">
        <f>IF(FMS_Ranking4[[#This Row],[FMS Type]]="Flood Measurement and Warning",FMS_Ranking4[[#This Row],[Rank (with ArcSinh normalization of select criteria)]],"")</f>
        <v/>
      </c>
      <c r="BZ96" s="200" t="str">
        <f>IF(FMS_Ranking4[[#This Row],[FMS Type]]="Regulatory and Guidance",FMS_Ranking4[[#This Row],[Rank (with ArcSinh normalization of select criteria)]],"")</f>
        <v/>
      </c>
      <c r="CA96" s="200" t="str">
        <f>IF(FMS_Ranking4[[#This Row],[FMS Type]]="Education and Outreach",FMS_Ranking4[[#This Row],[Rank (with ArcSinh normalization of select criteria)]],"")</f>
        <v/>
      </c>
      <c r="CB96" s="200" t="str">
        <f>IF(FMS_Ranking4[[#This Row],[FMS Type]]="Property Acquisition and Structural Elevation",FMS_Ranking4[[#This Row],[Rank (with ArcSinh normalization of select criteria)]],"")</f>
        <v/>
      </c>
      <c r="CC96" s="200" t="str">
        <f>IF(FMS_Ranking4[[#This Row],[FMS Type]]="Infrastructure Projects",FMS_Ranking4[[#This Row],[Rank (with ArcSinh normalization of select criteria)]],"")</f>
        <v/>
      </c>
      <c r="CD96" s="200">
        <f>IF(FMS_Ranking4[[#This Row],[FMS Type]]="Other",FMS_Ranking4[[#This Row],[Rank (with ArcSinh normalization of select criteria)]],"")</f>
        <v>89</v>
      </c>
      <c r="CE96" s="201"/>
    </row>
    <row r="97" spans="2:83" ht="30" x14ac:dyDescent="0.25">
      <c r="B97" s="341" t="s">
        <v>501</v>
      </c>
      <c r="C97" s="246">
        <f>_xlfn.XLOOKUP(FMS_Ranking4[[#This Row],[FMS ID]],FMS_Input[FMS_ID],FMS_Input[RFPG_NUM])</f>
        <v>9</v>
      </c>
      <c r="D97" s="309" t="str">
        <f>_xlfn.XLOOKUP(FMS_Ranking4[[#This Row],[FMS ID]],FMS_Input[FMS_ID],FMS_Input[FMS_NAME])</f>
        <v>Andrews County NFIP Application</v>
      </c>
      <c r="E97" s="308" t="str">
        <f>_xlfn.XLOOKUP(FMS_Ranking4[[#This Row],[FMS ID]],FMS_Input[FMS_ID],FMS_Input[SPONSOR])</f>
        <v>00000102</v>
      </c>
      <c r="F97" s="309" t="str">
        <f>_xlfn.XLOOKUP(FMS_Ranking4[[#This Row],[FMS ID]],Sponsor[FMS_ID],Sponsor[SPONSOR NAME])</f>
        <v>Andrews</v>
      </c>
      <c r="G97" s="309" t="str">
        <f>_xlfn.XLOOKUP(FMS_Ranking4[[#This Row],[FMS ID]],FMS_Input[FMS_ID],FMS_Input[FMS_DESCR])</f>
        <v>Application to join the NFIP.</v>
      </c>
      <c r="H97" s="248" t="str">
        <f>_xlfn.XLOOKUP(FMS_Ranking4[[#This Row],[FMS ID]],FMS_Input[FMS_ID],FMS_Input[FMS_TYPE])</f>
        <v>Other</v>
      </c>
      <c r="I97" s="249">
        <f>_xlfn.XLOOKUP(FMS_Ranking4[[#This Row],[FMS ID]],FMS_Input[FMS_ID],FMS_Input[NRNC_COST])</f>
        <v>5000</v>
      </c>
      <c r="J97" s="250">
        <f>_xlfn.XLOOKUP(FMS_Ranking4[[#This Row],[FMS ID]],FMS_Input[FMS_ID],FMS_Input[FMS_COST])</f>
        <v>30000</v>
      </c>
      <c r="K97" s="251" t="str">
        <f>_xlfn.XLOOKUP(FMS_Ranking4[[#This Row],[FMS ID]],FMS_Input[FMS_ID],FMS_Input[EMER_NEED])</f>
        <v>No</v>
      </c>
      <c r="L97" s="252">
        <f t="shared" si="1"/>
        <v>0</v>
      </c>
      <c r="M97" s="253">
        <f>_xlfn.XLOOKUP(FMS_Ranking4[[#This Row],[FMS ID]],FMS_Input[FMS_ID],FMS_Input[STRUCT_100])</f>
        <v>959</v>
      </c>
      <c r="N97" s="255">
        <f>(ASINH(FMS_Ranking4[[#This Row],[Structure at Risk Raw]]))*(10)/(ASINH(M$4))</f>
        <v>5.9425297745286176</v>
      </c>
      <c r="O97" s="256">
        <f>FMS_Ranking4[[#This Row],[Structures at risk, ArcSinh (0-10)]]*M$5*10</f>
        <v>5.9425297745286176</v>
      </c>
      <c r="P97" s="253">
        <f>_xlfn.XLOOKUP(FMS_Ranking4[[#This Row],[FMS ID]],FMS_Input[FMS_ID],FMS_Input[RES_STRUCT100])</f>
        <v>763</v>
      </c>
      <c r="Q97" s="257">
        <f>ASINH(FMS_Ranking4[[#This Row],[Res Structure Raw]])/Q$4*P$5*100</f>
        <v>0</v>
      </c>
      <c r="R97" s="253">
        <f>_xlfn.XLOOKUP(FMS_Ranking4[[#This Row],[FMS ID]],FMS_Input[FMS_ID],FMS_Input[POP100])</f>
        <v>1463</v>
      </c>
      <c r="S97" s="259">
        <f>(ASINH(FMS_Ranking4[[#This Row],[Pop at Risk Raw]]))*(10)/(ASINH(R$4))</f>
        <v>5.5100193495063516</v>
      </c>
      <c r="T97" s="256">
        <f>FMS_Ranking4[[#This Row],[Population at risk, ArcSinh (0-10)]]*R$5*10</f>
        <v>5.5100193495063525</v>
      </c>
      <c r="U97" s="253">
        <f>_xlfn.XLOOKUP(FMS_Ranking4[[#This Row],[FMS ID]],FMS_Input[FMS_ID],FMS_Input[CRITFAC100])</f>
        <v>0</v>
      </c>
      <c r="V97" s="259">
        <f>(ASINH(FMS_Ranking4[[#This Row],[Critical Facilities Raw]]))*(10)/(ASINH(U$4))</f>
        <v>0</v>
      </c>
      <c r="W97" s="256">
        <f>FMS_Ranking4[[#This Row],[Critical facilities at risk, ArcSinh (0-10)]]*U$5*10</f>
        <v>0</v>
      </c>
      <c r="X97" s="253">
        <f>_xlfn.XLOOKUP(FMS_Ranking4[[#This Row],[FMS ID]],FMS_Input[FMS_ID],FMS_Input[LWC])</f>
        <v>3</v>
      </c>
      <c r="Y97" s="259">
        <f>(ASINH(FMS_Ranking4[[#This Row],[LWC Raw]]))*(10)/(ASINH(X$4))</f>
        <v>2.4635181155638843</v>
      </c>
      <c r="Z97" s="256">
        <f>FMS_Ranking4[[#This Row],[LWC, ArcSInh (0-10)]]*X$5*10</f>
        <v>2.4635181155638843</v>
      </c>
      <c r="AA97" s="253">
        <f>_xlfn.XLOOKUP(FMS_Ranking4[[#This Row],[FMS ID]],FMS_Input[FMS_ID],FMS_Input[ROADCLS])</f>
        <v>0</v>
      </c>
      <c r="AB97" s="255">
        <f>(ASINH(FMS_Ranking4[[#This Row],[Road Closures Raw]]))*(10)/(ASINH(AA$4))</f>
        <v>0</v>
      </c>
      <c r="AC97" s="256">
        <f>FMS_Ranking4[[#This Row],[Road closures, ArcSinh (0-10)]]*AA$5*10</f>
        <v>0</v>
      </c>
      <c r="AD97" s="253">
        <f>_xlfn.XLOOKUP(FMS_Ranking4[[#This Row],[FMS ID]],FMS_Input[FMS_ID],FMS_Input[ROAD_MILES100])</f>
        <v>173</v>
      </c>
      <c r="AE97" s="259">
        <f>(ASINH(FMS_Ranking4[[#This Row],[Road Miles Raw]]))*(10)/(ASINH(AD$4))</f>
        <v>6.2307041391671225</v>
      </c>
      <c r="AF97" s="256">
        <f>FMS_Ranking4[[#This Row],[Length of roads at risk, ArcSinh (0-10)]]*AD$5*10</f>
        <v>6.2307041391671225</v>
      </c>
      <c r="AG97" s="253">
        <f>_xlfn.XLOOKUP(FMS_Ranking4[[#This Row],[FMS ID]],FMS_Input[FMS_ID],FMS_Input[FARMACRE100])</f>
        <v>7785.767578125</v>
      </c>
      <c r="AH97" s="255">
        <f>(ASINH(FMS_Ranking4[[#This Row],[Ag Land Raw]]))*(10)/(ASINH(AG$4))</f>
        <v>6.2705397494037394</v>
      </c>
      <c r="AI97" s="260">
        <f>FMS_Ranking4[[#This Row],[Farm &amp; ranch land, ArcSinh (0-10)]]*AG$5*10</f>
        <v>3.1352698747018697</v>
      </c>
      <c r="AJ97" s="258">
        <f>_xlfn.XLOOKUP(FMS_Ranking4[[#This Row],[FMS ID]],FMS_Input[FMS_ID],FMS_Input[REDSTRUCT100])</f>
        <v>240</v>
      </c>
      <c r="AK97" s="253">
        <f>_xlfn.XLOOKUP(FMS_Ranking4[[#This Row],[FMS ID]],FMS_Input[FMS_ID],FMS_Input[REMSTRC100])</f>
        <v>240</v>
      </c>
      <c r="AL97" s="259">
        <f>(ASINH(FMS_Ranking4[[#This Row],[Structures Removed Raw]]))*(10)/(ASINH(AK$4))</f>
        <v>7.0293011097171645</v>
      </c>
      <c r="AM97" s="262">
        <f>FMS_Ranking4[[#This Row],[Structures removed, ArcSinh (0-10)]]*AK$5*10</f>
        <v>7.0293011097171654</v>
      </c>
      <c r="AN97" s="253">
        <f>_xlfn.XLOOKUP(FMS_Ranking4[[#This Row],[FMS ID]],FMS_Input[FMS_ID],FMS_Input[REMRESSTRC100])</f>
        <v>190</v>
      </c>
      <c r="AO97" s="261">
        <f>FMS_Ranking4[[#This Row],[ArcSinh Res struct removed 0-10]]*AN$5*10</f>
        <v>3.4840717185949894</v>
      </c>
      <c r="AP97" s="260">
        <f>ASINH(FMS_Ranking4[[#This Row],[Residential Structures Removed Raw]])/AP$4*AN$5*100</f>
        <v>3.484071718594989</v>
      </c>
      <c r="AQ97" s="254">
        <f>(ASINH(FMS_Ranking4[[#This Row],[Residential Structures Removed Raw]]))*(10)/(ASINH(AN$4))</f>
        <v>6.968143437189978</v>
      </c>
      <c r="AR97" s="253">
        <f>_xlfn.XLOOKUP(FMS_Ranking4[[#This Row],[FMS ID]],FMS_Input[FMS_ID],FMS_Input[REMPOP100])</f>
        <v>558</v>
      </c>
      <c r="AS97" s="259">
        <f>(ASINH(FMS_Ranking4[[#This Row],[Removed Pop Raw]]))*(10)/(ASINH(AR$4))</f>
        <v>6.8885282755448873</v>
      </c>
      <c r="AT97" s="262">
        <f>FMS_Ranking4[[#This Row],[Removed population, ArcSinh (0-10)]]*AR$5*10</f>
        <v>6.8885282755448873</v>
      </c>
      <c r="AU97" s="264">
        <f>_xlfn.XLOOKUP(FMS_Ranking4[[#This Row],[FMS ID]],FMS_Input[FMS_ID],FMS_Input[REMCRITFAC100])</f>
        <v>0</v>
      </c>
      <c r="AV97" s="264">
        <f>_xlfn.XLOOKUP(FMS_Ranking4[[#This Row],[FMS ID]],FMS_Input[FMS_ID],FMS_Input[REMLWC100])</f>
        <v>0</v>
      </c>
      <c r="AW97" s="264">
        <f>_xlfn.XLOOKUP(FMS_Ranking4[[#This Row],[FMS ID]],FMS_Input[FMS_ID],FMS_Input[REMROADCLS])</f>
        <v>0</v>
      </c>
      <c r="AX97" s="264">
        <f>_xlfn.XLOOKUP(FMS_Ranking4[[#This Row],[FMS ID]],FMS_Input[FMS_ID],FMS_Input[REMFRMACRE100])</f>
        <v>1946.44189453125</v>
      </c>
      <c r="AY97" s="258">
        <f>_xlfn.XLOOKUP(FMS_Ranking4[[#This Row],[FMS ID]],FMS_Input[FMS_ID],FMS_Input[COSTSTRUCT])</f>
        <v>25000</v>
      </c>
      <c r="AZ97" s="253">
        <f>_xlfn.XLOOKUP(FMS_Ranking4[[#This Row],[FMS ID]],FMS_Input[FMS_ID],FMS_Input[NATURE])</f>
        <v>0</v>
      </c>
      <c r="BA97" s="262">
        <f>(((FMS_Ranking4[[#This Row],[% NBS Raw]]/AZ$4)*100)*AZ$5)</f>
        <v>0</v>
      </c>
      <c r="BB97" s="251" t="str">
        <f>_xlfn.XLOOKUP(FMS_Ranking4[[#This Row],[FMS ID]],FMS_Input[FMS_ID],FMS_Input[WATER_SUP])</f>
        <v>No</v>
      </c>
      <c r="BC97" s="265">
        <f>IF(FMS_Ranking4[[#This Row],[Water Supply Raw]]="Yes",10,0)</f>
        <v>0</v>
      </c>
      <c r="BD97" s="266">
        <f>_xlfn.XLOOKUP(FMS_Ranking4[[#This Row],[FMS Type]],FMS_TYPE[FMS_Type],FMS_TYPE[Score])</f>
        <v>2</v>
      </c>
      <c r="BE97" s="267">
        <f>FMS_Ranking4[[#This Row],[FMS_Type Score]]*$BD$5*10</f>
        <v>0.5</v>
      </c>
      <c r="BF9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0.41678717763138773</v>
      </c>
      <c r="BG97" s="271">
        <f>_xlfn.RANK.EQ(BF97,$BF$8:$BF$870,0)+COUNTIF($BF$8:BF97,BF97)-1</f>
        <v>256</v>
      </c>
      <c r="BH97" s="268">
        <f>(((FMS_Ranking4[[#This Row],[Structures Removed Raw]]/AK$4)*100)*AK$5)+(((FMS_Ranking4[[#This Row],[Removed Pop Raw]]/AR$4)*100)*AR$5)</f>
        <v>1.1561196463368031</v>
      </c>
      <c r="BI9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2.0729068239681907</v>
      </c>
      <c r="BJ97" s="205">
        <f>_xlfn.RANK.EQ(FMS_Ranking4[[#This Row],[Total Score 
(with linear
normalization)]],FMS_Ranking4[Total Score 
(with linear
normalization)],0)</f>
        <v>376</v>
      </c>
      <c r="BK97" s="205" t="e">
        <f>_xlfn.XLOOKUP(FMS_Ranking4[[#This Row],[FMS ID]],#REF!,#REF!)</f>
        <v>#REF!</v>
      </c>
      <c r="BL9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40.683942357324888</v>
      </c>
      <c r="BM97" s="272">
        <f>FMS_Ranking4[[#This Row],[ArcSinh Score Based on Normalized Reported Factors]]+FMS_Ranking4[[#This Row],[% NBS Score (Normalized)]]+(FMS_Ranking4[[#This Row],[Water Supply Score (Normalized)]]*10*$BB$5)+FMS_Ranking4[[#This Row],[FMS_Type Score Weighted]]</f>
        <v>41.183942357324888</v>
      </c>
      <c r="BN97" s="205">
        <f>_xlfn.RANK.EQ(FMS_Ranking4[[#This Row],[Total Score (with ArcSinh normalization of select criteria)]],FMS_Ranking4[Total Score (with ArcSinh normalization of select criteria)],0)</f>
        <v>89</v>
      </c>
      <c r="BO97" s="270" t="str">
        <f>_xlfn.XLOOKUP(FMS_Ranking4[[#This Row],[FMS ID]],FMS_Input[FMS_ID],FMS_Input[FMS_RANK_YEAR])</f>
        <v>2023 Amended Plan</v>
      </c>
      <c r="BP97" s="204">
        <f>_xlfn.XLOOKUP(FMS_Ranking4[[#This Row],[FMS ID]],Prev_Rank[FMS ID],Prev_Rank[Prev Rank])</f>
        <v>75</v>
      </c>
      <c r="BQ97" s="205" t="e">
        <f>_xlfn.XLOOKUP(FMS_Ranking4[[#This Row],[FMS ID]],#REF!,#REF!)</f>
        <v>#REF!</v>
      </c>
      <c r="BR97" s="199" t="e">
        <f>SUM(#REF!,#REF!,#REF!,#REF!,#REF!,#REF!,#REF!,#REF!,#REF!,FMS_Ranking4[[#This Row],[ArcSinh Res struct removed 0-10]],#REF!)</f>
        <v>#REF!</v>
      </c>
      <c r="BS97" s="199" t="e">
        <f>FMS_Ranking4[[#This Row],[Log Score Based on Normalized Reported Factors]]+FMS_Ranking4[[#This Row],[% NBS Score (Normalized)]]+(FMS_Ranking4[[#This Row],[Water Supply Score (Normalized)]]*10*$BB$5)+(FMS_Ranking4[[#This Row],[FMS_Type Score Weighted]])</f>
        <v>#REF!</v>
      </c>
      <c r="BT97" s="200" t="e">
        <f>_xlfn.RANK.EQ(FMS_Ranking4[[#This Row],[Log Total Score]],FMS_Ranking4[Log Total Score],0)</f>
        <v>#REF!</v>
      </c>
      <c r="BU97" s="200" t="e">
        <f>_xlfn.XLOOKUP(FMS_Ranking4[[#This Row],[FMS ID]],#REF!,#REF!)</f>
        <v>#REF!</v>
      </c>
      <c r="BV97" s="200">
        <f>FMS_Ranking4[[#This Row],[Region Number]]</f>
        <v>9</v>
      </c>
      <c r="BW97" s="200">
        <f>FMS_Ranking4[[#This Row],[Rank (with ArcSinh normalization of select criteria)]]-FMS_Ranking4[[#This Row],[Rank
(with linear
normalization)]]</f>
        <v>-287</v>
      </c>
      <c r="BX97" s="200" t="e">
        <f>FMS_Ranking4[[#This Row],[Log Rank]]-FMS_Ranking4[[#This Row],[Rank
(with linear
normalization)]]</f>
        <v>#REF!</v>
      </c>
      <c r="BY97" s="200" t="str">
        <f>IF(FMS_Ranking4[[#This Row],[FMS Type]]="Flood Measurement and Warning",FMS_Ranking4[[#This Row],[Rank (with ArcSinh normalization of select criteria)]],"")</f>
        <v/>
      </c>
      <c r="BZ97" s="200" t="str">
        <f>IF(FMS_Ranking4[[#This Row],[FMS Type]]="Regulatory and Guidance",FMS_Ranking4[[#This Row],[Rank (with ArcSinh normalization of select criteria)]],"")</f>
        <v/>
      </c>
      <c r="CA97" s="200" t="str">
        <f>IF(FMS_Ranking4[[#This Row],[FMS Type]]="Education and Outreach",FMS_Ranking4[[#This Row],[Rank (with ArcSinh normalization of select criteria)]],"")</f>
        <v/>
      </c>
      <c r="CB97" s="200" t="str">
        <f>IF(FMS_Ranking4[[#This Row],[FMS Type]]="Property Acquisition and Structural Elevation",FMS_Ranking4[[#This Row],[Rank (with ArcSinh normalization of select criteria)]],"")</f>
        <v/>
      </c>
      <c r="CC97" s="200" t="str">
        <f>IF(FMS_Ranking4[[#This Row],[FMS Type]]="Infrastructure Projects",FMS_Ranking4[[#This Row],[Rank (with ArcSinh normalization of select criteria)]],"")</f>
        <v/>
      </c>
      <c r="CD97" s="200">
        <f>IF(FMS_Ranking4[[#This Row],[FMS Type]]="Other",FMS_Ranking4[[#This Row],[Rank (with ArcSinh normalization of select criteria)]],"")</f>
        <v>89</v>
      </c>
      <c r="CE97" s="201"/>
    </row>
    <row r="98" spans="2:83" ht="75" x14ac:dyDescent="0.25">
      <c r="B98" s="341" t="s">
        <v>1846</v>
      </c>
      <c r="C98" s="246">
        <f>_xlfn.XLOOKUP(FMS_Ranking4[[#This Row],[FMS ID]],FMS_Input[FMS_ID],FMS_Input[RFPG_NUM])</f>
        <v>3</v>
      </c>
      <c r="D98" s="309" t="str">
        <f>_xlfn.XLOOKUP(FMS_Ranking4[[#This Row],[FMS ID]],FMS_Input[FMS_ID],FMS_Input[FMS_NAME])</f>
        <v>Kaufman County Regulation Standards to Protect Open Space Flood-Prone Areas</v>
      </c>
      <c r="E98" s="308" t="str">
        <f>_xlfn.XLOOKUP(FMS_Ranking4[[#This Row],[FMS ID]],FMS_Input[FMS_ID],FMS_Input[SPONSOR])</f>
        <v>Kaufman County</v>
      </c>
      <c r="F98" s="309" t="str">
        <f>_xlfn.XLOOKUP(FMS_Ranking4[[#This Row],[FMS ID]],Sponsor[FMS_ID],Sponsor[SPONSOR NAME])</f>
        <v>Kaufman County</v>
      </c>
      <c r="G98" s="309" t="str">
        <f>_xlfn.XLOOKUP(FMS_Ranking4[[#This Row],[FMS ID]],FMS_Input[FMS_ID],FMS_Input[FMS_DESCR])</f>
        <v>Conduct program in conjunction with local communities to incorporate regulatory standards to protect open space flood-prone areas</v>
      </c>
      <c r="H98" s="248" t="str">
        <f>_xlfn.XLOOKUP(FMS_Ranking4[[#This Row],[FMS ID]],FMS_Input[FMS_ID],FMS_Input[FMS_TYPE])</f>
        <v>Regulatory and Guidance</v>
      </c>
      <c r="I98" s="249">
        <f>_xlfn.XLOOKUP(FMS_Ranking4[[#This Row],[FMS ID]],FMS_Input[FMS_ID],FMS_Input[NRNC_COST])</f>
        <v>100000</v>
      </c>
      <c r="J98" s="250">
        <f>_xlfn.XLOOKUP(FMS_Ranking4[[#This Row],[FMS ID]],FMS_Input[FMS_ID],FMS_Input[FMS_COST])</f>
        <v>100000</v>
      </c>
      <c r="K98" s="251" t="str">
        <f>_xlfn.XLOOKUP(FMS_Ranking4[[#This Row],[FMS ID]],FMS_Input[FMS_ID],FMS_Input[EMER_NEED])</f>
        <v>No</v>
      </c>
      <c r="L98" s="252">
        <f t="shared" si="1"/>
        <v>0</v>
      </c>
      <c r="M98" s="253">
        <f>_xlfn.XLOOKUP(FMS_Ranking4[[#This Row],[FMS ID]],FMS_Input[FMS_ID],FMS_Input[STRUCT_100])</f>
        <v>2086</v>
      </c>
      <c r="N98" s="255">
        <f>(ASINH(FMS_Ranking4[[#This Row],[Structure at Risk Raw]]))*(10)/(ASINH(M$4))</f>
        <v>6.5534557857347613</v>
      </c>
      <c r="O98" s="256">
        <f>FMS_Ranking4[[#This Row],[Structures at risk, ArcSinh (0-10)]]*M$5*10</f>
        <v>6.5534557857347622</v>
      </c>
      <c r="P98" s="253">
        <f>_xlfn.XLOOKUP(FMS_Ranking4[[#This Row],[FMS ID]],FMS_Input[FMS_ID],FMS_Input[RES_STRUCT100])</f>
        <v>1672</v>
      </c>
      <c r="Q98" s="257">
        <f>ASINH(FMS_Ranking4[[#This Row],[Res Structure Raw]])/Q$4*P$5*100</f>
        <v>0</v>
      </c>
      <c r="R98" s="253">
        <f>_xlfn.XLOOKUP(FMS_Ranking4[[#This Row],[FMS ID]],FMS_Input[FMS_ID],FMS_Input[POP100])</f>
        <v>3820</v>
      </c>
      <c r="S98" s="259">
        <f>(ASINH(FMS_Ranking4[[#This Row],[Pop at Risk Raw]]))*(10)/(ASINH(R$4))</f>
        <v>6.1725983818064165</v>
      </c>
      <c r="T98" s="256">
        <f>FMS_Ranking4[[#This Row],[Population at risk, ArcSinh (0-10)]]*R$5*10</f>
        <v>6.1725983818064165</v>
      </c>
      <c r="U98" s="253">
        <f>_xlfn.XLOOKUP(FMS_Ranking4[[#This Row],[FMS ID]],FMS_Input[FMS_ID],FMS_Input[CRITFAC100])</f>
        <v>13</v>
      </c>
      <c r="V98" s="259">
        <f>(ASINH(FMS_Ranking4[[#This Row],[Critical Facilities Raw]]))*(10)/(ASINH(U$4))</f>
        <v>3.8585650997055194</v>
      </c>
      <c r="W98" s="256">
        <f>FMS_Ranking4[[#This Row],[Critical facilities at risk, ArcSinh (0-10)]]*U$5*10</f>
        <v>3.8585650997055199</v>
      </c>
      <c r="X98" s="253">
        <f>_xlfn.XLOOKUP(FMS_Ranking4[[#This Row],[FMS ID]],FMS_Input[FMS_ID],FMS_Input[LWC])</f>
        <v>16</v>
      </c>
      <c r="Y98" s="259">
        <f>(ASINH(FMS_Ranking4[[#This Row],[LWC Raw]]))*(10)/(ASINH(X$4))</f>
        <v>4.6964844083783914</v>
      </c>
      <c r="Z98" s="256">
        <f>FMS_Ranking4[[#This Row],[LWC, ArcSInh (0-10)]]*X$5*10</f>
        <v>4.6964844083783923</v>
      </c>
      <c r="AA98" s="253">
        <f>_xlfn.XLOOKUP(FMS_Ranking4[[#This Row],[FMS ID]],FMS_Input[FMS_ID],FMS_Input[ROADCLS])</f>
        <v>0</v>
      </c>
      <c r="AB98" s="255">
        <f>(ASINH(FMS_Ranking4[[#This Row],[Road Closures Raw]]))*(10)/(ASINH(AA$4))</f>
        <v>0</v>
      </c>
      <c r="AC98" s="256">
        <f>FMS_Ranking4[[#This Row],[Road closures, ArcSinh (0-10)]]*AA$5*10</f>
        <v>0</v>
      </c>
      <c r="AD98" s="253">
        <f>_xlfn.XLOOKUP(FMS_Ranking4[[#This Row],[FMS ID]],FMS_Input[FMS_ID],FMS_Input[ROAD_MILES100])</f>
        <v>148</v>
      </c>
      <c r="AE98" s="259">
        <f>(ASINH(FMS_Ranking4[[#This Row],[Road Miles Raw]]))*(10)/(ASINH(AD$4))</f>
        <v>6.0643697858517598</v>
      </c>
      <c r="AF98" s="256">
        <f>FMS_Ranking4[[#This Row],[Length of roads at risk, ArcSinh (0-10)]]*AD$5*10</f>
        <v>6.0643697858517598</v>
      </c>
      <c r="AG98" s="253">
        <f>_xlfn.XLOOKUP(FMS_Ranking4[[#This Row],[FMS ID]],FMS_Input[FMS_ID],FMS_Input[FARMACRE100])</f>
        <v>88117.9765625</v>
      </c>
      <c r="AH98" s="255">
        <f>(ASINH(FMS_Ranking4[[#This Row],[Ag Land Raw]]))*(10)/(ASINH(AG$4))</f>
        <v>7.8466706878409394</v>
      </c>
      <c r="AI98" s="260">
        <f>FMS_Ranking4[[#This Row],[Farm &amp; ranch land, ArcSinh (0-10)]]*AG$5*10</f>
        <v>3.9233353439204697</v>
      </c>
      <c r="AJ98" s="258">
        <f>_xlfn.XLOOKUP(FMS_Ranking4[[#This Row],[FMS ID]],FMS_Input[FMS_ID],FMS_Input[REDSTRUCT100])</f>
        <v>0</v>
      </c>
      <c r="AK98" s="253">
        <f>_xlfn.XLOOKUP(FMS_Ranking4[[#This Row],[FMS ID]],FMS_Input[FMS_ID],FMS_Input[REMSTRC100])</f>
        <v>0</v>
      </c>
      <c r="AL98" s="259">
        <f>(ASINH(FMS_Ranking4[[#This Row],[Structures Removed Raw]]))*(10)/(ASINH(AK$4))</f>
        <v>0</v>
      </c>
      <c r="AM98" s="262">
        <f>FMS_Ranking4[[#This Row],[Structures removed, ArcSinh (0-10)]]*AK$5*10</f>
        <v>0</v>
      </c>
      <c r="AN98" s="253">
        <f>_xlfn.XLOOKUP(FMS_Ranking4[[#This Row],[FMS ID]],FMS_Input[FMS_ID],FMS_Input[REMRESSTRC100])</f>
        <v>0</v>
      </c>
      <c r="AO98" s="261">
        <f>FMS_Ranking4[[#This Row],[ArcSinh Res struct removed 0-10]]*AN$5*10</f>
        <v>0</v>
      </c>
      <c r="AP98" s="260">
        <f>ASINH(FMS_Ranking4[[#This Row],[Residential Structures Removed Raw]])/AP$4*AN$5*100</f>
        <v>0</v>
      </c>
      <c r="AQ98" s="254">
        <f>(ASINH(FMS_Ranking4[[#This Row],[Residential Structures Removed Raw]]))*(10)/(ASINH(AN$4))</f>
        <v>0</v>
      </c>
      <c r="AR98" s="253">
        <f>_xlfn.XLOOKUP(FMS_Ranking4[[#This Row],[FMS ID]],FMS_Input[FMS_ID],FMS_Input[REMPOP100])</f>
        <v>0</v>
      </c>
      <c r="AS98" s="259">
        <f>(ASINH(FMS_Ranking4[[#This Row],[Removed Pop Raw]]))*(10)/(ASINH(AR$4))</f>
        <v>0</v>
      </c>
      <c r="AT98" s="262">
        <f>FMS_Ranking4[[#This Row],[Removed population, ArcSinh (0-10)]]*AR$5*10</f>
        <v>0</v>
      </c>
      <c r="AU98" s="264">
        <f>_xlfn.XLOOKUP(FMS_Ranking4[[#This Row],[FMS ID]],FMS_Input[FMS_ID],FMS_Input[REMCRITFAC100])</f>
        <v>0</v>
      </c>
      <c r="AV98" s="264">
        <f>_xlfn.XLOOKUP(FMS_Ranking4[[#This Row],[FMS ID]],FMS_Input[FMS_ID],FMS_Input[REMLWC100])</f>
        <v>0</v>
      </c>
      <c r="AW98" s="264">
        <f>_xlfn.XLOOKUP(FMS_Ranking4[[#This Row],[FMS ID]],FMS_Input[FMS_ID],FMS_Input[REMROADCLS])</f>
        <v>0</v>
      </c>
      <c r="AX98" s="264">
        <f>_xlfn.XLOOKUP(FMS_Ranking4[[#This Row],[FMS ID]],FMS_Input[FMS_ID],FMS_Input[REMFRMACRE100])</f>
        <v>0</v>
      </c>
      <c r="AY98" s="258">
        <f>_xlfn.XLOOKUP(FMS_Ranking4[[#This Row],[FMS ID]],FMS_Input[FMS_ID],FMS_Input[COSTSTRUCT])</f>
        <v>0</v>
      </c>
      <c r="AZ98" s="253">
        <f>_xlfn.XLOOKUP(FMS_Ranking4[[#This Row],[FMS ID]],FMS_Input[FMS_ID],FMS_Input[NATURE])</f>
        <v>100</v>
      </c>
      <c r="BA98" s="262">
        <f>(((FMS_Ranking4[[#This Row],[% NBS Raw]]/AZ$4)*100)*AZ$5)</f>
        <v>7.5</v>
      </c>
      <c r="BB98" s="251" t="str">
        <f>_xlfn.XLOOKUP(FMS_Ranking4[[#This Row],[FMS ID]],FMS_Input[FMS_ID],FMS_Input[WATER_SUP])</f>
        <v>No</v>
      </c>
      <c r="BC98" s="265">
        <f>IF(FMS_Ranking4[[#This Row],[Water Supply Raw]]="Yes",10,0)</f>
        <v>0</v>
      </c>
      <c r="BD98" s="266">
        <f>_xlfn.XLOOKUP(FMS_Ranking4[[#This Row],[FMS Type]],FMS_TYPE[FMS_Type],FMS_TYPE[Score])</f>
        <v>8</v>
      </c>
      <c r="BE98" s="267">
        <f>FMS_Ranking4[[#This Row],[FMS_Type Score]]*$BD$5*10</f>
        <v>2</v>
      </c>
      <c r="BF9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0.84951729337288628</v>
      </c>
      <c r="BG98" s="271">
        <f>_xlfn.RANK.EQ(BF98,$BF$8:$BF$870,0)+COUNTIF($BF$8:BF98,BF98)-1</f>
        <v>158</v>
      </c>
      <c r="BH98" s="268">
        <f>(((FMS_Ranking4[[#This Row],[Structures Removed Raw]]/AK$4)*100)*AK$5)+(((FMS_Ranking4[[#This Row],[Removed Pop Raw]]/AR$4)*100)*AR$5)</f>
        <v>0</v>
      </c>
      <c r="BI9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10.349517293372886</v>
      </c>
      <c r="BJ98" s="205">
        <f>_xlfn.RANK.EQ(FMS_Ranking4[[#This Row],[Total Score 
(with linear
normalization)]],FMS_Ranking4[Total Score 
(with linear
normalization)],0)</f>
        <v>50</v>
      </c>
      <c r="BK98" s="205" t="e">
        <f>_xlfn.XLOOKUP(FMS_Ranking4[[#This Row],[FMS ID]],#REF!,#REF!)</f>
        <v>#REF!</v>
      </c>
      <c r="BL9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31.26880880539732</v>
      </c>
      <c r="BM98" s="272">
        <f>FMS_Ranking4[[#This Row],[ArcSinh Score Based on Normalized Reported Factors]]+FMS_Ranking4[[#This Row],[% NBS Score (Normalized)]]+(FMS_Ranking4[[#This Row],[Water Supply Score (Normalized)]]*10*$BB$5)+FMS_Ranking4[[#This Row],[FMS_Type Score Weighted]]</f>
        <v>40.76880880539732</v>
      </c>
      <c r="BN98" s="205">
        <f>_xlfn.RANK.EQ(FMS_Ranking4[[#This Row],[Total Score (with ArcSinh normalization of select criteria)]],FMS_Ranking4[Total Score (with ArcSinh normalization of select criteria)],0)</f>
        <v>91</v>
      </c>
      <c r="BO98" s="270" t="str">
        <f>_xlfn.XLOOKUP(FMS_Ranking4[[#This Row],[FMS ID]],FMS_Input[FMS_ID],FMS_Input[FMS_RANK_YEAR])</f>
        <v>2023 Amended Plan</v>
      </c>
      <c r="BP98" s="204">
        <f>_xlfn.XLOOKUP(FMS_Ranking4[[#This Row],[FMS ID]],Prev_Rank[FMS ID],Prev_Rank[Prev Rank])</f>
        <v>69</v>
      </c>
      <c r="BQ98" s="205" t="e">
        <f>_xlfn.XLOOKUP(FMS_Ranking4[[#This Row],[FMS ID]],#REF!,#REF!)</f>
        <v>#REF!</v>
      </c>
      <c r="BR98" s="199" t="e">
        <f>SUM(#REF!,#REF!,#REF!,#REF!,#REF!,#REF!,#REF!,#REF!,#REF!,FMS_Ranking4[[#This Row],[ArcSinh Res struct removed 0-10]],#REF!)</f>
        <v>#REF!</v>
      </c>
      <c r="BS98" s="199" t="e">
        <f>FMS_Ranking4[[#This Row],[Log Score Based on Normalized Reported Factors]]+FMS_Ranking4[[#This Row],[% NBS Score (Normalized)]]+(FMS_Ranking4[[#This Row],[Water Supply Score (Normalized)]]*10*$BB$5)+(FMS_Ranking4[[#This Row],[FMS_Type Score Weighted]])</f>
        <v>#REF!</v>
      </c>
      <c r="BT98" s="200" t="e">
        <f>_xlfn.RANK.EQ(FMS_Ranking4[[#This Row],[Log Total Score]],FMS_Ranking4[Log Total Score],0)</f>
        <v>#REF!</v>
      </c>
      <c r="BU98" s="200" t="e">
        <f>_xlfn.XLOOKUP(FMS_Ranking4[[#This Row],[FMS ID]],#REF!,#REF!)</f>
        <v>#REF!</v>
      </c>
      <c r="BV98" s="200">
        <f>FMS_Ranking4[[#This Row],[Region Number]]</f>
        <v>3</v>
      </c>
      <c r="BW98" s="200">
        <f>FMS_Ranking4[[#This Row],[Rank (with ArcSinh normalization of select criteria)]]-FMS_Ranking4[[#This Row],[Rank
(with linear
normalization)]]</f>
        <v>41</v>
      </c>
      <c r="BX98" s="200" t="e">
        <f>FMS_Ranking4[[#This Row],[Log Rank]]-FMS_Ranking4[[#This Row],[Rank
(with linear
normalization)]]</f>
        <v>#REF!</v>
      </c>
      <c r="BY98" s="200" t="str">
        <f>IF(FMS_Ranking4[[#This Row],[FMS Type]]="Flood Measurement and Warning",FMS_Ranking4[[#This Row],[Rank (with ArcSinh normalization of select criteria)]],"")</f>
        <v/>
      </c>
      <c r="BZ98" s="200">
        <f>IF(FMS_Ranking4[[#This Row],[FMS Type]]="Regulatory and Guidance",FMS_Ranking4[[#This Row],[Rank (with ArcSinh normalization of select criteria)]],"")</f>
        <v>91</v>
      </c>
      <c r="CA98" s="200" t="str">
        <f>IF(FMS_Ranking4[[#This Row],[FMS Type]]="Education and Outreach",FMS_Ranking4[[#This Row],[Rank (with ArcSinh normalization of select criteria)]],"")</f>
        <v/>
      </c>
      <c r="CB98" s="200" t="str">
        <f>IF(FMS_Ranking4[[#This Row],[FMS Type]]="Property Acquisition and Structural Elevation",FMS_Ranking4[[#This Row],[Rank (with ArcSinh normalization of select criteria)]],"")</f>
        <v/>
      </c>
      <c r="CC98" s="200" t="str">
        <f>IF(FMS_Ranking4[[#This Row],[FMS Type]]="Infrastructure Projects",FMS_Ranking4[[#This Row],[Rank (with ArcSinh normalization of select criteria)]],"")</f>
        <v/>
      </c>
      <c r="CD98" s="200" t="str">
        <f>IF(FMS_Ranking4[[#This Row],[FMS Type]]="Other",FMS_Ranking4[[#This Row],[Rank (with ArcSinh normalization of select criteria)]],"")</f>
        <v/>
      </c>
      <c r="CE98" s="201"/>
    </row>
    <row r="99" spans="2:83" ht="45" x14ac:dyDescent="0.25">
      <c r="B99" s="341" t="s">
        <v>428</v>
      </c>
      <c r="C99" s="246">
        <f>_xlfn.XLOOKUP(FMS_Ranking4[[#This Row],[FMS ID]],FMS_Input[FMS_ID],FMS_Input[RFPG_NUM])</f>
        <v>9</v>
      </c>
      <c r="D99" s="309" t="str">
        <f>_xlfn.XLOOKUP(FMS_Ranking4[[#This Row],[FMS ID]],FMS_Input[FMS_ID],FMS_Input[FMS_NAME])</f>
        <v>Mitchell County DCM</v>
      </c>
      <c r="E99" s="308" t="str">
        <f>_xlfn.XLOOKUP(FMS_Ranking4[[#This Row],[FMS ID]],FMS_Input[FMS_ID],FMS_Input[SPONSOR])</f>
        <v>00000115</v>
      </c>
      <c r="F99" s="309" t="str">
        <f>_xlfn.XLOOKUP(FMS_Ranking4[[#This Row],[FMS ID]],Sponsor[FMS_ID],Sponsor[SPONSOR NAME])</f>
        <v>Borden</v>
      </c>
      <c r="G99" s="309" t="str">
        <f>_xlfn.XLOOKUP(FMS_Ranking4[[#This Row],[FMS ID]],FMS_Input[FMS_ID],FMS_Input[FMS_DESCR])</f>
        <v>Incorporate higher standards for hazard resistance in local application of the building code.</v>
      </c>
      <c r="H99" s="248" t="str">
        <f>_xlfn.XLOOKUP(FMS_Ranking4[[#This Row],[FMS ID]],FMS_Input[FMS_ID],FMS_Input[FMS_TYPE])</f>
        <v>Other</v>
      </c>
      <c r="I99" s="249">
        <f>_xlfn.XLOOKUP(FMS_Ranking4[[#This Row],[FMS ID]],FMS_Input[FMS_ID],FMS_Input[NRNC_COST])</f>
        <v>75000</v>
      </c>
      <c r="J99" s="250">
        <f>_xlfn.XLOOKUP(FMS_Ranking4[[#This Row],[FMS ID]],FMS_Input[FMS_ID],FMS_Input[FMS_COST])</f>
        <v>100000</v>
      </c>
      <c r="K99" s="251" t="str">
        <f>_xlfn.XLOOKUP(FMS_Ranking4[[#This Row],[FMS ID]],FMS_Input[FMS_ID],FMS_Input[EMER_NEED])</f>
        <v>No</v>
      </c>
      <c r="L99" s="252">
        <f t="shared" si="1"/>
        <v>0</v>
      </c>
      <c r="M99" s="253">
        <f>_xlfn.XLOOKUP(FMS_Ranking4[[#This Row],[FMS ID]],FMS_Input[FMS_ID],FMS_Input[STRUCT_100])</f>
        <v>344</v>
      </c>
      <c r="N99" s="255">
        <f>(ASINH(FMS_Ranking4[[#This Row],[Structure at Risk Raw]]))*(10)/(ASINH(M$4))</f>
        <v>5.1365325264730242</v>
      </c>
      <c r="O99" s="256">
        <f>FMS_Ranking4[[#This Row],[Structures at risk, ArcSinh (0-10)]]*M$5*10</f>
        <v>5.1365325264730242</v>
      </c>
      <c r="P99" s="253">
        <f>_xlfn.XLOOKUP(FMS_Ranking4[[#This Row],[FMS ID]],FMS_Input[FMS_ID],FMS_Input[RES_STRUCT100])</f>
        <v>206</v>
      </c>
      <c r="Q99" s="257">
        <f>ASINH(FMS_Ranking4[[#This Row],[Res Structure Raw]])/Q$4*P$5*100</f>
        <v>0</v>
      </c>
      <c r="R99" s="253">
        <f>_xlfn.XLOOKUP(FMS_Ranking4[[#This Row],[FMS ID]],FMS_Input[FMS_ID],FMS_Input[POP100])</f>
        <v>737</v>
      </c>
      <c r="S99" s="255">
        <f>(ASINH(FMS_Ranking4[[#This Row],[Pop at Risk Raw]]))*(10)/(ASINH(R$4))</f>
        <v>5.0366709810669441</v>
      </c>
      <c r="T99" s="256">
        <f>FMS_Ranking4[[#This Row],[Population at risk, ArcSinh (0-10)]]*R$5*10</f>
        <v>5.0366709810669441</v>
      </c>
      <c r="U99" s="253">
        <f>_xlfn.XLOOKUP(FMS_Ranking4[[#This Row],[FMS ID]],FMS_Input[FMS_ID],FMS_Input[CRITFAC100])</f>
        <v>2</v>
      </c>
      <c r="V99" s="255">
        <f>(ASINH(FMS_Ranking4[[#This Row],[Critical Facilities Raw]]))*(10)/(ASINH(U$4))</f>
        <v>1.7089239049208753</v>
      </c>
      <c r="W99" s="256">
        <f>FMS_Ranking4[[#This Row],[Critical facilities at risk, ArcSinh (0-10)]]*U$5*10</f>
        <v>1.7089239049208755</v>
      </c>
      <c r="X99" s="253">
        <f>_xlfn.XLOOKUP(FMS_Ranking4[[#This Row],[FMS ID]],FMS_Input[FMS_ID],FMS_Input[LWC])</f>
        <v>11</v>
      </c>
      <c r="Y99" s="255">
        <f>(ASINH(FMS_Ranking4[[#This Row],[LWC Raw]]))*(10)/(ASINH(X$4))</f>
        <v>4.1903423948022258</v>
      </c>
      <c r="Z99" s="256">
        <f>FMS_Ranking4[[#This Row],[LWC, ArcSInh (0-10)]]*X$5*10</f>
        <v>4.1903423948022258</v>
      </c>
      <c r="AA99" s="253">
        <f>_xlfn.XLOOKUP(FMS_Ranking4[[#This Row],[FMS ID]],FMS_Input[FMS_ID],FMS_Input[ROADCLS])</f>
        <v>0</v>
      </c>
      <c r="AB99" s="255">
        <f>(ASINH(FMS_Ranking4[[#This Row],[Road Closures Raw]]))*(10)/(ASINH(AA$4))</f>
        <v>0</v>
      </c>
      <c r="AC99" s="256">
        <f>FMS_Ranking4[[#This Row],[Road closures, ArcSinh (0-10)]]*AA$5*10</f>
        <v>0</v>
      </c>
      <c r="AD99" s="253">
        <f>_xlfn.XLOOKUP(FMS_Ranking4[[#This Row],[FMS ID]],FMS_Input[FMS_ID],FMS_Input[ROAD_MILES100])</f>
        <v>108</v>
      </c>
      <c r="AE99" s="255">
        <f>(ASINH(FMS_Ranking4[[#This Row],[Road Miles Raw]]))*(10)/(ASINH(AD$4))</f>
        <v>5.728590754637211</v>
      </c>
      <c r="AF99" s="256">
        <f>FMS_Ranking4[[#This Row],[Length of roads at risk, ArcSinh (0-10)]]*AD$5*10</f>
        <v>5.7285907546372119</v>
      </c>
      <c r="AG99" s="253">
        <f>_xlfn.XLOOKUP(FMS_Ranking4[[#This Row],[FMS ID]],FMS_Input[FMS_ID],FMS_Input[FARMACRE100])</f>
        <v>16713.84375</v>
      </c>
      <c r="AH99" s="255">
        <f>(ASINH(FMS_Ranking4[[#This Row],[Ag Land Raw]]))*(10)/(ASINH(AG$4))</f>
        <v>6.7667809796363221</v>
      </c>
      <c r="AI99" s="260">
        <f>FMS_Ranking4[[#This Row],[Farm &amp; ranch land, ArcSinh (0-10)]]*AG$5*10</f>
        <v>3.383390489818161</v>
      </c>
      <c r="AJ99" s="258">
        <f>_xlfn.XLOOKUP(FMS_Ranking4[[#This Row],[FMS ID]],FMS_Input[FMS_ID],FMS_Input[REDSTRUCT100])</f>
        <v>86</v>
      </c>
      <c r="AK99" s="253">
        <f>_xlfn.XLOOKUP(FMS_Ranking4[[#This Row],[FMS ID]],FMS_Input[FMS_ID],FMS_Input[REMSTRC100])</f>
        <v>86</v>
      </c>
      <c r="AL99" s="255">
        <f>(ASINH(FMS_Ranking4[[#This Row],[Structures Removed Raw]]))*(10)/(ASINH(AK$4))</f>
        <v>5.8608283773516439</v>
      </c>
      <c r="AM99" s="262">
        <f>FMS_Ranking4[[#This Row],[Structures removed, ArcSinh (0-10)]]*AK$5*10</f>
        <v>5.8608283773516447</v>
      </c>
      <c r="AN99" s="253">
        <f>_xlfn.XLOOKUP(FMS_Ranking4[[#This Row],[FMS ID]],FMS_Input[FMS_ID],FMS_Input[REMRESSTRC100])</f>
        <v>51</v>
      </c>
      <c r="AO99" s="261">
        <f>FMS_Ranking4[[#This Row],[ArcSinh Res struct removed 0-10]]*AN$5*10</f>
        <v>2.7127253300128684</v>
      </c>
      <c r="AP99" s="260">
        <f>ASINH(FMS_Ranking4[[#This Row],[Residential Structures Removed Raw]])/AP$4*AN$5*100</f>
        <v>2.7127253300128684</v>
      </c>
      <c r="AQ99" s="258">
        <f>(ASINH(FMS_Ranking4[[#This Row],[Residential Structures Removed Raw]]))*(10)/(ASINH(AN$4))</f>
        <v>5.4254506600257368</v>
      </c>
      <c r="AR99" s="253">
        <f>_xlfn.XLOOKUP(FMS_Ranking4[[#This Row],[FMS ID]],FMS_Input[FMS_ID],FMS_Input[REMPOP100])</f>
        <v>237</v>
      </c>
      <c r="AS99" s="255">
        <f>(ASINH(FMS_Ranking4[[#This Row],[Removed Pop Raw]]))*(10)/(ASINH(AR$4))</f>
        <v>6.0479714283235149</v>
      </c>
      <c r="AT99" s="262">
        <f>FMS_Ranking4[[#This Row],[Removed population, ArcSinh (0-10)]]*AR$5*10</f>
        <v>6.0479714283235158</v>
      </c>
      <c r="AU99" s="264">
        <f>_xlfn.XLOOKUP(FMS_Ranking4[[#This Row],[FMS ID]],FMS_Input[FMS_ID],FMS_Input[REMCRITFAC100])</f>
        <v>0</v>
      </c>
      <c r="AV99" s="264">
        <f>_xlfn.XLOOKUP(FMS_Ranking4[[#This Row],[FMS ID]],FMS_Input[FMS_ID],FMS_Input[REMLWC100])</f>
        <v>2</v>
      </c>
      <c r="AW99" s="264">
        <f>_xlfn.XLOOKUP(FMS_Ranking4[[#This Row],[FMS ID]],FMS_Input[FMS_ID],FMS_Input[REMROADCLS])</f>
        <v>0</v>
      </c>
      <c r="AX99" s="264">
        <f>_xlfn.XLOOKUP(FMS_Ranking4[[#This Row],[FMS ID]],FMS_Input[FMS_ID],FMS_Input[REMFRMACRE100])</f>
        <v>4178.4609375</v>
      </c>
      <c r="AY99" s="258">
        <f>_xlfn.XLOOKUP(FMS_Ranking4[[#This Row],[FMS ID]],FMS_Input[FMS_ID],FMS_Input[COSTSTRUCT])</f>
        <v>25000</v>
      </c>
      <c r="AZ99" s="253">
        <f>_xlfn.XLOOKUP(FMS_Ranking4[[#This Row],[FMS ID]],FMS_Input[FMS_ID],FMS_Input[NATURE])</f>
        <v>0</v>
      </c>
      <c r="BA99" s="262">
        <f>(((FMS_Ranking4[[#This Row],[% NBS Raw]]/AZ$4)*100)*AZ$5)</f>
        <v>0</v>
      </c>
      <c r="BB99" s="251" t="str">
        <f>_xlfn.XLOOKUP(FMS_Ranking4[[#This Row],[FMS ID]],FMS_Input[FMS_ID],FMS_Input[WATER_SUP])</f>
        <v>No</v>
      </c>
      <c r="BC99" s="265">
        <f>IF(FMS_Ranking4[[#This Row],[Water Supply Raw]]="Yes",10,0)</f>
        <v>0</v>
      </c>
      <c r="BD99" s="266">
        <f>_xlfn.XLOOKUP(FMS_Ranking4[[#This Row],[FMS Type]],FMS_TYPE[FMS_Type],FMS_TYPE[Score])</f>
        <v>2</v>
      </c>
      <c r="BE99" s="267">
        <f>FMS_Ranking4[[#This Row],[FMS_Type Score]]*$BD$5*10</f>
        <v>0.5</v>
      </c>
      <c r="BF9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0.38983454743324614</v>
      </c>
      <c r="BG99" s="321">
        <f>_xlfn.RANK.EQ(BF99,$BF$8:$BF$870,0)+COUNTIF($BF$8:BF99,BF99)-1</f>
        <v>261</v>
      </c>
      <c r="BH99" s="294">
        <f>(((FMS_Ranking4[[#This Row],[Structures Removed Raw]]/AK$4)*100)*AK$5)+(((FMS_Ranking4[[#This Row],[Removed Pop Raw]]/AR$4)*100)*AR$5)</f>
        <v>0.44217320231217555</v>
      </c>
      <c r="BI9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1.3320077497454217</v>
      </c>
      <c r="BJ99" s="251">
        <f>_xlfn.RANK.EQ(FMS_Ranking4[[#This Row],[Total Score 
(with linear
normalization)]],FMS_Ranking4[Total Score 
(with linear
normalization)],0)</f>
        <v>625</v>
      </c>
      <c r="BK99" s="251" t="e">
        <f>_xlfn.XLOOKUP(FMS_Ranking4[[#This Row],[FMS ID]],#REF!,#REF!)</f>
        <v>#REF!</v>
      </c>
      <c r="BL9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39.805976187406465</v>
      </c>
      <c r="BM99" s="324">
        <f>FMS_Ranking4[[#This Row],[ArcSinh Score Based on Normalized Reported Factors]]+FMS_Ranking4[[#This Row],[% NBS Score (Normalized)]]+(FMS_Ranking4[[#This Row],[Water Supply Score (Normalized)]]*10*$BB$5)+FMS_Ranking4[[#This Row],[FMS_Type Score Weighted]]</f>
        <v>40.305976187406465</v>
      </c>
      <c r="BN99" s="251">
        <f>_xlfn.RANK.EQ(FMS_Ranking4[[#This Row],[Total Score (with ArcSinh normalization of select criteria)]],FMS_Ranking4[Total Score (with ArcSinh normalization of select criteria)],0)</f>
        <v>92</v>
      </c>
      <c r="BO99" s="270" t="str">
        <f>_xlfn.XLOOKUP(FMS_Ranking4[[#This Row],[FMS ID]],FMS_Input[FMS_ID],FMS_Input[FMS_RANK_YEAR])</f>
        <v>2023 Amended Plan</v>
      </c>
      <c r="BP99" s="204">
        <f>_xlfn.XLOOKUP(FMS_Ranking4[[#This Row],[FMS ID]],Prev_Rank[FMS ID],Prev_Rank[Prev Rank])</f>
        <v>77</v>
      </c>
      <c r="BQ99" s="251" t="e">
        <f>_xlfn.XLOOKUP(FMS_Ranking4[[#This Row],[FMS ID]],#REF!,#REF!)</f>
        <v>#REF!</v>
      </c>
      <c r="BR99" s="199" t="e">
        <f>SUM(#REF!,#REF!,#REF!,#REF!,#REF!,#REF!,#REF!,#REF!,#REF!,FMS_Ranking4[[#This Row],[ArcSinh Res struct removed 0-10]],#REF!)</f>
        <v>#REF!</v>
      </c>
      <c r="BS99" s="199" t="e">
        <f>FMS_Ranking4[[#This Row],[Log Score Based on Normalized Reported Factors]]+FMS_Ranking4[[#This Row],[% NBS Score (Normalized)]]+(FMS_Ranking4[[#This Row],[Water Supply Score (Normalized)]]*10*$BB$5)+(FMS_Ranking4[[#This Row],[FMS_Type Score Weighted]])</f>
        <v>#REF!</v>
      </c>
      <c r="BT99" s="200" t="e">
        <f>_xlfn.RANK.EQ(FMS_Ranking4[[#This Row],[Log Total Score]],FMS_Ranking4[Log Total Score],0)</f>
        <v>#REF!</v>
      </c>
      <c r="BU99" s="200" t="e">
        <f>_xlfn.XLOOKUP(FMS_Ranking4[[#This Row],[FMS ID]],#REF!,#REF!)</f>
        <v>#REF!</v>
      </c>
      <c r="BV99" s="200">
        <f>FMS_Ranking4[[#This Row],[Region Number]]</f>
        <v>9</v>
      </c>
      <c r="BW99" s="200">
        <f>FMS_Ranking4[[#This Row],[Rank (with ArcSinh normalization of select criteria)]]-FMS_Ranking4[[#This Row],[Rank
(with linear
normalization)]]</f>
        <v>-533</v>
      </c>
      <c r="BX99" s="200" t="e">
        <f>FMS_Ranking4[[#This Row],[Log Rank]]-FMS_Ranking4[[#This Row],[Rank
(with linear
normalization)]]</f>
        <v>#REF!</v>
      </c>
      <c r="BY99" s="200" t="str">
        <f>IF(FMS_Ranking4[[#This Row],[FMS Type]]="Flood Measurement and Warning",FMS_Ranking4[[#This Row],[Rank (with ArcSinh normalization of select criteria)]],"")</f>
        <v/>
      </c>
      <c r="BZ99" s="200" t="str">
        <f>IF(FMS_Ranking4[[#This Row],[FMS Type]]="Regulatory and Guidance",FMS_Ranking4[[#This Row],[Rank (with ArcSinh normalization of select criteria)]],"")</f>
        <v/>
      </c>
      <c r="CA99" s="200" t="str">
        <f>IF(FMS_Ranking4[[#This Row],[FMS Type]]="Education and Outreach",FMS_Ranking4[[#This Row],[Rank (with ArcSinh normalization of select criteria)]],"")</f>
        <v/>
      </c>
      <c r="CB99" s="200" t="str">
        <f>IF(FMS_Ranking4[[#This Row],[FMS Type]]="Property Acquisition and Structural Elevation",FMS_Ranking4[[#This Row],[Rank (with ArcSinh normalization of select criteria)]],"")</f>
        <v/>
      </c>
      <c r="CC99" s="200" t="str">
        <f>IF(FMS_Ranking4[[#This Row],[FMS Type]]="Infrastructure Projects",FMS_Ranking4[[#This Row],[Rank (with ArcSinh normalization of select criteria)]],"")</f>
        <v/>
      </c>
      <c r="CD99" s="200">
        <f>IF(FMS_Ranking4[[#This Row],[FMS Type]]="Other",FMS_Ranking4[[#This Row],[Rank (with ArcSinh normalization of select criteria)]],"")</f>
        <v>92</v>
      </c>
      <c r="CE99" s="201"/>
    </row>
    <row r="100" spans="2:83" ht="45" x14ac:dyDescent="0.25">
      <c r="B100" s="341" t="s">
        <v>446</v>
      </c>
      <c r="C100" s="246">
        <f>_xlfn.XLOOKUP(FMS_Ranking4[[#This Row],[FMS ID]],FMS_Input[FMS_ID],FMS_Input[RFPG_NUM])</f>
        <v>9</v>
      </c>
      <c r="D100" s="309" t="str">
        <f>_xlfn.XLOOKUP(FMS_Ranking4[[#This Row],[FMS ID]],FMS_Input[FMS_ID],FMS_Input[FMS_NAME])</f>
        <v>Mitchell County Flood Insurance Policy Program</v>
      </c>
      <c r="E100" s="308" t="str">
        <f>_xlfn.XLOOKUP(FMS_Ranking4[[#This Row],[FMS ID]],FMS_Input[FMS_ID],FMS_Input[SPONSOR])</f>
        <v>00000115</v>
      </c>
      <c r="F100" s="309" t="str">
        <f>_xlfn.XLOOKUP(FMS_Ranking4[[#This Row],[FMS ID]],Sponsor[FMS_ID],Sponsor[SPONSOR NAME])</f>
        <v>Borden</v>
      </c>
      <c r="G100" s="309" t="str">
        <f>_xlfn.XLOOKUP(FMS_Ranking4[[#This Row],[FMS ID]],FMS_Input[FMS_ID],FMS_Input[FMS_DESCR])</f>
        <v>Undertake an initiative to increase the number of flood insurance policies.</v>
      </c>
      <c r="H100" s="248" t="str">
        <f>_xlfn.XLOOKUP(FMS_Ranking4[[#This Row],[FMS ID]],FMS_Input[FMS_ID],FMS_Input[FMS_TYPE])</f>
        <v>Other</v>
      </c>
      <c r="I100" s="249">
        <f>_xlfn.XLOOKUP(FMS_Ranking4[[#This Row],[FMS ID]],FMS_Input[FMS_ID],FMS_Input[NRNC_COST])</f>
        <v>5000</v>
      </c>
      <c r="J100" s="250">
        <f>_xlfn.XLOOKUP(FMS_Ranking4[[#This Row],[FMS ID]],FMS_Input[FMS_ID],FMS_Input[FMS_COST])</f>
        <v>30000</v>
      </c>
      <c r="K100" s="251" t="str">
        <f>_xlfn.XLOOKUP(FMS_Ranking4[[#This Row],[FMS ID]],FMS_Input[FMS_ID],FMS_Input[EMER_NEED])</f>
        <v>No</v>
      </c>
      <c r="L100" s="252">
        <f t="shared" si="1"/>
        <v>0</v>
      </c>
      <c r="M100" s="253">
        <f>_xlfn.XLOOKUP(FMS_Ranking4[[#This Row],[FMS ID]],FMS_Input[FMS_ID],FMS_Input[STRUCT_100])</f>
        <v>344</v>
      </c>
      <c r="N100" s="255">
        <f>(ASINH(FMS_Ranking4[[#This Row],[Structure at Risk Raw]]))*(10)/(ASINH(M$4))</f>
        <v>5.1365325264730242</v>
      </c>
      <c r="O100" s="256">
        <f>FMS_Ranking4[[#This Row],[Structures at risk, ArcSinh (0-10)]]*M$5*10</f>
        <v>5.1365325264730242</v>
      </c>
      <c r="P100" s="253">
        <f>_xlfn.XLOOKUP(FMS_Ranking4[[#This Row],[FMS ID]],FMS_Input[FMS_ID],FMS_Input[RES_STRUCT100])</f>
        <v>206</v>
      </c>
      <c r="Q100" s="257">
        <f>ASINH(FMS_Ranking4[[#This Row],[Res Structure Raw]])/Q$4*P$5*100</f>
        <v>0</v>
      </c>
      <c r="R100" s="253">
        <f>_xlfn.XLOOKUP(FMS_Ranking4[[#This Row],[FMS ID]],FMS_Input[FMS_ID],FMS_Input[POP100])</f>
        <v>737</v>
      </c>
      <c r="S100" s="259">
        <f>(ASINH(FMS_Ranking4[[#This Row],[Pop at Risk Raw]]))*(10)/(ASINH(R$4))</f>
        <v>5.0366709810669441</v>
      </c>
      <c r="T100" s="256">
        <f>FMS_Ranking4[[#This Row],[Population at risk, ArcSinh (0-10)]]*R$5*10</f>
        <v>5.0366709810669441</v>
      </c>
      <c r="U100" s="253">
        <f>_xlfn.XLOOKUP(FMS_Ranking4[[#This Row],[FMS ID]],FMS_Input[FMS_ID],FMS_Input[CRITFAC100])</f>
        <v>2</v>
      </c>
      <c r="V100" s="259">
        <f>(ASINH(FMS_Ranking4[[#This Row],[Critical Facilities Raw]]))*(10)/(ASINH(U$4))</f>
        <v>1.7089239049208753</v>
      </c>
      <c r="W100" s="256">
        <f>FMS_Ranking4[[#This Row],[Critical facilities at risk, ArcSinh (0-10)]]*U$5*10</f>
        <v>1.7089239049208755</v>
      </c>
      <c r="X100" s="253">
        <f>_xlfn.XLOOKUP(FMS_Ranking4[[#This Row],[FMS ID]],FMS_Input[FMS_ID],FMS_Input[LWC])</f>
        <v>11</v>
      </c>
      <c r="Y100" s="259">
        <f>(ASINH(FMS_Ranking4[[#This Row],[LWC Raw]]))*(10)/(ASINH(X$4))</f>
        <v>4.1903423948022258</v>
      </c>
      <c r="Z100" s="256">
        <f>FMS_Ranking4[[#This Row],[LWC, ArcSInh (0-10)]]*X$5*10</f>
        <v>4.1903423948022258</v>
      </c>
      <c r="AA100" s="253">
        <f>_xlfn.XLOOKUP(FMS_Ranking4[[#This Row],[FMS ID]],FMS_Input[FMS_ID],FMS_Input[ROADCLS])</f>
        <v>0</v>
      </c>
      <c r="AB100" s="255">
        <f>(ASINH(FMS_Ranking4[[#This Row],[Road Closures Raw]]))*(10)/(ASINH(AA$4))</f>
        <v>0</v>
      </c>
      <c r="AC100" s="256">
        <f>FMS_Ranking4[[#This Row],[Road closures, ArcSinh (0-10)]]*AA$5*10</f>
        <v>0</v>
      </c>
      <c r="AD100" s="253">
        <f>_xlfn.XLOOKUP(FMS_Ranking4[[#This Row],[FMS ID]],FMS_Input[FMS_ID],FMS_Input[ROAD_MILES100])</f>
        <v>108</v>
      </c>
      <c r="AE100" s="259">
        <f>(ASINH(FMS_Ranking4[[#This Row],[Road Miles Raw]]))*(10)/(ASINH(AD$4))</f>
        <v>5.728590754637211</v>
      </c>
      <c r="AF100" s="256">
        <f>FMS_Ranking4[[#This Row],[Length of roads at risk, ArcSinh (0-10)]]*AD$5*10</f>
        <v>5.7285907546372119</v>
      </c>
      <c r="AG100" s="253">
        <f>_xlfn.XLOOKUP(FMS_Ranking4[[#This Row],[FMS ID]],FMS_Input[FMS_ID],FMS_Input[FARMACRE100])</f>
        <v>16713.84375</v>
      </c>
      <c r="AH100" s="255">
        <f>(ASINH(FMS_Ranking4[[#This Row],[Ag Land Raw]]))*(10)/(ASINH(AG$4))</f>
        <v>6.7667809796363221</v>
      </c>
      <c r="AI100" s="260">
        <f>FMS_Ranking4[[#This Row],[Farm &amp; ranch land, ArcSinh (0-10)]]*AG$5*10</f>
        <v>3.383390489818161</v>
      </c>
      <c r="AJ100" s="258">
        <f>_xlfn.XLOOKUP(FMS_Ranking4[[#This Row],[FMS ID]],FMS_Input[FMS_ID],FMS_Input[REDSTRUCT100])</f>
        <v>86</v>
      </c>
      <c r="AK100" s="253">
        <f>_xlfn.XLOOKUP(FMS_Ranking4[[#This Row],[FMS ID]],FMS_Input[FMS_ID],FMS_Input[REMSTRC100])</f>
        <v>86</v>
      </c>
      <c r="AL100" s="259">
        <f>(ASINH(FMS_Ranking4[[#This Row],[Structures Removed Raw]]))*(10)/(ASINH(AK$4))</f>
        <v>5.8608283773516439</v>
      </c>
      <c r="AM100" s="262">
        <f>FMS_Ranking4[[#This Row],[Structures removed, ArcSinh (0-10)]]*AK$5*10</f>
        <v>5.8608283773516447</v>
      </c>
      <c r="AN100" s="253">
        <f>_xlfn.XLOOKUP(FMS_Ranking4[[#This Row],[FMS ID]],FMS_Input[FMS_ID],FMS_Input[REMRESSTRC100])</f>
        <v>51</v>
      </c>
      <c r="AO100" s="261">
        <f>FMS_Ranking4[[#This Row],[ArcSinh Res struct removed 0-10]]*AN$5*10</f>
        <v>2.7127253300128684</v>
      </c>
      <c r="AP100" s="260">
        <f>ASINH(FMS_Ranking4[[#This Row],[Residential Structures Removed Raw]])/AP$4*AN$5*100</f>
        <v>2.7127253300128684</v>
      </c>
      <c r="AQ100" s="254">
        <f>(ASINH(FMS_Ranking4[[#This Row],[Residential Structures Removed Raw]]))*(10)/(ASINH(AN$4))</f>
        <v>5.4254506600257368</v>
      </c>
      <c r="AR100" s="253">
        <f>_xlfn.XLOOKUP(FMS_Ranking4[[#This Row],[FMS ID]],FMS_Input[FMS_ID],FMS_Input[REMPOP100])</f>
        <v>237</v>
      </c>
      <c r="AS100" s="259">
        <f>(ASINH(FMS_Ranking4[[#This Row],[Removed Pop Raw]]))*(10)/(ASINH(AR$4))</f>
        <v>6.0479714283235149</v>
      </c>
      <c r="AT100" s="262">
        <f>FMS_Ranking4[[#This Row],[Removed population, ArcSinh (0-10)]]*AR$5*10</f>
        <v>6.0479714283235158</v>
      </c>
      <c r="AU100" s="264">
        <f>_xlfn.XLOOKUP(FMS_Ranking4[[#This Row],[FMS ID]],FMS_Input[FMS_ID],FMS_Input[REMCRITFAC100])</f>
        <v>0</v>
      </c>
      <c r="AV100" s="264">
        <f>_xlfn.XLOOKUP(FMS_Ranking4[[#This Row],[FMS ID]],FMS_Input[FMS_ID],FMS_Input[REMLWC100])</f>
        <v>2</v>
      </c>
      <c r="AW100" s="264">
        <f>_xlfn.XLOOKUP(FMS_Ranking4[[#This Row],[FMS ID]],FMS_Input[FMS_ID],FMS_Input[REMROADCLS])</f>
        <v>0</v>
      </c>
      <c r="AX100" s="264">
        <f>_xlfn.XLOOKUP(FMS_Ranking4[[#This Row],[FMS ID]],FMS_Input[FMS_ID],FMS_Input[REMFRMACRE100])</f>
        <v>4178.4609375</v>
      </c>
      <c r="AY100" s="258">
        <f>_xlfn.XLOOKUP(FMS_Ranking4[[#This Row],[FMS ID]],FMS_Input[FMS_ID],FMS_Input[COSTSTRUCT])</f>
        <v>25000</v>
      </c>
      <c r="AZ100" s="253">
        <f>_xlfn.XLOOKUP(FMS_Ranking4[[#This Row],[FMS ID]],FMS_Input[FMS_ID],FMS_Input[NATURE])</f>
        <v>0</v>
      </c>
      <c r="BA100" s="262">
        <f>(((FMS_Ranking4[[#This Row],[% NBS Raw]]/AZ$4)*100)*AZ$5)</f>
        <v>0</v>
      </c>
      <c r="BB100" s="251" t="str">
        <f>_xlfn.XLOOKUP(FMS_Ranking4[[#This Row],[FMS ID]],FMS_Input[FMS_ID],FMS_Input[WATER_SUP])</f>
        <v>No</v>
      </c>
      <c r="BC100" s="265">
        <f>IF(FMS_Ranking4[[#This Row],[Water Supply Raw]]="Yes",10,0)</f>
        <v>0</v>
      </c>
      <c r="BD100" s="266">
        <f>_xlfn.XLOOKUP(FMS_Ranking4[[#This Row],[FMS Type]],FMS_TYPE[FMS_Type],FMS_TYPE[Score])</f>
        <v>2</v>
      </c>
      <c r="BE100" s="267">
        <f>FMS_Ranking4[[#This Row],[FMS_Type Score]]*$BD$5*10</f>
        <v>0.5</v>
      </c>
      <c r="BF10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0.38983454743324614</v>
      </c>
      <c r="BG100" s="271">
        <f>_xlfn.RANK.EQ(BF100,$BF$8:$BF$870,0)+COUNTIF($BF$8:BF100,BF100)-1</f>
        <v>262</v>
      </c>
      <c r="BH100" s="268">
        <f>(((FMS_Ranking4[[#This Row],[Structures Removed Raw]]/AK$4)*100)*AK$5)+(((FMS_Ranking4[[#This Row],[Removed Pop Raw]]/AR$4)*100)*AR$5)</f>
        <v>0.44217320231217555</v>
      </c>
      <c r="BI10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1.3320077497454217</v>
      </c>
      <c r="BJ100" s="205">
        <f>_xlfn.RANK.EQ(FMS_Ranking4[[#This Row],[Total Score 
(with linear
normalization)]],FMS_Ranking4[Total Score 
(with linear
normalization)],0)</f>
        <v>625</v>
      </c>
      <c r="BK100" s="205" t="e">
        <f>_xlfn.XLOOKUP(FMS_Ranking4[[#This Row],[FMS ID]],#REF!,#REF!)</f>
        <v>#REF!</v>
      </c>
      <c r="BL10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39.805976187406465</v>
      </c>
      <c r="BM100" s="272">
        <f>FMS_Ranking4[[#This Row],[ArcSinh Score Based on Normalized Reported Factors]]+FMS_Ranking4[[#This Row],[% NBS Score (Normalized)]]+(FMS_Ranking4[[#This Row],[Water Supply Score (Normalized)]]*10*$BB$5)+FMS_Ranking4[[#This Row],[FMS_Type Score Weighted]]</f>
        <v>40.305976187406465</v>
      </c>
      <c r="BN100" s="205">
        <f>_xlfn.RANK.EQ(FMS_Ranking4[[#This Row],[Total Score (with ArcSinh normalization of select criteria)]],FMS_Ranking4[Total Score (with ArcSinh normalization of select criteria)],0)</f>
        <v>92</v>
      </c>
      <c r="BO100" s="270" t="str">
        <f>_xlfn.XLOOKUP(FMS_Ranking4[[#This Row],[FMS ID]],FMS_Input[FMS_ID],FMS_Input[FMS_RANK_YEAR])</f>
        <v>2023 Amended Plan</v>
      </c>
      <c r="BP100" s="204">
        <f>_xlfn.XLOOKUP(FMS_Ranking4[[#This Row],[FMS ID]],Prev_Rank[FMS ID],Prev_Rank[Prev Rank])</f>
        <v>77</v>
      </c>
      <c r="BQ100" s="205" t="e">
        <f>_xlfn.XLOOKUP(FMS_Ranking4[[#This Row],[FMS ID]],#REF!,#REF!)</f>
        <v>#REF!</v>
      </c>
      <c r="BR100" s="199" t="e">
        <f>SUM(#REF!,#REF!,#REF!,#REF!,#REF!,#REF!,#REF!,#REF!,#REF!,FMS_Ranking4[[#This Row],[ArcSinh Res struct removed 0-10]],#REF!)</f>
        <v>#REF!</v>
      </c>
      <c r="BS100" s="199" t="e">
        <f>FMS_Ranking4[[#This Row],[Log Score Based on Normalized Reported Factors]]+FMS_Ranking4[[#This Row],[% NBS Score (Normalized)]]+(FMS_Ranking4[[#This Row],[Water Supply Score (Normalized)]]*10*$BB$5)+(FMS_Ranking4[[#This Row],[FMS_Type Score Weighted]])</f>
        <v>#REF!</v>
      </c>
      <c r="BT100" s="200" t="e">
        <f>_xlfn.RANK.EQ(FMS_Ranking4[[#This Row],[Log Total Score]],FMS_Ranking4[Log Total Score],0)</f>
        <v>#REF!</v>
      </c>
      <c r="BU100" s="200" t="e">
        <f>_xlfn.XLOOKUP(FMS_Ranking4[[#This Row],[FMS ID]],#REF!,#REF!)</f>
        <v>#REF!</v>
      </c>
      <c r="BV100" s="200">
        <f>FMS_Ranking4[[#This Row],[Region Number]]</f>
        <v>9</v>
      </c>
      <c r="BW100" s="200">
        <f>FMS_Ranking4[[#This Row],[Rank (with ArcSinh normalization of select criteria)]]-FMS_Ranking4[[#This Row],[Rank
(with linear
normalization)]]</f>
        <v>-533</v>
      </c>
      <c r="BX100" s="200" t="e">
        <f>FMS_Ranking4[[#This Row],[Log Rank]]-FMS_Ranking4[[#This Row],[Rank
(with linear
normalization)]]</f>
        <v>#REF!</v>
      </c>
      <c r="BY100" s="200" t="str">
        <f>IF(FMS_Ranking4[[#This Row],[FMS Type]]="Flood Measurement and Warning",FMS_Ranking4[[#This Row],[Rank (with ArcSinh normalization of select criteria)]],"")</f>
        <v/>
      </c>
      <c r="BZ100" s="200" t="str">
        <f>IF(FMS_Ranking4[[#This Row],[FMS Type]]="Regulatory and Guidance",FMS_Ranking4[[#This Row],[Rank (with ArcSinh normalization of select criteria)]],"")</f>
        <v/>
      </c>
      <c r="CA100" s="200" t="str">
        <f>IF(FMS_Ranking4[[#This Row],[FMS Type]]="Education and Outreach",FMS_Ranking4[[#This Row],[Rank (with ArcSinh normalization of select criteria)]],"")</f>
        <v/>
      </c>
      <c r="CB100" s="200" t="str">
        <f>IF(FMS_Ranking4[[#This Row],[FMS Type]]="Property Acquisition and Structural Elevation",FMS_Ranking4[[#This Row],[Rank (with ArcSinh normalization of select criteria)]],"")</f>
        <v/>
      </c>
      <c r="CC100" s="200" t="str">
        <f>IF(FMS_Ranking4[[#This Row],[FMS Type]]="Infrastructure Projects",FMS_Ranking4[[#This Row],[Rank (with ArcSinh normalization of select criteria)]],"")</f>
        <v/>
      </c>
      <c r="CD100" s="200">
        <f>IF(FMS_Ranking4[[#This Row],[FMS Type]]="Other",FMS_Ranking4[[#This Row],[Rank (with ArcSinh normalization of select criteria)]],"")</f>
        <v>92</v>
      </c>
      <c r="CE100" s="201"/>
    </row>
    <row r="101" spans="2:83" ht="75" x14ac:dyDescent="0.25">
      <c r="B101" s="341" t="s">
        <v>449</v>
      </c>
      <c r="C101" s="246">
        <f>_xlfn.XLOOKUP(FMS_Ranking4[[#This Row],[FMS ID]],FMS_Input[FMS_ID],FMS_Input[RFPG_NUM])</f>
        <v>9</v>
      </c>
      <c r="D101" s="309" t="str">
        <f>_xlfn.XLOOKUP(FMS_Ranking4[[#This Row],[FMS ID]],FMS_Input[FMS_ID],FMS_Input[FMS_NAME])</f>
        <v>Mitchell County Early Warning System</v>
      </c>
      <c r="E101" s="308" t="str">
        <f>_xlfn.XLOOKUP(FMS_Ranking4[[#This Row],[FMS ID]],FMS_Input[FMS_ID],FMS_Input[SPONSOR])</f>
        <v>00000115</v>
      </c>
      <c r="F101" s="309" t="str">
        <f>_xlfn.XLOOKUP(FMS_Ranking4[[#This Row],[FMS ID]],Sponsor[FMS_ID],Sponsor[SPONSOR NAME])</f>
        <v>Borden</v>
      </c>
      <c r="G101" s="309" t="str">
        <f>_xlfn.XLOOKUP(FMS_Ranking4[[#This Row],[FMS ID]],FMS_Input[FMS_ID],FMS_Input[FMS_DESCR])</f>
        <v>Purchase and install a flood early warning system along flood-prone waterways in unincorporated areas of the county.</v>
      </c>
      <c r="H101" s="248" t="str">
        <f>_xlfn.XLOOKUP(FMS_Ranking4[[#This Row],[FMS ID]],FMS_Input[FMS_ID],FMS_Input[FMS_TYPE])</f>
        <v>Other</v>
      </c>
      <c r="I101" s="249">
        <f>_xlfn.XLOOKUP(FMS_Ranking4[[#This Row],[FMS ID]],FMS_Input[FMS_ID],FMS_Input[NRNC_COST])</f>
        <v>5000</v>
      </c>
      <c r="J101" s="250">
        <f>_xlfn.XLOOKUP(FMS_Ranking4[[#This Row],[FMS ID]],FMS_Input[FMS_ID],FMS_Input[FMS_COST])</f>
        <v>30000</v>
      </c>
      <c r="K101" s="251" t="str">
        <f>_xlfn.XLOOKUP(FMS_Ranking4[[#This Row],[FMS ID]],FMS_Input[FMS_ID],FMS_Input[EMER_NEED])</f>
        <v>No</v>
      </c>
      <c r="L101" s="252">
        <f t="shared" si="1"/>
        <v>0</v>
      </c>
      <c r="M101" s="253">
        <f>_xlfn.XLOOKUP(FMS_Ranking4[[#This Row],[FMS ID]],FMS_Input[FMS_ID],FMS_Input[STRUCT_100])</f>
        <v>344</v>
      </c>
      <c r="N101" s="255">
        <f>(ASINH(FMS_Ranking4[[#This Row],[Structure at Risk Raw]]))*(10)/(ASINH(M$4))</f>
        <v>5.1365325264730242</v>
      </c>
      <c r="O101" s="256">
        <f>FMS_Ranking4[[#This Row],[Structures at risk, ArcSinh (0-10)]]*M$5*10</f>
        <v>5.1365325264730242</v>
      </c>
      <c r="P101" s="253">
        <f>_xlfn.XLOOKUP(FMS_Ranking4[[#This Row],[FMS ID]],FMS_Input[FMS_ID],FMS_Input[RES_STRUCT100])</f>
        <v>206</v>
      </c>
      <c r="Q101" s="257">
        <f>ASINH(FMS_Ranking4[[#This Row],[Res Structure Raw]])/Q$4*P$5*100</f>
        <v>0</v>
      </c>
      <c r="R101" s="253">
        <f>_xlfn.XLOOKUP(FMS_Ranking4[[#This Row],[FMS ID]],FMS_Input[FMS_ID],FMS_Input[POP100])</f>
        <v>737</v>
      </c>
      <c r="S101" s="259">
        <f>(ASINH(FMS_Ranking4[[#This Row],[Pop at Risk Raw]]))*(10)/(ASINH(R$4))</f>
        <v>5.0366709810669441</v>
      </c>
      <c r="T101" s="256">
        <f>FMS_Ranking4[[#This Row],[Population at risk, ArcSinh (0-10)]]*R$5*10</f>
        <v>5.0366709810669441</v>
      </c>
      <c r="U101" s="253">
        <f>_xlfn.XLOOKUP(FMS_Ranking4[[#This Row],[FMS ID]],FMS_Input[FMS_ID],FMS_Input[CRITFAC100])</f>
        <v>2</v>
      </c>
      <c r="V101" s="259">
        <f>(ASINH(FMS_Ranking4[[#This Row],[Critical Facilities Raw]]))*(10)/(ASINH(U$4))</f>
        <v>1.7089239049208753</v>
      </c>
      <c r="W101" s="256">
        <f>FMS_Ranking4[[#This Row],[Critical facilities at risk, ArcSinh (0-10)]]*U$5*10</f>
        <v>1.7089239049208755</v>
      </c>
      <c r="X101" s="253">
        <f>_xlfn.XLOOKUP(FMS_Ranking4[[#This Row],[FMS ID]],FMS_Input[FMS_ID],FMS_Input[LWC])</f>
        <v>11</v>
      </c>
      <c r="Y101" s="259">
        <f>(ASINH(FMS_Ranking4[[#This Row],[LWC Raw]]))*(10)/(ASINH(X$4))</f>
        <v>4.1903423948022258</v>
      </c>
      <c r="Z101" s="256">
        <f>FMS_Ranking4[[#This Row],[LWC, ArcSInh (0-10)]]*X$5*10</f>
        <v>4.1903423948022258</v>
      </c>
      <c r="AA101" s="253">
        <f>_xlfn.XLOOKUP(FMS_Ranking4[[#This Row],[FMS ID]],FMS_Input[FMS_ID],FMS_Input[ROADCLS])</f>
        <v>0</v>
      </c>
      <c r="AB101" s="255">
        <f>(ASINH(FMS_Ranking4[[#This Row],[Road Closures Raw]]))*(10)/(ASINH(AA$4))</f>
        <v>0</v>
      </c>
      <c r="AC101" s="256">
        <f>FMS_Ranking4[[#This Row],[Road closures, ArcSinh (0-10)]]*AA$5*10</f>
        <v>0</v>
      </c>
      <c r="AD101" s="253">
        <f>_xlfn.XLOOKUP(FMS_Ranking4[[#This Row],[FMS ID]],FMS_Input[FMS_ID],FMS_Input[ROAD_MILES100])</f>
        <v>108</v>
      </c>
      <c r="AE101" s="259">
        <f>(ASINH(FMS_Ranking4[[#This Row],[Road Miles Raw]]))*(10)/(ASINH(AD$4))</f>
        <v>5.728590754637211</v>
      </c>
      <c r="AF101" s="256">
        <f>FMS_Ranking4[[#This Row],[Length of roads at risk, ArcSinh (0-10)]]*AD$5*10</f>
        <v>5.7285907546372119</v>
      </c>
      <c r="AG101" s="253">
        <f>_xlfn.XLOOKUP(FMS_Ranking4[[#This Row],[FMS ID]],FMS_Input[FMS_ID],FMS_Input[FARMACRE100])</f>
        <v>16713.84375</v>
      </c>
      <c r="AH101" s="255">
        <f>(ASINH(FMS_Ranking4[[#This Row],[Ag Land Raw]]))*(10)/(ASINH(AG$4))</f>
        <v>6.7667809796363221</v>
      </c>
      <c r="AI101" s="260">
        <f>FMS_Ranking4[[#This Row],[Farm &amp; ranch land, ArcSinh (0-10)]]*AG$5*10</f>
        <v>3.383390489818161</v>
      </c>
      <c r="AJ101" s="258">
        <f>_xlfn.XLOOKUP(FMS_Ranking4[[#This Row],[FMS ID]],FMS_Input[FMS_ID],FMS_Input[REDSTRUCT100])</f>
        <v>86</v>
      </c>
      <c r="AK101" s="253">
        <f>_xlfn.XLOOKUP(FMS_Ranking4[[#This Row],[FMS ID]],FMS_Input[FMS_ID],FMS_Input[REMSTRC100])</f>
        <v>86</v>
      </c>
      <c r="AL101" s="259">
        <f>(ASINH(FMS_Ranking4[[#This Row],[Structures Removed Raw]]))*(10)/(ASINH(AK$4))</f>
        <v>5.8608283773516439</v>
      </c>
      <c r="AM101" s="262">
        <f>FMS_Ranking4[[#This Row],[Structures removed, ArcSinh (0-10)]]*AK$5*10</f>
        <v>5.8608283773516447</v>
      </c>
      <c r="AN101" s="253">
        <f>_xlfn.XLOOKUP(FMS_Ranking4[[#This Row],[FMS ID]],FMS_Input[FMS_ID],FMS_Input[REMRESSTRC100])</f>
        <v>51</v>
      </c>
      <c r="AO101" s="261">
        <f>FMS_Ranking4[[#This Row],[ArcSinh Res struct removed 0-10]]*AN$5*10</f>
        <v>2.7127253300128684</v>
      </c>
      <c r="AP101" s="260">
        <f>ASINH(FMS_Ranking4[[#This Row],[Residential Structures Removed Raw]])/AP$4*AN$5*100</f>
        <v>2.7127253300128684</v>
      </c>
      <c r="AQ101" s="254">
        <f>(ASINH(FMS_Ranking4[[#This Row],[Residential Structures Removed Raw]]))*(10)/(ASINH(AN$4))</f>
        <v>5.4254506600257368</v>
      </c>
      <c r="AR101" s="253">
        <f>_xlfn.XLOOKUP(FMS_Ranking4[[#This Row],[FMS ID]],FMS_Input[FMS_ID],FMS_Input[REMPOP100])</f>
        <v>237</v>
      </c>
      <c r="AS101" s="259">
        <f>(ASINH(FMS_Ranking4[[#This Row],[Removed Pop Raw]]))*(10)/(ASINH(AR$4))</f>
        <v>6.0479714283235149</v>
      </c>
      <c r="AT101" s="262">
        <f>FMS_Ranking4[[#This Row],[Removed population, ArcSinh (0-10)]]*AR$5*10</f>
        <v>6.0479714283235158</v>
      </c>
      <c r="AU101" s="264">
        <f>_xlfn.XLOOKUP(FMS_Ranking4[[#This Row],[FMS ID]],FMS_Input[FMS_ID],FMS_Input[REMCRITFAC100])</f>
        <v>0</v>
      </c>
      <c r="AV101" s="264">
        <f>_xlfn.XLOOKUP(FMS_Ranking4[[#This Row],[FMS ID]],FMS_Input[FMS_ID],FMS_Input[REMLWC100])</f>
        <v>2</v>
      </c>
      <c r="AW101" s="264">
        <f>_xlfn.XLOOKUP(FMS_Ranking4[[#This Row],[FMS ID]],FMS_Input[FMS_ID],FMS_Input[REMROADCLS])</f>
        <v>0</v>
      </c>
      <c r="AX101" s="264">
        <f>_xlfn.XLOOKUP(FMS_Ranking4[[#This Row],[FMS ID]],FMS_Input[FMS_ID],FMS_Input[REMFRMACRE100])</f>
        <v>4178.4609375</v>
      </c>
      <c r="AY101" s="258">
        <f>_xlfn.XLOOKUP(FMS_Ranking4[[#This Row],[FMS ID]],FMS_Input[FMS_ID],FMS_Input[COSTSTRUCT])</f>
        <v>25000</v>
      </c>
      <c r="AZ101" s="253">
        <f>_xlfn.XLOOKUP(FMS_Ranking4[[#This Row],[FMS ID]],FMS_Input[FMS_ID],FMS_Input[NATURE])</f>
        <v>0</v>
      </c>
      <c r="BA101" s="262">
        <f>(((FMS_Ranking4[[#This Row],[% NBS Raw]]/AZ$4)*100)*AZ$5)</f>
        <v>0</v>
      </c>
      <c r="BB101" s="251" t="str">
        <f>_xlfn.XLOOKUP(FMS_Ranking4[[#This Row],[FMS ID]],FMS_Input[FMS_ID],FMS_Input[WATER_SUP])</f>
        <v>No</v>
      </c>
      <c r="BC101" s="265">
        <f>IF(FMS_Ranking4[[#This Row],[Water Supply Raw]]="Yes",10,0)</f>
        <v>0</v>
      </c>
      <c r="BD101" s="266">
        <f>_xlfn.XLOOKUP(FMS_Ranking4[[#This Row],[FMS Type]],FMS_TYPE[FMS_Type],FMS_TYPE[Score])</f>
        <v>2</v>
      </c>
      <c r="BE101" s="267">
        <f>FMS_Ranking4[[#This Row],[FMS_Type Score]]*$BD$5*10</f>
        <v>0.5</v>
      </c>
      <c r="BF10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0.38983454743324614</v>
      </c>
      <c r="BG101" s="271">
        <f>_xlfn.RANK.EQ(BF101,$BF$8:$BF$870,0)+COUNTIF($BF$8:BF101,BF101)-1</f>
        <v>263</v>
      </c>
      <c r="BH101" s="268">
        <f>(((FMS_Ranking4[[#This Row],[Structures Removed Raw]]/AK$4)*100)*AK$5)+(((FMS_Ranking4[[#This Row],[Removed Pop Raw]]/AR$4)*100)*AR$5)</f>
        <v>0.44217320231217555</v>
      </c>
      <c r="BI10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1.3320077497454217</v>
      </c>
      <c r="BJ101" s="205">
        <f>_xlfn.RANK.EQ(FMS_Ranking4[[#This Row],[Total Score 
(with linear
normalization)]],FMS_Ranking4[Total Score 
(with linear
normalization)],0)</f>
        <v>625</v>
      </c>
      <c r="BK101" s="205" t="e">
        <f>_xlfn.XLOOKUP(FMS_Ranking4[[#This Row],[FMS ID]],#REF!,#REF!)</f>
        <v>#REF!</v>
      </c>
      <c r="BL10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39.805976187406465</v>
      </c>
      <c r="BM101" s="272">
        <f>FMS_Ranking4[[#This Row],[ArcSinh Score Based on Normalized Reported Factors]]+FMS_Ranking4[[#This Row],[% NBS Score (Normalized)]]+(FMS_Ranking4[[#This Row],[Water Supply Score (Normalized)]]*10*$BB$5)+FMS_Ranking4[[#This Row],[FMS_Type Score Weighted]]</f>
        <v>40.305976187406465</v>
      </c>
      <c r="BN101" s="205">
        <f>_xlfn.RANK.EQ(FMS_Ranking4[[#This Row],[Total Score (with ArcSinh normalization of select criteria)]],FMS_Ranking4[Total Score (with ArcSinh normalization of select criteria)],0)</f>
        <v>92</v>
      </c>
      <c r="BO101" s="270" t="str">
        <f>_xlfn.XLOOKUP(FMS_Ranking4[[#This Row],[FMS ID]],FMS_Input[FMS_ID],FMS_Input[FMS_RANK_YEAR])</f>
        <v>2023 Amended Plan</v>
      </c>
      <c r="BP101" s="204">
        <f>_xlfn.XLOOKUP(FMS_Ranking4[[#This Row],[FMS ID]],Prev_Rank[FMS ID],Prev_Rank[Prev Rank])</f>
        <v>77</v>
      </c>
      <c r="BQ101" s="205" t="e">
        <f>_xlfn.XLOOKUP(FMS_Ranking4[[#This Row],[FMS ID]],#REF!,#REF!)</f>
        <v>#REF!</v>
      </c>
      <c r="BR101" s="199" t="e">
        <f>SUM(#REF!,#REF!,#REF!,#REF!,#REF!,#REF!,#REF!,#REF!,#REF!,FMS_Ranking4[[#This Row],[ArcSinh Res struct removed 0-10]],#REF!)</f>
        <v>#REF!</v>
      </c>
      <c r="BS101" s="199" t="e">
        <f>FMS_Ranking4[[#This Row],[Log Score Based on Normalized Reported Factors]]+FMS_Ranking4[[#This Row],[% NBS Score (Normalized)]]+(FMS_Ranking4[[#This Row],[Water Supply Score (Normalized)]]*10*$BB$5)+(FMS_Ranking4[[#This Row],[FMS_Type Score Weighted]])</f>
        <v>#REF!</v>
      </c>
      <c r="BT101" s="200" t="e">
        <f>_xlfn.RANK.EQ(FMS_Ranking4[[#This Row],[Log Total Score]],FMS_Ranking4[Log Total Score],0)</f>
        <v>#REF!</v>
      </c>
      <c r="BU101" s="200" t="e">
        <f>_xlfn.XLOOKUP(FMS_Ranking4[[#This Row],[FMS ID]],#REF!,#REF!)</f>
        <v>#REF!</v>
      </c>
      <c r="BV101" s="200">
        <f>FMS_Ranking4[[#This Row],[Region Number]]</f>
        <v>9</v>
      </c>
      <c r="BW101" s="200">
        <f>FMS_Ranking4[[#This Row],[Rank (with ArcSinh normalization of select criteria)]]-FMS_Ranking4[[#This Row],[Rank
(with linear
normalization)]]</f>
        <v>-533</v>
      </c>
      <c r="BX101" s="200" t="e">
        <f>FMS_Ranking4[[#This Row],[Log Rank]]-FMS_Ranking4[[#This Row],[Rank
(with linear
normalization)]]</f>
        <v>#REF!</v>
      </c>
      <c r="BY101" s="200" t="str">
        <f>IF(FMS_Ranking4[[#This Row],[FMS Type]]="Flood Measurement and Warning",FMS_Ranking4[[#This Row],[Rank (with ArcSinh normalization of select criteria)]],"")</f>
        <v/>
      </c>
      <c r="BZ101" s="200" t="str">
        <f>IF(FMS_Ranking4[[#This Row],[FMS Type]]="Regulatory and Guidance",FMS_Ranking4[[#This Row],[Rank (with ArcSinh normalization of select criteria)]],"")</f>
        <v/>
      </c>
      <c r="CA101" s="200" t="str">
        <f>IF(FMS_Ranking4[[#This Row],[FMS Type]]="Education and Outreach",FMS_Ranking4[[#This Row],[Rank (with ArcSinh normalization of select criteria)]],"")</f>
        <v/>
      </c>
      <c r="CB101" s="200" t="str">
        <f>IF(FMS_Ranking4[[#This Row],[FMS Type]]="Property Acquisition and Structural Elevation",FMS_Ranking4[[#This Row],[Rank (with ArcSinh normalization of select criteria)]],"")</f>
        <v/>
      </c>
      <c r="CC101" s="200" t="str">
        <f>IF(FMS_Ranking4[[#This Row],[FMS Type]]="Infrastructure Projects",FMS_Ranking4[[#This Row],[Rank (with ArcSinh normalization of select criteria)]],"")</f>
        <v/>
      </c>
      <c r="CD101" s="200">
        <f>IF(FMS_Ranking4[[#This Row],[FMS Type]]="Other",FMS_Ranking4[[#This Row],[Rank (with ArcSinh normalization of select criteria)]],"")</f>
        <v>92</v>
      </c>
      <c r="CE101" s="201"/>
    </row>
    <row r="102" spans="2:83" ht="45" x14ac:dyDescent="0.25">
      <c r="B102" s="341" t="s">
        <v>977</v>
      </c>
      <c r="C102" s="246">
        <f>_xlfn.XLOOKUP(FMS_Ranking4[[#This Row],[FMS ID]],FMS_Input[FMS_ID],FMS_Input[RFPG_NUM])</f>
        <v>9</v>
      </c>
      <c r="D102" s="309" t="str">
        <f>_xlfn.XLOOKUP(FMS_Ranking4[[#This Row],[FMS ID]],FMS_Input[FMS_ID],FMS_Input[FMS_NAME])</f>
        <v>Yoakum County DCM</v>
      </c>
      <c r="E102" s="308" t="str">
        <f>_xlfn.XLOOKUP(FMS_Ranking4[[#This Row],[FMS ID]],FMS_Input[FMS_ID],FMS_Input[SPONSOR])</f>
        <v>09000206</v>
      </c>
      <c r="F102" s="309" t="str">
        <f>_xlfn.XLOOKUP(FMS_Ranking4[[#This Row],[FMS ID]],Sponsor[FMS_ID],Sponsor[SPONSOR NAME])</f>
        <v>Yoakum</v>
      </c>
      <c r="G102" s="309" t="str">
        <f>_xlfn.XLOOKUP(FMS_Ranking4[[#This Row],[FMS ID]],FMS_Input[FMS_ID],FMS_Input[FMS_DESCR])</f>
        <v>Outreach Program: Discuss Stormwater Criteria Design Manual</v>
      </c>
      <c r="H102" s="248" t="str">
        <f>_xlfn.XLOOKUP(FMS_Ranking4[[#This Row],[FMS ID]],FMS_Input[FMS_ID],FMS_Input[FMS_TYPE])</f>
        <v>Other</v>
      </c>
      <c r="I102" s="249">
        <f>_xlfn.XLOOKUP(FMS_Ranking4[[#This Row],[FMS ID]],FMS_Input[FMS_ID],FMS_Input[NRNC_COST])</f>
        <v>75000</v>
      </c>
      <c r="J102" s="250">
        <f>_xlfn.XLOOKUP(FMS_Ranking4[[#This Row],[FMS ID]],FMS_Input[FMS_ID],FMS_Input[FMS_COST])</f>
        <v>100000</v>
      </c>
      <c r="K102" s="251" t="str">
        <f>_xlfn.XLOOKUP(FMS_Ranking4[[#This Row],[FMS ID]],FMS_Input[FMS_ID],FMS_Input[EMER_NEED])</f>
        <v>No</v>
      </c>
      <c r="L102" s="252">
        <f t="shared" si="1"/>
        <v>0</v>
      </c>
      <c r="M102" s="253">
        <f>_xlfn.XLOOKUP(FMS_Ranking4[[#This Row],[FMS ID]],FMS_Input[FMS_ID],FMS_Input[STRUCT_100])</f>
        <v>543</v>
      </c>
      <c r="N102" s="255">
        <f>(ASINH(FMS_Ranking4[[#This Row],[Structure at Risk Raw]]))*(10)/(ASINH(M$4))</f>
        <v>5.4953830800698107</v>
      </c>
      <c r="O102" s="256">
        <f>FMS_Ranking4[[#This Row],[Structures at risk, ArcSinh (0-10)]]*M$5*10</f>
        <v>5.4953830800698107</v>
      </c>
      <c r="P102" s="253">
        <f>_xlfn.XLOOKUP(FMS_Ranking4[[#This Row],[FMS ID]],FMS_Input[FMS_ID],FMS_Input[RES_STRUCT100])</f>
        <v>263</v>
      </c>
      <c r="Q102" s="257">
        <f>ASINH(FMS_Ranking4[[#This Row],[Res Structure Raw]])/Q$4*P$5*100</f>
        <v>0</v>
      </c>
      <c r="R102" s="253">
        <f>_xlfn.XLOOKUP(FMS_Ranking4[[#This Row],[FMS ID]],FMS_Input[FMS_ID],FMS_Input[POP100])</f>
        <v>799</v>
      </c>
      <c r="S102" s="259">
        <f>(ASINH(FMS_Ranking4[[#This Row],[Pop at Risk Raw]]))*(10)/(ASINH(R$4))</f>
        <v>5.0924332749922767</v>
      </c>
      <c r="T102" s="256">
        <f>FMS_Ranking4[[#This Row],[Population at risk, ArcSinh (0-10)]]*R$5*10</f>
        <v>5.0924332749922776</v>
      </c>
      <c r="U102" s="253">
        <f>_xlfn.XLOOKUP(FMS_Ranking4[[#This Row],[FMS ID]],FMS_Input[FMS_ID],FMS_Input[CRITFAC100])</f>
        <v>0</v>
      </c>
      <c r="V102" s="259">
        <f>(ASINH(FMS_Ranking4[[#This Row],[Critical Facilities Raw]]))*(10)/(ASINH(U$4))</f>
        <v>0</v>
      </c>
      <c r="W102" s="256">
        <f>FMS_Ranking4[[#This Row],[Critical facilities at risk, ArcSinh (0-10)]]*U$5*10</f>
        <v>0</v>
      </c>
      <c r="X102" s="253">
        <f>_xlfn.XLOOKUP(FMS_Ranking4[[#This Row],[FMS ID]],FMS_Input[FMS_ID],FMS_Input[LWC])</f>
        <v>2</v>
      </c>
      <c r="Y102" s="259">
        <f>(ASINH(FMS_Ranking4[[#This Row],[LWC Raw]]))*(10)/(ASINH(X$4))</f>
        <v>1.9557475158633808</v>
      </c>
      <c r="Z102" s="256">
        <f>FMS_Ranking4[[#This Row],[LWC, ArcSInh (0-10)]]*X$5*10</f>
        <v>1.9557475158633808</v>
      </c>
      <c r="AA102" s="253">
        <f>_xlfn.XLOOKUP(FMS_Ranking4[[#This Row],[FMS ID]],FMS_Input[FMS_ID],FMS_Input[ROADCLS])</f>
        <v>0</v>
      </c>
      <c r="AB102" s="255">
        <f>(ASINH(FMS_Ranking4[[#This Row],[Road Closures Raw]]))*(10)/(ASINH(AA$4))</f>
        <v>0</v>
      </c>
      <c r="AC102" s="256">
        <f>FMS_Ranking4[[#This Row],[Road closures, ArcSinh (0-10)]]*AA$5*10</f>
        <v>0</v>
      </c>
      <c r="AD102" s="253">
        <f>_xlfn.XLOOKUP(FMS_Ranking4[[#This Row],[FMS ID]],FMS_Input[FMS_ID],FMS_Input[ROAD_MILES100])</f>
        <v>292</v>
      </c>
      <c r="AE102" s="259">
        <f>(ASINH(FMS_Ranking4[[#This Row],[Road Miles Raw]]))*(10)/(ASINH(AD$4))</f>
        <v>6.7885650582754327</v>
      </c>
      <c r="AF102" s="256">
        <f>FMS_Ranking4[[#This Row],[Length of roads at risk, ArcSinh (0-10)]]*AD$5*10</f>
        <v>6.7885650582754327</v>
      </c>
      <c r="AG102" s="253">
        <f>_xlfn.XLOOKUP(FMS_Ranking4[[#This Row],[FMS ID]],FMS_Input[FMS_ID],FMS_Input[FARMACRE100])</f>
        <v>63670.59765625</v>
      </c>
      <c r="AH102" s="255">
        <f>(ASINH(FMS_Ranking4[[#This Row],[Ag Land Raw]]))*(10)/(ASINH(AG$4))</f>
        <v>7.6355867998488769</v>
      </c>
      <c r="AI102" s="260">
        <f>FMS_Ranking4[[#This Row],[Farm &amp; ranch land, ArcSinh (0-10)]]*AG$5*10</f>
        <v>3.8177933999244384</v>
      </c>
      <c r="AJ102" s="258">
        <f>_xlfn.XLOOKUP(FMS_Ranking4[[#This Row],[FMS ID]],FMS_Input[FMS_ID],FMS_Input[REDSTRUCT100])</f>
        <v>136</v>
      </c>
      <c r="AK102" s="253">
        <f>_xlfn.XLOOKUP(FMS_Ranking4[[#This Row],[FMS ID]],FMS_Input[FMS_ID],FMS_Input[REMSTRC100])</f>
        <v>136</v>
      </c>
      <c r="AL102" s="259">
        <f>(ASINH(FMS_Ranking4[[#This Row],[Structures Removed Raw]]))*(10)/(ASINH(AK$4))</f>
        <v>6.382621187275717</v>
      </c>
      <c r="AM102" s="262">
        <f>FMS_Ranking4[[#This Row],[Structures removed, ArcSinh (0-10)]]*AK$5*10</f>
        <v>6.3826211872757179</v>
      </c>
      <c r="AN102" s="253">
        <f>_xlfn.XLOOKUP(FMS_Ranking4[[#This Row],[FMS ID]],FMS_Input[FMS_ID],FMS_Input[REMRESSTRC100])</f>
        <v>65</v>
      </c>
      <c r="AO102" s="261">
        <f>FMS_Ranking4[[#This Row],[ArcSinh Res struct removed 0-10]]*AN$5*10</f>
        <v>2.8549724856963214</v>
      </c>
      <c r="AP102" s="260">
        <f>ASINH(FMS_Ranking4[[#This Row],[Residential Structures Removed Raw]])/AP$4*AN$5*100</f>
        <v>2.854972485696321</v>
      </c>
      <c r="AQ102" s="254">
        <f>(ASINH(FMS_Ranking4[[#This Row],[Residential Structures Removed Raw]]))*(10)/(ASINH(AN$4))</f>
        <v>5.7099449713926429</v>
      </c>
      <c r="AR102" s="253">
        <f>_xlfn.XLOOKUP(FMS_Ranking4[[#This Row],[FMS ID]],FMS_Input[FMS_ID],FMS_Input[REMPOP100])</f>
        <v>328</v>
      </c>
      <c r="AS102" s="259">
        <f>(ASINH(FMS_Ranking4[[#This Row],[Removed Pop Raw]]))*(10)/(ASINH(AR$4))</f>
        <v>6.36695030676192</v>
      </c>
      <c r="AT102" s="262">
        <f>FMS_Ranking4[[#This Row],[Removed population, ArcSinh (0-10)]]*AR$5*10</f>
        <v>6.36695030676192</v>
      </c>
      <c r="AU102" s="264">
        <f>_xlfn.XLOOKUP(FMS_Ranking4[[#This Row],[FMS ID]],FMS_Input[FMS_ID],FMS_Input[REMCRITFAC100])</f>
        <v>0</v>
      </c>
      <c r="AV102" s="264">
        <f>_xlfn.XLOOKUP(FMS_Ranking4[[#This Row],[FMS ID]],FMS_Input[FMS_ID],FMS_Input[REMLWC100])</f>
        <v>0</v>
      </c>
      <c r="AW102" s="264">
        <f>_xlfn.XLOOKUP(FMS_Ranking4[[#This Row],[FMS ID]],FMS_Input[FMS_ID],FMS_Input[REMROADCLS])</f>
        <v>0</v>
      </c>
      <c r="AX102" s="264">
        <f>_xlfn.XLOOKUP(FMS_Ranking4[[#This Row],[FMS ID]],FMS_Input[FMS_ID],FMS_Input[REMFRMACRE100])</f>
        <v>15917.6494140625</v>
      </c>
      <c r="AY102" s="258">
        <f>_xlfn.XLOOKUP(FMS_Ranking4[[#This Row],[FMS ID]],FMS_Input[FMS_ID],FMS_Input[COSTSTRUCT])</f>
        <v>25000</v>
      </c>
      <c r="AZ102" s="253">
        <f>_xlfn.XLOOKUP(FMS_Ranking4[[#This Row],[FMS ID]],FMS_Input[FMS_ID],FMS_Input[NATURE])</f>
        <v>0</v>
      </c>
      <c r="BA102" s="262">
        <f>(((FMS_Ranking4[[#This Row],[% NBS Raw]]/AZ$4)*100)*AZ$5)</f>
        <v>0</v>
      </c>
      <c r="BB102" s="251" t="str">
        <f>_xlfn.XLOOKUP(FMS_Ranking4[[#This Row],[FMS ID]],FMS_Input[FMS_ID],FMS_Input[WATER_SUP])</f>
        <v>No</v>
      </c>
      <c r="BC102" s="265">
        <f>IF(FMS_Ranking4[[#This Row],[Water Supply Raw]]="Yes",10,0)</f>
        <v>0</v>
      </c>
      <c r="BD102" s="266">
        <f>_xlfn.XLOOKUP(FMS_Ranking4[[#This Row],[FMS Type]],FMS_TYPE[FMS_Type],FMS_TYPE[Score])</f>
        <v>2</v>
      </c>
      <c r="BE102" s="267">
        <f>FMS_Ranking4[[#This Row],[FMS_Type Score]]*$BD$5*10</f>
        <v>0.5</v>
      </c>
      <c r="BF10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0.68808358823323101</v>
      </c>
      <c r="BG102" s="271">
        <f>_xlfn.RANK.EQ(BF102,$BF$8:$BF$870,0)+COUNTIF($BF$8:BF102,BF102)-1</f>
        <v>184</v>
      </c>
      <c r="BH102" s="268">
        <f>(((FMS_Ranking4[[#This Row],[Structures Removed Raw]]/AK$4)*100)*AK$5)+(((FMS_Ranking4[[#This Row],[Removed Pop Raw]]/AR$4)*100)*AR$5)</f>
        <v>0.66401933938454527</v>
      </c>
      <c r="BI10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1.8521029276177763</v>
      </c>
      <c r="BJ102" s="205">
        <f>_xlfn.RANK.EQ(FMS_Ranking4[[#This Row],[Total Score 
(with linear
normalization)]],FMS_Ranking4[Total Score 
(with linear
normalization)],0)</f>
        <v>532</v>
      </c>
      <c r="BK102" s="205" t="e">
        <f>_xlfn.XLOOKUP(FMS_Ranking4[[#This Row],[FMS ID]],#REF!,#REF!)</f>
        <v>#REF!</v>
      </c>
      <c r="BL10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38.7544663088593</v>
      </c>
      <c r="BM102" s="272">
        <f>FMS_Ranking4[[#This Row],[ArcSinh Score Based on Normalized Reported Factors]]+FMS_Ranking4[[#This Row],[% NBS Score (Normalized)]]+(FMS_Ranking4[[#This Row],[Water Supply Score (Normalized)]]*10*$BB$5)+FMS_Ranking4[[#This Row],[FMS_Type Score Weighted]]</f>
        <v>39.2544663088593</v>
      </c>
      <c r="BN102" s="205">
        <f>_xlfn.RANK.EQ(FMS_Ranking4[[#This Row],[Total Score (with ArcSinh normalization of select criteria)]],FMS_Ranking4[Total Score (with ArcSinh normalization of select criteria)],0)</f>
        <v>95</v>
      </c>
      <c r="BO102" s="270" t="str">
        <f>_xlfn.XLOOKUP(FMS_Ranking4[[#This Row],[FMS ID]],FMS_Input[FMS_ID],FMS_Input[FMS_RANK_YEAR])</f>
        <v>2023 Amended Plan</v>
      </c>
      <c r="BP102" s="204">
        <f>_xlfn.XLOOKUP(FMS_Ranking4[[#This Row],[FMS ID]],Prev_Rank[FMS ID],Prev_Rank[Prev Rank])</f>
        <v>84</v>
      </c>
      <c r="BQ102" s="205" t="e">
        <f>_xlfn.XLOOKUP(FMS_Ranking4[[#This Row],[FMS ID]],#REF!,#REF!)</f>
        <v>#REF!</v>
      </c>
      <c r="BR102" s="199" t="e">
        <f>SUM(#REF!,#REF!,#REF!,#REF!,#REF!,#REF!,#REF!,#REF!,#REF!,FMS_Ranking4[[#This Row],[ArcSinh Res struct removed 0-10]],#REF!)</f>
        <v>#REF!</v>
      </c>
      <c r="BS102" s="199" t="e">
        <f>FMS_Ranking4[[#This Row],[Log Score Based on Normalized Reported Factors]]+FMS_Ranking4[[#This Row],[% NBS Score (Normalized)]]+(FMS_Ranking4[[#This Row],[Water Supply Score (Normalized)]]*10*$BB$5)+(FMS_Ranking4[[#This Row],[FMS_Type Score Weighted]])</f>
        <v>#REF!</v>
      </c>
      <c r="BT102" s="200" t="e">
        <f>_xlfn.RANK.EQ(FMS_Ranking4[[#This Row],[Log Total Score]],FMS_Ranking4[Log Total Score],0)</f>
        <v>#REF!</v>
      </c>
      <c r="BU102" s="200" t="e">
        <f>_xlfn.XLOOKUP(FMS_Ranking4[[#This Row],[FMS ID]],#REF!,#REF!)</f>
        <v>#REF!</v>
      </c>
      <c r="BV102" s="200">
        <f>FMS_Ranking4[[#This Row],[Region Number]]</f>
        <v>9</v>
      </c>
      <c r="BW102" s="200">
        <f>FMS_Ranking4[[#This Row],[Rank (with ArcSinh normalization of select criteria)]]-FMS_Ranking4[[#This Row],[Rank
(with linear
normalization)]]</f>
        <v>-437</v>
      </c>
      <c r="BX102" s="200" t="e">
        <f>FMS_Ranking4[[#This Row],[Log Rank]]-FMS_Ranking4[[#This Row],[Rank
(with linear
normalization)]]</f>
        <v>#REF!</v>
      </c>
      <c r="BY102" s="200" t="str">
        <f>IF(FMS_Ranking4[[#This Row],[FMS Type]]="Flood Measurement and Warning",FMS_Ranking4[[#This Row],[Rank (with ArcSinh normalization of select criteria)]],"")</f>
        <v/>
      </c>
      <c r="BZ102" s="200" t="str">
        <f>IF(FMS_Ranking4[[#This Row],[FMS Type]]="Regulatory and Guidance",FMS_Ranking4[[#This Row],[Rank (with ArcSinh normalization of select criteria)]],"")</f>
        <v/>
      </c>
      <c r="CA102" s="200" t="str">
        <f>IF(FMS_Ranking4[[#This Row],[FMS Type]]="Education and Outreach",FMS_Ranking4[[#This Row],[Rank (with ArcSinh normalization of select criteria)]],"")</f>
        <v/>
      </c>
      <c r="CB102" s="200" t="str">
        <f>IF(FMS_Ranking4[[#This Row],[FMS Type]]="Property Acquisition and Structural Elevation",FMS_Ranking4[[#This Row],[Rank (with ArcSinh normalization of select criteria)]],"")</f>
        <v/>
      </c>
      <c r="CC102" s="200" t="str">
        <f>IF(FMS_Ranking4[[#This Row],[FMS Type]]="Infrastructure Projects",FMS_Ranking4[[#This Row],[Rank (with ArcSinh normalization of select criteria)]],"")</f>
        <v/>
      </c>
      <c r="CD102" s="200">
        <f>IF(FMS_Ranking4[[#This Row],[FMS Type]]="Other",FMS_Ranking4[[#This Row],[Rank (with ArcSinh normalization of select criteria)]],"")</f>
        <v>95</v>
      </c>
      <c r="CE102" s="201"/>
    </row>
    <row r="103" spans="2:83" ht="30" x14ac:dyDescent="0.25">
      <c r="B103" s="341" t="s">
        <v>617</v>
      </c>
      <c r="C103" s="246">
        <f>_xlfn.XLOOKUP(FMS_Ranking4[[#This Row],[FMS ID]],FMS_Input[FMS_ID],FMS_Input[RFPG_NUM])</f>
        <v>9</v>
      </c>
      <c r="D103" s="309" t="str">
        <f>_xlfn.XLOOKUP(FMS_Ranking4[[#This Row],[FMS ID]],FMS_Input[FMS_ID],FMS_Input[FMS_NAME])</f>
        <v>Yoakum County NFIP Application</v>
      </c>
      <c r="E103" s="308" t="str">
        <f>_xlfn.XLOOKUP(FMS_Ranking4[[#This Row],[FMS ID]],FMS_Input[FMS_ID],FMS_Input[SPONSOR])</f>
        <v>09000118</v>
      </c>
      <c r="F103" s="309" t="str">
        <f>_xlfn.XLOOKUP(FMS_Ranking4[[#This Row],[FMS ID]],Sponsor[FMS_ID],Sponsor[SPONSOR NAME])</f>
        <v>Gaines</v>
      </c>
      <c r="G103" s="309" t="str">
        <f>_xlfn.XLOOKUP(FMS_Ranking4[[#This Row],[FMS ID]],FMS_Input[FMS_ID],FMS_Input[FMS_DESCR])</f>
        <v>Application to join NFIP.</v>
      </c>
      <c r="H103" s="248" t="str">
        <f>_xlfn.XLOOKUP(FMS_Ranking4[[#This Row],[FMS ID]],FMS_Input[FMS_ID],FMS_Input[FMS_TYPE])</f>
        <v>Other</v>
      </c>
      <c r="I103" s="249">
        <f>_xlfn.XLOOKUP(FMS_Ranking4[[#This Row],[FMS ID]],FMS_Input[FMS_ID],FMS_Input[NRNC_COST])</f>
        <v>5000</v>
      </c>
      <c r="J103" s="250">
        <f>_xlfn.XLOOKUP(FMS_Ranking4[[#This Row],[FMS ID]],FMS_Input[FMS_ID],FMS_Input[FMS_COST])</f>
        <v>30000</v>
      </c>
      <c r="K103" s="251" t="str">
        <f>_xlfn.XLOOKUP(FMS_Ranking4[[#This Row],[FMS ID]],FMS_Input[FMS_ID],FMS_Input[EMER_NEED])</f>
        <v>No</v>
      </c>
      <c r="L103" s="252">
        <f t="shared" si="1"/>
        <v>0</v>
      </c>
      <c r="M103" s="253">
        <f>_xlfn.XLOOKUP(FMS_Ranking4[[#This Row],[FMS ID]],FMS_Input[FMS_ID],FMS_Input[STRUCT_100])</f>
        <v>543</v>
      </c>
      <c r="N103" s="255">
        <f>(ASINH(FMS_Ranking4[[#This Row],[Structure at Risk Raw]]))*(10)/(ASINH(M$4))</f>
        <v>5.4953830800698107</v>
      </c>
      <c r="O103" s="256">
        <f>FMS_Ranking4[[#This Row],[Structures at risk, ArcSinh (0-10)]]*M$5*10</f>
        <v>5.4953830800698107</v>
      </c>
      <c r="P103" s="253">
        <f>_xlfn.XLOOKUP(FMS_Ranking4[[#This Row],[FMS ID]],FMS_Input[FMS_ID],FMS_Input[RES_STRUCT100])</f>
        <v>263</v>
      </c>
      <c r="Q103" s="257">
        <f>ASINH(FMS_Ranking4[[#This Row],[Res Structure Raw]])/Q$4*P$5*100</f>
        <v>0</v>
      </c>
      <c r="R103" s="253">
        <f>_xlfn.XLOOKUP(FMS_Ranking4[[#This Row],[FMS ID]],FMS_Input[FMS_ID],FMS_Input[POP100])</f>
        <v>799</v>
      </c>
      <c r="S103" s="259">
        <f>(ASINH(FMS_Ranking4[[#This Row],[Pop at Risk Raw]]))*(10)/(ASINH(R$4))</f>
        <v>5.0924332749922767</v>
      </c>
      <c r="T103" s="256">
        <f>FMS_Ranking4[[#This Row],[Population at risk, ArcSinh (0-10)]]*R$5*10</f>
        <v>5.0924332749922776</v>
      </c>
      <c r="U103" s="253">
        <f>_xlfn.XLOOKUP(FMS_Ranking4[[#This Row],[FMS ID]],FMS_Input[FMS_ID],FMS_Input[CRITFAC100])</f>
        <v>0</v>
      </c>
      <c r="V103" s="259">
        <f>(ASINH(FMS_Ranking4[[#This Row],[Critical Facilities Raw]]))*(10)/(ASINH(U$4))</f>
        <v>0</v>
      </c>
      <c r="W103" s="256">
        <f>FMS_Ranking4[[#This Row],[Critical facilities at risk, ArcSinh (0-10)]]*U$5*10</f>
        <v>0</v>
      </c>
      <c r="X103" s="253">
        <f>_xlfn.XLOOKUP(FMS_Ranking4[[#This Row],[FMS ID]],FMS_Input[FMS_ID],FMS_Input[LWC])</f>
        <v>2</v>
      </c>
      <c r="Y103" s="259">
        <f>(ASINH(FMS_Ranking4[[#This Row],[LWC Raw]]))*(10)/(ASINH(X$4))</f>
        <v>1.9557475158633808</v>
      </c>
      <c r="Z103" s="256">
        <f>FMS_Ranking4[[#This Row],[LWC, ArcSInh (0-10)]]*X$5*10</f>
        <v>1.9557475158633808</v>
      </c>
      <c r="AA103" s="253">
        <f>_xlfn.XLOOKUP(FMS_Ranking4[[#This Row],[FMS ID]],FMS_Input[FMS_ID],FMS_Input[ROADCLS])</f>
        <v>0</v>
      </c>
      <c r="AB103" s="255">
        <f>(ASINH(FMS_Ranking4[[#This Row],[Road Closures Raw]]))*(10)/(ASINH(AA$4))</f>
        <v>0</v>
      </c>
      <c r="AC103" s="256">
        <f>FMS_Ranking4[[#This Row],[Road closures, ArcSinh (0-10)]]*AA$5*10</f>
        <v>0</v>
      </c>
      <c r="AD103" s="253">
        <f>_xlfn.XLOOKUP(FMS_Ranking4[[#This Row],[FMS ID]],FMS_Input[FMS_ID],FMS_Input[ROAD_MILES100])</f>
        <v>292</v>
      </c>
      <c r="AE103" s="259">
        <f>(ASINH(FMS_Ranking4[[#This Row],[Road Miles Raw]]))*(10)/(ASINH(AD$4))</f>
        <v>6.7885650582754327</v>
      </c>
      <c r="AF103" s="256">
        <f>FMS_Ranking4[[#This Row],[Length of roads at risk, ArcSinh (0-10)]]*AD$5*10</f>
        <v>6.7885650582754327</v>
      </c>
      <c r="AG103" s="253">
        <f>_xlfn.XLOOKUP(FMS_Ranking4[[#This Row],[FMS ID]],FMS_Input[FMS_ID],FMS_Input[FARMACRE100])</f>
        <v>63670.59765625</v>
      </c>
      <c r="AH103" s="255">
        <f>(ASINH(FMS_Ranking4[[#This Row],[Ag Land Raw]]))*(10)/(ASINH(AG$4))</f>
        <v>7.6355867998488769</v>
      </c>
      <c r="AI103" s="260">
        <f>FMS_Ranking4[[#This Row],[Farm &amp; ranch land, ArcSinh (0-10)]]*AG$5*10</f>
        <v>3.8177933999244384</v>
      </c>
      <c r="AJ103" s="258">
        <f>_xlfn.XLOOKUP(FMS_Ranking4[[#This Row],[FMS ID]],FMS_Input[FMS_ID],FMS_Input[REDSTRUCT100])</f>
        <v>136</v>
      </c>
      <c r="AK103" s="253">
        <f>_xlfn.XLOOKUP(FMS_Ranking4[[#This Row],[FMS ID]],FMS_Input[FMS_ID],FMS_Input[REMSTRC100])</f>
        <v>136</v>
      </c>
      <c r="AL103" s="259">
        <f>(ASINH(FMS_Ranking4[[#This Row],[Structures Removed Raw]]))*(10)/(ASINH(AK$4))</f>
        <v>6.382621187275717</v>
      </c>
      <c r="AM103" s="262">
        <f>FMS_Ranking4[[#This Row],[Structures removed, ArcSinh (0-10)]]*AK$5*10</f>
        <v>6.3826211872757179</v>
      </c>
      <c r="AN103" s="253">
        <f>_xlfn.XLOOKUP(FMS_Ranking4[[#This Row],[FMS ID]],FMS_Input[FMS_ID],FMS_Input[REMRESSTRC100])</f>
        <v>65</v>
      </c>
      <c r="AO103" s="261">
        <f>FMS_Ranking4[[#This Row],[ArcSinh Res struct removed 0-10]]*AN$5*10</f>
        <v>2.8549724856963214</v>
      </c>
      <c r="AP103" s="260">
        <f>ASINH(FMS_Ranking4[[#This Row],[Residential Structures Removed Raw]])/AP$4*AN$5*100</f>
        <v>2.854972485696321</v>
      </c>
      <c r="AQ103" s="254">
        <f>(ASINH(FMS_Ranking4[[#This Row],[Residential Structures Removed Raw]]))*(10)/(ASINH(AN$4))</f>
        <v>5.7099449713926429</v>
      </c>
      <c r="AR103" s="253">
        <f>_xlfn.XLOOKUP(FMS_Ranking4[[#This Row],[FMS ID]],FMS_Input[FMS_ID],FMS_Input[REMPOP100])</f>
        <v>328</v>
      </c>
      <c r="AS103" s="259">
        <f>(ASINH(FMS_Ranking4[[#This Row],[Removed Pop Raw]]))*(10)/(ASINH(AR$4))</f>
        <v>6.36695030676192</v>
      </c>
      <c r="AT103" s="262">
        <f>FMS_Ranking4[[#This Row],[Removed population, ArcSinh (0-10)]]*AR$5*10</f>
        <v>6.36695030676192</v>
      </c>
      <c r="AU103" s="264">
        <f>_xlfn.XLOOKUP(FMS_Ranking4[[#This Row],[FMS ID]],FMS_Input[FMS_ID],FMS_Input[REMCRITFAC100])</f>
        <v>0</v>
      </c>
      <c r="AV103" s="264">
        <f>_xlfn.XLOOKUP(FMS_Ranking4[[#This Row],[FMS ID]],FMS_Input[FMS_ID],FMS_Input[REMLWC100])</f>
        <v>0</v>
      </c>
      <c r="AW103" s="264">
        <f>_xlfn.XLOOKUP(FMS_Ranking4[[#This Row],[FMS ID]],FMS_Input[FMS_ID],FMS_Input[REMROADCLS])</f>
        <v>0</v>
      </c>
      <c r="AX103" s="264">
        <f>_xlfn.XLOOKUP(FMS_Ranking4[[#This Row],[FMS ID]],FMS_Input[FMS_ID],FMS_Input[REMFRMACRE100])</f>
        <v>15917.6494140625</v>
      </c>
      <c r="AY103" s="258">
        <f>_xlfn.XLOOKUP(FMS_Ranking4[[#This Row],[FMS ID]],FMS_Input[FMS_ID],FMS_Input[COSTSTRUCT])</f>
        <v>25000</v>
      </c>
      <c r="AZ103" s="253">
        <f>_xlfn.XLOOKUP(FMS_Ranking4[[#This Row],[FMS ID]],FMS_Input[FMS_ID],FMS_Input[NATURE])</f>
        <v>0</v>
      </c>
      <c r="BA103" s="262">
        <f>(((FMS_Ranking4[[#This Row],[% NBS Raw]]/AZ$4)*100)*AZ$5)</f>
        <v>0</v>
      </c>
      <c r="BB103" s="251" t="str">
        <f>_xlfn.XLOOKUP(FMS_Ranking4[[#This Row],[FMS ID]],FMS_Input[FMS_ID],FMS_Input[WATER_SUP])</f>
        <v>No</v>
      </c>
      <c r="BC103" s="265">
        <f>IF(FMS_Ranking4[[#This Row],[Water Supply Raw]]="Yes",10,0)</f>
        <v>0</v>
      </c>
      <c r="BD103" s="266">
        <f>_xlfn.XLOOKUP(FMS_Ranking4[[#This Row],[FMS Type]],FMS_TYPE[FMS_Type],FMS_TYPE[Score])</f>
        <v>2</v>
      </c>
      <c r="BE103" s="267">
        <f>FMS_Ranking4[[#This Row],[FMS_Type Score]]*$BD$5*10</f>
        <v>0.5</v>
      </c>
      <c r="BF10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0.68808358823323101</v>
      </c>
      <c r="BG103" s="271">
        <f>_xlfn.RANK.EQ(BF103,$BF$8:$BF$870,0)+COUNTIF($BF$8:BF103,BF103)-1</f>
        <v>185</v>
      </c>
      <c r="BH103" s="268">
        <f>(((FMS_Ranking4[[#This Row],[Structures Removed Raw]]/AK$4)*100)*AK$5)+(((FMS_Ranking4[[#This Row],[Removed Pop Raw]]/AR$4)*100)*AR$5)</f>
        <v>0.66401933938454527</v>
      </c>
      <c r="BI10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1.8521029276177763</v>
      </c>
      <c r="BJ103" s="205">
        <f>_xlfn.RANK.EQ(FMS_Ranking4[[#This Row],[Total Score 
(with linear
normalization)]],FMS_Ranking4[Total Score 
(with linear
normalization)],0)</f>
        <v>532</v>
      </c>
      <c r="BK103" s="205" t="e">
        <f>_xlfn.XLOOKUP(FMS_Ranking4[[#This Row],[FMS ID]],#REF!,#REF!)</f>
        <v>#REF!</v>
      </c>
      <c r="BL10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38.7544663088593</v>
      </c>
      <c r="BM103" s="272">
        <f>FMS_Ranking4[[#This Row],[ArcSinh Score Based on Normalized Reported Factors]]+FMS_Ranking4[[#This Row],[% NBS Score (Normalized)]]+(FMS_Ranking4[[#This Row],[Water Supply Score (Normalized)]]*10*$BB$5)+FMS_Ranking4[[#This Row],[FMS_Type Score Weighted]]</f>
        <v>39.2544663088593</v>
      </c>
      <c r="BN103" s="205">
        <f>_xlfn.RANK.EQ(FMS_Ranking4[[#This Row],[Total Score (with ArcSinh normalization of select criteria)]],FMS_Ranking4[Total Score (with ArcSinh normalization of select criteria)],0)</f>
        <v>95</v>
      </c>
      <c r="BO103" s="270" t="str">
        <f>_xlfn.XLOOKUP(FMS_Ranking4[[#This Row],[FMS ID]],FMS_Input[FMS_ID],FMS_Input[FMS_RANK_YEAR])</f>
        <v>2023 Amended Plan</v>
      </c>
      <c r="BP103" s="204">
        <f>_xlfn.XLOOKUP(FMS_Ranking4[[#This Row],[FMS ID]],Prev_Rank[FMS ID],Prev_Rank[Prev Rank])</f>
        <v>84</v>
      </c>
      <c r="BQ103" s="205" t="e">
        <f>_xlfn.XLOOKUP(FMS_Ranking4[[#This Row],[FMS ID]],#REF!,#REF!)</f>
        <v>#REF!</v>
      </c>
      <c r="BR103" s="199" t="e">
        <f>SUM(#REF!,#REF!,#REF!,#REF!,#REF!,#REF!,#REF!,#REF!,#REF!,FMS_Ranking4[[#This Row],[ArcSinh Res struct removed 0-10]],#REF!)</f>
        <v>#REF!</v>
      </c>
      <c r="BS103" s="199" t="e">
        <f>FMS_Ranking4[[#This Row],[Log Score Based on Normalized Reported Factors]]+FMS_Ranking4[[#This Row],[% NBS Score (Normalized)]]+(FMS_Ranking4[[#This Row],[Water Supply Score (Normalized)]]*10*$BB$5)+(FMS_Ranking4[[#This Row],[FMS_Type Score Weighted]])</f>
        <v>#REF!</v>
      </c>
      <c r="BT103" s="200" t="e">
        <f>_xlfn.RANK.EQ(FMS_Ranking4[[#This Row],[Log Total Score]],FMS_Ranking4[Log Total Score],0)</f>
        <v>#REF!</v>
      </c>
      <c r="BU103" s="200" t="e">
        <f>_xlfn.XLOOKUP(FMS_Ranking4[[#This Row],[FMS ID]],#REF!,#REF!)</f>
        <v>#REF!</v>
      </c>
      <c r="BV103" s="200">
        <f>FMS_Ranking4[[#This Row],[Region Number]]</f>
        <v>9</v>
      </c>
      <c r="BW103" s="200">
        <f>FMS_Ranking4[[#This Row],[Rank (with ArcSinh normalization of select criteria)]]-FMS_Ranking4[[#This Row],[Rank
(with linear
normalization)]]</f>
        <v>-437</v>
      </c>
      <c r="BX103" s="200" t="e">
        <f>FMS_Ranking4[[#This Row],[Log Rank]]-FMS_Ranking4[[#This Row],[Rank
(with linear
normalization)]]</f>
        <v>#REF!</v>
      </c>
      <c r="BY103" s="200" t="str">
        <f>IF(FMS_Ranking4[[#This Row],[FMS Type]]="Flood Measurement and Warning",FMS_Ranking4[[#This Row],[Rank (with ArcSinh normalization of select criteria)]],"")</f>
        <v/>
      </c>
      <c r="BZ103" s="200" t="str">
        <f>IF(FMS_Ranking4[[#This Row],[FMS Type]]="Regulatory and Guidance",FMS_Ranking4[[#This Row],[Rank (with ArcSinh normalization of select criteria)]],"")</f>
        <v/>
      </c>
      <c r="CA103" s="200" t="str">
        <f>IF(FMS_Ranking4[[#This Row],[FMS Type]]="Education and Outreach",FMS_Ranking4[[#This Row],[Rank (with ArcSinh normalization of select criteria)]],"")</f>
        <v/>
      </c>
      <c r="CB103" s="200" t="str">
        <f>IF(FMS_Ranking4[[#This Row],[FMS Type]]="Property Acquisition and Structural Elevation",FMS_Ranking4[[#This Row],[Rank (with ArcSinh normalization of select criteria)]],"")</f>
        <v/>
      </c>
      <c r="CC103" s="200" t="str">
        <f>IF(FMS_Ranking4[[#This Row],[FMS Type]]="Infrastructure Projects",FMS_Ranking4[[#This Row],[Rank (with ArcSinh normalization of select criteria)]],"")</f>
        <v/>
      </c>
      <c r="CD103" s="200">
        <f>IF(FMS_Ranking4[[#This Row],[FMS Type]]="Other",FMS_Ranking4[[#This Row],[Rank (with ArcSinh normalization of select criteria)]],"")</f>
        <v>95</v>
      </c>
      <c r="CE103" s="201"/>
    </row>
    <row r="104" spans="2:83" ht="45" x14ac:dyDescent="0.25">
      <c r="B104" s="341" t="s">
        <v>570</v>
      </c>
      <c r="C104" s="246">
        <f>_xlfn.XLOOKUP(FMS_Ranking4[[#This Row],[FMS ID]],FMS_Input[FMS_ID],FMS_Input[RFPG_NUM])</f>
        <v>9</v>
      </c>
      <c r="D104" s="309" t="str">
        <f>_xlfn.XLOOKUP(FMS_Ranking4[[#This Row],[FMS ID]],FMS_Input[FMS_ID],FMS_Input[FMS_NAME])</f>
        <v>Dawson County DCM</v>
      </c>
      <c r="E104" s="308" t="str">
        <f>_xlfn.XLOOKUP(FMS_Ranking4[[#This Row],[FMS ID]],FMS_Input[FMS_ID],FMS_Input[SPONSOR])</f>
        <v>00000115</v>
      </c>
      <c r="F104" s="309" t="str">
        <f>_xlfn.XLOOKUP(FMS_Ranking4[[#This Row],[FMS ID]],Sponsor[FMS_ID],Sponsor[SPONSOR NAME])</f>
        <v>Borden</v>
      </c>
      <c r="G104" s="309" t="str">
        <f>_xlfn.XLOOKUP(FMS_Ranking4[[#This Row],[FMS ID]],FMS_Input[FMS_ID],FMS_Input[FMS_DESCR])</f>
        <v>Outreach Program: Discuss Stormwater Criteria Design Manual</v>
      </c>
      <c r="H104" s="248" t="str">
        <f>_xlfn.XLOOKUP(FMS_Ranking4[[#This Row],[FMS ID]],FMS_Input[FMS_ID],FMS_Input[FMS_TYPE])</f>
        <v>Other</v>
      </c>
      <c r="I104" s="249">
        <f>_xlfn.XLOOKUP(FMS_Ranking4[[#This Row],[FMS ID]],FMS_Input[FMS_ID],FMS_Input[NRNC_COST])</f>
        <v>75000</v>
      </c>
      <c r="J104" s="250">
        <f>_xlfn.XLOOKUP(FMS_Ranking4[[#This Row],[FMS ID]],FMS_Input[FMS_ID],FMS_Input[FMS_COST])</f>
        <v>100000</v>
      </c>
      <c r="K104" s="251" t="str">
        <f>_xlfn.XLOOKUP(FMS_Ranking4[[#This Row],[FMS ID]],FMS_Input[FMS_ID],FMS_Input[EMER_NEED])</f>
        <v>No</v>
      </c>
      <c r="L104" s="252">
        <f t="shared" si="1"/>
        <v>0</v>
      </c>
      <c r="M104" s="253">
        <f>_xlfn.XLOOKUP(FMS_Ranking4[[#This Row],[FMS ID]],FMS_Input[FMS_ID],FMS_Input[STRUCT_100])</f>
        <v>474</v>
      </c>
      <c r="N104" s="255">
        <f>(ASINH(FMS_Ranking4[[#This Row],[Structure at Risk Raw]]))*(10)/(ASINH(M$4))</f>
        <v>5.3885440827116913</v>
      </c>
      <c r="O104" s="256">
        <f>FMS_Ranking4[[#This Row],[Structures at risk, ArcSinh (0-10)]]*M$5*10</f>
        <v>5.3885440827116913</v>
      </c>
      <c r="P104" s="253">
        <f>_xlfn.XLOOKUP(FMS_Ranking4[[#This Row],[FMS ID]],FMS_Input[FMS_ID],FMS_Input[RES_STRUCT100])</f>
        <v>9</v>
      </c>
      <c r="Q104" s="257">
        <f>ASINH(FMS_Ranking4[[#This Row],[Res Structure Raw]])/Q$4*P$5*100</f>
        <v>0</v>
      </c>
      <c r="R104" s="253">
        <f>_xlfn.XLOOKUP(FMS_Ranking4[[#This Row],[FMS ID]],FMS_Input[FMS_ID],FMS_Input[POP100])</f>
        <v>710</v>
      </c>
      <c r="S104" s="255">
        <f>(ASINH(FMS_Ranking4[[#This Row],[Pop at Risk Raw]]))*(10)/(ASINH(R$4))</f>
        <v>5.0109048196667754</v>
      </c>
      <c r="T104" s="256">
        <f>FMS_Ranking4[[#This Row],[Population at risk, ArcSinh (0-10)]]*R$5*10</f>
        <v>5.0109048196667763</v>
      </c>
      <c r="U104" s="253">
        <f>_xlfn.XLOOKUP(FMS_Ranking4[[#This Row],[FMS ID]],FMS_Input[FMS_ID],FMS_Input[CRITFAC100])</f>
        <v>0</v>
      </c>
      <c r="V104" s="255">
        <f>(ASINH(FMS_Ranking4[[#This Row],[Critical Facilities Raw]]))*(10)/(ASINH(U$4))</f>
        <v>0</v>
      </c>
      <c r="W104" s="256">
        <f>FMS_Ranking4[[#This Row],[Critical facilities at risk, ArcSinh (0-10)]]*U$5*10</f>
        <v>0</v>
      </c>
      <c r="X104" s="253">
        <f>_xlfn.XLOOKUP(FMS_Ranking4[[#This Row],[FMS ID]],FMS_Input[FMS_ID],FMS_Input[LWC])</f>
        <v>9</v>
      </c>
      <c r="Y104" s="255">
        <f>(ASINH(FMS_Ranking4[[#This Row],[LWC Raw]]))*(10)/(ASINH(X$4))</f>
        <v>3.919857876161724</v>
      </c>
      <c r="Z104" s="256">
        <f>FMS_Ranking4[[#This Row],[LWC, ArcSInh (0-10)]]*X$5*10</f>
        <v>3.919857876161724</v>
      </c>
      <c r="AA104" s="253">
        <f>_xlfn.XLOOKUP(FMS_Ranking4[[#This Row],[FMS ID]],FMS_Input[FMS_ID],FMS_Input[ROADCLS])</f>
        <v>0</v>
      </c>
      <c r="AB104" s="255">
        <f>(ASINH(FMS_Ranking4[[#This Row],[Road Closures Raw]]))*(10)/(ASINH(AA$4))</f>
        <v>0</v>
      </c>
      <c r="AC104" s="256">
        <f>FMS_Ranking4[[#This Row],[Road closures, ArcSinh (0-10)]]*AA$5*10</f>
        <v>0</v>
      </c>
      <c r="AD104" s="253">
        <f>_xlfn.XLOOKUP(FMS_Ranking4[[#This Row],[FMS ID]],FMS_Input[FMS_ID],FMS_Input[ROAD_MILES100])</f>
        <v>538</v>
      </c>
      <c r="AE104" s="255">
        <f>(ASINH(FMS_Ranking4[[#This Row],[Road Miles Raw]]))*(10)/(ASINH(AD$4))</f>
        <v>7.4398323961820081</v>
      </c>
      <c r="AF104" s="256">
        <f>FMS_Ranking4[[#This Row],[Length of roads at risk, ArcSinh (0-10)]]*AD$5*10</f>
        <v>7.439832396182009</v>
      </c>
      <c r="AG104" s="253">
        <f>_xlfn.XLOOKUP(FMS_Ranking4[[#This Row],[FMS ID]],FMS_Input[FMS_ID],FMS_Input[FARMACRE100])</f>
        <v>76212.7265625</v>
      </c>
      <c r="AH104" s="255">
        <f>(ASINH(FMS_Ranking4[[#This Row],[Ag Land Raw]]))*(10)/(ASINH(AG$4))</f>
        <v>7.7523851747880581</v>
      </c>
      <c r="AI104" s="260">
        <f>FMS_Ranking4[[#This Row],[Farm &amp; ranch land, ArcSinh (0-10)]]*AG$5*10</f>
        <v>3.8761925873940295</v>
      </c>
      <c r="AJ104" s="258">
        <f>_xlfn.XLOOKUP(FMS_Ranking4[[#This Row],[FMS ID]],FMS_Input[FMS_ID],FMS_Input[REDSTRUCT100])</f>
        <v>119</v>
      </c>
      <c r="AK104" s="253">
        <f>_xlfn.XLOOKUP(FMS_Ranking4[[#This Row],[FMS ID]],FMS_Input[FMS_ID],FMS_Input[REMSTRC100])</f>
        <v>119</v>
      </c>
      <c r="AL104" s="255">
        <f>(ASINH(FMS_Ranking4[[#This Row],[Structures Removed Raw]]))*(10)/(ASINH(AK$4))</f>
        <v>6.2305908760466613</v>
      </c>
      <c r="AM104" s="262">
        <f>FMS_Ranking4[[#This Row],[Structures removed, ArcSinh (0-10)]]*AK$5*10</f>
        <v>6.2305908760466622</v>
      </c>
      <c r="AN104" s="253">
        <f>_xlfn.XLOOKUP(FMS_Ranking4[[#This Row],[FMS ID]],FMS_Input[FMS_ID],FMS_Input[REMRESSTRC100])</f>
        <v>2</v>
      </c>
      <c r="AO104" s="261">
        <f>FMS_Ranking4[[#This Row],[ArcSinh Res struct removed 0-10]]*AN$5*10</f>
        <v>0.84673041454896381</v>
      </c>
      <c r="AP104" s="260">
        <f>ASINH(FMS_Ranking4[[#This Row],[Residential Structures Removed Raw]])/AP$4*AN$5*100</f>
        <v>0.84673041454896381</v>
      </c>
      <c r="AQ104" s="258">
        <f>(ASINH(FMS_Ranking4[[#This Row],[Residential Structures Removed Raw]]))*(10)/(ASINH(AN$4))</f>
        <v>1.6934608290979274</v>
      </c>
      <c r="AR104" s="253">
        <f>_xlfn.XLOOKUP(FMS_Ranking4[[#This Row],[FMS ID]],FMS_Input[FMS_ID],FMS_Input[REMPOP100])</f>
        <v>205</v>
      </c>
      <c r="AS104" s="255">
        <f>(ASINH(FMS_Ranking4[[#This Row],[Removed Pop Raw]]))*(10)/(ASINH(AR$4))</f>
        <v>5.9055886945071485</v>
      </c>
      <c r="AT104" s="262">
        <f>FMS_Ranking4[[#This Row],[Removed population, ArcSinh (0-10)]]*AR$5*10</f>
        <v>5.9055886945071485</v>
      </c>
      <c r="AU104" s="264">
        <f>_xlfn.XLOOKUP(FMS_Ranking4[[#This Row],[FMS ID]],FMS_Input[FMS_ID],FMS_Input[REMCRITFAC100])</f>
        <v>0</v>
      </c>
      <c r="AV104" s="264">
        <f>_xlfn.XLOOKUP(FMS_Ranking4[[#This Row],[FMS ID]],FMS_Input[FMS_ID],FMS_Input[REMLWC100])</f>
        <v>2</v>
      </c>
      <c r="AW104" s="264">
        <f>_xlfn.XLOOKUP(FMS_Ranking4[[#This Row],[FMS ID]],FMS_Input[FMS_ID],FMS_Input[REMROADCLS])</f>
        <v>0</v>
      </c>
      <c r="AX104" s="264">
        <f>_xlfn.XLOOKUP(FMS_Ranking4[[#This Row],[FMS ID]],FMS_Input[FMS_ID],FMS_Input[REMFRMACRE100])</f>
        <v>19053.181640625</v>
      </c>
      <c r="AY104" s="258">
        <f>_xlfn.XLOOKUP(FMS_Ranking4[[#This Row],[FMS ID]],FMS_Input[FMS_ID],FMS_Input[COSTSTRUCT])</f>
        <v>25000</v>
      </c>
      <c r="AZ104" s="253">
        <f>_xlfn.XLOOKUP(FMS_Ranking4[[#This Row],[FMS ID]],FMS_Input[FMS_ID],FMS_Input[NATURE])</f>
        <v>0</v>
      </c>
      <c r="BA104" s="262">
        <f>(((FMS_Ranking4[[#This Row],[% NBS Raw]]/AZ$4)*100)*AZ$5)</f>
        <v>0</v>
      </c>
      <c r="BB104" s="251" t="str">
        <f>_xlfn.XLOOKUP(FMS_Ranking4[[#This Row],[FMS ID]],FMS_Input[FMS_ID],FMS_Input[WATER_SUP])</f>
        <v>No</v>
      </c>
      <c r="BC104" s="265">
        <f>IF(FMS_Ranking4[[#This Row],[Water Supply Raw]]="Yes",10,0)</f>
        <v>0</v>
      </c>
      <c r="BD104" s="266">
        <f>_xlfn.XLOOKUP(FMS_Ranking4[[#This Row],[FMS Type]],FMS_TYPE[FMS_Type],FMS_TYPE[Score])</f>
        <v>2</v>
      </c>
      <c r="BE104" s="267">
        <f>FMS_Ranking4[[#This Row],[FMS_Type Score]]*$BD$5*10</f>
        <v>0.5</v>
      </c>
      <c r="BF10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1.2099411747527451</v>
      </c>
      <c r="BG104" s="321">
        <f>_xlfn.RANK.EQ(BF104,$BF$8:$BF$870,0)+COUNTIF($BF$8:BF104,BF104)-1</f>
        <v>122</v>
      </c>
      <c r="BH104" s="294">
        <f>(((FMS_Ranking4[[#This Row],[Structures Removed Raw]]/AK$4)*100)*AK$5)+(((FMS_Ranking4[[#This Row],[Removed Pop Raw]]/AR$4)*100)*AR$5)</f>
        <v>0.51927458328216081</v>
      </c>
      <c r="BI10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2.2292157580349059</v>
      </c>
      <c r="BJ104" s="251">
        <f>_xlfn.RANK.EQ(FMS_Ranking4[[#This Row],[Total Score 
(with linear
normalization)]],FMS_Ranking4[Total Score 
(with linear
normalization)],0)</f>
        <v>318</v>
      </c>
      <c r="BK104" s="251" t="e">
        <f>_xlfn.XLOOKUP(FMS_Ranking4[[#This Row],[FMS ID]],#REF!,#REF!)</f>
        <v>#REF!</v>
      </c>
      <c r="BL10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38.618241747219002</v>
      </c>
      <c r="BM104" s="324">
        <f>FMS_Ranking4[[#This Row],[ArcSinh Score Based on Normalized Reported Factors]]+FMS_Ranking4[[#This Row],[% NBS Score (Normalized)]]+(FMS_Ranking4[[#This Row],[Water Supply Score (Normalized)]]*10*$BB$5)+FMS_Ranking4[[#This Row],[FMS_Type Score Weighted]]</f>
        <v>39.118241747219002</v>
      </c>
      <c r="BN104" s="251">
        <f>_xlfn.RANK.EQ(FMS_Ranking4[[#This Row],[Total Score (with ArcSinh normalization of select criteria)]],FMS_Ranking4[Total Score (with ArcSinh normalization of select criteria)],0)</f>
        <v>97</v>
      </c>
      <c r="BO104" s="270" t="str">
        <f>_xlfn.XLOOKUP(FMS_Ranking4[[#This Row],[FMS ID]],FMS_Input[FMS_ID],FMS_Input[FMS_RANK_YEAR])</f>
        <v>2023 Amended Plan</v>
      </c>
      <c r="BP104" s="204">
        <f>_xlfn.XLOOKUP(FMS_Ranking4[[#This Row],[FMS ID]],Prev_Rank[FMS ID],Prev_Rank[Prev Rank])</f>
        <v>87</v>
      </c>
      <c r="BQ104" s="251" t="e">
        <f>_xlfn.XLOOKUP(FMS_Ranking4[[#This Row],[FMS ID]],#REF!,#REF!)</f>
        <v>#REF!</v>
      </c>
      <c r="BR104" s="199" t="e">
        <f>SUM(#REF!,#REF!,#REF!,#REF!,#REF!,#REF!,#REF!,#REF!,#REF!,FMS_Ranking4[[#This Row],[ArcSinh Res struct removed 0-10]],#REF!)</f>
        <v>#REF!</v>
      </c>
      <c r="BS104" s="199" t="e">
        <f>FMS_Ranking4[[#This Row],[Log Score Based on Normalized Reported Factors]]+FMS_Ranking4[[#This Row],[% NBS Score (Normalized)]]+(FMS_Ranking4[[#This Row],[Water Supply Score (Normalized)]]*10*$BB$5)+(FMS_Ranking4[[#This Row],[FMS_Type Score Weighted]])</f>
        <v>#REF!</v>
      </c>
      <c r="BT104" s="200" t="e">
        <f>_xlfn.RANK.EQ(FMS_Ranking4[[#This Row],[Log Total Score]],FMS_Ranking4[Log Total Score],0)</f>
        <v>#REF!</v>
      </c>
      <c r="BU104" s="200" t="e">
        <f>_xlfn.XLOOKUP(FMS_Ranking4[[#This Row],[FMS ID]],#REF!,#REF!)</f>
        <v>#REF!</v>
      </c>
      <c r="BV104" s="200">
        <f>FMS_Ranking4[[#This Row],[Region Number]]</f>
        <v>9</v>
      </c>
      <c r="BW104" s="200">
        <f>FMS_Ranking4[[#This Row],[Rank (with ArcSinh normalization of select criteria)]]-FMS_Ranking4[[#This Row],[Rank
(with linear
normalization)]]</f>
        <v>-221</v>
      </c>
      <c r="BX104" s="200" t="e">
        <f>FMS_Ranking4[[#This Row],[Log Rank]]-FMS_Ranking4[[#This Row],[Rank
(with linear
normalization)]]</f>
        <v>#REF!</v>
      </c>
      <c r="BY104" s="200" t="str">
        <f>IF(FMS_Ranking4[[#This Row],[FMS Type]]="Flood Measurement and Warning",FMS_Ranking4[[#This Row],[Rank (with ArcSinh normalization of select criteria)]],"")</f>
        <v/>
      </c>
      <c r="BZ104" s="200" t="str">
        <f>IF(FMS_Ranking4[[#This Row],[FMS Type]]="Regulatory and Guidance",FMS_Ranking4[[#This Row],[Rank (with ArcSinh normalization of select criteria)]],"")</f>
        <v/>
      </c>
      <c r="CA104" s="200" t="str">
        <f>IF(FMS_Ranking4[[#This Row],[FMS Type]]="Education and Outreach",FMS_Ranking4[[#This Row],[Rank (with ArcSinh normalization of select criteria)]],"")</f>
        <v/>
      </c>
      <c r="CB104" s="200" t="str">
        <f>IF(FMS_Ranking4[[#This Row],[FMS Type]]="Property Acquisition and Structural Elevation",FMS_Ranking4[[#This Row],[Rank (with ArcSinh normalization of select criteria)]],"")</f>
        <v/>
      </c>
      <c r="CC104" s="200" t="str">
        <f>IF(FMS_Ranking4[[#This Row],[FMS Type]]="Infrastructure Projects",FMS_Ranking4[[#This Row],[Rank (with ArcSinh normalization of select criteria)]],"")</f>
        <v/>
      </c>
      <c r="CD104" s="200">
        <f>IF(FMS_Ranking4[[#This Row],[FMS Type]]="Other",FMS_Ranking4[[#This Row],[Rank (with ArcSinh normalization of select criteria)]],"")</f>
        <v>97</v>
      </c>
      <c r="CE104" s="201"/>
    </row>
    <row r="105" spans="2:83" ht="30" x14ac:dyDescent="0.25">
      <c r="B105" s="341" t="s">
        <v>487</v>
      </c>
      <c r="C105" s="246">
        <f>_xlfn.XLOOKUP(FMS_Ranking4[[#This Row],[FMS ID]],FMS_Input[FMS_ID],FMS_Input[RFPG_NUM])</f>
        <v>9</v>
      </c>
      <c r="D105" s="309" t="str">
        <f>_xlfn.XLOOKUP(FMS_Ranking4[[#This Row],[FMS ID]],FMS_Input[FMS_ID],FMS_Input[FMS_NAME])</f>
        <v>Dawson County NFIP Application</v>
      </c>
      <c r="E105" s="308" t="str">
        <f>_xlfn.XLOOKUP(FMS_Ranking4[[#This Row],[FMS ID]],FMS_Input[FMS_ID],FMS_Input[SPONSOR])</f>
        <v>00000115</v>
      </c>
      <c r="F105" s="309" t="str">
        <f>_xlfn.XLOOKUP(FMS_Ranking4[[#This Row],[FMS ID]],Sponsor[FMS_ID],Sponsor[SPONSOR NAME])</f>
        <v>Borden</v>
      </c>
      <c r="G105" s="309" t="str">
        <f>_xlfn.XLOOKUP(FMS_Ranking4[[#This Row],[FMS ID]],FMS_Input[FMS_ID],FMS_Input[FMS_DESCR])</f>
        <v>Application to join NFIP</v>
      </c>
      <c r="H105" s="248" t="str">
        <f>_xlfn.XLOOKUP(FMS_Ranking4[[#This Row],[FMS ID]],FMS_Input[FMS_ID],FMS_Input[FMS_TYPE])</f>
        <v>Other</v>
      </c>
      <c r="I105" s="249">
        <f>_xlfn.XLOOKUP(FMS_Ranking4[[#This Row],[FMS ID]],FMS_Input[FMS_ID],FMS_Input[NRNC_COST])</f>
        <v>5000</v>
      </c>
      <c r="J105" s="250">
        <f>_xlfn.XLOOKUP(FMS_Ranking4[[#This Row],[FMS ID]],FMS_Input[FMS_ID],FMS_Input[FMS_COST])</f>
        <v>30000</v>
      </c>
      <c r="K105" s="251" t="str">
        <f>_xlfn.XLOOKUP(FMS_Ranking4[[#This Row],[FMS ID]],FMS_Input[FMS_ID],FMS_Input[EMER_NEED])</f>
        <v>No</v>
      </c>
      <c r="L105" s="252">
        <f t="shared" si="1"/>
        <v>0</v>
      </c>
      <c r="M105" s="253">
        <f>_xlfn.XLOOKUP(FMS_Ranking4[[#This Row],[FMS ID]],FMS_Input[FMS_ID],FMS_Input[STRUCT_100])</f>
        <v>474</v>
      </c>
      <c r="N105" s="255">
        <f>(ASINH(FMS_Ranking4[[#This Row],[Structure at Risk Raw]]))*(10)/(ASINH(M$4))</f>
        <v>5.3885440827116913</v>
      </c>
      <c r="O105" s="256">
        <f>FMS_Ranking4[[#This Row],[Structures at risk, ArcSinh (0-10)]]*M$5*10</f>
        <v>5.3885440827116913</v>
      </c>
      <c r="P105" s="253">
        <f>_xlfn.XLOOKUP(FMS_Ranking4[[#This Row],[FMS ID]],FMS_Input[FMS_ID],FMS_Input[RES_STRUCT100])</f>
        <v>9</v>
      </c>
      <c r="Q105" s="257">
        <f>ASINH(FMS_Ranking4[[#This Row],[Res Structure Raw]])/Q$4*P$5*100</f>
        <v>0</v>
      </c>
      <c r="R105" s="253">
        <f>_xlfn.XLOOKUP(FMS_Ranking4[[#This Row],[FMS ID]],FMS_Input[FMS_ID],FMS_Input[POP100])</f>
        <v>710</v>
      </c>
      <c r="S105" s="259">
        <f>(ASINH(FMS_Ranking4[[#This Row],[Pop at Risk Raw]]))*(10)/(ASINH(R$4))</f>
        <v>5.0109048196667754</v>
      </c>
      <c r="T105" s="256">
        <f>FMS_Ranking4[[#This Row],[Population at risk, ArcSinh (0-10)]]*R$5*10</f>
        <v>5.0109048196667763</v>
      </c>
      <c r="U105" s="253">
        <f>_xlfn.XLOOKUP(FMS_Ranking4[[#This Row],[FMS ID]],FMS_Input[FMS_ID],FMS_Input[CRITFAC100])</f>
        <v>0</v>
      </c>
      <c r="V105" s="259">
        <f>(ASINH(FMS_Ranking4[[#This Row],[Critical Facilities Raw]]))*(10)/(ASINH(U$4))</f>
        <v>0</v>
      </c>
      <c r="W105" s="256">
        <f>FMS_Ranking4[[#This Row],[Critical facilities at risk, ArcSinh (0-10)]]*U$5*10</f>
        <v>0</v>
      </c>
      <c r="X105" s="253">
        <f>_xlfn.XLOOKUP(FMS_Ranking4[[#This Row],[FMS ID]],FMS_Input[FMS_ID],FMS_Input[LWC])</f>
        <v>9</v>
      </c>
      <c r="Y105" s="259">
        <f>(ASINH(FMS_Ranking4[[#This Row],[LWC Raw]]))*(10)/(ASINH(X$4))</f>
        <v>3.919857876161724</v>
      </c>
      <c r="Z105" s="256">
        <f>FMS_Ranking4[[#This Row],[LWC, ArcSInh (0-10)]]*X$5*10</f>
        <v>3.919857876161724</v>
      </c>
      <c r="AA105" s="253">
        <f>_xlfn.XLOOKUP(FMS_Ranking4[[#This Row],[FMS ID]],FMS_Input[FMS_ID],FMS_Input[ROADCLS])</f>
        <v>0</v>
      </c>
      <c r="AB105" s="255">
        <f>(ASINH(FMS_Ranking4[[#This Row],[Road Closures Raw]]))*(10)/(ASINH(AA$4))</f>
        <v>0</v>
      </c>
      <c r="AC105" s="256">
        <f>FMS_Ranking4[[#This Row],[Road closures, ArcSinh (0-10)]]*AA$5*10</f>
        <v>0</v>
      </c>
      <c r="AD105" s="253">
        <f>_xlfn.XLOOKUP(FMS_Ranking4[[#This Row],[FMS ID]],FMS_Input[FMS_ID],FMS_Input[ROAD_MILES100])</f>
        <v>538</v>
      </c>
      <c r="AE105" s="259">
        <f>(ASINH(FMS_Ranking4[[#This Row],[Road Miles Raw]]))*(10)/(ASINH(AD$4))</f>
        <v>7.4398323961820081</v>
      </c>
      <c r="AF105" s="256">
        <f>FMS_Ranking4[[#This Row],[Length of roads at risk, ArcSinh (0-10)]]*AD$5*10</f>
        <v>7.439832396182009</v>
      </c>
      <c r="AG105" s="253">
        <f>_xlfn.XLOOKUP(FMS_Ranking4[[#This Row],[FMS ID]],FMS_Input[FMS_ID],FMS_Input[FARMACRE100])</f>
        <v>76212.7265625</v>
      </c>
      <c r="AH105" s="255">
        <f>(ASINH(FMS_Ranking4[[#This Row],[Ag Land Raw]]))*(10)/(ASINH(AG$4))</f>
        <v>7.7523851747880581</v>
      </c>
      <c r="AI105" s="260">
        <f>FMS_Ranking4[[#This Row],[Farm &amp; ranch land, ArcSinh (0-10)]]*AG$5*10</f>
        <v>3.8761925873940295</v>
      </c>
      <c r="AJ105" s="258">
        <f>_xlfn.XLOOKUP(FMS_Ranking4[[#This Row],[FMS ID]],FMS_Input[FMS_ID],FMS_Input[REDSTRUCT100])</f>
        <v>119</v>
      </c>
      <c r="AK105" s="253">
        <f>_xlfn.XLOOKUP(FMS_Ranking4[[#This Row],[FMS ID]],FMS_Input[FMS_ID],FMS_Input[REMSTRC100])</f>
        <v>119</v>
      </c>
      <c r="AL105" s="259">
        <f>(ASINH(FMS_Ranking4[[#This Row],[Structures Removed Raw]]))*(10)/(ASINH(AK$4))</f>
        <v>6.2305908760466613</v>
      </c>
      <c r="AM105" s="262">
        <f>FMS_Ranking4[[#This Row],[Structures removed, ArcSinh (0-10)]]*AK$5*10</f>
        <v>6.2305908760466622</v>
      </c>
      <c r="AN105" s="253">
        <f>_xlfn.XLOOKUP(FMS_Ranking4[[#This Row],[FMS ID]],FMS_Input[FMS_ID],FMS_Input[REMRESSTRC100])</f>
        <v>2</v>
      </c>
      <c r="AO105" s="261">
        <f>FMS_Ranking4[[#This Row],[ArcSinh Res struct removed 0-10]]*AN$5*10</f>
        <v>0.84673041454896381</v>
      </c>
      <c r="AP105" s="260">
        <f>ASINH(FMS_Ranking4[[#This Row],[Residential Structures Removed Raw]])/AP$4*AN$5*100</f>
        <v>0.84673041454896381</v>
      </c>
      <c r="AQ105" s="254">
        <f>(ASINH(FMS_Ranking4[[#This Row],[Residential Structures Removed Raw]]))*(10)/(ASINH(AN$4))</f>
        <v>1.6934608290979274</v>
      </c>
      <c r="AR105" s="253">
        <f>_xlfn.XLOOKUP(FMS_Ranking4[[#This Row],[FMS ID]],FMS_Input[FMS_ID],FMS_Input[REMPOP100])</f>
        <v>205</v>
      </c>
      <c r="AS105" s="259">
        <f>(ASINH(FMS_Ranking4[[#This Row],[Removed Pop Raw]]))*(10)/(ASINH(AR$4))</f>
        <v>5.9055886945071485</v>
      </c>
      <c r="AT105" s="262">
        <f>FMS_Ranking4[[#This Row],[Removed population, ArcSinh (0-10)]]*AR$5*10</f>
        <v>5.9055886945071485</v>
      </c>
      <c r="AU105" s="264">
        <f>_xlfn.XLOOKUP(FMS_Ranking4[[#This Row],[FMS ID]],FMS_Input[FMS_ID],FMS_Input[REMCRITFAC100])</f>
        <v>0</v>
      </c>
      <c r="AV105" s="264">
        <f>_xlfn.XLOOKUP(FMS_Ranking4[[#This Row],[FMS ID]],FMS_Input[FMS_ID],FMS_Input[REMLWC100])</f>
        <v>2</v>
      </c>
      <c r="AW105" s="264">
        <f>_xlfn.XLOOKUP(FMS_Ranking4[[#This Row],[FMS ID]],FMS_Input[FMS_ID],FMS_Input[REMROADCLS])</f>
        <v>0</v>
      </c>
      <c r="AX105" s="264">
        <f>_xlfn.XLOOKUP(FMS_Ranking4[[#This Row],[FMS ID]],FMS_Input[FMS_ID],FMS_Input[REMFRMACRE100])</f>
        <v>19053.181640625</v>
      </c>
      <c r="AY105" s="258">
        <f>_xlfn.XLOOKUP(FMS_Ranking4[[#This Row],[FMS ID]],FMS_Input[FMS_ID],FMS_Input[COSTSTRUCT])</f>
        <v>25000</v>
      </c>
      <c r="AZ105" s="253">
        <f>_xlfn.XLOOKUP(FMS_Ranking4[[#This Row],[FMS ID]],FMS_Input[FMS_ID],FMS_Input[NATURE])</f>
        <v>0</v>
      </c>
      <c r="BA105" s="262">
        <f>(((FMS_Ranking4[[#This Row],[% NBS Raw]]/AZ$4)*100)*AZ$5)</f>
        <v>0</v>
      </c>
      <c r="BB105" s="251" t="str">
        <f>_xlfn.XLOOKUP(FMS_Ranking4[[#This Row],[FMS ID]],FMS_Input[FMS_ID],FMS_Input[WATER_SUP])</f>
        <v>No</v>
      </c>
      <c r="BC105" s="265">
        <f>IF(FMS_Ranking4[[#This Row],[Water Supply Raw]]="Yes",10,0)</f>
        <v>0</v>
      </c>
      <c r="BD105" s="266">
        <f>_xlfn.XLOOKUP(FMS_Ranking4[[#This Row],[FMS Type]],FMS_TYPE[FMS_Type],FMS_TYPE[Score])</f>
        <v>2</v>
      </c>
      <c r="BE105" s="267">
        <f>FMS_Ranking4[[#This Row],[FMS_Type Score]]*$BD$5*10</f>
        <v>0.5</v>
      </c>
      <c r="BF10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1.2099411747527451</v>
      </c>
      <c r="BG105" s="271">
        <f>_xlfn.RANK.EQ(BF105,$BF$8:$BF$870,0)+COUNTIF($BF$8:BF105,BF105)-1</f>
        <v>123</v>
      </c>
      <c r="BH105" s="268">
        <f>(((FMS_Ranking4[[#This Row],[Structures Removed Raw]]/AK$4)*100)*AK$5)+(((FMS_Ranking4[[#This Row],[Removed Pop Raw]]/AR$4)*100)*AR$5)</f>
        <v>0.51927458328216081</v>
      </c>
      <c r="BI10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2.2292157580349059</v>
      </c>
      <c r="BJ105" s="205">
        <f>_xlfn.RANK.EQ(FMS_Ranking4[[#This Row],[Total Score 
(with linear
normalization)]],FMS_Ranking4[Total Score 
(with linear
normalization)],0)</f>
        <v>318</v>
      </c>
      <c r="BK105" s="205" t="e">
        <f>_xlfn.XLOOKUP(FMS_Ranking4[[#This Row],[FMS ID]],#REF!,#REF!)</f>
        <v>#REF!</v>
      </c>
      <c r="BL10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38.618241747219002</v>
      </c>
      <c r="BM105" s="272">
        <f>FMS_Ranking4[[#This Row],[ArcSinh Score Based on Normalized Reported Factors]]+FMS_Ranking4[[#This Row],[% NBS Score (Normalized)]]+(FMS_Ranking4[[#This Row],[Water Supply Score (Normalized)]]*10*$BB$5)+FMS_Ranking4[[#This Row],[FMS_Type Score Weighted]]</f>
        <v>39.118241747219002</v>
      </c>
      <c r="BN105" s="205">
        <f>_xlfn.RANK.EQ(FMS_Ranking4[[#This Row],[Total Score (with ArcSinh normalization of select criteria)]],FMS_Ranking4[Total Score (with ArcSinh normalization of select criteria)],0)</f>
        <v>97</v>
      </c>
      <c r="BO105" s="270" t="str">
        <f>_xlfn.XLOOKUP(FMS_Ranking4[[#This Row],[FMS ID]],FMS_Input[FMS_ID],FMS_Input[FMS_RANK_YEAR])</f>
        <v>2023 Amended Plan</v>
      </c>
      <c r="BP105" s="204">
        <f>_xlfn.XLOOKUP(FMS_Ranking4[[#This Row],[FMS ID]],Prev_Rank[FMS ID],Prev_Rank[Prev Rank])</f>
        <v>87</v>
      </c>
      <c r="BQ105" s="205" t="e">
        <f>_xlfn.XLOOKUP(FMS_Ranking4[[#This Row],[FMS ID]],#REF!,#REF!)</f>
        <v>#REF!</v>
      </c>
      <c r="BR105" s="199" t="e">
        <f>SUM(#REF!,#REF!,#REF!,#REF!,#REF!,#REF!,#REF!,#REF!,#REF!,FMS_Ranking4[[#This Row],[ArcSinh Res struct removed 0-10]],#REF!)</f>
        <v>#REF!</v>
      </c>
      <c r="BS105" s="199" t="e">
        <f>FMS_Ranking4[[#This Row],[Log Score Based on Normalized Reported Factors]]+FMS_Ranking4[[#This Row],[% NBS Score (Normalized)]]+(FMS_Ranking4[[#This Row],[Water Supply Score (Normalized)]]*10*$BB$5)+(FMS_Ranking4[[#This Row],[FMS_Type Score Weighted]])</f>
        <v>#REF!</v>
      </c>
      <c r="BT105" s="200" t="e">
        <f>_xlfn.RANK.EQ(FMS_Ranking4[[#This Row],[Log Total Score]],FMS_Ranking4[Log Total Score],0)</f>
        <v>#REF!</v>
      </c>
      <c r="BU105" s="200" t="e">
        <f>_xlfn.XLOOKUP(FMS_Ranking4[[#This Row],[FMS ID]],#REF!,#REF!)</f>
        <v>#REF!</v>
      </c>
      <c r="BV105" s="200">
        <f>FMS_Ranking4[[#This Row],[Region Number]]</f>
        <v>9</v>
      </c>
      <c r="BW105" s="200">
        <f>FMS_Ranking4[[#This Row],[Rank (with ArcSinh normalization of select criteria)]]-FMS_Ranking4[[#This Row],[Rank
(with linear
normalization)]]</f>
        <v>-221</v>
      </c>
      <c r="BX105" s="200" t="e">
        <f>FMS_Ranking4[[#This Row],[Log Rank]]-FMS_Ranking4[[#This Row],[Rank
(with linear
normalization)]]</f>
        <v>#REF!</v>
      </c>
      <c r="BY105" s="200" t="str">
        <f>IF(FMS_Ranking4[[#This Row],[FMS Type]]="Flood Measurement and Warning",FMS_Ranking4[[#This Row],[Rank (with ArcSinh normalization of select criteria)]],"")</f>
        <v/>
      </c>
      <c r="BZ105" s="200" t="str">
        <f>IF(FMS_Ranking4[[#This Row],[FMS Type]]="Regulatory and Guidance",FMS_Ranking4[[#This Row],[Rank (with ArcSinh normalization of select criteria)]],"")</f>
        <v/>
      </c>
      <c r="CA105" s="200" t="str">
        <f>IF(FMS_Ranking4[[#This Row],[FMS Type]]="Education and Outreach",FMS_Ranking4[[#This Row],[Rank (with ArcSinh normalization of select criteria)]],"")</f>
        <v/>
      </c>
      <c r="CB105" s="200" t="str">
        <f>IF(FMS_Ranking4[[#This Row],[FMS Type]]="Property Acquisition and Structural Elevation",FMS_Ranking4[[#This Row],[Rank (with ArcSinh normalization of select criteria)]],"")</f>
        <v/>
      </c>
      <c r="CC105" s="200" t="str">
        <f>IF(FMS_Ranking4[[#This Row],[FMS Type]]="Infrastructure Projects",FMS_Ranking4[[#This Row],[Rank (with ArcSinh normalization of select criteria)]],"")</f>
        <v/>
      </c>
      <c r="CD105" s="200">
        <f>IF(FMS_Ranking4[[#This Row],[FMS Type]]="Other",FMS_Ranking4[[#This Row],[Rank (with ArcSinh normalization of select criteria)]],"")</f>
        <v>97</v>
      </c>
      <c r="CE105" s="201"/>
    </row>
    <row r="106" spans="2:83" ht="120" x14ac:dyDescent="0.25">
      <c r="B106" s="341" t="s">
        <v>3706</v>
      </c>
      <c r="C106" s="246">
        <f>_xlfn.XLOOKUP(FMS_Ranking4[[#This Row],[FMS ID]],FMS_Input[FMS_ID],FMS_Input[RFPG_NUM])</f>
        <v>13</v>
      </c>
      <c r="D106" s="309" t="str">
        <f>_xlfn.XLOOKUP(FMS_Ranking4[[#This Row],[FMS ID]],FMS_Input[FMS_ID],FMS_Input[FMS_NAME])</f>
        <v>San Patricio County Dam Failure Education Program</v>
      </c>
      <c r="E106" s="308" t="str">
        <f>_xlfn.XLOOKUP(FMS_Ranking4[[#This Row],[FMS ID]],FMS_Input[FMS_ID],FMS_Input[SPONSOR])</f>
        <v>13000081</v>
      </c>
      <c r="F106" s="309" t="str">
        <f>_xlfn.XLOOKUP(FMS_Ranking4[[#This Row],[FMS ID]],Sponsor[FMS_ID],Sponsor[SPONSOR NAME])</f>
        <v>San Patricio</v>
      </c>
      <c r="G106" s="309" t="str">
        <f>_xlfn.XLOOKUP(FMS_Ranking4[[#This Row],[FMS ID]],FMS_Input[FMS_ID],FMS_Input[FMS_DESCR])</f>
        <v xml:space="preserve">San Patricio County Hazard Mitigation Action Plan - San Patricio County, Action #5: Develop and implement a dam failure hazard education program to provide information on the potential for dam failure and the areas at greatest risk. </v>
      </c>
      <c r="H106" s="248" t="str">
        <f>_xlfn.XLOOKUP(FMS_Ranking4[[#This Row],[FMS ID]],FMS_Input[FMS_ID],FMS_Input[FMS_TYPE])</f>
        <v>Education and Outreach</v>
      </c>
      <c r="I106" s="249">
        <f>_xlfn.XLOOKUP(FMS_Ranking4[[#This Row],[FMS ID]],FMS_Input[FMS_ID],FMS_Input[NRNC_COST])</f>
        <v>50000</v>
      </c>
      <c r="J106" s="250">
        <f>_xlfn.XLOOKUP(FMS_Ranking4[[#This Row],[FMS ID]],FMS_Input[FMS_ID],FMS_Input[FMS_COST])</f>
        <v>50000</v>
      </c>
      <c r="K106" s="251" t="str">
        <f>_xlfn.XLOOKUP(FMS_Ranking4[[#This Row],[FMS ID]],FMS_Input[FMS_ID],FMS_Input[EMER_NEED])</f>
        <v>Yes</v>
      </c>
      <c r="L106" s="252">
        <f t="shared" si="1"/>
        <v>1</v>
      </c>
      <c r="M106" s="253">
        <f>_xlfn.XLOOKUP(FMS_Ranking4[[#This Row],[FMS ID]],FMS_Input[FMS_ID],FMS_Input[STRUCT_100])</f>
        <v>5577</v>
      </c>
      <c r="N106" s="255">
        <f>(ASINH(FMS_Ranking4[[#This Row],[Structure at Risk Raw]]))*(10)/(ASINH(M$4))</f>
        <v>7.3265566448900294</v>
      </c>
      <c r="O106" s="256">
        <f>FMS_Ranking4[[#This Row],[Structures at risk, ArcSinh (0-10)]]*M$5*10</f>
        <v>7.3265566448900294</v>
      </c>
      <c r="P106" s="253">
        <f>_xlfn.XLOOKUP(FMS_Ranking4[[#This Row],[FMS ID]],FMS_Input[FMS_ID],FMS_Input[RES_STRUCT100])</f>
        <v>4182</v>
      </c>
      <c r="Q106" s="257">
        <f>ASINH(FMS_Ranking4[[#This Row],[Res Structure Raw]])/Q$4*P$5*100</f>
        <v>0</v>
      </c>
      <c r="R106" s="253">
        <f>_xlfn.XLOOKUP(FMS_Ranking4[[#This Row],[FMS ID]],FMS_Input[FMS_ID],FMS_Input[POP100])</f>
        <v>10683</v>
      </c>
      <c r="S106" s="255">
        <f>(ASINH(FMS_Ranking4[[#This Row],[Pop at Risk Raw]]))*(10)/(ASINH(R$4))</f>
        <v>6.8825650205215307</v>
      </c>
      <c r="T106" s="256">
        <f>FMS_Ranking4[[#This Row],[Population at risk, ArcSinh (0-10)]]*R$5*10</f>
        <v>6.8825650205215316</v>
      </c>
      <c r="U106" s="253">
        <f>_xlfn.XLOOKUP(FMS_Ranking4[[#This Row],[FMS ID]],FMS_Input[FMS_ID],FMS_Input[CRITFAC100])</f>
        <v>23</v>
      </c>
      <c r="V106" s="255">
        <f>(ASINH(FMS_Ranking4[[#This Row],[Critical Facilities Raw]]))*(10)/(ASINH(U$4))</f>
        <v>4.532767423925546</v>
      </c>
      <c r="W106" s="256">
        <f>FMS_Ranking4[[#This Row],[Critical facilities at risk, ArcSinh (0-10)]]*U$5*10</f>
        <v>4.532767423925546</v>
      </c>
      <c r="X106" s="253">
        <f>_xlfn.XLOOKUP(FMS_Ranking4[[#This Row],[FMS ID]],FMS_Input[FMS_ID],FMS_Input[LWC])</f>
        <v>13</v>
      </c>
      <c r="Y106" s="255">
        <f>(ASINH(FMS_Ranking4[[#This Row],[LWC Raw]]))*(10)/(ASINH(X$4))</f>
        <v>4.4158660820509805</v>
      </c>
      <c r="Z106" s="256">
        <f>FMS_Ranking4[[#This Row],[LWC, ArcSInh (0-10)]]*X$5*10</f>
        <v>4.4158660820509805</v>
      </c>
      <c r="AA106" s="253">
        <f>_xlfn.XLOOKUP(FMS_Ranking4[[#This Row],[FMS ID]],FMS_Input[FMS_ID],FMS_Input[ROADCLS])</f>
        <v>913</v>
      </c>
      <c r="AB106" s="255">
        <f>(ASINH(FMS_Ranking4[[#This Row],[Road Closures Raw]]))*(10)/(ASINH(AA$4))</f>
        <v>7.8208542400562173</v>
      </c>
      <c r="AC106" s="256">
        <f>FMS_Ranking4[[#This Row],[Road closures, ArcSinh (0-10)]]*AA$5*10</f>
        <v>3.9104271200281087</v>
      </c>
      <c r="AD106" s="253">
        <f>_xlfn.XLOOKUP(FMS_Ranking4[[#This Row],[FMS ID]],FMS_Input[FMS_ID],FMS_Input[ROAD_MILES100])</f>
        <v>288</v>
      </c>
      <c r="AE106" s="255">
        <f>(ASINH(FMS_Ranking4[[#This Row],[Road Miles Raw]]))*(10)/(ASINH(AD$4))</f>
        <v>6.773865259161103</v>
      </c>
      <c r="AF106" s="256">
        <f>FMS_Ranking4[[#This Row],[Length of roads at risk, ArcSinh (0-10)]]*AD$5*10</f>
        <v>6.7738652591611039</v>
      </c>
      <c r="AG106" s="253">
        <f>_xlfn.XLOOKUP(FMS_Ranking4[[#This Row],[FMS ID]],FMS_Input[FMS_ID],FMS_Input[FARMACRE100])</f>
        <v>30916.986328125</v>
      </c>
      <c r="AH106" s="255">
        <f>(ASINH(FMS_Ranking4[[#This Row],[Ag Land Raw]]))*(10)/(ASINH(AG$4))</f>
        <v>7.1663180201603245</v>
      </c>
      <c r="AI106" s="260">
        <f>FMS_Ranking4[[#This Row],[Farm &amp; ranch land, ArcSinh (0-10)]]*AG$5*10</f>
        <v>3.5831590100801627</v>
      </c>
      <c r="AJ106" s="258">
        <f>_xlfn.XLOOKUP(FMS_Ranking4[[#This Row],[FMS ID]],FMS_Input[FMS_ID],FMS_Input[REDSTRUCT100])</f>
        <v>0</v>
      </c>
      <c r="AK106" s="253">
        <f>_xlfn.XLOOKUP(FMS_Ranking4[[#This Row],[FMS ID]],FMS_Input[FMS_ID],FMS_Input[REMSTRC100])</f>
        <v>0</v>
      </c>
      <c r="AL106" s="255">
        <f>(ASINH(FMS_Ranking4[[#This Row],[Structures Removed Raw]]))*(10)/(ASINH(AK$4))</f>
        <v>0</v>
      </c>
      <c r="AM106" s="262">
        <f>FMS_Ranking4[[#This Row],[Structures removed, ArcSinh (0-10)]]*AK$5*10</f>
        <v>0</v>
      </c>
      <c r="AN106" s="253">
        <f>_xlfn.XLOOKUP(FMS_Ranking4[[#This Row],[FMS ID]],FMS_Input[FMS_ID],FMS_Input[REMRESSTRC100])</f>
        <v>0</v>
      </c>
      <c r="AO106" s="261">
        <f>FMS_Ranking4[[#This Row],[ArcSinh Res struct removed 0-10]]*AN$5*10</f>
        <v>0</v>
      </c>
      <c r="AP106" s="260">
        <f>ASINH(FMS_Ranking4[[#This Row],[Residential Structures Removed Raw]])/AP$4*AN$5*100</f>
        <v>0</v>
      </c>
      <c r="AQ106" s="258">
        <f>(ASINH(FMS_Ranking4[[#This Row],[Residential Structures Removed Raw]]))*(10)/(ASINH(AN$4))</f>
        <v>0</v>
      </c>
      <c r="AR106" s="253">
        <f>_xlfn.XLOOKUP(FMS_Ranking4[[#This Row],[FMS ID]],FMS_Input[FMS_ID],FMS_Input[REMPOP100])</f>
        <v>0</v>
      </c>
      <c r="AS106" s="255">
        <f>(ASINH(FMS_Ranking4[[#This Row],[Removed Pop Raw]]))*(10)/(ASINH(AR$4))</f>
        <v>0</v>
      </c>
      <c r="AT106" s="262">
        <f>FMS_Ranking4[[#This Row],[Removed population, ArcSinh (0-10)]]*AR$5*10</f>
        <v>0</v>
      </c>
      <c r="AU106" s="264">
        <f>_xlfn.XLOOKUP(FMS_Ranking4[[#This Row],[FMS ID]],FMS_Input[FMS_ID],FMS_Input[REMCRITFAC100])</f>
        <v>0</v>
      </c>
      <c r="AV106" s="264">
        <f>_xlfn.XLOOKUP(FMS_Ranking4[[#This Row],[FMS ID]],FMS_Input[FMS_ID],FMS_Input[REMLWC100])</f>
        <v>0</v>
      </c>
      <c r="AW106" s="264">
        <f>_xlfn.XLOOKUP(FMS_Ranking4[[#This Row],[FMS ID]],FMS_Input[FMS_ID],FMS_Input[REMROADCLS])</f>
        <v>0</v>
      </c>
      <c r="AX106" s="264">
        <f>_xlfn.XLOOKUP(FMS_Ranking4[[#This Row],[FMS ID]],FMS_Input[FMS_ID],FMS_Input[REMFRMACRE100])</f>
        <v>0</v>
      </c>
      <c r="AY106" s="258">
        <f>_xlfn.XLOOKUP(FMS_Ranking4[[#This Row],[FMS ID]],FMS_Input[FMS_ID],FMS_Input[COSTSTRUCT])</f>
        <v>0</v>
      </c>
      <c r="AZ106" s="253">
        <f>_xlfn.XLOOKUP(FMS_Ranking4[[#This Row],[FMS ID]],FMS_Input[FMS_ID],FMS_Input[NATURE])</f>
        <v>0</v>
      </c>
      <c r="BA106" s="262">
        <f>(((FMS_Ranking4[[#This Row],[% NBS Raw]]/AZ$4)*100)*AZ$5)</f>
        <v>0</v>
      </c>
      <c r="BB106" s="251" t="str">
        <f>_xlfn.XLOOKUP(FMS_Ranking4[[#This Row],[FMS ID]],FMS_Input[FMS_ID],FMS_Input[WATER_SUP])</f>
        <v>No</v>
      </c>
      <c r="BC106" s="265">
        <f>IF(FMS_Ranking4[[#This Row],[Water Supply Raw]]="Yes",10,0)</f>
        <v>0</v>
      </c>
      <c r="BD106" s="266">
        <f>_xlfn.XLOOKUP(FMS_Ranking4[[#This Row],[FMS Type]],FMS_TYPE[FMS_Type],FMS_TYPE[Score])</f>
        <v>6</v>
      </c>
      <c r="BE106" s="267">
        <f>FMS_Ranking4[[#This Row],[FMS_Type Score]]*$BD$5*10</f>
        <v>1.5000000000000002</v>
      </c>
      <c r="BF10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1.8685454017922292</v>
      </c>
      <c r="BG106" s="321">
        <f>_xlfn.RANK.EQ(BF106,$BF$8:$BF$870,0)+COUNTIF($BF$8:BF106,BF106)-1</f>
        <v>105</v>
      </c>
      <c r="BH106" s="294">
        <f>(((FMS_Ranking4[[#This Row],[Structures Removed Raw]]/AK$4)*100)*AK$5)+(((FMS_Ranking4[[#This Row],[Removed Pop Raw]]/AR$4)*100)*AR$5)</f>
        <v>0</v>
      </c>
      <c r="BI10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3.3685454017922294</v>
      </c>
      <c r="BJ106" s="251">
        <f>_xlfn.RANK.EQ(FMS_Ranking4[[#This Row],[Total Score 
(with linear
normalization)]],FMS_Ranking4[Total Score 
(with linear
normalization)],0)</f>
        <v>151</v>
      </c>
      <c r="BK106" s="251" t="e">
        <f>_xlfn.XLOOKUP(FMS_Ranking4[[#This Row],[FMS ID]],#REF!,#REF!)</f>
        <v>#REF!</v>
      </c>
      <c r="BL10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37.425206560657472</v>
      </c>
      <c r="BM106" s="324">
        <f>FMS_Ranking4[[#This Row],[ArcSinh Score Based on Normalized Reported Factors]]+FMS_Ranking4[[#This Row],[% NBS Score (Normalized)]]+(FMS_Ranking4[[#This Row],[Water Supply Score (Normalized)]]*10*$BB$5)+FMS_Ranking4[[#This Row],[FMS_Type Score Weighted]]</f>
        <v>38.925206560657472</v>
      </c>
      <c r="BN106" s="251">
        <f>_xlfn.RANK.EQ(FMS_Ranking4[[#This Row],[Total Score (with ArcSinh normalization of select criteria)]],FMS_Ranking4[Total Score (with ArcSinh normalization of select criteria)],0)</f>
        <v>99</v>
      </c>
      <c r="BO106" s="270" t="str">
        <f>_xlfn.XLOOKUP(FMS_Ranking4[[#This Row],[FMS ID]],FMS_Input[FMS_ID],FMS_Input[FMS_RANK_YEAR])</f>
        <v>2023 Amended Plan</v>
      </c>
      <c r="BP106" s="204">
        <f>_xlfn.XLOOKUP(FMS_Ranking4[[#This Row],[FMS ID]],Prev_Rank[FMS ID],Prev_Rank[Prev Rank])</f>
        <v>80</v>
      </c>
      <c r="BQ106" s="251" t="e">
        <f>_xlfn.XLOOKUP(FMS_Ranking4[[#This Row],[FMS ID]],#REF!,#REF!)</f>
        <v>#REF!</v>
      </c>
      <c r="BR106" s="199" t="e">
        <f>SUM(#REF!,#REF!,#REF!,#REF!,#REF!,#REF!,#REF!,#REF!,#REF!,FMS_Ranking4[[#This Row],[ArcSinh Res struct removed 0-10]],#REF!)</f>
        <v>#REF!</v>
      </c>
      <c r="BS106" s="199" t="e">
        <f>FMS_Ranking4[[#This Row],[Log Score Based on Normalized Reported Factors]]+FMS_Ranking4[[#This Row],[% NBS Score (Normalized)]]+(FMS_Ranking4[[#This Row],[Water Supply Score (Normalized)]]*10*$BB$5)+(FMS_Ranking4[[#This Row],[FMS_Type Score Weighted]])</f>
        <v>#REF!</v>
      </c>
      <c r="BT106" s="200" t="e">
        <f>_xlfn.RANK.EQ(FMS_Ranking4[[#This Row],[Log Total Score]],FMS_Ranking4[Log Total Score],0)</f>
        <v>#REF!</v>
      </c>
      <c r="BU106" s="200" t="e">
        <f>_xlfn.XLOOKUP(FMS_Ranking4[[#This Row],[FMS ID]],#REF!,#REF!)</f>
        <v>#REF!</v>
      </c>
      <c r="BV106" s="200">
        <f>FMS_Ranking4[[#This Row],[Region Number]]</f>
        <v>13</v>
      </c>
      <c r="BW106" s="200">
        <f>FMS_Ranking4[[#This Row],[Rank (with ArcSinh normalization of select criteria)]]-FMS_Ranking4[[#This Row],[Rank
(with linear
normalization)]]</f>
        <v>-52</v>
      </c>
      <c r="BX106" s="200" t="e">
        <f>FMS_Ranking4[[#This Row],[Log Rank]]-FMS_Ranking4[[#This Row],[Rank
(with linear
normalization)]]</f>
        <v>#REF!</v>
      </c>
      <c r="BY106" s="200" t="str">
        <f>IF(FMS_Ranking4[[#This Row],[FMS Type]]="Flood Measurement and Warning",FMS_Ranking4[[#This Row],[Rank (with ArcSinh normalization of select criteria)]],"")</f>
        <v/>
      </c>
      <c r="BZ106" s="200" t="str">
        <f>IF(FMS_Ranking4[[#This Row],[FMS Type]]="Regulatory and Guidance",FMS_Ranking4[[#This Row],[Rank (with ArcSinh normalization of select criteria)]],"")</f>
        <v/>
      </c>
      <c r="CA106" s="200">
        <f>IF(FMS_Ranking4[[#This Row],[FMS Type]]="Education and Outreach",FMS_Ranking4[[#This Row],[Rank (with ArcSinh normalization of select criteria)]],"")</f>
        <v>99</v>
      </c>
      <c r="CB106" s="200" t="str">
        <f>IF(FMS_Ranking4[[#This Row],[FMS Type]]="Property Acquisition and Structural Elevation",FMS_Ranking4[[#This Row],[Rank (with ArcSinh normalization of select criteria)]],"")</f>
        <v/>
      </c>
      <c r="CC106" s="200" t="str">
        <f>IF(FMS_Ranking4[[#This Row],[FMS Type]]="Infrastructure Projects",FMS_Ranking4[[#This Row],[Rank (with ArcSinh normalization of select criteria)]],"")</f>
        <v/>
      </c>
      <c r="CD106" s="200" t="str">
        <f>IF(FMS_Ranking4[[#This Row],[FMS Type]]="Other",FMS_Ranking4[[#This Row],[Rank (with ArcSinh normalization of select criteria)]],"")</f>
        <v/>
      </c>
      <c r="CE106" s="201"/>
    </row>
    <row r="107" spans="2:83" ht="60" x14ac:dyDescent="0.25">
      <c r="B107" s="341" t="s">
        <v>2679</v>
      </c>
      <c r="C107" s="246">
        <f>_xlfn.XLOOKUP(FMS_Ranking4[[#This Row],[FMS ID]],FMS_Input[FMS_ID],FMS_Input[RFPG_NUM])</f>
        <v>5</v>
      </c>
      <c r="D107" s="309" t="str">
        <f>_xlfn.XLOOKUP(FMS_Ranking4[[#This Row],[FMS ID]],FMS_Input[FMS_ID],FMS_Input[FMS_NAME])</f>
        <v>Angelina County Property Acquisition</v>
      </c>
      <c r="E107" s="308" t="str">
        <f>_xlfn.XLOOKUP(FMS_Ranking4[[#This Row],[FMS ID]],FMS_Input[FMS_ID],FMS_Input[SPONSOR])</f>
        <v>05000125</v>
      </c>
      <c r="F107" s="309" t="str">
        <f>_xlfn.XLOOKUP(FMS_Ranking4[[#This Row],[FMS ID]],Sponsor[FMS_ID],Sponsor[SPONSOR NAME])</f>
        <v>Angelina</v>
      </c>
      <c r="G107" s="309" t="str">
        <f>_xlfn.XLOOKUP(FMS_Ranking4[[#This Row],[FMS ID]],FMS_Input[FMS_ID],FMS_Input[FMS_DESCR])</f>
        <v>Acquire repetitive loss properties.</v>
      </c>
      <c r="H107" s="248" t="str">
        <f>_xlfn.XLOOKUP(FMS_Ranking4[[#This Row],[FMS ID]],FMS_Input[FMS_ID],FMS_Input[FMS_TYPE])</f>
        <v>Property Acquisition and Structural Elevation</v>
      </c>
      <c r="I107" s="249">
        <f>_xlfn.XLOOKUP(FMS_Ranking4[[#This Row],[FMS ID]],FMS_Input[FMS_ID],FMS_Input[NRNC_COST])</f>
        <v>500000</v>
      </c>
      <c r="J107" s="250">
        <f>_xlfn.XLOOKUP(FMS_Ranking4[[#This Row],[FMS ID]],FMS_Input[FMS_ID],FMS_Input[FMS_COST])</f>
        <v>2100000</v>
      </c>
      <c r="K107" s="251" t="str">
        <f>_xlfn.XLOOKUP(FMS_Ranking4[[#This Row],[FMS ID]],FMS_Input[FMS_ID],FMS_Input[EMER_NEED])</f>
        <v>Yes</v>
      </c>
      <c r="L107" s="252">
        <f t="shared" si="1"/>
        <v>1</v>
      </c>
      <c r="M107" s="253">
        <f>_xlfn.XLOOKUP(FMS_Ranking4[[#This Row],[FMS ID]],FMS_Input[FMS_ID],FMS_Input[STRUCT_100])</f>
        <v>1201</v>
      </c>
      <c r="N107" s="255">
        <f>(ASINH(FMS_Ranking4[[#This Row],[Structure at Risk Raw]]))*(10)/(ASINH(M$4))</f>
        <v>6.1194279362209647</v>
      </c>
      <c r="O107" s="256">
        <f>FMS_Ranking4[[#This Row],[Structures at risk, ArcSinh (0-10)]]*M$5*10</f>
        <v>6.1194279362209647</v>
      </c>
      <c r="P107" s="253">
        <f>_xlfn.XLOOKUP(FMS_Ranking4[[#This Row],[FMS ID]],FMS_Input[FMS_ID],FMS_Input[RES_STRUCT100])</f>
        <v>750</v>
      </c>
      <c r="Q107" s="257">
        <f>ASINH(FMS_Ranking4[[#This Row],[Res Structure Raw]])/Q$4*P$5*100</f>
        <v>0</v>
      </c>
      <c r="R107" s="253">
        <f>_xlfn.XLOOKUP(FMS_Ranking4[[#This Row],[FMS ID]],FMS_Input[FMS_ID],FMS_Input[POP100])</f>
        <v>8420</v>
      </c>
      <c r="S107" s="259">
        <f>(ASINH(FMS_Ranking4[[#This Row],[Pop at Risk Raw]]))*(10)/(ASINH(R$4))</f>
        <v>6.7182294832133325</v>
      </c>
      <c r="T107" s="256">
        <f>FMS_Ranking4[[#This Row],[Population at risk, ArcSinh (0-10)]]*R$5*10</f>
        <v>6.7182294832133325</v>
      </c>
      <c r="U107" s="253">
        <f>_xlfn.XLOOKUP(FMS_Ranking4[[#This Row],[FMS ID]],FMS_Input[FMS_ID],FMS_Input[CRITFAC100])</f>
        <v>11</v>
      </c>
      <c r="V107" s="259">
        <f>(ASINH(FMS_Ranking4[[#This Row],[Critical Facilities Raw]]))*(10)/(ASINH(U$4))</f>
        <v>3.661503455940549</v>
      </c>
      <c r="W107" s="256">
        <f>FMS_Ranking4[[#This Row],[Critical facilities at risk, ArcSinh (0-10)]]*U$5*10</f>
        <v>3.661503455940549</v>
      </c>
      <c r="X107" s="253">
        <f>_xlfn.XLOOKUP(FMS_Ranking4[[#This Row],[FMS ID]],FMS_Input[FMS_ID],FMS_Input[LWC])</f>
        <v>19</v>
      </c>
      <c r="Y107" s="259">
        <f>(ASINH(FMS_Ranking4[[#This Row],[LWC Raw]]))*(10)/(ASINH(X$4))</f>
        <v>4.9289126022409242</v>
      </c>
      <c r="Z107" s="256">
        <f>FMS_Ranking4[[#This Row],[LWC, ArcSInh (0-10)]]*X$5*10</f>
        <v>4.9289126022409242</v>
      </c>
      <c r="AA107" s="253">
        <f>_xlfn.XLOOKUP(FMS_Ranking4[[#This Row],[FMS ID]],FMS_Input[FMS_ID],FMS_Input[ROADCLS])</f>
        <v>19</v>
      </c>
      <c r="AB107" s="255">
        <f>(ASINH(FMS_Ranking4[[#This Row],[Road Closures Raw]]))*(10)/(ASINH(AA$4))</f>
        <v>3.7889325651726184</v>
      </c>
      <c r="AC107" s="256">
        <f>FMS_Ranking4[[#This Row],[Road closures, ArcSinh (0-10)]]*AA$5*10</f>
        <v>1.8944662825863092</v>
      </c>
      <c r="AD107" s="253">
        <f>_xlfn.XLOOKUP(FMS_Ranking4[[#This Row],[FMS ID]],FMS_Input[FMS_ID],FMS_Input[ROAD_MILES100])</f>
        <v>66</v>
      </c>
      <c r="AE107" s="259">
        <f>(ASINH(FMS_Ranking4[[#This Row],[Road Miles Raw]]))*(10)/(ASINH(AD$4))</f>
        <v>5.2037846312215725</v>
      </c>
      <c r="AF107" s="256">
        <f>FMS_Ranking4[[#This Row],[Length of roads at risk, ArcSinh (0-10)]]*AD$5*10</f>
        <v>5.2037846312215734</v>
      </c>
      <c r="AG107" s="253">
        <f>_xlfn.XLOOKUP(FMS_Ranking4[[#This Row],[FMS ID]],FMS_Input[FMS_ID],FMS_Input[FARMACRE100])</f>
        <v>165.36151123046881</v>
      </c>
      <c r="AH107" s="255">
        <f>(ASINH(FMS_Ranking4[[#This Row],[Ag Land Raw]]))*(10)/(ASINH(AG$4))</f>
        <v>3.7684107272959633</v>
      </c>
      <c r="AI107" s="260">
        <f>FMS_Ranking4[[#This Row],[Farm &amp; ranch land, ArcSinh (0-10)]]*AG$5*10</f>
        <v>1.8842053636479816</v>
      </c>
      <c r="AJ107" s="258">
        <f>_xlfn.XLOOKUP(FMS_Ranking4[[#This Row],[FMS ID]],FMS_Input[FMS_ID],FMS_Input[REDSTRUCT100])</f>
        <v>0</v>
      </c>
      <c r="AK107" s="253">
        <f>_xlfn.XLOOKUP(FMS_Ranking4[[#This Row],[FMS ID]],FMS_Input[FMS_ID],FMS_Input[REMSTRC100])</f>
        <v>0</v>
      </c>
      <c r="AL107" s="259">
        <f>(ASINH(FMS_Ranking4[[#This Row],[Structures Removed Raw]]))*(10)/(ASINH(AK$4))</f>
        <v>0</v>
      </c>
      <c r="AM107" s="262">
        <f>FMS_Ranking4[[#This Row],[Structures removed, ArcSinh (0-10)]]*AK$5*10</f>
        <v>0</v>
      </c>
      <c r="AN107" s="253">
        <f>_xlfn.XLOOKUP(FMS_Ranking4[[#This Row],[FMS ID]],FMS_Input[FMS_ID],FMS_Input[REMRESSTRC100])</f>
        <v>0</v>
      </c>
      <c r="AO107" s="261">
        <f>FMS_Ranking4[[#This Row],[ArcSinh Res struct removed 0-10]]*AN$5*10</f>
        <v>0</v>
      </c>
      <c r="AP107" s="260">
        <f>ASINH(FMS_Ranking4[[#This Row],[Residential Structures Removed Raw]])/AP$4*AN$5*100</f>
        <v>0</v>
      </c>
      <c r="AQ107" s="254">
        <f>(ASINH(FMS_Ranking4[[#This Row],[Residential Structures Removed Raw]]))*(10)/(ASINH(AN$4))</f>
        <v>0</v>
      </c>
      <c r="AR107" s="253">
        <f>_xlfn.XLOOKUP(FMS_Ranking4[[#This Row],[FMS ID]],FMS_Input[FMS_ID],FMS_Input[REMPOP100])</f>
        <v>0</v>
      </c>
      <c r="AS107" s="259">
        <f>(ASINH(FMS_Ranking4[[#This Row],[Removed Pop Raw]]))*(10)/(ASINH(AR$4))</f>
        <v>0</v>
      </c>
      <c r="AT107" s="262">
        <f>FMS_Ranking4[[#This Row],[Removed population, ArcSinh (0-10)]]*AR$5*10</f>
        <v>0</v>
      </c>
      <c r="AU107" s="264">
        <f>_xlfn.XLOOKUP(FMS_Ranking4[[#This Row],[FMS ID]],FMS_Input[FMS_ID],FMS_Input[REMCRITFAC100])</f>
        <v>0</v>
      </c>
      <c r="AV107" s="264">
        <f>_xlfn.XLOOKUP(FMS_Ranking4[[#This Row],[FMS ID]],FMS_Input[FMS_ID],FMS_Input[REMLWC100])</f>
        <v>0</v>
      </c>
      <c r="AW107" s="264">
        <f>_xlfn.XLOOKUP(FMS_Ranking4[[#This Row],[FMS ID]],FMS_Input[FMS_ID],FMS_Input[REMROADCLS])</f>
        <v>0</v>
      </c>
      <c r="AX107" s="264">
        <f>_xlfn.XLOOKUP(FMS_Ranking4[[#This Row],[FMS ID]],FMS_Input[FMS_ID],FMS_Input[REMFRMACRE100])</f>
        <v>0</v>
      </c>
      <c r="AY107" s="258">
        <f>_xlfn.XLOOKUP(FMS_Ranking4[[#This Row],[FMS ID]],FMS_Input[FMS_ID],FMS_Input[COSTSTRUCT])</f>
        <v>0</v>
      </c>
      <c r="AZ107" s="253">
        <f>_xlfn.XLOOKUP(FMS_Ranking4[[#This Row],[FMS ID]],FMS_Input[FMS_ID],FMS_Input[NATURE])</f>
        <v>100</v>
      </c>
      <c r="BA107" s="262">
        <f>(((FMS_Ranking4[[#This Row],[% NBS Raw]]/AZ$4)*100)*AZ$5)</f>
        <v>7.5</v>
      </c>
      <c r="BB107" s="251" t="str">
        <f>_xlfn.XLOOKUP(FMS_Ranking4[[#This Row],[FMS ID]],FMS_Input[FMS_ID],FMS_Input[WATER_SUP])</f>
        <v>No</v>
      </c>
      <c r="BC107" s="265">
        <f>IF(FMS_Ranking4[[#This Row],[Water Supply Raw]]="Yes",10,0)</f>
        <v>0</v>
      </c>
      <c r="BD107" s="266">
        <f>_xlfn.XLOOKUP(FMS_Ranking4[[#This Row],[FMS Type]],FMS_TYPE[FMS_Type],FMS_TYPE[Score])</f>
        <v>4</v>
      </c>
      <c r="BE107" s="267">
        <f>FMS_Ranking4[[#This Row],[FMS_Type Score]]*$BD$5*10</f>
        <v>1</v>
      </c>
      <c r="BF10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0.56601306413166153</v>
      </c>
      <c r="BG107" s="271">
        <f>_xlfn.RANK.EQ(BF107,$BF$8:$BF$870,0)+COUNTIF($BF$8:BF107,BF107)-1</f>
        <v>205</v>
      </c>
      <c r="BH107" s="268">
        <f>(((FMS_Ranking4[[#This Row],[Structures Removed Raw]]/AK$4)*100)*AK$5)+(((FMS_Ranking4[[#This Row],[Removed Pop Raw]]/AR$4)*100)*AR$5)</f>
        <v>0</v>
      </c>
      <c r="BI10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9.0660130641316616</v>
      </c>
      <c r="BJ107" s="205">
        <f>_xlfn.RANK.EQ(FMS_Ranking4[[#This Row],[Total Score 
(with linear
normalization)]],FMS_Ranking4[Total Score 
(with linear
normalization)],0)</f>
        <v>60</v>
      </c>
      <c r="BK107" s="205" t="e">
        <f>_xlfn.XLOOKUP(FMS_Ranking4[[#This Row],[FMS ID]],#REF!,#REF!)</f>
        <v>#REF!</v>
      </c>
      <c r="BL10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30.410529755071636</v>
      </c>
      <c r="BM107" s="272">
        <f>FMS_Ranking4[[#This Row],[ArcSinh Score Based on Normalized Reported Factors]]+FMS_Ranking4[[#This Row],[% NBS Score (Normalized)]]+(FMS_Ranking4[[#This Row],[Water Supply Score (Normalized)]]*10*$BB$5)+FMS_Ranking4[[#This Row],[FMS_Type Score Weighted]]</f>
        <v>38.910529755071636</v>
      </c>
      <c r="BN107" s="205">
        <f>_xlfn.RANK.EQ(FMS_Ranking4[[#This Row],[Total Score (with ArcSinh normalization of select criteria)]],FMS_Ranking4[Total Score (with ArcSinh normalization of select criteria)],0)</f>
        <v>100</v>
      </c>
      <c r="BO107" s="270" t="str">
        <f>_xlfn.XLOOKUP(FMS_Ranking4[[#This Row],[FMS ID]],FMS_Input[FMS_ID],FMS_Input[FMS_RANK_YEAR])</f>
        <v>2023 Amended Plan</v>
      </c>
      <c r="BP107" s="204">
        <f>_xlfn.XLOOKUP(FMS_Ranking4[[#This Row],[FMS ID]],Prev_Rank[FMS ID],Prev_Rank[Prev Rank])</f>
        <v>81</v>
      </c>
      <c r="BQ107" s="205" t="e">
        <f>_xlfn.XLOOKUP(FMS_Ranking4[[#This Row],[FMS ID]],#REF!,#REF!)</f>
        <v>#REF!</v>
      </c>
      <c r="BR107" s="199" t="e">
        <f>SUM(#REF!,#REF!,#REF!,#REF!,#REF!,#REF!,#REF!,#REF!,#REF!,FMS_Ranking4[[#This Row],[ArcSinh Res struct removed 0-10]],#REF!)</f>
        <v>#REF!</v>
      </c>
      <c r="BS107" s="199" t="e">
        <f>FMS_Ranking4[[#This Row],[Log Score Based on Normalized Reported Factors]]+FMS_Ranking4[[#This Row],[% NBS Score (Normalized)]]+(FMS_Ranking4[[#This Row],[Water Supply Score (Normalized)]]*10*$BB$5)+(FMS_Ranking4[[#This Row],[FMS_Type Score Weighted]])</f>
        <v>#REF!</v>
      </c>
      <c r="BT107" s="200" t="e">
        <f>_xlfn.RANK.EQ(FMS_Ranking4[[#This Row],[Log Total Score]],FMS_Ranking4[Log Total Score],0)</f>
        <v>#REF!</v>
      </c>
      <c r="BU107" s="200" t="e">
        <f>_xlfn.XLOOKUP(FMS_Ranking4[[#This Row],[FMS ID]],#REF!,#REF!)</f>
        <v>#REF!</v>
      </c>
      <c r="BV107" s="200">
        <f>FMS_Ranking4[[#This Row],[Region Number]]</f>
        <v>5</v>
      </c>
      <c r="BW107" s="200">
        <f>FMS_Ranking4[[#This Row],[Rank (with ArcSinh normalization of select criteria)]]-FMS_Ranking4[[#This Row],[Rank
(with linear
normalization)]]</f>
        <v>40</v>
      </c>
      <c r="BX107" s="200" t="e">
        <f>FMS_Ranking4[[#This Row],[Log Rank]]-FMS_Ranking4[[#This Row],[Rank
(with linear
normalization)]]</f>
        <v>#REF!</v>
      </c>
      <c r="BY107" s="200" t="str">
        <f>IF(FMS_Ranking4[[#This Row],[FMS Type]]="Flood Measurement and Warning",FMS_Ranking4[[#This Row],[Rank (with ArcSinh normalization of select criteria)]],"")</f>
        <v/>
      </c>
      <c r="BZ107" s="200" t="str">
        <f>IF(FMS_Ranking4[[#This Row],[FMS Type]]="Regulatory and Guidance",FMS_Ranking4[[#This Row],[Rank (with ArcSinh normalization of select criteria)]],"")</f>
        <v/>
      </c>
      <c r="CA107" s="200" t="str">
        <f>IF(FMS_Ranking4[[#This Row],[FMS Type]]="Education and Outreach",FMS_Ranking4[[#This Row],[Rank (with ArcSinh normalization of select criteria)]],"")</f>
        <v/>
      </c>
      <c r="CB107" s="200">
        <f>IF(FMS_Ranking4[[#This Row],[FMS Type]]="Property Acquisition and Structural Elevation",FMS_Ranking4[[#This Row],[Rank (with ArcSinh normalization of select criteria)]],"")</f>
        <v>100</v>
      </c>
      <c r="CC107" s="200" t="str">
        <f>IF(FMS_Ranking4[[#This Row],[FMS Type]]="Infrastructure Projects",FMS_Ranking4[[#This Row],[Rank (with ArcSinh normalization of select criteria)]],"")</f>
        <v/>
      </c>
      <c r="CD107" s="200" t="str">
        <f>IF(FMS_Ranking4[[#This Row],[FMS Type]]="Other",FMS_Ranking4[[#This Row],[Rank (with ArcSinh normalization of select criteria)]],"")</f>
        <v/>
      </c>
      <c r="CE107" s="201"/>
    </row>
    <row r="108" spans="2:83" ht="150" x14ac:dyDescent="0.25">
      <c r="B108" s="341" t="s">
        <v>3698</v>
      </c>
      <c r="C108" s="246">
        <f>_xlfn.XLOOKUP(FMS_Ranking4[[#This Row],[FMS ID]],FMS_Input[FMS_ID],FMS_Input[RFPG_NUM])</f>
        <v>13</v>
      </c>
      <c r="D108" s="309" t="str">
        <f>_xlfn.XLOOKUP(FMS_Ranking4[[#This Row],[FMS ID]],FMS_Input[FMS_ID],FMS_Input[FMS_NAME])</f>
        <v>Bee County Emergency Warning System</v>
      </c>
      <c r="E108" s="308" t="str">
        <f>_xlfn.XLOOKUP(FMS_Ranking4[[#This Row],[FMS ID]],FMS_Input[FMS_ID],FMS_Input[SPONSOR])</f>
        <v>13000087, 13002711</v>
      </c>
      <c r="F108" s="309" t="str">
        <f>_xlfn.XLOOKUP(FMS_Ranking4[[#This Row],[FMS ID]],Sponsor[FMS_ID],Sponsor[SPONSOR NAME])</f>
        <v>Bee, Beeville</v>
      </c>
      <c r="G108" s="309" t="str">
        <f>_xlfn.XLOOKUP(FMS_Ranking4[[#This Row],[FMS ID]],FMS_Input[FMS_ID],FMS_Input[FMS_DESCR])</f>
        <v>COASTAL BEND MITIGATION ACTION PLAN - BE - 05: Emergency Warning and Public Information System, Bee County and the City of Beeville's capacity to communicate warnings and emergency information to residents is limited to a siren in Beeville's city limits.</v>
      </c>
      <c r="H108" s="248" t="str">
        <f>_xlfn.XLOOKUP(FMS_Ranking4[[#This Row],[FMS ID]],FMS_Input[FMS_ID],FMS_Input[FMS_TYPE])</f>
        <v>Flood Measurement and Warning</v>
      </c>
      <c r="I108" s="249">
        <f>_xlfn.XLOOKUP(FMS_Ranking4[[#This Row],[FMS ID]],FMS_Input[FMS_ID],FMS_Input[NRNC_COST])</f>
        <v>250000</v>
      </c>
      <c r="J108" s="250">
        <f>_xlfn.XLOOKUP(FMS_Ranking4[[#This Row],[FMS ID]],FMS_Input[FMS_ID],FMS_Input[FMS_COST])</f>
        <v>250000</v>
      </c>
      <c r="K108" s="251" t="str">
        <f>_xlfn.XLOOKUP(FMS_Ranking4[[#This Row],[FMS ID]],FMS_Input[FMS_ID],FMS_Input[EMER_NEED])</f>
        <v>Yes</v>
      </c>
      <c r="L108" s="252">
        <f t="shared" si="1"/>
        <v>1</v>
      </c>
      <c r="M108" s="253">
        <f>_xlfn.XLOOKUP(FMS_Ranking4[[#This Row],[FMS ID]],FMS_Input[FMS_ID],FMS_Input[STRUCT_100])</f>
        <v>1617</v>
      </c>
      <c r="N108" s="255">
        <f>(ASINH(FMS_Ranking4[[#This Row],[Structure at Risk Raw]]))*(10)/(ASINH(M$4))</f>
        <v>6.3532427362310742</v>
      </c>
      <c r="O108" s="256">
        <f>FMS_Ranking4[[#This Row],[Structures at risk, ArcSinh (0-10)]]*M$5*10</f>
        <v>6.353242736231075</v>
      </c>
      <c r="P108" s="253">
        <f>_xlfn.XLOOKUP(FMS_Ranking4[[#This Row],[FMS ID]],FMS_Input[FMS_ID],FMS_Input[RES_STRUCT100])</f>
        <v>792</v>
      </c>
      <c r="Q108" s="257">
        <f>ASINH(FMS_Ranking4[[#This Row],[Res Structure Raw]])/Q$4*P$5*100</f>
        <v>0</v>
      </c>
      <c r="R108" s="253">
        <f>_xlfn.XLOOKUP(FMS_Ranking4[[#This Row],[FMS ID]],FMS_Input[FMS_ID],FMS_Input[POP100])</f>
        <v>6275</v>
      </c>
      <c r="S108" s="259">
        <f>(ASINH(FMS_Ranking4[[#This Row],[Pop at Risk Raw]]))*(10)/(ASINH(R$4))</f>
        <v>6.5152390792384107</v>
      </c>
      <c r="T108" s="256">
        <f>FMS_Ranking4[[#This Row],[Population at risk, ArcSinh (0-10)]]*R$5*10</f>
        <v>6.5152390792384107</v>
      </c>
      <c r="U108" s="253">
        <f>_xlfn.XLOOKUP(FMS_Ranking4[[#This Row],[FMS ID]],FMS_Input[FMS_ID],FMS_Input[CRITFAC100])</f>
        <v>27</v>
      </c>
      <c r="V108" s="259">
        <f>(ASINH(FMS_Ranking4[[#This Row],[Critical Facilities Raw]]))*(10)/(ASINH(U$4))</f>
        <v>4.7224220104193844</v>
      </c>
      <c r="W108" s="256">
        <f>FMS_Ranking4[[#This Row],[Critical facilities at risk, ArcSinh (0-10)]]*U$5*10</f>
        <v>4.7224220104193844</v>
      </c>
      <c r="X108" s="253">
        <f>_xlfn.XLOOKUP(FMS_Ranking4[[#This Row],[FMS ID]],FMS_Input[FMS_ID],FMS_Input[LWC])</f>
        <v>34</v>
      </c>
      <c r="Y108" s="259">
        <f>(ASINH(FMS_Ranking4[[#This Row],[LWC Raw]]))*(10)/(ASINH(X$4))</f>
        <v>5.7166193773268246</v>
      </c>
      <c r="Z108" s="256">
        <f>FMS_Ranking4[[#This Row],[LWC, ArcSInh (0-10)]]*X$5*10</f>
        <v>5.7166193773268246</v>
      </c>
      <c r="AA108" s="253">
        <f>_xlfn.XLOOKUP(FMS_Ranking4[[#This Row],[FMS ID]],FMS_Input[FMS_ID],FMS_Input[ROADCLS])</f>
        <v>399</v>
      </c>
      <c r="AB108" s="255">
        <f>(ASINH(FMS_Ranking4[[#This Row],[Road Closures Raw]]))*(10)/(ASINH(AA$4))</f>
        <v>6.9588044348563516</v>
      </c>
      <c r="AC108" s="256">
        <f>FMS_Ranking4[[#This Row],[Road closures, ArcSinh (0-10)]]*AA$5*10</f>
        <v>3.4794022174281758</v>
      </c>
      <c r="AD108" s="253">
        <f>_xlfn.XLOOKUP(FMS_Ranking4[[#This Row],[FMS ID]],FMS_Input[FMS_ID],FMS_Input[ROAD_MILES100])</f>
        <v>113</v>
      </c>
      <c r="AE108" s="259">
        <f>(ASINH(FMS_Ranking4[[#This Row],[Road Miles Raw]]))*(10)/(ASINH(AD$4))</f>
        <v>5.7768198534960975</v>
      </c>
      <c r="AF108" s="256">
        <f>FMS_Ranking4[[#This Row],[Length of roads at risk, ArcSinh (0-10)]]*AD$5*10</f>
        <v>5.7768198534960984</v>
      </c>
      <c r="AG108" s="253">
        <f>_xlfn.XLOOKUP(FMS_Ranking4[[#This Row],[FMS ID]],FMS_Input[FMS_ID],FMS_Input[FARMACRE100])</f>
        <v>10462.880859375</v>
      </c>
      <c r="AH108" s="255">
        <f>(ASINH(FMS_Ranking4[[#This Row],[Ag Land Raw]]))*(10)/(ASINH(AG$4))</f>
        <v>6.4625147431367562</v>
      </c>
      <c r="AI108" s="260">
        <f>FMS_Ranking4[[#This Row],[Farm &amp; ranch land, ArcSinh (0-10)]]*AG$5*10</f>
        <v>3.2312573715683786</v>
      </c>
      <c r="AJ108" s="258">
        <f>_xlfn.XLOOKUP(FMS_Ranking4[[#This Row],[FMS ID]],FMS_Input[FMS_ID],FMS_Input[REDSTRUCT100])</f>
        <v>0</v>
      </c>
      <c r="AK108" s="253">
        <f>_xlfn.XLOOKUP(FMS_Ranking4[[#This Row],[FMS ID]],FMS_Input[FMS_ID],FMS_Input[REMSTRC100])</f>
        <v>0</v>
      </c>
      <c r="AL108" s="259">
        <f>(ASINH(FMS_Ranking4[[#This Row],[Structures Removed Raw]]))*(10)/(ASINH(AK$4))</f>
        <v>0</v>
      </c>
      <c r="AM108" s="262">
        <f>FMS_Ranking4[[#This Row],[Structures removed, ArcSinh (0-10)]]*AK$5*10</f>
        <v>0</v>
      </c>
      <c r="AN108" s="253">
        <f>_xlfn.XLOOKUP(FMS_Ranking4[[#This Row],[FMS ID]],FMS_Input[FMS_ID],FMS_Input[REMRESSTRC100])</f>
        <v>0</v>
      </c>
      <c r="AO108" s="261">
        <f>FMS_Ranking4[[#This Row],[ArcSinh Res struct removed 0-10]]*AN$5*10</f>
        <v>0</v>
      </c>
      <c r="AP108" s="260">
        <f>ASINH(FMS_Ranking4[[#This Row],[Residential Structures Removed Raw]])/AP$4*AN$5*100</f>
        <v>0</v>
      </c>
      <c r="AQ108" s="254">
        <f>(ASINH(FMS_Ranking4[[#This Row],[Residential Structures Removed Raw]]))*(10)/(ASINH(AN$4))</f>
        <v>0</v>
      </c>
      <c r="AR108" s="253">
        <f>_xlfn.XLOOKUP(FMS_Ranking4[[#This Row],[FMS ID]],FMS_Input[FMS_ID],FMS_Input[REMPOP100])</f>
        <v>0</v>
      </c>
      <c r="AS108" s="259">
        <f>(ASINH(FMS_Ranking4[[#This Row],[Removed Pop Raw]]))*(10)/(ASINH(AR$4))</f>
        <v>0</v>
      </c>
      <c r="AT108" s="262">
        <f>FMS_Ranking4[[#This Row],[Removed population, ArcSinh (0-10)]]*AR$5*10</f>
        <v>0</v>
      </c>
      <c r="AU108" s="264">
        <f>_xlfn.XLOOKUP(FMS_Ranking4[[#This Row],[FMS ID]],FMS_Input[FMS_ID],FMS_Input[REMCRITFAC100])</f>
        <v>0</v>
      </c>
      <c r="AV108" s="264">
        <f>_xlfn.XLOOKUP(FMS_Ranking4[[#This Row],[FMS ID]],FMS_Input[FMS_ID],FMS_Input[REMLWC100])</f>
        <v>0</v>
      </c>
      <c r="AW108" s="264">
        <f>_xlfn.XLOOKUP(FMS_Ranking4[[#This Row],[FMS ID]],FMS_Input[FMS_ID],FMS_Input[REMROADCLS])</f>
        <v>0</v>
      </c>
      <c r="AX108" s="264">
        <f>_xlfn.XLOOKUP(FMS_Ranking4[[#This Row],[FMS ID]],FMS_Input[FMS_ID],FMS_Input[REMFRMACRE100])</f>
        <v>0</v>
      </c>
      <c r="AY108" s="258">
        <f>_xlfn.XLOOKUP(FMS_Ranking4[[#This Row],[FMS ID]],FMS_Input[FMS_ID],FMS_Input[COSTSTRUCT])</f>
        <v>0</v>
      </c>
      <c r="AZ108" s="253">
        <f>_xlfn.XLOOKUP(FMS_Ranking4[[#This Row],[FMS ID]],FMS_Input[FMS_ID],FMS_Input[NATURE])</f>
        <v>0</v>
      </c>
      <c r="BA108" s="262">
        <f>(((FMS_Ranking4[[#This Row],[% NBS Raw]]/AZ$4)*100)*AZ$5)</f>
        <v>0</v>
      </c>
      <c r="BB108" s="251" t="str">
        <f>_xlfn.XLOOKUP(FMS_Ranking4[[#This Row],[FMS ID]],FMS_Input[FMS_ID],FMS_Input[WATER_SUP])</f>
        <v>No</v>
      </c>
      <c r="BC108" s="265">
        <f>IF(FMS_Ranking4[[#This Row],[Water Supply Raw]]="Yes",10,0)</f>
        <v>0</v>
      </c>
      <c r="BD108" s="266">
        <f>_xlfn.XLOOKUP(FMS_Ranking4[[#This Row],[FMS Type]],FMS_TYPE[FMS_Type],FMS_TYPE[Score])</f>
        <v>10</v>
      </c>
      <c r="BE108" s="267">
        <f>FMS_Ranking4[[#This Row],[FMS_Type Score]]*$BD$5*10</f>
        <v>2.5</v>
      </c>
      <c r="BF10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1.1814009014098634</v>
      </c>
      <c r="BG108" s="271">
        <f>_xlfn.RANK.EQ(BF108,$BF$8:$BF$870,0)+COUNTIF($BF$8:BF108,BF108)-1</f>
        <v>126</v>
      </c>
      <c r="BH108" s="268">
        <f>(((FMS_Ranking4[[#This Row],[Structures Removed Raw]]/AK$4)*100)*AK$5)+(((FMS_Ranking4[[#This Row],[Removed Pop Raw]]/AR$4)*100)*AR$5)</f>
        <v>0</v>
      </c>
      <c r="BI10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3.6814009014098632</v>
      </c>
      <c r="BJ108" s="205">
        <f>_xlfn.RANK.EQ(FMS_Ranking4[[#This Row],[Total Score 
(with linear
normalization)]],FMS_Ranking4[Total Score 
(with linear
normalization)],0)</f>
        <v>142</v>
      </c>
      <c r="BK108" s="205" t="e">
        <f>_xlfn.XLOOKUP(FMS_Ranking4[[#This Row],[FMS ID]],#REF!,#REF!)</f>
        <v>#REF!</v>
      </c>
      <c r="BL10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35.795002645708351</v>
      </c>
      <c r="BM108" s="272">
        <f>FMS_Ranking4[[#This Row],[ArcSinh Score Based on Normalized Reported Factors]]+FMS_Ranking4[[#This Row],[% NBS Score (Normalized)]]+(FMS_Ranking4[[#This Row],[Water Supply Score (Normalized)]]*10*$BB$5)+FMS_Ranking4[[#This Row],[FMS_Type Score Weighted]]</f>
        <v>38.295002645708351</v>
      </c>
      <c r="BN108" s="205">
        <f>_xlfn.RANK.EQ(FMS_Ranking4[[#This Row],[Total Score (with ArcSinh normalization of select criteria)]],FMS_Ranking4[Total Score (with ArcSinh normalization of select criteria)],0)</f>
        <v>101</v>
      </c>
      <c r="BO108" s="270" t="str">
        <f>_xlfn.XLOOKUP(FMS_Ranking4[[#This Row],[FMS ID]],FMS_Input[FMS_ID],FMS_Input[FMS_RANK_YEAR])</f>
        <v>2023 Amended Plan</v>
      </c>
      <c r="BP108" s="204">
        <f>_xlfn.XLOOKUP(FMS_Ranking4[[#This Row],[FMS ID]],Prev_Rank[FMS ID],Prev_Rank[Prev Rank])</f>
        <v>83</v>
      </c>
      <c r="BQ108" s="205" t="e">
        <f>_xlfn.XLOOKUP(FMS_Ranking4[[#This Row],[FMS ID]],#REF!,#REF!)</f>
        <v>#REF!</v>
      </c>
      <c r="BR108" s="199" t="e">
        <f>SUM(#REF!,#REF!,#REF!,#REF!,#REF!,#REF!,#REF!,#REF!,#REF!,FMS_Ranking4[[#This Row],[ArcSinh Res struct removed 0-10]],#REF!)</f>
        <v>#REF!</v>
      </c>
      <c r="BS108" s="199" t="e">
        <f>FMS_Ranking4[[#This Row],[Log Score Based on Normalized Reported Factors]]+FMS_Ranking4[[#This Row],[% NBS Score (Normalized)]]+(FMS_Ranking4[[#This Row],[Water Supply Score (Normalized)]]*10*$BB$5)+(FMS_Ranking4[[#This Row],[FMS_Type Score Weighted]])</f>
        <v>#REF!</v>
      </c>
      <c r="BT108" s="200" t="e">
        <f>_xlfn.RANK.EQ(FMS_Ranking4[[#This Row],[Log Total Score]],FMS_Ranking4[Log Total Score],0)</f>
        <v>#REF!</v>
      </c>
      <c r="BU108" s="200" t="e">
        <f>_xlfn.XLOOKUP(FMS_Ranking4[[#This Row],[FMS ID]],#REF!,#REF!)</f>
        <v>#REF!</v>
      </c>
      <c r="BV108" s="200">
        <f>FMS_Ranking4[[#This Row],[Region Number]]</f>
        <v>13</v>
      </c>
      <c r="BW108" s="200">
        <f>FMS_Ranking4[[#This Row],[Rank (with ArcSinh normalization of select criteria)]]-FMS_Ranking4[[#This Row],[Rank
(with linear
normalization)]]</f>
        <v>-41</v>
      </c>
      <c r="BX108" s="200" t="e">
        <f>FMS_Ranking4[[#This Row],[Log Rank]]-FMS_Ranking4[[#This Row],[Rank
(with linear
normalization)]]</f>
        <v>#REF!</v>
      </c>
      <c r="BY108" s="200">
        <f>IF(FMS_Ranking4[[#This Row],[FMS Type]]="Flood Measurement and Warning",FMS_Ranking4[[#This Row],[Rank (with ArcSinh normalization of select criteria)]],"")</f>
        <v>101</v>
      </c>
      <c r="BZ108" s="200" t="str">
        <f>IF(FMS_Ranking4[[#This Row],[FMS Type]]="Regulatory and Guidance",FMS_Ranking4[[#This Row],[Rank (with ArcSinh normalization of select criteria)]],"")</f>
        <v/>
      </c>
      <c r="CA108" s="200" t="str">
        <f>IF(FMS_Ranking4[[#This Row],[FMS Type]]="Education and Outreach",FMS_Ranking4[[#This Row],[Rank (with ArcSinh normalization of select criteria)]],"")</f>
        <v/>
      </c>
      <c r="CB108" s="200" t="str">
        <f>IF(FMS_Ranking4[[#This Row],[FMS Type]]="Property Acquisition and Structural Elevation",FMS_Ranking4[[#This Row],[Rank (with ArcSinh normalization of select criteria)]],"")</f>
        <v/>
      </c>
      <c r="CC108" s="200" t="str">
        <f>IF(FMS_Ranking4[[#This Row],[FMS Type]]="Infrastructure Projects",FMS_Ranking4[[#This Row],[Rank (with ArcSinh normalization of select criteria)]],"")</f>
        <v/>
      </c>
      <c r="CD108" s="200" t="str">
        <f>IF(FMS_Ranking4[[#This Row],[FMS Type]]="Other",FMS_Ranking4[[#This Row],[Rank (with ArcSinh normalization of select criteria)]],"")</f>
        <v/>
      </c>
      <c r="CE108" s="201"/>
    </row>
    <row r="109" spans="2:83" ht="60" x14ac:dyDescent="0.25">
      <c r="B109" s="341" t="s">
        <v>2477</v>
      </c>
      <c r="C109" s="246">
        <f>_xlfn.XLOOKUP(FMS_Ranking4[[#This Row],[FMS ID]],FMS_Input[FMS_ID],FMS_Input[RFPG_NUM])</f>
        <v>3</v>
      </c>
      <c r="D109" s="309" t="str">
        <f>_xlfn.XLOOKUP(FMS_Ranking4[[#This Row],[FMS ID]],FMS_Input[FMS_ID],FMS_Input[FMS_NAME])</f>
        <v>City of Fort Worth Open Space Conservation</v>
      </c>
      <c r="E109" s="308" t="str">
        <f>_xlfn.XLOOKUP(FMS_Ranking4[[#This Row],[FMS ID]],FMS_Input[FMS_ID],FMS_Input[SPONSOR])</f>
        <v>Fort Worth</v>
      </c>
      <c r="F109" s="309" t="str">
        <f>_xlfn.XLOOKUP(FMS_Ranking4[[#This Row],[FMS ID]],Sponsor[FMS_ID],Sponsor[SPONSOR NAME])</f>
        <v>Fort Worth</v>
      </c>
      <c r="G109" s="309" t="str">
        <f>_xlfn.XLOOKUP(FMS_Ranking4[[#This Row],[FMS ID]],FMS_Input[FMS_ID],FMS_Input[FMS_DESCR])</f>
        <v>Acquire open space to preserve floodplains and upland watershed areas.</v>
      </c>
      <c r="H109" s="248" t="str">
        <f>_xlfn.XLOOKUP(FMS_Ranking4[[#This Row],[FMS ID]],FMS_Input[FMS_ID],FMS_Input[FMS_TYPE])</f>
        <v>Property Acquisition and Structural Elevation</v>
      </c>
      <c r="I109" s="249">
        <f>_xlfn.XLOOKUP(FMS_Ranking4[[#This Row],[FMS ID]],FMS_Input[FMS_ID],FMS_Input[NRNC_COST])</f>
        <v>3000000</v>
      </c>
      <c r="J109" s="250">
        <f>_xlfn.XLOOKUP(FMS_Ranking4[[#This Row],[FMS ID]],FMS_Input[FMS_ID],FMS_Input[FMS_COST])</f>
        <v>30000000</v>
      </c>
      <c r="K109" s="251" t="str">
        <f>_xlfn.XLOOKUP(FMS_Ranking4[[#This Row],[FMS ID]],FMS_Input[FMS_ID],FMS_Input[EMER_NEED])</f>
        <v>No</v>
      </c>
      <c r="L109" s="252">
        <f t="shared" si="1"/>
        <v>0</v>
      </c>
      <c r="M109" s="253">
        <f>_xlfn.XLOOKUP(FMS_Ranking4[[#This Row],[FMS ID]],FMS_Input[FMS_ID],FMS_Input[STRUCT_100])</f>
        <v>5921</v>
      </c>
      <c r="N109" s="255">
        <f>(ASINH(FMS_Ranking4[[#This Row],[Structure at Risk Raw]]))*(10)/(ASINH(M$4))</f>
        <v>7.3736110800325401</v>
      </c>
      <c r="O109" s="256">
        <f>FMS_Ranking4[[#This Row],[Structures at risk, ArcSinh (0-10)]]*M$5*10</f>
        <v>7.373611080032541</v>
      </c>
      <c r="P109" s="253">
        <f>_xlfn.XLOOKUP(FMS_Ranking4[[#This Row],[FMS ID]],FMS_Input[FMS_ID],FMS_Input[RES_STRUCT100])</f>
        <v>5086</v>
      </c>
      <c r="Q109" s="257">
        <f>ASINH(FMS_Ranking4[[#This Row],[Res Structure Raw]])/Q$4*P$5*100</f>
        <v>0</v>
      </c>
      <c r="R109" s="253">
        <f>_xlfn.XLOOKUP(FMS_Ranking4[[#This Row],[FMS ID]],FMS_Input[FMS_ID],FMS_Input[POP100])</f>
        <v>15932</v>
      </c>
      <c r="S109" s="259">
        <f>(ASINH(FMS_Ranking4[[#This Row],[Pop at Risk Raw]]))*(10)/(ASINH(R$4))</f>
        <v>7.1584846117145871</v>
      </c>
      <c r="T109" s="256">
        <f>FMS_Ranking4[[#This Row],[Population at risk, ArcSinh (0-10)]]*R$5*10</f>
        <v>7.1584846117145871</v>
      </c>
      <c r="U109" s="253">
        <f>_xlfn.XLOOKUP(FMS_Ranking4[[#This Row],[FMS ID]],FMS_Input[FMS_ID],FMS_Input[CRITFAC100])</f>
        <v>1</v>
      </c>
      <c r="V109" s="259">
        <f>(ASINH(FMS_Ranking4[[#This Row],[Critical Facilities Raw]]))*(10)/(ASINH(U$4))</f>
        <v>1.0433384451410745</v>
      </c>
      <c r="W109" s="256">
        <f>FMS_Ranking4[[#This Row],[Critical facilities at risk, ArcSinh (0-10)]]*U$5*10</f>
        <v>1.0433384451410745</v>
      </c>
      <c r="X109" s="253">
        <f>_xlfn.XLOOKUP(FMS_Ranking4[[#This Row],[FMS ID]],FMS_Input[FMS_ID],FMS_Input[LWC])</f>
        <v>15</v>
      </c>
      <c r="Y109" s="259">
        <f>(ASINH(FMS_Ranking4[[#This Row],[LWC Raw]]))*(10)/(ASINH(X$4))</f>
        <v>4.6092333449203755</v>
      </c>
      <c r="Z109" s="256">
        <f>FMS_Ranking4[[#This Row],[LWC, ArcSInh (0-10)]]*X$5*10</f>
        <v>4.6092333449203764</v>
      </c>
      <c r="AA109" s="253">
        <f>_xlfn.XLOOKUP(FMS_Ranking4[[#This Row],[FMS ID]],FMS_Input[FMS_ID],FMS_Input[ROADCLS])</f>
        <v>0</v>
      </c>
      <c r="AB109" s="255">
        <f>(ASINH(FMS_Ranking4[[#This Row],[Road Closures Raw]]))*(10)/(ASINH(AA$4))</f>
        <v>0</v>
      </c>
      <c r="AC109" s="256">
        <f>FMS_Ranking4[[#This Row],[Road closures, ArcSinh (0-10)]]*AA$5*10</f>
        <v>0</v>
      </c>
      <c r="AD109" s="253">
        <f>_xlfn.XLOOKUP(FMS_Ranking4[[#This Row],[FMS ID]],FMS_Input[FMS_ID],FMS_Input[ROAD_MILES100])</f>
        <v>185</v>
      </c>
      <c r="AE109" s="259">
        <f>(ASINH(FMS_Ranking4[[#This Row],[Road Miles Raw]]))*(10)/(ASINH(AD$4))</f>
        <v>6.302175040583557</v>
      </c>
      <c r="AF109" s="256">
        <f>FMS_Ranking4[[#This Row],[Length of roads at risk, ArcSinh (0-10)]]*AD$5*10</f>
        <v>6.3021750405835579</v>
      </c>
      <c r="AG109" s="253">
        <f>_xlfn.XLOOKUP(FMS_Ranking4[[#This Row],[FMS ID]],FMS_Input[FMS_ID],FMS_Input[FARMACRE100])</f>
        <v>7266.1318359375</v>
      </c>
      <c r="AH109" s="255">
        <f>(ASINH(FMS_Ranking4[[#This Row],[Ag Land Raw]]))*(10)/(ASINH(AG$4))</f>
        <v>6.2256710013461438</v>
      </c>
      <c r="AI109" s="260">
        <f>FMS_Ranking4[[#This Row],[Farm &amp; ranch land, ArcSinh (0-10)]]*AG$5*10</f>
        <v>3.1128355006730724</v>
      </c>
      <c r="AJ109" s="258">
        <f>_xlfn.XLOOKUP(FMS_Ranking4[[#This Row],[FMS ID]],FMS_Input[FMS_ID],FMS_Input[REDSTRUCT100])</f>
        <v>0</v>
      </c>
      <c r="AK109" s="253">
        <f>_xlfn.XLOOKUP(FMS_Ranking4[[#This Row],[FMS ID]],FMS_Input[FMS_ID],FMS_Input[REMSTRC100])</f>
        <v>0</v>
      </c>
      <c r="AL109" s="259">
        <f>(ASINH(FMS_Ranking4[[#This Row],[Structures Removed Raw]]))*(10)/(ASINH(AK$4))</f>
        <v>0</v>
      </c>
      <c r="AM109" s="262">
        <f>FMS_Ranking4[[#This Row],[Structures removed, ArcSinh (0-10)]]*AK$5*10</f>
        <v>0</v>
      </c>
      <c r="AN109" s="253">
        <f>_xlfn.XLOOKUP(FMS_Ranking4[[#This Row],[FMS ID]],FMS_Input[FMS_ID],FMS_Input[REMRESSTRC100])</f>
        <v>0</v>
      </c>
      <c r="AO109" s="261">
        <f>FMS_Ranking4[[#This Row],[ArcSinh Res struct removed 0-10]]*AN$5*10</f>
        <v>0</v>
      </c>
      <c r="AP109" s="260">
        <f>ASINH(FMS_Ranking4[[#This Row],[Residential Structures Removed Raw]])/AP$4*AN$5*100</f>
        <v>0</v>
      </c>
      <c r="AQ109" s="254">
        <f>(ASINH(FMS_Ranking4[[#This Row],[Residential Structures Removed Raw]]))*(10)/(ASINH(AN$4))</f>
        <v>0</v>
      </c>
      <c r="AR109" s="253">
        <f>_xlfn.XLOOKUP(FMS_Ranking4[[#This Row],[FMS ID]],FMS_Input[FMS_ID],FMS_Input[REMPOP100])</f>
        <v>0</v>
      </c>
      <c r="AS109" s="259">
        <f>(ASINH(FMS_Ranking4[[#This Row],[Removed Pop Raw]]))*(10)/(ASINH(AR$4))</f>
        <v>0</v>
      </c>
      <c r="AT109" s="262">
        <f>FMS_Ranking4[[#This Row],[Removed population, ArcSinh (0-10)]]*AR$5*10</f>
        <v>0</v>
      </c>
      <c r="AU109" s="264">
        <f>_xlfn.XLOOKUP(FMS_Ranking4[[#This Row],[FMS ID]],FMS_Input[FMS_ID],FMS_Input[REMCRITFAC100])</f>
        <v>0</v>
      </c>
      <c r="AV109" s="264">
        <f>_xlfn.XLOOKUP(FMS_Ranking4[[#This Row],[FMS ID]],FMS_Input[FMS_ID],FMS_Input[REMLWC100])</f>
        <v>0</v>
      </c>
      <c r="AW109" s="264">
        <f>_xlfn.XLOOKUP(FMS_Ranking4[[#This Row],[FMS ID]],FMS_Input[FMS_ID],FMS_Input[REMROADCLS])</f>
        <v>0</v>
      </c>
      <c r="AX109" s="264">
        <f>_xlfn.XLOOKUP(FMS_Ranking4[[#This Row],[FMS ID]],FMS_Input[FMS_ID],FMS_Input[REMFRMACRE100])</f>
        <v>0</v>
      </c>
      <c r="AY109" s="258">
        <f>_xlfn.XLOOKUP(FMS_Ranking4[[#This Row],[FMS ID]],FMS_Input[FMS_ID],FMS_Input[COSTSTRUCT])</f>
        <v>0</v>
      </c>
      <c r="AZ109" s="253">
        <f>_xlfn.XLOOKUP(FMS_Ranking4[[#This Row],[FMS ID]],FMS_Input[FMS_ID],FMS_Input[NATURE])</f>
        <v>100</v>
      </c>
      <c r="BA109" s="262">
        <f>(((FMS_Ranking4[[#This Row],[% NBS Raw]]/AZ$4)*100)*AZ$5)</f>
        <v>7.5</v>
      </c>
      <c r="BB109" s="251" t="str">
        <f>_xlfn.XLOOKUP(FMS_Ranking4[[#This Row],[FMS ID]],FMS_Input[FMS_ID],FMS_Input[WATER_SUP])</f>
        <v>No</v>
      </c>
      <c r="BC109" s="265">
        <f>IF(FMS_Ranking4[[#This Row],[Water Supply Raw]]="Yes",10,0)</f>
        <v>0</v>
      </c>
      <c r="BD109" s="266">
        <f>_xlfn.XLOOKUP(FMS_Ranking4[[#This Row],[FMS Type]],FMS_TYPE[FMS_Type],FMS_TYPE[Score])</f>
        <v>4</v>
      </c>
      <c r="BE109" s="267">
        <f>FMS_Ranking4[[#This Row],[FMS_Type Score]]*$BD$5*10</f>
        <v>1</v>
      </c>
      <c r="BF10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1.034478995969591</v>
      </c>
      <c r="BG109" s="271">
        <f>_xlfn.RANK.EQ(BF109,$BF$8:$BF$870,0)+COUNTIF($BF$8:BF109,BF109)-1</f>
        <v>146</v>
      </c>
      <c r="BH109" s="268">
        <f>(((FMS_Ranking4[[#This Row],[Structures Removed Raw]]/AK$4)*100)*AK$5)+(((FMS_Ranking4[[#This Row],[Removed Pop Raw]]/AR$4)*100)*AR$5)</f>
        <v>0</v>
      </c>
      <c r="BI10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9.5344789959695913</v>
      </c>
      <c r="BJ109" s="205">
        <f>_xlfn.RANK.EQ(FMS_Ranking4[[#This Row],[Total Score 
(with linear
normalization)]],FMS_Ranking4[Total Score 
(with linear
normalization)],0)</f>
        <v>57</v>
      </c>
      <c r="BK109" s="205" t="e">
        <f>_xlfn.XLOOKUP(FMS_Ranking4[[#This Row],[FMS ID]],#REF!,#REF!)</f>
        <v>#REF!</v>
      </c>
      <c r="BL10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29.599678023065209</v>
      </c>
      <c r="BM109" s="272">
        <f>FMS_Ranking4[[#This Row],[ArcSinh Score Based on Normalized Reported Factors]]+FMS_Ranking4[[#This Row],[% NBS Score (Normalized)]]+(FMS_Ranking4[[#This Row],[Water Supply Score (Normalized)]]*10*$BB$5)+FMS_Ranking4[[#This Row],[FMS_Type Score Weighted]]</f>
        <v>38.099678023065209</v>
      </c>
      <c r="BN109" s="205">
        <f>_xlfn.RANK.EQ(FMS_Ranking4[[#This Row],[Total Score (with ArcSinh normalization of select criteria)]],FMS_Ranking4[Total Score (with ArcSinh normalization of select criteria)],0)</f>
        <v>102</v>
      </c>
      <c r="BO109" s="270" t="str">
        <f>_xlfn.XLOOKUP(FMS_Ranking4[[#This Row],[FMS ID]],FMS_Input[FMS_ID],FMS_Input[FMS_RANK_YEAR])</f>
        <v>2023 Amended Plan</v>
      </c>
      <c r="BP109" s="204">
        <f>_xlfn.XLOOKUP(FMS_Ranking4[[#This Row],[FMS ID]],Prev_Rank[FMS ID],Prev_Rank[Prev Rank])</f>
        <v>82</v>
      </c>
      <c r="BQ109" s="205" t="e">
        <f>_xlfn.XLOOKUP(FMS_Ranking4[[#This Row],[FMS ID]],#REF!,#REF!)</f>
        <v>#REF!</v>
      </c>
      <c r="BR109" s="199" t="e">
        <f>SUM(#REF!,#REF!,#REF!,#REF!,#REF!,#REF!,#REF!,#REF!,#REF!,FMS_Ranking4[[#This Row],[ArcSinh Res struct removed 0-10]],#REF!)</f>
        <v>#REF!</v>
      </c>
      <c r="BS109" s="199" t="e">
        <f>FMS_Ranking4[[#This Row],[Log Score Based on Normalized Reported Factors]]+FMS_Ranking4[[#This Row],[% NBS Score (Normalized)]]+(FMS_Ranking4[[#This Row],[Water Supply Score (Normalized)]]*10*$BB$5)+(FMS_Ranking4[[#This Row],[FMS_Type Score Weighted]])</f>
        <v>#REF!</v>
      </c>
      <c r="BT109" s="200" t="e">
        <f>_xlfn.RANK.EQ(FMS_Ranking4[[#This Row],[Log Total Score]],FMS_Ranking4[Log Total Score],0)</f>
        <v>#REF!</v>
      </c>
      <c r="BU109" s="200" t="e">
        <f>_xlfn.XLOOKUP(FMS_Ranking4[[#This Row],[FMS ID]],#REF!,#REF!)</f>
        <v>#REF!</v>
      </c>
      <c r="BV109" s="200">
        <f>FMS_Ranking4[[#This Row],[Region Number]]</f>
        <v>3</v>
      </c>
      <c r="BW109" s="200">
        <f>FMS_Ranking4[[#This Row],[Rank (with ArcSinh normalization of select criteria)]]-FMS_Ranking4[[#This Row],[Rank
(with linear
normalization)]]</f>
        <v>45</v>
      </c>
      <c r="BX109" s="200" t="e">
        <f>FMS_Ranking4[[#This Row],[Log Rank]]-FMS_Ranking4[[#This Row],[Rank
(with linear
normalization)]]</f>
        <v>#REF!</v>
      </c>
      <c r="BY109" s="200" t="str">
        <f>IF(FMS_Ranking4[[#This Row],[FMS Type]]="Flood Measurement and Warning",FMS_Ranking4[[#This Row],[Rank (with ArcSinh normalization of select criteria)]],"")</f>
        <v/>
      </c>
      <c r="BZ109" s="200" t="str">
        <f>IF(FMS_Ranking4[[#This Row],[FMS Type]]="Regulatory and Guidance",FMS_Ranking4[[#This Row],[Rank (with ArcSinh normalization of select criteria)]],"")</f>
        <v/>
      </c>
      <c r="CA109" s="200" t="str">
        <f>IF(FMS_Ranking4[[#This Row],[FMS Type]]="Education and Outreach",FMS_Ranking4[[#This Row],[Rank (with ArcSinh normalization of select criteria)]],"")</f>
        <v/>
      </c>
      <c r="CB109" s="200">
        <f>IF(FMS_Ranking4[[#This Row],[FMS Type]]="Property Acquisition and Structural Elevation",FMS_Ranking4[[#This Row],[Rank (with ArcSinh normalization of select criteria)]],"")</f>
        <v>102</v>
      </c>
      <c r="CC109" s="200" t="str">
        <f>IF(FMS_Ranking4[[#This Row],[FMS Type]]="Infrastructure Projects",FMS_Ranking4[[#This Row],[Rank (with ArcSinh normalization of select criteria)]],"")</f>
        <v/>
      </c>
      <c r="CD109" s="200" t="str">
        <f>IF(FMS_Ranking4[[#This Row],[FMS Type]]="Other",FMS_Ranking4[[#This Row],[Rank (with ArcSinh normalization of select criteria)]],"")</f>
        <v/>
      </c>
      <c r="CE109" s="201"/>
    </row>
    <row r="110" spans="2:83" ht="45" x14ac:dyDescent="0.25">
      <c r="B110" s="341" t="s">
        <v>3123</v>
      </c>
      <c r="C110" s="246">
        <f>_xlfn.XLOOKUP(FMS_Ranking4[[#This Row],[FMS ID]],FMS_Input[FMS_ID],FMS_Input[RFPG_NUM])</f>
        <v>7</v>
      </c>
      <c r="D110" s="309" t="str">
        <f>_xlfn.XLOOKUP(FMS_Ranking4[[#This Row],[FMS ID]],FMS_Input[FMS_ID],FMS_Input[FMS_NAME])</f>
        <v>Taylor County Gauge/Flood Barrier Program</v>
      </c>
      <c r="E110" s="308" t="str">
        <f>_xlfn.XLOOKUP(FMS_Ranking4[[#This Row],[FMS ID]],FMS_Input[FMS_ID],FMS_Input[SPONSOR])</f>
        <v>00000168</v>
      </c>
      <c r="F110" s="309" t="str">
        <f>_xlfn.XLOOKUP(FMS_Ranking4[[#This Row],[FMS ID]],Sponsor[FMS_ID],Sponsor[SPONSOR NAME])</f>
        <v>Taylor</v>
      </c>
      <c r="G110" s="309" t="str">
        <f>_xlfn.XLOOKUP(FMS_Ranking4[[#This Row],[FMS ID]],FMS_Input[FMS_ID],FMS_Input[FMS_DESCR])</f>
        <v>Install automated creek rain gauges and automated barriers for flooded roadways.</v>
      </c>
      <c r="H110" s="248" t="str">
        <f>_xlfn.XLOOKUP(FMS_Ranking4[[#This Row],[FMS ID]],FMS_Input[FMS_ID],FMS_Input[FMS_TYPE])</f>
        <v>Flood Measurement and Warning</v>
      </c>
      <c r="I110" s="249">
        <f>_xlfn.XLOOKUP(FMS_Ranking4[[#This Row],[FMS ID]],FMS_Input[FMS_ID],FMS_Input[NRNC_COST])</f>
        <v>150000</v>
      </c>
      <c r="J110" s="250">
        <f>_xlfn.XLOOKUP(FMS_Ranking4[[#This Row],[FMS ID]],FMS_Input[FMS_ID],FMS_Input[FMS_COST])</f>
        <v>150000</v>
      </c>
      <c r="K110" s="251" t="str">
        <f>_xlfn.XLOOKUP(FMS_Ranking4[[#This Row],[FMS ID]],FMS_Input[FMS_ID],FMS_Input[EMER_NEED])</f>
        <v>No</v>
      </c>
      <c r="L110" s="252">
        <f t="shared" si="1"/>
        <v>0</v>
      </c>
      <c r="M110" s="253">
        <f>_xlfn.XLOOKUP(FMS_Ranking4[[#This Row],[FMS ID]],FMS_Input[FMS_ID],FMS_Input[STRUCT_100])</f>
        <v>11167</v>
      </c>
      <c r="N110" s="255">
        <f>(ASINH(FMS_Ranking4[[#This Row],[Structure at Risk Raw]]))*(10)/(ASINH(M$4))</f>
        <v>7.8723892531290582</v>
      </c>
      <c r="O110" s="256">
        <f>FMS_Ranking4[[#This Row],[Structures at risk, ArcSinh (0-10)]]*M$5*10</f>
        <v>7.8723892531290582</v>
      </c>
      <c r="P110" s="253">
        <f>_xlfn.XLOOKUP(FMS_Ranking4[[#This Row],[FMS ID]],FMS_Input[FMS_ID],FMS_Input[RES_STRUCT100])</f>
        <v>9822</v>
      </c>
      <c r="Q110" s="257">
        <f>ASINH(FMS_Ranking4[[#This Row],[Res Structure Raw]])/Q$4*P$5*100</f>
        <v>0</v>
      </c>
      <c r="R110" s="253">
        <f>_xlfn.XLOOKUP(FMS_Ranking4[[#This Row],[FMS ID]],FMS_Input[FMS_ID],FMS_Input[POP100])</f>
        <v>25896</v>
      </c>
      <c r="S110" s="259">
        <f>(ASINH(FMS_Ranking4[[#This Row],[Pop at Risk Raw]]))*(10)/(ASINH(R$4))</f>
        <v>7.493832226222934</v>
      </c>
      <c r="T110" s="256">
        <f>FMS_Ranking4[[#This Row],[Population at risk, ArcSinh (0-10)]]*R$5*10</f>
        <v>7.493832226222934</v>
      </c>
      <c r="U110" s="253">
        <f>_xlfn.XLOOKUP(FMS_Ranking4[[#This Row],[FMS ID]],FMS_Input[FMS_ID],FMS_Input[CRITFAC100])</f>
        <v>11</v>
      </c>
      <c r="V110" s="259">
        <f>(ASINH(FMS_Ranking4[[#This Row],[Critical Facilities Raw]]))*(10)/(ASINH(U$4))</f>
        <v>3.661503455940549</v>
      </c>
      <c r="W110" s="256">
        <f>FMS_Ranking4[[#This Row],[Critical facilities at risk, ArcSinh (0-10)]]*U$5*10</f>
        <v>3.661503455940549</v>
      </c>
      <c r="X110" s="253">
        <f>_xlfn.XLOOKUP(FMS_Ranking4[[#This Row],[FMS ID]],FMS_Input[FMS_ID],FMS_Input[LWC])</f>
        <v>72</v>
      </c>
      <c r="Y110" s="259">
        <f>(ASINH(FMS_Ranking4[[#This Row],[LWC Raw]]))*(10)/(ASINH(X$4))</f>
        <v>6.7328591543874978</v>
      </c>
      <c r="Z110" s="256">
        <f>FMS_Ranking4[[#This Row],[LWC, ArcSInh (0-10)]]*X$5*10</f>
        <v>6.7328591543874978</v>
      </c>
      <c r="AA110" s="253">
        <f>_xlfn.XLOOKUP(FMS_Ranking4[[#This Row],[FMS ID]],FMS_Input[FMS_ID],FMS_Input[ROADCLS])</f>
        <v>0</v>
      </c>
      <c r="AB110" s="255">
        <f>(ASINH(FMS_Ranking4[[#This Row],[Road Closures Raw]]))*(10)/(ASINH(AA$4))</f>
        <v>0</v>
      </c>
      <c r="AC110" s="256">
        <f>FMS_Ranking4[[#This Row],[Road closures, ArcSinh (0-10)]]*AA$5*10</f>
        <v>0</v>
      </c>
      <c r="AD110" s="253">
        <f>_xlfn.XLOOKUP(FMS_Ranking4[[#This Row],[FMS ID]],FMS_Input[FMS_ID],FMS_Input[ROAD_MILES100])</f>
        <v>245</v>
      </c>
      <c r="AE110" s="259">
        <f>(ASINH(FMS_Ranking4[[#This Row],[Road Miles Raw]]))*(10)/(ASINH(AD$4))</f>
        <v>6.6015363544670853</v>
      </c>
      <c r="AF110" s="256">
        <f>FMS_Ranking4[[#This Row],[Length of roads at risk, ArcSinh (0-10)]]*AD$5*10</f>
        <v>6.6015363544670862</v>
      </c>
      <c r="AG110" s="253">
        <f>_xlfn.XLOOKUP(FMS_Ranking4[[#This Row],[FMS ID]],FMS_Input[FMS_ID],FMS_Input[FARMACRE100])</f>
        <v>7516.33935546875</v>
      </c>
      <c r="AH110" s="255">
        <f>(ASINH(FMS_Ranking4[[#This Row],[Ag Land Raw]]))*(10)/(ASINH(AG$4))</f>
        <v>6.2476626816591692</v>
      </c>
      <c r="AI110" s="260">
        <f>FMS_Ranking4[[#This Row],[Farm &amp; ranch land, ArcSinh (0-10)]]*AG$5*10</f>
        <v>3.123831340829585</v>
      </c>
      <c r="AJ110" s="258">
        <f>_xlfn.XLOOKUP(FMS_Ranking4[[#This Row],[FMS ID]],FMS_Input[FMS_ID],FMS_Input[REDSTRUCT100])</f>
        <v>0</v>
      </c>
      <c r="AK110" s="253">
        <f>_xlfn.XLOOKUP(FMS_Ranking4[[#This Row],[FMS ID]],FMS_Input[FMS_ID],FMS_Input[REMSTRC100])</f>
        <v>0</v>
      </c>
      <c r="AL110" s="259">
        <f>(ASINH(FMS_Ranking4[[#This Row],[Structures Removed Raw]]))*(10)/(ASINH(AK$4))</f>
        <v>0</v>
      </c>
      <c r="AM110" s="262">
        <f>FMS_Ranking4[[#This Row],[Structures removed, ArcSinh (0-10)]]*AK$5*10</f>
        <v>0</v>
      </c>
      <c r="AN110" s="253">
        <f>_xlfn.XLOOKUP(FMS_Ranking4[[#This Row],[FMS ID]],FMS_Input[FMS_ID],FMS_Input[REMRESSTRC100])</f>
        <v>0</v>
      </c>
      <c r="AO110" s="261">
        <f>FMS_Ranking4[[#This Row],[ArcSinh Res struct removed 0-10]]*AN$5*10</f>
        <v>0</v>
      </c>
      <c r="AP110" s="260">
        <f>ASINH(FMS_Ranking4[[#This Row],[Residential Structures Removed Raw]])/AP$4*AN$5*100</f>
        <v>0</v>
      </c>
      <c r="AQ110" s="254">
        <f>(ASINH(FMS_Ranking4[[#This Row],[Residential Structures Removed Raw]]))*(10)/(ASINH(AN$4))</f>
        <v>0</v>
      </c>
      <c r="AR110" s="253">
        <f>_xlfn.XLOOKUP(FMS_Ranking4[[#This Row],[FMS ID]],FMS_Input[FMS_ID],FMS_Input[REMPOP100])</f>
        <v>0</v>
      </c>
      <c r="AS110" s="259">
        <f>(ASINH(FMS_Ranking4[[#This Row],[Removed Pop Raw]]))*(10)/(ASINH(AR$4))</f>
        <v>0</v>
      </c>
      <c r="AT110" s="262">
        <f>FMS_Ranking4[[#This Row],[Removed population, ArcSinh (0-10)]]*AR$5*10</f>
        <v>0</v>
      </c>
      <c r="AU110" s="264">
        <f>_xlfn.XLOOKUP(FMS_Ranking4[[#This Row],[FMS ID]],FMS_Input[FMS_ID],FMS_Input[REMCRITFAC100])</f>
        <v>0</v>
      </c>
      <c r="AV110" s="264">
        <f>_xlfn.XLOOKUP(FMS_Ranking4[[#This Row],[FMS ID]],FMS_Input[FMS_ID],FMS_Input[REMLWC100])</f>
        <v>0</v>
      </c>
      <c r="AW110" s="264">
        <f>_xlfn.XLOOKUP(FMS_Ranking4[[#This Row],[FMS ID]],FMS_Input[FMS_ID],FMS_Input[REMROADCLS])</f>
        <v>0</v>
      </c>
      <c r="AX110" s="264">
        <f>_xlfn.XLOOKUP(FMS_Ranking4[[#This Row],[FMS ID]],FMS_Input[FMS_ID],FMS_Input[REMFRMACRE100])</f>
        <v>0</v>
      </c>
      <c r="AY110" s="258">
        <f>_xlfn.XLOOKUP(FMS_Ranking4[[#This Row],[FMS ID]],FMS_Input[FMS_ID],FMS_Input[COSTSTRUCT])</f>
        <v>0</v>
      </c>
      <c r="AZ110" s="253">
        <f>_xlfn.XLOOKUP(FMS_Ranking4[[#This Row],[FMS ID]],FMS_Input[FMS_ID],FMS_Input[NATURE])</f>
        <v>0</v>
      </c>
      <c r="BA110" s="262">
        <f>(((FMS_Ranking4[[#This Row],[% NBS Raw]]/AZ$4)*100)*AZ$5)</f>
        <v>0</v>
      </c>
      <c r="BB110" s="251" t="str">
        <f>_xlfn.XLOOKUP(FMS_Ranking4[[#This Row],[FMS ID]],FMS_Input[FMS_ID],FMS_Input[WATER_SUP])</f>
        <v>No</v>
      </c>
      <c r="BC110" s="265">
        <f>IF(FMS_Ranking4[[#This Row],[Water Supply Raw]]="Yes",10,0)</f>
        <v>0</v>
      </c>
      <c r="BD110" s="266">
        <f>_xlfn.XLOOKUP(FMS_Ranking4[[#This Row],[FMS Type]],FMS_TYPE[FMS_Type],FMS_TYPE[Score])</f>
        <v>10</v>
      </c>
      <c r="BE110" s="267">
        <f>FMS_Ranking4[[#This Row],[FMS_Type Score]]*$BD$5*10</f>
        <v>2.5</v>
      </c>
      <c r="BF11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2.3043692383670025</v>
      </c>
      <c r="BG110" s="271">
        <f>_xlfn.RANK.EQ(BF110,$BF$8:$BF$870,0)+COUNTIF($BF$8:BF110,BF110)-1</f>
        <v>96</v>
      </c>
      <c r="BH110" s="268">
        <f>(((FMS_Ranking4[[#This Row],[Structures Removed Raw]]/AK$4)*100)*AK$5)+(((FMS_Ranking4[[#This Row],[Removed Pop Raw]]/AR$4)*100)*AR$5)</f>
        <v>0</v>
      </c>
      <c r="BI11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4.804369238367002</v>
      </c>
      <c r="BJ110" s="205">
        <f>_xlfn.RANK.EQ(FMS_Ranking4[[#This Row],[Total Score 
(with linear
normalization)]],FMS_Ranking4[Total Score 
(with linear
normalization)],0)</f>
        <v>119</v>
      </c>
      <c r="BK110" s="205" t="e">
        <f>_xlfn.XLOOKUP(FMS_Ranking4[[#This Row],[FMS ID]],#REF!,#REF!)</f>
        <v>#REF!</v>
      </c>
      <c r="BL11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35.485951784976706</v>
      </c>
      <c r="BM110" s="272">
        <f>FMS_Ranking4[[#This Row],[ArcSinh Score Based on Normalized Reported Factors]]+FMS_Ranking4[[#This Row],[% NBS Score (Normalized)]]+(FMS_Ranking4[[#This Row],[Water Supply Score (Normalized)]]*10*$BB$5)+FMS_Ranking4[[#This Row],[FMS_Type Score Weighted]]</f>
        <v>37.985951784976706</v>
      </c>
      <c r="BN110" s="205">
        <f>_xlfn.RANK.EQ(FMS_Ranking4[[#This Row],[Total Score (with ArcSinh normalization of select criteria)]],FMS_Ranking4[Total Score (with ArcSinh normalization of select criteria)],0)</f>
        <v>103</v>
      </c>
      <c r="BO110" s="270" t="str">
        <f>_xlfn.XLOOKUP(FMS_Ranking4[[#This Row],[FMS ID]],FMS_Input[FMS_ID],FMS_Input[FMS_RANK_YEAR])</f>
        <v>2023 Amended Plan</v>
      </c>
      <c r="BP110" s="204">
        <f>_xlfn.XLOOKUP(FMS_Ranking4[[#This Row],[FMS ID]],Prev_Rank[FMS ID],Prev_Rank[Prev Rank])</f>
        <v>86</v>
      </c>
      <c r="BQ110" s="205" t="e">
        <f>_xlfn.XLOOKUP(FMS_Ranking4[[#This Row],[FMS ID]],#REF!,#REF!)</f>
        <v>#REF!</v>
      </c>
      <c r="BR110" s="199" t="e">
        <f>SUM(#REF!,#REF!,#REF!,#REF!,#REF!,#REF!,#REF!,#REF!,#REF!,FMS_Ranking4[[#This Row],[ArcSinh Res struct removed 0-10]],#REF!)</f>
        <v>#REF!</v>
      </c>
      <c r="BS110" s="199" t="e">
        <f>FMS_Ranking4[[#This Row],[Log Score Based on Normalized Reported Factors]]+FMS_Ranking4[[#This Row],[% NBS Score (Normalized)]]+(FMS_Ranking4[[#This Row],[Water Supply Score (Normalized)]]*10*$BB$5)+(FMS_Ranking4[[#This Row],[FMS_Type Score Weighted]])</f>
        <v>#REF!</v>
      </c>
      <c r="BT110" s="200" t="e">
        <f>_xlfn.RANK.EQ(FMS_Ranking4[[#This Row],[Log Total Score]],FMS_Ranking4[Log Total Score],0)</f>
        <v>#REF!</v>
      </c>
      <c r="BU110" s="200" t="e">
        <f>_xlfn.XLOOKUP(FMS_Ranking4[[#This Row],[FMS ID]],#REF!,#REF!)</f>
        <v>#REF!</v>
      </c>
      <c r="BV110" s="200">
        <f>FMS_Ranking4[[#This Row],[Region Number]]</f>
        <v>7</v>
      </c>
      <c r="BW110" s="200">
        <f>FMS_Ranking4[[#This Row],[Rank (with ArcSinh normalization of select criteria)]]-FMS_Ranking4[[#This Row],[Rank
(with linear
normalization)]]</f>
        <v>-16</v>
      </c>
      <c r="BX110" s="200" t="e">
        <f>FMS_Ranking4[[#This Row],[Log Rank]]-FMS_Ranking4[[#This Row],[Rank
(with linear
normalization)]]</f>
        <v>#REF!</v>
      </c>
      <c r="BY110" s="200">
        <f>IF(FMS_Ranking4[[#This Row],[FMS Type]]="Flood Measurement and Warning",FMS_Ranking4[[#This Row],[Rank (with ArcSinh normalization of select criteria)]],"")</f>
        <v>103</v>
      </c>
      <c r="BZ110" s="200" t="str">
        <f>IF(FMS_Ranking4[[#This Row],[FMS Type]]="Regulatory and Guidance",FMS_Ranking4[[#This Row],[Rank (with ArcSinh normalization of select criteria)]],"")</f>
        <v/>
      </c>
      <c r="CA110" s="200" t="str">
        <f>IF(FMS_Ranking4[[#This Row],[FMS Type]]="Education and Outreach",FMS_Ranking4[[#This Row],[Rank (with ArcSinh normalization of select criteria)]],"")</f>
        <v/>
      </c>
      <c r="CB110" s="200" t="str">
        <f>IF(FMS_Ranking4[[#This Row],[FMS Type]]="Property Acquisition and Structural Elevation",FMS_Ranking4[[#This Row],[Rank (with ArcSinh normalization of select criteria)]],"")</f>
        <v/>
      </c>
      <c r="CC110" s="200" t="str">
        <f>IF(FMS_Ranking4[[#This Row],[FMS Type]]="Infrastructure Projects",FMS_Ranking4[[#This Row],[Rank (with ArcSinh normalization of select criteria)]],"")</f>
        <v/>
      </c>
      <c r="CD110" s="200" t="str">
        <f>IF(FMS_Ranking4[[#This Row],[FMS Type]]="Other",FMS_Ranking4[[#This Row],[Rank (with ArcSinh normalization of select criteria)]],"")</f>
        <v/>
      </c>
      <c r="CE110" s="201"/>
    </row>
    <row r="111" spans="2:83" ht="45" x14ac:dyDescent="0.25">
      <c r="B111" s="341" t="s">
        <v>3668</v>
      </c>
      <c r="C111" s="246">
        <f>_xlfn.XLOOKUP(FMS_Ranking4[[#This Row],[FMS ID]],FMS_Input[FMS_ID],FMS_Input[RFPG_NUM])</f>
        <v>13</v>
      </c>
      <c r="D111" s="309" t="str">
        <f>_xlfn.XLOOKUP(FMS_Ranking4[[#This Row],[FMS ID]],FMS_Input[FMS_ID],FMS_Input[FMS_NAME])</f>
        <v>Citywide Stormwater System Inspection</v>
      </c>
      <c r="E111" s="308" t="str">
        <f>_xlfn.XLOOKUP(FMS_Ranking4[[#This Row],[FMS ID]],FMS_Input[FMS_ID],FMS_Input[SPONSOR])</f>
        <v>13002900</v>
      </c>
      <c r="F111" s="309" t="str">
        <f>_xlfn.XLOOKUP(FMS_Ranking4[[#This Row],[FMS ID]],Sponsor[FMS_ID],Sponsor[SPONSOR NAME])</f>
        <v>Corpus Christi</v>
      </c>
      <c r="G111" s="309" t="str">
        <f>_xlfn.XLOOKUP(FMS_Ranking4[[#This Row],[FMS ID]],FMS_Input[FMS_ID],FMS_Input[FMS_DESCR])</f>
        <v>Inspect the City's storm water infrastructure to determine needed repairs.</v>
      </c>
      <c r="H111" s="248" t="str">
        <f>_xlfn.XLOOKUP(FMS_Ranking4[[#This Row],[FMS ID]],FMS_Input[FMS_ID],FMS_Input[FMS_TYPE])</f>
        <v>Other</v>
      </c>
      <c r="I111" s="249">
        <f>_xlfn.XLOOKUP(FMS_Ranking4[[#This Row],[FMS ID]],FMS_Input[FMS_ID],FMS_Input[NRNC_COST])</f>
        <v>250000</v>
      </c>
      <c r="J111" s="250">
        <f>_xlfn.XLOOKUP(FMS_Ranking4[[#This Row],[FMS ID]],FMS_Input[FMS_ID],FMS_Input[FMS_COST])</f>
        <v>250000</v>
      </c>
      <c r="K111" s="251" t="str">
        <f>_xlfn.XLOOKUP(FMS_Ranking4[[#This Row],[FMS ID]],FMS_Input[FMS_ID],FMS_Input[EMER_NEED])</f>
        <v>Yes</v>
      </c>
      <c r="L111" s="252">
        <f t="shared" si="1"/>
        <v>1</v>
      </c>
      <c r="M111" s="253">
        <f>_xlfn.XLOOKUP(FMS_Ranking4[[#This Row],[FMS ID]],FMS_Input[FMS_ID],FMS_Input[STRUCT_100])</f>
        <v>18577</v>
      </c>
      <c r="N111" s="255">
        <f>(ASINH(FMS_Ranking4[[#This Row],[Structure at Risk Raw]]))*(10)/(ASINH(M$4))</f>
        <v>8.2725085803445193</v>
      </c>
      <c r="O111" s="256">
        <f>FMS_Ranking4[[#This Row],[Structures at risk, ArcSinh (0-10)]]*M$5*10</f>
        <v>8.2725085803445193</v>
      </c>
      <c r="P111" s="253">
        <f>_xlfn.XLOOKUP(FMS_Ranking4[[#This Row],[FMS ID]],FMS_Input[FMS_ID],FMS_Input[RES_STRUCT100])</f>
        <v>16324</v>
      </c>
      <c r="Q111" s="257">
        <f>ASINH(FMS_Ranking4[[#This Row],[Res Structure Raw]])/Q$4*P$5*100</f>
        <v>0</v>
      </c>
      <c r="R111" s="253">
        <f>_xlfn.XLOOKUP(FMS_Ranking4[[#This Row],[FMS ID]],FMS_Input[FMS_ID],FMS_Input[POP100])</f>
        <v>61330</v>
      </c>
      <c r="S111" s="259">
        <f>(ASINH(FMS_Ranking4[[#This Row],[Pop at Risk Raw]]))*(10)/(ASINH(R$4))</f>
        <v>8.0890456906430384</v>
      </c>
      <c r="T111" s="256">
        <f>FMS_Ranking4[[#This Row],[Population at risk, ArcSinh (0-10)]]*R$5*10</f>
        <v>8.0890456906430384</v>
      </c>
      <c r="U111" s="253">
        <f>_xlfn.XLOOKUP(FMS_Ranking4[[#This Row],[FMS ID]],FMS_Input[FMS_ID],FMS_Input[CRITFAC100])</f>
        <v>114</v>
      </c>
      <c r="V111" s="259">
        <f>(ASINH(FMS_Ranking4[[#This Row],[Critical Facilities Raw]]))*(10)/(ASINH(U$4))</f>
        <v>6.4270874233929964</v>
      </c>
      <c r="W111" s="256">
        <f>FMS_Ranking4[[#This Row],[Critical facilities at risk, ArcSinh (0-10)]]*U$5*10</f>
        <v>6.4270874233929964</v>
      </c>
      <c r="X111" s="253">
        <f>_xlfn.XLOOKUP(FMS_Ranking4[[#This Row],[FMS ID]],FMS_Input[FMS_ID],FMS_Input[LWC])</f>
        <v>0</v>
      </c>
      <c r="Y111" s="259">
        <f>(ASINH(FMS_Ranking4[[#This Row],[LWC Raw]]))*(10)/(ASINH(X$4))</f>
        <v>0</v>
      </c>
      <c r="Z111" s="256">
        <f>FMS_Ranking4[[#This Row],[LWC, ArcSInh (0-10)]]*X$5*10</f>
        <v>0</v>
      </c>
      <c r="AA111" s="253">
        <f>_xlfn.XLOOKUP(FMS_Ranking4[[#This Row],[FMS ID]],FMS_Input[FMS_ID],FMS_Input[ROADCLS])</f>
        <v>2089</v>
      </c>
      <c r="AB111" s="255">
        <f>(ASINH(FMS_Ranking4[[#This Row],[Road Closures Raw]]))*(10)/(ASINH(AA$4))</f>
        <v>8.6828326515704628</v>
      </c>
      <c r="AC111" s="256">
        <f>FMS_Ranking4[[#This Row],[Road closures, ArcSinh (0-10)]]*AA$5*10</f>
        <v>4.3414163257852314</v>
      </c>
      <c r="AD111" s="253">
        <f>_xlfn.XLOOKUP(FMS_Ranking4[[#This Row],[FMS ID]],FMS_Input[FMS_ID],FMS_Input[ROAD_MILES100])</f>
        <v>375</v>
      </c>
      <c r="AE111" s="259">
        <f>(ASINH(FMS_Ranking4[[#This Row],[Road Miles Raw]]))*(10)/(ASINH(AD$4))</f>
        <v>7.0551785901492154</v>
      </c>
      <c r="AF111" s="256">
        <f>FMS_Ranking4[[#This Row],[Length of roads at risk, ArcSinh (0-10)]]*AD$5*10</f>
        <v>7.0551785901492163</v>
      </c>
      <c r="AG111" s="253">
        <f>_xlfn.XLOOKUP(FMS_Ranking4[[#This Row],[FMS ID]],FMS_Input[FMS_ID],FMS_Input[FARMACRE100])</f>
        <v>3908.272705078125</v>
      </c>
      <c r="AH111" s="255">
        <f>(ASINH(FMS_Ranking4[[#This Row],[Ag Land Raw]]))*(10)/(ASINH(AG$4))</f>
        <v>5.8228469845658504</v>
      </c>
      <c r="AI111" s="260">
        <f>FMS_Ranking4[[#This Row],[Farm &amp; ranch land, ArcSinh (0-10)]]*AG$5*10</f>
        <v>2.9114234922829252</v>
      </c>
      <c r="AJ111" s="258">
        <f>_xlfn.XLOOKUP(FMS_Ranking4[[#This Row],[FMS ID]],FMS_Input[FMS_ID],FMS_Input[REDSTRUCT100])</f>
        <v>0</v>
      </c>
      <c r="AK111" s="253">
        <f>_xlfn.XLOOKUP(FMS_Ranking4[[#This Row],[FMS ID]],FMS_Input[FMS_ID],FMS_Input[REMSTRC100])</f>
        <v>0</v>
      </c>
      <c r="AL111" s="259">
        <f>(ASINH(FMS_Ranking4[[#This Row],[Structures Removed Raw]]))*(10)/(ASINH(AK$4))</f>
        <v>0</v>
      </c>
      <c r="AM111" s="262">
        <f>FMS_Ranking4[[#This Row],[Structures removed, ArcSinh (0-10)]]*AK$5*10</f>
        <v>0</v>
      </c>
      <c r="AN111" s="253">
        <f>_xlfn.XLOOKUP(FMS_Ranking4[[#This Row],[FMS ID]],FMS_Input[FMS_ID],FMS_Input[REMRESSTRC100])</f>
        <v>0</v>
      </c>
      <c r="AO111" s="261">
        <f>FMS_Ranking4[[#This Row],[ArcSinh Res struct removed 0-10]]*AN$5*10</f>
        <v>0</v>
      </c>
      <c r="AP111" s="260">
        <f>ASINH(FMS_Ranking4[[#This Row],[Residential Structures Removed Raw]])/AP$4*AN$5*100</f>
        <v>0</v>
      </c>
      <c r="AQ111" s="254">
        <f>(ASINH(FMS_Ranking4[[#This Row],[Residential Structures Removed Raw]]))*(10)/(ASINH(AN$4))</f>
        <v>0</v>
      </c>
      <c r="AR111" s="253">
        <f>_xlfn.XLOOKUP(FMS_Ranking4[[#This Row],[FMS ID]],FMS_Input[FMS_ID],FMS_Input[REMPOP100])</f>
        <v>0</v>
      </c>
      <c r="AS111" s="259">
        <f>(ASINH(FMS_Ranking4[[#This Row],[Removed Pop Raw]]))*(10)/(ASINH(AR$4))</f>
        <v>0</v>
      </c>
      <c r="AT111" s="262">
        <f>FMS_Ranking4[[#This Row],[Removed population, ArcSinh (0-10)]]*AR$5*10</f>
        <v>0</v>
      </c>
      <c r="AU111" s="264">
        <f>_xlfn.XLOOKUP(FMS_Ranking4[[#This Row],[FMS ID]],FMS_Input[FMS_ID],FMS_Input[REMCRITFAC100])</f>
        <v>0</v>
      </c>
      <c r="AV111" s="264">
        <f>_xlfn.XLOOKUP(FMS_Ranking4[[#This Row],[FMS ID]],FMS_Input[FMS_ID],FMS_Input[REMLWC100])</f>
        <v>0</v>
      </c>
      <c r="AW111" s="264">
        <f>_xlfn.XLOOKUP(FMS_Ranking4[[#This Row],[FMS ID]],FMS_Input[FMS_ID],FMS_Input[REMROADCLS])</f>
        <v>0</v>
      </c>
      <c r="AX111" s="264">
        <f>_xlfn.XLOOKUP(FMS_Ranking4[[#This Row],[FMS ID]],FMS_Input[FMS_ID],FMS_Input[REMFRMACRE100])</f>
        <v>0</v>
      </c>
      <c r="AY111" s="258">
        <f>_xlfn.XLOOKUP(FMS_Ranking4[[#This Row],[FMS ID]],FMS_Input[FMS_ID],FMS_Input[COSTSTRUCT])</f>
        <v>0</v>
      </c>
      <c r="AZ111" s="253">
        <f>_xlfn.XLOOKUP(FMS_Ranking4[[#This Row],[FMS ID]],FMS_Input[FMS_ID],FMS_Input[NATURE])</f>
        <v>0</v>
      </c>
      <c r="BA111" s="262">
        <f>(((FMS_Ranking4[[#This Row],[% NBS Raw]]/AZ$4)*100)*AZ$5)</f>
        <v>0</v>
      </c>
      <c r="BB111" s="251" t="str">
        <f>_xlfn.XLOOKUP(FMS_Ranking4[[#This Row],[FMS ID]],FMS_Input[FMS_ID],FMS_Input[WATER_SUP])</f>
        <v>No</v>
      </c>
      <c r="BC111" s="265">
        <f>IF(FMS_Ranking4[[#This Row],[Water Supply Raw]]="Yes",10,0)</f>
        <v>0</v>
      </c>
      <c r="BD111" s="266">
        <f>_xlfn.XLOOKUP(FMS_Ranking4[[#This Row],[FMS Type]],FMS_TYPE[FMS_Type],FMS_TYPE[Score])</f>
        <v>2</v>
      </c>
      <c r="BE111" s="267">
        <f>FMS_Ranking4[[#This Row],[FMS_Type Score]]*$BD$5*10</f>
        <v>0.5</v>
      </c>
      <c r="BF11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4.2780243168436884</v>
      </c>
      <c r="BG111" s="271">
        <f>_xlfn.RANK.EQ(BF111,$BF$8:$BF$870,0)+COUNTIF($BF$8:BF111,BF111)-1</f>
        <v>67</v>
      </c>
      <c r="BH111" s="268">
        <f>(((FMS_Ranking4[[#This Row],[Structures Removed Raw]]/AK$4)*100)*AK$5)+(((FMS_Ranking4[[#This Row],[Removed Pop Raw]]/AR$4)*100)*AR$5)</f>
        <v>0</v>
      </c>
      <c r="BI11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4.7780243168436884</v>
      </c>
      <c r="BJ111" s="205">
        <f>_xlfn.RANK.EQ(FMS_Ranking4[[#This Row],[Total Score 
(with linear
normalization)]],FMS_Ranking4[Total Score 
(with linear
normalization)],0)</f>
        <v>121</v>
      </c>
      <c r="BK111" s="205" t="e">
        <f>_xlfn.XLOOKUP(FMS_Ranking4[[#This Row],[FMS ID]],#REF!,#REF!)</f>
        <v>#REF!</v>
      </c>
      <c r="BL11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37.09666010259793</v>
      </c>
      <c r="BM111" s="272">
        <f>FMS_Ranking4[[#This Row],[ArcSinh Score Based on Normalized Reported Factors]]+FMS_Ranking4[[#This Row],[% NBS Score (Normalized)]]+(FMS_Ranking4[[#This Row],[Water Supply Score (Normalized)]]*10*$BB$5)+FMS_Ranking4[[#This Row],[FMS_Type Score Weighted]]</f>
        <v>37.59666010259793</v>
      </c>
      <c r="BN111" s="205">
        <f>_xlfn.RANK.EQ(FMS_Ranking4[[#This Row],[Total Score (with ArcSinh normalization of select criteria)]],FMS_Ranking4[Total Score (with ArcSinh normalization of select criteria)],0)</f>
        <v>104</v>
      </c>
      <c r="BO111" s="270" t="str">
        <f>_xlfn.XLOOKUP(FMS_Ranking4[[#This Row],[FMS ID]],FMS_Input[FMS_ID],FMS_Input[FMS_RANK_YEAR])</f>
        <v>2023 Amended Plan</v>
      </c>
      <c r="BP111" s="204">
        <f>_xlfn.XLOOKUP(FMS_Ranking4[[#This Row],[FMS ID]],Prev_Rank[FMS ID],Prev_Rank[Prev Rank])</f>
        <v>90</v>
      </c>
      <c r="BQ111" s="205" t="e">
        <f>_xlfn.XLOOKUP(FMS_Ranking4[[#This Row],[FMS ID]],#REF!,#REF!)</f>
        <v>#REF!</v>
      </c>
      <c r="BR111" s="199" t="e">
        <f>SUM(#REF!,#REF!,#REF!,#REF!,#REF!,#REF!,#REF!,#REF!,#REF!,FMS_Ranking4[[#This Row],[ArcSinh Res struct removed 0-10]],#REF!)</f>
        <v>#REF!</v>
      </c>
      <c r="BS111" s="199" t="e">
        <f>FMS_Ranking4[[#This Row],[Log Score Based on Normalized Reported Factors]]+FMS_Ranking4[[#This Row],[% NBS Score (Normalized)]]+(FMS_Ranking4[[#This Row],[Water Supply Score (Normalized)]]*10*$BB$5)+(FMS_Ranking4[[#This Row],[FMS_Type Score Weighted]])</f>
        <v>#REF!</v>
      </c>
      <c r="BT111" s="200" t="e">
        <f>_xlfn.RANK.EQ(FMS_Ranking4[[#This Row],[Log Total Score]],FMS_Ranking4[Log Total Score],0)</f>
        <v>#REF!</v>
      </c>
      <c r="BU111" s="200" t="e">
        <f>_xlfn.XLOOKUP(FMS_Ranking4[[#This Row],[FMS ID]],#REF!,#REF!)</f>
        <v>#REF!</v>
      </c>
      <c r="BV111" s="200">
        <f>FMS_Ranking4[[#This Row],[Region Number]]</f>
        <v>13</v>
      </c>
      <c r="BW111" s="200">
        <f>FMS_Ranking4[[#This Row],[Rank (with ArcSinh normalization of select criteria)]]-FMS_Ranking4[[#This Row],[Rank
(with linear
normalization)]]</f>
        <v>-17</v>
      </c>
      <c r="BX111" s="200" t="e">
        <f>FMS_Ranking4[[#This Row],[Log Rank]]-FMS_Ranking4[[#This Row],[Rank
(with linear
normalization)]]</f>
        <v>#REF!</v>
      </c>
      <c r="BY111" s="200" t="str">
        <f>IF(FMS_Ranking4[[#This Row],[FMS Type]]="Flood Measurement and Warning",FMS_Ranking4[[#This Row],[Rank (with ArcSinh normalization of select criteria)]],"")</f>
        <v/>
      </c>
      <c r="BZ111" s="200" t="str">
        <f>IF(FMS_Ranking4[[#This Row],[FMS Type]]="Regulatory and Guidance",FMS_Ranking4[[#This Row],[Rank (with ArcSinh normalization of select criteria)]],"")</f>
        <v/>
      </c>
      <c r="CA111" s="200" t="str">
        <f>IF(FMS_Ranking4[[#This Row],[FMS Type]]="Education and Outreach",FMS_Ranking4[[#This Row],[Rank (with ArcSinh normalization of select criteria)]],"")</f>
        <v/>
      </c>
      <c r="CB111" s="200" t="str">
        <f>IF(FMS_Ranking4[[#This Row],[FMS Type]]="Property Acquisition and Structural Elevation",FMS_Ranking4[[#This Row],[Rank (with ArcSinh normalization of select criteria)]],"")</f>
        <v/>
      </c>
      <c r="CC111" s="200" t="str">
        <f>IF(FMS_Ranking4[[#This Row],[FMS Type]]="Infrastructure Projects",FMS_Ranking4[[#This Row],[Rank (with ArcSinh normalization of select criteria)]],"")</f>
        <v/>
      </c>
      <c r="CD111" s="200">
        <f>IF(FMS_Ranking4[[#This Row],[FMS Type]]="Other",FMS_Ranking4[[#This Row],[Rank (with ArcSinh normalization of select criteria)]],"")</f>
        <v>104</v>
      </c>
      <c r="CE111" s="201"/>
    </row>
    <row r="112" spans="2:83" ht="60" x14ac:dyDescent="0.25">
      <c r="B112" s="341" t="s">
        <v>4293</v>
      </c>
      <c r="C112" s="246">
        <f>_xlfn.XLOOKUP(FMS_Ranking4[[#This Row],[FMS ID]],FMS_Input[FMS_ID],FMS_Input[RFPG_NUM])</f>
        <v>15</v>
      </c>
      <c r="D112" s="309" t="str">
        <f>_xlfn.XLOOKUP(FMS_Ranking4[[#This Row],[FMS ID]],FMS_Input[FMS_ID],FMS_Input[FMS_NAME])</f>
        <v>City of Brownsville - Flood Warning System, planning, operation &amp; maintenance</v>
      </c>
      <c r="E112" s="308" t="str">
        <f>_xlfn.XLOOKUP(FMS_Ranking4[[#This Row],[FMS ID]],FMS_Input[FMS_ID],FMS_Input[SPONSOR])</f>
        <v>15000072</v>
      </c>
      <c r="F112" s="309" t="str">
        <f>_xlfn.XLOOKUP(FMS_Ranking4[[#This Row],[FMS ID]],Sponsor[FMS_ID],Sponsor[SPONSOR NAME])</f>
        <v>Brownsville</v>
      </c>
      <c r="G112" s="309" t="str">
        <f>_xlfn.XLOOKUP(FMS_Ranking4[[#This Row],[FMS ID]],FMS_Input[FMS_ID],FMS_Input[FMS_DESCR])</f>
        <v>Develop and Implement a Flood Warning System, planning, operation &amp; Maintenance plan</v>
      </c>
      <c r="H112" s="248" t="str">
        <f>_xlfn.XLOOKUP(FMS_Ranking4[[#This Row],[FMS ID]],FMS_Input[FMS_ID],FMS_Input[FMS_TYPE])</f>
        <v>Flood Measurement and Warning</v>
      </c>
      <c r="I112" s="249">
        <f>_xlfn.XLOOKUP(FMS_Ranking4[[#This Row],[FMS ID]],FMS_Input[FMS_ID],FMS_Input[NRNC_COST])</f>
        <v>600000</v>
      </c>
      <c r="J112" s="250">
        <f>_xlfn.XLOOKUP(FMS_Ranking4[[#This Row],[FMS ID]],FMS_Input[FMS_ID],FMS_Input[FMS_COST])</f>
        <v>5000000</v>
      </c>
      <c r="K112" s="251" t="str">
        <f>_xlfn.XLOOKUP(FMS_Ranking4[[#This Row],[FMS ID]],FMS_Input[FMS_ID],FMS_Input[EMER_NEED])</f>
        <v>Yes</v>
      </c>
      <c r="L112" s="252">
        <f t="shared" si="1"/>
        <v>1</v>
      </c>
      <c r="M112" s="253">
        <f>_xlfn.XLOOKUP(FMS_Ranking4[[#This Row],[FMS ID]],FMS_Input[FMS_ID],FMS_Input[STRUCT_100])</f>
        <v>38722</v>
      </c>
      <c r="N112" s="255">
        <f>(ASINH(FMS_Ranking4[[#This Row],[Structure at Risk Raw]]))*(10)/(ASINH(M$4))</f>
        <v>8.8499220946264465</v>
      </c>
      <c r="O112" s="256">
        <f>FMS_Ranking4[[#This Row],[Structures at risk, ArcSinh (0-10)]]*M$5*10</f>
        <v>8.8499220946264465</v>
      </c>
      <c r="P112" s="253">
        <f>_xlfn.XLOOKUP(FMS_Ranking4[[#This Row],[FMS ID]],FMS_Input[FMS_ID],FMS_Input[RES_STRUCT100])</f>
        <v>34207</v>
      </c>
      <c r="Q112" s="257">
        <f>ASINH(FMS_Ranking4[[#This Row],[Res Structure Raw]])/Q$4*P$5*100</f>
        <v>0</v>
      </c>
      <c r="R112" s="253">
        <f>_xlfn.XLOOKUP(FMS_Ranking4[[#This Row],[FMS ID]],FMS_Input[FMS_ID],FMS_Input[POP100])</f>
        <v>157389</v>
      </c>
      <c r="S112" s="255">
        <f>(ASINH(FMS_Ranking4[[#This Row],[Pop at Risk Raw]]))*(10)/(ASINH(R$4))</f>
        <v>8.7396747100697336</v>
      </c>
      <c r="T112" s="256">
        <f>FMS_Ranking4[[#This Row],[Population at risk, ArcSinh (0-10)]]*R$5*10</f>
        <v>8.7396747100697336</v>
      </c>
      <c r="U112" s="253">
        <f>_xlfn.XLOOKUP(FMS_Ranking4[[#This Row],[FMS ID]],FMS_Input[FMS_ID],FMS_Input[CRITFAC100])</f>
        <v>6</v>
      </c>
      <c r="V112" s="255">
        <f>(ASINH(FMS_Ranking4[[#This Row],[Critical Facilities Raw]]))*(10)/(ASINH(U$4))</f>
        <v>2.9496796311809068</v>
      </c>
      <c r="W112" s="256">
        <f>FMS_Ranking4[[#This Row],[Critical facilities at risk, ArcSinh (0-10)]]*U$5*10</f>
        <v>2.9496796311809073</v>
      </c>
      <c r="X112" s="253">
        <f>_xlfn.XLOOKUP(FMS_Ranking4[[#This Row],[FMS ID]],FMS_Input[FMS_ID],FMS_Input[LWC])</f>
        <v>0</v>
      </c>
      <c r="Y112" s="255">
        <f>(ASINH(FMS_Ranking4[[#This Row],[LWC Raw]]))*(10)/(ASINH(X$4))</f>
        <v>0</v>
      </c>
      <c r="Z112" s="256">
        <f>FMS_Ranking4[[#This Row],[LWC, ArcSInh (0-10)]]*X$5*10</f>
        <v>0</v>
      </c>
      <c r="AA112" s="253">
        <f>_xlfn.XLOOKUP(FMS_Ranking4[[#This Row],[FMS ID]],FMS_Input[FMS_ID],FMS_Input[ROADCLS])</f>
        <v>479</v>
      </c>
      <c r="AB112" s="255">
        <f>(ASINH(FMS_Ranking4[[#This Row],[Road Closures Raw]]))*(10)/(ASINH(AA$4))</f>
        <v>7.1491100183559322</v>
      </c>
      <c r="AC112" s="256">
        <f>FMS_Ranking4[[#This Row],[Road closures, ArcSinh (0-10)]]*AA$5*10</f>
        <v>3.5745550091779665</v>
      </c>
      <c r="AD112" s="253">
        <f>_xlfn.XLOOKUP(FMS_Ranking4[[#This Row],[FMS ID]],FMS_Input[FMS_ID],FMS_Input[ROAD_MILES100])</f>
        <v>620</v>
      </c>
      <c r="AE112" s="255">
        <f>(ASINH(FMS_Ranking4[[#This Row],[Road Miles Raw]]))*(10)/(ASINH(AD$4))</f>
        <v>7.5910168778783129</v>
      </c>
      <c r="AF112" s="256">
        <f>FMS_Ranking4[[#This Row],[Length of roads at risk, ArcSinh (0-10)]]*AD$5*10</f>
        <v>7.5910168778783138</v>
      </c>
      <c r="AG112" s="253">
        <f>_xlfn.XLOOKUP(FMS_Ranking4[[#This Row],[FMS ID]],FMS_Input[FMS_ID],FMS_Input[FARMACRE100])</f>
        <v>16278.69140625</v>
      </c>
      <c r="AH112" s="255">
        <f>(ASINH(FMS_Ranking4[[#This Row],[Ag Land Raw]]))*(10)/(ASINH(AG$4))</f>
        <v>6.7496447826351478</v>
      </c>
      <c r="AI112" s="260">
        <f>FMS_Ranking4[[#This Row],[Farm &amp; ranch land, ArcSinh (0-10)]]*AG$5*10</f>
        <v>3.3748223913175739</v>
      </c>
      <c r="AJ112" s="258">
        <f>_xlfn.XLOOKUP(FMS_Ranking4[[#This Row],[FMS ID]],FMS_Input[FMS_ID],FMS_Input[REDSTRUCT100])</f>
        <v>0</v>
      </c>
      <c r="AK112" s="253">
        <f>_xlfn.XLOOKUP(FMS_Ranking4[[#This Row],[FMS ID]],FMS_Input[FMS_ID],FMS_Input[REMSTRC100])</f>
        <v>0</v>
      </c>
      <c r="AL112" s="255">
        <f>(ASINH(FMS_Ranking4[[#This Row],[Structures Removed Raw]]))*(10)/(ASINH(AK$4))</f>
        <v>0</v>
      </c>
      <c r="AM112" s="262">
        <f>FMS_Ranking4[[#This Row],[Structures removed, ArcSinh (0-10)]]*AK$5*10</f>
        <v>0</v>
      </c>
      <c r="AN112" s="253">
        <f>_xlfn.XLOOKUP(FMS_Ranking4[[#This Row],[FMS ID]],FMS_Input[FMS_ID],FMS_Input[REMRESSTRC100])</f>
        <v>0</v>
      </c>
      <c r="AO112" s="261">
        <f>FMS_Ranking4[[#This Row],[ArcSinh Res struct removed 0-10]]*AN$5*10</f>
        <v>0</v>
      </c>
      <c r="AP112" s="260">
        <f>ASINH(FMS_Ranking4[[#This Row],[Residential Structures Removed Raw]])/AP$4*AN$5*100</f>
        <v>0</v>
      </c>
      <c r="AQ112" s="258">
        <f>(ASINH(FMS_Ranking4[[#This Row],[Residential Structures Removed Raw]]))*(10)/(ASINH(AN$4))</f>
        <v>0</v>
      </c>
      <c r="AR112" s="253">
        <f>_xlfn.XLOOKUP(FMS_Ranking4[[#This Row],[FMS ID]],FMS_Input[FMS_ID],FMS_Input[REMPOP100])</f>
        <v>0</v>
      </c>
      <c r="AS112" s="255">
        <f>(ASINH(FMS_Ranking4[[#This Row],[Removed Pop Raw]]))*(10)/(ASINH(AR$4))</f>
        <v>0</v>
      </c>
      <c r="AT112" s="262">
        <f>FMS_Ranking4[[#This Row],[Removed population, ArcSinh (0-10)]]*AR$5*10</f>
        <v>0</v>
      </c>
      <c r="AU112" s="264">
        <f>_xlfn.XLOOKUP(FMS_Ranking4[[#This Row],[FMS ID]],FMS_Input[FMS_ID],FMS_Input[REMCRITFAC100])</f>
        <v>0</v>
      </c>
      <c r="AV112" s="264">
        <f>_xlfn.XLOOKUP(FMS_Ranking4[[#This Row],[FMS ID]],FMS_Input[FMS_ID],FMS_Input[REMLWC100])</f>
        <v>0</v>
      </c>
      <c r="AW112" s="264">
        <f>_xlfn.XLOOKUP(FMS_Ranking4[[#This Row],[FMS ID]],FMS_Input[FMS_ID],FMS_Input[REMROADCLS])</f>
        <v>0</v>
      </c>
      <c r="AX112" s="264">
        <f>_xlfn.XLOOKUP(FMS_Ranking4[[#This Row],[FMS ID]],FMS_Input[FMS_ID],FMS_Input[REMFRMACRE100])</f>
        <v>0</v>
      </c>
      <c r="AY112" s="258">
        <f>_xlfn.XLOOKUP(FMS_Ranking4[[#This Row],[FMS ID]],FMS_Input[FMS_ID],FMS_Input[COSTSTRUCT])</f>
        <v>0</v>
      </c>
      <c r="AZ112" s="253">
        <f>_xlfn.XLOOKUP(FMS_Ranking4[[#This Row],[FMS ID]],FMS_Input[FMS_ID],FMS_Input[NATURE])</f>
        <v>0</v>
      </c>
      <c r="BA112" s="262">
        <f>(((FMS_Ranking4[[#This Row],[% NBS Raw]]/AZ$4)*100)*AZ$5)</f>
        <v>0</v>
      </c>
      <c r="BB112" s="251" t="str">
        <f>_xlfn.XLOOKUP(FMS_Ranking4[[#This Row],[FMS ID]],FMS_Input[FMS_ID],FMS_Input[WATER_SUP])</f>
        <v>No</v>
      </c>
      <c r="BC112" s="265">
        <f>IF(FMS_Ranking4[[#This Row],[Water Supply Raw]]="Yes",10,0)</f>
        <v>0</v>
      </c>
      <c r="BD112" s="266">
        <f>_xlfn.XLOOKUP(FMS_Ranking4[[#This Row],[FMS Type]],FMS_TYPE[FMS_Type],FMS_TYPE[Score])</f>
        <v>10</v>
      </c>
      <c r="BE112" s="267">
        <f>FMS_Ranking4[[#This Row],[FMS_Type Score]]*$BD$5*10</f>
        <v>2.5</v>
      </c>
      <c r="BF11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5.3527783315647088</v>
      </c>
      <c r="BG112" s="321">
        <f>_xlfn.RANK.EQ(BF112,$BF$8:$BF$870,0)+COUNTIF($BF$8:BF112,BF112)-1</f>
        <v>58</v>
      </c>
      <c r="BH112" s="294">
        <f>(((FMS_Ranking4[[#This Row],[Structures Removed Raw]]/AK$4)*100)*AK$5)+(((FMS_Ranking4[[#This Row],[Removed Pop Raw]]/AR$4)*100)*AR$5)</f>
        <v>0</v>
      </c>
      <c r="BI11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7.8527783315647088</v>
      </c>
      <c r="BJ112" s="251">
        <f>_xlfn.RANK.EQ(FMS_Ranking4[[#This Row],[Total Score 
(with linear
normalization)]],FMS_Ranking4[Total Score 
(with linear
normalization)],0)</f>
        <v>92</v>
      </c>
      <c r="BK112" s="251" t="e">
        <f>_xlfn.XLOOKUP(FMS_Ranking4[[#This Row],[FMS ID]],#REF!,#REF!)</f>
        <v>#REF!</v>
      </c>
      <c r="BL11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35.079670714250938</v>
      </c>
      <c r="BM112" s="324">
        <f>FMS_Ranking4[[#This Row],[ArcSinh Score Based on Normalized Reported Factors]]+FMS_Ranking4[[#This Row],[% NBS Score (Normalized)]]+(FMS_Ranking4[[#This Row],[Water Supply Score (Normalized)]]*10*$BB$5)+FMS_Ranking4[[#This Row],[FMS_Type Score Weighted]]</f>
        <v>37.579670714250938</v>
      </c>
      <c r="BN112" s="251">
        <f>_xlfn.RANK.EQ(FMS_Ranking4[[#This Row],[Total Score (with ArcSinh normalization of select criteria)]],FMS_Ranking4[Total Score (with ArcSinh normalization of select criteria)],0)</f>
        <v>105</v>
      </c>
      <c r="BO112" s="270" t="str">
        <f>_xlfn.XLOOKUP(FMS_Ranking4[[#This Row],[FMS ID]],FMS_Input[FMS_ID],FMS_Input[FMS_RANK_YEAR])</f>
        <v>2023 Amended Plan</v>
      </c>
      <c r="BP112" s="204">
        <f>_xlfn.XLOOKUP(FMS_Ranking4[[#This Row],[FMS ID]],Prev_Rank[FMS ID],Prev_Rank[Prev Rank])</f>
        <v>89</v>
      </c>
      <c r="BQ112" s="251" t="e">
        <f>_xlfn.XLOOKUP(FMS_Ranking4[[#This Row],[FMS ID]],#REF!,#REF!)</f>
        <v>#REF!</v>
      </c>
      <c r="BR112" s="199" t="e">
        <f>SUM(#REF!,#REF!,#REF!,#REF!,#REF!,#REF!,#REF!,#REF!,#REF!,FMS_Ranking4[[#This Row],[ArcSinh Res struct removed 0-10]],#REF!)</f>
        <v>#REF!</v>
      </c>
      <c r="BS112" s="199" t="e">
        <f>FMS_Ranking4[[#This Row],[Log Score Based on Normalized Reported Factors]]+FMS_Ranking4[[#This Row],[% NBS Score (Normalized)]]+(FMS_Ranking4[[#This Row],[Water Supply Score (Normalized)]]*10*$BB$5)+(FMS_Ranking4[[#This Row],[FMS_Type Score Weighted]])</f>
        <v>#REF!</v>
      </c>
      <c r="BT112" s="200" t="e">
        <f>_xlfn.RANK.EQ(FMS_Ranking4[[#This Row],[Log Total Score]],FMS_Ranking4[Log Total Score],0)</f>
        <v>#REF!</v>
      </c>
      <c r="BU112" s="200" t="e">
        <f>_xlfn.XLOOKUP(FMS_Ranking4[[#This Row],[FMS ID]],#REF!,#REF!)</f>
        <v>#REF!</v>
      </c>
      <c r="BV112" s="200">
        <f>FMS_Ranking4[[#This Row],[Region Number]]</f>
        <v>15</v>
      </c>
      <c r="BW112" s="200">
        <f>FMS_Ranking4[[#This Row],[Rank (with ArcSinh normalization of select criteria)]]-FMS_Ranking4[[#This Row],[Rank
(with linear
normalization)]]</f>
        <v>13</v>
      </c>
      <c r="BX112" s="200" t="e">
        <f>FMS_Ranking4[[#This Row],[Log Rank]]-FMS_Ranking4[[#This Row],[Rank
(with linear
normalization)]]</f>
        <v>#REF!</v>
      </c>
      <c r="BY112" s="200">
        <f>IF(FMS_Ranking4[[#This Row],[FMS Type]]="Flood Measurement and Warning",FMS_Ranking4[[#This Row],[Rank (with ArcSinh normalization of select criteria)]],"")</f>
        <v>105</v>
      </c>
      <c r="BZ112" s="200" t="str">
        <f>IF(FMS_Ranking4[[#This Row],[FMS Type]]="Regulatory and Guidance",FMS_Ranking4[[#This Row],[Rank (with ArcSinh normalization of select criteria)]],"")</f>
        <v/>
      </c>
      <c r="CA112" s="200" t="str">
        <f>IF(FMS_Ranking4[[#This Row],[FMS Type]]="Education and Outreach",FMS_Ranking4[[#This Row],[Rank (with ArcSinh normalization of select criteria)]],"")</f>
        <v/>
      </c>
      <c r="CB112" s="200" t="str">
        <f>IF(FMS_Ranking4[[#This Row],[FMS Type]]="Property Acquisition and Structural Elevation",FMS_Ranking4[[#This Row],[Rank (with ArcSinh normalization of select criteria)]],"")</f>
        <v/>
      </c>
      <c r="CC112" s="200" t="str">
        <f>IF(FMS_Ranking4[[#This Row],[FMS Type]]="Infrastructure Projects",FMS_Ranking4[[#This Row],[Rank (with ArcSinh normalization of select criteria)]],"")</f>
        <v/>
      </c>
      <c r="CD112" s="200" t="str">
        <f>IF(FMS_Ranking4[[#This Row],[FMS Type]]="Other",FMS_Ranking4[[#This Row],[Rank (with ArcSinh normalization of select criteria)]],"")</f>
        <v/>
      </c>
      <c r="CE112" s="201"/>
    </row>
    <row r="113" spans="2:83" ht="45" x14ac:dyDescent="0.25">
      <c r="B113" s="341" t="s">
        <v>3665</v>
      </c>
      <c r="C113" s="246">
        <f>_xlfn.XLOOKUP(FMS_Ranking4[[#This Row],[FMS ID]],FMS_Input[FMS_ID],FMS_Input[RFPG_NUM])</f>
        <v>13</v>
      </c>
      <c r="D113" s="309" t="str">
        <f>_xlfn.XLOOKUP(FMS_Ranking4[[#This Row],[FMS ID]],FMS_Input[FMS_ID],FMS_Input[FMS_NAME])</f>
        <v>Jim Wells County Flood Warning System</v>
      </c>
      <c r="E113" s="308" t="str">
        <f>_xlfn.XLOOKUP(FMS_Ranking4[[#This Row],[FMS ID]],FMS_Input[FMS_ID],FMS_Input[SPONSOR])</f>
        <v>13000080</v>
      </c>
      <c r="F113" s="309" t="str">
        <f>_xlfn.XLOOKUP(FMS_Ranking4[[#This Row],[FMS ID]],Sponsor[FMS_ID],Sponsor[SPONSOR NAME])</f>
        <v>Jim Wells</v>
      </c>
      <c r="G113" s="309" t="str">
        <f>_xlfn.XLOOKUP(FMS_Ranking4[[#This Row],[FMS ID]],FMS_Input[FMS_ID],FMS_Input[FMS_DESCR])</f>
        <v>A county wide flood warning system</v>
      </c>
      <c r="H113" s="248" t="str">
        <f>_xlfn.XLOOKUP(FMS_Ranking4[[#This Row],[FMS ID]],FMS_Input[FMS_ID],FMS_Input[FMS_TYPE])</f>
        <v>Flood Measurement and Warning</v>
      </c>
      <c r="I113" s="249">
        <f>_xlfn.XLOOKUP(FMS_Ranking4[[#This Row],[FMS ID]],FMS_Input[FMS_ID],FMS_Input[NRNC_COST])</f>
        <v>250000</v>
      </c>
      <c r="J113" s="250">
        <f>_xlfn.XLOOKUP(FMS_Ranking4[[#This Row],[FMS ID]],FMS_Input[FMS_ID],FMS_Input[FMS_COST])</f>
        <v>250000</v>
      </c>
      <c r="K113" s="251" t="str">
        <f>_xlfn.XLOOKUP(FMS_Ranking4[[#This Row],[FMS ID]],FMS_Input[FMS_ID],FMS_Input[EMER_NEED])</f>
        <v>Yes</v>
      </c>
      <c r="L113" s="252">
        <f t="shared" si="1"/>
        <v>1</v>
      </c>
      <c r="M113" s="253">
        <f>_xlfn.XLOOKUP(FMS_Ranking4[[#This Row],[FMS ID]],FMS_Input[FMS_ID],FMS_Input[STRUCT_100])</f>
        <v>2398</v>
      </c>
      <c r="N113" s="255">
        <f>(ASINH(FMS_Ranking4[[#This Row],[Structure at Risk Raw]]))*(10)/(ASINH(M$4))</f>
        <v>6.6630344747480326</v>
      </c>
      <c r="O113" s="256">
        <f>FMS_Ranking4[[#This Row],[Structures at risk, ArcSinh (0-10)]]*M$5*10</f>
        <v>6.6630344747480326</v>
      </c>
      <c r="P113" s="253">
        <f>_xlfn.XLOOKUP(FMS_Ranking4[[#This Row],[FMS ID]],FMS_Input[FMS_ID],FMS_Input[RES_STRUCT100])</f>
        <v>1145</v>
      </c>
      <c r="Q113" s="257">
        <f>ASINH(FMS_Ranking4[[#This Row],[Res Structure Raw]])/Q$4*P$5*100</f>
        <v>0</v>
      </c>
      <c r="R113" s="253">
        <f>_xlfn.XLOOKUP(FMS_Ranking4[[#This Row],[FMS ID]],FMS_Input[FMS_ID],FMS_Input[POP100])</f>
        <v>8685</v>
      </c>
      <c r="S113" s="259">
        <f>(ASINH(FMS_Ranking4[[#This Row],[Pop at Risk Raw]]))*(10)/(ASINH(R$4))</f>
        <v>6.7396220076635709</v>
      </c>
      <c r="T113" s="256">
        <f>FMS_Ranking4[[#This Row],[Population at risk, ArcSinh (0-10)]]*R$5*10</f>
        <v>6.7396220076635718</v>
      </c>
      <c r="U113" s="253">
        <f>_xlfn.XLOOKUP(FMS_Ranking4[[#This Row],[FMS ID]],FMS_Input[FMS_ID],FMS_Input[CRITFAC100])</f>
        <v>9</v>
      </c>
      <c r="V113" s="259">
        <f>(ASINH(FMS_Ranking4[[#This Row],[Critical Facilities Raw]]))*(10)/(ASINH(U$4))</f>
        <v>3.4251552279272253</v>
      </c>
      <c r="W113" s="256">
        <f>FMS_Ranking4[[#This Row],[Critical facilities at risk, ArcSinh (0-10)]]*U$5*10</f>
        <v>3.4251552279272257</v>
      </c>
      <c r="X113" s="253">
        <f>_xlfn.XLOOKUP(FMS_Ranking4[[#This Row],[FMS ID]],FMS_Input[FMS_ID],FMS_Input[LWC])</f>
        <v>13</v>
      </c>
      <c r="Y113" s="259">
        <f>(ASINH(FMS_Ranking4[[#This Row],[LWC Raw]]))*(10)/(ASINH(X$4))</f>
        <v>4.4158660820509805</v>
      </c>
      <c r="Z113" s="256">
        <f>FMS_Ranking4[[#This Row],[LWC, ArcSInh (0-10)]]*X$5*10</f>
        <v>4.4158660820509805</v>
      </c>
      <c r="AA113" s="253">
        <f>_xlfn.XLOOKUP(FMS_Ranking4[[#This Row],[FMS ID]],FMS_Input[FMS_ID],FMS_Input[ROADCLS])</f>
        <v>624</v>
      </c>
      <c r="AB113" s="255">
        <f>(ASINH(FMS_Ranking4[[#This Row],[Road Closures Raw]]))*(10)/(ASINH(AA$4))</f>
        <v>7.42450971670221</v>
      </c>
      <c r="AC113" s="256">
        <f>FMS_Ranking4[[#This Row],[Road closures, ArcSinh (0-10)]]*AA$5*10</f>
        <v>3.712254858351105</v>
      </c>
      <c r="AD113" s="253">
        <f>_xlfn.XLOOKUP(FMS_Ranking4[[#This Row],[FMS ID]],FMS_Input[FMS_ID],FMS_Input[ROAD_MILES100])</f>
        <v>201</v>
      </c>
      <c r="AE113" s="259">
        <f>(ASINH(FMS_Ranking4[[#This Row],[Road Miles Raw]]))*(10)/(ASINH(AD$4))</f>
        <v>6.3905747517344311</v>
      </c>
      <c r="AF113" s="256">
        <f>FMS_Ranking4[[#This Row],[Length of roads at risk, ArcSinh (0-10)]]*AD$5*10</f>
        <v>6.3905747517344311</v>
      </c>
      <c r="AG113" s="253">
        <f>_xlfn.XLOOKUP(FMS_Ranking4[[#This Row],[FMS ID]],FMS_Input[FMS_ID],FMS_Input[FARMACRE100])</f>
        <v>25815.615234375</v>
      </c>
      <c r="AH113" s="255">
        <f>(ASINH(FMS_Ranking4[[#This Row],[Ag Land Raw]]))*(10)/(ASINH(AG$4))</f>
        <v>7.0491814611550083</v>
      </c>
      <c r="AI113" s="260">
        <f>FMS_Ranking4[[#This Row],[Farm &amp; ranch land, ArcSinh (0-10)]]*AG$5*10</f>
        <v>3.5245907305775042</v>
      </c>
      <c r="AJ113" s="258">
        <f>_xlfn.XLOOKUP(FMS_Ranking4[[#This Row],[FMS ID]],FMS_Input[FMS_ID],FMS_Input[REDSTRUCT100])</f>
        <v>0</v>
      </c>
      <c r="AK113" s="253">
        <f>_xlfn.XLOOKUP(FMS_Ranking4[[#This Row],[FMS ID]],FMS_Input[FMS_ID],FMS_Input[REMSTRC100])</f>
        <v>0</v>
      </c>
      <c r="AL113" s="259">
        <f>(ASINH(FMS_Ranking4[[#This Row],[Structures Removed Raw]]))*(10)/(ASINH(AK$4))</f>
        <v>0</v>
      </c>
      <c r="AM113" s="262">
        <f>FMS_Ranking4[[#This Row],[Structures removed, ArcSinh (0-10)]]*AK$5*10</f>
        <v>0</v>
      </c>
      <c r="AN113" s="253">
        <f>_xlfn.XLOOKUP(FMS_Ranking4[[#This Row],[FMS ID]],FMS_Input[FMS_ID],FMS_Input[REMRESSTRC100])</f>
        <v>0</v>
      </c>
      <c r="AO113" s="261">
        <f>FMS_Ranking4[[#This Row],[ArcSinh Res struct removed 0-10]]*AN$5*10</f>
        <v>0</v>
      </c>
      <c r="AP113" s="260">
        <f>ASINH(FMS_Ranking4[[#This Row],[Residential Structures Removed Raw]])/AP$4*AN$5*100</f>
        <v>0</v>
      </c>
      <c r="AQ113" s="254">
        <f>(ASINH(FMS_Ranking4[[#This Row],[Residential Structures Removed Raw]]))*(10)/(ASINH(AN$4))</f>
        <v>0</v>
      </c>
      <c r="AR113" s="253">
        <f>_xlfn.XLOOKUP(FMS_Ranking4[[#This Row],[FMS ID]],FMS_Input[FMS_ID],FMS_Input[REMPOP100])</f>
        <v>0</v>
      </c>
      <c r="AS113" s="259">
        <f>(ASINH(FMS_Ranking4[[#This Row],[Removed Pop Raw]]))*(10)/(ASINH(AR$4))</f>
        <v>0</v>
      </c>
      <c r="AT113" s="262">
        <f>FMS_Ranking4[[#This Row],[Removed population, ArcSinh (0-10)]]*AR$5*10</f>
        <v>0</v>
      </c>
      <c r="AU113" s="264">
        <f>_xlfn.XLOOKUP(FMS_Ranking4[[#This Row],[FMS ID]],FMS_Input[FMS_ID],FMS_Input[REMCRITFAC100])</f>
        <v>0</v>
      </c>
      <c r="AV113" s="264">
        <f>_xlfn.XLOOKUP(FMS_Ranking4[[#This Row],[FMS ID]],FMS_Input[FMS_ID],FMS_Input[REMLWC100])</f>
        <v>0</v>
      </c>
      <c r="AW113" s="264">
        <f>_xlfn.XLOOKUP(FMS_Ranking4[[#This Row],[FMS ID]],FMS_Input[FMS_ID],FMS_Input[REMROADCLS])</f>
        <v>0</v>
      </c>
      <c r="AX113" s="264">
        <f>_xlfn.XLOOKUP(FMS_Ranking4[[#This Row],[FMS ID]],FMS_Input[FMS_ID],FMS_Input[REMFRMACRE100])</f>
        <v>0</v>
      </c>
      <c r="AY113" s="258">
        <f>_xlfn.XLOOKUP(FMS_Ranking4[[#This Row],[FMS ID]],FMS_Input[FMS_ID],FMS_Input[COSTSTRUCT])</f>
        <v>0</v>
      </c>
      <c r="AZ113" s="253">
        <f>_xlfn.XLOOKUP(FMS_Ranking4[[#This Row],[FMS ID]],FMS_Input[FMS_ID],FMS_Input[NATURE])</f>
        <v>0</v>
      </c>
      <c r="BA113" s="262">
        <f>(((FMS_Ranking4[[#This Row],[% NBS Raw]]/AZ$4)*100)*AZ$5)</f>
        <v>0</v>
      </c>
      <c r="BB113" s="251" t="str">
        <f>_xlfn.XLOOKUP(FMS_Ranking4[[#This Row],[FMS ID]],FMS_Input[FMS_ID],FMS_Input[WATER_SUP])</f>
        <v>No</v>
      </c>
      <c r="BC113" s="265">
        <f>IF(FMS_Ranking4[[#This Row],[Water Supply Raw]]="Yes",10,0)</f>
        <v>0</v>
      </c>
      <c r="BD113" s="266">
        <f>_xlfn.XLOOKUP(FMS_Ranking4[[#This Row],[FMS Type]],FMS_TYPE[FMS_Type],FMS_TYPE[Score])</f>
        <v>10</v>
      </c>
      <c r="BE113" s="267">
        <f>FMS_Ranking4[[#This Row],[FMS_Type Score]]*$BD$5*10</f>
        <v>2.5</v>
      </c>
      <c r="BF11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1.2457990257625304</v>
      </c>
      <c r="BG113" s="271">
        <f>_xlfn.RANK.EQ(BF113,$BF$8:$BF$870,0)+COUNTIF($BF$8:BF113,BF113)-1</f>
        <v>118</v>
      </c>
      <c r="BH113" s="268">
        <f>(((FMS_Ranking4[[#This Row],[Structures Removed Raw]]/AK$4)*100)*AK$5)+(((FMS_Ranking4[[#This Row],[Removed Pop Raw]]/AR$4)*100)*AR$5)</f>
        <v>0</v>
      </c>
      <c r="BI11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3.7457990257625307</v>
      </c>
      <c r="BJ113" s="205">
        <f>_xlfn.RANK.EQ(FMS_Ranking4[[#This Row],[Total Score 
(with linear
normalization)]],FMS_Ranking4[Total Score 
(with linear
normalization)],0)</f>
        <v>139</v>
      </c>
      <c r="BK113" s="205" t="e">
        <f>_xlfn.XLOOKUP(FMS_Ranking4[[#This Row],[FMS ID]],#REF!,#REF!)</f>
        <v>#REF!</v>
      </c>
      <c r="BL11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34.871098133052854</v>
      </c>
      <c r="BM113" s="272">
        <f>FMS_Ranking4[[#This Row],[ArcSinh Score Based on Normalized Reported Factors]]+FMS_Ranking4[[#This Row],[% NBS Score (Normalized)]]+(FMS_Ranking4[[#This Row],[Water Supply Score (Normalized)]]*10*$BB$5)+FMS_Ranking4[[#This Row],[FMS_Type Score Weighted]]</f>
        <v>37.371098133052854</v>
      </c>
      <c r="BN113" s="205">
        <f>_xlfn.RANK.EQ(FMS_Ranking4[[#This Row],[Total Score (with ArcSinh normalization of select criteria)]],FMS_Ranking4[Total Score (with ArcSinh normalization of select criteria)],0)</f>
        <v>106</v>
      </c>
      <c r="BO113" s="270" t="str">
        <f>_xlfn.XLOOKUP(FMS_Ranking4[[#This Row],[FMS ID]],FMS_Input[FMS_ID],FMS_Input[FMS_RANK_YEAR])</f>
        <v>2023 Amended Plan</v>
      </c>
      <c r="BP113" s="204">
        <f>_xlfn.XLOOKUP(FMS_Ranking4[[#This Row],[FMS ID]],Prev_Rank[FMS ID],Prev_Rank[Prev Rank])</f>
        <v>91</v>
      </c>
      <c r="BQ113" s="205" t="e">
        <f>_xlfn.XLOOKUP(FMS_Ranking4[[#This Row],[FMS ID]],#REF!,#REF!)</f>
        <v>#REF!</v>
      </c>
      <c r="BR113" s="199" t="e">
        <f>SUM(#REF!,#REF!,#REF!,#REF!,#REF!,#REF!,#REF!,#REF!,#REF!,FMS_Ranking4[[#This Row],[ArcSinh Res struct removed 0-10]],#REF!)</f>
        <v>#REF!</v>
      </c>
      <c r="BS113" s="199" t="e">
        <f>FMS_Ranking4[[#This Row],[Log Score Based on Normalized Reported Factors]]+FMS_Ranking4[[#This Row],[% NBS Score (Normalized)]]+(FMS_Ranking4[[#This Row],[Water Supply Score (Normalized)]]*10*$BB$5)+(FMS_Ranking4[[#This Row],[FMS_Type Score Weighted]])</f>
        <v>#REF!</v>
      </c>
      <c r="BT113" s="200" t="e">
        <f>_xlfn.RANK.EQ(FMS_Ranking4[[#This Row],[Log Total Score]],FMS_Ranking4[Log Total Score],0)</f>
        <v>#REF!</v>
      </c>
      <c r="BU113" s="200" t="e">
        <f>_xlfn.XLOOKUP(FMS_Ranking4[[#This Row],[FMS ID]],#REF!,#REF!)</f>
        <v>#REF!</v>
      </c>
      <c r="BV113" s="200">
        <f>FMS_Ranking4[[#This Row],[Region Number]]</f>
        <v>13</v>
      </c>
      <c r="BW113" s="200">
        <f>FMS_Ranking4[[#This Row],[Rank (with ArcSinh normalization of select criteria)]]-FMS_Ranking4[[#This Row],[Rank
(with linear
normalization)]]</f>
        <v>-33</v>
      </c>
      <c r="BX113" s="200" t="e">
        <f>FMS_Ranking4[[#This Row],[Log Rank]]-FMS_Ranking4[[#This Row],[Rank
(with linear
normalization)]]</f>
        <v>#REF!</v>
      </c>
      <c r="BY113" s="200">
        <f>IF(FMS_Ranking4[[#This Row],[FMS Type]]="Flood Measurement and Warning",FMS_Ranking4[[#This Row],[Rank (with ArcSinh normalization of select criteria)]],"")</f>
        <v>106</v>
      </c>
      <c r="BZ113" s="200" t="str">
        <f>IF(FMS_Ranking4[[#This Row],[FMS Type]]="Regulatory and Guidance",FMS_Ranking4[[#This Row],[Rank (with ArcSinh normalization of select criteria)]],"")</f>
        <v/>
      </c>
      <c r="CA113" s="200" t="str">
        <f>IF(FMS_Ranking4[[#This Row],[FMS Type]]="Education and Outreach",FMS_Ranking4[[#This Row],[Rank (with ArcSinh normalization of select criteria)]],"")</f>
        <v/>
      </c>
      <c r="CB113" s="200" t="str">
        <f>IF(FMS_Ranking4[[#This Row],[FMS Type]]="Property Acquisition and Structural Elevation",FMS_Ranking4[[#This Row],[Rank (with ArcSinh normalization of select criteria)]],"")</f>
        <v/>
      </c>
      <c r="CC113" s="200" t="str">
        <f>IF(FMS_Ranking4[[#This Row],[FMS Type]]="Infrastructure Projects",FMS_Ranking4[[#This Row],[Rank (with ArcSinh normalization of select criteria)]],"")</f>
        <v/>
      </c>
      <c r="CD113" s="200" t="str">
        <f>IF(FMS_Ranking4[[#This Row],[FMS Type]]="Other",FMS_Ranking4[[#This Row],[Rank (with ArcSinh normalization of select criteria)]],"")</f>
        <v/>
      </c>
      <c r="CE113" s="201"/>
    </row>
    <row r="114" spans="2:83" ht="135" x14ac:dyDescent="0.25">
      <c r="B114" s="341" t="s">
        <v>3657</v>
      </c>
      <c r="C114" s="246">
        <f>_xlfn.XLOOKUP(FMS_Ranking4[[#This Row],[FMS ID]],FMS_Input[FMS_ID],FMS_Input[RFPG_NUM])</f>
        <v>13</v>
      </c>
      <c r="D114" s="309" t="str">
        <f>_xlfn.XLOOKUP(FMS_Ranking4[[#This Row],[FMS ID]],FMS_Input[FMS_ID],FMS_Input[FMS_NAME])</f>
        <v xml:space="preserve">City of Alice &amp; Jim Wells County Multi-Hazard Mitigation Plan - Mandate Freeboard on Structures to Reduce Flooding Damage </v>
      </c>
      <c r="E114" s="308" t="str">
        <f>_xlfn.XLOOKUP(FMS_Ranking4[[#This Row],[FMS ID]],FMS_Input[FMS_ID],FMS_Input[SPONSOR])</f>
        <v>13000080</v>
      </c>
      <c r="F114" s="309" t="str">
        <f>_xlfn.XLOOKUP(FMS_Ranking4[[#This Row],[FMS ID]],Sponsor[FMS_ID],Sponsor[SPONSOR NAME])</f>
        <v>Jim Wells</v>
      </c>
      <c r="G114" s="309" t="str">
        <f>_xlfn.XLOOKUP(FMS_Ranking4[[#This Row],[FMS ID]],FMS_Input[FMS_ID],FMS_Input[FMS_DESCR])</f>
        <v xml:space="preserve">Jim Wells County will re-evaluate all existing floodplain construction restrictions to identify strengths and weaknesses in order to produce a new ordinance, update its existing flood damage prevention ordinance, and / or update its zoning code. </v>
      </c>
      <c r="H114" s="248" t="str">
        <f>_xlfn.XLOOKUP(FMS_Ranking4[[#This Row],[FMS ID]],FMS_Input[FMS_ID],FMS_Input[FMS_TYPE])</f>
        <v>Regulatory and Guidance</v>
      </c>
      <c r="I114" s="249">
        <f>_xlfn.XLOOKUP(FMS_Ranking4[[#This Row],[FMS ID]],FMS_Input[FMS_ID],FMS_Input[NRNC_COST])</f>
        <v>200000</v>
      </c>
      <c r="J114" s="250">
        <f>_xlfn.XLOOKUP(FMS_Ranking4[[#This Row],[FMS ID]],FMS_Input[FMS_ID],FMS_Input[FMS_COST])</f>
        <v>200000</v>
      </c>
      <c r="K114" s="251" t="str">
        <f>_xlfn.XLOOKUP(FMS_Ranking4[[#This Row],[FMS ID]],FMS_Input[FMS_ID],FMS_Input[EMER_NEED])</f>
        <v>Yes</v>
      </c>
      <c r="L114" s="252">
        <f t="shared" si="1"/>
        <v>1</v>
      </c>
      <c r="M114" s="253">
        <f>_xlfn.XLOOKUP(FMS_Ranking4[[#This Row],[FMS ID]],FMS_Input[FMS_ID],FMS_Input[STRUCT_100])</f>
        <v>2398</v>
      </c>
      <c r="N114" s="255">
        <f>(ASINH(FMS_Ranking4[[#This Row],[Structure at Risk Raw]]))*(10)/(ASINH(M$4))</f>
        <v>6.6630344747480326</v>
      </c>
      <c r="O114" s="256">
        <f>FMS_Ranking4[[#This Row],[Structures at risk, ArcSinh (0-10)]]*M$5*10</f>
        <v>6.6630344747480326</v>
      </c>
      <c r="P114" s="253">
        <f>_xlfn.XLOOKUP(FMS_Ranking4[[#This Row],[FMS ID]],FMS_Input[FMS_ID],FMS_Input[RES_STRUCT100])</f>
        <v>1145</v>
      </c>
      <c r="Q114" s="257">
        <f>ASINH(FMS_Ranking4[[#This Row],[Res Structure Raw]])/Q$4*P$5*100</f>
        <v>0</v>
      </c>
      <c r="R114" s="253">
        <f>_xlfn.XLOOKUP(FMS_Ranking4[[#This Row],[FMS ID]],FMS_Input[FMS_ID],FMS_Input[POP100])</f>
        <v>8685</v>
      </c>
      <c r="S114" s="259">
        <f>(ASINH(FMS_Ranking4[[#This Row],[Pop at Risk Raw]]))*(10)/(ASINH(R$4))</f>
        <v>6.7396220076635709</v>
      </c>
      <c r="T114" s="256">
        <f>FMS_Ranking4[[#This Row],[Population at risk, ArcSinh (0-10)]]*R$5*10</f>
        <v>6.7396220076635718</v>
      </c>
      <c r="U114" s="253">
        <f>_xlfn.XLOOKUP(FMS_Ranking4[[#This Row],[FMS ID]],FMS_Input[FMS_ID],FMS_Input[CRITFAC100])</f>
        <v>9</v>
      </c>
      <c r="V114" s="259">
        <f>(ASINH(FMS_Ranking4[[#This Row],[Critical Facilities Raw]]))*(10)/(ASINH(U$4))</f>
        <v>3.4251552279272253</v>
      </c>
      <c r="W114" s="256">
        <f>FMS_Ranking4[[#This Row],[Critical facilities at risk, ArcSinh (0-10)]]*U$5*10</f>
        <v>3.4251552279272257</v>
      </c>
      <c r="X114" s="253">
        <f>_xlfn.XLOOKUP(FMS_Ranking4[[#This Row],[FMS ID]],FMS_Input[FMS_ID],FMS_Input[LWC])</f>
        <v>13</v>
      </c>
      <c r="Y114" s="259">
        <f>(ASINH(FMS_Ranking4[[#This Row],[LWC Raw]]))*(10)/(ASINH(X$4))</f>
        <v>4.4158660820509805</v>
      </c>
      <c r="Z114" s="256">
        <f>FMS_Ranking4[[#This Row],[LWC, ArcSInh (0-10)]]*X$5*10</f>
        <v>4.4158660820509805</v>
      </c>
      <c r="AA114" s="253">
        <f>_xlfn.XLOOKUP(FMS_Ranking4[[#This Row],[FMS ID]],FMS_Input[FMS_ID],FMS_Input[ROADCLS])</f>
        <v>624</v>
      </c>
      <c r="AB114" s="255">
        <f>(ASINH(FMS_Ranking4[[#This Row],[Road Closures Raw]]))*(10)/(ASINH(AA$4))</f>
        <v>7.42450971670221</v>
      </c>
      <c r="AC114" s="256">
        <f>FMS_Ranking4[[#This Row],[Road closures, ArcSinh (0-10)]]*AA$5*10</f>
        <v>3.712254858351105</v>
      </c>
      <c r="AD114" s="253">
        <f>_xlfn.XLOOKUP(FMS_Ranking4[[#This Row],[FMS ID]],FMS_Input[FMS_ID],FMS_Input[ROAD_MILES100])</f>
        <v>201</v>
      </c>
      <c r="AE114" s="259">
        <f>(ASINH(FMS_Ranking4[[#This Row],[Road Miles Raw]]))*(10)/(ASINH(AD$4))</f>
        <v>6.3905747517344311</v>
      </c>
      <c r="AF114" s="256">
        <f>FMS_Ranking4[[#This Row],[Length of roads at risk, ArcSinh (0-10)]]*AD$5*10</f>
        <v>6.3905747517344311</v>
      </c>
      <c r="AG114" s="253">
        <f>_xlfn.XLOOKUP(FMS_Ranking4[[#This Row],[FMS ID]],FMS_Input[FMS_ID],FMS_Input[FARMACRE100])</f>
        <v>25815.615234375</v>
      </c>
      <c r="AH114" s="255">
        <f>(ASINH(FMS_Ranking4[[#This Row],[Ag Land Raw]]))*(10)/(ASINH(AG$4))</f>
        <v>7.0491814611550083</v>
      </c>
      <c r="AI114" s="260">
        <f>FMS_Ranking4[[#This Row],[Farm &amp; ranch land, ArcSinh (0-10)]]*AG$5*10</f>
        <v>3.5245907305775042</v>
      </c>
      <c r="AJ114" s="258">
        <f>_xlfn.XLOOKUP(FMS_Ranking4[[#This Row],[FMS ID]],FMS_Input[FMS_ID],FMS_Input[REDSTRUCT100])</f>
        <v>0</v>
      </c>
      <c r="AK114" s="253">
        <f>_xlfn.XLOOKUP(FMS_Ranking4[[#This Row],[FMS ID]],FMS_Input[FMS_ID],FMS_Input[REMSTRC100])</f>
        <v>0</v>
      </c>
      <c r="AL114" s="259">
        <f>(ASINH(FMS_Ranking4[[#This Row],[Structures Removed Raw]]))*(10)/(ASINH(AK$4))</f>
        <v>0</v>
      </c>
      <c r="AM114" s="262">
        <f>FMS_Ranking4[[#This Row],[Structures removed, ArcSinh (0-10)]]*AK$5*10</f>
        <v>0</v>
      </c>
      <c r="AN114" s="253">
        <f>_xlfn.XLOOKUP(FMS_Ranking4[[#This Row],[FMS ID]],FMS_Input[FMS_ID],FMS_Input[REMRESSTRC100])</f>
        <v>0</v>
      </c>
      <c r="AO114" s="261">
        <f>FMS_Ranking4[[#This Row],[ArcSinh Res struct removed 0-10]]*AN$5*10</f>
        <v>0</v>
      </c>
      <c r="AP114" s="260">
        <f>ASINH(FMS_Ranking4[[#This Row],[Residential Structures Removed Raw]])/AP$4*AN$5*100</f>
        <v>0</v>
      </c>
      <c r="AQ114" s="254">
        <f>(ASINH(FMS_Ranking4[[#This Row],[Residential Structures Removed Raw]]))*(10)/(ASINH(AN$4))</f>
        <v>0</v>
      </c>
      <c r="AR114" s="253">
        <f>_xlfn.XLOOKUP(FMS_Ranking4[[#This Row],[FMS ID]],FMS_Input[FMS_ID],FMS_Input[REMPOP100])</f>
        <v>0</v>
      </c>
      <c r="AS114" s="259">
        <f>(ASINH(FMS_Ranking4[[#This Row],[Removed Pop Raw]]))*(10)/(ASINH(AR$4))</f>
        <v>0</v>
      </c>
      <c r="AT114" s="262">
        <f>FMS_Ranking4[[#This Row],[Removed population, ArcSinh (0-10)]]*AR$5*10</f>
        <v>0</v>
      </c>
      <c r="AU114" s="264">
        <f>_xlfn.XLOOKUP(FMS_Ranking4[[#This Row],[FMS ID]],FMS_Input[FMS_ID],FMS_Input[REMCRITFAC100])</f>
        <v>0</v>
      </c>
      <c r="AV114" s="264">
        <f>_xlfn.XLOOKUP(FMS_Ranking4[[#This Row],[FMS ID]],FMS_Input[FMS_ID],FMS_Input[REMLWC100])</f>
        <v>0</v>
      </c>
      <c r="AW114" s="264">
        <f>_xlfn.XLOOKUP(FMS_Ranking4[[#This Row],[FMS ID]],FMS_Input[FMS_ID],FMS_Input[REMROADCLS])</f>
        <v>0</v>
      </c>
      <c r="AX114" s="264">
        <f>_xlfn.XLOOKUP(FMS_Ranking4[[#This Row],[FMS ID]],FMS_Input[FMS_ID],FMS_Input[REMFRMACRE100])</f>
        <v>0</v>
      </c>
      <c r="AY114" s="258">
        <f>_xlfn.XLOOKUP(FMS_Ranking4[[#This Row],[FMS ID]],FMS_Input[FMS_ID],FMS_Input[COSTSTRUCT])</f>
        <v>0</v>
      </c>
      <c r="AZ114" s="253">
        <f>_xlfn.XLOOKUP(FMS_Ranking4[[#This Row],[FMS ID]],FMS_Input[FMS_ID],FMS_Input[NATURE])</f>
        <v>0</v>
      </c>
      <c r="BA114" s="262">
        <f>(((FMS_Ranking4[[#This Row],[% NBS Raw]]/AZ$4)*100)*AZ$5)</f>
        <v>0</v>
      </c>
      <c r="BB114" s="251" t="str">
        <f>_xlfn.XLOOKUP(FMS_Ranking4[[#This Row],[FMS ID]],FMS_Input[FMS_ID],FMS_Input[WATER_SUP])</f>
        <v>No</v>
      </c>
      <c r="BC114" s="265">
        <f>IF(FMS_Ranking4[[#This Row],[Water Supply Raw]]="Yes",10,0)</f>
        <v>0</v>
      </c>
      <c r="BD114" s="266">
        <f>_xlfn.XLOOKUP(FMS_Ranking4[[#This Row],[FMS Type]],FMS_TYPE[FMS_Type],FMS_TYPE[Score])</f>
        <v>8</v>
      </c>
      <c r="BE114" s="267">
        <f>FMS_Ranking4[[#This Row],[FMS_Type Score]]*$BD$5*10</f>
        <v>2</v>
      </c>
      <c r="BF11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1.2457990257625304</v>
      </c>
      <c r="BG114" s="269">
        <f>_xlfn.RANK.EQ(BF114,$BF$8:$BF$870,0)+COUNTIF($BF$8:BF114,BF114)-1</f>
        <v>119</v>
      </c>
      <c r="BH114" s="268">
        <f>(((FMS_Ranking4[[#This Row],[Structures Removed Raw]]/AK$4)*100)*AK$5)+(((FMS_Ranking4[[#This Row],[Removed Pop Raw]]/AR$4)*100)*AR$5)</f>
        <v>0</v>
      </c>
      <c r="BI11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3.2457990257625307</v>
      </c>
      <c r="BJ114" s="204">
        <f>_xlfn.RANK.EQ(FMS_Ranking4[[#This Row],[Total Score 
(with linear
normalization)]],FMS_Ranking4[Total Score 
(with linear
normalization)],0)</f>
        <v>158</v>
      </c>
      <c r="BK114" s="204" t="e">
        <f>_xlfn.XLOOKUP(FMS_Ranking4[[#This Row],[FMS ID]],#REF!,#REF!)</f>
        <v>#REF!</v>
      </c>
      <c r="BL114"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34.871098133052854</v>
      </c>
      <c r="BM114" s="270">
        <f>FMS_Ranking4[[#This Row],[ArcSinh Score Based on Normalized Reported Factors]]+FMS_Ranking4[[#This Row],[% NBS Score (Normalized)]]+(FMS_Ranking4[[#This Row],[Water Supply Score (Normalized)]]*10*$BB$5)+FMS_Ranking4[[#This Row],[FMS_Type Score Weighted]]</f>
        <v>36.871098133052854</v>
      </c>
      <c r="BN114" s="204">
        <f>_xlfn.RANK.EQ(FMS_Ranking4[[#This Row],[Total Score (with ArcSinh normalization of select criteria)]],FMS_Ranking4[Total Score (with ArcSinh normalization of select criteria)],0)</f>
        <v>107</v>
      </c>
      <c r="BO114" s="270" t="str">
        <f>_xlfn.XLOOKUP(FMS_Ranking4[[#This Row],[FMS ID]],FMS_Input[FMS_ID],FMS_Input[FMS_RANK_YEAR])</f>
        <v>2023 Amended Plan</v>
      </c>
      <c r="BP114" s="204">
        <f>_xlfn.XLOOKUP(FMS_Ranking4[[#This Row],[FMS ID]],Prev_Rank[FMS ID],Prev_Rank[Prev Rank])</f>
        <v>92</v>
      </c>
      <c r="BQ114" s="204" t="e">
        <f>_xlfn.XLOOKUP(FMS_Ranking4[[#This Row],[FMS ID]],#REF!,#REF!)</f>
        <v>#REF!</v>
      </c>
      <c r="BR114" s="199" t="e">
        <f>SUM(#REF!,#REF!,#REF!,#REF!,#REF!,#REF!,#REF!,#REF!,#REF!,FMS_Ranking4[[#This Row],[ArcSinh Res struct removed 0-10]],#REF!)</f>
        <v>#REF!</v>
      </c>
      <c r="BS114" s="199" t="e">
        <f>FMS_Ranking4[[#This Row],[Log Score Based on Normalized Reported Factors]]+FMS_Ranking4[[#This Row],[% NBS Score (Normalized)]]+(FMS_Ranking4[[#This Row],[Water Supply Score (Normalized)]]*10*$BB$5)+(FMS_Ranking4[[#This Row],[FMS_Type Score Weighted]])</f>
        <v>#REF!</v>
      </c>
      <c r="BT114" s="200" t="e">
        <f>_xlfn.RANK.EQ(FMS_Ranking4[[#This Row],[Log Total Score]],FMS_Ranking4[Log Total Score],0)</f>
        <v>#REF!</v>
      </c>
      <c r="BU114" s="200" t="e">
        <f>_xlfn.XLOOKUP(FMS_Ranking4[[#This Row],[FMS ID]],#REF!,#REF!)</f>
        <v>#REF!</v>
      </c>
      <c r="BV114" s="200">
        <f>FMS_Ranking4[[#This Row],[Region Number]]</f>
        <v>13</v>
      </c>
      <c r="BW114" s="200">
        <f>FMS_Ranking4[[#This Row],[Rank (with ArcSinh normalization of select criteria)]]-FMS_Ranking4[[#This Row],[Rank
(with linear
normalization)]]</f>
        <v>-51</v>
      </c>
      <c r="BX114" s="200" t="e">
        <f>FMS_Ranking4[[#This Row],[Log Rank]]-FMS_Ranking4[[#This Row],[Rank
(with linear
normalization)]]</f>
        <v>#REF!</v>
      </c>
      <c r="BY114" s="200" t="str">
        <f>IF(FMS_Ranking4[[#This Row],[FMS Type]]="Flood Measurement and Warning",FMS_Ranking4[[#This Row],[Rank (with ArcSinh normalization of select criteria)]],"")</f>
        <v/>
      </c>
      <c r="BZ114" s="200">
        <f>IF(FMS_Ranking4[[#This Row],[FMS Type]]="Regulatory and Guidance",FMS_Ranking4[[#This Row],[Rank (with ArcSinh normalization of select criteria)]],"")</f>
        <v>107</v>
      </c>
      <c r="CA114" s="200" t="str">
        <f>IF(FMS_Ranking4[[#This Row],[FMS Type]]="Education and Outreach",FMS_Ranking4[[#This Row],[Rank (with ArcSinh normalization of select criteria)]],"")</f>
        <v/>
      </c>
      <c r="CB114" s="200" t="str">
        <f>IF(FMS_Ranking4[[#This Row],[FMS Type]]="Property Acquisition and Structural Elevation",FMS_Ranking4[[#This Row],[Rank (with ArcSinh normalization of select criteria)]],"")</f>
        <v/>
      </c>
      <c r="CC114" s="200" t="str">
        <f>IF(FMS_Ranking4[[#This Row],[FMS Type]]="Infrastructure Projects",FMS_Ranking4[[#This Row],[Rank (with ArcSinh normalization of select criteria)]],"")</f>
        <v/>
      </c>
      <c r="CD114" s="200" t="str">
        <f>IF(FMS_Ranking4[[#This Row],[FMS Type]]="Other",FMS_Ranking4[[#This Row],[Rank (with ArcSinh normalization of select criteria)]],"")</f>
        <v/>
      </c>
      <c r="CE114" s="201"/>
    </row>
    <row r="115" spans="2:83" ht="45" x14ac:dyDescent="0.25">
      <c r="B115" s="341" t="s">
        <v>3057</v>
      </c>
      <c r="C115" s="246">
        <f>_xlfn.XLOOKUP(FMS_Ranking4[[#This Row],[FMS ID]],FMS_Input[FMS_ID],FMS_Input[RFPG_NUM])</f>
        <v>7</v>
      </c>
      <c r="D115" s="309" t="str">
        <f>_xlfn.XLOOKUP(FMS_Ranking4[[#This Row],[FMS ID]],FMS_Input[FMS_ID],FMS_Input[FMS_NAME])</f>
        <v>City of Abilene Creek Gauge Program</v>
      </c>
      <c r="E115" s="308" t="str">
        <f>_xlfn.XLOOKUP(FMS_Ranking4[[#This Row],[FMS ID]],FMS_Input[FMS_ID],FMS_Input[SPONSOR])</f>
        <v>07002425</v>
      </c>
      <c r="F115" s="309" t="str">
        <f>_xlfn.XLOOKUP(FMS_Ranking4[[#This Row],[FMS ID]],Sponsor[FMS_ID],Sponsor[SPONSOR NAME])</f>
        <v>Abilene</v>
      </c>
      <c r="G115" s="309" t="str">
        <f>_xlfn.XLOOKUP(FMS_Ranking4[[#This Row],[FMS ID]],FMS_Input[FMS_ID],FMS_Input[FMS_DESCR])</f>
        <v>Install automated creek rain gauges and automated barriers for flooded road ways.</v>
      </c>
      <c r="H115" s="248" t="str">
        <f>_xlfn.XLOOKUP(FMS_Ranking4[[#This Row],[FMS ID]],FMS_Input[FMS_ID],FMS_Input[FMS_TYPE])</f>
        <v>Flood Measurement and Warning</v>
      </c>
      <c r="I115" s="249">
        <f>_xlfn.XLOOKUP(FMS_Ranking4[[#This Row],[FMS ID]],FMS_Input[FMS_ID],FMS_Input[NRNC_COST])</f>
        <v>175000</v>
      </c>
      <c r="J115" s="250">
        <f>_xlfn.XLOOKUP(FMS_Ranking4[[#This Row],[FMS ID]],FMS_Input[FMS_ID],FMS_Input[FMS_COST])</f>
        <v>175000</v>
      </c>
      <c r="K115" s="251" t="str">
        <f>_xlfn.XLOOKUP(FMS_Ranking4[[#This Row],[FMS ID]],FMS_Input[FMS_ID],FMS_Input[EMER_NEED])</f>
        <v>No</v>
      </c>
      <c r="L115" s="252">
        <f t="shared" si="1"/>
        <v>0</v>
      </c>
      <c r="M115" s="253">
        <f>_xlfn.XLOOKUP(FMS_Ranking4[[#This Row],[FMS ID]],FMS_Input[FMS_ID],FMS_Input[STRUCT_100])</f>
        <v>10861</v>
      </c>
      <c r="N115" s="255">
        <f>(ASINH(FMS_Ranking4[[#This Row],[Structure at Risk Raw]]))*(10)/(ASINH(M$4))</f>
        <v>7.8505464134657101</v>
      </c>
      <c r="O115" s="256">
        <f>FMS_Ranking4[[#This Row],[Structures at risk, ArcSinh (0-10)]]*M$5*10</f>
        <v>7.850546413465711</v>
      </c>
      <c r="P115" s="253">
        <f>_xlfn.XLOOKUP(FMS_Ranking4[[#This Row],[FMS ID]],FMS_Input[FMS_ID],FMS_Input[RES_STRUCT100])</f>
        <v>9399</v>
      </c>
      <c r="Q115" s="257">
        <f>ASINH(FMS_Ranking4[[#This Row],[Res Structure Raw]])/Q$4*P$5*100</f>
        <v>0</v>
      </c>
      <c r="R115" s="253">
        <f>_xlfn.XLOOKUP(FMS_Ranking4[[#This Row],[FMS ID]],FMS_Input[FMS_ID],FMS_Input[POP100])</f>
        <v>25333</v>
      </c>
      <c r="S115" s="259">
        <f>(ASINH(FMS_Ranking4[[#This Row],[Pop at Risk Raw]]))*(10)/(ASINH(R$4))</f>
        <v>7.4786577225201603</v>
      </c>
      <c r="T115" s="256">
        <f>FMS_Ranking4[[#This Row],[Population at risk, ArcSinh (0-10)]]*R$5*10</f>
        <v>7.4786577225201611</v>
      </c>
      <c r="U115" s="253">
        <f>_xlfn.XLOOKUP(FMS_Ranking4[[#This Row],[FMS ID]],FMS_Input[FMS_ID],FMS_Input[CRITFAC100])</f>
        <v>10</v>
      </c>
      <c r="V115" s="259">
        <f>(ASINH(FMS_Ranking4[[#This Row],[Critical Facilities Raw]]))*(10)/(ASINH(U$4))</f>
        <v>3.5491888084919516</v>
      </c>
      <c r="W115" s="256">
        <f>FMS_Ranking4[[#This Row],[Critical facilities at risk, ArcSinh (0-10)]]*U$5*10</f>
        <v>3.5491888084919521</v>
      </c>
      <c r="X115" s="253">
        <f>_xlfn.XLOOKUP(FMS_Ranking4[[#This Row],[FMS ID]],FMS_Input[FMS_ID],FMS_Input[LWC])</f>
        <v>58</v>
      </c>
      <c r="Y115" s="259">
        <f>(ASINH(FMS_Ranking4[[#This Row],[LWC Raw]]))*(10)/(ASINH(X$4))</f>
        <v>6.4399688808129563</v>
      </c>
      <c r="Z115" s="256">
        <f>FMS_Ranking4[[#This Row],[LWC, ArcSInh (0-10)]]*X$5*10</f>
        <v>6.4399688808129563</v>
      </c>
      <c r="AA115" s="253">
        <f>_xlfn.XLOOKUP(FMS_Ranking4[[#This Row],[FMS ID]],FMS_Input[FMS_ID],FMS_Input[ROADCLS])</f>
        <v>0</v>
      </c>
      <c r="AB115" s="255">
        <f>(ASINH(FMS_Ranking4[[#This Row],[Road Closures Raw]]))*(10)/(ASINH(AA$4))</f>
        <v>0</v>
      </c>
      <c r="AC115" s="256">
        <f>FMS_Ranking4[[#This Row],[Road closures, ArcSinh (0-10)]]*AA$5*10</f>
        <v>0</v>
      </c>
      <c r="AD115" s="253">
        <f>_xlfn.XLOOKUP(FMS_Ranking4[[#This Row],[FMS ID]],FMS_Input[FMS_ID],FMS_Input[ROAD_MILES100])</f>
        <v>218</v>
      </c>
      <c r="AE115" s="259">
        <f>(ASINH(FMS_Ranking4[[#This Row],[Road Miles Raw]]))*(10)/(ASINH(AD$4))</f>
        <v>6.4771001308904923</v>
      </c>
      <c r="AF115" s="256">
        <f>FMS_Ranking4[[#This Row],[Length of roads at risk, ArcSinh (0-10)]]*AD$5*10</f>
        <v>6.4771001308904932</v>
      </c>
      <c r="AG115" s="253">
        <f>_xlfn.XLOOKUP(FMS_Ranking4[[#This Row],[FMS ID]],FMS_Input[FMS_ID],FMS_Input[FARMACRE100])</f>
        <v>1234.783569335938</v>
      </c>
      <c r="AH115" s="255">
        <f>(ASINH(FMS_Ranking4[[#This Row],[Ag Land Raw]]))*(10)/(ASINH(AG$4))</f>
        <v>5.0743994376720414</v>
      </c>
      <c r="AI115" s="260">
        <f>FMS_Ranking4[[#This Row],[Farm &amp; ranch land, ArcSinh (0-10)]]*AG$5*10</f>
        <v>2.5371997188360207</v>
      </c>
      <c r="AJ115" s="258">
        <f>_xlfn.XLOOKUP(FMS_Ranking4[[#This Row],[FMS ID]],FMS_Input[FMS_ID],FMS_Input[REDSTRUCT100])</f>
        <v>0</v>
      </c>
      <c r="AK115" s="253">
        <f>_xlfn.XLOOKUP(FMS_Ranking4[[#This Row],[FMS ID]],FMS_Input[FMS_ID],FMS_Input[REMSTRC100])</f>
        <v>0</v>
      </c>
      <c r="AL115" s="259">
        <f>(ASINH(FMS_Ranking4[[#This Row],[Structures Removed Raw]]))*(10)/(ASINH(AK$4))</f>
        <v>0</v>
      </c>
      <c r="AM115" s="262">
        <f>FMS_Ranking4[[#This Row],[Structures removed, ArcSinh (0-10)]]*AK$5*10</f>
        <v>0</v>
      </c>
      <c r="AN115" s="253">
        <f>_xlfn.XLOOKUP(FMS_Ranking4[[#This Row],[FMS ID]],FMS_Input[FMS_ID],FMS_Input[REMRESSTRC100])</f>
        <v>0</v>
      </c>
      <c r="AO115" s="261">
        <f>FMS_Ranking4[[#This Row],[ArcSinh Res struct removed 0-10]]*AN$5*10</f>
        <v>0</v>
      </c>
      <c r="AP115" s="260">
        <f>ASINH(FMS_Ranking4[[#This Row],[Residential Structures Removed Raw]])/AP$4*AN$5*100</f>
        <v>0</v>
      </c>
      <c r="AQ115" s="254">
        <f>(ASINH(FMS_Ranking4[[#This Row],[Residential Structures Removed Raw]]))*(10)/(ASINH(AN$4))</f>
        <v>0</v>
      </c>
      <c r="AR115" s="253">
        <f>_xlfn.XLOOKUP(FMS_Ranking4[[#This Row],[FMS ID]],FMS_Input[FMS_ID],FMS_Input[REMPOP100])</f>
        <v>0</v>
      </c>
      <c r="AS115" s="259">
        <f>(ASINH(FMS_Ranking4[[#This Row],[Removed Pop Raw]]))*(10)/(ASINH(AR$4))</f>
        <v>0</v>
      </c>
      <c r="AT115" s="262">
        <f>FMS_Ranking4[[#This Row],[Removed population, ArcSinh (0-10)]]*AR$5*10</f>
        <v>0</v>
      </c>
      <c r="AU115" s="264">
        <f>_xlfn.XLOOKUP(FMS_Ranking4[[#This Row],[FMS ID]],FMS_Input[FMS_ID],FMS_Input[REMCRITFAC100])</f>
        <v>0</v>
      </c>
      <c r="AV115" s="264">
        <f>_xlfn.XLOOKUP(FMS_Ranking4[[#This Row],[FMS ID]],FMS_Input[FMS_ID],FMS_Input[REMLWC100])</f>
        <v>0</v>
      </c>
      <c r="AW115" s="264">
        <f>_xlfn.XLOOKUP(FMS_Ranking4[[#This Row],[FMS ID]],FMS_Input[FMS_ID],FMS_Input[REMROADCLS])</f>
        <v>0</v>
      </c>
      <c r="AX115" s="264">
        <f>_xlfn.XLOOKUP(FMS_Ranking4[[#This Row],[FMS ID]],FMS_Input[FMS_ID],FMS_Input[REMFRMACRE100])</f>
        <v>0</v>
      </c>
      <c r="AY115" s="258">
        <f>_xlfn.XLOOKUP(FMS_Ranking4[[#This Row],[FMS ID]],FMS_Input[FMS_ID],FMS_Input[COSTSTRUCT])</f>
        <v>0</v>
      </c>
      <c r="AZ115" s="253">
        <f>_xlfn.XLOOKUP(FMS_Ranking4[[#This Row],[FMS ID]],FMS_Input[FMS_ID],FMS_Input[NATURE])</f>
        <v>0</v>
      </c>
      <c r="BA115" s="262">
        <f>(((FMS_Ranking4[[#This Row],[% NBS Raw]]/AZ$4)*100)*AZ$5)</f>
        <v>0</v>
      </c>
      <c r="BB115" s="251" t="str">
        <f>_xlfn.XLOOKUP(FMS_Ranking4[[#This Row],[FMS ID]],FMS_Input[FMS_ID],FMS_Input[WATER_SUP])</f>
        <v>No</v>
      </c>
      <c r="BC115" s="265">
        <f>IF(FMS_Ranking4[[#This Row],[Water Supply Raw]]="Yes",10,0)</f>
        <v>0</v>
      </c>
      <c r="BD115" s="266">
        <f>_xlfn.XLOOKUP(FMS_Ranking4[[#This Row],[FMS Type]],FMS_TYPE[FMS_Type],FMS_TYPE[Score])</f>
        <v>10</v>
      </c>
      <c r="BE115" s="267">
        <f>FMS_Ranking4[[#This Row],[FMS_Type Score]]*$BD$5*10</f>
        <v>2.5</v>
      </c>
      <c r="BF11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2.0432975091343701</v>
      </c>
      <c r="BG115" s="269">
        <f>_xlfn.RANK.EQ(BF115,$BF$8:$BF$870,0)+COUNTIF($BF$8:BF115,BF115)-1</f>
        <v>100</v>
      </c>
      <c r="BH115" s="268">
        <f>(((FMS_Ranking4[[#This Row],[Structures Removed Raw]]/AK$4)*100)*AK$5)+(((FMS_Ranking4[[#This Row],[Removed Pop Raw]]/AR$4)*100)*AR$5)</f>
        <v>0</v>
      </c>
      <c r="BI11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4.5432975091343701</v>
      </c>
      <c r="BJ115" s="204">
        <f>_xlfn.RANK.EQ(FMS_Ranking4[[#This Row],[Total Score 
(with linear
normalization)]],FMS_Ranking4[Total Score 
(with linear
normalization)],0)</f>
        <v>126</v>
      </c>
      <c r="BK115" s="204" t="e">
        <f>_xlfn.XLOOKUP(FMS_Ranking4[[#This Row],[FMS ID]],#REF!,#REF!)</f>
        <v>#REF!</v>
      </c>
      <c r="BL115"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34.332661675017292</v>
      </c>
      <c r="BM115" s="270">
        <f>FMS_Ranking4[[#This Row],[ArcSinh Score Based on Normalized Reported Factors]]+FMS_Ranking4[[#This Row],[% NBS Score (Normalized)]]+(FMS_Ranking4[[#This Row],[Water Supply Score (Normalized)]]*10*$BB$5)+FMS_Ranking4[[#This Row],[FMS_Type Score Weighted]]</f>
        <v>36.832661675017292</v>
      </c>
      <c r="BN115" s="204">
        <f>_xlfn.RANK.EQ(FMS_Ranking4[[#This Row],[Total Score (with ArcSinh normalization of select criteria)]],FMS_Ranking4[Total Score (with ArcSinh normalization of select criteria)],0)</f>
        <v>108</v>
      </c>
      <c r="BO115" s="270" t="str">
        <f>_xlfn.XLOOKUP(FMS_Ranking4[[#This Row],[FMS ID]],FMS_Input[FMS_ID],FMS_Input[FMS_RANK_YEAR])</f>
        <v>2023 Amended Plan</v>
      </c>
      <c r="BP115" s="204">
        <f>_xlfn.XLOOKUP(FMS_Ranking4[[#This Row],[FMS ID]],Prev_Rank[FMS ID],Prev_Rank[Prev Rank])</f>
        <v>93</v>
      </c>
      <c r="BQ115" s="204" t="e">
        <f>_xlfn.XLOOKUP(FMS_Ranking4[[#This Row],[FMS ID]],#REF!,#REF!)</f>
        <v>#REF!</v>
      </c>
      <c r="BR115" s="199" t="e">
        <f>SUM(#REF!,#REF!,#REF!,#REF!,#REF!,#REF!,#REF!,#REF!,#REF!,FMS_Ranking4[[#This Row],[ArcSinh Res struct removed 0-10]],#REF!)</f>
        <v>#REF!</v>
      </c>
      <c r="BS115" s="199" t="e">
        <f>FMS_Ranking4[[#This Row],[Log Score Based on Normalized Reported Factors]]+FMS_Ranking4[[#This Row],[% NBS Score (Normalized)]]+(FMS_Ranking4[[#This Row],[Water Supply Score (Normalized)]]*10*$BB$5)+(FMS_Ranking4[[#This Row],[FMS_Type Score Weighted]])</f>
        <v>#REF!</v>
      </c>
      <c r="BT115" s="200" t="e">
        <f>_xlfn.RANK.EQ(FMS_Ranking4[[#This Row],[Log Total Score]],FMS_Ranking4[Log Total Score],0)</f>
        <v>#REF!</v>
      </c>
      <c r="BU115" s="200" t="e">
        <f>_xlfn.XLOOKUP(FMS_Ranking4[[#This Row],[FMS ID]],#REF!,#REF!)</f>
        <v>#REF!</v>
      </c>
      <c r="BV115" s="200">
        <f>FMS_Ranking4[[#This Row],[Region Number]]</f>
        <v>7</v>
      </c>
      <c r="BW115" s="200">
        <f>FMS_Ranking4[[#This Row],[Rank (with ArcSinh normalization of select criteria)]]-FMS_Ranking4[[#This Row],[Rank
(with linear
normalization)]]</f>
        <v>-18</v>
      </c>
      <c r="BX115" s="200" t="e">
        <f>FMS_Ranking4[[#This Row],[Log Rank]]-FMS_Ranking4[[#This Row],[Rank
(with linear
normalization)]]</f>
        <v>#REF!</v>
      </c>
      <c r="BY115" s="200">
        <f>IF(FMS_Ranking4[[#This Row],[FMS Type]]="Flood Measurement and Warning",FMS_Ranking4[[#This Row],[Rank (with ArcSinh normalization of select criteria)]],"")</f>
        <v>108</v>
      </c>
      <c r="BZ115" s="200" t="str">
        <f>IF(FMS_Ranking4[[#This Row],[FMS Type]]="Regulatory and Guidance",FMS_Ranking4[[#This Row],[Rank (with ArcSinh normalization of select criteria)]],"")</f>
        <v/>
      </c>
      <c r="CA115" s="200" t="str">
        <f>IF(FMS_Ranking4[[#This Row],[FMS Type]]="Education and Outreach",FMS_Ranking4[[#This Row],[Rank (with ArcSinh normalization of select criteria)]],"")</f>
        <v/>
      </c>
      <c r="CB115" s="200" t="str">
        <f>IF(FMS_Ranking4[[#This Row],[FMS Type]]="Property Acquisition and Structural Elevation",FMS_Ranking4[[#This Row],[Rank (with ArcSinh normalization of select criteria)]],"")</f>
        <v/>
      </c>
      <c r="CC115" s="200" t="str">
        <f>IF(FMS_Ranking4[[#This Row],[FMS Type]]="Infrastructure Projects",FMS_Ranking4[[#This Row],[Rank (with ArcSinh normalization of select criteria)]],"")</f>
        <v/>
      </c>
      <c r="CD115" s="200" t="str">
        <f>IF(FMS_Ranking4[[#This Row],[FMS Type]]="Other",FMS_Ranking4[[#This Row],[Rank (with ArcSinh normalization of select criteria)]],"")</f>
        <v/>
      </c>
      <c r="CE115" s="201"/>
    </row>
    <row r="116" spans="2:83" ht="75" x14ac:dyDescent="0.25">
      <c r="B116" s="341" t="s">
        <v>4592</v>
      </c>
      <c r="C116" s="246">
        <f>_xlfn.XLOOKUP(FMS_Ranking4[[#This Row],[FMS ID]],FMS_Input[FMS_ID],FMS_Input[RFPG_NUM])</f>
        <v>4</v>
      </c>
      <c r="D116" s="309" t="str">
        <f>_xlfn.XLOOKUP(FMS_Ranking4[[#This Row],[FMS ID]],FMS_Input[FMS_ID],FMS_Input[FMS_NAME])</f>
        <v>City of Kilgore Property Acquisition</v>
      </c>
      <c r="E116" s="308" t="str">
        <f>_xlfn.XLOOKUP(FMS_Ranking4[[#This Row],[FMS ID]],FMS_Input[FMS_ID],FMS_Input[SPONSOR])</f>
        <v>04002775</v>
      </c>
      <c r="F116" s="309" t="str">
        <f>_xlfn.XLOOKUP(FMS_Ranking4[[#This Row],[FMS ID]],Sponsor[FMS_ID],Sponsor[SPONSOR NAME])</f>
        <v>Kilgore</v>
      </c>
      <c r="G116" s="309" t="str">
        <f>_xlfn.XLOOKUP(FMS_Ranking4[[#This Row],[FMS ID]],FMS_Input[FMS_ID],FMS_Input[FMS_DESCR])</f>
        <v xml:space="preserve">Implementation of program to purchase properties and repetitive loss homes in floodplain areas to reserve them from development. </v>
      </c>
      <c r="H116" s="248" t="str">
        <f>_xlfn.XLOOKUP(FMS_Ranking4[[#This Row],[FMS ID]],FMS_Input[FMS_ID],FMS_Input[FMS_TYPE])</f>
        <v>Property Acquisition and Structural Elevation</v>
      </c>
      <c r="I116" s="249">
        <f>_xlfn.XLOOKUP(FMS_Ranking4[[#This Row],[FMS ID]],FMS_Input[FMS_ID],FMS_Input[NRNC_COST])</f>
        <v>50000</v>
      </c>
      <c r="J116" s="250">
        <f>_xlfn.XLOOKUP(FMS_Ranking4[[#This Row],[FMS ID]],FMS_Input[FMS_ID],FMS_Input[FMS_COST])</f>
        <v>64351368</v>
      </c>
      <c r="K116" s="251" t="str">
        <f>_xlfn.XLOOKUP(FMS_Ranking4[[#This Row],[FMS ID]],FMS_Input[FMS_ID],FMS_Input[EMER_NEED])</f>
        <v>Yes</v>
      </c>
      <c r="L116" s="252">
        <f t="shared" si="1"/>
        <v>1</v>
      </c>
      <c r="M116" s="253">
        <f>_xlfn.XLOOKUP(FMS_Ranking4[[#This Row],[FMS ID]],FMS_Input[FMS_ID],FMS_Input[STRUCT_100])</f>
        <v>517</v>
      </c>
      <c r="N116" s="255">
        <f>(ASINH(FMS_Ranking4[[#This Row],[Structure at Risk Raw]]))*(10)/(ASINH(M$4))</f>
        <v>5.4568096170173961</v>
      </c>
      <c r="O116" s="256">
        <f>FMS_Ranking4[[#This Row],[Structures at risk, ArcSinh (0-10)]]*M$5*10</f>
        <v>5.4568096170173961</v>
      </c>
      <c r="P116" s="253">
        <f>_xlfn.XLOOKUP(FMS_Ranking4[[#This Row],[FMS ID]],FMS_Input[FMS_ID],FMS_Input[RES_STRUCT100])</f>
        <v>366</v>
      </c>
      <c r="Q116" s="257">
        <f>ASINH(FMS_Ranking4[[#This Row],[Res Structure Raw]])/Q$4*P$5*100</f>
        <v>0</v>
      </c>
      <c r="R116" s="253">
        <f>_xlfn.XLOOKUP(FMS_Ranking4[[#This Row],[FMS ID]],FMS_Input[FMS_ID],FMS_Input[POP100])</f>
        <v>1891</v>
      </c>
      <c r="S116" s="255">
        <f>(ASINH(FMS_Ranking4[[#This Row],[Pop at Risk Raw]]))*(10)/(ASINH(R$4))</f>
        <v>5.6871767424980959</v>
      </c>
      <c r="T116" s="256">
        <f>FMS_Ranking4[[#This Row],[Population at risk, ArcSinh (0-10)]]*R$5*10</f>
        <v>5.6871767424980959</v>
      </c>
      <c r="U116" s="253">
        <f>_xlfn.XLOOKUP(FMS_Ranking4[[#This Row],[FMS ID]],FMS_Input[FMS_ID],FMS_Input[CRITFAC100])</f>
        <v>3</v>
      </c>
      <c r="V116" s="255">
        <f>(ASINH(FMS_Ranking4[[#This Row],[Critical Facilities Raw]]))*(10)/(ASINH(U$4))</f>
        <v>2.152611706646717</v>
      </c>
      <c r="W116" s="256">
        <f>FMS_Ranking4[[#This Row],[Critical facilities at risk, ArcSinh (0-10)]]*U$5*10</f>
        <v>2.152611706646717</v>
      </c>
      <c r="X116" s="253">
        <f>_xlfn.XLOOKUP(FMS_Ranking4[[#This Row],[FMS ID]],FMS_Input[FMS_ID],FMS_Input[LWC])</f>
        <v>3</v>
      </c>
      <c r="Y116" s="255">
        <f>(ASINH(FMS_Ranking4[[#This Row],[LWC Raw]]))*(10)/(ASINH(X$4))</f>
        <v>2.4635181155638843</v>
      </c>
      <c r="Z116" s="256">
        <f>FMS_Ranking4[[#This Row],[LWC, ArcSInh (0-10)]]*X$5*10</f>
        <v>2.4635181155638843</v>
      </c>
      <c r="AA116" s="253">
        <f>_xlfn.XLOOKUP(FMS_Ranking4[[#This Row],[FMS ID]],FMS_Input[FMS_ID],FMS_Input[ROADCLS])</f>
        <v>3</v>
      </c>
      <c r="AB116" s="255">
        <f>(ASINH(FMS_Ranking4[[#This Row],[Road Closures Raw]]))*(10)/(ASINH(AA$4))</f>
        <v>1.8937450846072912</v>
      </c>
      <c r="AC116" s="256">
        <f>FMS_Ranking4[[#This Row],[Road closures, ArcSinh (0-10)]]*AA$5*10</f>
        <v>0.94687254230364559</v>
      </c>
      <c r="AD116" s="253">
        <f>_xlfn.XLOOKUP(FMS_Ranking4[[#This Row],[FMS ID]],FMS_Input[FMS_ID],FMS_Input[ROAD_MILES100])</f>
        <v>45</v>
      </c>
      <c r="AE116" s="255">
        <f>(ASINH(FMS_Ranking4[[#This Row],[Road Miles Raw]]))*(10)/(ASINH(AD$4))</f>
        <v>4.7956906484571835</v>
      </c>
      <c r="AF116" s="256">
        <f>FMS_Ranking4[[#This Row],[Length of roads at risk, ArcSinh (0-10)]]*AD$5*10</f>
        <v>4.7956906484571835</v>
      </c>
      <c r="AG116" s="253">
        <f>_xlfn.XLOOKUP(FMS_Ranking4[[#This Row],[FMS ID]],FMS_Input[FMS_ID],FMS_Input[FARMACRE100])</f>
        <v>3000.083740234375</v>
      </c>
      <c r="AH116" s="255">
        <f>(ASINH(FMS_Ranking4[[#This Row],[Ag Land Raw]]))*(10)/(ASINH(AG$4))</f>
        <v>5.6510617222984463</v>
      </c>
      <c r="AI116" s="260">
        <f>FMS_Ranking4[[#This Row],[Farm &amp; ranch land, ArcSinh (0-10)]]*AG$5*10</f>
        <v>2.8255308611492231</v>
      </c>
      <c r="AJ116" s="258">
        <f>_xlfn.XLOOKUP(FMS_Ranking4[[#This Row],[FMS ID]],FMS_Input[FMS_ID],FMS_Input[REDSTRUCT100])</f>
        <v>22</v>
      </c>
      <c r="AK116" s="253">
        <f>_xlfn.XLOOKUP(FMS_Ranking4[[#This Row],[FMS ID]],FMS_Input[FMS_ID],FMS_Input[REMSTRC100])</f>
        <v>22</v>
      </c>
      <c r="AL116" s="255">
        <f>(ASINH(FMS_Ranking4[[#This Row],[Structures Removed Raw]]))*(10)/(ASINH(AK$4))</f>
        <v>4.3091576659700337</v>
      </c>
      <c r="AM116" s="262">
        <f>FMS_Ranking4[[#This Row],[Structures removed, ArcSinh (0-10)]]*AK$5*10</f>
        <v>4.3091576659700337</v>
      </c>
      <c r="AN116" s="253">
        <f>_xlfn.XLOOKUP(FMS_Ranking4[[#This Row],[FMS ID]],FMS_Input[FMS_ID],FMS_Input[REMRESSTRC100])</f>
        <v>22</v>
      </c>
      <c r="AO116" s="261">
        <f>FMS_Ranking4[[#This Row],[ArcSinh Res struct removed 0-10]]*AN$5*10</f>
        <v>2.2198300989646338</v>
      </c>
      <c r="AP116" s="260">
        <f>ASINH(FMS_Ranking4[[#This Row],[Residential Structures Removed Raw]])/AP$4*AN$5*100</f>
        <v>2.2198300989646342</v>
      </c>
      <c r="AQ116" s="258">
        <f>(ASINH(FMS_Ranking4[[#This Row],[Residential Structures Removed Raw]]))*(10)/(ASINH(AN$4))</f>
        <v>4.4396601979292676</v>
      </c>
      <c r="AR116" s="253">
        <f>_xlfn.XLOOKUP(FMS_Ranking4[[#This Row],[FMS ID]],FMS_Input[FMS_ID],FMS_Input[REMPOP100])</f>
        <v>75</v>
      </c>
      <c r="AS116" s="255">
        <f>(ASINH(FMS_Ranking4[[#This Row],[Removed Pop Raw]]))*(10)/(ASINH(AR$4))</f>
        <v>4.9185856607661229</v>
      </c>
      <c r="AT116" s="262">
        <f>FMS_Ranking4[[#This Row],[Removed population, ArcSinh (0-10)]]*AR$5*10</f>
        <v>4.9185856607661229</v>
      </c>
      <c r="AU116" s="264">
        <f>_xlfn.XLOOKUP(FMS_Ranking4[[#This Row],[FMS ID]],FMS_Input[FMS_ID],FMS_Input[REMCRITFAC100])</f>
        <v>0</v>
      </c>
      <c r="AV116" s="264">
        <f>_xlfn.XLOOKUP(FMS_Ranking4[[#This Row],[FMS ID]],FMS_Input[FMS_ID],FMS_Input[REMLWC100])</f>
        <v>0</v>
      </c>
      <c r="AW116" s="264">
        <f>_xlfn.XLOOKUP(FMS_Ranking4[[#This Row],[FMS ID]],FMS_Input[FMS_ID],FMS_Input[REMROADCLS])</f>
        <v>0</v>
      </c>
      <c r="AX116" s="264">
        <f>_xlfn.XLOOKUP(FMS_Ranking4[[#This Row],[FMS ID]],FMS_Input[FMS_ID],FMS_Input[REMFRMACRE100])</f>
        <v>0</v>
      </c>
      <c r="AY116" s="258">
        <f>_xlfn.XLOOKUP(FMS_Ranking4[[#This Row],[FMS ID]],FMS_Input[FMS_ID],FMS_Input[COSTSTRUCT])</f>
        <v>292508</v>
      </c>
      <c r="AZ116" s="253">
        <f>_xlfn.XLOOKUP(FMS_Ranking4[[#This Row],[FMS ID]],FMS_Input[FMS_ID],FMS_Input[NATURE])</f>
        <v>0</v>
      </c>
      <c r="BA116" s="262">
        <f>(((FMS_Ranking4[[#This Row],[% NBS Raw]]/AZ$4)*100)*AZ$5)</f>
        <v>0</v>
      </c>
      <c r="BB116" s="251" t="str">
        <f>_xlfn.XLOOKUP(FMS_Ranking4[[#This Row],[FMS ID]],FMS_Input[FMS_ID],FMS_Input[WATER_SUP])</f>
        <v>No</v>
      </c>
      <c r="BC116" s="265">
        <f>IF(FMS_Ranking4[[#This Row],[Water Supply Raw]]="Yes",10,0)</f>
        <v>0</v>
      </c>
      <c r="BD116" s="266">
        <f>_xlfn.XLOOKUP(FMS_Ranking4[[#This Row],[FMS Type]],FMS_TYPE[FMS_Type],FMS_TYPE[Score])</f>
        <v>4</v>
      </c>
      <c r="BE116" s="267">
        <f>FMS_Ranking4[[#This Row],[FMS_Type Score]]*$BD$5*10</f>
        <v>1</v>
      </c>
      <c r="BF11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0.1844183128980223</v>
      </c>
      <c r="BG116" s="321">
        <f>_xlfn.RANK.EQ(BF116,$BF$8:$BF$870,0)+COUNTIF($BF$8:BF116,BF116)-1</f>
        <v>375</v>
      </c>
      <c r="BH116" s="294">
        <f>(((FMS_Ranking4[[#This Row],[Structures Removed Raw]]/AK$4)*100)*AK$5)+(((FMS_Ranking4[[#This Row],[Removed Pop Raw]]/AR$4)*100)*AR$5)</f>
        <v>0.12393561933902435</v>
      </c>
      <c r="BI11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1.3083539322370465</v>
      </c>
      <c r="BJ116" s="251">
        <f>_xlfn.RANK.EQ(FMS_Ranking4[[#This Row],[Total Score 
(with linear
normalization)]],FMS_Ranking4[Total Score 
(with linear
normalization)],0)</f>
        <v>631</v>
      </c>
      <c r="BK116" s="251" t="e">
        <f>_xlfn.XLOOKUP(FMS_Ranking4[[#This Row],[FMS ID]],#REF!,#REF!)</f>
        <v>#REF!</v>
      </c>
      <c r="BL11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35.775783659336938</v>
      </c>
      <c r="BM116" s="324">
        <f>FMS_Ranking4[[#This Row],[ArcSinh Score Based on Normalized Reported Factors]]+FMS_Ranking4[[#This Row],[% NBS Score (Normalized)]]+(FMS_Ranking4[[#This Row],[Water Supply Score (Normalized)]]*10*$BB$5)+FMS_Ranking4[[#This Row],[FMS_Type Score Weighted]]</f>
        <v>36.775783659336938</v>
      </c>
      <c r="BN116" s="251">
        <f>_xlfn.RANK.EQ(FMS_Ranking4[[#This Row],[Total Score (with ArcSinh normalization of select criteria)]],FMS_Ranking4[Total Score (with ArcSinh normalization of select criteria)],0)</f>
        <v>109</v>
      </c>
      <c r="BO116" s="270" t="str">
        <f>_xlfn.XLOOKUP(FMS_Ranking4[[#This Row],[FMS ID]],FMS_Input[FMS_ID],FMS_Input[FMS_RANK_YEAR])</f>
        <v>2023 Amended Plan</v>
      </c>
      <c r="BP116" s="204">
        <f>_xlfn.XLOOKUP(FMS_Ranking4[[#This Row],[FMS ID]],Prev_Rank[FMS ID],Prev_Rank[Prev Rank])</f>
        <v>58</v>
      </c>
      <c r="BQ116" s="251" t="e">
        <f>_xlfn.XLOOKUP(FMS_Ranking4[[#This Row],[FMS ID]],#REF!,#REF!)</f>
        <v>#REF!</v>
      </c>
      <c r="BR116" s="199" t="e">
        <f>SUM(#REF!,#REF!,#REF!,#REF!,#REF!,#REF!,#REF!,#REF!,#REF!,FMS_Ranking4[[#This Row],[ArcSinh Res struct removed 0-10]],#REF!)</f>
        <v>#REF!</v>
      </c>
      <c r="BS116" s="199" t="e">
        <f>FMS_Ranking4[[#This Row],[Log Score Based on Normalized Reported Factors]]+FMS_Ranking4[[#This Row],[% NBS Score (Normalized)]]+(FMS_Ranking4[[#This Row],[Water Supply Score (Normalized)]]*10*$BB$5)+(FMS_Ranking4[[#This Row],[FMS_Type Score Weighted]])</f>
        <v>#REF!</v>
      </c>
      <c r="BT116" s="200" t="e">
        <f>_xlfn.RANK.EQ(FMS_Ranking4[[#This Row],[Log Total Score]],FMS_Ranking4[Log Total Score],0)</f>
        <v>#REF!</v>
      </c>
      <c r="BU116" s="200" t="e">
        <f>_xlfn.XLOOKUP(FMS_Ranking4[[#This Row],[FMS ID]],#REF!,#REF!)</f>
        <v>#REF!</v>
      </c>
      <c r="BV116" s="200">
        <f>FMS_Ranking4[[#This Row],[Region Number]]</f>
        <v>4</v>
      </c>
      <c r="BW116" s="200">
        <f>FMS_Ranking4[[#This Row],[Rank (with ArcSinh normalization of select criteria)]]-FMS_Ranking4[[#This Row],[Rank
(with linear
normalization)]]</f>
        <v>-522</v>
      </c>
      <c r="BX116" s="200" t="e">
        <f>FMS_Ranking4[[#This Row],[Log Rank]]-FMS_Ranking4[[#This Row],[Rank
(with linear
normalization)]]</f>
        <v>#REF!</v>
      </c>
      <c r="BY116" s="200" t="str">
        <f>IF(FMS_Ranking4[[#This Row],[FMS Type]]="Flood Measurement and Warning",FMS_Ranking4[[#This Row],[Rank (with ArcSinh normalization of select criteria)]],"")</f>
        <v/>
      </c>
      <c r="BZ116" s="200" t="str">
        <f>IF(FMS_Ranking4[[#This Row],[FMS Type]]="Regulatory and Guidance",FMS_Ranking4[[#This Row],[Rank (with ArcSinh normalization of select criteria)]],"")</f>
        <v/>
      </c>
      <c r="CA116" s="200" t="str">
        <f>IF(FMS_Ranking4[[#This Row],[FMS Type]]="Education and Outreach",FMS_Ranking4[[#This Row],[Rank (with ArcSinh normalization of select criteria)]],"")</f>
        <v/>
      </c>
      <c r="CB116" s="200">
        <f>IF(FMS_Ranking4[[#This Row],[FMS Type]]="Property Acquisition and Structural Elevation",FMS_Ranking4[[#This Row],[Rank (with ArcSinh normalization of select criteria)]],"")</f>
        <v>109</v>
      </c>
      <c r="CC116" s="200" t="str">
        <f>IF(FMS_Ranking4[[#This Row],[FMS Type]]="Infrastructure Projects",FMS_Ranking4[[#This Row],[Rank (with ArcSinh normalization of select criteria)]],"")</f>
        <v/>
      </c>
      <c r="CD116" s="200" t="str">
        <f>IF(FMS_Ranking4[[#This Row],[FMS Type]]="Other",FMS_Ranking4[[#This Row],[Rank (with ArcSinh normalization of select criteria)]],"")</f>
        <v/>
      </c>
      <c r="CE116" s="201"/>
    </row>
    <row r="117" spans="2:83" ht="60" x14ac:dyDescent="0.25">
      <c r="B117" s="341" t="s">
        <v>4561</v>
      </c>
      <c r="C117" s="246">
        <f>_xlfn.XLOOKUP(FMS_Ranking4[[#This Row],[FMS ID]],FMS_Input[FMS_ID],FMS_Input[RFPG_NUM])</f>
        <v>4</v>
      </c>
      <c r="D117" s="309" t="str">
        <f>_xlfn.XLOOKUP(FMS_Ranking4[[#This Row],[FMS ID]],FMS_Input[FMS_ID],FMS_Input[FMS_NAME])</f>
        <v>Hunt County Flood Warning and Public Safety</v>
      </c>
      <c r="E117" s="308" t="str">
        <f>_xlfn.XLOOKUP(FMS_Ranking4[[#This Row],[FMS ID]],FMS_Input[FMS_ID],FMS_Input[SPONSOR])</f>
        <v>00000212</v>
      </c>
      <c r="F117" s="309" t="str">
        <f>_xlfn.XLOOKUP(FMS_Ranking4[[#This Row],[FMS ID]],Sponsor[FMS_ID],Sponsor[SPONSOR NAME])</f>
        <v>Hunt</v>
      </c>
      <c r="G117" s="309" t="str">
        <f>_xlfn.XLOOKUP(FMS_Ranking4[[#This Row],[FMS ID]],FMS_Input[FMS_ID],FMS_Input[FMS_DESCR])</f>
        <v>Adopt and Promote the program of “Turn Around Don’t Drown Campaign.” Implement early warning program.</v>
      </c>
      <c r="H117" s="248" t="str">
        <f>_xlfn.XLOOKUP(FMS_Ranking4[[#This Row],[FMS ID]],FMS_Input[FMS_ID],FMS_Input[FMS_TYPE])</f>
        <v>Flood Measurement and Warning</v>
      </c>
      <c r="I117" s="249">
        <f>_xlfn.XLOOKUP(FMS_Ranking4[[#This Row],[FMS ID]],FMS_Input[FMS_ID],FMS_Input[NRNC_COST])</f>
        <v>250000</v>
      </c>
      <c r="J117" s="250">
        <f>_xlfn.XLOOKUP(FMS_Ranking4[[#This Row],[FMS ID]],FMS_Input[FMS_ID],FMS_Input[FMS_COST])</f>
        <v>250000</v>
      </c>
      <c r="K117" s="251" t="str">
        <f>_xlfn.XLOOKUP(FMS_Ranking4[[#This Row],[FMS ID]],FMS_Input[FMS_ID],FMS_Input[EMER_NEED])</f>
        <v>Yes</v>
      </c>
      <c r="L117" s="252">
        <f t="shared" si="1"/>
        <v>1</v>
      </c>
      <c r="M117" s="253">
        <f>_xlfn.XLOOKUP(FMS_Ranking4[[#This Row],[FMS ID]],FMS_Input[FMS_ID],FMS_Input[STRUCT_100])</f>
        <v>2392</v>
      </c>
      <c r="N117" s="255">
        <f>(ASINH(FMS_Ranking4[[#This Row],[Structure at Risk Raw]]))*(10)/(ASINH(M$4))</f>
        <v>6.6610649985822175</v>
      </c>
      <c r="O117" s="256">
        <f>FMS_Ranking4[[#This Row],[Structures at risk, ArcSinh (0-10)]]*M$5*10</f>
        <v>6.6610649985822175</v>
      </c>
      <c r="P117" s="253">
        <f>_xlfn.XLOOKUP(FMS_Ranking4[[#This Row],[FMS ID]],FMS_Input[FMS_ID],FMS_Input[RES_STRUCT100])</f>
        <v>1392</v>
      </c>
      <c r="Q117" s="257">
        <f>ASINH(FMS_Ranking4[[#This Row],[Res Structure Raw]])/Q$4*P$5*100</f>
        <v>0</v>
      </c>
      <c r="R117" s="253">
        <f>_xlfn.XLOOKUP(FMS_Ranking4[[#This Row],[FMS ID]],FMS_Input[FMS_ID],FMS_Input[POP100])</f>
        <v>8690</v>
      </c>
      <c r="S117" s="259">
        <f>(ASINH(FMS_Ranking4[[#This Row],[Pop at Risk Raw]]))*(10)/(ASINH(R$4))</f>
        <v>6.7400193361426579</v>
      </c>
      <c r="T117" s="256">
        <f>FMS_Ranking4[[#This Row],[Population at risk, ArcSinh (0-10)]]*R$5*10</f>
        <v>6.7400193361426588</v>
      </c>
      <c r="U117" s="253">
        <f>_xlfn.XLOOKUP(FMS_Ranking4[[#This Row],[FMS ID]],FMS_Input[FMS_ID],FMS_Input[CRITFAC100])</f>
        <v>45</v>
      </c>
      <c r="V117" s="259">
        <f>(ASINH(FMS_Ranking4[[#This Row],[Critical Facilities Raw]]))*(10)/(ASINH(U$4))</f>
        <v>5.3268594355299763</v>
      </c>
      <c r="W117" s="256">
        <f>FMS_Ranking4[[#This Row],[Critical facilities at risk, ArcSinh (0-10)]]*U$5*10</f>
        <v>5.3268594355299772</v>
      </c>
      <c r="X117" s="253">
        <f>_xlfn.XLOOKUP(FMS_Ranking4[[#This Row],[FMS ID]],FMS_Input[FMS_ID],FMS_Input[LWC])</f>
        <v>10</v>
      </c>
      <c r="Y117" s="259">
        <f>(ASINH(FMS_Ranking4[[#This Row],[LWC Raw]]))*(10)/(ASINH(X$4))</f>
        <v>4.06180589758889</v>
      </c>
      <c r="Z117" s="256">
        <f>FMS_Ranking4[[#This Row],[LWC, ArcSInh (0-10)]]*X$5*10</f>
        <v>4.06180589758889</v>
      </c>
      <c r="AA117" s="253">
        <f>_xlfn.XLOOKUP(FMS_Ranking4[[#This Row],[FMS ID]],FMS_Input[FMS_ID],FMS_Input[ROADCLS])</f>
        <v>10</v>
      </c>
      <c r="AB117" s="255">
        <f>(ASINH(FMS_Ranking4[[#This Row],[Road Closures Raw]]))*(10)/(ASINH(AA$4))</f>
        <v>3.1223740164895069</v>
      </c>
      <c r="AC117" s="256">
        <f>FMS_Ranking4[[#This Row],[Road closures, ArcSinh (0-10)]]*AA$5*10</f>
        <v>1.5611870082447534</v>
      </c>
      <c r="AD117" s="253">
        <f>_xlfn.XLOOKUP(FMS_Ranking4[[#This Row],[FMS ID]],FMS_Input[FMS_ID],FMS_Input[ROAD_MILES100])</f>
        <v>143</v>
      </c>
      <c r="AE117" s="259">
        <f>(ASINH(FMS_Ranking4[[#This Row],[Road Miles Raw]]))*(10)/(ASINH(AD$4))</f>
        <v>6.0277441986886462</v>
      </c>
      <c r="AF117" s="256">
        <f>FMS_Ranking4[[#This Row],[Length of roads at risk, ArcSinh (0-10)]]*AD$5*10</f>
        <v>6.0277441986886471</v>
      </c>
      <c r="AG117" s="253">
        <f>_xlfn.XLOOKUP(FMS_Ranking4[[#This Row],[FMS ID]],FMS_Input[FMS_ID],FMS_Input[FARMACRE100])</f>
        <v>33759.328125</v>
      </c>
      <c r="AH117" s="255">
        <f>(ASINH(FMS_Ranking4[[#This Row],[Ag Land Raw]]))*(10)/(ASINH(AG$4))</f>
        <v>7.2234493702033511</v>
      </c>
      <c r="AI117" s="260">
        <f>FMS_Ranking4[[#This Row],[Farm &amp; ranch land, ArcSinh (0-10)]]*AG$5*10</f>
        <v>3.611724685101676</v>
      </c>
      <c r="AJ117" s="258">
        <f>_xlfn.XLOOKUP(FMS_Ranking4[[#This Row],[FMS ID]],FMS_Input[FMS_ID],FMS_Input[REDSTRUCT100])</f>
        <v>0</v>
      </c>
      <c r="AK117" s="253">
        <f>_xlfn.XLOOKUP(FMS_Ranking4[[#This Row],[FMS ID]],FMS_Input[FMS_ID],FMS_Input[REMSTRC100])</f>
        <v>0</v>
      </c>
      <c r="AL117" s="259">
        <f>(ASINH(FMS_Ranking4[[#This Row],[Structures Removed Raw]]))*(10)/(ASINH(AK$4))</f>
        <v>0</v>
      </c>
      <c r="AM117" s="262">
        <f>FMS_Ranking4[[#This Row],[Structures removed, ArcSinh (0-10)]]*AK$5*10</f>
        <v>0</v>
      </c>
      <c r="AN117" s="253">
        <f>_xlfn.XLOOKUP(FMS_Ranking4[[#This Row],[FMS ID]],FMS_Input[FMS_ID],FMS_Input[REMRESSTRC100])</f>
        <v>0</v>
      </c>
      <c r="AO117" s="261">
        <f>FMS_Ranking4[[#This Row],[ArcSinh Res struct removed 0-10]]*AN$5*10</f>
        <v>0</v>
      </c>
      <c r="AP117" s="260">
        <f>ASINH(FMS_Ranking4[[#This Row],[Residential Structures Removed Raw]])/AP$4*AN$5*100</f>
        <v>0</v>
      </c>
      <c r="AQ117" s="254">
        <f>(ASINH(FMS_Ranking4[[#This Row],[Residential Structures Removed Raw]]))*(10)/(ASINH(AN$4))</f>
        <v>0</v>
      </c>
      <c r="AR117" s="253">
        <f>_xlfn.XLOOKUP(FMS_Ranking4[[#This Row],[FMS ID]],FMS_Input[FMS_ID],FMS_Input[REMPOP100])</f>
        <v>0</v>
      </c>
      <c r="AS117" s="259">
        <f>(ASINH(FMS_Ranking4[[#This Row],[Removed Pop Raw]]))*(10)/(ASINH(AR$4))</f>
        <v>0</v>
      </c>
      <c r="AT117" s="262">
        <f>FMS_Ranking4[[#This Row],[Removed population, ArcSinh (0-10)]]*AR$5*10</f>
        <v>0</v>
      </c>
      <c r="AU117" s="264">
        <f>_xlfn.XLOOKUP(FMS_Ranking4[[#This Row],[FMS ID]],FMS_Input[FMS_ID],FMS_Input[REMCRITFAC100])</f>
        <v>0</v>
      </c>
      <c r="AV117" s="264">
        <f>_xlfn.XLOOKUP(FMS_Ranking4[[#This Row],[FMS ID]],FMS_Input[FMS_ID],FMS_Input[REMLWC100])</f>
        <v>0</v>
      </c>
      <c r="AW117" s="264">
        <f>_xlfn.XLOOKUP(FMS_Ranking4[[#This Row],[FMS ID]],FMS_Input[FMS_ID],FMS_Input[REMROADCLS])</f>
        <v>0</v>
      </c>
      <c r="AX117" s="264">
        <f>_xlfn.XLOOKUP(FMS_Ranking4[[#This Row],[FMS ID]],FMS_Input[FMS_ID],FMS_Input[REMFRMACRE100])</f>
        <v>0</v>
      </c>
      <c r="AY117" s="258">
        <f>_xlfn.XLOOKUP(FMS_Ranking4[[#This Row],[FMS ID]],FMS_Input[FMS_ID],FMS_Input[COSTSTRUCT])</f>
        <v>0</v>
      </c>
      <c r="AZ117" s="253">
        <f>_xlfn.XLOOKUP(FMS_Ranking4[[#This Row],[FMS ID]],FMS_Input[FMS_ID],FMS_Input[NATURE])</f>
        <v>0</v>
      </c>
      <c r="BA117" s="262">
        <f>(((FMS_Ranking4[[#This Row],[% NBS Raw]]/AZ$4)*100)*AZ$5)</f>
        <v>0</v>
      </c>
      <c r="BB117" s="251" t="str">
        <f>_xlfn.XLOOKUP(FMS_Ranking4[[#This Row],[FMS ID]],FMS_Input[FMS_ID],FMS_Input[WATER_SUP])</f>
        <v>No</v>
      </c>
      <c r="BC117" s="265">
        <f>IF(FMS_Ranking4[[#This Row],[Water Supply Raw]]="Yes",10,0)</f>
        <v>0</v>
      </c>
      <c r="BD117" s="266">
        <f>_xlfn.XLOOKUP(FMS_Ranking4[[#This Row],[FMS Type]],FMS_TYPE[FMS_Type],FMS_TYPE[Score])</f>
        <v>10</v>
      </c>
      <c r="BE117" s="267">
        <f>FMS_Ranking4[[#This Row],[FMS_Type Score]]*$BD$5*10</f>
        <v>2.5</v>
      </c>
      <c r="BF11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0.86644134236043335</v>
      </c>
      <c r="BG117" s="271">
        <f>_xlfn.RANK.EQ(BF117,$BF$8:$BF$870,0)+COUNTIF($BF$8:BF117,BF117)-1</f>
        <v>153</v>
      </c>
      <c r="BH117" s="268">
        <f>(((FMS_Ranking4[[#This Row],[Structures Removed Raw]]/AK$4)*100)*AK$5)+(((FMS_Ranking4[[#This Row],[Removed Pop Raw]]/AR$4)*100)*AR$5)</f>
        <v>0</v>
      </c>
      <c r="BI11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3.3664413423604334</v>
      </c>
      <c r="BJ117" s="205">
        <f>_xlfn.RANK.EQ(FMS_Ranking4[[#This Row],[Total Score 
(with linear
normalization)]],FMS_Ranking4[Total Score 
(with linear
normalization)],0)</f>
        <v>152</v>
      </c>
      <c r="BK117" s="205" t="e">
        <f>_xlfn.XLOOKUP(FMS_Ranking4[[#This Row],[FMS ID]],#REF!,#REF!)</f>
        <v>#REF!</v>
      </c>
      <c r="BL11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33.990405559878823</v>
      </c>
      <c r="BM117" s="272">
        <f>FMS_Ranking4[[#This Row],[ArcSinh Score Based on Normalized Reported Factors]]+FMS_Ranking4[[#This Row],[% NBS Score (Normalized)]]+(FMS_Ranking4[[#This Row],[Water Supply Score (Normalized)]]*10*$BB$5)+FMS_Ranking4[[#This Row],[FMS_Type Score Weighted]]</f>
        <v>36.490405559878823</v>
      </c>
      <c r="BN117" s="205">
        <f>_xlfn.RANK.EQ(FMS_Ranking4[[#This Row],[Total Score (with ArcSinh normalization of select criteria)]],FMS_Ranking4[Total Score (with ArcSinh normalization of select criteria)],0)</f>
        <v>110</v>
      </c>
      <c r="BO117" s="270" t="str">
        <f>_xlfn.XLOOKUP(FMS_Ranking4[[#This Row],[FMS ID]],FMS_Input[FMS_ID],FMS_Input[FMS_RANK_YEAR])</f>
        <v>2023 Amended Plan</v>
      </c>
      <c r="BP117" s="204">
        <f>_xlfn.XLOOKUP(FMS_Ranking4[[#This Row],[FMS ID]],Prev_Rank[FMS ID],Prev_Rank[Prev Rank])</f>
        <v>95</v>
      </c>
      <c r="BQ117" s="205" t="e">
        <f>_xlfn.XLOOKUP(FMS_Ranking4[[#This Row],[FMS ID]],#REF!,#REF!)</f>
        <v>#REF!</v>
      </c>
      <c r="BR117" s="199" t="e">
        <f>SUM(#REF!,#REF!,#REF!,#REF!,#REF!,#REF!,#REF!,#REF!,#REF!,FMS_Ranking4[[#This Row],[ArcSinh Res struct removed 0-10]],#REF!)</f>
        <v>#REF!</v>
      </c>
      <c r="BS117" s="199" t="e">
        <f>FMS_Ranking4[[#This Row],[Log Score Based on Normalized Reported Factors]]+FMS_Ranking4[[#This Row],[% NBS Score (Normalized)]]+(FMS_Ranking4[[#This Row],[Water Supply Score (Normalized)]]*10*$BB$5)+(FMS_Ranking4[[#This Row],[FMS_Type Score Weighted]])</f>
        <v>#REF!</v>
      </c>
      <c r="BT117" s="200" t="e">
        <f>_xlfn.RANK.EQ(FMS_Ranking4[[#This Row],[Log Total Score]],FMS_Ranking4[Log Total Score],0)</f>
        <v>#REF!</v>
      </c>
      <c r="BU117" s="200" t="e">
        <f>_xlfn.XLOOKUP(FMS_Ranking4[[#This Row],[FMS ID]],#REF!,#REF!)</f>
        <v>#REF!</v>
      </c>
      <c r="BV117" s="200">
        <f>FMS_Ranking4[[#This Row],[Region Number]]</f>
        <v>4</v>
      </c>
      <c r="BW117" s="200">
        <f>FMS_Ranking4[[#This Row],[Rank (with ArcSinh normalization of select criteria)]]-FMS_Ranking4[[#This Row],[Rank
(with linear
normalization)]]</f>
        <v>-42</v>
      </c>
      <c r="BX117" s="200" t="e">
        <f>FMS_Ranking4[[#This Row],[Log Rank]]-FMS_Ranking4[[#This Row],[Rank
(with linear
normalization)]]</f>
        <v>#REF!</v>
      </c>
      <c r="BY117" s="200">
        <f>IF(FMS_Ranking4[[#This Row],[FMS Type]]="Flood Measurement and Warning",FMS_Ranking4[[#This Row],[Rank (with ArcSinh normalization of select criteria)]],"")</f>
        <v>110</v>
      </c>
      <c r="BZ117" s="200" t="str">
        <f>IF(FMS_Ranking4[[#This Row],[FMS Type]]="Regulatory and Guidance",FMS_Ranking4[[#This Row],[Rank (with ArcSinh normalization of select criteria)]],"")</f>
        <v/>
      </c>
      <c r="CA117" s="200" t="str">
        <f>IF(FMS_Ranking4[[#This Row],[FMS Type]]="Education and Outreach",FMS_Ranking4[[#This Row],[Rank (with ArcSinh normalization of select criteria)]],"")</f>
        <v/>
      </c>
      <c r="CB117" s="200" t="str">
        <f>IF(FMS_Ranking4[[#This Row],[FMS Type]]="Property Acquisition and Structural Elevation",FMS_Ranking4[[#This Row],[Rank (with ArcSinh normalization of select criteria)]],"")</f>
        <v/>
      </c>
      <c r="CC117" s="200" t="str">
        <f>IF(FMS_Ranking4[[#This Row],[FMS Type]]="Infrastructure Projects",FMS_Ranking4[[#This Row],[Rank (with ArcSinh normalization of select criteria)]],"")</f>
        <v/>
      </c>
      <c r="CD117" s="200" t="str">
        <f>IF(FMS_Ranking4[[#This Row],[FMS Type]]="Other",FMS_Ranking4[[#This Row],[Rank (with ArcSinh normalization of select criteria)]],"")</f>
        <v/>
      </c>
      <c r="CE117" s="201"/>
    </row>
    <row r="118" spans="2:83" ht="60" x14ac:dyDescent="0.25">
      <c r="B118" s="341" t="s">
        <v>1788</v>
      </c>
      <c r="C118" s="246">
        <f>_xlfn.XLOOKUP(FMS_Ranking4[[#This Row],[FMS ID]],FMS_Input[FMS_ID],FMS_Input[RFPG_NUM])</f>
        <v>3</v>
      </c>
      <c r="D118" s="309" t="str">
        <f>_xlfn.XLOOKUP(FMS_Ranking4[[#This Row],[FMS ID]],FMS_Input[FMS_ID],FMS_Input[FMS_NAME])</f>
        <v>Collin County Property and Structures Buyout Program</v>
      </c>
      <c r="E118" s="308" t="str">
        <f>_xlfn.XLOOKUP(FMS_Ranking4[[#This Row],[FMS ID]],FMS_Input[FMS_ID],FMS_Input[SPONSOR])</f>
        <v>Collin County</v>
      </c>
      <c r="F118" s="309" t="str">
        <f>_xlfn.XLOOKUP(FMS_Ranking4[[#This Row],[FMS ID]],Sponsor[FMS_ID],Sponsor[SPONSOR NAME])</f>
        <v>Collin County</v>
      </c>
      <c r="G118" s="309" t="str">
        <f>_xlfn.XLOOKUP(FMS_Ranking4[[#This Row],[FMS ID]],FMS_Input[FMS_ID],FMS_Input[FMS_DESCR])</f>
        <v>Develop and implement a buyout program for personal properties and structures located in the floodplain</v>
      </c>
      <c r="H118" s="248" t="str">
        <f>_xlfn.XLOOKUP(FMS_Ranking4[[#This Row],[FMS ID]],FMS_Input[FMS_ID],FMS_Input[FMS_TYPE])</f>
        <v>Regulatory and Guidance</v>
      </c>
      <c r="I118" s="249">
        <f>_xlfn.XLOOKUP(FMS_Ranking4[[#This Row],[FMS ID]],FMS_Input[FMS_ID],FMS_Input[NRNC_COST])</f>
        <v>500000</v>
      </c>
      <c r="J118" s="250">
        <f>_xlfn.XLOOKUP(FMS_Ranking4[[#This Row],[FMS ID]],FMS_Input[FMS_ID],FMS_Input[FMS_COST])</f>
        <v>5000000</v>
      </c>
      <c r="K118" s="251" t="str">
        <f>_xlfn.XLOOKUP(FMS_Ranking4[[#This Row],[FMS ID]],FMS_Input[FMS_ID],FMS_Input[EMER_NEED])</f>
        <v>No</v>
      </c>
      <c r="L118" s="252">
        <f t="shared" si="1"/>
        <v>0</v>
      </c>
      <c r="M118" s="253">
        <f>_xlfn.XLOOKUP(FMS_Ranking4[[#This Row],[FMS ID]],FMS_Input[FMS_ID],FMS_Input[STRUCT_100])</f>
        <v>2842</v>
      </c>
      <c r="N118" s="255">
        <f>(ASINH(FMS_Ranking4[[#This Row],[Structure at Risk Raw]]))*(10)/(ASINH(M$4))</f>
        <v>6.7965799147259949</v>
      </c>
      <c r="O118" s="256">
        <f>FMS_Ranking4[[#This Row],[Structures at risk, ArcSinh (0-10)]]*M$5*10</f>
        <v>6.7965799147259958</v>
      </c>
      <c r="P118" s="253">
        <f>_xlfn.XLOOKUP(FMS_Ranking4[[#This Row],[FMS ID]],FMS_Input[FMS_ID],FMS_Input[RES_STRUCT100])</f>
        <v>2401</v>
      </c>
      <c r="Q118" s="257">
        <f>ASINH(FMS_Ranking4[[#This Row],[Res Structure Raw]])/Q$4*P$5*100</f>
        <v>0</v>
      </c>
      <c r="R118" s="253">
        <f>_xlfn.XLOOKUP(FMS_Ranking4[[#This Row],[FMS ID]],FMS_Input[FMS_ID],FMS_Input[POP100])</f>
        <v>11593</v>
      </c>
      <c r="S118" s="259">
        <f>(ASINH(FMS_Ranking4[[#This Row],[Pop at Risk Raw]]))*(10)/(ASINH(R$4))</f>
        <v>6.9390002683720953</v>
      </c>
      <c r="T118" s="256">
        <f>FMS_Ranking4[[#This Row],[Population at risk, ArcSinh (0-10)]]*R$5*10</f>
        <v>6.9390002683720953</v>
      </c>
      <c r="U118" s="253">
        <f>_xlfn.XLOOKUP(FMS_Ranking4[[#This Row],[FMS ID]],FMS_Input[FMS_ID],FMS_Input[CRITFAC100])</f>
        <v>26</v>
      </c>
      <c r="V118" s="259">
        <f>(ASINH(FMS_Ranking4[[#This Row],[Critical Facilities Raw]]))*(10)/(ASINH(U$4))</f>
        <v>4.6777781573969257</v>
      </c>
      <c r="W118" s="256">
        <f>FMS_Ranking4[[#This Row],[Critical facilities at risk, ArcSinh (0-10)]]*U$5*10</f>
        <v>4.6777781573969257</v>
      </c>
      <c r="X118" s="253">
        <f>_xlfn.XLOOKUP(FMS_Ranking4[[#This Row],[FMS ID]],FMS_Input[FMS_ID],FMS_Input[LWC])</f>
        <v>55</v>
      </c>
      <c r="Y118" s="259">
        <f>(ASINH(FMS_Ranking4[[#This Row],[LWC Raw]]))*(10)/(ASINH(X$4))</f>
        <v>6.368030274136343</v>
      </c>
      <c r="Z118" s="256">
        <f>FMS_Ranking4[[#This Row],[LWC, ArcSInh (0-10)]]*X$5*10</f>
        <v>6.3680302741363439</v>
      </c>
      <c r="AA118" s="253">
        <f>_xlfn.XLOOKUP(FMS_Ranking4[[#This Row],[FMS ID]],FMS_Input[FMS_ID],FMS_Input[ROADCLS])</f>
        <v>0</v>
      </c>
      <c r="AB118" s="255">
        <f>(ASINH(FMS_Ranking4[[#This Row],[Road Closures Raw]]))*(10)/(ASINH(AA$4))</f>
        <v>0</v>
      </c>
      <c r="AC118" s="256">
        <f>FMS_Ranking4[[#This Row],[Road closures, ArcSinh (0-10)]]*AA$5*10</f>
        <v>0</v>
      </c>
      <c r="AD118" s="253">
        <f>_xlfn.XLOOKUP(FMS_Ranking4[[#This Row],[FMS ID]],FMS_Input[FMS_ID],FMS_Input[ROAD_MILES100])</f>
        <v>146</v>
      </c>
      <c r="AE118" s="259">
        <f>(ASINH(FMS_Ranking4[[#This Row],[Road Miles Raw]]))*(10)/(ASINH(AD$4))</f>
        <v>6.0498702395248731</v>
      </c>
      <c r="AF118" s="256">
        <f>FMS_Ranking4[[#This Row],[Length of roads at risk, ArcSinh (0-10)]]*AD$5*10</f>
        <v>6.049870239524874</v>
      </c>
      <c r="AG118" s="253">
        <f>_xlfn.XLOOKUP(FMS_Ranking4[[#This Row],[FMS ID]],FMS_Input[FMS_ID],FMS_Input[FARMACRE100])</f>
        <v>34153.609375</v>
      </c>
      <c r="AH118" s="255">
        <f>(ASINH(FMS_Ranking4[[#This Row],[Ag Land Raw]]))*(10)/(ASINH(AG$4))</f>
        <v>7.230991988168137</v>
      </c>
      <c r="AI118" s="260">
        <f>FMS_Ranking4[[#This Row],[Farm &amp; ranch land, ArcSinh (0-10)]]*AG$5*10</f>
        <v>3.6154959940840685</v>
      </c>
      <c r="AJ118" s="258">
        <f>_xlfn.XLOOKUP(FMS_Ranking4[[#This Row],[FMS ID]],FMS_Input[FMS_ID],FMS_Input[REDSTRUCT100])</f>
        <v>0</v>
      </c>
      <c r="AK118" s="253">
        <f>_xlfn.XLOOKUP(FMS_Ranking4[[#This Row],[FMS ID]],FMS_Input[FMS_ID],FMS_Input[REMSTRC100])</f>
        <v>0</v>
      </c>
      <c r="AL118" s="259">
        <f>(ASINH(FMS_Ranking4[[#This Row],[Structures Removed Raw]]))*(10)/(ASINH(AK$4))</f>
        <v>0</v>
      </c>
      <c r="AM118" s="262">
        <f>FMS_Ranking4[[#This Row],[Structures removed, ArcSinh (0-10)]]*AK$5*10</f>
        <v>0</v>
      </c>
      <c r="AN118" s="253">
        <f>_xlfn.XLOOKUP(FMS_Ranking4[[#This Row],[FMS ID]],FMS_Input[FMS_ID],FMS_Input[REMRESSTRC100])</f>
        <v>0</v>
      </c>
      <c r="AO118" s="261">
        <f>FMS_Ranking4[[#This Row],[ArcSinh Res struct removed 0-10]]*AN$5*10</f>
        <v>0</v>
      </c>
      <c r="AP118" s="260">
        <f>ASINH(FMS_Ranking4[[#This Row],[Residential Structures Removed Raw]])/AP$4*AN$5*100</f>
        <v>0</v>
      </c>
      <c r="AQ118" s="254">
        <f>(ASINH(FMS_Ranking4[[#This Row],[Residential Structures Removed Raw]]))*(10)/(ASINH(AN$4))</f>
        <v>0</v>
      </c>
      <c r="AR118" s="253">
        <f>_xlfn.XLOOKUP(FMS_Ranking4[[#This Row],[FMS ID]],FMS_Input[FMS_ID],FMS_Input[REMPOP100])</f>
        <v>0</v>
      </c>
      <c r="AS118" s="259">
        <f>(ASINH(FMS_Ranking4[[#This Row],[Removed Pop Raw]]))*(10)/(ASINH(AR$4))</f>
        <v>0</v>
      </c>
      <c r="AT118" s="262">
        <f>FMS_Ranking4[[#This Row],[Removed population, ArcSinh (0-10)]]*AR$5*10</f>
        <v>0</v>
      </c>
      <c r="AU118" s="264">
        <f>_xlfn.XLOOKUP(FMS_Ranking4[[#This Row],[FMS ID]],FMS_Input[FMS_ID],FMS_Input[REMCRITFAC100])</f>
        <v>0</v>
      </c>
      <c r="AV118" s="264">
        <f>_xlfn.XLOOKUP(FMS_Ranking4[[#This Row],[FMS ID]],FMS_Input[FMS_ID],FMS_Input[REMLWC100])</f>
        <v>0</v>
      </c>
      <c r="AW118" s="264">
        <f>_xlfn.XLOOKUP(FMS_Ranking4[[#This Row],[FMS ID]],FMS_Input[FMS_ID],FMS_Input[REMROADCLS])</f>
        <v>0</v>
      </c>
      <c r="AX118" s="264">
        <f>_xlfn.XLOOKUP(FMS_Ranking4[[#This Row],[FMS ID]],FMS_Input[FMS_ID],FMS_Input[REMFRMACRE100])</f>
        <v>0</v>
      </c>
      <c r="AY118" s="258">
        <f>_xlfn.XLOOKUP(FMS_Ranking4[[#This Row],[FMS ID]],FMS_Input[FMS_ID],FMS_Input[COSTSTRUCT])</f>
        <v>0</v>
      </c>
      <c r="AZ118" s="253">
        <f>_xlfn.XLOOKUP(FMS_Ranking4[[#This Row],[FMS ID]],FMS_Input[FMS_ID],FMS_Input[NATURE])</f>
        <v>0</v>
      </c>
      <c r="BA118" s="262">
        <f>(((FMS_Ranking4[[#This Row],[% NBS Raw]]/AZ$4)*100)*AZ$5)</f>
        <v>0</v>
      </c>
      <c r="BB118" s="251" t="str">
        <f>_xlfn.XLOOKUP(FMS_Ranking4[[#This Row],[FMS ID]],FMS_Input[FMS_ID],FMS_Input[WATER_SUP])</f>
        <v>No</v>
      </c>
      <c r="BC118" s="265">
        <f>IF(FMS_Ranking4[[#This Row],[Water Supply Raw]]="Yes",10,0)</f>
        <v>0</v>
      </c>
      <c r="BD118" s="266">
        <f>_xlfn.XLOOKUP(FMS_Ranking4[[#This Row],[FMS Type]],FMS_TYPE[FMS_Type],FMS_TYPE[Score])</f>
        <v>8</v>
      </c>
      <c r="BE118" s="267">
        <f>FMS_Ranking4[[#This Row],[FMS_Type Score]]*$BD$5*10</f>
        <v>2</v>
      </c>
      <c r="BF11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1.4010960333666065</v>
      </c>
      <c r="BG118" s="271">
        <f>_xlfn.RANK.EQ(BF118,$BF$8:$BF$870,0)+COUNTIF($BF$8:BF118,BF118)-1</f>
        <v>113</v>
      </c>
      <c r="BH118" s="268">
        <f>(((FMS_Ranking4[[#This Row],[Structures Removed Raw]]/AK$4)*100)*AK$5)+(((FMS_Ranking4[[#This Row],[Removed Pop Raw]]/AR$4)*100)*AR$5)</f>
        <v>0</v>
      </c>
      <c r="BI11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3.4010960333666063</v>
      </c>
      <c r="BJ118" s="205">
        <f>_xlfn.RANK.EQ(FMS_Ranking4[[#This Row],[Total Score 
(with linear
normalization)]],FMS_Ranking4[Total Score 
(with linear
normalization)],0)</f>
        <v>150</v>
      </c>
      <c r="BK118" s="205" t="e">
        <f>_xlfn.XLOOKUP(FMS_Ranking4[[#This Row],[FMS ID]],#REF!,#REF!)</f>
        <v>#REF!</v>
      </c>
      <c r="BL11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34.446754848240303</v>
      </c>
      <c r="BM118" s="272">
        <f>FMS_Ranking4[[#This Row],[ArcSinh Score Based on Normalized Reported Factors]]+FMS_Ranking4[[#This Row],[% NBS Score (Normalized)]]+(FMS_Ranking4[[#This Row],[Water Supply Score (Normalized)]]*10*$BB$5)+FMS_Ranking4[[#This Row],[FMS_Type Score Weighted]]</f>
        <v>36.446754848240303</v>
      </c>
      <c r="BN118" s="205">
        <f>_xlfn.RANK.EQ(FMS_Ranking4[[#This Row],[Total Score (with ArcSinh normalization of select criteria)]],FMS_Ranking4[Total Score (with ArcSinh normalization of select criteria)],0)</f>
        <v>111</v>
      </c>
      <c r="BO118" s="270" t="str">
        <f>_xlfn.XLOOKUP(FMS_Ranking4[[#This Row],[FMS ID]],FMS_Input[FMS_ID],FMS_Input[FMS_RANK_YEAR])</f>
        <v>2023 Amended Plan</v>
      </c>
      <c r="BP118" s="204">
        <f>_xlfn.XLOOKUP(FMS_Ranking4[[#This Row],[FMS ID]],Prev_Rank[FMS ID],Prev_Rank[Prev Rank])</f>
        <v>94</v>
      </c>
      <c r="BQ118" s="205" t="e">
        <f>_xlfn.XLOOKUP(FMS_Ranking4[[#This Row],[FMS ID]],#REF!,#REF!)</f>
        <v>#REF!</v>
      </c>
      <c r="BR118" s="199" t="e">
        <f>SUM(#REF!,#REF!,#REF!,#REF!,#REF!,#REF!,#REF!,#REF!,#REF!,FMS_Ranking4[[#This Row],[ArcSinh Res struct removed 0-10]],#REF!)</f>
        <v>#REF!</v>
      </c>
      <c r="BS118" s="199" t="e">
        <f>FMS_Ranking4[[#This Row],[Log Score Based on Normalized Reported Factors]]+FMS_Ranking4[[#This Row],[% NBS Score (Normalized)]]+(FMS_Ranking4[[#This Row],[Water Supply Score (Normalized)]]*10*$BB$5)+(FMS_Ranking4[[#This Row],[FMS_Type Score Weighted]])</f>
        <v>#REF!</v>
      </c>
      <c r="BT118" s="200" t="e">
        <f>_xlfn.RANK.EQ(FMS_Ranking4[[#This Row],[Log Total Score]],FMS_Ranking4[Log Total Score],0)</f>
        <v>#REF!</v>
      </c>
      <c r="BU118" s="200" t="e">
        <f>_xlfn.XLOOKUP(FMS_Ranking4[[#This Row],[FMS ID]],#REF!,#REF!)</f>
        <v>#REF!</v>
      </c>
      <c r="BV118" s="200">
        <f>FMS_Ranking4[[#This Row],[Region Number]]</f>
        <v>3</v>
      </c>
      <c r="BW118" s="200">
        <f>FMS_Ranking4[[#This Row],[Rank (with ArcSinh normalization of select criteria)]]-FMS_Ranking4[[#This Row],[Rank
(with linear
normalization)]]</f>
        <v>-39</v>
      </c>
      <c r="BX118" s="200" t="e">
        <f>FMS_Ranking4[[#This Row],[Log Rank]]-FMS_Ranking4[[#This Row],[Rank
(with linear
normalization)]]</f>
        <v>#REF!</v>
      </c>
      <c r="BY118" s="200" t="str">
        <f>IF(FMS_Ranking4[[#This Row],[FMS Type]]="Flood Measurement and Warning",FMS_Ranking4[[#This Row],[Rank (with ArcSinh normalization of select criteria)]],"")</f>
        <v/>
      </c>
      <c r="BZ118" s="200">
        <f>IF(FMS_Ranking4[[#This Row],[FMS Type]]="Regulatory and Guidance",FMS_Ranking4[[#This Row],[Rank (with ArcSinh normalization of select criteria)]],"")</f>
        <v>111</v>
      </c>
      <c r="CA118" s="200" t="str">
        <f>IF(FMS_Ranking4[[#This Row],[FMS Type]]="Education and Outreach",FMS_Ranking4[[#This Row],[Rank (with ArcSinh normalization of select criteria)]],"")</f>
        <v/>
      </c>
      <c r="CB118" s="200" t="str">
        <f>IF(FMS_Ranking4[[#This Row],[FMS Type]]="Property Acquisition and Structural Elevation",FMS_Ranking4[[#This Row],[Rank (with ArcSinh normalization of select criteria)]],"")</f>
        <v/>
      </c>
      <c r="CC118" s="200" t="str">
        <f>IF(FMS_Ranking4[[#This Row],[FMS Type]]="Infrastructure Projects",FMS_Ranking4[[#This Row],[Rank (with ArcSinh normalization of select criteria)]],"")</f>
        <v/>
      </c>
      <c r="CD118" s="200" t="str">
        <f>IF(FMS_Ranking4[[#This Row],[FMS Type]]="Other",FMS_Ranking4[[#This Row],[Rank (with ArcSinh normalization of select criteria)]],"")</f>
        <v/>
      </c>
      <c r="CE118" s="201"/>
    </row>
    <row r="119" spans="2:83" ht="45" x14ac:dyDescent="0.25">
      <c r="B119" s="341" t="s">
        <v>552</v>
      </c>
      <c r="C119" s="246">
        <f>_xlfn.XLOOKUP(FMS_Ranking4[[#This Row],[FMS ID]],FMS_Input[FMS_ID],FMS_Input[RFPG_NUM])</f>
        <v>9</v>
      </c>
      <c r="D119" s="309" t="str">
        <f>_xlfn.XLOOKUP(FMS_Ranking4[[#This Row],[FMS ID]],FMS_Input[FMS_ID],FMS_Input[FMS_NAME])</f>
        <v>City of Snyder DCM</v>
      </c>
      <c r="E119" s="308" t="str">
        <f>_xlfn.XLOOKUP(FMS_Ranking4[[#This Row],[FMS ID]],FMS_Input[FMS_ID],FMS_Input[SPONSOR])</f>
        <v>00000116</v>
      </c>
      <c r="F119" s="309" t="str">
        <f>_xlfn.XLOOKUP(FMS_Ranking4[[#This Row],[FMS ID]],Sponsor[FMS_ID],Sponsor[SPONSOR NAME])</f>
        <v>Scurry</v>
      </c>
      <c r="G119" s="309" t="str">
        <f>_xlfn.XLOOKUP(FMS_Ranking4[[#This Row],[FMS ID]],FMS_Input[FMS_ID],FMS_Input[FMS_DESCR])</f>
        <v>Outreach Program: Discuss Stormwater Criteria Design Manual</v>
      </c>
      <c r="H119" s="248" t="str">
        <f>_xlfn.XLOOKUP(FMS_Ranking4[[#This Row],[FMS ID]],FMS_Input[FMS_ID],FMS_Input[FMS_TYPE])</f>
        <v>Other</v>
      </c>
      <c r="I119" s="249">
        <f>_xlfn.XLOOKUP(FMS_Ranking4[[#This Row],[FMS ID]],FMS_Input[FMS_ID],FMS_Input[NRNC_COST])</f>
        <v>75000</v>
      </c>
      <c r="J119" s="250">
        <f>_xlfn.XLOOKUP(FMS_Ranking4[[#This Row],[FMS ID]],FMS_Input[FMS_ID],FMS_Input[FMS_COST])</f>
        <v>100000</v>
      </c>
      <c r="K119" s="251" t="str">
        <f>_xlfn.XLOOKUP(FMS_Ranking4[[#This Row],[FMS ID]],FMS_Input[FMS_ID],FMS_Input[EMER_NEED])</f>
        <v>No</v>
      </c>
      <c r="L119" s="252">
        <f t="shared" si="1"/>
        <v>0</v>
      </c>
      <c r="M119" s="253">
        <f>_xlfn.XLOOKUP(FMS_Ranking4[[#This Row],[FMS ID]],FMS_Input[FMS_ID],FMS_Input[STRUCT_100])</f>
        <v>447</v>
      </c>
      <c r="N119" s="255">
        <f>(ASINH(FMS_Ranking4[[#This Row],[Structure at Risk Raw]]))*(10)/(ASINH(M$4))</f>
        <v>5.3424375596750542</v>
      </c>
      <c r="O119" s="256">
        <f>FMS_Ranking4[[#This Row],[Structures at risk, ArcSinh (0-10)]]*M$5*10</f>
        <v>5.3424375596750542</v>
      </c>
      <c r="P119" s="253">
        <f>_xlfn.XLOOKUP(FMS_Ranking4[[#This Row],[FMS ID]],FMS_Input[FMS_ID],FMS_Input[RES_STRUCT100])</f>
        <v>266</v>
      </c>
      <c r="Q119" s="257">
        <f>ASINH(FMS_Ranking4[[#This Row],[Res Structure Raw]])/Q$4*P$5*100</f>
        <v>0</v>
      </c>
      <c r="R119" s="253">
        <f>_xlfn.XLOOKUP(FMS_Ranking4[[#This Row],[FMS ID]],FMS_Input[FMS_ID],FMS_Input[POP100])</f>
        <v>1634</v>
      </c>
      <c r="S119" s="255">
        <f>(ASINH(FMS_Ranking4[[#This Row],[Pop at Risk Raw]]))*(10)/(ASINH(R$4))</f>
        <v>5.5863328249297242</v>
      </c>
      <c r="T119" s="256">
        <f>FMS_Ranking4[[#This Row],[Population at risk, ArcSinh (0-10)]]*R$5*10</f>
        <v>5.5863328249297242</v>
      </c>
      <c r="U119" s="253">
        <f>_xlfn.XLOOKUP(FMS_Ranking4[[#This Row],[FMS ID]],FMS_Input[FMS_ID],FMS_Input[CRITFAC100])</f>
        <v>1</v>
      </c>
      <c r="V119" s="255">
        <f>(ASINH(FMS_Ranking4[[#This Row],[Critical Facilities Raw]]))*(10)/(ASINH(U$4))</f>
        <v>1.0433384451410745</v>
      </c>
      <c r="W119" s="256">
        <f>FMS_Ranking4[[#This Row],[Critical facilities at risk, ArcSinh (0-10)]]*U$5*10</f>
        <v>1.0433384451410745</v>
      </c>
      <c r="X119" s="253">
        <f>_xlfn.XLOOKUP(FMS_Ranking4[[#This Row],[FMS ID]],FMS_Input[FMS_ID],FMS_Input[LWC])</f>
        <v>3</v>
      </c>
      <c r="Y119" s="255">
        <f>(ASINH(FMS_Ranking4[[#This Row],[LWC Raw]]))*(10)/(ASINH(X$4))</f>
        <v>2.4635181155638843</v>
      </c>
      <c r="Z119" s="256">
        <f>FMS_Ranking4[[#This Row],[LWC, ArcSInh (0-10)]]*X$5*10</f>
        <v>2.4635181155638843</v>
      </c>
      <c r="AA119" s="253">
        <f>_xlfn.XLOOKUP(FMS_Ranking4[[#This Row],[FMS ID]],FMS_Input[FMS_ID],FMS_Input[ROADCLS])</f>
        <v>0</v>
      </c>
      <c r="AB119" s="255">
        <f>(ASINH(FMS_Ranking4[[#This Row],[Road Closures Raw]]))*(10)/(ASINH(AA$4))</f>
        <v>0</v>
      </c>
      <c r="AC119" s="256">
        <f>FMS_Ranking4[[#This Row],[Road closures, ArcSinh (0-10)]]*AA$5*10</f>
        <v>0</v>
      </c>
      <c r="AD119" s="253">
        <f>_xlfn.XLOOKUP(FMS_Ranking4[[#This Row],[FMS ID]],FMS_Input[FMS_ID],FMS_Input[ROAD_MILES100])</f>
        <v>21</v>
      </c>
      <c r="AE119" s="255">
        <f>(ASINH(FMS_Ranking4[[#This Row],[Road Miles Raw]]))*(10)/(ASINH(AD$4))</f>
        <v>3.9839311289010819</v>
      </c>
      <c r="AF119" s="256">
        <f>FMS_Ranking4[[#This Row],[Length of roads at risk, ArcSinh (0-10)]]*AD$5*10</f>
        <v>3.9839311289010819</v>
      </c>
      <c r="AG119" s="253">
        <f>_xlfn.XLOOKUP(FMS_Ranking4[[#This Row],[FMS ID]],FMS_Input[FMS_ID],FMS_Input[FARMACRE100])</f>
        <v>60.076580047607422</v>
      </c>
      <c r="AH119" s="255">
        <f>(ASINH(FMS_Ranking4[[#This Row],[Ag Land Raw]]))*(10)/(ASINH(AG$4))</f>
        <v>3.1107394651852602</v>
      </c>
      <c r="AI119" s="260">
        <f>FMS_Ranking4[[#This Row],[Farm &amp; ranch land, ArcSinh (0-10)]]*AG$5*10</f>
        <v>1.5553697325926303</v>
      </c>
      <c r="AJ119" s="258">
        <f>_xlfn.XLOOKUP(FMS_Ranking4[[#This Row],[FMS ID]],FMS_Input[FMS_ID],FMS_Input[REDSTRUCT100])</f>
        <v>112</v>
      </c>
      <c r="AK119" s="253">
        <f>_xlfn.XLOOKUP(FMS_Ranking4[[#This Row],[FMS ID]],FMS_Input[FMS_ID],FMS_Input[REMSTRC100])</f>
        <v>112</v>
      </c>
      <c r="AL119" s="255">
        <f>(ASINH(FMS_Ranking4[[#This Row],[Structures Removed Raw]]))*(10)/(ASINH(AK$4))</f>
        <v>6.1615680076159185</v>
      </c>
      <c r="AM119" s="262">
        <f>FMS_Ranking4[[#This Row],[Structures removed, ArcSinh (0-10)]]*AK$5*10</f>
        <v>6.1615680076159185</v>
      </c>
      <c r="AN119" s="253">
        <f>_xlfn.XLOOKUP(FMS_Ranking4[[#This Row],[FMS ID]],FMS_Input[FMS_ID],FMS_Input[REMRESSTRC100])</f>
        <v>66</v>
      </c>
      <c r="AO119" s="261">
        <f>FMS_Ranking4[[#This Row],[ArcSinh Res struct removed 0-10]]*AN$5*10</f>
        <v>2.8639262186432446</v>
      </c>
      <c r="AP119" s="260">
        <f>ASINH(FMS_Ranking4[[#This Row],[Residential Structures Removed Raw]])/AP$4*AN$5*100</f>
        <v>2.863926218643245</v>
      </c>
      <c r="AQ119" s="258">
        <f>(ASINH(FMS_Ranking4[[#This Row],[Residential Structures Removed Raw]]))*(10)/(ASINH(AN$4))</f>
        <v>5.7278524372864892</v>
      </c>
      <c r="AR119" s="253">
        <f>_xlfn.XLOOKUP(FMS_Ranking4[[#This Row],[FMS ID]],FMS_Input[FMS_ID],FMS_Input[REMPOP100])</f>
        <v>486</v>
      </c>
      <c r="AS119" s="255">
        <f>(ASINH(FMS_Ranking4[[#This Row],[Removed Pop Raw]]))*(10)/(ASINH(AR$4))</f>
        <v>6.7529173299394998</v>
      </c>
      <c r="AT119" s="262">
        <f>FMS_Ranking4[[#This Row],[Removed population, ArcSinh (0-10)]]*AR$5*10</f>
        <v>6.7529173299395007</v>
      </c>
      <c r="AU119" s="264">
        <f>_xlfn.XLOOKUP(FMS_Ranking4[[#This Row],[FMS ID]],FMS_Input[FMS_ID],FMS_Input[REMCRITFAC100])</f>
        <v>0</v>
      </c>
      <c r="AV119" s="264">
        <f>_xlfn.XLOOKUP(FMS_Ranking4[[#This Row],[FMS ID]],FMS_Input[FMS_ID],FMS_Input[REMLWC100])</f>
        <v>0</v>
      </c>
      <c r="AW119" s="264">
        <f>_xlfn.XLOOKUP(FMS_Ranking4[[#This Row],[FMS ID]],FMS_Input[FMS_ID],FMS_Input[REMROADCLS])</f>
        <v>0</v>
      </c>
      <c r="AX119" s="264">
        <f>_xlfn.XLOOKUP(FMS_Ranking4[[#This Row],[FMS ID]],FMS_Input[FMS_ID],FMS_Input[REMFRMACRE100])</f>
        <v>15.019145011901861</v>
      </c>
      <c r="AY119" s="258">
        <f>_xlfn.XLOOKUP(FMS_Ranking4[[#This Row],[FMS ID]],FMS_Input[FMS_ID],FMS_Input[COSTSTRUCT])</f>
        <v>25000</v>
      </c>
      <c r="AZ119" s="253">
        <f>_xlfn.XLOOKUP(FMS_Ranking4[[#This Row],[FMS ID]],FMS_Input[FMS_ID],FMS_Input[NATURE])</f>
        <v>0</v>
      </c>
      <c r="BA119" s="262">
        <f>(((FMS_Ranking4[[#This Row],[% NBS Raw]]/AZ$4)*100)*AZ$5)</f>
        <v>0</v>
      </c>
      <c r="BB119" s="251" t="str">
        <f>_xlfn.XLOOKUP(FMS_Ranking4[[#This Row],[FMS ID]],FMS_Input[FMS_ID],FMS_Input[WATER_SUP])</f>
        <v>No</v>
      </c>
      <c r="BC119" s="265">
        <f>IF(FMS_Ranking4[[#This Row],[Water Supply Raw]]="Yes",10,0)</f>
        <v>0</v>
      </c>
      <c r="BD119" s="266">
        <f>_xlfn.XLOOKUP(FMS_Ranking4[[#This Row],[FMS Type]],FMS_TYPE[FMS_Type],FMS_TYPE[Score])</f>
        <v>2</v>
      </c>
      <c r="BE119" s="267">
        <f>FMS_Ranking4[[#This Row],[FMS_Type Score]]*$BD$5*10</f>
        <v>0.5</v>
      </c>
      <c r="BF11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0.12055955636040333</v>
      </c>
      <c r="BG119" s="321">
        <f>_xlfn.RANK.EQ(BF119,$BF$8:$BF$870,0)+COUNTIF($BF$8:BF119,BF119)-1</f>
        <v>459</v>
      </c>
      <c r="BH119" s="294">
        <f>(((FMS_Ranking4[[#This Row],[Structures Removed Raw]]/AK$4)*100)*AK$5)+(((FMS_Ranking4[[#This Row],[Removed Pop Raw]]/AR$4)*100)*AR$5)</f>
        <v>0.70938922852693609</v>
      </c>
      <c r="BI11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1.3299487848873395</v>
      </c>
      <c r="BJ119" s="251">
        <f>_xlfn.RANK.EQ(FMS_Ranking4[[#This Row],[Total Score 
(with linear
normalization)]],FMS_Ranking4[Total Score 
(with linear
normalization)],0)</f>
        <v>628</v>
      </c>
      <c r="BK119" s="251" t="e">
        <f>_xlfn.XLOOKUP(FMS_Ranking4[[#This Row],[FMS ID]],#REF!,#REF!)</f>
        <v>#REF!</v>
      </c>
      <c r="BL11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35.753339363002112</v>
      </c>
      <c r="BM119" s="324">
        <f>FMS_Ranking4[[#This Row],[ArcSinh Score Based on Normalized Reported Factors]]+FMS_Ranking4[[#This Row],[% NBS Score (Normalized)]]+(FMS_Ranking4[[#This Row],[Water Supply Score (Normalized)]]*10*$BB$5)+FMS_Ranking4[[#This Row],[FMS_Type Score Weighted]]</f>
        <v>36.253339363002112</v>
      </c>
      <c r="BN119" s="251">
        <f>_xlfn.RANK.EQ(FMS_Ranking4[[#This Row],[Total Score (with ArcSinh normalization of select criteria)]],FMS_Ranking4[Total Score (with ArcSinh normalization of select criteria)],0)</f>
        <v>112</v>
      </c>
      <c r="BO119" s="270" t="str">
        <f>_xlfn.XLOOKUP(FMS_Ranking4[[#This Row],[FMS ID]],FMS_Input[FMS_ID],FMS_Input[FMS_RANK_YEAR])</f>
        <v>2023 Amended Plan</v>
      </c>
      <c r="BP119" s="204">
        <f>_xlfn.XLOOKUP(FMS_Ranking4[[#This Row],[FMS ID]],Prev_Rank[FMS ID],Prev_Rank[Prev Rank])</f>
        <v>103</v>
      </c>
      <c r="BQ119" s="251" t="e">
        <f>_xlfn.XLOOKUP(FMS_Ranking4[[#This Row],[FMS ID]],#REF!,#REF!)</f>
        <v>#REF!</v>
      </c>
      <c r="BR119" s="199" t="e">
        <f>SUM(#REF!,#REF!,#REF!,#REF!,#REF!,#REF!,#REF!,#REF!,#REF!,FMS_Ranking4[[#This Row],[ArcSinh Res struct removed 0-10]],#REF!)</f>
        <v>#REF!</v>
      </c>
      <c r="BS119" s="199" t="e">
        <f>FMS_Ranking4[[#This Row],[Log Score Based on Normalized Reported Factors]]+FMS_Ranking4[[#This Row],[% NBS Score (Normalized)]]+(FMS_Ranking4[[#This Row],[Water Supply Score (Normalized)]]*10*$BB$5)+(FMS_Ranking4[[#This Row],[FMS_Type Score Weighted]])</f>
        <v>#REF!</v>
      </c>
      <c r="BT119" s="200" t="e">
        <f>_xlfn.RANK.EQ(FMS_Ranking4[[#This Row],[Log Total Score]],FMS_Ranking4[Log Total Score],0)</f>
        <v>#REF!</v>
      </c>
      <c r="BU119" s="200" t="e">
        <f>_xlfn.XLOOKUP(FMS_Ranking4[[#This Row],[FMS ID]],#REF!,#REF!)</f>
        <v>#REF!</v>
      </c>
      <c r="BV119" s="200">
        <f>FMS_Ranking4[[#This Row],[Region Number]]</f>
        <v>9</v>
      </c>
      <c r="BW119" s="200">
        <f>FMS_Ranking4[[#This Row],[Rank (with ArcSinh normalization of select criteria)]]-FMS_Ranking4[[#This Row],[Rank
(with linear
normalization)]]</f>
        <v>-516</v>
      </c>
      <c r="BX119" s="200" t="e">
        <f>FMS_Ranking4[[#This Row],[Log Rank]]-FMS_Ranking4[[#This Row],[Rank
(with linear
normalization)]]</f>
        <v>#REF!</v>
      </c>
      <c r="BY119" s="200" t="str">
        <f>IF(FMS_Ranking4[[#This Row],[FMS Type]]="Flood Measurement and Warning",FMS_Ranking4[[#This Row],[Rank (with ArcSinh normalization of select criteria)]],"")</f>
        <v/>
      </c>
      <c r="BZ119" s="200" t="str">
        <f>IF(FMS_Ranking4[[#This Row],[FMS Type]]="Regulatory and Guidance",FMS_Ranking4[[#This Row],[Rank (with ArcSinh normalization of select criteria)]],"")</f>
        <v/>
      </c>
      <c r="CA119" s="200" t="str">
        <f>IF(FMS_Ranking4[[#This Row],[FMS Type]]="Education and Outreach",FMS_Ranking4[[#This Row],[Rank (with ArcSinh normalization of select criteria)]],"")</f>
        <v/>
      </c>
      <c r="CB119" s="200" t="str">
        <f>IF(FMS_Ranking4[[#This Row],[FMS Type]]="Property Acquisition and Structural Elevation",FMS_Ranking4[[#This Row],[Rank (with ArcSinh normalization of select criteria)]],"")</f>
        <v/>
      </c>
      <c r="CC119" s="200" t="str">
        <f>IF(FMS_Ranking4[[#This Row],[FMS Type]]="Infrastructure Projects",FMS_Ranking4[[#This Row],[Rank (with ArcSinh normalization of select criteria)]],"")</f>
        <v/>
      </c>
      <c r="CD119" s="200">
        <f>IF(FMS_Ranking4[[#This Row],[FMS Type]]="Other",FMS_Ranking4[[#This Row],[Rank (with ArcSinh normalization of select criteria)]],"")</f>
        <v>112</v>
      </c>
      <c r="CE119" s="201"/>
    </row>
    <row r="120" spans="2:83" ht="60" x14ac:dyDescent="0.25">
      <c r="B120" s="341" t="s">
        <v>846</v>
      </c>
      <c r="C120" s="246">
        <f>_xlfn.XLOOKUP(FMS_Ranking4[[#This Row],[FMS ID]],FMS_Input[FMS_ID],FMS_Input[RFPG_NUM])</f>
        <v>9</v>
      </c>
      <c r="D120" s="309" t="str">
        <f>_xlfn.XLOOKUP(FMS_Ranking4[[#This Row],[FMS ID]],FMS_Input[FMS_ID],FMS_Input[FMS_NAME])</f>
        <v>Snyder Flood Insurance Awareness Program</v>
      </c>
      <c r="E120" s="308" t="str">
        <f>_xlfn.XLOOKUP(FMS_Ranking4[[#This Row],[FMS ID]],FMS_Input[FMS_ID],FMS_Input[SPONSOR])</f>
        <v>00000116</v>
      </c>
      <c r="F120" s="309" t="str">
        <f>_xlfn.XLOOKUP(FMS_Ranking4[[#This Row],[FMS ID]],Sponsor[FMS_ID],Sponsor[SPONSOR NAME])</f>
        <v>Scurry</v>
      </c>
      <c r="G120" s="309" t="str">
        <f>_xlfn.XLOOKUP(FMS_Ranking4[[#This Row],[FMS ID]],FMS_Input[FMS_ID],FMS_Input[FMS_DESCR])</f>
        <v xml:space="preserve">Implement a public awareness program to inform the public about the availability of flood insurance. </v>
      </c>
      <c r="H120" s="248" t="str">
        <f>_xlfn.XLOOKUP(FMS_Ranking4[[#This Row],[FMS ID]],FMS_Input[FMS_ID],FMS_Input[FMS_TYPE])</f>
        <v>Other</v>
      </c>
      <c r="I120" s="249">
        <f>_xlfn.XLOOKUP(FMS_Ranking4[[#This Row],[FMS ID]],FMS_Input[FMS_ID],FMS_Input[NRNC_COST])</f>
        <v>5000</v>
      </c>
      <c r="J120" s="250">
        <f>_xlfn.XLOOKUP(FMS_Ranking4[[#This Row],[FMS ID]],FMS_Input[FMS_ID],FMS_Input[FMS_COST])</f>
        <v>30000</v>
      </c>
      <c r="K120" s="251" t="str">
        <f>_xlfn.XLOOKUP(FMS_Ranking4[[#This Row],[FMS ID]],FMS_Input[FMS_ID],FMS_Input[EMER_NEED])</f>
        <v>No</v>
      </c>
      <c r="L120" s="252">
        <f t="shared" si="1"/>
        <v>0</v>
      </c>
      <c r="M120" s="253">
        <f>_xlfn.XLOOKUP(FMS_Ranking4[[#This Row],[FMS ID]],FMS_Input[FMS_ID],FMS_Input[STRUCT_100])</f>
        <v>445</v>
      </c>
      <c r="N120" s="255">
        <f>(ASINH(FMS_Ranking4[[#This Row],[Structure at Risk Raw]]))*(10)/(ASINH(M$4))</f>
        <v>5.3389122312676625</v>
      </c>
      <c r="O120" s="256">
        <f>FMS_Ranking4[[#This Row],[Structures at risk, ArcSinh (0-10)]]*M$5*10</f>
        <v>5.3389122312676633</v>
      </c>
      <c r="P120" s="253">
        <f>_xlfn.XLOOKUP(FMS_Ranking4[[#This Row],[FMS ID]],FMS_Input[FMS_ID],FMS_Input[RES_STRUCT100])</f>
        <v>266</v>
      </c>
      <c r="Q120" s="257">
        <f>ASINH(FMS_Ranking4[[#This Row],[Res Structure Raw]])/Q$4*P$5*100</f>
        <v>0</v>
      </c>
      <c r="R120" s="253">
        <f>_xlfn.XLOOKUP(FMS_Ranking4[[#This Row],[FMS ID]],FMS_Input[FMS_ID],FMS_Input[POP100])</f>
        <v>1633</v>
      </c>
      <c r="S120" s="255">
        <f>(ASINH(FMS_Ranking4[[#This Row],[Pop at Risk Raw]]))*(10)/(ASINH(R$4))</f>
        <v>5.5859101998240437</v>
      </c>
      <c r="T120" s="256">
        <f>FMS_Ranking4[[#This Row],[Population at risk, ArcSinh (0-10)]]*R$5*10</f>
        <v>5.5859101998240437</v>
      </c>
      <c r="U120" s="253">
        <f>_xlfn.XLOOKUP(FMS_Ranking4[[#This Row],[FMS ID]],FMS_Input[FMS_ID],FMS_Input[CRITFAC100])</f>
        <v>1</v>
      </c>
      <c r="V120" s="255">
        <f>(ASINH(FMS_Ranking4[[#This Row],[Critical Facilities Raw]]))*(10)/(ASINH(U$4))</f>
        <v>1.0433384451410745</v>
      </c>
      <c r="W120" s="256">
        <f>FMS_Ranking4[[#This Row],[Critical facilities at risk, ArcSinh (0-10)]]*U$5*10</f>
        <v>1.0433384451410745</v>
      </c>
      <c r="X120" s="253">
        <f>_xlfn.XLOOKUP(FMS_Ranking4[[#This Row],[FMS ID]],FMS_Input[FMS_ID],FMS_Input[LWC])</f>
        <v>3</v>
      </c>
      <c r="Y120" s="255">
        <f>(ASINH(FMS_Ranking4[[#This Row],[LWC Raw]]))*(10)/(ASINH(X$4))</f>
        <v>2.4635181155638843</v>
      </c>
      <c r="Z120" s="256">
        <f>FMS_Ranking4[[#This Row],[LWC, ArcSInh (0-10)]]*X$5*10</f>
        <v>2.4635181155638843</v>
      </c>
      <c r="AA120" s="253">
        <f>_xlfn.XLOOKUP(FMS_Ranking4[[#This Row],[FMS ID]],FMS_Input[FMS_ID],FMS_Input[ROADCLS])</f>
        <v>0</v>
      </c>
      <c r="AB120" s="255">
        <f>(ASINH(FMS_Ranking4[[#This Row],[Road Closures Raw]]))*(10)/(ASINH(AA$4))</f>
        <v>0</v>
      </c>
      <c r="AC120" s="256">
        <f>FMS_Ranking4[[#This Row],[Road closures, ArcSinh (0-10)]]*AA$5*10</f>
        <v>0</v>
      </c>
      <c r="AD120" s="253">
        <f>_xlfn.XLOOKUP(FMS_Ranking4[[#This Row],[FMS ID]],FMS_Input[FMS_ID],FMS_Input[ROAD_MILES100])</f>
        <v>21</v>
      </c>
      <c r="AE120" s="255">
        <f>(ASINH(FMS_Ranking4[[#This Row],[Road Miles Raw]]))*(10)/(ASINH(AD$4))</f>
        <v>3.9839311289010819</v>
      </c>
      <c r="AF120" s="256">
        <f>FMS_Ranking4[[#This Row],[Length of roads at risk, ArcSinh (0-10)]]*AD$5*10</f>
        <v>3.9839311289010819</v>
      </c>
      <c r="AG120" s="253">
        <f>_xlfn.XLOOKUP(FMS_Ranking4[[#This Row],[FMS ID]],FMS_Input[FMS_ID],FMS_Input[FARMACRE100])</f>
        <v>41.684223175048828</v>
      </c>
      <c r="AH120" s="255">
        <f>(ASINH(FMS_Ranking4[[#This Row],[Ag Land Raw]]))*(10)/(ASINH(AG$4))</f>
        <v>2.8733675994346597</v>
      </c>
      <c r="AI120" s="260">
        <f>FMS_Ranking4[[#This Row],[Farm &amp; ranch land, ArcSinh (0-10)]]*AG$5*10</f>
        <v>1.4366837997173298</v>
      </c>
      <c r="AJ120" s="258">
        <f>_xlfn.XLOOKUP(FMS_Ranking4[[#This Row],[FMS ID]],FMS_Input[FMS_ID],FMS_Input[REDSTRUCT100])</f>
        <v>112</v>
      </c>
      <c r="AK120" s="253">
        <f>_xlfn.XLOOKUP(FMS_Ranking4[[#This Row],[FMS ID]],FMS_Input[FMS_ID],FMS_Input[REMSTRC100])</f>
        <v>112</v>
      </c>
      <c r="AL120" s="255">
        <f>(ASINH(FMS_Ranking4[[#This Row],[Structures Removed Raw]]))*(10)/(ASINH(AK$4))</f>
        <v>6.1615680076159185</v>
      </c>
      <c r="AM120" s="262">
        <f>FMS_Ranking4[[#This Row],[Structures removed, ArcSinh (0-10)]]*AK$5*10</f>
        <v>6.1615680076159185</v>
      </c>
      <c r="AN120" s="253">
        <f>_xlfn.XLOOKUP(FMS_Ranking4[[#This Row],[FMS ID]],FMS_Input[FMS_ID],FMS_Input[REMRESSTRC100])</f>
        <v>66</v>
      </c>
      <c r="AO120" s="261">
        <f>FMS_Ranking4[[#This Row],[ArcSinh Res struct removed 0-10]]*AN$5*10</f>
        <v>2.8639262186432446</v>
      </c>
      <c r="AP120" s="260">
        <f>ASINH(FMS_Ranking4[[#This Row],[Residential Structures Removed Raw]])/AP$4*AN$5*100</f>
        <v>2.863926218643245</v>
      </c>
      <c r="AQ120" s="258">
        <f>(ASINH(FMS_Ranking4[[#This Row],[Residential Structures Removed Raw]]))*(10)/(ASINH(AN$4))</f>
        <v>5.7278524372864892</v>
      </c>
      <c r="AR120" s="253">
        <f>_xlfn.XLOOKUP(FMS_Ranking4[[#This Row],[FMS ID]],FMS_Input[FMS_ID],FMS_Input[REMPOP100])</f>
        <v>485</v>
      </c>
      <c r="AS120" s="255">
        <f>(ASINH(FMS_Ranking4[[#This Row],[Removed Pop Raw]]))*(10)/(ASINH(AR$4))</f>
        <v>6.7508954582451945</v>
      </c>
      <c r="AT120" s="262">
        <f>FMS_Ranking4[[#This Row],[Removed population, ArcSinh (0-10)]]*AR$5*10</f>
        <v>6.7508954582451954</v>
      </c>
      <c r="AU120" s="264">
        <f>_xlfn.XLOOKUP(FMS_Ranking4[[#This Row],[FMS ID]],FMS_Input[FMS_ID],FMS_Input[REMCRITFAC100])</f>
        <v>0</v>
      </c>
      <c r="AV120" s="264">
        <f>_xlfn.XLOOKUP(FMS_Ranking4[[#This Row],[FMS ID]],FMS_Input[FMS_ID],FMS_Input[REMLWC100])</f>
        <v>0</v>
      </c>
      <c r="AW120" s="264">
        <f>_xlfn.XLOOKUP(FMS_Ranking4[[#This Row],[FMS ID]],FMS_Input[FMS_ID],FMS_Input[REMROADCLS])</f>
        <v>0</v>
      </c>
      <c r="AX120" s="264">
        <f>_xlfn.XLOOKUP(FMS_Ranking4[[#This Row],[FMS ID]],FMS_Input[FMS_ID],FMS_Input[REMFRMACRE100])</f>
        <v>10.421055793762211</v>
      </c>
      <c r="AY120" s="258">
        <f>_xlfn.XLOOKUP(FMS_Ranking4[[#This Row],[FMS ID]],FMS_Input[FMS_ID],FMS_Input[COSTSTRUCT])</f>
        <v>25000</v>
      </c>
      <c r="AZ120" s="253">
        <f>_xlfn.XLOOKUP(FMS_Ranking4[[#This Row],[FMS ID]],FMS_Input[FMS_ID],FMS_Input[NATURE])</f>
        <v>0</v>
      </c>
      <c r="BA120" s="262">
        <f>(((FMS_Ranking4[[#This Row],[% NBS Raw]]/AZ$4)*100)*AZ$5)</f>
        <v>0</v>
      </c>
      <c r="BB120" s="251" t="str">
        <f>_xlfn.XLOOKUP(FMS_Ranking4[[#This Row],[FMS ID]],FMS_Input[FMS_ID],FMS_Input[WATER_SUP])</f>
        <v>No</v>
      </c>
      <c r="BC120" s="265">
        <f>IF(FMS_Ranking4[[#This Row],[Water Supply Raw]]="Yes",10,0)</f>
        <v>0</v>
      </c>
      <c r="BD120" s="266">
        <f>_xlfn.XLOOKUP(FMS_Ranking4[[#This Row],[FMS Type]],FMS_TYPE[FMS_Type],FMS_TYPE[Score])</f>
        <v>2</v>
      </c>
      <c r="BE120" s="267">
        <f>FMS_Ranking4[[#This Row],[FMS_Type Score]]*$BD$5*10</f>
        <v>0.5</v>
      </c>
      <c r="BF12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0.12039179837260627</v>
      </c>
      <c r="BG120" s="321">
        <f>_xlfn.RANK.EQ(BF120,$BF$8:$BF$870,0)+COUNTIF($BF$8:BF120,BF120)-1</f>
        <v>460</v>
      </c>
      <c r="BH120" s="294">
        <f>(((FMS_Ranking4[[#This Row],[Structures Removed Raw]]/AK$4)*100)*AK$5)+(((FMS_Ranking4[[#This Row],[Removed Pop Raw]]/AR$4)*100)*AR$5)</f>
        <v>0.70863627317718825</v>
      </c>
      <c r="BI12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1.3290280715497946</v>
      </c>
      <c r="BJ120" s="251">
        <f>_xlfn.RANK.EQ(FMS_Ranking4[[#This Row],[Total Score 
(with linear
normalization)]],FMS_Ranking4[Total Score 
(with linear
normalization)],0)</f>
        <v>629</v>
      </c>
      <c r="BK120" s="251" t="e">
        <f>_xlfn.XLOOKUP(FMS_Ranking4[[#This Row],[FMS ID]],#REF!,#REF!)</f>
        <v>#REF!</v>
      </c>
      <c r="BL12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35.628683604919438</v>
      </c>
      <c r="BM120" s="324">
        <f>FMS_Ranking4[[#This Row],[ArcSinh Score Based on Normalized Reported Factors]]+FMS_Ranking4[[#This Row],[% NBS Score (Normalized)]]+(FMS_Ranking4[[#This Row],[Water Supply Score (Normalized)]]*10*$BB$5)+FMS_Ranking4[[#This Row],[FMS_Type Score Weighted]]</f>
        <v>36.128683604919438</v>
      </c>
      <c r="BN120" s="251">
        <f>_xlfn.RANK.EQ(FMS_Ranking4[[#This Row],[Total Score (with ArcSinh normalization of select criteria)]],FMS_Ranking4[Total Score (with ArcSinh normalization of select criteria)],0)</f>
        <v>113</v>
      </c>
      <c r="BO120" s="270" t="str">
        <f>_xlfn.XLOOKUP(FMS_Ranking4[[#This Row],[FMS ID]],FMS_Input[FMS_ID],FMS_Input[FMS_RANK_YEAR])</f>
        <v>2023 Amended Plan</v>
      </c>
      <c r="BP120" s="204">
        <f>_xlfn.XLOOKUP(FMS_Ranking4[[#This Row],[FMS ID]],Prev_Rank[FMS ID],Prev_Rank[Prev Rank])</f>
        <v>107</v>
      </c>
      <c r="BQ120" s="251" t="e">
        <f>_xlfn.XLOOKUP(FMS_Ranking4[[#This Row],[FMS ID]],#REF!,#REF!)</f>
        <v>#REF!</v>
      </c>
      <c r="BR120" s="199" t="e">
        <f>SUM(#REF!,#REF!,#REF!,#REF!,#REF!,#REF!,#REF!,#REF!,#REF!,FMS_Ranking4[[#This Row],[ArcSinh Res struct removed 0-10]],#REF!)</f>
        <v>#REF!</v>
      </c>
      <c r="BS120" s="199" t="e">
        <f>FMS_Ranking4[[#This Row],[Log Score Based on Normalized Reported Factors]]+FMS_Ranking4[[#This Row],[% NBS Score (Normalized)]]+(FMS_Ranking4[[#This Row],[Water Supply Score (Normalized)]]*10*$BB$5)+(FMS_Ranking4[[#This Row],[FMS_Type Score Weighted]])</f>
        <v>#REF!</v>
      </c>
      <c r="BT120" s="200" t="e">
        <f>_xlfn.RANK.EQ(FMS_Ranking4[[#This Row],[Log Total Score]],FMS_Ranking4[Log Total Score],0)</f>
        <v>#REF!</v>
      </c>
      <c r="BU120" s="200" t="e">
        <f>_xlfn.XLOOKUP(FMS_Ranking4[[#This Row],[FMS ID]],#REF!,#REF!)</f>
        <v>#REF!</v>
      </c>
      <c r="BV120" s="200">
        <f>FMS_Ranking4[[#This Row],[Region Number]]</f>
        <v>9</v>
      </c>
      <c r="BW120" s="200">
        <f>FMS_Ranking4[[#This Row],[Rank (with ArcSinh normalization of select criteria)]]-FMS_Ranking4[[#This Row],[Rank
(with linear
normalization)]]</f>
        <v>-516</v>
      </c>
      <c r="BX120" s="200" t="e">
        <f>FMS_Ranking4[[#This Row],[Log Rank]]-FMS_Ranking4[[#This Row],[Rank
(with linear
normalization)]]</f>
        <v>#REF!</v>
      </c>
      <c r="BY120" s="200" t="str">
        <f>IF(FMS_Ranking4[[#This Row],[FMS Type]]="Flood Measurement and Warning",FMS_Ranking4[[#This Row],[Rank (with ArcSinh normalization of select criteria)]],"")</f>
        <v/>
      </c>
      <c r="BZ120" s="200" t="str">
        <f>IF(FMS_Ranking4[[#This Row],[FMS Type]]="Regulatory and Guidance",FMS_Ranking4[[#This Row],[Rank (with ArcSinh normalization of select criteria)]],"")</f>
        <v/>
      </c>
      <c r="CA120" s="200" t="str">
        <f>IF(FMS_Ranking4[[#This Row],[FMS Type]]="Education and Outreach",FMS_Ranking4[[#This Row],[Rank (with ArcSinh normalization of select criteria)]],"")</f>
        <v/>
      </c>
      <c r="CB120" s="200" t="str">
        <f>IF(FMS_Ranking4[[#This Row],[FMS Type]]="Property Acquisition and Structural Elevation",FMS_Ranking4[[#This Row],[Rank (with ArcSinh normalization of select criteria)]],"")</f>
        <v/>
      </c>
      <c r="CC120" s="200" t="str">
        <f>IF(FMS_Ranking4[[#This Row],[FMS Type]]="Infrastructure Projects",FMS_Ranking4[[#This Row],[Rank (with ArcSinh normalization of select criteria)]],"")</f>
        <v/>
      </c>
      <c r="CD120" s="200">
        <f>IF(FMS_Ranking4[[#This Row],[FMS Type]]="Other",FMS_Ranking4[[#This Row],[Rank (with ArcSinh normalization of select criteria)]],"")</f>
        <v>113</v>
      </c>
      <c r="CE120" s="201"/>
    </row>
    <row r="121" spans="2:83" ht="60" x14ac:dyDescent="0.25">
      <c r="B121" s="346" t="s">
        <v>156</v>
      </c>
      <c r="C121" s="246">
        <f>_xlfn.XLOOKUP(FMS_Ranking4[[#This Row],[FMS ID]],FMS_Input[FMS_ID],FMS_Input[RFPG_NUM])</f>
        <v>6</v>
      </c>
      <c r="D121" s="309" t="str">
        <f>_xlfn.XLOOKUP(FMS_Ranking4[[#This Row],[FMS ID]],FMS_Input[FMS_ID],FMS_Input[FMS_NAME])</f>
        <v xml:space="preserve">City of Galveston Floodplain Manager Increase </v>
      </c>
      <c r="E121" s="308" t="str">
        <f>_xlfn.XLOOKUP(FMS_Ranking4[[#This Row],[FMS ID]],FMS_Input[FMS_ID],FMS_Input[SPONSOR])</f>
        <v>06002809</v>
      </c>
      <c r="F121" s="309" t="str">
        <f>_xlfn.XLOOKUP(FMS_Ranking4[[#This Row],[FMS ID]],Sponsor[FMS_ID],Sponsor[SPONSOR NAME])</f>
        <v>Galveston</v>
      </c>
      <c r="G121" s="309" t="str">
        <f>_xlfn.XLOOKUP(FMS_Ranking4[[#This Row],[FMS ID]],FMS_Input[FMS_ID],FMS_Input[FMS_DESCR])</f>
        <v xml:space="preserve">Increase and maintain number of floodplain managers in the building division through training and certification. </v>
      </c>
      <c r="H121" s="248" t="str">
        <f>_xlfn.XLOOKUP(FMS_Ranking4[[#This Row],[FMS ID]],FMS_Input[FMS_ID],FMS_Input[FMS_TYPE])</f>
        <v>Regulatory and Guidance</v>
      </c>
      <c r="I121" s="249">
        <f>_xlfn.XLOOKUP(FMS_Ranking4[[#This Row],[FMS ID]],FMS_Input[FMS_ID],FMS_Input[NRNC_COST])</f>
        <v>500</v>
      </c>
      <c r="J121" s="250">
        <f>_xlfn.XLOOKUP(FMS_Ranking4[[#This Row],[FMS ID]],FMS_Input[FMS_ID],FMS_Input[FMS_COST])</f>
        <v>10000</v>
      </c>
      <c r="K121" s="251" t="str">
        <f>_xlfn.XLOOKUP(FMS_Ranking4[[#This Row],[FMS ID]],FMS_Input[FMS_ID],FMS_Input[EMER_NEED])</f>
        <v>No</v>
      </c>
      <c r="L121" s="252">
        <f t="shared" si="1"/>
        <v>0</v>
      </c>
      <c r="M121" s="253">
        <f>_xlfn.XLOOKUP(FMS_Ranking4[[#This Row],[FMS ID]],FMS_Input[FMS_ID],FMS_Input[STRUCT_100])</f>
        <v>21858</v>
      </c>
      <c r="N121" s="255">
        <f>(ASINH(FMS_Ranking4[[#This Row],[Structure at Risk Raw]]))*(10)/(ASINH(M$4))</f>
        <v>8.4003699830844756</v>
      </c>
      <c r="O121" s="256">
        <f>FMS_Ranking4[[#This Row],[Structures at risk, ArcSinh (0-10)]]*M$5*10</f>
        <v>8.4003699830844756</v>
      </c>
      <c r="P121" s="253">
        <f>_xlfn.XLOOKUP(FMS_Ranking4[[#This Row],[FMS ID]],FMS_Input[FMS_ID],FMS_Input[RES_STRUCT100])</f>
        <v>19143</v>
      </c>
      <c r="Q121" s="257">
        <f>ASINH(FMS_Ranking4[[#This Row],[Res Structure Raw]])/Q$4*P$5*100</f>
        <v>0</v>
      </c>
      <c r="R121" s="253">
        <f>_xlfn.XLOOKUP(FMS_Ranking4[[#This Row],[FMS ID]],FMS_Input[FMS_ID],FMS_Input[POP100])</f>
        <v>64300</v>
      </c>
      <c r="S121" s="255">
        <f>(ASINH(FMS_Ranking4[[#This Row],[Pop at Risk Raw]]))*(10)/(ASINH(R$4))</f>
        <v>8.1216930839560533</v>
      </c>
      <c r="T121" s="256">
        <f>FMS_Ranking4[[#This Row],[Population at risk, ArcSinh (0-10)]]*R$5*10</f>
        <v>8.1216930839560533</v>
      </c>
      <c r="U121" s="253">
        <f>_xlfn.XLOOKUP(FMS_Ranking4[[#This Row],[FMS ID]],FMS_Input[FMS_ID],FMS_Input[CRITFAC100])</f>
        <v>509</v>
      </c>
      <c r="V121" s="255">
        <f>(ASINH(FMS_Ranking4[[#This Row],[Critical Facilities Raw]]))*(10)/(ASINH(U$4))</f>
        <v>8.1982723759983021</v>
      </c>
      <c r="W121" s="256">
        <f>FMS_Ranking4[[#This Row],[Critical facilities at risk, ArcSinh (0-10)]]*U$5*10</f>
        <v>8.1982723759983021</v>
      </c>
      <c r="X121" s="253">
        <f>_xlfn.XLOOKUP(FMS_Ranking4[[#This Row],[FMS ID]],FMS_Input[FMS_ID],FMS_Input[LWC])</f>
        <v>0</v>
      </c>
      <c r="Y121" s="255">
        <f>(ASINH(FMS_Ranking4[[#This Row],[LWC Raw]]))*(10)/(ASINH(X$4))</f>
        <v>0</v>
      </c>
      <c r="Z121" s="256">
        <f>FMS_Ranking4[[#This Row],[LWC, ArcSInh (0-10)]]*X$5*10</f>
        <v>0</v>
      </c>
      <c r="AA121" s="253">
        <f>_xlfn.XLOOKUP(FMS_Ranking4[[#This Row],[FMS ID]],FMS_Input[FMS_ID],FMS_Input[ROADCLS])</f>
        <v>0</v>
      </c>
      <c r="AB121" s="255">
        <f>(ASINH(FMS_Ranking4[[#This Row],[Road Closures Raw]]))*(10)/(ASINH(AA$4))</f>
        <v>0</v>
      </c>
      <c r="AC121" s="256">
        <f>FMS_Ranking4[[#This Row],[Road closures, ArcSinh (0-10)]]*AA$5*10</f>
        <v>0</v>
      </c>
      <c r="AD121" s="253">
        <f>_xlfn.XLOOKUP(FMS_Ranking4[[#This Row],[FMS ID]],FMS_Input[FMS_ID],FMS_Input[ROAD_MILES100])</f>
        <v>409</v>
      </c>
      <c r="AE121" s="255">
        <f>(ASINH(FMS_Ranking4[[#This Row],[Road Miles Raw]]))*(10)/(ASINH(AD$4))</f>
        <v>7.1476716231087192</v>
      </c>
      <c r="AF121" s="256">
        <f>FMS_Ranking4[[#This Row],[Length of roads at risk, ArcSinh (0-10)]]*AD$5*10</f>
        <v>7.1476716231087201</v>
      </c>
      <c r="AG121" s="253">
        <f>_xlfn.XLOOKUP(FMS_Ranking4[[#This Row],[FMS ID]],FMS_Input[FMS_ID],FMS_Input[FARMACRE100])</f>
        <v>260.88226318359381</v>
      </c>
      <c r="AH121" s="255">
        <f>(ASINH(FMS_Ranking4[[#This Row],[Ag Land Raw]]))*(10)/(ASINH(AG$4))</f>
        <v>4.064574200682082</v>
      </c>
      <c r="AI121" s="260">
        <f>FMS_Ranking4[[#This Row],[Farm &amp; ranch land, ArcSinh (0-10)]]*AG$5*10</f>
        <v>2.032287100341041</v>
      </c>
      <c r="AJ121" s="258">
        <f>_xlfn.XLOOKUP(FMS_Ranking4[[#This Row],[FMS ID]],FMS_Input[FMS_ID],FMS_Input[REDSTRUCT100])</f>
        <v>0</v>
      </c>
      <c r="AK121" s="253">
        <f>_xlfn.XLOOKUP(FMS_Ranking4[[#This Row],[FMS ID]],FMS_Input[FMS_ID],FMS_Input[REMSTRC100])</f>
        <v>0</v>
      </c>
      <c r="AL121" s="255">
        <f>(ASINH(FMS_Ranking4[[#This Row],[Structures Removed Raw]]))*(10)/(ASINH(AK$4))</f>
        <v>0</v>
      </c>
      <c r="AM121" s="262">
        <f>FMS_Ranking4[[#This Row],[Structures removed, ArcSinh (0-10)]]*AK$5*10</f>
        <v>0</v>
      </c>
      <c r="AN121" s="253">
        <f>_xlfn.XLOOKUP(FMS_Ranking4[[#This Row],[FMS ID]],FMS_Input[FMS_ID],FMS_Input[REMRESSTRC100])</f>
        <v>0</v>
      </c>
      <c r="AO121" s="261">
        <f>FMS_Ranking4[[#This Row],[ArcSinh Res struct removed 0-10]]*AN$5*10</f>
        <v>0</v>
      </c>
      <c r="AP121" s="260">
        <f>ASINH(FMS_Ranking4[[#This Row],[Residential Structures Removed Raw]])/AP$4*AN$5*100</f>
        <v>0</v>
      </c>
      <c r="AQ121" s="258">
        <f>(ASINH(FMS_Ranking4[[#This Row],[Residential Structures Removed Raw]]))*(10)/(ASINH(AN$4))</f>
        <v>0</v>
      </c>
      <c r="AR121" s="253">
        <f>_xlfn.XLOOKUP(FMS_Ranking4[[#This Row],[FMS ID]],FMS_Input[FMS_ID],FMS_Input[REMPOP100])</f>
        <v>0</v>
      </c>
      <c r="AS121" s="255">
        <f>(ASINH(FMS_Ranking4[[#This Row],[Removed Pop Raw]]))*(10)/(ASINH(AR$4))</f>
        <v>0</v>
      </c>
      <c r="AT121" s="262">
        <f>FMS_Ranking4[[#This Row],[Removed population, ArcSinh (0-10)]]*AR$5*10</f>
        <v>0</v>
      </c>
      <c r="AU121" s="264">
        <f>_xlfn.XLOOKUP(FMS_Ranking4[[#This Row],[FMS ID]],FMS_Input[FMS_ID],FMS_Input[REMCRITFAC100])</f>
        <v>0</v>
      </c>
      <c r="AV121" s="264">
        <f>_xlfn.XLOOKUP(FMS_Ranking4[[#This Row],[FMS ID]],FMS_Input[FMS_ID],FMS_Input[REMLWC100])</f>
        <v>0</v>
      </c>
      <c r="AW121" s="264">
        <f>_xlfn.XLOOKUP(FMS_Ranking4[[#This Row],[FMS ID]],FMS_Input[FMS_ID],FMS_Input[REMROADCLS])</f>
        <v>0</v>
      </c>
      <c r="AX121" s="264">
        <f>_xlfn.XLOOKUP(FMS_Ranking4[[#This Row],[FMS ID]],FMS_Input[FMS_ID],FMS_Input[REMFRMACRE100])</f>
        <v>0</v>
      </c>
      <c r="AY121" s="258">
        <f>_xlfn.XLOOKUP(FMS_Ranking4[[#This Row],[FMS ID]],FMS_Input[FMS_ID],FMS_Input[COSTSTRUCT])</f>
        <v>0</v>
      </c>
      <c r="AZ121" s="253">
        <f>_xlfn.XLOOKUP(FMS_Ranking4[[#This Row],[FMS ID]],FMS_Input[FMS_ID],FMS_Input[NATURE])</f>
        <v>0</v>
      </c>
      <c r="BA121" s="262">
        <f>(((FMS_Ranking4[[#This Row],[% NBS Raw]]/AZ$4)*100)*AZ$5)</f>
        <v>0</v>
      </c>
      <c r="BB121" s="251" t="str">
        <f>_xlfn.XLOOKUP(FMS_Ranking4[[#This Row],[FMS ID]],FMS_Input[FMS_ID],FMS_Input[WATER_SUP])</f>
        <v>No</v>
      </c>
      <c r="BC121" s="265">
        <f>IF(FMS_Ranking4[[#This Row],[Water Supply Raw]]="Yes",10,0)</f>
        <v>0</v>
      </c>
      <c r="BD121" s="266">
        <f>_xlfn.XLOOKUP(FMS_Ranking4[[#This Row],[FMS Type]],FMS_TYPE[FMS_Type],FMS_TYPE[Score])</f>
        <v>8</v>
      </c>
      <c r="BE121" s="267">
        <f>FMS_Ranking4[[#This Row],[FMS_Type Score]]*$BD$5*10</f>
        <v>2</v>
      </c>
      <c r="BF12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4.8366511144170863</v>
      </c>
      <c r="BG121" s="293">
        <f>_xlfn.RANK.EQ(BF121,$BF$8:$BF$870,0)+COUNTIF($BF$8:BF121,BF121)-1</f>
        <v>63</v>
      </c>
      <c r="BH121" s="294">
        <f>(((FMS_Ranking4[[#This Row],[Structures Removed Raw]]/AK$4)*100)*AK$5)+(((FMS_Ranking4[[#This Row],[Removed Pop Raw]]/AR$4)*100)*AR$5)</f>
        <v>0</v>
      </c>
      <c r="BI12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6.8366511144170863</v>
      </c>
      <c r="BJ121" s="251">
        <f>_xlfn.RANK.EQ(FMS_Ranking4[[#This Row],[Total Score 
(with linear
normalization)]],FMS_Ranking4[Total Score 
(with linear
normalization)],0)</f>
        <v>95</v>
      </c>
      <c r="BK121" s="251" t="e">
        <f>_xlfn.XLOOKUP(FMS_Ranking4[[#This Row],[FMS ID]],#REF!,#REF!)</f>
        <v>#REF!</v>
      </c>
      <c r="BL12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33.900294166488592</v>
      </c>
      <c r="BM121" s="324">
        <f>FMS_Ranking4[[#This Row],[ArcSinh Score Based on Normalized Reported Factors]]+FMS_Ranking4[[#This Row],[% NBS Score (Normalized)]]+(FMS_Ranking4[[#This Row],[Water Supply Score (Normalized)]]*10*$BB$5)+FMS_Ranking4[[#This Row],[FMS_Type Score Weighted]]</f>
        <v>35.900294166488592</v>
      </c>
      <c r="BN121" s="251">
        <f>_xlfn.RANK.EQ(FMS_Ranking4[[#This Row],[Total Score (with ArcSinh normalization of select criteria)]],FMS_Ranking4[Total Score (with ArcSinh normalization of select criteria)],0)</f>
        <v>114</v>
      </c>
      <c r="BO121" s="270" t="str">
        <f>_xlfn.XLOOKUP(FMS_Ranking4[[#This Row],[FMS ID]],FMS_Input[FMS_ID],FMS_Input[FMS_RANK_YEAR])</f>
        <v>2023 Amended Plan</v>
      </c>
      <c r="BP121" s="324">
        <f>_xlfn.XLOOKUP(FMS_Ranking4[[#This Row],[FMS ID]],Prev_Rank[FMS ID],Prev_Rank[Prev Rank])</f>
        <v>96</v>
      </c>
      <c r="BQ121" s="251" t="e">
        <f>_xlfn.XLOOKUP(FMS_Ranking4[[#This Row],[FMS ID]],#REF!,#REF!)</f>
        <v>#REF!</v>
      </c>
      <c r="BR121" s="199" t="e">
        <f>SUM(#REF!,#REF!,#REF!,#REF!,#REF!,#REF!,#REF!,#REF!,#REF!,FMS_Ranking4[[#This Row],[ArcSinh Res struct removed 0-10]],#REF!)</f>
        <v>#REF!</v>
      </c>
      <c r="BS121" s="199" t="e">
        <f>FMS_Ranking4[[#This Row],[Log Score Based on Normalized Reported Factors]]+FMS_Ranking4[[#This Row],[% NBS Score (Normalized)]]+(FMS_Ranking4[[#This Row],[Water Supply Score (Normalized)]]*10*$BB$5)+(FMS_Ranking4[[#This Row],[FMS_Type Score Weighted]])</f>
        <v>#REF!</v>
      </c>
      <c r="BT121" s="200" t="e">
        <f>_xlfn.RANK.EQ(FMS_Ranking4[[#This Row],[Log Total Score]],FMS_Ranking4[Log Total Score],0)</f>
        <v>#REF!</v>
      </c>
      <c r="BU121" s="200" t="e">
        <f>_xlfn.XLOOKUP(FMS_Ranking4[[#This Row],[FMS ID]],#REF!,#REF!)</f>
        <v>#REF!</v>
      </c>
      <c r="BV121" s="200">
        <f>FMS_Ranking4[[#This Row],[Region Number]]</f>
        <v>6</v>
      </c>
      <c r="BW121" s="200">
        <f>FMS_Ranking4[[#This Row],[Rank (with ArcSinh normalization of select criteria)]]-FMS_Ranking4[[#This Row],[Rank
(with linear
normalization)]]</f>
        <v>19</v>
      </c>
      <c r="BX121" s="200" t="e">
        <f>FMS_Ranking4[[#This Row],[Log Rank]]-FMS_Ranking4[[#This Row],[Rank
(with linear
normalization)]]</f>
        <v>#REF!</v>
      </c>
      <c r="BY121" s="200" t="str">
        <f>IF(FMS_Ranking4[[#This Row],[FMS Type]]="Flood Measurement and Warning",FMS_Ranking4[[#This Row],[Rank (with ArcSinh normalization of select criteria)]],"")</f>
        <v/>
      </c>
      <c r="BZ121" s="200">
        <f>IF(FMS_Ranking4[[#This Row],[FMS Type]]="Regulatory and Guidance",FMS_Ranking4[[#This Row],[Rank (with ArcSinh normalization of select criteria)]],"")</f>
        <v>114</v>
      </c>
      <c r="CA121" s="200" t="str">
        <f>IF(FMS_Ranking4[[#This Row],[FMS Type]]="Education and Outreach",FMS_Ranking4[[#This Row],[Rank (with ArcSinh normalization of select criteria)]],"")</f>
        <v/>
      </c>
      <c r="CB121" s="200" t="str">
        <f>IF(FMS_Ranking4[[#This Row],[FMS Type]]="Property Acquisition and Structural Elevation",FMS_Ranking4[[#This Row],[Rank (with ArcSinh normalization of select criteria)]],"")</f>
        <v/>
      </c>
      <c r="CC121" s="200" t="str">
        <f>IF(FMS_Ranking4[[#This Row],[FMS Type]]="Infrastructure Projects",FMS_Ranking4[[#This Row],[Rank (with ArcSinh normalization of select criteria)]],"")</f>
        <v/>
      </c>
      <c r="CD121" s="200" t="str">
        <f>IF(FMS_Ranking4[[#This Row],[FMS Type]]="Other",FMS_Ranking4[[#This Row],[Rank (with ArcSinh normalization of select criteria)]],"")</f>
        <v/>
      </c>
      <c r="CE121" s="201"/>
    </row>
    <row r="122" spans="2:83" ht="75" x14ac:dyDescent="0.25">
      <c r="B122" s="341" t="s">
        <v>3050</v>
      </c>
      <c r="C122" s="246">
        <f>_xlfn.XLOOKUP(FMS_Ranking4[[#This Row],[FMS ID]],FMS_Input[FMS_ID],FMS_Input[RFPG_NUM])</f>
        <v>7</v>
      </c>
      <c r="D122" s="309" t="str">
        <f>_xlfn.XLOOKUP(FMS_Ranking4[[#This Row],[FMS ID]],FMS_Input[FMS_ID],FMS_Input[FMS_NAME])</f>
        <v>City of Abilene Turn Around, Don't Drown</v>
      </c>
      <c r="E122" s="308" t="str">
        <f>_xlfn.XLOOKUP(FMS_Ranking4[[#This Row],[FMS ID]],FMS_Input[FMS_ID],FMS_Input[SPONSOR])</f>
        <v>07002425</v>
      </c>
      <c r="F122" s="309" t="str">
        <f>_xlfn.XLOOKUP(FMS_Ranking4[[#This Row],[FMS ID]],Sponsor[FMS_ID],Sponsor[SPONSOR NAME])</f>
        <v>Abilene</v>
      </c>
      <c r="G122" s="309" t="str">
        <f>_xlfn.XLOOKUP(FMS_Ranking4[[#This Row],[FMS ID]],FMS_Input[FMS_ID],FMS_Input[FMS_DESCR])</f>
        <v>Encourage annual public outreach and education activities to improve awareness of flood hazards using Turn Around, Don't Drown program</v>
      </c>
      <c r="H122" s="248" t="str">
        <f>_xlfn.XLOOKUP(FMS_Ranking4[[#This Row],[FMS ID]],FMS_Input[FMS_ID],FMS_Input[FMS_TYPE])</f>
        <v>Education and Outreach</v>
      </c>
      <c r="I122" s="249">
        <f>_xlfn.XLOOKUP(FMS_Ranking4[[#This Row],[FMS ID]],FMS_Input[FMS_ID],FMS_Input[NRNC_COST])</f>
        <v>50000</v>
      </c>
      <c r="J122" s="250">
        <f>_xlfn.XLOOKUP(FMS_Ranking4[[#This Row],[FMS ID]],FMS_Input[FMS_ID],FMS_Input[FMS_COST])</f>
        <v>50000</v>
      </c>
      <c r="K122" s="251" t="str">
        <f>_xlfn.XLOOKUP(FMS_Ranking4[[#This Row],[FMS ID]],FMS_Input[FMS_ID],FMS_Input[EMER_NEED])</f>
        <v>No</v>
      </c>
      <c r="L122" s="252">
        <f t="shared" si="1"/>
        <v>0</v>
      </c>
      <c r="M122" s="253">
        <f>_xlfn.XLOOKUP(FMS_Ranking4[[#This Row],[FMS ID]],FMS_Input[FMS_ID],FMS_Input[STRUCT_100])</f>
        <v>10861</v>
      </c>
      <c r="N122" s="255">
        <f>(ASINH(FMS_Ranking4[[#This Row],[Structure at Risk Raw]]))*(10)/(ASINH(M$4))</f>
        <v>7.8505464134657101</v>
      </c>
      <c r="O122" s="256">
        <f>FMS_Ranking4[[#This Row],[Structures at risk, ArcSinh (0-10)]]*M$5*10</f>
        <v>7.850546413465711</v>
      </c>
      <c r="P122" s="253">
        <f>_xlfn.XLOOKUP(FMS_Ranking4[[#This Row],[FMS ID]],FMS_Input[FMS_ID],FMS_Input[RES_STRUCT100])</f>
        <v>9399</v>
      </c>
      <c r="Q122" s="257">
        <f>ASINH(FMS_Ranking4[[#This Row],[Res Structure Raw]])/Q$4*P$5*100</f>
        <v>0</v>
      </c>
      <c r="R122" s="253">
        <f>_xlfn.XLOOKUP(FMS_Ranking4[[#This Row],[FMS ID]],FMS_Input[FMS_ID],FMS_Input[POP100])</f>
        <v>25333</v>
      </c>
      <c r="S122" s="259">
        <f>(ASINH(FMS_Ranking4[[#This Row],[Pop at Risk Raw]]))*(10)/(ASINH(R$4))</f>
        <v>7.4786577225201603</v>
      </c>
      <c r="T122" s="256">
        <f>FMS_Ranking4[[#This Row],[Population at risk, ArcSinh (0-10)]]*R$5*10</f>
        <v>7.4786577225201611</v>
      </c>
      <c r="U122" s="253">
        <f>_xlfn.XLOOKUP(FMS_Ranking4[[#This Row],[FMS ID]],FMS_Input[FMS_ID],FMS_Input[CRITFAC100])</f>
        <v>10</v>
      </c>
      <c r="V122" s="259">
        <f>(ASINH(FMS_Ranking4[[#This Row],[Critical Facilities Raw]]))*(10)/(ASINH(U$4))</f>
        <v>3.5491888084919516</v>
      </c>
      <c r="W122" s="256">
        <f>FMS_Ranking4[[#This Row],[Critical facilities at risk, ArcSinh (0-10)]]*U$5*10</f>
        <v>3.5491888084919521</v>
      </c>
      <c r="X122" s="253">
        <f>_xlfn.XLOOKUP(FMS_Ranking4[[#This Row],[FMS ID]],FMS_Input[FMS_ID],FMS_Input[LWC])</f>
        <v>58</v>
      </c>
      <c r="Y122" s="259">
        <f>(ASINH(FMS_Ranking4[[#This Row],[LWC Raw]]))*(10)/(ASINH(X$4))</f>
        <v>6.4399688808129563</v>
      </c>
      <c r="Z122" s="256">
        <f>FMS_Ranking4[[#This Row],[LWC, ArcSInh (0-10)]]*X$5*10</f>
        <v>6.4399688808129563</v>
      </c>
      <c r="AA122" s="253">
        <f>_xlfn.XLOOKUP(FMS_Ranking4[[#This Row],[FMS ID]],FMS_Input[FMS_ID],FMS_Input[ROADCLS])</f>
        <v>0</v>
      </c>
      <c r="AB122" s="255">
        <f>(ASINH(FMS_Ranking4[[#This Row],[Road Closures Raw]]))*(10)/(ASINH(AA$4))</f>
        <v>0</v>
      </c>
      <c r="AC122" s="256">
        <f>FMS_Ranking4[[#This Row],[Road closures, ArcSinh (0-10)]]*AA$5*10</f>
        <v>0</v>
      </c>
      <c r="AD122" s="253">
        <f>_xlfn.XLOOKUP(FMS_Ranking4[[#This Row],[FMS ID]],FMS_Input[FMS_ID],FMS_Input[ROAD_MILES100])</f>
        <v>218</v>
      </c>
      <c r="AE122" s="259">
        <f>(ASINH(FMS_Ranking4[[#This Row],[Road Miles Raw]]))*(10)/(ASINH(AD$4))</f>
        <v>6.4771001308904923</v>
      </c>
      <c r="AF122" s="256">
        <f>FMS_Ranking4[[#This Row],[Length of roads at risk, ArcSinh (0-10)]]*AD$5*10</f>
        <v>6.4771001308904932</v>
      </c>
      <c r="AG122" s="253">
        <f>_xlfn.XLOOKUP(FMS_Ranking4[[#This Row],[FMS ID]],FMS_Input[FMS_ID],FMS_Input[FARMACRE100])</f>
        <v>1234.783569335938</v>
      </c>
      <c r="AH122" s="255">
        <f>(ASINH(FMS_Ranking4[[#This Row],[Ag Land Raw]]))*(10)/(ASINH(AG$4))</f>
        <v>5.0743994376720414</v>
      </c>
      <c r="AI122" s="260">
        <f>FMS_Ranking4[[#This Row],[Farm &amp; ranch land, ArcSinh (0-10)]]*AG$5*10</f>
        <v>2.5371997188360207</v>
      </c>
      <c r="AJ122" s="258">
        <f>_xlfn.XLOOKUP(FMS_Ranking4[[#This Row],[FMS ID]],FMS_Input[FMS_ID],FMS_Input[REDSTRUCT100])</f>
        <v>0</v>
      </c>
      <c r="AK122" s="253">
        <f>_xlfn.XLOOKUP(FMS_Ranking4[[#This Row],[FMS ID]],FMS_Input[FMS_ID],FMS_Input[REMSTRC100])</f>
        <v>0</v>
      </c>
      <c r="AL122" s="259">
        <f>(ASINH(FMS_Ranking4[[#This Row],[Structures Removed Raw]]))*(10)/(ASINH(AK$4))</f>
        <v>0</v>
      </c>
      <c r="AM122" s="262">
        <f>FMS_Ranking4[[#This Row],[Structures removed, ArcSinh (0-10)]]*AK$5*10</f>
        <v>0</v>
      </c>
      <c r="AN122" s="253">
        <f>_xlfn.XLOOKUP(FMS_Ranking4[[#This Row],[FMS ID]],FMS_Input[FMS_ID],FMS_Input[REMRESSTRC100])</f>
        <v>0</v>
      </c>
      <c r="AO122" s="261">
        <f>FMS_Ranking4[[#This Row],[ArcSinh Res struct removed 0-10]]*AN$5*10</f>
        <v>0</v>
      </c>
      <c r="AP122" s="260">
        <f>ASINH(FMS_Ranking4[[#This Row],[Residential Structures Removed Raw]])/AP$4*AN$5*100</f>
        <v>0</v>
      </c>
      <c r="AQ122" s="254">
        <f>(ASINH(FMS_Ranking4[[#This Row],[Residential Structures Removed Raw]]))*(10)/(ASINH(AN$4))</f>
        <v>0</v>
      </c>
      <c r="AR122" s="253">
        <f>_xlfn.XLOOKUP(FMS_Ranking4[[#This Row],[FMS ID]],FMS_Input[FMS_ID],FMS_Input[REMPOP100])</f>
        <v>0</v>
      </c>
      <c r="AS122" s="259">
        <f>(ASINH(FMS_Ranking4[[#This Row],[Removed Pop Raw]]))*(10)/(ASINH(AR$4))</f>
        <v>0</v>
      </c>
      <c r="AT122" s="262">
        <f>FMS_Ranking4[[#This Row],[Removed population, ArcSinh (0-10)]]*AR$5*10</f>
        <v>0</v>
      </c>
      <c r="AU122" s="264">
        <f>_xlfn.XLOOKUP(FMS_Ranking4[[#This Row],[FMS ID]],FMS_Input[FMS_ID],FMS_Input[REMCRITFAC100])</f>
        <v>0</v>
      </c>
      <c r="AV122" s="264">
        <f>_xlfn.XLOOKUP(FMS_Ranking4[[#This Row],[FMS ID]],FMS_Input[FMS_ID],FMS_Input[REMLWC100])</f>
        <v>0</v>
      </c>
      <c r="AW122" s="264">
        <f>_xlfn.XLOOKUP(FMS_Ranking4[[#This Row],[FMS ID]],FMS_Input[FMS_ID],FMS_Input[REMROADCLS])</f>
        <v>0</v>
      </c>
      <c r="AX122" s="264">
        <f>_xlfn.XLOOKUP(FMS_Ranking4[[#This Row],[FMS ID]],FMS_Input[FMS_ID],FMS_Input[REMFRMACRE100])</f>
        <v>0</v>
      </c>
      <c r="AY122" s="258">
        <f>_xlfn.XLOOKUP(FMS_Ranking4[[#This Row],[FMS ID]],FMS_Input[FMS_ID],FMS_Input[COSTSTRUCT])</f>
        <v>0</v>
      </c>
      <c r="AZ122" s="253">
        <f>_xlfn.XLOOKUP(FMS_Ranking4[[#This Row],[FMS ID]],FMS_Input[FMS_ID],FMS_Input[NATURE])</f>
        <v>0</v>
      </c>
      <c r="BA122" s="262">
        <f>(((FMS_Ranking4[[#This Row],[% NBS Raw]]/AZ$4)*100)*AZ$5)</f>
        <v>0</v>
      </c>
      <c r="BB122" s="251" t="str">
        <f>_xlfn.XLOOKUP(FMS_Ranking4[[#This Row],[FMS ID]],FMS_Input[FMS_ID],FMS_Input[WATER_SUP])</f>
        <v>No</v>
      </c>
      <c r="BC122" s="265">
        <f>IF(FMS_Ranking4[[#This Row],[Water Supply Raw]]="Yes",10,0)</f>
        <v>0</v>
      </c>
      <c r="BD122" s="266">
        <f>_xlfn.XLOOKUP(FMS_Ranking4[[#This Row],[FMS Type]],FMS_TYPE[FMS_Type],FMS_TYPE[Score])</f>
        <v>6</v>
      </c>
      <c r="BE122" s="267">
        <f>FMS_Ranking4[[#This Row],[FMS_Type Score]]*$BD$5*10</f>
        <v>1.5000000000000002</v>
      </c>
      <c r="BF12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2.0432975091343701</v>
      </c>
      <c r="BG122" s="271">
        <f>_xlfn.RANK.EQ(BF122,$BF$8:$BF$870,0)+COUNTIF($BF$8:BF122,BF122)-1</f>
        <v>101</v>
      </c>
      <c r="BH122" s="268">
        <f>(((FMS_Ranking4[[#This Row],[Structures Removed Raw]]/AK$4)*100)*AK$5)+(((FMS_Ranking4[[#This Row],[Removed Pop Raw]]/AR$4)*100)*AR$5)</f>
        <v>0</v>
      </c>
      <c r="BI12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3.5432975091343701</v>
      </c>
      <c r="BJ122" s="205">
        <f>_xlfn.RANK.EQ(FMS_Ranking4[[#This Row],[Total Score 
(with linear
normalization)]],FMS_Ranking4[Total Score 
(with linear
normalization)],0)</f>
        <v>146</v>
      </c>
      <c r="BK122" s="205" t="e">
        <f>_xlfn.XLOOKUP(FMS_Ranking4[[#This Row],[FMS ID]],#REF!,#REF!)</f>
        <v>#REF!</v>
      </c>
      <c r="BL12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34.332661675017292</v>
      </c>
      <c r="BM122" s="272">
        <f>FMS_Ranking4[[#This Row],[ArcSinh Score Based on Normalized Reported Factors]]+FMS_Ranking4[[#This Row],[% NBS Score (Normalized)]]+(FMS_Ranking4[[#This Row],[Water Supply Score (Normalized)]]*10*$BB$5)+FMS_Ranking4[[#This Row],[FMS_Type Score Weighted]]</f>
        <v>35.832661675017292</v>
      </c>
      <c r="BN122" s="205">
        <f>_xlfn.RANK.EQ(FMS_Ranking4[[#This Row],[Total Score (with ArcSinh normalization of select criteria)]],FMS_Ranking4[Total Score (with ArcSinh normalization of select criteria)],0)</f>
        <v>115</v>
      </c>
      <c r="BO122" s="270" t="str">
        <f>_xlfn.XLOOKUP(FMS_Ranking4[[#This Row],[FMS ID]],FMS_Input[FMS_ID],FMS_Input[FMS_RANK_YEAR])</f>
        <v>2023 Amended Plan</v>
      </c>
      <c r="BP122" s="204">
        <f>_xlfn.XLOOKUP(FMS_Ranking4[[#This Row],[FMS ID]],Prev_Rank[FMS ID],Prev_Rank[Prev Rank])</f>
        <v>99</v>
      </c>
      <c r="BQ122" s="205" t="e">
        <f>_xlfn.XLOOKUP(FMS_Ranking4[[#This Row],[FMS ID]],#REF!,#REF!)</f>
        <v>#REF!</v>
      </c>
      <c r="BR122" s="199" t="e">
        <f>SUM(#REF!,#REF!,#REF!,#REF!,#REF!,#REF!,#REF!,#REF!,#REF!,FMS_Ranking4[[#This Row],[ArcSinh Res struct removed 0-10]],#REF!)</f>
        <v>#REF!</v>
      </c>
      <c r="BS122" s="199" t="e">
        <f>FMS_Ranking4[[#This Row],[Log Score Based on Normalized Reported Factors]]+FMS_Ranking4[[#This Row],[% NBS Score (Normalized)]]+(FMS_Ranking4[[#This Row],[Water Supply Score (Normalized)]]*10*$BB$5)+(FMS_Ranking4[[#This Row],[FMS_Type Score Weighted]])</f>
        <v>#REF!</v>
      </c>
      <c r="BT122" s="200" t="e">
        <f>_xlfn.RANK.EQ(FMS_Ranking4[[#This Row],[Log Total Score]],FMS_Ranking4[Log Total Score],0)</f>
        <v>#REF!</v>
      </c>
      <c r="BU122" s="200" t="e">
        <f>_xlfn.XLOOKUP(FMS_Ranking4[[#This Row],[FMS ID]],#REF!,#REF!)</f>
        <v>#REF!</v>
      </c>
      <c r="BV122" s="200">
        <f>FMS_Ranking4[[#This Row],[Region Number]]</f>
        <v>7</v>
      </c>
      <c r="BW122" s="200">
        <f>FMS_Ranking4[[#This Row],[Rank (with ArcSinh normalization of select criteria)]]-FMS_Ranking4[[#This Row],[Rank
(with linear
normalization)]]</f>
        <v>-31</v>
      </c>
      <c r="BX122" s="200" t="e">
        <f>FMS_Ranking4[[#This Row],[Log Rank]]-FMS_Ranking4[[#This Row],[Rank
(with linear
normalization)]]</f>
        <v>#REF!</v>
      </c>
      <c r="BY122" s="200" t="str">
        <f>IF(FMS_Ranking4[[#This Row],[FMS Type]]="Flood Measurement and Warning",FMS_Ranking4[[#This Row],[Rank (with ArcSinh normalization of select criteria)]],"")</f>
        <v/>
      </c>
      <c r="BZ122" s="200" t="str">
        <f>IF(FMS_Ranking4[[#This Row],[FMS Type]]="Regulatory and Guidance",FMS_Ranking4[[#This Row],[Rank (with ArcSinh normalization of select criteria)]],"")</f>
        <v/>
      </c>
      <c r="CA122" s="200">
        <f>IF(FMS_Ranking4[[#This Row],[FMS Type]]="Education and Outreach",FMS_Ranking4[[#This Row],[Rank (with ArcSinh normalization of select criteria)]],"")</f>
        <v>115</v>
      </c>
      <c r="CB122" s="200" t="str">
        <f>IF(FMS_Ranking4[[#This Row],[FMS Type]]="Property Acquisition and Structural Elevation",FMS_Ranking4[[#This Row],[Rank (with ArcSinh normalization of select criteria)]],"")</f>
        <v/>
      </c>
      <c r="CC122" s="200" t="str">
        <f>IF(FMS_Ranking4[[#This Row],[FMS Type]]="Infrastructure Projects",FMS_Ranking4[[#This Row],[Rank (with ArcSinh normalization of select criteria)]],"")</f>
        <v/>
      </c>
      <c r="CD122" s="200" t="str">
        <f>IF(FMS_Ranking4[[#This Row],[FMS Type]]="Other",FMS_Ranking4[[#This Row],[Rank (with ArcSinh normalization of select criteria)]],"")</f>
        <v/>
      </c>
      <c r="CE122" s="201"/>
    </row>
    <row r="123" spans="2:83" ht="75" x14ac:dyDescent="0.25">
      <c r="B123" s="341" t="s">
        <v>1863</v>
      </c>
      <c r="C123" s="246">
        <f>_xlfn.XLOOKUP(FMS_Ranking4[[#This Row],[FMS ID]],FMS_Input[FMS_ID],FMS_Input[RFPG_NUM])</f>
        <v>3</v>
      </c>
      <c r="D123" s="309" t="str">
        <f>_xlfn.XLOOKUP(FMS_Ranking4[[#This Row],[FMS ID]],FMS_Input[FMS_ID],FMS_Input[FMS_NAME])</f>
        <v>Addition of Low Water Crossing Signs and Gates - City of Irving</v>
      </c>
      <c r="E123" s="308" t="str">
        <f>_xlfn.XLOOKUP(FMS_Ranking4[[#This Row],[FMS ID]],FMS_Input[FMS_ID],FMS_Input[SPONSOR])</f>
        <v>Irving</v>
      </c>
      <c r="F123" s="309" t="str">
        <f>_xlfn.XLOOKUP(FMS_Ranking4[[#This Row],[FMS ID]],Sponsor[FMS_ID],Sponsor[SPONSOR NAME])</f>
        <v>Irving</v>
      </c>
      <c r="G123" s="309" t="str">
        <f>_xlfn.XLOOKUP(FMS_Ranking4[[#This Row],[FMS ID]],FMS_Input[FMS_ID],FMS_Input[FMS_DESCR])</f>
        <v>Identify and add low water crossing signs and gates to low water crossing areas as described in The Road to The Future Report.</v>
      </c>
      <c r="H123" s="248" t="str">
        <f>_xlfn.XLOOKUP(FMS_Ranking4[[#This Row],[FMS ID]],FMS_Input[FMS_ID],FMS_Input[FMS_TYPE])</f>
        <v>Flood Measurement and Warning</v>
      </c>
      <c r="I123" s="249">
        <f>_xlfn.XLOOKUP(FMS_Ranking4[[#This Row],[FMS ID]],FMS_Input[FMS_ID],FMS_Input[NRNC_COST])</f>
        <v>25000</v>
      </c>
      <c r="J123" s="250">
        <f>_xlfn.XLOOKUP(FMS_Ranking4[[#This Row],[FMS ID]],FMS_Input[FMS_ID],FMS_Input[FMS_COST])</f>
        <v>250000</v>
      </c>
      <c r="K123" s="251" t="str">
        <f>_xlfn.XLOOKUP(FMS_Ranking4[[#This Row],[FMS ID]],FMS_Input[FMS_ID],FMS_Input[EMER_NEED])</f>
        <v>No</v>
      </c>
      <c r="L123" s="252">
        <f t="shared" si="1"/>
        <v>0</v>
      </c>
      <c r="M123" s="253">
        <f>_xlfn.XLOOKUP(FMS_Ranking4[[#This Row],[FMS ID]],FMS_Input[FMS_ID],FMS_Input[STRUCT_100])</f>
        <v>4589</v>
      </c>
      <c r="N123" s="255">
        <f>(ASINH(FMS_Ranking4[[#This Row],[Structure at Risk Raw]]))*(10)/(ASINH(M$4))</f>
        <v>7.173266369791893</v>
      </c>
      <c r="O123" s="256">
        <f>FMS_Ranking4[[#This Row],[Structures at risk, ArcSinh (0-10)]]*M$5*10</f>
        <v>7.173266369791893</v>
      </c>
      <c r="P123" s="253">
        <f>_xlfn.XLOOKUP(FMS_Ranking4[[#This Row],[FMS ID]],FMS_Input[FMS_ID],FMS_Input[RES_STRUCT100])</f>
        <v>4495</v>
      </c>
      <c r="Q123" s="257">
        <f>ASINH(FMS_Ranking4[[#This Row],[Res Structure Raw]])/Q$4*P$5*100</f>
        <v>0</v>
      </c>
      <c r="R123" s="253">
        <f>_xlfn.XLOOKUP(FMS_Ranking4[[#This Row],[FMS ID]],FMS_Input[FMS_ID],FMS_Input[POP100])</f>
        <v>26784</v>
      </c>
      <c r="S123" s="255">
        <f>(ASINH(FMS_Ranking4[[#This Row],[Pop at Risk Raw]]))*(10)/(ASINH(R$4))</f>
        <v>7.5171084665469241</v>
      </c>
      <c r="T123" s="256">
        <f>FMS_Ranking4[[#This Row],[Population at risk, ArcSinh (0-10)]]*R$5*10</f>
        <v>7.5171084665469241</v>
      </c>
      <c r="U123" s="253">
        <f>_xlfn.XLOOKUP(FMS_Ranking4[[#This Row],[FMS ID]],FMS_Input[FMS_ID],FMS_Input[CRITFAC100])</f>
        <v>31</v>
      </c>
      <c r="V123" s="255">
        <f>(ASINH(FMS_Ranking4[[#This Row],[Critical Facilities Raw]]))*(10)/(ASINH(U$4))</f>
        <v>4.8858615117822186</v>
      </c>
      <c r="W123" s="256">
        <f>FMS_Ranking4[[#This Row],[Critical facilities at risk, ArcSinh (0-10)]]*U$5*10</f>
        <v>4.8858615117822186</v>
      </c>
      <c r="X123" s="253">
        <f>_xlfn.XLOOKUP(FMS_Ranking4[[#This Row],[FMS ID]],FMS_Input[FMS_ID],FMS_Input[LWC])</f>
        <v>29</v>
      </c>
      <c r="Y123" s="255">
        <f>(ASINH(FMS_Ranking4[[#This Row],[LWC Raw]]))*(10)/(ASINH(X$4))</f>
        <v>5.5012380786317285</v>
      </c>
      <c r="Z123" s="256">
        <f>FMS_Ranking4[[#This Row],[LWC, ArcSInh (0-10)]]*X$5*10</f>
        <v>5.5012380786317285</v>
      </c>
      <c r="AA123" s="253">
        <f>_xlfn.XLOOKUP(FMS_Ranking4[[#This Row],[FMS ID]],FMS_Input[FMS_ID],FMS_Input[ROADCLS])</f>
        <v>0</v>
      </c>
      <c r="AB123" s="255">
        <f>(ASINH(FMS_Ranking4[[#This Row],[Road Closures Raw]]))*(10)/(ASINH(AA$4))</f>
        <v>0</v>
      </c>
      <c r="AC123" s="256">
        <f>FMS_Ranking4[[#This Row],[Road closures, ArcSinh (0-10)]]*AA$5*10</f>
        <v>0</v>
      </c>
      <c r="AD123" s="253">
        <f>_xlfn.XLOOKUP(FMS_Ranking4[[#This Row],[FMS ID]],FMS_Input[FMS_ID],FMS_Input[ROAD_MILES100])</f>
        <v>84</v>
      </c>
      <c r="AE123" s="255">
        <f>(ASINH(FMS_Ranking4[[#This Row],[Road Miles Raw]]))*(10)/(ASINH(AD$4))</f>
        <v>5.46077363285311</v>
      </c>
      <c r="AF123" s="256">
        <f>FMS_Ranking4[[#This Row],[Length of roads at risk, ArcSinh (0-10)]]*AD$5*10</f>
        <v>5.46077363285311</v>
      </c>
      <c r="AG123" s="253">
        <f>_xlfn.XLOOKUP(FMS_Ranking4[[#This Row],[FMS ID]],FMS_Input[FMS_ID],FMS_Input[FARMACRE100])</f>
        <v>1387.409057617188</v>
      </c>
      <c r="AH123" s="255">
        <f>(ASINH(FMS_Ranking4[[#This Row],[Ag Land Raw]]))*(10)/(ASINH(AG$4))</f>
        <v>5.150103142579237</v>
      </c>
      <c r="AI123" s="260">
        <f>FMS_Ranking4[[#This Row],[Farm &amp; ranch land, ArcSinh (0-10)]]*AG$5*10</f>
        <v>2.5750515712896189</v>
      </c>
      <c r="AJ123" s="258">
        <f>_xlfn.XLOOKUP(FMS_Ranking4[[#This Row],[FMS ID]],FMS_Input[FMS_ID],FMS_Input[REDSTRUCT100])</f>
        <v>0</v>
      </c>
      <c r="AK123" s="253">
        <f>_xlfn.XLOOKUP(FMS_Ranking4[[#This Row],[FMS ID]],FMS_Input[FMS_ID],FMS_Input[REMSTRC100])</f>
        <v>0</v>
      </c>
      <c r="AL123" s="255">
        <f>(ASINH(FMS_Ranking4[[#This Row],[Structures Removed Raw]]))*(10)/(ASINH(AK$4))</f>
        <v>0</v>
      </c>
      <c r="AM123" s="262">
        <f>FMS_Ranking4[[#This Row],[Structures removed, ArcSinh (0-10)]]*AK$5*10</f>
        <v>0</v>
      </c>
      <c r="AN123" s="253">
        <f>_xlfn.XLOOKUP(FMS_Ranking4[[#This Row],[FMS ID]],FMS_Input[FMS_ID],FMS_Input[REMRESSTRC100])</f>
        <v>0</v>
      </c>
      <c r="AO123" s="261">
        <f>FMS_Ranking4[[#This Row],[ArcSinh Res struct removed 0-10]]*AN$5*10</f>
        <v>0</v>
      </c>
      <c r="AP123" s="260">
        <f>ASINH(FMS_Ranking4[[#This Row],[Residential Structures Removed Raw]])/AP$4*AN$5*100</f>
        <v>0</v>
      </c>
      <c r="AQ123" s="258">
        <f>(ASINH(FMS_Ranking4[[#This Row],[Residential Structures Removed Raw]]))*(10)/(ASINH(AN$4))</f>
        <v>0</v>
      </c>
      <c r="AR123" s="253">
        <f>_xlfn.XLOOKUP(FMS_Ranking4[[#This Row],[FMS ID]],FMS_Input[FMS_ID],FMS_Input[REMPOP100])</f>
        <v>0</v>
      </c>
      <c r="AS123" s="255">
        <f>(ASINH(FMS_Ranking4[[#This Row],[Removed Pop Raw]]))*(10)/(ASINH(AR$4))</f>
        <v>0</v>
      </c>
      <c r="AT123" s="262">
        <f>FMS_Ranking4[[#This Row],[Removed population, ArcSinh (0-10)]]*AR$5*10</f>
        <v>0</v>
      </c>
      <c r="AU123" s="264">
        <f>_xlfn.XLOOKUP(FMS_Ranking4[[#This Row],[FMS ID]],FMS_Input[FMS_ID],FMS_Input[REMCRITFAC100])</f>
        <v>0</v>
      </c>
      <c r="AV123" s="264">
        <f>_xlfn.XLOOKUP(FMS_Ranking4[[#This Row],[FMS ID]],FMS_Input[FMS_ID],FMS_Input[REMLWC100])</f>
        <v>0</v>
      </c>
      <c r="AW123" s="264">
        <f>_xlfn.XLOOKUP(FMS_Ranking4[[#This Row],[FMS ID]],FMS_Input[FMS_ID],FMS_Input[REMROADCLS])</f>
        <v>0</v>
      </c>
      <c r="AX123" s="264">
        <f>_xlfn.XLOOKUP(FMS_Ranking4[[#This Row],[FMS ID]],FMS_Input[FMS_ID],FMS_Input[REMFRMACRE100])</f>
        <v>0</v>
      </c>
      <c r="AY123" s="258">
        <f>_xlfn.XLOOKUP(FMS_Ranking4[[#This Row],[FMS ID]],FMS_Input[FMS_ID],FMS_Input[COSTSTRUCT])</f>
        <v>0</v>
      </c>
      <c r="AZ123" s="253">
        <f>_xlfn.XLOOKUP(FMS_Ranking4[[#This Row],[FMS ID]],FMS_Input[FMS_ID],FMS_Input[NATURE])</f>
        <v>0</v>
      </c>
      <c r="BA123" s="262">
        <f>(((FMS_Ranking4[[#This Row],[% NBS Raw]]/AZ$4)*100)*AZ$5)</f>
        <v>0</v>
      </c>
      <c r="BB123" s="251" t="str">
        <f>_xlfn.XLOOKUP(FMS_Ranking4[[#This Row],[FMS ID]],FMS_Input[FMS_ID],FMS_Input[WATER_SUP])</f>
        <v>No</v>
      </c>
      <c r="BC123" s="265">
        <f>IF(FMS_Ranking4[[#This Row],[Water Supply Raw]]="Yes",10,0)</f>
        <v>0</v>
      </c>
      <c r="BD123" s="266">
        <f>_xlfn.XLOOKUP(FMS_Ranking4[[#This Row],[FMS Type]],FMS_TYPE[FMS_Type],FMS_TYPE[Score])</f>
        <v>10</v>
      </c>
      <c r="BE123" s="267">
        <f>FMS_Ranking4[[#This Row],[FMS_Type Score]]*$BD$5*10</f>
        <v>2.5</v>
      </c>
      <c r="BF12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1.1868686446145489</v>
      </c>
      <c r="BG123" s="321">
        <f>_xlfn.RANK.EQ(BF123,$BF$8:$BF$870,0)+COUNTIF($BF$8:BF123,BF123)-1</f>
        <v>124</v>
      </c>
      <c r="BH123" s="294">
        <f>(((FMS_Ranking4[[#This Row],[Structures Removed Raw]]/AK$4)*100)*AK$5)+(((FMS_Ranking4[[#This Row],[Removed Pop Raw]]/AR$4)*100)*AR$5)</f>
        <v>0</v>
      </c>
      <c r="BI12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3.6868686446145489</v>
      </c>
      <c r="BJ123" s="251">
        <f>_xlfn.RANK.EQ(FMS_Ranking4[[#This Row],[Total Score 
(with linear
normalization)]],FMS_Ranking4[Total Score 
(with linear
normalization)],0)</f>
        <v>141</v>
      </c>
      <c r="BK123" s="251" t="e">
        <f>_xlfn.XLOOKUP(FMS_Ranking4[[#This Row],[FMS ID]],#REF!,#REF!)</f>
        <v>#REF!</v>
      </c>
      <c r="BL12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33.113299630895497</v>
      </c>
      <c r="BM123" s="324">
        <f>FMS_Ranking4[[#This Row],[ArcSinh Score Based on Normalized Reported Factors]]+FMS_Ranking4[[#This Row],[% NBS Score (Normalized)]]+(FMS_Ranking4[[#This Row],[Water Supply Score (Normalized)]]*10*$BB$5)+FMS_Ranking4[[#This Row],[FMS_Type Score Weighted]]</f>
        <v>35.613299630895497</v>
      </c>
      <c r="BN123" s="251">
        <f>_xlfn.RANK.EQ(FMS_Ranking4[[#This Row],[Total Score (with ArcSinh normalization of select criteria)]],FMS_Ranking4[Total Score (with ArcSinh normalization of select criteria)],0)</f>
        <v>116</v>
      </c>
      <c r="BO123" s="270" t="str">
        <f>_xlfn.XLOOKUP(FMS_Ranking4[[#This Row],[FMS ID]],FMS_Input[FMS_ID],FMS_Input[FMS_RANK_YEAR])</f>
        <v>2023 Amended Plan</v>
      </c>
      <c r="BP123" s="204">
        <f>_xlfn.XLOOKUP(FMS_Ranking4[[#This Row],[FMS ID]],Prev_Rank[FMS ID],Prev_Rank[Prev Rank])</f>
        <v>98</v>
      </c>
      <c r="BQ123" s="251" t="e">
        <f>_xlfn.XLOOKUP(FMS_Ranking4[[#This Row],[FMS ID]],#REF!,#REF!)</f>
        <v>#REF!</v>
      </c>
      <c r="BR123" s="199" t="e">
        <f>SUM(#REF!,#REF!,#REF!,#REF!,#REF!,#REF!,#REF!,#REF!,#REF!,FMS_Ranking4[[#This Row],[ArcSinh Res struct removed 0-10]],#REF!)</f>
        <v>#REF!</v>
      </c>
      <c r="BS123" s="199" t="e">
        <f>FMS_Ranking4[[#This Row],[Log Score Based on Normalized Reported Factors]]+FMS_Ranking4[[#This Row],[% NBS Score (Normalized)]]+(FMS_Ranking4[[#This Row],[Water Supply Score (Normalized)]]*10*$BB$5)+(FMS_Ranking4[[#This Row],[FMS_Type Score Weighted]])</f>
        <v>#REF!</v>
      </c>
      <c r="BT123" s="200" t="e">
        <f>_xlfn.RANK.EQ(FMS_Ranking4[[#This Row],[Log Total Score]],FMS_Ranking4[Log Total Score],0)</f>
        <v>#REF!</v>
      </c>
      <c r="BU123" s="200" t="e">
        <f>_xlfn.XLOOKUP(FMS_Ranking4[[#This Row],[FMS ID]],#REF!,#REF!)</f>
        <v>#REF!</v>
      </c>
      <c r="BV123" s="200">
        <f>FMS_Ranking4[[#This Row],[Region Number]]</f>
        <v>3</v>
      </c>
      <c r="BW123" s="200">
        <f>FMS_Ranking4[[#This Row],[Rank (with ArcSinh normalization of select criteria)]]-FMS_Ranking4[[#This Row],[Rank
(with linear
normalization)]]</f>
        <v>-25</v>
      </c>
      <c r="BX123" s="200" t="e">
        <f>FMS_Ranking4[[#This Row],[Log Rank]]-FMS_Ranking4[[#This Row],[Rank
(with linear
normalization)]]</f>
        <v>#REF!</v>
      </c>
      <c r="BY123" s="200">
        <f>IF(FMS_Ranking4[[#This Row],[FMS Type]]="Flood Measurement and Warning",FMS_Ranking4[[#This Row],[Rank (with ArcSinh normalization of select criteria)]],"")</f>
        <v>116</v>
      </c>
      <c r="BZ123" s="200" t="str">
        <f>IF(FMS_Ranking4[[#This Row],[FMS Type]]="Regulatory and Guidance",FMS_Ranking4[[#This Row],[Rank (with ArcSinh normalization of select criteria)]],"")</f>
        <v/>
      </c>
      <c r="CA123" s="200" t="str">
        <f>IF(FMS_Ranking4[[#This Row],[FMS Type]]="Education and Outreach",FMS_Ranking4[[#This Row],[Rank (with ArcSinh normalization of select criteria)]],"")</f>
        <v/>
      </c>
      <c r="CB123" s="200" t="str">
        <f>IF(FMS_Ranking4[[#This Row],[FMS Type]]="Property Acquisition and Structural Elevation",FMS_Ranking4[[#This Row],[Rank (with ArcSinh normalization of select criteria)]],"")</f>
        <v/>
      </c>
      <c r="CC123" s="200" t="str">
        <f>IF(FMS_Ranking4[[#This Row],[FMS Type]]="Infrastructure Projects",FMS_Ranking4[[#This Row],[Rank (with ArcSinh normalization of select criteria)]],"")</f>
        <v/>
      </c>
      <c r="CD123" s="200" t="str">
        <f>IF(FMS_Ranking4[[#This Row],[FMS Type]]="Other",FMS_Ranking4[[#This Row],[Rank (with ArcSinh normalization of select criteria)]],"")</f>
        <v/>
      </c>
      <c r="CE123" s="201"/>
    </row>
    <row r="124" spans="2:83" ht="30" x14ac:dyDescent="0.25">
      <c r="B124" s="341" t="s">
        <v>2002</v>
      </c>
      <c r="C124" s="246">
        <f>_xlfn.XLOOKUP(FMS_Ranking4[[#This Row],[FMS ID]],FMS_Input[FMS_ID],FMS_Input[RFPG_NUM])</f>
        <v>3</v>
      </c>
      <c r="D124" s="309" t="str">
        <f>_xlfn.XLOOKUP(FMS_Ranking4[[#This Row],[FMS ID]],FMS_Input[FMS_ID],FMS_Input[FMS_NAME])</f>
        <v>Tarrant County Property Acquisition Program</v>
      </c>
      <c r="E124" s="308" t="str">
        <f>_xlfn.XLOOKUP(FMS_Ranking4[[#This Row],[FMS ID]],FMS_Input[FMS_ID],FMS_Input[SPONSOR])</f>
        <v xml:space="preserve">Tarrant County </v>
      </c>
      <c r="F124" s="309" t="str">
        <f>_xlfn.XLOOKUP(FMS_Ranking4[[#This Row],[FMS ID]],Sponsor[FMS_ID],Sponsor[SPONSOR NAME])</f>
        <v xml:space="preserve">Tarrant County </v>
      </c>
      <c r="G124" s="309" t="str">
        <f>_xlfn.XLOOKUP(FMS_Ranking4[[#This Row],[FMS ID]],FMS_Input[FMS_ID],FMS_Input[FMS_DESCR])</f>
        <v xml:space="preserve">Create a Buyout Program for Repetitive Loss Properties </v>
      </c>
      <c r="H124" s="248" t="str">
        <f>_xlfn.XLOOKUP(FMS_Ranking4[[#This Row],[FMS ID]],FMS_Input[FMS_ID],FMS_Input[FMS_TYPE])</f>
        <v>Regulatory and Guidance</v>
      </c>
      <c r="I124" s="249">
        <f>_xlfn.XLOOKUP(FMS_Ranking4[[#This Row],[FMS ID]],FMS_Input[FMS_ID],FMS_Input[NRNC_COST])</f>
        <v>500000</v>
      </c>
      <c r="J124" s="250">
        <f>_xlfn.XLOOKUP(FMS_Ranking4[[#This Row],[FMS ID]],FMS_Input[FMS_ID],FMS_Input[FMS_COST])</f>
        <v>5000000</v>
      </c>
      <c r="K124" s="251" t="str">
        <f>_xlfn.XLOOKUP(FMS_Ranking4[[#This Row],[FMS ID]],FMS_Input[FMS_ID],FMS_Input[EMER_NEED])</f>
        <v>No</v>
      </c>
      <c r="L124" s="252">
        <f t="shared" si="1"/>
        <v>0</v>
      </c>
      <c r="M124" s="253">
        <f>_xlfn.XLOOKUP(FMS_Ranking4[[#This Row],[FMS ID]],FMS_Input[FMS_ID],FMS_Input[STRUCT_100])</f>
        <v>14853</v>
      </c>
      <c r="N124" s="255">
        <f>(ASINH(FMS_Ranking4[[#This Row],[Structure at Risk Raw]]))*(10)/(ASINH(M$4))</f>
        <v>8.0966294702341557</v>
      </c>
      <c r="O124" s="256">
        <f>FMS_Ranking4[[#This Row],[Structures at risk, ArcSinh (0-10)]]*M$5*10</f>
        <v>8.0966294702341557</v>
      </c>
      <c r="P124" s="253">
        <f>_xlfn.XLOOKUP(FMS_Ranking4[[#This Row],[FMS ID]],FMS_Input[FMS_ID],FMS_Input[RES_STRUCT100])</f>
        <v>12825</v>
      </c>
      <c r="Q124" s="257">
        <f>ASINH(FMS_Ranking4[[#This Row],[Res Structure Raw]])/Q$4*P$5*100</f>
        <v>0</v>
      </c>
      <c r="R124" s="253">
        <f>_xlfn.XLOOKUP(FMS_Ranking4[[#This Row],[FMS ID]],FMS_Input[FMS_ID],FMS_Input[POP100])</f>
        <v>46034</v>
      </c>
      <c r="S124" s="259">
        <f>(ASINH(FMS_Ranking4[[#This Row],[Pop at Risk Raw]]))*(10)/(ASINH(R$4))</f>
        <v>7.8909896045845125</v>
      </c>
      <c r="T124" s="256">
        <f>FMS_Ranking4[[#This Row],[Population at risk, ArcSinh (0-10)]]*R$5*10</f>
        <v>7.8909896045845134</v>
      </c>
      <c r="U124" s="253">
        <f>_xlfn.XLOOKUP(FMS_Ranking4[[#This Row],[FMS ID]],FMS_Input[FMS_ID],FMS_Input[CRITFAC100])</f>
        <v>11</v>
      </c>
      <c r="V124" s="259">
        <f>(ASINH(FMS_Ranking4[[#This Row],[Critical Facilities Raw]]))*(10)/(ASINH(U$4))</f>
        <v>3.661503455940549</v>
      </c>
      <c r="W124" s="256">
        <f>FMS_Ranking4[[#This Row],[Critical facilities at risk, ArcSinh (0-10)]]*U$5*10</f>
        <v>3.661503455940549</v>
      </c>
      <c r="X124" s="253">
        <f>_xlfn.XLOOKUP(FMS_Ranking4[[#This Row],[FMS ID]],FMS_Input[FMS_ID],FMS_Input[LWC])</f>
        <v>5</v>
      </c>
      <c r="Y124" s="259">
        <f>(ASINH(FMS_Ranking4[[#This Row],[LWC Raw]]))*(10)/(ASINH(X$4))</f>
        <v>3.1327475801820781</v>
      </c>
      <c r="Z124" s="256">
        <f>FMS_Ranking4[[#This Row],[LWC, ArcSInh (0-10)]]*X$5*10</f>
        <v>3.1327475801820781</v>
      </c>
      <c r="AA124" s="253">
        <f>_xlfn.XLOOKUP(FMS_Ranking4[[#This Row],[FMS ID]],FMS_Input[FMS_ID],FMS_Input[ROADCLS])</f>
        <v>0</v>
      </c>
      <c r="AB124" s="255">
        <f>(ASINH(FMS_Ranking4[[#This Row],[Road Closures Raw]]))*(10)/(ASINH(AA$4))</f>
        <v>0</v>
      </c>
      <c r="AC124" s="256">
        <f>FMS_Ranking4[[#This Row],[Road closures, ArcSinh (0-10)]]*AA$5*10</f>
        <v>0</v>
      </c>
      <c r="AD124" s="253">
        <f>_xlfn.XLOOKUP(FMS_Ranking4[[#This Row],[FMS ID]],FMS_Input[FMS_ID],FMS_Input[ROAD_MILES100])</f>
        <v>468</v>
      </c>
      <c r="AE124" s="259">
        <f>(ASINH(FMS_Ranking4[[#This Row],[Road Miles Raw]]))*(10)/(ASINH(AD$4))</f>
        <v>7.2912810200922396</v>
      </c>
      <c r="AF124" s="256">
        <f>FMS_Ranking4[[#This Row],[Length of roads at risk, ArcSinh (0-10)]]*AD$5*10</f>
        <v>7.2912810200922396</v>
      </c>
      <c r="AG124" s="253">
        <f>_xlfn.XLOOKUP(FMS_Ranking4[[#This Row],[FMS ID]],FMS_Input[FMS_ID],FMS_Input[FARMACRE100])</f>
        <v>20062.69921875</v>
      </c>
      <c r="AH124" s="255">
        <f>(ASINH(FMS_Ranking4[[#This Row],[Ag Land Raw]]))*(10)/(ASINH(AG$4))</f>
        <v>6.88541078727786</v>
      </c>
      <c r="AI124" s="260">
        <f>FMS_Ranking4[[#This Row],[Farm &amp; ranch land, ArcSinh (0-10)]]*AG$5*10</f>
        <v>3.44270539363893</v>
      </c>
      <c r="AJ124" s="258">
        <f>_xlfn.XLOOKUP(FMS_Ranking4[[#This Row],[FMS ID]],FMS_Input[FMS_ID],FMS_Input[REDSTRUCT100])</f>
        <v>0</v>
      </c>
      <c r="AK124" s="253">
        <f>_xlfn.XLOOKUP(FMS_Ranking4[[#This Row],[FMS ID]],FMS_Input[FMS_ID],FMS_Input[REMSTRC100])</f>
        <v>0</v>
      </c>
      <c r="AL124" s="259">
        <f>(ASINH(FMS_Ranking4[[#This Row],[Structures Removed Raw]]))*(10)/(ASINH(AK$4))</f>
        <v>0</v>
      </c>
      <c r="AM124" s="262">
        <f>FMS_Ranking4[[#This Row],[Structures removed, ArcSinh (0-10)]]*AK$5*10</f>
        <v>0</v>
      </c>
      <c r="AN124" s="257">
        <f>_xlfn.XLOOKUP(FMS_Ranking4[[#This Row],[FMS ID]],FMS_Input[FMS_ID],FMS_Input[REMRESSTRC100])</f>
        <v>0</v>
      </c>
      <c r="AO124" s="260">
        <f>FMS_Ranking4[[#This Row],[ArcSinh Res struct removed 0-10]]*AN$5*10</f>
        <v>0</v>
      </c>
      <c r="AP124" s="260">
        <f>ASINH(FMS_Ranking4[[#This Row],[Residential Structures Removed Raw]])/AP$4*AN$5*100</f>
        <v>0</v>
      </c>
      <c r="AQ124" s="254">
        <f>(ASINH(FMS_Ranking4[[#This Row],[Residential Structures Removed Raw]]))*(10)/(ASINH(AN$4))</f>
        <v>0</v>
      </c>
      <c r="AR124" s="253">
        <f>_xlfn.XLOOKUP(FMS_Ranking4[[#This Row],[FMS ID]],FMS_Input[FMS_ID],FMS_Input[REMPOP100])</f>
        <v>0</v>
      </c>
      <c r="AS124" s="259">
        <f>(ASINH(FMS_Ranking4[[#This Row],[Removed Pop Raw]]))*(10)/(ASINH(AR$4))</f>
        <v>0</v>
      </c>
      <c r="AT124" s="262">
        <f>FMS_Ranking4[[#This Row],[Removed population, ArcSinh (0-10)]]*AR$5*10</f>
        <v>0</v>
      </c>
      <c r="AU124" s="264">
        <f>_xlfn.XLOOKUP(FMS_Ranking4[[#This Row],[FMS ID]],FMS_Input[FMS_ID],FMS_Input[REMCRITFAC100])</f>
        <v>0</v>
      </c>
      <c r="AV124" s="264">
        <f>_xlfn.XLOOKUP(FMS_Ranking4[[#This Row],[FMS ID]],FMS_Input[FMS_ID],FMS_Input[REMLWC100])</f>
        <v>0</v>
      </c>
      <c r="AW124" s="264">
        <f>_xlfn.XLOOKUP(FMS_Ranking4[[#This Row],[FMS ID]],FMS_Input[FMS_ID],FMS_Input[REMROADCLS])</f>
        <v>0</v>
      </c>
      <c r="AX124" s="264">
        <f>_xlfn.XLOOKUP(FMS_Ranking4[[#This Row],[FMS ID]],FMS_Input[FMS_ID],FMS_Input[REMFRMACRE100])</f>
        <v>0</v>
      </c>
      <c r="AY124" s="258">
        <f>_xlfn.XLOOKUP(FMS_Ranking4[[#This Row],[FMS ID]],FMS_Input[FMS_ID],FMS_Input[COSTSTRUCT])</f>
        <v>0</v>
      </c>
      <c r="AZ124" s="253">
        <f>_xlfn.XLOOKUP(FMS_Ranking4[[#This Row],[FMS ID]],FMS_Input[FMS_ID],FMS_Input[NATURE])</f>
        <v>0</v>
      </c>
      <c r="BA124" s="262">
        <f>(((FMS_Ranking4[[#This Row],[% NBS Raw]]/AZ$4)*100)*AZ$5)</f>
        <v>0</v>
      </c>
      <c r="BB124" s="251" t="str">
        <f>_xlfn.XLOOKUP(FMS_Ranking4[[#This Row],[FMS ID]],FMS_Input[FMS_ID],FMS_Input[WATER_SUP])</f>
        <v>No</v>
      </c>
      <c r="BC124" s="265">
        <f>IF(FMS_Ranking4[[#This Row],[Water Supply Raw]]="Yes",10,0)</f>
        <v>0</v>
      </c>
      <c r="BD124" s="266">
        <f>_xlfn.XLOOKUP(FMS_Ranking4[[#This Row],[FMS Type]],FMS_TYPE[FMS_Type],FMS_TYPE[Score])</f>
        <v>8</v>
      </c>
      <c r="BE124" s="267">
        <f>FMS_Ranking4[[#This Row],[FMS_Type Score]]*$BD$5*10</f>
        <v>2</v>
      </c>
      <c r="BF12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2.2976099093523472</v>
      </c>
      <c r="BG124" s="271">
        <f>_xlfn.RANK.EQ(BF124,$BF$8:$BF$870,0)+COUNTIF($BF$8:BF124,BF124)-1</f>
        <v>97</v>
      </c>
      <c r="BH124" s="268">
        <f>(((FMS_Ranking4[[#This Row],[Structures Removed Raw]]/AK$4)*100)*AK$5)+(((FMS_Ranking4[[#This Row],[Removed Pop Raw]]/AR$4)*100)*AR$5)</f>
        <v>0</v>
      </c>
      <c r="BI12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4.2976099093523477</v>
      </c>
      <c r="BJ124" s="205">
        <f>_xlfn.RANK.EQ(FMS_Ranking4[[#This Row],[Total Score 
(with linear
normalization)]],FMS_Ranking4[Total Score 
(with linear
normalization)],0)</f>
        <v>132</v>
      </c>
      <c r="BK124" s="205" t="e">
        <f>_xlfn.XLOOKUP(FMS_Ranking4[[#This Row],[FMS ID]],#REF!,#REF!)</f>
        <v>#REF!</v>
      </c>
      <c r="BL12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33.515856524672465</v>
      </c>
      <c r="BM124" s="272">
        <f>FMS_Ranking4[[#This Row],[ArcSinh Score Based on Normalized Reported Factors]]+FMS_Ranking4[[#This Row],[% NBS Score (Normalized)]]+(FMS_Ranking4[[#This Row],[Water Supply Score (Normalized)]]*10*$BB$5)+FMS_Ranking4[[#This Row],[FMS_Type Score Weighted]]</f>
        <v>35.515856524672465</v>
      </c>
      <c r="BN124" s="205">
        <f>_xlfn.RANK.EQ(FMS_Ranking4[[#This Row],[Total Score (with ArcSinh normalization of select criteria)]],FMS_Ranking4[Total Score (with ArcSinh normalization of select criteria)],0)</f>
        <v>117</v>
      </c>
      <c r="BO124" s="270" t="str">
        <f>_xlfn.XLOOKUP(FMS_Ranking4[[#This Row],[FMS ID]],FMS_Input[FMS_ID],FMS_Input[FMS_RANK_YEAR])</f>
        <v>2023 Amended Plan</v>
      </c>
      <c r="BP124" s="204">
        <f>_xlfn.XLOOKUP(FMS_Ranking4[[#This Row],[FMS ID]],Prev_Rank[FMS ID],Prev_Rank[Prev Rank])</f>
        <v>97</v>
      </c>
      <c r="BQ124" s="205" t="e">
        <f>_xlfn.XLOOKUP(FMS_Ranking4[[#This Row],[FMS ID]],#REF!,#REF!)</f>
        <v>#REF!</v>
      </c>
      <c r="BR124" s="199" t="e">
        <f>SUM(#REF!,#REF!,#REF!,#REF!,#REF!,#REF!,#REF!,#REF!,#REF!,FMS_Ranking4[[#This Row],[ArcSinh Res struct removed 0-10]],#REF!)</f>
        <v>#REF!</v>
      </c>
      <c r="BS124" s="199" t="e">
        <f>FMS_Ranking4[[#This Row],[Log Score Based on Normalized Reported Factors]]+FMS_Ranking4[[#This Row],[% NBS Score (Normalized)]]+(FMS_Ranking4[[#This Row],[Water Supply Score (Normalized)]]*10*$BB$5)+(FMS_Ranking4[[#This Row],[FMS_Type Score Weighted]])</f>
        <v>#REF!</v>
      </c>
      <c r="BT124" s="200" t="e">
        <f>_xlfn.RANK.EQ(FMS_Ranking4[[#This Row],[Log Total Score]],FMS_Ranking4[Log Total Score],0)</f>
        <v>#REF!</v>
      </c>
      <c r="BU124" s="200" t="e">
        <f>_xlfn.XLOOKUP(FMS_Ranking4[[#This Row],[FMS ID]],#REF!,#REF!)</f>
        <v>#REF!</v>
      </c>
      <c r="BV124" s="200">
        <f>FMS_Ranking4[[#This Row],[Region Number]]</f>
        <v>3</v>
      </c>
      <c r="BW124" s="200">
        <f>FMS_Ranking4[[#This Row],[Rank (with ArcSinh normalization of select criteria)]]-FMS_Ranking4[[#This Row],[Rank
(with linear
normalization)]]</f>
        <v>-15</v>
      </c>
      <c r="BX124" s="200" t="e">
        <f>FMS_Ranking4[[#This Row],[Log Rank]]-FMS_Ranking4[[#This Row],[Rank
(with linear
normalization)]]</f>
        <v>#REF!</v>
      </c>
      <c r="BY124" s="200" t="str">
        <f>IF(FMS_Ranking4[[#This Row],[FMS Type]]="Flood Measurement and Warning",FMS_Ranking4[[#This Row],[Rank (with ArcSinh normalization of select criteria)]],"")</f>
        <v/>
      </c>
      <c r="BZ124" s="200">
        <f>IF(FMS_Ranking4[[#This Row],[FMS Type]]="Regulatory and Guidance",FMS_Ranking4[[#This Row],[Rank (with ArcSinh normalization of select criteria)]],"")</f>
        <v>117</v>
      </c>
      <c r="CA124" s="200" t="str">
        <f>IF(FMS_Ranking4[[#This Row],[FMS Type]]="Education and Outreach",FMS_Ranking4[[#This Row],[Rank (with ArcSinh normalization of select criteria)]],"")</f>
        <v/>
      </c>
      <c r="CB124" s="200" t="str">
        <f>IF(FMS_Ranking4[[#This Row],[FMS Type]]="Property Acquisition and Structural Elevation",FMS_Ranking4[[#This Row],[Rank (with ArcSinh normalization of select criteria)]],"")</f>
        <v/>
      </c>
      <c r="CC124" s="200" t="str">
        <f>IF(FMS_Ranking4[[#This Row],[FMS Type]]="Infrastructure Projects",FMS_Ranking4[[#This Row],[Rank (with ArcSinh normalization of select criteria)]],"")</f>
        <v/>
      </c>
      <c r="CD124" s="200" t="str">
        <f>IF(FMS_Ranking4[[#This Row],[FMS Type]]="Other",FMS_Ranking4[[#This Row],[Rank (with ArcSinh normalization of select criteria)]],"")</f>
        <v/>
      </c>
      <c r="CE124" s="201"/>
    </row>
    <row r="125" spans="2:83" ht="60" x14ac:dyDescent="0.25">
      <c r="B125" s="341" t="s">
        <v>2808</v>
      </c>
      <c r="C125" s="246">
        <f>_xlfn.XLOOKUP(FMS_Ranking4[[#This Row],[FMS ID]],FMS_Input[FMS_ID],FMS_Input[RFPG_NUM])</f>
        <v>5</v>
      </c>
      <c r="D125" s="309" t="str">
        <f>_xlfn.XLOOKUP(FMS_Ranking4[[#This Row],[FMS ID]],FMS_Input[FMS_ID],FMS_Input[FMS_NAME])</f>
        <v>OCDD Flood Infrastructure Improvements</v>
      </c>
      <c r="E125" s="308" t="str">
        <f>_xlfn.XLOOKUP(FMS_Ranking4[[#This Row],[FMS ID]],FMS_Input[FMS_ID],FMS_Input[SPONSOR])</f>
        <v>00000512</v>
      </c>
      <c r="F125" s="309" t="str">
        <f>_xlfn.XLOOKUP(FMS_Ranking4[[#This Row],[FMS ID]],Sponsor[FMS_ID],Sponsor[SPONSOR NAME])</f>
        <v>Orange County Drainage District</v>
      </c>
      <c r="G125" s="309" t="str">
        <f>_xlfn.XLOOKUP(FMS_Ranking4[[#This Row],[FMS ID]],FMS_Input[FMS_ID],FMS_Input[FMS_DESCR])</f>
        <v>Support regional efforts to plan, design, and construct large scale flood control / storm surge protection improvements</v>
      </c>
      <c r="H125" s="248" t="str">
        <f>_xlfn.XLOOKUP(FMS_Ranking4[[#This Row],[FMS ID]],FMS_Input[FMS_ID],FMS_Input[FMS_TYPE])</f>
        <v>Infrastructure Projects</v>
      </c>
      <c r="I125" s="249">
        <f>_xlfn.XLOOKUP(FMS_Ranking4[[#This Row],[FMS ID]],FMS_Input[FMS_ID],FMS_Input[NRNC_COST])</f>
        <v>200000</v>
      </c>
      <c r="J125" s="250">
        <f>_xlfn.XLOOKUP(FMS_Ranking4[[#This Row],[FMS ID]],FMS_Input[FMS_ID],FMS_Input[FMS_COST])</f>
        <v>3000000</v>
      </c>
      <c r="K125" s="251" t="str">
        <f>_xlfn.XLOOKUP(FMS_Ranking4[[#This Row],[FMS ID]],FMS_Input[FMS_ID],FMS_Input[EMER_NEED])</f>
        <v>Yes</v>
      </c>
      <c r="L125" s="252">
        <f t="shared" si="1"/>
        <v>1</v>
      </c>
      <c r="M125" s="253">
        <f>_xlfn.XLOOKUP(FMS_Ranking4[[#This Row],[FMS ID]],FMS_Input[FMS_ID],FMS_Input[STRUCT_100])</f>
        <v>5007</v>
      </c>
      <c r="N125" s="255">
        <f>(ASINH(FMS_Ranking4[[#This Row],[Structure at Risk Raw]]))*(10)/(ASINH(M$4))</f>
        <v>7.241798739240914</v>
      </c>
      <c r="O125" s="256">
        <f>FMS_Ranking4[[#This Row],[Structures at risk, ArcSinh (0-10)]]*M$5*10</f>
        <v>7.2417987392409149</v>
      </c>
      <c r="P125" s="253">
        <f>_xlfn.XLOOKUP(FMS_Ranking4[[#This Row],[FMS ID]],FMS_Input[FMS_ID],FMS_Input[RES_STRUCT100])</f>
        <v>4273</v>
      </c>
      <c r="Q125" s="257">
        <f>ASINH(FMS_Ranking4[[#This Row],[Res Structure Raw]])/Q$4*P$5*100</f>
        <v>0</v>
      </c>
      <c r="R125" s="253">
        <f>_xlfn.XLOOKUP(FMS_Ranking4[[#This Row],[FMS ID]],FMS_Input[FMS_ID],FMS_Input[POP100])</f>
        <v>11929</v>
      </c>
      <c r="S125" s="259">
        <f>(ASINH(FMS_Ranking4[[#This Row],[Pop at Risk Raw]]))*(10)/(ASINH(R$4))</f>
        <v>6.9587244533266945</v>
      </c>
      <c r="T125" s="256">
        <f>FMS_Ranking4[[#This Row],[Population at risk, ArcSinh (0-10)]]*R$5*10</f>
        <v>6.9587244533266945</v>
      </c>
      <c r="U125" s="253">
        <f>_xlfn.XLOOKUP(FMS_Ranking4[[#This Row],[FMS ID]],FMS_Input[FMS_ID],FMS_Input[CRITFAC100])</f>
        <v>36</v>
      </c>
      <c r="V125" s="259">
        <f>(ASINH(FMS_Ranking4[[#This Row],[Critical Facilities Raw]]))*(10)/(ASINH(U$4))</f>
        <v>5.0627922685486046</v>
      </c>
      <c r="W125" s="256">
        <f>FMS_Ranking4[[#This Row],[Critical facilities at risk, ArcSinh (0-10)]]*U$5*10</f>
        <v>5.0627922685486046</v>
      </c>
      <c r="X125" s="253">
        <f>_xlfn.XLOOKUP(FMS_Ranking4[[#This Row],[FMS ID]],FMS_Input[FMS_ID],FMS_Input[LWC])</f>
        <v>20</v>
      </c>
      <c r="Y125" s="259">
        <f>(ASINH(FMS_Ranking4[[#This Row],[LWC Raw]]))*(10)/(ASINH(X$4))</f>
        <v>4.998310273339353</v>
      </c>
      <c r="Z125" s="256">
        <f>FMS_Ranking4[[#This Row],[LWC, ArcSInh (0-10)]]*X$5*10</f>
        <v>4.998310273339353</v>
      </c>
      <c r="AA125" s="253">
        <f>_xlfn.XLOOKUP(FMS_Ranking4[[#This Row],[FMS ID]],FMS_Input[FMS_ID],FMS_Input[ROADCLS])</f>
        <v>20</v>
      </c>
      <c r="AB125" s="255">
        <f>(ASINH(FMS_Ranking4[[#This Row],[Road Closures Raw]]))*(10)/(ASINH(AA$4))</f>
        <v>3.8422796453891408</v>
      </c>
      <c r="AC125" s="256">
        <f>FMS_Ranking4[[#This Row],[Road closures, ArcSinh (0-10)]]*AA$5*10</f>
        <v>1.9211398226945706</v>
      </c>
      <c r="AD125" s="253">
        <f>_xlfn.XLOOKUP(FMS_Ranking4[[#This Row],[FMS ID]],FMS_Input[FMS_ID],FMS_Input[ROAD_MILES100])</f>
        <v>136</v>
      </c>
      <c r="AE125" s="259">
        <f>(ASINH(FMS_Ranking4[[#This Row],[Road Miles Raw]]))*(10)/(ASINH(AD$4))</f>
        <v>5.9742571151320423</v>
      </c>
      <c r="AF125" s="256">
        <f>FMS_Ranking4[[#This Row],[Length of roads at risk, ArcSinh (0-10)]]*AD$5*10</f>
        <v>5.9742571151320423</v>
      </c>
      <c r="AG125" s="253">
        <f>_xlfn.XLOOKUP(FMS_Ranking4[[#This Row],[FMS ID]],FMS_Input[FMS_ID],FMS_Input[FARMACRE100])</f>
        <v>346.02401733398438</v>
      </c>
      <c r="AH125" s="255">
        <f>(ASINH(FMS_Ranking4[[#This Row],[Ag Land Raw]]))*(10)/(ASINH(AG$4))</f>
        <v>4.2480402987295127</v>
      </c>
      <c r="AI125" s="260">
        <f>FMS_Ranking4[[#This Row],[Farm &amp; ranch land, ArcSinh (0-10)]]*AG$5*10</f>
        <v>2.1240201493647564</v>
      </c>
      <c r="AJ125" s="258">
        <f>_xlfn.XLOOKUP(FMS_Ranking4[[#This Row],[FMS ID]],FMS_Input[FMS_ID],FMS_Input[REDSTRUCT100])</f>
        <v>0</v>
      </c>
      <c r="AK125" s="253">
        <f>_xlfn.XLOOKUP(FMS_Ranking4[[#This Row],[FMS ID]],FMS_Input[FMS_ID],FMS_Input[REMSTRC100])</f>
        <v>0</v>
      </c>
      <c r="AL125" s="259">
        <f>(ASINH(FMS_Ranking4[[#This Row],[Structures Removed Raw]]))*(10)/(ASINH(AK$4))</f>
        <v>0</v>
      </c>
      <c r="AM125" s="262">
        <f>FMS_Ranking4[[#This Row],[Structures removed, ArcSinh (0-10)]]*AK$5*10</f>
        <v>0</v>
      </c>
      <c r="AN125" s="253">
        <f>_xlfn.XLOOKUP(FMS_Ranking4[[#This Row],[FMS ID]],FMS_Input[FMS_ID],FMS_Input[REMRESSTRC100])</f>
        <v>0</v>
      </c>
      <c r="AO125" s="261">
        <f>FMS_Ranking4[[#This Row],[ArcSinh Res struct removed 0-10]]*AN$5*10</f>
        <v>0</v>
      </c>
      <c r="AP125" s="260">
        <f>ASINH(FMS_Ranking4[[#This Row],[Residential Structures Removed Raw]])/AP$4*AN$5*100</f>
        <v>0</v>
      </c>
      <c r="AQ125" s="254">
        <f>(ASINH(FMS_Ranking4[[#This Row],[Residential Structures Removed Raw]]))*(10)/(ASINH(AN$4))</f>
        <v>0</v>
      </c>
      <c r="AR125" s="253">
        <f>_xlfn.XLOOKUP(FMS_Ranking4[[#This Row],[FMS ID]],FMS_Input[FMS_ID],FMS_Input[REMPOP100])</f>
        <v>0</v>
      </c>
      <c r="AS125" s="259">
        <f>(ASINH(FMS_Ranking4[[#This Row],[Removed Pop Raw]]))*(10)/(ASINH(AR$4))</f>
        <v>0</v>
      </c>
      <c r="AT125" s="262">
        <f>FMS_Ranking4[[#This Row],[Removed population, ArcSinh (0-10)]]*AR$5*10</f>
        <v>0</v>
      </c>
      <c r="AU125" s="264">
        <f>_xlfn.XLOOKUP(FMS_Ranking4[[#This Row],[FMS ID]],FMS_Input[FMS_ID],FMS_Input[REMCRITFAC100])</f>
        <v>0</v>
      </c>
      <c r="AV125" s="264">
        <f>_xlfn.XLOOKUP(FMS_Ranking4[[#This Row],[FMS ID]],FMS_Input[FMS_ID],FMS_Input[REMLWC100])</f>
        <v>0</v>
      </c>
      <c r="AW125" s="264">
        <f>_xlfn.XLOOKUP(FMS_Ranking4[[#This Row],[FMS ID]],FMS_Input[FMS_ID],FMS_Input[REMROADCLS])</f>
        <v>0</v>
      </c>
      <c r="AX125" s="264">
        <f>_xlfn.XLOOKUP(FMS_Ranking4[[#This Row],[FMS ID]],FMS_Input[FMS_ID],FMS_Input[REMFRMACRE100])</f>
        <v>0</v>
      </c>
      <c r="AY125" s="258">
        <f>_xlfn.XLOOKUP(FMS_Ranking4[[#This Row],[FMS ID]],FMS_Input[FMS_ID],FMS_Input[COSTSTRUCT])</f>
        <v>0</v>
      </c>
      <c r="AZ125" s="253">
        <f>_xlfn.XLOOKUP(FMS_Ranking4[[#This Row],[FMS ID]],FMS_Input[FMS_ID],FMS_Input[NATURE])</f>
        <v>0</v>
      </c>
      <c r="BA125" s="262">
        <f>(((FMS_Ranking4[[#This Row],[% NBS Raw]]/AZ$4)*100)*AZ$5)</f>
        <v>0</v>
      </c>
      <c r="BB125" s="251" t="str">
        <f>_xlfn.XLOOKUP(FMS_Ranking4[[#This Row],[FMS ID]],FMS_Input[FMS_ID],FMS_Input[WATER_SUP])</f>
        <v>No</v>
      </c>
      <c r="BC125" s="265">
        <f>IF(FMS_Ranking4[[#This Row],[Water Supply Raw]]="Yes",10,0)</f>
        <v>0</v>
      </c>
      <c r="BD125" s="266">
        <f>_xlfn.XLOOKUP(FMS_Ranking4[[#This Row],[FMS Type]],FMS_TYPE[FMS_Type],FMS_TYPE[Score])</f>
        <v>4</v>
      </c>
      <c r="BE125" s="267">
        <f>FMS_Ranking4[[#This Row],[FMS_Type Score]]*$BD$5*10</f>
        <v>1</v>
      </c>
      <c r="BF12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1.0680050239660521</v>
      </c>
      <c r="BG125" s="271">
        <f>_xlfn.RANK.EQ(BF125,$BF$8:$BF$870,0)+COUNTIF($BF$8:BF125,BF125)-1</f>
        <v>138</v>
      </c>
      <c r="BH125" s="268">
        <f>(((FMS_Ranking4[[#This Row],[Structures Removed Raw]]/AK$4)*100)*AK$5)+(((FMS_Ranking4[[#This Row],[Removed Pop Raw]]/AR$4)*100)*AR$5)</f>
        <v>0</v>
      </c>
      <c r="BI12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2.0680050239660521</v>
      </c>
      <c r="BJ125" s="205">
        <f>_xlfn.RANK.EQ(FMS_Ranking4[[#This Row],[Total Score 
(with linear
normalization)]],FMS_Ranking4[Total Score 
(with linear
normalization)],0)</f>
        <v>379</v>
      </c>
      <c r="BK125" s="205" t="e">
        <f>_xlfn.XLOOKUP(FMS_Ranking4[[#This Row],[FMS ID]],#REF!,#REF!)</f>
        <v>#REF!</v>
      </c>
      <c r="BL12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34.281042821646935</v>
      </c>
      <c r="BM125" s="272">
        <f>FMS_Ranking4[[#This Row],[ArcSinh Score Based on Normalized Reported Factors]]+FMS_Ranking4[[#This Row],[% NBS Score (Normalized)]]+(FMS_Ranking4[[#This Row],[Water Supply Score (Normalized)]]*10*$BB$5)+FMS_Ranking4[[#This Row],[FMS_Type Score Weighted]]</f>
        <v>35.281042821646935</v>
      </c>
      <c r="BN125" s="205">
        <f>_xlfn.RANK.EQ(FMS_Ranking4[[#This Row],[Total Score (with ArcSinh normalization of select criteria)]],FMS_Ranking4[Total Score (with ArcSinh normalization of select criteria)],0)</f>
        <v>118</v>
      </c>
      <c r="BO125" s="270" t="str">
        <f>_xlfn.XLOOKUP(FMS_Ranking4[[#This Row],[FMS ID]],FMS_Input[FMS_ID],FMS_Input[FMS_RANK_YEAR])</f>
        <v>2023 Amended Plan</v>
      </c>
      <c r="BP125" s="204">
        <f>_xlfn.XLOOKUP(FMS_Ranking4[[#This Row],[FMS ID]],Prev_Rank[FMS ID],Prev_Rank[Prev Rank])</f>
        <v>100</v>
      </c>
      <c r="BQ125" s="205" t="e">
        <f>_xlfn.XLOOKUP(FMS_Ranking4[[#This Row],[FMS ID]],#REF!,#REF!)</f>
        <v>#REF!</v>
      </c>
      <c r="BR125" s="199" t="e">
        <f>SUM(#REF!,#REF!,#REF!,#REF!,#REF!,#REF!,#REF!,#REF!,#REF!,FMS_Ranking4[[#This Row],[ArcSinh Res struct removed 0-10]],#REF!)</f>
        <v>#REF!</v>
      </c>
      <c r="BS125" s="199" t="e">
        <f>FMS_Ranking4[[#This Row],[Log Score Based on Normalized Reported Factors]]+FMS_Ranking4[[#This Row],[% NBS Score (Normalized)]]+(FMS_Ranking4[[#This Row],[Water Supply Score (Normalized)]]*10*$BB$5)+(FMS_Ranking4[[#This Row],[FMS_Type Score Weighted]])</f>
        <v>#REF!</v>
      </c>
      <c r="BT125" s="200" t="e">
        <f>_xlfn.RANK.EQ(FMS_Ranking4[[#This Row],[Log Total Score]],FMS_Ranking4[Log Total Score],0)</f>
        <v>#REF!</v>
      </c>
      <c r="BU125" s="200" t="e">
        <f>_xlfn.XLOOKUP(FMS_Ranking4[[#This Row],[FMS ID]],#REF!,#REF!)</f>
        <v>#REF!</v>
      </c>
      <c r="BV125" s="200">
        <f>FMS_Ranking4[[#This Row],[Region Number]]</f>
        <v>5</v>
      </c>
      <c r="BW125" s="200">
        <f>FMS_Ranking4[[#This Row],[Rank (with ArcSinh normalization of select criteria)]]-FMS_Ranking4[[#This Row],[Rank
(with linear
normalization)]]</f>
        <v>-261</v>
      </c>
      <c r="BX125" s="200" t="e">
        <f>FMS_Ranking4[[#This Row],[Log Rank]]-FMS_Ranking4[[#This Row],[Rank
(with linear
normalization)]]</f>
        <v>#REF!</v>
      </c>
      <c r="BY125" s="200" t="str">
        <f>IF(FMS_Ranking4[[#This Row],[FMS Type]]="Flood Measurement and Warning",FMS_Ranking4[[#This Row],[Rank (with ArcSinh normalization of select criteria)]],"")</f>
        <v/>
      </c>
      <c r="BZ125" s="200" t="str">
        <f>IF(FMS_Ranking4[[#This Row],[FMS Type]]="Regulatory and Guidance",FMS_Ranking4[[#This Row],[Rank (with ArcSinh normalization of select criteria)]],"")</f>
        <v/>
      </c>
      <c r="CA125" s="200" t="str">
        <f>IF(FMS_Ranking4[[#This Row],[FMS Type]]="Education and Outreach",FMS_Ranking4[[#This Row],[Rank (with ArcSinh normalization of select criteria)]],"")</f>
        <v/>
      </c>
      <c r="CB125" s="200" t="str">
        <f>IF(FMS_Ranking4[[#This Row],[FMS Type]]="Property Acquisition and Structural Elevation",FMS_Ranking4[[#This Row],[Rank (with ArcSinh normalization of select criteria)]],"")</f>
        <v/>
      </c>
      <c r="CC125" s="200">
        <f>IF(FMS_Ranking4[[#This Row],[FMS Type]]="Infrastructure Projects",FMS_Ranking4[[#This Row],[Rank (with ArcSinh normalization of select criteria)]],"")</f>
        <v>118</v>
      </c>
      <c r="CD125" s="200" t="str">
        <f>IF(FMS_Ranking4[[#This Row],[FMS Type]]="Other",FMS_Ranking4[[#This Row],[Rank (with ArcSinh normalization of select criteria)]],"")</f>
        <v/>
      </c>
      <c r="CE125" s="201"/>
    </row>
    <row r="126" spans="2:83" ht="45" x14ac:dyDescent="0.25">
      <c r="B126" s="341" t="s">
        <v>819</v>
      </c>
      <c r="C126" s="246">
        <f>_xlfn.XLOOKUP(FMS_Ranking4[[#This Row],[FMS ID]],FMS_Input[FMS_ID],FMS_Input[RFPG_NUM])</f>
        <v>9</v>
      </c>
      <c r="D126" s="309" t="str">
        <f>_xlfn.XLOOKUP(FMS_Ranking4[[#This Row],[FMS ID]],FMS_Input[FMS_ID],FMS_Input[FMS_NAME])</f>
        <v>Runnels County Higher Standareds Program</v>
      </c>
      <c r="E126" s="308" t="str">
        <f>_xlfn.XLOOKUP(FMS_Ranking4[[#This Row],[FMS ID]],FMS_Input[FMS_ID],FMS_Input[SPONSOR])</f>
        <v>00000124</v>
      </c>
      <c r="F126" s="309" t="str">
        <f>_xlfn.XLOOKUP(FMS_Ranking4[[#This Row],[FMS ID]],Sponsor[FMS_ID],Sponsor[SPONSOR NAME])</f>
        <v>Concho</v>
      </c>
      <c r="G126" s="309" t="str">
        <f>_xlfn.XLOOKUP(FMS_Ranking4[[#This Row],[FMS ID]],FMS_Input[FMS_ID],FMS_Input[FMS_DESCR])</f>
        <v xml:space="preserve">Adopt higher floodplain standards. Restrict future development in high risk areas. </v>
      </c>
      <c r="H126" s="248" t="str">
        <f>_xlfn.XLOOKUP(FMS_Ranking4[[#This Row],[FMS ID]],FMS_Input[FMS_ID],FMS_Input[FMS_TYPE])</f>
        <v>Other</v>
      </c>
      <c r="I126" s="249">
        <f>_xlfn.XLOOKUP(FMS_Ranking4[[#This Row],[FMS ID]],FMS_Input[FMS_ID],FMS_Input[NRNC_COST])</f>
        <v>75000</v>
      </c>
      <c r="J126" s="250">
        <f>_xlfn.XLOOKUP(FMS_Ranking4[[#This Row],[FMS ID]],FMS_Input[FMS_ID],FMS_Input[FMS_COST])</f>
        <v>100000</v>
      </c>
      <c r="K126" s="251" t="str">
        <f>_xlfn.XLOOKUP(FMS_Ranking4[[#This Row],[FMS ID]],FMS_Input[FMS_ID],FMS_Input[EMER_NEED])</f>
        <v>No</v>
      </c>
      <c r="L126" s="252">
        <f t="shared" si="1"/>
        <v>0</v>
      </c>
      <c r="M126" s="253">
        <f>_xlfn.XLOOKUP(FMS_Ranking4[[#This Row],[FMS ID]],FMS_Input[FMS_ID],FMS_Input[STRUCT_100])</f>
        <v>164</v>
      </c>
      <c r="N126" s="255">
        <f>(ASINH(FMS_Ranking4[[#This Row],[Structure at Risk Raw]]))*(10)/(ASINH(M$4))</f>
        <v>4.5541785457588011</v>
      </c>
      <c r="O126" s="256">
        <f>FMS_Ranking4[[#This Row],[Structures at risk, ArcSinh (0-10)]]*M$5*10</f>
        <v>4.5541785457588011</v>
      </c>
      <c r="P126" s="253">
        <f>_xlfn.XLOOKUP(FMS_Ranking4[[#This Row],[FMS ID]],FMS_Input[FMS_ID],FMS_Input[RES_STRUCT100])</f>
        <v>41</v>
      </c>
      <c r="Q126" s="257">
        <f>ASINH(FMS_Ranking4[[#This Row],[Res Structure Raw]])/Q$4*P$5*100</f>
        <v>0</v>
      </c>
      <c r="R126" s="253">
        <f>_xlfn.XLOOKUP(FMS_Ranking4[[#This Row],[FMS ID]],FMS_Input[FMS_ID],FMS_Input[POP100])</f>
        <v>178</v>
      </c>
      <c r="S126" s="255">
        <f>(ASINH(FMS_Ranking4[[#This Row],[Pop at Risk Raw]]))*(10)/(ASINH(R$4))</f>
        <v>4.0558121569707852</v>
      </c>
      <c r="T126" s="256">
        <f>FMS_Ranking4[[#This Row],[Population at risk, ArcSinh (0-10)]]*R$5*10</f>
        <v>4.0558121569707852</v>
      </c>
      <c r="U126" s="253">
        <f>_xlfn.XLOOKUP(FMS_Ranking4[[#This Row],[FMS ID]],FMS_Input[FMS_ID],FMS_Input[CRITFAC100])</f>
        <v>0</v>
      </c>
      <c r="V126" s="255">
        <f>(ASINH(FMS_Ranking4[[#This Row],[Critical Facilities Raw]]))*(10)/(ASINH(U$4))</f>
        <v>0</v>
      </c>
      <c r="W126" s="256">
        <f>FMS_Ranking4[[#This Row],[Critical facilities at risk, ArcSinh (0-10)]]*U$5*10</f>
        <v>0</v>
      </c>
      <c r="X126" s="253">
        <f>_xlfn.XLOOKUP(FMS_Ranking4[[#This Row],[FMS ID]],FMS_Input[FMS_ID],FMS_Input[LWC])</f>
        <v>18</v>
      </c>
      <c r="Y126" s="255">
        <f>(ASINH(FMS_Ranking4[[#This Row],[LWC Raw]]))*(10)/(ASINH(X$4))</f>
        <v>4.8557725986155553</v>
      </c>
      <c r="Z126" s="256">
        <f>FMS_Ranking4[[#This Row],[LWC, ArcSInh (0-10)]]*X$5*10</f>
        <v>4.8557725986155553</v>
      </c>
      <c r="AA126" s="253">
        <f>_xlfn.XLOOKUP(FMS_Ranking4[[#This Row],[FMS ID]],FMS_Input[FMS_ID],FMS_Input[ROADCLS])</f>
        <v>0</v>
      </c>
      <c r="AB126" s="255">
        <f>(ASINH(FMS_Ranking4[[#This Row],[Road Closures Raw]]))*(10)/(ASINH(AA$4))</f>
        <v>0</v>
      </c>
      <c r="AC126" s="256">
        <f>FMS_Ranking4[[#This Row],[Road closures, ArcSinh (0-10)]]*AA$5*10</f>
        <v>0</v>
      </c>
      <c r="AD126" s="253">
        <f>_xlfn.XLOOKUP(FMS_Ranking4[[#This Row],[FMS ID]],FMS_Input[FMS_ID],FMS_Input[ROAD_MILES100])</f>
        <v>125</v>
      </c>
      <c r="AE126" s="255">
        <f>(ASINH(FMS_Ranking4[[#This Row],[Road Miles Raw]]))*(10)/(ASINH(AD$4))</f>
        <v>5.8843753018750444</v>
      </c>
      <c r="AF126" s="256">
        <f>FMS_Ranking4[[#This Row],[Length of roads at risk, ArcSinh (0-10)]]*AD$5*10</f>
        <v>5.8843753018750444</v>
      </c>
      <c r="AG126" s="253">
        <f>_xlfn.XLOOKUP(FMS_Ranking4[[#This Row],[FMS ID]],FMS_Input[FMS_ID],FMS_Input[FARMACRE100])</f>
        <v>39209.76953125</v>
      </c>
      <c r="AH126" s="255">
        <f>(ASINH(FMS_Ranking4[[#This Row],[Ag Land Raw]]))*(10)/(ASINH(AG$4))</f>
        <v>7.3206716898267468</v>
      </c>
      <c r="AI126" s="260">
        <f>FMS_Ranking4[[#This Row],[Farm &amp; ranch land, ArcSinh (0-10)]]*AG$5*10</f>
        <v>3.6603358449133738</v>
      </c>
      <c r="AJ126" s="258">
        <f>_xlfn.XLOOKUP(FMS_Ranking4[[#This Row],[FMS ID]],FMS_Input[FMS_ID],FMS_Input[REDSTRUCT100])</f>
        <v>41</v>
      </c>
      <c r="AK126" s="253">
        <f>_xlfn.XLOOKUP(FMS_Ranking4[[#This Row],[FMS ID]],FMS_Input[FMS_ID],FMS_Input[REMSTRC100])</f>
        <v>41</v>
      </c>
      <c r="AL126" s="255">
        <f>(ASINH(FMS_Ranking4[[#This Row],[Structures Removed Raw]]))*(10)/(ASINH(AK$4))</f>
        <v>5.0175337091178109</v>
      </c>
      <c r="AM126" s="262">
        <f>FMS_Ranking4[[#This Row],[Structures removed, ArcSinh (0-10)]]*AK$5*10</f>
        <v>5.0175337091178109</v>
      </c>
      <c r="AN126" s="253">
        <f>_xlfn.XLOOKUP(FMS_Ranking4[[#This Row],[FMS ID]],FMS_Input[FMS_ID],FMS_Input[REMRESSTRC100])</f>
        <v>10</v>
      </c>
      <c r="AO126" s="261">
        <f>FMS_Ranking4[[#This Row],[ArcSinh Res struct removed 0-10]]*AN$5*10</f>
        <v>1.7585371136031225</v>
      </c>
      <c r="AP126" s="260">
        <f>ASINH(FMS_Ranking4[[#This Row],[Residential Structures Removed Raw]])/AP$4*AN$5*100</f>
        <v>1.7585371136031223</v>
      </c>
      <c r="AQ126" s="258">
        <f>(ASINH(FMS_Ranking4[[#This Row],[Residential Structures Removed Raw]]))*(10)/(ASINH(AN$4))</f>
        <v>3.5170742272062445</v>
      </c>
      <c r="AR126" s="253">
        <f>_xlfn.XLOOKUP(FMS_Ranking4[[#This Row],[FMS ID]],FMS_Input[FMS_ID],FMS_Input[REMPOP100])</f>
        <v>62</v>
      </c>
      <c r="AS126" s="255">
        <f>(ASINH(FMS_Ranking4[[#This Row],[Removed Pop Raw]]))*(10)/(ASINH(AR$4))</f>
        <v>4.7317507597016544</v>
      </c>
      <c r="AT126" s="262">
        <f>FMS_Ranking4[[#This Row],[Removed population, ArcSinh (0-10)]]*AR$5*10</f>
        <v>4.7317507597016544</v>
      </c>
      <c r="AU126" s="264">
        <f>_xlfn.XLOOKUP(FMS_Ranking4[[#This Row],[FMS ID]],FMS_Input[FMS_ID],FMS_Input[REMCRITFAC100])</f>
        <v>0</v>
      </c>
      <c r="AV126" s="264">
        <f>_xlfn.XLOOKUP(FMS_Ranking4[[#This Row],[FMS ID]],FMS_Input[FMS_ID],FMS_Input[REMLWC100])</f>
        <v>4</v>
      </c>
      <c r="AW126" s="264">
        <f>_xlfn.XLOOKUP(FMS_Ranking4[[#This Row],[FMS ID]],FMS_Input[FMS_ID],FMS_Input[REMROADCLS])</f>
        <v>0</v>
      </c>
      <c r="AX126" s="264">
        <f>_xlfn.XLOOKUP(FMS_Ranking4[[#This Row],[FMS ID]],FMS_Input[FMS_ID],FMS_Input[REMFRMACRE100])</f>
        <v>9802.4423828125</v>
      </c>
      <c r="AY126" s="258">
        <f>_xlfn.XLOOKUP(FMS_Ranking4[[#This Row],[FMS ID]],FMS_Input[FMS_ID],FMS_Input[COSTSTRUCT])</f>
        <v>25000</v>
      </c>
      <c r="AZ126" s="253">
        <f>_xlfn.XLOOKUP(FMS_Ranking4[[#This Row],[FMS ID]],FMS_Input[FMS_ID],FMS_Input[NATURE])</f>
        <v>0</v>
      </c>
      <c r="BA126" s="262">
        <f>(((FMS_Ranking4[[#This Row],[% NBS Raw]]/AZ$4)*100)*AZ$5)</f>
        <v>0</v>
      </c>
      <c r="BB126" s="251" t="str">
        <f>_xlfn.XLOOKUP(FMS_Ranking4[[#This Row],[FMS ID]],FMS_Input[FMS_ID],FMS_Input[WATER_SUP])</f>
        <v>No</v>
      </c>
      <c r="BC126" s="265">
        <f>IF(FMS_Ranking4[[#This Row],[Water Supply Raw]]="Yes",10,0)</f>
        <v>0</v>
      </c>
      <c r="BD126" s="266">
        <f>_xlfn.XLOOKUP(FMS_Ranking4[[#This Row],[FMS Type]],FMS_TYPE[FMS_Type],FMS_TYPE[Score])</f>
        <v>2</v>
      </c>
      <c r="BE126" s="267">
        <f>FMS_Ranking4[[#This Row],[FMS_Type Score]]*$BD$5*10</f>
        <v>0.5</v>
      </c>
      <c r="BF12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0.52692665977293718</v>
      </c>
      <c r="BG126" s="321">
        <f>_xlfn.RANK.EQ(BF126,$BF$8:$BF$870,0)+COUNTIF($BF$8:BF126,BF126)-1</f>
        <v>213</v>
      </c>
      <c r="BH126" s="294">
        <f>(((FMS_Ranking4[[#This Row],[Structures Removed Raw]]/AK$4)*100)*AK$5)+(((FMS_Ranking4[[#This Row],[Removed Pop Raw]]/AR$4)*100)*AR$5)</f>
        <v>0.17241153588552641</v>
      </c>
      <c r="BI12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1.1993381956584637</v>
      </c>
      <c r="BJ126" s="251">
        <f>_xlfn.RANK.EQ(FMS_Ranking4[[#This Row],[Total Score 
(with linear
normalization)]],FMS_Ranking4[Total Score 
(with linear
normalization)],0)</f>
        <v>645</v>
      </c>
      <c r="BK126" s="251" t="e">
        <f>_xlfn.XLOOKUP(FMS_Ranking4[[#This Row],[FMS ID]],#REF!,#REF!)</f>
        <v>#REF!</v>
      </c>
      <c r="BL12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34.518296030556144</v>
      </c>
      <c r="BM126" s="324">
        <f>FMS_Ranking4[[#This Row],[ArcSinh Score Based on Normalized Reported Factors]]+FMS_Ranking4[[#This Row],[% NBS Score (Normalized)]]+(FMS_Ranking4[[#This Row],[Water Supply Score (Normalized)]]*10*$BB$5)+FMS_Ranking4[[#This Row],[FMS_Type Score Weighted]]</f>
        <v>35.018296030556144</v>
      </c>
      <c r="BN126" s="251">
        <f>_xlfn.RANK.EQ(FMS_Ranking4[[#This Row],[Total Score (with ArcSinh normalization of select criteria)]],FMS_Ranking4[Total Score (with ArcSinh normalization of select criteria)],0)</f>
        <v>119</v>
      </c>
      <c r="BO126" s="270" t="str">
        <f>_xlfn.XLOOKUP(FMS_Ranking4[[#This Row],[FMS ID]],FMS_Input[FMS_ID],FMS_Input[FMS_RANK_YEAR])</f>
        <v>2023 Amended Plan</v>
      </c>
      <c r="BP126" s="204">
        <f>_xlfn.XLOOKUP(FMS_Ranking4[[#This Row],[FMS ID]],Prev_Rank[FMS ID],Prev_Rank[Prev Rank])</f>
        <v>124</v>
      </c>
      <c r="BQ126" s="251" t="e">
        <f>_xlfn.XLOOKUP(FMS_Ranking4[[#This Row],[FMS ID]],#REF!,#REF!)</f>
        <v>#REF!</v>
      </c>
      <c r="BR126" s="199" t="e">
        <f>SUM(#REF!,#REF!,#REF!,#REF!,#REF!,#REF!,#REF!,#REF!,#REF!,FMS_Ranking4[[#This Row],[ArcSinh Res struct removed 0-10]],#REF!)</f>
        <v>#REF!</v>
      </c>
      <c r="BS126" s="199" t="e">
        <f>FMS_Ranking4[[#This Row],[Log Score Based on Normalized Reported Factors]]+FMS_Ranking4[[#This Row],[% NBS Score (Normalized)]]+(FMS_Ranking4[[#This Row],[Water Supply Score (Normalized)]]*10*$BB$5)+(FMS_Ranking4[[#This Row],[FMS_Type Score Weighted]])</f>
        <v>#REF!</v>
      </c>
      <c r="BT126" s="200" t="e">
        <f>_xlfn.RANK.EQ(FMS_Ranking4[[#This Row],[Log Total Score]],FMS_Ranking4[Log Total Score],0)</f>
        <v>#REF!</v>
      </c>
      <c r="BU126" s="200" t="e">
        <f>_xlfn.XLOOKUP(FMS_Ranking4[[#This Row],[FMS ID]],#REF!,#REF!)</f>
        <v>#REF!</v>
      </c>
      <c r="BV126" s="200">
        <f>FMS_Ranking4[[#This Row],[Region Number]]</f>
        <v>9</v>
      </c>
      <c r="BW126" s="200">
        <f>FMS_Ranking4[[#This Row],[Rank (with ArcSinh normalization of select criteria)]]-FMS_Ranking4[[#This Row],[Rank
(with linear
normalization)]]</f>
        <v>-526</v>
      </c>
      <c r="BX126" s="200" t="e">
        <f>FMS_Ranking4[[#This Row],[Log Rank]]-FMS_Ranking4[[#This Row],[Rank
(with linear
normalization)]]</f>
        <v>#REF!</v>
      </c>
      <c r="BY126" s="200" t="str">
        <f>IF(FMS_Ranking4[[#This Row],[FMS Type]]="Flood Measurement and Warning",FMS_Ranking4[[#This Row],[Rank (with ArcSinh normalization of select criteria)]],"")</f>
        <v/>
      </c>
      <c r="BZ126" s="200" t="str">
        <f>IF(FMS_Ranking4[[#This Row],[FMS Type]]="Regulatory and Guidance",FMS_Ranking4[[#This Row],[Rank (with ArcSinh normalization of select criteria)]],"")</f>
        <v/>
      </c>
      <c r="CA126" s="200" t="str">
        <f>IF(FMS_Ranking4[[#This Row],[FMS Type]]="Education and Outreach",FMS_Ranking4[[#This Row],[Rank (with ArcSinh normalization of select criteria)]],"")</f>
        <v/>
      </c>
      <c r="CB126" s="200" t="str">
        <f>IF(FMS_Ranking4[[#This Row],[FMS Type]]="Property Acquisition and Structural Elevation",FMS_Ranking4[[#This Row],[Rank (with ArcSinh normalization of select criteria)]],"")</f>
        <v/>
      </c>
      <c r="CC126" s="200" t="str">
        <f>IF(FMS_Ranking4[[#This Row],[FMS Type]]="Infrastructure Projects",FMS_Ranking4[[#This Row],[Rank (with ArcSinh normalization of select criteria)]],"")</f>
        <v/>
      </c>
      <c r="CD126" s="200">
        <f>IF(FMS_Ranking4[[#This Row],[FMS Type]]="Other",FMS_Ranking4[[#This Row],[Rank (with ArcSinh normalization of select criteria)]],"")</f>
        <v>119</v>
      </c>
      <c r="CE126" s="201"/>
    </row>
    <row r="127" spans="2:83" ht="120" x14ac:dyDescent="0.25">
      <c r="B127" s="341" t="s">
        <v>815</v>
      </c>
      <c r="C127" s="246">
        <f>_xlfn.XLOOKUP(FMS_Ranking4[[#This Row],[FMS ID]],FMS_Input[FMS_ID],FMS_Input[RFPG_NUM])</f>
        <v>9</v>
      </c>
      <c r="D127" s="309" t="str">
        <f>_xlfn.XLOOKUP(FMS_Ranking4[[#This Row],[FMS ID]],FMS_Input[FMS_ID],FMS_Input[FMS_NAME])</f>
        <v>Runnels County Flood Awareness Program</v>
      </c>
      <c r="E127" s="308" t="str">
        <f>_xlfn.XLOOKUP(FMS_Ranking4[[#This Row],[FMS ID]],FMS_Input[FMS_ID],FMS_Input[SPONSOR])</f>
        <v>00000124</v>
      </c>
      <c r="F127" s="309" t="str">
        <f>_xlfn.XLOOKUP(FMS_Ranking4[[#This Row],[FMS ID]],Sponsor[FMS_ID],Sponsor[SPONSOR NAME])</f>
        <v>Concho</v>
      </c>
      <c r="G127" s="309" t="str">
        <f>_xlfn.XLOOKUP(FMS_Ranking4[[#This Row],[FMS ID]],FMS_Input[FMS_ID],FMS_Input[FMS_DESCR])</f>
        <v xml:space="preserve">Implement education and awareness program utilizing media, social media, bulletins, flyers, etc. to educate citizens of hazards that can threaten the area and mitigation measures to reduce injuries, fatalities, and property damages.  </v>
      </c>
      <c r="H127" s="248" t="str">
        <f>_xlfn.XLOOKUP(FMS_Ranking4[[#This Row],[FMS ID]],FMS_Input[FMS_ID],FMS_Input[FMS_TYPE])</f>
        <v>Other</v>
      </c>
      <c r="I127" s="249">
        <f>_xlfn.XLOOKUP(FMS_Ranking4[[#This Row],[FMS ID]],FMS_Input[FMS_ID],FMS_Input[NRNC_COST])</f>
        <v>5000</v>
      </c>
      <c r="J127" s="250">
        <f>_xlfn.XLOOKUP(FMS_Ranking4[[#This Row],[FMS ID]],FMS_Input[FMS_ID],FMS_Input[FMS_COST])</f>
        <v>30000</v>
      </c>
      <c r="K127" s="251" t="str">
        <f>_xlfn.XLOOKUP(FMS_Ranking4[[#This Row],[FMS ID]],FMS_Input[FMS_ID],FMS_Input[EMER_NEED])</f>
        <v>No</v>
      </c>
      <c r="L127" s="252">
        <f t="shared" si="1"/>
        <v>0</v>
      </c>
      <c r="M127" s="253">
        <f>_xlfn.XLOOKUP(FMS_Ranking4[[#This Row],[FMS ID]],FMS_Input[FMS_ID],FMS_Input[STRUCT_100])</f>
        <v>164</v>
      </c>
      <c r="N127" s="255">
        <f>(ASINH(FMS_Ranking4[[#This Row],[Structure at Risk Raw]]))*(10)/(ASINH(M$4))</f>
        <v>4.5541785457588011</v>
      </c>
      <c r="O127" s="256">
        <f>FMS_Ranking4[[#This Row],[Structures at risk, ArcSinh (0-10)]]*M$5*10</f>
        <v>4.5541785457588011</v>
      </c>
      <c r="P127" s="253">
        <f>_xlfn.XLOOKUP(FMS_Ranking4[[#This Row],[FMS ID]],FMS_Input[FMS_ID],FMS_Input[RES_STRUCT100])</f>
        <v>41</v>
      </c>
      <c r="Q127" s="257">
        <f>ASINH(FMS_Ranking4[[#This Row],[Res Structure Raw]])/Q$4*P$5*100</f>
        <v>0</v>
      </c>
      <c r="R127" s="253">
        <f>_xlfn.XLOOKUP(FMS_Ranking4[[#This Row],[FMS ID]],FMS_Input[FMS_ID],FMS_Input[POP100])</f>
        <v>178</v>
      </c>
      <c r="S127" s="259">
        <f>(ASINH(FMS_Ranking4[[#This Row],[Pop at Risk Raw]]))*(10)/(ASINH(R$4))</f>
        <v>4.0558121569707852</v>
      </c>
      <c r="T127" s="256">
        <f>FMS_Ranking4[[#This Row],[Population at risk, ArcSinh (0-10)]]*R$5*10</f>
        <v>4.0558121569707852</v>
      </c>
      <c r="U127" s="253">
        <f>_xlfn.XLOOKUP(FMS_Ranking4[[#This Row],[FMS ID]],FMS_Input[FMS_ID],FMS_Input[CRITFAC100])</f>
        <v>0</v>
      </c>
      <c r="V127" s="259">
        <f>(ASINH(FMS_Ranking4[[#This Row],[Critical Facilities Raw]]))*(10)/(ASINH(U$4))</f>
        <v>0</v>
      </c>
      <c r="W127" s="256">
        <f>FMS_Ranking4[[#This Row],[Critical facilities at risk, ArcSinh (0-10)]]*U$5*10</f>
        <v>0</v>
      </c>
      <c r="X127" s="253">
        <f>_xlfn.XLOOKUP(FMS_Ranking4[[#This Row],[FMS ID]],FMS_Input[FMS_ID],FMS_Input[LWC])</f>
        <v>18</v>
      </c>
      <c r="Y127" s="259">
        <f>(ASINH(FMS_Ranking4[[#This Row],[LWC Raw]]))*(10)/(ASINH(X$4))</f>
        <v>4.8557725986155553</v>
      </c>
      <c r="Z127" s="256">
        <f>FMS_Ranking4[[#This Row],[LWC, ArcSInh (0-10)]]*X$5*10</f>
        <v>4.8557725986155553</v>
      </c>
      <c r="AA127" s="253">
        <f>_xlfn.XLOOKUP(FMS_Ranking4[[#This Row],[FMS ID]],FMS_Input[FMS_ID],FMS_Input[ROADCLS])</f>
        <v>0</v>
      </c>
      <c r="AB127" s="255">
        <f>(ASINH(FMS_Ranking4[[#This Row],[Road Closures Raw]]))*(10)/(ASINH(AA$4))</f>
        <v>0</v>
      </c>
      <c r="AC127" s="256">
        <f>FMS_Ranking4[[#This Row],[Road closures, ArcSinh (0-10)]]*AA$5*10</f>
        <v>0</v>
      </c>
      <c r="AD127" s="253">
        <f>_xlfn.XLOOKUP(FMS_Ranking4[[#This Row],[FMS ID]],FMS_Input[FMS_ID],FMS_Input[ROAD_MILES100])</f>
        <v>125</v>
      </c>
      <c r="AE127" s="259">
        <f>(ASINH(FMS_Ranking4[[#This Row],[Road Miles Raw]]))*(10)/(ASINH(AD$4))</f>
        <v>5.8843753018750444</v>
      </c>
      <c r="AF127" s="256">
        <f>FMS_Ranking4[[#This Row],[Length of roads at risk, ArcSinh (0-10)]]*AD$5*10</f>
        <v>5.8843753018750444</v>
      </c>
      <c r="AG127" s="253">
        <f>_xlfn.XLOOKUP(FMS_Ranking4[[#This Row],[FMS ID]],FMS_Input[FMS_ID],FMS_Input[FARMACRE100])</f>
        <v>39209.76953125</v>
      </c>
      <c r="AH127" s="255">
        <f>(ASINH(FMS_Ranking4[[#This Row],[Ag Land Raw]]))*(10)/(ASINH(AG$4))</f>
        <v>7.3206716898267468</v>
      </c>
      <c r="AI127" s="260">
        <f>FMS_Ranking4[[#This Row],[Farm &amp; ranch land, ArcSinh (0-10)]]*AG$5*10</f>
        <v>3.6603358449133738</v>
      </c>
      <c r="AJ127" s="258">
        <f>_xlfn.XLOOKUP(FMS_Ranking4[[#This Row],[FMS ID]],FMS_Input[FMS_ID],FMS_Input[REDSTRUCT100])</f>
        <v>41</v>
      </c>
      <c r="AK127" s="253">
        <f>_xlfn.XLOOKUP(FMS_Ranking4[[#This Row],[FMS ID]],FMS_Input[FMS_ID],FMS_Input[REMSTRC100])</f>
        <v>41</v>
      </c>
      <c r="AL127" s="259">
        <f>(ASINH(FMS_Ranking4[[#This Row],[Structures Removed Raw]]))*(10)/(ASINH(AK$4))</f>
        <v>5.0175337091178109</v>
      </c>
      <c r="AM127" s="262">
        <f>FMS_Ranking4[[#This Row],[Structures removed, ArcSinh (0-10)]]*AK$5*10</f>
        <v>5.0175337091178109</v>
      </c>
      <c r="AN127" s="253">
        <f>_xlfn.XLOOKUP(FMS_Ranking4[[#This Row],[FMS ID]],FMS_Input[FMS_ID],FMS_Input[REMRESSTRC100])</f>
        <v>10</v>
      </c>
      <c r="AO127" s="261">
        <f>FMS_Ranking4[[#This Row],[ArcSinh Res struct removed 0-10]]*AN$5*10</f>
        <v>1.7585371136031225</v>
      </c>
      <c r="AP127" s="260">
        <f>ASINH(FMS_Ranking4[[#This Row],[Residential Structures Removed Raw]])/AP$4*AN$5*100</f>
        <v>1.7585371136031223</v>
      </c>
      <c r="AQ127" s="254">
        <f>(ASINH(FMS_Ranking4[[#This Row],[Residential Structures Removed Raw]]))*(10)/(ASINH(AN$4))</f>
        <v>3.5170742272062445</v>
      </c>
      <c r="AR127" s="253">
        <f>_xlfn.XLOOKUP(FMS_Ranking4[[#This Row],[FMS ID]],FMS_Input[FMS_ID],FMS_Input[REMPOP100])</f>
        <v>62</v>
      </c>
      <c r="AS127" s="259">
        <f>(ASINH(FMS_Ranking4[[#This Row],[Removed Pop Raw]]))*(10)/(ASINH(AR$4))</f>
        <v>4.7317507597016544</v>
      </c>
      <c r="AT127" s="262">
        <f>FMS_Ranking4[[#This Row],[Removed population, ArcSinh (0-10)]]*AR$5*10</f>
        <v>4.7317507597016544</v>
      </c>
      <c r="AU127" s="264">
        <f>_xlfn.XLOOKUP(FMS_Ranking4[[#This Row],[FMS ID]],FMS_Input[FMS_ID],FMS_Input[REMCRITFAC100])</f>
        <v>0</v>
      </c>
      <c r="AV127" s="264">
        <f>_xlfn.XLOOKUP(FMS_Ranking4[[#This Row],[FMS ID]],FMS_Input[FMS_ID],FMS_Input[REMLWC100])</f>
        <v>4</v>
      </c>
      <c r="AW127" s="264">
        <f>_xlfn.XLOOKUP(FMS_Ranking4[[#This Row],[FMS ID]],FMS_Input[FMS_ID],FMS_Input[REMROADCLS])</f>
        <v>0</v>
      </c>
      <c r="AX127" s="264">
        <f>_xlfn.XLOOKUP(FMS_Ranking4[[#This Row],[FMS ID]],FMS_Input[FMS_ID],FMS_Input[REMFRMACRE100])</f>
        <v>9802.4423828125</v>
      </c>
      <c r="AY127" s="258">
        <f>_xlfn.XLOOKUP(FMS_Ranking4[[#This Row],[FMS ID]],FMS_Input[FMS_ID],FMS_Input[COSTSTRUCT])</f>
        <v>25000</v>
      </c>
      <c r="AZ127" s="253">
        <f>_xlfn.XLOOKUP(FMS_Ranking4[[#This Row],[FMS ID]],FMS_Input[FMS_ID],FMS_Input[NATURE])</f>
        <v>0</v>
      </c>
      <c r="BA127" s="262">
        <f>(((FMS_Ranking4[[#This Row],[% NBS Raw]]/AZ$4)*100)*AZ$5)</f>
        <v>0</v>
      </c>
      <c r="BB127" s="251" t="str">
        <f>_xlfn.XLOOKUP(FMS_Ranking4[[#This Row],[FMS ID]],FMS_Input[FMS_ID],FMS_Input[WATER_SUP])</f>
        <v>No</v>
      </c>
      <c r="BC127" s="265">
        <f>IF(FMS_Ranking4[[#This Row],[Water Supply Raw]]="Yes",10,0)</f>
        <v>0</v>
      </c>
      <c r="BD127" s="266">
        <f>_xlfn.XLOOKUP(FMS_Ranking4[[#This Row],[FMS Type]],FMS_TYPE[FMS_Type],FMS_TYPE[Score])</f>
        <v>2</v>
      </c>
      <c r="BE127" s="267">
        <f>FMS_Ranking4[[#This Row],[FMS_Type Score]]*$BD$5*10</f>
        <v>0.5</v>
      </c>
      <c r="BF12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0.52692665977293718</v>
      </c>
      <c r="BG127" s="271">
        <f>_xlfn.RANK.EQ(BF127,$BF$8:$BF$870,0)+COUNTIF($BF$8:BF127,BF127)-1</f>
        <v>214</v>
      </c>
      <c r="BH127" s="268">
        <f>(((FMS_Ranking4[[#This Row],[Structures Removed Raw]]/AK$4)*100)*AK$5)+(((FMS_Ranking4[[#This Row],[Removed Pop Raw]]/AR$4)*100)*AR$5)</f>
        <v>0.17241153588552641</v>
      </c>
      <c r="BI12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1.1993381956584637</v>
      </c>
      <c r="BJ127" s="205">
        <f>_xlfn.RANK.EQ(FMS_Ranking4[[#This Row],[Total Score 
(with linear
normalization)]],FMS_Ranking4[Total Score 
(with linear
normalization)],0)</f>
        <v>645</v>
      </c>
      <c r="BK127" s="205" t="e">
        <f>_xlfn.XLOOKUP(FMS_Ranking4[[#This Row],[FMS ID]],#REF!,#REF!)</f>
        <v>#REF!</v>
      </c>
      <c r="BL12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34.518296030556144</v>
      </c>
      <c r="BM127" s="272">
        <f>FMS_Ranking4[[#This Row],[ArcSinh Score Based on Normalized Reported Factors]]+FMS_Ranking4[[#This Row],[% NBS Score (Normalized)]]+(FMS_Ranking4[[#This Row],[Water Supply Score (Normalized)]]*10*$BB$5)+FMS_Ranking4[[#This Row],[FMS_Type Score Weighted]]</f>
        <v>35.018296030556144</v>
      </c>
      <c r="BN127" s="205">
        <f>_xlfn.RANK.EQ(FMS_Ranking4[[#This Row],[Total Score (with ArcSinh normalization of select criteria)]],FMS_Ranking4[Total Score (with ArcSinh normalization of select criteria)],0)</f>
        <v>119</v>
      </c>
      <c r="BO127" s="270" t="str">
        <f>_xlfn.XLOOKUP(FMS_Ranking4[[#This Row],[FMS ID]],FMS_Input[FMS_ID],FMS_Input[FMS_RANK_YEAR])</f>
        <v>2023 Amended Plan</v>
      </c>
      <c r="BP127" s="204">
        <f>_xlfn.XLOOKUP(FMS_Ranking4[[#This Row],[FMS ID]],Prev_Rank[FMS ID],Prev_Rank[Prev Rank])</f>
        <v>124</v>
      </c>
      <c r="BQ127" s="205" t="e">
        <f>_xlfn.XLOOKUP(FMS_Ranking4[[#This Row],[FMS ID]],#REF!,#REF!)</f>
        <v>#REF!</v>
      </c>
      <c r="BR127" s="199" t="e">
        <f>SUM(#REF!,#REF!,#REF!,#REF!,#REF!,#REF!,#REF!,#REF!,#REF!,FMS_Ranking4[[#This Row],[ArcSinh Res struct removed 0-10]],#REF!)</f>
        <v>#REF!</v>
      </c>
      <c r="BS127" s="199" t="e">
        <f>FMS_Ranking4[[#This Row],[Log Score Based on Normalized Reported Factors]]+FMS_Ranking4[[#This Row],[% NBS Score (Normalized)]]+(FMS_Ranking4[[#This Row],[Water Supply Score (Normalized)]]*10*$BB$5)+(FMS_Ranking4[[#This Row],[FMS_Type Score Weighted]])</f>
        <v>#REF!</v>
      </c>
      <c r="BT127" s="200" t="e">
        <f>_xlfn.RANK.EQ(FMS_Ranking4[[#This Row],[Log Total Score]],FMS_Ranking4[Log Total Score],0)</f>
        <v>#REF!</v>
      </c>
      <c r="BU127" s="200" t="e">
        <f>_xlfn.XLOOKUP(FMS_Ranking4[[#This Row],[FMS ID]],#REF!,#REF!)</f>
        <v>#REF!</v>
      </c>
      <c r="BV127" s="200">
        <f>FMS_Ranking4[[#This Row],[Region Number]]</f>
        <v>9</v>
      </c>
      <c r="BW127" s="200">
        <f>FMS_Ranking4[[#This Row],[Rank (with ArcSinh normalization of select criteria)]]-FMS_Ranking4[[#This Row],[Rank
(with linear
normalization)]]</f>
        <v>-526</v>
      </c>
      <c r="BX127" s="200" t="e">
        <f>FMS_Ranking4[[#This Row],[Log Rank]]-FMS_Ranking4[[#This Row],[Rank
(with linear
normalization)]]</f>
        <v>#REF!</v>
      </c>
      <c r="BY127" s="200" t="str">
        <f>IF(FMS_Ranking4[[#This Row],[FMS Type]]="Flood Measurement and Warning",FMS_Ranking4[[#This Row],[Rank (with ArcSinh normalization of select criteria)]],"")</f>
        <v/>
      </c>
      <c r="BZ127" s="200" t="str">
        <f>IF(FMS_Ranking4[[#This Row],[FMS Type]]="Regulatory and Guidance",FMS_Ranking4[[#This Row],[Rank (with ArcSinh normalization of select criteria)]],"")</f>
        <v/>
      </c>
      <c r="CA127" s="200" t="str">
        <f>IF(FMS_Ranking4[[#This Row],[FMS Type]]="Education and Outreach",FMS_Ranking4[[#This Row],[Rank (with ArcSinh normalization of select criteria)]],"")</f>
        <v/>
      </c>
      <c r="CB127" s="200" t="str">
        <f>IF(FMS_Ranking4[[#This Row],[FMS Type]]="Property Acquisition and Structural Elevation",FMS_Ranking4[[#This Row],[Rank (with ArcSinh normalization of select criteria)]],"")</f>
        <v/>
      </c>
      <c r="CC127" s="200" t="str">
        <f>IF(FMS_Ranking4[[#This Row],[FMS Type]]="Infrastructure Projects",FMS_Ranking4[[#This Row],[Rank (with ArcSinh normalization of select criteria)]],"")</f>
        <v/>
      </c>
      <c r="CD127" s="200">
        <f>IF(FMS_Ranking4[[#This Row],[FMS Type]]="Other",FMS_Ranking4[[#This Row],[Rank (with ArcSinh normalization of select criteria)]],"")</f>
        <v>119</v>
      </c>
      <c r="CE127" s="201"/>
    </row>
    <row r="128" spans="2:83" ht="105" x14ac:dyDescent="0.25">
      <c r="B128" s="341" t="s">
        <v>884</v>
      </c>
      <c r="C128" s="246">
        <f>_xlfn.XLOOKUP(FMS_Ranking4[[#This Row],[FMS ID]],FMS_Input[FMS_ID],FMS_Input[RFPG_NUM])</f>
        <v>9</v>
      </c>
      <c r="D128" s="309" t="str">
        <f>_xlfn.XLOOKUP(FMS_Ranking4[[#This Row],[FMS ID]],FMS_Input[FMS_ID],FMS_Input[FMS_NAME])</f>
        <v>Runnels County NFIP Application and compliance</v>
      </c>
      <c r="E128" s="308" t="str">
        <f>_xlfn.XLOOKUP(FMS_Ranking4[[#This Row],[FMS ID]],FMS_Input[FMS_ID],FMS_Input[SPONSOR])</f>
        <v>00000124</v>
      </c>
      <c r="F128" s="309" t="str">
        <f>_xlfn.XLOOKUP(FMS_Ranking4[[#This Row],[FMS ID]],Sponsor[FMS_ID],Sponsor[SPONSOR NAME])</f>
        <v>Concho</v>
      </c>
      <c r="G128" s="309" t="str">
        <f>_xlfn.XLOOKUP(FMS_Ranking4[[#This Row],[FMS ID]],FMS_Input[FMS_ID],FMS_Input[FMS_DESCR])</f>
        <v>Join the NFIP. Examine local flood ordinance to ensure minimum NFIP standards are included for program compliance and to consider possible higher regulatory standards.</v>
      </c>
      <c r="H128" s="248" t="str">
        <f>_xlfn.XLOOKUP(FMS_Ranking4[[#This Row],[FMS ID]],FMS_Input[FMS_ID],FMS_Input[FMS_TYPE])</f>
        <v>Other</v>
      </c>
      <c r="I128" s="249">
        <f>_xlfn.XLOOKUP(FMS_Ranking4[[#This Row],[FMS ID]],FMS_Input[FMS_ID],FMS_Input[NRNC_COST])</f>
        <v>5000</v>
      </c>
      <c r="J128" s="250">
        <f>_xlfn.XLOOKUP(FMS_Ranking4[[#This Row],[FMS ID]],FMS_Input[FMS_ID],FMS_Input[FMS_COST])</f>
        <v>30000</v>
      </c>
      <c r="K128" s="251" t="str">
        <f>_xlfn.XLOOKUP(FMS_Ranking4[[#This Row],[FMS ID]],FMS_Input[FMS_ID],FMS_Input[EMER_NEED])</f>
        <v>No</v>
      </c>
      <c r="L128" s="252">
        <f t="shared" si="1"/>
        <v>0</v>
      </c>
      <c r="M128" s="253">
        <f>_xlfn.XLOOKUP(FMS_Ranking4[[#This Row],[FMS ID]],FMS_Input[FMS_ID],FMS_Input[STRUCT_100])</f>
        <v>164</v>
      </c>
      <c r="N128" s="255">
        <f>(ASINH(FMS_Ranking4[[#This Row],[Structure at Risk Raw]]))*(10)/(ASINH(M$4))</f>
        <v>4.5541785457588011</v>
      </c>
      <c r="O128" s="256">
        <f>FMS_Ranking4[[#This Row],[Structures at risk, ArcSinh (0-10)]]*M$5*10</f>
        <v>4.5541785457588011</v>
      </c>
      <c r="P128" s="253">
        <f>_xlfn.XLOOKUP(FMS_Ranking4[[#This Row],[FMS ID]],FMS_Input[FMS_ID],FMS_Input[RES_STRUCT100])</f>
        <v>41</v>
      </c>
      <c r="Q128" s="257">
        <f>ASINH(FMS_Ranking4[[#This Row],[Res Structure Raw]])/Q$4*P$5*100</f>
        <v>0</v>
      </c>
      <c r="R128" s="253">
        <f>_xlfn.XLOOKUP(FMS_Ranking4[[#This Row],[FMS ID]],FMS_Input[FMS_ID],FMS_Input[POP100])</f>
        <v>178</v>
      </c>
      <c r="S128" s="259">
        <f>(ASINH(FMS_Ranking4[[#This Row],[Pop at Risk Raw]]))*(10)/(ASINH(R$4))</f>
        <v>4.0558121569707852</v>
      </c>
      <c r="T128" s="256">
        <f>FMS_Ranking4[[#This Row],[Population at risk, ArcSinh (0-10)]]*R$5*10</f>
        <v>4.0558121569707852</v>
      </c>
      <c r="U128" s="253">
        <f>_xlfn.XLOOKUP(FMS_Ranking4[[#This Row],[FMS ID]],FMS_Input[FMS_ID],FMS_Input[CRITFAC100])</f>
        <v>0</v>
      </c>
      <c r="V128" s="259">
        <f>(ASINH(FMS_Ranking4[[#This Row],[Critical Facilities Raw]]))*(10)/(ASINH(U$4))</f>
        <v>0</v>
      </c>
      <c r="W128" s="256">
        <f>FMS_Ranking4[[#This Row],[Critical facilities at risk, ArcSinh (0-10)]]*U$5*10</f>
        <v>0</v>
      </c>
      <c r="X128" s="253">
        <f>_xlfn.XLOOKUP(FMS_Ranking4[[#This Row],[FMS ID]],FMS_Input[FMS_ID],FMS_Input[LWC])</f>
        <v>18</v>
      </c>
      <c r="Y128" s="259">
        <f>(ASINH(FMS_Ranking4[[#This Row],[LWC Raw]]))*(10)/(ASINH(X$4))</f>
        <v>4.8557725986155553</v>
      </c>
      <c r="Z128" s="256">
        <f>FMS_Ranking4[[#This Row],[LWC, ArcSInh (0-10)]]*X$5*10</f>
        <v>4.8557725986155553</v>
      </c>
      <c r="AA128" s="253">
        <f>_xlfn.XLOOKUP(FMS_Ranking4[[#This Row],[FMS ID]],FMS_Input[FMS_ID],FMS_Input[ROADCLS])</f>
        <v>0</v>
      </c>
      <c r="AB128" s="255">
        <f>(ASINH(FMS_Ranking4[[#This Row],[Road Closures Raw]]))*(10)/(ASINH(AA$4))</f>
        <v>0</v>
      </c>
      <c r="AC128" s="256">
        <f>FMS_Ranking4[[#This Row],[Road closures, ArcSinh (0-10)]]*AA$5*10</f>
        <v>0</v>
      </c>
      <c r="AD128" s="253">
        <f>_xlfn.XLOOKUP(FMS_Ranking4[[#This Row],[FMS ID]],FMS_Input[FMS_ID],FMS_Input[ROAD_MILES100])</f>
        <v>125</v>
      </c>
      <c r="AE128" s="259">
        <f>(ASINH(FMS_Ranking4[[#This Row],[Road Miles Raw]]))*(10)/(ASINH(AD$4))</f>
        <v>5.8843753018750444</v>
      </c>
      <c r="AF128" s="256">
        <f>FMS_Ranking4[[#This Row],[Length of roads at risk, ArcSinh (0-10)]]*AD$5*10</f>
        <v>5.8843753018750444</v>
      </c>
      <c r="AG128" s="253">
        <f>_xlfn.XLOOKUP(FMS_Ranking4[[#This Row],[FMS ID]],FMS_Input[FMS_ID],FMS_Input[FARMACRE100])</f>
        <v>39196.921875</v>
      </c>
      <c r="AH128" s="255">
        <f>(ASINH(FMS_Ranking4[[#This Row],[Ag Land Raw]]))*(10)/(ASINH(AG$4))</f>
        <v>7.3204588100496153</v>
      </c>
      <c r="AI128" s="260">
        <f>FMS_Ranking4[[#This Row],[Farm &amp; ranch land, ArcSinh (0-10)]]*AG$5*10</f>
        <v>3.6602294050248081</v>
      </c>
      <c r="AJ128" s="258">
        <f>_xlfn.XLOOKUP(FMS_Ranking4[[#This Row],[FMS ID]],FMS_Input[FMS_ID],FMS_Input[REDSTRUCT100])</f>
        <v>41</v>
      </c>
      <c r="AK128" s="253">
        <f>_xlfn.XLOOKUP(FMS_Ranking4[[#This Row],[FMS ID]],FMS_Input[FMS_ID],FMS_Input[REMSTRC100])</f>
        <v>41</v>
      </c>
      <c r="AL128" s="259">
        <f>(ASINH(FMS_Ranking4[[#This Row],[Structures Removed Raw]]))*(10)/(ASINH(AK$4))</f>
        <v>5.0175337091178109</v>
      </c>
      <c r="AM128" s="262">
        <f>FMS_Ranking4[[#This Row],[Structures removed, ArcSinh (0-10)]]*AK$5*10</f>
        <v>5.0175337091178109</v>
      </c>
      <c r="AN128" s="253">
        <f>_xlfn.XLOOKUP(FMS_Ranking4[[#This Row],[FMS ID]],FMS_Input[FMS_ID],FMS_Input[REMRESSTRC100])</f>
        <v>10</v>
      </c>
      <c r="AO128" s="261">
        <f>FMS_Ranking4[[#This Row],[ArcSinh Res struct removed 0-10]]*AN$5*10</f>
        <v>1.7585371136031225</v>
      </c>
      <c r="AP128" s="260">
        <f>ASINH(FMS_Ranking4[[#This Row],[Residential Structures Removed Raw]])/AP$4*AN$5*100</f>
        <v>1.7585371136031223</v>
      </c>
      <c r="AQ128" s="254">
        <f>(ASINH(FMS_Ranking4[[#This Row],[Residential Structures Removed Raw]]))*(10)/(ASINH(AN$4))</f>
        <v>3.5170742272062445</v>
      </c>
      <c r="AR128" s="253">
        <f>_xlfn.XLOOKUP(FMS_Ranking4[[#This Row],[FMS ID]],FMS_Input[FMS_ID],FMS_Input[REMPOP100])</f>
        <v>62</v>
      </c>
      <c r="AS128" s="259">
        <f>(ASINH(FMS_Ranking4[[#This Row],[Removed Pop Raw]]))*(10)/(ASINH(AR$4))</f>
        <v>4.7317507597016544</v>
      </c>
      <c r="AT128" s="262">
        <f>FMS_Ranking4[[#This Row],[Removed population, ArcSinh (0-10)]]*AR$5*10</f>
        <v>4.7317507597016544</v>
      </c>
      <c r="AU128" s="264">
        <f>_xlfn.XLOOKUP(FMS_Ranking4[[#This Row],[FMS ID]],FMS_Input[FMS_ID],FMS_Input[REMCRITFAC100])</f>
        <v>0</v>
      </c>
      <c r="AV128" s="264">
        <f>_xlfn.XLOOKUP(FMS_Ranking4[[#This Row],[FMS ID]],FMS_Input[FMS_ID],FMS_Input[REMLWC100])</f>
        <v>4</v>
      </c>
      <c r="AW128" s="264">
        <f>_xlfn.XLOOKUP(FMS_Ranking4[[#This Row],[FMS ID]],FMS_Input[FMS_ID],FMS_Input[REMROADCLS])</f>
        <v>0</v>
      </c>
      <c r="AX128" s="264">
        <f>_xlfn.XLOOKUP(FMS_Ranking4[[#This Row],[FMS ID]],FMS_Input[FMS_ID],FMS_Input[REMFRMACRE100])</f>
        <v>9799.23046875</v>
      </c>
      <c r="AY128" s="258">
        <f>_xlfn.XLOOKUP(FMS_Ranking4[[#This Row],[FMS ID]],FMS_Input[FMS_ID],FMS_Input[COSTSTRUCT])</f>
        <v>25000</v>
      </c>
      <c r="AZ128" s="253">
        <f>_xlfn.XLOOKUP(FMS_Ranking4[[#This Row],[FMS ID]],FMS_Input[FMS_ID],FMS_Input[NATURE])</f>
        <v>0</v>
      </c>
      <c r="BA128" s="262">
        <f>(((FMS_Ranking4[[#This Row],[% NBS Raw]]/AZ$4)*100)*AZ$5)</f>
        <v>0</v>
      </c>
      <c r="BB128" s="251" t="str">
        <f>_xlfn.XLOOKUP(FMS_Ranking4[[#This Row],[FMS ID]],FMS_Input[FMS_ID],FMS_Input[WATER_SUP])</f>
        <v>No</v>
      </c>
      <c r="BC128" s="265">
        <f>IF(FMS_Ranking4[[#This Row],[Water Supply Raw]]="Yes",10,0)</f>
        <v>0</v>
      </c>
      <c r="BD128" s="266">
        <f>_xlfn.XLOOKUP(FMS_Ranking4[[#This Row],[FMS Type]],FMS_TYPE[FMS_Type],FMS_TYPE[Score])</f>
        <v>2</v>
      </c>
      <c r="BE128" s="267">
        <f>FMS_Ranking4[[#This Row],[FMS_Type Score]]*$BD$5*10</f>
        <v>0.5</v>
      </c>
      <c r="BF12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0.52690017078137874</v>
      </c>
      <c r="BG128" s="269">
        <f>_xlfn.RANK.EQ(BF128,$BF$8:$BF$870,0)+COUNTIF($BF$8:BF128,BF128)-1</f>
        <v>215</v>
      </c>
      <c r="BH128" s="268">
        <f>(((FMS_Ranking4[[#This Row],[Structures Removed Raw]]/AK$4)*100)*AK$5)+(((FMS_Ranking4[[#This Row],[Removed Pop Raw]]/AR$4)*100)*AR$5)</f>
        <v>0.17241153588552641</v>
      </c>
      <c r="BI12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1.1993117066669052</v>
      </c>
      <c r="BJ128" s="204">
        <f>_xlfn.RANK.EQ(FMS_Ranking4[[#This Row],[Total Score 
(with linear
normalization)]],FMS_Ranking4[Total Score 
(with linear
normalization)],0)</f>
        <v>647</v>
      </c>
      <c r="BK128" s="204" t="e">
        <f>_xlfn.XLOOKUP(FMS_Ranking4[[#This Row],[FMS ID]],#REF!,#REF!)</f>
        <v>#REF!</v>
      </c>
      <c r="BL128"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34.518189590667582</v>
      </c>
      <c r="BM128" s="270">
        <f>FMS_Ranking4[[#This Row],[ArcSinh Score Based on Normalized Reported Factors]]+FMS_Ranking4[[#This Row],[% NBS Score (Normalized)]]+(FMS_Ranking4[[#This Row],[Water Supply Score (Normalized)]]*10*$BB$5)+FMS_Ranking4[[#This Row],[FMS_Type Score Weighted]]</f>
        <v>35.018189590667582</v>
      </c>
      <c r="BN128" s="204">
        <f>_xlfn.RANK.EQ(FMS_Ranking4[[#This Row],[Total Score (with ArcSinh normalization of select criteria)]],FMS_Ranking4[Total Score (with ArcSinh normalization of select criteria)],0)</f>
        <v>121</v>
      </c>
      <c r="BO128" s="270" t="str">
        <f>_xlfn.XLOOKUP(FMS_Ranking4[[#This Row],[FMS ID]],FMS_Input[FMS_ID],FMS_Input[FMS_RANK_YEAR])</f>
        <v>2023 Amended Plan</v>
      </c>
      <c r="BP128" s="204">
        <f>_xlfn.XLOOKUP(FMS_Ranking4[[#This Row],[FMS ID]],Prev_Rank[FMS ID],Prev_Rank[Prev Rank])</f>
        <v>126</v>
      </c>
      <c r="BQ128" s="204" t="e">
        <f>_xlfn.XLOOKUP(FMS_Ranking4[[#This Row],[FMS ID]],#REF!,#REF!)</f>
        <v>#REF!</v>
      </c>
      <c r="BR128" s="199" t="e">
        <f>SUM(#REF!,#REF!,#REF!,#REF!,#REF!,#REF!,#REF!,#REF!,#REF!,FMS_Ranking4[[#This Row],[ArcSinh Res struct removed 0-10]],#REF!)</f>
        <v>#REF!</v>
      </c>
      <c r="BS128" s="199" t="e">
        <f>FMS_Ranking4[[#This Row],[Log Score Based on Normalized Reported Factors]]+FMS_Ranking4[[#This Row],[% NBS Score (Normalized)]]+(FMS_Ranking4[[#This Row],[Water Supply Score (Normalized)]]*10*$BB$5)+(FMS_Ranking4[[#This Row],[FMS_Type Score Weighted]])</f>
        <v>#REF!</v>
      </c>
      <c r="BT128" s="200" t="e">
        <f>_xlfn.RANK.EQ(FMS_Ranking4[[#This Row],[Log Total Score]],FMS_Ranking4[Log Total Score],0)</f>
        <v>#REF!</v>
      </c>
      <c r="BU128" s="200" t="e">
        <f>_xlfn.XLOOKUP(FMS_Ranking4[[#This Row],[FMS ID]],#REF!,#REF!)</f>
        <v>#REF!</v>
      </c>
      <c r="BV128" s="200">
        <f>FMS_Ranking4[[#This Row],[Region Number]]</f>
        <v>9</v>
      </c>
      <c r="BW128" s="200">
        <f>FMS_Ranking4[[#This Row],[Rank (with ArcSinh normalization of select criteria)]]-FMS_Ranking4[[#This Row],[Rank
(with linear
normalization)]]</f>
        <v>-526</v>
      </c>
      <c r="BX128" s="200" t="e">
        <f>FMS_Ranking4[[#This Row],[Log Rank]]-FMS_Ranking4[[#This Row],[Rank
(with linear
normalization)]]</f>
        <v>#REF!</v>
      </c>
      <c r="BY128" s="200" t="str">
        <f>IF(FMS_Ranking4[[#This Row],[FMS Type]]="Flood Measurement and Warning",FMS_Ranking4[[#This Row],[Rank (with ArcSinh normalization of select criteria)]],"")</f>
        <v/>
      </c>
      <c r="BZ128" s="200" t="str">
        <f>IF(FMS_Ranking4[[#This Row],[FMS Type]]="Regulatory and Guidance",FMS_Ranking4[[#This Row],[Rank (with ArcSinh normalization of select criteria)]],"")</f>
        <v/>
      </c>
      <c r="CA128" s="200" t="str">
        <f>IF(FMS_Ranking4[[#This Row],[FMS Type]]="Education and Outreach",FMS_Ranking4[[#This Row],[Rank (with ArcSinh normalization of select criteria)]],"")</f>
        <v/>
      </c>
      <c r="CB128" s="200" t="str">
        <f>IF(FMS_Ranking4[[#This Row],[FMS Type]]="Property Acquisition and Structural Elevation",FMS_Ranking4[[#This Row],[Rank (with ArcSinh normalization of select criteria)]],"")</f>
        <v/>
      </c>
      <c r="CC128" s="200" t="str">
        <f>IF(FMS_Ranking4[[#This Row],[FMS Type]]="Infrastructure Projects",FMS_Ranking4[[#This Row],[Rank (with ArcSinh normalization of select criteria)]],"")</f>
        <v/>
      </c>
      <c r="CD128" s="200">
        <f>IF(FMS_Ranking4[[#This Row],[FMS Type]]="Other",FMS_Ranking4[[#This Row],[Rank (with ArcSinh normalization of select criteria)]],"")</f>
        <v>121</v>
      </c>
      <c r="CE128" s="201"/>
    </row>
    <row r="129" spans="2:83" ht="30" x14ac:dyDescent="0.25">
      <c r="B129" s="341" t="s">
        <v>961</v>
      </c>
      <c r="C129" s="246">
        <f>_xlfn.XLOOKUP(FMS_Ranking4[[#This Row],[FMS ID]],FMS_Input[FMS_ID],FMS_Input[RFPG_NUM])</f>
        <v>9</v>
      </c>
      <c r="D129" s="309" t="str">
        <f>_xlfn.XLOOKUP(FMS_Ranking4[[#This Row],[FMS ID]],FMS_Input[FMS_ID],FMS_Input[FMS_NAME])</f>
        <v>Runnels County CRS Participation</v>
      </c>
      <c r="E129" s="308" t="str">
        <f>_xlfn.XLOOKUP(FMS_Ranking4[[#This Row],[FMS ID]],FMS_Input[FMS_ID],FMS_Input[SPONSOR])</f>
        <v>00000145</v>
      </c>
      <c r="F129" s="309" t="str">
        <f>_xlfn.XLOOKUP(FMS_Ranking4[[#This Row],[FMS ID]],Sponsor[FMS_ID],Sponsor[SPONSOR NAME])</f>
        <v>Runnels</v>
      </c>
      <c r="G129" s="309" t="str">
        <f>_xlfn.XLOOKUP(FMS_Ranking4[[#This Row],[FMS ID]],FMS_Input[FMS_ID],FMS_Input[FMS_DESCR])</f>
        <v>Join the FEMA Community Rating System.</v>
      </c>
      <c r="H129" s="248" t="str">
        <f>_xlfn.XLOOKUP(FMS_Ranking4[[#This Row],[FMS ID]],FMS_Input[FMS_ID],FMS_Input[FMS_TYPE])</f>
        <v>Other</v>
      </c>
      <c r="I129" s="249">
        <f>_xlfn.XLOOKUP(FMS_Ranking4[[#This Row],[FMS ID]],FMS_Input[FMS_ID],FMS_Input[NRNC_COST])</f>
        <v>5000</v>
      </c>
      <c r="J129" s="250">
        <f>_xlfn.XLOOKUP(FMS_Ranking4[[#This Row],[FMS ID]],FMS_Input[FMS_ID],FMS_Input[FMS_COST])</f>
        <v>30000</v>
      </c>
      <c r="K129" s="251" t="str">
        <f>_xlfn.XLOOKUP(FMS_Ranking4[[#This Row],[FMS ID]],FMS_Input[FMS_ID],FMS_Input[EMER_NEED])</f>
        <v>No</v>
      </c>
      <c r="L129" s="252">
        <f t="shared" si="1"/>
        <v>0</v>
      </c>
      <c r="M129" s="253">
        <f>_xlfn.XLOOKUP(FMS_Ranking4[[#This Row],[FMS ID]],FMS_Input[FMS_ID],FMS_Input[STRUCT_100])</f>
        <v>164</v>
      </c>
      <c r="N129" s="255">
        <f>(ASINH(FMS_Ranking4[[#This Row],[Structure at Risk Raw]]))*(10)/(ASINH(M$4))</f>
        <v>4.5541785457588011</v>
      </c>
      <c r="O129" s="256">
        <f>FMS_Ranking4[[#This Row],[Structures at risk, ArcSinh (0-10)]]*M$5*10</f>
        <v>4.5541785457588011</v>
      </c>
      <c r="P129" s="253">
        <f>_xlfn.XLOOKUP(FMS_Ranking4[[#This Row],[FMS ID]],FMS_Input[FMS_ID],FMS_Input[RES_STRUCT100])</f>
        <v>41</v>
      </c>
      <c r="Q129" s="257">
        <f>ASINH(FMS_Ranking4[[#This Row],[Res Structure Raw]])/Q$4*P$5*100</f>
        <v>0</v>
      </c>
      <c r="R129" s="253">
        <f>_xlfn.XLOOKUP(FMS_Ranking4[[#This Row],[FMS ID]],FMS_Input[FMS_ID],FMS_Input[POP100])</f>
        <v>178</v>
      </c>
      <c r="S129" s="259">
        <f>(ASINH(FMS_Ranking4[[#This Row],[Pop at Risk Raw]]))*(10)/(ASINH(R$4))</f>
        <v>4.0558121569707852</v>
      </c>
      <c r="T129" s="256">
        <f>FMS_Ranking4[[#This Row],[Population at risk, ArcSinh (0-10)]]*R$5*10</f>
        <v>4.0558121569707852</v>
      </c>
      <c r="U129" s="253">
        <f>_xlfn.XLOOKUP(FMS_Ranking4[[#This Row],[FMS ID]],FMS_Input[FMS_ID],FMS_Input[CRITFAC100])</f>
        <v>0</v>
      </c>
      <c r="V129" s="259">
        <f>(ASINH(FMS_Ranking4[[#This Row],[Critical Facilities Raw]]))*(10)/(ASINH(U$4))</f>
        <v>0</v>
      </c>
      <c r="W129" s="256">
        <f>FMS_Ranking4[[#This Row],[Critical facilities at risk, ArcSinh (0-10)]]*U$5*10</f>
        <v>0</v>
      </c>
      <c r="X129" s="253">
        <f>_xlfn.XLOOKUP(FMS_Ranking4[[#This Row],[FMS ID]],FMS_Input[FMS_ID],FMS_Input[LWC])</f>
        <v>18</v>
      </c>
      <c r="Y129" s="259">
        <f>(ASINH(FMS_Ranking4[[#This Row],[LWC Raw]]))*(10)/(ASINH(X$4))</f>
        <v>4.8557725986155553</v>
      </c>
      <c r="Z129" s="256">
        <f>FMS_Ranking4[[#This Row],[LWC, ArcSInh (0-10)]]*X$5*10</f>
        <v>4.8557725986155553</v>
      </c>
      <c r="AA129" s="253">
        <f>_xlfn.XLOOKUP(FMS_Ranking4[[#This Row],[FMS ID]],FMS_Input[FMS_ID],FMS_Input[ROADCLS])</f>
        <v>0</v>
      </c>
      <c r="AB129" s="255">
        <f>(ASINH(FMS_Ranking4[[#This Row],[Road Closures Raw]]))*(10)/(ASINH(AA$4))</f>
        <v>0</v>
      </c>
      <c r="AC129" s="256">
        <f>FMS_Ranking4[[#This Row],[Road closures, ArcSinh (0-10)]]*AA$5*10</f>
        <v>0</v>
      </c>
      <c r="AD129" s="253">
        <f>_xlfn.XLOOKUP(FMS_Ranking4[[#This Row],[FMS ID]],FMS_Input[FMS_ID],FMS_Input[ROAD_MILES100])</f>
        <v>125</v>
      </c>
      <c r="AE129" s="259">
        <f>(ASINH(FMS_Ranking4[[#This Row],[Road Miles Raw]]))*(10)/(ASINH(AD$4))</f>
        <v>5.8843753018750444</v>
      </c>
      <c r="AF129" s="256">
        <f>FMS_Ranking4[[#This Row],[Length of roads at risk, ArcSinh (0-10)]]*AD$5*10</f>
        <v>5.8843753018750444</v>
      </c>
      <c r="AG129" s="253">
        <f>_xlfn.XLOOKUP(FMS_Ranking4[[#This Row],[FMS ID]],FMS_Input[FMS_ID],FMS_Input[FARMACRE100])</f>
        <v>39196.921875</v>
      </c>
      <c r="AH129" s="255">
        <f>(ASINH(FMS_Ranking4[[#This Row],[Ag Land Raw]]))*(10)/(ASINH(AG$4))</f>
        <v>7.3204588100496153</v>
      </c>
      <c r="AI129" s="260">
        <f>FMS_Ranking4[[#This Row],[Farm &amp; ranch land, ArcSinh (0-10)]]*AG$5*10</f>
        <v>3.6602294050248081</v>
      </c>
      <c r="AJ129" s="258">
        <f>_xlfn.XLOOKUP(FMS_Ranking4[[#This Row],[FMS ID]],FMS_Input[FMS_ID],FMS_Input[REDSTRUCT100])</f>
        <v>41</v>
      </c>
      <c r="AK129" s="253">
        <f>_xlfn.XLOOKUP(FMS_Ranking4[[#This Row],[FMS ID]],FMS_Input[FMS_ID],FMS_Input[REMSTRC100])</f>
        <v>41</v>
      </c>
      <c r="AL129" s="259">
        <f>(ASINH(FMS_Ranking4[[#This Row],[Structures Removed Raw]]))*(10)/(ASINH(AK$4))</f>
        <v>5.0175337091178109</v>
      </c>
      <c r="AM129" s="262">
        <f>FMS_Ranking4[[#This Row],[Structures removed, ArcSinh (0-10)]]*AK$5*10</f>
        <v>5.0175337091178109</v>
      </c>
      <c r="AN129" s="253">
        <f>_xlfn.XLOOKUP(FMS_Ranking4[[#This Row],[FMS ID]],FMS_Input[FMS_ID],FMS_Input[REMRESSTRC100])</f>
        <v>10</v>
      </c>
      <c r="AO129" s="261">
        <f>FMS_Ranking4[[#This Row],[ArcSinh Res struct removed 0-10]]*AN$5*10</f>
        <v>1.7585371136031225</v>
      </c>
      <c r="AP129" s="260">
        <f>ASINH(FMS_Ranking4[[#This Row],[Residential Structures Removed Raw]])/AP$4*AN$5*100</f>
        <v>1.7585371136031223</v>
      </c>
      <c r="AQ129" s="254">
        <f>(ASINH(FMS_Ranking4[[#This Row],[Residential Structures Removed Raw]]))*(10)/(ASINH(AN$4))</f>
        <v>3.5170742272062445</v>
      </c>
      <c r="AR129" s="253">
        <f>_xlfn.XLOOKUP(FMS_Ranking4[[#This Row],[FMS ID]],FMS_Input[FMS_ID],FMS_Input[REMPOP100])</f>
        <v>62</v>
      </c>
      <c r="AS129" s="259">
        <f>(ASINH(FMS_Ranking4[[#This Row],[Removed Pop Raw]]))*(10)/(ASINH(AR$4))</f>
        <v>4.7317507597016544</v>
      </c>
      <c r="AT129" s="262">
        <f>FMS_Ranking4[[#This Row],[Removed population, ArcSinh (0-10)]]*AR$5*10</f>
        <v>4.7317507597016544</v>
      </c>
      <c r="AU129" s="264">
        <f>_xlfn.XLOOKUP(FMS_Ranking4[[#This Row],[FMS ID]],FMS_Input[FMS_ID],FMS_Input[REMCRITFAC100])</f>
        <v>0</v>
      </c>
      <c r="AV129" s="264">
        <f>_xlfn.XLOOKUP(FMS_Ranking4[[#This Row],[FMS ID]],FMS_Input[FMS_ID],FMS_Input[REMLWC100])</f>
        <v>4</v>
      </c>
      <c r="AW129" s="264">
        <f>_xlfn.XLOOKUP(FMS_Ranking4[[#This Row],[FMS ID]],FMS_Input[FMS_ID],FMS_Input[REMROADCLS])</f>
        <v>0</v>
      </c>
      <c r="AX129" s="264">
        <f>_xlfn.XLOOKUP(FMS_Ranking4[[#This Row],[FMS ID]],FMS_Input[FMS_ID],FMS_Input[REMFRMACRE100])</f>
        <v>9799.23046875</v>
      </c>
      <c r="AY129" s="258">
        <f>_xlfn.XLOOKUP(FMS_Ranking4[[#This Row],[FMS ID]],FMS_Input[FMS_ID],FMS_Input[COSTSTRUCT])</f>
        <v>25000</v>
      </c>
      <c r="AZ129" s="253">
        <f>_xlfn.XLOOKUP(FMS_Ranking4[[#This Row],[FMS ID]],FMS_Input[FMS_ID],FMS_Input[NATURE])</f>
        <v>0</v>
      </c>
      <c r="BA129" s="262">
        <f>(((FMS_Ranking4[[#This Row],[% NBS Raw]]/AZ$4)*100)*AZ$5)</f>
        <v>0</v>
      </c>
      <c r="BB129" s="251" t="str">
        <f>_xlfn.XLOOKUP(FMS_Ranking4[[#This Row],[FMS ID]],FMS_Input[FMS_ID],FMS_Input[WATER_SUP])</f>
        <v>No</v>
      </c>
      <c r="BC129" s="265">
        <f>IF(FMS_Ranking4[[#This Row],[Water Supply Raw]]="Yes",10,0)</f>
        <v>0</v>
      </c>
      <c r="BD129" s="266">
        <f>_xlfn.XLOOKUP(FMS_Ranking4[[#This Row],[FMS Type]],FMS_TYPE[FMS_Type],FMS_TYPE[Score])</f>
        <v>2</v>
      </c>
      <c r="BE129" s="267">
        <f>FMS_Ranking4[[#This Row],[FMS_Type Score]]*$BD$5*10</f>
        <v>0.5</v>
      </c>
      <c r="BF12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0.52690017078137874</v>
      </c>
      <c r="BG129" s="271">
        <f>_xlfn.RANK.EQ(BF129,$BF$8:$BF$870,0)+COUNTIF($BF$8:BF129,BF129)-1</f>
        <v>216</v>
      </c>
      <c r="BH129" s="268">
        <f>(((FMS_Ranking4[[#This Row],[Structures Removed Raw]]/AK$4)*100)*AK$5)+(((FMS_Ranking4[[#This Row],[Removed Pop Raw]]/AR$4)*100)*AR$5)</f>
        <v>0.17241153588552641</v>
      </c>
      <c r="BI12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1.1993117066669052</v>
      </c>
      <c r="BJ129" s="205">
        <f>_xlfn.RANK.EQ(FMS_Ranking4[[#This Row],[Total Score 
(with linear
normalization)]],FMS_Ranking4[Total Score 
(with linear
normalization)],0)</f>
        <v>647</v>
      </c>
      <c r="BK129" s="205" t="e">
        <f>_xlfn.XLOOKUP(FMS_Ranking4[[#This Row],[FMS ID]],#REF!,#REF!)</f>
        <v>#REF!</v>
      </c>
      <c r="BL12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34.518189590667582</v>
      </c>
      <c r="BM129" s="272">
        <f>FMS_Ranking4[[#This Row],[ArcSinh Score Based on Normalized Reported Factors]]+FMS_Ranking4[[#This Row],[% NBS Score (Normalized)]]+(FMS_Ranking4[[#This Row],[Water Supply Score (Normalized)]]*10*$BB$5)+FMS_Ranking4[[#This Row],[FMS_Type Score Weighted]]</f>
        <v>35.018189590667582</v>
      </c>
      <c r="BN129" s="205">
        <f>_xlfn.RANK.EQ(FMS_Ranking4[[#This Row],[Total Score (with ArcSinh normalization of select criteria)]],FMS_Ranking4[Total Score (with ArcSinh normalization of select criteria)],0)</f>
        <v>121</v>
      </c>
      <c r="BO129" s="270" t="str">
        <f>_xlfn.XLOOKUP(FMS_Ranking4[[#This Row],[FMS ID]],FMS_Input[FMS_ID],FMS_Input[FMS_RANK_YEAR])</f>
        <v>2023 Amended Plan</v>
      </c>
      <c r="BP129" s="204">
        <f>_xlfn.XLOOKUP(FMS_Ranking4[[#This Row],[FMS ID]],Prev_Rank[FMS ID],Prev_Rank[Prev Rank])</f>
        <v>126</v>
      </c>
      <c r="BQ129" s="205" t="e">
        <f>_xlfn.XLOOKUP(FMS_Ranking4[[#This Row],[FMS ID]],#REF!,#REF!)</f>
        <v>#REF!</v>
      </c>
      <c r="BR129" s="199" t="e">
        <f>SUM(#REF!,#REF!,#REF!,#REF!,#REF!,#REF!,#REF!,#REF!,#REF!,FMS_Ranking4[[#This Row],[ArcSinh Res struct removed 0-10]],#REF!)</f>
        <v>#REF!</v>
      </c>
      <c r="BS129" s="199" t="e">
        <f>FMS_Ranking4[[#This Row],[Log Score Based on Normalized Reported Factors]]+FMS_Ranking4[[#This Row],[% NBS Score (Normalized)]]+(FMS_Ranking4[[#This Row],[Water Supply Score (Normalized)]]*10*$BB$5)+(FMS_Ranking4[[#This Row],[FMS_Type Score Weighted]])</f>
        <v>#REF!</v>
      </c>
      <c r="BT129" s="200" t="e">
        <f>_xlfn.RANK.EQ(FMS_Ranking4[[#This Row],[Log Total Score]],FMS_Ranking4[Log Total Score],0)</f>
        <v>#REF!</v>
      </c>
      <c r="BU129" s="200" t="e">
        <f>_xlfn.XLOOKUP(FMS_Ranking4[[#This Row],[FMS ID]],#REF!,#REF!)</f>
        <v>#REF!</v>
      </c>
      <c r="BV129" s="200">
        <f>FMS_Ranking4[[#This Row],[Region Number]]</f>
        <v>9</v>
      </c>
      <c r="BW129" s="200">
        <f>FMS_Ranking4[[#This Row],[Rank (with ArcSinh normalization of select criteria)]]-FMS_Ranking4[[#This Row],[Rank
(with linear
normalization)]]</f>
        <v>-526</v>
      </c>
      <c r="BX129" s="200" t="e">
        <f>FMS_Ranking4[[#This Row],[Log Rank]]-FMS_Ranking4[[#This Row],[Rank
(with linear
normalization)]]</f>
        <v>#REF!</v>
      </c>
      <c r="BY129" s="200" t="str">
        <f>IF(FMS_Ranking4[[#This Row],[FMS Type]]="Flood Measurement and Warning",FMS_Ranking4[[#This Row],[Rank (with ArcSinh normalization of select criteria)]],"")</f>
        <v/>
      </c>
      <c r="BZ129" s="200" t="str">
        <f>IF(FMS_Ranking4[[#This Row],[FMS Type]]="Regulatory and Guidance",FMS_Ranking4[[#This Row],[Rank (with ArcSinh normalization of select criteria)]],"")</f>
        <v/>
      </c>
      <c r="CA129" s="200" t="str">
        <f>IF(FMS_Ranking4[[#This Row],[FMS Type]]="Education and Outreach",FMS_Ranking4[[#This Row],[Rank (with ArcSinh normalization of select criteria)]],"")</f>
        <v/>
      </c>
      <c r="CB129" s="200" t="str">
        <f>IF(FMS_Ranking4[[#This Row],[FMS Type]]="Property Acquisition and Structural Elevation",FMS_Ranking4[[#This Row],[Rank (with ArcSinh normalization of select criteria)]],"")</f>
        <v/>
      </c>
      <c r="CC129" s="200" t="str">
        <f>IF(FMS_Ranking4[[#This Row],[FMS Type]]="Infrastructure Projects",FMS_Ranking4[[#This Row],[Rank (with ArcSinh normalization of select criteria)]],"")</f>
        <v/>
      </c>
      <c r="CD129" s="200">
        <f>IF(FMS_Ranking4[[#This Row],[FMS Type]]="Other",FMS_Ranking4[[#This Row],[Rank (with ArcSinh normalization of select criteria)]],"")</f>
        <v>121</v>
      </c>
      <c r="CE129" s="201"/>
    </row>
    <row r="130" spans="2:83" ht="90" x14ac:dyDescent="0.25">
      <c r="B130" s="346" t="s">
        <v>107</v>
      </c>
      <c r="C130" s="246">
        <f>_xlfn.XLOOKUP(FMS_Ranking4[[#This Row],[FMS ID]],FMS_Input[FMS_ID],FMS_Input[RFPG_NUM])</f>
        <v>6</v>
      </c>
      <c r="D130" s="309" t="str">
        <f>_xlfn.XLOOKUP(FMS_Ranking4[[#This Row],[FMS ID]],FMS_Input[FMS_ID],FMS_Input[FMS_NAME])</f>
        <v xml:space="preserve">Brazoria County Dam and Levee Failure Outreach and Education campaign </v>
      </c>
      <c r="E130" s="308" t="str">
        <f>_xlfn.XLOOKUP(FMS_Ranking4[[#This Row],[FMS ID]],FMS_Input[FMS_ID],FMS_Input[SPONSOR])</f>
        <v>00000003</v>
      </c>
      <c r="F130" s="309" t="str">
        <f>_xlfn.XLOOKUP(FMS_Ranking4[[#This Row],[FMS ID]],Sponsor[FMS_ID],Sponsor[SPONSOR NAME])</f>
        <v>Brazoria</v>
      </c>
      <c r="G130" s="309" t="str">
        <f>_xlfn.XLOOKUP(FMS_Ranking4[[#This Row],[FMS ID]],FMS_Input[FMS_ID],FMS_Input[FMS_DESCR])</f>
        <v xml:space="preserve">Implement an outreach and education campaign to educate the public on mitigation techniques for dam and levee failure to reduce loss of life and property. </v>
      </c>
      <c r="H130" s="248" t="str">
        <f>_xlfn.XLOOKUP(FMS_Ranking4[[#This Row],[FMS ID]],FMS_Input[FMS_ID],FMS_Input[FMS_TYPE])</f>
        <v>Education and Outreach</v>
      </c>
      <c r="I130" s="249">
        <f>_xlfn.XLOOKUP(FMS_Ranking4[[#This Row],[FMS ID]],FMS_Input[FMS_ID],FMS_Input[NRNC_COST])</f>
        <v>1000</v>
      </c>
      <c r="J130" s="250">
        <f>_xlfn.XLOOKUP(FMS_Ranking4[[#This Row],[FMS ID]],FMS_Input[FMS_ID],FMS_Input[FMS_COST])</f>
        <v>20000</v>
      </c>
      <c r="K130" s="251" t="str">
        <f>_xlfn.XLOOKUP(FMS_Ranking4[[#This Row],[FMS ID]],FMS_Input[FMS_ID],FMS_Input[EMER_NEED])</f>
        <v>No</v>
      </c>
      <c r="L130" s="252">
        <f t="shared" si="1"/>
        <v>0</v>
      </c>
      <c r="M130" s="253">
        <f>_xlfn.XLOOKUP(FMS_Ranking4[[#This Row],[FMS ID]],FMS_Input[FMS_ID],FMS_Input[STRUCT_100])</f>
        <v>18848</v>
      </c>
      <c r="N130" s="255">
        <f>(ASINH(FMS_Ranking4[[#This Row],[Structure at Risk Raw]]))*(10)/(ASINH(M$4))</f>
        <v>8.2838940218198047</v>
      </c>
      <c r="O130" s="256">
        <f>FMS_Ranking4[[#This Row],[Structures at risk, ArcSinh (0-10)]]*M$5*10</f>
        <v>8.2838940218198047</v>
      </c>
      <c r="P130" s="253">
        <f>_xlfn.XLOOKUP(FMS_Ranking4[[#This Row],[FMS ID]],FMS_Input[FMS_ID],FMS_Input[RES_STRUCT100])</f>
        <v>14344</v>
      </c>
      <c r="Q130" s="257">
        <f>ASINH(FMS_Ranking4[[#This Row],[Res Structure Raw]])/Q$4*P$5*100</f>
        <v>0</v>
      </c>
      <c r="R130" s="253">
        <f>_xlfn.XLOOKUP(FMS_Ranking4[[#This Row],[FMS ID]],FMS_Input[FMS_ID],FMS_Input[POP100])</f>
        <v>38626</v>
      </c>
      <c r="S130" s="255">
        <f>(ASINH(FMS_Ranking4[[#This Row],[Pop at Risk Raw]]))*(10)/(ASINH(R$4))</f>
        <v>7.7698630595792482</v>
      </c>
      <c r="T130" s="256">
        <f>FMS_Ranking4[[#This Row],[Population at risk, ArcSinh (0-10)]]*R$5*10</f>
        <v>7.7698630595792482</v>
      </c>
      <c r="U130" s="253">
        <f>_xlfn.XLOOKUP(FMS_Ranking4[[#This Row],[FMS ID]],FMS_Input[FMS_ID],FMS_Input[CRITFAC100])</f>
        <v>248</v>
      </c>
      <c r="V130" s="255">
        <f>(ASINH(FMS_Ranking4[[#This Row],[Critical Facilities Raw]]))*(10)/(ASINH(U$4))</f>
        <v>7.3471268180936828</v>
      </c>
      <c r="W130" s="256">
        <f>FMS_Ranking4[[#This Row],[Critical facilities at risk, ArcSinh (0-10)]]*U$5*10</f>
        <v>7.3471268180936828</v>
      </c>
      <c r="X130" s="253">
        <f>_xlfn.XLOOKUP(FMS_Ranking4[[#This Row],[FMS ID]],FMS_Input[FMS_ID],FMS_Input[LWC])</f>
        <v>0</v>
      </c>
      <c r="Y130" s="255">
        <f>(ASINH(FMS_Ranking4[[#This Row],[LWC Raw]]))*(10)/(ASINH(X$4))</f>
        <v>0</v>
      </c>
      <c r="Z130" s="256">
        <f>FMS_Ranking4[[#This Row],[LWC, ArcSInh (0-10)]]*X$5*10</f>
        <v>0</v>
      </c>
      <c r="AA130" s="253">
        <f>_xlfn.XLOOKUP(FMS_Ranking4[[#This Row],[FMS ID]],FMS_Input[FMS_ID],FMS_Input[ROADCLS])</f>
        <v>0</v>
      </c>
      <c r="AB130" s="255">
        <f>(ASINH(FMS_Ranking4[[#This Row],[Road Closures Raw]]))*(10)/(ASINH(AA$4))</f>
        <v>0</v>
      </c>
      <c r="AC130" s="256">
        <f>FMS_Ranking4[[#This Row],[Road closures, ArcSinh (0-10)]]*AA$5*10</f>
        <v>0</v>
      </c>
      <c r="AD130" s="253">
        <f>_xlfn.XLOOKUP(FMS_Ranking4[[#This Row],[FMS ID]],FMS_Input[FMS_ID],FMS_Input[ROAD_MILES100])</f>
        <v>328</v>
      </c>
      <c r="AE130" s="255">
        <f>(ASINH(FMS_Ranking4[[#This Row],[Road Miles Raw]]))*(10)/(ASINH(AD$4))</f>
        <v>6.9124653774240032</v>
      </c>
      <c r="AF130" s="256">
        <f>FMS_Ranking4[[#This Row],[Length of roads at risk, ArcSinh (0-10)]]*AD$5*10</f>
        <v>6.9124653774240041</v>
      </c>
      <c r="AG130" s="253">
        <f>_xlfn.XLOOKUP(FMS_Ranking4[[#This Row],[FMS ID]],FMS_Input[FMS_ID],FMS_Input[FARMACRE100])</f>
        <v>8584.16015625</v>
      </c>
      <c r="AH130" s="255">
        <f>(ASINH(FMS_Ranking4[[#This Row],[Ag Land Raw]]))*(10)/(ASINH(AG$4))</f>
        <v>6.333952713812689</v>
      </c>
      <c r="AI130" s="260">
        <f>FMS_Ranking4[[#This Row],[Farm &amp; ranch land, ArcSinh (0-10)]]*AG$5*10</f>
        <v>3.1669763569063445</v>
      </c>
      <c r="AJ130" s="258">
        <f>_xlfn.XLOOKUP(FMS_Ranking4[[#This Row],[FMS ID]],FMS_Input[FMS_ID],FMS_Input[REDSTRUCT100])</f>
        <v>0</v>
      </c>
      <c r="AK130" s="253">
        <f>_xlfn.XLOOKUP(FMS_Ranking4[[#This Row],[FMS ID]],FMS_Input[FMS_ID],FMS_Input[REMSTRC100])</f>
        <v>0</v>
      </c>
      <c r="AL130" s="255">
        <f>(ASINH(FMS_Ranking4[[#This Row],[Structures Removed Raw]]))*(10)/(ASINH(AK$4))</f>
        <v>0</v>
      </c>
      <c r="AM130" s="262">
        <f>FMS_Ranking4[[#This Row],[Structures removed, ArcSinh (0-10)]]*AK$5*10</f>
        <v>0</v>
      </c>
      <c r="AN130" s="253">
        <f>_xlfn.XLOOKUP(FMS_Ranking4[[#This Row],[FMS ID]],FMS_Input[FMS_ID],FMS_Input[REMRESSTRC100])</f>
        <v>0</v>
      </c>
      <c r="AO130" s="261">
        <f>FMS_Ranking4[[#This Row],[ArcSinh Res struct removed 0-10]]*AN$5*10</f>
        <v>0</v>
      </c>
      <c r="AP130" s="260">
        <f>ASINH(FMS_Ranking4[[#This Row],[Residential Structures Removed Raw]])/AP$4*AN$5*100</f>
        <v>0</v>
      </c>
      <c r="AQ130" s="258">
        <f>(ASINH(FMS_Ranking4[[#This Row],[Residential Structures Removed Raw]]))*(10)/(ASINH(AN$4))</f>
        <v>0</v>
      </c>
      <c r="AR130" s="253">
        <f>_xlfn.XLOOKUP(FMS_Ranking4[[#This Row],[FMS ID]],FMS_Input[FMS_ID],FMS_Input[REMPOP100])</f>
        <v>0</v>
      </c>
      <c r="AS130" s="255">
        <f>(ASINH(FMS_Ranking4[[#This Row],[Removed Pop Raw]]))*(10)/(ASINH(AR$4))</f>
        <v>0</v>
      </c>
      <c r="AT130" s="262">
        <f>FMS_Ranking4[[#This Row],[Removed population, ArcSinh (0-10)]]*AR$5*10</f>
        <v>0</v>
      </c>
      <c r="AU130" s="264">
        <f>_xlfn.XLOOKUP(FMS_Ranking4[[#This Row],[FMS ID]],FMS_Input[FMS_ID],FMS_Input[REMCRITFAC100])</f>
        <v>0</v>
      </c>
      <c r="AV130" s="264">
        <f>_xlfn.XLOOKUP(FMS_Ranking4[[#This Row],[FMS ID]],FMS_Input[FMS_ID],FMS_Input[REMLWC100])</f>
        <v>0</v>
      </c>
      <c r="AW130" s="264">
        <f>_xlfn.XLOOKUP(FMS_Ranking4[[#This Row],[FMS ID]],FMS_Input[FMS_ID],FMS_Input[REMROADCLS])</f>
        <v>0</v>
      </c>
      <c r="AX130" s="264">
        <f>_xlfn.XLOOKUP(FMS_Ranking4[[#This Row],[FMS ID]],FMS_Input[FMS_ID],FMS_Input[REMFRMACRE100])</f>
        <v>0</v>
      </c>
      <c r="AY130" s="258">
        <f>_xlfn.XLOOKUP(FMS_Ranking4[[#This Row],[FMS ID]],FMS_Input[FMS_ID],FMS_Input[COSTSTRUCT])</f>
        <v>0</v>
      </c>
      <c r="AZ130" s="253">
        <f>_xlfn.XLOOKUP(FMS_Ranking4[[#This Row],[FMS ID]],FMS_Input[FMS_ID],FMS_Input[NATURE])</f>
        <v>0</v>
      </c>
      <c r="BA130" s="262">
        <f>(((FMS_Ranking4[[#This Row],[% NBS Raw]]/AZ$4)*100)*AZ$5)</f>
        <v>0</v>
      </c>
      <c r="BB130" s="251" t="str">
        <f>_xlfn.XLOOKUP(FMS_Ranking4[[#This Row],[FMS ID]],FMS_Input[FMS_ID],FMS_Input[WATER_SUP])</f>
        <v>No</v>
      </c>
      <c r="BC130" s="265">
        <f>IF(FMS_Ranking4[[#This Row],[Water Supply Raw]]="Yes",10,0)</f>
        <v>0</v>
      </c>
      <c r="BD130" s="266">
        <f>_xlfn.XLOOKUP(FMS_Ranking4[[#This Row],[FMS Type]],FMS_TYPE[FMS_Type],FMS_TYPE[Score])</f>
        <v>6</v>
      </c>
      <c r="BE130" s="267">
        <f>FMS_Ranking4[[#This Row],[FMS_Type Score]]*$BD$5*10</f>
        <v>1.5000000000000002</v>
      </c>
      <c r="BF13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3.1555059929704496</v>
      </c>
      <c r="BG130" s="293">
        <f>_xlfn.RANK.EQ(BF130,$BF$8:$BF$870,0)+COUNTIF($BF$8:BF130,BF130)-1</f>
        <v>83</v>
      </c>
      <c r="BH130" s="294">
        <f>(((FMS_Ranking4[[#This Row],[Structures Removed Raw]]/AK$4)*100)*AK$5)+(((FMS_Ranking4[[#This Row],[Removed Pop Raw]]/AR$4)*100)*AR$5)</f>
        <v>0</v>
      </c>
      <c r="BI13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4.6555059929704496</v>
      </c>
      <c r="BJ130" s="251">
        <f>_xlfn.RANK.EQ(FMS_Ranking4[[#This Row],[Total Score 
(with linear
normalization)]],FMS_Ranking4[Total Score 
(with linear
normalization)],0)</f>
        <v>124</v>
      </c>
      <c r="BK130" s="251" t="e">
        <f>_xlfn.XLOOKUP(FMS_Ranking4[[#This Row],[FMS ID]],#REF!,#REF!)</f>
        <v>#REF!</v>
      </c>
      <c r="BL13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33.480325633823085</v>
      </c>
      <c r="BM130" s="324">
        <f>FMS_Ranking4[[#This Row],[ArcSinh Score Based on Normalized Reported Factors]]+FMS_Ranking4[[#This Row],[% NBS Score (Normalized)]]+(FMS_Ranking4[[#This Row],[Water Supply Score (Normalized)]]*10*$BB$5)+FMS_Ranking4[[#This Row],[FMS_Type Score Weighted]]</f>
        <v>34.980325633823085</v>
      </c>
      <c r="BN130" s="251">
        <f>_xlfn.RANK.EQ(FMS_Ranking4[[#This Row],[Total Score (with ArcSinh normalization of select criteria)]],FMS_Ranking4[Total Score (with ArcSinh normalization of select criteria)],0)</f>
        <v>123</v>
      </c>
      <c r="BO130" s="270" t="str">
        <f>_xlfn.XLOOKUP(FMS_Ranking4[[#This Row],[FMS ID]],FMS_Input[FMS_ID],FMS_Input[FMS_RANK_YEAR])</f>
        <v>2023 Amended Plan</v>
      </c>
      <c r="BP130" s="324">
        <f>_xlfn.XLOOKUP(FMS_Ranking4[[#This Row],[FMS ID]],Prev_Rank[FMS ID],Prev_Rank[Prev Rank])</f>
        <v>101</v>
      </c>
      <c r="BQ130" s="251" t="e">
        <f>_xlfn.XLOOKUP(FMS_Ranking4[[#This Row],[FMS ID]],#REF!,#REF!)</f>
        <v>#REF!</v>
      </c>
      <c r="BR130" s="199" t="e">
        <f>SUM(#REF!,#REF!,#REF!,#REF!,#REF!,#REF!,#REF!,#REF!,#REF!,FMS_Ranking4[[#This Row],[ArcSinh Res struct removed 0-10]],#REF!)</f>
        <v>#REF!</v>
      </c>
      <c r="BS130" s="199" t="e">
        <f>FMS_Ranking4[[#This Row],[Log Score Based on Normalized Reported Factors]]+FMS_Ranking4[[#This Row],[% NBS Score (Normalized)]]+(FMS_Ranking4[[#This Row],[Water Supply Score (Normalized)]]*10*$BB$5)+(FMS_Ranking4[[#This Row],[FMS_Type Score Weighted]])</f>
        <v>#REF!</v>
      </c>
      <c r="BT130" s="200" t="e">
        <f>_xlfn.RANK.EQ(FMS_Ranking4[[#This Row],[Log Total Score]],FMS_Ranking4[Log Total Score],0)</f>
        <v>#REF!</v>
      </c>
      <c r="BU130" s="200" t="e">
        <f>_xlfn.XLOOKUP(FMS_Ranking4[[#This Row],[FMS ID]],#REF!,#REF!)</f>
        <v>#REF!</v>
      </c>
      <c r="BV130" s="200">
        <f>FMS_Ranking4[[#This Row],[Region Number]]</f>
        <v>6</v>
      </c>
      <c r="BW130" s="200">
        <f>FMS_Ranking4[[#This Row],[Rank (with ArcSinh normalization of select criteria)]]-FMS_Ranking4[[#This Row],[Rank
(with linear
normalization)]]</f>
        <v>-1</v>
      </c>
      <c r="BX130" s="200" t="e">
        <f>FMS_Ranking4[[#This Row],[Log Rank]]-FMS_Ranking4[[#This Row],[Rank
(with linear
normalization)]]</f>
        <v>#REF!</v>
      </c>
      <c r="BY130" s="200" t="str">
        <f>IF(FMS_Ranking4[[#This Row],[FMS Type]]="Flood Measurement and Warning",FMS_Ranking4[[#This Row],[Rank (with ArcSinh normalization of select criteria)]],"")</f>
        <v/>
      </c>
      <c r="BZ130" s="200" t="str">
        <f>IF(FMS_Ranking4[[#This Row],[FMS Type]]="Regulatory and Guidance",FMS_Ranking4[[#This Row],[Rank (with ArcSinh normalization of select criteria)]],"")</f>
        <v/>
      </c>
      <c r="CA130" s="200">
        <f>IF(FMS_Ranking4[[#This Row],[FMS Type]]="Education and Outreach",FMS_Ranking4[[#This Row],[Rank (with ArcSinh normalization of select criteria)]],"")</f>
        <v>123</v>
      </c>
      <c r="CB130" s="200" t="str">
        <f>IF(FMS_Ranking4[[#This Row],[FMS Type]]="Property Acquisition and Structural Elevation",FMS_Ranking4[[#This Row],[Rank (with ArcSinh normalization of select criteria)]],"")</f>
        <v/>
      </c>
      <c r="CC130" s="200" t="str">
        <f>IF(FMS_Ranking4[[#This Row],[FMS Type]]="Infrastructure Projects",FMS_Ranking4[[#This Row],[Rank (with ArcSinh normalization of select criteria)]],"")</f>
        <v/>
      </c>
      <c r="CD130" s="200" t="str">
        <f>IF(FMS_Ranking4[[#This Row],[FMS Type]]="Other",FMS_Ranking4[[#This Row],[Rank (with ArcSinh normalization of select criteria)]],"")</f>
        <v/>
      </c>
      <c r="CE130" s="201"/>
    </row>
    <row r="131" spans="2:83" ht="45" x14ac:dyDescent="0.25">
      <c r="B131" s="346" t="s">
        <v>40</v>
      </c>
      <c r="C131" s="246">
        <f>_xlfn.XLOOKUP(FMS_Ranking4[[#This Row],[FMS ID]],FMS_Input[FMS_ID],FMS_Input[RFPG_NUM])</f>
        <v>6</v>
      </c>
      <c r="D131" s="309" t="str">
        <f>_xlfn.XLOOKUP(FMS_Ranking4[[#This Row],[FMS ID]],FMS_Input[FMS_ID],FMS_Input[FMS_NAME])</f>
        <v>Brazoria County Increased Cost of Compliance Education</v>
      </c>
      <c r="E131" s="308" t="str">
        <f>_xlfn.XLOOKUP(FMS_Ranking4[[#This Row],[FMS ID]],FMS_Input[FMS_ID],FMS_Input[SPONSOR])</f>
        <v>00000003</v>
      </c>
      <c r="F131" s="309" t="str">
        <f>_xlfn.XLOOKUP(FMS_Ranking4[[#This Row],[FMS ID]],Sponsor[FMS_ID],Sponsor[SPONSOR NAME])</f>
        <v>Brazoria</v>
      </c>
      <c r="G131" s="309" t="str">
        <f>_xlfn.XLOOKUP(FMS_Ranking4[[#This Row],[FMS ID]],FMS_Input[FMS_ID],FMS_Input[FMS_DESCR])</f>
        <v xml:space="preserve">Implement campaign on public education of ICC (Increased Cost of Compliance) coverage. </v>
      </c>
      <c r="H131" s="248" t="str">
        <f>_xlfn.XLOOKUP(FMS_Ranking4[[#This Row],[FMS ID]],FMS_Input[FMS_ID],FMS_Input[FMS_TYPE])</f>
        <v>Education and Outreach</v>
      </c>
      <c r="I131" s="249">
        <f>_xlfn.XLOOKUP(FMS_Ranking4[[#This Row],[FMS ID]],FMS_Input[FMS_ID],FMS_Input[NRNC_COST])</f>
        <v>1000</v>
      </c>
      <c r="J131" s="250">
        <f>_xlfn.XLOOKUP(FMS_Ranking4[[#This Row],[FMS ID]],FMS_Input[FMS_ID],FMS_Input[FMS_COST])</f>
        <v>20000</v>
      </c>
      <c r="K131" s="251" t="str">
        <f>_xlfn.XLOOKUP(FMS_Ranking4[[#This Row],[FMS ID]],FMS_Input[FMS_ID],FMS_Input[EMER_NEED])</f>
        <v>No</v>
      </c>
      <c r="L131" s="252">
        <f t="shared" si="1"/>
        <v>0</v>
      </c>
      <c r="M131" s="253">
        <f>_xlfn.XLOOKUP(FMS_Ranking4[[#This Row],[FMS ID]],FMS_Input[FMS_ID],FMS_Input[STRUCT_100])</f>
        <v>18845</v>
      </c>
      <c r="N131" s="255">
        <f>(ASINH(FMS_Ranking4[[#This Row],[Structure at Risk Raw]]))*(10)/(ASINH(M$4))</f>
        <v>8.2837688820494346</v>
      </c>
      <c r="O131" s="256">
        <f>FMS_Ranking4[[#This Row],[Structures at risk, ArcSinh (0-10)]]*M$5*10</f>
        <v>8.2837688820494346</v>
      </c>
      <c r="P131" s="253">
        <f>_xlfn.XLOOKUP(FMS_Ranking4[[#This Row],[FMS ID]],FMS_Input[FMS_ID],FMS_Input[RES_STRUCT100])</f>
        <v>14341</v>
      </c>
      <c r="Q131" s="257">
        <f>ASINH(FMS_Ranking4[[#This Row],[Res Structure Raw]])/Q$4*P$5*100</f>
        <v>0</v>
      </c>
      <c r="R131" s="253">
        <f>_xlfn.XLOOKUP(FMS_Ranking4[[#This Row],[FMS ID]],FMS_Input[FMS_ID],FMS_Input[POP100])</f>
        <v>38623</v>
      </c>
      <c r="S131" s="255">
        <f>(ASINH(FMS_Ranking4[[#This Row],[Pop at Risk Raw]]))*(10)/(ASINH(R$4))</f>
        <v>7.7698094388293573</v>
      </c>
      <c r="T131" s="256">
        <f>FMS_Ranking4[[#This Row],[Population at risk, ArcSinh (0-10)]]*R$5*10</f>
        <v>7.7698094388293582</v>
      </c>
      <c r="U131" s="253">
        <f>_xlfn.XLOOKUP(FMS_Ranking4[[#This Row],[FMS ID]],FMS_Input[FMS_ID],FMS_Input[CRITFAC100])</f>
        <v>248</v>
      </c>
      <c r="V131" s="255">
        <f>(ASINH(FMS_Ranking4[[#This Row],[Critical Facilities Raw]]))*(10)/(ASINH(U$4))</f>
        <v>7.3471268180936828</v>
      </c>
      <c r="W131" s="256">
        <f>FMS_Ranking4[[#This Row],[Critical facilities at risk, ArcSinh (0-10)]]*U$5*10</f>
        <v>7.3471268180936828</v>
      </c>
      <c r="X131" s="253">
        <f>_xlfn.XLOOKUP(FMS_Ranking4[[#This Row],[FMS ID]],FMS_Input[FMS_ID],FMS_Input[LWC])</f>
        <v>0</v>
      </c>
      <c r="Y131" s="255">
        <f>(ASINH(FMS_Ranking4[[#This Row],[LWC Raw]]))*(10)/(ASINH(X$4))</f>
        <v>0</v>
      </c>
      <c r="Z131" s="256">
        <f>FMS_Ranking4[[#This Row],[LWC, ArcSInh (0-10)]]*X$5*10</f>
        <v>0</v>
      </c>
      <c r="AA131" s="253">
        <f>_xlfn.XLOOKUP(FMS_Ranking4[[#This Row],[FMS ID]],FMS_Input[FMS_ID],FMS_Input[ROADCLS])</f>
        <v>0</v>
      </c>
      <c r="AB131" s="255">
        <f>(ASINH(FMS_Ranking4[[#This Row],[Road Closures Raw]]))*(10)/(ASINH(AA$4))</f>
        <v>0</v>
      </c>
      <c r="AC131" s="256">
        <f>FMS_Ranking4[[#This Row],[Road closures, ArcSinh (0-10)]]*AA$5*10</f>
        <v>0</v>
      </c>
      <c r="AD131" s="253">
        <f>_xlfn.XLOOKUP(FMS_Ranking4[[#This Row],[FMS ID]],FMS_Input[FMS_ID],FMS_Input[ROAD_MILES100])</f>
        <v>328</v>
      </c>
      <c r="AE131" s="255">
        <f>(ASINH(FMS_Ranking4[[#This Row],[Road Miles Raw]]))*(10)/(ASINH(AD$4))</f>
        <v>6.9124653774240032</v>
      </c>
      <c r="AF131" s="256">
        <f>FMS_Ranking4[[#This Row],[Length of roads at risk, ArcSinh (0-10)]]*AD$5*10</f>
        <v>6.9124653774240041</v>
      </c>
      <c r="AG131" s="253">
        <f>_xlfn.XLOOKUP(FMS_Ranking4[[#This Row],[FMS ID]],FMS_Input[FMS_ID],FMS_Input[FARMACRE100])</f>
        <v>8576.763671875</v>
      </c>
      <c r="AH131" s="255">
        <f>(ASINH(FMS_Ranking4[[#This Row],[Ag Land Raw]]))*(10)/(ASINH(AG$4))</f>
        <v>6.3333927650009478</v>
      </c>
      <c r="AI131" s="260">
        <f>FMS_Ranking4[[#This Row],[Farm &amp; ranch land, ArcSinh (0-10)]]*AG$5*10</f>
        <v>3.1666963825004739</v>
      </c>
      <c r="AJ131" s="258">
        <f>_xlfn.XLOOKUP(FMS_Ranking4[[#This Row],[FMS ID]],FMS_Input[FMS_ID],FMS_Input[REDSTRUCT100])</f>
        <v>0</v>
      </c>
      <c r="AK131" s="253">
        <f>_xlfn.XLOOKUP(FMS_Ranking4[[#This Row],[FMS ID]],FMS_Input[FMS_ID],FMS_Input[REMSTRC100])</f>
        <v>0</v>
      </c>
      <c r="AL131" s="255">
        <f>(ASINH(FMS_Ranking4[[#This Row],[Structures Removed Raw]]))*(10)/(ASINH(AK$4))</f>
        <v>0</v>
      </c>
      <c r="AM131" s="262">
        <f>FMS_Ranking4[[#This Row],[Structures removed, ArcSinh (0-10)]]*AK$5*10</f>
        <v>0</v>
      </c>
      <c r="AN131" s="253">
        <f>_xlfn.XLOOKUP(FMS_Ranking4[[#This Row],[FMS ID]],FMS_Input[FMS_ID],FMS_Input[REMRESSTRC100])</f>
        <v>0</v>
      </c>
      <c r="AO131" s="261">
        <f>FMS_Ranking4[[#This Row],[ArcSinh Res struct removed 0-10]]*AN$5*10</f>
        <v>0</v>
      </c>
      <c r="AP131" s="260">
        <f>ASINH(FMS_Ranking4[[#This Row],[Residential Structures Removed Raw]])/AP$4*AN$5*100</f>
        <v>0</v>
      </c>
      <c r="AQ131" s="258">
        <f>(ASINH(FMS_Ranking4[[#This Row],[Residential Structures Removed Raw]]))*(10)/(ASINH(AN$4))</f>
        <v>0</v>
      </c>
      <c r="AR131" s="253">
        <f>_xlfn.XLOOKUP(FMS_Ranking4[[#This Row],[FMS ID]],FMS_Input[FMS_ID],FMS_Input[REMPOP100])</f>
        <v>0</v>
      </c>
      <c r="AS131" s="255">
        <f>(ASINH(FMS_Ranking4[[#This Row],[Removed Pop Raw]]))*(10)/(ASINH(AR$4))</f>
        <v>0</v>
      </c>
      <c r="AT131" s="262">
        <f>FMS_Ranking4[[#This Row],[Removed population, ArcSinh (0-10)]]*AR$5*10</f>
        <v>0</v>
      </c>
      <c r="AU131" s="264">
        <f>_xlfn.XLOOKUP(FMS_Ranking4[[#This Row],[FMS ID]],FMS_Input[FMS_ID],FMS_Input[REMCRITFAC100])</f>
        <v>0</v>
      </c>
      <c r="AV131" s="264">
        <f>_xlfn.XLOOKUP(FMS_Ranking4[[#This Row],[FMS ID]],FMS_Input[FMS_ID],FMS_Input[REMLWC100])</f>
        <v>0</v>
      </c>
      <c r="AW131" s="264">
        <f>_xlfn.XLOOKUP(FMS_Ranking4[[#This Row],[FMS ID]],FMS_Input[FMS_ID],FMS_Input[REMROADCLS])</f>
        <v>0</v>
      </c>
      <c r="AX131" s="264">
        <f>_xlfn.XLOOKUP(FMS_Ranking4[[#This Row],[FMS ID]],FMS_Input[FMS_ID],FMS_Input[REMFRMACRE100])</f>
        <v>0</v>
      </c>
      <c r="AY131" s="258">
        <f>_xlfn.XLOOKUP(FMS_Ranking4[[#This Row],[FMS ID]],FMS_Input[FMS_ID],FMS_Input[COSTSTRUCT])</f>
        <v>0</v>
      </c>
      <c r="AZ131" s="253">
        <f>_xlfn.XLOOKUP(FMS_Ranking4[[#This Row],[FMS ID]],FMS_Input[FMS_ID],FMS_Input[NATURE])</f>
        <v>0</v>
      </c>
      <c r="BA131" s="262">
        <f>(((FMS_Ranking4[[#This Row],[% NBS Raw]]/AZ$4)*100)*AZ$5)</f>
        <v>0</v>
      </c>
      <c r="BB131" s="251" t="str">
        <f>_xlfn.XLOOKUP(FMS_Ranking4[[#This Row],[FMS ID]],FMS_Input[FMS_ID],FMS_Input[WATER_SUP])</f>
        <v>No</v>
      </c>
      <c r="BC131" s="265">
        <f>IF(FMS_Ranking4[[#This Row],[Water Supply Raw]]="Yes",10,0)</f>
        <v>0</v>
      </c>
      <c r="BD131" s="266">
        <f>_xlfn.XLOOKUP(FMS_Ranking4[[#This Row],[FMS Type]],FMS_TYPE[FMS_Type],FMS_TYPE[Score])</f>
        <v>6</v>
      </c>
      <c r="BE131" s="267">
        <f>FMS_Ranking4[[#This Row],[FMS_Type Score]]*$BD$5*10</f>
        <v>1.5000000000000002</v>
      </c>
      <c r="BF13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3.1552806319675035</v>
      </c>
      <c r="BG131" s="293">
        <f>_xlfn.RANK.EQ(BF131,$BF$8:$BF$870,0)+COUNTIF($BF$8:BF131,BF131)-1</f>
        <v>86</v>
      </c>
      <c r="BH131" s="294">
        <f>(((FMS_Ranking4[[#This Row],[Structures Removed Raw]]/AK$4)*100)*AK$5)+(((FMS_Ranking4[[#This Row],[Removed Pop Raw]]/AR$4)*100)*AR$5)</f>
        <v>0</v>
      </c>
      <c r="BI13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4.6552806319675035</v>
      </c>
      <c r="BJ131" s="251">
        <f>_xlfn.RANK.EQ(FMS_Ranking4[[#This Row],[Total Score 
(with linear
normalization)]],FMS_Ranking4[Total Score 
(with linear
normalization)],0)</f>
        <v>125</v>
      </c>
      <c r="BK131" s="251" t="e">
        <f>_xlfn.XLOOKUP(FMS_Ranking4[[#This Row],[FMS ID]],#REF!,#REF!)</f>
        <v>#REF!</v>
      </c>
      <c r="BL13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33.479866898896958</v>
      </c>
      <c r="BM131" s="324">
        <f>FMS_Ranking4[[#This Row],[ArcSinh Score Based on Normalized Reported Factors]]+FMS_Ranking4[[#This Row],[% NBS Score (Normalized)]]+(FMS_Ranking4[[#This Row],[Water Supply Score (Normalized)]]*10*$BB$5)+FMS_Ranking4[[#This Row],[FMS_Type Score Weighted]]</f>
        <v>34.979866898896958</v>
      </c>
      <c r="BN131" s="251">
        <f>_xlfn.RANK.EQ(FMS_Ranking4[[#This Row],[Total Score (with ArcSinh normalization of select criteria)]],FMS_Ranking4[Total Score (with ArcSinh normalization of select criteria)],0)</f>
        <v>124</v>
      </c>
      <c r="BO131" s="270" t="str">
        <f>_xlfn.XLOOKUP(FMS_Ranking4[[#This Row],[FMS ID]],FMS_Input[FMS_ID],FMS_Input[FMS_RANK_YEAR])</f>
        <v>2023 Amended Plan</v>
      </c>
      <c r="BP131" s="324">
        <f>_xlfn.XLOOKUP(FMS_Ranking4[[#This Row],[FMS ID]],Prev_Rank[FMS ID],Prev_Rank[Prev Rank])</f>
        <v>102</v>
      </c>
      <c r="BQ131" s="251" t="e">
        <f>_xlfn.XLOOKUP(FMS_Ranking4[[#This Row],[FMS ID]],#REF!,#REF!)</f>
        <v>#REF!</v>
      </c>
      <c r="BR131" s="199" t="e">
        <f>SUM(#REF!,#REF!,#REF!,#REF!,#REF!,#REF!,#REF!,#REF!,#REF!,FMS_Ranking4[[#This Row],[ArcSinh Res struct removed 0-10]],#REF!)</f>
        <v>#REF!</v>
      </c>
      <c r="BS131" s="199" t="e">
        <f>FMS_Ranking4[[#This Row],[Log Score Based on Normalized Reported Factors]]+FMS_Ranking4[[#This Row],[% NBS Score (Normalized)]]+(FMS_Ranking4[[#This Row],[Water Supply Score (Normalized)]]*10*$BB$5)+(FMS_Ranking4[[#This Row],[FMS_Type Score Weighted]])</f>
        <v>#REF!</v>
      </c>
      <c r="BT131" s="200" t="e">
        <f>_xlfn.RANK.EQ(FMS_Ranking4[[#This Row],[Log Total Score]],FMS_Ranking4[Log Total Score],0)</f>
        <v>#REF!</v>
      </c>
      <c r="BU131" s="200" t="e">
        <f>_xlfn.XLOOKUP(FMS_Ranking4[[#This Row],[FMS ID]],#REF!,#REF!)</f>
        <v>#REF!</v>
      </c>
      <c r="BV131" s="200">
        <f>FMS_Ranking4[[#This Row],[Region Number]]</f>
        <v>6</v>
      </c>
      <c r="BW131" s="200">
        <f>FMS_Ranking4[[#This Row],[Rank (with ArcSinh normalization of select criteria)]]-FMS_Ranking4[[#This Row],[Rank
(with linear
normalization)]]</f>
        <v>-1</v>
      </c>
      <c r="BX131" s="200" t="e">
        <f>FMS_Ranking4[[#This Row],[Log Rank]]-FMS_Ranking4[[#This Row],[Rank
(with linear
normalization)]]</f>
        <v>#REF!</v>
      </c>
      <c r="BY131" s="200" t="str">
        <f>IF(FMS_Ranking4[[#This Row],[FMS Type]]="Flood Measurement and Warning",FMS_Ranking4[[#This Row],[Rank (with ArcSinh normalization of select criteria)]],"")</f>
        <v/>
      </c>
      <c r="BZ131" s="200" t="str">
        <f>IF(FMS_Ranking4[[#This Row],[FMS Type]]="Regulatory and Guidance",FMS_Ranking4[[#This Row],[Rank (with ArcSinh normalization of select criteria)]],"")</f>
        <v/>
      </c>
      <c r="CA131" s="200">
        <f>IF(FMS_Ranking4[[#This Row],[FMS Type]]="Education and Outreach",FMS_Ranking4[[#This Row],[Rank (with ArcSinh normalization of select criteria)]],"")</f>
        <v>124</v>
      </c>
      <c r="CB131" s="200" t="str">
        <f>IF(FMS_Ranking4[[#This Row],[FMS Type]]="Property Acquisition and Structural Elevation",FMS_Ranking4[[#This Row],[Rank (with ArcSinh normalization of select criteria)]],"")</f>
        <v/>
      </c>
      <c r="CC131" s="200" t="str">
        <f>IF(FMS_Ranking4[[#This Row],[FMS Type]]="Infrastructure Projects",FMS_Ranking4[[#This Row],[Rank (with ArcSinh normalization of select criteria)]],"")</f>
        <v/>
      </c>
      <c r="CD131" s="200" t="str">
        <f>IF(FMS_Ranking4[[#This Row],[FMS Type]]="Other",FMS_Ranking4[[#This Row],[Rank (with ArcSinh normalization of select criteria)]],"")</f>
        <v/>
      </c>
      <c r="CE131" s="201"/>
    </row>
    <row r="132" spans="2:83" ht="75" x14ac:dyDescent="0.25">
      <c r="B132" s="341" t="s">
        <v>159</v>
      </c>
      <c r="C132" s="246">
        <f>_xlfn.XLOOKUP(FMS_Ranking4[[#This Row],[FMS ID]],FMS_Input[FMS_ID],FMS_Input[RFPG_NUM])</f>
        <v>6</v>
      </c>
      <c r="D132" s="309" t="str">
        <f>_xlfn.XLOOKUP(FMS_Ranking4[[#This Row],[FMS ID]],FMS_Input[FMS_ID],FMS_Input[FMS_NAME])</f>
        <v>City of Galveston SRL and RL Property Mitigation</v>
      </c>
      <c r="E132" s="308" t="str">
        <f>_xlfn.XLOOKUP(FMS_Ranking4[[#This Row],[FMS ID]],FMS_Input[FMS_ID],FMS_Input[SPONSOR])</f>
        <v>06002809</v>
      </c>
      <c r="F132" s="309" t="str">
        <f>_xlfn.XLOOKUP(FMS_Ranking4[[#This Row],[FMS ID]],Sponsor[FMS_ID],Sponsor[SPONSOR NAME])</f>
        <v>Galveston</v>
      </c>
      <c r="G132" s="309" t="str">
        <f>_xlfn.XLOOKUP(FMS_Ranking4[[#This Row],[FMS ID]],FMS_Input[FMS_ID],FMS_Input[FMS_DESCR])</f>
        <v>Elevation, acquisition or other mitigation of identified Repetitive Loss and Severe Repeditive Loss properties and structures damaged by flooding.</v>
      </c>
      <c r="H132" s="248" t="str">
        <f>_xlfn.XLOOKUP(FMS_Ranking4[[#This Row],[FMS ID]],FMS_Input[FMS_ID],FMS_Input[FMS_TYPE])</f>
        <v>Property Acquisition and Structural Elevation</v>
      </c>
      <c r="I132" s="249">
        <f>_xlfn.XLOOKUP(FMS_Ranking4[[#This Row],[FMS ID]],FMS_Input[FMS_ID],FMS_Input[NRNC_COST])</f>
        <v>8000</v>
      </c>
      <c r="J132" s="250">
        <f>_xlfn.XLOOKUP(FMS_Ranking4[[#This Row],[FMS ID]],FMS_Input[FMS_ID],FMS_Input[FMS_COST])</f>
        <v>80000</v>
      </c>
      <c r="K132" s="251" t="str">
        <f>_xlfn.XLOOKUP(FMS_Ranking4[[#This Row],[FMS ID]],FMS_Input[FMS_ID],FMS_Input[EMER_NEED])</f>
        <v>Yes</v>
      </c>
      <c r="L132" s="252">
        <f t="shared" si="1"/>
        <v>1</v>
      </c>
      <c r="M132" s="253">
        <f>_xlfn.XLOOKUP(FMS_Ranking4[[#This Row],[FMS ID]],FMS_Input[FMS_ID],FMS_Input[STRUCT_100])</f>
        <v>21858</v>
      </c>
      <c r="N132" s="255">
        <f>(ASINH(FMS_Ranking4[[#This Row],[Structure at Risk Raw]]))*(10)/(ASINH(M$4))</f>
        <v>8.4003699830844756</v>
      </c>
      <c r="O132" s="256">
        <f>FMS_Ranking4[[#This Row],[Structures at risk, ArcSinh (0-10)]]*M$5*10</f>
        <v>8.4003699830844756</v>
      </c>
      <c r="P132" s="253">
        <f>_xlfn.XLOOKUP(FMS_Ranking4[[#This Row],[FMS ID]],FMS_Input[FMS_ID],FMS_Input[RES_STRUCT100])</f>
        <v>19143</v>
      </c>
      <c r="Q132" s="257">
        <f>ASINH(FMS_Ranking4[[#This Row],[Res Structure Raw]])/Q$4*P$5*100</f>
        <v>0</v>
      </c>
      <c r="R132" s="253">
        <f>_xlfn.XLOOKUP(FMS_Ranking4[[#This Row],[FMS ID]],FMS_Input[FMS_ID],FMS_Input[POP100])</f>
        <v>64300</v>
      </c>
      <c r="S132" s="259">
        <f>(ASINH(FMS_Ranking4[[#This Row],[Pop at Risk Raw]]))*(10)/(ASINH(R$4))</f>
        <v>8.1216930839560533</v>
      </c>
      <c r="T132" s="256">
        <f>FMS_Ranking4[[#This Row],[Population at risk, ArcSinh (0-10)]]*R$5*10</f>
        <v>8.1216930839560533</v>
      </c>
      <c r="U132" s="253">
        <f>_xlfn.XLOOKUP(FMS_Ranking4[[#This Row],[FMS ID]],FMS_Input[FMS_ID],FMS_Input[CRITFAC100])</f>
        <v>509</v>
      </c>
      <c r="V132" s="259">
        <f>(ASINH(FMS_Ranking4[[#This Row],[Critical Facilities Raw]]))*(10)/(ASINH(U$4))</f>
        <v>8.1982723759983021</v>
      </c>
      <c r="W132" s="256">
        <f>FMS_Ranking4[[#This Row],[Critical facilities at risk, ArcSinh (0-10)]]*U$5*10</f>
        <v>8.1982723759983021</v>
      </c>
      <c r="X132" s="253">
        <f>_xlfn.XLOOKUP(FMS_Ranking4[[#This Row],[FMS ID]],FMS_Input[FMS_ID],FMS_Input[LWC])</f>
        <v>0</v>
      </c>
      <c r="Y132" s="259">
        <f>(ASINH(FMS_Ranking4[[#This Row],[LWC Raw]]))*(10)/(ASINH(X$4))</f>
        <v>0</v>
      </c>
      <c r="Z132" s="256">
        <f>FMS_Ranking4[[#This Row],[LWC, ArcSInh (0-10)]]*X$5*10</f>
        <v>0</v>
      </c>
      <c r="AA132" s="253">
        <f>_xlfn.XLOOKUP(FMS_Ranking4[[#This Row],[FMS ID]],FMS_Input[FMS_ID],FMS_Input[ROADCLS])</f>
        <v>0</v>
      </c>
      <c r="AB132" s="255">
        <f>(ASINH(FMS_Ranking4[[#This Row],[Road Closures Raw]]))*(10)/(ASINH(AA$4))</f>
        <v>0</v>
      </c>
      <c r="AC132" s="256">
        <f>FMS_Ranking4[[#This Row],[Road closures, ArcSinh (0-10)]]*AA$5*10</f>
        <v>0</v>
      </c>
      <c r="AD132" s="253">
        <f>_xlfn.XLOOKUP(FMS_Ranking4[[#This Row],[FMS ID]],FMS_Input[FMS_ID],FMS_Input[ROAD_MILES100])</f>
        <v>409</v>
      </c>
      <c r="AE132" s="259">
        <f>(ASINH(FMS_Ranking4[[#This Row],[Road Miles Raw]]))*(10)/(ASINH(AD$4))</f>
        <v>7.1476716231087192</v>
      </c>
      <c r="AF132" s="256">
        <f>FMS_Ranking4[[#This Row],[Length of roads at risk, ArcSinh (0-10)]]*AD$5*10</f>
        <v>7.1476716231087201</v>
      </c>
      <c r="AG132" s="253">
        <f>_xlfn.XLOOKUP(FMS_Ranking4[[#This Row],[FMS ID]],FMS_Input[FMS_ID],FMS_Input[FARMACRE100])</f>
        <v>260.88226318359381</v>
      </c>
      <c r="AH132" s="255">
        <f>(ASINH(FMS_Ranking4[[#This Row],[Ag Land Raw]]))*(10)/(ASINH(AG$4))</f>
        <v>4.064574200682082</v>
      </c>
      <c r="AI132" s="260">
        <f>FMS_Ranking4[[#This Row],[Farm &amp; ranch land, ArcSinh (0-10)]]*AG$5*10</f>
        <v>2.032287100341041</v>
      </c>
      <c r="AJ132" s="258">
        <f>_xlfn.XLOOKUP(FMS_Ranking4[[#This Row],[FMS ID]],FMS_Input[FMS_ID],FMS_Input[REDSTRUCT100])</f>
        <v>0</v>
      </c>
      <c r="AK132" s="253">
        <f>_xlfn.XLOOKUP(FMS_Ranking4[[#This Row],[FMS ID]],FMS_Input[FMS_ID],FMS_Input[REMSTRC100])</f>
        <v>0</v>
      </c>
      <c r="AL132" s="259">
        <f>(ASINH(FMS_Ranking4[[#This Row],[Structures Removed Raw]]))*(10)/(ASINH(AK$4))</f>
        <v>0</v>
      </c>
      <c r="AM132" s="262">
        <f>FMS_Ranking4[[#This Row],[Structures removed, ArcSinh (0-10)]]*AK$5*10</f>
        <v>0</v>
      </c>
      <c r="AN132" s="253">
        <f>_xlfn.XLOOKUP(FMS_Ranking4[[#This Row],[FMS ID]],FMS_Input[FMS_ID],FMS_Input[REMRESSTRC100])</f>
        <v>0</v>
      </c>
      <c r="AO132" s="261">
        <f>FMS_Ranking4[[#This Row],[ArcSinh Res struct removed 0-10]]*AN$5*10</f>
        <v>0</v>
      </c>
      <c r="AP132" s="260">
        <f>ASINH(FMS_Ranking4[[#This Row],[Residential Structures Removed Raw]])/AP$4*AN$5*100</f>
        <v>0</v>
      </c>
      <c r="AQ132" s="254">
        <f>(ASINH(FMS_Ranking4[[#This Row],[Residential Structures Removed Raw]]))*(10)/(ASINH(AN$4))</f>
        <v>0</v>
      </c>
      <c r="AR132" s="253">
        <f>_xlfn.XLOOKUP(FMS_Ranking4[[#This Row],[FMS ID]],FMS_Input[FMS_ID],FMS_Input[REMPOP100])</f>
        <v>0</v>
      </c>
      <c r="AS132" s="259">
        <f>(ASINH(FMS_Ranking4[[#This Row],[Removed Pop Raw]]))*(10)/(ASINH(AR$4))</f>
        <v>0</v>
      </c>
      <c r="AT132" s="262">
        <f>FMS_Ranking4[[#This Row],[Removed population, ArcSinh (0-10)]]*AR$5*10</f>
        <v>0</v>
      </c>
      <c r="AU132" s="264">
        <f>_xlfn.XLOOKUP(FMS_Ranking4[[#This Row],[FMS ID]],FMS_Input[FMS_ID],FMS_Input[REMCRITFAC100])</f>
        <v>0</v>
      </c>
      <c r="AV132" s="264">
        <f>_xlfn.XLOOKUP(FMS_Ranking4[[#This Row],[FMS ID]],FMS_Input[FMS_ID],FMS_Input[REMLWC100])</f>
        <v>0</v>
      </c>
      <c r="AW132" s="264">
        <f>_xlfn.XLOOKUP(FMS_Ranking4[[#This Row],[FMS ID]],FMS_Input[FMS_ID],FMS_Input[REMROADCLS])</f>
        <v>0</v>
      </c>
      <c r="AX132" s="264">
        <f>_xlfn.XLOOKUP(FMS_Ranking4[[#This Row],[FMS ID]],FMS_Input[FMS_ID],FMS_Input[REMFRMACRE100])</f>
        <v>0</v>
      </c>
      <c r="AY132" s="258">
        <f>_xlfn.XLOOKUP(FMS_Ranking4[[#This Row],[FMS ID]],FMS_Input[FMS_ID],FMS_Input[COSTSTRUCT])</f>
        <v>0</v>
      </c>
      <c r="AZ132" s="253">
        <f>_xlfn.XLOOKUP(FMS_Ranking4[[#This Row],[FMS ID]],FMS_Input[FMS_ID],FMS_Input[NATURE])</f>
        <v>0</v>
      </c>
      <c r="BA132" s="262">
        <f>(((FMS_Ranking4[[#This Row],[% NBS Raw]]/AZ$4)*100)*AZ$5)</f>
        <v>0</v>
      </c>
      <c r="BB132" s="251" t="str">
        <f>_xlfn.XLOOKUP(FMS_Ranking4[[#This Row],[FMS ID]],FMS_Input[FMS_ID],FMS_Input[WATER_SUP])</f>
        <v>No</v>
      </c>
      <c r="BC132" s="265">
        <f>IF(FMS_Ranking4[[#This Row],[Water Supply Raw]]="Yes",10,0)</f>
        <v>0</v>
      </c>
      <c r="BD132" s="266">
        <f>_xlfn.XLOOKUP(FMS_Ranking4[[#This Row],[FMS Type]],FMS_TYPE[FMS_Type],FMS_TYPE[Score])</f>
        <v>4</v>
      </c>
      <c r="BE132" s="267">
        <f>FMS_Ranking4[[#This Row],[FMS_Type Score]]*$BD$5*10</f>
        <v>1</v>
      </c>
      <c r="BF13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4.8366511144170863</v>
      </c>
      <c r="BG132" s="271">
        <f>_xlfn.RANK.EQ(BF132,$BF$8:$BF$870,0)+COUNTIF($BF$8:BF132,BF132)-1</f>
        <v>64</v>
      </c>
      <c r="BH132" s="268">
        <f>(((FMS_Ranking4[[#This Row],[Structures Removed Raw]]/AK$4)*100)*AK$5)+(((FMS_Ranking4[[#This Row],[Removed Pop Raw]]/AR$4)*100)*AR$5)</f>
        <v>0</v>
      </c>
      <c r="BI13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5.8366511144170863</v>
      </c>
      <c r="BJ132" s="205">
        <f>_xlfn.RANK.EQ(FMS_Ranking4[[#This Row],[Total Score 
(with linear
normalization)]],FMS_Ranking4[Total Score 
(with linear
normalization)],0)</f>
        <v>105</v>
      </c>
      <c r="BK132" s="205" t="e">
        <f>_xlfn.XLOOKUP(FMS_Ranking4[[#This Row],[FMS ID]],#REF!,#REF!)</f>
        <v>#REF!</v>
      </c>
      <c r="BL13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33.900294166488592</v>
      </c>
      <c r="BM132" s="272">
        <f>FMS_Ranking4[[#This Row],[ArcSinh Score Based on Normalized Reported Factors]]+FMS_Ranking4[[#This Row],[% NBS Score (Normalized)]]+(FMS_Ranking4[[#This Row],[Water Supply Score (Normalized)]]*10*$BB$5)+FMS_Ranking4[[#This Row],[FMS_Type Score Weighted]]</f>
        <v>34.900294166488592</v>
      </c>
      <c r="BN132" s="205">
        <f>_xlfn.RANK.EQ(FMS_Ranking4[[#This Row],[Total Score (with ArcSinh normalization of select criteria)]],FMS_Ranking4[Total Score (with ArcSinh normalization of select criteria)],0)</f>
        <v>125</v>
      </c>
      <c r="BO132" s="270" t="str">
        <f>_xlfn.XLOOKUP(FMS_Ranking4[[#This Row],[FMS ID]],FMS_Input[FMS_ID],FMS_Input[FMS_RANK_YEAR])</f>
        <v>2023 Amended Plan</v>
      </c>
      <c r="BP132" s="204">
        <f>_xlfn.XLOOKUP(FMS_Ranking4[[#This Row],[FMS ID]],Prev_Rank[FMS ID],Prev_Rank[Prev Rank])</f>
        <v>104</v>
      </c>
      <c r="BQ132" s="205" t="e">
        <f>_xlfn.XLOOKUP(FMS_Ranking4[[#This Row],[FMS ID]],#REF!,#REF!)</f>
        <v>#REF!</v>
      </c>
      <c r="BR132" s="199" t="e">
        <f>SUM(#REF!,#REF!,#REF!,#REF!,#REF!,#REF!,#REF!,#REF!,#REF!,FMS_Ranking4[[#This Row],[ArcSinh Res struct removed 0-10]],#REF!)</f>
        <v>#REF!</v>
      </c>
      <c r="BS132" s="199" t="e">
        <f>FMS_Ranking4[[#This Row],[Log Score Based on Normalized Reported Factors]]+FMS_Ranking4[[#This Row],[% NBS Score (Normalized)]]+(FMS_Ranking4[[#This Row],[Water Supply Score (Normalized)]]*10*$BB$5)+(FMS_Ranking4[[#This Row],[FMS_Type Score Weighted]])</f>
        <v>#REF!</v>
      </c>
      <c r="BT132" s="200" t="e">
        <f>_xlfn.RANK.EQ(FMS_Ranking4[[#This Row],[Log Total Score]],FMS_Ranking4[Log Total Score],0)</f>
        <v>#REF!</v>
      </c>
      <c r="BU132" s="200" t="e">
        <f>_xlfn.XLOOKUP(FMS_Ranking4[[#This Row],[FMS ID]],#REF!,#REF!)</f>
        <v>#REF!</v>
      </c>
      <c r="BV132" s="200">
        <f>FMS_Ranking4[[#This Row],[Region Number]]</f>
        <v>6</v>
      </c>
      <c r="BW132" s="200">
        <f>FMS_Ranking4[[#This Row],[Rank (with ArcSinh normalization of select criteria)]]-FMS_Ranking4[[#This Row],[Rank
(with linear
normalization)]]</f>
        <v>20</v>
      </c>
      <c r="BX132" s="200" t="e">
        <f>FMS_Ranking4[[#This Row],[Log Rank]]-FMS_Ranking4[[#This Row],[Rank
(with linear
normalization)]]</f>
        <v>#REF!</v>
      </c>
      <c r="BY132" s="200" t="str">
        <f>IF(FMS_Ranking4[[#This Row],[FMS Type]]="Flood Measurement and Warning",FMS_Ranking4[[#This Row],[Rank (with ArcSinh normalization of select criteria)]],"")</f>
        <v/>
      </c>
      <c r="BZ132" s="200" t="str">
        <f>IF(FMS_Ranking4[[#This Row],[FMS Type]]="Regulatory and Guidance",FMS_Ranking4[[#This Row],[Rank (with ArcSinh normalization of select criteria)]],"")</f>
        <v/>
      </c>
      <c r="CA132" s="200" t="str">
        <f>IF(FMS_Ranking4[[#This Row],[FMS Type]]="Education and Outreach",FMS_Ranking4[[#This Row],[Rank (with ArcSinh normalization of select criteria)]],"")</f>
        <v/>
      </c>
      <c r="CB132" s="200">
        <f>IF(FMS_Ranking4[[#This Row],[FMS Type]]="Property Acquisition and Structural Elevation",FMS_Ranking4[[#This Row],[Rank (with ArcSinh normalization of select criteria)]],"")</f>
        <v>125</v>
      </c>
      <c r="CC132" s="200" t="str">
        <f>IF(FMS_Ranking4[[#This Row],[FMS Type]]="Infrastructure Projects",FMS_Ranking4[[#This Row],[Rank (with ArcSinh normalization of select criteria)]],"")</f>
        <v/>
      </c>
      <c r="CD132" s="200" t="str">
        <f>IF(FMS_Ranking4[[#This Row],[FMS Type]]="Other",FMS_Ranking4[[#This Row],[Rank (with ArcSinh normalization of select criteria)]],"")</f>
        <v/>
      </c>
      <c r="CE132" s="201"/>
    </row>
    <row r="133" spans="2:83" ht="60" x14ac:dyDescent="0.25">
      <c r="B133" s="341" t="s">
        <v>1870</v>
      </c>
      <c r="C133" s="246">
        <f>_xlfn.XLOOKUP(FMS_Ranking4[[#This Row],[FMS ID]],FMS_Input[FMS_ID],FMS_Input[RFPG_NUM])</f>
        <v>3</v>
      </c>
      <c r="D133" s="309" t="str">
        <f>_xlfn.XLOOKUP(FMS_Ranking4[[#This Row],[FMS ID]],FMS_Input[FMS_ID],FMS_Input[FMS_NAME])</f>
        <v>City of Mansfield Property Acquisition Program</v>
      </c>
      <c r="E133" s="308" t="str">
        <f>_xlfn.XLOOKUP(FMS_Ranking4[[#This Row],[FMS ID]],FMS_Input[FMS_ID],FMS_Input[SPONSOR])</f>
        <v>Mansfield</v>
      </c>
      <c r="F133" s="309" t="str">
        <f>_xlfn.XLOOKUP(FMS_Ranking4[[#This Row],[FMS ID]],Sponsor[FMS_ID],Sponsor[SPONSOR NAME])</f>
        <v>Mansfield</v>
      </c>
      <c r="G133" s="309" t="str">
        <f>_xlfn.XLOOKUP(FMS_Ranking4[[#This Row],[FMS ID]],FMS_Input[FMS_ID],FMS_Input[FMS_DESCR])</f>
        <v>Acquire properties at risk of flooding and permanently remove them from special flood hazard areas.</v>
      </c>
      <c r="H133" s="248" t="str">
        <f>_xlfn.XLOOKUP(FMS_Ranking4[[#This Row],[FMS ID]],FMS_Input[FMS_ID],FMS_Input[FMS_TYPE])</f>
        <v>Property Acquisition and Structural Elevation</v>
      </c>
      <c r="I133" s="249">
        <f>_xlfn.XLOOKUP(FMS_Ranking4[[#This Row],[FMS ID]],FMS_Input[FMS_ID],FMS_Input[NRNC_COST])</f>
        <v>500000</v>
      </c>
      <c r="J133" s="250">
        <f>_xlfn.XLOOKUP(FMS_Ranking4[[#This Row],[FMS ID]],FMS_Input[FMS_ID],FMS_Input[FMS_COST])</f>
        <v>5000000</v>
      </c>
      <c r="K133" s="251" t="str">
        <f>_xlfn.XLOOKUP(FMS_Ranking4[[#This Row],[FMS ID]],FMS_Input[FMS_ID],FMS_Input[EMER_NEED])</f>
        <v>No</v>
      </c>
      <c r="L133" s="252">
        <f t="shared" si="1"/>
        <v>0</v>
      </c>
      <c r="M133" s="253">
        <f>_xlfn.XLOOKUP(FMS_Ranking4[[#This Row],[FMS ID]],FMS_Input[FMS_ID],FMS_Input[STRUCT_100])</f>
        <v>422</v>
      </c>
      <c r="N133" s="255">
        <f>(ASINH(FMS_Ranking4[[#This Row],[Structure at Risk Raw]]))*(10)/(ASINH(M$4))</f>
        <v>5.2971922318237095</v>
      </c>
      <c r="O133" s="256">
        <f>FMS_Ranking4[[#This Row],[Structures at risk, ArcSinh (0-10)]]*M$5*10</f>
        <v>5.2971922318237095</v>
      </c>
      <c r="P133" s="253">
        <f>_xlfn.XLOOKUP(FMS_Ranking4[[#This Row],[FMS ID]],FMS_Input[FMS_ID],FMS_Input[RES_STRUCT100])</f>
        <v>385</v>
      </c>
      <c r="Q133" s="257">
        <f>ASINH(FMS_Ranking4[[#This Row],[Res Structure Raw]])/Q$4*P$5*100</f>
        <v>0</v>
      </c>
      <c r="R133" s="253">
        <f>_xlfn.XLOOKUP(FMS_Ranking4[[#This Row],[FMS ID]],FMS_Input[FMS_ID],FMS_Input[POP100])</f>
        <v>1562</v>
      </c>
      <c r="S133" s="259">
        <f>(ASINH(FMS_Ranking4[[#This Row],[Pop at Risk Raw]]))*(10)/(ASINH(R$4))</f>
        <v>5.555222566249145</v>
      </c>
      <c r="T133" s="256">
        <f>FMS_Ranking4[[#This Row],[Population at risk, ArcSinh (0-10)]]*R$5*10</f>
        <v>5.555222566249145</v>
      </c>
      <c r="U133" s="253">
        <f>_xlfn.XLOOKUP(FMS_Ranking4[[#This Row],[FMS ID]],FMS_Input[FMS_ID],FMS_Input[CRITFAC100])</f>
        <v>163</v>
      </c>
      <c r="V133" s="259">
        <f>(ASINH(FMS_Ranking4[[#This Row],[Critical Facilities Raw]]))*(10)/(ASINH(U$4))</f>
        <v>6.8503327330221842</v>
      </c>
      <c r="W133" s="256">
        <f>FMS_Ranking4[[#This Row],[Critical facilities at risk, ArcSinh (0-10)]]*U$5*10</f>
        <v>6.8503327330221842</v>
      </c>
      <c r="X133" s="253">
        <f>_xlfn.XLOOKUP(FMS_Ranking4[[#This Row],[FMS ID]],FMS_Input[FMS_ID],FMS_Input[LWC])</f>
        <v>530</v>
      </c>
      <c r="Y133" s="259">
        <f>(ASINH(FMS_Ranking4[[#This Row],[LWC Raw]]))*(10)/(ASINH(X$4))</f>
        <v>9.4371373343368088</v>
      </c>
      <c r="Z133" s="256">
        <f>FMS_Ranking4[[#This Row],[LWC, ArcSInh (0-10)]]*X$5*10</f>
        <v>9.4371373343368088</v>
      </c>
      <c r="AA133" s="253">
        <f>_xlfn.XLOOKUP(FMS_Ranking4[[#This Row],[FMS ID]],FMS_Input[FMS_ID],FMS_Input[ROADCLS])</f>
        <v>0</v>
      </c>
      <c r="AB133" s="255">
        <f>(ASINH(FMS_Ranking4[[#This Row],[Road Closures Raw]]))*(10)/(ASINH(AA$4))</f>
        <v>0</v>
      </c>
      <c r="AC133" s="256">
        <f>FMS_Ranking4[[#This Row],[Road closures, ArcSinh (0-10)]]*AA$5*10</f>
        <v>0</v>
      </c>
      <c r="AD133" s="253">
        <f>_xlfn.XLOOKUP(FMS_Ranking4[[#This Row],[FMS ID]],FMS_Input[FMS_ID],FMS_Input[ROAD_MILES100])</f>
        <v>30</v>
      </c>
      <c r="AE133" s="259">
        <f>(ASINH(FMS_Ranking4[[#This Row],[Road Miles Raw]]))*(10)/(ASINH(AD$4))</f>
        <v>4.3637407612967882</v>
      </c>
      <c r="AF133" s="256">
        <f>FMS_Ranking4[[#This Row],[Length of roads at risk, ArcSinh (0-10)]]*AD$5*10</f>
        <v>4.3637407612967882</v>
      </c>
      <c r="AG133" s="253">
        <f>_xlfn.XLOOKUP(FMS_Ranking4[[#This Row],[FMS ID]],FMS_Input[FMS_ID],FMS_Input[FARMACRE100])</f>
        <v>778.42901611328125</v>
      </c>
      <c r="AH133" s="255">
        <f>(ASINH(FMS_Ranking4[[#This Row],[Ag Land Raw]]))*(10)/(ASINH(AG$4))</f>
        <v>4.7747001313741935</v>
      </c>
      <c r="AI133" s="260">
        <f>FMS_Ranking4[[#This Row],[Farm &amp; ranch land, ArcSinh (0-10)]]*AG$5*10</f>
        <v>2.3873500656870967</v>
      </c>
      <c r="AJ133" s="258">
        <f>_xlfn.XLOOKUP(FMS_Ranking4[[#This Row],[FMS ID]],FMS_Input[FMS_ID],FMS_Input[REDSTRUCT100])</f>
        <v>0</v>
      </c>
      <c r="AK133" s="253">
        <f>_xlfn.XLOOKUP(FMS_Ranking4[[#This Row],[FMS ID]],FMS_Input[FMS_ID],FMS_Input[REMSTRC100])</f>
        <v>0</v>
      </c>
      <c r="AL133" s="259">
        <f>(ASINH(FMS_Ranking4[[#This Row],[Structures Removed Raw]]))*(10)/(ASINH(AK$4))</f>
        <v>0</v>
      </c>
      <c r="AM133" s="262">
        <f>FMS_Ranking4[[#This Row],[Structures removed, ArcSinh (0-10)]]*AK$5*10</f>
        <v>0</v>
      </c>
      <c r="AN133" s="253">
        <f>_xlfn.XLOOKUP(FMS_Ranking4[[#This Row],[FMS ID]],FMS_Input[FMS_ID],FMS_Input[REMRESSTRC100])</f>
        <v>0</v>
      </c>
      <c r="AO133" s="261">
        <f>FMS_Ranking4[[#This Row],[ArcSinh Res struct removed 0-10]]*AN$5*10</f>
        <v>0</v>
      </c>
      <c r="AP133" s="260">
        <f>ASINH(FMS_Ranking4[[#This Row],[Residential Structures Removed Raw]])/AP$4*AN$5*100</f>
        <v>0</v>
      </c>
      <c r="AQ133" s="254">
        <f>(ASINH(FMS_Ranking4[[#This Row],[Residential Structures Removed Raw]]))*(10)/(ASINH(AN$4))</f>
        <v>0</v>
      </c>
      <c r="AR133" s="253">
        <f>_xlfn.XLOOKUP(FMS_Ranking4[[#This Row],[FMS ID]],FMS_Input[FMS_ID],FMS_Input[REMPOP100])</f>
        <v>0</v>
      </c>
      <c r="AS133" s="259">
        <f>(ASINH(FMS_Ranking4[[#This Row],[Removed Pop Raw]]))*(10)/(ASINH(AR$4))</f>
        <v>0</v>
      </c>
      <c r="AT133" s="262">
        <f>FMS_Ranking4[[#This Row],[Removed population, ArcSinh (0-10)]]*AR$5*10</f>
        <v>0</v>
      </c>
      <c r="AU133" s="264">
        <f>_xlfn.XLOOKUP(FMS_Ranking4[[#This Row],[FMS ID]],FMS_Input[FMS_ID],FMS_Input[REMCRITFAC100])</f>
        <v>0</v>
      </c>
      <c r="AV133" s="264">
        <f>_xlfn.XLOOKUP(FMS_Ranking4[[#This Row],[FMS ID]],FMS_Input[FMS_ID],FMS_Input[REMLWC100])</f>
        <v>0</v>
      </c>
      <c r="AW133" s="264">
        <f>_xlfn.XLOOKUP(FMS_Ranking4[[#This Row],[FMS ID]],FMS_Input[FMS_ID],FMS_Input[REMROADCLS])</f>
        <v>0</v>
      </c>
      <c r="AX133" s="264">
        <f>_xlfn.XLOOKUP(FMS_Ranking4[[#This Row],[FMS ID]],FMS_Input[FMS_ID],FMS_Input[REMFRMACRE100])</f>
        <v>0</v>
      </c>
      <c r="AY133" s="258">
        <f>_xlfn.XLOOKUP(FMS_Ranking4[[#This Row],[FMS ID]],FMS_Input[FMS_ID],FMS_Input[COSTSTRUCT])</f>
        <v>0</v>
      </c>
      <c r="AZ133" s="253">
        <f>_xlfn.XLOOKUP(FMS_Ranking4[[#This Row],[FMS ID]],FMS_Input[FMS_ID],FMS_Input[NATURE])</f>
        <v>0</v>
      </c>
      <c r="BA133" s="262">
        <f>(((FMS_Ranking4[[#This Row],[% NBS Raw]]/AZ$4)*100)*AZ$5)</f>
        <v>0</v>
      </c>
      <c r="BB133" s="251" t="str">
        <f>_xlfn.XLOOKUP(FMS_Ranking4[[#This Row],[FMS ID]],FMS_Input[FMS_ID],FMS_Input[WATER_SUP])</f>
        <v>No</v>
      </c>
      <c r="BC133" s="265">
        <f>IF(FMS_Ranking4[[#This Row],[Water Supply Raw]]="Yes",10,0)</f>
        <v>0</v>
      </c>
      <c r="BD133" s="266">
        <f>_xlfn.XLOOKUP(FMS_Ranking4[[#This Row],[FMS Type]],FMS_TYPE[FMS_Type],FMS_TYPE[Score])</f>
        <v>4</v>
      </c>
      <c r="BE133" s="267">
        <f>FMS_Ranking4[[#This Row],[FMS_Type Score]]*$BD$5*10</f>
        <v>1</v>
      </c>
      <c r="BF13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7.3925217334836528</v>
      </c>
      <c r="BG133" s="271">
        <f>_xlfn.RANK.EQ(BF133,$BF$8:$BF$870,0)+COUNTIF($BF$8:BF133,BF133)-1</f>
        <v>49</v>
      </c>
      <c r="BH133" s="268">
        <f>(((FMS_Ranking4[[#This Row],[Structures Removed Raw]]/AK$4)*100)*AK$5)+(((FMS_Ranking4[[#This Row],[Removed Pop Raw]]/AR$4)*100)*AR$5)</f>
        <v>0</v>
      </c>
      <c r="BI13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8.3925217334836528</v>
      </c>
      <c r="BJ133" s="205">
        <f>_xlfn.RANK.EQ(FMS_Ranking4[[#This Row],[Total Score 
(with linear
normalization)]],FMS_Ranking4[Total Score 
(with linear
normalization)],0)</f>
        <v>84</v>
      </c>
      <c r="BK133" s="205" t="e">
        <f>_xlfn.XLOOKUP(FMS_Ranking4[[#This Row],[FMS ID]],#REF!,#REF!)</f>
        <v>#REF!</v>
      </c>
      <c r="BL13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33.890975692415729</v>
      </c>
      <c r="BM133" s="272">
        <f>FMS_Ranking4[[#This Row],[ArcSinh Score Based on Normalized Reported Factors]]+FMS_Ranking4[[#This Row],[% NBS Score (Normalized)]]+(FMS_Ranking4[[#This Row],[Water Supply Score (Normalized)]]*10*$BB$5)+FMS_Ranking4[[#This Row],[FMS_Type Score Weighted]]</f>
        <v>34.890975692415729</v>
      </c>
      <c r="BN133" s="205">
        <f>_xlfn.RANK.EQ(FMS_Ranking4[[#This Row],[Total Score (with ArcSinh normalization of select criteria)]],FMS_Ranking4[Total Score (with ArcSinh normalization of select criteria)],0)</f>
        <v>126</v>
      </c>
      <c r="BO133" s="270" t="str">
        <f>_xlfn.XLOOKUP(FMS_Ranking4[[#This Row],[FMS ID]],FMS_Input[FMS_ID],FMS_Input[FMS_RANK_YEAR])</f>
        <v>2023 Amended Plan</v>
      </c>
      <c r="BP133" s="204">
        <f>_xlfn.XLOOKUP(FMS_Ranking4[[#This Row],[FMS ID]],Prev_Rank[FMS ID],Prev_Rank[Prev Rank])</f>
        <v>105</v>
      </c>
      <c r="BQ133" s="205" t="e">
        <f>_xlfn.XLOOKUP(FMS_Ranking4[[#This Row],[FMS ID]],#REF!,#REF!)</f>
        <v>#REF!</v>
      </c>
      <c r="BR133" s="199" t="e">
        <f>SUM(#REF!,#REF!,#REF!,#REF!,#REF!,#REF!,#REF!,#REF!,#REF!,FMS_Ranking4[[#This Row],[ArcSinh Res struct removed 0-10]],#REF!)</f>
        <v>#REF!</v>
      </c>
      <c r="BS133" s="199" t="e">
        <f>FMS_Ranking4[[#This Row],[Log Score Based on Normalized Reported Factors]]+FMS_Ranking4[[#This Row],[% NBS Score (Normalized)]]+(FMS_Ranking4[[#This Row],[Water Supply Score (Normalized)]]*10*$BB$5)+(FMS_Ranking4[[#This Row],[FMS_Type Score Weighted]])</f>
        <v>#REF!</v>
      </c>
      <c r="BT133" s="200" t="e">
        <f>_xlfn.RANK.EQ(FMS_Ranking4[[#This Row],[Log Total Score]],FMS_Ranking4[Log Total Score],0)</f>
        <v>#REF!</v>
      </c>
      <c r="BU133" s="200" t="e">
        <f>_xlfn.XLOOKUP(FMS_Ranking4[[#This Row],[FMS ID]],#REF!,#REF!)</f>
        <v>#REF!</v>
      </c>
      <c r="BV133" s="200">
        <f>FMS_Ranking4[[#This Row],[Region Number]]</f>
        <v>3</v>
      </c>
      <c r="BW133" s="200">
        <f>FMS_Ranking4[[#This Row],[Rank (with ArcSinh normalization of select criteria)]]-FMS_Ranking4[[#This Row],[Rank
(with linear
normalization)]]</f>
        <v>42</v>
      </c>
      <c r="BX133" s="200" t="e">
        <f>FMS_Ranking4[[#This Row],[Log Rank]]-FMS_Ranking4[[#This Row],[Rank
(with linear
normalization)]]</f>
        <v>#REF!</v>
      </c>
      <c r="BY133" s="200" t="str">
        <f>IF(FMS_Ranking4[[#This Row],[FMS Type]]="Flood Measurement and Warning",FMS_Ranking4[[#This Row],[Rank (with ArcSinh normalization of select criteria)]],"")</f>
        <v/>
      </c>
      <c r="BZ133" s="200" t="str">
        <f>IF(FMS_Ranking4[[#This Row],[FMS Type]]="Regulatory and Guidance",FMS_Ranking4[[#This Row],[Rank (with ArcSinh normalization of select criteria)]],"")</f>
        <v/>
      </c>
      <c r="CA133" s="200" t="str">
        <f>IF(FMS_Ranking4[[#This Row],[FMS Type]]="Education and Outreach",FMS_Ranking4[[#This Row],[Rank (with ArcSinh normalization of select criteria)]],"")</f>
        <v/>
      </c>
      <c r="CB133" s="200">
        <f>IF(FMS_Ranking4[[#This Row],[FMS Type]]="Property Acquisition and Structural Elevation",FMS_Ranking4[[#This Row],[Rank (with ArcSinh normalization of select criteria)]],"")</f>
        <v>126</v>
      </c>
      <c r="CC133" s="200" t="str">
        <f>IF(FMS_Ranking4[[#This Row],[FMS Type]]="Infrastructure Projects",FMS_Ranking4[[#This Row],[Rank (with ArcSinh normalization of select criteria)]],"")</f>
        <v/>
      </c>
      <c r="CD133" s="200" t="str">
        <f>IF(FMS_Ranking4[[#This Row],[FMS Type]]="Other",FMS_Ranking4[[#This Row],[Rank (with ArcSinh normalization of select criteria)]],"")</f>
        <v/>
      </c>
      <c r="CE133" s="201"/>
    </row>
    <row r="134" spans="2:83" ht="60" x14ac:dyDescent="0.25">
      <c r="B134" s="341" t="s">
        <v>2202</v>
      </c>
      <c r="C134" s="246">
        <f>_xlfn.XLOOKUP(FMS_Ranking4[[#This Row],[FMS ID]],FMS_Input[FMS_ID],FMS_Input[RFPG_NUM])</f>
        <v>3</v>
      </c>
      <c r="D134" s="309" t="str">
        <f>_xlfn.XLOOKUP(FMS_Ranking4[[#This Row],[FMS ID]],FMS_Input[FMS_ID],FMS_Input[FMS_NAME])</f>
        <v>Johnson County Acquisition of Flood Prone Structures</v>
      </c>
      <c r="E134" s="308" t="str">
        <f>_xlfn.XLOOKUP(FMS_Ranking4[[#This Row],[FMS ID]],FMS_Input[FMS_ID],FMS_Input[SPONSOR])</f>
        <v>Johnson County</v>
      </c>
      <c r="F134" s="309" t="str">
        <f>_xlfn.XLOOKUP(FMS_Ranking4[[#This Row],[FMS ID]],Sponsor[FMS_ID],Sponsor[SPONSOR NAME])</f>
        <v>Johnson County</v>
      </c>
      <c r="G134" s="309" t="str">
        <f>_xlfn.XLOOKUP(FMS_Ranking4[[#This Row],[FMS ID]],FMS_Input[FMS_ID],FMS_Input[FMS_DESCR])</f>
        <v>Acquire, relocate, and/or elevate flood prone structures</v>
      </c>
      <c r="H134" s="248" t="str">
        <f>_xlfn.XLOOKUP(FMS_Ranking4[[#This Row],[FMS ID]],FMS_Input[FMS_ID],FMS_Input[FMS_TYPE])</f>
        <v>Property Acquisition and Structural Elevation</v>
      </c>
      <c r="I134" s="249">
        <f>_xlfn.XLOOKUP(FMS_Ranking4[[#This Row],[FMS ID]],FMS_Input[FMS_ID],FMS_Input[NRNC_COST])</f>
        <v>500000</v>
      </c>
      <c r="J134" s="250">
        <f>_xlfn.XLOOKUP(FMS_Ranking4[[#This Row],[FMS ID]],FMS_Input[FMS_ID],FMS_Input[FMS_COST])</f>
        <v>5000000</v>
      </c>
      <c r="K134" s="251" t="str">
        <f>_xlfn.XLOOKUP(FMS_Ranking4[[#This Row],[FMS ID]],FMS_Input[FMS_ID],FMS_Input[EMER_NEED])</f>
        <v>No</v>
      </c>
      <c r="L134" s="252">
        <f t="shared" si="1"/>
        <v>0</v>
      </c>
      <c r="M134" s="253">
        <f>_xlfn.XLOOKUP(FMS_Ranking4[[#This Row],[FMS ID]],FMS_Input[FMS_ID],FMS_Input[STRUCT_100])</f>
        <v>1851</v>
      </c>
      <c r="N134" s="255">
        <f>(ASINH(FMS_Ranking4[[#This Row],[Structure at Risk Raw]]))*(10)/(ASINH(M$4))</f>
        <v>6.4594934559602395</v>
      </c>
      <c r="O134" s="256">
        <f>FMS_Ranking4[[#This Row],[Structures at risk, ArcSinh (0-10)]]*M$5*10</f>
        <v>6.4594934559602404</v>
      </c>
      <c r="P134" s="253">
        <f>_xlfn.XLOOKUP(FMS_Ranking4[[#This Row],[FMS ID]],FMS_Input[FMS_ID],FMS_Input[RES_STRUCT100])</f>
        <v>1555</v>
      </c>
      <c r="Q134" s="257">
        <f>ASINH(FMS_Ranking4[[#This Row],[Res Structure Raw]])/Q$4*P$5*100</f>
        <v>0</v>
      </c>
      <c r="R134" s="253">
        <f>_xlfn.XLOOKUP(FMS_Ranking4[[#This Row],[FMS ID]],FMS_Input[FMS_ID],FMS_Input[POP100])</f>
        <v>3610</v>
      </c>
      <c r="S134" s="259">
        <f>(ASINH(FMS_Ranking4[[#This Row],[Pop at Risk Raw]]))*(10)/(ASINH(R$4))</f>
        <v>6.1335636999424192</v>
      </c>
      <c r="T134" s="256">
        <f>FMS_Ranking4[[#This Row],[Population at risk, ArcSinh (0-10)]]*R$5*10</f>
        <v>6.1335636999424192</v>
      </c>
      <c r="U134" s="253">
        <f>_xlfn.XLOOKUP(FMS_Ranking4[[#This Row],[FMS ID]],FMS_Input[FMS_ID],FMS_Input[CRITFAC100])</f>
        <v>12</v>
      </c>
      <c r="V134" s="259">
        <f>(ASINH(FMS_Ranking4[[#This Row],[Critical Facilities Raw]]))*(10)/(ASINH(U$4))</f>
        <v>3.7641159700176727</v>
      </c>
      <c r="W134" s="256">
        <f>FMS_Ranking4[[#This Row],[Critical facilities at risk, ArcSinh (0-10)]]*U$5*10</f>
        <v>3.7641159700176727</v>
      </c>
      <c r="X134" s="253">
        <f>_xlfn.XLOOKUP(FMS_Ranking4[[#This Row],[FMS ID]],FMS_Input[FMS_ID],FMS_Input[LWC])</f>
        <v>372</v>
      </c>
      <c r="Y134" s="259">
        <f>(ASINH(FMS_Ranking4[[#This Row],[LWC Raw]]))*(10)/(ASINH(X$4))</f>
        <v>8.957584226890555</v>
      </c>
      <c r="Z134" s="256">
        <f>FMS_Ranking4[[#This Row],[LWC, ArcSInh (0-10)]]*X$5*10</f>
        <v>8.9575842268905568</v>
      </c>
      <c r="AA134" s="253">
        <f>_xlfn.XLOOKUP(FMS_Ranking4[[#This Row],[FMS ID]],FMS_Input[FMS_ID],FMS_Input[ROADCLS])</f>
        <v>0</v>
      </c>
      <c r="AB134" s="255">
        <f>(ASINH(FMS_Ranking4[[#This Row],[Road Closures Raw]]))*(10)/(ASINH(AA$4))</f>
        <v>0</v>
      </c>
      <c r="AC134" s="256">
        <f>FMS_Ranking4[[#This Row],[Road closures, ArcSinh (0-10)]]*AA$5*10</f>
        <v>0</v>
      </c>
      <c r="AD134" s="253">
        <f>_xlfn.XLOOKUP(FMS_Ranking4[[#This Row],[FMS ID]],FMS_Input[FMS_ID],FMS_Input[ROAD_MILES100])</f>
        <v>62</v>
      </c>
      <c r="AE134" s="259">
        <f>(ASINH(FMS_Ranking4[[#This Row],[Road Miles Raw]]))*(10)/(ASINH(AD$4))</f>
        <v>5.1371632767889395</v>
      </c>
      <c r="AF134" s="256">
        <f>FMS_Ranking4[[#This Row],[Length of roads at risk, ArcSinh (0-10)]]*AD$5*10</f>
        <v>5.1371632767889395</v>
      </c>
      <c r="AG134" s="253">
        <f>_xlfn.XLOOKUP(FMS_Ranking4[[#This Row],[FMS ID]],FMS_Input[FMS_ID],FMS_Input[FARMACRE100])</f>
        <v>18202.359375</v>
      </c>
      <c r="AH134" s="255">
        <f>(ASINH(FMS_Ranking4[[#This Row],[Ag Land Raw]]))*(10)/(ASINH(AG$4))</f>
        <v>6.8221992941491134</v>
      </c>
      <c r="AI134" s="260">
        <f>FMS_Ranking4[[#This Row],[Farm &amp; ranch land, ArcSinh (0-10)]]*AG$5*10</f>
        <v>3.4110996470745567</v>
      </c>
      <c r="AJ134" s="258">
        <f>_xlfn.XLOOKUP(FMS_Ranking4[[#This Row],[FMS ID]],FMS_Input[FMS_ID],FMS_Input[REDSTRUCT100])</f>
        <v>0</v>
      </c>
      <c r="AK134" s="253">
        <f>_xlfn.XLOOKUP(FMS_Ranking4[[#This Row],[FMS ID]],FMS_Input[FMS_ID],FMS_Input[REMSTRC100])</f>
        <v>0</v>
      </c>
      <c r="AL134" s="259">
        <f>(ASINH(FMS_Ranking4[[#This Row],[Structures Removed Raw]]))*(10)/(ASINH(AK$4))</f>
        <v>0</v>
      </c>
      <c r="AM134" s="262">
        <f>FMS_Ranking4[[#This Row],[Structures removed, ArcSinh (0-10)]]*AK$5*10</f>
        <v>0</v>
      </c>
      <c r="AN134" s="253">
        <f>_xlfn.XLOOKUP(FMS_Ranking4[[#This Row],[FMS ID]],FMS_Input[FMS_ID],FMS_Input[REMRESSTRC100])</f>
        <v>0</v>
      </c>
      <c r="AO134" s="261">
        <f>FMS_Ranking4[[#This Row],[ArcSinh Res struct removed 0-10]]*AN$5*10</f>
        <v>0</v>
      </c>
      <c r="AP134" s="260">
        <f>ASINH(FMS_Ranking4[[#This Row],[Residential Structures Removed Raw]])/AP$4*AN$5*100</f>
        <v>0</v>
      </c>
      <c r="AQ134" s="254">
        <f>(ASINH(FMS_Ranking4[[#This Row],[Residential Structures Removed Raw]]))*(10)/(ASINH(AN$4))</f>
        <v>0</v>
      </c>
      <c r="AR134" s="253">
        <f>_xlfn.XLOOKUP(FMS_Ranking4[[#This Row],[FMS ID]],FMS_Input[FMS_ID],FMS_Input[REMPOP100])</f>
        <v>0</v>
      </c>
      <c r="AS134" s="259">
        <f>(ASINH(FMS_Ranking4[[#This Row],[Removed Pop Raw]]))*(10)/(ASINH(AR$4))</f>
        <v>0</v>
      </c>
      <c r="AT134" s="262">
        <f>FMS_Ranking4[[#This Row],[Removed population, ArcSinh (0-10)]]*AR$5*10</f>
        <v>0</v>
      </c>
      <c r="AU134" s="264">
        <f>_xlfn.XLOOKUP(FMS_Ranking4[[#This Row],[FMS ID]],FMS_Input[FMS_ID],FMS_Input[REMCRITFAC100])</f>
        <v>0</v>
      </c>
      <c r="AV134" s="264">
        <f>_xlfn.XLOOKUP(FMS_Ranking4[[#This Row],[FMS ID]],FMS_Input[FMS_ID],FMS_Input[REMLWC100])</f>
        <v>0</v>
      </c>
      <c r="AW134" s="264">
        <f>_xlfn.XLOOKUP(FMS_Ranking4[[#This Row],[FMS ID]],FMS_Input[FMS_ID],FMS_Input[REMROADCLS])</f>
        <v>0</v>
      </c>
      <c r="AX134" s="264">
        <f>_xlfn.XLOOKUP(FMS_Ranking4[[#This Row],[FMS ID]],FMS_Input[FMS_ID],FMS_Input[REMFRMACRE100])</f>
        <v>0</v>
      </c>
      <c r="AY134" s="258">
        <f>_xlfn.XLOOKUP(FMS_Ranking4[[#This Row],[FMS ID]],FMS_Input[FMS_ID],FMS_Input[COSTSTRUCT])</f>
        <v>0</v>
      </c>
      <c r="AZ134" s="253">
        <f>_xlfn.XLOOKUP(FMS_Ranking4[[#This Row],[FMS ID]],FMS_Input[FMS_ID],FMS_Input[NATURE])</f>
        <v>0</v>
      </c>
      <c r="BA134" s="262">
        <f>(((FMS_Ranking4[[#This Row],[% NBS Raw]]/AZ$4)*100)*AZ$5)</f>
        <v>0</v>
      </c>
      <c r="BB134" s="251" t="str">
        <f>_xlfn.XLOOKUP(FMS_Ranking4[[#This Row],[FMS ID]],FMS_Input[FMS_ID],FMS_Input[WATER_SUP])</f>
        <v>No</v>
      </c>
      <c r="BC134" s="265">
        <f>IF(FMS_Ranking4[[#This Row],[Water Supply Raw]]="Yes",10,0)</f>
        <v>0</v>
      </c>
      <c r="BD134" s="266">
        <f>_xlfn.XLOOKUP(FMS_Ranking4[[#This Row],[FMS Type]],FMS_TYPE[FMS_Type],FMS_TYPE[Score])</f>
        <v>4</v>
      </c>
      <c r="BE134" s="267">
        <f>FMS_Ranking4[[#This Row],[FMS_Type Score]]*$BD$5*10</f>
        <v>1</v>
      </c>
      <c r="BF13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4.9735671263507024</v>
      </c>
      <c r="BG134" s="271">
        <f>_xlfn.RANK.EQ(BF134,$BF$8:$BF$870,0)+COUNTIF($BF$8:BF134,BF134)-1</f>
        <v>61</v>
      </c>
      <c r="BH134" s="268">
        <f>(((FMS_Ranking4[[#This Row],[Structures Removed Raw]]/AK$4)*100)*AK$5)+(((FMS_Ranking4[[#This Row],[Removed Pop Raw]]/AR$4)*100)*AR$5)</f>
        <v>0</v>
      </c>
      <c r="BI13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5.9735671263507024</v>
      </c>
      <c r="BJ134" s="205">
        <f>_xlfn.RANK.EQ(FMS_Ranking4[[#This Row],[Total Score 
(with linear
normalization)]],FMS_Ranking4[Total Score 
(with linear
normalization)],0)</f>
        <v>102</v>
      </c>
      <c r="BK134" s="205" t="e">
        <f>_xlfn.XLOOKUP(FMS_Ranking4[[#This Row],[FMS ID]],#REF!,#REF!)</f>
        <v>#REF!</v>
      </c>
      <c r="BL13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33.863020276674384</v>
      </c>
      <c r="BM134" s="272">
        <f>FMS_Ranking4[[#This Row],[ArcSinh Score Based on Normalized Reported Factors]]+FMS_Ranking4[[#This Row],[% NBS Score (Normalized)]]+(FMS_Ranking4[[#This Row],[Water Supply Score (Normalized)]]*10*$BB$5)+FMS_Ranking4[[#This Row],[FMS_Type Score Weighted]]</f>
        <v>34.863020276674384</v>
      </c>
      <c r="BN134" s="205">
        <f>_xlfn.RANK.EQ(FMS_Ranking4[[#This Row],[Total Score (with ArcSinh normalization of select criteria)]],FMS_Ranking4[Total Score (with ArcSinh normalization of select criteria)],0)</f>
        <v>127</v>
      </c>
      <c r="BO134" s="270" t="str">
        <f>_xlfn.XLOOKUP(FMS_Ranking4[[#This Row],[FMS ID]],FMS_Input[FMS_ID],FMS_Input[FMS_RANK_YEAR])</f>
        <v>2023 Amended Plan</v>
      </c>
      <c r="BP134" s="204">
        <f>_xlfn.XLOOKUP(FMS_Ranking4[[#This Row],[FMS ID]],Prev_Rank[FMS ID],Prev_Rank[Prev Rank])</f>
        <v>106</v>
      </c>
      <c r="BQ134" s="205" t="e">
        <f>_xlfn.XLOOKUP(FMS_Ranking4[[#This Row],[FMS ID]],#REF!,#REF!)</f>
        <v>#REF!</v>
      </c>
      <c r="BR134" s="199" t="e">
        <f>SUM(#REF!,#REF!,#REF!,#REF!,#REF!,#REF!,#REF!,#REF!,#REF!,FMS_Ranking4[[#This Row],[ArcSinh Res struct removed 0-10]],#REF!)</f>
        <v>#REF!</v>
      </c>
      <c r="BS134" s="199" t="e">
        <f>FMS_Ranking4[[#This Row],[Log Score Based on Normalized Reported Factors]]+FMS_Ranking4[[#This Row],[% NBS Score (Normalized)]]+(FMS_Ranking4[[#This Row],[Water Supply Score (Normalized)]]*10*$BB$5)+(FMS_Ranking4[[#This Row],[FMS_Type Score Weighted]])</f>
        <v>#REF!</v>
      </c>
      <c r="BT134" s="200" t="e">
        <f>_xlfn.RANK.EQ(FMS_Ranking4[[#This Row],[Log Total Score]],FMS_Ranking4[Log Total Score],0)</f>
        <v>#REF!</v>
      </c>
      <c r="BU134" s="200" t="e">
        <f>_xlfn.XLOOKUP(FMS_Ranking4[[#This Row],[FMS ID]],#REF!,#REF!)</f>
        <v>#REF!</v>
      </c>
      <c r="BV134" s="200">
        <f>FMS_Ranking4[[#This Row],[Region Number]]</f>
        <v>3</v>
      </c>
      <c r="BW134" s="200">
        <f>FMS_Ranking4[[#This Row],[Rank (with ArcSinh normalization of select criteria)]]-FMS_Ranking4[[#This Row],[Rank
(with linear
normalization)]]</f>
        <v>25</v>
      </c>
      <c r="BX134" s="200" t="e">
        <f>FMS_Ranking4[[#This Row],[Log Rank]]-FMS_Ranking4[[#This Row],[Rank
(with linear
normalization)]]</f>
        <v>#REF!</v>
      </c>
      <c r="BY134" s="200" t="str">
        <f>IF(FMS_Ranking4[[#This Row],[FMS Type]]="Flood Measurement and Warning",FMS_Ranking4[[#This Row],[Rank (with ArcSinh normalization of select criteria)]],"")</f>
        <v/>
      </c>
      <c r="BZ134" s="200" t="str">
        <f>IF(FMS_Ranking4[[#This Row],[FMS Type]]="Regulatory and Guidance",FMS_Ranking4[[#This Row],[Rank (with ArcSinh normalization of select criteria)]],"")</f>
        <v/>
      </c>
      <c r="CA134" s="200" t="str">
        <f>IF(FMS_Ranking4[[#This Row],[FMS Type]]="Education and Outreach",FMS_Ranking4[[#This Row],[Rank (with ArcSinh normalization of select criteria)]],"")</f>
        <v/>
      </c>
      <c r="CB134" s="200">
        <f>IF(FMS_Ranking4[[#This Row],[FMS Type]]="Property Acquisition and Structural Elevation",FMS_Ranking4[[#This Row],[Rank (with ArcSinh normalization of select criteria)]],"")</f>
        <v>127</v>
      </c>
      <c r="CC134" s="200" t="str">
        <f>IF(FMS_Ranking4[[#This Row],[FMS Type]]="Infrastructure Projects",FMS_Ranking4[[#This Row],[Rank (with ArcSinh normalization of select criteria)]],"")</f>
        <v/>
      </c>
      <c r="CD134" s="200" t="str">
        <f>IF(FMS_Ranking4[[#This Row],[FMS Type]]="Other",FMS_Ranking4[[#This Row],[Rank (with ArcSinh normalization of select criteria)]],"")</f>
        <v/>
      </c>
      <c r="CE134" s="201"/>
    </row>
    <row r="135" spans="2:83" ht="105" x14ac:dyDescent="0.25">
      <c r="B135" s="341" t="s">
        <v>12058</v>
      </c>
      <c r="C135" s="246">
        <f>_xlfn.XLOOKUP(FMS_Ranking4[[#This Row],[FMS ID]],FMS_Input[FMS_ID],FMS_Input[RFPG_NUM])</f>
        <v>4</v>
      </c>
      <c r="D135" s="309" t="str">
        <f>_xlfn.XLOOKUP(FMS_Ranking4[[#This Row],[FMS ID]],FMS_Input[FMS_ID],FMS_Input[FMS_NAME])</f>
        <v>Coopers Gulley FMA Acquisition</v>
      </c>
      <c r="E135" s="308" t="str">
        <f>_xlfn.XLOOKUP(FMS_Ranking4[[#This Row],[FMS ID]],FMS_Input[FMS_ID],FMS_Input[SPONSOR])</f>
        <v>00002541</v>
      </c>
      <c r="F135" s="309" t="str">
        <f>_xlfn.XLOOKUP(FMS_Ranking4[[#This Row],[FMS ID]],Sponsor[FMS_ID],Sponsor[SPONSOR NAME])</f>
        <v>Orange</v>
      </c>
      <c r="G135" s="309" t="str">
        <f>_xlfn.XLOOKUP(FMS_Ranking4[[#This Row],[FMS ID]],FMS_Input[FMS_ID],FMS_Input[FMS_DESCR])</f>
        <v>Administer program to acquire flood prone/repetitive loss properties and convert to open space, parks, boating access, trails, agricultural projects, and/or as a general community asset.</v>
      </c>
      <c r="H135" s="248" t="str">
        <f>_xlfn.XLOOKUP(FMS_Ranking4[[#This Row],[FMS ID]],FMS_Input[FMS_ID],FMS_Input[FMS_TYPE])</f>
        <v>Regulatory and Guidance</v>
      </c>
      <c r="I135" s="249">
        <f>_xlfn.XLOOKUP(FMS_Ranking4[[#This Row],[FMS ID]],FMS_Input[FMS_ID],FMS_Input[NRNC_COST])</f>
        <v>100000</v>
      </c>
      <c r="J135" s="250">
        <f>_xlfn.XLOOKUP(FMS_Ranking4[[#This Row],[FMS ID]],FMS_Input[FMS_ID],FMS_Input[FMS_COST])</f>
        <v>100000</v>
      </c>
      <c r="K135" s="251" t="str">
        <f>_xlfn.XLOOKUP(FMS_Ranking4[[#This Row],[FMS ID]],FMS_Input[FMS_ID],FMS_Input[EMER_NEED])</f>
        <v>Yes</v>
      </c>
      <c r="L135" s="252">
        <f t="shared" si="1"/>
        <v>1</v>
      </c>
      <c r="M135" s="253">
        <f>_xlfn.XLOOKUP(FMS_Ranking4[[#This Row],[FMS ID]],FMS_Input[FMS_ID],FMS_Input[STRUCT_100])</f>
        <v>4650</v>
      </c>
      <c r="N135" s="255">
        <f>(ASINH(FMS_Ranking4[[#This Row],[Structure at Risk Raw]]))*(10)/(ASINH(M$4))</f>
        <v>7.183647531871161</v>
      </c>
      <c r="O135" s="256">
        <f>FMS_Ranking4[[#This Row],[Structures at risk, ArcSinh (0-10)]]*M$5*10</f>
        <v>7.183647531871161</v>
      </c>
      <c r="P135" s="253">
        <f>_xlfn.XLOOKUP(FMS_Ranking4[[#This Row],[FMS ID]],FMS_Input[FMS_ID],FMS_Input[RES_STRUCT100])</f>
        <v>3705</v>
      </c>
      <c r="Q135" s="257">
        <f>ASINH(FMS_Ranking4[[#This Row],[Res Structure Raw]])/Q$4*P$5*100</f>
        <v>0</v>
      </c>
      <c r="R135" s="253">
        <f>_xlfn.XLOOKUP(FMS_Ranking4[[#This Row],[FMS ID]],FMS_Input[FMS_ID],FMS_Input[POP100])</f>
        <v>18497</v>
      </c>
      <c r="S135" s="259">
        <f>(ASINH(FMS_Ranking4[[#This Row],[Pop at Risk Raw]]))*(10)/(ASINH(R$4))</f>
        <v>7.2615405210173378</v>
      </c>
      <c r="T135" s="256">
        <f>FMS_Ranking4[[#This Row],[Population at risk, ArcSinh (0-10)]]*R$5*10</f>
        <v>7.2615405210173378</v>
      </c>
      <c r="U135" s="253">
        <f>_xlfn.XLOOKUP(FMS_Ranking4[[#This Row],[FMS ID]],FMS_Input[FMS_ID],FMS_Input[CRITFAC100])</f>
        <v>52</v>
      </c>
      <c r="V135" s="259">
        <f>(ASINH(FMS_Ranking4[[#This Row],[Critical Facilities Raw]]))*(10)/(ASINH(U$4))</f>
        <v>5.4979728231397988</v>
      </c>
      <c r="W135" s="256">
        <f>FMS_Ranking4[[#This Row],[Critical facilities at risk, ArcSinh (0-10)]]*U$5*10</f>
        <v>5.4979728231397997</v>
      </c>
      <c r="X135" s="253">
        <f>_xlfn.XLOOKUP(FMS_Ranking4[[#This Row],[FMS ID]],FMS_Input[FMS_ID],FMS_Input[LWC])</f>
        <v>12</v>
      </c>
      <c r="Y135" s="259">
        <f>(ASINH(FMS_Ranking4[[#This Row],[LWC Raw]]))*(10)/(ASINH(X$4))</f>
        <v>4.3077754583370957</v>
      </c>
      <c r="Z135" s="256">
        <f>FMS_Ranking4[[#This Row],[LWC, ArcSInh (0-10)]]*X$5*10</f>
        <v>4.3077754583370957</v>
      </c>
      <c r="AA135" s="253">
        <f>_xlfn.XLOOKUP(FMS_Ranking4[[#This Row],[FMS ID]],FMS_Input[FMS_ID],FMS_Input[ROADCLS])</f>
        <v>0</v>
      </c>
      <c r="AB135" s="255">
        <f>(ASINH(FMS_Ranking4[[#This Row],[Road Closures Raw]]))*(10)/(ASINH(AA$4))</f>
        <v>0</v>
      </c>
      <c r="AC135" s="256">
        <f>FMS_Ranking4[[#This Row],[Road closures, ArcSinh (0-10)]]*AA$5*10</f>
        <v>0</v>
      </c>
      <c r="AD135" s="253">
        <f>_xlfn.XLOOKUP(FMS_Ranking4[[#This Row],[FMS ID]],FMS_Input[FMS_ID],FMS_Input[ROAD_MILES100])</f>
        <v>134</v>
      </c>
      <c r="AE135" s="259">
        <f>(ASINH(FMS_Ranking4[[#This Row],[Road Miles Raw]]))*(10)/(ASINH(AD$4))</f>
        <v>5.9584687428595151</v>
      </c>
      <c r="AF135" s="256">
        <f>FMS_Ranking4[[#This Row],[Length of roads at risk, ArcSinh (0-10)]]*AD$5*10</f>
        <v>5.9584687428595151</v>
      </c>
      <c r="AG135" s="253">
        <f>_xlfn.XLOOKUP(FMS_Ranking4[[#This Row],[FMS ID]],FMS_Input[FMS_ID],FMS_Input[FARMACRE100])</f>
        <v>1537.31005859375</v>
      </c>
      <c r="AH135" s="255">
        <f>(ASINH(FMS_Ranking4[[#This Row],[Ag Land Raw]]))*(10)/(ASINH(AG$4))</f>
        <v>5.2167476870719804</v>
      </c>
      <c r="AI135" s="260">
        <f>FMS_Ranking4[[#This Row],[Farm &amp; ranch land, ArcSinh (0-10)]]*AG$5*10</f>
        <v>2.6083738435359907</v>
      </c>
      <c r="AJ135" s="258">
        <f>_xlfn.XLOOKUP(FMS_Ranking4[[#This Row],[FMS ID]],FMS_Input[FMS_ID],FMS_Input[REDSTRUCT100])</f>
        <v>0</v>
      </c>
      <c r="AK135" s="253">
        <f>_xlfn.XLOOKUP(FMS_Ranking4[[#This Row],[FMS ID]],FMS_Input[FMS_ID],FMS_Input[REMSTRC100])</f>
        <v>0</v>
      </c>
      <c r="AL135" s="259">
        <f>(ASINH(FMS_Ranking4[[#This Row],[Structures Removed Raw]]))*(10)/(ASINH(AK$4))</f>
        <v>0</v>
      </c>
      <c r="AM135" s="262">
        <f>FMS_Ranking4[[#This Row],[Structures removed, ArcSinh (0-10)]]*AK$5*10</f>
        <v>0</v>
      </c>
      <c r="AN135" s="253">
        <f>_xlfn.XLOOKUP(FMS_Ranking4[[#This Row],[FMS ID]],FMS_Input[FMS_ID],FMS_Input[REMRESSTRC100])</f>
        <v>0</v>
      </c>
      <c r="AO135" s="261">
        <f>FMS_Ranking4[[#This Row],[ArcSinh Res struct removed 0-10]]*AN$5*10</f>
        <v>0</v>
      </c>
      <c r="AP135" s="260">
        <f>ASINH(FMS_Ranking4[[#This Row],[Residential Structures Removed Raw]])/AP$4*AN$5*100</f>
        <v>0</v>
      </c>
      <c r="AQ135" s="254">
        <f>(ASINH(FMS_Ranking4[[#This Row],[Residential Structures Removed Raw]]))*(10)/(ASINH(AN$4))</f>
        <v>0</v>
      </c>
      <c r="AR135" s="253">
        <f>_xlfn.XLOOKUP(FMS_Ranking4[[#This Row],[FMS ID]],FMS_Input[FMS_ID],FMS_Input[REMPOP100])</f>
        <v>0</v>
      </c>
      <c r="AS135" s="259">
        <f>(ASINH(FMS_Ranking4[[#This Row],[Removed Pop Raw]]))*(10)/(ASINH(AR$4))</f>
        <v>0</v>
      </c>
      <c r="AT135" s="262">
        <f>FMS_Ranking4[[#This Row],[Removed population, ArcSinh (0-10)]]*AR$5*10</f>
        <v>0</v>
      </c>
      <c r="AU135" s="264">
        <f>_xlfn.XLOOKUP(FMS_Ranking4[[#This Row],[FMS ID]],FMS_Input[FMS_ID],FMS_Input[REMCRITFAC100])</f>
        <v>0</v>
      </c>
      <c r="AV135" s="264">
        <f>_xlfn.XLOOKUP(FMS_Ranking4[[#This Row],[FMS ID]],FMS_Input[FMS_ID],FMS_Input[REMLWC100])</f>
        <v>0</v>
      </c>
      <c r="AW135" s="264">
        <f>_xlfn.XLOOKUP(FMS_Ranking4[[#This Row],[FMS ID]],FMS_Input[FMS_ID],FMS_Input[REMROADCLS])</f>
        <v>0</v>
      </c>
      <c r="AX135" s="264">
        <f>_xlfn.XLOOKUP(FMS_Ranking4[[#This Row],[FMS ID]],FMS_Input[FMS_ID],FMS_Input[REMFRMACRE100])</f>
        <v>0</v>
      </c>
      <c r="AY135" s="258">
        <f>_xlfn.XLOOKUP(FMS_Ranking4[[#This Row],[FMS ID]],FMS_Input[FMS_ID],FMS_Input[COSTSTRUCT])</f>
        <v>0</v>
      </c>
      <c r="AZ135" s="253">
        <f>_xlfn.XLOOKUP(FMS_Ranking4[[#This Row],[FMS ID]],FMS_Input[FMS_ID],FMS_Input[NATURE])</f>
        <v>0</v>
      </c>
      <c r="BA135" s="262">
        <f>(((FMS_Ranking4[[#This Row],[% NBS Raw]]/AZ$4)*100)*AZ$5)</f>
        <v>0</v>
      </c>
      <c r="BB135" s="251" t="str">
        <f>_xlfn.XLOOKUP(FMS_Ranking4[[#This Row],[FMS ID]],FMS_Input[FMS_ID],FMS_Input[WATER_SUP])</f>
        <v>No</v>
      </c>
      <c r="BC135" s="265">
        <f>IF(FMS_Ranking4[[#This Row],[Water Supply Raw]]="Yes",10,0)</f>
        <v>0</v>
      </c>
      <c r="BD135" s="266">
        <f>_xlfn.XLOOKUP(FMS_Ranking4[[#This Row],[FMS Type]],FMS_TYPE[FMS_Type],FMS_TYPE[Score])</f>
        <v>8</v>
      </c>
      <c r="BE135" s="267">
        <f>FMS_Ranking4[[#This Row],[FMS_Type Score]]*$BD$5*10</f>
        <v>2</v>
      </c>
      <c r="BF13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1.0684552247111332</v>
      </c>
      <c r="BG135" s="271">
        <f>_xlfn.RANK.EQ(BF135,$BF$8:$BF$870,0)+COUNTIF($BF$8:BF135,BF135)-1</f>
        <v>136</v>
      </c>
      <c r="BH135" s="268">
        <f>(((FMS_Ranking4[[#This Row],[Structures Removed Raw]]/AK$4)*100)*AK$5)+(((FMS_Ranking4[[#This Row],[Removed Pop Raw]]/AR$4)*100)*AR$5)</f>
        <v>0</v>
      </c>
      <c r="BI13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3.0684552247111334</v>
      </c>
      <c r="BJ135" s="205">
        <f>_xlfn.RANK.EQ(FMS_Ranking4[[#This Row],[Total Score 
(with linear
normalization)]],FMS_Ranking4[Total Score 
(with linear
normalization)],0)</f>
        <v>168</v>
      </c>
      <c r="BK135" s="205" t="e">
        <f>_xlfn.XLOOKUP(FMS_Ranking4[[#This Row],[FMS ID]],#REF!,#REF!)</f>
        <v>#REF!</v>
      </c>
      <c r="BL13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32.817778920760901</v>
      </c>
      <c r="BM135" s="272">
        <f>FMS_Ranking4[[#This Row],[ArcSinh Score Based on Normalized Reported Factors]]+FMS_Ranking4[[#This Row],[% NBS Score (Normalized)]]+(FMS_Ranking4[[#This Row],[Water Supply Score (Normalized)]]*10*$BB$5)+FMS_Ranking4[[#This Row],[FMS_Type Score Weighted]]</f>
        <v>34.817778920760901</v>
      </c>
      <c r="BN135" s="205">
        <f>_xlfn.RANK.EQ(FMS_Ranking4[[#This Row],[Total Score (with ArcSinh normalization of select criteria)]],FMS_Ranking4[Total Score (with ArcSinh normalization of select criteria)],0)</f>
        <v>128</v>
      </c>
      <c r="BO135" s="270" t="str">
        <f>_xlfn.XLOOKUP(FMS_Ranking4[[#This Row],[FMS ID]],FMS_Input[FMS_ID],FMS_Input[FMS_RANK_YEAR])</f>
        <v>2025 Amended Plan</v>
      </c>
      <c r="BP135" s="204" t="e">
        <f>_xlfn.XLOOKUP(FMS_Ranking4[[#This Row],[FMS ID]],Prev_Rank[FMS ID],Prev_Rank[Prev Rank])</f>
        <v>#N/A</v>
      </c>
      <c r="BQ135" s="205" t="e">
        <f>_xlfn.XLOOKUP(FMS_Ranking4[[#This Row],[FMS ID]],#REF!,#REF!)</f>
        <v>#REF!</v>
      </c>
      <c r="BR135" s="199" t="e">
        <f>SUM(#REF!,#REF!,#REF!,#REF!,#REF!,#REF!,#REF!,#REF!,#REF!,FMS_Ranking4[[#This Row],[ArcSinh Res struct removed 0-10]],#REF!)</f>
        <v>#REF!</v>
      </c>
      <c r="BS135" s="199" t="e">
        <f>FMS_Ranking4[[#This Row],[Log Score Based on Normalized Reported Factors]]+FMS_Ranking4[[#This Row],[% NBS Score (Normalized)]]+(FMS_Ranking4[[#This Row],[Water Supply Score (Normalized)]]*10*$BB$5)+(FMS_Ranking4[[#This Row],[FMS_Type Score Weighted]])</f>
        <v>#REF!</v>
      </c>
      <c r="BT135" s="200" t="e">
        <f>_xlfn.RANK.EQ(FMS_Ranking4[[#This Row],[Log Total Score]],FMS_Ranking4[Log Total Score],0)</f>
        <v>#REF!</v>
      </c>
      <c r="BU135" s="200" t="e">
        <f>_xlfn.XLOOKUP(FMS_Ranking4[[#This Row],[FMS ID]],#REF!,#REF!)</f>
        <v>#REF!</v>
      </c>
      <c r="BV135" s="200">
        <f>FMS_Ranking4[[#This Row],[Region Number]]</f>
        <v>4</v>
      </c>
      <c r="BW135" s="200">
        <f>FMS_Ranking4[[#This Row],[Rank (with ArcSinh normalization of select criteria)]]-FMS_Ranking4[[#This Row],[Rank
(with linear
normalization)]]</f>
        <v>-40</v>
      </c>
      <c r="BX135" s="200" t="e">
        <f>FMS_Ranking4[[#This Row],[Log Rank]]-FMS_Ranking4[[#This Row],[Rank
(with linear
normalization)]]</f>
        <v>#REF!</v>
      </c>
      <c r="BY135" s="200" t="str">
        <f>IF(FMS_Ranking4[[#This Row],[FMS Type]]="Flood Measurement and Warning",FMS_Ranking4[[#This Row],[Rank (with ArcSinh normalization of select criteria)]],"")</f>
        <v/>
      </c>
      <c r="BZ135" s="200">
        <f>IF(FMS_Ranking4[[#This Row],[FMS Type]]="Regulatory and Guidance",FMS_Ranking4[[#This Row],[Rank (with ArcSinh normalization of select criteria)]],"")</f>
        <v>128</v>
      </c>
      <c r="CA135" s="200" t="str">
        <f>IF(FMS_Ranking4[[#This Row],[FMS Type]]="Education and Outreach",FMS_Ranking4[[#This Row],[Rank (with ArcSinh normalization of select criteria)]],"")</f>
        <v/>
      </c>
      <c r="CB135" s="200" t="str">
        <f>IF(FMS_Ranking4[[#This Row],[FMS Type]]="Property Acquisition and Structural Elevation",FMS_Ranking4[[#This Row],[Rank (with ArcSinh normalization of select criteria)]],"")</f>
        <v/>
      </c>
      <c r="CC135" s="200" t="str">
        <f>IF(FMS_Ranking4[[#This Row],[FMS Type]]="Infrastructure Projects",FMS_Ranking4[[#This Row],[Rank (with ArcSinh normalization of select criteria)]],"")</f>
        <v/>
      </c>
      <c r="CD135" s="200" t="str">
        <f>IF(FMS_Ranking4[[#This Row],[FMS Type]]="Other",FMS_Ranking4[[#This Row],[Rank (with ArcSinh normalization of select criteria)]],"")</f>
        <v/>
      </c>
      <c r="CE135" s="201"/>
    </row>
    <row r="136" spans="2:83" ht="45" x14ac:dyDescent="0.25">
      <c r="B136" s="341" t="s">
        <v>588</v>
      </c>
      <c r="C136" s="246">
        <f>_xlfn.XLOOKUP(FMS_Ranking4[[#This Row],[FMS ID]],FMS_Input[FMS_ID],FMS_Input[RFPG_NUM])</f>
        <v>9</v>
      </c>
      <c r="D136" s="309" t="str">
        <f>_xlfn.XLOOKUP(FMS_Ranking4[[#This Row],[FMS ID]],FMS_Input[FMS_ID],FMS_Input[FMS_NAME])</f>
        <v>Lynn County DCM</v>
      </c>
      <c r="E136" s="308" t="str">
        <f>_xlfn.XLOOKUP(FMS_Ranking4[[#This Row],[FMS ID]],FMS_Input[FMS_ID],FMS_Input[SPONSOR])</f>
        <v>00000115</v>
      </c>
      <c r="F136" s="309" t="str">
        <f>_xlfn.XLOOKUP(FMS_Ranking4[[#This Row],[FMS ID]],Sponsor[FMS_ID],Sponsor[SPONSOR NAME])</f>
        <v>Borden</v>
      </c>
      <c r="G136" s="309" t="str">
        <f>_xlfn.XLOOKUP(FMS_Ranking4[[#This Row],[FMS ID]],FMS_Input[FMS_ID],FMS_Input[FMS_DESCR])</f>
        <v>Outreach Program: Discuss Stormwater Criteria Design Manual</v>
      </c>
      <c r="H136" s="248" t="str">
        <f>_xlfn.XLOOKUP(FMS_Ranking4[[#This Row],[FMS ID]],FMS_Input[FMS_ID],FMS_Input[FMS_TYPE])</f>
        <v>Other</v>
      </c>
      <c r="I136" s="249">
        <f>_xlfn.XLOOKUP(FMS_Ranking4[[#This Row],[FMS ID]],FMS_Input[FMS_ID],FMS_Input[NRNC_COST])</f>
        <v>75000</v>
      </c>
      <c r="J136" s="250">
        <f>_xlfn.XLOOKUP(FMS_Ranking4[[#This Row],[FMS ID]],FMS_Input[FMS_ID],FMS_Input[FMS_COST])</f>
        <v>100000</v>
      </c>
      <c r="K136" s="251" t="str">
        <f>_xlfn.XLOOKUP(FMS_Ranking4[[#This Row],[FMS ID]],FMS_Input[FMS_ID],FMS_Input[EMER_NEED])</f>
        <v>No</v>
      </c>
      <c r="L136" s="252">
        <f t="shared" ref="L136:L199" si="2">IF(K136="Yes",1,0)</f>
        <v>0</v>
      </c>
      <c r="M136" s="253">
        <f>_xlfn.XLOOKUP(FMS_Ranking4[[#This Row],[FMS ID]],FMS_Input[FMS_ID],FMS_Input[STRUCT_100])</f>
        <v>340</v>
      </c>
      <c r="N136" s="255">
        <f>(ASINH(FMS_Ranking4[[#This Row],[Structure at Risk Raw]]))*(10)/(ASINH(M$4))</f>
        <v>5.1273377370624846</v>
      </c>
      <c r="O136" s="256">
        <f>FMS_Ranking4[[#This Row],[Structures at risk, ArcSinh (0-10)]]*M$5*10</f>
        <v>5.1273377370624846</v>
      </c>
      <c r="P136" s="253">
        <f>_xlfn.XLOOKUP(FMS_Ranking4[[#This Row],[FMS ID]],FMS_Input[FMS_ID],FMS_Input[RES_STRUCT100])</f>
        <v>204</v>
      </c>
      <c r="Q136" s="257">
        <f>ASINH(FMS_Ranking4[[#This Row],[Res Structure Raw]])/Q$4*P$5*100</f>
        <v>0</v>
      </c>
      <c r="R136" s="253">
        <f>_xlfn.XLOOKUP(FMS_Ranking4[[#This Row],[FMS ID]],FMS_Input[FMS_ID],FMS_Input[POP100])</f>
        <v>352</v>
      </c>
      <c r="S136" s="259">
        <f>(ASINH(FMS_Ranking4[[#This Row],[Pop at Risk Raw]]))*(10)/(ASINH(R$4))</f>
        <v>4.5265272142527593</v>
      </c>
      <c r="T136" s="256">
        <f>FMS_Ranking4[[#This Row],[Population at risk, ArcSinh (0-10)]]*R$5*10</f>
        <v>4.5265272142527593</v>
      </c>
      <c r="U136" s="253">
        <f>_xlfn.XLOOKUP(FMS_Ranking4[[#This Row],[FMS ID]],FMS_Input[FMS_ID],FMS_Input[CRITFAC100])</f>
        <v>1</v>
      </c>
      <c r="V136" s="259">
        <f>(ASINH(FMS_Ranking4[[#This Row],[Critical Facilities Raw]]))*(10)/(ASINH(U$4))</f>
        <v>1.0433384451410745</v>
      </c>
      <c r="W136" s="256">
        <f>FMS_Ranking4[[#This Row],[Critical facilities at risk, ArcSinh (0-10)]]*U$5*10</f>
        <v>1.0433384451410745</v>
      </c>
      <c r="X136" s="253">
        <f>_xlfn.XLOOKUP(FMS_Ranking4[[#This Row],[FMS ID]],FMS_Input[FMS_ID],FMS_Input[LWC])</f>
        <v>0</v>
      </c>
      <c r="Y136" s="259">
        <f>(ASINH(FMS_Ranking4[[#This Row],[LWC Raw]]))*(10)/(ASINH(X$4))</f>
        <v>0</v>
      </c>
      <c r="Z136" s="256">
        <f>FMS_Ranking4[[#This Row],[LWC, ArcSInh (0-10)]]*X$5*10</f>
        <v>0</v>
      </c>
      <c r="AA136" s="253">
        <f>_xlfn.XLOOKUP(FMS_Ranking4[[#This Row],[FMS ID]],FMS_Input[FMS_ID],FMS_Input[ROADCLS])</f>
        <v>0</v>
      </c>
      <c r="AB136" s="255">
        <f>(ASINH(FMS_Ranking4[[#This Row],[Road Closures Raw]]))*(10)/(ASINH(AA$4))</f>
        <v>0</v>
      </c>
      <c r="AC136" s="256">
        <f>FMS_Ranking4[[#This Row],[Road closures, ArcSinh (0-10)]]*AA$5*10</f>
        <v>0</v>
      </c>
      <c r="AD136" s="253">
        <f>_xlfn.XLOOKUP(FMS_Ranking4[[#This Row],[FMS ID]],FMS_Input[FMS_ID],FMS_Input[ROAD_MILES100])</f>
        <v>152</v>
      </c>
      <c r="AE136" s="259">
        <f>(ASINH(FMS_Ranking4[[#This Row],[Road Miles Raw]]))*(10)/(ASINH(AD$4))</f>
        <v>6.0927901684158492</v>
      </c>
      <c r="AF136" s="256">
        <f>FMS_Ranking4[[#This Row],[Length of roads at risk, ArcSinh (0-10)]]*AD$5*10</f>
        <v>6.0927901684158492</v>
      </c>
      <c r="AG136" s="253">
        <f>_xlfn.XLOOKUP(FMS_Ranking4[[#This Row],[FMS ID]],FMS_Input[FMS_ID],FMS_Input[FARMACRE100])</f>
        <v>23560.421875</v>
      </c>
      <c r="AH136" s="255">
        <f>(ASINH(FMS_Ranking4[[#This Row],[Ag Land Raw]]))*(10)/(ASINH(AG$4))</f>
        <v>6.9898023840873647</v>
      </c>
      <c r="AI136" s="260">
        <f>FMS_Ranking4[[#This Row],[Farm &amp; ranch land, ArcSinh (0-10)]]*AG$5*10</f>
        <v>3.4949011920436823</v>
      </c>
      <c r="AJ136" s="258">
        <f>_xlfn.XLOOKUP(FMS_Ranking4[[#This Row],[FMS ID]],FMS_Input[FMS_ID],FMS_Input[REDSTRUCT100])</f>
        <v>85</v>
      </c>
      <c r="AK136" s="253">
        <f>_xlfn.XLOOKUP(FMS_Ranking4[[#This Row],[FMS ID]],FMS_Input[FMS_ID],FMS_Input[REMSTRC100])</f>
        <v>85</v>
      </c>
      <c r="AL136" s="259">
        <f>(ASINH(FMS_Ranking4[[#This Row],[Structures Removed Raw]]))*(10)/(ASINH(AK$4))</f>
        <v>5.8475125119980831</v>
      </c>
      <c r="AM136" s="262">
        <f>FMS_Ranking4[[#This Row],[Structures removed, ArcSinh (0-10)]]*AK$5*10</f>
        <v>5.8475125119980831</v>
      </c>
      <c r="AN136" s="253">
        <f>_xlfn.XLOOKUP(FMS_Ranking4[[#This Row],[FMS ID]],FMS_Input[FMS_ID],FMS_Input[REMRESSTRC100])</f>
        <v>51</v>
      </c>
      <c r="AO136" s="261">
        <f>FMS_Ranking4[[#This Row],[ArcSinh Res struct removed 0-10]]*AN$5*10</f>
        <v>2.7127253300128684</v>
      </c>
      <c r="AP136" s="260">
        <f>ASINH(FMS_Ranking4[[#This Row],[Residential Structures Removed Raw]])/AP$4*AN$5*100</f>
        <v>2.7127253300128684</v>
      </c>
      <c r="AQ136" s="254">
        <f>(ASINH(FMS_Ranking4[[#This Row],[Residential Structures Removed Raw]]))*(10)/(ASINH(AN$4))</f>
        <v>5.4254506600257368</v>
      </c>
      <c r="AR136" s="253">
        <f>_xlfn.XLOOKUP(FMS_Ranking4[[#This Row],[FMS ID]],FMS_Input[FMS_ID],FMS_Input[REMPOP100])</f>
        <v>123</v>
      </c>
      <c r="AS136" s="259">
        <f>(ASINH(FMS_Ranking4[[#This Row],[Removed Pop Raw]]))*(10)/(ASINH(AR$4))</f>
        <v>5.4041622005010925</v>
      </c>
      <c r="AT136" s="262">
        <f>FMS_Ranking4[[#This Row],[Removed population, ArcSinh (0-10)]]*AR$5*10</f>
        <v>5.4041622005010925</v>
      </c>
      <c r="AU136" s="264">
        <f>_xlfn.XLOOKUP(FMS_Ranking4[[#This Row],[FMS ID]],FMS_Input[FMS_ID],FMS_Input[REMCRITFAC100])</f>
        <v>0</v>
      </c>
      <c r="AV136" s="264">
        <f>_xlfn.XLOOKUP(FMS_Ranking4[[#This Row],[FMS ID]],FMS_Input[FMS_ID],FMS_Input[REMLWC100])</f>
        <v>0</v>
      </c>
      <c r="AW136" s="264">
        <f>_xlfn.XLOOKUP(FMS_Ranking4[[#This Row],[FMS ID]],FMS_Input[FMS_ID],FMS_Input[REMROADCLS])</f>
        <v>0</v>
      </c>
      <c r="AX136" s="264">
        <f>_xlfn.XLOOKUP(FMS_Ranking4[[#This Row],[FMS ID]],FMS_Input[FMS_ID],FMS_Input[REMFRMACRE100])</f>
        <v>5890.10546875</v>
      </c>
      <c r="AY136" s="258">
        <f>_xlfn.XLOOKUP(FMS_Ranking4[[#This Row],[FMS ID]],FMS_Input[FMS_ID],FMS_Input[COSTSTRUCT])</f>
        <v>25000</v>
      </c>
      <c r="AZ136" s="253">
        <f>_xlfn.XLOOKUP(FMS_Ranking4[[#This Row],[FMS ID]],FMS_Input[FMS_ID],FMS_Input[NATURE])</f>
        <v>0</v>
      </c>
      <c r="BA136" s="262">
        <f>(((FMS_Ranking4[[#This Row],[% NBS Raw]]/AZ$4)*100)*AZ$5)</f>
        <v>0</v>
      </c>
      <c r="BB136" s="251" t="str">
        <f>_xlfn.XLOOKUP(FMS_Ranking4[[#This Row],[FMS ID]],FMS_Input[FMS_ID],FMS_Input[WATER_SUP])</f>
        <v>No</v>
      </c>
      <c r="BC136" s="265">
        <f>IF(FMS_Ranking4[[#This Row],[Water Supply Raw]]="Yes",10,0)</f>
        <v>0</v>
      </c>
      <c r="BD136" s="266">
        <f>_xlfn.XLOOKUP(FMS_Ranking4[[#This Row],[FMS Type]],FMS_TYPE[FMS_Type],FMS_TYPE[Score])</f>
        <v>2</v>
      </c>
      <c r="BE136" s="267">
        <f>FMS_Ranking4[[#This Row],[FMS_Type Score]]*$BD$5*10</f>
        <v>0.5</v>
      </c>
      <c r="BF13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0.332519971282213</v>
      </c>
      <c r="BG136" s="271">
        <f>_xlfn.RANK.EQ(BF136,$BF$8:$BF$870,0)+COUNTIF($BF$8:BF136,BF136)-1</f>
        <v>288</v>
      </c>
      <c r="BH136" s="268">
        <f>(((FMS_Ranking4[[#This Row],[Structures Removed Raw]]/AK$4)*100)*AK$5)+(((FMS_Ranking4[[#This Row],[Removed Pop Raw]]/AR$4)*100)*AR$5)</f>
        <v>0.35326974843602449</v>
      </c>
      <c r="BI13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1.1857897197182374</v>
      </c>
      <c r="BJ136" s="205">
        <f>_xlfn.RANK.EQ(FMS_Ranking4[[#This Row],[Total Score 
(with linear
normalization)]],FMS_Ranking4[Total Score 
(with linear
normalization)],0)</f>
        <v>650</v>
      </c>
      <c r="BK136" s="205" t="e">
        <f>_xlfn.XLOOKUP(FMS_Ranking4[[#This Row],[FMS ID]],#REF!,#REF!)</f>
        <v>#REF!</v>
      </c>
      <c r="BL13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34.249294799427894</v>
      </c>
      <c r="BM136" s="272">
        <f>FMS_Ranking4[[#This Row],[ArcSinh Score Based on Normalized Reported Factors]]+FMS_Ranking4[[#This Row],[% NBS Score (Normalized)]]+(FMS_Ranking4[[#This Row],[Water Supply Score (Normalized)]]*10*$BB$5)+FMS_Ranking4[[#This Row],[FMS_Type Score Weighted]]</f>
        <v>34.749294799427894</v>
      </c>
      <c r="BN136" s="205">
        <f>_xlfn.RANK.EQ(FMS_Ranking4[[#This Row],[Total Score (with ArcSinh normalization of select criteria)]],FMS_Ranking4[Total Score (with ArcSinh normalization of select criteria)],0)</f>
        <v>129</v>
      </c>
      <c r="BO136" s="270" t="str">
        <f>_xlfn.XLOOKUP(FMS_Ranking4[[#This Row],[FMS ID]],FMS_Input[FMS_ID],FMS_Input[FMS_RANK_YEAR])</f>
        <v>2023 Amended Plan</v>
      </c>
      <c r="BP136" s="204">
        <f>_xlfn.XLOOKUP(FMS_Ranking4[[#This Row],[FMS ID]],Prev_Rank[FMS ID],Prev_Rank[Prev Rank])</f>
        <v>134</v>
      </c>
      <c r="BQ136" s="205" t="e">
        <f>_xlfn.XLOOKUP(FMS_Ranking4[[#This Row],[FMS ID]],#REF!,#REF!)</f>
        <v>#REF!</v>
      </c>
      <c r="BR136" s="199" t="e">
        <f>SUM(#REF!,#REF!,#REF!,#REF!,#REF!,#REF!,#REF!,#REF!,#REF!,FMS_Ranking4[[#This Row],[ArcSinh Res struct removed 0-10]],#REF!)</f>
        <v>#REF!</v>
      </c>
      <c r="BS136" s="199" t="e">
        <f>FMS_Ranking4[[#This Row],[Log Score Based on Normalized Reported Factors]]+FMS_Ranking4[[#This Row],[% NBS Score (Normalized)]]+(FMS_Ranking4[[#This Row],[Water Supply Score (Normalized)]]*10*$BB$5)+(FMS_Ranking4[[#This Row],[FMS_Type Score Weighted]])</f>
        <v>#REF!</v>
      </c>
      <c r="BT136" s="200" t="e">
        <f>_xlfn.RANK.EQ(FMS_Ranking4[[#This Row],[Log Total Score]],FMS_Ranking4[Log Total Score],0)</f>
        <v>#REF!</v>
      </c>
      <c r="BU136" s="200" t="e">
        <f>_xlfn.XLOOKUP(FMS_Ranking4[[#This Row],[FMS ID]],#REF!,#REF!)</f>
        <v>#REF!</v>
      </c>
      <c r="BV136" s="200">
        <f>FMS_Ranking4[[#This Row],[Region Number]]</f>
        <v>9</v>
      </c>
      <c r="BW136" s="200">
        <f>FMS_Ranking4[[#This Row],[Rank (with ArcSinh normalization of select criteria)]]-FMS_Ranking4[[#This Row],[Rank
(with linear
normalization)]]</f>
        <v>-521</v>
      </c>
      <c r="BX136" s="200" t="e">
        <f>FMS_Ranking4[[#This Row],[Log Rank]]-FMS_Ranking4[[#This Row],[Rank
(with linear
normalization)]]</f>
        <v>#REF!</v>
      </c>
      <c r="BY136" s="200" t="str">
        <f>IF(FMS_Ranking4[[#This Row],[FMS Type]]="Flood Measurement and Warning",FMS_Ranking4[[#This Row],[Rank (with ArcSinh normalization of select criteria)]],"")</f>
        <v/>
      </c>
      <c r="BZ136" s="200" t="str">
        <f>IF(FMS_Ranking4[[#This Row],[FMS Type]]="Regulatory and Guidance",FMS_Ranking4[[#This Row],[Rank (with ArcSinh normalization of select criteria)]],"")</f>
        <v/>
      </c>
      <c r="CA136" s="200" t="str">
        <f>IF(FMS_Ranking4[[#This Row],[FMS Type]]="Education and Outreach",FMS_Ranking4[[#This Row],[Rank (with ArcSinh normalization of select criteria)]],"")</f>
        <v/>
      </c>
      <c r="CB136" s="200" t="str">
        <f>IF(FMS_Ranking4[[#This Row],[FMS Type]]="Property Acquisition and Structural Elevation",FMS_Ranking4[[#This Row],[Rank (with ArcSinh normalization of select criteria)]],"")</f>
        <v/>
      </c>
      <c r="CC136" s="200" t="str">
        <f>IF(FMS_Ranking4[[#This Row],[FMS Type]]="Infrastructure Projects",FMS_Ranking4[[#This Row],[Rank (with ArcSinh normalization of select criteria)]],"")</f>
        <v/>
      </c>
      <c r="CD136" s="200">
        <f>IF(FMS_Ranking4[[#This Row],[FMS Type]]="Other",FMS_Ranking4[[#This Row],[Rank (with ArcSinh normalization of select criteria)]],"")</f>
        <v>129</v>
      </c>
      <c r="CE136" s="201"/>
    </row>
    <row r="137" spans="2:83" ht="75" x14ac:dyDescent="0.25">
      <c r="B137" s="341" t="s">
        <v>765</v>
      </c>
      <c r="C137" s="246">
        <f>_xlfn.XLOOKUP(FMS_Ranking4[[#This Row],[FMS ID]],FMS_Input[FMS_ID],FMS_Input[RFPG_NUM])</f>
        <v>9</v>
      </c>
      <c r="D137" s="309" t="str">
        <f>_xlfn.XLOOKUP(FMS_Ranking4[[#This Row],[FMS ID]],FMS_Input[FMS_ID],FMS_Input[FMS_NAME])</f>
        <v>Lynn County Portable Pumps Program</v>
      </c>
      <c r="E137" s="308" t="str">
        <f>_xlfn.XLOOKUP(FMS_Ranking4[[#This Row],[FMS ID]],FMS_Input[FMS_ID],FMS_Input[SPONSOR])</f>
        <v>00000184</v>
      </c>
      <c r="F137" s="309" t="str">
        <f>_xlfn.XLOOKUP(FMS_Ranking4[[#This Row],[FMS ID]],Sponsor[FMS_ID],Sponsor[SPONSOR NAME])</f>
        <v>Lynn</v>
      </c>
      <c r="G137" s="309" t="str">
        <f>_xlfn.XLOOKUP(FMS_Ranking4[[#This Row],[FMS ID]],FMS_Input[FMS_ID],FMS_Input[FMS_DESCR])</f>
        <v>This action proposes purchasing portable pumps that can be deployed as needed to mitigate the potential impacts of future flood events.</v>
      </c>
      <c r="H137" s="248" t="str">
        <f>_xlfn.XLOOKUP(FMS_Ranking4[[#This Row],[FMS ID]],FMS_Input[FMS_ID],FMS_Input[FMS_TYPE])</f>
        <v>Other</v>
      </c>
      <c r="I137" s="249">
        <f>_xlfn.XLOOKUP(FMS_Ranking4[[#This Row],[FMS ID]],FMS_Input[FMS_ID],FMS_Input[NRNC_COST])</f>
        <v>225000</v>
      </c>
      <c r="J137" s="250">
        <f>_xlfn.XLOOKUP(FMS_Ranking4[[#This Row],[FMS ID]],FMS_Input[FMS_ID],FMS_Input[FMS_COST])</f>
        <v>250000</v>
      </c>
      <c r="K137" s="251" t="str">
        <f>_xlfn.XLOOKUP(FMS_Ranking4[[#This Row],[FMS ID]],FMS_Input[FMS_ID],FMS_Input[EMER_NEED])</f>
        <v>No</v>
      </c>
      <c r="L137" s="252">
        <f t="shared" si="2"/>
        <v>0</v>
      </c>
      <c r="M137" s="253">
        <f>_xlfn.XLOOKUP(FMS_Ranking4[[#This Row],[FMS ID]],FMS_Input[FMS_ID],FMS_Input[STRUCT_100])</f>
        <v>340</v>
      </c>
      <c r="N137" s="255">
        <f>(ASINH(FMS_Ranking4[[#This Row],[Structure at Risk Raw]]))*(10)/(ASINH(M$4))</f>
        <v>5.1273377370624846</v>
      </c>
      <c r="O137" s="256">
        <f>FMS_Ranking4[[#This Row],[Structures at risk, ArcSinh (0-10)]]*M$5*10</f>
        <v>5.1273377370624846</v>
      </c>
      <c r="P137" s="253">
        <f>_xlfn.XLOOKUP(FMS_Ranking4[[#This Row],[FMS ID]],FMS_Input[FMS_ID],FMS_Input[RES_STRUCT100])</f>
        <v>204</v>
      </c>
      <c r="Q137" s="257">
        <f>ASINH(FMS_Ranking4[[#This Row],[Res Structure Raw]])/Q$4*P$5*100</f>
        <v>0</v>
      </c>
      <c r="R137" s="253">
        <f>_xlfn.XLOOKUP(FMS_Ranking4[[#This Row],[FMS ID]],FMS_Input[FMS_ID],FMS_Input[POP100])</f>
        <v>352</v>
      </c>
      <c r="S137" s="259">
        <f>(ASINH(FMS_Ranking4[[#This Row],[Pop at Risk Raw]]))*(10)/(ASINH(R$4))</f>
        <v>4.5265272142527593</v>
      </c>
      <c r="T137" s="256">
        <f>FMS_Ranking4[[#This Row],[Population at risk, ArcSinh (0-10)]]*R$5*10</f>
        <v>4.5265272142527593</v>
      </c>
      <c r="U137" s="253">
        <f>_xlfn.XLOOKUP(FMS_Ranking4[[#This Row],[FMS ID]],FMS_Input[FMS_ID],FMS_Input[CRITFAC100])</f>
        <v>1</v>
      </c>
      <c r="V137" s="259">
        <f>(ASINH(FMS_Ranking4[[#This Row],[Critical Facilities Raw]]))*(10)/(ASINH(U$4))</f>
        <v>1.0433384451410745</v>
      </c>
      <c r="W137" s="256">
        <f>FMS_Ranking4[[#This Row],[Critical facilities at risk, ArcSinh (0-10)]]*U$5*10</f>
        <v>1.0433384451410745</v>
      </c>
      <c r="X137" s="253">
        <f>_xlfn.XLOOKUP(FMS_Ranking4[[#This Row],[FMS ID]],FMS_Input[FMS_ID],FMS_Input[LWC])</f>
        <v>0</v>
      </c>
      <c r="Y137" s="259">
        <f>(ASINH(FMS_Ranking4[[#This Row],[LWC Raw]]))*(10)/(ASINH(X$4))</f>
        <v>0</v>
      </c>
      <c r="Z137" s="256">
        <f>FMS_Ranking4[[#This Row],[LWC, ArcSInh (0-10)]]*X$5*10</f>
        <v>0</v>
      </c>
      <c r="AA137" s="253">
        <f>_xlfn.XLOOKUP(FMS_Ranking4[[#This Row],[FMS ID]],FMS_Input[FMS_ID],FMS_Input[ROADCLS])</f>
        <v>0</v>
      </c>
      <c r="AB137" s="255">
        <f>(ASINH(FMS_Ranking4[[#This Row],[Road Closures Raw]]))*(10)/(ASINH(AA$4))</f>
        <v>0</v>
      </c>
      <c r="AC137" s="256">
        <f>FMS_Ranking4[[#This Row],[Road closures, ArcSinh (0-10)]]*AA$5*10</f>
        <v>0</v>
      </c>
      <c r="AD137" s="253">
        <f>_xlfn.XLOOKUP(FMS_Ranking4[[#This Row],[FMS ID]],FMS_Input[FMS_ID],FMS_Input[ROAD_MILES100])</f>
        <v>152</v>
      </c>
      <c r="AE137" s="259">
        <f>(ASINH(FMS_Ranking4[[#This Row],[Road Miles Raw]]))*(10)/(ASINH(AD$4))</f>
        <v>6.0927901684158492</v>
      </c>
      <c r="AF137" s="256">
        <f>FMS_Ranking4[[#This Row],[Length of roads at risk, ArcSinh (0-10)]]*AD$5*10</f>
        <v>6.0927901684158492</v>
      </c>
      <c r="AG137" s="253">
        <f>_xlfn.XLOOKUP(FMS_Ranking4[[#This Row],[FMS ID]],FMS_Input[FMS_ID],FMS_Input[FARMACRE100])</f>
        <v>23560.158203125</v>
      </c>
      <c r="AH137" s="255">
        <f>(ASINH(FMS_Ranking4[[#This Row],[Ag Land Raw]]))*(10)/(ASINH(AG$4))</f>
        <v>6.9897951143821313</v>
      </c>
      <c r="AI137" s="260">
        <f>FMS_Ranking4[[#This Row],[Farm &amp; ranch land, ArcSinh (0-10)]]*AG$5*10</f>
        <v>3.4948975571910657</v>
      </c>
      <c r="AJ137" s="258">
        <f>_xlfn.XLOOKUP(FMS_Ranking4[[#This Row],[FMS ID]],FMS_Input[FMS_ID],FMS_Input[REDSTRUCT100])</f>
        <v>85</v>
      </c>
      <c r="AK137" s="253">
        <f>_xlfn.XLOOKUP(FMS_Ranking4[[#This Row],[FMS ID]],FMS_Input[FMS_ID],FMS_Input[REMSTRC100])</f>
        <v>85</v>
      </c>
      <c r="AL137" s="259">
        <f>(ASINH(FMS_Ranking4[[#This Row],[Structures Removed Raw]]))*(10)/(ASINH(AK$4))</f>
        <v>5.8475125119980831</v>
      </c>
      <c r="AM137" s="262">
        <f>FMS_Ranking4[[#This Row],[Structures removed, ArcSinh (0-10)]]*AK$5*10</f>
        <v>5.8475125119980831</v>
      </c>
      <c r="AN137" s="253">
        <f>_xlfn.XLOOKUP(FMS_Ranking4[[#This Row],[FMS ID]],FMS_Input[FMS_ID],FMS_Input[REMRESSTRC100])</f>
        <v>51</v>
      </c>
      <c r="AO137" s="261">
        <f>FMS_Ranking4[[#This Row],[ArcSinh Res struct removed 0-10]]*AN$5*10</f>
        <v>2.7127253300128684</v>
      </c>
      <c r="AP137" s="260">
        <f>ASINH(FMS_Ranking4[[#This Row],[Residential Structures Removed Raw]])/AP$4*AN$5*100</f>
        <v>2.7127253300128684</v>
      </c>
      <c r="AQ137" s="254">
        <f>(ASINH(FMS_Ranking4[[#This Row],[Residential Structures Removed Raw]]))*(10)/(ASINH(AN$4))</f>
        <v>5.4254506600257368</v>
      </c>
      <c r="AR137" s="253">
        <f>_xlfn.XLOOKUP(FMS_Ranking4[[#This Row],[FMS ID]],FMS_Input[FMS_ID],FMS_Input[REMPOP100])</f>
        <v>123</v>
      </c>
      <c r="AS137" s="259">
        <f>(ASINH(FMS_Ranking4[[#This Row],[Removed Pop Raw]]))*(10)/(ASINH(AR$4))</f>
        <v>5.4041622005010925</v>
      </c>
      <c r="AT137" s="262">
        <f>FMS_Ranking4[[#This Row],[Removed population, ArcSinh (0-10)]]*AR$5*10</f>
        <v>5.4041622005010925</v>
      </c>
      <c r="AU137" s="264">
        <f>_xlfn.XLOOKUP(FMS_Ranking4[[#This Row],[FMS ID]],FMS_Input[FMS_ID],FMS_Input[REMCRITFAC100])</f>
        <v>0</v>
      </c>
      <c r="AV137" s="264">
        <f>_xlfn.XLOOKUP(FMS_Ranking4[[#This Row],[FMS ID]],FMS_Input[FMS_ID],FMS_Input[REMLWC100])</f>
        <v>0</v>
      </c>
      <c r="AW137" s="264">
        <f>_xlfn.XLOOKUP(FMS_Ranking4[[#This Row],[FMS ID]],FMS_Input[FMS_ID],FMS_Input[REMROADCLS])</f>
        <v>0</v>
      </c>
      <c r="AX137" s="264">
        <f>_xlfn.XLOOKUP(FMS_Ranking4[[#This Row],[FMS ID]],FMS_Input[FMS_ID],FMS_Input[REMFRMACRE100])</f>
        <v>5890.03955078125</v>
      </c>
      <c r="AY137" s="258">
        <f>_xlfn.XLOOKUP(FMS_Ranking4[[#This Row],[FMS ID]],FMS_Input[FMS_ID],FMS_Input[COSTSTRUCT])</f>
        <v>25000</v>
      </c>
      <c r="AZ137" s="253">
        <f>_xlfn.XLOOKUP(FMS_Ranking4[[#This Row],[FMS ID]],FMS_Input[FMS_ID],FMS_Input[NATURE])</f>
        <v>0</v>
      </c>
      <c r="BA137" s="262">
        <f>(((FMS_Ranking4[[#This Row],[% NBS Raw]]/AZ$4)*100)*AZ$5)</f>
        <v>0</v>
      </c>
      <c r="BB137" s="251" t="str">
        <f>_xlfn.XLOOKUP(FMS_Ranking4[[#This Row],[FMS ID]],FMS_Input[FMS_ID],FMS_Input[WATER_SUP])</f>
        <v>No</v>
      </c>
      <c r="BC137" s="265">
        <f>IF(FMS_Ranking4[[#This Row],[Water Supply Raw]]="Yes",10,0)</f>
        <v>0</v>
      </c>
      <c r="BD137" s="266">
        <f>_xlfn.XLOOKUP(FMS_Ranking4[[#This Row],[FMS Type]],FMS_TYPE[FMS_Type],FMS_TYPE[Score])</f>
        <v>2</v>
      </c>
      <c r="BE137" s="267">
        <f>FMS_Ranking4[[#This Row],[FMS_Type Score]]*$BD$5*10</f>
        <v>0.5</v>
      </c>
      <c r="BF13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0.33251942764982317</v>
      </c>
      <c r="BG137" s="271">
        <f>_xlfn.RANK.EQ(BF137,$BF$8:$BF$870,0)+COUNTIF($BF$8:BF137,BF137)-1</f>
        <v>289</v>
      </c>
      <c r="BH137" s="268">
        <f>(((FMS_Ranking4[[#This Row],[Structures Removed Raw]]/AK$4)*100)*AK$5)+(((FMS_Ranking4[[#This Row],[Removed Pop Raw]]/AR$4)*100)*AR$5)</f>
        <v>0.35326974843602449</v>
      </c>
      <c r="BI13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1.1857891760858477</v>
      </c>
      <c r="BJ137" s="205">
        <f>_xlfn.RANK.EQ(FMS_Ranking4[[#This Row],[Total Score 
(with linear
normalization)]],FMS_Ranking4[Total Score 
(with linear
normalization)],0)</f>
        <v>651</v>
      </c>
      <c r="BK137" s="205" t="e">
        <f>_xlfn.XLOOKUP(FMS_Ranking4[[#This Row],[FMS ID]],#REF!,#REF!)</f>
        <v>#REF!</v>
      </c>
      <c r="BL13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34.249291164575283</v>
      </c>
      <c r="BM137" s="272">
        <f>FMS_Ranking4[[#This Row],[ArcSinh Score Based on Normalized Reported Factors]]+FMS_Ranking4[[#This Row],[% NBS Score (Normalized)]]+(FMS_Ranking4[[#This Row],[Water Supply Score (Normalized)]]*10*$BB$5)+FMS_Ranking4[[#This Row],[FMS_Type Score Weighted]]</f>
        <v>34.749291164575283</v>
      </c>
      <c r="BN137" s="205">
        <f>_xlfn.RANK.EQ(FMS_Ranking4[[#This Row],[Total Score (with ArcSinh normalization of select criteria)]],FMS_Ranking4[Total Score (with ArcSinh normalization of select criteria)],0)</f>
        <v>130</v>
      </c>
      <c r="BO137" s="270" t="str">
        <f>_xlfn.XLOOKUP(FMS_Ranking4[[#This Row],[FMS ID]],FMS_Input[FMS_ID],FMS_Input[FMS_RANK_YEAR])</f>
        <v>2023 Amended Plan</v>
      </c>
      <c r="BP137" s="204">
        <f>_xlfn.XLOOKUP(FMS_Ranking4[[#This Row],[FMS ID]],Prev_Rank[FMS ID],Prev_Rank[Prev Rank])</f>
        <v>135</v>
      </c>
      <c r="BQ137" s="205" t="e">
        <f>_xlfn.XLOOKUP(FMS_Ranking4[[#This Row],[FMS ID]],#REF!,#REF!)</f>
        <v>#REF!</v>
      </c>
      <c r="BR137" s="199" t="e">
        <f>SUM(#REF!,#REF!,#REF!,#REF!,#REF!,#REF!,#REF!,#REF!,#REF!,FMS_Ranking4[[#This Row],[ArcSinh Res struct removed 0-10]],#REF!)</f>
        <v>#REF!</v>
      </c>
      <c r="BS137" s="199" t="e">
        <f>FMS_Ranking4[[#This Row],[Log Score Based on Normalized Reported Factors]]+FMS_Ranking4[[#This Row],[% NBS Score (Normalized)]]+(FMS_Ranking4[[#This Row],[Water Supply Score (Normalized)]]*10*$BB$5)+(FMS_Ranking4[[#This Row],[FMS_Type Score Weighted]])</f>
        <v>#REF!</v>
      </c>
      <c r="BT137" s="200" t="e">
        <f>_xlfn.RANK.EQ(FMS_Ranking4[[#This Row],[Log Total Score]],FMS_Ranking4[Log Total Score],0)</f>
        <v>#REF!</v>
      </c>
      <c r="BU137" s="200" t="e">
        <f>_xlfn.XLOOKUP(FMS_Ranking4[[#This Row],[FMS ID]],#REF!,#REF!)</f>
        <v>#REF!</v>
      </c>
      <c r="BV137" s="200">
        <f>FMS_Ranking4[[#This Row],[Region Number]]</f>
        <v>9</v>
      </c>
      <c r="BW137" s="200">
        <f>FMS_Ranking4[[#This Row],[Rank (with ArcSinh normalization of select criteria)]]-FMS_Ranking4[[#This Row],[Rank
(with linear
normalization)]]</f>
        <v>-521</v>
      </c>
      <c r="BX137" s="200" t="e">
        <f>FMS_Ranking4[[#This Row],[Log Rank]]-FMS_Ranking4[[#This Row],[Rank
(with linear
normalization)]]</f>
        <v>#REF!</v>
      </c>
      <c r="BY137" s="200" t="str">
        <f>IF(FMS_Ranking4[[#This Row],[FMS Type]]="Flood Measurement and Warning",FMS_Ranking4[[#This Row],[Rank (with ArcSinh normalization of select criteria)]],"")</f>
        <v/>
      </c>
      <c r="BZ137" s="200" t="str">
        <f>IF(FMS_Ranking4[[#This Row],[FMS Type]]="Regulatory and Guidance",FMS_Ranking4[[#This Row],[Rank (with ArcSinh normalization of select criteria)]],"")</f>
        <v/>
      </c>
      <c r="CA137" s="200" t="str">
        <f>IF(FMS_Ranking4[[#This Row],[FMS Type]]="Education and Outreach",FMS_Ranking4[[#This Row],[Rank (with ArcSinh normalization of select criteria)]],"")</f>
        <v/>
      </c>
      <c r="CB137" s="200" t="str">
        <f>IF(FMS_Ranking4[[#This Row],[FMS Type]]="Property Acquisition and Structural Elevation",FMS_Ranking4[[#This Row],[Rank (with ArcSinh normalization of select criteria)]],"")</f>
        <v/>
      </c>
      <c r="CC137" s="200" t="str">
        <f>IF(FMS_Ranking4[[#This Row],[FMS Type]]="Infrastructure Projects",FMS_Ranking4[[#This Row],[Rank (with ArcSinh normalization of select criteria)]],"")</f>
        <v/>
      </c>
      <c r="CD137" s="200">
        <f>IF(FMS_Ranking4[[#This Row],[FMS Type]]="Other",FMS_Ranking4[[#This Row],[Rank (with ArcSinh normalization of select criteria)]],"")</f>
        <v>130</v>
      </c>
      <c r="CE137" s="201"/>
    </row>
    <row r="138" spans="2:83" ht="60" x14ac:dyDescent="0.25">
      <c r="B138" s="341" t="s">
        <v>1768</v>
      </c>
      <c r="C138" s="246">
        <f>_xlfn.XLOOKUP(FMS_Ranking4[[#This Row],[FMS ID]],FMS_Input[FMS_ID],FMS_Input[RFPG_NUM])</f>
        <v>3</v>
      </c>
      <c r="D138" s="309" t="str">
        <f>_xlfn.XLOOKUP(FMS_Ranking4[[#This Row],[FMS ID]],FMS_Input[FMS_ID],FMS_Input[FMS_NAME])</f>
        <v>Anderson County Floodplain Acquisition and Preservation Program</v>
      </c>
      <c r="E138" s="308" t="str">
        <f>_xlfn.XLOOKUP(FMS_Ranking4[[#This Row],[FMS ID]],FMS_Input[FMS_ID],FMS_Input[SPONSOR])</f>
        <v>Anderson County</v>
      </c>
      <c r="F138" s="309" t="str">
        <f>_xlfn.XLOOKUP(FMS_Ranking4[[#This Row],[FMS ID]],Sponsor[FMS_ID],Sponsor[SPONSOR NAME])</f>
        <v>Anderson County</v>
      </c>
      <c r="G138" s="309" t="str">
        <f>_xlfn.XLOOKUP(FMS_Ranking4[[#This Row],[FMS ID]],FMS_Input[FMS_ID],FMS_Input[FMS_DESCR])</f>
        <v>Acquire and preserve open spaces adjacent to floodplain areas.</v>
      </c>
      <c r="H138" s="248" t="str">
        <f>_xlfn.XLOOKUP(FMS_Ranking4[[#This Row],[FMS ID]],FMS_Input[FMS_ID],FMS_Input[FMS_TYPE])</f>
        <v>Property Acquisition and Structural Elevation</v>
      </c>
      <c r="I138" s="249">
        <f>_xlfn.XLOOKUP(FMS_Ranking4[[#This Row],[FMS ID]],FMS_Input[FMS_ID],FMS_Input[NRNC_COST])</f>
        <v>500000</v>
      </c>
      <c r="J138" s="250">
        <f>_xlfn.XLOOKUP(FMS_Ranking4[[#This Row],[FMS ID]],FMS_Input[FMS_ID],FMS_Input[FMS_COST])</f>
        <v>5000000</v>
      </c>
      <c r="K138" s="251" t="str">
        <f>_xlfn.XLOOKUP(FMS_Ranking4[[#This Row],[FMS ID]],FMS_Input[FMS_ID],FMS_Input[EMER_NEED])</f>
        <v>No</v>
      </c>
      <c r="L138" s="252">
        <f t="shared" si="2"/>
        <v>0</v>
      </c>
      <c r="M138" s="253">
        <f>_xlfn.XLOOKUP(FMS_Ranking4[[#This Row],[FMS ID]],FMS_Input[FMS_ID],FMS_Input[STRUCT_100])</f>
        <v>667</v>
      </c>
      <c r="N138" s="255">
        <f>(ASINH(FMS_Ranking4[[#This Row],[Structure at Risk Raw]]))*(10)/(ASINH(M$4))</f>
        <v>5.6570785304233828</v>
      </c>
      <c r="O138" s="256">
        <f>FMS_Ranking4[[#This Row],[Structures at risk, ArcSinh (0-10)]]*M$5*10</f>
        <v>5.6570785304233828</v>
      </c>
      <c r="P138" s="253">
        <f>_xlfn.XLOOKUP(FMS_Ranking4[[#This Row],[FMS ID]],FMS_Input[FMS_ID],FMS_Input[RES_STRUCT100])</f>
        <v>416</v>
      </c>
      <c r="Q138" s="257">
        <f>ASINH(FMS_Ranking4[[#This Row],[Res Structure Raw]])/Q$4*P$5*100</f>
        <v>0</v>
      </c>
      <c r="R138" s="253">
        <f>_xlfn.XLOOKUP(FMS_Ranking4[[#This Row],[FMS ID]],FMS_Input[FMS_ID],FMS_Input[POP100])</f>
        <v>1098</v>
      </c>
      <c r="S138" s="259">
        <f>(ASINH(FMS_Ranking4[[#This Row],[Pop at Risk Raw]]))*(10)/(ASINH(R$4))</f>
        <v>5.3118874464421824</v>
      </c>
      <c r="T138" s="256">
        <f>FMS_Ranking4[[#This Row],[Population at risk, ArcSinh (0-10)]]*R$5*10</f>
        <v>5.3118874464421832</v>
      </c>
      <c r="U138" s="253">
        <f>_xlfn.XLOOKUP(FMS_Ranking4[[#This Row],[FMS ID]],FMS_Input[FMS_ID],FMS_Input[CRITFAC100])</f>
        <v>6</v>
      </c>
      <c r="V138" s="259">
        <f>(ASINH(FMS_Ranking4[[#This Row],[Critical Facilities Raw]]))*(10)/(ASINH(U$4))</f>
        <v>2.9496796311809068</v>
      </c>
      <c r="W138" s="256">
        <f>FMS_Ranking4[[#This Row],[Critical facilities at risk, ArcSinh (0-10)]]*U$5*10</f>
        <v>2.9496796311809073</v>
      </c>
      <c r="X138" s="253">
        <f>_xlfn.XLOOKUP(FMS_Ranking4[[#This Row],[FMS ID]],FMS_Input[FMS_ID],FMS_Input[LWC])</f>
        <v>6</v>
      </c>
      <c r="Y138" s="259">
        <f>(ASINH(FMS_Ranking4[[#This Row],[LWC Raw]]))*(10)/(ASINH(X$4))</f>
        <v>3.375708300798784</v>
      </c>
      <c r="Z138" s="256">
        <f>FMS_Ranking4[[#This Row],[LWC, ArcSInh (0-10)]]*X$5*10</f>
        <v>3.3757083007987845</v>
      </c>
      <c r="AA138" s="253">
        <f>_xlfn.XLOOKUP(FMS_Ranking4[[#This Row],[FMS ID]],FMS_Input[FMS_ID],FMS_Input[ROADCLS])</f>
        <v>0</v>
      </c>
      <c r="AB138" s="255">
        <f>(ASINH(FMS_Ranking4[[#This Row],[Road Closures Raw]]))*(10)/(ASINH(AA$4))</f>
        <v>0</v>
      </c>
      <c r="AC138" s="256">
        <f>FMS_Ranking4[[#This Row],[Road closures, ArcSinh (0-10)]]*AA$5*10</f>
        <v>0</v>
      </c>
      <c r="AD138" s="253">
        <f>_xlfn.XLOOKUP(FMS_Ranking4[[#This Row],[FMS ID]],FMS_Input[FMS_ID],FMS_Input[ROAD_MILES100])</f>
        <v>73</v>
      </c>
      <c r="AE138" s="259">
        <f>(ASINH(FMS_Ranking4[[#This Row],[Road Miles Raw]]))*(10)/(ASINH(AD$4))</f>
        <v>5.311203540700042</v>
      </c>
      <c r="AF138" s="256">
        <f>FMS_Ranking4[[#This Row],[Length of roads at risk, ArcSinh (0-10)]]*AD$5*10</f>
        <v>5.311203540700042</v>
      </c>
      <c r="AG138" s="253">
        <f>_xlfn.XLOOKUP(FMS_Ranking4[[#This Row],[FMS ID]],FMS_Input[FMS_ID],FMS_Input[FARMACRE100])</f>
        <v>36103.83984375</v>
      </c>
      <c r="AH138" s="255">
        <f>(ASINH(FMS_Ranking4[[#This Row],[Ag Land Raw]]))*(10)/(ASINH(AG$4))</f>
        <v>7.2670638670482877</v>
      </c>
      <c r="AI138" s="260">
        <f>FMS_Ranking4[[#This Row],[Farm &amp; ranch land, ArcSinh (0-10)]]*AG$5*10</f>
        <v>3.6335319335241438</v>
      </c>
      <c r="AJ138" s="258">
        <f>_xlfn.XLOOKUP(FMS_Ranking4[[#This Row],[FMS ID]],FMS_Input[FMS_ID],FMS_Input[REDSTRUCT100])</f>
        <v>0</v>
      </c>
      <c r="AK138" s="253">
        <f>_xlfn.XLOOKUP(FMS_Ranking4[[#This Row],[FMS ID]],FMS_Input[FMS_ID],FMS_Input[REMSTRC100])</f>
        <v>0</v>
      </c>
      <c r="AL138" s="259">
        <f>(ASINH(FMS_Ranking4[[#This Row],[Structures Removed Raw]]))*(10)/(ASINH(AK$4))</f>
        <v>0</v>
      </c>
      <c r="AM138" s="262">
        <f>FMS_Ranking4[[#This Row],[Structures removed, ArcSinh (0-10)]]*AK$5*10</f>
        <v>0</v>
      </c>
      <c r="AN138" s="253">
        <f>_xlfn.XLOOKUP(FMS_Ranking4[[#This Row],[FMS ID]],FMS_Input[FMS_ID],FMS_Input[REMRESSTRC100])</f>
        <v>0</v>
      </c>
      <c r="AO138" s="261">
        <f>FMS_Ranking4[[#This Row],[ArcSinh Res struct removed 0-10]]*AN$5*10</f>
        <v>0</v>
      </c>
      <c r="AP138" s="260">
        <f>ASINH(FMS_Ranking4[[#This Row],[Residential Structures Removed Raw]])/AP$4*AN$5*100</f>
        <v>0</v>
      </c>
      <c r="AQ138" s="254">
        <f>(ASINH(FMS_Ranking4[[#This Row],[Residential Structures Removed Raw]]))*(10)/(ASINH(AN$4))</f>
        <v>0</v>
      </c>
      <c r="AR138" s="253">
        <f>_xlfn.XLOOKUP(FMS_Ranking4[[#This Row],[FMS ID]],FMS_Input[FMS_ID],FMS_Input[REMPOP100])</f>
        <v>0</v>
      </c>
      <c r="AS138" s="259">
        <f>(ASINH(FMS_Ranking4[[#This Row],[Removed Pop Raw]]))*(10)/(ASINH(AR$4))</f>
        <v>0</v>
      </c>
      <c r="AT138" s="262">
        <f>FMS_Ranking4[[#This Row],[Removed population, ArcSinh (0-10)]]*AR$5*10</f>
        <v>0</v>
      </c>
      <c r="AU138" s="264">
        <f>_xlfn.XLOOKUP(FMS_Ranking4[[#This Row],[FMS ID]],FMS_Input[FMS_ID],FMS_Input[REMCRITFAC100])</f>
        <v>0</v>
      </c>
      <c r="AV138" s="264">
        <f>_xlfn.XLOOKUP(FMS_Ranking4[[#This Row],[FMS ID]],FMS_Input[FMS_ID],FMS_Input[REMLWC100])</f>
        <v>0</v>
      </c>
      <c r="AW138" s="264">
        <f>_xlfn.XLOOKUP(FMS_Ranking4[[#This Row],[FMS ID]],FMS_Input[FMS_ID],FMS_Input[REMROADCLS])</f>
        <v>0</v>
      </c>
      <c r="AX138" s="264">
        <f>_xlfn.XLOOKUP(FMS_Ranking4[[#This Row],[FMS ID]],FMS_Input[FMS_ID],FMS_Input[REMFRMACRE100])</f>
        <v>0</v>
      </c>
      <c r="AY138" s="258">
        <f>_xlfn.XLOOKUP(FMS_Ranking4[[#This Row],[FMS ID]],FMS_Input[FMS_ID],FMS_Input[COSTSTRUCT])</f>
        <v>0</v>
      </c>
      <c r="AZ138" s="253">
        <f>_xlfn.XLOOKUP(FMS_Ranking4[[#This Row],[FMS ID]],FMS_Input[FMS_ID],FMS_Input[NATURE])</f>
        <v>100</v>
      </c>
      <c r="BA138" s="262">
        <f>(((FMS_Ranking4[[#This Row],[% NBS Raw]]/AZ$4)*100)*AZ$5)</f>
        <v>7.5</v>
      </c>
      <c r="BB138" s="251" t="str">
        <f>_xlfn.XLOOKUP(FMS_Ranking4[[#This Row],[FMS ID]],FMS_Input[FMS_ID],FMS_Input[WATER_SUP])</f>
        <v>No</v>
      </c>
      <c r="BC138" s="265">
        <f>IF(FMS_Ranking4[[#This Row],[Water Supply Raw]]="Yes",10,0)</f>
        <v>0</v>
      </c>
      <c r="BD138" s="266">
        <f>_xlfn.XLOOKUP(FMS_Ranking4[[#This Row],[FMS Type]],FMS_TYPE[FMS_Type],FMS_TYPE[Score])</f>
        <v>4</v>
      </c>
      <c r="BE138" s="267">
        <f>FMS_Ranking4[[#This Row],[FMS_Type Score]]*$BD$5*10</f>
        <v>1</v>
      </c>
      <c r="BF13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0.34882659918244752</v>
      </c>
      <c r="BG138" s="269">
        <f>_xlfn.RANK.EQ(BF138,$BF$8:$BF$870,0)+COUNTIF($BF$8:BF138,BF138)-1</f>
        <v>274</v>
      </c>
      <c r="BH138" s="268">
        <f>(((FMS_Ranking4[[#This Row],[Structures Removed Raw]]/AK$4)*100)*AK$5)+(((FMS_Ranking4[[#This Row],[Removed Pop Raw]]/AR$4)*100)*AR$5)</f>
        <v>0</v>
      </c>
      <c r="BI13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8.8488265991824484</v>
      </c>
      <c r="BJ138" s="204">
        <f>_xlfn.RANK.EQ(FMS_Ranking4[[#This Row],[Total Score 
(with linear
normalization)]],FMS_Ranking4[Total Score 
(with linear
normalization)],0)</f>
        <v>64</v>
      </c>
      <c r="BK138" s="204" t="e">
        <f>_xlfn.XLOOKUP(FMS_Ranking4[[#This Row],[FMS ID]],#REF!,#REF!)</f>
        <v>#REF!</v>
      </c>
      <c r="BL138"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26.239089383069441</v>
      </c>
      <c r="BM138" s="270">
        <f>FMS_Ranking4[[#This Row],[ArcSinh Score Based on Normalized Reported Factors]]+FMS_Ranking4[[#This Row],[% NBS Score (Normalized)]]+(FMS_Ranking4[[#This Row],[Water Supply Score (Normalized)]]*10*$BB$5)+FMS_Ranking4[[#This Row],[FMS_Type Score Weighted]]</f>
        <v>34.739089383069441</v>
      </c>
      <c r="BN138" s="204">
        <f>_xlfn.RANK.EQ(FMS_Ranking4[[#This Row],[Total Score (with ArcSinh normalization of select criteria)]],FMS_Ranking4[Total Score (with ArcSinh normalization of select criteria)],0)</f>
        <v>131</v>
      </c>
      <c r="BO138" s="270" t="str">
        <f>_xlfn.XLOOKUP(FMS_Ranking4[[#This Row],[FMS ID]],FMS_Input[FMS_ID],FMS_Input[FMS_RANK_YEAR])</f>
        <v>2023 Amended Plan</v>
      </c>
      <c r="BP138" s="204">
        <f>_xlfn.XLOOKUP(FMS_Ranking4[[#This Row],[FMS ID]],Prev_Rank[FMS ID],Prev_Rank[Prev Rank])</f>
        <v>108</v>
      </c>
      <c r="BQ138" s="204" t="e">
        <f>_xlfn.XLOOKUP(FMS_Ranking4[[#This Row],[FMS ID]],#REF!,#REF!)</f>
        <v>#REF!</v>
      </c>
      <c r="BR138" s="199" t="e">
        <f>SUM(#REF!,#REF!,#REF!,#REF!,#REF!,#REF!,#REF!,#REF!,#REF!,FMS_Ranking4[[#This Row],[ArcSinh Res struct removed 0-10]],#REF!)</f>
        <v>#REF!</v>
      </c>
      <c r="BS138" s="199" t="e">
        <f>FMS_Ranking4[[#This Row],[Log Score Based on Normalized Reported Factors]]+FMS_Ranking4[[#This Row],[% NBS Score (Normalized)]]+(FMS_Ranking4[[#This Row],[Water Supply Score (Normalized)]]*10*$BB$5)+(FMS_Ranking4[[#This Row],[FMS_Type Score Weighted]])</f>
        <v>#REF!</v>
      </c>
      <c r="BT138" s="200" t="e">
        <f>_xlfn.RANK.EQ(FMS_Ranking4[[#This Row],[Log Total Score]],FMS_Ranking4[Log Total Score],0)</f>
        <v>#REF!</v>
      </c>
      <c r="BU138" s="200" t="e">
        <f>_xlfn.XLOOKUP(FMS_Ranking4[[#This Row],[FMS ID]],#REF!,#REF!)</f>
        <v>#REF!</v>
      </c>
      <c r="BV138" s="200">
        <f>FMS_Ranking4[[#This Row],[Region Number]]</f>
        <v>3</v>
      </c>
      <c r="BW138" s="200">
        <f>FMS_Ranking4[[#This Row],[Rank (with ArcSinh normalization of select criteria)]]-FMS_Ranking4[[#This Row],[Rank
(with linear
normalization)]]</f>
        <v>67</v>
      </c>
      <c r="BX138" s="200" t="e">
        <f>FMS_Ranking4[[#This Row],[Log Rank]]-FMS_Ranking4[[#This Row],[Rank
(with linear
normalization)]]</f>
        <v>#REF!</v>
      </c>
      <c r="BY138" s="200" t="str">
        <f>IF(FMS_Ranking4[[#This Row],[FMS Type]]="Flood Measurement and Warning",FMS_Ranking4[[#This Row],[Rank (with ArcSinh normalization of select criteria)]],"")</f>
        <v/>
      </c>
      <c r="BZ138" s="200" t="str">
        <f>IF(FMS_Ranking4[[#This Row],[FMS Type]]="Regulatory and Guidance",FMS_Ranking4[[#This Row],[Rank (with ArcSinh normalization of select criteria)]],"")</f>
        <v/>
      </c>
      <c r="CA138" s="200" t="str">
        <f>IF(FMS_Ranking4[[#This Row],[FMS Type]]="Education and Outreach",FMS_Ranking4[[#This Row],[Rank (with ArcSinh normalization of select criteria)]],"")</f>
        <v/>
      </c>
      <c r="CB138" s="200">
        <f>IF(FMS_Ranking4[[#This Row],[FMS Type]]="Property Acquisition and Structural Elevation",FMS_Ranking4[[#This Row],[Rank (with ArcSinh normalization of select criteria)]],"")</f>
        <v>131</v>
      </c>
      <c r="CC138" s="200" t="str">
        <f>IF(FMS_Ranking4[[#This Row],[FMS Type]]="Infrastructure Projects",FMS_Ranking4[[#This Row],[Rank (with ArcSinh normalization of select criteria)]],"")</f>
        <v/>
      </c>
      <c r="CD138" s="200" t="str">
        <f>IF(FMS_Ranking4[[#This Row],[FMS Type]]="Other",FMS_Ranking4[[#This Row],[Rank (with ArcSinh normalization of select criteria)]],"")</f>
        <v/>
      </c>
      <c r="CE138" s="201"/>
    </row>
    <row r="139" spans="2:83" ht="45" x14ac:dyDescent="0.25">
      <c r="B139" s="341" t="s">
        <v>1639</v>
      </c>
      <c r="C139" s="246">
        <f>_xlfn.XLOOKUP(FMS_Ranking4[[#This Row],[FMS ID]],FMS_Input[FMS_ID],FMS_Input[RFPG_NUM])</f>
        <v>2</v>
      </c>
      <c r="D139" s="309" t="str">
        <f>_xlfn.XLOOKUP(FMS_Ranking4[[#This Row],[FMS ID]],FMS_Input[FMS_ID],FMS_Input[FMS_NAME])</f>
        <v>Lamar County NFIP Involvement</v>
      </c>
      <c r="E139" s="308" t="str">
        <f>_xlfn.XLOOKUP(FMS_Ranking4[[#This Row],[FMS ID]],FMS_Input[FMS_ID],FMS_Input[SPONSOR])</f>
        <v>Lamar County</v>
      </c>
      <c r="F139" s="309" t="str">
        <f>_xlfn.XLOOKUP(FMS_Ranking4[[#This Row],[FMS ID]],Sponsor[FMS_ID],Sponsor[SPONSOR NAME])</f>
        <v>Lamar County</v>
      </c>
      <c r="G139" s="309" t="str">
        <f>_xlfn.XLOOKUP(FMS_Ranking4[[#This Row],[FMS ID]],FMS_Input[FMS_ID],FMS_Input[FMS_DESCR])</f>
        <v xml:space="preserve">Application to join NFIP or adoption of equivalent standards </v>
      </c>
      <c r="H139" s="248" t="str">
        <f>_xlfn.XLOOKUP(FMS_Ranking4[[#This Row],[FMS ID]],FMS_Input[FMS_ID],FMS_Input[FMS_TYPE])</f>
        <v>Regulatory and Guidance</v>
      </c>
      <c r="I139" s="249">
        <f>_xlfn.XLOOKUP(FMS_Ranking4[[#This Row],[FMS ID]],FMS_Input[FMS_ID],FMS_Input[NRNC_COST])</f>
        <v>100000</v>
      </c>
      <c r="J139" s="250">
        <f>_xlfn.XLOOKUP(FMS_Ranking4[[#This Row],[FMS ID]],FMS_Input[FMS_ID],FMS_Input[FMS_COST])</f>
        <v>100000</v>
      </c>
      <c r="K139" s="251" t="str">
        <f>_xlfn.XLOOKUP(FMS_Ranking4[[#This Row],[FMS ID]],FMS_Input[FMS_ID],FMS_Input[EMER_NEED])</f>
        <v>No</v>
      </c>
      <c r="L139" s="252">
        <f t="shared" si="2"/>
        <v>0</v>
      </c>
      <c r="M139" s="253">
        <f>_xlfn.XLOOKUP(FMS_Ranking4[[#This Row],[FMS ID]],FMS_Input[FMS_ID],FMS_Input[STRUCT_100])</f>
        <v>1644</v>
      </c>
      <c r="N139" s="255">
        <f>(ASINH(FMS_Ranking4[[#This Row],[Structure at Risk Raw]]))*(10)/(ASINH(M$4))</f>
        <v>6.3662611362239687</v>
      </c>
      <c r="O139" s="256">
        <f>FMS_Ranking4[[#This Row],[Structures at risk, ArcSinh (0-10)]]*M$5*10</f>
        <v>6.3662611362239696</v>
      </c>
      <c r="P139" s="253">
        <f>_xlfn.XLOOKUP(FMS_Ranking4[[#This Row],[FMS ID]],FMS_Input[FMS_ID],FMS_Input[RES_STRUCT100])</f>
        <v>1013</v>
      </c>
      <c r="Q139" s="257">
        <f>ASINH(FMS_Ranking4[[#This Row],[Res Structure Raw]])/Q$4*P$5*100</f>
        <v>0</v>
      </c>
      <c r="R139" s="253">
        <f>_xlfn.XLOOKUP(FMS_Ranking4[[#This Row],[FMS ID]],FMS_Input[FMS_ID],FMS_Input[POP100])</f>
        <v>5441</v>
      </c>
      <c r="S139" s="259">
        <f>(ASINH(FMS_Ranking4[[#This Row],[Pop at Risk Raw]]))*(10)/(ASINH(R$4))</f>
        <v>6.4167866689200208</v>
      </c>
      <c r="T139" s="256">
        <f>FMS_Ranking4[[#This Row],[Population at risk, ArcSinh (0-10)]]*R$5*10</f>
        <v>6.4167866689200217</v>
      </c>
      <c r="U139" s="253">
        <f>_xlfn.XLOOKUP(FMS_Ranking4[[#This Row],[FMS ID]],FMS_Input[FMS_ID],FMS_Input[CRITFAC100])</f>
        <v>33</v>
      </c>
      <c r="V139" s="259">
        <f>(ASINH(FMS_Ranking4[[#This Row],[Critical Facilities Raw]]))*(10)/(ASINH(U$4))</f>
        <v>4.959834698608681</v>
      </c>
      <c r="W139" s="256">
        <f>FMS_Ranking4[[#This Row],[Critical facilities at risk, ArcSinh (0-10)]]*U$5*10</f>
        <v>4.959834698608681</v>
      </c>
      <c r="X139" s="253">
        <f>_xlfn.XLOOKUP(FMS_Ranking4[[#This Row],[FMS ID]],FMS_Input[FMS_ID],FMS_Input[LWC])</f>
        <v>15</v>
      </c>
      <c r="Y139" s="259">
        <f>(ASINH(FMS_Ranking4[[#This Row],[LWC Raw]]))*(10)/(ASINH(X$4))</f>
        <v>4.6092333449203755</v>
      </c>
      <c r="Z139" s="256">
        <f>FMS_Ranking4[[#This Row],[LWC, ArcSInh (0-10)]]*X$5*10</f>
        <v>4.6092333449203764</v>
      </c>
      <c r="AA139" s="253">
        <f>_xlfn.XLOOKUP(FMS_Ranking4[[#This Row],[FMS ID]],FMS_Input[FMS_ID],FMS_Input[ROADCLS])</f>
        <v>0</v>
      </c>
      <c r="AB139" s="255">
        <f>(ASINH(FMS_Ranking4[[#This Row],[Road Closures Raw]]))*(10)/(ASINH(AA$4))</f>
        <v>0</v>
      </c>
      <c r="AC139" s="256">
        <f>FMS_Ranking4[[#This Row],[Road closures, ArcSinh (0-10)]]*AA$5*10</f>
        <v>0</v>
      </c>
      <c r="AD139" s="253">
        <f>_xlfn.XLOOKUP(FMS_Ranking4[[#This Row],[FMS ID]],FMS_Input[FMS_ID],FMS_Input[ROAD_MILES100])</f>
        <v>222</v>
      </c>
      <c r="AE139" s="259">
        <f>(ASINH(FMS_Ranking4[[#This Row],[Road Miles Raw]]))*(10)/(ASINH(AD$4))</f>
        <v>6.4964772804326953</v>
      </c>
      <c r="AF139" s="256">
        <f>FMS_Ranking4[[#This Row],[Length of roads at risk, ArcSinh (0-10)]]*AD$5*10</f>
        <v>6.4964772804326953</v>
      </c>
      <c r="AG139" s="253">
        <f>_xlfn.XLOOKUP(FMS_Ranking4[[#This Row],[FMS ID]],FMS_Input[FMS_ID],FMS_Input[FARMACRE100])</f>
        <v>42830.8984375</v>
      </c>
      <c r="AH139" s="255">
        <f>(ASINH(FMS_Ranking4[[#This Row],[Ag Land Raw]]))*(10)/(ASINH(AG$4))</f>
        <v>7.3780517087306619</v>
      </c>
      <c r="AI139" s="260">
        <f>FMS_Ranking4[[#This Row],[Farm &amp; ranch land, ArcSinh (0-10)]]*AG$5*10</f>
        <v>3.6890258543653309</v>
      </c>
      <c r="AJ139" s="258">
        <f>_xlfn.XLOOKUP(FMS_Ranking4[[#This Row],[FMS ID]],FMS_Input[FMS_ID],FMS_Input[REDSTRUCT100])</f>
        <v>0</v>
      </c>
      <c r="AK139" s="253">
        <f>_xlfn.XLOOKUP(FMS_Ranking4[[#This Row],[FMS ID]],FMS_Input[FMS_ID],FMS_Input[REMSTRC100])</f>
        <v>0</v>
      </c>
      <c r="AL139" s="259">
        <f>(ASINH(FMS_Ranking4[[#This Row],[Structures Removed Raw]]))*(10)/(ASINH(AK$4))</f>
        <v>0</v>
      </c>
      <c r="AM139" s="262">
        <f>FMS_Ranking4[[#This Row],[Structures removed, ArcSinh (0-10)]]*AK$5*10</f>
        <v>0</v>
      </c>
      <c r="AN139" s="253">
        <f>_xlfn.XLOOKUP(FMS_Ranking4[[#This Row],[FMS ID]],FMS_Input[FMS_ID],FMS_Input[REMRESSTRC100])</f>
        <v>0</v>
      </c>
      <c r="AO139" s="261">
        <f>FMS_Ranking4[[#This Row],[ArcSinh Res struct removed 0-10]]*AN$5*10</f>
        <v>0</v>
      </c>
      <c r="AP139" s="260">
        <f>ASINH(FMS_Ranking4[[#This Row],[Residential Structures Removed Raw]])/AP$4*AN$5*100</f>
        <v>0</v>
      </c>
      <c r="AQ139" s="254">
        <f>(ASINH(FMS_Ranking4[[#This Row],[Residential Structures Removed Raw]]))*(10)/(ASINH(AN$4))</f>
        <v>0</v>
      </c>
      <c r="AR139" s="253">
        <f>_xlfn.XLOOKUP(FMS_Ranking4[[#This Row],[FMS ID]],FMS_Input[FMS_ID],FMS_Input[REMPOP100])</f>
        <v>0</v>
      </c>
      <c r="AS139" s="259">
        <f>(ASINH(FMS_Ranking4[[#This Row],[Removed Pop Raw]]))*(10)/(ASINH(AR$4))</f>
        <v>0</v>
      </c>
      <c r="AT139" s="262">
        <f>FMS_Ranking4[[#This Row],[Removed population, ArcSinh (0-10)]]*AR$5*10</f>
        <v>0</v>
      </c>
      <c r="AU139" s="264">
        <f>_xlfn.XLOOKUP(FMS_Ranking4[[#This Row],[FMS ID]],FMS_Input[FMS_ID],FMS_Input[REMCRITFAC100])</f>
        <v>0</v>
      </c>
      <c r="AV139" s="264">
        <f>_xlfn.XLOOKUP(FMS_Ranking4[[#This Row],[FMS ID]],FMS_Input[FMS_ID],FMS_Input[REMLWC100])</f>
        <v>0</v>
      </c>
      <c r="AW139" s="264">
        <f>_xlfn.XLOOKUP(FMS_Ranking4[[#This Row],[FMS ID]],FMS_Input[FMS_ID],FMS_Input[REMROADCLS])</f>
        <v>0</v>
      </c>
      <c r="AX139" s="264">
        <f>_xlfn.XLOOKUP(FMS_Ranking4[[#This Row],[FMS ID]],FMS_Input[FMS_ID],FMS_Input[REMFRMACRE100])</f>
        <v>0</v>
      </c>
      <c r="AY139" s="258">
        <f>_xlfn.XLOOKUP(FMS_Ranking4[[#This Row],[FMS ID]],FMS_Input[FMS_ID],FMS_Input[COSTSTRUCT])</f>
        <v>0</v>
      </c>
      <c r="AZ139" s="253">
        <f>_xlfn.XLOOKUP(FMS_Ranking4[[#This Row],[FMS ID]],FMS_Input[FMS_ID],FMS_Input[NATURE])</f>
        <v>0</v>
      </c>
      <c r="BA139" s="262">
        <f>(((FMS_Ranking4[[#This Row],[% NBS Raw]]/AZ$4)*100)*AZ$5)</f>
        <v>0</v>
      </c>
      <c r="BB139" s="251" t="str">
        <f>_xlfn.XLOOKUP(FMS_Ranking4[[#This Row],[FMS ID]],FMS_Input[FMS_ID],FMS_Input[WATER_SUP])</f>
        <v>No</v>
      </c>
      <c r="BC139" s="265">
        <f>IF(FMS_Ranking4[[#This Row],[Water Supply Raw]]="Yes",10,0)</f>
        <v>0</v>
      </c>
      <c r="BD139" s="266">
        <f>_xlfn.XLOOKUP(FMS_Ranking4[[#This Row],[FMS Type]],FMS_TYPE[FMS_Type],FMS_TYPE[Score])</f>
        <v>8</v>
      </c>
      <c r="BE139" s="267">
        <f>FMS_Ranking4[[#This Row],[FMS_Type Score]]*$BD$5*10</f>
        <v>2</v>
      </c>
      <c r="BF13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0.94411333318969537</v>
      </c>
      <c r="BG139" s="271">
        <f>_xlfn.RANK.EQ(BF139,$BF$8:$BF$870,0)+COUNTIF($BF$8:BF139,BF139)-1</f>
        <v>148</v>
      </c>
      <c r="BH139" s="268">
        <f>(((FMS_Ranking4[[#This Row],[Structures Removed Raw]]/AK$4)*100)*AK$5)+(((FMS_Ranking4[[#This Row],[Removed Pop Raw]]/AR$4)*100)*AR$5)</f>
        <v>0</v>
      </c>
      <c r="BI13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2.9441133331896951</v>
      </c>
      <c r="BJ139" s="205">
        <f>_xlfn.RANK.EQ(FMS_Ranking4[[#This Row],[Total Score 
(with linear
normalization)]],FMS_Ranking4[Total Score 
(with linear
normalization)],0)</f>
        <v>182</v>
      </c>
      <c r="BK139" s="205" t="e">
        <f>_xlfn.XLOOKUP(FMS_Ranking4[[#This Row],[FMS ID]],#REF!,#REF!)</f>
        <v>#REF!</v>
      </c>
      <c r="BL13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32.537618983471077</v>
      </c>
      <c r="BM139" s="272">
        <f>FMS_Ranking4[[#This Row],[ArcSinh Score Based on Normalized Reported Factors]]+FMS_Ranking4[[#This Row],[% NBS Score (Normalized)]]+(FMS_Ranking4[[#This Row],[Water Supply Score (Normalized)]]*10*$BB$5)+FMS_Ranking4[[#This Row],[FMS_Type Score Weighted]]</f>
        <v>34.537618983471077</v>
      </c>
      <c r="BN139" s="205">
        <f>_xlfn.RANK.EQ(FMS_Ranking4[[#This Row],[Total Score (with ArcSinh normalization of select criteria)]],FMS_Ranking4[Total Score (with ArcSinh normalization of select criteria)],0)</f>
        <v>132</v>
      </c>
      <c r="BO139" s="270" t="str">
        <f>_xlfn.XLOOKUP(FMS_Ranking4[[#This Row],[FMS ID]],FMS_Input[FMS_ID],FMS_Input[FMS_RANK_YEAR])</f>
        <v>2023 Amended Plan</v>
      </c>
      <c r="BP139" s="204">
        <f>_xlfn.XLOOKUP(FMS_Ranking4[[#This Row],[FMS ID]],Prev_Rank[FMS ID],Prev_Rank[Prev Rank])</f>
        <v>112</v>
      </c>
      <c r="BQ139" s="205" t="e">
        <f>_xlfn.XLOOKUP(FMS_Ranking4[[#This Row],[FMS ID]],#REF!,#REF!)</f>
        <v>#REF!</v>
      </c>
      <c r="BR139" s="199" t="e">
        <f>SUM(#REF!,#REF!,#REF!,#REF!,#REF!,#REF!,#REF!,#REF!,#REF!,FMS_Ranking4[[#This Row],[ArcSinh Res struct removed 0-10]],#REF!)</f>
        <v>#REF!</v>
      </c>
      <c r="BS139" s="199" t="e">
        <f>FMS_Ranking4[[#This Row],[Log Score Based on Normalized Reported Factors]]+FMS_Ranking4[[#This Row],[% NBS Score (Normalized)]]+(FMS_Ranking4[[#This Row],[Water Supply Score (Normalized)]]*10*$BB$5)+(FMS_Ranking4[[#This Row],[FMS_Type Score Weighted]])</f>
        <v>#REF!</v>
      </c>
      <c r="BT139" s="200" t="e">
        <f>_xlfn.RANK.EQ(FMS_Ranking4[[#This Row],[Log Total Score]],FMS_Ranking4[Log Total Score],0)</f>
        <v>#REF!</v>
      </c>
      <c r="BU139" s="200" t="e">
        <f>_xlfn.XLOOKUP(FMS_Ranking4[[#This Row],[FMS ID]],#REF!,#REF!)</f>
        <v>#REF!</v>
      </c>
      <c r="BV139" s="200">
        <f>FMS_Ranking4[[#This Row],[Region Number]]</f>
        <v>2</v>
      </c>
      <c r="BW139" s="200">
        <f>FMS_Ranking4[[#This Row],[Rank (with ArcSinh normalization of select criteria)]]-FMS_Ranking4[[#This Row],[Rank
(with linear
normalization)]]</f>
        <v>-50</v>
      </c>
      <c r="BX139" s="200" t="e">
        <f>FMS_Ranking4[[#This Row],[Log Rank]]-FMS_Ranking4[[#This Row],[Rank
(with linear
normalization)]]</f>
        <v>#REF!</v>
      </c>
      <c r="BY139" s="200" t="str">
        <f>IF(FMS_Ranking4[[#This Row],[FMS Type]]="Flood Measurement and Warning",FMS_Ranking4[[#This Row],[Rank (with ArcSinh normalization of select criteria)]],"")</f>
        <v/>
      </c>
      <c r="BZ139" s="200">
        <f>IF(FMS_Ranking4[[#This Row],[FMS Type]]="Regulatory and Guidance",FMS_Ranking4[[#This Row],[Rank (with ArcSinh normalization of select criteria)]],"")</f>
        <v>132</v>
      </c>
      <c r="CA139" s="200" t="str">
        <f>IF(FMS_Ranking4[[#This Row],[FMS Type]]="Education and Outreach",FMS_Ranking4[[#This Row],[Rank (with ArcSinh normalization of select criteria)]],"")</f>
        <v/>
      </c>
      <c r="CB139" s="200" t="str">
        <f>IF(FMS_Ranking4[[#This Row],[FMS Type]]="Property Acquisition and Structural Elevation",FMS_Ranking4[[#This Row],[Rank (with ArcSinh normalization of select criteria)]],"")</f>
        <v/>
      </c>
      <c r="CC139" s="200" t="str">
        <f>IF(FMS_Ranking4[[#This Row],[FMS Type]]="Infrastructure Projects",FMS_Ranking4[[#This Row],[Rank (with ArcSinh normalization of select criteria)]],"")</f>
        <v/>
      </c>
      <c r="CD139" s="200" t="str">
        <f>IF(FMS_Ranking4[[#This Row],[FMS Type]]="Other",FMS_Ranking4[[#This Row],[Rank (with ArcSinh normalization of select criteria)]],"")</f>
        <v/>
      </c>
      <c r="CE139" s="201"/>
    </row>
    <row r="140" spans="2:83" ht="120" x14ac:dyDescent="0.25">
      <c r="B140" s="341" t="s">
        <v>103</v>
      </c>
      <c r="C140" s="246">
        <f>_xlfn.XLOOKUP(FMS_Ranking4[[#This Row],[FMS ID]],FMS_Input[FMS_ID],FMS_Input[RFPG_NUM])</f>
        <v>6</v>
      </c>
      <c r="D140" s="309" t="str">
        <f>_xlfn.XLOOKUP(FMS_Ranking4[[#This Row],[FMS ID]],FMS_Input[FMS_ID],FMS_Input[FMS_NAME])</f>
        <v>Brazoria County Non-structural Mitigation / Land Preservation</v>
      </c>
      <c r="E140" s="308" t="str">
        <f>_xlfn.XLOOKUP(FMS_Ranking4[[#This Row],[FMS ID]],FMS_Input[FMS_ID],FMS_Input[SPONSOR])</f>
        <v>00000003</v>
      </c>
      <c r="F140" s="309" t="str">
        <f>_xlfn.XLOOKUP(FMS_Ranking4[[#This Row],[FMS ID]],Sponsor[FMS_ID],Sponsor[SPONSOR NAME])</f>
        <v>Brazoria</v>
      </c>
      <c r="G140" s="309" t="str">
        <f>_xlfn.XLOOKUP(FMS_Ranking4[[#This Row],[FMS ID]],FMS_Input[FMS_ID],FMS_Input[FMS_DESCR])</f>
        <v xml:space="preserve">Up to 35,0000 acres of land could be purchased to help reduce the impacts of natrual hazards by converting the space to floodwater storage, groundwater recharge, erosion, drought mitigation, in the form of public green space. </v>
      </c>
      <c r="H140" s="248" t="str">
        <f>_xlfn.XLOOKUP(FMS_Ranking4[[#This Row],[FMS ID]],FMS_Input[FMS_ID],FMS_Input[FMS_TYPE])</f>
        <v>Property Acquisition and Structural Elevation</v>
      </c>
      <c r="I140" s="249">
        <f>_xlfn.XLOOKUP(FMS_Ranking4[[#This Row],[FMS ID]],FMS_Input[FMS_ID],FMS_Input[NRNC_COST])</f>
        <v>3250000</v>
      </c>
      <c r="J140" s="250">
        <f>_xlfn.XLOOKUP(FMS_Ranking4[[#This Row],[FMS ID]],FMS_Input[FMS_ID],FMS_Input[FMS_COST])</f>
        <v>65000000</v>
      </c>
      <c r="K140" s="251" t="str">
        <f>_xlfn.XLOOKUP(FMS_Ranking4[[#This Row],[FMS ID]],FMS_Input[FMS_ID],FMS_Input[EMER_NEED])</f>
        <v>Yes</v>
      </c>
      <c r="L140" s="252">
        <f t="shared" si="2"/>
        <v>1</v>
      </c>
      <c r="M140" s="253">
        <f>_xlfn.XLOOKUP(FMS_Ranking4[[#This Row],[FMS ID]],FMS_Input[FMS_ID],FMS_Input[STRUCT_100])</f>
        <v>18848</v>
      </c>
      <c r="N140" s="255">
        <f>(ASINH(FMS_Ranking4[[#This Row],[Structure at Risk Raw]]))*(10)/(ASINH(M$4))</f>
        <v>8.2838940218198047</v>
      </c>
      <c r="O140" s="256">
        <f>FMS_Ranking4[[#This Row],[Structures at risk, ArcSinh (0-10)]]*M$5*10</f>
        <v>8.2838940218198047</v>
      </c>
      <c r="P140" s="253">
        <f>_xlfn.XLOOKUP(FMS_Ranking4[[#This Row],[FMS ID]],FMS_Input[FMS_ID],FMS_Input[RES_STRUCT100])</f>
        <v>14344</v>
      </c>
      <c r="Q140" s="257">
        <f>ASINH(FMS_Ranking4[[#This Row],[Res Structure Raw]])/Q$4*P$5*100</f>
        <v>0</v>
      </c>
      <c r="R140" s="253">
        <f>_xlfn.XLOOKUP(FMS_Ranking4[[#This Row],[FMS ID]],FMS_Input[FMS_ID],FMS_Input[POP100])</f>
        <v>38626</v>
      </c>
      <c r="S140" s="259">
        <f>(ASINH(FMS_Ranking4[[#This Row],[Pop at Risk Raw]]))*(10)/(ASINH(R$4))</f>
        <v>7.7698630595792482</v>
      </c>
      <c r="T140" s="256">
        <f>FMS_Ranking4[[#This Row],[Population at risk, ArcSinh (0-10)]]*R$5*10</f>
        <v>7.7698630595792482</v>
      </c>
      <c r="U140" s="253">
        <f>_xlfn.XLOOKUP(FMS_Ranking4[[#This Row],[FMS ID]],FMS_Input[FMS_ID],FMS_Input[CRITFAC100])</f>
        <v>248</v>
      </c>
      <c r="V140" s="259">
        <f>(ASINH(FMS_Ranking4[[#This Row],[Critical Facilities Raw]]))*(10)/(ASINH(U$4))</f>
        <v>7.3471268180936828</v>
      </c>
      <c r="W140" s="256">
        <f>FMS_Ranking4[[#This Row],[Critical facilities at risk, ArcSinh (0-10)]]*U$5*10</f>
        <v>7.3471268180936828</v>
      </c>
      <c r="X140" s="253">
        <f>_xlfn.XLOOKUP(FMS_Ranking4[[#This Row],[FMS ID]],FMS_Input[FMS_ID],FMS_Input[LWC])</f>
        <v>0</v>
      </c>
      <c r="Y140" s="259">
        <f>(ASINH(FMS_Ranking4[[#This Row],[LWC Raw]]))*(10)/(ASINH(X$4))</f>
        <v>0</v>
      </c>
      <c r="Z140" s="256">
        <f>FMS_Ranking4[[#This Row],[LWC, ArcSInh (0-10)]]*X$5*10</f>
        <v>0</v>
      </c>
      <c r="AA140" s="253">
        <f>_xlfn.XLOOKUP(FMS_Ranking4[[#This Row],[FMS ID]],FMS_Input[FMS_ID],FMS_Input[ROADCLS])</f>
        <v>0</v>
      </c>
      <c r="AB140" s="255">
        <f>(ASINH(FMS_Ranking4[[#This Row],[Road Closures Raw]]))*(10)/(ASINH(AA$4))</f>
        <v>0</v>
      </c>
      <c r="AC140" s="256">
        <f>FMS_Ranking4[[#This Row],[Road closures, ArcSinh (0-10)]]*AA$5*10</f>
        <v>0</v>
      </c>
      <c r="AD140" s="253">
        <f>_xlfn.XLOOKUP(FMS_Ranking4[[#This Row],[FMS ID]],FMS_Input[FMS_ID],FMS_Input[ROAD_MILES100])</f>
        <v>328</v>
      </c>
      <c r="AE140" s="259">
        <f>(ASINH(FMS_Ranking4[[#This Row],[Road Miles Raw]]))*(10)/(ASINH(AD$4))</f>
        <v>6.9124653774240032</v>
      </c>
      <c r="AF140" s="256">
        <f>FMS_Ranking4[[#This Row],[Length of roads at risk, ArcSinh (0-10)]]*AD$5*10</f>
        <v>6.9124653774240041</v>
      </c>
      <c r="AG140" s="253">
        <f>_xlfn.XLOOKUP(FMS_Ranking4[[#This Row],[FMS ID]],FMS_Input[FMS_ID],FMS_Input[FARMACRE100])</f>
        <v>8584.16015625</v>
      </c>
      <c r="AH140" s="255">
        <f>(ASINH(FMS_Ranking4[[#This Row],[Ag Land Raw]]))*(10)/(ASINH(AG$4))</f>
        <v>6.333952713812689</v>
      </c>
      <c r="AI140" s="260">
        <f>FMS_Ranking4[[#This Row],[Farm &amp; ranch land, ArcSinh (0-10)]]*AG$5*10</f>
        <v>3.1669763569063445</v>
      </c>
      <c r="AJ140" s="258">
        <f>_xlfn.XLOOKUP(FMS_Ranking4[[#This Row],[FMS ID]],FMS_Input[FMS_ID],FMS_Input[REDSTRUCT100])</f>
        <v>0</v>
      </c>
      <c r="AK140" s="253">
        <f>_xlfn.XLOOKUP(FMS_Ranking4[[#This Row],[FMS ID]],FMS_Input[FMS_ID],FMS_Input[REMSTRC100])</f>
        <v>0</v>
      </c>
      <c r="AL140" s="259">
        <f>(ASINH(FMS_Ranking4[[#This Row],[Structures Removed Raw]]))*(10)/(ASINH(AK$4))</f>
        <v>0</v>
      </c>
      <c r="AM140" s="262">
        <f>FMS_Ranking4[[#This Row],[Structures removed, ArcSinh (0-10)]]*AK$5*10</f>
        <v>0</v>
      </c>
      <c r="AN140" s="253">
        <f>_xlfn.XLOOKUP(FMS_Ranking4[[#This Row],[FMS ID]],FMS_Input[FMS_ID],FMS_Input[REMRESSTRC100])</f>
        <v>0</v>
      </c>
      <c r="AO140" s="261">
        <f>FMS_Ranking4[[#This Row],[ArcSinh Res struct removed 0-10]]*AN$5*10</f>
        <v>0</v>
      </c>
      <c r="AP140" s="260">
        <f>ASINH(FMS_Ranking4[[#This Row],[Residential Structures Removed Raw]])/AP$4*AN$5*100</f>
        <v>0</v>
      </c>
      <c r="AQ140" s="254">
        <f>(ASINH(FMS_Ranking4[[#This Row],[Residential Structures Removed Raw]]))*(10)/(ASINH(AN$4))</f>
        <v>0</v>
      </c>
      <c r="AR140" s="253">
        <f>_xlfn.XLOOKUP(FMS_Ranking4[[#This Row],[FMS ID]],FMS_Input[FMS_ID],FMS_Input[REMPOP100])</f>
        <v>0</v>
      </c>
      <c r="AS140" s="259">
        <f>(ASINH(FMS_Ranking4[[#This Row],[Removed Pop Raw]]))*(10)/(ASINH(AR$4))</f>
        <v>0</v>
      </c>
      <c r="AT140" s="262">
        <f>FMS_Ranking4[[#This Row],[Removed population, ArcSinh (0-10)]]*AR$5*10</f>
        <v>0</v>
      </c>
      <c r="AU140" s="264">
        <f>_xlfn.XLOOKUP(FMS_Ranking4[[#This Row],[FMS ID]],FMS_Input[FMS_ID],FMS_Input[REMCRITFAC100])</f>
        <v>0</v>
      </c>
      <c r="AV140" s="264">
        <f>_xlfn.XLOOKUP(FMS_Ranking4[[#This Row],[FMS ID]],FMS_Input[FMS_ID],FMS_Input[REMLWC100])</f>
        <v>0</v>
      </c>
      <c r="AW140" s="264">
        <f>_xlfn.XLOOKUP(FMS_Ranking4[[#This Row],[FMS ID]],FMS_Input[FMS_ID],FMS_Input[REMROADCLS])</f>
        <v>0</v>
      </c>
      <c r="AX140" s="264">
        <f>_xlfn.XLOOKUP(FMS_Ranking4[[#This Row],[FMS ID]],FMS_Input[FMS_ID],FMS_Input[REMFRMACRE100])</f>
        <v>0</v>
      </c>
      <c r="AY140" s="258">
        <f>_xlfn.XLOOKUP(FMS_Ranking4[[#This Row],[FMS ID]],FMS_Input[FMS_ID],FMS_Input[COSTSTRUCT])</f>
        <v>0</v>
      </c>
      <c r="AZ140" s="253">
        <f>_xlfn.XLOOKUP(FMS_Ranking4[[#This Row],[FMS ID]],FMS_Input[FMS_ID],FMS_Input[NATURE])</f>
        <v>0</v>
      </c>
      <c r="BA140" s="262">
        <f>(((FMS_Ranking4[[#This Row],[% NBS Raw]]/AZ$4)*100)*AZ$5)</f>
        <v>0</v>
      </c>
      <c r="BB140" s="251" t="str">
        <f>_xlfn.XLOOKUP(FMS_Ranking4[[#This Row],[FMS ID]],FMS_Input[FMS_ID],FMS_Input[WATER_SUP])</f>
        <v>No</v>
      </c>
      <c r="BC140" s="265">
        <f>IF(FMS_Ranking4[[#This Row],[Water Supply Raw]]="Yes",10,0)</f>
        <v>0</v>
      </c>
      <c r="BD140" s="266">
        <f>_xlfn.XLOOKUP(FMS_Ranking4[[#This Row],[FMS Type]],FMS_TYPE[FMS_Type],FMS_TYPE[Score])</f>
        <v>4</v>
      </c>
      <c r="BE140" s="267">
        <f>FMS_Ranking4[[#This Row],[FMS_Type Score]]*$BD$5*10</f>
        <v>1</v>
      </c>
      <c r="BF14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3.1555059929704496</v>
      </c>
      <c r="BG140" s="271">
        <f>_xlfn.RANK.EQ(BF140,$BF$8:$BF$870,0)+COUNTIF($BF$8:BF140,BF140)-1</f>
        <v>84</v>
      </c>
      <c r="BH140" s="268">
        <f>(((FMS_Ranking4[[#This Row],[Structures Removed Raw]]/AK$4)*100)*AK$5)+(((FMS_Ranking4[[#This Row],[Removed Pop Raw]]/AR$4)*100)*AR$5)</f>
        <v>0</v>
      </c>
      <c r="BI14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4.1555059929704496</v>
      </c>
      <c r="BJ140" s="205">
        <f>_xlfn.RANK.EQ(FMS_Ranking4[[#This Row],[Total Score 
(with linear
normalization)]],FMS_Ranking4[Total Score 
(with linear
normalization)],0)</f>
        <v>133</v>
      </c>
      <c r="BK140" s="205" t="e">
        <f>_xlfn.XLOOKUP(FMS_Ranking4[[#This Row],[FMS ID]],#REF!,#REF!)</f>
        <v>#REF!</v>
      </c>
      <c r="BL14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33.480325633823085</v>
      </c>
      <c r="BM140" s="272">
        <f>FMS_Ranking4[[#This Row],[ArcSinh Score Based on Normalized Reported Factors]]+FMS_Ranking4[[#This Row],[% NBS Score (Normalized)]]+(FMS_Ranking4[[#This Row],[Water Supply Score (Normalized)]]*10*$BB$5)+FMS_Ranking4[[#This Row],[FMS_Type Score Weighted]]</f>
        <v>34.480325633823085</v>
      </c>
      <c r="BN140" s="205">
        <f>_xlfn.RANK.EQ(FMS_Ranking4[[#This Row],[Total Score (with ArcSinh normalization of select criteria)]],FMS_Ranking4[Total Score (with ArcSinh normalization of select criteria)],0)</f>
        <v>133</v>
      </c>
      <c r="BO140" s="270" t="str">
        <f>_xlfn.XLOOKUP(FMS_Ranking4[[#This Row],[FMS ID]],FMS_Input[FMS_ID],FMS_Input[FMS_RANK_YEAR])</f>
        <v>2023 Amended Plan</v>
      </c>
      <c r="BP140" s="204">
        <f>_xlfn.XLOOKUP(FMS_Ranking4[[#This Row],[FMS ID]],Prev_Rank[FMS ID],Prev_Rank[Prev Rank])</f>
        <v>109</v>
      </c>
      <c r="BQ140" s="205" t="e">
        <f>_xlfn.XLOOKUP(FMS_Ranking4[[#This Row],[FMS ID]],#REF!,#REF!)</f>
        <v>#REF!</v>
      </c>
      <c r="BR140" s="199" t="e">
        <f>SUM(#REF!,#REF!,#REF!,#REF!,#REF!,#REF!,#REF!,#REF!,#REF!,FMS_Ranking4[[#This Row],[ArcSinh Res struct removed 0-10]],#REF!)</f>
        <v>#REF!</v>
      </c>
      <c r="BS140" s="199" t="e">
        <f>FMS_Ranking4[[#This Row],[Log Score Based on Normalized Reported Factors]]+FMS_Ranking4[[#This Row],[% NBS Score (Normalized)]]+(FMS_Ranking4[[#This Row],[Water Supply Score (Normalized)]]*10*$BB$5)+(FMS_Ranking4[[#This Row],[FMS_Type Score Weighted]])</f>
        <v>#REF!</v>
      </c>
      <c r="BT140" s="200" t="e">
        <f>_xlfn.RANK.EQ(FMS_Ranking4[[#This Row],[Log Total Score]],FMS_Ranking4[Log Total Score],0)</f>
        <v>#REF!</v>
      </c>
      <c r="BU140" s="200" t="e">
        <f>_xlfn.XLOOKUP(FMS_Ranking4[[#This Row],[FMS ID]],#REF!,#REF!)</f>
        <v>#REF!</v>
      </c>
      <c r="BV140" s="200">
        <f>FMS_Ranking4[[#This Row],[Region Number]]</f>
        <v>6</v>
      </c>
      <c r="BW140" s="200">
        <f>FMS_Ranking4[[#This Row],[Rank (with ArcSinh normalization of select criteria)]]-FMS_Ranking4[[#This Row],[Rank
(with linear
normalization)]]</f>
        <v>0</v>
      </c>
      <c r="BX140" s="200" t="e">
        <f>FMS_Ranking4[[#This Row],[Log Rank]]-FMS_Ranking4[[#This Row],[Rank
(with linear
normalization)]]</f>
        <v>#REF!</v>
      </c>
      <c r="BY140" s="200" t="str">
        <f>IF(FMS_Ranking4[[#This Row],[FMS Type]]="Flood Measurement and Warning",FMS_Ranking4[[#This Row],[Rank (with ArcSinh normalization of select criteria)]],"")</f>
        <v/>
      </c>
      <c r="BZ140" s="200" t="str">
        <f>IF(FMS_Ranking4[[#This Row],[FMS Type]]="Regulatory and Guidance",FMS_Ranking4[[#This Row],[Rank (with ArcSinh normalization of select criteria)]],"")</f>
        <v/>
      </c>
      <c r="CA140" s="200" t="str">
        <f>IF(FMS_Ranking4[[#This Row],[FMS Type]]="Education and Outreach",FMS_Ranking4[[#This Row],[Rank (with ArcSinh normalization of select criteria)]],"")</f>
        <v/>
      </c>
      <c r="CB140" s="200">
        <f>IF(FMS_Ranking4[[#This Row],[FMS Type]]="Property Acquisition and Structural Elevation",FMS_Ranking4[[#This Row],[Rank (with ArcSinh normalization of select criteria)]],"")</f>
        <v>133</v>
      </c>
      <c r="CC140" s="200" t="str">
        <f>IF(FMS_Ranking4[[#This Row],[FMS Type]]="Infrastructure Projects",FMS_Ranking4[[#This Row],[Rank (with ArcSinh normalization of select criteria)]],"")</f>
        <v/>
      </c>
      <c r="CD140" s="200" t="str">
        <f>IF(FMS_Ranking4[[#This Row],[FMS Type]]="Other",FMS_Ranking4[[#This Row],[Rank (with ArcSinh normalization of select criteria)]],"")</f>
        <v/>
      </c>
      <c r="CE140" s="201"/>
    </row>
    <row r="141" spans="2:83" ht="135" x14ac:dyDescent="0.25">
      <c r="B141" s="341" t="s">
        <v>101</v>
      </c>
      <c r="C141" s="246">
        <f>_xlfn.XLOOKUP(FMS_Ranking4[[#This Row],[FMS ID]],FMS_Input[FMS_ID],FMS_Input[RFPG_NUM])</f>
        <v>6</v>
      </c>
      <c r="D141" s="309" t="str">
        <f>_xlfn.XLOOKUP(FMS_Ranking4[[#This Row],[FMS ID]],FMS_Input[FMS_ID],FMS_Input[FMS_NAME])</f>
        <v xml:space="preserve">Brazoria County Structure Elevation </v>
      </c>
      <c r="E141" s="308" t="str">
        <f>_xlfn.XLOOKUP(FMS_Ranking4[[#This Row],[FMS ID]],FMS_Input[FMS_ID],FMS_Input[SPONSOR])</f>
        <v>00000003</v>
      </c>
      <c r="F141" s="309" t="str">
        <f>_xlfn.XLOOKUP(FMS_Ranking4[[#This Row],[FMS ID]],Sponsor[FMS_ID],Sponsor[SPONSOR NAME])</f>
        <v>Brazoria</v>
      </c>
      <c r="G141" s="309" t="str">
        <f>_xlfn.XLOOKUP(FMS_Ranking4[[#This Row],[FMS ID]],FMS_Input[FMS_ID],FMS_Input[FMS_DESCR])</f>
        <v>Elevate structures in flood zone. Over 70% of these structures are pre-firm and do not meet current FEMA elevation standards. FEMA estimates that over 400 structures may be substantially damaged and must be elevated to meet current standards.</v>
      </c>
      <c r="H141" s="248" t="str">
        <f>_xlfn.XLOOKUP(FMS_Ranking4[[#This Row],[FMS ID]],FMS_Input[FMS_ID],FMS_Input[FMS_TYPE])</f>
        <v>Property Acquisition and Structural Elevation</v>
      </c>
      <c r="I141" s="249">
        <f>_xlfn.XLOOKUP(FMS_Ranking4[[#This Row],[FMS ID]],FMS_Input[FMS_ID],FMS_Input[NRNC_COST])</f>
        <v>3000000</v>
      </c>
      <c r="J141" s="250">
        <f>_xlfn.XLOOKUP(FMS_Ranking4[[#This Row],[FMS ID]],FMS_Input[FMS_ID],FMS_Input[FMS_COST])</f>
        <v>60000000</v>
      </c>
      <c r="K141" s="251" t="str">
        <f>_xlfn.XLOOKUP(FMS_Ranking4[[#This Row],[FMS ID]],FMS_Input[FMS_ID],FMS_Input[EMER_NEED])</f>
        <v>Yes</v>
      </c>
      <c r="L141" s="252">
        <f t="shared" si="2"/>
        <v>1</v>
      </c>
      <c r="M141" s="253">
        <f>_xlfn.XLOOKUP(FMS_Ranking4[[#This Row],[FMS ID]],FMS_Input[FMS_ID],FMS_Input[STRUCT_100])</f>
        <v>18848</v>
      </c>
      <c r="N141" s="255">
        <f>(ASINH(FMS_Ranking4[[#This Row],[Structure at Risk Raw]]))*(10)/(ASINH(M$4))</f>
        <v>8.2838940218198047</v>
      </c>
      <c r="O141" s="256">
        <f>FMS_Ranking4[[#This Row],[Structures at risk, ArcSinh (0-10)]]*M$5*10</f>
        <v>8.2838940218198047</v>
      </c>
      <c r="P141" s="253">
        <f>_xlfn.XLOOKUP(FMS_Ranking4[[#This Row],[FMS ID]],FMS_Input[FMS_ID],FMS_Input[RES_STRUCT100])</f>
        <v>14344</v>
      </c>
      <c r="Q141" s="257">
        <f>ASINH(FMS_Ranking4[[#This Row],[Res Structure Raw]])/Q$4*P$5*100</f>
        <v>0</v>
      </c>
      <c r="R141" s="253">
        <f>_xlfn.XLOOKUP(FMS_Ranking4[[#This Row],[FMS ID]],FMS_Input[FMS_ID],FMS_Input[POP100])</f>
        <v>38626</v>
      </c>
      <c r="S141" s="259">
        <f>(ASINH(FMS_Ranking4[[#This Row],[Pop at Risk Raw]]))*(10)/(ASINH(R$4))</f>
        <v>7.7698630595792482</v>
      </c>
      <c r="T141" s="256">
        <f>FMS_Ranking4[[#This Row],[Population at risk, ArcSinh (0-10)]]*R$5*10</f>
        <v>7.7698630595792482</v>
      </c>
      <c r="U141" s="253">
        <f>_xlfn.XLOOKUP(FMS_Ranking4[[#This Row],[FMS ID]],FMS_Input[FMS_ID],FMS_Input[CRITFAC100])</f>
        <v>248</v>
      </c>
      <c r="V141" s="259">
        <f>(ASINH(FMS_Ranking4[[#This Row],[Critical Facilities Raw]]))*(10)/(ASINH(U$4))</f>
        <v>7.3471268180936828</v>
      </c>
      <c r="W141" s="256">
        <f>FMS_Ranking4[[#This Row],[Critical facilities at risk, ArcSinh (0-10)]]*U$5*10</f>
        <v>7.3471268180936828</v>
      </c>
      <c r="X141" s="253">
        <f>_xlfn.XLOOKUP(FMS_Ranking4[[#This Row],[FMS ID]],FMS_Input[FMS_ID],FMS_Input[LWC])</f>
        <v>0</v>
      </c>
      <c r="Y141" s="259">
        <f>(ASINH(FMS_Ranking4[[#This Row],[LWC Raw]]))*(10)/(ASINH(X$4))</f>
        <v>0</v>
      </c>
      <c r="Z141" s="256">
        <f>FMS_Ranking4[[#This Row],[LWC, ArcSInh (0-10)]]*X$5*10</f>
        <v>0</v>
      </c>
      <c r="AA141" s="253">
        <f>_xlfn.XLOOKUP(FMS_Ranking4[[#This Row],[FMS ID]],FMS_Input[FMS_ID],FMS_Input[ROADCLS])</f>
        <v>0</v>
      </c>
      <c r="AB141" s="255">
        <f>(ASINH(FMS_Ranking4[[#This Row],[Road Closures Raw]]))*(10)/(ASINH(AA$4))</f>
        <v>0</v>
      </c>
      <c r="AC141" s="256">
        <f>FMS_Ranking4[[#This Row],[Road closures, ArcSinh (0-10)]]*AA$5*10</f>
        <v>0</v>
      </c>
      <c r="AD141" s="253">
        <f>_xlfn.XLOOKUP(FMS_Ranking4[[#This Row],[FMS ID]],FMS_Input[FMS_ID],FMS_Input[ROAD_MILES100])</f>
        <v>328</v>
      </c>
      <c r="AE141" s="259">
        <f>(ASINH(FMS_Ranking4[[#This Row],[Road Miles Raw]]))*(10)/(ASINH(AD$4))</f>
        <v>6.9124653774240032</v>
      </c>
      <c r="AF141" s="256">
        <f>FMS_Ranking4[[#This Row],[Length of roads at risk, ArcSinh (0-10)]]*AD$5*10</f>
        <v>6.9124653774240041</v>
      </c>
      <c r="AG141" s="253">
        <f>_xlfn.XLOOKUP(FMS_Ranking4[[#This Row],[FMS ID]],FMS_Input[FMS_ID],FMS_Input[FARMACRE100])</f>
        <v>8584.16015625</v>
      </c>
      <c r="AH141" s="255">
        <f>(ASINH(FMS_Ranking4[[#This Row],[Ag Land Raw]]))*(10)/(ASINH(AG$4))</f>
        <v>6.333952713812689</v>
      </c>
      <c r="AI141" s="260">
        <f>FMS_Ranking4[[#This Row],[Farm &amp; ranch land, ArcSinh (0-10)]]*AG$5*10</f>
        <v>3.1669763569063445</v>
      </c>
      <c r="AJ141" s="258">
        <f>_xlfn.XLOOKUP(FMS_Ranking4[[#This Row],[FMS ID]],FMS_Input[FMS_ID],FMS_Input[REDSTRUCT100])</f>
        <v>0</v>
      </c>
      <c r="AK141" s="253">
        <f>_xlfn.XLOOKUP(FMS_Ranking4[[#This Row],[FMS ID]],FMS_Input[FMS_ID],FMS_Input[REMSTRC100])</f>
        <v>0</v>
      </c>
      <c r="AL141" s="259">
        <f>(ASINH(FMS_Ranking4[[#This Row],[Structures Removed Raw]]))*(10)/(ASINH(AK$4))</f>
        <v>0</v>
      </c>
      <c r="AM141" s="262">
        <f>FMS_Ranking4[[#This Row],[Structures removed, ArcSinh (0-10)]]*AK$5*10</f>
        <v>0</v>
      </c>
      <c r="AN141" s="253">
        <f>_xlfn.XLOOKUP(FMS_Ranking4[[#This Row],[FMS ID]],FMS_Input[FMS_ID],FMS_Input[REMRESSTRC100])</f>
        <v>0</v>
      </c>
      <c r="AO141" s="261">
        <f>FMS_Ranking4[[#This Row],[ArcSinh Res struct removed 0-10]]*AN$5*10</f>
        <v>0</v>
      </c>
      <c r="AP141" s="260">
        <f>ASINH(FMS_Ranking4[[#This Row],[Residential Structures Removed Raw]])/AP$4*AN$5*100</f>
        <v>0</v>
      </c>
      <c r="AQ141" s="254">
        <f>(ASINH(FMS_Ranking4[[#This Row],[Residential Structures Removed Raw]]))*(10)/(ASINH(AN$4))</f>
        <v>0</v>
      </c>
      <c r="AR141" s="253">
        <f>_xlfn.XLOOKUP(FMS_Ranking4[[#This Row],[FMS ID]],FMS_Input[FMS_ID],FMS_Input[REMPOP100])</f>
        <v>0</v>
      </c>
      <c r="AS141" s="259">
        <f>(ASINH(FMS_Ranking4[[#This Row],[Removed Pop Raw]]))*(10)/(ASINH(AR$4))</f>
        <v>0</v>
      </c>
      <c r="AT141" s="262">
        <f>FMS_Ranking4[[#This Row],[Removed population, ArcSinh (0-10)]]*AR$5*10</f>
        <v>0</v>
      </c>
      <c r="AU141" s="264">
        <f>_xlfn.XLOOKUP(FMS_Ranking4[[#This Row],[FMS ID]],FMS_Input[FMS_ID],FMS_Input[REMCRITFAC100])</f>
        <v>0</v>
      </c>
      <c r="AV141" s="264">
        <f>_xlfn.XLOOKUP(FMS_Ranking4[[#This Row],[FMS ID]],FMS_Input[FMS_ID],FMS_Input[REMLWC100])</f>
        <v>0</v>
      </c>
      <c r="AW141" s="264">
        <f>_xlfn.XLOOKUP(FMS_Ranking4[[#This Row],[FMS ID]],FMS_Input[FMS_ID],FMS_Input[REMROADCLS])</f>
        <v>0</v>
      </c>
      <c r="AX141" s="264">
        <f>_xlfn.XLOOKUP(FMS_Ranking4[[#This Row],[FMS ID]],FMS_Input[FMS_ID],FMS_Input[REMFRMACRE100])</f>
        <v>0</v>
      </c>
      <c r="AY141" s="258">
        <f>_xlfn.XLOOKUP(FMS_Ranking4[[#This Row],[FMS ID]],FMS_Input[FMS_ID],FMS_Input[COSTSTRUCT])</f>
        <v>0</v>
      </c>
      <c r="AZ141" s="253">
        <f>_xlfn.XLOOKUP(FMS_Ranking4[[#This Row],[FMS ID]],FMS_Input[FMS_ID],FMS_Input[NATURE])</f>
        <v>0</v>
      </c>
      <c r="BA141" s="262">
        <f>(((FMS_Ranking4[[#This Row],[% NBS Raw]]/AZ$4)*100)*AZ$5)</f>
        <v>0</v>
      </c>
      <c r="BB141" s="251" t="str">
        <f>_xlfn.XLOOKUP(FMS_Ranking4[[#This Row],[FMS ID]],FMS_Input[FMS_ID],FMS_Input[WATER_SUP])</f>
        <v>No</v>
      </c>
      <c r="BC141" s="265">
        <f>IF(FMS_Ranking4[[#This Row],[Water Supply Raw]]="Yes",10,0)</f>
        <v>0</v>
      </c>
      <c r="BD141" s="266">
        <f>_xlfn.XLOOKUP(FMS_Ranking4[[#This Row],[FMS Type]],FMS_TYPE[FMS_Type],FMS_TYPE[Score])</f>
        <v>4</v>
      </c>
      <c r="BE141" s="267">
        <f>FMS_Ranking4[[#This Row],[FMS_Type Score]]*$BD$5*10</f>
        <v>1</v>
      </c>
      <c r="BF14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3.1555059929704496</v>
      </c>
      <c r="BG141" s="269">
        <f>_xlfn.RANK.EQ(BF141,$BF$8:$BF$870,0)+COUNTIF($BF$8:BF141,BF141)-1</f>
        <v>85</v>
      </c>
      <c r="BH141" s="268">
        <f>(((FMS_Ranking4[[#This Row],[Structures Removed Raw]]/AK$4)*100)*AK$5)+(((FMS_Ranking4[[#This Row],[Removed Pop Raw]]/AR$4)*100)*AR$5)</f>
        <v>0</v>
      </c>
      <c r="BI14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4.1555059929704496</v>
      </c>
      <c r="BJ141" s="204">
        <f>_xlfn.RANK.EQ(FMS_Ranking4[[#This Row],[Total Score 
(with linear
normalization)]],FMS_Ranking4[Total Score 
(with linear
normalization)],0)</f>
        <v>133</v>
      </c>
      <c r="BK141" s="204" t="e">
        <f>_xlfn.XLOOKUP(FMS_Ranking4[[#This Row],[FMS ID]],#REF!,#REF!)</f>
        <v>#REF!</v>
      </c>
      <c r="BL141"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33.480325633823085</v>
      </c>
      <c r="BM141" s="270">
        <f>FMS_Ranking4[[#This Row],[ArcSinh Score Based on Normalized Reported Factors]]+FMS_Ranking4[[#This Row],[% NBS Score (Normalized)]]+(FMS_Ranking4[[#This Row],[Water Supply Score (Normalized)]]*10*$BB$5)+FMS_Ranking4[[#This Row],[FMS_Type Score Weighted]]</f>
        <v>34.480325633823085</v>
      </c>
      <c r="BN141" s="204">
        <f>_xlfn.RANK.EQ(FMS_Ranking4[[#This Row],[Total Score (with ArcSinh normalization of select criteria)]],FMS_Ranking4[Total Score (with ArcSinh normalization of select criteria)],0)</f>
        <v>133</v>
      </c>
      <c r="BO141" s="270" t="str">
        <f>_xlfn.XLOOKUP(FMS_Ranking4[[#This Row],[FMS ID]],FMS_Input[FMS_ID],FMS_Input[FMS_RANK_YEAR])</f>
        <v>2023 Amended Plan</v>
      </c>
      <c r="BP141" s="204">
        <f>_xlfn.XLOOKUP(FMS_Ranking4[[#This Row],[FMS ID]],Prev_Rank[FMS ID],Prev_Rank[Prev Rank])</f>
        <v>109</v>
      </c>
      <c r="BQ141" s="204" t="e">
        <f>_xlfn.XLOOKUP(FMS_Ranking4[[#This Row],[FMS ID]],#REF!,#REF!)</f>
        <v>#REF!</v>
      </c>
      <c r="BR141" s="199" t="e">
        <f>SUM(#REF!,#REF!,#REF!,#REF!,#REF!,#REF!,#REF!,#REF!,#REF!,FMS_Ranking4[[#This Row],[ArcSinh Res struct removed 0-10]],#REF!)</f>
        <v>#REF!</v>
      </c>
      <c r="BS141" s="199" t="e">
        <f>FMS_Ranking4[[#This Row],[Log Score Based on Normalized Reported Factors]]+FMS_Ranking4[[#This Row],[% NBS Score (Normalized)]]+(FMS_Ranking4[[#This Row],[Water Supply Score (Normalized)]]*10*$BB$5)+(FMS_Ranking4[[#This Row],[FMS_Type Score Weighted]])</f>
        <v>#REF!</v>
      </c>
      <c r="BT141" s="200" t="e">
        <f>_xlfn.RANK.EQ(FMS_Ranking4[[#This Row],[Log Total Score]],FMS_Ranking4[Log Total Score],0)</f>
        <v>#REF!</v>
      </c>
      <c r="BU141" s="200" t="e">
        <f>_xlfn.XLOOKUP(FMS_Ranking4[[#This Row],[FMS ID]],#REF!,#REF!)</f>
        <v>#REF!</v>
      </c>
      <c r="BV141" s="200">
        <f>FMS_Ranking4[[#This Row],[Region Number]]</f>
        <v>6</v>
      </c>
      <c r="BW141" s="200">
        <f>FMS_Ranking4[[#This Row],[Rank (with ArcSinh normalization of select criteria)]]-FMS_Ranking4[[#This Row],[Rank
(with linear
normalization)]]</f>
        <v>0</v>
      </c>
      <c r="BX141" s="200" t="e">
        <f>FMS_Ranking4[[#This Row],[Log Rank]]-FMS_Ranking4[[#This Row],[Rank
(with linear
normalization)]]</f>
        <v>#REF!</v>
      </c>
      <c r="BY141" s="200" t="str">
        <f>IF(FMS_Ranking4[[#This Row],[FMS Type]]="Flood Measurement and Warning",FMS_Ranking4[[#This Row],[Rank (with ArcSinh normalization of select criteria)]],"")</f>
        <v/>
      </c>
      <c r="BZ141" s="200" t="str">
        <f>IF(FMS_Ranking4[[#This Row],[FMS Type]]="Regulatory and Guidance",FMS_Ranking4[[#This Row],[Rank (with ArcSinh normalization of select criteria)]],"")</f>
        <v/>
      </c>
      <c r="CA141" s="200" t="str">
        <f>IF(FMS_Ranking4[[#This Row],[FMS Type]]="Education and Outreach",FMS_Ranking4[[#This Row],[Rank (with ArcSinh normalization of select criteria)]],"")</f>
        <v/>
      </c>
      <c r="CB141" s="200">
        <f>IF(FMS_Ranking4[[#This Row],[FMS Type]]="Property Acquisition and Structural Elevation",FMS_Ranking4[[#This Row],[Rank (with ArcSinh normalization of select criteria)]],"")</f>
        <v>133</v>
      </c>
      <c r="CC141" s="200" t="str">
        <f>IF(FMS_Ranking4[[#This Row],[FMS Type]]="Infrastructure Projects",FMS_Ranking4[[#This Row],[Rank (with ArcSinh normalization of select criteria)]],"")</f>
        <v/>
      </c>
      <c r="CD141" s="200" t="str">
        <f>IF(FMS_Ranking4[[#This Row],[FMS Type]]="Other",FMS_Ranking4[[#This Row],[Rank (with ArcSinh normalization of select criteria)]],"")</f>
        <v/>
      </c>
      <c r="CE141" s="201"/>
    </row>
    <row r="142" spans="2:83" ht="30" x14ac:dyDescent="0.25">
      <c r="B142" s="346" t="s">
        <v>43</v>
      </c>
      <c r="C142" s="246">
        <f>_xlfn.XLOOKUP(FMS_Ranking4[[#This Row],[FMS ID]],FMS_Input[FMS_ID],FMS_Input[RFPG_NUM])</f>
        <v>6</v>
      </c>
      <c r="D142" s="309" t="str">
        <f>_xlfn.XLOOKUP(FMS_Ranking4[[#This Row],[FMS ID]],FMS_Input[FMS_ID],FMS_Input[FMS_NAME])</f>
        <v xml:space="preserve">City of Galveston NFIP CRS Rating </v>
      </c>
      <c r="E142" s="308" t="str">
        <f>_xlfn.XLOOKUP(FMS_Ranking4[[#This Row],[FMS ID]],FMS_Input[FMS_ID],FMS_Input[SPONSOR])</f>
        <v>06002809</v>
      </c>
      <c r="F142" s="309" t="str">
        <f>_xlfn.XLOOKUP(FMS_Ranking4[[#This Row],[FMS ID]],Sponsor[FMS_ID],Sponsor[SPONSOR NAME])</f>
        <v>Galveston</v>
      </c>
      <c r="G142" s="309" t="str">
        <f>_xlfn.XLOOKUP(FMS_Ranking4[[#This Row],[FMS ID]],FMS_Input[FMS_ID],FMS_Input[FMS_DESCR])</f>
        <v>Maintain membership of the NFIP's CRS</v>
      </c>
      <c r="H142" s="248" t="str">
        <f>_xlfn.XLOOKUP(FMS_Ranking4[[#This Row],[FMS ID]],FMS_Input[FMS_ID],FMS_Input[FMS_TYPE])</f>
        <v>Other</v>
      </c>
      <c r="I142" s="249">
        <f>_xlfn.XLOOKUP(FMS_Ranking4[[#This Row],[FMS ID]],FMS_Input[FMS_ID],FMS_Input[NRNC_COST])</f>
        <v>500</v>
      </c>
      <c r="J142" s="250">
        <f>_xlfn.XLOOKUP(FMS_Ranking4[[#This Row],[FMS ID]],FMS_Input[FMS_ID],FMS_Input[FMS_COST])</f>
        <v>10000</v>
      </c>
      <c r="K142" s="251" t="str">
        <f>_xlfn.XLOOKUP(FMS_Ranking4[[#This Row],[FMS ID]],FMS_Input[FMS_ID],FMS_Input[EMER_NEED])</f>
        <v>No</v>
      </c>
      <c r="L142" s="252">
        <f t="shared" si="2"/>
        <v>0</v>
      </c>
      <c r="M142" s="253">
        <f>_xlfn.XLOOKUP(FMS_Ranking4[[#This Row],[FMS ID]],FMS_Input[FMS_ID],FMS_Input[STRUCT_100])</f>
        <v>23123</v>
      </c>
      <c r="N142" s="255">
        <f>(ASINH(FMS_Ranking4[[#This Row],[Structure at Risk Raw]]))*(10)/(ASINH(M$4))</f>
        <v>8.4445993533629142</v>
      </c>
      <c r="O142" s="256">
        <f>FMS_Ranking4[[#This Row],[Structures at risk, ArcSinh (0-10)]]*M$5*10</f>
        <v>8.4445993533629142</v>
      </c>
      <c r="P142" s="253">
        <f>_xlfn.XLOOKUP(FMS_Ranking4[[#This Row],[FMS ID]],FMS_Input[FMS_ID],FMS_Input[RES_STRUCT100])</f>
        <v>20373</v>
      </c>
      <c r="Q142" s="257">
        <f>ASINH(FMS_Ranking4[[#This Row],[Res Structure Raw]])/Q$4*P$5*100</f>
        <v>0</v>
      </c>
      <c r="R142" s="253">
        <f>_xlfn.XLOOKUP(FMS_Ranking4[[#This Row],[FMS ID]],FMS_Input[FMS_ID],FMS_Input[POP100])</f>
        <v>64429</v>
      </c>
      <c r="S142" s="255">
        <f>(ASINH(FMS_Ranking4[[#This Row],[Pop at Risk Raw]]))*(10)/(ASINH(R$4))</f>
        <v>8.1230767075360202</v>
      </c>
      <c r="T142" s="256">
        <f>FMS_Ranking4[[#This Row],[Population at risk, ArcSinh (0-10)]]*R$5*10</f>
        <v>8.123076707536022</v>
      </c>
      <c r="U142" s="253">
        <f>_xlfn.XLOOKUP(FMS_Ranking4[[#This Row],[FMS ID]],FMS_Input[FMS_ID],FMS_Input[CRITFAC100])</f>
        <v>513</v>
      </c>
      <c r="V142" s="255">
        <f>(ASINH(FMS_Ranking4[[#This Row],[Critical Facilities Raw]]))*(10)/(ASINH(U$4))</f>
        <v>8.2075386610593917</v>
      </c>
      <c r="W142" s="256">
        <f>FMS_Ranking4[[#This Row],[Critical facilities at risk, ArcSinh (0-10)]]*U$5*10</f>
        <v>8.2075386610593917</v>
      </c>
      <c r="X142" s="253">
        <f>_xlfn.XLOOKUP(FMS_Ranking4[[#This Row],[FMS ID]],FMS_Input[FMS_ID],FMS_Input[LWC])</f>
        <v>0</v>
      </c>
      <c r="Y142" s="255">
        <f>(ASINH(FMS_Ranking4[[#This Row],[LWC Raw]]))*(10)/(ASINH(X$4))</f>
        <v>0</v>
      </c>
      <c r="Z142" s="256">
        <f>FMS_Ranking4[[#This Row],[LWC, ArcSInh (0-10)]]*X$5*10</f>
        <v>0</v>
      </c>
      <c r="AA142" s="253">
        <f>_xlfn.XLOOKUP(FMS_Ranking4[[#This Row],[FMS ID]],FMS_Input[FMS_ID],FMS_Input[ROADCLS])</f>
        <v>0</v>
      </c>
      <c r="AB142" s="255">
        <f>(ASINH(FMS_Ranking4[[#This Row],[Road Closures Raw]]))*(10)/(ASINH(AA$4))</f>
        <v>0</v>
      </c>
      <c r="AC142" s="256">
        <f>FMS_Ranking4[[#This Row],[Road closures, ArcSinh (0-10)]]*AA$5*10</f>
        <v>0</v>
      </c>
      <c r="AD142" s="253">
        <f>_xlfn.XLOOKUP(FMS_Ranking4[[#This Row],[FMS ID]],FMS_Input[FMS_ID],FMS_Input[ROAD_MILES100])</f>
        <v>408</v>
      </c>
      <c r="AE142" s="255">
        <f>(ASINH(FMS_Ranking4[[#This Row],[Road Miles Raw]]))*(10)/(ASINH(AD$4))</f>
        <v>7.1450627559979907</v>
      </c>
      <c r="AF142" s="256">
        <f>FMS_Ranking4[[#This Row],[Length of roads at risk, ArcSinh (0-10)]]*AD$5*10</f>
        <v>7.1450627559979907</v>
      </c>
      <c r="AG142" s="253">
        <f>_xlfn.XLOOKUP(FMS_Ranking4[[#This Row],[FMS ID]],FMS_Input[FMS_ID],FMS_Input[FARMACRE100])</f>
        <v>262.80068969726563</v>
      </c>
      <c r="AH142" s="255">
        <f>(ASINH(FMS_Ranking4[[#This Row],[Ag Land Raw]]))*(10)/(ASINH(AG$4))</f>
        <v>4.0693334573776054</v>
      </c>
      <c r="AI142" s="260">
        <f>FMS_Ranking4[[#This Row],[Farm &amp; ranch land, ArcSinh (0-10)]]*AG$5*10</f>
        <v>2.0346667286888027</v>
      </c>
      <c r="AJ142" s="258">
        <f>_xlfn.XLOOKUP(FMS_Ranking4[[#This Row],[FMS ID]],FMS_Input[FMS_ID],FMS_Input[REDSTRUCT100])</f>
        <v>0</v>
      </c>
      <c r="AK142" s="253">
        <f>_xlfn.XLOOKUP(FMS_Ranking4[[#This Row],[FMS ID]],FMS_Input[FMS_ID],FMS_Input[REMSTRC100])</f>
        <v>0</v>
      </c>
      <c r="AL142" s="255">
        <f>(ASINH(FMS_Ranking4[[#This Row],[Structures Removed Raw]]))*(10)/(ASINH(AK$4))</f>
        <v>0</v>
      </c>
      <c r="AM142" s="262">
        <f>FMS_Ranking4[[#This Row],[Structures removed, ArcSinh (0-10)]]*AK$5*10</f>
        <v>0</v>
      </c>
      <c r="AN142" s="253">
        <f>_xlfn.XLOOKUP(FMS_Ranking4[[#This Row],[FMS ID]],FMS_Input[FMS_ID],FMS_Input[REMRESSTRC100])</f>
        <v>0</v>
      </c>
      <c r="AO142" s="261">
        <f>FMS_Ranking4[[#This Row],[ArcSinh Res struct removed 0-10]]*AN$5*10</f>
        <v>0</v>
      </c>
      <c r="AP142" s="260">
        <f>ASINH(FMS_Ranking4[[#This Row],[Residential Structures Removed Raw]])/AP$4*AN$5*100</f>
        <v>0</v>
      </c>
      <c r="AQ142" s="258">
        <f>(ASINH(FMS_Ranking4[[#This Row],[Residential Structures Removed Raw]]))*(10)/(ASINH(AN$4))</f>
        <v>0</v>
      </c>
      <c r="AR142" s="253">
        <f>_xlfn.XLOOKUP(FMS_Ranking4[[#This Row],[FMS ID]],FMS_Input[FMS_ID],FMS_Input[REMPOP100])</f>
        <v>0</v>
      </c>
      <c r="AS142" s="255">
        <f>(ASINH(FMS_Ranking4[[#This Row],[Removed Pop Raw]]))*(10)/(ASINH(AR$4))</f>
        <v>0</v>
      </c>
      <c r="AT142" s="262">
        <f>FMS_Ranking4[[#This Row],[Removed population, ArcSinh (0-10)]]*AR$5*10</f>
        <v>0</v>
      </c>
      <c r="AU142" s="264">
        <f>_xlfn.XLOOKUP(FMS_Ranking4[[#This Row],[FMS ID]],FMS_Input[FMS_ID],FMS_Input[REMCRITFAC100])</f>
        <v>0</v>
      </c>
      <c r="AV142" s="264">
        <f>_xlfn.XLOOKUP(FMS_Ranking4[[#This Row],[FMS ID]],FMS_Input[FMS_ID],FMS_Input[REMLWC100])</f>
        <v>0</v>
      </c>
      <c r="AW142" s="264">
        <f>_xlfn.XLOOKUP(FMS_Ranking4[[#This Row],[FMS ID]],FMS_Input[FMS_ID],FMS_Input[REMROADCLS])</f>
        <v>0</v>
      </c>
      <c r="AX142" s="264">
        <f>_xlfn.XLOOKUP(FMS_Ranking4[[#This Row],[FMS ID]],FMS_Input[FMS_ID],FMS_Input[REMFRMACRE100])</f>
        <v>0</v>
      </c>
      <c r="AY142" s="258">
        <f>_xlfn.XLOOKUP(FMS_Ranking4[[#This Row],[FMS ID]],FMS_Input[FMS_ID],FMS_Input[COSTSTRUCT])</f>
        <v>0</v>
      </c>
      <c r="AZ142" s="253">
        <f>_xlfn.XLOOKUP(FMS_Ranking4[[#This Row],[FMS ID]],FMS_Input[FMS_ID],FMS_Input[NATURE])</f>
        <v>0</v>
      </c>
      <c r="BA142" s="262">
        <f>(((FMS_Ranking4[[#This Row],[% NBS Raw]]/AZ$4)*100)*AZ$5)</f>
        <v>0</v>
      </c>
      <c r="BB142" s="251" t="str">
        <f>_xlfn.XLOOKUP(FMS_Ranking4[[#This Row],[FMS ID]],FMS_Input[FMS_ID],FMS_Input[WATER_SUP])</f>
        <v>No</v>
      </c>
      <c r="BC142" s="265">
        <f>IF(FMS_Ranking4[[#This Row],[Water Supply Raw]]="Yes",10,0)</f>
        <v>0</v>
      </c>
      <c r="BD142" s="266">
        <f>_xlfn.XLOOKUP(FMS_Ranking4[[#This Row],[FMS Type]],FMS_TYPE[FMS_Type],FMS_TYPE[Score])</f>
        <v>2</v>
      </c>
      <c r="BE142" s="267">
        <f>FMS_Ranking4[[#This Row],[FMS_Type Score]]*$BD$5*10</f>
        <v>0.5</v>
      </c>
      <c r="BF14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4.9290929699081696</v>
      </c>
      <c r="BG142" s="293">
        <f>_xlfn.RANK.EQ(BF142,$BF$8:$BF$870,0)+COUNTIF($BF$8:BF142,BF142)-1</f>
        <v>62</v>
      </c>
      <c r="BH142" s="294">
        <f>(((FMS_Ranking4[[#This Row],[Structures Removed Raw]]/AK$4)*100)*AK$5)+(((FMS_Ranking4[[#This Row],[Removed Pop Raw]]/AR$4)*100)*AR$5)</f>
        <v>0</v>
      </c>
      <c r="BI14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5.4290929699081696</v>
      </c>
      <c r="BJ142" s="251">
        <f>_xlfn.RANK.EQ(FMS_Ranking4[[#This Row],[Total Score 
(with linear
normalization)]],FMS_Ranking4[Total Score 
(with linear
normalization)],0)</f>
        <v>108</v>
      </c>
      <c r="BK142" s="251" t="e">
        <f>_xlfn.XLOOKUP(FMS_Ranking4[[#This Row],[FMS ID]],#REF!,#REF!)</f>
        <v>#REF!</v>
      </c>
      <c r="BL14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33.954944206645123</v>
      </c>
      <c r="BM142" s="324">
        <f>FMS_Ranking4[[#This Row],[ArcSinh Score Based on Normalized Reported Factors]]+FMS_Ranking4[[#This Row],[% NBS Score (Normalized)]]+(FMS_Ranking4[[#This Row],[Water Supply Score (Normalized)]]*10*$BB$5)+FMS_Ranking4[[#This Row],[FMS_Type Score Weighted]]</f>
        <v>34.454944206645123</v>
      </c>
      <c r="BN142" s="251">
        <f>_xlfn.RANK.EQ(FMS_Ranking4[[#This Row],[Total Score (with ArcSinh normalization of select criteria)]],FMS_Ranking4[Total Score (with ArcSinh normalization of select criteria)],0)</f>
        <v>135</v>
      </c>
      <c r="BO142" s="270" t="str">
        <f>_xlfn.XLOOKUP(FMS_Ranking4[[#This Row],[FMS ID]],FMS_Input[FMS_ID],FMS_Input[FMS_RANK_YEAR])</f>
        <v>2023 Amended Plan</v>
      </c>
      <c r="BP142" s="324">
        <f>_xlfn.XLOOKUP(FMS_Ranking4[[#This Row],[FMS ID]],Prev_Rank[FMS ID],Prev_Rank[Prev Rank])</f>
        <v>111</v>
      </c>
      <c r="BQ142" s="251" t="e">
        <f>_xlfn.XLOOKUP(FMS_Ranking4[[#This Row],[FMS ID]],#REF!,#REF!)</f>
        <v>#REF!</v>
      </c>
      <c r="BR142" s="199" t="e">
        <f>SUM(#REF!,#REF!,#REF!,#REF!,#REF!,#REF!,#REF!,#REF!,#REF!,FMS_Ranking4[[#This Row],[ArcSinh Res struct removed 0-10]],#REF!)</f>
        <v>#REF!</v>
      </c>
      <c r="BS142" s="199" t="e">
        <f>FMS_Ranking4[[#This Row],[Log Score Based on Normalized Reported Factors]]+FMS_Ranking4[[#This Row],[% NBS Score (Normalized)]]+(FMS_Ranking4[[#This Row],[Water Supply Score (Normalized)]]*10*$BB$5)+(FMS_Ranking4[[#This Row],[FMS_Type Score Weighted]])</f>
        <v>#REF!</v>
      </c>
      <c r="BT142" s="200" t="e">
        <f>_xlfn.RANK.EQ(FMS_Ranking4[[#This Row],[Log Total Score]],FMS_Ranking4[Log Total Score],0)</f>
        <v>#REF!</v>
      </c>
      <c r="BU142" s="200" t="e">
        <f>_xlfn.XLOOKUP(FMS_Ranking4[[#This Row],[FMS ID]],#REF!,#REF!)</f>
        <v>#REF!</v>
      </c>
      <c r="BV142" s="200">
        <f>FMS_Ranking4[[#This Row],[Region Number]]</f>
        <v>6</v>
      </c>
      <c r="BW142" s="200">
        <f>FMS_Ranking4[[#This Row],[Rank (with ArcSinh normalization of select criteria)]]-FMS_Ranking4[[#This Row],[Rank
(with linear
normalization)]]</f>
        <v>27</v>
      </c>
      <c r="BX142" s="200" t="e">
        <f>FMS_Ranking4[[#This Row],[Log Rank]]-FMS_Ranking4[[#This Row],[Rank
(with linear
normalization)]]</f>
        <v>#REF!</v>
      </c>
      <c r="BY142" s="200" t="str">
        <f>IF(FMS_Ranking4[[#This Row],[FMS Type]]="Flood Measurement and Warning",FMS_Ranking4[[#This Row],[Rank (with ArcSinh normalization of select criteria)]],"")</f>
        <v/>
      </c>
      <c r="BZ142" s="200" t="str">
        <f>IF(FMS_Ranking4[[#This Row],[FMS Type]]="Regulatory and Guidance",FMS_Ranking4[[#This Row],[Rank (with ArcSinh normalization of select criteria)]],"")</f>
        <v/>
      </c>
      <c r="CA142" s="200" t="str">
        <f>IF(FMS_Ranking4[[#This Row],[FMS Type]]="Education and Outreach",FMS_Ranking4[[#This Row],[Rank (with ArcSinh normalization of select criteria)]],"")</f>
        <v/>
      </c>
      <c r="CB142" s="200" t="str">
        <f>IF(FMS_Ranking4[[#This Row],[FMS Type]]="Property Acquisition and Structural Elevation",FMS_Ranking4[[#This Row],[Rank (with ArcSinh normalization of select criteria)]],"")</f>
        <v/>
      </c>
      <c r="CC142" s="200" t="str">
        <f>IF(FMS_Ranking4[[#This Row],[FMS Type]]="Infrastructure Projects",FMS_Ranking4[[#This Row],[Rank (with ArcSinh normalization of select criteria)]],"")</f>
        <v/>
      </c>
      <c r="CD142" s="200">
        <f>IF(FMS_Ranking4[[#This Row],[FMS Type]]="Other",FMS_Ranking4[[#This Row],[Rank (with ArcSinh normalization of select criteria)]],"")</f>
        <v>135</v>
      </c>
      <c r="CE142" s="201"/>
    </row>
    <row r="143" spans="2:83" ht="30" x14ac:dyDescent="0.25">
      <c r="B143" s="341" t="s">
        <v>956</v>
      </c>
      <c r="C143" s="246">
        <f>_xlfn.XLOOKUP(FMS_Ranking4[[#This Row],[FMS ID]],FMS_Input[FMS_ID],FMS_Input[RFPG_NUM])</f>
        <v>9</v>
      </c>
      <c r="D143" s="309" t="str">
        <f>_xlfn.XLOOKUP(FMS_Ranking4[[#This Row],[FMS ID]],FMS_Input[FMS_ID],FMS_Input[FMS_NAME])</f>
        <v>Irion County NFIP Application</v>
      </c>
      <c r="E143" s="308" t="str">
        <f>_xlfn.XLOOKUP(FMS_Ranking4[[#This Row],[FMS ID]],FMS_Input[FMS_ID],FMS_Input[SPONSOR])</f>
        <v>09000068</v>
      </c>
      <c r="F143" s="309" t="str">
        <f>_xlfn.XLOOKUP(FMS_Ranking4[[#This Row],[FMS ID]],Sponsor[FMS_ID],Sponsor[SPONSOR NAME])</f>
        <v>Irion</v>
      </c>
      <c r="G143" s="309" t="str">
        <f>_xlfn.XLOOKUP(FMS_Ranking4[[#This Row],[FMS ID]],FMS_Input[FMS_ID],FMS_Input[FMS_DESCR])</f>
        <v>Join The NFIP.</v>
      </c>
      <c r="H143" s="248" t="str">
        <f>_xlfn.XLOOKUP(FMS_Ranking4[[#This Row],[FMS ID]],FMS_Input[FMS_ID],FMS_Input[FMS_TYPE])</f>
        <v>Other</v>
      </c>
      <c r="I143" s="249">
        <f>_xlfn.XLOOKUP(FMS_Ranking4[[#This Row],[FMS ID]],FMS_Input[FMS_ID],FMS_Input[NRNC_COST])</f>
        <v>5000</v>
      </c>
      <c r="J143" s="250">
        <f>_xlfn.XLOOKUP(FMS_Ranking4[[#This Row],[FMS ID]],FMS_Input[FMS_ID],FMS_Input[FMS_COST])</f>
        <v>30000</v>
      </c>
      <c r="K143" s="251" t="str">
        <f>_xlfn.XLOOKUP(FMS_Ranking4[[#This Row],[FMS ID]],FMS_Input[FMS_ID],FMS_Input[EMER_NEED])</f>
        <v>No</v>
      </c>
      <c r="L143" s="252">
        <f t="shared" si="2"/>
        <v>0</v>
      </c>
      <c r="M143" s="253">
        <f>_xlfn.XLOOKUP(FMS_Ranking4[[#This Row],[FMS ID]],FMS_Input[FMS_ID],FMS_Input[STRUCT_100])</f>
        <v>354</v>
      </c>
      <c r="N143" s="255">
        <f>(ASINH(FMS_Ranking4[[#This Row],[Structure at Risk Raw]]))*(10)/(ASINH(M$4))</f>
        <v>5.1590597315765612</v>
      </c>
      <c r="O143" s="256">
        <f>FMS_Ranking4[[#This Row],[Structures at risk, ArcSinh (0-10)]]*M$5*10</f>
        <v>5.1590597315765621</v>
      </c>
      <c r="P143" s="253">
        <f>_xlfn.XLOOKUP(FMS_Ranking4[[#This Row],[FMS ID]],FMS_Input[FMS_ID],FMS_Input[RES_STRUCT100])</f>
        <v>104</v>
      </c>
      <c r="Q143" s="257">
        <f>ASINH(FMS_Ranking4[[#This Row],[Res Structure Raw]])/Q$4*P$5*100</f>
        <v>0</v>
      </c>
      <c r="R143" s="253">
        <f>_xlfn.XLOOKUP(FMS_Ranking4[[#This Row],[FMS ID]],FMS_Input[FMS_ID],FMS_Input[POP100])</f>
        <v>235</v>
      </c>
      <c r="S143" s="259">
        <f>(ASINH(FMS_Ranking4[[#This Row],[Pop at Risk Raw]]))*(10)/(ASINH(R$4))</f>
        <v>4.2475927037088859</v>
      </c>
      <c r="T143" s="256">
        <f>FMS_Ranking4[[#This Row],[Population at risk, ArcSinh (0-10)]]*R$5*10</f>
        <v>4.2475927037088859</v>
      </c>
      <c r="U143" s="253">
        <f>_xlfn.XLOOKUP(FMS_Ranking4[[#This Row],[FMS ID]],FMS_Input[FMS_ID],FMS_Input[CRITFAC100])</f>
        <v>0</v>
      </c>
      <c r="V143" s="259">
        <f>(ASINH(FMS_Ranking4[[#This Row],[Critical Facilities Raw]]))*(10)/(ASINH(U$4))</f>
        <v>0</v>
      </c>
      <c r="W143" s="256">
        <f>FMS_Ranking4[[#This Row],[Critical facilities at risk, ArcSinh (0-10)]]*U$5*10</f>
        <v>0</v>
      </c>
      <c r="X143" s="253">
        <f>_xlfn.XLOOKUP(FMS_Ranking4[[#This Row],[FMS ID]],FMS_Input[FMS_ID],FMS_Input[LWC])</f>
        <v>8</v>
      </c>
      <c r="Y143" s="259">
        <f>(ASINH(FMS_Ranking4[[#This Row],[LWC Raw]]))*(10)/(ASINH(X$4))</f>
        <v>3.7613918882232862</v>
      </c>
      <c r="Z143" s="256">
        <f>FMS_Ranking4[[#This Row],[LWC, ArcSInh (0-10)]]*X$5*10</f>
        <v>3.7613918882232866</v>
      </c>
      <c r="AA143" s="253">
        <f>_xlfn.XLOOKUP(FMS_Ranking4[[#This Row],[FMS ID]],FMS_Input[FMS_ID],FMS_Input[ROADCLS])</f>
        <v>0</v>
      </c>
      <c r="AB143" s="255">
        <f>(ASINH(FMS_Ranking4[[#This Row],[Road Closures Raw]]))*(10)/(ASINH(AA$4))</f>
        <v>0</v>
      </c>
      <c r="AC143" s="256">
        <f>FMS_Ranking4[[#This Row],[Road closures, ArcSinh (0-10)]]*AA$5*10</f>
        <v>0</v>
      </c>
      <c r="AD143" s="253">
        <f>_xlfn.XLOOKUP(FMS_Ranking4[[#This Row],[FMS ID]],FMS_Input[FMS_ID],FMS_Input[ROAD_MILES100])</f>
        <v>48</v>
      </c>
      <c r="AE143" s="259">
        <f>(ASINH(FMS_Ranking4[[#This Row],[Road Miles Raw]]))*(10)/(ASINH(AD$4))</f>
        <v>4.8644550289971082</v>
      </c>
      <c r="AF143" s="256">
        <f>FMS_Ranking4[[#This Row],[Length of roads at risk, ArcSinh (0-10)]]*AD$5*10</f>
        <v>4.8644550289971082</v>
      </c>
      <c r="AG143" s="253">
        <f>_xlfn.XLOOKUP(FMS_Ranking4[[#This Row],[FMS ID]],FMS_Input[FMS_ID],FMS_Input[FARMACRE100])</f>
        <v>2458.542236328125</v>
      </c>
      <c r="AH143" s="255">
        <f>(ASINH(FMS_Ranking4[[#This Row],[Ag Land Raw]]))*(10)/(ASINH(AG$4))</f>
        <v>5.5217484994368782</v>
      </c>
      <c r="AI143" s="260">
        <f>FMS_Ranking4[[#This Row],[Farm &amp; ranch land, ArcSinh (0-10)]]*AG$5*10</f>
        <v>2.7608742497184391</v>
      </c>
      <c r="AJ143" s="258">
        <f>_xlfn.XLOOKUP(FMS_Ranking4[[#This Row],[FMS ID]],FMS_Input[FMS_ID],FMS_Input[REDSTRUCT100])</f>
        <v>89</v>
      </c>
      <c r="AK143" s="253">
        <f>_xlfn.XLOOKUP(FMS_Ranking4[[#This Row],[FMS ID]],FMS_Input[FMS_ID],FMS_Input[REMSTRC100])</f>
        <v>89</v>
      </c>
      <c r="AL143" s="259">
        <f>(ASINH(FMS_Ranking4[[#This Row],[Structures Removed Raw]]))*(10)/(ASINH(AK$4))</f>
        <v>5.899866384496085</v>
      </c>
      <c r="AM143" s="262">
        <f>FMS_Ranking4[[#This Row],[Structures removed, ArcSinh (0-10)]]*AK$5*10</f>
        <v>5.899866384496085</v>
      </c>
      <c r="AN143" s="253">
        <f>_xlfn.XLOOKUP(FMS_Ranking4[[#This Row],[FMS ID]],FMS_Input[FMS_ID],FMS_Input[REMRESSTRC100])</f>
        <v>26</v>
      </c>
      <c r="AO143" s="261">
        <f>FMS_Ranking4[[#This Row],[ArcSinh Res struct removed 0-10]]*AN$5*10</f>
        <v>2.3177258080219643</v>
      </c>
      <c r="AP143" s="260">
        <f>ASINH(FMS_Ranking4[[#This Row],[Residential Structures Removed Raw]])/AP$4*AN$5*100</f>
        <v>2.3177258080219643</v>
      </c>
      <c r="AQ143" s="254">
        <f>(ASINH(FMS_Ranking4[[#This Row],[Residential Structures Removed Raw]]))*(10)/(ASINH(AN$4))</f>
        <v>4.6354516160439285</v>
      </c>
      <c r="AR143" s="253">
        <f>_xlfn.XLOOKUP(FMS_Ranking4[[#This Row],[FMS ID]],FMS_Input[FMS_ID],FMS_Input[REMPOP100])</f>
        <v>72</v>
      </c>
      <c r="AS143" s="259">
        <f>(ASINH(FMS_Ranking4[[#This Row],[Removed Pop Raw]]))*(10)/(ASINH(AR$4))</f>
        <v>4.8785176672869479</v>
      </c>
      <c r="AT143" s="262">
        <f>FMS_Ranking4[[#This Row],[Removed population, ArcSinh (0-10)]]*AR$5*10</f>
        <v>4.8785176672869479</v>
      </c>
      <c r="AU143" s="264">
        <f>_xlfn.XLOOKUP(FMS_Ranking4[[#This Row],[FMS ID]],FMS_Input[FMS_ID],FMS_Input[REMCRITFAC100])</f>
        <v>0</v>
      </c>
      <c r="AV143" s="264">
        <f>_xlfn.XLOOKUP(FMS_Ranking4[[#This Row],[FMS ID]],FMS_Input[FMS_ID],FMS_Input[REMLWC100])</f>
        <v>2</v>
      </c>
      <c r="AW143" s="264">
        <f>_xlfn.XLOOKUP(FMS_Ranking4[[#This Row],[FMS ID]],FMS_Input[FMS_ID],FMS_Input[REMROADCLS])</f>
        <v>0</v>
      </c>
      <c r="AX143" s="264">
        <f>_xlfn.XLOOKUP(FMS_Ranking4[[#This Row],[FMS ID]],FMS_Input[FMS_ID],FMS_Input[REMFRMACRE100])</f>
        <v>614.63555908203125</v>
      </c>
      <c r="AY143" s="258">
        <f>_xlfn.XLOOKUP(FMS_Ranking4[[#This Row],[FMS ID]],FMS_Input[FMS_ID],FMS_Input[COSTSTRUCT])</f>
        <v>25000</v>
      </c>
      <c r="AZ143" s="253">
        <f>_xlfn.XLOOKUP(FMS_Ranking4[[#This Row],[FMS ID]],FMS_Input[FMS_ID],FMS_Input[NATURE])</f>
        <v>0</v>
      </c>
      <c r="BA143" s="262">
        <f>(((FMS_Ranking4[[#This Row],[% NBS Raw]]/AZ$4)*100)*AZ$5)</f>
        <v>0</v>
      </c>
      <c r="BB143" s="251" t="str">
        <f>_xlfn.XLOOKUP(FMS_Ranking4[[#This Row],[FMS ID]],FMS_Input[FMS_ID],FMS_Input[WATER_SUP])</f>
        <v>No</v>
      </c>
      <c r="BC143" s="265">
        <f>IF(FMS_Ranking4[[#This Row],[Water Supply Raw]]="Yes",10,0)</f>
        <v>0</v>
      </c>
      <c r="BD143" s="266">
        <f>_xlfn.XLOOKUP(FMS_Ranking4[[#This Row],[FMS Type]],FMS_TYPE[FMS_Type],FMS_TYPE[Score])</f>
        <v>2</v>
      </c>
      <c r="BE143" s="267">
        <f>FMS_Ranking4[[#This Row],[FMS_Type Score]]*$BD$5*10</f>
        <v>0.5</v>
      </c>
      <c r="BF14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0.20902397286619082</v>
      </c>
      <c r="BG143" s="271">
        <f>_xlfn.RANK.EQ(BF143,$BF$8:$BF$870,0)+COUNTIF($BF$8:BF143,BF143)-1</f>
        <v>356</v>
      </c>
      <c r="BH143" s="268">
        <f>(((FMS_Ranking4[[#This Row],[Structures Removed Raw]]/AK$4)*100)*AK$5)+(((FMS_Ranking4[[#This Row],[Removed Pop Raw]]/AR$4)*100)*AR$5)</f>
        <v>0.32713520161851461</v>
      </c>
      <c r="BI14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1.0361591744847054</v>
      </c>
      <c r="BJ143" s="205">
        <f>_xlfn.RANK.EQ(FMS_Ranking4[[#This Row],[Total Score 
(with linear
normalization)]],FMS_Ranking4[Total Score 
(with linear
normalization)],0)</f>
        <v>705</v>
      </c>
      <c r="BK143" s="205" t="e">
        <f>_xlfn.XLOOKUP(FMS_Ranking4[[#This Row],[FMS ID]],#REF!,#REF!)</f>
        <v>#REF!</v>
      </c>
      <c r="BL14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33.889483462029283</v>
      </c>
      <c r="BM143" s="272">
        <f>FMS_Ranking4[[#This Row],[ArcSinh Score Based on Normalized Reported Factors]]+FMS_Ranking4[[#This Row],[% NBS Score (Normalized)]]+(FMS_Ranking4[[#This Row],[Water Supply Score (Normalized)]]*10*$BB$5)+FMS_Ranking4[[#This Row],[FMS_Type Score Weighted]]</f>
        <v>34.389483462029283</v>
      </c>
      <c r="BN143" s="205">
        <f>_xlfn.RANK.EQ(FMS_Ranking4[[#This Row],[Total Score (with ArcSinh normalization of select criteria)]],FMS_Ranking4[Total Score (with ArcSinh normalization of select criteria)],0)</f>
        <v>136</v>
      </c>
      <c r="BO143" s="270" t="str">
        <f>_xlfn.XLOOKUP(FMS_Ranking4[[#This Row],[FMS ID]],FMS_Input[FMS_ID],FMS_Input[FMS_RANK_YEAR])</f>
        <v>2023 Amended Plan</v>
      </c>
      <c r="BP143" s="204">
        <f>_xlfn.XLOOKUP(FMS_Ranking4[[#This Row],[FMS ID]],Prev_Rank[FMS ID],Prev_Rank[Prev Rank])</f>
        <v>140</v>
      </c>
      <c r="BQ143" s="205" t="e">
        <f>_xlfn.XLOOKUP(FMS_Ranking4[[#This Row],[FMS ID]],#REF!,#REF!)</f>
        <v>#REF!</v>
      </c>
      <c r="BR143" s="199" t="e">
        <f>SUM(#REF!,#REF!,#REF!,#REF!,#REF!,#REF!,#REF!,#REF!,#REF!,FMS_Ranking4[[#This Row],[ArcSinh Res struct removed 0-10]],#REF!)</f>
        <v>#REF!</v>
      </c>
      <c r="BS143" s="199" t="e">
        <f>FMS_Ranking4[[#This Row],[Log Score Based on Normalized Reported Factors]]+FMS_Ranking4[[#This Row],[% NBS Score (Normalized)]]+(FMS_Ranking4[[#This Row],[Water Supply Score (Normalized)]]*10*$BB$5)+(FMS_Ranking4[[#This Row],[FMS_Type Score Weighted]])</f>
        <v>#REF!</v>
      </c>
      <c r="BT143" s="200" t="e">
        <f>_xlfn.RANK.EQ(FMS_Ranking4[[#This Row],[Log Total Score]],FMS_Ranking4[Log Total Score],0)</f>
        <v>#REF!</v>
      </c>
      <c r="BU143" s="200" t="e">
        <f>_xlfn.XLOOKUP(FMS_Ranking4[[#This Row],[FMS ID]],#REF!,#REF!)</f>
        <v>#REF!</v>
      </c>
      <c r="BV143" s="200">
        <f>FMS_Ranking4[[#This Row],[Region Number]]</f>
        <v>9</v>
      </c>
      <c r="BW143" s="200">
        <f>FMS_Ranking4[[#This Row],[Rank (with ArcSinh normalization of select criteria)]]-FMS_Ranking4[[#This Row],[Rank
(with linear
normalization)]]</f>
        <v>-569</v>
      </c>
      <c r="BX143" s="200" t="e">
        <f>FMS_Ranking4[[#This Row],[Log Rank]]-FMS_Ranking4[[#This Row],[Rank
(with linear
normalization)]]</f>
        <v>#REF!</v>
      </c>
      <c r="BY143" s="200" t="str">
        <f>IF(FMS_Ranking4[[#This Row],[FMS Type]]="Flood Measurement and Warning",FMS_Ranking4[[#This Row],[Rank (with ArcSinh normalization of select criteria)]],"")</f>
        <v/>
      </c>
      <c r="BZ143" s="200" t="str">
        <f>IF(FMS_Ranking4[[#This Row],[FMS Type]]="Regulatory and Guidance",FMS_Ranking4[[#This Row],[Rank (with ArcSinh normalization of select criteria)]],"")</f>
        <v/>
      </c>
      <c r="CA143" s="200" t="str">
        <f>IF(FMS_Ranking4[[#This Row],[FMS Type]]="Education and Outreach",FMS_Ranking4[[#This Row],[Rank (with ArcSinh normalization of select criteria)]],"")</f>
        <v/>
      </c>
      <c r="CB143" s="200" t="str">
        <f>IF(FMS_Ranking4[[#This Row],[FMS Type]]="Property Acquisition and Structural Elevation",FMS_Ranking4[[#This Row],[Rank (with ArcSinh normalization of select criteria)]],"")</f>
        <v/>
      </c>
      <c r="CC143" s="200" t="str">
        <f>IF(FMS_Ranking4[[#This Row],[FMS Type]]="Infrastructure Projects",FMS_Ranking4[[#This Row],[Rank (with ArcSinh normalization of select criteria)]],"")</f>
        <v/>
      </c>
      <c r="CD143" s="200">
        <f>IF(FMS_Ranking4[[#This Row],[FMS Type]]="Other",FMS_Ranking4[[#This Row],[Rank (with ArcSinh normalization of select criteria)]],"")</f>
        <v>136</v>
      </c>
      <c r="CE143" s="201"/>
    </row>
    <row r="144" spans="2:83" ht="105" x14ac:dyDescent="0.25">
      <c r="B144" s="341" t="s">
        <v>759</v>
      </c>
      <c r="C144" s="246">
        <f>_xlfn.XLOOKUP(FMS_Ranking4[[#This Row],[FMS ID]],FMS_Input[FMS_ID],FMS_Input[RFPG_NUM])</f>
        <v>9</v>
      </c>
      <c r="D144" s="309" t="str">
        <f>_xlfn.XLOOKUP(FMS_Ranking4[[#This Row],[FMS ID]],FMS_Input[FMS_ID],FMS_Input[FMS_NAME])</f>
        <v>Irion County NFIP Compliance Evaluation</v>
      </c>
      <c r="E144" s="308" t="str">
        <f>_xlfn.XLOOKUP(FMS_Ranking4[[#This Row],[FMS ID]],FMS_Input[FMS_ID],FMS_Input[SPONSOR])</f>
        <v>09000068</v>
      </c>
      <c r="F144" s="309" t="str">
        <f>_xlfn.XLOOKUP(FMS_Ranking4[[#This Row],[FMS ID]],Sponsor[FMS_ID],Sponsor[SPONSOR NAME])</f>
        <v>Irion</v>
      </c>
      <c r="G144" s="309" t="str">
        <f>_xlfn.XLOOKUP(FMS_Ranking4[[#This Row],[FMS ID]],FMS_Input[FMS_ID],FMS_Input[FMS_DESCR])</f>
        <v>Organize planning committee to review language of flood ordinance to ensure minimum NFIP compliance standards and develop higher regulatory standards for permitting in flood prone areas of the County.</v>
      </c>
      <c r="H144" s="248" t="str">
        <f>_xlfn.XLOOKUP(FMS_Ranking4[[#This Row],[FMS ID]],FMS_Input[FMS_ID],FMS_Input[FMS_TYPE])</f>
        <v>Other</v>
      </c>
      <c r="I144" s="249">
        <f>_xlfn.XLOOKUP(FMS_Ranking4[[#This Row],[FMS ID]],FMS_Input[FMS_ID],FMS_Input[NRNC_COST])</f>
        <v>75000</v>
      </c>
      <c r="J144" s="250">
        <f>_xlfn.XLOOKUP(FMS_Ranking4[[#This Row],[FMS ID]],FMS_Input[FMS_ID],FMS_Input[FMS_COST])</f>
        <v>100000</v>
      </c>
      <c r="K144" s="251" t="str">
        <f>_xlfn.XLOOKUP(FMS_Ranking4[[#This Row],[FMS ID]],FMS_Input[FMS_ID],FMS_Input[EMER_NEED])</f>
        <v>No</v>
      </c>
      <c r="L144" s="252">
        <f t="shared" si="2"/>
        <v>0</v>
      </c>
      <c r="M144" s="253">
        <f>_xlfn.XLOOKUP(FMS_Ranking4[[#This Row],[FMS ID]],FMS_Input[FMS_ID],FMS_Input[STRUCT_100])</f>
        <v>354</v>
      </c>
      <c r="N144" s="255">
        <f>(ASINH(FMS_Ranking4[[#This Row],[Structure at Risk Raw]]))*(10)/(ASINH(M$4))</f>
        <v>5.1590597315765612</v>
      </c>
      <c r="O144" s="256">
        <f>FMS_Ranking4[[#This Row],[Structures at risk, ArcSinh (0-10)]]*M$5*10</f>
        <v>5.1590597315765621</v>
      </c>
      <c r="P144" s="253">
        <f>_xlfn.XLOOKUP(FMS_Ranking4[[#This Row],[FMS ID]],FMS_Input[FMS_ID],FMS_Input[RES_STRUCT100])</f>
        <v>104</v>
      </c>
      <c r="Q144" s="257">
        <f>ASINH(FMS_Ranking4[[#This Row],[Res Structure Raw]])/Q$4*P$5*100</f>
        <v>0</v>
      </c>
      <c r="R144" s="253">
        <f>_xlfn.XLOOKUP(FMS_Ranking4[[#This Row],[FMS ID]],FMS_Input[FMS_ID],FMS_Input[POP100])</f>
        <v>235</v>
      </c>
      <c r="S144" s="259">
        <f>(ASINH(FMS_Ranking4[[#This Row],[Pop at Risk Raw]]))*(10)/(ASINH(R$4))</f>
        <v>4.2475927037088859</v>
      </c>
      <c r="T144" s="256">
        <f>FMS_Ranking4[[#This Row],[Population at risk, ArcSinh (0-10)]]*R$5*10</f>
        <v>4.2475927037088859</v>
      </c>
      <c r="U144" s="253">
        <f>_xlfn.XLOOKUP(FMS_Ranking4[[#This Row],[FMS ID]],FMS_Input[FMS_ID],FMS_Input[CRITFAC100])</f>
        <v>0</v>
      </c>
      <c r="V144" s="259">
        <f>(ASINH(FMS_Ranking4[[#This Row],[Critical Facilities Raw]]))*(10)/(ASINH(U$4))</f>
        <v>0</v>
      </c>
      <c r="W144" s="256">
        <f>FMS_Ranking4[[#This Row],[Critical facilities at risk, ArcSinh (0-10)]]*U$5*10</f>
        <v>0</v>
      </c>
      <c r="X144" s="253">
        <f>_xlfn.XLOOKUP(FMS_Ranking4[[#This Row],[FMS ID]],FMS_Input[FMS_ID],FMS_Input[LWC])</f>
        <v>8</v>
      </c>
      <c r="Y144" s="259">
        <f>(ASINH(FMS_Ranking4[[#This Row],[LWC Raw]]))*(10)/(ASINH(X$4))</f>
        <v>3.7613918882232862</v>
      </c>
      <c r="Z144" s="256">
        <f>FMS_Ranking4[[#This Row],[LWC, ArcSInh (0-10)]]*X$5*10</f>
        <v>3.7613918882232866</v>
      </c>
      <c r="AA144" s="253">
        <f>_xlfn.XLOOKUP(FMS_Ranking4[[#This Row],[FMS ID]],FMS_Input[FMS_ID],FMS_Input[ROADCLS])</f>
        <v>0</v>
      </c>
      <c r="AB144" s="255">
        <f>(ASINH(FMS_Ranking4[[#This Row],[Road Closures Raw]]))*(10)/(ASINH(AA$4))</f>
        <v>0</v>
      </c>
      <c r="AC144" s="256">
        <f>FMS_Ranking4[[#This Row],[Road closures, ArcSinh (0-10)]]*AA$5*10</f>
        <v>0</v>
      </c>
      <c r="AD144" s="253">
        <f>_xlfn.XLOOKUP(FMS_Ranking4[[#This Row],[FMS ID]],FMS_Input[FMS_ID],FMS_Input[ROAD_MILES100])</f>
        <v>48</v>
      </c>
      <c r="AE144" s="259">
        <f>(ASINH(FMS_Ranking4[[#This Row],[Road Miles Raw]]))*(10)/(ASINH(AD$4))</f>
        <v>4.8644550289971082</v>
      </c>
      <c r="AF144" s="256">
        <f>FMS_Ranking4[[#This Row],[Length of roads at risk, ArcSinh (0-10)]]*AD$5*10</f>
        <v>4.8644550289971082</v>
      </c>
      <c r="AG144" s="253">
        <f>_xlfn.XLOOKUP(FMS_Ranking4[[#This Row],[FMS ID]],FMS_Input[FMS_ID],FMS_Input[FARMACRE100])</f>
        <v>2458.436279296875</v>
      </c>
      <c r="AH144" s="255">
        <f>(ASINH(FMS_Ranking4[[#This Row],[Ag Land Raw]]))*(10)/(ASINH(AG$4))</f>
        <v>5.5217205034966312</v>
      </c>
      <c r="AI144" s="260">
        <f>FMS_Ranking4[[#This Row],[Farm &amp; ranch land, ArcSinh (0-10)]]*AG$5*10</f>
        <v>2.7608602517483156</v>
      </c>
      <c r="AJ144" s="258">
        <f>_xlfn.XLOOKUP(FMS_Ranking4[[#This Row],[FMS ID]],FMS_Input[FMS_ID],FMS_Input[REDSTRUCT100])</f>
        <v>89</v>
      </c>
      <c r="AK144" s="253">
        <f>_xlfn.XLOOKUP(FMS_Ranking4[[#This Row],[FMS ID]],FMS_Input[FMS_ID],FMS_Input[REMSTRC100])</f>
        <v>89</v>
      </c>
      <c r="AL144" s="259">
        <f>(ASINH(FMS_Ranking4[[#This Row],[Structures Removed Raw]]))*(10)/(ASINH(AK$4))</f>
        <v>5.899866384496085</v>
      </c>
      <c r="AM144" s="262">
        <f>FMS_Ranking4[[#This Row],[Structures removed, ArcSinh (0-10)]]*AK$5*10</f>
        <v>5.899866384496085</v>
      </c>
      <c r="AN144" s="253">
        <f>_xlfn.XLOOKUP(FMS_Ranking4[[#This Row],[FMS ID]],FMS_Input[FMS_ID],FMS_Input[REMRESSTRC100])</f>
        <v>26</v>
      </c>
      <c r="AO144" s="261">
        <f>FMS_Ranking4[[#This Row],[ArcSinh Res struct removed 0-10]]*AN$5*10</f>
        <v>2.3177258080219643</v>
      </c>
      <c r="AP144" s="260">
        <f>ASINH(FMS_Ranking4[[#This Row],[Residential Structures Removed Raw]])/AP$4*AN$5*100</f>
        <v>2.3177258080219643</v>
      </c>
      <c r="AQ144" s="254">
        <f>(ASINH(FMS_Ranking4[[#This Row],[Residential Structures Removed Raw]]))*(10)/(ASINH(AN$4))</f>
        <v>4.6354516160439285</v>
      </c>
      <c r="AR144" s="253">
        <f>_xlfn.XLOOKUP(FMS_Ranking4[[#This Row],[FMS ID]],FMS_Input[FMS_ID],FMS_Input[REMPOP100])</f>
        <v>72</v>
      </c>
      <c r="AS144" s="259">
        <f>(ASINH(FMS_Ranking4[[#This Row],[Removed Pop Raw]]))*(10)/(ASINH(AR$4))</f>
        <v>4.8785176672869479</v>
      </c>
      <c r="AT144" s="262">
        <f>FMS_Ranking4[[#This Row],[Removed population, ArcSinh (0-10)]]*AR$5*10</f>
        <v>4.8785176672869479</v>
      </c>
      <c r="AU144" s="264">
        <f>_xlfn.XLOOKUP(FMS_Ranking4[[#This Row],[FMS ID]],FMS_Input[FMS_ID],FMS_Input[REMCRITFAC100])</f>
        <v>0</v>
      </c>
      <c r="AV144" s="264">
        <f>_xlfn.XLOOKUP(FMS_Ranking4[[#This Row],[FMS ID]],FMS_Input[FMS_ID],FMS_Input[REMLWC100])</f>
        <v>2</v>
      </c>
      <c r="AW144" s="264">
        <f>_xlfn.XLOOKUP(FMS_Ranking4[[#This Row],[FMS ID]],FMS_Input[FMS_ID],FMS_Input[REMROADCLS])</f>
        <v>0</v>
      </c>
      <c r="AX144" s="264">
        <f>_xlfn.XLOOKUP(FMS_Ranking4[[#This Row],[FMS ID]],FMS_Input[FMS_ID],FMS_Input[REMFRMACRE100])</f>
        <v>614.60906982421875</v>
      </c>
      <c r="AY144" s="258">
        <f>_xlfn.XLOOKUP(FMS_Ranking4[[#This Row],[FMS ID]],FMS_Input[FMS_ID],FMS_Input[COSTSTRUCT])</f>
        <v>25000</v>
      </c>
      <c r="AZ144" s="253">
        <f>_xlfn.XLOOKUP(FMS_Ranking4[[#This Row],[FMS ID]],FMS_Input[FMS_ID],FMS_Input[NATURE])</f>
        <v>0</v>
      </c>
      <c r="BA144" s="262">
        <f>(((FMS_Ranking4[[#This Row],[% NBS Raw]]/AZ$4)*100)*AZ$5)</f>
        <v>0</v>
      </c>
      <c r="BB144" s="251" t="str">
        <f>_xlfn.XLOOKUP(FMS_Ranking4[[#This Row],[FMS ID]],FMS_Input[FMS_ID],FMS_Input[WATER_SUP])</f>
        <v>No</v>
      </c>
      <c r="BC144" s="265">
        <f>IF(FMS_Ranking4[[#This Row],[Water Supply Raw]]="Yes",10,0)</f>
        <v>0</v>
      </c>
      <c r="BD144" s="266">
        <f>_xlfn.XLOOKUP(FMS_Ranking4[[#This Row],[FMS Type]],FMS_TYPE[FMS_Type],FMS_TYPE[Score])</f>
        <v>2</v>
      </c>
      <c r="BE144" s="267">
        <f>FMS_Ranking4[[#This Row],[FMS_Type Score]]*$BD$5*10</f>
        <v>0.5</v>
      </c>
      <c r="BF14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0.20902375440650822</v>
      </c>
      <c r="BG144" s="271">
        <f>_xlfn.RANK.EQ(BF144,$BF$8:$BF$870,0)+COUNTIF($BF$8:BF144,BF144)-1</f>
        <v>357</v>
      </c>
      <c r="BH144" s="268">
        <f>(((FMS_Ranking4[[#This Row],[Structures Removed Raw]]/AK$4)*100)*AK$5)+(((FMS_Ranking4[[#This Row],[Removed Pop Raw]]/AR$4)*100)*AR$5)</f>
        <v>0.32713520161851461</v>
      </c>
      <c r="BI14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1.0361589560250228</v>
      </c>
      <c r="BJ144" s="205">
        <f>_xlfn.RANK.EQ(FMS_Ranking4[[#This Row],[Total Score 
(with linear
normalization)]],FMS_Ranking4[Total Score 
(with linear
normalization)],0)</f>
        <v>706</v>
      </c>
      <c r="BK144" s="205" t="e">
        <f>_xlfn.XLOOKUP(FMS_Ranking4[[#This Row],[FMS ID]],#REF!,#REF!)</f>
        <v>#REF!</v>
      </c>
      <c r="BL14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33.889469464059161</v>
      </c>
      <c r="BM144" s="272">
        <f>FMS_Ranking4[[#This Row],[ArcSinh Score Based on Normalized Reported Factors]]+FMS_Ranking4[[#This Row],[% NBS Score (Normalized)]]+(FMS_Ranking4[[#This Row],[Water Supply Score (Normalized)]]*10*$BB$5)+FMS_Ranking4[[#This Row],[FMS_Type Score Weighted]]</f>
        <v>34.389469464059161</v>
      </c>
      <c r="BN144" s="205">
        <f>_xlfn.RANK.EQ(FMS_Ranking4[[#This Row],[Total Score (with ArcSinh normalization of select criteria)]],FMS_Ranking4[Total Score (with ArcSinh normalization of select criteria)],0)</f>
        <v>137</v>
      </c>
      <c r="BO144" s="270" t="str">
        <f>_xlfn.XLOOKUP(FMS_Ranking4[[#This Row],[FMS ID]],FMS_Input[FMS_ID],FMS_Input[FMS_RANK_YEAR])</f>
        <v>2023 Amended Plan</v>
      </c>
      <c r="BP144" s="204">
        <f>_xlfn.XLOOKUP(FMS_Ranking4[[#This Row],[FMS ID]],Prev_Rank[FMS ID],Prev_Rank[Prev Rank])</f>
        <v>141</v>
      </c>
      <c r="BQ144" s="205" t="e">
        <f>_xlfn.XLOOKUP(FMS_Ranking4[[#This Row],[FMS ID]],#REF!,#REF!)</f>
        <v>#REF!</v>
      </c>
      <c r="BR144" s="199" t="e">
        <f>SUM(#REF!,#REF!,#REF!,#REF!,#REF!,#REF!,#REF!,#REF!,#REF!,FMS_Ranking4[[#This Row],[ArcSinh Res struct removed 0-10]],#REF!)</f>
        <v>#REF!</v>
      </c>
      <c r="BS144" s="199" t="e">
        <f>FMS_Ranking4[[#This Row],[Log Score Based on Normalized Reported Factors]]+FMS_Ranking4[[#This Row],[% NBS Score (Normalized)]]+(FMS_Ranking4[[#This Row],[Water Supply Score (Normalized)]]*10*$BB$5)+(FMS_Ranking4[[#This Row],[FMS_Type Score Weighted]])</f>
        <v>#REF!</v>
      </c>
      <c r="BT144" s="200" t="e">
        <f>_xlfn.RANK.EQ(FMS_Ranking4[[#This Row],[Log Total Score]],FMS_Ranking4[Log Total Score],0)</f>
        <v>#REF!</v>
      </c>
      <c r="BU144" s="200" t="e">
        <f>_xlfn.XLOOKUP(FMS_Ranking4[[#This Row],[FMS ID]],#REF!,#REF!)</f>
        <v>#REF!</v>
      </c>
      <c r="BV144" s="200">
        <f>FMS_Ranking4[[#This Row],[Region Number]]</f>
        <v>9</v>
      </c>
      <c r="BW144" s="200">
        <f>FMS_Ranking4[[#This Row],[Rank (with ArcSinh normalization of select criteria)]]-FMS_Ranking4[[#This Row],[Rank
(with linear
normalization)]]</f>
        <v>-569</v>
      </c>
      <c r="BX144" s="200" t="e">
        <f>FMS_Ranking4[[#This Row],[Log Rank]]-FMS_Ranking4[[#This Row],[Rank
(with linear
normalization)]]</f>
        <v>#REF!</v>
      </c>
      <c r="BY144" s="200" t="str">
        <f>IF(FMS_Ranking4[[#This Row],[FMS Type]]="Flood Measurement and Warning",FMS_Ranking4[[#This Row],[Rank (with ArcSinh normalization of select criteria)]],"")</f>
        <v/>
      </c>
      <c r="BZ144" s="200" t="str">
        <f>IF(FMS_Ranking4[[#This Row],[FMS Type]]="Regulatory and Guidance",FMS_Ranking4[[#This Row],[Rank (with ArcSinh normalization of select criteria)]],"")</f>
        <v/>
      </c>
      <c r="CA144" s="200" t="str">
        <f>IF(FMS_Ranking4[[#This Row],[FMS Type]]="Education and Outreach",FMS_Ranking4[[#This Row],[Rank (with ArcSinh normalization of select criteria)]],"")</f>
        <v/>
      </c>
      <c r="CB144" s="200" t="str">
        <f>IF(FMS_Ranking4[[#This Row],[FMS Type]]="Property Acquisition and Structural Elevation",FMS_Ranking4[[#This Row],[Rank (with ArcSinh normalization of select criteria)]],"")</f>
        <v/>
      </c>
      <c r="CC144" s="200" t="str">
        <f>IF(FMS_Ranking4[[#This Row],[FMS Type]]="Infrastructure Projects",FMS_Ranking4[[#This Row],[Rank (with ArcSinh normalization of select criteria)]],"")</f>
        <v/>
      </c>
      <c r="CD144" s="200">
        <f>IF(FMS_Ranking4[[#This Row],[FMS Type]]="Other",FMS_Ranking4[[#This Row],[Rank (with ArcSinh normalization of select criteria)]],"")</f>
        <v>137</v>
      </c>
      <c r="CE144" s="201"/>
    </row>
    <row r="145" spans="2:96" ht="30" x14ac:dyDescent="0.25">
      <c r="B145" s="341" t="s">
        <v>747</v>
      </c>
      <c r="C145" s="246">
        <f>_xlfn.XLOOKUP(FMS_Ranking4[[#This Row],[FMS ID]],FMS_Input[FMS_ID],FMS_Input[RFPG_NUM])</f>
        <v>9</v>
      </c>
      <c r="D145" s="309" t="str">
        <f>_xlfn.XLOOKUP(FMS_Ranking4[[#This Row],[FMS ID]],FMS_Input[FMS_ID],FMS_Input[FMS_NAME])</f>
        <v>Irion County Flood Warning System</v>
      </c>
      <c r="E145" s="308" t="str">
        <f>_xlfn.XLOOKUP(FMS_Ranking4[[#This Row],[FMS ID]],FMS_Input[FMS_ID],FMS_Input[SPONSOR])</f>
        <v>09000068</v>
      </c>
      <c r="F145" s="309" t="str">
        <f>_xlfn.XLOOKUP(FMS_Ranking4[[#This Row],[FMS ID]],Sponsor[FMS_ID],Sponsor[SPONSOR NAME])</f>
        <v>Irion</v>
      </c>
      <c r="G145" s="309" t="str">
        <f>_xlfn.XLOOKUP(FMS_Ranking4[[#This Row],[FMS ID]],FMS_Input[FMS_ID],FMS_Input[FMS_DESCR])</f>
        <v>Draft flood warning system</v>
      </c>
      <c r="H145" s="248" t="str">
        <f>_xlfn.XLOOKUP(FMS_Ranking4[[#This Row],[FMS ID]],FMS_Input[FMS_ID],FMS_Input[FMS_TYPE])</f>
        <v>Other</v>
      </c>
      <c r="I145" s="249">
        <f>_xlfn.XLOOKUP(FMS_Ranking4[[#This Row],[FMS ID]],FMS_Input[FMS_ID],FMS_Input[NRNC_COST])</f>
        <v>5000</v>
      </c>
      <c r="J145" s="250">
        <f>_xlfn.XLOOKUP(FMS_Ranking4[[#This Row],[FMS ID]],FMS_Input[FMS_ID],FMS_Input[FMS_COST])</f>
        <v>30000</v>
      </c>
      <c r="K145" s="251" t="str">
        <f>_xlfn.XLOOKUP(FMS_Ranking4[[#This Row],[FMS ID]],FMS_Input[FMS_ID],FMS_Input[EMER_NEED])</f>
        <v>No</v>
      </c>
      <c r="L145" s="252">
        <f t="shared" si="2"/>
        <v>0</v>
      </c>
      <c r="M145" s="253">
        <f>_xlfn.XLOOKUP(FMS_Ranking4[[#This Row],[FMS ID]],FMS_Input[FMS_ID],FMS_Input[STRUCT_100])</f>
        <v>354</v>
      </c>
      <c r="N145" s="255">
        <f>(ASINH(FMS_Ranking4[[#This Row],[Structure at Risk Raw]]))*(10)/(ASINH(M$4))</f>
        <v>5.1590597315765612</v>
      </c>
      <c r="O145" s="256">
        <f>FMS_Ranking4[[#This Row],[Structures at risk, ArcSinh (0-10)]]*M$5*10</f>
        <v>5.1590597315765621</v>
      </c>
      <c r="P145" s="253">
        <f>_xlfn.XLOOKUP(FMS_Ranking4[[#This Row],[FMS ID]],FMS_Input[FMS_ID],FMS_Input[RES_STRUCT100])</f>
        <v>104</v>
      </c>
      <c r="Q145" s="257">
        <f>ASINH(FMS_Ranking4[[#This Row],[Res Structure Raw]])/Q$4*P$5*100</f>
        <v>0</v>
      </c>
      <c r="R145" s="253">
        <f>_xlfn.XLOOKUP(FMS_Ranking4[[#This Row],[FMS ID]],FMS_Input[FMS_ID],FMS_Input[POP100])</f>
        <v>235</v>
      </c>
      <c r="S145" s="255">
        <f>(ASINH(FMS_Ranking4[[#This Row],[Pop at Risk Raw]]))*(10)/(ASINH(R$4))</f>
        <v>4.2475927037088859</v>
      </c>
      <c r="T145" s="256">
        <f>FMS_Ranking4[[#This Row],[Population at risk, ArcSinh (0-10)]]*R$5*10</f>
        <v>4.2475927037088859</v>
      </c>
      <c r="U145" s="253">
        <f>_xlfn.XLOOKUP(FMS_Ranking4[[#This Row],[FMS ID]],FMS_Input[FMS_ID],FMS_Input[CRITFAC100])</f>
        <v>0</v>
      </c>
      <c r="V145" s="255">
        <f>(ASINH(FMS_Ranking4[[#This Row],[Critical Facilities Raw]]))*(10)/(ASINH(U$4))</f>
        <v>0</v>
      </c>
      <c r="W145" s="256">
        <f>FMS_Ranking4[[#This Row],[Critical facilities at risk, ArcSinh (0-10)]]*U$5*10</f>
        <v>0</v>
      </c>
      <c r="X145" s="253">
        <f>_xlfn.XLOOKUP(FMS_Ranking4[[#This Row],[FMS ID]],FMS_Input[FMS_ID],FMS_Input[LWC])</f>
        <v>8</v>
      </c>
      <c r="Y145" s="255">
        <f>(ASINH(FMS_Ranking4[[#This Row],[LWC Raw]]))*(10)/(ASINH(X$4))</f>
        <v>3.7613918882232862</v>
      </c>
      <c r="Z145" s="256">
        <f>FMS_Ranking4[[#This Row],[LWC, ArcSInh (0-10)]]*X$5*10</f>
        <v>3.7613918882232866</v>
      </c>
      <c r="AA145" s="253">
        <f>_xlfn.XLOOKUP(FMS_Ranking4[[#This Row],[FMS ID]],FMS_Input[FMS_ID],FMS_Input[ROADCLS])</f>
        <v>0</v>
      </c>
      <c r="AB145" s="255">
        <f>(ASINH(FMS_Ranking4[[#This Row],[Road Closures Raw]]))*(10)/(ASINH(AA$4))</f>
        <v>0</v>
      </c>
      <c r="AC145" s="256">
        <f>FMS_Ranking4[[#This Row],[Road closures, ArcSinh (0-10)]]*AA$5*10</f>
        <v>0</v>
      </c>
      <c r="AD145" s="253">
        <f>_xlfn.XLOOKUP(FMS_Ranking4[[#This Row],[FMS ID]],FMS_Input[FMS_ID],FMS_Input[ROAD_MILES100])</f>
        <v>48</v>
      </c>
      <c r="AE145" s="255">
        <f>(ASINH(FMS_Ranking4[[#This Row],[Road Miles Raw]]))*(10)/(ASINH(AD$4))</f>
        <v>4.8644550289971082</v>
      </c>
      <c r="AF145" s="256">
        <f>FMS_Ranking4[[#This Row],[Length of roads at risk, ArcSinh (0-10)]]*AD$5*10</f>
        <v>4.8644550289971082</v>
      </c>
      <c r="AG145" s="253">
        <f>_xlfn.XLOOKUP(FMS_Ranking4[[#This Row],[FMS ID]],FMS_Input[FMS_ID],FMS_Input[FARMACRE100])</f>
        <v>2458.436279296875</v>
      </c>
      <c r="AH145" s="255">
        <f>(ASINH(FMS_Ranking4[[#This Row],[Ag Land Raw]]))*(10)/(ASINH(AG$4))</f>
        <v>5.5217205034966312</v>
      </c>
      <c r="AI145" s="260">
        <f>FMS_Ranking4[[#This Row],[Farm &amp; ranch land, ArcSinh (0-10)]]*AG$5*10</f>
        <v>2.7608602517483156</v>
      </c>
      <c r="AJ145" s="258">
        <f>_xlfn.XLOOKUP(FMS_Ranking4[[#This Row],[FMS ID]],FMS_Input[FMS_ID],FMS_Input[REDSTRUCT100])</f>
        <v>89</v>
      </c>
      <c r="AK145" s="253">
        <f>_xlfn.XLOOKUP(FMS_Ranking4[[#This Row],[FMS ID]],FMS_Input[FMS_ID],FMS_Input[REMSTRC100])</f>
        <v>89</v>
      </c>
      <c r="AL145" s="255">
        <f>(ASINH(FMS_Ranking4[[#This Row],[Structures Removed Raw]]))*(10)/(ASINH(AK$4))</f>
        <v>5.899866384496085</v>
      </c>
      <c r="AM145" s="262">
        <f>FMS_Ranking4[[#This Row],[Structures removed, ArcSinh (0-10)]]*AK$5*10</f>
        <v>5.899866384496085</v>
      </c>
      <c r="AN145" s="253">
        <f>_xlfn.XLOOKUP(FMS_Ranking4[[#This Row],[FMS ID]],FMS_Input[FMS_ID],FMS_Input[REMRESSTRC100])</f>
        <v>26</v>
      </c>
      <c r="AO145" s="261">
        <f>FMS_Ranking4[[#This Row],[ArcSinh Res struct removed 0-10]]*AN$5*10</f>
        <v>2.3177258080219643</v>
      </c>
      <c r="AP145" s="260">
        <f>ASINH(FMS_Ranking4[[#This Row],[Residential Structures Removed Raw]])/AP$4*AN$5*100</f>
        <v>2.3177258080219643</v>
      </c>
      <c r="AQ145" s="258">
        <f>(ASINH(FMS_Ranking4[[#This Row],[Residential Structures Removed Raw]]))*(10)/(ASINH(AN$4))</f>
        <v>4.6354516160439285</v>
      </c>
      <c r="AR145" s="253">
        <f>_xlfn.XLOOKUP(FMS_Ranking4[[#This Row],[FMS ID]],FMS_Input[FMS_ID],FMS_Input[REMPOP100])</f>
        <v>72</v>
      </c>
      <c r="AS145" s="255">
        <f>(ASINH(FMS_Ranking4[[#This Row],[Removed Pop Raw]]))*(10)/(ASINH(AR$4))</f>
        <v>4.8785176672869479</v>
      </c>
      <c r="AT145" s="262">
        <f>FMS_Ranking4[[#This Row],[Removed population, ArcSinh (0-10)]]*AR$5*10</f>
        <v>4.8785176672869479</v>
      </c>
      <c r="AU145" s="264">
        <f>_xlfn.XLOOKUP(FMS_Ranking4[[#This Row],[FMS ID]],FMS_Input[FMS_ID],FMS_Input[REMCRITFAC100])</f>
        <v>0</v>
      </c>
      <c r="AV145" s="264">
        <f>_xlfn.XLOOKUP(FMS_Ranking4[[#This Row],[FMS ID]],FMS_Input[FMS_ID],FMS_Input[REMLWC100])</f>
        <v>2</v>
      </c>
      <c r="AW145" s="264">
        <f>_xlfn.XLOOKUP(FMS_Ranking4[[#This Row],[FMS ID]],FMS_Input[FMS_ID],FMS_Input[REMROADCLS])</f>
        <v>0</v>
      </c>
      <c r="AX145" s="264">
        <f>_xlfn.XLOOKUP(FMS_Ranking4[[#This Row],[FMS ID]],FMS_Input[FMS_ID],FMS_Input[REMFRMACRE100])</f>
        <v>614.60906982421875</v>
      </c>
      <c r="AY145" s="258">
        <f>_xlfn.XLOOKUP(FMS_Ranking4[[#This Row],[FMS ID]],FMS_Input[FMS_ID],FMS_Input[COSTSTRUCT])</f>
        <v>25000</v>
      </c>
      <c r="AZ145" s="253">
        <f>_xlfn.XLOOKUP(FMS_Ranking4[[#This Row],[FMS ID]],FMS_Input[FMS_ID],FMS_Input[NATURE])</f>
        <v>0</v>
      </c>
      <c r="BA145" s="262">
        <f>(((FMS_Ranking4[[#This Row],[% NBS Raw]]/AZ$4)*100)*AZ$5)</f>
        <v>0</v>
      </c>
      <c r="BB145" s="251" t="str">
        <f>_xlfn.XLOOKUP(FMS_Ranking4[[#This Row],[FMS ID]],FMS_Input[FMS_ID],FMS_Input[WATER_SUP])</f>
        <v>No</v>
      </c>
      <c r="BC145" s="265">
        <f>IF(FMS_Ranking4[[#This Row],[Water Supply Raw]]="Yes",10,0)</f>
        <v>0</v>
      </c>
      <c r="BD145" s="266">
        <f>_xlfn.XLOOKUP(FMS_Ranking4[[#This Row],[FMS Type]],FMS_TYPE[FMS_Type],FMS_TYPE[Score])</f>
        <v>2</v>
      </c>
      <c r="BE145" s="267">
        <f>FMS_Ranking4[[#This Row],[FMS_Type Score]]*$BD$5*10</f>
        <v>0.5</v>
      </c>
      <c r="BF14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0.20902375440650822</v>
      </c>
      <c r="BG145" s="321">
        <f>_xlfn.RANK.EQ(BF145,$BF$8:$BF$870,0)+COUNTIF($BF$8:BF145,BF145)-1</f>
        <v>358</v>
      </c>
      <c r="BH145" s="294">
        <f>(((FMS_Ranking4[[#This Row],[Structures Removed Raw]]/AK$4)*100)*AK$5)+(((FMS_Ranking4[[#This Row],[Removed Pop Raw]]/AR$4)*100)*AR$5)</f>
        <v>0.32713520161851461</v>
      </c>
      <c r="BI14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1.0361589560250228</v>
      </c>
      <c r="BJ145" s="251">
        <f>_xlfn.RANK.EQ(FMS_Ranking4[[#This Row],[Total Score 
(with linear
normalization)]],FMS_Ranking4[Total Score 
(with linear
normalization)],0)</f>
        <v>706</v>
      </c>
      <c r="BK145" s="251" t="e">
        <f>_xlfn.XLOOKUP(FMS_Ranking4[[#This Row],[FMS ID]],#REF!,#REF!)</f>
        <v>#REF!</v>
      </c>
      <c r="BL14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33.889469464059161</v>
      </c>
      <c r="BM145" s="324">
        <f>FMS_Ranking4[[#This Row],[ArcSinh Score Based on Normalized Reported Factors]]+FMS_Ranking4[[#This Row],[% NBS Score (Normalized)]]+(FMS_Ranking4[[#This Row],[Water Supply Score (Normalized)]]*10*$BB$5)+FMS_Ranking4[[#This Row],[FMS_Type Score Weighted]]</f>
        <v>34.389469464059161</v>
      </c>
      <c r="BN145" s="251">
        <f>_xlfn.RANK.EQ(FMS_Ranking4[[#This Row],[Total Score (with ArcSinh normalization of select criteria)]],FMS_Ranking4[Total Score (with ArcSinh normalization of select criteria)],0)</f>
        <v>137</v>
      </c>
      <c r="BO145" s="270" t="str">
        <f>_xlfn.XLOOKUP(FMS_Ranking4[[#This Row],[FMS ID]],FMS_Input[FMS_ID],FMS_Input[FMS_RANK_YEAR])</f>
        <v>2023 Amended Plan</v>
      </c>
      <c r="BP145" s="204">
        <f>_xlfn.XLOOKUP(FMS_Ranking4[[#This Row],[FMS ID]],Prev_Rank[FMS ID],Prev_Rank[Prev Rank])</f>
        <v>141</v>
      </c>
      <c r="BQ145" s="251" t="e">
        <f>_xlfn.XLOOKUP(FMS_Ranking4[[#This Row],[FMS ID]],#REF!,#REF!)</f>
        <v>#REF!</v>
      </c>
      <c r="BR145" s="199" t="e">
        <f>SUM(#REF!,#REF!,#REF!,#REF!,#REF!,#REF!,#REF!,#REF!,#REF!,FMS_Ranking4[[#This Row],[ArcSinh Res struct removed 0-10]],#REF!)</f>
        <v>#REF!</v>
      </c>
      <c r="BS145" s="199" t="e">
        <f>FMS_Ranking4[[#This Row],[Log Score Based on Normalized Reported Factors]]+FMS_Ranking4[[#This Row],[% NBS Score (Normalized)]]+(FMS_Ranking4[[#This Row],[Water Supply Score (Normalized)]]*10*$BB$5)+(FMS_Ranking4[[#This Row],[FMS_Type Score Weighted]])</f>
        <v>#REF!</v>
      </c>
      <c r="BT145" s="200" t="e">
        <f>_xlfn.RANK.EQ(FMS_Ranking4[[#This Row],[Log Total Score]],FMS_Ranking4[Log Total Score],0)</f>
        <v>#REF!</v>
      </c>
      <c r="BU145" s="200" t="e">
        <f>_xlfn.XLOOKUP(FMS_Ranking4[[#This Row],[FMS ID]],#REF!,#REF!)</f>
        <v>#REF!</v>
      </c>
      <c r="BV145" s="200">
        <f>FMS_Ranking4[[#This Row],[Region Number]]</f>
        <v>9</v>
      </c>
      <c r="BW145" s="200">
        <f>FMS_Ranking4[[#This Row],[Rank (with ArcSinh normalization of select criteria)]]-FMS_Ranking4[[#This Row],[Rank
(with linear
normalization)]]</f>
        <v>-569</v>
      </c>
      <c r="BX145" s="200" t="e">
        <f>FMS_Ranking4[[#This Row],[Log Rank]]-FMS_Ranking4[[#This Row],[Rank
(with linear
normalization)]]</f>
        <v>#REF!</v>
      </c>
      <c r="BY145" s="200" t="str">
        <f>IF(FMS_Ranking4[[#This Row],[FMS Type]]="Flood Measurement and Warning",FMS_Ranking4[[#This Row],[Rank (with ArcSinh normalization of select criteria)]],"")</f>
        <v/>
      </c>
      <c r="BZ145" s="200" t="str">
        <f>IF(FMS_Ranking4[[#This Row],[FMS Type]]="Regulatory and Guidance",FMS_Ranking4[[#This Row],[Rank (with ArcSinh normalization of select criteria)]],"")</f>
        <v/>
      </c>
      <c r="CA145" s="200" t="str">
        <f>IF(FMS_Ranking4[[#This Row],[FMS Type]]="Education and Outreach",FMS_Ranking4[[#This Row],[Rank (with ArcSinh normalization of select criteria)]],"")</f>
        <v/>
      </c>
      <c r="CB145" s="200" t="str">
        <f>IF(FMS_Ranking4[[#This Row],[FMS Type]]="Property Acquisition and Structural Elevation",FMS_Ranking4[[#This Row],[Rank (with ArcSinh normalization of select criteria)]],"")</f>
        <v/>
      </c>
      <c r="CC145" s="200" t="str">
        <f>IF(FMS_Ranking4[[#This Row],[FMS Type]]="Infrastructure Projects",FMS_Ranking4[[#This Row],[Rank (with ArcSinh normalization of select criteria)]],"")</f>
        <v/>
      </c>
      <c r="CD145" s="200">
        <f>IF(FMS_Ranking4[[#This Row],[FMS Type]]="Other",FMS_Ranking4[[#This Row],[Rank (with ArcSinh normalization of select criteria)]],"")</f>
        <v>137</v>
      </c>
      <c r="CE145" s="201"/>
    </row>
    <row r="146" spans="2:96" ht="90" x14ac:dyDescent="0.25">
      <c r="B146" s="341" t="s">
        <v>757</v>
      </c>
      <c r="C146" s="246">
        <f>_xlfn.XLOOKUP(FMS_Ranking4[[#This Row],[FMS ID]],FMS_Input[FMS_ID],FMS_Input[RFPG_NUM])</f>
        <v>9</v>
      </c>
      <c r="D146" s="309" t="str">
        <f>_xlfn.XLOOKUP(FMS_Ranking4[[#This Row],[FMS ID]],FMS_Input[FMS_ID],FMS_Input[FMS_NAME])</f>
        <v>Irion County Flood Insurance Education Program</v>
      </c>
      <c r="E146" s="308" t="str">
        <f>_xlfn.XLOOKUP(FMS_Ranking4[[#This Row],[FMS ID]],FMS_Input[FMS_ID],FMS_Input[SPONSOR])</f>
        <v>09000068</v>
      </c>
      <c r="F146" s="309" t="str">
        <f>_xlfn.XLOOKUP(FMS_Ranking4[[#This Row],[FMS ID]],Sponsor[FMS_ID],Sponsor[SPONSOR NAME])</f>
        <v>Irion</v>
      </c>
      <c r="G146" s="309" t="str">
        <f>_xlfn.XLOOKUP(FMS_Ranking4[[#This Row],[FMS ID]],FMS_Input[FMS_ID],FMS_Input[FMS_DESCR])</f>
        <v xml:space="preserve">Establish education program regarding benefits of flood insurance as it pertains to elevating structures in the SFHA and in accordance with the local Floodplain Ordinance </v>
      </c>
      <c r="H146" s="248" t="str">
        <f>_xlfn.XLOOKUP(FMS_Ranking4[[#This Row],[FMS ID]],FMS_Input[FMS_ID],FMS_Input[FMS_TYPE])</f>
        <v>Other</v>
      </c>
      <c r="I146" s="249">
        <f>_xlfn.XLOOKUP(FMS_Ranking4[[#This Row],[FMS ID]],FMS_Input[FMS_ID],FMS_Input[NRNC_COST])</f>
        <v>5000</v>
      </c>
      <c r="J146" s="250">
        <f>_xlfn.XLOOKUP(FMS_Ranking4[[#This Row],[FMS ID]],FMS_Input[FMS_ID],FMS_Input[FMS_COST])</f>
        <v>30000</v>
      </c>
      <c r="K146" s="251" t="str">
        <f>_xlfn.XLOOKUP(FMS_Ranking4[[#This Row],[FMS ID]],FMS_Input[FMS_ID],FMS_Input[EMER_NEED])</f>
        <v>No</v>
      </c>
      <c r="L146" s="252">
        <f t="shared" si="2"/>
        <v>0</v>
      </c>
      <c r="M146" s="253">
        <f>_xlfn.XLOOKUP(FMS_Ranking4[[#This Row],[FMS ID]],FMS_Input[FMS_ID],FMS_Input[STRUCT_100])</f>
        <v>354</v>
      </c>
      <c r="N146" s="255">
        <f>(ASINH(FMS_Ranking4[[#This Row],[Structure at Risk Raw]]))*(10)/(ASINH(M$4))</f>
        <v>5.1590597315765612</v>
      </c>
      <c r="O146" s="256">
        <f>FMS_Ranking4[[#This Row],[Structures at risk, ArcSinh (0-10)]]*M$5*10</f>
        <v>5.1590597315765621</v>
      </c>
      <c r="P146" s="253">
        <f>_xlfn.XLOOKUP(FMS_Ranking4[[#This Row],[FMS ID]],FMS_Input[FMS_ID],FMS_Input[RES_STRUCT100])</f>
        <v>104</v>
      </c>
      <c r="Q146" s="257">
        <f>ASINH(FMS_Ranking4[[#This Row],[Res Structure Raw]])/Q$4*P$5*100</f>
        <v>0</v>
      </c>
      <c r="R146" s="253">
        <f>_xlfn.XLOOKUP(FMS_Ranking4[[#This Row],[FMS ID]],FMS_Input[FMS_ID],FMS_Input[POP100])</f>
        <v>235</v>
      </c>
      <c r="S146" s="259">
        <f>(ASINH(FMS_Ranking4[[#This Row],[Pop at Risk Raw]]))*(10)/(ASINH(R$4))</f>
        <v>4.2475927037088859</v>
      </c>
      <c r="T146" s="256">
        <f>FMS_Ranking4[[#This Row],[Population at risk, ArcSinh (0-10)]]*R$5*10</f>
        <v>4.2475927037088859</v>
      </c>
      <c r="U146" s="253">
        <f>_xlfn.XLOOKUP(FMS_Ranking4[[#This Row],[FMS ID]],FMS_Input[FMS_ID],FMS_Input[CRITFAC100])</f>
        <v>0</v>
      </c>
      <c r="V146" s="259">
        <f>(ASINH(FMS_Ranking4[[#This Row],[Critical Facilities Raw]]))*(10)/(ASINH(U$4))</f>
        <v>0</v>
      </c>
      <c r="W146" s="256">
        <f>FMS_Ranking4[[#This Row],[Critical facilities at risk, ArcSinh (0-10)]]*U$5*10</f>
        <v>0</v>
      </c>
      <c r="X146" s="253">
        <f>_xlfn.XLOOKUP(FMS_Ranking4[[#This Row],[FMS ID]],FMS_Input[FMS_ID],FMS_Input[LWC])</f>
        <v>8</v>
      </c>
      <c r="Y146" s="259">
        <f>(ASINH(FMS_Ranking4[[#This Row],[LWC Raw]]))*(10)/(ASINH(X$4))</f>
        <v>3.7613918882232862</v>
      </c>
      <c r="Z146" s="256">
        <f>FMS_Ranking4[[#This Row],[LWC, ArcSInh (0-10)]]*X$5*10</f>
        <v>3.7613918882232866</v>
      </c>
      <c r="AA146" s="253">
        <f>_xlfn.XLOOKUP(FMS_Ranking4[[#This Row],[FMS ID]],FMS_Input[FMS_ID],FMS_Input[ROADCLS])</f>
        <v>0</v>
      </c>
      <c r="AB146" s="255">
        <f>(ASINH(FMS_Ranking4[[#This Row],[Road Closures Raw]]))*(10)/(ASINH(AA$4))</f>
        <v>0</v>
      </c>
      <c r="AC146" s="256">
        <f>FMS_Ranking4[[#This Row],[Road closures, ArcSinh (0-10)]]*AA$5*10</f>
        <v>0</v>
      </c>
      <c r="AD146" s="253">
        <f>_xlfn.XLOOKUP(FMS_Ranking4[[#This Row],[FMS ID]],FMS_Input[FMS_ID],FMS_Input[ROAD_MILES100])</f>
        <v>48</v>
      </c>
      <c r="AE146" s="259">
        <f>(ASINH(FMS_Ranking4[[#This Row],[Road Miles Raw]]))*(10)/(ASINH(AD$4))</f>
        <v>4.8644550289971082</v>
      </c>
      <c r="AF146" s="256">
        <f>FMS_Ranking4[[#This Row],[Length of roads at risk, ArcSinh (0-10)]]*AD$5*10</f>
        <v>4.8644550289971082</v>
      </c>
      <c r="AG146" s="253">
        <f>_xlfn.XLOOKUP(FMS_Ranking4[[#This Row],[FMS ID]],FMS_Input[FMS_ID],FMS_Input[FARMACRE100])</f>
        <v>2458.436279296875</v>
      </c>
      <c r="AH146" s="255">
        <f>(ASINH(FMS_Ranking4[[#This Row],[Ag Land Raw]]))*(10)/(ASINH(AG$4))</f>
        <v>5.5217205034966312</v>
      </c>
      <c r="AI146" s="260">
        <f>FMS_Ranking4[[#This Row],[Farm &amp; ranch land, ArcSinh (0-10)]]*AG$5*10</f>
        <v>2.7608602517483156</v>
      </c>
      <c r="AJ146" s="258">
        <f>_xlfn.XLOOKUP(FMS_Ranking4[[#This Row],[FMS ID]],FMS_Input[FMS_ID],FMS_Input[REDSTRUCT100])</f>
        <v>89</v>
      </c>
      <c r="AK146" s="253">
        <f>_xlfn.XLOOKUP(FMS_Ranking4[[#This Row],[FMS ID]],FMS_Input[FMS_ID],FMS_Input[REMSTRC100])</f>
        <v>89</v>
      </c>
      <c r="AL146" s="259">
        <f>(ASINH(FMS_Ranking4[[#This Row],[Structures Removed Raw]]))*(10)/(ASINH(AK$4))</f>
        <v>5.899866384496085</v>
      </c>
      <c r="AM146" s="262">
        <f>FMS_Ranking4[[#This Row],[Structures removed, ArcSinh (0-10)]]*AK$5*10</f>
        <v>5.899866384496085</v>
      </c>
      <c r="AN146" s="253">
        <f>_xlfn.XLOOKUP(FMS_Ranking4[[#This Row],[FMS ID]],FMS_Input[FMS_ID],FMS_Input[REMRESSTRC100])</f>
        <v>26</v>
      </c>
      <c r="AO146" s="261">
        <f>FMS_Ranking4[[#This Row],[ArcSinh Res struct removed 0-10]]*AN$5*10</f>
        <v>2.3177258080219643</v>
      </c>
      <c r="AP146" s="260">
        <f>ASINH(FMS_Ranking4[[#This Row],[Residential Structures Removed Raw]])/AP$4*AN$5*100</f>
        <v>2.3177258080219643</v>
      </c>
      <c r="AQ146" s="254">
        <f>(ASINH(FMS_Ranking4[[#This Row],[Residential Structures Removed Raw]]))*(10)/(ASINH(AN$4))</f>
        <v>4.6354516160439285</v>
      </c>
      <c r="AR146" s="253">
        <f>_xlfn.XLOOKUP(FMS_Ranking4[[#This Row],[FMS ID]],FMS_Input[FMS_ID],FMS_Input[REMPOP100])</f>
        <v>72</v>
      </c>
      <c r="AS146" s="259">
        <f>(ASINH(FMS_Ranking4[[#This Row],[Removed Pop Raw]]))*(10)/(ASINH(AR$4))</f>
        <v>4.8785176672869479</v>
      </c>
      <c r="AT146" s="262">
        <f>FMS_Ranking4[[#This Row],[Removed population, ArcSinh (0-10)]]*AR$5*10</f>
        <v>4.8785176672869479</v>
      </c>
      <c r="AU146" s="264">
        <f>_xlfn.XLOOKUP(FMS_Ranking4[[#This Row],[FMS ID]],FMS_Input[FMS_ID],FMS_Input[REMCRITFAC100])</f>
        <v>0</v>
      </c>
      <c r="AV146" s="264">
        <f>_xlfn.XLOOKUP(FMS_Ranking4[[#This Row],[FMS ID]],FMS_Input[FMS_ID],FMS_Input[REMLWC100])</f>
        <v>2</v>
      </c>
      <c r="AW146" s="264">
        <f>_xlfn.XLOOKUP(FMS_Ranking4[[#This Row],[FMS ID]],FMS_Input[FMS_ID],FMS_Input[REMROADCLS])</f>
        <v>0</v>
      </c>
      <c r="AX146" s="264">
        <f>_xlfn.XLOOKUP(FMS_Ranking4[[#This Row],[FMS ID]],FMS_Input[FMS_ID],FMS_Input[REMFRMACRE100])</f>
        <v>614.60906982421875</v>
      </c>
      <c r="AY146" s="258">
        <f>_xlfn.XLOOKUP(FMS_Ranking4[[#This Row],[FMS ID]],FMS_Input[FMS_ID],FMS_Input[COSTSTRUCT])</f>
        <v>25000</v>
      </c>
      <c r="AZ146" s="253">
        <f>_xlfn.XLOOKUP(FMS_Ranking4[[#This Row],[FMS ID]],FMS_Input[FMS_ID],FMS_Input[NATURE])</f>
        <v>0</v>
      </c>
      <c r="BA146" s="262">
        <f>(((FMS_Ranking4[[#This Row],[% NBS Raw]]/AZ$4)*100)*AZ$5)</f>
        <v>0</v>
      </c>
      <c r="BB146" s="251" t="str">
        <f>_xlfn.XLOOKUP(FMS_Ranking4[[#This Row],[FMS ID]],FMS_Input[FMS_ID],FMS_Input[WATER_SUP])</f>
        <v>No</v>
      </c>
      <c r="BC146" s="265">
        <f>IF(FMS_Ranking4[[#This Row],[Water Supply Raw]]="Yes",10,0)</f>
        <v>0</v>
      </c>
      <c r="BD146" s="266">
        <f>_xlfn.XLOOKUP(FMS_Ranking4[[#This Row],[FMS Type]],FMS_TYPE[FMS_Type],FMS_TYPE[Score])</f>
        <v>2</v>
      </c>
      <c r="BE146" s="267">
        <f>FMS_Ranking4[[#This Row],[FMS_Type Score]]*$BD$5*10</f>
        <v>0.5</v>
      </c>
      <c r="BF14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0.20902375440650822</v>
      </c>
      <c r="BG146" s="271">
        <f>_xlfn.RANK.EQ(BF146,$BF$8:$BF$870,0)+COUNTIF($BF$8:BF146,BF146)-1</f>
        <v>359</v>
      </c>
      <c r="BH146" s="268">
        <f>(((FMS_Ranking4[[#This Row],[Structures Removed Raw]]/AK$4)*100)*AK$5)+(((FMS_Ranking4[[#This Row],[Removed Pop Raw]]/AR$4)*100)*AR$5)</f>
        <v>0.32713520161851461</v>
      </c>
      <c r="BI14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1.0361589560250228</v>
      </c>
      <c r="BJ146" s="205">
        <f>_xlfn.RANK.EQ(FMS_Ranking4[[#This Row],[Total Score 
(with linear
normalization)]],FMS_Ranking4[Total Score 
(with linear
normalization)],0)</f>
        <v>706</v>
      </c>
      <c r="BK146" s="205" t="e">
        <f>_xlfn.XLOOKUP(FMS_Ranking4[[#This Row],[FMS ID]],#REF!,#REF!)</f>
        <v>#REF!</v>
      </c>
      <c r="BL14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33.889469464059161</v>
      </c>
      <c r="BM146" s="272">
        <f>FMS_Ranking4[[#This Row],[ArcSinh Score Based on Normalized Reported Factors]]+FMS_Ranking4[[#This Row],[% NBS Score (Normalized)]]+(FMS_Ranking4[[#This Row],[Water Supply Score (Normalized)]]*10*$BB$5)+FMS_Ranking4[[#This Row],[FMS_Type Score Weighted]]</f>
        <v>34.389469464059161</v>
      </c>
      <c r="BN146" s="205">
        <f>_xlfn.RANK.EQ(FMS_Ranking4[[#This Row],[Total Score (with ArcSinh normalization of select criteria)]],FMS_Ranking4[Total Score (with ArcSinh normalization of select criteria)],0)</f>
        <v>137</v>
      </c>
      <c r="BO146" s="270" t="str">
        <f>_xlfn.XLOOKUP(FMS_Ranking4[[#This Row],[FMS ID]],FMS_Input[FMS_ID],FMS_Input[FMS_RANK_YEAR])</f>
        <v>2023 Amended Plan</v>
      </c>
      <c r="BP146" s="204">
        <f>_xlfn.XLOOKUP(FMS_Ranking4[[#This Row],[FMS ID]],Prev_Rank[FMS ID],Prev_Rank[Prev Rank])</f>
        <v>141</v>
      </c>
      <c r="BQ146" s="205" t="e">
        <f>_xlfn.XLOOKUP(FMS_Ranking4[[#This Row],[FMS ID]],#REF!,#REF!)</f>
        <v>#REF!</v>
      </c>
      <c r="BR146" s="199" t="e">
        <f>SUM(#REF!,#REF!,#REF!,#REF!,#REF!,#REF!,#REF!,#REF!,#REF!,FMS_Ranking4[[#This Row],[ArcSinh Res struct removed 0-10]],#REF!)</f>
        <v>#REF!</v>
      </c>
      <c r="BS146" s="199" t="e">
        <f>FMS_Ranking4[[#This Row],[Log Score Based on Normalized Reported Factors]]+FMS_Ranking4[[#This Row],[% NBS Score (Normalized)]]+(FMS_Ranking4[[#This Row],[Water Supply Score (Normalized)]]*10*$BB$5)+(FMS_Ranking4[[#This Row],[FMS_Type Score Weighted]])</f>
        <v>#REF!</v>
      </c>
      <c r="BT146" s="200" t="e">
        <f>_xlfn.RANK.EQ(FMS_Ranking4[[#This Row],[Log Total Score]],FMS_Ranking4[Log Total Score],0)</f>
        <v>#REF!</v>
      </c>
      <c r="BU146" s="200" t="e">
        <f>_xlfn.XLOOKUP(FMS_Ranking4[[#This Row],[FMS ID]],#REF!,#REF!)</f>
        <v>#REF!</v>
      </c>
      <c r="BV146" s="200">
        <f>FMS_Ranking4[[#This Row],[Region Number]]</f>
        <v>9</v>
      </c>
      <c r="BW146" s="200">
        <f>FMS_Ranking4[[#This Row],[Rank (with ArcSinh normalization of select criteria)]]-FMS_Ranking4[[#This Row],[Rank
(with linear
normalization)]]</f>
        <v>-569</v>
      </c>
      <c r="BX146" s="200" t="e">
        <f>FMS_Ranking4[[#This Row],[Log Rank]]-FMS_Ranking4[[#This Row],[Rank
(with linear
normalization)]]</f>
        <v>#REF!</v>
      </c>
      <c r="BY146" s="200" t="str">
        <f>IF(FMS_Ranking4[[#This Row],[FMS Type]]="Flood Measurement and Warning",FMS_Ranking4[[#This Row],[Rank (with ArcSinh normalization of select criteria)]],"")</f>
        <v/>
      </c>
      <c r="BZ146" s="200" t="str">
        <f>IF(FMS_Ranking4[[#This Row],[FMS Type]]="Regulatory and Guidance",FMS_Ranking4[[#This Row],[Rank (with ArcSinh normalization of select criteria)]],"")</f>
        <v/>
      </c>
      <c r="CA146" s="200" t="str">
        <f>IF(FMS_Ranking4[[#This Row],[FMS Type]]="Education and Outreach",FMS_Ranking4[[#This Row],[Rank (with ArcSinh normalization of select criteria)]],"")</f>
        <v/>
      </c>
      <c r="CB146" s="200" t="str">
        <f>IF(FMS_Ranking4[[#This Row],[FMS Type]]="Property Acquisition and Structural Elevation",FMS_Ranking4[[#This Row],[Rank (with ArcSinh normalization of select criteria)]],"")</f>
        <v/>
      </c>
      <c r="CC146" s="200" t="str">
        <f>IF(FMS_Ranking4[[#This Row],[FMS Type]]="Infrastructure Projects",FMS_Ranking4[[#This Row],[Rank (with ArcSinh normalization of select criteria)]],"")</f>
        <v/>
      </c>
      <c r="CD146" s="200">
        <f>IF(FMS_Ranking4[[#This Row],[FMS Type]]="Other",FMS_Ranking4[[#This Row],[Rank (with ArcSinh normalization of select criteria)]],"")</f>
        <v>137</v>
      </c>
      <c r="CE146" s="201"/>
    </row>
    <row r="147" spans="2:96" ht="30" x14ac:dyDescent="0.25">
      <c r="B147" s="341" t="s">
        <v>762</v>
      </c>
      <c r="C147" s="246">
        <f>_xlfn.XLOOKUP(FMS_Ranking4[[#This Row],[FMS ID]],FMS_Input[FMS_ID],FMS_Input[RFPG_NUM])</f>
        <v>9</v>
      </c>
      <c r="D147" s="309" t="str">
        <f>_xlfn.XLOOKUP(FMS_Ranking4[[#This Row],[FMS ID]],FMS_Input[FMS_ID],FMS_Input[FMS_NAME])</f>
        <v>Irion County CTP Program</v>
      </c>
      <c r="E147" s="308" t="str">
        <f>_xlfn.XLOOKUP(FMS_Ranking4[[#This Row],[FMS ID]],FMS_Input[FMS_ID],FMS_Input[SPONSOR])</f>
        <v>09000068</v>
      </c>
      <c r="F147" s="309" t="str">
        <f>_xlfn.XLOOKUP(FMS_Ranking4[[#This Row],[FMS ID]],Sponsor[FMS_ID],Sponsor[SPONSOR NAME])</f>
        <v>Irion</v>
      </c>
      <c r="G147" s="309" t="str">
        <f>_xlfn.XLOOKUP(FMS_Ranking4[[#This Row],[FMS ID]],FMS_Input[FMS_ID],FMS_Input[FMS_DESCR])</f>
        <v>Draft CTP program</v>
      </c>
      <c r="H147" s="248" t="str">
        <f>_xlfn.XLOOKUP(FMS_Ranking4[[#This Row],[FMS ID]],FMS_Input[FMS_ID],FMS_Input[FMS_TYPE])</f>
        <v>Other</v>
      </c>
      <c r="I147" s="249">
        <f>_xlfn.XLOOKUP(FMS_Ranking4[[#This Row],[FMS ID]],FMS_Input[FMS_ID],FMS_Input[NRNC_COST])</f>
        <v>5000</v>
      </c>
      <c r="J147" s="250">
        <f>_xlfn.XLOOKUP(FMS_Ranking4[[#This Row],[FMS ID]],FMS_Input[FMS_ID],FMS_Input[FMS_COST])</f>
        <v>30000</v>
      </c>
      <c r="K147" s="251" t="str">
        <f>_xlfn.XLOOKUP(FMS_Ranking4[[#This Row],[FMS ID]],FMS_Input[FMS_ID],FMS_Input[EMER_NEED])</f>
        <v>No</v>
      </c>
      <c r="L147" s="252">
        <f t="shared" si="2"/>
        <v>0</v>
      </c>
      <c r="M147" s="253">
        <f>_xlfn.XLOOKUP(FMS_Ranking4[[#This Row],[FMS ID]],FMS_Input[FMS_ID],FMS_Input[STRUCT_100])</f>
        <v>354</v>
      </c>
      <c r="N147" s="255">
        <f>(ASINH(FMS_Ranking4[[#This Row],[Structure at Risk Raw]]))*(10)/(ASINH(M$4))</f>
        <v>5.1590597315765612</v>
      </c>
      <c r="O147" s="256">
        <f>FMS_Ranking4[[#This Row],[Structures at risk, ArcSinh (0-10)]]*M$5*10</f>
        <v>5.1590597315765621</v>
      </c>
      <c r="P147" s="253">
        <f>_xlfn.XLOOKUP(FMS_Ranking4[[#This Row],[FMS ID]],FMS_Input[FMS_ID],FMS_Input[RES_STRUCT100])</f>
        <v>104</v>
      </c>
      <c r="Q147" s="257">
        <f>ASINH(FMS_Ranking4[[#This Row],[Res Structure Raw]])/Q$4*P$5*100</f>
        <v>0</v>
      </c>
      <c r="R147" s="253">
        <f>_xlfn.XLOOKUP(FMS_Ranking4[[#This Row],[FMS ID]],FMS_Input[FMS_ID],FMS_Input[POP100])</f>
        <v>235</v>
      </c>
      <c r="S147" s="259">
        <f>(ASINH(FMS_Ranking4[[#This Row],[Pop at Risk Raw]]))*(10)/(ASINH(R$4))</f>
        <v>4.2475927037088859</v>
      </c>
      <c r="T147" s="256">
        <f>FMS_Ranking4[[#This Row],[Population at risk, ArcSinh (0-10)]]*R$5*10</f>
        <v>4.2475927037088859</v>
      </c>
      <c r="U147" s="253">
        <f>_xlfn.XLOOKUP(FMS_Ranking4[[#This Row],[FMS ID]],FMS_Input[FMS_ID],FMS_Input[CRITFAC100])</f>
        <v>0</v>
      </c>
      <c r="V147" s="259">
        <f>(ASINH(FMS_Ranking4[[#This Row],[Critical Facilities Raw]]))*(10)/(ASINH(U$4))</f>
        <v>0</v>
      </c>
      <c r="W147" s="256">
        <f>FMS_Ranking4[[#This Row],[Critical facilities at risk, ArcSinh (0-10)]]*U$5*10</f>
        <v>0</v>
      </c>
      <c r="X147" s="253">
        <f>_xlfn.XLOOKUP(FMS_Ranking4[[#This Row],[FMS ID]],FMS_Input[FMS_ID],FMS_Input[LWC])</f>
        <v>8</v>
      </c>
      <c r="Y147" s="259">
        <f>(ASINH(FMS_Ranking4[[#This Row],[LWC Raw]]))*(10)/(ASINH(X$4))</f>
        <v>3.7613918882232862</v>
      </c>
      <c r="Z147" s="256">
        <f>FMS_Ranking4[[#This Row],[LWC, ArcSInh (0-10)]]*X$5*10</f>
        <v>3.7613918882232866</v>
      </c>
      <c r="AA147" s="253">
        <f>_xlfn.XLOOKUP(FMS_Ranking4[[#This Row],[FMS ID]],FMS_Input[FMS_ID],FMS_Input[ROADCLS])</f>
        <v>0</v>
      </c>
      <c r="AB147" s="255">
        <f>(ASINH(FMS_Ranking4[[#This Row],[Road Closures Raw]]))*(10)/(ASINH(AA$4))</f>
        <v>0</v>
      </c>
      <c r="AC147" s="256">
        <f>FMS_Ranking4[[#This Row],[Road closures, ArcSinh (0-10)]]*AA$5*10</f>
        <v>0</v>
      </c>
      <c r="AD147" s="253">
        <f>_xlfn.XLOOKUP(FMS_Ranking4[[#This Row],[FMS ID]],FMS_Input[FMS_ID],FMS_Input[ROAD_MILES100])</f>
        <v>48</v>
      </c>
      <c r="AE147" s="259">
        <f>(ASINH(FMS_Ranking4[[#This Row],[Road Miles Raw]]))*(10)/(ASINH(AD$4))</f>
        <v>4.8644550289971082</v>
      </c>
      <c r="AF147" s="256">
        <f>FMS_Ranking4[[#This Row],[Length of roads at risk, ArcSinh (0-10)]]*AD$5*10</f>
        <v>4.8644550289971082</v>
      </c>
      <c r="AG147" s="253">
        <f>_xlfn.XLOOKUP(FMS_Ranking4[[#This Row],[FMS ID]],FMS_Input[FMS_ID],FMS_Input[FARMACRE100])</f>
        <v>2458.436279296875</v>
      </c>
      <c r="AH147" s="255">
        <f>(ASINH(FMS_Ranking4[[#This Row],[Ag Land Raw]]))*(10)/(ASINH(AG$4))</f>
        <v>5.5217205034966312</v>
      </c>
      <c r="AI147" s="260">
        <f>FMS_Ranking4[[#This Row],[Farm &amp; ranch land, ArcSinh (0-10)]]*AG$5*10</f>
        <v>2.7608602517483156</v>
      </c>
      <c r="AJ147" s="258">
        <f>_xlfn.XLOOKUP(FMS_Ranking4[[#This Row],[FMS ID]],FMS_Input[FMS_ID],FMS_Input[REDSTRUCT100])</f>
        <v>89</v>
      </c>
      <c r="AK147" s="253">
        <f>_xlfn.XLOOKUP(FMS_Ranking4[[#This Row],[FMS ID]],FMS_Input[FMS_ID],FMS_Input[REMSTRC100])</f>
        <v>89</v>
      </c>
      <c r="AL147" s="259">
        <f>(ASINH(FMS_Ranking4[[#This Row],[Structures Removed Raw]]))*(10)/(ASINH(AK$4))</f>
        <v>5.899866384496085</v>
      </c>
      <c r="AM147" s="262">
        <f>FMS_Ranking4[[#This Row],[Structures removed, ArcSinh (0-10)]]*AK$5*10</f>
        <v>5.899866384496085</v>
      </c>
      <c r="AN147" s="253">
        <f>_xlfn.XLOOKUP(FMS_Ranking4[[#This Row],[FMS ID]],FMS_Input[FMS_ID],FMS_Input[REMRESSTRC100])</f>
        <v>26</v>
      </c>
      <c r="AO147" s="261">
        <f>FMS_Ranking4[[#This Row],[ArcSinh Res struct removed 0-10]]*AN$5*10</f>
        <v>2.3177258080219643</v>
      </c>
      <c r="AP147" s="260">
        <f>ASINH(FMS_Ranking4[[#This Row],[Residential Structures Removed Raw]])/AP$4*AN$5*100</f>
        <v>2.3177258080219643</v>
      </c>
      <c r="AQ147" s="254">
        <f>(ASINH(FMS_Ranking4[[#This Row],[Residential Structures Removed Raw]]))*(10)/(ASINH(AN$4))</f>
        <v>4.6354516160439285</v>
      </c>
      <c r="AR147" s="253">
        <f>_xlfn.XLOOKUP(FMS_Ranking4[[#This Row],[FMS ID]],FMS_Input[FMS_ID],FMS_Input[REMPOP100])</f>
        <v>72</v>
      </c>
      <c r="AS147" s="259">
        <f>(ASINH(FMS_Ranking4[[#This Row],[Removed Pop Raw]]))*(10)/(ASINH(AR$4))</f>
        <v>4.8785176672869479</v>
      </c>
      <c r="AT147" s="262">
        <f>FMS_Ranking4[[#This Row],[Removed population, ArcSinh (0-10)]]*AR$5*10</f>
        <v>4.8785176672869479</v>
      </c>
      <c r="AU147" s="264">
        <f>_xlfn.XLOOKUP(FMS_Ranking4[[#This Row],[FMS ID]],FMS_Input[FMS_ID],FMS_Input[REMCRITFAC100])</f>
        <v>0</v>
      </c>
      <c r="AV147" s="264">
        <f>_xlfn.XLOOKUP(FMS_Ranking4[[#This Row],[FMS ID]],FMS_Input[FMS_ID],FMS_Input[REMLWC100])</f>
        <v>2</v>
      </c>
      <c r="AW147" s="264">
        <f>_xlfn.XLOOKUP(FMS_Ranking4[[#This Row],[FMS ID]],FMS_Input[FMS_ID],FMS_Input[REMROADCLS])</f>
        <v>0</v>
      </c>
      <c r="AX147" s="264">
        <f>_xlfn.XLOOKUP(FMS_Ranking4[[#This Row],[FMS ID]],FMS_Input[FMS_ID],FMS_Input[REMFRMACRE100])</f>
        <v>614.60906982421875</v>
      </c>
      <c r="AY147" s="258">
        <f>_xlfn.XLOOKUP(FMS_Ranking4[[#This Row],[FMS ID]],FMS_Input[FMS_ID],FMS_Input[COSTSTRUCT])</f>
        <v>25000</v>
      </c>
      <c r="AZ147" s="253">
        <f>_xlfn.XLOOKUP(FMS_Ranking4[[#This Row],[FMS ID]],FMS_Input[FMS_ID],FMS_Input[NATURE])</f>
        <v>0</v>
      </c>
      <c r="BA147" s="262">
        <f>(((FMS_Ranking4[[#This Row],[% NBS Raw]]/AZ$4)*100)*AZ$5)</f>
        <v>0</v>
      </c>
      <c r="BB147" s="251" t="str">
        <f>_xlfn.XLOOKUP(FMS_Ranking4[[#This Row],[FMS ID]],FMS_Input[FMS_ID],FMS_Input[WATER_SUP])</f>
        <v>No</v>
      </c>
      <c r="BC147" s="265">
        <f>IF(FMS_Ranking4[[#This Row],[Water Supply Raw]]="Yes",10,0)</f>
        <v>0</v>
      </c>
      <c r="BD147" s="266">
        <f>_xlfn.XLOOKUP(FMS_Ranking4[[#This Row],[FMS Type]],FMS_TYPE[FMS_Type],FMS_TYPE[Score])</f>
        <v>2</v>
      </c>
      <c r="BE147" s="267">
        <f>FMS_Ranking4[[#This Row],[FMS_Type Score]]*$BD$5*10</f>
        <v>0.5</v>
      </c>
      <c r="BF14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0.20902375440650822</v>
      </c>
      <c r="BG147" s="271">
        <f>_xlfn.RANK.EQ(BF147,$BF$8:$BF$870,0)+COUNTIF($BF$8:BF147,BF147)-1</f>
        <v>360</v>
      </c>
      <c r="BH147" s="268">
        <f>(((FMS_Ranking4[[#This Row],[Structures Removed Raw]]/AK$4)*100)*AK$5)+(((FMS_Ranking4[[#This Row],[Removed Pop Raw]]/AR$4)*100)*AR$5)</f>
        <v>0.32713520161851461</v>
      </c>
      <c r="BI14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1.0361589560250228</v>
      </c>
      <c r="BJ147" s="205">
        <f>_xlfn.RANK.EQ(FMS_Ranking4[[#This Row],[Total Score 
(with linear
normalization)]],FMS_Ranking4[Total Score 
(with linear
normalization)],0)</f>
        <v>706</v>
      </c>
      <c r="BK147" s="205" t="e">
        <f>_xlfn.XLOOKUP(FMS_Ranking4[[#This Row],[FMS ID]],#REF!,#REF!)</f>
        <v>#REF!</v>
      </c>
      <c r="BL14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33.889469464059161</v>
      </c>
      <c r="BM147" s="272">
        <f>FMS_Ranking4[[#This Row],[ArcSinh Score Based on Normalized Reported Factors]]+FMS_Ranking4[[#This Row],[% NBS Score (Normalized)]]+(FMS_Ranking4[[#This Row],[Water Supply Score (Normalized)]]*10*$BB$5)+FMS_Ranking4[[#This Row],[FMS_Type Score Weighted]]</f>
        <v>34.389469464059161</v>
      </c>
      <c r="BN147" s="205">
        <f>_xlfn.RANK.EQ(FMS_Ranking4[[#This Row],[Total Score (with ArcSinh normalization of select criteria)]],FMS_Ranking4[Total Score (with ArcSinh normalization of select criteria)],0)</f>
        <v>137</v>
      </c>
      <c r="BO147" s="270" t="str">
        <f>_xlfn.XLOOKUP(FMS_Ranking4[[#This Row],[FMS ID]],FMS_Input[FMS_ID],FMS_Input[FMS_RANK_YEAR])</f>
        <v>2023 Amended Plan</v>
      </c>
      <c r="BP147" s="204">
        <f>_xlfn.XLOOKUP(FMS_Ranking4[[#This Row],[FMS ID]],Prev_Rank[FMS ID],Prev_Rank[Prev Rank])</f>
        <v>141</v>
      </c>
      <c r="BQ147" s="205" t="e">
        <f>_xlfn.XLOOKUP(FMS_Ranking4[[#This Row],[FMS ID]],#REF!,#REF!)</f>
        <v>#REF!</v>
      </c>
      <c r="BR147" s="199" t="e">
        <f>SUM(#REF!,#REF!,#REF!,#REF!,#REF!,#REF!,#REF!,#REF!,#REF!,FMS_Ranking4[[#This Row],[ArcSinh Res struct removed 0-10]],#REF!)</f>
        <v>#REF!</v>
      </c>
      <c r="BS147" s="199" t="e">
        <f>FMS_Ranking4[[#This Row],[Log Score Based on Normalized Reported Factors]]+FMS_Ranking4[[#This Row],[% NBS Score (Normalized)]]+(FMS_Ranking4[[#This Row],[Water Supply Score (Normalized)]]*10*$BB$5)+(FMS_Ranking4[[#This Row],[FMS_Type Score Weighted]])</f>
        <v>#REF!</v>
      </c>
      <c r="BT147" s="200" t="e">
        <f>_xlfn.RANK.EQ(FMS_Ranking4[[#This Row],[Log Total Score]],FMS_Ranking4[Log Total Score],0)</f>
        <v>#REF!</v>
      </c>
      <c r="BU147" s="200" t="e">
        <f>_xlfn.XLOOKUP(FMS_Ranking4[[#This Row],[FMS ID]],#REF!,#REF!)</f>
        <v>#REF!</v>
      </c>
      <c r="BV147" s="200">
        <f>FMS_Ranking4[[#This Row],[Region Number]]</f>
        <v>9</v>
      </c>
      <c r="BW147" s="200">
        <f>FMS_Ranking4[[#This Row],[Rank (with ArcSinh normalization of select criteria)]]-FMS_Ranking4[[#This Row],[Rank
(with linear
normalization)]]</f>
        <v>-569</v>
      </c>
      <c r="BX147" s="200" t="e">
        <f>FMS_Ranking4[[#This Row],[Log Rank]]-FMS_Ranking4[[#This Row],[Rank
(with linear
normalization)]]</f>
        <v>#REF!</v>
      </c>
      <c r="BY147" s="200" t="str">
        <f>IF(FMS_Ranking4[[#This Row],[FMS Type]]="Flood Measurement and Warning",FMS_Ranking4[[#This Row],[Rank (with ArcSinh normalization of select criteria)]],"")</f>
        <v/>
      </c>
      <c r="BZ147" s="200" t="str">
        <f>IF(FMS_Ranking4[[#This Row],[FMS Type]]="Regulatory and Guidance",FMS_Ranking4[[#This Row],[Rank (with ArcSinh normalization of select criteria)]],"")</f>
        <v/>
      </c>
      <c r="CA147" s="200" t="str">
        <f>IF(FMS_Ranking4[[#This Row],[FMS Type]]="Education and Outreach",FMS_Ranking4[[#This Row],[Rank (with ArcSinh normalization of select criteria)]],"")</f>
        <v/>
      </c>
      <c r="CB147" s="200" t="str">
        <f>IF(FMS_Ranking4[[#This Row],[FMS Type]]="Property Acquisition and Structural Elevation",FMS_Ranking4[[#This Row],[Rank (with ArcSinh normalization of select criteria)]],"")</f>
        <v/>
      </c>
      <c r="CC147" s="200" t="str">
        <f>IF(FMS_Ranking4[[#This Row],[FMS Type]]="Infrastructure Projects",FMS_Ranking4[[#This Row],[Rank (with ArcSinh normalization of select criteria)]],"")</f>
        <v/>
      </c>
      <c r="CD147" s="200">
        <f>IF(FMS_Ranking4[[#This Row],[FMS Type]]="Other",FMS_Ranking4[[#This Row],[Rank (with ArcSinh normalization of select criteria)]],"")</f>
        <v>137</v>
      </c>
      <c r="CE147" s="201"/>
    </row>
    <row r="148" spans="2:96" ht="90" x14ac:dyDescent="0.25">
      <c r="B148" s="341" t="s">
        <v>3872</v>
      </c>
      <c r="C148" s="246">
        <f>_xlfn.XLOOKUP(FMS_Ranking4[[#This Row],[FMS ID]],FMS_Input[FMS_ID],FMS_Input[RFPG_NUM])</f>
        <v>15</v>
      </c>
      <c r="D148" s="309" t="str">
        <f>_xlfn.XLOOKUP(FMS_Ranking4[[#This Row],[FMS ID]],FMS_Input[FMS_ID],FMS_Input[FMS_NAME])</f>
        <v>Brownsville PUB Action #8</v>
      </c>
      <c r="E148" s="308" t="str">
        <f>_xlfn.XLOOKUP(FMS_Ranking4[[#This Row],[FMS ID]],FMS_Input[FMS_ID],FMS_Input[SPONSOR])</f>
        <v>15000072</v>
      </c>
      <c r="F148" s="309" t="str">
        <f>_xlfn.XLOOKUP(FMS_Ranking4[[#This Row],[FMS ID]],Sponsor[FMS_ID],Sponsor[SPONSOR NAME])</f>
        <v>Brownsville</v>
      </c>
      <c r="G148" s="309" t="str">
        <f>_xlfn.XLOOKUP(FMS_Ranking4[[#This Row],[FMS ID]],FMS_Input[FMS_ID],FMS_Input[FMS_DESCR])</f>
        <v xml:space="preserve"> Develop program to annually remove buildup of silt  in area Resacas that become cutoff from the river  and contribute to flooding during severe flood or hurricane event</v>
      </c>
      <c r="H148" s="248" t="str">
        <f>_xlfn.XLOOKUP(FMS_Ranking4[[#This Row],[FMS ID]],FMS_Input[FMS_ID],FMS_Input[FMS_TYPE])</f>
        <v>Regulatory and Guidance</v>
      </c>
      <c r="I148" s="249">
        <f>_xlfn.XLOOKUP(FMS_Ranking4[[#This Row],[FMS ID]],FMS_Input[FMS_ID],FMS_Input[NRNC_COST])</f>
        <v>1000</v>
      </c>
      <c r="J148" s="250">
        <f>_xlfn.XLOOKUP(FMS_Ranking4[[#This Row],[FMS ID]],FMS_Input[FMS_ID],FMS_Input[FMS_COST])</f>
        <v>20000</v>
      </c>
      <c r="K148" s="251" t="str">
        <f>_xlfn.XLOOKUP(FMS_Ranking4[[#This Row],[FMS ID]],FMS_Input[FMS_ID],FMS_Input[EMER_NEED])</f>
        <v>Yes</v>
      </c>
      <c r="L148" s="252">
        <f t="shared" si="2"/>
        <v>1</v>
      </c>
      <c r="M148" s="253">
        <f>_xlfn.XLOOKUP(FMS_Ranking4[[#This Row],[FMS ID]],FMS_Input[FMS_ID],FMS_Input[STRUCT_100])</f>
        <v>38734</v>
      </c>
      <c r="N148" s="255">
        <f>(ASINH(FMS_Ranking4[[#This Row],[Structure at Risk Raw]]))*(10)/(ASINH(M$4))</f>
        <v>8.8501656854856439</v>
      </c>
      <c r="O148" s="256">
        <f>FMS_Ranking4[[#This Row],[Structures at risk, ArcSinh (0-10)]]*M$5*10</f>
        <v>8.8501656854856456</v>
      </c>
      <c r="P148" s="253">
        <f>_xlfn.XLOOKUP(FMS_Ranking4[[#This Row],[FMS ID]],FMS_Input[FMS_ID],FMS_Input[RES_STRUCT100])</f>
        <v>34207</v>
      </c>
      <c r="Q148" s="257">
        <f>ASINH(FMS_Ranking4[[#This Row],[Res Structure Raw]])/Q$4*P$5*100</f>
        <v>0</v>
      </c>
      <c r="R148" s="253">
        <f>_xlfn.XLOOKUP(FMS_Ranking4[[#This Row],[FMS ID]],FMS_Input[FMS_ID],FMS_Input[POP100])</f>
        <v>157388</v>
      </c>
      <c r="S148" s="259">
        <f>(ASINH(FMS_Ranking4[[#This Row],[Pop at Risk Raw]]))*(10)/(ASINH(R$4))</f>
        <v>8.7396703237377071</v>
      </c>
      <c r="T148" s="256">
        <f>FMS_Ranking4[[#This Row],[Population at risk, ArcSinh (0-10)]]*R$5*10</f>
        <v>8.7396703237377071</v>
      </c>
      <c r="U148" s="253">
        <f>_xlfn.XLOOKUP(FMS_Ranking4[[#This Row],[FMS ID]],FMS_Input[FMS_ID],FMS_Input[CRITFAC100])</f>
        <v>12</v>
      </c>
      <c r="V148" s="259">
        <f>(ASINH(FMS_Ranking4[[#This Row],[Critical Facilities Raw]]))*(10)/(ASINH(U$4))</f>
        <v>3.7641159700176727</v>
      </c>
      <c r="W148" s="256">
        <f>FMS_Ranking4[[#This Row],[Critical facilities at risk, ArcSinh (0-10)]]*U$5*10</f>
        <v>3.7641159700176727</v>
      </c>
      <c r="X148" s="253">
        <f>_xlfn.XLOOKUP(FMS_Ranking4[[#This Row],[FMS ID]],FMS_Input[FMS_ID],FMS_Input[LWC])</f>
        <v>0</v>
      </c>
      <c r="Y148" s="259">
        <f>(ASINH(FMS_Ranking4[[#This Row],[LWC Raw]]))*(10)/(ASINH(X$4))</f>
        <v>0</v>
      </c>
      <c r="Z148" s="256">
        <f>FMS_Ranking4[[#This Row],[LWC, ArcSInh (0-10)]]*X$5*10</f>
        <v>0</v>
      </c>
      <c r="AA148" s="253">
        <f>_xlfn.XLOOKUP(FMS_Ranking4[[#This Row],[FMS ID]],FMS_Input[FMS_ID],FMS_Input[ROADCLS])</f>
        <v>0</v>
      </c>
      <c r="AB148" s="255">
        <f>(ASINH(FMS_Ranking4[[#This Row],[Road Closures Raw]]))*(10)/(ASINH(AA$4))</f>
        <v>0</v>
      </c>
      <c r="AC148" s="256">
        <f>FMS_Ranking4[[#This Row],[Road closures, ArcSinh (0-10)]]*AA$5*10</f>
        <v>0</v>
      </c>
      <c r="AD148" s="253">
        <f>_xlfn.XLOOKUP(FMS_Ranking4[[#This Row],[FMS ID]],FMS_Input[FMS_ID],FMS_Input[ROAD_MILES100])</f>
        <v>618</v>
      </c>
      <c r="AE148" s="259">
        <f>(ASINH(FMS_Ranking4[[#This Row],[Road Miles Raw]]))*(10)/(ASINH(AD$4))</f>
        <v>7.5875735033639762</v>
      </c>
      <c r="AF148" s="256">
        <f>FMS_Ranking4[[#This Row],[Length of roads at risk, ArcSinh (0-10)]]*AD$5*10</f>
        <v>7.5875735033639771</v>
      </c>
      <c r="AG148" s="253">
        <f>_xlfn.XLOOKUP(FMS_Ranking4[[#This Row],[FMS ID]],FMS_Input[FMS_ID],FMS_Input[FARMACRE100])</f>
        <v>16275.9111328125</v>
      </c>
      <c r="AH148" s="255">
        <f>(ASINH(FMS_Ranking4[[#This Row],[Ag Land Raw]]))*(10)/(ASINH(AG$4))</f>
        <v>6.7495338297151459</v>
      </c>
      <c r="AI148" s="260">
        <f>FMS_Ranking4[[#This Row],[Farm &amp; ranch land, ArcSinh (0-10)]]*AG$5*10</f>
        <v>3.374766914857573</v>
      </c>
      <c r="AJ148" s="258">
        <f>_xlfn.XLOOKUP(FMS_Ranking4[[#This Row],[FMS ID]],FMS_Input[FMS_ID],FMS_Input[REDSTRUCT100])</f>
        <v>0</v>
      </c>
      <c r="AK148" s="253">
        <f>_xlfn.XLOOKUP(FMS_Ranking4[[#This Row],[FMS ID]],FMS_Input[FMS_ID],FMS_Input[REMSTRC100])</f>
        <v>0</v>
      </c>
      <c r="AL148" s="259">
        <f>(ASINH(FMS_Ranking4[[#This Row],[Structures Removed Raw]]))*(10)/(ASINH(AK$4))</f>
        <v>0</v>
      </c>
      <c r="AM148" s="262">
        <f>FMS_Ranking4[[#This Row],[Structures removed, ArcSinh (0-10)]]*AK$5*10</f>
        <v>0</v>
      </c>
      <c r="AN148" s="253">
        <f>_xlfn.XLOOKUP(FMS_Ranking4[[#This Row],[FMS ID]],FMS_Input[FMS_ID],FMS_Input[REMRESSTRC100])</f>
        <v>0</v>
      </c>
      <c r="AO148" s="261">
        <f>FMS_Ranking4[[#This Row],[ArcSinh Res struct removed 0-10]]*AN$5*10</f>
        <v>0</v>
      </c>
      <c r="AP148" s="260">
        <f>ASINH(FMS_Ranking4[[#This Row],[Residential Structures Removed Raw]])/AP$4*AN$5*100</f>
        <v>0</v>
      </c>
      <c r="AQ148" s="254">
        <f>(ASINH(FMS_Ranking4[[#This Row],[Residential Structures Removed Raw]]))*(10)/(ASINH(AN$4))</f>
        <v>0</v>
      </c>
      <c r="AR148" s="253">
        <f>_xlfn.XLOOKUP(FMS_Ranking4[[#This Row],[FMS ID]],FMS_Input[FMS_ID],FMS_Input[REMPOP100])</f>
        <v>0</v>
      </c>
      <c r="AS148" s="259">
        <f>(ASINH(FMS_Ranking4[[#This Row],[Removed Pop Raw]]))*(10)/(ASINH(AR$4))</f>
        <v>0</v>
      </c>
      <c r="AT148" s="262">
        <f>FMS_Ranking4[[#This Row],[Removed population, ArcSinh (0-10)]]*AR$5*10</f>
        <v>0</v>
      </c>
      <c r="AU148" s="264">
        <f>_xlfn.XLOOKUP(FMS_Ranking4[[#This Row],[FMS ID]],FMS_Input[FMS_ID],FMS_Input[REMCRITFAC100])</f>
        <v>0</v>
      </c>
      <c r="AV148" s="264">
        <f>_xlfn.XLOOKUP(FMS_Ranking4[[#This Row],[FMS ID]],FMS_Input[FMS_ID],FMS_Input[REMLWC100])</f>
        <v>0</v>
      </c>
      <c r="AW148" s="264">
        <f>_xlfn.XLOOKUP(FMS_Ranking4[[#This Row],[FMS ID]],FMS_Input[FMS_ID],FMS_Input[REMROADCLS])</f>
        <v>0</v>
      </c>
      <c r="AX148" s="264">
        <f>_xlfn.XLOOKUP(FMS_Ranking4[[#This Row],[FMS ID]],FMS_Input[FMS_ID],FMS_Input[REMFRMACRE100])</f>
        <v>0</v>
      </c>
      <c r="AY148" s="258">
        <f>_xlfn.XLOOKUP(FMS_Ranking4[[#This Row],[FMS ID]],FMS_Input[FMS_ID],FMS_Input[COSTSTRUCT])</f>
        <v>0</v>
      </c>
      <c r="AZ148" s="253">
        <f>_xlfn.XLOOKUP(FMS_Ranking4[[#This Row],[FMS ID]],FMS_Input[FMS_ID],FMS_Input[NATURE])</f>
        <v>0</v>
      </c>
      <c r="BA148" s="262">
        <f>(((FMS_Ranking4[[#This Row],[% NBS Raw]]/AZ$4)*100)*AZ$5)</f>
        <v>0</v>
      </c>
      <c r="BB148" s="251" t="str">
        <f>_xlfn.XLOOKUP(FMS_Ranking4[[#This Row],[FMS ID]],FMS_Input[FMS_ID],FMS_Input[WATER_SUP])</f>
        <v>No</v>
      </c>
      <c r="BC148" s="265">
        <f>IF(FMS_Ranking4[[#This Row],[Water Supply Raw]]="Yes",10,0)</f>
        <v>0</v>
      </c>
      <c r="BD148" s="266">
        <f>_xlfn.XLOOKUP(FMS_Ranking4[[#This Row],[FMS Type]],FMS_TYPE[FMS_Type],FMS_TYPE[Score])</f>
        <v>8</v>
      </c>
      <c r="BE148" s="267">
        <f>FMS_Ranking4[[#This Row],[FMS_Type Score]]*$BD$5*10</f>
        <v>2</v>
      </c>
      <c r="BF14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5.0521955643944523</v>
      </c>
      <c r="BG148" s="271">
        <f>_xlfn.RANK.EQ(BF148,$BF$8:$BF$870,0)+COUNTIF($BF$8:BF148,BF148)-1</f>
        <v>59</v>
      </c>
      <c r="BH148" s="268">
        <f>(((FMS_Ranking4[[#This Row],[Structures Removed Raw]]/AK$4)*100)*AK$5)+(((FMS_Ranking4[[#This Row],[Removed Pop Raw]]/AR$4)*100)*AR$5)</f>
        <v>0</v>
      </c>
      <c r="BI14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7.0521955643944523</v>
      </c>
      <c r="BJ148" s="205">
        <f>_xlfn.RANK.EQ(FMS_Ranking4[[#This Row],[Total Score 
(with linear
normalization)]],FMS_Ranking4[Total Score 
(with linear
normalization)],0)</f>
        <v>93</v>
      </c>
      <c r="BK148" s="205" t="e">
        <f>_xlfn.XLOOKUP(FMS_Ranking4[[#This Row],[FMS ID]],#REF!,#REF!)</f>
        <v>#REF!</v>
      </c>
      <c r="BL14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32.316292397462576</v>
      </c>
      <c r="BM148" s="272">
        <f>FMS_Ranking4[[#This Row],[ArcSinh Score Based on Normalized Reported Factors]]+FMS_Ranking4[[#This Row],[% NBS Score (Normalized)]]+(FMS_Ranking4[[#This Row],[Water Supply Score (Normalized)]]*10*$BB$5)+FMS_Ranking4[[#This Row],[FMS_Type Score Weighted]]</f>
        <v>34.316292397462576</v>
      </c>
      <c r="BN148" s="205">
        <f>_xlfn.RANK.EQ(FMS_Ranking4[[#This Row],[Total Score (with ArcSinh normalization of select criteria)]],FMS_Ranking4[Total Score (with ArcSinh normalization of select criteria)],0)</f>
        <v>141</v>
      </c>
      <c r="BO148" s="270" t="str">
        <f>_xlfn.XLOOKUP(FMS_Ranking4[[#This Row],[FMS ID]],FMS_Input[FMS_ID],FMS_Input[FMS_RANK_YEAR])</f>
        <v>2023 Amended Plan</v>
      </c>
      <c r="BP148" s="204">
        <f>_xlfn.XLOOKUP(FMS_Ranking4[[#This Row],[FMS ID]],Prev_Rank[FMS ID],Prev_Rank[Prev Rank])</f>
        <v>113</v>
      </c>
      <c r="BQ148" s="205" t="e">
        <f>_xlfn.XLOOKUP(FMS_Ranking4[[#This Row],[FMS ID]],#REF!,#REF!)</f>
        <v>#REF!</v>
      </c>
      <c r="BR148" s="199" t="e">
        <f>SUM(#REF!,#REF!,#REF!,#REF!,#REF!,#REF!,#REF!,#REF!,#REF!,FMS_Ranking4[[#This Row],[ArcSinh Res struct removed 0-10]],#REF!)</f>
        <v>#REF!</v>
      </c>
      <c r="BS148" s="199" t="e">
        <f>FMS_Ranking4[[#This Row],[Log Score Based on Normalized Reported Factors]]+FMS_Ranking4[[#This Row],[% NBS Score (Normalized)]]+(FMS_Ranking4[[#This Row],[Water Supply Score (Normalized)]]*10*$BB$5)+(FMS_Ranking4[[#This Row],[FMS_Type Score Weighted]])</f>
        <v>#REF!</v>
      </c>
      <c r="BT148" s="200" t="e">
        <f>_xlfn.RANK.EQ(FMS_Ranking4[[#This Row],[Log Total Score]],FMS_Ranking4[Log Total Score],0)</f>
        <v>#REF!</v>
      </c>
      <c r="BU148" s="200" t="e">
        <f>_xlfn.XLOOKUP(FMS_Ranking4[[#This Row],[FMS ID]],#REF!,#REF!)</f>
        <v>#REF!</v>
      </c>
      <c r="BV148" s="200">
        <f>FMS_Ranking4[[#This Row],[Region Number]]</f>
        <v>15</v>
      </c>
      <c r="BW148" s="200">
        <f>FMS_Ranking4[[#This Row],[Rank (with ArcSinh normalization of select criteria)]]-FMS_Ranking4[[#This Row],[Rank
(with linear
normalization)]]</f>
        <v>48</v>
      </c>
      <c r="BX148" s="200" t="e">
        <f>FMS_Ranking4[[#This Row],[Log Rank]]-FMS_Ranking4[[#This Row],[Rank
(with linear
normalization)]]</f>
        <v>#REF!</v>
      </c>
      <c r="BY148" s="200" t="str">
        <f>IF(FMS_Ranking4[[#This Row],[FMS Type]]="Flood Measurement and Warning",FMS_Ranking4[[#This Row],[Rank (with ArcSinh normalization of select criteria)]],"")</f>
        <v/>
      </c>
      <c r="BZ148" s="200">
        <f>IF(FMS_Ranking4[[#This Row],[FMS Type]]="Regulatory and Guidance",FMS_Ranking4[[#This Row],[Rank (with ArcSinh normalization of select criteria)]],"")</f>
        <v>141</v>
      </c>
      <c r="CA148" s="200" t="str">
        <f>IF(FMS_Ranking4[[#This Row],[FMS Type]]="Education and Outreach",FMS_Ranking4[[#This Row],[Rank (with ArcSinh normalization of select criteria)]],"")</f>
        <v/>
      </c>
      <c r="CB148" s="200" t="str">
        <f>IF(FMS_Ranking4[[#This Row],[FMS Type]]="Property Acquisition and Structural Elevation",FMS_Ranking4[[#This Row],[Rank (with ArcSinh normalization of select criteria)]],"")</f>
        <v/>
      </c>
      <c r="CC148" s="200" t="str">
        <f>IF(FMS_Ranking4[[#This Row],[FMS Type]]="Infrastructure Projects",FMS_Ranking4[[#This Row],[Rank (with ArcSinh normalization of select criteria)]],"")</f>
        <v/>
      </c>
      <c r="CD148" s="200" t="str">
        <f>IF(FMS_Ranking4[[#This Row],[FMS Type]]="Other",FMS_Ranking4[[#This Row],[Rank (with ArcSinh normalization of select criteria)]],"")</f>
        <v/>
      </c>
      <c r="CE148" s="201"/>
    </row>
    <row r="149" spans="2:96" ht="60" x14ac:dyDescent="0.25">
      <c r="B149" s="341" t="s">
        <v>3875</v>
      </c>
      <c r="C149" s="246">
        <f>_xlfn.XLOOKUP(FMS_Ranking4[[#This Row],[FMS ID]],FMS_Input[FMS_ID],FMS_Input[RFPG_NUM])</f>
        <v>15</v>
      </c>
      <c r="D149" s="309" t="str">
        <f>_xlfn.XLOOKUP(FMS_Ranking4[[#This Row],[FMS ID]],FMS_Input[FMS_ID],FMS_Input[FMS_NAME])</f>
        <v>City of Brownsville Action #2</v>
      </c>
      <c r="E149" s="308" t="str">
        <f>_xlfn.XLOOKUP(FMS_Ranking4[[#This Row],[FMS ID]],FMS_Input[FMS_ID],FMS_Input[SPONSOR])</f>
        <v>15000072</v>
      </c>
      <c r="F149" s="309" t="str">
        <f>_xlfn.XLOOKUP(FMS_Ranking4[[#This Row],[FMS ID]],Sponsor[FMS_ID],Sponsor[SPONSOR NAME])</f>
        <v>Brownsville</v>
      </c>
      <c r="G149" s="309" t="str">
        <f>_xlfn.XLOOKUP(FMS_Ranking4[[#This Row],[FMS ID]],FMS_Input[FMS_ID],FMS_Input[FMS_DESCR])</f>
        <v>Join the Community Rating System program to reduce risk and flood insurance premiums to residents</v>
      </c>
      <c r="H149" s="248" t="str">
        <f>_xlfn.XLOOKUP(FMS_Ranking4[[#This Row],[FMS ID]],FMS_Input[FMS_ID],FMS_Input[FMS_TYPE])</f>
        <v>Regulatory and Guidance</v>
      </c>
      <c r="I149" s="249">
        <f>_xlfn.XLOOKUP(FMS_Ranking4[[#This Row],[FMS ID]],FMS_Input[FMS_ID],FMS_Input[NRNC_COST])</f>
        <v>1000</v>
      </c>
      <c r="J149" s="250">
        <f>_xlfn.XLOOKUP(FMS_Ranking4[[#This Row],[FMS ID]],FMS_Input[FMS_ID],FMS_Input[FMS_COST])</f>
        <v>100000</v>
      </c>
      <c r="K149" s="251" t="str">
        <f>_xlfn.XLOOKUP(FMS_Ranking4[[#This Row],[FMS ID]],FMS_Input[FMS_ID],FMS_Input[EMER_NEED])</f>
        <v>Yes</v>
      </c>
      <c r="L149" s="252">
        <f t="shared" si="2"/>
        <v>1</v>
      </c>
      <c r="M149" s="253">
        <f>_xlfn.XLOOKUP(FMS_Ranking4[[#This Row],[FMS ID]],FMS_Input[FMS_ID],FMS_Input[STRUCT_100])</f>
        <v>38734</v>
      </c>
      <c r="N149" s="255">
        <f>(ASINH(FMS_Ranking4[[#This Row],[Structure at Risk Raw]]))*(10)/(ASINH(M$4))</f>
        <v>8.8501656854856439</v>
      </c>
      <c r="O149" s="256">
        <f>FMS_Ranking4[[#This Row],[Structures at risk, ArcSinh (0-10)]]*M$5*10</f>
        <v>8.8501656854856456</v>
      </c>
      <c r="P149" s="253">
        <f>_xlfn.XLOOKUP(FMS_Ranking4[[#This Row],[FMS ID]],FMS_Input[FMS_ID],FMS_Input[RES_STRUCT100])</f>
        <v>34207</v>
      </c>
      <c r="Q149" s="257">
        <f>ASINH(FMS_Ranking4[[#This Row],[Res Structure Raw]])/Q$4*P$5*100</f>
        <v>0</v>
      </c>
      <c r="R149" s="253">
        <f>_xlfn.XLOOKUP(FMS_Ranking4[[#This Row],[FMS ID]],FMS_Input[FMS_ID],FMS_Input[POP100])</f>
        <v>157388</v>
      </c>
      <c r="S149" s="259">
        <f>(ASINH(FMS_Ranking4[[#This Row],[Pop at Risk Raw]]))*(10)/(ASINH(R$4))</f>
        <v>8.7396703237377071</v>
      </c>
      <c r="T149" s="256">
        <f>FMS_Ranking4[[#This Row],[Population at risk, ArcSinh (0-10)]]*R$5*10</f>
        <v>8.7396703237377071</v>
      </c>
      <c r="U149" s="253">
        <f>_xlfn.XLOOKUP(FMS_Ranking4[[#This Row],[FMS ID]],FMS_Input[FMS_ID],FMS_Input[CRITFAC100])</f>
        <v>12</v>
      </c>
      <c r="V149" s="259">
        <f>(ASINH(FMS_Ranking4[[#This Row],[Critical Facilities Raw]]))*(10)/(ASINH(U$4))</f>
        <v>3.7641159700176727</v>
      </c>
      <c r="W149" s="256">
        <f>FMS_Ranking4[[#This Row],[Critical facilities at risk, ArcSinh (0-10)]]*U$5*10</f>
        <v>3.7641159700176727</v>
      </c>
      <c r="X149" s="253">
        <f>_xlfn.XLOOKUP(FMS_Ranking4[[#This Row],[FMS ID]],FMS_Input[FMS_ID],FMS_Input[LWC])</f>
        <v>0</v>
      </c>
      <c r="Y149" s="259">
        <f>(ASINH(FMS_Ranking4[[#This Row],[LWC Raw]]))*(10)/(ASINH(X$4))</f>
        <v>0</v>
      </c>
      <c r="Z149" s="256">
        <f>FMS_Ranking4[[#This Row],[LWC, ArcSInh (0-10)]]*X$5*10</f>
        <v>0</v>
      </c>
      <c r="AA149" s="253">
        <f>_xlfn.XLOOKUP(FMS_Ranking4[[#This Row],[FMS ID]],FMS_Input[FMS_ID],FMS_Input[ROADCLS])</f>
        <v>0</v>
      </c>
      <c r="AB149" s="255">
        <f>(ASINH(FMS_Ranking4[[#This Row],[Road Closures Raw]]))*(10)/(ASINH(AA$4))</f>
        <v>0</v>
      </c>
      <c r="AC149" s="256">
        <f>FMS_Ranking4[[#This Row],[Road closures, ArcSinh (0-10)]]*AA$5*10</f>
        <v>0</v>
      </c>
      <c r="AD149" s="253">
        <f>_xlfn.XLOOKUP(FMS_Ranking4[[#This Row],[FMS ID]],FMS_Input[FMS_ID],FMS_Input[ROAD_MILES100])</f>
        <v>618</v>
      </c>
      <c r="AE149" s="259">
        <f>(ASINH(FMS_Ranking4[[#This Row],[Road Miles Raw]]))*(10)/(ASINH(AD$4))</f>
        <v>7.5875735033639762</v>
      </c>
      <c r="AF149" s="256">
        <f>FMS_Ranking4[[#This Row],[Length of roads at risk, ArcSinh (0-10)]]*AD$5*10</f>
        <v>7.5875735033639771</v>
      </c>
      <c r="AG149" s="253">
        <f>_xlfn.XLOOKUP(FMS_Ranking4[[#This Row],[FMS ID]],FMS_Input[FMS_ID],FMS_Input[FARMACRE100])</f>
        <v>16275.9111328125</v>
      </c>
      <c r="AH149" s="255">
        <f>(ASINH(FMS_Ranking4[[#This Row],[Ag Land Raw]]))*(10)/(ASINH(AG$4))</f>
        <v>6.7495338297151459</v>
      </c>
      <c r="AI149" s="260">
        <f>FMS_Ranking4[[#This Row],[Farm &amp; ranch land, ArcSinh (0-10)]]*AG$5*10</f>
        <v>3.374766914857573</v>
      </c>
      <c r="AJ149" s="258">
        <f>_xlfn.XLOOKUP(FMS_Ranking4[[#This Row],[FMS ID]],FMS_Input[FMS_ID],FMS_Input[REDSTRUCT100])</f>
        <v>0</v>
      </c>
      <c r="AK149" s="253">
        <f>_xlfn.XLOOKUP(FMS_Ranking4[[#This Row],[FMS ID]],FMS_Input[FMS_ID],FMS_Input[REMSTRC100])</f>
        <v>0</v>
      </c>
      <c r="AL149" s="259">
        <f>(ASINH(FMS_Ranking4[[#This Row],[Structures Removed Raw]]))*(10)/(ASINH(AK$4))</f>
        <v>0</v>
      </c>
      <c r="AM149" s="262">
        <f>FMS_Ranking4[[#This Row],[Structures removed, ArcSinh (0-10)]]*AK$5*10</f>
        <v>0</v>
      </c>
      <c r="AN149" s="253">
        <f>_xlfn.XLOOKUP(FMS_Ranking4[[#This Row],[FMS ID]],FMS_Input[FMS_ID],FMS_Input[REMRESSTRC100])</f>
        <v>0</v>
      </c>
      <c r="AO149" s="261">
        <f>FMS_Ranking4[[#This Row],[ArcSinh Res struct removed 0-10]]*AN$5*10</f>
        <v>0</v>
      </c>
      <c r="AP149" s="260">
        <f>ASINH(FMS_Ranking4[[#This Row],[Residential Structures Removed Raw]])/AP$4*AN$5*100</f>
        <v>0</v>
      </c>
      <c r="AQ149" s="254">
        <f>(ASINH(FMS_Ranking4[[#This Row],[Residential Structures Removed Raw]]))*(10)/(ASINH(AN$4))</f>
        <v>0</v>
      </c>
      <c r="AR149" s="253">
        <f>_xlfn.XLOOKUP(FMS_Ranking4[[#This Row],[FMS ID]],FMS_Input[FMS_ID],FMS_Input[REMPOP100])</f>
        <v>0</v>
      </c>
      <c r="AS149" s="259">
        <f>(ASINH(FMS_Ranking4[[#This Row],[Removed Pop Raw]]))*(10)/(ASINH(AR$4))</f>
        <v>0</v>
      </c>
      <c r="AT149" s="262">
        <f>FMS_Ranking4[[#This Row],[Removed population, ArcSinh (0-10)]]*AR$5*10</f>
        <v>0</v>
      </c>
      <c r="AU149" s="264">
        <f>_xlfn.XLOOKUP(FMS_Ranking4[[#This Row],[FMS ID]],FMS_Input[FMS_ID],FMS_Input[REMCRITFAC100])</f>
        <v>0</v>
      </c>
      <c r="AV149" s="264">
        <f>_xlfn.XLOOKUP(FMS_Ranking4[[#This Row],[FMS ID]],FMS_Input[FMS_ID],FMS_Input[REMLWC100])</f>
        <v>0</v>
      </c>
      <c r="AW149" s="264">
        <f>_xlfn.XLOOKUP(FMS_Ranking4[[#This Row],[FMS ID]],FMS_Input[FMS_ID],FMS_Input[REMROADCLS])</f>
        <v>0</v>
      </c>
      <c r="AX149" s="264">
        <f>_xlfn.XLOOKUP(FMS_Ranking4[[#This Row],[FMS ID]],FMS_Input[FMS_ID],FMS_Input[REMFRMACRE100])</f>
        <v>0</v>
      </c>
      <c r="AY149" s="258">
        <f>_xlfn.XLOOKUP(FMS_Ranking4[[#This Row],[FMS ID]],FMS_Input[FMS_ID],FMS_Input[COSTSTRUCT])</f>
        <v>0</v>
      </c>
      <c r="AZ149" s="253">
        <f>_xlfn.XLOOKUP(FMS_Ranking4[[#This Row],[FMS ID]],FMS_Input[FMS_ID],FMS_Input[NATURE])</f>
        <v>0</v>
      </c>
      <c r="BA149" s="262">
        <f>(((FMS_Ranking4[[#This Row],[% NBS Raw]]/AZ$4)*100)*AZ$5)</f>
        <v>0</v>
      </c>
      <c r="BB149" s="251" t="str">
        <f>_xlfn.XLOOKUP(FMS_Ranking4[[#This Row],[FMS ID]],FMS_Input[FMS_ID],FMS_Input[WATER_SUP])</f>
        <v>No</v>
      </c>
      <c r="BC149" s="265">
        <f>IF(FMS_Ranking4[[#This Row],[Water Supply Raw]]="Yes",10,0)</f>
        <v>0</v>
      </c>
      <c r="BD149" s="266">
        <f>_xlfn.XLOOKUP(FMS_Ranking4[[#This Row],[FMS Type]],FMS_TYPE[FMS_Type],FMS_TYPE[Score])</f>
        <v>8</v>
      </c>
      <c r="BE149" s="267">
        <f>FMS_Ranking4[[#This Row],[FMS_Type Score]]*$BD$5*10</f>
        <v>2</v>
      </c>
      <c r="BF14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5.0521955643944523</v>
      </c>
      <c r="BG149" s="271">
        <f>_xlfn.RANK.EQ(BF149,$BF$8:$BF$870,0)+COUNTIF($BF$8:BF149,BF149)-1</f>
        <v>60</v>
      </c>
      <c r="BH149" s="268">
        <f>(((FMS_Ranking4[[#This Row],[Structures Removed Raw]]/AK$4)*100)*AK$5)+(((FMS_Ranking4[[#This Row],[Removed Pop Raw]]/AR$4)*100)*AR$5)</f>
        <v>0</v>
      </c>
      <c r="BI14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7.0521955643944523</v>
      </c>
      <c r="BJ149" s="205">
        <f>_xlfn.RANK.EQ(FMS_Ranking4[[#This Row],[Total Score 
(with linear
normalization)]],FMS_Ranking4[Total Score 
(with linear
normalization)],0)</f>
        <v>93</v>
      </c>
      <c r="BK149" s="205" t="e">
        <f>_xlfn.XLOOKUP(FMS_Ranking4[[#This Row],[FMS ID]],#REF!,#REF!)</f>
        <v>#REF!</v>
      </c>
      <c r="BL14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32.316292397462576</v>
      </c>
      <c r="BM149" s="272">
        <f>FMS_Ranking4[[#This Row],[ArcSinh Score Based on Normalized Reported Factors]]+FMS_Ranking4[[#This Row],[% NBS Score (Normalized)]]+(FMS_Ranking4[[#This Row],[Water Supply Score (Normalized)]]*10*$BB$5)+FMS_Ranking4[[#This Row],[FMS_Type Score Weighted]]</f>
        <v>34.316292397462576</v>
      </c>
      <c r="BN149" s="205">
        <f>_xlfn.RANK.EQ(FMS_Ranking4[[#This Row],[Total Score (with ArcSinh normalization of select criteria)]],FMS_Ranking4[Total Score (with ArcSinh normalization of select criteria)],0)</f>
        <v>141</v>
      </c>
      <c r="BO149" s="270" t="str">
        <f>_xlfn.XLOOKUP(FMS_Ranking4[[#This Row],[FMS ID]],FMS_Input[FMS_ID],FMS_Input[FMS_RANK_YEAR])</f>
        <v>2023 Amended Plan</v>
      </c>
      <c r="BP149" s="204">
        <f>_xlfn.XLOOKUP(FMS_Ranking4[[#This Row],[FMS ID]],Prev_Rank[FMS ID],Prev_Rank[Prev Rank])</f>
        <v>113</v>
      </c>
      <c r="BQ149" s="205" t="e">
        <f>_xlfn.XLOOKUP(FMS_Ranking4[[#This Row],[FMS ID]],#REF!,#REF!)</f>
        <v>#REF!</v>
      </c>
      <c r="BR149" s="199" t="e">
        <f>SUM(#REF!,#REF!,#REF!,#REF!,#REF!,#REF!,#REF!,#REF!,#REF!,FMS_Ranking4[[#This Row],[ArcSinh Res struct removed 0-10]],#REF!)</f>
        <v>#REF!</v>
      </c>
      <c r="BS149" s="199" t="e">
        <f>FMS_Ranking4[[#This Row],[Log Score Based on Normalized Reported Factors]]+FMS_Ranking4[[#This Row],[% NBS Score (Normalized)]]+(FMS_Ranking4[[#This Row],[Water Supply Score (Normalized)]]*10*$BB$5)+(FMS_Ranking4[[#This Row],[FMS_Type Score Weighted]])</f>
        <v>#REF!</v>
      </c>
      <c r="BT149" s="200" t="e">
        <f>_xlfn.RANK.EQ(FMS_Ranking4[[#This Row],[Log Total Score]],FMS_Ranking4[Log Total Score],0)</f>
        <v>#REF!</v>
      </c>
      <c r="BU149" s="200" t="e">
        <f>_xlfn.XLOOKUP(FMS_Ranking4[[#This Row],[FMS ID]],#REF!,#REF!)</f>
        <v>#REF!</v>
      </c>
      <c r="BV149" s="200">
        <f>FMS_Ranking4[[#This Row],[Region Number]]</f>
        <v>15</v>
      </c>
      <c r="BW149" s="200">
        <f>FMS_Ranking4[[#This Row],[Rank (with ArcSinh normalization of select criteria)]]-FMS_Ranking4[[#This Row],[Rank
(with linear
normalization)]]</f>
        <v>48</v>
      </c>
      <c r="BX149" s="200" t="e">
        <f>FMS_Ranking4[[#This Row],[Log Rank]]-FMS_Ranking4[[#This Row],[Rank
(with linear
normalization)]]</f>
        <v>#REF!</v>
      </c>
      <c r="BY149" s="200" t="str">
        <f>IF(FMS_Ranking4[[#This Row],[FMS Type]]="Flood Measurement and Warning",FMS_Ranking4[[#This Row],[Rank (with ArcSinh normalization of select criteria)]],"")</f>
        <v/>
      </c>
      <c r="BZ149" s="200">
        <f>IF(FMS_Ranking4[[#This Row],[FMS Type]]="Regulatory and Guidance",FMS_Ranking4[[#This Row],[Rank (with ArcSinh normalization of select criteria)]],"")</f>
        <v>141</v>
      </c>
      <c r="CA149" s="200" t="str">
        <f>IF(FMS_Ranking4[[#This Row],[FMS Type]]="Education and Outreach",FMS_Ranking4[[#This Row],[Rank (with ArcSinh normalization of select criteria)]],"")</f>
        <v/>
      </c>
      <c r="CB149" s="200" t="str">
        <f>IF(FMS_Ranking4[[#This Row],[FMS Type]]="Property Acquisition and Structural Elevation",FMS_Ranking4[[#This Row],[Rank (with ArcSinh normalization of select criteria)]],"")</f>
        <v/>
      </c>
      <c r="CC149" s="200" t="str">
        <f>IF(FMS_Ranking4[[#This Row],[FMS Type]]="Infrastructure Projects",FMS_Ranking4[[#This Row],[Rank (with ArcSinh normalization of select criteria)]],"")</f>
        <v/>
      </c>
      <c r="CD149" s="200" t="str">
        <f>IF(FMS_Ranking4[[#This Row],[FMS Type]]="Other",FMS_Ranking4[[#This Row],[Rank (with ArcSinh normalization of select criteria)]],"")</f>
        <v/>
      </c>
      <c r="CE149" s="201"/>
    </row>
    <row r="150" spans="2:96" ht="60" x14ac:dyDescent="0.25">
      <c r="B150" s="341" t="s">
        <v>3592</v>
      </c>
      <c r="C150" s="246">
        <f>_xlfn.XLOOKUP(FMS_Ranking4[[#This Row],[FMS ID]],FMS_Input[FMS_ID],FMS_Input[RFPG_NUM])</f>
        <v>13</v>
      </c>
      <c r="D150" s="309" t="str">
        <f>_xlfn.XLOOKUP(FMS_Ranking4[[#This Row],[FMS ID]],FMS_Input[FMS_ID],FMS_Input[FMS_NAME])</f>
        <v>Atascosa McMullen Hazard Mitigation Plan - Atascosa County Action #1</v>
      </c>
      <c r="E150" s="308" t="str">
        <f>_xlfn.XLOOKUP(FMS_Ranking4[[#This Row],[FMS ID]],FMS_Input[FMS_ID],FMS_Input[SPONSOR])</f>
        <v>00000096</v>
      </c>
      <c r="F150" s="309" t="str">
        <f>_xlfn.XLOOKUP(FMS_Ranking4[[#This Row],[FMS ID]],Sponsor[FMS_ID],Sponsor[SPONSOR NAME])</f>
        <v>Atascosa</v>
      </c>
      <c r="G150" s="309" t="str">
        <f>_xlfn.XLOOKUP(FMS_Ranking4[[#This Row],[FMS ID]],FMS_Input[FMS_ID],FMS_Input[FMS_DESCR])</f>
        <v>Place flood gauges upstream of flood-prone areas to alert citizens to quickly rising waters.</v>
      </c>
      <c r="H150" s="248" t="str">
        <f>_xlfn.XLOOKUP(FMS_Ranking4[[#This Row],[FMS ID]],FMS_Input[FMS_ID],FMS_Input[FMS_TYPE])</f>
        <v>Flood Measurement and Warning</v>
      </c>
      <c r="I150" s="249">
        <f>_xlfn.XLOOKUP(FMS_Ranking4[[#This Row],[FMS ID]],FMS_Input[FMS_ID],FMS_Input[NRNC_COST])</f>
        <v>300000</v>
      </c>
      <c r="J150" s="250">
        <f>_xlfn.XLOOKUP(FMS_Ranking4[[#This Row],[FMS ID]],FMS_Input[FMS_ID],FMS_Input[FMS_COST])</f>
        <v>300000</v>
      </c>
      <c r="K150" s="251" t="str">
        <f>_xlfn.XLOOKUP(FMS_Ranking4[[#This Row],[FMS ID]],FMS_Input[FMS_ID],FMS_Input[EMER_NEED])</f>
        <v>Yes</v>
      </c>
      <c r="L150" s="252">
        <f t="shared" si="2"/>
        <v>1</v>
      </c>
      <c r="M150" s="253">
        <f>_xlfn.XLOOKUP(FMS_Ranking4[[#This Row],[FMS ID]],FMS_Input[FMS_ID],FMS_Input[STRUCT_100])</f>
        <v>1947</v>
      </c>
      <c r="N150" s="255">
        <f>(ASINH(FMS_Ranking4[[#This Row],[Structure at Risk Raw]]))*(10)/(ASINH(M$4))</f>
        <v>6.4992440415905008</v>
      </c>
      <c r="O150" s="256">
        <f>FMS_Ranking4[[#This Row],[Structures at risk, ArcSinh (0-10)]]*M$5*10</f>
        <v>6.4992440415905017</v>
      </c>
      <c r="P150" s="253">
        <f>_xlfn.XLOOKUP(FMS_Ranking4[[#This Row],[FMS ID]],FMS_Input[FMS_ID],FMS_Input[RES_STRUCT100])</f>
        <v>1498</v>
      </c>
      <c r="Q150" s="257">
        <f>ASINH(FMS_Ranking4[[#This Row],[Res Structure Raw]])/Q$4*P$5*100</f>
        <v>0</v>
      </c>
      <c r="R150" s="253">
        <f>_xlfn.XLOOKUP(FMS_Ranking4[[#This Row],[FMS ID]],FMS_Input[FMS_ID],FMS_Input[POP100])</f>
        <v>3669</v>
      </c>
      <c r="S150" s="259">
        <f>(ASINH(FMS_Ranking4[[#This Row],[Pop at Risk Raw]]))*(10)/(ASINH(R$4))</f>
        <v>6.1447553541139914</v>
      </c>
      <c r="T150" s="256">
        <f>FMS_Ranking4[[#This Row],[Population at risk, ArcSinh (0-10)]]*R$5*10</f>
        <v>6.1447553541139923</v>
      </c>
      <c r="U150" s="253">
        <f>_xlfn.XLOOKUP(FMS_Ranking4[[#This Row],[FMS ID]],FMS_Input[FMS_ID],FMS_Input[CRITFAC100])</f>
        <v>1</v>
      </c>
      <c r="V150" s="259">
        <f>(ASINH(FMS_Ranking4[[#This Row],[Critical Facilities Raw]]))*(10)/(ASINH(U$4))</f>
        <v>1.0433384451410745</v>
      </c>
      <c r="W150" s="256">
        <f>FMS_Ranking4[[#This Row],[Critical facilities at risk, ArcSinh (0-10)]]*U$5*10</f>
        <v>1.0433384451410745</v>
      </c>
      <c r="X150" s="253">
        <f>_xlfn.XLOOKUP(FMS_Ranking4[[#This Row],[FMS ID]],FMS_Input[FMS_ID],FMS_Input[LWC])</f>
        <v>28</v>
      </c>
      <c r="Y150" s="259">
        <f>(ASINH(FMS_Ranking4[[#This Row],[LWC Raw]]))*(10)/(ASINH(X$4))</f>
        <v>5.4537277940935365</v>
      </c>
      <c r="Z150" s="256">
        <f>FMS_Ranking4[[#This Row],[LWC, ArcSInh (0-10)]]*X$5*10</f>
        <v>5.4537277940935365</v>
      </c>
      <c r="AA150" s="253">
        <f>_xlfn.XLOOKUP(FMS_Ranking4[[#This Row],[FMS ID]],FMS_Input[FMS_ID],FMS_Input[ROADCLS])</f>
        <v>570</v>
      </c>
      <c r="AB150" s="255">
        <f>(ASINH(FMS_Ranking4[[#This Row],[Road Closures Raw]]))*(10)/(ASINH(AA$4))</f>
        <v>7.3302478181964501</v>
      </c>
      <c r="AC150" s="256">
        <f>FMS_Ranking4[[#This Row],[Road closures, ArcSinh (0-10)]]*AA$5*10</f>
        <v>3.6651239090982251</v>
      </c>
      <c r="AD150" s="253">
        <f>_xlfn.XLOOKUP(FMS_Ranking4[[#This Row],[FMS ID]],FMS_Input[FMS_ID],FMS_Input[ROAD_MILES100])</f>
        <v>141</v>
      </c>
      <c r="AE150" s="259">
        <f>(ASINH(FMS_Ranking4[[#This Row],[Road Miles Raw]]))*(10)/(ASINH(AD$4))</f>
        <v>6.0127341132543535</v>
      </c>
      <c r="AF150" s="256">
        <f>FMS_Ranking4[[#This Row],[Length of roads at risk, ArcSinh (0-10)]]*AD$5*10</f>
        <v>6.0127341132543544</v>
      </c>
      <c r="AG150" s="253">
        <f>_xlfn.XLOOKUP(FMS_Ranking4[[#This Row],[FMS ID]],FMS_Input[FMS_ID],FMS_Input[FARMACRE100])</f>
        <v>3068.908447265625</v>
      </c>
      <c r="AH150" s="255">
        <f>(ASINH(FMS_Ranking4[[#This Row],[Ag Land Raw]]))*(10)/(ASINH(AG$4))</f>
        <v>5.6657953608243981</v>
      </c>
      <c r="AI150" s="260">
        <f>FMS_Ranking4[[#This Row],[Farm &amp; ranch land, ArcSinh (0-10)]]*AG$5*10</f>
        <v>2.832897680412199</v>
      </c>
      <c r="AJ150" s="258">
        <f>_xlfn.XLOOKUP(FMS_Ranking4[[#This Row],[FMS ID]],FMS_Input[FMS_ID],FMS_Input[REDSTRUCT100])</f>
        <v>0</v>
      </c>
      <c r="AK150" s="253">
        <f>_xlfn.XLOOKUP(FMS_Ranking4[[#This Row],[FMS ID]],FMS_Input[FMS_ID],FMS_Input[REMSTRC100])</f>
        <v>0</v>
      </c>
      <c r="AL150" s="259">
        <f>(ASINH(FMS_Ranking4[[#This Row],[Structures Removed Raw]]))*(10)/(ASINH(AK$4))</f>
        <v>0</v>
      </c>
      <c r="AM150" s="262">
        <f>FMS_Ranking4[[#This Row],[Structures removed, ArcSinh (0-10)]]*AK$5*10</f>
        <v>0</v>
      </c>
      <c r="AN150" s="253">
        <f>_xlfn.XLOOKUP(FMS_Ranking4[[#This Row],[FMS ID]],FMS_Input[FMS_ID],FMS_Input[REMRESSTRC100])</f>
        <v>0</v>
      </c>
      <c r="AO150" s="261">
        <f>FMS_Ranking4[[#This Row],[ArcSinh Res struct removed 0-10]]*AN$5*10</f>
        <v>0</v>
      </c>
      <c r="AP150" s="260">
        <f>ASINH(FMS_Ranking4[[#This Row],[Residential Structures Removed Raw]])/AP$4*AN$5*100</f>
        <v>0</v>
      </c>
      <c r="AQ150" s="254">
        <f>(ASINH(FMS_Ranking4[[#This Row],[Residential Structures Removed Raw]]))*(10)/(ASINH(AN$4))</f>
        <v>0</v>
      </c>
      <c r="AR150" s="253">
        <f>_xlfn.XLOOKUP(FMS_Ranking4[[#This Row],[FMS ID]],FMS_Input[FMS_ID],FMS_Input[REMPOP100])</f>
        <v>0</v>
      </c>
      <c r="AS150" s="259">
        <f>(ASINH(FMS_Ranking4[[#This Row],[Removed Pop Raw]]))*(10)/(ASINH(AR$4))</f>
        <v>0</v>
      </c>
      <c r="AT150" s="262">
        <f>FMS_Ranking4[[#This Row],[Removed population, ArcSinh (0-10)]]*AR$5*10</f>
        <v>0</v>
      </c>
      <c r="AU150" s="264">
        <f>_xlfn.XLOOKUP(FMS_Ranking4[[#This Row],[FMS ID]],FMS_Input[FMS_ID],FMS_Input[REMCRITFAC100])</f>
        <v>0</v>
      </c>
      <c r="AV150" s="264">
        <f>_xlfn.XLOOKUP(FMS_Ranking4[[#This Row],[FMS ID]],FMS_Input[FMS_ID],FMS_Input[REMLWC100])</f>
        <v>0</v>
      </c>
      <c r="AW150" s="264">
        <f>_xlfn.XLOOKUP(FMS_Ranking4[[#This Row],[FMS ID]],FMS_Input[FMS_ID],FMS_Input[REMROADCLS])</f>
        <v>0</v>
      </c>
      <c r="AX150" s="264">
        <f>_xlfn.XLOOKUP(FMS_Ranking4[[#This Row],[FMS ID]],FMS_Input[FMS_ID],FMS_Input[REMFRMACRE100])</f>
        <v>0</v>
      </c>
      <c r="AY150" s="258">
        <f>_xlfn.XLOOKUP(FMS_Ranking4[[#This Row],[FMS ID]],FMS_Input[FMS_ID],FMS_Input[COSTSTRUCT])</f>
        <v>0</v>
      </c>
      <c r="AZ150" s="253">
        <f>_xlfn.XLOOKUP(FMS_Ranking4[[#This Row],[FMS ID]],FMS_Input[FMS_ID],FMS_Input[NATURE])</f>
        <v>0</v>
      </c>
      <c r="BA150" s="262">
        <f>(((FMS_Ranking4[[#This Row],[% NBS Raw]]/AZ$4)*100)*AZ$5)</f>
        <v>0</v>
      </c>
      <c r="BB150" s="251" t="str">
        <f>_xlfn.XLOOKUP(FMS_Ranking4[[#This Row],[FMS ID]],FMS_Input[FMS_ID],FMS_Input[WATER_SUP])</f>
        <v>No</v>
      </c>
      <c r="BC150" s="265">
        <f>IF(FMS_Ranking4[[#This Row],[Water Supply Raw]]="Yes",10,0)</f>
        <v>0</v>
      </c>
      <c r="BD150" s="266">
        <f>_xlfn.XLOOKUP(FMS_Ranking4[[#This Row],[FMS Type]],FMS_TYPE[FMS_Type],FMS_TYPE[Score])</f>
        <v>10</v>
      </c>
      <c r="BE150" s="267">
        <f>FMS_Ranking4[[#This Row],[FMS_Type Score]]*$BD$5*10</f>
        <v>2.5</v>
      </c>
      <c r="BF15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1.1356473381836181</v>
      </c>
      <c r="BG150" s="271">
        <f>_xlfn.RANK.EQ(BF150,$BF$8:$BF$870,0)+COUNTIF($BF$8:BF150,BF150)-1</f>
        <v>132</v>
      </c>
      <c r="BH150" s="268">
        <f>(((FMS_Ranking4[[#This Row],[Structures Removed Raw]]/AK$4)*100)*AK$5)+(((FMS_Ranking4[[#This Row],[Removed Pop Raw]]/AR$4)*100)*AR$5)</f>
        <v>0</v>
      </c>
      <c r="BI15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3.6356473381836181</v>
      </c>
      <c r="BJ150" s="205">
        <f>_xlfn.RANK.EQ(FMS_Ranking4[[#This Row],[Total Score 
(with linear
normalization)]],FMS_Ranking4[Total Score 
(with linear
normalization)],0)</f>
        <v>144</v>
      </c>
      <c r="BK150" s="205" t="e">
        <f>_xlfn.XLOOKUP(FMS_Ranking4[[#This Row],[FMS ID]],#REF!,#REF!)</f>
        <v>#REF!</v>
      </c>
      <c r="BL15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31.651821337703879</v>
      </c>
      <c r="BM150" s="272">
        <f>FMS_Ranking4[[#This Row],[ArcSinh Score Based on Normalized Reported Factors]]+FMS_Ranking4[[#This Row],[% NBS Score (Normalized)]]+(FMS_Ranking4[[#This Row],[Water Supply Score (Normalized)]]*10*$BB$5)+FMS_Ranking4[[#This Row],[FMS_Type Score Weighted]]</f>
        <v>34.151821337703879</v>
      </c>
      <c r="BN150" s="205">
        <f>_xlfn.RANK.EQ(FMS_Ranking4[[#This Row],[Total Score (with ArcSinh normalization of select criteria)]],FMS_Ranking4[Total Score (with ArcSinh normalization of select criteria)],0)</f>
        <v>143</v>
      </c>
      <c r="BO150" s="270" t="str">
        <f>_xlfn.XLOOKUP(FMS_Ranking4[[#This Row],[FMS ID]],FMS_Input[FMS_ID],FMS_Input[FMS_RANK_YEAR])</f>
        <v>2023 Amended Plan</v>
      </c>
      <c r="BP150" s="204">
        <f>_xlfn.XLOOKUP(FMS_Ranking4[[#This Row],[FMS ID]],Prev_Rank[FMS ID],Prev_Rank[Prev Rank])</f>
        <v>121</v>
      </c>
      <c r="BQ150" s="205" t="e">
        <f>_xlfn.XLOOKUP(FMS_Ranking4[[#This Row],[FMS ID]],#REF!,#REF!)</f>
        <v>#REF!</v>
      </c>
      <c r="BR150" s="199" t="e">
        <f>SUM(#REF!,#REF!,#REF!,#REF!,#REF!,#REF!,#REF!,#REF!,#REF!,FMS_Ranking4[[#This Row],[ArcSinh Res struct removed 0-10]],#REF!)</f>
        <v>#REF!</v>
      </c>
      <c r="BS150" s="199" t="e">
        <f>FMS_Ranking4[[#This Row],[Log Score Based on Normalized Reported Factors]]+FMS_Ranking4[[#This Row],[% NBS Score (Normalized)]]+(FMS_Ranking4[[#This Row],[Water Supply Score (Normalized)]]*10*$BB$5)+(FMS_Ranking4[[#This Row],[FMS_Type Score Weighted]])</f>
        <v>#REF!</v>
      </c>
      <c r="BT150" s="200" t="e">
        <f>_xlfn.RANK.EQ(FMS_Ranking4[[#This Row],[Log Total Score]],FMS_Ranking4[Log Total Score],0)</f>
        <v>#REF!</v>
      </c>
      <c r="BU150" s="200" t="e">
        <f>_xlfn.XLOOKUP(FMS_Ranking4[[#This Row],[FMS ID]],#REF!,#REF!)</f>
        <v>#REF!</v>
      </c>
      <c r="BV150" s="200">
        <f>FMS_Ranking4[[#This Row],[Region Number]]</f>
        <v>13</v>
      </c>
      <c r="BW150" s="200">
        <f>FMS_Ranking4[[#This Row],[Rank (with ArcSinh normalization of select criteria)]]-FMS_Ranking4[[#This Row],[Rank
(with linear
normalization)]]</f>
        <v>-1</v>
      </c>
      <c r="BX150" s="200" t="e">
        <f>FMS_Ranking4[[#This Row],[Log Rank]]-FMS_Ranking4[[#This Row],[Rank
(with linear
normalization)]]</f>
        <v>#REF!</v>
      </c>
      <c r="BY150" s="200">
        <f>IF(FMS_Ranking4[[#This Row],[FMS Type]]="Flood Measurement and Warning",FMS_Ranking4[[#This Row],[Rank (with ArcSinh normalization of select criteria)]],"")</f>
        <v>143</v>
      </c>
      <c r="BZ150" s="200" t="str">
        <f>IF(FMS_Ranking4[[#This Row],[FMS Type]]="Regulatory and Guidance",FMS_Ranking4[[#This Row],[Rank (with ArcSinh normalization of select criteria)]],"")</f>
        <v/>
      </c>
      <c r="CA150" s="200" t="str">
        <f>IF(FMS_Ranking4[[#This Row],[FMS Type]]="Education and Outreach",FMS_Ranking4[[#This Row],[Rank (with ArcSinh normalization of select criteria)]],"")</f>
        <v/>
      </c>
      <c r="CB150" s="200" t="str">
        <f>IF(FMS_Ranking4[[#This Row],[FMS Type]]="Property Acquisition and Structural Elevation",FMS_Ranking4[[#This Row],[Rank (with ArcSinh normalization of select criteria)]],"")</f>
        <v/>
      </c>
      <c r="CC150" s="200" t="str">
        <f>IF(FMS_Ranking4[[#This Row],[FMS Type]]="Infrastructure Projects",FMS_Ranking4[[#This Row],[Rank (with ArcSinh normalization of select criteria)]],"")</f>
        <v/>
      </c>
      <c r="CD150" s="200" t="str">
        <f>IF(FMS_Ranking4[[#This Row],[FMS Type]]="Other",FMS_Ranking4[[#This Row],[Rank (with ArcSinh normalization of select criteria)]],"")</f>
        <v/>
      </c>
      <c r="CE150" s="201"/>
    </row>
    <row r="151" spans="2:96" ht="45" x14ac:dyDescent="0.25">
      <c r="B151" s="341" t="s">
        <v>3887</v>
      </c>
      <c r="C151" s="246">
        <f>_xlfn.XLOOKUP(FMS_Ranking4[[#This Row],[FMS ID]],FMS_Input[FMS_ID],FMS_Input[RFPG_NUM])</f>
        <v>15</v>
      </c>
      <c r="D151" s="309" t="str">
        <f>_xlfn.XLOOKUP(FMS_Ranking4[[#This Row],[FMS ID]],FMS_Input[FMS_ID],FMS_Input[FMS_NAME])</f>
        <v>Edinburg #1-1.2</v>
      </c>
      <c r="E151" s="308" t="str">
        <f>_xlfn.XLOOKUP(FMS_Ranking4[[#This Row],[FMS ID]],FMS_Input[FMS_ID],FMS_Input[SPONSOR])</f>
        <v>15000082</v>
      </c>
      <c r="F151" s="309" t="str">
        <f>_xlfn.XLOOKUP(FMS_Ranking4[[#This Row],[FMS ID]],Sponsor[FMS_ID],Sponsor[SPONSOR NAME])</f>
        <v>Edinburg</v>
      </c>
      <c r="G151" s="309" t="str">
        <f>_xlfn.XLOOKUP(FMS_Ranking4[[#This Row],[FMS ID]],FMS_Input[FMS_ID],FMS_Input[FMS_DESCR])</f>
        <v>Develop a Reverse 9-1-1 System</v>
      </c>
      <c r="H151" s="248" t="str">
        <f>_xlfn.XLOOKUP(FMS_Ranking4[[#This Row],[FMS ID]],FMS_Input[FMS_ID],FMS_Input[FMS_TYPE])</f>
        <v>Flood Measurement and Warning</v>
      </c>
      <c r="I151" s="249">
        <f>_xlfn.XLOOKUP(FMS_Ranking4[[#This Row],[FMS ID]],FMS_Input[FMS_ID],FMS_Input[NRNC_COST])</f>
        <v>1000</v>
      </c>
      <c r="J151" s="250">
        <f>_xlfn.XLOOKUP(FMS_Ranking4[[#This Row],[FMS ID]],FMS_Input[FMS_ID],FMS_Input[FMS_COST])</f>
        <v>250000</v>
      </c>
      <c r="K151" s="251" t="str">
        <f>_xlfn.XLOOKUP(FMS_Ranking4[[#This Row],[FMS ID]],FMS_Input[FMS_ID],FMS_Input[EMER_NEED])</f>
        <v>Yes</v>
      </c>
      <c r="L151" s="252">
        <f t="shared" si="2"/>
        <v>1</v>
      </c>
      <c r="M151" s="253">
        <f>_xlfn.XLOOKUP(FMS_Ranking4[[#This Row],[FMS ID]],FMS_Input[FMS_ID],FMS_Input[STRUCT_100])</f>
        <v>16985</v>
      </c>
      <c r="N151" s="255">
        <f>(ASINH(FMS_Ranking4[[#This Row],[Structure at Risk Raw]]))*(10)/(ASINH(M$4))</f>
        <v>8.2020746278686421</v>
      </c>
      <c r="O151" s="256">
        <f>FMS_Ranking4[[#This Row],[Structures at risk, ArcSinh (0-10)]]*M$5*10</f>
        <v>8.2020746278686438</v>
      </c>
      <c r="P151" s="253">
        <f>_xlfn.XLOOKUP(FMS_Ranking4[[#This Row],[FMS ID]],FMS_Input[FMS_ID],FMS_Input[RES_STRUCT100])</f>
        <v>14417</v>
      </c>
      <c r="Q151" s="257">
        <f>ASINH(FMS_Ranking4[[#This Row],[Res Structure Raw]])/Q$4*P$5*100</f>
        <v>0</v>
      </c>
      <c r="R151" s="253">
        <f>_xlfn.XLOOKUP(FMS_Ranking4[[#This Row],[FMS ID]],FMS_Input[FMS_ID],FMS_Input[POP100])</f>
        <v>89221</v>
      </c>
      <c r="S151" s="259">
        <f>(ASINH(FMS_Ranking4[[#This Row],[Pop at Risk Raw]]))*(10)/(ASINH(R$4))</f>
        <v>8.3478246172412991</v>
      </c>
      <c r="T151" s="256">
        <f>FMS_Ranking4[[#This Row],[Population at risk, ArcSinh (0-10)]]*R$5*10</f>
        <v>8.3478246172412991</v>
      </c>
      <c r="U151" s="253">
        <f>_xlfn.XLOOKUP(FMS_Ranking4[[#This Row],[FMS ID]],FMS_Input[FMS_ID],FMS_Input[CRITFAC100])</f>
        <v>15</v>
      </c>
      <c r="V151" s="259">
        <f>(ASINH(FMS_Ranking4[[#This Row],[Critical Facilities Raw]]))*(10)/(ASINH(U$4))</f>
        <v>4.0275285958962579</v>
      </c>
      <c r="W151" s="256">
        <f>FMS_Ranking4[[#This Row],[Critical facilities at risk, ArcSinh (0-10)]]*U$5*10</f>
        <v>4.0275285958962579</v>
      </c>
      <c r="X151" s="253">
        <f>_xlfn.XLOOKUP(FMS_Ranking4[[#This Row],[FMS ID]],FMS_Input[FMS_ID],FMS_Input[LWC])</f>
        <v>1</v>
      </c>
      <c r="Y151" s="259">
        <f>(ASINH(FMS_Ranking4[[#This Row],[LWC Raw]]))*(10)/(ASINH(X$4))</f>
        <v>1.1940300948531093</v>
      </c>
      <c r="Z151" s="256">
        <f>FMS_Ranking4[[#This Row],[LWC, ArcSInh (0-10)]]*X$5*10</f>
        <v>1.1940300948531093</v>
      </c>
      <c r="AA151" s="253">
        <f>_xlfn.XLOOKUP(FMS_Ranking4[[#This Row],[FMS ID]],FMS_Input[FMS_ID],FMS_Input[ROADCLS])</f>
        <v>0</v>
      </c>
      <c r="AB151" s="255">
        <f>(ASINH(FMS_Ranking4[[#This Row],[Road Closures Raw]]))*(10)/(ASINH(AA$4))</f>
        <v>0</v>
      </c>
      <c r="AC151" s="256">
        <f>FMS_Ranking4[[#This Row],[Road closures, ArcSinh (0-10)]]*AA$5*10</f>
        <v>0</v>
      </c>
      <c r="AD151" s="253">
        <f>_xlfn.XLOOKUP(FMS_Ranking4[[#This Row],[FMS ID]],FMS_Input[FMS_ID],FMS_Input[ROAD_MILES100])</f>
        <v>287</v>
      </c>
      <c r="AE151" s="259">
        <f>(ASINH(FMS_Ranking4[[#This Row],[Road Miles Raw]]))*(10)/(ASINH(AD$4))</f>
        <v>6.7701584087141313</v>
      </c>
      <c r="AF151" s="256">
        <f>FMS_Ranking4[[#This Row],[Length of roads at risk, ArcSinh (0-10)]]*AD$5*10</f>
        <v>6.7701584087141322</v>
      </c>
      <c r="AG151" s="253">
        <f>_xlfn.XLOOKUP(FMS_Ranking4[[#This Row],[FMS ID]],FMS_Input[FMS_ID],FMS_Input[FARMACRE100])</f>
        <v>5997.40380859375</v>
      </c>
      <c r="AH151" s="255">
        <f>(ASINH(FMS_Ranking4[[#This Row],[Ag Land Raw]]))*(10)/(ASINH(AG$4))</f>
        <v>6.1010180071897651</v>
      </c>
      <c r="AI151" s="260">
        <f>FMS_Ranking4[[#This Row],[Farm &amp; ranch land, ArcSinh (0-10)]]*AG$5*10</f>
        <v>3.050509003594883</v>
      </c>
      <c r="AJ151" s="258">
        <f>_xlfn.XLOOKUP(FMS_Ranking4[[#This Row],[FMS ID]],FMS_Input[FMS_ID],FMS_Input[REDSTRUCT100])</f>
        <v>0</v>
      </c>
      <c r="AK151" s="253">
        <f>_xlfn.XLOOKUP(FMS_Ranking4[[#This Row],[FMS ID]],FMS_Input[FMS_ID],FMS_Input[REMSTRC100])</f>
        <v>0</v>
      </c>
      <c r="AL151" s="259">
        <f>(ASINH(FMS_Ranking4[[#This Row],[Structures Removed Raw]]))*(10)/(ASINH(AK$4))</f>
        <v>0</v>
      </c>
      <c r="AM151" s="262">
        <f>FMS_Ranking4[[#This Row],[Structures removed, ArcSinh (0-10)]]*AK$5*10</f>
        <v>0</v>
      </c>
      <c r="AN151" s="253">
        <f>_xlfn.XLOOKUP(FMS_Ranking4[[#This Row],[FMS ID]],FMS_Input[FMS_ID],FMS_Input[REMRESSTRC100])</f>
        <v>0</v>
      </c>
      <c r="AO151" s="261">
        <f>FMS_Ranking4[[#This Row],[ArcSinh Res struct removed 0-10]]*AN$5*10</f>
        <v>0</v>
      </c>
      <c r="AP151" s="260">
        <f>ASINH(FMS_Ranking4[[#This Row],[Residential Structures Removed Raw]])/AP$4*AN$5*100</f>
        <v>0</v>
      </c>
      <c r="AQ151" s="254">
        <f>(ASINH(FMS_Ranking4[[#This Row],[Residential Structures Removed Raw]]))*(10)/(ASINH(AN$4))</f>
        <v>0</v>
      </c>
      <c r="AR151" s="253">
        <f>_xlfn.XLOOKUP(FMS_Ranking4[[#This Row],[FMS ID]],FMS_Input[FMS_ID],FMS_Input[REMPOP100])</f>
        <v>0</v>
      </c>
      <c r="AS151" s="259">
        <f>(ASINH(FMS_Ranking4[[#This Row],[Removed Pop Raw]]))*(10)/(ASINH(AR$4))</f>
        <v>0</v>
      </c>
      <c r="AT151" s="262">
        <f>FMS_Ranking4[[#This Row],[Removed population, ArcSinh (0-10)]]*AR$5*10</f>
        <v>0</v>
      </c>
      <c r="AU151" s="264">
        <f>_xlfn.XLOOKUP(FMS_Ranking4[[#This Row],[FMS ID]],FMS_Input[FMS_ID],FMS_Input[REMCRITFAC100])</f>
        <v>0</v>
      </c>
      <c r="AV151" s="264">
        <f>_xlfn.XLOOKUP(FMS_Ranking4[[#This Row],[FMS ID]],FMS_Input[FMS_ID],FMS_Input[REMLWC100])</f>
        <v>0</v>
      </c>
      <c r="AW151" s="264">
        <f>_xlfn.XLOOKUP(FMS_Ranking4[[#This Row],[FMS ID]],FMS_Input[FMS_ID],FMS_Input[REMROADCLS])</f>
        <v>0</v>
      </c>
      <c r="AX151" s="264">
        <f>_xlfn.XLOOKUP(FMS_Ranking4[[#This Row],[FMS ID]],FMS_Input[FMS_ID],FMS_Input[REMFRMACRE100])</f>
        <v>0</v>
      </c>
      <c r="AY151" s="258">
        <f>_xlfn.XLOOKUP(FMS_Ranking4[[#This Row],[FMS ID]],FMS_Input[FMS_ID],FMS_Input[COSTSTRUCT])</f>
        <v>0</v>
      </c>
      <c r="AZ151" s="253">
        <f>_xlfn.XLOOKUP(FMS_Ranking4[[#This Row],[FMS ID]],FMS_Input[FMS_ID],FMS_Input[NATURE])</f>
        <v>0</v>
      </c>
      <c r="BA151" s="262">
        <f>(((FMS_Ranking4[[#This Row],[% NBS Raw]]/AZ$4)*100)*AZ$5)</f>
        <v>0</v>
      </c>
      <c r="BB151" s="251" t="str">
        <f>_xlfn.XLOOKUP(FMS_Ranking4[[#This Row],[FMS ID]],FMS_Input[FMS_ID],FMS_Input[WATER_SUP])</f>
        <v>No</v>
      </c>
      <c r="BC151" s="265">
        <f>IF(FMS_Ranking4[[#This Row],[Water Supply Raw]]="Yes",10,0)</f>
        <v>0</v>
      </c>
      <c r="BD151" s="266">
        <f>_xlfn.XLOOKUP(FMS_Ranking4[[#This Row],[FMS Type]],FMS_TYPE[FMS_Type],FMS_TYPE[Score])</f>
        <v>10</v>
      </c>
      <c r="BE151" s="267">
        <f>FMS_Ranking4[[#This Row],[FMS_Type Score]]*$BD$5*10</f>
        <v>2.5</v>
      </c>
      <c r="BF15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2.501040418962226</v>
      </c>
      <c r="BG151" s="269">
        <f>_xlfn.RANK.EQ(BF151,$BF$8:$BF$870,0)+COUNTIF($BF$8:BF151,BF151)-1</f>
        <v>88</v>
      </c>
      <c r="BH151" s="268">
        <f>(((FMS_Ranking4[[#This Row],[Structures Removed Raw]]/AK$4)*100)*AK$5)+(((FMS_Ranking4[[#This Row],[Removed Pop Raw]]/AR$4)*100)*AR$5)</f>
        <v>0</v>
      </c>
      <c r="BI15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5.0010404189622264</v>
      </c>
      <c r="BJ151" s="204">
        <f>_xlfn.RANK.EQ(FMS_Ranking4[[#This Row],[Total Score 
(with linear
normalization)]],FMS_Ranking4[Total Score 
(with linear
normalization)],0)</f>
        <v>110</v>
      </c>
      <c r="BK151" s="204" t="e">
        <f>_xlfn.XLOOKUP(FMS_Ranking4[[#This Row],[FMS ID]],#REF!,#REF!)</f>
        <v>#REF!</v>
      </c>
      <c r="BL151"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31.59212534816832</v>
      </c>
      <c r="BM151" s="270">
        <f>FMS_Ranking4[[#This Row],[ArcSinh Score Based on Normalized Reported Factors]]+FMS_Ranking4[[#This Row],[% NBS Score (Normalized)]]+(FMS_Ranking4[[#This Row],[Water Supply Score (Normalized)]]*10*$BB$5)+FMS_Ranking4[[#This Row],[FMS_Type Score Weighted]]</f>
        <v>34.092125348168324</v>
      </c>
      <c r="BN151" s="204">
        <f>_xlfn.RANK.EQ(FMS_Ranking4[[#This Row],[Total Score (with ArcSinh normalization of select criteria)]],FMS_Ranking4[Total Score (with ArcSinh normalization of select criteria)],0)</f>
        <v>144</v>
      </c>
      <c r="BO151" s="270" t="str">
        <f>_xlfn.XLOOKUP(FMS_Ranking4[[#This Row],[FMS ID]],FMS_Input[FMS_ID],FMS_Input[FMS_RANK_YEAR])</f>
        <v>2023 Amended Plan</v>
      </c>
      <c r="BP151" s="204">
        <f>_xlfn.XLOOKUP(FMS_Ranking4[[#This Row],[FMS ID]],Prev_Rank[FMS ID],Prev_Rank[Prev Rank])</f>
        <v>115</v>
      </c>
      <c r="BQ151" s="204" t="e">
        <f>_xlfn.XLOOKUP(FMS_Ranking4[[#This Row],[FMS ID]],#REF!,#REF!)</f>
        <v>#REF!</v>
      </c>
      <c r="BR151" s="199" t="e">
        <f>SUM(#REF!,#REF!,#REF!,#REF!,#REF!,#REF!,#REF!,#REF!,#REF!,FMS_Ranking4[[#This Row],[ArcSinh Res struct removed 0-10]],#REF!)</f>
        <v>#REF!</v>
      </c>
      <c r="BS151" s="199" t="e">
        <f>FMS_Ranking4[[#This Row],[Log Score Based on Normalized Reported Factors]]+FMS_Ranking4[[#This Row],[% NBS Score (Normalized)]]+(FMS_Ranking4[[#This Row],[Water Supply Score (Normalized)]]*10*$BB$5)+(FMS_Ranking4[[#This Row],[FMS_Type Score Weighted]])</f>
        <v>#REF!</v>
      </c>
      <c r="BT151" s="200" t="e">
        <f>_xlfn.RANK.EQ(FMS_Ranking4[[#This Row],[Log Total Score]],FMS_Ranking4[Log Total Score],0)</f>
        <v>#REF!</v>
      </c>
      <c r="BU151" s="200" t="e">
        <f>_xlfn.XLOOKUP(FMS_Ranking4[[#This Row],[FMS ID]],#REF!,#REF!)</f>
        <v>#REF!</v>
      </c>
      <c r="BV151" s="200">
        <f>FMS_Ranking4[[#This Row],[Region Number]]</f>
        <v>15</v>
      </c>
      <c r="BW151" s="200">
        <f>FMS_Ranking4[[#This Row],[Rank (with ArcSinh normalization of select criteria)]]-FMS_Ranking4[[#This Row],[Rank
(with linear
normalization)]]</f>
        <v>34</v>
      </c>
      <c r="BX151" s="200" t="e">
        <f>FMS_Ranking4[[#This Row],[Log Rank]]-FMS_Ranking4[[#This Row],[Rank
(with linear
normalization)]]</f>
        <v>#REF!</v>
      </c>
      <c r="BY151" s="200">
        <f>IF(FMS_Ranking4[[#This Row],[FMS Type]]="Flood Measurement and Warning",FMS_Ranking4[[#This Row],[Rank (with ArcSinh normalization of select criteria)]],"")</f>
        <v>144</v>
      </c>
      <c r="BZ151" s="200" t="str">
        <f>IF(FMS_Ranking4[[#This Row],[FMS Type]]="Regulatory and Guidance",FMS_Ranking4[[#This Row],[Rank (with ArcSinh normalization of select criteria)]],"")</f>
        <v/>
      </c>
      <c r="CA151" s="200" t="str">
        <f>IF(FMS_Ranking4[[#This Row],[FMS Type]]="Education and Outreach",FMS_Ranking4[[#This Row],[Rank (with ArcSinh normalization of select criteria)]],"")</f>
        <v/>
      </c>
      <c r="CB151" s="200" t="str">
        <f>IF(FMS_Ranking4[[#This Row],[FMS Type]]="Property Acquisition and Structural Elevation",FMS_Ranking4[[#This Row],[Rank (with ArcSinh normalization of select criteria)]],"")</f>
        <v/>
      </c>
      <c r="CC151" s="200" t="str">
        <f>IF(FMS_Ranking4[[#This Row],[FMS Type]]="Infrastructure Projects",FMS_Ranking4[[#This Row],[Rank (with ArcSinh normalization of select criteria)]],"")</f>
        <v/>
      </c>
      <c r="CD151" s="200" t="str">
        <f>IF(FMS_Ranking4[[#This Row],[FMS Type]]="Other",FMS_Ranking4[[#This Row],[Rank (with ArcSinh normalization of select criteria)]],"")</f>
        <v/>
      </c>
      <c r="CE151" s="201"/>
    </row>
    <row r="152" spans="2:96" ht="75" x14ac:dyDescent="0.25">
      <c r="B152" s="341" t="s">
        <v>3891</v>
      </c>
      <c r="C152" s="246">
        <f>_xlfn.XLOOKUP(FMS_Ranking4[[#This Row],[FMS ID]],FMS_Input[FMS_ID],FMS_Input[RFPG_NUM])</f>
        <v>15</v>
      </c>
      <c r="D152" s="309" t="str">
        <f>_xlfn.XLOOKUP(FMS_Ranking4[[#This Row],[FMS ID]],FMS_Input[FMS_ID],FMS_Input[FMS_NAME])</f>
        <v>Edinburg #7-1.1</v>
      </c>
      <c r="E152" s="308" t="str">
        <f>_xlfn.XLOOKUP(FMS_Ranking4[[#This Row],[FMS ID]],FMS_Input[FMS_ID],FMS_Input[SPONSOR])</f>
        <v>15000082</v>
      </c>
      <c r="F152" s="309" t="str">
        <f>_xlfn.XLOOKUP(FMS_Ranking4[[#This Row],[FMS ID]],Sponsor[FMS_ID],Sponsor[SPONSOR NAME])</f>
        <v>Edinburg</v>
      </c>
      <c r="G152" s="309" t="str">
        <f>_xlfn.XLOOKUP(FMS_Ranking4[[#This Row],[FMS ID]],FMS_Input[FMS_ID],FMS_Input[FMS_DESCR])</f>
        <v>Develop a Program To Provide Links To Weather Alerts And Departmental Phone Listings With Contact Personnel For Residents.</v>
      </c>
      <c r="H152" s="248" t="str">
        <f>_xlfn.XLOOKUP(FMS_Ranking4[[#This Row],[FMS ID]],FMS_Input[FMS_ID],FMS_Input[FMS_TYPE])</f>
        <v>Flood Measurement and Warning</v>
      </c>
      <c r="I152" s="249">
        <f>_xlfn.XLOOKUP(FMS_Ranking4[[#This Row],[FMS ID]],FMS_Input[FMS_ID],FMS_Input[NRNC_COST])</f>
        <v>1000</v>
      </c>
      <c r="J152" s="250">
        <f>_xlfn.XLOOKUP(FMS_Ranking4[[#This Row],[FMS ID]],FMS_Input[FMS_ID],FMS_Input[FMS_COST])</f>
        <v>1000</v>
      </c>
      <c r="K152" s="251" t="str">
        <f>_xlfn.XLOOKUP(FMS_Ranking4[[#This Row],[FMS ID]],FMS_Input[FMS_ID],FMS_Input[EMER_NEED])</f>
        <v>Yes</v>
      </c>
      <c r="L152" s="252">
        <f t="shared" si="2"/>
        <v>1</v>
      </c>
      <c r="M152" s="253">
        <f>_xlfn.XLOOKUP(FMS_Ranking4[[#This Row],[FMS ID]],FMS_Input[FMS_ID],FMS_Input[STRUCT_100])</f>
        <v>16985</v>
      </c>
      <c r="N152" s="255">
        <f>(ASINH(FMS_Ranking4[[#This Row],[Structure at Risk Raw]]))*(10)/(ASINH(M$4))</f>
        <v>8.2020746278686421</v>
      </c>
      <c r="O152" s="256">
        <f>FMS_Ranking4[[#This Row],[Structures at risk, ArcSinh (0-10)]]*M$5*10</f>
        <v>8.2020746278686438</v>
      </c>
      <c r="P152" s="253">
        <f>_xlfn.XLOOKUP(FMS_Ranking4[[#This Row],[FMS ID]],FMS_Input[FMS_ID],FMS_Input[RES_STRUCT100])</f>
        <v>14417</v>
      </c>
      <c r="Q152" s="257">
        <f>ASINH(FMS_Ranking4[[#This Row],[Res Structure Raw]])/Q$4*P$5*100</f>
        <v>0</v>
      </c>
      <c r="R152" s="253">
        <f>_xlfn.XLOOKUP(FMS_Ranking4[[#This Row],[FMS ID]],FMS_Input[FMS_ID],FMS_Input[POP100])</f>
        <v>89221</v>
      </c>
      <c r="S152" s="259">
        <f>(ASINH(FMS_Ranking4[[#This Row],[Pop at Risk Raw]]))*(10)/(ASINH(R$4))</f>
        <v>8.3478246172412991</v>
      </c>
      <c r="T152" s="256">
        <f>FMS_Ranking4[[#This Row],[Population at risk, ArcSinh (0-10)]]*R$5*10</f>
        <v>8.3478246172412991</v>
      </c>
      <c r="U152" s="253">
        <f>_xlfn.XLOOKUP(FMS_Ranking4[[#This Row],[FMS ID]],FMS_Input[FMS_ID],FMS_Input[CRITFAC100])</f>
        <v>15</v>
      </c>
      <c r="V152" s="259">
        <f>(ASINH(FMS_Ranking4[[#This Row],[Critical Facilities Raw]]))*(10)/(ASINH(U$4))</f>
        <v>4.0275285958962579</v>
      </c>
      <c r="W152" s="256">
        <f>FMS_Ranking4[[#This Row],[Critical facilities at risk, ArcSinh (0-10)]]*U$5*10</f>
        <v>4.0275285958962579</v>
      </c>
      <c r="X152" s="253">
        <f>_xlfn.XLOOKUP(FMS_Ranking4[[#This Row],[FMS ID]],FMS_Input[FMS_ID],FMS_Input[LWC])</f>
        <v>1</v>
      </c>
      <c r="Y152" s="259">
        <f>(ASINH(FMS_Ranking4[[#This Row],[LWC Raw]]))*(10)/(ASINH(X$4))</f>
        <v>1.1940300948531093</v>
      </c>
      <c r="Z152" s="256">
        <f>FMS_Ranking4[[#This Row],[LWC, ArcSInh (0-10)]]*X$5*10</f>
        <v>1.1940300948531093</v>
      </c>
      <c r="AA152" s="253">
        <f>_xlfn.XLOOKUP(FMS_Ranking4[[#This Row],[FMS ID]],FMS_Input[FMS_ID],FMS_Input[ROADCLS])</f>
        <v>0</v>
      </c>
      <c r="AB152" s="255">
        <f>(ASINH(FMS_Ranking4[[#This Row],[Road Closures Raw]]))*(10)/(ASINH(AA$4))</f>
        <v>0</v>
      </c>
      <c r="AC152" s="256">
        <f>FMS_Ranking4[[#This Row],[Road closures, ArcSinh (0-10)]]*AA$5*10</f>
        <v>0</v>
      </c>
      <c r="AD152" s="253">
        <f>_xlfn.XLOOKUP(FMS_Ranking4[[#This Row],[FMS ID]],FMS_Input[FMS_ID],FMS_Input[ROAD_MILES100])</f>
        <v>287</v>
      </c>
      <c r="AE152" s="259">
        <f>(ASINH(FMS_Ranking4[[#This Row],[Road Miles Raw]]))*(10)/(ASINH(AD$4))</f>
        <v>6.7701584087141313</v>
      </c>
      <c r="AF152" s="256">
        <f>FMS_Ranking4[[#This Row],[Length of roads at risk, ArcSinh (0-10)]]*AD$5*10</f>
        <v>6.7701584087141322</v>
      </c>
      <c r="AG152" s="253">
        <f>_xlfn.XLOOKUP(FMS_Ranking4[[#This Row],[FMS ID]],FMS_Input[FMS_ID],FMS_Input[FARMACRE100])</f>
        <v>5997.40380859375</v>
      </c>
      <c r="AH152" s="255">
        <f>(ASINH(FMS_Ranking4[[#This Row],[Ag Land Raw]]))*(10)/(ASINH(AG$4))</f>
        <v>6.1010180071897651</v>
      </c>
      <c r="AI152" s="260">
        <f>FMS_Ranking4[[#This Row],[Farm &amp; ranch land, ArcSinh (0-10)]]*AG$5*10</f>
        <v>3.050509003594883</v>
      </c>
      <c r="AJ152" s="258">
        <f>_xlfn.XLOOKUP(FMS_Ranking4[[#This Row],[FMS ID]],FMS_Input[FMS_ID],FMS_Input[REDSTRUCT100])</f>
        <v>0</v>
      </c>
      <c r="AK152" s="253">
        <f>_xlfn.XLOOKUP(FMS_Ranking4[[#This Row],[FMS ID]],FMS_Input[FMS_ID],FMS_Input[REMSTRC100])</f>
        <v>0</v>
      </c>
      <c r="AL152" s="259">
        <f>(ASINH(FMS_Ranking4[[#This Row],[Structures Removed Raw]]))*(10)/(ASINH(AK$4))</f>
        <v>0</v>
      </c>
      <c r="AM152" s="262">
        <f>FMS_Ranking4[[#This Row],[Structures removed, ArcSinh (0-10)]]*AK$5*10</f>
        <v>0</v>
      </c>
      <c r="AN152" s="253">
        <f>_xlfn.XLOOKUP(FMS_Ranking4[[#This Row],[FMS ID]],FMS_Input[FMS_ID],FMS_Input[REMRESSTRC100])</f>
        <v>0</v>
      </c>
      <c r="AO152" s="261">
        <f>FMS_Ranking4[[#This Row],[ArcSinh Res struct removed 0-10]]*AN$5*10</f>
        <v>0</v>
      </c>
      <c r="AP152" s="260">
        <f>ASINH(FMS_Ranking4[[#This Row],[Residential Structures Removed Raw]])/AP$4*AN$5*100</f>
        <v>0</v>
      </c>
      <c r="AQ152" s="254">
        <f>(ASINH(FMS_Ranking4[[#This Row],[Residential Structures Removed Raw]]))*(10)/(ASINH(AN$4))</f>
        <v>0</v>
      </c>
      <c r="AR152" s="253">
        <f>_xlfn.XLOOKUP(FMS_Ranking4[[#This Row],[FMS ID]],FMS_Input[FMS_ID],FMS_Input[REMPOP100])</f>
        <v>0</v>
      </c>
      <c r="AS152" s="259">
        <f>(ASINH(FMS_Ranking4[[#This Row],[Removed Pop Raw]]))*(10)/(ASINH(AR$4))</f>
        <v>0</v>
      </c>
      <c r="AT152" s="262">
        <f>FMS_Ranking4[[#This Row],[Removed population, ArcSinh (0-10)]]*AR$5*10</f>
        <v>0</v>
      </c>
      <c r="AU152" s="264">
        <f>_xlfn.XLOOKUP(FMS_Ranking4[[#This Row],[FMS ID]],FMS_Input[FMS_ID],FMS_Input[REMCRITFAC100])</f>
        <v>0</v>
      </c>
      <c r="AV152" s="264">
        <f>_xlfn.XLOOKUP(FMS_Ranking4[[#This Row],[FMS ID]],FMS_Input[FMS_ID],FMS_Input[REMLWC100])</f>
        <v>0</v>
      </c>
      <c r="AW152" s="264">
        <f>_xlfn.XLOOKUP(FMS_Ranking4[[#This Row],[FMS ID]],FMS_Input[FMS_ID],FMS_Input[REMROADCLS])</f>
        <v>0</v>
      </c>
      <c r="AX152" s="264">
        <f>_xlfn.XLOOKUP(FMS_Ranking4[[#This Row],[FMS ID]],FMS_Input[FMS_ID],FMS_Input[REMFRMACRE100])</f>
        <v>0</v>
      </c>
      <c r="AY152" s="258">
        <f>_xlfn.XLOOKUP(FMS_Ranking4[[#This Row],[FMS ID]],FMS_Input[FMS_ID],FMS_Input[COSTSTRUCT])</f>
        <v>0</v>
      </c>
      <c r="AZ152" s="253">
        <f>_xlfn.XLOOKUP(FMS_Ranking4[[#This Row],[FMS ID]],FMS_Input[FMS_ID],FMS_Input[NATURE])</f>
        <v>0</v>
      </c>
      <c r="BA152" s="262">
        <f>(((FMS_Ranking4[[#This Row],[% NBS Raw]]/AZ$4)*100)*AZ$5)</f>
        <v>0</v>
      </c>
      <c r="BB152" s="251" t="str">
        <f>_xlfn.XLOOKUP(FMS_Ranking4[[#This Row],[FMS ID]],FMS_Input[FMS_ID],FMS_Input[WATER_SUP])</f>
        <v>No</v>
      </c>
      <c r="BC152" s="265">
        <f>IF(FMS_Ranking4[[#This Row],[Water Supply Raw]]="Yes",10,0)</f>
        <v>0</v>
      </c>
      <c r="BD152" s="266">
        <f>_xlfn.XLOOKUP(FMS_Ranking4[[#This Row],[FMS Type]],FMS_TYPE[FMS_Type],FMS_TYPE[Score])</f>
        <v>10</v>
      </c>
      <c r="BE152" s="267">
        <f>FMS_Ranking4[[#This Row],[FMS_Type Score]]*$BD$5*10</f>
        <v>2.5</v>
      </c>
      <c r="BF15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2.501040418962226</v>
      </c>
      <c r="BG152" s="271">
        <f>_xlfn.RANK.EQ(BF152,$BF$8:$BF$870,0)+COUNTIF($BF$8:BF152,BF152)-1</f>
        <v>89</v>
      </c>
      <c r="BH152" s="268">
        <f>(((FMS_Ranking4[[#This Row],[Structures Removed Raw]]/AK$4)*100)*AK$5)+(((FMS_Ranking4[[#This Row],[Removed Pop Raw]]/AR$4)*100)*AR$5)</f>
        <v>0</v>
      </c>
      <c r="BI15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5.0010404189622264</v>
      </c>
      <c r="BJ152" s="204">
        <f>_xlfn.RANK.EQ(FMS_Ranking4[[#This Row],[Total Score 
(with linear
normalization)]],FMS_Ranking4[Total Score 
(with linear
normalization)],0)</f>
        <v>110</v>
      </c>
      <c r="BK152" s="204" t="e">
        <f>_xlfn.XLOOKUP(FMS_Ranking4[[#This Row],[FMS ID]],#REF!,#REF!)</f>
        <v>#REF!</v>
      </c>
      <c r="BL152"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31.59212534816832</v>
      </c>
      <c r="BM152" s="270">
        <f>FMS_Ranking4[[#This Row],[ArcSinh Score Based on Normalized Reported Factors]]+FMS_Ranking4[[#This Row],[% NBS Score (Normalized)]]+(FMS_Ranking4[[#This Row],[Water Supply Score (Normalized)]]*10*$BB$5)+FMS_Ranking4[[#This Row],[FMS_Type Score Weighted]]</f>
        <v>34.092125348168324</v>
      </c>
      <c r="BN152" s="204">
        <f>_xlfn.RANK.EQ(FMS_Ranking4[[#This Row],[Total Score (with ArcSinh normalization of select criteria)]],FMS_Ranking4[Total Score (with ArcSinh normalization of select criteria)],0)</f>
        <v>144</v>
      </c>
      <c r="BO152" s="270" t="str">
        <f>_xlfn.XLOOKUP(FMS_Ranking4[[#This Row],[FMS ID]],FMS_Input[FMS_ID],FMS_Input[FMS_RANK_YEAR])</f>
        <v>2023 Amended Plan</v>
      </c>
      <c r="BP152" s="204">
        <f>_xlfn.XLOOKUP(FMS_Ranking4[[#This Row],[FMS ID]],Prev_Rank[FMS ID],Prev_Rank[Prev Rank])</f>
        <v>115</v>
      </c>
      <c r="BQ152" s="204" t="e">
        <f>_xlfn.XLOOKUP(FMS_Ranking4[[#This Row],[FMS ID]],#REF!,#REF!)</f>
        <v>#REF!</v>
      </c>
      <c r="BR152" s="199" t="e">
        <f>SUM(#REF!,#REF!,#REF!,#REF!,#REF!,#REF!,#REF!,#REF!,#REF!,FMS_Ranking4[[#This Row],[ArcSinh Res struct removed 0-10]],#REF!)</f>
        <v>#REF!</v>
      </c>
      <c r="BS152" s="199" t="e">
        <f>FMS_Ranking4[[#This Row],[Log Score Based on Normalized Reported Factors]]+FMS_Ranking4[[#This Row],[% NBS Score (Normalized)]]+(FMS_Ranking4[[#This Row],[Water Supply Score (Normalized)]]*10*$BB$5)+(FMS_Ranking4[[#This Row],[FMS_Type Score Weighted]])</f>
        <v>#REF!</v>
      </c>
      <c r="BT152" s="200" t="e">
        <f>_xlfn.RANK.EQ(FMS_Ranking4[[#This Row],[Log Total Score]],FMS_Ranking4[Log Total Score],0)</f>
        <v>#REF!</v>
      </c>
      <c r="BU152" s="200" t="e">
        <f>_xlfn.XLOOKUP(FMS_Ranking4[[#This Row],[FMS ID]],#REF!,#REF!)</f>
        <v>#REF!</v>
      </c>
      <c r="BV152" s="200">
        <f>FMS_Ranking4[[#This Row],[Region Number]]</f>
        <v>15</v>
      </c>
      <c r="BW152" s="200">
        <f>FMS_Ranking4[[#This Row],[Rank (with ArcSinh normalization of select criteria)]]-FMS_Ranking4[[#This Row],[Rank
(with linear
normalization)]]</f>
        <v>34</v>
      </c>
      <c r="BX152" s="200" t="e">
        <f>FMS_Ranking4[[#This Row],[Log Rank]]-FMS_Ranking4[[#This Row],[Rank
(with linear
normalization)]]</f>
        <v>#REF!</v>
      </c>
      <c r="BY152" s="200">
        <f>IF(FMS_Ranking4[[#This Row],[FMS Type]]="Flood Measurement and Warning",FMS_Ranking4[[#This Row],[Rank (with ArcSinh normalization of select criteria)]],"")</f>
        <v>144</v>
      </c>
      <c r="BZ152" s="200" t="str">
        <f>IF(FMS_Ranking4[[#This Row],[FMS Type]]="Regulatory and Guidance",FMS_Ranking4[[#This Row],[Rank (with ArcSinh normalization of select criteria)]],"")</f>
        <v/>
      </c>
      <c r="CA152" s="200" t="str">
        <f>IF(FMS_Ranking4[[#This Row],[FMS Type]]="Education and Outreach",FMS_Ranking4[[#This Row],[Rank (with ArcSinh normalization of select criteria)]],"")</f>
        <v/>
      </c>
      <c r="CB152" s="200" t="str">
        <f>IF(FMS_Ranking4[[#This Row],[FMS Type]]="Property Acquisition and Structural Elevation",FMS_Ranking4[[#This Row],[Rank (with ArcSinh normalization of select criteria)]],"")</f>
        <v/>
      </c>
      <c r="CC152" s="200" t="str">
        <f>IF(FMS_Ranking4[[#This Row],[FMS Type]]="Infrastructure Projects",FMS_Ranking4[[#This Row],[Rank (with ArcSinh normalization of select criteria)]],"")</f>
        <v/>
      </c>
      <c r="CD152" s="200" t="str">
        <f>IF(FMS_Ranking4[[#This Row],[FMS Type]]="Other",FMS_Ranking4[[#This Row],[Rank (with ArcSinh normalization of select criteria)]],"")</f>
        <v/>
      </c>
      <c r="CE152" s="201"/>
    </row>
    <row r="153" spans="2:96" ht="60" x14ac:dyDescent="0.25">
      <c r="B153" s="341" t="s">
        <v>3893</v>
      </c>
      <c r="C153" s="246">
        <f>_xlfn.XLOOKUP(FMS_Ranking4[[#This Row],[FMS ID]],FMS_Input[FMS_ID],FMS_Input[RFPG_NUM])</f>
        <v>15</v>
      </c>
      <c r="D153" s="309" t="str">
        <f>_xlfn.XLOOKUP(FMS_Ranking4[[#This Row],[FMS ID]],FMS_Input[FMS_ID],FMS_Input[FMS_NAME])</f>
        <v>Edinburg #9-1.2</v>
      </c>
      <c r="E153" s="308" t="str">
        <f>_xlfn.XLOOKUP(FMS_Ranking4[[#This Row],[FMS ID]],FMS_Input[FMS_ID],FMS_Input[SPONSOR])</f>
        <v>15000082</v>
      </c>
      <c r="F153" s="309" t="str">
        <f>_xlfn.XLOOKUP(FMS_Ranking4[[#This Row],[FMS ID]],Sponsor[FMS_ID],Sponsor[SPONSOR NAME])</f>
        <v>Edinburg</v>
      </c>
      <c r="G153" s="309" t="str">
        <f>_xlfn.XLOOKUP(FMS_Ranking4[[#This Row],[FMS ID]],FMS_Input[FMS_ID],FMS_Input[FMS_DESCR])</f>
        <v>Develop Procedures For Mass Notifications To Citizens And Merchants During Natural Hazard Incident.</v>
      </c>
      <c r="H153" s="248" t="str">
        <f>_xlfn.XLOOKUP(FMS_Ranking4[[#This Row],[FMS ID]],FMS_Input[FMS_ID],FMS_Input[FMS_TYPE])</f>
        <v>Flood Measurement and Warning</v>
      </c>
      <c r="I153" s="249">
        <f>_xlfn.XLOOKUP(FMS_Ranking4[[#This Row],[FMS ID]],FMS_Input[FMS_ID],FMS_Input[NRNC_COST])</f>
        <v>1000</v>
      </c>
      <c r="J153" s="250">
        <f>_xlfn.XLOOKUP(FMS_Ranking4[[#This Row],[FMS ID]],FMS_Input[FMS_ID],FMS_Input[FMS_COST])</f>
        <v>31000</v>
      </c>
      <c r="K153" s="251" t="str">
        <f>_xlfn.XLOOKUP(FMS_Ranking4[[#This Row],[FMS ID]],FMS_Input[FMS_ID],FMS_Input[EMER_NEED])</f>
        <v>Yes</v>
      </c>
      <c r="L153" s="252">
        <f t="shared" si="2"/>
        <v>1</v>
      </c>
      <c r="M153" s="253">
        <f>_xlfn.XLOOKUP(FMS_Ranking4[[#This Row],[FMS ID]],FMS_Input[FMS_ID],FMS_Input[STRUCT_100])</f>
        <v>16985</v>
      </c>
      <c r="N153" s="255">
        <f>(ASINH(FMS_Ranking4[[#This Row],[Structure at Risk Raw]]))*(10)/(ASINH(M$4))</f>
        <v>8.2020746278686421</v>
      </c>
      <c r="O153" s="256">
        <f>FMS_Ranking4[[#This Row],[Structures at risk, ArcSinh (0-10)]]*M$5*10</f>
        <v>8.2020746278686438</v>
      </c>
      <c r="P153" s="253">
        <f>_xlfn.XLOOKUP(FMS_Ranking4[[#This Row],[FMS ID]],FMS_Input[FMS_ID],FMS_Input[RES_STRUCT100])</f>
        <v>14417</v>
      </c>
      <c r="Q153" s="257">
        <f>ASINH(FMS_Ranking4[[#This Row],[Res Structure Raw]])/Q$4*P$5*100</f>
        <v>0</v>
      </c>
      <c r="R153" s="253">
        <f>_xlfn.XLOOKUP(FMS_Ranking4[[#This Row],[FMS ID]],FMS_Input[FMS_ID],FMS_Input[POP100])</f>
        <v>89221</v>
      </c>
      <c r="S153" s="255">
        <f>(ASINH(FMS_Ranking4[[#This Row],[Pop at Risk Raw]]))*(10)/(ASINH(R$4))</f>
        <v>8.3478246172412991</v>
      </c>
      <c r="T153" s="256">
        <f>FMS_Ranking4[[#This Row],[Population at risk, ArcSinh (0-10)]]*R$5*10</f>
        <v>8.3478246172412991</v>
      </c>
      <c r="U153" s="253">
        <f>_xlfn.XLOOKUP(FMS_Ranking4[[#This Row],[FMS ID]],FMS_Input[FMS_ID],FMS_Input[CRITFAC100])</f>
        <v>15</v>
      </c>
      <c r="V153" s="255">
        <f>(ASINH(FMS_Ranking4[[#This Row],[Critical Facilities Raw]]))*(10)/(ASINH(U$4))</f>
        <v>4.0275285958962579</v>
      </c>
      <c r="W153" s="256">
        <f>FMS_Ranking4[[#This Row],[Critical facilities at risk, ArcSinh (0-10)]]*U$5*10</f>
        <v>4.0275285958962579</v>
      </c>
      <c r="X153" s="253">
        <f>_xlfn.XLOOKUP(FMS_Ranking4[[#This Row],[FMS ID]],FMS_Input[FMS_ID],FMS_Input[LWC])</f>
        <v>1</v>
      </c>
      <c r="Y153" s="255">
        <f>(ASINH(FMS_Ranking4[[#This Row],[LWC Raw]]))*(10)/(ASINH(X$4))</f>
        <v>1.1940300948531093</v>
      </c>
      <c r="Z153" s="256">
        <f>FMS_Ranking4[[#This Row],[LWC, ArcSInh (0-10)]]*X$5*10</f>
        <v>1.1940300948531093</v>
      </c>
      <c r="AA153" s="253">
        <f>_xlfn.XLOOKUP(FMS_Ranking4[[#This Row],[FMS ID]],FMS_Input[FMS_ID],FMS_Input[ROADCLS])</f>
        <v>0</v>
      </c>
      <c r="AB153" s="255">
        <f>(ASINH(FMS_Ranking4[[#This Row],[Road Closures Raw]]))*(10)/(ASINH(AA$4))</f>
        <v>0</v>
      </c>
      <c r="AC153" s="256">
        <f>FMS_Ranking4[[#This Row],[Road closures, ArcSinh (0-10)]]*AA$5*10</f>
        <v>0</v>
      </c>
      <c r="AD153" s="253">
        <f>_xlfn.XLOOKUP(FMS_Ranking4[[#This Row],[FMS ID]],FMS_Input[FMS_ID],FMS_Input[ROAD_MILES100])</f>
        <v>287</v>
      </c>
      <c r="AE153" s="255">
        <f>(ASINH(FMS_Ranking4[[#This Row],[Road Miles Raw]]))*(10)/(ASINH(AD$4))</f>
        <v>6.7701584087141313</v>
      </c>
      <c r="AF153" s="256">
        <f>FMS_Ranking4[[#This Row],[Length of roads at risk, ArcSinh (0-10)]]*AD$5*10</f>
        <v>6.7701584087141322</v>
      </c>
      <c r="AG153" s="253">
        <f>_xlfn.XLOOKUP(FMS_Ranking4[[#This Row],[FMS ID]],FMS_Input[FMS_ID],FMS_Input[FARMACRE100])</f>
        <v>5997.40380859375</v>
      </c>
      <c r="AH153" s="255">
        <f>(ASINH(FMS_Ranking4[[#This Row],[Ag Land Raw]]))*(10)/(ASINH(AG$4))</f>
        <v>6.1010180071897651</v>
      </c>
      <c r="AI153" s="260">
        <f>FMS_Ranking4[[#This Row],[Farm &amp; ranch land, ArcSinh (0-10)]]*AG$5*10</f>
        <v>3.050509003594883</v>
      </c>
      <c r="AJ153" s="258">
        <f>_xlfn.XLOOKUP(FMS_Ranking4[[#This Row],[FMS ID]],FMS_Input[FMS_ID],FMS_Input[REDSTRUCT100])</f>
        <v>0</v>
      </c>
      <c r="AK153" s="253">
        <f>_xlfn.XLOOKUP(FMS_Ranking4[[#This Row],[FMS ID]],FMS_Input[FMS_ID],FMS_Input[REMSTRC100])</f>
        <v>0</v>
      </c>
      <c r="AL153" s="255">
        <f>(ASINH(FMS_Ranking4[[#This Row],[Structures Removed Raw]]))*(10)/(ASINH(AK$4))</f>
        <v>0</v>
      </c>
      <c r="AM153" s="262">
        <f>FMS_Ranking4[[#This Row],[Structures removed, ArcSinh (0-10)]]*AK$5*10</f>
        <v>0</v>
      </c>
      <c r="AN153" s="253">
        <f>_xlfn.XLOOKUP(FMS_Ranking4[[#This Row],[FMS ID]],FMS_Input[FMS_ID],FMS_Input[REMRESSTRC100])</f>
        <v>0</v>
      </c>
      <c r="AO153" s="261">
        <f>FMS_Ranking4[[#This Row],[ArcSinh Res struct removed 0-10]]*AN$5*10</f>
        <v>0</v>
      </c>
      <c r="AP153" s="260">
        <f>ASINH(FMS_Ranking4[[#This Row],[Residential Structures Removed Raw]])/AP$4*AN$5*100</f>
        <v>0</v>
      </c>
      <c r="AQ153" s="258">
        <f>(ASINH(FMS_Ranking4[[#This Row],[Residential Structures Removed Raw]]))*(10)/(ASINH(AN$4))</f>
        <v>0</v>
      </c>
      <c r="AR153" s="253">
        <f>_xlfn.XLOOKUP(FMS_Ranking4[[#This Row],[FMS ID]],FMS_Input[FMS_ID],FMS_Input[REMPOP100])</f>
        <v>0</v>
      </c>
      <c r="AS153" s="255">
        <f>(ASINH(FMS_Ranking4[[#This Row],[Removed Pop Raw]]))*(10)/(ASINH(AR$4))</f>
        <v>0</v>
      </c>
      <c r="AT153" s="262">
        <f>FMS_Ranking4[[#This Row],[Removed population, ArcSinh (0-10)]]*AR$5*10</f>
        <v>0</v>
      </c>
      <c r="AU153" s="264">
        <f>_xlfn.XLOOKUP(FMS_Ranking4[[#This Row],[FMS ID]],FMS_Input[FMS_ID],FMS_Input[REMCRITFAC100])</f>
        <v>0</v>
      </c>
      <c r="AV153" s="264">
        <f>_xlfn.XLOOKUP(FMS_Ranking4[[#This Row],[FMS ID]],FMS_Input[FMS_ID],FMS_Input[REMLWC100])</f>
        <v>0</v>
      </c>
      <c r="AW153" s="264">
        <f>_xlfn.XLOOKUP(FMS_Ranking4[[#This Row],[FMS ID]],FMS_Input[FMS_ID],FMS_Input[REMROADCLS])</f>
        <v>0</v>
      </c>
      <c r="AX153" s="264">
        <f>_xlfn.XLOOKUP(FMS_Ranking4[[#This Row],[FMS ID]],FMS_Input[FMS_ID],FMS_Input[REMFRMACRE100])</f>
        <v>0</v>
      </c>
      <c r="AY153" s="258">
        <f>_xlfn.XLOOKUP(FMS_Ranking4[[#This Row],[FMS ID]],FMS_Input[FMS_ID],FMS_Input[COSTSTRUCT])</f>
        <v>0</v>
      </c>
      <c r="AZ153" s="253">
        <f>_xlfn.XLOOKUP(FMS_Ranking4[[#This Row],[FMS ID]],FMS_Input[FMS_ID],FMS_Input[NATURE])</f>
        <v>0</v>
      </c>
      <c r="BA153" s="262">
        <f>(((FMS_Ranking4[[#This Row],[% NBS Raw]]/AZ$4)*100)*AZ$5)</f>
        <v>0</v>
      </c>
      <c r="BB153" s="251" t="str">
        <f>_xlfn.XLOOKUP(FMS_Ranking4[[#This Row],[FMS ID]],FMS_Input[FMS_ID],FMS_Input[WATER_SUP])</f>
        <v>No</v>
      </c>
      <c r="BC153" s="265">
        <f>IF(FMS_Ranking4[[#This Row],[Water Supply Raw]]="Yes",10,0)</f>
        <v>0</v>
      </c>
      <c r="BD153" s="266">
        <f>_xlfn.XLOOKUP(FMS_Ranking4[[#This Row],[FMS Type]],FMS_TYPE[FMS_Type],FMS_TYPE[Score])</f>
        <v>10</v>
      </c>
      <c r="BE153" s="267">
        <f>FMS_Ranking4[[#This Row],[FMS_Type Score]]*$BD$5*10</f>
        <v>2.5</v>
      </c>
      <c r="BF15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2.501040418962226</v>
      </c>
      <c r="BG153" s="321">
        <f>_xlfn.RANK.EQ(BF153,$BF$8:$BF$870,0)+COUNTIF($BF$8:BF185,BF153)-1</f>
        <v>90</v>
      </c>
      <c r="BH153" s="294">
        <f>(((FMS_Ranking4[[#This Row],[Structures Removed Raw]]/AK$4)*100)*AK$5)+(((FMS_Ranking4[[#This Row],[Removed Pop Raw]]/AR$4)*100)*AR$5)</f>
        <v>0</v>
      </c>
      <c r="BI15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5.0010404189622264</v>
      </c>
      <c r="BJ153" s="251">
        <f>_xlfn.RANK.EQ(FMS_Ranking4[[#This Row],[Total Score 
(with linear
normalization)]],FMS_Ranking4[Total Score 
(with linear
normalization)],0)</f>
        <v>110</v>
      </c>
      <c r="BK153" s="251" t="e">
        <f>_xlfn.XLOOKUP(FMS_Ranking4[[#This Row],[FMS ID]],#REF!,#REF!)</f>
        <v>#REF!</v>
      </c>
      <c r="BL15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31.59212534816832</v>
      </c>
      <c r="BM153" s="324">
        <f>FMS_Ranking4[[#This Row],[ArcSinh Score Based on Normalized Reported Factors]]+FMS_Ranking4[[#This Row],[% NBS Score (Normalized)]]+(FMS_Ranking4[[#This Row],[Water Supply Score (Normalized)]]*10*$BB$5)+FMS_Ranking4[[#This Row],[FMS_Type Score Weighted]]</f>
        <v>34.092125348168324</v>
      </c>
      <c r="BN153" s="251">
        <f>_xlfn.RANK.EQ(FMS_Ranking4[[#This Row],[Total Score (with ArcSinh normalization of select criteria)]],FMS_Ranking4[Total Score (with ArcSinh normalization of select criteria)],0)</f>
        <v>144</v>
      </c>
      <c r="BO153" s="270" t="str">
        <f>_xlfn.XLOOKUP(FMS_Ranking4[[#This Row],[FMS ID]],FMS_Input[FMS_ID],FMS_Input[FMS_RANK_YEAR])</f>
        <v>2023 Amended Plan</v>
      </c>
      <c r="BP153" s="204">
        <f>_xlfn.XLOOKUP(FMS_Ranking4[[#This Row],[FMS ID]],Prev_Rank[FMS ID],Prev_Rank[Prev Rank])</f>
        <v>115</v>
      </c>
      <c r="BQ153" s="251" t="e">
        <f>_xlfn.XLOOKUP(FMS_Ranking4[[#This Row],[FMS ID]],#REF!,#REF!)</f>
        <v>#REF!</v>
      </c>
      <c r="BR153" s="199" t="e">
        <f>SUM(#REF!,#REF!,#REF!,#REF!,#REF!,#REF!,#REF!,#REF!,#REF!,FMS_Ranking4[[#This Row],[ArcSinh Res struct removed 0-10]],#REF!)</f>
        <v>#REF!</v>
      </c>
      <c r="BS153" s="199" t="e">
        <f>FMS_Ranking4[[#This Row],[Log Score Based on Normalized Reported Factors]]+FMS_Ranking4[[#This Row],[% NBS Score (Normalized)]]+(FMS_Ranking4[[#This Row],[Water Supply Score (Normalized)]]*10*$BB$5)+(FMS_Ranking4[[#This Row],[FMS_Type Score Weighted]])</f>
        <v>#REF!</v>
      </c>
      <c r="BT153" s="200" t="e">
        <f>_xlfn.RANK.EQ(FMS_Ranking4[[#This Row],[Log Total Score]],FMS_Ranking4[Log Total Score],0)</f>
        <v>#REF!</v>
      </c>
      <c r="BU153" s="200" t="e">
        <f>_xlfn.XLOOKUP(FMS_Ranking4[[#This Row],[FMS ID]],#REF!,#REF!)</f>
        <v>#REF!</v>
      </c>
      <c r="BV153" s="200">
        <f>FMS_Ranking4[[#This Row],[Region Number]]</f>
        <v>15</v>
      </c>
      <c r="BW153" s="200">
        <f>FMS_Ranking4[[#This Row],[Rank (with ArcSinh normalization of select criteria)]]-FMS_Ranking4[[#This Row],[Rank
(with linear
normalization)]]</f>
        <v>34</v>
      </c>
      <c r="BX153" s="200" t="e">
        <f>FMS_Ranking4[[#This Row],[Log Rank]]-FMS_Ranking4[[#This Row],[Rank
(with linear
normalization)]]</f>
        <v>#REF!</v>
      </c>
      <c r="BY153" s="200">
        <f>IF(FMS_Ranking4[[#This Row],[FMS Type]]="Flood Measurement and Warning",FMS_Ranking4[[#This Row],[Rank (with ArcSinh normalization of select criteria)]],"")</f>
        <v>144</v>
      </c>
      <c r="BZ153" s="200" t="str">
        <f>IF(FMS_Ranking4[[#This Row],[FMS Type]]="Regulatory and Guidance",FMS_Ranking4[[#This Row],[Rank (with ArcSinh normalization of select criteria)]],"")</f>
        <v/>
      </c>
      <c r="CA153" s="200" t="str">
        <f>IF(FMS_Ranking4[[#This Row],[FMS Type]]="Education and Outreach",FMS_Ranking4[[#This Row],[Rank (with ArcSinh normalization of select criteria)]],"")</f>
        <v/>
      </c>
      <c r="CB153" s="200" t="str">
        <f>IF(FMS_Ranking4[[#This Row],[FMS Type]]="Property Acquisition and Structural Elevation",FMS_Ranking4[[#This Row],[Rank (with ArcSinh normalization of select criteria)]],"")</f>
        <v/>
      </c>
      <c r="CC153" s="200" t="str">
        <f>IF(FMS_Ranking4[[#This Row],[FMS Type]]="Infrastructure Projects",FMS_Ranking4[[#This Row],[Rank (with ArcSinh normalization of select criteria)]],"")</f>
        <v/>
      </c>
      <c r="CD153" s="200" t="str">
        <f>IF(FMS_Ranking4[[#This Row],[FMS Type]]="Other",FMS_Ranking4[[#This Row],[Rank (with ArcSinh normalization of select criteria)]],"")</f>
        <v/>
      </c>
      <c r="CE153" s="201"/>
    </row>
    <row r="154" spans="2:96" ht="60" x14ac:dyDescent="0.25">
      <c r="B154" s="341" t="s">
        <v>1701</v>
      </c>
      <c r="C154" s="246">
        <f>_xlfn.XLOOKUP(FMS_Ranking4[[#This Row],[FMS ID]],FMS_Input[FMS_ID],FMS_Input[RFPG_NUM])</f>
        <v>2</v>
      </c>
      <c r="D154" s="309" t="str">
        <f>_xlfn.XLOOKUP(FMS_Ranking4[[#This Row],[FMS ID]],FMS_Input[FMS_ID],FMS_Input[FMS_NAME])</f>
        <v>Grayson County Flood Warning and Public Safety Improvements</v>
      </c>
      <c r="E154" s="308" t="str">
        <f>_xlfn.XLOOKUP(FMS_Ranking4[[#This Row],[FMS ID]],FMS_Input[FMS_ID],FMS_Input[SPONSOR])</f>
        <v>Grayson County</v>
      </c>
      <c r="F154" s="309" t="str">
        <f>_xlfn.XLOOKUP(FMS_Ranking4[[#This Row],[FMS ID]],Sponsor[FMS_ID],Sponsor[SPONSOR NAME])</f>
        <v>Grayson County</v>
      </c>
      <c r="G154" s="309" t="str">
        <f>_xlfn.XLOOKUP(FMS_Ranking4[[#This Row],[FMS ID]],FMS_Input[FMS_ID],FMS_Input[FMS_DESCR])</f>
        <v>Create an improved gauge notification system. Increase public awareness before occurrences and during flooding.</v>
      </c>
      <c r="H154" s="248" t="str">
        <f>_xlfn.XLOOKUP(FMS_Ranking4[[#This Row],[FMS ID]],FMS_Input[FMS_ID],FMS_Input[FMS_TYPE])</f>
        <v>Flood Measurement and Warning</v>
      </c>
      <c r="I154" s="249">
        <f>_xlfn.XLOOKUP(FMS_Ranking4[[#This Row],[FMS ID]],FMS_Input[FMS_ID],FMS_Input[NRNC_COST])</f>
        <v>250000</v>
      </c>
      <c r="J154" s="250">
        <f>_xlfn.XLOOKUP(FMS_Ranking4[[#This Row],[FMS ID]],FMS_Input[FMS_ID],FMS_Input[FMS_COST])</f>
        <v>250000</v>
      </c>
      <c r="K154" s="251" t="str">
        <f>_xlfn.XLOOKUP(FMS_Ranking4[[#This Row],[FMS ID]],FMS_Input[FMS_ID],FMS_Input[EMER_NEED])</f>
        <v>No</v>
      </c>
      <c r="L154" s="252">
        <f t="shared" si="2"/>
        <v>0</v>
      </c>
      <c r="M154" s="253">
        <f>_xlfn.XLOOKUP(FMS_Ranking4[[#This Row],[FMS ID]],FMS_Input[FMS_ID],FMS_Input[STRUCT_100])</f>
        <v>2569</v>
      </c>
      <c r="N154" s="255">
        <f>(ASINH(FMS_Ranking4[[#This Row],[Structure at Risk Raw]]))*(10)/(ASINH(M$4))</f>
        <v>6.7171857123413075</v>
      </c>
      <c r="O154" s="256">
        <f>FMS_Ranking4[[#This Row],[Structures at risk, ArcSinh (0-10)]]*M$5*10</f>
        <v>6.7171857123413083</v>
      </c>
      <c r="P154" s="253">
        <f>_xlfn.XLOOKUP(FMS_Ranking4[[#This Row],[FMS ID]],FMS_Input[FMS_ID],FMS_Input[RES_STRUCT100])</f>
        <v>1511</v>
      </c>
      <c r="Q154" s="257">
        <f>ASINH(FMS_Ranking4[[#This Row],[Res Structure Raw]])/Q$4*P$5*100</f>
        <v>0</v>
      </c>
      <c r="R154" s="253">
        <f>_xlfn.XLOOKUP(FMS_Ranking4[[#This Row],[FMS ID]],FMS_Input[FMS_ID],FMS_Input[POP100])</f>
        <v>12470</v>
      </c>
      <c r="S154" s="259">
        <f>(ASINH(FMS_Ranking4[[#This Row],[Pop at Risk Raw]]))*(10)/(ASINH(R$4))</f>
        <v>6.9893441524693767</v>
      </c>
      <c r="T154" s="256">
        <f>FMS_Ranking4[[#This Row],[Population at risk, ArcSinh (0-10)]]*R$5*10</f>
        <v>6.9893441524693767</v>
      </c>
      <c r="U154" s="253">
        <f>_xlfn.XLOOKUP(FMS_Ranking4[[#This Row],[FMS ID]],FMS_Input[FMS_ID],FMS_Input[CRITFAC100])</f>
        <v>23</v>
      </c>
      <c r="V154" s="259">
        <f>(ASINH(FMS_Ranking4[[#This Row],[Critical Facilities Raw]]))*(10)/(ASINH(U$4))</f>
        <v>4.532767423925546</v>
      </c>
      <c r="W154" s="256">
        <f>FMS_Ranking4[[#This Row],[Critical facilities at risk, ArcSinh (0-10)]]*U$5*10</f>
        <v>4.532767423925546</v>
      </c>
      <c r="X154" s="253">
        <f>_xlfn.XLOOKUP(FMS_Ranking4[[#This Row],[FMS ID]],FMS_Input[FMS_ID],FMS_Input[LWC])</f>
        <v>8</v>
      </c>
      <c r="Y154" s="259">
        <f>(ASINH(FMS_Ranking4[[#This Row],[LWC Raw]]))*(10)/(ASINH(X$4))</f>
        <v>3.7613918882232862</v>
      </c>
      <c r="Z154" s="256">
        <f>FMS_Ranking4[[#This Row],[LWC, ArcSInh (0-10)]]*X$5*10</f>
        <v>3.7613918882232866</v>
      </c>
      <c r="AA154" s="253">
        <f>_xlfn.XLOOKUP(FMS_Ranking4[[#This Row],[FMS ID]],FMS_Input[FMS_ID],FMS_Input[ROADCLS])</f>
        <v>0</v>
      </c>
      <c r="AB154" s="255">
        <f>(ASINH(FMS_Ranking4[[#This Row],[Road Closures Raw]]))*(10)/(ASINH(AA$4))</f>
        <v>0</v>
      </c>
      <c r="AC154" s="256">
        <f>FMS_Ranking4[[#This Row],[Road closures, ArcSinh (0-10)]]*AA$5*10</f>
        <v>0</v>
      </c>
      <c r="AD154" s="253">
        <f>_xlfn.XLOOKUP(FMS_Ranking4[[#This Row],[FMS ID]],FMS_Input[FMS_ID],FMS_Input[ROAD_MILES100])</f>
        <v>181</v>
      </c>
      <c r="AE154" s="259">
        <f>(ASINH(FMS_Ranking4[[#This Row],[Road Miles Raw]]))*(10)/(ASINH(AD$4))</f>
        <v>6.2788799281326311</v>
      </c>
      <c r="AF154" s="256">
        <f>FMS_Ranking4[[#This Row],[Length of roads at risk, ArcSinh (0-10)]]*AD$5*10</f>
        <v>6.2788799281326311</v>
      </c>
      <c r="AG154" s="253">
        <f>_xlfn.XLOOKUP(FMS_Ranking4[[#This Row],[FMS ID]],FMS_Input[FMS_ID],FMS_Input[FARMACRE100])</f>
        <v>10335.0703125</v>
      </c>
      <c r="AH154" s="255">
        <f>(ASINH(FMS_Ranking4[[#This Row],[Ag Land Raw]]))*(10)/(ASINH(AG$4))</f>
        <v>6.4545308405956634</v>
      </c>
      <c r="AI154" s="260">
        <f>FMS_Ranking4[[#This Row],[Farm &amp; ranch land, ArcSinh (0-10)]]*AG$5*10</f>
        <v>3.2272654202978317</v>
      </c>
      <c r="AJ154" s="258">
        <f>_xlfn.XLOOKUP(FMS_Ranking4[[#This Row],[FMS ID]],FMS_Input[FMS_ID],FMS_Input[REDSTRUCT100])</f>
        <v>0</v>
      </c>
      <c r="AK154" s="253">
        <f>_xlfn.XLOOKUP(FMS_Ranking4[[#This Row],[FMS ID]],FMS_Input[FMS_ID],FMS_Input[REMSTRC100])</f>
        <v>0</v>
      </c>
      <c r="AL154" s="259">
        <f>(ASINH(FMS_Ranking4[[#This Row],[Structures Removed Raw]]))*(10)/(ASINH(AK$4))</f>
        <v>0</v>
      </c>
      <c r="AM154" s="262">
        <f>FMS_Ranking4[[#This Row],[Structures removed, ArcSinh (0-10)]]*AK$5*10</f>
        <v>0</v>
      </c>
      <c r="AN154" s="253">
        <f>_xlfn.XLOOKUP(FMS_Ranking4[[#This Row],[FMS ID]],FMS_Input[FMS_ID],FMS_Input[REMRESSTRC100])</f>
        <v>0</v>
      </c>
      <c r="AO154" s="261">
        <f>FMS_Ranking4[[#This Row],[ArcSinh Res struct removed 0-10]]*AN$5*10</f>
        <v>0</v>
      </c>
      <c r="AP154" s="260">
        <f>ASINH(FMS_Ranking4[[#This Row],[Residential Structures Removed Raw]])/AP$4*AN$5*100</f>
        <v>0</v>
      </c>
      <c r="AQ154" s="254">
        <f>(ASINH(FMS_Ranking4[[#This Row],[Residential Structures Removed Raw]]))*(10)/(ASINH(AN$4))</f>
        <v>0</v>
      </c>
      <c r="AR154" s="253">
        <f>_xlfn.XLOOKUP(FMS_Ranking4[[#This Row],[FMS ID]],FMS_Input[FMS_ID],FMS_Input[REMPOP100])</f>
        <v>0</v>
      </c>
      <c r="AS154" s="259">
        <f>(ASINH(FMS_Ranking4[[#This Row],[Removed Pop Raw]]))*(10)/(ASINH(AR$4))</f>
        <v>0</v>
      </c>
      <c r="AT154" s="262">
        <f>FMS_Ranking4[[#This Row],[Removed population, ArcSinh (0-10)]]*AR$5*10</f>
        <v>0</v>
      </c>
      <c r="AU154" s="264">
        <f>_xlfn.XLOOKUP(FMS_Ranking4[[#This Row],[FMS ID]],FMS_Input[FMS_ID],FMS_Input[REMCRITFAC100])</f>
        <v>0</v>
      </c>
      <c r="AV154" s="264">
        <f>_xlfn.XLOOKUP(FMS_Ranking4[[#This Row],[FMS ID]],FMS_Input[FMS_ID],FMS_Input[REMLWC100])</f>
        <v>0</v>
      </c>
      <c r="AW154" s="264">
        <f>_xlfn.XLOOKUP(FMS_Ranking4[[#This Row],[FMS ID]],FMS_Input[FMS_ID],FMS_Input[REMROADCLS])</f>
        <v>0</v>
      </c>
      <c r="AX154" s="264">
        <f>_xlfn.XLOOKUP(FMS_Ranking4[[#This Row],[FMS ID]],FMS_Input[FMS_ID],FMS_Input[REMFRMACRE100])</f>
        <v>0</v>
      </c>
      <c r="AY154" s="258">
        <f>_xlfn.XLOOKUP(FMS_Ranking4[[#This Row],[FMS ID]],FMS_Input[FMS_ID],FMS_Input[COSTSTRUCT])</f>
        <v>0</v>
      </c>
      <c r="AZ154" s="253">
        <f>_xlfn.XLOOKUP(FMS_Ranking4[[#This Row],[FMS ID]],FMS_Input[FMS_ID],FMS_Input[NATURE])</f>
        <v>0</v>
      </c>
      <c r="BA154" s="262">
        <f>(((FMS_Ranking4[[#This Row],[% NBS Raw]]/AZ$4)*100)*AZ$5)</f>
        <v>0</v>
      </c>
      <c r="BB154" s="251" t="str">
        <f>_xlfn.XLOOKUP(FMS_Ranking4[[#This Row],[FMS ID]],FMS_Input[FMS_ID],FMS_Input[WATER_SUP])</f>
        <v>No</v>
      </c>
      <c r="BC154" s="265">
        <f>IF(FMS_Ranking4[[#This Row],[Water Supply Raw]]="Yes",10,0)</f>
        <v>0</v>
      </c>
      <c r="BD154" s="266">
        <f>_xlfn.XLOOKUP(FMS_Ranking4[[#This Row],[FMS Type]],FMS_TYPE[FMS_Type],FMS_TYPE[Score])</f>
        <v>10</v>
      </c>
      <c r="BE154" s="267">
        <f>FMS_Ranking4[[#This Row],[FMS_Type Score]]*$BD$5*10</f>
        <v>2.5</v>
      </c>
      <c r="BF15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0.80535329176210391</v>
      </c>
      <c r="BG154" s="271">
        <f>_xlfn.RANK.EQ(BF154,$BF$8:$BF$870,0)+COUNTIF($BF$8:BF154,BF154)-1</f>
        <v>171</v>
      </c>
      <c r="BH154" s="268">
        <f>(((FMS_Ranking4[[#This Row],[Structures Removed Raw]]/AK$4)*100)*AK$5)+(((FMS_Ranking4[[#This Row],[Removed Pop Raw]]/AR$4)*100)*AR$5)</f>
        <v>0</v>
      </c>
      <c r="BI15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3.305353291762104</v>
      </c>
      <c r="BJ154" s="205">
        <f>_xlfn.RANK.EQ(FMS_Ranking4[[#This Row],[Total Score 
(with linear
normalization)]],FMS_Ranking4[Total Score 
(with linear
normalization)],0)</f>
        <v>154</v>
      </c>
      <c r="BK154" s="205" t="e">
        <f>_xlfn.XLOOKUP(FMS_Ranking4[[#This Row],[FMS ID]],#REF!,#REF!)</f>
        <v>#REF!</v>
      </c>
      <c r="BL15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31.506834525389984</v>
      </c>
      <c r="BM154" s="272">
        <f>FMS_Ranking4[[#This Row],[ArcSinh Score Based on Normalized Reported Factors]]+FMS_Ranking4[[#This Row],[% NBS Score (Normalized)]]+(FMS_Ranking4[[#This Row],[Water Supply Score (Normalized)]]*10*$BB$5)+FMS_Ranking4[[#This Row],[FMS_Type Score Weighted]]</f>
        <v>34.006834525389984</v>
      </c>
      <c r="BN154" s="205">
        <f>_xlfn.RANK.EQ(FMS_Ranking4[[#This Row],[Total Score (with ArcSinh normalization of select criteria)]],FMS_Ranking4[Total Score (with ArcSinh normalization of select criteria)],0)</f>
        <v>147</v>
      </c>
      <c r="BO154" s="270" t="str">
        <f>_xlfn.XLOOKUP(FMS_Ranking4[[#This Row],[FMS ID]],FMS_Input[FMS_ID],FMS_Input[FMS_RANK_YEAR])</f>
        <v>2023 Amended Plan</v>
      </c>
      <c r="BP154" s="204">
        <f>_xlfn.XLOOKUP(FMS_Ranking4[[#This Row],[FMS ID]],Prev_Rank[FMS ID],Prev_Rank[Prev Rank])</f>
        <v>123</v>
      </c>
      <c r="BQ154" s="205" t="e">
        <f>_xlfn.XLOOKUP(FMS_Ranking4[[#This Row],[FMS ID]],#REF!,#REF!)</f>
        <v>#REF!</v>
      </c>
      <c r="BR154" s="199" t="e">
        <f>SUM(#REF!,#REF!,#REF!,#REF!,#REF!,#REF!,#REF!,#REF!,#REF!,FMS_Ranking4[[#This Row],[ArcSinh Res struct removed 0-10]],#REF!)</f>
        <v>#REF!</v>
      </c>
      <c r="BS154" s="199" t="e">
        <f>FMS_Ranking4[[#This Row],[Log Score Based on Normalized Reported Factors]]+FMS_Ranking4[[#This Row],[% NBS Score (Normalized)]]+(FMS_Ranking4[[#This Row],[Water Supply Score (Normalized)]]*10*$BB$5)+(FMS_Ranking4[[#This Row],[FMS_Type Score Weighted]])</f>
        <v>#REF!</v>
      </c>
      <c r="BT154" s="200" t="e">
        <f>_xlfn.RANK.EQ(FMS_Ranking4[[#This Row],[Log Total Score]],FMS_Ranking4[Log Total Score],0)</f>
        <v>#REF!</v>
      </c>
      <c r="BU154" s="200" t="e">
        <f>_xlfn.XLOOKUP(FMS_Ranking4[[#This Row],[FMS ID]],#REF!,#REF!)</f>
        <v>#REF!</v>
      </c>
      <c r="BV154" s="200">
        <f>FMS_Ranking4[[#This Row],[Region Number]]</f>
        <v>2</v>
      </c>
      <c r="BW154" s="200">
        <f>FMS_Ranking4[[#This Row],[Rank (with ArcSinh normalization of select criteria)]]-FMS_Ranking4[[#This Row],[Rank
(with linear
normalization)]]</f>
        <v>-7</v>
      </c>
      <c r="BX154" s="200" t="e">
        <f>FMS_Ranking4[[#This Row],[Log Rank]]-FMS_Ranking4[[#This Row],[Rank
(with linear
normalization)]]</f>
        <v>#REF!</v>
      </c>
      <c r="BY154" s="200">
        <f>IF(FMS_Ranking4[[#This Row],[FMS Type]]="Flood Measurement and Warning",FMS_Ranking4[[#This Row],[Rank (with ArcSinh normalization of select criteria)]],"")</f>
        <v>147</v>
      </c>
      <c r="BZ154" s="200" t="str">
        <f>IF(FMS_Ranking4[[#This Row],[FMS Type]]="Regulatory and Guidance",FMS_Ranking4[[#This Row],[Rank (with ArcSinh normalization of select criteria)]],"")</f>
        <v/>
      </c>
      <c r="CA154" s="200" t="str">
        <f>IF(FMS_Ranking4[[#This Row],[FMS Type]]="Education and Outreach",FMS_Ranking4[[#This Row],[Rank (with ArcSinh normalization of select criteria)]],"")</f>
        <v/>
      </c>
      <c r="CB154" s="200" t="str">
        <f>IF(FMS_Ranking4[[#This Row],[FMS Type]]="Property Acquisition and Structural Elevation",FMS_Ranking4[[#This Row],[Rank (with ArcSinh normalization of select criteria)]],"")</f>
        <v/>
      </c>
      <c r="CC154" s="200" t="str">
        <f>IF(FMS_Ranking4[[#This Row],[FMS Type]]="Infrastructure Projects",FMS_Ranking4[[#This Row],[Rank (with ArcSinh normalization of select criteria)]],"")</f>
        <v/>
      </c>
      <c r="CD154" s="200" t="str">
        <f>IF(FMS_Ranking4[[#This Row],[FMS Type]]="Other",FMS_Ranking4[[#This Row],[Rank (with ArcSinh normalization of select criteria)]],"")</f>
        <v/>
      </c>
      <c r="CE154" s="201"/>
    </row>
    <row r="155" spans="2:96" ht="75" x14ac:dyDescent="0.25">
      <c r="B155" s="346" t="s">
        <v>3927</v>
      </c>
      <c r="C155" s="246">
        <f>_xlfn.XLOOKUP(FMS_Ranking4[[#This Row],[FMS ID]],FMS_Input[FMS_ID],FMS_Input[RFPG_NUM])</f>
        <v>15</v>
      </c>
      <c r="D155" s="309" t="str">
        <f>_xlfn.XLOOKUP(FMS_Ranking4[[#This Row],[FMS ID]],FMS_Input[FMS_ID],FMS_Input[FMS_NAME])</f>
        <v>McAllen #11-1.1</v>
      </c>
      <c r="E155" s="308" t="str">
        <f>_xlfn.XLOOKUP(FMS_Ranking4[[#This Row],[FMS ID]],FMS_Input[FMS_ID],FMS_Input[SPONSOR])</f>
        <v>15000084</v>
      </c>
      <c r="F155" s="309" t="str">
        <f>_xlfn.XLOOKUP(FMS_Ranking4[[#This Row],[FMS ID]],Sponsor[FMS_ID],Sponsor[SPONSOR NAME])</f>
        <v>McAllen</v>
      </c>
      <c r="G155" s="309" t="str">
        <f>_xlfn.XLOOKUP(FMS_Ranking4[[#This Row],[FMS ID]],FMS_Input[FMS_ID],FMS_Input[FMS_DESCR])</f>
        <v>Develop a Program To Provide Links To Weather Alerts And Departmental Phone Listings With Contact Personnel For Residents.</v>
      </c>
      <c r="H155" s="248" t="str">
        <f>_xlfn.XLOOKUP(FMS_Ranking4[[#This Row],[FMS ID]],FMS_Input[FMS_ID],FMS_Input[FMS_TYPE])</f>
        <v>Flood Measurement and Warning</v>
      </c>
      <c r="I155" s="249">
        <f>_xlfn.XLOOKUP(FMS_Ranking4[[#This Row],[FMS ID]],FMS_Input[FMS_ID],FMS_Input[NRNC_COST])</f>
        <v>1000</v>
      </c>
      <c r="J155" s="250">
        <f>_xlfn.XLOOKUP(FMS_Ranking4[[#This Row],[FMS ID]],FMS_Input[FMS_ID],FMS_Input[FMS_COST])</f>
        <v>1000</v>
      </c>
      <c r="K155" s="251" t="str">
        <f>_xlfn.XLOOKUP(FMS_Ranking4[[#This Row],[FMS ID]],FMS_Input[FMS_ID],FMS_Input[EMER_NEED])</f>
        <v>Yes</v>
      </c>
      <c r="L155" s="252">
        <f t="shared" si="2"/>
        <v>1</v>
      </c>
      <c r="M155" s="253">
        <f>_xlfn.XLOOKUP(FMS_Ranking4[[#This Row],[FMS ID]],FMS_Input[FMS_ID],FMS_Input[STRUCT_100])</f>
        <v>26851</v>
      </c>
      <c r="N155" s="255">
        <f>(ASINH(FMS_Ranking4[[#This Row],[Structure at Risk Raw]]))*(10)/(ASINH(M$4))</f>
        <v>8.5621091722072009</v>
      </c>
      <c r="O155" s="256">
        <f>FMS_Ranking4[[#This Row],[Structures at risk, ArcSinh (0-10)]]*M$5*10</f>
        <v>8.5621091722072009</v>
      </c>
      <c r="P155" s="253">
        <f>_xlfn.XLOOKUP(FMS_Ranking4[[#This Row],[FMS ID]],FMS_Input[FMS_ID],FMS_Input[RES_STRUCT100])</f>
        <v>22997</v>
      </c>
      <c r="Q155" s="257">
        <f>ASINH(FMS_Ranking4[[#This Row],[Res Structure Raw]])/Q$4*P$5*100</f>
        <v>0</v>
      </c>
      <c r="R155" s="253">
        <f>_xlfn.XLOOKUP(FMS_Ranking4[[#This Row],[FMS ID]],FMS_Input[FMS_ID],FMS_Input[POP100])</f>
        <v>132724</v>
      </c>
      <c r="S155" s="255">
        <f>(ASINH(FMS_Ranking4[[#This Row],[Pop at Risk Raw]]))*(10)/(ASINH(R$4))</f>
        <v>8.6220040742595376</v>
      </c>
      <c r="T155" s="256">
        <f>FMS_Ranking4[[#This Row],[Population at risk, ArcSinh (0-10)]]*R$5*10</f>
        <v>8.6220040742595376</v>
      </c>
      <c r="U155" s="253">
        <f>_xlfn.XLOOKUP(FMS_Ranking4[[#This Row],[FMS ID]],FMS_Input[FMS_ID],FMS_Input[CRITFAC100])</f>
        <v>12</v>
      </c>
      <c r="V155" s="255">
        <f>(ASINH(FMS_Ranking4[[#This Row],[Critical Facilities Raw]]))*(10)/(ASINH(U$4))</f>
        <v>3.7641159700176727</v>
      </c>
      <c r="W155" s="256">
        <f>FMS_Ranking4[[#This Row],[Critical facilities at risk, ArcSinh (0-10)]]*U$5*10</f>
        <v>3.7641159700176727</v>
      </c>
      <c r="X155" s="253">
        <f>_xlfn.XLOOKUP(FMS_Ranking4[[#This Row],[FMS ID]],FMS_Input[FMS_ID],FMS_Input[LWC])</f>
        <v>0</v>
      </c>
      <c r="Y155" s="255">
        <f>(ASINH(FMS_Ranking4[[#This Row],[LWC Raw]]))*(10)/(ASINH(X$4))</f>
        <v>0</v>
      </c>
      <c r="Z155" s="256">
        <f>FMS_Ranking4[[#This Row],[LWC, ArcSInh (0-10)]]*X$5*10</f>
        <v>0</v>
      </c>
      <c r="AA155" s="253">
        <f>_xlfn.XLOOKUP(FMS_Ranking4[[#This Row],[FMS ID]],FMS_Input[FMS_ID],FMS_Input[ROADCLS])</f>
        <v>0</v>
      </c>
      <c r="AB155" s="255">
        <f>(ASINH(FMS_Ranking4[[#This Row],[Road Closures Raw]]))*(10)/(ASINH(AA$4))</f>
        <v>0</v>
      </c>
      <c r="AC155" s="256">
        <f>FMS_Ranking4[[#This Row],[Road closures, ArcSinh (0-10)]]*AA$5*10</f>
        <v>0</v>
      </c>
      <c r="AD155" s="253">
        <f>_xlfn.XLOOKUP(FMS_Ranking4[[#This Row],[FMS ID]],FMS_Input[FMS_ID],FMS_Input[ROAD_MILES100])</f>
        <v>468</v>
      </c>
      <c r="AE155" s="255">
        <f>(ASINH(FMS_Ranking4[[#This Row],[Road Miles Raw]]))*(10)/(ASINH(AD$4))</f>
        <v>7.2912810200922396</v>
      </c>
      <c r="AF155" s="256">
        <f>FMS_Ranking4[[#This Row],[Length of roads at risk, ArcSinh (0-10)]]*AD$5*10</f>
        <v>7.2912810200922396</v>
      </c>
      <c r="AG155" s="253">
        <f>_xlfn.XLOOKUP(FMS_Ranking4[[#This Row],[FMS ID]],FMS_Input[FMS_ID],FMS_Input[FARMACRE100])</f>
        <v>11587.71484375</v>
      </c>
      <c r="AH155" s="255">
        <f>(ASINH(FMS_Ranking4[[#This Row],[Ag Land Raw]]))*(10)/(ASINH(AG$4))</f>
        <v>6.5288445682598955</v>
      </c>
      <c r="AI155" s="260">
        <f>FMS_Ranking4[[#This Row],[Farm &amp; ranch land, ArcSinh (0-10)]]*AG$5*10</f>
        <v>3.2644222841299482</v>
      </c>
      <c r="AJ155" s="258">
        <f>_xlfn.XLOOKUP(FMS_Ranking4[[#This Row],[FMS ID]],FMS_Input[FMS_ID],FMS_Input[REDSTRUCT100])</f>
        <v>0</v>
      </c>
      <c r="AK155" s="253">
        <f>_xlfn.XLOOKUP(FMS_Ranking4[[#This Row],[FMS ID]],FMS_Input[FMS_ID],FMS_Input[REMSTRC100])</f>
        <v>0</v>
      </c>
      <c r="AL155" s="255">
        <f>(ASINH(FMS_Ranking4[[#This Row],[Structures Removed Raw]]))*(10)/(ASINH(AK$4))</f>
        <v>0</v>
      </c>
      <c r="AM155" s="262">
        <f>FMS_Ranking4[[#This Row],[Structures removed, ArcSinh (0-10)]]*AK$5*10</f>
        <v>0</v>
      </c>
      <c r="AN155" s="253">
        <f>_xlfn.XLOOKUP(FMS_Ranking4[[#This Row],[FMS ID]],FMS_Input[FMS_ID],FMS_Input[REMRESSTRC100])</f>
        <v>0</v>
      </c>
      <c r="AO155" s="261">
        <f>FMS_Ranking4[[#This Row],[ArcSinh Res struct removed 0-10]]*AN$5*10</f>
        <v>0</v>
      </c>
      <c r="AP155" s="260">
        <f>ASINH(FMS_Ranking4[[#This Row],[Residential Structures Removed Raw]])/AP$4*AN$5*100</f>
        <v>0</v>
      </c>
      <c r="AQ155" s="258">
        <f>(ASINH(FMS_Ranking4[[#This Row],[Residential Structures Removed Raw]]))*(10)/(ASINH(AN$4))</f>
        <v>0</v>
      </c>
      <c r="AR155" s="253">
        <f>_xlfn.XLOOKUP(FMS_Ranking4[[#This Row],[FMS ID]],FMS_Input[FMS_ID],FMS_Input[REMPOP100])</f>
        <v>0</v>
      </c>
      <c r="AS155" s="255">
        <f>(ASINH(FMS_Ranking4[[#This Row],[Removed Pop Raw]]))*(10)/(ASINH(AR$4))</f>
        <v>0</v>
      </c>
      <c r="AT155" s="262">
        <f>FMS_Ranking4[[#This Row],[Removed population, ArcSinh (0-10)]]*AR$5*10</f>
        <v>0</v>
      </c>
      <c r="AU155" s="264">
        <f>_xlfn.XLOOKUP(FMS_Ranking4[[#This Row],[FMS ID]],FMS_Input[FMS_ID],FMS_Input[REMCRITFAC100])</f>
        <v>0</v>
      </c>
      <c r="AV155" s="264">
        <f>_xlfn.XLOOKUP(FMS_Ranking4[[#This Row],[FMS ID]],FMS_Input[FMS_ID],FMS_Input[REMLWC100])</f>
        <v>0</v>
      </c>
      <c r="AW155" s="264">
        <f>_xlfn.XLOOKUP(FMS_Ranking4[[#This Row],[FMS ID]],FMS_Input[FMS_ID],FMS_Input[REMROADCLS])</f>
        <v>0</v>
      </c>
      <c r="AX155" s="264">
        <f>_xlfn.XLOOKUP(FMS_Ranking4[[#This Row],[FMS ID]],FMS_Input[FMS_ID],FMS_Input[REMFRMACRE100])</f>
        <v>0</v>
      </c>
      <c r="AY155" s="258">
        <f>_xlfn.XLOOKUP(FMS_Ranking4[[#This Row],[FMS ID]],FMS_Input[FMS_ID],FMS_Input[COSTSTRUCT])</f>
        <v>0</v>
      </c>
      <c r="AZ155" s="253">
        <f>_xlfn.XLOOKUP(FMS_Ranking4[[#This Row],[FMS ID]],FMS_Input[FMS_ID],FMS_Input[NATURE])</f>
        <v>0</v>
      </c>
      <c r="BA155" s="262">
        <f>(((FMS_Ranking4[[#This Row],[% NBS Raw]]/AZ$4)*100)*AZ$5)</f>
        <v>0</v>
      </c>
      <c r="BB155" s="251" t="str">
        <f>_xlfn.XLOOKUP(FMS_Ranking4[[#This Row],[FMS ID]],FMS_Input[FMS_ID],FMS_Input[WATER_SUP])</f>
        <v>No</v>
      </c>
      <c r="BC155" s="265">
        <f>IF(FMS_Ranking4[[#This Row],[Water Supply Raw]]="Yes",10,0)</f>
        <v>0</v>
      </c>
      <c r="BD155" s="266">
        <f>_xlfn.XLOOKUP(FMS_Ranking4[[#This Row],[FMS Type]],FMS_TYPE[FMS_Type],FMS_TYPE[Score])</f>
        <v>10</v>
      </c>
      <c r="BE155" s="267">
        <f>FMS_Ranking4[[#This Row],[FMS_Type Score]]*$BD$5*10</f>
        <v>2.5</v>
      </c>
      <c r="BF15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3.827084950261832</v>
      </c>
      <c r="BG155" s="293">
        <f>_xlfn.RANK.EQ(BF155,$BF$8:$BF$870,0)+COUNTIF($BF$8:BF155,BF155)-1</f>
        <v>70</v>
      </c>
      <c r="BH155" s="294">
        <f>(((FMS_Ranking4[[#This Row],[Structures Removed Raw]]/AK$4)*100)*AK$5)+(((FMS_Ranking4[[#This Row],[Removed Pop Raw]]/AR$4)*100)*AR$5)</f>
        <v>0</v>
      </c>
      <c r="BI15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6.327084950261832</v>
      </c>
      <c r="BJ155" s="251">
        <f>_xlfn.RANK.EQ(FMS_Ranking4[[#This Row],[Total Score 
(with linear
normalization)]],FMS_Ranking4[Total Score 
(with linear
normalization)],0)</f>
        <v>98</v>
      </c>
      <c r="BK155" s="251" t="e">
        <f>_xlfn.XLOOKUP(FMS_Ranking4[[#This Row],[FMS ID]],#REF!,#REF!)</f>
        <v>#REF!</v>
      </c>
      <c r="BL15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31.503932520706599</v>
      </c>
      <c r="BM155" s="324">
        <f>FMS_Ranking4[[#This Row],[ArcSinh Score Based on Normalized Reported Factors]]+FMS_Ranking4[[#This Row],[% NBS Score (Normalized)]]+(FMS_Ranking4[[#This Row],[Water Supply Score (Normalized)]]*10*$BB$5)+FMS_Ranking4[[#This Row],[FMS_Type Score Weighted]]</f>
        <v>34.003932520706599</v>
      </c>
      <c r="BN155" s="251">
        <f>_xlfn.RANK.EQ(FMS_Ranking4[[#This Row],[Total Score (with ArcSinh normalization of select criteria)]],FMS_Ranking4[Total Score (with ArcSinh normalization of select criteria)],0)</f>
        <v>148</v>
      </c>
      <c r="BO155" s="270" t="str">
        <f>_xlfn.XLOOKUP(FMS_Ranking4[[#This Row],[FMS ID]],FMS_Input[FMS_ID],FMS_Input[FMS_RANK_YEAR])</f>
        <v>2023 Amended Plan</v>
      </c>
      <c r="BP155" s="324">
        <f>_xlfn.XLOOKUP(FMS_Ranking4[[#This Row],[FMS ID]],Prev_Rank[FMS ID],Prev_Rank[Prev Rank])</f>
        <v>118</v>
      </c>
      <c r="BQ155" s="251" t="e">
        <f>_xlfn.XLOOKUP(FMS_Ranking4[[#This Row],[FMS ID]],#REF!,#REF!)</f>
        <v>#REF!</v>
      </c>
      <c r="BR155" s="199" t="e">
        <f>SUM(#REF!,#REF!,#REF!,#REF!,#REF!,#REF!,#REF!,#REF!,#REF!,FMS_Ranking4[[#This Row],[ArcSinh Res struct removed 0-10]],#REF!)</f>
        <v>#REF!</v>
      </c>
      <c r="BS155" s="199" t="e">
        <f>FMS_Ranking4[[#This Row],[Log Score Based on Normalized Reported Factors]]+FMS_Ranking4[[#This Row],[% NBS Score (Normalized)]]+(FMS_Ranking4[[#This Row],[Water Supply Score (Normalized)]]*10*$BB$5)+(FMS_Ranking4[[#This Row],[FMS_Type Score Weighted]])</f>
        <v>#REF!</v>
      </c>
      <c r="BT155" s="200" t="e">
        <f>_xlfn.RANK.EQ(FMS_Ranking4[[#This Row],[Log Total Score]],FMS_Ranking4[Log Total Score],0)</f>
        <v>#REF!</v>
      </c>
      <c r="BU155" s="200" t="e">
        <f>_xlfn.XLOOKUP(FMS_Ranking4[[#This Row],[FMS ID]],#REF!,#REF!)</f>
        <v>#REF!</v>
      </c>
      <c r="BV155" s="200">
        <f>FMS_Ranking4[[#This Row],[Region Number]]</f>
        <v>15</v>
      </c>
      <c r="BW155" s="200">
        <f>FMS_Ranking4[[#This Row],[Rank (with ArcSinh normalization of select criteria)]]-FMS_Ranking4[[#This Row],[Rank
(with linear
normalization)]]</f>
        <v>50</v>
      </c>
      <c r="BX155" s="200" t="e">
        <f>FMS_Ranking4[[#This Row],[Log Rank]]-FMS_Ranking4[[#This Row],[Rank
(with linear
normalization)]]</f>
        <v>#REF!</v>
      </c>
      <c r="BY155" s="200">
        <f>IF(FMS_Ranking4[[#This Row],[FMS Type]]="Flood Measurement and Warning",FMS_Ranking4[[#This Row],[Rank (with ArcSinh normalization of select criteria)]],"")</f>
        <v>148</v>
      </c>
      <c r="BZ155" s="200" t="str">
        <f>IF(FMS_Ranking4[[#This Row],[FMS Type]]="Regulatory and Guidance",FMS_Ranking4[[#This Row],[Rank (with ArcSinh normalization of select criteria)]],"")</f>
        <v/>
      </c>
      <c r="CA155" s="200" t="str">
        <f>IF(FMS_Ranking4[[#This Row],[FMS Type]]="Education and Outreach",FMS_Ranking4[[#This Row],[Rank (with ArcSinh normalization of select criteria)]],"")</f>
        <v/>
      </c>
      <c r="CB155" s="200" t="str">
        <f>IF(FMS_Ranking4[[#This Row],[FMS Type]]="Property Acquisition and Structural Elevation",FMS_Ranking4[[#This Row],[Rank (with ArcSinh normalization of select criteria)]],"")</f>
        <v/>
      </c>
      <c r="CC155" s="200" t="str">
        <f>IF(FMS_Ranking4[[#This Row],[FMS Type]]="Infrastructure Projects",FMS_Ranking4[[#This Row],[Rank (with ArcSinh normalization of select criteria)]],"")</f>
        <v/>
      </c>
      <c r="CD155" s="200" t="str">
        <f>IF(FMS_Ranking4[[#This Row],[FMS Type]]="Other",FMS_Ranking4[[#This Row],[Rank (with ArcSinh normalization of select criteria)]],"")</f>
        <v/>
      </c>
      <c r="CE155" s="201"/>
    </row>
    <row r="156" spans="2:96" ht="75" x14ac:dyDescent="0.25">
      <c r="B156" s="346" t="s">
        <v>3929</v>
      </c>
      <c r="C156" s="246">
        <f>_xlfn.XLOOKUP(FMS_Ranking4[[#This Row],[FMS ID]],FMS_Input[FMS_ID],FMS_Input[RFPG_NUM])</f>
        <v>15</v>
      </c>
      <c r="D156" s="309" t="str">
        <f>_xlfn.XLOOKUP(FMS_Ranking4[[#This Row],[FMS ID]],FMS_Input[FMS_ID],FMS_Input[FMS_NAME])</f>
        <v>McAllen #1-2.1</v>
      </c>
      <c r="E156" s="308" t="str">
        <f>_xlfn.XLOOKUP(FMS_Ranking4[[#This Row],[FMS ID]],FMS_Input[FMS_ID],FMS_Input[SPONSOR])</f>
        <v>15000084</v>
      </c>
      <c r="F156" s="309" t="str">
        <f>_xlfn.XLOOKUP(FMS_Ranking4[[#This Row],[FMS ID]],Sponsor[FMS_ID],Sponsor[SPONSOR NAME])</f>
        <v>McAllen</v>
      </c>
      <c r="G156" s="309" t="str">
        <f>_xlfn.XLOOKUP(FMS_Ranking4[[#This Row],[FMS ID]],FMS_Input[FMS_ID],FMS_Input[FMS_DESCR])</f>
        <v>Develop Emergency Notification Awareness System For Traveling Public Via Transportation System In The Event of Severe Weather In McAllen</v>
      </c>
      <c r="H156" s="248" t="str">
        <f>_xlfn.XLOOKUP(FMS_Ranking4[[#This Row],[FMS ID]],FMS_Input[FMS_ID],FMS_Input[FMS_TYPE])</f>
        <v>Flood Measurement and Warning</v>
      </c>
      <c r="I156" s="249">
        <f>_xlfn.XLOOKUP(FMS_Ranking4[[#This Row],[FMS ID]],FMS_Input[FMS_ID],FMS_Input[NRNC_COST])</f>
        <v>1000</v>
      </c>
      <c r="J156" s="250">
        <f>_xlfn.XLOOKUP(FMS_Ranking4[[#This Row],[FMS ID]],FMS_Input[FMS_ID],FMS_Input[FMS_COST])</f>
        <v>500000</v>
      </c>
      <c r="K156" s="251" t="str">
        <f>_xlfn.XLOOKUP(FMS_Ranking4[[#This Row],[FMS ID]],FMS_Input[FMS_ID],FMS_Input[EMER_NEED])</f>
        <v>Yes</v>
      </c>
      <c r="L156" s="252">
        <f t="shared" si="2"/>
        <v>1</v>
      </c>
      <c r="M156" s="253">
        <f>_xlfn.XLOOKUP(FMS_Ranking4[[#This Row],[FMS ID]],FMS_Input[FMS_ID],FMS_Input[STRUCT_100])</f>
        <v>26851</v>
      </c>
      <c r="N156" s="255">
        <f>(ASINH(FMS_Ranking4[[#This Row],[Structure at Risk Raw]]))*(10)/(ASINH(M$4))</f>
        <v>8.5621091722072009</v>
      </c>
      <c r="O156" s="256">
        <f>FMS_Ranking4[[#This Row],[Structures at risk, ArcSinh (0-10)]]*M$5*10</f>
        <v>8.5621091722072009</v>
      </c>
      <c r="P156" s="253">
        <f>_xlfn.XLOOKUP(FMS_Ranking4[[#This Row],[FMS ID]],FMS_Input[FMS_ID],FMS_Input[RES_STRUCT100])</f>
        <v>22997</v>
      </c>
      <c r="Q156" s="257">
        <f>ASINH(FMS_Ranking4[[#This Row],[Res Structure Raw]])/Q$4*P$5*100</f>
        <v>0</v>
      </c>
      <c r="R156" s="253">
        <f>_xlfn.XLOOKUP(FMS_Ranking4[[#This Row],[FMS ID]],FMS_Input[FMS_ID],FMS_Input[POP100])</f>
        <v>132724</v>
      </c>
      <c r="S156" s="255">
        <f>(ASINH(FMS_Ranking4[[#This Row],[Pop at Risk Raw]]))*(10)/(ASINH(R$4))</f>
        <v>8.6220040742595376</v>
      </c>
      <c r="T156" s="256">
        <f>FMS_Ranking4[[#This Row],[Population at risk, ArcSinh (0-10)]]*R$5*10</f>
        <v>8.6220040742595376</v>
      </c>
      <c r="U156" s="253">
        <f>_xlfn.XLOOKUP(FMS_Ranking4[[#This Row],[FMS ID]],FMS_Input[FMS_ID],FMS_Input[CRITFAC100])</f>
        <v>12</v>
      </c>
      <c r="V156" s="255">
        <f>(ASINH(FMS_Ranking4[[#This Row],[Critical Facilities Raw]]))*(10)/(ASINH(U$4))</f>
        <v>3.7641159700176727</v>
      </c>
      <c r="W156" s="256">
        <f>FMS_Ranking4[[#This Row],[Critical facilities at risk, ArcSinh (0-10)]]*U$5*10</f>
        <v>3.7641159700176727</v>
      </c>
      <c r="X156" s="253">
        <f>_xlfn.XLOOKUP(FMS_Ranking4[[#This Row],[FMS ID]],FMS_Input[FMS_ID],FMS_Input[LWC])</f>
        <v>0</v>
      </c>
      <c r="Y156" s="255">
        <f>(ASINH(FMS_Ranking4[[#This Row],[LWC Raw]]))*(10)/(ASINH(X$4))</f>
        <v>0</v>
      </c>
      <c r="Z156" s="256">
        <f>FMS_Ranking4[[#This Row],[LWC, ArcSInh (0-10)]]*X$5*10</f>
        <v>0</v>
      </c>
      <c r="AA156" s="253">
        <f>_xlfn.XLOOKUP(FMS_Ranking4[[#This Row],[FMS ID]],FMS_Input[FMS_ID],FMS_Input[ROADCLS])</f>
        <v>0</v>
      </c>
      <c r="AB156" s="255">
        <f>(ASINH(FMS_Ranking4[[#This Row],[Road Closures Raw]]))*(10)/(ASINH(AA$4))</f>
        <v>0</v>
      </c>
      <c r="AC156" s="256">
        <f>FMS_Ranking4[[#This Row],[Road closures, ArcSinh (0-10)]]*AA$5*10</f>
        <v>0</v>
      </c>
      <c r="AD156" s="253">
        <f>_xlfn.XLOOKUP(FMS_Ranking4[[#This Row],[FMS ID]],FMS_Input[FMS_ID],FMS_Input[ROAD_MILES100])</f>
        <v>468</v>
      </c>
      <c r="AE156" s="255">
        <f>(ASINH(FMS_Ranking4[[#This Row],[Road Miles Raw]]))*(10)/(ASINH(AD$4))</f>
        <v>7.2912810200922396</v>
      </c>
      <c r="AF156" s="256">
        <f>FMS_Ranking4[[#This Row],[Length of roads at risk, ArcSinh (0-10)]]*AD$5*10</f>
        <v>7.2912810200922396</v>
      </c>
      <c r="AG156" s="253">
        <f>_xlfn.XLOOKUP(FMS_Ranking4[[#This Row],[FMS ID]],FMS_Input[FMS_ID],FMS_Input[FARMACRE100])</f>
        <v>11587.71484375</v>
      </c>
      <c r="AH156" s="255">
        <f>(ASINH(FMS_Ranking4[[#This Row],[Ag Land Raw]]))*(10)/(ASINH(AG$4))</f>
        <v>6.5288445682598955</v>
      </c>
      <c r="AI156" s="260">
        <f>FMS_Ranking4[[#This Row],[Farm &amp; ranch land, ArcSinh (0-10)]]*AG$5*10</f>
        <v>3.2644222841299482</v>
      </c>
      <c r="AJ156" s="258">
        <f>_xlfn.XLOOKUP(FMS_Ranking4[[#This Row],[FMS ID]],FMS_Input[FMS_ID],FMS_Input[REDSTRUCT100])</f>
        <v>0</v>
      </c>
      <c r="AK156" s="253">
        <f>_xlfn.XLOOKUP(FMS_Ranking4[[#This Row],[FMS ID]],FMS_Input[FMS_ID],FMS_Input[REMSTRC100])</f>
        <v>0</v>
      </c>
      <c r="AL156" s="255">
        <f>(ASINH(FMS_Ranking4[[#This Row],[Structures Removed Raw]]))*(10)/(ASINH(AK$4))</f>
        <v>0</v>
      </c>
      <c r="AM156" s="262">
        <f>FMS_Ranking4[[#This Row],[Structures removed, ArcSinh (0-10)]]*AK$5*10</f>
        <v>0</v>
      </c>
      <c r="AN156" s="253">
        <f>_xlfn.XLOOKUP(FMS_Ranking4[[#This Row],[FMS ID]],FMS_Input[FMS_ID],FMS_Input[REMRESSTRC100])</f>
        <v>0</v>
      </c>
      <c r="AO156" s="261">
        <f>FMS_Ranking4[[#This Row],[ArcSinh Res struct removed 0-10]]*AN$5*10</f>
        <v>0</v>
      </c>
      <c r="AP156" s="260">
        <f>ASINH(FMS_Ranking4[[#This Row],[Residential Structures Removed Raw]])/AP$4*AN$5*100</f>
        <v>0</v>
      </c>
      <c r="AQ156" s="258">
        <f>(ASINH(FMS_Ranking4[[#This Row],[Residential Structures Removed Raw]]))*(10)/(ASINH(AN$4))</f>
        <v>0</v>
      </c>
      <c r="AR156" s="253">
        <f>_xlfn.XLOOKUP(FMS_Ranking4[[#This Row],[FMS ID]],FMS_Input[FMS_ID],FMS_Input[REMPOP100])</f>
        <v>0</v>
      </c>
      <c r="AS156" s="255">
        <f>(ASINH(FMS_Ranking4[[#This Row],[Removed Pop Raw]]))*(10)/(ASINH(AR$4))</f>
        <v>0</v>
      </c>
      <c r="AT156" s="262">
        <f>FMS_Ranking4[[#This Row],[Removed population, ArcSinh (0-10)]]*AR$5*10</f>
        <v>0</v>
      </c>
      <c r="AU156" s="264">
        <f>_xlfn.XLOOKUP(FMS_Ranking4[[#This Row],[FMS ID]],FMS_Input[FMS_ID],FMS_Input[REMCRITFAC100])</f>
        <v>0</v>
      </c>
      <c r="AV156" s="264">
        <f>_xlfn.XLOOKUP(FMS_Ranking4[[#This Row],[FMS ID]],FMS_Input[FMS_ID],FMS_Input[REMLWC100])</f>
        <v>0</v>
      </c>
      <c r="AW156" s="264">
        <f>_xlfn.XLOOKUP(FMS_Ranking4[[#This Row],[FMS ID]],FMS_Input[FMS_ID],FMS_Input[REMROADCLS])</f>
        <v>0</v>
      </c>
      <c r="AX156" s="264">
        <f>_xlfn.XLOOKUP(FMS_Ranking4[[#This Row],[FMS ID]],FMS_Input[FMS_ID],FMS_Input[REMFRMACRE100])</f>
        <v>0</v>
      </c>
      <c r="AY156" s="258">
        <f>_xlfn.XLOOKUP(FMS_Ranking4[[#This Row],[FMS ID]],FMS_Input[FMS_ID],FMS_Input[COSTSTRUCT])</f>
        <v>0</v>
      </c>
      <c r="AZ156" s="253">
        <f>_xlfn.XLOOKUP(FMS_Ranking4[[#This Row],[FMS ID]],FMS_Input[FMS_ID],FMS_Input[NATURE])</f>
        <v>0</v>
      </c>
      <c r="BA156" s="262">
        <f>(((FMS_Ranking4[[#This Row],[% NBS Raw]]/AZ$4)*100)*AZ$5)</f>
        <v>0</v>
      </c>
      <c r="BB156" s="251" t="str">
        <f>_xlfn.XLOOKUP(FMS_Ranking4[[#This Row],[FMS ID]],FMS_Input[FMS_ID],FMS_Input[WATER_SUP])</f>
        <v>No</v>
      </c>
      <c r="BC156" s="265">
        <f>IF(FMS_Ranking4[[#This Row],[Water Supply Raw]]="Yes",10,0)</f>
        <v>0</v>
      </c>
      <c r="BD156" s="266">
        <f>_xlfn.XLOOKUP(FMS_Ranking4[[#This Row],[FMS Type]],FMS_TYPE[FMS_Type],FMS_TYPE[Score])</f>
        <v>10</v>
      </c>
      <c r="BE156" s="267">
        <f>FMS_Ranking4[[#This Row],[FMS_Type Score]]*$BD$5*10</f>
        <v>2.5</v>
      </c>
      <c r="BF15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3.827084950261832</v>
      </c>
      <c r="BG156" s="293">
        <f>_xlfn.RANK.EQ(BF156,$BF$8:$BF$870,0)+COUNTIF($BF$8:BF156,BF156)-1</f>
        <v>71</v>
      </c>
      <c r="BH156" s="294">
        <f>(((FMS_Ranking4[[#This Row],[Structures Removed Raw]]/AK$4)*100)*AK$5)+(((FMS_Ranking4[[#This Row],[Removed Pop Raw]]/AR$4)*100)*AR$5)</f>
        <v>0</v>
      </c>
      <c r="BI15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6.327084950261832</v>
      </c>
      <c r="BJ156" s="251">
        <f>_xlfn.RANK.EQ(FMS_Ranking4[[#This Row],[Total Score 
(with linear
normalization)]],FMS_Ranking4[Total Score 
(with linear
normalization)],0)</f>
        <v>98</v>
      </c>
      <c r="BK156" s="251" t="e">
        <f>_xlfn.XLOOKUP(FMS_Ranking4[[#This Row],[FMS ID]],#REF!,#REF!)</f>
        <v>#REF!</v>
      </c>
      <c r="BL15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31.503932520706599</v>
      </c>
      <c r="BM156" s="324">
        <f>FMS_Ranking4[[#This Row],[ArcSinh Score Based on Normalized Reported Factors]]+FMS_Ranking4[[#This Row],[% NBS Score (Normalized)]]+(FMS_Ranking4[[#This Row],[Water Supply Score (Normalized)]]*10*$BB$5)+FMS_Ranking4[[#This Row],[FMS_Type Score Weighted]]</f>
        <v>34.003932520706599</v>
      </c>
      <c r="BN156" s="251">
        <f>_xlfn.RANK.EQ(FMS_Ranking4[[#This Row],[Total Score (with ArcSinh normalization of select criteria)]],FMS_Ranking4[Total Score (with ArcSinh normalization of select criteria)],0)</f>
        <v>148</v>
      </c>
      <c r="BO156" s="270" t="str">
        <f>_xlfn.XLOOKUP(FMS_Ranking4[[#This Row],[FMS ID]],FMS_Input[FMS_ID],FMS_Input[FMS_RANK_YEAR])</f>
        <v>2023 Amended Plan</v>
      </c>
      <c r="BP156" s="324">
        <f>_xlfn.XLOOKUP(FMS_Ranking4[[#This Row],[FMS ID]],Prev_Rank[FMS ID],Prev_Rank[Prev Rank])</f>
        <v>118</v>
      </c>
      <c r="BQ156" s="251" t="e">
        <f>_xlfn.XLOOKUP(FMS_Ranking4[[#This Row],[FMS ID]],#REF!,#REF!)</f>
        <v>#REF!</v>
      </c>
      <c r="BR156" s="199" t="e">
        <f>SUM(#REF!,#REF!,#REF!,#REF!,#REF!,#REF!,#REF!,#REF!,#REF!,FMS_Ranking4[[#This Row],[ArcSinh Res struct removed 0-10]],#REF!)</f>
        <v>#REF!</v>
      </c>
      <c r="BS156" s="199" t="e">
        <f>FMS_Ranking4[[#This Row],[Log Score Based on Normalized Reported Factors]]+FMS_Ranking4[[#This Row],[% NBS Score (Normalized)]]+(FMS_Ranking4[[#This Row],[Water Supply Score (Normalized)]]*10*$BB$5)+(FMS_Ranking4[[#This Row],[FMS_Type Score Weighted]])</f>
        <v>#REF!</v>
      </c>
      <c r="BT156" s="200" t="e">
        <f>_xlfn.RANK.EQ(FMS_Ranking4[[#This Row],[Log Total Score]],FMS_Ranking4[Log Total Score],0)</f>
        <v>#REF!</v>
      </c>
      <c r="BU156" s="200" t="e">
        <f>_xlfn.XLOOKUP(FMS_Ranking4[[#This Row],[FMS ID]],#REF!,#REF!)</f>
        <v>#REF!</v>
      </c>
      <c r="BV156" s="200">
        <f>FMS_Ranking4[[#This Row],[Region Number]]</f>
        <v>15</v>
      </c>
      <c r="BW156" s="200">
        <f>FMS_Ranking4[[#This Row],[Rank (with ArcSinh normalization of select criteria)]]-FMS_Ranking4[[#This Row],[Rank
(with linear
normalization)]]</f>
        <v>50</v>
      </c>
      <c r="BX156" s="200" t="e">
        <f>FMS_Ranking4[[#This Row],[Log Rank]]-FMS_Ranking4[[#This Row],[Rank
(with linear
normalization)]]</f>
        <v>#REF!</v>
      </c>
      <c r="BY156" s="200">
        <f>IF(FMS_Ranking4[[#This Row],[FMS Type]]="Flood Measurement and Warning",FMS_Ranking4[[#This Row],[Rank (with ArcSinh normalization of select criteria)]],"")</f>
        <v>148</v>
      </c>
      <c r="BZ156" s="200" t="str">
        <f>IF(FMS_Ranking4[[#This Row],[FMS Type]]="Regulatory and Guidance",FMS_Ranking4[[#This Row],[Rank (with ArcSinh normalization of select criteria)]],"")</f>
        <v/>
      </c>
      <c r="CA156" s="200" t="str">
        <f>IF(FMS_Ranking4[[#This Row],[FMS Type]]="Education and Outreach",FMS_Ranking4[[#This Row],[Rank (with ArcSinh normalization of select criteria)]],"")</f>
        <v/>
      </c>
      <c r="CB156" s="200" t="str">
        <f>IF(FMS_Ranking4[[#This Row],[FMS Type]]="Property Acquisition and Structural Elevation",FMS_Ranking4[[#This Row],[Rank (with ArcSinh normalization of select criteria)]],"")</f>
        <v/>
      </c>
      <c r="CC156" s="200" t="str">
        <f>IF(FMS_Ranking4[[#This Row],[FMS Type]]="Infrastructure Projects",FMS_Ranking4[[#This Row],[Rank (with ArcSinh normalization of select criteria)]],"")</f>
        <v/>
      </c>
      <c r="CD156" s="200" t="str">
        <f>IF(FMS_Ranking4[[#This Row],[FMS Type]]="Other",FMS_Ranking4[[#This Row],[Rank (with ArcSinh normalization of select criteria)]],"")</f>
        <v/>
      </c>
      <c r="CE156" s="201"/>
    </row>
    <row r="157" spans="2:96" ht="60" x14ac:dyDescent="0.25">
      <c r="B157" s="346" t="s">
        <v>3932</v>
      </c>
      <c r="C157" s="246">
        <f>_xlfn.XLOOKUP(FMS_Ranking4[[#This Row],[FMS ID]],FMS_Input[FMS_ID],FMS_Input[RFPG_NUM])</f>
        <v>15</v>
      </c>
      <c r="D157" s="309" t="str">
        <f>_xlfn.XLOOKUP(FMS_Ranking4[[#This Row],[FMS ID]],FMS_Input[FMS_ID],FMS_Input[FMS_NAME])</f>
        <v>McAllen #1-2.1</v>
      </c>
      <c r="E157" s="308" t="str">
        <f>_xlfn.XLOOKUP(FMS_Ranking4[[#This Row],[FMS ID]],FMS_Input[FMS_ID],FMS_Input[SPONSOR])</f>
        <v>15000084</v>
      </c>
      <c r="F157" s="309" t="str">
        <f>_xlfn.XLOOKUP(FMS_Ranking4[[#This Row],[FMS ID]],Sponsor[FMS_ID],Sponsor[SPONSOR NAME])</f>
        <v>McAllen</v>
      </c>
      <c r="G157" s="309" t="str">
        <f>_xlfn.XLOOKUP(FMS_Ranking4[[#This Row],[FMS ID]],FMS_Input[FMS_ID],FMS_Input[FMS_DESCR])</f>
        <v>Develop a plan to provide A Means of Disseminating Emergency Information To The Citizens of McAllen</v>
      </c>
      <c r="H157" s="248" t="str">
        <f>_xlfn.XLOOKUP(FMS_Ranking4[[#This Row],[FMS ID]],FMS_Input[FMS_ID],FMS_Input[FMS_TYPE])</f>
        <v>Flood Measurement and Warning</v>
      </c>
      <c r="I157" s="249">
        <f>_xlfn.XLOOKUP(FMS_Ranking4[[#This Row],[FMS ID]],FMS_Input[FMS_ID],FMS_Input[NRNC_COST])</f>
        <v>1000</v>
      </c>
      <c r="J157" s="250">
        <f>_xlfn.XLOOKUP(FMS_Ranking4[[#This Row],[FMS ID]],FMS_Input[FMS_ID],FMS_Input[FMS_COST])</f>
        <v>500000</v>
      </c>
      <c r="K157" s="251" t="str">
        <f>_xlfn.XLOOKUP(FMS_Ranking4[[#This Row],[FMS ID]],FMS_Input[FMS_ID],FMS_Input[EMER_NEED])</f>
        <v>Yes</v>
      </c>
      <c r="L157" s="252">
        <f t="shared" si="2"/>
        <v>1</v>
      </c>
      <c r="M157" s="253">
        <f>_xlfn.XLOOKUP(FMS_Ranking4[[#This Row],[FMS ID]],FMS_Input[FMS_ID],FMS_Input[STRUCT_100])</f>
        <v>26851</v>
      </c>
      <c r="N157" s="255">
        <f>(ASINH(FMS_Ranking4[[#This Row],[Structure at Risk Raw]]))*(10)/(ASINH(M$4))</f>
        <v>8.5621091722072009</v>
      </c>
      <c r="O157" s="256">
        <f>FMS_Ranking4[[#This Row],[Structures at risk, ArcSinh (0-10)]]*M$5*10</f>
        <v>8.5621091722072009</v>
      </c>
      <c r="P157" s="253">
        <f>_xlfn.XLOOKUP(FMS_Ranking4[[#This Row],[FMS ID]],FMS_Input[FMS_ID],FMS_Input[RES_STRUCT100])</f>
        <v>22997</v>
      </c>
      <c r="Q157" s="257">
        <f>ASINH(FMS_Ranking4[[#This Row],[Res Structure Raw]])/Q$4*P$5*100</f>
        <v>0</v>
      </c>
      <c r="R157" s="253">
        <f>_xlfn.XLOOKUP(FMS_Ranking4[[#This Row],[FMS ID]],FMS_Input[FMS_ID],FMS_Input[POP100])</f>
        <v>132724</v>
      </c>
      <c r="S157" s="255">
        <f>(ASINH(FMS_Ranking4[[#This Row],[Pop at Risk Raw]]))*(10)/(ASINH(R$4))</f>
        <v>8.6220040742595376</v>
      </c>
      <c r="T157" s="256">
        <f>FMS_Ranking4[[#This Row],[Population at risk, ArcSinh (0-10)]]*R$5*10</f>
        <v>8.6220040742595376</v>
      </c>
      <c r="U157" s="253">
        <f>_xlfn.XLOOKUP(FMS_Ranking4[[#This Row],[FMS ID]],FMS_Input[FMS_ID],FMS_Input[CRITFAC100])</f>
        <v>12</v>
      </c>
      <c r="V157" s="255">
        <f>(ASINH(FMS_Ranking4[[#This Row],[Critical Facilities Raw]]))*(10)/(ASINH(U$4))</f>
        <v>3.7641159700176727</v>
      </c>
      <c r="W157" s="256">
        <f>FMS_Ranking4[[#This Row],[Critical facilities at risk, ArcSinh (0-10)]]*U$5*10</f>
        <v>3.7641159700176727</v>
      </c>
      <c r="X157" s="253">
        <f>_xlfn.XLOOKUP(FMS_Ranking4[[#This Row],[FMS ID]],FMS_Input[FMS_ID],FMS_Input[LWC])</f>
        <v>0</v>
      </c>
      <c r="Y157" s="255">
        <f>(ASINH(FMS_Ranking4[[#This Row],[LWC Raw]]))*(10)/(ASINH(X$4))</f>
        <v>0</v>
      </c>
      <c r="Z157" s="256">
        <f>FMS_Ranking4[[#This Row],[LWC, ArcSInh (0-10)]]*X$5*10</f>
        <v>0</v>
      </c>
      <c r="AA157" s="253">
        <f>_xlfn.XLOOKUP(FMS_Ranking4[[#This Row],[FMS ID]],FMS_Input[FMS_ID],FMS_Input[ROADCLS])</f>
        <v>0</v>
      </c>
      <c r="AB157" s="255">
        <f>(ASINH(FMS_Ranking4[[#This Row],[Road Closures Raw]]))*(10)/(ASINH(AA$4))</f>
        <v>0</v>
      </c>
      <c r="AC157" s="256">
        <f>FMS_Ranking4[[#This Row],[Road closures, ArcSinh (0-10)]]*AA$5*10</f>
        <v>0</v>
      </c>
      <c r="AD157" s="253">
        <f>_xlfn.XLOOKUP(FMS_Ranking4[[#This Row],[FMS ID]],FMS_Input[FMS_ID],FMS_Input[ROAD_MILES100])</f>
        <v>468</v>
      </c>
      <c r="AE157" s="255">
        <f>(ASINH(FMS_Ranking4[[#This Row],[Road Miles Raw]]))*(10)/(ASINH(AD$4))</f>
        <v>7.2912810200922396</v>
      </c>
      <c r="AF157" s="256">
        <f>FMS_Ranking4[[#This Row],[Length of roads at risk, ArcSinh (0-10)]]*AD$5*10</f>
        <v>7.2912810200922396</v>
      </c>
      <c r="AG157" s="253">
        <f>_xlfn.XLOOKUP(FMS_Ranking4[[#This Row],[FMS ID]],FMS_Input[FMS_ID],FMS_Input[FARMACRE100])</f>
        <v>11587.71484375</v>
      </c>
      <c r="AH157" s="255">
        <f>(ASINH(FMS_Ranking4[[#This Row],[Ag Land Raw]]))*(10)/(ASINH(AG$4))</f>
        <v>6.5288445682598955</v>
      </c>
      <c r="AI157" s="260">
        <f>FMS_Ranking4[[#This Row],[Farm &amp; ranch land, ArcSinh (0-10)]]*AG$5*10</f>
        <v>3.2644222841299482</v>
      </c>
      <c r="AJ157" s="258">
        <f>_xlfn.XLOOKUP(FMS_Ranking4[[#This Row],[FMS ID]],FMS_Input[FMS_ID],FMS_Input[REDSTRUCT100])</f>
        <v>0</v>
      </c>
      <c r="AK157" s="253">
        <f>_xlfn.XLOOKUP(FMS_Ranking4[[#This Row],[FMS ID]],FMS_Input[FMS_ID],FMS_Input[REMSTRC100])</f>
        <v>0</v>
      </c>
      <c r="AL157" s="255">
        <f>(ASINH(FMS_Ranking4[[#This Row],[Structures Removed Raw]]))*(10)/(ASINH(AK$4))</f>
        <v>0</v>
      </c>
      <c r="AM157" s="262">
        <f>FMS_Ranking4[[#This Row],[Structures removed, ArcSinh (0-10)]]*AK$5*10</f>
        <v>0</v>
      </c>
      <c r="AN157" s="253">
        <f>_xlfn.XLOOKUP(FMS_Ranking4[[#This Row],[FMS ID]],FMS_Input[FMS_ID],FMS_Input[REMRESSTRC100])</f>
        <v>0</v>
      </c>
      <c r="AO157" s="261">
        <f>FMS_Ranking4[[#This Row],[ArcSinh Res struct removed 0-10]]*AN$5*10</f>
        <v>0</v>
      </c>
      <c r="AP157" s="260">
        <f>ASINH(FMS_Ranking4[[#This Row],[Residential Structures Removed Raw]])/AP$4*AN$5*100</f>
        <v>0</v>
      </c>
      <c r="AQ157" s="258">
        <f>(ASINH(FMS_Ranking4[[#This Row],[Residential Structures Removed Raw]]))*(10)/(ASINH(AN$4))</f>
        <v>0</v>
      </c>
      <c r="AR157" s="253">
        <f>_xlfn.XLOOKUP(FMS_Ranking4[[#This Row],[FMS ID]],FMS_Input[FMS_ID],FMS_Input[REMPOP100])</f>
        <v>0</v>
      </c>
      <c r="AS157" s="255">
        <f>(ASINH(FMS_Ranking4[[#This Row],[Removed Pop Raw]]))*(10)/(ASINH(AR$4))</f>
        <v>0</v>
      </c>
      <c r="AT157" s="262">
        <f>FMS_Ranking4[[#This Row],[Removed population, ArcSinh (0-10)]]*AR$5*10</f>
        <v>0</v>
      </c>
      <c r="AU157" s="264">
        <f>_xlfn.XLOOKUP(FMS_Ranking4[[#This Row],[FMS ID]],FMS_Input[FMS_ID],FMS_Input[REMCRITFAC100])</f>
        <v>0</v>
      </c>
      <c r="AV157" s="264">
        <f>_xlfn.XLOOKUP(FMS_Ranking4[[#This Row],[FMS ID]],FMS_Input[FMS_ID],FMS_Input[REMLWC100])</f>
        <v>0</v>
      </c>
      <c r="AW157" s="264">
        <f>_xlfn.XLOOKUP(FMS_Ranking4[[#This Row],[FMS ID]],FMS_Input[FMS_ID],FMS_Input[REMROADCLS])</f>
        <v>0</v>
      </c>
      <c r="AX157" s="264">
        <f>_xlfn.XLOOKUP(FMS_Ranking4[[#This Row],[FMS ID]],FMS_Input[FMS_ID],FMS_Input[REMFRMACRE100])</f>
        <v>0</v>
      </c>
      <c r="AY157" s="258">
        <f>_xlfn.XLOOKUP(FMS_Ranking4[[#This Row],[FMS ID]],FMS_Input[FMS_ID],FMS_Input[COSTSTRUCT])</f>
        <v>0</v>
      </c>
      <c r="AZ157" s="253">
        <f>_xlfn.XLOOKUP(FMS_Ranking4[[#This Row],[FMS ID]],FMS_Input[FMS_ID],FMS_Input[NATURE])</f>
        <v>0</v>
      </c>
      <c r="BA157" s="262">
        <f>(((FMS_Ranking4[[#This Row],[% NBS Raw]]/AZ$4)*100)*AZ$5)</f>
        <v>0</v>
      </c>
      <c r="BB157" s="251" t="str">
        <f>_xlfn.XLOOKUP(FMS_Ranking4[[#This Row],[FMS ID]],FMS_Input[FMS_ID],FMS_Input[WATER_SUP])</f>
        <v>No</v>
      </c>
      <c r="BC157" s="265">
        <f>IF(FMS_Ranking4[[#This Row],[Water Supply Raw]]="Yes",10,0)</f>
        <v>0</v>
      </c>
      <c r="BD157" s="266">
        <f>_xlfn.XLOOKUP(FMS_Ranking4[[#This Row],[FMS Type]],FMS_TYPE[FMS_Type],FMS_TYPE[Score])</f>
        <v>10</v>
      </c>
      <c r="BE157" s="267">
        <f>FMS_Ranking4[[#This Row],[FMS_Type Score]]*$BD$5*10</f>
        <v>2.5</v>
      </c>
      <c r="BF15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3.827084950261832</v>
      </c>
      <c r="BG157" s="293">
        <f>_xlfn.RANK.EQ(BF157,$BF$8:$BF$870,0)+COUNTIF($BF$8:BF157,BF157)-1</f>
        <v>72</v>
      </c>
      <c r="BH157" s="294">
        <f>(((FMS_Ranking4[[#This Row],[Structures Removed Raw]]/AK$4)*100)*AK$5)+(((FMS_Ranking4[[#This Row],[Removed Pop Raw]]/AR$4)*100)*AR$5)</f>
        <v>0</v>
      </c>
      <c r="BI15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6.327084950261832</v>
      </c>
      <c r="BJ157" s="251">
        <f>_xlfn.RANK.EQ(FMS_Ranking4[[#This Row],[Total Score 
(with linear
normalization)]],FMS_Ranking4[Total Score 
(with linear
normalization)],0)</f>
        <v>98</v>
      </c>
      <c r="BK157" s="251" t="e">
        <f>_xlfn.XLOOKUP(FMS_Ranking4[[#This Row],[FMS ID]],#REF!,#REF!)</f>
        <v>#REF!</v>
      </c>
      <c r="BL15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31.503932520706599</v>
      </c>
      <c r="BM157" s="324">
        <f>FMS_Ranking4[[#This Row],[ArcSinh Score Based on Normalized Reported Factors]]+FMS_Ranking4[[#This Row],[% NBS Score (Normalized)]]+(FMS_Ranking4[[#This Row],[Water Supply Score (Normalized)]]*10*$BB$5)+FMS_Ranking4[[#This Row],[FMS_Type Score Weighted]]</f>
        <v>34.003932520706599</v>
      </c>
      <c r="BN157" s="251">
        <f>_xlfn.RANK.EQ(FMS_Ranking4[[#This Row],[Total Score (with ArcSinh normalization of select criteria)]],FMS_Ranking4[Total Score (with ArcSinh normalization of select criteria)],0)</f>
        <v>148</v>
      </c>
      <c r="BO157" s="270" t="str">
        <f>_xlfn.XLOOKUP(FMS_Ranking4[[#This Row],[FMS ID]],FMS_Input[FMS_ID],FMS_Input[FMS_RANK_YEAR])</f>
        <v>2023 Amended Plan</v>
      </c>
      <c r="BP157" s="324">
        <f>_xlfn.XLOOKUP(FMS_Ranking4[[#This Row],[FMS ID]],Prev_Rank[FMS ID],Prev_Rank[Prev Rank])</f>
        <v>118</v>
      </c>
      <c r="BQ157" s="251" t="e">
        <f>_xlfn.XLOOKUP(FMS_Ranking4[[#This Row],[FMS ID]],#REF!,#REF!)</f>
        <v>#REF!</v>
      </c>
      <c r="BR157" s="199" t="e">
        <f>SUM(#REF!,#REF!,#REF!,#REF!,#REF!,#REF!,#REF!,#REF!,#REF!,FMS_Ranking4[[#This Row],[ArcSinh Res struct removed 0-10]],#REF!)</f>
        <v>#REF!</v>
      </c>
      <c r="BS157" s="199" t="e">
        <f>FMS_Ranking4[[#This Row],[Log Score Based on Normalized Reported Factors]]+FMS_Ranking4[[#This Row],[% NBS Score (Normalized)]]+(FMS_Ranking4[[#This Row],[Water Supply Score (Normalized)]]*10*$BB$5)+(FMS_Ranking4[[#This Row],[FMS_Type Score Weighted]])</f>
        <v>#REF!</v>
      </c>
      <c r="BT157" s="200" t="e">
        <f>_xlfn.RANK.EQ(FMS_Ranking4[[#This Row],[Log Total Score]],FMS_Ranking4[Log Total Score],0)</f>
        <v>#REF!</v>
      </c>
      <c r="BU157" s="200" t="e">
        <f>_xlfn.XLOOKUP(FMS_Ranking4[[#This Row],[FMS ID]],#REF!,#REF!)</f>
        <v>#REF!</v>
      </c>
      <c r="BV157" s="200">
        <f>FMS_Ranking4[[#This Row],[Region Number]]</f>
        <v>15</v>
      </c>
      <c r="BW157" s="200">
        <f>FMS_Ranking4[[#This Row],[Rank (with ArcSinh normalization of select criteria)]]-FMS_Ranking4[[#This Row],[Rank
(with linear
normalization)]]</f>
        <v>50</v>
      </c>
      <c r="BX157" s="200" t="e">
        <f>FMS_Ranking4[[#This Row],[Log Rank]]-FMS_Ranking4[[#This Row],[Rank
(with linear
normalization)]]</f>
        <v>#REF!</v>
      </c>
      <c r="BY157" s="200">
        <f>IF(FMS_Ranking4[[#This Row],[FMS Type]]="Flood Measurement and Warning",FMS_Ranking4[[#This Row],[Rank (with ArcSinh normalization of select criteria)]],"")</f>
        <v>148</v>
      </c>
      <c r="BZ157" s="200" t="str">
        <f>IF(FMS_Ranking4[[#This Row],[FMS Type]]="Regulatory and Guidance",FMS_Ranking4[[#This Row],[Rank (with ArcSinh normalization of select criteria)]],"")</f>
        <v/>
      </c>
      <c r="CA157" s="200" t="str">
        <f>IF(FMS_Ranking4[[#This Row],[FMS Type]]="Education and Outreach",FMS_Ranking4[[#This Row],[Rank (with ArcSinh normalization of select criteria)]],"")</f>
        <v/>
      </c>
      <c r="CB157" s="200" t="str">
        <f>IF(FMS_Ranking4[[#This Row],[FMS Type]]="Property Acquisition and Structural Elevation",FMS_Ranking4[[#This Row],[Rank (with ArcSinh normalization of select criteria)]],"")</f>
        <v/>
      </c>
      <c r="CC157" s="200" t="str">
        <f>IF(FMS_Ranking4[[#This Row],[FMS Type]]="Infrastructure Projects",FMS_Ranking4[[#This Row],[Rank (with ArcSinh normalization of select criteria)]],"")</f>
        <v/>
      </c>
      <c r="CD157" s="200" t="str">
        <f>IF(FMS_Ranking4[[#This Row],[FMS Type]]="Other",FMS_Ranking4[[#This Row],[Rank (with ArcSinh normalization of select criteria)]],"")</f>
        <v/>
      </c>
      <c r="CE157" s="201"/>
    </row>
    <row r="158" spans="2:96" ht="75" x14ac:dyDescent="0.25">
      <c r="B158" s="341" t="s">
        <v>3040</v>
      </c>
      <c r="C158" s="246">
        <f>_xlfn.XLOOKUP(FMS_Ranking4[[#This Row],[FMS ID]],FMS_Input[FMS_ID],FMS_Input[RFPG_NUM])</f>
        <v>7</v>
      </c>
      <c r="D158" s="309" t="str">
        <f>_xlfn.XLOOKUP(FMS_Ranking4[[#This Row],[FMS ID]],FMS_Input[FMS_ID],FMS_Input[FMS_NAME])</f>
        <v>City of Lubbock Turn Around, Don't Drown</v>
      </c>
      <c r="E158" s="308" t="str">
        <f>_xlfn.XLOOKUP(FMS_Ranking4[[#This Row],[FMS ID]],FMS_Input[FMS_ID],FMS_Input[SPONSOR])</f>
        <v>07003269</v>
      </c>
      <c r="F158" s="309" t="str">
        <f>_xlfn.XLOOKUP(FMS_Ranking4[[#This Row],[FMS ID]],Sponsor[FMS_ID],Sponsor[SPONSOR NAME])</f>
        <v>Lubbock</v>
      </c>
      <c r="G158" s="309" t="str">
        <f>_xlfn.XLOOKUP(FMS_Ranking4[[#This Row],[FMS ID]],FMS_Input[FMS_ID],FMS_Input[FMS_DESCR])</f>
        <v>Encourage annual public outreach and education activities to improve awareness of flood hazards using Turn Around, Don't Drown program</v>
      </c>
      <c r="H158" s="248" t="str">
        <f>_xlfn.XLOOKUP(FMS_Ranking4[[#This Row],[FMS ID]],FMS_Input[FMS_ID],FMS_Input[FMS_TYPE])</f>
        <v>Education and Outreach</v>
      </c>
      <c r="I158" s="249">
        <f>_xlfn.XLOOKUP(FMS_Ranking4[[#This Row],[FMS ID]],FMS_Input[FMS_ID],FMS_Input[NRNC_COST])</f>
        <v>50000</v>
      </c>
      <c r="J158" s="250">
        <f>_xlfn.XLOOKUP(FMS_Ranking4[[#This Row],[FMS ID]],FMS_Input[FMS_ID],FMS_Input[FMS_COST])</f>
        <v>50000</v>
      </c>
      <c r="K158" s="251" t="str">
        <f>_xlfn.XLOOKUP(FMS_Ranking4[[#This Row],[FMS ID]],FMS_Input[FMS_ID],FMS_Input[EMER_NEED])</f>
        <v>No</v>
      </c>
      <c r="L158" s="252">
        <f t="shared" si="2"/>
        <v>0</v>
      </c>
      <c r="M158" s="253">
        <f>_xlfn.XLOOKUP(FMS_Ranking4[[#This Row],[FMS ID]],FMS_Input[FMS_ID],FMS_Input[STRUCT_100])</f>
        <v>4959</v>
      </c>
      <c r="N158" s="255">
        <f>(ASINH(FMS_Ranking4[[#This Row],[Structure at Risk Raw]]))*(10)/(ASINH(M$4))</f>
        <v>7.2342259040168884</v>
      </c>
      <c r="O158" s="256">
        <f>FMS_Ranking4[[#This Row],[Structures at risk, ArcSinh (0-10)]]*M$5*10</f>
        <v>7.2342259040168884</v>
      </c>
      <c r="P158" s="253">
        <f>_xlfn.XLOOKUP(FMS_Ranking4[[#This Row],[FMS ID]],FMS_Input[FMS_ID],FMS_Input[RES_STRUCT100])</f>
        <v>3894</v>
      </c>
      <c r="Q158" s="257">
        <f>ASINH(FMS_Ranking4[[#This Row],[Res Structure Raw]])/Q$4*P$5*100</f>
        <v>0</v>
      </c>
      <c r="R158" s="253">
        <f>_xlfn.XLOOKUP(FMS_Ranking4[[#This Row],[FMS ID]],FMS_Input[FMS_ID],FMS_Input[POP100])</f>
        <v>17998</v>
      </c>
      <c r="S158" s="259">
        <f>(ASINH(FMS_Ranking4[[#This Row],[Pop at Risk Raw]]))*(10)/(ASINH(R$4))</f>
        <v>7.242660662380894</v>
      </c>
      <c r="T158" s="256">
        <f>FMS_Ranking4[[#This Row],[Population at risk, ArcSinh (0-10)]]*R$5*10</f>
        <v>7.242660662380894</v>
      </c>
      <c r="U158" s="253">
        <f>_xlfn.XLOOKUP(FMS_Ranking4[[#This Row],[FMS ID]],FMS_Input[FMS_ID],FMS_Input[CRITFAC100])</f>
        <v>9</v>
      </c>
      <c r="V158" s="259">
        <f>(ASINH(FMS_Ranking4[[#This Row],[Critical Facilities Raw]]))*(10)/(ASINH(U$4))</f>
        <v>3.4251552279272253</v>
      </c>
      <c r="W158" s="256">
        <f>FMS_Ranking4[[#This Row],[Critical facilities at risk, ArcSinh (0-10)]]*U$5*10</f>
        <v>3.4251552279272257</v>
      </c>
      <c r="X158" s="253">
        <f>_xlfn.XLOOKUP(FMS_Ranking4[[#This Row],[FMS ID]],FMS_Input[FMS_ID],FMS_Input[LWC])</f>
        <v>28</v>
      </c>
      <c r="Y158" s="259">
        <f>(ASINH(FMS_Ranking4[[#This Row],[LWC Raw]]))*(10)/(ASINH(X$4))</f>
        <v>5.4537277940935365</v>
      </c>
      <c r="Z158" s="256">
        <f>FMS_Ranking4[[#This Row],[LWC, ArcSInh (0-10)]]*X$5*10</f>
        <v>5.4537277940935365</v>
      </c>
      <c r="AA158" s="253">
        <f>_xlfn.XLOOKUP(FMS_Ranking4[[#This Row],[FMS ID]],FMS_Input[FMS_ID],FMS_Input[ROADCLS])</f>
        <v>0</v>
      </c>
      <c r="AB158" s="255">
        <f>(ASINH(FMS_Ranking4[[#This Row],[Road Closures Raw]]))*(10)/(ASINH(AA$4))</f>
        <v>0</v>
      </c>
      <c r="AC158" s="256">
        <f>FMS_Ranking4[[#This Row],[Road closures, ArcSinh (0-10)]]*AA$5*10</f>
        <v>0</v>
      </c>
      <c r="AD158" s="253">
        <f>_xlfn.XLOOKUP(FMS_Ranking4[[#This Row],[FMS ID]],FMS_Input[FMS_ID],FMS_Input[ROAD_MILES100])</f>
        <v>170</v>
      </c>
      <c r="AE158" s="259">
        <f>(ASINH(FMS_Ranking4[[#This Row],[Road Miles Raw]]))*(10)/(ASINH(AD$4))</f>
        <v>6.2120615630760483</v>
      </c>
      <c r="AF158" s="256">
        <f>FMS_Ranking4[[#This Row],[Length of roads at risk, ArcSinh (0-10)]]*AD$5*10</f>
        <v>6.2120615630760492</v>
      </c>
      <c r="AG158" s="253">
        <f>_xlfn.XLOOKUP(FMS_Ranking4[[#This Row],[FMS ID]],FMS_Input[FMS_ID],FMS_Input[FARMACRE100])</f>
        <v>4139.048828125</v>
      </c>
      <c r="AH158" s="255">
        <f>(ASINH(FMS_Ranking4[[#This Row],[Ag Land Raw]]))*(10)/(ASINH(AG$4))</f>
        <v>5.8601137950172442</v>
      </c>
      <c r="AI158" s="260">
        <f>FMS_Ranking4[[#This Row],[Farm &amp; ranch land, ArcSinh (0-10)]]*AG$5*10</f>
        <v>2.9300568975086221</v>
      </c>
      <c r="AJ158" s="258">
        <f>_xlfn.XLOOKUP(FMS_Ranking4[[#This Row],[FMS ID]],FMS_Input[FMS_ID],FMS_Input[REDSTRUCT100])</f>
        <v>0</v>
      </c>
      <c r="AK158" s="253">
        <f>_xlfn.XLOOKUP(FMS_Ranking4[[#This Row],[FMS ID]],FMS_Input[FMS_ID],FMS_Input[REMSTRC100])</f>
        <v>0</v>
      </c>
      <c r="AL158" s="259">
        <f>(ASINH(FMS_Ranking4[[#This Row],[Structures Removed Raw]]))*(10)/(ASINH(AK$4))</f>
        <v>0</v>
      </c>
      <c r="AM158" s="262">
        <f>FMS_Ranking4[[#This Row],[Structures removed, ArcSinh (0-10)]]*AK$5*10</f>
        <v>0</v>
      </c>
      <c r="AN158" s="253">
        <f>_xlfn.XLOOKUP(FMS_Ranking4[[#This Row],[FMS ID]],FMS_Input[FMS_ID],FMS_Input[REMRESSTRC100])</f>
        <v>0</v>
      </c>
      <c r="AO158" s="261">
        <f>FMS_Ranking4[[#This Row],[ArcSinh Res struct removed 0-10]]*AN$5*10</f>
        <v>0</v>
      </c>
      <c r="AP158" s="260">
        <f>ASINH(FMS_Ranking4[[#This Row],[Residential Structures Removed Raw]])/AP$4*AN$5*100</f>
        <v>0</v>
      </c>
      <c r="AQ158" s="254">
        <f>(ASINH(FMS_Ranking4[[#This Row],[Residential Structures Removed Raw]]))*(10)/(ASINH(AN$4))</f>
        <v>0</v>
      </c>
      <c r="AR158" s="253">
        <f>_xlfn.XLOOKUP(FMS_Ranking4[[#This Row],[FMS ID]],FMS_Input[FMS_ID],FMS_Input[REMPOP100])</f>
        <v>0</v>
      </c>
      <c r="AS158" s="259">
        <f>(ASINH(FMS_Ranking4[[#This Row],[Removed Pop Raw]]))*(10)/(ASINH(AR$4))</f>
        <v>0</v>
      </c>
      <c r="AT158" s="262">
        <f>FMS_Ranking4[[#This Row],[Removed population, ArcSinh (0-10)]]*AR$5*10</f>
        <v>0</v>
      </c>
      <c r="AU158" s="264">
        <f>_xlfn.XLOOKUP(FMS_Ranking4[[#This Row],[FMS ID]],FMS_Input[FMS_ID],FMS_Input[REMCRITFAC100])</f>
        <v>0</v>
      </c>
      <c r="AV158" s="264">
        <f>_xlfn.XLOOKUP(FMS_Ranking4[[#This Row],[FMS ID]],FMS_Input[FMS_ID],FMS_Input[REMLWC100])</f>
        <v>0</v>
      </c>
      <c r="AW158" s="264">
        <f>_xlfn.XLOOKUP(FMS_Ranking4[[#This Row],[FMS ID]],FMS_Input[FMS_ID],FMS_Input[REMROADCLS])</f>
        <v>0</v>
      </c>
      <c r="AX158" s="264">
        <f>_xlfn.XLOOKUP(FMS_Ranking4[[#This Row],[FMS ID]],FMS_Input[FMS_ID],FMS_Input[REMFRMACRE100])</f>
        <v>0</v>
      </c>
      <c r="AY158" s="258">
        <f>_xlfn.XLOOKUP(FMS_Ranking4[[#This Row],[FMS ID]],FMS_Input[FMS_ID],FMS_Input[COSTSTRUCT])</f>
        <v>0</v>
      </c>
      <c r="AZ158" s="253">
        <f>_xlfn.XLOOKUP(FMS_Ranking4[[#This Row],[FMS ID]],FMS_Input[FMS_ID],FMS_Input[NATURE])</f>
        <v>0</v>
      </c>
      <c r="BA158" s="262">
        <f>(((FMS_Ranking4[[#This Row],[% NBS Raw]]/AZ$4)*100)*AZ$5)</f>
        <v>0</v>
      </c>
      <c r="BB158" s="251" t="str">
        <f>_xlfn.XLOOKUP(FMS_Ranking4[[#This Row],[FMS ID]],FMS_Input[FMS_ID],FMS_Input[WATER_SUP])</f>
        <v>No</v>
      </c>
      <c r="BC158" s="265">
        <f>IF(FMS_Ranking4[[#This Row],[Water Supply Raw]]="Yes",10,0)</f>
        <v>0</v>
      </c>
      <c r="BD158" s="266">
        <f>_xlfn.XLOOKUP(FMS_Ranking4[[#This Row],[FMS Type]],FMS_TYPE[FMS_Type],FMS_TYPE[Score])</f>
        <v>6</v>
      </c>
      <c r="BE158" s="267">
        <f>FMS_Ranking4[[#This Row],[FMS_Type Score]]*$BD$5*10</f>
        <v>1.5000000000000002</v>
      </c>
      <c r="BF15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1.1626163672842518</v>
      </c>
      <c r="BG158" s="271">
        <f>_xlfn.RANK.EQ(BF158,$BF$8:$BF$870,0)+COUNTIF($BF$8:BF158,BF158)-1</f>
        <v>129</v>
      </c>
      <c r="BH158" s="268">
        <f>(((FMS_Ranking4[[#This Row],[Structures Removed Raw]]/AK$4)*100)*AK$5)+(((FMS_Ranking4[[#This Row],[Removed Pop Raw]]/AR$4)*100)*AR$5)</f>
        <v>0</v>
      </c>
      <c r="BI15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2.6626163672842518</v>
      </c>
      <c r="BJ158" s="205">
        <f>_xlfn.RANK.EQ(FMS_Ranking4[[#This Row],[Total Score 
(with linear
normalization)]],FMS_Ranking4[Total Score 
(with linear
normalization)],0)</f>
        <v>212</v>
      </c>
      <c r="BK158" s="205" t="e">
        <f>_xlfn.XLOOKUP(FMS_Ranking4[[#This Row],[FMS ID]],#REF!,#REF!)</f>
        <v>#REF!</v>
      </c>
      <c r="BL15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32.497888049003215</v>
      </c>
      <c r="BM158" s="272">
        <f>FMS_Ranking4[[#This Row],[ArcSinh Score Based on Normalized Reported Factors]]+FMS_Ranking4[[#This Row],[% NBS Score (Normalized)]]+(FMS_Ranking4[[#This Row],[Water Supply Score (Normalized)]]*10*$BB$5)+FMS_Ranking4[[#This Row],[FMS_Type Score Weighted]]</f>
        <v>33.997888049003215</v>
      </c>
      <c r="BN158" s="205">
        <f>_xlfn.RANK.EQ(FMS_Ranking4[[#This Row],[Total Score (with ArcSinh normalization of select criteria)]],FMS_Ranking4[Total Score (with ArcSinh normalization of select criteria)],0)</f>
        <v>151</v>
      </c>
      <c r="BO158" s="270" t="str">
        <f>_xlfn.XLOOKUP(FMS_Ranking4[[#This Row],[FMS ID]],FMS_Input[FMS_ID],FMS_Input[FMS_RANK_YEAR])</f>
        <v>2023 Amended Plan</v>
      </c>
      <c r="BP158" s="204">
        <f>_xlfn.XLOOKUP(FMS_Ranking4[[#This Row],[FMS ID]],Prev_Rank[FMS ID],Prev_Rank[Prev Rank])</f>
        <v>128</v>
      </c>
      <c r="BQ158" s="205" t="e">
        <f>_xlfn.XLOOKUP(FMS_Ranking4[[#This Row],[FMS ID]],#REF!,#REF!)</f>
        <v>#REF!</v>
      </c>
      <c r="BR158" s="199" t="e">
        <f>SUM(#REF!,#REF!,#REF!,#REF!,#REF!,#REF!,#REF!,#REF!,#REF!,FMS_Ranking4[[#This Row],[ArcSinh Res struct removed 0-10]],#REF!)</f>
        <v>#REF!</v>
      </c>
      <c r="BS158" s="199" t="e">
        <f>FMS_Ranking4[[#This Row],[Log Score Based on Normalized Reported Factors]]+FMS_Ranking4[[#This Row],[% NBS Score (Normalized)]]+(FMS_Ranking4[[#This Row],[Water Supply Score (Normalized)]]*10*$BB$5)+(FMS_Ranking4[[#This Row],[FMS_Type Score Weighted]])</f>
        <v>#REF!</v>
      </c>
      <c r="BT158" s="200" t="e">
        <f>_xlfn.RANK.EQ(FMS_Ranking4[[#This Row],[Log Total Score]],FMS_Ranking4[Log Total Score],0)</f>
        <v>#REF!</v>
      </c>
      <c r="BU158" s="200" t="e">
        <f>_xlfn.XLOOKUP(FMS_Ranking4[[#This Row],[FMS ID]],#REF!,#REF!)</f>
        <v>#REF!</v>
      </c>
      <c r="BV158" s="200">
        <f>FMS_Ranking4[[#This Row],[Region Number]]</f>
        <v>7</v>
      </c>
      <c r="BW158" s="200">
        <f>FMS_Ranking4[[#This Row],[Rank (with ArcSinh normalization of select criteria)]]-FMS_Ranking4[[#This Row],[Rank
(with linear
normalization)]]</f>
        <v>-61</v>
      </c>
      <c r="BX158" s="200" t="e">
        <f>FMS_Ranking4[[#This Row],[Log Rank]]-FMS_Ranking4[[#This Row],[Rank
(with linear
normalization)]]</f>
        <v>#REF!</v>
      </c>
      <c r="BY158" s="200" t="str">
        <f>IF(FMS_Ranking4[[#This Row],[FMS Type]]="Flood Measurement and Warning",FMS_Ranking4[[#This Row],[Rank (with ArcSinh normalization of select criteria)]],"")</f>
        <v/>
      </c>
      <c r="BZ158" s="200" t="str">
        <f>IF(FMS_Ranking4[[#This Row],[FMS Type]]="Regulatory and Guidance",FMS_Ranking4[[#This Row],[Rank (with ArcSinh normalization of select criteria)]],"")</f>
        <v/>
      </c>
      <c r="CA158" s="200">
        <f>IF(FMS_Ranking4[[#This Row],[FMS Type]]="Education and Outreach",FMS_Ranking4[[#This Row],[Rank (with ArcSinh normalization of select criteria)]],"")</f>
        <v>151</v>
      </c>
      <c r="CB158" s="200" t="str">
        <f>IF(FMS_Ranking4[[#This Row],[FMS Type]]="Property Acquisition and Structural Elevation",FMS_Ranking4[[#This Row],[Rank (with ArcSinh normalization of select criteria)]],"")</f>
        <v/>
      </c>
      <c r="CC158" s="200" t="str">
        <f>IF(FMS_Ranking4[[#This Row],[FMS Type]]="Infrastructure Projects",FMS_Ranking4[[#This Row],[Rank (with ArcSinh normalization of select criteria)]],"")</f>
        <v/>
      </c>
      <c r="CD158" s="200" t="str">
        <f>IF(FMS_Ranking4[[#This Row],[FMS Type]]="Other",FMS_Ranking4[[#This Row],[Rank (with ArcSinh normalization of select criteria)]],"")</f>
        <v/>
      </c>
      <c r="CE158" s="201"/>
      <c r="CF158" s="206"/>
      <c r="CG158" s="206"/>
      <c r="CH158" s="206"/>
      <c r="CI158" s="206"/>
      <c r="CJ158" s="206"/>
      <c r="CK158" s="206"/>
      <c r="CL158" s="206"/>
      <c r="CM158" s="206"/>
      <c r="CN158" s="206"/>
      <c r="CO158" s="206"/>
      <c r="CP158" s="206"/>
      <c r="CQ158" s="206"/>
      <c r="CR158" s="206"/>
    </row>
    <row r="159" spans="2:96" ht="75" x14ac:dyDescent="0.25">
      <c r="B159" s="341" t="s">
        <v>2951</v>
      </c>
      <c r="C159" s="246">
        <f>_xlfn.XLOOKUP(FMS_Ranking4[[#This Row],[FMS ID]],FMS_Input[FMS_ID],FMS_Input[RFPG_NUM])</f>
        <v>5</v>
      </c>
      <c r="D159" s="309" t="str">
        <f>_xlfn.XLOOKUP(FMS_Ranking4[[#This Row],[FMS ID]],FMS_Input[FMS_ID],FMS_Input[FMS_NAME])</f>
        <v>Hardin County Culverts, Ditches, and Channel</v>
      </c>
      <c r="E159" s="308" t="str">
        <f>_xlfn.XLOOKUP(FMS_Ranking4[[#This Row],[FMS ID]],FMS_Input[FMS_ID],FMS_Input[SPONSOR])</f>
        <v>00000035</v>
      </c>
      <c r="F159" s="309" t="str">
        <f>_xlfn.XLOOKUP(FMS_Ranking4[[#This Row],[FMS ID]],Sponsor[FMS_ID],Sponsor[SPONSOR NAME])</f>
        <v>Hardin</v>
      </c>
      <c r="G159" s="309" t="str">
        <f>_xlfn.XLOOKUP(FMS_Ranking4[[#This Row],[FMS ID]],FMS_Input[FMS_ID],FMS_Input[FMS_DESCR])</f>
        <v>Establish plan to upgrade storm water capacity by installing/upgrading culverts and enlarging storm water channels.</v>
      </c>
      <c r="H159" s="248" t="str">
        <f>_xlfn.XLOOKUP(FMS_Ranking4[[#This Row],[FMS ID]],FMS_Input[FMS_ID],FMS_Input[FMS_TYPE])</f>
        <v>Infrastructure Projects</v>
      </c>
      <c r="I159" s="249">
        <f>_xlfn.XLOOKUP(FMS_Ranking4[[#This Row],[FMS ID]],FMS_Input[FMS_ID],FMS_Input[NRNC_COST])</f>
        <v>200000</v>
      </c>
      <c r="J159" s="250">
        <f>_xlfn.XLOOKUP(FMS_Ranking4[[#This Row],[FMS ID]],FMS_Input[FMS_ID],FMS_Input[FMS_COST])</f>
        <v>3000000</v>
      </c>
      <c r="K159" s="251" t="str">
        <f>_xlfn.XLOOKUP(FMS_Ranking4[[#This Row],[FMS ID]],FMS_Input[FMS_ID],FMS_Input[EMER_NEED])</f>
        <v>Yes</v>
      </c>
      <c r="L159" s="252">
        <f t="shared" si="2"/>
        <v>1</v>
      </c>
      <c r="M159" s="253">
        <f>_xlfn.XLOOKUP(FMS_Ranking4[[#This Row],[FMS ID]],FMS_Input[FMS_ID],FMS_Input[STRUCT_100])</f>
        <v>3678</v>
      </c>
      <c r="N159" s="255">
        <f>(ASINH(FMS_Ranking4[[#This Row],[Structure at Risk Raw]]))*(10)/(ASINH(M$4))</f>
        <v>6.999297120630481</v>
      </c>
      <c r="O159" s="256">
        <f>FMS_Ranking4[[#This Row],[Structures at risk, ArcSinh (0-10)]]*M$5*10</f>
        <v>6.999297120630481</v>
      </c>
      <c r="P159" s="253">
        <f>_xlfn.XLOOKUP(FMS_Ranking4[[#This Row],[FMS ID]],FMS_Input[FMS_ID],FMS_Input[RES_STRUCT100])</f>
        <v>2638</v>
      </c>
      <c r="Q159" s="257">
        <f>ASINH(FMS_Ranking4[[#This Row],[Res Structure Raw]])/Q$4*P$5*100</f>
        <v>0</v>
      </c>
      <c r="R159" s="253">
        <f>_xlfn.XLOOKUP(FMS_Ranking4[[#This Row],[FMS ID]],FMS_Input[FMS_ID],FMS_Input[POP100])</f>
        <v>10528</v>
      </c>
      <c r="S159" s="259">
        <f>(ASINH(FMS_Ranking4[[#This Row],[Pop at Risk Raw]]))*(10)/(ASINH(R$4))</f>
        <v>6.8724752154145294</v>
      </c>
      <c r="T159" s="256">
        <f>FMS_Ranking4[[#This Row],[Population at risk, ArcSinh (0-10)]]*R$5*10</f>
        <v>6.8724752154145294</v>
      </c>
      <c r="U159" s="253">
        <f>_xlfn.XLOOKUP(FMS_Ranking4[[#This Row],[FMS ID]],FMS_Input[FMS_ID],FMS_Input[CRITFAC100])</f>
        <v>25</v>
      </c>
      <c r="V159" s="259">
        <f>(ASINH(FMS_Ranking4[[#This Row],[Critical Facilities Raw]]))*(10)/(ASINH(U$4))</f>
        <v>4.631385765532567</v>
      </c>
      <c r="W159" s="256">
        <f>FMS_Ranking4[[#This Row],[Critical facilities at risk, ArcSinh (0-10)]]*U$5*10</f>
        <v>4.631385765532567</v>
      </c>
      <c r="X159" s="253">
        <f>_xlfn.XLOOKUP(FMS_Ranking4[[#This Row],[FMS ID]],FMS_Input[FMS_ID],FMS_Input[LWC])</f>
        <v>13</v>
      </c>
      <c r="Y159" s="259">
        <f>(ASINH(FMS_Ranking4[[#This Row],[LWC Raw]]))*(10)/(ASINH(X$4))</f>
        <v>4.4158660820509805</v>
      </c>
      <c r="Z159" s="256">
        <f>FMS_Ranking4[[#This Row],[LWC, ArcSInh (0-10)]]*X$5*10</f>
        <v>4.4158660820509805</v>
      </c>
      <c r="AA159" s="253">
        <f>_xlfn.XLOOKUP(FMS_Ranking4[[#This Row],[FMS ID]],FMS_Input[FMS_ID],FMS_Input[ROADCLS])</f>
        <v>13</v>
      </c>
      <c r="AB159" s="255">
        <f>(ASINH(FMS_Ranking4[[#This Row],[Road Closures Raw]]))*(10)/(ASINH(AA$4))</f>
        <v>3.3945456436207171</v>
      </c>
      <c r="AC159" s="256">
        <f>FMS_Ranking4[[#This Row],[Road closures, ArcSinh (0-10)]]*AA$5*10</f>
        <v>1.6972728218103585</v>
      </c>
      <c r="AD159" s="253">
        <f>_xlfn.XLOOKUP(FMS_Ranking4[[#This Row],[FMS ID]],FMS_Input[FMS_ID],FMS_Input[ROAD_MILES100])</f>
        <v>136</v>
      </c>
      <c r="AE159" s="259">
        <f>(ASINH(FMS_Ranking4[[#This Row],[Road Miles Raw]]))*(10)/(ASINH(AD$4))</f>
        <v>5.9742571151320423</v>
      </c>
      <c r="AF159" s="256">
        <f>FMS_Ranking4[[#This Row],[Length of roads at risk, ArcSinh (0-10)]]*AD$5*10</f>
        <v>5.9742571151320423</v>
      </c>
      <c r="AG159" s="253">
        <f>_xlfn.XLOOKUP(FMS_Ranking4[[#This Row],[FMS ID]],FMS_Input[FMS_ID],FMS_Input[FARMACRE100])</f>
        <v>743.241455078125</v>
      </c>
      <c r="AH159" s="255">
        <f>(ASINH(FMS_Ranking4[[#This Row],[Ag Land Raw]]))*(10)/(ASINH(AG$4))</f>
        <v>4.7446525701701683</v>
      </c>
      <c r="AI159" s="260">
        <f>FMS_Ranking4[[#This Row],[Farm &amp; ranch land, ArcSinh (0-10)]]*AG$5*10</f>
        <v>2.3723262850850841</v>
      </c>
      <c r="AJ159" s="258">
        <f>_xlfn.XLOOKUP(FMS_Ranking4[[#This Row],[FMS ID]],FMS_Input[FMS_ID],FMS_Input[REDSTRUCT100])</f>
        <v>0</v>
      </c>
      <c r="AK159" s="253">
        <f>_xlfn.XLOOKUP(FMS_Ranking4[[#This Row],[FMS ID]],FMS_Input[FMS_ID],FMS_Input[REMSTRC100])</f>
        <v>0</v>
      </c>
      <c r="AL159" s="259">
        <f>(ASINH(FMS_Ranking4[[#This Row],[Structures Removed Raw]]))*(10)/(ASINH(AK$4))</f>
        <v>0</v>
      </c>
      <c r="AM159" s="262">
        <f>FMS_Ranking4[[#This Row],[Structures removed, ArcSinh (0-10)]]*AK$5*10</f>
        <v>0</v>
      </c>
      <c r="AN159" s="253">
        <f>_xlfn.XLOOKUP(FMS_Ranking4[[#This Row],[FMS ID]],FMS_Input[FMS_ID],FMS_Input[REMRESSTRC100])</f>
        <v>0</v>
      </c>
      <c r="AO159" s="261">
        <f>FMS_Ranking4[[#This Row],[ArcSinh Res struct removed 0-10]]*AN$5*10</f>
        <v>0</v>
      </c>
      <c r="AP159" s="260">
        <f>ASINH(FMS_Ranking4[[#This Row],[Residential Structures Removed Raw]])/AP$4*AN$5*100</f>
        <v>0</v>
      </c>
      <c r="AQ159" s="254">
        <f>(ASINH(FMS_Ranking4[[#This Row],[Residential Structures Removed Raw]]))*(10)/(ASINH(AN$4))</f>
        <v>0</v>
      </c>
      <c r="AR159" s="253">
        <f>_xlfn.XLOOKUP(FMS_Ranking4[[#This Row],[FMS ID]],FMS_Input[FMS_ID],FMS_Input[REMPOP100])</f>
        <v>0</v>
      </c>
      <c r="AS159" s="259">
        <f>(ASINH(FMS_Ranking4[[#This Row],[Removed Pop Raw]]))*(10)/(ASINH(AR$4))</f>
        <v>0</v>
      </c>
      <c r="AT159" s="262">
        <f>FMS_Ranking4[[#This Row],[Removed population, ArcSinh (0-10)]]*AR$5*10</f>
        <v>0</v>
      </c>
      <c r="AU159" s="264">
        <f>_xlfn.XLOOKUP(FMS_Ranking4[[#This Row],[FMS ID]],FMS_Input[FMS_ID],FMS_Input[REMCRITFAC100])</f>
        <v>0</v>
      </c>
      <c r="AV159" s="264">
        <f>_xlfn.XLOOKUP(FMS_Ranking4[[#This Row],[FMS ID]],FMS_Input[FMS_ID],FMS_Input[REMLWC100])</f>
        <v>0</v>
      </c>
      <c r="AW159" s="264">
        <f>_xlfn.XLOOKUP(FMS_Ranking4[[#This Row],[FMS ID]],FMS_Input[FMS_ID],FMS_Input[REMROADCLS])</f>
        <v>0</v>
      </c>
      <c r="AX159" s="264">
        <f>_xlfn.XLOOKUP(FMS_Ranking4[[#This Row],[FMS ID]],FMS_Input[FMS_ID],FMS_Input[REMFRMACRE100])</f>
        <v>0</v>
      </c>
      <c r="AY159" s="258">
        <f>_xlfn.XLOOKUP(FMS_Ranking4[[#This Row],[FMS ID]],FMS_Input[FMS_ID],FMS_Input[COSTSTRUCT])</f>
        <v>0</v>
      </c>
      <c r="AZ159" s="253">
        <f>_xlfn.XLOOKUP(FMS_Ranking4[[#This Row],[FMS ID]],FMS_Input[FMS_ID],FMS_Input[NATURE])</f>
        <v>0</v>
      </c>
      <c r="BA159" s="262">
        <f>(((FMS_Ranking4[[#This Row],[% NBS Raw]]/AZ$4)*100)*AZ$5)</f>
        <v>0</v>
      </c>
      <c r="BB159" s="251" t="str">
        <f>_xlfn.XLOOKUP(FMS_Ranking4[[#This Row],[FMS ID]],FMS_Input[FMS_ID],FMS_Input[WATER_SUP])</f>
        <v>No</v>
      </c>
      <c r="BC159" s="265">
        <f>IF(FMS_Ranking4[[#This Row],[Water Supply Raw]]="Yes",10,0)</f>
        <v>0</v>
      </c>
      <c r="BD159" s="266">
        <f>_xlfn.XLOOKUP(FMS_Ranking4[[#This Row],[FMS Type]],FMS_TYPE[FMS_Type],FMS_TYPE[Score])</f>
        <v>4</v>
      </c>
      <c r="BE159" s="267">
        <f>FMS_Ranking4[[#This Row],[FMS_Type Score]]*$BD$5*10</f>
        <v>1</v>
      </c>
      <c r="BF15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0.83593507027171055</v>
      </c>
      <c r="BG159" s="269">
        <f>_xlfn.RANK.EQ(BF159,$BF$8:$BF$870,0)+COUNTIF($BF$8:BF159,BF159)-1</f>
        <v>162</v>
      </c>
      <c r="BH159" s="268">
        <f>(((FMS_Ranking4[[#This Row],[Structures Removed Raw]]/AK$4)*100)*AK$5)+(((FMS_Ranking4[[#This Row],[Removed Pop Raw]]/AR$4)*100)*AR$5)</f>
        <v>0</v>
      </c>
      <c r="BI15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1.8359350702717105</v>
      </c>
      <c r="BJ159" s="204">
        <f>_xlfn.RANK.EQ(FMS_Ranking4[[#This Row],[Total Score 
(with linear
normalization)]],FMS_Ranking4[Total Score 
(with linear
normalization)],0)</f>
        <v>537</v>
      </c>
      <c r="BK159" s="204" t="e">
        <f>_xlfn.XLOOKUP(FMS_Ranking4[[#This Row],[FMS ID]],#REF!,#REF!)</f>
        <v>#REF!</v>
      </c>
      <c r="BL159"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32.962880405656044</v>
      </c>
      <c r="BM159" s="270">
        <f>FMS_Ranking4[[#This Row],[ArcSinh Score Based on Normalized Reported Factors]]+FMS_Ranking4[[#This Row],[% NBS Score (Normalized)]]+(FMS_Ranking4[[#This Row],[Water Supply Score (Normalized)]]*10*$BB$5)+FMS_Ranking4[[#This Row],[FMS_Type Score Weighted]]</f>
        <v>33.962880405656044</v>
      </c>
      <c r="BN159" s="204">
        <f>_xlfn.RANK.EQ(FMS_Ranking4[[#This Row],[Total Score (with ArcSinh normalization of select criteria)]],FMS_Ranking4[Total Score (with ArcSinh normalization of select criteria)],0)</f>
        <v>152</v>
      </c>
      <c r="BO159" s="270" t="str">
        <f>_xlfn.XLOOKUP(FMS_Ranking4[[#This Row],[FMS ID]],FMS_Input[FMS_ID],FMS_Input[FMS_RANK_YEAR])</f>
        <v>2023 Amended Plan</v>
      </c>
      <c r="BP159" s="204">
        <f>_xlfn.XLOOKUP(FMS_Ranking4[[#This Row],[FMS ID]],Prev_Rank[FMS ID],Prev_Rank[Prev Rank])</f>
        <v>129</v>
      </c>
      <c r="BQ159" s="204" t="e">
        <f>_xlfn.XLOOKUP(FMS_Ranking4[[#This Row],[FMS ID]],#REF!,#REF!)</f>
        <v>#REF!</v>
      </c>
      <c r="BR159" s="199" t="e">
        <f>SUM(#REF!,#REF!,#REF!,#REF!,#REF!,#REF!,#REF!,#REF!,#REF!,FMS_Ranking4[[#This Row],[ArcSinh Res struct removed 0-10]],#REF!)</f>
        <v>#REF!</v>
      </c>
      <c r="BS159" s="199" t="e">
        <f>FMS_Ranking4[[#This Row],[Log Score Based on Normalized Reported Factors]]+FMS_Ranking4[[#This Row],[% NBS Score (Normalized)]]+(FMS_Ranking4[[#This Row],[Water Supply Score (Normalized)]]*10*$BB$5)+(FMS_Ranking4[[#This Row],[FMS_Type Score Weighted]])</f>
        <v>#REF!</v>
      </c>
      <c r="BT159" s="200" t="e">
        <f>_xlfn.RANK.EQ(FMS_Ranking4[[#This Row],[Log Total Score]],FMS_Ranking4[Log Total Score],0)</f>
        <v>#REF!</v>
      </c>
      <c r="BU159" s="200" t="e">
        <f>_xlfn.XLOOKUP(FMS_Ranking4[[#This Row],[FMS ID]],#REF!,#REF!)</f>
        <v>#REF!</v>
      </c>
      <c r="BV159" s="200">
        <f>FMS_Ranking4[[#This Row],[Region Number]]</f>
        <v>5</v>
      </c>
      <c r="BW159" s="200">
        <f>FMS_Ranking4[[#This Row],[Rank (with ArcSinh normalization of select criteria)]]-FMS_Ranking4[[#This Row],[Rank
(with linear
normalization)]]</f>
        <v>-385</v>
      </c>
      <c r="BX159" s="200" t="e">
        <f>FMS_Ranking4[[#This Row],[Log Rank]]-FMS_Ranking4[[#This Row],[Rank
(with linear
normalization)]]</f>
        <v>#REF!</v>
      </c>
      <c r="BY159" s="200" t="str">
        <f>IF(FMS_Ranking4[[#This Row],[FMS Type]]="Flood Measurement and Warning",FMS_Ranking4[[#This Row],[Rank (with ArcSinh normalization of select criteria)]],"")</f>
        <v/>
      </c>
      <c r="BZ159" s="200" t="str">
        <f>IF(FMS_Ranking4[[#This Row],[FMS Type]]="Regulatory and Guidance",FMS_Ranking4[[#This Row],[Rank (with ArcSinh normalization of select criteria)]],"")</f>
        <v/>
      </c>
      <c r="CA159" s="200" t="str">
        <f>IF(FMS_Ranking4[[#This Row],[FMS Type]]="Education and Outreach",FMS_Ranking4[[#This Row],[Rank (with ArcSinh normalization of select criteria)]],"")</f>
        <v/>
      </c>
      <c r="CB159" s="200" t="str">
        <f>IF(FMS_Ranking4[[#This Row],[FMS Type]]="Property Acquisition and Structural Elevation",FMS_Ranking4[[#This Row],[Rank (with ArcSinh normalization of select criteria)]],"")</f>
        <v/>
      </c>
      <c r="CC159" s="200">
        <f>IF(FMS_Ranking4[[#This Row],[FMS Type]]="Infrastructure Projects",FMS_Ranking4[[#This Row],[Rank (with ArcSinh normalization of select criteria)]],"")</f>
        <v>152</v>
      </c>
      <c r="CD159" s="200" t="str">
        <f>IF(FMS_Ranking4[[#This Row],[FMS Type]]="Other",FMS_Ranking4[[#This Row],[Rank (with ArcSinh normalization of select criteria)]],"")</f>
        <v/>
      </c>
      <c r="CE159" s="201"/>
      <c r="CF159" s="206"/>
      <c r="CG159" s="206"/>
      <c r="CH159" s="206"/>
      <c r="CI159" s="206"/>
      <c r="CJ159" s="206"/>
      <c r="CK159" s="206"/>
      <c r="CL159" s="206"/>
      <c r="CM159" s="206"/>
      <c r="CN159" s="206"/>
      <c r="CO159" s="206"/>
      <c r="CP159" s="206"/>
      <c r="CQ159" s="206"/>
      <c r="CR159" s="206"/>
    </row>
    <row r="160" spans="2:96" ht="60" x14ac:dyDescent="0.25">
      <c r="B160" s="341" t="s">
        <v>2954</v>
      </c>
      <c r="C160" s="246">
        <f>_xlfn.XLOOKUP(FMS_Ranking4[[#This Row],[FMS ID]],FMS_Input[FMS_ID],FMS_Input[RFPG_NUM])</f>
        <v>5</v>
      </c>
      <c r="D160" s="309" t="str">
        <f>_xlfn.XLOOKUP(FMS_Ranking4[[#This Row],[FMS ID]],FMS_Input[FMS_ID],FMS_Input[FMS_NAME])</f>
        <v xml:space="preserve">Hardin County Elevate Roads and Bridges_x000D_
</v>
      </c>
      <c r="E160" s="308" t="str">
        <f>_xlfn.XLOOKUP(FMS_Ranking4[[#This Row],[FMS ID]],FMS_Input[FMS_ID],FMS_Input[SPONSOR])</f>
        <v>00000035</v>
      </c>
      <c r="F160" s="309" t="str">
        <f>_xlfn.XLOOKUP(FMS_Ranking4[[#This Row],[FMS ID]],Sponsor[FMS_ID],Sponsor[SPONSOR NAME])</f>
        <v>Hardin</v>
      </c>
      <c r="G160" s="309" t="str">
        <f>_xlfn.XLOOKUP(FMS_Ranking4[[#This Row],[FMS ID]],FMS_Input[FMS_ID],FMS_Input[FMS_DESCR])</f>
        <v>Develop a program to elevate roads and bridges including installing, upsizing culverts and headwalls, and bridge upgrades.</v>
      </c>
      <c r="H160" s="248" t="str">
        <f>_xlfn.XLOOKUP(FMS_Ranking4[[#This Row],[FMS ID]],FMS_Input[FMS_ID],FMS_Input[FMS_TYPE])</f>
        <v>Infrastructure Projects</v>
      </c>
      <c r="I160" s="249">
        <f>_xlfn.XLOOKUP(FMS_Ranking4[[#This Row],[FMS ID]],FMS_Input[FMS_ID],FMS_Input[NRNC_COST])</f>
        <v>200000</v>
      </c>
      <c r="J160" s="250">
        <f>_xlfn.XLOOKUP(FMS_Ranking4[[#This Row],[FMS ID]],FMS_Input[FMS_ID],FMS_Input[FMS_COST])</f>
        <v>10000000</v>
      </c>
      <c r="K160" s="251" t="str">
        <f>_xlfn.XLOOKUP(FMS_Ranking4[[#This Row],[FMS ID]],FMS_Input[FMS_ID],FMS_Input[EMER_NEED])</f>
        <v>Yes</v>
      </c>
      <c r="L160" s="252">
        <f t="shared" si="2"/>
        <v>1</v>
      </c>
      <c r="M160" s="253">
        <f>_xlfn.XLOOKUP(FMS_Ranking4[[#This Row],[FMS ID]],FMS_Input[FMS_ID],FMS_Input[STRUCT_100])</f>
        <v>3678</v>
      </c>
      <c r="N160" s="255">
        <f>(ASINH(FMS_Ranking4[[#This Row],[Structure at Risk Raw]]))*(10)/(ASINH(M$4))</f>
        <v>6.999297120630481</v>
      </c>
      <c r="O160" s="256">
        <f>FMS_Ranking4[[#This Row],[Structures at risk, ArcSinh (0-10)]]*M$5*10</f>
        <v>6.999297120630481</v>
      </c>
      <c r="P160" s="253">
        <f>_xlfn.XLOOKUP(FMS_Ranking4[[#This Row],[FMS ID]],FMS_Input[FMS_ID],FMS_Input[RES_STRUCT100])</f>
        <v>2638</v>
      </c>
      <c r="Q160" s="257">
        <f>ASINH(FMS_Ranking4[[#This Row],[Res Structure Raw]])/Q$4*P$5*100</f>
        <v>0</v>
      </c>
      <c r="R160" s="253">
        <f>_xlfn.XLOOKUP(FMS_Ranking4[[#This Row],[FMS ID]],FMS_Input[FMS_ID],FMS_Input[POP100])</f>
        <v>10528</v>
      </c>
      <c r="S160" s="259">
        <f>(ASINH(FMS_Ranking4[[#This Row],[Pop at Risk Raw]]))*(10)/(ASINH(R$4))</f>
        <v>6.8724752154145294</v>
      </c>
      <c r="T160" s="256">
        <f>FMS_Ranking4[[#This Row],[Population at risk, ArcSinh (0-10)]]*R$5*10</f>
        <v>6.8724752154145294</v>
      </c>
      <c r="U160" s="253">
        <f>_xlfn.XLOOKUP(FMS_Ranking4[[#This Row],[FMS ID]],FMS_Input[FMS_ID],FMS_Input[CRITFAC100])</f>
        <v>25</v>
      </c>
      <c r="V160" s="259">
        <f>(ASINH(FMS_Ranking4[[#This Row],[Critical Facilities Raw]]))*(10)/(ASINH(U$4))</f>
        <v>4.631385765532567</v>
      </c>
      <c r="W160" s="256">
        <f>FMS_Ranking4[[#This Row],[Critical facilities at risk, ArcSinh (0-10)]]*U$5*10</f>
        <v>4.631385765532567</v>
      </c>
      <c r="X160" s="253">
        <f>_xlfn.XLOOKUP(FMS_Ranking4[[#This Row],[FMS ID]],FMS_Input[FMS_ID],FMS_Input[LWC])</f>
        <v>13</v>
      </c>
      <c r="Y160" s="259">
        <f>(ASINH(FMS_Ranking4[[#This Row],[LWC Raw]]))*(10)/(ASINH(X$4))</f>
        <v>4.4158660820509805</v>
      </c>
      <c r="Z160" s="256">
        <f>FMS_Ranking4[[#This Row],[LWC, ArcSInh (0-10)]]*X$5*10</f>
        <v>4.4158660820509805</v>
      </c>
      <c r="AA160" s="253">
        <f>_xlfn.XLOOKUP(FMS_Ranking4[[#This Row],[FMS ID]],FMS_Input[FMS_ID],FMS_Input[ROADCLS])</f>
        <v>13</v>
      </c>
      <c r="AB160" s="255">
        <f>(ASINH(FMS_Ranking4[[#This Row],[Road Closures Raw]]))*(10)/(ASINH(AA$4))</f>
        <v>3.3945456436207171</v>
      </c>
      <c r="AC160" s="256">
        <f>FMS_Ranking4[[#This Row],[Road closures, ArcSinh (0-10)]]*AA$5*10</f>
        <v>1.6972728218103585</v>
      </c>
      <c r="AD160" s="253">
        <f>_xlfn.XLOOKUP(FMS_Ranking4[[#This Row],[FMS ID]],FMS_Input[FMS_ID],FMS_Input[ROAD_MILES100])</f>
        <v>136</v>
      </c>
      <c r="AE160" s="259">
        <f>(ASINH(FMS_Ranking4[[#This Row],[Road Miles Raw]]))*(10)/(ASINH(AD$4))</f>
        <v>5.9742571151320423</v>
      </c>
      <c r="AF160" s="256">
        <f>FMS_Ranking4[[#This Row],[Length of roads at risk, ArcSinh (0-10)]]*AD$5*10</f>
        <v>5.9742571151320423</v>
      </c>
      <c r="AG160" s="253">
        <f>_xlfn.XLOOKUP(FMS_Ranking4[[#This Row],[FMS ID]],FMS_Input[FMS_ID],FMS_Input[FARMACRE100])</f>
        <v>743.241455078125</v>
      </c>
      <c r="AH160" s="255">
        <f>(ASINH(FMS_Ranking4[[#This Row],[Ag Land Raw]]))*(10)/(ASINH(AG$4))</f>
        <v>4.7446525701701683</v>
      </c>
      <c r="AI160" s="260">
        <f>FMS_Ranking4[[#This Row],[Farm &amp; ranch land, ArcSinh (0-10)]]*AG$5*10</f>
        <v>2.3723262850850841</v>
      </c>
      <c r="AJ160" s="258">
        <f>_xlfn.XLOOKUP(FMS_Ranking4[[#This Row],[FMS ID]],FMS_Input[FMS_ID],FMS_Input[REDSTRUCT100])</f>
        <v>0</v>
      </c>
      <c r="AK160" s="253">
        <f>_xlfn.XLOOKUP(FMS_Ranking4[[#This Row],[FMS ID]],FMS_Input[FMS_ID],FMS_Input[REMSTRC100])</f>
        <v>0</v>
      </c>
      <c r="AL160" s="259">
        <f>(ASINH(FMS_Ranking4[[#This Row],[Structures Removed Raw]]))*(10)/(ASINH(AK$4))</f>
        <v>0</v>
      </c>
      <c r="AM160" s="262">
        <f>FMS_Ranking4[[#This Row],[Structures removed, ArcSinh (0-10)]]*AK$5*10</f>
        <v>0</v>
      </c>
      <c r="AN160" s="253">
        <f>_xlfn.XLOOKUP(FMS_Ranking4[[#This Row],[FMS ID]],FMS_Input[FMS_ID],FMS_Input[REMRESSTRC100])</f>
        <v>0</v>
      </c>
      <c r="AO160" s="261">
        <f>FMS_Ranking4[[#This Row],[ArcSinh Res struct removed 0-10]]*AN$5*10</f>
        <v>0</v>
      </c>
      <c r="AP160" s="260">
        <f>ASINH(FMS_Ranking4[[#This Row],[Residential Structures Removed Raw]])/AP$4*AN$5*100</f>
        <v>0</v>
      </c>
      <c r="AQ160" s="254">
        <f>(ASINH(FMS_Ranking4[[#This Row],[Residential Structures Removed Raw]]))*(10)/(ASINH(AN$4))</f>
        <v>0</v>
      </c>
      <c r="AR160" s="253">
        <f>_xlfn.XLOOKUP(FMS_Ranking4[[#This Row],[FMS ID]],FMS_Input[FMS_ID],FMS_Input[REMPOP100])</f>
        <v>0</v>
      </c>
      <c r="AS160" s="259">
        <f>(ASINH(FMS_Ranking4[[#This Row],[Removed Pop Raw]]))*(10)/(ASINH(AR$4))</f>
        <v>0</v>
      </c>
      <c r="AT160" s="262">
        <f>FMS_Ranking4[[#This Row],[Removed population, ArcSinh (0-10)]]*AR$5*10</f>
        <v>0</v>
      </c>
      <c r="AU160" s="264">
        <f>_xlfn.XLOOKUP(FMS_Ranking4[[#This Row],[FMS ID]],FMS_Input[FMS_ID],FMS_Input[REMCRITFAC100])</f>
        <v>0</v>
      </c>
      <c r="AV160" s="264">
        <f>_xlfn.XLOOKUP(FMS_Ranking4[[#This Row],[FMS ID]],FMS_Input[FMS_ID],FMS_Input[REMLWC100])</f>
        <v>0</v>
      </c>
      <c r="AW160" s="264">
        <f>_xlfn.XLOOKUP(FMS_Ranking4[[#This Row],[FMS ID]],FMS_Input[FMS_ID],FMS_Input[REMROADCLS])</f>
        <v>0</v>
      </c>
      <c r="AX160" s="264">
        <f>_xlfn.XLOOKUP(FMS_Ranking4[[#This Row],[FMS ID]],FMS_Input[FMS_ID],FMS_Input[REMFRMACRE100])</f>
        <v>0</v>
      </c>
      <c r="AY160" s="258">
        <f>_xlfn.XLOOKUP(FMS_Ranking4[[#This Row],[FMS ID]],FMS_Input[FMS_ID],FMS_Input[COSTSTRUCT])</f>
        <v>0</v>
      </c>
      <c r="AZ160" s="253">
        <f>_xlfn.XLOOKUP(FMS_Ranking4[[#This Row],[FMS ID]],FMS_Input[FMS_ID],FMS_Input[NATURE])</f>
        <v>0</v>
      </c>
      <c r="BA160" s="262">
        <f>(((FMS_Ranking4[[#This Row],[% NBS Raw]]/AZ$4)*100)*AZ$5)</f>
        <v>0</v>
      </c>
      <c r="BB160" s="251" t="str">
        <f>_xlfn.XLOOKUP(FMS_Ranking4[[#This Row],[FMS ID]],FMS_Input[FMS_ID],FMS_Input[WATER_SUP])</f>
        <v>No</v>
      </c>
      <c r="BC160" s="265">
        <f>IF(FMS_Ranking4[[#This Row],[Water Supply Raw]]="Yes",10,0)</f>
        <v>0</v>
      </c>
      <c r="BD160" s="266">
        <f>_xlfn.XLOOKUP(FMS_Ranking4[[#This Row],[FMS Type]],FMS_TYPE[FMS_Type],FMS_TYPE[Score])</f>
        <v>4</v>
      </c>
      <c r="BE160" s="267">
        <f>FMS_Ranking4[[#This Row],[FMS_Type Score]]*$BD$5*10</f>
        <v>1</v>
      </c>
      <c r="BF16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0.83593507027171055</v>
      </c>
      <c r="BG160" s="271">
        <f>_xlfn.RANK.EQ(BF160,$BF$8:$BF$870,0)+COUNTIF($BF$8:BF160,BF160)-1</f>
        <v>163</v>
      </c>
      <c r="BH160" s="268">
        <f>(((FMS_Ranking4[[#This Row],[Structures Removed Raw]]/AK$4)*100)*AK$5)+(((FMS_Ranking4[[#This Row],[Removed Pop Raw]]/AR$4)*100)*AR$5)</f>
        <v>0</v>
      </c>
      <c r="BI16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1.8359350702717105</v>
      </c>
      <c r="BJ160" s="205">
        <f>_xlfn.RANK.EQ(FMS_Ranking4[[#This Row],[Total Score 
(with linear
normalization)]],FMS_Ranking4[Total Score 
(with linear
normalization)],0)</f>
        <v>537</v>
      </c>
      <c r="BK160" s="205" t="e">
        <f>_xlfn.XLOOKUP(FMS_Ranking4[[#This Row],[FMS ID]],#REF!,#REF!)</f>
        <v>#REF!</v>
      </c>
      <c r="BL16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32.962880405656044</v>
      </c>
      <c r="BM160" s="272">
        <f>FMS_Ranking4[[#This Row],[ArcSinh Score Based on Normalized Reported Factors]]+FMS_Ranking4[[#This Row],[% NBS Score (Normalized)]]+(FMS_Ranking4[[#This Row],[Water Supply Score (Normalized)]]*10*$BB$5)+FMS_Ranking4[[#This Row],[FMS_Type Score Weighted]]</f>
        <v>33.962880405656044</v>
      </c>
      <c r="BN160" s="205">
        <f>_xlfn.RANK.EQ(FMS_Ranking4[[#This Row],[Total Score (with ArcSinh normalization of select criteria)]],FMS_Ranking4[Total Score (with ArcSinh normalization of select criteria)],0)</f>
        <v>152</v>
      </c>
      <c r="BO160" s="270" t="str">
        <f>_xlfn.XLOOKUP(FMS_Ranking4[[#This Row],[FMS ID]],FMS_Input[FMS_ID],FMS_Input[FMS_RANK_YEAR])</f>
        <v>2023 Amended Plan</v>
      </c>
      <c r="BP160" s="204">
        <f>_xlfn.XLOOKUP(FMS_Ranking4[[#This Row],[FMS ID]],Prev_Rank[FMS ID],Prev_Rank[Prev Rank])</f>
        <v>129</v>
      </c>
      <c r="BQ160" s="205" t="e">
        <f>_xlfn.XLOOKUP(FMS_Ranking4[[#This Row],[FMS ID]],#REF!,#REF!)</f>
        <v>#REF!</v>
      </c>
      <c r="BR160" s="199" t="e">
        <f>SUM(#REF!,#REF!,#REF!,#REF!,#REF!,#REF!,#REF!,#REF!,#REF!,FMS_Ranking4[[#This Row],[ArcSinh Res struct removed 0-10]],#REF!)</f>
        <v>#REF!</v>
      </c>
      <c r="BS160" s="199" t="e">
        <f>FMS_Ranking4[[#This Row],[Log Score Based on Normalized Reported Factors]]+FMS_Ranking4[[#This Row],[% NBS Score (Normalized)]]+(FMS_Ranking4[[#This Row],[Water Supply Score (Normalized)]]*10*$BB$5)+(FMS_Ranking4[[#This Row],[FMS_Type Score Weighted]])</f>
        <v>#REF!</v>
      </c>
      <c r="BT160" s="200" t="e">
        <f>_xlfn.RANK.EQ(FMS_Ranking4[[#This Row],[Log Total Score]],FMS_Ranking4[Log Total Score],0)</f>
        <v>#REF!</v>
      </c>
      <c r="BU160" s="200" t="e">
        <f>_xlfn.XLOOKUP(FMS_Ranking4[[#This Row],[FMS ID]],#REF!,#REF!)</f>
        <v>#REF!</v>
      </c>
      <c r="BV160" s="200">
        <f>FMS_Ranking4[[#This Row],[Region Number]]</f>
        <v>5</v>
      </c>
      <c r="BW160" s="200">
        <f>FMS_Ranking4[[#This Row],[Rank (with ArcSinh normalization of select criteria)]]-FMS_Ranking4[[#This Row],[Rank
(with linear
normalization)]]</f>
        <v>-385</v>
      </c>
      <c r="BX160" s="200" t="e">
        <f>FMS_Ranking4[[#This Row],[Log Rank]]-FMS_Ranking4[[#This Row],[Rank
(with linear
normalization)]]</f>
        <v>#REF!</v>
      </c>
      <c r="BY160" s="200" t="str">
        <f>IF(FMS_Ranking4[[#This Row],[FMS Type]]="Flood Measurement and Warning",FMS_Ranking4[[#This Row],[Rank (with ArcSinh normalization of select criteria)]],"")</f>
        <v/>
      </c>
      <c r="BZ160" s="200" t="str">
        <f>IF(FMS_Ranking4[[#This Row],[FMS Type]]="Regulatory and Guidance",FMS_Ranking4[[#This Row],[Rank (with ArcSinh normalization of select criteria)]],"")</f>
        <v/>
      </c>
      <c r="CA160" s="200" t="str">
        <f>IF(FMS_Ranking4[[#This Row],[FMS Type]]="Education and Outreach",FMS_Ranking4[[#This Row],[Rank (with ArcSinh normalization of select criteria)]],"")</f>
        <v/>
      </c>
      <c r="CB160" s="200" t="str">
        <f>IF(FMS_Ranking4[[#This Row],[FMS Type]]="Property Acquisition and Structural Elevation",FMS_Ranking4[[#This Row],[Rank (with ArcSinh normalization of select criteria)]],"")</f>
        <v/>
      </c>
      <c r="CC160" s="200">
        <f>IF(FMS_Ranking4[[#This Row],[FMS Type]]="Infrastructure Projects",FMS_Ranking4[[#This Row],[Rank (with ArcSinh normalization of select criteria)]],"")</f>
        <v>152</v>
      </c>
      <c r="CD160" s="200" t="str">
        <f>IF(FMS_Ranking4[[#This Row],[FMS Type]]="Other",FMS_Ranking4[[#This Row],[Rank (with ArcSinh normalization of select criteria)]],"")</f>
        <v/>
      </c>
      <c r="CE160" s="201"/>
      <c r="CF160" s="206"/>
      <c r="CG160" s="206"/>
      <c r="CH160" s="206"/>
      <c r="CI160" s="206"/>
      <c r="CJ160" s="206"/>
      <c r="CK160" s="206"/>
      <c r="CL160" s="206"/>
      <c r="CM160" s="206"/>
      <c r="CN160" s="206"/>
      <c r="CO160" s="206"/>
      <c r="CP160" s="206"/>
      <c r="CQ160" s="206"/>
      <c r="CR160" s="206"/>
    </row>
    <row r="161" spans="2:96" ht="90" x14ac:dyDescent="0.25">
      <c r="B161" s="341" t="s">
        <v>2956</v>
      </c>
      <c r="C161" s="246">
        <f>_xlfn.XLOOKUP(FMS_Ranking4[[#This Row],[FMS ID]],FMS_Input[FMS_ID],FMS_Input[RFPG_NUM])</f>
        <v>5</v>
      </c>
      <c r="D161" s="309" t="str">
        <f>_xlfn.XLOOKUP(FMS_Ranking4[[#This Row],[FMS ID]],FMS_Input[FMS_ID],FMS_Input[FMS_NAME])</f>
        <v>Hardin County Detention Ponds</v>
      </c>
      <c r="E161" s="308" t="str">
        <f>_xlfn.XLOOKUP(FMS_Ranking4[[#This Row],[FMS ID]],FMS_Input[FMS_ID],FMS_Input[SPONSOR])</f>
        <v>00000035</v>
      </c>
      <c r="F161" s="309" t="str">
        <f>_xlfn.XLOOKUP(FMS_Ranking4[[#This Row],[FMS ID]],Sponsor[FMS_ID],Sponsor[SPONSOR NAME])</f>
        <v>Hardin</v>
      </c>
      <c r="G161" s="309" t="str">
        <f>_xlfn.XLOOKUP(FMS_Ranking4[[#This Row],[FMS ID]],FMS_Input[FMS_ID],FMS_Input[FMS_DESCR])</f>
        <v>Develop a program to construct water retention ponds to collect stormwater run-off, reduce flooding, and use as an alternate water source throughout Hardin County.</v>
      </c>
      <c r="H161" s="248" t="str">
        <f>_xlfn.XLOOKUP(FMS_Ranking4[[#This Row],[FMS ID]],FMS_Input[FMS_ID],FMS_Input[FMS_TYPE])</f>
        <v>Infrastructure Projects</v>
      </c>
      <c r="I161" s="249">
        <f>_xlfn.XLOOKUP(FMS_Ranking4[[#This Row],[FMS ID]],FMS_Input[FMS_ID],FMS_Input[NRNC_COST])</f>
        <v>200000</v>
      </c>
      <c r="J161" s="250">
        <f>_xlfn.XLOOKUP(FMS_Ranking4[[#This Row],[FMS ID]],FMS_Input[FMS_ID],FMS_Input[FMS_COST])</f>
        <v>1000000</v>
      </c>
      <c r="K161" s="251" t="str">
        <f>_xlfn.XLOOKUP(FMS_Ranking4[[#This Row],[FMS ID]],FMS_Input[FMS_ID],FMS_Input[EMER_NEED])</f>
        <v>Yes</v>
      </c>
      <c r="L161" s="252">
        <f t="shared" si="2"/>
        <v>1</v>
      </c>
      <c r="M161" s="253">
        <f>_xlfn.XLOOKUP(FMS_Ranking4[[#This Row],[FMS ID]],FMS_Input[FMS_ID],FMS_Input[STRUCT_100])</f>
        <v>3678</v>
      </c>
      <c r="N161" s="255">
        <f>(ASINH(FMS_Ranking4[[#This Row],[Structure at Risk Raw]]))*(10)/(ASINH(M$4))</f>
        <v>6.999297120630481</v>
      </c>
      <c r="O161" s="256">
        <f>FMS_Ranking4[[#This Row],[Structures at risk, ArcSinh (0-10)]]*M$5*10</f>
        <v>6.999297120630481</v>
      </c>
      <c r="P161" s="253">
        <f>_xlfn.XLOOKUP(FMS_Ranking4[[#This Row],[FMS ID]],FMS_Input[FMS_ID],FMS_Input[RES_STRUCT100])</f>
        <v>2638</v>
      </c>
      <c r="Q161" s="257">
        <f>ASINH(FMS_Ranking4[[#This Row],[Res Structure Raw]])/Q$4*P$5*100</f>
        <v>0</v>
      </c>
      <c r="R161" s="253">
        <f>_xlfn.XLOOKUP(FMS_Ranking4[[#This Row],[FMS ID]],FMS_Input[FMS_ID],FMS_Input[POP100])</f>
        <v>10528</v>
      </c>
      <c r="S161" s="259">
        <f>(ASINH(FMS_Ranking4[[#This Row],[Pop at Risk Raw]]))*(10)/(ASINH(R$4))</f>
        <v>6.8724752154145294</v>
      </c>
      <c r="T161" s="256">
        <f>FMS_Ranking4[[#This Row],[Population at risk, ArcSinh (0-10)]]*R$5*10</f>
        <v>6.8724752154145294</v>
      </c>
      <c r="U161" s="253">
        <f>_xlfn.XLOOKUP(FMS_Ranking4[[#This Row],[FMS ID]],FMS_Input[FMS_ID],FMS_Input[CRITFAC100])</f>
        <v>25</v>
      </c>
      <c r="V161" s="259">
        <f>(ASINH(FMS_Ranking4[[#This Row],[Critical Facilities Raw]]))*(10)/(ASINH(U$4))</f>
        <v>4.631385765532567</v>
      </c>
      <c r="W161" s="256">
        <f>FMS_Ranking4[[#This Row],[Critical facilities at risk, ArcSinh (0-10)]]*U$5*10</f>
        <v>4.631385765532567</v>
      </c>
      <c r="X161" s="253">
        <f>_xlfn.XLOOKUP(FMS_Ranking4[[#This Row],[FMS ID]],FMS_Input[FMS_ID],FMS_Input[LWC])</f>
        <v>13</v>
      </c>
      <c r="Y161" s="259">
        <f>(ASINH(FMS_Ranking4[[#This Row],[LWC Raw]]))*(10)/(ASINH(X$4))</f>
        <v>4.4158660820509805</v>
      </c>
      <c r="Z161" s="256">
        <f>FMS_Ranking4[[#This Row],[LWC, ArcSInh (0-10)]]*X$5*10</f>
        <v>4.4158660820509805</v>
      </c>
      <c r="AA161" s="253">
        <f>_xlfn.XLOOKUP(FMS_Ranking4[[#This Row],[FMS ID]],FMS_Input[FMS_ID],FMS_Input[ROADCLS])</f>
        <v>13</v>
      </c>
      <c r="AB161" s="255">
        <f>(ASINH(FMS_Ranking4[[#This Row],[Road Closures Raw]]))*(10)/(ASINH(AA$4))</f>
        <v>3.3945456436207171</v>
      </c>
      <c r="AC161" s="256">
        <f>FMS_Ranking4[[#This Row],[Road closures, ArcSinh (0-10)]]*AA$5*10</f>
        <v>1.6972728218103585</v>
      </c>
      <c r="AD161" s="253">
        <f>_xlfn.XLOOKUP(FMS_Ranking4[[#This Row],[FMS ID]],FMS_Input[FMS_ID],FMS_Input[ROAD_MILES100])</f>
        <v>136</v>
      </c>
      <c r="AE161" s="259">
        <f>(ASINH(FMS_Ranking4[[#This Row],[Road Miles Raw]]))*(10)/(ASINH(AD$4))</f>
        <v>5.9742571151320423</v>
      </c>
      <c r="AF161" s="256">
        <f>FMS_Ranking4[[#This Row],[Length of roads at risk, ArcSinh (0-10)]]*AD$5*10</f>
        <v>5.9742571151320423</v>
      </c>
      <c r="AG161" s="253">
        <f>_xlfn.XLOOKUP(FMS_Ranking4[[#This Row],[FMS ID]],FMS_Input[FMS_ID],FMS_Input[FARMACRE100])</f>
        <v>743.241455078125</v>
      </c>
      <c r="AH161" s="255">
        <f>(ASINH(FMS_Ranking4[[#This Row],[Ag Land Raw]]))*(10)/(ASINH(AG$4))</f>
        <v>4.7446525701701683</v>
      </c>
      <c r="AI161" s="260">
        <f>FMS_Ranking4[[#This Row],[Farm &amp; ranch land, ArcSinh (0-10)]]*AG$5*10</f>
        <v>2.3723262850850841</v>
      </c>
      <c r="AJ161" s="258">
        <f>_xlfn.XLOOKUP(FMS_Ranking4[[#This Row],[FMS ID]],FMS_Input[FMS_ID],FMS_Input[REDSTRUCT100])</f>
        <v>0</v>
      </c>
      <c r="AK161" s="253">
        <f>_xlfn.XLOOKUP(FMS_Ranking4[[#This Row],[FMS ID]],FMS_Input[FMS_ID],FMS_Input[REMSTRC100])</f>
        <v>0</v>
      </c>
      <c r="AL161" s="259">
        <f>(ASINH(FMS_Ranking4[[#This Row],[Structures Removed Raw]]))*(10)/(ASINH(AK$4))</f>
        <v>0</v>
      </c>
      <c r="AM161" s="262">
        <f>FMS_Ranking4[[#This Row],[Structures removed, ArcSinh (0-10)]]*AK$5*10</f>
        <v>0</v>
      </c>
      <c r="AN161" s="253">
        <f>_xlfn.XLOOKUP(FMS_Ranking4[[#This Row],[FMS ID]],FMS_Input[FMS_ID],FMS_Input[REMRESSTRC100])</f>
        <v>0</v>
      </c>
      <c r="AO161" s="261">
        <f>FMS_Ranking4[[#This Row],[ArcSinh Res struct removed 0-10]]*AN$5*10</f>
        <v>0</v>
      </c>
      <c r="AP161" s="260">
        <f>ASINH(FMS_Ranking4[[#This Row],[Residential Structures Removed Raw]])/AP$4*AN$5*100</f>
        <v>0</v>
      </c>
      <c r="AQ161" s="254">
        <f>(ASINH(FMS_Ranking4[[#This Row],[Residential Structures Removed Raw]]))*(10)/(ASINH(AN$4))</f>
        <v>0</v>
      </c>
      <c r="AR161" s="253">
        <f>_xlfn.XLOOKUP(FMS_Ranking4[[#This Row],[FMS ID]],FMS_Input[FMS_ID],FMS_Input[REMPOP100])</f>
        <v>0</v>
      </c>
      <c r="AS161" s="259">
        <f>(ASINH(FMS_Ranking4[[#This Row],[Removed Pop Raw]]))*(10)/(ASINH(AR$4))</f>
        <v>0</v>
      </c>
      <c r="AT161" s="262">
        <f>FMS_Ranking4[[#This Row],[Removed population, ArcSinh (0-10)]]*AR$5*10</f>
        <v>0</v>
      </c>
      <c r="AU161" s="264">
        <f>_xlfn.XLOOKUP(FMS_Ranking4[[#This Row],[FMS ID]],FMS_Input[FMS_ID],FMS_Input[REMCRITFAC100])</f>
        <v>0</v>
      </c>
      <c r="AV161" s="264">
        <f>_xlfn.XLOOKUP(FMS_Ranking4[[#This Row],[FMS ID]],FMS_Input[FMS_ID],FMS_Input[REMLWC100])</f>
        <v>0</v>
      </c>
      <c r="AW161" s="264">
        <f>_xlfn.XLOOKUP(FMS_Ranking4[[#This Row],[FMS ID]],FMS_Input[FMS_ID],FMS_Input[REMROADCLS])</f>
        <v>0</v>
      </c>
      <c r="AX161" s="264">
        <f>_xlfn.XLOOKUP(FMS_Ranking4[[#This Row],[FMS ID]],FMS_Input[FMS_ID],FMS_Input[REMFRMACRE100])</f>
        <v>0</v>
      </c>
      <c r="AY161" s="258">
        <f>_xlfn.XLOOKUP(FMS_Ranking4[[#This Row],[FMS ID]],FMS_Input[FMS_ID],FMS_Input[COSTSTRUCT])</f>
        <v>0</v>
      </c>
      <c r="AZ161" s="253">
        <f>_xlfn.XLOOKUP(FMS_Ranking4[[#This Row],[FMS ID]],FMS_Input[FMS_ID],FMS_Input[NATURE])</f>
        <v>0</v>
      </c>
      <c r="BA161" s="262">
        <f>(((FMS_Ranking4[[#This Row],[% NBS Raw]]/AZ$4)*100)*AZ$5)</f>
        <v>0</v>
      </c>
      <c r="BB161" s="251" t="str">
        <f>_xlfn.XLOOKUP(FMS_Ranking4[[#This Row],[FMS ID]],FMS_Input[FMS_ID],FMS_Input[WATER_SUP])</f>
        <v>No</v>
      </c>
      <c r="BC161" s="265">
        <f>IF(FMS_Ranking4[[#This Row],[Water Supply Raw]]="Yes",10,0)</f>
        <v>0</v>
      </c>
      <c r="BD161" s="266">
        <f>_xlfn.XLOOKUP(FMS_Ranking4[[#This Row],[FMS Type]],FMS_TYPE[FMS_Type],FMS_TYPE[Score])</f>
        <v>4</v>
      </c>
      <c r="BE161" s="267">
        <f>FMS_Ranking4[[#This Row],[FMS_Type Score]]*$BD$5*10</f>
        <v>1</v>
      </c>
      <c r="BF16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0.83593507027171055</v>
      </c>
      <c r="BG161" s="271">
        <f>_xlfn.RANK.EQ(BF161,$BF$8:$BF$870,0)+COUNTIF($BF$8:BF161,BF161)-1</f>
        <v>164</v>
      </c>
      <c r="BH161" s="268">
        <f>(((FMS_Ranking4[[#This Row],[Structures Removed Raw]]/AK$4)*100)*AK$5)+(((FMS_Ranking4[[#This Row],[Removed Pop Raw]]/AR$4)*100)*AR$5)</f>
        <v>0</v>
      </c>
      <c r="BI16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1.8359350702717105</v>
      </c>
      <c r="BJ161" s="205">
        <f>_xlfn.RANK.EQ(FMS_Ranking4[[#This Row],[Total Score 
(with linear
normalization)]],FMS_Ranking4[Total Score 
(with linear
normalization)],0)</f>
        <v>537</v>
      </c>
      <c r="BK161" s="205" t="e">
        <f>_xlfn.XLOOKUP(FMS_Ranking4[[#This Row],[FMS ID]],#REF!,#REF!)</f>
        <v>#REF!</v>
      </c>
      <c r="BL16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32.962880405656044</v>
      </c>
      <c r="BM161" s="272">
        <f>FMS_Ranking4[[#This Row],[ArcSinh Score Based on Normalized Reported Factors]]+FMS_Ranking4[[#This Row],[% NBS Score (Normalized)]]+(FMS_Ranking4[[#This Row],[Water Supply Score (Normalized)]]*10*$BB$5)+FMS_Ranking4[[#This Row],[FMS_Type Score Weighted]]</f>
        <v>33.962880405656044</v>
      </c>
      <c r="BN161" s="205">
        <f>_xlfn.RANK.EQ(FMS_Ranking4[[#This Row],[Total Score (with ArcSinh normalization of select criteria)]],FMS_Ranking4[Total Score (with ArcSinh normalization of select criteria)],0)</f>
        <v>152</v>
      </c>
      <c r="BO161" s="270" t="str">
        <f>_xlfn.XLOOKUP(FMS_Ranking4[[#This Row],[FMS ID]],FMS_Input[FMS_ID],FMS_Input[FMS_RANK_YEAR])</f>
        <v>2023 Amended Plan</v>
      </c>
      <c r="BP161" s="204">
        <f>_xlfn.XLOOKUP(FMS_Ranking4[[#This Row],[FMS ID]],Prev_Rank[FMS ID],Prev_Rank[Prev Rank])</f>
        <v>129</v>
      </c>
      <c r="BQ161" s="205" t="e">
        <f>_xlfn.XLOOKUP(FMS_Ranking4[[#This Row],[FMS ID]],#REF!,#REF!)</f>
        <v>#REF!</v>
      </c>
      <c r="BR161" s="199" t="e">
        <f>SUM(#REF!,#REF!,#REF!,#REF!,#REF!,#REF!,#REF!,#REF!,#REF!,FMS_Ranking4[[#This Row],[ArcSinh Res struct removed 0-10]],#REF!)</f>
        <v>#REF!</v>
      </c>
      <c r="BS161" s="199" t="e">
        <f>FMS_Ranking4[[#This Row],[Log Score Based on Normalized Reported Factors]]+FMS_Ranking4[[#This Row],[% NBS Score (Normalized)]]+(FMS_Ranking4[[#This Row],[Water Supply Score (Normalized)]]*10*$BB$5)+(FMS_Ranking4[[#This Row],[FMS_Type Score Weighted]])</f>
        <v>#REF!</v>
      </c>
      <c r="BT161" s="200" t="e">
        <f>_xlfn.RANK.EQ(FMS_Ranking4[[#This Row],[Log Total Score]],FMS_Ranking4[Log Total Score],0)</f>
        <v>#REF!</v>
      </c>
      <c r="BU161" s="200" t="e">
        <f>_xlfn.XLOOKUP(FMS_Ranking4[[#This Row],[FMS ID]],#REF!,#REF!)</f>
        <v>#REF!</v>
      </c>
      <c r="BV161" s="200">
        <f>FMS_Ranking4[[#This Row],[Region Number]]</f>
        <v>5</v>
      </c>
      <c r="BW161" s="200">
        <f>FMS_Ranking4[[#This Row],[Rank (with ArcSinh normalization of select criteria)]]-FMS_Ranking4[[#This Row],[Rank
(with linear
normalization)]]</f>
        <v>-385</v>
      </c>
      <c r="BX161" s="200" t="e">
        <f>FMS_Ranking4[[#This Row],[Log Rank]]-FMS_Ranking4[[#This Row],[Rank
(with linear
normalization)]]</f>
        <v>#REF!</v>
      </c>
      <c r="BY161" s="200" t="str">
        <f>IF(FMS_Ranking4[[#This Row],[FMS Type]]="Flood Measurement and Warning",FMS_Ranking4[[#This Row],[Rank (with ArcSinh normalization of select criteria)]],"")</f>
        <v/>
      </c>
      <c r="BZ161" s="200" t="str">
        <f>IF(FMS_Ranking4[[#This Row],[FMS Type]]="Regulatory and Guidance",FMS_Ranking4[[#This Row],[Rank (with ArcSinh normalization of select criteria)]],"")</f>
        <v/>
      </c>
      <c r="CA161" s="200" t="str">
        <f>IF(FMS_Ranking4[[#This Row],[FMS Type]]="Education and Outreach",FMS_Ranking4[[#This Row],[Rank (with ArcSinh normalization of select criteria)]],"")</f>
        <v/>
      </c>
      <c r="CB161" s="200" t="str">
        <f>IF(FMS_Ranking4[[#This Row],[FMS Type]]="Property Acquisition and Structural Elevation",FMS_Ranking4[[#This Row],[Rank (with ArcSinh normalization of select criteria)]],"")</f>
        <v/>
      </c>
      <c r="CC161" s="200">
        <f>IF(FMS_Ranking4[[#This Row],[FMS Type]]="Infrastructure Projects",FMS_Ranking4[[#This Row],[Rank (with ArcSinh normalization of select criteria)]],"")</f>
        <v>152</v>
      </c>
      <c r="CD161" s="200" t="str">
        <f>IF(FMS_Ranking4[[#This Row],[FMS Type]]="Other",FMS_Ranking4[[#This Row],[Rank (with ArcSinh normalization of select criteria)]],"")</f>
        <v/>
      </c>
      <c r="CE161" s="201"/>
      <c r="CF161" s="206"/>
      <c r="CG161" s="206"/>
      <c r="CH161" s="206"/>
      <c r="CI161" s="206"/>
      <c r="CJ161" s="206"/>
      <c r="CK161" s="206"/>
      <c r="CL161" s="206"/>
      <c r="CM161" s="206"/>
      <c r="CN161" s="206"/>
      <c r="CO161" s="206"/>
      <c r="CP161" s="206"/>
      <c r="CQ161" s="206"/>
      <c r="CR161" s="206"/>
    </row>
    <row r="162" spans="2:96" ht="60" x14ac:dyDescent="0.25">
      <c r="B162" s="341" t="s">
        <v>2943</v>
      </c>
      <c r="C162" s="246">
        <f>_xlfn.XLOOKUP(FMS_Ranking4[[#This Row],[FMS ID]],FMS_Input[FMS_ID],FMS_Input[RFPG_NUM])</f>
        <v>5</v>
      </c>
      <c r="D162" s="309" t="str">
        <f>_xlfn.XLOOKUP(FMS_Ranking4[[#This Row],[FMS ID]],FMS_Input[FMS_ID],FMS_Input[FMS_NAME])</f>
        <v>Hardin County Voluntary Residential Structure Elevation</v>
      </c>
      <c r="E162" s="308" t="str">
        <f>_xlfn.XLOOKUP(FMS_Ranking4[[#This Row],[FMS ID]],FMS_Input[FMS_ID],FMS_Input[SPONSOR])</f>
        <v>00000035</v>
      </c>
      <c r="F162" s="309" t="str">
        <f>_xlfn.XLOOKUP(FMS_Ranking4[[#This Row],[FMS ID]],Sponsor[FMS_ID],Sponsor[SPONSOR NAME])</f>
        <v>Hardin</v>
      </c>
      <c r="G162" s="309" t="str">
        <f>_xlfn.XLOOKUP(FMS_Ranking4[[#This Row],[FMS ID]],FMS_Input[FMS_ID],FMS_Input[FMS_DESCR])</f>
        <v>Voluntary elevations of flood prone properties in Hardin County.</v>
      </c>
      <c r="H162" s="248" t="str">
        <f>_xlfn.XLOOKUP(FMS_Ranking4[[#This Row],[FMS ID]],FMS_Input[FMS_ID],FMS_Input[FMS_TYPE])</f>
        <v>Property Acquisition and Structural Elevation</v>
      </c>
      <c r="I162" s="249">
        <f>_xlfn.XLOOKUP(FMS_Ranking4[[#This Row],[FMS ID]],FMS_Input[FMS_ID],FMS_Input[NRNC_COST])</f>
        <v>140000</v>
      </c>
      <c r="J162" s="250">
        <f>_xlfn.XLOOKUP(FMS_Ranking4[[#This Row],[FMS ID]],FMS_Input[FMS_ID],FMS_Input[FMS_COST])</f>
        <v>7500000</v>
      </c>
      <c r="K162" s="251" t="str">
        <f>_xlfn.XLOOKUP(FMS_Ranking4[[#This Row],[FMS ID]],FMS_Input[FMS_ID],FMS_Input[EMER_NEED])</f>
        <v>Yes</v>
      </c>
      <c r="L162" s="252">
        <f t="shared" si="2"/>
        <v>1</v>
      </c>
      <c r="M162" s="253">
        <f>_xlfn.XLOOKUP(FMS_Ranking4[[#This Row],[FMS ID]],FMS_Input[FMS_ID],FMS_Input[STRUCT_100])</f>
        <v>3678</v>
      </c>
      <c r="N162" s="255">
        <f>(ASINH(FMS_Ranking4[[#This Row],[Structure at Risk Raw]]))*(10)/(ASINH(M$4))</f>
        <v>6.999297120630481</v>
      </c>
      <c r="O162" s="256">
        <f>FMS_Ranking4[[#This Row],[Structures at risk, ArcSinh (0-10)]]*M$5*10</f>
        <v>6.999297120630481</v>
      </c>
      <c r="P162" s="253">
        <f>_xlfn.XLOOKUP(FMS_Ranking4[[#This Row],[FMS ID]],FMS_Input[FMS_ID],FMS_Input[RES_STRUCT100])</f>
        <v>2638</v>
      </c>
      <c r="Q162" s="257">
        <f>ASINH(FMS_Ranking4[[#This Row],[Res Structure Raw]])/Q$4*P$5*100</f>
        <v>0</v>
      </c>
      <c r="R162" s="253">
        <f>_xlfn.XLOOKUP(FMS_Ranking4[[#This Row],[FMS ID]],FMS_Input[FMS_ID],FMS_Input[POP100])</f>
        <v>10528</v>
      </c>
      <c r="S162" s="259">
        <f>(ASINH(FMS_Ranking4[[#This Row],[Pop at Risk Raw]]))*(10)/(ASINH(R$4))</f>
        <v>6.8724752154145294</v>
      </c>
      <c r="T162" s="256">
        <f>FMS_Ranking4[[#This Row],[Population at risk, ArcSinh (0-10)]]*R$5*10</f>
        <v>6.8724752154145294</v>
      </c>
      <c r="U162" s="253">
        <f>_xlfn.XLOOKUP(FMS_Ranking4[[#This Row],[FMS ID]],FMS_Input[FMS_ID],FMS_Input[CRITFAC100])</f>
        <v>25</v>
      </c>
      <c r="V162" s="259">
        <f>(ASINH(FMS_Ranking4[[#This Row],[Critical Facilities Raw]]))*(10)/(ASINH(U$4))</f>
        <v>4.631385765532567</v>
      </c>
      <c r="W162" s="256">
        <f>FMS_Ranking4[[#This Row],[Critical facilities at risk, ArcSinh (0-10)]]*U$5*10</f>
        <v>4.631385765532567</v>
      </c>
      <c r="X162" s="253">
        <f>_xlfn.XLOOKUP(FMS_Ranking4[[#This Row],[FMS ID]],FMS_Input[FMS_ID],FMS_Input[LWC])</f>
        <v>13</v>
      </c>
      <c r="Y162" s="259">
        <f>(ASINH(FMS_Ranking4[[#This Row],[LWC Raw]]))*(10)/(ASINH(X$4))</f>
        <v>4.4158660820509805</v>
      </c>
      <c r="Z162" s="256">
        <f>FMS_Ranking4[[#This Row],[LWC, ArcSInh (0-10)]]*X$5*10</f>
        <v>4.4158660820509805</v>
      </c>
      <c r="AA162" s="253">
        <f>_xlfn.XLOOKUP(FMS_Ranking4[[#This Row],[FMS ID]],FMS_Input[FMS_ID],FMS_Input[ROADCLS])</f>
        <v>13</v>
      </c>
      <c r="AB162" s="255">
        <f>(ASINH(FMS_Ranking4[[#This Row],[Road Closures Raw]]))*(10)/(ASINH(AA$4))</f>
        <v>3.3945456436207171</v>
      </c>
      <c r="AC162" s="256">
        <f>FMS_Ranking4[[#This Row],[Road closures, ArcSinh (0-10)]]*AA$5*10</f>
        <v>1.6972728218103585</v>
      </c>
      <c r="AD162" s="253">
        <f>_xlfn.XLOOKUP(FMS_Ranking4[[#This Row],[FMS ID]],FMS_Input[FMS_ID],FMS_Input[ROAD_MILES100])</f>
        <v>136</v>
      </c>
      <c r="AE162" s="259">
        <f>(ASINH(FMS_Ranking4[[#This Row],[Road Miles Raw]]))*(10)/(ASINH(AD$4))</f>
        <v>5.9742571151320423</v>
      </c>
      <c r="AF162" s="256">
        <f>FMS_Ranking4[[#This Row],[Length of roads at risk, ArcSinh (0-10)]]*AD$5*10</f>
        <v>5.9742571151320423</v>
      </c>
      <c r="AG162" s="253">
        <f>_xlfn.XLOOKUP(FMS_Ranking4[[#This Row],[FMS ID]],FMS_Input[FMS_ID],FMS_Input[FARMACRE100])</f>
        <v>743.241455078125</v>
      </c>
      <c r="AH162" s="255">
        <f>(ASINH(FMS_Ranking4[[#This Row],[Ag Land Raw]]))*(10)/(ASINH(AG$4))</f>
        <v>4.7446525701701683</v>
      </c>
      <c r="AI162" s="260">
        <f>FMS_Ranking4[[#This Row],[Farm &amp; ranch land, ArcSinh (0-10)]]*AG$5*10</f>
        <v>2.3723262850850841</v>
      </c>
      <c r="AJ162" s="258">
        <f>_xlfn.XLOOKUP(FMS_Ranking4[[#This Row],[FMS ID]],FMS_Input[FMS_ID],FMS_Input[REDSTRUCT100])</f>
        <v>0</v>
      </c>
      <c r="AK162" s="253">
        <f>_xlfn.XLOOKUP(FMS_Ranking4[[#This Row],[FMS ID]],FMS_Input[FMS_ID],FMS_Input[REMSTRC100])</f>
        <v>0</v>
      </c>
      <c r="AL162" s="259">
        <f>(ASINH(FMS_Ranking4[[#This Row],[Structures Removed Raw]]))*(10)/(ASINH(AK$4))</f>
        <v>0</v>
      </c>
      <c r="AM162" s="262">
        <f>FMS_Ranking4[[#This Row],[Structures removed, ArcSinh (0-10)]]*AK$5*10</f>
        <v>0</v>
      </c>
      <c r="AN162" s="253">
        <f>_xlfn.XLOOKUP(FMS_Ranking4[[#This Row],[FMS ID]],FMS_Input[FMS_ID],FMS_Input[REMRESSTRC100])</f>
        <v>0</v>
      </c>
      <c r="AO162" s="261">
        <f>FMS_Ranking4[[#This Row],[ArcSinh Res struct removed 0-10]]*AN$5*10</f>
        <v>0</v>
      </c>
      <c r="AP162" s="260">
        <f>ASINH(FMS_Ranking4[[#This Row],[Residential Structures Removed Raw]])/AP$4*AN$5*100</f>
        <v>0</v>
      </c>
      <c r="AQ162" s="254">
        <f>(ASINH(FMS_Ranking4[[#This Row],[Residential Structures Removed Raw]]))*(10)/(ASINH(AN$4))</f>
        <v>0</v>
      </c>
      <c r="AR162" s="253">
        <f>_xlfn.XLOOKUP(FMS_Ranking4[[#This Row],[FMS ID]],FMS_Input[FMS_ID],FMS_Input[REMPOP100])</f>
        <v>0</v>
      </c>
      <c r="AS162" s="259">
        <f>(ASINH(FMS_Ranking4[[#This Row],[Removed Pop Raw]]))*(10)/(ASINH(AR$4))</f>
        <v>0</v>
      </c>
      <c r="AT162" s="262">
        <f>FMS_Ranking4[[#This Row],[Removed population, ArcSinh (0-10)]]*AR$5*10</f>
        <v>0</v>
      </c>
      <c r="AU162" s="264">
        <f>_xlfn.XLOOKUP(FMS_Ranking4[[#This Row],[FMS ID]],FMS_Input[FMS_ID],FMS_Input[REMCRITFAC100])</f>
        <v>0</v>
      </c>
      <c r="AV162" s="264">
        <f>_xlfn.XLOOKUP(FMS_Ranking4[[#This Row],[FMS ID]],FMS_Input[FMS_ID],FMS_Input[REMLWC100])</f>
        <v>0</v>
      </c>
      <c r="AW162" s="264">
        <f>_xlfn.XLOOKUP(FMS_Ranking4[[#This Row],[FMS ID]],FMS_Input[FMS_ID],FMS_Input[REMROADCLS])</f>
        <v>0</v>
      </c>
      <c r="AX162" s="264">
        <f>_xlfn.XLOOKUP(FMS_Ranking4[[#This Row],[FMS ID]],FMS_Input[FMS_ID],FMS_Input[REMFRMACRE100])</f>
        <v>0</v>
      </c>
      <c r="AY162" s="258">
        <f>_xlfn.XLOOKUP(FMS_Ranking4[[#This Row],[FMS ID]],FMS_Input[FMS_ID],FMS_Input[COSTSTRUCT])</f>
        <v>0</v>
      </c>
      <c r="AZ162" s="253">
        <f>_xlfn.XLOOKUP(FMS_Ranking4[[#This Row],[FMS ID]],FMS_Input[FMS_ID],FMS_Input[NATURE])</f>
        <v>0</v>
      </c>
      <c r="BA162" s="262">
        <f>(((FMS_Ranking4[[#This Row],[% NBS Raw]]/AZ$4)*100)*AZ$5)</f>
        <v>0</v>
      </c>
      <c r="BB162" s="251" t="str">
        <f>_xlfn.XLOOKUP(FMS_Ranking4[[#This Row],[FMS ID]],FMS_Input[FMS_ID],FMS_Input[WATER_SUP])</f>
        <v>No</v>
      </c>
      <c r="BC162" s="265">
        <f>IF(FMS_Ranking4[[#This Row],[Water Supply Raw]]="Yes",10,0)</f>
        <v>0</v>
      </c>
      <c r="BD162" s="266">
        <f>_xlfn.XLOOKUP(FMS_Ranking4[[#This Row],[FMS Type]],FMS_TYPE[FMS_Type],FMS_TYPE[Score])</f>
        <v>4</v>
      </c>
      <c r="BE162" s="267">
        <f>FMS_Ranking4[[#This Row],[FMS_Type Score]]*$BD$5*10</f>
        <v>1</v>
      </c>
      <c r="BF16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0.83593507027171055</v>
      </c>
      <c r="BG162" s="271">
        <f>_xlfn.RANK.EQ(BF162,$BF$8:$BF$870,0)+COUNTIF($BF$8:BF162,BF162)-1</f>
        <v>165</v>
      </c>
      <c r="BH162" s="268">
        <f>(((FMS_Ranking4[[#This Row],[Structures Removed Raw]]/AK$4)*100)*AK$5)+(((FMS_Ranking4[[#This Row],[Removed Pop Raw]]/AR$4)*100)*AR$5)</f>
        <v>0</v>
      </c>
      <c r="BI16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1.8359350702717105</v>
      </c>
      <c r="BJ162" s="205">
        <f>_xlfn.RANK.EQ(FMS_Ranking4[[#This Row],[Total Score 
(with linear
normalization)]],FMS_Ranking4[Total Score 
(with linear
normalization)],0)</f>
        <v>537</v>
      </c>
      <c r="BK162" s="205" t="e">
        <f>_xlfn.XLOOKUP(FMS_Ranking4[[#This Row],[FMS ID]],#REF!,#REF!)</f>
        <v>#REF!</v>
      </c>
      <c r="BL16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32.962880405656044</v>
      </c>
      <c r="BM162" s="272">
        <f>FMS_Ranking4[[#This Row],[ArcSinh Score Based on Normalized Reported Factors]]+FMS_Ranking4[[#This Row],[% NBS Score (Normalized)]]+(FMS_Ranking4[[#This Row],[Water Supply Score (Normalized)]]*10*$BB$5)+FMS_Ranking4[[#This Row],[FMS_Type Score Weighted]]</f>
        <v>33.962880405656044</v>
      </c>
      <c r="BN162" s="205">
        <f>_xlfn.RANK.EQ(FMS_Ranking4[[#This Row],[Total Score (with ArcSinh normalization of select criteria)]],FMS_Ranking4[Total Score (with ArcSinh normalization of select criteria)],0)</f>
        <v>152</v>
      </c>
      <c r="BO162" s="270" t="str">
        <f>_xlfn.XLOOKUP(FMS_Ranking4[[#This Row],[FMS ID]],FMS_Input[FMS_ID],FMS_Input[FMS_RANK_YEAR])</f>
        <v>2023 Amended Plan</v>
      </c>
      <c r="BP162" s="204">
        <f>_xlfn.XLOOKUP(FMS_Ranking4[[#This Row],[FMS ID]],Prev_Rank[FMS ID],Prev_Rank[Prev Rank])</f>
        <v>129</v>
      </c>
      <c r="BQ162" s="205" t="e">
        <f>_xlfn.XLOOKUP(FMS_Ranking4[[#This Row],[FMS ID]],#REF!,#REF!)</f>
        <v>#REF!</v>
      </c>
      <c r="BR162" s="199" t="e">
        <f>SUM(#REF!,#REF!,#REF!,#REF!,#REF!,#REF!,#REF!,#REF!,#REF!,FMS_Ranking4[[#This Row],[ArcSinh Res struct removed 0-10]],#REF!)</f>
        <v>#REF!</v>
      </c>
      <c r="BS162" s="199" t="e">
        <f>FMS_Ranking4[[#This Row],[Log Score Based on Normalized Reported Factors]]+FMS_Ranking4[[#This Row],[% NBS Score (Normalized)]]+(FMS_Ranking4[[#This Row],[Water Supply Score (Normalized)]]*10*$BB$5)+(FMS_Ranking4[[#This Row],[FMS_Type Score Weighted]])</f>
        <v>#REF!</v>
      </c>
      <c r="BT162" s="200" t="e">
        <f>_xlfn.RANK.EQ(FMS_Ranking4[[#This Row],[Log Total Score]],FMS_Ranking4[Log Total Score],0)</f>
        <v>#REF!</v>
      </c>
      <c r="BU162" s="200" t="e">
        <f>_xlfn.XLOOKUP(FMS_Ranking4[[#This Row],[FMS ID]],#REF!,#REF!)</f>
        <v>#REF!</v>
      </c>
      <c r="BV162" s="200">
        <f>FMS_Ranking4[[#This Row],[Region Number]]</f>
        <v>5</v>
      </c>
      <c r="BW162" s="200">
        <f>FMS_Ranking4[[#This Row],[Rank (with ArcSinh normalization of select criteria)]]-FMS_Ranking4[[#This Row],[Rank
(with linear
normalization)]]</f>
        <v>-385</v>
      </c>
      <c r="BX162" s="200" t="e">
        <f>FMS_Ranking4[[#This Row],[Log Rank]]-FMS_Ranking4[[#This Row],[Rank
(with linear
normalization)]]</f>
        <v>#REF!</v>
      </c>
      <c r="BY162" s="200" t="str">
        <f>IF(FMS_Ranking4[[#This Row],[FMS Type]]="Flood Measurement and Warning",FMS_Ranking4[[#This Row],[Rank (with ArcSinh normalization of select criteria)]],"")</f>
        <v/>
      </c>
      <c r="BZ162" s="200" t="str">
        <f>IF(FMS_Ranking4[[#This Row],[FMS Type]]="Regulatory and Guidance",FMS_Ranking4[[#This Row],[Rank (with ArcSinh normalization of select criteria)]],"")</f>
        <v/>
      </c>
      <c r="CA162" s="200" t="str">
        <f>IF(FMS_Ranking4[[#This Row],[FMS Type]]="Education and Outreach",FMS_Ranking4[[#This Row],[Rank (with ArcSinh normalization of select criteria)]],"")</f>
        <v/>
      </c>
      <c r="CB162" s="200">
        <f>IF(FMS_Ranking4[[#This Row],[FMS Type]]="Property Acquisition and Structural Elevation",FMS_Ranking4[[#This Row],[Rank (with ArcSinh normalization of select criteria)]],"")</f>
        <v>152</v>
      </c>
      <c r="CC162" s="200" t="str">
        <f>IF(FMS_Ranking4[[#This Row],[FMS Type]]="Infrastructure Projects",FMS_Ranking4[[#This Row],[Rank (with ArcSinh normalization of select criteria)]],"")</f>
        <v/>
      </c>
      <c r="CD162" s="200" t="str">
        <f>IF(FMS_Ranking4[[#This Row],[FMS Type]]="Other",FMS_Ranking4[[#This Row],[Rank (with ArcSinh normalization of select criteria)]],"")</f>
        <v/>
      </c>
      <c r="CE162" s="201"/>
      <c r="CF162" s="206"/>
      <c r="CG162" s="206"/>
      <c r="CH162" s="206"/>
      <c r="CI162" s="206"/>
      <c r="CJ162" s="206"/>
      <c r="CK162" s="206"/>
      <c r="CL162" s="206"/>
      <c r="CM162" s="206"/>
      <c r="CN162" s="206"/>
      <c r="CO162" s="206"/>
      <c r="CP162" s="206"/>
      <c r="CQ162" s="206"/>
      <c r="CR162" s="206"/>
    </row>
    <row r="163" spans="2:96" ht="60" x14ac:dyDescent="0.25">
      <c r="B163" s="341" t="s">
        <v>4313</v>
      </c>
      <c r="C163" s="246">
        <f>_xlfn.XLOOKUP(FMS_Ranking4[[#This Row],[FMS ID]],FMS_Input[FMS_ID],FMS_Input[RFPG_NUM])</f>
        <v>15</v>
      </c>
      <c r="D163" s="309" t="str">
        <f>_xlfn.XLOOKUP(FMS_Ranking4[[#This Row],[FMS ID]],FMS_Input[FMS_ID],FMS_Input[FMS_NAME])</f>
        <v>City of Edinburg - Flood Warning System, planning, operation &amp; maintenance</v>
      </c>
      <c r="E163" s="308" t="str">
        <f>_xlfn.XLOOKUP(FMS_Ranking4[[#This Row],[FMS ID]],FMS_Input[FMS_ID],FMS_Input[SPONSOR])</f>
        <v>15000082</v>
      </c>
      <c r="F163" s="309" t="str">
        <f>_xlfn.XLOOKUP(FMS_Ranking4[[#This Row],[FMS ID]],Sponsor[FMS_ID],Sponsor[SPONSOR NAME])</f>
        <v>Edinburg</v>
      </c>
      <c r="G163" s="309" t="str">
        <f>_xlfn.XLOOKUP(FMS_Ranking4[[#This Row],[FMS ID]],FMS_Input[FMS_ID],FMS_Input[FMS_DESCR])</f>
        <v>Develop and Implement a Flood Warning System, planning, operation &amp; Maintenance plan</v>
      </c>
      <c r="H163" s="248" t="str">
        <f>_xlfn.XLOOKUP(FMS_Ranking4[[#This Row],[FMS ID]],FMS_Input[FMS_ID],FMS_Input[FMS_TYPE])</f>
        <v>Flood Measurement and Warning</v>
      </c>
      <c r="I163" s="249">
        <f>_xlfn.XLOOKUP(FMS_Ranking4[[#This Row],[FMS ID]],FMS_Input[FMS_ID],FMS_Input[NRNC_COST])</f>
        <v>600000</v>
      </c>
      <c r="J163" s="250">
        <f>_xlfn.XLOOKUP(FMS_Ranking4[[#This Row],[FMS ID]],FMS_Input[FMS_ID],FMS_Input[FMS_COST])</f>
        <v>5000000</v>
      </c>
      <c r="K163" s="251" t="str">
        <f>_xlfn.XLOOKUP(FMS_Ranking4[[#This Row],[FMS ID]],FMS_Input[FMS_ID],FMS_Input[EMER_NEED])</f>
        <v>Yes</v>
      </c>
      <c r="L163" s="252">
        <f t="shared" si="2"/>
        <v>1</v>
      </c>
      <c r="M163" s="253">
        <f>_xlfn.XLOOKUP(FMS_Ranking4[[#This Row],[FMS ID]],FMS_Input[FMS_ID],FMS_Input[STRUCT_100])</f>
        <v>16984</v>
      </c>
      <c r="N163" s="255">
        <f>(ASINH(FMS_Ranking4[[#This Row],[Structure at Risk Raw]]))*(10)/(ASINH(M$4))</f>
        <v>8.202028341613973</v>
      </c>
      <c r="O163" s="256">
        <f>FMS_Ranking4[[#This Row],[Structures at risk, ArcSinh (0-10)]]*M$5*10</f>
        <v>8.2020283416139748</v>
      </c>
      <c r="P163" s="253">
        <f>_xlfn.XLOOKUP(FMS_Ranking4[[#This Row],[FMS ID]],FMS_Input[FMS_ID],FMS_Input[RES_STRUCT100])</f>
        <v>14415</v>
      </c>
      <c r="Q163" s="257">
        <f>ASINH(FMS_Ranking4[[#This Row],[Res Structure Raw]])/Q$4*P$5*100</f>
        <v>0</v>
      </c>
      <c r="R163" s="253">
        <f>_xlfn.XLOOKUP(FMS_Ranking4[[#This Row],[FMS ID]],FMS_Input[FMS_ID],FMS_Input[POP100])</f>
        <v>89218</v>
      </c>
      <c r="S163" s="255">
        <f>(ASINH(FMS_Ranking4[[#This Row],[Pop at Risk Raw]]))*(10)/(ASINH(R$4))</f>
        <v>8.3478014039902284</v>
      </c>
      <c r="T163" s="256">
        <f>FMS_Ranking4[[#This Row],[Population at risk, ArcSinh (0-10)]]*R$5*10</f>
        <v>8.3478014039902284</v>
      </c>
      <c r="U163" s="253">
        <f>_xlfn.XLOOKUP(FMS_Ranking4[[#This Row],[FMS ID]],FMS_Input[FMS_ID],FMS_Input[CRITFAC100])</f>
        <v>13</v>
      </c>
      <c r="V163" s="255">
        <f>(ASINH(FMS_Ranking4[[#This Row],[Critical Facilities Raw]]))*(10)/(ASINH(U$4))</f>
        <v>3.8585650997055194</v>
      </c>
      <c r="W163" s="256">
        <f>FMS_Ranking4[[#This Row],[Critical facilities at risk, ArcSinh (0-10)]]*U$5*10</f>
        <v>3.8585650997055199</v>
      </c>
      <c r="X163" s="253">
        <f>_xlfn.XLOOKUP(FMS_Ranking4[[#This Row],[FMS ID]],FMS_Input[FMS_ID],FMS_Input[LWC])</f>
        <v>1</v>
      </c>
      <c r="Y163" s="255">
        <f>(ASINH(FMS_Ranking4[[#This Row],[LWC Raw]]))*(10)/(ASINH(X$4))</f>
        <v>1.1940300948531093</v>
      </c>
      <c r="Z163" s="256">
        <f>FMS_Ranking4[[#This Row],[LWC, ArcSInh (0-10)]]*X$5*10</f>
        <v>1.1940300948531093</v>
      </c>
      <c r="AA163" s="253">
        <f>_xlfn.XLOOKUP(FMS_Ranking4[[#This Row],[FMS ID]],FMS_Input[FMS_ID],FMS_Input[ROADCLS])</f>
        <v>0</v>
      </c>
      <c r="AB163" s="255">
        <f>(ASINH(FMS_Ranking4[[#This Row],[Road Closures Raw]]))*(10)/(ASINH(AA$4))</f>
        <v>0</v>
      </c>
      <c r="AC163" s="256">
        <f>FMS_Ranking4[[#This Row],[Road closures, ArcSinh (0-10)]]*AA$5*10</f>
        <v>0</v>
      </c>
      <c r="AD163" s="253">
        <f>_xlfn.XLOOKUP(FMS_Ranking4[[#This Row],[FMS ID]],FMS_Input[FMS_ID],FMS_Input[ROAD_MILES100])</f>
        <v>287</v>
      </c>
      <c r="AE163" s="255">
        <f>(ASINH(FMS_Ranking4[[#This Row],[Road Miles Raw]]))*(10)/(ASINH(AD$4))</f>
        <v>6.7701584087141313</v>
      </c>
      <c r="AF163" s="256">
        <f>FMS_Ranking4[[#This Row],[Length of roads at risk, ArcSinh (0-10)]]*AD$5*10</f>
        <v>6.7701584087141322</v>
      </c>
      <c r="AG163" s="253">
        <f>_xlfn.XLOOKUP(FMS_Ranking4[[#This Row],[FMS ID]],FMS_Input[FMS_ID],FMS_Input[FARMACRE100])</f>
        <v>5997.09619140625</v>
      </c>
      <c r="AH163" s="255">
        <f>(ASINH(FMS_Ranking4[[#This Row],[Ag Land Raw]]))*(10)/(ASINH(AG$4))</f>
        <v>6.1009846881815673</v>
      </c>
      <c r="AI163" s="260">
        <f>FMS_Ranking4[[#This Row],[Farm &amp; ranch land, ArcSinh (0-10)]]*AG$5*10</f>
        <v>3.0504923440907836</v>
      </c>
      <c r="AJ163" s="258">
        <f>_xlfn.XLOOKUP(FMS_Ranking4[[#This Row],[FMS ID]],FMS_Input[FMS_ID],FMS_Input[REDSTRUCT100])</f>
        <v>0</v>
      </c>
      <c r="AK163" s="253">
        <f>_xlfn.XLOOKUP(FMS_Ranking4[[#This Row],[FMS ID]],FMS_Input[FMS_ID],FMS_Input[REMSTRC100])</f>
        <v>0</v>
      </c>
      <c r="AL163" s="255">
        <f>(ASINH(FMS_Ranking4[[#This Row],[Structures Removed Raw]]))*(10)/(ASINH(AK$4))</f>
        <v>0</v>
      </c>
      <c r="AM163" s="262">
        <f>FMS_Ranking4[[#This Row],[Structures removed, ArcSinh (0-10)]]*AK$5*10</f>
        <v>0</v>
      </c>
      <c r="AN163" s="253">
        <f>_xlfn.XLOOKUP(FMS_Ranking4[[#This Row],[FMS ID]],FMS_Input[FMS_ID],FMS_Input[REMRESSTRC100])</f>
        <v>0</v>
      </c>
      <c r="AO163" s="261">
        <f>FMS_Ranking4[[#This Row],[ArcSinh Res struct removed 0-10]]*AN$5*10</f>
        <v>0</v>
      </c>
      <c r="AP163" s="260">
        <f>ASINH(FMS_Ranking4[[#This Row],[Residential Structures Removed Raw]])/AP$4*AN$5*100</f>
        <v>0</v>
      </c>
      <c r="AQ163" s="258">
        <f>(ASINH(FMS_Ranking4[[#This Row],[Residential Structures Removed Raw]]))*(10)/(ASINH(AN$4))</f>
        <v>0</v>
      </c>
      <c r="AR163" s="253">
        <f>_xlfn.XLOOKUP(FMS_Ranking4[[#This Row],[FMS ID]],FMS_Input[FMS_ID],FMS_Input[REMPOP100])</f>
        <v>0</v>
      </c>
      <c r="AS163" s="255">
        <f>(ASINH(FMS_Ranking4[[#This Row],[Removed Pop Raw]]))*(10)/(ASINH(AR$4))</f>
        <v>0</v>
      </c>
      <c r="AT163" s="262">
        <f>FMS_Ranking4[[#This Row],[Removed population, ArcSinh (0-10)]]*AR$5*10</f>
        <v>0</v>
      </c>
      <c r="AU163" s="264">
        <f>_xlfn.XLOOKUP(FMS_Ranking4[[#This Row],[FMS ID]],FMS_Input[FMS_ID],FMS_Input[REMCRITFAC100])</f>
        <v>0</v>
      </c>
      <c r="AV163" s="264">
        <f>_xlfn.XLOOKUP(FMS_Ranking4[[#This Row],[FMS ID]],FMS_Input[FMS_ID],FMS_Input[REMLWC100])</f>
        <v>0</v>
      </c>
      <c r="AW163" s="264">
        <f>_xlfn.XLOOKUP(FMS_Ranking4[[#This Row],[FMS ID]],FMS_Input[FMS_ID],FMS_Input[REMROADCLS])</f>
        <v>0</v>
      </c>
      <c r="AX163" s="264">
        <f>_xlfn.XLOOKUP(FMS_Ranking4[[#This Row],[FMS ID]],FMS_Input[FMS_ID],FMS_Input[REMFRMACRE100])</f>
        <v>0</v>
      </c>
      <c r="AY163" s="258">
        <f>_xlfn.XLOOKUP(FMS_Ranking4[[#This Row],[FMS ID]],FMS_Input[FMS_ID],FMS_Input[COSTSTRUCT])</f>
        <v>0</v>
      </c>
      <c r="AZ163" s="253">
        <f>_xlfn.XLOOKUP(FMS_Ranking4[[#This Row],[FMS ID]],FMS_Input[FMS_ID],FMS_Input[NATURE])</f>
        <v>0</v>
      </c>
      <c r="BA163" s="262">
        <f>(((FMS_Ranking4[[#This Row],[% NBS Raw]]/AZ$4)*100)*AZ$5)</f>
        <v>0</v>
      </c>
      <c r="BB163" s="251" t="str">
        <f>_xlfn.XLOOKUP(FMS_Ranking4[[#This Row],[FMS ID]],FMS_Input[FMS_ID],FMS_Input[WATER_SUP])</f>
        <v>No</v>
      </c>
      <c r="BC163" s="265">
        <f>IF(FMS_Ranking4[[#This Row],[Water Supply Raw]]="Yes",10,0)</f>
        <v>0</v>
      </c>
      <c r="BD163" s="266">
        <f>_xlfn.XLOOKUP(FMS_Ranking4[[#This Row],[FMS Type]],FMS_TYPE[FMS_Type],FMS_TYPE[Score])</f>
        <v>10</v>
      </c>
      <c r="BE163" s="267">
        <f>FMS_Ranking4[[#This Row],[FMS_Type Score]]*$BD$5*10</f>
        <v>2.5</v>
      </c>
      <c r="BF16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2.4923729443431162</v>
      </c>
      <c r="BG163" s="321">
        <f>_xlfn.RANK.EQ(BF163,$BF$8:$BF$870,0)+COUNTIF($BF$8:BF163,BF163)-1</f>
        <v>91</v>
      </c>
      <c r="BH163" s="294">
        <f>(((FMS_Ranking4[[#This Row],[Structures Removed Raw]]/AK$4)*100)*AK$5)+(((FMS_Ranking4[[#This Row],[Removed Pop Raw]]/AR$4)*100)*AR$5)</f>
        <v>0</v>
      </c>
      <c r="BI16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4.9923729443431162</v>
      </c>
      <c r="BJ163" s="251">
        <f>_xlfn.RANK.EQ(FMS_Ranking4[[#This Row],[Total Score 
(with linear
normalization)]],FMS_Ranking4[Total Score 
(with linear
normalization)],0)</f>
        <v>114</v>
      </c>
      <c r="BK163" s="251" t="e">
        <f>_xlfn.XLOOKUP(FMS_Ranking4[[#This Row],[FMS ID]],#REF!,#REF!)</f>
        <v>#REF!</v>
      </c>
      <c r="BL16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31.423075692967746</v>
      </c>
      <c r="BM163" s="324">
        <f>FMS_Ranking4[[#This Row],[ArcSinh Score Based on Normalized Reported Factors]]+FMS_Ranking4[[#This Row],[% NBS Score (Normalized)]]+(FMS_Ranking4[[#This Row],[Water Supply Score (Normalized)]]*10*$BB$5)+FMS_Ranking4[[#This Row],[FMS_Type Score Weighted]]</f>
        <v>33.923075692967743</v>
      </c>
      <c r="BN163" s="251">
        <f>_xlfn.RANK.EQ(FMS_Ranking4[[#This Row],[Total Score (with ArcSinh normalization of select criteria)]],FMS_Ranking4[Total Score (with ArcSinh normalization of select criteria)],0)</f>
        <v>156</v>
      </c>
      <c r="BO163" s="270" t="str">
        <f>_xlfn.XLOOKUP(FMS_Ranking4[[#This Row],[FMS ID]],FMS_Input[FMS_ID],FMS_Input[FMS_RANK_YEAR])</f>
        <v>2023 Amended Plan</v>
      </c>
      <c r="BP163" s="204">
        <f>_xlfn.XLOOKUP(FMS_Ranking4[[#This Row],[FMS ID]],Prev_Rank[FMS ID],Prev_Rank[Prev Rank])</f>
        <v>122</v>
      </c>
      <c r="BQ163" s="251" t="e">
        <f>_xlfn.XLOOKUP(FMS_Ranking4[[#This Row],[FMS ID]],#REF!,#REF!)</f>
        <v>#REF!</v>
      </c>
      <c r="BR163" s="199" t="e">
        <f>SUM(#REF!,#REF!,#REF!,#REF!,#REF!,#REF!,#REF!,#REF!,#REF!,FMS_Ranking4[[#This Row],[ArcSinh Res struct removed 0-10]],#REF!)</f>
        <v>#REF!</v>
      </c>
      <c r="BS163" s="199" t="e">
        <f>FMS_Ranking4[[#This Row],[Log Score Based on Normalized Reported Factors]]+FMS_Ranking4[[#This Row],[% NBS Score (Normalized)]]+(FMS_Ranking4[[#This Row],[Water Supply Score (Normalized)]]*10*$BB$5)+(FMS_Ranking4[[#This Row],[FMS_Type Score Weighted]])</f>
        <v>#REF!</v>
      </c>
      <c r="BT163" s="200" t="e">
        <f>_xlfn.RANK.EQ(FMS_Ranking4[[#This Row],[Log Total Score]],FMS_Ranking4[Log Total Score],0)</f>
        <v>#REF!</v>
      </c>
      <c r="BU163" s="200" t="e">
        <f>_xlfn.XLOOKUP(FMS_Ranking4[[#This Row],[FMS ID]],#REF!,#REF!)</f>
        <v>#REF!</v>
      </c>
      <c r="BV163" s="200">
        <f>FMS_Ranking4[[#This Row],[Region Number]]</f>
        <v>15</v>
      </c>
      <c r="BW163" s="200">
        <f>FMS_Ranking4[[#This Row],[Rank (with ArcSinh normalization of select criteria)]]-FMS_Ranking4[[#This Row],[Rank
(with linear
normalization)]]</f>
        <v>42</v>
      </c>
      <c r="BX163" s="200" t="e">
        <f>FMS_Ranking4[[#This Row],[Log Rank]]-FMS_Ranking4[[#This Row],[Rank
(with linear
normalization)]]</f>
        <v>#REF!</v>
      </c>
      <c r="BY163" s="200">
        <f>IF(FMS_Ranking4[[#This Row],[FMS Type]]="Flood Measurement and Warning",FMS_Ranking4[[#This Row],[Rank (with ArcSinh normalization of select criteria)]],"")</f>
        <v>156</v>
      </c>
      <c r="BZ163" s="200" t="str">
        <f>IF(FMS_Ranking4[[#This Row],[FMS Type]]="Regulatory and Guidance",FMS_Ranking4[[#This Row],[Rank (with ArcSinh normalization of select criteria)]],"")</f>
        <v/>
      </c>
      <c r="CA163" s="200" t="str">
        <f>IF(FMS_Ranking4[[#This Row],[FMS Type]]="Education and Outreach",FMS_Ranking4[[#This Row],[Rank (with ArcSinh normalization of select criteria)]],"")</f>
        <v/>
      </c>
      <c r="CB163" s="200" t="str">
        <f>IF(FMS_Ranking4[[#This Row],[FMS Type]]="Property Acquisition and Structural Elevation",FMS_Ranking4[[#This Row],[Rank (with ArcSinh normalization of select criteria)]],"")</f>
        <v/>
      </c>
      <c r="CC163" s="200" t="str">
        <f>IF(FMS_Ranking4[[#This Row],[FMS Type]]="Infrastructure Projects",FMS_Ranking4[[#This Row],[Rank (with ArcSinh normalization of select criteria)]],"")</f>
        <v/>
      </c>
      <c r="CD163" s="200" t="str">
        <f>IF(FMS_Ranking4[[#This Row],[FMS Type]]="Other",FMS_Ranking4[[#This Row],[Rank (with ArcSinh normalization of select criteria)]],"")</f>
        <v/>
      </c>
      <c r="CE163" s="201"/>
      <c r="CF163" s="206"/>
      <c r="CG163" s="206"/>
      <c r="CH163" s="206"/>
      <c r="CI163" s="206"/>
      <c r="CJ163" s="206"/>
      <c r="CK163" s="206"/>
      <c r="CL163" s="206"/>
      <c r="CM163" s="206"/>
      <c r="CN163" s="206"/>
      <c r="CO163" s="206"/>
      <c r="CP163" s="206"/>
      <c r="CQ163" s="206"/>
      <c r="CR163" s="206"/>
    </row>
    <row r="164" spans="2:96" ht="45" x14ac:dyDescent="0.25">
      <c r="B164" s="341" t="s">
        <v>1581</v>
      </c>
      <c r="C164" s="246">
        <f>_xlfn.XLOOKUP(FMS_Ranking4[[#This Row],[FMS ID]],FMS_Input[FMS_ID],FMS_Input[RFPG_NUM])</f>
        <v>2</v>
      </c>
      <c r="D164" s="309" t="str">
        <f>_xlfn.XLOOKUP(FMS_Ranking4[[#This Row],[FMS ID]],FMS_Input[FMS_ID],FMS_Input[FMS_NAME])</f>
        <v>Bowie County NFIP Involvement</v>
      </c>
      <c r="E164" s="308" t="str">
        <f>_xlfn.XLOOKUP(FMS_Ranking4[[#This Row],[FMS ID]],FMS_Input[FMS_ID],FMS_Input[SPONSOR])</f>
        <v>Bowie County</v>
      </c>
      <c r="F164" s="309" t="str">
        <f>_xlfn.XLOOKUP(FMS_Ranking4[[#This Row],[FMS ID]],Sponsor[FMS_ID],Sponsor[SPONSOR NAME])</f>
        <v>Bowie County</v>
      </c>
      <c r="G164" s="309" t="str">
        <f>_xlfn.XLOOKUP(FMS_Ranking4[[#This Row],[FMS ID]],FMS_Input[FMS_ID],FMS_Input[FMS_DESCR])</f>
        <v xml:space="preserve">Application to join NFIP or adoption of equivalent standards </v>
      </c>
      <c r="H164" s="248" t="str">
        <f>_xlfn.XLOOKUP(FMS_Ranking4[[#This Row],[FMS ID]],FMS_Input[FMS_ID],FMS_Input[FMS_TYPE])</f>
        <v>Regulatory and Guidance</v>
      </c>
      <c r="I164" s="249">
        <f>_xlfn.XLOOKUP(FMS_Ranking4[[#This Row],[FMS ID]],FMS_Input[FMS_ID],FMS_Input[NRNC_COST])</f>
        <v>100000</v>
      </c>
      <c r="J164" s="250">
        <f>_xlfn.XLOOKUP(FMS_Ranking4[[#This Row],[FMS ID]],FMS_Input[FMS_ID],FMS_Input[FMS_COST])</f>
        <v>100000</v>
      </c>
      <c r="K164" s="251" t="str">
        <f>_xlfn.XLOOKUP(FMS_Ranking4[[#This Row],[FMS ID]],FMS_Input[FMS_ID],FMS_Input[EMER_NEED])</f>
        <v>No</v>
      </c>
      <c r="L164" s="252">
        <f t="shared" si="2"/>
        <v>0</v>
      </c>
      <c r="M164" s="253">
        <f>_xlfn.XLOOKUP(FMS_Ranking4[[#This Row],[FMS ID]],FMS_Input[FMS_ID],FMS_Input[STRUCT_100])</f>
        <v>2657</v>
      </c>
      <c r="N164" s="255">
        <f>(ASINH(FMS_Ranking4[[#This Row],[Structure at Risk Raw]]))*(10)/(ASINH(M$4))</f>
        <v>6.7436639509162726</v>
      </c>
      <c r="O164" s="256">
        <f>FMS_Ranking4[[#This Row],[Structures at risk, ArcSinh (0-10)]]*M$5*10</f>
        <v>6.7436639509162735</v>
      </c>
      <c r="P164" s="253">
        <f>_xlfn.XLOOKUP(FMS_Ranking4[[#This Row],[FMS ID]],FMS_Input[FMS_ID],FMS_Input[RES_STRUCT100])</f>
        <v>1546</v>
      </c>
      <c r="Q164" s="257">
        <f>ASINH(FMS_Ranking4[[#This Row],[Res Structure Raw]])/Q$4*P$5*100</f>
        <v>0</v>
      </c>
      <c r="R164" s="253">
        <f>_xlfn.XLOOKUP(FMS_Ranking4[[#This Row],[FMS ID]],FMS_Input[FMS_ID],FMS_Input[POP100])</f>
        <v>9746</v>
      </c>
      <c r="S164" s="259">
        <f>(ASINH(FMS_Ranking4[[#This Row],[Pop at Risk Raw]]))*(10)/(ASINH(R$4))</f>
        <v>6.819192381090657</v>
      </c>
      <c r="T164" s="256">
        <f>FMS_Ranking4[[#This Row],[Population at risk, ArcSinh (0-10)]]*R$5*10</f>
        <v>6.819192381090657</v>
      </c>
      <c r="U164" s="253">
        <f>_xlfn.XLOOKUP(FMS_Ranking4[[#This Row],[FMS ID]],FMS_Input[FMS_ID],FMS_Input[CRITFAC100])</f>
        <v>19</v>
      </c>
      <c r="V164" s="259">
        <f>(ASINH(FMS_Ranking4[[#This Row],[Critical Facilities Raw]]))*(10)/(ASINH(U$4))</f>
        <v>4.3068629784334975</v>
      </c>
      <c r="W164" s="256">
        <f>FMS_Ranking4[[#This Row],[Critical facilities at risk, ArcSinh (0-10)]]*U$5*10</f>
        <v>4.3068629784334975</v>
      </c>
      <c r="X164" s="253">
        <f>_xlfn.XLOOKUP(FMS_Ranking4[[#This Row],[FMS ID]],FMS_Input[FMS_ID],FMS_Input[LWC])</f>
        <v>7</v>
      </c>
      <c r="Y164" s="259">
        <f>(ASINH(FMS_Ranking4[[#This Row],[LWC Raw]]))*(10)/(ASINH(X$4))</f>
        <v>3.5820902845593281</v>
      </c>
      <c r="Z164" s="256">
        <f>FMS_Ranking4[[#This Row],[LWC, ArcSInh (0-10)]]*X$5*10</f>
        <v>3.5820902845593281</v>
      </c>
      <c r="AA164" s="253">
        <f>_xlfn.XLOOKUP(FMS_Ranking4[[#This Row],[FMS ID]],FMS_Input[FMS_ID],FMS_Input[ROADCLS])</f>
        <v>0</v>
      </c>
      <c r="AB164" s="255">
        <f>(ASINH(FMS_Ranking4[[#This Row],[Road Closures Raw]]))*(10)/(ASINH(AA$4))</f>
        <v>0</v>
      </c>
      <c r="AC164" s="256">
        <f>FMS_Ranking4[[#This Row],[Road closures, ArcSinh (0-10)]]*AA$5*10</f>
        <v>0</v>
      </c>
      <c r="AD164" s="253">
        <f>_xlfn.XLOOKUP(FMS_Ranking4[[#This Row],[FMS ID]],FMS_Input[FMS_ID],FMS_Input[ROAD_MILES100])</f>
        <v>314</v>
      </c>
      <c r="AE164" s="259">
        <f>(ASINH(FMS_Ranking4[[#This Row],[Road Miles Raw]]))*(10)/(ASINH(AD$4))</f>
        <v>6.8659780207107763</v>
      </c>
      <c r="AF164" s="256">
        <f>FMS_Ranking4[[#This Row],[Length of roads at risk, ArcSinh (0-10)]]*AD$5*10</f>
        <v>6.8659780207107772</v>
      </c>
      <c r="AG164" s="253">
        <f>_xlfn.XLOOKUP(FMS_Ranking4[[#This Row],[FMS ID]],FMS_Input[FMS_ID],FMS_Input[FARMACRE100])</f>
        <v>30919.158203125</v>
      </c>
      <c r="AH164" s="255">
        <f>(ASINH(FMS_Ranking4[[#This Row],[Ag Land Raw]]))*(10)/(ASINH(AG$4))</f>
        <v>7.1663636507462609</v>
      </c>
      <c r="AI164" s="260">
        <f>FMS_Ranking4[[#This Row],[Farm &amp; ranch land, ArcSinh (0-10)]]*AG$5*10</f>
        <v>3.5831818253731305</v>
      </c>
      <c r="AJ164" s="258">
        <f>_xlfn.XLOOKUP(FMS_Ranking4[[#This Row],[FMS ID]],FMS_Input[FMS_ID],FMS_Input[REDSTRUCT100])</f>
        <v>0</v>
      </c>
      <c r="AK164" s="253">
        <f>_xlfn.XLOOKUP(FMS_Ranking4[[#This Row],[FMS ID]],FMS_Input[FMS_ID],FMS_Input[REMSTRC100])</f>
        <v>0</v>
      </c>
      <c r="AL164" s="259">
        <f>(ASINH(FMS_Ranking4[[#This Row],[Structures Removed Raw]]))*(10)/(ASINH(AK$4))</f>
        <v>0</v>
      </c>
      <c r="AM164" s="262">
        <f>FMS_Ranking4[[#This Row],[Structures removed, ArcSinh (0-10)]]*AK$5*10</f>
        <v>0</v>
      </c>
      <c r="AN164" s="253">
        <f>_xlfn.XLOOKUP(FMS_Ranking4[[#This Row],[FMS ID]],FMS_Input[FMS_ID],FMS_Input[REMRESSTRC100])</f>
        <v>0</v>
      </c>
      <c r="AO164" s="261">
        <f>FMS_Ranking4[[#This Row],[ArcSinh Res struct removed 0-10]]*AN$5*10</f>
        <v>0</v>
      </c>
      <c r="AP164" s="260">
        <f>ASINH(FMS_Ranking4[[#This Row],[Residential Structures Removed Raw]])/AP$4*AN$5*100</f>
        <v>0</v>
      </c>
      <c r="AQ164" s="254">
        <f>(ASINH(FMS_Ranking4[[#This Row],[Residential Structures Removed Raw]]))*(10)/(ASINH(AN$4))</f>
        <v>0</v>
      </c>
      <c r="AR164" s="253">
        <f>_xlfn.XLOOKUP(FMS_Ranking4[[#This Row],[FMS ID]],FMS_Input[FMS_ID],FMS_Input[REMPOP100])</f>
        <v>0</v>
      </c>
      <c r="AS164" s="259">
        <f>(ASINH(FMS_Ranking4[[#This Row],[Removed Pop Raw]]))*(10)/(ASINH(AR$4))</f>
        <v>0</v>
      </c>
      <c r="AT164" s="262">
        <f>FMS_Ranking4[[#This Row],[Removed population, ArcSinh (0-10)]]*AR$5*10</f>
        <v>0</v>
      </c>
      <c r="AU164" s="264">
        <f>_xlfn.XLOOKUP(FMS_Ranking4[[#This Row],[FMS ID]],FMS_Input[FMS_ID],FMS_Input[REMCRITFAC100])</f>
        <v>0</v>
      </c>
      <c r="AV164" s="264">
        <f>_xlfn.XLOOKUP(FMS_Ranking4[[#This Row],[FMS ID]],FMS_Input[FMS_ID],FMS_Input[REMLWC100])</f>
        <v>0</v>
      </c>
      <c r="AW164" s="264">
        <f>_xlfn.XLOOKUP(FMS_Ranking4[[#This Row],[FMS ID]],FMS_Input[FMS_ID],FMS_Input[REMROADCLS])</f>
        <v>0</v>
      </c>
      <c r="AX164" s="264">
        <f>_xlfn.XLOOKUP(FMS_Ranking4[[#This Row],[FMS ID]],FMS_Input[FMS_ID],FMS_Input[REMFRMACRE100])</f>
        <v>0</v>
      </c>
      <c r="AY164" s="258">
        <f>_xlfn.XLOOKUP(FMS_Ranking4[[#This Row],[FMS ID]],FMS_Input[FMS_ID],FMS_Input[COSTSTRUCT])</f>
        <v>0</v>
      </c>
      <c r="AZ164" s="253">
        <f>_xlfn.XLOOKUP(FMS_Ranking4[[#This Row],[FMS ID]],FMS_Input[FMS_ID],FMS_Input[NATURE])</f>
        <v>0</v>
      </c>
      <c r="BA164" s="262">
        <f>(((FMS_Ranking4[[#This Row],[% NBS Raw]]/AZ$4)*100)*AZ$5)</f>
        <v>0</v>
      </c>
      <c r="BB164" s="251" t="str">
        <f>_xlfn.XLOOKUP(FMS_Ranking4[[#This Row],[FMS ID]],FMS_Input[FMS_ID],FMS_Input[WATER_SUP])</f>
        <v>No</v>
      </c>
      <c r="BC164" s="265">
        <f>IF(FMS_Ranking4[[#This Row],[Water Supply Raw]]="Yes",10,0)</f>
        <v>0</v>
      </c>
      <c r="BD164" s="266">
        <f>_xlfn.XLOOKUP(FMS_Ranking4[[#This Row],[FMS Type]],FMS_TYPE[FMS_Type],FMS_TYPE[Score])</f>
        <v>8</v>
      </c>
      <c r="BE164" s="267">
        <f>FMS_Ranking4[[#This Row],[FMS_Type Score]]*$BD$5*10</f>
        <v>2</v>
      </c>
      <c r="BF16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1.0193189570141059</v>
      </c>
      <c r="BG164" s="271">
        <f>_xlfn.RANK.EQ(BF164,$BF$8:$BF$870,0)+COUNTIF($BF$8:BF164,BF164)-1</f>
        <v>147</v>
      </c>
      <c r="BH164" s="268">
        <f>(((FMS_Ranking4[[#This Row],[Structures Removed Raw]]/AK$4)*100)*AK$5)+(((FMS_Ranking4[[#This Row],[Removed Pop Raw]]/AR$4)*100)*AR$5)</f>
        <v>0</v>
      </c>
      <c r="BI16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3.0193189570141059</v>
      </c>
      <c r="BJ164" s="205">
        <f>_xlfn.RANK.EQ(FMS_Ranking4[[#This Row],[Total Score 
(with linear
normalization)]],FMS_Ranking4[Total Score 
(with linear
normalization)],0)</f>
        <v>171</v>
      </c>
      <c r="BK164" s="205" t="e">
        <f>_xlfn.XLOOKUP(FMS_Ranking4[[#This Row],[FMS ID]],#REF!,#REF!)</f>
        <v>#REF!</v>
      </c>
      <c r="BL16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31.900969441083664</v>
      </c>
      <c r="BM164" s="272">
        <f>FMS_Ranking4[[#This Row],[ArcSinh Score Based on Normalized Reported Factors]]+FMS_Ranking4[[#This Row],[% NBS Score (Normalized)]]+(FMS_Ranking4[[#This Row],[Water Supply Score (Normalized)]]*10*$BB$5)+FMS_Ranking4[[#This Row],[FMS_Type Score Weighted]]</f>
        <v>33.90096944108366</v>
      </c>
      <c r="BN164" s="205">
        <f>_xlfn.RANK.EQ(FMS_Ranking4[[#This Row],[Total Score (with ArcSinh normalization of select criteria)]],FMS_Ranking4[Total Score (with ArcSinh normalization of select criteria)],0)</f>
        <v>157</v>
      </c>
      <c r="BO164" s="270" t="str">
        <f>_xlfn.XLOOKUP(FMS_Ranking4[[#This Row],[FMS ID]],FMS_Input[FMS_ID],FMS_Input[FMS_RANK_YEAR])</f>
        <v>2023 Amended Plan</v>
      </c>
      <c r="BP164" s="204">
        <f>_xlfn.XLOOKUP(FMS_Ranking4[[#This Row],[FMS ID]],Prev_Rank[FMS ID],Prev_Rank[Prev Rank])</f>
        <v>133</v>
      </c>
      <c r="BQ164" s="205" t="e">
        <f>_xlfn.XLOOKUP(FMS_Ranking4[[#This Row],[FMS ID]],#REF!,#REF!)</f>
        <v>#REF!</v>
      </c>
      <c r="BR164" s="199" t="e">
        <f>SUM(#REF!,#REF!,#REF!,#REF!,#REF!,#REF!,#REF!,#REF!,#REF!,FMS_Ranking4[[#This Row],[ArcSinh Res struct removed 0-10]],#REF!)</f>
        <v>#REF!</v>
      </c>
      <c r="BS164" s="199" t="e">
        <f>FMS_Ranking4[[#This Row],[Log Score Based on Normalized Reported Factors]]+FMS_Ranking4[[#This Row],[% NBS Score (Normalized)]]+(FMS_Ranking4[[#This Row],[Water Supply Score (Normalized)]]*10*$BB$5)+(FMS_Ranking4[[#This Row],[FMS_Type Score Weighted]])</f>
        <v>#REF!</v>
      </c>
      <c r="BT164" s="200" t="e">
        <f>_xlfn.RANK.EQ(FMS_Ranking4[[#This Row],[Log Total Score]],FMS_Ranking4[Log Total Score],0)</f>
        <v>#REF!</v>
      </c>
      <c r="BU164" s="200" t="e">
        <f>_xlfn.XLOOKUP(FMS_Ranking4[[#This Row],[FMS ID]],#REF!,#REF!)</f>
        <v>#REF!</v>
      </c>
      <c r="BV164" s="200">
        <f>FMS_Ranking4[[#This Row],[Region Number]]</f>
        <v>2</v>
      </c>
      <c r="BW164" s="200">
        <f>FMS_Ranking4[[#This Row],[Rank (with ArcSinh normalization of select criteria)]]-FMS_Ranking4[[#This Row],[Rank
(with linear
normalization)]]</f>
        <v>-14</v>
      </c>
      <c r="BX164" s="200" t="e">
        <f>FMS_Ranking4[[#This Row],[Log Rank]]-FMS_Ranking4[[#This Row],[Rank
(with linear
normalization)]]</f>
        <v>#REF!</v>
      </c>
      <c r="BY164" s="200" t="str">
        <f>IF(FMS_Ranking4[[#This Row],[FMS Type]]="Flood Measurement and Warning",FMS_Ranking4[[#This Row],[Rank (with ArcSinh normalization of select criteria)]],"")</f>
        <v/>
      </c>
      <c r="BZ164" s="200">
        <f>IF(FMS_Ranking4[[#This Row],[FMS Type]]="Regulatory and Guidance",FMS_Ranking4[[#This Row],[Rank (with ArcSinh normalization of select criteria)]],"")</f>
        <v>157</v>
      </c>
      <c r="CA164" s="200" t="str">
        <f>IF(FMS_Ranking4[[#This Row],[FMS Type]]="Education and Outreach",FMS_Ranking4[[#This Row],[Rank (with ArcSinh normalization of select criteria)]],"")</f>
        <v/>
      </c>
      <c r="CB164" s="200" t="str">
        <f>IF(FMS_Ranking4[[#This Row],[FMS Type]]="Property Acquisition and Structural Elevation",FMS_Ranking4[[#This Row],[Rank (with ArcSinh normalization of select criteria)]],"")</f>
        <v/>
      </c>
      <c r="CC164" s="200" t="str">
        <f>IF(FMS_Ranking4[[#This Row],[FMS Type]]="Infrastructure Projects",FMS_Ranking4[[#This Row],[Rank (with ArcSinh normalization of select criteria)]],"")</f>
        <v/>
      </c>
      <c r="CD164" s="200" t="str">
        <f>IF(FMS_Ranking4[[#This Row],[FMS Type]]="Other",FMS_Ranking4[[#This Row],[Rank (with ArcSinh normalization of select criteria)]],"")</f>
        <v/>
      </c>
      <c r="CE164" s="201"/>
      <c r="CF164" s="206"/>
      <c r="CG164" s="206"/>
      <c r="CH164" s="206"/>
      <c r="CI164" s="206"/>
      <c r="CJ164" s="206"/>
      <c r="CK164" s="206"/>
      <c r="CL164" s="206"/>
      <c r="CM164" s="206"/>
      <c r="CN164" s="206"/>
      <c r="CO164" s="206"/>
      <c r="CP164" s="206"/>
      <c r="CQ164" s="206"/>
      <c r="CR164" s="206"/>
    </row>
    <row r="165" spans="2:96" ht="45" x14ac:dyDescent="0.25">
      <c r="B165" s="341" t="s">
        <v>889</v>
      </c>
      <c r="C165" s="246">
        <f>_xlfn.XLOOKUP(FMS_Ranking4[[#This Row],[FMS ID]],FMS_Input[FMS_ID],FMS_Input[RFPG_NUM])</f>
        <v>9</v>
      </c>
      <c r="D165" s="309" t="str">
        <f>_xlfn.XLOOKUP(FMS_Ranking4[[#This Row],[FMS ID]],FMS_Input[FMS_ID],FMS_Input[FMS_NAME])</f>
        <v>Coke County DCM</v>
      </c>
      <c r="E165" s="308" t="str">
        <f>_xlfn.XLOOKUP(FMS_Ranking4[[#This Row],[FMS ID]],FMS_Input[FMS_ID],FMS_Input[SPONSOR])</f>
        <v>09000147</v>
      </c>
      <c r="F165" s="309" t="str">
        <f>_xlfn.XLOOKUP(FMS_Ranking4[[#This Row],[FMS ID]],Sponsor[FMS_ID],Sponsor[SPONSOR NAME])</f>
        <v>Coke</v>
      </c>
      <c r="G165" s="309" t="str">
        <f>_xlfn.XLOOKUP(FMS_Ranking4[[#This Row],[FMS ID]],FMS_Input[FMS_ID],FMS_Input[FMS_DESCR])</f>
        <v>Outreach Program: Discuss Stormwater Criteria Design Manual</v>
      </c>
      <c r="H165" s="248" t="str">
        <f>_xlfn.XLOOKUP(FMS_Ranking4[[#This Row],[FMS ID]],FMS_Input[FMS_ID],FMS_Input[FMS_TYPE])</f>
        <v>Other</v>
      </c>
      <c r="I165" s="249">
        <f>_xlfn.XLOOKUP(FMS_Ranking4[[#This Row],[FMS ID]],FMS_Input[FMS_ID],FMS_Input[NRNC_COST])</f>
        <v>75000</v>
      </c>
      <c r="J165" s="250">
        <f>_xlfn.XLOOKUP(FMS_Ranking4[[#This Row],[FMS ID]],FMS_Input[FMS_ID],FMS_Input[FMS_COST])</f>
        <v>100000</v>
      </c>
      <c r="K165" s="251" t="str">
        <f>_xlfn.XLOOKUP(FMS_Ranking4[[#This Row],[FMS ID]],FMS_Input[FMS_ID],FMS_Input[EMER_NEED])</f>
        <v>No</v>
      </c>
      <c r="L165" s="252">
        <f t="shared" si="2"/>
        <v>0</v>
      </c>
      <c r="M165" s="253">
        <f>_xlfn.XLOOKUP(FMS_Ranking4[[#This Row],[FMS ID]],FMS_Input[FMS_ID],FMS_Input[STRUCT_100])</f>
        <v>245</v>
      </c>
      <c r="N165" s="255">
        <f>(ASINH(FMS_Ranking4[[#This Row],[Structure at Risk Raw]]))*(10)/(ASINH(M$4))</f>
        <v>4.8697282186595157</v>
      </c>
      <c r="O165" s="256">
        <f>FMS_Ranking4[[#This Row],[Structures at risk, ArcSinh (0-10)]]*M$5*10</f>
        <v>4.8697282186595157</v>
      </c>
      <c r="P165" s="253">
        <f>_xlfn.XLOOKUP(FMS_Ranking4[[#This Row],[FMS ID]],FMS_Input[FMS_ID],FMS_Input[RES_STRUCT100])</f>
        <v>104</v>
      </c>
      <c r="Q165" s="257">
        <f>ASINH(FMS_Ranking4[[#This Row],[Res Structure Raw]])/Q$4*P$5*100</f>
        <v>0</v>
      </c>
      <c r="R165" s="253">
        <f>_xlfn.XLOOKUP(FMS_Ranking4[[#This Row],[FMS ID]],FMS_Input[FMS_ID],FMS_Input[POP100])</f>
        <v>124</v>
      </c>
      <c r="S165" s="259">
        <f>(ASINH(FMS_Ranking4[[#This Row],[Pop at Risk Raw]]))*(10)/(ASINH(R$4))</f>
        <v>3.8062520682263559</v>
      </c>
      <c r="T165" s="256">
        <f>FMS_Ranking4[[#This Row],[Population at risk, ArcSinh (0-10)]]*R$5*10</f>
        <v>3.8062520682263563</v>
      </c>
      <c r="U165" s="253">
        <f>_xlfn.XLOOKUP(FMS_Ranking4[[#This Row],[FMS ID]],FMS_Input[FMS_ID],FMS_Input[CRITFAC100])</f>
        <v>0</v>
      </c>
      <c r="V165" s="259">
        <f>(ASINH(FMS_Ranking4[[#This Row],[Critical Facilities Raw]]))*(10)/(ASINH(U$4))</f>
        <v>0</v>
      </c>
      <c r="W165" s="256">
        <f>FMS_Ranking4[[#This Row],[Critical facilities at risk, ArcSinh (0-10)]]*U$5*10</f>
        <v>0</v>
      </c>
      <c r="X165" s="253">
        <f>_xlfn.XLOOKUP(FMS_Ranking4[[#This Row],[FMS ID]],FMS_Input[FMS_ID],FMS_Input[LWC])</f>
        <v>14</v>
      </c>
      <c r="Y165" s="259">
        <f>(ASINH(FMS_Ranking4[[#This Row],[LWC Raw]]))*(10)/(ASINH(X$4))</f>
        <v>4.515988019016449</v>
      </c>
      <c r="Z165" s="256">
        <f>FMS_Ranking4[[#This Row],[LWC, ArcSInh (0-10)]]*X$5*10</f>
        <v>4.515988019016449</v>
      </c>
      <c r="AA165" s="253">
        <f>_xlfn.XLOOKUP(FMS_Ranking4[[#This Row],[FMS ID]],FMS_Input[FMS_ID],FMS_Input[ROADCLS])</f>
        <v>0</v>
      </c>
      <c r="AB165" s="255">
        <f>(ASINH(FMS_Ranking4[[#This Row],[Road Closures Raw]]))*(10)/(ASINH(AA$4))</f>
        <v>0</v>
      </c>
      <c r="AC165" s="256">
        <f>FMS_Ranking4[[#This Row],[Road closures, ArcSinh (0-10)]]*AA$5*10</f>
        <v>0</v>
      </c>
      <c r="AD165" s="253">
        <f>_xlfn.XLOOKUP(FMS_Ranking4[[#This Row],[FMS ID]],FMS_Input[FMS_ID],FMS_Input[ROAD_MILES100])</f>
        <v>55</v>
      </c>
      <c r="AE165" s="259">
        <f>(ASINH(FMS_Ranking4[[#This Row],[Road Miles Raw]]))*(10)/(ASINH(AD$4))</f>
        <v>5.0095069193521171</v>
      </c>
      <c r="AF165" s="256">
        <f>FMS_Ranking4[[#This Row],[Length of roads at risk, ArcSinh (0-10)]]*AD$5*10</f>
        <v>5.0095069193521171</v>
      </c>
      <c r="AG165" s="253">
        <f>_xlfn.XLOOKUP(FMS_Ranking4[[#This Row],[FMS ID]],FMS_Input[FMS_ID],FMS_Input[FARMACRE100])</f>
        <v>5435.48291015625</v>
      </c>
      <c r="AH165" s="255">
        <f>(ASINH(FMS_Ranking4[[#This Row],[Ag Land Raw]]))*(10)/(ASINH(AG$4))</f>
        <v>6.0371132820012461</v>
      </c>
      <c r="AI165" s="260">
        <f>FMS_Ranking4[[#This Row],[Farm &amp; ranch land, ArcSinh (0-10)]]*AG$5*10</f>
        <v>3.018556641000623</v>
      </c>
      <c r="AJ165" s="258">
        <f>_xlfn.XLOOKUP(FMS_Ranking4[[#This Row],[FMS ID]],FMS_Input[FMS_ID],FMS_Input[REDSTRUCT100])</f>
        <v>62</v>
      </c>
      <c r="AK165" s="253">
        <f>_xlfn.XLOOKUP(FMS_Ranking4[[#This Row],[FMS ID]],FMS_Input[FMS_ID],FMS_Input[REMSTRC100])</f>
        <v>62</v>
      </c>
      <c r="AL165" s="259">
        <f>(ASINH(FMS_Ranking4[[#This Row],[Structures Removed Raw]]))*(10)/(ASINH(AK$4))</f>
        <v>5.4883086785599691</v>
      </c>
      <c r="AM165" s="262">
        <f>FMS_Ranking4[[#This Row],[Structures removed, ArcSinh (0-10)]]*AK$5*10</f>
        <v>5.4883086785599691</v>
      </c>
      <c r="AN165" s="253">
        <f>_xlfn.XLOOKUP(FMS_Ranking4[[#This Row],[FMS ID]],FMS_Input[FMS_ID],FMS_Input[REMRESSTRC100])</f>
        <v>26</v>
      </c>
      <c r="AO165" s="261">
        <f>FMS_Ranking4[[#This Row],[ArcSinh Res struct removed 0-10]]*AN$5*10</f>
        <v>2.3177258080219643</v>
      </c>
      <c r="AP165" s="260">
        <f>ASINH(FMS_Ranking4[[#This Row],[Residential Structures Removed Raw]])/AP$4*AN$5*100</f>
        <v>2.3177258080219643</v>
      </c>
      <c r="AQ165" s="254">
        <f>(ASINH(FMS_Ranking4[[#This Row],[Residential Structures Removed Raw]]))*(10)/(ASINH(AN$4))</f>
        <v>4.6354516160439285</v>
      </c>
      <c r="AR165" s="253">
        <f>_xlfn.XLOOKUP(FMS_Ranking4[[#This Row],[FMS ID]],FMS_Input[FMS_ID],FMS_Input[REMPOP100])</f>
        <v>43</v>
      </c>
      <c r="AS165" s="259">
        <f>(ASINH(FMS_Ranking4[[#This Row],[Removed Pop Raw]]))*(10)/(ASINH(AR$4))</f>
        <v>4.3726110615761158</v>
      </c>
      <c r="AT165" s="262">
        <f>FMS_Ranking4[[#This Row],[Removed population, ArcSinh (0-10)]]*AR$5*10</f>
        <v>4.3726110615761158</v>
      </c>
      <c r="AU165" s="264">
        <f>_xlfn.XLOOKUP(FMS_Ranking4[[#This Row],[FMS ID]],FMS_Input[FMS_ID],FMS_Input[REMCRITFAC100])</f>
        <v>0</v>
      </c>
      <c r="AV165" s="264">
        <f>_xlfn.XLOOKUP(FMS_Ranking4[[#This Row],[FMS ID]],FMS_Input[FMS_ID],FMS_Input[REMLWC100])</f>
        <v>3</v>
      </c>
      <c r="AW165" s="264">
        <f>_xlfn.XLOOKUP(FMS_Ranking4[[#This Row],[FMS ID]],FMS_Input[FMS_ID],FMS_Input[REMROADCLS])</f>
        <v>0</v>
      </c>
      <c r="AX165" s="264">
        <f>_xlfn.XLOOKUP(FMS_Ranking4[[#This Row],[FMS ID]],FMS_Input[FMS_ID],FMS_Input[REMFRMACRE100])</f>
        <v>1358.870727539062</v>
      </c>
      <c r="AY165" s="258">
        <f>_xlfn.XLOOKUP(FMS_Ranking4[[#This Row],[FMS ID]],FMS_Input[FMS_ID],FMS_Input[COSTSTRUCT])</f>
        <v>25000</v>
      </c>
      <c r="AZ165" s="253">
        <f>_xlfn.XLOOKUP(FMS_Ranking4[[#This Row],[FMS ID]],FMS_Input[FMS_ID],FMS_Input[NATURE])</f>
        <v>0</v>
      </c>
      <c r="BA165" s="262">
        <f>(((FMS_Ranking4[[#This Row],[% NBS Raw]]/AZ$4)*100)*AZ$5)</f>
        <v>0</v>
      </c>
      <c r="BB165" s="251" t="str">
        <f>_xlfn.XLOOKUP(FMS_Ranking4[[#This Row],[FMS ID]],FMS_Input[FMS_ID],FMS_Input[WATER_SUP])</f>
        <v>No</v>
      </c>
      <c r="BC165" s="265">
        <f>IF(FMS_Ranking4[[#This Row],[Water Supply Raw]]="Yes",10,0)</f>
        <v>0</v>
      </c>
      <c r="BD165" s="266">
        <f>_xlfn.XLOOKUP(FMS_Ranking4[[#This Row],[FMS Type]],FMS_TYPE[FMS_Type],FMS_TYPE[Score])</f>
        <v>2</v>
      </c>
      <c r="BE165" s="267">
        <f>FMS_Ranking4[[#This Row],[FMS_Type Score]]*$BD$5*10</f>
        <v>0.5</v>
      </c>
      <c r="BF16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0.29400362946829556</v>
      </c>
      <c r="BG165" s="271">
        <f>_xlfn.RANK.EQ(BF165,$BF$8:$BF$870,0)+COUNTIF($BF$8:BF165,BF165)-1</f>
        <v>306</v>
      </c>
      <c r="BH165" s="268">
        <f>(((FMS_Ranking4[[#This Row],[Structures Removed Raw]]/AK$4)*100)*AK$5)+(((FMS_Ranking4[[#This Row],[Removed Pop Raw]]/AR$4)*100)*AR$5)</f>
        <v>0.22250280834335484</v>
      </c>
      <c r="BI16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1.0165064378116504</v>
      </c>
      <c r="BJ165" s="205">
        <f>_xlfn.RANK.EQ(FMS_Ranking4[[#This Row],[Total Score 
(with linear
normalization)]],FMS_Ranking4[Total Score 
(with linear
normalization)],0)</f>
        <v>724</v>
      </c>
      <c r="BK165" s="205" t="e">
        <f>_xlfn.XLOOKUP(FMS_Ranking4[[#This Row],[FMS ID]],#REF!,#REF!)</f>
        <v>#REF!</v>
      </c>
      <c r="BL16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33.398677414413115</v>
      </c>
      <c r="BM165" s="272">
        <f>FMS_Ranking4[[#This Row],[ArcSinh Score Based on Normalized Reported Factors]]+FMS_Ranking4[[#This Row],[% NBS Score (Normalized)]]+(FMS_Ranking4[[#This Row],[Water Supply Score (Normalized)]]*10*$BB$5)+FMS_Ranking4[[#This Row],[FMS_Type Score Weighted]]</f>
        <v>33.898677414413115</v>
      </c>
      <c r="BN165" s="205">
        <f>_xlfn.RANK.EQ(FMS_Ranking4[[#This Row],[Total Score (with ArcSinh normalization of select criteria)]],FMS_Ranking4[Total Score (with ArcSinh normalization of select criteria)],0)</f>
        <v>158</v>
      </c>
      <c r="BO165" s="270" t="str">
        <f>_xlfn.XLOOKUP(FMS_Ranking4[[#This Row],[FMS ID]],FMS_Input[FMS_ID],FMS_Input[FMS_RANK_YEAR])</f>
        <v>2023 Amended Plan</v>
      </c>
      <c r="BP165" s="204">
        <f>_xlfn.XLOOKUP(FMS_Ranking4[[#This Row],[FMS ID]],Prev_Rank[FMS ID],Prev_Rank[Prev Rank])</f>
        <v>146</v>
      </c>
      <c r="BQ165" s="205" t="e">
        <f>_xlfn.XLOOKUP(FMS_Ranking4[[#This Row],[FMS ID]],#REF!,#REF!)</f>
        <v>#REF!</v>
      </c>
      <c r="BR165" s="199" t="e">
        <f>SUM(#REF!,#REF!,#REF!,#REF!,#REF!,#REF!,#REF!,#REF!,#REF!,FMS_Ranking4[[#This Row],[ArcSinh Res struct removed 0-10]],#REF!)</f>
        <v>#REF!</v>
      </c>
      <c r="BS165" s="199" t="e">
        <f>FMS_Ranking4[[#This Row],[Log Score Based on Normalized Reported Factors]]+FMS_Ranking4[[#This Row],[% NBS Score (Normalized)]]+(FMS_Ranking4[[#This Row],[Water Supply Score (Normalized)]]*10*$BB$5)+(FMS_Ranking4[[#This Row],[FMS_Type Score Weighted]])</f>
        <v>#REF!</v>
      </c>
      <c r="BT165" s="200" t="e">
        <f>_xlfn.RANK.EQ(FMS_Ranking4[[#This Row],[Log Total Score]],FMS_Ranking4[Log Total Score],0)</f>
        <v>#REF!</v>
      </c>
      <c r="BU165" s="200" t="e">
        <f>_xlfn.XLOOKUP(FMS_Ranking4[[#This Row],[FMS ID]],#REF!,#REF!)</f>
        <v>#REF!</v>
      </c>
      <c r="BV165" s="200">
        <f>FMS_Ranking4[[#This Row],[Region Number]]</f>
        <v>9</v>
      </c>
      <c r="BW165" s="200">
        <f>FMS_Ranking4[[#This Row],[Rank (with ArcSinh normalization of select criteria)]]-FMS_Ranking4[[#This Row],[Rank
(with linear
normalization)]]</f>
        <v>-566</v>
      </c>
      <c r="BX165" s="200" t="e">
        <f>FMS_Ranking4[[#This Row],[Log Rank]]-FMS_Ranking4[[#This Row],[Rank
(with linear
normalization)]]</f>
        <v>#REF!</v>
      </c>
      <c r="BY165" s="200" t="str">
        <f>IF(FMS_Ranking4[[#This Row],[FMS Type]]="Flood Measurement and Warning",FMS_Ranking4[[#This Row],[Rank (with ArcSinh normalization of select criteria)]],"")</f>
        <v/>
      </c>
      <c r="BZ165" s="200" t="str">
        <f>IF(FMS_Ranking4[[#This Row],[FMS Type]]="Regulatory and Guidance",FMS_Ranking4[[#This Row],[Rank (with ArcSinh normalization of select criteria)]],"")</f>
        <v/>
      </c>
      <c r="CA165" s="200" t="str">
        <f>IF(FMS_Ranking4[[#This Row],[FMS Type]]="Education and Outreach",FMS_Ranking4[[#This Row],[Rank (with ArcSinh normalization of select criteria)]],"")</f>
        <v/>
      </c>
      <c r="CB165" s="200" t="str">
        <f>IF(FMS_Ranking4[[#This Row],[FMS Type]]="Property Acquisition and Structural Elevation",FMS_Ranking4[[#This Row],[Rank (with ArcSinh normalization of select criteria)]],"")</f>
        <v/>
      </c>
      <c r="CC165" s="200" t="str">
        <f>IF(FMS_Ranking4[[#This Row],[FMS Type]]="Infrastructure Projects",FMS_Ranking4[[#This Row],[Rank (with ArcSinh normalization of select criteria)]],"")</f>
        <v/>
      </c>
      <c r="CD165" s="200">
        <f>IF(FMS_Ranking4[[#This Row],[FMS Type]]="Other",FMS_Ranking4[[#This Row],[Rank (with ArcSinh normalization of select criteria)]],"")</f>
        <v>158</v>
      </c>
      <c r="CE165" s="201"/>
      <c r="CF165" s="206"/>
      <c r="CG165" s="206"/>
      <c r="CH165" s="206"/>
      <c r="CI165" s="206"/>
      <c r="CJ165" s="206"/>
      <c r="CK165" s="206"/>
      <c r="CL165" s="206"/>
      <c r="CM165" s="206"/>
      <c r="CN165" s="206"/>
      <c r="CO165" s="206"/>
      <c r="CP165" s="206"/>
      <c r="CQ165" s="206"/>
      <c r="CR165" s="206"/>
    </row>
    <row r="166" spans="2:96" ht="30" x14ac:dyDescent="0.25">
      <c r="B166" s="341" t="s">
        <v>1008</v>
      </c>
      <c r="C166" s="246">
        <f>_xlfn.XLOOKUP(FMS_Ranking4[[#This Row],[FMS ID]],FMS_Input[FMS_ID],FMS_Input[RFPG_NUM])</f>
        <v>9</v>
      </c>
      <c r="D166" s="309" t="str">
        <f>_xlfn.XLOOKUP(FMS_Ranking4[[#This Row],[FMS ID]],FMS_Input[FMS_ID],FMS_Input[FMS_NAME])</f>
        <v>Coke County NFIP Application</v>
      </c>
      <c r="E166" s="308" t="str">
        <f>_xlfn.XLOOKUP(FMS_Ranking4[[#This Row],[FMS ID]],FMS_Input[FMS_ID],FMS_Input[SPONSOR])</f>
        <v>09000147</v>
      </c>
      <c r="F166" s="309" t="str">
        <f>_xlfn.XLOOKUP(FMS_Ranking4[[#This Row],[FMS ID]],Sponsor[FMS_ID],Sponsor[SPONSOR NAME])</f>
        <v>Coke</v>
      </c>
      <c r="G166" s="309" t="str">
        <f>_xlfn.XLOOKUP(FMS_Ranking4[[#This Row],[FMS ID]],FMS_Input[FMS_ID],FMS_Input[FMS_DESCR])</f>
        <v>Application to join the NFIP</v>
      </c>
      <c r="H166" s="248" t="str">
        <f>_xlfn.XLOOKUP(FMS_Ranking4[[#This Row],[FMS ID]],FMS_Input[FMS_ID],FMS_Input[FMS_TYPE])</f>
        <v>Other</v>
      </c>
      <c r="I166" s="249">
        <f>_xlfn.XLOOKUP(FMS_Ranking4[[#This Row],[FMS ID]],FMS_Input[FMS_ID],FMS_Input[NRNC_COST])</f>
        <v>75000</v>
      </c>
      <c r="J166" s="250">
        <f>_xlfn.XLOOKUP(FMS_Ranking4[[#This Row],[FMS ID]],FMS_Input[FMS_ID],FMS_Input[FMS_COST])</f>
        <v>100000</v>
      </c>
      <c r="K166" s="251" t="str">
        <f>_xlfn.XLOOKUP(FMS_Ranking4[[#This Row],[FMS ID]],FMS_Input[FMS_ID],FMS_Input[EMER_NEED])</f>
        <v>No</v>
      </c>
      <c r="L166" s="252">
        <f t="shared" si="2"/>
        <v>0</v>
      </c>
      <c r="M166" s="253">
        <f>_xlfn.XLOOKUP(FMS_Ranking4[[#This Row],[FMS ID]],FMS_Input[FMS_ID],FMS_Input[STRUCT_100])</f>
        <v>245</v>
      </c>
      <c r="N166" s="255">
        <f>(ASINH(FMS_Ranking4[[#This Row],[Structure at Risk Raw]]))*(10)/(ASINH(M$4))</f>
        <v>4.8697282186595157</v>
      </c>
      <c r="O166" s="256">
        <f>FMS_Ranking4[[#This Row],[Structures at risk, ArcSinh (0-10)]]*M$5*10</f>
        <v>4.8697282186595157</v>
      </c>
      <c r="P166" s="253">
        <f>_xlfn.XLOOKUP(FMS_Ranking4[[#This Row],[FMS ID]],FMS_Input[FMS_ID],FMS_Input[RES_STRUCT100])</f>
        <v>104</v>
      </c>
      <c r="Q166" s="257">
        <f>ASINH(FMS_Ranking4[[#This Row],[Res Structure Raw]])/Q$4*P$5*100</f>
        <v>0</v>
      </c>
      <c r="R166" s="253">
        <f>_xlfn.XLOOKUP(FMS_Ranking4[[#This Row],[FMS ID]],FMS_Input[FMS_ID],FMS_Input[POP100])</f>
        <v>124</v>
      </c>
      <c r="S166" s="259">
        <f>(ASINH(FMS_Ranking4[[#This Row],[Pop at Risk Raw]]))*(10)/(ASINH(R$4))</f>
        <v>3.8062520682263559</v>
      </c>
      <c r="T166" s="256">
        <f>FMS_Ranking4[[#This Row],[Population at risk, ArcSinh (0-10)]]*R$5*10</f>
        <v>3.8062520682263563</v>
      </c>
      <c r="U166" s="253">
        <f>_xlfn.XLOOKUP(FMS_Ranking4[[#This Row],[FMS ID]],FMS_Input[FMS_ID],FMS_Input[CRITFAC100])</f>
        <v>0</v>
      </c>
      <c r="V166" s="259">
        <f>(ASINH(FMS_Ranking4[[#This Row],[Critical Facilities Raw]]))*(10)/(ASINH(U$4))</f>
        <v>0</v>
      </c>
      <c r="W166" s="256">
        <f>FMS_Ranking4[[#This Row],[Critical facilities at risk, ArcSinh (0-10)]]*U$5*10</f>
        <v>0</v>
      </c>
      <c r="X166" s="253">
        <f>_xlfn.XLOOKUP(FMS_Ranking4[[#This Row],[FMS ID]],FMS_Input[FMS_ID],FMS_Input[LWC])</f>
        <v>14</v>
      </c>
      <c r="Y166" s="259">
        <f>(ASINH(FMS_Ranking4[[#This Row],[LWC Raw]]))*(10)/(ASINH(X$4))</f>
        <v>4.515988019016449</v>
      </c>
      <c r="Z166" s="256">
        <f>FMS_Ranking4[[#This Row],[LWC, ArcSInh (0-10)]]*X$5*10</f>
        <v>4.515988019016449</v>
      </c>
      <c r="AA166" s="253">
        <f>_xlfn.XLOOKUP(FMS_Ranking4[[#This Row],[FMS ID]],FMS_Input[FMS_ID],FMS_Input[ROADCLS])</f>
        <v>0</v>
      </c>
      <c r="AB166" s="255">
        <f>(ASINH(FMS_Ranking4[[#This Row],[Road Closures Raw]]))*(10)/(ASINH(AA$4))</f>
        <v>0</v>
      </c>
      <c r="AC166" s="256">
        <f>FMS_Ranking4[[#This Row],[Road closures, ArcSinh (0-10)]]*AA$5*10</f>
        <v>0</v>
      </c>
      <c r="AD166" s="253">
        <f>_xlfn.XLOOKUP(FMS_Ranking4[[#This Row],[FMS ID]],FMS_Input[FMS_ID],FMS_Input[ROAD_MILES100])</f>
        <v>55</v>
      </c>
      <c r="AE166" s="259">
        <f>(ASINH(FMS_Ranking4[[#This Row],[Road Miles Raw]]))*(10)/(ASINH(AD$4))</f>
        <v>5.0095069193521171</v>
      </c>
      <c r="AF166" s="256">
        <f>FMS_Ranking4[[#This Row],[Length of roads at risk, ArcSinh (0-10)]]*AD$5*10</f>
        <v>5.0095069193521171</v>
      </c>
      <c r="AG166" s="253">
        <f>_xlfn.XLOOKUP(FMS_Ranking4[[#This Row],[FMS ID]],FMS_Input[FMS_ID],FMS_Input[FARMACRE100])</f>
        <v>5435.48291015625</v>
      </c>
      <c r="AH166" s="255">
        <f>(ASINH(FMS_Ranking4[[#This Row],[Ag Land Raw]]))*(10)/(ASINH(AG$4))</f>
        <v>6.0371132820012461</v>
      </c>
      <c r="AI166" s="260">
        <f>FMS_Ranking4[[#This Row],[Farm &amp; ranch land, ArcSinh (0-10)]]*AG$5*10</f>
        <v>3.018556641000623</v>
      </c>
      <c r="AJ166" s="258">
        <f>_xlfn.XLOOKUP(FMS_Ranking4[[#This Row],[FMS ID]],FMS_Input[FMS_ID],FMS_Input[REDSTRUCT100])</f>
        <v>62</v>
      </c>
      <c r="AK166" s="253">
        <f>_xlfn.XLOOKUP(FMS_Ranking4[[#This Row],[FMS ID]],FMS_Input[FMS_ID],FMS_Input[REMSTRC100])</f>
        <v>62</v>
      </c>
      <c r="AL166" s="259">
        <f>(ASINH(FMS_Ranking4[[#This Row],[Structures Removed Raw]]))*(10)/(ASINH(AK$4))</f>
        <v>5.4883086785599691</v>
      </c>
      <c r="AM166" s="262">
        <f>FMS_Ranking4[[#This Row],[Structures removed, ArcSinh (0-10)]]*AK$5*10</f>
        <v>5.4883086785599691</v>
      </c>
      <c r="AN166" s="253">
        <f>_xlfn.XLOOKUP(FMS_Ranking4[[#This Row],[FMS ID]],FMS_Input[FMS_ID],FMS_Input[REMRESSTRC100])</f>
        <v>26</v>
      </c>
      <c r="AO166" s="261">
        <f>FMS_Ranking4[[#This Row],[ArcSinh Res struct removed 0-10]]*AN$5*10</f>
        <v>2.3177258080219643</v>
      </c>
      <c r="AP166" s="260">
        <f>ASINH(FMS_Ranking4[[#This Row],[Residential Structures Removed Raw]])/AP$4*AN$5*100</f>
        <v>2.3177258080219643</v>
      </c>
      <c r="AQ166" s="254">
        <f>(ASINH(FMS_Ranking4[[#This Row],[Residential Structures Removed Raw]]))*(10)/(ASINH(AN$4))</f>
        <v>4.6354516160439285</v>
      </c>
      <c r="AR166" s="253">
        <f>_xlfn.XLOOKUP(FMS_Ranking4[[#This Row],[FMS ID]],FMS_Input[FMS_ID],FMS_Input[REMPOP100])</f>
        <v>43</v>
      </c>
      <c r="AS166" s="259">
        <f>(ASINH(FMS_Ranking4[[#This Row],[Removed Pop Raw]]))*(10)/(ASINH(AR$4))</f>
        <v>4.3726110615761158</v>
      </c>
      <c r="AT166" s="262">
        <f>FMS_Ranking4[[#This Row],[Removed population, ArcSinh (0-10)]]*AR$5*10</f>
        <v>4.3726110615761158</v>
      </c>
      <c r="AU166" s="264">
        <f>_xlfn.XLOOKUP(FMS_Ranking4[[#This Row],[FMS ID]],FMS_Input[FMS_ID],FMS_Input[REMCRITFAC100])</f>
        <v>0</v>
      </c>
      <c r="AV166" s="264">
        <f>_xlfn.XLOOKUP(FMS_Ranking4[[#This Row],[FMS ID]],FMS_Input[FMS_ID],FMS_Input[REMLWC100])</f>
        <v>3</v>
      </c>
      <c r="AW166" s="264">
        <f>_xlfn.XLOOKUP(FMS_Ranking4[[#This Row],[FMS ID]],FMS_Input[FMS_ID],FMS_Input[REMROADCLS])</f>
        <v>0</v>
      </c>
      <c r="AX166" s="264">
        <f>_xlfn.XLOOKUP(FMS_Ranking4[[#This Row],[FMS ID]],FMS_Input[FMS_ID],FMS_Input[REMFRMACRE100])</f>
        <v>1358.870727539062</v>
      </c>
      <c r="AY166" s="258">
        <f>_xlfn.XLOOKUP(FMS_Ranking4[[#This Row],[FMS ID]],FMS_Input[FMS_ID],FMS_Input[COSTSTRUCT])</f>
        <v>25000</v>
      </c>
      <c r="AZ166" s="253">
        <f>_xlfn.XLOOKUP(FMS_Ranking4[[#This Row],[FMS ID]],FMS_Input[FMS_ID],FMS_Input[NATURE])</f>
        <v>0</v>
      </c>
      <c r="BA166" s="262">
        <f>(((FMS_Ranking4[[#This Row],[% NBS Raw]]/AZ$4)*100)*AZ$5)</f>
        <v>0</v>
      </c>
      <c r="BB166" s="251" t="str">
        <f>_xlfn.XLOOKUP(FMS_Ranking4[[#This Row],[FMS ID]],FMS_Input[FMS_ID],FMS_Input[WATER_SUP])</f>
        <v>No</v>
      </c>
      <c r="BC166" s="265">
        <f>IF(FMS_Ranking4[[#This Row],[Water Supply Raw]]="Yes",10,0)</f>
        <v>0</v>
      </c>
      <c r="BD166" s="266">
        <f>_xlfn.XLOOKUP(FMS_Ranking4[[#This Row],[FMS Type]],FMS_TYPE[FMS_Type],FMS_TYPE[Score])</f>
        <v>2</v>
      </c>
      <c r="BE166" s="267">
        <f>FMS_Ranking4[[#This Row],[FMS_Type Score]]*$BD$5*10</f>
        <v>0.5</v>
      </c>
      <c r="BF16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0.29400362946829556</v>
      </c>
      <c r="BG166" s="271">
        <f>_xlfn.RANK.EQ(BF166,$BF$8:$BF$870,0)+COUNTIF($BF$8:BF166,BF166)-1</f>
        <v>307</v>
      </c>
      <c r="BH166" s="268">
        <f>(((FMS_Ranking4[[#This Row],[Structures Removed Raw]]/AK$4)*100)*AK$5)+(((FMS_Ranking4[[#This Row],[Removed Pop Raw]]/AR$4)*100)*AR$5)</f>
        <v>0.22250280834335484</v>
      </c>
      <c r="BI16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1.0165064378116504</v>
      </c>
      <c r="BJ166" s="205">
        <f>_xlfn.RANK.EQ(FMS_Ranking4[[#This Row],[Total Score 
(with linear
normalization)]],FMS_Ranking4[Total Score 
(with linear
normalization)],0)</f>
        <v>724</v>
      </c>
      <c r="BK166" s="205" t="e">
        <f>_xlfn.XLOOKUP(FMS_Ranking4[[#This Row],[FMS ID]],#REF!,#REF!)</f>
        <v>#REF!</v>
      </c>
      <c r="BL16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33.398677414413115</v>
      </c>
      <c r="BM166" s="272">
        <f>FMS_Ranking4[[#This Row],[ArcSinh Score Based on Normalized Reported Factors]]+FMS_Ranking4[[#This Row],[% NBS Score (Normalized)]]+(FMS_Ranking4[[#This Row],[Water Supply Score (Normalized)]]*10*$BB$5)+FMS_Ranking4[[#This Row],[FMS_Type Score Weighted]]</f>
        <v>33.898677414413115</v>
      </c>
      <c r="BN166" s="205">
        <f>_xlfn.RANK.EQ(FMS_Ranking4[[#This Row],[Total Score (with ArcSinh normalization of select criteria)]],FMS_Ranking4[Total Score (with ArcSinh normalization of select criteria)],0)</f>
        <v>158</v>
      </c>
      <c r="BO166" s="270" t="str">
        <f>_xlfn.XLOOKUP(FMS_Ranking4[[#This Row],[FMS ID]],FMS_Input[FMS_ID],FMS_Input[FMS_RANK_YEAR])</f>
        <v>2023 Amended Plan</v>
      </c>
      <c r="BP166" s="204">
        <f>_xlfn.XLOOKUP(FMS_Ranking4[[#This Row],[FMS ID]],Prev_Rank[FMS ID],Prev_Rank[Prev Rank])</f>
        <v>146</v>
      </c>
      <c r="BQ166" s="205" t="e">
        <f>_xlfn.XLOOKUP(FMS_Ranking4[[#This Row],[FMS ID]],#REF!,#REF!)</f>
        <v>#REF!</v>
      </c>
      <c r="BR166" s="199" t="e">
        <f>SUM(#REF!,#REF!,#REF!,#REF!,#REF!,#REF!,#REF!,#REF!,#REF!,FMS_Ranking4[[#This Row],[ArcSinh Res struct removed 0-10]],#REF!)</f>
        <v>#REF!</v>
      </c>
      <c r="BS166" s="199" t="e">
        <f>FMS_Ranking4[[#This Row],[Log Score Based on Normalized Reported Factors]]+FMS_Ranking4[[#This Row],[% NBS Score (Normalized)]]+(FMS_Ranking4[[#This Row],[Water Supply Score (Normalized)]]*10*$BB$5)+(FMS_Ranking4[[#This Row],[FMS_Type Score Weighted]])</f>
        <v>#REF!</v>
      </c>
      <c r="BT166" s="200" t="e">
        <f>_xlfn.RANK.EQ(FMS_Ranking4[[#This Row],[Log Total Score]],FMS_Ranking4[Log Total Score],0)</f>
        <v>#REF!</v>
      </c>
      <c r="BU166" s="200" t="e">
        <f>_xlfn.XLOOKUP(FMS_Ranking4[[#This Row],[FMS ID]],#REF!,#REF!)</f>
        <v>#REF!</v>
      </c>
      <c r="BV166" s="200">
        <f>FMS_Ranking4[[#This Row],[Region Number]]</f>
        <v>9</v>
      </c>
      <c r="BW166" s="200">
        <f>FMS_Ranking4[[#This Row],[Rank (with ArcSinh normalization of select criteria)]]-FMS_Ranking4[[#This Row],[Rank
(with linear
normalization)]]</f>
        <v>-566</v>
      </c>
      <c r="BX166" s="200" t="e">
        <f>FMS_Ranking4[[#This Row],[Log Rank]]-FMS_Ranking4[[#This Row],[Rank
(with linear
normalization)]]</f>
        <v>#REF!</v>
      </c>
      <c r="BY166" s="200" t="str">
        <f>IF(FMS_Ranking4[[#This Row],[FMS Type]]="Flood Measurement and Warning",FMS_Ranking4[[#This Row],[Rank (with ArcSinh normalization of select criteria)]],"")</f>
        <v/>
      </c>
      <c r="BZ166" s="200" t="str">
        <f>IF(FMS_Ranking4[[#This Row],[FMS Type]]="Regulatory and Guidance",FMS_Ranking4[[#This Row],[Rank (with ArcSinh normalization of select criteria)]],"")</f>
        <v/>
      </c>
      <c r="CA166" s="200" t="str">
        <f>IF(FMS_Ranking4[[#This Row],[FMS Type]]="Education and Outreach",FMS_Ranking4[[#This Row],[Rank (with ArcSinh normalization of select criteria)]],"")</f>
        <v/>
      </c>
      <c r="CB166" s="200" t="str">
        <f>IF(FMS_Ranking4[[#This Row],[FMS Type]]="Property Acquisition and Structural Elevation",FMS_Ranking4[[#This Row],[Rank (with ArcSinh normalization of select criteria)]],"")</f>
        <v/>
      </c>
      <c r="CC166" s="200" t="str">
        <f>IF(FMS_Ranking4[[#This Row],[FMS Type]]="Infrastructure Projects",FMS_Ranking4[[#This Row],[Rank (with ArcSinh normalization of select criteria)]],"")</f>
        <v/>
      </c>
      <c r="CD166" s="200">
        <f>IF(FMS_Ranking4[[#This Row],[FMS Type]]="Other",FMS_Ranking4[[#This Row],[Rank (with ArcSinh normalization of select criteria)]],"")</f>
        <v>158</v>
      </c>
      <c r="CE166" s="201"/>
      <c r="CF166" s="206"/>
      <c r="CG166" s="206"/>
      <c r="CH166" s="206"/>
      <c r="CI166" s="206"/>
      <c r="CJ166" s="206"/>
      <c r="CK166" s="206"/>
      <c r="CL166" s="206"/>
      <c r="CM166" s="206"/>
      <c r="CN166" s="206"/>
      <c r="CO166" s="206"/>
      <c r="CP166" s="206"/>
      <c r="CQ166" s="206"/>
      <c r="CR166" s="206"/>
    </row>
    <row r="167" spans="2:96" ht="120" x14ac:dyDescent="0.25">
      <c r="B167" s="341" t="s">
        <v>12065</v>
      </c>
      <c r="C167" s="246">
        <f>_xlfn.XLOOKUP(FMS_Ranking4[[#This Row],[FMS ID]],FMS_Input[FMS_ID],FMS_Input[RFPG_NUM])</f>
        <v>4</v>
      </c>
      <c r="D167" s="309" t="str">
        <f>_xlfn.XLOOKUP(FMS_Ranking4[[#This Row],[FMS ID]],FMS_Input[FMS_ID],FMS_Input[FMS_NAME])</f>
        <v>City of Orange Updates to Flood-Related Ordinances and Criteria</v>
      </c>
      <c r="E167" s="308" t="str">
        <f>_xlfn.XLOOKUP(FMS_Ranking4[[#This Row],[FMS ID]],FMS_Input[FMS_ID],FMS_Input[SPONSOR])</f>
        <v>00002541</v>
      </c>
      <c r="F167" s="309" t="str">
        <f>_xlfn.XLOOKUP(FMS_Ranking4[[#This Row],[FMS ID]],Sponsor[FMS_ID],Sponsor[SPONSOR NAME])</f>
        <v>Orange</v>
      </c>
      <c r="G167" s="309" t="str">
        <f>_xlfn.XLOOKUP(FMS_Ranking4[[#This Row],[FMS ID]],FMS_Input[FMS_ID],FMS_Input[FMS_DESCR])</f>
        <v>Improve the long-range management and use of flood-prone areas by the adoption and enforcement of local ordinances to regulate new development within the floodplain. Review and revise ordinances, when needed.</v>
      </c>
      <c r="H167" s="248" t="str">
        <f>_xlfn.XLOOKUP(FMS_Ranking4[[#This Row],[FMS ID]],FMS_Input[FMS_ID],FMS_Input[FMS_TYPE])</f>
        <v>Infrastructure Projects</v>
      </c>
      <c r="I167" s="249">
        <f>_xlfn.XLOOKUP(FMS_Ranking4[[#This Row],[FMS ID]],FMS_Input[FMS_ID],FMS_Input[NRNC_COST])</f>
        <v>100000</v>
      </c>
      <c r="J167" s="250">
        <f>_xlfn.XLOOKUP(FMS_Ranking4[[#This Row],[FMS ID]],FMS_Input[FMS_ID],FMS_Input[FMS_COST])</f>
        <v>100000</v>
      </c>
      <c r="K167" s="251" t="str">
        <f>_xlfn.XLOOKUP(FMS_Ranking4[[#This Row],[FMS ID]],FMS_Input[FMS_ID],FMS_Input[EMER_NEED])</f>
        <v>Yes</v>
      </c>
      <c r="L167" s="252">
        <f t="shared" si="2"/>
        <v>1</v>
      </c>
      <c r="M167" s="253">
        <f>_xlfn.XLOOKUP(FMS_Ranking4[[#This Row],[FMS ID]],FMS_Input[FMS_ID],FMS_Input[STRUCT_100])</f>
        <v>4650</v>
      </c>
      <c r="N167" s="255">
        <f>(ASINH(FMS_Ranking4[[#This Row],[Structure at Risk Raw]]))*(10)/(ASINH(M$4))</f>
        <v>7.183647531871161</v>
      </c>
      <c r="O167" s="256">
        <f>FMS_Ranking4[[#This Row],[Structures at risk, ArcSinh (0-10)]]*M$5*10</f>
        <v>7.183647531871161</v>
      </c>
      <c r="P167" s="253">
        <f>_xlfn.XLOOKUP(FMS_Ranking4[[#This Row],[FMS ID]],FMS_Input[FMS_ID],FMS_Input[RES_STRUCT100])</f>
        <v>3705</v>
      </c>
      <c r="Q167" s="257">
        <f>ASINH(FMS_Ranking4[[#This Row],[Res Structure Raw]])/Q$4*P$5*100</f>
        <v>0</v>
      </c>
      <c r="R167" s="253">
        <f>_xlfn.XLOOKUP(FMS_Ranking4[[#This Row],[FMS ID]],FMS_Input[FMS_ID],FMS_Input[POP100])</f>
        <v>18497</v>
      </c>
      <c r="S167" s="259">
        <f>(ASINH(FMS_Ranking4[[#This Row],[Pop at Risk Raw]]))*(10)/(ASINH(R$4))</f>
        <v>7.2615405210173378</v>
      </c>
      <c r="T167" s="256">
        <f>FMS_Ranking4[[#This Row],[Population at risk, ArcSinh (0-10)]]*R$5*10</f>
        <v>7.2615405210173378</v>
      </c>
      <c r="U167" s="253">
        <f>_xlfn.XLOOKUP(FMS_Ranking4[[#This Row],[FMS ID]],FMS_Input[FMS_ID],FMS_Input[CRITFAC100])</f>
        <v>52</v>
      </c>
      <c r="V167" s="259">
        <f>(ASINH(FMS_Ranking4[[#This Row],[Critical Facilities Raw]]))*(10)/(ASINH(U$4))</f>
        <v>5.4979728231397988</v>
      </c>
      <c r="W167" s="256">
        <f>FMS_Ranking4[[#This Row],[Critical facilities at risk, ArcSinh (0-10)]]*U$5*10</f>
        <v>5.4979728231397997</v>
      </c>
      <c r="X167" s="253">
        <f>_xlfn.XLOOKUP(FMS_Ranking4[[#This Row],[FMS ID]],FMS_Input[FMS_ID],FMS_Input[LWC])</f>
        <v>12</v>
      </c>
      <c r="Y167" s="259">
        <f>(ASINH(FMS_Ranking4[[#This Row],[LWC Raw]]))*(10)/(ASINH(X$4))</f>
        <v>4.3077754583370957</v>
      </c>
      <c r="Z167" s="256">
        <f>FMS_Ranking4[[#This Row],[LWC, ArcSInh (0-10)]]*X$5*10</f>
        <v>4.3077754583370957</v>
      </c>
      <c r="AA167" s="253">
        <f>_xlfn.XLOOKUP(FMS_Ranking4[[#This Row],[FMS ID]],FMS_Input[FMS_ID],FMS_Input[ROADCLS])</f>
        <v>0</v>
      </c>
      <c r="AB167" s="255">
        <f>(ASINH(FMS_Ranking4[[#This Row],[Road Closures Raw]]))*(10)/(ASINH(AA$4))</f>
        <v>0</v>
      </c>
      <c r="AC167" s="256">
        <f>FMS_Ranking4[[#This Row],[Road closures, ArcSinh (0-10)]]*AA$5*10</f>
        <v>0</v>
      </c>
      <c r="AD167" s="253">
        <f>_xlfn.XLOOKUP(FMS_Ranking4[[#This Row],[FMS ID]],FMS_Input[FMS_ID],FMS_Input[ROAD_MILES100])</f>
        <v>134</v>
      </c>
      <c r="AE167" s="259">
        <f>(ASINH(FMS_Ranking4[[#This Row],[Road Miles Raw]]))*(10)/(ASINH(AD$4))</f>
        <v>5.9584687428595151</v>
      </c>
      <c r="AF167" s="256">
        <f>FMS_Ranking4[[#This Row],[Length of roads at risk, ArcSinh (0-10)]]*AD$5*10</f>
        <v>5.9584687428595151</v>
      </c>
      <c r="AG167" s="253">
        <f>_xlfn.XLOOKUP(FMS_Ranking4[[#This Row],[FMS ID]],FMS_Input[FMS_ID],FMS_Input[FARMACRE100])</f>
        <v>1537.31005859375</v>
      </c>
      <c r="AH167" s="255">
        <f>(ASINH(FMS_Ranking4[[#This Row],[Ag Land Raw]]))*(10)/(ASINH(AG$4))</f>
        <v>5.2167476870719804</v>
      </c>
      <c r="AI167" s="260">
        <f>FMS_Ranking4[[#This Row],[Farm &amp; ranch land, ArcSinh (0-10)]]*AG$5*10</f>
        <v>2.6083738435359907</v>
      </c>
      <c r="AJ167" s="258">
        <f>_xlfn.XLOOKUP(FMS_Ranking4[[#This Row],[FMS ID]],FMS_Input[FMS_ID],FMS_Input[REDSTRUCT100])</f>
        <v>0</v>
      </c>
      <c r="AK167" s="253">
        <f>_xlfn.XLOOKUP(FMS_Ranking4[[#This Row],[FMS ID]],FMS_Input[FMS_ID],FMS_Input[REMSTRC100])</f>
        <v>0</v>
      </c>
      <c r="AL167" s="259">
        <f>(ASINH(FMS_Ranking4[[#This Row],[Structures Removed Raw]]))*(10)/(ASINH(AK$4))</f>
        <v>0</v>
      </c>
      <c r="AM167" s="262">
        <f>FMS_Ranking4[[#This Row],[Structures removed, ArcSinh (0-10)]]*AK$5*10</f>
        <v>0</v>
      </c>
      <c r="AN167" s="253">
        <f>_xlfn.XLOOKUP(FMS_Ranking4[[#This Row],[FMS ID]],FMS_Input[FMS_ID],FMS_Input[REMRESSTRC100])</f>
        <v>0</v>
      </c>
      <c r="AO167" s="261">
        <f>FMS_Ranking4[[#This Row],[ArcSinh Res struct removed 0-10]]*AN$5*10</f>
        <v>0</v>
      </c>
      <c r="AP167" s="260">
        <f>ASINH(FMS_Ranking4[[#This Row],[Residential Structures Removed Raw]])/AP$4*AN$5*100</f>
        <v>0</v>
      </c>
      <c r="AQ167" s="254">
        <f>(ASINH(FMS_Ranking4[[#This Row],[Residential Structures Removed Raw]]))*(10)/(ASINH(AN$4))</f>
        <v>0</v>
      </c>
      <c r="AR167" s="253">
        <f>_xlfn.XLOOKUP(FMS_Ranking4[[#This Row],[FMS ID]],FMS_Input[FMS_ID],FMS_Input[REMPOP100])</f>
        <v>0</v>
      </c>
      <c r="AS167" s="259">
        <f>(ASINH(FMS_Ranking4[[#This Row],[Removed Pop Raw]]))*(10)/(ASINH(AR$4))</f>
        <v>0</v>
      </c>
      <c r="AT167" s="262">
        <f>FMS_Ranking4[[#This Row],[Removed population, ArcSinh (0-10)]]*AR$5*10</f>
        <v>0</v>
      </c>
      <c r="AU167" s="264">
        <f>_xlfn.XLOOKUP(FMS_Ranking4[[#This Row],[FMS ID]],FMS_Input[FMS_ID],FMS_Input[REMCRITFAC100])</f>
        <v>0</v>
      </c>
      <c r="AV167" s="264">
        <f>_xlfn.XLOOKUP(FMS_Ranking4[[#This Row],[FMS ID]],FMS_Input[FMS_ID],FMS_Input[REMLWC100])</f>
        <v>0</v>
      </c>
      <c r="AW167" s="264">
        <f>_xlfn.XLOOKUP(FMS_Ranking4[[#This Row],[FMS ID]],FMS_Input[FMS_ID],FMS_Input[REMROADCLS])</f>
        <v>0</v>
      </c>
      <c r="AX167" s="264">
        <f>_xlfn.XLOOKUP(FMS_Ranking4[[#This Row],[FMS ID]],FMS_Input[FMS_ID],FMS_Input[REMFRMACRE100])</f>
        <v>0</v>
      </c>
      <c r="AY167" s="258">
        <f>_xlfn.XLOOKUP(FMS_Ranking4[[#This Row],[FMS ID]],FMS_Input[FMS_ID],FMS_Input[COSTSTRUCT])</f>
        <v>0</v>
      </c>
      <c r="AZ167" s="253">
        <f>_xlfn.XLOOKUP(FMS_Ranking4[[#This Row],[FMS ID]],FMS_Input[FMS_ID],FMS_Input[NATURE])</f>
        <v>0</v>
      </c>
      <c r="BA167" s="262">
        <f>(((FMS_Ranking4[[#This Row],[% NBS Raw]]/AZ$4)*100)*AZ$5)</f>
        <v>0</v>
      </c>
      <c r="BB167" s="251" t="str">
        <f>_xlfn.XLOOKUP(FMS_Ranking4[[#This Row],[FMS ID]],FMS_Input[FMS_ID],FMS_Input[WATER_SUP])</f>
        <v>No</v>
      </c>
      <c r="BC167" s="265">
        <f>IF(FMS_Ranking4[[#This Row],[Water Supply Raw]]="Yes",10,0)</f>
        <v>0</v>
      </c>
      <c r="BD167" s="266">
        <f>_xlfn.XLOOKUP(FMS_Ranking4[[#This Row],[FMS Type]],FMS_TYPE[FMS_Type],FMS_TYPE[Score])</f>
        <v>4</v>
      </c>
      <c r="BE167" s="267">
        <f>FMS_Ranking4[[#This Row],[FMS_Type Score]]*$BD$5*10</f>
        <v>1</v>
      </c>
      <c r="BF16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1.0684552247111332</v>
      </c>
      <c r="BG167" s="269">
        <f>_xlfn.RANK.EQ(BF167,$BF$8:$BF$870,0)+COUNTIF($BF$8:BF167,BF167)-1</f>
        <v>137</v>
      </c>
      <c r="BH167" s="268">
        <f>(((FMS_Ranking4[[#This Row],[Structures Removed Raw]]/AK$4)*100)*AK$5)+(((FMS_Ranking4[[#This Row],[Removed Pop Raw]]/AR$4)*100)*AR$5)</f>
        <v>0</v>
      </c>
      <c r="BI16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2.0684552247111334</v>
      </c>
      <c r="BJ167" s="204">
        <f>_xlfn.RANK.EQ(FMS_Ranking4[[#This Row],[Total Score 
(with linear
normalization)]],FMS_Ranking4[Total Score 
(with linear
normalization)],0)</f>
        <v>378</v>
      </c>
      <c r="BK167" s="204" t="e">
        <f>_xlfn.XLOOKUP(FMS_Ranking4[[#This Row],[FMS ID]],#REF!,#REF!)</f>
        <v>#REF!</v>
      </c>
      <c r="BL167"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32.817778920760901</v>
      </c>
      <c r="BM167" s="270">
        <f>FMS_Ranking4[[#This Row],[ArcSinh Score Based on Normalized Reported Factors]]+FMS_Ranking4[[#This Row],[% NBS Score (Normalized)]]+(FMS_Ranking4[[#This Row],[Water Supply Score (Normalized)]]*10*$BB$5)+FMS_Ranking4[[#This Row],[FMS_Type Score Weighted]]</f>
        <v>33.817778920760901</v>
      </c>
      <c r="BN167" s="204">
        <f>_xlfn.RANK.EQ(FMS_Ranking4[[#This Row],[Total Score (with ArcSinh normalization of select criteria)]],FMS_Ranking4[Total Score (with ArcSinh normalization of select criteria)],0)</f>
        <v>160</v>
      </c>
      <c r="BO167" s="270" t="str">
        <f>_xlfn.XLOOKUP(FMS_Ranking4[[#This Row],[FMS ID]],FMS_Input[FMS_ID],FMS_Input[FMS_RANK_YEAR])</f>
        <v>2025 Amended Plan</v>
      </c>
      <c r="BP167" s="204" t="e">
        <f>_xlfn.XLOOKUP(FMS_Ranking4[[#This Row],[FMS ID]],Prev_Rank[FMS ID],Prev_Rank[Prev Rank])</f>
        <v>#N/A</v>
      </c>
      <c r="BQ167" s="204" t="e">
        <f>_xlfn.XLOOKUP(FMS_Ranking4[[#This Row],[FMS ID]],#REF!,#REF!)</f>
        <v>#REF!</v>
      </c>
      <c r="BR167" s="199" t="e">
        <f>SUM(#REF!,#REF!,#REF!,#REF!,#REF!,#REF!,#REF!,#REF!,#REF!,FMS_Ranking4[[#This Row],[ArcSinh Res struct removed 0-10]],#REF!)</f>
        <v>#REF!</v>
      </c>
      <c r="BS167" s="199" t="e">
        <f>FMS_Ranking4[[#This Row],[Log Score Based on Normalized Reported Factors]]+FMS_Ranking4[[#This Row],[% NBS Score (Normalized)]]+(FMS_Ranking4[[#This Row],[Water Supply Score (Normalized)]]*10*$BB$5)+(FMS_Ranking4[[#This Row],[FMS_Type Score Weighted]])</f>
        <v>#REF!</v>
      </c>
      <c r="BT167" s="200" t="e">
        <f>_xlfn.RANK.EQ(FMS_Ranking4[[#This Row],[Log Total Score]],FMS_Ranking4[Log Total Score],0)</f>
        <v>#REF!</v>
      </c>
      <c r="BU167" s="200" t="e">
        <f>_xlfn.XLOOKUP(FMS_Ranking4[[#This Row],[FMS ID]],#REF!,#REF!)</f>
        <v>#REF!</v>
      </c>
      <c r="BV167" s="200">
        <f>FMS_Ranking4[[#This Row],[Region Number]]</f>
        <v>4</v>
      </c>
      <c r="BW167" s="200">
        <f>FMS_Ranking4[[#This Row],[Rank (with ArcSinh normalization of select criteria)]]-FMS_Ranking4[[#This Row],[Rank
(with linear
normalization)]]</f>
        <v>-218</v>
      </c>
      <c r="BX167" s="200" t="e">
        <f>FMS_Ranking4[[#This Row],[Log Rank]]-FMS_Ranking4[[#This Row],[Rank
(with linear
normalization)]]</f>
        <v>#REF!</v>
      </c>
      <c r="BY167" s="200" t="str">
        <f>IF(FMS_Ranking4[[#This Row],[FMS Type]]="Flood Measurement and Warning",FMS_Ranking4[[#This Row],[Rank (with ArcSinh normalization of select criteria)]],"")</f>
        <v/>
      </c>
      <c r="BZ167" s="200" t="str">
        <f>IF(FMS_Ranking4[[#This Row],[FMS Type]]="Regulatory and Guidance",FMS_Ranking4[[#This Row],[Rank (with ArcSinh normalization of select criteria)]],"")</f>
        <v/>
      </c>
      <c r="CA167" s="200" t="str">
        <f>IF(FMS_Ranking4[[#This Row],[FMS Type]]="Education and Outreach",FMS_Ranking4[[#This Row],[Rank (with ArcSinh normalization of select criteria)]],"")</f>
        <v/>
      </c>
      <c r="CB167" s="200" t="str">
        <f>IF(FMS_Ranking4[[#This Row],[FMS Type]]="Property Acquisition and Structural Elevation",FMS_Ranking4[[#This Row],[Rank (with ArcSinh normalization of select criteria)]],"")</f>
        <v/>
      </c>
      <c r="CC167" s="200">
        <f>IF(FMS_Ranking4[[#This Row],[FMS Type]]="Infrastructure Projects",FMS_Ranking4[[#This Row],[Rank (with ArcSinh normalization of select criteria)]],"")</f>
        <v>160</v>
      </c>
      <c r="CD167" s="200" t="str">
        <f>IF(FMS_Ranking4[[#This Row],[FMS Type]]="Other",FMS_Ranking4[[#This Row],[Rank (with ArcSinh normalization of select criteria)]],"")</f>
        <v/>
      </c>
      <c r="CE167" s="201"/>
      <c r="CF167" s="206"/>
      <c r="CG167" s="206"/>
      <c r="CH167" s="206"/>
      <c r="CI167" s="206"/>
      <c r="CJ167" s="206"/>
      <c r="CK167" s="206"/>
      <c r="CL167" s="206"/>
      <c r="CM167" s="206"/>
      <c r="CN167" s="206"/>
      <c r="CO167" s="206"/>
      <c r="CP167" s="206"/>
      <c r="CQ167" s="206"/>
      <c r="CR167" s="206"/>
    </row>
    <row r="168" spans="2:96" ht="105" x14ac:dyDescent="0.25">
      <c r="B168" s="341" t="s">
        <v>11976</v>
      </c>
      <c r="C168" s="246">
        <f>_xlfn.XLOOKUP(FMS_Ranking4[[#This Row],[FMS ID]],FMS_Input[FMS_ID],FMS_Input[RFPG_NUM])</f>
        <v>15</v>
      </c>
      <c r="D168" s="309" t="str">
        <f>_xlfn.XLOOKUP(FMS_Ranking4[[#This Row],[FMS ID]],FMS_Input[FMS_ID],FMS_Input[FMS_NAME])</f>
        <v>Cameron County Drainage District #1</v>
      </c>
      <c r="E168" s="308" t="str">
        <f>_xlfn.XLOOKUP(FMS_Ranking4[[#This Row],[FMS ID]],FMS_Input[FMS_ID],FMS_Input[SPONSOR])</f>
        <v>15000029</v>
      </c>
      <c r="F168" s="309" t="str">
        <f>_xlfn.XLOOKUP(FMS_Ranking4[[#This Row],[FMS ID]],Sponsor[FMS_ID],Sponsor[SPONSOR NAME])</f>
        <v>Cameron County Drainage District 1</v>
      </c>
      <c r="G168" s="309" t="str">
        <f>_xlfn.XLOOKUP(FMS_Ranking4[[#This Row],[FMS ID]],FMS_Input[FMS_ID],FMS_Input[FMS_DESCR])</f>
        <v>FMS 2 - Assessment, development, and updating of the City's ordinances, orders, policies, engineering specifications, guidance documents and other flood management tools.</v>
      </c>
      <c r="H168" s="248" t="str">
        <f>_xlfn.XLOOKUP(FMS_Ranking4[[#This Row],[FMS ID]],FMS_Input[FMS_ID],FMS_Input[FMS_TYPE])</f>
        <v>Regulatory and Guidance</v>
      </c>
      <c r="I168" s="249">
        <f>_xlfn.XLOOKUP(FMS_Ranking4[[#This Row],[FMS ID]],FMS_Input[FMS_ID],FMS_Input[NRNC_COST])</f>
        <v>500000</v>
      </c>
      <c r="J168" s="250">
        <f>_xlfn.XLOOKUP(FMS_Ranking4[[#This Row],[FMS ID]],FMS_Input[FMS_ID],FMS_Input[FMS_COST])</f>
        <v>500000</v>
      </c>
      <c r="K168" s="251" t="str">
        <f>_xlfn.XLOOKUP(FMS_Ranking4[[#This Row],[FMS ID]],FMS_Input[FMS_ID],FMS_Input[EMER_NEED])</f>
        <v>Yes</v>
      </c>
      <c r="L168" s="252">
        <f t="shared" si="2"/>
        <v>1</v>
      </c>
      <c r="M168" s="253">
        <f>_xlfn.XLOOKUP(FMS_Ranking4[[#This Row],[FMS ID]],FMS_Input[FMS_ID],FMS_Input[STRUCT_100])</f>
        <v>5622</v>
      </c>
      <c r="N168" s="255">
        <f>(ASINH(FMS_Ranking4[[#This Row],[Structure at Risk Raw]]))*(10)/(ASINH(M$4))</f>
        <v>7.3328745107790505</v>
      </c>
      <c r="O168" s="256">
        <f>FMS_Ranking4[[#This Row],[Structures at risk, ArcSinh (0-10)]]*M$5*10</f>
        <v>7.3328745107790505</v>
      </c>
      <c r="P168" s="253">
        <f>_xlfn.XLOOKUP(FMS_Ranking4[[#This Row],[FMS ID]],FMS_Input[FMS_ID],FMS_Input[RES_STRUCT100])</f>
        <v>4982</v>
      </c>
      <c r="Q168" s="257">
        <f>ASINH(FMS_Ranking4[[#This Row],[Res Structure Raw]])/Q$4*P$5*100</f>
        <v>0</v>
      </c>
      <c r="R168" s="253">
        <f>_xlfn.XLOOKUP(FMS_Ranking4[[#This Row],[FMS ID]],FMS_Input[FMS_ID],FMS_Input[POP100])</f>
        <v>17771</v>
      </c>
      <c r="S168" s="259">
        <f>(ASINH(FMS_Ranking4[[#This Row],[Pop at Risk Raw]]))*(10)/(ASINH(R$4))</f>
        <v>7.2338981351009535</v>
      </c>
      <c r="T168" s="256">
        <f>FMS_Ranking4[[#This Row],[Population at risk, ArcSinh (0-10)]]*R$5*10</f>
        <v>7.2338981351009535</v>
      </c>
      <c r="U168" s="253">
        <f>_xlfn.XLOOKUP(FMS_Ranking4[[#This Row],[FMS ID]],FMS_Input[FMS_ID],FMS_Input[CRITFAC100])</f>
        <v>60</v>
      </c>
      <c r="V168" s="259">
        <f>(ASINH(FMS_Ranking4[[#This Row],[Critical Facilities Raw]]))*(10)/(ASINH(U$4))</f>
        <v>5.6673432368716457</v>
      </c>
      <c r="W168" s="256">
        <f>FMS_Ranking4[[#This Row],[Critical facilities at risk, ArcSinh (0-10)]]*U$5*10</f>
        <v>5.6673432368716457</v>
      </c>
      <c r="X168" s="253">
        <f>_xlfn.XLOOKUP(FMS_Ranking4[[#This Row],[FMS ID]],FMS_Input[FMS_ID],FMS_Input[LWC])</f>
        <v>0</v>
      </c>
      <c r="Y168" s="259">
        <f>(ASINH(FMS_Ranking4[[#This Row],[LWC Raw]]))*(10)/(ASINH(X$4))</f>
        <v>0</v>
      </c>
      <c r="Z168" s="256">
        <f>FMS_Ranking4[[#This Row],[LWC, ArcSInh (0-10)]]*X$5*10</f>
        <v>0</v>
      </c>
      <c r="AA168" s="253">
        <f>_xlfn.XLOOKUP(FMS_Ranking4[[#This Row],[FMS ID]],FMS_Input[FMS_ID],FMS_Input[ROADCLS])</f>
        <v>480</v>
      </c>
      <c r="AB168" s="255">
        <f>(ASINH(FMS_Ranking4[[#This Row],[Road Closures Raw]]))*(10)/(ASINH(AA$4))</f>
        <v>7.151281877228973</v>
      </c>
      <c r="AC168" s="256">
        <f>FMS_Ranking4[[#This Row],[Road closures, ArcSinh (0-10)]]*AA$5*10</f>
        <v>3.5756409386144865</v>
      </c>
      <c r="AD168" s="253">
        <f>_xlfn.XLOOKUP(FMS_Ranking4[[#This Row],[FMS ID]],FMS_Input[FMS_ID],FMS_Input[ROAD_MILES100])</f>
        <v>224</v>
      </c>
      <c r="AE168" s="259">
        <f>(ASINH(FMS_Ranking4[[#This Row],[Road Miles Raw]]))*(10)/(ASINH(AD$4))</f>
        <v>6.5060353190317857</v>
      </c>
      <c r="AF168" s="256">
        <f>FMS_Ranking4[[#This Row],[Length of roads at risk, ArcSinh (0-10)]]*AD$5*10</f>
        <v>6.5060353190317866</v>
      </c>
      <c r="AG168" s="253">
        <f>_xlfn.XLOOKUP(FMS_Ranking4[[#This Row],[FMS ID]],FMS_Input[FMS_ID],FMS_Input[FARMACRE100])</f>
        <v>29.278520584106449</v>
      </c>
      <c r="AH168" s="255">
        <f>(ASINH(FMS_Ranking4[[#This Row],[Ag Land Raw]]))*(10)/(ASINH(AG$4))</f>
        <v>2.6439868105654658</v>
      </c>
      <c r="AI168" s="260">
        <f>FMS_Ranking4[[#This Row],[Farm &amp; ranch land, ArcSinh (0-10)]]*AG$5*10</f>
        <v>1.3219934052827329</v>
      </c>
      <c r="AJ168" s="258">
        <f>_xlfn.XLOOKUP(FMS_Ranking4[[#This Row],[FMS ID]],FMS_Input[FMS_ID],FMS_Input[REDSTRUCT100])</f>
        <v>0</v>
      </c>
      <c r="AK168" s="253">
        <f>_xlfn.XLOOKUP(FMS_Ranking4[[#This Row],[FMS ID]],FMS_Input[FMS_ID],FMS_Input[REMSTRC100])</f>
        <v>0</v>
      </c>
      <c r="AL168" s="259">
        <f>(ASINH(FMS_Ranking4[[#This Row],[Structures Removed Raw]]))*(10)/(ASINH(AK$4))</f>
        <v>0</v>
      </c>
      <c r="AM168" s="262">
        <f>FMS_Ranking4[[#This Row],[Structures removed, ArcSinh (0-10)]]*AK$5*10</f>
        <v>0</v>
      </c>
      <c r="AN168" s="253">
        <f>_xlfn.XLOOKUP(FMS_Ranking4[[#This Row],[FMS ID]],FMS_Input[FMS_ID],FMS_Input[REMRESSTRC100])</f>
        <v>0</v>
      </c>
      <c r="AO168" s="261">
        <f>FMS_Ranking4[[#This Row],[ArcSinh Res struct removed 0-10]]*AN$5*10</f>
        <v>0</v>
      </c>
      <c r="AP168" s="260">
        <f>ASINH(FMS_Ranking4[[#This Row],[Residential Structures Removed Raw]])/AP$4*AN$5*100</f>
        <v>0</v>
      </c>
      <c r="AQ168" s="254">
        <f>(ASINH(FMS_Ranking4[[#This Row],[Residential Structures Removed Raw]]))*(10)/(ASINH(AN$4))</f>
        <v>0</v>
      </c>
      <c r="AR168" s="253">
        <f>_xlfn.XLOOKUP(FMS_Ranking4[[#This Row],[FMS ID]],FMS_Input[FMS_ID],FMS_Input[REMPOP100])</f>
        <v>0</v>
      </c>
      <c r="AS168" s="259">
        <f>(ASINH(FMS_Ranking4[[#This Row],[Removed Pop Raw]]))*(10)/(ASINH(AR$4))</f>
        <v>0</v>
      </c>
      <c r="AT168" s="262">
        <f>FMS_Ranking4[[#This Row],[Removed population, ArcSinh (0-10)]]*AR$5*10</f>
        <v>0</v>
      </c>
      <c r="AU168" s="264">
        <f>_xlfn.XLOOKUP(FMS_Ranking4[[#This Row],[FMS ID]],FMS_Input[FMS_ID],FMS_Input[REMCRITFAC100])</f>
        <v>0</v>
      </c>
      <c r="AV168" s="264">
        <f>_xlfn.XLOOKUP(FMS_Ranking4[[#This Row],[FMS ID]],FMS_Input[FMS_ID],FMS_Input[REMLWC100])</f>
        <v>0</v>
      </c>
      <c r="AW168" s="264">
        <f>_xlfn.XLOOKUP(FMS_Ranking4[[#This Row],[FMS ID]],FMS_Input[FMS_ID],FMS_Input[REMROADCLS])</f>
        <v>0</v>
      </c>
      <c r="AX168" s="264">
        <f>_xlfn.XLOOKUP(FMS_Ranking4[[#This Row],[FMS ID]],FMS_Input[FMS_ID],FMS_Input[REMFRMACRE100])</f>
        <v>0</v>
      </c>
      <c r="AY168" s="258">
        <f>_xlfn.XLOOKUP(FMS_Ranking4[[#This Row],[FMS ID]],FMS_Input[FMS_ID],FMS_Input[COSTSTRUCT])</f>
        <v>0</v>
      </c>
      <c r="AZ168" s="253">
        <f>_xlfn.XLOOKUP(FMS_Ranking4[[#This Row],[FMS ID]],FMS_Input[FMS_ID],FMS_Input[NATURE])</f>
        <v>0</v>
      </c>
      <c r="BA168" s="262">
        <f>(((FMS_Ranking4[[#This Row],[% NBS Raw]]/AZ$4)*100)*AZ$5)</f>
        <v>0</v>
      </c>
      <c r="BB168" s="251" t="str">
        <f>_xlfn.XLOOKUP(FMS_Ranking4[[#This Row],[FMS ID]],FMS_Input[FMS_ID],FMS_Input[WATER_SUP])</f>
        <v>No</v>
      </c>
      <c r="BC168" s="265">
        <f>IF(FMS_Ranking4[[#This Row],[Water Supply Raw]]="Yes",10,0)</f>
        <v>0</v>
      </c>
      <c r="BD168" s="266">
        <f>_xlfn.XLOOKUP(FMS_Ranking4[[#This Row],[FMS Type]],FMS_TYPE[FMS_Type],FMS_TYPE[Score])</f>
        <v>8</v>
      </c>
      <c r="BE168" s="267">
        <f>FMS_Ranking4[[#This Row],[FMS_Type Score]]*$BD$5*10</f>
        <v>2</v>
      </c>
      <c r="BF16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1.4766427918205234</v>
      </c>
      <c r="BG168" s="271">
        <f>_xlfn.RANK.EQ(BF168,$BF$8:$BF$870,0)+COUNTIF($BF$8:BF168,BF168)-1</f>
        <v>112</v>
      </c>
      <c r="BH168" s="268">
        <f>(((FMS_Ranking4[[#This Row],[Structures Removed Raw]]/AK$4)*100)*AK$5)+(((FMS_Ranking4[[#This Row],[Removed Pop Raw]]/AR$4)*100)*AR$5)</f>
        <v>0</v>
      </c>
      <c r="BI16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3.4766427918205234</v>
      </c>
      <c r="BJ168" s="205">
        <f>_xlfn.RANK.EQ(FMS_Ranking4[[#This Row],[Total Score 
(with linear
normalization)]],FMS_Ranking4[Total Score 
(with linear
normalization)],0)</f>
        <v>149</v>
      </c>
      <c r="BK168" s="205" t="e">
        <f>_xlfn.XLOOKUP(FMS_Ranking4[[#This Row],[FMS ID]],#REF!,#REF!)</f>
        <v>#REF!</v>
      </c>
      <c r="BL16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31.637785545680657</v>
      </c>
      <c r="BM168" s="272">
        <f>FMS_Ranking4[[#This Row],[ArcSinh Score Based on Normalized Reported Factors]]+FMS_Ranking4[[#This Row],[% NBS Score (Normalized)]]+(FMS_Ranking4[[#This Row],[Water Supply Score (Normalized)]]*10*$BB$5)+FMS_Ranking4[[#This Row],[FMS_Type Score Weighted]]</f>
        <v>33.637785545680657</v>
      </c>
      <c r="BN168" s="205">
        <f>_xlfn.RANK.EQ(FMS_Ranking4[[#This Row],[Total Score (with ArcSinh normalization of select criteria)]],FMS_Ranking4[Total Score (with ArcSinh normalization of select criteria)],0)</f>
        <v>161</v>
      </c>
      <c r="BO168" s="270" t="str">
        <f>_xlfn.XLOOKUP(FMS_Ranking4[[#This Row],[FMS ID]],FMS_Input[FMS_ID],FMS_Input[FMS_RANK_YEAR])</f>
        <v>2025 Amended Plan</v>
      </c>
      <c r="BP168" s="204" t="e">
        <f>_xlfn.XLOOKUP(FMS_Ranking4[[#This Row],[FMS ID]],Prev_Rank[FMS ID],Prev_Rank[Prev Rank])</f>
        <v>#N/A</v>
      </c>
      <c r="BQ168" s="205" t="e">
        <f>_xlfn.XLOOKUP(FMS_Ranking4[[#This Row],[FMS ID]],#REF!,#REF!)</f>
        <v>#REF!</v>
      </c>
      <c r="BR168" s="199" t="e">
        <f>SUM(#REF!,#REF!,#REF!,#REF!,#REF!,#REF!,#REF!,#REF!,#REF!,FMS_Ranking4[[#This Row],[ArcSinh Res struct removed 0-10]],#REF!)</f>
        <v>#REF!</v>
      </c>
      <c r="BS168" s="199" t="e">
        <f>FMS_Ranking4[[#This Row],[Log Score Based on Normalized Reported Factors]]+FMS_Ranking4[[#This Row],[% NBS Score (Normalized)]]+(FMS_Ranking4[[#This Row],[Water Supply Score (Normalized)]]*10*$BB$5)+(FMS_Ranking4[[#This Row],[FMS_Type Score Weighted]])</f>
        <v>#REF!</v>
      </c>
      <c r="BT168" s="200" t="e">
        <f>_xlfn.RANK.EQ(FMS_Ranking4[[#This Row],[Log Total Score]],FMS_Ranking4[Log Total Score],0)</f>
        <v>#REF!</v>
      </c>
      <c r="BU168" s="200" t="e">
        <f>_xlfn.XLOOKUP(FMS_Ranking4[[#This Row],[FMS ID]],#REF!,#REF!)</f>
        <v>#REF!</v>
      </c>
      <c r="BV168" s="200">
        <f>FMS_Ranking4[[#This Row],[Region Number]]</f>
        <v>15</v>
      </c>
      <c r="BW168" s="200">
        <f>FMS_Ranking4[[#This Row],[Rank (with ArcSinh normalization of select criteria)]]-FMS_Ranking4[[#This Row],[Rank
(with linear
normalization)]]</f>
        <v>12</v>
      </c>
      <c r="BX168" s="200" t="e">
        <f>FMS_Ranking4[[#This Row],[Log Rank]]-FMS_Ranking4[[#This Row],[Rank
(with linear
normalization)]]</f>
        <v>#REF!</v>
      </c>
      <c r="BY168" s="200" t="str">
        <f>IF(FMS_Ranking4[[#This Row],[FMS Type]]="Flood Measurement and Warning",FMS_Ranking4[[#This Row],[Rank (with ArcSinh normalization of select criteria)]],"")</f>
        <v/>
      </c>
      <c r="BZ168" s="200">
        <f>IF(FMS_Ranking4[[#This Row],[FMS Type]]="Regulatory and Guidance",FMS_Ranking4[[#This Row],[Rank (with ArcSinh normalization of select criteria)]],"")</f>
        <v>161</v>
      </c>
      <c r="CA168" s="200" t="str">
        <f>IF(FMS_Ranking4[[#This Row],[FMS Type]]="Education and Outreach",FMS_Ranking4[[#This Row],[Rank (with ArcSinh normalization of select criteria)]],"")</f>
        <v/>
      </c>
      <c r="CB168" s="200" t="str">
        <f>IF(FMS_Ranking4[[#This Row],[FMS Type]]="Property Acquisition and Structural Elevation",FMS_Ranking4[[#This Row],[Rank (with ArcSinh normalization of select criteria)]],"")</f>
        <v/>
      </c>
      <c r="CC168" s="200" t="str">
        <f>IF(FMS_Ranking4[[#This Row],[FMS Type]]="Infrastructure Projects",FMS_Ranking4[[#This Row],[Rank (with ArcSinh normalization of select criteria)]],"")</f>
        <v/>
      </c>
      <c r="CD168" s="200" t="str">
        <f>IF(FMS_Ranking4[[#This Row],[FMS Type]]="Other",FMS_Ranking4[[#This Row],[Rank (with ArcSinh normalization of select criteria)]],"")</f>
        <v/>
      </c>
      <c r="CE168" s="201"/>
      <c r="CF168" s="206"/>
      <c r="CG168" s="206"/>
      <c r="CH168" s="206"/>
      <c r="CI168" s="206"/>
      <c r="CJ168" s="206"/>
      <c r="CK168" s="206"/>
      <c r="CL168" s="206"/>
      <c r="CM168" s="206"/>
      <c r="CN168" s="206"/>
      <c r="CO168" s="206"/>
      <c r="CP168" s="206"/>
      <c r="CQ168" s="206"/>
      <c r="CR168" s="206"/>
    </row>
    <row r="169" spans="2:96" ht="45" x14ac:dyDescent="0.25">
      <c r="B169" s="341" t="s">
        <v>1621</v>
      </c>
      <c r="C169" s="246">
        <f>_xlfn.XLOOKUP(FMS_Ranking4[[#This Row],[FMS ID]],FMS_Input[FMS_ID],FMS_Input[RFPG_NUM])</f>
        <v>2</v>
      </c>
      <c r="D169" s="309" t="str">
        <f>_xlfn.XLOOKUP(FMS_Ranking4[[#This Row],[FMS ID]],FMS_Input[FMS_ID],FMS_Input[FMS_NAME])</f>
        <v>Grayson County NFIP Involvement</v>
      </c>
      <c r="E169" s="308" t="str">
        <f>_xlfn.XLOOKUP(FMS_Ranking4[[#This Row],[FMS ID]],FMS_Input[FMS_ID],FMS_Input[SPONSOR])</f>
        <v>Grayson County</v>
      </c>
      <c r="F169" s="309" t="str">
        <f>_xlfn.XLOOKUP(FMS_Ranking4[[#This Row],[FMS ID]],Sponsor[FMS_ID],Sponsor[SPONSOR NAME])</f>
        <v>Grayson County</v>
      </c>
      <c r="G169" s="309" t="str">
        <f>_xlfn.XLOOKUP(FMS_Ranking4[[#This Row],[FMS ID]],FMS_Input[FMS_ID],FMS_Input[FMS_DESCR])</f>
        <v xml:space="preserve">Application to join NFIP or adoption of equivalent standards </v>
      </c>
      <c r="H169" s="248" t="str">
        <f>_xlfn.XLOOKUP(FMS_Ranking4[[#This Row],[FMS ID]],FMS_Input[FMS_ID],FMS_Input[FMS_TYPE])</f>
        <v>Regulatory and Guidance</v>
      </c>
      <c r="I169" s="249">
        <f>_xlfn.XLOOKUP(FMS_Ranking4[[#This Row],[FMS ID]],FMS_Input[FMS_ID],FMS_Input[NRNC_COST])</f>
        <v>100000</v>
      </c>
      <c r="J169" s="250">
        <f>_xlfn.XLOOKUP(FMS_Ranking4[[#This Row],[FMS ID]],FMS_Input[FMS_ID],FMS_Input[FMS_COST])</f>
        <v>100000</v>
      </c>
      <c r="K169" s="251" t="str">
        <f>_xlfn.XLOOKUP(FMS_Ranking4[[#This Row],[FMS ID]],FMS_Input[FMS_ID],FMS_Input[EMER_NEED])</f>
        <v>No</v>
      </c>
      <c r="L169" s="252">
        <f t="shared" si="2"/>
        <v>0</v>
      </c>
      <c r="M169" s="253">
        <f>_xlfn.XLOOKUP(FMS_Ranking4[[#This Row],[FMS ID]],FMS_Input[FMS_ID],FMS_Input[STRUCT_100])</f>
        <v>2569</v>
      </c>
      <c r="N169" s="255">
        <f>(ASINH(FMS_Ranking4[[#This Row],[Structure at Risk Raw]]))*(10)/(ASINH(M$4))</f>
        <v>6.7171857123413075</v>
      </c>
      <c r="O169" s="256">
        <f>FMS_Ranking4[[#This Row],[Structures at risk, ArcSinh (0-10)]]*M$5*10</f>
        <v>6.7171857123413083</v>
      </c>
      <c r="P169" s="253">
        <f>_xlfn.XLOOKUP(FMS_Ranking4[[#This Row],[FMS ID]],FMS_Input[FMS_ID],FMS_Input[RES_STRUCT100])</f>
        <v>1511</v>
      </c>
      <c r="Q169" s="257">
        <f>ASINH(FMS_Ranking4[[#This Row],[Res Structure Raw]])/Q$4*P$5*100</f>
        <v>0</v>
      </c>
      <c r="R169" s="253">
        <f>_xlfn.XLOOKUP(FMS_Ranking4[[#This Row],[FMS ID]],FMS_Input[FMS_ID],FMS_Input[POP100])</f>
        <v>12470</v>
      </c>
      <c r="S169" s="259">
        <f>(ASINH(FMS_Ranking4[[#This Row],[Pop at Risk Raw]]))*(10)/(ASINH(R$4))</f>
        <v>6.9893441524693767</v>
      </c>
      <c r="T169" s="256">
        <f>FMS_Ranking4[[#This Row],[Population at risk, ArcSinh (0-10)]]*R$5*10</f>
        <v>6.9893441524693767</v>
      </c>
      <c r="U169" s="253">
        <f>_xlfn.XLOOKUP(FMS_Ranking4[[#This Row],[FMS ID]],FMS_Input[FMS_ID],FMS_Input[CRITFAC100])</f>
        <v>23</v>
      </c>
      <c r="V169" s="259">
        <f>(ASINH(FMS_Ranking4[[#This Row],[Critical Facilities Raw]]))*(10)/(ASINH(U$4))</f>
        <v>4.532767423925546</v>
      </c>
      <c r="W169" s="256">
        <f>FMS_Ranking4[[#This Row],[Critical facilities at risk, ArcSinh (0-10)]]*U$5*10</f>
        <v>4.532767423925546</v>
      </c>
      <c r="X169" s="253">
        <f>_xlfn.XLOOKUP(FMS_Ranking4[[#This Row],[FMS ID]],FMS_Input[FMS_ID],FMS_Input[LWC])</f>
        <v>8</v>
      </c>
      <c r="Y169" s="259">
        <f>(ASINH(FMS_Ranking4[[#This Row],[LWC Raw]]))*(10)/(ASINH(X$4))</f>
        <v>3.7613918882232862</v>
      </c>
      <c r="Z169" s="256">
        <f>FMS_Ranking4[[#This Row],[LWC, ArcSInh (0-10)]]*X$5*10</f>
        <v>3.7613918882232866</v>
      </c>
      <c r="AA169" s="253">
        <f>_xlfn.XLOOKUP(FMS_Ranking4[[#This Row],[FMS ID]],FMS_Input[FMS_ID],FMS_Input[ROADCLS])</f>
        <v>0</v>
      </c>
      <c r="AB169" s="255">
        <f>(ASINH(FMS_Ranking4[[#This Row],[Road Closures Raw]]))*(10)/(ASINH(AA$4))</f>
        <v>0</v>
      </c>
      <c r="AC169" s="256">
        <f>FMS_Ranking4[[#This Row],[Road closures, ArcSinh (0-10)]]*AA$5*10</f>
        <v>0</v>
      </c>
      <c r="AD169" s="253">
        <f>_xlfn.XLOOKUP(FMS_Ranking4[[#This Row],[FMS ID]],FMS_Input[FMS_ID],FMS_Input[ROAD_MILES100])</f>
        <v>181</v>
      </c>
      <c r="AE169" s="259">
        <f>(ASINH(FMS_Ranking4[[#This Row],[Road Miles Raw]]))*(10)/(ASINH(AD$4))</f>
        <v>6.2788799281326311</v>
      </c>
      <c r="AF169" s="256">
        <f>FMS_Ranking4[[#This Row],[Length of roads at risk, ArcSinh (0-10)]]*AD$5*10</f>
        <v>6.2788799281326311</v>
      </c>
      <c r="AG169" s="253">
        <f>_xlfn.XLOOKUP(FMS_Ranking4[[#This Row],[FMS ID]],FMS_Input[FMS_ID],FMS_Input[FARMACRE100])</f>
        <v>10335.0703125</v>
      </c>
      <c r="AH169" s="255">
        <f>(ASINH(FMS_Ranking4[[#This Row],[Ag Land Raw]]))*(10)/(ASINH(AG$4))</f>
        <v>6.4545308405956634</v>
      </c>
      <c r="AI169" s="260">
        <f>FMS_Ranking4[[#This Row],[Farm &amp; ranch land, ArcSinh (0-10)]]*AG$5*10</f>
        <v>3.2272654202978317</v>
      </c>
      <c r="AJ169" s="258">
        <f>_xlfn.XLOOKUP(FMS_Ranking4[[#This Row],[FMS ID]],FMS_Input[FMS_ID],FMS_Input[REDSTRUCT100])</f>
        <v>0</v>
      </c>
      <c r="AK169" s="253">
        <f>_xlfn.XLOOKUP(FMS_Ranking4[[#This Row],[FMS ID]],FMS_Input[FMS_ID],FMS_Input[REMSTRC100])</f>
        <v>0</v>
      </c>
      <c r="AL169" s="259">
        <f>(ASINH(FMS_Ranking4[[#This Row],[Structures Removed Raw]]))*(10)/(ASINH(AK$4))</f>
        <v>0</v>
      </c>
      <c r="AM169" s="262">
        <f>FMS_Ranking4[[#This Row],[Structures removed, ArcSinh (0-10)]]*AK$5*10</f>
        <v>0</v>
      </c>
      <c r="AN169" s="253">
        <f>_xlfn.XLOOKUP(FMS_Ranking4[[#This Row],[FMS ID]],FMS_Input[FMS_ID],FMS_Input[REMRESSTRC100])</f>
        <v>0</v>
      </c>
      <c r="AO169" s="261">
        <f>FMS_Ranking4[[#This Row],[ArcSinh Res struct removed 0-10]]*AN$5*10</f>
        <v>0</v>
      </c>
      <c r="AP169" s="260">
        <f>ASINH(FMS_Ranking4[[#This Row],[Residential Structures Removed Raw]])/AP$4*AN$5*100</f>
        <v>0</v>
      </c>
      <c r="AQ169" s="254">
        <f>(ASINH(FMS_Ranking4[[#This Row],[Residential Structures Removed Raw]]))*(10)/(ASINH(AN$4))</f>
        <v>0</v>
      </c>
      <c r="AR169" s="253">
        <f>_xlfn.XLOOKUP(FMS_Ranking4[[#This Row],[FMS ID]],FMS_Input[FMS_ID],FMS_Input[REMPOP100])</f>
        <v>0</v>
      </c>
      <c r="AS169" s="259">
        <f>(ASINH(FMS_Ranking4[[#This Row],[Removed Pop Raw]]))*(10)/(ASINH(AR$4))</f>
        <v>0</v>
      </c>
      <c r="AT169" s="262">
        <f>FMS_Ranking4[[#This Row],[Removed population, ArcSinh (0-10)]]*AR$5*10</f>
        <v>0</v>
      </c>
      <c r="AU169" s="264">
        <f>_xlfn.XLOOKUP(FMS_Ranking4[[#This Row],[FMS ID]],FMS_Input[FMS_ID],FMS_Input[REMCRITFAC100])</f>
        <v>0</v>
      </c>
      <c r="AV169" s="264">
        <f>_xlfn.XLOOKUP(FMS_Ranking4[[#This Row],[FMS ID]],FMS_Input[FMS_ID],FMS_Input[REMLWC100])</f>
        <v>0</v>
      </c>
      <c r="AW169" s="264">
        <f>_xlfn.XLOOKUP(FMS_Ranking4[[#This Row],[FMS ID]],FMS_Input[FMS_ID],FMS_Input[REMROADCLS])</f>
        <v>0</v>
      </c>
      <c r="AX169" s="264">
        <f>_xlfn.XLOOKUP(FMS_Ranking4[[#This Row],[FMS ID]],FMS_Input[FMS_ID],FMS_Input[REMFRMACRE100])</f>
        <v>0</v>
      </c>
      <c r="AY169" s="258">
        <f>_xlfn.XLOOKUP(FMS_Ranking4[[#This Row],[FMS ID]],FMS_Input[FMS_ID],FMS_Input[COSTSTRUCT])</f>
        <v>0</v>
      </c>
      <c r="AZ169" s="253">
        <f>_xlfn.XLOOKUP(FMS_Ranking4[[#This Row],[FMS ID]],FMS_Input[FMS_ID],FMS_Input[NATURE])</f>
        <v>0</v>
      </c>
      <c r="BA169" s="262">
        <f>(((FMS_Ranking4[[#This Row],[% NBS Raw]]/AZ$4)*100)*AZ$5)</f>
        <v>0</v>
      </c>
      <c r="BB169" s="251" t="str">
        <f>_xlfn.XLOOKUP(FMS_Ranking4[[#This Row],[FMS ID]],FMS_Input[FMS_ID],FMS_Input[WATER_SUP])</f>
        <v>No</v>
      </c>
      <c r="BC169" s="265">
        <f>IF(FMS_Ranking4[[#This Row],[Water Supply Raw]]="Yes",10,0)</f>
        <v>0</v>
      </c>
      <c r="BD169" s="266">
        <f>_xlfn.XLOOKUP(FMS_Ranking4[[#This Row],[FMS Type]],FMS_TYPE[FMS_Type],FMS_TYPE[Score])</f>
        <v>8</v>
      </c>
      <c r="BE169" s="267">
        <f>FMS_Ranking4[[#This Row],[FMS_Type Score]]*$BD$5*10</f>
        <v>2</v>
      </c>
      <c r="BF16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0.80535329176210391</v>
      </c>
      <c r="BG169" s="271">
        <f>_xlfn.RANK.EQ(BF169,$BF$8:$BF$870,0)+COUNTIF($BF$8:BF169,BF169)-1</f>
        <v>172</v>
      </c>
      <c r="BH169" s="268">
        <f>(((FMS_Ranking4[[#This Row],[Structures Removed Raw]]/AK$4)*100)*AK$5)+(((FMS_Ranking4[[#This Row],[Removed Pop Raw]]/AR$4)*100)*AR$5)</f>
        <v>0</v>
      </c>
      <c r="BI16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2.805353291762104</v>
      </c>
      <c r="BJ169" s="205">
        <f>_xlfn.RANK.EQ(FMS_Ranking4[[#This Row],[Total Score 
(with linear
normalization)]],FMS_Ranking4[Total Score 
(with linear
normalization)],0)</f>
        <v>194</v>
      </c>
      <c r="BK169" s="205" t="e">
        <f>_xlfn.XLOOKUP(FMS_Ranking4[[#This Row],[FMS ID]],#REF!,#REF!)</f>
        <v>#REF!</v>
      </c>
      <c r="BL16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31.506834525389984</v>
      </c>
      <c r="BM169" s="272">
        <f>FMS_Ranking4[[#This Row],[ArcSinh Score Based on Normalized Reported Factors]]+FMS_Ranking4[[#This Row],[% NBS Score (Normalized)]]+(FMS_Ranking4[[#This Row],[Water Supply Score (Normalized)]]*10*$BB$5)+FMS_Ranking4[[#This Row],[FMS_Type Score Weighted]]</f>
        <v>33.506834525389984</v>
      </c>
      <c r="BN169" s="205">
        <f>_xlfn.RANK.EQ(FMS_Ranking4[[#This Row],[Total Score (with ArcSinh normalization of select criteria)]],FMS_Ranking4[Total Score (with ArcSinh normalization of select criteria)],0)</f>
        <v>162</v>
      </c>
      <c r="BO169" s="270" t="str">
        <f>_xlfn.XLOOKUP(FMS_Ranking4[[#This Row],[FMS ID]],FMS_Input[FMS_ID],FMS_Input[FMS_RANK_YEAR])</f>
        <v>2023 Amended Plan</v>
      </c>
      <c r="BP169" s="204">
        <f>_xlfn.XLOOKUP(FMS_Ranking4[[#This Row],[FMS ID]],Prev_Rank[FMS ID],Prev_Rank[Prev Rank])</f>
        <v>136</v>
      </c>
      <c r="BQ169" s="205" t="e">
        <f>_xlfn.XLOOKUP(FMS_Ranking4[[#This Row],[FMS ID]],#REF!,#REF!)</f>
        <v>#REF!</v>
      </c>
      <c r="BR169" s="199" t="e">
        <f>SUM(#REF!,#REF!,#REF!,#REF!,#REF!,#REF!,#REF!,#REF!,#REF!,FMS_Ranking4[[#This Row],[ArcSinh Res struct removed 0-10]],#REF!)</f>
        <v>#REF!</v>
      </c>
      <c r="BS169" s="199" t="e">
        <f>FMS_Ranking4[[#This Row],[Log Score Based on Normalized Reported Factors]]+FMS_Ranking4[[#This Row],[% NBS Score (Normalized)]]+(FMS_Ranking4[[#This Row],[Water Supply Score (Normalized)]]*10*$BB$5)+(FMS_Ranking4[[#This Row],[FMS_Type Score Weighted]])</f>
        <v>#REF!</v>
      </c>
      <c r="BT169" s="200" t="e">
        <f>_xlfn.RANK.EQ(FMS_Ranking4[[#This Row],[Log Total Score]],FMS_Ranking4[Log Total Score],0)</f>
        <v>#REF!</v>
      </c>
      <c r="BU169" s="200" t="e">
        <f>_xlfn.XLOOKUP(FMS_Ranking4[[#This Row],[FMS ID]],#REF!,#REF!)</f>
        <v>#REF!</v>
      </c>
      <c r="BV169" s="200">
        <f>FMS_Ranking4[[#This Row],[Region Number]]</f>
        <v>2</v>
      </c>
      <c r="BW169" s="200">
        <f>FMS_Ranking4[[#This Row],[Rank (with ArcSinh normalization of select criteria)]]-FMS_Ranking4[[#This Row],[Rank
(with linear
normalization)]]</f>
        <v>-32</v>
      </c>
      <c r="BX169" s="200" t="e">
        <f>FMS_Ranking4[[#This Row],[Log Rank]]-FMS_Ranking4[[#This Row],[Rank
(with linear
normalization)]]</f>
        <v>#REF!</v>
      </c>
      <c r="BY169" s="200" t="str">
        <f>IF(FMS_Ranking4[[#This Row],[FMS Type]]="Flood Measurement and Warning",FMS_Ranking4[[#This Row],[Rank (with ArcSinh normalization of select criteria)]],"")</f>
        <v/>
      </c>
      <c r="BZ169" s="200">
        <f>IF(FMS_Ranking4[[#This Row],[FMS Type]]="Regulatory and Guidance",FMS_Ranking4[[#This Row],[Rank (with ArcSinh normalization of select criteria)]],"")</f>
        <v>162</v>
      </c>
      <c r="CA169" s="200" t="str">
        <f>IF(FMS_Ranking4[[#This Row],[FMS Type]]="Education and Outreach",FMS_Ranking4[[#This Row],[Rank (with ArcSinh normalization of select criteria)]],"")</f>
        <v/>
      </c>
      <c r="CB169" s="200" t="str">
        <f>IF(FMS_Ranking4[[#This Row],[FMS Type]]="Property Acquisition and Structural Elevation",FMS_Ranking4[[#This Row],[Rank (with ArcSinh normalization of select criteria)]],"")</f>
        <v/>
      </c>
      <c r="CC169" s="200" t="str">
        <f>IF(FMS_Ranking4[[#This Row],[FMS Type]]="Infrastructure Projects",FMS_Ranking4[[#This Row],[Rank (with ArcSinh normalization of select criteria)]],"")</f>
        <v/>
      </c>
      <c r="CD169" s="200" t="str">
        <f>IF(FMS_Ranking4[[#This Row],[FMS Type]]="Other",FMS_Ranking4[[#This Row],[Rank (with ArcSinh normalization of select criteria)]],"")</f>
        <v/>
      </c>
      <c r="CE169" s="201"/>
      <c r="CF169" s="206"/>
      <c r="CG169" s="206"/>
      <c r="CH169" s="206"/>
      <c r="CI169" s="206"/>
      <c r="CJ169" s="206"/>
      <c r="CK169" s="206"/>
      <c r="CL169" s="206"/>
      <c r="CM169" s="206"/>
      <c r="CN169" s="206"/>
      <c r="CO169" s="206"/>
      <c r="CP169" s="206"/>
      <c r="CQ169" s="206"/>
      <c r="CR169" s="206"/>
    </row>
    <row r="170" spans="2:96" ht="45" x14ac:dyDescent="0.25">
      <c r="B170" s="341" t="s">
        <v>1608</v>
      </c>
      <c r="C170" s="246">
        <f>_xlfn.XLOOKUP(FMS_Ranking4[[#This Row],[FMS ID]],FMS_Input[FMS_ID],FMS_Input[RFPG_NUM])</f>
        <v>2</v>
      </c>
      <c r="D170" s="309" t="str">
        <f>_xlfn.XLOOKUP(FMS_Ranking4[[#This Row],[FMS ID]],FMS_Input[FMS_ID],FMS_Input[FMS_NAME])</f>
        <v>Fannin County NFIP Involvement</v>
      </c>
      <c r="E170" s="308" t="str">
        <f>_xlfn.XLOOKUP(FMS_Ranking4[[#This Row],[FMS ID]],FMS_Input[FMS_ID],FMS_Input[SPONSOR])</f>
        <v>Fannin County</v>
      </c>
      <c r="F170" s="309" t="str">
        <f>_xlfn.XLOOKUP(FMS_Ranking4[[#This Row],[FMS ID]],Sponsor[FMS_ID],Sponsor[SPONSOR NAME])</f>
        <v>Fannin County</v>
      </c>
      <c r="G170" s="309" t="str">
        <f>_xlfn.XLOOKUP(FMS_Ranking4[[#This Row],[FMS ID]],FMS_Input[FMS_ID],FMS_Input[FMS_DESCR])</f>
        <v xml:space="preserve">Application to join NFIP or adoption of equivalent standards </v>
      </c>
      <c r="H170" s="248" t="str">
        <f>_xlfn.XLOOKUP(FMS_Ranking4[[#This Row],[FMS ID]],FMS_Input[FMS_ID],FMS_Input[FMS_TYPE])</f>
        <v>Regulatory and Guidance</v>
      </c>
      <c r="I170" s="249">
        <f>_xlfn.XLOOKUP(FMS_Ranking4[[#This Row],[FMS ID]],FMS_Input[FMS_ID],FMS_Input[NRNC_COST])</f>
        <v>100000</v>
      </c>
      <c r="J170" s="250">
        <f>_xlfn.XLOOKUP(FMS_Ranking4[[#This Row],[FMS ID]],FMS_Input[FMS_ID],FMS_Input[FMS_COST])</f>
        <v>100000</v>
      </c>
      <c r="K170" s="251" t="str">
        <f>_xlfn.XLOOKUP(FMS_Ranking4[[#This Row],[FMS ID]],FMS_Input[FMS_ID],FMS_Input[EMER_NEED])</f>
        <v>No</v>
      </c>
      <c r="L170" s="252">
        <f t="shared" si="2"/>
        <v>0</v>
      </c>
      <c r="M170" s="253">
        <f>_xlfn.XLOOKUP(FMS_Ranking4[[#This Row],[FMS ID]],FMS_Input[FMS_ID],FMS_Input[STRUCT_100])</f>
        <v>1077</v>
      </c>
      <c r="N170" s="255">
        <f>(ASINH(FMS_Ranking4[[#This Row],[Structure at Risk Raw]]))*(10)/(ASINH(M$4))</f>
        <v>6.0337572797967089</v>
      </c>
      <c r="O170" s="256">
        <f>FMS_Ranking4[[#This Row],[Structures at risk, ArcSinh (0-10)]]*M$5*10</f>
        <v>6.0337572797967098</v>
      </c>
      <c r="P170" s="253">
        <f>_xlfn.XLOOKUP(FMS_Ranking4[[#This Row],[FMS ID]],FMS_Input[FMS_ID],FMS_Input[RES_STRUCT100])</f>
        <v>709</v>
      </c>
      <c r="Q170" s="257">
        <f>ASINH(FMS_Ranking4[[#This Row],[Res Structure Raw]])/Q$4*P$5*100</f>
        <v>0</v>
      </c>
      <c r="R170" s="253">
        <f>_xlfn.XLOOKUP(FMS_Ranking4[[#This Row],[FMS ID]],FMS_Input[FMS_ID],FMS_Input[POP100])</f>
        <v>3040</v>
      </c>
      <c r="S170" s="255">
        <f>(ASINH(FMS_Ranking4[[#This Row],[Pop at Risk Raw]]))*(10)/(ASINH(R$4))</f>
        <v>6.014925468251378</v>
      </c>
      <c r="T170" s="256">
        <f>FMS_Ranking4[[#This Row],[Population at risk, ArcSinh (0-10)]]*R$5*10</f>
        <v>6.0149254682513789</v>
      </c>
      <c r="U170" s="253">
        <f>_xlfn.XLOOKUP(FMS_Ranking4[[#This Row],[FMS ID]],FMS_Input[FMS_ID],FMS_Input[CRITFAC100])</f>
        <v>18</v>
      </c>
      <c r="V170" s="255">
        <f>(ASINH(FMS_Ranking4[[#This Row],[Critical Facilities Raw]]))*(10)/(ASINH(U$4))</f>
        <v>4.2429535527087694</v>
      </c>
      <c r="W170" s="256">
        <f>FMS_Ranking4[[#This Row],[Critical facilities at risk, ArcSinh (0-10)]]*U$5*10</f>
        <v>4.2429535527087694</v>
      </c>
      <c r="X170" s="253">
        <f>_xlfn.XLOOKUP(FMS_Ranking4[[#This Row],[FMS ID]],FMS_Input[FMS_ID],FMS_Input[LWC])</f>
        <v>26</v>
      </c>
      <c r="Y170" s="255">
        <f>(ASINH(FMS_Ranking4[[#This Row],[LWC Raw]]))*(10)/(ASINH(X$4))</f>
        <v>5.3533998703778476</v>
      </c>
      <c r="Z170" s="256">
        <f>FMS_Ranking4[[#This Row],[LWC, ArcSInh (0-10)]]*X$5*10</f>
        <v>5.3533998703778476</v>
      </c>
      <c r="AA170" s="253">
        <f>_xlfn.XLOOKUP(FMS_Ranking4[[#This Row],[FMS ID]],FMS_Input[FMS_ID],FMS_Input[ROADCLS])</f>
        <v>0</v>
      </c>
      <c r="AB170" s="255">
        <f>(ASINH(FMS_Ranking4[[#This Row],[Road Closures Raw]]))*(10)/(ASINH(AA$4))</f>
        <v>0</v>
      </c>
      <c r="AC170" s="256">
        <f>FMS_Ranking4[[#This Row],[Road closures, ArcSinh (0-10)]]*AA$5*10</f>
        <v>0</v>
      </c>
      <c r="AD170" s="253">
        <f>_xlfn.XLOOKUP(FMS_Ranking4[[#This Row],[FMS ID]],FMS_Input[FMS_ID],FMS_Input[ROAD_MILES100])</f>
        <v>170</v>
      </c>
      <c r="AE170" s="255">
        <f>(ASINH(FMS_Ranking4[[#This Row],[Road Miles Raw]]))*(10)/(ASINH(AD$4))</f>
        <v>6.2120615630760483</v>
      </c>
      <c r="AF170" s="256">
        <f>FMS_Ranking4[[#This Row],[Length of roads at risk, ArcSinh (0-10)]]*AD$5*10</f>
        <v>6.2120615630760492</v>
      </c>
      <c r="AG170" s="253">
        <f>_xlfn.XLOOKUP(FMS_Ranking4[[#This Row],[FMS ID]],FMS_Input[FMS_ID],FMS_Input[FARMACRE100])</f>
        <v>37510.09375</v>
      </c>
      <c r="AH170" s="255">
        <f>(ASINH(FMS_Ranking4[[#This Row],[Ag Land Raw]]))*(10)/(ASINH(AG$4))</f>
        <v>7.2918849186027677</v>
      </c>
      <c r="AI170" s="260">
        <f>FMS_Ranking4[[#This Row],[Farm &amp; ranch land, ArcSinh (0-10)]]*AG$5*10</f>
        <v>3.6459424593013838</v>
      </c>
      <c r="AJ170" s="258">
        <f>_xlfn.XLOOKUP(FMS_Ranking4[[#This Row],[FMS ID]],FMS_Input[FMS_ID],FMS_Input[REDSTRUCT100])</f>
        <v>0</v>
      </c>
      <c r="AK170" s="253">
        <f>_xlfn.XLOOKUP(FMS_Ranking4[[#This Row],[FMS ID]],FMS_Input[FMS_ID],FMS_Input[REMSTRC100])</f>
        <v>0</v>
      </c>
      <c r="AL170" s="255">
        <f>(ASINH(FMS_Ranking4[[#This Row],[Structures Removed Raw]]))*(10)/(ASINH(AK$4))</f>
        <v>0</v>
      </c>
      <c r="AM170" s="262">
        <f>FMS_Ranking4[[#This Row],[Structures removed, ArcSinh (0-10)]]*AK$5*10</f>
        <v>0</v>
      </c>
      <c r="AN170" s="253">
        <f>_xlfn.XLOOKUP(FMS_Ranking4[[#This Row],[FMS ID]],FMS_Input[FMS_ID],FMS_Input[REMRESSTRC100])</f>
        <v>0</v>
      </c>
      <c r="AO170" s="261">
        <f>FMS_Ranking4[[#This Row],[ArcSinh Res struct removed 0-10]]*AN$5*10</f>
        <v>0</v>
      </c>
      <c r="AP170" s="260">
        <f>ASINH(FMS_Ranking4[[#This Row],[Residential Structures Removed Raw]])/AP$4*AN$5*100</f>
        <v>0</v>
      </c>
      <c r="AQ170" s="258">
        <f>(ASINH(FMS_Ranking4[[#This Row],[Residential Structures Removed Raw]]))*(10)/(ASINH(AN$4))</f>
        <v>0</v>
      </c>
      <c r="AR170" s="253">
        <f>_xlfn.XLOOKUP(FMS_Ranking4[[#This Row],[FMS ID]],FMS_Input[FMS_ID],FMS_Input[REMPOP100])</f>
        <v>0</v>
      </c>
      <c r="AS170" s="255">
        <f>(ASINH(FMS_Ranking4[[#This Row],[Removed Pop Raw]]))*(10)/(ASINH(AR$4))</f>
        <v>0</v>
      </c>
      <c r="AT170" s="262">
        <f>FMS_Ranking4[[#This Row],[Removed population, ArcSinh (0-10)]]*AR$5*10</f>
        <v>0</v>
      </c>
      <c r="AU170" s="264">
        <f>_xlfn.XLOOKUP(FMS_Ranking4[[#This Row],[FMS ID]],FMS_Input[FMS_ID],FMS_Input[REMCRITFAC100])</f>
        <v>0</v>
      </c>
      <c r="AV170" s="264">
        <f>_xlfn.XLOOKUP(FMS_Ranking4[[#This Row],[FMS ID]],FMS_Input[FMS_ID],FMS_Input[REMLWC100])</f>
        <v>0</v>
      </c>
      <c r="AW170" s="264">
        <f>_xlfn.XLOOKUP(FMS_Ranking4[[#This Row],[FMS ID]],FMS_Input[FMS_ID],FMS_Input[REMROADCLS])</f>
        <v>0</v>
      </c>
      <c r="AX170" s="264">
        <f>_xlfn.XLOOKUP(FMS_Ranking4[[#This Row],[FMS ID]],FMS_Input[FMS_ID],FMS_Input[REMFRMACRE100])</f>
        <v>0</v>
      </c>
      <c r="AY170" s="258">
        <f>_xlfn.XLOOKUP(FMS_Ranking4[[#This Row],[FMS ID]],FMS_Input[FMS_ID],FMS_Input[COSTSTRUCT])</f>
        <v>0</v>
      </c>
      <c r="AZ170" s="253">
        <f>_xlfn.XLOOKUP(FMS_Ranking4[[#This Row],[FMS ID]],FMS_Input[FMS_ID],FMS_Input[NATURE])</f>
        <v>0</v>
      </c>
      <c r="BA170" s="262">
        <f>(((FMS_Ranking4[[#This Row],[% NBS Raw]]/AZ$4)*100)*AZ$5)</f>
        <v>0</v>
      </c>
      <c r="BB170" s="251" t="str">
        <f>_xlfn.XLOOKUP(FMS_Ranking4[[#This Row],[FMS ID]],FMS_Input[FMS_ID],FMS_Input[WATER_SUP])</f>
        <v>No</v>
      </c>
      <c r="BC170" s="265">
        <f>IF(FMS_Ranking4[[#This Row],[Water Supply Raw]]="Yes",10,0)</f>
        <v>0</v>
      </c>
      <c r="BD170" s="266">
        <f>_xlfn.XLOOKUP(FMS_Ranking4[[#This Row],[FMS Type]],FMS_TYPE[FMS_Type],FMS_TYPE[Score])</f>
        <v>8</v>
      </c>
      <c r="BE170" s="267">
        <f>FMS_Ranking4[[#This Row],[FMS_Type Score]]*$BD$5*10</f>
        <v>2</v>
      </c>
      <c r="BF17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0.85983800938942534</v>
      </c>
      <c r="BG170" s="321">
        <f>_xlfn.RANK.EQ(BF170,$BF$8:$BF$870,0)+COUNTIF($BF$8:BF170,BF170)-1</f>
        <v>155</v>
      </c>
      <c r="BH170" s="294">
        <f>(((FMS_Ranking4[[#This Row],[Structures Removed Raw]]/AK$4)*100)*AK$5)+(((FMS_Ranking4[[#This Row],[Removed Pop Raw]]/AR$4)*100)*AR$5)</f>
        <v>0</v>
      </c>
      <c r="BI17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2.8598380093894251</v>
      </c>
      <c r="BJ170" s="251">
        <f>_xlfn.RANK.EQ(FMS_Ranking4[[#This Row],[Total Score 
(with linear
normalization)]],FMS_Ranking4[Total Score 
(with linear
normalization)],0)</f>
        <v>189</v>
      </c>
      <c r="BK170" s="251" t="e">
        <f>_xlfn.XLOOKUP(FMS_Ranking4[[#This Row],[FMS ID]],#REF!,#REF!)</f>
        <v>#REF!</v>
      </c>
      <c r="BL17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31.503040193512138</v>
      </c>
      <c r="BM170" s="324">
        <f>FMS_Ranking4[[#This Row],[ArcSinh Score Based on Normalized Reported Factors]]+FMS_Ranking4[[#This Row],[% NBS Score (Normalized)]]+(FMS_Ranking4[[#This Row],[Water Supply Score (Normalized)]]*10*$BB$5)+FMS_Ranking4[[#This Row],[FMS_Type Score Weighted]]</f>
        <v>33.503040193512135</v>
      </c>
      <c r="BN170" s="251">
        <f>_xlfn.RANK.EQ(FMS_Ranking4[[#This Row],[Total Score (with ArcSinh normalization of select criteria)]],FMS_Ranking4[Total Score (with ArcSinh normalization of select criteria)],0)</f>
        <v>163</v>
      </c>
      <c r="BO170" s="270" t="str">
        <f>_xlfn.XLOOKUP(FMS_Ranking4[[#This Row],[FMS ID]],FMS_Input[FMS_ID],FMS_Input[FMS_RANK_YEAR])</f>
        <v>2023 Amended Plan</v>
      </c>
      <c r="BP170" s="204">
        <f>_xlfn.XLOOKUP(FMS_Ranking4[[#This Row],[FMS ID]],Prev_Rank[FMS ID],Prev_Rank[Prev Rank])</f>
        <v>137</v>
      </c>
      <c r="BQ170" s="251" t="e">
        <f>_xlfn.XLOOKUP(FMS_Ranking4[[#This Row],[FMS ID]],#REF!,#REF!)</f>
        <v>#REF!</v>
      </c>
      <c r="BR170" s="199" t="e">
        <f>SUM(#REF!,#REF!,#REF!,#REF!,#REF!,#REF!,#REF!,#REF!,#REF!,FMS_Ranking4[[#This Row],[ArcSinh Res struct removed 0-10]],#REF!)</f>
        <v>#REF!</v>
      </c>
      <c r="BS170" s="199" t="e">
        <f>FMS_Ranking4[[#This Row],[Log Score Based on Normalized Reported Factors]]+FMS_Ranking4[[#This Row],[% NBS Score (Normalized)]]+(FMS_Ranking4[[#This Row],[Water Supply Score (Normalized)]]*10*$BB$5)+(FMS_Ranking4[[#This Row],[FMS_Type Score Weighted]])</f>
        <v>#REF!</v>
      </c>
      <c r="BT170" s="200" t="e">
        <f>_xlfn.RANK.EQ(FMS_Ranking4[[#This Row],[Log Total Score]],FMS_Ranking4[Log Total Score],0)</f>
        <v>#REF!</v>
      </c>
      <c r="BU170" s="200" t="e">
        <f>_xlfn.XLOOKUP(FMS_Ranking4[[#This Row],[FMS ID]],#REF!,#REF!)</f>
        <v>#REF!</v>
      </c>
      <c r="BV170" s="200">
        <f>FMS_Ranking4[[#This Row],[Region Number]]</f>
        <v>2</v>
      </c>
      <c r="BW170" s="200">
        <f>FMS_Ranking4[[#This Row],[Rank (with ArcSinh normalization of select criteria)]]-FMS_Ranking4[[#This Row],[Rank
(with linear
normalization)]]</f>
        <v>-26</v>
      </c>
      <c r="BX170" s="200" t="e">
        <f>FMS_Ranking4[[#This Row],[Log Rank]]-FMS_Ranking4[[#This Row],[Rank
(with linear
normalization)]]</f>
        <v>#REF!</v>
      </c>
      <c r="BY170" s="200" t="str">
        <f>IF(FMS_Ranking4[[#This Row],[FMS Type]]="Flood Measurement and Warning",FMS_Ranking4[[#This Row],[Rank (with ArcSinh normalization of select criteria)]],"")</f>
        <v/>
      </c>
      <c r="BZ170" s="200">
        <f>IF(FMS_Ranking4[[#This Row],[FMS Type]]="Regulatory and Guidance",FMS_Ranking4[[#This Row],[Rank (with ArcSinh normalization of select criteria)]],"")</f>
        <v>163</v>
      </c>
      <c r="CA170" s="200" t="str">
        <f>IF(FMS_Ranking4[[#This Row],[FMS Type]]="Education and Outreach",FMS_Ranking4[[#This Row],[Rank (with ArcSinh normalization of select criteria)]],"")</f>
        <v/>
      </c>
      <c r="CB170" s="200" t="str">
        <f>IF(FMS_Ranking4[[#This Row],[FMS Type]]="Property Acquisition and Structural Elevation",FMS_Ranking4[[#This Row],[Rank (with ArcSinh normalization of select criteria)]],"")</f>
        <v/>
      </c>
      <c r="CC170" s="200" t="str">
        <f>IF(FMS_Ranking4[[#This Row],[FMS Type]]="Infrastructure Projects",FMS_Ranking4[[#This Row],[Rank (with ArcSinh normalization of select criteria)]],"")</f>
        <v/>
      </c>
      <c r="CD170" s="200" t="str">
        <f>IF(FMS_Ranking4[[#This Row],[FMS Type]]="Other",FMS_Ranking4[[#This Row],[Rank (with ArcSinh normalization of select criteria)]],"")</f>
        <v/>
      </c>
      <c r="CE170" s="201"/>
      <c r="CF170" s="206"/>
      <c r="CG170" s="206"/>
      <c r="CH170" s="206"/>
      <c r="CI170" s="206"/>
      <c r="CJ170" s="206"/>
      <c r="CK170" s="206"/>
      <c r="CL170" s="206"/>
      <c r="CM170" s="206"/>
      <c r="CN170" s="206"/>
      <c r="CO170" s="206"/>
      <c r="CP170" s="206"/>
      <c r="CQ170" s="206"/>
      <c r="CR170" s="206"/>
    </row>
    <row r="171" spans="2:96" ht="135" x14ac:dyDescent="0.25">
      <c r="B171" s="341" t="s">
        <v>1713</v>
      </c>
      <c r="C171" s="246">
        <f>_xlfn.XLOOKUP(FMS_Ranking4[[#This Row],[FMS ID]],FMS_Input[FMS_ID],FMS_Input[RFPG_NUM])</f>
        <v>2</v>
      </c>
      <c r="D171" s="309" t="str">
        <f>_xlfn.XLOOKUP(FMS_Ranking4[[#This Row],[FMS ID]],FMS_Input[FMS_ID],FMS_Input[FMS_NAME])</f>
        <v>Fannin County Floodplain Manager</v>
      </c>
      <c r="E171" s="308" t="str">
        <f>_xlfn.XLOOKUP(FMS_Ranking4[[#This Row],[FMS ID]],FMS_Input[FMS_ID],FMS_Input[SPONSOR])</f>
        <v>Fannin County</v>
      </c>
      <c r="F171" s="309" t="str">
        <f>_xlfn.XLOOKUP(FMS_Ranking4[[#This Row],[FMS ID]],Sponsor[FMS_ID],Sponsor[SPONSOR NAME])</f>
        <v>Fannin County</v>
      </c>
      <c r="G171" s="309" t="str">
        <f>_xlfn.XLOOKUP(FMS_Ranking4[[#This Row],[FMS ID]],FMS_Input[FMS_ID],FMS_Input[FMS_DESCR])</f>
        <v>Apply for assistance in establishing a Certified Countywide Floodplain Manager position.   Funding for the continuation of the position would be from permit fees and local budgets. The focus of this role would be to mitigate flooding and protect the flood</v>
      </c>
      <c r="H171" s="248" t="str">
        <f>_xlfn.XLOOKUP(FMS_Ranking4[[#This Row],[FMS ID]],FMS_Input[FMS_ID],FMS_Input[FMS_TYPE])</f>
        <v>Regulatory and Guidance</v>
      </c>
      <c r="I171" s="249">
        <f>_xlfn.XLOOKUP(FMS_Ranking4[[#This Row],[FMS ID]],FMS_Input[FMS_ID],FMS_Input[NRNC_COST])</f>
        <v>75000</v>
      </c>
      <c r="J171" s="250">
        <f>_xlfn.XLOOKUP(FMS_Ranking4[[#This Row],[FMS ID]],FMS_Input[FMS_ID],FMS_Input[FMS_COST])</f>
        <v>75000</v>
      </c>
      <c r="K171" s="251" t="str">
        <f>_xlfn.XLOOKUP(FMS_Ranking4[[#This Row],[FMS ID]],FMS_Input[FMS_ID],FMS_Input[EMER_NEED])</f>
        <v>No</v>
      </c>
      <c r="L171" s="252">
        <f t="shared" si="2"/>
        <v>0</v>
      </c>
      <c r="M171" s="253">
        <f>_xlfn.XLOOKUP(FMS_Ranking4[[#This Row],[FMS ID]],FMS_Input[FMS_ID],FMS_Input[STRUCT_100])</f>
        <v>1077</v>
      </c>
      <c r="N171" s="255">
        <f>(ASINH(FMS_Ranking4[[#This Row],[Structure at Risk Raw]]))*(10)/(ASINH(M$4))</f>
        <v>6.0337572797967089</v>
      </c>
      <c r="O171" s="256">
        <f>FMS_Ranking4[[#This Row],[Structures at risk, ArcSinh (0-10)]]*M$5*10</f>
        <v>6.0337572797967098</v>
      </c>
      <c r="P171" s="253">
        <f>_xlfn.XLOOKUP(FMS_Ranking4[[#This Row],[FMS ID]],FMS_Input[FMS_ID],FMS_Input[RES_STRUCT100])</f>
        <v>709</v>
      </c>
      <c r="Q171" s="257">
        <f>ASINH(FMS_Ranking4[[#This Row],[Res Structure Raw]])/Q$4*P$5*100</f>
        <v>0</v>
      </c>
      <c r="R171" s="253">
        <f>_xlfn.XLOOKUP(FMS_Ranking4[[#This Row],[FMS ID]],FMS_Input[FMS_ID],FMS_Input[POP100])</f>
        <v>3040</v>
      </c>
      <c r="S171" s="255">
        <f>(ASINH(FMS_Ranking4[[#This Row],[Pop at Risk Raw]]))*(10)/(ASINH(R$4))</f>
        <v>6.014925468251378</v>
      </c>
      <c r="T171" s="256">
        <f>FMS_Ranking4[[#This Row],[Population at risk, ArcSinh (0-10)]]*R$5*10</f>
        <v>6.0149254682513789</v>
      </c>
      <c r="U171" s="253">
        <f>_xlfn.XLOOKUP(FMS_Ranking4[[#This Row],[FMS ID]],FMS_Input[FMS_ID],FMS_Input[CRITFAC100])</f>
        <v>18</v>
      </c>
      <c r="V171" s="255">
        <f>(ASINH(FMS_Ranking4[[#This Row],[Critical Facilities Raw]]))*(10)/(ASINH(U$4))</f>
        <v>4.2429535527087694</v>
      </c>
      <c r="W171" s="256">
        <f>FMS_Ranking4[[#This Row],[Critical facilities at risk, ArcSinh (0-10)]]*U$5*10</f>
        <v>4.2429535527087694</v>
      </c>
      <c r="X171" s="253">
        <f>_xlfn.XLOOKUP(FMS_Ranking4[[#This Row],[FMS ID]],FMS_Input[FMS_ID],FMS_Input[LWC])</f>
        <v>26</v>
      </c>
      <c r="Y171" s="255">
        <f>(ASINH(FMS_Ranking4[[#This Row],[LWC Raw]]))*(10)/(ASINH(X$4))</f>
        <v>5.3533998703778476</v>
      </c>
      <c r="Z171" s="256">
        <f>FMS_Ranking4[[#This Row],[LWC, ArcSInh (0-10)]]*X$5*10</f>
        <v>5.3533998703778476</v>
      </c>
      <c r="AA171" s="253">
        <f>_xlfn.XLOOKUP(FMS_Ranking4[[#This Row],[FMS ID]],FMS_Input[FMS_ID],FMS_Input[ROADCLS])</f>
        <v>0</v>
      </c>
      <c r="AB171" s="255">
        <f>(ASINH(FMS_Ranking4[[#This Row],[Road Closures Raw]]))*(10)/(ASINH(AA$4))</f>
        <v>0</v>
      </c>
      <c r="AC171" s="256">
        <f>FMS_Ranking4[[#This Row],[Road closures, ArcSinh (0-10)]]*AA$5*10</f>
        <v>0</v>
      </c>
      <c r="AD171" s="253">
        <f>_xlfn.XLOOKUP(FMS_Ranking4[[#This Row],[FMS ID]],FMS_Input[FMS_ID],FMS_Input[ROAD_MILES100])</f>
        <v>170</v>
      </c>
      <c r="AE171" s="255">
        <f>(ASINH(FMS_Ranking4[[#This Row],[Road Miles Raw]]))*(10)/(ASINH(AD$4))</f>
        <v>6.2120615630760483</v>
      </c>
      <c r="AF171" s="256">
        <f>FMS_Ranking4[[#This Row],[Length of roads at risk, ArcSinh (0-10)]]*AD$5*10</f>
        <v>6.2120615630760492</v>
      </c>
      <c r="AG171" s="253">
        <f>_xlfn.XLOOKUP(FMS_Ranking4[[#This Row],[FMS ID]],FMS_Input[FMS_ID],FMS_Input[FARMACRE100])</f>
        <v>37510.09375</v>
      </c>
      <c r="AH171" s="255">
        <f>(ASINH(FMS_Ranking4[[#This Row],[Ag Land Raw]]))*(10)/(ASINH(AG$4))</f>
        <v>7.2918849186027677</v>
      </c>
      <c r="AI171" s="260">
        <f>FMS_Ranking4[[#This Row],[Farm &amp; ranch land, ArcSinh (0-10)]]*AG$5*10</f>
        <v>3.6459424593013838</v>
      </c>
      <c r="AJ171" s="258">
        <f>_xlfn.XLOOKUP(FMS_Ranking4[[#This Row],[FMS ID]],FMS_Input[FMS_ID],FMS_Input[REDSTRUCT100])</f>
        <v>0</v>
      </c>
      <c r="AK171" s="253">
        <f>_xlfn.XLOOKUP(FMS_Ranking4[[#This Row],[FMS ID]],FMS_Input[FMS_ID],FMS_Input[REMSTRC100])</f>
        <v>0</v>
      </c>
      <c r="AL171" s="255">
        <f>(ASINH(FMS_Ranking4[[#This Row],[Structures Removed Raw]]))*(10)/(ASINH(AK$4))</f>
        <v>0</v>
      </c>
      <c r="AM171" s="262">
        <f>FMS_Ranking4[[#This Row],[Structures removed, ArcSinh (0-10)]]*AK$5*10</f>
        <v>0</v>
      </c>
      <c r="AN171" s="253">
        <f>_xlfn.XLOOKUP(FMS_Ranking4[[#This Row],[FMS ID]],FMS_Input[FMS_ID],FMS_Input[REMRESSTRC100])</f>
        <v>0</v>
      </c>
      <c r="AO171" s="261">
        <f>FMS_Ranking4[[#This Row],[ArcSinh Res struct removed 0-10]]*AN$5*10</f>
        <v>0</v>
      </c>
      <c r="AP171" s="260">
        <f>ASINH(FMS_Ranking4[[#This Row],[Residential Structures Removed Raw]])/AP$4*AN$5*100</f>
        <v>0</v>
      </c>
      <c r="AQ171" s="258">
        <f>(ASINH(FMS_Ranking4[[#This Row],[Residential Structures Removed Raw]]))*(10)/(ASINH(AN$4))</f>
        <v>0</v>
      </c>
      <c r="AR171" s="253">
        <f>_xlfn.XLOOKUP(FMS_Ranking4[[#This Row],[FMS ID]],FMS_Input[FMS_ID],FMS_Input[REMPOP100])</f>
        <v>0</v>
      </c>
      <c r="AS171" s="255">
        <f>(ASINH(FMS_Ranking4[[#This Row],[Removed Pop Raw]]))*(10)/(ASINH(AR$4))</f>
        <v>0</v>
      </c>
      <c r="AT171" s="262">
        <f>FMS_Ranking4[[#This Row],[Removed population, ArcSinh (0-10)]]*AR$5*10</f>
        <v>0</v>
      </c>
      <c r="AU171" s="264">
        <f>_xlfn.XLOOKUP(FMS_Ranking4[[#This Row],[FMS ID]],FMS_Input[FMS_ID],FMS_Input[REMCRITFAC100])</f>
        <v>0</v>
      </c>
      <c r="AV171" s="264">
        <f>_xlfn.XLOOKUP(FMS_Ranking4[[#This Row],[FMS ID]],FMS_Input[FMS_ID],FMS_Input[REMLWC100])</f>
        <v>0</v>
      </c>
      <c r="AW171" s="264">
        <f>_xlfn.XLOOKUP(FMS_Ranking4[[#This Row],[FMS ID]],FMS_Input[FMS_ID],FMS_Input[REMROADCLS])</f>
        <v>0</v>
      </c>
      <c r="AX171" s="264">
        <f>_xlfn.XLOOKUP(FMS_Ranking4[[#This Row],[FMS ID]],FMS_Input[FMS_ID],FMS_Input[REMFRMACRE100])</f>
        <v>0</v>
      </c>
      <c r="AY171" s="258">
        <f>_xlfn.XLOOKUP(FMS_Ranking4[[#This Row],[FMS ID]],FMS_Input[FMS_ID],FMS_Input[COSTSTRUCT])</f>
        <v>0</v>
      </c>
      <c r="AZ171" s="253">
        <f>_xlfn.XLOOKUP(FMS_Ranking4[[#This Row],[FMS ID]],FMS_Input[FMS_ID],FMS_Input[NATURE])</f>
        <v>0</v>
      </c>
      <c r="BA171" s="262">
        <f>(((FMS_Ranking4[[#This Row],[% NBS Raw]]/AZ$4)*100)*AZ$5)</f>
        <v>0</v>
      </c>
      <c r="BB171" s="251" t="str">
        <f>_xlfn.XLOOKUP(FMS_Ranking4[[#This Row],[FMS ID]],FMS_Input[FMS_ID],FMS_Input[WATER_SUP])</f>
        <v>No</v>
      </c>
      <c r="BC171" s="265">
        <f>IF(FMS_Ranking4[[#This Row],[Water Supply Raw]]="Yes",10,0)</f>
        <v>0</v>
      </c>
      <c r="BD171" s="266">
        <f>_xlfn.XLOOKUP(FMS_Ranking4[[#This Row],[FMS Type]],FMS_TYPE[FMS_Type],FMS_TYPE[Score])</f>
        <v>8</v>
      </c>
      <c r="BE171" s="267">
        <f>FMS_Ranking4[[#This Row],[FMS_Type Score]]*$BD$5*10</f>
        <v>2</v>
      </c>
      <c r="BF17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0.85983800938942534</v>
      </c>
      <c r="BG171" s="321">
        <f>_xlfn.RANK.EQ(BF171,$BF$8:$BF$870,0)+COUNTIF($BF$8:BF171,BF171)-1</f>
        <v>156</v>
      </c>
      <c r="BH171" s="294">
        <f>(((FMS_Ranking4[[#This Row],[Structures Removed Raw]]/AK$4)*100)*AK$5)+(((FMS_Ranking4[[#This Row],[Removed Pop Raw]]/AR$4)*100)*AR$5)</f>
        <v>0</v>
      </c>
      <c r="BI17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2.8598380093894251</v>
      </c>
      <c r="BJ171" s="251">
        <f>_xlfn.RANK.EQ(FMS_Ranking4[[#This Row],[Total Score 
(with linear
normalization)]],FMS_Ranking4[Total Score 
(with linear
normalization)],0)</f>
        <v>189</v>
      </c>
      <c r="BK171" s="251" t="e">
        <f>_xlfn.XLOOKUP(FMS_Ranking4[[#This Row],[FMS ID]],#REF!,#REF!)</f>
        <v>#REF!</v>
      </c>
      <c r="BL17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31.503040193512138</v>
      </c>
      <c r="BM171" s="324">
        <f>FMS_Ranking4[[#This Row],[ArcSinh Score Based on Normalized Reported Factors]]+FMS_Ranking4[[#This Row],[% NBS Score (Normalized)]]+(FMS_Ranking4[[#This Row],[Water Supply Score (Normalized)]]*10*$BB$5)+FMS_Ranking4[[#This Row],[FMS_Type Score Weighted]]</f>
        <v>33.503040193512135</v>
      </c>
      <c r="BN171" s="251">
        <f>_xlfn.RANK.EQ(FMS_Ranking4[[#This Row],[Total Score (with ArcSinh normalization of select criteria)]],FMS_Ranking4[Total Score (with ArcSinh normalization of select criteria)],0)</f>
        <v>163</v>
      </c>
      <c r="BO171" s="270" t="str">
        <f>_xlfn.XLOOKUP(FMS_Ranking4[[#This Row],[FMS ID]],FMS_Input[FMS_ID],FMS_Input[FMS_RANK_YEAR])</f>
        <v>2023 Amended Plan</v>
      </c>
      <c r="BP171" s="204">
        <f>_xlfn.XLOOKUP(FMS_Ranking4[[#This Row],[FMS ID]],Prev_Rank[FMS ID],Prev_Rank[Prev Rank])</f>
        <v>137</v>
      </c>
      <c r="BQ171" s="251" t="e">
        <f>_xlfn.XLOOKUP(FMS_Ranking4[[#This Row],[FMS ID]],#REF!,#REF!)</f>
        <v>#REF!</v>
      </c>
      <c r="BR171" s="199" t="e">
        <f>SUM(#REF!,#REF!,#REF!,#REF!,#REF!,#REF!,#REF!,#REF!,#REF!,FMS_Ranking4[[#This Row],[ArcSinh Res struct removed 0-10]],#REF!)</f>
        <v>#REF!</v>
      </c>
      <c r="BS171" s="199" t="e">
        <f>FMS_Ranking4[[#This Row],[Log Score Based on Normalized Reported Factors]]+FMS_Ranking4[[#This Row],[% NBS Score (Normalized)]]+(FMS_Ranking4[[#This Row],[Water Supply Score (Normalized)]]*10*$BB$5)+(FMS_Ranking4[[#This Row],[FMS_Type Score Weighted]])</f>
        <v>#REF!</v>
      </c>
      <c r="BT171" s="200" t="e">
        <f>_xlfn.RANK.EQ(FMS_Ranking4[[#This Row],[Log Total Score]],FMS_Ranking4[Log Total Score],0)</f>
        <v>#REF!</v>
      </c>
      <c r="BU171" s="200" t="e">
        <f>_xlfn.XLOOKUP(FMS_Ranking4[[#This Row],[FMS ID]],#REF!,#REF!)</f>
        <v>#REF!</v>
      </c>
      <c r="BV171" s="200">
        <f>FMS_Ranking4[[#This Row],[Region Number]]</f>
        <v>2</v>
      </c>
      <c r="BW171" s="200">
        <f>FMS_Ranking4[[#This Row],[Rank (with ArcSinh normalization of select criteria)]]-FMS_Ranking4[[#This Row],[Rank
(with linear
normalization)]]</f>
        <v>-26</v>
      </c>
      <c r="BX171" s="200" t="e">
        <f>FMS_Ranking4[[#This Row],[Log Rank]]-FMS_Ranking4[[#This Row],[Rank
(with linear
normalization)]]</f>
        <v>#REF!</v>
      </c>
      <c r="BY171" s="200" t="str">
        <f>IF(FMS_Ranking4[[#This Row],[FMS Type]]="Flood Measurement and Warning",FMS_Ranking4[[#This Row],[Rank (with ArcSinh normalization of select criteria)]],"")</f>
        <v/>
      </c>
      <c r="BZ171" s="200">
        <f>IF(FMS_Ranking4[[#This Row],[FMS Type]]="Regulatory and Guidance",FMS_Ranking4[[#This Row],[Rank (with ArcSinh normalization of select criteria)]],"")</f>
        <v>163</v>
      </c>
      <c r="CA171" s="200" t="str">
        <f>IF(FMS_Ranking4[[#This Row],[FMS Type]]="Education and Outreach",FMS_Ranking4[[#This Row],[Rank (with ArcSinh normalization of select criteria)]],"")</f>
        <v/>
      </c>
      <c r="CB171" s="200" t="str">
        <f>IF(FMS_Ranking4[[#This Row],[FMS Type]]="Property Acquisition and Structural Elevation",FMS_Ranking4[[#This Row],[Rank (with ArcSinh normalization of select criteria)]],"")</f>
        <v/>
      </c>
      <c r="CC171" s="200" t="str">
        <f>IF(FMS_Ranking4[[#This Row],[FMS Type]]="Infrastructure Projects",FMS_Ranking4[[#This Row],[Rank (with ArcSinh normalization of select criteria)]],"")</f>
        <v/>
      </c>
      <c r="CD171" s="200" t="str">
        <f>IF(FMS_Ranking4[[#This Row],[FMS Type]]="Other",FMS_Ranking4[[#This Row],[Rank (with ArcSinh normalization of select criteria)]],"")</f>
        <v/>
      </c>
      <c r="CE171" s="201"/>
      <c r="CF171" s="206"/>
      <c r="CG171" s="206"/>
      <c r="CH171" s="206"/>
      <c r="CI171" s="206"/>
      <c r="CJ171" s="206"/>
      <c r="CK171" s="206"/>
      <c r="CL171" s="206"/>
      <c r="CM171" s="206"/>
      <c r="CN171" s="206"/>
      <c r="CO171" s="206"/>
      <c r="CP171" s="206"/>
      <c r="CQ171" s="206"/>
      <c r="CR171" s="206"/>
    </row>
    <row r="172" spans="2:96" ht="105" x14ac:dyDescent="0.25">
      <c r="B172" s="341" t="s">
        <v>3117</v>
      </c>
      <c r="C172" s="246">
        <f>_xlfn.XLOOKUP(FMS_Ranking4[[#This Row],[FMS ID]],FMS_Input[FMS_ID],FMS_Input[RFPG_NUM])</f>
        <v>7</v>
      </c>
      <c r="D172" s="309" t="str">
        <f>_xlfn.XLOOKUP(FMS_Ranking4[[#This Row],[FMS ID]],FMS_Input[FMS_ID],FMS_Input[FMS_NAME])</f>
        <v>City of Lubbock Traffic Signal Mitigation</v>
      </c>
      <c r="E172" s="308" t="str">
        <f>_xlfn.XLOOKUP(FMS_Ranking4[[#This Row],[FMS ID]],FMS_Input[FMS_ID],FMS_Input[SPONSOR])</f>
        <v>07003269</v>
      </c>
      <c r="F172" s="309" t="str">
        <f>_xlfn.XLOOKUP(FMS_Ranking4[[#This Row],[FMS ID]],Sponsor[FMS_ID],Sponsor[SPONSOR NAME])</f>
        <v>Lubbock</v>
      </c>
      <c r="G172" s="309" t="str">
        <f>_xlfn.XLOOKUP(FMS_Ranking4[[#This Row],[FMS ID]],FMS_Input[FMS_ID],FMS_Input[FMS_DESCR])</f>
        <v>Replace regulatory and warning traffic signs, install breakaway poles within the City limits, and install pavement markings at intersections and school zones to mitigate flood velocity damage during flooding events.</v>
      </c>
      <c r="H172" s="248" t="str">
        <f>_xlfn.XLOOKUP(FMS_Ranking4[[#This Row],[FMS ID]],FMS_Input[FMS_ID],FMS_Input[FMS_TYPE])</f>
        <v>Infrastructure Projects</v>
      </c>
      <c r="I172" s="249">
        <f>_xlfn.XLOOKUP(FMS_Ranking4[[#This Row],[FMS ID]],FMS_Input[FMS_ID],FMS_Input[NRNC_COST])</f>
        <v>300000</v>
      </c>
      <c r="J172" s="250">
        <f>_xlfn.XLOOKUP(FMS_Ranking4[[#This Row],[FMS ID]],FMS_Input[FMS_ID],FMS_Input[FMS_COST])</f>
        <v>300000</v>
      </c>
      <c r="K172" s="251" t="str">
        <f>_xlfn.XLOOKUP(FMS_Ranking4[[#This Row],[FMS ID]],FMS_Input[FMS_ID],FMS_Input[EMER_NEED])</f>
        <v>No</v>
      </c>
      <c r="L172" s="252">
        <f t="shared" si="2"/>
        <v>0</v>
      </c>
      <c r="M172" s="253">
        <f>_xlfn.XLOOKUP(FMS_Ranking4[[#This Row],[FMS ID]],FMS_Input[FMS_ID],FMS_Input[STRUCT_100])</f>
        <v>4916</v>
      </c>
      <c r="N172" s="255">
        <f>(ASINH(FMS_Ranking4[[#This Row],[Structure at Risk Raw]]))*(10)/(ASINH(M$4))</f>
        <v>7.2273793996345885</v>
      </c>
      <c r="O172" s="256">
        <f>FMS_Ranking4[[#This Row],[Structures at risk, ArcSinh (0-10)]]*M$5*10</f>
        <v>7.2273793996345894</v>
      </c>
      <c r="P172" s="253">
        <f>_xlfn.XLOOKUP(FMS_Ranking4[[#This Row],[FMS ID]],FMS_Input[FMS_ID],FMS_Input[RES_STRUCT100])</f>
        <v>3878</v>
      </c>
      <c r="Q172" s="257">
        <f>ASINH(FMS_Ranking4[[#This Row],[Res Structure Raw]])/Q$4*P$5*100</f>
        <v>0</v>
      </c>
      <c r="R172" s="253">
        <f>_xlfn.XLOOKUP(FMS_Ranking4[[#This Row],[FMS ID]],FMS_Input[FMS_ID],FMS_Input[POP100])</f>
        <v>17975</v>
      </c>
      <c r="S172" s="259">
        <f>(ASINH(FMS_Ranking4[[#This Row],[Pop at Risk Raw]]))*(10)/(ASINH(R$4))</f>
        <v>7.2417778757825282</v>
      </c>
      <c r="T172" s="256">
        <f>FMS_Ranking4[[#This Row],[Population at risk, ArcSinh (0-10)]]*R$5*10</f>
        <v>7.2417778757825291</v>
      </c>
      <c r="U172" s="253">
        <f>_xlfn.XLOOKUP(FMS_Ranking4[[#This Row],[FMS ID]],FMS_Input[FMS_ID],FMS_Input[CRITFAC100])</f>
        <v>9</v>
      </c>
      <c r="V172" s="259">
        <f>(ASINH(FMS_Ranking4[[#This Row],[Critical Facilities Raw]]))*(10)/(ASINH(U$4))</f>
        <v>3.4251552279272253</v>
      </c>
      <c r="W172" s="256">
        <f>FMS_Ranking4[[#This Row],[Critical facilities at risk, ArcSinh (0-10)]]*U$5*10</f>
        <v>3.4251552279272257</v>
      </c>
      <c r="X172" s="253">
        <f>_xlfn.XLOOKUP(FMS_Ranking4[[#This Row],[FMS ID]],FMS_Input[FMS_ID],FMS_Input[LWC])</f>
        <v>28</v>
      </c>
      <c r="Y172" s="259">
        <f>(ASINH(FMS_Ranking4[[#This Row],[LWC Raw]]))*(10)/(ASINH(X$4))</f>
        <v>5.4537277940935365</v>
      </c>
      <c r="Z172" s="256">
        <f>FMS_Ranking4[[#This Row],[LWC, ArcSInh (0-10)]]*X$5*10</f>
        <v>5.4537277940935365</v>
      </c>
      <c r="AA172" s="253">
        <f>_xlfn.XLOOKUP(FMS_Ranking4[[#This Row],[FMS ID]],FMS_Input[FMS_ID],FMS_Input[ROADCLS])</f>
        <v>0</v>
      </c>
      <c r="AB172" s="255">
        <f>(ASINH(FMS_Ranking4[[#This Row],[Road Closures Raw]]))*(10)/(ASINH(AA$4))</f>
        <v>0</v>
      </c>
      <c r="AC172" s="256">
        <f>FMS_Ranking4[[#This Row],[Road closures, ArcSinh (0-10)]]*AA$5*10</f>
        <v>0</v>
      </c>
      <c r="AD172" s="253">
        <f>_xlfn.XLOOKUP(FMS_Ranking4[[#This Row],[FMS ID]],FMS_Input[FMS_ID],FMS_Input[ROAD_MILES100])</f>
        <v>169</v>
      </c>
      <c r="AE172" s="259">
        <f>(ASINH(FMS_Ranking4[[#This Row],[Road Miles Raw]]))*(10)/(ASINH(AD$4))</f>
        <v>6.2057741918664373</v>
      </c>
      <c r="AF172" s="256">
        <f>FMS_Ranking4[[#This Row],[Length of roads at risk, ArcSinh (0-10)]]*AD$5*10</f>
        <v>6.2057741918664373</v>
      </c>
      <c r="AG172" s="253">
        <f>_xlfn.XLOOKUP(FMS_Ranking4[[#This Row],[FMS ID]],FMS_Input[FMS_ID],FMS_Input[FARMACRE100])</f>
        <v>3514.048828125</v>
      </c>
      <c r="AH172" s="255">
        <f>(ASINH(FMS_Ranking4[[#This Row],[Ag Land Raw]]))*(10)/(ASINH(AG$4))</f>
        <v>5.7537791798389257</v>
      </c>
      <c r="AI172" s="260">
        <f>FMS_Ranking4[[#This Row],[Farm &amp; ranch land, ArcSinh (0-10)]]*AG$5*10</f>
        <v>2.8768895899194629</v>
      </c>
      <c r="AJ172" s="258">
        <f>_xlfn.XLOOKUP(FMS_Ranking4[[#This Row],[FMS ID]],FMS_Input[FMS_ID],FMS_Input[REDSTRUCT100])</f>
        <v>0</v>
      </c>
      <c r="AK172" s="253">
        <f>_xlfn.XLOOKUP(FMS_Ranking4[[#This Row],[FMS ID]],FMS_Input[FMS_ID],FMS_Input[REMSTRC100])</f>
        <v>0</v>
      </c>
      <c r="AL172" s="259">
        <f>(ASINH(FMS_Ranking4[[#This Row],[Structures Removed Raw]]))*(10)/(ASINH(AK$4))</f>
        <v>0</v>
      </c>
      <c r="AM172" s="262">
        <f>FMS_Ranking4[[#This Row],[Structures removed, ArcSinh (0-10)]]*AK$5*10</f>
        <v>0</v>
      </c>
      <c r="AN172" s="253">
        <f>_xlfn.XLOOKUP(FMS_Ranking4[[#This Row],[FMS ID]],FMS_Input[FMS_ID],FMS_Input[REMRESSTRC100])</f>
        <v>0</v>
      </c>
      <c r="AO172" s="261">
        <f>FMS_Ranking4[[#This Row],[ArcSinh Res struct removed 0-10]]*AN$5*10</f>
        <v>0</v>
      </c>
      <c r="AP172" s="260">
        <f>ASINH(FMS_Ranking4[[#This Row],[Residential Structures Removed Raw]])/AP$4*AN$5*100</f>
        <v>0</v>
      </c>
      <c r="AQ172" s="254">
        <f>(ASINH(FMS_Ranking4[[#This Row],[Residential Structures Removed Raw]]))*(10)/(ASINH(AN$4))</f>
        <v>0</v>
      </c>
      <c r="AR172" s="253">
        <f>_xlfn.XLOOKUP(FMS_Ranking4[[#This Row],[FMS ID]],FMS_Input[FMS_ID],FMS_Input[REMPOP100])</f>
        <v>0</v>
      </c>
      <c r="AS172" s="259">
        <f>(ASINH(FMS_Ranking4[[#This Row],[Removed Pop Raw]]))*(10)/(ASINH(AR$4))</f>
        <v>0</v>
      </c>
      <c r="AT172" s="262">
        <f>FMS_Ranking4[[#This Row],[Removed population, ArcSinh (0-10)]]*AR$5*10</f>
        <v>0</v>
      </c>
      <c r="AU172" s="264">
        <f>_xlfn.XLOOKUP(FMS_Ranking4[[#This Row],[FMS ID]],FMS_Input[FMS_ID],FMS_Input[REMCRITFAC100])</f>
        <v>0</v>
      </c>
      <c r="AV172" s="264">
        <f>_xlfn.XLOOKUP(FMS_Ranking4[[#This Row],[FMS ID]],FMS_Input[FMS_ID],FMS_Input[REMLWC100])</f>
        <v>0</v>
      </c>
      <c r="AW172" s="264">
        <f>_xlfn.XLOOKUP(FMS_Ranking4[[#This Row],[FMS ID]],FMS_Input[FMS_ID],FMS_Input[REMROADCLS])</f>
        <v>0</v>
      </c>
      <c r="AX172" s="264">
        <f>_xlfn.XLOOKUP(FMS_Ranking4[[#This Row],[FMS ID]],FMS_Input[FMS_ID],FMS_Input[REMFRMACRE100])</f>
        <v>0</v>
      </c>
      <c r="AY172" s="258">
        <f>_xlfn.XLOOKUP(FMS_Ranking4[[#This Row],[FMS ID]],FMS_Input[FMS_ID],FMS_Input[COSTSTRUCT])</f>
        <v>0</v>
      </c>
      <c r="AZ172" s="253">
        <f>_xlfn.XLOOKUP(FMS_Ranking4[[#This Row],[FMS ID]],FMS_Input[FMS_ID],FMS_Input[NATURE])</f>
        <v>0</v>
      </c>
      <c r="BA172" s="262">
        <f>(((FMS_Ranking4[[#This Row],[% NBS Raw]]/AZ$4)*100)*AZ$5)</f>
        <v>0</v>
      </c>
      <c r="BB172" s="251" t="str">
        <f>_xlfn.XLOOKUP(FMS_Ranking4[[#This Row],[FMS ID]],FMS_Input[FMS_ID],FMS_Input[WATER_SUP])</f>
        <v>No</v>
      </c>
      <c r="BC172" s="265">
        <f>IF(FMS_Ranking4[[#This Row],[Water Supply Raw]]="Yes",10,0)</f>
        <v>0</v>
      </c>
      <c r="BD172" s="266">
        <f>_xlfn.XLOOKUP(FMS_Ranking4[[#This Row],[FMS Type]],FMS_TYPE[FMS_Type],FMS_TYPE[Score])</f>
        <v>4</v>
      </c>
      <c r="BE172" s="267">
        <f>FMS_Ranking4[[#This Row],[FMS_Type Score]]*$BD$5*10</f>
        <v>1</v>
      </c>
      <c r="BF17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1.156838536000103</v>
      </c>
      <c r="BG172" s="271">
        <f>_xlfn.RANK.EQ(BF172,$BF$8:$BF$870,0)+COUNTIF($BF$8:BF172,BF172)-1</f>
        <v>131</v>
      </c>
      <c r="BH172" s="268">
        <f>(((FMS_Ranking4[[#This Row],[Structures Removed Raw]]/AK$4)*100)*AK$5)+(((FMS_Ranking4[[#This Row],[Removed Pop Raw]]/AR$4)*100)*AR$5)</f>
        <v>0</v>
      </c>
      <c r="BI17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2.156838536000103</v>
      </c>
      <c r="BJ172" s="205">
        <f>_xlfn.RANK.EQ(FMS_Ranking4[[#This Row],[Total Score 
(with linear
normalization)]],FMS_Ranking4[Total Score 
(with linear
normalization)],0)</f>
        <v>338</v>
      </c>
      <c r="BK172" s="205" t="e">
        <f>_xlfn.XLOOKUP(FMS_Ranking4[[#This Row],[FMS ID]],#REF!,#REF!)</f>
        <v>#REF!</v>
      </c>
      <c r="BL17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32.430704079223787</v>
      </c>
      <c r="BM172" s="272">
        <f>FMS_Ranking4[[#This Row],[ArcSinh Score Based on Normalized Reported Factors]]+FMS_Ranking4[[#This Row],[% NBS Score (Normalized)]]+(FMS_Ranking4[[#This Row],[Water Supply Score (Normalized)]]*10*$BB$5)+FMS_Ranking4[[#This Row],[FMS_Type Score Weighted]]</f>
        <v>33.430704079223787</v>
      </c>
      <c r="BN172" s="205">
        <f>_xlfn.RANK.EQ(FMS_Ranking4[[#This Row],[Total Score (with ArcSinh normalization of select criteria)]],FMS_Ranking4[Total Score (with ArcSinh normalization of select criteria)],0)</f>
        <v>165</v>
      </c>
      <c r="BO172" s="270" t="str">
        <f>_xlfn.XLOOKUP(FMS_Ranking4[[#This Row],[FMS ID]],FMS_Input[FMS_ID],FMS_Input[FMS_RANK_YEAR])</f>
        <v>2023 Amended Plan</v>
      </c>
      <c r="BP172" s="204">
        <f>_xlfn.XLOOKUP(FMS_Ranking4[[#This Row],[FMS ID]],Prev_Rank[FMS ID],Prev_Rank[Prev Rank])</f>
        <v>139</v>
      </c>
      <c r="BQ172" s="205" t="e">
        <f>_xlfn.XLOOKUP(FMS_Ranking4[[#This Row],[FMS ID]],#REF!,#REF!)</f>
        <v>#REF!</v>
      </c>
      <c r="BR172" s="199" t="e">
        <f>SUM(#REF!,#REF!,#REF!,#REF!,#REF!,#REF!,#REF!,#REF!,#REF!,FMS_Ranking4[[#This Row],[ArcSinh Res struct removed 0-10]],#REF!)</f>
        <v>#REF!</v>
      </c>
      <c r="BS172" s="199" t="e">
        <f>FMS_Ranking4[[#This Row],[Log Score Based on Normalized Reported Factors]]+FMS_Ranking4[[#This Row],[% NBS Score (Normalized)]]+(FMS_Ranking4[[#This Row],[Water Supply Score (Normalized)]]*10*$BB$5)+(FMS_Ranking4[[#This Row],[FMS_Type Score Weighted]])</f>
        <v>#REF!</v>
      </c>
      <c r="BT172" s="200" t="e">
        <f>_xlfn.RANK.EQ(FMS_Ranking4[[#This Row],[Log Total Score]],FMS_Ranking4[Log Total Score],0)</f>
        <v>#REF!</v>
      </c>
      <c r="BU172" s="200" t="e">
        <f>_xlfn.XLOOKUP(FMS_Ranking4[[#This Row],[FMS ID]],#REF!,#REF!)</f>
        <v>#REF!</v>
      </c>
      <c r="BV172" s="200">
        <f>FMS_Ranking4[[#This Row],[Region Number]]</f>
        <v>7</v>
      </c>
      <c r="BW172" s="200">
        <f>FMS_Ranking4[[#This Row],[Rank (with ArcSinh normalization of select criteria)]]-FMS_Ranking4[[#This Row],[Rank
(with linear
normalization)]]</f>
        <v>-173</v>
      </c>
      <c r="BX172" s="200" t="e">
        <f>FMS_Ranking4[[#This Row],[Log Rank]]-FMS_Ranking4[[#This Row],[Rank
(with linear
normalization)]]</f>
        <v>#REF!</v>
      </c>
      <c r="BY172" s="200" t="str">
        <f>IF(FMS_Ranking4[[#This Row],[FMS Type]]="Flood Measurement and Warning",FMS_Ranking4[[#This Row],[Rank (with ArcSinh normalization of select criteria)]],"")</f>
        <v/>
      </c>
      <c r="BZ172" s="200" t="str">
        <f>IF(FMS_Ranking4[[#This Row],[FMS Type]]="Regulatory and Guidance",FMS_Ranking4[[#This Row],[Rank (with ArcSinh normalization of select criteria)]],"")</f>
        <v/>
      </c>
      <c r="CA172" s="200" t="str">
        <f>IF(FMS_Ranking4[[#This Row],[FMS Type]]="Education and Outreach",FMS_Ranking4[[#This Row],[Rank (with ArcSinh normalization of select criteria)]],"")</f>
        <v/>
      </c>
      <c r="CB172" s="200" t="str">
        <f>IF(FMS_Ranking4[[#This Row],[FMS Type]]="Property Acquisition and Structural Elevation",FMS_Ranking4[[#This Row],[Rank (with ArcSinh normalization of select criteria)]],"")</f>
        <v/>
      </c>
      <c r="CC172" s="200">
        <f>IF(FMS_Ranking4[[#This Row],[FMS Type]]="Infrastructure Projects",FMS_Ranking4[[#This Row],[Rank (with ArcSinh normalization of select criteria)]],"")</f>
        <v>165</v>
      </c>
      <c r="CD172" s="200" t="str">
        <f>IF(FMS_Ranking4[[#This Row],[FMS Type]]="Other",FMS_Ranking4[[#This Row],[Rank (with ArcSinh normalization of select criteria)]],"")</f>
        <v/>
      </c>
      <c r="CE172" s="201"/>
      <c r="CF172" s="206"/>
      <c r="CG172" s="206"/>
      <c r="CH172" s="206"/>
      <c r="CI172" s="206"/>
      <c r="CJ172" s="206"/>
      <c r="CK172" s="206"/>
      <c r="CL172" s="206"/>
      <c r="CM172" s="206"/>
      <c r="CN172" s="206"/>
      <c r="CO172" s="206"/>
      <c r="CP172" s="206"/>
      <c r="CQ172" s="206"/>
      <c r="CR172" s="206"/>
    </row>
    <row r="173" spans="2:96" ht="105" x14ac:dyDescent="0.25">
      <c r="B173" s="341" t="s">
        <v>12004</v>
      </c>
      <c r="C173" s="246">
        <f>_xlfn.XLOOKUP(FMS_Ranking4[[#This Row],[FMS ID]],FMS_Input[FMS_ID],FMS_Input[RFPG_NUM])</f>
        <v>15</v>
      </c>
      <c r="D173" s="309" t="str">
        <f>_xlfn.XLOOKUP(FMS_Ranking4[[#This Row],[FMS ID]],FMS_Input[FMS_ID],FMS_Input[FMS_NAME])</f>
        <v>Willacy County</v>
      </c>
      <c r="E173" s="308" t="str">
        <f>_xlfn.XLOOKUP(FMS_Ranking4[[#This Row],[FMS ID]],FMS_Input[FMS_ID],FMS_Input[SPONSOR])</f>
        <v>15000002</v>
      </c>
      <c r="F173" s="309" t="str">
        <f>_xlfn.XLOOKUP(FMS_Ranking4[[#This Row],[FMS ID]],Sponsor[FMS_ID],Sponsor[SPONSOR NAME])</f>
        <v>Willacy</v>
      </c>
      <c r="G173" s="309" t="str">
        <f>_xlfn.XLOOKUP(FMS_Ranking4[[#This Row],[FMS ID]],FMS_Input[FMS_ID],FMS_Input[FMS_DESCR])</f>
        <v>FMS 2 - Assessment, development, and updating of the City's ordinances, orders, policies, engineering specifications, guidance documents and other flood management tools.</v>
      </c>
      <c r="H173" s="248" t="str">
        <f>_xlfn.XLOOKUP(FMS_Ranking4[[#This Row],[FMS ID]],FMS_Input[FMS_ID],FMS_Input[FMS_TYPE])</f>
        <v>Regulatory and Guidance</v>
      </c>
      <c r="I173" s="249">
        <f>_xlfn.XLOOKUP(FMS_Ranking4[[#This Row],[FMS ID]],FMS_Input[FMS_ID],FMS_Input[NRNC_COST])</f>
        <v>500000</v>
      </c>
      <c r="J173" s="250">
        <f>_xlfn.XLOOKUP(FMS_Ranking4[[#This Row],[FMS ID]],FMS_Input[FMS_ID],FMS_Input[FMS_COST])</f>
        <v>500000</v>
      </c>
      <c r="K173" s="251" t="str">
        <f>_xlfn.XLOOKUP(FMS_Ranking4[[#This Row],[FMS ID]],FMS_Input[FMS_ID],FMS_Input[EMER_NEED])</f>
        <v>Yes</v>
      </c>
      <c r="L173" s="252">
        <f t="shared" si="2"/>
        <v>1</v>
      </c>
      <c r="M173" s="253">
        <f>_xlfn.XLOOKUP(FMS_Ranking4[[#This Row],[FMS ID]],FMS_Input[FMS_ID],FMS_Input[STRUCT_100])</f>
        <v>4777</v>
      </c>
      <c r="N173" s="255">
        <f>(ASINH(FMS_Ranking4[[#This Row],[Structure at Risk Raw]]))*(10)/(ASINH(M$4))</f>
        <v>7.2048307180471989</v>
      </c>
      <c r="O173" s="256">
        <f>FMS_Ranking4[[#This Row],[Structures at risk, ArcSinh (0-10)]]*M$5*10</f>
        <v>7.2048307180471998</v>
      </c>
      <c r="P173" s="253">
        <f>_xlfn.XLOOKUP(FMS_Ranking4[[#This Row],[FMS ID]],FMS_Input[FMS_ID],FMS_Input[RES_STRUCT100])</f>
        <v>3569</v>
      </c>
      <c r="Q173" s="257">
        <f>ASINH(FMS_Ranking4[[#This Row],[Res Structure Raw]])/Q$4*P$5*100</f>
        <v>0</v>
      </c>
      <c r="R173" s="253">
        <f>_xlfn.XLOOKUP(FMS_Ranking4[[#This Row],[FMS ID]],FMS_Input[FMS_ID],FMS_Input[POP100])</f>
        <v>11895</v>
      </c>
      <c r="S173" s="259">
        <f>(ASINH(FMS_Ranking4[[#This Row],[Pop at Risk Raw]]))*(10)/(ASINH(R$4))</f>
        <v>6.9567539869682085</v>
      </c>
      <c r="T173" s="256">
        <f>FMS_Ranking4[[#This Row],[Population at risk, ArcSinh (0-10)]]*R$5*10</f>
        <v>6.9567539869682093</v>
      </c>
      <c r="U173" s="253">
        <f>_xlfn.XLOOKUP(FMS_Ranking4[[#This Row],[FMS ID]],FMS_Input[FMS_ID],FMS_Input[CRITFAC100])</f>
        <v>24</v>
      </c>
      <c r="V173" s="259">
        <f>(ASINH(FMS_Ranking4[[#This Row],[Critical Facilities Raw]]))*(10)/(ASINH(U$4))</f>
        <v>4.583102382887895</v>
      </c>
      <c r="W173" s="256">
        <f>FMS_Ranking4[[#This Row],[Critical facilities at risk, ArcSinh (0-10)]]*U$5*10</f>
        <v>4.583102382887895</v>
      </c>
      <c r="X173" s="253">
        <f>_xlfn.XLOOKUP(FMS_Ranking4[[#This Row],[FMS ID]],FMS_Input[FMS_ID],FMS_Input[LWC])</f>
        <v>0</v>
      </c>
      <c r="Y173" s="259">
        <f>(ASINH(FMS_Ranking4[[#This Row],[LWC Raw]]))*(10)/(ASINH(X$4))</f>
        <v>0</v>
      </c>
      <c r="Z173" s="256">
        <f>FMS_Ranking4[[#This Row],[LWC, ArcSInh (0-10)]]*X$5*10</f>
        <v>0</v>
      </c>
      <c r="AA173" s="253">
        <f>_xlfn.XLOOKUP(FMS_Ranking4[[#This Row],[FMS ID]],FMS_Input[FMS_ID],FMS_Input[ROADCLS])</f>
        <v>781</v>
      </c>
      <c r="AB173" s="255">
        <f>(ASINH(FMS_Ranking4[[#This Row],[Road Closures Raw]]))*(10)/(ASINH(AA$4))</f>
        <v>7.6582272863927843</v>
      </c>
      <c r="AC173" s="256">
        <f>FMS_Ranking4[[#This Row],[Road closures, ArcSinh (0-10)]]*AA$5*10</f>
        <v>3.8291136431963926</v>
      </c>
      <c r="AD173" s="253">
        <f>_xlfn.XLOOKUP(FMS_Ranking4[[#This Row],[FMS ID]],FMS_Input[FMS_ID],FMS_Input[ROAD_MILES100])</f>
        <v>273</v>
      </c>
      <c r="AE173" s="259">
        <f>(ASINH(FMS_Ranking4[[#This Row],[Road Miles Raw]]))*(10)/(ASINH(AD$4))</f>
        <v>6.7168613997183124</v>
      </c>
      <c r="AF173" s="256">
        <f>FMS_Ranking4[[#This Row],[Length of roads at risk, ArcSinh (0-10)]]*AD$5*10</f>
        <v>6.7168613997183124</v>
      </c>
      <c r="AG173" s="253">
        <f>_xlfn.XLOOKUP(FMS_Ranking4[[#This Row],[FMS ID]],FMS_Input[FMS_ID],FMS_Input[FARMACRE100])</f>
        <v>258.932373046875</v>
      </c>
      <c r="AH173" s="255">
        <f>(ASINH(FMS_Ranking4[[#This Row],[Ag Land Raw]]))*(10)/(ASINH(AG$4))</f>
        <v>4.059700890169772</v>
      </c>
      <c r="AI173" s="260">
        <f>FMS_Ranking4[[#This Row],[Farm &amp; ranch land, ArcSinh (0-10)]]*AG$5*10</f>
        <v>2.029850445084886</v>
      </c>
      <c r="AJ173" s="258">
        <f>_xlfn.XLOOKUP(FMS_Ranking4[[#This Row],[FMS ID]],FMS_Input[FMS_ID],FMS_Input[REDSTRUCT100])</f>
        <v>0</v>
      </c>
      <c r="AK173" s="253">
        <f>_xlfn.XLOOKUP(FMS_Ranking4[[#This Row],[FMS ID]],FMS_Input[FMS_ID],FMS_Input[REMSTRC100])</f>
        <v>0</v>
      </c>
      <c r="AL173" s="259">
        <f>(ASINH(FMS_Ranking4[[#This Row],[Structures Removed Raw]]))*(10)/(ASINH(AK$4))</f>
        <v>0</v>
      </c>
      <c r="AM173" s="262">
        <f>FMS_Ranking4[[#This Row],[Structures removed, ArcSinh (0-10)]]*AK$5*10</f>
        <v>0</v>
      </c>
      <c r="AN173" s="253">
        <f>_xlfn.XLOOKUP(FMS_Ranking4[[#This Row],[FMS ID]],FMS_Input[FMS_ID],FMS_Input[REMRESSTRC100])</f>
        <v>0</v>
      </c>
      <c r="AO173" s="261">
        <f>FMS_Ranking4[[#This Row],[ArcSinh Res struct removed 0-10]]*AN$5*10</f>
        <v>0</v>
      </c>
      <c r="AP173" s="260">
        <f>ASINH(FMS_Ranking4[[#This Row],[Residential Structures Removed Raw]])/AP$4*AN$5*100</f>
        <v>0</v>
      </c>
      <c r="AQ173" s="254">
        <f>(ASINH(FMS_Ranking4[[#This Row],[Residential Structures Removed Raw]]))*(10)/(ASINH(AN$4))</f>
        <v>0</v>
      </c>
      <c r="AR173" s="253">
        <f>_xlfn.XLOOKUP(FMS_Ranking4[[#This Row],[FMS ID]],FMS_Input[FMS_ID],FMS_Input[REMPOP100])</f>
        <v>0</v>
      </c>
      <c r="AS173" s="259">
        <f>(ASINH(FMS_Ranking4[[#This Row],[Removed Pop Raw]]))*(10)/(ASINH(AR$4))</f>
        <v>0</v>
      </c>
      <c r="AT173" s="262">
        <f>FMS_Ranking4[[#This Row],[Removed population, ArcSinh (0-10)]]*AR$5*10</f>
        <v>0</v>
      </c>
      <c r="AU173" s="264">
        <f>_xlfn.XLOOKUP(FMS_Ranking4[[#This Row],[FMS ID]],FMS_Input[FMS_ID],FMS_Input[REMCRITFAC100])</f>
        <v>0</v>
      </c>
      <c r="AV173" s="264">
        <f>_xlfn.XLOOKUP(FMS_Ranking4[[#This Row],[FMS ID]],FMS_Input[FMS_ID],FMS_Input[REMLWC100])</f>
        <v>0</v>
      </c>
      <c r="AW173" s="264">
        <f>_xlfn.XLOOKUP(FMS_Ranking4[[#This Row],[FMS ID]],FMS_Input[FMS_ID],FMS_Input[REMROADCLS])</f>
        <v>0</v>
      </c>
      <c r="AX173" s="264">
        <f>_xlfn.XLOOKUP(FMS_Ranking4[[#This Row],[FMS ID]],FMS_Input[FMS_ID],FMS_Input[REMFRMACRE100])</f>
        <v>0</v>
      </c>
      <c r="AY173" s="258">
        <f>_xlfn.XLOOKUP(FMS_Ranking4[[#This Row],[FMS ID]],FMS_Input[FMS_ID],FMS_Input[COSTSTRUCT])</f>
        <v>0</v>
      </c>
      <c r="AZ173" s="253">
        <f>_xlfn.XLOOKUP(FMS_Ranking4[[#This Row],[FMS ID]],FMS_Input[FMS_ID],FMS_Input[NATURE])</f>
        <v>0</v>
      </c>
      <c r="BA173" s="262">
        <f>(((FMS_Ranking4[[#This Row],[% NBS Raw]]/AZ$4)*100)*AZ$5)</f>
        <v>0</v>
      </c>
      <c r="BB173" s="251" t="str">
        <f>_xlfn.XLOOKUP(FMS_Ranking4[[#This Row],[FMS ID]],FMS_Input[FMS_ID],FMS_Input[WATER_SUP])</f>
        <v>No</v>
      </c>
      <c r="BC173" s="265">
        <f>IF(FMS_Ranking4[[#This Row],[Water Supply Raw]]="Yes",10,0)</f>
        <v>0</v>
      </c>
      <c r="BD173" s="266">
        <f>_xlfn.XLOOKUP(FMS_Ranking4[[#This Row],[FMS Type]],FMS_TYPE[FMS_Type],FMS_TYPE[Score])</f>
        <v>8</v>
      </c>
      <c r="BE173" s="267">
        <f>FMS_Ranking4[[#This Row],[FMS_Type Score]]*$BD$5*10</f>
        <v>2</v>
      </c>
      <c r="BF17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1.4978731285619555</v>
      </c>
      <c r="BG173" s="271">
        <f>_xlfn.RANK.EQ(BF173,$BF$8:$BF$870,0)+COUNTIF($BF$8:BF173,BF173)-1</f>
        <v>111</v>
      </c>
      <c r="BH173" s="268">
        <f>(((FMS_Ranking4[[#This Row],[Structures Removed Raw]]/AK$4)*100)*AK$5)+(((FMS_Ranking4[[#This Row],[Removed Pop Raw]]/AR$4)*100)*AR$5)</f>
        <v>0</v>
      </c>
      <c r="BI17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3.4978731285619555</v>
      </c>
      <c r="BJ173" s="205">
        <f>_xlfn.RANK.EQ(FMS_Ranking4[[#This Row],[Total Score 
(with linear
normalization)]],FMS_Ranking4[Total Score 
(with linear
normalization)],0)</f>
        <v>148</v>
      </c>
      <c r="BK173" s="205" t="e">
        <f>_xlfn.XLOOKUP(FMS_Ranking4[[#This Row],[FMS ID]],#REF!,#REF!)</f>
        <v>#REF!</v>
      </c>
      <c r="BL17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31.320512575902896</v>
      </c>
      <c r="BM173" s="272">
        <f>FMS_Ranking4[[#This Row],[ArcSinh Score Based on Normalized Reported Factors]]+FMS_Ranking4[[#This Row],[% NBS Score (Normalized)]]+(FMS_Ranking4[[#This Row],[Water Supply Score (Normalized)]]*10*$BB$5)+FMS_Ranking4[[#This Row],[FMS_Type Score Weighted]]</f>
        <v>33.320512575902896</v>
      </c>
      <c r="BN173" s="205">
        <f>_xlfn.RANK.EQ(FMS_Ranking4[[#This Row],[Total Score (with ArcSinh normalization of select criteria)]],FMS_Ranking4[Total Score (with ArcSinh normalization of select criteria)],0)</f>
        <v>166</v>
      </c>
      <c r="BO173" s="270" t="str">
        <f>_xlfn.XLOOKUP(FMS_Ranking4[[#This Row],[FMS ID]],FMS_Input[FMS_ID],FMS_Input[FMS_RANK_YEAR])</f>
        <v>2025 Amended Plan</v>
      </c>
      <c r="BP173" s="204" t="e">
        <f>_xlfn.XLOOKUP(FMS_Ranking4[[#This Row],[FMS ID]],Prev_Rank[FMS ID],Prev_Rank[Prev Rank])</f>
        <v>#N/A</v>
      </c>
      <c r="BQ173" s="205" t="e">
        <f>_xlfn.XLOOKUP(FMS_Ranking4[[#This Row],[FMS ID]],#REF!,#REF!)</f>
        <v>#REF!</v>
      </c>
      <c r="BR173" s="199" t="e">
        <f>SUM(#REF!,#REF!,#REF!,#REF!,#REF!,#REF!,#REF!,#REF!,#REF!,FMS_Ranking4[[#This Row],[ArcSinh Res struct removed 0-10]],#REF!)</f>
        <v>#REF!</v>
      </c>
      <c r="BS173" s="199" t="e">
        <f>FMS_Ranking4[[#This Row],[Log Score Based on Normalized Reported Factors]]+FMS_Ranking4[[#This Row],[% NBS Score (Normalized)]]+(FMS_Ranking4[[#This Row],[Water Supply Score (Normalized)]]*10*$BB$5)+(FMS_Ranking4[[#This Row],[FMS_Type Score Weighted]])</f>
        <v>#REF!</v>
      </c>
      <c r="BT173" s="200" t="e">
        <f>_xlfn.RANK.EQ(FMS_Ranking4[[#This Row],[Log Total Score]],FMS_Ranking4[Log Total Score],0)</f>
        <v>#REF!</v>
      </c>
      <c r="BU173" s="200" t="e">
        <f>_xlfn.XLOOKUP(FMS_Ranking4[[#This Row],[FMS ID]],#REF!,#REF!)</f>
        <v>#REF!</v>
      </c>
      <c r="BV173" s="200">
        <f>FMS_Ranking4[[#This Row],[Region Number]]</f>
        <v>15</v>
      </c>
      <c r="BW173" s="200">
        <f>FMS_Ranking4[[#This Row],[Rank (with ArcSinh normalization of select criteria)]]-FMS_Ranking4[[#This Row],[Rank
(with linear
normalization)]]</f>
        <v>18</v>
      </c>
      <c r="BX173" s="200" t="e">
        <f>FMS_Ranking4[[#This Row],[Log Rank]]-FMS_Ranking4[[#This Row],[Rank
(with linear
normalization)]]</f>
        <v>#REF!</v>
      </c>
      <c r="BY173" s="200" t="str">
        <f>IF(FMS_Ranking4[[#This Row],[FMS Type]]="Flood Measurement and Warning",FMS_Ranking4[[#This Row],[Rank (with ArcSinh normalization of select criteria)]],"")</f>
        <v/>
      </c>
      <c r="BZ173" s="200">
        <f>IF(FMS_Ranking4[[#This Row],[FMS Type]]="Regulatory and Guidance",FMS_Ranking4[[#This Row],[Rank (with ArcSinh normalization of select criteria)]],"")</f>
        <v>166</v>
      </c>
      <c r="CA173" s="200" t="str">
        <f>IF(FMS_Ranking4[[#This Row],[FMS Type]]="Education and Outreach",FMS_Ranking4[[#This Row],[Rank (with ArcSinh normalization of select criteria)]],"")</f>
        <v/>
      </c>
      <c r="CB173" s="200" t="str">
        <f>IF(FMS_Ranking4[[#This Row],[FMS Type]]="Property Acquisition and Structural Elevation",FMS_Ranking4[[#This Row],[Rank (with ArcSinh normalization of select criteria)]],"")</f>
        <v/>
      </c>
      <c r="CC173" s="200" t="str">
        <f>IF(FMS_Ranking4[[#This Row],[FMS Type]]="Infrastructure Projects",FMS_Ranking4[[#This Row],[Rank (with ArcSinh normalization of select criteria)]],"")</f>
        <v/>
      </c>
      <c r="CD173" s="200" t="str">
        <f>IF(FMS_Ranking4[[#This Row],[FMS Type]]="Other",FMS_Ranking4[[#This Row],[Rank (with ArcSinh normalization of select criteria)]],"")</f>
        <v/>
      </c>
      <c r="CE173" s="201"/>
      <c r="CF173" s="206"/>
      <c r="CG173" s="206"/>
      <c r="CH173" s="206"/>
      <c r="CI173" s="206"/>
      <c r="CJ173" s="206"/>
      <c r="CK173" s="206"/>
      <c r="CL173" s="206"/>
      <c r="CM173" s="206"/>
      <c r="CN173" s="206"/>
      <c r="CO173" s="206"/>
      <c r="CP173" s="206"/>
      <c r="CQ173" s="206"/>
      <c r="CR173" s="206"/>
    </row>
    <row r="174" spans="2:96" ht="105" x14ac:dyDescent="0.25">
      <c r="B174" s="341" t="s">
        <v>12011</v>
      </c>
      <c r="C174" s="246">
        <f>_xlfn.XLOOKUP(FMS_Ranking4[[#This Row],[FMS ID]],FMS_Input[FMS_ID],FMS_Input[RFPG_NUM])</f>
        <v>15</v>
      </c>
      <c r="D174" s="309" t="str">
        <f>_xlfn.XLOOKUP(FMS_Ranking4[[#This Row],[FMS ID]],FMS_Input[FMS_ID],FMS_Input[FMS_NAME])</f>
        <v>City of Edinburg</v>
      </c>
      <c r="E174" s="308" t="str">
        <f>_xlfn.XLOOKUP(FMS_Ranking4[[#This Row],[FMS ID]],FMS_Input[FMS_ID],FMS_Input[SPONSOR])</f>
        <v>15000082</v>
      </c>
      <c r="F174" s="309" t="str">
        <f>_xlfn.XLOOKUP(FMS_Ranking4[[#This Row],[FMS ID]],Sponsor[FMS_ID],Sponsor[SPONSOR NAME])</f>
        <v>Edinburg</v>
      </c>
      <c r="G174" s="309" t="str">
        <f>_xlfn.XLOOKUP(FMS_Ranking4[[#This Row],[FMS ID]],FMS_Input[FMS_ID],FMS_Input[FMS_DESCR])</f>
        <v>FMS 2 - Assessment, development, and updating of the City's ordinances, orders, policies, engineering specifications, guidance documents and other flood management tools.</v>
      </c>
      <c r="H174" s="248" t="str">
        <f>_xlfn.XLOOKUP(FMS_Ranking4[[#This Row],[FMS ID]],FMS_Input[FMS_ID],FMS_Input[FMS_TYPE])</f>
        <v>Regulatory and Guidance</v>
      </c>
      <c r="I174" s="249">
        <f>_xlfn.XLOOKUP(FMS_Ranking4[[#This Row],[FMS ID]],FMS_Input[FMS_ID],FMS_Input[NRNC_COST])</f>
        <v>500000</v>
      </c>
      <c r="J174" s="250">
        <f>_xlfn.XLOOKUP(FMS_Ranking4[[#This Row],[FMS ID]],FMS_Input[FMS_ID],FMS_Input[FMS_COST])</f>
        <v>500000</v>
      </c>
      <c r="K174" s="251" t="str">
        <f>_xlfn.XLOOKUP(FMS_Ranking4[[#This Row],[FMS ID]],FMS_Input[FMS_ID],FMS_Input[EMER_NEED])</f>
        <v>Yes</v>
      </c>
      <c r="L174" s="252">
        <f t="shared" si="2"/>
        <v>1</v>
      </c>
      <c r="M174" s="253">
        <f>_xlfn.XLOOKUP(FMS_Ranking4[[#This Row],[FMS ID]],FMS_Input[FMS_ID],FMS_Input[STRUCT_100])</f>
        <v>11174</v>
      </c>
      <c r="N174" s="255">
        <f>(ASINH(FMS_Ranking4[[#This Row],[Structure at Risk Raw]]))*(10)/(ASINH(M$4))</f>
        <v>7.8728818937819298</v>
      </c>
      <c r="O174" s="256">
        <f>FMS_Ranking4[[#This Row],[Structures at risk, ArcSinh (0-10)]]*M$5*10</f>
        <v>7.8728818937819298</v>
      </c>
      <c r="P174" s="253">
        <f>_xlfn.XLOOKUP(FMS_Ranking4[[#This Row],[FMS ID]],FMS_Input[FMS_ID],FMS_Input[RES_STRUCT100])</f>
        <v>9608</v>
      </c>
      <c r="Q174" s="257">
        <f>ASINH(FMS_Ranking4[[#This Row],[Res Structure Raw]])/Q$4*P$5*100</f>
        <v>0</v>
      </c>
      <c r="R174" s="253">
        <f>_xlfn.XLOOKUP(FMS_Ranking4[[#This Row],[FMS ID]],FMS_Input[FMS_ID],FMS_Input[POP100])</f>
        <v>47171</v>
      </c>
      <c r="S174" s="259">
        <f>(ASINH(FMS_Ranking4[[#This Row],[Pop at Risk Raw]]))*(10)/(ASINH(R$4))</f>
        <v>7.9078336844841264</v>
      </c>
      <c r="T174" s="256">
        <f>FMS_Ranking4[[#This Row],[Population at risk, ArcSinh (0-10)]]*R$5*10</f>
        <v>7.9078336844841264</v>
      </c>
      <c r="U174" s="253">
        <f>_xlfn.XLOOKUP(FMS_Ranking4[[#This Row],[FMS ID]],FMS_Input[FMS_ID],FMS_Input[CRITFAC100])</f>
        <v>76</v>
      </c>
      <c r="V174" s="259">
        <f>(ASINH(FMS_Ranking4[[#This Row],[Critical Facilities Raw]]))*(10)/(ASINH(U$4))</f>
        <v>5.9471408308646305</v>
      </c>
      <c r="W174" s="256">
        <f>FMS_Ranking4[[#This Row],[Critical facilities at risk, ArcSinh (0-10)]]*U$5*10</f>
        <v>5.9471408308646314</v>
      </c>
      <c r="X174" s="253">
        <f>_xlfn.XLOOKUP(FMS_Ranking4[[#This Row],[FMS ID]],FMS_Input[FMS_ID],FMS_Input[LWC])</f>
        <v>2</v>
      </c>
      <c r="Y174" s="259">
        <f>(ASINH(FMS_Ranking4[[#This Row],[LWC Raw]]))*(10)/(ASINH(X$4))</f>
        <v>1.9557475158633808</v>
      </c>
      <c r="Z174" s="256">
        <f>FMS_Ranking4[[#This Row],[LWC, ArcSInh (0-10)]]*X$5*10</f>
        <v>1.9557475158633808</v>
      </c>
      <c r="AA174" s="253">
        <f>_xlfn.XLOOKUP(FMS_Ranking4[[#This Row],[FMS ID]],FMS_Input[FMS_ID],FMS_Input[ROADCLS])</f>
        <v>0</v>
      </c>
      <c r="AB174" s="255">
        <f>(ASINH(FMS_Ranking4[[#This Row],[Road Closures Raw]]))*(10)/(ASINH(AA$4))</f>
        <v>0</v>
      </c>
      <c r="AC174" s="256">
        <f>FMS_Ranking4[[#This Row],[Road closures, ArcSinh (0-10)]]*AA$5*10</f>
        <v>0</v>
      </c>
      <c r="AD174" s="253">
        <f>_xlfn.XLOOKUP(FMS_Ranking4[[#This Row],[FMS ID]],FMS_Input[FMS_ID],FMS_Input[ROAD_MILES100])</f>
        <v>253</v>
      </c>
      <c r="AE174" s="259">
        <f>(ASINH(FMS_Ranking4[[#This Row],[Road Miles Raw]]))*(10)/(ASINH(AD$4))</f>
        <v>6.6357791806512925</v>
      </c>
      <c r="AF174" s="256">
        <f>FMS_Ranking4[[#This Row],[Length of roads at risk, ArcSinh (0-10)]]*AD$5*10</f>
        <v>6.6357791806512934</v>
      </c>
      <c r="AG174" s="253">
        <f>_xlfn.XLOOKUP(FMS_Ranking4[[#This Row],[FMS ID]],FMS_Input[FMS_ID],FMS_Input[FARMACRE100])</f>
        <v>9.3521347045898438</v>
      </c>
      <c r="AH174" s="255">
        <f>(ASINH(FMS_Ranking4[[#This Row],[Ag Land Raw]]))*(10)/(ASINH(AG$4))</f>
        <v>1.9043117367164422</v>
      </c>
      <c r="AI174" s="260">
        <f>FMS_Ranking4[[#This Row],[Farm &amp; ranch land, ArcSinh (0-10)]]*AG$5*10</f>
        <v>0.95215586835822108</v>
      </c>
      <c r="AJ174" s="258">
        <f>_xlfn.XLOOKUP(FMS_Ranking4[[#This Row],[FMS ID]],FMS_Input[FMS_ID],FMS_Input[REDSTRUCT100])</f>
        <v>0</v>
      </c>
      <c r="AK174" s="253">
        <f>_xlfn.XLOOKUP(FMS_Ranking4[[#This Row],[FMS ID]],FMS_Input[FMS_ID],FMS_Input[REMSTRC100])</f>
        <v>0</v>
      </c>
      <c r="AL174" s="259">
        <f>(ASINH(FMS_Ranking4[[#This Row],[Structures Removed Raw]]))*(10)/(ASINH(AK$4))</f>
        <v>0</v>
      </c>
      <c r="AM174" s="262">
        <f>FMS_Ranking4[[#This Row],[Structures removed, ArcSinh (0-10)]]*AK$5*10</f>
        <v>0</v>
      </c>
      <c r="AN174" s="253">
        <f>_xlfn.XLOOKUP(FMS_Ranking4[[#This Row],[FMS ID]],FMS_Input[FMS_ID],FMS_Input[REMRESSTRC100])</f>
        <v>0</v>
      </c>
      <c r="AO174" s="261">
        <f>FMS_Ranking4[[#This Row],[ArcSinh Res struct removed 0-10]]*AN$5*10</f>
        <v>0</v>
      </c>
      <c r="AP174" s="260">
        <f>ASINH(FMS_Ranking4[[#This Row],[Residential Structures Removed Raw]])/AP$4*AN$5*100</f>
        <v>0</v>
      </c>
      <c r="AQ174" s="254">
        <f>(ASINH(FMS_Ranking4[[#This Row],[Residential Structures Removed Raw]]))*(10)/(ASINH(AN$4))</f>
        <v>0</v>
      </c>
      <c r="AR174" s="253">
        <f>_xlfn.XLOOKUP(FMS_Ranking4[[#This Row],[FMS ID]],FMS_Input[FMS_ID],FMS_Input[REMPOP100])</f>
        <v>0</v>
      </c>
      <c r="AS174" s="259">
        <f>(ASINH(FMS_Ranking4[[#This Row],[Removed Pop Raw]]))*(10)/(ASINH(AR$4))</f>
        <v>0</v>
      </c>
      <c r="AT174" s="262">
        <f>FMS_Ranking4[[#This Row],[Removed population, ArcSinh (0-10)]]*AR$5*10</f>
        <v>0</v>
      </c>
      <c r="AU174" s="264">
        <f>_xlfn.XLOOKUP(FMS_Ranking4[[#This Row],[FMS ID]],FMS_Input[FMS_ID],FMS_Input[REMCRITFAC100])</f>
        <v>0</v>
      </c>
      <c r="AV174" s="264">
        <f>_xlfn.XLOOKUP(FMS_Ranking4[[#This Row],[FMS ID]],FMS_Input[FMS_ID],FMS_Input[REMLWC100])</f>
        <v>0</v>
      </c>
      <c r="AW174" s="264">
        <f>_xlfn.XLOOKUP(FMS_Ranking4[[#This Row],[FMS ID]],FMS_Input[FMS_ID],FMS_Input[REMROADCLS])</f>
        <v>0</v>
      </c>
      <c r="AX174" s="264">
        <f>_xlfn.XLOOKUP(FMS_Ranking4[[#This Row],[FMS ID]],FMS_Input[FMS_ID],FMS_Input[REMFRMACRE100])</f>
        <v>0</v>
      </c>
      <c r="AY174" s="258">
        <f>_xlfn.XLOOKUP(FMS_Ranking4[[#This Row],[FMS ID]],FMS_Input[FMS_ID],FMS_Input[COSTSTRUCT])</f>
        <v>0</v>
      </c>
      <c r="AZ174" s="253">
        <f>_xlfn.XLOOKUP(FMS_Ranking4[[#This Row],[FMS ID]],FMS_Input[FMS_ID],FMS_Input[NATURE])</f>
        <v>0</v>
      </c>
      <c r="BA174" s="262">
        <f>(((FMS_Ranking4[[#This Row],[% NBS Raw]]/AZ$4)*100)*AZ$5)</f>
        <v>0</v>
      </c>
      <c r="BB174" s="251" t="str">
        <f>_xlfn.XLOOKUP(FMS_Ranking4[[#This Row],[FMS ID]],FMS_Input[FMS_ID],FMS_Input[WATER_SUP])</f>
        <v>No</v>
      </c>
      <c r="BC174" s="265">
        <f>IF(FMS_Ranking4[[#This Row],[Water Supply Raw]]="Yes",10,0)</f>
        <v>0</v>
      </c>
      <c r="BD174" s="266">
        <f>_xlfn.XLOOKUP(FMS_Ranking4[[#This Row],[FMS Type]],FMS_TYPE[FMS_Type],FMS_TYPE[Score])</f>
        <v>8</v>
      </c>
      <c r="BE174" s="267">
        <f>FMS_Ranking4[[#This Row],[FMS_Type Score]]*$BD$5*10</f>
        <v>2</v>
      </c>
      <c r="BF17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1.9275610838924251</v>
      </c>
      <c r="BG174" s="269">
        <f>_xlfn.RANK.EQ(BF174,$BF$8:$BF$870,0)+COUNTIF($BF$8:BF174,BF174)-1</f>
        <v>104</v>
      </c>
      <c r="BH174" s="268">
        <f>(((FMS_Ranking4[[#This Row],[Structures Removed Raw]]/AK$4)*100)*AK$5)+(((FMS_Ranking4[[#This Row],[Removed Pop Raw]]/AR$4)*100)*AR$5)</f>
        <v>0</v>
      </c>
      <c r="BI17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3.9275610838924253</v>
      </c>
      <c r="BJ174" s="204">
        <f>_xlfn.RANK.EQ(FMS_Ranking4[[#This Row],[Total Score 
(with linear
normalization)]],FMS_Ranking4[Total Score 
(with linear
normalization)],0)</f>
        <v>137</v>
      </c>
      <c r="BK174" s="204" t="e">
        <f>_xlfn.XLOOKUP(FMS_Ranking4[[#This Row],[FMS ID]],#REF!,#REF!)</f>
        <v>#REF!</v>
      </c>
      <c r="BL174"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31.271538974003583</v>
      </c>
      <c r="BM174" s="270">
        <f>FMS_Ranking4[[#This Row],[ArcSinh Score Based on Normalized Reported Factors]]+FMS_Ranking4[[#This Row],[% NBS Score (Normalized)]]+(FMS_Ranking4[[#This Row],[Water Supply Score (Normalized)]]*10*$BB$5)+FMS_Ranking4[[#This Row],[FMS_Type Score Weighted]]</f>
        <v>33.271538974003583</v>
      </c>
      <c r="BN174" s="204">
        <f>_xlfn.RANK.EQ(FMS_Ranking4[[#This Row],[Total Score (with ArcSinh normalization of select criteria)]],FMS_Ranking4[Total Score (with ArcSinh normalization of select criteria)],0)</f>
        <v>167</v>
      </c>
      <c r="BO174" s="270" t="str">
        <f>_xlfn.XLOOKUP(FMS_Ranking4[[#This Row],[FMS ID]],FMS_Input[FMS_ID],FMS_Input[FMS_RANK_YEAR])</f>
        <v>2025 Amended Plan</v>
      </c>
      <c r="BP174" s="204" t="e">
        <f>_xlfn.XLOOKUP(FMS_Ranking4[[#This Row],[FMS ID]],Prev_Rank[FMS ID],Prev_Rank[Prev Rank])</f>
        <v>#N/A</v>
      </c>
      <c r="BQ174" s="204" t="e">
        <f>_xlfn.XLOOKUP(FMS_Ranking4[[#This Row],[FMS ID]],#REF!,#REF!)</f>
        <v>#REF!</v>
      </c>
      <c r="BR174" s="199" t="e">
        <f>SUM(#REF!,#REF!,#REF!,#REF!,#REF!,#REF!,#REF!,#REF!,#REF!,FMS_Ranking4[[#This Row],[ArcSinh Res struct removed 0-10]],#REF!)</f>
        <v>#REF!</v>
      </c>
      <c r="BS174" s="199" t="e">
        <f>FMS_Ranking4[[#This Row],[Log Score Based on Normalized Reported Factors]]+FMS_Ranking4[[#This Row],[% NBS Score (Normalized)]]+(FMS_Ranking4[[#This Row],[Water Supply Score (Normalized)]]*10*$BB$5)+(FMS_Ranking4[[#This Row],[FMS_Type Score Weighted]])</f>
        <v>#REF!</v>
      </c>
      <c r="BT174" s="200" t="e">
        <f>_xlfn.RANK.EQ(FMS_Ranking4[[#This Row],[Log Total Score]],FMS_Ranking4[Log Total Score],0)</f>
        <v>#REF!</v>
      </c>
      <c r="BU174" s="200" t="e">
        <f>_xlfn.XLOOKUP(FMS_Ranking4[[#This Row],[FMS ID]],#REF!,#REF!)</f>
        <v>#REF!</v>
      </c>
      <c r="BV174" s="200">
        <f>FMS_Ranking4[[#This Row],[Region Number]]</f>
        <v>15</v>
      </c>
      <c r="BW174" s="200">
        <f>FMS_Ranking4[[#This Row],[Rank (with ArcSinh normalization of select criteria)]]-FMS_Ranking4[[#This Row],[Rank
(with linear
normalization)]]</f>
        <v>30</v>
      </c>
      <c r="BX174" s="200" t="e">
        <f>FMS_Ranking4[[#This Row],[Log Rank]]-FMS_Ranking4[[#This Row],[Rank
(with linear
normalization)]]</f>
        <v>#REF!</v>
      </c>
      <c r="BY174" s="200" t="str">
        <f>IF(FMS_Ranking4[[#This Row],[FMS Type]]="Flood Measurement and Warning",FMS_Ranking4[[#This Row],[Rank (with ArcSinh normalization of select criteria)]],"")</f>
        <v/>
      </c>
      <c r="BZ174" s="200">
        <f>IF(FMS_Ranking4[[#This Row],[FMS Type]]="Regulatory and Guidance",FMS_Ranking4[[#This Row],[Rank (with ArcSinh normalization of select criteria)]],"")</f>
        <v>167</v>
      </c>
      <c r="CA174" s="200" t="str">
        <f>IF(FMS_Ranking4[[#This Row],[FMS Type]]="Education and Outreach",FMS_Ranking4[[#This Row],[Rank (with ArcSinh normalization of select criteria)]],"")</f>
        <v/>
      </c>
      <c r="CB174" s="200" t="str">
        <f>IF(FMS_Ranking4[[#This Row],[FMS Type]]="Property Acquisition and Structural Elevation",FMS_Ranking4[[#This Row],[Rank (with ArcSinh normalization of select criteria)]],"")</f>
        <v/>
      </c>
      <c r="CC174" s="200" t="str">
        <f>IF(FMS_Ranking4[[#This Row],[FMS Type]]="Infrastructure Projects",FMS_Ranking4[[#This Row],[Rank (with ArcSinh normalization of select criteria)]],"")</f>
        <v/>
      </c>
      <c r="CD174" s="200" t="str">
        <f>IF(FMS_Ranking4[[#This Row],[FMS Type]]="Other",FMS_Ranking4[[#This Row],[Rank (with ArcSinh normalization of select criteria)]],"")</f>
        <v/>
      </c>
      <c r="CE174" s="201"/>
      <c r="CF174" s="206"/>
      <c r="CG174" s="206"/>
      <c r="CH174" s="206"/>
      <c r="CI174" s="206"/>
      <c r="CJ174" s="206"/>
      <c r="CK174" s="206"/>
      <c r="CL174" s="206"/>
      <c r="CM174" s="206"/>
      <c r="CN174" s="206"/>
      <c r="CO174" s="206"/>
      <c r="CP174" s="206"/>
      <c r="CQ174" s="206"/>
      <c r="CR174" s="206"/>
    </row>
    <row r="175" spans="2:96" ht="60" x14ac:dyDescent="0.25">
      <c r="B175" s="341" t="s">
        <v>4224</v>
      </c>
      <c r="C175" s="246">
        <f>_xlfn.XLOOKUP(FMS_Ranking4[[#This Row],[FMS ID]],FMS_Input[FMS_ID],FMS_Input[RFPG_NUM])</f>
        <v>15</v>
      </c>
      <c r="D175" s="309" t="str">
        <f>_xlfn.XLOOKUP(FMS_Ranking4[[#This Row],[FMS ID]],FMS_Input[FMS_ID],FMS_Input[FMS_NAME])</f>
        <v>City of Harlingen - Flood Warning System, planning, operation &amp; maintenance</v>
      </c>
      <c r="E175" s="308" t="str">
        <f>_xlfn.XLOOKUP(FMS_Ranking4[[#This Row],[FMS ID]],FMS_Input[FMS_ID],FMS_Input[SPONSOR])</f>
        <v>15000043</v>
      </c>
      <c r="F175" s="309" t="str">
        <f>_xlfn.XLOOKUP(FMS_Ranking4[[#This Row],[FMS ID]],Sponsor[FMS_ID],Sponsor[SPONSOR NAME])</f>
        <v>Harlingen</v>
      </c>
      <c r="G175" s="309" t="str">
        <f>_xlfn.XLOOKUP(FMS_Ranking4[[#This Row],[FMS ID]],FMS_Input[FMS_ID],FMS_Input[FMS_DESCR])</f>
        <v>Develop and Implement a Flood Warning System, planning, operation &amp; Maintenance plan</v>
      </c>
      <c r="H175" s="248" t="str">
        <f>_xlfn.XLOOKUP(FMS_Ranking4[[#This Row],[FMS ID]],FMS_Input[FMS_ID],FMS_Input[FMS_TYPE])</f>
        <v>Flood Measurement and Warning</v>
      </c>
      <c r="I175" s="249">
        <f>_xlfn.XLOOKUP(FMS_Ranking4[[#This Row],[FMS ID]],FMS_Input[FMS_ID],FMS_Input[NRNC_COST])</f>
        <v>600000</v>
      </c>
      <c r="J175" s="250">
        <f>_xlfn.XLOOKUP(FMS_Ranking4[[#This Row],[FMS ID]],FMS_Input[FMS_ID],FMS_Input[FMS_COST])</f>
        <v>5000000</v>
      </c>
      <c r="K175" s="251" t="str">
        <f>_xlfn.XLOOKUP(FMS_Ranking4[[#This Row],[FMS ID]],FMS_Input[FMS_ID],FMS_Input[EMER_NEED])</f>
        <v>Yes</v>
      </c>
      <c r="L175" s="252">
        <f t="shared" si="2"/>
        <v>1</v>
      </c>
      <c r="M175" s="253">
        <f>_xlfn.XLOOKUP(FMS_Ranking4[[#This Row],[FMS ID]],FMS_Input[FMS_ID],FMS_Input[STRUCT_100])</f>
        <v>17519</v>
      </c>
      <c r="N175" s="255">
        <f>(ASINH(FMS_Ranking4[[#This Row],[Structure at Risk Raw]]))*(10)/(ASINH(M$4))</f>
        <v>8.2264101849357996</v>
      </c>
      <c r="O175" s="256">
        <f>FMS_Ranking4[[#This Row],[Structures at risk, ArcSinh (0-10)]]*M$5*10</f>
        <v>8.2264101849357996</v>
      </c>
      <c r="P175" s="253">
        <f>_xlfn.XLOOKUP(FMS_Ranking4[[#This Row],[FMS ID]],FMS_Input[FMS_ID],FMS_Input[RES_STRUCT100])</f>
        <v>13543</v>
      </c>
      <c r="Q175" s="257">
        <f>ASINH(FMS_Ranking4[[#This Row],[Res Structure Raw]])/Q$4*P$5*100</f>
        <v>0</v>
      </c>
      <c r="R175" s="253">
        <f>_xlfn.XLOOKUP(FMS_Ranking4[[#This Row],[FMS ID]],FMS_Input[FMS_ID],FMS_Input[POP100])</f>
        <v>73788</v>
      </c>
      <c r="S175" s="255">
        <f>(ASINH(FMS_Ranking4[[#This Row],[Pop at Risk Raw]]))*(10)/(ASINH(R$4))</f>
        <v>8.2167115628089835</v>
      </c>
      <c r="T175" s="256">
        <f>FMS_Ranking4[[#This Row],[Population at risk, ArcSinh (0-10)]]*R$5*10</f>
        <v>8.2167115628089835</v>
      </c>
      <c r="U175" s="253">
        <f>_xlfn.XLOOKUP(FMS_Ranking4[[#This Row],[FMS ID]],FMS_Input[FMS_ID],FMS_Input[CRITFAC100])</f>
        <v>14</v>
      </c>
      <c r="V175" s="255">
        <f>(ASINH(FMS_Ranking4[[#This Row],[Critical Facilities Raw]]))*(10)/(ASINH(U$4))</f>
        <v>3.9460512246267809</v>
      </c>
      <c r="W175" s="256">
        <f>FMS_Ranking4[[#This Row],[Critical facilities at risk, ArcSinh (0-10)]]*U$5*10</f>
        <v>3.9460512246267809</v>
      </c>
      <c r="X175" s="253">
        <f>_xlfn.XLOOKUP(FMS_Ranking4[[#This Row],[FMS ID]],FMS_Input[FMS_ID],FMS_Input[LWC])</f>
        <v>0</v>
      </c>
      <c r="Y175" s="255">
        <f>(ASINH(FMS_Ranking4[[#This Row],[LWC Raw]]))*(10)/(ASINH(X$4))</f>
        <v>0</v>
      </c>
      <c r="Z175" s="256">
        <f>FMS_Ranking4[[#This Row],[LWC, ArcSInh (0-10)]]*X$5*10</f>
        <v>0</v>
      </c>
      <c r="AA175" s="253">
        <f>_xlfn.XLOOKUP(FMS_Ranking4[[#This Row],[FMS ID]],FMS_Input[FMS_ID],FMS_Input[ROADCLS])</f>
        <v>0</v>
      </c>
      <c r="AB175" s="255">
        <f>(ASINH(FMS_Ranking4[[#This Row],[Road Closures Raw]]))*(10)/(ASINH(AA$4))</f>
        <v>0</v>
      </c>
      <c r="AC175" s="256">
        <f>FMS_Ranking4[[#This Row],[Road closures, ArcSinh (0-10)]]*AA$5*10</f>
        <v>0</v>
      </c>
      <c r="AD175" s="253">
        <f>_xlfn.XLOOKUP(FMS_Ranking4[[#This Row],[FMS ID]],FMS_Input[FMS_ID],FMS_Input[ROAD_MILES100])</f>
        <v>327</v>
      </c>
      <c r="AE175" s="255">
        <f>(ASINH(FMS_Ranking4[[#This Row],[Road Miles Raw]]))*(10)/(ASINH(AD$4))</f>
        <v>6.909211268307466</v>
      </c>
      <c r="AF175" s="256">
        <f>FMS_Ranking4[[#This Row],[Length of roads at risk, ArcSinh (0-10)]]*AD$5*10</f>
        <v>6.9092112683074669</v>
      </c>
      <c r="AG175" s="253">
        <f>_xlfn.XLOOKUP(FMS_Ranking4[[#This Row],[FMS ID]],FMS_Input[FMS_ID],FMS_Input[FARMACRE100])</f>
        <v>6829.923828125</v>
      </c>
      <c r="AH175" s="255">
        <f>(ASINH(FMS_Ranking4[[#This Row],[Ag Land Raw]]))*(10)/(ASINH(AG$4))</f>
        <v>6.1854550512456257</v>
      </c>
      <c r="AI175" s="260">
        <f>FMS_Ranking4[[#This Row],[Farm &amp; ranch land, ArcSinh (0-10)]]*AG$5*10</f>
        <v>3.0927275256228133</v>
      </c>
      <c r="AJ175" s="258">
        <f>_xlfn.XLOOKUP(FMS_Ranking4[[#This Row],[FMS ID]],FMS_Input[FMS_ID],FMS_Input[REDSTRUCT100])</f>
        <v>0</v>
      </c>
      <c r="AK175" s="253">
        <f>_xlfn.XLOOKUP(FMS_Ranking4[[#This Row],[FMS ID]],FMS_Input[FMS_ID],FMS_Input[REMSTRC100])</f>
        <v>0</v>
      </c>
      <c r="AL175" s="255">
        <f>(ASINH(FMS_Ranking4[[#This Row],[Structures Removed Raw]]))*(10)/(ASINH(AK$4))</f>
        <v>0</v>
      </c>
      <c r="AM175" s="262">
        <f>FMS_Ranking4[[#This Row],[Structures removed, ArcSinh (0-10)]]*AK$5*10</f>
        <v>0</v>
      </c>
      <c r="AN175" s="253">
        <f>_xlfn.XLOOKUP(FMS_Ranking4[[#This Row],[FMS ID]],FMS_Input[FMS_ID],FMS_Input[REMRESSTRC100])</f>
        <v>0</v>
      </c>
      <c r="AO175" s="261">
        <f>FMS_Ranking4[[#This Row],[ArcSinh Res struct removed 0-10]]*AN$5*10</f>
        <v>0</v>
      </c>
      <c r="AP175" s="260">
        <f>ASINH(FMS_Ranking4[[#This Row],[Residential Structures Removed Raw]])/AP$4*AN$5*100</f>
        <v>0</v>
      </c>
      <c r="AQ175" s="258">
        <f>(ASINH(FMS_Ranking4[[#This Row],[Residential Structures Removed Raw]]))*(10)/(ASINH(AN$4))</f>
        <v>0</v>
      </c>
      <c r="AR175" s="253">
        <f>_xlfn.XLOOKUP(FMS_Ranking4[[#This Row],[FMS ID]],FMS_Input[FMS_ID],FMS_Input[REMPOP100])</f>
        <v>0</v>
      </c>
      <c r="AS175" s="255">
        <f>(ASINH(FMS_Ranking4[[#This Row],[Removed Pop Raw]]))*(10)/(ASINH(AR$4))</f>
        <v>0</v>
      </c>
      <c r="AT175" s="262">
        <f>FMS_Ranking4[[#This Row],[Removed population, ArcSinh (0-10)]]*AR$5*10</f>
        <v>0</v>
      </c>
      <c r="AU175" s="264">
        <f>_xlfn.XLOOKUP(FMS_Ranking4[[#This Row],[FMS ID]],FMS_Input[FMS_ID],FMS_Input[REMCRITFAC100])</f>
        <v>0</v>
      </c>
      <c r="AV175" s="264">
        <f>_xlfn.XLOOKUP(FMS_Ranking4[[#This Row],[FMS ID]],FMS_Input[FMS_ID],FMS_Input[REMLWC100])</f>
        <v>0</v>
      </c>
      <c r="AW175" s="264">
        <f>_xlfn.XLOOKUP(FMS_Ranking4[[#This Row],[FMS ID]],FMS_Input[FMS_ID],FMS_Input[REMROADCLS])</f>
        <v>0</v>
      </c>
      <c r="AX175" s="264">
        <f>_xlfn.XLOOKUP(FMS_Ranking4[[#This Row],[FMS ID]],FMS_Input[FMS_ID],FMS_Input[REMFRMACRE100])</f>
        <v>0</v>
      </c>
      <c r="AY175" s="258">
        <f>_xlfn.XLOOKUP(FMS_Ranking4[[#This Row],[FMS ID]],FMS_Input[FMS_ID],FMS_Input[COSTSTRUCT])</f>
        <v>0</v>
      </c>
      <c r="AZ175" s="253">
        <f>_xlfn.XLOOKUP(FMS_Ranking4[[#This Row],[FMS ID]],FMS_Input[FMS_ID],FMS_Input[NATURE])</f>
        <v>0</v>
      </c>
      <c r="BA175" s="262">
        <f>(((FMS_Ranking4[[#This Row],[% NBS Raw]]/AZ$4)*100)*AZ$5)</f>
        <v>0</v>
      </c>
      <c r="BB175" s="251" t="str">
        <f>_xlfn.XLOOKUP(FMS_Ranking4[[#This Row],[FMS ID]],FMS_Input[FMS_ID],FMS_Input[WATER_SUP])</f>
        <v>No</v>
      </c>
      <c r="BC175" s="265">
        <f>IF(FMS_Ranking4[[#This Row],[Water Supply Raw]]="Yes",10,0)</f>
        <v>0</v>
      </c>
      <c r="BD175" s="266">
        <f>_xlfn.XLOOKUP(FMS_Ranking4[[#This Row],[FMS Type]],FMS_TYPE[FMS_Type],FMS_TYPE[Score])</f>
        <v>10</v>
      </c>
      <c r="BE175" s="267">
        <f>FMS_Ranking4[[#This Row],[FMS_Type Score]]*$BD$5*10</f>
        <v>2.5</v>
      </c>
      <c r="BF17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2.427255658480278</v>
      </c>
      <c r="BG175" s="321">
        <f>_xlfn.RANK.EQ(BF175,$BF$8:$BF$870,0)+COUNTIF($BF$8:BF175,BF175)-1</f>
        <v>92</v>
      </c>
      <c r="BH175" s="294">
        <f>(((FMS_Ranking4[[#This Row],[Structures Removed Raw]]/AK$4)*100)*AK$5)+(((FMS_Ranking4[[#This Row],[Removed Pop Raw]]/AR$4)*100)*AR$5)</f>
        <v>0</v>
      </c>
      <c r="BI17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4.927255658480278</v>
      </c>
      <c r="BJ175" s="251">
        <f>_xlfn.RANK.EQ(FMS_Ranking4[[#This Row],[Total Score 
(with linear
normalization)]],FMS_Ranking4[Total Score 
(with linear
normalization)],0)</f>
        <v>115</v>
      </c>
      <c r="BK175" s="251" t="e">
        <f>_xlfn.XLOOKUP(FMS_Ranking4[[#This Row],[FMS ID]],#REF!,#REF!)</f>
        <v>#REF!</v>
      </c>
      <c r="BL17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30.391111766301844</v>
      </c>
      <c r="BM175" s="324">
        <f>FMS_Ranking4[[#This Row],[ArcSinh Score Based on Normalized Reported Factors]]+FMS_Ranking4[[#This Row],[% NBS Score (Normalized)]]+(FMS_Ranking4[[#This Row],[Water Supply Score (Normalized)]]*10*$BB$5)+FMS_Ranking4[[#This Row],[FMS_Type Score Weighted]]</f>
        <v>32.891111766301847</v>
      </c>
      <c r="BN175" s="251">
        <f>_xlfn.RANK.EQ(FMS_Ranking4[[#This Row],[Total Score (with ArcSinh normalization of select criteria)]],FMS_Ranking4[Total Score (with ArcSinh normalization of select criteria)],0)</f>
        <v>168</v>
      </c>
      <c r="BO175" s="270" t="str">
        <f>_xlfn.XLOOKUP(FMS_Ranking4[[#This Row],[FMS ID]],FMS_Input[FMS_ID],FMS_Input[FMS_RANK_YEAR])</f>
        <v>2023 Amended Plan</v>
      </c>
      <c r="BP175" s="204">
        <f>_xlfn.XLOOKUP(FMS_Ranking4[[#This Row],[FMS ID]],Prev_Rank[FMS ID],Prev_Rank[Prev Rank])</f>
        <v>145</v>
      </c>
      <c r="BQ175" s="251" t="e">
        <f>_xlfn.XLOOKUP(FMS_Ranking4[[#This Row],[FMS ID]],#REF!,#REF!)</f>
        <v>#REF!</v>
      </c>
      <c r="BR175" s="199" t="e">
        <f>SUM(#REF!,#REF!,#REF!,#REF!,#REF!,#REF!,#REF!,#REF!,#REF!,FMS_Ranking4[[#This Row],[ArcSinh Res struct removed 0-10]],#REF!)</f>
        <v>#REF!</v>
      </c>
      <c r="BS175" s="199" t="e">
        <f>FMS_Ranking4[[#This Row],[Log Score Based on Normalized Reported Factors]]+FMS_Ranking4[[#This Row],[% NBS Score (Normalized)]]+(FMS_Ranking4[[#This Row],[Water Supply Score (Normalized)]]*10*$BB$5)+(FMS_Ranking4[[#This Row],[FMS_Type Score Weighted]])</f>
        <v>#REF!</v>
      </c>
      <c r="BT175" s="200" t="e">
        <f>_xlfn.RANK.EQ(FMS_Ranking4[[#This Row],[Log Total Score]],FMS_Ranking4[Log Total Score],0)</f>
        <v>#REF!</v>
      </c>
      <c r="BU175" s="200" t="e">
        <f>_xlfn.XLOOKUP(FMS_Ranking4[[#This Row],[FMS ID]],#REF!,#REF!)</f>
        <v>#REF!</v>
      </c>
      <c r="BV175" s="200">
        <f>FMS_Ranking4[[#This Row],[Region Number]]</f>
        <v>15</v>
      </c>
      <c r="BW175" s="200">
        <f>FMS_Ranking4[[#This Row],[Rank (with ArcSinh normalization of select criteria)]]-FMS_Ranking4[[#This Row],[Rank
(with linear
normalization)]]</f>
        <v>53</v>
      </c>
      <c r="BX175" s="200" t="e">
        <f>FMS_Ranking4[[#This Row],[Log Rank]]-FMS_Ranking4[[#This Row],[Rank
(with linear
normalization)]]</f>
        <v>#REF!</v>
      </c>
      <c r="BY175" s="200">
        <f>IF(FMS_Ranking4[[#This Row],[FMS Type]]="Flood Measurement and Warning",FMS_Ranking4[[#This Row],[Rank (with ArcSinh normalization of select criteria)]],"")</f>
        <v>168</v>
      </c>
      <c r="BZ175" s="200" t="str">
        <f>IF(FMS_Ranking4[[#This Row],[FMS Type]]="Regulatory and Guidance",FMS_Ranking4[[#This Row],[Rank (with ArcSinh normalization of select criteria)]],"")</f>
        <v/>
      </c>
      <c r="CA175" s="200" t="str">
        <f>IF(FMS_Ranking4[[#This Row],[FMS Type]]="Education and Outreach",FMS_Ranking4[[#This Row],[Rank (with ArcSinh normalization of select criteria)]],"")</f>
        <v/>
      </c>
      <c r="CB175" s="200" t="str">
        <f>IF(FMS_Ranking4[[#This Row],[FMS Type]]="Property Acquisition and Structural Elevation",FMS_Ranking4[[#This Row],[Rank (with ArcSinh normalization of select criteria)]],"")</f>
        <v/>
      </c>
      <c r="CC175" s="200" t="str">
        <f>IF(FMS_Ranking4[[#This Row],[FMS Type]]="Infrastructure Projects",FMS_Ranking4[[#This Row],[Rank (with ArcSinh normalization of select criteria)]],"")</f>
        <v/>
      </c>
      <c r="CD175" s="200" t="str">
        <f>IF(FMS_Ranking4[[#This Row],[FMS Type]]="Other",FMS_Ranking4[[#This Row],[Rank (with ArcSinh normalization of select criteria)]],"")</f>
        <v/>
      </c>
      <c r="CE175" s="201"/>
      <c r="CF175" s="206"/>
      <c r="CG175" s="206"/>
      <c r="CH175" s="206"/>
      <c r="CI175" s="206"/>
      <c r="CJ175" s="206"/>
      <c r="CK175" s="206"/>
      <c r="CL175" s="206"/>
      <c r="CM175" s="206"/>
      <c r="CN175" s="206"/>
      <c r="CO175" s="206"/>
      <c r="CP175" s="206"/>
      <c r="CQ175" s="206"/>
      <c r="CR175" s="206"/>
    </row>
    <row r="176" spans="2:96" ht="45" x14ac:dyDescent="0.25">
      <c r="B176" s="341" t="s">
        <v>1014</v>
      </c>
      <c r="C176" s="246">
        <f>_xlfn.XLOOKUP(FMS_Ranking4[[#This Row],[FMS ID]],FMS_Input[FMS_ID],FMS_Input[RFPG_NUM])</f>
        <v>9</v>
      </c>
      <c r="D176" s="309" t="str">
        <f>_xlfn.XLOOKUP(FMS_Ranking4[[#This Row],[FMS ID]],FMS_Input[FMS_ID],FMS_Input[FMS_NAME])</f>
        <v>Reagan County Sediment Cleanout Program</v>
      </c>
      <c r="E176" s="308" t="str">
        <f>_xlfn.XLOOKUP(FMS_Ranking4[[#This Row],[FMS ID]],FMS_Input[FMS_ID],FMS_Input[SPONSOR])</f>
        <v>00000126</v>
      </c>
      <c r="F176" s="309" t="str">
        <f>_xlfn.XLOOKUP(FMS_Ranking4[[#This Row],[FMS ID]],Sponsor[FMS_ID],Sponsor[SPONSOR NAME])</f>
        <v>Reagan</v>
      </c>
      <c r="G176" s="309" t="str">
        <f>_xlfn.XLOOKUP(FMS_Ranking4[[#This Row],[FMS ID]],FMS_Input[FMS_ID],FMS_Input[FMS_DESCR])</f>
        <v xml:space="preserve">Adopt and implement a program for clearing debris from bridges, drains and culverts. </v>
      </c>
      <c r="H176" s="248" t="str">
        <f>_xlfn.XLOOKUP(FMS_Ranking4[[#This Row],[FMS ID]],FMS_Input[FMS_ID],FMS_Input[FMS_TYPE])</f>
        <v>Other</v>
      </c>
      <c r="I176" s="249">
        <f>_xlfn.XLOOKUP(FMS_Ranking4[[#This Row],[FMS ID]],FMS_Input[FMS_ID],FMS_Input[NRNC_COST])</f>
        <v>5000</v>
      </c>
      <c r="J176" s="250">
        <f>_xlfn.XLOOKUP(FMS_Ranking4[[#This Row],[FMS ID]],FMS_Input[FMS_ID],FMS_Input[FMS_COST])</f>
        <v>30000</v>
      </c>
      <c r="K176" s="251" t="str">
        <f>_xlfn.XLOOKUP(FMS_Ranking4[[#This Row],[FMS ID]],FMS_Input[FMS_ID],FMS_Input[EMER_NEED])</f>
        <v>No</v>
      </c>
      <c r="L176" s="252">
        <f t="shared" si="2"/>
        <v>0</v>
      </c>
      <c r="M176" s="253">
        <f>_xlfn.XLOOKUP(FMS_Ranking4[[#This Row],[FMS ID]],FMS_Input[FMS_ID],FMS_Input[STRUCT_100])</f>
        <v>161</v>
      </c>
      <c r="N176" s="255">
        <f>(ASINH(FMS_Ranking4[[#This Row],[Structure at Risk Raw]]))*(10)/(ASINH(M$4))</f>
        <v>4.5396648903358781</v>
      </c>
      <c r="O176" s="256">
        <f>FMS_Ranking4[[#This Row],[Structures at risk, ArcSinh (0-10)]]*M$5*10</f>
        <v>4.5396648903358781</v>
      </c>
      <c r="P176" s="253">
        <f>_xlfn.XLOOKUP(FMS_Ranking4[[#This Row],[FMS ID]],FMS_Input[FMS_ID],FMS_Input[RES_STRUCT100])</f>
        <v>79</v>
      </c>
      <c r="Q176" s="257">
        <f>ASINH(FMS_Ranking4[[#This Row],[Res Structure Raw]])/Q$4*P$5*100</f>
        <v>0</v>
      </c>
      <c r="R176" s="253">
        <f>_xlfn.XLOOKUP(FMS_Ranking4[[#This Row],[FMS ID]],FMS_Input[FMS_ID],FMS_Input[POP100])</f>
        <v>200</v>
      </c>
      <c r="S176" s="255">
        <f>(ASINH(FMS_Ranking4[[#This Row],[Pop at Risk Raw]]))*(10)/(ASINH(R$4))</f>
        <v>4.136261102238028</v>
      </c>
      <c r="T176" s="256">
        <f>FMS_Ranking4[[#This Row],[Population at risk, ArcSinh (0-10)]]*R$5*10</f>
        <v>4.136261102238028</v>
      </c>
      <c r="U176" s="253">
        <f>_xlfn.XLOOKUP(FMS_Ranking4[[#This Row],[FMS ID]],FMS_Input[FMS_ID],FMS_Input[CRITFAC100])</f>
        <v>0</v>
      </c>
      <c r="V176" s="255">
        <f>(ASINH(FMS_Ranking4[[#This Row],[Critical Facilities Raw]]))*(10)/(ASINH(U$4))</f>
        <v>0</v>
      </c>
      <c r="W176" s="256">
        <f>FMS_Ranking4[[#This Row],[Critical facilities at risk, ArcSinh (0-10)]]*U$5*10</f>
        <v>0</v>
      </c>
      <c r="X176" s="253">
        <f>_xlfn.XLOOKUP(FMS_Ranking4[[#This Row],[FMS ID]],FMS_Input[FMS_ID],FMS_Input[LWC])</f>
        <v>2</v>
      </c>
      <c r="Y176" s="255">
        <f>(ASINH(FMS_Ranking4[[#This Row],[LWC Raw]]))*(10)/(ASINH(X$4))</f>
        <v>1.9557475158633808</v>
      </c>
      <c r="Z176" s="256">
        <f>FMS_Ranking4[[#This Row],[LWC, ArcSInh (0-10)]]*X$5*10</f>
        <v>1.9557475158633808</v>
      </c>
      <c r="AA176" s="253">
        <f>_xlfn.XLOOKUP(FMS_Ranking4[[#This Row],[FMS ID]],FMS_Input[FMS_ID],FMS_Input[ROADCLS])</f>
        <v>0</v>
      </c>
      <c r="AB176" s="255">
        <f>(ASINH(FMS_Ranking4[[#This Row],[Road Closures Raw]]))*(10)/(ASINH(AA$4))</f>
        <v>0</v>
      </c>
      <c r="AC176" s="256">
        <f>FMS_Ranking4[[#This Row],[Road closures, ArcSinh (0-10)]]*AA$5*10</f>
        <v>0</v>
      </c>
      <c r="AD176" s="253">
        <f>_xlfn.XLOOKUP(FMS_Ranking4[[#This Row],[FMS ID]],FMS_Input[FMS_ID],FMS_Input[ROAD_MILES100])</f>
        <v>39</v>
      </c>
      <c r="AE176" s="255">
        <f>(ASINH(FMS_Ranking4[[#This Row],[Road Miles Raw]]))*(10)/(ASINH(AD$4))</f>
        <v>4.6432280983160377</v>
      </c>
      <c r="AF176" s="256">
        <f>FMS_Ranking4[[#This Row],[Length of roads at risk, ArcSinh (0-10)]]*AD$5*10</f>
        <v>4.6432280983160377</v>
      </c>
      <c r="AG176" s="253">
        <f>_xlfn.XLOOKUP(FMS_Ranking4[[#This Row],[FMS ID]],FMS_Input[FMS_ID],FMS_Input[FARMACRE100])</f>
        <v>13306.9638671875</v>
      </c>
      <c r="AH176" s="255">
        <f>(ASINH(FMS_Ranking4[[#This Row],[Ag Land Raw]]))*(10)/(ASINH(AG$4))</f>
        <v>6.6187089841740168</v>
      </c>
      <c r="AI176" s="260">
        <f>FMS_Ranking4[[#This Row],[Farm &amp; ranch land, ArcSinh (0-10)]]*AG$5*10</f>
        <v>3.3093544920870088</v>
      </c>
      <c r="AJ176" s="258">
        <f>_xlfn.XLOOKUP(FMS_Ranking4[[#This Row],[FMS ID]],FMS_Input[FMS_ID],FMS_Input[REDSTRUCT100])</f>
        <v>41</v>
      </c>
      <c r="AK176" s="253">
        <f>_xlfn.XLOOKUP(FMS_Ranking4[[#This Row],[FMS ID]],FMS_Input[FMS_ID],FMS_Input[REMSTRC100])</f>
        <v>41</v>
      </c>
      <c r="AL176" s="255">
        <f>(ASINH(FMS_Ranking4[[#This Row],[Structures Removed Raw]]))*(10)/(ASINH(AK$4))</f>
        <v>5.0175337091178109</v>
      </c>
      <c r="AM176" s="262">
        <f>FMS_Ranking4[[#This Row],[Structures removed, ArcSinh (0-10)]]*AK$5*10</f>
        <v>5.0175337091178109</v>
      </c>
      <c r="AN176" s="253">
        <f>_xlfn.XLOOKUP(FMS_Ranking4[[#This Row],[FMS ID]],FMS_Input[FMS_ID],FMS_Input[REMRESSTRC100])</f>
        <v>19</v>
      </c>
      <c r="AO176" s="261">
        <f>FMS_Ranking4[[#This Row],[ArcSinh Res struct removed 0-10]]*AN$5*10</f>
        <v>2.1339463182846794</v>
      </c>
      <c r="AP176" s="260">
        <f>ASINH(FMS_Ranking4[[#This Row],[Residential Structures Removed Raw]])/AP$4*AN$5*100</f>
        <v>2.1339463182846794</v>
      </c>
      <c r="AQ176" s="258">
        <f>(ASINH(FMS_Ranking4[[#This Row],[Residential Structures Removed Raw]]))*(10)/(ASINH(AN$4))</f>
        <v>4.2678926365693588</v>
      </c>
      <c r="AR176" s="253">
        <f>_xlfn.XLOOKUP(FMS_Ranking4[[#This Row],[FMS ID]],FMS_Input[FMS_ID],FMS_Input[REMPOP100])</f>
        <v>64</v>
      </c>
      <c r="AS176" s="255">
        <f>(ASINH(FMS_Ranking4[[#This Row],[Removed Pop Raw]]))*(10)/(ASINH(AR$4))</f>
        <v>4.7629120040194532</v>
      </c>
      <c r="AT176" s="262">
        <f>FMS_Ranking4[[#This Row],[Removed population, ArcSinh (0-10)]]*AR$5*10</f>
        <v>4.7629120040194532</v>
      </c>
      <c r="AU176" s="264">
        <f>_xlfn.XLOOKUP(FMS_Ranking4[[#This Row],[FMS ID]],FMS_Input[FMS_ID],FMS_Input[REMCRITFAC100])</f>
        <v>0</v>
      </c>
      <c r="AV176" s="264">
        <f>_xlfn.XLOOKUP(FMS_Ranking4[[#This Row],[FMS ID]],FMS_Input[FMS_ID],FMS_Input[REMLWC100])</f>
        <v>0</v>
      </c>
      <c r="AW176" s="264">
        <f>_xlfn.XLOOKUP(FMS_Ranking4[[#This Row],[FMS ID]],FMS_Input[FMS_ID],FMS_Input[REMROADCLS])</f>
        <v>0</v>
      </c>
      <c r="AX176" s="264">
        <f>_xlfn.XLOOKUP(FMS_Ranking4[[#This Row],[FMS ID]],FMS_Input[FMS_ID],FMS_Input[REMFRMACRE100])</f>
        <v>3326.740966796875</v>
      </c>
      <c r="AY176" s="258">
        <f>_xlfn.XLOOKUP(FMS_Ranking4[[#This Row],[FMS ID]],FMS_Input[FMS_ID],FMS_Input[COSTSTRUCT])</f>
        <v>25000</v>
      </c>
      <c r="AZ176" s="253">
        <f>_xlfn.XLOOKUP(FMS_Ranking4[[#This Row],[FMS ID]],FMS_Input[FMS_ID],FMS_Input[NATURE])</f>
        <v>25</v>
      </c>
      <c r="BA176" s="262">
        <f>(((FMS_Ranking4[[#This Row],[% NBS Raw]]/AZ$4)*100)*AZ$5)</f>
        <v>1.875</v>
      </c>
      <c r="BB176" s="251" t="str">
        <f>_xlfn.XLOOKUP(FMS_Ranking4[[#This Row],[FMS ID]],FMS_Input[FMS_ID],FMS_Input[WATER_SUP])</f>
        <v>No</v>
      </c>
      <c r="BC176" s="265">
        <f>IF(FMS_Ranking4[[#This Row],[Water Supply Raw]]="Yes",10,0)</f>
        <v>0</v>
      </c>
      <c r="BD176" s="266">
        <f>_xlfn.XLOOKUP(FMS_Ranking4[[#This Row],[FMS Type]],FMS_TYPE[FMS_Type],FMS_TYPE[Score])</f>
        <v>2</v>
      </c>
      <c r="BE176" s="267">
        <f>FMS_Ranking4[[#This Row],[FMS_Type Score]]*$BD$5*10</f>
        <v>0.5</v>
      </c>
      <c r="BF17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0.12963016960319101</v>
      </c>
      <c r="BG176" s="321">
        <f>_xlfn.RANK.EQ(BF176,$BF$8:$BF$870,0)+COUNTIF($BF$8:BF176,BF176)-1</f>
        <v>436</v>
      </c>
      <c r="BH176" s="294">
        <f>(((FMS_Ranking4[[#This Row],[Structures Removed Raw]]/AK$4)*100)*AK$5)+(((FMS_Ranking4[[#This Row],[Removed Pop Raw]]/AR$4)*100)*AR$5)</f>
        <v>0.17391744658502192</v>
      </c>
      <c r="BI17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2.6785476161882129</v>
      </c>
      <c r="BJ176" s="251">
        <f>_xlfn.RANK.EQ(FMS_Ranking4[[#This Row],[Total Score 
(with linear
normalization)]],FMS_Ranking4[Total Score 
(with linear
normalization)],0)</f>
        <v>210</v>
      </c>
      <c r="BK176" s="251" t="e">
        <f>_xlfn.XLOOKUP(FMS_Ranking4[[#This Row],[FMS ID]],#REF!,#REF!)</f>
        <v>#REF!</v>
      </c>
      <c r="BL17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30.498648130262275</v>
      </c>
      <c r="BM176" s="324">
        <f>FMS_Ranking4[[#This Row],[ArcSinh Score Based on Normalized Reported Factors]]+FMS_Ranking4[[#This Row],[% NBS Score (Normalized)]]+(FMS_Ranking4[[#This Row],[Water Supply Score (Normalized)]]*10*$BB$5)+FMS_Ranking4[[#This Row],[FMS_Type Score Weighted]]</f>
        <v>32.873648130262275</v>
      </c>
      <c r="BN176" s="251">
        <f>_xlfn.RANK.EQ(FMS_Ranking4[[#This Row],[Total Score (with ArcSinh normalization of select criteria)]],FMS_Ranking4[Total Score (with ArcSinh normalization of select criteria)],0)</f>
        <v>169</v>
      </c>
      <c r="BO176" s="270" t="str">
        <f>_xlfn.XLOOKUP(FMS_Ranking4[[#This Row],[FMS ID]],FMS_Input[FMS_ID],FMS_Input[FMS_RANK_YEAR])</f>
        <v>2023 Amended Plan</v>
      </c>
      <c r="BP176" s="204">
        <f>_xlfn.XLOOKUP(FMS_Ranking4[[#This Row],[FMS ID]],Prev_Rank[FMS ID],Prev_Rank[Prev Rank])</f>
        <v>156</v>
      </c>
      <c r="BQ176" s="251" t="e">
        <f>_xlfn.XLOOKUP(FMS_Ranking4[[#This Row],[FMS ID]],#REF!,#REF!)</f>
        <v>#REF!</v>
      </c>
      <c r="BR176" s="199" t="e">
        <f>SUM(#REF!,#REF!,#REF!,#REF!,#REF!,#REF!,#REF!,#REF!,#REF!,FMS_Ranking4[[#This Row],[ArcSinh Res struct removed 0-10]],#REF!)</f>
        <v>#REF!</v>
      </c>
      <c r="BS176" s="199" t="e">
        <f>FMS_Ranking4[[#This Row],[Log Score Based on Normalized Reported Factors]]+FMS_Ranking4[[#This Row],[% NBS Score (Normalized)]]+(FMS_Ranking4[[#This Row],[Water Supply Score (Normalized)]]*10*$BB$5)+(FMS_Ranking4[[#This Row],[FMS_Type Score Weighted]])</f>
        <v>#REF!</v>
      </c>
      <c r="BT176" s="200" t="e">
        <f>_xlfn.RANK.EQ(FMS_Ranking4[[#This Row],[Log Total Score]],FMS_Ranking4[Log Total Score],0)</f>
        <v>#REF!</v>
      </c>
      <c r="BU176" s="200" t="e">
        <f>_xlfn.XLOOKUP(FMS_Ranking4[[#This Row],[FMS ID]],#REF!,#REF!)</f>
        <v>#REF!</v>
      </c>
      <c r="BV176" s="200">
        <f>FMS_Ranking4[[#This Row],[Region Number]]</f>
        <v>9</v>
      </c>
      <c r="BW176" s="200">
        <f>FMS_Ranking4[[#This Row],[Rank (with ArcSinh normalization of select criteria)]]-FMS_Ranking4[[#This Row],[Rank
(with linear
normalization)]]</f>
        <v>-41</v>
      </c>
      <c r="BX176" s="200" t="e">
        <f>FMS_Ranking4[[#This Row],[Log Rank]]-FMS_Ranking4[[#This Row],[Rank
(with linear
normalization)]]</f>
        <v>#REF!</v>
      </c>
      <c r="BY176" s="200" t="str">
        <f>IF(FMS_Ranking4[[#This Row],[FMS Type]]="Flood Measurement and Warning",FMS_Ranking4[[#This Row],[Rank (with ArcSinh normalization of select criteria)]],"")</f>
        <v/>
      </c>
      <c r="BZ176" s="200" t="str">
        <f>IF(FMS_Ranking4[[#This Row],[FMS Type]]="Regulatory and Guidance",FMS_Ranking4[[#This Row],[Rank (with ArcSinh normalization of select criteria)]],"")</f>
        <v/>
      </c>
      <c r="CA176" s="200" t="str">
        <f>IF(FMS_Ranking4[[#This Row],[FMS Type]]="Education and Outreach",FMS_Ranking4[[#This Row],[Rank (with ArcSinh normalization of select criteria)]],"")</f>
        <v/>
      </c>
      <c r="CB176" s="200" t="str">
        <f>IF(FMS_Ranking4[[#This Row],[FMS Type]]="Property Acquisition and Structural Elevation",FMS_Ranking4[[#This Row],[Rank (with ArcSinh normalization of select criteria)]],"")</f>
        <v/>
      </c>
      <c r="CC176" s="200" t="str">
        <f>IF(FMS_Ranking4[[#This Row],[FMS Type]]="Infrastructure Projects",FMS_Ranking4[[#This Row],[Rank (with ArcSinh normalization of select criteria)]],"")</f>
        <v/>
      </c>
      <c r="CD176" s="200">
        <f>IF(FMS_Ranking4[[#This Row],[FMS Type]]="Other",FMS_Ranking4[[#This Row],[Rank (with ArcSinh normalization of select criteria)]],"")</f>
        <v>169</v>
      </c>
      <c r="CE176" s="201"/>
      <c r="CF176" s="206"/>
      <c r="CG176" s="206"/>
      <c r="CH176" s="206"/>
      <c r="CI176" s="206"/>
      <c r="CJ176" s="206"/>
      <c r="CK176" s="206"/>
      <c r="CL176" s="206"/>
      <c r="CM176" s="206"/>
      <c r="CN176" s="206"/>
      <c r="CO176" s="206"/>
      <c r="CP176" s="206"/>
      <c r="CQ176" s="206"/>
      <c r="CR176" s="206"/>
    </row>
    <row r="177" spans="2:96" ht="60" x14ac:dyDescent="0.25">
      <c r="B177" s="341" t="s">
        <v>1465</v>
      </c>
      <c r="C177" s="246">
        <f>_xlfn.XLOOKUP(FMS_Ranking4[[#This Row],[FMS ID]],FMS_Input[FMS_ID],FMS_Input[RFPG_NUM])</f>
        <v>1</v>
      </c>
      <c r="D177" s="309" t="str">
        <f>_xlfn.XLOOKUP(FMS_Ranking4[[#This Row],[FMS ID]],FMS_Input[FMS_ID],FMS_Input[FMS_NAME])</f>
        <v>City of Canyon Acquire, Buyout, and Flood-Proofing Program</v>
      </c>
      <c r="E177" s="308" t="str">
        <f>_xlfn.XLOOKUP(FMS_Ranking4[[#This Row],[FMS ID]],FMS_Input[FMS_ID],FMS_Input[SPONSOR])</f>
        <v>01003426, 01000243</v>
      </c>
      <c r="F177" s="309" t="str">
        <f>_xlfn.XLOOKUP(FMS_Ranking4[[#This Row],[FMS ID]],Sponsor[FMS_ID],Sponsor[SPONSOR NAME])</f>
        <v>Canyon, Randall</v>
      </c>
      <c r="G177" s="309" t="str">
        <f>_xlfn.XLOOKUP(FMS_Ranking4[[#This Row],[FMS ID]],FMS_Input[FMS_ID],FMS_Input[FMS_DESCR])</f>
        <v>Develop a program to identify and either acquire (buy out/relocate) or elevate structures in the floodplain</v>
      </c>
      <c r="H177" s="248" t="str">
        <f>_xlfn.XLOOKUP(FMS_Ranking4[[#This Row],[FMS ID]],FMS_Input[FMS_ID],FMS_Input[FMS_TYPE])</f>
        <v>Property Acquisition and Structural Elevation</v>
      </c>
      <c r="I177" s="249">
        <f>_xlfn.XLOOKUP(FMS_Ranking4[[#This Row],[FMS ID]],FMS_Input[FMS_ID],FMS_Input[NRNC_COST])</f>
        <v>600000</v>
      </c>
      <c r="J177" s="250">
        <f>_xlfn.XLOOKUP(FMS_Ranking4[[#This Row],[FMS ID]],FMS_Input[FMS_ID],FMS_Input[FMS_COST])</f>
        <v>6000000</v>
      </c>
      <c r="K177" s="251" t="str">
        <f>_xlfn.XLOOKUP(FMS_Ranking4[[#This Row],[FMS ID]],FMS_Input[FMS_ID],FMS_Input[EMER_NEED])</f>
        <v>No</v>
      </c>
      <c r="L177" s="252">
        <f t="shared" si="2"/>
        <v>0</v>
      </c>
      <c r="M177" s="253">
        <f>_xlfn.XLOOKUP(FMS_Ranking4[[#This Row],[FMS ID]],FMS_Input[FMS_ID],FMS_Input[STRUCT_100])</f>
        <v>206</v>
      </c>
      <c r="N177" s="255">
        <f>(ASINH(FMS_Ranking4[[#This Row],[Structure at Risk Raw]]))*(10)/(ASINH(M$4))</f>
        <v>4.7334254754750607</v>
      </c>
      <c r="O177" s="256">
        <f>FMS_Ranking4[[#This Row],[Structures at risk, ArcSinh (0-10)]]*M$5*10</f>
        <v>4.7334254754750607</v>
      </c>
      <c r="P177" s="253">
        <f>_xlfn.XLOOKUP(FMS_Ranking4[[#This Row],[FMS ID]],FMS_Input[FMS_ID],FMS_Input[RES_STRUCT100])</f>
        <v>193</v>
      </c>
      <c r="Q177" s="257">
        <f>ASINH(FMS_Ranking4[[#This Row],[Res Structure Raw]])/Q$4*P$5*100</f>
        <v>0</v>
      </c>
      <c r="R177" s="253">
        <f>_xlfn.XLOOKUP(FMS_Ranking4[[#This Row],[FMS ID]],FMS_Input[FMS_ID],FMS_Input[POP100])</f>
        <v>823</v>
      </c>
      <c r="S177" s="255">
        <f>(ASINH(FMS_Ranking4[[#This Row],[Pop at Risk Raw]]))*(10)/(ASINH(R$4))</f>
        <v>5.1128645868941511</v>
      </c>
      <c r="T177" s="256">
        <f>FMS_Ranking4[[#This Row],[Population at risk, ArcSinh (0-10)]]*R$5*10</f>
        <v>5.1128645868941511</v>
      </c>
      <c r="U177" s="253">
        <f>_xlfn.XLOOKUP(FMS_Ranking4[[#This Row],[FMS ID]],FMS_Input[FMS_ID],FMS_Input[CRITFAC100])</f>
        <v>0</v>
      </c>
      <c r="V177" s="255">
        <f>(ASINH(FMS_Ranking4[[#This Row],[Critical Facilities Raw]]))*(10)/(ASINH(U$4))</f>
        <v>0</v>
      </c>
      <c r="W177" s="256">
        <f>FMS_Ranking4[[#This Row],[Critical facilities at risk, ArcSinh (0-10)]]*U$5*10</f>
        <v>0</v>
      </c>
      <c r="X177" s="253">
        <f>_xlfn.XLOOKUP(FMS_Ranking4[[#This Row],[FMS ID]],FMS_Input[FMS_ID],FMS_Input[LWC])</f>
        <v>7</v>
      </c>
      <c r="Y177" s="255">
        <f>(ASINH(FMS_Ranking4[[#This Row],[LWC Raw]]))*(10)/(ASINH(X$4))</f>
        <v>3.5820902845593281</v>
      </c>
      <c r="Z177" s="256">
        <f>FMS_Ranking4[[#This Row],[LWC, ArcSInh (0-10)]]*X$5*10</f>
        <v>3.5820902845593281</v>
      </c>
      <c r="AA177" s="253">
        <f>_xlfn.XLOOKUP(FMS_Ranking4[[#This Row],[FMS ID]],FMS_Input[FMS_ID],FMS_Input[ROADCLS])</f>
        <v>7</v>
      </c>
      <c r="AB177" s="255">
        <f>(ASINH(FMS_Ranking4[[#This Row],[Road Closures Raw]]))*(10)/(ASINH(AA$4))</f>
        <v>2.7536090869991607</v>
      </c>
      <c r="AC177" s="256">
        <f>FMS_Ranking4[[#This Row],[Road closures, ArcSinh (0-10)]]*AA$5*10</f>
        <v>1.3768045434995804</v>
      </c>
      <c r="AD177" s="253">
        <f>_xlfn.XLOOKUP(FMS_Ranking4[[#This Row],[FMS ID]],FMS_Input[FMS_ID],FMS_Input[ROAD_MILES100])</f>
        <v>15</v>
      </c>
      <c r="AE177" s="255">
        <f>(ASINH(FMS_Ranking4[[#This Row],[Road Miles Raw]]))*(10)/(ASINH(AD$4))</f>
        <v>3.625922827042257</v>
      </c>
      <c r="AF177" s="256">
        <f>FMS_Ranking4[[#This Row],[Length of roads at risk, ArcSinh (0-10)]]*AD$5*10</f>
        <v>3.625922827042257</v>
      </c>
      <c r="AG177" s="253">
        <f>_xlfn.XLOOKUP(FMS_Ranking4[[#This Row],[FMS ID]],FMS_Input[FMS_ID],FMS_Input[FARMACRE100])</f>
        <v>150.2604675292969</v>
      </c>
      <c r="AH177" s="255">
        <f>(ASINH(FMS_Ranking4[[#This Row],[Ag Land Raw]]))*(10)/(ASINH(AG$4))</f>
        <v>3.7062055806677261</v>
      </c>
      <c r="AI177" s="260">
        <f>FMS_Ranking4[[#This Row],[Farm &amp; ranch land, ArcSinh (0-10)]]*AG$5*10</f>
        <v>1.853102790333863</v>
      </c>
      <c r="AJ177" s="258">
        <f>_xlfn.XLOOKUP(FMS_Ranking4[[#This Row],[FMS ID]],FMS_Input[FMS_ID],FMS_Input[REDSTRUCT100])</f>
        <v>0</v>
      </c>
      <c r="AK177" s="253">
        <f>_xlfn.XLOOKUP(FMS_Ranking4[[#This Row],[FMS ID]],FMS_Input[FMS_ID],FMS_Input[REMSTRC100])</f>
        <v>24</v>
      </c>
      <c r="AL177" s="255">
        <f>(ASINH(FMS_Ranking4[[#This Row],[Structures Removed Raw]]))*(10)/(ASINH(AK$4))</f>
        <v>4.4081325298750587</v>
      </c>
      <c r="AM177" s="262">
        <f>FMS_Ranking4[[#This Row],[Structures removed, ArcSinh (0-10)]]*AK$5*10</f>
        <v>4.4081325298750587</v>
      </c>
      <c r="AN177" s="253">
        <f>_xlfn.XLOOKUP(FMS_Ranking4[[#This Row],[FMS ID]],FMS_Input[FMS_ID],FMS_Input[REMRESSTRC100])</f>
        <v>24</v>
      </c>
      <c r="AO177" s="261">
        <f>FMS_Ranking4[[#This Row],[ArcSinh Res struct removed 0-10]]*AN$5*10</f>
        <v>2.270816254257201</v>
      </c>
      <c r="AP177" s="260">
        <f>ASINH(FMS_Ranking4[[#This Row],[Residential Structures Removed Raw]])/AP$4*AN$5*100</f>
        <v>2.2708162542572006</v>
      </c>
      <c r="AQ177" s="258">
        <f>(ASINH(FMS_Ranking4[[#This Row],[Residential Structures Removed Raw]]))*(10)/(ASINH(AN$4))</f>
        <v>4.5416325085144011</v>
      </c>
      <c r="AR177" s="253">
        <f>_xlfn.XLOOKUP(FMS_Ranking4[[#This Row],[FMS ID]],FMS_Input[FMS_ID],FMS_Input[REMPOP100])</f>
        <v>72</v>
      </c>
      <c r="AS177" s="255">
        <f>(ASINH(FMS_Ranking4[[#This Row],[Removed Pop Raw]]))*(10)/(ASINH(AR$4))</f>
        <v>4.8785176672869479</v>
      </c>
      <c r="AT177" s="262">
        <f>FMS_Ranking4[[#This Row],[Removed population, ArcSinh (0-10)]]*AR$5*10</f>
        <v>4.8785176672869479</v>
      </c>
      <c r="AU177" s="264">
        <f>_xlfn.XLOOKUP(FMS_Ranking4[[#This Row],[FMS ID]],FMS_Input[FMS_ID],FMS_Input[REMCRITFAC100])</f>
        <v>0</v>
      </c>
      <c r="AV177" s="264">
        <f>_xlfn.XLOOKUP(FMS_Ranking4[[#This Row],[FMS ID]],FMS_Input[FMS_ID],FMS_Input[REMLWC100])</f>
        <v>0</v>
      </c>
      <c r="AW177" s="264">
        <f>_xlfn.XLOOKUP(FMS_Ranking4[[#This Row],[FMS ID]],FMS_Input[FMS_ID],FMS_Input[REMROADCLS])</f>
        <v>0</v>
      </c>
      <c r="AX177" s="264">
        <f>_xlfn.XLOOKUP(FMS_Ranking4[[#This Row],[FMS ID]],FMS_Input[FMS_ID],FMS_Input[REMFRMACRE100])</f>
        <v>0</v>
      </c>
      <c r="AY177" s="258">
        <f>_xlfn.XLOOKUP(FMS_Ranking4[[#This Row],[FMS ID]],FMS_Input[FMS_ID],FMS_Input[COSTSTRUCT])</f>
        <v>250000</v>
      </c>
      <c r="AZ177" s="253">
        <f>_xlfn.XLOOKUP(FMS_Ranking4[[#This Row],[FMS ID]],FMS_Input[FMS_ID],FMS_Input[NATURE])</f>
        <v>0</v>
      </c>
      <c r="BA177" s="262">
        <f>(((FMS_Ranking4[[#This Row],[% NBS Raw]]/AZ$4)*100)*AZ$5)</f>
        <v>0</v>
      </c>
      <c r="BB177" s="251" t="str">
        <f>_xlfn.XLOOKUP(FMS_Ranking4[[#This Row],[FMS ID]],FMS_Input[FMS_ID],FMS_Input[WATER_SUP])</f>
        <v>No</v>
      </c>
      <c r="BC177" s="265">
        <f>IF(FMS_Ranking4[[#This Row],[Water Supply Raw]]="Yes",10,0)</f>
        <v>0</v>
      </c>
      <c r="BD177" s="266">
        <f>_xlfn.XLOOKUP(FMS_Ranking4[[#This Row],[FMS Type]],FMS_TYPE[FMS_Type],FMS_TYPE[Score])</f>
        <v>4</v>
      </c>
      <c r="BE177" s="267">
        <f>FMS_Ranking4[[#This Row],[FMS_Type Score]]*$BD$5*10</f>
        <v>1</v>
      </c>
      <c r="BF17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0.13819202851274909</v>
      </c>
      <c r="BG177" s="321">
        <f>_xlfn.RANK.EQ(BF177,$BF$8:$BF$870,0)+COUNTIF($BF$8:BF177,BF177)-1</f>
        <v>413</v>
      </c>
      <c r="BH177" s="294">
        <f>(((FMS_Ranking4[[#This Row],[Structures Removed Raw]]/AK$4)*100)*AK$5)+(((FMS_Ranking4[[#This Row],[Removed Pop Raw]]/AR$4)*100)*AR$5)</f>
        <v>0.127809841299594</v>
      </c>
      <c r="BI17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1.2660018698123432</v>
      </c>
      <c r="BJ177" s="251">
        <f>_xlfn.RANK.EQ(FMS_Ranking4[[#This Row],[Total Score 
(with linear
normalization)]],FMS_Ranking4[Total Score 
(with linear
normalization)],0)</f>
        <v>636</v>
      </c>
      <c r="BK177" s="251" t="e">
        <f>_xlfn.XLOOKUP(FMS_Ranking4[[#This Row],[FMS ID]],#REF!,#REF!)</f>
        <v>#REF!</v>
      </c>
      <c r="BL17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31.841676959223449</v>
      </c>
      <c r="BM177" s="324">
        <f>FMS_Ranking4[[#This Row],[ArcSinh Score Based on Normalized Reported Factors]]+FMS_Ranking4[[#This Row],[% NBS Score (Normalized)]]+(FMS_Ranking4[[#This Row],[Water Supply Score (Normalized)]]*10*$BB$5)+FMS_Ranking4[[#This Row],[FMS_Type Score Weighted]]</f>
        <v>32.841676959223449</v>
      </c>
      <c r="BN177" s="251">
        <f>_xlfn.RANK.EQ(FMS_Ranking4[[#This Row],[Total Score (with ArcSinh normalization of select criteria)]],FMS_Ranking4[Total Score (with ArcSinh normalization of select criteria)],0)</f>
        <v>170</v>
      </c>
      <c r="BO177" s="270" t="str">
        <f>_xlfn.XLOOKUP(FMS_Ranking4[[#This Row],[FMS ID]],FMS_Input[FMS_ID],FMS_Input[FMS_RANK_YEAR])</f>
        <v>2023 Amended Plan</v>
      </c>
      <c r="BP177" s="204">
        <f>_xlfn.XLOOKUP(FMS_Ranking4[[#This Row],[FMS ID]],Prev_Rank[FMS ID],Prev_Rank[Prev Rank])</f>
        <v>152</v>
      </c>
      <c r="BQ177" s="251" t="e">
        <f>_xlfn.XLOOKUP(FMS_Ranking4[[#This Row],[FMS ID]],#REF!,#REF!)</f>
        <v>#REF!</v>
      </c>
      <c r="BR177" s="199" t="e">
        <f>SUM(#REF!,#REF!,#REF!,#REF!,#REF!,#REF!,#REF!,#REF!,#REF!,FMS_Ranking4[[#This Row],[ArcSinh Res struct removed 0-10]],#REF!)</f>
        <v>#REF!</v>
      </c>
      <c r="BS177" s="199" t="e">
        <f>FMS_Ranking4[[#This Row],[Log Score Based on Normalized Reported Factors]]+FMS_Ranking4[[#This Row],[% NBS Score (Normalized)]]+(FMS_Ranking4[[#This Row],[Water Supply Score (Normalized)]]*10*$BB$5)+(FMS_Ranking4[[#This Row],[FMS_Type Score Weighted]])</f>
        <v>#REF!</v>
      </c>
      <c r="BT177" s="200" t="e">
        <f>_xlfn.RANK.EQ(FMS_Ranking4[[#This Row],[Log Total Score]],FMS_Ranking4[Log Total Score],0)</f>
        <v>#REF!</v>
      </c>
      <c r="BU177" s="200" t="e">
        <f>_xlfn.XLOOKUP(FMS_Ranking4[[#This Row],[FMS ID]],#REF!,#REF!)</f>
        <v>#REF!</v>
      </c>
      <c r="BV177" s="200">
        <f>FMS_Ranking4[[#This Row],[Region Number]]</f>
        <v>1</v>
      </c>
      <c r="BW177" s="200">
        <f>FMS_Ranking4[[#This Row],[Rank (with ArcSinh normalization of select criteria)]]-FMS_Ranking4[[#This Row],[Rank
(with linear
normalization)]]</f>
        <v>-466</v>
      </c>
      <c r="BX177" s="200" t="e">
        <f>FMS_Ranking4[[#This Row],[Log Rank]]-FMS_Ranking4[[#This Row],[Rank
(with linear
normalization)]]</f>
        <v>#REF!</v>
      </c>
      <c r="BY177" s="200" t="str">
        <f>IF(FMS_Ranking4[[#This Row],[FMS Type]]="Flood Measurement and Warning",FMS_Ranking4[[#This Row],[Rank (with ArcSinh normalization of select criteria)]],"")</f>
        <v/>
      </c>
      <c r="BZ177" s="200" t="str">
        <f>IF(FMS_Ranking4[[#This Row],[FMS Type]]="Regulatory and Guidance",FMS_Ranking4[[#This Row],[Rank (with ArcSinh normalization of select criteria)]],"")</f>
        <v/>
      </c>
      <c r="CA177" s="200" t="str">
        <f>IF(FMS_Ranking4[[#This Row],[FMS Type]]="Education and Outreach",FMS_Ranking4[[#This Row],[Rank (with ArcSinh normalization of select criteria)]],"")</f>
        <v/>
      </c>
      <c r="CB177" s="200">
        <f>IF(FMS_Ranking4[[#This Row],[FMS Type]]="Property Acquisition and Structural Elevation",FMS_Ranking4[[#This Row],[Rank (with ArcSinh normalization of select criteria)]],"")</f>
        <v>170</v>
      </c>
      <c r="CC177" s="200" t="str">
        <f>IF(FMS_Ranking4[[#This Row],[FMS Type]]="Infrastructure Projects",FMS_Ranking4[[#This Row],[Rank (with ArcSinh normalization of select criteria)]],"")</f>
        <v/>
      </c>
      <c r="CD177" s="200" t="str">
        <f>IF(FMS_Ranking4[[#This Row],[FMS Type]]="Other",FMS_Ranking4[[#This Row],[Rank (with ArcSinh normalization of select criteria)]],"")</f>
        <v/>
      </c>
      <c r="CE177" s="201"/>
      <c r="CF177" s="206"/>
      <c r="CG177" s="206"/>
      <c r="CH177" s="206"/>
      <c r="CI177" s="206"/>
      <c r="CJ177" s="206"/>
      <c r="CK177" s="206"/>
      <c r="CL177" s="206"/>
      <c r="CM177" s="206"/>
      <c r="CN177" s="206"/>
      <c r="CO177" s="206"/>
      <c r="CP177" s="206"/>
      <c r="CQ177" s="206"/>
      <c r="CR177" s="206"/>
    </row>
    <row r="178" spans="2:96" ht="60" x14ac:dyDescent="0.25">
      <c r="B178" s="341" t="s">
        <v>3606</v>
      </c>
      <c r="C178" s="246">
        <f>_xlfn.XLOOKUP(FMS_Ranking4[[#This Row],[FMS ID]],FMS_Input[FMS_ID],FMS_Input[RFPG_NUM])</f>
        <v>13</v>
      </c>
      <c r="D178" s="309" t="str">
        <f>_xlfn.XLOOKUP(FMS_Ranking4[[#This Row],[FMS ID]],FMS_Input[FMS_ID],FMS_Input[FMS_NAME])</f>
        <v>Atascosa McMullen Hazard Mitigation Plan - Atascosa County Action #12</v>
      </c>
      <c r="E178" s="308" t="str">
        <f>_xlfn.XLOOKUP(FMS_Ranking4[[#This Row],[FMS ID]],FMS_Input[FMS_ID],FMS_Input[SPONSOR])</f>
        <v>00000096</v>
      </c>
      <c r="F178" s="309" t="str">
        <f>_xlfn.XLOOKUP(FMS_Ranking4[[#This Row],[FMS ID]],Sponsor[FMS_ID],Sponsor[SPONSOR NAME])</f>
        <v>Atascosa</v>
      </c>
      <c r="G178" s="309" t="str">
        <f>_xlfn.XLOOKUP(FMS_Ranking4[[#This Row],[FMS ID]],FMS_Input[FMS_ID],FMS_Input[FMS_DESCR])</f>
        <v>Establish and implement a voluntary "acquistion and demo program" to address repetitive loss to floodprone properties.</v>
      </c>
      <c r="H178" s="248" t="str">
        <f>_xlfn.XLOOKUP(FMS_Ranking4[[#This Row],[FMS ID]],FMS_Input[FMS_ID],FMS_Input[FMS_TYPE])</f>
        <v>Property Acquisition and Structural Elevation</v>
      </c>
      <c r="I178" s="249">
        <f>_xlfn.XLOOKUP(FMS_Ranking4[[#This Row],[FMS ID]],FMS_Input[FMS_ID],FMS_Input[NRNC_COST])</f>
        <v>600000</v>
      </c>
      <c r="J178" s="250">
        <f>_xlfn.XLOOKUP(FMS_Ranking4[[#This Row],[FMS ID]],FMS_Input[FMS_ID],FMS_Input[FMS_COST])</f>
        <v>600000</v>
      </c>
      <c r="K178" s="251" t="str">
        <f>_xlfn.XLOOKUP(FMS_Ranking4[[#This Row],[FMS ID]],FMS_Input[FMS_ID],FMS_Input[EMER_NEED])</f>
        <v>Yes</v>
      </c>
      <c r="L178" s="252">
        <f t="shared" si="2"/>
        <v>1</v>
      </c>
      <c r="M178" s="253">
        <f>_xlfn.XLOOKUP(FMS_Ranking4[[#This Row],[FMS ID]],FMS_Input[FMS_ID],FMS_Input[STRUCT_100])</f>
        <v>1947</v>
      </c>
      <c r="N178" s="255">
        <f>(ASINH(FMS_Ranking4[[#This Row],[Structure at Risk Raw]]))*(10)/(ASINH(M$4))</f>
        <v>6.4992440415905008</v>
      </c>
      <c r="O178" s="256">
        <f>FMS_Ranking4[[#This Row],[Structures at risk, ArcSinh (0-10)]]*M$5*10</f>
        <v>6.4992440415905017</v>
      </c>
      <c r="P178" s="253">
        <f>_xlfn.XLOOKUP(FMS_Ranking4[[#This Row],[FMS ID]],FMS_Input[FMS_ID],FMS_Input[RES_STRUCT100])</f>
        <v>1498</v>
      </c>
      <c r="Q178" s="257">
        <f>ASINH(FMS_Ranking4[[#This Row],[Res Structure Raw]])/Q$4*P$5*100</f>
        <v>0</v>
      </c>
      <c r="R178" s="253">
        <f>_xlfn.XLOOKUP(FMS_Ranking4[[#This Row],[FMS ID]],FMS_Input[FMS_ID],FMS_Input[POP100])</f>
        <v>3669</v>
      </c>
      <c r="S178" s="259">
        <f>(ASINH(FMS_Ranking4[[#This Row],[Pop at Risk Raw]]))*(10)/(ASINH(R$4))</f>
        <v>6.1447553541139914</v>
      </c>
      <c r="T178" s="256">
        <f>FMS_Ranking4[[#This Row],[Population at risk, ArcSinh (0-10)]]*R$5*10</f>
        <v>6.1447553541139923</v>
      </c>
      <c r="U178" s="253">
        <f>_xlfn.XLOOKUP(FMS_Ranking4[[#This Row],[FMS ID]],FMS_Input[FMS_ID],FMS_Input[CRITFAC100])</f>
        <v>1</v>
      </c>
      <c r="V178" s="259">
        <f>(ASINH(FMS_Ranking4[[#This Row],[Critical Facilities Raw]]))*(10)/(ASINH(U$4))</f>
        <v>1.0433384451410745</v>
      </c>
      <c r="W178" s="256">
        <f>FMS_Ranking4[[#This Row],[Critical facilities at risk, ArcSinh (0-10)]]*U$5*10</f>
        <v>1.0433384451410745</v>
      </c>
      <c r="X178" s="253">
        <f>_xlfn.XLOOKUP(FMS_Ranking4[[#This Row],[FMS ID]],FMS_Input[FMS_ID],FMS_Input[LWC])</f>
        <v>28</v>
      </c>
      <c r="Y178" s="259">
        <f>(ASINH(FMS_Ranking4[[#This Row],[LWC Raw]]))*(10)/(ASINH(X$4))</f>
        <v>5.4537277940935365</v>
      </c>
      <c r="Z178" s="256">
        <f>FMS_Ranking4[[#This Row],[LWC, ArcSInh (0-10)]]*X$5*10</f>
        <v>5.4537277940935365</v>
      </c>
      <c r="AA178" s="253">
        <f>_xlfn.XLOOKUP(FMS_Ranking4[[#This Row],[FMS ID]],FMS_Input[FMS_ID],FMS_Input[ROADCLS])</f>
        <v>570</v>
      </c>
      <c r="AB178" s="255">
        <f>(ASINH(FMS_Ranking4[[#This Row],[Road Closures Raw]]))*(10)/(ASINH(AA$4))</f>
        <v>7.3302478181964501</v>
      </c>
      <c r="AC178" s="256">
        <f>FMS_Ranking4[[#This Row],[Road closures, ArcSinh (0-10)]]*AA$5*10</f>
        <v>3.6651239090982251</v>
      </c>
      <c r="AD178" s="253">
        <f>_xlfn.XLOOKUP(FMS_Ranking4[[#This Row],[FMS ID]],FMS_Input[FMS_ID],FMS_Input[ROAD_MILES100])</f>
        <v>141</v>
      </c>
      <c r="AE178" s="259">
        <f>(ASINH(FMS_Ranking4[[#This Row],[Road Miles Raw]]))*(10)/(ASINH(AD$4))</f>
        <v>6.0127341132543535</v>
      </c>
      <c r="AF178" s="256">
        <f>FMS_Ranking4[[#This Row],[Length of roads at risk, ArcSinh (0-10)]]*AD$5*10</f>
        <v>6.0127341132543544</v>
      </c>
      <c r="AG178" s="253">
        <f>_xlfn.XLOOKUP(FMS_Ranking4[[#This Row],[FMS ID]],FMS_Input[FMS_ID],FMS_Input[FARMACRE100])</f>
        <v>3068.908447265625</v>
      </c>
      <c r="AH178" s="255">
        <f>(ASINH(FMS_Ranking4[[#This Row],[Ag Land Raw]]))*(10)/(ASINH(AG$4))</f>
        <v>5.6657953608243981</v>
      </c>
      <c r="AI178" s="260">
        <f>FMS_Ranking4[[#This Row],[Farm &amp; ranch land, ArcSinh (0-10)]]*AG$5*10</f>
        <v>2.832897680412199</v>
      </c>
      <c r="AJ178" s="258">
        <f>_xlfn.XLOOKUP(FMS_Ranking4[[#This Row],[FMS ID]],FMS_Input[FMS_ID],FMS_Input[REDSTRUCT100])</f>
        <v>0</v>
      </c>
      <c r="AK178" s="253">
        <f>_xlfn.XLOOKUP(FMS_Ranking4[[#This Row],[FMS ID]],FMS_Input[FMS_ID],FMS_Input[REMSTRC100])</f>
        <v>0</v>
      </c>
      <c r="AL178" s="259">
        <f>(ASINH(FMS_Ranking4[[#This Row],[Structures Removed Raw]]))*(10)/(ASINH(AK$4))</f>
        <v>0</v>
      </c>
      <c r="AM178" s="262">
        <f>FMS_Ranking4[[#This Row],[Structures removed, ArcSinh (0-10)]]*AK$5*10</f>
        <v>0</v>
      </c>
      <c r="AN178" s="253">
        <f>_xlfn.XLOOKUP(FMS_Ranking4[[#This Row],[FMS ID]],FMS_Input[FMS_ID],FMS_Input[REMRESSTRC100])</f>
        <v>0</v>
      </c>
      <c r="AO178" s="261">
        <f>FMS_Ranking4[[#This Row],[ArcSinh Res struct removed 0-10]]*AN$5*10</f>
        <v>0</v>
      </c>
      <c r="AP178" s="260">
        <f>ASINH(FMS_Ranking4[[#This Row],[Residential Structures Removed Raw]])/AP$4*AN$5*100</f>
        <v>0</v>
      </c>
      <c r="AQ178" s="254">
        <f>(ASINH(FMS_Ranking4[[#This Row],[Residential Structures Removed Raw]]))*(10)/(ASINH(AN$4))</f>
        <v>0</v>
      </c>
      <c r="AR178" s="253">
        <f>_xlfn.XLOOKUP(FMS_Ranking4[[#This Row],[FMS ID]],FMS_Input[FMS_ID],FMS_Input[REMPOP100])</f>
        <v>0</v>
      </c>
      <c r="AS178" s="259">
        <f>(ASINH(FMS_Ranking4[[#This Row],[Removed Pop Raw]]))*(10)/(ASINH(AR$4))</f>
        <v>0</v>
      </c>
      <c r="AT178" s="262">
        <f>FMS_Ranking4[[#This Row],[Removed population, ArcSinh (0-10)]]*AR$5*10</f>
        <v>0</v>
      </c>
      <c r="AU178" s="264">
        <f>_xlfn.XLOOKUP(FMS_Ranking4[[#This Row],[FMS ID]],FMS_Input[FMS_ID],FMS_Input[REMCRITFAC100])</f>
        <v>0</v>
      </c>
      <c r="AV178" s="264">
        <f>_xlfn.XLOOKUP(FMS_Ranking4[[#This Row],[FMS ID]],FMS_Input[FMS_ID],FMS_Input[REMLWC100])</f>
        <v>0</v>
      </c>
      <c r="AW178" s="264">
        <f>_xlfn.XLOOKUP(FMS_Ranking4[[#This Row],[FMS ID]],FMS_Input[FMS_ID],FMS_Input[REMROADCLS])</f>
        <v>0</v>
      </c>
      <c r="AX178" s="264">
        <f>_xlfn.XLOOKUP(FMS_Ranking4[[#This Row],[FMS ID]],FMS_Input[FMS_ID],FMS_Input[REMFRMACRE100])</f>
        <v>0</v>
      </c>
      <c r="AY178" s="258">
        <f>_xlfn.XLOOKUP(FMS_Ranking4[[#This Row],[FMS ID]],FMS_Input[FMS_ID],FMS_Input[COSTSTRUCT])</f>
        <v>0</v>
      </c>
      <c r="AZ178" s="253">
        <f>_xlfn.XLOOKUP(FMS_Ranking4[[#This Row],[FMS ID]],FMS_Input[FMS_ID],FMS_Input[NATURE])</f>
        <v>0</v>
      </c>
      <c r="BA178" s="262">
        <f>(((FMS_Ranking4[[#This Row],[% NBS Raw]]/AZ$4)*100)*AZ$5)</f>
        <v>0</v>
      </c>
      <c r="BB178" s="251" t="str">
        <f>_xlfn.XLOOKUP(FMS_Ranking4[[#This Row],[FMS ID]],FMS_Input[FMS_ID],FMS_Input[WATER_SUP])</f>
        <v>No</v>
      </c>
      <c r="BC178" s="265">
        <f>IF(FMS_Ranking4[[#This Row],[Water Supply Raw]]="Yes",10,0)</f>
        <v>0</v>
      </c>
      <c r="BD178" s="266">
        <f>_xlfn.XLOOKUP(FMS_Ranking4[[#This Row],[FMS Type]],FMS_TYPE[FMS_Type],FMS_TYPE[Score])</f>
        <v>4</v>
      </c>
      <c r="BE178" s="267">
        <f>FMS_Ranking4[[#This Row],[FMS_Type Score]]*$BD$5*10</f>
        <v>1</v>
      </c>
      <c r="BF17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1.1356473381836181</v>
      </c>
      <c r="BG178" s="271">
        <f>_xlfn.RANK.EQ(BF178,$BF$8:$BF$870,0)+COUNTIF($BF$8:BF178,BF178)-1</f>
        <v>133</v>
      </c>
      <c r="BH178" s="268">
        <f>(((FMS_Ranking4[[#This Row],[Structures Removed Raw]]/AK$4)*100)*AK$5)+(((FMS_Ranking4[[#This Row],[Removed Pop Raw]]/AR$4)*100)*AR$5)</f>
        <v>0</v>
      </c>
      <c r="BI17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2.1356473381836181</v>
      </c>
      <c r="BJ178" s="205">
        <f>_xlfn.RANK.EQ(FMS_Ranking4[[#This Row],[Total Score 
(with linear
normalization)]],FMS_Ranking4[Total Score 
(with linear
normalization)],0)</f>
        <v>345</v>
      </c>
      <c r="BK178" s="205" t="e">
        <f>_xlfn.XLOOKUP(FMS_Ranking4[[#This Row],[FMS ID]],#REF!,#REF!)</f>
        <v>#REF!</v>
      </c>
      <c r="BL17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31.651821337703879</v>
      </c>
      <c r="BM178" s="272">
        <f>FMS_Ranking4[[#This Row],[ArcSinh Score Based on Normalized Reported Factors]]+FMS_Ranking4[[#This Row],[% NBS Score (Normalized)]]+(FMS_Ranking4[[#This Row],[Water Supply Score (Normalized)]]*10*$BB$5)+FMS_Ranking4[[#This Row],[FMS_Type Score Weighted]]</f>
        <v>32.651821337703879</v>
      </c>
      <c r="BN178" s="205">
        <f>_xlfn.RANK.EQ(FMS_Ranking4[[#This Row],[Total Score (with ArcSinh normalization of select criteria)]],FMS_Ranking4[Total Score (with ArcSinh normalization of select criteria)],0)</f>
        <v>171</v>
      </c>
      <c r="BO178" s="270" t="str">
        <f>_xlfn.XLOOKUP(FMS_Ranking4[[#This Row],[FMS ID]],FMS_Input[FMS_ID],FMS_Input[FMS_RANK_YEAR])</f>
        <v>2023 Amended Plan</v>
      </c>
      <c r="BP178" s="204">
        <f>_xlfn.XLOOKUP(FMS_Ranking4[[#This Row],[FMS ID]],Prev_Rank[FMS ID],Prev_Rank[Prev Rank])</f>
        <v>148</v>
      </c>
      <c r="BQ178" s="205" t="e">
        <f>_xlfn.XLOOKUP(FMS_Ranking4[[#This Row],[FMS ID]],#REF!,#REF!)</f>
        <v>#REF!</v>
      </c>
      <c r="BR178" s="199" t="e">
        <f>SUM(#REF!,#REF!,#REF!,#REF!,#REF!,#REF!,#REF!,#REF!,#REF!,FMS_Ranking4[[#This Row],[ArcSinh Res struct removed 0-10]],#REF!)</f>
        <v>#REF!</v>
      </c>
      <c r="BS178" s="199" t="e">
        <f>FMS_Ranking4[[#This Row],[Log Score Based on Normalized Reported Factors]]+FMS_Ranking4[[#This Row],[% NBS Score (Normalized)]]+(FMS_Ranking4[[#This Row],[Water Supply Score (Normalized)]]*10*$BB$5)+(FMS_Ranking4[[#This Row],[FMS_Type Score Weighted]])</f>
        <v>#REF!</v>
      </c>
      <c r="BT178" s="200" t="e">
        <f>_xlfn.RANK.EQ(FMS_Ranking4[[#This Row],[Log Total Score]],FMS_Ranking4[Log Total Score],0)</f>
        <v>#REF!</v>
      </c>
      <c r="BU178" s="200" t="e">
        <f>_xlfn.XLOOKUP(FMS_Ranking4[[#This Row],[FMS ID]],#REF!,#REF!)</f>
        <v>#REF!</v>
      </c>
      <c r="BV178" s="200">
        <f>FMS_Ranking4[[#This Row],[Region Number]]</f>
        <v>13</v>
      </c>
      <c r="BW178" s="200">
        <f>FMS_Ranking4[[#This Row],[Rank (with ArcSinh normalization of select criteria)]]-FMS_Ranking4[[#This Row],[Rank
(with linear
normalization)]]</f>
        <v>-174</v>
      </c>
      <c r="BX178" s="200" t="e">
        <f>FMS_Ranking4[[#This Row],[Log Rank]]-FMS_Ranking4[[#This Row],[Rank
(with linear
normalization)]]</f>
        <v>#REF!</v>
      </c>
      <c r="BY178" s="200" t="str">
        <f>IF(FMS_Ranking4[[#This Row],[FMS Type]]="Flood Measurement and Warning",FMS_Ranking4[[#This Row],[Rank (with ArcSinh normalization of select criteria)]],"")</f>
        <v/>
      </c>
      <c r="BZ178" s="200" t="str">
        <f>IF(FMS_Ranking4[[#This Row],[FMS Type]]="Regulatory and Guidance",FMS_Ranking4[[#This Row],[Rank (with ArcSinh normalization of select criteria)]],"")</f>
        <v/>
      </c>
      <c r="CA178" s="200" t="str">
        <f>IF(FMS_Ranking4[[#This Row],[FMS Type]]="Education and Outreach",FMS_Ranking4[[#This Row],[Rank (with ArcSinh normalization of select criteria)]],"")</f>
        <v/>
      </c>
      <c r="CB178" s="200">
        <f>IF(FMS_Ranking4[[#This Row],[FMS Type]]="Property Acquisition and Structural Elevation",FMS_Ranking4[[#This Row],[Rank (with ArcSinh normalization of select criteria)]],"")</f>
        <v>171</v>
      </c>
      <c r="CC178" s="200" t="str">
        <f>IF(FMS_Ranking4[[#This Row],[FMS Type]]="Infrastructure Projects",FMS_Ranking4[[#This Row],[Rank (with ArcSinh normalization of select criteria)]],"")</f>
        <v/>
      </c>
      <c r="CD178" s="200" t="str">
        <f>IF(FMS_Ranking4[[#This Row],[FMS Type]]="Other",FMS_Ranking4[[#This Row],[Rank (with ArcSinh normalization of select criteria)]],"")</f>
        <v/>
      </c>
      <c r="CE178" s="201"/>
      <c r="CF178" s="206"/>
      <c r="CG178" s="206"/>
      <c r="CH178" s="206"/>
      <c r="CI178" s="206"/>
      <c r="CJ178" s="206"/>
      <c r="CK178" s="206"/>
      <c r="CL178" s="206"/>
      <c r="CM178" s="206"/>
      <c r="CN178" s="206"/>
      <c r="CO178" s="206"/>
      <c r="CP178" s="206"/>
      <c r="CQ178" s="206"/>
      <c r="CR178" s="206"/>
    </row>
    <row r="179" spans="2:96" ht="75" x14ac:dyDescent="0.25">
      <c r="B179" s="341" t="s">
        <v>3602</v>
      </c>
      <c r="C179" s="246">
        <f>_xlfn.XLOOKUP(FMS_Ranking4[[#This Row],[FMS ID]],FMS_Input[FMS_ID],FMS_Input[RFPG_NUM])</f>
        <v>13</v>
      </c>
      <c r="D179" s="309" t="str">
        <f>_xlfn.XLOOKUP(FMS_Ranking4[[#This Row],[FMS ID]],FMS_Input[FMS_ID],FMS_Input[FMS_NAME])</f>
        <v>Atascosa McMullen Hazard Mitigation Plan - Atascosa County Action #5</v>
      </c>
      <c r="E179" s="308" t="str">
        <f>_xlfn.XLOOKUP(FMS_Ranking4[[#This Row],[FMS ID]],FMS_Input[FMS_ID],FMS_Input[SPONSOR])</f>
        <v>00000096</v>
      </c>
      <c r="F179" s="309" t="str">
        <f>_xlfn.XLOOKUP(FMS_Ranking4[[#This Row],[FMS ID]],Sponsor[FMS_ID],Sponsor[SPONSOR NAME])</f>
        <v>Atascosa</v>
      </c>
      <c r="G179" s="309" t="str">
        <f>_xlfn.XLOOKUP(FMS_Ranking4[[#This Row],[FMS ID]],FMS_Input[FMS_ID],FMS_Input[FMS_DESCR])</f>
        <v>Inventory of all low water crossing in the county and develop a prioritize projects in a COP for upgrades or replacement.</v>
      </c>
      <c r="H179" s="248" t="str">
        <f>_xlfn.XLOOKUP(FMS_Ranking4[[#This Row],[FMS ID]],FMS_Input[FMS_ID],FMS_Input[FMS_TYPE])</f>
        <v>Infrastructure Projects</v>
      </c>
      <c r="I179" s="249">
        <f>_xlfn.XLOOKUP(FMS_Ranking4[[#This Row],[FMS ID]],FMS_Input[FMS_ID],FMS_Input[NRNC_COST])</f>
        <v>60000</v>
      </c>
      <c r="J179" s="250">
        <f>_xlfn.XLOOKUP(FMS_Ranking4[[#This Row],[FMS ID]],FMS_Input[FMS_ID],FMS_Input[FMS_COST])</f>
        <v>60000</v>
      </c>
      <c r="K179" s="251" t="str">
        <f>_xlfn.XLOOKUP(FMS_Ranking4[[#This Row],[FMS ID]],FMS_Input[FMS_ID],FMS_Input[EMER_NEED])</f>
        <v>Yes</v>
      </c>
      <c r="L179" s="252">
        <f t="shared" si="2"/>
        <v>1</v>
      </c>
      <c r="M179" s="253">
        <f>_xlfn.XLOOKUP(FMS_Ranking4[[#This Row],[FMS ID]],FMS_Input[FMS_ID],FMS_Input[STRUCT_100])</f>
        <v>1947</v>
      </c>
      <c r="N179" s="255">
        <f>(ASINH(FMS_Ranking4[[#This Row],[Structure at Risk Raw]]))*(10)/(ASINH(M$4))</f>
        <v>6.4992440415905008</v>
      </c>
      <c r="O179" s="256">
        <f>FMS_Ranking4[[#This Row],[Structures at risk, ArcSinh (0-10)]]*M$5*10</f>
        <v>6.4992440415905017</v>
      </c>
      <c r="P179" s="253">
        <f>_xlfn.XLOOKUP(FMS_Ranking4[[#This Row],[FMS ID]],FMS_Input[FMS_ID],FMS_Input[RES_STRUCT100])</f>
        <v>1498</v>
      </c>
      <c r="Q179" s="257">
        <f>ASINH(FMS_Ranking4[[#This Row],[Res Structure Raw]])/Q$4*P$5*100</f>
        <v>0</v>
      </c>
      <c r="R179" s="253">
        <f>_xlfn.XLOOKUP(FMS_Ranking4[[#This Row],[FMS ID]],FMS_Input[FMS_ID],FMS_Input[POP100])</f>
        <v>3669</v>
      </c>
      <c r="S179" s="259">
        <f>(ASINH(FMS_Ranking4[[#This Row],[Pop at Risk Raw]]))*(10)/(ASINH(R$4))</f>
        <v>6.1447553541139914</v>
      </c>
      <c r="T179" s="256">
        <f>FMS_Ranking4[[#This Row],[Population at risk, ArcSinh (0-10)]]*R$5*10</f>
        <v>6.1447553541139923</v>
      </c>
      <c r="U179" s="253">
        <f>_xlfn.XLOOKUP(FMS_Ranking4[[#This Row],[FMS ID]],FMS_Input[FMS_ID],FMS_Input[CRITFAC100])</f>
        <v>1</v>
      </c>
      <c r="V179" s="259">
        <f>(ASINH(FMS_Ranking4[[#This Row],[Critical Facilities Raw]]))*(10)/(ASINH(U$4))</f>
        <v>1.0433384451410745</v>
      </c>
      <c r="W179" s="256">
        <f>FMS_Ranking4[[#This Row],[Critical facilities at risk, ArcSinh (0-10)]]*U$5*10</f>
        <v>1.0433384451410745</v>
      </c>
      <c r="X179" s="253">
        <f>_xlfn.XLOOKUP(FMS_Ranking4[[#This Row],[FMS ID]],FMS_Input[FMS_ID],FMS_Input[LWC])</f>
        <v>28</v>
      </c>
      <c r="Y179" s="259">
        <f>(ASINH(FMS_Ranking4[[#This Row],[LWC Raw]]))*(10)/(ASINH(X$4))</f>
        <v>5.4537277940935365</v>
      </c>
      <c r="Z179" s="256">
        <f>FMS_Ranking4[[#This Row],[LWC, ArcSInh (0-10)]]*X$5*10</f>
        <v>5.4537277940935365</v>
      </c>
      <c r="AA179" s="253">
        <f>_xlfn.XLOOKUP(FMS_Ranking4[[#This Row],[FMS ID]],FMS_Input[FMS_ID],FMS_Input[ROADCLS])</f>
        <v>570</v>
      </c>
      <c r="AB179" s="255">
        <f>(ASINH(FMS_Ranking4[[#This Row],[Road Closures Raw]]))*(10)/(ASINH(AA$4))</f>
        <v>7.3302478181964501</v>
      </c>
      <c r="AC179" s="256">
        <f>FMS_Ranking4[[#This Row],[Road closures, ArcSinh (0-10)]]*AA$5*10</f>
        <v>3.6651239090982251</v>
      </c>
      <c r="AD179" s="253">
        <f>_xlfn.XLOOKUP(FMS_Ranking4[[#This Row],[FMS ID]],FMS_Input[FMS_ID],FMS_Input[ROAD_MILES100])</f>
        <v>141</v>
      </c>
      <c r="AE179" s="259">
        <f>(ASINH(FMS_Ranking4[[#This Row],[Road Miles Raw]]))*(10)/(ASINH(AD$4))</f>
        <v>6.0127341132543535</v>
      </c>
      <c r="AF179" s="256">
        <f>FMS_Ranking4[[#This Row],[Length of roads at risk, ArcSinh (0-10)]]*AD$5*10</f>
        <v>6.0127341132543544</v>
      </c>
      <c r="AG179" s="253">
        <f>_xlfn.XLOOKUP(FMS_Ranking4[[#This Row],[FMS ID]],FMS_Input[FMS_ID],FMS_Input[FARMACRE100])</f>
        <v>3068.908447265625</v>
      </c>
      <c r="AH179" s="255">
        <f>(ASINH(FMS_Ranking4[[#This Row],[Ag Land Raw]]))*(10)/(ASINH(AG$4))</f>
        <v>5.6657953608243981</v>
      </c>
      <c r="AI179" s="260">
        <f>FMS_Ranking4[[#This Row],[Farm &amp; ranch land, ArcSinh (0-10)]]*AG$5*10</f>
        <v>2.832897680412199</v>
      </c>
      <c r="AJ179" s="258">
        <f>_xlfn.XLOOKUP(FMS_Ranking4[[#This Row],[FMS ID]],FMS_Input[FMS_ID],FMS_Input[REDSTRUCT100])</f>
        <v>0</v>
      </c>
      <c r="AK179" s="253">
        <f>_xlfn.XLOOKUP(FMS_Ranking4[[#This Row],[FMS ID]],FMS_Input[FMS_ID],FMS_Input[REMSTRC100])</f>
        <v>0</v>
      </c>
      <c r="AL179" s="259">
        <f>(ASINH(FMS_Ranking4[[#This Row],[Structures Removed Raw]]))*(10)/(ASINH(AK$4))</f>
        <v>0</v>
      </c>
      <c r="AM179" s="262">
        <f>FMS_Ranking4[[#This Row],[Structures removed, ArcSinh (0-10)]]*AK$5*10</f>
        <v>0</v>
      </c>
      <c r="AN179" s="253">
        <f>_xlfn.XLOOKUP(FMS_Ranking4[[#This Row],[FMS ID]],FMS_Input[FMS_ID],FMS_Input[REMRESSTRC100])</f>
        <v>0</v>
      </c>
      <c r="AO179" s="261">
        <f>FMS_Ranking4[[#This Row],[ArcSinh Res struct removed 0-10]]*AN$5*10</f>
        <v>0</v>
      </c>
      <c r="AP179" s="260">
        <f>ASINH(FMS_Ranking4[[#This Row],[Residential Structures Removed Raw]])/AP$4*AN$5*100</f>
        <v>0</v>
      </c>
      <c r="AQ179" s="254">
        <f>(ASINH(FMS_Ranking4[[#This Row],[Residential Structures Removed Raw]]))*(10)/(ASINH(AN$4))</f>
        <v>0</v>
      </c>
      <c r="AR179" s="253">
        <f>_xlfn.XLOOKUP(FMS_Ranking4[[#This Row],[FMS ID]],FMS_Input[FMS_ID],FMS_Input[REMPOP100])</f>
        <v>0</v>
      </c>
      <c r="AS179" s="259">
        <f>(ASINH(FMS_Ranking4[[#This Row],[Removed Pop Raw]]))*(10)/(ASINH(AR$4))</f>
        <v>0</v>
      </c>
      <c r="AT179" s="262">
        <f>FMS_Ranking4[[#This Row],[Removed population, ArcSinh (0-10)]]*AR$5*10</f>
        <v>0</v>
      </c>
      <c r="AU179" s="264">
        <f>_xlfn.XLOOKUP(FMS_Ranking4[[#This Row],[FMS ID]],FMS_Input[FMS_ID],FMS_Input[REMCRITFAC100])</f>
        <v>0</v>
      </c>
      <c r="AV179" s="264">
        <f>_xlfn.XLOOKUP(FMS_Ranking4[[#This Row],[FMS ID]],FMS_Input[FMS_ID],FMS_Input[REMLWC100])</f>
        <v>0</v>
      </c>
      <c r="AW179" s="264">
        <f>_xlfn.XLOOKUP(FMS_Ranking4[[#This Row],[FMS ID]],FMS_Input[FMS_ID],FMS_Input[REMROADCLS])</f>
        <v>0</v>
      </c>
      <c r="AX179" s="264">
        <f>_xlfn.XLOOKUP(FMS_Ranking4[[#This Row],[FMS ID]],FMS_Input[FMS_ID],FMS_Input[REMFRMACRE100])</f>
        <v>0</v>
      </c>
      <c r="AY179" s="258">
        <f>_xlfn.XLOOKUP(FMS_Ranking4[[#This Row],[FMS ID]],FMS_Input[FMS_ID],FMS_Input[COSTSTRUCT])</f>
        <v>0</v>
      </c>
      <c r="AZ179" s="253">
        <f>_xlfn.XLOOKUP(FMS_Ranking4[[#This Row],[FMS ID]],FMS_Input[FMS_ID],FMS_Input[NATURE])</f>
        <v>0</v>
      </c>
      <c r="BA179" s="262">
        <f>(((FMS_Ranking4[[#This Row],[% NBS Raw]]/AZ$4)*100)*AZ$5)</f>
        <v>0</v>
      </c>
      <c r="BB179" s="251" t="str">
        <f>_xlfn.XLOOKUP(FMS_Ranking4[[#This Row],[FMS ID]],FMS_Input[FMS_ID],FMS_Input[WATER_SUP])</f>
        <v>No</v>
      </c>
      <c r="BC179" s="265">
        <f>IF(FMS_Ranking4[[#This Row],[Water Supply Raw]]="Yes",10,0)</f>
        <v>0</v>
      </c>
      <c r="BD179" s="266">
        <f>_xlfn.XLOOKUP(FMS_Ranking4[[#This Row],[FMS Type]],FMS_TYPE[FMS_Type],FMS_TYPE[Score])</f>
        <v>4</v>
      </c>
      <c r="BE179" s="267">
        <f>FMS_Ranking4[[#This Row],[FMS_Type Score]]*$BD$5*10</f>
        <v>1</v>
      </c>
      <c r="BF17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1.1356473381836181</v>
      </c>
      <c r="BG179" s="273">
        <f>_xlfn.RANK.EQ(BF179,$BF$8:$BF$870,0)+COUNTIF($BF$8:BF179,BF179)-1</f>
        <v>134</v>
      </c>
      <c r="BH179" s="268">
        <f>(((FMS_Ranking4[[#This Row],[Structures Removed Raw]]/AK$4)*100)*AK$5)+(((FMS_Ranking4[[#This Row],[Removed Pop Raw]]/AR$4)*100)*AR$5)</f>
        <v>0</v>
      </c>
      <c r="BI17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2.1356473381836181</v>
      </c>
      <c r="BJ179" s="204">
        <f>_xlfn.RANK.EQ(FMS_Ranking4[[#This Row],[Total Score 
(with linear
normalization)]],FMS_Ranking4[Total Score 
(with linear
normalization)],0)</f>
        <v>345</v>
      </c>
      <c r="BK179" s="204" t="e">
        <f>_xlfn.XLOOKUP(FMS_Ranking4[[#This Row],[FMS ID]],#REF!,#REF!)</f>
        <v>#REF!</v>
      </c>
      <c r="BL179"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31.651821337703879</v>
      </c>
      <c r="BM179" s="270">
        <f>FMS_Ranking4[[#This Row],[ArcSinh Score Based on Normalized Reported Factors]]+FMS_Ranking4[[#This Row],[% NBS Score (Normalized)]]+(FMS_Ranking4[[#This Row],[Water Supply Score (Normalized)]]*10*$BB$5)+FMS_Ranking4[[#This Row],[FMS_Type Score Weighted]]</f>
        <v>32.651821337703879</v>
      </c>
      <c r="BN179" s="204">
        <f>_xlfn.RANK.EQ(FMS_Ranking4[[#This Row],[Total Score (with ArcSinh normalization of select criteria)]],FMS_Ranking4[Total Score (with ArcSinh normalization of select criteria)],0)</f>
        <v>171</v>
      </c>
      <c r="BO179" s="270" t="str">
        <f>_xlfn.XLOOKUP(FMS_Ranking4[[#This Row],[FMS ID]],FMS_Input[FMS_ID],FMS_Input[FMS_RANK_YEAR])</f>
        <v>2023 Amended Plan</v>
      </c>
      <c r="BP179" s="204">
        <f>_xlfn.XLOOKUP(FMS_Ranking4[[#This Row],[FMS ID]],Prev_Rank[FMS ID],Prev_Rank[Prev Rank])</f>
        <v>148</v>
      </c>
      <c r="BQ179" s="204" t="e">
        <f>_xlfn.XLOOKUP(FMS_Ranking4[[#This Row],[FMS ID]],#REF!,#REF!)</f>
        <v>#REF!</v>
      </c>
      <c r="BR179" s="199" t="e">
        <f>SUM(#REF!,#REF!,#REF!,#REF!,#REF!,#REF!,#REF!,#REF!,#REF!,FMS_Ranking4[[#This Row],[ArcSinh Res struct removed 0-10]],#REF!)</f>
        <v>#REF!</v>
      </c>
      <c r="BS179" s="199" t="e">
        <f>FMS_Ranking4[[#This Row],[Log Score Based on Normalized Reported Factors]]+FMS_Ranking4[[#This Row],[% NBS Score (Normalized)]]+(FMS_Ranking4[[#This Row],[Water Supply Score (Normalized)]]*10*$BB$5)+(FMS_Ranking4[[#This Row],[FMS_Type Score Weighted]])</f>
        <v>#REF!</v>
      </c>
      <c r="BT179" s="200" t="e">
        <f>_xlfn.RANK.EQ(FMS_Ranking4[[#This Row],[Log Total Score]],FMS_Ranking4[Log Total Score],0)</f>
        <v>#REF!</v>
      </c>
      <c r="BU179" s="200" t="e">
        <f>_xlfn.XLOOKUP(FMS_Ranking4[[#This Row],[FMS ID]],#REF!,#REF!)</f>
        <v>#REF!</v>
      </c>
      <c r="BV179" s="200">
        <f>FMS_Ranking4[[#This Row],[Region Number]]</f>
        <v>13</v>
      </c>
      <c r="BW179" s="200">
        <f>FMS_Ranking4[[#This Row],[Rank (with ArcSinh normalization of select criteria)]]-FMS_Ranking4[[#This Row],[Rank
(with linear
normalization)]]</f>
        <v>-174</v>
      </c>
      <c r="BX179" s="200" t="e">
        <f>FMS_Ranking4[[#This Row],[Log Rank]]-FMS_Ranking4[[#This Row],[Rank
(with linear
normalization)]]</f>
        <v>#REF!</v>
      </c>
      <c r="BY179" s="200" t="str">
        <f>IF(FMS_Ranking4[[#This Row],[FMS Type]]="Flood Measurement and Warning",FMS_Ranking4[[#This Row],[Rank (with ArcSinh normalization of select criteria)]],"")</f>
        <v/>
      </c>
      <c r="BZ179" s="200" t="str">
        <f>IF(FMS_Ranking4[[#This Row],[FMS Type]]="Regulatory and Guidance",FMS_Ranking4[[#This Row],[Rank (with ArcSinh normalization of select criteria)]],"")</f>
        <v/>
      </c>
      <c r="CA179" s="200" t="str">
        <f>IF(FMS_Ranking4[[#This Row],[FMS Type]]="Education and Outreach",FMS_Ranking4[[#This Row],[Rank (with ArcSinh normalization of select criteria)]],"")</f>
        <v/>
      </c>
      <c r="CB179" s="200" t="str">
        <f>IF(FMS_Ranking4[[#This Row],[FMS Type]]="Property Acquisition and Structural Elevation",FMS_Ranking4[[#This Row],[Rank (with ArcSinh normalization of select criteria)]],"")</f>
        <v/>
      </c>
      <c r="CC179" s="200">
        <f>IF(FMS_Ranking4[[#This Row],[FMS Type]]="Infrastructure Projects",FMS_Ranking4[[#This Row],[Rank (with ArcSinh normalization of select criteria)]],"")</f>
        <v>171</v>
      </c>
      <c r="CD179" s="200" t="str">
        <f>IF(FMS_Ranking4[[#This Row],[FMS Type]]="Other",FMS_Ranking4[[#This Row],[Rank (with ArcSinh normalization of select criteria)]],"")</f>
        <v/>
      </c>
      <c r="CE179" s="201"/>
      <c r="CF179" s="206"/>
      <c r="CG179" s="206"/>
      <c r="CH179" s="206"/>
      <c r="CI179" s="206"/>
      <c r="CJ179" s="206"/>
      <c r="CK179" s="206"/>
      <c r="CL179" s="206"/>
      <c r="CM179" s="206"/>
      <c r="CN179" s="206"/>
      <c r="CO179" s="206"/>
      <c r="CP179" s="206"/>
      <c r="CQ179" s="206"/>
      <c r="CR179" s="206"/>
    </row>
    <row r="180" spans="2:96" ht="105" x14ac:dyDescent="0.25">
      <c r="B180" s="341" t="s">
        <v>12029</v>
      </c>
      <c r="C180" s="246">
        <f>_xlfn.XLOOKUP(FMS_Ranking4[[#This Row],[FMS ID]],FMS_Input[FMS_ID],FMS_Input[RFPG_NUM])</f>
        <v>15</v>
      </c>
      <c r="D180" s="309" t="str">
        <f>_xlfn.XLOOKUP(FMS_Ranking4[[#This Row],[FMS ID]],FMS_Input[FMS_ID],FMS_Input[FMS_NAME])</f>
        <v xml:space="preserve">City of Harlingen </v>
      </c>
      <c r="E180" s="308" t="str">
        <f>_xlfn.XLOOKUP(FMS_Ranking4[[#This Row],[FMS ID]],FMS_Input[FMS_ID],FMS_Input[SPONSOR])</f>
        <v>15000043</v>
      </c>
      <c r="F180" s="309" t="str">
        <f>_xlfn.XLOOKUP(FMS_Ranking4[[#This Row],[FMS ID]],Sponsor[FMS_ID],Sponsor[SPONSOR NAME])</f>
        <v>Harlingen</v>
      </c>
      <c r="G180" s="309" t="str">
        <f>_xlfn.XLOOKUP(FMS_Ranking4[[#This Row],[FMS ID]],FMS_Input[FMS_ID],FMS_Input[FMS_DESCR])</f>
        <v>FMS 2 - Assessment, development, and updating of the City's ordinances, orders, policies, engineering specifications, guidance documents and other flood management tools.</v>
      </c>
      <c r="H180" s="248" t="str">
        <f>_xlfn.XLOOKUP(FMS_Ranking4[[#This Row],[FMS ID]],FMS_Input[FMS_ID],FMS_Input[FMS_TYPE])</f>
        <v>Regulatory and Guidance</v>
      </c>
      <c r="I180" s="249">
        <f>_xlfn.XLOOKUP(FMS_Ranking4[[#This Row],[FMS ID]],FMS_Input[FMS_ID],FMS_Input[NRNC_COST])</f>
        <v>500000</v>
      </c>
      <c r="J180" s="250">
        <f>_xlfn.XLOOKUP(FMS_Ranking4[[#This Row],[FMS ID]],FMS_Input[FMS_ID],FMS_Input[FMS_COST])</f>
        <v>500000</v>
      </c>
      <c r="K180" s="251" t="str">
        <f>_xlfn.XLOOKUP(FMS_Ranking4[[#This Row],[FMS ID]],FMS_Input[FMS_ID],FMS_Input[EMER_NEED])</f>
        <v>Yes</v>
      </c>
      <c r="L180" s="252">
        <f t="shared" si="2"/>
        <v>1</v>
      </c>
      <c r="M180" s="253">
        <f>_xlfn.XLOOKUP(FMS_Ranking4[[#This Row],[FMS ID]],FMS_Input[FMS_ID],FMS_Input[STRUCT_100])</f>
        <v>4647</v>
      </c>
      <c r="N180" s="255">
        <f>(ASINH(FMS_Ranking4[[#This Row],[Structure at Risk Raw]]))*(10)/(ASINH(M$4))</f>
        <v>7.1831401753673552</v>
      </c>
      <c r="O180" s="256">
        <f>FMS_Ranking4[[#This Row],[Structures at risk, ArcSinh (0-10)]]*M$5*10</f>
        <v>7.1831401753673552</v>
      </c>
      <c r="P180" s="253">
        <f>_xlfn.XLOOKUP(FMS_Ranking4[[#This Row],[FMS ID]],FMS_Input[FMS_ID],FMS_Input[RES_STRUCT100])</f>
        <v>3352</v>
      </c>
      <c r="Q180" s="257">
        <f>ASINH(FMS_Ranking4[[#This Row],[Res Structure Raw]])/Q$4*P$5*100</f>
        <v>0</v>
      </c>
      <c r="R180" s="253">
        <f>_xlfn.XLOOKUP(FMS_Ranking4[[#This Row],[FMS ID]],FMS_Input[FMS_ID],FMS_Input[POP100])</f>
        <v>16552</v>
      </c>
      <c r="S180" s="259">
        <f>(ASINH(FMS_Ranking4[[#This Row],[Pop at Risk Raw]]))*(10)/(ASINH(R$4))</f>
        <v>7.1848406072845696</v>
      </c>
      <c r="T180" s="256">
        <f>FMS_Ranking4[[#This Row],[Population at risk, ArcSinh (0-10)]]*R$5*10</f>
        <v>7.1848406072845705</v>
      </c>
      <c r="U180" s="253">
        <f>_xlfn.XLOOKUP(FMS_Ranking4[[#This Row],[FMS ID]],FMS_Input[FMS_ID],FMS_Input[CRITFAC100])</f>
        <v>66</v>
      </c>
      <c r="V180" s="259">
        <f>(ASINH(FMS_Ranking4[[#This Row],[Critical Facilities Raw]]))*(10)/(ASINH(U$4))</f>
        <v>5.7801537453643377</v>
      </c>
      <c r="W180" s="256">
        <f>FMS_Ranking4[[#This Row],[Critical facilities at risk, ArcSinh (0-10)]]*U$5*10</f>
        <v>5.7801537453643377</v>
      </c>
      <c r="X180" s="253">
        <f>_xlfn.XLOOKUP(FMS_Ranking4[[#This Row],[FMS ID]],FMS_Input[FMS_ID],FMS_Input[LWC])</f>
        <v>0</v>
      </c>
      <c r="Y180" s="259">
        <f>(ASINH(FMS_Ranking4[[#This Row],[LWC Raw]]))*(10)/(ASINH(X$4))</f>
        <v>0</v>
      </c>
      <c r="Z180" s="256">
        <f>FMS_Ranking4[[#This Row],[LWC, ArcSInh (0-10)]]*X$5*10</f>
        <v>0</v>
      </c>
      <c r="AA180" s="253">
        <f>_xlfn.XLOOKUP(FMS_Ranking4[[#This Row],[FMS ID]],FMS_Input[FMS_ID],FMS_Input[ROADCLS])</f>
        <v>232</v>
      </c>
      <c r="AB180" s="255">
        <f>(ASINH(FMS_Ranking4[[#This Row],[Road Closures Raw]]))*(10)/(ASINH(AA$4))</f>
        <v>6.3941310604715378</v>
      </c>
      <c r="AC180" s="256">
        <f>FMS_Ranking4[[#This Row],[Road closures, ArcSinh (0-10)]]*AA$5*10</f>
        <v>3.1970655302357693</v>
      </c>
      <c r="AD180" s="253">
        <f>_xlfn.XLOOKUP(FMS_Ranking4[[#This Row],[FMS ID]],FMS_Input[FMS_ID],FMS_Input[ROAD_MILES100])</f>
        <v>175</v>
      </c>
      <c r="AE180" s="259">
        <f>(ASINH(FMS_Ranking4[[#This Row],[Road Miles Raw]]))*(10)/(ASINH(AD$4))</f>
        <v>6.2429537829434789</v>
      </c>
      <c r="AF180" s="256">
        <f>FMS_Ranking4[[#This Row],[Length of roads at risk, ArcSinh (0-10)]]*AD$5*10</f>
        <v>6.2429537829434789</v>
      </c>
      <c r="AG180" s="253">
        <f>_xlfn.XLOOKUP(FMS_Ranking4[[#This Row],[FMS ID]],FMS_Input[FMS_ID],FMS_Input[FARMACRE100])</f>
        <v>10.578219413757321</v>
      </c>
      <c r="AH180" s="255">
        <f>(ASINH(FMS_Ranking4[[#This Row],[Ag Land Raw]]))*(10)/(ASINH(AG$4))</f>
        <v>1.9839328910725915</v>
      </c>
      <c r="AI180" s="260">
        <f>FMS_Ranking4[[#This Row],[Farm &amp; ranch land, ArcSinh (0-10)]]*AG$5*10</f>
        <v>0.99196644553629587</v>
      </c>
      <c r="AJ180" s="258">
        <f>_xlfn.XLOOKUP(FMS_Ranking4[[#This Row],[FMS ID]],FMS_Input[FMS_ID],FMS_Input[REDSTRUCT100])</f>
        <v>0</v>
      </c>
      <c r="AK180" s="253">
        <f>_xlfn.XLOOKUP(FMS_Ranking4[[#This Row],[FMS ID]],FMS_Input[FMS_ID],FMS_Input[REMSTRC100])</f>
        <v>0</v>
      </c>
      <c r="AL180" s="259">
        <f>(ASINH(FMS_Ranking4[[#This Row],[Structures Removed Raw]]))*(10)/(ASINH(AK$4))</f>
        <v>0</v>
      </c>
      <c r="AM180" s="262">
        <f>FMS_Ranking4[[#This Row],[Structures removed, ArcSinh (0-10)]]*AK$5*10</f>
        <v>0</v>
      </c>
      <c r="AN180" s="253">
        <f>_xlfn.XLOOKUP(FMS_Ranking4[[#This Row],[FMS ID]],FMS_Input[FMS_ID],FMS_Input[REMRESSTRC100])</f>
        <v>0</v>
      </c>
      <c r="AO180" s="261">
        <f>FMS_Ranking4[[#This Row],[ArcSinh Res struct removed 0-10]]*AN$5*10</f>
        <v>0</v>
      </c>
      <c r="AP180" s="260">
        <f>ASINH(FMS_Ranking4[[#This Row],[Residential Structures Removed Raw]])/AP$4*AN$5*100</f>
        <v>0</v>
      </c>
      <c r="AQ180" s="254">
        <f>(ASINH(FMS_Ranking4[[#This Row],[Residential Structures Removed Raw]]))*(10)/(ASINH(AN$4))</f>
        <v>0</v>
      </c>
      <c r="AR180" s="253">
        <f>_xlfn.XLOOKUP(FMS_Ranking4[[#This Row],[FMS ID]],FMS_Input[FMS_ID],FMS_Input[REMPOP100])</f>
        <v>0</v>
      </c>
      <c r="AS180" s="259">
        <f>(ASINH(FMS_Ranking4[[#This Row],[Removed Pop Raw]]))*(10)/(ASINH(AR$4))</f>
        <v>0</v>
      </c>
      <c r="AT180" s="262">
        <f>FMS_Ranking4[[#This Row],[Removed population, ArcSinh (0-10)]]*AR$5*10</f>
        <v>0</v>
      </c>
      <c r="AU180" s="264">
        <f>_xlfn.XLOOKUP(FMS_Ranking4[[#This Row],[FMS ID]],FMS_Input[FMS_ID],FMS_Input[REMCRITFAC100])</f>
        <v>0</v>
      </c>
      <c r="AV180" s="264">
        <f>_xlfn.XLOOKUP(FMS_Ranking4[[#This Row],[FMS ID]],FMS_Input[FMS_ID],FMS_Input[REMLWC100])</f>
        <v>0</v>
      </c>
      <c r="AW180" s="264">
        <f>_xlfn.XLOOKUP(FMS_Ranking4[[#This Row],[FMS ID]],FMS_Input[FMS_ID],FMS_Input[REMROADCLS])</f>
        <v>0</v>
      </c>
      <c r="AX180" s="264">
        <f>_xlfn.XLOOKUP(FMS_Ranking4[[#This Row],[FMS ID]],FMS_Input[FMS_ID],FMS_Input[REMFRMACRE100])</f>
        <v>0</v>
      </c>
      <c r="AY180" s="258">
        <f>_xlfn.XLOOKUP(FMS_Ranking4[[#This Row],[FMS ID]],FMS_Input[FMS_ID],FMS_Input[COSTSTRUCT])</f>
        <v>0</v>
      </c>
      <c r="AZ180" s="253">
        <f>_xlfn.XLOOKUP(FMS_Ranking4[[#This Row],[FMS ID]],FMS_Input[FMS_ID],FMS_Input[NATURE])</f>
        <v>0</v>
      </c>
      <c r="BA180" s="262">
        <f>(((FMS_Ranking4[[#This Row],[% NBS Raw]]/AZ$4)*100)*AZ$5)</f>
        <v>0</v>
      </c>
      <c r="BB180" s="251" t="str">
        <f>_xlfn.XLOOKUP(FMS_Ranking4[[#This Row],[FMS ID]],FMS_Input[FMS_ID],FMS_Input[WATER_SUP])</f>
        <v>No</v>
      </c>
      <c r="BC180" s="265">
        <f>IF(FMS_Ranking4[[#This Row],[Water Supply Raw]]="Yes",10,0)</f>
        <v>0</v>
      </c>
      <c r="BD180" s="266">
        <f>_xlfn.XLOOKUP(FMS_Ranking4[[#This Row],[FMS Type]],FMS_TYPE[FMS_Type],FMS_TYPE[Score])</f>
        <v>8</v>
      </c>
      <c r="BE180" s="267">
        <f>FMS_Ranking4[[#This Row],[FMS_Type Score]]*$BD$5*10</f>
        <v>2</v>
      </c>
      <c r="BF18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1.1815456466725376</v>
      </c>
      <c r="BG180" s="271">
        <f>_xlfn.RANK.EQ(BF180,$BF$8:$BF$870,0)+COUNTIF($BF$8:BF180,BF180)-1</f>
        <v>125</v>
      </c>
      <c r="BH180" s="268">
        <f>(((FMS_Ranking4[[#This Row],[Structures Removed Raw]]/AK$4)*100)*AK$5)+(((FMS_Ranking4[[#This Row],[Removed Pop Raw]]/AR$4)*100)*AR$5)</f>
        <v>0</v>
      </c>
      <c r="BI18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3.1815456466725376</v>
      </c>
      <c r="BJ180" s="205">
        <f>_xlfn.RANK.EQ(FMS_Ranking4[[#This Row],[Total Score 
(with linear
normalization)]],FMS_Ranking4[Total Score 
(with linear
normalization)],0)</f>
        <v>161</v>
      </c>
      <c r="BK180" s="205" t="e">
        <f>_xlfn.XLOOKUP(FMS_Ranking4[[#This Row],[FMS ID]],#REF!,#REF!)</f>
        <v>#REF!</v>
      </c>
      <c r="BL18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30.580120286731809</v>
      </c>
      <c r="BM180" s="272">
        <f>FMS_Ranking4[[#This Row],[ArcSinh Score Based on Normalized Reported Factors]]+FMS_Ranking4[[#This Row],[% NBS Score (Normalized)]]+(FMS_Ranking4[[#This Row],[Water Supply Score (Normalized)]]*10*$BB$5)+FMS_Ranking4[[#This Row],[FMS_Type Score Weighted]]</f>
        <v>32.580120286731812</v>
      </c>
      <c r="BN180" s="205">
        <f>_xlfn.RANK.EQ(FMS_Ranking4[[#This Row],[Total Score (with ArcSinh normalization of select criteria)]],FMS_Ranking4[Total Score (with ArcSinh normalization of select criteria)],0)</f>
        <v>173</v>
      </c>
      <c r="BO180" s="270" t="str">
        <f>_xlfn.XLOOKUP(FMS_Ranking4[[#This Row],[FMS ID]],FMS_Input[FMS_ID],FMS_Input[FMS_RANK_YEAR])</f>
        <v>2025 Amended Plan</v>
      </c>
      <c r="BP180" s="204" t="e">
        <f>_xlfn.XLOOKUP(FMS_Ranking4[[#This Row],[FMS ID]],Prev_Rank[FMS ID],Prev_Rank[Prev Rank])</f>
        <v>#N/A</v>
      </c>
      <c r="BQ180" s="205" t="e">
        <f>_xlfn.XLOOKUP(FMS_Ranking4[[#This Row],[FMS ID]],#REF!,#REF!)</f>
        <v>#REF!</v>
      </c>
      <c r="BR180" s="199" t="e">
        <f>SUM(#REF!,#REF!,#REF!,#REF!,#REF!,#REF!,#REF!,#REF!,#REF!,FMS_Ranking4[[#This Row],[ArcSinh Res struct removed 0-10]],#REF!)</f>
        <v>#REF!</v>
      </c>
      <c r="BS180" s="199" t="e">
        <f>FMS_Ranking4[[#This Row],[Log Score Based on Normalized Reported Factors]]+FMS_Ranking4[[#This Row],[% NBS Score (Normalized)]]+(FMS_Ranking4[[#This Row],[Water Supply Score (Normalized)]]*10*$BB$5)+(FMS_Ranking4[[#This Row],[FMS_Type Score Weighted]])</f>
        <v>#REF!</v>
      </c>
      <c r="BT180" s="200" t="e">
        <f>_xlfn.RANK.EQ(FMS_Ranking4[[#This Row],[Log Total Score]],FMS_Ranking4[Log Total Score],0)</f>
        <v>#REF!</v>
      </c>
      <c r="BU180" s="200" t="e">
        <f>_xlfn.XLOOKUP(FMS_Ranking4[[#This Row],[FMS ID]],#REF!,#REF!)</f>
        <v>#REF!</v>
      </c>
      <c r="BV180" s="200">
        <f>FMS_Ranking4[[#This Row],[Region Number]]</f>
        <v>15</v>
      </c>
      <c r="BW180" s="200">
        <f>FMS_Ranking4[[#This Row],[Rank (with ArcSinh normalization of select criteria)]]-FMS_Ranking4[[#This Row],[Rank
(with linear
normalization)]]</f>
        <v>12</v>
      </c>
      <c r="BX180" s="200" t="e">
        <f>FMS_Ranking4[[#This Row],[Log Rank]]-FMS_Ranking4[[#This Row],[Rank
(with linear
normalization)]]</f>
        <v>#REF!</v>
      </c>
      <c r="BY180" s="200" t="str">
        <f>IF(FMS_Ranking4[[#This Row],[FMS Type]]="Flood Measurement and Warning",FMS_Ranking4[[#This Row],[Rank (with ArcSinh normalization of select criteria)]],"")</f>
        <v/>
      </c>
      <c r="BZ180" s="200">
        <f>IF(FMS_Ranking4[[#This Row],[FMS Type]]="Regulatory and Guidance",FMS_Ranking4[[#This Row],[Rank (with ArcSinh normalization of select criteria)]],"")</f>
        <v>173</v>
      </c>
      <c r="CA180" s="200" t="str">
        <f>IF(FMS_Ranking4[[#This Row],[FMS Type]]="Education and Outreach",FMS_Ranking4[[#This Row],[Rank (with ArcSinh normalization of select criteria)]],"")</f>
        <v/>
      </c>
      <c r="CB180" s="200" t="str">
        <f>IF(FMS_Ranking4[[#This Row],[FMS Type]]="Property Acquisition and Structural Elevation",FMS_Ranking4[[#This Row],[Rank (with ArcSinh normalization of select criteria)]],"")</f>
        <v/>
      </c>
      <c r="CC180" s="200" t="str">
        <f>IF(FMS_Ranking4[[#This Row],[FMS Type]]="Infrastructure Projects",FMS_Ranking4[[#This Row],[Rank (with ArcSinh normalization of select criteria)]],"")</f>
        <v/>
      </c>
      <c r="CD180" s="200" t="str">
        <f>IF(FMS_Ranking4[[#This Row],[FMS Type]]="Other",FMS_Ranking4[[#This Row],[Rank (with ArcSinh normalization of select criteria)]],"")</f>
        <v/>
      </c>
      <c r="CE180" s="201"/>
      <c r="CF180" s="206"/>
      <c r="CG180" s="206"/>
      <c r="CH180" s="206"/>
      <c r="CI180" s="206"/>
      <c r="CJ180" s="206"/>
      <c r="CK180" s="206"/>
      <c r="CL180" s="206"/>
      <c r="CM180" s="206"/>
      <c r="CN180" s="206"/>
      <c r="CO180" s="206"/>
      <c r="CP180" s="206"/>
      <c r="CQ180" s="206"/>
      <c r="CR180" s="206"/>
    </row>
    <row r="181" spans="2:96" ht="30" x14ac:dyDescent="0.25">
      <c r="B181" s="341" t="s">
        <v>1410</v>
      </c>
      <c r="C181" s="246">
        <f>_xlfn.XLOOKUP(FMS_Ranking4[[#This Row],[FMS ID]],FMS_Input[FMS_ID],FMS_Input[RFPG_NUM])</f>
        <v>1</v>
      </c>
      <c r="D181" s="309" t="str">
        <f>_xlfn.XLOOKUP(FMS_Ranking4[[#This Row],[FMS ID]],FMS_Input[FMS_ID],FMS_Input[FMS_NAME])</f>
        <v>Dallam County NFIP Involvement</v>
      </c>
      <c r="E181" s="308" t="str">
        <f>_xlfn.XLOOKUP(FMS_Ranking4[[#This Row],[FMS ID]],FMS_Input[FMS_ID],FMS_Input[SPONSOR])</f>
        <v>01000248</v>
      </c>
      <c r="F181" s="309" t="str">
        <f>_xlfn.XLOOKUP(FMS_Ranking4[[#This Row],[FMS ID]],Sponsor[FMS_ID],Sponsor[SPONSOR NAME])</f>
        <v>Dallam</v>
      </c>
      <c r="G181" s="309" t="str">
        <f>_xlfn.XLOOKUP(FMS_Ranking4[[#This Row],[FMS ID]],FMS_Input[FMS_ID],FMS_Input[FMS_DESCR])</f>
        <v>Application to join NFIP or adopt equivalent standards</v>
      </c>
      <c r="H181" s="248" t="str">
        <f>_xlfn.XLOOKUP(FMS_Ranking4[[#This Row],[FMS ID]],FMS_Input[FMS_ID],FMS_Input[FMS_TYPE])</f>
        <v>Regulatory and Guidance</v>
      </c>
      <c r="I181" s="249">
        <f>_xlfn.XLOOKUP(FMS_Ranking4[[#This Row],[FMS ID]],FMS_Input[FMS_ID],FMS_Input[NRNC_COST])</f>
        <v>100000</v>
      </c>
      <c r="J181" s="250">
        <f>_xlfn.XLOOKUP(FMS_Ranking4[[#This Row],[FMS ID]],FMS_Input[FMS_ID],FMS_Input[FMS_COST])</f>
        <v>100000</v>
      </c>
      <c r="K181" s="251" t="str">
        <f>_xlfn.XLOOKUP(FMS_Ranking4[[#This Row],[FMS ID]],FMS_Input[FMS_ID],FMS_Input[EMER_NEED])</f>
        <v>No</v>
      </c>
      <c r="L181" s="252">
        <f t="shared" si="2"/>
        <v>0</v>
      </c>
      <c r="M181" s="253">
        <f>_xlfn.XLOOKUP(FMS_Ranking4[[#This Row],[FMS ID]],FMS_Input[FMS_ID],FMS_Input[STRUCT_100])</f>
        <v>890</v>
      </c>
      <c r="N181" s="255">
        <f>(ASINH(FMS_Ranking4[[#This Row],[Structure at Risk Raw]]))*(10)/(ASINH(M$4))</f>
        <v>5.8838283759694896</v>
      </c>
      <c r="O181" s="256">
        <f>FMS_Ranking4[[#This Row],[Structures at risk, ArcSinh (0-10)]]*M$5*10</f>
        <v>5.8838283759694896</v>
      </c>
      <c r="P181" s="253">
        <f>_xlfn.XLOOKUP(FMS_Ranking4[[#This Row],[FMS ID]],FMS_Input[FMS_ID],FMS_Input[RES_STRUCT100])</f>
        <v>656</v>
      </c>
      <c r="Q181" s="257">
        <f>ASINH(FMS_Ranking4[[#This Row],[Res Structure Raw]])/Q$4*P$5*100</f>
        <v>0</v>
      </c>
      <c r="R181" s="253">
        <f>_xlfn.XLOOKUP(FMS_Ranking4[[#This Row],[FMS ID]],FMS_Input[FMS_ID],FMS_Input[POP100])</f>
        <v>1401</v>
      </c>
      <c r="S181" s="259">
        <f>(ASINH(FMS_Ranking4[[#This Row],[Pop at Risk Raw]]))*(10)/(ASINH(R$4))</f>
        <v>5.4801248752107927</v>
      </c>
      <c r="T181" s="256">
        <f>FMS_Ranking4[[#This Row],[Population at risk, ArcSinh (0-10)]]*R$5*10</f>
        <v>5.4801248752107936</v>
      </c>
      <c r="U181" s="253">
        <f>_xlfn.XLOOKUP(FMS_Ranking4[[#This Row],[FMS ID]],FMS_Input[FMS_ID],FMS_Input[CRITFAC100])</f>
        <v>2</v>
      </c>
      <c r="V181" s="259">
        <f>(ASINH(FMS_Ranking4[[#This Row],[Critical Facilities Raw]]))*(10)/(ASINH(U$4))</f>
        <v>1.7089239049208753</v>
      </c>
      <c r="W181" s="256">
        <f>FMS_Ranking4[[#This Row],[Critical facilities at risk, ArcSinh (0-10)]]*U$5*10</f>
        <v>1.7089239049208755</v>
      </c>
      <c r="X181" s="253">
        <f>_xlfn.XLOOKUP(FMS_Ranking4[[#This Row],[FMS ID]],FMS_Input[FMS_ID],FMS_Input[LWC])</f>
        <v>22</v>
      </c>
      <c r="Y181" s="259">
        <f>(ASINH(FMS_Ranking4[[#This Row],[LWC Raw]]))*(10)/(ASINH(X$4))</f>
        <v>5.1272838758265653</v>
      </c>
      <c r="Z181" s="256">
        <f>FMS_Ranking4[[#This Row],[LWC, ArcSInh (0-10)]]*X$5*10</f>
        <v>5.1272838758265662</v>
      </c>
      <c r="AA181" s="253">
        <f>_xlfn.XLOOKUP(FMS_Ranking4[[#This Row],[FMS ID]],FMS_Input[FMS_ID],FMS_Input[ROADCLS])</f>
        <v>22</v>
      </c>
      <c r="AB181" s="255">
        <f>(ASINH(FMS_Ranking4[[#This Row],[Road Closures Raw]]))*(10)/(ASINH(AA$4))</f>
        <v>3.9414236801787323</v>
      </c>
      <c r="AC181" s="256">
        <f>FMS_Ranking4[[#This Row],[Road closures, ArcSinh (0-10)]]*AA$5*10</f>
        <v>1.9707118400893664</v>
      </c>
      <c r="AD181" s="253">
        <f>_xlfn.XLOOKUP(FMS_Ranking4[[#This Row],[FMS ID]],FMS_Input[FMS_ID],FMS_Input[ROAD_MILES100])</f>
        <v>178</v>
      </c>
      <c r="AE181" s="259">
        <f>(ASINH(FMS_Ranking4[[#This Row],[Road Miles Raw]]))*(10)/(ASINH(AD$4))</f>
        <v>6.2610682321337539</v>
      </c>
      <c r="AF181" s="256">
        <f>FMS_Ranking4[[#This Row],[Length of roads at risk, ArcSinh (0-10)]]*AD$5*10</f>
        <v>6.2610682321337539</v>
      </c>
      <c r="AG181" s="253">
        <f>_xlfn.XLOOKUP(FMS_Ranking4[[#This Row],[FMS ID]],FMS_Input[FMS_ID],FMS_Input[FARMACRE100])</f>
        <v>91033.7890625</v>
      </c>
      <c r="AH181" s="255">
        <f>(ASINH(FMS_Ranking4[[#This Row],[Ag Land Raw]]))*(10)/(ASINH(AG$4))</f>
        <v>7.8678172842057625</v>
      </c>
      <c r="AI181" s="260">
        <f>FMS_Ranking4[[#This Row],[Farm &amp; ranch land, ArcSinh (0-10)]]*AG$5*10</f>
        <v>3.9339086421028813</v>
      </c>
      <c r="AJ181" s="258">
        <f>_xlfn.XLOOKUP(FMS_Ranking4[[#This Row],[FMS ID]],FMS_Input[FMS_ID],FMS_Input[REDSTRUCT100])</f>
        <v>0</v>
      </c>
      <c r="AK181" s="253">
        <f>_xlfn.XLOOKUP(FMS_Ranking4[[#This Row],[FMS ID]],FMS_Input[FMS_ID],FMS_Input[REMSTRC100])</f>
        <v>0</v>
      </c>
      <c r="AL181" s="259">
        <f>(ASINH(FMS_Ranking4[[#This Row],[Structures Removed Raw]]))*(10)/(ASINH(AK$4))</f>
        <v>0</v>
      </c>
      <c r="AM181" s="262">
        <f>FMS_Ranking4[[#This Row],[Structures removed, ArcSinh (0-10)]]*AK$5*10</f>
        <v>0</v>
      </c>
      <c r="AN181" s="253">
        <f>_xlfn.XLOOKUP(FMS_Ranking4[[#This Row],[FMS ID]],FMS_Input[FMS_ID],FMS_Input[REMRESSTRC100])</f>
        <v>0</v>
      </c>
      <c r="AO181" s="261">
        <f>FMS_Ranking4[[#This Row],[ArcSinh Res struct removed 0-10]]*AN$5*10</f>
        <v>0</v>
      </c>
      <c r="AP181" s="260">
        <f>ASINH(FMS_Ranking4[[#This Row],[Residential Structures Removed Raw]])/AP$4*AN$5*100</f>
        <v>0</v>
      </c>
      <c r="AQ181" s="254">
        <f>(ASINH(FMS_Ranking4[[#This Row],[Residential Structures Removed Raw]]))*(10)/(ASINH(AN$4))</f>
        <v>0</v>
      </c>
      <c r="AR181" s="253">
        <f>_xlfn.XLOOKUP(FMS_Ranking4[[#This Row],[FMS ID]],FMS_Input[FMS_ID],FMS_Input[REMPOP100])</f>
        <v>0</v>
      </c>
      <c r="AS181" s="259">
        <f>(ASINH(FMS_Ranking4[[#This Row],[Removed Pop Raw]]))*(10)/(ASINH(AR$4))</f>
        <v>0</v>
      </c>
      <c r="AT181" s="262">
        <f>FMS_Ranking4[[#This Row],[Removed population, ArcSinh (0-10)]]*AR$5*10</f>
        <v>0</v>
      </c>
      <c r="AU181" s="264">
        <f>_xlfn.XLOOKUP(FMS_Ranking4[[#This Row],[FMS ID]],FMS_Input[FMS_ID],FMS_Input[REMCRITFAC100])</f>
        <v>0</v>
      </c>
      <c r="AV181" s="264">
        <f>_xlfn.XLOOKUP(FMS_Ranking4[[#This Row],[FMS ID]],FMS_Input[FMS_ID],FMS_Input[REMLWC100])</f>
        <v>0</v>
      </c>
      <c r="AW181" s="264">
        <f>_xlfn.XLOOKUP(FMS_Ranking4[[#This Row],[FMS ID]],FMS_Input[FMS_ID],FMS_Input[REMROADCLS])</f>
        <v>0</v>
      </c>
      <c r="AX181" s="264">
        <f>_xlfn.XLOOKUP(FMS_Ranking4[[#This Row],[FMS ID]],FMS_Input[FMS_ID],FMS_Input[REMFRMACRE100])</f>
        <v>0</v>
      </c>
      <c r="AY181" s="258">
        <f>_xlfn.XLOOKUP(FMS_Ranking4[[#This Row],[FMS ID]],FMS_Input[FMS_ID],FMS_Input[COSTSTRUCT])</f>
        <v>0</v>
      </c>
      <c r="AZ181" s="253">
        <f>_xlfn.XLOOKUP(FMS_Ranking4[[#This Row],[FMS ID]],FMS_Input[FMS_ID],FMS_Input[NATURE])</f>
        <v>0</v>
      </c>
      <c r="BA181" s="262">
        <f>(((FMS_Ranking4[[#This Row],[% NBS Raw]]/AZ$4)*100)*AZ$5)</f>
        <v>0</v>
      </c>
      <c r="BB181" s="251" t="str">
        <f>_xlfn.XLOOKUP(FMS_Ranking4[[#This Row],[FMS ID]],FMS_Input[FMS_ID],FMS_Input[WATER_SUP])</f>
        <v>No</v>
      </c>
      <c r="BC181" s="265">
        <f>IF(FMS_Ranking4[[#This Row],[Water Supply Raw]]="Yes",10,0)</f>
        <v>0</v>
      </c>
      <c r="BD181" s="266">
        <f>_xlfn.XLOOKUP(FMS_Ranking4[[#This Row],[FMS Type]],FMS_TYPE[FMS_Type],FMS_TYPE[Score])</f>
        <v>8</v>
      </c>
      <c r="BE181" s="267">
        <f>FMS_Ranking4[[#This Row],[FMS_Type Score]]*$BD$5*10</f>
        <v>2</v>
      </c>
      <c r="BF18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0.85213080894023285</v>
      </c>
      <c r="BG181" s="271">
        <f>_xlfn.RANK.EQ(BF181,$BF$8:$BF$870,0)+COUNTIF($BF$8:BF181,BF181)-1</f>
        <v>157</v>
      </c>
      <c r="BH181" s="268">
        <f>(((FMS_Ranking4[[#This Row],[Structures Removed Raw]]/AK$4)*100)*AK$5)+(((FMS_Ranking4[[#This Row],[Removed Pop Raw]]/AR$4)*100)*AR$5)</f>
        <v>0</v>
      </c>
      <c r="BI18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2.8521308089402329</v>
      </c>
      <c r="BJ181" s="205">
        <f>_xlfn.RANK.EQ(FMS_Ranking4[[#This Row],[Total Score 
(with linear
normalization)]],FMS_Ranking4[Total Score 
(with linear
normalization)],0)</f>
        <v>191</v>
      </c>
      <c r="BK181" s="205" t="e">
        <f>_xlfn.XLOOKUP(FMS_Ranking4[[#This Row],[FMS ID]],#REF!,#REF!)</f>
        <v>#REF!</v>
      </c>
      <c r="BL18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30.365849746253726</v>
      </c>
      <c r="BM181" s="272">
        <f>FMS_Ranking4[[#This Row],[ArcSinh Score Based on Normalized Reported Factors]]+FMS_Ranking4[[#This Row],[% NBS Score (Normalized)]]+(FMS_Ranking4[[#This Row],[Water Supply Score (Normalized)]]*10*$BB$5)+FMS_Ranking4[[#This Row],[FMS_Type Score Weighted]]</f>
        <v>32.36584974625373</v>
      </c>
      <c r="BN181" s="205">
        <f>_xlfn.RANK.EQ(FMS_Ranking4[[#This Row],[Total Score (with ArcSinh normalization of select criteria)]],FMS_Ranking4[Total Score (with ArcSinh normalization of select criteria)],0)</f>
        <v>174</v>
      </c>
      <c r="BO181" s="270" t="str">
        <f>_xlfn.XLOOKUP(FMS_Ranking4[[#This Row],[FMS ID]],FMS_Input[FMS_ID],FMS_Input[FMS_RANK_YEAR])</f>
        <v>2023 Amended Plan</v>
      </c>
      <c r="BP181" s="204">
        <f>_xlfn.XLOOKUP(FMS_Ranking4[[#This Row],[FMS ID]],Prev_Rank[FMS ID],Prev_Rank[Prev Rank])</f>
        <v>150</v>
      </c>
      <c r="BQ181" s="205" t="e">
        <f>_xlfn.XLOOKUP(FMS_Ranking4[[#This Row],[FMS ID]],#REF!,#REF!)</f>
        <v>#REF!</v>
      </c>
      <c r="BR181" s="199" t="e">
        <f>SUM(#REF!,#REF!,#REF!,#REF!,#REF!,#REF!,#REF!,#REF!,#REF!,FMS_Ranking4[[#This Row],[ArcSinh Res struct removed 0-10]],#REF!)</f>
        <v>#REF!</v>
      </c>
      <c r="BS181" s="199" t="e">
        <f>FMS_Ranking4[[#This Row],[Log Score Based on Normalized Reported Factors]]+FMS_Ranking4[[#This Row],[% NBS Score (Normalized)]]+(FMS_Ranking4[[#This Row],[Water Supply Score (Normalized)]]*10*$BB$5)+(FMS_Ranking4[[#This Row],[FMS_Type Score Weighted]])</f>
        <v>#REF!</v>
      </c>
      <c r="BT181" s="200" t="e">
        <f>_xlfn.RANK.EQ(FMS_Ranking4[[#This Row],[Log Total Score]],FMS_Ranking4[Log Total Score],0)</f>
        <v>#REF!</v>
      </c>
      <c r="BU181" s="200" t="e">
        <f>_xlfn.XLOOKUP(FMS_Ranking4[[#This Row],[FMS ID]],#REF!,#REF!)</f>
        <v>#REF!</v>
      </c>
      <c r="BV181" s="200">
        <f>FMS_Ranking4[[#This Row],[Region Number]]</f>
        <v>1</v>
      </c>
      <c r="BW181" s="200">
        <f>FMS_Ranking4[[#This Row],[Rank (with ArcSinh normalization of select criteria)]]-FMS_Ranking4[[#This Row],[Rank
(with linear
normalization)]]</f>
        <v>-17</v>
      </c>
      <c r="BX181" s="200" t="e">
        <f>FMS_Ranking4[[#This Row],[Log Rank]]-FMS_Ranking4[[#This Row],[Rank
(with linear
normalization)]]</f>
        <v>#REF!</v>
      </c>
      <c r="BY181" s="200" t="str">
        <f>IF(FMS_Ranking4[[#This Row],[FMS Type]]="Flood Measurement and Warning",FMS_Ranking4[[#This Row],[Rank (with ArcSinh normalization of select criteria)]],"")</f>
        <v/>
      </c>
      <c r="BZ181" s="200">
        <f>IF(FMS_Ranking4[[#This Row],[FMS Type]]="Regulatory and Guidance",FMS_Ranking4[[#This Row],[Rank (with ArcSinh normalization of select criteria)]],"")</f>
        <v>174</v>
      </c>
      <c r="CA181" s="200" t="str">
        <f>IF(FMS_Ranking4[[#This Row],[FMS Type]]="Education and Outreach",FMS_Ranking4[[#This Row],[Rank (with ArcSinh normalization of select criteria)]],"")</f>
        <v/>
      </c>
      <c r="CB181" s="200" t="str">
        <f>IF(FMS_Ranking4[[#This Row],[FMS Type]]="Property Acquisition and Structural Elevation",FMS_Ranking4[[#This Row],[Rank (with ArcSinh normalization of select criteria)]],"")</f>
        <v/>
      </c>
      <c r="CC181" s="200" t="str">
        <f>IF(FMS_Ranking4[[#This Row],[FMS Type]]="Infrastructure Projects",FMS_Ranking4[[#This Row],[Rank (with ArcSinh normalization of select criteria)]],"")</f>
        <v/>
      </c>
      <c r="CD181" s="200" t="str">
        <f>IF(FMS_Ranking4[[#This Row],[FMS Type]]="Other",FMS_Ranking4[[#This Row],[Rank (with ArcSinh normalization of select criteria)]],"")</f>
        <v/>
      </c>
      <c r="CE181" s="201"/>
      <c r="CF181" s="206"/>
      <c r="CG181" s="206"/>
      <c r="CH181" s="206"/>
      <c r="CI181" s="206"/>
      <c r="CJ181" s="206"/>
      <c r="CK181" s="206"/>
      <c r="CL181" s="206"/>
      <c r="CM181" s="206"/>
      <c r="CN181" s="206"/>
      <c r="CO181" s="206"/>
      <c r="CP181" s="206"/>
      <c r="CQ181" s="206"/>
      <c r="CR181" s="206"/>
    </row>
    <row r="182" spans="2:96" ht="45" x14ac:dyDescent="0.25">
      <c r="B182" s="341" t="s">
        <v>923</v>
      </c>
      <c r="C182" s="246">
        <f>_xlfn.XLOOKUP(FMS_Ranking4[[#This Row],[FMS ID]],FMS_Input[FMS_ID],FMS_Input[RFPG_NUM])</f>
        <v>9</v>
      </c>
      <c r="D182" s="309" t="str">
        <f>_xlfn.XLOOKUP(FMS_Ranking4[[#This Row],[FMS ID]],FMS_Input[FMS_ID],FMS_Input[FMS_NAME])</f>
        <v>Sterling County DCM</v>
      </c>
      <c r="E182" s="308" t="str">
        <f>_xlfn.XLOOKUP(FMS_Ranking4[[#This Row],[FMS ID]],FMS_Input[FMS_ID],FMS_Input[SPONSOR])</f>
        <v>09000149</v>
      </c>
      <c r="F182" s="309" t="str">
        <f>_xlfn.XLOOKUP(FMS_Ranking4[[#This Row],[FMS ID]],Sponsor[FMS_ID],Sponsor[SPONSOR NAME])</f>
        <v>Sterling</v>
      </c>
      <c r="G182" s="309" t="str">
        <f>_xlfn.XLOOKUP(FMS_Ranking4[[#This Row],[FMS ID]],FMS_Input[FMS_ID],FMS_Input[FMS_DESCR])</f>
        <v>Outreach Program: Discuss Stormwater Criteria Design Manual</v>
      </c>
      <c r="H182" s="248" t="str">
        <f>_xlfn.XLOOKUP(FMS_Ranking4[[#This Row],[FMS ID]],FMS_Input[FMS_ID],FMS_Input[FMS_TYPE])</f>
        <v>Other</v>
      </c>
      <c r="I182" s="249">
        <f>_xlfn.XLOOKUP(FMS_Ranking4[[#This Row],[FMS ID]],FMS_Input[FMS_ID],FMS_Input[NRNC_COST])</f>
        <v>75000</v>
      </c>
      <c r="J182" s="250">
        <f>_xlfn.XLOOKUP(FMS_Ranking4[[#This Row],[FMS ID]],FMS_Input[FMS_ID],FMS_Input[FMS_COST])</f>
        <v>100000</v>
      </c>
      <c r="K182" s="251" t="str">
        <f>_xlfn.XLOOKUP(FMS_Ranking4[[#This Row],[FMS ID]],FMS_Input[FMS_ID],FMS_Input[EMER_NEED])</f>
        <v>No</v>
      </c>
      <c r="L182" s="252">
        <f t="shared" si="2"/>
        <v>0</v>
      </c>
      <c r="M182" s="253">
        <f>_xlfn.XLOOKUP(FMS_Ranking4[[#This Row],[FMS ID]],FMS_Input[FMS_ID],FMS_Input[STRUCT_100])</f>
        <v>179</v>
      </c>
      <c r="N182" s="255">
        <f>(ASINH(FMS_Ranking4[[#This Row],[Structure at Risk Raw]]))*(10)/(ASINH(M$4))</f>
        <v>4.622980634606952</v>
      </c>
      <c r="O182" s="256">
        <f>FMS_Ranking4[[#This Row],[Structures at risk, ArcSinh (0-10)]]*M$5*10</f>
        <v>4.622980634606952</v>
      </c>
      <c r="P182" s="253">
        <f>_xlfn.XLOOKUP(FMS_Ranking4[[#This Row],[FMS ID]],FMS_Input[FMS_ID],FMS_Input[RES_STRUCT100])</f>
        <v>97</v>
      </c>
      <c r="Q182" s="257">
        <f>ASINH(FMS_Ranking4[[#This Row],[Res Structure Raw]])/Q$4*P$5*100</f>
        <v>0</v>
      </c>
      <c r="R182" s="253">
        <f>_xlfn.XLOOKUP(FMS_Ranking4[[#This Row],[FMS ID]],FMS_Input[FMS_ID],FMS_Input[POP100])</f>
        <v>180</v>
      </c>
      <c r="S182" s="259">
        <f>(ASINH(FMS_Ranking4[[#This Row],[Pop at Risk Raw]]))*(10)/(ASINH(R$4))</f>
        <v>4.0635256164862126</v>
      </c>
      <c r="T182" s="256">
        <f>FMS_Ranking4[[#This Row],[Population at risk, ArcSinh (0-10)]]*R$5*10</f>
        <v>4.0635256164862126</v>
      </c>
      <c r="U182" s="253">
        <f>_xlfn.XLOOKUP(FMS_Ranking4[[#This Row],[FMS ID]],FMS_Input[FMS_ID],FMS_Input[CRITFAC100])</f>
        <v>0</v>
      </c>
      <c r="V182" s="259">
        <f>(ASINH(FMS_Ranking4[[#This Row],[Critical Facilities Raw]]))*(10)/(ASINH(U$4))</f>
        <v>0</v>
      </c>
      <c r="W182" s="256">
        <f>FMS_Ranking4[[#This Row],[Critical facilities at risk, ArcSinh (0-10)]]*U$5*10</f>
        <v>0</v>
      </c>
      <c r="X182" s="253">
        <f>_xlfn.XLOOKUP(FMS_Ranking4[[#This Row],[FMS ID]],FMS_Input[FMS_ID],FMS_Input[LWC])</f>
        <v>7</v>
      </c>
      <c r="Y182" s="259">
        <f>(ASINH(FMS_Ranking4[[#This Row],[LWC Raw]]))*(10)/(ASINH(X$4))</f>
        <v>3.5820902845593281</v>
      </c>
      <c r="Z182" s="256">
        <f>FMS_Ranking4[[#This Row],[LWC, ArcSInh (0-10)]]*X$5*10</f>
        <v>3.5820902845593281</v>
      </c>
      <c r="AA182" s="253">
        <f>_xlfn.XLOOKUP(FMS_Ranking4[[#This Row],[FMS ID]],FMS_Input[FMS_ID],FMS_Input[ROADCLS])</f>
        <v>0</v>
      </c>
      <c r="AB182" s="255">
        <f>(ASINH(FMS_Ranking4[[#This Row],[Road Closures Raw]]))*(10)/(ASINH(AA$4))</f>
        <v>0</v>
      </c>
      <c r="AC182" s="256">
        <f>FMS_Ranking4[[#This Row],[Road closures, ArcSinh (0-10)]]*AA$5*10</f>
        <v>0</v>
      </c>
      <c r="AD182" s="253">
        <f>_xlfn.XLOOKUP(FMS_Ranking4[[#This Row],[FMS ID]],FMS_Input[FMS_ID],FMS_Input[ROAD_MILES100])</f>
        <v>30</v>
      </c>
      <c r="AE182" s="259">
        <f>(ASINH(FMS_Ranking4[[#This Row],[Road Miles Raw]]))*(10)/(ASINH(AD$4))</f>
        <v>4.3637407612967882</v>
      </c>
      <c r="AF182" s="256">
        <f>FMS_Ranking4[[#This Row],[Length of roads at risk, ArcSinh (0-10)]]*AD$5*10</f>
        <v>4.3637407612967882</v>
      </c>
      <c r="AG182" s="253">
        <f>_xlfn.XLOOKUP(FMS_Ranking4[[#This Row],[FMS ID]],FMS_Input[FMS_ID],FMS_Input[FARMACRE100])</f>
        <v>2288.6865234375</v>
      </c>
      <c r="AH182" s="255">
        <f>(ASINH(FMS_Ranking4[[#This Row],[Ag Land Raw]]))*(10)/(ASINH(AG$4))</f>
        <v>5.4752446381610866</v>
      </c>
      <c r="AI182" s="260">
        <f>FMS_Ranking4[[#This Row],[Farm &amp; ranch land, ArcSinh (0-10)]]*AG$5*10</f>
        <v>2.7376223190805433</v>
      </c>
      <c r="AJ182" s="258">
        <f>_xlfn.XLOOKUP(FMS_Ranking4[[#This Row],[FMS ID]],FMS_Input[FMS_ID],FMS_Input[REDSTRUCT100])</f>
        <v>45</v>
      </c>
      <c r="AK182" s="253">
        <f>_xlfn.XLOOKUP(FMS_Ranking4[[#This Row],[FMS ID]],FMS_Input[FMS_ID],FMS_Input[REMSTRC100])</f>
        <v>45</v>
      </c>
      <c r="AL182" s="259">
        <f>(ASINH(FMS_Ranking4[[#This Row],[Structures Removed Raw]]))*(10)/(ASINH(AK$4))</f>
        <v>5.1234950472643526</v>
      </c>
      <c r="AM182" s="262">
        <f>FMS_Ranking4[[#This Row],[Structures removed, ArcSinh (0-10)]]*AK$5*10</f>
        <v>5.1234950472643526</v>
      </c>
      <c r="AN182" s="253">
        <f>_xlfn.XLOOKUP(FMS_Ranking4[[#This Row],[FMS ID]],FMS_Input[FMS_ID],FMS_Input[REMRESSTRC100])</f>
        <v>24</v>
      </c>
      <c r="AO182" s="261">
        <f>FMS_Ranking4[[#This Row],[ArcSinh Res struct removed 0-10]]*AN$5*10</f>
        <v>2.270816254257201</v>
      </c>
      <c r="AP182" s="260">
        <f>ASINH(FMS_Ranking4[[#This Row],[Residential Structures Removed Raw]])/AP$4*AN$5*100</f>
        <v>2.2708162542572006</v>
      </c>
      <c r="AQ182" s="254">
        <f>(ASINH(FMS_Ranking4[[#This Row],[Residential Structures Removed Raw]]))*(10)/(ASINH(AN$4))</f>
        <v>4.5416325085144011</v>
      </c>
      <c r="AR182" s="253">
        <f>_xlfn.XLOOKUP(FMS_Ranking4[[#This Row],[FMS ID]],FMS_Input[FMS_ID],FMS_Input[REMPOP100])</f>
        <v>69</v>
      </c>
      <c r="AS182" s="259">
        <f>(ASINH(FMS_Ranking4[[#This Row],[Removed Pop Raw]]))*(10)/(ASINH(AR$4))</f>
        <v>4.8367444850183086</v>
      </c>
      <c r="AT182" s="262">
        <f>FMS_Ranking4[[#This Row],[Removed population, ArcSinh (0-10)]]*AR$5*10</f>
        <v>4.8367444850183086</v>
      </c>
      <c r="AU182" s="264">
        <f>_xlfn.XLOOKUP(FMS_Ranking4[[#This Row],[FMS ID]],FMS_Input[FMS_ID],FMS_Input[REMCRITFAC100])</f>
        <v>0</v>
      </c>
      <c r="AV182" s="264">
        <f>_xlfn.XLOOKUP(FMS_Ranking4[[#This Row],[FMS ID]],FMS_Input[FMS_ID],FMS_Input[REMLWC100])</f>
        <v>1</v>
      </c>
      <c r="AW182" s="264">
        <f>_xlfn.XLOOKUP(FMS_Ranking4[[#This Row],[FMS ID]],FMS_Input[FMS_ID],FMS_Input[REMROADCLS])</f>
        <v>0</v>
      </c>
      <c r="AX182" s="264">
        <f>_xlfn.XLOOKUP(FMS_Ranking4[[#This Row],[FMS ID]],FMS_Input[FMS_ID],FMS_Input[REMFRMACRE100])</f>
        <v>572.171630859375</v>
      </c>
      <c r="AY182" s="258">
        <f>_xlfn.XLOOKUP(FMS_Ranking4[[#This Row],[FMS ID]],FMS_Input[FMS_ID],FMS_Input[COSTSTRUCT])</f>
        <v>25000</v>
      </c>
      <c r="AZ182" s="253">
        <f>_xlfn.XLOOKUP(FMS_Ranking4[[#This Row],[FMS ID]],FMS_Input[FMS_ID],FMS_Input[NATURE])</f>
        <v>0</v>
      </c>
      <c r="BA182" s="262">
        <f>(((FMS_Ranking4[[#This Row],[% NBS Raw]]/AZ$4)*100)*AZ$5)</f>
        <v>0</v>
      </c>
      <c r="BB182" s="251" t="str">
        <f>_xlfn.XLOOKUP(FMS_Ranking4[[#This Row],[FMS ID]],FMS_Input[FMS_ID],FMS_Input[WATER_SUP])</f>
        <v>No</v>
      </c>
      <c r="BC182" s="265">
        <f>IF(FMS_Ranking4[[#This Row],[Water Supply Raw]]="Yes",10,0)</f>
        <v>0</v>
      </c>
      <c r="BD182" s="266">
        <f>_xlfn.XLOOKUP(FMS_Ranking4[[#This Row],[FMS Type]],FMS_TYPE[FMS_Type],FMS_TYPE[Score])</f>
        <v>2</v>
      </c>
      <c r="BE182" s="267">
        <f>FMS_Ranking4[[#This Row],[FMS_Type Score]]*$BD$5*10</f>
        <v>0.5</v>
      </c>
      <c r="BF18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0.15490978990674553</v>
      </c>
      <c r="BG182" s="271">
        <f>_xlfn.RANK.EQ(BF182,$BF$8:$BF$870,0)+COUNTIF($BF$8:BF182,BF182)-1</f>
        <v>402</v>
      </c>
      <c r="BH182" s="268">
        <f>(((FMS_Ranking4[[#This Row],[Structures Removed Raw]]/AK$4)*100)*AK$5)+(((FMS_Ranking4[[#This Row],[Removed Pop Raw]]/AR$4)*100)*AR$5)</f>
        <v>0.18994839935338662</v>
      </c>
      <c r="BI18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0.84485818926013212</v>
      </c>
      <c r="BJ182" s="205">
        <f>_xlfn.RANK.EQ(FMS_Ranking4[[#This Row],[Total Score 
(with linear
normalization)]],FMS_Ranking4[Total Score 
(with linear
normalization)],0)</f>
        <v>769</v>
      </c>
      <c r="BK182" s="205" t="e">
        <f>_xlfn.XLOOKUP(FMS_Ranking4[[#This Row],[FMS ID]],#REF!,#REF!)</f>
        <v>#REF!</v>
      </c>
      <c r="BL18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31.601015402569686</v>
      </c>
      <c r="BM182" s="272">
        <f>FMS_Ranking4[[#This Row],[ArcSinh Score Based on Normalized Reported Factors]]+FMS_Ranking4[[#This Row],[% NBS Score (Normalized)]]+(FMS_Ranking4[[#This Row],[Water Supply Score (Normalized)]]*10*$BB$5)+FMS_Ranking4[[#This Row],[FMS_Type Score Weighted]]</f>
        <v>32.101015402569686</v>
      </c>
      <c r="BN182" s="205">
        <f>_xlfn.RANK.EQ(FMS_Ranking4[[#This Row],[Total Score (with ArcSinh normalization of select criteria)]],FMS_Ranking4[Total Score (with ArcSinh normalization of select criteria)],0)</f>
        <v>175</v>
      </c>
      <c r="BO182" s="270" t="str">
        <f>_xlfn.XLOOKUP(FMS_Ranking4[[#This Row],[FMS ID]],FMS_Input[FMS_ID],FMS_Input[FMS_RANK_YEAR])</f>
        <v>2023 Amended Plan</v>
      </c>
      <c r="BP182" s="204">
        <f>_xlfn.XLOOKUP(FMS_Ranking4[[#This Row],[FMS ID]],Prev_Rank[FMS ID],Prev_Rank[Prev Rank])</f>
        <v>168</v>
      </c>
      <c r="BQ182" s="205" t="e">
        <f>_xlfn.XLOOKUP(FMS_Ranking4[[#This Row],[FMS ID]],#REF!,#REF!)</f>
        <v>#REF!</v>
      </c>
      <c r="BR182" s="199" t="e">
        <f>SUM(#REF!,#REF!,#REF!,#REF!,#REF!,#REF!,#REF!,#REF!,#REF!,FMS_Ranking4[[#This Row],[ArcSinh Res struct removed 0-10]],#REF!)</f>
        <v>#REF!</v>
      </c>
      <c r="BS182" s="199" t="e">
        <f>FMS_Ranking4[[#This Row],[Log Score Based on Normalized Reported Factors]]+FMS_Ranking4[[#This Row],[% NBS Score (Normalized)]]+(FMS_Ranking4[[#This Row],[Water Supply Score (Normalized)]]*10*$BB$5)+(FMS_Ranking4[[#This Row],[FMS_Type Score Weighted]])</f>
        <v>#REF!</v>
      </c>
      <c r="BT182" s="200" t="e">
        <f>_xlfn.RANK.EQ(FMS_Ranking4[[#This Row],[Log Total Score]],FMS_Ranking4[Log Total Score],0)</f>
        <v>#REF!</v>
      </c>
      <c r="BU182" s="200" t="e">
        <f>_xlfn.XLOOKUP(FMS_Ranking4[[#This Row],[FMS ID]],#REF!,#REF!)</f>
        <v>#REF!</v>
      </c>
      <c r="BV182" s="200">
        <f>FMS_Ranking4[[#This Row],[Region Number]]</f>
        <v>9</v>
      </c>
      <c r="BW182" s="200">
        <f>FMS_Ranking4[[#This Row],[Rank (with ArcSinh normalization of select criteria)]]-FMS_Ranking4[[#This Row],[Rank
(with linear
normalization)]]</f>
        <v>-594</v>
      </c>
      <c r="BX182" s="200" t="e">
        <f>FMS_Ranking4[[#This Row],[Log Rank]]-FMS_Ranking4[[#This Row],[Rank
(with linear
normalization)]]</f>
        <v>#REF!</v>
      </c>
      <c r="BY182" s="200" t="str">
        <f>IF(FMS_Ranking4[[#This Row],[FMS Type]]="Flood Measurement and Warning",FMS_Ranking4[[#This Row],[Rank (with ArcSinh normalization of select criteria)]],"")</f>
        <v/>
      </c>
      <c r="BZ182" s="200" t="str">
        <f>IF(FMS_Ranking4[[#This Row],[FMS Type]]="Regulatory and Guidance",FMS_Ranking4[[#This Row],[Rank (with ArcSinh normalization of select criteria)]],"")</f>
        <v/>
      </c>
      <c r="CA182" s="200" t="str">
        <f>IF(FMS_Ranking4[[#This Row],[FMS Type]]="Education and Outreach",FMS_Ranking4[[#This Row],[Rank (with ArcSinh normalization of select criteria)]],"")</f>
        <v/>
      </c>
      <c r="CB182" s="200" t="str">
        <f>IF(FMS_Ranking4[[#This Row],[FMS Type]]="Property Acquisition and Structural Elevation",FMS_Ranking4[[#This Row],[Rank (with ArcSinh normalization of select criteria)]],"")</f>
        <v/>
      </c>
      <c r="CC182" s="200" t="str">
        <f>IF(FMS_Ranking4[[#This Row],[FMS Type]]="Infrastructure Projects",FMS_Ranking4[[#This Row],[Rank (with ArcSinh normalization of select criteria)]],"")</f>
        <v/>
      </c>
      <c r="CD182" s="200">
        <f>IF(FMS_Ranking4[[#This Row],[FMS Type]]="Other",FMS_Ranking4[[#This Row],[Rank (with ArcSinh normalization of select criteria)]],"")</f>
        <v>175</v>
      </c>
      <c r="CE182" s="201"/>
      <c r="CF182" s="206"/>
      <c r="CG182" s="206"/>
      <c r="CH182" s="206"/>
      <c r="CI182" s="206"/>
      <c r="CJ182" s="206"/>
      <c r="CK182" s="206"/>
      <c r="CL182" s="206"/>
      <c r="CM182" s="206"/>
      <c r="CN182" s="206"/>
      <c r="CO182" s="206"/>
      <c r="CP182" s="206"/>
      <c r="CQ182" s="206"/>
      <c r="CR182" s="206"/>
    </row>
    <row r="183" spans="2:96" ht="30" x14ac:dyDescent="0.25">
      <c r="B183" s="341" t="s">
        <v>920</v>
      </c>
      <c r="C183" s="246">
        <f>_xlfn.XLOOKUP(FMS_Ranking4[[#This Row],[FMS ID]],FMS_Input[FMS_ID],FMS_Input[RFPG_NUM])</f>
        <v>9</v>
      </c>
      <c r="D183" s="309" t="str">
        <f>_xlfn.XLOOKUP(FMS_Ranking4[[#This Row],[FMS ID]],FMS_Input[FMS_ID],FMS_Input[FMS_NAME])</f>
        <v>Sterling County CTP Program</v>
      </c>
      <c r="E183" s="308" t="str">
        <f>_xlfn.XLOOKUP(FMS_Ranking4[[#This Row],[FMS ID]],FMS_Input[FMS_ID],FMS_Input[SPONSOR])</f>
        <v>09000149</v>
      </c>
      <c r="F183" s="309" t="str">
        <f>_xlfn.XLOOKUP(FMS_Ranking4[[#This Row],[FMS ID]],Sponsor[FMS_ID],Sponsor[SPONSOR NAME])</f>
        <v>Sterling</v>
      </c>
      <c r="G183" s="309" t="str">
        <f>_xlfn.XLOOKUP(FMS_Ranking4[[#This Row],[FMS ID]],FMS_Input[FMS_ID],FMS_Input[FMS_DESCR])</f>
        <v>Draft CTP program</v>
      </c>
      <c r="H183" s="248" t="str">
        <f>_xlfn.XLOOKUP(FMS_Ranking4[[#This Row],[FMS ID]],FMS_Input[FMS_ID],FMS_Input[FMS_TYPE])</f>
        <v>Other</v>
      </c>
      <c r="I183" s="249">
        <f>_xlfn.XLOOKUP(FMS_Ranking4[[#This Row],[FMS ID]],FMS_Input[FMS_ID],FMS_Input[NRNC_COST])</f>
        <v>5000</v>
      </c>
      <c r="J183" s="250">
        <f>_xlfn.XLOOKUP(FMS_Ranking4[[#This Row],[FMS ID]],FMS_Input[FMS_ID],FMS_Input[FMS_COST])</f>
        <v>30000</v>
      </c>
      <c r="K183" s="251" t="str">
        <f>_xlfn.XLOOKUP(FMS_Ranking4[[#This Row],[FMS ID]],FMS_Input[FMS_ID],FMS_Input[EMER_NEED])</f>
        <v>No</v>
      </c>
      <c r="L183" s="252">
        <f t="shared" si="2"/>
        <v>0</v>
      </c>
      <c r="M183" s="253">
        <f>_xlfn.XLOOKUP(FMS_Ranking4[[#This Row],[FMS ID]],FMS_Input[FMS_ID],FMS_Input[STRUCT_100])</f>
        <v>179</v>
      </c>
      <c r="N183" s="255">
        <f>(ASINH(FMS_Ranking4[[#This Row],[Structure at Risk Raw]]))*(10)/(ASINH(M$4))</f>
        <v>4.622980634606952</v>
      </c>
      <c r="O183" s="256">
        <f>FMS_Ranking4[[#This Row],[Structures at risk, ArcSinh (0-10)]]*M$5*10</f>
        <v>4.622980634606952</v>
      </c>
      <c r="P183" s="253">
        <f>_xlfn.XLOOKUP(FMS_Ranking4[[#This Row],[FMS ID]],FMS_Input[FMS_ID],FMS_Input[RES_STRUCT100])</f>
        <v>97</v>
      </c>
      <c r="Q183" s="257">
        <f>ASINH(FMS_Ranking4[[#This Row],[Res Structure Raw]])/Q$4*P$5*100</f>
        <v>0</v>
      </c>
      <c r="R183" s="253">
        <f>_xlfn.XLOOKUP(FMS_Ranking4[[#This Row],[FMS ID]],FMS_Input[FMS_ID],FMS_Input[POP100])</f>
        <v>180</v>
      </c>
      <c r="S183" s="259">
        <f>(ASINH(FMS_Ranking4[[#This Row],[Pop at Risk Raw]]))*(10)/(ASINH(R$4))</f>
        <v>4.0635256164862126</v>
      </c>
      <c r="T183" s="256">
        <f>FMS_Ranking4[[#This Row],[Population at risk, ArcSinh (0-10)]]*R$5*10</f>
        <v>4.0635256164862126</v>
      </c>
      <c r="U183" s="253">
        <f>_xlfn.XLOOKUP(FMS_Ranking4[[#This Row],[FMS ID]],FMS_Input[FMS_ID],FMS_Input[CRITFAC100])</f>
        <v>0</v>
      </c>
      <c r="V183" s="259">
        <f>(ASINH(FMS_Ranking4[[#This Row],[Critical Facilities Raw]]))*(10)/(ASINH(U$4))</f>
        <v>0</v>
      </c>
      <c r="W183" s="256">
        <f>FMS_Ranking4[[#This Row],[Critical facilities at risk, ArcSinh (0-10)]]*U$5*10</f>
        <v>0</v>
      </c>
      <c r="X183" s="253">
        <f>_xlfn.XLOOKUP(FMS_Ranking4[[#This Row],[FMS ID]],FMS_Input[FMS_ID],FMS_Input[LWC])</f>
        <v>7</v>
      </c>
      <c r="Y183" s="259">
        <f>(ASINH(FMS_Ranking4[[#This Row],[LWC Raw]]))*(10)/(ASINH(X$4))</f>
        <v>3.5820902845593281</v>
      </c>
      <c r="Z183" s="256">
        <f>FMS_Ranking4[[#This Row],[LWC, ArcSInh (0-10)]]*X$5*10</f>
        <v>3.5820902845593281</v>
      </c>
      <c r="AA183" s="253">
        <f>_xlfn.XLOOKUP(FMS_Ranking4[[#This Row],[FMS ID]],FMS_Input[FMS_ID],FMS_Input[ROADCLS])</f>
        <v>0</v>
      </c>
      <c r="AB183" s="255">
        <f>(ASINH(FMS_Ranking4[[#This Row],[Road Closures Raw]]))*(10)/(ASINH(AA$4))</f>
        <v>0</v>
      </c>
      <c r="AC183" s="256">
        <f>FMS_Ranking4[[#This Row],[Road closures, ArcSinh (0-10)]]*AA$5*10</f>
        <v>0</v>
      </c>
      <c r="AD183" s="253">
        <f>_xlfn.XLOOKUP(FMS_Ranking4[[#This Row],[FMS ID]],FMS_Input[FMS_ID],FMS_Input[ROAD_MILES100])</f>
        <v>30</v>
      </c>
      <c r="AE183" s="259">
        <f>(ASINH(FMS_Ranking4[[#This Row],[Road Miles Raw]]))*(10)/(ASINH(AD$4))</f>
        <v>4.3637407612967882</v>
      </c>
      <c r="AF183" s="256">
        <f>FMS_Ranking4[[#This Row],[Length of roads at risk, ArcSinh (0-10)]]*AD$5*10</f>
        <v>4.3637407612967882</v>
      </c>
      <c r="AG183" s="253">
        <f>_xlfn.XLOOKUP(FMS_Ranking4[[#This Row],[FMS ID]],FMS_Input[FMS_ID],FMS_Input[FARMACRE100])</f>
        <v>2288.6865234375</v>
      </c>
      <c r="AH183" s="255">
        <f>(ASINH(FMS_Ranking4[[#This Row],[Ag Land Raw]]))*(10)/(ASINH(AG$4))</f>
        <v>5.4752446381610866</v>
      </c>
      <c r="AI183" s="260">
        <f>FMS_Ranking4[[#This Row],[Farm &amp; ranch land, ArcSinh (0-10)]]*AG$5*10</f>
        <v>2.7376223190805433</v>
      </c>
      <c r="AJ183" s="258">
        <f>_xlfn.XLOOKUP(FMS_Ranking4[[#This Row],[FMS ID]],FMS_Input[FMS_ID],FMS_Input[REDSTRUCT100])</f>
        <v>45</v>
      </c>
      <c r="AK183" s="253">
        <f>_xlfn.XLOOKUP(FMS_Ranking4[[#This Row],[FMS ID]],FMS_Input[FMS_ID],FMS_Input[REMSTRC100])</f>
        <v>45</v>
      </c>
      <c r="AL183" s="259">
        <f>(ASINH(FMS_Ranking4[[#This Row],[Structures Removed Raw]]))*(10)/(ASINH(AK$4))</f>
        <v>5.1234950472643526</v>
      </c>
      <c r="AM183" s="262">
        <f>FMS_Ranking4[[#This Row],[Structures removed, ArcSinh (0-10)]]*AK$5*10</f>
        <v>5.1234950472643526</v>
      </c>
      <c r="AN183" s="253">
        <f>_xlfn.XLOOKUP(FMS_Ranking4[[#This Row],[FMS ID]],FMS_Input[FMS_ID],FMS_Input[REMRESSTRC100])</f>
        <v>24</v>
      </c>
      <c r="AO183" s="261">
        <f>FMS_Ranking4[[#This Row],[ArcSinh Res struct removed 0-10]]*AN$5*10</f>
        <v>2.270816254257201</v>
      </c>
      <c r="AP183" s="260">
        <f>ASINH(FMS_Ranking4[[#This Row],[Residential Structures Removed Raw]])/AP$4*AN$5*100</f>
        <v>2.2708162542572006</v>
      </c>
      <c r="AQ183" s="254">
        <f>(ASINH(FMS_Ranking4[[#This Row],[Residential Structures Removed Raw]]))*(10)/(ASINH(AN$4))</f>
        <v>4.5416325085144011</v>
      </c>
      <c r="AR183" s="253">
        <f>_xlfn.XLOOKUP(FMS_Ranking4[[#This Row],[FMS ID]],FMS_Input[FMS_ID],FMS_Input[REMPOP100])</f>
        <v>69</v>
      </c>
      <c r="AS183" s="259">
        <f>(ASINH(FMS_Ranking4[[#This Row],[Removed Pop Raw]]))*(10)/(ASINH(AR$4))</f>
        <v>4.8367444850183086</v>
      </c>
      <c r="AT183" s="262">
        <f>FMS_Ranking4[[#This Row],[Removed population, ArcSinh (0-10)]]*AR$5*10</f>
        <v>4.8367444850183086</v>
      </c>
      <c r="AU183" s="264">
        <f>_xlfn.XLOOKUP(FMS_Ranking4[[#This Row],[FMS ID]],FMS_Input[FMS_ID],FMS_Input[REMCRITFAC100])</f>
        <v>0</v>
      </c>
      <c r="AV183" s="264">
        <f>_xlfn.XLOOKUP(FMS_Ranking4[[#This Row],[FMS ID]],FMS_Input[FMS_ID],FMS_Input[REMLWC100])</f>
        <v>1</v>
      </c>
      <c r="AW183" s="264">
        <f>_xlfn.XLOOKUP(FMS_Ranking4[[#This Row],[FMS ID]],FMS_Input[FMS_ID],FMS_Input[REMROADCLS])</f>
        <v>0</v>
      </c>
      <c r="AX183" s="264">
        <f>_xlfn.XLOOKUP(FMS_Ranking4[[#This Row],[FMS ID]],FMS_Input[FMS_ID],FMS_Input[REMFRMACRE100])</f>
        <v>572.171630859375</v>
      </c>
      <c r="AY183" s="258">
        <f>_xlfn.XLOOKUP(FMS_Ranking4[[#This Row],[FMS ID]],FMS_Input[FMS_ID],FMS_Input[COSTSTRUCT])</f>
        <v>25000</v>
      </c>
      <c r="AZ183" s="253">
        <f>_xlfn.XLOOKUP(FMS_Ranking4[[#This Row],[FMS ID]],FMS_Input[FMS_ID],FMS_Input[NATURE])</f>
        <v>0</v>
      </c>
      <c r="BA183" s="262">
        <f>(((FMS_Ranking4[[#This Row],[% NBS Raw]]/AZ$4)*100)*AZ$5)</f>
        <v>0</v>
      </c>
      <c r="BB183" s="251" t="str">
        <f>_xlfn.XLOOKUP(FMS_Ranking4[[#This Row],[FMS ID]],FMS_Input[FMS_ID],FMS_Input[WATER_SUP])</f>
        <v>No</v>
      </c>
      <c r="BC183" s="265">
        <f>IF(FMS_Ranking4[[#This Row],[Water Supply Raw]]="Yes",10,0)</f>
        <v>0</v>
      </c>
      <c r="BD183" s="266">
        <f>_xlfn.XLOOKUP(FMS_Ranking4[[#This Row],[FMS Type]],FMS_TYPE[FMS_Type],FMS_TYPE[Score])</f>
        <v>2</v>
      </c>
      <c r="BE183" s="267">
        <f>FMS_Ranking4[[#This Row],[FMS_Type Score]]*$BD$5*10</f>
        <v>0.5</v>
      </c>
      <c r="BF18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0.15490978990674553</v>
      </c>
      <c r="BG183" s="271">
        <f>_xlfn.RANK.EQ(BF183,$BF$8:$BF$870,0)+COUNTIF($BF$8:BF183,BF183)-1</f>
        <v>403</v>
      </c>
      <c r="BH183" s="268">
        <f>(((FMS_Ranking4[[#This Row],[Structures Removed Raw]]/AK$4)*100)*AK$5)+(((FMS_Ranking4[[#This Row],[Removed Pop Raw]]/AR$4)*100)*AR$5)</f>
        <v>0.18994839935338662</v>
      </c>
      <c r="BI18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0.84485818926013212</v>
      </c>
      <c r="BJ183" s="205">
        <f>_xlfn.RANK.EQ(FMS_Ranking4[[#This Row],[Total Score 
(with linear
normalization)]],FMS_Ranking4[Total Score 
(with linear
normalization)],0)</f>
        <v>769</v>
      </c>
      <c r="BK183" s="205" t="e">
        <f>_xlfn.XLOOKUP(FMS_Ranking4[[#This Row],[FMS ID]],#REF!,#REF!)</f>
        <v>#REF!</v>
      </c>
      <c r="BL18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31.601015402569686</v>
      </c>
      <c r="BM183" s="272">
        <f>FMS_Ranking4[[#This Row],[ArcSinh Score Based on Normalized Reported Factors]]+FMS_Ranking4[[#This Row],[% NBS Score (Normalized)]]+(FMS_Ranking4[[#This Row],[Water Supply Score (Normalized)]]*10*$BB$5)+FMS_Ranking4[[#This Row],[FMS_Type Score Weighted]]</f>
        <v>32.101015402569686</v>
      </c>
      <c r="BN183" s="205">
        <f>_xlfn.RANK.EQ(FMS_Ranking4[[#This Row],[Total Score (with ArcSinh normalization of select criteria)]],FMS_Ranking4[Total Score (with ArcSinh normalization of select criteria)],0)</f>
        <v>175</v>
      </c>
      <c r="BO183" s="270" t="str">
        <f>_xlfn.XLOOKUP(FMS_Ranking4[[#This Row],[FMS ID]],FMS_Input[FMS_ID],FMS_Input[FMS_RANK_YEAR])</f>
        <v>2023 Amended Plan</v>
      </c>
      <c r="BP183" s="204">
        <f>_xlfn.XLOOKUP(FMS_Ranking4[[#This Row],[FMS ID]],Prev_Rank[FMS ID],Prev_Rank[Prev Rank])</f>
        <v>168</v>
      </c>
      <c r="BQ183" s="205" t="e">
        <f>_xlfn.XLOOKUP(FMS_Ranking4[[#This Row],[FMS ID]],#REF!,#REF!)</f>
        <v>#REF!</v>
      </c>
      <c r="BR183" s="199" t="e">
        <f>SUM(#REF!,#REF!,#REF!,#REF!,#REF!,#REF!,#REF!,#REF!,#REF!,FMS_Ranking4[[#This Row],[ArcSinh Res struct removed 0-10]],#REF!)</f>
        <v>#REF!</v>
      </c>
      <c r="BS183" s="199" t="e">
        <f>FMS_Ranking4[[#This Row],[Log Score Based on Normalized Reported Factors]]+FMS_Ranking4[[#This Row],[% NBS Score (Normalized)]]+(FMS_Ranking4[[#This Row],[Water Supply Score (Normalized)]]*10*$BB$5)+(FMS_Ranking4[[#This Row],[FMS_Type Score Weighted]])</f>
        <v>#REF!</v>
      </c>
      <c r="BT183" s="200" t="e">
        <f>_xlfn.RANK.EQ(FMS_Ranking4[[#This Row],[Log Total Score]],FMS_Ranking4[Log Total Score],0)</f>
        <v>#REF!</v>
      </c>
      <c r="BU183" s="200" t="e">
        <f>_xlfn.XLOOKUP(FMS_Ranking4[[#This Row],[FMS ID]],#REF!,#REF!)</f>
        <v>#REF!</v>
      </c>
      <c r="BV183" s="200">
        <f>FMS_Ranking4[[#This Row],[Region Number]]</f>
        <v>9</v>
      </c>
      <c r="BW183" s="200">
        <f>FMS_Ranking4[[#This Row],[Rank (with ArcSinh normalization of select criteria)]]-FMS_Ranking4[[#This Row],[Rank
(with linear
normalization)]]</f>
        <v>-594</v>
      </c>
      <c r="BX183" s="200" t="e">
        <f>FMS_Ranking4[[#This Row],[Log Rank]]-FMS_Ranking4[[#This Row],[Rank
(with linear
normalization)]]</f>
        <v>#REF!</v>
      </c>
      <c r="BY183" s="200" t="str">
        <f>IF(FMS_Ranking4[[#This Row],[FMS Type]]="Flood Measurement and Warning",FMS_Ranking4[[#This Row],[Rank (with ArcSinh normalization of select criteria)]],"")</f>
        <v/>
      </c>
      <c r="BZ183" s="200" t="str">
        <f>IF(FMS_Ranking4[[#This Row],[FMS Type]]="Regulatory and Guidance",FMS_Ranking4[[#This Row],[Rank (with ArcSinh normalization of select criteria)]],"")</f>
        <v/>
      </c>
      <c r="CA183" s="200" t="str">
        <f>IF(FMS_Ranking4[[#This Row],[FMS Type]]="Education and Outreach",FMS_Ranking4[[#This Row],[Rank (with ArcSinh normalization of select criteria)]],"")</f>
        <v/>
      </c>
      <c r="CB183" s="200" t="str">
        <f>IF(FMS_Ranking4[[#This Row],[FMS Type]]="Property Acquisition and Structural Elevation",FMS_Ranking4[[#This Row],[Rank (with ArcSinh normalization of select criteria)]],"")</f>
        <v/>
      </c>
      <c r="CC183" s="200" t="str">
        <f>IF(FMS_Ranking4[[#This Row],[FMS Type]]="Infrastructure Projects",FMS_Ranking4[[#This Row],[Rank (with ArcSinh normalization of select criteria)]],"")</f>
        <v/>
      </c>
      <c r="CD183" s="200">
        <f>IF(FMS_Ranking4[[#This Row],[FMS Type]]="Other",FMS_Ranking4[[#This Row],[Rank (with ArcSinh normalization of select criteria)]],"")</f>
        <v>175</v>
      </c>
      <c r="CE183" s="201"/>
      <c r="CF183" s="206"/>
      <c r="CG183" s="206"/>
      <c r="CH183" s="206"/>
      <c r="CI183" s="206"/>
      <c r="CJ183" s="206"/>
      <c r="CK183" s="206"/>
      <c r="CL183" s="206"/>
      <c r="CM183" s="206"/>
      <c r="CN183" s="206"/>
      <c r="CO183" s="206"/>
      <c r="CP183" s="206"/>
      <c r="CQ183" s="206"/>
      <c r="CR183" s="206"/>
    </row>
    <row r="184" spans="2:96" ht="30" x14ac:dyDescent="0.25">
      <c r="B184" s="341" t="s">
        <v>925</v>
      </c>
      <c r="C184" s="246">
        <f>_xlfn.XLOOKUP(FMS_Ranking4[[#This Row],[FMS ID]],FMS_Input[FMS_ID],FMS_Input[RFPG_NUM])</f>
        <v>9</v>
      </c>
      <c r="D184" s="309" t="str">
        <f>_xlfn.XLOOKUP(FMS_Ranking4[[#This Row],[FMS ID]],FMS_Input[FMS_ID],FMS_Input[FMS_NAME])</f>
        <v>Sterling County NFIP Application</v>
      </c>
      <c r="E184" s="308" t="str">
        <f>_xlfn.XLOOKUP(FMS_Ranking4[[#This Row],[FMS ID]],FMS_Input[FMS_ID],FMS_Input[SPONSOR])</f>
        <v>09000149</v>
      </c>
      <c r="F184" s="309" t="str">
        <f>_xlfn.XLOOKUP(FMS_Ranking4[[#This Row],[FMS ID]],Sponsor[FMS_ID],Sponsor[SPONSOR NAME])</f>
        <v>Sterling</v>
      </c>
      <c r="G184" s="309" t="str">
        <f>_xlfn.XLOOKUP(FMS_Ranking4[[#This Row],[FMS ID]],FMS_Input[FMS_ID],FMS_Input[FMS_DESCR])</f>
        <v xml:space="preserve">Join the National Flood Insurance Program (NFIP). </v>
      </c>
      <c r="H184" s="248" t="str">
        <f>_xlfn.XLOOKUP(FMS_Ranking4[[#This Row],[FMS ID]],FMS_Input[FMS_ID],FMS_Input[FMS_TYPE])</f>
        <v>Other</v>
      </c>
      <c r="I184" s="249">
        <f>_xlfn.XLOOKUP(FMS_Ranking4[[#This Row],[FMS ID]],FMS_Input[FMS_ID],FMS_Input[NRNC_COST])</f>
        <v>5000</v>
      </c>
      <c r="J184" s="250">
        <f>_xlfn.XLOOKUP(FMS_Ranking4[[#This Row],[FMS ID]],FMS_Input[FMS_ID],FMS_Input[FMS_COST])</f>
        <v>30000</v>
      </c>
      <c r="K184" s="251" t="str">
        <f>_xlfn.XLOOKUP(FMS_Ranking4[[#This Row],[FMS ID]],FMS_Input[FMS_ID],FMS_Input[EMER_NEED])</f>
        <v>No</v>
      </c>
      <c r="L184" s="252">
        <f t="shared" si="2"/>
        <v>0</v>
      </c>
      <c r="M184" s="253">
        <f>_xlfn.XLOOKUP(FMS_Ranking4[[#This Row],[FMS ID]],FMS_Input[FMS_ID],FMS_Input[STRUCT_100])</f>
        <v>179</v>
      </c>
      <c r="N184" s="255">
        <f>(ASINH(FMS_Ranking4[[#This Row],[Structure at Risk Raw]]))*(10)/(ASINH(M$4))</f>
        <v>4.622980634606952</v>
      </c>
      <c r="O184" s="256">
        <f>FMS_Ranking4[[#This Row],[Structures at risk, ArcSinh (0-10)]]*M$5*10</f>
        <v>4.622980634606952</v>
      </c>
      <c r="P184" s="253">
        <f>_xlfn.XLOOKUP(FMS_Ranking4[[#This Row],[FMS ID]],FMS_Input[FMS_ID],FMS_Input[RES_STRUCT100])</f>
        <v>97</v>
      </c>
      <c r="Q184" s="257">
        <f>ASINH(FMS_Ranking4[[#This Row],[Res Structure Raw]])/Q$4*P$5*100</f>
        <v>0</v>
      </c>
      <c r="R184" s="253">
        <f>_xlfn.XLOOKUP(FMS_Ranking4[[#This Row],[FMS ID]],FMS_Input[FMS_ID],FMS_Input[POP100])</f>
        <v>180</v>
      </c>
      <c r="S184" s="259">
        <f>(ASINH(FMS_Ranking4[[#This Row],[Pop at Risk Raw]]))*(10)/(ASINH(R$4))</f>
        <v>4.0635256164862126</v>
      </c>
      <c r="T184" s="256">
        <f>FMS_Ranking4[[#This Row],[Population at risk, ArcSinh (0-10)]]*R$5*10</f>
        <v>4.0635256164862126</v>
      </c>
      <c r="U184" s="253">
        <f>_xlfn.XLOOKUP(FMS_Ranking4[[#This Row],[FMS ID]],FMS_Input[FMS_ID],FMS_Input[CRITFAC100])</f>
        <v>0</v>
      </c>
      <c r="V184" s="259">
        <f>(ASINH(FMS_Ranking4[[#This Row],[Critical Facilities Raw]]))*(10)/(ASINH(U$4))</f>
        <v>0</v>
      </c>
      <c r="W184" s="256">
        <f>FMS_Ranking4[[#This Row],[Critical facilities at risk, ArcSinh (0-10)]]*U$5*10</f>
        <v>0</v>
      </c>
      <c r="X184" s="253">
        <f>_xlfn.XLOOKUP(FMS_Ranking4[[#This Row],[FMS ID]],FMS_Input[FMS_ID],FMS_Input[LWC])</f>
        <v>7</v>
      </c>
      <c r="Y184" s="259">
        <f>(ASINH(FMS_Ranking4[[#This Row],[LWC Raw]]))*(10)/(ASINH(X$4))</f>
        <v>3.5820902845593281</v>
      </c>
      <c r="Z184" s="256">
        <f>FMS_Ranking4[[#This Row],[LWC, ArcSInh (0-10)]]*X$5*10</f>
        <v>3.5820902845593281</v>
      </c>
      <c r="AA184" s="253">
        <f>_xlfn.XLOOKUP(FMS_Ranking4[[#This Row],[FMS ID]],FMS_Input[FMS_ID],FMS_Input[ROADCLS])</f>
        <v>0</v>
      </c>
      <c r="AB184" s="255">
        <f>(ASINH(FMS_Ranking4[[#This Row],[Road Closures Raw]]))*(10)/(ASINH(AA$4))</f>
        <v>0</v>
      </c>
      <c r="AC184" s="256">
        <f>FMS_Ranking4[[#This Row],[Road closures, ArcSinh (0-10)]]*AA$5*10</f>
        <v>0</v>
      </c>
      <c r="AD184" s="253">
        <f>_xlfn.XLOOKUP(FMS_Ranking4[[#This Row],[FMS ID]],FMS_Input[FMS_ID],FMS_Input[ROAD_MILES100])</f>
        <v>30</v>
      </c>
      <c r="AE184" s="259">
        <f>(ASINH(FMS_Ranking4[[#This Row],[Road Miles Raw]]))*(10)/(ASINH(AD$4))</f>
        <v>4.3637407612967882</v>
      </c>
      <c r="AF184" s="256">
        <f>FMS_Ranking4[[#This Row],[Length of roads at risk, ArcSinh (0-10)]]*AD$5*10</f>
        <v>4.3637407612967882</v>
      </c>
      <c r="AG184" s="253">
        <f>_xlfn.XLOOKUP(FMS_Ranking4[[#This Row],[FMS ID]],FMS_Input[FMS_ID],FMS_Input[FARMACRE100])</f>
        <v>2288.6865234375</v>
      </c>
      <c r="AH184" s="255">
        <f>(ASINH(FMS_Ranking4[[#This Row],[Ag Land Raw]]))*(10)/(ASINH(AG$4))</f>
        <v>5.4752446381610866</v>
      </c>
      <c r="AI184" s="260">
        <f>FMS_Ranking4[[#This Row],[Farm &amp; ranch land, ArcSinh (0-10)]]*AG$5*10</f>
        <v>2.7376223190805433</v>
      </c>
      <c r="AJ184" s="258">
        <f>_xlfn.XLOOKUP(FMS_Ranking4[[#This Row],[FMS ID]],FMS_Input[FMS_ID],FMS_Input[REDSTRUCT100])</f>
        <v>45</v>
      </c>
      <c r="AK184" s="253">
        <f>_xlfn.XLOOKUP(FMS_Ranking4[[#This Row],[FMS ID]],FMS_Input[FMS_ID],FMS_Input[REMSTRC100])</f>
        <v>45</v>
      </c>
      <c r="AL184" s="259">
        <f>(ASINH(FMS_Ranking4[[#This Row],[Structures Removed Raw]]))*(10)/(ASINH(AK$4))</f>
        <v>5.1234950472643526</v>
      </c>
      <c r="AM184" s="262">
        <f>FMS_Ranking4[[#This Row],[Structures removed, ArcSinh (0-10)]]*AK$5*10</f>
        <v>5.1234950472643526</v>
      </c>
      <c r="AN184" s="253">
        <f>_xlfn.XLOOKUP(FMS_Ranking4[[#This Row],[FMS ID]],FMS_Input[FMS_ID],FMS_Input[REMRESSTRC100])</f>
        <v>24</v>
      </c>
      <c r="AO184" s="261">
        <f>FMS_Ranking4[[#This Row],[ArcSinh Res struct removed 0-10]]*AN$5*10</f>
        <v>2.270816254257201</v>
      </c>
      <c r="AP184" s="260">
        <f>ASINH(FMS_Ranking4[[#This Row],[Residential Structures Removed Raw]])/AP$4*AN$5*100</f>
        <v>2.2708162542572006</v>
      </c>
      <c r="AQ184" s="254">
        <f>(ASINH(FMS_Ranking4[[#This Row],[Residential Structures Removed Raw]]))*(10)/(ASINH(AN$4))</f>
        <v>4.5416325085144011</v>
      </c>
      <c r="AR184" s="253">
        <f>_xlfn.XLOOKUP(FMS_Ranking4[[#This Row],[FMS ID]],FMS_Input[FMS_ID],FMS_Input[REMPOP100])</f>
        <v>69</v>
      </c>
      <c r="AS184" s="259">
        <f>(ASINH(FMS_Ranking4[[#This Row],[Removed Pop Raw]]))*(10)/(ASINH(AR$4))</f>
        <v>4.8367444850183086</v>
      </c>
      <c r="AT184" s="262">
        <f>FMS_Ranking4[[#This Row],[Removed population, ArcSinh (0-10)]]*AR$5*10</f>
        <v>4.8367444850183086</v>
      </c>
      <c r="AU184" s="264">
        <f>_xlfn.XLOOKUP(FMS_Ranking4[[#This Row],[FMS ID]],FMS_Input[FMS_ID],FMS_Input[REMCRITFAC100])</f>
        <v>0</v>
      </c>
      <c r="AV184" s="264">
        <f>_xlfn.XLOOKUP(FMS_Ranking4[[#This Row],[FMS ID]],FMS_Input[FMS_ID],FMS_Input[REMLWC100])</f>
        <v>1</v>
      </c>
      <c r="AW184" s="264">
        <f>_xlfn.XLOOKUP(FMS_Ranking4[[#This Row],[FMS ID]],FMS_Input[FMS_ID],FMS_Input[REMROADCLS])</f>
        <v>0</v>
      </c>
      <c r="AX184" s="264">
        <f>_xlfn.XLOOKUP(FMS_Ranking4[[#This Row],[FMS ID]],FMS_Input[FMS_ID],FMS_Input[REMFRMACRE100])</f>
        <v>572.171630859375</v>
      </c>
      <c r="AY184" s="258">
        <f>_xlfn.XLOOKUP(FMS_Ranking4[[#This Row],[FMS ID]],FMS_Input[FMS_ID],FMS_Input[COSTSTRUCT])</f>
        <v>25000</v>
      </c>
      <c r="AZ184" s="253">
        <f>_xlfn.XLOOKUP(FMS_Ranking4[[#This Row],[FMS ID]],FMS_Input[FMS_ID],FMS_Input[NATURE])</f>
        <v>0</v>
      </c>
      <c r="BA184" s="262">
        <f>(((FMS_Ranking4[[#This Row],[% NBS Raw]]/AZ$4)*100)*AZ$5)</f>
        <v>0</v>
      </c>
      <c r="BB184" s="251" t="str">
        <f>_xlfn.XLOOKUP(FMS_Ranking4[[#This Row],[FMS ID]],FMS_Input[FMS_ID],FMS_Input[WATER_SUP])</f>
        <v>No</v>
      </c>
      <c r="BC184" s="265">
        <f>IF(FMS_Ranking4[[#This Row],[Water Supply Raw]]="Yes",10,0)</f>
        <v>0</v>
      </c>
      <c r="BD184" s="266">
        <f>_xlfn.XLOOKUP(FMS_Ranking4[[#This Row],[FMS Type]],FMS_TYPE[FMS_Type],FMS_TYPE[Score])</f>
        <v>2</v>
      </c>
      <c r="BE184" s="267">
        <f>FMS_Ranking4[[#This Row],[FMS_Type Score]]*$BD$5*10</f>
        <v>0.5</v>
      </c>
      <c r="BF18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0.15490978990674553</v>
      </c>
      <c r="BG184" s="271">
        <f>_xlfn.RANK.EQ(BF184,$BF$8:$BF$870,0)+COUNTIF($BF$8:BF184,BF184)-1</f>
        <v>404</v>
      </c>
      <c r="BH184" s="268">
        <f>(((FMS_Ranking4[[#This Row],[Structures Removed Raw]]/AK$4)*100)*AK$5)+(((FMS_Ranking4[[#This Row],[Removed Pop Raw]]/AR$4)*100)*AR$5)</f>
        <v>0.18994839935338662</v>
      </c>
      <c r="BI18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0.84485818926013212</v>
      </c>
      <c r="BJ184" s="205">
        <f>_xlfn.RANK.EQ(FMS_Ranking4[[#This Row],[Total Score 
(with linear
normalization)]],FMS_Ranking4[Total Score 
(with linear
normalization)],0)</f>
        <v>769</v>
      </c>
      <c r="BK184" s="205" t="e">
        <f>_xlfn.XLOOKUP(FMS_Ranking4[[#This Row],[FMS ID]],#REF!,#REF!)</f>
        <v>#REF!</v>
      </c>
      <c r="BL18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31.601015402569686</v>
      </c>
      <c r="BM184" s="272">
        <f>FMS_Ranking4[[#This Row],[ArcSinh Score Based on Normalized Reported Factors]]+FMS_Ranking4[[#This Row],[% NBS Score (Normalized)]]+(FMS_Ranking4[[#This Row],[Water Supply Score (Normalized)]]*10*$BB$5)+FMS_Ranking4[[#This Row],[FMS_Type Score Weighted]]</f>
        <v>32.101015402569686</v>
      </c>
      <c r="BN184" s="205">
        <f>_xlfn.RANK.EQ(FMS_Ranking4[[#This Row],[Total Score (with ArcSinh normalization of select criteria)]],FMS_Ranking4[Total Score (with ArcSinh normalization of select criteria)],0)</f>
        <v>175</v>
      </c>
      <c r="BO184" s="270" t="str">
        <f>_xlfn.XLOOKUP(FMS_Ranking4[[#This Row],[FMS ID]],FMS_Input[FMS_ID],FMS_Input[FMS_RANK_YEAR])</f>
        <v>2023 Amended Plan</v>
      </c>
      <c r="BP184" s="204">
        <f>_xlfn.XLOOKUP(FMS_Ranking4[[#This Row],[FMS ID]],Prev_Rank[FMS ID],Prev_Rank[Prev Rank])</f>
        <v>168</v>
      </c>
      <c r="BQ184" s="205" t="e">
        <f>_xlfn.XLOOKUP(FMS_Ranking4[[#This Row],[FMS ID]],#REF!,#REF!)</f>
        <v>#REF!</v>
      </c>
      <c r="BR184" s="199" t="e">
        <f>SUM(#REF!,#REF!,#REF!,#REF!,#REF!,#REF!,#REF!,#REF!,#REF!,FMS_Ranking4[[#This Row],[ArcSinh Res struct removed 0-10]],#REF!)</f>
        <v>#REF!</v>
      </c>
      <c r="BS184" s="199" t="e">
        <f>FMS_Ranking4[[#This Row],[Log Score Based on Normalized Reported Factors]]+FMS_Ranking4[[#This Row],[% NBS Score (Normalized)]]+(FMS_Ranking4[[#This Row],[Water Supply Score (Normalized)]]*10*$BB$5)+(FMS_Ranking4[[#This Row],[FMS_Type Score Weighted]])</f>
        <v>#REF!</v>
      </c>
      <c r="BT184" s="200" t="e">
        <f>_xlfn.RANK.EQ(FMS_Ranking4[[#This Row],[Log Total Score]],FMS_Ranking4[Log Total Score],0)</f>
        <v>#REF!</v>
      </c>
      <c r="BU184" s="200" t="e">
        <f>_xlfn.XLOOKUP(FMS_Ranking4[[#This Row],[FMS ID]],#REF!,#REF!)</f>
        <v>#REF!</v>
      </c>
      <c r="BV184" s="200">
        <f>FMS_Ranking4[[#This Row],[Region Number]]</f>
        <v>9</v>
      </c>
      <c r="BW184" s="200">
        <f>FMS_Ranking4[[#This Row],[Rank (with ArcSinh normalization of select criteria)]]-FMS_Ranking4[[#This Row],[Rank
(with linear
normalization)]]</f>
        <v>-594</v>
      </c>
      <c r="BX184" s="200" t="e">
        <f>FMS_Ranking4[[#This Row],[Log Rank]]-FMS_Ranking4[[#This Row],[Rank
(with linear
normalization)]]</f>
        <v>#REF!</v>
      </c>
      <c r="BY184" s="200" t="str">
        <f>IF(FMS_Ranking4[[#This Row],[FMS Type]]="Flood Measurement and Warning",FMS_Ranking4[[#This Row],[Rank (with ArcSinh normalization of select criteria)]],"")</f>
        <v/>
      </c>
      <c r="BZ184" s="200" t="str">
        <f>IF(FMS_Ranking4[[#This Row],[FMS Type]]="Regulatory and Guidance",FMS_Ranking4[[#This Row],[Rank (with ArcSinh normalization of select criteria)]],"")</f>
        <v/>
      </c>
      <c r="CA184" s="200" t="str">
        <f>IF(FMS_Ranking4[[#This Row],[FMS Type]]="Education and Outreach",FMS_Ranking4[[#This Row],[Rank (with ArcSinh normalization of select criteria)]],"")</f>
        <v/>
      </c>
      <c r="CB184" s="200" t="str">
        <f>IF(FMS_Ranking4[[#This Row],[FMS Type]]="Property Acquisition and Structural Elevation",FMS_Ranking4[[#This Row],[Rank (with ArcSinh normalization of select criteria)]],"")</f>
        <v/>
      </c>
      <c r="CC184" s="200" t="str">
        <f>IF(FMS_Ranking4[[#This Row],[FMS Type]]="Infrastructure Projects",FMS_Ranking4[[#This Row],[Rank (with ArcSinh normalization of select criteria)]],"")</f>
        <v/>
      </c>
      <c r="CD184" s="200">
        <f>IF(FMS_Ranking4[[#This Row],[FMS Type]]="Other",FMS_Ranking4[[#This Row],[Rank (with ArcSinh normalization of select criteria)]],"")</f>
        <v>175</v>
      </c>
      <c r="CE184" s="201"/>
      <c r="CF184" s="206"/>
      <c r="CG184" s="206"/>
      <c r="CH184" s="206"/>
      <c r="CI184" s="206"/>
      <c r="CJ184" s="206"/>
      <c r="CK184" s="206"/>
      <c r="CL184" s="206"/>
      <c r="CM184" s="206"/>
      <c r="CN184" s="206"/>
      <c r="CO184" s="206"/>
      <c r="CP184" s="206"/>
      <c r="CQ184" s="206"/>
      <c r="CR184" s="206"/>
    </row>
    <row r="185" spans="2:96" ht="120" x14ac:dyDescent="0.25">
      <c r="B185" s="341" t="s">
        <v>2859</v>
      </c>
      <c r="C185" s="246">
        <f>_xlfn.XLOOKUP(FMS_Ranking4[[#This Row],[FMS ID]],FMS_Input[FMS_ID],FMS_Input[RFPG_NUM])</f>
        <v>5</v>
      </c>
      <c r="D185" s="309" t="str">
        <f>_xlfn.XLOOKUP(FMS_Ranking4[[#This Row],[FMS ID]],FMS_Input[FMS_ID],FMS_Input[FMS_NAME])</f>
        <v>City of Tyler Open Channel Improvements</v>
      </c>
      <c r="E185" s="308" t="str">
        <f>_xlfn.XLOOKUP(FMS_Ranking4[[#This Row],[FMS ID]],FMS_Input[FMS_ID],FMS_Input[SPONSOR])</f>
        <v>00003371</v>
      </c>
      <c r="F185" s="309" t="str">
        <f>_xlfn.XLOOKUP(FMS_Ranking4[[#This Row],[FMS ID]],Sponsor[FMS_ID],Sponsor[SPONSOR NAME])</f>
        <v>Tyler</v>
      </c>
      <c r="G185" s="309" t="str">
        <f>_xlfn.XLOOKUP(FMS_Ranking4[[#This Row],[FMS ID]],FMS_Input[FMS_ID],FMS_Input[FMS_DESCR])</f>
        <v>Implement a program to enclose open channels that are contributing to flooding.  Priority locations are: 1) Ashmore subdivision between Ashmore and Salisbury and 2) Fleishel Ave. between 6th and 8th Streets.</v>
      </c>
      <c r="H185" s="248" t="str">
        <f>_xlfn.XLOOKUP(FMS_Ranking4[[#This Row],[FMS ID]],FMS_Input[FMS_ID],FMS_Input[FMS_TYPE])</f>
        <v>Infrastructure Projects</v>
      </c>
      <c r="I185" s="249">
        <f>_xlfn.XLOOKUP(FMS_Ranking4[[#This Row],[FMS ID]],FMS_Input[FMS_ID],FMS_Input[NRNC_COST])</f>
        <v>200000</v>
      </c>
      <c r="J185" s="250">
        <f>_xlfn.XLOOKUP(FMS_Ranking4[[#This Row],[FMS ID]],FMS_Input[FMS_ID],FMS_Input[FMS_COST])</f>
        <v>1500000</v>
      </c>
      <c r="K185" s="251" t="str">
        <f>_xlfn.XLOOKUP(FMS_Ranking4[[#This Row],[FMS ID]],FMS_Input[FMS_ID],FMS_Input[EMER_NEED])</f>
        <v>Yes</v>
      </c>
      <c r="L185" s="252">
        <f t="shared" si="2"/>
        <v>1</v>
      </c>
      <c r="M185" s="253">
        <f>_xlfn.XLOOKUP(FMS_Ranking4[[#This Row],[FMS ID]],FMS_Input[FMS_ID],FMS_Input[STRUCT_100])</f>
        <v>1042</v>
      </c>
      <c r="N185" s="255">
        <f>(ASINH(FMS_Ranking4[[#This Row],[Structure at Risk Raw]]))*(10)/(ASINH(M$4))</f>
        <v>6.0077849327998996</v>
      </c>
      <c r="O185" s="256">
        <f>FMS_Ranking4[[#This Row],[Structures at risk, ArcSinh (0-10)]]*M$5*10</f>
        <v>6.0077849327999004</v>
      </c>
      <c r="P185" s="253">
        <f>_xlfn.XLOOKUP(FMS_Ranking4[[#This Row],[FMS ID]],FMS_Input[FMS_ID],FMS_Input[RES_STRUCT100])</f>
        <v>755</v>
      </c>
      <c r="Q185" s="257">
        <f>ASINH(FMS_Ranking4[[#This Row],[Res Structure Raw]])/Q$4*P$5*100</f>
        <v>0</v>
      </c>
      <c r="R185" s="253">
        <f>_xlfn.XLOOKUP(FMS_Ranking4[[#This Row],[FMS ID]],FMS_Input[FMS_ID],FMS_Input[POP100])</f>
        <v>7482</v>
      </c>
      <c r="S185" s="255">
        <f>(ASINH(FMS_Ranking4[[#This Row],[Pop at Risk Raw]]))*(10)/(ASINH(R$4))</f>
        <v>6.6366914871458231</v>
      </c>
      <c r="T185" s="256">
        <f>FMS_Ranking4[[#This Row],[Population at risk, ArcSinh (0-10)]]*R$5*10</f>
        <v>6.636691487145824</v>
      </c>
      <c r="U185" s="253">
        <f>_xlfn.XLOOKUP(FMS_Ranking4[[#This Row],[FMS ID]],FMS_Input[FMS_ID],FMS_Input[CRITFAC100])</f>
        <v>72</v>
      </c>
      <c r="V185" s="255">
        <f>(ASINH(FMS_Ranking4[[#This Row],[Critical Facilities Raw]]))*(10)/(ASINH(U$4))</f>
        <v>5.8831438435031078</v>
      </c>
      <c r="W185" s="256">
        <f>FMS_Ranking4[[#This Row],[Critical facilities at risk, ArcSinh (0-10)]]*U$5*10</f>
        <v>5.8831438435031078</v>
      </c>
      <c r="X185" s="253">
        <f>_xlfn.XLOOKUP(FMS_Ranking4[[#This Row],[FMS ID]],FMS_Input[FMS_ID],FMS_Input[LWC])</f>
        <v>31</v>
      </c>
      <c r="Y185" s="255">
        <f>(ASINH(FMS_Ranking4[[#This Row],[LWC Raw]]))*(10)/(ASINH(X$4))</f>
        <v>5.5915371579772026</v>
      </c>
      <c r="Z185" s="256">
        <f>FMS_Ranking4[[#This Row],[LWC, ArcSInh (0-10)]]*X$5*10</f>
        <v>5.5915371579772035</v>
      </c>
      <c r="AA185" s="253">
        <f>_xlfn.XLOOKUP(FMS_Ranking4[[#This Row],[FMS ID]],FMS_Input[FMS_ID],FMS_Input[ROADCLS])</f>
        <v>31</v>
      </c>
      <c r="AB185" s="255">
        <f>(ASINH(FMS_Ranking4[[#This Row],[Road Closures Raw]]))*(10)/(ASINH(AA$4))</f>
        <v>4.298302472963389</v>
      </c>
      <c r="AC185" s="256">
        <f>FMS_Ranking4[[#This Row],[Road closures, ArcSinh (0-10)]]*AA$5*10</f>
        <v>2.1491512364816945</v>
      </c>
      <c r="AD185" s="253">
        <f>_xlfn.XLOOKUP(FMS_Ranking4[[#This Row],[FMS ID]],FMS_Input[FMS_ID],FMS_Input[ROAD_MILES100])</f>
        <v>23</v>
      </c>
      <c r="AE185" s="255">
        <f>(ASINH(FMS_Ranking4[[#This Row],[Road Miles Raw]]))*(10)/(ASINH(AD$4))</f>
        <v>4.0807816706333613</v>
      </c>
      <c r="AF185" s="256">
        <f>FMS_Ranking4[[#This Row],[Length of roads at risk, ArcSinh (0-10)]]*AD$5*10</f>
        <v>4.0807816706333613</v>
      </c>
      <c r="AG185" s="253">
        <f>_xlfn.XLOOKUP(FMS_Ranking4[[#This Row],[FMS ID]],FMS_Input[FMS_ID],FMS_Input[FARMACRE100])</f>
        <v>3.937710046768188</v>
      </c>
      <c r="AH185" s="255">
        <f>(ASINH(FMS_Ranking4[[#This Row],[Ag Land Raw]]))*(10)/(ASINH(AG$4))</f>
        <v>1.3508002770017205</v>
      </c>
      <c r="AI185" s="260">
        <f>FMS_Ranking4[[#This Row],[Farm &amp; ranch land, ArcSinh (0-10)]]*AG$5*10</f>
        <v>0.67540013850086023</v>
      </c>
      <c r="AJ185" s="258">
        <f>_xlfn.XLOOKUP(FMS_Ranking4[[#This Row],[FMS ID]],FMS_Input[FMS_ID],FMS_Input[REDSTRUCT100])</f>
        <v>0</v>
      </c>
      <c r="AK185" s="253">
        <f>_xlfn.XLOOKUP(FMS_Ranking4[[#This Row],[FMS ID]],FMS_Input[FMS_ID],FMS_Input[REMSTRC100])</f>
        <v>0</v>
      </c>
      <c r="AL185" s="255">
        <f>(ASINH(FMS_Ranking4[[#This Row],[Structures Removed Raw]]))*(10)/(ASINH(AK$4))</f>
        <v>0</v>
      </c>
      <c r="AM185" s="262">
        <f>FMS_Ranking4[[#This Row],[Structures removed, ArcSinh (0-10)]]*AK$5*10</f>
        <v>0</v>
      </c>
      <c r="AN185" s="253">
        <f>_xlfn.XLOOKUP(FMS_Ranking4[[#This Row],[FMS ID]],FMS_Input[FMS_ID],FMS_Input[REMRESSTRC100])</f>
        <v>0</v>
      </c>
      <c r="AO185" s="261">
        <f>FMS_Ranking4[[#This Row],[ArcSinh Res struct removed 0-10]]*AN$5*10</f>
        <v>0</v>
      </c>
      <c r="AP185" s="260">
        <f>ASINH(FMS_Ranking4[[#This Row],[Residential Structures Removed Raw]])/AP$4*AN$5*100</f>
        <v>0</v>
      </c>
      <c r="AQ185" s="258">
        <f>(ASINH(FMS_Ranking4[[#This Row],[Residential Structures Removed Raw]]))*(10)/(ASINH(AN$4))</f>
        <v>0</v>
      </c>
      <c r="AR185" s="253">
        <f>_xlfn.XLOOKUP(FMS_Ranking4[[#This Row],[FMS ID]],FMS_Input[FMS_ID],FMS_Input[REMPOP100])</f>
        <v>0</v>
      </c>
      <c r="AS185" s="255">
        <f>(ASINH(FMS_Ranking4[[#This Row],[Removed Pop Raw]]))*(10)/(ASINH(AR$4))</f>
        <v>0</v>
      </c>
      <c r="AT185" s="262">
        <f>FMS_Ranking4[[#This Row],[Removed population, ArcSinh (0-10)]]*AR$5*10</f>
        <v>0</v>
      </c>
      <c r="AU185" s="264">
        <f>_xlfn.XLOOKUP(FMS_Ranking4[[#This Row],[FMS ID]],FMS_Input[FMS_ID],FMS_Input[REMCRITFAC100])</f>
        <v>0</v>
      </c>
      <c r="AV185" s="264">
        <f>_xlfn.XLOOKUP(FMS_Ranking4[[#This Row],[FMS ID]],FMS_Input[FMS_ID],FMS_Input[REMLWC100])</f>
        <v>0</v>
      </c>
      <c r="AW185" s="264">
        <f>_xlfn.XLOOKUP(FMS_Ranking4[[#This Row],[FMS ID]],FMS_Input[FMS_ID],FMS_Input[REMROADCLS])</f>
        <v>0</v>
      </c>
      <c r="AX185" s="264">
        <f>_xlfn.XLOOKUP(FMS_Ranking4[[#This Row],[FMS ID]],FMS_Input[FMS_ID],FMS_Input[REMFRMACRE100])</f>
        <v>0</v>
      </c>
      <c r="AY185" s="258">
        <f>_xlfn.XLOOKUP(FMS_Ranking4[[#This Row],[FMS ID]],FMS_Input[FMS_ID],FMS_Input[COSTSTRUCT])</f>
        <v>0</v>
      </c>
      <c r="AZ185" s="253">
        <f>_xlfn.XLOOKUP(FMS_Ranking4[[#This Row],[FMS ID]],FMS_Input[FMS_ID],FMS_Input[NATURE])</f>
        <v>0</v>
      </c>
      <c r="BA185" s="262">
        <f>(((FMS_Ranking4[[#This Row],[% NBS Raw]]/AZ$4)*100)*AZ$5)</f>
        <v>0</v>
      </c>
      <c r="BB185" s="251" t="str">
        <f>_xlfn.XLOOKUP(FMS_Ranking4[[#This Row],[FMS ID]],FMS_Input[FMS_ID],FMS_Input[WATER_SUP])</f>
        <v>No</v>
      </c>
      <c r="BC185" s="265">
        <f>IF(FMS_Ranking4[[#This Row],[Water Supply Raw]]="Yes",10,0)</f>
        <v>0</v>
      </c>
      <c r="BD185" s="266">
        <f>_xlfn.XLOOKUP(FMS_Ranking4[[#This Row],[FMS Type]],FMS_TYPE[FMS_Type],FMS_TYPE[Score])</f>
        <v>4</v>
      </c>
      <c r="BE185" s="267">
        <f>FMS_Ranking4[[#This Row],[FMS_Type Score]]*$BD$5*10</f>
        <v>1</v>
      </c>
      <c r="BF18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0.89335362394001905</v>
      </c>
      <c r="BG185" s="321">
        <f>_xlfn.RANK.EQ(BF185,$BF$8:$BF$870,0)+COUNTIF($BF$8:BF185,BF185)-1</f>
        <v>152</v>
      </c>
      <c r="BH185" s="294">
        <f>(((FMS_Ranking4[[#This Row],[Structures Removed Raw]]/AK$4)*100)*AK$5)+(((FMS_Ranking4[[#This Row],[Removed Pop Raw]]/AR$4)*100)*AR$5)</f>
        <v>0</v>
      </c>
      <c r="BI18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1.893353623940019</v>
      </c>
      <c r="BJ185" s="251">
        <f>_xlfn.RANK.EQ(FMS_Ranking4[[#This Row],[Total Score 
(with linear
normalization)]],FMS_Ranking4[Total Score 
(with linear
normalization)],0)</f>
        <v>529</v>
      </c>
      <c r="BK185" s="251" t="e">
        <f>_xlfn.XLOOKUP(FMS_Ranking4[[#This Row],[FMS ID]],#REF!,#REF!)</f>
        <v>#REF!</v>
      </c>
      <c r="BL18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31.02449046704195</v>
      </c>
      <c r="BM185" s="324">
        <f>FMS_Ranking4[[#This Row],[ArcSinh Score Based on Normalized Reported Factors]]+FMS_Ranking4[[#This Row],[% NBS Score (Normalized)]]+(FMS_Ranking4[[#This Row],[Water Supply Score (Normalized)]]*10*$BB$5)+FMS_Ranking4[[#This Row],[FMS_Type Score Weighted]]</f>
        <v>32.02449046704195</v>
      </c>
      <c r="BN185" s="251">
        <f>_xlfn.RANK.EQ(FMS_Ranking4[[#This Row],[Total Score (with ArcSinh normalization of select criteria)]],FMS_Ranking4[Total Score (with ArcSinh normalization of select criteria)],0)</f>
        <v>178</v>
      </c>
      <c r="BO185" s="270" t="str">
        <f>_xlfn.XLOOKUP(FMS_Ranking4[[#This Row],[FMS ID]],FMS_Input[FMS_ID],FMS_Input[FMS_RANK_YEAR])</f>
        <v>2023 Amended Plan</v>
      </c>
      <c r="BP185" s="204">
        <f>_xlfn.XLOOKUP(FMS_Ranking4[[#This Row],[FMS ID]],Prev_Rank[FMS ID],Prev_Rank[Prev Rank])</f>
        <v>151</v>
      </c>
      <c r="BQ185" s="251" t="e">
        <f>_xlfn.XLOOKUP(FMS_Ranking4[[#This Row],[FMS ID]],#REF!,#REF!)</f>
        <v>#REF!</v>
      </c>
      <c r="BR185" s="199" t="e">
        <f>SUM(#REF!,#REF!,#REF!,#REF!,#REF!,#REF!,#REF!,#REF!,#REF!,FMS_Ranking4[[#This Row],[ArcSinh Res struct removed 0-10]],#REF!)</f>
        <v>#REF!</v>
      </c>
      <c r="BS185" s="199" t="e">
        <f>FMS_Ranking4[[#This Row],[Log Score Based on Normalized Reported Factors]]+FMS_Ranking4[[#This Row],[% NBS Score (Normalized)]]+(FMS_Ranking4[[#This Row],[Water Supply Score (Normalized)]]*10*$BB$5)+(FMS_Ranking4[[#This Row],[FMS_Type Score Weighted]])</f>
        <v>#REF!</v>
      </c>
      <c r="BT185" s="200" t="e">
        <f>_xlfn.RANK.EQ(FMS_Ranking4[[#This Row],[Log Total Score]],FMS_Ranking4[Log Total Score],0)</f>
        <v>#REF!</v>
      </c>
      <c r="BU185" s="200" t="e">
        <f>_xlfn.XLOOKUP(FMS_Ranking4[[#This Row],[FMS ID]],#REF!,#REF!)</f>
        <v>#REF!</v>
      </c>
      <c r="BV185" s="200">
        <f>FMS_Ranking4[[#This Row],[Region Number]]</f>
        <v>5</v>
      </c>
      <c r="BW185" s="200">
        <f>FMS_Ranking4[[#This Row],[Rank (with ArcSinh normalization of select criteria)]]-FMS_Ranking4[[#This Row],[Rank
(with linear
normalization)]]</f>
        <v>-351</v>
      </c>
      <c r="BX185" s="200" t="e">
        <f>FMS_Ranking4[[#This Row],[Log Rank]]-FMS_Ranking4[[#This Row],[Rank
(with linear
normalization)]]</f>
        <v>#REF!</v>
      </c>
      <c r="BY185" s="200" t="str">
        <f>IF(FMS_Ranking4[[#This Row],[FMS Type]]="Flood Measurement and Warning",FMS_Ranking4[[#This Row],[Rank (with ArcSinh normalization of select criteria)]],"")</f>
        <v/>
      </c>
      <c r="BZ185" s="200" t="str">
        <f>IF(FMS_Ranking4[[#This Row],[FMS Type]]="Regulatory and Guidance",FMS_Ranking4[[#This Row],[Rank (with ArcSinh normalization of select criteria)]],"")</f>
        <v/>
      </c>
      <c r="CA185" s="200" t="str">
        <f>IF(FMS_Ranking4[[#This Row],[FMS Type]]="Education and Outreach",FMS_Ranking4[[#This Row],[Rank (with ArcSinh normalization of select criteria)]],"")</f>
        <v/>
      </c>
      <c r="CB185" s="200" t="str">
        <f>IF(FMS_Ranking4[[#This Row],[FMS Type]]="Property Acquisition and Structural Elevation",FMS_Ranking4[[#This Row],[Rank (with ArcSinh normalization of select criteria)]],"")</f>
        <v/>
      </c>
      <c r="CC185" s="200">
        <f>IF(FMS_Ranking4[[#This Row],[FMS Type]]="Infrastructure Projects",FMS_Ranking4[[#This Row],[Rank (with ArcSinh normalization of select criteria)]],"")</f>
        <v>178</v>
      </c>
      <c r="CD185" s="200" t="str">
        <f>IF(FMS_Ranking4[[#This Row],[FMS Type]]="Other",FMS_Ranking4[[#This Row],[Rank (with ArcSinh normalization of select criteria)]],"")</f>
        <v/>
      </c>
      <c r="CE185" s="201"/>
      <c r="CF185" s="206"/>
      <c r="CG185" s="206"/>
      <c r="CH185" s="206"/>
      <c r="CI185" s="206"/>
      <c r="CJ185" s="206"/>
      <c r="CK185" s="206"/>
      <c r="CL185" s="206"/>
      <c r="CM185" s="206"/>
      <c r="CN185" s="206"/>
      <c r="CO185" s="206"/>
      <c r="CP185" s="206"/>
      <c r="CQ185" s="206"/>
      <c r="CR185" s="206"/>
    </row>
    <row r="186" spans="2:96" ht="105" x14ac:dyDescent="0.25">
      <c r="B186" s="341" t="s">
        <v>1850</v>
      </c>
      <c r="C186" s="246">
        <f>_xlfn.XLOOKUP(FMS_Ranking4[[#This Row],[FMS ID]],FMS_Input[FMS_ID],FMS_Input[RFPG_NUM])</f>
        <v>3</v>
      </c>
      <c r="D186" s="309" t="str">
        <f>_xlfn.XLOOKUP(FMS_Ranking4[[#This Row],[FMS ID]],FMS_Input[FMS_ID],FMS_Input[FMS_NAME])</f>
        <v xml:space="preserve">Kaufman County Agreement to Monitor High Hazard Dams </v>
      </c>
      <c r="E186" s="308" t="str">
        <f>_xlfn.XLOOKUP(FMS_Ranking4[[#This Row],[FMS ID]],FMS_Input[FMS_ID],FMS_Input[SPONSOR])</f>
        <v>Kaufman County, Terrell, Kemp, Kaufman</v>
      </c>
      <c r="F186" s="309" t="str">
        <f>_xlfn.XLOOKUP(FMS_Ranking4[[#This Row],[FMS ID]],Sponsor[FMS_ID],Sponsor[SPONSOR NAME])</f>
        <v>Kaufman County, Terrell, Kemp, Kaufman</v>
      </c>
      <c r="G186" s="309" t="str">
        <f>_xlfn.XLOOKUP(FMS_Ranking4[[#This Row],[FMS ID]],FMS_Input[FMS_ID],FMS_Input[FMS_DESCR])</f>
        <v>Develop a mutual aid agreement with the City of Terrell, City of Kemp, City of Kaufman to monitor High hazard dams with automated monitor to minimize potential dam failure of the structure</v>
      </c>
      <c r="H186" s="248" t="str">
        <f>_xlfn.XLOOKUP(FMS_Ranking4[[#This Row],[FMS ID]],FMS_Input[FMS_ID],FMS_Input[FMS_TYPE])</f>
        <v>Other</v>
      </c>
      <c r="I186" s="249">
        <f>_xlfn.XLOOKUP(FMS_Ranking4[[#This Row],[FMS ID]],FMS_Input[FMS_ID],FMS_Input[NRNC_COST])</f>
        <v>300000</v>
      </c>
      <c r="J186" s="250">
        <f>_xlfn.XLOOKUP(FMS_Ranking4[[#This Row],[FMS ID]],FMS_Input[FMS_ID],FMS_Input[FMS_COST])</f>
        <v>300000</v>
      </c>
      <c r="K186" s="251" t="str">
        <f>_xlfn.XLOOKUP(FMS_Ranking4[[#This Row],[FMS ID]],FMS_Input[FMS_ID],FMS_Input[EMER_NEED])</f>
        <v>No</v>
      </c>
      <c r="L186" s="252">
        <f t="shared" si="2"/>
        <v>0</v>
      </c>
      <c r="M186" s="253">
        <f>_xlfn.XLOOKUP(FMS_Ranking4[[#This Row],[FMS ID]],FMS_Input[FMS_ID],FMS_Input[STRUCT_100])</f>
        <v>2086</v>
      </c>
      <c r="N186" s="255">
        <f>(ASINH(FMS_Ranking4[[#This Row],[Structure at Risk Raw]]))*(10)/(ASINH(M$4))</f>
        <v>6.5534557857347613</v>
      </c>
      <c r="O186" s="256">
        <f>FMS_Ranking4[[#This Row],[Structures at risk, ArcSinh (0-10)]]*M$5*10</f>
        <v>6.5534557857347622</v>
      </c>
      <c r="P186" s="253">
        <f>_xlfn.XLOOKUP(FMS_Ranking4[[#This Row],[FMS ID]],FMS_Input[FMS_ID],FMS_Input[RES_STRUCT100])</f>
        <v>1672</v>
      </c>
      <c r="Q186" s="257">
        <f>ASINH(FMS_Ranking4[[#This Row],[Res Structure Raw]])/Q$4*P$5*100</f>
        <v>0</v>
      </c>
      <c r="R186" s="253">
        <f>_xlfn.XLOOKUP(FMS_Ranking4[[#This Row],[FMS ID]],FMS_Input[FMS_ID],FMS_Input[POP100])</f>
        <v>3820</v>
      </c>
      <c r="S186" s="259">
        <f>(ASINH(FMS_Ranking4[[#This Row],[Pop at Risk Raw]]))*(10)/(ASINH(R$4))</f>
        <v>6.1725983818064165</v>
      </c>
      <c r="T186" s="256">
        <f>FMS_Ranking4[[#This Row],[Population at risk, ArcSinh (0-10)]]*R$5*10</f>
        <v>6.1725983818064165</v>
      </c>
      <c r="U186" s="253">
        <f>_xlfn.XLOOKUP(FMS_Ranking4[[#This Row],[FMS ID]],FMS_Input[FMS_ID],FMS_Input[CRITFAC100])</f>
        <v>13</v>
      </c>
      <c r="V186" s="259">
        <f>(ASINH(FMS_Ranking4[[#This Row],[Critical Facilities Raw]]))*(10)/(ASINH(U$4))</f>
        <v>3.8585650997055194</v>
      </c>
      <c r="W186" s="256">
        <f>FMS_Ranking4[[#This Row],[Critical facilities at risk, ArcSinh (0-10)]]*U$5*10</f>
        <v>3.8585650997055199</v>
      </c>
      <c r="X186" s="253">
        <f>_xlfn.XLOOKUP(FMS_Ranking4[[#This Row],[FMS ID]],FMS_Input[FMS_ID],FMS_Input[LWC])</f>
        <v>16</v>
      </c>
      <c r="Y186" s="259">
        <f>(ASINH(FMS_Ranking4[[#This Row],[LWC Raw]]))*(10)/(ASINH(X$4))</f>
        <v>4.6964844083783914</v>
      </c>
      <c r="Z186" s="256">
        <f>FMS_Ranking4[[#This Row],[LWC, ArcSInh (0-10)]]*X$5*10</f>
        <v>4.6964844083783923</v>
      </c>
      <c r="AA186" s="253">
        <f>_xlfn.XLOOKUP(FMS_Ranking4[[#This Row],[FMS ID]],FMS_Input[FMS_ID],FMS_Input[ROADCLS])</f>
        <v>0</v>
      </c>
      <c r="AB186" s="255">
        <f>(ASINH(FMS_Ranking4[[#This Row],[Road Closures Raw]]))*(10)/(ASINH(AA$4))</f>
        <v>0</v>
      </c>
      <c r="AC186" s="256">
        <f>FMS_Ranking4[[#This Row],[Road closures, ArcSinh (0-10)]]*AA$5*10</f>
        <v>0</v>
      </c>
      <c r="AD186" s="253">
        <f>_xlfn.XLOOKUP(FMS_Ranking4[[#This Row],[FMS ID]],FMS_Input[FMS_ID],FMS_Input[ROAD_MILES100])</f>
        <v>148</v>
      </c>
      <c r="AE186" s="259">
        <f>(ASINH(FMS_Ranking4[[#This Row],[Road Miles Raw]]))*(10)/(ASINH(AD$4))</f>
        <v>6.0643697858517598</v>
      </c>
      <c r="AF186" s="256">
        <f>FMS_Ranking4[[#This Row],[Length of roads at risk, ArcSinh (0-10)]]*AD$5*10</f>
        <v>6.0643697858517598</v>
      </c>
      <c r="AG186" s="253">
        <f>_xlfn.XLOOKUP(FMS_Ranking4[[#This Row],[FMS ID]],FMS_Input[FMS_ID],FMS_Input[FARMACRE100])</f>
        <v>88117.9765625</v>
      </c>
      <c r="AH186" s="255">
        <f>(ASINH(FMS_Ranking4[[#This Row],[Ag Land Raw]]))*(10)/(ASINH(AG$4))</f>
        <v>7.8466706878409394</v>
      </c>
      <c r="AI186" s="260">
        <f>FMS_Ranking4[[#This Row],[Farm &amp; ranch land, ArcSinh (0-10)]]*AG$5*10</f>
        <v>3.9233353439204697</v>
      </c>
      <c r="AJ186" s="258">
        <f>_xlfn.XLOOKUP(FMS_Ranking4[[#This Row],[FMS ID]],FMS_Input[FMS_ID],FMS_Input[REDSTRUCT100])</f>
        <v>0</v>
      </c>
      <c r="AK186" s="253">
        <f>_xlfn.XLOOKUP(FMS_Ranking4[[#This Row],[FMS ID]],FMS_Input[FMS_ID],FMS_Input[REMSTRC100])</f>
        <v>0</v>
      </c>
      <c r="AL186" s="259">
        <f>(ASINH(FMS_Ranking4[[#This Row],[Structures Removed Raw]]))*(10)/(ASINH(AK$4))</f>
        <v>0</v>
      </c>
      <c r="AM186" s="262">
        <f>FMS_Ranking4[[#This Row],[Structures removed, ArcSinh (0-10)]]*AK$5*10</f>
        <v>0</v>
      </c>
      <c r="AN186" s="253">
        <f>_xlfn.XLOOKUP(FMS_Ranking4[[#This Row],[FMS ID]],FMS_Input[FMS_ID],FMS_Input[REMRESSTRC100])</f>
        <v>0</v>
      </c>
      <c r="AO186" s="261">
        <f>FMS_Ranking4[[#This Row],[ArcSinh Res struct removed 0-10]]*AN$5*10</f>
        <v>0</v>
      </c>
      <c r="AP186" s="260">
        <f>ASINH(FMS_Ranking4[[#This Row],[Residential Structures Removed Raw]])/AP$4*AN$5*100</f>
        <v>0</v>
      </c>
      <c r="AQ186" s="254">
        <f>(ASINH(FMS_Ranking4[[#This Row],[Residential Structures Removed Raw]]))*(10)/(ASINH(AN$4))</f>
        <v>0</v>
      </c>
      <c r="AR186" s="253">
        <f>_xlfn.XLOOKUP(FMS_Ranking4[[#This Row],[FMS ID]],FMS_Input[FMS_ID],FMS_Input[REMPOP100])</f>
        <v>0</v>
      </c>
      <c r="AS186" s="259">
        <f>(ASINH(FMS_Ranking4[[#This Row],[Removed Pop Raw]]))*(10)/(ASINH(AR$4))</f>
        <v>0</v>
      </c>
      <c r="AT186" s="262">
        <f>FMS_Ranking4[[#This Row],[Removed population, ArcSinh (0-10)]]*AR$5*10</f>
        <v>0</v>
      </c>
      <c r="AU186" s="264">
        <f>_xlfn.XLOOKUP(FMS_Ranking4[[#This Row],[FMS ID]],FMS_Input[FMS_ID],FMS_Input[REMCRITFAC100])</f>
        <v>0</v>
      </c>
      <c r="AV186" s="264">
        <f>_xlfn.XLOOKUP(FMS_Ranking4[[#This Row],[FMS ID]],FMS_Input[FMS_ID],FMS_Input[REMLWC100])</f>
        <v>0</v>
      </c>
      <c r="AW186" s="264">
        <f>_xlfn.XLOOKUP(FMS_Ranking4[[#This Row],[FMS ID]],FMS_Input[FMS_ID],FMS_Input[REMROADCLS])</f>
        <v>0</v>
      </c>
      <c r="AX186" s="264">
        <f>_xlfn.XLOOKUP(FMS_Ranking4[[#This Row],[FMS ID]],FMS_Input[FMS_ID],FMS_Input[REMFRMACRE100])</f>
        <v>0</v>
      </c>
      <c r="AY186" s="258">
        <f>_xlfn.XLOOKUP(FMS_Ranking4[[#This Row],[FMS ID]],FMS_Input[FMS_ID],FMS_Input[COSTSTRUCT])</f>
        <v>0</v>
      </c>
      <c r="AZ186" s="253">
        <f>_xlfn.XLOOKUP(FMS_Ranking4[[#This Row],[FMS ID]],FMS_Input[FMS_ID],FMS_Input[NATURE])</f>
        <v>0</v>
      </c>
      <c r="BA186" s="262">
        <f>(((FMS_Ranking4[[#This Row],[% NBS Raw]]/AZ$4)*100)*AZ$5)</f>
        <v>0</v>
      </c>
      <c r="BB186" s="251" t="str">
        <f>_xlfn.XLOOKUP(FMS_Ranking4[[#This Row],[FMS ID]],FMS_Input[FMS_ID],FMS_Input[WATER_SUP])</f>
        <v>No</v>
      </c>
      <c r="BC186" s="265">
        <f>IF(FMS_Ranking4[[#This Row],[Water Supply Raw]]="Yes",10,0)</f>
        <v>0</v>
      </c>
      <c r="BD186" s="266">
        <f>_xlfn.XLOOKUP(FMS_Ranking4[[#This Row],[FMS Type]],FMS_TYPE[FMS_Type],FMS_TYPE[Score])</f>
        <v>2</v>
      </c>
      <c r="BE186" s="267">
        <f>FMS_Ranking4[[#This Row],[FMS_Type Score]]*$BD$5*10</f>
        <v>0.5</v>
      </c>
      <c r="BF18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0.84951729337288628</v>
      </c>
      <c r="BG186" s="271">
        <f>_xlfn.RANK.EQ(BF186,$BF$8:$BF$870,0)+COUNTIF($BF$8:BF186,BF186)-1</f>
        <v>159</v>
      </c>
      <c r="BH186" s="268">
        <f>(((FMS_Ranking4[[#This Row],[Structures Removed Raw]]/AK$4)*100)*AK$5)+(((FMS_Ranking4[[#This Row],[Removed Pop Raw]]/AR$4)*100)*AR$5)</f>
        <v>0</v>
      </c>
      <c r="BI18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1.3495172933728863</v>
      </c>
      <c r="BJ186" s="205">
        <f>_xlfn.RANK.EQ(FMS_Ranking4[[#This Row],[Total Score 
(with linear
normalization)]],FMS_Ranking4[Total Score 
(with linear
normalization)],0)</f>
        <v>624</v>
      </c>
      <c r="BK186" s="205" t="e">
        <f>_xlfn.XLOOKUP(FMS_Ranking4[[#This Row],[FMS ID]],#REF!,#REF!)</f>
        <v>#REF!</v>
      </c>
      <c r="BL18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31.26880880539732</v>
      </c>
      <c r="BM186" s="272">
        <f>FMS_Ranking4[[#This Row],[ArcSinh Score Based on Normalized Reported Factors]]+FMS_Ranking4[[#This Row],[% NBS Score (Normalized)]]+(FMS_Ranking4[[#This Row],[Water Supply Score (Normalized)]]*10*$BB$5)+FMS_Ranking4[[#This Row],[FMS_Type Score Weighted]]</f>
        <v>31.76880880539732</v>
      </c>
      <c r="BN186" s="205">
        <f>_xlfn.RANK.EQ(FMS_Ranking4[[#This Row],[Total Score (with ArcSinh normalization of select criteria)]],FMS_Ranking4[Total Score (with ArcSinh normalization of select criteria)],0)</f>
        <v>179</v>
      </c>
      <c r="BO186" s="270" t="str">
        <f>_xlfn.XLOOKUP(FMS_Ranking4[[#This Row],[FMS ID]],FMS_Input[FMS_ID],FMS_Input[FMS_RANK_YEAR])</f>
        <v>2023 Amended Plan</v>
      </c>
      <c r="BP186" s="204">
        <f>_xlfn.XLOOKUP(FMS_Ranking4[[#This Row],[FMS ID]],Prev_Rank[FMS ID],Prev_Rank[Prev Rank])</f>
        <v>158</v>
      </c>
      <c r="BQ186" s="205" t="e">
        <f>_xlfn.XLOOKUP(FMS_Ranking4[[#This Row],[FMS ID]],#REF!,#REF!)</f>
        <v>#REF!</v>
      </c>
      <c r="BR186" s="199" t="e">
        <f>SUM(#REF!,#REF!,#REF!,#REF!,#REF!,#REF!,#REF!,#REF!,#REF!,FMS_Ranking4[[#This Row],[ArcSinh Res struct removed 0-10]],#REF!)</f>
        <v>#REF!</v>
      </c>
      <c r="BS186" s="199" t="e">
        <f>FMS_Ranking4[[#This Row],[Log Score Based on Normalized Reported Factors]]+FMS_Ranking4[[#This Row],[% NBS Score (Normalized)]]+(FMS_Ranking4[[#This Row],[Water Supply Score (Normalized)]]*10*$BB$5)+(FMS_Ranking4[[#This Row],[FMS_Type Score Weighted]])</f>
        <v>#REF!</v>
      </c>
      <c r="BT186" s="200" t="e">
        <f>_xlfn.RANK.EQ(FMS_Ranking4[[#This Row],[Log Total Score]],FMS_Ranking4[Log Total Score],0)</f>
        <v>#REF!</v>
      </c>
      <c r="BU186" s="200" t="e">
        <f>_xlfn.XLOOKUP(FMS_Ranking4[[#This Row],[FMS ID]],#REF!,#REF!)</f>
        <v>#REF!</v>
      </c>
      <c r="BV186" s="200">
        <f>FMS_Ranking4[[#This Row],[Region Number]]</f>
        <v>3</v>
      </c>
      <c r="BW186" s="200">
        <f>FMS_Ranking4[[#This Row],[Rank (with ArcSinh normalization of select criteria)]]-FMS_Ranking4[[#This Row],[Rank
(with linear
normalization)]]</f>
        <v>-445</v>
      </c>
      <c r="BX186" s="200" t="e">
        <f>FMS_Ranking4[[#This Row],[Log Rank]]-FMS_Ranking4[[#This Row],[Rank
(with linear
normalization)]]</f>
        <v>#REF!</v>
      </c>
      <c r="BY186" s="200" t="str">
        <f>IF(FMS_Ranking4[[#This Row],[FMS Type]]="Flood Measurement and Warning",FMS_Ranking4[[#This Row],[Rank (with ArcSinh normalization of select criteria)]],"")</f>
        <v/>
      </c>
      <c r="BZ186" s="200" t="str">
        <f>IF(FMS_Ranking4[[#This Row],[FMS Type]]="Regulatory and Guidance",FMS_Ranking4[[#This Row],[Rank (with ArcSinh normalization of select criteria)]],"")</f>
        <v/>
      </c>
      <c r="CA186" s="200" t="str">
        <f>IF(FMS_Ranking4[[#This Row],[FMS Type]]="Education and Outreach",FMS_Ranking4[[#This Row],[Rank (with ArcSinh normalization of select criteria)]],"")</f>
        <v/>
      </c>
      <c r="CB186" s="200" t="str">
        <f>IF(FMS_Ranking4[[#This Row],[FMS Type]]="Property Acquisition and Structural Elevation",FMS_Ranking4[[#This Row],[Rank (with ArcSinh normalization of select criteria)]],"")</f>
        <v/>
      </c>
      <c r="CC186" s="200" t="str">
        <f>IF(FMS_Ranking4[[#This Row],[FMS Type]]="Infrastructure Projects",FMS_Ranking4[[#This Row],[Rank (with ArcSinh normalization of select criteria)]],"")</f>
        <v/>
      </c>
      <c r="CD186" s="200">
        <f>IF(FMS_Ranking4[[#This Row],[FMS Type]]="Other",FMS_Ranking4[[#This Row],[Rank (with ArcSinh normalization of select criteria)]],"")</f>
        <v>179</v>
      </c>
      <c r="CE186" s="201"/>
      <c r="CF186" s="206"/>
      <c r="CG186" s="206"/>
      <c r="CH186" s="206"/>
      <c r="CI186" s="206"/>
      <c r="CJ186" s="206"/>
      <c r="CK186" s="206"/>
      <c r="CL186" s="206"/>
      <c r="CM186" s="206"/>
      <c r="CN186" s="206"/>
      <c r="CO186" s="206"/>
      <c r="CP186" s="206"/>
      <c r="CQ186" s="206"/>
      <c r="CR186" s="206"/>
    </row>
    <row r="187" spans="2:96" ht="45" x14ac:dyDescent="0.25">
      <c r="B187" s="341" t="s">
        <v>4319</v>
      </c>
      <c r="C187" s="246">
        <f>_xlfn.XLOOKUP(FMS_Ranking4[[#This Row],[FMS ID]],FMS_Input[FMS_ID],FMS_Input[RFPG_NUM])</f>
        <v>15</v>
      </c>
      <c r="D187" s="309" t="str">
        <f>_xlfn.XLOOKUP(FMS_Ranking4[[#This Row],[FMS ID]],FMS_Input[FMS_ID],FMS_Input[FMS_NAME])</f>
        <v>City of Mission - planning, operation &amp; maintenance</v>
      </c>
      <c r="E187" s="308" t="str">
        <f>_xlfn.XLOOKUP(FMS_Ranking4[[#This Row],[FMS ID]],FMS_Input[FMS_ID],FMS_Input[SPONSOR])</f>
        <v>15000085</v>
      </c>
      <c r="F187" s="309" t="str">
        <f>_xlfn.XLOOKUP(FMS_Ranking4[[#This Row],[FMS ID]],Sponsor[FMS_ID],Sponsor[SPONSOR NAME])</f>
        <v>Mission</v>
      </c>
      <c r="G187" s="309" t="str">
        <f>_xlfn.XLOOKUP(FMS_Ranking4[[#This Row],[FMS ID]],FMS_Input[FMS_ID],FMS_Input[FMS_DESCR])</f>
        <v>Develop and Implement a planning, operation &amp; Maintenance plan</v>
      </c>
      <c r="H187" s="248" t="str">
        <f>_xlfn.XLOOKUP(FMS_Ranking4[[#This Row],[FMS ID]],FMS_Input[FMS_ID],FMS_Input[FMS_TYPE])</f>
        <v>Flood Measurement and Warning</v>
      </c>
      <c r="I187" s="249">
        <f>_xlfn.XLOOKUP(FMS_Ranking4[[#This Row],[FMS ID]],FMS_Input[FMS_ID],FMS_Input[NRNC_COST])</f>
        <v>600000</v>
      </c>
      <c r="J187" s="250">
        <f>_xlfn.XLOOKUP(FMS_Ranking4[[#This Row],[FMS ID]],FMS_Input[FMS_ID],FMS_Input[FMS_COST])</f>
        <v>5000000</v>
      </c>
      <c r="K187" s="251" t="str">
        <f>_xlfn.XLOOKUP(FMS_Ranking4[[#This Row],[FMS ID]],FMS_Input[FMS_ID],FMS_Input[EMER_NEED])</f>
        <v>Yes</v>
      </c>
      <c r="L187" s="252">
        <f t="shared" si="2"/>
        <v>1</v>
      </c>
      <c r="M187" s="253">
        <f>_xlfn.XLOOKUP(FMS_Ranking4[[#This Row],[FMS ID]],FMS_Input[FMS_ID],FMS_Input[STRUCT_100])</f>
        <v>19516</v>
      </c>
      <c r="N187" s="255">
        <f>(ASINH(FMS_Ranking4[[#This Row],[Structure at Risk Raw]]))*(10)/(ASINH(M$4))</f>
        <v>8.3112738853272834</v>
      </c>
      <c r="O187" s="256">
        <f>FMS_Ranking4[[#This Row],[Structures at risk, ArcSinh (0-10)]]*M$5*10</f>
        <v>8.3112738853272834</v>
      </c>
      <c r="P187" s="253">
        <f>_xlfn.XLOOKUP(FMS_Ranking4[[#This Row],[FMS ID]],FMS_Input[FMS_ID],FMS_Input[RES_STRUCT100])</f>
        <v>16701</v>
      </c>
      <c r="Q187" s="257">
        <f>ASINH(FMS_Ranking4[[#This Row],[Res Structure Raw]])/Q$4*P$5*100</f>
        <v>0</v>
      </c>
      <c r="R187" s="253">
        <f>_xlfn.XLOOKUP(FMS_Ranking4[[#This Row],[FMS ID]],FMS_Input[FMS_ID],FMS_Input[POP100])</f>
        <v>63925</v>
      </c>
      <c r="S187" s="259">
        <f>(ASINH(FMS_Ranking4[[#This Row],[Pop at Risk Raw]]))*(10)/(ASINH(R$4))</f>
        <v>8.1176551027546733</v>
      </c>
      <c r="T187" s="256">
        <f>FMS_Ranking4[[#This Row],[Population at risk, ArcSinh (0-10)]]*R$5*10</f>
        <v>8.1176551027546733</v>
      </c>
      <c r="U187" s="253">
        <f>_xlfn.XLOOKUP(FMS_Ranking4[[#This Row],[FMS ID]],FMS_Input[FMS_ID],FMS_Input[CRITFAC100])</f>
        <v>6</v>
      </c>
      <c r="V187" s="259">
        <f>(ASINH(FMS_Ranking4[[#This Row],[Critical Facilities Raw]]))*(10)/(ASINH(U$4))</f>
        <v>2.9496796311809068</v>
      </c>
      <c r="W187" s="256">
        <f>FMS_Ranking4[[#This Row],[Critical facilities at risk, ArcSinh (0-10)]]*U$5*10</f>
        <v>2.9496796311809073</v>
      </c>
      <c r="X187" s="253">
        <f>_xlfn.XLOOKUP(FMS_Ranking4[[#This Row],[FMS ID]],FMS_Input[FMS_ID],FMS_Input[LWC])</f>
        <v>0</v>
      </c>
      <c r="Y187" s="259">
        <f>(ASINH(FMS_Ranking4[[#This Row],[LWC Raw]]))*(10)/(ASINH(X$4))</f>
        <v>0</v>
      </c>
      <c r="Z187" s="256">
        <f>FMS_Ranking4[[#This Row],[LWC, ArcSInh (0-10)]]*X$5*10</f>
        <v>0</v>
      </c>
      <c r="AA187" s="253">
        <f>_xlfn.XLOOKUP(FMS_Ranking4[[#This Row],[FMS ID]],FMS_Input[FMS_ID],FMS_Input[ROADCLS])</f>
        <v>0</v>
      </c>
      <c r="AB187" s="255">
        <f>(ASINH(FMS_Ranking4[[#This Row],[Road Closures Raw]]))*(10)/(ASINH(AA$4))</f>
        <v>0</v>
      </c>
      <c r="AC187" s="256">
        <f>FMS_Ranking4[[#This Row],[Road closures, ArcSinh (0-10)]]*AA$5*10</f>
        <v>0</v>
      </c>
      <c r="AD187" s="253">
        <f>_xlfn.XLOOKUP(FMS_Ranking4[[#This Row],[FMS ID]],FMS_Input[FMS_ID],FMS_Input[ROAD_MILES100])</f>
        <v>301</v>
      </c>
      <c r="AE187" s="259">
        <f>(ASINH(FMS_Ranking4[[#This Row],[Road Miles Raw]]))*(10)/(ASINH(AD$4))</f>
        <v>6.8209165114123014</v>
      </c>
      <c r="AF187" s="256">
        <f>FMS_Ranking4[[#This Row],[Length of roads at risk, ArcSinh (0-10)]]*AD$5*10</f>
        <v>6.8209165114123014</v>
      </c>
      <c r="AG187" s="253">
        <f>_xlfn.XLOOKUP(FMS_Ranking4[[#This Row],[FMS ID]],FMS_Input[FMS_ID],FMS_Input[FARMACRE100])</f>
        <v>6278.4970703125</v>
      </c>
      <c r="AH187" s="255">
        <f>(ASINH(FMS_Ranking4[[#This Row],[Ag Land Raw]]))*(10)/(ASINH(AG$4))</f>
        <v>6.130771407057404</v>
      </c>
      <c r="AI187" s="260">
        <f>FMS_Ranking4[[#This Row],[Farm &amp; ranch land, ArcSinh (0-10)]]*AG$5*10</f>
        <v>3.0653857035287024</v>
      </c>
      <c r="AJ187" s="258">
        <f>_xlfn.XLOOKUP(FMS_Ranking4[[#This Row],[FMS ID]],FMS_Input[FMS_ID],FMS_Input[REDSTRUCT100])</f>
        <v>0</v>
      </c>
      <c r="AK187" s="253">
        <f>_xlfn.XLOOKUP(FMS_Ranking4[[#This Row],[FMS ID]],FMS_Input[FMS_ID],FMS_Input[REMSTRC100])</f>
        <v>0</v>
      </c>
      <c r="AL187" s="259">
        <f>(ASINH(FMS_Ranking4[[#This Row],[Structures Removed Raw]]))*(10)/(ASINH(AK$4))</f>
        <v>0</v>
      </c>
      <c r="AM187" s="262">
        <f>FMS_Ranking4[[#This Row],[Structures removed, ArcSinh (0-10)]]*AK$5*10</f>
        <v>0</v>
      </c>
      <c r="AN187" s="253">
        <f>_xlfn.XLOOKUP(FMS_Ranking4[[#This Row],[FMS ID]],FMS_Input[FMS_ID],FMS_Input[REMRESSTRC100])</f>
        <v>0</v>
      </c>
      <c r="AO187" s="261">
        <f>FMS_Ranking4[[#This Row],[ArcSinh Res struct removed 0-10]]*AN$5*10</f>
        <v>0</v>
      </c>
      <c r="AP187" s="260">
        <f>ASINH(FMS_Ranking4[[#This Row],[Residential Structures Removed Raw]])/AP$4*AN$5*100</f>
        <v>0</v>
      </c>
      <c r="AQ187" s="254">
        <f>(ASINH(FMS_Ranking4[[#This Row],[Residential Structures Removed Raw]]))*(10)/(ASINH(AN$4))</f>
        <v>0</v>
      </c>
      <c r="AR187" s="253">
        <f>_xlfn.XLOOKUP(FMS_Ranking4[[#This Row],[FMS ID]],FMS_Input[FMS_ID],FMS_Input[REMPOP100])</f>
        <v>0</v>
      </c>
      <c r="AS187" s="259">
        <f>(ASINH(FMS_Ranking4[[#This Row],[Removed Pop Raw]]))*(10)/(ASINH(AR$4))</f>
        <v>0</v>
      </c>
      <c r="AT187" s="262">
        <f>FMS_Ranking4[[#This Row],[Removed population, ArcSinh (0-10)]]*AR$5*10</f>
        <v>0</v>
      </c>
      <c r="AU187" s="264">
        <f>_xlfn.XLOOKUP(FMS_Ranking4[[#This Row],[FMS ID]],FMS_Input[FMS_ID],FMS_Input[REMCRITFAC100])</f>
        <v>0</v>
      </c>
      <c r="AV187" s="264">
        <f>_xlfn.XLOOKUP(FMS_Ranking4[[#This Row],[FMS ID]],FMS_Input[FMS_ID],FMS_Input[REMLWC100])</f>
        <v>0</v>
      </c>
      <c r="AW187" s="264">
        <f>_xlfn.XLOOKUP(FMS_Ranking4[[#This Row],[FMS ID]],FMS_Input[FMS_ID],FMS_Input[REMROADCLS])</f>
        <v>0</v>
      </c>
      <c r="AX187" s="264">
        <f>_xlfn.XLOOKUP(FMS_Ranking4[[#This Row],[FMS ID]],FMS_Input[FMS_ID],FMS_Input[REMFRMACRE100])</f>
        <v>0</v>
      </c>
      <c r="AY187" s="258">
        <f>_xlfn.XLOOKUP(FMS_Ranking4[[#This Row],[FMS ID]],FMS_Input[FMS_ID],FMS_Input[COSTSTRUCT])</f>
        <v>0</v>
      </c>
      <c r="AZ187" s="253">
        <f>_xlfn.XLOOKUP(FMS_Ranking4[[#This Row],[FMS ID]],FMS_Input[FMS_ID],FMS_Input[NATURE])</f>
        <v>0</v>
      </c>
      <c r="BA187" s="262">
        <f>(((FMS_Ranking4[[#This Row],[% NBS Raw]]/AZ$4)*100)*AZ$5)</f>
        <v>0</v>
      </c>
      <c r="BB187" s="251" t="str">
        <f>_xlfn.XLOOKUP(FMS_Ranking4[[#This Row],[FMS ID]],FMS_Input[FMS_ID],FMS_Input[WATER_SUP])</f>
        <v>No</v>
      </c>
      <c r="BC187" s="265">
        <f>IF(FMS_Ranking4[[#This Row],[Water Supply Raw]]="Yes",10,0)</f>
        <v>0</v>
      </c>
      <c r="BD187" s="266">
        <f>_xlfn.XLOOKUP(FMS_Ranking4[[#This Row],[FMS Type]],FMS_TYPE[FMS_Type],FMS_TYPE[Score])</f>
        <v>10</v>
      </c>
      <c r="BE187" s="267">
        <f>FMS_Ranking4[[#This Row],[FMS_Type Score]]*$BD$5*10</f>
        <v>2.5</v>
      </c>
      <c r="BF18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2.3665248898508273</v>
      </c>
      <c r="BG187" s="271">
        <f>_xlfn.RANK.EQ(BF187,$BF$8:$BF$870,0)+COUNTIF($BF$8:BF187,BF187)-1</f>
        <v>93</v>
      </c>
      <c r="BH187" s="268">
        <f>(((FMS_Ranking4[[#This Row],[Structures Removed Raw]]/AK$4)*100)*AK$5)+(((FMS_Ranking4[[#This Row],[Removed Pop Raw]]/AR$4)*100)*AR$5)</f>
        <v>0</v>
      </c>
      <c r="BI18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4.8665248898508278</v>
      </c>
      <c r="BJ187" s="205">
        <f>_xlfn.RANK.EQ(FMS_Ranking4[[#This Row],[Total Score 
(with linear
normalization)]],FMS_Ranking4[Total Score 
(with linear
normalization)],0)</f>
        <v>116</v>
      </c>
      <c r="BK187" s="205" t="e">
        <f>_xlfn.XLOOKUP(FMS_Ranking4[[#This Row],[FMS ID]],#REF!,#REF!)</f>
        <v>#REF!</v>
      </c>
      <c r="BL18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29.264910834203864</v>
      </c>
      <c r="BM187" s="272">
        <f>FMS_Ranking4[[#This Row],[ArcSinh Score Based on Normalized Reported Factors]]+FMS_Ranking4[[#This Row],[% NBS Score (Normalized)]]+(FMS_Ranking4[[#This Row],[Water Supply Score (Normalized)]]*10*$BB$5)+FMS_Ranking4[[#This Row],[FMS_Type Score Weighted]]</f>
        <v>31.764910834203864</v>
      </c>
      <c r="BN187" s="205">
        <f>_xlfn.RANK.EQ(FMS_Ranking4[[#This Row],[Total Score (with ArcSinh normalization of select criteria)]],FMS_Ranking4[Total Score (with ArcSinh normalization of select criteria)],0)</f>
        <v>180</v>
      </c>
      <c r="BO187" s="270" t="str">
        <f>_xlfn.XLOOKUP(FMS_Ranking4[[#This Row],[FMS ID]],FMS_Input[FMS_ID],FMS_Input[FMS_RANK_YEAR])</f>
        <v>2023 Amended Plan</v>
      </c>
      <c r="BP187" s="204">
        <f>_xlfn.XLOOKUP(FMS_Ranking4[[#This Row],[FMS ID]],Prev_Rank[FMS ID],Prev_Rank[Prev Rank])</f>
        <v>153</v>
      </c>
      <c r="BQ187" s="205" t="e">
        <f>_xlfn.XLOOKUP(FMS_Ranking4[[#This Row],[FMS ID]],#REF!,#REF!)</f>
        <v>#REF!</v>
      </c>
      <c r="BR187" s="199" t="e">
        <f>SUM(#REF!,#REF!,#REF!,#REF!,#REF!,#REF!,#REF!,#REF!,#REF!,FMS_Ranking4[[#This Row],[ArcSinh Res struct removed 0-10]],#REF!)</f>
        <v>#REF!</v>
      </c>
      <c r="BS187" s="199" t="e">
        <f>FMS_Ranking4[[#This Row],[Log Score Based on Normalized Reported Factors]]+FMS_Ranking4[[#This Row],[% NBS Score (Normalized)]]+(FMS_Ranking4[[#This Row],[Water Supply Score (Normalized)]]*10*$BB$5)+(FMS_Ranking4[[#This Row],[FMS_Type Score Weighted]])</f>
        <v>#REF!</v>
      </c>
      <c r="BT187" s="200" t="e">
        <f>_xlfn.RANK.EQ(FMS_Ranking4[[#This Row],[Log Total Score]],FMS_Ranking4[Log Total Score],0)</f>
        <v>#REF!</v>
      </c>
      <c r="BU187" s="200" t="e">
        <f>_xlfn.XLOOKUP(FMS_Ranking4[[#This Row],[FMS ID]],#REF!,#REF!)</f>
        <v>#REF!</v>
      </c>
      <c r="BV187" s="200">
        <f>FMS_Ranking4[[#This Row],[Region Number]]</f>
        <v>15</v>
      </c>
      <c r="BW187" s="200">
        <f>FMS_Ranking4[[#This Row],[Rank (with ArcSinh normalization of select criteria)]]-FMS_Ranking4[[#This Row],[Rank
(with linear
normalization)]]</f>
        <v>64</v>
      </c>
      <c r="BX187" s="200" t="e">
        <f>FMS_Ranking4[[#This Row],[Log Rank]]-FMS_Ranking4[[#This Row],[Rank
(with linear
normalization)]]</f>
        <v>#REF!</v>
      </c>
      <c r="BY187" s="200">
        <f>IF(FMS_Ranking4[[#This Row],[FMS Type]]="Flood Measurement and Warning",FMS_Ranking4[[#This Row],[Rank (with ArcSinh normalization of select criteria)]],"")</f>
        <v>180</v>
      </c>
      <c r="BZ187" s="200" t="str">
        <f>IF(FMS_Ranking4[[#This Row],[FMS Type]]="Regulatory and Guidance",FMS_Ranking4[[#This Row],[Rank (with ArcSinh normalization of select criteria)]],"")</f>
        <v/>
      </c>
      <c r="CA187" s="200" t="str">
        <f>IF(FMS_Ranking4[[#This Row],[FMS Type]]="Education and Outreach",FMS_Ranking4[[#This Row],[Rank (with ArcSinh normalization of select criteria)]],"")</f>
        <v/>
      </c>
      <c r="CB187" s="200" t="str">
        <f>IF(FMS_Ranking4[[#This Row],[FMS Type]]="Property Acquisition and Structural Elevation",FMS_Ranking4[[#This Row],[Rank (with ArcSinh normalization of select criteria)]],"")</f>
        <v/>
      </c>
      <c r="CC187" s="200" t="str">
        <f>IF(FMS_Ranking4[[#This Row],[FMS Type]]="Infrastructure Projects",FMS_Ranking4[[#This Row],[Rank (with ArcSinh normalization of select criteria)]],"")</f>
        <v/>
      </c>
      <c r="CD187" s="200" t="str">
        <f>IF(FMS_Ranking4[[#This Row],[FMS Type]]="Other",FMS_Ranking4[[#This Row],[Rank (with ArcSinh normalization of select criteria)]],"")</f>
        <v/>
      </c>
      <c r="CE187" s="201"/>
      <c r="CF187" s="206"/>
      <c r="CG187" s="206"/>
      <c r="CH187" s="206"/>
      <c r="CI187" s="206"/>
      <c r="CJ187" s="206"/>
      <c r="CK187" s="206"/>
      <c r="CL187" s="206"/>
      <c r="CM187" s="206"/>
      <c r="CN187" s="206"/>
      <c r="CO187" s="206"/>
      <c r="CP187" s="206"/>
      <c r="CQ187" s="206"/>
      <c r="CR187" s="206"/>
    </row>
    <row r="188" spans="2:96" ht="60" x14ac:dyDescent="0.25">
      <c r="B188" s="346" t="s">
        <v>3939</v>
      </c>
      <c r="C188" s="246">
        <f>_xlfn.XLOOKUP(FMS_Ranking4[[#This Row],[FMS ID]],FMS_Input[FMS_ID],FMS_Input[RFPG_NUM])</f>
        <v>15</v>
      </c>
      <c r="D188" s="309" t="str">
        <f>_xlfn.XLOOKUP(FMS_Ranking4[[#This Row],[FMS ID]],FMS_Input[FMS_ID],FMS_Input[FMS_NAME])</f>
        <v>Mission #1-1.1</v>
      </c>
      <c r="E188" s="308" t="str">
        <f>_xlfn.XLOOKUP(FMS_Ranking4[[#This Row],[FMS ID]],FMS_Input[FMS_ID],FMS_Input[SPONSOR])</f>
        <v>15000085</v>
      </c>
      <c r="F188" s="309" t="str">
        <f>_xlfn.XLOOKUP(FMS_Ranking4[[#This Row],[FMS ID]],Sponsor[FMS_ID],Sponsor[SPONSOR NAME])</f>
        <v>Mission</v>
      </c>
      <c r="G188" s="309" t="str">
        <f>_xlfn.XLOOKUP(FMS_Ranking4[[#This Row],[FMS ID]],FMS_Input[FMS_ID],FMS_Input[FMS_DESCR])</f>
        <v>Develop Procedures For Mass Notifications To Citizens And Merchants During Natural Hazard Incident.</v>
      </c>
      <c r="H188" s="248" t="str">
        <f>_xlfn.XLOOKUP(FMS_Ranking4[[#This Row],[FMS ID]],FMS_Input[FMS_ID],FMS_Input[FMS_TYPE])</f>
        <v>Flood Measurement and Warning</v>
      </c>
      <c r="I188" s="249">
        <f>_xlfn.XLOOKUP(FMS_Ranking4[[#This Row],[FMS ID]],FMS_Input[FMS_ID],FMS_Input[NRNC_COST])</f>
        <v>1000</v>
      </c>
      <c r="J188" s="250">
        <f>_xlfn.XLOOKUP(FMS_Ranking4[[#This Row],[FMS ID]],FMS_Input[FMS_ID],FMS_Input[FMS_COST])</f>
        <v>31000</v>
      </c>
      <c r="K188" s="251" t="str">
        <f>_xlfn.XLOOKUP(FMS_Ranking4[[#This Row],[FMS ID]],FMS_Input[FMS_ID],FMS_Input[EMER_NEED])</f>
        <v>Yes</v>
      </c>
      <c r="L188" s="252">
        <f t="shared" si="2"/>
        <v>1</v>
      </c>
      <c r="M188" s="253">
        <f>_xlfn.XLOOKUP(FMS_Ranking4[[#This Row],[FMS ID]],FMS_Input[FMS_ID],FMS_Input[STRUCT_100])</f>
        <v>19515</v>
      </c>
      <c r="N188" s="255">
        <f>(ASINH(FMS_Ranking4[[#This Row],[Structure at Risk Raw]]))*(10)/(ASINH(M$4))</f>
        <v>8.3112336020195183</v>
      </c>
      <c r="O188" s="256">
        <f>FMS_Ranking4[[#This Row],[Structures at risk, ArcSinh (0-10)]]*M$5*10</f>
        <v>8.3112336020195183</v>
      </c>
      <c r="P188" s="253">
        <f>_xlfn.XLOOKUP(FMS_Ranking4[[#This Row],[FMS ID]],FMS_Input[FMS_ID],FMS_Input[RES_STRUCT100])</f>
        <v>16701</v>
      </c>
      <c r="Q188" s="257">
        <f>ASINH(FMS_Ranking4[[#This Row],[Res Structure Raw]])/Q$4*P$5*100</f>
        <v>0</v>
      </c>
      <c r="R188" s="253">
        <f>_xlfn.XLOOKUP(FMS_Ranking4[[#This Row],[FMS ID]],FMS_Input[FMS_ID],FMS_Input[POP100])</f>
        <v>63919</v>
      </c>
      <c r="S188" s="255">
        <f>(ASINH(FMS_Ranking4[[#This Row],[Pop at Risk Raw]]))*(10)/(ASINH(R$4))</f>
        <v>8.1175903026966321</v>
      </c>
      <c r="T188" s="256">
        <f>FMS_Ranking4[[#This Row],[Population at risk, ArcSinh (0-10)]]*R$5*10</f>
        <v>8.1175903026966321</v>
      </c>
      <c r="U188" s="253">
        <f>_xlfn.XLOOKUP(FMS_Ranking4[[#This Row],[FMS ID]],FMS_Input[FMS_ID],FMS_Input[CRITFAC100])</f>
        <v>6</v>
      </c>
      <c r="V188" s="255">
        <f>(ASINH(FMS_Ranking4[[#This Row],[Critical Facilities Raw]]))*(10)/(ASINH(U$4))</f>
        <v>2.9496796311809068</v>
      </c>
      <c r="W188" s="256">
        <f>FMS_Ranking4[[#This Row],[Critical facilities at risk, ArcSinh (0-10)]]*U$5*10</f>
        <v>2.9496796311809073</v>
      </c>
      <c r="X188" s="253">
        <f>_xlfn.XLOOKUP(FMS_Ranking4[[#This Row],[FMS ID]],FMS_Input[FMS_ID],FMS_Input[LWC])</f>
        <v>0</v>
      </c>
      <c r="Y188" s="255">
        <f>(ASINH(FMS_Ranking4[[#This Row],[LWC Raw]]))*(10)/(ASINH(X$4))</f>
        <v>0</v>
      </c>
      <c r="Z188" s="256">
        <f>FMS_Ranking4[[#This Row],[LWC, ArcSInh (0-10)]]*X$5*10</f>
        <v>0</v>
      </c>
      <c r="AA188" s="253">
        <f>_xlfn.XLOOKUP(FMS_Ranking4[[#This Row],[FMS ID]],FMS_Input[FMS_ID],FMS_Input[ROADCLS])</f>
        <v>0</v>
      </c>
      <c r="AB188" s="255">
        <f>(ASINH(FMS_Ranking4[[#This Row],[Road Closures Raw]]))*(10)/(ASINH(AA$4))</f>
        <v>0</v>
      </c>
      <c r="AC188" s="256">
        <f>FMS_Ranking4[[#This Row],[Road closures, ArcSinh (0-10)]]*AA$5*10</f>
        <v>0</v>
      </c>
      <c r="AD188" s="253">
        <f>_xlfn.XLOOKUP(FMS_Ranking4[[#This Row],[FMS ID]],FMS_Input[FMS_ID],FMS_Input[ROAD_MILES100])</f>
        <v>301</v>
      </c>
      <c r="AE188" s="255">
        <f>(ASINH(FMS_Ranking4[[#This Row],[Road Miles Raw]]))*(10)/(ASINH(AD$4))</f>
        <v>6.8209165114123014</v>
      </c>
      <c r="AF188" s="256">
        <f>FMS_Ranking4[[#This Row],[Length of roads at risk, ArcSinh (0-10)]]*AD$5*10</f>
        <v>6.8209165114123014</v>
      </c>
      <c r="AG188" s="253">
        <f>_xlfn.XLOOKUP(FMS_Ranking4[[#This Row],[FMS ID]],FMS_Input[FMS_ID],FMS_Input[FARMACRE100])</f>
        <v>6277.85498046875</v>
      </c>
      <c r="AH188" s="255">
        <f>(ASINH(FMS_Ranking4[[#This Row],[Ag Land Raw]]))*(10)/(ASINH(AG$4))</f>
        <v>6.1307049722111184</v>
      </c>
      <c r="AI188" s="260">
        <f>FMS_Ranking4[[#This Row],[Farm &amp; ranch land, ArcSinh (0-10)]]*AG$5*10</f>
        <v>3.0653524861055592</v>
      </c>
      <c r="AJ188" s="258">
        <f>_xlfn.XLOOKUP(FMS_Ranking4[[#This Row],[FMS ID]],FMS_Input[FMS_ID],FMS_Input[REDSTRUCT100])</f>
        <v>0</v>
      </c>
      <c r="AK188" s="253">
        <f>_xlfn.XLOOKUP(FMS_Ranking4[[#This Row],[FMS ID]],FMS_Input[FMS_ID],FMS_Input[REMSTRC100])</f>
        <v>0</v>
      </c>
      <c r="AL188" s="255">
        <f>(ASINH(FMS_Ranking4[[#This Row],[Structures Removed Raw]]))*(10)/(ASINH(AK$4))</f>
        <v>0</v>
      </c>
      <c r="AM188" s="262">
        <f>FMS_Ranking4[[#This Row],[Structures removed, ArcSinh (0-10)]]*AK$5*10</f>
        <v>0</v>
      </c>
      <c r="AN188" s="253">
        <f>_xlfn.XLOOKUP(FMS_Ranking4[[#This Row],[FMS ID]],FMS_Input[FMS_ID],FMS_Input[REMRESSTRC100])</f>
        <v>0</v>
      </c>
      <c r="AO188" s="261">
        <f>FMS_Ranking4[[#This Row],[ArcSinh Res struct removed 0-10]]*AN$5*10</f>
        <v>0</v>
      </c>
      <c r="AP188" s="260">
        <f>ASINH(FMS_Ranking4[[#This Row],[Residential Structures Removed Raw]])/AP$4*AN$5*100</f>
        <v>0</v>
      </c>
      <c r="AQ188" s="258">
        <f>(ASINH(FMS_Ranking4[[#This Row],[Residential Structures Removed Raw]]))*(10)/(ASINH(AN$4))</f>
        <v>0</v>
      </c>
      <c r="AR188" s="253">
        <f>_xlfn.XLOOKUP(FMS_Ranking4[[#This Row],[FMS ID]],FMS_Input[FMS_ID],FMS_Input[REMPOP100])</f>
        <v>0</v>
      </c>
      <c r="AS188" s="255">
        <f>(ASINH(FMS_Ranking4[[#This Row],[Removed Pop Raw]]))*(10)/(ASINH(AR$4))</f>
        <v>0</v>
      </c>
      <c r="AT188" s="262">
        <f>FMS_Ranking4[[#This Row],[Removed population, ArcSinh (0-10)]]*AR$5*10</f>
        <v>0</v>
      </c>
      <c r="AU188" s="264">
        <f>_xlfn.XLOOKUP(FMS_Ranking4[[#This Row],[FMS ID]],FMS_Input[FMS_ID],FMS_Input[REMCRITFAC100])</f>
        <v>0</v>
      </c>
      <c r="AV188" s="264">
        <f>_xlfn.XLOOKUP(FMS_Ranking4[[#This Row],[FMS ID]],FMS_Input[FMS_ID],FMS_Input[REMLWC100])</f>
        <v>0</v>
      </c>
      <c r="AW188" s="264">
        <f>_xlfn.XLOOKUP(FMS_Ranking4[[#This Row],[FMS ID]],FMS_Input[FMS_ID],FMS_Input[REMROADCLS])</f>
        <v>0</v>
      </c>
      <c r="AX188" s="264">
        <f>_xlfn.XLOOKUP(FMS_Ranking4[[#This Row],[FMS ID]],FMS_Input[FMS_ID],FMS_Input[REMFRMACRE100])</f>
        <v>0</v>
      </c>
      <c r="AY188" s="258">
        <f>_xlfn.XLOOKUP(FMS_Ranking4[[#This Row],[FMS ID]],FMS_Input[FMS_ID],FMS_Input[COSTSTRUCT])</f>
        <v>0</v>
      </c>
      <c r="AZ188" s="253">
        <f>_xlfn.XLOOKUP(FMS_Ranking4[[#This Row],[FMS ID]],FMS_Input[FMS_ID],FMS_Input[NATURE])</f>
        <v>0</v>
      </c>
      <c r="BA188" s="262">
        <f>(((FMS_Ranking4[[#This Row],[% NBS Raw]]/AZ$4)*100)*AZ$5)</f>
        <v>0</v>
      </c>
      <c r="BB188" s="251" t="str">
        <f>_xlfn.XLOOKUP(FMS_Ranking4[[#This Row],[FMS ID]],FMS_Input[FMS_ID],FMS_Input[WATER_SUP])</f>
        <v>No</v>
      </c>
      <c r="BC188" s="265">
        <f>IF(FMS_Ranking4[[#This Row],[Water Supply Raw]]="Yes",10,0)</f>
        <v>0</v>
      </c>
      <c r="BD188" s="266">
        <f>_xlfn.XLOOKUP(FMS_Ranking4[[#This Row],[FMS Type]],FMS_TYPE[FMS_Type],FMS_TYPE[Score])</f>
        <v>10</v>
      </c>
      <c r="BE188" s="267">
        <f>FMS_Ranking4[[#This Row],[FMS_Type Score]]*$BD$5*10</f>
        <v>2.5</v>
      </c>
      <c r="BF18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2.3664023439334385</v>
      </c>
      <c r="BG188" s="293">
        <f>_xlfn.RANK.EQ(BF188,$BF$8:$BF$870,0)+COUNTIF($BF$8:BF188,BF188)-1</f>
        <v>94</v>
      </c>
      <c r="BH188" s="294">
        <f>(((FMS_Ranking4[[#This Row],[Structures Removed Raw]]/AK$4)*100)*AK$5)+(((FMS_Ranking4[[#This Row],[Removed Pop Raw]]/AR$4)*100)*AR$5)</f>
        <v>0</v>
      </c>
      <c r="BI18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4.866402343933439</v>
      </c>
      <c r="BJ188" s="251">
        <f>_xlfn.RANK.EQ(FMS_Ranking4[[#This Row],[Total Score 
(with linear
normalization)]],FMS_Ranking4[Total Score 
(with linear
normalization)],0)</f>
        <v>117</v>
      </c>
      <c r="BK188" s="251" t="e">
        <f>_xlfn.XLOOKUP(FMS_Ranking4[[#This Row],[FMS ID]],#REF!,#REF!)</f>
        <v>#REF!</v>
      </c>
      <c r="BL18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29.26477253341492</v>
      </c>
      <c r="BM188" s="324">
        <f>FMS_Ranking4[[#This Row],[ArcSinh Score Based on Normalized Reported Factors]]+FMS_Ranking4[[#This Row],[% NBS Score (Normalized)]]+(FMS_Ranking4[[#This Row],[Water Supply Score (Normalized)]]*10*$BB$5)+FMS_Ranking4[[#This Row],[FMS_Type Score Weighted]]</f>
        <v>31.76477253341492</v>
      </c>
      <c r="BN188" s="251">
        <f>_xlfn.RANK.EQ(FMS_Ranking4[[#This Row],[Total Score (with ArcSinh normalization of select criteria)]],FMS_Ranking4[Total Score (with ArcSinh normalization of select criteria)],0)</f>
        <v>181</v>
      </c>
      <c r="BO188" s="270" t="str">
        <f>_xlfn.XLOOKUP(FMS_Ranking4[[#This Row],[FMS ID]],FMS_Input[FMS_ID],FMS_Input[FMS_RANK_YEAR])</f>
        <v>2023 Amended Plan</v>
      </c>
      <c r="BP188" s="324">
        <f>_xlfn.XLOOKUP(FMS_Ranking4[[#This Row],[FMS ID]],Prev_Rank[FMS ID],Prev_Rank[Prev Rank])</f>
        <v>154</v>
      </c>
      <c r="BQ188" s="251" t="e">
        <f>_xlfn.XLOOKUP(FMS_Ranking4[[#This Row],[FMS ID]],#REF!,#REF!)</f>
        <v>#REF!</v>
      </c>
      <c r="BR188" s="199" t="e">
        <f>SUM(#REF!,#REF!,#REF!,#REF!,#REF!,#REF!,#REF!,#REF!,#REF!,FMS_Ranking4[[#This Row],[ArcSinh Res struct removed 0-10]],#REF!)</f>
        <v>#REF!</v>
      </c>
      <c r="BS188" s="199" t="e">
        <f>FMS_Ranking4[[#This Row],[Log Score Based on Normalized Reported Factors]]+FMS_Ranking4[[#This Row],[% NBS Score (Normalized)]]+(FMS_Ranking4[[#This Row],[Water Supply Score (Normalized)]]*10*$BB$5)+(FMS_Ranking4[[#This Row],[FMS_Type Score Weighted]])</f>
        <v>#REF!</v>
      </c>
      <c r="BT188" s="200" t="e">
        <f>_xlfn.RANK.EQ(FMS_Ranking4[[#This Row],[Log Total Score]],FMS_Ranking4[Log Total Score],0)</f>
        <v>#REF!</v>
      </c>
      <c r="BU188" s="200" t="e">
        <f>_xlfn.XLOOKUP(FMS_Ranking4[[#This Row],[FMS ID]],#REF!,#REF!)</f>
        <v>#REF!</v>
      </c>
      <c r="BV188" s="200">
        <f>FMS_Ranking4[[#This Row],[Region Number]]</f>
        <v>15</v>
      </c>
      <c r="BW188" s="200">
        <f>FMS_Ranking4[[#This Row],[Rank (with ArcSinh normalization of select criteria)]]-FMS_Ranking4[[#This Row],[Rank
(with linear
normalization)]]</f>
        <v>64</v>
      </c>
      <c r="BX188" s="200" t="e">
        <f>FMS_Ranking4[[#This Row],[Log Rank]]-FMS_Ranking4[[#This Row],[Rank
(with linear
normalization)]]</f>
        <v>#REF!</v>
      </c>
      <c r="BY188" s="200">
        <f>IF(FMS_Ranking4[[#This Row],[FMS Type]]="Flood Measurement and Warning",FMS_Ranking4[[#This Row],[Rank (with ArcSinh normalization of select criteria)]],"")</f>
        <v>181</v>
      </c>
      <c r="BZ188" s="200" t="str">
        <f>IF(FMS_Ranking4[[#This Row],[FMS Type]]="Regulatory and Guidance",FMS_Ranking4[[#This Row],[Rank (with ArcSinh normalization of select criteria)]],"")</f>
        <v/>
      </c>
      <c r="CA188" s="200" t="str">
        <f>IF(FMS_Ranking4[[#This Row],[FMS Type]]="Education and Outreach",FMS_Ranking4[[#This Row],[Rank (with ArcSinh normalization of select criteria)]],"")</f>
        <v/>
      </c>
      <c r="CB188" s="200" t="str">
        <f>IF(FMS_Ranking4[[#This Row],[FMS Type]]="Property Acquisition and Structural Elevation",FMS_Ranking4[[#This Row],[Rank (with ArcSinh normalization of select criteria)]],"")</f>
        <v/>
      </c>
      <c r="CC188" s="200" t="str">
        <f>IF(FMS_Ranking4[[#This Row],[FMS Type]]="Infrastructure Projects",FMS_Ranking4[[#This Row],[Rank (with ArcSinh normalization of select criteria)]],"")</f>
        <v/>
      </c>
      <c r="CD188" s="200" t="str">
        <f>IF(FMS_Ranking4[[#This Row],[FMS Type]]="Other",FMS_Ranking4[[#This Row],[Rank (with ArcSinh normalization of select criteria)]],"")</f>
        <v/>
      </c>
      <c r="CE188" s="201"/>
      <c r="CF188" s="206"/>
      <c r="CG188" s="206"/>
      <c r="CH188" s="206"/>
      <c r="CI188" s="206"/>
      <c r="CJ188" s="206"/>
      <c r="CK188" s="206"/>
      <c r="CL188" s="206"/>
      <c r="CM188" s="206"/>
      <c r="CN188" s="206"/>
      <c r="CO188" s="206"/>
      <c r="CP188" s="206"/>
      <c r="CQ188" s="206"/>
      <c r="CR188" s="206"/>
    </row>
    <row r="189" spans="2:96" ht="75" x14ac:dyDescent="0.25">
      <c r="B189" s="346" t="s">
        <v>3941</v>
      </c>
      <c r="C189" s="246">
        <f>_xlfn.XLOOKUP(FMS_Ranking4[[#This Row],[FMS ID]],FMS_Input[FMS_ID],FMS_Input[RFPG_NUM])</f>
        <v>15</v>
      </c>
      <c r="D189" s="309" t="str">
        <f>_xlfn.XLOOKUP(FMS_Ranking4[[#This Row],[FMS ID]],FMS_Input[FMS_ID],FMS_Input[FMS_NAME])</f>
        <v>Mission #7-1.1</v>
      </c>
      <c r="E189" s="308" t="str">
        <f>_xlfn.XLOOKUP(FMS_Ranking4[[#This Row],[FMS ID]],FMS_Input[FMS_ID],FMS_Input[SPONSOR])</f>
        <v>15000085</v>
      </c>
      <c r="F189" s="309" t="str">
        <f>_xlfn.XLOOKUP(FMS_Ranking4[[#This Row],[FMS ID]],Sponsor[FMS_ID],Sponsor[SPONSOR NAME])</f>
        <v>Mission</v>
      </c>
      <c r="G189" s="309" t="str">
        <f>_xlfn.XLOOKUP(FMS_Ranking4[[#This Row],[FMS ID]],FMS_Input[FMS_ID],FMS_Input[FMS_DESCR])</f>
        <v>Develop a Program To Provide Links To Weather Alerts And Departmental Phone Listings With Contact Personnel For Residents.</v>
      </c>
      <c r="H189" s="248" t="str">
        <f>_xlfn.XLOOKUP(FMS_Ranking4[[#This Row],[FMS ID]],FMS_Input[FMS_ID],FMS_Input[FMS_TYPE])</f>
        <v>Flood Measurement and Warning</v>
      </c>
      <c r="I189" s="249">
        <f>_xlfn.XLOOKUP(FMS_Ranking4[[#This Row],[FMS ID]],FMS_Input[FMS_ID],FMS_Input[NRNC_COST])</f>
        <v>1000</v>
      </c>
      <c r="J189" s="250">
        <f>_xlfn.XLOOKUP(FMS_Ranking4[[#This Row],[FMS ID]],FMS_Input[FMS_ID],FMS_Input[FMS_COST])</f>
        <v>8500</v>
      </c>
      <c r="K189" s="251" t="str">
        <f>_xlfn.XLOOKUP(FMS_Ranking4[[#This Row],[FMS ID]],FMS_Input[FMS_ID],FMS_Input[EMER_NEED])</f>
        <v>Yes</v>
      </c>
      <c r="L189" s="252">
        <f t="shared" si="2"/>
        <v>1</v>
      </c>
      <c r="M189" s="253">
        <f>_xlfn.XLOOKUP(FMS_Ranking4[[#This Row],[FMS ID]],FMS_Input[FMS_ID],FMS_Input[STRUCT_100])</f>
        <v>19515</v>
      </c>
      <c r="N189" s="255">
        <f>(ASINH(FMS_Ranking4[[#This Row],[Structure at Risk Raw]]))*(10)/(ASINH(M$4))</f>
        <v>8.3112336020195183</v>
      </c>
      <c r="O189" s="256">
        <f>FMS_Ranking4[[#This Row],[Structures at risk, ArcSinh (0-10)]]*M$5*10</f>
        <v>8.3112336020195183</v>
      </c>
      <c r="P189" s="253">
        <f>_xlfn.XLOOKUP(FMS_Ranking4[[#This Row],[FMS ID]],FMS_Input[FMS_ID],FMS_Input[RES_STRUCT100])</f>
        <v>16701</v>
      </c>
      <c r="Q189" s="257">
        <f>ASINH(FMS_Ranking4[[#This Row],[Res Structure Raw]])/Q$4*P$5*100</f>
        <v>0</v>
      </c>
      <c r="R189" s="253">
        <f>_xlfn.XLOOKUP(FMS_Ranking4[[#This Row],[FMS ID]],FMS_Input[FMS_ID],FMS_Input[POP100])</f>
        <v>63919</v>
      </c>
      <c r="S189" s="255">
        <f>(ASINH(FMS_Ranking4[[#This Row],[Pop at Risk Raw]]))*(10)/(ASINH(R$4))</f>
        <v>8.1175903026966321</v>
      </c>
      <c r="T189" s="256">
        <f>FMS_Ranking4[[#This Row],[Population at risk, ArcSinh (0-10)]]*R$5*10</f>
        <v>8.1175903026966321</v>
      </c>
      <c r="U189" s="253">
        <f>_xlfn.XLOOKUP(FMS_Ranking4[[#This Row],[FMS ID]],FMS_Input[FMS_ID],FMS_Input[CRITFAC100])</f>
        <v>6</v>
      </c>
      <c r="V189" s="255">
        <f>(ASINH(FMS_Ranking4[[#This Row],[Critical Facilities Raw]]))*(10)/(ASINH(U$4))</f>
        <v>2.9496796311809068</v>
      </c>
      <c r="W189" s="256">
        <f>FMS_Ranking4[[#This Row],[Critical facilities at risk, ArcSinh (0-10)]]*U$5*10</f>
        <v>2.9496796311809073</v>
      </c>
      <c r="X189" s="253">
        <f>_xlfn.XLOOKUP(FMS_Ranking4[[#This Row],[FMS ID]],FMS_Input[FMS_ID],FMS_Input[LWC])</f>
        <v>0</v>
      </c>
      <c r="Y189" s="255">
        <f>(ASINH(FMS_Ranking4[[#This Row],[LWC Raw]]))*(10)/(ASINH(X$4))</f>
        <v>0</v>
      </c>
      <c r="Z189" s="256">
        <f>FMS_Ranking4[[#This Row],[LWC, ArcSInh (0-10)]]*X$5*10</f>
        <v>0</v>
      </c>
      <c r="AA189" s="253">
        <f>_xlfn.XLOOKUP(FMS_Ranking4[[#This Row],[FMS ID]],FMS_Input[FMS_ID],FMS_Input[ROADCLS])</f>
        <v>0</v>
      </c>
      <c r="AB189" s="255">
        <f>(ASINH(FMS_Ranking4[[#This Row],[Road Closures Raw]]))*(10)/(ASINH(AA$4))</f>
        <v>0</v>
      </c>
      <c r="AC189" s="256">
        <f>FMS_Ranking4[[#This Row],[Road closures, ArcSinh (0-10)]]*AA$5*10</f>
        <v>0</v>
      </c>
      <c r="AD189" s="253">
        <f>_xlfn.XLOOKUP(FMS_Ranking4[[#This Row],[FMS ID]],FMS_Input[FMS_ID],FMS_Input[ROAD_MILES100])</f>
        <v>301</v>
      </c>
      <c r="AE189" s="255">
        <f>(ASINH(FMS_Ranking4[[#This Row],[Road Miles Raw]]))*(10)/(ASINH(AD$4))</f>
        <v>6.8209165114123014</v>
      </c>
      <c r="AF189" s="256">
        <f>FMS_Ranking4[[#This Row],[Length of roads at risk, ArcSinh (0-10)]]*AD$5*10</f>
        <v>6.8209165114123014</v>
      </c>
      <c r="AG189" s="253">
        <f>_xlfn.XLOOKUP(FMS_Ranking4[[#This Row],[FMS ID]],FMS_Input[FMS_ID],FMS_Input[FARMACRE100])</f>
        <v>6277.85498046875</v>
      </c>
      <c r="AH189" s="255">
        <f>(ASINH(FMS_Ranking4[[#This Row],[Ag Land Raw]]))*(10)/(ASINH(AG$4))</f>
        <v>6.1307049722111184</v>
      </c>
      <c r="AI189" s="260">
        <f>FMS_Ranking4[[#This Row],[Farm &amp; ranch land, ArcSinh (0-10)]]*AG$5*10</f>
        <v>3.0653524861055592</v>
      </c>
      <c r="AJ189" s="258">
        <f>_xlfn.XLOOKUP(FMS_Ranking4[[#This Row],[FMS ID]],FMS_Input[FMS_ID],FMS_Input[REDSTRUCT100])</f>
        <v>0</v>
      </c>
      <c r="AK189" s="253">
        <f>_xlfn.XLOOKUP(FMS_Ranking4[[#This Row],[FMS ID]],FMS_Input[FMS_ID],FMS_Input[REMSTRC100])</f>
        <v>0</v>
      </c>
      <c r="AL189" s="255">
        <f>(ASINH(FMS_Ranking4[[#This Row],[Structures Removed Raw]]))*(10)/(ASINH(AK$4))</f>
        <v>0</v>
      </c>
      <c r="AM189" s="262">
        <f>FMS_Ranking4[[#This Row],[Structures removed, ArcSinh (0-10)]]*AK$5*10</f>
        <v>0</v>
      </c>
      <c r="AN189" s="253">
        <f>_xlfn.XLOOKUP(FMS_Ranking4[[#This Row],[FMS ID]],FMS_Input[FMS_ID],FMS_Input[REMRESSTRC100])</f>
        <v>0</v>
      </c>
      <c r="AO189" s="261">
        <f>FMS_Ranking4[[#This Row],[ArcSinh Res struct removed 0-10]]*AN$5*10</f>
        <v>0</v>
      </c>
      <c r="AP189" s="260">
        <f>ASINH(FMS_Ranking4[[#This Row],[Residential Structures Removed Raw]])/AP$4*AN$5*100</f>
        <v>0</v>
      </c>
      <c r="AQ189" s="258">
        <f>(ASINH(FMS_Ranking4[[#This Row],[Residential Structures Removed Raw]]))*(10)/(ASINH(AN$4))</f>
        <v>0</v>
      </c>
      <c r="AR189" s="253">
        <f>_xlfn.XLOOKUP(FMS_Ranking4[[#This Row],[FMS ID]],FMS_Input[FMS_ID],FMS_Input[REMPOP100])</f>
        <v>0</v>
      </c>
      <c r="AS189" s="255">
        <f>(ASINH(FMS_Ranking4[[#This Row],[Removed Pop Raw]]))*(10)/(ASINH(AR$4))</f>
        <v>0</v>
      </c>
      <c r="AT189" s="262">
        <f>FMS_Ranking4[[#This Row],[Removed population, ArcSinh (0-10)]]*AR$5*10</f>
        <v>0</v>
      </c>
      <c r="AU189" s="264">
        <f>_xlfn.XLOOKUP(FMS_Ranking4[[#This Row],[FMS ID]],FMS_Input[FMS_ID],FMS_Input[REMCRITFAC100])</f>
        <v>0</v>
      </c>
      <c r="AV189" s="264">
        <f>_xlfn.XLOOKUP(FMS_Ranking4[[#This Row],[FMS ID]],FMS_Input[FMS_ID],FMS_Input[REMLWC100])</f>
        <v>0</v>
      </c>
      <c r="AW189" s="264">
        <f>_xlfn.XLOOKUP(FMS_Ranking4[[#This Row],[FMS ID]],FMS_Input[FMS_ID],FMS_Input[REMROADCLS])</f>
        <v>0</v>
      </c>
      <c r="AX189" s="264">
        <f>_xlfn.XLOOKUP(FMS_Ranking4[[#This Row],[FMS ID]],FMS_Input[FMS_ID],FMS_Input[REMFRMACRE100])</f>
        <v>0</v>
      </c>
      <c r="AY189" s="258">
        <f>_xlfn.XLOOKUP(FMS_Ranking4[[#This Row],[FMS ID]],FMS_Input[FMS_ID],FMS_Input[COSTSTRUCT])</f>
        <v>0</v>
      </c>
      <c r="AZ189" s="253">
        <f>_xlfn.XLOOKUP(FMS_Ranking4[[#This Row],[FMS ID]],FMS_Input[FMS_ID],FMS_Input[NATURE])</f>
        <v>0</v>
      </c>
      <c r="BA189" s="262">
        <f>(((FMS_Ranking4[[#This Row],[% NBS Raw]]/AZ$4)*100)*AZ$5)</f>
        <v>0</v>
      </c>
      <c r="BB189" s="251" t="str">
        <f>_xlfn.XLOOKUP(FMS_Ranking4[[#This Row],[FMS ID]],FMS_Input[FMS_ID],FMS_Input[WATER_SUP])</f>
        <v>No</v>
      </c>
      <c r="BC189" s="265">
        <f>IF(FMS_Ranking4[[#This Row],[Water Supply Raw]]="Yes",10,0)</f>
        <v>0</v>
      </c>
      <c r="BD189" s="266">
        <f>_xlfn.XLOOKUP(FMS_Ranking4[[#This Row],[FMS Type]],FMS_TYPE[FMS_Type],FMS_TYPE[Score])</f>
        <v>10</v>
      </c>
      <c r="BE189" s="267">
        <f>FMS_Ranking4[[#This Row],[FMS_Type Score]]*$BD$5*10</f>
        <v>2.5</v>
      </c>
      <c r="BF18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2.3664023439334385</v>
      </c>
      <c r="BG189" s="293">
        <f>_xlfn.RANK.EQ(BF189,$BF$8:$BF$870,0)+COUNTIF($BF$8:BF189,BF189)-1</f>
        <v>95</v>
      </c>
      <c r="BH189" s="294">
        <f>(((FMS_Ranking4[[#This Row],[Structures Removed Raw]]/AK$4)*100)*AK$5)+(((FMS_Ranking4[[#This Row],[Removed Pop Raw]]/AR$4)*100)*AR$5)</f>
        <v>0</v>
      </c>
      <c r="BI18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4.866402343933439</v>
      </c>
      <c r="BJ189" s="251">
        <f>_xlfn.RANK.EQ(FMS_Ranking4[[#This Row],[Total Score 
(with linear
normalization)]],FMS_Ranking4[Total Score 
(with linear
normalization)],0)</f>
        <v>117</v>
      </c>
      <c r="BK189" s="251" t="e">
        <f>_xlfn.XLOOKUP(FMS_Ranking4[[#This Row],[FMS ID]],#REF!,#REF!)</f>
        <v>#REF!</v>
      </c>
      <c r="BL18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29.26477253341492</v>
      </c>
      <c r="BM189" s="324">
        <f>FMS_Ranking4[[#This Row],[ArcSinh Score Based on Normalized Reported Factors]]+FMS_Ranking4[[#This Row],[% NBS Score (Normalized)]]+(FMS_Ranking4[[#This Row],[Water Supply Score (Normalized)]]*10*$BB$5)+FMS_Ranking4[[#This Row],[FMS_Type Score Weighted]]</f>
        <v>31.76477253341492</v>
      </c>
      <c r="BN189" s="251">
        <f>_xlfn.RANK.EQ(FMS_Ranking4[[#This Row],[Total Score (with ArcSinh normalization of select criteria)]],FMS_Ranking4[Total Score (with ArcSinh normalization of select criteria)],0)</f>
        <v>181</v>
      </c>
      <c r="BO189" s="270" t="str">
        <f>_xlfn.XLOOKUP(FMS_Ranking4[[#This Row],[FMS ID]],FMS_Input[FMS_ID],FMS_Input[FMS_RANK_YEAR])</f>
        <v>2023 Amended Plan</v>
      </c>
      <c r="BP189" s="324">
        <f>_xlfn.XLOOKUP(FMS_Ranking4[[#This Row],[FMS ID]],Prev_Rank[FMS ID],Prev_Rank[Prev Rank])</f>
        <v>154</v>
      </c>
      <c r="BQ189" s="251" t="e">
        <f>_xlfn.XLOOKUP(FMS_Ranking4[[#This Row],[FMS ID]],#REF!,#REF!)</f>
        <v>#REF!</v>
      </c>
      <c r="BR189" s="199" t="e">
        <f>SUM(#REF!,#REF!,#REF!,#REF!,#REF!,#REF!,#REF!,#REF!,#REF!,FMS_Ranking4[[#This Row],[ArcSinh Res struct removed 0-10]],#REF!)</f>
        <v>#REF!</v>
      </c>
      <c r="BS189" s="199" t="e">
        <f>FMS_Ranking4[[#This Row],[Log Score Based on Normalized Reported Factors]]+FMS_Ranking4[[#This Row],[% NBS Score (Normalized)]]+(FMS_Ranking4[[#This Row],[Water Supply Score (Normalized)]]*10*$BB$5)+(FMS_Ranking4[[#This Row],[FMS_Type Score Weighted]])</f>
        <v>#REF!</v>
      </c>
      <c r="BT189" s="200" t="e">
        <f>_xlfn.RANK.EQ(FMS_Ranking4[[#This Row],[Log Total Score]],FMS_Ranking4[Log Total Score],0)</f>
        <v>#REF!</v>
      </c>
      <c r="BU189" s="200" t="e">
        <f>_xlfn.XLOOKUP(FMS_Ranking4[[#This Row],[FMS ID]],#REF!,#REF!)</f>
        <v>#REF!</v>
      </c>
      <c r="BV189" s="200">
        <f>FMS_Ranking4[[#This Row],[Region Number]]</f>
        <v>15</v>
      </c>
      <c r="BW189" s="200">
        <f>FMS_Ranking4[[#This Row],[Rank (with ArcSinh normalization of select criteria)]]-FMS_Ranking4[[#This Row],[Rank
(with linear
normalization)]]</f>
        <v>64</v>
      </c>
      <c r="BX189" s="200" t="e">
        <f>FMS_Ranking4[[#This Row],[Log Rank]]-FMS_Ranking4[[#This Row],[Rank
(with linear
normalization)]]</f>
        <v>#REF!</v>
      </c>
      <c r="BY189" s="200">
        <f>IF(FMS_Ranking4[[#This Row],[FMS Type]]="Flood Measurement and Warning",FMS_Ranking4[[#This Row],[Rank (with ArcSinh normalization of select criteria)]],"")</f>
        <v>181</v>
      </c>
      <c r="BZ189" s="200" t="str">
        <f>IF(FMS_Ranking4[[#This Row],[FMS Type]]="Regulatory and Guidance",FMS_Ranking4[[#This Row],[Rank (with ArcSinh normalization of select criteria)]],"")</f>
        <v/>
      </c>
      <c r="CA189" s="200" t="str">
        <f>IF(FMS_Ranking4[[#This Row],[FMS Type]]="Education and Outreach",FMS_Ranking4[[#This Row],[Rank (with ArcSinh normalization of select criteria)]],"")</f>
        <v/>
      </c>
      <c r="CB189" s="200" t="str">
        <f>IF(FMS_Ranking4[[#This Row],[FMS Type]]="Property Acquisition and Structural Elevation",FMS_Ranking4[[#This Row],[Rank (with ArcSinh normalization of select criteria)]],"")</f>
        <v/>
      </c>
      <c r="CC189" s="200" t="str">
        <f>IF(FMS_Ranking4[[#This Row],[FMS Type]]="Infrastructure Projects",FMS_Ranking4[[#This Row],[Rank (with ArcSinh normalization of select criteria)]],"")</f>
        <v/>
      </c>
      <c r="CD189" s="200" t="str">
        <f>IF(FMS_Ranking4[[#This Row],[FMS Type]]="Other",FMS_Ranking4[[#This Row],[Rank (with ArcSinh normalization of select criteria)]],"")</f>
        <v/>
      </c>
      <c r="CE189" s="201"/>
      <c r="CF189" s="206"/>
      <c r="CG189" s="206"/>
      <c r="CH189" s="206"/>
      <c r="CI189" s="206"/>
      <c r="CJ189" s="206"/>
      <c r="CK189" s="206"/>
      <c r="CL189" s="206"/>
      <c r="CM189" s="206"/>
      <c r="CN189" s="206"/>
      <c r="CO189" s="206"/>
      <c r="CP189" s="206"/>
      <c r="CQ189" s="206"/>
      <c r="CR189" s="206"/>
    </row>
    <row r="190" spans="2:96" ht="45" x14ac:dyDescent="0.25">
      <c r="B190" s="341" t="s">
        <v>4757</v>
      </c>
      <c r="C190" s="246">
        <f>_xlfn.XLOOKUP(FMS_Ranking4[[#This Row],[FMS ID]],FMS_Input[FMS_ID],FMS_Input[RFPG_NUM])</f>
        <v>4</v>
      </c>
      <c r="D190" s="309" t="str">
        <f>_xlfn.XLOOKUP(FMS_Ranking4[[#This Row],[FMS ID]],FMS_Input[FMS_ID],FMS_Input[FMS_NAME])</f>
        <v>Van Zandt County Wide Floodplain Development Regulations</v>
      </c>
      <c r="E190" s="308" t="str">
        <f>_xlfn.XLOOKUP(FMS_Ranking4[[#This Row],[FMS ID]],FMS_Input[FMS_ID],FMS_Input[SPONSOR])</f>
        <v>00000110</v>
      </c>
      <c r="F190" s="309" t="str">
        <f>_xlfn.XLOOKUP(FMS_Ranking4[[#This Row],[FMS ID]],Sponsor[FMS_ID],Sponsor[SPONSOR NAME])</f>
        <v>Van Zandt</v>
      </c>
      <c r="G190" s="309" t="str">
        <f>_xlfn.XLOOKUP(FMS_Ranking4[[#This Row],[FMS ID]],FMS_Input[FMS_ID],FMS_Input[FMS_DESCR])</f>
        <v>Incorporate higher standards for flood hazard resiliency in local application of the building code.</v>
      </c>
      <c r="H190" s="248" t="str">
        <f>_xlfn.XLOOKUP(FMS_Ranking4[[#This Row],[FMS ID]],FMS_Input[FMS_ID],FMS_Input[FMS_TYPE])</f>
        <v>Regulatory and Guidance</v>
      </c>
      <c r="I190" s="249">
        <f>_xlfn.XLOOKUP(FMS_Ranking4[[#This Row],[FMS ID]],FMS_Input[FMS_ID],FMS_Input[NRNC_COST])</f>
        <v>10000</v>
      </c>
      <c r="J190" s="250">
        <f>_xlfn.XLOOKUP(FMS_Ranking4[[#This Row],[FMS ID]],FMS_Input[FMS_ID],FMS_Input[FMS_COST])</f>
        <v>10000</v>
      </c>
      <c r="K190" s="251" t="str">
        <f>_xlfn.XLOOKUP(FMS_Ranking4[[#This Row],[FMS ID]],FMS_Input[FMS_ID],FMS_Input[EMER_NEED])</f>
        <v>No</v>
      </c>
      <c r="L190" s="252">
        <f t="shared" si="2"/>
        <v>0</v>
      </c>
      <c r="M190" s="253">
        <f>_xlfn.XLOOKUP(FMS_Ranking4[[#This Row],[FMS ID]],FMS_Input[FMS_ID],FMS_Input[STRUCT_100])</f>
        <v>1080</v>
      </c>
      <c r="N190" s="255">
        <f>(ASINH(FMS_Ranking4[[#This Row],[Structure at Risk Raw]]))*(10)/(ASINH(M$4))</f>
        <v>6.0359440643934219</v>
      </c>
      <c r="O190" s="256">
        <f>FMS_Ranking4[[#This Row],[Structures at risk, ArcSinh (0-10)]]*M$5*10</f>
        <v>6.0359440643934228</v>
      </c>
      <c r="P190" s="253">
        <f>_xlfn.XLOOKUP(FMS_Ranking4[[#This Row],[FMS ID]],FMS_Input[FMS_ID],FMS_Input[RES_STRUCT100])</f>
        <v>452</v>
      </c>
      <c r="Q190" s="257">
        <f>ASINH(FMS_Ranking4[[#This Row],[Res Structure Raw]])/Q$4*P$5*100</f>
        <v>0</v>
      </c>
      <c r="R190" s="253">
        <f>_xlfn.XLOOKUP(FMS_Ranking4[[#This Row],[FMS ID]],FMS_Input[FMS_ID],FMS_Input[POP100])</f>
        <v>1471</v>
      </c>
      <c r="S190" s="259">
        <f>(ASINH(FMS_Ranking4[[#This Row],[Pop at Risk Raw]]))*(10)/(ASINH(R$4))</f>
        <v>5.513784092619634</v>
      </c>
      <c r="T190" s="256">
        <f>FMS_Ranking4[[#This Row],[Population at risk, ArcSinh (0-10)]]*R$5*10</f>
        <v>5.5137840926196349</v>
      </c>
      <c r="U190" s="253">
        <f>_xlfn.XLOOKUP(FMS_Ranking4[[#This Row],[FMS ID]],FMS_Input[FMS_ID],FMS_Input[CRITFAC100])</f>
        <v>13</v>
      </c>
      <c r="V190" s="259">
        <f>(ASINH(FMS_Ranking4[[#This Row],[Critical Facilities Raw]]))*(10)/(ASINH(U$4))</f>
        <v>3.8585650997055194</v>
      </c>
      <c r="W190" s="256">
        <f>FMS_Ranking4[[#This Row],[Critical facilities at risk, ArcSinh (0-10)]]*U$5*10</f>
        <v>3.8585650997055199</v>
      </c>
      <c r="X190" s="253">
        <f>_xlfn.XLOOKUP(FMS_Ranking4[[#This Row],[FMS ID]],FMS_Input[FMS_ID],FMS_Input[LWC])</f>
        <v>9</v>
      </c>
      <c r="Y190" s="259">
        <f>(ASINH(FMS_Ranking4[[#This Row],[LWC Raw]]))*(10)/(ASINH(X$4))</f>
        <v>3.919857876161724</v>
      </c>
      <c r="Z190" s="256">
        <f>FMS_Ranking4[[#This Row],[LWC, ArcSInh (0-10)]]*X$5*10</f>
        <v>3.919857876161724</v>
      </c>
      <c r="AA190" s="253">
        <f>_xlfn.XLOOKUP(FMS_Ranking4[[#This Row],[FMS ID]],FMS_Input[FMS_ID],FMS_Input[ROADCLS])</f>
        <v>9</v>
      </c>
      <c r="AB190" s="255">
        <f>(ASINH(FMS_Ranking4[[#This Row],[Road Closures Raw]]))*(10)/(ASINH(AA$4))</f>
        <v>3.013256341994186</v>
      </c>
      <c r="AC190" s="256">
        <f>FMS_Ranking4[[#This Row],[Road closures, ArcSinh (0-10)]]*AA$5*10</f>
        <v>1.506628170997093</v>
      </c>
      <c r="AD190" s="253">
        <f>_xlfn.XLOOKUP(FMS_Ranking4[[#This Row],[FMS ID]],FMS_Input[FMS_ID],FMS_Input[ROAD_MILES100])</f>
        <v>79</v>
      </c>
      <c r="AE190" s="259">
        <f>(ASINH(FMS_Ranking4[[#This Row],[Road Miles Raw]]))*(10)/(ASINH(AD$4))</f>
        <v>5.3953761504854318</v>
      </c>
      <c r="AF190" s="256">
        <f>FMS_Ranking4[[#This Row],[Length of roads at risk, ArcSinh (0-10)]]*AD$5*10</f>
        <v>5.3953761504854327</v>
      </c>
      <c r="AG190" s="253">
        <f>_xlfn.XLOOKUP(FMS_Ranking4[[#This Row],[FMS ID]],FMS_Input[FMS_ID],FMS_Input[FARMACRE100])</f>
        <v>26372.447265625</v>
      </c>
      <c r="AH190" s="255">
        <f>(ASINH(FMS_Ranking4[[#This Row],[Ag Land Raw]]))*(10)/(ASINH(AG$4))</f>
        <v>7.0630436924133875</v>
      </c>
      <c r="AI190" s="260">
        <f>FMS_Ranking4[[#This Row],[Farm &amp; ranch land, ArcSinh (0-10)]]*AG$5*10</f>
        <v>3.5315218462066937</v>
      </c>
      <c r="AJ190" s="258">
        <f>_xlfn.XLOOKUP(FMS_Ranking4[[#This Row],[FMS ID]],FMS_Input[FMS_ID],FMS_Input[REDSTRUCT100])</f>
        <v>0</v>
      </c>
      <c r="AK190" s="253">
        <f>_xlfn.XLOOKUP(FMS_Ranking4[[#This Row],[FMS ID]],FMS_Input[FMS_ID],FMS_Input[REMSTRC100])</f>
        <v>0</v>
      </c>
      <c r="AL190" s="259">
        <f>(ASINH(FMS_Ranking4[[#This Row],[Structures Removed Raw]]))*(10)/(ASINH(AK$4))</f>
        <v>0</v>
      </c>
      <c r="AM190" s="262">
        <f>FMS_Ranking4[[#This Row],[Structures removed, ArcSinh (0-10)]]*AK$5*10</f>
        <v>0</v>
      </c>
      <c r="AN190" s="253">
        <f>_xlfn.XLOOKUP(FMS_Ranking4[[#This Row],[FMS ID]],FMS_Input[FMS_ID],FMS_Input[REMRESSTRC100])</f>
        <v>0</v>
      </c>
      <c r="AO190" s="261">
        <f>FMS_Ranking4[[#This Row],[ArcSinh Res struct removed 0-10]]*AN$5*10</f>
        <v>0</v>
      </c>
      <c r="AP190" s="260">
        <f>ASINH(FMS_Ranking4[[#This Row],[Residential Structures Removed Raw]])/AP$4*AN$5*100</f>
        <v>0</v>
      </c>
      <c r="AQ190" s="254">
        <f>(ASINH(FMS_Ranking4[[#This Row],[Residential Structures Removed Raw]]))*(10)/(ASINH(AN$4))</f>
        <v>0</v>
      </c>
      <c r="AR190" s="253">
        <f>_xlfn.XLOOKUP(FMS_Ranking4[[#This Row],[FMS ID]],FMS_Input[FMS_ID],FMS_Input[REMPOP100])</f>
        <v>0</v>
      </c>
      <c r="AS190" s="259">
        <f>(ASINH(FMS_Ranking4[[#This Row],[Removed Pop Raw]]))*(10)/(ASINH(AR$4))</f>
        <v>0</v>
      </c>
      <c r="AT190" s="262">
        <f>FMS_Ranking4[[#This Row],[Removed population, ArcSinh (0-10)]]*AR$5*10</f>
        <v>0</v>
      </c>
      <c r="AU190" s="264">
        <f>_xlfn.XLOOKUP(FMS_Ranking4[[#This Row],[FMS ID]],FMS_Input[FMS_ID],FMS_Input[REMCRITFAC100])</f>
        <v>0</v>
      </c>
      <c r="AV190" s="264">
        <f>_xlfn.XLOOKUP(FMS_Ranking4[[#This Row],[FMS ID]],FMS_Input[FMS_ID],FMS_Input[REMLWC100])</f>
        <v>0</v>
      </c>
      <c r="AW190" s="264">
        <f>_xlfn.XLOOKUP(FMS_Ranking4[[#This Row],[FMS ID]],FMS_Input[FMS_ID],FMS_Input[REMROADCLS])</f>
        <v>0</v>
      </c>
      <c r="AX190" s="264">
        <f>_xlfn.XLOOKUP(FMS_Ranking4[[#This Row],[FMS ID]],FMS_Input[FMS_ID],FMS_Input[REMFRMACRE100])</f>
        <v>0</v>
      </c>
      <c r="AY190" s="258">
        <f>_xlfn.XLOOKUP(FMS_Ranking4[[#This Row],[FMS ID]],FMS_Input[FMS_ID],FMS_Input[COSTSTRUCT])</f>
        <v>0</v>
      </c>
      <c r="AZ190" s="253">
        <f>_xlfn.XLOOKUP(FMS_Ranking4[[#This Row],[FMS ID]],FMS_Input[FMS_ID],FMS_Input[NATURE])</f>
        <v>0</v>
      </c>
      <c r="BA190" s="262">
        <f>(((FMS_Ranking4[[#This Row],[% NBS Raw]]/AZ$4)*100)*AZ$5)</f>
        <v>0</v>
      </c>
      <c r="BB190" s="251" t="str">
        <f>_xlfn.XLOOKUP(FMS_Ranking4[[#This Row],[FMS ID]],FMS_Input[FMS_ID],FMS_Input[WATER_SUP])</f>
        <v>No</v>
      </c>
      <c r="BC190" s="265">
        <f>IF(FMS_Ranking4[[#This Row],[Water Supply Raw]]="Yes",10,0)</f>
        <v>0</v>
      </c>
      <c r="BD190" s="266">
        <f>_xlfn.XLOOKUP(FMS_Ranking4[[#This Row],[FMS Type]],FMS_TYPE[FMS_Type],FMS_TYPE[Score])</f>
        <v>8</v>
      </c>
      <c r="BE190" s="267">
        <f>FMS_Ranking4[[#This Row],[FMS_Type Score]]*$BD$5*10</f>
        <v>2</v>
      </c>
      <c r="BF19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0.44083080811865261</v>
      </c>
      <c r="BG190" s="271">
        <f>_xlfn.RANK.EQ(BF190,$BF$8:$BF$870,0)+COUNTIF($BF$8:BF190,BF190)-1</f>
        <v>243</v>
      </c>
      <c r="BH190" s="268">
        <f>(((FMS_Ranking4[[#This Row],[Structures Removed Raw]]/AK$4)*100)*AK$5)+(((FMS_Ranking4[[#This Row],[Removed Pop Raw]]/AR$4)*100)*AR$5)</f>
        <v>0</v>
      </c>
      <c r="BI19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2.4408308081186525</v>
      </c>
      <c r="BJ190" s="205">
        <f>_xlfn.RANK.EQ(FMS_Ranking4[[#This Row],[Total Score 
(with linear
normalization)]],FMS_Ranking4[Total Score 
(with linear
normalization)],0)</f>
        <v>270</v>
      </c>
      <c r="BK190" s="205" t="e">
        <f>_xlfn.XLOOKUP(FMS_Ranking4[[#This Row],[FMS ID]],#REF!,#REF!)</f>
        <v>#REF!</v>
      </c>
      <c r="BL19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29.76167730056952</v>
      </c>
      <c r="BM190" s="272">
        <f>FMS_Ranking4[[#This Row],[ArcSinh Score Based on Normalized Reported Factors]]+FMS_Ranking4[[#This Row],[% NBS Score (Normalized)]]+(FMS_Ranking4[[#This Row],[Water Supply Score (Normalized)]]*10*$BB$5)+FMS_Ranking4[[#This Row],[FMS_Type Score Weighted]]</f>
        <v>31.76167730056952</v>
      </c>
      <c r="BN190" s="205">
        <f>_xlfn.RANK.EQ(FMS_Ranking4[[#This Row],[Total Score (with ArcSinh normalization of select criteria)]],FMS_Ranking4[Total Score (with ArcSinh normalization of select criteria)],0)</f>
        <v>183</v>
      </c>
      <c r="BO190" s="270" t="str">
        <f>_xlfn.XLOOKUP(FMS_Ranking4[[#This Row],[FMS ID]],FMS_Input[FMS_ID],FMS_Input[FMS_RANK_YEAR])</f>
        <v>2023 Amended Plan</v>
      </c>
      <c r="BP190" s="204">
        <f>_xlfn.XLOOKUP(FMS_Ranking4[[#This Row],[FMS ID]],Prev_Rank[FMS ID],Prev_Rank[Prev Rank])</f>
        <v>159</v>
      </c>
      <c r="BQ190" s="205" t="e">
        <f>_xlfn.XLOOKUP(FMS_Ranking4[[#This Row],[FMS ID]],#REF!,#REF!)</f>
        <v>#REF!</v>
      </c>
      <c r="BR190" s="199" t="e">
        <f>SUM(#REF!,#REF!,#REF!,#REF!,#REF!,#REF!,#REF!,#REF!,#REF!,FMS_Ranking4[[#This Row],[ArcSinh Res struct removed 0-10]],#REF!)</f>
        <v>#REF!</v>
      </c>
      <c r="BS190" s="199" t="e">
        <f>FMS_Ranking4[[#This Row],[Log Score Based on Normalized Reported Factors]]+FMS_Ranking4[[#This Row],[% NBS Score (Normalized)]]+(FMS_Ranking4[[#This Row],[Water Supply Score (Normalized)]]*10*$BB$5)+(FMS_Ranking4[[#This Row],[FMS_Type Score Weighted]])</f>
        <v>#REF!</v>
      </c>
      <c r="BT190" s="200" t="e">
        <f>_xlfn.RANK.EQ(FMS_Ranking4[[#This Row],[Log Total Score]],FMS_Ranking4[Log Total Score],0)</f>
        <v>#REF!</v>
      </c>
      <c r="BU190" s="200" t="e">
        <f>_xlfn.XLOOKUP(FMS_Ranking4[[#This Row],[FMS ID]],#REF!,#REF!)</f>
        <v>#REF!</v>
      </c>
      <c r="BV190" s="200">
        <f>FMS_Ranking4[[#This Row],[Region Number]]</f>
        <v>4</v>
      </c>
      <c r="BW190" s="200">
        <f>FMS_Ranking4[[#This Row],[Rank (with ArcSinh normalization of select criteria)]]-FMS_Ranking4[[#This Row],[Rank
(with linear
normalization)]]</f>
        <v>-87</v>
      </c>
      <c r="BX190" s="200" t="e">
        <f>FMS_Ranking4[[#This Row],[Log Rank]]-FMS_Ranking4[[#This Row],[Rank
(with linear
normalization)]]</f>
        <v>#REF!</v>
      </c>
      <c r="BY190" s="200" t="str">
        <f>IF(FMS_Ranking4[[#This Row],[FMS Type]]="Flood Measurement and Warning",FMS_Ranking4[[#This Row],[Rank (with ArcSinh normalization of select criteria)]],"")</f>
        <v/>
      </c>
      <c r="BZ190" s="200">
        <f>IF(FMS_Ranking4[[#This Row],[FMS Type]]="Regulatory and Guidance",FMS_Ranking4[[#This Row],[Rank (with ArcSinh normalization of select criteria)]],"")</f>
        <v>183</v>
      </c>
      <c r="CA190" s="200" t="str">
        <f>IF(FMS_Ranking4[[#This Row],[FMS Type]]="Education and Outreach",FMS_Ranking4[[#This Row],[Rank (with ArcSinh normalization of select criteria)]],"")</f>
        <v/>
      </c>
      <c r="CB190" s="200" t="str">
        <f>IF(FMS_Ranking4[[#This Row],[FMS Type]]="Property Acquisition and Structural Elevation",FMS_Ranking4[[#This Row],[Rank (with ArcSinh normalization of select criteria)]],"")</f>
        <v/>
      </c>
      <c r="CC190" s="200" t="str">
        <f>IF(FMS_Ranking4[[#This Row],[FMS Type]]="Infrastructure Projects",FMS_Ranking4[[#This Row],[Rank (with ArcSinh normalization of select criteria)]],"")</f>
        <v/>
      </c>
      <c r="CD190" s="200" t="str">
        <f>IF(FMS_Ranking4[[#This Row],[FMS Type]]="Other",FMS_Ranking4[[#This Row],[Rank (with ArcSinh normalization of select criteria)]],"")</f>
        <v/>
      </c>
      <c r="CE190" s="201"/>
      <c r="CF190" s="206"/>
      <c r="CG190" s="206"/>
      <c r="CH190" s="206"/>
      <c r="CI190" s="206"/>
      <c r="CJ190" s="206"/>
      <c r="CK190" s="206"/>
      <c r="CL190" s="206"/>
      <c r="CM190" s="206"/>
      <c r="CN190" s="206"/>
      <c r="CO190" s="206"/>
      <c r="CP190" s="206"/>
      <c r="CQ190" s="206"/>
      <c r="CR190" s="206"/>
    </row>
    <row r="191" spans="2:96" ht="30" x14ac:dyDescent="0.25">
      <c r="B191" s="341" t="s">
        <v>1374</v>
      </c>
      <c r="C191" s="246">
        <f>_xlfn.XLOOKUP(FMS_Ranking4[[#This Row],[FMS ID]],FMS_Input[FMS_ID],FMS_Input[RFPG_NUM])</f>
        <v>1</v>
      </c>
      <c r="D191" s="309" t="str">
        <f>_xlfn.XLOOKUP(FMS_Ranking4[[#This Row],[FMS ID]],FMS_Input[FMS_ID],FMS_Input[FMS_NAME])</f>
        <v>Hartley County NFIP Involvement</v>
      </c>
      <c r="E191" s="308" t="str">
        <f>_xlfn.XLOOKUP(FMS_Ranking4[[#This Row],[FMS ID]],FMS_Input[FMS_ID],FMS_Input[SPONSOR])</f>
        <v>01000233</v>
      </c>
      <c r="F191" s="309" t="str">
        <f>_xlfn.XLOOKUP(FMS_Ranking4[[#This Row],[FMS ID]],Sponsor[FMS_ID],Sponsor[SPONSOR NAME])</f>
        <v>Hartley</v>
      </c>
      <c r="G191" s="309" t="str">
        <f>_xlfn.XLOOKUP(FMS_Ranking4[[#This Row],[FMS ID]],FMS_Input[FMS_ID],FMS_Input[FMS_DESCR])</f>
        <v>Application to join NFIP or adopt equivalent standards</v>
      </c>
      <c r="H191" s="248" t="str">
        <f>_xlfn.XLOOKUP(FMS_Ranking4[[#This Row],[FMS ID]],FMS_Input[FMS_ID],FMS_Input[FMS_TYPE])</f>
        <v>Regulatory and Guidance</v>
      </c>
      <c r="I191" s="249">
        <f>_xlfn.XLOOKUP(FMS_Ranking4[[#This Row],[FMS ID]],FMS_Input[FMS_ID],FMS_Input[NRNC_COST])</f>
        <v>100000</v>
      </c>
      <c r="J191" s="250">
        <f>_xlfn.XLOOKUP(FMS_Ranking4[[#This Row],[FMS ID]],FMS_Input[FMS_ID],FMS_Input[FMS_COST])</f>
        <v>100000</v>
      </c>
      <c r="K191" s="251" t="str">
        <f>_xlfn.XLOOKUP(FMS_Ranking4[[#This Row],[FMS ID]],FMS_Input[FMS_ID],FMS_Input[EMER_NEED])</f>
        <v>No</v>
      </c>
      <c r="L191" s="252">
        <f t="shared" si="2"/>
        <v>0</v>
      </c>
      <c r="M191" s="253">
        <f>_xlfn.XLOOKUP(FMS_Ranking4[[#This Row],[FMS ID]],FMS_Input[FMS_ID],FMS_Input[STRUCT_100])</f>
        <v>111</v>
      </c>
      <c r="N191" s="255">
        <f>(ASINH(FMS_Ranking4[[#This Row],[Structure at Risk Raw]]))*(10)/(ASINH(M$4))</f>
        <v>4.2473247968888748</v>
      </c>
      <c r="O191" s="256">
        <f>FMS_Ranking4[[#This Row],[Structures at risk, ArcSinh (0-10)]]*M$5*10</f>
        <v>4.2473247968888748</v>
      </c>
      <c r="P191" s="253">
        <f>_xlfn.XLOOKUP(FMS_Ranking4[[#This Row],[FMS ID]],FMS_Input[FMS_ID],FMS_Input[RES_STRUCT100])</f>
        <v>65</v>
      </c>
      <c r="Q191" s="257">
        <f>ASINH(FMS_Ranking4[[#This Row],[Res Structure Raw]])/Q$4*P$5*100</f>
        <v>0</v>
      </c>
      <c r="R191" s="253">
        <f>_xlfn.XLOOKUP(FMS_Ranking4[[#This Row],[FMS ID]],FMS_Input[FMS_ID],FMS_Input[POP100])</f>
        <v>209</v>
      </c>
      <c r="S191" s="259">
        <f>(ASINH(FMS_Ranking4[[#This Row],[Pop at Risk Raw]]))*(10)/(ASINH(R$4))</f>
        <v>4.1666481572165122</v>
      </c>
      <c r="T191" s="256">
        <f>FMS_Ranking4[[#This Row],[Population at risk, ArcSinh (0-10)]]*R$5*10</f>
        <v>4.1666481572165122</v>
      </c>
      <c r="U191" s="253">
        <f>_xlfn.XLOOKUP(FMS_Ranking4[[#This Row],[FMS ID]],FMS_Input[FMS_ID],FMS_Input[CRITFAC100])</f>
        <v>5</v>
      </c>
      <c r="V191" s="259">
        <f>(ASINH(FMS_Ranking4[[#This Row],[Critical Facilities Raw]]))*(10)/(ASINH(U$4))</f>
        <v>2.7373815814321909</v>
      </c>
      <c r="W191" s="256">
        <f>FMS_Ranking4[[#This Row],[Critical facilities at risk, ArcSinh (0-10)]]*U$5*10</f>
        <v>2.7373815814321913</v>
      </c>
      <c r="X191" s="253">
        <f>_xlfn.XLOOKUP(FMS_Ranking4[[#This Row],[FMS ID]],FMS_Input[FMS_ID],FMS_Input[LWC])</f>
        <v>61</v>
      </c>
      <c r="Y191" s="259">
        <f>(ASINH(FMS_Ranking4[[#This Row],[LWC Raw]]))*(10)/(ASINH(X$4))</f>
        <v>6.508279806099142</v>
      </c>
      <c r="Z191" s="256">
        <f>FMS_Ranking4[[#This Row],[LWC, ArcSInh (0-10)]]*X$5*10</f>
        <v>6.508279806099142</v>
      </c>
      <c r="AA191" s="253">
        <f>_xlfn.XLOOKUP(FMS_Ranking4[[#This Row],[FMS ID]],FMS_Input[FMS_ID],FMS_Input[ROADCLS])</f>
        <v>63</v>
      </c>
      <c r="AB191" s="255">
        <f>(ASINH(FMS_Ranking4[[#This Row],[Road Closures Raw]]))*(10)/(ASINH(AA$4))</f>
        <v>5.0366093072538138</v>
      </c>
      <c r="AC191" s="256">
        <f>FMS_Ranking4[[#This Row],[Road closures, ArcSinh (0-10)]]*AA$5*10</f>
        <v>2.5183046536269069</v>
      </c>
      <c r="AD191" s="253">
        <f>_xlfn.XLOOKUP(FMS_Ranking4[[#This Row],[FMS ID]],FMS_Input[FMS_ID],FMS_Input[ROAD_MILES100])</f>
        <v>83</v>
      </c>
      <c r="AE191" s="259">
        <f>(ASINH(FMS_Ranking4[[#This Row],[Road Miles Raw]]))*(10)/(ASINH(AD$4))</f>
        <v>5.448011223388586</v>
      </c>
      <c r="AF191" s="256">
        <f>FMS_Ranking4[[#This Row],[Length of roads at risk, ArcSinh (0-10)]]*AD$5*10</f>
        <v>5.448011223388586</v>
      </c>
      <c r="AG191" s="253">
        <f>_xlfn.XLOOKUP(FMS_Ranking4[[#This Row],[FMS ID]],FMS_Input[FMS_ID],FMS_Input[FARMACRE100])</f>
        <v>91162.8671875</v>
      </c>
      <c r="AH191" s="255">
        <f>(ASINH(FMS_Ranking4[[#This Row],[Ag Land Raw]]))*(10)/(ASINH(AG$4))</f>
        <v>7.868737682788729</v>
      </c>
      <c r="AI191" s="260">
        <f>FMS_Ranking4[[#This Row],[Farm &amp; ranch land, ArcSinh (0-10)]]*AG$5*10</f>
        <v>3.9343688413943645</v>
      </c>
      <c r="AJ191" s="258">
        <f>_xlfn.XLOOKUP(FMS_Ranking4[[#This Row],[FMS ID]],FMS_Input[FMS_ID],FMS_Input[REDSTRUCT100])</f>
        <v>0</v>
      </c>
      <c r="AK191" s="253">
        <f>_xlfn.XLOOKUP(FMS_Ranking4[[#This Row],[FMS ID]],FMS_Input[FMS_ID],FMS_Input[REMSTRC100])</f>
        <v>0</v>
      </c>
      <c r="AL191" s="259">
        <f>(ASINH(FMS_Ranking4[[#This Row],[Structures Removed Raw]]))*(10)/(ASINH(AK$4))</f>
        <v>0</v>
      </c>
      <c r="AM191" s="262">
        <f>FMS_Ranking4[[#This Row],[Structures removed, ArcSinh (0-10)]]*AK$5*10</f>
        <v>0</v>
      </c>
      <c r="AN191" s="253">
        <f>_xlfn.XLOOKUP(FMS_Ranking4[[#This Row],[FMS ID]],FMS_Input[FMS_ID],FMS_Input[REMRESSTRC100])</f>
        <v>0</v>
      </c>
      <c r="AO191" s="261">
        <f>FMS_Ranking4[[#This Row],[ArcSinh Res struct removed 0-10]]*AN$5*10</f>
        <v>0</v>
      </c>
      <c r="AP191" s="260">
        <f>ASINH(FMS_Ranking4[[#This Row],[Residential Structures Removed Raw]])/AP$4*AN$5*100</f>
        <v>0</v>
      </c>
      <c r="AQ191" s="254">
        <f>(ASINH(FMS_Ranking4[[#This Row],[Residential Structures Removed Raw]]))*(10)/(ASINH(AN$4))</f>
        <v>0</v>
      </c>
      <c r="AR191" s="253">
        <f>_xlfn.XLOOKUP(FMS_Ranking4[[#This Row],[FMS ID]],FMS_Input[FMS_ID],FMS_Input[REMPOP100])</f>
        <v>0</v>
      </c>
      <c r="AS191" s="259">
        <f>(ASINH(FMS_Ranking4[[#This Row],[Removed Pop Raw]]))*(10)/(ASINH(AR$4))</f>
        <v>0</v>
      </c>
      <c r="AT191" s="262">
        <f>FMS_Ranking4[[#This Row],[Removed population, ArcSinh (0-10)]]*AR$5*10</f>
        <v>0</v>
      </c>
      <c r="AU191" s="264">
        <f>_xlfn.XLOOKUP(FMS_Ranking4[[#This Row],[FMS ID]],FMS_Input[FMS_ID],FMS_Input[REMCRITFAC100])</f>
        <v>0</v>
      </c>
      <c r="AV191" s="264">
        <f>_xlfn.XLOOKUP(FMS_Ranking4[[#This Row],[FMS ID]],FMS_Input[FMS_ID],FMS_Input[REMLWC100])</f>
        <v>0</v>
      </c>
      <c r="AW191" s="264">
        <f>_xlfn.XLOOKUP(FMS_Ranking4[[#This Row],[FMS ID]],FMS_Input[FMS_ID],FMS_Input[REMROADCLS])</f>
        <v>0</v>
      </c>
      <c r="AX191" s="264">
        <f>_xlfn.XLOOKUP(FMS_Ranking4[[#This Row],[FMS ID]],FMS_Input[FMS_ID],FMS_Input[REMFRMACRE100])</f>
        <v>0</v>
      </c>
      <c r="AY191" s="258">
        <f>_xlfn.XLOOKUP(FMS_Ranking4[[#This Row],[FMS ID]],FMS_Input[FMS_ID],FMS_Input[COSTSTRUCT])</f>
        <v>0</v>
      </c>
      <c r="AZ191" s="253">
        <f>_xlfn.XLOOKUP(FMS_Ranking4[[#This Row],[FMS ID]],FMS_Input[FMS_ID],FMS_Input[NATURE])</f>
        <v>0</v>
      </c>
      <c r="BA191" s="262">
        <f>(((FMS_Ranking4[[#This Row],[% NBS Raw]]/AZ$4)*100)*AZ$5)</f>
        <v>0</v>
      </c>
      <c r="BB191" s="251" t="str">
        <f>_xlfn.XLOOKUP(FMS_Ranking4[[#This Row],[FMS ID]],FMS_Input[FMS_ID],FMS_Input[WATER_SUP])</f>
        <v>No</v>
      </c>
      <c r="BC191" s="265">
        <f>IF(FMS_Ranking4[[#This Row],[Water Supply Raw]]="Yes",10,0)</f>
        <v>0</v>
      </c>
      <c r="BD191" s="266">
        <f>_xlfn.XLOOKUP(FMS_Ranking4[[#This Row],[FMS Type]],FMS_TYPE[FMS_Type],FMS_TYPE[Score])</f>
        <v>8</v>
      </c>
      <c r="BE191" s="267">
        <f>FMS_Ranking4[[#This Row],[FMS_Type Score]]*$BD$5*10</f>
        <v>2</v>
      </c>
      <c r="BF19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1.16003107212026</v>
      </c>
      <c r="BG191" s="271">
        <f>_xlfn.RANK.EQ(BF191,$BF$8:$BF$870,0)+COUNTIF($BF$8:BF191,BF191)-1</f>
        <v>130</v>
      </c>
      <c r="BH191" s="268">
        <f>(((FMS_Ranking4[[#This Row],[Structures Removed Raw]]/AK$4)*100)*AK$5)+(((FMS_Ranking4[[#This Row],[Removed Pop Raw]]/AR$4)*100)*AR$5)</f>
        <v>0</v>
      </c>
      <c r="BI19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3.16003107212026</v>
      </c>
      <c r="BJ191" s="205">
        <f>_xlfn.RANK.EQ(FMS_Ranking4[[#This Row],[Total Score 
(with linear
normalization)]],FMS_Ranking4[Total Score 
(with linear
normalization)],0)</f>
        <v>162</v>
      </c>
      <c r="BK191" s="205" t="e">
        <f>_xlfn.XLOOKUP(FMS_Ranking4[[#This Row],[FMS ID]],#REF!,#REF!)</f>
        <v>#REF!</v>
      </c>
      <c r="BL19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29.560319060046577</v>
      </c>
      <c r="BM191" s="272">
        <f>FMS_Ranking4[[#This Row],[ArcSinh Score Based on Normalized Reported Factors]]+FMS_Ranking4[[#This Row],[% NBS Score (Normalized)]]+(FMS_Ranking4[[#This Row],[Water Supply Score (Normalized)]]*10*$BB$5)+FMS_Ranking4[[#This Row],[FMS_Type Score Weighted]]</f>
        <v>31.560319060046577</v>
      </c>
      <c r="BN191" s="205">
        <f>_xlfn.RANK.EQ(FMS_Ranking4[[#This Row],[Total Score (with ArcSinh normalization of select criteria)]],FMS_Ranking4[Total Score (with ArcSinh normalization of select criteria)],0)</f>
        <v>184</v>
      </c>
      <c r="BO191" s="270" t="str">
        <f>_xlfn.XLOOKUP(FMS_Ranking4[[#This Row],[FMS ID]],FMS_Input[FMS_ID],FMS_Input[FMS_RANK_YEAR])</f>
        <v>2023 Amended Plan</v>
      </c>
      <c r="BP191" s="204">
        <f>_xlfn.XLOOKUP(FMS_Ranking4[[#This Row],[FMS ID]],Prev_Rank[FMS ID],Prev_Rank[Prev Rank])</f>
        <v>163</v>
      </c>
      <c r="BQ191" s="205" t="e">
        <f>_xlfn.XLOOKUP(FMS_Ranking4[[#This Row],[FMS ID]],#REF!,#REF!)</f>
        <v>#REF!</v>
      </c>
      <c r="BR191" s="199" t="e">
        <f>SUM(#REF!,#REF!,#REF!,#REF!,#REF!,#REF!,#REF!,#REF!,#REF!,FMS_Ranking4[[#This Row],[ArcSinh Res struct removed 0-10]],#REF!)</f>
        <v>#REF!</v>
      </c>
      <c r="BS191" s="199" t="e">
        <f>FMS_Ranking4[[#This Row],[Log Score Based on Normalized Reported Factors]]+FMS_Ranking4[[#This Row],[% NBS Score (Normalized)]]+(FMS_Ranking4[[#This Row],[Water Supply Score (Normalized)]]*10*$BB$5)+(FMS_Ranking4[[#This Row],[FMS_Type Score Weighted]])</f>
        <v>#REF!</v>
      </c>
      <c r="BT191" s="200" t="e">
        <f>_xlfn.RANK.EQ(FMS_Ranking4[[#This Row],[Log Total Score]],FMS_Ranking4[Log Total Score],0)</f>
        <v>#REF!</v>
      </c>
      <c r="BU191" s="200" t="e">
        <f>_xlfn.XLOOKUP(FMS_Ranking4[[#This Row],[FMS ID]],#REF!,#REF!)</f>
        <v>#REF!</v>
      </c>
      <c r="BV191" s="200">
        <f>FMS_Ranking4[[#This Row],[Region Number]]</f>
        <v>1</v>
      </c>
      <c r="BW191" s="200">
        <f>FMS_Ranking4[[#This Row],[Rank (with ArcSinh normalization of select criteria)]]-FMS_Ranking4[[#This Row],[Rank
(with linear
normalization)]]</f>
        <v>22</v>
      </c>
      <c r="BX191" s="200" t="e">
        <f>FMS_Ranking4[[#This Row],[Log Rank]]-FMS_Ranking4[[#This Row],[Rank
(with linear
normalization)]]</f>
        <v>#REF!</v>
      </c>
      <c r="BY191" s="200" t="str">
        <f>IF(FMS_Ranking4[[#This Row],[FMS Type]]="Flood Measurement and Warning",FMS_Ranking4[[#This Row],[Rank (with ArcSinh normalization of select criteria)]],"")</f>
        <v/>
      </c>
      <c r="BZ191" s="200">
        <f>IF(FMS_Ranking4[[#This Row],[FMS Type]]="Regulatory and Guidance",FMS_Ranking4[[#This Row],[Rank (with ArcSinh normalization of select criteria)]],"")</f>
        <v>184</v>
      </c>
      <c r="CA191" s="200" t="str">
        <f>IF(FMS_Ranking4[[#This Row],[FMS Type]]="Education and Outreach",FMS_Ranking4[[#This Row],[Rank (with ArcSinh normalization of select criteria)]],"")</f>
        <v/>
      </c>
      <c r="CB191" s="200" t="str">
        <f>IF(FMS_Ranking4[[#This Row],[FMS Type]]="Property Acquisition and Structural Elevation",FMS_Ranking4[[#This Row],[Rank (with ArcSinh normalization of select criteria)]],"")</f>
        <v/>
      </c>
      <c r="CC191" s="200" t="str">
        <f>IF(FMS_Ranking4[[#This Row],[FMS Type]]="Infrastructure Projects",FMS_Ranking4[[#This Row],[Rank (with ArcSinh normalization of select criteria)]],"")</f>
        <v/>
      </c>
      <c r="CD191" s="200" t="str">
        <f>IF(FMS_Ranking4[[#This Row],[FMS Type]]="Other",FMS_Ranking4[[#This Row],[Rank (with ArcSinh normalization of select criteria)]],"")</f>
        <v/>
      </c>
      <c r="CE191" s="201"/>
      <c r="CF191" s="206"/>
      <c r="CG191" s="206"/>
      <c r="CH191" s="206"/>
      <c r="CI191" s="206"/>
      <c r="CJ191" s="206"/>
      <c r="CK191" s="206"/>
      <c r="CL191" s="206"/>
      <c r="CM191" s="206"/>
      <c r="CN191" s="206"/>
      <c r="CO191" s="206"/>
      <c r="CP191" s="206"/>
      <c r="CQ191" s="206"/>
      <c r="CR191" s="206"/>
    </row>
    <row r="192" spans="2:96" ht="75" x14ac:dyDescent="0.25">
      <c r="B192" s="346" t="s">
        <v>78</v>
      </c>
      <c r="C192" s="246">
        <f>_xlfn.XLOOKUP(FMS_Ranking4[[#This Row],[FMS ID]],FMS_Input[FMS_ID],FMS_Input[RFPG_NUM])</f>
        <v>6</v>
      </c>
      <c r="D192" s="309" t="str">
        <f>_xlfn.XLOOKUP(FMS_Ranking4[[#This Row],[FMS ID]],FMS_Input[FMS_ID],FMS_Input[FMS_NAME])</f>
        <v>Expand Development of Emergency Notification System in Liberty County</v>
      </c>
      <c r="E192" s="308" t="str">
        <f>_xlfn.XLOOKUP(FMS_Ranking4[[#This Row],[FMS ID]],FMS_Input[FMS_ID],FMS_Input[SPONSOR])</f>
        <v>00000033</v>
      </c>
      <c r="F192" s="309" t="str">
        <f>_xlfn.XLOOKUP(FMS_Ranking4[[#This Row],[FMS ID]],Sponsor[FMS_ID],Sponsor[SPONSOR NAME])</f>
        <v>Liberty</v>
      </c>
      <c r="G192" s="309" t="str">
        <f>_xlfn.XLOOKUP(FMS_Ranking4[[#This Row],[FMS ID]],FMS_Input[FMS_ID],FMS_Input[FMS_DESCR])</f>
        <v>Expand development of emergency notification system/work to establish public awareness of emergency notification process.</v>
      </c>
      <c r="H192" s="248" t="str">
        <f>_xlfn.XLOOKUP(FMS_Ranking4[[#This Row],[FMS ID]],FMS_Input[FMS_ID],FMS_Input[FMS_TYPE])</f>
        <v>Education and Outreach</v>
      </c>
      <c r="I192" s="249">
        <f>_xlfn.XLOOKUP(FMS_Ranking4[[#This Row],[FMS ID]],FMS_Input[FMS_ID],FMS_Input[NRNC_COST])</f>
        <v>500</v>
      </c>
      <c r="J192" s="250">
        <f>_xlfn.XLOOKUP(FMS_Ranking4[[#This Row],[FMS ID]],FMS_Input[FMS_ID],FMS_Input[FMS_COST])</f>
        <v>10000</v>
      </c>
      <c r="K192" s="251" t="str">
        <f>_xlfn.XLOOKUP(FMS_Ranking4[[#This Row],[FMS ID]],FMS_Input[FMS_ID],FMS_Input[EMER_NEED])</f>
        <v>No</v>
      </c>
      <c r="L192" s="252">
        <f t="shared" si="2"/>
        <v>0</v>
      </c>
      <c r="M192" s="253">
        <f>_xlfn.XLOOKUP(FMS_Ranking4[[#This Row],[FMS ID]],FMS_Input[FMS_ID],FMS_Input[STRUCT_100])</f>
        <v>3617</v>
      </c>
      <c r="N192" s="255">
        <f>(ASINH(FMS_Ranking4[[#This Row],[Structure at Risk Raw]]))*(10)/(ASINH(M$4))</f>
        <v>6.9861494308583509</v>
      </c>
      <c r="O192" s="256">
        <f>FMS_Ranking4[[#This Row],[Structures at risk, ArcSinh (0-10)]]*M$5*10</f>
        <v>6.9861494308583518</v>
      </c>
      <c r="P192" s="253">
        <f>_xlfn.XLOOKUP(FMS_Ranking4[[#This Row],[FMS ID]],FMS_Input[FMS_ID],FMS_Input[RES_STRUCT100])</f>
        <v>2271</v>
      </c>
      <c r="Q192" s="257">
        <f>ASINH(FMS_Ranking4[[#This Row],[Res Structure Raw]])/Q$4*P$5*100</f>
        <v>0</v>
      </c>
      <c r="R192" s="253">
        <f>_xlfn.XLOOKUP(FMS_Ranking4[[#This Row],[FMS ID]],FMS_Input[FMS_ID],FMS_Input[POP100])</f>
        <v>3575</v>
      </c>
      <c r="S192" s="255">
        <f>(ASINH(FMS_Ranking4[[#This Row],[Pop at Risk Raw]]))*(10)/(ASINH(R$4))</f>
        <v>6.1268378188531605</v>
      </c>
      <c r="T192" s="256">
        <f>FMS_Ranking4[[#This Row],[Population at risk, ArcSinh (0-10)]]*R$5*10</f>
        <v>6.1268378188531614</v>
      </c>
      <c r="U192" s="253">
        <f>_xlfn.XLOOKUP(FMS_Ranking4[[#This Row],[FMS ID]],FMS_Input[FMS_ID],FMS_Input[CRITFAC100])</f>
        <v>8</v>
      </c>
      <c r="V192" s="255">
        <f>(ASINH(FMS_Ranking4[[#This Row],[Critical Facilities Raw]]))*(10)/(ASINH(U$4))</f>
        <v>3.286688318109702</v>
      </c>
      <c r="W192" s="256">
        <f>FMS_Ranking4[[#This Row],[Critical facilities at risk, ArcSinh (0-10)]]*U$5*10</f>
        <v>3.2866883181097024</v>
      </c>
      <c r="X192" s="253">
        <f>_xlfn.XLOOKUP(FMS_Ranking4[[#This Row],[FMS ID]],FMS_Input[FMS_ID],FMS_Input[LWC])</f>
        <v>7</v>
      </c>
      <c r="Y192" s="255">
        <f>(ASINH(FMS_Ranking4[[#This Row],[LWC Raw]]))*(10)/(ASINH(X$4))</f>
        <v>3.5820902845593281</v>
      </c>
      <c r="Z192" s="256">
        <f>FMS_Ranking4[[#This Row],[LWC, ArcSInh (0-10)]]*X$5*10</f>
        <v>3.5820902845593281</v>
      </c>
      <c r="AA192" s="253">
        <f>_xlfn.XLOOKUP(FMS_Ranking4[[#This Row],[FMS ID]],FMS_Input[FMS_ID],FMS_Input[ROADCLS])</f>
        <v>7</v>
      </c>
      <c r="AB192" s="255">
        <f>(ASINH(FMS_Ranking4[[#This Row],[Road Closures Raw]]))*(10)/(ASINH(AA$4))</f>
        <v>2.7536090869991607</v>
      </c>
      <c r="AC192" s="256">
        <f>FMS_Ranking4[[#This Row],[Road closures, ArcSinh (0-10)]]*AA$5*10</f>
        <v>1.3768045434995804</v>
      </c>
      <c r="AD192" s="253">
        <f>_xlfn.XLOOKUP(FMS_Ranking4[[#This Row],[FMS ID]],FMS_Input[FMS_ID],FMS_Input[ROAD_MILES100])</f>
        <v>144</v>
      </c>
      <c r="AE192" s="255">
        <f>(ASINH(FMS_Ranking4[[#This Row],[Road Miles Raw]]))*(10)/(ASINH(AD$4))</f>
        <v>6.0351707026054822</v>
      </c>
      <c r="AF192" s="256">
        <f>FMS_Ranking4[[#This Row],[Length of roads at risk, ArcSinh (0-10)]]*AD$5*10</f>
        <v>6.0351707026054822</v>
      </c>
      <c r="AG192" s="253">
        <f>_xlfn.XLOOKUP(FMS_Ranking4[[#This Row],[FMS ID]],FMS_Input[FMS_ID],FMS_Input[FARMACRE100])</f>
        <v>1379.380126953125</v>
      </c>
      <c r="AH192" s="255">
        <f>(ASINH(FMS_Ranking4[[#This Row],[Ag Land Raw]]))*(10)/(ASINH(AG$4))</f>
        <v>5.1463330990326828</v>
      </c>
      <c r="AI192" s="260">
        <f>FMS_Ranking4[[#This Row],[Farm &amp; ranch land, ArcSinh (0-10)]]*AG$5*10</f>
        <v>2.5731665495163414</v>
      </c>
      <c r="AJ192" s="258">
        <f>_xlfn.XLOOKUP(FMS_Ranking4[[#This Row],[FMS ID]],FMS_Input[FMS_ID],FMS_Input[REDSTRUCT100])</f>
        <v>0</v>
      </c>
      <c r="AK192" s="253">
        <f>_xlfn.XLOOKUP(FMS_Ranking4[[#This Row],[FMS ID]],FMS_Input[FMS_ID],FMS_Input[REMSTRC100])</f>
        <v>0</v>
      </c>
      <c r="AL192" s="255">
        <f>(ASINH(FMS_Ranking4[[#This Row],[Structures Removed Raw]]))*(10)/(ASINH(AK$4))</f>
        <v>0</v>
      </c>
      <c r="AM192" s="262">
        <f>FMS_Ranking4[[#This Row],[Structures removed, ArcSinh (0-10)]]*AK$5*10</f>
        <v>0</v>
      </c>
      <c r="AN192" s="253">
        <f>_xlfn.XLOOKUP(FMS_Ranking4[[#This Row],[FMS ID]],FMS_Input[FMS_ID],FMS_Input[REMRESSTRC100])</f>
        <v>0</v>
      </c>
      <c r="AO192" s="261">
        <f>FMS_Ranking4[[#This Row],[ArcSinh Res struct removed 0-10]]*AN$5*10</f>
        <v>0</v>
      </c>
      <c r="AP192" s="260">
        <f>ASINH(FMS_Ranking4[[#This Row],[Residential Structures Removed Raw]])/AP$4*AN$5*100</f>
        <v>0</v>
      </c>
      <c r="AQ192" s="258">
        <f>(ASINH(FMS_Ranking4[[#This Row],[Residential Structures Removed Raw]]))*(10)/(ASINH(AN$4))</f>
        <v>0</v>
      </c>
      <c r="AR192" s="253">
        <f>_xlfn.XLOOKUP(FMS_Ranking4[[#This Row],[FMS ID]],FMS_Input[FMS_ID],FMS_Input[REMPOP100])</f>
        <v>0</v>
      </c>
      <c r="AS192" s="255">
        <f>(ASINH(FMS_Ranking4[[#This Row],[Removed Pop Raw]]))*(10)/(ASINH(AR$4))</f>
        <v>0</v>
      </c>
      <c r="AT192" s="262">
        <f>FMS_Ranking4[[#This Row],[Removed population, ArcSinh (0-10)]]*AR$5*10</f>
        <v>0</v>
      </c>
      <c r="AU192" s="264">
        <f>_xlfn.XLOOKUP(FMS_Ranking4[[#This Row],[FMS ID]],FMS_Input[FMS_ID],FMS_Input[REMCRITFAC100])</f>
        <v>0</v>
      </c>
      <c r="AV192" s="264">
        <f>_xlfn.XLOOKUP(FMS_Ranking4[[#This Row],[FMS ID]],FMS_Input[FMS_ID],FMS_Input[REMLWC100])</f>
        <v>0</v>
      </c>
      <c r="AW192" s="264">
        <f>_xlfn.XLOOKUP(FMS_Ranking4[[#This Row],[FMS ID]],FMS_Input[FMS_ID],FMS_Input[REMROADCLS])</f>
        <v>0</v>
      </c>
      <c r="AX192" s="264">
        <f>_xlfn.XLOOKUP(FMS_Ranking4[[#This Row],[FMS ID]],FMS_Input[FMS_ID],FMS_Input[REMFRMACRE100])</f>
        <v>0</v>
      </c>
      <c r="AY192" s="258">
        <f>_xlfn.XLOOKUP(FMS_Ranking4[[#This Row],[FMS ID]],FMS_Input[FMS_ID],FMS_Input[COSTSTRUCT])</f>
        <v>0</v>
      </c>
      <c r="AZ192" s="253">
        <f>_xlfn.XLOOKUP(FMS_Ranking4[[#This Row],[FMS ID]],FMS_Input[FMS_ID],FMS_Input[NATURE])</f>
        <v>0</v>
      </c>
      <c r="BA192" s="262">
        <f>(((FMS_Ranking4[[#This Row],[% NBS Raw]]/AZ$4)*100)*AZ$5)</f>
        <v>0</v>
      </c>
      <c r="BB192" s="251" t="str">
        <f>_xlfn.XLOOKUP(FMS_Ranking4[[#This Row],[FMS ID]],FMS_Input[FMS_ID],FMS_Input[WATER_SUP])</f>
        <v>No</v>
      </c>
      <c r="BC192" s="265">
        <f>IF(FMS_Ranking4[[#This Row],[Water Supply Raw]]="Yes",10,0)</f>
        <v>0</v>
      </c>
      <c r="BD192" s="266">
        <f>_xlfn.XLOOKUP(FMS_Ranking4[[#This Row],[FMS Type]],FMS_TYPE[FMS_Type],FMS_TYPE[Score])</f>
        <v>6</v>
      </c>
      <c r="BE192" s="267">
        <f>FMS_Ranking4[[#This Row],[FMS_Type Score]]*$BD$5*10</f>
        <v>1.5000000000000002</v>
      </c>
      <c r="BF19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0.6242072291696904</v>
      </c>
      <c r="BG192" s="293">
        <f>_xlfn.RANK.EQ(BF192,$BF$8:$BF$870,0)+COUNTIF($BF$8:BF192,BF192)-1</f>
        <v>193</v>
      </c>
      <c r="BH192" s="294">
        <f>(((FMS_Ranking4[[#This Row],[Structures Removed Raw]]/AK$4)*100)*AK$5)+(((FMS_Ranking4[[#This Row],[Removed Pop Raw]]/AR$4)*100)*AR$5)</f>
        <v>0</v>
      </c>
      <c r="BI19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2.1242072291696905</v>
      </c>
      <c r="BJ192" s="251">
        <f>_xlfn.RANK.EQ(FMS_Ranking4[[#This Row],[Total Score 
(with linear
normalization)]],FMS_Ranking4[Total Score 
(with linear
normalization)],0)</f>
        <v>354</v>
      </c>
      <c r="BK192" s="251" t="e">
        <f>_xlfn.XLOOKUP(FMS_Ranking4[[#This Row],[FMS ID]],#REF!,#REF!)</f>
        <v>#REF!</v>
      </c>
      <c r="BL19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29.966907648001946</v>
      </c>
      <c r="BM192" s="324">
        <f>FMS_Ranking4[[#This Row],[ArcSinh Score Based on Normalized Reported Factors]]+FMS_Ranking4[[#This Row],[% NBS Score (Normalized)]]+(FMS_Ranking4[[#This Row],[Water Supply Score (Normalized)]]*10*$BB$5)+FMS_Ranking4[[#This Row],[FMS_Type Score Weighted]]</f>
        <v>31.466907648001946</v>
      </c>
      <c r="BN192" s="251">
        <f>_xlfn.RANK.EQ(FMS_Ranking4[[#This Row],[Total Score (with ArcSinh normalization of select criteria)]],FMS_Ranking4[Total Score (with ArcSinh normalization of select criteria)],0)</f>
        <v>185</v>
      </c>
      <c r="BO192" s="270" t="str">
        <f>_xlfn.XLOOKUP(FMS_Ranking4[[#This Row],[FMS ID]],FMS_Input[FMS_ID],FMS_Input[FMS_RANK_YEAR])</f>
        <v>2023 Amended Plan</v>
      </c>
      <c r="BP192" s="324">
        <f>_xlfn.XLOOKUP(FMS_Ranking4[[#This Row],[FMS ID]],Prev_Rank[FMS ID],Prev_Rank[Prev Rank])</f>
        <v>162</v>
      </c>
      <c r="BQ192" s="251" t="e">
        <f>_xlfn.XLOOKUP(FMS_Ranking4[[#This Row],[FMS ID]],#REF!,#REF!)</f>
        <v>#REF!</v>
      </c>
      <c r="BR192" s="199" t="e">
        <f>SUM(#REF!,#REF!,#REF!,#REF!,#REF!,#REF!,#REF!,#REF!,#REF!,FMS_Ranking4[[#This Row],[ArcSinh Res struct removed 0-10]],#REF!)</f>
        <v>#REF!</v>
      </c>
      <c r="BS192" s="199" t="e">
        <f>FMS_Ranking4[[#This Row],[Log Score Based on Normalized Reported Factors]]+FMS_Ranking4[[#This Row],[% NBS Score (Normalized)]]+(FMS_Ranking4[[#This Row],[Water Supply Score (Normalized)]]*10*$BB$5)+(FMS_Ranking4[[#This Row],[FMS_Type Score Weighted]])</f>
        <v>#REF!</v>
      </c>
      <c r="BT192" s="200" t="e">
        <f>_xlfn.RANK.EQ(FMS_Ranking4[[#This Row],[Log Total Score]],FMS_Ranking4[Log Total Score],0)</f>
        <v>#REF!</v>
      </c>
      <c r="BU192" s="200" t="e">
        <f>_xlfn.XLOOKUP(FMS_Ranking4[[#This Row],[FMS ID]],#REF!,#REF!)</f>
        <v>#REF!</v>
      </c>
      <c r="BV192" s="200">
        <f>FMS_Ranking4[[#This Row],[Region Number]]</f>
        <v>6</v>
      </c>
      <c r="BW192" s="200">
        <f>FMS_Ranking4[[#This Row],[Rank (with ArcSinh normalization of select criteria)]]-FMS_Ranking4[[#This Row],[Rank
(with linear
normalization)]]</f>
        <v>-169</v>
      </c>
      <c r="BX192" s="200" t="e">
        <f>FMS_Ranking4[[#This Row],[Log Rank]]-FMS_Ranking4[[#This Row],[Rank
(with linear
normalization)]]</f>
        <v>#REF!</v>
      </c>
      <c r="BY192" s="200" t="str">
        <f>IF(FMS_Ranking4[[#This Row],[FMS Type]]="Flood Measurement and Warning",FMS_Ranking4[[#This Row],[Rank (with ArcSinh normalization of select criteria)]],"")</f>
        <v/>
      </c>
      <c r="BZ192" s="200" t="str">
        <f>IF(FMS_Ranking4[[#This Row],[FMS Type]]="Regulatory and Guidance",FMS_Ranking4[[#This Row],[Rank (with ArcSinh normalization of select criteria)]],"")</f>
        <v/>
      </c>
      <c r="CA192" s="200">
        <f>IF(FMS_Ranking4[[#This Row],[FMS Type]]="Education and Outreach",FMS_Ranking4[[#This Row],[Rank (with ArcSinh normalization of select criteria)]],"")</f>
        <v>185</v>
      </c>
      <c r="CB192" s="200" t="str">
        <f>IF(FMS_Ranking4[[#This Row],[FMS Type]]="Property Acquisition and Structural Elevation",FMS_Ranking4[[#This Row],[Rank (with ArcSinh normalization of select criteria)]],"")</f>
        <v/>
      </c>
      <c r="CC192" s="200" t="str">
        <f>IF(FMS_Ranking4[[#This Row],[FMS Type]]="Infrastructure Projects",FMS_Ranking4[[#This Row],[Rank (with ArcSinh normalization of select criteria)]],"")</f>
        <v/>
      </c>
      <c r="CD192" s="200" t="str">
        <f>IF(FMS_Ranking4[[#This Row],[FMS Type]]="Other",FMS_Ranking4[[#This Row],[Rank (with ArcSinh normalization of select criteria)]],"")</f>
        <v/>
      </c>
      <c r="CE192" s="201"/>
      <c r="CF192" s="206"/>
      <c r="CG192" s="206"/>
      <c r="CH192" s="206"/>
      <c r="CI192" s="206"/>
      <c r="CJ192" s="206"/>
      <c r="CK192" s="206"/>
      <c r="CL192" s="206"/>
      <c r="CM192" s="206"/>
      <c r="CN192" s="206"/>
      <c r="CO192" s="206"/>
      <c r="CP192" s="206"/>
      <c r="CQ192" s="206"/>
      <c r="CR192" s="206"/>
    </row>
    <row r="193" spans="2:96" ht="45" x14ac:dyDescent="0.25">
      <c r="B193" s="341" t="s">
        <v>534</v>
      </c>
      <c r="C193" s="246">
        <f>_xlfn.XLOOKUP(FMS_Ranking4[[#This Row],[FMS ID]],FMS_Input[FMS_ID],FMS_Input[RFPG_NUM])</f>
        <v>9</v>
      </c>
      <c r="D193" s="309" t="str">
        <f>_xlfn.XLOOKUP(FMS_Ranking4[[#This Row],[FMS ID]],FMS_Input[FMS_ID],FMS_Input[FMS_NAME])</f>
        <v>City of Lamesa DCM</v>
      </c>
      <c r="E193" s="308" t="str">
        <f>_xlfn.XLOOKUP(FMS_Ranking4[[#This Row],[FMS ID]],FMS_Input[FMS_ID],FMS_Input[SPONSOR])</f>
        <v>00000117</v>
      </c>
      <c r="F193" s="309" t="str">
        <f>_xlfn.XLOOKUP(FMS_Ranking4[[#This Row],[FMS ID]],Sponsor[FMS_ID],Sponsor[SPONSOR NAME])</f>
        <v>Dawson</v>
      </c>
      <c r="G193" s="309" t="str">
        <f>_xlfn.XLOOKUP(FMS_Ranking4[[#This Row],[FMS ID]],FMS_Input[FMS_ID],FMS_Input[FMS_DESCR])</f>
        <v>Outreach Program: Discuss Stormwater Criteria Design Manual</v>
      </c>
      <c r="H193" s="248" t="str">
        <f>_xlfn.XLOOKUP(FMS_Ranking4[[#This Row],[FMS ID]],FMS_Input[FMS_ID],FMS_Input[FMS_TYPE])</f>
        <v>Other</v>
      </c>
      <c r="I193" s="249">
        <f>_xlfn.XLOOKUP(FMS_Ranking4[[#This Row],[FMS ID]],FMS_Input[FMS_ID],FMS_Input[NRNC_COST])</f>
        <v>75000</v>
      </c>
      <c r="J193" s="250">
        <f>_xlfn.XLOOKUP(FMS_Ranking4[[#This Row],[FMS ID]],FMS_Input[FMS_ID],FMS_Input[FMS_COST])</f>
        <v>100000</v>
      </c>
      <c r="K193" s="251" t="str">
        <f>_xlfn.XLOOKUP(FMS_Ranking4[[#This Row],[FMS ID]],FMS_Input[FMS_ID],FMS_Input[EMER_NEED])</f>
        <v>No</v>
      </c>
      <c r="L193" s="252">
        <f t="shared" si="2"/>
        <v>0</v>
      </c>
      <c r="M193" s="253">
        <f>_xlfn.XLOOKUP(FMS_Ranking4[[#This Row],[FMS ID]],FMS_Input[FMS_ID],FMS_Input[STRUCT_100])</f>
        <v>184</v>
      </c>
      <c r="N193" s="255">
        <f>(ASINH(FMS_Ranking4[[#This Row],[Structure at Risk Raw]]))*(10)/(ASINH(M$4))</f>
        <v>4.6446386698781357</v>
      </c>
      <c r="O193" s="256">
        <f>FMS_Ranking4[[#This Row],[Structures at risk, ArcSinh (0-10)]]*M$5*10</f>
        <v>4.6446386698781357</v>
      </c>
      <c r="P193" s="253">
        <f>_xlfn.XLOOKUP(FMS_Ranking4[[#This Row],[FMS ID]],FMS_Input[FMS_ID],FMS_Input[RES_STRUCT100])</f>
        <v>184</v>
      </c>
      <c r="Q193" s="257">
        <f>ASINH(FMS_Ranking4[[#This Row],[Res Structure Raw]])/Q$4*P$5*100</f>
        <v>0</v>
      </c>
      <c r="R193" s="253">
        <f>_xlfn.XLOOKUP(FMS_Ranking4[[#This Row],[FMS ID]],FMS_Input[FMS_ID],FMS_Input[POP100])</f>
        <v>495</v>
      </c>
      <c r="S193" s="259">
        <f>(ASINH(FMS_Ranking4[[#This Row],[Pop at Risk Raw]]))*(10)/(ASINH(R$4))</f>
        <v>4.7618879967279355</v>
      </c>
      <c r="T193" s="256">
        <f>FMS_Ranking4[[#This Row],[Population at risk, ArcSinh (0-10)]]*R$5*10</f>
        <v>4.7618879967279355</v>
      </c>
      <c r="U193" s="253">
        <f>_xlfn.XLOOKUP(FMS_Ranking4[[#This Row],[FMS ID]],FMS_Input[FMS_ID],FMS_Input[CRITFAC100])</f>
        <v>0</v>
      </c>
      <c r="V193" s="259">
        <f>(ASINH(FMS_Ranking4[[#This Row],[Critical Facilities Raw]]))*(10)/(ASINH(U$4))</f>
        <v>0</v>
      </c>
      <c r="W193" s="256">
        <f>FMS_Ranking4[[#This Row],[Critical facilities at risk, ArcSinh (0-10)]]*U$5*10</f>
        <v>0</v>
      </c>
      <c r="X193" s="253">
        <f>_xlfn.XLOOKUP(FMS_Ranking4[[#This Row],[FMS ID]],FMS_Input[FMS_ID],FMS_Input[LWC])</f>
        <v>6</v>
      </c>
      <c r="Y193" s="259">
        <f>(ASINH(FMS_Ranking4[[#This Row],[LWC Raw]]))*(10)/(ASINH(X$4))</f>
        <v>3.375708300798784</v>
      </c>
      <c r="Z193" s="256">
        <f>FMS_Ranking4[[#This Row],[LWC, ArcSInh (0-10)]]*X$5*10</f>
        <v>3.3757083007987845</v>
      </c>
      <c r="AA193" s="253">
        <f>_xlfn.XLOOKUP(FMS_Ranking4[[#This Row],[FMS ID]],FMS_Input[FMS_ID],FMS_Input[ROADCLS])</f>
        <v>0</v>
      </c>
      <c r="AB193" s="255">
        <f>(ASINH(FMS_Ranking4[[#This Row],[Road Closures Raw]]))*(10)/(ASINH(AA$4))</f>
        <v>0</v>
      </c>
      <c r="AC193" s="256">
        <f>FMS_Ranking4[[#This Row],[Road closures, ArcSinh (0-10)]]*AA$5*10</f>
        <v>0</v>
      </c>
      <c r="AD193" s="253">
        <f>_xlfn.XLOOKUP(FMS_Ranking4[[#This Row],[FMS ID]],FMS_Input[FMS_ID],FMS_Input[ROAD_MILES100])</f>
        <v>12</v>
      </c>
      <c r="AE193" s="259">
        <f>(ASINH(FMS_Ranking4[[#This Row],[Road Miles Raw]]))*(10)/(ASINH(AD$4))</f>
        <v>3.3887764405268412</v>
      </c>
      <c r="AF193" s="256">
        <f>FMS_Ranking4[[#This Row],[Length of roads at risk, ArcSinh (0-10)]]*AD$5*10</f>
        <v>3.3887764405268417</v>
      </c>
      <c r="AG193" s="253">
        <f>_xlfn.XLOOKUP(FMS_Ranking4[[#This Row],[FMS ID]],FMS_Input[FMS_ID],FMS_Input[FARMACRE100])</f>
        <v>51.152637481689453</v>
      </c>
      <c r="AH193" s="255">
        <f>(ASINH(FMS_Ranking4[[#This Row],[Ag Land Raw]]))*(10)/(ASINH(AG$4))</f>
        <v>3.0062999139538888</v>
      </c>
      <c r="AI193" s="260">
        <f>FMS_Ranking4[[#This Row],[Farm &amp; ranch land, ArcSinh (0-10)]]*AG$5*10</f>
        <v>1.5031499569769446</v>
      </c>
      <c r="AJ193" s="258">
        <f>_xlfn.XLOOKUP(FMS_Ranking4[[#This Row],[FMS ID]],FMS_Input[FMS_ID],FMS_Input[REDSTRUCT100])</f>
        <v>46</v>
      </c>
      <c r="AK193" s="253">
        <f>_xlfn.XLOOKUP(FMS_Ranking4[[#This Row],[FMS ID]],FMS_Input[FMS_ID],FMS_Input[REMSTRC100])</f>
        <v>46</v>
      </c>
      <c r="AL193" s="259">
        <f>(ASINH(FMS_Ranking4[[#This Row],[Structures Removed Raw]]))*(10)/(ASINH(AK$4))</f>
        <v>5.1485135585567985</v>
      </c>
      <c r="AM193" s="262">
        <f>FMS_Ranking4[[#This Row],[Structures removed, ArcSinh (0-10)]]*AK$5*10</f>
        <v>5.1485135585567985</v>
      </c>
      <c r="AN193" s="253">
        <f>_xlfn.XLOOKUP(FMS_Ranking4[[#This Row],[FMS ID]],FMS_Input[FMS_ID],FMS_Input[REMRESSTRC100])</f>
        <v>46</v>
      </c>
      <c r="AO193" s="261">
        <f>FMS_Ranking4[[#This Row],[ArcSinh Res struct removed 0-10]]*AN$5*10</f>
        <v>2.652217961869157</v>
      </c>
      <c r="AP193" s="260">
        <f>ASINH(FMS_Ranking4[[#This Row],[Residential Structures Removed Raw]])/AP$4*AN$5*100</f>
        <v>2.6522179618691575</v>
      </c>
      <c r="AQ193" s="254">
        <f>(ASINH(FMS_Ranking4[[#This Row],[Residential Structures Removed Raw]]))*(10)/(ASINH(AN$4))</f>
        <v>5.3044359237383141</v>
      </c>
      <c r="AR193" s="253">
        <f>_xlfn.XLOOKUP(FMS_Ranking4[[#This Row],[FMS ID]],FMS_Input[FMS_ID],FMS_Input[REMPOP100])</f>
        <v>132</v>
      </c>
      <c r="AS193" s="259">
        <f>(ASINH(FMS_Ranking4[[#This Row],[Removed Pop Raw]]))*(10)/(ASINH(AR$4))</f>
        <v>5.4734797116719092</v>
      </c>
      <c r="AT193" s="262">
        <f>FMS_Ranking4[[#This Row],[Removed population, ArcSinh (0-10)]]*AR$5*10</f>
        <v>5.4734797116719092</v>
      </c>
      <c r="AU193" s="264">
        <f>_xlfn.XLOOKUP(FMS_Ranking4[[#This Row],[FMS ID]],FMS_Input[FMS_ID],FMS_Input[REMCRITFAC100])</f>
        <v>0</v>
      </c>
      <c r="AV193" s="264">
        <f>_xlfn.XLOOKUP(FMS_Ranking4[[#This Row],[FMS ID]],FMS_Input[FMS_ID],FMS_Input[REMLWC100])</f>
        <v>1</v>
      </c>
      <c r="AW193" s="264">
        <f>_xlfn.XLOOKUP(FMS_Ranking4[[#This Row],[FMS ID]],FMS_Input[FMS_ID],FMS_Input[REMROADCLS])</f>
        <v>0</v>
      </c>
      <c r="AX193" s="264">
        <f>_xlfn.XLOOKUP(FMS_Ranking4[[#This Row],[FMS ID]],FMS_Input[FMS_ID],FMS_Input[REMFRMACRE100])</f>
        <v>12.78815937042236</v>
      </c>
      <c r="AY193" s="258">
        <f>_xlfn.XLOOKUP(FMS_Ranking4[[#This Row],[FMS ID]],FMS_Input[FMS_ID],FMS_Input[COSTSTRUCT])</f>
        <v>25000</v>
      </c>
      <c r="AZ193" s="253">
        <f>_xlfn.XLOOKUP(FMS_Ranking4[[#This Row],[FMS ID]],FMS_Input[FMS_ID],FMS_Input[NATURE])</f>
        <v>0</v>
      </c>
      <c r="BA193" s="262">
        <f>(((FMS_Ranking4[[#This Row],[% NBS Raw]]/AZ$4)*100)*AZ$5)</f>
        <v>0</v>
      </c>
      <c r="BB193" s="251" t="str">
        <f>_xlfn.XLOOKUP(FMS_Ranking4[[#This Row],[FMS ID]],FMS_Input[FMS_ID],FMS_Input[WATER_SUP])</f>
        <v>No</v>
      </c>
      <c r="BC193" s="265">
        <f>IF(FMS_Ranking4[[#This Row],[Water Supply Raw]]="Yes",10,0)</f>
        <v>0</v>
      </c>
      <c r="BD193" s="266">
        <f>_xlfn.XLOOKUP(FMS_Ranking4[[#This Row],[FMS Type]],FMS_TYPE[FMS_Type],FMS_TYPE[Score])</f>
        <v>2</v>
      </c>
      <c r="BE193" s="267">
        <f>FMS_Ranking4[[#This Row],[FMS_Type Score]]*$BD$5*10</f>
        <v>0.5</v>
      </c>
      <c r="BF19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0.11108421518008622</v>
      </c>
      <c r="BG193" s="271">
        <f>_xlfn.RANK.EQ(BF193,$BF$8:$BF$870,0)+COUNTIF($BF$8:BF193,BF193)-1</f>
        <v>473</v>
      </c>
      <c r="BH193" s="268">
        <f>(((FMS_Ranking4[[#This Row],[Structures Removed Raw]]/AK$4)*100)*AK$5)+(((FMS_Ranking4[[#This Row],[Removed Pop Raw]]/AR$4)*100)*AR$5)</f>
        <v>0.24045113039240196</v>
      </c>
      <c r="BI19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0.85153534557248811</v>
      </c>
      <c r="BJ193" s="205">
        <f>_xlfn.RANK.EQ(FMS_Ranking4[[#This Row],[Total Score 
(with linear
normalization)]],FMS_Ranking4[Total Score 
(with linear
normalization)],0)</f>
        <v>768</v>
      </c>
      <c r="BK193" s="205" t="e">
        <f>_xlfn.XLOOKUP(FMS_Ranking4[[#This Row],[FMS ID]],#REF!,#REF!)</f>
        <v>#REF!</v>
      </c>
      <c r="BL19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30.948372597006507</v>
      </c>
      <c r="BM193" s="272">
        <f>FMS_Ranking4[[#This Row],[ArcSinh Score Based on Normalized Reported Factors]]+FMS_Ranking4[[#This Row],[% NBS Score (Normalized)]]+(FMS_Ranking4[[#This Row],[Water Supply Score (Normalized)]]*10*$BB$5)+FMS_Ranking4[[#This Row],[FMS_Type Score Weighted]]</f>
        <v>31.448372597006507</v>
      </c>
      <c r="BN193" s="205">
        <f>_xlfn.RANK.EQ(FMS_Ranking4[[#This Row],[Total Score (with ArcSinh normalization of select criteria)]],FMS_Ranking4[Total Score (with ArcSinh normalization of select criteria)],0)</f>
        <v>186</v>
      </c>
      <c r="BO193" s="270" t="str">
        <f>_xlfn.XLOOKUP(FMS_Ranking4[[#This Row],[FMS ID]],FMS_Input[FMS_ID],FMS_Input[FMS_RANK_YEAR])</f>
        <v>2023 Amended Plan</v>
      </c>
      <c r="BP193" s="204">
        <f>_xlfn.XLOOKUP(FMS_Ranking4[[#This Row],[FMS ID]],Prev_Rank[FMS ID],Prev_Rank[Prev Rank])</f>
        <v>179</v>
      </c>
      <c r="BQ193" s="205" t="e">
        <f>_xlfn.XLOOKUP(FMS_Ranking4[[#This Row],[FMS ID]],#REF!,#REF!)</f>
        <v>#REF!</v>
      </c>
      <c r="BR193" s="199" t="e">
        <f>SUM(#REF!,#REF!,#REF!,#REF!,#REF!,#REF!,#REF!,#REF!,#REF!,FMS_Ranking4[[#This Row],[ArcSinh Res struct removed 0-10]],#REF!)</f>
        <v>#REF!</v>
      </c>
      <c r="BS193" s="199" t="e">
        <f>FMS_Ranking4[[#This Row],[Log Score Based on Normalized Reported Factors]]+FMS_Ranking4[[#This Row],[% NBS Score (Normalized)]]+(FMS_Ranking4[[#This Row],[Water Supply Score (Normalized)]]*10*$BB$5)+(FMS_Ranking4[[#This Row],[FMS_Type Score Weighted]])</f>
        <v>#REF!</v>
      </c>
      <c r="BT193" s="200" t="e">
        <f>_xlfn.RANK.EQ(FMS_Ranking4[[#This Row],[Log Total Score]],FMS_Ranking4[Log Total Score],0)</f>
        <v>#REF!</v>
      </c>
      <c r="BU193" s="200" t="e">
        <f>_xlfn.XLOOKUP(FMS_Ranking4[[#This Row],[FMS ID]],#REF!,#REF!)</f>
        <v>#REF!</v>
      </c>
      <c r="BV193" s="200">
        <f>FMS_Ranking4[[#This Row],[Region Number]]</f>
        <v>9</v>
      </c>
      <c r="BW193" s="200">
        <f>FMS_Ranking4[[#This Row],[Rank (with ArcSinh normalization of select criteria)]]-FMS_Ranking4[[#This Row],[Rank
(with linear
normalization)]]</f>
        <v>-582</v>
      </c>
      <c r="BX193" s="200" t="e">
        <f>FMS_Ranking4[[#This Row],[Log Rank]]-FMS_Ranking4[[#This Row],[Rank
(with linear
normalization)]]</f>
        <v>#REF!</v>
      </c>
      <c r="BY193" s="200" t="str">
        <f>IF(FMS_Ranking4[[#This Row],[FMS Type]]="Flood Measurement and Warning",FMS_Ranking4[[#This Row],[Rank (with ArcSinh normalization of select criteria)]],"")</f>
        <v/>
      </c>
      <c r="BZ193" s="200" t="str">
        <f>IF(FMS_Ranking4[[#This Row],[FMS Type]]="Regulatory and Guidance",FMS_Ranking4[[#This Row],[Rank (with ArcSinh normalization of select criteria)]],"")</f>
        <v/>
      </c>
      <c r="CA193" s="200" t="str">
        <f>IF(FMS_Ranking4[[#This Row],[FMS Type]]="Education and Outreach",FMS_Ranking4[[#This Row],[Rank (with ArcSinh normalization of select criteria)]],"")</f>
        <v/>
      </c>
      <c r="CB193" s="200" t="str">
        <f>IF(FMS_Ranking4[[#This Row],[FMS Type]]="Property Acquisition and Structural Elevation",FMS_Ranking4[[#This Row],[Rank (with ArcSinh normalization of select criteria)]],"")</f>
        <v/>
      </c>
      <c r="CC193" s="200" t="str">
        <f>IF(FMS_Ranking4[[#This Row],[FMS Type]]="Infrastructure Projects",FMS_Ranking4[[#This Row],[Rank (with ArcSinh normalization of select criteria)]],"")</f>
        <v/>
      </c>
      <c r="CD193" s="200">
        <f>IF(FMS_Ranking4[[#This Row],[FMS Type]]="Other",FMS_Ranking4[[#This Row],[Rank (with ArcSinh normalization of select criteria)]],"")</f>
        <v>186</v>
      </c>
      <c r="CE193" s="201"/>
      <c r="CF193" s="206"/>
      <c r="CG193" s="206"/>
      <c r="CH193" s="206"/>
      <c r="CI193" s="206"/>
      <c r="CJ193" s="206"/>
      <c r="CK193" s="206"/>
      <c r="CL193" s="206"/>
      <c r="CM193" s="206"/>
      <c r="CN193" s="206"/>
      <c r="CO193" s="206"/>
      <c r="CP193" s="206"/>
      <c r="CQ193" s="206"/>
      <c r="CR193" s="206"/>
    </row>
    <row r="194" spans="2:96" ht="60" x14ac:dyDescent="0.25">
      <c r="B194" s="341" t="s">
        <v>2673</v>
      </c>
      <c r="C194" s="246">
        <f>_xlfn.XLOOKUP(FMS_Ranking4[[#This Row],[FMS ID]],FMS_Input[FMS_ID],FMS_Input[RFPG_NUM])</f>
        <v>5</v>
      </c>
      <c r="D194" s="309" t="str">
        <f>_xlfn.XLOOKUP(FMS_Ranking4[[#This Row],[FMS ID]],FMS_Input[FMS_ID],FMS_Input[FMS_NAME])</f>
        <v>Angelina County Property Elevation</v>
      </c>
      <c r="E194" s="308" t="str">
        <f>_xlfn.XLOOKUP(FMS_Ranking4[[#This Row],[FMS ID]],FMS_Input[FMS_ID],FMS_Input[SPONSOR])</f>
        <v>05000125</v>
      </c>
      <c r="F194" s="309" t="str">
        <f>_xlfn.XLOOKUP(FMS_Ranking4[[#This Row],[FMS ID]],Sponsor[FMS_ID],Sponsor[SPONSOR NAME])</f>
        <v>Angelina</v>
      </c>
      <c r="G194" s="309" t="str">
        <f>_xlfn.XLOOKUP(FMS_Ranking4[[#This Row],[FMS ID]],FMS_Input[FMS_ID],FMS_Input[FMS_DESCR])</f>
        <v>Elevate properties in the floodplain.</v>
      </c>
      <c r="H194" s="248" t="str">
        <f>_xlfn.XLOOKUP(FMS_Ranking4[[#This Row],[FMS ID]],FMS_Input[FMS_ID],FMS_Input[FMS_TYPE])</f>
        <v>Property Acquisition and Structural Elevation</v>
      </c>
      <c r="I194" s="249">
        <f>_xlfn.XLOOKUP(FMS_Ranking4[[#This Row],[FMS ID]],FMS_Input[FMS_ID],FMS_Input[NRNC_COST])</f>
        <v>100000</v>
      </c>
      <c r="J194" s="250">
        <f>_xlfn.XLOOKUP(FMS_Ranking4[[#This Row],[FMS ID]],FMS_Input[FMS_ID],FMS_Input[FMS_COST])</f>
        <v>630000</v>
      </c>
      <c r="K194" s="251" t="str">
        <f>_xlfn.XLOOKUP(FMS_Ranking4[[#This Row],[FMS ID]],FMS_Input[FMS_ID],FMS_Input[EMER_NEED])</f>
        <v>Yes</v>
      </c>
      <c r="L194" s="252">
        <f t="shared" si="2"/>
        <v>1</v>
      </c>
      <c r="M194" s="253">
        <f>_xlfn.XLOOKUP(FMS_Ranking4[[#This Row],[FMS ID]],FMS_Input[FMS_ID],FMS_Input[STRUCT_100])</f>
        <v>1201</v>
      </c>
      <c r="N194" s="255">
        <f>(ASINH(FMS_Ranking4[[#This Row],[Structure at Risk Raw]]))*(10)/(ASINH(M$4))</f>
        <v>6.1194279362209647</v>
      </c>
      <c r="O194" s="256">
        <f>FMS_Ranking4[[#This Row],[Structures at risk, ArcSinh (0-10)]]*M$5*10</f>
        <v>6.1194279362209647</v>
      </c>
      <c r="P194" s="253">
        <f>_xlfn.XLOOKUP(FMS_Ranking4[[#This Row],[FMS ID]],FMS_Input[FMS_ID],FMS_Input[RES_STRUCT100])</f>
        <v>750</v>
      </c>
      <c r="Q194" s="257">
        <f>ASINH(FMS_Ranking4[[#This Row],[Res Structure Raw]])/Q$4*P$5*100</f>
        <v>0</v>
      </c>
      <c r="R194" s="253">
        <f>_xlfn.XLOOKUP(FMS_Ranking4[[#This Row],[FMS ID]],FMS_Input[FMS_ID],FMS_Input[POP100])</f>
        <v>8420</v>
      </c>
      <c r="S194" s="259">
        <f>(ASINH(FMS_Ranking4[[#This Row],[Pop at Risk Raw]]))*(10)/(ASINH(R$4))</f>
        <v>6.7182294832133325</v>
      </c>
      <c r="T194" s="256">
        <f>FMS_Ranking4[[#This Row],[Population at risk, ArcSinh (0-10)]]*R$5*10</f>
        <v>6.7182294832133325</v>
      </c>
      <c r="U194" s="253">
        <f>_xlfn.XLOOKUP(FMS_Ranking4[[#This Row],[FMS ID]],FMS_Input[FMS_ID],FMS_Input[CRITFAC100])</f>
        <v>11</v>
      </c>
      <c r="V194" s="259">
        <f>(ASINH(FMS_Ranking4[[#This Row],[Critical Facilities Raw]]))*(10)/(ASINH(U$4))</f>
        <v>3.661503455940549</v>
      </c>
      <c r="W194" s="256">
        <f>FMS_Ranking4[[#This Row],[Critical facilities at risk, ArcSinh (0-10)]]*U$5*10</f>
        <v>3.661503455940549</v>
      </c>
      <c r="X194" s="253">
        <f>_xlfn.XLOOKUP(FMS_Ranking4[[#This Row],[FMS ID]],FMS_Input[FMS_ID],FMS_Input[LWC])</f>
        <v>19</v>
      </c>
      <c r="Y194" s="259">
        <f>(ASINH(FMS_Ranking4[[#This Row],[LWC Raw]]))*(10)/(ASINH(X$4))</f>
        <v>4.9289126022409242</v>
      </c>
      <c r="Z194" s="256">
        <f>FMS_Ranking4[[#This Row],[LWC, ArcSInh (0-10)]]*X$5*10</f>
        <v>4.9289126022409242</v>
      </c>
      <c r="AA194" s="253">
        <f>_xlfn.XLOOKUP(FMS_Ranking4[[#This Row],[FMS ID]],FMS_Input[FMS_ID],FMS_Input[ROADCLS])</f>
        <v>19</v>
      </c>
      <c r="AB194" s="255">
        <f>(ASINH(FMS_Ranking4[[#This Row],[Road Closures Raw]]))*(10)/(ASINH(AA$4))</f>
        <v>3.7889325651726184</v>
      </c>
      <c r="AC194" s="256">
        <f>FMS_Ranking4[[#This Row],[Road closures, ArcSinh (0-10)]]*AA$5*10</f>
        <v>1.8944662825863092</v>
      </c>
      <c r="AD194" s="253">
        <f>_xlfn.XLOOKUP(FMS_Ranking4[[#This Row],[FMS ID]],FMS_Input[FMS_ID],FMS_Input[ROAD_MILES100])</f>
        <v>66</v>
      </c>
      <c r="AE194" s="259">
        <f>(ASINH(FMS_Ranking4[[#This Row],[Road Miles Raw]]))*(10)/(ASINH(AD$4))</f>
        <v>5.2037846312215725</v>
      </c>
      <c r="AF194" s="256">
        <f>FMS_Ranking4[[#This Row],[Length of roads at risk, ArcSinh (0-10)]]*AD$5*10</f>
        <v>5.2037846312215734</v>
      </c>
      <c r="AG194" s="253">
        <f>_xlfn.XLOOKUP(FMS_Ranking4[[#This Row],[FMS ID]],FMS_Input[FMS_ID],FMS_Input[FARMACRE100])</f>
        <v>165.36151123046881</v>
      </c>
      <c r="AH194" s="255">
        <f>(ASINH(FMS_Ranking4[[#This Row],[Ag Land Raw]]))*(10)/(ASINH(AG$4))</f>
        <v>3.7684107272959633</v>
      </c>
      <c r="AI194" s="260">
        <f>FMS_Ranking4[[#This Row],[Farm &amp; ranch land, ArcSinh (0-10)]]*AG$5*10</f>
        <v>1.8842053636479816</v>
      </c>
      <c r="AJ194" s="258">
        <f>_xlfn.XLOOKUP(FMS_Ranking4[[#This Row],[FMS ID]],FMS_Input[FMS_ID],FMS_Input[REDSTRUCT100])</f>
        <v>0</v>
      </c>
      <c r="AK194" s="253">
        <f>_xlfn.XLOOKUP(FMS_Ranking4[[#This Row],[FMS ID]],FMS_Input[FMS_ID],FMS_Input[REMSTRC100])</f>
        <v>0</v>
      </c>
      <c r="AL194" s="259">
        <f>(ASINH(FMS_Ranking4[[#This Row],[Structures Removed Raw]]))*(10)/(ASINH(AK$4))</f>
        <v>0</v>
      </c>
      <c r="AM194" s="262">
        <f>FMS_Ranking4[[#This Row],[Structures removed, ArcSinh (0-10)]]*AK$5*10</f>
        <v>0</v>
      </c>
      <c r="AN194" s="253">
        <f>_xlfn.XLOOKUP(FMS_Ranking4[[#This Row],[FMS ID]],FMS_Input[FMS_ID],FMS_Input[REMRESSTRC100])</f>
        <v>0</v>
      </c>
      <c r="AO194" s="261">
        <f>FMS_Ranking4[[#This Row],[ArcSinh Res struct removed 0-10]]*AN$5*10</f>
        <v>0</v>
      </c>
      <c r="AP194" s="260">
        <f>ASINH(FMS_Ranking4[[#This Row],[Residential Structures Removed Raw]])/AP$4*AN$5*100</f>
        <v>0</v>
      </c>
      <c r="AQ194" s="254">
        <f>(ASINH(FMS_Ranking4[[#This Row],[Residential Structures Removed Raw]]))*(10)/(ASINH(AN$4))</f>
        <v>0</v>
      </c>
      <c r="AR194" s="253">
        <f>_xlfn.XLOOKUP(FMS_Ranking4[[#This Row],[FMS ID]],FMS_Input[FMS_ID],FMS_Input[REMPOP100])</f>
        <v>0</v>
      </c>
      <c r="AS194" s="259">
        <f>(ASINH(FMS_Ranking4[[#This Row],[Removed Pop Raw]]))*(10)/(ASINH(AR$4))</f>
        <v>0</v>
      </c>
      <c r="AT194" s="262">
        <f>FMS_Ranking4[[#This Row],[Removed population, ArcSinh (0-10)]]*AR$5*10</f>
        <v>0</v>
      </c>
      <c r="AU194" s="264">
        <f>_xlfn.XLOOKUP(FMS_Ranking4[[#This Row],[FMS ID]],FMS_Input[FMS_ID],FMS_Input[REMCRITFAC100])</f>
        <v>0</v>
      </c>
      <c r="AV194" s="264">
        <f>_xlfn.XLOOKUP(FMS_Ranking4[[#This Row],[FMS ID]],FMS_Input[FMS_ID],FMS_Input[REMLWC100])</f>
        <v>0</v>
      </c>
      <c r="AW194" s="264">
        <f>_xlfn.XLOOKUP(FMS_Ranking4[[#This Row],[FMS ID]],FMS_Input[FMS_ID],FMS_Input[REMROADCLS])</f>
        <v>0</v>
      </c>
      <c r="AX194" s="264">
        <f>_xlfn.XLOOKUP(FMS_Ranking4[[#This Row],[FMS ID]],FMS_Input[FMS_ID],FMS_Input[REMFRMACRE100])</f>
        <v>0</v>
      </c>
      <c r="AY194" s="258">
        <f>_xlfn.XLOOKUP(FMS_Ranking4[[#This Row],[FMS ID]],FMS_Input[FMS_ID],FMS_Input[COSTSTRUCT])</f>
        <v>0</v>
      </c>
      <c r="AZ194" s="253">
        <f>_xlfn.XLOOKUP(FMS_Ranking4[[#This Row],[FMS ID]],FMS_Input[FMS_ID],FMS_Input[NATURE])</f>
        <v>0</v>
      </c>
      <c r="BA194" s="262">
        <f>(((FMS_Ranking4[[#This Row],[% NBS Raw]]/AZ$4)*100)*AZ$5)</f>
        <v>0</v>
      </c>
      <c r="BB194" s="251" t="str">
        <f>_xlfn.XLOOKUP(FMS_Ranking4[[#This Row],[FMS ID]],FMS_Input[FMS_ID],FMS_Input[WATER_SUP])</f>
        <v>No</v>
      </c>
      <c r="BC194" s="265">
        <f>IF(FMS_Ranking4[[#This Row],[Water Supply Raw]]="Yes",10,0)</f>
        <v>0</v>
      </c>
      <c r="BD194" s="266">
        <f>_xlfn.XLOOKUP(FMS_Ranking4[[#This Row],[FMS Type]],FMS_TYPE[FMS_Type],FMS_TYPE[Score])</f>
        <v>4</v>
      </c>
      <c r="BE194" s="267">
        <f>FMS_Ranking4[[#This Row],[FMS_Type Score]]*$BD$5*10</f>
        <v>1</v>
      </c>
      <c r="BF19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0.56601306413166153</v>
      </c>
      <c r="BG194" s="271">
        <f>_xlfn.RANK.EQ(BF194,$BF$8:$BF$870,0)+COUNTIF($BF$8:BF194,BF194)-1</f>
        <v>206</v>
      </c>
      <c r="BH194" s="268">
        <f>(((FMS_Ranking4[[#This Row],[Structures Removed Raw]]/AK$4)*100)*AK$5)+(((FMS_Ranking4[[#This Row],[Removed Pop Raw]]/AR$4)*100)*AR$5)</f>
        <v>0</v>
      </c>
      <c r="BI19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1.5660130641316616</v>
      </c>
      <c r="BJ194" s="205">
        <f>_xlfn.RANK.EQ(FMS_Ranking4[[#This Row],[Total Score 
(with linear
normalization)]],FMS_Ranking4[Total Score 
(with linear
normalization)],0)</f>
        <v>575</v>
      </c>
      <c r="BK194" s="205" t="e">
        <f>_xlfn.XLOOKUP(FMS_Ranking4[[#This Row],[FMS ID]],#REF!,#REF!)</f>
        <v>#REF!</v>
      </c>
      <c r="BL19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30.410529755071636</v>
      </c>
      <c r="BM194" s="272">
        <f>FMS_Ranking4[[#This Row],[ArcSinh Score Based on Normalized Reported Factors]]+FMS_Ranking4[[#This Row],[% NBS Score (Normalized)]]+(FMS_Ranking4[[#This Row],[Water Supply Score (Normalized)]]*10*$BB$5)+FMS_Ranking4[[#This Row],[FMS_Type Score Weighted]]</f>
        <v>31.410529755071636</v>
      </c>
      <c r="BN194" s="205">
        <f>_xlfn.RANK.EQ(FMS_Ranking4[[#This Row],[Total Score (with ArcSinh normalization of select criteria)]],FMS_Ranking4[Total Score (with ArcSinh normalization of select criteria)],0)</f>
        <v>187</v>
      </c>
      <c r="BO194" s="270" t="str">
        <f>_xlfn.XLOOKUP(FMS_Ranking4[[#This Row],[FMS ID]],FMS_Input[FMS_ID],FMS_Input[FMS_RANK_YEAR])</f>
        <v>2023 Amended Plan</v>
      </c>
      <c r="BP194" s="204">
        <f>_xlfn.XLOOKUP(FMS_Ranking4[[#This Row],[FMS ID]],Prev_Rank[FMS ID],Prev_Rank[Prev Rank])</f>
        <v>164</v>
      </c>
      <c r="BQ194" s="205" t="e">
        <f>_xlfn.XLOOKUP(FMS_Ranking4[[#This Row],[FMS ID]],#REF!,#REF!)</f>
        <v>#REF!</v>
      </c>
      <c r="BR194" s="199" t="e">
        <f>SUM(#REF!,#REF!,#REF!,#REF!,#REF!,#REF!,#REF!,#REF!,#REF!,FMS_Ranking4[[#This Row],[ArcSinh Res struct removed 0-10]],#REF!)</f>
        <v>#REF!</v>
      </c>
      <c r="BS194" s="199" t="e">
        <f>FMS_Ranking4[[#This Row],[Log Score Based on Normalized Reported Factors]]+FMS_Ranking4[[#This Row],[% NBS Score (Normalized)]]+(FMS_Ranking4[[#This Row],[Water Supply Score (Normalized)]]*10*$BB$5)+(FMS_Ranking4[[#This Row],[FMS_Type Score Weighted]])</f>
        <v>#REF!</v>
      </c>
      <c r="BT194" s="200" t="e">
        <f>_xlfn.RANK.EQ(FMS_Ranking4[[#This Row],[Log Total Score]],FMS_Ranking4[Log Total Score],0)</f>
        <v>#REF!</v>
      </c>
      <c r="BU194" s="200" t="e">
        <f>_xlfn.XLOOKUP(FMS_Ranking4[[#This Row],[FMS ID]],#REF!,#REF!)</f>
        <v>#REF!</v>
      </c>
      <c r="BV194" s="200">
        <f>FMS_Ranking4[[#This Row],[Region Number]]</f>
        <v>5</v>
      </c>
      <c r="BW194" s="200">
        <f>FMS_Ranking4[[#This Row],[Rank (with ArcSinh normalization of select criteria)]]-FMS_Ranking4[[#This Row],[Rank
(with linear
normalization)]]</f>
        <v>-388</v>
      </c>
      <c r="BX194" s="200" t="e">
        <f>FMS_Ranking4[[#This Row],[Log Rank]]-FMS_Ranking4[[#This Row],[Rank
(with linear
normalization)]]</f>
        <v>#REF!</v>
      </c>
      <c r="BY194" s="200" t="str">
        <f>IF(FMS_Ranking4[[#This Row],[FMS Type]]="Flood Measurement and Warning",FMS_Ranking4[[#This Row],[Rank (with ArcSinh normalization of select criteria)]],"")</f>
        <v/>
      </c>
      <c r="BZ194" s="200" t="str">
        <f>IF(FMS_Ranking4[[#This Row],[FMS Type]]="Regulatory and Guidance",FMS_Ranking4[[#This Row],[Rank (with ArcSinh normalization of select criteria)]],"")</f>
        <v/>
      </c>
      <c r="CA194" s="200" t="str">
        <f>IF(FMS_Ranking4[[#This Row],[FMS Type]]="Education and Outreach",FMS_Ranking4[[#This Row],[Rank (with ArcSinh normalization of select criteria)]],"")</f>
        <v/>
      </c>
      <c r="CB194" s="200">
        <f>IF(FMS_Ranking4[[#This Row],[FMS Type]]="Property Acquisition and Structural Elevation",FMS_Ranking4[[#This Row],[Rank (with ArcSinh normalization of select criteria)]],"")</f>
        <v>187</v>
      </c>
      <c r="CC194" s="200" t="str">
        <f>IF(FMS_Ranking4[[#This Row],[FMS Type]]="Infrastructure Projects",FMS_Ranking4[[#This Row],[Rank (with ArcSinh normalization of select criteria)]],"")</f>
        <v/>
      </c>
      <c r="CD194" s="200" t="str">
        <f>IF(FMS_Ranking4[[#This Row],[FMS Type]]="Other",FMS_Ranking4[[#This Row],[Rank (with ArcSinh normalization of select criteria)]],"")</f>
        <v/>
      </c>
      <c r="CE194" s="201"/>
      <c r="CF194" s="206"/>
      <c r="CG194" s="206"/>
      <c r="CH194" s="206"/>
      <c r="CI194" s="206"/>
      <c r="CJ194" s="206"/>
      <c r="CK194" s="206"/>
      <c r="CL194" s="206"/>
      <c r="CM194" s="206"/>
      <c r="CN194" s="206"/>
      <c r="CO194" s="206"/>
      <c r="CP194" s="206"/>
      <c r="CQ194" s="206"/>
      <c r="CR194" s="206"/>
    </row>
    <row r="195" spans="2:96" ht="45" x14ac:dyDescent="0.25">
      <c r="B195" s="341" t="s">
        <v>2758</v>
      </c>
      <c r="C195" s="246">
        <f>_xlfn.XLOOKUP(FMS_Ranking4[[#This Row],[FMS ID]],FMS_Input[FMS_ID],FMS_Input[RFPG_NUM])</f>
        <v>5</v>
      </c>
      <c r="D195" s="309" t="str">
        <f>_xlfn.XLOOKUP(FMS_Ranking4[[#This Row],[FMS ID]],FMS_Input[FMS_ID],FMS_Input[FMS_NAME])</f>
        <v>Angelina County Culvert Improvements</v>
      </c>
      <c r="E195" s="308" t="str">
        <f>_xlfn.XLOOKUP(FMS_Ranking4[[#This Row],[FMS ID]],FMS_Input[FMS_ID],FMS_Input[SPONSOR])</f>
        <v>05000125</v>
      </c>
      <c r="F195" s="309" t="str">
        <f>_xlfn.XLOOKUP(FMS_Ranking4[[#This Row],[FMS ID]],Sponsor[FMS_ID],Sponsor[SPONSOR NAME])</f>
        <v>Angelina</v>
      </c>
      <c r="G195" s="309" t="str">
        <f>_xlfn.XLOOKUP(FMS_Ranking4[[#This Row],[FMS ID]],FMS_Input[FMS_ID],FMS_Input[FMS_DESCR])</f>
        <v>Develop plan to upgrade major culvert areas which are prone to flooding.</v>
      </c>
      <c r="H195" s="248" t="str">
        <f>_xlfn.XLOOKUP(FMS_Ranking4[[#This Row],[FMS ID]],FMS_Input[FMS_ID],FMS_Input[FMS_TYPE])</f>
        <v>Infrastructure Projects</v>
      </c>
      <c r="I195" s="249">
        <f>_xlfn.XLOOKUP(FMS_Ranking4[[#This Row],[FMS ID]],FMS_Input[FMS_ID],FMS_Input[NRNC_COST])</f>
        <v>63000</v>
      </c>
      <c r="J195" s="250">
        <f>_xlfn.XLOOKUP(FMS_Ranking4[[#This Row],[FMS ID]],FMS_Input[FMS_ID],FMS_Input[FMS_COST])</f>
        <v>2000000</v>
      </c>
      <c r="K195" s="251" t="str">
        <f>_xlfn.XLOOKUP(FMS_Ranking4[[#This Row],[FMS ID]],FMS_Input[FMS_ID],FMS_Input[EMER_NEED])</f>
        <v>Yes</v>
      </c>
      <c r="L195" s="252">
        <f t="shared" si="2"/>
        <v>1</v>
      </c>
      <c r="M195" s="253">
        <f>_xlfn.XLOOKUP(FMS_Ranking4[[#This Row],[FMS ID]],FMS_Input[FMS_ID],FMS_Input[STRUCT_100])</f>
        <v>1201</v>
      </c>
      <c r="N195" s="255">
        <f>(ASINH(FMS_Ranking4[[#This Row],[Structure at Risk Raw]]))*(10)/(ASINH(M$4))</f>
        <v>6.1194279362209647</v>
      </c>
      <c r="O195" s="256">
        <f>FMS_Ranking4[[#This Row],[Structures at risk, ArcSinh (0-10)]]*M$5*10</f>
        <v>6.1194279362209647</v>
      </c>
      <c r="P195" s="253">
        <f>_xlfn.XLOOKUP(FMS_Ranking4[[#This Row],[FMS ID]],FMS_Input[FMS_ID],FMS_Input[RES_STRUCT100])</f>
        <v>750</v>
      </c>
      <c r="Q195" s="257">
        <f>ASINH(FMS_Ranking4[[#This Row],[Res Structure Raw]])/Q$4*P$5*100</f>
        <v>0</v>
      </c>
      <c r="R195" s="253">
        <f>_xlfn.XLOOKUP(FMS_Ranking4[[#This Row],[FMS ID]],FMS_Input[FMS_ID],FMS_Input[POP100])</f>
        <v>8420</v>
      </c>
      <c r="S195" s="259">
        <f>(ASINH(FMS_Ranking4[[#This Row],[Pop at Risk Raw]]))*(10)/(ASINH(R$4))</f>
        <v>6.7182294832133325</v>
      </c>
      <c r="T195" s="256">
        <f>FMS_Ranking4[[#This Row],[Population at risk, ArcSinh (0-10)]]*R$5*10</f>
        <v>6.7182294832133325</v>
      </c>
      <c r="U195" s="253">
        <f>_xlfn.XLOOKUP(FMS_Ranking4[[#This Row],[FMS ID]],FMS_Input[FMS_ID],FMS_Input[CRITFAC100])</f>
        <v>11</v>
      </c>
      <c r="V195" s="259">
        <f>(ASINH(FMS_Ranking4[[#This Row],[Critical Facilities Raw]]))*(10)/(ASINH(U$4))</f>
        <v>3.661503455940549</v>
      </c>
      <c r="W195" s="256">
        <f>FMS_Ranking4[[#This Row],[Critical facilities at risk, ArcSinh (0-10)]]*U$5*10</f>
        <v>3.661503455940549</v>
      </c>
      <c r="X195" s="253">
        <f>_xlfn.XLOOKUP(FMS_Ranking4[[#This Row],[FMS ID]],FMS_Input[FMS_ID],FMS_Input[LWC])</f>
        <v>19</v>
      </c>
      <c r="Y195" s="259">
        <f>(ASINH(FMS_Ranking4[[#This Row],[LWC Raw]]))*(10)/(ASINH(X$4))</f>
        <v>4.9289126022409242</v>
      </c>
      <c r="Z195" s="256">
        <f>FMS_Ranking4[[#This Row],[LWC, ArcSInh (0-10)]]*X$5*10</f>
        <v>4.9289126022409242</v>
      </c>
      <c r="AA195" s="253">
        <f>_xlfn.XLOOKUP(FMS_Ranking4[[#This Row],[FMS ID]],FMS_Input[FMS_ID],FMS_Input[ROADCLS])</f>
        <v>19</v>
      </c>
      <c r="AB195" s="255">
        <f>(ASINH(FMS_Ranking4[[#This Row],[Road Closures Raw]]))*(10)/(ASINH(AA$4))</f>
        <v>3.7889325651726184</v>
      </c>
      <c r="AC195" s="256">
        <f>FMS_Ranking4[[#This Row],[Road closures, ArcSinh (0-10)]]*AA$5*10</f>
        <v>1.8944662825863092</v>
      </c>
      <c r="AD195" s="253">
        <f>_xlfn.XLOOKUP(FMS_Ranking4[[#This Row],[FMS ID]],FMS_Input[FMS_ID],FMS_Input[ROAD_MILES100])</f>
        <v>66</v>
      </c>
      <c r="AE195" s="259">
        <f>(ASINH(FMS_Ranking4[[#This Row],[Road Miles Raw]]))*(10)/(ASINH(AD$4))</f>
        <v>5.2037846312215725</v>
      </c>
      <c r="AF195" s="256">
        <f>FMS_Ranking4[[#This Row],[Length of roads at risk, ArcSinh (0-10)]]*AD$5*10</f>
        <v>5.2037846312215734</v>
      </c>
      <c r="AG195" s="253">
        <f>_xlfn.XLOOKUP(FMS_Ranking4[[#This Row],[FMS ID]],FMS_Input[FMS_ID],FMS_Input[FARMACRE100])</f>
        <v>165.36151123046881</v>
      </c>
      <c r="AH195" s="255">
        <f>(ASINH(FMS_Ranking4[[#This Row],[Ag Land Raw]]))*(10)/(ASINH(AG$4))</f>
        <v>3.7684107272959633</v>
      </c>
      <c r="AI195" s="260">
        <f>FMS_Ranking4[[#This Row],[Farm &amp; ranch land, ArcSinh (0-10)]]*AG$5*10</f>
        <v>1.8842053636479816</v>
      </c>
      <c r="AJ195" s="258">
        <f>_xlfn.XLOOKUP(FMS_Ranking4[[#This Row],[FMS ID]],FMS_Input[FMS_ID],FMS_Input[REDSTRUCT100])</f>
        <v>0</v>
      </c>
      <c r="AK195" s="253">
        <f>_xlfn.XLOOKUP(FMS_Ranking4[[#This Row],[FMS ID]],FMS_Input[FMS_ID],FMS_Input[REMSTRC100])</f>
        <v>0</v>
      </c>
      <c r="AL195" s="259">
        <f>(ASINH(FMS_Ranking4[[#This Row],[Structures Removed Raw]]))*(10)/(ASINH(AK$4))</f>
        <v>0</v>
      </c>
      <c r="AM195" s="262">
        <f>FMS_Ranking4[[#This Row],[Structures removed, ArcSinh (0-10)]]*AK$5*10</f>
        <v>0</v>
      </c>
      <c r="AN195" s="253">
        <f>_xlfn.XLOOKUP(FMS_Ranking4[[#This Row],[FMS ID]],FMS_Input[FMS_ID],FMS_Input[REMRESSTRC100])</f>
        <v>0</v>
      </c>
      <c r="AO195" s="261">
        <f>FMS_Ranking4[[#This Row],[ArcSinh Res struct removed 0-10]]*AN$5*10</f>
        <v>0</v>
      </c>
      <c r="AP195" s="260">
        <f>ASINH(FMS_Ranking4[[#This Row],[Residential Structures Removed Raw]])/AP$4*AN$5*100</f>
        <v>0</v>
      </c>
      <c r="AQ195" s="254">
        <f>(ASINH(FMS_Ranking4[[#This Row],[Residential Structures Removed Raw]]))*(10)/(ASINH(AN$4))</f>
        <v>0</v>
      </c>
      <c r="AR195" s="253">
        <f>_xlfn.XLOOKUP(FMS_Ranking4[[#This Row],[FMS ID]],FMS_Input[FMS_ID],FMS_Input[REMPOP100])</f>
        <v>0</v>
      </c>
      <c r="AS195" s="259">
        <f>(ASINH(FMS_Ranking4[[#This Row],[Removed Pop Raw]]))*(10)/(ASINH(AR$4))</f>
        <v>0</v>
      </c>
      <c r="AT195" s="262">
        <f>FMS_Ranking4[[#This Row],[Removed population, ArcSinh (0-10)]]*AR$5*10</f>
        <v>0</v>
      </c>
      <c r="AU195" s="264">
        <f>_xlfn.XLOOKUP(FMS_Ranking4[[#This Row],[FMS ID]],FMS_Input[FMS_ID],FMS_Input[REMCRITFAC100])</f>
        <v>0</v>
      </c>
      <c r="AV195" s="264">
        <f>_xlfn.XLOOKUP(FMS_Ranking4[[#This Row],[FMS ID]],FMS_Input[FMS_ID],FMS_Input[REMLWC100])</f>
        <v>0</v>
      </c>
      <c r="AW195" s="264">
        <f>_xlfn.XLOOKUP(FMS_Ranking4[[#This Row],[FMS ID]],FMS_Input[FMS_ID],FMS_Input[REMROADCLS])</f>
        <v>0</v>
      </c>
      <c r="AX195" s="264">
        <f>_xlfn.XLOOKUP(FMS_Ranking4[[#This Row],[FMS ID]],FMS_Input[FMS_ID],FMS_Input[REMFRMACRE100])</f>
        <v>0</v>
      </c>
      <c r="AY195" s="258">
        <f>_xlfn.XLOOKUP(FMS_Ranking4[[#This Row],[FMS ID]],FMS_Input[FMS_ID],FMS_Input[COSTSTRUCT])</f>
        <v>0</v>
      </c>
      <c r="AZ195" s="253">
        <f>_xlfn.XLOOKUP(FMS_Ranking4[[#This Row],[FMS ID]],FMS_Input[FMS_ID],FMS_Input[NATURE])</f>
        <v>0</v>
      </c>
      <c r="BA195" s="262">
        <f>(((FMS_Ranking4[[#This Row],[% NBS Raw]]/AZ$4)*100)*AZ$5)</f>
        <v>0</v>
      </c>
      <c r="BB195" s="251" t="str">
        <f>_xlfn.XLOOKUP(FMS_Ranking4[[#This Row],[FMS ID]],FMS_Input[FMS_ID],FMS_Input[WATER_SUP])</f>
        <v>No</v>
      </c>
      <c r="BC195" s="265">
        <f>IF(FMS_Ranking4[[#This Row],[Water Supply Raw]]="Yes",10,0)</f>
        <v>0</v>
      </c>
      <c r="BD195" s="266">
        <f>_xlfn.XLOOKUP(FMS_Ranking4[[#This Row],[FMS Type]],FMS_TYPE[FMS_Type],FMS_TYPE[Score])</f>
        <v>4</v>
      </c>
      <c r="BE195" s="267">
        <f>FMS_Ranking4[[#This Row],[FMS_Type Score]]*$BD$5*10</f>
        <v>1</v>
      </c>
      <c r="BF19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0.56601306413166153</v>
      </c>
      <c r="BG195" s="271">
        <f>_xlfn.RANK.EQ(BF195,$BF$8:$BF$870,0)+COUNTIF($BF$8:BF195,BF195)-1</f>
        <v>207</v>
      </c>
      <c r="BH195" s="268">
        <f>(((FMS_Ranking4[[#This Row],[Structures Removed Raw]]/AK$4)*100)*AK$5)+(((FMS_Ranking4[[#This Row],[Removed Pop Raw]]/AR$4)*100)*AR$5)</f>
        <v>0</v>
      </c>
      <c r="BI19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1.5660130641316616</v>
      </c>
      <c r="BJ195" s="205">
        <f>_xlfn.RANK.EQ(FMS_Ranking4[[#This Row],[Total Score 
(with linear
normalization)]],FMS_Ranking4[Total Score 
(with linear
normalization)],0)</f>
        <v>575</v>
      </c>
      <c r="BK195" s="205" t="e">
        <f>_xlfn.XLOOKUP(FMS_Ranking4[[#This Row],[FMS ID]],#REF!,#REF!)</f>
        <v>#REF!</v>
      </c>
      <c r="BL19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30.410529755071636</v>
      </c>
      <c r="BM195" s="272">
        <f>FMS_Ranking4[[#This Row],[ArcSinh Score Based on Normalized Reported Factors]]+FMS_Ranking4[[#This Row],[% NBS Score (Normalized)]]+(FMS_Ranking4[[#This Row],[Water Supply Score (Normalized)]]*10*$BB$5)+FMS_Ranking4[[#This Row],[FMS_Type Score Weighted]]</f>
        <v>31.410529755071636</v>
      </c>
      <c r="BN195" s="205">
        <f>_xlfn.RANK.EQ(FMS_Ranking4[[#This Row],[Total Score (with ArcSinh normalization of select criteria)]],FMS_Ranking4[Total Score (with ArcSinh normalization of select criteria)],0)</f>
        <v>187</v>
      </c>
      <c r="BO195" s="270" t="str">
        <f>_xlfn.XLOOKUP(FMS_Ranking4[[#This Row],[FMS ID]],FMS_Input[FMS_ID],FMS_Input[FMS_RANK_YEAR])</f>
        <v>2023 Amended Plan</v>
      </c>
      <c r="BP195" s="204">
        <f>_xlfn.XLOOKUP(FMS_Ranking4[[#This Row],[FMS ID]],Prev_Rank[FMS ID],Prev_Rank[Prev Rank])</f>
        <v>164</v>
      </c>
      <c r="BQ195" s="205" t="e">
        <f>_xlfn.XLOOKUP(FMS_Ranking4[[#This Row],[FMS ID]],#REF!,#REF!)</f>
        <v>#REF!</v>
      </c>
      <c r="BR195" s="199" t="e">
        <f>SUM(#REF!,#REF!,#REF!,#REF!,#REF!,#REF!,#REF!,#REF!,#REF!,FMS_Ranking4[[#This Row],[ArcSinh Res struct removed 0-10]],#REF!)</f>
        <v>#REF!</v>
      </c>
      <c r="BS195" s="199" t="e">
        <f>FMS_Ranking4[[#This Row],[Log Score Based on Normalized Reported Factors]]+FMS_Ranking4[[#This Row],[% NBS Score (Normalized)]]+(FMS_Ranking4[[#This Row],[Water Supply Score (Normalized)]]*10*$BB$5)+(FMS_Ranking4[[#This Row],[FMS_Type Score Weighted]])</f>
        <v>#REF!</v>
      </c>
      <c r="BT195" s="200" t="e">
        <f>_xlfn.RANK.EQ(FMS_Ranking4[[#This Row],[Log Total Score]],FMS_Ranking4[Log Total Score],0)</f>
        <v>#REF!</v>
      </c>
      <c r="BU195" s="200" t="e">
        <f>_xlfn.XLOOKUP(FMS_Ranking4[[#This Row],[FMS ID]],#REF!,#REF!)</f>
        <v>#REF!</v>
      </c>
      <c r="BV195" s="200">
        <f>FMS_Ranking4[[#This Row],[Region Number]]</f>
        <v>5</v>
      </c>
      <c r="BW195" s="200">
        <f>FMS_Ranking4[[#This Row],[Rank (with ArcSinh normalization of select criteria)]]-FMS_Ranking4[[#This Row],[Rank
(with linear
normalization)]]</f>
        <v>-388</v>
      </c>
      <c r="BX195" s="200" t="e">
        <f>FMS_Ranking4[[#This Row],[Log Rank]]-FMS_Ranking4[[#This Row],[Rank
(with linear
normalization)]]</f>
        <v>#REF!</v>
      </c>
      <c r="BY195" s="200" t="str">
        <f>IF(FMS_Ranking4[[#This Row],[FMS Type]]="Flood Measurement and Warning",FMS_Ranking4[[#This Row],[Rank (with ArcSinh normalization of select criteria)]],"")</f>
        <v/>
      </c>
      <c r="BZ195" s="200" t="str">
        <f>IF(FMS_Ranking4[[#This Row],[FMS Type]]="Regulatory and Guidance",FMS_Ranking4[[#This Row],[Rank (with ArcSinh normalization of select criteria)]],"")</f>
        <v/>
      </c>
      <c r="CA195" s="200" t="str">
        <f>IF(FMS_Ranking4[[#This Row],[FMS Type]]="Education and Outreach",FMS_Ranking4[[#This Row],[Rank (with ArcSinh normalization of select criteria)]],"")</f>
        <v/>
      </c>
      <c r="CB195" s="200" t="str">
        <f>IF(FMS_Ranking4[[#This Row],[FMS Type]]="Property Acquisition and Structural Elevation",FMS_Ranking4[[#This Row],[Rank (with ArcSinh normalization of select criteria)]],"")</f>
        <v/>
      </c>
      <c r="CC195" s="200">
        <f>IF(FMS_Ranking4[[#This Row],[FMS Type]]="Infrastructure Projects",FMS_Ranking4[[#This Row],[Rank (with ArcSinh normalization of select criteria)]],"")</f>
        <v>187</v>
      </c>
      <c r="CD195" s="200" t="str">
        <f>IF(FMS_Ranking4[[#This Row],[FMS Type]]="Other",FMS_Ranking4[[#This Row],[Rank (with ArcSinh normalization of select criteria)]],"")</f>
        <v/>
      </c>
      <c r="CE195" s="201"/>
      <c r="CF195" s="206"/>
      <c r="CG195" s="206"/>
      <c r="CH195" s="206"/>
      <c r="CI195" s="206"/>
      <c r="CJ195" s="206"/>
      <c r="CK195" s="206"/>
      <c r="CL195" s="206"/>
      <c r="CM195" s="206"/>
      <c r="CN195" s="206"/>
      <c r="CO195" s="206"/>
      <c r="CP195" s="206"/>
      <c r="CQ195" s="206"/>
      <c r="CR195" s="206"/>
    </row>
    <row r="196" spans="2:96" ht="60" x14ac:dyDescent="0.25">
      <c r="B196" s="341" t="s">
        <v>678</v>
      </c>
      <c r="C196" s="246">
        <f>_xlfn.XLOOKUP(FMS_Ranking4[[#This Row],[FMS ID]],FMS_Input[FMS_ID],FMS_Input[RFPG_NUM])</f>
        <v>9</v>
      </c>
      <c r="D196" s="309" t="str">
        <f>_xlfn.XLOOKUP(FMS_Ranking4[[#This Row],[FMS ID]],FMS_Input[FMS_ID],FMS_Input[FMS_NAME])</f>
        <v>City of Colorado City</v>
      </c>
      <c r="E196" s="308" t="str">
        <f>_xlfn.XLOOKUP(FMS_Ranking4[[#This Row],[FMS ID]],FMS_Input[FMS_ID],FMS_Input[SPONSOR])</f>
        <v>00000172</v>
      </c>
      <c r="F196" s="309" t="str">
        <f>_xlfn.XLOOKUP(FMS_Ranking4[[#This Row],[FMS ID]],Sponsor[FMS_ID],Sponsor[SPONSOR NAME])</f>
        <v>Mitchell</v>
      </c>
      <c r="G196" s="309" t="str">
        <f>_xlfn.XLOOKUP(FMS_Ranking4[[#This Row],[FMS ID]],FMS_Input[FMS_ID],FMS_Input[FMS_DESCR])</f>
        <v xml:space="preserve">Establish, adopt, and implement a "green infrastructure" program for parks, nature preserves, greenbelts, etc. </v>
      </c>
      <c r="H196" s="248" t="str">
        <f>_xlfn.XLOOKUP(FMS_Ranking4[[#This Row],[FMS ID]],FMS_Input[FMS_ID],FMS_Input[FMS_TYPE])</f>
        <v>Other</v>
      </c>
      <c r="I196" s="249">
        <f>_xlfn.XLOOKUP(FMS_Ranking4[[#This Row],[FMS ID]],FMS_Input[FMS_ID],FMS_Input[NRNC_COST])</f>
        <v>5000</v>
      </c>
      <c r="J196" s="250">
        <f>_xlfn.XLOOKUP(FMS_Ranking4[[#This Row],[FMS ID]],FMS_Input[FMS_ID],FMS_Input[FMS_COST])</f>
        <v>30000</v>
      </c>
      <c r="K196" s="251" t="str">
        <f>_xlfn.XLOOKUP(FMS_Ranking4[[#This Row],[FMS ID]],FMS_Input[FMS_ID],FMS_Input[EMER_NEED])</f>
        <v>No</v>
      </c>
      <c r="L196" s="252">
        <f t="shared" si="2"/>
        <v>0</v>
      </c>
      <c r="M196" s="253">
        <f>_xlfn.XLOOKUP(FMS_Ranking4[[#This Row],[FMS ID]],FMS_Input[FMS_ID],FMS_Input[STRUCT_100])</f>
        <v>143</v>
      </c>
      <c r="N196" s="255">
        <f>(ASINH(FMS_Ranking4[[#This Row],[Structure at Risk Raw]]))*(10)/(ASINH(M$4))</f>
        <v>4.4464613149259664</v>
      </c>
      <c r="O196" s="256">
        <f>FMS_Ranking4[[#This Row],[Structures at risk, ArcSinh (0-10)]]*M$5*10</f>
        <v>4.4464613149259673</v>
      </c>
      <c r="P196" s="253">
        <f>_xlfn.XLOOKUP(FMS_Ranking4[[#This Row],[FMS ID]],FMS_Input[FMS_ID],FMS_Input[RES_STRUCT100])</f>
        <v>93</v>
      </c>
      <c r="Q196" s="257">
        <f>ASINH(FMS_Ranking4[[#This Row],[Res Structure Raw]])/Q$4*P$5*100</f>
        <v>0</v>
      </c>
      <c r="R196" s="253">
        <f>_xlfn.XLOOKUP(FMS_Ranking4[[#This Row],[FMS ID]],FMS_Input[FMS_ID],FMS_Input[POP100])</f>
        <v>353</v>
      </c>
      <c r="S196" s="259">
        <f>(ASINH(FMS_Ranking4[[#This Row],[Pop at Risk Raw]]))*(10)/(ASINH(R$4))</f>
        <v>4.5284856707150825</v>
      </c>
      <c r="T196" s="256">
        <f>FMS_Ranking4[[#This Row],[Population at risk, ArcSinh (0-10)]]*R$5*10</f>
        <v>4.5284856707150825</v>
      </c>
      <c r="U196" s="253">
        <f>_xlfn.XLOOKUP(FMS_Ranking4[[#This Row],[FMS ID]],FMS_Input[FMS_ID],FMS_Input[CRITFAC100])</f>
        <v>2</v>
      </c>
      <c r="V196" s="259">
        <f>(ASINH(FMS_Ranking4[[#This Row],[Critical Facilities Raw]]))*(10)/(ASINH(U$4))</f>
        <v>1.7089239049208753</v>
      </c>
      <c r="W196" s="256">
        <f>FMS_Ranking4[[#This Row],[Critical facilities at risk, ArcSinh (0-10)]]*U$5*10</f>
        <v>1.7089239049208755</v>
      </c>
      <c r="X196" s="253">
        <f>_xlfn.XLOOKUP(FMS_Ranking4[[#This Row],[FMS ID]],FMS_Input[FMS_ID],FMS_Input[LWC])</f>
        <v>1</v>
      </c>
      <c r="Y196" s="259">
        <f>(ASINH(FMS_Ranking4[[#This Row],[LWC Raw]]))*(10)/(ASINH(X$4))</f>
        <v>1.1940300948531093</v>
      </c>
      <c r="Z196" s="256">
        <f>FMS_Ranking4[[#This Row],[LWC, ArcSInh (0-10)]]*X$5*10</f>
        <v>1.1940300948531093</v>
      </c>
      <c r="AA196" s="253">
        <f>_xlfn.XLOOKUP(FMS_Ranking4[[#This Row],[FMS ID]],FMS_Input[FMS_ID],FMS_Input[ROADCLS])</f>
        <v>0</v>
      </c>
      <c r="AB196" s="255">
        <f>(ASINH(FMS_Ranking4[[#This Row],[Road Closures Raw]]))*(10)/(ASINH(AA$4))</f>
        <v>0</v>
      </c>
      <c r="AC196" s="256">
        <f>FMS_Ranking4[[#This Row],[Road closures, ArcSinh (0-10)]]*AA$5*10</f>
        <v>0</v>
      </c>
      <c r="AD196" s="253">
        <f>_xlfn.XLOOKUP(FMS_Ranking4[[#This Row],[FMS ID]],FMS_Input[FMS_ID],FMS_Input[ROAD_MILES100])</f>
        <v>10</v>
      </c>
      <c r="AE196" s="259">
        <f>(ASINH(FMS_Ranking4[[#This Row],[Road Miles Raw]]))*(10)/(ASINH(AD$4))</f>
        <v>3.1952807811982975</v>
      </c>
      <c r="AF196" s="256">
        <f>FMS_Ranking4[[#This Row],[Length of roads at risk, ArcSinh (0-10)]]*AD$5*10</f>
        <v>3.1952807811982975</v>
      </c>
      <c r="AG196" s="253">
        <f>_xlfn.XLOOKUP(FMS_Ranking4[[#This Row],[FMS ID]],FMS_Input[FMS_ID],FMS_Input[FARMACRE100])</f>
        <v>41.681648254394531</v>
      </c>
      <c r="AH196" s="255">
        <f>(ASINH(FMS_Ranking4[[#This Row],[Ag Land Raw]]))*(10)/(ASINH(AG$4))</f>
        <v>2.8733274837474436</v>
      </c>
      <c r="AI196" s="260">
        <f>FMS_Ranking4[[#This Row],[Farm &amp; ranch land, ArcSinh (0-10)]]*AG$5*10</f>
        <v>1.4366637418737218</v>
      </c>
      <c r="AJ196" s="258">
        <f>_xlfn.XLOOKUP(FMS_Ranking4[[#This Row],[FMS ID]],FMS_Input[FMS_ID],FMS_Input[REDSTRUCT100])</f>
        <v>36</v>
      </c>
      <c r="AK196" s="253">
        <f>_xlfn.XLOOKUP(FMS_Ranking4[[#This Row],[FMS ID]],FMS_Input[FMS_ID],FMS_Input[REMSTRC100])</f>
        <v>36</v>
      </c>
      <c r="AL196" s="259">
        <f>(ASINH(FMS_Ranking4[[#This Row],[Structures Removed Raw]]))*(10)/(ASINH(AK$4))</f>
        <v>4.8695092159225162</v>
      </c>
      <c r="AM196" s="262">
        <f>FMS_Ranking4[[#This Row],[Structures removed, ArcSinh (0-10)]]*AK$5*10</f>
        <v>4.8695092159225162</v>
      </c>
      <c r="AN196" s="253">
        <f>_xlfn.XLOOKUP(FMS_Ranking4[[#This Row],[FMS ID]],FMS_Input[FMS_ID],FMS_Input[REMRESSTRC100])</f>
        <v>23</v>
      </c>
      <c r="AO196" s="261">
        <f>FMS_Ranking4[[#This Row],[ArcSinh Res struct removed 0-10]]*AN$5*10</f>
        <v>2.2458765009154815</v>
      </c>
      <c r="AP196" s="260">
        <f>ASINH(FMS_Ranking4[[#This Row],[Residential Structures Removed Raw]])/AP$4*AN$5*100</f>
        <v>2.245876500915482</v>
      </c>
      <c r="AQ196" s="254">
        <f>(ASINH(FMS_Ranking4[[#This Row],[Residential Structures Removed Raw]]))*(10)/(ASINH(AN$4))</f>
        <v>4.4917530018309622</v>
      </c>
      <c r="AR196" s="253">
        <f>_xlfn.XLOOKUP(FMS_Ranking4[[#This Row],[FMS ID]],FMS_Input[FMS_ID],FMS_Input[REMPOP100])</f>
        <v>109</v>
      </c>
      <c r="AS196" s="259">
        <f>(ASINH(FMS_Ranking4[[#This Row],[Removed Pop Raw]]))*(10)/(ASINH(AR$4))</f>
        <v>5.2855510823936775</v>
      </c>
      <c r="AT196" s="262">
        <f>FMS_Ranking4[[#This Row],[Removed population, ArcSinh (0-10)]]*AR$5*10</f>
        <v>5.2855510823936775</v>
      </c>
      <c r="AU196" s="264">
        <f>_xlfn.XLOOKUP(FMS_Ranking4[[#This Row],[FMS ID]],FMS_Input[FMS_ID],FMS_Input[REMCRITFAC100])</f>
        <v>0</v>
      </c>
      <c r="AV196" s="264">
        <f>_xlfn.XLOOKUP(FMS_Ranking4[[#This Row],[FMS ID]],FMS_Input[FMS_ID],FMS_Input[REMLWC100])</f>
        <v>0</v>
      </c>
      <c r="AW196" s="264">
        <f>_xlfn.XLOOKUP(FMS_Ranking4[[#This Row],[FMS ID]],FMS_Input[FMS_ID],FMS_Input[REMROADCLS])</f>
        <v>0</v>
      </c>
      <c r="AX196" s="264">
        <f>_xlfn.XLOOKUP(FMS_Ranking4[[#This Row],[FMS ID]],FMS_Input[FMS_ID],FMS_Input[REMFRMACRE100])</f>
        <v>10.420412063598629</v>
      </c>
      <c r="AY196" s="258">
        <f>_xlfn.XLOOKUP(FMS_Ranking4[[#This Row],[FMS ID]],FMS_Input[FMS_ID],FMS_Input[COSTSTRUCT])</f>
        <v>25000</v>
      </c>
      <c r="AZ196" s="253">
        <f>_xlfn.XLOOKUP(FMS_Ranking4[[#This Row],[FMS ID]],FMS_Input[FMS_ID],FMS_Input[NATURE])</f>
        <v>25</v>
      </c>
      <c r="BA196" s="262">
        <f>(((FMS_Ranking4[[#This Row],[% NBS Raw]]/AZ$4)*100)*AZ$5)</f>
        <v>1.875</v>
      </c>
      <c r="BB196" s="251" t="str">
        <f>_xlfn.XLOOKUP(FMS_Ranking4[[#This Row],[FMS ID]],FMS_Input[FMS_ID],FMS_Input[WATER_SUP])</f>
        <v>No</v>
      </c>
      <c r="BC196" s="265">
        <f>IF(FMS_Ranking4[[#This Row],[Water Supply Raw]]="Yes",10,0)</f>
        <v>0</v>
      </c>
      <c r="BD196" s="266">
        <f>_xlfn.XLOOKUP(FMS_Ranking4[[#This Row],[FMS Type]],FMS_TYPE[FMS_Type],FMS_TYPE[Score])</f>
        <v>2</v>
      </c>
      <c r="BE196" s="267">
        <f>FMS_Ranking4[[#This Row],[FMS_Type Score]]*$BD$5*10</f>
        <v>0.5</v>
      </c>
      <c r="BF19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5.0104323080143828E-2</v>
      </c>
      <c r="BG196" s="271">
        <f>_xlfn.RANK.EQ(BF196,$BF$8:$BF$870,0)+COUNTIF($BF$8:BF196,BF196)-1</f>
        <v>564</v>
      </c>
      <c r="BH196" s="268">
        <f>(((FMS_Ranking4[[#This Row],[Structures Removed Raw]]/AK$4)*100)*AK$5)+(((FMS_Ranking4[[#This Row],[Removed Pop Raw]]/AR$4)*100)*AR$5)</f>
        <v>0.19246771729913875</v>
      </c>
      <c r="BI19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2.6175720403792826</v>
      </c>
      <c r="BJ196" s="205">
        <f>_xlfn.RANK.EQ(FMS_Ranking4[[#This Row],[Total Score 
(with linear
normalization)]],FMS_Ranking4[Total Score 
(with linear
normalization)],0)</f>
        <v>220</v>
      </c>
      <c r="BK196" s="205" t="e">
        <f>_xlfn.XLOOKUP(FMS_Ranking4[[#This Row],[FMS ID]],#REF!,#REF!)</f>
        <v>#REF!</v>
      </c>
      <c r="BL19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28.910782307718733</v>
      </c>
      <c r="BM196" s="272">
        <f>FMS_Ranking4[[#This Row],[ArcSinh Score Based on Normalized Reported Factors]]+FMS_Ranking4[[#This Row],[% NBS Score (Normalized)]]+(FMS_Ranking4[[#This Row],[Water Supply Score (Normalized)]]*10*$BB$5)+FMS_Ranking4[[#This Row],[FMS_Type Score Weighted]]</f>
        <v>31.285782307718733</v>
      </c>
      <c r="BN196" s="205">
        <f>_xlfn.RANK.EQ(FMS_Ranking4[[#This Row],[Total Score (with ArcSinh normalization of select criteria)]],FMS_Ranking4[Total Score (with ArcSinh normalization of select criteria)],0)</f>
        <v>189</v>
      </c>
      <c r="BO196" s="270" t="str">
        <f>_xlfn.XLOOKUP(FMS_Ranking4[[#This Row],[FMS ID]],FMS_Input[FMS_ID],FMS_Input[FMS_RANK_YEAR])</f>
        <v>2023 Amended Plan</v>
      </c>
      <c r="BP196" s="204">
        <f>_xlfn.XLOOKUP(FMS_Ranking4[[#This Row],[FMS ID]],Prev_Rank[FMS ID],Prev_Rank[Prev Rank])</f>
        <v>181</v>
      </c>
      <c r="BQ196" s="205" t="e">
        <f>_xlfn.XLOOKUP(FMS_Ranking4[[#This Row],[FMS ID]],#REF!,#REF!)</f>
        <v>#REF!</v>
      </c>
      <c r="BR196" s="199" t="e">
        <f>SUM(#REF!,#REF!,#REF!,#REF!,#REF!,#REF!,#REF!,#REF!,#REF!,FMS_Ranking4[[#This Row],[ArcSinh Res struct removed 0-10]],#REF!)</f>
        <v>#REF!</v>
      </c>
      <c r="BS196" s="199" t="e">
        <f>FMS_Ranking4[[#This Row],[Log Score Based on Normalized Reported Factors]]+FMS_Ranking4[[#This Row],[% NBS Score (Normalized)]]+(FMS_Ranking4[[#This Row],[Water Supply Score (Normalized)]]*10*$BB$5)+(FMS_Ranking4[[#This Row],[FMS_Type Score Weighted]])</f>
        <v>#REF!</v>
      </c>
      <c r="BT196" s="200" t="e">
        <f>_xlfn.RANK.EQ(FMS_Ranking4[[#This Row],[Log Total Score]],FMS_Ranking4[Log Total Score],0)</f>
        <v>#REF!</v>
      </c>
      <c r="BU196" s="200" t="e">
        <f>_xlfn.XLOOKUP(FMS_Ranking4[[#This Row],[FMS ID]],#REF!,#REF!)</f>
        <v>#REF!</v>
      </c>
      <c r="BV196" s="200">
        <f>FMS_Ranking4[[#This Row],[Region Number]]</f>
        <v>9</v>
      </c>
      <c r="BW196" s="200">
        <f>FMS_Ranking4[[#This Row],[Rank (with ArcSinh normalization of select criteria)]]-FMS_Ranking4[[#This Row],[Rank
(with linear
normalization)]]</f>
        <v>-31</v>
      </c>
      <c r="BX196" s="200" t="e">
        <f>FMS_Ranking4[[#This Row],[Log Rank]]-FMS_Ranking4[[#This Row],[Rank
(with linear
normalization)]]</f>
        <v>#REF!</v>
      </c>
      <c r="BY196" s="200" t="str">
        <f>IF(FMS_Ranking4[[#This Row],[FMS Type]]="Flood Measurement and Warning",FMS_Ranking4[[#This Row],[Rank (with ArcSinh normalization of select criteria)]],"")</f>
        <v/>
      </c>
      <c r="BZ196" s="200" t="str">
        <f>IF(FMS_Ranking4[[#This Row],[FMS Type]]="Regulatory and Guidance",FMS_Ranking4[[#This Row],[Rank (with ArcSinh normalization of select criteria)]],"")</f>
        <v/>
      </c>
      <c r="CA196" s="200" t="str">
        <f>IF(FMS_Ranking4[[#This Row],[FMS Type]]="Education and Outreach",FMS_Ranking4[[#This Row],[Rank (with ArcSinh normalization of select criteria)]],"")</f>
        <v/>
      </c>
      <c r="CB196" s="200" t="str">
        <f>IF(FMS_Ranking4[[#This Row],[FMS Type]]="Property Acquisition and Structural Elevation",FMS_Ranking4[[#This Row],[Rank (with ArcSinh normalization of select criteria)]],"")</f>
        <v/>
      </c>
      <c r="CC196" s="200" t="str">
        <f>IF(FMS_Ranking4[[#This Row],[FMS Type]]="Infrastructure Projects",FMS_Ranking4[[#This Row],[Rank (with ArcSinh normalization of select criteria)]],"")</f>
        <v/>
      </c>
      <c r="CD196" s="200">
        <f>IF(FMS_Ranking4[[#This Row],[FMS Type]]="Other",FMS_Ranking4[[#This Row],[Rank (with ArcSinh normalization of select criteria)]],"")</f>
        <v>189</v>
      </c>
      <c r="CE196" s="201"/>
      <c r="CF196" s="206"/>
      <c r="CG196" s="206"/>
      <c r="CH196" s="206"/>
      <c r="CI196" s="206"/>
      <c r="CJ196" s="206"/>
      <c r="CK196" s="206"/>
      <c r="CL196" s="206"/>
      <c r="CM196" s="206"/>
      <c r="CN196" s="206"/>
      <c r="CO196" s="206"/>
      <c r="CP196" s="206"/>
      <c r="CQ196" s="206"/>
      <c r="CR196" s="206"/>
    </row>
    <row r="197" spans="2:96" ht="75" x14ac:dyDescent="0.25">
      <c r="B197" s="341" t="s">
        <v>2149</v>
      </c>
      <c r="C197" s="246">
        <f>_xlfn.XLOOKUP(FMS_Ranking4[[#This Row],[FMS ID]],FMS_Input[FMS_ID],FMS_Input[RFPG_NUM])</f>
        <v>3</v>
      </c>
      <c r="D197" s="309" t="str">
        <f>_xlfn.XLOOKUP(FMS_Ranking4[[#This Row],[FMS ID]],FMS_Input[FMS_ID],FMS_Input[FMS_NAME])</f>
        <v xml:space="preserve">Carrollton Targeted Flood Remediation </v>
      </c>
      <c r="E197" s="308" t="str">
        <f>_xlfn.XLOOKUP(FMS_Ranking4[[#This Row],[FMS ID]],FMS_Input[FMS_ID],FMS_Input[SPONSOR])</f>
        <v>Carrollton</v>
      </c>
      <c r="F197" s="309" t="str">
        <f>_xlfn.XLOOKUP(FMS_Ranking4[[#This Row],[FMS ID]],Sponsor[FMS_ID],Sponsor[SPONSOR NAME])</f>
        <v>Carrollton</v>
      </c>
      <c r="G197" s="309" t="str">
        <f>_xlfn.XLOOKUP(FMS_Ranking4[[#This Row],[FMS ID]],FMS_Input[FMS_ID],FMS_Input[FMS_DESCR])</f>
        <v>Plan for and establish City-owned stand-by contracts for targeted flood remediation of private homes if authorized by City Administration.</v>
      </c>
      <c r="H197" s="248" t="str">
        <f>_xlfn.XLOOKUP(FMS_Ranking4[[#This Row],[FMS ID]],FMS_Input[FMS_ID],FMS_Input[FMS_TYPE])</f>
        <v>Regulatory and Guidance</v>
      </c>
      <c r="I197" s="249">
        <f>_xlfn.XLOOKUP(FMS_Ranking4[[#This Row],[FMS ID]],FMS_Input[FMS_ID],FMS_Input[NRNC_COST])</f>
        <v>500000</v>
      </c>
      <c r="J197" s="250">
        <f>_xlfn.XLOOKUP(FMS_Ranking4[[#This Row],[FMS ID]],FMS_Input[FMS_ID],FMS_Input[FMS_COST])</f>
        <v>5000000</v>
      </c>
      <c r="K197" s="251" t="str">
        <f>_xlfn.XLOOKUP(FMS_Ranking4[[#This Row],[FMS ID]],FMS_Input[FMS_ID],FMS_Input[EMER_NEED])</f>
        <v>No</v>
      </c>
      <c r="L197" s="252">
        <f t="shared" si="2"/>
        <v>0</v>
      </c>
      <c r="M197" s="253">
        <f>_xlfn.XLOOKUP(FMS_Ranking4[[#This Row],[FMS ID]],FMS_Input[FMS_ID],FMS_Input[STRUCT_100])</f>
        <v>1068</v>
      </c>
      <c r="N197" s="255">
        <f>(ASINH(FMS_Ranking4[[#This Row],[Structure at Risk Raw]]))*(10)/(ASINH(M$4))</f>
        <v>6.0271601902986571</v>
      </c>
      <c r="O197" s="256">
        <f>FMS_Ranking4[[#This Row],[Structures at risk, ArcSinh (0-10)]]*M$5*10</f>
        <v>6.0271601902986571</v>
      </c>
      <c r="P197" s="253">
        <f>_xlfn.XLOOKUP(FMS_Ranking4[[#This Row],[FMS ID]],FMS_Input[FMS_ID],FMS_Input[RES_STRUCT100])</f>
        <v>930</v>
      </c>
      <c r="Q197" s="257">
        <f>ASINH(FMS_Ranking4[[#This Row],[Res Structure Raw]])/Q$4*P$5*100</f>
        <v>0</v>
      </c>
      <c r="R197" s="253">
        <f>_xlfn.XLOOKUP(FMS_Ranking4[[#This Row],[FMS ID]],FMS_Input[FMS_ID],FMS_Input[POP100])</f>
        <v>11104</v>
      </c>
      <c r="S197" s="259">
        <f>(ASINH(FMS_Ranking4[[#This Row],[Pop at Risk Raw]]))*(10)/(ASINH(R$4))</f>
        <v>6.9092485465973956</v>
      </c>
      <c r="T197" s="256">
        <f>FMS_Ranking4[[#This Row],[Population at risk, ArcSinh (0-10)]]*R$5*10</f>
        <v>6.9092485465973965</v>
      </c>
      <c r="U197" s="253">
        <f>_xlfn.XLOOKUP(FMS_Ranking4[[#This Row],[FMS ID]],FMS_Input[FMS_ID],FMS_Input[CRITFAC100])</f>
        <v>18</v>
      </c>
      <c r="V197" s="259">
        <f>(ASINH(FMS_Ranking4[[#This Row],[Critical Facilities Raw]]))*(10)/(ASINH(U$4))</f>
        <v>4.2429535527087694</v>
      </c>
      <c r="W197" s="256">
        <f>FMS_Ranking4[[#This Row],[Critical facilities at risk, ArcSinh (0-10)]]*U$5*10</f>
        <v>4.2429535527087694</v>
      </c>
      <c r="X197" s="253">
        <f>_xlfn.XLOOKUP(FMS_Ranking4[[#This Row],[FMS ID]],FMS_Input[FMS_ID],FMS_Input[LWC])</f>
        <v>19</v>
      </c>
      <c r="Y197" s="259">
        <f>(ASINH(FMS_Ranking4[[#This Row],[LWC Raw]]))*(10)/(ASINH(X$4))</f>
        <v>4.9289126022409242</v>
      </c>
      <c r="Z197" s="256">
        <f>FMS_Ranking4[[#This Row],[LWC, ArcSInh (0-10)]]*X$5*10</f>
        <v>4.9289126022409242</v>
      </c>
      <c r="AA197" s="253">
        <f>_xlfn.XLOOKUP(FMS_Ranking4[[#This Row],[FMS ID]],FMS_Input[FMS_ID],FMS_Input[ROADCLS])</f>
        <v>0</v>
      </c>
      <c r="AB197" s="255">
        <f>(ASINH(FMS_Ranking4[[#This Row],[Road Closures Raw]]))*(10)/(ASINH(AA$4))</f>
        <v>0</v>
      </c>
      <c r="AC197" s="256">
        <f>FMS_Ranking4[[#This Row],[Road closures, ArcSinh (0-10)]]*AA$5*10</f>
        <v>0</v>
      </c>
      <c r="AD197" s="253">
        <f>_xlfn.XLOOKUP(FMS_Ranking4[[#This Row],[FMS ID]],FMS_Input[FMS_ID],FMS_Input[ROAD_MILES100])</f>
        <v>48</v>
      </c>
      <c r="AE197" s="259">
        <f>(ASINH(FMS_Ranking4[[#This Row],[Road Miles Raw]]))*(10)/(ASINH(AD$4))</f>
        <v>4.8644550289971082</v>
      </c>
      <c r="AF197" s="256">
        <f>FMS_Ranking4[[#This Row],[Length of roads at risk, ArcSinh (0-10)]]*AD$5*10</f>
        <v>4.8644550289971082</v>
      </c>
      <c r="AG197" s="253">
        <f>_xlfn.XLOOKUP(FMS_Ranking4[[#This Row],[FMS ID]],FMS_Input[FMS_ID],FMS_Input[FARMACRE100])</f>
        <v>617.09588623046875</v>
      </c>
      <c r="AH197" s="255">
        <f>(ASINH(FMS_Ranking4[[#This Row],[Ag Land Raw]]))*(10)/(ASINH(AG$4))</f>
        <v>4.6238327929389458</v>
      </c>
      <c r="AI197" s="260">
        <f>FMS_Ranking4[[#This Row],[Farm &amp; ranch land, ArcSinh (0-10)]]*AG$5*10</f>
        <v>2.3119163964694729</v>
      </c>
      <c r="AJ197" s="258">
        <f>_xlfn.XLOOKUP(FMS_Ranking4[[#This Row],[FMS ID]],FMS_Input[FMS_ID],FMS_Input[REDSTRUCT100])</f>
        <v>0</v>
      </c>
      <c r="AK197" s="253">
        <f>_xlfn.XLOOKUP(FMS_Ranking4[[#This Row],[FMS ID]],FMS_Input[FMS_ID],FMS_Input[REMSTRC100])</f>
        <v>0</v>
      </c>
      <c r="AL197" s="259">
        <f>(ASINH(FMS_Ranking4[[#This Row],[Structures Removed Raw]]))*(10)/(ASINH(AK$4))</f>
        <v>0</v>
      </c>
      <c r="AM197" s="262">
        <f>FMS_Ranking4[[#This Row],[Structures removed, ArcSinh (0-10)]]*AK$5*10</f>
        <v>0</v>
      </c>
      <c r="AN197" s="253">
        <f>_xlfn.XLOOKUP(FMS_Ranking4[[#This Row],[FMS ID]],FMS_Input[FMS_ID],FMS_Input[REMRESSTRC100])</f>
        <v>0</v>
      </c>
      <c r="AO197" s="261">
        <f>FMS_Ranking4[[#This Row],[ArcSinh Res struct removed 0-10]]*AN$5*10</f>
        <v>0</v>
      </c>
      <c r="AP197" s="260">
        <f>ASINH(FMS_Ranking4[[#This Row],[Residential Structures Removed Raw]])/AP$4*AN$5*100</f>
        <v>0</v>
      </c>
      <c r="AQ197" s="254">
        <f>(ASINH(FMS_Ranking4[[#This Row],[Residential Structures Removed Raw]]))*(10)/(ASINH(AN$4))</f>
        <v>0</v>
      </c>
      <c r="AR197" s="253">
        <f>_xlfn.XLOOKUP(FMS_Ranking4[[#This Row],[FMS ID]],FMS_Input[FMS_ID],FMS_Input[REMPOP100])</f>
        <v>0</v>
      </c>
      <c r="AS197" s="259">
        <f>(ASINH(FMS_Ranking4[[#This Row],[Removed Pop Raw]]))*(10)/(ASINH(AR$4))</f>
        <v>0</v>
      </c>
      <c r="AT197" s="262">
        <f>FMS_Ranking4[[#This Row],[Removed population, ArcSinh (0-10)]]*AR$5*10</f>
        <v>0</v>
      </c>
      <c r="AU197" s="264">
        <f>_xlfn.XLOOKUP(FMS_Ranking4[[#This Row],[FMS ID]],FMS_Input[FMS_ID],FMS_Input[REMCRITFAC100])</f>
        <v>0</v>
      </c>
      <c r="AV197" s="264">
        <f>_xlfn.XLOOKUP(FMS_Ranking4[[#This Row],[FMS ID]],FMS_Input[FMS_ID],FMS_Input[REMLWC100])</f>
        <v>0</v>
      </c>
      <c r="AW197" s="264">
        <f>_xlfn.XLOOKUP(FMS_Ranking4[[#This Row],[FMS ID]],FMS_Input[FMS_ID],FMS_Input[REMROADCLS])</f>
        <v>0</v>
      </c>
      <c r="AX197" s="264">
        <f>_xlfn.XLOOKUP(FMS_Ranking4[[#This Row],[FMS ID]],FMS_Input[FMS_ID],FMS_Input[REMFRMACRE100])</f>
        <v>0</v>
      </c>
      <c r="AY197" s="258">
        <f>_xlfn.XLOOKUP(FMS_Ranking4[[#This Row],[FMS ID]],FMS_Input[FMS_ID],FMS_Input[COSTSTRUCT])</f>
        <v>0</v>
      </c>
      <c r="AZ197" s="253">
        <f>_xlfn.XLOOKUP(FMS_Ranking4[[#This Row],[FMS ID]],FMS_Input[FMS_ID],FMS_Input[NATURE])</f>
        <v>0</v>
      </c>
      <c r="BA197" s="262">
        <f>(((FMS_Ranking4[[#This Row],[% NBS Raw]]/AZ$4)*100)*AZ$5)</f>
        <v>0</v>
      </c>
      <c r="BB197" s="251" t="str">
        <f>_xlfn.XLOOKUP(FMS_Ranking4[[#This Row],[FMS ID]],FMS_Input[FMS_ID],FMS_Input[WATER_SUP])</f>
        <v>No</v>
      </c>
      <c r="BC197" s="265">
        <f>IF(FMS_Ranking4[[#This Row],[Water Supply Raw]]="Yes",10,0)</f>
        <v>0</v>
      </c>
      <c r="BD197" s="266">
        <f>_xlfn.XLOOKUP(FMS_Ranking4[[#This Row],[FMS Type]],FMS_TYPE[FMS_Type],FMS_TYPE[Score])</f>
        <v>8</v>
      </c>
      <c r="BE197" s="267">
        <f>FMS_Ranking4[[#This Row],[FMS_Type Score]]*$BD$5*10</f>
        <v>2</v>
      </c>
      <c r="BF19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0.57336383965156446</v>
      </c>
      <c r="BG197" s="271">
        <f>_xlfn.RANK.EQ(BF197,$BF$8:$BF$870,0)+COUNTIF($BF$8:BF197,BF197)-1</f>
        <v>203</v>
      </c>
      <c r="BH197" s="268">
        <f>(((FMS_Ranking4[[#This Row],[Structures Removed Raw]]/AK$4)*100)*AK$5)+(((FMS_Ranking4[[#This Row],[Removed Pop Raw]]/AR$4)*100)*AR$5)</f>
        <v>0</v>
      </c>
      <c r="BI19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2.5733638396515643</v>
      </c>
      <c r="BJ197" s="205">
        <f>_xlfn.RANK.EQ(FMS_Ranking4[[#This Row],[Total Score 
(with linear
normalization)]],FMS_Ranking4[Total Score 
(with linear
normalization)],0)</f>
        <v>229</v>
      </c>
      <c r="BK197" s="205" t="e">
        <f>_xlfn.XLOOKUP(FMS_Ranking4[[#This Row],[FMS ID]],#REF!,#REF!)</f>
        <v>#REF!</v>
      </c>
      <c r="BL19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29.284646317312333</v>
      </c>
      <c r="BM197" s="272">
        <f>FMS_Ranking4[[#This Row],[ArcSinh Score Based on Normalized Reported Factors]]+FMS_Ranking4[[#This Row],[% NBS Score (Normalized)]]+(FMS_Ranking4[[#This Row],[Water Supply Score (Normalized)]]*10*$BB$5)+FMS_Ranking4[[#This Row],[FMS_Type Score Weighted]]</f>
        <v>31.284646317312333</v>
      </c>
      <c r="BN197" s="205">
        <f>_xlfn.RANK.EQ(FMS_Ranking4[[#This Row],[Total Score (with ArcSinh normalization of select criteria)]],FMS_Ranking4[Total Score (with ArcSinh normalization of select criteria)],0)</f>
        <v>190</v>
      </c>
      <c r="BO197" s="270" t="str">
        <f>_xlfn.XLOOKUP(FMS_Ranking4[[#This Row],[FMS ID]],FMS_Input[FMS_ID],FMS_Input[FMS_RANK_YEAR])</f>
        <v>2023 Amended Plan</v>
      </c>
      <c r="BP197" s="204">
        <f>_xlfn.XLOOKUP(FMS_Ranking4[[#This Row],[FMS ID]],Prev_Rank[FMS ID],Prev_Rank[Prev Rank])</f>
        <v>161</v>
      </c>
      <c r="BQ197" s="205" t="e">
        <f>_xlfn.XLOOKUP(FMS_Ranking4[[#This Row],[FMS ID]],#REF!,#REF!)</f>
        <v>#REF!</v>
      </c>
      <c r="BR197" s="199" t="e">
        <f>SUM(#REF!,#REF!,#REF!,#REF!,#REF!,#REF!,#REF!,#REF!,#REF!,FMS_Ranking4[[#This Row],[ArcSinh Res struct removed 0-10]],#REF!)</f>
        <v>#REF!</v>
      </c>
      <c r="BS197" s="199" t="e">
        <f>FMS_Ranking4[[#This Row],[Log Score Based on Normalized Reported Factors]]+FMS_Ranking4[[#This Row],[% NBS Score (Normalized)]]+(FMS_Ranking4[[#This Row],[Water Supply Score (Normalized)]]*10*$BB$5)+(FMS_Ranking4[[#This Row],[FMS_Type Score Weighted]])</f>
        <v>#REF!</v>
      </c>
      <c r="BT197" s="200" t="e">
        <f>_xlfn.RANK.EQ(FMS_Ranking4[[#This Row],[Log Total Score]],FMS_Ranking4[Log Total Score],0)</f>
        <v>#REF!</v>
      </c>
      <c r="BU197" s="200" t="e">
        <f>_xlfn.XLOOKUP(FMS_Ranking4[[#This Row],[FMS ID]],#REF!,#REF!)</f>
        <v>#REF!</v>
      </c>
      <c r="BV197" s="200">
        <f>FMS_Ranking4[[#This Row],[Region Number]]</f>
        <v>3</v>
      </c>
      <c r="BW197" s="200">
        <f>FMS_Ranking4[[#This Row],[Rank (with ArcSinh normalization of select criteria)]]-FMS_Ranking4[[#This Row],[Rank
(with linear
normalization)]]</f>
        <v>-39</v>
      </c>
      <c r="BX197" s="200" t="e">
        <f>FMS_Ranking4[[#This Row],[Log Rank]]-FMS_Ranking4[[#This Row],[Rank
(with linear
normalization)]]</f>
        <v>#REF!</v>
      </c>
      <c r="BY197" s="200" t="str">
        <f>IF(FMS_Ranking4[[#This Row],[FMS Type]]="Flood Measurement and Warning",FMS_Ranking4[[#This Row],[Rank (with ArcSinh normalization of select criteria)]],"")</f>
        <v/>
      </c>
      <c r="BZ197" s="200">
        <f>IF(FMS_Ranking4[[#This Row],[FMS Type]]="Regulatory and Guidance",FMS_Ranking4[[#This Row],[Rank (with ArcSinh normalization of select criteria)]],"")</f>
        <v>190</v>
      </c>
      <c r="CA197" s="200" t="str">
        <f>IF(FMS_Ranking4[[#This Row],[FMS Type]]="Education and Outreach",FMS_Ranking4[[#This Row],[Rank (with ArcSinh normalization of select criteria)]],"")</f>
        <v/>
      </c>
      <c r="CB197" s="200" t="str">
        <f>IF(FMS_Ranking4[[#This Row],[FMS Type]]="Property Acquisition and Structural Elevation",FMS_Ranking4[[#This Row],[Rank (with ArcSinh normalization of select criteria)]],"")</f>
        <v/>
      </c>
      <c r="CC197" s="200" t="str">
        <f>IF(FMS_Ranking4[[#This Row],[FMS Type]]="Infrastructure Projects",FMS_Ranking4[[#This Row],[Rank (with ArcSinh normalization of select criteria)]],"")</f>
        <v/>
      </c>
      <c r="CD197" s="200" t="str">
        <f>IF(FMS_Ranking4[[#This Row],[FMS Type]]="Other",FMS_Ranking4[[#This Row],[Rank (with ArcSinh normalization of select criteria)]],"")</f>
        <v/>
      </c>
      <c r="CE197" s="201"/>
      <c r="CF197" s="206"/>
      <c r="CG197" s="206"/>
      <c r="CH197" s="206"/>
      <c r="CI197" s="206"/>
      <c r="CJ197" s="206"/>
      <c r="CK197" s="206"/>
      <c r="CL197" s="206"/>
      <c r="CM197" s="206"/>
      <c r="CN197" s="206"/>
      <c r="CO197" s="206"/>
      <c r="CP197" s="206"/>
      <c r="CQ197" s="206"/>
      <c r="CR197" s="206"/>
    </row>
    <row r="198" spans="2:96" ht="120" x14ac:dyDescent="0.25">
      <c r="B198" s="341" t="s">
        <v>12435</v>
      </c>
      <c r="C198" s="246">
        <f>_xlfn.XLOOKUP(FMS_Ranking4[[#This Row],[FMS ID]],FMS_Input[FMS_ID],FMS_Input[RFPG_NUM])</f>
        <v>6</v>
      </c>
      <c r="D198" s="309" t="str">
        <f>_xlfn.XLOOKUP(FMS_Ranking4[[#This Row],[FMS ID]],FMS_Input[FMS_ID],FMS_Input[FMS_NAME])</f>
        <v>Lake Creek floodplain preservation</v>
      </c>
      <c r="E198" s="308" t="str">
        <f>_xlfn.XLOOKUP(FMS_Ranking4[[#This Row],[FMS ID]],FMS_Input[FMS_ID],FMS_Input[SPONSOR])</f>
        <v>06003603</v>
      </c>
      <c r="F198" s="309" t="str">
        <f>_xlfn.XLOOKUP(FMS_Ranking4[[#This Row],[FMS ID]],Sponsor[FMS_ID],Sponsor[SPONSOR NAME])</f>
        <v>Bayou Land Conservancy</v>
      </c>
      <c r="G198" s="309" t="str">
        <f>_xlfn.XLOOKUP(FMS_Ranking4[[#This Row],[FMS ID]],FMS_Input[FMS_ID],FMS_Input[FMS_DESCR])</f>
        <v>Partnerships to acquire/place conservation easements on high-quality floodplain parcels upstream of the West Fork San Jacinto River. This pre-disaster strategy enhances resilience and floodplain function per ASFPM best practices.</v>
      </c>
      <c r="H198" s="248" t="str">
        <f>_xlfn.XLOOKUP(FMS_Ranking4[[#This Row],[FMS ID]],FMS_Input[FMS_ID],FMS_Input[FMS_TYPE])</f>
        <v>Other</v>
      </c>
      <c r="I198" s="249">
        <f>_xlfn.XLOOKUP(FMS_Ranking4[[#This Row],[FMS ID]],FMS_Input[FMS_ID],FMS_Input[NRNC_COST])</f>
        <v>2150950</v>
      </c>
      <c r="J198" s="250">
        <f>_xlfn.XLOOKUP(FMS_Ranking4[[#This Row],[FMS ID]],FMS_Input[FMS_ID],FMS_Input[FMS_COST])</f>
        <v>43019000</v>
      </c>
      <c r="K198" s="251" t="str">
        <f>_xlfn.XLOOKUP(FMS_Ranking4[[#This Row],[FMS ID]],FMS_Input[FMS_ID],FMS_Input[EMER_NEED])</f>
        <v>No</v>
      </c>
      <c r="L198" s="252">
        <f t="shared" si="2"/>
        <v>0</v>
      </c>
      <c r="M198" s="253">
        <f>_xlfn.XLOOKUP(FMS_Ranking4[[#This Row],[FMS ID]],FMS_Input[FMS_ID],FMS_Input[STRUCT_100])</f>
        <v>830</v>
      </c>
      <c r="N198" s="255">
        <f>(ASINH(FMS_Ranking4[[#This Row],[Structure at Risk Raw]]))*(10)/(ASINH(M$4))</f>
        <v>5.8289585521189071</v>
      </c>
      <c r="O198" s="256">
        <f>FMS_Ranking4[[#This Row],[Structures at risk, ArcSinh (0-10)]]*M$5*10</f>
        <v>5.8289585521189071</v>
      </c>
      <c r="P198" s="253">
        <f>_xlfn.XLOOKUP(FMS_Ranking4[[#This Row],[FMS ID]],FMS_Input[FMS_ID],FMS_Input[RES_STRUCT100])</f>
        <v>649</v>
      </c>
      <c r="Q198" s="257">
        <f>ASINH(FMS_Ranking4[[#This Row],[Res Structure Raw]])/Q$4*P$5*100</f>
        <v>0</v>
      </c>
      <c r="R198" s="253">
        <f>_xlfn.XLOOKUP(FMS_Ranking4[[#This Row],[FMS ID]],FMS_Input[FMS_ID],FMS_Input[POP100])</f>
        <v>1011</v>
      </c>
      <c r="S198" s="259">
        <f>(ASINH(FMS_Ranking4[[#This Row],[Pop at Risk Raw]]))*(10)/(ASINH(R$4))</f>
        <v>5.2548981230019871</v>
      </c>
      <c r="T198" s="256">
        <f>FMS_Ranking4[[#This Row],[Population at risk, ArcSinh (0-10)]]*R$5*10</f>
        <v>5.254898123001988</v>
      </c>
      <c r="U198" s="253">
        <f>_xlfn.XLOOKUP(FMS_Ranking4[[#This Row],[FMS ID]],FMS_Input[FMS_ID],FMS_Input[CRITFAC100])</f>
        <v>0</v>
      </c>
      <c r="V198" s="259">
        <f>(ASINH(FMS_Ranking4[[#This Row],[Critical Facilities Raw]]))*(10)/(ASINH(U$4))</f>
        <v>0</v>
      </c>
      <c r="W198" s="256">
        <f>FMS_Ranking4[[#This Row],[Critical facilities at risk, ArcSinh (0-10)]]*U$5*10</f>
        <v>0</v>
      </c>
      <c r="X198" s="253">
        <f>_xlfn.XLOOKUP(FMS_Ranking4[[#This Row],[FMS ID]],FMS_Input[FMS_ID],FMS_Input[LWC])</f>
        <v>10</v>
      </c>
      <c r="Y198" s="259">
        <f>(ASINH(FMS_Ranking4[[#This Row],[LWC Raw]]))*(10)/(ASINH(X$4))</f>
        <v>4.06180589758889</v>
      </c>
      <c r="Z198" s="256">
        <f>FMS_Ranking4[[#This Row],[LWC, ArcSInh (0-10)]]*X$5*10</f>
        <v>4.06180589758889</v>
      </c>
      <c r="AA198" s="253">
        <f>_xlfn.XLOOKUP(FMS_Ranking4[[#This Row],[FMS ID]],FMS_Input[FMS_ID],FMS_Input[ROADCLS])</f>
        <v>10</v>
      </c>
      <c r="AB198" s="255">
        <f>(ASINH(FMS_Ranking4[[#This Row],[Road Closures Raw]]))*(10)/(ASINH(AA$4))</f>
        <v>3.1223740164895069</v>
      </c>
      <c r="AC198" s="256">
        <f>FMS_Ranking4[[#This Row],[Road closures, ArcSinh (0-10)]]*AA$5*10</f>
        <v>1.5611870082447534</v>
      </c>
      <c r="AD198" s="253">
        <f>_xlfn.XLOOKUP(FMS_Ranking4[[#This Row],[FMS ID]],FMS_Input[FMS_ID],FMS_Input[ROAD_MILES100])</f>
        <v>31</v>
      </c>
      <c r="AE198" s="259">
        <f>(ASINH(FMS_Ranking4[[#This Row],[Road Miles Raw]]))*(10)/(ASINH(AD$4))</f>
        <v>4.3986669153359532</v>
      </c>
      <c r="AF198" s="256">
        <f>FMS_Ranking4[[#This Row],[Length of roads at risk, ArcSinh (0-10)]]*AD$5*10</f>
        <v>4.3986669153359532</v>
      </c>
      <c r="AG198" s="253">
        <f>_xlfn.XLOOKUP(FMS_Ranking4[[#This Row],[FMS ID]],FMS_Input[FMS_ID],FMS_Input[FARMACRE100])</f>
        <v>383.60958862304688</v>
      </c>
      <c r="AH198" s="255">
        <f>(ASINH(FMS_Ranking4[[#This Row],[Ag Land Raw]]))*(10)/(ASINH(AG$4))</f>
        <v>4.3150230372078022</v>
      </c>
      <c r="AI198" s="260">
        <f>FMS_Ranking4[[#This Row],[Farm &amp; ranch land, ArcSinh (0-10)]]*AG$5*10</f>
        <v>2.1575115186039011</v>
      </c>
      <c r="AJ198" s="258">
        <f>_xlfn.XLOOKUP(FMS_Ranking4[[#This Row],[FMS ID]],FMS_Input[FMS_ID],FMS_Input[REDSTRUCT100])</f>
        <v>0</v>
      </c>
      <c r="AK198" s="253">
        <f>_xlfn.XLOOKUP(FMS_Ranking4[[#This Row],[FMS ID]],FMS_Input[FMS_ID],FMS_Input[REMSTRC100])</f>
        <v>0</v>
      </c>
      <c r="AL198" s="259">
        <f>(ASINH(FMS_Ranking4[[#This Row],[Structures Removed Raw]]))*(10)/(ASINH(AK$4))</f>
        <v>0</v>
      </c>
      <c r="AM198" s="262">
        <f>FMS_Ranking4[[#This Row],[Structures removed, ArcSinh (0-10)]]*AK$5*10</f>
        <v>0</v>
      </c>
      <c r="AN198" s="253">
        <f>_xlfn.XLOOKUP(FMS_Ranking4[[#This Row],[FMS ID]],FMS_Input[FMS_ID],FMS_Input[REMRESSTRC100])</f>
        <v>0</v>
      </c>
      <c r="AO198" s="261">
        <f>FMS_Ranking4[[#This Row],[ArcSinh Res struct removed 0-10]]*AN$5*10</f>
        <v>0</v>
      </c>
      <c r="AP198" s="260">
        <f>ASINH(FMS_Ranking4[[#This Row],[Residential Structures Removed Raw]])/AP$4*AN$5*100</f>
        <v>0</v>
      </c>
      <c r="AQ198" s="254">
        <f>(ASINH(FMS_Ranking4[[#This Row],[Residential Structures Removed Raw]]))*(10)/(ASINH(AN$4))</f>
        <v>0</v>
      </c>
      <c r="AR198" s="253">
        <f>_xlfn.XLOOKUP(FMS_Ranking4[[#This Row],[FMS ID]],FMS_Input[FMS_ID],FMS_Input[REMPOP100])</f>
        <v>0</v>
      </c>
      <c r="AS198" s="259">
        <f>(ASINH(FMS_Ranking4[[#This Row],[Removed Pop Raw]]))*(10)/(ASINH(AR$4))</f>
        <v>0</v>
      </c>
      <c r="AT198" s="262">
        <f>FMS_Ranking4[[#This Row],[Removed population, ArcSinh (0-10)]]*AR$5*10</f>
        <v>0</v>
      </c>
      <c r="AU198" s="264">
        <f>_xlfn.XLOOKUP(FMS_Ranking4[[#This Row],[FMS ID]],FMS_Input[FMS_ID],FMS_Input[REMCRITFAC100])</f>
        <v>0</v>
      </c>
      <c r="AV198" s="264">
        <f>_xlfn.XLOOKUP(FMS_Ranking4[[#This Row],[FMS ID]],FMS_Input[FMS_ID],FMS_Input[REMLWC100])</f>
        <v>0</v>
      </c>
      <c r="AW198" s="264">
        <f>_xlfn.XLOOKUP(FMS_Ranking4[[#This Row],[FMS ID]],FMS_Input[FMS_ID],FMS_Input[REMROADCLS])</f>
        <v>0</v>
      </c>
      <c r="AX198" s="264">
        <f>_xlfn.XLOOKUP(FMS_Ranking4[[#This Row],[FMS ID]],FMS_Input[FMS_ID],FMS_Input[REMFRMACRE100])</f>
        <v>0</v>
      </c>
      <c r="AY198" s="258">
        <f>_xlfn.XLOOKUP(FMS_Ranking4[[#This Row],[FMS ID]],FMS_Input[FMS_ID],FMS_Input[COSTSTRUCT])</f>
        <v>0</v>
      </c>
      <c r="AZ198" s="253">
        <f>_xlfn.XLOOKUP(FMS_Ranking4[[#This Row],[FMS ID]],FMS_Input[FMS_ID],FMS_Input[NATURE])</f>
        <v>100</v>
      </c>
      <c r="BA198" s="262">
        <f>(((FMS_Ranking4[[#This Row],[% NBS Raw]]/AZ$4)*100)*AZ$5)</f>
        <v>7.5</v>
      </c>
      <c r="BB198" s="251" t="str">
        <f>_xlfn.XLOOKUP(FMS_Ranking4[[#This Row],[FMS ID]],FMS_Input[FMS_ID],FMS_Input[WATER_SUP])</f>
        <v>No</v>
      </c>
      <c r="BC198" s="265">
        <f>IF(FMS_Ranking4[[#This Row],[Water Supply Raw]]="Yes",10,0)</f>
        <v>0</v>
      </c>
      <c r="BD198" s="266">
        <f>_xlfn.XLOOKUP(FMS_Ranking4[[#This Row],[FMS Type]],FMS_TYPE[FMS_Type],FMS_TYPE[Score])</f>
        <v>2</v>
      </c>
      <c r="BE198" s="267">
        <f>FMS_Ranking4[[#This Row],[FMS_Type Score]]*$BD$5*10</f>
        <v>0.5</v>
      </c>
      <c r="BF19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0.24421774523854253</v>
      </c>
      <c r="BG198" s="271">
        <f>_xlfn.RANK.EQ(BF198,$BF$8:$BF$870,0)+COUNTIF($BF$8:BF198,BF198)-1</f>
        <v>335</v>
      </c>
      <c r="BH198" s="268">
        <f>(((FMS_Ranking4[[#This Row],[Structures Removed Raw]]/AK$4)*100)*AK$5)+(((FMS_Ranking4[[#This Row],[Removed Pop Raw]]/AR$4)*100)*AR$5)</f>
        <v>0</v>
      </c>
      <c r="BI19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8.2442177452385437</v>
      </c>
      <c r="BJ198" s="205">
        <f>_xlfn.RANK.EQ(FMS_Ranking4[[#This Row],[Total Score 
(with linear
normalization)]],FMS_Ranking4[Total Score 
(with linear
normalization)],0)</f>
        <v>86</v>
      </c>
      <c r="BK198" s="205" t="e">
        <f>_xlfn.XLOOKUP(FMS_Ranking4[[#This Row],[FMS ID]],#REF!,#REF!)</f>
        <v>#REF!</v>
      </c>
      <c r="BL19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23.263028014894392</v>
      </c>
      <c r="BM198" s="272">
        <f>FMS_Ranking4[[#This Row],[ArcSinh Score Based on Normalized Reported Factors]]+FMS_Ranking4[[#This Row],[% NBS Score (Normalized)]]+(FMS_Ranking4[[#This Row],[Water Supply Score (Normalized)]]*10*$BB$5)+FMS_Ranking4[[#This Row],[FMS_Type Score Weighted]]</f>
        <v>31.263028014894392</v>
      </c>
      <c r="BN198" s="205">
        <f>_xlfn.RANK.EQ(FMS_Ranking4[[#This Row],[Total Score (with ArcSinh normalization of select criteria)]],FMS_Ranking4[Total Score (with ArcSinh normalization of select criteria)],0)</f>
        <v>191</v>
      </c>
      <c r="BO198" s="270" t="str">
        <f>_xlfn.XLOOKUP(FMS_Ranking4[[#This Row],[FMS ID]],FMS_Input[FMS_ID],FMS_Input[FMS_RANK_YEAR])</f>
        <v>2025 Amended Plan</v>
      </c>
      <c r="BP198" s="204" t="e">
        <f>_xlfn.XLOOKUP(FMS_Ranking4[[#This Row],[FMS ID]],Prev_Rank[FMS ID],Prev_Rank[Prev Rank])</f>
        <v>#N/A</v>
      </c>
      <c r="BQ198" s="205" t="e">
        <f>_xlfn.XLOOKUP(FMS_Ranking4[[#This Row],[FMS ID]],#REF!,#REF!)</f>
        <v>#REF!</v>
      </c>
      <c r="BR198" s="199" t="e">
        <f>SUM(#REF!,#REF!,#REF!,#REF!,#REF!,#REF!,#REF!,#REF!,#REF!,FMS_Ranking4[[#This Row],[ArcSinh Res struct removed 0-10]],#REF!)</f>
        <v>#REF!</v>
      </c>
      <c r="BS198" s="199" t="e">
        <f>FMS_Ranking4[[#This Row],[Log Score Based on Normalized Reported Factors]]+FMS_Ranking4[[#This Row],[% NBS Score (Normalized)]]+(FMS_Ranking4[[#This Row],[Water Supply Score (Normalized)]]*10*$BB$5)+(FMS_Ranking4[[#This Row],[FMS_Type Score Weighted]])</f>
        <v>#REF!</v>
      </c>
      <c r="BT198" s="200" t="e">
        <f>_xlfn.RANK.EQ(FMS_Ranking4[[#This Row],[Log Total Score]],FMS_Ranking4[Log Total Score],0)</f>
        <v>#REF!</v>
      </c>
      <c r="BU198" s="200" t="e">
        <f>_xlfn.XLOOKUP(FMS_Ranking4[[#This Row],[FMS ID]],#REF!,#REF!)</f>
        <v>#REF!</v>
      </c>
      <c r="BV198" s="200">
        <f>FMS_Ranking4[[#This Row],[Region Number]]</f>
        <v>6</v>
      </c>
      <c r="BW198" s="200">
        <f>FMS_Ranking4[[#This Row],[Rank (with ArcSinh normalization of select criteria)]]-FMS_Ranking4[[#This Row],[Rank
(with linear
normalization)]]</f>
        <v>105</v>
      </c>
      <c r="BX198" s="200" t="e">
        <f>FMS_Ranking4[[#This Row],[Log Rank]]-FMS_Ranking4[[#This Row],[Rank
(with linear
normalization)]]</f>
        <v>#REF!</v>
      </c>
      <c r="BY198" s="200" t="str">
        <f>IF(FMS_Ranking4[[#This Row],[FMS Type]]="Flood Measurement and Warning",FMS_Ranking4[[#This Row],[Rank (with ArcSinh normalization of select criteria)]],"")</f>
        <v/>
      </c>
      <c r="BZ198" s="200" t="str">
        <f>IF(FMS_Ranking4[[#This Row],[FMS Type]]="Regulatory and Guidance",FMS_Ranking4[[#This Row],[Rank (with ArcSinh normalization of select criteria)]],"")</f>
        <v/>
      </c>
      <c r="CA198" s="200" t="str">
        <f>IF(FMS_Ranking4[[#This Row],[FMS Type]]="Education and Outreach",FMS_Ranking4[[#This Row],[Rank (with ArcSinh normalization of select criteria)]],"")</f>
        <v/>
      </c>
      <c r="CB198" s="200" t="str">
        <f>IF(FMS_Ranking4[[#This Row],[FMS Type]]="Property Acquisition and Structural Elevation",FMS_Ranking4[[#This Row],[Rank (with ArcSinh normalization of select criteria)]],"")</f>
        <v/>
      </c>
      <c r="CC198" s="200" t="str">
        <f>IF(FMS_Ranking4[[#This Row],[FMS Type]]="Infrastructure Projects",FMS_Ranking4[[#This Row],[Rank (with ArcSinh normalization of select criteria)]],"")</f>
        <v/>
      </c>
      <c r="CD198" s="200">
        <f>IF(FMS_Ranking4[[#This Row],[FMS Type]]="Other",FMS_Ranking4[[#This Row],[Rank (with ArcSinh normalization of select criteria)]],"")</f>
        <v>191</v>
      </c>
      <c r="CE198" s="201"/>
      <c r="CF198" s="206"/>
      <c r="CG198" s="206"/>
      <c r="CH198" s="206"/>
      <c r="CI198" s="206"/>
      <c r="CJ198" s="206"/>
      <c r="CK198" s="206"/>
      <c r="CL198" s="206"/>
      <c r="CM198" s="206"/>
      <c r="CN198" s="206"/>
      <c r="CO198" s="206"/>
      <c r="CP198" s="206"/>
      <c r="CQ198" s="206"/>
      <c r="CR198" s="206"/>
    </row>
    <row r="199" spans="2:96" ht="45" x14ac:dyDescent="0.25">
      <c r="B199" s="341" t="s">
        <v>579</v>
      </c>
      <c r="C199" s="246">
        <f>_xlfn.XLOOKUP(FMS_Ranking4[[#This Row],[FMS ID]],FMS_Input[FMS_ID],FMS_Input[RFPG_NUM])</f>
        <v>9</v>
      </c>
      <c r="D199" s="309" t="str">
        <f>_xlfn.XLOOKUP(FMS_Ranking4[[#This Row],[FMS ID]],FMS_Input[FMS_ID],FMS_Input[FMS_NAME])</f>
        <v>Hockley County DCM</v>
      </c>
      <c r="E199" s="308" t="str">
        <f>_xlfn.XLOOKUP(FMS_Ranking4[[#This Row],[FMS ID]],FMS_Input[FMS_ID],FMS_Input[SPONSOR])</f>
        <v>00000184</v>
      </c>
      <c r="F199" s="309" t="str">
        <f>_xlfn.XLOOKUP(FMS_Ranking4[[#This Row],[FMS ID]],Sponsor[FMS_ID],Sponsor[SPONSOR NAME])</f>
        <v>Lynn</v>
      </c>
      <c r="G199" s="309" t="str">
        <f>_xlfn.XLOOKUP(FMS_Ranking4[[#This Row],[FMS ID]],FMS_Input[FMS_ID],FMS_Input[FMS_DESCR])</f>
        <v>Outreach Program: Discuss Stormwater Criteria Design Manual</v>
      </c>
      <c r="H199" s="248" t="str">
        <f>_xlfn.XLOOKUP(FMS_Ranking4[[#This Row],[FMS ID]],FMS_Input[FMS_ID],FMS_Input[FMS_TYPE])</f>
        <v>Other</v>
      </c>
      <c r="I199" s="249">
        <f>_xlfn.XLOOKUP(FMS_Ranking4[[#This Row],[FMS ID]],FMS_Input[FMS_ID],FMS_Input[NRNC_COST])</f>
        <v>75000</v>
      </c>
      <c r="J199" s="250">
        <f>_xlfn.XLOOKUP(FMS_Ranking4[[#This Row],[FMS ID]],FMS_Input[FMS_ID],FMS_Input[FMS_COST])</f>
        <v>100000</v>
      </c>
      <c r="K199" s="251" t="str">
        <f>_xlfn.XLOOKUP(FMS_Ranking4[[#This Row],[FMS ID]],FMS_Input[FMS_ID],FMS_Input[EMER_NEED])</f>
        <v>No</v>
      </c>
      <c r="L199" s="252">
        <f t="shared" si="2"/>
        <v>0</v>
      </c>
      <c r="M199" s="253">
        <f>_xlfn.XLOOKUP(FMS_Ranking4[[#This Row],[FMS ID]],FMS_Input[FMS_ID],FMS_Input[STRUCT_100])</f>
        <v>44</v>
      </c>
      <c r="N199" s="255">
        <f>(ASINH(FMS_Ranking4[[#This Row],[Structure at Risk Raw]]))*(10)/(ASINH(M$4))</f>
        <v>3.5199548802603862</v>
      </c>
      <c r="O199" s="256">
        <f>FMS_Ranking4[[#This Row],[Structures at risk, ArcSinh (0-10)]]*M$5*10</f>
        <v>3.5199548802603866</v>
      </c>
      <c r="P199" s="253">
        <f>_xlfn.XLOOKUP(FMS_Ranking4[[#This Row],[FMS ID]],FMS_Input[FMS_ID],FMS_Input[RES_STRUCT100])</f>
        <v>18</v>
      </c>
      <c r="Q199" s="257">
        <f>ASINH(FMS_Ranking4[[#This Row],[Res Structure Raw]])/Q$4*P$5*100</f>
        <v>0</v>
      </c>
      <c r="R199" s="253">
        <f>_xlfn.XLOOKUP(FMS_Ranking4[[#This Row],[FMS ID]],FMS_Input[FMS_ID],FMS_Input[POP100])</f>
        <v>851</v>
      </c>
      <c r="S199" s="255">
        <f>(ASINH(FMS_Ranking4[[#This Row],[Pop at Risk Raw]]))*(10)/(ASINH(R$4))</f>
        <v>5.1359611451640541</v>
      </c>
      <c r="T199" s="256">
        <f>FMS_Ranking4[[#This Row],[Population at risk, ArcSinh (0-10)]]*R$5*10</f>
        <v>5.1359611451640541</v>
      </c>
      <c r="U199" s="253">
        <f>_xlfn.XLOOKUP(FMS_Ranking4[[#This Row],[FMS ID]],FMS_Input[FMS_ID],FMS_Input[CRITFAC100])</f>
        <v>3</v>
      </c>
      <c r="V199" s="255">
        <f>(ASINH(FMS_Ranking4[[#This Row],[Critical Facilities Raw]]))*(10)/(ASINH(U$4))</f>
        <v>2.152611706646717</v>
      </c>
      <c r="W199" s="256">
        <f>FMS_Ranking4[[#This Row],[Critical facilities at risk, ArcSinh (0-10)]]*U$5*10</f>
        <v>2.152611706646717</v>
      </c>
      <c r="X199" s="253">
        <f>_xlfn.XLOOKUP(FMS_Ranking4[[#This Row],[FMS ID]],FMS_Input[FMS_ID],FMS_Input[LWC])</f>
        <v>2</v>
      </c>
      <c r="Y199" s="255">
        <f>(ASINH(FMS_Ranking4[[#This Row],[LWC Raw]]))*(10)/(ASINH(X$4))</f>
        <v>1.9557475158633808</v>
      </c>
      <c r="Z199" s="256">
        <f>FMS_Ranking4[[#This Row],[LWC, ArcSInh (0-10)]]*X$5*10</f>
        <v>1.9557475158633808</v>
      </c>
      <c r="AA199" s="253">
        <f>_xlfn.XLOOKUP(FMS_Ranking4[[#This Row],[FMS ID]],FMS_Input[FMS_ID],FMS_Input[ROADCLS])</f>
        <v>0</v>
      </c>
      <c r="AB199" s="255">
        <f>(ASINH(FMS_Ranking4[[#This Row],[Road Closures Raw]]))*(10)/(ASINH(AA$4))</f>
        <v>0</v>
      </c>
      <c r="AC199" s="256">
        <f>FMS_Ranking4[[#This Row],[Road closures, ArcSinh (0-10)]]*AA$5*10</f>
        <v>0</v>
      </c>
      <c r="AD199" s="253">
        <f>_xlfn.XLOOKUP(FMS_Ranking4[[#This Row],[FMS ID]],FMS_Input[FMS_ID],FMS_Input[ROAD_MILES100])</f>
        <v>42</v>
      </c>
      <c r="AE199" s="255">
        <f>(ASINH(FMS_Ranking4[[#This Row],[Road Miles Raw]]))*(10)/(ASINH(AD$4))</f>
        <v>4.7221826884572673</v>
      </c>
      <c r="AF199" s="256">
        <f>FMS_Ranking4[[#This Row],[Length of roads at risk, ArcSinh (0-10)]]*AD$5*10</f>
        <v>4.7221826884572673</v>
      </c>
      <c r="AG199" s="253">
        <f>_xlfn.XLOOKUP(FMS_Ranking4[[#This Row],[FMS ID]],FMS_Input[FMS_ID],FMS_Input[FARMACRE100])</f>
        <v>1350.754516601562</v>
      </c>
      <c r="AH199" s="255">
        <f>(ASINH(FMS_Ranking4[[#This Row],[Ag Land Raw]]))*(10)/(ASINH(AG$4))</f>
        <v>5.1327108093477696</v>
      </c>
      <c r="AI199" s="260">
        <f>FMS_Ranking4[[#This Row],[Farm &amp; ranch land, ArcSinh (0-10)]]*AG$5*10</f>
        <v>2.5663554046738852</v>
      </c>
      <c r="AJ199" s="258">
        <f>_xlfn.XLOOKUP(FMS_Ranking4[[#This Row],[FMS ID]],FMS_Input[FMS_ID],FMS_Input[REDSTRUCT100])</f>
        <v>11</v>
      </c>
      <c r="AK199" s="253">
        <f>_xlfn.XLOOKUP(FMS_Ranking4[[#This Row],[FMS ID]],FMS_Input[FMS_ID],FMS_Input[REMSTRC100])</f>
        <v>11</v>
      </c>
      <c r="AL199" s="255">
        <f>(ASINH(FMS_Ranking4[[#This Row],[Structures Removed Raw]]))*(10)/(ASINH(AK$4))</f>
        <v>3.5217176366483729</v>
      </c>
      <c r="AM199" s="262">
        <f>FMS_Ranking4[[#This Row],[Structures removed, ArcSinh (0-10)]]*AK$5*10</f>
        <v>3.5217176366483733</v>
      </c>
      <c r="AN199" s="253">
        <f>_xlfn.XLOOKUP(FMS_Ranking4[[#This Row],[FMS ID]],FMS_Input[FMS_ID],FMS_Input[REMRESSTRC100])</f>
        <v>4</v>
      </c>
      <c r="AO199" s="261">
        <f>FMS_Ranking4[[#This Row],[ArcSinh Res struct removed 0-10]]*AN$5*10</f>
        <v>1.2286043492271628</v>
      </c>
      <c r="AP199" s="260">
        <f>ASINH(FMS_Ranking4[[#This Row],[Residential Structures Removed Raw]])/AP$4*AN$5*100</f>
        <v>1.2286043492271628</v>
      </c>
      <c r="AQ199" s="258">
        <f>(ASINH(FMS_Ranking4[[#This Row],[Residential Structures Removed Raw]]))*(10)/(ASINH(AN$4))</f>
        <v>2.4572086984543255</v>
      </c>
      <c r="AR199" s="253">
        <f>_xlfn.XLOOKUP(FMS_Ranking4[[#This Row],[FMS ID]],FMS_Input[FMS_ID],FMS_Input[REMPOP100])</f>
        <v>216</v>
      </c>
      <c r="AS199" s="255">
        <f>(ASINH(FMS_Ranking4[[#This Row],[Removed Pop Raw]]))*(10)/(ASINH(AR$4))</f>
        <v>5.9568958728707857</v>
      </c>
      <c r="AT199" s="262">
        <f>FMS_Ranking4[[#This Row],[Removed population, ArcSinh (0-10)]]*AR$5*10</f>
        <v>5.9568958728707857</v>
      </c>
      <c r="AU199" s="264">
        <f>_xlfn.XLOOKUP(FMS_Ranking4[[#This Row],[FMS ID]],FMS_Input[FMS_ID],FMS_Input[REMCRITFAC100])</f>
        <v>0</v>
      </c>
      <c r="AV199" s="264">
        <f>_xlfn.XLOOKUP(FMS_Ranking4[[#This Row],[FMS ID]],FMS_Input[FMS_ID],FMS_Input[REMLWC100])</f>
        <v>0</v>
      </c>
      <c r="AW199" s="264">
        <f>_xlfn.XLOOKUP(FMS_Ranking4[[#This Row],[FMS ID]],FMS_Input[FMS_ID],FMS_Input[REMROADCLS])</f>
        <v>0</v>
      </c>
      <c r="AX199" s="264">
        <f>_xlfn.XLOOKUP(FMS_Ranking4[[#This Row],[FMS ID]],FMS_Input[FMS_ID],FMS_Input[REMFRMACRE100])</f>
        <v>337.68862915039063</v>
      </c>
      <c r="AY199" s="258">
        <f>_xlfn.XLOOKUP(FMS_Ranking4[[#This Row],[FMS ID]],FMS_Input[FMS_ID],FMS_Input[COSTSTRUCT])</f>
        <v>25000</v>
      </c>
      <c r="AZ199" s="253">
        <f>_xlfn.XLOOKUP(FMS_Ranking4[[#This Row],[FMS ID]],FMS_Input[FMS_ID],FMS_Input[NATURE])</f>
        <v>0</v>
      </c>
      <c r="BA199" s="262">
        <f>(((FMS_Ranking4[[#This Row],[% NBS Raw]]/AZ$4)*100)*AZ$5)</f>
        <v>0</v>
      </c>
      <c r="BB199" s="251" t="str">
        <f>_xlfn.XLOOKUP(FMS_Ranking4[[#This Row],[FMS ID]],FMS_Input[FMS_ID],FMS_Input[WATER_SUP])</f>
        <v>No</v>
      </c>
      <c r="BC199" s="265">
        <f>IF(FMS_Ranking4[[#This Row],[Water Supply Raw]]="Yes",10,0)</f>
        <v>0</v>
      </c>
      <c r="BD199" s="266">
        <f>_xlfn.XLOOKUP(FMS_Ranking4[[#This Row],[FMS Type]],FMS_TYPE[FMS_Type],FMS_TYPE[Score])</f>
        <v>2</v>
      </c>
      <c r="BE199" s="267">
        <f>FMS_Ranking4[[#This Row],[FMS_Type Score]]*$BD$5*10</f>
        <v>0.5</v>
      </c>
      <c r="BF19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0.12255843066795123</v>
      </c>
      <c r="BG199" s="321">
        <f>_xlfn.RANK.EQ(BF199,$BF$8:$BF$870,0)+COUNTIF($BF$8:BF199,BF199)-1</f>
        <v>451</v>
      </c>
      <c r="BH199" s="294">
        <f>(((FMS_Ranking4[[#This Row],[Structures Removed Raw]]/AK$4)*100)*AK$5)+(((FMS_Ranking4[[#This Row],[Removed Pop Raw]]/AR$4)*100)*AR$5)</f>
        <v>0.19637033959948733</v>
      </c>
      <c r="BI19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0.8189287702674386</v>
      </c>
      <c r="BJ199" s="251">
        <f>_xlfn.RANK.EQ(FMS_Ranking4[[#This Row],[Total Score 
(with linear
normalization)]],FMS_Ranking4[Total Score 
(with linear
normalization)],0)</f>
        <v>773</v>
      </c>
      <c r="BK199" s="251" t="e">
        <f>_xlfn.XLOOKUP(FMS_Ranking4[[#This Row],[FMS ID]],#REF!,#REF!)</f>
        <v>#REF!</v>
      </c>
      <c r="BL19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30.760031199812008</v>
      </c>
      <c r="BM199" s="324">
        <f>FMS_Ranking4[[#This Row],[ArcSinh Score Based on Normalized Reported Factors]]+FMS_Ranking4[[#This Row],[% NBS Score (Normalized)]]+(FMS_Ranking4[[#This Row],[Water Supply Score (Normalized)]]*10*$BB$5)+FMS_Ranking4[[#This Row],[FMS_Type Score Weighted]]</f>
        <v>31.260031199812008</v>
      </c>
      <c r="BN199" s="251">
        <f>_xlfn.RANK.EQ(FMS_Ranking4[[#This Row],[Total Score (with ArcSinh normalization of select criteria)]],FMS_Ranking4[Total Score (with ArcSinh normalization of select criteria)],0)</f>
        <v>192</v>
      </c>
      <c r="BO199" s="270" t="str">
        <f>_xlfn.XLOOKUP(FMS_Ranking4[[#This Row],[FMS ID]],FMS_Input[FMS_ID],FMS_Input[FMS_RANK_YEAR])</f>
        <v>2023 Amended Plan</v>
      </c>
      <c r="BP199" s="204">
        <f>_xlfn.XLOOKUP(FMS_Ranking4[[#This Row],[FMS ID]],Prev_Rank[FMS ID],Prev_Rank[Prev Rank])</f>
        <v>180</v>
      </c>
      <c r="BQ199" s="251" t="e">
        <f>_xlfn.XLOOKUP(FMS_Ranking4[[#This Row],[FMS ID]],#REF!,#REF!)</f>
        <v>#REF!</v>
      </c>
      <c r="BR199" s="199" t="e">
        <f>SUM(#REF!,#REF!,#REF!,#REF!,#REF!,#REF!,#REF!,#REF!,#REF!,FMS_Ranking4[[#This Row],[ArcSinh Res struct removed 0-10]],#REF!)</f>
        <v>#REF!</v>
      </c>
      <c r="BS199" s="199" t="e">
        <f>FMS_Ranking4[[#This Row],[Log Score Based on Normalized Reported Factors]]+FMS_Ranking4[[#This Row],[% NBS Score (Normalized)]]+(FMS_Ranking4[[#This Row],[Water Supply Score (Normalized)]]*10*$BB$5)+(FMS_Ranking4[[#This Row],[FMS_Type Score Weighted]])</f>
        <v>#REF!</v>
      </c>
      <c r="BT199" s="200" t="e">
        <f>_xlfn.RANK.EQ(FMS_Ranking4[[#This Row],[Log Total Score]],FMS_Ranking4[Log Total Score],0)</f>
        <v>#REF!</v>
      </c>
      <c r="BU199" s="200" t="e">
        <f>_xlfn.XLOOKUP(FMS_Ranking4[[#This Row],[FMS ID]],#REF!,#REF!)</f>
        <v>#REF!</v>
      </c>
      <c r="BV199" s="200">
        <f>FMS_Ranking4[[#This Row],[Region Number]]</f>
        <v>9</v>
      </c>
      <c r="BW199" s="200">
        <f>FMS_Ranking4[[#This Row],[Rank (with ArcSinh normalization of select criteria)]]-FMS_Ranking4[[#This Row],[Rank
(with linear
normalization)]]</f>
        <v>-581</v>
      </c>
      <c r="BX199" s="200" t="e">
        <f>FMS_Ranking4[[#This Row],[Log Rank]]-FMS_Ranking4[[#This Row],[Rank
(with linear
normalization)]]</f>
        <v>#REF!</v>
      </c>
      <c r="BY199" s="200" t="str">
        <f>IF(FMS_Ranking4[[#This Row],[FMS Type]]="Flood Measurement and Warning",FMS_Ranking4[[#This Row],[Rank (with ArcSinh normalization of select criteria)]],"")</f>
        <v/>
      </c>
      <c r="BZ199" s="200" t="str">
        <f>IF(FMS_Ranking4[[#This Row],[FMS Type]]="Regulatory and Guidance",FMS_Ranking4[[#This Row],[Rank (with ArcSinh normalization of select criteria)]],"")</f>
        <v/>
      </c>
      <c r="CA199" s="200" t="str">
        <f>IF(FMS_Ranking4[[#This Row],[FMS Type]]="Education and Outreach",FMS_Ranking4[[#This Row],[Rank (with ArcSinh normalization of select criteria)]],"")</f>
        <v/>
      </c>
      <c r="CB199" s="200" t="str">
        <f>IF(FMS_Ranking4[[#This Row],[FMS Type]]="Property Acquisition and Structural Elevation",FMS_Ranking4[[#This Row],[Rank (with ArcSinh normalization of select criteria)]],"")</f>
        <v/>
      </c>
      <c r="CC199" s="200" t="str">
        <f>IF(FMS_Ranking4[[#This Row],[FMS Type]]="Infrastructure Projects",FMS_Ranking4[[#This Row],[Rank (with ArcSinh normalization of select criteria)]],"")</f>
        <v/>
      </c>
      <c r="CD199" s="200">
        <f>IF(FMS_Ranking4[[#This Row],[FMS Type]]="Other",FMS_Ranking4[[#This Row],[Rank (with ArcSinh normalization of select criteria)]],"")</f>
        <v>192</v>
      </c>
      <c r="CE199" s="201"/>
      <c r="CF199" s="206"/>
      <c r="CG199" s="206"/>
      <c r="CH199" s="206"/>
      <c r="CI199" s="206"/>
      <c r="CJ199" s="206"/>
      <c r="CK199" s="206"/>
      <c r="CL199" s="206"/>
      <c r="CM199" s="206"/>
      <c r="CN199" s="206"/>
      <c r="CO199" s="206"/>
      <c r="CP199" s="206"/>
      <c r="CQ199" s="206"/>
      <c r="CR199" s="206"/>
    </row>
    <row r="200" spans="2:96" ht="75" x14ac:dyDescent="0.25">
      <c r="B200" s="341" t="s">
        <v>1931</v>
      </c>
      <c r="C200" s="246">
        <f>_xlfn.XLOOKUP(FMS_Ranking4[[#This Row],[FMS ID]],FMS_Input[FMS_ID],FMS_Input[RFPG_NUM])</f>
        <v>3</v>
      </c>
      <c r="D200" s="309" t="str">
        <f>_xlfn.XLOOKUP(FMS_Ranking4[[#This Row],[FMS ID]],FMS_Input[FMS_ID],FMS_Input[FMS_NAME])</f>
        <v>Tarrant County Flood Education Program</v>
      </c>
      <c r="E200" s="308" t="str">
        <f>_xlfn.XLOOKUP(FMS_Ranking4[[#This Row],[FMS ID]],FMS_Input[FMS_ID],FMS_Input[SPONSOR])</f>
        <v xml:space="preserve">Tarrant County </v>
      </c>
      <c r="F200" s="309" t="str">
        <f>_xlfn.XLOOKUP(FMS_Ranking4[[#This Row],[FMS ID]],Sponsor[FMS_ID],Sponsor[SPONSOR NAME])</f>
        <v xml:space="preserve">Tarrant County </v>
      </c>
      <c r="G200" s="309" t="str">
        <f>_xlfn.XLOOKUP(FMS_Ranking4[[#This Row],[FMS ID]],FMS_Input[FMS_ID],FMS_Input[FMS_DESCR])</f>
        <v>Conduct NFIP community workshops to provide information and incentives for property owners to acquire flood insurance.</v>
      </c>
      <c r="H200" s="248" t="str">
        <f>_xlfn.XLOOKUP(FMS_Ranking4[[#This Row],[FMS ID]],FMS_Input[FMS_ID],FMS_Input[FMS_TYPE])</f>
        <v>Education and Outreach</v>
      </c>
      <c r="I200" s="249">
        <f>_xlfn.XLOOKUP(FMS_Ranking4[[#This Row],[FMS ID]],FMS_Input[FMS_ID],FMS_Input[NRNC_COST])</f>
        <v>50000</v>
      </c>
      <c r="J200" s="250">
        <f>_xlfn.XLOOKUP(FMS_Ranking4[[#This Row],[FMS ID]],FMS_Input[FMS_ID],FMS_Input[FMS_COST])</f>
        <v>50000</v>
      </c>
      <c r="K200" s="251" t="str">
        <f>_xlfn.XLOOKUP(FMS_Ranking4[[#This Row],[FMS ID]],FMS_Input[FMS_ID],FMS_Input[EMER_NEED])</f>
        <v>No</v>
      </c>
      <c r="L200" s="252">
        <f t="shared" ref="L200:L263" si="3">IF(K200="Yes",1,0)</f>
        <v>0</v>
      </c>
      <c r="M200" s="253">
        <f>_xlfn.XLOOKUP(FMS_Ranking4[[#This Row],[FMS ID]],FMS_Input[FMS_ID],FMS_Input[STRUCT_100])</f>
        <v>14853</v>
      </c>
      <c r="N200" s="255">
        <f>(ASINH(FMS_Ranking4[[#This Row],[Structure at Risk Raw]]))*(10)/(ASINH(M$4))</f>
        <v>8.0966294702341557</v>
      </c>
      <c r="O200" s="256">
        <f>FMS_Ranking4[[#This Row],[Structures at risk, ArcSinh (0-10)]]*M$5*10</f>
        <v>8.0966294702341557</v>
      </c>
      <c r="P200" s="253">
        <f>_xlfn.XLOOKUP(FMS_Ranking4[[#This Row],[FMS ID]],FMS_Input[FMS_ID],FMS_Input[RES_STRUCT100])</f>
        <v>12825</v>
      </c>
      <c r="Q200" s="257">
        <f>ASINH(FMS_Ranking4[[#This Row],[Res Structure Raw]])/Q$4*P$5*100</f>
        <v>0</v>
      </c>
      <c r="R200" s="253">
        <f>_xlfn.XLOOKUP(FMS_Ranking4[[#This Row],[FMS ID]],FMS_Input[FMS_ID],FMS_Input[POP100])</f>
        <v>46034</v>
      </c>
      <c r="S200" s="259">
        <f>(ASINH(FMS_Ranking4[[#This Row],[Pop at Risk Raw]]))*(10)/(ASINH(R$4))</f>
        <v>7.8909896045845125</v>
      </c>
      <c r="T200" s="256">
        <f>FMS_Ranking4[[#This Row],[Population at risk, ArcSinh (0-10)]]*R$5*10</f>
        <v>7.8909896045845134</v>
      </c>
      <c r="U200" s="253">
        <f>_xlfn.XLOOKUP(FMS_Ranking4[[#This Row],[FMS ID]],FMS_Input[FMS_ID],FMS_Input[CRITFAC100])</f>
        <v>1</v>
      </c>
      <c r="V200" s="259">
        <f>(ASINH(FMS_Ranking4[[#This Row],[Critical Facilities Raw]]))*(10)/(ASINH(U$4))</f>
        <v>1.0433384451410745</v>
      </c>
      <c r="W200" s="256">
        <f>FMS_Ranking4[[#This Row],[Critical facilities at risk, ArcSinh (0-10)]]*U$5*10</f>
        <v>1.0433384451410745</v>
      </c>
      <c r="X200" s="253">
        <f>_xlfn.XLOOKUP(FMS_Ranking4[[#This Row],[FMS ID]],FMS_Input[FMS_ID],FMS_Input[LWC])</f>
        <v>2</v>
      </c>
      <c r="Y200" s="259">
        <f>(ASINH(FMS_Ranking4[[#This Row],[LWC Raw]]))*(10)/(ASINH(X$4))</f>
        <v>1.9557475158633808</v>
      </c>
      <c r="Z200" s="256">
        <f>FMS_Ranking4[[#This Row],[LWC, ArcSInh (0-10)]]*X$5*10</f>
        <v>1.9557475158633808</v>
      </c>
      <c r="AA200" s="253">
        <f>_xlfn.XLOOKUP(FMS_Ranking4[[#This Row],[FMS ID]],FMS_Input[FMS_ID],FMS_Input[ROADCLS])</f>
        <v>0</v>
      </c>
      <c r="AB200" s="255">
        <f>(ASINH(FMS_Ranking4[[#This Row],[Road Closures Raw]]))*(10)/(ASINH(AA$4))</f>
        <v>0</v>
      </c>
      <c r="AC200" s="256">
        <f>FMS_Ranking4[[#This Row],[Road closures, ArcSinh (0-10)]]*AA$5*10</f>
        <v>0</v>
      </c>
      <c r="AD200" s="253">
        <f>_xlfn.XLOOKUP(FMS_Ranking4[[#This Row],[FMS ID]],FMS_Input[FMS_ID],FMS_Input[ROAD_MILES100])</f>
        <v>468</v>
      </c>
      <c r="AE200" s="259">
        <f>(ASINH(FMS_Ranking4[[#This Row],[Road Miles Raw]]))*(10)/(ASINH(AD$4))</f>
        <v>7.2912810200922396</v>
      </c>
      <c r="AF200" s="256">
        <f>FMS_Ranking4[[#This Row],[Length of roads at risk, ArcSinh (0-10)]]*AD$5*10</f>
        <v>7.2912810200922396</v>
      </c>
      <c r="AG200" s="253">
        <f>_xlfn.XLOOKUP(FMS_Ranking4[[#This Row],[FMS ID]],FMS_Input[FMS_ID],FMS_Input[FARMACRE100])</f>
        <v>20062.69921875</v>
      </c>
      <c r="AH200" s="255">
        <f>(ASINH(FMS_Ranking4[[#This Row],[Ag Land Raw]]))*(10)/(ASINH(AG$4))</f>
        <v>6.88541078727786</v>
      </c>
      <c r="AI200" s="260">
        <f>FMS_Ranking4[[#This Row],[Farm &amp; ranch land, ArcSinh (0-10)]]*AG$5*10</f>
        <v>3.44270539363893</v>
      </c>
      <c r="AJ200" s="258">
        <f>_xlfn.XLOOKUP(FMS_Ranking4[[#This Row],[FMS ID]],FMS_Input[FMS_ID],FMS_Input[REDSTRUCT100])</f>
        <v>0</v>
      </c>
      <c r="AK200" s="253">
        <f>_xlfn.XLOOKUP(FMS_Ranking4[[#This Row],[FMS ID]],FMS_Input[FMS_ID],FMS_Input[REMSTRC100])</f>
        <v>0</v>
      </c>
      <c r="AL200" s="259">
        <f>(ASINH(FMS_Ranking4[[#This Row],[Structures Removed Raw]]))*(10)/(ASINH(AK$4))</f>
        <v>0</v>
      </c>
      <c r="AM200" s="262">
        <f>FMS_Ranking4[[#This Row],[Structures removed, ArcSinh (0-10)]]*AK$5*10</f>
        <v>0</v>
      </c>
      <c r="AN200" s="253">
        <f>_xlfn.XLOOKUP(FMS_Ranking4[[#This Row],[FMS ID]],FMS_Input[FMS_ID],FMS_Input[REMRESSTRC100])</f>
        <v>0</v>
      </c>
      <c r="AO200" s="261">
        <f>FMS_Ranking4[[#This Row],[ArcSinh Res struct removed 0-10]]*AN$5*10</f>
        <v>0</v>
      </c>
      <c r="AP200" s="260">
        <f>ASINH(FMS_Ranking4[[#This Row],[Residential Structures Removed Raw]])/AP$4*AN$5*100</f>
        <v>0</v>
      </c>
      <c r="AQ200" s="254">
        <f>(ASINH(FMS_Ranking4[[#This Row],[Residential Structures Removed Raw]]))*(10)/(ASINH(AN$4))</f>
        <v>0</v>
      </c>
      <c r="AR200" s="253">
        <f>_xlfn.XLOOKUP(FMS_Ranking4[[#This Row],[FMS ID]],FMS_Input[FMS_ID],FMS_Input[REMPOP100])</f>
        <v>0</v>
      </c>
      <c r="AS200" s="259">
        <f>(ASINH(FMS_Ranking4[[#This Row],[Removed Pop Raw]]))*(10)/(ASINH(AR$4))</f>
        <v>0</v>
      </c>
      <c r="AT200" s="262">
        <f>FMS_Ranking4[[#This Row],[Removed population, ArcSinh (0-10)]]*AR$5*10</f>
        <v>0</v>
      </c>
      <c r="AU200" s="264">
        <f>_xlfn.XLOOKUP(FMS_Ranking4[[#This Row],[FMS ID]],FMS_Input[FMS_ID],FMS_Input[REMCRITFAC100])</f>
        <v>0</v>
      </c>
      <c r="AV200" s="264">
        <f>_xlfn.XLOOKUP(FMS_Ranking4[[#This Row],[FMS ID]],FMS_Input[FMS_ID],FMS_Input[REMLWC100])</f>
        <v>0</v>
      </c>
      <c r="AW200" s="264">
        <f>_xlfn.XLOOKUP(FMS_Ranking4[[#This Row],[FMS ID]],FMS_Input[FMS_ID],FMS_Input[REMROADCLS])</f>
        <v>0</v>
      </c>
      <c r="AX200" s="264">
        <f>_xlfn.XLOOKUP(FMS_Ranking4[[#This Row],[FMS ID]],FMS_Input[FMS_ID],FMS_Input[REMFRMACRE100])</f>
        <v>0</v>
      </c>
      <c r="AY200" s="258">
        <f>_xlfn.XLOOKUP(FMS_Ranking4[[#This Row],[FMS ID]],FMS_Input[FMS_ID],FMS_Input[COSTSTRUCT])</f>
        <v>0</v>
      </c>
      <c r="AZ200" s="253">
        <f>_xlfn.XLOOKUP(FMS_Ranking4[[#This Row],[FMS ID]],FMS_Input[FMS_ID],FMS_Input[NATURE])</f>
        <v>0</v>
      </c>
      <c r="BA200" s="262">
        <f>(((FMS_Ranking4[[#This Row],[% NBS Raw]]/AZ$4)*100)*AZ$5)</f>
        <v>0</v>
      </c>
      <c r="BB200" s="251" t="str">
        <f>_xlfn.XLOOKUP(FMS_Ranking4[[#This Row],[FMS ID]],FMS_Input[FMS_ID],FMS_Input[WATER_SUP])</f>
        <v>No</v>
      </c>
      <c r="BC200" s="265">
        <f>IF(FMS_Ranking4[[#This Row],[Water Supply Raw]]="Yes",10,0)</f>
        <v>0</v>
      </c>
      <c r="BD200" s="266">
        <f>_xlfn.XLOOKUP(FMS_Ranking4[[#This Row],[FMS Type]],FMS_TYPE[FMS_Type],FMS_TYPE[Score])</f>
        <v>6</v>
      </c>
      <c r="BE200" s="267">
        <f>FMS_Ranking4[[#This Row],[FMS_Type Score]]*$BD$5*10</f>
        <v>1.5000000000000002</v>
      </c>
      <c r="BF20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2.2173683623235165</v>
      </c>
      <c r="BG200" s="271">
        <f>_xlfn.RANK.EQ(BF200,$BF$8:$BF$870,0)+COUNTIF($BF$8:BF200,BF200)-1</f>
        <v>98</v>
      </c>
      <c r="BH200" s="268">
        <f>(((FMS_Ranking4[[#This Row],[Structures Removed Raw]]/AK$4)*100)*AK$5)+(((FMS_Ranking4[[#This Row],[Removed Pop Raw]]/AR$4)*100)*AR$5)</f>
        <v>0</v>
      </c>
      <c r="BI20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3.7173683623235165</v>
      </c>
      <c r="BJ200" s="205">
        <f>_xlfn.RANK.EQ(FMS_Ranking4[[#This Row],[Total Score 
(with linear
normalization)]],FMS_Ranking4[Total Score 
(with linear
normalization)],0)</f>
        <v>140</v>
      </c>
      <c r="BK200" s="205" t="e">
        <f>_xlfn.XLOOKUP(FMS_Ranking4[[#This Row],[FMS ID]],#REF!,#REF!)</f>
        <v>#REF!</v>
      </c>
      <c r="BL20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29.720691449554291</v>
      </c>
      <c r="BM200" s="272">
        <f>FMS_Ranking4[[#This Row],[ArcSinh Score Based on Normalized Reported Factors]]+FMS_Ranking4[[#This Row],[% NBS Score (Normalized)]]+(FMS_Ranking4[[#This Row],[Water Supply Score (Normalized)]]*10*$BB$5)+FMS_Ranking4[[#This Row],[FMS_Type Score Weighted]]</f>
        <v>31.220691449554291</v>
      </c>
      <c r="BN200" s="205">
        <f>_xlfn.RANK.EQ(FMS_Ranking4[[#This Row],[Total Score (with ArcSinh normalization of select criteria)]],FMS_Ranking4[Total Score (with ArcSinh normalization of select criteria)],0)</f>
        <v>193</v>
      </c>
      <c r="BO200" s="270" t="str">
        <f>_xlfn.XLOOKUP(FMS_Ranking4[[#This Row],[FMS ID]],FMS_Input[FMS_ID],FMS_Input[FMS_RANK_YEAR])</f>
        <v>2023 Amended Plan</v>
      </c>
      <c r="BP200" s="204">
        <f>_xlfn.XLOOKUP(FMS_Ranking4[[#This Row],[FMS ID]],Prev_Rank[FMS ID],Prev_Rank[Prev Rank])</f>
        <v>160</v>
      </c>
      <c r="BQ200" s="205" t="e">
        <f>_xlfn.XLOOKUP(FMS_Ranking4[[#This Row],[FMS ID]],#REF!,#REF!)</f>
        <v>#REF!</v>
      </c>
      <c r="BR200" s="199" t="e">
        <f>SUM(#REF!,#REF!,#REF!,#REF!,#REF!,#REF!,#REF!,#REF!,#REF!,FMS_Ranking4[[#This Row],[ArcSinh Res struct removed 0-10]],#REF!)</f>
        <v>#REF!</v>
      </c>
      <c r="BS200" s="199" t="e">
        <f>FMS_Ranking4[[#This Row],[Log Score Based on Normalized Reported Factors]]+FMS_Ranking4[[#This Row],[% NBS Score (Normalized)]]+(FMS_Ranking4[[#This Row],[Water Supply Score (Normalized)]]*10*$BB$5)+(FMS_Ranking4[[#This Row],[FMS_Type Score Weighted]])</f>
        <v>#REF!</v>
      </c>
      <c r="BT200" s="200" t="e">
        <f>_xlfn.RANK.EQ(FMS_Ranking4[[#This Row],[Log Total Score]],FMS_Ranking4[Log Total Score],0)</f>
        <v>#REF!</v>
      </c>
      <c r="BU200" s="200" t="e">
        <f>_xlfn.XLOOKUP(FMS_Ranking4[[#This Row],[FMS ID]],#REF!,#REF!)</f>
        <v>#REF!</v>
      </c>
      <c r="BV200" s="200">
        <f>FMS_Ranking4[[#This Row],[Region Number]]</f>
        <v>3</v>
      </c>
      <c r="BW200" s="200">
        <f>FMS_Ranking4[[#This Row],[Rank (with ArcSinh normalization of select criteria)]]-FMS_Ranking4[[#This Row],[Rank
(with linear
normalization)]]</f>
        <v>53</v>
      </c>
      <c r="BX200" s="200" t="e">
        <f>FMS_Ranking4[[#This Row],[Log Rank]]-FMS_Ranking4[[#This Row],[Rank
(with linear
normalization)]]</f>
        <v>#REF!</v>
      </c>
      <c r="BY200" s="200" t="str">
        <f>IF(FMS_Ranking4[[#This Row],[FMS Type]]="Flood Measurement and Warning",FMS_Ranking4[[#This Row],[Rank (with ArcSinh normalization of select criteria)]],"")</f>
        <v/>
      </c>
      <c r="BZ200" s="200" t="str">
        <f>IF(FMS_Ranking4[[#This Row],[FMS Type]]="Regulatory and Guidance",FMS_Ranking4[[#This Row],[Rank (with ArcSinh normalization of select criteria)]],"")</f>
        <v/>
      </c>
      <c r="CA200" s="200">
        <f>IF(FMS_Ranking4[[#This Row],[FMS Type]]="Education and Outreach",FMS_Ranking4[[#This Row],[Rank (with ArcSinh normalization of select criteria)]],"")</f>
        <v>193</v>
      </c>
      <c r="CB200" s="200" t="str">
        <f>IF(FMS_Ranking4[[#This Row],[FMS Type]]="Property Acquisition and Structural Elevation",FMS_Ranking4[[#This Row],[Rank (with ArcSinh normalization of select criteria)]],"")</f>
        <v/>
      </c>
      <c r="CC200" s="200" t="str">
        <f>IF(FMS_Ranking4[[#This Row],[FMS Type]]="Infrastructure Projects",FMS_Ranking4[[#This Row],[Rank (with ArcSinh normalization of select criteria)]],"")</f>
        <v/>
      </c>
      <c r="CD200" s="200" t="str">
        <f>IF(FMS_Ranking4[[#This Row],[FMS Type]]="Other",FMS_Ranking4[[#This Row],[Rank (with ArcSinh normalization of select criteria)]],"")</f>
        <v/>
      </c>
      <c r="CE200" s="201"/>
      <c r="CF200" s="206"/>
      <c r="CG200" s="206"/>
      <c r="CH200" s="206"/>
      <c r="CI200" s="206"/>
      <c r="CJ200" s="206"/>
      <c r="CK200" s="206"/>
      <c r="CL200" s="206"/>
      <c r="CM200" s="206"/>
      <c r="CN200" s="206"/>
      <c r="CO200" s="206"/>
      <c r="CP200" s="206"/>
      <c r="CQ200" s="206"/>
      <c r="CR200" s="206"/>
    </row>
    <row r="201" spans="2:96" ht="45" x14ac:dyDescent="0.25">
      <c r="B201" s="341" t="s">
        <v>1499</v>
      </c>
      <c r="C201" s="246">
        <f>_xlfn.XLOOKUP(FMS_Ranking4[[#This Row],[FMS ID]],FMS_Input[FMS_ID],FMS_Input[RFPG_NUM])</f>
        <v>1</v>
      </c>
      <c r="D201" s="309" t="str">
        <f>_xlfn.XLOOKUP(FMS_Ranking4[[#This Row],[FMS ID]],FMS_Input[FMS_ID],FMS_Input[FMS_NAME])</f>
        <v>City of Amarillo Gages for Playas </v>
      </c>
      <c r="E201" s="308" t="str">
        <f>_xlfn.XLOOKUP(FMS_Ranking4[[#This Row],[FMS ID]],FMS_Input[FMS_ID],FMS_Input[SPONSOR])</f>
        <v>01002770, 01000243</v>
      </c>
      <c r="F201" s="309" t="str">
        <f>_xlfn.XLOOKUP(FMS_Ranking4[[#This Row],[FMS ID]],Sponsor[FMS_ID],Sponsor[SPONSOR NAME])</f>
        <v>Amarillo, Randall</v>
      </c>
      <c r="G201" s="309" t="str">
        <f>_xlfn.XLOOKUP(FMS_Ranking4[[#This Row],[FMS ID]],FMS_Input[FMS_ID],FMS_Input[FMS_DESCR])</f>
        <v>Install gages on playa lakes </v>
      </c>
      <c r="H201" s="248" t="str">
        <f>_xlfn.XLOOKUP(FMS_Ranking4[[#This Row],[FMS ID]],FMS_Input[FMS_ID],FMS_Input[FMS_TYPE])</f>
        <v>Flood Measurement and Warning</v>
      </c>
      <c r="I201" s="249">
        <f>_xlfn.XLOOKUP(FMS_Ranking4[[#This Row],[FMS ID]],FMS_Input[FMS_ID],FMS_Input[NRNC_COST])</f>
        <v>50000</v>
      </c>
      <c r="J201" s="250">
        <f>_xlfn.XLOOKUP(FMS_Ranking4[[#This Row],[FMS ID]],FMS_Input[FMS_ID],FMS_Input[FMS_COST])</f>
        <v>250000</v>
      </c>
      <c r="K201" s="251" t="str">
        <f>_xlfn.XLOOKUP(FMS_Ranking4[[#This Row],[FMS ID]],FMS_Input[FMS_ID],FMS_Input[EMER_NEED])</f>
        <v>No</v>
      </c>
      <c r="L201" s="252">
        <f t="shared" si="3"/>
        <v>0</v>
      </c>
      <c r="M201" s="253">
        <f>_xlfn.XLOOKUP(FMS_Ranking4[[#This Row],[FMS ID]],FMS_Input[FMS_ID],FMS_Input[STRUCT_100])</f>
        <v>1703</v>
      </c>
      <c r="N201" s="255">
        <f>(ASINH(FMS_Ranking4[[#This Row],[Structure at Risk Raw]]))*(10)/(ASINH(M$4))</f>
        <v>6.3939800376926215</v>
      </c>
      <c r="O201" s="256">
        <f>FMS_Ranking4[[#This Row],[Structures at risk, ArcSinh (0-10)]]*M$5*10</f>
        <v>6.3939800376926215</v>
      </c>
      <c r="P201" s="253">
        <f>_xlfn.XLOOKUP(FMS_Ranking4[[#This Row],[FMS ID]],FMS_Input[FMS_ID],FMS_Input[RES_STRUCT100])</f>
        <v>1382</v>
      </c>
      <c r="Q201" s="257">
        <f>ASINH(FMS_Ranking4[[#This Row],[Res Structure Raw]])/Q$4*P$5*100</f>
        <v>0</v>
      </c>
      <c r="R201" s="253">
        <f>_xlfn.XLOOKUP(FMS_Ranking4[[#This Row],[FMS ID]],FMS_Input[FMS_ID],FMS_Input[POP100])</f>
        <v>8883</v>
      </c>
      <c r="S201" s="259">
        <f>(ASINH(FMS_Ranking4[[#This Row],[Pop at Risk Raw]]))*(10)/(ASINH(R$4))</f>
        <v>6.7551840197743376</v>
      </c>
      <c r="T201" s="256">
        <f>FMS_Ranking4[[#This Row],[Population at risk, ArcSinh (0-10)]]*R$5*10</f>
        <v>6.7551840197743385</v>
      </c>
      <c r="U201" s="253">
        <f>_xlfn.XLOOKUP(FMS_Ranking4[[#This Row],[FMS ID]],FMS_Input[FMS_ID],FMS_Input[CRITFAC100])</f>
        <v>7</v>
      </c>
      <c r="V201" s="259">
        <f>(ASINH(FMS_Ranking4[[#This Row],[Critical Facilities Raw]]))*(10)/(ASINH(U$4))</f>
        <v>3.1300153354232236</v>
      </c>
      <c r="W201" s="256">
        <f>FMS_Ranking4[[#This Row],[Critical facilities at risk, ArcSinh (0-10)]]*U$5*10</f>
        <v>3.1300153354232241</v>
      </c>
      <c r="X201" s="253">
        <f>_xlfn.XLOOKUP(FMS_Ranking4[[#This Row],[FMS ID]],FMS_Input[FMS_ID],FMS_Input[LWC])</f>
        <v>6</v>
      </c>
      <c r="Y201" s="259">
        <f>(ASINH(FMS_Ranking4[[#This Row],[LWC Raw]]))*(10)/(ASINH(X$4))</f>
        <v>3.375708300798784</v>
      </c>
      <c r="Z201" s="256">
        <f>FMS_Ranking4[[#This Row],[LWC, ArcSInh (0-10)]]*X$5*10</f>
        <v>3.3757083007987845</v>
      </c>
      <c r="AA201" s="253">
        <f>_xlfn.XLOOKUP(FMS_Ranking4[[#This Row],[FMS ID]],FMS_Input[FMS_ID],FMS_Input[ROADCLS])</f>
        <v>6</v>
      </c>
      <c r="AB201" s="255">
        <f>(ASINH(FMS_Ranking4[[#This Row],[Road Closures Raw]]))*(10)/(ASINH(AA$4))</f>
        <v>2.5949600132095934</v>
      </c>
      <c r="AC201" s="256">
        <f>FMS_Ranking4[[#This Row],[Road closures, ArcSinh (0-10)]]*AA$5*10</f>
        <v>1.2974800066047967</v>
      </c>
      <c r="AD201" s="253">
        <f>_xlfn.XLOOKUP(FMS_Ranking4[[#This Row],[FMS ID]],FMS_Input[FMS_ID],FMS_Input[ROAD_MILES100])</f>
        <v>103</v>
      </c>
      <c r="AE201" s="259">
        <f>(ASINH(FMS_Ranking4[[#This Row],[Road Miles Raw]]))*(10)/(ASINH(AD$4))</f>
        <v>5.678075280842374</v>
      </c>
      <c r="AF201" s="256">
        <f>FMS_Ranking4[[#This Row],[Length of roads at risk, ArcSinh (0-10)]]*AD$5*10</f>
        <v>5.678075280842374</v>
      </c>
      <c r="AG201" s="253">
        <f>_xlfn.XLOOKUP(FMS_Ranking4[[#This Row],[FMS ID]],FMS_Input[FMS_ID],FMS_Input[FARMACRE100])</f>
        <v>212.75544738769531</v>
      </c>
      <c r="AH201" s="255">
        <f>(ASINH(FMS_Ranking4[[#This Row],[Ag Land Raw]]))*(10)/(ASINH(AG$4))</f>
        <v>3.9321089588129947</v>
      </c>
      <c r="AI201" s="260">
        <f>FMS_Ranking4[[#This Row],[Farm &amp; ranch land, ArcSinh (0-10)]]*AG$5*10</f>
        <v>1.9660544794064974</v>
      </c>
      <c r="AJ201" s="258">
        <f>_xlfn.XLOOKUP(FMS_Ranking4[[#This Row],[FMS ID]],FMS_Input[FMS_ID],FMS_Input[REDSTRUCT100])</f>
        <v>0</v>
      </c>
      <c r="AK201" s="253">
        <f>_xlfn.XLOOKUP(FMS_Ranking4[[#This Row],[FMS ID]],FMS_Input[FMS_ID],FMS_Input[REMSTRC100])</f>
        <v>0</v>
      </c>
      <c r="AL201" s="259">
        <f>(ASINH(FMS_Ranking4[[#This Row],[Structures Removed Raw]]))*(10)/(ASINH(AK$4))</f>
        <v>0</v>
      </c>
      <c r="AM201" s="262">
        <f>FMS_Ranking4[[#This Row],[Structures removed, ArcSinh (0-10)]]*AK$5*10</f>
        <v>0</v>
      </c>
      <c r="AN201" s="253">
        <f>_xlfn.XLOOKUP(FMS_Ranking4[[#This Row],[FMS ID]],FMS_Input[FMS_ID],FMS_Input[REMRESSTRC100])</f>
        <v>0</v>
      </c>
      <c r="AO201" s="261">
        <f>FMS_Ranking4[[#This Row],[ArcSinh Res struct removed 0-10]]*AN$5*10</f>
        <v>0</v>
      </c>
      <c r="AP201" s="260">
        <f>ASINH(FMS_Ranking4[[#This Row],[Residential Structures Removed Raw]])/AP$4*AN$5*100</f>
        <v>0</v>
      </c>
      <c r="AQ201" s="254">
        <f>(ASINH(FMS_Ranking4[[#This Row],[Residential Structures Removed Raw]]))*(10)/(ASINH(AN$4))</f>
        <v>0</v>
      </c>
      <c r="AR201" s="253">
        <f>_xlfn.XLOOKUP(FMS_Ranking4[[#This Row],[FMS ID]],FMS_Input[FMS_ID],FMS_Input[REMPOP100])</f>
        <v>0</v>
      </c>
      <c r="AS201" s="259">
        <f>(ASINH(FMS_Ranking4[[#This Row],[Removed Pop Raw]]))*(10)/(ASINH(AR$4))</f>
        <v>0</v>
      </c>
      <c r="AT201" s="262">
        <f>FMS_Ranking4[[#This Row],[Removed population, ArcSinh (0-10)]]*AR$5*10</f>
        <v>0</v>
      </c>
      <c r="AU201" s="264">
        <f>_xlfn.XLOOKUP(FMS_Ranking4[[#This Row],[FMS ID]],FMS_Input[FMS_ID],FMS_Input[REMCRITFAC100])</f>
        <v>0</v>
      </c>
      <c r="AV201" s="264">
        <f>_xlfn.XLOOKUP(FMS_Ranking4[[#This Row],[FMS ID]],FMS_Input[FMS_ID],FMS_Input[REMLWC100])</f>
        <v>0</v>
      </c>
      <c r="AW201" s="264">
        <f>_xlfn.XLOOKUP(FMS_Ranking4[[#This Row],[FMS ID]],FMS_Input[FMS_ID],FMS_Input[REMROADCLS])</f>
        <v>0</v>
      </c>
      <c r="AX201" s="264">
        <f>_xlfn.XLOOKUP(FMS_Ranking4[[#This Row],[FMS ID]],FMS_Input[FMS_ID],FMS_Input[REMFRMACRE100])</f>
        <v>0</v>
      </c>
      <c r="AY201" s="258">
        <f>_xlfn.XLOOKUP(FMS_Ranking4[[#This Row],[FMS ID]],FMS_Input[FMS_ID],FMS_Input[COSTSTRUCT])</f>
        <v>0</v>
      </c>
      <c r="AZ201" s="253">
        <f>_xlfn.XLOOKUP(FMS_Ranking4[[#This Row],[FMS ID]],FMS_Input[FMS_ID],FMS_Input[NATURE])</f>
        <v>0</v>
      </c>
      <c r="BA201" s="262">
        <f>(((FMS_Ranking4[[#This Row],[% NBS Raw]]/AZ$4)*100)*AZ$5)</f>
        <v>0</v>
      </c>
      <c r="BB201" s="251" t="str">
        <f>_xlfn.XLOOKUP(FMS_Ranking4[[#This Row],[FMS ID]],FMS_Input[FMS_ID],FMS_Input[WATER_SUP])</f>
        <v>No</v>
      </c>
      <c r="BC201" s="265">
        <f>IF(FMS_Ranking4[[#This Row],[Water Supply Raw]]="Yes",10,0)</f>
        <v>0</v>
      </c>
      <c r="BD201" s="266">
        <f>_xlfn.XLOOKUP(FMS_Ranking4[[#This Row],[FMS Type]],FMS_TYPE[FMS_Type],FMS_TYPE[Score])</f>
        <v>10</v>
      </c>
      <c r="BE201" s="267">
        <f>FMS_Ranking4[[#This Row],[FMS_Type Score]]*$BD$5*10</f>
        <v>2.5</v>
      </c>
      <c r="BF20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0.47528842917757474</v>
      </c>
      <c r="BG201" s="271">
        <f>_xlfn.RANK.EQ(BF201,$BF$8:$BF$870,0)+COUNTIF($BF$8:BF201,BF201)-1</f>
        <v>232</v>
      </c>
      <c r="BH201" s="268">
        <f>(((FMS_Ranking4[[#This Row],[Structures Removed Raw]]/AK$4)*100)*AK$5)+(((FMS_Ranking4[[#This Row],[Removed Pop Raw]]/AR$4)*100)*AR$5)</f>
        <v>0</v>
      </c>
      <c r="BI20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2.9752884291775747</v>
      </c>
      <c r="BJ201" s="205">
        <f>_xlfn.RANK.EQ(FMS_Ranking4[[#This Row],[Total Score 
(with linear
normalization)]],FMS_Ranking4[Total Score 
(with linear
normalization)],0)</f>
        <v>176</v>
      </c>
      <c r="BK201" s="205" t="e">
        <f>_xlfn.XLOOKUP(FMS_Ranking4[[#This Row],[FMS ID]],#REF!,#REF!)</f>
        <v>#REF!</v>
      </c>
      <c r="BL20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28.59649746054264</v>
      </c>
      <c r="BM201" s="272">
        <f>FMS_Ranking4[[#This Row],[ArcSinh Score Based on Normalized Reported Factors]]+FMS_Ranking4[[#This Row],[% NBS Score (Normalized)]]+(FMS_Ranking4[[#This Row],[Water Supply Score (Normalized)]]*10*$BB$5)+FMS_Ranking4[[#This Row],[FMS_Type Score Weighted]]</f>
        <v>31.09649746054264</v>
      </c>
      <c r="BN201" s="205">
        <f>_xlfn.RANK.EQ(FMS_Ranking4[[#This Row],[Total Score (with ArcSinh normalization of select criteria)]],FMS_Ranking4[Total Score (with ArcSinh normalization of select criteria)],0)</f>
        <v>194</v>
      </c>
      <c r="BO201" s="270" t="str">
        <f>_xlfn.XLOOKUP(FMS_Ranking4[[#This Row],[FMS ID]],FMS_Input[FMS_ID],FMS_Input[FMS_RANK_YEAR])</f>
        <v>2023 Amended Plan</v>
      </c>
      <c r="BP201" s="204">
        <f>_xlfn.XLOOKUP(FMS_Ranking4[[#This Row],[FMS ID]],Prev_Rank[FMS ID],Prev_Rank[Prev Rank])</f>
        <v>166</v>
      </c>
      <c r="BQ201" s="205" t="e">
        <f>_xlfn.XLOOKUP(FMS_Ranking4[[#This Row],[FMS ID]],#REF!,#REF!)</f>
        <v>#REF!</v>
      </c>
      <c r="BR201" s="199" t="e">
        <f>SUM(#REF!,#REF!,#REF!,#REF!,#REF!,#REF!,#REF!,#REF!,#REF!,FMS_Ranking4[[#This Row],[ArcSinh Res struct removed 0-10]],#REF!)</f>
        <v>#REF!</v>
      </c>
      <c r="BS201" s="199" t="e">
        <f>FMS_Ranking4[[#This Row],[Log Score Based on Normalized Reported Factors]]+FMS_Ranking4[[#This Row],[% NBS Score (Normalized)]]+(FMS_Ranking4[[#This Row],[Water Supply Score (Normalized)]]*10*$BB$5)+(FMS_Ranking4[[#This Row],[FMS_Type Score Weighted]])</f>
        <v>#REF!</v>
      </c>
      <c r="BT201" s="200" t="e">
        <f>_xlfn.RANK.EQ(FMS_Ranking4[[#This Row],[Log Total Score]],FMS_Ranking4[Log Total Score],0)</f>
        <v>#REF!</v>
      </c>
      <c r="BU201" s="200" t="e">
        <f>_xlfn.XLOOKUP(FMS_Ranking4[[#This Row],[FMS ID]],#REF!,#REF!)</f>
        <v>#REF!</v>
      </c>
      <c r="BV201" s="200">
        <f>FMS_Ranking4[[#This Row],[Region Number]]</f>
        <v>1</v>
      </c>
      <c r="BW201" s="200">
        <f>FMS_Ranking4[[#This Row],[Rank (with ArcSinh normalization of select criteria)]]-FMS_Ranking4[[#This Row],[Rank
(with linear
normalization)]]</f>
        <v>18</v>
      </c>
      <c r="BX201" s="200" t="e">
        <f>FMS_Ranking4[[#This Row],[Log Rank]]-FMS_Ranking4[[#This Row],[Rank
(with linear
normalization)]]</f>
        <v>#REF!</v>
      </c>
      <c r="BY201" s="200">
        <f>IF(FMS_Ranking4[[#This Row],[FMS Type]]="Flood Measurement and Warning",FMS_Ranking4[[#This Row],[Rank (with ArcSinh normalization of select criteria)]],"")</f>
        <v>194</v>
      </c>
      <c r="BZ201" s="200" t="str">
        <f>IF(FMS_Ranking4[[#This Row],[FMS Type]]="Regulatory and Guidance",FMS_Ranking4[[#This Row],[Rank (with ArcSinh normalization of select criteria)]],"")</f>
        <v/>
      </c>
      <c r="CA201" s="200" t="str">
        <f>IF(FMS_Ranking4[[#This Row],[FMS Type]]="Education and Outreach",FMS_Ranking4[[#This Row],[Rank (with ArcSinh normalization of select criteria)]],"")</f>
        <v/>
      </c>
      <c r="CB201" s="200" t="str">
        <f>IF(FMS_Ranking4[[#This Row],[FMS Type]]="Property Acquisition and Structural Elevation",FMS_Ranking4[[#This Row],[Rank (with ArcSinh normalization of select criteria)]],"")</f>
        <v/>
      </c>
      <c r="CC201" s="200" t="str">
        <f>IF(FMS_Ranking4[[#This Row],[FMS Type]]="Infrastructure Projects",FMS_Ranking4[[#This Row],[Rank (with ArcSinh normalization of select criteria)]],"")</f>
        <v/>
      </c>
      <c r="CD201" s="200" t="str">
        <f>IF(FMS_Ranking4[[#This Row],[FMS Type]]="Other",FMS_Ranking4[[#This Row],[Rank (with ArcSinh normalization of select criteria)]],"")</f>
        <v/>
      </c>
      <c r="CE201" s="201"/>
      <c r="CF201" s="206"/>
      <c r="CG201" s="206"/>
      <c r="CH201" s="206"/>
      <c r="CI201" s="206"/>
      <c r="CJ201" s="206"/>
      <c r="CK201" s="206"/>
      <c r="CL201" s="206"/>
      <c r="CM201" s="206"/>
      <c r="CN201" s="206"/>
      <c r="CO201" s="206"/>
      <c r="CP201" s="206"/>
      <c r="CQ201" s="206"/>
      <c r="CR201" s="206"/>
    </row>
    <row r="202" spans="2:96" ht="45" x14ac:dyDescent="0.25">
      <c r="B202" s="341" t="s">
        <v>1503</v>
      </c>
      <c r="C202" s="246">
        <f>_xlfn.XLOOKUP(FMS_Ranking4[[#This Row],[FMS ID]],FMS_Input[FMS_ID],FMS_Input[RFPG_NUM])</f>
        <v>1</v>
      </c>
      <c r="D202" s="309" t="str">
        <f>_xlfn.XLOOKUP(FMS_Ranking4[[#This Row],[FMS ID]],FMS_Input[FMS_ID],FMS_Input[FMS_NAME])</f>
        <v>City of Amarillo Flood Warning System</v>
      </c>
      <c r="E202" s="308" t="str">
        <f>_xlfn.XLOOKUP(FMS_Ranking4[[#This Row],[FMS ID]],FMS_Input[FMS_ID],FMS_Input[SPONSOR])</f>
        <v>01002770, 01000243</v>
      </c>
      <c r="F202" s="309" t="str">
        <f>_xlfn.XLOOKUP(FMS_Ranking4[[#This Row],[FMS ID]],Sponsor[FMS_ID],Sponsor[SPONSOR NAME])</f>
        <v>Amarillo, Randall</v>
      </c>
      <c r="G202" s="309" t="str">
        <f>_xlfn.XLOOKUP(FMS_Ranking4[[#This Row],[FMS ID]],FMS_Input[FMS_ID],FMS_Input[FMS_DESCR])</f>
        <v>Implement flood warning system in the north side of town</v>
      </c>
      <c r="H202" s="248" t="str">
        <f>_xlfn.XLOOKUP(FMS_Ranking4[[#This Row],[FMS ID]],FMS_Input[FMS_ID],FMS_Input[FMS_TYPE])</f>
        <v>Flood Measurement and Warning</v>
      </c>
      <c r="I202" s="249">
        <f>_xlfn.XLOOKUP(FMS_Ranking4[[#This Row],[FMS ID]],FMS_Input[FMS_ID],FMS_Input[NRNC_COST])</f>
        <v>50000</v>
      </c>
      <c r="J202" s="250">
        <f>_xlfn.XLOOKUP(FMS_Ranking4[[#This Row],[FMS ID]],FMS_Input[FMS_ID],FMS_Input[FMS_COST])</f>
        <v>250000</v>
      </c>
      <c r="K202" s="251" t="str">
        <f>_xlfn.XLOOKUP(FMS_Ranking4[[#This Row],[FMS ID]],FMS_Input[FMS_ID],FMS_Input[EMER_NEED])</f>
        <v>No</v>
      </c>
      <c r="L202" s="252">
        <f t="shared" si="3"/>
        <v>0</v>
      </c>
      <c r="M202" s="253">
        <f>_xlfn.XLOOKUP(FMS_Ranking4[[#This Row],[FMS ID]],FMS_Input[FMS_ID],FMS_Input[STRUCT_100])</f>
        <v>1703</v>
      </c>
      <c r="N202" s="255">
        <f>(ASINH(FMS_Ranking4[[#This Row],[Structure at Risk Raw]]))*(10)/(ASINH(M$4))</f>
        <v>6.3939800376926215</v>
      </c>
      <c r="O202" s="256">
        <f>FMS_Ranking4[[#This Row],[Structures at risk, ArcSinh (0-10)]]*M$5*10</f>
        <v>6.3939800376926215</v>
      </c>
      <c r="P202" s="253">
        <f>_xlfn.XLOOKUP(FMS_Ranking4[[#This Row],[FMS ID]],FMS_Input[FMS_ID],FMS_Input[RES_STRUCT100])</f>
        <v>1382</v>
      </c>
      <c r="Q202" s="257">
        <f>ASINH(FMS_Ranking4[[#This Row],[Res Structure Raw]])/Q$4*P$5*100</f>
        <v>0</v>
      </c>
      <c r="R202" s="253">
        <f>_xlfn.XLOOKUP(FMS_Ranking4[[#This Row],[FMS ID]],FMS_Input[FMS_ID],FMS_Input[POP100])</f>
        <v>8883</v>
      </c>
      <c r="S202" s="259">
        <f>(ASINH(FMS_Ranking4[[#This Row],[Pop at Risk Raw]]))*(10)/(ASINH(R$4))</f>
        <v>6.7551840197743376</v>
      </c>
      <c r="T202" s="256">
        <f>FMS_Ranking4[[#This Row],[Population at risk, ArcSinh (0-10)]]*R$5*10</f>
        <v>6.7551840197743385</v>
      </c>
      <c r="U202" s="253">
        <f>_xlfn.XLOOKUP(FMS_Ranking4[[#This Row],[FMS ID]],FMS_Input[FMS_ID],FMS_Input[CRITFAC100])</f>
        <v>7</v>
      </c>
      <c r="V202" s="259">
        <f>(ASINH(FMS_Ranking4[[#This Row],[Critical Facilities Raw]]))*(10)/(ASINH(U$4))</f>
        <v>3.1300153354232236</v>
      </c>
      <c r="W202" s="256">
        <f>FMS_Ranking4[[#This Row],[Critical facilities at risk, ArcSinh (0-10)]]*U$5*10</f>
        <v>3.1300153354232241</v>
      </c>
      <c r="X202" s="253">
        <f>_xlfn.XLOOKUP(FMS_Ranking4[[#This Row],[FMS ID]],FMS_Input[FMS_ID],FMS_Input[LWC])</f>
        <v>6</v>
      </c>
      <c r="Y202" s="259">
        <f>(ASINH(FMS_Ranking4[[#This Row],[LWC Raw]]))*(10)/(ASINH(X$4))</f>
        <v>3.375708300798784</v>
      </c>
      <c r="Z202" s="256">
        <f>FMS_Ranking4[[#This Row],[LWC, ArcSInh (0-10)]]*X$5*10</f>
        <v>3.3757083007987845</v>
      </c>
      <c r="AA202" s="253">
        <f>_xlfn.XLOOKUP(FMS_Ranking4[[#This Row],[FMS ID]],FMS_Input[FMS_ID],FMS_Input[ROADCLS])</f>
        <v>6</v>
      </c>
      <c r="AB202" s="255">
        <f>(ASINH(FMS_Ranking4[[#This Row],[Road Closures Raw]]))*(10)/(ASINH(AA$4))</f>
        <v>2.5949600132095934</v>
      </c>
      <c r="AC202" s="256">
        <f>FMS_Ranking4[[#This Row],[Road closures, ArcSinh (0-10)]]*AA$5*10</f>
        <v>1.2974800066047967</v>
      </c>
      <c r="AD202" s="253">
        <f>_xlfn.XLOOKUP(FMS_Ranking4[[#This Row],[FMS ID]],FMS_Input[FMS_ID],FMS_Input[ROAD_MILES100])</f>
        <v>103</v>
      </c>
      <c r="AE202" s="259">
        <f>(ASINH(FMS_Ranking4[[#This Row],[Road Miles Raw]]))*(10)/(ASINH(AD$4))</f>
        <v>5.678075280842374</v>
      </c>
      <c r="AF202" s="256">
        <f>FMS_Ranking4[[#This Row],[Length of roads at risk, ArcSinh (0-10)]]*AD$5*10</f>
        <v>5.678075280842374</v>
      </c>
      <c r="AG202" s="253">
        <f>_xlfn.XLOOKUP(FMS_Ranking4[[#This Row],[FMS ID]],FMS_Input[FMS_ID],FMS_Input[FARMACRE100])</f>
        <v>212.75544738769531</v>
      </c>
      <c r="AH202" s="255">
        <f>(ASINH(FMS_Ranking4[[#This Row],[Ag Land Raw]]))*(10)/(ASINH(AG$4))</f>
        <v>3.9321089588129947</v>
      </c>
      <c r="AI202" s="260">
        <f>FMS_Ranking4[[#This Row],[Farm &amp; ranch land, ArcSinh (0-10)]]*AG$5*10</f>
        <v>1.9660544794064974</v>
      </c>
      <c r="AJ202" s="258">
        <f>_xlfn.XLOOKUP(FMS_Ranking4[[#This Row],[FMS ID]],FMS_Input[FMS_ID],FMS_Input[REDSTRUCT100])</f>
        <v>0</v>
      </c>
      <c r="AK202" s="253">
        <f>_xlfn.XLOOKUP(FMS_Ranking4[[#This Row],[FMS ID]],FMS_Input[FMS_ID],FMS_Input[REMSTRC100])</f>
        <v>0</v>
      </c>
      <c r="AL202" s="259">
        <f>(ASINH(FMS_Ranking4[[#This Row],[Structures Removed Raw]]))*(10)/(ASINH(AK$4))</f>
        <v>0</v>
      </c>
      <c r="AM202" s="262">
        <f>FMS_Ranking4[[#This Row],[Structures removed, ArcSinh (0-10)]]*AK$5*10</f>
        <v>0</v>
      </c>
      <c r="AN202" s="253">
        <f>_xlfn.XLOOKUP(FMS_Ranking4[[#This Row],[FMS ID]],FMS_Input[FMS_ID],FMS_Input[REMRESSTRC100])</f>
        <v>0</v>
      </c>
      <c r="AO202" s="261">
        <f>FMS_Ranking4[[#This Row],[ArcSinh Res struct removed 0-10]]*AN$5*10</f>
        <v>0</v>
      </c>
      <c r="AP202" s="260">
        <f>ASINH(FMS_Ranking4[[#This Row],[Residential Structures Removed Raw]])/AP$4*AN$5*100</f>
        <v>0</v>
      </c>
      <c r="AQ202" s="254">
        <f>(ASINH(FMS_Ranking4[[#This Row],[Residential Structures Removed Raw]]))*(10)/(ASINH(AN$4))</f>
        <v>0</v>
      </c>
      <c r="AR202" s="253">
        <f>_xlfn.XLOOKUP(FMS_Ranking4[[#This Row],[FMS ID]],FMS_Input[FMS_ID],FMS_Input[REMPOP100])</f>
        <v>0</v>
      </c>
      <c r="AS202" s="259">
        <f>(ASINH(FMS_Ranking4[[#This Row],[Removed Pop Raw]]))*(10)/(ASINH(AR$4))</f>
        <v>0</v>
      </c>
      <c r="AT202" s="262">
        <f>FMS_Ranking4[[#This Row],[Removed population, ArcSinh (0-10)]]*AR$5*10</f>
        <v>0</v>
      </c>
      <c r="AU202" s="264">
        <f>_xlfn.XLOOKUP(FMS_Ranking4[[#This Row],[FMS ID]],FMS_Input[FMS_ID],FMS_Input[REMCRITFAC100])</f>
        <v>0</v>
      </c>
      <c r="AV202" s="264">
        <f>_xlfn.XLOOKUP(FMS_Ranking4[[#This Row],[FMS ID]],FMS_Input[FMS_ID],FMS_Input[REMLWC100])</f>
        <v>0</v>
      </c>
      <c r="AW202" s="264">
        <f>_xlfn.XLOOKUP(FMS_Ranking4[[#This Row],[FMS ID]],FMS_Input[FMS_ID],FMS_Input[REMROADCLS])</f>
        <v>0</v>
      </c>
      <c r="AX202" s="264">
        <f>_xlfn.XLOOKUP(FMS_Ranking4[[#This Row],[FMS ID]],FMS_Input[FMS_ID],FMS_Input[REMFRMACRE100])</f>
        <v>0</v>
      </c>
      <c r="AY202" s="258">
        <f>_xlfn.XLOOKUP(FMS_Ranking4[[#This Row],[FMS ID]],FMS_Input[FMS_ID],FMS_Input[COSTSTRUCT])</f>
        <v>0</v>
      </c>
      <c r="AZ202" s="253">
        <f>_xlfn.XLOOKUP(FMS_Ranking4[[#This Row],[FMS ID]],FMS_Input[FMS_ID],FMS_Input[NATURE])</f>
        <v>0</v>
      </c>
      <c r="BA202" s="262">
        <f>(((FMS_Ranking4[[#This Row],[% NBS Raw]]/AZ$4)*100)*AZ$5)</f>
        <v>0</v>
      </c>
      <c r="BB202" s="251" t="str">
        <f>_xlfn.XLOOKUP(FMS_Ranking4[[#This Row],[FMS ID]],FMS_Input[FMS_ID],FMS_Input[WATER_SUP])</f>
        <v>No</v>
      </c>
      <c r="BC202" s="265">
        <f>IF(FMS_Ranking4[[#This Row],[Water Supply Raw]]="Yes",10,0)</f>
        <v>0</v>
      </c>
      <c r="BD202" s="266">
        <f>_xlfn.XLOOKUP(FMS_Ranking4[[#This Row],[FMS Type]],FMS_TYPE[FMS_Type],FMS_TYPE[Score])</f>
        <v>10</v>
      </c>
      <c r="BE202" s="267">
        <f>FMS_Ranking4[[#This Row],[FMS_Type Score]]*$BD$5*10</f>
        <v>2.5</v>
      </c>
      <c r="BF20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0.47528842917757474</v>
      </c>
      <c r="BG202" s="271">
        <f>_xlfn.RANK.EQ(BF202,$BF$8:$BF$870,0)+COUNTIF($BF$8:BF202,BF202)-1</f>
        <v>233</v>
      </c>
      <c r="BH202" s="268">
        <f>(((FMS_Ranking4[[#This Row],[Structures Removed Raw]]/AK$4)*100)*AK$5)+(((FMS_Ranking4[[#This Row],[Removed Pop Raw]]/AR$4)*100)*AR$5)</f>
        <v>0</v>
      </c>
      <c r="BI20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2.9752884291775747</v>
      </c>
      <c r="BJ202" s="205">
        <f>_xlfn.RANK.EQ(FMS_Ranking4[[#This Row],[Total Score 
(with linear
normalization)]],FMS_Ranking4[Total Score 
(with linear
normalization)],0)</f>
        <v>176</v>
      </c>
      <c r="BK202" s="205" t="e">
        <f>_xlfn.XLOOKUP(FMS_Ranking4[[#This Row],[FMS ID]],#REF!,#REF!)</f>
        <v>#REF!</v>
      </c>
      <c r="BL20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28.59649746054264</v>
      </c>
      <c r="BM202" s="272">
        <f>FMS_Ranking4[[#This Row],[ArcSinh Score Based on Normalized Reported Factors]]+FMS_Ranking4[[#This Row],[% NBS Score (Normalized)]]+(FMS_Ranking4[[#This Row],[Water Supply Score (Normalized)]]*10*$BB$5)+FMS_Ranking4[[#This Row],[FMS_Type Score Weighted]]</f>
        <v>31.09649746054264</v>
      </c>
      <c r="BN202" s="205">
        <f>_xlfn.RANK.EQ(FMS_Ranking4[[#This Row],[Total Score (with ArcSinh normalization of select criteria)]],FMS_Ranking4[Total Score (with ArcSinh normalization of select criteria)],0)</f>
        <v>194</v>
      </c>
      <c r="BO202" s="270" t="str">
        <f>_xlfn.XLOOKUP(FMS_Ranking4[[#This Row],[FMS ID]],FMS_Input[FMS_ID],FMS_Input[FMS_RANK_YEAR])</f>
        <v>2023 Amended Plan</v>
      </c>
      <c r="BP202" s="204">
        <f>_xlfn.XLOOKUP(FMS_Ranking4[[#This Row],[FMS ID]],Prev_Rank[FMS ID],Prev_Rank[Prev Rank])</f>
        <v>166</v>
      </c>
      <c r="BQ202" s="205" t="e">
        <f>_xlfn.XLOOKUP(FMS_Ranking4[[#This Row],[FMS ID]],#REF!,#REF!)</f>
        <v>#REF!</v>
      </c>
      <c r="BR202" s="199" t="e">
        <f>SUM(#REF!,#REF!,#REF!,#REF!,#REF!,#REF!,#REF!,#REF!,#REF!,FMS_Ranking4[[#This Row],[ArcSinh Res struct removed 0-10]],#REF!)</f>
        <v>#REF!</v>
      </c>
      <c r="BS202" s="199" t="e">
        <f>FMS_Ranking4[[#This Row],[Log Score Based on Normalized Reported Factors]]+FMS_Ranking4[[#This Row],[% NBS Score (Normalized)]]+(FMS_Ranking4[[#This Row],[Water Supply Score (Normalized)]]*10*$BB$5)+(FMS_Ranking4[[#This Row],[FMS_Type Score Weighted]])</f>
        <v>#REF!</v>
      </c>
      <c r="BT202" s="200" t="e">
        <f>_xlfn.RANK.EQ(FMS_Ranking4[[#This Row],[Log Total Score]],FMS_Ranking4[Log Total Score],0)</f>
        <v>#REF!</v>
      </c>
      <c r="BU202" s="200" t="e">
        <f>_xlfn.XLOOKUP(FMS_Ranking4[[#This Row],[FMS ID]],#REF!,#REF!)</f>
        <v>#REF!</v>
      </c>
      <c r="BV202" s="200">
        <f>FMS_Ranking4[[#This Row],[Region Number]]</f>
        <v>1</v>
      </c>
      <c r="BW202" s="200">
        <f>FMS_Ranking4[[#This Row],[Rank (with ArcSinh normalization of select criteria)]]-FMS_Ranking4[[#This Row],[Rank
(with linear
normalization)]]</f>
        <v>18</v>
      </c>
      <c r="BX202" s="200" t="e">
        <f>FMS_Ranking4[[#This Row],[Log Rank]]-FMS_Ranking4[[#This Row],[Rank
(with linear
normalization)]]</f>
        <v>#REF!</v>
      </c>
      <c r="BY202" s="200">
        <f>IF(FMS_Ranking4[[#This Row],[FMS Type]]="Flood Measurement and Warning",FMS_Ranking4[[#This Row],[Rank (with ArcSinh normalization of select criteria)]],"")</f>
        <v>194</v>
      </c>
      <c r="BZ202" s="200" t="str">
        <f>IF(FMS_Ranking4[[#This Row],[FMS Type]]="Regulatory and Guidance",FMS_Ranking4[[#This Row],[Rank (with ArcSinh normalization of select criteria)]],"")</f>
        <v/>
      </c>
      <c r="CA202" s="200" t="str">
        <f>IF(FMS_Ranking4[[#This Row],[FMS Type]]="Education and Outreach",FMS_Ranking4[[#This Row],[Rank (with ArcSinh normalization of select criteria)]],"")</f>
        <v/>
      </c>
      <c r="CB202" s="200" t="str">
        <f>IF(FMS_Ranking4[[#This Row],[FMS Type]]="Property Acquisition and Structural Elevation",FMS_Ranking4[[#This Row],[Rank (with ArcSinh normalization of select criteria)]],"")</f>
        <v/>
      </c>
      <c r="CC202" s="200" t="str">
        <f>IF(FMS_Ranking4[[#This Row],[FMS Type]]="Infrastructure Projects",FMS_Ranking4[[#This Row],[Rank (with ArcSinh normalization of select criteria)]],"")</f>
        <v/>
      </c>
      <c r="CD202" s="200" t="str">
        <f>IF(FMS_Ranking4[[#This Row],[FMS Type]]="Other",FMS_Ranking4[[#This Row],[Rank (with ArcSinh normalization of select criteria)]],"")</f>
        <v/>
      </c>
      <c r="CE202" s="201"/>
      <c r="CF202" s="206"/>
      <c r="CG202" s="206"/>
      <c r="CH202" s="206"/>
      <c r="CI202" s="206"/>
      <c r="CJ202" s="206"/>
      <c r="CK202" s="206"/>
      <c r="CL202" s="206"/>
      <c r="CM202" s="206"/>
      <c r="CN202" s="206"/>
      <c r="CO202" s="206"/>
      <c r="CP202" s="206"/>
      <c r="CQ202" s="206"/>
      <c r="CR202" s="206"/>
    </row>
    <row r="203" spans="2:96" ht="45" x14ac:dyDescent="0.25">
      <c r="B203" s="341" t="s">
        <v>526</v>
      </c>
      <c r="C203" s="246">
        <f>_xlfn.XLOOKUP(FMS_Ranking4[[#This Row],[FMS ID]],FMS_Input[FMS_ID],FMS_Input[RFPG_NUM])</f>
        <v>9</v>
      </c>
      <c r="D203" s="309" t="str">
        <f>_xlfn.XLOOKUP(FMS_Ranking4[[#This Row],[FMS ID]],FMS_Input[FMS_ID],FMS_Input[FMS_NAME])</f>
        <v>City of Brownfield DCM</v>
      </c>
      <c r="E203" s="308" t="str">
        <f>_xlfn.XLOOKUP(FMS_Ranking4[[#This Row],[FMS ID]],FMS_Input[FMS_ID],FMS_Input[SPONSOR])</f>
        <v>00000205</v>
      </c>
      <c r="F203" s="309" t="str">
        <f>_xlfn.XLOOKUP(FMS_Ranking4[[#This Row],[FMS ID]],Sponsor[FMS_ID],Sponsor[SPONSOR NAME])</f>
        <v>Terry</v>
      </c>
      <c r="G203" s="309" t="str">
        <f>_xlfn.XLOOKUP(FMS_Ranking4[[#This Row],[FMS ID]],FMS_Input[FMS_ID],FMS_Input[FMS_DESCR])</f>
        <v>Outreach Program: Discuss Stormwater Criteria Design Manual</v>
      </c>
      <c r="H203" s="248" t="str">
        <f>_xlfn.XLOOKUP(FMS_Ranking4[[#This Row],[FMS ID]],FMS_Input[FMS_ID],FMS_Input[FMS_TYPE])</f>
        <v>Other</v>
      </c>
      <c r="I203" s="249">
        <f>_xlfn.XLOOKUP(FMS_Ranking4[[#This Row],[FMS ID]],FMS_Input[FMS_ID],FMS_Input[NRNC_COST])</f>
        <v>75000</v>
      </c>
      <c r="J203" s="250">
        <f>_xlfn.XLOOKUP(FMS_Ranking4[[#This Row],[FMS ID]],FMS_Input[FMS_ID],FMS_Input[FMS_COST])</f>
        <v>100000</v>
      </c>
      <c r="K203" s="251" t="str">
        <f>_xlfn.XLOOKUP(FMS_Ranking4[[#This Row],[FMS ID]],FMS_Input[FMS_ID],FMS_Input[EMER_NEED])</f>
        <v>No</v>
      </c>
      <c r="L203" s="252">
        <f t="shared" si="3"/>
        <v>0</v>
      </c>
      <c r="M203" s="253">
        <f>_xlfn.XLOOKUP(FMS_Ranking4[[#This Row],[FMS ID]],FMS_Input[FMS_ID],FMS_Input[STRUCT_100])</f>
        <v>243</v>
      </c>
      <c r="N203" s="255">
        <f>(ASINH(FMS_Ranking4[[#This Row],[Structure at Risk Raw]]))*(10)/(ASINH(M$4))</f>
        <v>4.8632843933095922</v>
      </c>
      <c r="O203" s="256">
        <f>FMS_Ranking4[[#This Row],[Structures at risk, ArcSinh (0-10)]]*M$5*10</f>
        <v>4.8632843933095931</v>
      </c>
      <c r="P203" s="253">
        <f>_xlfn.XLOOKUP(FMS_Ranking4[[#This Row],[FMS ID]],FMS_Input[FMS_ID],FMS_Input[RES_STRUCT100])</f>
        <v>125</v>
      </c>
      <c r="Q203" s="257">
        <f>ASINH(FMS_Ranking4[[#This Row],[Res Structure Raw]])/Q$4*P$5*100</f>
        <v>0</v>
      </c>
      <c r="R203" s="253">
        <f>_xlfn.XLOOKUP(FMS_Ranking4[[#This Row],[FMS ID]],FMS_Input[FMS_ID],FMS_Input[POP100])</f>
        <v>535</v>
      </c>
      <c r="S203" s="259">
        <f>(ASINH(FMS_Ranking4[[#This Row],[Pop at Risk Raw]]))*(10)/(ASINH(R$4))</f>
        <v>4.8155349312759936</v>
      </c>
      <c r="T203" s="256">
        <f>FMS_Ranking4[[#This Row],[Population at risk, ArcSinh (0-10)]]*R$5*10</f>
        <v>4.8155349312759936</v>
      </c>
      <c r="U203" s="253">
        <f>_xlfn.XLOOKUP(FMS_Ranking4[[#This Row],[FMS ID]],FMS_Input[FMS_ID],FMS_Input[CRITFAC100])</f>
        <v>0</v>
      </c>
      <c r="V203" s="259">
        <f>(ASINH(FMS_Ranking4[[#This Row],[Critical Facilities Raw]]))*(10)/(ASINH(U$4))</f>
        <v>0</v>
      </c>
      <c r="W203" s="256">
        <f>FMS_Ranking4[[#This Row],[Critical facilities at risk, ArcSinh (0-10)]]*U$5*10</f>
        <v>0</v>
      </c>
      <c r="X203" s="253">
        <f>_xlfn.XLOOKUP(FMS_Ranking4[[#This Row],[FMS ID]],FMS_Input[FMS_ID],FMS_Input[LWC])</f>
        <v>1</v>
      </c>
      <c r="Y203" s="259">
        <f>(ASINH(FMS_Ranking4[[#This Row],[LWC Raw]]))*(10)/(ASINH(X$4))</f>
        <v>1.1940300948531093</v>
      </c>
      <c r="Z203" s="256">
        <f>FMS_Ranking4[[#This Row],[LWC, ArcSInh (0-10)]]*X$5*10</f>
        <v>1.1940300948531093</v>
      </c>
      <c r="AA203" s="253">
        <f>_xlfn.XLOOKUP(FMS_Ranking4[[#This Row],[FMS ID]],FMS_Input[FMS_ID],FMS_Input[ROADCLS])</f>
        <v>0</v>
      </c>
      <c r="AB203" s="255">
        <f>(ASINH(FMS_Ranking4[[#This Row],[Road Closures Raw]]))*(10)/(ASINH(AA$4))</f>
        <v>0</v>
      </c>
      <c r="AC203" s="256">
        <f>FMS_Ranking4[[#This Row],[Road closures, ArcSinh (0-10)]]*AA$5*10</f>
        <v>0</v>
      </c>
      <c r="AD203" s="253">
        <f>_xlfn.XLOOKUP(FMS_Ranking4[[#This Row],[FMS ID]],FMS_Input[FMS_ID],FMS_Input[ROAD_MILES100])</f>
        <v>17</v>
      </c>
      <c r="AE203" s="259">
        <f>(ASINH(FMS_Ranking4[[#This Row],[Road Miles Raw]]))*(10)/(ASINH(AD$4))</f>
        <v>3.7590508453510045</v>
      </c>
      <c r="AF203" s="256">
        <f>FMS_Ranking4[[#This Row],[Length of roads at risk, ArcSinh (0-10)]]*AD$5*10</f>
        <v>3.7590508453510045</v>
      </c>
      <c r="AG203" s="253">
        <f>_xlfn.XLOOKUP(FMS_Ranking4[[#This Row],[FMS ID]],FMS_Input[FMS_ID],FMS_Input[FARMACRE100])</f>
        <v>348.69229125976563</v>
      </c>
      <c r="AH203" s="255">
        <f>(ASINH(FMS_Ranking4[[#This Row],[Ag Land Raw]]))*(10)/(ASINH(AG$4))</f>
        <v>4.253030141680024</v>
      </c>
      <c r="AI203" s="260">
        <f>FMS_Ranking4[[#This Row],[Farm &amp; ranch land, ArcSinh (0-10)]]*AG$5*10</f>
        <v>2.126515070840012</v>
      </c>
      <c r="AJ203" s="258">
        <f>_xlfn.XLOOKUP(FMS_Ranking4[[#This Row],[FMS ID]],FMS_Input[FMS_ID],FMS_Input[REDSTRUCT100])</f>
        <v>61</v>
      </c>
      <c r="AK203" s="253">
        <f>_xlfn.XLOOKUP(FMS_Ranking4[[#This Row],[FMS ID]],FMS_Input[FMS_ID],FMS_Input[REMSTRC100])</f>
        <v>61</v>
      </c>
      <c r="AL203" s="259">
        <f>(ASINH(FMS_Ranking4[[#This Row],[Structures Removed Raw]]))*(10)/(ASINH(AK$4))</f>
        <v>5.469797362099234</v>
      </c>
      <c r="AM203" s="262">
        <f>FMS_Ranking4[[#This Row],[Structures removed, ArcSinh (0-10)]]*AK$5*10</f>
        <v>5.4697973620992348</v>
      </c>
      <c r="AN203" s="253">
        <f>_xlfn.XLOOKUP(FMS_Ranking4[[#This Row],[FMS ID]],FMS_Input[FMS_ID],FMS_Input[REMRESSTRC100])</f>
        <v>31</v>
      </c>
      <c r="AO203" s="261">
        <f>FMS_Ranking4[[#This Row],[ArcSinh Res struct removed 0-10]]*AN$5*10</f>
        <v>2.4208260715340226</v>
      </c>
      <c r="AP203" s="260">
        <f>ASINH(FMS_Ranking4[[#This Row],[Residential Structures Removed Raw]])/AP$4*AN$5*100</f>
        <v>2.4208260715340226</v>
      </c>
      <c r="AQ203" s="254">
        <f>(ASINH(FMS_Ranking4[[#This Row],[Residential Structures Removed Raw]]))*(10)/(ASINH(AN$4))</f>
        <v>4.8416521430680453</v>
      </c>
      <c r="AR203" s="253">
        <f>_xlfn.XLOOKUP(FMS_Ranking4[[#This Row],[FMS ID]],FMS_Input[FMS_ID],FMS_Input[REMPOP100])</f>
        <v>212</v>
      </c>
      <c r="AS203" s="259">
        <f>(ASINH(FMS_Ranking4[[#This Row],[Removed Pop Raw]]))*(10)/(ASINH(AR$4))</f>
        <v>5.9385474933419102</v>
      </c>
      <c r="AT203" s="262">
        <f>FMS_Ranking4[[#This Row],[Removed population, ArcSinh (0-10)]]*AR$5*10</f>
        <v>5.9385474933419102</v>
      </c>
      <c r="AU203" s="264">
        <f>_xlfn.XLOOKUP(FMS_Ranking4[[#This Row],[FMS ID]],FMS_Input[FMS_ID],FMS_Input[REMCRITFAC100])</f>
        <v>0</v>
      </c>
      <c r="AV203" s="264">
        <f>_xlfn.XLOOKUP(FMS_Ranking4[[#This Row],[FMS ID]],FMS_Input[FMS_ID],FMS_Input[REMLWC100])</f>
        <v>0</v>
      </c>
      <c r="AW203" s="264">
        <f>_xlfn.XLOOKUP(FMS_Ranking4[[#This Row],[FMS ID]],FMS_Input[FMS_ID],FMS_Input[REMROADCLS])</f>
        <v>0</v>
      </c>
      <c r="AX203" s="264">
        <f>_xlfn.XLOOKUP(FMS_Ranking4[[#This Row],[FMS ID]],FMS_Input[FMS_ID],FMS_Input[REMFRMACRE100])</f>
        <v>87.173072814941406</v>
      </c>
      <c r="AY203" s="258">
        <f>_xlfn.XLOOKUP(FMS_Ranking4[[#This Row],[FMS ID]],FMS_Input[FMS_ID],FMS_Input[COSTSTRUCT])</f>
        <v>25000</v>
      </c>
      <c r="AZ203" s="253">
        <f>_xlfn.XLOOKUP(FMS_Ranking4[[#This Row],[FMS ID]],FMS_Input[FMS_ID],FMS_Input[NATURE])</f>
        <v>0</v>
      </c>
      <c r="BA203" s="262">
        <f>(((FMS_Ranking4[[#This Row],[% NBS Raw]]/AZ$4)*100)*AZ$5)</f>
        <v>0</v>
      </c>
      <c r="BB203" s="251" t="str">
        <f>_xlfn.XLOOKUP(FMS_Ranking4[[#This Row],[FMS ID]],FMS_Input[FMS_ID],FMS_Input[WATER_SUP])</f>
        <v>No</v>
      </c>
      <c r="BC203" s="265">
        <f>IF(FMS_Ranking4[[#This Row],[Water Supply Raw]]="Yes",10,0)</f>
        <v>0</v>
      </c>
      <c r="BD203" s="266">
        <f>_xlfn.XLOOKUP(FMS_Ranking4[[#This Row],[FMS Type]],FMS_TYPE[FMS_Type],FMS_TYPE[Score])</f>
        <v>2</v>
      </c>
      <c r="BE203" s="267">
        <f>FMS_Ranking4[[#This Row],[FMS_Type Score]]*$BD$5*10</f>
        <v>0.5</v>
      </c>
      <c r="BF20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6.1780700583977124E-2</v>
      </c>
      <c r="BG203" s="271">
        <f>_xlfn.RANK.EQ(BF203,$BF$8:$BF$870,0)+COUNTIF($BF$8:BF203,BF203)-1</f>
        <v>538</v>
      </c>
      <c r="BH203" s="268">
        <f>(((FMS_Ranking4[[#This Row],[Structures Removed Raw]]/AK$4)*100)*AK$5)+(((FMS_Ranking4[[#This Row],[Removed Pop Raw]]/AR$4)*100)*AR$5)</f>
        <v>0.3466857184458198</v>
      </c>
      <c r="BI20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0.90846641902979686</v>
      </c>
      <c r="BJ203" s="205">
        <f>_xlfn.RANK.EQ(FMS_Ranking4[[#This Row],[Total Score 
(with linear
normalization)]],FMS_Ranking4[Total Score 
(with linear
normalization)],0)</f>
        <v>767</v>
      </c>
      <c r="BK203" s="205" t="e">
        <f>_xlfn.XLOOKUP(FMS_Ranking4[[#This Row],[FMS ID]],#REF!,#REF!)</f>
        <v>#REF!</v>
      </c>
      <c r="BL20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30.58758626260488</v>
      </c>
      <c r="BM203" s="272">
        <f>FMS_Ranking4[[#This Row],[ArcSinh Score Based on Normalized Reported Factors]]+FMS_Ranking4[[#This Row],[% NBS Score (Normalized)]]+(FMS_Ranking4[[#This Row],[Water Supply Score (Normalized)]]*10*$BB$5)+FMS_Ranking4[[#This Row],[FMS_Type Score Weighted]]</f>
        <v>31.08758626260488</v>
      </c>
      <c r="BN203" s="205">
        <f>_xlfn.RANK.EQ(FMS_Ranking4[[#This Row],[Total Score (with ArcSinh normalization of select criteria)]],FMS_Ranking4[Total Score (with ArcSinh normalization of select criteria)],0)</f>
        <v>196</v>
      </c>
      <c r="BO203" s="270" t="str">
        <f>_xlfn.XLOOKUP(FMS_Ranking4[[#This Row],[FMS ID]],FMS_Input[FMS_ID],FMS_Input[FMS_RANK_YEAR])</f>
        <v>2023 Amended Plan</v>
      </c>
      <c r="BP203" s="204">
        <f>_xlfn.XLOOKUP(FMS_Ranking4[[#This Row],[FMS ID]],Prev_Rank[FMS ID],Prev_Rank[Prev Rank])</f>
        <v>188</v>
      </c>
      <c r="BQ203" s="205" t="e">
        <f>_xlfn.XLOOKUP(FMS_Ranking4[[#This Row],[FMS ID]],#REF!,#REF!)</f>
        <v>#REF!</v>
      </c>
      <c r="BR203" s="199" t="e">
        <f>SUM(#REF!,#REF!,#REF!,#REF!,#REF!,#REF!,#REF!,#REF!,#REF!,FMS_Ranking4[[#This Row],[ArcSinh Res struct removed 0-10]],#REF!)</f>
        <v>#REF!</v>
      </c>
      <c r="BS203" s="199" t="e">
        <f>FMS_Ranking4[[#This Row],[Log Score Based on Normalized Reported Factors]]+FMS_Ranking4[[#This Row],[% NBS Score (Normalized)]]+(FMS_Ranking4[[#This Row],[Water Supply Score (Normalized)]]*10*$BB$5)+(FMS_Ranking4[[#This Row],[FMS_Type Score Weighted]])</f>
        <v>#REF!</v>
      </c>
      <c r="BT203" s="200" t="e">
        <f>_xlfn.RANK.EQ(FMS_Ranking4[[#This Row],[Log Total Score]],FMS_Ranking4[Log Total Score],0)</f>
        <v>#REF!</v>
      </c>
      <c r="BU203" s="200" t="e">
        <f>_xlfn.XLOOKUP(FMS_Ranking4[[#This Row],[FMS ID]],#REF!,#REF!)</f>
        <v>#REF!</v>
      </c>
      <c r="BV203" s="200">
        <f>FMS_Ranking4[[#This Row],[Region Number]]</f>
        <v>9</v>
      </c>
      <c r="BW203" s="200">
        <f>FMS_Ranking4[[#This Row],[Rank (with ArcSinh normalization of select criteria)]]-FMS_Ranking4[[#This Row],[Rank
(with linear
normalization)]]</f>
        <v>-571</v>
      </c>
      <c r="BX203" s="200" t="e">
        <f>FMS_Ranking4[[#This Row],[Log Rank]]-FMS_Ranking4[[#This Row],[Rank
(with linear
normalization)]]</f>
        <v>#REF!</v>
      </c>
      <c r="BY203" s="200" t="str">
        <f>IF(FMS_Ranking4[[#This Row],[FMS Type]]="Flood Measurement and Warning",FMS_Ranking4[[#This Row],[Rank (with ArcSinh normalization of select criteria)]],"")</f>
        <v/>
      </c>
      <c r="BZ203" s="200" t="str">
        <f>IF(FMS_Ranking4[[#This Row],[FMS Type]]="Regulatory and Guidance",FMS_Ranking4[[#This Row],[Rank (with ArcSinh normalization of select criteria)]],"")</f>
        <v/>
      </c>
      <c r="CA203" s="200" t="str">
        <f>IF(FMS_Ranking4[[#This Row],[FMS Type]]="Education and Outreach",FMS_Ranking4[[#This Row],[Rank (with ArcSinh normalization of select criteria)]],"")</f>
        <v/>
      </c>
      <c r="CB203" s="200" t="str">
        <f>IF(FMS_Ranking4[[#This Row],[FMS Type]]="Property Acquisition and Structural Elevation",FMS_Ranking4[[#This Row],[Rank (with ArcSinh normalization of select criteria)]],"")</f>
        <v/>
      </c>
      <c r="CC203" s="200" t="str">
        <f>IF(FMS_Ranking4[[#This Row],[FMS Type]]="Infrastructure Projects",FMS_Ranking4[[#This Row],[Rank (with ArcSinh normalization of select criteria)]],"")</f>
        <v/>
      </c>
      <c r="CD203" s="200">
        <f>IF(FMS_Ranking4[[#This Row],[FMS Type]]="Other",FMS_Ranking4[[#This Row],[Rank (with ArcSinh normalization of select criteria)]],"")</f>
        <v>196</v>
      </c>
      <c r="CE203" s="201"/>
      <c r="CF203" s="206"/>
      <c r="CG203" s="206"/>
      <c r="CH203" s="206"/>
      <c r="CI203" s="206"/>
      <c r="CJ203" s="206"/>
      <c r="CK203" s="206"/>
      <c r="CL203" s="206"/>
      <c r="CM203" s="206"/>
      <c r="CN203" s="206"/>
      <c r="CO203" s="206"/>
      <c r="CP203" s="206"/>
      <c r="CQ203" s="206"/>
      <c r="CR203" s="206"/>
    </row>
    <row r="204" spans="2:96" ht="75" x14ac:dyDescent="0.25">
      <c r="B204" s="341" t="s">
        <v>793</v>
      </c>
      <c r="C204" s="246">
        <f>_xlfn.XLOOKUP(FMS_Ranking4[[#This Row],[FMS ID]],FMS_Input[FMS_ID],FMS_Input[RFPG_NUM])</f>
        <v>9</v>
      </c>
      <c r="D204" s="309" t="str">
        <f>_xlfn.XLOOKUP(FMS_Ranking4[[#This Row],[FMS ID]],FMS_Input[FMS_ID],FMS_Input[FMS_NAME])</f>
        <v>Reagan County Flood Awareness Program</v>
      </c>
      <c r="E204" s="308" t="str">
        <f>_xlfn.XLOOKUP(FMS_Ranking4[[#This Row],[FMS ID]],FMS_Input[FMS_ID],FMS_Input[SPONSOR])</f>
        <v>00000126</v>
      </c>
      <c r="F204" s="309" t="str">
        <f>_xlfn.XLOOKUP(FMS_Ranking4[[#This Row],[FMS ID]],Sponsor[FMS_ID],Sponsor[SPONSOR NAME])</f>
        <v>Reagan</v>
      </c>
      <c r="G204" s="309" t="str">
        <f>_xlfn.XLOOKUP(FMS_Ranking4[[#This Row],[FMS ID]],FMS_Input[FMS_ID],FMS_Input[FMS_DESCR])</f>
        <v>Develop flood education and awareness program; disseminate materials with new permits and place in the library at City Hall</v>
      </c>
      <c r="H204" s="248" t="str">
        <f>_xlfn.XLOOKUP(FMS_Ranking4[[#This Row],[FMS ID]],FMS_Input[FMS_ID],FMS_Input[FMS_TYPE])</f>
        <v>Other</v>
      </c>
      <c r="I204" s="249">
        <f>_xlfn.XLOOKUP(FMS_Ranking4[[#This Row],[FMS ID]],FMS_Input[FMS_ID],FMS_Input[NRNC_COST])</f>
        <v>5000</v>
      </c>
      <c r="J204" s="250">
        <f>_xlfn.XLOOKUP(FMS_Ranking4[[#This Row],[FMS ID]],FMS_Input[FMS_ID],FMS_Input[FMS_COST])</f>
        <v>30000</v>
      </c>
      <c r="K204" s="251" t="str">
        <f>_xlfn.XLOOKUP(FMS_Ranking4[[#This Row],[FMS ID]],FMS_Input[FMS_ID],FMS_Input[EMER_NEED])</f>
        <v>No</v>
      </c>
      <c r="L204" s="252">
        <f t="shared" si="3"/>
        <v>0</v>
      </c>
      <c r="M204" s="253">
        <f>_xlfn.XLOOKUP(FMS_Ranking4[[#This Row],[FMS ID]],FMS_Input[FMS_ID],FMS_Input[STRUCT_100])</f>
        <v>161</v>
      </c>
      <c r="N204" s="255">
        <f>(ASINH(FMS_Ranking4[[#This Row],[Structure at Risk Raw]]))*(10)/(ASINH(M$4))</f>
        <v>4.5396648903358781</v>
      </c>
      <c r="O204" s="256">
        <f>FMS_Ranking4[[#This Row],[Structures at risk, ArcSinh (0-10)]]*M$5*10</f>
        <v>4.5396648903358781</v>
      </c>
      <c r="P204" s="253">
        <f>_xlfn.XLOOKUP(FMS_Ranking4[[#This Row],[FMS ID]],FMS_Input[FMS_ID],FMS_Input[RES_STRUCT100])</f>
        <v>79</v>
      </c>
      <c r="Q204" s="257">
        <f>ASINH(FMS_Ranking4[[#This Row],[Res Structure Raw]])/Q$4*P$5*100</f>
        <v>0</v>
      </c>
      <c r="R204" s="253">
        <f>_xlfn.XLOOKUP(FMS_Ranking4[[#This Row],[FMS ID]],FMS_Input[FMS_ID],FMS_Input[POP100])</f>
        <v>200</v>
      </c>
      <c r="S204" s="255">
        <f>(ASINH(FMS_Ranking4[[#This Row],[Pop at Risk Raw]]))*(10)/(ASINH(R$4))</f>
        <v>4.136261102238028</v>
      </c>
      <c r="T204" s="256">
        <f>FMS_Ranking4[[#This Row],[Population at risk, ArcSinh (0-10)]]*R$5*10</f>
        <v>4.136261102238028</v>
      </c>
      <c r="U204" s="253">
        <f>_xlfn.XLOOKUP(FMS_Ranking4[[#This Row],[FMS ID]],FMS_Input[FMS_ID],FMS_Input[CRITFAC100])</f>
        <v>0</v>
      </c>
      <c r="V204" s="255">
        <f>(ASINH(FMS_Ranking4[[#This Row],[Critical Facilities Raw]]))*(10)/(ASINH(U$4))</f>
        <v>0</v>
      </c>
      <c r="W204" s="256">
        <f>FMS_Ranking4[[#This Row],[Critical facilities at risk, ArcSinh (0-10)]]*U$5*10</f>
        <v>0</v>
      </c>
      <c r="X204" s="253">
        <f>_xlfn.XLOOKUP(FMS_Ranking4[[#This Row],[FMS ID]],FMS_Input[FMS_ID],FMS_Input[LWC])</f>
        <v>2</v>
      </c>
      <c r="Y204" s="255">
        <f>(ASINH(FMS_Ranking4[[#This Row],[LWC Raw]]))*(10)/(ASINH(X$4))</f>
        <v>1.9557475158633808</v>
      </c>
      <c r="Z204" s="256">
        <f>FMS_Ranking4[[#This Row],[LWC, ArcSInh (0-10)]]*X$5*10</f>
        <v>1.9557475158633808</v>
      </c>
      <c r="AA204" s="253">
        <f>_xlfn.XLOOKUP(FMS_Ranking4[[#This Row],[FMS ID]],FMS_Input[FMS_ID],FMS_Input[ROADCLS])</f>
        <v>0</v>
      </c>
      <c r="AB204" s="255">
        <f>(ASINH(FMS_Ranking4[[#This Row],[Road Closures Raw]]))*(10)/(ASINH(AA$4))</f>
        <v>0</v>
      </c>
      <c r="AC204" s="256">
        <f>FMS_Ranking4[[#This Row],[Road closures, ArcSinh (0-10)]]*AA$5*10</f>
        <v>0</v>
      </c>
      <c r="AD204" s="253">
        <f>_xlfn.XLOOKUP(FMS_Ranking4[[#This Row],[FMS ID]],FMS_Input[FMS_ID],FMS_Input[ROAD_MILES100])</f>
        <v>39</v>
      </c>
      <c r="AE204" s="255">
        <f>(ASINH(FMS_Ranking4[[#This Row],[Road Miles Raw]]))*(10)/(ASINH(AD$4))</f>
        <v>4.6432280983160377</v>
      </c>
      <c r="AF204" s="256">
        <f>FMS_Ranking4[[#This Row],[Length of roads at risk, ArcSinh (0-10)]]*AD$5*10</f>
        <v>4.6432280983160377</v>
      </c>
      <c r="AG204" s="253">
        <f>_xlfn.XLOOKUP(FMS_Ranking4[[#This Row],[FMS ID]],FMS_Input[FMS_ID],FMS_Input[FARMACRE100])</f>
        <v>13306.9638671875</v>
      </c>
      <c r="AH204" s="255">
        <f>(ASINH(FMS_Ranking4[[#This Row],[Ag Land Raw]]))*(10)/(ASINH(AG$4))</f>
        <v>6.6187089841740168</v>
      </c>
      <c r="AI204" s="260">
        <f>FMS_Ranking4[[#This Row],[Farm &amp; ranch land, ArcSinh (0-10)]]*AG$5*10</f>
        <v>3.3093544920870088</v>
      </c>
      <c r="AJ204" s="258">
        <f>_xlfn.XLOOKUP(FMS_Ranking4[[#This Row],[FMS ID]],FMS_Input[FMS_ID],FMS_Input[REDSTRUCT100])</f>
        <v>41</v>
      </c>
      <c r="AK204" s="253">
        <f>_xlfn.XLOOKUP(FMS_Ranking4[[#This Row],[FMS ID]],FMS_Input[FMS_ID],FMS_Input[REMSTRC100])</f>
        <v>41</v>
      </c>
      <c r="AL204" s="255">
        <f>(ASINH(FMS_Ranking4[[#This Row],[Structures Removed Raw]]))*(10)/(ASINH(AK$4))</f>
        <v>5.0175337091178109</v>
      </c>
      <c r="AM204" s="262">
        <f>FMS_Ranking4[[#This Row],[Structures removed, ArcSinh (0-10)]]*AK$5*10</f>
        <v>5.0175337091178109</v>
      </c>
      <c r="AN204" s="253">
        <f>_xlfn.XLOOKUP(FMS_Ranking4[[#This Row],[FMS ID]],FMS_Input[FMS_ID],FMS_Input[REMRESSTRC100])</f>
        <v>19</v>
      </c>
      <c r="AO204" s="261">
        <f>FMS_Ranking4[[#This Row],[ArcSinh Res struct removed 0-10]]*AN$5*10</f>
        <v>2.1339463182846794</v>
      </c>
      <c r="AP204" s="260">
        <f>ASINH(FMS_Ranking4[[#This Row],[Residential Structures Removed Raw]])/AP$4*AN$5*100</f>
        <v>2.1339463182846794</v>
      </c>
      <c r="AQ204" s="258">
        <f>(ASINH(FMS_Ranking4[[#This Row],[Residential Structures Removed Raw]]))*(10)/(ASINH(AN$4))</f>
        <v>4.2678926365693588</v>
      </c>
      <c r="AR204" s="253">
        <f>_xlfn.XLOOKUP(FMS_Ranking4[[#This Row],[FMS ID]],FMS_Input[FMS_ID],FMS_Input[REMPOP100])</f>
        <v>64</v>
      </c>
      <c r="AS204" s="255">
        <f>(ASINH(FMS_Ranking4[[#This Row],[Removed Pop Raw]]))*(10)/(ASINH(AR$4))</f>
        <v>4.7629120040194532</v>
      </c>
      <c r="AT204" s="262">
        <f>FMS_Ranking4[[#This Row],[Removed population, ArcSinh (0-10)]]*AR$5*10</f>
        <v>4.7629120040194532</v>
      </c>
      <c r="AU204" s="264">
        <f>_xlfn.XLOOKUP(FMS_Ranking4[[#This Row],[FMS ID]],FMS_Input[FMS_ID],FMS_Input[REMCRITFAC100])</f>
        <v>0</v>
      </c>
      <c r="AV204" s="264">
        <f>_xlfn.XLOOKUP(FMS_Ranking4[[#This Row],[FMS ID]],FMS_Input[FMS_ID],FMS_Input[REMLWC100])</f>
        <v>0</v>
      </c>
      <c r="AW204" s="264">
        <f>_xlfn.XLOOKUP(FMS_Ranking4[[#This Row],[FMS ID]],FMS_Input[FMS_ID],FMS_Input[REMROADCLS])</f>
        <v>0</v>
      </c>
      <c r="AX204" s="264">
        <f>_xlfn.XLOOKUP(FMS_Ranking4[[#This Row],[FMS ID]],FMS_Input[FMS_ID],FMS_Input[REMFRMACRE100])</f>
        <v>3326.740966796875</v>
      </c>
      <c r="AY204" s="258">
        <f>_xlfn.XLOOKUP(FMS_Ranking4[[#This Row],[FMS ID]],FMS_Input[FMS_ID],FMS_Input[COSTSTRUCT])</f>
        <v>25000</v>
      </c>
      <c r="AZ204" s="253">
        <f>_xlfn.XLOOKUP(FMS_Ranking4[[#This Row],[FMS ID]],FMS_Input[FMS_ID],FMS_Input[NATURE])</f>
        <v>0</v>
      </c>
      <c r="BA204" s="262">
        <f>(((FMS_Ranking4[[#This Row],[% NBS Raw]]/AZ$4)*100)*AZ$5)</f>
        <v>0</v>
      </c>
      <c r="BB204" s="251" t="str">
        <f>_xlfn.XLOOKUP(FMS_Ranking4[[#This Row],[FMS ID]],FMS_Input[FMS_ID],FMS_Input[WATER_SUP])</f>
        <v>No</v>
      </c>
      <c r="BC204" s="265">
        <f>IF(FMS_Ranking4[[#This Row],[Water Supply Raw]]="Yes",10,0)</f>
        <v>0</v>
      </c>
      <c r="BD204" s="266">
        <f>_xlfn.XLOOKUP(FMS_Ranking4[[#This Row],[FMS Type]],FMS_TYPE[FMS_Type],FMS_TYPE[Score])</f>
        <v>2</v>
      </c>
      <c r="BE204" s="267">
        <f>FMS_Ranking4[[#This Row],[FMS_Type Score]]*$BD$5*10</f>
        <v>0.5</v>
      </c>
      <c r="BF20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0.12963016960319101</v>
      </c>
      <c r="BG204" s="321">
        <f>_xlfn.RANK.EQ(BF204,$BF$8:$BF$870,0)+COUNTIF($BF$8:BF204,BF204)-1</f>
        <v>437</v>
      </c>
      <c r="BH204" s="294">
        <f>(((FMS_Ranking4[[#This Row],[Structures Removed Raw]]/AK$4)*100)*AK$5)+(((FMS_Ranking4[[#This Row],[Removed Pop Raw]]/AR$4)*100)*AR$5)</f>
        <v>0.17391744658502192</v>
      </c>
      <c r="BI20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0.80354761618821291</v>
      </c>
      <c r="BJ204" s="251">
        <f>_xlfn.RANK.EQ(FMS_Ranking4[[#This Row],[Total Score 
(with linear
normalization)]],FMS_Ranking4[Total Score 
(with linear
normalization)],0)</f>
        <v>779</v>
      </c>
      <c r="BK204" s="251" t="e">
        <f>_xlfn.XLOOKUP(FMS_Ranking4[[#This Row],[FMS ID]],#REF!,#REF!)</f>
        <v>#REF!</v>
      </c>
      <c r="BL20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30.498648130262275</v>
      </c>
      <c r="BM204" s="324">
        <f>FMS_Ranking4[[#This Row],[ArcSinh Score Based on Normalized Reported Factors]]+FMS_Ranking4[[#This Row],[% NBS Score (Normalized)]]+(FMS_Ranking4[[#This Row],[Water Supply Score (Normalized)]]*10*$BB$5)+FMS_Ranking4[[#This Row],[FMS_Type Score Weighted]]</f>
        <v>30.998648130262275</v>
      </c>
      <c r="BN204" s="251">
        <f>_xlfn.RANK.EQ(FMS_Ranking4[[#This Row],[Total Score (with ArcSinh normalization of select criteria)]],FMS_Ranking4[Total Score (with ArcSinh normalization of select criteria)],0)</f>
        <v>197</v>
      </c>
      <c r="BO204" s="270" t="str">
        <f>_xlfn.XLOOKUP(FMS_Ranking4[[#This Row],[FMS ID]],FMS_Input[FMS_ID],FMS_Input[FMS_RANK_YEAR])</f>
        <v>2023 Amended Plan</v>
      </c>
      <c r="BP204" s="204">
        <f>_xlfn.XLOOKUP(FMS_Ranking4[[#This Row],[FMS ID]],Prev_Rank[FMS ID],Prev_Rank[Prev Rank])</f>
        <v>185</v>
      </c>
      <c r="BQ204" s="251" t="e">
        <f>_xlfn.XLOOKUP(FMS_Ranking4[[#This Row],[FMS ID]],#REF!,#REF!)</f>
        <v>#REF!</v>
      </c>
      <c r="BR204" s="199" t="e">
        <f>SUM(#REF!,#REF!,#REF!,#REF!,#REF!,#REF!,#REF!,#REF!,#REF!,FMS_Ranking4[[#This Row],[ArcSinh Res struct removed 0-10]],#REF!)</f>
        <v>#REF!</v>
      </c>
      <c r="BS204" s="199" t="e">
        <f>FMS_Ranking4[[#This Row],[Log Score Based on Normalized Reported Factors]]+FMS_Ranking4[[#This Row],[% NBS Score (Normalized)]]+(FMS_Ranking4[[#This Row],[Water Supply Score (Normalized)]]*10*$BB$5)+(FMS_Ranking4[[#This Row],[FMS_Type Score Weighted]])</f>
        <v>#REF!</v>
      </c>
      <c r="BT204" s="200" t="e">
        <f>_xlfn.RANK.EQ(FMS_Ranking4[[#This Row],[Log Total Score]],FMS_Ranking4[Log Total Score],0)</f>
        <v>#REF!</v>
      </c>
      <c r="BU204" s="200" t="e">
        <f>_xlfn.XLOOKUP(FMS_Ranking4[[#This Row],[FMS ID]],#REF!,#REF!)</f>
        <v>#REF!</v>
      </c>
      <c r="BV204" s="200">
        <f>FMS_Ranking4[[#This Row],[Region Number]]</f>
        <v>9</v>
      </c>
      <c r="BW204" s="200">
        <f>FMS_Ranking4[[#This Row],[Rank (with ArcSinh normalization of select criteria)]]-FMS_Ranking4[[#This Row],[Rank
(with linear
normalization)]]</f>
        <v>-582</v>
      </c>
      <c r="BX204" s="200" t="e">
        <f>FMS_Ranking4[[#This Row],[Log Rank]]-FMS_Ranking4[[#This Row],[Rank
(with linear
normalization)]]</f>
        <v>#REF!</v>
      </c>
      <c r="BY204" s="200" t="str">
        <f>IF(FMS_Ranking4[[#This Row],[FMS Type]]="Flood Measurement and Warning",FMS_Ranking4[[#This Row],[Rank (with ArcSinh normalization of select criteria)]],"")</f>
        <v/>
      </c>
      <c r="BZ204" s="200" t="str">
        <f>IF(FMS_Ranking4[[#This Row],[FMS Type]]="Regulatory and Guidance",FMS_Ranking4[[#This Row],[Rank (with ArcSinh normalization of select criteria)]],"")</f>
        <v/>
      </c>
      <c r="CA204" s="200" t="str">
        <f>IF(FMS_Ranking4[[#This Row],[FMS Type]]="Education and Outreach",FMS_Ranking4[[#This Row],[Rank (with ArcSinh normalization of select criteria)]],"")</f>
        <v/>
      </c>
      <c r="CB204" s="200" t="str">
        <f>IF(FMS_Ranking4[[#This Row],[FMS Type]]="Property Acquisition and Structural Elevation",FMS_Ranking4[[#This Row],[Rank (with ArcSinh normalization of select criteria)]],"")</f>
        <v/>
      </c>
      <c r="CC204" s="200" t="str">
        <f>IF(FMS_Ranking4[[#This Row],[FMS Type]]="Infrastructure Projects",FMS_Ranking4[[#This Row],[Rank (with ArcSinh normalization of select criteria)]],"")</f>
        <v/>
      </c>
      <c r="CD204" s="200">
        <f>IF(FMS_Ranking4[[#This Row],[FMS Type]]="Other",FMS_Ranking4[[#This Row],[Rank (with ArcSinh normalization of select criteria)]],"")</f>
        <v>197</v>
      </c>
      <c r="CE204" s="201"/>
      <c r="CF204" s="206"/>
      <c r="CG204" s="206"/>
      <c r="CH204" s="206"/>
      <c r="CI204" s="206"/>
      <c r="CJ204" s="206"/>
      <c r="CK204" s="206"/>
      <c r="CL204" s="206"/>
      <c r="CM204" s="206"/>
      <c r="CN204" s="206"/>
      <c r="CO204" s="206"/>
      <c r="CP204" s="206"/>
      <c r="CQ204" s="206"/>
      <c r="CR204" s="206"/>
    </row>
    <row r="205" spans="2:96" ht="30" x14ac:dyDescent="0.25">
      <c r="B205" s="341" t="s">
        <v>799</v>
      </c>
      <c r="C205" s="246">
        <f>_xlfn.XLOOKUP(FMS_Ranking4[[#This Row],[FMS ID]],FMS_Input[FMS_ID],FMS_Input[RFPG_NUM])</f>
        <v>9</v>
      </c>
      <c r="D205" s="309" t="str">
        <f>_xlfn.XLOOKUP(FMS_Ranking4[[#This Row],[FMS ID]],FMS_Input[FMS_ID],FMS_Input[FMS_NAME])</f>
        <v>Reagan County CTP Program</v>
      </c>
      <c r="E205" s="308" t="str">
        <f>_xlfn.XLOOKUP(FMS_Ranking4[[#This Row],[FMS ID]],FMS_Input[FMS_ID],FMS_Input[SPONSOR])</f>
        <v>00000126</v>
      </c>
      <c r="F205" s="309" t="str">
        <f>_xlfn.XLOOKUP(FMS_Ranking4[[#This Row],[FMS ID]],Sponsor[FMS_ID],Sponsor[SPONSOR NAME])</f>
        <v>Reagan</v>
      </c>
      <c r="G205" s="309" t="str">
        <f>_xlfn.XLOOKUP(FMS_Ranking4[[#This Row],[FMS ID]],FMS_Input[FMS_ID],FMS_Input[FMS_DESCR])</f>
        <v>Draft CTP program</v>
      </c>
      <c r="H205" s="248" t="str">
        <f>_xlfn.XLOOKUP(FMS_Ranking4[[#This Row],[FMS ID]],FMS_Input[FMS_ID],FMS_Input[FMS_TYPE])</f>
        <v>Other</v>
      </c>
      <c r="I205" s="249">
        <f>_xlfn.XLOOKUP(FMS_Ranking4[[#This Row],[FMS ID]],FMS_Input[FMS_ID],FMS_Input[NRNC_COST])</f>
        <v>5000</v>
      </c>
      <c r="J205" s="250">
        <f>_xlfn.XLOOKUP(FMS_Ranking4[[#This Row],[FMS ID]],FMS_Input[FMS_ID],FMS_Input[FMS_COST])</f>
        <v>30000</v>
      </c>
      <c r="K205" s="251" t="str">
        <f>_xlfn.XLOOKUP(FMS_Ranking4[[#This Row],[FMS ID]],FMS_Input[FMS_ID],FMS_Input[EMER_NEED])</f>
        <v>No</v>
      </c>
      <c r="L205" s="252">
        <f t="shared" si="3"/>
        <v>0</v>
      </c>
      <c r="M205" s="253">
        <f>_xlfn.XLOOKUP(FMS_Ranking4[[#This Row],[FMS ID]],FMS_Input[FMS_ID],FMS_Input[STRUCT_100])</f>
        <v>161</v>
      </c>
      <c r="N205" s="255">
        <f>(ASINH(FMS_Ranking4[[#This Row],[Structure at Risk Raw]]))*(10)/(ASINH(M$4))</f>
        <v>4.5396648903358781</v>
      </c>
      <c r="O205" s="256">
        <f>FMS_Ranking4[[#This Row],[Structures at risk, ArcSinh (0-10)]]*M$5*10</f>
        <v>4.5396648903358781</v>
      </c>
      <c r="P205" s="253">
        <f>_xlfn.XLOOKUP(FMS_Ranking4[[#This Row],[FMS ID]],FMS_Input[FMS_ID],FMS_Input[RES_STRUCT100])</f>
        <v>79</v>
      </c>
      <c r="Q205" s="257">
        <f>ASINH(FMS_Ranking4[[#This Row],[Res Structure Raw]])/Q$4*P$5*100</f>
        <v>0</v>
      </c>
      <c r="R205" s="253">
        <f>_xlfn.XLOOKUP(FMS_Ranking4[[#This Row],[FMS ID]],FMS_Input[FMS_ID],FMS_Input[POP100])</f>
        <v>200</v>
      </c>
      <c r="S205" s="259">
        <f>(ASINH(FMS_Ranking4[[#This Row],[Pop at Risk Raw]]))*(10)/(ASINH(R$4))</f>
        <v>4.136261102238028</v>
      </c>
      <c r="T205" s="256">
        <f>FMS_Ranking4[[#This Row],[Population at risk, ArcSinh (0-10)]]*R$5*10</f>
        <v>4.136261102238028</v>
      </c>
      <c r="U205" s="253">
        <f>_xlfn.XLOOKUP(FMS_Ranking4[[#This Row],[FMS ID]],FMS_Input[FMS_ID],FMS_Input[CRITFAC100])</f>
        <v>0</v>
      </c>
      <c r="V205" s="259">
        <f>(ASINH(FMS_Ranking4[[#This Row],[Critical Facilities Raw]]))*(10)/(ASINH(U$4))</f>
        <v>0</v>
      </c>
      <c r="W205" s="256">
        <f>FMS_Ranking4[[#This Row],[Critical facilities at risk, ArcSinh (0-10)]]*U$5*10</f>
        <v>0</v>
      </c>
      <c r="X205" s="253">
        <f>_xlfn.XLOOKUP(FMS_Ranking4[[#This Row],[FMS ID]],FMS_Input[FMS_ID],FMS_Input[LWC])</f>
        <v>2</v>
      </c>
      <c r="Y205" s="259">
        <f>(ASINH(FMS_Ranking4[[#This Row],[LWC Raw]]))*(10)/(ASINH(X$4))</f>
        <v>1.9557475158633808</v>
      </c>
      <c r="Z205" s="256">
        <f>FMS_Ranking4[[#This Row],[LWC, ArcSInh (0-10)]]*X$5*10</f>
        <v>1.9557475158633808</v>
      </c>
      <c r="AA205" s="253">
        <f>_xlfn.XLOOKUP(FMS_Ranking4[[#This Row],[FMS ID]],FMS_Input[FMS_ID],FMS_Input[ROADCLS])</f>
        <v>0</v>
      </c>
      <c r="AB205" s="255">
        <f>(ASINH(FMS_Ranking4[[#This Row],[Road Closures Raw]]))*(10)/(ASINH(AA$4))</f>
        <v>0</v>
      </c>
      <c r="AC205" s="256">
        <f>FMS_Ranking4[[#This Row],[Road closures, ArcSinh (0-10)]]*AA$5*10</f>
        <v>0</v>
      </c>
      <c r="AD205" s="253">
        <f>_xlfn.XLOOKUP(FMS_Ranking4[[#This Row],[FMS ID]],FMS_Input[FMS_ID],FMS_Input[ROAD_MILES100])</f>
        <v>39</v>
      </c>
      <c r="AE205" s="259">
        <f>(ASINH(FMS_Ranking4[[#This Row],[Road Miles Raw]]))*(10)/(ASINH(AD$4))</f>
        <v>4.6432280983160377</v>
      </c>
      <c r="AF205" s="256">
        <f>FMS_Ranking4[[#This Row],[Length of roads at risk, ArcSinh (0-10)]]*AD$5*10</f>
        <v>4.6432280983160377</v>
      </c>
      <c r="AG205" s="253">
        <f>_xlfn.XLOOKUP(FMS_Ranking4[[#This Row],[FMS ID]],FMS_Input[FMS_ID],FMS_Input[FARMACRE100])</f>
        <v>13306.9638671875</v>
      </c>
      <c r="AH205" s="255">
        <f>(ASINH(FMS_Ranking4[[#This Row],[Ag Land Raw]]))*(10)/(ASINH(AG$4))</f>
        <v>6.6187089841740168</v>
      </c>
      <c r="AI205" s="260">
        <f>FMS_Ranking4[[#This Row],[Farm &amp; ranch land, ArcSinh (0-10)]]*AG$5*10</f>
        <v>3.3093544920870088</v>
      </c>
      <c r="AJ205" s="258">
        <f>_xlfn.XLOOKUP(FMS_Ranking4[[#This Row],[FMS ID]],FMS_Input[FMS_ID],FMS_Input[REDSTRUCT100])</f>
        <v>41</v>
      </c>
      <c r="AK205" s="253">
        <f>_xlfn.XLOOKUP(FMS_Ranking4[[#This Row],[FMS ID]],FMS_Input[FMS_ID],FMS_Input[REMSTRC100])</f>
        <v>41</v>
      </c>
      <c r="AL205" s="259">
        <f>(ASINH(FMS_Ranking4[[#This Row],[Structures Removed Raw]]))*(10)/(ASINH(AK$4))</f>
        <v>5.0175337091178109</v>
      </c>
      <c r="AM205" s="262">
        <f>FMS_Ranking4[[#This Row],[Structures removed, ArcSinh (0-10)]]*AK$5*10</f>
        <v>5.0175337091178109</v>
      </c>
      <c r="AN205" s="253">
        <f>_xlfn.XLOOKUP(FMS_Ranking4[[#This Row],[FMS ID]],FMS_Input[FMS_ID],FMS_Input[REMRESSTRC100])</f>
        <v>19</v>
      </c>
      <c r="AO205" s="261">
        <f>FMS_Ranking4[[#This Row],[ArcSinh Res struct removed 0-10]]*AN$5*10</f>
        <v>2.1339463182846794</v>
      </c>
      <c r="AP205" s="260">
        <f>ASINH(FMS_Ranking4[[#This Row],[Residential Structures Removed Raw]])/AP$4*AN$5*100</f>
        <v>2.1339463182846794</v>
      </c>
      <c r="AQ205" s="254">
        <f>(ASINH(FMS_Ranking4[[#This Row],[Residential Structures Removed Raw]]))*(10)/(ASINH(AN$4))</f>
        <v>4.2678926365693588</v>
      </c>
      <c r="AR205" s="253">
        <f>_xlfn.XLOOKUP(FMS_Ranking4[[#This Row],[FMS ID]],FMS_Input[FMS_ID],FMS_Input[REMPOP100])</f>
        <v>64</v>
      </c>
      <c r="AS205" s="259">
        <f>(ASINH(FMS_Ranking4[[#This Row],[Removed Pop Raw]]))*(10)/(ASINH(AR$4))</f>
        <v>4.7629120040194532</v>
      </c>
      <c r="AT205" s="262">
        <f>FMS_Ranking4[[#This Row],[Removed population, ArcSinh (0-10)]]*AR$5*10</f>
        <v>4.7629120040194532</v>
      </c>
      <c r="AU205" s="264">
        <f>_xlfn.XLOOKUP(FMS_Ranking4[[#This Row],[FMS ID]],FMS_Input[FMS_ID],FMS_Input[REMCRITFAC100])</f>
        <v>0</v>
      </c>
      <c r="AV205" s="264">
        <f>_xlfn.XLOOKUP(FMS_Ranking4[[#This Row],[FMS ID]],FMS_Input[FMS_ID],FMS_Input[REMLWC100])</f>
        <v>0</v>
      </c>
      <c r="AW205" s="264">
        <f>_xlfn.XLOOKUP(FMS_Ranking4[[#This Row],[FMS ID]],FMS_Input[FMS_ID],FMS_Input[REMROADCLS])</f>
        <v>0</v>
      </c>
      <c r="AX205" s="264">
        <f>_xlfn.XLOOKUP(FMS_Ranking4[[#This Row],[FMS ID]],FMS_Input[FMS_ID],FMS_Input[REMFRMACRE100])</f>
        <v>3326.740966796875</v>
      </c>
      <c r="AY205" s="258">
        <f>_xlfn.XLOOKUP(FMS_Ranking4[[#This Row],[FMS ID]],FMS_Input[FMS_ID],FMS_Input[COSTSTRUCT])</f>
        <v>25000</v>
      </c>
      <c r="AZ205" s="253">
        <f>_xlfn.XLOOKUP(FMS_Ranking4[[#This Row],[FMS ID]],FMS_Input[FMS_ID],FMS_Input[NATURE])</f>
        <v>0</v>
      </c>
      <c r="BA205" s="262">
        <f>(((FMS_Ranking4[[#This Row],[% NBS Raw]]/AZ$4)*100)*AZ$5)</f>
        <v>0</v>
      </c>
      <c r="BB205" s="251" t="str">
        <f>_xlfn.XLOOKUP(FMS_Ranking4[[#This Row],[FMS ID]],FMS_Input[FMS_ID],FMS_Input[WATER_SUP])</f>
        <v>No</v>
      </c>
      <c r="BC205" s="265">
        <f>IF(FMS_Ranking4[[#This Row],[Water Supply Raw]]="Yes",10,0)</f>
        <v>0</v>
      </c>
      <c r="BD205" s="266">
        <f>_xlfn.XLOOKUP(FMS_Ranking4[[#This Row],[FMS Type]],FMS_TYPE[FMS_Type],FMS_TYPE[Score])</f>
        <v>2</v>
      </c>
      <c r="BE205" s="267">
        <f>FMS_Ranking4[[#This Row],[FMS_Type Score]]*$BD$5*10</f>
        <v>0.5</v>
      </c>
      <c r="BF20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0.12963016960319101</v>
      </c>
      <c r="BG205" s="271">
        <f>_xlfn.RANK.EQ(BF205,$BF$8:$BF$870,0)+COUNTIF($BF$8:BF205,BF205)-1</f>
        <v>438</v>
      </c>
      <c r="BH205" s="268">
        <f>(((FMS_Ranking4[[#This Row],[Structures Removed Raw]]/AK$4)*100)*AK$5)+(((FMS_Ranking4[[#This Row],[Removed Pop Raw]]/AR$4)*100)*AR$5)</f>
        <v>0.17391744658502192</v>
      </c>
      <c r="BI20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0.80354761618821291</v>
      </c>
      <c r="BJ205" s="205">
        <f>_xlfn.RANK.EQ(FMS_Ranking4[[#This Row],[Total Score 
(with linear
normalization)]],FMS_Ranking4[Total Score 
(with linear
normalization)],0)</f>
        <v>779</v>
      </c>
      <c r="BK205" s="205" t="e">
        <f>_xlfn.XLOOKUP(FMS_Ranking4[[#This Row],[FMS ID]],#REF!,#REF!)</f>
        <v>#REF!</v>
      </c>
      <c r="BL20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30.498648130262275</v>
      </c>
      <c r="BM205" s="272">
        <f>FMS_Ranking4[[#This Row],[ArcSinh Score Based on Normalized Reported Factors]]+FMS_Ranking4[[#This Row],[% NBS Score (Normalized)]]+(FMS_Ranking4[[#This Row],[Water Supply Score (Normalized)]]*10*$BB$5)+FMS_Ranking4[[#This Row],[FMS_Type Score Weighted]]</f>
        <v>30.998648130262275</v>
      </c>
      <c r="BN205" s="205">
        <f>_xlfn.RANK.EQ(FMS_Ranking4[[#This Row],[Total Score (with ArcSinh normalization of select criteria)]],FMS_Ranking4[Total Score (with ArcSinh normalization of select criteria)],0)</f>
        <v>197</v>
      </c>
      <c r="BO205" s="270" t="str">
        <f>_xlfn.XLOOKUP(FMS_Ranking4[[#This Row],[FMS ID]],FMS_Input[FMS_ID],FMS_Input[FMS_RANK_YEAR])</f>
        <v>2023 Amended Plan</v>
      </c>
      <c r="BP205" s="204">
        <f>_xlfn.XLOOKUP(FMS_Ranking4[[#This Row],[FMS ID]],Prev_Rank[FMS ID],Prev_Rank[Prev Rank])</f>
        <v>185</v>
      </c>
      <c r="BQ205" s="205" t="e">
        <f>_xlfn.XLOOKUP(FMS_Ranking4[[#This Row],[FMS ID]],#REF!,#REF!)</f>
        <v>#REF!</v>
      </c>
      <c r="BR205" s="199" t="e">
        <f>SUM(#REF!,#REF!,#REF!,#REF!,#REF!,#REF!,#REF!,#REF!,#REF!,FMS_Ranking4[[#This Row],[ArcSinh Res struct removed 0-10]],#REF!)</f>
        <v>#REF!</v>
      </c>
      <c r="BS205" s="199" t="e">
        <f>FMS_Ranking4[[#This Row],[Log Score Based on Normalized Reported Factors]]+FMS_Ranking4[[#This Row],[% NBS Score (Normalized)]]+(FMS_Ranking4[[#This Row],[Water Supply Score (Normalized)]]*10*$BB$5)+(FMS_Ranking4[[#This Row],[FMS_Type Score Weighted]])</f>
        <v>#REF!</v>
      </c>
      <c r="BT205" s="200" t="e">
        <f>_xlfn.RANK.EQ(FMS_Ranking4[[#This Row],[Log Total Score]],FMS_Ranking4[Log Total Score],0)</f>
        <v>#REF!</v>
      </c>
      <c r="BU205" s="200" t="e">
        <f>_xlfn.XLOOKUP(FMS_Ranking4[[#This Row],[FMS ID]],#REF!,#REF!)</f>
        <v>#REF!</v>
      </c>
      <c r="BV205" s="200">
        <f>FMS_Ranking4[[#This Row],[Region Number]]</f>
        <v>9</v>
      </c>
      <c r="BW205" s="200">
        <f>FMS_Ranking4[[#This Row],[Rank (with ArcSinh normalization of select criteria)]]-FMS_Ranking4[[#This Row],[Rank
(with linear
normalization)]]</f>
        <v>-582</v>
      </c>
      <c r="BX205" s="200" t="e">
        <f>FMS_Ranking4[[#This Row],[Log Rank]]-FMS_Ranking4[[#This Row],[Rank
(with linear
normalization)]]</f>
        <v>#REF!</v>
      </c>
      <c r="BY205" s="200" t="str">
        <f>IF(FMS_Ranking4[[#This Row],[FMS Type]]="Flood Measurement and Warning",FMS_Ranking4[[#This Row],[Rank (with ArcSinh normalization of select criteria)]],"")</f>
        <v/>
      </c>
      <c r="BZ205" s="200" t="str">
        <f>IF(FMS_Ranking4[[#This Row],[FMS Type]]="Regulatory and Guidance",FMS_Ranking4[[#This Row],[Rank (with ArcSinh normalization of select criteria)]],"")</f>
        <v/>
      </c>
      <c r="CA205" s="200" t="str">
        <f>IF(FMS_Ranking4[[#This Row],[FMS Type]]="Education and Outreach",FMS_Ranking4[[#This Row],[Rank (with ArcSinh normalization of select criteria)]],"")</f>
        <v/>
      </c>
      <c r="CB205" s="200" t="str">
        <f>IF(FMS_Ranking4[[#This Row],[FMS Type]]="Property Acquisition and Structural Elevation",FMS_Ranking4[[#This Row],[Rank (with ArcSinh normalization of select criteria)]],"")</f>
        <v/>
      </c>
      <c r="CC205" s="200" t="str">
        <f>IF(FMS_Ranking4[[#This Row],[FMS Type]]="Infrastructure Projects",FMS_Ranking4[[#This Row],[Rank (with ArcSinh normalization of select criteria)]],"")</f>
        <v/>
      </c>
      <c r="CD205" s="200">
        <f>IF(FMS_Ranking4[[#This Row],[FMS Type]]="Other",FMS_Ranking4[[#This Row],[Rank (with ArcSinh normalization of select criteria)]],"")</f>
        <v>197</v>
      </c>
      <c r="CE205" s="201"/>
      <c r="CF205" s="206"/>
      <c r="CG205" s="206"/>
      <c r="CH205" s="206"/>
      <c r="CI205" s="206"/>
      <c r="CJ205" s="206"/>
      <c r="CK205" s="206"/>
      <c r="CL205" s="206"/>
      <c r="CM205" s="206"/>
      <c r="CN205" s="206"/>
      <c r="CO205" s="206"/>
      <c r="CP205" s="206"/>
      <c r="CQ205" s="206"/>
      <c r="CR205" s="206"/>
    </row>
    <row r="206" spans="2:96" ht="45" x14ac:dyDescent="0.25">
      <c r="B206" s="341" t="s">
        <v>915</v>
      </c>
      <c r="C206" s="246">
        <f>_xlfn.XLOOKUP(FMS_Ranking4[[#This Row],[FMS ID]],FMS_Input[FMS_ID],FMS_Input[RFPG_NUM])</f>
        <v>9</v>
      </c>
      <c r="D206" s="309" t="str">
        <f>_xlfn.XLOOKUP(FMS_Ranking4[[#This Row],[FMS ID]],FMS_Input[FMS_ID],FMS_Input[FMS_NAME])</f>
        <v>Reagan County DCM</v>
      </c>
      <c r="E206" s="308" t="str">
        <f>_xlfn.XLOOKUP(FMS_Ranking4[[#This Row],[FMS ID]],FMS_Input[FMS_ID],FMS_Input[SPONSOR])</f>
        <v>00000126</v>
      </c>
      <c r="F206" s="309" t="str">
        <f>_xlfn.XLOOKUP(FMS_Ranking4[[#This Row],[FMS ID]],Sponsor[FMS_ID],Sponsor[SPONSOR NAME])</f>
        <v>Reagan</v>
      </c>
      <c r="G206" s="309" t="str">
        <f>_xlfn.XLOOKUP(FMS_Ranking4[[#This Row],[FMS ID]],FMS_Input[FMS_ID],FMS_Input[FMS_DESCR])</f>
        <v>Outreach Program: Discuss Stormwater Criteria Design Manual</v>
      </c>
      <c r="H206" s="248" t="str">
        <f>_xlfn.XLOOKUP(FMS_Ranking4[[#This Row],[FMS ID]],FMS_Input[FMS_ID],FMS_Input[FMS_TYPE])</f>
        <v>Other</v>
      </c>
      <c r="I206" s="249">
        <f>_xlfn.XLOOKUP(FMS_Ranking4[[#This Row],[FMS ID]],FMS_Input[FMS_ID],FMS_Input[NRNC_COST])</f>
        <v>75000</v>
      </c>
      <c r="J206" s="250">
        <f>_xlfn.XLOOKUP(FMS_Ranking4[[#This Row],[FMS ID]],FMS_Input[FMS_ID],FMS_Input[FMS_COST])</f>
        <v>100000</v>
      </c>
      <c r="K206" s="251" t="str">
        <f>_xlfn.XLOOKUP(FMS_Ranking4[[#This Row],[FMS ID]],FMS_Input[FMS_ID],FMS_Input[EMER_NEED])</f>
        <v>No</v>
      </c>
      <c r="L206" s="252">
        <f t="shared" si="3"/>
        <v>0</v>
      </c>
      <c r="M206" s="253">
        <f>_xlfn.XLOOKUP(FMS_Ranking4[[#This Row],[FMS ID]],FMS_Input[FMS_ID],FMS_Input[STRUCT_100])</f>
        <v>161</v>
      </c>
      <c r="N206" s="255">
        <f>(ASINH(FMS_Ranking4[[#This Row],[Structure at Risk Raw]]))*(10)/(ASINH(M$4))</f>
        <v>4.5396648903358781</v>
      </c>
      <c r="O206" s="256">
        <f>FMS_Ranking4[[#This Row],[Structures at risk, ArcSinh (0-10)]]*M$5*10</f>
        <v>4.5396648903358781</v>
      </c>
      <c r="P206" s="253">
        <f>_xlfn.XLOOKUP(FMS_Ranking4[[#This Row],[FMS ID]],FMS_Input[FMS_ID],FMS_Input[RES_STRUCT100])</f>
        <v>79</v>
      </c>
      <c r="Q206" s="257">
        <f>ASINH(FMS_Ranking4[[#This Row],[Res Structure Raw]])/Q$4*P$5*100</f>
        <v>0</v>
      </c>
      <c r="R206" s="253">
        <f>_xlfn.XLOOKUP(FMS_Ranking4[[#This Row],[FMS ID]],FMS_Input[FMS_ID],FMS_Input[POP100])</f>
        <v>200</v>
      </c>
      <c r="S206" s="255">
        <f>(ASINH(FMS_Ranking4[[#This Row],[Pop at Risk Raw]]))*(10)/(ASINH(R$4))</f>
        <v>4.136261102238028</v>
      </c>
      <c r="T206" s="256">
        <f>FMS_Ranking4[[#This Row],[Population at risk, ArcSinh (0-10)]]*R$5*10</f>
        <v>4.136261102238028</v>
      </c>
      <c r="U206" s="253">
        <f>_xlfn.XLOOKUP(FMS_Ranking4[[#This Row],[FMS ID]],FMS_Input[FMS_ID],FMS_Input[CRITFAC100])</f>
        <v>0</v>
      </c>
      <c r="V206" s="255">
        <f>(ASINH(FMS_Ranking4[[#This Row],[Critical Facilities Raw]]))*(10)/(ASINH(U$4))</f>
        <v>0</v>
      </c>
      <c r="W206" s="256">
        <f>FMS_Ranking4[[#This Row],[Critical facilities at risk, ArcSinh (0-10)]]*U$5*10</f>
        <v>0</v>
      </c>
      <c r="X206" s="253">
        <f>_xlfn.XLOOKUP(FMS_Ranking4[[#This Row],[FMS ID]],FMS_Input[FMS_ID],FMS_Input[LWC])</f>
        <v>2</v>
      </c>
      <c r="Y206" s="255">
        <f>(ASINH(FMS_Ranking4[[#This Row],[LWC Raw]]))*(10)/(ASINH(X$4))</f>
        <v>1.9557475158633808</v>
      </c>
      <c r="Z206" s="256">
        <f>FMS_Ranking4[[#This Row],[LWC, ArcSInh (0-10)]]*X$5*10</f>
        <v>1.9557475158633808</v>
      </c>
      <c r="AA206" s="253">
        <f>_xlfn.XLOOKUP(FMS_Ranking4[[#This Row],[FMS ID]],FMS_Input[FMS_ID],FMS_Input[ROADCLS])</f>
        <v>0</v>
      </c>
      <c r="AB206" s="255">
        <f>(ASINH(FMS_Ranking4[[#This Row],[Road Closures Raw]]))*(10)/(ASINH(AA$4))</f>
        <v>0</v>
      </c>
      <c r="AC206" s="256">
        <f>FMS_Ranking4[[#This Row],[Road closures, ArcSinh (0-10)]]*AA$5*10</f>
        <v>0</v>
      </c>
      <c r="AD206" s="253">
        <f>_xlfn.XLOOKUP(FMS_Ranking4[[#This Row],[FMS ID]],FMS_Input[FMS_ID],FMS_Input[ROAD_MILES100])</f>
        <v>39</v>
      </c>
      <c r="AE206" s="255">
        <f>(ASINH(FMS_Ranking4[[#This Row],[Road Miles Raw]]))*(10)/(ASINH(AD$4))</f>
        <v>4.6432280983160377</v>
      </c>
      <c r="AF206" s="256">
        <f>FMS_Ranking4[[#This Row],[Length of roads at risk, ArcSinh (0-10)]]*AD$5*10</f>
        <v>4.6432280983160377</v>
      </c>
      <c r="AG206" s="253">
        <f>_xlfn.XLOOKUP(FMS_Ranking4[[#This Row],[FMS ID]],FMS_Input[FMS_ID],FMS_Input[FARMACRE100])</f>
        <v>13305.9736328125</v>
      </c>
      <c r="AH206" s="255">
        <f>(ASINH(FMS_Ranking4[[#This Row],[Ag Land Raw]]))*(10)/(ASINH(AG$4))</f>
        <v>6.6186606439335778</v>
      </c>
      <c r="AI206" s="260">
        <f>FMS_Ranking4[[#This Row],[Farm &amp; ranch land, ArcSinh (0-10)]]*AG$5*10</f>
        <v>3.3093303219667893</v>
      </c>
      <c r="AJ206" s="258">
        <f>_xlfn.XLOOKUP(FMS_Ranking4[[#This Row],[FMS ID]],FMS_Input[FMS_ID],FMS_Input[REDSTRUCT100])</f>
        <v>41</v>
      </c>
      <c r="AK206" s="253">
        <f>_xlfn.XLOOKUP(FMS_Ranking4[[#This Row],[FMS ID]],FMS_Input[FMS_ID],FMS_Input[REMSTRC100])</f>
        <v>41</v>
      </c>
      <c r="AL206" s="255">
        <f>(ASINH(FMS_Ranking4[[#This Row],[Structures Removed Raw]]))*(10)/(ASINH(AK$4))</f>
        <v>5.0175337091178109</v>
      </c>
      <c r="AM206" s="262">
        <f>FMS_Ranking4[[#This Row],[Structures removed, ArcSinh (0-10)]]*AK$5*10</f>
        <v>5.0175337091178109</v>
      </c>
      <c r="AN206" s="253">
        <f>_xlfn.XLOOKUP(FMS_Ranking4[[#This Row],[FMS ID]],FMS_Input[FMS_ID],FMS_Input[REMRESSTRC100])</f>
        <v>19</v>
      </c>
      <c r="AO206" s="261">
        <f>FMS_Ranking4[[#This Row],[ArcSinh Res struct removed 0-10]]*AN$5*10</f>
        <v>2.1339463182846794</v>
      </c>
      <c r="AP206" s="260">
        <f>ASINH(FMS_Ranking4[[#This Row],[Residential Structures Removed Raw]])/AP$4*AN$5*100</f>
        <v>2.1339463182846794</v>
      </c>
      <c r="AQ206" s="258">
        <f>(ASINH(FMS_Ranking4[[#This Row],[Residential Structures Removed Raw]]))*(10)/(ASINH(AN$4))</f>
        <v>4.2678926365693588</v>
      </c>
      <c r="AR206" s="253">
        <f>_xlfn.XLOOKUP(FMS_Ranking4[[#This Row],[FMS ID]],FMS_Input[FMS_ID],FMS_Input[REMPOP100])</f>
        <v>64</v>
      </c>
      <c r="AS206" s="255">
        <f>(ASINH(FMS_Ranking4[[#This Row],[Removed Pop Raw]]))*(10)/(ASINH(AR$4))</f>
        <v>4.7629120040194532</v>
      </c>
      <c r="AT206" s="262">
        <f>FMS_Ranking4[[#This Row],[Removed population, ArcSinh (0-10)]]*AR$5*10</f>
        <v>4.7629120040194532</v>
      </c>
      <c r="AU206" s="264">
        <f>_xlfn.XLOOKUP(FMS_Ranking4[[#This Row],[FMS ID]],FMS_Input[FMS_ID],FMS_Input[REMCRITFAC100])</f>
        <v>0</v>
      </c>
      <c r="AV206" s="264">
        <f>_xlfn.XLOOKUP(FMS_Ranking4[[#This Row],[FMS ID]],FMS_Input[FMS_ID],FMS_Input[REMLWC100])</f>
        <v>0</v>
      </c>
      <c r="AW206" s="264">
        <f>_xlfn.XLOOKUP(FMS_Ranking4[[#This Row],[FMS ID]],FMS_Input[FMS_ID],FMS_Input[REMROADCLS])</f>
        <v>0</v>
      </c>
      <c r="AX206" s="264">
        <f>_xlfn.XLOOKUP(FMS_Ranking4[[#This Row],[FMS ID]],FMS_Input[FMS_ID],FMS_Input[REMFRMACRE100])</f>
        <v>3326.493408203125</v>
      </c>
      <c r="AY206" s="258">
        <f>_xlfn.XLOOKUP(FMS_Ranking4[[#This Row],[FMS ID]],FMS_Input[FMS_ID],FMS_Input[COSTSTRUCT])</f>
        <v>25000</v>
      </c>
      <c r="AZ206" s="253">
        <f>_xlfn.XLOOKUP(FMS_Ranking4[[#This Row],[FMS ID]],FMS_Input[FMS_ID],FMS_Input[NATURE])</f>
        <v>0</v>
      </c>
      <c r="BA206" s="262">
        <f>(((FMS_Ranking4[[#This Row],[% NBS Raw]]/AZ$4)*100)*AZ$5)</f>
        <v>0</v>
      </c>
      <c r="BB206" s="251" t="str">
        <f>_xlfn.XLOOKUP(FMS_Ranking4[[#This Row],[FMS ID]],FMS_Input[FMS_ID],FMS_Input[WATER_SUP])</f>
        <v>No</v>
      </c>
      <c r="BC206" s="265">
        <f>IF(FMS_Ranking4[[#This Row],[Water Supply Raw]]="Yes",10,0)</f>
        <v>0</v>
      </c>
      <c r="BD206" s="266">
        <f>_xlfn.XLOOKUP(FMS_Ranking4[[#This Row],[FMS Type]],FMS_TYPE[FMS_Type],FMS_TYPE[Score])</f>
        <v>2</v>
      </c>
      <c r="BE206" s="267">
        <f>FMS_Ranking4[[#This Row],[FMS_Type Score]]*$BD$5*10</f>
        <v>0.5</v>
      </c>
      <c r="BF20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0.12962812796154916</v>
      </c>
      <c r="BG206" s="321">
        <f>_xlfn.RANK.EQ(BF206,$BF$8:$BF$870,0)+COUNTIF($BF$8:BF206,BF206)-1</f>
        <v>439</v>
      </c>
      <c r="BH206" s="294">
        <f>(((FMS_Ranking4[[#This Row],[Structures Removed Raw]]/AK$4)*100)*AK$5)+(((FMS_Ranking4[[#This Row],[Removed Pop Raw]]/AR$4)*100)*AR$5)</f>
        <v>0.17391744658502192</v>
      </c>
      <c r="BI20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0.80354557454657105</v>
      </c>
      <c r="BJ206" s="251">
        <f>_xlfn.RANK.EQ(FMS_Ranking4[[#This Row],[Total Score 
(with linear
normalization)]],FMS_Ranking4[Total Score 
(with linear
normalization)],0)</f>
        <v>781</v>
      </c>
      <c r="BK206" s="251" t="e">
        <f>_xlfn.XLOOKUP(FMS_Ranking4[[#This Row],[FMS ID]],#REF!,#REF!)</f>
        <v>#REF!</v>
      </c>
      <c r="BL20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30.498623960142055</v>
      </c>
      <c r="BM206" s="324">
        <f>FMS_Ranking4[[#This Row],[ArcSinh Score Based on Normalized Reported Factors]]+FMS_Ranking4[[#This Row],[% NBS Score (Normalized)]]+(FMS_Ranking4[[#This Row],[Water Supply Score (Normalized)]]*10*$BB$5)+FMS_Ranking4[[#This Row],[FMS_Type Score Weighted]]</f>
        <v>30.998623960142055</v>
      </c>
      <c r="BN206" s="251">
        <f>_xlfn.RANK.EQ(FMS_Ranking4[[#This Row],[Total Score (with ArcSinh normalization of select criteria)]],FMS_Ranking4[Total Score (with ArcSinh normalization of select criteria)],0)</f>
        <v>199</v>
      </c>
      <c r="BO206" s="270" t="str">
        <f>_xlfn.XLOOKUP(FMS_Ranking4[[#This Row],[FMS ID]],FMS_Input[FMS_ID],FMS_Input[FMS_RANK_YEAR])</f>
        <v>2023 Amended Plan</v>
      </c>
      <c r="BP206" s="204">
        <f>_xlfn.XLOOKUP(FMS_Ranking4[[#This Row],[FMS ID]],Prev_Rank[FMS ID],Prev_Rank[Prev Rank])</f>
        <v>187</v>
      </c>
      <c r="BQ206" s="251" t="e">
        <f>_xlfn.XLOOKUP(FMS_Ranking4[[#This Row],[FMS ID]],#REF!,#REF!)</f>
        <v>#REF!</v>
      </c>
      <c r="BR206" s="199" t="e">
        <f>SUM(#REF!,#REF!,#REF!,#REF!,#REF!,#REF!,#REF!,#REF!,#REF!,FMS_Ranking4[[#This Row],[ArcSinh Res struct removed 0-10]],#REF!)</f>
        <v>#REF!</v>
      </c>
      <c r="BS206" s="199" t="e">
        <f>FMS_Ranking4[[#This Row],[Log Score Based on Normalized Reported Factors]]+FMS_Ranking4[[#This Row],[% NBS Score (Normalized)]]+(FMS_Ranking4[[#This Row],[Water Supply Score (Normalized)]]*10*$BB$5)+(FMS_Ranking4[[#This Row],[FMS_Type Score Weighted]])</f>
        <v>#REF!</v>
      </c>
      <c r="BT206" s="200" t="e">
        <f>_xlfn.RANK.EQ(FMS_Ranking4[[#This Row],[Log Total Score]],FMS_Ranking4[Log Total Score],0)</f>
        <v>#REF!</v>
      </c>
      <c r="BU206" s="200" t="e">
        <f>_xlfn.XLOOKUP(FMS_Ranking4[[#This Row],[FMS ID]],#REF!,#REF!)</f>
        <v>#REF!</v>
      </c>
      <c r="BV206" s="200">
        <f>FMS_Ranking4[[#This Row],[Region Number]]</f>
        <v>9</v>
      </c>
      <c r="BW206" s="200">
        <f>FMS_Ranking4[[#This Row],[Rank (with ArcSinh normalization of select criteria)]]-FMS_Ranking4[[#This Row],[Rank
(with linear
normalization)]]</f>
        <v>-582</v>
      </c>
      <c r="BX206" s="200" t="e">
        <f>FMS_Ranking4[[#This Row],[Log Rank]]-FMS_Ranking4[[#This Row],[Rank
(with linear
normalization)]]</f>
        <v>#REF!</v>
      </c>
      <c r="BY206" s="200" t="str">
        <f>IF(FMS_Ranking4[[#This Row],[FMS Type]]="Flood Measurement and Warning",FMS_Ranking4[[#This Row],[Rank (with ArcSinh normalization of select criteria)]],"")</f>
        <v/>
      </c>
      <c r="BZ206" s="200" t="str">
        <f>IF(FMS_Ranking4[[#This Row],[FMS Type]]="Regulatory and Guidance",FMS_Ranking4[[#This Row],[Rank (with ArcSinh normalization of select criteria)]],"")</f>
        <v/>
      </c>
      <c r="CA206" s="200" t="str">
        <f>IF(FMS_Ranking4[[#This Row],[FMS Type]]="Education and Outreach",FMS_Ranking4[[#This Row],[Rank (with ArcSinh normalization of select criteria)]],"")</f>
        <v/>
      </c>
      <c r="CB206" s="200" t="str">
        <f>IF(FMS_Ranking4[[#This Row],[FMS Type]]="Property Acquisition and Structural Elevation",FMS_Ranking4[[#This Row],[Rank (with ArcSinh normalization of select criteria)]],"")</f>
        <v/>
      </c>
      <c r="CC206" s="200" t="str">
        <f>IF(FMS_Ranking4[[#This Row],[FMS Type]]="Infrastructure Projects",FMS_Ranking4[[#This Row],[Rank (with ArcSinh normalization of select criteria)]],"")</f>
        <v/>
      </c>
      <c r="CD206" s="200">
        <f>IF(FMS_Ranking4[[#This Row],[FMS Type]]="Other",FMS_Ranking4[[#This Row],[Rank (with ArcSinh normalization of select criteria)]],"")</f>
        <v>199</v>
      </c>
      <c r="CE206" s="201"/>
      <c r="CF206" s="206"/>
      <c r="CG206" s="206"/>
      <c r="CH206" s="206"/>
      <c r="CI206" s="206"/>
      <c r="CJ206" s="206"/>
      <c r="CK206" s="206"/>
      <c r="CL206" s="206"/>
      <c r="CM206" s="206"/>
      <c r="CN206" s="206"/>
      <c r="CO206" s="206"/>
      <c r="CP206" s="206"/>
      <c r="CQ206" s="206"/>
      <c r="CR206" s="206"/>
    </row>
    <row r="207" spans="2:96" ht="30" x14ac:dyDescent="0.25">
      <c r="B207" s="341" t="s">
        <v>981</v>
      </c>
      <c r="C207" s="246">
        <f>_xlfn.XLOOKUP(FMS_Ranking4[[#This Row],[FMS ID]],FMS_Input[FMS_ID],FMS_Input[RFPG_NUM])</f>
        <v>9</v>
      </c>
      <c r="D207" s="309" t="str">
        <f>_xlfn.XLOOKUP(FMS_Ranking4[[#This Row],[FMS ID]],FMS_Input[FMS_ID],FMS_Input[FMS_NAME])</f>
        <v>Reagan County NFIP Application</v>
      </c>
      <c r="E207" s="308" t="str">
        <f>_xlfn.XLOOKUP(FMS_Ranking4[[#This Row],[FMS ID]],FMS_Input[FMS_ID],FMS_Input[SPONSOR])</f>
        <v>00000126</v>
      </c>
      <c r="F207" s="309" t="str">
        <f>_xlfn.XLOOKUP(FMS_Ranking4[[#This Row],[FMS ID]],Sponsor[FMS_ID],Sponsor[SPONSOR NAME])</f>
        <v>Reagan</v>
      </c>
      <c r="G207" s="309" t="str">
        <f>_xlfn.XLOOKUP(FMS_Ranking4[[#This Row],[FMS ID]],FMS_Input[FMS_ID],FMS_Input[FMS_DESCR])</f>
        <v xml:space="preserve">Join the National Flood Insurance Program (NFIP). </v>
      </c>
      <c r="H207" s="248" t="str">
        <f>_xlfn.XLOOKUP(FMS_Ranking4[[#This Row],[FMS ID]],FMS_Input[FMS_ID],FMS_Input[FMS_TYPE])</f>
        <v>Other</v>
      </c>
      <c r="I207" s="249">
        <f>_xlfn.XLOOKUP(FMS_Ranking4[[#This Row],[FMS ID]],FMS_Input[FMS_ID],FMS_Input[NRNC_COST])</f>
        <v>5000</v>
      </c>
      <c r="J207" s="250">
        <f>_xlfn.XLOOKUP(FMS_Ranking4[[#This Row],[FMS ID]],FMS_Input[FMS_ID],FMS_Input[FMS_COST])</f>
        <v>30000</v>
      </c>
      <c r="K207" s="251" t="str">
        <f>_xlfn.XLOOKUP(FMS_Ranking4[[#This Row],[FMS ID]],FMS_Input[FMS_ID],FMS_Input[EMER_NEED])</f>
        <v>No</v>
      </c>
      <c r="L207" s="252">
        <f t="shared" si="3"/>
        <v>0</v>
      </c>
      <c r="M207" s="253">
        <f>_xlfn.XLOOKUP(FMS_Ranking4[[#This Row],[FMS ID]],FMS_Input[FMS_ID],FMS_Input[STRUCT_100])</f>
        <v>161</v>
      </c>
      <c r="N207" s="255">
        <f>(ASINH(FMS_Ranking4[[#This Row],[Structure at Risk Raw]]))*(10)/(ASINH(M$4))</f>
        <v>4.5396648903358781</v>
      </c>
      <c r="O207" s="256">
        <f>FMS_Ranking4[[#This Row],[Structures at risk, ArcSinh (0-10)]]*M$5*10</f>
        <v>4.5396648903358781</v>
      </c>
      <c r="P207" s="253">
        <f>_xlfn.XLOOKUP(FMS_Ranking4[[#This Row],[FMS ID]],FMS_Input[FMS_ID],FMS_Input[RES_STRUCT100])</f>
        <v>79</v>
      </c>
      <c r="Q207" s="257">
        <f>ASINH(FMS_Ranking4[[#This Row],[Res Structure Raw]])/Q$4*P$5*100</f>
        <v>0</v>
      </c>
      <c r="R207" s="253">
        <f>_xlfn.XLOOKUP(FMS_Ranking4[[#This Row],[FMS ID]],FMS_Input[FMS_ID],FMS_Input[POP100])</f>
        <v>200</v>
      </c>
      <c r="S207" s="259">
        <f>(ASINH(FMS_Ranking4[[#This Row],[Pop at Risk Raw]]))*(10)/(ASINH(R$4))</f>
        <v>4.136261102238028</v>
      </c>
      <c r="T207" s="256">
        <f>FMS_Ranking4[[#This Row],[Population at risk, ArcSinh (0-10)]]*R$5*10</f>
        <v>4.136261102238028</v>
      </c>
      <c r="U207" s="253">
        <f>_xlfn.XLOOKUP(FMS_Ranking4[[#This Row],[FMS ID]],FMS_Input[FMS_ID],FMS_Input[CRITFAC100])</f>
        <v>0</v>
      </c>
      <c r="V207" s="259">
        <f>(ASINH(FMS_Ranking4[[#This Row],[Critical Facilities Raw]]))*(10)/(ASINH(U$4))</f>
        <v>0</v>
      </c>
      <c r="W207" s="256">
        <f>FMS_Ranking4[[#This Row],[Critical facilities at risk, ArcSinh (0-10)]]*U$5*10</f>
        <v>0</v>
      </c>
      <c r="X207" s="253">
        <f>_xlfn.XLOOKUP(FMS_Ranking4[[#This Row],[FMS ID]],FMS_Input[FMS_ID],FMS_Input[LWC])</f>
        <v>2</v>
      </c>
      <c r="Y207" s="259">
        <f>(ASINH(FMS_Ranking4[[#This Row],[LWC Raw]]))*(10)/(ASINH(X$4))</f>
        <v>1.9557475158633808</v>
      </c>
      <c r="Z207" s="256">
        <f>FMS_Ranking4[[#This Row],[LWC, ArcSInh (0-10)]]*X$5*10</f>
        <v>1.9557475158633808</v>
      </c>
      <c r="AA207" s="253">
        <f>_xlfn.XLOOKUP(FMS_Ranking4[[#This Row],[FMS ID]],FMS_Input[FMS_ID],FMS_Input[ROADCLS])</f>
        <v>0</v>
      </c>
      <c r="AB207" s="255">
        <f>(ASINH(FMS_Ranking4[[#This Row],[Road Closures Raw]]))*(10)/(ASINH(AA$4))</f>
        <v>0</v>
      </c>
      <c r="AC207" s="256">
        <f>FMS_Ranking4[[#This Row],[Road closures, ArcSinh (0-10)]]*AA$5*10</f>
        <v>0</v>
      </c>
      <c r="AD207" s="253">
        <f>_xlfn.XLOOKUP(FMS_Ranking4[[#This Row],[FMS ID]],FMS_Input[FMS_ID],FMS_Input[ROAD_MILES100])</f>
        <v>39</v>
      </c>
      <c r="AE207" s="259">
        <f>(ASINH(FMS_Ranking4[[#This Row],[Road Miles Raw]]))*(10)/(ASINH(AD$4))</f>
        <v>4.6432280983160377</v>
      </c>
      <c r="AF207" s="256">
        <f>FMS_Ranking4[[#This Row],[Length of roads at risk, ArcSinh (0-10)]]*AD$5*10</f>
        <v>4.6432280983160377</v>
      </c>
      <c r="AG207" s="253">
        <f>_xlfn.XLOOKUP(FMS_Ranking4[[#This Row],[FMS ID]],FMS_Input[FMS_ID],FMS_Input[FARMACRE100])</f>
        <v>13305.9736328125</v>
      </c>
      <c r="AH207" s="255">
        <f>(ASINH(FMS_Ranking4[[#This Row],[Ag Land Raw]]))*(10)/(ASINH(AG$4))</f>
        <v>6.6186606439335778</v>
      </c>
      <c r="AI207" s="260">
        <f>FMS_Ranking4[[#This Row],[Farm &amp; ranch land, ArcSinh (0-10)]]*AG$5*10</f>
        <v>3.3093303219667893</v>
      </c>
      <c r="AJ207" s="258">
        <f>_xlfn.XLOOKUP(FMS_Ranking4[[#This Row],[FMS ID]],FMS_Input[FMS_ID],FMS_Input[REDSTRUCT100])</f>
        <v>40</v>
      </c>
      <c r="AK207" s="253">
        <f>_xlfn.XLOOKUP(FMS_Ranking4[[#This Row],[FMS ID]],FMS_Input[FMS_ID],FMS_Input[REMSTRC100])</f>
        <v>40</v>
      </c>
      <c r="AL207" s="259">
        <f>(ASINH(FMS_Ranking4[[#This Row],[Structures Removed Raw]]))*(10)/(ASINH(AK$4))</f>
        <v>4.9894279754945705</v>
      </c>
      <c r="AM207" s="262">
        <f>FMS_Ranking4[[#This Row],[Structures removed, ArcSinh (0-10)]]*AK$5*10</f>
        <v>4.9894279754945705</v>
      </c>
      <c r="AN207" s="253">
        <f>_xlfn.XLOOKUP(FMS_Ranking4[[#This Row],[FMS ID]],FMS_Input[FMS_ID],FMS_Input[REMRESSTRC100])</f>
        <v>19</v>
      </c>
      <c r="AO207" s="261">
        <f>FMS_Ranking4[[#This Row],[ArcSinh Res struct removed 0-10]]*AN$5*10</f>
        <v>2.1339463182846794</v>
      </c>
      <c r="AP207" s="260">
        <f>ASINH(FMS_Ranking4[[#This Row],[Residential Structures Removed Raw]])/AP$4*AN$5*100</f>
        <v>2.1339463182846794</v>
      </c>
      <c r="AQ207" s="254">
        <f>(ASINH(FMS_Ranking4[[#This Row],[Residential Structures Removed Raw]]))*(10)/(ASINH(AN$4))</f>
        <v>4.2678926365693588</v>
      </c>
      <c r="AR207" s="253">
        <f>_xlfn.XLOOKUP(FMS_Ranking4[[#This Row],[FMS ID]],FMS_Input[FMS_ID],FMS_Input[REMPOP100])</f>
        <v>64</v>
      </c>
      <c r="AS207" s="259">
        <f>(ASINH(FMS_Ranking4[[#This Row],[Removed Pop Raw]]))*(10)/(ASINH(AR$4))</f>
        <v>4.7629120040194532</v>
      </c>
      <c r="AT207" s="262">
        <f>FMS_Ranking4[[#This Row],[Removed population, ArcSinh (0-10)]]*AR$5*10</f>
        <v>4.7629120040194532</v>
      </c>
      <c r="AU207" s="264">
        <f>_xlfn.XLOOKUP(FMS_Ranking4[[#This Row],[FMS ID]],FMS_Input[FMS_ID],FMS_Input[REMCRITFAC100])</f>
        <v>0</v>
      </c>
      <c r="AV207" s="264">
        <f>_xlfn.XLOOKUP(FMS_Ranking4[[#This Row],[FMS ID]],FMS_Input[FMS_ID],FMS_Input[REMLWC100])</f>
        <v>0</v>
      </c>
      <c r="AW207" s="264">
        <f>_xlfn.XLOOKUP(FMS_Ranking4[[#This Row],[FMS ID]],FMS_Input[FMS_ID],FMS_Input[REMROADCLS])</f>
        <v>0</v>
      </c>
      <c r="AX207" s="264">
        <f>_xlfn.XLOOKUP(FMS_Ranking4[[#This Row],[FMS ID]],FMS_Input[FMS_ID],FMS_Input[REMFRMACRE100])</f>
        <v>3326.493408203125</v>
      </c>
      <c r="AY207" s="258">
        <f>_xlfn.XLOOKUP(FMS_Ranking4[[#This Row],[FMS ID]],FMS_Input[FMS_ID],FMS_Input[COSTSTRUCT])</f>
        <v>25000</v>
      </c>
      <c r="AZ207" s="253">
        <f>_xlfn.XLOOKUP(FMS_Ranking4[[#This Row],[FMS ID]],FMS_Input[FMS_ID],FMS_Input[NATURE])</f>
        <v>0</v>
      </c>
      <c r="BA207" s="262">
        <f>(((FMS_Ranking4[[#This Row],[% NBS Raw]]/AZ$4)*100)*AZ$5)</f>
        <v>0</v>
      </c>
      <c r="BB207" s="251" t="str">
        <f>_xlfn.XLOOKUP(FMS_Ranking4[[#This Row],[FMS ID]],FMS_Input[FMS_ID],FMS_Input[WATER_SUP])</f>
        <v>No</v>
      </c>
      <c r="BC207" s="265">
        <f>IF(FMS_Ranking4[[#This Row],[Water Supply Raw]]="Yes",10,0)</f>
        <v>0</v>
      </c>
      <c r="BD207" s="266">
        <f>_xlfn.XLOOKUP(FMS_Ranking4[[#This Row],[FMS Type]],FMS_TYPE[FMS_Type],FMS_TYPE[Score])</f>
        <v>2</v>
      </c>
      <c r="BE207" s="267">
        <f>FMS_Ranking4[[#This Row],[FMS_Type Score]]*$BD$5*10</f>
        <v>0.5</v>
      </c>
      <c r="BF20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0.12962812796154916</v>
      </c>
      <c r="BG207" s="271">
        <f>_xlfn.RANK.EQ(BF207,$BF$8:$BF$870,0)+COUNTIF($BF$8:BF207,BF207)-1</f>
        <v>440</v>
      </c>
      <c r="BH207" s="268">
        <f>(((FMS_Ranking4[[#This Row],[Structures Removed Raw]]/AK$4)*100)*AK$5)+(((FMS_Ranking4[[#This Row],[Removed Pop Raw]]/AR$4)*100)*AR$5)</f>
        <v>0.17085090258011543</v>
      </c>
      <c r="BI20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0.80047903054166458</v>
      </c>
      <c r="BJ207" s="205">
        <f>_xlfn.RANK.EQ(FMS_Ranking4[[#This Row],[Total Score 
(with linear
normalization)]],FMS_Ranking4[Total Score 
(with linear
normalization)],0)</f>
        <v>782</v>
      </c>
      <c r="BK207" s="205" t="e">
        <f>_xlfn.XLOOKUP(FMS_Ranking4[[#This Row],[FMS ID]],#REF!,#REF!)</f>
        <v>#REF!</v>
      </c>
      <c r="BL20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30.47051822651882</v>
      </c>
      <c r="BM207" s="272">
        <f>FMS_Ranking4[[#This Row],[ArcSinh Score Based on Normalized Reported Factors]]+FMS_Ranking4[[#This Row],[% NBS Score (Normalized)]]+(FMS_Ranking4[[#This Row],[Water Supply Score (Normalized)]]*10*$BB$5)+FMS_Ranking4[[#This Row],[FMS_Type Score Weighted]]</f>
        <v>30.97051822651882</v>
      </c>
      <c r="BN207" s="205">
        <f>_xlfn.RANK.EQ(FMS_Ranking4[[#This Row],[Total Score (with ArcSinh normalization of select criteria)]],FMS_Ranking4[Total Score (with ArcSinh normalization of select criteria)],0)</f>
        <v>200</v>
      </c>
      <c r="BO207" s="270" t="str">
        <f>_xlfn.XLOOKUP(FMS_Ranking4[[#This Row],[FMS ID]],FMS_Input[FMS_ID],FMS_Input[FMS_RANK_YEAR])</f>
        <v>2023 Amended Plan</v>
      </c>
      <c r="BP207" s="204">
        <f>_xlfn.XLOOKUP(FMS_Ranking4[[#This Row],[FMS ID]],Prev_Rank[FMS ID],Prev_Rank[Prev Rank])</f>
        <v>189</v>
      </c>
      <c r="BQ207" s="205" t="e">
        <f>_xlfn.XLOOKUP(FMS_Ranking4[[#This Row],[FMS ID]],#REF!,#REF!)</f>
        <v>#REF!</v>
      </c>
      <c r="BR207" s="199" t="e">
        <f>SUM(#REF!,#REF!,#REF!,#REF!,#REF!,#REF!,#REF!,#REF!,#REF!,FMS_Ranking4[[#This Row],[ArcSinh Res struct removed 0-10]],#REF!)</f>
        <v>#REF!</v>
      </c>
      <c r="BS207" s="199" t="e">
        <f>FMS_Ranking4[[#This Row],[Log Score Based on Normalized Reported Factors]]+FMS_Ranking4[[#This Row],[% NBS Score (Normalized)]]+(FMS_Ranking4[[#This Row],[Water Supply Score (Normalized)]]*10*$BB$5)+(FMS_Ranking4[[#This Row],[FMS_Type Score Weighted]])</f>
        <v>#REF!</v>
      </c>
      <c r="BT207" s="200" t="e">
        <f>_xlfn.RANK.EQ(FMS_Ranking4[[#This Row],[Log Total Score]],FMS_Ranking4[Log Total Score],0)</f>
        <v>#REF!</v>
      </c>
      <c r="BU207" s="200" t="e">
        <f>_xlfn.XLOOKUP(FMS_Ranking4[[#This Row],[FMS ID]],#REF!,#REF!)</f>
        <v>#REF!</v>
      </c>
      <c r="BV207" s="200">
        <f>FMS_Ranking4[[#This Row],[Region Number]]</f>
        <v>9</v>
      </c>
      <c r="BW207" s="200">
        <f>FMS_Ranking4[[#This Row],[Rank (with ArcSinh normalization of select criteria)]]-FMS_Ranking4[[#This Row],[Rank
(with linear
normalization)]]</f>
        <v>-582</v>
      </c>
      <c r="BX207" s="200" t="e">
        <f>FMS_Ranking4[[#This Row],[Log Rank]]-FMS_Ranking4[[#This Row],[Rank
(with linear
normalization)]]</f>
        <v>#REF!</v>
      </c>
      <c r="BY207" s="200" t="str">
        <f>IF(FMS_Ranking4[[#This Row],[FMS Type]]="Flood Measurement and Warning",FMS_Ranking4[[#This Row],[Rank (with ArcSinh normalization of select criteria)]],"")</f>
        <v/>
      </c>
      <c r="BZ207" s="200" t="str">
        <f>IF(FMS_Ranking4[[#This Row],[FMS Type]]="Regulatory and Guidance",FMS_Ranking4[[#This Row],[Rank (with ArcSinh normalization of select criteria)]],"")</f>
        <v/>
      </c>
      <c r="CA207" s="200" t="str">
        <f>IF(FMS_Ranking4[[#This Row],[FMS Type]]="Education and Outreach",FMS_Ranking4[[#This Row],[Rank (with ArcSinh normalization of select criteria)]],"")</f>
        <v/>
      </c>
      <c r="CB207" s="200" t="str">
        <f>IF(FMS_Ranking4[[#This Row],[FMS Type]]="Property Acquisition and Structural Elevation",FMS_Ranking4[[#This Row],[Rank (with ArcSinh normalization of select criteria)]],"")</f>
        <v/>
      </c>
      <c r="CC207" s="200" t="str">
        <f>IF(FMS_Ranking4[[#This Row],[FMS Type]]="Infrastructure Projects",FMS_Ranking4[[#This Row],[Rank (with ArcSinh normalization of select criteria)]],"")</f>
        <v/>
      </c>
      <c r="CD207" s="200">
        <f>IF(FMS_Ranking4[[#This Row],[FMS Type]]="Other",FMS_Ranking4[[#This Row],[Rank (with ArcSinh normalization of select criteria)]],"")</f>
        <v>200</v>
      </c>
      <c r="CE207" s="201"/>
      <c r="CF207" s="206"/>
      <c r="CG207" s="206"/>
      <c r="CH207" s="206"/>
      <c r="CI207" s="206"/>
      <c r="CJ207" s="206"/>
      <c r="CK207" s="206"/>
      <c r="CL207" s="206"/>
      <c r="CM207" s="206"/>
      <c r="CN207" s="206"/>
      <c r="CO207" s="206"/>
      <c r="CP207" s="206"/>
      <c r="CQ207" s="206"/>
      <c r="CR207" s="206"/>
    </row>
    <row r="208" spans="2:96" ht="105" x14ac:dyDescent="0.25">
      <c r="B208" s="341" t="s">
        <v>1046</v>
      </c>
      <c r="C208" s="246">
        <f>_xlfn.XLOOKUP(FMS_Ranking4[[#This Row],[FMS ID]],FMS_Input[FMS_ID],FMS_Input[RFPG_NUM])</f>
        <v>6</v>
      </c>
      <c r="D208" s="309" t="str">
        <f>_xlfn.XLOOKUP(FMS_Ranking4[[#This Row],[FMS ID]],FMS_Input[FMS_ID],FMS_Input[FMS_NAME])</f>
        <v>City of League City Property Acquisition and Relocation</v>
      </c>
      <c r="E208" s="308" t="str">
        <f>_xlfn.XLOOKUP(FMS_Ranking4[[#This Row],[FMS ID]],FMS_Input[FMS_ID],FMS_Input[SPONSOR])</f>
        <v>06003147</v>
      </c>
      <c r="F208" s="309" t="str">
        <f>_xlfn.XLOOKUP(FMS_Ranking4[[#This Row],[FMS ID]],Sponsor[FMS_ID],Sponsor[SPONSOR NAME])</f>
        <v>League City</v>
      </c>
      <c r="G208" s="309" t="str">
        <f>_xlfn.XLOOKUP(FMS_Ranking4[[#This Row],[FMS ID]],FMS_Input[FMS_ID],FMS_Input[FMS_DESCR])</f>
        <v>Buying and removing property from the floodplain will reduce long-term, repetitive flood loss. The open space created by the removal of insured property will facilitate drainage and allow for the creation of recreation areas.</v>
      </c>
      <c r="H208" s="248" t="str">
        <f>_xlfn.XLOOKUP(FMS_Ranking4[[#This Row],[FMS ID]],FMS_Input[FMS_ID],FMS_Input[FMS_TYPE])</f>
        <v>Property Acquisition and Structural Elevation</v>
      </c>
      <c r="I208" s="249">
        <f>_xlfn.XLOOKUP(FMS_Ranking4[[#This Row],[FMS ID]],FMS_Input[FMS_ID],FMS_Input[NRNC_COST])</f>
        <v>30000000</v>
      </c>
      <c r="J208" s="250">
        <f>_xlfn.XLOOKUP(FMS_Ranking4[[#This Row],[FMS ID]],FMS_Input[FMS_ID],FMS_Input[FMS_COST])</f>
        <v>300000000</v>
      </c>
      <c r="K208" s="251" t="str">
        <f>_xlfn.XLOOKUP(FMS_Ranking4[[#This Row],[FMS ID]],FMS_Input[FMS_ID],FMS_Input[EMER_NEED])</f>
        <v>Yes</v>
      </c>
      <c r="L208" s="252">
        <f t="shared" si="3"/>
        <v>1</v>
      </c>
      <c r="M208" s="253">
        <f>_xlfn.XLOOKUP(FMS_Ranking4[[#This Row],[FMS ID]],FMS_Input[FMS_ID],FMS_Input[STRUCT_100])</f>
        <v>5251</v>
      </c>
      <c r="N208" s="255">
        <f>(ASINH(FMS_Ranking4[[#This Row],[Structure at Risk Raw]]))*(10)/(ASINH(M$4))</f>
        <v>7.2792049617508843</v>
      </c>
      <c r="O208" s="256">
        <f>FMS_Ranking4[[#This Row],[Structures at risk, ArcSinh (0-10)]]*M$5*10</f>
        <v>7.2792049617508852</v>
      </c>
      <c r="P208" s="253">
        <f>_xlfn.XLOOKUP(FMS_Ranking4[[#This Row],[FMS ID]],FMS_Input[FMS_ID],FMS_Input[RES_STRUCT100])</f>
        <v>4835</v>
      </c>
      <c r="Q208" s="257">
        <f>ASINH(FMS_Ranking4[[#This Row],[Res Structure Raw]])/Q$4*P$5*100</f>
        <v>0</v>
      </c>
      <c r="R208" s="253">
        <f>_xlfn.XLOOKUP(FMS_Ranking4[[#This Row],[FMS ID]],FMS_Input[FMS_ID],FMS_Input[POP100])</f>
        <v>13675</v>
      </c>
      <c r="S208" s="259">
        <f>(ASINH(FMS_Ranking4[[#This Row],[Pop at Risk Raw]]))*(10)/(ASINH(R$4))</f>
        <v>7.0530252717349864</v>
      </c>
      <c r="T208" s="256">
        <f>FMS_Ranking4[[#This Row],[Population at risk, ArcSinh (0-10)]]*R$5*10</f>
        <v>7.0530252717349873</v>
      </c>
      <c r="U208" s="253">
        <f>_xlfn.XLOOKUP(FMS_Ranking4[[#This Row],[FMS ID]],FMS_Input[FMS_ID],FMS_Input[CRITFAC100])</f>
        <v>25</v>
      </c>
      <c r="V208" s="259">
        <f>(ASINH(FMS_Ranking4[[#This Row],[Critical Facilities Raw]]))*(10)/(ASINH(U$4))</f>
        <v>4.631385765532567</v>
      </c>
      <c r="W208" s="256">
        <f>FMS_Ranking4[[#This Row],[Critical facilities at risk, ArcSinh (0-10)]]*U$5*10</f>
        <v>4.631385765532567</v>
      </c>
      <c r="X208" s="253">
        <f>_xlfn.XLOOKUP(FMS_Ranking4[[#This Row],[FMS ID]],FMS_Input[FMS_ID],FMS_Input[LWC])</f>
        <v>2</v>
      </c>
      <c r="Y208" s="259">
        <f>(ASINH(FMS_Ranking4[[#This Row],[LWC Raw]]))*(10)/(ASINH(X$4))</f>
        <v>1.9557475158633808</v>
      </c>
      <c r="Z208" s="256">
        <f>FMS_Ranking4[[#This Row],[LWC, ArcSInh (0-10)]]*X$5*10</f>
        <v>1.9557475158633808</v>
      </c>
      <c r="AA208" s="253">
        <f>_xlfn.XLOOKUP(FMS_Ranking4[[#This Row],[FMS ID]],FMS_Input[FMS_ID],FMS_Input[ROADCLS])</f>
        <v>2</v>
      </c>
      <c r="AB208" s="255">
        <f>(ASINH(FMS_Ranking4[[#This Row],[Road Closures Raw]]))*(10)/(ASINH(AA$4))</f>
        <v>1.5034138460359754</v>
      </c>
      <c r="AC208" s="256">
        <f>FMS_Ranking4[[#This Row],[Road closures, ArcSinh (0-10)]]*AA$5*10</f>
        <v>0.7517069230179878</v>
      </c>
      <c r="AD208" s="253">
        <f>_xlfn.XLOOKUP(FMS_Ranking4[[#This Row],[FMS ID]],FMS_Input[FMS_ID],FMS_Input[ROAD_MILES100])</f>
        <v>105</v>
      </c>
      <c r="AE208" s="259">
        <f>(ASINH(FMS_Ranking4[[#This Row],[Road Miles Raw]]))*(10)/(ASINH(AD$4))</f>
        <v>5.6985696741085849</v>
      </c>
      <c r="AF208" s="256">
        <f>FMS_Ranking4[[#This Row],[Length of roads at risk, ArcSinh (0-10)]]*AD$5*10</f>
        <v>5.6985696741085858</v>
      </c>
      <c r="AG208" s="253">
        <f>_xlfn.XLOOKUP(FMS_Ranking4[[#This Row],[FMS ID]],FMS_Input[FMS_ID],FMS_Input[FARMACRE100])</f>
        <v>1308.191162109375</v>
      </c>
      <c r="AH208" s="255">
        <f>(ASINH(FMS_Ranking4[[#This Row],[Ag Land Raw]]))*(10)/(ASINH(AG$4))</f>
        <v>5.1119125503384772</v>
      </c>
      <c r="AI208" s="260">
        <f>FMS_Ranking4[[#This Row],[Farm &amp; ranch land, ArcSinh (0-10)]]*AG$5*10</f>
        <v>2.5559562751692386</v>
      </c>
      <c r="AJ208" s="258">
        <f>_xlfn.XLOOKUP(FMS_Ranking4[[#This Row],[FMS ID]],FMS_Input[FMS_ID],FMS_Input[REDSTRUCT100])</f>
        <v>0</v>
      </c>
      <c r="AK208" s="253">
        <f>_xlfn.XLOOKUP(FMS_Ranking4[[#This Row],[FMS ID]],FMS_Input[FMS_ID],FMS_Input[REMSTRC100])</f>
        <v>0</v>
      </c>
      <c r="AL208" s="259">
        <f>(ASINH(FMS_Ranking4[[#This Row],[Structures Removed Raw]]))*(10)/(ASINH(AK$4))</f>
        <v>0</v>
      </c>
      <c r="AM208" s="262">
        <f>FMS_Ranking4[[#This Row],[Structures removed, ArcSinh (0-10)]]*AK$5*10</f>
        <v>0</v>
      </c>
      <c r="AN208" s="253">
        <f>_xlfn.XLOOKUP(FMS_Ranking4[[#This Row],[FMS ID]],FMS_Input[FMS_ID],FMS_Input[REMRESSTRC100])</f>
        <v>0</v>
      </c>
      <c r="AO208" s="261">
        <f>FMS_Ranking4[[#This Row],[ArcSinh Res struct removed 0-10]]*AN$5*10</f>
        <v>0</v>
      </c>
      <c r="AP208" s="260">
        <f>ASINH(FMS_Ranking4[[#This Row],[Residential Structures Removed Raw]])/AP$4*AN$5*100</f>
        <v>0</v>
      </c>
      <c r="AQ208" s="254">
        <f>(ASINH(FMS_Ranking4[[#This Row],[Residential Structures Removed Raw]]))*(10)/(ASINH(AN$4))</f>
        <v>0</v>
      </c>
      <c r="AR208" s="253">
        <f>_xlfn.XLOOKUP(FMS_Ranking4[[#This Row],[FMS ID]],FMS_Input[FMS_ID],FMS_Input[REMPOP100])</f>
        <v>0</v>
      </c>
      <c r="AS208" s="259">
        <f>(ASINH(FMS_Ranking4[[#This Row],[Removed Pop Raw]]))*(10)/(ASINH(AR$4))</f>
        <v>0</v>
      </c>
      <c r="AT208" s="262">
        <f>FMS_Ranking4[[#This Row],[Removed population, ArcSinh (0-10)]]*AR$5*10</f>
        <v>0</v>
      </c>
      <c r="AU208" s="264">
        <f>_xlfn.XLOOKUP(FMS_Ranking4[[#This Row],[FMS ID]],FMS_Input[FMS_ID],FMS_Input[REMCRITFAC100])</f>
        <v>0</v>
      </c>
      <c r="AV208" s="264">
        <f>_xlfn.XLOOKUP(FMS_Ranking4[[#This Row],[FMS ID]],FMS_Input[FMS_ID],FMS_Input[REMLWC100])</f>
        <v>0</v>
      </c>
      <c r="AW208" s="264">
        <f>_xlfn.XLOOKUP(FMS_Ranking4[[#This Row],[FMS ID]],FMS_Input[FMS_ID],FMS_Input[REMROADCLS])</f>
        <v>0</v>
      </c>
      <c r="AX208" s="264">
        <f>_xlfn.XLOOKUP(FMS_Ranking4[[#This Row],[FMS ID]],FMS_Input[FMS_ID],FMS_Input[REMFRMACRE100])</f>
        <v>0</v>
      </c>
      <c r="AY208" s="258">
        <f>_xlfn.XLOOKUP(FMS_Ranking4[[#This Row],[FMS ID]],FMS_Input[FMS_ID],FMS_Input[COSTSTRUCT])</f>
        <v>0</v>
      </c>
      <c r="AZ208" s="253">
        <f>_xlfn.XLOOKUP(FMS_Ranking4[[#This Row],[FMS ID]],FMS_Input[FMS_ID],FMS_Input[NATURE])</f>
        <v>0</v>
      </c>
      <c r="BA208" s="262">
        <f>(((FMS_Ranking4[[#This Row],[% NBS Raw]]/AZ$4)*100)*AZ$5)</f>
        <v>0</v>
      </c>
      <c r="BB208" s="251" t="str">
        <f>_xlfn.XLOOKUP(FMS_Ranking4[[#This Row],[FMS ID]],FMS_Input[FMS_ID],FMS_Input[WATER_SUP])</f>
        <v>No</v>
      </c>
      <c r="BC208" s="265">
        <f>IF(FMS_Ranking4[[#This Row],[Water Supply Raw]]="Yes",10,0)</f>
        <v>0</v>
      </c>
      <c r="BD208" s="266">
        <f>_xlfn.XLOOKUP(FMS_Ranking4[[#This Row],[FMS Type]],FMS_TYPE[FMS_Type],FMS_TYPE[Score])</f>
        <v>4</v>
      </c>
      <c r="BE208" s="267">
        <f>FMS_Ranking4[[#This Row],[FMS_Type Score]]*$BD$5*10</f>
        <v>1</v>
      </c>
      <c r="BF20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0.7668090110628748</v>
      </c>
      <c r="BG208" s="271">
        <f>_xlfn.RANK.EQ(BF208,$BF$8:$BF$870,0)+COUNTIF($BF$8:BF208,BF208)-1</f>
        <v>177</v>
      </c>
      <c r="BH208" s="268">
        <f>(((FMS_Ranking4[[#This Row],[Structures Removed Raw]]/AK$4)*100)*AK$5)+(((FMS_Ranking4[[#This Row],[Removed Pop Raw]]/AR$4)*100)*AR$5)</f>
        <v>0</v>
      </c>
      <c r="BI20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1.7668090110628749</v>
      </c>
      <c r="BJ208" s="205">
        <f>_xlfn.RANK.EQ(FMS_Ranking4[[#This Row],[Total Score 
(with linear
normalization)]],FMS_Ranking4[Total Score 
(with linear
normalization)],0)</f>
        <v>543</v>
      </c>
      <c r="BK208" s="205" t="e">
        <f>_xlfn.XLOOKUP(FMS_Ranking4[[#This Row],[FMS ID]],#REF!,#REF!)</f>
        <v>#REF!</v>
      </c>
      <c r="BL20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29.925596387177634</v>
      </c>
      <c r="BM208" s="272">
        <f>FMS_Ranking4[[#This Row],[ArcSinh Score Based on Normalized Reported Factors]]+FMS_Ranking4[[#This Row],[% NBS Score (Normalized)]]+(FMS_Ranking4[[#This Row],[Water Supply Score (Normalized)]]*10*$BB$5)+FMS_Ranking4[[#This Row],[FMS_Type Score Weighted]]</f>
        <v>30.925596387177634</v>
      </c>
      <c r="BN208" s="205">
        <f>_xlfn.RANK.EQ(FMS_Ranking4[[#This Row],[Total Score (with ArcSinh normalization of select criteria)]],FMS_Ranking4[Total Score (with ArcSinh normalization of select criteria)],0)</f>
        <v>201</v>
      </c>
      <c r="BO208" s="270" t="str">
        <f>_xlfn.XLOOKUP(FMS_Ranking4[[#This Row],[FMS ID]],FMS_Input[FMS_ID],FMS_Input[FMS_RANK_YEAR])</f>
        <v>2023 Amended Plan</v>
      </c>
      <c r="BP208" s="204">
        <f>_xlfn.XLOOKUP(FMS_Ranking4[[#This Row],[FMS ID]],Prev_Rank[FMS ID],Prev_Rank[Prev Rank])</f>
        <v>172</v>
      </c>
      <c r="BQ208" s="205" t="e">
        <f>_xlfn.XLOOKUP(FMS_Ranking4[[#This Row],[FMS ID]],#REF!,#REF!)</f>
        <v>#REF!</v>
      </c>
      <c r="BR208" s="199" t="e">
        <f>SUM(#REF!,#REF!,#REF!,#REF!,#REF!,#REF!,#REF!,#REF!,#REF!,FMS_Ranking4[[#This Row],[ArcSinh Res struct removed 0-10]],#REF!)</f>
        <v>#REF!</v>
      </c>
      <c r="BS208" s="199" t="e">
        <f>FMS_Ranking4[[#This Row],[Log Score Based on Normalized Reported Factors]]+FMS_Ranking4[[#This Row],[% NBS Score (Normalized)]]+(FMS_Ranking4[[#This Row],[Water Supply Score (Normalized)]]*10*$BB$5)+(FMS_Ranking4[[#This Row],[FMS_Type Score Weighted]])</f>
        <v>#REF!</v>
      </c>
      <c r="BT208" s="200" t="e">
        <f>_xlfn.RANK.EQ(FMS_Ranking4[[#This Row],[Log Total Score]],FMS_Ranking4[Log Total Score],0)</f>
        <v>#REF!</v>
      </c>
      <c r="BU208" s="200" t="e">
        <f>_xlfn.XLOOKUP(FMS_Ranking4[[#This Row],[FMS ID]],#REF!,#REF!)</f>
        <v>#REF!</v>
      </c>
      <c r="BV208" s="200">
        <f>FMS_Ranking4[[#This Row],[Region Number]]</f>
        <v>6</v>
      </c>
      <c r="BW208" s="200">
        <f>FMS_Ranking4[[#This Row],[Rank (with ArcSinh normalization of select criteria)]]-FMS_Ranking4[[#This Row],[Rank
(with linear
normalization)]]</f>
        <v>-342</v>
      </c>
      <c r="BX208" s="200" t="e">
        <f>FMS_Ranking4[[#This Row],[Log Rank]]-FMS_Ranking4[[#This Row],[Rank
(with linear
normalization)]]</f>
        <v>#REF!</v>
      </c>
      <c r="BY208" s="200" t="str">
        <f>IF(FMS_Ranking4[[#This Row],[FMS Type]]="Flood Measurement and Warning",FMS_Ranking4[[#This Row],[Rank (with ArcSinh normalization of select criteria)]],"")</f>
        <v/>
      </c>
      <c r="BZ208" s="200" t="str">
        <f>IF(FMS_Ranking4[[#This Row],[FMS Type]]="Regulatory and Guidance",FMS_Ranking4[[#This Row],[Rank (with ArcSinh normalization of select criteria)]],"")</f>
        <v/>
      </c>
      <c r="CA208" s="200" t="str">
        <f>IF(FMS_Ranking4[[#This Row],[FMS Type]]="Education and Outreach",FMS_Ranking4[[#This Row],[Rank (with ArcSinh normalization of select criteria)]],"")</f>
        <v/>
      </c>
      <c r="CB208" s="200">
        <f>IF(FMS_Ranking4[[#This Row],[FMS Type]]="Property Acquisition and Structural Elevation",FMS_Ranking4[[#This Row],[Rank (with ArcSinh normalization of select criteria)]],"")</f>
        <v>201</v>
      </c>
      <c r="CC208" s="200" t="str">
        <f>IF(FMS_Ranking4[[#This Row],[FMS Type]]="Infrastructure Projects",FMS_Ranking4[[#This Row],[Rank (with ArcSinh normalization of select criteria)]],"")</f>
        <v/>
      </c>
      <c r="CD208" s="200" t="str">
        <f>IF(FMS_Ranking4[[#This Row],[FMS Type]]="Other",FMS_Ranking4[[#This Row],[Rank (with ArcSinh normalization of select criteria)]],"")</f>
        <v/>
      </c>
      <c r="CE208" s="201"/>
      <c r="CF208" s="206"/>
      <c r="CG208" s="206"/>
      <c r="CH208" s="206"/>
      <c r="CI208" s="206"/>
      <c r="CJ208" s="206"/>
      <c r="CK208" s="206"/>
      <c r="CL208" s="206"/>
      <c r="CM208" s="206"/>
      <c r="CN208" s="206"/>
      <c r="CO208" s="206"/>
      <c r="CP208" s="206"/>
      <c r="CQ208" s="206"/>
      <c r="CR208" s="206"/>
    </row>
    <row r="209" spans="2:96" ht="135" x14ac:dyDescent="0.25">
      <c r="B209" s="341" t="s">
        <v>126</v>
      </c>
      <c r="C209" s="246">
        <f>_xlfn.XLOOKUP(FMS_Ranking4[[#This Row],[FMS ID]],FMS_Input[FMS_ID],FMS_Input[RFPG_NUM])</f>
        <v>6</v>
      </c>
      <c r="D209" s="309" t="str">
        <f>_xlfn.XLOOKUP(FMS_Ranking4[[#This Row],[FMS ID]],FMS_Input[FMS_ID],FMS_Input[FMS_NAME])</f>
        <v>Waller County Freeboard Requirement Update</v>
      </c>
      <c r="E209" s="308" t="str">
        <f>_xlfn.XLOOKUP(FMS_Ranking4[[#This Row],[FMS ID]],FMS_Input[FMS_ID],FMS_Input[SPONSOR])</f>
        <v>00000024</v>
      </c>
      <c r="F209" s="309" t="str">
        <f>_xlfn.XLOOKUP(FMS_Ranking4[[#This Row],[FMS ID]],Sponsor[FMS_ID],Sponsor[SPONSOR NAME])</f>
        <v>Waller</v>
      </c>
      <c r="G209" s="309" t="str">
        <f>_xlfn.XLOOKUP(FMS_Ranking4[[#This Row],[FMS ID]],FMS_Input[FMS_ID],FMS_Input[FMS_DESCR])</f>
        <v>The county may increase its freeboard requirement to 24-in from 18-in above the base flood elevation. County may require that all new lots within a platted subdivision be located fully outside of the floodplain. Applicable to all floodplain development.</v>
      </c>
      <c r="H209" s="248" t="str">
        <f>_xlfn.XLOOKUP(FMS_Ranking4[[#This Row],[FMS ID]],FMS_Input[FMS_ID],FMS_Input[FMS_TYPE])</f>
        <v>Regulatory and Guidance</v>
      </c>
      <c r="I209" s="249">
        <f>_xlfn.XLOOKUP(FMS_Ranking4[[#This Row],[FMS ID]],FMS_Input[FMS_ID],FMS_Input[NRNC_COST])</f>
        <v>5000</v>
      </c>
      <c r="J209" s="250">
        <f>_xlfn.XLOOKUP(FMS_Ranking4[[#This Row],[FMS ID]],FMS_Input[FMS_ID],FMS_Input[FMS_COST])</f>
        <v>100000</v>
      </c>
      <c r="K209" s="251" t="str">
        <f>_xlfn.XLOOKUP(FMS_Ranking4[[#This Row],[FMS ID]],FMS_Input[FMS_ID],FMS_Input[EMER_NEED])</f>
        <v>No</v>
      </c>
      <c r="L209" s="252">
        <f t="shared" si="3"/>
        <v>0</v>
      </c>
      <c r="M209" s="253">
        <f>_xlfn.XLOOKUP(FMS_Ranking4[[#This Row],[FMS ID]],FMS_Input[FMS_ID],FMS_Input[STRUCT_100])</f>
        <v>1067</v>
      </c>
      <c r="N209" s="255">
        <f>(ASINH(FMS_Ranking4[[#This Row],[Structure at Risk Raw]]))*(10)/(ASINH(M$4))</f>
        <v>6.0264237513233843</v>
      </c>
      <c r="O209" s="256">
        <f>FMS_Ranking4[[#This Row],[Structures at risk, ArcSinh (0-10)]]*M$5*10</f>
        <v>6.0264237513233843</v>
      </c>
      <c r="P209" s="253">
        <f>_xlfn.XLOOKUP(FMS_Ranking4[[#This Row],[FMS ID]],FMS_Input[FMS_ID],FMS_Input[RES_STRUCT100])</f>
        <v>708</v>
      </c>
      <c r="Q209" s="257">
        <f>ASINH(FMS_Ranking4[[#This Row],[Res Structure Raw]])/Q$4*P$5*100</f>
        <v>0</v>
      </c>
      <c r="R209" s="253">
        <f>_xlfn.XLOOKUP(FMS_Ranking4[[#This Row],[FMS ID]],FMS_Input[FMS_ID],FMS_Input[POP100])</f>
        <v>1859</v>
      </c>
      <c r="S209" s="259">
        <f>(ASINH(FMS_Ranking4[[#This Row],[Pop at Risk Raw]]))*(10)/(ASINH(R$4))</f>
        <v>5.6753943445930526</v>
      </c>
      <c r="T209" s="256">
        <f>FMS_Ranking4[[#This Row],[Population at risk, ArcSinh (0-10)]]*R$5*10</f>
        <v>5.6753943445930535</v>
      </c>
      <c r="U209" s="253">
        <f>_xlfn.XLOOKUP(FMS_Ranking4[[#This Row],[FMS ID]],FMS_Input[FMS_ID],FMS_Input[CRITFAC100])</f>
        <v>6</v>
      </c>
      <c r="V209" s="259">
        <f>(ASINH(FMS_Ranking4[[#This Row],[Critical Facilities Raw]]))*(10)/(ASINH(U$4))</f>
        <v>2.9496796311809068</v>
      </c>
      <c r="W209" s="256">
        <f>FMS_Ranking4[[#This Row],[Critical facilities at risk, ArcSinh (0-10)]]*U$5*10</f>
        <v>2.9496796311809073</v>
      </c>
      <c r="X209" s="253">
        <f>_xlfn.XLOOKUP(FMS_Ranking4[[#This Row],[FMS ID]],FMS_Input[FMS_ID],FMS_Input[LWC])</f>
        <v>19</v>
      </c>
      <c r="Y209" s="259">
        <f>(ASINH(FMS_Ranking4[[#This Row],[LWC Raw]]))*(10)/(ASINH(X$4))</f>
        <v>4.9289126022409242</v>
      </c>
      <c r="Z209" s="256">
        <f>FMS_Ranking4[[#This Row],[LWC, ArcSInh (0-10)]]*X$5*10</f>
        <v>4.9289126022409242</v>
      </c>
      <c r="AA209" s="253">
        <f>_xlfn.XLOOKUP(FMS_Ranking4[[#This Row],[FMS ID]],FMS_Input[FMS_ID],FMS_Input[ROADCLS])</f>
        <v>19</v>
      </c>
      <c r="AB209" s="255">
        <f>(ASINH(FMS_Ranking4[[#This Row],[Road Closures Raw]]))*(10)/(ASINH(AA$4))</f>
        <v>3.7889325651726184</v>
      </c>
      <c r="AC209" s="256">
        <f>FMS_Ranking4[[#This Row],[Road closures, ArcSinh (0-10)]]*AA$5*10</f>
        <v>1.8944662825863092</v>
      </c>
      <c r="AD209" s="253">
        <f>_xlfn.XLOOKUP(FMS_Ranking4[[#This Row],[FMS ID]],FMS_Input[FMS_ID],FMS_Input[ROAD_MILES100])</f>
        <v>41</v>
      </c>
      <c r="AE209" s="259">
        <f>(ASINH(FMS_Ranking4[[#This Row],[Road Miles Raw]]))*(10)/(ASINH(AD$4))</f>
        <v>4.6965087826098246</v>
      </c>
      <c r="AF209" s="256">
        <f>FMS_Ranking4[[#This Row],[Length of roads at risk, ArcSinh (0-10)]]*AD$5*10</f>
        <v>4.6965087826098255</v>
      </c>
      <c r="AG209" s="253">
        <f>_xlfn.XLOOKUP(FMS_Ranking4[[#This Row],[FMS ID]],FMS_Input[FMS_ID],FMS_Input[FARMACRE100])</f>
        <v>1357.317260742188</v>
      </c>
      <c r="AH209" s="255">
        <f>(ASINH(FMS_Ranking4[[#This Row],[Ag Land Raw]]))*(10)/(ASINH(AG$4))</f>
        <v>5.1358592075550247</v>
      </c>
      <c r="AI209" s="260">
        <f>FMS_Ranking4[[#This Row],[Farm &amp; ranch land, ArcSinh (0-10)]]*AG$5*10</f>
        <v>2.5679296037775123</v>
      </c>
      <c r="AJ209" s="258">
        <f>_xlfn.XLOOKUP(FMS_Ranking4[[#This Row],[FMS ID]],FMS_Input[FMS_ID],FMS_Input[REDSTRUCT100])</f>
        <v>0</v>
      </c>
      <c r="AK209" s="253">
        <f>_xlfn.XLOOKUP(FMS_Ranking4[[#This Row],[FMS ID]],FMS_Input[FMS_ID],FMS_Input[REMSTRC100])</f>
        <v>0</v>
      </c>
      <c r="AL209" s="259">
        <f>(ASINH(FMS_Ranking4[[#This Row],[Structures Removed Raw]]))*(10)/(ASINH(AK$4))</f>
        <v>0</v>
      </c>
      <c r="AM209" s="262">
        <f>FMS_Ranking4[[#This Row],[Structures removed, ArcSinh (0-10)]]*AK$5*10</f>
        <v>0</v>
      </c>
      <c r="AN209" s="253">
        <f>_xlfn.XLOOKUP(FMS_Ranking4[[#This Row],[FMS ID]],FMS_Input[FMS_ID],FMS_Input[REMRESSTRC100])</f>
        <v>0</v>
      </c>
      <c r="AO209" s="261">
        <f>FMS_Ranking4[[#This Row],[ArcSinh Res struct removed 0-10]]*AN$5*10</f>
        <v>0</v>
      </c>
      <c r="AP209" s="260">
        <f>ASINH(FMS_Ranking4[[#This Row],[Residential Structures Removed Raw]])/AP$4*AN$5*100</f>
        <v>0</v>
      </c>
      <c r="AQ209" s="254">
        <f>(ASINH(FMS_Ranking4[[#This Row],[Residential Structures Removed Raw]]))*(10)/(ASINH(AN$4))</f>
        <v>0</v>
      </c>
      <c r="AR209" s="253">
        <f>_xlfn.XLOOKUP(FMS_Ranking4[[#This Row],[FMS ID]],FMS_Input[FMS_ID],FMS_Input[REMPOP100])</f>
        <v>0</v>
      </c>
      <c r="AS209" s="259">
        <f>(ASINH(FMS_Ranking4[[#This Row],[Removed Pop Raw]]))*(10)/(ASINH(AR$4))</f>
        <v>0</v>
      </c>
      <c r="AT209" s="262">
        <f>FMS_Ranking4[[#This Row],[Removed population, ArcSinh (0-10)]]*AR$5*10</f>
        <v>0</v>
      </c>
      <c r="AU209" s="264">
        <f>_xlfn.XLOOKUP(FMS_Ranking4[[#This Row],[FMS ID]],FMS_Input[FMS_ID],FMS_Input[REMCRITFAC100])</f>
        <v>0</v>
      </c>
      <c r="AV209" s="264">
        <f>_xlfn.XLOOKUP(FMS_Ranking4[[#This Row],[FMS ID]],FMS_Input[FMS_ID],FMS_Input[REMLWC100])</f>
        <v>0</v>
      </c>
      <c r="AW209" s="264">
        <f>_xlfn.XLOOKUP(FMS_Ranking4[[#This Row],[FMS ID]],FMS_Input[FMS_ID],FMS_Input[REMROADCLS])</f>
        <v>0</v>
      </c>
      <c r="AX209" s="264">
        <f>_xlfn.XLOOKUP(FMS_Ranking4[[#This Row],[FMS ID]],FMS_Input[FMS_ID],FMS_Input[REMFRMACRE100])</f>
        <v>0</v>
      </c>
      <c r="AY209" s="258">
        <f>_xlfn.XLOOKUP(FMS_Ranking4[[#This Row],[FMS ID]],FMS_Input[FMS_ID],FMS_Input[COSTSTRUCT])</f>
        <v>0</v>
      </c>
      <c r="AZ209" s="253">
        <f>_xlfn.XLOOKUP(FMS_Ranking4[[#This Row],[FMS ID]],FMS_Input[FMS_ID],FMS_Input[NATURE])</f>
        <v>0</v>
      </c>
      <c r="BA209" s="262">
        <f>(((FMS_Ranking4[[#This Row],[% NBS Raw]]/AZ$4)*100)*AZ$5)</f>
        <v>0</v>
      </c>
      <c r="BB209" s="251" t="str">
        <f>_xlfn.XLOOKUP(FMS_Ranking4[[#This Row],[FMS ID]],FMS_Input[FMS_ID],FMS_Input[WATER_SUP])</f>
        <v>No</v>
      </c>
      <c r="BC209" s="265">
        <f>IF(FMS_Ranking4[[#This Row],[Water Supply Raw]]="Yes",10,0)</f>
        <v>0</v>
      </c>
      <c r="BD209" s="266">
        <f>_xlfn.XLOOKUP(FMS_Ranking4[[#This Row],[FMS Type]],FMS_TYPE[FMS_Type],FMS_TYPE[Score])</f>
        <v>8</v>
      </c>
      <c r="BE209" s="267">
        <f>FMS_Ranking4[[#This Row],[FMS_Type Score]]*$BD$5*10</f>
        <v>2</v>
      </c>
      <c r="BF20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0.42979235936589832</v>
      </c>
      <c r="BG209" s="271">
        <f>_xlfn.RANK.EQ(BF209,$BF$8:$BF$870,0)+COUNTIF($BF$8:BF209,BF209)-1</f>
        <v>251</v>
      </c>
      <c r="BH209" s="268">
        <f>(((FMS_Ranking4[[#This Row],[Structures Removed Raw]]/AK$4)*100)*AK$5)+(((FMS_Ranking4[[#This Row],[Removed Pop Raw]]/AR$4)*100)*AR$5)</f>
        <v>0</v>
      </c>
      <c r="BI20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2.4297923593658983</v>
      </c>
      <c r="BJ209" s="205">
        <f>_xlfn.RANK.EQ(FMS_Ranking4[[#This Row],[Total Score 
(with linear
normalization)]],FMS_Ranking4[Total Score 
(with linear
normalization)],0)</f>
        <v>274</v>
      </c>
      <c r="BK209" s="205" t="e">
        <f>_xlfn.XLOOKUP(FMS_Ranking4[[#This Row],[FMS ID]],#REF!,#REF!)</f>
        <v>#REF!</v>
      </c>
      <c r="BL20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28.739314998311912</v>
      </c>
      <c r="BM209" s="272">
        <f>FMS_Ranking4[[#This Row],[ArcSinh Score Based on Normalized Reported Factors]]+FMS_Ranking4[[#This Row],[% NBS Score (Normalized)]]+(FMS_Ranking4[[#This Row],[Water Supply Score (Normalized)]]*10*$BB$5)+FMS_Ranking4[[#This Row],[FMS_Type Score Weighted]]</f>
        <v>30.739314998311912</v>
      </c>
      <c r="BN209" s="205">
        <f>_xlfn.RANK.EQ(FMS_Ranking4[[#This Row],[Total Score (with ArcSinh normalization of select criteria)]],FMS_Ranking4[Total Score (with ArcSinh normalization of select criteria)],0)</f>
        <v>202</v>
      </c>
      <c r="BO209" s="270" t="str">
        <f>_xlfn.XLOOKUP(FMS_Ranking4[[#This Row],[FMS ID]],FMS_Input[FMS_ID],FMS_Input[FMS_RANK_YEAR])</f>
        <v>2023 Amended Plan</v>
      </c>
      <c r="BP209" s="204">
        <f>_xlfn.XLOOKUP(FMS_Ranking4[[#This Row],[FMS ID]],Prev_Rank[FMS ID],Prev_Rank[Prev Rank])</f>
        <v>173</v>
      </c>
      <c r="BQ209" s="205" t="e">
        <f>_xlfn.XLOOKUP(FMS_Ranking4[[#This Row],[FMS ID]],#REF!,#REF!)</f>
        <v>#REF!</v>
      </c>
      <c r="BR209" s="199" t="e">
        <f>SUM(#REF!,#REF!,#REF!,#REF!,#REF!,#REF!,#REF!,#REF!,#REF!,FMS_Ranking4[[#This Row],[ArcSinh Res struct removed 0-10]],#REF!)</f>
        <v>#REF!</v>
      </c>
      <c r="BS209" s="199" t="e">
        <f>FMS_Ranking4[[#This Row],[Log Score Based on Normalized Reported Factors]]+FMS_Ranking4[[#This Row],[% NBS Score (Normalized)]]+(FMS_Ranking4[[#This Row],[Water Supply Score (Normalized)]]*10*$BB$5)+(FMS_Ranking4[[#This Row],[FMS_Type Score Weighted]])</f>
        <v>#REF!</v>
      </c>
      <c r="BT209" s="200" t="e">
        <f>_xlfn.RANK.EQ(FMS_Ranking4[[#This Row],[Log Total Score]],FMS_Ranking4[Log Total Score],0)</f>
        <v>#REF!</v>
      </c>
      <c r="BU209" s="200" t="e">
        <f>_xlfn.XLOOKUP(FMS_Ranking4[[#This Row],[FMS ID]],#REF!,#REF!)</f>
        <v>#REF!</v>
      </c>
      <c r="BV209" s="200">
        <f>FMS_Ranking4[[#This Row],[Region Number]]</f>
        <v>6</v>
      </c>
      <c r="BW209" s="200">
        <f>FMS_Ranking4[[#This Row],[Rank (with ArcSinh normalization of select criteria)]]-FMS_Ranking4[[#This Row],[Rank
(with linear
normalization)]]</f>
        <v>-72</v>
      </c>
      <c r="BX209" s="200" t="e">
        <f>FMS_Ranking4[[#This Row],[Log Rank]]-FMS_Ranking4[[#This Row],[Rank
(with linear
normalization)]]</f>
        <v>#REF!</v>
      </c>
      <c r="BY209" s="200" t="str">
        <f>IF(FMS_Ranking4[[#This Row],[FMS Type]]="Flood Measurement and Warning",FMS_Ranking4[[#This Row],[Rank (with ArcSinh normalization of select criteria)]],"")</f>
        <v/>
      </c>
      <c r="BZ209" s="200">
        <f>IF(FMS_Ranking4[[#This Row],[FMS Type]]="Regulatory and Guidance",FMS_Ranking4[[#This Row],[Rank (with ArcSinh normalization of select criteria)]],"")</f>
        <v>202</v>
      </c>
      <c r="CA209" s="200" t="str">
        <f>IF(FMS_Ranking4[[#This Row],[FMS Type]]="Education and Outreach",FMS_Ranking4[[#This Row],[Rank (with ArcSinh normalization of select criteria)]],"")</f>
        <v/>
      </c>
      <c r="CB209" s="200" t="str">
        <f>IF(FMS_Ranking4[[#This Row],[FMS Type]]="Property Acquisition and Structural Elevation",FMS_Ranking4[[#This Row],[Rank (with ArcSinh normalization of select criteria)]],"")</f>
        <v/>
      </c>
      <c r="CC209" s="200" t="str">
        <f>IF(FMS_Ranking4[[#This Row],[FMS Type]]="Infrastructure Projects",FMS_Ranking4[[#This Row],[Rank (with ArcSinh normalization of select criteria)]],"")</f>
        <v/>
      </c>
      <c r="CD209" s="200" t="str">
        <f>IF(FMS_Ranking4[[#This Row],[FMS Type]]="Other",FMS_Ranking4[[#This Row],[Rank (with ArcSinh normalization of select criteria)]],"")</f>
        <v/>
      </c>
      <c r="CE209" s="201"/>
      <c r="CF209" s="206"/>
      <c r="CG209" s="206"/>
      <c r="CH209" s="206"/>
      <c r="CI209" s="206"/>
      <c r="CJ209" s="206"/>
      <c r="CK209" s="206"/>
      <c r="CL209" s="206"/>
      <c r="CM209" s="206"/>
      <c r="CN209" s="206"/>
      <c r="CO209" s="206"/>
      <c r="CP209" s="206"/>
      <c r="CQ209" s="206"/>
      <c r="CR209" s="206"/>
    </row>
    <row r="210" spans="2:96" ht="105" x14ac:dyDescent="0.25">
      <c r="B210" s="341" t="s">
        <v>12441</v>
      </c>
      <c r="C210" s="246">
        <f>_xlfn.XLOOKUP(FMS_Ranking4[[#This Row],[FMS ID]],FMS_Input[FMS_ID],FMS_Input[RFPG_NUM])</f>
        <v>6</v>
      </c>
      <c r="D210" s="309" t="str">
        <f>_xlfn.XLOOKUP(FMS_Ranking4[[#This Row],[FMS ID]],FMS_Input[FMS_ID],FMS_Input[FMS_NAME])</f>
        <v>Updates to San Jacinto River Authority Lake Conroe Reservoir Forecast Tool</v>
      </c>
      <c r="E210" s="308" t="str">
        <f>_xlfn.XLOOKUP(FMS_Ranking4[[#This Row],[FMS ID]],FMS_Input[FMS_ID],FMS_Input[SPONSOR])</f>
        <v>00000287</v>
      </c>
      <c r="F210" s="309" t="str">
        <f>_xlfn.XLOOKUP(FMS_Ranking4[[#This Row],[FMS ID]],Sponsor[FMS_ID],Sponsor[SPONSOR NAME])</f>
        <v>San Jacinto River Authority</v>
      </c>
      <c r="G210" s="309" t="str">
        <f>_xlfn.XLOOKUP(FMS_Ranking4[[#This Row],[FMS ID]],FMS_Input[FMS_ID],FMS_Input[FMS_DESCR])</f>
        <v>Update to forecasting tool, including the incorporation of latest modeling analyses and methodologies, latest software, and/or additional stream gauge data to increase accuracy and accessibility.</v>
      </c>
      <c r="H210" s="248" t="str">
        <f>_xlfn.XLOOKUP(FMS_Ranking4[[#This Row],[FMS ID]],FMS_Input[FMS_ID],FMS_Input[FMS_TYPE])</f>
        <v>Flood Measurement and Warning</v>
      </c>
      <c r="I210" s="249">
        <f>_xlfn.XLOOKUP(FMS_Ranking4[[#This Row],[FMS ID]],FMS_Input[FMS_ID],FMS_Input[NRNC_COST])</f>
        <v>17300</v>
      </c>
      <c r="J210" s="250">
        <f>_xlfn.XLOOKUP(FMS_Ranking4[[#This Row],[FMS ID]],FMS_Input[FMS_ID],FMS_Input[FMS_COST])</f>
        <v>346000</v>
      </c>
      <c r="K210" s="251" t="str">
        <f>_xlfn.XLOOKUP(FMS_Ranking4[[#This Row],[FMS ID]],FMS_Input[FMS_ID],FMS_Input[EMER_NEED])</f>
        <v>No</v>
      </c>
      <c r="L210" s="252">
        <f t="shared" si="3"/>
        <v>0</v>
      </c>
      <c r="M210" s="253">
        <f>_xlfn.XLOOKUP(FMS_Ranking4[[#This Row],[FMS ID]],FMS_Input[FMS_ID],FMS_Input[STRUCT_100])</f>
        <v>4287</v>
      </c>
      <c r="N210" s="255">
        <f>(ASINH(FMS_Ranking4[[#This Row],[Structure at Risk Raw]]))*(10)/(ASINH(M$4))</f>
        <v>7.1197493262640599</v>
      </c>
      <c r="O210" s="256">
        <f>FMS_Ranking4[[#This Row],[Structures at risk, ArcSinh (0-10)]]*M$5*10</f>
        <v>7.1197493262640599</v>
      </c>
      <c r="P210" s="253">
        <f>_xlfn.XLOOKUP(FMS_Ranking4[[#This Row],[FMS ID]],FMS_Input[FMS_ID],FMS_Input[RES_STRUCT100])</f>
        <v>3634</v>
      </c>
      <c r="Q210" s="257">
        <f>ASINH(FMS_Ranking4[[#This Row],[Res Structure Raw]])/Q$4*P$5*100</f>
        <v>0</v>
      </c>
      <c r="R210" s="253">
        <f>_xlfn.XLOOKUP(FMS_Ranking4[[#This Row],[FMS ID]],FMS_Input[FMS_ID],FMS_Input[POP100])</f>
        <v>10156</v>
      </c>
      <c r="S210" s="259">
        <f>(ASINH(FMS_Ranking4[[#This Row],[Pop at Risk Raw]]))*(10)/(ASINH(R$4))</f>
        <v>6.8476404686914831</v>
      </c>
      <c r="T210" s="256">
        <f>FMS_Ranking4[[#This Row],[Population at risk, ArcSinh (0-10)]]*R$5*10</f>
        <v>6.847640468691484</v>
      </c>
      <c r="U210" s="253">
        <f>_xlfn.XLOOKUP(FMS_Ranking4[[#This Row],[FMS ID]],FMS_Input[FMS_ID],FMS_Input[CRITFAC100])</f>
        <v>2</v>
      </c>
      <c r="V210" s="259">
        <f>(ASINH(FMS_Ranking4[[#This Row],[Critical Facilities Raw]]))*(10)/(ASINH(U$4))</f>
        <v>1.7089239049208753</v>
      </c>
      <c r="W210" s="256">
        <f>FMS_Ranking4[[#This Row],[Critical facilities at risk, ArcSinh (0-10)]]*U$5*10</f>
        <v>1.7089239049208755</v>
      </c>
      <c r="X210" s="253">
        <f>_xlfn.XLOOKUP(FMS_Ranking4[[#This Row],[FMS ID]],FMS_Input[FMS_ID],FMS_Input[LWC])</f>
        <v>12</v>
      </c>
      <c r="Y210" s="259">
        <f>(ASINH(FMS_Ranking4[[#This Row],[LWC Raw]]))*(10)/(ASINH(X$4))</f>
        <v>4.3077754583370957</v>
      </c>
      <c r="Z210" s="256">
        <f>FMS_Ranking4[[#This Row],[LWC, ArcSInh (0-10)]]*X$5*10</f>
        <v>4.3077754583370957</v>
      </c>
      <c r="AA210" s="253">
        <f>_xlfn.XLOOKUP(FMS_Ranking4[[#This Row],[FMS ID]],FMS_Input[FMS_ID],FMS_Input[ROADCLS])</f>
        <v>12</v>
      </c>
      <c r="AB210" s="255">
        <f>(ASINH(FMS_Ranking4[[#This Row],[Road Closures Raw]]))*(10)/(ASINH(AA$4))</f>
        <v>3.3114546827476929</v>
      </c>
      <c r="AC210" s="256">
        <f>FMS_Ranking4[[#This Row],[Road closures, ArcSinh (0-10)]]*AA$5*10</f>
        <v>1.6557273413738467</v>
      </c>
      <c r="AD210" s="253">
        <f>_xlfn.XLOOKUP(FMS_Ranking4[[#This Row],[FMS ID]],FMS_Input[FMS_ID],FMS_Input[ROAD_MILES100])</f>
        <v>38</v>
      </c>
      <c r="AE210" s="259">
        <f>(ASINH(FMS_Ranking4[[#This Row],[Road Miles Raw]]))*(10)/(ASINH(AD$4))</f>
        <v>4.6155547122703053</v>
      </c>
      <c r="AF210" s="256">
        <f>FMS_Ranking4[[#This Row],[Length of roads at risk, ArcSinh (0-10)]]*AD$5*10</f>
        <v>4.6155547122703053</v>
      </c>
      <c r="AG210" s="253">
        <f>_xlfn.XLOOKUP(FMS_Ranking4[[#This Row],[FMS ID]],FMS_Input[FMS_ID],FMS_Input[FARMACRE100])</f>
        <v>205.46479797363281</v>
      </c>
      <c r="AH210" s="255">
        <f>(ASINH(FMS_Ranking4[[#This Row],[Ag Land Raw]]))*(10)/(ASINH(AG$4))</f>
        <v>3.9094591877965001</v>
      </c>
      <c r="AI210" s="260">
        <f>FMS_Ranking4[[#This Row],[Farm &amp; ranch land, ArcSinh (0-10)]]*AG$5*10</f>
        <v>1.9547295938982501</v>
      </c>
      <c r="AJ210" s="258">
        <f>_xlfn.XLOOKUP(FMS_Ranking4[[#This Row],[FMS ID]],FMS_Input[FMS_ID],FMS_Input[REDSTRUCT100])</f>
        <v>0</v>
      </c>
      <c r="AK210" s="253">
        <f>_xlfn.XLOOKUP(FMS_Ranking4[[#This Row],[FMS ID]],FMS_Input[FMS_ID],FMS_Input[REMSTRC100])</f>
        <v>0</v>
      </c>
      <c r="AL210" s="259">
        <f>(ASINH(FMS_Ranking4[[#This Row],[Structures Removed Raw]]))*(10)/(ASINH(AK$4))</f>
        <v>0</v>
      </c>
      <c r="AM210" s="262">
        <f>FMS_Ranking4[[#This Row],[Structures removed, ArcSinh (0-10)]]*AK$5*10</f>
        <v>0</v>
      </c>
      <c r="AN210" s="253">
        <f>_xlfn.XLOOKUP(FMS_Ranking4[[#This Row],[FMS ID]],FMS_Input[FMS_ID],FMS_Input[REMRESSTRC100])</f>
        <v>0</v>
      </c>
      <c r="AO210" s="261">
        <f>FMS_Ranking4[[#This Row],[ArcSinh Res struct removed 0-10]]*AN$5*10</f>
        <v>0</v>
      </c>
      <c r="AP210" s="260">
        <f>ASINH(FMS_Ranking4[[#This Row],[Residential Structures Removed Raw]])/AP$4*AN$5*100</f>
        <v>0</v>
      </c>
      <c r="AQ210" s="254">
        <f>(ASINH(FMS_Ranking4[[#This Row],[Residential Structures Removed Raw]]))*(10)/(ASINH(AN$4))</f>
        <v>0</v>
      </c>
      <c r="AR210" s="253">
        <f>_xlfn.XLOOKUP(FMS_Ranking4[[#This Row],[FMS ID]],FMS_Input[FMS_ID],FMS_Input[REMPOP100])</f>
        <v>0</v>
      </c>
      <c r="AS210" s="259">
        <f>(ASINH(FMS_Ranking4[[#This Row],[Removed Pop Raw]]))*(10)/(ASINH(AR$4))</f>
        <v>0</v>
      </c>
      <c r="AT210" s="262">
        <f>FMS_Ranking4[[#This Row],[Removed population, ArcSinh (0-10)]]*AR$5*10</f>
        <v>0</v>
      </c>
      <c r="AU210" s="264">
        <f>_xlfn.XLOOKUP(FMS_Ranking4[[#This Row],[FMS ID]],FMS_Input[FMS_ID],FMS_Input[REMCRITFAC100])</f>
        <v>0</v>
      </c>
      <c r="AV210" s="264">
        <f>_xlfn.XLOOKUP(FMS_Ranking4[[#This Row],[FMS ID]],FMS_Input[FMS_ID],FMS_Input[REMLWC100])</f>
        <v>0</v>
      </c>
      <c r="AW210" s="264">
        <f>_xlfn.XLOOKUP(FMS_Ranking4[[#This Row],[FMS ID]],FMS_Input[FMS_ID],FMS_Input[REMROADCLS])</f>
        <v>0</v>
      </c>
      <c r="AX210" s="264">
        <f>_xlfn.XLOOKUP(FMS_Ranking4[[#This Row],[FMS ID]],FMS_Input[FMS_ID],FMS_Input[REMFRMACRE100])</f>
        <v>0</v>
      </c>
      <c r="AY210" s="258">
        <f>_xlfn.XLOOKUP(FMS_Ranking4[[#This Row],[FMS ID]],FMS_Input[FMS_ID],FMS_Input[COSTSTRUCT])</f>
        <v>0</v>
      </c>
      <c r="AZ210" s="253">
        <f>_xlfn.XLOOKUP(FMS_Ranking4[[#This Row],[FMS ID]],FMS_Input[FMS_ID],FMS_Input[NATURE])</f>
        <v>0</v>
      </c>
      <c r="BA210" s="262">
        <f>(((FMS_Ranking4[[#This Row],[% NBS Raw]]/AZ$4)*100)*AZ$5)</f>
        <v>0</v>
      </c>
      <c r="BB210" s="251" t="str">
        <f>_xlfn.XLOOKUP(FMS_Ranking4[[#This Row],[FMS ID]],FMS_Input[FMS_ID],FMS_Input[WATER_SUP])</f>
        <v>No</v>
      </c>
      <c r="BC210" s="265">
        <f>IF(FMS_Ranking4[[#This Row],[Water Supply Raw]]="Yes",10,0)</f>
        <v>0</v>
      </c>
      <c r="BD210" s="266">
        <f>_xlfn.XLOOKUP(FMS_Ranking4[[#This Row],[FMS Type]],FMS_TYPE[FMS_Type],FMS_TYPE[Score])</f>
        <v>10</v>
      </c>
      <c r="BE210" s="352">
        <f>FMS_Ranking4[[#This Row],[FMS_Type Score]]*$BD$5*10</f>
        <v>2.5</v>
      </c>
      <c r="BF21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0.59080744289828546</v>
      </c>
      <c r="BG210" s="271">
        <f>_xlfn.RANK.EQ(BF210,$BF$8:$BF$870,0)+COUNTIF($BF$8:BF210,BF210)-1</f>
        <v>196</v>
      </c>
      <c r="BH210" s="268">
        <f>(((FMS_Ranking4[[#This Row],[Structures Removed Raw]]/AK$4)*100)*AK$5)+(((FMS_Ranking4[[#This Row],[Removed Pop Raw]]/AR$4)*100)*AR$5)</f>
        <v>0</v>
      </c>
      <c r="BI21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3.0908074428982855</v>
      </c>
      <c r="BJ210" s="205">
        <f>_xlfn.RANK.EQ(FMS_Ranking4[[#This Row],[Total Score 
(with linear
normalization)]],FMS_Ranking4[Total Score 
(with linear
normalization)],0)</f>
        <v>164</v>
      </c>
      <c r="BK210" s="205" t="e">
        <f>_xlfn.XLOOKUP(FMS_Ranking4[[#This Row],[FMS ID]],#REF!,#REF!)</f>
        <v>#REF!</v>
      </c>
      <c r="BL21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28.210100805755918</v>
      </c>
      <c r="BM210" s="272">
        <f>FMS_Ranking4[[#This Row],[ArcSinh Score Based on Normalized Reported Factors]]+FMS_Ranking4[[#This Row],[% NBS Score (Normalized)]]+(FMS_Ranking4[[#This Row],[Water Supply Score (Normalized)]]*10*$BB$5)+FMS_Ranking4[[#This Row],[FMS_Type Score Weighted]]</f>
        <v>30.710100805755918</v>
      </c>
      <c r="BN210" s="205">
        <f>_xlfn.RANK.EQ(FMS_Ranking4[[#This Row],[Total Score (with ArcSinh normalization of select criteria)]],FMS_Ranking4[Total Score (with ArcSinh normalization of select criteria)],0)</f>
        <v>203</v>
      </c>
      <c r="BO210" s="270" t="str">
        <f>_xlfn.XLOOKUP(FMS_Ranking4[[#This Row],[FMS ID]],FMS_Input[FMS_ID],FMS_Input[FMS_RANK_YEAR])</f>
        <v>2025 Amended Plan</v>
      </c>
      <c r="BP210" s="204" t="e">
        <f>_xlfn.XLOOKUP(FMS_Ranking4[[#This Row],[FMS ID]],Prev_Rank[FMS ID],Prev_Rank[Prev Rank])</f>
        <v>#N/A</v>
      </c>
      <c r="BQ210" s="205" t="e">
        <f>_xlfn.XLOOKUP(FMS_Ranking4[[#This Row],[FMS ID]],#REF!,#REF!)</f>
        <v>#REF!</v>
      </c>
      <c r="BR210" s="199" t="e">
        <f>SUM(#REF!,#REF!,#REF!,#REF!,#REF!,#REF!,#REF!,#REF!,#REF!,FMS_Ranking4[[#This Row],[ArcSinh Res struct removed 0-10]],#REF!)</f>
        <v>#REF!</v>
      </c>
      <c r="BS210" s="199" t="e">
        <f>FMS_Ranking4[[#This Row],[Log Score Based on Normalized Reported Factors]]+FMS_Ranking4[[#This Row],[% NBS Score (Normalized)]]+(FMS_Ranking4[[#This Row],[Water Supply Score (Normalized)]]*10*$BB$5)+(FMS_Ranking4[[#This Row],[FMS_Type Score Weighted]])</f>
        <v>#REF!</v>
      </c>
      <c r="BT210" s="200" t="e">
        <f>_xlfn.RANK.EQ(FMS_Ranking4[[#This Row],[Log Total Score]],FMS_Ranking4[Log Total Score],0)</f>
        <v>#REF!</v>
      </c>
      <c r="BU210" s="200" t="e">
        <f>_xlfn.XLOOKUP(FMS_Ranking4[[#This Row],[FMS ID]],#REF!,#REF!)</f>
        <v>#REF!</v>
      </c>
      <c r="BV210" s="200">
        <f>FMS_Ranking4[[#This Row],[Region Number]]</f>
        <v>6</v>
      </c>
      <c r="BW210" s="200">
        <f>FMS_Ranking4[[#This Row],[Rank (with ArcSinh normalization of select criteria)]]-FMS_Ranking4[[#This Row],[Rank
(with linear
normalization)]]</f>
        <v>39</v>
      </c>
      <c r="BX210" s="200" t="e">
        <f>FMS_Ranking4[[#This Row],[Log Rank]]-FMS_Ranking4[[#This Row],[Rank
(with linear
normalization)]]</f>
        <v>#REF!</v>
      </c>
      <c r="BY210" s="200">
        <f>IF(FMS_Ranking4[[#This Row],[FMS Type]]="Flood Measurement and Warning",FMS_Ranking4[[#This Row],[Rank (with ArcSinh normalization of select criteria)]],"")</f>
        <v>203</v>
      </c>
      <c r="BZ210" s="200" t="str">
        <f>IF(FMS_Ranking4[[#This Row],[FMS Type]]="Regulatory and Guidance",FMS_Ranking4[[#This Row],[Rank (with ArcSinh normalization of select criteria)]],"")</f>
        <v/>
      </c>
      <c r="CA210" s="200" t="str">
        <f>IF(FMS_Ranking4[[#This Row],[FMS Type]]="Education and Outreach",FMS_Ranking4[[#This Row],[Rank (with ArcSinh normalization of select criteria)]],"")</f>
        <v/>
      </c>
      <c r="CB210" s="200" t="str">
        <f>IF(FMS_Ranking4[[#This Row],[FMS Type]]="Property Acquisition and Structural Elevation",FMS_Ranking4[[#This Row],[Rank (with ArcSinh normalization of select criteria)]],"")</f>
        <v/>
      </c>
      <c r="CC210" s="200" t="str">
        <f>IF(FMS_Ranking4[[#This Row],[FMS Type]]="Infrastructure Projects",FMS_Ranking4[[#This Row],[Rank (with ArcSinh normalization of select criteria)]],"")</f>
        <v/>
      </c>
      <c r="CD210" s="200" t="str">
        <f>IF(FMS_Ranking4[[#This Row],[FMS Type]]="Other",FMS_Ranking4[[#This Row],[Rank (with ArcSinh normalization of select criteria)]],"")</f>
        <v/>
      </c>
      <c r="CE210" s="201"/>
      <c r="CF210" s="206"/>
      <c r="CG210" s="206"/>
      <c r="CH210" s="206"/>
      <c r="CI210" s="206"/>
      <c r="CJ210" s="206"/>
      <c r="CK210" s="206"/>
      <c r="CL210" s="206"/>
      <c r="CM210" s="206"/>
      <c r="CN210" s="206"/>
      <c r="CO210" s="206"/>
      <c r="CP210" s="206"/>
      <c r="CQ210" s="206"/>
      <c r="CR210" s="206"/>
    </row>
    <row r="211" spans="2:96" ht="45" x14ac:dyDescent="0.25">
      <c r="B211" s="341" t="s">
        <v>4068</v>
      </c>
      <c r="C211" s="246">
        <f>_xlfn.XLOOKUP(FMS_Ranking4[[#This Row],[FMS ID]],FMS_Input[FMS_ID],FMS_Input[RFPG_NUM])</f>
        <v>15</v>
      </c>
      <c r="D211" s="309" t="str">
        <f>_xlfn.XLOOKUP(FMS_Ranking4[[#This Row],[FMS ID]],FMS_Input[FMS_ID],FMS_Input[FMS_NAME])</f>
        <v>Starr County Hazard Mitigation Plan Action #19</v>
      </c>
      <c r="E211" s="308" t="str">
        <f>_xlfn.XLOOKUP(FMS_Ranking4[[#This Row],[FMS ID]],FMS_Input[FMS_ID],FMS_Input[SPONSOR])</f>
        <v>15000003</v>
      </c>
      <c r="F211" s="309" t="str">
        <f>_xlfn.XLOOKUP(FMS_Ranking4[[#This Row],[FMS ID]],Sponsor[FMS_ID],Sponsor[SPONSOR NAME])</f>
        <v>Starr</v>
      </c>
      <c r="G211" s="309" t="str">
        <f>_xlfn.XLOOKUP(FMS_Ranking4[[#This Row],[FMS ID]],FMS_Input[FMS_ID],FMS_Input[FMS_DESCR])</f>
        <v>Develop maintenance schedule for creeks within jurisdiction</v>
      </c>
      <c r="H211" s="248" t="str">
        <f>_xlfn.XLOOKUP(FMS_Ranking4[[#This Row],[FMS ID]],FMS_Input[FMS_ID],FMS_Input[FMS_TYPE])</f>
        <v>Regulatory and Guidance</v>
      </c>
      <c r="I211" s="249">
        <f>_xlfn.XLOOKUP(FMS_Ranking4[[#This Row],[FMS ID]],FMS_Input[FMS_ID],FMS_Input[NRNC_COST])</f>
        <v>50000</v>
      </c>
      <c r="J211" s="250">
        <f>_xlfn.XLOOKUP(FMS_Ranking4[[#This Row],[FMS ID]],FMS_Input[FMS_ID],FMS_Input[FMS_COST])</f>
        <v>50000</v>
      </c>
      <c r="K211" s="251" t="str">
        <f>_xlfn.XLOOKUP(FMS_Ranking4[[#This Row],[FMS ID]],FMS_Input[FMS_ID],FMS_Input[EMER_NEED])</f>
        <v>Yes</v>
      </c>
      <c r="L211" s="252">
        <f t="shared" si="3"/>
        <v>1</v>
      </c>
      <c r="M211" s="253">
        <f>_xlfn.XLOOKUP(FMS_Ranking4[[#This Row],[FMS ID]],FMS_Input[FMS_ID],FMS_Input[STRUCT_100])</f>
        <v>1233</v>
      </c>
      <c r="N211" s="255">
        <f>(ASINH(FMS_Ranking4[[#This Row],[Structure at Risk Raw]]))*(10)/(ASINH(M$4))</f>
        <v>6.1401002498298416</v>
      </c>
      <c r="O211" s="256">
        <f>FMS_Ranking4[[#This Row],[Structures at risk, ArcSinh (0-10)]]*M$5*10</f>
        <v>6.1401002498298416</v>
      </c>
      <c r="P211" s="253">
        <f>_xlfn.XLOOKUP(FMS_Ranking4[[#This Row],[FMS ID]],FMS_Input[FMS_ID],FMS_Input[RES_STRUCT100])</f>
        <v>802</v>
      </c>
      <c r="Q211" s="257">
        <f>ASINH(FMS_Ranking4[[#This Row],[Res Structure Raw]])/Q$4*P$5*100</f>
        <v>0</v>
      </c>
      <c r="R211" s="253">
        <f>_xlfn.XLOOKUP(FMS_Ranking4[[#This Row],[FMS ID]],FMS_Input[FMS_ID],FMS_Input[POP100])</f>
        <v>5035</v>
      </c>
      <c r="S211" s="255">
        <f>(ASINH(FMS_Ranking4[[#This Row],[Pop at Risk Raw]]))*(10)/(ASINH(R$4))</f>
        <v>6.3632498448135415</v>
      </c>
      <c r="T211" s="256">
        <f>FMS_Ranking4[[#This Row],[Population at risk, ArcSinh (0-10)]]*R$5*10</f>
        <v>6.3632498448135424</v>
      </c>
      <c r="U211" s="253">
        <f>_xlfn.XLOOKUP(FMS_Ranking4[[#This Row],[FMS ID]],FMS_Input[FMS_ID],FMS_Input[CRITFAC100])</f>
        <v>0</v>
      </c>
      <c r="V211" s="255">
        <f>(ASINH(FMS_Ranking4[[#This Row],[Critical Facilities Raw]]))*(10)/(ASINH(U$4))</f>
        <v>0</v>
      </c>
      <c r="W211" s="256">
        <f>FMS_Ranking4[[#This Row],[Critical facilities at risk, ArcSinh (0-10)]]*U$5*10</f>
        <v>0</v>
      </c>
      <c r="X211" s="253">
        <f>_xlfn.XLOOKUP(FMS_Ranking4[[#This Row],[FMS ID]],FMS_Input[FMS_ID],FMS_Input[LWC])</f>
        <v>371</v>
      </c>
      <c r="Y211" s="255">
        <f>(ASINH(FMS_Ranking4[[#This Row],[LWC Raw]]))*(10)/(ASINH(X$4))</f>
        <v>8.9539375682419262</v>
      </c>
      <c r="Z211" s="256">
        <f>FMS_Ranking4[[#This Row],[LWC, ArcSInh (0-10)]]*X$5*10</f>
        <v>8.9539375682419262</v>
      </c>
      <c r="AA211" s="253">
        <f>_xlfn.XLOOKUP(FMS_Ranking4[[#This Row],[FMS ID]],FMS_Input[FMS_ID],FMS_Input[ROADCLS])</f>
        <v>0</v>
      </c>
      <c r="AB211" s="255">
        <f>(ASINH(FMS_Ranking4[[#This Row],[Road Closures Raw]]))*(10)/(ASINH(AA$4))</f>
        <v>0</v>
      </c>
      <c r="AC211" s="256">
        <f>FMS_Ranking4[[#This Row],[Road closures, ArcSinh (0-10)]]*AA$5*10</f>
        <v>0</v>
      </c>
      <c r="AD211" s="253">
        <f>_xlfn.XLOOKUP(FMS_Ranking4[[#This Row],[FMS ID]],FMS_Input[FMS_ID],FMS_Input[ROAD_MILES100])</f>
        <v>33</v>
      </c>
      <c r="AE211" s="255">
        <f>(ASINH(FMS_Ranking4[[#This Row],[Road Miles Raw]]))*(10)/(ASINH(AD$4))</f>
        <v>4.4652638519725869</v>
      </c>
      <c r="AF211" s="256">
        <f>FMS_Ranking4[[#This Row],[Length of roads at risk, ArcSinh (0-10)]]*AD$5*10</f>
        <v>4.4652638519725869</v>
      </c>
      <c r="AG211" s="253">
        <f>_xlfn.XLOOKUP(FMS_Ranking4[[#This Row],[FMS ID]],FMS_Input[FMS_ID],FMS_Input[FARMACRE100])</f>
        <v>2352.04443359375</v>
      </c>
      <c r="AH211" s="255">
        <f>(ASINH(FMS_Ranking4[[#This Row],[Ag Land Raw]]))*(10)/(ASINH(AG$4))</f>
        <v>5.4929826532637938</v>
      </c>
      <c r="AI211" s="260">
        <f>FMS_Ranking4[[#This Row],[Farm &amp; ranch land, ArcSinh (0-10)]]*AG$5*10</f>
        <v>2.7464913266318969</v>
      </c>
      <c r="AJ211" s="258">
        <f>_xlfn.XLOOKUP(FMS_Ranking4[[#This Row],[FMS ID]],FMS_Input[FMS_ID],FMS_Input[REDSTRUCT100])</f>
        <v>0</v>
      </c>
      <c r="AK211" s="253">
        <f>_xlfn.XLOOKUP(FMS_Ranking4[[#This Row],[FMS ID]],FMS_Input[FMS_ID],FMS_Input[REMSTRC100])</f>
        <v>0</v>
      </c>
      <c r="AL211" s="255">
        <f>(ASINH(FMS_Ranking4[[#This Row],[Structures Removed Raw]]))*(10)/(ASINH(AK$4))</f>
        <v>0</v>
      </c>
      <c r="AM211" s="262">
        <f>FMS_Ranking4[[#This Row],[Structures removed, ArcSinh (0-10)]]*AK$5*10</f>
        <v>0</v>
      </c>
      <c r="AN211" s="253">
        <f>_xlfn.XLOOKUP(FMS_Ranking4[[#This Row],[FMS ID]],FMS_Input[FMS_ID],FMS_Input[REMRESSTRC100])</f>
        <v>0</v>
      </c>
      <c r="AO211" s="261">
        <f>FMS_Ranking4[[#This Row],[ArcSinh Res struct removed 0-10]]*AN$5*10</f>
        <v>0</v>
      </c>
      <c r="AP211" s="260">
        <f>ASINH(FMS_Ranking4[[#This Row],[Residential Structures Removed Raw]])/AP$4*AN$5*100</f>
        <v>0</v>
      </c>
      <c r="AQ211" s="258">
        <f>(ASINH(FMS_Ranking4[[#This Row],[Residential Structures Removed Raw]]))*(10)/(ASINH(AN$4))</f>
        <v>0</v>
      </c>
      <c r="AR211" s="253">
        <f>_xlfn.XLOOKUP(FMS_Ranking4[[#This Row],[FMS ID]],FMS_Input[FMS_ID],FMS_Input[REMPOP100])</f>
        <v>0</v>
      </c>
      <c r="AS211" s="255">
        <f>(ASINH(FMS_Ranking4[[#This Row],[Removed Pop Raw]]))*(10)/(ASINH(AR$4))</f>
        <v>0</v>
      </c>
      <c r="AT211" s="262">
        <f>FMS_Ranking4[[#This Row],[Removed population, ArcSinh (0-10)]]*AR$5*10</f>
        <v>0</v>
      </c>
      <c r="AU211" s="264">
        <f>_xlfn.XLOOKUP(FMS_Ranking4[[#This Row],[FMS ID]],FMS_Input[FMS_ID],FMS_Input[REMCRITFAC100])</f>
        <v>0</v>
      </c>
      <c r="AV211" s="264">
        <f>_xlfn.XLOOKUP(FMS_Ranking4[[#This Row],[FMS ID]],FMS_Input[FMS_ID],FMS_Input[REMLWC100])</f>
        <v>0</v>
      </c>
      <c r="AW211" s="264">
        <f>_xlfn.XLOOKUP(FMS_Ranking4[[#This Row],[FMS ID]],FMS_Input[FMS_ID],FMS_Input[REMROADCLS])</f>
        <v>0</v>
      </c>
      <c r="AX211" s="264">
        <f>_xlfn.XLOOKUP(FMS_Ranking4[[#This Row],[FMS ID]],FMS_Input[FMS_ID],FMS_Input[REMFRMACRE100])</f>
        <v>0</v>
      </c>
      <c r="AY211" s="258">
        <f>_xlfn.XLOOKUP(FMS_Ranking4[[#This Row],[FMS ID]],FMS_Input[FMS_ID],FMS_Input[COSTSTRUCT])</f>
        <v>0</v>
      </c>
      <c r="AZ211" s="253">
        <f>_xlfn.XLOOKUP(FMS_Ranking4[[#This Row],[FMS ID]],FMS_Input[FMS_ID],FMS_Input[NATURE])</f>
        <v>0</v>
      </c>
      <c r="BA211" s="262">
        <f>(((FMS_Ranking4[[#This Row],[% NBS Raw]]/AZ$4)*100)*AZ$5)</f>
        <v>0</v>
      </c>
      <c r="BB211" s="251" t="str">
        <f>_xlfn.XLOOKUP(FMS_Ranking4[[#This Row],[FMS ID]],FMS_Input[FMS_ID],FMS_Input[WATER_SUP])</f>
        <v>No</v>
      </c>
      <c r="BC211" s="265">
        <f>IF(FMS_Ranking4[[#This Row],[Water Supply Raw]]="Yes",10,0)</f>
        <v>0</v>
      </c>
      <c r="BD211" s="266">
        <f>_xlfn.XLOOKUP(FMS_Ranking4[[#This Row],[FMS Type]],FMS_TYPE[FMS_Type],FMS_TYPE[Score])</f>
        <v>8</v>
      </c>
      <c r="BE211" s="267">
        <f>FMS_Ranking4[[#This Row],[FMS_Type Score]]*$BD$5*10</f>
        <v>2</v>
      </c>
      <c r="BF21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4.8058186715558922</v>
      </c>
      <c r="BG211" s="321">
        <f>_xlfn.RANK.EQ(BF211,$BF$8:$BF$870,0)+COUNTIF($BF$8:BF211,BF211)-1</f>
        <v>65</v>
      </c>
      <c r="BH211" s="294">
        <f>(((FMS_Ranking4[[#This Row],[Structures Removed Raw]]/AK$4)*100)*AK$5)+(((FMS_Ranking4[[#This Row],[Removed Pop Raw]]/AR$4)*100)*AR$5)</f>
        <v>0</v>
      </c>
      <c r="BI21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6.8058186715558922</v>
      </c>
      <c r="BJ211" s="251">
        <f>_xlfn.RANK.EQ(FMS_Ranking4[[#This Row],[Total Score 
(with linear
normalization)]],FMS_Ranking4[Total Score 
(with linear
normalization)],0)</f>
        <v>96</v>
      </c>
      <c r="BK211" s="251" t="e">
        <f>_xlfn.XLOOKUP(FMS_Ranking4[[#This Row],[FMS ID]],#REF!,#REF!)</f>
        <v>#REF!</v>
      </c>
      <c r="BL21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28.669042841489794</v>
      </c>
      <c r="BM211" s="324">
        <f>FMS_Ranking4[[#This Row],[ArcSinh Score Based on Normalized Reported Factors]]+FMS_Ranking4[[#This Row],[% NBS Score (Normalized)]]+(FMS_Ranking4[[#This Row],[Water Supply Score (Normalized)]]*10*$BB$5)+FMS_Ranking4[[#This Row],[FMS_Type Score Weighted]]</f>
        <v>30.669042841489794</v>
      </c>
      <c r="BN211" s="251">
        <f>_xlfn.RANK.EQ(FMS_Ranking4[[#This Row],[Total Score (with ArcSinh normalization of select criteria)]],FMS_Ranking4[Total Score (with ArcSinh normalization of select criteria)],0)</f>
        <v>204</v>
      </c>
      <c r="BO211" s="270" t="str">
        <f>_xlfn.XLOOKUP(FMS_Ranking4[[#This Row],[FMS ID]],FMS_Input[FMS_ID],FMS_Input[FMS_RANK_YEAR])</f>
        <v>2023 Amended Plan</v>
      </c>
      <c r="BP211" s="204">
        <f>_xlfn.XLOOKUP(FMS_Ranking4[[#This Row],[FMS ID]],Prev_Rank[FMS ID],Prev_Rank[Prev Rank])</f>
        <v>176</v>
      </c>
      <c r="BQ211" s="251" t="e">
        <f>_xlfn.XLOOKUP(FMS_Ranking4[[#This Row],[FMS ID]],#REF!,#REF!)</f>
        <v>#REF!</v>
      </c>
      <c r="BR211" s="199" t="e">
        <f>SUM(#REF!,#REF!,#REF!,#REF!,#REF!,#REF!,#REF!,#REF!,#REF!,FMS_Ranking4[[#This Row],[ArcSinh Res struct removed 0-10]],#REF!)</f>
        <v>#REF!</v>
      </c>
      <c r="BS211" s="199" t="e">
        <f>FMS_Ranking4[[#This Row],[Log Score Based on Normalized Reported Factors]]+FMS_Ranking4[[#This Row],[% NBS Score (Normalized)]]+(FMS_Ranking4[[#This Row],[Water Supply Score (Normalized)]]*10*$BB$5)+(FMS_Ranking4[[#This Row],[FMS_Type Score Weighted]])</f>
        <v>#REF!</v>
      </c>
      <c r="BT211" s="200" t="e">
        <f>_xlfn.RANK.EQ(FMS_Ranking4[[#This Row],[Log Total Score]],FMS_Ranking4[Log Total Score],0)</f>
        <v>#REF!</v>
      </c>
      <c r="BU211" s="200" t="e">
        <f>_xlfn.XLOOKUP(FMS_Ranking4[[#This Row],[FMS ID]],#REF!,#REF!)</f>
        <v>#REF!</v>
      </c>
      <c r="BV211" s="200">
        <f>FMS_Ranking4[[#This Row],[Region Number]]</f>
        <v>15</v>
      </c>
      <c r="BW211" s="200">
        <f>FMS_Ranking4[[#This Row],[Rank (with ArcSinh normalization of select criteria)]]-FMS_Ranking4[[#This Row],[Rank
(with linear
normalization)]]</f>
        <v>108</v>
      </c>
      <c r="BX211" s="200" t="e">
        <f>FMS_Ranking4[[#This Row],[Log Rank]]-FMS_Ranking4[[#This Row],[Rank
(with linear
normalization)]]</f>
        <v>#REF!</v>
      </c>
      <c r="BY211" s="200" t="str">
        <f>IF(FMS_Ranking4[[#This Row],[FMS Type]]="Flood Measurement and Warning",FMS_Ranking4[[#This Row],[Rank (with ArcSinh normalization of select criteria)]],"")</f>
        <v/>
      </c>
      <c r="BZ211" s="200">
        <f>IF(FMS_Ranking4[[#This Row],[FMS Type]]="Regulatory and Guidance",FMS_Ranking4[[#This Row],[Rank (with ArcSinh normalization of select criteria)]],"")</f>
        <v>204</v>
      </c>
      <c r="CA211" s="200" t="str">
        <f>IF(FMS_Ranking4[[#This Row],[FMS Type]]="Education and Outreach",FMS_Ranking4[[#This Row],[Rank (with ArcSinh normalization of select criteria)]],"")</f>
        <v/>
      </c>
      <c r="CB211" s="200" t="str">
        <f>IF(FMS_Ranking4[[#This Row],[FMS Type]]="Property Acquisition and Structural Elevation",FMS_Ranking4[[#This Row],[Rank (with ArcSinh normalization of select criteria)]],"")</f>
        <v/>
      </c>
      <c r="CC211" s="200" t="str">
        <f>IF(FMS_Ranking4[[#This Row],[FMS Type]]="Infrastructure Projects",FMS_Ranking4[[#This Row],[Rank (with ArcSinh normalization of select criteria)]],"")</f>
        <v/>
      </c>
      <c r="CD211" s="200" t="str">
        <f>IF(FMS_Ranking4[[#This Row],[FMS Type]]="Other",FMS_Ranking4[[#This Row],[Rank (with ArcSinh normalization of select criteria)]],"")</f>
        <v/>
      </c>
      <c r="CE211" s="201"/>
      <c r="CF211" s="206"/>
      <c r="CG211" s="206"/>
      <c r="CH211" s="206"/>
      <c r="CI211" s="206"/>
      <c r="CJ211" s="206"/>
      <c r="CK211" s="206"/>
      <c r="CL211" s="206"/>
      <c r="CM211" s="206"/>
      <c r="CN211" s="206"/>
      <c r="CO211" s="206"/>
      <c r="CP211" s="206"/>
      <c r="CQ211" s="206"/>
      <c r="CR211" s="206"/>
    </row>
    <row r="212" spans="2:96" ht="45" x14ac:dyDescent="0.25">
      <c r="B212" s="341" t="s">
        <v>2028</v>
      </c>
      <c r="C212" s="246">
        <f>_xlfn.XLOOKUP(FMS_Ranking4[[#This Row],[FMS ID]],FMS_Input[FMS_ID],FMS_Input[RFPG_NUM])</f>
        <v>3</v>
      </c>
      <c r="D212" s="309" t="str">
        <f>_xlfn.XLOOKUP(FMS_Ranking4[[#This Row],[FMS ID]],FMS_Input[FMS_ID],FMS_Input[FMS_NAME])</f>
        <v>Parker County Nature-Based Practices for Flood Control</v>
      </c>
      <c r="E212" s="308" t="str">
        <f>_xlfn.XLOOKUP(FMS_Ranking4[[#This Row],[FMS ID]],FMS_Input[FMS_ID],FMS_Input[SPONSOR])</f>
        <v>Parker County, Hudson Oaks</v>
      </c>
      <c r="F212" s="309" t="str">
        <f>_xlfn.XLOOKUP(FMS_Ranking4[[#This Row],[FMS ID]],Sponsor[FMS_ID],Sponsor[SPONSOR NAME])</f>
        <v>Parker County, Hudson Oaks</v>
      </c>
      <c r="G212" s="309" t="str">
        <f>_xlfn.XLOOKUP(FMS_Ranking4[[#This Row],[FMS ID]],FMS_Input[FMS_ID],FMS_Input[FMS_DESCR])</f>
        <v>Implement the use of green infrastructure</v>
      </c>
      <c r="H212" s="248" t="str">
        <f>_xlfn.XLOOKUP(FMS_Ranking4[[#This Row],[FMS ID]],FMS_Input[FMS_ID],FMS_Input[FMS_TYPE])</f>
        <v>Other</v>
      </c>
      <c r="I212" s="249">
        <f>_xlfn.XLOOKUP(FMS_Ranking4[[#This Row],[FMS ID]],FMS_Input[FMS_ID],FMS_Input[NRNC_COST])</f>
        <v>175000</v>
      </c>
      <c r="J212" s="250">
        <f>_xlfn.XLOOKUP(FMS_Ranking4[[#This Row],[FMS ID]],FMS_Input[FMS_ID],FMS_Input[FMS_COST])</f>
        <v>500000</v>
      </c>
      <c r="K212" s="251" t="str">
        <f>_xlfn.XLOOKUP(FMS_Ranking4[[#This Row],[FMS ID]],FMS_Input[FMS_ID],FMS_Input[EMER_NEED])</f>
        <v>No</v>
      </c>
      <c r="L212" s="252">
        <f t="shared" si="3"/>
        <v>0</v>
      </c>
      <c r="M212" s="253">
        <f>_xlfn.XLOOKUP(FMS_Ranking4[[#This Row],[FMS ID]],FMS_Input[FMS_ID],FMS_Input[STRUCT_100])</f>
        <v>1953</v>
      </c>
      <c r="N212" s="255">
        <f>(ASINH(FMS_Ranking4[[#This Row],[Structure at Risk Raw]]))*(10)/(ASINH(M$4))</f>
        <v>6.501662962853314</v>
      </c>
      <c r="O212" s="256">
        <f>FMS_Ranking4[[#This Row],[Structures at risk, ArcSinh (0-10)]]*M$5*10</f>
        <v>6.501662962853314</v>
      </c>
      <c r="P212" s="253">
        <f>_xlfn.XLOOKUP(FMS_Ranking4[[#This Row],[FMS ID]],FMS_Input[FMS_ID],FMS_Input[RES_STRUCT100])</f>
        <v>1485</v>
      </c>
      <c r="Q212" s="257">
        <f>ASINH(FMS_Ranking4[[#This Row],[Res Structure Raw]])/Q$4*P$5*100</f>
        <v>0</v>
      </c>
      <c r="R212" s="253">
        <f>_xlfn.XLOOKUP(FMS_Ranking4[[#This Row],[FMS ID]],FMS_Input[FMS_ID],FMS_Input[POP100])</f>
        <v>4344</v>
      </c>
      <c r="S212" s="259">
        <f>(ASINH(FMS_Ranking4[[#This Row],[Pop at Risk Raw]]))*(10)/(ASINH(R$4))</f>
        <v>6.2613405867154981</v>
      </c>
      <c r="T212" s="256">
        <f>FMS_Ranking4[[#This Row],[Population at risk, ArcSinh (0-10)]]*R$5*10</f>
        <v>6.2613405867154981</v>
      </c>
      <c r="U212" s="253">
        <f>_xlfn.XLOOKUP(FMS_Ranking4[[#This Row],[FMS ID]],FMS_Input[FMS_ID],FMS_Input[CRITFAC100])</f>
        <v>0</v>
      </c>
      <c r="V212" s="259">
        <f>(ASINH(FMS_Ranking4[[#This Row],[Critical Facilities Raw]]))*(10)/(ASINH(U$4))</f>
        <v>0</v>
      </c>
      <c r="W212" s="256">
        <f>FMS_Ranking4[[#This Row],[Critical facilities at risk, ArcSinh (0-10)]]*U$5*10</f>
        <v>0</v>
      </c>
      <c r="X212" s="253">
        <f>_xlfn.XLOOKUP(FMS_Ranking4[[#This Row],[FMS ID]],FMS_Input[FMS_ID],FMS_Input[LWC])</f>
        <v>1</v>
      </c>
      <c r="Y212" s="259">
        <f>(ASINH(FMS_Ranking4[[#This Row],[LWC Raw]]))*(10)/(ASINH(X$4))</f>
        <v>1.1940300948531093</v>
      </c>
      <c r="Z212" s="256">
        <f>FMS_Ranking4[[#This Row],[LWC, ArcSInh (0-10)]]*X$5*10</f>
        <v>1.1940300948531093</v>
      </c>
      <c r="AA212" s="253">
        <f>_xlfn.XLOOKUP(FMS_Ranking4[[#This Row],[FMS ID]],FMS_Input[FMS_ID],FMS_Input[ROADCLS])</f>
        <v>0</v>
      </c>
      <c r="AB212" s="255">
        <f>(ASINH(FMS_Ranking4[[#This Row],[Road Closures Raw]]))*(10)/(ASINH(AA$4))</f>
        <v>0</v>
      </c>
      <c r="AC212" s="256">
        <f>FMS_Ranking4[[#This Row],[Road closures, ArcSinh (0-10)]]*AA$5*10</f>
        <v>0</v>
      </c>
      <c r="AD212" s="253">
        <f>_xlfn.XLOOKUP(FMS_Ranking4[[#This Row],[FMS ID]],FMS_Input[FMS_ID],FMS_Input[ROAD_MILES100])</f>
        <v>61</v>
      </c>
      <c r="AE212" s="259">
        <f>(ASINH(FMS_Ranking4[[#This Row],[Road Miles Raw]]))*(10)/(ASINH(AD$4))</f>
        <v>5.1198363258653155</v>
      </c>
      <c r="AF212" s="256">
        <f>FMS_Ranking4[[#This Row],[Length of roads at risk, ArcSinh (0-10)]]*AD$5*10</f>
        <v>5.1198363258653155</v>
      </c>
      <c r="AG212" s="253">
        <f>_xlfn.XLOOKUP(FMS_Ranking4[[#This Row],[FMS ID]],FMS_Input[FMS_ID],FMS_Input[FARMACRE100])</f>
        <v>25501.05078125</v>
      </c>
      <c r="AH212" s="255">
        <f>(ASINH(FMS_Ranking4[[#This Row],[Ag Land Raw]]))*(10)/(ASINH(AG$4))</f>
        <v>7.0412176624618219</v>
      </c>
      <c r="AI212" s="260">
        <f>FMS_Ranking4[[#This Row],[Farm &amp; ranch land, ArcSinh (0-10)]]*AG$5*10</f>
        <v>3.5206088312309114</v>
      </c>
      <c r="AJ212" s="258">
        <f>_xlfn.XLOOKUP(FMS_Ranking4[[#This Row],[FMS ID]],FMS_Input[FMS_ID],FMS_Input[REDSTRUCT100])</f>
        <v>0</v>
      </c>
      <c r="AK212" s="253">
        <f>_xlfn.XLOOKUP(FMS_Ranking4[[#This Row],[FMS ID]],FMS_Input[FMS_ID],FMS_Input[REMSTRC100])</f>
        <v>0</v>
      </c>
      <c r="AL212" s="259">
        <f>(ASINH(FMS_Ranking4[[#This Row],[Structures Removed Raw]]))*(10)/(ASINH(AK$4))</f>
        <v>0</v>
      </c>
      <c r="AM212" s="262">
        <f>FMS_Ranking4[[#This Row],[Structures removed, ArcSinh (0-10)]]*AK$5*10</f>
        <v>0</v>
      </c>
      <c r="AN212" s="253">
        <f>_xlfn.XLOOKUP(FMS_Ranking4[[#This Row],[FMS ID]],FMS_Input[FMS_ID],FMS_Input[REMRESSTRC100])</f>
        <v>0</v>
      </c>
      <c r="AO212" s="261">
        <f>FMS_Ranking4[[#This Row],[ArcSinh Res struct removed 0-10]]*AN$5*10</f>
        <v>0</v>
      </c>
      <c r="AP212" s="260">
        <f>ASINH(FMS_Ranking4[[#This Row],[Residential Structures Removed Raw]])/AP$4*AN$5*100</f>
        <v>0</v>
      </c>
      <c r="AQ212" s="254">
        <f>(ASINH(FMS_Ranking4[[#This Row],[Residential Structures Removed Raw]]))*(10)/(ASINH(AN$4))</f>
        <v>0</v>
      </c>
      <c r="AR212" s="253">
        <f>_xlfn.XLOOKUP(FMS_Ranking4[[#This Row],[FMS ID]],FMS_Input[FMS_ID],FMS_Input[REMPOP100])</f>
        <v>0</v>
      </c>
      <c r="AS212" s="259">
        <f>(ASINH(FMS_Ranking4[[#This Row],[Removed Pop Raw]]))*(10)/(ASINH(AR$4))</f>
        <v>0</v>
      </c>
      <c r="AT212" s="262">
        <f>FMS_Ranking4[[#This Row],[Removed population, ArcSinh (0-10)]]*AR$5*10</f>
        <v>0</v>
      </c>
      <c r="AU212" s="264">
        <f>_xlfn.XLOOKUP(FMS_Ranking4[[#This Row],[FMS ID]],FMS_Input[FMS_ID],FMS_Input[REMCRITFAC100])</f>
        <v>0</v>
      </c>
      <c r="AV212" s="264">
        <f>_xlfn.XLOOKUP(FMS_Ranking4[[#This Row],[FMS ID]],FMS_Input[FMS_ID],FMS_Input[REMLWC100])</f>
        <v>0</v>
      </c>
      <c r="AW212" s="264">
        <f>_xlfn.XLOOKUP(FMS_Ranking4[[#This Row],[FMS ID]],FMS_Input[FMS_ID],FMS_Input[REMROADCLS])</f>
        <v>0</v>
      </c>
      <c r="AX212" s="264">
        <f>_xlfn.XLOOKUP(FMS_Ranking4[[#This Row],[FMS ID]],FMS_Input[FMS_ID],FMS_Input[REMFRMACRE100])</f>
        <v>0</v>
      </c>
      <c r="AY212" s="258">
        <f>_xlfn.XLOOKUP(FMS_Ranking4[[#This Row],[FMS ID]],FMS_Input[FMS_ID],FMS_Input[COSTSTRUCT])</f>
        <v>0</v>
      </c>
      <c r="AZ212" s="253">
        <f>_xlfn.XLOOKUP(FMS_Ranking4[[#This Row],[FMS ID]],FMS_Input[FMS_ID],FMS_Input[NATURE])</f>
        <v>100</v>
      </c>
      <c r="BA212" s="262">
        <f>(((FMS_Ranking4[[#This Row],[% NBS Raw]]/AZ$4)*100)*AZ$5)</f>
        <v>7.5</v>
      </c>
      <c r="BB212" s="251" t="str">
        <f>_xlfn.XLOOKUP(FMS_Ranking4[[#This Row],[FMS ID]],FMS_Input[FMS_ID],FMS_Input[WATER_SUP])</f>
        <v>No</v>
      </c>
      <c r="BC212" s="265">
        <f>IF(FMS_Ranking4[[#This Row],[Water Supply Raw]]="Yes",10,0)</f>
        <v>0</v>
      </c>
      <c r="BD212" s="266">
        <f>_xlfn.XLOOKUP(FMS_Ranking4[[#This Row],[FMS Type]],FMS_TYPE[FMS_Type],FMS_TYPE[Score])</f>
        <v>2</v>
      </c>
      <c r="BE212" s="267">
        <f>FMS_Ranking4[[#This Row],[FMS_Type Score]]*$BD$5*10</f>
        <v>0.5</v>
      </c>
      <c r="BF21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0.32891426964179993</v>
      </c>
      <c r="BG212" s="271">
        <f>_xlfn.RANK.EQ(BF212,$BF$8:$BF$870,0)+COUNTIF($BF$8:BF212,BF212)-1</f>
        <v>290</v>
      </c>
      <c r="BH212" s="268">
        <f>(((FMS_Ranking4[[#This Row],[Structures Removed Raw]]/AK$4)*100)*AK$5)+(((FMS_Ranking4[[#This Row],[Removed Pop Raw]]/AR$4)*100)*AR$5)</f>
        <v>0</v>
      </c>
      <c r="BI21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8.3289142696417997</v>
      </c>
      <c r="BJ212" s="205">
        <f>_xlfn.RANK.EQ(FMS_Ranking4[[#This Row],[Total Score 
(with linear
normalization)]],FMS_Ranking4[Total Score 
(with linear
normalization)],0)</f>
        <v>85</v>
      </c>
      <c r="BK212" s="205" t="e">
        <f>_xlfn.XLOOKUP(FMS_Ranking4[[#This Row],[FMS ID]],#REF!,#REF!)</f>
        <v>#REF!</v>
      </c>
      <c r="BL21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22.59747880151815</v>
      </c>
      <c r="BM212" s="272">
        <f>FMS_Ranking4[[#This Row],[ArcSinh Score Based on Normalized Reported Factors]]+FMS_Ranking4[[#This Row],[% NBS Score (Normalized)]]+(FMS_Ranking4[[#This Row],[Water Supply Score (Normalized)]]*10*$BB$5)+FMS_Ranking4[[#This Row],[FMS_Type Score Weighted]]</f>
        <v>30.59747880151815</v>
      </c>
      <c r="BN212" s="205">
        <f>_xlfn.RANK.EQ(FMS_Ranking4[[#This Row],[Total Score (with ArcSinh normalization of select criteria)]],FMS_Ranking4[Total Score (with ArcSinh normalization of select criteria)],0)</f>
        <v>205</v>
      </c>
      <c r="BO212" s="270" t="str">
        <f>_xlfn.XLOOKUP(FMS_Ranking4[[#This Row],[FMS ID]],FMS_Input[FMS_ID],FMS_Input[FMS_RANK_YEAR])</f>
        <v>2023 Amended Plan</v>
      </c>
      <c r="BP212" s="204">
        <f>_xlfn.XLOOKUP(FMS_Ranking4[[#This Row],[FMS ID]],Prev_Rank[FMS ID],Prev_Rank[Prev Rank])</f>
        <v>171</v>
      </c>
      <c r="BQ212" s="205" t="e">
        <f>_xlfn.XLOOKUP(FMS_Ranking4[[#This Row],[FMS ID]],#REF!,#REF!)</f>
        <v>#REF!</v>
      </c>
      <c r="BR212" s="199" t="e">
        <f>SUM(#REF!,#REF!,#REF!,#REF!,#REF!,#REF!,#REF!,#REF!,#REF!,FMS_Ranking4[[#This Row],[ArcSinh Res struct removed 0-10]],#REF!)</f>
        <v>#REF!</v>
      </c>
      <c r="BS212" s="199" t="e">
        <f>FMS_Ranking4[[#This Row],[Log Score Based on Normalized Reported Factors]]+FMS_Ranking4[[#This Row],[% NBS Score (Normalized)]]+(FMS_Ranking4[[#This Row],[Water Supply Score (Normalized)]]*10*$BB$5)+(FMS_Ranking4[[#This Row],[FMS_Type Score Weighted]])</f>
        <v>#REF!</v>
      </c>
      <c r="BT212" s="200" t="e">
        <f>_xlfn.RANK.EQ(FMS_Ranking4[[#This Row],[Log Total Score]],FMS_Ranking4[Log Total Score],0)</f>
        <v>#REF!</v>
      </c>
      <c r="BU212" s="200" t="e">
        <f>_xlfn.XLOOKUP(FMS_Ranking4[[#This Row],[FMS ID]],#REF!,#REF!)</f>
        <v>#REF!</v>
      </c>
      <c r="BV212" s="200">
        <f>FMS_Ranking4[[#This Row],[Region Number]]</f>
        <v>3</v>
      </c>
      <c r="BW212" s="200">
        <f>FMS_Ranking4[[#This Row],[Rank (with ArcSinh normalization of select criteria)]]-FMS_Ranking4[[#This Row],[Rank
(with linear
normalization)]]</f>
        <v>120</v>
      </c>
      <c r="BX212" s="200" t="e">
        <f>FMS_Ranking4[[#This Row],[Log Rank]]-FMS_Ranking4[[#This Row],[Rank
(with linear
normalization)]]</f>
        <v>#REF!</v>
      </c>
      <c r="BY212" s="200" t="str">
        <f>IF(FMS_Ranking4[[#This Row],[FMS Type]]="Flood Measurement and Warning",FMS_Ranking4[[#This Row],[Rank (with ArcSinh normalization of select criteria)]],"")</f>
        <v/>
      </c>
      <c r="BZ212" s="200" t="str">
        <f>IF(FMS_Ranking4[[#This Row],[FMS Type]]="Regulatory and Guidance",FMS_Ranking4[[#This Row],[Rank (with ArcSinh normalization of select criteria)]],"")</f>
        <v/>
      </c>
      <c r="CA212" s="200" t="str">
        <f>IF(FMS_Ranking4[[#This Row],[FMS Type]]="Education and Outreach",FMS_Ranking4[[#This Row],[Rank (with ArcSinh normalization of select criteria)]],"")</f>
        <v/>
      </c>
      <c r="CB212" s="200" t="str">
        <f>IF(FMS_Ranking4[[#This Row],[FMS Type]]="Property Acquisition and Structural Elevation",FMS_Ranking4[[#This Row],[Rank (with ArcSinh normalization of select criteria)]],"")</f>
        <v/>
      </c>
      <c r="CC212" s="200" t="str">
        <f>IF(FMS_Ranking4[[#This Row],[FMS Type]]="Infrastructure Projects",FMS_Ranking4[[#This Row],[Rank (with ArcSinh normalization of select criteria)]],"")</f>
        <v/>
      </c>
      <c r="CD212" s="200">
        <f>IF(FMS_Ranking4[[#This Row],[FMS Type]]="Other",FMS_Ranking4[[#This Row],[Rank (with ArcSinh normalization of select criteria)]],"")</f>
        <v>205</v>
      </c>
      <c r="CE212" s="201"/>
      <c r="CF212" s="206"/>
      <c r="CG212" s="206"/>
      <c r="CH212" s="206"/>
      <c r="CI212" s="206"/>
      <c r="CJ212" s="206"/>
      <c r="CK212" s="206"/>
      <c r="CL212" s="206"/>
      <c r="CM212" s="206"/>
      <c r="CN212" s="206"/>
      <c r="CO212" s="206"/>
      <c r="CP212" s="206"/>
      <c r="CQ212" s="206"/>
      <c r="CR212" s="206"/>
    </row>
    <row r="213" spans="2:96" ht="60" x14ac:dyDescent="0.25">
      <c r="B213" s="341" t="s">
        <v>1484</v>
      </c>
      <c r="C213" s="246">
        <f>_xlfn.XLOOKUP(FMS_Ranking4[[#This Row],[FMS ID]],FMS_Input[FMS_ID],FMS_Input[RFPG_NUM])</f>
        <v>1</v>
      </c>
      <c r="D213" s="309" t="str">
        <f>_xlfn.XLOOKUP(FMS_Ranking4[[#This Row],[FMS ID]],FMS_Input[FMS_ID],FMS_Input[FMS_NAME])</f>
        <v>City of Amarillo Update Stormwater Criteria </v>
      </c>
      <c r="E213" s="308" t="str">
        <f>_xlfn.XLOOKUP(FMS_Ranking4[[#This Row],[FMS ID]],FMS_Input[FMS_ID],FMS_Input[SPONSOR])</f>
        <v>01002770, 01000243</v>
      </c>
      <c r="F213" s="309" t="str">
        <f>_xlfn.XLOOKUP(FMS_Ranking4[[#This Row],[FMS ID]],Sponsor[FMS_ID],Sponsor[SPONSOR NAME])</f>
        <v>Amarillo, Randall</v>
      </c>
      <c r="G213" s="309" t="str">
        <f>_xlfn.XLOOKUP(FMS_Ranking4[[#This Row],[FMS ID]],FMS_Input[FMS_ID],FMS_Input[FMS_DESCR])</f>
        <v>Update stormwater criteria based on recommendations identified in the 2019 Drainage Master Plan</v>
      </c>
      <c r="H213" s="248" t="str">
        <f>_xlfn.XLOOKUP(FMS_Ranking4[[#This Row],[FMS ID]],FMS_Input[FMS_ID],FMS_Input[FMS_TYPE])</f>
        <v>Regulatory and Guidance</v>
      </c>
      <c r="I213" s="249">
        <f>_xlfn.XLOOKUP(FMS_Ranking4[[#This Row],[FMS ID]],FMS_Input[FMS_ID],FMS_Input[NRNC_COST])</f>
        <v>100000</v>
      </c>
      <c r="J213" s="250">
        <f>_xlfn.XLOOKUP(FMS_Ranking4[[#This Row],[FMS ID]],FMS_Input[FMS_ID],FMS_Input[FMS_COST])</f>
        <v>100000</v>
      </c>
      <c r="K213" s="251" t="str">
        <f>_xlfn.XLOOKUP(FMS_Ranking4[[#This Row],[FMS ID]],FMS_Input[FMS_ID],FMS_Input[EMER_NEED])</f>
        <v>No</v>
      </c>
      <c r="L213" s="252">
        <f t="shared" si="3"/>
        <v>0</v>
      </c>
      <c r="M213" s="253">
        <f>_xlfn.XLOOKUP(FMS_Ranking4[[#This Row],[FMS ID]],FMS_Input[FMS_ID],FMS_Input[STRUCT_100])</f>
        <v>1703</v>
      </c>
      <c r="N213" s="255">
        <f>(ASINH(FMS_Ranking4[[#This Row],[Structure at Risk Raw]]))*(10)/(ASINH(M$4))</f>
        <v>6.3939800376926215</v>
      </c>
      <c r="O213" s="256">
        <f>FMS_Ranking4[[#This Row],[Structures at risk, ArcSinh (0-10)]]*M$5*10</f>
        <v>6.3939800376926215</v>
      </c>
      <c r="P213" s="253">
        <f>_xlfn.XLOOKUP(FMS_Ranking4[[#This Row],[FMS ID]],FMS_Input[FMS_ID],FMS_Input[RES_STRUCT100])</f>
        <v>1382</v>
      </c>
      <c r="Q213" s="257">
        <f>ASINH(FMS_Ranking4[[#This Row],[Res Structure Raw]])/Q$4*P$5*100</f>
        <v>0</v>
      </c>
      <c r="R213" s="253">
        <f>_xlfn.XLOOKUP(FMS_Ranking4[[#This Row],[FMS ID]],FMS_Input[FMS_ID],FMS_Input[POP100])</f>
        <v>8883</v>
      </c>
      <c r="S213" s="259">
        <f>(ASINH(FMS_Ranking4[[#This Row],[Pop at Risk Raw]]))*(10)/(ASINH(R$4))</f>
        <v>6.7551840197743376</v>
      </c>
      <c r="T213" s="256">
        <f>FMS_Ranking4[[#This Row],[Population at risk, ArcSinh (0-10)]]*R$5*10</f>
        <v>6.7551840197743385</v>
      </c>
      <c r="U213" s="253">
        <f>_xlfn.XLOOKUP(FMS_Ranking4[[#This Row],[FMS ID]],FMS_Input[FMS_ID],FMS_Input[CRITFAC100])</f>
        <v>7</v>
      </c>
      <c r="V213" s="259">
        <f>(ASINH(FMS_Ranking4[[#This Row],[Critical Facilities Raw]]))*(10)/(ASINH(U$4))</f>
        <v>3.1300153354232236</v>
      </c>
      <c r="W213" s="256">
        <f>FMS_Ranking4[[#This Row],[Critical facilities at risk, ArcSinh (0-10)]]*U$5*10</f>
        <v>3.1300153354232241</v>
      </c>
      <c r="X213" s="253">
        <f>_xlfn.XLOOKUP(FMS_Ranking4[[#This Row],[FMS ID]],FMS_Input[FMS_ID],FMS_Input[LWC])</f>
        <v>6</v>
      </c>
      <c r="Y213" s="259">
        <f>(ASINH(FMS_Ranking4[[#This Row],[LWC Raw]]))*(10)/(ASINH(X$4))</f>
        <v>3.375708300798784</v>
      </c>
      <c r="Z213" s="256">
        <f>FMS_Ranking4[[#This Row],[LWC, ArcSInh (0-10)]]*X$5*10</f>
        <v>3.3757083007987845</v>
      </c>
      <c r="AA213" s="253">
        <f>_xlfn.XLOOKUP(FMS_Ranking4[[#This Row],[FMS ID]],FMS_Input[FMS_ID],FMS_Input[ROADCLS])</f>
        <v>6</v>
      </c>
      <c r="AB213" s="255">
        <f>(ASINH(FMS_Ranking4[[#This Row],[Road Closures Raw]]))*(10)/(ASINH(AA$4))</f>
        <v>2.5949600132095934</v>
      </c>
      <c r="AC213" s="256">
        <f>FMS_Ranking4[[#This Row],[Road closures, ArcSinh (0-10)]]*AA$5*10</f>
        <v>1.2974800066047967</v>
      </c>
      <c r="AD213" s="253">
        <f>_xlfn.XLOOKUP(FMS_Ranking4[[#This Row],[FMS ID]],FMS_Input[FMS_ID],FMS_Input[ROAD_MILES100])</f>
        <v>103</v>
      </c>
      <c r="AE213" s="259">
        <f>(ASINH(FMS_Ranking4[[#This Row],[Road Miles Raw]]))*(10)/(ASINH(AD$4))</f>
        <v>5.678075280842374</v>
      </c>
      <c r="AF213" s="256">
        <f>FMS_Ranking4[[#This Row],[Length of roads at risk, ArcSinh (0-10)]]*AD$5*10</f>
        <v>5.678075280842374</v>
      </c>
      <c r="AG213" s="253">
        <f>_xlfn.XLOOKUP(FMS_Ranking4[[#This Row],[FMS ID]],FMS_Input[FMS_ID],FMS_Input[FARMACRE100])</f>
        <v>212.75544738769531</v>
      </c>
      <c r="AH213" s="255">
        <f>(ASINH(FMS_Ranking4[[#This Row],[Ag Land Raw]]))*(10)/(ASINH(AG$4))</f>
        <v>3.9321089588129947</v>
      </c>
      <c r="AI213" s="260">
        <f>FMS_Ranking4[[#This Row],[Farm &amp; ranch land, ArcSinh (0-10)]]*AG$5*10</f>
        <v>1.9660544794064974</v>
      </c>
      <c r="AJ213" s="258">
        <f>_xlfn.XLOOKUP(FMS_Ranking4[[#This Row],[FMS ID]],FMS_Input[FMS_ID],FMS_Input[REDSTRUCT100])</f>
        <v>0</v>
      </c>
      <c r="AK213" s="253">
        <f>_xlfn.XLOOKUP(FMS_Ranking4[[#This Row],[FMS ID]],FMS_Input[FMS_ID],FMS_Input[REMSTRC100])</f>
        <v>0</v>
      </c>
      <c r="AL213" s="259">
        <f>(ASINH(FMS_Ranking4[[#This Row],[Structures Removed Raw]]))*(10)/(ASINH(AK$4))</f>
        <v>0</v>
      </c>
      <c r="AM213" s="262">
        <f>FMS_Ranking4[[#This Row],[Structures removed, ArcSinh (0-10)]]*AK$5*10</f>
        <v>0</v>
      </c>
      <c r="AN213" s="253">
        <f>_xlfn.XLOOKUP(FMS_Ranking4[[#This Row],[FMS ID]],FMS_Input[FMS_ID],FMS_Input[REMRESSTRC100])</f>
        <v>0</v>
      </c>
      <c r="AO213" s="261">
        <f>FMS_Ranking4[[#This Row],[ArcSinh Res struct removed 0-10]]*AN$5*10</f>
        <v>0</v>
      </c>
      <c r="AP213" s="260">
        <f>ASINH(FMS_Ranking4[[#This Row],[Residential Structures Removed Raw]])/AP$4*AN$5*100</f>
        <v>0</v>
      </c>
      <c r="AQ213" s="254">
        <f>(ASINH(FMS_Ranking4[[#This Row],[Residential Structures Removed Raw]]))*(10)/(ASINH(AN$4))</f>
        <v>0</v>
      </c>
      <c r="AR213" s="253">
        <f>_xlfn.XLOOKUP(FMS_Ranking4[[#This Row],[FMS ID]],FMS_Input[FMS_ID],FMS_Input[REMPOP100])</f>
        <v>0</v>
      </c>
      <c r="AS213" s="259">
        <f>(ASINH(FMS_Ranking4[[#This Row],[Removed Pop Raw]]))*(10)/(ASINH(AR$4))</f>
        <v>0</v>
      </c>
      <c r="AT213" s="262">
        <f>FMS_Ranking4[[#This Row],[Removed population, ArcSinh (0-10)]]*AR$5*10</f>
        <v>0</v>
      </c>
      <c r="AU213" s="264">
        <f>_xlfn.XLOOKUP(FMS_Ranking4[[#This Row],[FMS ID]],FMS_Input[FMS_ID],FMS_Input[REMCRITFAC100])</f>
        <v>0</v>
      </c>
      <c r="AV213" s="264">
        <f>_xlfn.XLOOKUP(FMS_Ranking4[[#This Row],[FMS ID]],FMS_Input[FMS_ID],FMS_Input[REMLWC100])</f>
        <v>0</v>
      </c>
      <c r="AW213" s="264">
        <f>_xlfn.XLOOKUP(FMS_Ranking4[[#This Row],[FMS ID]],FMS_Input[FMS_ID],FMS_Input[REMROADCLS])</f>
        <v>0</v>
      </c>
      <c r="AX213" s="264">
        <f>_xlfn.XLOOKUP(FMS_Ranking4[[#This Row],[FMS ID]],FMS_Input[FMS_ID],FMS_Input[REMFRMACRE100])</f>
        <v>0</v>
      </c>
      <c r="AY213" s="258">
        <f>_xlfn.XLOOKUP(FMS_Ranking4[[#This Row],[FMS ID]],FMS_Input[FMS_ID],FMS_Input[COSTSTRUCT])</f>
        <v>0</v>
      </c>
      <c r="AZ213" s="253">
        <f>_xlfn.XLOOKUP(FMS_Ranking4[[#This Row],[FMS ID]],FMS_Input[FMS_ID],FMS_Input[NATURE])</f>
        <v>0</v>
      </c>
      <c r="BA213" s="262">
        <f>(((FMS_Ranking4[[#This Row],[% NBS Raw]]/AZ$4)*100)*AZ$5)</f>
        <v>0</v>
      </c>
      <c r="BB213" s="251" t="str">
        <f>_xlfn.XLOOKUP(FMS_Ranking4[[#This Row],[FMS ID]],FMS_Input[FMS_ID],FMS_Input[WATER_SUP])</f>
        <v>No</v>
      </c>
      <c r="BC213" s="265">
        <f>IF(FMS_Ranking4[[#This Row],[Water Supply Raw]]="Yes",10,0)</f>
        <v>0</v>
      </c>
      <c r="BD213" s="266">
        <f>_xlfn.XLOOKUP(FMS_Ranking4[[#This Row],[FMS Type]],FMS_TYPE[FMS_Type],FMS_TYPE[Score])</f>
        <v>8</v>
      </c>
      <c r="BE213" s="267">
        <f>FMS_Ranking4[[#This Row],[FMS_Type Score]]*$BD$5*10</f>
        <v>2</v>
      </c>
      <c r="BF21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0.47528842917757474</v>
      </c>
      <c r="BG213" s="271">
        <f>_xlfn.RANK.EQ(BF213,$BF$8:$BF$870,0)+COUNTIF($BF$8:BF213,BF213)-1</f>
        <v>234</v>
      </c>
      <c r="BH213" s="268">
        <f>(((FMS_Ranking4[[#This Row],[Structures Removed Raw]]/AK$4)*100)*AK$5)+(((FMS_Ranking4[[#This Row],[Removed Pop Raw]]/AR$4)*100)*AR$5)</f>
        <v>0</v>
      </c>
      <c r="BI21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2.4752884291775747</v>
      </c>
      <c r="BJ213" s="205">
        <f>_xlfn.RANK.EQ(FMS_Ranking4[[#This Row],[Total Score 
(with linear
normalization)]],FMS_Ranking4[Total Score 
(with linear
normalization)],0)</f>
        <v>267</v>
      </c>
      <c r="BK213" s="205" t="e">
        <f>_xlfn.XLOOKUP(FMS_Ranking4[[#This Row],[FMS ID]],#REF!,#REF!)</f>
        <v>#REF!</v>
      </c>
      <c r="BL21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28.59649746054264</v>
      </c>
      <c r="BM213" s="272">
        <f>FMS_Ranking4[[#This Row],[ArcSinh Score Based on Normalized Reported Factors]]+FMS_Ranking4[[#This Row],[% NBS Score (Normalized)]]+(FMS_Ranking4[[#This Row],[Water Supply Score (Normalized)]]*10*$BB$5)+FMS_Ranking4[[#This Row],[FMS_Type Score Weighted]]</f>
        <v>30.59649746054264</v>
      </c>
      <c r="BN213" s="205">
        <f>_xlfn.RANK.EQ(FMS_Ranking4[[#This Row],[Total Score (with ArcSinh normalization of select criteria)]],FMS_Ranking4[Total Score (with ArcSinh normalization of select criteria)],0)</f>
        <v>206</v>
      </c>
      <c r="BO213" s="270" t="str">
        <f>_xlfn.XLOOKUP(FMS_Ranking4[[#This Row],[FMS ID]],FMS_Input[FMS_ID],FMS_Input[FMS_RANK_YEAR])</f>
        <v>2023 Amended Plan</v>
      </c>
      <c r="BP213" s="204">
        <f>_xlfn.XLOOKUP(FMS_Ranking4[[#This Row],[FMS ID]],Prev_Rank[FMS ID],Prev_Rank[Prev Rank])</f>
        <v>174</v>
      </c>
      <c r="BQ213" s="205" t="e">
        <f>_xlfn.XLOOKUP(FMS_Ranking4[[#This Row],[FMS ID]],#REF!,#REF!)</f>
        <v>#REF!</v>
      </c>
      <c r="BR213" s="199" t="e">
        <f>SUM(#REF!,#REF!,#REF!,#REF!,#REF!,#REF!,#REF!,#REF!,#REF!,FMS_Ranking4[[#This Row],[ArcSinh Res struct removed 0-10]],#REF!)</f>
        <v>#REF!</v>
      </c>
      <c r="BS213" s="199" t="e">
        <f>FMS_Ranking4[[#This Row],[Log Score Based on Normalized Reported Factors]]+FMS_Ranking4[[#This Row],[% NBS Score (Normalized)]]+(FMS_Ranking4[[#This Row],[Water Supply Score (Normalized)]]*10*$BB$5)+(FMS_Ranking4[[#This Row],[FMS_Type Score Weighted]])</f>
        <v>#REF!</v>
      </c>
      <c r="BT213" s="200" t="e">
        <f>_xlfn.RANK.EQ(FMS_Ranking4[[#This Row],[Log Total Score]],FMS_Ranking4[Log Total Score],0)</f>
        <v>#REF!</v>
      </c>
      <c r="BU213" s="200" t="e">
        <f>_xlfn.XLOOKUP(FMS_Ranking4[[#This Row],[FMS ID]],#REF!,#REF!)</f>
        <v>#REF!</v>
      </c>
      <c r="BV213" s="200">
        <f>FMS_Ranking4[[#This Row],[Region Number]]</f>
        <v>1</v>
      </c>
      <c r="BW213" s="200">
        <f>FMS_Ranking4[[#This Row],[Rank (with ArcSinh normalization of select criteria)]]-FMS_Ranking4[[#This Row],[Rank
(with linear
normalization)]]</f>
        <v>-61</v>
      </c>
      <c r="BX213" s="200" t="e">
        <f>FMS_Ranking4[[#This Row],[Log Rank]]-FMS_Ranking4[[#This Row],[Rank
(with linear
normalization)]]</f>
        <v>#REF!</v>
      </c>
      <c r="BY213" s="200" t="str">
        <f>IF(FMS_Ranking4[[#This Row],[FMS Type]]="Flood Measurement and Warning",FMS_Ranking4[[#This Row],[Rank (with ArcSinh normalization of select criteria)]],"")</f>
        <v/>
      </c>
      <c r="BZ213" s="200">
        <f>IF(FMS_Ranking4[[#This Row],[FMS Type]]="Regulatory and Guidance",FMS_Ranking4[[#This Row],[Rank (with ArcSinh normalization of select criteria)]],"")</f>
        <v>206</v>
      </c>
      <c r="CA213" s="200" t="str">
        <f>IF(FMS_Ranking4[[#This Row],[FMS Type]]="Education and Outreach",FMS_Ranking4[[#This Row],[Rank (with ArcSinh normalization of select criteria)]],"")</f>
        <v/>
      </c>
      <c r="CB213" s="200" t="str">
        <f>IF(FMS_Ranking4[[#This Row],[FMS Type]]="Property Acquisition and Structural Elevation",FMS_Ranking4[[#This Row],[Rank (with ArcSinh normalization of select criteria)]],"")</f>
        <v/>
      </c>
      <c r="CC213" s="200" t="str">
        <f>IF(FMS_Ranking4[[#This Row],[FMS Type]]="Infrastructure Projects",FMS_Ranking4[[#This Row],[Rank (with ArcSinh normalization of select criteria)]],"")</f>
        <v/>
      </c>
      <c r="CD213" s="200" t="str">
        <f>IF(FMS_Ranking4[[#This Row],[FMS Type]]="Other",FMS_Ranking4[[#This Row],[Rank (with ArcSinh normalization of select criteria)]],"")</f>
        <v/>
      </c>
      <c r="CE213" s="201"/>
      <c r="CF213" s="206"/>
      <c r="CG213" s="206"/>
      <c r="CH213" s="206"/>
      <c r="CI213" s="206"/>
      <c r="CJ213" s="206"/>
      <c r="CK213" s="206"/>
      <c r="CL213" s="206"/>
      <c r="CM213" s="206"/>
      <c r="CN213" s="206"/>
      <c r="CO213" s="206"/>
      <c r="CP213" s="206"/>
      <c r="CQ213" s="206"/>
      <c r="CR213" s="206"/>
    </row>
    <row r="214" spans="2:96" ht="45" x14ac:dyDescent="0.25">
      <c r="B214" s="341" t="s">
        <v>1495</v>
      </c>
      <c r="C214" s="246">
        <f>_xlfn.XLOOKUP(FMS_Ranking4[[#This Row],[FMS ID]],FMS_Input[FMS_ID],FMS_Input[RFPG_NUM])</f>
        <v>1</v>
      </c>
      <c r="D214" s="309" t="str">
        <f>_xlfn.XLOOKUP(FMS_Ranking4[[#This Row],[FMS ID]],FMS_Input[FMS_ID],FMS_Input[FMS_NAME])</f>
        <v>City of Amarillo Develop Criteria for Playa Development</v>
      </c>
      <c r="E214" s="308" t="str">
        <f>_xlfn.XLOOKUP(FMS_Ranking4[[#This Row],[FMS ID]],FMS_Input[FMS_ID],FMS_Input[SPONSOR])</f>
        <v>01002770, 01000243</v>
      </c>
      <c r="F214" s="309" t="str">
        <f>_xlfn.XLOOKUP(FMS_Ranking4[[#This Row],[FMS ID]],Sponsor[FMS_ID],Sponsor[SPONSOR NAME])</f>
        <v>Amarillo, Randall</v>
      </c>
      <c r="G214" s="309" t="str">
        <f>_xlfn.XLOOKUP(FMS_Ranking4[[#This Row],[FMS ID]],FMS_Input[FMS_ID],FMS_Input[FMS_DESCR])</f>
        <v>Address sustainable playa development; establish modelling standard </v>
      </c>
      <c r="H214" s="248" t="str">
        <f>_xlfn.XLOOKUP(FMS_Ranking4[[#This Row],[FMS ID]],FMS_Input[FMS_ID],FMS_Input[FMS_TYPE])</f>
        <v>Regulatory and Guidance</v>
      </c>
      <c r="I214" s="249">
        <f>_xlfn.XLOOKUP(FMS_Ranking4[[#This Row],[FMS ID]],FMS_Input[FMS_ID],FMS_Input[NRNC_COST])</f>
        <v>100000</v>
      </c>
      <c r="J214" s="250">
        <f>_xlfn.XLOOKUP(FMS_Ranking4[[#This Row],[FMS ID]],FMS_Input[FMS_ID],FMS_Input[FMS_COST])</f>
        <v>100000</v>
      </c>
      <c r="K214" s="251" t="str">
        <f>_xlfn.XLOOKUP(FMS_Ranking4[[#This Row],[FMS ID]],FMS_Input[FMS_ID],FMS_Input[EMER_NEED])</f>
        <v>No</v>
      </c>
      <c r="L214" s="252">
        <f t="shared" si="3"/>
        <v>0</v>
      </c>
      <c r="M214" s="253">
        <f>_xlfn.XLOOKUP(FMS_Ranking4[[#This Row],[FMS ID]],FMS_Input[FMS_ID],FMS_Input[STRUCT_100])</f>
        <v>1703</v>
      </c>
      <c r="N214" s="255">
        <f>(ASINH(FMS_Ranking4[[#This Row],[Structure at Risk Raw]]))*(10)/(ASINH(M$4))</f>
        <v>6.3939800376926215</v>
      </c>
      <c r="O214" s="256">
        <f>FMS_Ranking4[[#This Row],[Structures at risk, ArcSinh (0-10)]]*M$5*10</f>
        <v>6.3939800376926215</v>
      </c>
      <c r="P214" s="253">
        <f>_xlfn.XLOOKUP(FMS_Ranking4[[#This Row],[FMS ID]],FMS_Input[FMS_ID],FMS_Input[RES_STRUCT100])</f>
        <v>1382</v>
      </c>
      <c r="Q214" s="257">
        <f>ASINH(FMS_Ranking4[[#This Row],[Res Structure Raw]])/Q$4*P$5*100</f>
        <v>0</v>
      </c>
      <c r="R214" s="253">
        <f>_xlfn.XLOOKUP(FMS_Ranking4[[#This Row],[FMS ID]],FMS_Input[FMS_ID],FMS_Input[POP100])</f>
        <v>8883</v>
      </c>
      <c r="S214" s="255">
        <f>(ASINH(FMS_Ranking4[[#This Row],[Pop at Risk Raw]]))*(10)/(ASINH(R$4))</f>
        <v>6.7551840197743376</v>
      </c>
      <c r="T214" s="256">
        <f>FMS_Ranking4[[#This Row],[Population at risk, ArcSinh (0-10)]]*R$5*10</f>
        <v>6.7551840197743385</v>
      </c>
      <c r="U214" s="253">
        <f>_xlfn.XLOOKUP(FMS_Ranking4[[#This Row],[FMS ID]],FMS_Input[FMS_ID],FMS_Input[CRITFAC100])</f>
        <v>7</v>
      </c>
      <c r="V214" s="255">
        <f>(ASINH(FMS_Ranking4[[#This Row],[Critical Facilities Raw]]))*(10)/(ASINH(U$4))</f>
        <v>3.1300153354232236</v>
      </c>
      <c r="W214" s="256">
        <f>FMS_Ranking4[[#This Row],[Critical facilities at risk, ArcSinh (0-10)]]*U$5*10</f>
        <v>3.1300153354232241</v>
      </c>
      <c r="X214" s="253">
        <f>_xlfn.XLOOKUP(FMS_Ranking4[[#This Row],[FMS ID]],FMS_Input[FMS_ID],FMS_Input[LWC])</f>
        <v>6</v>
      </c>
      <c r="Y214" s="255">
        <f>(ASINH(FMS_Ranking4[[#This Row],[LWC Raw]]))*(10)/(ASINH(X$4))</f>
        <v>3.375708300798784</v>
      </c>
      <c r="Z214" s="256">
        <f>FMS_Ranking4[[#This Row],[LWC, ArcSInh (0-10)]]*X$5*10</f>
        <v>3.3757083007987845</v>
      </c>
      <c r="AA214" s="253">
        <f>_xlfn.XLOOKUP(FMS_Ranking4[[#This Row],[FMS ID]],FMS_Input[FMS_ID],FMS_Input[ROADCLS])</f>
        <v>6</v>
      </c>
      <c r="AB214" s="255">
        <f>(ASINH(FMS_Ranking4[[#This Row],[Road Closures Raw]]))*(10)/(ASINH(AA$4))</f>
        <v>2.5949600132095934</v>
      </c>
      <c r="AC214" s="256">
        <f>FMS_Ranking4[[#This Row],[Road closures, ArcSinh (0-10)]]*AA$5*10</f>
        <v>1.2974800066047967</v>
      </c>
      <c r="AD214" s="253">
        <f>_xlfn.XLOOKUP(FMS_Ranking4[[#This Row],[FMS ID]],FMS_Input[FMS_ID],FMS_Input[ROAD_MILES100])</f>
        <v>103</v>
      </c>
      <c r="AE214" s="255">
        <f>(ASINH(FMS_Ranking4[[#This Row],[Road Miles Raw]]))*(10)/(ASINH(AD$4))</f>
        <v>5.678075280842374</v>
      </c>
      <c r="AF214" s="256">
        <f>FMS_Ranking4[[#This Row],[Length of roads at risk, ArcSinh (0-10)]]*AD$5*10</f>
        <v>5.678075280842374</v>
      </c>
      <c r="AG214" s="253">
        <f>_xlfn.XLOOKUP(FMS_Ranking4[[#This Row],[FMS ID]],FMS_Input[FMS_ID],FMS_Input[FARMACRE100])</f>
        <v>212.75544738769531</v>
      </c>
      <c r="AH214" s="255">
        <f>(ASINH(FMS_Ranking4[[#This Row],[Ag Land Raw]]))*(10)/(ASINH(AG$4))</f>
        <v>3.9321089588129947</v>
      </c>
      <c r="AI214" s="260">
        <f>FMS_Ranking4[[#This Row],[Farm &amp; ranch land, ArcSinh (0-10)]]*AG$5*10</f>
        <v>1.9660544794064974</v>
      </c>
      <c r="AJ214" s="258">
        <f>_xlfn.XLOOKUP(FMS_Ranking4[[#This Row],[FMS ID]],FMS_Input[FMS_ID],FMS_Input[REDSTRUCT100])</f>
        <v>0</v>
      </c>
      <c r="AK214" s="253">
        <f>_xlfn.XLOOKUP(FMS_Ranking4[[#This Row],[FMS ID]],FMS_Input[FMS_ID],FMS_Input[REMSTRC100])</f>
        <v>0</v>
      </c>
      <c r="AL214" s="255">
        <f>(ASINH(FMS_Ranking4[[#This Row],[Structures Removed Raw]]))*(10)/(ASINH(AK$4))</f>
        <v>0</v>
      </c>
      <c r="AM214" s="262">
        <f>FMS_Ranking4[[#This Row],[Structures removed, ArcSinh (0-10)]]*AK$5*10</f>
        <v>0</v>
      </c>
      <c r="AN214" s="253">
        <f>_xlfn.XLOOKUP(FMS_Ranking4[[#This Row],[FMS ID]],FMS_Input[FMS_ID],FMS_Input[REMRESSTRC100])</f>
        <v>0</v>
      </c>
      <c r="AO214" s="261">
        <f>FMS_Ranking4[[#This Row],[ArcSinh Res struct removed 0-10]]*AN$5*10</f>
        <v>0</v>
      </c>
      <c r="AP214" s="260">
        <f>ASINH(FMS_Ranking4[[#This Row],[Residential Structures Removed Raw]])/AP$4*AN$5*100</f>
        <v>0</v>
      </c>
      <c r="AQ214" s="258">
        <f>(ASINH(FMS_Ranking4[[#This Row],[Residential Structures Removed Raw]]))*(10)/(ASINH(AN$4))</f>
        <v>0</v>
      </c>
      <c r="AR214" s="253">
        <f>_xlfn.XLOOKUP(FMS_Ranking4[[#This Row],[FMS ID]],FMS_Input[FMS_ID],FMS_Input[REMPOP100])</f>
        <v>0</v>
      </c>
      <c r="AS214" s="255">
        <f>(ASINH(FMS_Ranking4[[#This Row],[Removed Pop Raw]]))*(10)/(ASINH(AR$4))</f>
        <v>0</v>
      </c>
      <c r="AT214" s="262">
        <f>FMS_Ranking4[[#This Row],[Removed population, ArcSinh (0-10)]]*AR$5*10</f>
        <v>0</v>
      </c>
      <c r="AU214" s="264">
        <f>_xlfn.XLOOKUP(FMS_Ranking4[[#This Row],[FMS ID]],FMS_Input[FMS_ID],FMS_Input[REMCRITFAC100])</f>
        <v>0</v>
      </c>
      <c r="AV214" s="264">
        <f>_xlfn.XLOOKUP(FMS_Ranking4[[#This Row],[FMS ID]],FMS_Input[FMS_ID],FMS_Input[REMLWC100])</f>
        <v>0</v>
      </c>
      <c r="AW214" s="264">
        <f>_xlfn.XLOOKUP(FMS_Ranking4[[#This Row],[FMS ID]],FMS_Input[FMS_ID],FMS_Input[REMROADCLS])</f>
        <v>0</v>
      </c>
      <c r="AX214" s="264">
        <f>_xlfn.XLOOKUP(FMS_Ranking4[[#This Row],[FMS ID]],FMS_Input[FMS_ID],FMS_Input[REMFRMACRE100])</f>
        <v>0</v>
      </c>
      <c r="AY214" s="258">
        <f>_xlfn.XLOOKUP(FMS_Ranking4[[#This Row],[FMS ID]],FMS_Input[FMS_ID],FMS_Input[COSTSTRUCT])</f>
        <v>0</v>
      </c>
      <c r="AZ214" s="253">
        <f>_xlfn.XLOOKUP(FMS_Ranking4[[#This Row],[FMS ID]],FMS_Input[FMS_ID],FMS_Input[NATURE])</f>
        <v>0</v>
      </c>
      <c r="BA214" s="262">
        <f>(((FMS_Ranking4[[#This Row],[% NBS Raw]]/AZ$4)*100)*AZ$5)</f>
        <v>0</v>
      </c>
      <c r="BB214" s="251" t="str">
        <f>_xlfn.XLOOKUP(FMS_Ranking4[[#This Row],[FMS ID]],FMS_Input[FMS_ID],FMS_Input[WATER_SUP])</f>
        <v>No</v>
      </c>
      <c r="BC214" s="265">
        <f>IF(FMS_Ranking4[[#This Row],[Water Supply Raw]]="Yes",10,0)</f>
        <v>0</v>
      </c>
      <c r="BD214" s="266">
        <f>_xlfn.XLOOKUP(FMS_Ranking4[[#This Row],[FMS Type]],FMS_TYPE[FMS_Type],FMS_TYPE[Score])</f>
        <v>8</v>
      </c>
      <c r="BE214" s="267">
        <f>FMS_Ranking4[[#This Row],[FMS_Type Score]]*$BD$5*10</f>
        <v>2</v>
      </c>
      <c r="BF21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0.47528842917757474</v>
      </c>
      <c r="BG214" s="321">
        <f>_xlfn.RANK.EQ(BF214,$BF$8:$BF$870,0)+COUNTIF($BF$8:BF214,BF214)-1</f>
        <v>235</v>
      </c>
      <c r="BH214" s="294">
        <f>(((FMS_Ranking4[[#This Row],[Structures Removed Raw]]/AK$4)*100)*AK$5)+(((FMS_Ranking4[[#This Row],[Removed Pop Raw]]/AR$4)*100)*AR$5)</f>
        <v>0</v>
      </c>
      <c r="BI21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2.4752884291775747</v>
      </c>
      <c r="BJ214" s="251">
        <f>_xlfn.RANK.EQ(FMS_Ranking4[[#This Row],[Total Score 
(with linear
normalization)]],FMS_Ranking4[Total Score 
(with linear
normalization)],0)</f>
        <v>267</v>
      </c>
      <c r="BK214" s="251" t="e">
        <f>_xlfn.XLOOKUP(FMS_Ranking4[[#This Row],[FMS ID]],#REF!,#REF!)</f>
        <v>#REF!</v>
      </c>
      <c r="BL21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28.59649746054264</v>
      </c>
      <c r="BM214" s="324">
        <f>FMS_Ranking4[[#This Row],[ArcSinh Score Based on Normalized Reported Factors]]+FMS_Ranking4[[#This Row],[% NBS Score (Normalized)]]+(FMS_Ranking4[[#This Row],[Water Supply Score (Normalized)]]*10*$BB$5)+FMS_Ranking4[[#This Row],[FMS_Type Score Weighted]]</f>
        <v>30.59649746054264</v>
      </c>
      <c r="BN214" s="251">
        <f>_xlfn.RANK.EQ(FMS_Ranking4[[#This Row],[Total Score (with ArcSinh normalization of select criteria)]],FMS_Ranking4[Total Score (with ArcSinh normalization of select criteria)],0)</f>
        <v>206</v>
      </c>
      <c r="BO214" s="270" t="str">
        <f>_xlfn.XLOOKUP(FMS_Ranking4[[#This Row],[FMS ID]],FMS_Input[FMS_ID],FMS_Input[FMS_RANK_YEAR])</f>
        <v>2023 Amended Plan</v>
      </c>
      <c r="BP214" s="204">
        <f>_xlfn.XLOOKUP(FMS_Ranking4[[#This Row],[FMS ID]],Prev_Rank[FMS ID],Prev_Rank[Prev Rank])</f>
        <v>174</v>
      </c>
      <c r="BQ214" s="251" t="e">
        <f>_xlfn.XLOOKUP(FMS_Ranking4[[#This Row],[FMS ID]],#REF!,#REF!)</f>
        <v>#REF!</v>
      </c>
      <c r="BR214" s="199" t="e">
        <f>SUM(#REF!,#REF!,#REF!,#REF!,#REF!,#REF!,#REF!,#REF!,#REF!,FMS_Ranking4[[#This Row],[ArcSinh Res struct removed 0-10]],#REF!)</f>
        <v>#REF!</v>
      </c>
      <c r="BS214" s="199" t="e">
        <f>FMS_Ranking4[[#This Row],[Log Score Based on Normalized Reported Factors]]+FMS_Ranking4[[#This Row],[% NBS Score (Normalized)]]+(FMS_Ranking4[[#This Row],[Water Supply Score (Normalized)]]*10*$BB$5)+(FMS_Ranking4[[#This Row],[FMS_Type Score Weighted]])</f>
        <v>#REF!</v>
      </c>
      <c r="BT214" s="200" t="e">
        <f>_xlfn.RANK.EQ(FMS_Ranking4[[#This Row],[Log Total Score]],FMS_Ranking4[Log Total Score],0)</f>
        <v>#REF!</v>
      </c>
      <c r="BU214" s="200" t="e">
        <f>_xlfn.XLOOKUP(FMS_Ranking4[[#This Row],[FMS ID]],#REF!,#REF!)</f>
        <v>#REF!</v>
      </c>
      <c r="BV214" s="200">
        <f>FMS_Ranking4[[#This Row],[Region Number]]</f>
        <v>1</v>
      </c>
      <c r="BW214" s="200">
        <f>FMS_Ranking4[[#This Row],[Rank (with ArcSinh normalization of select criteria)]]-FMS_Ranking4[[#This Row],[Rank
(with linear
normalization)]]</f>
        <v>-61</v>
      </c>
      <c r="BX214" s="200" t="e">
        <f>FMS_Ranking4[[#This Row],[Log Rank]]-FMS_Ranking4[[#This Row],[Rank
(with linear
normalization)]]</f>
        <v>#REF!</v>
      </c>
      <c r="BY214" s="200" t="str">
        <f>IF(FMS_Ranking4[[#This Row],[FMS Type]]="Flood Measurement and Warning",FMS_Ranking4[[#This Row],[Rank (with ArcSinh normalization of select criteria)]],"")</f>
        <v/>
      </c>
      <c r="BZ214" s="200">
        <f>IF(FMS_Ranking4[[#This Row],[FMS Type]]="Regulatory and Guidance",FMS_Ranking4[[#This Row],[Rank (with ArcSinh normalization of select criteria)]],"")</f>
        <v>206</v>
      </c>
      <c r="CA214" s="200" t="str">
        <f>IF(FMS_Ranking4[[#This Row],[FMS Type]]="Education and Outreach",FMS_Ranking4[[#This Row],[Rank (with ArcSinh normalization of select criteria)]],"")</f>
        <v/>
      </c>
      <c r="CB214" s="200" t="str">
        <f>IF(FMS_Ranking4[[#This Row],[FMS Type]]="Property Acquisition and Structural Elevation",FMS_Ranking4[[#This Row],[Rank (with ArcSinh normalization of select criteria)]],"")</f>
        <v/>
      </c>
      <c r="CC214" s="200" t="str">
        <f>IF(FMS_Ranking4[[#This Row],[FMS Type]]="Infrastructure Projects",FMS_Ranking4[[#This Row],[Rank (with ArcSinh normalization of select criteria)]],"")</f>
        <v/>
      </c>
      <c r="CD214" s="200" t="str">
        <f>IF(FMS_Ranking4[[#This Row],[FMS Type]]="Other",FMS_Ranking4[[#This Row],[Rank (with ArcSinh normalization of select criteria)]],"")</f>
        <v/>
      </c>
      <c r="CE214" s="201"/>
      <c r="CF214" s="206"/>
      <c r="CG214" s="206"/>
      <c r="CH214" s="206"/>
      <c r="CI214" s="206"/>
      <c r="CJ214" s="206"/>
      <c r="CK214" s="206"/>
      <c r="CL214" s="206"/>
      <c r="CM214" s="206"/>
      <c r="CN214" s="206"/>
      <c r="CO214" s="206"/>
      <c r="CP214" s="206"/>
      <c r="CQ214" s="206"/>
      <c r="CR214" s="206"/>
    </row>
    <row r="215" spans="2:96" ht="45" x14ac:dyDescent="0.25">
      <c r="B215" s="341" t="s">
        <v>178</v>
      </c>
      <c r="C215" s="246">
        <f>_xlfn.XLOOKUP(FMS_Ranking4[[#This Row],[FMS ID]],FMS_Input[FMS_ID],FMS_Input[RFPG_NUM])</f>
        <v>6</v>
      </c>
      <c r="D215" s="309" t="str">
        <f>_xlfn.XLOOKUP(FMS_Ranking4[[#This Row],[FMS ID]],FMS_Input[FMS_ID],FMS_Input[FMS_NAME])</f>
        <v>Liberty County Regional Coordination</v>
      </c>
      <c r="E215" s="308" t="str">
        <f>_xlfn.XLOOKUP(FMS_Ranking4[[#This Row],[FMS ID]],FMS_Input[FMS_ID],FMS_Input[SPONSOR])</f>
        <v>00000033</v>
      </c>
      <c r="F215" s="309" t="str">
        <f>_xlfn.XLOOKUP(FMS_Ranking4[[#This Row],[FMS ID]],Sponsor[FMS_ID],Sponsor[SPONSOR NAME])</f>
        <v>Liberty</v>
      </c>
      <c r="G215" s="309" t="str">
        <f>_xlfn.XLOOKUP(FMS_Ranking4[[#This Row],[FMS ID]],FMS_Input[FMS_ID],FMS_Input[FMS_DESCR])</f>
        <v>Work with adjoining counties regarding flooding and drainage issues.</v>
      </c>
      <c r="H215" s="248" t="str">
        <f>_xlfn.XLOOKUP(FMS_Ranking4[[#This Row],[FMS ID]],FMS_Input[FMS_ID],FMS_Input[FMS_TYPE])</f>
        <v>Other</v>
      </c>
      <c r="I215" s="249">
        <f>_xlfn.XLOOKUP(FMS_Ranking4[[#This Row],[FMS ID]],FMS_Input[FMS_ID],FMS_Input[NRNC_COST])</f>
        <v>25000</v>
      </c>
      <c r="J215" s="250">
        <f>_xlfn.XLOOKUP(FMS_Ranking4[[#This Row],[FMS ID]],FMS_Input[FMS_ID],FMS_Input[FMS_COST])</f>
        <v>500000</v>
      </c>
      <c r="K215" s="251" t="str">
        <f>_xlfn.XLOOKUP(FMS_Ranking4[[#This Row],[FMS ID]],FMS_Input[FMS_ID],FMS_Input[EMER_NEED])</f>
        <v>No</v>
      </c>
      <c r="L215" s="252">
        <f t="shared" si="3"/>
        <v>0</v>
      </c>
      <c r="M215" s="253">
        <f>_xlfn.XLOOKUP(FMS_Ranking4[[#This Row],[FMS ID]],FMS_Input[FMS_ID],FMS_Input[STRUCT_100])</f>
        <v>3619</v>
      </c>
      <c r="N215" s="255">
        <f>(ASINH(FMS_Ranking4[[#This Row],[Structure at Risk Raw]]))*(10)/(ASINH(M$4))</f>
        <v>6.9865840073556109</v>
      </c>
      <c r="O215" s="256">
        <f>FMS_Ranking4[[#This Row],[Structures at risk, ArcSinh (0-10)]]*M$5*10</f>
        <v>6.9865840073556118</v>
      </c>
      <c r="P215" s="253">
        <f>_xlfn.XLOOKUP(FMS_Ranking4[[#This Row],[FMS ID]],FMS_Input[FMS_ID],FMS_Input[RES_STRUCT100])</f>
        <v>2272</v>
      </c>
      <c r="Q215" s="257">
        <f>ASINH(FMS_Ranking4[[#This Row],[Res Structure Raw]])/Q$4*P$5*100</f>
        <v>0</v>
      </c>
      <c r="R215" s="253">
        <f>_xlfn.XLOOKUP(FMS_Ranking4[[#This Row],[FMS ID]],FMS_Input[FMS_ID],FMS_Input[POP100])</f>
        <v>3576</v>
      </c>
      <c r="S215" s="255">
        <f>(ASINH(FMS_Ranking4[[#This Row],[Pop at Risk Raw]]))*(10)/(ASINH(R$4))</f>
        <v>6.1270308990364724</v>
      </c>
      <c r="T215" s="256">
        <f>FMS_Ranking4[[#This Row],[Population at risk, ArcSinh (0-10)]]*R$5*10</f>
        <v>6.1270308990364732</v>
      </c>
      <c r="U215" s="253">
        <f>_xlfn.XLOOKUP(FMS_Ranking4[[#This Row],[FMS ID]],FMS_Input[FMS_ID],FMS_Input[CRITFAC100])</f>
        <v>8</v>
      </c>
      <c r="V215" s="255">
        <f>(ASINH(FMS_Ranking4[[#This Row],[Critical Facilities Raw]]))*(10)/(ASINH(U$4))</f>
        <v>3.286688318109702</v>
      </c>
      <c r="W215" s="256">
        <f>FMS_Ranking4[[#This Row],[Critical facilities at risk, ArcSinh (0-10)]]*U$5*10</f>
        <v>3.2866883181097024</v>
      </c>
      <c r="X215" s="253">
        <f>_xlfn.XLOOKUP(FMS_Ranking4[[#This Row],[FMS ID]],FMS_Input[FMS_ID],FMS_Input[LWC])</f>
        <v>7</v>
      </c>
      <c r="Y215" s="255">
        <f>(ASINH(FMS_Ranking4[[#This Row],[LWC Raw]]))*(10)/(ASINH(X$4))</f>
        <v>3.5820902845593281</v>
      </c>
      <c r="Z215" s="256">
        <f>FMS_Ranking4[[#This Row],[LWC, ArcSInh (0-10)]]*X$5*10</f>
        <v>3.5820902845593281</v>
      </c>
      <c r="AA215" s="253">
        <f>_xlfn.XLOOKUP(FMS_Ranking4[[#This Row],[FMS ID]],FMS_Input[FMS_ID],FMS_Input[ROADCLS])</f>
        <v>7</v>
      </c>
      <c r="AB215" s="255">
        <f>(ASINH(FMS_Ranking4[[#This Row],[Road Closures Raw]]))*(10)/(ASINH(AA$4))</f>
        <v>2.7536090869991607</v>
      </c>
      <c r="AC215" s="256">
        <f>FMS_Ranking4[[#This Row],[Road closures, ArcSinh (0-10)]]*AA$5*10</f>
        <v>1.3768045434995804</v>
      </c>
      <c r="AD215" s="253">
        <f>_xlfn.XLOOKUP(FMS_Ranking4[[#This Row],[FMS ID]],FMS_Input[FMS_ID],FMS_Input[ROAD_MILES100])</f>
        <v>144</v>
      </c>
      <c r="AE215" s="255">
        <f>(ASINH(FMS_Ranking4[[#This Row],[Road Miles Raw]]))*(10)/(ASINH(AD$4))</f>
        <v>6.0351707026054822</v>
      </c>
      <c r="AF215" s="256">
        <f>FMS_Ranking4[[#This Row],[Length of roads at risk, ArcSinh (0-10)]]*AD$5*10</f>
        <v>6.0351707026054822</v>
      </c>
      <c r="AG215" s="253">
        <f>_xlfn.XLOOKUP(FMS_Ranking4[[#This Row],[FMS ID]],FMS_Input[FMS_ID],FMS_Input[FARMACRE100])</f>
        <v>1379.489990234375</v>
      </c>
      <c r="AH215" s="255">
        <f>(ASINH(FMS_Ranking4[[#This Row],[Ag Land Raw]]))*(10)/(ASINH(AG$4))</f>
        <v>5.1463848340763141</v>
      </c>
      <c r="AI215" s="260">
        <f>FMS_Ranking4[[#This Row],[Farm &amp; ranch land, ArcSinh (0-10)]]*AG$5*10</f>
        <v>2.573192417038157</v>
      </c>
      <c r="AJ215" s="258">
        <f>_xlfn.XLOOKUP(FMS_Ranking4[[#This Row],[FMS ID]],FMS_Input[FMS_ID],FMS_Input[REDSTRUCT100])</f>
        <v>0</v>
      </c>
      <c r="AK215" s="253">
        <f>_xlfn.XLOOKUP(FMS_Ranking4[[#This Row],[FMS ID]],FMS_Input[FMS_ID],FMS_Input[REMSTRC100])</f>
        <v>0</v>
      </c>
      <c r="AL215" s="255">
        <f>(ASINH(FMS_Ranking4[[#This Row],[Structures Removed Raw]]))*(10)/(ASINH(AK$4))</f>
        <v>0</v>
      </c>
      <c r="AM215" s="262">
        <f>FMS_Ranking4[[#This Row],[Structures removed, ArcSinh (0-10)]]*AK$5*10</f>
        <v>0</v>
      </c>
      <c r="AN215" s="253">
        <f>_xlfn.XLOOKUP(FMS_Ranking4[[#This Row],[FMS ID]],FMS_Input[FMS_ID],FMS_Input[REMRESSTRC100])</f>
        <v>0</v>
      </c>
      <c r="AO215" s="261">
        <f>FMS_Ranking4[[#This Row],[ArcSinh Res struct removed 0-10]]*AN$5*10</f>
        <v>0</v>
      </c>
      <c r="AP215" s="260">
        <f>ASINH(FMS_Ranking4[[#This Row],[Residential Structures Removed Raw]])/AP$4*AN$5*100</f>
        <v>0</v>
      </c>
      <c r="AQ215" s="258">
        <f>(ASINH(FMS_Ranking4[[#This Row],[Residential Structures Removed Raw]]))*(10)/(ASINH(AN$4))</f>
        <v>0</v>
      </c>
      <c r="AR215" s="253">
        <f>_xlfn.XLOOKUP(FMS_Ranking4[[#This Row],[FMS ID]],FMS_Input[FMS_ID],FMS_Input[REMPOP100])</f>
        <v>0</v>
      </c>
      <c r="AS215" s="255">
        <f>(ASINH(FMS_Ranking4[[#This Row],[Removed Pop Raw]]))*(10)/(ASINH(AR$4))</f>
        <v>0</v>
      </c>
      <c r="AT215" s="262">
        <f>FMS_Ranking4[[#This Row],[Removed population, ArcSinh (0-10)]]*AR$5*10</f>
        <v>0</v>
      </c>
      <c r="AU215" s="264">
        <f>_xlfn.XLOOKUP(FMS_Ranking4[[#This Row],[FMS ID]],FMS_Input[FMS_ID],FMS_Input[REMCRITFAC100])</f>
        <v>0</v>
      </c>
      <c r="AV215" s="264">
        <f>_xlfn.XLOOKUP(FMS_Ranking4[[#This Row],[FMS ID]],FMS_Input[FMS_ID],FMS_Input[REMLWC100])</f>
        <v>0</v>
      </c>
      <c r="AW215" s="264">
        <f>_xlfn.XLOOKUP(FMS_Ranking4[[#This Row],[FMS ID]],FMS_Input[FMS_ID],FMS_Input[REMROADCLS])</f>
        <v>0</v>
      </c>
      <c r="AX215" s="264">
        <f>_xlfn.XLOOKUP(FMS_Ranking4[[#This Row],[FMS ID]],FMS_Input[FMS_ID],FMS_Input[REMFRMACRE100])</f>
        <v>0</v>
      </c>
      <c r="AY215" s="258">
        <f>_xlfn.XLOOKUP(FMS_Ranking4[[#This Row],[FMS ID]],FMS_Input[FMS_ID],FMS_Input[COSTSTRUCT])</f>
        <v>0</v>
      </c>
      <c r="AZ215" s="253">
        <f>_xlfn.XLOOKUP(FMS_Ranking4[[#This Row],[FMS ID]],FMS_Input[FMS_ID],FMS_Input[NATURE])</f>
        <v>0</v>
      </c>
      <c r="BA215" s="262">
        <f>(((FMS_Ranking4[[#This Row],[% NBS Raw]]/AZ$4)*100)*AZ$5)</f>
        <v>0</v>
      </c>
      <c r="BB215" s="251" t="str">
        <f>_xlfn.XLOOKUP(FMS_Ranking4[[#This Row],[FMS ID]],FMS_Input[FMS_ID],FMS_Input[WATER_SUP])</f>
        <v>No</v>
      </c>
      <c r="BC215" s="265">
        <f>IF(FMS_Ranking4[[#This Row],[Water Supply Raw]]="Yes",10,0)</f>
        <v>0</v>
      </c>
      <c r="BD215" s="266">
        <f>_xlfn.XLOOKUP(FMS_Ranking4[[#This Row],[FMS Type]],FMS_TYPE[FMS_Type],FMS_TYPE[Score])</f>
        <v>2</v>
      </c>
      <c r="BE215" s="267">
        <f>FMS_Ranking4[[#This Row],[FMS_Type Score]]*$BD$5*10</f>
        <v>0.5</v>
      </c>
      <c r="BF21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0.62433729274778471</v>
      </c>
      <c r="BG215" s="321">
        <f>_xlfn.RANK.EQ(BF215,$BF$8:$BF$870,0)+COUNTIF($BF$8:BF215,BF215)-1</f>
        <v>192</v>
      </c>
      <c r="BH215" s="294">
        <f>(((FMS_Ranking4[[#This Row],[Structures Removed Raw]]/AK$4)*100)*AK$5)+(((FMS_Ranking4[[#This Row],[Removed Pop Raw]]/AR$4)*100)*AR$5)</f>
        <v>0</v>
      </c>
      <c r="BI21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1.1243372927477848</v>
      </c>
      <c r="BJ215" s="251">
        <f>_xlfn.RANK.EQ(FMS_Ranking4[[#This Row],[Total Score 
(with linear
normalization)]],FMS_Ranking4[Total Score 
(with linear
normalization)],0)</f>
        <v>675</v>
      </c>
      <c r="BK215" s="251" t="e">
        <f>_xlfn.XLOOKUP(FMS_Ranking4[[#This Row],[FMS ID]],#REF!,#REF!)</f>
        <v>#REF!</v>
      </c>
      <c r="BL21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29.967561172204334</v>
      </c>
      <c r="BM215" s="324">
        <f>FMS_Ranking4[[#This Row],[ArcSinh Score Based on Normalized Reported Factors]]+FMS_Ranking4[[#This Row],[% NBS Score (Normalized)]]+(FMS_Ranking4[[#This Row],[Water Supply Score (Normalized)]]*10*$BB$5)+FMS_Ranking4[[#This Row],[FMS_Type Score Weighted]]</f>
        <v>30.467561172204334</v>
      </c>
      <c r="BN215" s="251">
        <f>_xlfn.RANK.EQ(FMS_Ranking4[[#This Row],[Total Score (with ArcSinh normalization of select criteria)]],FMS_Ranking4[Total Score (with ArcSinh normalization of select criteria)],0)</f>
        <v>208</v>
      </c>
      <c r="BO215" s="270" t="str">
        <f>_xlfn.XLOOKUP(FMS_Ranking4[[#This Row],[FMS ID]],FMS_Input[FMS_ID],FMS_Input[FMS_RANK_YEAR])</f>
        <v>2023 Amended Plan</v>
      </c>
      <c r="BP215" s="204">
        <f>_xlfn.XLOOKUP(FMS_Ranking4[[#This Row],[FMS ID]],Prev_Rank[FMS ID],Prev_Rank[Prev Rank])</f>
        <v>177</v>
      </c>
      <c r="BQ215" s="251" t="e">
        <f>_xlfn.XLOOKUP(FMS_Ranking4[[#This Row],[FMS ID]],#REF!,#REF!)</f>
        <v>#REF!</v>
      </c>
      <c r="BR215" s="199" t="e">
        <f>SUM(#REF!,#REF!,#REF!,#REF!,#REF!,#REF!,#REF!,#REF!,#REF!,FMS_Ranking4[[#This Row],[ArcSinh Res struct removed 0-10]],#REF!)</f>
        <v>#REF!</v>
      </c>
      <c r="BS215" s="199" t="e">
        <f>FMS_Ranking4[[#This Row],[Log Score Based on Normalized Reported Factors]]+FMS_Ranking4[[#This Row],[% NBS Score (Normalized)]]+(FMS_Ranking4[[#This Row],[Water Supply Score (Normalized)]]*10*$BB$5)+(FMS_Ranking4[[#This Row],[FMS_Type Score Weighted]])</f>
        <v>#REF!</v>
      </c>
      <c r="BT215" s="200" t="e">
        <f>_xlfn.RANK.EQ(FMS_Ranking4[[#This Row],[Log Total Score]],FMS_Ranking4[Log Total Score],0)</f>
        <v>#REF!</v>
      </c>
      <c r="BU215" s="200" t="e">
        <f>_xlfn.XLOOKUP(FMS_Ranking4[[#This Row],[FMS ID]],#REF!,#REF!)</f>
        <v>#REF!</v>
      </c>
      <c r="BV215" s="200">
        <f>FMS_Ranking4[[#This Row],[Region Number]]</f>
        <v>6</v>
      </c>
      <c r="BW215" s="200">
        <f>FMS_Ranking4[[#This Row],[Rank (with ArcSinh normalization of select criteria)]]-FMS_Ranking4[[#This Row],[Rank
(with linear
normalization)]]</f>
        <v>-467</v>
      </c>
      <c r="BX215" s="200" t="e">
        <f>FMS_Ranking4[[#This Row],[Log Rank]]-FMS_Ranking4[[#This Row],[Rank
(with linear
normalization)]]</f>
        <v>#REF!</v>
      </c>
      <c r="BY215" s="200" t="str">
        <f>IF(FMS_Ranking4[[#This Row],[FMS Type]]="Flood Measurement and Warning",FMS_Ranking4[[#This Row],[Rank (with ArcSinh normalization of select criteria)]],"")</f>
        <v/>
      </c>
      <c r="BZ215" s="200" t="str">
        <f>IF(FMS_Ranking4[[#This Row],[FMS Type]]="Regulatory and Guidance",FMS_Ranking4[[#This Row],[Rank (with ArcSinh normalization of select criteria)]],"")</f>
        <v/>
      </c>
      <c r="CA215" s="200" t="str">
        <f>IF(FMS_Ranking4[[#This Row],[FMS Type]]="Education and Outreach",FMS_Ranking4[[#This Row],[Rank (with ArcSinh normalization of select criteria)]],"")</f>
        <v/>
      </c>
      <c r="CB215" s="200" t="str">
        <f>IF(FMS_Ranking4[[#This Row],[FMS Type]]="Property Acquisition and Structural Elevation",FMS_Ranking4[[#This Row],[Rank (with ArcSinh normalization of select criteria)]],"")</f>
        <v/>
      </c>
      <c r="CC215" s="200" t="str">
        <f>IF(FMS_Ranking4[[#This Row],[FMS Type]]="Infrastructure Projects",FMS_Ranking4[[#This Row],[Rank (with ArcSinh normalization of select criteria)]],"")</f>
        <v/>
      </c>
      <c r="CD215" s="200">
        <f>IF(FMS_Ranking4[[#This Row],[FMS Type]]="Other",FMS_Ranking4[[#This Row],[Rank (with ArcSinh normalization of select criteria)]],"")</f>
        <v>208</v>
      </c>
      <c r="CE215" s="201"/>
      <c r="CF215" s="206"/>
      <c r="CG215" s="206"/>
      <c r="CH215" s="206"/>
      <c r="CI215" s="206"/>
      <c r="CJ215" s="206"/>
      <c r="CK215" s="206"/>
      <c r="CL215" s="206"/>
      <c r="CM215" s="206"/>
      <c r="CN215" s="206"/>
      <c r="CO215" s="206"/>
      <c r="CP215" s="206"/>
      <c r="CQ215" s="206"/>
      <c r="CR215" s="206"/>
    </row>
    <row r="216" spans="2:96" ht="60" x14ac:dyDescent="0.25">
      <c r="B216" s="341" t="s">
        <v>1795</v>
      </c>
      <c r="C216" s="246">
        <f>_xlfn.XLOOKUP(FMS_Ranking4[[#This Row],[FMS ID]],FMS_Input[FMS_ID],FMS_Input[RFPG_NUM])</f>
        <v>3</v>
      </c>
      <c r="D216" s="309" t="str">
        <f>_xlfn.XLOOKUP(FMS_Ranking4[[#This Row],[FMS ID]],FMS_Input[FMS_ID],FMS_Input[FMS_NAME])</f>
        <v>Cooke County Flood Education and Flood Insurance Public Awareness Program</v>
      </c>
      <c r="E216" s="308" t="str">
        <f>_xlfn.XLOOKUP(FMS_Ranking4[[#This Row],[FMS ID]],FMS_Input[FMS_ID],FMS_Input[SPONSOR])</f>
        <v>Cooke County</v>
      </c>
      <c r="F216" s="309" t="str">
        <f>_xlfn.XLOOKUP(FMS_Ranking4[[#This Row],[FMS ID]],Sponsor[FMS_ID],Sponsor[SPONSOR NAME])</f>
        <v>Cooke County</v>
      </c>
      <c r="G216" s="309" t="str">
        <f>_xlfn.XLOOKUP(FMS_Ranking4[[#This Row],[FMS ID]],FMS_Input[FMS_ID],FMS_Input[FMS_DESCR])</f>
        <v>Education of the public on the importance of Flood Insurance. “Turn Around Don’t Drown” campaign.</v>
      </c>
      <c r="H216" s="248" t="str">
        <f>_xlfn.XLOOKUP(FMS_Ranking4[[#This Row],[FMS ID]],FMS_Input[FMS_ID],FMS_Input[FMS_TYPE])</f>
        <v>Education and Outreach</v>
      </c>
      <c r="I216" s="249">
        <f>_xlfn.XLOOKUP(FMS_Ranking4[[#This Row],[FMS ID]],FMS_Input[FMS_ID],FMS_Input[NRNC_COST])</f>
        <v>50000</v>
      </c>
      <c r="J216" s="250">
        <f>_xlfn.XLOOKUP(FMS_Ranking4[[#This Row],[FMS ID]],FMS_Input[FMS_ID],FMS_Input[FMS_COST])</f>
        <v>50000</v>
      </c>
      <c r="K216" s="251" t="str">
        <f>_xlfn.XLOOKUP(FMS_Ranking4[[#This Row],[FMS ID]],FMS_Input[FMS_ID],FMS_Input[EMER_NEED])</f>
        <v>No</v>
      </c>
      <c r="L216" s="252">
        <f t="shared" si="3"/>
        <v>0</v>
      </c>
      <c r="M216" s="253">
        <f>_xlfn.XLOOKUP(FMS_Ranking4[[#This Row],[FMS ID]],FMS_Input[FMS_ID],FMS_Input[STRUCT_100])</f>
        <v>1328</v>
      </c>
      <c r="N216" s="255">
        <f>(ASINH(FMS_Ranking4[[#This Row],[Structure at Risk Raw]]))*(10)/(ASINH(M$4))</f>
        <v>6.1984512113661445</v>
      </c>
      <c r="O216" s="256">
        <f>FMS_Ranking4[[#This Row],[Structures at risk, ArcSinh (0-10)]]*M$5*10</f>
        <v>6.1984512113661445</v>
      </c>
      <c r="P216" s="253">
        <f>_xlfn.XLOOKUP(FMS_Ranking4[[#This Row],[FMS ID]],FMS_Input[FMS_ID],FMS_Input[RES_STRUCT100])</f>
        <v>964</v>
      </c>
      <c r="Q216" s="257">
        <f>ASINH(FMS_Ranking4[[#This Row],[Res Structure Raw]])/Q$4*P$5*100</f>
        <v>0</v>
      </c>
      <c r="R216" s="253">
        <f>_xlfn.XLOOKUP(FMS_Ranking4[[#This Row],[FMS ID]],FMS_Input[FMS_ID],FMS_Input[POP100])</f>
        <v>1528</v>
      </c>
      <c r="S216" s="259">
        <f>(ASINH(FMS_Ranking4[[#This Row],[Pop at Risk Raw]]))*(10)/(ASINH(R$4))</f>
        <v>5.5400296071364963</v>
      </c>
      <c r="T216" s="256">
        <f>FMS_Ranking4[[#This Row],[Population at risk, ArcSinh (0-10)]]*R$5*10</f>
        <v>5.5400296071364963</v>
      </c>
      <c r="U216" s="253">
        <f>_xlfn.XLOOKUP(FMS_Ranking4[[#This Row],[FMS ID]],FMS_Input[FMS_ID],FMS_Input[CRITFAC100])</f>
        <v>7</v>
      </c>
      <c r="V216" s="259">
        <f>(ASINH(FMS_Ranking4[[#This Row],[Critical Facilities Raw]]))*(10)/(ASINH(U$4))</f>
        <v>3.1300153354232236</v>
      </c>
      <c r="W216" s="256">
        <f>FMS_Ranking4[[#This Row],[Critical facilities at risk, ArcSinh (0-10)]]*U$5*10</f>
        <v>3.1300153354232241</v>
      </c>
      <c r="X216" s="253">
        <f>_xlfn.XLOOKUP(FMS_Ranking4[[#This Row],[FMS ID]],FMS_Input[FMS_ID],FMS_Input[LWC])</f>
        <v>17</v>
      </c>
      <c r="Y216" s="259">
        <f>(ASINH(FMS_Ranking4[[#This Row],[LWC Raw]]))*(10)/(ASINH(X$4))</f>
        <v>4.7784642222450291</v>
      </c>
      <c r="Z216" s="256">
        <f>FMS_Ranking4[[#This Row],[LWC, ArcSInh (0-10)]]*X$5*10</f>
        <v>4.7784642222450291</v>
      </c>
      <c r="AA216" s="253">
        <f>_xlfn.XLOOKUP(FMS_Ranking4[[#This Row],[FMS ID]],FMS_Input[FMS_ID],FMS_Input[ROADCLS])</f>
        <v>0</v>
      </c>
      <c r="AB216" s="255">
        <f>(ASINH(FMS_Ranking4[[#This Row],[Road Closures Raw]]))*(10)/(ASINH(AA$4))</f>
        <v>0</v>
      </c>
      <c r="AC216" s="256">
        <f>FMS_Ranking4[[#This Row],[Road closures, ArcSinh (0-10)]]*AA$5*10</f>
        <v>0</v>
      </c>
      <c r="AD216" s="253">
        <f>_xlfn.XLOOKUP(FMS_Ranking4[[#This Row],[FMS ID]],FMS_Input[FMS_ID],FMS_Input[ROAD_MILES100])</f>
        <v>81</v>
      </c>
      <c r="AE216" s="259">
        <f>(ASINH(FMS_Ranking4[[#This Row],[Road Miles Raw]]))*(10)/(ASINH(AD$4))</f>
        <v>5.4220185782716328</v>
      </c>
      <c r="AF216" s="256">
        <f>FMS_Ranking4[[#This Row],[Length of roads at risk, ArcSinh (0-10)]]*AD$5*10</f>
        <v>5.4220185782716337</v>
      </c>
      <c r="AG216" s="253">
        <f>_xlfn.XLOOKUP(FMS_Ranking4[[#This Row],[FMS ID]],FMS_Input[FMS_ID],FMS_Input[FARMACRE100])</f>
        <v>40878.87109375</v>
      </c>
      <c r="AH216" s="255">
        <f>(ASINH(FMS_Ranking4[[#This Row],[Ag Land Raw]]))*(10)/(ASINH(AG$4))</f>
        <v>7.3477510471065095</v>
      </c>
      <c r="AI216" s="260">
        <f>FMS_Ranking4[[#This Row],[Farm &amp; ranch land, ArcSinh (0-10)]]*AG$5*10</f>
        <v>3.6738755235532548</v>
      </c>
      <c r="AJ216" s="258">
        <f>_xlfn.XLOOKUP(FMS_Ranking4[[#This Row],[FMS ID]],FMS_Input[FMS_ID],FMS_Input[REDSTRUCT100])</f>
        <v>0</v>
      </c>
      <c r="AK216" s="253">
        <f>_xlfn.XLOOKUP(FMS_Ranking4[[#This Row],[FMS ID]],FMS_Input[FMS_ID],FMS_Input[REMSTRC100])</f>
        <v>0</v>
      </c>
      <c r="AL216" s="259">
        <f>(ASINH(FMS_Ranking4[[#This Row],[Structures Removed Raw]]))*(10)/(ASINH(AK$4))</f>
        <v>0</v>
      </c>
      <c r="AM216" s="262">
        <f>FMS_Ranking4[[#This Row],[Structures removed, ArcSinh (0-10)]]*AK$5*10</f>
        <v>0</v>
      </c>
      <c r="AN216" s="253">
        <f>_xlfn.XLOOKUP(FMS_Ranking4[[#This Row],[FMS ID]],FMS_Input[FMS_ID],FMS_Input[REMRESSTRC100])</f>
        <v>0</v>
      </c>
      <c r="AO216" s="261">
        <f>FMS_Ranking4[[#This Row],[ArcSinh Res struct removed 0-10]]*AN$5*10</f>
        <v>0</v>
      </c>
      <c r="AP216" s="260">
        <f>ASINH(FMS_Ranking4[[#This Row],[Residential Structures Removed Raw]])/AP$4*AN$5*100</f>
        <v>0</v>
      </c>
      <c r="AQ216" s="254">
        <f>(ASINH(FMS_Ranking4[[#This Row],[Residential Structures Removed Raw]]))*(10)/(ASINH(AN$4))</f>
        <v>0</v>
      </c>
      <c r="AR216" s="253">
        <f>_xlfn.XLOOKUP(FMS_Ranking4[[#This Row],[FMS ID]],FMS_Input[FMS_ID],FMS_Input[REMPOP100])</f>
        <v>0</v>
      </c>
      <c r="AS216" s="259">
        <f>(ASINH(FMS_Ranking4[[#This Row],[Removed Pop Raw]]))*(10)/(ASINH(AR$4))</f>
        <v>0</v>
      </c>
      <c r="AT216" s="262">
        <f>FMS_Ranking4[[#This Row],[Removed population, ArcSinh (0-10)]]*AR$5*10</f>
        <v>0</v>
      </c>
      <c r="AU216" s="264">
        <f>_xlfn.XLOOKUP(FMS_Ranking4[[#This Row],[FMS ID]],FMS_Input[FMS_ID],FMS_Input[REMCRITFAC100])</f>
        <v>0</v>
      </c>
      <c r="AV216" s="264">
        <f>_xlfn.XLOOKUP(FMS_Ranking4[[#This Row],[FMS ID]],FMS_Input[FMS_ID],FMS_Input[REMLWC100])</f>
        <v>0</v>
      </c>
      <c r="AW216" s="264">
        <f>_xlfn.XLOOKUP(FMS_Ranking4[[#This Row],[FMS ID]],FMS_Input[FMS_ID],FMS_Input[REMROADCLS])</f>
        <v>0</v>
      </c>
      <c r="AX216" s="264">
        <f>_xlfn.XLOOKUP(FMS_Ranking4[[#This Row],[FMS ID]],FMS_Input[FMS_ID],FMS_Input[REMFRMACRE100])</f>
        <v>0</v>
      </c>
      <c r="AY216" s="258">
        <f>_xlfn.XLOOKUP(FMS_Ranking4[[#This Row],[FMS ID]],FMS_Input[FMS_ID],FMS_Input[COSTSTRUCT])</f>
        <v>0</v>
      </c>
      <c r="AZ216" s="253">
        <f>_xlfn.XLOOKUP(FMS_Ranking4[[#This Row],[FMS ID]],FMS_Input[FMS_ID],FMS_Input[NATURE])</f>
        <v>0</v>
      </c>
      <c r="BA216" s="262">
        <f>(((FMS_Ranking4[[#This Row],[% NBS Raw]]/AZ$4)*100)*AZ$5)</f>
        <v>0</v>
      </c>
      <c r="BB216" s="251" t="str">
        <f>_xlfn.XLOOKUP(FMS_Ranking4[[#This Row],[FMS ID]],FMS_Input[FMS_ID],FMS_Input[WATER_SUP])</f>
        <v>No</v>
      </c>
      <c r="BC216" s="265">
        <f>IF(FMS_Ranking4[[#This Row],[Water Supply Raw]]="Yes",10,0)</f>
        <v>0</v>
      </c>
      <c r="BD216" s="266">
        <f>_xlfn.XLOOKUP(FMS_Ranking4[[#This Row],[FMS Type]],FMS_TYPE[FMS_Type],FMS_TYPE[Score])</f>
        <v>6</v>
      </c>
      <c r="BE216" s="267">
        <f>FMS_Ranking4[[#This Row],[FMS_Type Score]]*$BD$5*10</f>
        <v>1.5000000000000002</v>
      </c>
      <c r="BF21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0.55733479315022449</v>
      </c>
      <c r="BG216" s="271">
        <f>_xlfn.RANK.EQ(BF216,$BF$8:$BF$870,0)+COUNTIF($BF$8:BF216,BF216)-1</f>
        <v>209</v>
      </c>
      <c r="BH216" s="268">
        <f>(((FMS_Ranking4[[#This Row],[Structures Removed Raw]]/AK$4)*100)*AK$5)+(((FMS_Ranking4[[#This Row],[Removed Pop Raw]]/AR$4)*100)*AR$5)</f>
        <v>0</v>
      </c>
      <c r="BI21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2.0573347931502246</v>
      </c>
      <c r="BJ216" s="205">
        <f>_xlfn.RANK.EQ(FMS_Ranking4[[#This Row],[Total Score 
(with linear
normalization)]],FMS_Ranking4[Total Score 
(with linear
normalization)],0)</f>
        <v>384</v>
      </c>
      <c r="BK216" s="205" t="e">
        <f>_xlfn.XLOOKUP(FMS_Ranking4[[#This Row],[FMS ID]],#REF!,#REF!)</f>
        <v>#REF!</v>
      </c>
      <c r="BL21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28.742854477995785</v>
      </c>
      <c r="BM216" s="272">
        <f>FMS_Ranking4[[#This Row],[ArcSinh Score Based on Normalized Reported Factors]]+FMS_Ranking4[[#This Row],[% NBS Score (Normalized)]]+(FMS_Ranking4[[#This Row],[Water Supply Score (Normalized)]]*10*$BB$5)+FMS_Ranking4[[#This Row],[FMS_Type Score Weighted]]</f>
        <v>30.242854477995785</v>
      </c>
      <c r="BN216" s="205">
        <f>_xlfn.RANK.EQ(FMS_Ranking4[[#This Row],[Total Score (with ArcSinh normalization of select criteria)]],FMS_Ranking4[Total Score (with ArcSinh normalization of select criteria)],0)</f>
        <v>209</v>
      </c>
      <c r="BO216" s="270" t="str">
        <f>_xlfn.XLOOKUP(FMS_Ranking4[[#This Row],[FMS ID]],FMS_Input[FMS_ID],FMS_Input[FMS_RANK_YEAR])</f>
        <v>2023 Amended Plan</v>
      </c>
      <c r="BP216" s="204">
        <f>_xlfn.XLOOKUP(FMS_Ranking4[[#This Row],[FMS ID]],Prev_Rank[FMS ID],Prev_Rank[Prev Rank])</f>
        <v>178</v>
      </c>
      <c r="BQ216" s="205" t="e">
        <f>_xlfn.XLOOKUP(FMS_Ranking4[[#This Row],[FMS ID]],#REF!,#REF!)</f>
        <v>#REF!</v>
      </c>
      <c r="BR216" s="199" t="e">
        <f>SUM(#REF!,#REF!,#REF!,#REF!,#REF!,#REF!,#REF!,#REF!,#REF!,FMS_Ranking4[[#This Row],[ArcSinh Res struct removed 0-10]],#REF!)</f>
        <v>#REF!</v>
      </c>
      <c r="BS216" s="199" t="e">
        <f>FMS_Ranking4[[#This Row],[Log Score Based on Normalized Reported Factors]]+FMS_Ranking4[[#This Row],[% NBS Score (Normalized)]]+(FMS_Ranking4[[#This Row],[Water Supply Score (Normalized)]]*10*$BB$5)+(FMS_Ranking4[[#This Row],[FMS_Type Score Weighted]])</f>
        <v>#REF!</v>
      </c>
      <c r="BT216" s="200" t="e">
        <f>_xlfn.RANK.EQ(FMS_Ranking4[[#This Row],[Log Total Score]],FMS_Ranking4[Log Total Score],0)</f>
        <v>#REF!</v>
      </c>
      <c r="BU216" s="200" t="e">
        <f>_xlfn.XLOOKUP(FMS_Ranking4[[#This Row],[FMS ID]],#REF!,#REF!)</f>
        <v>#REF!</v>
      </c>
      <c r="BV216" s="200">
        <f>FMS_Ranking4[[#This Row],[Region Number]]</f>
        <v>3</v>
      </c>
      <c r="BW216" s="200">
        <f>FMS_Ranking4[[#This Row],[Rank (with ArcSinh normalization of select criteria)]]-FMS_Ranking4[[#This Row],[Rank
(with linear
normalization)]]</f>
        <v>-175</v>
      </c>
      <c r="BX216" s="200" t="e">
        <f>FMS_Ranking4[[#This Row],[Log Rank]]-FMS_Ranking4[[#This Row],[Rank
(with linear
normalization)]]</f>
        <v>#REF!</v>
      </c>
      <c r="BY216" s="200" t="str">
        <f>IF(FMS_Ranking4[[#This Row],[FMS Type]]="Flood Measurement and Warning",FMS_Ranking4[[#This Row],[Rank (with ArcSinh normalization of select criteria)]],"")</f>
        <v/>
      </c>
      <c r="BZ216" s="200" t="str">
        <f>IF(FMS_Ranking4[[#This Row],[FMS Type]]="Regulatory and Guidance",FMS_Ranking4[[#This Row],[Rank (with ArcSinh normalization of select criteria)]],"")</f>
        <v/>
      </c>
      <c r="CA216" s="200">
        <f>IF(FMS_Ranking4[[#This Row],[FMS Type]]="Education and Outreach",FMS_Ranking4[[#This Row],[Rank (with ArcSinh normalization of select criteria)]],"")</f>
        <v>209</v>
      </c>
      <c r="CB216" s="200" t="str">
        <f>IF(FMS_Ranking4[[#This Row],[FMS Type]]="Property Acquisition and Structural Elevation",FMS_Ranking4[[#This Row],[Rank (with ArcSinh normalization of select criteria)]],"")</f>
        <v/>
      </c>
      <c r="CC216" s="200" t="str">
        <f>IF(FMS_Ranking4[[#This Row],[FMS Type]]="Infrastructure Projects",FMS_Ranking4[[#This Row],[Rank (with ArcSinh normalization of select criteria)]],"")</f>
        <v/>
      </c>
      <c r="CD216" s="200" t="str">
        <f>IF(FMS_Ranking4[[#This Row],[FMS Type]]="Other",FMS_Ranking4[[#This Row],[Rank (with ArcSinh normalization of select criteria)]],"")</f>
        <v/>
      </c>
      <c r="CE216" s="201"/>
      <c r="CF216" s="206"/>
      <c r="CG216" s="206"/>
      <c r="CH216" s="206"/>
      <c r="CI216" s="206"/>
      <c r="CJ216" s="206"/>
      <c r="CK216" s="206"/>
      <c r="CL216" s="206"/>
      <c r="CM216" s="206"/>
      <c r="CN216" s="206"/>
      <c r="CO216" s="206"/>
      <c r="CP216" s="206"/>
      <c r="CQ216" s="206"/>
      <c r="CR216" s="206"/>
    </row>
    <row r="217" spans="2:96" ht="90" x14ac:dyDescent="0.25">
      <c r="B217" s="346" t="s">
        <v>124</v>
      </c>
      <c r="C217" s="246">
        <f>_xlfn.XLOOKUP(FMS_Ranking4[[#This Row],[FMS ID]],FMS_Input[FMS_ID],FMS_Input[RFPG_NUM])</f>
        <v>6</v>
      </c>
      <c r="D217" s="309" t="str">
        <f>_xlfn.XLOOKUP(FMS_Ranking4[[#This Row],[FMS ID]],FMS_Input[FMS_ID],FMS_Input[FMS_NAME])</f>
        <v>Waller County Flood Hazard Public Information Campaign</v>
      </c>
      <c r="E217" s="308" t="str">
        <f>_xlfn.XLOOKUP(FMS_Ranking4[[#This Row],[FMS ID]],FMS_Input[FMS_ID],FMS_Input[SPONSOR])</f>
        <v>00000024</v>
      </c>
      <c r="F217" s="309" t="str">
        <f>_xlfn.XLOOKUP(FMS_Ranking4[[#This Row],[FMS ID]],Sponsor[FMS_ID],Sponsor[SPONSOR NAME])</f>
        <v>Waller</v>
      </c>
      <c r="G217" s="309" t="str">
        <f>_xlfn.XLOOKUP(FMS_Ranking4[[#This Row],[FMS ID]],FMS_Input[FMS_ID],FMS_Input[FMS_DESCR])</f>
        <v>Posting of signage at high profile locations and use of social media to communicate threats/concers. Flood gauges for common flooded road crossings. Burn ban signs.</v>
      </c>
      <c r="H217" s="248" t="str">
        <f>_xlfn.XLOOKUP(FMS_Ranking4[[#This Row],[FMS ID]],FMS_Input[FMS_ID],FMS_Input[FMS_TYPE])</f>
        <v>Education and Outreach</v>
      </c>
      <c r="I217" s="249">
        <f>_xlfn.XLOOKUP(FMS_Ranking4[[#This Row],[FMS ID]],FMS_Input[FMS_ID],FMS_Input[NRNC_COST])</f>
        <v>1000</v>
      </c>
      <c r="J217" s="250">
        <f>_xlfn.XLOOKUP(FMS_Ranking4[[#This Row],[FMS ID]],FMS_Input[FMS_ID],FMS_Input[FMS_COST])</f>
        <v>20000</v>
      </c>
      <c r="K217" s="251" t="str">
        <f>_xlfn.XLOOKUP(FMS_Ranking4[[#This Row],[FMS ID]],FMS_Input[FMS_ID],FMS_Input[EMER_NEED])</f>
        <v>No</v>
      </c>
      <c r="L217" s="252">
        <f t="shared" si="3"/>
        <v>0</v>
      </c>
      <c r="M217" s="253">
        <f>_xlfn.XLOOKUP(FMS_Ranking4[[#This Row],[FMS ID]],FMS_Input[FMS_ID],FMS_Input[STRUCT_100])</f>
        <v>1067</v>
      </c>
      <c r="N217" s="255">
        <f>(ASINH(FMS_Ranking4[[#This Row],[Structure at Risk Raw]]))*(10)/(ASINH(M$4))</f>
        <v>6.0264237513233843</v>
      </c>
      <c r="O217" s="256">
        <f>FMS_Ranking4[[#This Row],[Structures at risk, ArcSinh (0-10)]]*M$5*10</f>
        <v>6.0264237513233843</v>
      </c>
      <c r="P217" s="253">
        <f>_xlfn.XLOOKUP(FMS_Ranking4[[#This Row],[FMS ID]],FMS_Input[FMS_ID],FMS_Input[RES_STRUCT100])</f>
        <v>708</v>
      </c>
      <c r="Q217" s="257">
        <f>ASINH(FMS_Ranking4[[#This Row],[Res Structure Raw]])/Q$4*P$5*100</f>
        <v>0</v>
      </c>
      <c r="R217" s="253">
        <f>_xlfn.XLOOKUP(FMS_Ranking4[[#This Row],[FMS ID]],FMS_Input[FMS_ID],FMS_Input[POP100])</f>
        <v>1859</v>
      </c>
      <c r="S217" s="255">
        <f>(ASINH(FMS_Ranking4[[#This Row],[Pop at Risk Raw]]))*(10)/(ASINH(R$4))</f>
        <v>5.6753943445930526</v>
      </c>
      <c r="T217" s="256">
        <f>FMS_Ranking4[[#This Row],[Population at risk, ArcSinh (0-10)]]*R$5*10</f>
        <v>5.6753943445930535</v>
      </c>
      <c r="U217" s="253">
        <f>_xlfn.XLOOKUP(FMS_Ranking4[[#This Row],[FMS ID]],FMS_Input[FMS_ID],FMS_Input[CRITFAC100])</f>
        <v>6</v>
      </c>
      <c r="V217" s="255">
        <f>(ASINH(FMS_Ranking4[[#This Row],[Critical Facilities Raw]]))*(10)/(ASINH(U$4))</f>
        <v>2.9496796311809068</v>
      </c>
      <c r="W217" s="256">
        <f>FMS_Ranking4[[#This Row],[Critical facilities at risk, ArcSinh (0-10)]]*U$5*10</f>
        <v>2.9496796311809073</v>
      </c>
      <c r="X217" s="253">
        <f>_xlfn.XLOOKUP(FMS_Ranking4[[#This Row],[FMS ID]],FMS_Input[FMS_ID],FMS_Input[LWC])</f>
        <v>19</v>
      </c>
      <c r="Y217" s="255">
        <f>(ASINH(FMS_Ranking4[[#This Row],[LWC Raw]]))*(10)/(ASINH(X$4))</f>
        <v>4.9289126022409242</v>
      </c>
      <c r="Z217" s="256">
        <f>FMS_Ranking4[[#This Row],[LWC, ArcSInh (0-10)]]*X$5*10</f>
        <v>4.9289126022409242</v>
      </c>
      <c r="AA217" s="253">
        <f>_xlfn.XLOOKUP(FMS_Ranking4[[#This Row],[FMS ID]],FMS_Input[FMS_ID],FMS_Input[ROADCLS])</f>
        <v>19</v>
      </c>
      <c r="AB217" s="255">
        <f>(ASINH(FMS_Ranking4[[#This Row],[Road Closures Raw]]))*(10)/(ASINH(AA$4))</f>
        <v>3.7889325651726184</v>
      </c>
      <c r="AC217" s="256">
        <f>FMS_Ranking4[[#This Row],[Road closures, ArcSinh (0-10)]]*AA$5*10</f>
        <v>1.8944662825863092</v>
      </c>
      <c r="AD217" s="253">
        <f>_xlfn.XLOOKUP(FMS_Ranking4[[#This Row],[FMS ID]],FMS_Input[FMS_ID],FMS_Input[ROAD_MILES100])</f>
        <v>41</v>
      </c>
      <c r="AE217" s="255">
        <f>(ASINH(FMS_Ranking4[[#This Row],[Road Miles Raw]]))*(10)/(ASINH(AD$4))</f>
        <v>4.6965087826098246</v>
      </c>
      <c r="AF217" s="256">
        <f>FMS_Ranking4[[#This Row],[Length of roads at risk, ArcSinh (0-10)]]*AD$5*10</f>
        <v>4.6965087826098255</v>
      </c>
      <c r="AG217" s="253">
        <f>_xlfn.XLOOKUP(FMS_Ranking4[[#This Row],[FMS ID]],FMS_Input[FMS_ID],FMS_Input[FARMACRE100])</f>
        <v>1357.317260742188</v>
      </c>
      <c r="AH217" s="255">
        <f>(ASINH(FMS_Ranking4[[#This Row],[Ag Land Raw]]))*(10)/(ASINH(AG$4))</f>
        <v>5.1358592075550247</v>
      </c>
      <c r="AI217" s="260">
        <f>FMS_Ranking4[[#This Row],[Farm &amp; ranch land, ArcSinh (0-10)]]*AG$5*10</f>
        <v>2.5679296037775123</v>
      </c>
      <c r="AJ217" s="258">
        <f>_xlfn.XLOOKUP(FMS_Ranking4[[#This Row],[FMS ID]],FMS_Input[FMS_ID],FMS_Input[REDSTRUCT100])</f>
        <v>0</v>
      </c>
      <c r="AK217" s="253">
        <f>_xlfn.XLOOKUP(FMS_Ranking4[[#This Row],[FMS ID]],FMS_Input[FMS_ID],FMS_Input[REMSTRC100])</f>
        <v>0</v>
      </c>
      <c r="AL217" s="255">
        <f>(ASINH(FMS_Ranking4[[#This Row],[Structures Removed Raw]]))*(10)/(ASINH(AK$4))</f>
        <v>0</v>
      </c>
      <c r="AM217" s="262">
        <f>FMS_Ranking4[[#This Row],[Structures removed, ArcSinh (0-10)]]*AK$5*10</f>
        <v>0</v>
      </c>
      <c r="AN217" s="253">
        <f>_xlfn.XLOOKUP(FMS_Ranking4[[#This Row],[FMS ID]],FMS_Input[FMS_ID],FMS_Input[REMRESSTRC100])</f>
        <v>0</v>
      </c>
      <c r="AO217" s="261">
        <f>FMS_Ranking4[[#This Row],[ArcSinh Res struct removed 0-10]]*AN$5*10</f>
        <v>0</v>
      </c>
      <c r="AP217" s="260">
        <f>ASINH(FMS_Ranking4[[#This Row],[Residential Structures Removed Raw]])/AP$4*AN$5*100</f>
        <v>0</v>
      </c>
      <c r="AQ217" s="258">
        <f>(ASINH(FMS_Ranking4[[#This Row],[Residential Structures Removed Raw]]))*(10)/(ASINH(AN$4))</f>
        <v>0</v>
      </c>
      <c r="AR217" s="253">
        <f>_xlfn.XLOOKUP(FMS_Ranking4[[#This Row],[FMS ID]],FMS_Input[FMS_ID],FMS_Input[REMPOP100])</f>
        <v>0</v>
      </c>
      <c r="AS217" s="255">
        <f>(ASINH(FMS_Ranking4[[#This Row],[Removed Pop Raw]]))*(10)/(ASINH(AR$4))</f>
        <v>0</v>
      </c>
      <c r="AT217" s="262">
        <f>FMS_Ranking4[[#This Row],[Removed population, ArcSinh (0-10)]]*AR$5*10</f>
        <v>0</v>
      </c>
      <c r="AU217" s="264">
        <f>_xlfn.XLOOKUP(FMS_Ranking4[[#This Row],[FMS ID]],FMS_Input[FMS_ID],FMS_Input[REMCRITFAC100])</f>
        <v>0</v>
      </c>
      <c r="AV217" s="264">
        <f>_xlfn.XLOOKUP(FMS_Ranking4[[#This Row],[FMS ID]],FMS_Input[FMS_ID],FMS_Input[REMLWC100])</f>
        <v>0</v>
      </c>
      <c r="AW217" s="264">
        <f>_xlfn.XLOOKUP(FMS_Ranking4[[#This Row],[FMS ID]],FMS_Input[FMS_ID],FMS_Input[REMROADCLS])</f>
        <v>0</v>
      </c>
      <c r="AX217" s="264">
        <f>_xlfn.XLOOKUP(FMS_Ranking4[[#This Row],[FMS ID]],FMS_Input[FMS_ID],FMS_Input[REMFRMACRE100])</f>
        <v>0</v>
      </c>
      <c r="AY217" s="258">
        <f>_xlfn.XLOOKUP(FMS_Ranking4[[#This Row],[FMS ID]],FMS_Input[FMS_ID],FMS_Input[COSTSTRUCT])</f>
        <v>0</v>
      </c>
      <c r="AZ217" s="253">
        <f>_xlfn.XLOOKUP(FMS_Ranking4[[#This Row],[FMS ID]],FMS_Input[FMS_ID],FMS_Input[NATURE])</f>
        <v>0</v>
      </c>
      <c r="BA217" s="262">
        <f>(((FMS_Ranking4[[#This Row],[% NBS Raw]]/AZ$4)*100)*AZ$5)</f>
        <v>0</v>
      </c>
      <c r="BB217" s="251" t="str">
        <f>_xlfn.XLOOKUP(FMS_Ranking4[[#This Row],[FMS ID]],FMS_Input[FMS_ID],FMS_Input[WATER_SUP])</f>
        <v>No</v>
      </c>
      <c r="BC217" s="265">
        <f>IF(FMS_Ranking4[[#This Row],[Water Supply Raw]]="Yes",10,0)</f>
        <v>0</v>
      </c>
      <c r="BD217" s="266">
        <f>_xlfn.XLOOKUP(FMS_Ranking4[[#This Row],[FMS Type]],FMS_TYPE[FMS_Type],FMS_TYPE[Score])</f>
        <v>6</v>
      </c>
      <c r="BE217" s="267">
        <f>FMS_Ranking4[[#This Row],[FMS_Type Score]]*$BD$5*10</f>
        <v>1.5000000000000002</v>
      </c>
      <c r="BF21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0.42979235936589832</v>
      </c>
      <c r="BG217" s="293">
        <f>_xlfn.RANK.EQ(BF217,$BF$8:$BF$870,0)+COUNTIF($BF$8:BF217,BF217)-1</f>
        <v>252</v>
      </c>
      <c r="BH217" s="294">
        <f>(((FMS_Ranking4[[#This Row],[Structures Removed Raw]]/AK$4)*100)*AK$5)+(((FMS_Ranking4[[#This Row],[Removed Pop Raw]]/AR$4)*100)*AR$5)</f>
        <v>0</v>
      </c>
      <c r="BI21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1.9297923593658985</v>
      </c>
      <c r="BJ217" s="251">
        <f>_xlfn.RANK.EQ(FMS_Ranking4[[#This Row],[Total Score 
(with linear
normalization)]],FMS_Ranking4[Total Score 
(with linear
normalization)],0)</f>
        <v>527</v>
      </c>
      <c r="BK217" s="251" t="e">
        <f>_xlfn.XLOOKUP(FMS_Ranking4[[#This Row],[FMS ID]],#REF!,#REF!)</f>
        <v>#REF!</v>
      </c>
      <c r="BL21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28.739314998311912</v>
      </c>
      <c r="BM217" s="324">
        <f>FMS_Ranking4[[#This Row],[ArcSinh Score Based on Normalized Reported Factors]]+FMS_Ranking4[[#This Row],[% NBS Score (Normalized)]]+(FMS_Ranking4[[#This Row],[Water Supply Score (Normalized)]]*10*$BB$5)+FMS_Ranking4[[#This Row],[FMS_Type Score Weighted]]</f>
        <v>30.239314998311912</v>
      </c>
      <c r="BN217" s="251">
        <f>_xlfn.RANK.EQ(FMS_Ranking4[[#This Row],[Total Score (with ArcSinh normalization of select criteria)]],FMS_Ranking4[Total Score (with ArcSinh normalization of select criteria)],0)</f>
        <v>210</v>
      </c>
      <c r="BO217" s="270" t="str">
        <f>_xlfn.XLOOKUP(FMS_Ranking4[[#This Row],[FMS ID]],FMS_Input[FMS_ID],FMS_Input[FMS_RANK_YEAR])</f>
        <v>2023 Amended Plan</v>
      </c>
      <c r="BP217" s="324">
        <f>_xlfn.XLOOKUP(FMS_Ranking4[[#This Row],[FMS ID]],Prev_Rank[FMS ID],Prev_Rank[Prev Rank])</f>
        <v>182</v>
      </c>
      <c r="BQ217" s="251" t="e">
        <f>_xlfn.XLOOKUP(FMS_Ranking4[[#This Row],[FMS ID]],#REF!,#REF!)</f>
        <v>#REF!</v>
      </c>
      <c r="BR217" s="199" t="e">
        <f>SUM(#REF!,#REF!,#REF!,#REF!,#REF!,#REF!,#REF!,#REF!,#REF!,FMS_Ranking4[[#This Row],[ArcSinh Res struct removed 0-10]],#REF!)</f>
        <v>#REF!</v>
      </c>
      <c r="BS217" s="199" t="e">
        <f>FMS_Ranking4[[#This Row],[Log Score Based on Normalized Reported Factors]]+FMS_Ranking4[[#This Row],[% NBS Score (Normalized)]]+(FMS_Ranking4[[#This Row],[Water Supply Score (Normalized)]]*10*$BB$5)+(FMS_Ranking4[[#This Row],[FMS_Type Score Weighted]])</f>
        <v>#REF!</v>
      </c>
      <c r="BT217" s="200" t="e">
        <f>_xlfn.RANK.EQ(FMS_Ranking4[[#This Row],[Log Total Score]],FMS_Ranking4[Log Total Score],0)</f>
        <v>#REF!</v>
      </c>
      <c r="BU217" s="200" t="e">
        <f>_xlfn.XLOOKUP(FMS_Ranking4[[#This Row],[FMS ID]],#REF!,#REF!)</f>
        <v>#REF!</v>
      </c>
      <c r="BV217" s="200">
        <f>FMS_Ranking4[[#This Row],[Region Number]]</f>
        <v>6</v>
      </c>
      <c r="BW217" s="200">
        <f>FMS_Ranking4[[#This Row],[Rank (with ArcSinh normalization of select criteria)]]-FMS_Ranking4[[#This Row],[Rank
(with linear
normalization)]]</f>
        <v>-317</v>
      </c>
      <c r="BX217" s="200" t="e">
        <f>FMS_Ranking4[[#This Row],[Log Rank]]-FMS_Ranking4[[#This Row],[Rank
(with linear
normalization)]]</f>
        <v>#REF!</v>
      </c>
      <c r="BY217" s="200" t="str">
        <f>IF(FMS_Ranking4[[#This Row],[FMS Type]]="Flood Measurement and Warning",FMS_Ranking4[[#This Row],[Rank (with ArcSinh normalization of select criteria)]],"")</f>
        <v/>
      </c>
      <c r="BZ217" s="200" t="str">
        <f>IF(FMS_Ranking4[[#This Row],[FMS Type]]="Regulatory and Guidance",FMS_Ranking4[[#This Row],[Rank (with ArcSinh normalization of select criteria)]],"")</f>
        <v/>
      </c>
      <c r="CA217" s="200">
        <f>IF(FMS_Ranking4[[#This Row],[FMS Type]]="Education and Outreach",FMS_Ranking4[[#This Row],[Rank (with ArcSinh normalization of select criteria)]],"")</f>
        <v>210</v>
      </c>
      <c r="CB217" s="200" t="str">
        <f>IF(FMS_Ranking4[[#This Row],[FMS Type]]="Property Acquisition and Structural Elevation",FMS_Ranking4[[#This Row],[Rank (with ArcSinh normalization of select criteria)]],"")</f>
        <v/>
      </c>
      <c r="CC217" s="200" t="str">
        <f>IF(FMS_Ranking4[[#This Row],[FMS Type]]="Infrastructure Projects",FMS_Ranking4[[#This Row],[Rank (with ArcSinh normalization of select criteria)]],"")</f>
        <v/>
      </c>
      <c r="CD217" s="200" t="str">
        <f>IF(FMS_Ranking4[[#This Row],[FMS Type]]="Other",FMS_Ranking4[[#This Row],[Rank (with ArcSinh normalization of select criteria)]],"")</f>
        <v/>
      </c>
      <c r="CE217" s="201"/>
      <c r="CF217" s="206"/>
      <c r="CG217" s="206"/>
      <c r="CH217" s="206"/>
      <c r="CI217" s="206"/>
      <c r="CJ217" s="206"/>
      <c r="CK217" s="206"/>
      <c r="CL217" s="206"/>
      <c r="CM217" s="206"/>
      <c r="CN217" s="206"/>
      <c r="CO217" s="206"/>
      <c r="CP217" s="206"/>
      <c r="CQ217" s="206"/>
      <c r="CR217" s="206"/>
    </row>
    <row r="218" spans="2:96" ht="60" x14ac:dyDescent="0.25">
      <c r="B218" s="341" t="s">
        <v>4300</v>
      </c>
      <c r="C218" s="246">
        <f>_xlfn.XLOOKUP(FMS_Ranking4[[#This Row],[FMS ID]],FMS_Input[FMS_ID],FMS_Input[RFPG_NUM])</f>
        <v>15</v>
      </c>
      <c r="D218" s="309" t="str">
        <f>_xlfn.XLOOKUP(FMS_Ranking4[[#This Row],[FMS ID]],FMS_Input[FMS_ID],FMS_Input[FMS_NAME])</f>
        <v>City of San Benito - Flood Warning System, planning, operation &amp; maintenance</v>
      </c>
      <c r="E218" s="308" t="str">
        <f>_xlfn.XLOOKUP(FMS_Ranking4[[#This Row],[FMS ID]],FMS_Input[FMS_ID],FMS_Input[SPONSOR])</f>
        <v>15000073</v>
      </c>
      <c r="F218" s="309" t="str">
        <f>_xlfn.XLOOKUP(FMS_Ranking4[[#This Row],[FMS ID]],Sponsor[FMS_ID],Sponsor[SPONSOR NAME])</f>
        <v>San Benito</v>
      </c>
      <c r="G218" s="309" t="str">
        <f>_xlfn.XLOOKUP(FMS_Ranking4[[#This Row],[FMS ID]],FMS_Input[FMS_ID],FMS_Input[FMS_DESCR])</f>
        <v>Develop and Implement a Flood Warning System, planning, operation &amp; Maintenance plan</v>
      </c>
      <c r="H218" s="248" t="str">
        <f>_xlfn.XLOOKUP(FMS_Ranking4[[#This Row],[FMS ID]],FMS_Input[FMS_ID],FMS_Input[FMS_TYPE])</f>
        <v>Flood Measurement and Warning</v>
      </c>
      <c r="I218" s="249">
        <f>_xlfn.XLOOKUP(FMS_Ranking4[[#This Row],[FMS ID]],FMS_Input[FMS_ID],FMS_Input[NRNC_COST])</f>
        <v>600000</v>
      </c>
      <c r="J218" s="250">
        <f>_xlfn.XLOOKUP(FMS_Ranking4[[#This Row],[FMS ID]],FMS_Input[FMS_ID],FMS_Input[FMS_COST])</f>
        <v>5000000</v>
      </c>
      <c r="K218" s="251" t="str">
        <f>_xlfn.XLOOKUP(FMS_Ranking4[[#This Row],[FMS ID]],FMS_Input[FMS_ID],FMS_Input[EMER_NEED])</f>
        <v>Yes</v>
      </c>
      <c r="L218" s="252">
        <f t="shared" si="3"/>
        <v>1</v>
      </c>
      <c r="M218" s="253">
        <f>_xlfn.XLOOKUP(FMS_Ranking4[[#This Row],[FMS ID]],FMS_Input[FMS_ID],FMS_Input[STRUCT_100])</f>
        <v>5217</v>
      </c>
      <c r="N218" s="255">
        <f>(ASINH(FMS_Ranking4[[#This Row],[Structure at Risk Raw]]))*(10)/(ASINH(M$4))</f>
        <v>7.274098130286248</v>
      </c>
      <c r="O218" s="256">
        <f>FMS_Ranking4[[#This Row],[Structures at risk, ArcSinh (0-10)]]*M$5*10</f>
        <v>7.274098130286248</v>
      </c>
      <c r="P218" s="253">
        <f>_xlfn.XLOOKUP(FMS_Ranking4[[#This Row],[FMS ID]],FMS_Input[FMS_ID],FMS_Input[RES_STRUCT100])</f>
        <v>3999</v>
      </c>
      <c r="Q218" s="257">
        <f>ASINH(FMS_Ranking4[[#This Row],[Res Structure Raw]])/Q$4*P$5*100</f>
        <v>0</v>
      </c>
      <c r="R218" s="253">
        <f>_xlfn.XLOOKUP(FMS_Ranking4[[#This Row],[FMS ID]],FMS_Input[FMS_ID],FMS_Input[POP100])</f>
        <v>15210</v>
      </c>
      <c r="S218" s="255">
        <f>(ASINH(FMS_Ranking4[[#This Row],[Pop at Risk Raw]]))*(10)/(ASINH(R$4))</f>
        <v>7.126468173122376</v>
      </c>
      <c r="T218" s="256">
        <f>FMS_Ranking4[[#This Row],[Population at risk, ArcSinh (0-10)]]*R$5*10</f>
        <v>7.1264681731223769</v>
      </c>
      <c r="U218" s="253">
        <f>_xlfn.XLOOKUP(FMS_Ranking4[[#This Row],[FMS ID]],FMS_Input[FMS_ID],FMS_Input[CRITFAC100])</f>
        <v>3</v>
      </c>
      <c r="V218" s="255">
        <f>(ASINH(FMS_Ranking4[[#This Row],[Critical Facilities Raw]]))*(10)/(ASINH(U$4))</f>
        <v>2.152611706646717</v>
      </c>
      <c r="W218" s="256">
        <f>FMS_Ranking4[[#This Row],[Critical facilities at risk, ArcSinh (0-10)]]*U$5*10</f>
        <v>2.152611706646717</v>
      </c>
      <c r="X218" s="253">
        <f>_xlfn.XLOOKUP(FMS_Ranking4[[#This Row],[FMS ID]],FMS_Input[FMS_ID],FMS_Input[LWC])</f>
        <v>0</v>
      </c>
      <c r="Y218" s="255">
        <f>(ASINH(FMS_Ranking4[[#This Row],[LWC Raw]]))*(10)/(ASINH(X$4))</f>
        <v>0</v>
      </c>
      <c r="Z218" s="256">
        <f>FMS_Ranking4[[#This Row],[LWC, ArcSInh (0-10)]]*X$5*10</f>
        <v>0</v>
      </c>
      <c r="AA218" s="253">
        <f>_xlfn.XLOOKUP(FMS_Ranking4[[#This Row],[FMS ID]],FMS_Input[FMS_ID],FMS_Input[ROADCLS])</f>
        <v>50</v>
      </c>
      <c r="AB218" s="255">
        <f>(ASINH(FMS_Ranking4[[#This Row],[Road Closures Raw]]))*(10)/(ASINH(AA$4))</f>
        <v>4.7959661970397356</v>
      </c>
      <c r="AC218" s="256">
        <f>FMS_Ranking4[[#This Row],[Road closures, ArcSinh (0-10)]]*AA$5*10</f>
        <v>2.3979830985198678</v>
      </c>
      <c r="AD218" s="253">
        <f>_xlfn.XLOOKUP(FMS_Ranking4[[#This Row],[FMS ID]],FMS_Input[FMS_ID],FMS_Input[ROAD_MILES100])</f>
        <v>99</v>
      </c>
      <c r="AE218" s="255">
        <f>(ASINH(FMS_Ranking4[[#This Row],[Road Miles Raw]]))*(10)/(ASINH(AD$4))</f>
        <v>5.6358649073022855</v>
      </c>
      <c r="AF218" s="256">
        <f>FMS_Ranking4[[#This Row],[Length of roads at risk, ArcSinh (0-10)]]*AD$5*10</f>
        <v>5.6358649073022864</v>
      </c>
      <c r="AG218" s="253">
        <f>_xlfn.XLOOKUP(FMS_Ranking4[[#This Row],[FMS ID]],FMS_Input[FMS_ID],FMS_Input[FARMACRE100])</f>
        <v>3047.295654296875</v>
      </c>
      <c r="AH218" s="255">
        <f>(ASINH(FMS_Ranking4[[#This Row],[Ag Land Raw]]))*(10)/(ASINH(AG$4))</f>
        <v>5.6612044978429079</v>
      </c>
      <c r="AI218" s="260">
        <f>FMS_Ranking4[[#This Row],[Farm &amp; ranch land, ArcSinh (0-10)]]*AG$5*10</f>
        <v>2.830602248921454</v>
      </c>
      <c r="AJ218" s="258">
        <f>_xlfn.XLOOKUP(FMS_Ranking4[[#This Row],[FMS ID]],FMS_Input[FMS_ID],FMS_Input[REDSTRUCT100])</f>
        <v>0</v>
      </c>
      <c r="AK218" s="253">
        <f>_xlfn.XLOOKUP(FMS_Ranking4[[#This Row],[FMS ID]],FMS_Input[FMS_ID],FMS_Input[REMSTRC100])</f>
        <v>0</v>
      </c>
      <c r="AL218" s="255">
        <f>(ASINH(FMS_Ranking4[[#This Row],[Structures Removed Raw]]))*(10)/(ASINH(AK$4))</f>
        <v>0</v>
      </c>
      <c r="AM218" s="262">
        <f>FMS_Ranking4[[#This Row],[Structures removed, ArcSinh (0-10)]]*AK$5*10</f>
        <v>0</v>
      </c>
      <c r="AN218" s="253">
        <f>_xlfn.XLOOKUP(FMS_Ranking4[[#This Row],[FMS ID]],FMS_Input[FMS_ID],FMS_Input[REMRESSTRC100])</f>
        <v>0</v>
      </c>
      <c r="AO218" s="261">
        <f>FMS_Ranking4[[#This Row],[ArcSinh Res struct removed 0-10]]*AN$5*10</f>
        <v>0</v>
      </c>
      <c r="AP218" s="260">
        <f>ASINH(FMS_Ranking4[[#This Row],[Residential Structures Removed Raw]])/AP$4*AN$5*100</f>
        <v>0</v>
      </c>
      <c r="AQ218" s="258">
        <f>(ASINH(FMS_Ranking4[[#This Row],[Residential Structures Removed Raw]]))*(10)/(ASINH(AN$4))</f>
        <v>0</v>
      </c>
      <c r="AR218" s="253">
        <f>_xlfn.XLOOKUP(FMS_Ranking4[[#This Row],[FMS ID]],FMS_Input[FMS_ID],FMS_Input[REMPOP100])</f>
        <v>0</v>
      </c>
      <c r="AS218" s="255">
        <f>(ASINH(FMS_Ranking4[[#This Row],[Removed Pop Raw]]))*(10)/(ASINH(AR$4))</f>
        <v>0</v>
      </c>
      <c r="AT218" s="262">
        <f>FMS_Ranking4[[#This Row],[Removed population, ArcSinh (0-10)]]*AR$5*10</f>
        <v>0</v>
      </c>
      <c r="AU218" s="264">
        <f>_xlfn.XLOOKUP(FMS_Ranking4[[#This Row],[FMS ID]],FMS_Input[FMS_ID],FMS_Input[REMCRITFAC100])</f>
        <v>0</v>
      </c>
      <c r="AV218" s="264">
        <f>_xlfn.XLOOKUP(FMS_Ranking4[[#This Row],[FMS ID]],FMS_Input[FMS_ID],FMS_Input[REMLWC100])</f>
        <v>0</v>
      </c>
      <c r="AW218" s="264">
        <f>_xlfn.XLOOKUP(FMS_Ranking4[[#This Row],[FMS ID]],FMS_Input[FMS_ID],FMS_Input[REMROADCLS])</f>
        <v>0</v>
      </c>
      <c r="AX218" s="264">
        <f>_xlfn.XLOOKUP(FMS_Ranking4[[#This Row],[FMS ID]],FMS_Input[FMS_ID],FMS_Input[REMFRMACRE100])</f>
        <v>0</v>
      </c>
      <c r="AY218" s="258">
        <f>_xlfn.XLOOKUP(FMS_Ranking4[[#This Row],[FMS ID]],FMS_Input[FMS_ID],FMS_Input[COSTSTRUCT])</f>
        <v>0</v>
      </c>
      <c r="AZ218" s="253">
        <f>_xlfn.XLOOKUP(FMS_Ranking4[[#This Row],[FMS ID]],FMS_Input[FMS_ID],FMS_Input[NATURE])</f>
        <v>0</v>
      </c>
      <c r="BA218" s="262">
        <f>(((FMS_Ranking4[[#This Row],[% NBS Raw]]/AZ$4)*100)*AZ$5)</f>
        <v>0</v>
      </c>
      <c r="BB218" s="251" t="str">
        <f>_xlfn.XLOOKUP(FMS_Ranking4[[#This Row],[FMS ID]],FMS_Input[FMS_ID],FMS_Input[WATER_SUP])</f>
        <v>No</v>
      </c>
      <c r="BC218" s="265">
        <f>IF(FMS_Ranking4[[#This Row],[Water Supply Raw]]="Yes",10,0)</f>
        <v>0</v>
      </c>
      <c r="BD218" s="266">
        <f>_xlfn.XLOOKUP(FMS_Ranking4[[#This Row],[FMS Type]],FMS_TYPE[FMS_Type],FMS_TYPE[Score])</f>
        <v>10</v>
      </c>
      <c r="BE218" s="267">
        <f>FMS_Ranking4[[#This Row],[FMS_Type Score]]*$BD$5*10</f>
        <v>2.5</v>
      </c>
      <c r="BF21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0.68716725722226646</v>
      </c>
      <c r="BG218" s="321">
        <f>_xlfn.RANK.EQ(BF218,$BF$8:$BF$870,0)+COUNTIF($BF$8:BF218,BF218)-1</f>
        <v>186</v>
      </c>
      <c r="BH218" s="294">
        <f>(((FMS_Ranking4[[#This Row],[Structures Removed Raw]]/AK$4)*100)*AK$5)+(((FMS_Ranking4[[#This Row],[Removed Pop Raw]]/AR$4)*100)*AR$5)</f>
        <v>0</v>
      </c>
      <c r="BI21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3.1871672572222662</v>
      </c>
      <c r="BJ218" s="251">
        <f>_xlfn.RANK.EQ(FMS_Ranking4[[#This Row],[Total Score 
(with linear
normalization)]],FMS_Ranking4[Total Score 
(with linear
normalization)],0)</f>
        <v>160</v>
      </c>
      <c r="BK218" s="251" t="e">
        <f>_xlfn.XLOOKUP(FMS_Ranking4[[#This Row],[FMS ID]],#REF!,#REF!)</f>
        <v>#REF!</v>
      </c>
      <c r="BL21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27.417628264798946</v>
      </c>
      <c r="BM218" s="324">
        <f>FMS_Ranking4[[#This Row],[ArcSinh Score Based on Normalized Reported Factors]]+FMS_Ranking4[[#This Row],[% NBS Score (Normalized)]]+(FMS_Ranking4[[#This Row],[Water Supply Score (Normalized)]]*10*$BB$5)+FMS_Ranking4[[#This Row],[FMS_Type Score Weighted]]</f>
        <v>29.917628264798946</v>
      </c>
      <c r="BN218" s="251">
        <f>_xlfn.RANK.EQ(FMS_Ranking4[[#This Row],[Total Score (with ArcSinh normalization of select criteria)]],FMS_Ranking4[Total Score (with ArcSinh normalization of select criteria)],0)</f>
        <v>211</v>
      </c>
      <c r="BO218" s="270" t="str">
        <f>_xlfn.XLOOKUP(FMS_Ranking4[[#This Row],[FMS ID]],FMS_Input[FMS_ID],FMS_Input[FMS_RANK_YEAR])</f>
        <v>2023 Amended Plan</v>
      </c>
      <c r="BP218" s="204">
        <f>_xlfn.XLOOKUP(FMS_Ranking4[[#This Row],[FMS ID]],Prev_Rank[FMS ID],Prev_Rank[Prev Rank])</f>
        <v>184</v>
      </c>
      <c r="BQ218" s="251" t="e">
        <f>_xlfn.XLOOKUP(FMS_Ranking4[[#This Row],[FMS ID]],#REF!,#REF!)</f>
        <v>#REF!</v>
      </c>
      <c r="BR218" s="199" t="e">
        <f>SUM(#REF!,#REF!,#REF!,#REF!,#REF!,#REF!,#REF!,#REF!,#REF!,FMS_Ranking4[[#This Row],[ArcSinh Res struct removed 0-10]],#REF!)</f>
        <v>#REF!</v>
      </c>
      <c r="BS218" s="199" t="e">
        <f>FMS_Ranking4[[#This Row],[Log Score Based on Normalized Reported Factors]]+FMS_Ranking4[[#This Row],[% NBS Score (Normalized)]]+(FMS_Ranking4[[#This Row],[Water Supply Score (Normalized)]]*10*$BB$5)+(FMS_Ranking4[[#This Row],[FMS_Type Score Weighted]])</f>
        <v>#REF!</v>
      </c>
      <c r="BT218" s="200" t="e">
        <f>_xlfn.RANK.EQ(FMS_Ranking4[[#This Row],[Log Total Score]],FMS_Ranking4[Log Total Score],0)</f>
        <v>#REF!</v>
      </c>
      <c r="BU218" s="200" t="e">
        <f>_xlfn.XLOOKUP(FMS_Ranking4[[#This Row],[FMS ID]],#REF!,#REF!)</f>
        <v>#REF!</v>
      </c>
      <c r="BV218" s="200">
        <f>FMS_Ranking4[[#This Row],[Region Number]]</f>
        <v>15</v>
      </c>
      <c r="BW218" s="200">
        <f>FMS_Ranking4[[#This Row],[Rank (with ArcSinh normalization of select criteria)]]-FMS_Ranking4[[#This Row],[Rank
(with linear
normalization)]]</f>
        <v>51</v>
      </c>
      <c r="BX218" s="200" t="e">
        <f>FMS_Ranking4[[#This Row],[Log Rank]]-FMS_Ranking4[[#This Row],[Rank
(with linear
normalization)]]</f>
        <v>#REF!</v>
      </c>
      <c r="BY218" s="200">
        <f>IF(FMS_Ranking4[[#This Row],[FMS Type]]="Flood Measurement and Warning",FMS_Ranking4[[#This Row],[Rank (with ArcSinh normalization of select criteria)]],"")</f>
        <v>211</v>
      </c>
      <c r="BZ218" s="200" t="str">
        <f>IF(FMS_Ranking4[[#This Row],[FMS Type]]="Regulatory and Guidance",FMS_Ranking4[[#This Row],[Rank (with ArcSinh normalization of select criteria)]],"")</f>
        <v/>
      </c>
      <c r="CA218" s="200" t="str">
        <f>IF(FMS_Ranking4[[#This Row],[FMS Type]]="Education and Outreach",FMS_Ranking4[[#This Row],[Rank (with ArcSinh normalization of select criteria)]],"")</f>
        <v/>
      </c>
      <c r="CB218" s="200" t="str">
        <f>IF(FMS_Ranking4[[#This Row],[FMS Type]]="Property Acquisition and Structural Elevation",FMS_Ranking4[[#This Row],[Rank (with ArcSinh normalization of select criteria)]],"")</f>
        <v/>
      </c>
      <c r="CC218" s="200" t="str">
        <f>IF(FMS_Ranking4[[#This Row],[FMS Type]]="Infrastructure Projects",FMS_Ranking4[[#This Row],[Rank (with ArcSinh normalization of select criteria)]],"")</f>
        <v/>
      </c>
      <c r="CD218" s="200" t="str">
        <f>IF(FMS_Ranking4[[#This Row],[FMS Type]]="Other",FMS_Ranking4[[#This Row],[Rank (with ArcSinh normalization of select criteria)]],"")</f>
        <v/>
      </c>
      <c r="CE218" s="201"/>
      <c r="CF218" s="206"/>
      <c r="CG218" s="206"/>
      <c r="CH218" s="206"/>
      <c r="CI218" s="206"/>
      <c r="CJ218" s="206"/>
      <c r="CK218" s="206"/>
      <c r="CL218" s="206"/>
      <c r="CM218" s="206"/>
      <c r="CN218" s="206"/>
      <c r="CO218" s="206"/>
      <c r="CP218" s="206"/>
      <c r="CQ218" s="206"/>
      <c r="CR218" s="206"/>
    </row>
    <row r="219" spans="2:96" ht="45" x14ac:dyDescent="0.25">
      <c r="B219" s="341" t="s">
        <v>3695</v>
      </c>
      <c r="C219" s="246">
        <f>_xlfn.XLOOKUP(FMS_Ranking4[[#This Row],[FMS ID]],FMS_Input[FMS_ID],FMS_Input[RFPG_NUM])</f>
        <v>13</v>
      </c>
      <c r="D219" s="309" t="str">
        <f>_xlfn.XLOOKUP(FMS_Ranking4[[#This Row],[FMS ID]],FMS_Input[FMS_ID],FMS_Input[FMS_NAME])</f>
        <v>Aransas County Flood Warning System</v>
      </c>
      <c r="E219" s="308" t="str">
        <f>_xlfn.XLOOKUP(FMS_Ranking4[[#This Row],[FMS ID]],FMS_Input[FMS_ID],FMS_Input[SPONSOR])</f>
        <v>00000083</v>
      </c>
      <c r="F219" s="309" t="str">
        <f>_xlfn.XLOOKUP(FMS_Ranking4[[#This Row],[FMS ID]],Sponsor[FMS_ID],Sponsor[SPONSOR NAME])</f>
        <v>Aransas</v>
      </c>
      <c r="G219" s="309" t="str">
        <f>_xlfn.XLOOKUP(FMS_Ranking4[[#This Row],[FMS ID]],FMS_Input[FMS_ID],FMS_Input[FMS_DESCR])</f>
        <v>The county needs flood warning systems throughout the region.</v>
      </c>
      <c r="H219" s="248" t="str">
        <f>_xlfn.XLOOKUP(FMS_Ranking4[[#This Row],[FMS ID]],FMS_Input[FMS_ID],FMS_Input[FMS_TYPE])</f>
        <v>Flood Measurement and Warning</v>
      </c>
      <c r="I219" s="249">
        <f>_xlfn.XLOOKUP(FMS_Ranking4[[#This Row],[FMS ID]],FMS_Input[FMS_ID],FMS_Input[NRNC_COST])</f>
        <v>250000</v>
      </c>
      <c r="J219" s="250">
        <f>_xlfn.XLOOKUP(FMS_Ranking4[[#This Row],[FMS ID]],FMS_Input[FMS_ID],FMS_Input[FMS_COST])</f>
        <v>250000</v>
      </c>
      <c r="K219" s="251" t="str">
        <f>_xlfn.XLOOKUP(FMS_Ranking4[[#This Row],[FMS ID]],FMS_Input[FMS_ID],FMS_Input[EMER_NEED])</f>
        <v>Yes</v>
      </c>
      <c r="L219" s="252">
        <f t="shared" si="3"/>
        <v>1</v>
      </c>
      <c r="M219" s="253">
        <f>_xlfn.XLOOKUP(FMS_Ranking4[[#This Row],[FMS ID]],FMS_Input[FMS_ID],FMS_Input[STRUCT_100])</f>
        <v>3334</v>
      </c>
      <c r="N219" s="255">
        <f>(ASINH(FMS_Ranking4[[#This Row],[Structure at Risk Raw]]))*(10)/(ASINH(M$4))</f>
        <v>6.9221001782843219</v>
      </c>
      <c r="O219" s="256">
        <f>FMS_Ranking4[[#This Row],[Structures at risk, ArcSinh (0-10)]]*M$5*10</f>
        <v>6.9221001782843228</v>
      </c>
      <c r="P219" s="253">
        <f>_xlfn.XLOOKUP(FMS_Ranking4[[#This Row],[FMS ID]],FMS_Input[FMS_ID],FMS_Input[RES_STRUCT100])</f>
        <v>2828</v>
      </c>
      <c r="Q219" s="257">
        <f>ASINH(FMS_Ranking4[[#This Row],[Res Structure Raw]])/Q$4*P$5*100</f>
        <v>0</v>
      </c>
      <c r="R219" s="253">
        <f>_xlfn.XLOOKUP(FMS_Ranking4[[#This Row],[FMS ID]],FMS_Input[FMS_ID],FMS_Input[POP100])</f>
        <v>4790</v>
      </c>
      <c r="S219" s="259">
        <f>(ASINH(FMS_Ranking4[[#This Row],[Pop at Risk Raw]]))*(10)/(ASINH(R$4))</f>
        <v>6.3288126273256964</v>
      </c>
      <c r="T219" s="256">
        <f>FMS_Ranking4[[#This Row],[Population at risk, ArcSinh (0-10)]]*R$5*10</f>
        <v>6.3288126273256973</v>
      </c>
      <c r="U219" s="253">
        <f>_xlfn.XLOOKUP(FMS_Ranking4[[#This Row],[FMS ID]],FMS_Input[FMS_ID],FMS_Input[CRITFAC100])</f>
        <v>4</v>
      </c>
      <c r="V219" s="259">
        <f>(ASINH(FMS_Ranking4[[#This Row],[Critical Facilities Raw]]))*(10)/(ASINH(U$4))</f>
        <v>2.4796455944038147</v>
      </c>
      <c r="W219" s="256">
        <f>FMS_Ranking4[[#This Row],[Critical facilities at risk, ArcSinh (0-10)]]*U$5*10</f>
        <v>2.4796455944038147</v>
      </c>
      <c r="X219" s="253">
        <f>_xlfn.XLOOKUP(FMS_Ranking4[[#This Row],[FMS ID]],FMS_Input[FMS_ID],FMS_Input[LWC])</f>
        <v>0</v>
      </c>
      <c r="Y219" s="259">
        <f>(ASINH(FMS_Ranking4[[#This Row],[LWC Raw]]))*(10)/(ASINH(X$4))</f>
        <v>0</v>
      </c>
      <c r="Z219" s="256">
        <f>FMS_Ranking4[[#This Row],[LWC, ArcSInh (0-10)]]*X$5*10</f>
        <v>0</v>
      </c>
      <c r="AA219" s="253">
        <f>_xlfn.XLOOKUP(FMS_Ranking4[[#This Row],[FMS ID]],FMS_Input[FMS_ID],FMS_Input[ROADCLS])</f>
        <v>548</v>
      </c>
      <c r="AB219" s="255">
        <f>(ASINH(FMS_Ranking4[[#This Row],[Road Closures Raw]]))*(10)/(ASINH(AA$4))</f>
        <v>7.289256938063545</v>
      </c>
      <c r="AC219" s="256">
        <f>FMS_Ranking4[[#This Row],[Road closures, ArcSinh (0-10)]]*AA$5*10</f>
        <v>3.6446284690317725</v>
      </c>
      <c r="AD219" s="253">
        <f>_xlfn.XLOOKUP(FMS_Ranking4[[#This Row],[FMS ID]],FMS_Input[FMS_ID],FMS_Input[ROAD_MILES100])</f>
        <v>103</v>
      </c>
      <c r="AE219" s="259">
        <f>(ASINH(FMS_Ranking4[[#This Row],[Road Miles Raw]]))*(10)/(ASINH(AD$4))</f>
        <v>5.678075280842374</v>
      </c>
      <c r="AF219" s="256">
        <f>FMS_Ranking4[[#This Row],[Length of roads at risk, ArcSinh (0-10)]]*AD$5*10</f>
        <v>5.678075280842374</v>
      </c>
      <c r="AG219" s="253">
        <f>_xlfn.XLOOKUP(FMS_Ranking4[[#This Row],[FMS ID]],FMS_Input[FMS_ID],FMS_Input[FARMACRE100])</f>
        <v>571.30499267578125</v>
      </c>
      <c r="AH219" s="255">
        <f>(ASINH(FMS_Ranking4[[#This Row],[Ag Land Raw]]))*(10)/(ASINH(AG$4))</f>
        <v>4.5737493440527315</v>
      </c>
      <c r="AI219" s="260">
        <f>FMS_Ranking4[[#This Row],[Farm &amp; ranch land, ArcSinh (0-10)]]*AG$5*10</f>
        <v>2.2868746720263657</v>
      </c>
      <c r="AJ219" s="258">
        <f>_xlfn.XLOOKUP(FMS_Ranking4[[#This Row],[FMS ID]],FMS_Input[FMS_ID],FMS_Input[REDSTRUCT100])</f>
        <v>0</v>
      </c>
      <c r="AK219" s="253">
        <f>_xlfn.XLOOKUP(FMS_Ranking4[[#This Row],[FMS ID]],FMS_Input[FMS_ID],FMS_Input[REMSTRC100])</f>
        <v>0</v>
      </c>
      <c r="AL219" s="259">
        <f>(ASINH(FMS_Ranking4[[#This Row],[Structures Removed Raw]]))*(10)/(ASINH(AK$4))</f>
        <v>0</v>
      </c>
      <c r="AM219" s="262">
        <f>FMS_Ranking4[[#This Row],[Structures removed, ArcSinh (0-10)]]*AK$5*10</f>
        <v>0</v>
      </c>
      <c r="AN219" s="253">
        <f>_xlfn.XLOOKUP(FMS_Ranking4[[#This Row],[FMS ID]],FMS_Input[FMS_ID],FMS_Input[REMRESSTRC100])</f>
        <v>0</v>
      </c>
      <c r="AO219" s="261">
        <f>FMS_Ranking4[[#This Row],[ArcSinh Res struct removed 0-10]]*AN$5*10</f>
        <v>0</v>
      </c>
      <c r="AP219" s="260">
        <f>ASINH(FMS_Ranking4[[#This Row],[Residential Structures Removed Raw]])/AP$4*AN$5*100</f>
        <v>0</v>
      </c>
      <c r="AQ219" s="254">
        <f>(ASINH(FMS_Ranking4[[#This Row],[Residential Structures Removed Raw]]))*(10)/(ASINH(AN$4))</f>
        <v>0</v>
      </c>
      <c r="AR219" s="253">
        <f>_xlfn.XLOOKUP(FMS_Ranking4[[#This Row],[FMS ID]],FMS_Input[FMS_ID],FMS_Input[REMPOP100])</f>
        <v>0</v>
      </c>
      <c r="AS219" s="259">
        <f>(ASINH(FMS_Ranking4[[#This Row],[Removed Pop Raw]]))*(10)/(ASINH(AR$4))</f>
        <v>0</v>
      </c>
      <c r="AT219" s="262">
        <f>FMS_Ranking4[[#This Row],[Removed population, ArcSinh (0-10)]]*AR$5*10</f>
        <v>0</v>
      </c>
      <c r="AU219" s="264">
        <f>_xlfn.XLOOKUP(FMS_Ranking4[[#This Row],[FMS ID]],FMS_Input[FMS_ID],FMS_Input[REMCRITFAC100])</f>
        <v>0</v>
      </c>
      <c r="AV219" s="264">
        <f>_xlfn.XLOOKUP(FMS_Ranking4[[#This Row],[FMS ID]],FMS_Input[FMS_ID],FMS_Input[REMLWC100])</f>
        <v>0</v>
      </c>
      <c r="AW219" s="264">
        <f>_xlfn.XLOOKUP(FMS_Ranking4[[#This Row],[FMS ID]],FMS_Input[FMS_ID],FMS_Input[REMROADCLS])</f>
        <v>0</v>
      </c>
      <c r="AX219" s="264">
        <f>_xlfn.XLOOKUP(FMS_Ranking4[[#This Row],[FMS ID]],FMS_Input[FMS_ID],FMS_Input[REMFRMACRE100])</f>
        <v>0</v>
      </c>
      <c r="AY219" s="258">
        <f>_xlfn.XLOOKUP(FMS_Ranking4[[#This Row],[FMS ID]],FMS_Input[FMS_ID],FMS_Input[COSTSTRUCT])</f>
        <v>0</v>
      </c>
      <c r="AZ219" s="253">
        <f>_xlfn.XLOOKUP(FMS_Ranking4[[#This Row],[FMS ID]],FMS_Input[FMS_ID],FMS_Input[NATURE])</f>
        <v>0</v>
      </c>
      <c r="BA219" s="262">
        <f>(((FMS_Ranking4[[#This Row],[% NBS Raw]]/AZ$4)*100)*AZ$5)</f>
        <v>0</v>
      </c>
      <c r="BB219" s="251" t="str">
        <f>_xlfn.XLOOKUP(FMS_Ranking4[[#This Row],[FMS ID]],FMS_Input[FMS_ID],FMS_Input[WATER_SUP])</f>
        <v>No</v>
      </c>
      <c r="BC219" s="265">
        <f>IF(FMS_Ranking4[[#This Row],[Water Supply Raw]]="Yes",10,0)</f>
        <v>0</v>
      </c>
      <c r="BD219" s="266">
        <f>_xlfn.XLOOKUP(FMS_Ranking4[[#This Row],[FMS Type]],FMS_TYPE[FMS_Type],FMS_TYPE[Score])</f>
        <v>10</v>
      </c>
      <c r="BE219" s="267">
        <f>FMS_Ranking4[[#This Row],[FMS_Type Score]]*$BD$5*10</f>
        <v>2.5</v>
      </c>
      <c r="BF21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0.81029337594562656</v>
      </c>
      <c r="BG219" s="271">
        <f>_xlfn.RANK.EQ(BF219,$BF$8:$BF$870,0)+COUNTIF($BF$8:BF219,BF219)-1</f>
        <v>166</v>
      </c>
      <c r="BH219" s="268">
        <f>(((FMS_Ranking4[[#This Row],[Structures Removed Raw]]/AK$4)*100)*AK$5)+(((FMS_Ranking4[[#This Row],[Removed Pop Raw]]/AR$4)*100)*AR$5)</f>
        <v>0</v>
      </c>
      <c r="BI21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3.3102933759456263</v>
      </c>
      <c r="BJ219" s="205">
        <f>_xlfn.RANK.EQ(FMS_Ranking4[[#This Row],[Total Score 
(with linear
normalization)]],FMS_Ranking4[Total Score 
(with linear
normalization)],0)</f>
        <v>153</v>
      </c>
      <c r="BK219" s="205" t="e">
        <f>_xlfn.XLOOKUP(FMS_Ranking4[[#This Row],[FMS ID]],#REF!,#REF!)</f>
        <v>#REF!</v>
      </c>
      <c r="BL21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27.340136821914346</v>
      </c>
      <c r="BM219" s="272">
        <f>FMS_Ranking4[[#This Row],[ArcSinh Score Based on Normalized Reported Factors]]+FMS_Ranking4[[#This Row],[% NBS Score (Normalized)]]+(FMS_Ranking4[[#This Row],[Water Supply Score (Normalized)]]*10*$BB$5)+FMS_Ranking4[[#This Row],[FMS_Type Score Weighted]]</f>
        <v>29.840136821914346</v>
      </c>
      <c r="BN219" s="205">
        <f>_xlfn.RANK.EQ(FMS_Ranking4[[#This Row],[Total Score (with ArcSinh normalization of select criteria)]],FMS_Ranking4[Total Score (with ArcSinh normalization of select criteria)],0)</f>
        <v>212</v>
      </c>
      <c r="BO219" s="270" t="str">
        <f>_xlfn.XLOOKUP(FMS_Ranking4[[#This Row],[FMS ID]],FMS_Input[FMS_ID],FMS_Input[FMS_RANK_YEAR])</f>
        <v>2023 Amended Plan</v>
      </c>
      <c r="BP219" s="204">
        <f>_xlfn.XLOOKUP(FMS_Ranking4[[#This Row],[FMS ID]],Prev_Rank[FMS ID],Prev_Rank[Prev Rank])</f>
        <v>190</v>
      </c>
      <c r="BQ219" s="205" t="e">
        <f>_xlfn.XLOOKUP(FMS_Ranking4[[#This Row],[FMS ID]],#REF!,#REF!)</f>
        <v>#REF!</v>
      </c>
      <c r="BR219" s="199" t="e">
        <f>SUM(#REF!,#REF!,#REF!,#REF!,#REF!,#REF!,#REF!,#REF!,#REF!,FMS_Ranking4[[#This Row],[ArcSinh Res struct removed 0-10]],#REF!)</f>
        <v>#REF!</v>
      </c>
      <c r="BS219" s="199" t="e">
        <f>FMS_Ranking4[[#This Row],[Log Score Based on Normalized Reported Factors]]+FMS_Ranking4[[#This Row],[% NBS Score (Normalized)]]+(FMS_Ranking4[[#This Row],[Water Supply Score (Normalized)]]*10*$BB$5)+(FMS_Ranking4[[#This Row],[FMS_Type Score Weighted]])</f>
        <v>#REF!</v>
      </c>
      <c r="BT219" s="200" t="e">
        <f>_xlfn.RANK.EQ(FMS_Ranking4[[#This Row],[Log Total Score]],FMS_Ranking4[Log Total Score],0)</f>
        <v>#REF!</v>
      </c>
      <c r="BU219" s="200" t="e">
        <f>_xlfn.XLOOKUP(FMS_Ranking4[[#This Row],[FMS ID]],#REF!,#REF!)</f>
        <v>#REF!</v>
      </c>
      <c r="BV219" s="200">
        <f>FMS_Ranking4[[#This Row],[Region Number]]</f>
        <v>13</v>
      </c>
      <c r="BW219" s="200">
        <f>FMS_Ranking4[[#This Row],[Rank (with ArcSinh normalization of select criteria)]]-FMS_Ranking4[[#This Row],[Rank
(with linear
normalization)]]</f>
        <v>59</v>
      </c>
      <c r="BX219" s="200" t="e">
        <f>FMS_Ranking4[[#This Row],[Log Rank]]-FMS_Ranking4[[#This Row],[Rank
(with linear
normalization)]]</f>
        <v>#REF!</v>
      </c>
      <c r="BY219" s="200">
        <f>IF(FMS_Ranking4[[#This Row],[FMS Type]]="Flood Measurement and Warning",FMS_Ranking4[[#This Row],[Rank (with ArcSinh normalization of select criteria)]],"")</f>
        <v>212</v>
      </c>
      <c r="BZ219" s="200" t="str">
        <f>IF(FMS_Ranking4[[#This Row],[FMS Type]]="Regulatory and Guidance",FMS_Ranking4[[#This Row],[Rank (with ArcSinh normalization of select criteria)]],"")</f>
        <v/>
      </c>
      <c r="CA219" s="200" t="str">
        <f>IF(FMS_Ranking4[[#This Row],[FMS Type]]="Education and Outreach",FMS_Ranking4[[#This Row],[Rank (with ArcSinh normalization of select criteria)]],"")</f>
        <v/>
      </c>
      <c r="CB219" s="200" t="str">
        <f>IF(FMS_Ranking4[[#This Row],[FMS Type]]="Property Acquisition and Structural Elevation",FMS_Ranking4[[#This Row],[Rank (with ArcSinh normalization of select criteria)]],"")</f>
        <v/>
      </c>
      <c r="CC219" s="200" t="str">
        <f>IF(FMS_Ranking4[[#This Row],[FMS Type]]="Infrastructure Projects",FMS_Ranking4[[#This Row],[Rank (with ArcSinh normalization of select criteria)]],"")</f>
        <v/>
      </c>
      <c r="CD219" s="200" t="str">
        <f>IF(FMS_Ranking4[[#This Row],[FMS Type]]="Other",FMS_Ranking4[[#This Row],[Rank (with ArcSinh normalization of select criteria)]],"")</f>
        <v/>
      </c>
      <c r="CE219" s="201"/>
      <c r="CF219" s="206"/>
      <c r="CG219" s="206"/>
      <c r="CH219" s="206"/>
      <c r="CI219" s="206"/>
      <c r="CJ219" s="206"/>
      <c r="CK219" s="206"/>
      <c r="CL219" s="206"/>
      <c r="CM219" s="206"/>
      <c r="CN219" s="206"/>
      <c r="CO219" s="206"/>
      <c r="CP219" s="206"/>
      <c r="CQ219" s="206"/>
      <c r="CR219" s="206"/>
    </row>
    <row r="220" spans="2:96" ht="45" x14ac:dyDescent="0.25">
      <c r="B220" s="341" t="s">
        <v>2177</v>
      </c>
      <c r="C220" s="246">
        <f>_xlfn.XLOOKUP(FMS_Ranking4[[#This Row],[FMS ID]],FMS_Input[FMS_ID],FMS_Input[RFPG_NUM])</f>
        <v>3</v>
      </c>
      <c r="D220" s="309" t="str">
        <f>_xlfn.XLOOKUP(FMS_Ranking4[[#This Row],[FMS ID]],FMS_Input[FMS_ID],FMS_Input[FMS_NAME])</f>
        <v>Addison-Carrollton Debris Cleaning Program</v>
      </c>
      <c r="E220" s="308" t="str">
        <f>_xlfn.XLOOKUP(FMS_Ranking4[[#This Row],[FMS ID]],FMS_Input[FMS_ID],FMS_Input[SPONSOR])</f>
        <v>Addison, Carrollton</v>
      </c>
      <c r="F220" s="309" t="str">
        <f>_xlfn.XLOOKUP(FMS_Ranking4[[#This Row],[FMS ID]],Sponsor[FMS_ID],Sponsor[SPONSOR NAME])</f>
        <v>Addison, Carrollton</v>
      </c>
      <c r="G220" s="309" t="str">
        <f>_xlfn.XLOOKUP(FMS_Ranking4[[#This Row],[FMS ID]],FMS_Input[FMS_ID],FMS_Input[FMS_DESCR])</f>
        <v>Develop and implement a program for clearing debris from bridges, drains and culverts.</v>
      </c>
      <c r="H220" s="248" t="str">
        <f>_xlfn.XLOOKUP(FMS_Ranking4[[#This Row],[FMS ID]],FMS_Input[FMS_ID],FMS_Input[FMS_TYPE])</f>
        <v>Other</v>
      </c>
      <c r="I220" s="249">
        <f>_xlfn.XLOOKUP(FMS_Ranking4[[#This Row],[FMS ID]],FMS_Input[FMS_ID],FMS_Input[NRNC_COST])</f>
        <v>100000</v>
      </c>
      <c r="J220" s="250">
        <f>_xlfn.XLOOKUP(FMS_Ranking4[[#This Row],[FMS ID]],FMS_Input[FMS_ID],FMS_Input[FMS_COST])</f>
        <v>100000</v>
      </c>
      <c r="K220" s="251" t="str">
        <f>_xlfn.XLOOKUP(FMS_Ranking4[[#This Row],[FMS ID]],FMS_Input[FMS_ID],FMS_Input[EMER_NEED])</f>
        <v>No</v>
      </c>
      <c r="L220" s="252">
        <f t="shared" si="3"/>
        <v>0</v>
      </c>
      <c r="M220" s="253">
        <f>_xlfn.XLOOKUP(FMS_Ranking4[[#This Row],[FMS ID]],FMS_Input[FMS_ID],FMS_Input[STRUCT_100])</f>
        <v>1081</v>
      </c>
      <c r="N220" s="255">
        <f>(ASINH(FMS_Ranking4[[#This Row],[Structure at Risk Raw]]))*(10)/(ASINH(M$4))</f>
        <v>6.0366716429338938</v>
      </c>
      <c r="O220" s="256">
        <f>FMS_Ranking4[[#This Row],[Structures at risk, ArcSinh (0-10)]]*M$5*10</f>
        <v>6.0366716429338938</v>
      </c>
      <c r="P220" s="253">
        <f>_xlfn.XLOOKUP(FMS_Ranking4[[#This Row],[FMS ID]],FMS_Input[FMS_ID],FMS_Input[RES_STRUCT100])</f>
        <v>943</v>
      </c>
      <c r="Q220" s="257">
        <f>ASINH(FMS_Ranking4[[#This Row],[Res Structure Raw]])/Q$4*P$5*100</f>
        <v>0</v>
      </c>
      <c r="R220" s="253">
        <f>_xlfn.XLOOKUP(FMS_Ranking4[[#This Row],[FMS ID]],FMS_Input[FMS_ID],FMS_Input[POP100])</f>
        <v>11298</v>
      </c>
      <c r="S220" s="259">
        <f>(ASINH(FMS_Ranking4[[#This Row],[Pop at Risk Raw]]))*(10)/(ASINH(R$4))</f>
        <v>6.9212057684428432</v>
      </c>
      <c r="T220" s="256">
        <f>FMS_Ranking4[[#This Row],[Population at risk, ArcSinh (0-10)]]*R$5*10</f>
        <v>6.9212057684428441</v>
      </c>
      <c r="U220" s="253">
        <f>_xlfn.XLOOKUP(FMS_Ranking4[[#This Row],[FMS ID]],FMS_Input[FMS_ID],FMS_Input[CRITFAC100])</f>
        <v>18</v>
      </c>
      <c r="V220" s="259">
        <f>(ASINH(FMS_Ranking4[[#This Row],[Critical Facilities Raw]]))*(10)/(ASINH(U$4))</f>
        <v>4.2429535527087694</v>
      </c>
      <c r="W220" s="256">
        <f>FMS_Ranking4[[#This Row],[Critical facilities at risk, ArcSinh (0-10)]]*U$5*10</f>
        <v>4.2429535527087694</v>
      </c>
      <c r="X220" s="253">
        <f>_xlfn.XLOOKUP(FMS_Ranking4[[#This Row],[FMS ID]],FMS_Input[FMS_ID],FMS_Input[LWC])</f>
        <v>19</v>
      </c>
      <c r="Y220" s="259">
        <f>(ASINH(FMS_Ranking4[[#This Row],[LWC Raw]]))*(10)/(ASINH(X$4))</f>
        <v>4.9289126022409242</v>
      </c>
      <c r="Z220" s="256">
        <f>FMS_Ranking4[[#This Row],[LWC, ArcSInh (0-10)]]*X$5*10</f>
        <v>4.9289126022409242</v>
      </c>
      <c r="AA220" s="253">
        <f>_xlfn.XLOOKUP(FMS_Ranking4[[#This Row],[FMS ID]],FMS_Input[FMS_ID],FMS_Input[ROADCLS])</f>
        <v>0</v>
      </c>
      <c r="AB220" s="255">
        <f>(ASINH(FMS_Ranking4[[#This Row],[Road Closures Raw]]))*(10)/(ASINH(AA$4))</f>
        <v>0</v>
      </c>
      <c r="AC220" s="256">
        <f>FMS_Ranking4[[#This Row],[Road closures, ArcSinh (0-10)]]*AA$5*10</f>
        <v>0</v>
      </c>
      <c r="AD220" s="253">
        <f>_xlfn.XLOOKUP(FMS_Ranking4[[#This Row],[FMS ID]],FMS_Input[FMS_ID],FMS_Input[ROAD_MILES100])</f>
        <v>49</v>
      </c>
      <c r="AE220" s="259">
        <f>(ASINH(FMS_Ranking4[[#This Row],[Road Miles Raw]]))*(10)/(ASINH(AD$4))</f>
        <v>4.8864248460008062</v>
      </c>
      <c r="AF220" s="256">
        <f>FMS_Ranking4[[#This Row],[Length of roads at risk, ArcSinh (0-10)]]*AD$5*10</f>
        <v>4.8864248460008062</v>
      </c>
      <c r="AG220" s="253">
        <f>_xlfn.XLOOKUP(FMS_Ranking4[[#This Row],[FMS ID]],FMS_Input[FMS_ID],FMS_Input[FARMACRE100])</f>
        <v>617.09698486328125</v>
      </c>
      <c r="AH220" s="255">
        <f>(ASINH(FMS_Ranking4[[#This Row],[Ag Land Raw]]))*(10)/(ASINH(AG$4))</f>
        <v>4.6238339494041893</v>
      </c>
      <c r="AI220" s="260">
        <f>FMS_Ranking4[[#This Row],[Farm &amp; ranch land, ArcSinh (0-10)]]*AG$5*10</f>
        <v>2.3119169747020947</v>
      </c>
      <c r="AJ220" s="258">
        <f>_xlfn.XLOOKUP(FMS_Ranking4[[#This Row],[FMS ID]],FMS_Input[FMS_ID],FMS_Input[REDSTRUCT100])</f>
        <v>0</v>
      </c>
      <c r="AK220" s="253">
        <f>_xlfn.XLOOKUP(FMS_Ranking4[[#This Row],[FMS ID]],FMS_Input[FMS_ID],FMS_Input[REMSTRC100])</f>
        <v>0</v>
      </c>
      <c r="AL220" s="259">
        <f>(ASINH(FMS_Ranking4[[#This Row],[Structures Removed Raw]]))*(10)/(ASINH(AK$4))</f>
        <v>0</v>
      </c>
      <c r="AM220" s="262">
        <f>FMS_Ranking4[[#This Row],[Structures removed, ArcSinh (0-10)]]*AK$5*10</f>
        <v>0</v>
      </c>
      <c r="AN220" s="253">
        <f>_xlfn.XLOOKUP(FMS_Ranking4[[#This Row],[FMS ID]],FMS_Input[FMS_ID],FMS_Input[REMRESSTRC100])</f>
        <v>0</v>
      </c>
      <c r="AO220" s="261">
        <f>FMS_Ranking4[[#This Row],[ArcSinh Res struct removed 0-10]]*AN$5*10</f>
        <v>0</v>
      </c>
      <c r="AP220" s="260">
        <f>ASINH(FMS_Ranking4[[#This Row],[Residential Structures Removed Raw]])/AP$4*AN$5*100</f>
        <v>0</v>
      </c>
      <c r="AQ220" s="254">
        <f>(ASINH(FMS_Ranking4[[#This Row],[Residential Structures Removed Raw]]))*(10)/(ASINH(AN$4))</f>
        <v>0</v>
      </c>
      <c r="AR220" s="253">
        <f>_xlfn.XLOOKUP(FMS_Ranking4[[#This Row],[FMS ID]],FMS_Input[FMS_ID],FMS_Input[REMPOP100])</f>
        <v>0</v>
      </c>
      <c r="AS220" s="259">
        <f>(ASINH(FMS_Ranking4[[#This Row],[Removed Pop Raw]]))*(10)/(ASINH(AR$4))</f>
        <v>0</v>
      </c>
      <c r="AT220" s="262">
        <f>FMS_Ranking4[[#This Row],[Removed population, ArcSinh (0-10)]]*AR$5*10</f>
        <v>0</v>
      </c>
      <c r="AU220" s="264">
        <f>_xlfn.XLOOKUP(FMS_Ranking4[[#This Row],[FMS ID]],FMS_Input[FMS_ID],FMS_Input[REMCRITFAC100])</f>
        <v>0</v>
      </c>
      <c r="AV220" s="264">
        <f>_xlfn.XLOOKUP(FMS_Ranking4[[#This Row],[FMS ID]],FMS_Input[FMS_ID],FMS_Input[REMLWC100])</f>
        <v>0</v>
      </c>
      <c r="AW220" s="264">
        <f>_xlfn.XLOOKUP(FMS_Ranking4[[#This Row],[FMS ID]],FMS_Input[FMS_ID],FMS_Input[REMROADCLS])</f>
        <v>0</v>
      </c>
      <c r="AX220" s="264">
        <f>_xlfn.XLOOKUP(FMS_Ranking4[[#This Row],[FMS ID]],FMS_Input[FMS_ID],FMS_Input[REMFRMACRE100])</f>
        <v>0</v>
      </c>
      <c r="AY220" s="258">
        <f>_xlfn.XLOOKUP(FMS_Ranking4[[#This Row],[FMS ID]],FMS_Input[FMS_ID],FMS_Input[COSTSTRUCT])</f>
        <v>0</v>
      </c>
      <c r="AZ220" s="253">
        <f>_xlfn.XLOOKUP(FMS_Ranking4[[#This Row],[FMS ID]],FMS_Input[FMS_ID],FMS_Input[NATURE])</f>
        <v>0</v>
      </c>
      <c r="BA220" s="262">
        <f>(((FMS_Ranking4[[#This Row],[% NBS Raw]]/AZ$4)*100)*AZ$5)</f>
        <v>0</v>
      </c>
      <c r="BB220" s="251" t="str">
        <f>_xlfn.XLOOKUP(FMS_Ranking4[[#This Row],[FMS ID]],FMS_Input[FMS_ID],FMS_Input[WATER_SUP])</f>
        <v>No</v>
      </c>
      <c r="BC220" s="265">
        <f>IF(FMS_Ranking4[[#This Row],[Water Supply Raw]]="Yes",10,0)</f>
        <v>0</v>
      </c>
      <c r="BD220" s="266">
        <f>_xlfn.XLOOKUP(FMS_Ranking4[[#This Row],[FMS Type]],FMS_TYPE[FMS_Type],FMS_TYPE[Score])</f>
        <v>2</v>
      </c>
      <c r="BE220" s="267">
        <f>FMS_Ranking4[[#This Row],[FMS_Type Score]]*$BD$5*10</f>
        <v>0.5</v>
      </c>
      <c r="BF22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0.57780959046003899</v>
      </c>
      <c r="BG220" s="271">
        <f>_xlfn.RANK.EQ(BF220,$BF$8:$BF$870,0)+COUNTIF($BF$8:BF220,BF220)-1</f>
        <v>197</v>
      </c>
      <c r="BH220" s="268">
        <f>(((FMS_Ranking4[[#This Row],[Structures Removed Raw]]/AK$4)*100)*AK$5)+(((FMS_Ranking4[[#This Row],[Removed Pop Raw]]/AR$4)*100)*AR$5)</f>
        <v>0</v>
      </c>
      <c r="BI22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1.0778095904600389</v>
      </c>
      <c r="BJ220" s="205">
        <f>_xlfn.RANK.EQ(FMS_Ranking4[[#This Row],[Total Score 
(with linear
normalization)]],FMS_Ranking4[Total Score 
(with linear
normalization)],0)</f>
        <v>680</v>
      </c>
      <c r="BK220" s="205" t="e">
        <f>_xlfn.XLOOKUP(FMS_Ranking4[[#This Row],[FMS ID]],#REF!,#REF!)</f>
        <v>#REF!</v>
      </c>
      <c r="BL22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29.328085387029333</v>
      </c>
      <c r="BM220" s="272">
        <f>FMS_Ranking4[[#This Row],[ArcSinh Score Based on Normalized Reported Factors]]+FMS_Ranking4[[#This Row],[% NBS Score (Normalized)]]+(FMS_Ranking4[[#This Row],[Water Supply Score (Normalized)]]*10*$BB$5)+FMS_Ranking4[[#This Row],[FMS_Type Score Weighted]]</f>
        <v>29.828085387029333</v>
      </c>
      <c r="BN220" s="205">
        <f>_xlfn.RANK.EQ(FMS_Ranking4[[#This Row],[Total Score (with ArcSinh normalization of select criteria)]],FMS_Ranking4[Total Score (with ArcSinh normalization of select criteria)],0)</f>
        <v>213</v>
      </c>
      <c r="BO220" s="270" t="str">
        <f>_xlfn.XLOOKUP(FMS_Ranking4[[#This Row],[FMS ID]],FMS_Input[FMS_ID],FMS_Input[FMS_RANK_YEAR])</f>
        <v>2023 Amended Plan</v>
      </c>
      <c r="BP220" s="204">
        <f>_xlfn.XLOOKUP(FMS_Ranking4[[#This Row],[FMS ID]],Prev_Rank[FMS ID],Prev_Rank[Prev Rank])</f>
        <v>183</v>
      </c>
      <c r="BQ220" s="205" t="e">
        <f>_xlfn.XLOOKUP(FMS_Ranking4[[#This Row],[FMS ID]],#REF!,#REF!)</f>
        <v>#REF!</v>
      </c>
      <c r="BR220" s="199" t="e">
        <f>SUM(#REF!,#REF!,#REF!,#REF!,#REF!,#REF!,#REF!,#REF!,#REF!,FMS_Ranking4[[#This Row],[ArcSinh Res struct removed 0-10]],#REF!)</f>
        <v>#REF!</v>
      </c>
      <c r="BS220" s="199" t="e">
        <f>FMS_Ranking4[[#This Row],[Log Score Based on Normalized Reported Factors]]+FMS_Ranking4[[#This Row],[% NBS Score (Normalized)]]+(FMS_Ranking4[[#This Row],[Water Supply Score (Normalized)]]*10*$BB$5)+(FMS_Ranking4[[#This Row],[FMS_Type Score Weighted]])</f>
        <v>#REF!</v>
      </c>
      <c r="BT220" s="200" t="e">
        <f>_xlfn.RANK.EQ(FMS_Ranking4[[#This Row],[Log Total Score]],FMS_Ranking4[Log Total Score],0)</f>
        <v>#REF!</v>
      </c>
      <c r="BU220" s="200" t="e">
        <f>_xlfn.XLOOKUP(FMS_Ranking4[[#This Row],[FMS ID]],#REF!,#REF!)</f>
        <v>#REF!</v>
      </c>
      <c r="BV220" s="200">
        <f>FMS_Ranking4[[#This Row],[Region Number]]</f>
        <v>3</v>
      </c>
      <c r="BW220" s="200">
        <f>FMS_Ranking4[[#This Row],[Rank (with ArcSinh normalization of select criteria)]]-FMS_Ranking4[[#This Row],[Rank
(with linear
normalization)]]</f>
        <v>-467</v>
      </c>
      <c r="BX220" s="200" t="e">
        <f>FMS_Ranking4[[#This Row],[Log Rank]]-FMS_Ranking4[[#This Row],[Rank
(with linear
normalization)]]</f>
        <v>#REF!</v>
      </c>
      <c r="BY220" s="200" t="str">
        <f>IF(FMS_Ranking4[[#This Row],[FMS Type]]="Flood Measurement and Warning",FMS_Ranking4[[#This Row],[Rank (with ArcSinh normalization of select criteria)]],"")</f>
        <v/>
      </c>
      <c r="BZ220" s="200" t="str">
        <f>IF(FMS_Ranking4[[#This Row],[FMS Type]]="Regulatory and Guidance",FMS_Ranking4[[#This Row],[Rank (with ArcSinh normalization of select criteria)]],"")</f>
        <v/>
      </c>
      <c r="CA220" s="200" t="str">
        <f>IF(FMS_Ranking4[[#This Row],[FMS Type]]="Education and Outreach",FMS_Ranking4[[#This Row],[Rank (with ArcSinh normalization of select criteria)]],"")</f>
        <v/>
      </c>
      <c r="CB220" s="200" t="str">
        <f>IF(FMS_Ranking4[[#This Row],[FMS Type]]="Property Acquisition and Structural Elevation",FMS_Ranking4[[#This Row],[Rank (with ArcSinh normalization of select criteria)]],"")</f>
        <v/>
      </c>
      <c r="CC220" s="200" t="str">
        <f>IF(FMS_Ranking4[[#This Row],[FMS Type]]="Infrastructure Projects",FMS_Ranking4[[#This Row],[Rank (with ArcSinh normalization of select criteria)]],"")</f>
        <v/>
      </c>
      <c r="CD220" s="200">
        <f>IF(FMS_Ranking4[[#This Row],[FMS Type]]="Other",FMS_Ranking4[[#This Row],[Rank (with ArcSinh normalization of select criteria)]],"")</f>
        <v>213</v>
      </c>
      <c r="CE220" s="201"/>
      <c r="CF220" s="206"/>
      <c r="CG220" s="206"/>
      <c r="CH220" s="206"/>
      <c r="CI220" s="206"/>
      <c r="CJ220" s="206"/>
      <c r="CK220" s="206"/>
      <c r="CL220" s="206"/>
      <c r="CM220" s="206"/>
      <c r="CN220" s="206"/>
      <c r="CO220" s="206"/>
      <c r="CP220" s="206"/>
      <c r="CQ220" s="206"/>
      <c r="CR220" s="206"/>
    </row>
    <row r="221" spans="2:96" ht="60" x14ac:dyDescent="0.25">
      <c r="B221" s="341" t="s">
        <v>2941</v>
      </c>
      <c r="C221" s="246">
        <f>_xlfn.XLOOKUP(FMS_Ranking4[[#This Row],[FMS ID]],FMS_Input[FMS_ID],FMS_Input[RFPG_NUM])</f>
        <v>5</v>
      </c>
      <c r="D221" s="309" t="str">
        <f>_xlfn.XLOOKUP(FMS_Ranking4[[#This Row],[FMS ID]],FMS_Input[FMS_ID],FMS_Input[FMS_NAME])</f>
        <v>City of Sour Lake Voluntary Flood Buyout</v>
      </c>
      <c r="E221" s="308" t="str">
        <f>_xlfn.XLOOKUP(FMS_Ranking4[[#This Row],[FMS ID]],FMS_Input[FMS_ID],FMS_Input[SPONSOR])</f>
        <v>05002933</v>
      </c>
      <c r="F221" s="309" t="str">
        <f>_xlfn.XLOOKUP(FMS_Ranking4[[#This Row],[FMS ID]],Sponsor[FMS_ID],Sponsor[SPONSOR NAME])</f>
        <v>Sour Lake</v>
      </c>
      <c r="G221" s="309" t="str">
        <f>_xlfn.XLOOKUP(FMS_Ranking4[[#This Row],[FMS ID]],FMS_Input[FMS_ID],FMS_Input[FMS_DESCR])</f>
        <v>Voluntary flood buyouts.</v>
      </c>
      <c r="H221" s="248" t="str">
        <f>_xlfn.XLOOKUP(FMS_Ranking4[[#This Row],[FMS ID]],FMS_Input[FMS_ID],FMS_Input[FMS_TYPE])</f>
        <v>Property Acquisition and Structural Elevation</v>
      </c>
      <c r="I221" s="249">
        <f>_xlfn.XLOOKUP(FMS_Ranking4[[#This Row],[FMS ID]],FMS_Input[FMS_ID],FMS_Input[NRNC_COST])</f>
        <v>40000</v>
      </c>
      <c r="J221" s="250">
        <f>_xlfn.XLOOKUP(FMS_Ranking4[[#This Row],[FMS ID]],FMS_Input[FMS_ID],FMS_Input[FMS_COST])</f>
        <v>6000000</v>
      </c>
      <c r="K221" s="251" t="str">
        <f>_xlfn.XLOOKUP(FMS_Ranking4[[#This Row],[FMS ID]],FMS_Input[FMS_ID],FMS_Input[EMER_NEED])</f>
        <v>Yes</v>
      </c>
      <c r="L221" s="252">
        <f t="shared" si="3"/>
        <v>1</v>
      </c>
      <c r="M221" s="253">
        <f>_xlfn.XLOOKUP(FMS_Ranking4[[#This Row],[FMS ID]],FMS_Input[FMS_ID],FMS_Input[STRUCT_100])</f>
        <v>435</v>
      </c>
      <c r="N221" s="255">
        <f>(ASINH(FMS_Ranking4[[#This Row],[Structure at Risk Raw]]))*(10)/(ASINH(M$4))</f>
        <v>5.3210444879865948</v>
      </c>
      <c r="O221" s="256">
        <f>FMS_Ranking4[[#This Row],[Structures at risk, ArcSinh (0-10)]]*M$5*10</f>
        <v>5.3210444879865948</v>
      </c>
      <c r="P221" s="253">
        <f>_xlfn.XLOOKUP(FMS_Ranking4[[#This Row],[FMS ID]],FMS_Input[FMS_ID],FMS_Input[RES_STRUCT100])</f>
        <v>323</v>
      </c>
      <c r="Q221" s="257">
        <f>ASINH(FMS_Ranking4[[#This Row],[Res Structure Raw]])/Q$4*P$5*100</f>
        <v>0</v>
      </c>
      <c r="R221" s="253">
        <f>_xlfn.XLOOKUP(FMS_Ranking4[[#This Row],[FMS ID]],FMS_Input[FMS_ID],FMS_Input[POP100])</f>
        <v>1687</v>
      </c>
      <c r="S221" s="255">
        <f>(ASINH(FMS_Ranking4[[#This Row],[Pop at Risk Raw]]))*(10)/(ASINH(R$4))</f>
        <v>5.608369612454335</v>
      </c>
      <c r="T221" s="256">
        <f>FMS_Ranking4[[#This Row],[Population at risk, ArcSinh (0-10)]]*R$5*10</f>
        <v>5.608369612454335</v>
      </c>
      <c r="U221" s="253">
        <f>_xlfn.XLOOKUP(FMS_Ranking4[[#This Row],[FMS ID]],FMS_Input[FMS_ID],FMS_Input[CRITFAC100])</f>
        <v>7</v>
      </c>
      <c r="V221" s="255">
        <f>(ASINH(FMS_Ranking4[[#This Row],[Critical Facilities Raw]]))*(10)/(ASINH(U$4))</f>
        <v>3.1300153354232236</v>
      </c>
      <c r="W221" s="256">
        <f>FMS_Ranking4[[#This Row],[Critical facilities at risk, ArcSinh (0-10)]]*U$5*10</f>
        <v>3.1300153354232241</v>
      </c>
      <c r="X221" s="253">
        <f>_xlfn.XLOOKUP(FMS_Ranking4[[#This Row],[FMS ID]],FMS_Input[FMS_ID],FMS_Input[LWC])</f>
        <v>3</v>
      </c>
      <c r="Y221" s="255">
        <f>(ASINH(FMS_Ranking4[[#This Row],[LWC Raw]]))*(10)/(ASINH(X$4))</f>
        <v>2.4635181155638843</v>
      </c>
      <c r="Z221" s="256">
        <f>FMS_Ranking4[[#This Row],[LWC, ArcSInh (0-10)]]*X$5*10</f>
        <v>2.4635181155638843</v>
      </c>
      <c r="AA221" s="253">
        <f>_xlfn.XLOOKUP(FMS_Ranking4[[#This Row],[FMS ID]],FMS_Input[FMS_ID],FMS_Input[ROADCLS])</f>
        <v>3</v>
      </c>
      <c r="AB221" s="255">
        <f>(ASINH(FMS_Ranking4[[#This Row],[Road Closures Raw]]))*(10)/(ASINH(AA$4))</f>
        <v>1.8937450846072912</v>
      </c>
      <c r="AC221" s="256">
        <f>FMS_Ranking4[[#This Row],[Road closures, ArcSinh (0-10)]]*AA$5*10</f>
        <v>0.94687254230364559</v>
      </c>
      <c r="AD221" s="253">
        <f>_xlfn.XLOOKUP(FMS_Ranking4[[#This Row],[FMS ID]],FMS_Input[FMS_ID],FMS_Input[ROAD_MILES100])</f>
        <v>8</v>
      </c>
      <c r="AE221" s="255">
        <f>(ASINH(FMS_Ranking4[[#This Row],[Road Miles Raw]]))*(10)/(ASINH(AD$4))</f>
        <v>2.9589555764172308</v>
      </c>
      <c r="AF221" s="256">
        <f>FMS_Ranking4[[#This Row],[Length of roads at risk, ArcSinh (0-10)]]*AD$5*10</f>
        <v>2.9589555764172308</v>
      </c>
      <c r="AG221" s="253">
        <f>_xlfn.XLOOKUP(FMS_Ranking4[[#This Row],[FMS ID]],FMS_Input[FMS_ID],FMS_Input[FARMACRE100])</f>
        <v>7.4686717987060547</v>
      </c>
      <c r="AH221" s="255">
        <f>(ASINH(FMS_Ranking4[[#This Row],[Ag Land Raw]]))*(10)/(ASINH(AG$4))</f>
        <v>1.7592721035905616</v>
      </c>
      <c r="AI221" s="260">
        <f>FMS_Ranking4[[#This Row],[Farm &amp; ranch land, ArcSinh (0-10)]]*AG$5*10</f>
        <v>0.87963605179528082</v>
      </c>
      <c r="AJ221" s="258">
        <f>_xlfn.XLOOKUP(FMS_Ranking4[[#This Row],[FMS ID]],FMS_Input[FMS_ID],FMS_Input[REDSTRUCT100])</f>
        <v>0</v>
      </c>
      <c r="AK221" s="253">
        <f>_xlfn.XLOOKUP(FMS_Ranking4[[#This Row],[FMS ID]],FMS_Input[FMS_ID],FMS_Input[REMSTRC100])</f>
        <v>0</v>
      </c>
      <c r="AL221" s="255">
        <f>(ASINH(FMS_Ranking4[[#This Row],[Structures Removed Raw]]))*(10)/(ASINH(AK$4))</f>
        <v>0</v>
      </c>
      <c r="AM221" s="262">
        <f>FMS_Ranking4[[#This Row],[Structures removed, ArcSinh (0-10)]]*AK$5*10</f>
        <v>0</v>
      </c>
      <c r="AN221" s="253">
        <f>_xlfn.XLOOKUP(FMS_Ranking4[[#This Row],[FMS ID]],FMS_Input[FMS_ID],FMS_Input[REMRESSTRC100])</f>
        <v>0</v>
      </c>
      <c r="AO221" s="261">
        <f>FMS_Ranking4[[#This Row],[ArcSinh Res struct removed 0-10]]*AN$5*10</f>
        <v>0</v>
      </c>
      <c r="AP221" s="260">
        <f>ASINH(FMS_Ranking4[[#This Row],[Residential Structures Removed Raw]])/AP$4*AN$5*100</f>
        <v>0</v>
      </c>
      <c r="AQ221" s="258">
        <f>(ASINH(FMS_Ranking4[[#This Row],[Residential Structures Removed Raw]]))*(10)/(ASINH(AN$4))</f>
        <v>0</v>
      </c>
      <c r="AR221" s="253">
        <f>_xlfn.XLOOKUP(FMS_Ranking4[[#This Row],[FMS ID]],FMS_Input[FMS_ID],FMS_Input[REMPOP100])</f>
        <v>0</v>
      </c>
      <c r="AS221" s="255">
        <f>(ASINH(FMS_Ranking4[[#This Row],[Removed Pop Raw]]))*(10)/(ASINH(AR$4))</f>
        <v>0</v>
      </c>
      <c r="AT221" s="262">
        <f>FMS_Ranking4[[#This Row],[Removed population, ArcSinh (0-10)]]*AR$5*10</f>
        <v>0</v>
      </c>
      <c r="AU221" s="264">
        <f>_xlfn.XLOOKUP(FMS_Ranking4[[#This Row],[FMS ID]],FMS_Input[FMS_ID],FMS_Input[REMCRITFAC100])</f>
        <v>0</v>
      </c>
      <c r="AV221" s="264">
        <f>_xlfn.XLOOKUP(FMS_Ranking4[[#This Row],[FMS ID]],FMS_Input[FMS_ID],FMS_Input[REMLWC100])</f>
        <v>0</v>
      </c>
      <c r="AW221" s="264">
        <f>_xlfn.XLOOKUP(FMS_Ranking4[[#This Row],[FMS ID]],FMS_Input[FMS_ID],FMS_Input[REMROADCLS])</f>
        <v>0</v>
      </c>
      <c r="AX221" s="264">
        <f>_xlfn.XLOOKUP(FMS_Ranking4[[#This Row],[FMS ID]],FMS_Input[FMS_ID],FMS_Input[REMFRMACRE100])</f>
        <v>0</v>
      </c>
      <c r="AY221" s="258">
        <f>_xlfn.XLOOKUP(FMS_Ranking4[[#This Row],[FMS ID]],FMS_Input[FMS_ID],FMS_Input[COSTSTRUCT])</f>
        <v>0</v>
      </c>
      <c r="AZ221" s="253">
        <f>_xlfn.XLOOKUP(FMS_Ranking4[[#This Row],[FMS ID]],FMS_Input[FMS_ID],FMS_Input[NATURE])</f>
        <v>100</v>
      </c>
      <c r="BA221" s="262">
        <f>(((FMS_Ranking4[[#This Row],[% NBS Raw]]/AZ$4)*100)*AZ$5)</f>
        <v>7.5</v>
      </c>
      <c r="BB221" s="251" t="str">
        <f>_xlfn.XLOOKUP(FMS_Ranking4[[#This Row],[FMS ID]],FMS_Input[FMS_ID],FMS_Input[WATER_SUP])</f>
        <v>No</v>
      </c>
      <c r="BC221" s="265">
        <f>IF(FMS_Ranking4[[#This Row],[Water Supply Raw]]="Yes",10,0)</f>
        <v>0</v>
      </c>
      <c r="BD221" s="266">
        <f>_xlfn.XLOOKUP(FMS_Ranking4[[#This Row],[FMS Type]],FMS_TYPE[FMS_Type],FMS_TYPE[Score])</f>
        <v>4</v>
      </c>
      <c r="BE221" s="267">
        <f>FMS_Ranking4[[#This Row],[FMS_Type Score]]*$BD$5*10</f>
        <v>1</v>
      </c>
      <c r="BF22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0.12616127260731985</v>
      </c>
      <c r="BG221" s="321">
        <f>_xlfn.RANK.EQ(BF221,$BF$8:$BF$870,0)+COUNTIF($BF$8:BF221,BF221)-1</f>
        <v>446</v>
      </c>
      <c r="BH221" s="294">
        <f>(((FMS_Ranking4[[#This Row],[Structures Removed Raw]]/AK$4)*100)*AK$5)+(((FMS_Ranking4[[#This Row],[Removed Pop Raw]]/AR$4)*100)*AR$5)</f>
        <v>0</v>
      </c>
      <c r="BI22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8.6261612726073196</v>
      </c>
      <c r="BJ221" s="251">
        <f>_xlfn.RANK.EQ(FMS_Ranking4[[#This Row],[Total Score 
(with linear
normalization)]],FMS_Ranking4[Total Score 
(with linear
normalization)],0)</f>
        <v>67</v>
      </c>
      <c r="BK221" s="251" t="e">
        <f>_xlfn.XLOOKUP(FMS_Ranking4[[#This Row],[FMS ID]],#REF!,#REF!)</f>
        <v>#REF!</v>
      </c>
      <c r="BL22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21.308411721944196</v>
      </c>
      <c r="BM221" s="324">
        <f>FMS_Ranking4[[#This Row],[ArcSinh Score Based on Normalized Reported Factors]]+FMS_Ranking4[[#This Row],[% NBS Score (Normalized)]]+(FMS_Ranking4[[#This Row],[Water Supply Score (Normalized)]]*10*$BB$5)+FMS_Ranking4[[#This Row],[FMS_Type Score Weighted]]</f>
        <v>29.808411721944196</v>
      </c>
      <c r="BN221" s="251">
        <f>_xlfn.RANK.EQ(FMS_Ranking4[[#This Row],[Total Score (with ArcSinh normalization of select criteria)]],FMS_Ranking4[Total Score (with ArcSinh normalization of select criteria)],0)</f>
        <v>214</v>
      </c>
      <c r="BO221" s="270" t="str">
        <f>_xlfn.XLOOKUP(FMS_Ranking4[[#This Row],[FMS ID]],FMS_Input[FMS_ID],FMS_Input[FMS_RANK_YEAR])</f>
        <v>2023 Amended Plan</v>
      </c>
      <c r="BP221" s="204">
        <f>_xlfn.XLOOKUP(FMS_Ranking4[[#This Row],[FMS ID]],Prev_Rank[FMS ID],Prev_Rank[Prev Rank])</f>
        <v>193</v>
      </c>
      <c r="BQ221" s="251" t="e">
        <f>_xlfn.XLOOKUP(FMS_Ranking4[[#This Row],[FMS ID]],#REF!,#REF!)</f>
        <v>#REF!</v>
      </c>
      <c r="BR221" s="199" t="e">
        <f>SUM(#REF!,#REF!,#REF!,#REF!,#REF!,#REF!,#REF!,#REF!,#REF!,FMS_Ranking4[[#This Row],[ArcSinh Res struct removed 0-10]],#REF!)</f>
        <v>#REF!</v>
      </c>
      <c r="BS221" s="199" t="e">
        <f>FMS_Ranking4[[#This Row],[Log Score Based on Normalized Reported Factors]]+FMS_Ranking4[[#This Row],[% NBS Score (Normalized)]]+(FMS_Ranking4[[#This Row],[Water Supply Score (Normalized)]]*10*$BB$5)+(FMS_Ranking4[[#This Row],[FMS_Type Score Weighted]])</f>
        <v>#REF!</v>
      </c>
      <c r="BT221" s="200" t="e">
        <f>_xlfn.RANK.EQ(FMS_Ranking4[[#This Row],[Log Total Score]],FMS_Ranking4[Log Total Score],0)</f>
        <v>#REF!</v>
      </c>
      <c r="BU221" s="200" t="e">
        <f>_xlfn.XLOOKUP(FMS_Ranking4[[#This Row],[FMS ID]],#REF!,#REF!)</f>
        <v>#REF!</v>
      </c>
      <c r="BV221" s="200">
        <f>FMS_Ranking4[[#This Row],[Region Number]]</f>
        <v>5</v>
      </c>
      <c r="BW221" s="200">
        <f>FMS_Ranking4[[#This Row],[Rank (with ArcSinh normalization of select criteria)]]-FMS_Ranking4[[#This Row],[Rank
(with linear
normalization)]]</f>
        <v>147</v>
      </c>
      <c r="BX221" s="200" t="e">
        <f>FMS_Ranking4[[#This Row],[Log Rank]]-FMS_Ranking4[[#This Row],[Rank
(with linear
normalization)]]</f>
        <v>#REF!</v>
      </c>
      <c r="BY221" s="200" t="str">
        <f>IF(FMS_Ranking4[[#This Row],[FMS Type]]="Flood Measurement and Warning",FMS_Ranking4[[#This Row],[Rank (with ArcSinh normalization of select criteria)]],"")</f>
        <v/>
      </c>
      <c r="BZ221" s="200" t="str">
        <f>IF(FMS_Ranking4[[#This Row],[FMS Type]]="Regulatory and Guidance",FMS_Ranking4[[#This Row],[Rank (with ArcSinh normalization of select criteria)]],"")</f>
        <v/>
      </c>
      <c r="CA221" s="200" t="str">
        <f>IF(FMS_Ranking4[[#This Row],[FMS Type]]="Education and Outreach",FMS_Ranking4[[#This Row],[Rank (with ArcSinh normalization of select criteria)]],"")</f>
        <v/>
      </c>
      <c r="CB221" s="200">
        <f>IF(FMS_Ranking4[[#This Row],[FMS Type]]="Property Acquisition and Structural Elevation",FMS_Ranking4[[#This Row],[Rank (with ArcSinh normalization of select criteria)]],"")</f>
        <v>214</v>
      </c>
      <c r="CC221" s="200" t="str">
        <f>IF(FMS_Ranking4[[#This Row],[FMS Type]]="Infrastructure Projects",FMS_Ranking4[[#This Row],[Rank (with ArcSinh normalization of select criteria)]],"")</f>
        <v/>
      </c>
      <c r="CD221" s="200" t="str">
        <f>IF(FMS_Ranking4[[#This Row],[FMS Type]]="Other",FMS_Ranking4[[#This Row],[Rank (with ArcSinh normalization of select criteria)]],"")</f>
        <v/>
      </c>
      <c r="CE221" s="201"/>
      <c r="CF221" s="206"/>
      <c r="CG221" s="206"/>
      <c r="CH221" s="206"/>
      <c r="CI221" s="206"/>
      <c r="CJ221" s="206"/>
      <c r="CK221" s="206"/>
      <c r="CL221" s="206"/>
      <c r="CM221" s="206"/>
      <c r="CN221" s="206"/>
      <c r="CO221" s="206"/>
      <c r="CP221" s="206"/>
      <c r="CQ221" s="206"/>
      <c r="CR221" s="206"/>
    </row>
    <row r="222" spans="2:96" ht="45" x14ac:dyDescent="0.25">
      <c r="B222" s="341" t="s">
        <v>519</v>
      </c>
      <c r="C222" s="246">
        <f>_xlfn.XLOOKUP(FMS_Ranking4[[#This Row],[FMS ID]],FMS_Input[FMS_ID],FMS_Input[RFPG_NUM])</f>
        <v>9</v>
      </c>
      <c r="D222" s="309" t="str">
        <f>_xlfn.XLOOKUP(FMS_Ranking4[[#This Row],[FMS ID]],FMS_Input[FMS_ID],FMS_Input[FMS_NAME])</f>
        <v>City of Andrews DCM</v>
      </c>
      <c r="E222" s="308" t="str">
        <f>_xlfn.XLOOKUP(FMS_Ranking4[[#This Row],[FMS ID]],FMS_Input[FMS_ID],FMS_Input[SPONSOR])</f>
        <v>00000102</v>
      </c>
      <c r="F222" s="309" t="str">
        <f>_xlfn.XLOOKUP(FMS_Ranking4[[#This Row],[FMS ID]],Sponsor[FMS_ID],Sponsor[SPONSOR NAME])</f>
        <v>Andrews</v>
      </c>
      <c r="G222" s="309" t="str">
        <f>_xlfn.XLOOKUP(FMS_Ranking4[[#This Row],[FMS ID]],FMS_Input[FMS_ID],FMS_Input[FMS_DESCR])</f>
        <v>Outreach Program: Discuss Stormwater Criteria Design Manual</v>
      </c>
      <c r="H222" s="248" t="str">
        <f>_xlfn.XLOOKUP(FMS_Ranking4[[#This Row],[FMS ID]],FMS_Input[FMS_ID],FMS_Input[FMS_TYPE])</f>
        <v>Other</v>
      </c>
      <c r="I222" s="249">
        <f>_xlfn.XLOOKUP(FMS_Ranking4[[#This Row],[FMS ID]],FMS_Input[FMS_ID],FMS_Input[NRNC_COST])</f>
        <v>75000</v>
      </c>
      <c r="J222" s="250">
        <f>_xlfn.XLOOKUP(FMS_Ranking4[[#This Row],[FMS ID]],FMS_Input[FMS_ID],FMS_Input[FMS_COST])</f>
        <v>100000</v>
      </c>
      <c r="K222" s="251" t="str">
        <f>_xlfn.XLOOKUP(FMS_Ranking4[[#This Row],[FMS ID]],FMS_Input[FMS_ID],FMS_Input[EMER_NEED])</f>
        <v>No</v>
      </c>
      <c r="L222" s="252">
        <f t="shared" si="3"/>
        <v>0</v>
      </c>
      <c r="M222" s="253">
        <f>_xlfn.XLOOKUP(FMS_Ranking4[[#This Row],[FMS ID]],FMS_Input[FMS_ID],FMS_Input[STRUCT_100])</f>
        <v>286</v>
      </c>
      <c r="N222" s="255">
        <f>(ASINH(FMS_Ranking4[[#This Row],[Structure at Risk Raw]]))*(10)/(ASINH(M$4))</f>
        <v>4.9913709958373431</v>
      </c>
      <c r="O222" s="256">
        <f>FMS_Ranking4[[#This Row],[Structures at risk, ArcSinh (0-10)]]*M$5*10</f>
        <v>4.9913709958373431</v>
      </c>
      <c r="P222" s="253">
        <f>_xlfn.XLOOKUP(FMS_Ranking4[[#This Row],[FMS ID]],FMS_Input[FMS_ID],FMS_Input[RES_STRUCT100])</f>
        <v>209</v>
      </c>
      <c r="Q222" s="257">
        <f>ASINH(FMS_Ranking4[[#This Row],[Res Structure Raw]])/Q$4*P$5*100</f>
        <v>0</v>
      </c>
      <c r="R222" s="253">
        <f>_xlfn.XLOOKUP(FMS_Ranking4[[#This Row],[FMS ID]],FMS_Input[FMS_ID],FMS_Input[POP100])</f>
        <v>833</v>
      </c>
      <c r="S222" s="259">
        <f>(ASINH(FMS_Ranking4[[#This Row],[Pop at Risk Raw]]))*(10)/(ASINH(R$4))</f>
        <v>5.1212023417970647</v>
      </c>
      <c r="T222" s="256">
        <f>FMS_Ranking4[[#This Row],[Population at risk, ArcSinh (0-10)]]*R$5*10</f>
        <v>5.1212023417970656</v>
      </c>
      <c r="U222" s="253">
        <f>_xlfn.XLOOKUP(FMS_Ranking4[[#This Row],[FMS ID]],FMS_Input[FMS_ID],FMS_Input[CRITFAC100])</f>
        <v>0</v>
      </c>
      <c r="V222" s="259">
        <f>(ASINH(FMS_Ranking4[[#This Row],[Critical Facilities Raw]]))*(10)/(ASINH(U$4))</f>
        <v>0</v>
      </c>
      <c r="W222" s="256">
        <f>FMS_Ranking4[[#This Row],[Critical facilities at risk, ArcSinh (0-10)]]*U$5*10</f>
        <v>0</v>
      </c>
      <c r="X222" s="253">
        <f>_xlfn.XLOOKUP(FMS_Ranking4[[#This Row],[FMS ID]],FMS_Input[FMS_ID],FMS_Input[LWC])</f>
        <v>0</v>
      </c>
      <c r="Y222" s="259">
        <f>(ASINH(FMS_Ranking4[[#This Row],[LWC Raw]]))*(10)/(ASINH(X$4))</f>
        <v>0</v>
      </c>
      <c r="Z222" s="256">
        <f>FMS_Ranking4[[#This Row],[LWC, ArcSInh (0-10)]]*X$5*10</f>
        <v>0</v>
      </c>
      <c r="AA222" s="253">
        <f>_xlfn.XLOOKUP(FMS_Ranking4[[#This Row],[FMS ID]],FMS_Input[FMS_ID],FMS_Input[ROADCLS])</f>
        <v>0</v>
      </c>
      <c r="AB222" s="255">
        <f>(ASINH(FMS_Ranking4[[#This Row],[Road Closures Raw]]))*(10)/(ASINH(AA$4))</f>
        <v>0</v>
      </c>
      <c r="AC222" s="256">
        <f>FMS_Ranking4[[#This Row],[Road closures, ArcSinh (0-10)]]*AA$5*10</f>
        <v>0</v>
      </c>
      <c r="AD222" s="253">
        <f>_xlfn.XLOOKUP(FMS_Ranking4[[#This Row],[FMS ID]],FMS_Input[FMS_ID],FMS_Input[ROAD_MILES100])</f>
        <v>18</v>
      </c>
      <c r="AE222" s="259">
        <f>(ASINH(FMS_Ranking4[[#This Row],[Road Miles Raw]]))*(10)/(ASINH(AD$4))</f>
        <v>3.8198666439072628</v>
      </c>
      <c r="AF222" s="256">
        <f>FMS_Ranking4[[#This Row],[Length of roads at risk, ArcSinh (0-10)]]*AD$5*10</f>
        <v>3.8198666439072633</v>
      </c>
      <c r="AG222" s="253">
        <f>_xlfn.XLOOKUP(FMS_Ranking4[[#This Row],[FMS ID]],FMS_Input[FMS_ID],FMS_Input[FARMACRE100])</f>
        <v>3.6033973693847661</v>
      </c>
      <c r="AH222" s="255">
        <f>(ASINH(FMS_Ranking4[[#This Row],[Ag Land Raw]]))*(10)/(ASINH(AG$4))</f>
        <v>1.2950995804301972</v>
      </c>
      <c r="AI222" s="260">
        <f>FMS_Ranking4[[#This Row],[Farm &amp; ranch land, ArcSinh (0-10)]]*AG$5*10</f>
        <v>0.64754979021509862</v>
      </c>
      <c r="AJ222" s="258">
        <f>_xlfn.XLOOKUP(FMS_Ranking4[[#This Row],[FMS ID]],FMS_Input[FMS_ID],FMS_Input[REDSTRUCT100])</f>
        <v>72</v>
      </c>
      <c r="AK222" s="253">
        <f>_xlfn.XLOOKUP(FMS_Ranking4[[#This Row],[FMS ID]],FMS_Input[FMS_ID],FMS_Input[REMSTRC100])</f>
        <v>72</v>
      </c>
      <c r="AL222" s="259">
        <f>(ASINH(FMS_Ranking4[[#This Row],[Structures Removed Raw]]))*(10)/(ASINH(AK$4))</f>
        <v>5.6585420939557887</v>
      </c>
      <c r="AM222" s="262">
        <f>FMS_Ranking4[[#This Row],[Structures removed, ArcSinh (0-10)]]*AK$5*10</f>
        <v>5.6585420939557887</v>
      </c>
      <c r="AN222" s="253">
        <f>_xlfn.XLOOKUP(FMS_Ranking4[[#This Row],[FMS ID]],FMS_Input[FMS_ID],FMS_Input[REMRESSTRC100])</f>
        <v>52</v>
      </c>
      <c r="AO222" s="261">
        <f>FMS_Ranking4[[#This Row],[ArcSinh Res struct removed 0-10]]*AN$5*10</f>
        <v>2.724112404485115</v>
      </c>
      <c r="AP222" s="260">
        <f>ASINH(FMS_Ranking4[[#This Row],[Residential Structures Removed Raw]])/AP$4*AN$5*100</f>
        <v>2.724112404485115</v>
      </c>
      <c r="AQ222" s="254">
        <f>(ASINH(FMS_Ranking4[[#This Row],[Residential Structures Removed Raw]]))*(10)/(ASINH(AN$4))</f>
        <v>5.4482248089702301</v>
      </c>
      <c r="AR222" s="253">
        <f>_xlfn.XLOOKUP(FMS_Ranking4[[#This Row],[FMS ID]],FMS_Input[FMS_ID],FMS_Input[REMPOP100])</f>
        <v>312</v>
      </c>
      <c r="AS222" s="259">
        <f>(ASINH(FMS_Ranking4[[#This Row],[Removed Pop Raw]]))*(10)/(ASINH(AR$4))</f>
        <v>6.3178592955243316</v>
      </c>
      <c r="AT222" s="262">
        <f>FMS_Ranking4[[#This Row],[Removed population, ArcSinh (0-10)]]*AR$5*10</f>
        <v>6.3178592955243316</v>
      </c>
      <c r="AU222" s="264">
        <f>_xlfn.XLOOKUP(FMS_Ranking4[[#This Row],[FMS ID]],FMS_Input[FMS_ID],FMS_Input[REMCRITFAC100])</f>
        <v>0</v>
      </c>
      <c r="AV222" s="264">
        <f>_xlfn.XLOOKUP(FMS_Ranking4[[#This Row],[FMS ID]],FMS_Input[FMS_ID],FMS_Input[REMLWC100])</f>
        <v>0</v>
      </c>
      <c r="AW222" s="264">
        <f>_xlfn.XLOOKUP(FMS_Ranking4[[#This Row],[FMS ID]],FMS_Input[FMS_ID],FMS_Input[REMROADCLS])</f>
        <v>0</v>
      </c>
      <c r="AX222" s="264">
        <f>_xlfn.XLOOKUP(FMS_Ranking4[[#This Row],[FMS ID]],FMS_Input[FMS_ID],FMS_Input[REMFRMACRE100])</f>
        <v>0.90084934234619141</v>
      </c>
      <c r="AY222" s="258">
        <f>_xlfn.XLOOKUP(FMS_Ranking4[[#This Row],[FMS ID]],FMS_Input[FMS_ID],FMS_Input[COSTSTRUCT])</f>
        <v>25000</v>
      </c>
      <c r="AZ222" s="253">
        <f>_xlfn.XLOOKUP(FMS_Ranking4[[#This Row],[FMS ID]],FMS_Input[FMS_ID],FMS_Input[NATURE])</f>
        <v>0</v>
      </c>
      <c r="BA222" s="262">
        <f>(((FMS_Ranking4[[#This Row],[% NBS Raw]]/AZ$4)*100)*AZ$5)</f>
        <v>0</v>
      </c>
      <c r="BB222" s="251" t="str">
        <f>_xlfn.XLOOKUP(FMS_Ranking4[[#This Row],[FMS ID]],FMS_Input[FMS_ID],FMS_Input[WATER_SUP])</f>
        <v>No</v>
      </c>
      <c r="BC222" s="265">
        <f>IF(FMS_Ranking4[[#This Row],[Water Supply Raw]]="Yes",10,0)</f>
        <v>0</v>
      </c>
      <c r="BD222" s="266">
        <f>_xlfn.XLOOKUP(FMS_Ranking4[[#This Row],[FMS Type]],FMS_TYPE[FMS_Type],FMS_TYPE[Score])</f>
        <v>2</v>
      </c>
      <c r="BE222" s="267">
        <f>FMS_Ranking4[[#This Row],[FMS_Type Score]]*$BD$5*10</f>
        <v>0.5</v>
      </c>
      <c r="BF22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5.5920302552096825E-2</v>
      </c>
      <c r="BG222" s="271">
        <f>_xlfn.RANK.EQ(BF222,$BF$8:$BF$870,0)+COUNTIF($BF$8:BF222,BF222)-1</f>
        <v>547</v>
      </c>
      <c r="BH222" s="268">
        <f>(((FMS_Ranking4[[#This Row],[Structures Removed Raw]]/AK$4)*100)*AK$5)+(((FMS_Ranking4[[#This Row],[Removed Pop Raw]]/AR$4)*100)*AR$5)</f>
        <v>0.45571323747456699</v>
      </c>
      <c r="BI22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1.0116335400266638</v>
      </c>
      <c r="BJ222" s="205">
        <f>_xlfn.RANK.EQ(FMS_Ranking4[[#This Row],[Total Score 
(with linear
normalization)]],FMS_Ranking4[Total Score 
(with linear
normalization)],0)</f>
        <v>729</v>
      </c>
      <c r="BK222" s="205" t="e">
        <f>_xlfn.XLOOKUP(FMS_Ranking4[[#This Row],[FMS ID]],#REF!,#REF!)</f>
        <v>#REF!</v>
      </c>
      <c r="BL22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29.280503565722007</v>
      </c>
      <c r="BM222" s="272">
        <f>FMS_Ranking4[[#This Row],[ArcSinh Score Based on Normalized Reported Factors]]+FMS_Ranking4[[#This Row],[% NBS Score (Normalized)]]+(FMS_Ranking4[[#This Row],[Water Supply Score (Normalized)]]*10*$BB$5)+FMS_Ranking4[[#This Row],[FMS_Type Score Weighted]]</f>
        <v>29.780503565722007</v>
      </c>
      <c r="BN222" s="205">
        <f>_xlfn.RANK.EQ(FMS_Ranking4[[#This Row],[Total Score (with ArcSinh normalization of select criteria)]],FMS_Ranking4[Total Score (with ArcSinh normalization of select criteria)],0)</f>
        <v>215</v>
      </c>
      <c r="BO222" s="270" t="str">
        <f>_xlfn.XLOOKUP(FMS_Ranking4[[#This Row],[FMS ID]],FMS_Input[FMS_ID],FMS_Input[FMS_RANK_YEAR])</f>
        <v>2023 Amended Plan</v>
      </c>
      <c r="BP222" s="204">
        <f>_xlfn.XLOOKUP(FMS_Ranking4[[#This Row],[FMS ID]],Prev_Rank[FMS ID],Prev_Rank[Prev Rank])</f>
        <v>213</v>
      </c>
      <c r="BQ222" s="205" t="e">
        <f>_xlfn.XLOOKUP(FMS_Ranking4[[#This Row],[FMS ID]],#REF!,#REF!)</f>
        <v>#REF!</v>
      </c>
      <c r="BR222" s="199" t="e">
        <f>SUM(#REF!,#REF!,#REF!,#REF!,#REF!,#REF!,#REF!,#REF!,#REF!,FMS_Ranking4[[#This Row],[ArcSinh Res struct removed 0-10]],#REF!)</f>
        <v>#REF!</v>
      </c>
      <c r="BS222" s="199" t="e">
        <f>FMS_Ranking4[[#This Row],[Log Score Based on Normalized Reported Factors]]+FMS_Ranking4[[#This Row],[% NBS Score (Normalized)]]+(FMS_Ranking4[[#This Row],[Water Supply Score (Normalized)]]*10*$BB$5)+(FMS_Ranking4[[#This Row],[FMS_Type Score Weighted]])</f>
        <v>#REF!</v>
      </c>
      <c r="BT222" s="200" t="e">
        <f>_xlfn.RANK.EQ(FMS_Ranking4[[#This Row],[Log Total Score]],FMS_Ranking4[Log Total Score],0)</f>
        <v>#REF!</v>
      </c>
      <c r="BU222" s="200" t="e">
        <f>_xlfn.XLOOKUP(FMS_Ranking4[[#This Row],[FMS ID]],#REF!,#REF!)</f>
        <v>#REF!</v>
      </c>
      <c r="BV222" s="200">
        <f>FMS_Ranking4[[#This Row],[Region Number]]</f>
        <v>9</v>
      </c>
      <c r="BW222" s="200">
        <f>FMS_Ranking4[[#This Row],[Rank (with ArcSinh normalization of select criteria)]]-FMS_Ranking4[[#This Row],[Rank
(with linear
normalization)]]</f>
        <v>-514</v>
      </c>
      <c r="BX222" s="200" t="e">
        <f>FMS_Ranking4[[#This Row],[Log Rank]]-FMS_Ranking4[[#This Row],[Rank
(with linear
normalization)]]</f>
        <v>#REF!</v>
      </c>
      <c r="BY222" s="200" t="str">
        <f>IF(FMS_Ranking4[[#This Row],[FMS Type]]="Flood Measurement and Warning",FMS_Ranking4[[#This Row],[Rank (with ArcSinh normalization of select criteria)]],"")</f>
        <v/>
      </c>
      <c r="BZ222" s="200" t="str">
        <f>IF(FMS_Ranking4[[#This Row],[FMS Type]]="Regulatory and Guidance",FMS_Ranking4[[#This Row],[Rank (with ArcSinh normalization of select criteria)]],"")</f>
        <v/>
      </c>
      <c r="CA222" s="200" t="str">
        <f>IF(FMS_Ranking4[[#This Row],[FMS Type]]="Education and Outreach",FMS_Ranking4[[#This Row],[Rank (with ArcSinh normalization of select criteria)]],"")</f>
        <v/>
      </c>
      <c r="CB222" s="200" t="str">
        <f>IF(FMS_Ranking4[[#This Row],[FMS Type]]="Property Acquisition and Structural Elevation",FMS_Ranking4[[#This Row],[Rank (with ArcSinh normalization of select criteria)]],"")</f>
        <v/>
      </c>
      <c r="CC222" s="200" t="str">
        <f>IF(FMS_Ranking4[[#This Row],[FMS Type]]="Infrastructure Projects",FMS_Ranking4[[#This Row],[Rank (with ArcSinh normalization of select criteria)]],"")</f>
        <v/>
      </c>
      <c r="CD222" s="200">
        <f>IF(FMS_Ranking4[[#This Row],[FMS Type]]="Other",FMS_Ranking4[[#This Row],[Rank (with ArcSinh normalization of select criteria)]],"")</f>
        <v>215</v>
      </c>
      <c r="CE222" s="201"/>
      <c r="CF222" s="206"/>
      <c r="CG222" s="206"/>
      <c r="CH222" s="206"/>
      <c r="CI222" s="206"/>
      <c r="CJ222" s="206"/>
      <c r="CK222" s="206"/>
      <c r="CL222" s="206"/>
      <c r="CM222" s="206"/>
      <c r="CN222" s="206"/>
      <c r="CO222" s="206"/>
      <c r="CP222" s="206"/>
      <c r="CQ222" s="206"/>
      <c r="CR222" s="206"/>
    </row>
    <row r="223" spans="2:96" ht="60" x14ac:dyDescent="0.25">
      <c r="B223" s="346" t="s">
        <v>3948</v>
      </c>
      <c r="C223" s="246">
        <f>_xlfn.XLOOKUP(FMS_Ranking4[[#This Row],[FMS ID]],FMS_Input[FMS_ID],FMS_Input[RFPG_NUM])</f>
        <v>15</v>
      </c>
      <c r="D223" s="309" t="str">
        <f>_xlfn.XLOOKUP(FMS_Ranking4[[#This Row],[FMS ID]],FMS_Input[FMS_ID],FMS_Input[FMS_NAME])</f>
        <v>Pharr #10-1.1</v>
      </c>
      <c r="E223" s="308" t="str">
        <f>_xlfn.XLOOKUP(FMS_Ranking4[[#This Row],[FMS ID]],FMS_Input[FMS_ID],FMS_Input[SPONSOR])</f>
        <v>15000086</v>
      </c>
      <c r="F223" s="309" t="str">
        <f>_xlfn.XLOOKUP(FMS_Ranking4[[#This Row],[FMS ID]],Sponsor[FMS_ID],Sponsor[SPONSOR NAME])</f>
        <v>Pharr</v>
      </c>
      <c r="G223" s="309" t="str">
        <f>_xlfn.XLOOKUP(FMS_Ranking4[[#This Row],[FMS ID]],FMS_Input[FMS_ID],FMS_Input[FMS_DESCR])</f>
        <v>Develop Procedures For Mass Notifications To Citizens And Merchants During Natural Hazard Incident.</v>
      </c>
      <c r="H223" s="248" t="str">
        <f>_xlfn.XLOOKUP(FMS_Ranking4[[#This Row],[FMS ID]],FMS_Input[FMS_ID],FMS_Input[FMS_TYPE])</f>
        <v>Flood Measurement and Warning</v>
      </c>
      <c r="I223" s="249">
        <f>_xlfn.XLOOKUP(FMS_Ranking4[[#This Row],[FMS ID]],FMS_Input[FMS_ID],FMS_Input[NRNC_COST])</f>
        <v>1000</v>
      </c>
      <c r="J223" s="250">
        <f>_xlfn.XLOOKUP(FMS_Ranking4[[#This Row],[FMS ID]],FMS_Input[FMS_ID],FMS_Input[FMS_COST])</f>
        <v>5000</v>
      </c>
      <c r="K223" s="251" t="str">
        <f>_xlfn.XLOOKUP(FMS_Ranking4[[#This Row],[FMS ID]],FMS_Input[FMS_ID],FMS_Input[EMER_NEED])</f>
        <v>Yes</v>
      </c>
      <c r="L223" s="252">
        <f t="shared" si="3"/>
        <v>1</v>
      </c>
      <c r="M223" s="253">
        <f>_xlfn.XLOOKUP(FMS_Ranking4[[#This Row],[FMS ID]],FMS_Input[FMS_ID],FMS_Input[STRUCT_100])</f>
        <v>16963</v>
      </c>
      <c r="N223" s="255">
        <f>(ASINH(FMS_Ranking4[[#This Row],[Structure at Risk Raw]]))*(10)/(ASINH(M$4))</f>
        <v>8.2010557002116791</v>
      </c>
      <c r="O223" s="256">
        <f>FMS_Ranking4[[#This Row],[Structures at risk, ArcSinh (0-10)]]*M$5*10</f>
        <v>8.2010557002116791</v>
      </c>
      <c r="P223" s="253">
        <f>_xlfn.XLOOKUP(FMS_Ranking4[[#This Row],[FMS ID]],FMS_Input[FMS_ID],FMS_Input[RES_STRUCT100])</f>
        <v>13949</v>
      </c>
      <c r="Q223" s="257">
        <f>ASINH(FMS_Ranking4[[#This Row],[Res Structure Raw]])/Q$4*P$5*100</f>
        <v>0</v>
      </c>
      <c r="R223" s="253">
        <f>_xlfn.XLOOKUP(FMS_Ranking4[[#This Row],[FMS ID]],FMS_Input[FMS_ID],FMS_Input[POP100])</f>
        <v>62907</v>
      </c>
      <c r="S223" s="255">
        <f>(ASINH(FMS_Ranking4[[#This Row],[Pop at Risk Raw]]))*(10)/(ASINH(R$4))</f>
        <v>8.1065727298822843</v>
      </c>
      <c r="T223" s="256">
        <f>FMS_Ranking4[[#This Row],[Population at risk, ArcSinh (0-10)]]*R$5*10</f>
        <v>8.1065727298822843</v>
      </c>
      <c r="U223" s="253">
        <f>_xlfn.XLOOKUP(FMS_Ranking4[[#This Row],[FMS ID]],FMS_Input[FMS_ID],FMS_Input[CRITFAC100])</f>
        <v>2</v>
      </c>
      <c r="V223" s="255">
        <f>(ASINH(FMS_Ranking4[[#This Row],[Critical Facilities Raw]]))*(10)/(ASINH(U$4))</f>
        <v>1.7089239049208753</v>
      </c>
      <c r="W223" s="256">
        <f>FMS_Ranking4[[#This Row],[Critical facilities at risk, ArcSinh (0-10)]]*U$5*10</f>
        <v>1.7089239049208755</v>
      </c>
      <c r="X223" s="253">
        <f>_xlfn.XLOOKUP(FMS_Ranking4[[#This Row],[FMS ID]],FMS_Input[FMS_ID],FMS_Input[LWC])</f>
        <v>0</v>
      </c>
      <c r="Y223" s="255">
        <f>(ASINH(FMS_Ranking4[[#This Row],[LWC Raw]]))*(10)/(ASINH(X$4))</f>
        <v>0</v>
      </c>
      <c r="Z223" s="256">
        <f>FMS_Ranking4[[#This Row],[LWC, ArcSInh (0-10)]]*X$5*10</f>
        <v>0</v>
      </c>
      <c r="AA223" s="253">
        <f>_xlfn.XLOOKUP(FMS_Ranking4[[#This Row],[FMS ID]],FMS_Input[FMS_ID],FMS_Input[ROADCLS])</f>
        <v>0</v>
      </c>
      <c r="AB223" s="255">
        <f>(ASINH(FMS_Ranking4[[#This Row],[Road Closures Raw]]))*(10)/(ASINH(AA$4))</f>
        <v>0</v>
      </c>
      <c r="AC223" s="256">
        <f>FMS_Ranking4[[#This Row],[Road closures, ArcSinh (0-10)]]*AA$5*10</f>
        <v>0</v>
      </c>
      <c r="AD223" s="253">
        <f>_xlfn.XLOOKUP(FMS_Ranking4[[#This Row],[FMS ID]],FMS_Input[FMS_ID],FMS_Input[ROAD_MILES100])</f>
        <v>198</v>
      </c>
      <c r="AE223" s="255">
        <f>(ASINH(FMS_Ranking4[[#This Row],[Road Miles Raw]]))*(10)/(ASINH(AD$4))</f>
        <v>6.3745487130970417</v>
      </c>
      <c r="AF223" s="256">
        <f>FMS_Ranking4[[#This Row],[Length of roads at risk, ArcSinh (0-10)]]*AD$5*10</f>
        <v>6.3745487130970426</v>
      </c>
      <c r="AG223" s="253">
        <f>_xlfn.XLOOKUP(FMS_Ranking4[[#This Row],[FMS ID]],FMS_Input[FMS_ID],FMS_Input[FARMACRE100])</f>
        <v>3349.10888671875</v>
      </c>
      <c r="AH223" s="255">
        <f>(ASINH(FMS_Ranking4[[#This Row],[Ag Land Raw]]))*(10)/(ASINH(AG$4))</f>
        <v>5.7225508258320366</v>
      </c>
      <c r="AI223" s="260">
        <f>FMS_Ranking4[[#This Row],[Farm &amp; ranch land, ArcSinh (0-10)]]*AG$5*10</f>
        <v>2.8612754129160183</v>
      </c>
      <c r="AJ223" s="258">
        <f>_xlfn.XLOOKUP(FMS_Ranking4[[#This Row],[FMS ID]],FMS_Input[FMS_ID],FMS_Input[REDSTRUCT100])</f>
        <v>0</v>
      </c>
      <c r="AK223" s="253">
        <f>_xlfn.XLOOKUP(FMS_Ranking4[[#This Row],[FMS ID]],FMS_Input[FMS_ID],FMS_Input[REMSTRC100])</f>
        <v>0</v>
      </c>
      <c r="AL223" s="255">
        <f>(ASINH(FMS_Ranking4[[#This Row],[Structures Removed Raw]]))*(10)/(ASINH(AK$4))</f>
        <v>0</v>
      </c>
      <c r="AM223" s="262">
        <f>FMS_Ranking4[[#This Row],[Structures removed, ArcSinh (0-10)]]*AK$5*10</f>
        <v>0</v>
      </c>
      <c r="AN223" s="253">
        <f>_xlfn.XLOOKUP(FMS_Ranking4[[#This Row],[FMS ID]],FMS_Input[FMS_ID],FMS_Input[REMRESSTRC100])</f>
        <v>0</v>
      </c>
      <c r="AO223" s="261">
        <f>FMS_Ranking4[[#This Row],[ArcSinh Res struct removed 0-10]]*AN$5*10</f>
        <v>0</v>
      </c>
      <c r="AP223" s="260">
        <f>ASINH(FMS_Ranking4[[#This Row],[Residential Structures Removed Raw]])/AP$4*AN$5*100</f>
        <v>0</v>
      </c>
      <c r="AQ223" s="258">
        <f>(ASINH(FMS_Ranking4[[#This Row],[Residential Structures Removed Raw]]))*(10)/(ASINH(AN$4))</f>
        <v>0</v>
      </c>
      <c r="AR223" s="253">
        <f>_xlfn.XLOOKUP(FMS_Ranking4[[#This Row],[FMS ID]],FMS_Input[FMS_ID],FMS_Input[REMPOP100])</f>
        <v>0</v>
      </c>
      <c r="AS223" s="255">
        <f>(ASINH(FMS_Ranking4[[#This Row],[Removed Pop Raw]]))*(10)/(ASINH(AR$4))</f>
        <v>0</v>
      </c>
      <c r="AT223" s="262">
        <f>FMS_Ranking4[[#This Row],[Removed population, ArcSinh (0-10)]]*AR$5*10</f>
        <v>0</v>
      </c>
      <c r="AU223" s="264">
        <f>_xlfn.XLOOKUP(FMS_Ranking4[[#This Row],[FMS ID]],FMS_Input[FMS_ID],FMS_Input[REMCRITFAC100])</f>
        <v>0</v>
      </c>
      <c r="AV223" s="264">
        <f>_xlfn.XLOOKUP(FMS_Ranking4[[#This Row],[FMS ID]],FMS_Input[FMS_ID],FMS_Input[REMLWC100])</f>
        <v>0</v>
      </c>
      <c r="AW223" s="264">
        <f>_xlfn.XLOOKUP(FMS_Ranking4[[#This Row],[FMS ID]],FMS_Input[FMS_ID],FMS_Input[REMROADCLS])</f>
        <v>0</v>
      </c>
      <c r="AX223" s="264">
        <f>_xlfn.XLOOKUP(FMS_Ranking4[[#This Row],[FMS ID]],FMS_Input[FMS_ID],FMS_Input[REMFRMACRE100])</f>
        <v>0</v>
      </c>
      <c r="AY223" s="258">
        <f>_xlfn.XLOOKUP(FMS_Ranking4[[#This Row],[FMS ID]],FMS_Input[FMS_ID],FMS_Input[COSTSTRUCT])</f>
        <v>0</v>
      </c>
      <c r="AZ223" s="253">
        <f>_xlfn.XLOOKUP(FMS_Ranking4[[#This Row],[FMS ID]],FMS_Input[FMS_ID],FMS_Input[NATURE])</f>
        <v>0</v>
      </c>
      <c r="BA223" s="262">
        <f>(((FMS_Ranking4[[#This Row],[% NBS Raw]]/AZ$4)*100)*AZ$5)</f>
        <v>0</v>
      </c>
      <c r="BB223" s="251" t="str">
        <f>_xlfn.XLOOKUP(FMS_Ranking4[[#This Row],[FMS ID]],FMS_Input[FMS_ID],FMS_Input[WATER_SUP])</f>
        <v>No</v>
      </c>
      <c r="BC223" s="265">
        <f>IF(FMS_Ranking4[[#This Row],[Water Supply Raw]]="Yes",10,0)</f>
        <v>0</v>
      </c>
      <c r="BD223" s="266">
        <f>_xlfn.XLOOKUP(FMS_Ranking4[[#This Row],[FMS Type]],FMS_TYPE[FMS_Type],FMS_TYPE[Score])</f>
        <v>10</v>
      </c>
      <c r="BE223" s="267">
        <f>FMS_Ranking4[[#This Row],[FMS_Type Score]]*$BD$5*10</f>
        <v>2.5</v>
      </c>
      <c r="BF22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2.0069577579745057</v>
      </c>
      <c r="BG223" s="293">
        <f>_xlfn.RANK.EQ(BF223,$BF$8:$BF$870,0)+COUNTIF($BF$8:BF223,BF223)-1</f>
        <v>102</v>
      </c>
      <c r="BH223" s="294">
        <f>(((FMS_Ranking4[[#This Row],[Structures Removed Raw]]/AK$4)*100)*AK$5)+(((FMS_Ranking4[[#This Row],[Removed Pop Raw]]/AR$4)*100)*AR$5)</f>
        <v>0</v>
      </c>
      <c r="BI22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4.5069577579745062</v>
      </c>
      <c r="BJ223" s="251">
        <f>_xlfn.RANK.EQ(FMS_Ranking4[[#This Row],[Total Score 
(with linear
normalization)]],FMS_Ranking4[Total Score 
(with linear
normalization)],0)</f>
        <v>127</v>
      </c>
      <c r="BK223" s="251" t="e">
        <f>_xlfn.XLOOKUP(FMS_Ranking4[[#This Row],[FMS ID]],#REF!,#REF!)</f>
        <v>#REF!</v>
      </c>
      <c r="BL22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27.2523764610279</v>
      </c>
      <c r="BM223" s="324">
        <f>FMS_Ranking4[[#This Row],[ArcSinh Score Based on Normalized Reported Factors]]+FMS_Ranking4[[#This Row],[% NBS Score (Normalized)]]+(FMS_Ranking4[[#This Row],[Water Supply Score (Normalized)]]*10*$BB$5)+FMS_Ranking4[[#This Row],[FMS_Type Score Weighted]]</f>
        <v>29.7523764610279</v>
      </c>
      <c r="BN223" s="251">
        <f>_xlfn.RANK.EQ(FMS_Ranking4[[#This Row],[Total Score (with ArcSinh normalization of select criteria)]],FMS_Ranking4[Total Score (with ArcSinh normalization of select criteria)],0)</f>
        <v>216</v>
      </c>
      <c r="BO223" s="270" t="str">
        <f>_xlfn.XLOOKUP(FMS_Ranking4[[#This Row],[FMS ID]],FMS_Input[FMS_ID],FMS_Input[FMS_RANK_YEAR])</f>
        <v>2023 Amended Plan</v>
      </c>
      <c r="BP223" s="324">
        <f>_xlfn.XLOOKUP(FMS_Ranking4[[#This Row],[FMS ID]],Prev_Rank[FMS ID],Prev_Rank[Prev Rank])</f>
        <v>191</v>
      </c>
      <c r="BQ223" s="251" t="e">
        <f>_xlfn.XLOOKUP(FMS_Ranking4[[#This Row],[FMS ID]],#REF!,#REF!)</f>
        <v>#REF!</v>
      </c>
      <c r="BR223" s="199" t="e">
        <f>SUM(#REF!,#REF!,#REF!,#REF!,#REF!,#REF!,#REF!,#REF!,#REF!,FMS_Ranking4[[#This Row],[ArcSinh Res struct removed 0-10]],#REF!)</f>
        <v>#REF!</v>
      </c>
      <c r="BS223" s="199" t="e">
        <f>FMS_Ranking4[[#This Row],[Log Score Based on Normalized Reported Factors]]+FMS_Ranking4[[#This Row],[% NBS Score (Normalized)]]+(FMS_Ranking4[[#This Row],[Water Supply Score (Normalized)]]*10*$BB$5)+(FMS_Ranking4[[#This Row],[FMS_Type Score Weighted]])</f>
        <v>#REF!</v>
      </c>
      <c r="BT223" s="200" t="e">
        <f>_xlfn.RANK.EQ(FMS_Ranking4[[#This Row],[Log Total Score]],FMS_Ranking4[Log Total Score],0)</f>
        <v>#REF!</v>
      </c>
      <c r="BU223" s="200" t="e">
        <f>_xlfn.XLOOKUP(FMS_Ranking4[[#This Row],[FMS ID]],#REF!,#REF!)</f>
        <v>#REF!</v>
      </c>
      <c r="BV223" s="200">
        <f>FMS_Ranking4[[#This Row],[Region Number]]</f>
        <v>15</v>
      </c>
      <c r="BW223" s="200">
        <f>FMS_Ranking4[[#This Row],[Rank (with ArcSinh normalization of select criteria)]]-FMS_Ranking4[[#This Row],[Rank
(with linear
normalization)]]</f>
        <v>89</v>
      </c>
      <c r="BX223" s="200" t="e">
        <f>FMS_Ranking4[[#This Row],[Log Rank]]-FMS_Ranking4[[#This Row],[Rank
(with linear
normalization)]]</f>
        <v>#REF!</v>
      </c>
      <c r="BY223" s="200">
        <f>IF(FMS_Ranking4[[#This Row],[FMS Type]]="Flood Measurement and Warning",FMS_Ranking4[[#This Row],[Rank (with ArcSinh normalization of select criteria)]],"")</f>
        <v>216</v>
      </c>
      <c r="BZ223" s="200" t="str">
        <f>IF(FMS_Ranking4[[#This Row],[FMS Type]]="Regulatory and Guidance",FMS_Ranking4[[#This Row],[Rank (with ArcSinh normalization of select criteria)]],"")</f>
        <v/>
      </c>
      <c r="CA223" s="200" t="str">
        <f>IF(FMS_Ranking4[[#This Row],[FMS Type]]="Education and Outreach",FMS_Ranking4[[#This Row],[Rank (with ArcSinh normalization of select criteria)]],"")</f>
        <v/>
      </c>
      <c r="CB223" s="200" t="str">
        <f>IF(FMS_Ranking4[[#This Row],[FMS Type]]="Property Acquisition and Structural Elevation",FMS_Ranking4[[#This Row],[Rank (with ArcSinh normalization of select criteria)]],"")</f>
        <v/>
      </c>
      <c r="CC223" s="200" t="str">
        <f>IF(FMS_Ranking4[[#This Row],[FMS Type]]="Infrastructure Projects",FMS_Ranking4[[#This Row],[Rank (with ArcSinh normalization of select criteria)]],"")</f>
        <v/>
      </c>
      <c r="CD223" s="200" t="str">
        <f>IF(FMS_Ranking4[[#This Row],[FMS Type]]="Other",FMS_Ranking4[[#This Row],[Rank (with ArcSinh normalization of select criteria)]],"")</f>
        <v/>
      </c>
      <c r="CE223" s="201"/>
      <c r="CF223" s="206"/>
      <c r="CG223" s="206"/>
      <c r="CH223" s="206"/>
      <c r="CI223" s="206"/>
      <c r="CJ223" s="206"/>
      <c r="CK223" s="206"/>
      <c r="CL223" s="206"/>
      <c r="CM223" s="206"/>
      <c r="CN223" s="206"/>
      <c r="CO223" s="206"/>
      <c r="CP223" s="206"/>
      <c r="CQ223" s="206"/>
      <c r="CR223" s="206"/>
    </row>
    <row r="224" spans="2:96" ht="75" x14ac:dyDescent="0.25">
      <c r="B224" s="346" t="s">
        <v>3950</v>
      </c>
      <c r="C224" s="246">
        <f>_xlfn.XLOOKUP(FMS_Ranking4[[#This Row],[FMS ID]],FMS_Input[FMS_ID],FMS_Input[RFPG_NUM])</f>
        <v>15</v>
      </c>
      <c r="D224" s="309" t="str">
        <f>_xlfn.XLOOKUP(FMS_Ranking4[[#This Row],[FMS ID]],FMS_Input[FMS_ID],FMS_Input[FMS_NAME])</f>
        <v>Pharr #8-1.1</v>
      </c>
      <c r="E224" s="308" t="str">
        <f>_xlfn.XLOOKUP(FMS_Ranking4[[#This Row],[FMS ID]],FMS_Input[FMS_ID],FMS_Input[SPONSOR])</f>
        <v>15000086</v>
      </c>
      <c r="F224" s="309" t="str">
        <f>_xlfn.XLOOKUP(FMS_Ranking4[[#This Row],[FMS ID]],Sponsor[FMS_ID],Sponsor[SPONSOR NAME])</f>
        <v>Pharr</v>
      </c>
      <c r="G224" s="309" t="str">
        <f>_xlfn.XLOOKUP(FMS_Ranking4[[#This Row],[FMS ID]],FMS_Input[FMS_ID],FMS_Input[FMS_DESCR])</f>
        <v>Develop a Program To Provide Links To Weather Alerts And Departmental Phone Listings With Contact Personnel For Residents.</v>
      </c>
      <c r="H224" s="248" t="str">
        <f>_xlfn.XLOOKUP(FMS_Ranking4[[#This Row],[FMS ID]],FMS_Input[FMS_ID],FMS_Input[FMS_TYPE])</f>
        <v>Flood Measurement and Warning</v>
      </c>
      <c r="I224" s="249">
        <f>_xlfn.XLOOKUP(FMS_Ranking4[[#This Row],[FMS ID]],FMS_Input[FMS_ID],FMS_Input[NRNC_COST])</f>
        <v>1000</v>
      </c>
      <c r="J224" s="250">
        <f>_xlfn.XLOOKUP(FMS_Ranking4[[#This Row],[FMS ID]],FMS_Input[FMS_ID],FMS_Input[FMS_COST])</f>
        <v>1000</v>
      </c>
      <c r="K224" s="251" t="str">
        <f>_xlfn.XLOOKUP(FMS_Ranking4[[#This Row],[FMS ID]],FMS_Input[FMS_ID],FMS_Input[EMER_NEED])</f>
        <v>Yes</v>
      </c>
      <c r="L224" s="252">
        <f t="shared" si="3"/>
        <v>1</v>
      </c>
      <c r="M224" s="253">
        <f>_xlfn.XLOOKUP(FMS_Ranking4[[#This Row],[FMS ID]],FMS_Input[FMS_ID],FMS_Input[STRUCT_100])</f>
        <v>16963</v>
      </c>
      <c r="N224" s="255">
        <f>(ASINH(FMS_Ranking4[[#This Row],[Structure at Risk Raw]]))*(10)/(ASINH(M$4))</f>
        <v>8.2010557002116791</v>
      </c>
      <c r="O224" s="256">
        <f>FMS_Ranking4[[#This Row],[Structures at risk, ArcSinh (0-10)]]*M$5*10</f>
        <v>8.2010557002116791</v>
      </c>
      <c r="P224" s="253">
        <f>_xlfn.XLOOKUP(FMS_Ranking4[[#This Row],[FMS ID]],FMS_Input[FMS_ID],FMS_Input[RES_STRUCT100])</f>
        <v>13949</v>
      </c>
      <c r="Q224" s="257">
        <f>ASINH(FMS_Ranking4[[#This Row],[Res Structure Raw]])/Q$4*P$5*100</f>
        <v>0</v>
      </c>
      <c r="R224" s="253">
        <f>_xlfn.XLOOKUP(FMS_Ranking4[[#This Row],[FMS ID]],FMS_Input[FMS_ID],FMS_Input[POP100])</f>
        <v>62907</v>
      </c>
      <c r="S224" s="255">
        <f>(ASINH(FMS_Ranking4[[#This Row],[Pop at Risk Raw]]))*(10)/(ASINH(R$4))</f>
        <v>8.1065727298822843</v>
      </c>
      <c r="T224" s="256">
        <f>FMS_Ranking4[[#This Row],[Population at risk, ArcSinh (0-10)]]*R$5*10</f>
        <v>8.1065727298822843</v>
      </c>
      <c r="U224" s="253">
        <f>_xlfn.XLOOKUP(FMS_Ranking4[[#This Row],[FMS ID]],FMS_Input[FMS_ID],FMS_Input[CRITFAC100])</f>
        <v>2</v>
      </c>
      <c r="V224" s="255">
        <f>(ASINH(FMS_Ranking4[[#This Row],[Critical Facilities Raw]]))*(10)/(ASINH(U$4))</f>
        <v>1.7089239049208753</v>
      </c>
      <c r="W224" s="256">
        <f>FMS_Ranking4[[#This Row],[Critical facilities at risk, ArcSinh (0-10)]]*U$5*10</f>
        <v>1.7089239049208755</v>
      </c>
      <c r="X224" s="253">
        <f>_xlfn.XLOOKUP(FMS_Ranking4[[#This Row],[FMS ID]],FMS_Input[FMS_ID],FMS_Input[LWC])</f>
        <v>0</v>
      </c>
      <c r="Y224" s="255">
        <f>(ASINH(FMS_Ranking4[[#This Row],[LWC Raw]]))*(10)/(ASINH(X$4))</f>
        <v>0</v>
      </c>
      <c r="Z224" s="256">
        <f>FMS_Ranking4[[#This Row],[LWC, ArcSInh (0-10)]]*X$5*10</f>
        <v>0</v>
      </c>
      <c r="AA224" s="253">
        <f>_xlfn.XLOOKUP(FMS_Ranking4[[#This Row],[FMS ID]],FMS_Input[FMS_ID],FMS_Input[ROADCLS])</f>
        <v>0</v>
      </c>
      <c r="AB224" s="255">
        <f>(ASINH(FMS_Ranking4[[#This Row],[Road Closures Raw]]))*(10)/(ASINH(AA$4))</f>
        <v>0</v>
      </c>
      <c r="AC224" s="256">
        <f>FMS_Ranking4[[#This Row],[Road closures, ArcSinh (0-10)]]*AA$5*10</f>
        <v>0</v>
      </c>
      <c r="AD224" s="253">
        <f>_xlfn.XLOOKUP(FMS_Ranking4[[#This Row],[FMS ID]],FMS_Input[FMS_ID],FMS_Input[ROAD_MILES100])</f>
        <v>198</v>
      </c>
      <c r="AE224" s="255">
        <f>(ASINH(FMS_Ranking4[[#This Row],[Road Miles Raw]]))*(10)/(ASINH(AD$4))</f>
        <v>6.3745487130970417</v>
      </c>
      <c r="AF224" s="256">
        <f>FMS_Ranking4[[#This Row],[Length of roads at risk, ArcSinh (0-10)]]*AD$5*10</f>
        <v>6.3745487130970426</v>
      </c>
      <c r="AG224" s="253">
        <f>_xlfn.XLOOKUP(FMS_Ranking4[[#This Row],[FMS ID]],FMS_Input[FMS_ID],FMS_Input[FARMACRE100])</f>
        <v>3349.10888671875</v>
      </c>
      <c r="AH224" s="255">
        <f>(ASINH(FMS_Ranking4[[#This Row],[Ag Land Raw]]))*(10)/(ASINH(AG$4))</f>
        <v>5.7225508258320366</v>
      </c>
      <c r="AI224" s="260">
        <f>FMS_Ranking4[[#This Row],[Farm &amp; ranch land, ArcSinh (0-10)]]*AG$5*10</f>
        <v>2.8612754129160183</v>
      </c>
      <c r="AJ224" s="258">
        <f>_xlfn.XLOOKUP(FMS_Ranking4[[#This Row],[FMS ID]],FMS_Input[FMS_ID],FMS_Input[REDSTRUCT100])</f>
        <v>0</v>
      </c>
      <c r="AK224" s="253">
        <f>_xlfn.XLOOKUP(FMS_Ranking4[[#This Row],[FMS ID]],FMS_Input[FMS_ID],FMS_Input[REMSTRC100])</f>
        <v>0</v>
      </c>
      <c r="AL224" s="255">
        <f>(ASINH(FMS_Ranking4[[#This Row],[Structures Removed Raw]]))*(10)/(ASINH(AK$4))</f>
        <v>0</v>
      </c>
      <c r="AM224" s="262">
        <f>FMS_Ranking4[[#This Row],[Structures removed, ArcSinh (0-10)]]*AK$5*10</f>
        <v>0</v>
      </c>
      <c r="AN224" s="253">
        <f>_xlfn.XLOOKUP(FMS_Ranking4[[#This Row],[FMS ID]],FMS_Input[FMS_ID],FMS_Input[REMRESSTRC100])</f>
        <v>0</v>
      </c>
      <c r="AO224" s="261">
        <f>FMS_Ranking4[[#This Row],[ArcSinh Res struct removed 0-10]]*AN$5*10</f>
        <v>0</v>
      </c>
      <c r="AP224" s="260">
        <f>ASINH(FMS_Ranking4[[#This Row],[Residential Structures Removed Raw]])/AP$4*AN$5*100</f>
        <v>0</v>
      </c>
      <c r="AQ224" s="258">
        <f>(ASINH(FMS_Ranking4[[#This Row],[Residential Structures Removed Raw]]))*(10)/(ASINH(AN$4))</f>
        <v>0</v>
      </c>
      <c r="AR224" s="253">
        <f>_xlfn.XLOOKUP(FMS_Ranking4[[#This Row],[FMS ID]],FMS_Input[FMS_ID],FMS_Input[REMPOP100])</f>
        <v>0</v>
      </c>
      <c r="AS224" s="255">
        <f>(ASINH(FMS_Ranking4[[#This Row],[Removed Pop Raw]]))*(10)/(ASINH(AR$4))</f>
        <v>0</v>
      </c>
      <c r="AT224" s="262">
        <f>FMS_Ranking4[[#This Row],[Removed population, ArcSinh (0-10)]]*AR$5*10</f>
        <v>0</v>
      </c>
      <c r="AU224" s="264">
        <f>_xlfn.XLOOKUP(FMS_Ranking4[[#This Row],[FMS ID]],FMS_Input[FMS_ID],FMS_Input[REMCRITFAC100])</f>
        <v>0</v>
      </c>
      <c r="AV224" s="264">
        <f>_xlfn.XLOOKUP(FMS_Ranking4[[#This Row],[FMS ID]],FMS_Input[FMS_ID],FMS_Input[REMLWC100])</f>
        <v>0</v>
      </c>
      <c r="AW224" s="264">
        <f>_xlfn.XLOOKUP(FMS_Ranking4[[#This Row],[FMS ID]],FMS_Input[FMS_ID],FMS_Input[REMROADCLS])</f>
        <v>0</v>
      </c>
      <c r="AX224" s="264">
        <f>_xlfn.XLOOKUP(FMS_Ranking4[[#This Row],[FMS ID]],FMS_Input[FMS_ID],FMS_Input[REMFRMACRE100])</f>
        <v>0</v>
      </c>
      <c r="AY224" s="258">
        <f>_xlfn.XLOOKUP(FMS_Ranking4[[#This Row],[FMS ID]],FMS_Input[FMS_ID],FMS_Input[COSTSTRUCT])</f>
        <v>0</v>
      </c>
      <c r="AZ224" s="253">
        <f>_xlfn.XLOOKUP(FMS_Ranking4[[#This Row],[FMS ID]],FMS_Input[FMS_ID],FMS_Input[NATURE])</f>
        <v>0</v>
      </c>
      <c r="BA224" s="262">
        <f>(((FMS_Ranking4[[#This Row],[% NBS Raw]]/AZ$4)*100)*AZ$5)</f>
        <v>0</v>
      </c>
      <c r="BB224" s="251" t="str">
        <f>_xlfn.XLOOKUP(FMS_Ranking4[[#This Row],[FMS ID]],FMS_Input[FMS_ID],FMS_Input[WATER_SUP])</f>
        <v>No</v>
      </c>
      <c r="BC224" s="265">
        <f>IF(FMS_Ranking4[[#This Row],[Water Supply Raw]]="Yes",10,0)</f>
        <v>0</v>
      </c>
      <c r="BD224" s="266">
        <f>_xlfn.XLOOKUP(FMS_Ranking4[[#This Row],[FMS Type]],FMS_TYPE[FMS_Type],FMS_TYPE[Score])</f>
        <v>10</v>
      </c>
      <c r="BE224" s="267">
        <f>FMS_Ranking4[[#This Row],[FMS_Type Score]]*$BD$5*10</f>
        <v>2.5</v>
      </c>
      <c r="BF22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2.0069577579745057</v>
      </c>
      <c r="BG224" s="293">
        <f>_xlfn.RANK.EQ(BF224,$BF$8:$BF$870,0)+COUNTIF($BF$8:BF224,BF224)-1</f>
        <v>103</v>
      </c>
      <c r="BH224" s="294">
        <f>(((FMS_Ranking4[[#This Row],[Structures Removed Raw]]/AK$4)*100)*AK$5)+(((FMS_Ranking4[[#This Row],[Removed Pop Raw]]/AR$4)*100)*AR$5)</f>
        <v>0</v>
      </c>
      <c r="BI22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4.5069577579745062</v>
      </c>
      <c r="BJ224" s="251">
        <f>_xlfn.RANK.EQ(FMS_Ranking4[[#This Row],[Total Score 
(with linear
normalization)]],FMS_Ranking4[Total Score 
(with linear
normalization)],0)</f>
        <v>127</v>
      </c>
      <c r="BK224" s="251" t="e">
        <f>_xlfn.XLOOKUP(FMS_Ranking4[[#This Row],[FMS ID]],#REF!,#REF!)</f>
        <v>#REF!</v>
      </c>
      <c r="BL22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27.2523764610279</v>
      </c>
      <c r="BM224" s="324">
        <f>FMS_Ranking4[[#This Row],[ArcSinh Score Based on Normalized Reported Factors]]+FMS_Ranking4[[#This Row],[% NBS Score (Normalized)]]+(FMS_Ranking4[[#This Row],[Water Supply Score (Normalized)]]*10*$BB$5)+FMS_Ranking4[[#This Row],[FMS_Type Score Weighted]]</f>
        <v>29.7523764610279</v>
      </c>
      <c r="BN224" s="251">
        <f>_xlfn.RANK.EQ(FMS_Ranking4[[#This Row],[Total Score (with ArcSinh normalization of select criteria)]],FMS_Ranking4[Total Score (with ArcSinh normalization of select criteria)],0)</f>
        <v>216</v>
      </c>
      <c r="BO224" s="270" t="str">
        <f>_xlfn.XLOOKUP(FMS_Ranking4[[#This Row],[FMS ID]],FMS_Input[FMS_ID],FMS_Input[FMS_RANK_YEAR])</f>
        <v>2023 Amended Plan</v>
      </c>
      <c r="BP224" s="324">
        <f>_xlfn.XLOOKUP(FMS_Ranking4[[#This Row],[FMS ID]],Prev_Rank[FMS ID],Prev_Rank[Prev Rank])</f>
        <v>191</v>
      </c>
      <c r="BQ224" s="251" t="e">
        <f>_xlfn.XLOOKUP(FMS_Ranking4[[#This Row],[FMS ID]],#REF!,#REF!)</f>
        <v>#REF!</v>
      </c>
      <c r="BR224" s="199" t="e">
        <f>SUM(#REF!,#REF!,#REF!,#REF!,#REF!,#REF!,#REF!,#REF!,#REF!,FMS_Ranking4[[#This Row],[ArcSinh Res struct removed 0-10]],#REF!)</f>
        <v>#REF!</v>
      </c>
      <c r="BS224" s="199" t="e">
        <f>FMS_Ranking4[[#This Row],[Log Score Based on Normalized Reported Factors]]+FMS_Ranking4[[#This Row],[% NBS Score (Normalized)]]+(FMS_Ranking4[[#This Row],[Water Supply Score (Normalized)]]*10*$BB$5)+(FMS_Ranking4[[#This Row],[FMS_Type Score Weighted]])</f>
        <v>#REF!</v>
      </c>
      <c r="BT224" s="200" t="e">
        <f>_xlfn.RANK.EQ(FMS_Ranking4[[#This Row],[Log Total Score]],FMS_Ranking4[Log Total Score],0)</f>
        <v>#REF!</v>
      </c>
      <c r="BU224" s="200" t="e">
        <f>_xlfn.XLOOKUP(FMS_Ranking4[[#This Row],[FMS ID]],#REF!,#REF!)</f>
        <v>#REF!</v>
      </c>
      <c r="BV224" s="200">
        <f>FMS_Ranking4[[#This Row],[Region Number]]</f>
        <v>15</v>
      </c>
      <c r="BW224" s="200">
        <f>FMS_Ranking4[[#This Row],[Rank (with ArcSinh normalization of select criteria)]]-FMS_Ranking4[[#This Row],[Rank
(with linear
normalization)]]</f>
        <v>89</v>
      </c>
      <c r="BX224" s="200" t="e">
        <f>FMS_Ranking4[[#This Row],[Log Rank]]-FMS_Ranking4[[#This Row],[Rank
(with linear
normalization)]]</f>
        <v>#REF!</v>
      </c>
      <c r="BY224" s="200">
        <f>IF(FMS_Ranking4[[#This Row],[FMS Type]]="Flood Measurement and Warning",FMS_Ranking4[[#This Row],[Rank (with ArcSinh normalization of select criteria)]],"")</f>
        <v>216</v>
      </c>
      <c r="BZ224" s="200" t="str">
        <f>IF(FMS_Ranking4[[#This Row],[FMS Type]]="Regulatory and Guidance",FMS_Ranking4[[#This Row],[Rank (with ArcSinh normalization of select criteria)]],"")</f>
        <v/>
      </c>
      <c r="CA224" s="200" t="str">
        <f>IF(FMS_Ranking4[[#This Row],[FMS Type]]="Education and Outreach",FMS_Ranking4[[#This Row],[Rank (with ArcSinh normalization of select criteria)]],"")</f>
        <v/>
      </c>
      <c r="CB224" s="200" t="str">
        <f>IF(FMS_Ranking4[[#This Row],[FMS Type]]="Property Acquisition and Structural Elevation",FMS_Ranking4[[#This Row],[Rank (with ArcSinh normalization of select criteria)]],"")</f>
        <v/>
      </c>
      <c r="CC224" s="200" t="str">
        <f>IF(FMS_Ranking4[[#This Row],[FMS Type]]="Infrastructure Projects",FMS_Ranking4[[#This Row],[Rank (with ArcSinh normalization of select criteria)]],"")</f>
        <v/>
      </c>
      <c r="CD224" s="200" t="str">
        <f>IF(FMS_Ranking4[[#This Row],[FMS Type]]="Other",FMS_Ranking4[[#This Row],[Rank (with ArcSinh normalization of select criteria)]],"")</f>
        <v/>
      </c>
      <c r="CE224" s="201"/>
      <c r="CF224" s="206"/>
      <c r="CG224" s="206"/>
      <c r="CH224" s="206"/>
      <c r="CI224" s="206"/>
      <c r="CJ224" s="206"/>
      <c r="CK224" s="206"/>
      <c r="CL224" s="206"/>
      <c r="CM224" s="206"/>
      <c r="CN224" s="206"/>
      <c r="CO224" s="206"/>
      <c r="CP224" s="206"/>
      <c r="CQ224" s="206"/>
      <c r="CR224" s="206"/>
    </row>
    <row r="225" spans="2:96" ht="90" x14ac:dyDescent="0.25">
      <c r="B225" s="341" t="s">
        <v>121</v>
      </c>
      <c r="C225" s="246">
        <f>_xlfn.XLOOKUP(FMS_Ranking4[[#This Row],[FMS ID]],FMS_Input[FMS_ID],FMS_Input[RFPG_NUM])</f>
        <v>6</v>
      </c>
      <c r="D225" s="309" t="str">
        <f>_xlfn.XLOOKUP(FMS_Ranking4[[#This Row],[FMS ID]],FMS_Input[FMS_ID],FMS_Input[FMS_NAME])</f>
        <v>Waller County Drainage System Maintenance</v>
      </c>
      <c r="E225" s="308" t="str">
        <f>_xlfn.XLOOKUP(FMS_Ranking4[[#This Row],[FMS ID]],FMS_Input[FMS_ID],FMS_Input[SPONSOR])</f>
        <v>00000024</v>
      </c>
      <c r="F225" s="309" t="str">
        <f>_xlfn.XLOOKUP(FMS_Ranking4[[#This Row],[FMS ID]],Sponsor[FMS_ID],Sponsor[SPONSOR NAME])</f>
        <v>Waller</v>
      </c>
      <c r="G225" s="309" t="str">
        <f>_xlfn.XLOOKUP(FMS_Ranking4[[#This Row],[FMS ID]],FMS_Input[FMS_ID],FMS_Input[FMS_DESCR])</f>
        <v>Project will clear obstacles, widen and reshape ditches, and upgrade culverts to restore adequate drainage to mitigate flooding in all participating jurisdictions.</v>
      </c>
      <c r="H225" s="248" t="str">
        <f>_xlfn.XLOOKUP(FMS_Ranking4[[#This Row],[FMS ID]],FMS_Input[FMS_ID],FMS_Input[FMS_TYPE])</f>
        <v>Infrastructure Projects</v>
      </c>
      <c r="I225" s="249">
        <f>_xlfn.XLOOKUP(FMS_Ranking4[[#This Row],[FMS ID]],FMS_Input[FMS_ID],FMS_Input[NRNC_COST])</f>
        <v>125000</v>
      </c>
      <c r="J225" s="250">
        <f>_xlfn.XLOOKUP(FMS_Ranking4[[#This Row],[FMS ID]],FMS_Input[FMS_ID],FMS_Input[FMS_COST])</f>
        <v>2500000</v>
      </c>
      <c r="K225" s="251" t="str">
        <f>_xlfn.XLOOKUP(FMS_Ranking4[[#This Row],[FMS ID]],FMS_Input[FMS_ID],FMS_Input[EMER_NEED])</f>
        <v>No</v>
      </c>
      <c r="L225" s="252">
        <f t="shared" si="3"/>
        <v>0</v>
      </c>
      <c r="M225" s="253">
        <f>_xlfn.XLOOKUP(FMS_Ranking4[[#This Row],[FMS ID]],FMS_Input[FMS_ID],FMS_Input[STRUCT_100])</f>
        <v>1067</v>
      </c>
      <c r="N225" s="255">
        <f>(ASINH(FMS_Ranking4[[#This Row],[Structure at Risk Raw]]))*(10)/(ASINH(M$4))</f>
        <v>6.0264237513233843</v>
      </c>
      <c r="O225" s="256">
        <f>FMS_Ranking4[[#This Row],[Structures at risk, ArcSinh (0-10)]]*M$5*10</f>
        <v>6.0264237513233843</v>
      </c>
      <c r="P225" s="253">
        <f>_xlfn.XLOOKUP(FMS_Ranking4[[#This Row],[FMS ID]],FMS_Input[FMS_ID],FMS_Input[RES_STRUCT100])</f>
        <v>708</v>
      </c>
      <c r="Q225" s="257">
        <f>ASINH(FMS_Ranking4[[#This Row],[Res Structure Raw]])/Q$4*P$5*100</f>
        <v>0</v>
      </c>
      <c r="R225" s="253">
        <f>_xlfn.XLOOKUP(FMS_Ranking4[[#This Row],[FMS ID]],FMS_Input[FMS_ID],FMS_Input[POP100])</f>
        <v>1859</v>
      </c>
      <c r="S225" s="259">
        <f>(ASINH(FMS_Ranking4[[#This Row],[Pop at Risk Raw]]))*(10)/(ASINH(R$4))</f>
        <v>5.6753943445930526</v>
      </c>
      <c r="T225" s="256">
        <f>FMS_Ranking4[[#This Row],[Population at risk, ArcSinh (0-10)]]*R$5*10</f>
        <v>5.6753943445930535</v>
      </c>
      <c r="U225" s="253">
        <f>_xlfn.XLOOKUP(FMS_Ranking4[[#This Row],[FMS ID]],FMS_Input[FMS_ID],FMS_Input[CRITFAC100])</f>
        <v>6</v>
      </c>
      <c r="V225" s="259">
        <f>(ASINH(FMS_Ranking4[[#This Row],[Critical Facilities Raw]]))*(10)/(ASINH(U$4))</f>
        <v>2.9496796311809068</v>
      </c>
      <c r="W225" s="256">
        <f>FMS_Ranking4[[#This Row],[Critical facilities at risk, ArcSinh (0-10)]]*U$5*10</f>
        <v>2.9496796311809073</v>
      </c>
      <c r="X225" s="253">
        <f>_xlfn.XLOOKUP(FMS_Ranking4[[#This Row],[FMS ID]],FMS_Input[FMS_ID],FMS_Input[LWC])</f>
        <v>19</v>
      </c>
      <c r="Y225" s="259">
        <f>(ASINH(FMS_Ranking4[[#This Row],[LWC Raw]]))*(10)/(ASINH(X$4))</f>
        <v>4.9289126022409242</v>
      </c>
      <c r="Z225" s="256">
        <f>FMS_Ranking4[[#This Row],[LWC, ArcSInh (0-10)]]*X$5*10</f>
        <v>4.9289126022409242</v>
      </c>
      <c r="AA225" s="253">
        <f>_xlfn.XLOOKUP(FMS_Ranking4[[#This Row],[FMS ID]],FMS_Input[FMS_ID],FMS_Input[ROADCLS])</f>
        <v>19</v>
      </c>
      <c r="AB225" s="255">
        <f>(ASINH(FMS_Ranking4[[#This Row],[Road Closures Raw]]))*(10)/(ASINH(AA$4))</f>
        <v>3.7889325651726184</v>
      </c>
      <c r="AC225" s="256">
        <f>FMS_Ranking4[[#This Row],[Road closures, ArcSinh (0-10)]]*AA$5*10</f>
        <v>1.8944662825863092</v>
      </c>
      <c r="AD225" s="253">
        <f>_xlfn.XLOOKUP(FMS_Ranking4[[#This Row],[FMS ID]],FMS_Input[FMS_ID],FMS_Input[ROAD_MILES100])</f>
        <v>41</v>
      </c>
      <c r="AE225" s="259">
        <f>(ASINH(FMS_Ranking4[[#This Row],[Road Miles Raw]]))*(10)/(ASINH(AD$4))</f>
        <v>4.6965087826098246</v>
      </c>
      <c r="AF225" s="256">
        <f>FMS_Ranking4[[#This Row],[Length of roads at risk, ArcSinh (0-10)]]*AD$5*10</f>
        <v>4.6965087826098255</v>
      </c>
      <c r="AG225" s="253">
        <f>_xlfn.XLOOKUP(FMS_Ranking4[[#This Row],[FMS ID]],FMS_Input[FMS_ID],FMS_Input[FARMACRE100])</f>
        <v>1357.317260742188</v>
      </c>
      <c r="AH225" s="255">
        <f>(ASINH(FMS_Ranking4[[#This Row],[Ag Land Raw]]))*(10)/(ASINH(AG$4))</f>
        <v>5.1358592075550247</v>
      </c>
      <c r="AI225" s="260">
        <f>FMS_Ranking4[[#This Row],[Farm &amp; ranch land, ArcSinh (0-10)]]*AG$5*10</f>
        <v>2.5679296037775123</v>
      </c>
      <c r="AJ225" s="258">
        <f>_xlfn.XLOOKUP(FMS_Ranking4[[#This Row],[FMS ID]],FMS_Input[FMS_ID],FMS_Input[REDSTRUCT100])</f>
        <v>0</v>
      </c>
      <c r="AK225" s="253">
        <f>_xlfn.XLOOKUP(FMS_Ranking4[[#This Row],[FMS ID]],FMS_Input[FMS_ID],FMS_Input[REMSTRC100])</f>
        <v>0</v>
      </c>
      <c r="AL225" s="259">
        <f>(ASINH(FMS_Ranking4[[#This Row],[Structures Removed Raw]]))*(10)/(ASINH(AK$4))</f>
        <v>0</v>
      </c>
      <c r="AM225" s="262">
        <f>FMS_Ranking4[[#This Row],[Structures removed, ArcSinh (0-10)]]*AK$5*10</f>
        <v>0</v>
      </c>
      <c r="AN225" s="253">
        <f>_xlfn.XLOOKUP(FMS_Ranking4[[#This Row],[FMS ID]],FMS_Input[FMS_ID],FMS_Input[REMRESSTRC100])</f>
        <v>0</v>
      </c>
      <c r="AO225" s="261">
        <f>FMS_Ranking4[[#This Row],[ArcSinh Res struct removed 0-10]]*AN$5*10</f>
        <v>0</v>
      </c>
      <c r="AP225" s="260">
        <f>ASINH(FMS_Ranking4[[#This Row],[Residential Structures Removed Raw]])/AP$4*AN$5*100</f>
        <v>0</v>
      </c>
      <c r="AQ225" s="254">
        <f>(ASINH(FMS_Ranking4[[#This Row],[Residential Structures Removed Raw]]))*(10)/(ASINH(AN$4))</f>
        <v>0</v>
      </c>
      <c r="AR225" s="253">
        <f>_xlfn.XLOOKUP(FMS_Ranking4[[#This Row],[FMS ID]],FMS_Input[FMS_ID],FMS_Input[REMPOP100])</f>
        <v>0</v>
      </c>
      <c r="AS225" s="259">
        <f>(ASINH(FMS_Ranking4[[#This Row],[Removed Pop Raw]]))*(10)/(ASINH(AR$4))</f>
        <v>0</v>
      </c>
      <c r="AT225" s="262">
        <f>FMS_Ranking4[[#This Row],[Removed population, ArcSinh (0-10)]]*AR$5*10</f>
        <v>0</v>
      </c>
      <c r="AU225" s="264">
        <f>_xlfn.XLOOKUP(FMS_Ranking4[[#This Row],[FMS ID]],FMS_Input[FMS_ID],FMS_Input[REMCRITFAC100])</f>
        <v>0</v>
      </c>
      <c r="AV225" s="264">
        <f>_xlfn.XLOOKUP(FMS_Ranking4[[#This Row],[FMS ID]],FMS_Input[FMS_ID],FMS_Input[REMLWC100])</f>
        <v>0</v>
      </c>
      <c r="AW225" s="264">
        <f>_xlfn.XLOOKUP(FMS_Ranking4[[#This Row],[FMS ID]],FMS_Input[FMS_ID],FMS_Input[REMROADCLS])</f>
        <v>0</v>
      </c>
      <c r="AX225" s="264">
        <f>_xlfn.XLOOKUP(FMS_Ranking4[[#This Row],[FMS ID]],FMS_Input[FMS_ID],FMS_Input[REMFRMACRE100])</f>
        <v>0</v>
      </c>
      <c r="AY225" s="258">
        <f>_xlfn.XLOOKUP(FMS_Ranking4[[#This Row],[FMS ID]],FMS_Input[FMS_ID],FMS_Input[COSTSTRUCT])</f>
        <v>0</v>
      </c>
      <c r="AZ225" s="253">
        <f>_xlfn.XLOOKUP(FMS_Ranking4[[#This Row],[FMS ID]],FMS_Input[FMS_ID],FMS_Input[NATURE])</f>
        <v>0</v>
      </c>
      <c r="BA225" s="262">
        <f>(((FMS_Ranking4[[#This Row],[% NBS Raw]]/AZ$4)*100)*AZ$5)</f>
        <v>0</v>
      </c>
      <c r="BB225" s="251" t="str">
        <f>_xlfn.XLOOKUP(FMS_Ranking4[[#This Row],[FMS ID]],FMS_Input[FMS_ID],FMS_Input[WATER_SUP])</f>
        <v>No</v>
      </c>
      <c r="BC225" s="265">
        <f>IF(FMS_Ranking4[[#This Row],[Water Supply Raw]]="Yes",10,0)</f>
        <v>0</v>
      </c>
      <c r="BD225" s="266">
        <f>_xlfn.XLOOKUP(FMS_Ranking4[[#This Row],[FMS Type]],FMS_TYPE[FMS_Type],FMS_TYPE[Score])</f>
        <v>4</v>
      </c>
      <c r="BE225" s="267">
        <f>FMS_Ranking4[[#This Row],[FMS_Type Score]]*$BD$5*10</f>
        <v>1</v>
      </c>
      <c r="BF22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0.42979235936589832</v>
      </c>
      <c r="BG225" s="271">
        <f>_xlfn.RANK.EQ(BF225,$BF$8:$BF$870,0)+COUNTIF($BF$8:BF225,BF225)-1</f>
        <v>253</v>
      </c>
      <c r="BH225" s="268">
        <f>(((FMS_Ranking4[[#This Row],[Structures Removed Raw]]/AK$4)*100)*AK$5)+(((FMS_Ranking4[[#This Row],[Removed Pop Raw]]/AR$4)*100)*AR$5)</f>
        <v>0</v>
      </c>
      <c r="BI22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1.4297923593658983</v>
      </c>
      <c r="BJ225" s="205">
        <f>_xlfn.RANK.EQ(FMS_Ranking4[[#This Row],[Total Score 
(with linear
normalization)]],FMS_Ranking4[Total Score 
(with linear
normalization)],0)</f>
        <v>619</v>
      </c>
      <c r="BK225" s="205" t="e">
        <f>_xlfn.XLOOKUP(FMS_Ranking4[[#This Row],[FMS ID]],#REF!,#REF!)</f>
        <v>#REF!</v>
      </c>
      <c r="BL22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28.739314998311912</v>
      </c>
      <c r="BM225" s="272">
        <f>FMS_Ranking4[[#This Row],[ArcSinh Score Based on Normalized Reported Factors]]+FMS_Ranking4[[#This Row],[% NBS Score (Normalized)]]+(FMS_Ranking4[[#This Row],[Water Supply Score (Normalized)]]*10*$BB$5)+FMS_Ranking4[[#This Row],[FMS_Type Score Weighted]]</f>
        <v>29.739314998311912</v>
      </c>
      <c r="BN225" s="205">
        <f>_xlfn.RANK.EQ(FMS_Ranking4[[#This Row],[Total Score (with ArcSinh normalization of select criteria)]],FMS_Ranking4[Total Score (with ArcSinh normalization of select criteria)],0)</f>
        <v>218</v>
      </c>
      <c r="BO225" s="270" t="str">
        <f>_xlfn.XLOOKUP(FMS_Ranking4[[#This Row],[FMS ID]],FMS_Input[FMS_ID],FMS_Input[FMS_RANK_YEAR])</f>
        <v>2023 Amended Plan</v>
      </c>
      <c r="BP225" s="204">
        <f>_xlfn.XLOOKUP(FMS_Ranking4[[#This Row],[FMS ID]],Prev_Rank[FMS ID],Prev_Rank[Prev Rank])</f>
        <v>194</v>
      </c>
      <c r="BQ225" s="205" t="e">
        <f>_xlfn.XLOOKUP(FMS_Ranking4[[#This Row],[FMS ID]],#REF!,#REF!)</f>
        <v>#REF!</v>
      </c>
      <c r="BR225" s="199" t="e">
        <f>SUM(#REF!,#REF!,#REF!,#REF!,#REF!,#REF!,#REF!,#REF!,#REF!,FMS_Ranking4[[#This Row],[ArcSinh Res struct removed 0-10]],#REF!)</f>
        <v>#REF!</v>
      </c>
      <c r="BS225" s="199" t="e">
        <f>FMS_Ranking4[[#This Row],[Log Score Based on Normalized Reported Factors]]+FMS_Ranking4[[#This Row],[% NBS Score (Normalized)]]+(FMS_Ranking4[[#This Row],[Water Supply Score (Normalized)]]*10*$BB$5)+(FMS_Ranking4[[#This Row],[FMS_Type Score Weighted]])</f>
        <v>#REF!</v>
      </c>
      <c r="BT225" s="200" t="e">
        <f>_xlfn.RANK.EQ(FMS_Ranking4[[#This Row],[Log Total Score]],FMS_Ranking4[Log Total Score],0)</f>
        <v>#REF!</v>
      </c>
      <c r="BU225" s="200" t="e">
        <f>_xlfn.XLOOKUP(FMS_Ranking4[[#This Row],[FMS ID]],#REF!,#REF!)</f>
        <v>#REF!</v>
      </c>
      <c r="BV225" s="200">
        <f>FMS_Ranking4[[#This Row],[Region Number]]</f>
        <v>6</v>
      </c>
      <c r="BW225" s="200">
        <f>FMS_Ranking4[[#This Row],[Rank (with ArcSinh normalization of select criteria)]]-FMS_Ranking4[[#This Row],[Rank
(with linear
normalization)]]</f>
        <v>-401</v>
      </c>
      <c r="BX225" s="200" t="e">
        <f>FMS_Ranking4[[#This Row],[Log Rank]]-FMS_Ranking4[[#This Row],[Rank
(with linear
normalization)]]</f>
        <v>#REF!</v>
      </c>
      <c r="BY225" s="200" t="str">
        <f>IF(FMS_Ranking4[[#This Row],[FMS Type]]="Flood Measurement and Warning",FMS_Ranking4[[#This Row],[Rank (with ArcSinh normalization of select criteria)]],"")</f>
        <v/>
      </c>
      <c r="BZ225" s="200" t="str">
        <f>IF(FMS_Ranking4[[#This Row],[FMS Type]]="Regulatory and Guidance",FMS_Ranking4[[#This Row],[Rank (with ArcSinh normalization of select criteria)]],"")</f>
        <v/>
      </c>
      <c r="CA225" s="200" t="str">
        <f>IF(FMS_Ranking4[[#This Row],[FMS Type]]="Education and Outreach",FMS_Ranking4[[#This Row],[Rank (with ArcSinh normalization of select criteria)]],"")</f>
        <v/>
      </c>
      <c r="CB225" s="200" t="str">
        <f>IF(FMS_Ranking4[[#This Row],[FMS Type]]="Property Acquisition and Structural Elevation",FMS_Ranking4[[#This Row],[Rank (with ArcSinh normalization of select criteria)]],"")</f>
        <v/>
      </c>
      <c r="CC225" s="200">
        <f>IF(FMS_Ranking4[[#This Row],[FMS Type]]="Infrastructure Projects",FMS_Ranking4[[#This Row],[Rank (with ArcSinh normalization of select criteria)]],"")</f>
        <v>218</v>
      </c>
      <c r="CD225" s="200" t="str">
        <f>IF(FMS_Ranking4[[#This Row],[FMS Type]]="Other",FMS_Ranking4[[#This Row],[Rank (with ArcSinh normalization of select criteria)]],"")</f>
        <v/>
      </c>
      <c r="CE225" s="201"/>
      <c r="CF225" s="206"/>
      <c r="CG225" s="206"/>
      <c r="CH225" s="206"/>
      <c r="CI225" s="206"/>
      <c r="CJ225" s="206"/>
      <c r="CK225" s="206"/>
      <c r="CL225" s="206"/>
      <c r="CM225" s="206"/>
      <c r="CN225" s="206"/>
      <c r="CO225" s="206"/>
      <c r="CP225" s="206"/>
      <c r="CQ225" s="206"/>
      <c r="CR225" s="206"/>
    </row>
    <row r="226" spans="2:96" ht="90" x14ac:dyDescent="0.25">
      <c r="B226" s="341" t="s">
        <v>3654</v>
      </c>
      <c r="C226" s="246">
        <f>_xlfn.XLOOKUP(FMS_Ranking4[[#This Row],[FMS ID]],FMS_Input[FMS_ID],FMS_Input[RFPG_NUM])</f>
        <v>13</v>
      </c>
      <c r="D226" s="309" t="str">
        <f>_xlfn.XLOOKUP(FMS_Ranking4[[#This Row],[FMS ID]],FMS_Input[FMS_ID],FMS_Input[FMS_NAME])</f>
        <v>City of Alice &amp; Jim Wells County Multi-Hazard Mitigation Plan - Restrict development in high hazard areas (City of Alice)</v>
      </c>
      <c r="E226" s="308" t="str">
        <f>_xlfn.XLOOKUP(FMS_Ranking4[[#This Row],[FMS ID]],FMS_Input[FMS_ID],FMS_Input[SPONSOR])</f>
        <v>13003128</v>
      </c>
      <c r="F226" s="309" t="str">
        <f>_xlfn.XLOOKUP(FMS_Ranking4[[#This Row],[FMS ID]],Sponsor[FMS_ID],Sponsor[SPONSOR NAME])</f>
        <v>Alice</v>
      </c>
      <c r="G226" s="309" t="str">
        <f>_xlfn.XLOOKUP(FMS_Ranking4[[#This Row],[FMS ID]],FMS_Input[FMS_ID],FMS_Input[FMS_DESCR])</f>
        <v>The City of Alice will re-evaluate all existing floodplain construction restrictions to identify strengths and weaknesses and update.</v>
      </c>
      <c r="H226" s="248" t="str">
        <f>_xlfn.XLOOKUP(FMS_Ranking4[[#This Row],[FMS ID]],FMS_Input[FMS_ID],FMS_Input[FMS_TYPE])</f>
        <v>Regulatory and Guidance</v>
      </c>
      <c r="I226" s="249">
        <f>_xlfn.XLOOKUP(FMS_Ranking4[[#This Row],[FMS ID]],FMS_Input[FMS_ID],FMS_Input[NRNC_COST])</f>
        <v>200000</v>
      </c>
      <c r="J226" s="250">
        <f>_xlfn.XLOOKUP(FMS_Ranking4[[#This Row],[FMS ID]],FMS_Input[FMS_ID],FMS_Input[FMS_COST])</f>
        <v>200000</v>
      </c>
      <c r="K226" s="251" t="str">
        <f>_xlfn.XLOOKUP(FMS_Ranking4[[#This Row],[FMS ID]],FMS_Input[FMS_ID],FMS_Input[EMER_NEED])</f>
        <v>Yes</v>
      </c>
      <c r="L226" s="252">
        <f t="shared" si="3"/>
        <v>1</v>
      </c>
      <c r="M226" s="253">
        <f>_xlfn.XLOOKUP(FMS_Ranking4[[#This Row],[FMS ID]],FMS_Input[FMS_ID],FMS_Input[STRUCT_100])</f>
        <v>893</v>
      </c>
      <c r="N226" s="255">
        <f>(ASINH(FMS_Ranking4[[#This Row],[Structure at Risk Raw]]))*(10)/(ASINH(M$4))</f>
        <v>5.8864738582157177</v>
      </c>
      <c r="O226" s="256">
        <f>FMS_Ranking4[[#This Row],[Structures at risk, ArcSinh (0-10)]]*M$5*10</f>
        <v>5.8864738582157186</v>
      </c>
      <c r="P226" s="253">
        <f>_xlfn.XLOOKUP(FMS_Ranking4[[#This Row],[FMS ID]],FMS_Input[FMS_ID],FMS_Input[RES_STRUCT100])</f>
        <v>572</v>
      </c>
      <c r="Q226" s="257">
        <f>ASINH(FMS_Ranking4[[#This Row],[Res Structure Raw]])/Q$4*P$5*100</f>
        <v>0</v>
      </c>
      <c r="R226" s="253">
        <f>_xlfn.XLOOKUP(FMS_Ranking4[[#This Row],[FMS ID]],FMS_Input[FMS_ID],FMS_Input[POP100])</f>
        <v>6681</v>
      </c>
      <c r="S226" s="259">
        <f>(ASINH(FMS_Ranking4[[#This Row],[Pop at Risk Raw]]))*(10)/(ASINH(R$4))</f>
        <v>6.5585205293341957</v>
      </c>
      <c r="T226" s="256">
        <f>FMS_Ranking4[[#This Row],[Population at risk, ArcSinh (0-10)]]*R$5*10</f>
        <v>6.5585205293341966</v>
      </c>
      <c r="U226" s="253">
        <f>_xlfn.XLOOKUP(FMS_Ranking4[[#This Row],[FMS ID]],FMS_Input[FMS_ID],FMS_Input[CRITFAC100])</f>
        <v>8</v>
      </c>
      <c r="V226" s="259">
        <f>(ASINH(FMS_Ranking4[[#This Row],[Critical Facilities Raw]]))*(10)/(ASINH(U$4))</f>
        <v>3.286688318109702</v>
      </c>
      <c r="W226" s="256">
        <f>FMS_Ranking4[[#This Row],[Critical facilities at risk, ArcSinh (0-10)]]*U$5*10</f>
        <v>3.2866883181097024</v>
      </c>
      <c r="X226" s="253">
        <f>_xlfn.XLOOKUP(FMS_Ranking4[[#This Row],[FMS ID]],FMS_Input[FMS_ID],FMS_Input[LWC])</f>
        <v>4</v>
      </c>
      <c r="Y226" s="259">
        <f>(ASINH(FMS_Ranking4[[#This Row],[LWC Raw]]))*(10)/(ASINH(X$4))</f>
        <v>2.8377862217928165</v>
      </c>
      <c r="Z226" s="256">
        <f>FMS_Ranking4[[#This Row],[LWC, ArcSInh (0-10)]]*X$5*10</f>
        <v>2.8377862217928169</v>
      </c>
      <c r="AA226" s="253">
        <f>_xlfn.XLOOKUP(FMS_Ranking4[[#This Row],[FMS ID]],FMS_Input[FMS_ID],FMS_Input[ROADCLS])</f>
        <v>296</v>
      </c>
      <c r="AB226" s="255">
        <f>(ASINH(FMS_Ranking4[[#This Row],[Road Closures Raw]]))*(10)/(ASINH(AA$4))</f>
        <v>6.6478392335995862</v>
      </c>
      <c r="AC226" s="256">
        <f>FMS_Ranking4[[#This Row],[Road closures, ArcSinh (0-10)]]*AA$5*10</f>
        <v>3.3239196167997931</v>
      </c>
      <c r="AD226" s="253">
        <f>_xlfn.XLOOKUP(FMS_Ranking4[[#This Row],[FMS ID]],FMS_Input[FMS_ID],FMS_Input[ROAD_MILES100])</f>
        <v>19</v>
      </c>
      <c r="AE226" s="259">
        <f>(ASINH(FMS_Ranking4[[#This Row],[Road Miles Raw]]))*(10)/(ASINH(AD$4))</f>
        <v>3.877403329266758</v>
      </c>
      <c r="AF226" s="256">
        <f>FMS_Ranking4[[#This Row],[Length of roads at risk, ArcSinh (0-10)]]*AD$5*10</f>
        <v>3.877403329266758</v>
      </c>
      <c r="AG226" s="253">
        <f>_xlfn.XLOOKUP(FMS_Ranking4[[#This Row],[FMS ID]],FMS_Input[FMS_ID],FMS_Input[FARMACRE100])</f>
        <v>131.8397216796875</v>
      </c>
      <c r="AH226" s="255">
        <f>(ASINH(FMS_Ranking4[[#This Row],[Ag Land Raw]]))*(10)/(ASINH(AG$4))</f>
        <v>3.6212533335784234</v>
      </c>
      <c r="AI226" s="260">
        <f>FMS_Ranking4[[#This Row],[Farm &amp; ranch land, ArcSinh (0-10)]]*AG$5*10</f>
        <v>1.8106266667892119</v>
      </c>
      <c r="AJ226" s="258">
        <f>_xlfn.XLOOKUP(FMS_Ranking4[[#This Row],[FMS ID]],FMS_Input[FMS_ID],FMS_Input[REDSTRUCT100])</f>
        <v>0</v>
      </c>
      <c r="AK226" s="253">
        <f>_xlfn.XLOOKUP(FMS_Ranking4[[#This Row],[FMS ID]],FMS_Input[FMS_ID],FMS_Input[REMSTRC100])</f>
        <v>0</v>
      </c>
      <c r="AL226" s="259">
        <f>(ASINH(FMS_Ranking4[[#This Row],[Structures Removed Raw]]))*(10)/(ASINH(AK$4))</f>
        <v>0</v>
      </c>
      <c r="AM226" s="262">
        <f>FMS_Ranking4[[#This Row],[Structures removed, ArcSinh (0-10)]]*AK$5*10</f>
        <v>0</v>
      </c>
      <c r="AN226" s="253">
        <f>_xlfn.XLOOKUP(FMS_Ranking4[[#This Row],[FMS ID]],FMS_Input[FMS_ID],FMS_Input[REMRESSTRC100])</f>
        <v>0</v>
      </c>
      <c r="AO226" s="261">
        <f>FMS_Ranking4[[#This Row],[ArcSinh Res struct removed 0-10]]*AN$5*10</f>
        <v>0</v>
      </c>
      <c r="AP226" s="260">
        <f>ASINH(FMS_Ranking4[[#This Row],[Residential Structures Removed Raw]])/AP$4*AN$5*100</f>
        <v>0</v>
      </c>
      <c r="AQ226" s="254">
        <f>(ASINH(FMS_Ranking4[[#This Row],[Residential Structures Removed Raw]]))*(10)/(ASINH(AN$4))</f>
        <v>0</v>
      </c>
      <c r="AR226" s="253">
        <f>_xlfn.XLOOKUP(FMS_Ranking4[[#This Row],[FMS ID]],FMS_Input[FMS_ID],FMS_Input[REMPOP100])</f>
        <v>0</v>
      </c>
      <c r="AS226" s="259">
        <f>(ASINH(FMS_Ranking4[[#This Row],[Removed Pop Raw]]))*(10)/(ASINH(AR$4))</f>
        <v>0</v>
      </c>
      <c r="AT226" s="262">
        <f>FMS_Ranking4[[#This Row],[Removed population, ArcSinh (0-10)]]*AR$5*10</f>
        <v>0</v>
      </c>
      <c r="AU226" s="264">
        <f>_xlfn.XLOOKUP(FMS_Ranking4[[#This Row],[FMS ID]],FMS_Input[FMS_ID],FMS_Input[REMCRITFAC100])</f>
        <v>0</v>
      </c>
      <c r="AV226" s="264">
        <f>_xlfn.XLOOKUP(FMS_Ranking4[[#This Row],[FMS ID]],FMS_Input[FMS_ID],FMS_Input[REMLWC100])</f>
        <v>0</v>
      </c>
      <c r="AW226" s="264">
        <f>_xlfn.XLOOKUP(FMS_Ranking4[[#This Row],[FMS ID]],FMS_Input[FMS_ID],FMS_Input[REMROADCLS])</f>
        <v>0</v>
      </c>
      <c r="AX226" s="264">
        <f>_xlfn.XLOOKUP(FMS_Ranking4[[#This Row],[FMS ID]],FMS_Input[FMS_ID],FMS_Input[REMFRMACRE100])</f>
        <v>0</v>
      </c>
      <c r="AY226" s="258">
        <f>_xlfn.XLOOKUP(FMS_Ranking4[[#This Row],[FMS ID]],FMS_Input[FMS_ID],FMS_Input[COSTSTRUCT])</f>
        <v>0</v>
      </c>
      <c r="AZ226" s="253">
        <f>_xlfn.XLOOKUP(FMS_Ranking4[[#This Row],[FMS ID]],FMS_Input[FMS_ID],FMS_Input[NATURE])</f>
        <v>0</v>
      </c>
      <c r="BA226" s="262">
        <f>(((FMS_Ranking4[[#This Row],[% NBS Raw]]/AZ$4)*100)*AZ$5)</f>
        <v>0</v>
      </c>
      <c r="BB226" s="251" t="str">
        <f>_xlfn.XLOOKUP(FMS_Ranking4[[#This Row],[FMS ID]],FMS_Input[FMS_ID],FMS_Input[WATER_SUP])</f>
        <v>No</v>
      </c>
      <c r="BC226" s="265">
        <f>IF(FMS_Ranking4[[#This Row],[Water Supply Raw]]="Yes",10,0)</f>
        <v>0</v>
      </c>
      <c r="BD226" s="266">
        <f>_xlfn.XLOOKUP(FMS_Ranking4[[#This Row],[FMS Type]],FMS_TYPE[FMS_Type],FMS_TYPE[Score])</f>
        <v>8</v>
      </c>
      <c r="BE226" s="267">
        <f>FMS_Ranking4[[#This Row],[FMS_Type Score]]*$BD$5*10</f>
        <v>2</v>
      </c>
      <c r="BF22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0.43815021922108599</v>
      </c>
      <c r="BG226" s="271">
        <f>_xlfn.RANK.EQ(BF226,$BF$8:$BF$870,0)+COUNTIF($BF$8:BF226,BF226)-1</f>
        <v>245</v>
      </c>
      <c r="BH226" s="268">
        <f>(((FMS_Ranking4[[#This Row],[Structures Removed Raw]]/AK$4)*100)*AK$5)+(((FMS_Ranking4[[#This Row],[Removed Pop Raw]]/AR$4)*100)*AR$5)</f>
        <v>0</v>
      </c>
      <c r="BI22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2.438150219221086</v>
      </c>
      <c r="BJ226" s="205">
        <f>_xlfn.RANK.EQ(FMS_Ranking4[[#This Row],[Total Score 
(with linear
normalization)]],FMS_Ranking4[Total Score 
(with linear
normalization)],0)</f>
        <v>272</v>
      </c>
      <c r="BK226" s="205" t="e">
        <f>_xlfn.XLOOKUP(FMS_Ranking4[[#This Row],[FMS ID]],#REF!,#REF!)</f>
        <v>#REF!</v>
      </c>
      <c r="BL22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27.581418540308196</v>
      </c>
      <c r="BM226" s="272">
        <f>FMS_Ranking4[[#This Row],[ArcSinh Score Based on Normalized Reported Factors]]+FMS_Ranking4[[#This Row],[% NBS Score (Normalized)]]+(FMS_Ranking4[[#This Row],[Water Supply Score (Normalized)]]*10*$BB$5)+FMS_Ranking4[[#This Row],[FMS_Type Score Weighted]]</f>
        <v>29.581418540308196</v>
      </c>
      <c r="BN226" s="205">
        <f>_xlfn.RANK.EQ(FMS_Ranking4[[#This Row],[Total Score (with ArcSinh normalization of select criteria)]],FMS_Ranking4[Total Score (with ArcSinh normalization of select criteria)],0)</f>
        <v>219</v>
      </c>
      <c r="BO226" s="270" t="str">
        <f>_xlfn.XLOOKUP(FMS_Ranking4[[#This Row],[FMS ID]],FMS_Input[FMS_ID],FMS_Input[FMS_RANK_YEAR])</f>
        <v>2023 Amended Plan</v>
      </c>
      <c r="BP226" s="204">
        <f>_xlfn.XLOOKUP(FMS_Ranking4[[#This Row],[FMS ID]],Prev_Rank[FMS ID],Prev_Rank[Prev Rank])</f>
        <v>195</v>
      </c>
      <c r="BQ226" s="205" t="e">
        <f>_xlfn.XLOOKUP(FMS_Ranking4[[#This Row],[FMS ID]],#REF!,#REF!)</f>
        <v>#REF!</v>
      </c>
      <c r="BR226" s="199" t="e">
        <f>SUM(#REF!,#REF!,#REF!,#REF!,#REF!,#REF!,#REF!,#REF!,#REF!,FMS_Ranking4[[#This Row],[ArcSinh Res struct removed 0-10]],#REF!)</f>
        <v>#REF!</v>
      </c>
      <c r="BS226" s="199" t="e">
        <f>FMS_Ranking4[[#This Row],[Log Score Based on Normalized Reported Factors]]+FMS_Ranking4[[#This Row],[% NBS Score (Normalized)]]+(FMS_Ranking4[[#This Row],[Water Supply Score (Normalized)]]*10*$BB$5)+(FMS_Ranking4[[#This Row],[FMS_Type Score Weighted]])</f>
        <v>#REF!</v>
      </c>
      <c r="BT226" s="200" t="e">
        <f>_xlfn.RANK.EQ(FMS_Ranking4[[#This Row],[Log Total Score]],FMS_Ranking4[Log Total Score],0)</f>
        <v>#REF!</v>
      </c>
      <c r="BU226" s="200" t="e">
        <f>_xlfn.XLOOKUP(FMS_Ranking4[[#This Row],[FMS ID]],#REF!,#REF!)</f>
        <v>#REF!</v>
      </c>
      <c r="BV226" s="200">
        <f>FMS_Ranking4[[#This Row],[Region Number]]</f>
        <v>13</v>
      </c>
      <c r="BW226" s="200">
        <f>FMS_Ranking4[[#This Row],[Rank (with ArcSinh normalization of select criteria)]]-FMS_Ranking4[[#This Row],[Rank
(with linear
normalization)]]</f>
        <v>-53</v>
      </c>
      <c r="BX226" s="200" t="e">
        <f>FMS_Ranking4[[#This Row],[Log Rank]]-FMS_Ranking4[[#This Row],[Rank
(with linear
normalization)]]</f>
        <v>#REF!</v>
      </c>
      <c r="BY226" s="200" t="str">
        <f>IF(FMS_Ranking4[[#This Row],[FMS Type]]="Flood Measurement and Warning",FMS_Ranking4[[#This Row],[Rank (with ArcSinh normalization of select criteria)]],"")</f>
        <v/>
      </c>
      <c r="BZ226" s="200">
        <f>IF(FMS_Ranking4[[#This Row],[FMS Type]]="Regulatory and Guidance",FMS_Ranking4[[#This Row],[Rank (with ArcSinh normalization of select criteria)]],"")</f>
        <v>219</v>
      </c>
      <c r="CA226" s="200" t="str">
        <f>IF(FMS_Ranking4[[#This Row],[FMS Type]]="Education and Outreach",FMS_Ranking4[[#This Row],[Rank (with ArcSinh normalization of select criteria)]],"")</f>
        <v/>
      </c>
      <c r="CB226" s="200" t="str">
        <f>IF(FMS_Ranking4[[#This Row],[FMS Type]]="Property Acquisition and Structural Elevation",FMS_Ranking4[[#This Row],[Rank (with ArcSinh normalization of select criteria)]],"")</f>
        <v/>
      </c>
      <c r="CC226" s="200" t="str">
        <f>IF(FMS_Ranking4[[#This Row],[FMS Type]]="Infrastructure Projects",FMS_Ranking4[[#This Row],[Rank (with ArcSinh normalization of select criteria)]],"")</f>
        <v/>
      </c>
      <c r="CD226" s="200" t="str">
        <f>IF(FMS_Ranking4[[#This Row],[FMS Type]]="Other",FMS_Ranking4[[#This Row],[Rank (with ArcSinh normalization of select criteria)]],"")</f>
        <v/>
      </c>
      <c r="CE226" s="201"/>
      <c r="CF226" s="206"/>
      <c r="CG226" s="206"/>
      <c r="CH226" s="206"/>
      <c r="CI226" s="206"/>
      <c r="CJ226" s="206"/>
      <c r="CK226" s="206"/>
      <c r="CL226" s="206"/>
      <c r="CM226" s="206"/>
      <c r="CN226" s="206"/>
      <c r="CO226" s="206"/>
      <c r="CP226" s="206"/>
      <c r="CQ226" s="206"/>
      <c r="CR226" s="206"/>
    </row>
    <row r="227" spans="2:96" ht="60" x14ac:dyDescent="0.25">
      <c r="B227" s="341" t="s">
        <v>681</v>
      </c>
      <c r="C227" s="246">
        <f>_xlfn.XLOOKUP(FMS_Ranking4[[#This Row],[FMS ID]],FMS_Input[FMS_ID],FMS_Input[RFPG_NUM])</f>
        <v>9</v>
      </c>
      <c r="D227" s="309" t="str">
        <f>_xlfn.XLOOKUP(FMS_Ranking4[[#This Row],[FMS ID]],FMS_Input[FMS_ID],FMS_Input[FMS_NAME])</f>
        <v>City of Colorado City</v>
      </c>
      <c r="E227" s="308" t="str">
        <f>_xlfn.XLOOKUP(FMS_Ranking4[[#This Row],[FMS ID]],FMS_Input[FMS_ID],FMS_Input[SPONSOR])</f>
        <v>00000172</v>
      </c>
      <c r="F227" s="309" t="str">
        <f>_xlfn.XLOOKUP(FMS_Ranking4[[#This Row],[FMS ID]],Sponsor[FMS_ID],Sponsor[SPONSOR NAME])</f>
        <v>Mitchell</v>
      </c>
      <c r="G227" s="309" t="str">
        <f>_xlfn.XLOOKUP(FMS_Ranking4[[#This Row],[FMS ID]],FMS_Input[FMS_ID],FMS_Input[FMS_DESCR])</f>
        <v>Provide how-to information to residents for install backflow valves to prevent reverse flow floods.</v>
      </c>
      <c r="H227" s="248" t="str">
        <f>_xlfn.XLOOKUP(FMS_Ranking4[[#This Row],[FMS ID]],FMS_Input[FMS_ID],FMS_Input[FMS_TYPE])</f>
        <v>Other</v>
      </c>
      <c r="I227" s="249">
        <f>_xlfn.XLOOKUP(FMS_Ranking4[[#This Row],[FMS ID]],FMS_Input[FMS_ID],FMS_Input[NRNC_COST])</f>
        <v>5000</v>
      </c>
      <c r="J227" s="250">
        <f>_xlfn.XLOOKUP(FMS_Ranking4[[#This Row],[FMS ID]],FMS_Input[FMS_ID],FMS_Input[FMS_COST])</f>
        <v>30000</v>
      </c>
      <c r="K227" s="251" t="str">
        <f>_xlfn.XLOOKUP(FMS_Ranking4[[#This Row],[FMS ID]],FMS_Input[FMS_ID],FMS_Input[EMER_NEED])</f>
        <v>No</v>
      </c>
      <c r="L227" s="252">
        <f t="shared" si="3"/>
        <v>0</v>
      </c>
      <c r="M227" s="253">
        <f>_xlfn.XLOOKUP(FMS_Ranking4[[#This Row],[FMS ID]],FMS_Input[FMS_ID],FMS_Input[STRUCT_100])</f>
        <v>143</v>
      </c>
      <c r="N227" s="255">
        <f>(ASINH(FMS_Ranking4[[#This Row],[Structure at Risk Raw]]))*(10)/(ASINH(M$4))</f>
        <v>4.4464613149259664</v>
      </c>
      <c r="O227" s="256">
        <f>FMS_Ranking4[[#This Row],[Structures at risk, ArcSinh (0-10)]]*M$5*10</f>
        <v>4.4464613149259673</v>
      </c>
      <c r="P227" s="253">
        <f>_xlfn.XLOOKUP(FMS_Ranking4[[#This Row],[FMS ID]],FMS_Input[FMS_ID],FMS_Input[RES_STRUCT100])</f>
        <v>93</v>
      </c>
      <c r="Q227" s="257">
        <f>ASINH(FMS_Ranking4[[#This Row],[Res Structure Raw]])/Q$4*P$5*100</f>
        <v>0</v>
      </c>
      <c r="R227" s="253">
        <f>_xlfn.XLOOKUP(FMS_Ranking4[[#This Row],[FMS ID]],FMS_Input[FMS_ID],FMS_Input[POP100])</f>
        <v>353</v>
      </c>
      <c r="S227" s="255">
        <f>(ASINH(FMS_Ranking4[[#This Row],[Pop at Risk Raw]]))*(10)/(ASINH(R$4))</f>
        <v>4.5284856707150825</v>
      </c>
      <c r="T227" s="256">
        <f>FMS_Ranking4[[#This Row],[Population at risk, ArcSinh (0-10)]]*R$5*10</f>
        <v>4.5284856707150825</v>
      </c>
      <c r="U227" s="253">
        <f>_xlfn.XLOOKUP(FMS_Ranking4[[#This Row],[FMS ID]],FMS_Input[FMS_ID],FMS_Input[CRITFAC100])</f>
        <v>2</v>
      </c>
      <c r="V227" s="255">
        <f>(ASINH(FMS_Ranking4[[#This Row],[Critical Facilities Raw]]))*(10)/(ASINH(U$4))</f>
        <v>1.7089239049208753</v>
      </c>
      <c r="W227" s="256">
        <f>FMS_Ranking4[[#This Row],[Critical facilities at risk, ArcSinh (0-10)]]*U$5*10</f>
        <v>1.7089239049208755</v>
      </c>
      <c r="X227" s="253">
        <f>_xlfn.XLOOKUP(FMS_Ranking4[[#This Row],[FMS ID]],FMS_Input[FMS_ID],FMS_Input[LWC])</f>
        <v>1</v>
      </c>
      <c r="Y227" s="255">
        <f>(ASINH(FMS_Ranking4[[#This Row],[LWC Raw]]))*(10)/(ASINH(X$4))</f>
        <v>1.1940300948531093</v>
      </c>
      <c r="Z227" s="256">
        <f>FMS_Ranking4[[#This Row],[LWC, ArcSInh (0-10)]]*X$5*10</f>
        <v>1.1940300948531093</v>
      </c>
      <c r="AA227" s="253">
        <f>_xlfn.XLOOKUP(FMS_Ranking4[[#This Row],[FMS ID]],FMS_Input[FMS_ID],FMS_Input[ROADCLS])</f>
        <v>0</v>
      </c>
      <c r="AB227" s="255">
        <f>(ASINH(FMS_Ranking4[[#This Row],[Road Closures Raw]]))*(10)/(ASINH(AA$4))</f>
        <v>0</v>
      </c>
      <c r="AC227" s="256">
        <f>FMS_Ranking4[[#This Row],[Road closures, ArcSinh (0-10)]]*AA$5*10</f>
        <v>0</v>
      </c>
      <c r="AD227" s="253">
        <f>_xlfn.XLOOKUP(FMS_Ranking4[[#This Row],[FMS ID]],FMS_Input[FMS_ID],FMS_Input[ROAD_MILES100])</f>
        <v>10</v>
      </c>
      <c r="AE227" s="255">
        <f>(ASINH(FMS_Ranking4[[#This Row],[Road Miles Raw]]))*(10)/(ASINH(AD$4))</f>
        <v>3.1952807811982975</v>
      </c>
      <c r="AF227" s="256">
        <f>FMS_Ranking4[[#This Row],[Length of roads at risk, ArcSinh (0-10)]]*AD$5*10</f>
        <v>3.1952807811982975</v>
      </c>
      <c r="AG227" s="253">
        <f>_xlfn.XLOOKUP(FMS_Ranking4[[#This Row],[FMS ID]],FMS_Input[FMS_ID],FMS_Input[FARMACRE100])</f>
        <v>41.681648254394531</v>
      </c>
      <c r="AH227" s="255">
        <f>(ASINH(FMS_Ranking4[[#This Row],[Ag Land Raw]]))*(10)/(ASINH(AG$4))</f>
        <v>2.8733274837474436</v>
      </c>
      <c r="AI227" s="260">
        <f>FMS_Ranking4[[#This Row],[Farm &amp; ranch land, ArcSinh (0-10)]]*AG$5*10</f>
        <v>1.4366637418737218</v>
      </c>
      <c r="AJ227" s="258">
        <f>_xlfn.XLOOKUP(FMS_Ranking4[[#This Row],[FMS ID]],FMS_Input[FMS_ID],FMS_Input[REDSTRUCT100])</f>
        <v>36</v>
      </c>
      <c r="AK227" s="253">
        <f>_xlfn.XLOOKUP(FMS_Ranking4[[#This Row],[FMS ID]],FMS_Input[FMS_ID],FMS_Input[REMSTRC100])</f>
        <v>36</v>
      </c>
      <c r="AL227" s="255">
        <f>(ASINH(FMS_Ranking4[[#This Row],[Structures Removed Raw]]))*(10)/(ASINH(AK$4))</f>
        <v>4.8695092159225162</v>
      </c>
      <c r="AM227" s="262">
        <f>FMS_Ranking4[[#This Row],[Structures removed, ArcSinh (0-10)]]*AK$5*10</f>
        <v>4.8695092159225162</v>
      </c>
      <c r="AN227" s="253">
        <f>_xlfn.XLOOKUP(FMS_Ranking4[[#This Row],[FMS ID]],FMS_Input[FMS_ID],FMS_Input[REMRESSTRC100])</f>
        <v>23</v>
      </c>
      <c r="AO227" s="261">
        <f>FMS_Ranking4[[#This Row],[ArcSinh Res struct removed 0-10]]*AN$5*10</f>
        <v>2.2458765009154815</v>
      </c>
      <c r="AP227" s="260">
        <f>ASINH(FMS_Ranking4[[#This Row],[Residential Structures Removed Raw]])/AP$4*AN$5*100</f>
        <v>2.245876500915482</v>
      </c>
      <c r="AQ227" s="258">
        <f>(ASINH(FMS_Ranking4[[#This Row],[Residential Structures Removed Raw]]))*(10)/(ASINH(AN$4))</f>
        <v>4.4917530018309622</v>
      </c>
      <c r="AR227" s="253">
        <f>_xlfn.XLOOKUP(FMS_Ranking4[[#This Row],[FMS ID]],FMS_Input[FMS_ID],FMS_Input[REMPOP100])</f>
        <v>109</v>
      </c>
      <c r="AS227" s="255">
        <f>(ASINH(FMS_Ranking4[[#This Row],[Removed Pop Raw]]))*(10)/(ASINH(AR$4))</f>
        <v>5.2855510823936775</v>
      </c>
      <c r="AT227" s="262">
        <f>FMS_Ranking4[[#This Row],[Removed population, ArcSinh (0-10)]]*AR$5*10</f>
        <v>5.2855510823936775</v>
      </c>
      <c r="AU227" s="264">
        <f>_xlfn.XLOOKUP(FMS_Ranking4[[#This Row],[FMS ID]],FMS_Input[FMS_ID],FMS_Input[REMCRITFAC100])</f>
        <v>0</v>
      </c>
      <c r="AV227" s="264">
        <f>_xlfn.XLOOKUP(FMS_Ranking4[[#This Row],[FMS ID]],FMS_Input[FMS_ID],FMS_Input[REMLWC100])</f>
        <v>0</v>
      </c>
      <c r="AW227" s="264">
        <f>_xlfn.XLOOKUP(FMS_Ranking4[[#This Row],[FMS ID]],FMS_Input[FMS_ID],FMS_Input[REMROADCLS])</f>
        <v>0</v>
      </c>
      <c r="AX227" s="264">
        <f>_xlfn.XLOOKUP(FMS_Ranking4[[#This Row],[FMS ID]],FMS_Input[FMS_ID],FMS_Input[REMFRMACRE100])</f>
        <v>10.420412063598629</v>
      </c>
      <c r="AY227" s="258">
        <f>_xlfn.XLOOKUP(FMS_Ranking4[[#This Row],[FMS ID]],FMS_Input[FMS_ID],FMS_Input[COSTSTRUCT])</f>
        <v>25000</v>
      </c>
      <c r="AZ227" s="253">
        <f>_xlfn.XLOOKUP(FMS_Ranking4[[#This Row],[FMS ID]],FMS_Input[FMS_ID],FMS_Input[NATURE])</f>
        <v>0</v>
      </c>
      <c r="BA227" s="262">
        <f>(((FMS_Ranking4[[#This Row],[% NBS Raw]]/AZ$4)*100)*AZ$5)</f>
        <v>0</v>
      </c>
      <c r="BB227" s="251" t="str">
        <f>_xlfn.XLOOKUP(FMS_Ranking4[[#This Row],[FMS ID]],FMS_Input[FMS_ID],FMS_Input[WATER_SUP])</f>
        <v>No</v>
      </c>
      <c r="BC227" s="265">
        <f>IF(FMS_Ranking4[[#This Row],[Water Supply Raw]]="Yes",10,0)</f>
        <v>0</v>
      </c>
      <c r="BD227" s="266">
        <f>_xlfn.XLOOKUP(FMS_Ranking4[[#This Row],[FMS Type]],FMS_TYPE[FMS_Type],FMS_TYPE[Score])</f>
        <v>2</v>
      </c>
      <c r="BE227" s="267">
        <f>FMS_Ranking4[[#This Row],[FMS_Type Score]]*$BD$5*10</f>
        <v>0.5</v>
      </c>
      <c r="BF22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5.0104323080143828E-2</v>
      </c>
      <c r="BG227" s="321">
        <f>_xlfn.RANK.EQ(BF227,$BF$8:$BF$870,0)+COUNTIF($BF$8:BF227,BF227)-1</f>
        <v>565</v>
      </c>
      <c r="BH227" s="294">
        <f>(((FMS_Ranking4[[#This Row],[Structures Removed Raw]]/AK$4)*100)*AK$5)+(((FMS_Ranking4[[#This Row],[Removed Pop Raw]]/AR$4)*100)*AR$5)</f>
        <v>0.19246771729913875</v>
      </c>
      <c r="BI22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0.74257204037928259</v>
      </c>
      <c r="BJ227" s="251">
        <f>_xlfn.RANK.EQ(FMS_Ranking4[[#This Row],[Total Score 
(with linear
normalization)]],FMS_Ranking4[Total Score 
(with linear
normalization)],0)</f>
        <v>788</v>
      </c>
      <c r="BK227" s="251" t="e">
        <f>_xlfn.XLOOKUP(FMS_Ranking4[[#This Row],[FMS ID]],#REF!,#REF!)</f>
        <v>#REF!</v>
      </c>
      <c r="BL22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28.910782307718733</v>
      </c>
      <c r="BM227" s="324">
        <f>FMS_Ranking4[[#This Row],[ArcSinh Score Based on Normalized Reported Factors]]+FMS_Ranking4[[#This Row],[% NBS Score (Normalized)]]+(FMS_Ranking4[[#This Row],[Water Supply Score (Normalized)]]*10*$BB$5)+FMS_Ranking4[[#This Row],[FMS_Type Score Weighted]]</f>
        <v>29.410782307718733</v>
      </c>
      <c r="BN227" s="251">
        <f>_xlfn.RANK.EQ(FMS_Ranking4[[#This Row],[Total Score (with ArcSinh normalization of select criteria)]],FMS_Ranking4[Total Score (with ArcSinh normalization of select criteria)],0)</f>
        <v>220</v>
      </c>
      <c r="BO227" s="270" t="str">
        <f>_xlfn.XLOOKUP(FMS_Ranking4[[#This Row],[FMS ID]],FMS_Input[FMS_ID],FMS_Input[FMS_RANK_YEAR])</f>
        <v>2023 Amended Plan</v>
      </c>
      <c r="BP227" s="204">
        <f>_xlfn.XLOOKUP(FMS_Ranking4[[#This Row],[FMS ID]],Prev_Rank[FMS ID],Prev_Rank[Prev Rank])</f>
        <v>218</v>
      </c>
      <c r="BQ227" s="251" t="e">
        <f>_xlfn.XLOOKUP(FMS_Ranking4[[#This Row],[FMS ID]],#REF!,#REF!)</f>
        <v>#REF!</v>
      </c>
      <c r="BR227" s="199" t="e">
        <f>SUM(#REF!,#REF!,#REF!,#REF!,#REF!,#REF!,#REF!,#REF!,#REF!,FMS_Ranking4[[#This Row],[ArcSinh Res struct removed 0-10]],#REF!)</f>
        <v>#REF!</v>
      </c>
      <c r="BS227" s="199" t="e">
        <f>FMS_Ranking4[[#This Row],[Log Score Based on Normalized Reported Factors]]+FMS_Ranking4[[#This Row],[% NBS Score (Normalized)]]+(FMS_Ranking4[[#This Row],[Water Supply Score (Normalized)]]*10*$BB$5)+(FMS_Ranking4[[#This Row],[FMS_Type Score Weighted]])</f>
        <v>#REF!</v>
      </c>
      <c r="BT227" s="200" t="e">
        <f>_xlfn.RANK.EQ(FMS_Ranking4[[#This Row],[Log Total Score]],FMS_Ranking4[Log Total Score],0)</f>
        <v>#REF!</v>
      </c>
      <c r="BU227" s="200" t="e">
        <f>_xlfn.XLOOKUP(FMS_Ranking4[[#This Row],[FMS ID]],#REF!,#REF!)</f>
        <v>#REF!</v>
      </c>
      <c r="BV227" s="200">
        <f>FMS_Ranking4[[#This Row],[Region Number]]</f>
        <v>9</v>
      </c>
      <c r="BW227" s="200">
        <f>FMS_Ranking4[[#This Row],[Rank (with ArcSinh normalization of select criteria)]]-FMS_Ranking4[[#This Row],[Rank
(with linear
normalization)]]</f>
        <v>-568</v>
      </c>
      <c r="BX227" s="200" t="e">
        <f>FMS_Ranking4[[#This Row],[Log Rank]]-FMS_Ranking4[[#This Row],[Rank
(with linear
normalization)]]</f>
        <v>#REF!</v>
      </c>
      <c r="BY227" s="200" t="str">
        <f>IF(FMS_Ranking4[[#This Row],[FMS Type]]="Flood Measurement and Warning",FMS_Ranking4[[#This Row],[Rank (with ArcSinh normalization of select criteria)]],"")</f>
        <v/>
      </c>
      <c r="BZ227" s="200" t="str">
        <f>IF(FMS_Ranking4[[#This Row],[FMS Type]]="Regulatory and Guidance",FMS_Ranking4[[#This Row],[Rank (with ArcSinh normalization of select criteria)]],"")</f>
        <v/>
      </c>
      <c r="CA227" s="200" t="str">
        <f>IF(FMS_Ranking4[[#This Row],[FMS Type]]="Education and Outreach",FMS_Ranking4[[#This Row],[Rank (with ArcSinh normalization of select criteria)]],"")</f>
        <v/>
      </c>
      <c r="CB227" s="200" t="str">
        <f>IF(FMS_Ranking4[[#This Row],[FMS Type]]="Property Acquisition and Structural Elevation",FMS_Ranking4[[#This Row],[Rank (with ArcSinh normalization of select criteria)]],"")</f>
        <v/>
      </c>
      <c r="CC227" s="200" t="str">
        <f>IF(FMS_Ranking4[[#This Row],[FMS Type]]="Infrastructure Projects",FMS_Ranking4[[#This Row],[Rank (with ArcSinh normalization of select criteria)]],"")</f>
        <v/>
      </c>
      <c r="CD227" s="200">
        <f>IF(FMS_Ranking4[[#This Row],[FMS Type]]="Other",FMS_Ranking4[[#This Row],[Rank (with ArcSinh normalization of select criteria)]],"")</f>
        <v>220</v>
      </c>
      <c r="CE227" s="201"/>
      <c r="CF227" s="206"/>
      <c r="CG227" s="206"/>
      <c r="CH227" s="206"/>
      <c r="CI227" s="206"/>
      <c r="CJ227" s="206"/>
      <c r="CK227" s="206"/>
      <c r="CL227" s="206"/>
      <c r="CM227" s="206"/>
      <c r="CN227" s="206"/>
      <c r="CO227" s="206"/>
      <c r="CP227" s="206"/>
      <c r="CQ227" s="206"/>
      <c r="CR227" s="206"/>
    </row>
    <row r="228" spans="2:96" ht="90" x14ac:dyDescent="0.25">
      <c r="B228" s="341" t="s">
        <v>2018</v>
      </c>
      <c r="C228" s="246">
        <f>_xlfn.XLOOKUP(FMS_Ranking4[[#This Row],[FMS ID]],FMS_Input[FMS_ID],FMS_Input[RFPG_NUM])</f>
        <v>3</v>
      </c>
      <c r="D228" s="309" t="str">
        <f>_xlfn.XLOOKUP(FMS_Ranking4[[#This Row],[FMS ID]],FMS_Input[FMS_ID],FMS_Input[FMS_NAME])</f>
        <v>Dallas County Land Use Program</v>
      </c>
      <c r="E228" s="308" t="str">
        <f>_xlfn.XLOOKUP(FMS_Ranking4[[#This Row],[FMS ID]],FMS_Input[FMS_ID],FMS_Input[SPONSOR])</f>
        <v>Richardson</v>
      </c>
      <c r="F228" s="309" t="str">
        <f>_xlfn.XLOOKUP(FMS_Ranking4[[#This Row],[FMS ID]],Sponsor[FMS_ID],Sponsor[SPONSOR NAME])</f>
        <v>Richardson</v>
      </c>
      <c r="G228" s="309" t="str">
        <f>_xlfn.XLOOKUP(FMS_Ranking4[[#This Row],[FMS ID]],FMS_Input[FMS_ID],FMS_Input[FMS_DESCR])</f>
        <v>Continue to develop and maintain special use parks and green belt areas as flooding mitigation strategies &amp; further prohibiting development in the floodplain.</v>
      </c>
      <c r="H228" s="248" t="str">
        <f>_xlfn.XLOOKUP(FMS_Ranking4[[#This Row],[FMS ID]],FMS_Input[FMS_ID],FMS_Input[FMS_TYPE])</f>
        <v>Regulatory and Guidance</v>
      </c>
      <c r="I228" s="249">
        <f>_xlfn.XLOOKUP(FMS_Ranking4[[#This Row],[FMS ID]],FMS_Input[FMS_ID],FMS_Input[NRNC_COST])</f>
        <v>100000</v>
      </c>
      <c r="J228" s="250">
        <f>_xlfn.XLOOKUP(FMS_Ranking4[[#This Row],[FMS ID]],FMS_Input[FMS_ID],FMS_Input[FMS_COST])</f>
        <v>100000</v>
      </c>
      <c r="K228" s="251" t="str">
        <f>_xlfn.XLOOKUP(FMS_Ranking4[[#This Row],[FMS ID]],FMS_Input[FMS_ID],FMS_Input[EMER_NEED])</f>
        <v>No</v>
      </c>
      <c r="L228" s="252">
        <f t="shared" si="3"/>
        <v>0</v>
      </c>
      <c r="M228" s="253">
        <f>_xlfn.XLOOKUP(FMS_Ranking4[[#This Row],[FMS ID]],FMS_Input[FMS_ID],FMS_Input[STRUCT_100])</f>
        <v>139</v>
      </c>
      <c r="N228" s="255">
        <f>(ASINH(FMS_Ranking4[[#This Row],[Structure at Risk Raw]]))*(10)/(ASINH(M$4))</f>
        <v>4.4241582838628482</v>
      </c>
      <c r="O228" s="256">
        <f>FMS_Ranking4[[#This Row],[Structures at risk, ArcSinh (0-10)]]*M$5*10</f>
        <v>4.4241582838628482</v>
      </c>
      <c r="P228" s="253">
        <f>_xlfn.XLOOKUP(FMS_Ranking4[[#This Row],[FMS ID]],FMS_Input[FMS_ID],FMS_Input[RES_STRUCT100])</f>
        <v>125</v>
      </c>
      <c r="Q228" s="257">
        <f>ASINH(FMS_Ranking4[[#This Row],[Res Structure Raw]])/Q$4*P$5*100</f>
        <v>0</v>
      </c>
      <c r="R228" s="253">
        <f>_xlfn.XLOOKUP(FMS_Ranking4[[#This Row],[FMS ID]],FMS_Input[FMS_ID],FMS_Input[POP100])</f>
        <v>419</v>
      </c>
      <c r="S228" s="259">
        <f>(ASINH(FMS_Ranking4[[#This Row],[Pop at Risk Raw]]))*(10)/(ASINH(R$4))</f>
        <v>4.6468146437841398</v>
      </c>
      <c r="T228" s="256">
        <f>FMS_Ranking4[[#This Row],[Population at risk, ArcSinh (0-10)]]*R$5*10</f>
        <v>4.6468146437841398</v>
      </c>
      <c r="U228" s="253">
        <f>_xlfn.XLOOKUP(FMS_Ranking4[[#This Row],[FMS ID]],FMS_Input[FMS_ID],FMS_Input[CRITFAC100])</f>
        <v>1</v>
      </c>
      <c r="V228" s="259">
        <f>(ASINH(FMS_Ranking4[[#This Row],[Critical Facilities Raw]]))*(10)/(ASINH(U$4))</f>
        <v>1.0433384451410745</v>
      </c>
      <c r="W228" s="256">
        <f>FMS_Ranking4[[#This Row],[Critical facilities at risk, ArcSinh (0-10)]]*U$5*10</f>
        <v>1.0433384451410745</v>
      </c>
      <c r="X228" s="253">
        <f>_xlfn.XLOOKUP(FMS_Ranking4[[#This Row],[FMS ID]],FMS_Input[FMS_ID],FMS_Input[LWC])</f>
        <v>25</v>
      </c>
      <c r="Y228" s="259">
        <f>(ASINH(FMS_Ranking4[[#This Row],[LWC Raw]]))*(10)/(ASINH(X$4))</f>
        <v>5.3003069240609193</v>
      </c>
      <c r="Z228" s="256">
        <f>FMS_Ranking4[[#This Row],[LWC, ArcSInh (0-10)]]*X$5*10</f>
        <v>5.3003069240609193</v>
      </c>
      <c r="AA228" s="253">
        <f>_xlfn.XLOOKUP(FMS_Ranking4[[#This Row],[FMS ID]],FMS_Input[FMS_ID],FMS_Input[ROADCLS])</f>
        <v>0</v>
      </c>
      <c r="AB228" s="255">
        <f>(ASINH(FMS_Ranking4[[#This Row],[Road Closures Raw]]))*(10)/(ASINH(AA$4))</f>
        <v>0</v>
      </c>
      <c r="AC228" s="256">
        <f>FMS_Ranking4[[#This Row],[Road closures, ArcSinh (0-10)]]*AA$5*10</f>
        <v>0</v>
      </c>
      <c r="AD228" s="253">
        <f>_xlfn.XLOOKUP(FMS_Ranking4[[#This Row],[FMS ID]],FMS_Input[FMS_ID],FMS_Input[ROAD_MILES100])</f>
        <v>7</v>
      </c>
      <c r="AE228" s="259">
        <f>(ASINH(FMS_Ranking4[[#This Row],[Road Miles Raw]]))*(10)/(ASINH(AD$4))</f>
        <v>2.8179052695658946</v>
      </c>
      <c r="AF228" s="256">
        <f>FMS_Ranking4[[#This Row],[Length of roads at risk, ArcSinh (0-10)]]*AD$5*10</f>
        <v>2.8179052695658946</v>
      </c>
      <c r="AG228" s="253">
        <f>_xlfn.XLOOKUP(FMS_Ranking4[[#This Row],[FMS ID]],FMS_Input[FMS_ID],FMS_Input[FARMACRE100])</f>
        <v>81.450248718261719</v>
      </c>
      <c r="AH228" s="255">
        <f>(ASINH(FMS_Ranking4[[#This Row],[Ag Land Raw]]))*(10)/(ASINH(AG$4))</f>
        <v>3.3084335621541681</v>
      </c>
      <c r="AI228" s="260">
        <f>FMS_Ranking4[[#This Row],[Farm &amp; ranch land, ArcSinh (0-10)]]*AG$5*10</f>
        <v>1.6542167810770843</v>
      </c>
      <c r="AJ228" s="258">
        <f>_xlfn.XLOOKUP(FMS_Ranking4[[#This Row],[FMS ID]],FMS_Input[FMS_ID],FMS_Input[REDSTRUCT100])</f>
        <v>0</v>
      </c>
      <c r="AK228" s="253">
        <f>_xlfn.XLOOKUP(FMS_Ranking4[[#This Row],[FMS ID]],FMS_Input[FMS_ID],FMS_Input[REMSTRC100])</f>
        <v>0</v>
      </c>
      <c r="AL228" s="259">
        <f>(ASINH(FMS_Ranking4[[#This Row],[Structures Removed Raw]]))*(10)/(ASINH(AK$4))</f>
        <v>0</v>
      </c>
      <c r="AM228" s="262">
        <f>FMS_Ranking4[[#This Row],[Structures removed, ArcSinh (0-10)]]*AK$5*10</f>
        <v>0</v>
      </c>
      <c r="AN228" s="253">
        <f>_xlfn.XLOOKUP(FMS_Ranking4[[#This Row],[FMS ID]],FMS_Input[FMS_ID],FMS_Input[REMRESSTRC100])</f>
        <v>0</v>
      </c>
      <c r="AO228" s="261">
        <f>FMS_Ranking4[[#This Row],[ArcSinh Res struct removed 0-10]]*AN$5*10</f>
        <v>0</v>
      </c>
      <c r="AP228" s="260">
        <f>ASINH(FMS_Ranking4[[#This Row],[Residential Structures Removed Raw]])/AP$4*AN$5*100</f>
        <v>0</v>
      </c>
      <c r="AQ228" s="254">
        <f>(ASINH(FMS_Ranking4[[#This Row],[Residential Structures Removed Raw]]))*(10)/(ASINH(AN$4))</f>
        <v>0</v>
      </c>
      <c r="AR228" s="253">
        <f>_xlfn.XLOOKUP(FMS_Ranking4[[#This Row],[FMS ID]],FMS_Input[FMS_ID],FMS_Input[REMPOP100])</f>
        <v>0</v>
      </c>
      <c r="AS228" s="259">
        <f>(ASINH(FMS_Ranking4[[#This Row],[Removed Pop Raw]]))*(10)/(ASINH(AR$4))</f>
        <v>0</v>
      </c>
      <c r="AT228" s="262">
        <f>FMS_Ranking4[[#This Row],[Removed population, ArcSinh (0-10)]]*AR$5*10</f>
        <v>0</v>
      </c>
      <c r="AU228" s="264">
        <f>_xlfn.XLOOKUP(FMS_Ranking4[[#This Row],[FMS ID]],FMS_Input[FMS_ID],FMS_Input[REMCRITFAC100])</f>
        <v>0</v>
      </c>
      <c r="AV228" s="264">
        <f>_xlfn.XLOOKUP(FMS_Ranking4[[#This Row],[FMS ID]],FMS_Input[FMS_ID],FMS_Input[REMLWC100])</f>
        <v>0</v>
      </c>
      <c r="AW228" s="264">
        <f>_xlfn.XLOOKUP(FMS_Ranking4[[#This Row],[FMS ID]],FMS_Input[FMS_ID],FMS_Input[REMROADCLS])</f>
        <v>0</v>
      </c>
      <c r="AX228" s="264">
        <f>_xlfn.XLOOKUP(FMS_Ranking4[[#This Row],[FMS ID]],FMS_Input[FMS_ID],FMS_Input[REMFRMACRE100])</f>
        <v>0</v>
      </c>
      <c r="AY228" s="258">
        <f>_xlfn.XLOOKUP(FMS_Ranking4[[#This Row],[FMS ID]],FMS_Input[FMS_ID],FMS_Input[COSTSTRUCT])</f>
        <v>0</v>
      </c>
      <c r="AZ228" s="253">
        <f>_xlfn.XLOOKUP(FMS_Ranking4[[#This Row],[FMS ID]],FMS_Input[FMS_ID],FMS_Input[NATURE])</f>
        <v>100</v>
      </c>
      <c r="BA228" s="262">
        <f>(((FMS_Ranking4[[#This Row],[% NBS Raw]]/AZ$4)*100)*AZ$5)</f>
        <v>7.5</v>
      </c>
      <c r="BB228" s="251" t="str">
        <f>_xlfn.XLOOKUP(FMS_Ranking4[[#This Row],[FMS ID]],FMS_Input[FMS_ID],FMS_Input[WATER_SUP])</f>
        <v>No</v>
      </c>
      <c r="BC228" s="265">
        <f>IF(FMS_Ranking4[[#This Row],[Water Supply Raw]]="Yes",10,0)</f>
        <v>0</v>
      </c>
      <c r="BD228" s="266">
        <f>_xlfn.XLOOKUP(FMS_Ranking4[[#This Row],[FMS Type]],FMS_TYPE[FMS_Type],FMS_TYPE[Score])</f>
        <v>8</v>
      </c>
      <c r="BE228" s="267">
        <f>FMS_Ranking4[[#This Row],[FMS_Type Score]]*$BD$5*10</f>
        <v>2</v>
      </c>
      <c r="BF22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0.34016669139040351</v>
      </c>
      <c r="BG228" s="271">
        <f>_xlfn.RANK.EQ(BF228,$BF$8:$BF$870,0)+COUNTIF($BF$8:BF228,BF228)-1</f>
        <v>278</v>
      </c>
      <c r="BH228" s="268">
        <f>(((FMS_Ranking4[[#This Row],[Structures Removed Raw]]/AK$4)*100)*AK$5)+(((FMS_Ranking4[[#This Row],[Removed Pop Raw]]/AR$4)*100)*AR$5)</f>
        <v>0</v>
      </c>
      <c r="BI22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9.8401666913904045</v>
      </c>
      <c r="BJ228" s="205">
        <f>_xlfn.RANK.EQ(FMS_Ranking4[[#This Row],[Total Score 
(with linear
normalization)]],FMS_Ranking4[Total Score 
(with linear
normalization)],0)</f>
        <v>52</v>
      </c>
      <c r="BK228" s="205" t="e">
        <f>_xlfn.XLOOKUP(FMS_Ranking4[[#This Row],[FMS ID]],#REF!,#REF!)</f>
        <v>#REF!</v>
      </c>
      <c r="BL22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19.886740347491962</v>
      </c>
      <c r="BM228" s="272">
        <f>FMS_Ranking4[[#This Row],[ArcSinh Score Based on Normalized Reported Factors]]+FMS_Ranking4[[#This Row],[% NBS Score (Normalized)]]+(FMS_Ranking4[[#This Row],[Water Supply Score (Normalized)]]*10*$BB$5)+FMS_Ranking4[[#This Row],[FMS_Type Score Weighted]]</f>
        <v>29.386740347491962</v>
      </c>
      <c r="BN228" s="205">
        <f>_xlfn.RANK.EQ(FMS_Ranking4[[#This Row],[Total Score (with ArcSinh normalization of select criteria)]],FMS_Ranking4[Total Score (with ArcSinh normalization of select criteria)],0)</f>
        <v>221</v>
      </c>
      <c r="BO228" s="270" t="str">
        <f>_xlfn.XLOOKUP(FMS_Ranking4[[#This Row],[FMS ID]],FMS_Input[FMS_ID],FMS_Input[FMS_RANK_YEAR])</f>
        <v>2023 Amended Plan</v>
      </c>
      <c r="BP228" s="204">
        <f>_xlfn.XLOOKUP(FMS_Ranking4[[#This Row],[FMS ID]],Prev_Rank[FMS ID],Prev_Rank[Prev Rank])</f>
        <v>196</v>
      </c>
      <c r="BQ228" s="205" t="e">
        <f>_xlfn.XLOOKUP(FMS_Ranking4[[#This Row],[FMS ID]],#REF!,#REF!)</f>
        <v>#REF!</v>
      </c>
      <c r="BR228" s="199" t="e">
        <f>SUM(#REF!,#REF!,#REF!,#REF!,#REF!,#REF!,#REF!,#REF!,#REF!,FMS_Ranking4[[#This Row],[ArcSinh Res struct removed 0-10]],#REF!)</f>
        <v>#REF!</v>
      </c>
      <c r="BS228" s="199" t="e">
        <f>FMS_Ranking4[[#This Row],[Log Score Based on Normalized Reported Factors]]+FMS_Ranking4[[#This Row],[% NBS Score (Normalized)]]+(FMS_Ranking4[[#This Row],[Water Supply Score (Normalized)]]*10*$BB$5)+(FMS_Ranking4[[#This Row],[FMS_Type Score Weighted]])</f>
        <v>#REF!</v>
      </c>
      <c r="BT228" s="200" t="e">
        <f>_xlfn.RANK.EQ(FMS_Ranking4[[#This Row],[Log Total Score]],FMS_Ranking4[Log Total Score],0)</f>
        <v>#REF!</v>
      </c>
      <c r="BU228" s="200" t="e">
        <f>_xlfn.XLOOKUP(FMS_Ranking4[[#This Row],[FMS ID]],#REF!,#REF!)</f>
        <v>#REF!</v>
      </c>
      <c r="BV228" s="200">
        <f>FMS_Ranking4[[#This Row],[Region Number]]</f>
        <v>3</v>
      </c>
      <c r="BW228" s="200">
        <f>FMS_Ranking4[[#This Row],[Rank (with ArcSinh normalization of select criteria)]]-FMS_Ranking4[[#This Row],[Rank
(with linear
normalization)]]</f>
        <v>169</v>
      </c>
      <c r="BX228" s="200" t="e">
        <f>FMS_Ranking4[[#This Row],[Log Rank]]-FMS_Ranking4[[#This Row],[Rank
(with linear
normalization)]]</f>
        <v>#REF!</v>
      </c>
      <c r="BY228" s="200" t="str">
        <f>IF(FMS_Ranking4[[#This Row],[FMS Type]]="Flood Measurement and Warning",FMS_Ranking4[[#This Row],[Rank (with ArcSinh normalization of select criteria)]],"")</f>
        <v/>
      </c>
      <c r="BZ228" s="200">
        <f>IF(FMS_Ranking4[[#This Row],[FMS Type]]="Regulatory and Guidance",FMS_Ranking4[[#This Row],[Rank (with ArcSinh normalization of select criteria)]],"")</f>
        <v>221</v>
      </c>
      <c r="CA228" s="200" t="str">
        <f>IF(FMS_Ranking4[[#This Row],[FMS Type]]="Education and Outreach",FMS_Ranking4[[#This Row],[Rank (with ArcSinh normalization of select criteria)]],"")</f>
        <v/>
      </c>
      <c r="CB228" s="200" t="str">
        <f>IF(FMS_Ranking4[[#This Row],[FMS Type]]="Property Acquisition and Structural Elevation",FMS_Ranking4[[#This Row],[Rank (with ArcSinh normalization of select criteria)]],"")</f>
        <v/>
      </c>
      <c r="CC228" s="200" t="str">
        <f>IF(FMS_Ranking4[[#This Row],[FMS Type]]="Infrastructure Projects",FMS_Ranking4[[#This Row],[Rank (with ArcSinh normalization of select criteria)]],"")</f>
        <v/>
      </c>
      <c r="CD228" s="200" t="str">
        <f>IF(FMS_Ranking4[[#This Row],[FMS Type]]="Other",FMS_Ranking4[[#This Row],[Rank (with ArcSinh normalization of select criteria)]],"")</f>
        <v/>
      </c>
      <c r="CE228" s="201"/>
      <c r="CF228" s="206"/>
      <c r="CG228" s="206"/>
      <c r="CH228" s="206"/>
      <c r="CI228" s="206"/>
      <c r="CJ228" s="206"/>
      <c r="CK228" s="206"/>
      <c r="CL228" s="206"/>
      <c r="CM228" s="206"/>
      <c r="CN228" s="206"/>
      <c r="CO228" s="206"/>
      <c r="CP228" s="206"/>
      <c r="CQ228" s="206"/>
      <c r="CR228" s="206"/>
    </row>
    <row r="229" spans="2:96" ht="60" x14ac:dyDescent="0.25">
      <c r="B229" s="341" t="s">
        <v>540</v>
      </c>
      <c r="C229" s="246">
        <f>_xlfn.XLOOKUP(FMS_Ranking4[[#This Row],[FMS ID]],FMS_Input[FMS_ID],FMS_Input[RFPG_NUM])</f>
        <v>9</v>
      </c>
      <c r="D229" s="309" t="str">
        <f>_xlfn.XLOOKUP(FMS_Ranking4[[#This Row],[FMS ID]],FMS_Input[FMS_ID],FMS_Input[FMS_NAME])</f>
        <v>City of Colorado City DCM</v>
      </c>
      <c r="E229" s="308" t="str">
        <f>_xlfn.XLOOKUP(FMS_Ranking4[[#This Row],[FMS ID]],FMS_Input[FMS_ID],FMS_Input[SPONSOR])</f>
        <v>00000172</v>
      </c>
      <c r="F229" s="309" t="str">
        <f>_xlfn.XLOOKUP(FMS_Ranking4[[#This Row],[FMS ID]],Sponsor[FMS_ID],Sponsor[SPONSOR NAME])</f>
        <v>Mitchell</v>
      </c>
      <c r="G229" s="309" t="str">
        <f>_xlfn.XLOOKUP(FMS_Ranking4[[#This Row],[FMS ID]],FMS_Input[FMS_ID],FMS_Input[FMS_DESCR])</f>
        <v xml:space="preserve">Outreach Program: Discuss Stormwater Criteria Design Manual
</v>
      </c>
      <c r="H229" s="248" t="str">
        <f>_xlfn.XLOOKUP(FMS_Ranking4[[#This Row],[FMS ID]],FMS_Input[FMS_ID],FMS_Input[FMS_TYPE])</f>
        <v>Other</v>
      </c>
      <c r="I229" s="249">
        <f>_xlfn.XLOOKUP(FMS_Ranking4[[#This Row],[FMS ID]],FMS_Input[FMS_ID],FMS_Input[NRNC_COST])</f>
        <v>75000</v>
      </c>
      <c r="J229" s="250">
        <f>_xlfn.XLOOKUP(FMS_Ranking4[[#This Row],[FMS ID]],FMS_Input[FMS_ID],FMS_Input[FMS_COST])</f>
        <v>100000</v>
      </c>
      <c r="K229" s="251" t="str">
        <f>_xlfn.XLOOKUP(FMS_Ranking4[[#This Row],[FMS ID]],FMS_Input[FMS_ID],FMS_Input[EMER_NEED])</f>
        <v>No</v>
      </c>
      <c r="L229" s="252">
        <f t="shared" si="3"/>
        <v>0</v>
      </c>
      <c r="M229" s="253">
        <f>_xlfn.XLOOKUP(FMS_Ranking4[[#This Row],[FMS ID]],FMS_Input[FMS_ID],FMS_Input[STRUCT_100])</f>
        <v>143</v>
      </c>
      <c r="N229" s="255">
        <f>(ASINH(FMS_Ranking4[[#This Row],[Structure at Risk Raw]]))*(10)/(ASINH(M$4))</f>
        <v>4.4464613149259664</v>
      </c>
      <c r="O229" s="256">
        <f>FMS_Ranking4[[#This Row],[Structures at risk, ArcSinh (0-10)]]*M$5*10</f>
        <v>4.4464613149259673</v>
      </c>
      <c r="P229" s="253">
        <f>_xlfn.XLOOKUP(FMS_Ranking4[[#This Row],[FMS ID]],FMS_Input[FMS_ID],FMS_Input[RES_STRUCT100])</f>
        <v>93</v>
      </c>
      <c r="Q229" s="257">
        <f>ASINH(FMS_Ranking4[[#This Row],[Res Structure Raw]])/Q$4*P$5*100</f>
        <v>0</v>
      </c>
      <c r="R229" s="253">
        <f>_xlfn.XLOOKUP(FMS_Ranking4[[#This Row],[FMS ID]],FMS_Input[FMS_ID],FMS_Input[POP100])</f>
        <v>353</v>
      </c>
      <c r="S229" s="259">
        <f>(ASINH(FMS_Ranking4[[#This Row],[Pop at Risk Raw]]))*(10)/(ASINH(R$4))</f>
        <v>4.5284856707150825</v>
      </c>
      <c r="T229" s="256">
        <f>FMS_Ranking4[[#This Row],[Population at risk, ArcSinh (0-10)]]*R$5*10</f>
        <v>4.5284856707150825</v>
      </c>
      <c r="U229" s="253">
        <f>_xlfn.XLOOKUP(FMS_Ranking4[[#This Row],[FMS ID]],FMS_Input[FMS_ID],FMS_Input[CRITFAC100])</f>
        <v>2</v>
      </c>
      <c r="V229" s="259">
        <f>(ASINH(FMS_Ranking4[[#This Row],[Critical Facilities Raw]]))*(10)/(ASINH(U$4))</f>
        <v>1.7089239049208753</v>
      </c>
      <c r="W229" s="256">
        <f>FMS_Ranking4[[#This Row],[Critical facilities at risk, ArcSinh (0-10)]]*U$5*10</f>
        <v>1.7089239049208755</v>
      </c>
      <c r="X229" s="253">
        <f>_xlfn.XLOOKUP(FMS_Ranking4[[#This Row],[FMS ID]],FMS_Input[FMS_ID],FMS_Input[LWC])</f>
        <v>1</v>
      </c>
      <c r="Y229" s="259">
        <f>(ASINH(FMS_Ranking4[[#This Row],[LWC Raw]]))*(10)/(ASINH(X$4))</f>
        <v>1.1940300948531093</v>
      </c>
      <c r="Z229" s="256">
        <f>FMS_Ranking4[[#This Row],[LWC, ArcSInh (0-10)]]*X$5*10</f>
        <v>1.1940300948531093</v>
      </c>
      <c r="AA229" s="253">
        <f>_xlfn.XLOOKUP(FMS_Ranking4[[#This Row],[FMS ID]],FMS_Input[FMS_ID],FMS_Input[ROADCLS])</f>
        <v>0</v>
      </c>
      <c r="AB229" s="255">
        <f>(ASINH(FMS_Ranking4[[#This Row],[Road Closures Raw]]))*(10)/(ASINH(AA$4))</f>
        <v>0</v>
      </c>
      <c r="AC229" s="256">
        <f>FMS_Ranking4[[#This Row],[Road closures, ArcSinh (0-10)]]*AA$5*10</f>
        <v>0</v>
      </c>
      <c r="AD229" s="253">
        <f>_xlfn.XLOOKUP(FMS_Ranking4[[#This Row],[FMS ID]],FMS_Input[FMS_ID],FMS_Input[ROAD_MILES100])</f>
        <v>10</v>
      </c>
      <c r="AE229" s="259">
        <f>(ASINH(FMS_Ranking4[[#This Row],[Road Miles Raw]]))*(10)/(ASINH(AD$4))</f>
        <v>3.1952807811982975</v>
      </c>
      <c r="AF229" s="256">
        <f>FMS_Ranking4[[#This Row],[Length of roads at risk, ArcSinh (0-10)]]*AD$5*10</f>
        <v>3.1952807811982975</v>
      </c>
      <c r="AG229" s="253">
        <f>_xlfn.XLOOKUP(FMS_Ranking4[[#This Row],[FMS ID]],FMS_Input[FMS_ID],FMS_Input[FARMACRE100])</f>
        <v>37.864822387695313</v>
      </c>
      <c r="AH229" s="255">
        <f>(ASINH(FMS_Ranking4[[#This Row],[Ag Land Raw]]))*(10)/(ASINH(AG$4))</f>
        <v>2.8109624837604201</v>
      </c>
      <c r="AI229" s="260">
        <f>FMS_Ranking4[[#This Row],[Farm &amp; ranch land, ArcSinh (0-10)]]*AG$5*10</f>
        <v>1.4054812418802101</v>
      </c>
      <c r="AJ229" s="258">
        <f>_xlfn.XLOOKUP(FMS_Ranking4[[#This Row],[FMS ID]],FMS_Input[FMS_ID],FMS_Input[REDSTRUCT100])</f>
        <v>36</v>
      </c>
      <c r="AK229" s="253">
        <f>_xlfn.XLOOKUP(FMS_Ranking4[[#This Row],[FMS ID]],FMS_Input[FMS_ID],FMS_Input[REMSTRC100])</f>
        <v>36</v>
      </c>
      <c r="AL229" s="259">
        <f>(ASINH(FMS_Ranking4[[#This Row],[Structures Removed Raw]]))*(10)/(ASINH(AK$4))</f>
        <v>4.8695092159225162</v>
      </c>
      <c r="AM229" s="262">
        <f>FMS_Ranking4[[#This Row],[Structures removed, ArcSinh (0-10)]]*AK$5*10</f>
        <v>4.8695092159225162</v>
      </c>
      <c r="AN229" s="253">
        <f>_xlfn.XLOOKUP(FMS_Ranking4[[#This Row],[FMS ID]],FMS_Input[FMS_ID],FMS_Input[REMRESSTRC100])</f>
        <v>23</v>
      </c>
      <c r="AO229" s="261">
        <f>FMS_Ranking4[[#This Row],[ArcSinh Res struct removed 0-10]]*AN$5*10</f>
        <v>2.2458765009154815</v>
      </c>
      <c r="AP229" s="260">
        <f>ASINH(FMS_Ranking4[[#This Row],[Residential Structures Removed Raw]])/AP$4*AN$5*100</f>
        <v>2.245876500915482</v>
      </c>
      <c r="AQ229" s="254">
        <f>(ASINH(FMS_Ranking4[[#This Row],[Residential Structures Removed Raw]]))*(10)/(ASINH(AN$4))</f>
        <v>4.4917530018309622</v>
      </c>
      <c r="AR229" s="253">
        <f>_xlfn.XLOOKUP(FMS_Ranking4[[#This Row],[FMS ID]],FMS_Input[FMS_ID],FMS_Input[REMPOP100])</f>
        <v>109</v>
      </c>
      <c r="AS229" s="259">
        <f>(ASINH(FMS_Ranking4[[#This Row],[Removed Pop Raw]]))*(10)/(ASINH(AR$4))</f>
        <v>5.2855510823936775</v>
      </c>
      <c r="AT229" s="262">
        <f>FMS_Ranking4[[#This Row],[Removed population, ArcSinh (0-10)]]*AR$5*10</f>
        <v>5.2855510823936775</v>
      </c>
      <c r="AU229" s="264">
        <f>_xlfn.XLOOKUP(FMS_Ranking4[[#This Row],[FMS ID]],FMS_Input[FMS_ID],FMS_Input[REMCRITFAC100])</f>
        <v>0</v>
      </c>
      <c r="AV229" s="264">
        <f>_xlfn.XLOOKUP(FMS_Ranking4[[#This Row],[FMS ID]],FMS_Input[FMS_ID],FMS_Input[REMLWC100])</f>
        <v>0</v>
      </c>
      <c r="AW229" s="264">
        <f>_xlfn.XLOOKUP(FMS_Ranking4[[#This Row],[FMS ID]],FMS_Input[FMS_ID],FMS_Input[REMROADCLS])</f>
        <v>0</v>
      </c>
      <c r="AX229" s="264">
        <f>_xlfn.XLOOKUP(FMS_Ranking4[[#This Row],[FMS ID]],FMS_Input[FMS_ID],FMS_Input[REMFRMACRE100])</f>
        <v>9.4662055969238281</v>
      </c>
      <c r="AY229" s="258">
        <f>_xlfn.XLOOKUP(FMS_Ranking4[[#This Row],[FMS ID]],FMS_Input[FMS_ID],FMS_Input[COSTSTRUCT])</f>
        <v>25000</v>
      </c>
      <c r="AZ229" s="253">
        <f>_xlfn.XLOOKUP(FMS_Ranking4[[#This Row],[FMS ID]],FMS_Input[FMS_ID],FMS_Input[NATURE])</f>
        <v>0</v>
      </c>
      <c r="BA229" s="262">
        <f>(((FMS_Ranking4[[#This Row],[% NBS Raw]]/AZ$4)*100)*AZ$5)</f>
        <v>0</v>
      </c>
      <c r="BB229" s="251" t="str">
        <f>_xlfn.XLOOKUP(FMS_Ranking4[[#This Row],[FMS ID]],FMS_Input[FMS_ID],FMS_Input[WATER_SUP])</f>
        <v>No</v>
      </c>
      <c r="BC229" s="265">
        <f>IF(FMS_Ranking4[[#This Row],[Water Supply Raw]]="Yes",10,0)</f>
        <v>0</v>
      </c>
      <c r="BD229" s="266">
        <f>_xlfn.XLOOKUP(FMS_Ranking4[[#This Row],[FMS Type]],FMS_TYPE[FMS_Type],FMS_TYPE[Score])</f>
        <v>2</v>
      </c>
      <c r="BE229" s="267">
        <f>FMS_Ranking4[[#This Row],[FMS_Type Score]]*$BD$5*10</f>
        <v>0.5</v>
      </c>
      <c r="BF22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5.0096453639508452E-2</v>
      </c>
      <c r="BG229" s="271">
        <f>_xlfn.RANK.EQ(BF229,$BF$8:$BF$870,0)+COUNTIF($BF$8:BF229,BF229)-1</f>
        <v>566</v>
      </c>
      <c r="BH229" s="268">
        <f>(((FMS_Ranking4[[#This Row],[Structures Removed Raw]]/AK$4)*100)*AK$5)+(((FMS_Ranking4[[#This Row],[Removed Pop Raw]]/AR$4)*100)*AR$5)</f>
        <v>0.19246771729913875</v>
      </c>
      <c r="BI22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0.74256417093864724</v>
      </c>
      <c r="BJ229" s="205">
        <f>_xlfn.RANK.EQ(FMS_Ranking4[[#This Row],[Total Score 
(with linear
normalization)]],FMS_Ranking4[Total Score 
(with linear
normalization)],0)</f>
        <v>789</v>
      </c>
      <c r="BK229" s="205" t="e">
        <f>_xlfn.XLOOKUP(FMS_Ranking4[[#This Row],[FMS ID]],#REF!,#REF!)</f>
        <v>#REF!</v>
      </c>
      <c r="BL22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28.879599807725221</v>
      </c>
      <c r="BM229" s="272">
        <f>FMS_Ranking4[[#This Row],[ArcSinh Score Based on Normalized Reported Factors]]+FMS_Ranking4[[#This Row],[% NBS Score (Normalized)]]+(FMS_Ranking4[[#This Row],[Water Supply Score (Normalized)]]*10*$BB$5)+FMS_Ranking4[[#This Row],[FMS_Type Score Weighted]]</f>
        <v>29.379599807725221</v>
      </c>
      <c r="BN229" s="205">
        <f>_xlfn.RANK.EQ(FMS_Ranking4[[#This Row],[Total Score (with ArcSinh normalization of select criteria)]],FMS_Ranking4[Total Score (with ArcSinh normalization of select criteria)],0)</f>
        <v>222</v>
      </c>
      <c r="BO229" s="270" t="str">
        <f>_xlfn.XLOOKUP(FMS_Ranking4[[#This Row],[FMS ID]],FMS_Input[FMS_ID],FMS_Input[FMS_RANK_YEAR])</f>
        <v>2023 Amended Plan</v>
      </c>
      <c r="BP229" s="204">
        <f>_xlfn.XLOOKUP(FMS_Ranking4[[#This Row],[FMS ID]],Prev_Rank[FMS ID],Prev_Rank[Prev Rank])</f>
        <v>219</v>
      </c>
      <c r="BQ229" s="205" t="e">
        <f>_xlfn.XLOOKUP(FMS_Ranking4[[#This Row],[FMS ID]],#REF!,#REF!)</f>
        <v>#REF!</v>
      </c>
      <c r="BR229" s="199" t="e">
        <f>SUM(#REF!,#REF!,#REF!,#REF!,#REF!,#REF!,#REF!,#REF!,#REF!,FMS_Ranking4[[#This Row],[ArcSinh Res struct removed 0-10]],#REF!)</f>
        <v>#REF!</v>
      </c>
      <c r="BS229" s="199" t="e">
        <f>FMS_Ranking4[[#This Row],[Log Score Based on Normalized Reported Factors]]+FMS_Ranking4[[#This Row],[% NBS Score (Normalized)]]+(FMS_Ranking4[[#This Row],[Water Supply Score (Normalized)]]*10*$BB$5)+(FMS_Ranking4[[#This Row],[FMS_Type Score Weighted]])</f>
        <v>#REF!</v>
      </c>
      <c r="BT229" s="200" t="e">
        <f>_xlfn.RANK.EQ(FMS_Ranking4[[#This Row],[Log Total Score]],FMS_Ranking4[Log Total Score],0)</f>
        <v>#REF!</v>
      </c>
      <c r="BU229" s="200" t="e">
        <f>_xlfn.XLOOKUP(FMS_Ranking4[[#This Row],[FMS ID]],#REF!,#REF!)</f>
        <v>#REF!</v>
      </c>
      <c r="BV229" s="200">
        <f>FMS_Ranking4[[#This Row],[Region Number]]</f>
        <v>9</v>
      </c>
      <c r="BW229" s="200">
        <f>FMS_Ranking4[[#This Row],[Rank (with ArcSinh normalization of select criteria)]]-FMS_Ranking4[[#This Row],[Rank
(with linear
normalization)]]</f>
        <v>-567</v>
      </c>
      <c r="BX229" s="200" t="e">
        <f>FMS_Ranking4[[#This Row],[Log Rank]]-FMS_Ranking4[[#This Row],[Rank
(with linear
normalization)]]</f>
        <v>#REF!</v>
      </c>
      <c r="BY229" s="200" t="str">
        <f>IF(FMS_Ranking4[[#This Row],[FMS Type]]="Flood Measurement and Warning",FMS_Ranking4[[#This Row],[Rank (with ArcSinh normalization of select criteria)]],"")</f>
        <v/>
      </c>
      <c r="BZ229" s="200" t="str">
        <f>IF(FMS_Ranking4[[#This Row],[FMS Type]]="Regulatory and Guidance",FMS_Ranking4[[#This Row],[Rank (with ArcSinh normalization of select criteria)]],"")</f>
        <v/>
      </c>
      <c r="CA229" s="200" t="str">
        <f>IF(FMS_Ranking4[[#This Row],[FMS Type]]="Education and Outreach",FMS_Ranking4[[#This Row],[Rank (with ArcSinh normalization of select criteria)]],"")</f>
        <v/>
      </c>
      <c r="CB229" s="200" t="str">
        <f>IF(FMS_Ranking4[[#This Row],[FMS Type]]="Property Acquisition and Structural Elevation",FMS_Ranking4[[#This Row],[Rank (with ArcSinh normalization of select criteria)]],"")</f>
        <v/>
      </c>
      <c r="CC229" s="200" t="str">
        <f>IF(FMS_Ranking4[[#This Row],[FMS Type]]="Infrastructure Projects",FMS_Ranking4[[#This Row],[Rank (with ArcSinh normalization of select criteria)]],"")</f>
        <v/>
      </c>
      <c r="CD229" s="200">
        <f>IF(FMS_Ranking4[[#This Row],[FMS Type]]="Other",FMS_Ranking4[[#This Row],[Rank (with ArcSinh normalization of select criteria)]],"")</f>
        <v>222</v>
      </c>
      <c r="CE229" s="201"/>
      <c r="CF229" s="206"/>
      <c r="CG229" s="206"/>
      <c r="CH229" s="206"/>
      <c r="CI229" s="206"/>
      <c r="CJ229" s="206"/>
      <c r="CK229" s="206"/>
      <c r="CL229" s="206"/>
      <c r="CM229" s="206"/>
      <c r="CN229" s="206"/>
      <c r="CO229" s="206"/>
      <c r="CP229" s="206"/>
      <c r="CQ229" s="206"/>
      <c r="CR229" s="206"/>
    </row>
    <row r="230" spans="2:96" ht="60" x14ac:dyDescent="0.25">
      <c r="B230" s="341" t="s">
        <v>413</v>
      </c>
      <c r="C230" s="246">
        <f>_xlfn.XLOOKUP(FMS_Ranking4[[#This Row],[FMS ID]],FMS_Input[FMS_ID],FMS_Input[RFPG_NUM])</f>
        <v>9</v>
      </c>
      <c r="D230" s="309" t="str">
        <f>_xlfn.XLOOKUP(FMS_Ranking4[[#This Row],[FMS ID]],FMS_Input[FMS_ID],FMS_Input[FMS_NAME])</f>
        <v>Colorado City Ordinance Update SFHA regulation</v>
      </c>
      <c r="E230" s="308" t="str">
        <f>_xlfn.XLOOKUP(FMS_Ranking4[[#This Row],[FMS ID]],FMS_Input[FMS_ID],FMS_Input[SPONSOR])</f>
        <v>00000172</v>
      </c>
      <c r="F230" s="309" t="str">
        <f>_xlfn.XLOOKUP(FMS_Ranking4[[#This Row],[FMS ID]],Sponsor[FMS_ID],Sponsor[SPONSOR NAME])</f>
        <v>Mitchell</v>
      </c>
      <c r="G230" s="309" t="str">
        <f>_xlfn.XLOOKUP(FMS_Ranking4[[#This Row],[FMS ID]],FMS_Input[FMS_ID],FMS_Input[FMS_DESCR])</f>
        <v>Increase freeboard requirements for permitting structures in the SFHA; Adopt no-rise in BFE</v>
      </c>
      <c r="H230" s="248" t="str">
        <f>_xlfn.XLOOKUP(FMS_Ranking4[[#This Row],[FMS ID]],FMS_Input[FMS_ID],FMS_Input[FMS_TYPE])</f>
        <v>Other</v>
      </c>
      <c r="I230" s="249">
        <f>_xlfn.XLOOKUP(FMS_Ranking4[[#This Row],[FMS ID]],FMS_Input[FMS_ID],FMS_Input[NRNC_COST])</f>
        <v>5000</v>
      </c>
      <c r="J230" s="250">
        <f>_xlfn.XLOOKUP(FMS_Ranking4[[#This Row],[FMS ID]],FMS_Input[FMS_ID],FMS_Input[FMS_COST])</f>
        <v>30000</v>
      </c>
      <c r="K230" s="251" t="str">
        <f>_xlfn.XLOOKUP(FMS_Ranking4[[#This Row],[FMS ID]],FMS_Input[FMS_ID],FMS_Input[EMER_NEED])</f>
        <v>No</v>
      </c>
      <c r="L230" s="252">
        <f t="shared" si="3"/>
        <v>0</v>
      </c>
      <c r="M230" s="253">
        <f>_xlfn.XLOOKUP(FMS_Ranking4[[#This Row],[FMS ID]],FMS_Input[FMS_ID],FMS_Input[STRUCT_100])</f>
        <v>143</v>
      </c>
      <c r="N230" s="255">
        <f>(ASINH(FMS_Ranking4[[#This Row],[Structure at Risk Raw]]))*(10)/(ASINH(M$4))</f>
        <v>4.4464613149259664</v>
      </c>
      <c r="O230" s="256">
        <f>FMS_Ranking4[[#This Row],[Structures at risk, ArcSinh (0-10)]]*M$5*10</f>
        <v>4.4464613149259673</v>
      </c>
      <c r="P230" s="253">
        <f>_xlfn.XLOOKUP(FMS_Ranking4[[#This Row],[FMS ID]],FMS_Input[FMS_ID],FMS_Input[RES_STRUCT100])</f>
        <v>93</v>
      </c>
      <c r="Q230" s="257">
        <f>ASINH(FMS_Ranking4[[#This Row],[Res Structure Raw]])/Q$4*P$5*100</f>
        <v>0</v>
      </c>
      <c r="R230" s="253">
        <f>_xlfn.XLOOKUP(FMS_Ranking4[[#This Row],[FMS ID]],FMS_Input[FMS_ID],FMS_Input[POP100])</f>
        <v>353</v>
      </c>
      <c r="S230" s="259">
        <f>(ASINH(FMS_Ranking4[[#This Row],[Pop at Risk Raw]]))*(10)/(ASINH(R$4))</f>
        <v>4.5284856707150825</v>
      </c>
      <c r="T230" s="256">
        <f>FMS_Ranking4[[#This Row],[Population at risk, ArcSinh (0-10)]]*R$5*10</f>
        <v>4.5284856707150825</v>
      </c>
      <c r="U230" s="253">
        <f>_xlfn.XLOOKUP(FMS_Ranking4[[#This Row],[FMS ID]],FMS_Input[FMS_ID],FMS_Input[CRITFAC100])</f>
        <v>2</v>
      </c>
      <c r="V230" s="259">
        <f>(ASINH(FMS_Ranking4[[#This Row],[Critical Facilities Raw]]))*(10)/(ASINH(U$4))</f>
        <v>1.7089239049208753</v>
      </c>
      <c r="W230" s="256">
        <f>FMS_Ranking4[[#This Row],[Critical facilities at risk, ArcSinh (0-10)]]*U$5*10</f>
        <v>1.7089239049208755</v>
      </c>
      <c r="X230" s="253">
        <f>_xlfn.XLOOKUP(FMS_Ranking4[[#This Row],[FMS ID]],FMS_Input[FMS_ID],FMS_Input[LWC])</f>
        <v>1</v>
      </c>
      <c r="Y230" s="259">
        <f>(ASINH(FMS_Ranking4[[#This Row],[LWC Raw]]))*(10)/(ASINH(X$4))</f>
        <v>1.1940300948531093</v>
      </c>
      <c r="Z230" s="256">
        <f>FMS_Ranking4[[#This Row],[LWC, ArcSInh (0-10)]]*X$5*10</f>
        <v>1.1940300948531093</v>
      </c>
      <c r="AA230" s="253">
        <f>_xlfn.XLOOKUP(FMS_Ranking4[[#This Row],[FMS ID]],FMS_Input[FMS_ID],FMS_Input[ROADCLS])</f>
        <v>0</v>
      </c>
      <c r="AB230" s="255">
        <f>(ASINH(FMS_Ranking4[[#This Row],[Road Closures Raw]]))*(10)/(ASINH(AA$4))</f>
        <v>0</v>
      </c>
      <c r="AC230" s="256">
        <f>FMS_Ranking4[[#This Row],[Road closures, ArcSinh (0-10)]]*AA$5*10</f>
        <v>0</v>
      </c>
      <c r="AD230" s="253">
        <f>_xlfn.XLOOKUP(FMS_Ranking4[[#This Row],[FMS ID]],FMS_Input[FMS_ID],FMS_Input[ROAD_MILES100])</f>
        <v>10</v>
      </c>
      <c r="AE230" s="259">
        <f>(ASINH(FMS_Ranking4[[#This Row],[Road Miles Raw]]))*(10)/(ASINH(AD$4))</f>
        <v>3.1952807811982975</v>
      </c>
      <c r="AF230" s="256">
        <f>FMS_Ranking4[[#This Row],[Length of roads at risk, ArcSinh (0-10)]]*AD$5*10</f>
        <v>3.1952807811982975</v>
      </c>
      <c r="AG230" s="253">
        <f>_xlfn.XLOOKUP(FMS_Ranking4[[#This Row],[FMS ID]],FMS_Input[FMS_ID],FMS_Input[FARMACRE100])</f>
        <v>37.864822387695313</v>
      </c>
      <c r="AH230" s="255">
        <f>(ASINH(FMS_Ranking4[[#This Row],[Ag Land Raw]]))*(10)/(ASINH(AG$4))</f>
        <v>2.8109624837604201</v>
      </c>
      <c r="AI230" s="260">
        <f>FMS_Ranking4[[#This Row],[Farm &amp; ranch land, ArcSinh (0-10)]]*AG$5*10</f>
        <v>1.4054812418802101</v>
      </c>
      <c r="AJ230" s="258">
        <f>_xlfn.XLOOKUP(FMS_Ranking4[[#This Row],[FMS ID]],FMS_Input[FMS_ID],FMS_Input[REDSTRUCT100])</f>
        <v>36</v>
      </c>
      <c r="AK230" s="253">
        <f>_xlfn.XLOOKUP(FMS_Ranking4[[#This Row],[FMS ID]],FMS_Input[FMS_ID],FMS_Input[REMSTRC100])</f>
        <v>36</v>
      </c>
      <c r="AL230" s="259">
        <f>(ASINH(FMS_Ranking4[[#This Row],[Structures Removed Raw]]))*(10)/(ASINH(AK$4))</f>
        <v>4.8695092159225162</v>
      </c>
      <c r="AM230" s="262">
        <f>FMS_Ranking4[[#This Row],[Structures removed, ArcSinh (0-10)]]*AK$5*10</f>
        <v>4.8695092159225162</v>
      </c>
      <c r="AN230" s="253">
        <f>_xlfn.XLOOKUP(FMS_Ranking4[[#This Row],[FMS ID]],FMS_Input[FMS_ID],FMS_Input[REMRESSTRC100])</f>
        <v>23</v>
      </c>
      <c r="AO230" s="261">
        <f>FMS_Ranking4[[#This Row],[ArcSinh Res struct removed 0-10]]*AN$5*10</f>
        <v>2.2458765009154815</v>
      </c>
      <c r="AP230" s="260">
        <f>ASINH(FMS_Ranking4[[#This Row],[Residential Structures Removed Raw]])/AP$4*AN$5*100</f>
        <v>2.245876500915482</v>
      </c>
      <c r="AQ230" s="254">
        <f>(ASINH(FMS_Ranking4[[#This Row],[Residential Structures Removed Raw]]))*(10)/(ASINH(AN$4))</f>
        <v>4.4917530018309622</v>
      </c>
      <c r="AR230" s="253">
        <f>_xlfn.XLOOKUP(FMS_Ranking4[[#This Row],[FMS ID]],FMS_Input[FMS_ID],FMS_Input[REMPOP100])</f>
        <v>109</v>
      </c>
      <c r="AS230" s="259">
        <f>(ASINH(FMS_Ranking4[[#This Row],[Removed Pop Raw]]))*(10)/(ASINH(AR$4))</f>
        <v>5.2855510823936775</v>
      </c>
      <c r="AT230" s="262">
        <f>FMS_Ranking4[[#This Row],[Removed population, ArcSinh (0-10)]]*AR$5*10</f>
        <v>5.2855510823936775</v>
      </c>
      <c r="AU230" s="264">
        <f>_xlfn.XLOOKUP(FMS_Ranking4[[#This Row],[FMS ID]],FMS_Input[FMS_ID],FMS_Input[REMCRITFAC100])</f>
        <v>0</v>
      </c>
      <c r="AV230" s="264">
        <f>_xlfn.XLOOKUP(FMS_Ranking4[[#This Row],[FMS ID]],FMS_Input[FMS_ID],FMS_Input[REMLWC100])</f>
        <v>0</v>
      </c>
      <c r="AW230" s="264">
        <f>_xlfn.XLOOKUP(FMS_Ranking4[[#This Row],[FMS ID]],FMS_Input[FMS_ID],FMS_Input[REMROADCLS])</f>
        <v>0</v>
      </c>
      <c r="AX230" s="264">
        <f>_xlfn.XLOOKUP(FMS_Ranking4[[#This Row],[FMS ID]],FMS_Input[FMS_ID],FMS_Input[REMFRMACRE100])</f>
        <v>9.4662055969238281</v>
      </c>
      <c r="AY230" s="258">
        <f>_xlfn.XLOOKUP(FMS_Ranking4[[#This Row],[FMS ID]],FMS_Input[FMS_ID],FMS_Input[COSTSTRUCT])</f>
        <v>25000</v>
      </c>
      <c r="AZ230" s="253">
        <f>_xlfn.XLOOKUP(FMS_Ranking4[[#This Row],[FMS ID]],FMS_Input[FMS_ID],FMS_Input[NATURE])</f>
        <v>0</v>
      </c>
      <c r="BA230" s="262">
        <f>(((FMS_Ranking4[[#This Row],[% NBS Raw]]/AZ$4)*100)*AZ$5)</f>
        <v>0</v>
      </c>
      <c r="BB230" s="251" t="str">
        <f>_xlfn.XLOOKUP(FMS_Ranking4[[#This Row],[FMS ID]],FMS_Input[FMS_ID],FMS_Input[WATER_SUP])</f>
        <v>No</v>
      </c>
      <c r="BC230" s="265">
        <f>IF(FMS_Ranking4[[#This Row],[Water Supply Raw]]="Yes",10,0)</f>
        <v>0</v>
      </c>
      <c r="BD230" s="266">
        <f>_xlfn.XLOOKUP(FMS_Ranking4[[#This Row],[FMS Type]],FMS_TYPE[FMS_Type],FMS_TYPE[Score])</f>
        <v>2</v>
      </c>
      <c r="BE230" s="267">
        <f>FMS_Ranking4[[#This Row],[FMS_Type Score]]*$BD$5*10</f>
        <v>0.5</v>
      </c>
      <c r="BF23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5.0096453639508452E-2</v>
      </c>
      <c r="BG230" s="271">
        <f>_xlfn.RANK.EQ(BF230,$BF$8:$BF$870,0)+COUNTIF($BF$8:BF230,BF230)-1</f>
        <v>567</v>
      </c>
      <c r="BH230" s="268">
        <f>(((FMS_Ranking4[[#This Row],[Structures Removed Raw]]/AK$4)*100)*AK$5)+(((FMS_Ranking4[[#This Row],[Removed Pop Raw]]/AR$4)*100)*AR$5)</f>
        <v>0.19246771729913875</v>
      </c>
      <c r="BI23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0.74256417093864724</v>
      </c>
      <c r="BJ230" s="205">
        <f>_xlfn.RANK.EQ(FMS_Ranking4[[#This Row],[Total Score 
(with linear
normalization)]],FMS_Ranking4[Total Score 
(with linear
normalization)],0)</f>
        <v>789</v>
      </c>
      <c r="BK230" s="205" t="e">
        <f>_xlfn.XLOOKUP(FMS_Ranking4[[#This Row],[FMS ID]],#REF!,#REF!)</f>
        <v>#REF!</v>
      </c>
      <c r="BL23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28.879599807725221</v>
      </c>
      <c r="BM230" s="272">
        <f>FMS_Ranking4[[#This Row],[ArcSinh Score Based on Normalized Reported Factors]]+FMS_Ranking4[[#This Row],[% NBS Score (Normalized)]]+(FMS_Ranking4[[#This Row],[Water Supply Score (Normalized)]]*10*$BB$5)+FMS_Ranking4[[#This Row],[FMS_Type Score Weighted]]</f>
        <v>29.379599807725221</v>
      </c>
      <c r="BN230" s="205">
        <f>_xlfn.RANK.EQ(FMS_Ranking4[[#This Row],[Total Score (with ArcSinh normalization of select criteria)]],FMS_Ranking4[Total Score (with ArcSinh normalization of select criteria)],0)</f>
        <v>222</v>
      </c>
      <c r="BO230" s="270" t="str">
        <f>_xlfn.XLOOKUP(FMS_Ranking4[[#This Row],[FMS ID]],FMS_Input[FMS_ID],FMS_Input[FMS_RANK_YEAR])</f>
        <v>2023 Amended Plan</v>
      </c>
      <c r="BP230" s="204">
        <f>_xlfn.XLOOKUP(FMS_Ranking4[[#This Row],[FMS ID]],Prev_Rank[FMS ID],Prev_Rank[Prev Rank])</f>
        <v>219</v>
      </c>
      <c r="BQ230" s="205" t="e">
        <f>_xlfn.XLOOKUP(FMS_Ranking4[[#This Row],[FMS ID]],#REF!,#REF!)</f>
        <v>#REF!</v>
      </c>
      <c r="BR230" s="199" t="e">
        <f>SUM(#REF!,#REF!,#REF!,#REF!,#REF!,#REF!,#REF!,#REF!,#REF!,FMS_Ranking4[[#This Row],[ArcSinh Res struct removed 0-10]],#REF!)</f>
        <v>#REF!</v>
      </c>
      <c r="BS230" s="199" t="e">
        <f>FMS_Ranking4[[#This Row],[Log Score Based on Normalized Reported Factors]]+FMS_Ranking4[[#This Row],[% NBS Score (Normalized)]]+(FMS_Ranking4[[#This Row],[Water Supply Score (Normalized)]]*10*$BB$5)+(FMS_Ranking4[[#This Row],[FMS_Type Score Weighted]])</f>
        <v>#REF!</v>
      </c>
      <c r="BT230" s="200" t="e">
        <f>_xlfn.RANK.EQ(FMS_Ranking4[[#This Row],[Log Total Score]],FMS_Ranking4[Log Total Score],0)</f>
        <v>#REF!</v>
      </c>
      <c r="BU230" s="200" t="e">
        <f>_xlfn.XLOOKUP(FMS_Ranking4[[#This Row],[FMS ID]],#REF!,#REF!)</f>
        <v>#REF!</v>
      </c>
      <c r="BV230" s="200">
        <f>FMS_Ranking4[[#This Row],[Region Number]]</f>
        <v>9</v>
      </c>
      <c r="BW230" s="200">
        <f>FMS_Ranking4[[#This Row],[Rank (with ArcSinh normalization of select criteria)]]-FMS_Ranking4[[#This Row],[Rank
(with linear
normalization)]]</f>
        <v>-567</v>
      </c>
      <c r="BX230" s="200" t="e">
        <f>FMS_Ranking4[[#This Row],[Log Rank]]-FMS_Ranking4[[#This Row],[Rank
(with linear
normalization)]]</f>
        <v>#REF!</v>
      </c>
      <c r="BY230" s="200" t="str">
        <f>IF(FMS_Ranking4[[#This Row],[FMS Type]]="Flood Measurement and Warning",FMS_Ranking4[[#This Row],[Rank (with ArcSinh normalization of select criteria)]],"")</f>
        <v/>
      </c>
      <c r="BZ230" s="200" t="str">
        <f>IF(FMS_Ranking4[[#This Row],[FMS Type]]="Regulatory and Guidance",FMS_Ranking4[[#This Row],[Rank (with ArcSinh normalization of select criteria)]],"")</f>
        <v/>
      </c>
      <c r="CA230" s="200" t="str">
        <f>IF(FMS_Ranking4[[#This Row],[FMS Type]]="Education and Outreach",FMS_Ranking4[[#This Row],[Rank (with ArcSinh normalization of select criteria)]],"")</f>
        <v/>
      </c>
      <c r="CB230" s="200" t="str">
        <f>IF(FMS_Ranking4[[#This Row],[FMS Type]]="Property Acquisition and Structural Elevation",FMS_Ranking4[[#This Row],[Rank (with ArcSinh normalization of select criteria)]],"")</f>
        <v/>
      </c>
      <c r="CC230" s="200" t="str">
        <f>IF(FMS_Ranking4[[#This Row],[FMS Type]]="Infrastructure Projects",FMS_Ranking4[[#This Row],[Rank (with ArcSinh normalization of select criteria)]],"")</f>
        <v/>
      </c>
      <c r="CD230" s="200">
        <f>IF(FMS_Ranking4[[#This Row],[FMS Type]]="Other",FMS_Ranking4[[#This Row],[Rank (with ArcSinh normalization of select criteria)]],"")</f>
        <v>222</v>
      </c>
      <c r="CE230" s="201"/>
      <c r="CF230" s="206"/>
      <c r="CG230" s="206"/>
      <c r="CH230" s="206"/>
      <c r="CI230" s="206"/>
      <c r="CJ230" s="206"/>
      <c r="CK230" s="206"/>
      <c r="CL230" s="206"/>
      <c r="CM230" s="206"/>
      <c r="CN230" s="206"/>
      <c r="CO230" s="206"/>
      <c r="CP230" s="206"/>
      <c r="CQ230" s="206"/>
      <c r="CR230" s="206"/>
    </row>
    <row r="231" spans="2:96" ht="120" x14ac:dyDescent="0.25">
      <c r="B231" s="341" t="s">
        <v>3500</v>
      </c>
      <c r="C231" s="246">
        <f>_xlfn.XLOOKUP(FMS_Ranking4[[#This Row],[FMS ID]],FMS_Input[FMS_ID],FMS_Input[RFPG_NUM])</f>
        <v>12</v>
      </c>
      <c r="D231" s="309" t="str">
        <f>_xlfn.XLOOKUP(FMS_Ranking4[[#This Row],[FMS ID]],FMS_Input[FMS_ID],FMS_Input[FMS_NAME])</f>
        <v>Automatic low water crossings and gauges</v>
      </c>
      <c r="E231" s="308" t="str">
        <f>_xlfn.XLOOKUP(FMS_Ranking4[[#This Row],[FMS ID]],FMS_Input[FMS_ID],FMS_Input[SPONSOR])</f>
        <v>00000017</v>
      </c>
      <c r="F231" s="309" t="str">
        <f>_xlfn.XLOOKUP(FMS_Ranking4[[#This Row],[FMS ID]],Sponsor[FMS_ID],Sponsor[SPONSOR NAME])</f>
        <v>Kendall</v>
      </c>
      <c r="G231" s="309" t="str">
        <f>_xlfn.XLOOKUP(FMS_Ranking4[[#This Row],[FMS ID]],FMS_Input[FMS_ID],FMS_Input[FMS_DESCR])</f>
        <v xml:space="preserve">Add automatic low water crossings and gauges at various locations, providing real time flood information to the region.  This would include development of a plan to identify locations, followed by installation. </v>
      </c>
      <c r="H231" s="248" t="str">
        <f>_xlfn.XLOOKUP(FMS_Ranking4[[#This Row],[FMS ID]],FMS_Input[FMS_ID],FMS_Input[FMS_TYPE])</f>
        <v>Flood Measurement and Warning</v>
      </c>
      <c r="I231" s="249">
        <f>_xlfn.XLOOKUP(FMS_Ranking4[[#This Row],[FMS ID]],FMS_Input[FMS_ID],FMS_Input[NRNC_COST])</f>
        <v>100000</v>
      </c>
      <c r="J231" s="250">
        <f>_xlfn.XLOOKUP(FMS_Ranking4[[#This Row],[FMS ID]],FMS_Input[FMS_ID],FMS_Input[FMS_COST])</f>
        <v>100000</v>
      </c>
      <c r="K231" s="251" t="str">
        <f>_xlfn.XLOOKUP(FMS_Ranking4[[#This Row],[FMS ID]],FMS_Input[FMS_ID],FMS_Input[EMER_NEED])</f>
        <v>Yes</v>
      </c>
      <c r="L231" s="252">
        <f t="shared" si="3"/>
        <v>1</v>
      </c>
      <c r="M231" s="253">
        <f>_xlfn.XLOOKUP(FMS_Ranking4[[#This Row],[FMS ID]],FMS_Input[FMS_ID],FMS_Input[STRUCT_100])</f>
        <v>628</v>
      </c>
      <c r="N231" s="255">
        <f>(ASINH(FMS_Ranking4[[#This Row],[Structure at Risk Raw]]))*(10)/(ASINH(M$4))</f>
        <v>5.6097132109319743</v>
      </c>
      <c r="O231" s="256">
        <f>FMS_Ranking4[[#This Row],[Structures at risk, ArcSinh (0-10)]]*M$5*10</f>
        <v>5.6097132109319752</v>
      </c>
      <c r="P231" s="253">
        <f>_xlfn.XLOOKUP(FMS_Ranking4[[#This Row],[FMS ID]],FMS_Input[FMS_ID],FMS_Input[RES_STRUCT100])</f>
        <v>398</v>
      </c>
      <c r="Q231" s="257">
        <f>ASINH(FMS_Ranking4[[#This Row],[Res Structure Raw]])/Q$4*P$5*100</f>
        <v>0</v>
      </c>
      <c r="R231" s="253">
        <f>_xlfn.XLOOKUP(FMS_Ranking4[[#This Row],[FMS ID]],FMS_Input[FMS_ID],FMS_Input[POP100])</f>
        <v>1812</v>
      </c>
      <c r="S231" s="255">
        <f>(ASINH(FMS_Ranking4[[#This Row],[Pop at Risk Raw]]))*(10)/(ASINH(R$4))</f>
        <v>5.6577159983795475</v>
      </c>
      <c r="T231" s="256">
        <f>FMS_Ranking4[[#This Row],[Population at risk, ArcSinh (0-10)]]*R$5*10</f>
        <v>5.6577159983795475</v>
      </c>
      <c r="U231" s="253">
        <f>_xlfn.XLOOKUP(FMS_Ranking4[[#This Row],[FMS ID]],FMS_Input[FMS_ID],FMS_Input[CRITFAC100])</f>
        <v>5</v>
      </c>
      <c r="V231" s="255">
        <f>(ASINH(FMS_Ranking4[[#This Row],[Critical Facilities Raw]]))*(10)/(ASINH(U$4))</f>
        <v>2.7373815814321909</v>
      </c>
      <c r="W231" s="256">
        <f>FMS_Ranking4[[#This Row],[Critical facilities at risk, ArcSinh (0-10)]]*U$5*10</f>
        <v>2.7373815814321913</v>
      </c>
      <c r="X231" s="253">
        <f>_xlfn.XLOOKUP(FMS_Ranking4[[#This Row],[FMS ID]],FMS_Input[FMS_ID],FMS_Input[LWC])</f>
        <v>21</v>
      </c>
      <c r="Y231" s="255">
        <f>(ASINH(FMS_Ranking4[[#This Row],[LWC Raw]]))*(10)/(ASINH(X$4))</f>
        <v>5.0643295732182274</v>
      </c>
      <c r="Z231" s="256">
        <f>FMS_Ranking4[[#This Row],[LWC, ArcSInh (0-10)]]*X$5*10</f>
        <v>5.0643295732182283</v>
      </c>
      <c r="AA231" s="253">
        <f>_xlfn.XLOOKUP(FMS_Ranking4[[#This Row],[FMS ID]],FMS_Input[FMS_ID],FMS_Input[ROADCLS])</f>
        <v>147</v>
      </c>
      <c r="AB231" s="255">
        <f>(ASINH(FMS_Ranking4[[#This Row],[Road Closures Raw]]))*(10)/(ASINH(AA$4))</f>
        <v>5.918938719126916</v>
      </c>
      <c r="AC231" s="256">
        <f>FMS_Ranking4[[#This Row],[Road closures, ArcSinh (0-10)]]*AA$5*10</f>
        <v>2.959469359563458</v>
      </c>
      <c r="AD231" s="253">
        <f>_xlfn.XLOOKUP(FMS_Ranking4[[#This Row],[FMS ID]],FMS_Input[FMS_ID],FMS_Input[ROAD_MILES100])</f>
        <v>12</v>
      </c>
      <c r="AE231" s="255">
        <f>(ASINH(FMS_Ranking4[[#This Row],[Road Miles Raw]]))*(10)/(ASINH(AD$4))</f>
        <v>3.3887764405268412</v>
      </c>
      <c r="AF231" s="256">
        <f>FMS_Ranking4[[#This Row],[Length of roads at risk, ArcSinh (0-10)]]*AD$5*10</f>
        <v>3.3887764405268417</v>
      </c>
      <c r="AG231" s="253">
        <f>_xlfn.XLOOKUP(FMS_Ranking4[[#This Row],[FMS ID]],FMS_Input[FMS_ID],FMS_Input[FARMACRE100])</f>
        <v>42.729999542236328</v>
      </c>
      <c r="AH231" s="255">
        <f>(ASINH(FMS_Ranking4[[#This Row],[Ag Land Raw]]))*(10)/(ASINH(AG$4))</f>
        <v>2.8894587518636228</v>
      </c>
      <c r="AI231" s="260">
        <f>FMS_Ranking4[[#This Row],[Farm &amp; ranch land, ArcSinh (0-10)]]*AG$5*10</f>
        <v>1.4447293759318114</v>
      </c>
      <c r="AJ231" s="258">
        <f>_xlfn.XLOOKUP(FMS_Ranking4[[#This Row],[FMS ID]],FMS_Input[FMS_ID],FMS_Input[REDSTRUCT100])</f>
        <v>0</v>
      </c>
      <c r="AK231" s="253">
        <f>_xlfn.XLOOKUP(FMS_Ranking4[[#This Row],[FMS ID]],FMS_Input[FMS_ID],FMS_Input[REMSTRC100])</f>
        <v>0</v>
      </c>
      <c r="AL231" s="255">
        <f>(ASINH(FMS_Ranking4[[#This Row],[Structures Removed Raw]]))*(10)/(ASINH(AK$4))</f>
        <v>0</v>
      </c>
      <c r="AM231" s="262">
        <f>FMS_Ranking4[[#This Row],[Structures removed, ArcSinh (0-10)]]*AK$5*10</f>
        <v>0</v>
      </c>
      <c r="AN231" s="253">
        <f>_xlfn.XLOOKUP(FMS_Ranking4[[#This Row],[FMS ID]],FMS_Input[FMS_ID],FMS_Input[REMRESSTRC100])</f>
        <v>0</v>
      </c>
      <c r="AO231" s="261">
        <f>FMS_Ranking4[[#This Row],[ArcSinh Res struct removed 0-10]]*AN$5*10</f>
        <v>0</v>
      </c>
      <c r="AP231" s="260">
        <f>ASINH(FMS_Ranking4[[#This Row],[Residential Structures Removed Raw]])/AP$4*AN$5*100</f>
        <v>0</v>
      </c>
      <c r="AQ231" s="258">
        <f>(ASINH(FMS_Ranking4[[#This Row],[Residential Structures Removed Raw]]))*(10)/(ASINH(AN$4))</f>
        <v>0</v>
      </c>
      <c r="AR231" s="253">
        <f>_xlfn.XLOOKUP(FMS_Ranking4[[#This Row],[FMS ID]],FMS_Input[FMS_ID],FMS_Input[REMPOP100])</f>
        <v>0</v>
      </c>
      <c r="AS231" s="255">
        <f>(ASINH(FMS_Ranking4[[#This Row],[Removed Pop Raw]]))*(10)/(ASINH(AR$4))</f>
        <v>0</v>
      </c>
      <c r="AT231" s="262">
        <f>FMS_Ranking4[[#This Row],[Removed population, ArcSinh (0-10)]]*AR$5*10</f>
        <v>0</v>
      </c>
      <c r="AU231" s="264">
        <f>_xlfn.XLOOKUP(FMS_Ranking4[[#This Row],[FMS ID]],FMS_Input[FMS_ID],FMS_Input[REMCRITFAC100])</f>
        <v>0</v>
      </c>
      <c r="AV231" s="264">
        <f>_xlfn.XLOOKUP(FMS_Ranking4[[#This Row],[FMS ID]],FMS_Input[FMS_ID],FMS_Input[REMLWC100])</f>
        <v>0</v>
      </c>
      <c r="AW231" s="264">
        <f>_xlfn.XLOOKUP(FMS_Ranking4[[#This Row],[FMS ID]],FMS_Input[FMS_ID],FMS_Input[REMROADCLS])</f>
        <v>0</v>
      </c>
      <c r="AX231" s="264">
        <f>_xlfn.XLOOKUP(FMS_Ranking4[[#This Row],[FMS ID]],FMS_Input[FMS_ID],FMS_Input[REMFRMACRE100])</f>
        <v>0</v>
      </c>
      <c r="AY231" s="258">
        <f>_xlfn.XLOOKUP(FMS_Ranking4[[#This Row],[FMS ID]],FMS_Input[FMS_ID],FMS_Input[COSTSTRUCT])</f>
        <v>0</v>
      </c>
      <c r="AZ231" s="253">
        <f>_xlfn.XLOOKUP(FMS_Ranking4[[#This Row],[FMS ID]],FMS_Input[FMS_ID],FMS_Input[NATURE])</f>
        <v>0</v>
      </c>
      <c r="BA231" s="262">
        <f>(((FMS_Ranking4[[#This Row],[% NBS Raw]]/AZ$4)*100)*AZ$5)</f>
        <v>0</v>
      </c>
      <c r="BB231" s="251" t="str">
        <f>_xlfn.XLOOKUP(FMS_Ranking4[[#This Row],[FMS ID]],FMS_Input[FMS_ID],FMS_Input[WATER_SUP])</f>
        <v>No</v>
      </c>
      <c r="BC231" s="265">
        <f>IF(FMS_Ranking4[[#This Row],[Water Supply Raw]]="Yes",10,0)</f>
        <v>0</v>
      </c>
      <c r="BD231" s="266">
        <f>_xlfn.XLOOKUP(FMS_Ranking4[[#This Row],[FMS Type]],FMS_TYPE[FMS_Type],FMS_TYPE[Score])</f>
        <v>10</v>
      </c>
      <c r="BE231" s="267">
        <f>FMS_Ranking4[[#This Row],[FMS_Type Score]]*$BD$5*10</f>
        <v>2.5</v>
      </c>
      <c r="BF23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0.45866485032022486</v>
      </c>
      <c r="BG231" s="321">
        <f>_xlfn.RANK.EQ(BF231,$BF$8:$BF$870,0)+COUNTIF($BF$8:BF231,BF231)-1</f>
        <v>237</v>
      </c>
      <c r="BH231" s="294">
        <f>(((FMS_Ranking4[[#This Row],[Structures Removed Raw]]/AK$4)*100)*AK$5)+(((FMS_Ranking4[[#This Row],[Removed Pop Raw]]/AR$4)*100)*AR$5)</f>
        <v>0</v>
      </c>
      <c r="BI23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2.9586648503202246</v>
      </c>
      <c r="BJ231" s="251">
        <f>_xlfn.RANK.EQ(FMS_Ranking4[[#This Row],[Total Score 
(with linear
normalization)]],FMS_Ranking4[Total Score 
(with linear
normalization)],0)</f>
        <v>178</v>
      </c>
      <c r="BK231" s="251" t="e">
        <f>_xlfn.XLOOKUP(FMS_Ranking4[[#This Row],[FMS ID]],#REF!,#REF!)</f>
        <v>#REF!</v>
      </c>
      <c r="BL23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26.86211553998405</v>
      </c>
      <c r="BM231" s="324">
        <f>FMS_Ranking4[[#This Row],[ArcSinh Score Based on Normalized Reported Factors]]+FMS_Ranking4[[#This Row],[% NBS Score (Normalized)]]+(FMS_Ranking4[[#This Row],[Water Supply Score (Normalized)]]*10*$BB$5)+FMS_Ranking4[[#This Row],[FMS_Type Score Weighted]]</f>
        <v>29.36211553998405</v>
      </c>
      <c r="BN231" s="251">
        <f>_xlfn.RANK.EQ(FMS_Ranking4[[#This Row],[Total Score (with ArcSinh normalization of select criteria)]],FMS_Ranking4[Total Score (with ArcSinh normalization of select criteria)],0)</f>
        <v>224</v>
      </c>
      <c r="BO231" s="270" t="str">
        <f>_xlfn.XLOOKUP(FMS_Ranking4[[#This Row],[FMS ID]],FMS_Input[FMS_ID],FMS_Input[FMS_RANK_YEAR])</f>
        <v>2023 Amended Plan</v>
      </c>
      <c r="BP231" s="204">
        <f>_xlfn.XLOOKUP(FMS_Ranking4[[#This Row],[FMS ID]],Prev_Rank[FMS ID],Prev_Rank[Prev Rank])</f>
        <v>200</v>
      </c>
      <c r="BQ231" s="251" t="e">
        <f>_xlfn.XLOOKUP(FMS_Ranking4[[#This Row],[FMS ID]],#REF!,#REF!)</f>
        <v>#REF!</v>
      </c>
      <c r="BR231" s="199" t="e">
        <f>SUM(#REF!,#REF!,#REF!,#REF!,#REF!,#REF!,#REF!,#REF!,#REF!,FMS_Ranking4[[#This Row],[ArcSinh Res struct removed 0-10]],#REF!)</f>
        <v>#REF!</v>
      </c>
      <c r="BS231" s="199" t="e">
        <f>FMS_Ranking4[[#This Row],[Log Score Based on Normalized Reported Factors]]+FMS_Ranking4[[#This Row],[% NBS Score (Normalized)]]+(FMS_Ranking4[[#This Row],[Water Supply Score (Normalized)]]*10*$BB$5)+(FMS_Ranking4[[#This Row],[FMS_Type Score Weighted]])</f>
        <v>#REF!</v>
      </c>
      <c r="BT231" s="200" t="e">
        <f>_xlfn.RANK.EQ(FMS_Ranking4[[#This Row],[Log Total Score]],FMS_Ranking4[Log Total Score],0)</f>
        <v>#REF!</v>
      </c>
      <c r="BU231" s="200" t="e">
        <f>_xlfn.XLOOKUP(FMS_Ranking4[[#This Row],[FMS ID]],#REF!,#REF!)</f>
        <v>#REF!</v>
      </c>
      <c r="BV231" s="200">
        <f>FMS_Ranking4[[#This Row],[Region Number]]</f>
        <v>12</v>
      </c>
      <c r="BW231" s="200">
        <f>FMS_Ranking4[[#This Row],[Rank (with ArcSinh normalization of select criteria)]]-FMS_Ranking4[[#This Row],[Rank
(with linear
normalization)]]</f>
        <v>46</v>
      </c>
      <c r="BX231" s="200" t="e">
        <f>FMS_Ranking4[[#This Row],[Log Rank]]-FMS_Ranking4[[#This Row],[Rank
(with linear
normalization)]]</f>
        <v>#REF!</v>
      </c>
      <c r="BY231" s="200">
        <f>IF(FMS_Ranking4[[#This Row],[FMS Type]]="Flood Measurement and Warning",FMS_Ranking4[[#This Row],[Rank (with ArcSinh normalization of select criteria)]],"")</f>
        <v>224</v>
      </c>
      <c r="BZ231" s="200" t="str">
        <f>IF(FMS_Ranking4[[#This Row],[FMS Type]]="Regulatory and Guidance",FMS_Ranking4[[#This Row],[Rank (with ArcSinh normalization of select criteria)]],"")</f>
        <v/>
      </c>
      <c r="CA231" s="200" t="str">
        <f>IF(FMS_Ranking4[[#This Row],[FMS Type]]="Education and Outreach",FMS_Ranking4[[#This Row],[Rank (with ArcSinh normalization of select criteria)]],"")</f>
        <v/>
      </c>
      <c r="CB231" s="200" t="str">
        <f>IF(FMS_Ranking4[[#This Row],[FMS Type]]="Property Acquisition and Structural Elevation",FMS_Ranking4[[#This Row],[Rank (with ArcSinh normalization of select criteria)]],"")</f>
        <v/>
      </c>
      <c r="CC231" s="200" t="str">
        <f>IF(FMS_Ranking4[[#This Row],[FMS Type]]="Infrastructure Projects",FMS_Ranking4[[#This Row],[Rank (with ArcSinh normalization of select criteria)]],"")</f>
        <v/>
      </c>
      <c r="CD231" s="200" t="str">
        <f>IF(FMS_Ranking4[[#This Row],[FMS Type]]="Other",FMS_Ranking4[[#This Row],[Rank (with ArcSinh normalization of select criteria)]],"")</f>
        <v/>
      </c>
      <c r="CE231" s="201"/>
      <c r="CF231" s="206"/>
      <c r="CG231" s="206"/>
      <c r="CH231" s="206"/>
      <c r="CI231" s="206"/>
      <c r="CJ231" s="206"/>
      <c r="CK231" s="206"/>
      <c r="CL231" s="206"/>
      <c r="CM231" s="206"/>
      <c r="CN231" s="206"/>
      <c r="CO231" s="206"/>
      <c r="CP231" s="206"/>
      <c r="CQ231" s="206"/>
      <c r="CR231" s="206"/>
    </row>
    <row r="232" spans="2:96" ht="75" x14ac:dyDescent="0.25">
      <c r="B232" s="341" t="s">
        <v>3690</v>
      </c>
      <c r="C232" s="246">
        <f>_xlfn.XLOOKUP(FMS_Ranking4[[#This Row],[FMS ID]],FMS_Input[FMS_ID],FMS_Input[RFPG_NUM])</f>
        <v>13</v>
      </c>
      <c r="D232" s="309" t="str">
        <f>_xlfn.XLOOKUP(FMS_Ranking4[[#This Row],[FMS ID]],FMS_Input[FMS_ID],FMS_Input[FMS_NAME])</f>
        <v xml:space="preserve">Aransas County Wetlands Preservation Plan </v>
      </c>
      <c r="E232" s="308" t="str">
        <f>_xlfn.XLOOKUP(FMS_Ranking4[[#This Row],[FMS ID]],FMS_Input[FMS_ID],FMS_Input[SPONSOR])</f>
        <v>00000083</v>
      </c>
      <c r="F232" s="309" t="str">
        <f>_xlfn.XLOOKUP(FMS_Ranking4[[#This Row],[FMS ID]],Sponsor[FMS_ID],Sponsor[SPONSOR NAME])</f>
        <v>Aransas</v>
      </c>
      <c r="G232" s="309" t="str">
        <f>_xlfn.XLOOKUP(FMS_Ranking4[[#This Row],[FMS ID]],FMS_Input[FMS_ID],FMS_Input[FMS_DESCR])</f>
        <v>Aransas County Texas Multi-Jurisdisctinal Hazard Mitigation Action Plan - Action #4: Create a county-wide wetlands preservation plan</v>
      </c>
      <c r="H232" s="248" t="str">
        <f>_xlfn.XLOOKUP(FMS_Ranking4[[#This Row],[FMS ID]],FMS_Input[FMS_ID],FMS_Input[FMS_TYPE])</f>
        <v>Regulatory and Guidance</v>
      </c>
      <c r="I232" s="249">
        <f>_xlfn.XLOOKUP(FMS_Ranking4[[#This Row],[FMS ID]],FMS_Input[FMS_ID],FMS_Input[NRNC_COST])</f>
        <v>5000000</v>
      </c>
      <c r="J232" s="250">
        <f>_xlfn.XLOOKUP(FMS_Ranking4[[#This Row],[FMS ID]],FMS_Input[FMS_ID],FMS_Input[FMS_COST])</f>
        <v>5000000</v>
      </c>
      <c r="K232" s="251" t="str">
        <f>_xlfn.XLOOKUP(FMS_Ranking4[[#This Row],[FMS ID]],FMS_Input[FMS_ID],FMS_Input[EMER_NEED])</f>
        <v>Yes</v>
      </c>
      <c r="L232" s="252">
        <f t="shared" si="3"/>
        <v>1</v>
      </c>
      <c r="M232" s="253">
        <f>_xlfn.XLOOKUP(FMS_Ranking4[[#This Row],[FMS ID]],FMS_Input[FMS_ID],FMS_Input[STRUCT_100])</f>
        <v>3334</v>
      </c>
      <c r="N232" s="255">
        <f>(ASINH(FMS_Ranking4[[#This Row],[Structure at Risk Raw]]))*(10)/(ASINH(M$4))</f>
        <v>6.9221001782843219</v>
      </c>
      <c r="O232" s="256">
        <f>FMS_Ranking4[[#This Row],[Structures at risk, ArcSinh (0-10)]]*M$5*10</f>
        <v>6.9221001782843228</v>
      </c>
      <c r="P232" s="253">
        <f>_xlfn.XLOOKUP(FMS_Ranking4[[#This Row],[FMS ID]],FMS_Input[FMS_ID],FMS_Input[RES_STRUCT100])</f>
        <v>2828</v>
      </c>
      <c r="Q232" s="257">
        <f>ASINH(FMS_Ranking4[[#This Row],[Res Structure Raw]])/Q$4*P$5*100</f>
        <v>0</v>
      </c>
      <c r="R232" s="253">
        <f>_xlfn.XLOOKUP(FMS_Ranking4[[#This Row],[FMS ID]],FMS_Input[FMS_ID],FMS_Input[POP100])</f>
        <v>4790</v>
      </c>
      <c r="S232" s="255">
        <f>(ASINH(FMS_Ranking4[[#This Row],[Pop at Risk Raw]]))*(10)/(ASINH(R$4))</f>
        <v>6.3288126273256964</v>
      </c>
      <c r="T232" s="256">
        <f>FMS_Ranking4[[#This Row],[Population at risk, ArcSinh (0-10)]]*R$5*10</f>
        <v>6.3288126273256973</v>
      </c>
      <c r="U232" s="253">
        <f>_xlfn.XLOOKUP(FMS_Ranking4[[#This Row],[FMS ID]],FMS_Input[FMS_ID],FMS_Input[CRITFAC100])</f>
        <v>4</v>
      </c>
      <c r="V232" s="255">
        <f>(ASINH(FMS_Ranking4[[#This Row],[Critical Facilities Raw]]))*(10)/(ASINH(U$4))</f>
        <v>2.4796455944038147</v>
      </c>
      <c r="W232" s="256">
        <f>FMS_Ranking4[[#This Row],[Critical facilities at risk, ArcSinh (0-10)]]*U$5*10</f>
        <v>2.4796455944038147</v>
      </c>
      <c r="X232" s="253">
        <f>_xlfn.XLOOKUP(FMS_Ranking4[[#This Row],[FMS ID]],FMS_Input[FMS_ID],FMS_Input[LWC])</f>
        <v>0</v>
      </c>
      <c r="Y232" s="255">
        <f>(ASINH(FMS_Ranking4[[#This Row],[LWC Raw]]))*(10)/(ASINH(X$4))</f>
        <v>0</v>
      </c>
      <c r="Z232" s="256">
        <f>FMS_Ranking4[[#This Row],[LWC, ArcSInh (0-10)]]*X$5*10</f>
        <v>0</v>
      </c>
      <c r="AA232" s="253">
        <f>_xlfn.XLOOKUP(FMS_Ranking4[[#This Row],[FMS ID]],FMS_Input[FMS_ID],FMS_Input[ROADCLS])</f>
        <v>548</v>
      </c>
      <c r="AB232" s="255">
        <f>(ASINH(FMS_Ranking4[[#This Row],[Road Closures Raw]]))*(10)/(ASINH(AA$4))</f>
        <v>7.289256938063545</v>
      </c>
      <c r="AC232" s="256">
        <f>FMS_Ranking4[[#This Row],[Road closures, ArcSinh (0-10)]]*AA$5*10</f>
        <v>3.6446284690317725</v>
      </c>
      <c r="AD232" s="253">
        <f>_xlfn.XLOOKUP(FMS_Ranking4[[#This Row],[FMS ID]],FMS_Input[FMS_ID],FMS_Input[ROAD_MILES100])</f>
        <v>103</v>
      </c>
      <c r="AE232" s="255">
        <f>(ASINH(FMS_Ranking4[[#This Row],[Road Miles Raw]]))*(10)/(ASINH(AD$4))</f>
        <v>5.678075280842374</v>
      </c>
      <c r="AF232" s="256">
        <f>FMS_Ranking4[[#This Row],[Length of roads at risk, ArcSinh (0-10)]]*AD$5*10</f>
        <v>5.678075280842374</v>
      </c>
      <c r="AG232" s="253">
        <f>_xlfn.XLOOKUP(FMS_Ranking4[[#This Row],[FMS ID]],FMS_Input[FMS_ID],FMS_Input[FARMACRE100])</f>
        <v>571.30499267578125</v>
      </c>
      <c r="AH232" s="255">
        <f>(ASINH(FMS_Ranking4[[#This Row],[Ag Land Raw]]))*(10)/(ASINH(AG$4))</f>
        <v>4.5737493440527315</v>
      </c>
      <c r="AI232" s="260">
        <f>FMS_Ranking4[[#This Row],[Farm &amp; ranch land, ArcSinh (0-10)]]*AG$5*10</f>
        <v>2.2868746720263657</v>
      </c>
      <c r="AJ232" s="258">
        <f>_xlfn.XLOOKUP(FMS_Ranking4[[#This Row],[FMS ID]],FMS_Input[FMS_ID],FMS_Input[REDSTRUCT100])</f>
        <v>0</v>
      </c>
      <c r="AK232" s="253">
        <f>_xlfn.XLOOKUP(FMS_Ranking4[[#This Row],[FMS ID]],FMS_Input[FMS_ID],FMS_Input[REMSTRC100])</f>
        <v>0</v>
      </c>
      <c r="AL232" s="255">
        <f>(ASINH(FMS_Ranking4[[#This Row],[Structures Removed Raw]]))*(10)/(ASINH(AK$4))</f>
        <v>0</v>
      </c>
      <c r="AM232" s="262">
        <f>FMS_Ranking4[[#This Row],[Structures removed, ArcSinh (0-10)]]*AK$5*10</f>
        <v>0</v>
      </c>
      <c r="AN232" s="253">
        <f>_xlfn.XLOOKUP(FMS_Ranking4[[#This Row],[FMS ID]],FMS_Input[FMS_ID],FMS_Input[REMRESSTRC100])</f>
        <v>0</v>
      </c>
      <c r="AO232" s="261">
        <f>FMS_Ranking4[[#This Row],[ArcSinh Res struct removed 0-10]]*AN$5*10</f>
        <v>0</v>
      </c>
      <c r="AP232" s="260">
        <f>ASINH(FMS_Ranking4[[#This Row],[Residential Structures Removed Raw]])/AP$4*AN$5*100</f>
        <v>0</v>
      </c>
      <c r="AQ232" s="258">
        <f>(ASINH(FMS_Ranking4[[#This Row],[Residential Structures Removed Raw]]))*(10)/(ASINH(AN$4))</f>
        <v>0</v>
      </c>
      <c r="AR232" s="253">
        <f>_xlfn.XLOOKUP(FMS_Ranking4[[#This Row],[FMS ID]],FMS_Input[FMS_ID],FMS_Input[REMPOP100])</f>
        <v>0</v>
      </c>
      <c r="AS232" s="255">
        <f>(ASINH(FMS_Ranking4[[#This Row],[Removed Pop Raw]]))*(10)/(ASINH(AR$4))</f>
        <v>0</v>
      </c>
      <c r="AT232" s="262">
        <f>FMS_Ranking4[[#This Row],[Removed population, ArcSinh (0-10)]]*AR$5*10</f>
        <v>0</v>
      </c>
      <c r="AU232" s="264">
        <f>_xlfn.XLOOKUP(FMS_Ranking4[[#This Row],[FMS ID]],FMS_Input[FMS_ID],FMS_Input[REMCRITFAC100])</f>
        <v>0</v>
      </c>
      <c r="AV232" s="264">
        <f>_xlfn.XLOOKUP(FMS_Ranking4[[#This Row],[FMS ID]],FMS_Input[FMS_ID],FMS_Input[REMLWC100])</f>
        <v>0</v>
      </c>
      <c r="AW232" s="264">
        <f>_xlfn.XLOOKUP(FMS_Ranking4[[#This Row],[FMS ID]],FMS_Input[FMS_ID],FMS_Input[REMROADCLS])</f>
        <v>0</v>
      </c>
      <c r="AX232" s="264">
        <f>_xlfn.XLOOKUP(FMS_Ranking4[[#This Row],[FMS ID]],FMS_Input[FMS_ID],FMS_Input[REMFRMACRE100])</f>
        <v>0</v>
      </c>
      <c r="AY232" s="258">
        <f>_xlfn.XLOOKUP(FMS_Ranking4[[#This Row],[FMS ID]],FMS_Input[FMS_ID],FMS_Input[COSTSTRUCT])</f>
        <v>0</v>
      </c>
      <c r="AZ232" s="253">
        <f>_xlfn.XLOOKUP(FMS_Ranking4[[#This Row],[FMS ID]],FMS_Input[FMS_ID],FMS_Input[NATURE])</f>
        <v>0</v>
      </c>
      <c r="BA232" s="262">
        <f>(((FMS_Ranking4[[#This Row],[% NBS Raw]]/AZ$4)*100)*AZ$5)</f>
        <v>0</v>
      </c>
      <c r="BB232" s="251" t="str">
        <f>_xlfn.XLOOKUP(FMS_Ranking4[[#This Row],[FMS ID]],FMS_Input[FMS_ID],FMS_Input[WATER_SUP])</f>
        <v>No</v>
      </c>
      <c r="BC232" s="265">
        <f>IF(FMS_Ranking4[[#This Row],[Water Supply Raw]]="Yes",10,0)</f>
        <v>0</v>
      </c>
      <c r="BD232" s="266">
        <f>_xlfn.XLOOKUP(FMS_Ranking4[[#This Row],[FMS Type]],FMS_TYPE[FMS_Type],FMS_TYPE[Score])</f>
        <v>8</v>
      </c>
      <c r="BE232" s="267">
        <f>FMS_Ranking4[[#This Row],[FMS_Type Score]]*$BD$5*10</f>
        <v>2</v>
      </c>
      <c r="BF23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0.81029337594562656</v>
      </c>
      <c r="BG232" s="321">
        <f>_xlfn.RANK.EQ(BF232,$BF$8:$BF$870,0)+COUNTIF($BF$8:BF232,BF232)-1</f>
        <v>167</v>
      </c>
      <c r="BH232" s="294">
        <f>(((FMS_Ranking4[[#This Row],[Structures Removed Raw]]/AK$4)*100)*AK$5)+(((FMS_Ranking4[[#This Row],[Removed Pop Raw]]/AR$4)*100)*AR$5)</f>
        <v>0</v>
      </c>
      <c r="BI23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2.8102933759456263</v>
      </c>
      <c r="BJ232" s="251">
        <f>_xlfn.RANK.EQ(FMS_Ranking4[[#This Row],[Total Score 
(with linear
normalization)]],FMS_Ranking4[Total Score 
(with linear
normalization)],0)</f>
        <v>193</v>
      </c>
      <c r="BK232" s="251" t="e">
        <f>_xlfn.XLOOKUP(FMS_Ranking4[[#This Row],[FMS ID]],#REF!,#REF!)</f>
        <v>#REF!</v>
      </c>
      <c r="BL23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27.340136821914346</v>
      </c>
      <c r="BM232" s="324">
        <f>FMS_Ranking4[[#This Row],[ArcSinh Score Based on Normalized Reported Factors]]+FMS_Ranking4[[#This Row],[% NBS Score (Normalized)]]+(FMS_Ranking4[[#This Row],[Water Supply Score (Normalized)]]*10*$BB$5)+FMS_Ranking4[[#This Row],[FMS_Type Score Weighted]]</f>
        <v>29.340136821914346</v>
      </c>
      <c r="BN232" s="251">
        <f>_xlfn.RANK.EQ(FMS_Ranking4[[#This Row],[Total Score (with ArcSinh normalization of select criteria)]],FMS_Ranking4[Total Score (with ArcSinh normalization of select criteria)],0)</f>
        <v>225</v>
      </c>
      <c r="BO232" s="270" t="str">
        <f>_xlfn.XLOOKUP(FMS_Ranking4[[#This Row],[FMS ID]],FMS_Input[FMS_ID],FMS_Input[FMS_RANK_YEAR])</f>
        <v>2023 Amended Plan</v>
      </c>
      <c r="BP232" s="204">
        <f>_xlfn.XLOOKUP(FMS_Ranking4[[#This Row],[FMS ID]],Prev_Rank[FMS ID],Prev_Rank[Prev Rank])</f>
        <v>199</v>
      </c>
      <c r="BQ232" s="251" t="e">
        <f>_xlfn.XLOOKUP(FMS_Ranking4[[#This Row],[FMS ID]],#REF!,#REF!)</f>
        <v>#REF!</v>
      </c>
      <c r="BR232" s="199" t="e">
        <f>SUM(#REF!,#REF!,#REF!,#REF!,#REF!,#REF!,#REF!,#REF!,#REF!,FMS_Ranking4[[#This Row],[ArcSinh Res struct removed 0-10]],#REF!)</f>
        <v>#REF!</v>
      </c>
      <c r="BS232" s="199" t="e">
        <f>FMS_Ranking4[[#This Row],[Log Score Based on Normalized Reported Factors]]+FMS_Ranking4[[#This Row],[% NBS Score (Normalized)]]+(FMS_Ranking4[[#This Row],[Water Supply Score (Normalized)]]*10*$BB$5)+(FMS_Ranking4[[#This Row],[FMS_Type Score Weighted]])</f>
        <v>#REF!</v>
      </c>
      <c r="BT232" s="200" t="e">
        <f>_xlfn.RANK.EQ(FMS_Ranking4[[#This Row],[Log Total Score]],FMS_Ranking4[Log Total Score],0)</f>
        <v>#REF!</v>
      </c>
      <c r="BU232" s="200" t="e">
        <f>_xlfn.XLOOKUP(FMS_Ranking4[[#This Row],[FMS ID]],#REF!,#REF!)</f>
        <v>#REF!</v>
      </c>
      <c r="BV232" s="200">
        <f>FMS_Ranking4[[#This Row],[Region Number]]</f>
        <v>13</v>
      </c>
      <c r="BW232" s="200">
        <f>FMS_Ranking4[[#This Row],[Rank (with ArcSinh normalization of select criteria)]]-FMS_Ranking4[[#This Row],[Rank
(with linear
normalization)]]</f>
        <v>32</v>
      </c>
      <c r="BX232" s="200" t="e">
        <f>FMS_Ranking4[[#This Row],[Log Rank]]-FMS_Ranking4[[#This Row],[Rank
(with linear
normalization)]]</f>
        <v>#REF!</v>
      </c>
      <c r="BY232" s="200" t="str">
        <f>IF(FMS_Ranking4[[#This Row],[FMS Type]]="Flood Measurement and Warning",FMS_Ranking4[[#This Row],[Rank (with ArcSinh normalization of select criteria)]],"")</f>
        <v/>
      </c>
      <c r="BZ232" s="200">
        <f>IF(FMS_Ranking4[[#This Row],[FMS Type]]="Regulatory and Guidance",FMS_Ranking4[[#This Row],[Rank (with ArcSinh normalization of select criteria)]],"")</f>
        <v>225</v>
      </c>
      <c r="CA232" s="200" t="str">
        <f>IF(FMS_Ranking4[[#This Row],[FMS Type]]="Education and Outreach",FMS_Ranking4[[#This Row],[Rank (with ArcSinh normalization of select criteria)]],"")</f>
        <v/>
      </c>
      <c r="CB232" s="200" t="str">
        <f>IF(FMS_Ranking4[[#This Row],[FMS Type]]="Property Acquisition and Structural Elevation",FMS_Ranking4[[#This Row],[Rank (with ArcSinh normalization of select criteria)]],"")</f>
        <v/>
      </c>
      <c r="CC232" s="200" t="str">
        <f>IF(FMS_Ranking4[[#This Row],[FMS Type]]="Infrastructure Projects",FMS_Ranking4[[#This Row],[Rank (with ArcSinh normalization of select criteria)]],"")</f>
        <v/>
      </c>
      <c r="CD232" s="200" t="str">
        <f>IF(FMS_Ranking4[[#This Row],[FMS Type]]="Other",FMS_Ranking4[[#This Row],[Rank (with ArcSinh normalization of select criteria)]],"")</f>
        <v/>
      </c>
      <c r="CE232" s="201"/>
      <c r="CF232" s="206"/>
      <c r="CG232" s="206"/>
      <c r="CH232" s="206"/>
      <c r="CI232" s="206"/>
      <c r="CJ232" s="206"/>
      <c r="CK232" s="206"/>
      <c r="CL232" s="206"/>
      <c r="CM232" s="206"/>
      <c r="CN232" s="206"/>
      <c r="CO232" s="206"/>
      <c r="CP232" s="206"/>
      <c r="CQ232" s="206"/>
      <c r="CR232" s="206"/>
    </row>
    <row r="233" spans="2:96" ht="45" x14ac:dyDescent="0.25">
      <c r="B233" s="341" t="s">
        <v>1596</v>
      </c>
      <c r="C233" s="246">
        <f>_xlfn.XLOOKUP(FMS_Ranking4[[#This Row],[FMS ID]],FMS_Input[FMS_ID],FMS_Input[RFPG_NUM])</f>
        <v>2</v>
      </c>
      <c r="D233" s="309" t="str">
        <f>_xlfn.XLOOKUP(FMS_Ranking4[[#This Row],[FMS ID]],FMS_Input[FMS_ID],FMS_Input[FMS_NAME])</f>
        <v>Cass County NFIP Involvement</v>
      </c>
      <c r="E233" s="308" t="str">
        <f>_xlfn.XLOOKUP(FMS_Ranking4[[#This Row],[FMS ID]],FMS_Input[FMS_ID],FMS_Input[SPONSOR])</f>
        <v>Cass County</v>
      </c>
      <c r="F233" s="309" t="str">
        <f>_xlfn.XLOOKUP(FMS_Ranking4[[#This Row],[FMS ID]],Sponsor[FMS_ID],Sponsor[SPONSOR NAME])</f>
        <v>Cass County</v>
      </c>
      <c r="G233" s="309" t="str">
        <f>_xlfn.XLOOKUP(FMS_Ranking4[[#This Row],[FMS ID]],FMS_Input[FMS_ID],FMS_Input[FMS_DESCR])</f>
        <v xml:space="preserve">Application to join NFIP or adoption of equivalent standards </v>
      </c>
      <c r="H233" s="248" t="str">
        <f>_xlfn.XLOOKUP(FMS_Ranking4[[#This Row],[FMS ID]],FMS_Input[FMS_ID],FMS_Input[FMS_TYPE])</f>
        <v>Regulatory and Guidance</v>
      </c>
      <c r="I233" s="249">
        <f>_xlfn.XLOOKUP(FMS_Ranking4[[#This Row],[FMS ID]],FMS_Input[FMS_ID],FMS_Input[NRNC_COST])</f>
        <v>100000</v>
      </c>
      <c r="J233" s="250">
        <f>_xlfn.XLOOKUP(FMS_Ranking4[[#This Row],[FMS ID]],FMS_Input[FMS_ID],FMS_Input[FMS_COST])</f>
        <v>100000</v>
      </c>
      <c r="K233" s="251" t="str">
        <f>_xlfn.XLOOKUP(FMS_Ranking4[[#This Row],[FMS ID]],FMS_Input[FMS_ID],FMS_Input[EMER_NEED])</f>
        <v>No</v>
      </c>
      <c r="L233" s="252">
        <f t="shared" si="3"/>
        <v>0</v>
      </c>
      <c r="M233" s="253">
        <f>_xlfn.XLOOKUP(FMS_Ranking4[[#This Row],[FMS ID]],FMS_Input[FMS_ID],FMS_Input[STRUCT_100])</f>
        <v>574</v>
      </c>
      <c r="N233" s="255">
        <f>(ASINH(FMS_Ranking4[[#This Row],[Structure at Risk Raw]]))*(10)/(ASINH(M$4))</f>
        <v>5.5390300566358821</v>
      </c>
      <c r="O233" s="256">
        <f>FMS_Ranking4[[#This Row],[Structures at risk, ArcSinh (0-10)]]*M$5*10</f>
        <v>5.5390300566358821</v>
      </c>
      <c r="P233" s="253">
        <f>_xlfn.XLOOKUP(FMS_Ranking4[[#This Row],[FMS ID]],FMS_Input[FMS_ID],FMS_Input[RES_STRUCT100])</f>
        <v>303</v>
      </c>
      <c r="Q233" s="257">
        <f>ASINH(FMS_Ranking4[[#This Row],[Res Structure Raw]])/Q$4*P$5*100</f>
        <v>0</v>
      </c>
      <c r="R233" s="253">
        <f>_xlfn.XLOOKUP(FMS_Ranking4[[#This Row],[FMS ID]],FMS_Input[FMS_ID],FMS_Input[POP100])</f>
        <v>2148</v>
      </c>
      <c r="S233" s="259">
        <f>(ASINH(FMS_Ranking4[[#This Row],[Pop at Risk Raw]]))*(10)/(ASINH(R$4))</f>
        <v>5.7751500368569166</v>
      </c>
      <c r="T233" s="256">
        <f>FMS_Ranking4[[#This Row],[Population at risk, ArcSinh (0-10)]]*R$5*10</f>
        <v>5.7751500368569166</v>
      </c>
      <c r="U233" s="253">
        <f>_xlfn.XLOOKUP(FMS_Ranking4[[#This Row],[FMS ID]],FMS_Input[FMS_ID],FMS_Input[CRITFAC100])</f>
        <v>12</v>
      </c>
      <c r="V233" s="259">
        <f>(ASINH(FMS_Ranking4[[#This Row],[Critical Facilities Raw]]))*(10)/(ASINH(U$4))</f>
        <v>3.7641159700176727</v>
      </c>
      <c r="W233" s="256">
        <f>FMS_Ranking4[[#This Row],[Critical facilities at risk, ArcSinh (0-10)]]*U$5*10</f>
        <v>3.7641159700176727</v>
      </c>
      <c r="X233" s="253">
        <f>_xlfn.XLOOKUP(FMS_Ranking4[[#This Row],[FMS ID]],FMS_Input[FMS_ID],FMS_Input[LWC])</f>
        <v>7</v>
      </c>
      <c r="Y233" s="259">
        <f>(ASINH(FMS_Ranking4[[#This Row],[LWC Raw]]))*(10)/(ASINH(X$4))</f>
        <v>3.5820902845593281</v>
      </c>
      <c r="Z233" s="256">
        <f>FMS_Ranking4[[#This Row],[LWC, ArcSInh (0-10)]]*X$5*10</f>
        <v>3.5820902845593281</v>
      </c>
      <c r="AA233" s="253">
        <f>_xlfn.XLOOKUP(FMS_Ranking4[[#This Row],[FMS ID]],FMS_Input[FMS_ID],FMS_Input[ROADCLS])</f>
        <v>0</v>
      </c>
      <c r="AB233" s="255">
        <f>(ASINH(FMS_Ranking4[[#This Row],[Road Closures Raw]]))*(10)/(ASINH(AA$4))</f>
        <v>0</v>
      </c>
      <c r="AC233" s="256">
        <f>FMS_Ranking4[[#This Row],[Road closures, ArcSinh (0-10)]]*AA$5*10</f>
        <v>0</v>
      </c>
      <c r="AD233" s="253">
        <f>_xlfn.XLOOKUP(FMS_Ranking4[[#This Row],[FMS ID]],FMS_Input[FMS_ID],FMS_Input[ROAD_MILES100])</f>
        <v>160</v>
      </c>
      <c r="AE233" s="259">
        <f>(ASINH(FMS_Ranking4[[#This Row],[Road Miles Raw]]))*(10)/(ASINH(AD$4))</f>
        <v>6.147453583886251</v>
      </c>
      <c r="AF233" s="256">
        <f>FMS_Ranking4[[#This Row],[Length of roads at risk, ArcSinh (0-10)]]*AD$5*10</f>
        <v>6.147453583886251</v>
      </c>
      <c r="AG233" s="253">
        <f>_xlfn.XLOOKUP(FMS_Ranking4[[#This Row],[FMS ID]],FMS_Input[FMS_ID],FMS_Input[FARMACRE100])</f>
        <v>858.66632080078125</v>
      </c>
      <c r="AH233" s="255">
        <f>(ASINH(FMS_Ranking4[[#This Row],[Ag Land Raw]]))*(10)/(ASINH(AG$4))</f>
        <v>4.8384257075181534</v>
      </c>
      <c r="AI233" s="260">
        <f>FMS_Ranking4[[#This Row],[Farm &amp; ranch land, ArcSinh (0-10)]]*AG$5*10</f>
        <v>2.4192128537590767</v>
      </c>
      <c r="AJ233" s="258">
        <f>_xlfn.XLOOKUP(FMS_Ranking4[[#This Row],[FMS ID]],FMS_Input[FMS_ID],FMS_Input[REDSTRUCT100])</f>
        <v>0</v>
      </c>
      <c r="AK233" s="253">
        <f>_xlfn.XLOOKUP(FMS_Ranking4[[#This Row],[FMS ID]],FMS_Input[FMS_ID],FMS_Input[REMSTRC100])</f>
        <v>0</v>
      </c>
      <c r="AL233" s="259">
        <f>(ASINH(FMS_Ranking4[[#This Row],[Structures Removed Raw]]))*(10)/(ASINH(AK$4))</f>
        <v>0</v>
      </c>
      <c r="AM233" s="262">
        <f>FMS_Ranking4[[#This Row],[Structures removed, ArcSinh (0-10)]]*AK$5*10</f>
        <v>0</v>
      </c>
      <c r="AN233" s="253">
        <f>_xlfn.XLOOKUP(FMS_Ranking4[[#This Row],[FMS ID]],FMS_Input[FMS_ID],FMS_Input[REMRESSTRC100])</f>
        <v>0</v>
      </c>
      <c r="AO233" s="261">
        <f>FMS_Ranking4[[#This Row],[ArcSinh Res struct removed 0-10]]*AN$5*10</f>
        <v>0</v>
      </c>
      <c r="AP233" s="260">
        <f>ASINH(FMS_Ranking4[[#This Row],[Residential Structures Removed Raw]])/AP$4*AN$5*100</f>
        <v>0</v>
      </c>
      <c r="AQ233" s="254">
        <f>(ASINH(FMS_Ranking4[[#This Row],[Residential Structures Removed Raw]]))*(10)/(ASINH(AN$4))</f>
        <v>0</v>
      </c>
      <c r="AR233" s="253">
        <f>_xlfn.XLOOKUP(FMS_Ranking4[[#This Row],[FMS ID]],FMS_Input[FMS_ID],FMS_Input[REMPOP100])</f>
        <v>0</v>
      </c>
      <c r="AS233" s="259">
        <f>(ASINH(FMS_Ranking4[[#This Row],[Removed Pop Raw]]))*(10)/(ASINH(AR$4))</f>
        <v>0</v>
      </c>
      <c r="AT233" s="262">
        <f>FMS_Ranking4[[#This Row],[Removed population, ArcSinh (0-10)]]*AR$5*10</f>
        <v>0</v>
      </c>
      <c r="AU233" s="264">
        <f>_xlfn.XLOOKUP(FMS_Ranking4[[#This Row],[FMS ID]],FMS_Input[FMS_ID],FMS_Input[REMCRITFAC100])</f>
        <v>0</v>
      </c>
      <c r="AV233" s="264">
        <f>_xlfn.XLOOKUP(FMS_Ranking4[[#This Row],[FMS ID]],FMS_Input[FMS_ID],FMS_Input[REMLWC100])</f>
        <v>0</v>
      </c>
      <c r="AW233" s="264">
        <f>_xlfn.XLOOKUP(FMS_Ranking4[[#This Row],[FMS ID]],FMS_Input[FMS_ID],FMS_Input[REMROADCLS])</f>
        <v>0</v>
      </c>
      <c r="AX233" s="264">
        <f>_xlfn.XLOOKUP(FMS_Ranking4[[#This Row],[FMS ID]],FMS_Input[FMS_ID],FMS_Input[REMFRMACRE100])</f>
        <v>0</v>
      </c>
      <c r="AY233" s="258">
        <f>_xlfn.XLOOKUP(FMS_Ranking4[[#This Row],[FMS ID]],FMS_Input[FMS_ID],FMS_Input[COSTSTRUCT])</f>
        <v>0</v>
      </c>
      <c r="AZ233" s="253">
        <f>_xlfn.XLOOKUP(FMS_Ranking4[[#This Row],[FMS ID]],FMS_Input[FMS_ID],FMS_Input[NATURE])</f>
        <v>0</v>
      </c>
      <c r="BA233" s="262">
        <f>(((FMS_Ranking4[[#This Row],[% NBS Raw]]/AZ$4)*100)*AZ$5)</f>
        <v>0</v>
      </c>
      <c r="BB233" s="251" t="str">
        <f>_xlfn.XLOOKUP(FMS_Ranking4[[#This Row],[FMS ID]],FMS_Input[FMS_ID],FMS_Input[WATER_SUP])</f>
        <v>No</v>
      </c>
      <c r="BC233" s="265">
        <f>IF(FMS_Ranking4[[#This Row],[Water Supply Raw]]="Yes",10,0)</f>
        <v>0</v>
      </c>
      <c r="BD233" s="266">
        <f>_xlfn.XLOOKUP(FMS_Ranking4[[#This Row],[FMS Type]],FMS_TYPE[FMS_Type],FMS_TYPE[Score])</f>
        <v>8</v>
      </c>
      <c r="BE233" s="267">
        <f>FMS_Ranking4[[#This Row],[FMS_Type Score]]*$BD$5*10</f>
        <v>2</v>
      </c>
      <c r="BF23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0.46589476657927931</v>
      </c>
      <c r="BG233" s="271">
        <f>_xlfn.RANK.EQ(BF233,$BF$8:$BF$870,0)+COUNTIF($BF$8:BF233,BF233)-1</f>
        <v>236</v>
      </c>
      <c r="BH233" s="268">
        <f>(((FMS_Ranking4[[#This Row],[Structures Removed Raw]]/AK$4)*100)*AK$5)+(((FMS_Ranking4[[#This Row],[Removed Pop Raw]]/AR$4)*100)*AR$5)</f>
        <v>0</v>
      </c>
      <c r="BI23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2.4658947665792792</v>
      </c>
      <c r="BJ233" s="205">
        <f>_xlfn.RANK.EQ(FMS_Ranking4[[#This Row],[Total Score 
(with linear
normalization)]],FMS_Ranking4[Total Score 
(with linear
normalization)],0)</f>
        <v>269</v>
      </c>
      <c r="BK233" s="205" t="e">
        <f>_xlfn.XLOOKUP(FMS_Ranking4[[#This Row],[FMS ID]],#REF!,#REF!)</f>
        <v>#REF!</v>
      </c>
      <c r="BL23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27.227052785715127</v>
      </c>
      <c r="BM233" s="272">
        <f>FMS_Ranking4[[#This Row],[ArcSinh Score Based on Normalized Reported Factors]]+FMS_Ranking4[[#This Row],[% NBS Score (Normalized)]]+(FMS_Ranking4[[#This Row],[Water Supply Score (Normalized)]]*10*$BB$5)+FMS_Ranking4[[#This Row],[FMS_Type Score Weighted]]</f>
        <v>29.227052785715127</v>
      </c>
      <c r="BN233" s="205">
        <f>_xlfn.RANK.EQ(FMS_Ranking4[[#This Row],[Total Score (with ArcSinh normalization of select criteria)]],FMS_Ranking4[Total Score (with ArcSinh normalization of select criteria)],0)</f>
        <v>226</v>
      </c>
      <c r="BO233" s="270" t="str">
        <f>_xlfn.XLOOKUP(FMS_Ranking4[[#This Row],[FMS ID]],FMS_Input[FMS_ID],FMS_Input[FMS_RANK_YEAR])</f>
        <v>2023 Amended Plan</v>
      </c>
      <c r="BP233" s="204">
        <f>_xlfn.XLOOKUP(FMS_Ranking4[[#This Row],[FMS ID]],Prev_Rank[FMS ID],Prev_Rank[Prev Rank])</f>
        <v>201</v>
      </c>
      <c r="BQ233" s="205" t="e">
        <f>_xlfn.XLOOKUP(FMS_Ranking4[[#This Row],[FMS ID]],#REF!,#REF!)</f>
        <v>#REF!</v>
      </c>
      <c r="BR233" s="199" t="e">
        <f>SUM(#REF!,#REF!,#REF!,#REF!,#REF!,#REF!,#REF!,#REF!,#REF!,FMS_Ranking4[[#This Row],[ArcSinh Res struct removed 0-10]],#REF!)</f>
        <v>#REF!</v>
      </c>
      <c r="BS233" s="199" t="e">
        <f>FMS_Ranking4[[#This Row],[Log Score Based on Normalized Reported Factors]]+FMS_Ranking4[[#This Row],[% NBS Score (Normalized)]]+(FMS_Ranking4[[#This Row],[Water Supply Score (Normalized)]]*10*$BB$5)+(FMS_Ranking4[[#This Row],[FMS_Type Score Weighted]])</f>
        <v>#REF!</v>
      </c>
      <c r="BT233" s="200" t="e">
        <f>_xlfn.RANK.EQ(FMS_Ranking4[[#This Row],[Log Total Score]],FMS_Ranking4[Log Total Score],0)</f>
        <v>#REF!</v>
      </c>
      <c r="BU233" s="200" t="e">
        <f>_xlfn.XLOOKUP(FMS_Ranking4[[#This Row],[FMS ID]],#REF!,#REF!)</f>
        <v>#REF!</v>
      </c>
      <c r="BV233" s="200">
        <f>FMS_Ranking4[[#This Row],[Region Number]]</f>
        <v>2</v>
      </c>
      <c r="BW233" s="200">
        <f>FMS_Ranking4[[#This Row],[Rank (with ArcSinh normalization of select criteria)]]-FMS_Ranking4[[#This Row],[Rank
(with linear
normalization)]]</f>
        <v>-43</v>
      </c>
      <c r="BX233" s="200" t="e">
        <f>FMS_Ranking4[[#This Row],[Log Rank]]-FMS_Ranking4[[#This Row],[Rank
(with linear
normalization)]]</f>
        <v>#REF!</v>
      </c>
      <c r="BY233" s="200" t="str">
        <f>IF(FMS_Ranking4[[#This Row],[FMS Type]]="Flood Measurement and Warning",FMS_Ranking4[[#This Row],[Rank (with ArcSinh normalization of select criteria)]],"")</f>
        <v/>
      </c>
      <c r="BZ233" s="200">
        <f>IF(FMS_Ranking4[[#This Row],[FMS Type]]="Regulatory and Guidance",FMS_Ranking4[[#This Row],[Rank (with ArcSinh normalization of select criteria)]],"")</f>
        <v>226</v>
      </c>
      <c r="CA233" s="200" t="str">
        <f>IF(FMS_Ranking4[[#This Row],[FMS Type]]="Education and Outreach",FMS_Ranking4[[#This Row],[Rank (with ArcSinh normalization of select criteria)]],"")</f>
        <v/>
      </c>
      <c r="CB233" s="200" t="str">
        <f>IF(FMS_Ranking4[[#This Row],[FMS Type]]="Property Acquisition and Structural Elevation",FMS_Ranking4[[#This Row],[Rank (with ArcSinh normalization of select criteria)]],"")</f>
        <v/>
      </c>
      <c r="CC233" s="200" t="str">
        <f>IF(FMS_Ranking4[[#This Row],[FMS Type]]="Infrastructure Projects",FMS_Ranking4[[#This Row],[Rank (with ArcSinh normalization of select criteria)]],"")</f>
        <v/>
      </c>
      <c r="CD233" s="200" t="str">
        <f>IF(FMS_Ranking4[[#This Row],[FMS Type]]="Other",FMS_Ranking4[[#This Row],[Rank (with ArcSinh normalization of select criteria)]],"")</f>
        <v/>
      </c>
      <c r="CE233" s="201"/>
      <c r="CF233" s="206"/>
      <c r="CG233" s="206"/>
      <c r="CH233" s="206"/>
      <c r="CI233" s="206"/>
      <c r="CJ233" s="206"/>
      <c r="CK233" s="206"/>
      <c r="CL233" s="206"/>
      <c r="CM233" s="206"/>
      <c r="CN233" s="206"/>
      <c r="CO233" s="206"/>
      <c r="CP233" s="206"/>
      <c r="CQ233" s="206"/>
      <c r="CR233" s="206"/>
    </row>
    <row r="234" spans="2:96" ht="30" x14ac:dyDescent="0.25">
      <c r="B234" s="341" t="s">
        <v>558</v>
      </c>
      <c r="C234" s="246">
        <f>_xlfn.XLOOKUP(FMS_Ranking4[[#This Row],[FMS ID]],FMS_Input[FMS_ID],FMS_Input[RFPG_NUM])</f>
        <v>9</v>
      </c>
      <c r="D234" s="309" t="str">
        <f>_xlfn.XLOOKUP(FMS_Ranking4[[#This Row],[FMS ID]],FMS_Input[FMS_ID],FMS_Input[FMS_NAME])</f>
        <v>City of O'Donnell NFIP Application</v>
      </c>
      <c r="E234" s="308" t="str">
        <f>_xlfn.XLOOKUP(FMS_Ranking4[[#This Row],[FMS ID]],FMS_Input[FMS_ID],FMS_Input[SPONSOR])</f>
        <v>00000117</v>
      </c>
      <c r="F234" s="309" t="str">
        <f>_xlfn.XLOOKUP(FMS_Ranking4[[#This Row],[FMS ID]],Sponsor[FMS_ID],Sponsor[SPONSOR NAME])</f>
        <v>Dawson</v>
      </c>
      <c r="G234" s="309" t="str">
        <f>_xlfn.XLOOKUP(FMS_Ranking4[[#This Row],[FMS ID]],FMS_Input[FMS_ID],FMS_Input[FMS_DESCR])</f>
        <v>Application to join the NFIP.</v>
      </c>
      <c r="H234" s="248" t="str">
        <f>_xlfn.XLOOKUP(FMS_Ranking4[[#This Row],[FMS ID]],FMS_Input[FMS_ID],FMS_Input[FMS_TYPE])</f>
        <v>Other</v>
      </c>
      <c r="I234" s="249">
        <f>_xlfn.XLOOKUP(FMS_Ranking4[[#This Row],[FMS ID]],FMS_Input[FMS_ID],FMS_Input[NRNC_COST])</f>
        <v>5000</v>
      </c>
      <c r="J234" s="250">
        <f>_xlfn.XLOOKUP(FMS_Ranking4[[#This Row],[FMS ID]],FMS_Input[FMS_ID],FMS_Input[FMS_COST])</f>
        <v>30000</v>
      </c>
      <c r="K234" s="251" t="str">
        <f>_xlfn.XLOOKUP(FMS_Ranking4[[#This Row],[FMS ID]],FMS_Input[FMS_ID],FMS_Input[EMER_NEED])</f>
        <v>No</v>
      </c>
      <c r="L234" s="252">
        <f t="shared" si="3"/>
        <v>0</v>
      </c>
      <c r="M234" s="253">
        <f>_xlfn.XLOOKUP(FMS_Ranking4[[#This Row],[FMS ID]],FMS_Input[FMS_ID],FMS_Input[STRUCT_100])</f>
        <v>284</v>
      </c>
      <c r="N234" s="255">
        <f>(ASINH(FMS_Ranking4[[#This Row],[Structure at Risk Raw]]))*(10)/(ASINH(M$4))</f>
        <v>4.9858541728170556</v>
      </c>
      <c r="O234" s="256">
        <f>FMS_Ranking4[[#This Row],[Structures at risk, ArcSinh (0-10)]]*M$5*10</f>
        <v>4.9858541728170556</v>
      </c>
      <c r="P234" s="253">
        <f>_xlfn.XLOOKUP(FMS_Ranking4[[#This Row],[FMS ID]],FMS_Input[FMS_ID],FMS_Input[RES_STRUCT100])</f>
        <v>184</v>
      </c>
      <c r="Q234" s="257">
        <f>ASINH(FMS_Ranking4[[#This Row],[Res Structure Raw]])/Q$4*P$5*100</f>
        <v>0</v>
      </c>
      <c r="R234" s="253">
        <f>_xlfn.XLOOKUP(FMS_Ranking4[[#This Row],[FMS ID]],FMS_Input[FMS_ID],FMS_Input[POP100])</f>
        <v>250</v>
      </c>
      <c r="S234" s="255">
        <f>(ASINH(FMS_Ranking4[[#This Row],[Pop at Risk Raw]]))*(10)/(ASINH(R$4))</f>
        <v>4.2903085333840432</v>
      </c>
      <c r="T234" s="256">
        <f>FMS_Ranking4[[#This Row],[Population at risk, ArcSinh (0-10)]]*R$5*10</f>
        <v>4.2903085333840432</v>
      </c>
      <c r="U234" s="253">
        <f>_xlfn.XLOOKUP(FMS_Ranking4[[#This Row],[FMS ID]],FMS_Input[FMS_ID],FMS_Input[CRITFAC100])</f>
        <v>1</v>
      </c>
      <c r="V234" s="255">
        <f>(ASINH(FMS_Ranking4[[#This Row],[Critical Facilities Raw]]))*(10)/(ASINH(U$4))</f>
        <v>1.0433384451410745</v>
      </c>
      <c r="W234" s="256">
        <f>FMS_Ranking4[[#This Row],[Critical facilities at risk, ArcSinh (0-10)]]*U$5*10</f>
        <v>1.0433384451410745</v>
      </c>
      <c r="X234" s="253">
        <f>_xlfn.XLOOKUP(FMS_Ranking4[[#This Row],[FMS ID]],FMS_Input[FMS_ID],FMS_Input[LWC])</f>
        <v>0</v>
      </c>
      <c r="Y234" s="255">
        <f>(ASINH(FMS_Ranking4[[#This Row],[LWC Raw]]))*(10)/(ASINH(X$4))</f>
        <v>0</v>
      </c>
      <c r="Z234" s="256">
        <f>FMS_Ranking4[[#This Row],[LWC, ArcSInh (0-10)]]*X$5*10</f>
        <v>0</v>
      </c>
      <c r="AA234" s="253">
        <f>_xlfn.XLOOKUP(FMS_Ranking4[[#This Row],[FMS ID]],FMS_Input[FMS_ID],FMS_Input[ROADCLS])</f>
        <v>0</v>
      </c>
      <c r="AB234" s="255">
        <f>(ASINH(FMS_Ranking4[[#This Row],[Road Closures Raw]]))*(10)/(ASINH(AA$4))</f>
        <v>0</v>
      </c>
      <c r="AC234" s="256">
        <f>FMS_Ranking4[[#This Row],[Road closures, ArcSinh (0-10)]]*AA$5*10</f>
        <v>0</v>
      </c>
      <c r="AD234" s="253">
        <f>_xlfn.XLOOKUP(FMS_Ranking4[[#This Row],[FMS ID]],FMS_Input[FMS_ID],FMS_Input[ROAD_MILES100])</f>
        <v>10</v>
      </c>
      <c r="AE234" s="255">
        <f>(ASINH(FMS_Ranking4[[#This Row],[Road Miles Raw]]))*(10)/(ASINH(AD$4))</f>
        <v>3.1952807811982975</v>
      </c>
      <c r="AF234" s="256">
        <f>FMS_Ranking4[[#This Row],[Length of roads at risk, ArcSinh (0-10)]]*AD$5*10</f>
        <v>3.1952807811982975</v>
      </c>
      <c r="AG234" s="253">
        <f>_xlfn.XLOOKUP(FMS_Ranking4[[#This Row],[FMS ID]],FMS_Input[FMS_ID],FMS_Input[FARMACRE100])</f>
        <v>97.299110412597656</v>
      </c>
      <c r="AH234" s="255">
        <f>(ASINH(FMS_Ranking4[[#This Row],[Ag Land Raw]]))*(10)/(ASINH(AG$4))</f>
        <v>3.4239201716014147</v>
      </c>
      <c r="AI234" s="260">
        <f>FMS_Ranking4[[#This Row],[Farm &amp; ranch land, ArcSinh (0-10)]]*AG$5*10</f>
        <v>1.7119600858007076</v>
      </c>
      <c r="AJ234" s="258">
        <f>_xlfn.XLOOKUP(FMS_Ranking4[[#This Row],[FMS ID]],FMS_Input[FMS_ID],FMS_Input[REDSTRUCT100])</f>
        <v>71</v>
      </c>
      <c r="AK234" s="253">
        <f>_xlfn.XLOOKUP(FMS_Ranking4[[#This Row],[FMS ID]],FMS_Input[FMS_ID],FMS_Input[REMSTRC100])</f>
        <v>71</v>
      </c>
      <c r="AL234" s="255">
        <f>(ASINH(FMS_Ranking4[[#This Row],[Structures Removed Raw]]))*(10)/(ASINH(AK$4))</f>
        <v>5.6426193164875462</v>
      </c>
      <c r="AM234" s="262">
        <f>FMS_Ranking4[[#This Row],[Structures removed, ArcSinh (0-10)]]*AK$5*10</f>
        <v>5.6426193164875462</v>
      </c>
      <c r="AN234" s="253">
        <f>_xlfn.XLOOKUP(FMS_Ranking4[[#This Row],[FMS ID]],FMS_Input[FMS_ID],FMS_Input[REMRESSTRC100])</f>
        <v>46</v>
      </c>
      <c r="AO234" s="261">
        <f>FMS_Ranking4[[#This Row],[ArcSinh Res struct removed 0-10]]*AN$5*10</f>
        <v>2.652217961869157</v>
      </c>
      <c r="AP234" s="260">
        <f>ASINH(FMS_Ranking4[[#This Row],[Residential Structures Removed Raw]])/AP$4*AN$5*100</f>
        <v>2.6522179618691575</v>
      </c>
      <c r="AQ234" s="258">
        <f>(ASINH(FMS_Ranking4[[#This Row],[Residential Structures Removed Raw]]))*(10)/(ASINH(AN$4))</f>
        <v>5.3044359237383141</v>
      </c>
      <c r="AR234" s="253">
        <f>_xlfn.XLOOKUP(FMS_Ranking4[[#This Row],[FMS ID]],FMS_Input[FMS_ID],FMS_Input[REMPOP100])</f>
        <v>97</v>
      </c>
      <c r="AS234" s="255">
        <f>(ASINH(FMS_Ranking4[[#This Row],[Removed Pop Raw]]))*(10)/(ASINH(AR$4))</f>
        <v>5.1710633396214565</v>
      </c>
      <c r="AT234" s="262">
        <f>FMS_Ranking4[[#This Row],[Removed population, ArcSinh (0-10)]]*AR$5*10</f>
        <v>5.1710633396214565</v>
      </c>
      <c r="AU234" s="264">
        <f>_xlfn.XLOOKUP(FMS_Ranking4[[#This Row],[FMS ID]],FMS_Input[FMS_ID],FMS_Input[REMCRITFAC100])</f>
        <v>0</v>
      </c>
      <c r="AV234" s="264">
        <f>_xlfn.XLOOKUP(FMS_Ranking4[[#This Row],[FMS ID]],FMS_Input[FMS_ID],FMS_Input[REMLWC100])</f>
        <v>0</v>
      </c>
      <c r="AW234" s="264">
        <f>_xlfn.XLOOKUP(FMS_Ranking4[[#This Row],[FMS ID]],FMS_Input[FMS_ID],FMS_Input[REMROADCLS])</f>
        <v>0</v>
      </c>
      <c r="AX234" s="264">
        <f>_xlfn.XLOOKUP(FMS_Ranking4[[#This Row],[FMS ID]],FMS_Input[FMS_ID],FMS_Input[REMFRMACRE100])</f>
        <v>24.324777603149411</v>
      </c>
      <c r="AY234" s="258">
        <f>_xlfn.XLOOKUP(FMS_Ranking4[[#This Row],[FMS ID]],FMS_Input[FMS_ID],FMS_Input[COSTSTRUCT])</f>
        <v>25000</v>
      </c>
      <c r="AZ234" s="253">
        <f>_xlfn.XLOOKUP(FMS_Ranking4[[#This Row],[FMS ID]],FMS_Input[FMS_ID],FMS_Input[NATURE])</f>
        <v>0</v>
      </c>
      <c r="BA234" s="262">
        <f>(((FMS_Ranking4[[#This Row],[% NBS Raw]]/AZ$4)*100)*AZ$5)</f>
        <v>0</v>
      </c>
      <c r="BB234" s="251" t="str">
        <f>_xlfn.XLOOKUP(FMS_Ranking4[[#This Row],[FMS ID]],FMS_Input[FMS_ID],FMS_Input[WATER_SUP])</f>
        <v>No</v>
      </c>
      <c r="BC234" s="265">
        <f>IF(FMS_Ranking4[[#This Row],[Water Supply Raw]]="Yes",10,0)</f>
        <v>0</v>
      </c>
      <c r="BD234" s="266">
        <f>_xlfn.XLOOKUP(FMS_Ranking4[[#This Row],[FMS Type]],FMS_TYPE[FMS_Type],FMS_TYPE[Score])</f>
        <v>2</v>
      </c>
      <c r="BE234" s="267">
        <f>FMS_Ranking4[[#This Row],[FMS_Type Score]]*$BD$5*10</f>
        <v>0.5</v>
      </c>
      <c r="BF23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4.0854921355116293E-2</v>
      </c>
      <c r="BG234" s="321">
        <f>_xlfn.RANK.EQ(BF234,$BF$8:$BF$870,0)+COUNTIF($BF$8:BF234,BF234)-1</f>
        <v>577</v>
      </c>
      <c r="BH234" s="294">
        <f>(((FMS_Ranking4[[#This Row],[Structures Removed Raw]]/AK$4)*100)*AK$5)+(((FMS_Ranking4[[#This Row],[Removed Pop Raw]]/AR$4)*100)*AR$5)</f>
        <v>0.29076129327389211</v>
      </c>
      <c r="BI23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0.83161621462900848</v>
      </c>
      <c r="BJ234" s="251">
        <f>_xlfn.RANK.EQ(FMS_Ranking4[[#This Row],[Total Score 
(with linear
normalization)]],FMS_Ranking4[Total Score 
(with linear
normalization)],0)</f>
        <v>772</v>
      </c>
      <c r="BK234" s="251" t="e">
        <f>_xlfn.XLOOKUP(FMS_Ranking4[[#This Row],[FMS ID]],#REF!,#REF!)</f>
        <v>#REF!</v>
      </c>
      <c r="BL23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28.692642636319334</v>
      </c>
      <c r="BM234" s="324">
        <f>FMS_Ranking4[[#This Row],[ArcSinh Score Based on Normalized Reported Factors]]+FMS_Ranking4[[#This Row],[% NBS Score (Normalized)]]+(FMS_Ranking4[[#This Row],[Water Supply Score (Normalized)]]*10*$BB$5)+FMS_Ranking4[[#This Row],[FMS_Type Score Weighted]]</f>
        <v>29.192642636319334</v>
      </c>
      <c r="BN234" s="251">
        <f>_xlfn.RANK.EQ(FMS_Ranking4[[#This Row],[Total Score (with ArcSinh normalization of select criteria)]],FMS_Ranking4[Total Score (with ArcSinh normalization of select criteria)],0)</f>
        <v>227</v>
      </c>
      <c r="BO234" s="270" t="str">
        <f>_xlfn.XLOOKUP(FMS_Ranking4[[#This Row],[FMS ID]],FMS_Input[FMS_ID],FMS_Input[FMS_RANK_YEAR])</f>
        <v>2023 Amended Plan</v>
      </c>
      <c r="BP234" s="204">
        <f>_xlfn.XLOOKUP(FMS_Ranking4[[#This Row],[FMS ID]],Prev_Rank[FMS ID],Prev_Rank[Prev Rank])</f>
        <v>224</v>
      </c>
      <c r="BQ234" s="251" t="e">
        <f>_xlfn.XLOOKUP(FMS_Ranking4[[#This Row],[FMS ID]],#REF!,#REF!)</f>
        <v>#REF!</v>
      </c>
      <c r="BR234" s="199" t="e">
        <f>SUM(#REF!,#REF!,#REF!,#REF!,#REF!,#REF!,#REF!,#REF!,#REF!,FMS_Ranking4[[#This Row],[ArcSinh Res struct removed 0-10]],#REF!)</f>
        <v>#REF!</v>
      </c>
      <c r="BS234" s="199" t="e">
        <f>FMS_Ranking4[[#This Row],[Log Score Based on Normalized Reported Factors]]+FMS_Ranking4[[#This Row],[% NBS Score (Normalized)]]+(FMS_Ranking4[[#This Row],[Water Supply Score (Normalized)]]*10*$BB$5)+(FMS_Ranking4[[#This Row],[FMS_Type Score Weighted]])</f>
        <v>#REF!</v>
      </c>
      <c r="BT234" s="200" t="e">
        <f>_xlfn.RANK.EQ(FMS_Ranking4[[#This Row],[Log Total Score]],FMS_Ranking4[Log Total Score],0)</f>
        <v>#REF!</v>
      </c>
      <c r="BU234" s="200" t="e">
        <f>_xlfn.XLOOKUP(FMS_Ranking4[[#This Row],[FMS ID]],#REF!,#REF!)</f>
        <v>#REF!</v>
      </c>
      <c r="BV234" s="200">
        <f>FMS_Ranking4[[#This Row],[Region Number]]</f>
        <v>9</v>
      </c>
      <c r="BW234" s="200">
        <f>FMS_Ranking4[[#This Row],[Rank (with ArcSinh normalization of select criteria)]]-FMS_Ranking4[[#This Row],[Rank
(with linear
normalization)]]</f>
        <v>-545</v>
      </c>
      <c r="BX234" s="200" t="e">
        <f>FMS_Ranking4[[#This Row],[Log Rank]]-FMS_Ranking4[[#This Row],[Rank
(with linear
normalization)]]</f>
        <v>#REF!</v>
      </c>
      <c r="BY234" s="200" t="str">
        <f>IF(FMS_Ranking4[[#This Row],[FMS Type]]="Flood Measurement and Warning",FMS_Ranking4[[#This Row],[Rank (with ArcSinh normalization of select criteria)]],"")</f>
        <v/>
      </c>
      <c r="BZ234" s="200" t="str">
        <f>IF(FMS_Ranking4[[#This Row],[FMS Type]]="Regulatory and Guidance",FMS_Ranking4[[#This Row],[Rank (with ArcSinh normalization of select criteria)]],"")</f>
        <v/>
      </c>
      <c r="CA234" s="200" t="str">
        <f>IF(FMS_Ranking4[[#This Row],[FMS Type]]="Education and Outreach",FMS_Ranking4[[#This Row],[Rank (with ArcSinh normalization of select criteria)]],"")</f>
        <v/>
      </c>
      <c r="CB234" s="200" t="str">
        <f>IF(FMS_Ranking4[[#This Row],[FMS Type]]="Property Acquisition and Structural Elevation",FMS_Ranking4[[#This Row],[Rank (with ArcSinh normalization of select criteria)]],"")</f>
        <v/>
      </c>
      <c r="CC234" s="200" t="str">
        <f>IF(FMS_Ranking4[[#This Row],[FMS Type]]="Infrastructure Projects",FMS_Ranking4[[#This Row],[Rank (with ArcSinh normalization of select criteria)]],"")</f>
        <v/>
      </c>
      <c r="CD234" s="200">
        <f>IF(FMS_Ranking4[[#This Row],[FMS Type]]="Other",FMS_Ranking4[[#This Row],[Rank (with ArcSinh normalization of select criteria)]],"")</f>
        <v>227</v>
      </c>
      <c r="CE234" s="201"/>
      <c r="CF234" s="206"/>
      <c r="CG234" s="206"/>
      <c r="CH234" s="206"/>
      <c r="CI234" s="206"/>
      <c r="CJ234" s="206"/>
      <c r="CK234" s="206"/>
      <c r="CL234" s="206"/>
      <c r="CM234" s="206"/>
      <c r="CN234" s="206"/>
      <c r="CO234" s="206"/>
      <c r="CP234" s="206"/>
      <c r="CQ234" s="206"/>
      <c r="CR234" s="206"/>
    </row>
    <row r="235" spans="2:96" ht="105" x14ac:dyDescent="0.25">
      <c r="B235" s="341" t="s">
        <v>2173</v>
      </c>
      <c r="C235" s="246">
        <f>_xlfn.XLOOKUP(FMS_Ranking4[[#This Row],[FMS ID]],FMS_Input[FMS_ID],FMS_Input[RFPG_NUM])</f>
        <v>3</v>
      </c>
      <c r="D235" s="309" t="str">
        <f>_xlfn.XLOOKUP(FMS_Ranking4[[#This Row],[FMS ID]],FMS_Input[FMS_ID],FMS_Input[FMS_NAME])</f>
        <v>Rowlett Creek Tributary Maintenance Program</v>
      </c>
      <c r="E235" s="308" t="str">
        <f>_xlfn.XLOOKUP(FMS_Ranking4[[#This Row],[FMS ID]],FMS_Input[FMS_ID],FMS_Input[SPONSOR])</f>
        <v>Sachse</v>
      </c>
      <c r="F235" s="309" t="str">
        <f>_xlfn.XLOOKUP(FMS_Ranking4[[#This Row],[FMS ID]],Sponsor[FMS_ID],Sponsor[SPONSOR NAME])</f>
        <v>Sachse</v>
      </c>
      <c r="G235" s="309" t="str">
        <f>_xlfn.XLOOKUP(FMS_Ranking4[[#This Row],[FMS ID]],FMS_Input[FMS_ID],FMS_Input[FMS_DESCR])</f>
        <v>Develop a maintenance program including routine channel maintenance and erosion control for Rowlett Creek Tributary (Stream 2D13). Keep creek and inlets clear of debris and overgrown vegetation.</v>
      </c>
      <c r="H235" s="248" t="str">
        <f>_xlfn.XLOOKUP(FMS_Ranking4[[#This Row],[FMS ID]],FMS_Input[FMS_ID],FMS_Input[FMS_TYPE])</f>
        <v>Other</v>
      </c>
      <c r="I235" s="249">
        <f>_xlfn.XLOOKUP(FMS_Ranking4[[#This Row],[FMS ID]],FMS_Input[FMS_ID],FMS_Input[NRNC_COST])</f>
        <v>250000</v>
      </c>
      <c r="J235" s="250">
        <f>_xlfn.XLOOKUP(FMS_Ranking4[[#This Row],[FMS ID]],FMS_Input[FMS_ID],FMS_Input[FMS_COST])</f>
        <v>250000</v>
      </c>
      <c r="K235" s="251" t="str">
        <f>_xlfn.XLOOKUP(FMS_Ranking4[[#This Row],[FMS ID]],FMS_Input[FMS_ID],FMS_Input[EMER_NEED])</f>
        <v>No</v>
      </c>
      <c r="L235" s="252">
        <f t="shared" si="3"/>
        <v>0</v>
      </c>
      <c r="M235" s="253">
        <f>_xlfn.XLOOKUP(FMS_Ranking4[[#This Row],[FMS ID]],FMS_Input[FMS_ID],FMS_Input[STRUCT_100])</f>
        <v>1005</v>
      </c>
      <c r="N235" s="255">
        <f>(ASINH(FMS_Ranking4[[#This Row],[Structure at Risk Raw]]))*(10)/(ASINH(M$4))</f>
        <v>5.9793622033856435</v>
      </c>
      <c r="O235" s="256">
        <f>FMS_Ranking4[[#This Row],[Structures at risk, ArcSinh (0-10)]]*M$5*10</f>
        <v>5.9793622033856444</v>
      </c>
      <c r="P235" s="253">
        <f>_xlfn.XLOOKUP(FMS_Ranking4[[#This Row],[FMS ID]],FMS_Input[FMS_ID],FMS_Input[RES_STRUCT100])</f>
        <v>944</v>
      </c>
      <c r="Q235" s="257">
        <f>ASINH(FMS_Ranking4[[#This Row],[Res Structure Raw]])/Q$4*P$5*100</f>
        <v>0</v>
      </c>
      <c r="R235" s="253">
        <f>_xlfn.XLOOKUP(FMS_Ranking4[[#This Row],[FMS ID]],FMS_Input[FMS_ID],FMS_Input[POP100])</f>
        <v>6348</v>
      </c>
      <c r="S235" s="255">
        <f>(ASINH(FMS_Ranking4[[#This Row],[Pop at Risk Raw]]))*(10)/(ASINH(R$4))</f>
        <v>6.5232239815765176</v>
      </c>
      <c r="T235" s="256">
        <f>FMS_Ranking4[[#This Row],[Population at risk, ArcSinh (0-10)]]*R$5*10</f>
        <v>6.5232239815765176</v>
      </c>
      <c r="U235" s="253">
        <f>_xlfn.XLOOKUP(FMS_Ranking4[[#This Row],[FMS ID]],FMS_Input[FMS_ID],FMS_Input[CRITFAC100])</f>
        <v>10</v>
      </c>
      <c r="V235" s="255">
        <f>(ASINH(FMS_Ranking4[[#This Row],[Critical Facilities Raw]]))*(10)/(ASINH(U$4))</f>
        <v>3.5491888084919516</v>
      </c>
      <c r="W235" s="256">
        <f>FMS_Ranking4[[#This Row],[Critical facilities at risk, ArcSinh (0-10)]]*U$5*10</f>
        <v>3.5491888084919521</v>
      </c>
      <c r="X235" s="253">
        <f>_xlfn.XLOOKUP(FMS_Ranking4[[#This Row],[FMS ID]],FMS_Input[FMS_ID],FMS_Input[LWC])</f>
        <v>39</v>
      </c>
      <c r="Y235" s="255">
        <f>(ASINH(FMS_Ranking4[[#This Row],[LWC Raw]]))*(10)/(ASINH(X$4))</f>
        <v>5.902420652534226</v>
      </c>
      <c r="Z235" s="256">
        <f>FMS_Ranking4[[#This Row],[LWC, ArcSInh (0-10)]]*X$5*10</f>
        <v>5.902420652534226</v>
      </c>
      <c r="AA235" s="253">
        <f>_xlfn.XLOOKUP(FMS_Ranking4[[#This Row],[FMS ID]],FMS_Input[FMS_ID],FMS_Input[ROADCLS])</f>
        <v>0</v>
      </c>
      <c r="AB235" s="255">
        <f>(ASINH(FMS_Ranking4[[#This Row],[Road Closures Raw]]))*(10)/(ASINH(AA$4))</f>
        <v>0</v>
      </c>
      <c r="AC235" s="256">
        <f>FMS_Ranking4[[#This Row],[Road closures, ArcSinh (0-10)]]*AA$5*10</f>
        <v>0</v>
      </c>
      <c r="AD235" s="253">
        <f>_xlfn.XLOOKUP(FMS_Ranking4[[#This Row],[FMS ID]],FMS_Input[FMS_ID],FMS_Input[ROAD_MILES100])</f>
        <v>30</v>
      </c>
      <c r="AE235" s="255">
        <f>(ASINH(FMS_Ranking4[[#This Row],[Road Miles Raw]]))*(10)/(ASINH(AD$4))</f>
        <v>4.3637407612967882</v>
      </c>
      <c r="AF235" s="256">
        <f>FMS_Ranking4[[#This Row],[Length of roads at risk, ArcSinh (0-10)]]*AD$5*10</f>
        <v>4.3637407612967882</v>
      </c>
      <c r="AG235" s="253">
        <f>_xlfn.XLOOKUP(FMS_Ranking4[[#This Row],[FMS ID]],FMS_Input[FMS_ID],FMS_Input[FARMACRE100])</f>
        <v>627.4970703125</v>
      </c>
      <c r="AH235" s="255">
        <f>(ASINH(FMS_Ranking4[[#This Row],[Ag Land Raw]]))*(10)/(ASINH(AG$4))</f>
        <v>4.6346902624059911</v>
      </c>
      <c r="AI235" s="260">
        <f>FMS_Ranking4[[#This Row],[Farm &amp; ranch land, ArcSinh (0-10)]]*AG$5*10</f>
        <v>2.3173451312029956</v>
      </c>
      <c r="AJ235" s="258">
        <f>_xlfn.XLOOKUP(FMS_Ranking4[[#This Row],[FMS ID]],FMS_Input[FMS_ID],FMS_Input[REDSTRUCT100])</f>
        <v>0</v>
      </c>
      <c r="AK235" s="253">
        <f>_xlfn.XLOOKUP(FMS_Ranking4[[#This Row],[FMS ID]],FMS_Input[FMS_ID],FMS_Input[REMSTRC100])</f>
        <v>0</v>
      </c>
      <c r="AL235" s="255">
        <f>(ASINH(FMS_Ranking4[[#This Row],[Structures Removed Raw]]))*(10)/(ASINH(AK$4))</f>
        <v>0</v>
      </c>
      <c r="AM235" s="262">
        <f>FMS_Ranking4[[#This Row],[Structures removed, ArcSinh (0-10)]]*AK$5*10</f>
        <v>0</v>
      </c>
      <c r="AN235" s="253">
        <f>_xlfn.XLOOKUP(FMS_Ranking4[[#This Row],[FMS ID]],FMS_Input[FMS_ID],FMS_Input[REMRESSTRC100])</f>
        <v>0</v>
      </c>
      <c r="AO235" s="261">
        <f>FMS_Ranking4[[#This Row],[ArcSinh Res struct removed 0-10]]*AN$5*10</f>
        <v>0</v>
      </c>
      <c r="AP235" s="260">
        <f>ASINH(FMS_Ranking4[[#This Row],[Residential Structures Removed Raw]])/AP$4*AN$5*100</f>
        <v>0</v>
      </c>
      <c r="AQ235" s="258">
        <f>(ASINH(FMS_Ranking4[[#This Row],[Residential Structures Removed Raw]]))*(10)/(ASINH(AN$4))</f>
        <v>0</v>
      </c>
      <c r="AR235" s="253">
        <f>_xlfn.XLOOKUP(FMS_Ranking4[[#This Row],[FMS ID]],FMS_Input[FMS_ID],FMS_Input[REMPOP100])</f>
        <v>0</v>
      </c>
      <c r="AS235" s="255">
        <f>(ASINH(FMS_Ranking4[[#This Row],[Removed Pop Raw]]))*(10)/(ASINH(AR$4))</f>
        <v>0</v>
      </c>
      <c r="AT235" s="262">
        <f>FMS_Ranking4[[#This Row],[Removed population, ArcSinh (0-10)]]*AR$5*10</f>
        <v>0</v>
      </c>
      <c r="AU235" s="264">
        <f>_xlfn.XLOOKUP(FMS_Ranking4[[#This Row],[FMS ID]],FMS_Input[FMS_ID],FMS_Input[REMCRITFAC100])</f>
        <v>0</v>
      </c>
      <c r="AV235" s="264">
        <f>_xlfn.XLOOKUP(FMS_Ranking4[[#This Row],[FMS ID]],FMS_Input[FMS_ID],FMS_Input[REMLWC100])</f>
        <v>0</v>
      </c>
      <c r="AW235" s="264">
        <f>_xlfn.XLOOKUP(FMS_Ranking4[[#This Row],[FMS ID]],FMS_Input[FMS_ID],FMS_Input[REMROADCLS])</f>
        <v>0</v>
      </c>
      <c r="AX235" s="264">
        <f>_xlfn.XLOOKUP(FMS_Ranking4[[#This Row],[FMS ID]],FMS_Input[FMS_ID],FMS_Input[REMFRMACRE100])</f>
        <v>0</v>
      </c>
      <c r="AY235" s="258">
        <f>_xlfn.XLOOKUP(FMS_Ranking4[[#This Row],[FMS ID]],FMS_Input[FMS_ID],FMS_Input[COSTSTRUCT])</f>
        <v>0</v>
      </c>
      <c r="AZ235" s="253">
        <f>_xlfn.XLOOKUP(FMS_Ranking4[[#This Row],[FMS ID]],FMS_Input[FMS_ID],FMS_Input[NATURE])</f>
        <v>0</v>
      </c>
      <c r="BA235" s="262">
        <f>(((FMS_Ranking4[[#This Row],[% NBS Raw]]/AZ$4)*100)*AZ$5)</f>
        <v>0</v>
      </c>
      <c r="BB235" s="251" t="str">
        <f>_xlfn.XLOOKUP(FMS_Ranking4[[#This Row],[FMS ID]],FMS_Input[FMS_ID],FMS_Input[WATER_SUP])</f>
        <v>No</v>
      </c>
      <c r="BC235" s="265">
        <f>IF(FMS_Ranking4[[#This Row],[Water Supply Raw]]="Yes",10,0)</f>
        <v>0</v>
      </c>
      <c r="BD235" s="266">
        <f>_xlfn.XLOOKUP(FMS_Ranking4[[#This Row],[FMS Type]],FMS_TYPE[FMS_Type],FMS_TYPE[Score])</f>
        <v>2</v>
      </c>
      <c r="BE235" s="267">
        <f>FMS_Ranking4[[#This Row],[FMS_Type Score]]*$BD$5*10</f>
        <v>0.5</v>
      </c>
      <c r="BF23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0.70540872377108332</v>
      </c>
      <c r="BG235" s="321">
        <f>_xlfn.RANK.EQ(BF235,$BF$8:$BF$870,0)+COUNTIF($BF$8:BF235,BF235)-1</f>
        <v>183</v>
      </c>
      <c r="BH235" s="294">
        <f>(((FMS_Ranking4[[#This Row],[Structures Removed Raw]]/AK$4)*100)*AK$5)+(((FMS_Ranking4[[#This Row],[Removed Pop Raw]]/AR$4)*100)*AR$5)</f>
        <v>0</v>
      </c>
      <c r="BI23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1.2054087237710833</v>
      </c>
      <c r="BJ235" s="251">
        <f>_xlfn.RANK.EQ(FMS_Ranking4[[#This Row],[Total Score 
(with linear
normalization)]],FMS_Ranking4[Total Score 
(with linear
normalization)],0)</f>
        <v>644</v>
      </c>
      <c r="BK235" s="251" t="e">
        <f>_xlfn.XLOOKUP(FMS_Ranking4[[#This Row],[FMS ID]],#REF!,#REF!)</f>
        <v>#REF!</v>
      </c>
      <c r="BL23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28.635281538488123</v>
      </c>
      <c r="BM235" s="324">
        <f>FMS_Ranking4[[#This Row],[ArcSinh Score Based on Normalized Reported Factors]]+FMS_Ranking4[[#This Row],[% NBS Score (Normalized)]]+(FMS_Ranking4[[#This Row],[Water Supply Score (Normalized)]]*10*$BB$5)+FMS_Ranking4[[#This Row],[FMS_Type Score Weighted]]</f>
        <v>29.135281538488123</v>
      </c>
      <c r="BN235" s="251">
        <f>_xlfn.RANK.EQ(FMS_Ranking4[[#This Row],[Total Score (with ArcSinh normalization of select criteria)]],FMS_Ranking4[Total Score (with ArcSinh normalization of select criteria)],0)</f>
        <v>228</v>
      </c>
      <c r="BO235" s="270" t="str">
        <f>_xlfn.XLOOKUP(FMS_Ranking4[[#This Row],[FMS ID]],FMS_Input[FMS_ID],FMS_Input[FMS_RANK_YEAR])</f>
        <v>2023 Amended Plan</v>
      </c>
      <c r="BP235" s="204">
        <f>_xlfn.XLOOKUP(FMS_Ranking4[[#This Row],[FMS ID]],Prev_Rank[FMS ID],Prev_Rank[Prev Rank])</f>
        <v>202</v>
      </c>
      <c r="BQ235" s="251" t="e">
        <f>_xlfn.XLOOKUP(FMS_Ranking4[[#This Row],[FMS ID]],#REF!,#REF!)</f>
        <v>#REF!</v>
      </c>
      <c r="BR235" s="199" t="e">
        <f>SUM(#REF!,#REF!,#REF!,#REF!,#REF!,#REF!,#REF!,#REF!,#REF!,FMS_Ranking4[[#This Row],[ArcSinh Res struct removed 0-10]],#REF!)</f>
        <v>#REF!</v>
      </c>
      <c r="BS235" s="199" t="e">
        <f>FMS_Ranking4[[#This Row],[Log Score Based on Normalized Reported Factors]]+FMS_Ranking4[[#This Row],[% NBS Score (Normalized)]]+(FMS_Ranking4[[#This Row],[Water Supply Score (Normalized)]]*10*$BB$5)+(FMS_Ranking4[[#This Row],[FMS_Type Score Weighted]])</f>
        <v>#REF!</v>
      </c>
      <c r="BT235" s="200" t="e">
        <f>_xlfn.RANK.EQ(FMS_Ranking4[[#This Row],[Log Total Score]],FMS_Ranking4[Log Total Score],0)</f>
        <v>#REF!</v>
      </c>
      <c r="BU235" s="200" t="e">
        <f>_xlfn.XLOOKUP(FMS_Ranking4[[#This Row],[FMS ID]],#REF!,#REF!)</f>
        <v>#REF!</v>
      </c>
      <c r="BV235" s="200">
        <f>FMS_Ranking4[[#This Row],[Region Number]]</f>
        <v>3</v>
      </c>
      <c r="BW235" s="200">
        <f>FMS_Ranking4[[#This Row],[Rank (with ArcSinh normalization of select criteria)]]-FMS_Ranking4[[#This Row],[Rank
(with linear
normalization)]]</f>
        <v>-416</v>
      </c>
      <c r="BX235" s="200" t="e">
        <f>FMS_Ranking4[[#This Row],[Log Rank]]-FMS_Ranking4[[#This Row],[Rank
(with linear
normalization)]]</f>
        <v>#REF!</v>
      </c>
      <c r="BY235" s="200" t="str">
        <f>IF(FMS_Ranking4[[#This Row],[FMS Type]]="Flood Measurement and Warning",FMS_Ranking4[[#This Row],[Rank (with ArcSinh normalization of select criteria)]],"")</f>
        <v/>
      </c>
      <c r="BZ235" s="200" t="str">
        <f>IF(FMS_Ranking4[[#This Row],[FMS Type]]="Regulatory and Guidance",FMS_Ranking4[[#This Row],[Rank (with ArcSinh normalization of select criteria)]],"")</f>
        <v/>
      </c>
      <c r="CA235" s="200" t="str">
        <f>IF(FMS_Ranking4[[#This Row],[FMS Type]]="Education and Outreach",FMS_Ranking4[[#This Row],[Rank (with ArcSinh normalization of select criteria)]],"")</f>
        <v/>
      </c>
      <c r="CB235" s="200" t="str">
        <f>IF(FMS_Ranking4[[#This Row],[FMS Type]]="Property Acquisition and Structural Elevation",FMS_Ranking4[[#This Row],[Rank (with ArcSinh normalization of select criteria)]],"")</f>
        <v/>
      </c>
      <c r="CC235" s="200" t="str">
        <f>IF(FMS_Ranking4[[#This Row],[FMS Type]]="Infrastructure Projects",FMS_Ranking4[[#This Row],[Rank (with ArcSinh normalization of select criteria)]],"")</f>
        <v/>
      </c>
      <c r="CD235" s="200">
        <f>IF(FMS_Ranking4[[#This Row],[FMS Type]]="Other",FMS_Ranking4[[#This Row],[Rank (with ArcSinh normalization of select criteria)]],"")</f>
        <v>228</v>
      </c>
      <c r="CE235" s="201"/>
      <c r="CF235" s="206"/>
      <c r="CG235" s="206"/>
      <c r="CH235" s="206"/>
      <c r="CI235" s="206"/>
      <c r="CJ235" s="206"/>
      <c r="CK235" s="206"/>
      <c r="CL235" s="206"/>
      <c r="CM235" s="206"/>
      <c r="CN235" s="206"/>
      <c r="CO235" s="206"/>
      <c r="CP235" s="206"/>
      <c r="CQ235" s="206"/>
      <c r="CR235" s="206"/>
    </row>
    <row r="236" spans="2:96" ht="105" x14ac:dyDescent="0.25">
      <c r="B236" s="341" t="s">
        <v>2088</v>
      </c>
      <c r="C236" s="246">
        <f>_xlfn.XLOOKUP(FMS_Ranking4[[#This Row],[FMS ID]],FMS_Input[FMS_ID],FMS_Input[RFPG_NUM])</f>
        <v>3</v>
      </c>
      <c r="D236" s="309" t="str">
        <f>_xlfn.XLOOKUP(FMS_Ranking4[[#This Row],[FMS ID]],FMS_Input[FMS_ID],FMS_Input[FMS_NAME])</f>
        <v>Additional Low Water Crossing Flashing Lights and Automated Gates</v>
      </c>
      <c r="E236" s="308" t="str">
        <f>_xlfn.XLOOKUP(FMS_Ranking4[[#This Row],[FMS ID]],FMS_Input[FMS_ID],FMS_Input[SPONSOR])</f>
        <v>Grand Prairie</v>
      </c>
      <c r="F236" s="309" t="str">
        <f>_xlfn.XLOOKUP(FMS_Ranking4[[#This Row],[FMS ID]],Sponsor[FMS_ID],Sponsor[SPONSOR NAME])</f>
        <v>Grand Prairie</v>
      </c>
      <c r="G236" s="309" t="str">
        <f>_xlfn.XLOOKUP(FMS_Ranking4[[#This Row],[FMS ID]],FMS_Input[FMS_ID],FMS_Input[FMS_DESCR])</f>
        <v>Duncan Perry Road between Ave K and Sherwood Drive, Riverside Pkwy LWC (lights already in place need gates added), SW 3rd from Phillips Ct to Dickey Road (gates being added in September 2021)</v>
      </c>
      <c r="H236" s="248" t="str">
        <f>_xlfn.XLOOKUP(FMS_Ranking4[[#This Row],[FMS ID]],FMS_Input[FMS_ID],FMS_Input[FMS_TYPE])</f>
        <v>Flood Measurement and Warning</v>
      </c>
      <c r="I236" s="249">
        <f>_xlfn.XLOOKUP(FMS_Ranking4[[#This Row],[FMS ID]],FMS_Input[FMS_ID],FMS_Input[NRNC_COST])</f>
        <v>25000</v>
      </c>
      <c r="J236" s="250">
        <f>_xlfn.XLOOKUP(FMS_Ranking4[[#This Row],[FMS ID]],FMS_Input[FMS_ID],FMS_Input[FMS_COST])</f>
        <v>250000</v>
      </c>
      <c r="K236" s="251" t="str">
        <f>_xlfn.XLOOKUP(FMS_Ranking4[[#This Row],[FMS ID]],FMS_Input[FMS_ID],FMS_Input[EMER_NEED])</f>
        <v>No</v>
      </c>
      <c r="L236" s="252">
        <f t="shared" si="3"/>
        <v>0</v>
      </c>
      <c r="M236" s="253">
        <f>_xlfn.XLOOKUP(FMS_Ranking4[[#This Row],[FMS ID]],FMS_Input[FMS_ID],FMS_Input[STRUCT_100])</f>
        <v>442</v>
      </c>
      <c r="N236" s="255">
        <f>(ASINH(FMS_Ranking4[[#This Row],[Structure at Risk Raw]]))*(10)/(ASINH(M$4))</f>
        <v>5.3335944191408622</v>
      </c>
      <c r="O236" s="256">
        <f>FMS_Ranking4[[#This Row],[Structures at risk, ArcSinh (0-10)]]*M$5*10</f>
        <v>5.3335944191408622</v>
      </c>
      <c r="P236" s="253">
        <f>_xlfn.XLOOKUP(FMS_Ranking4[[#This Row],[FMS ID]],FMS_Input[FMS_ID],FMS_Input[RES_STRUCT100])</f>
        <v>338</v>
      </c>
      <c r="Q236" s="257">
        <f>ASINH(FMS_Ranking4[[#This Row],[Res Structure Raw]])/Q$4*P$5*100</f>
        <v>0</v>
      </c>
      <c r="R236" s="253">
        <f>_xlfn.XLOOKUP(FMS_Ranking4[[#This Row],[FMS ID]],FMS_Input[FMS_ID],FMS_Input[POP100])</f>
        <v>2010</v>
      </c>
      <c r="S236" s="259">
        <f>(ASINH(FMS_Ranking4[[#This Row],[Pop at Risk Raw]]))*(10)/(ASINH(R$4))</f>
        <v>5.7293085619625481</v>
      </c>
      <c r="T236" s="256">
        <f>FMS_Ranking4[[#This Row],[Population at risk, ArcSinh (0-10)]]*R$5*10</f>
        <v>5.7293085619625481</v>
      </c>
      <c r="U236" s="253">
        <f>_xlfn.XLOOKUP(FMS_Ranking4[[#This Row],[FMS ID]],FMS_Input[FMS_ID],FMS_Input[CRITFAC100])</f>
        <v>8</v>
      </c>
      <c r="V236" s="259">
        <f>(ASINH(FMS_Ranking4[[#This Row],[Critical Facilities Raw]]))*(10)/(ASINH(U$4))</f>
        <v>3.286688318109702</v>
      </c>
      <c r="W236" s="256">
        <f>FMS_Ranking4[[#This Row],[Critical facilities at risk, ArcSinh (0-10)]]*U$5*10</f>
        <v>3.2866883181097024</v>
      </c>
      <c r="X236" s="253">
        <f>_xlfn.XLOOKUP(FMS_Ranking4[[#This Row],[FMS ID]],FMS_Input[FMS_ID],FMS_Input[LWC])</f>
        <v>19</v>
      </c>
      <c r="Y236" s="259">
        <f>(ASINH(FMS_Ranking4[[#This Row],[LWC Raw]]))*(10)/(ASINH(X$4))</f>
        <v>4.9289126022409242</v>
      </c>
      <c r="Z236" s="256">
        <f>FMS_Ranking4[[#This Row],[LWC, ArcSInh (0-10)]]*X$5*10</f>
        <v>4.9289126022409242</v>
      </c>
      <c r="AA236" s="253">
        <f>_xlfn.XLOOKUP(FMS_Ranking4[[#This Row],[FMS ID]],FMS_Input[FMS_ID],FMS_Input[ROADCLS])</f>
        <v>0</v>
      </c>
      <c r="AB236" s="255">
        <f>(ASINH(FMS_Ranking4[[#This Row],[Road Closures Raw]]))*(10)/(ASINH(AA$4))</f>
        <v>0</v>
      </c>
      <c r="AC236" s="256">
        <f>FMS_Ranking4[[#This Row],[Road closures, ArcSinh (0-10)]]*AA$5*10</f>
        <v>0</v>
      </c>
      <c r="AD236" s="253">
        <f>_xlfn.XLOOKUP(FMS_Ranking4[[#This Row],[FMS ID]],FMS_Input[FMS_ID],FMS_Input[ROAD_MILES100])</f>
        <v>40</v>
      </c>
      <c r="AE236" s="259">
        <f>(ASINH(FMS_Ranking4[[#This Row],[Road Miles Raw]]))*(10)/(ASINH(AD$4))</f>
        <v>4.6702012712993621</v>
      </c>
      <c r="AF236" s="256">
        <f>FMS_Ranking4[[#This Row],[Length of roads at risk, ArcSinh (0-10)]]*AD$5*10</f>
        <v>4.6702012712993621</v>
      </c>
      <c r="AG236" s="253">
        <f>_xlfn.XLOOKUP(FMS_Ranking4[[#This Row],[FMS ID]],FMS_Input[FMS_ID],FMS_Input[FARMACRE100])</f>
        <v>1927.255004882812</v>
      </c>
      <c r="AH236" s="255">
        <f>(ASINH(FMS_Ranking4[[#This Row],[Ag Land Raw]]))*(10)/(ASINH(AG$4))</f>
        <v>5.3635936985251726</v>
      </c>
      <c r="AI236" s="260">
        <f>FMS_Ranking4[[#This Row],[Farm &amp; ranch land, ArcSinh (0-10)]]*AG$5*10</f>
        <v>2.6817968492625868</v>
      </c>
      <c r="AJ236" s="258">
        <f>_xlfn.XLOOKUP(FMS_Ranking4[[#This Row],[FMS ID]],FMS_Input[FMS_ID],FMS_Input[REDSTRUCT100])</f>
        <v>0</v>
      </c>
      <c r="AK236" s="253">
        <f>_xlfn.XLOOKUP(FMS_Ranking4[[#This Row],[FMS ID]],FMS_Input[FMS_ID],FMS_Input[REMSTRC100])</f>
        <v>0</v>
      </c>
      <c r="AL236" s="259">
        <f>(ASINH(FMS_Ranking4[[#This Row],[Structures Removed Raw]]))*(10)/(ASINH(AK$4))</f>
        <v>0</v>
      </c>
      <c r="AM236" s="262">
        <f>FMS_Ranking4[[#This Row],[Structures removed, ArcSinh (0-10)]]*AK$5*10</f>
        <v>0</v>
      </c>
      <c r="AN236" s="253">
        <f>_xlfn.XLOOKUP(FMS_Ranking4[[#This Row],[FMS ID]],FMS_Input[FMS_ID],FMS_Input[REMRESSTRC100])</f>
        <v>0</v>
      </c>
      <c r="AO236" s="261">
        <f>FMS_Ranking4[[#This Row],[ArcSinh Res struct removed 0-10]]*AN$5*10</f>
        <v>0</v>
      </c>
      <c r="AP236" s="260">
        <f>ASINH(FMS_Ranking4[[#This Row],[Residential Structures Removed Raw]])/AP$4*AN$5*100</f>
        <v>0</v>
      </c>
      <c r="AQ236" s="254">
        <f>(ASINH(FMS_Ranking4[[#This Row],[Residential Structures Removed Raw]]))*(10)/(ASINH(AN$4))</f>
        <v>0</v>
      </c>
      <c r="AR236" s="253">
        <f>_xlfn.XLOOKUP(FMS_Ranking4[[#This Row],[FMS ID]],FMS_Input[FMS_ID],FMS_Input[REMPOP100])</f>
        <v>0</v>
      </c>
      <c r="AS236" s="259">
        <f>(ASINH(FMS_Ranking4[[#This Row],[Removed Pop Raw]]))*(10)/(ASINH(AR$4))</f>
        <v>0</v>
      </c>
      <c r="AT236" s="262">
        <f>FMS_Ranking4[[#This Row],[Removed population, ArcSinh (0-10)]]*AR$5*10</f>
        <v>0</v>
      </c>
      <c r="AU236" s="264">
        <f>_xlfn.XLOOKUP(FMS_Ranking4[[#This Row],[FMS ID]],FMS_Input[FMS_ID],FMS_Input[REMCRITFAC100])</f>
        <v>0</v>
      </c>
      <c r="AV236" s="264">
        <f>_xlfn.XLOOKUP(FMS_Ranking4[[#This Row],[FMS ID]],FMS_Input[FMS_ID],FMS_Input[REMLWC100])</f>
        <v>0</v>
      </c>
      <c r="AW236" s="264">
        <f>_xlfn.XLOOKUP(FMS_Ranking4[[#This Row],[FMS ID]],FMS_Input[FMS_ID],FMS_Input[REMROADCLS])</f>
        <v>0</v>
      </c>
      <c r="AX236" s="264">
        <f>_xlfn.XLOOKUP(FMS_Ranking4[[#This Row],[FMS ID]],FMS_Input[FMS_ID],FMS_Input[REMFRMACRE100])</f>
        <v>0</v>
      </c>
      <c r="AY236" s="258">
        <f>_xlfn.XLOOKUP(FMS_Ranking4[[#This Row],[FMS ID]],FMS_Input[FMS_ID],FMS_Input[COSTSTRUCT])</f>
        <v>0</v>
      </c>
      <c r="AZ236" s="253">
        <f>_xlfn.XLOOKUP(FMS_Ranking4[[#This Row],[FMS ID]],FMS_Input[FMS_ID],FMS_Input[NATURE])</f>
        <v>0</v>
      </c>
      <c r="BA236" s="262">
        <f>(((FMS_Ranking4[[#This Row],[% NBS Raw]]/AZ$4)*100)*AZ$5)</f>
        <v>0</v>
      </c>
      <c r="BB236" s="251" t="str">
        <f>_xlfn.XLOOKUP(FMS_Ranking4[[#This Row],[FMS ID]],FMS_Input[FMS_ID],FMS_Input[WATER_SUP])</f>
        <v>No</v>
      </c>
      <c r="BC236" s="265">
        <f>IF(FMS_Ranking4[[#This Row],[Water Supply Raw]]="Yes",10,0)</f>
        <v>0</v>
      </c>
      <c r="BD236" s="266">
        <f>_xlfn.XLOOKUP(FMS_Ranking4[[#This Row],[FMS Type]],FMS_TYPE[FMS_Type],FMS_TYPE[Score])</f>
        <v>10</v>
      </c>
      <c r="BE236" s="267">
        <f>FMS_Ranking4[[#This Row],[FMS_Type Score]]*$BD$5*10</f>
        <v>2.5</v>
      </c>
      <c r="BF23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0.38919433629162148</v>
      </c>
      <c r="BG236" s="271">
        <f>_xlfn.RANK.EQ(BF236,$BF$8:$BF$870,0)+COUNTIF($BF$8:BF236,BF236)-1</f>
        <v>264</v>
      </c>
      <c r="BH236" s="268">
        <f>(((FMS_Ranking4[[#This Row],[Structures Removed Raw]]/AK$4)*100)*AK$5)+(((FMS_Ranking4[[#This Row],[Removed Pop Raw]]/AR$4)*100)*AR$5)</f>
        <v>0</v>
      </c>
      <c r="BI23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2.8891943362916215</v>
      </c>
      <c r="BJ236" s="205">
        <f>_xlfn.RANK.EQ(FMS_Ranking4[[#This Row],[Total Score 
(with linear
normalization)]],FMS_Ranking4[Total Score 
(with linear
normalization)],0)</f>
        <v>185</v>
      </c>
      <c r="BK236" s="205" t="e">
        <f>_xlfn.XLOOKUP(FMS_Ranking4[[#This Row],[FMS ID]],#REF!,#REF!)</f>
        <v>#REF!</v>
      </c>
      <c r="BL23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26.630502022015985</v>
      </c>
      <c r="BM236" s="272">
        <f>FMS_Ranking4[[#This Row],[ArcSinh Score Based on Normalized Reported Factors]]+FMS_Ranking4[[#This Row],[% NBS Score (Normalized)]]+(FMS_Ranking4[[#This Row],[Water Supply Score (Normalized)]]*10*$BB$5)+FMS_Ranking4[[#This Row],[FMS_Type Score Weighted]]</f>
        <v>29.130502022015985</v>
      </c>
      <c r="BN236" s="205">
        <f>_xlfn.RANK.EQ(FMS_Ranking4[[#This Row],[Total Score (with ArcSinh normalization of select criteria)]],FMS_Ranking4[Total Score (with ArcSinh normalization of select criteria)],0)</f>
        <v>229</v>
      </c>
      <c r="BO236" s="270" t="str">
        <f>_xlfn.XLOOKUP(FMS_Ranking4[[#This Row],[FMS ID]],FMS_Input[FMS_ID],FMS_Input[FMS_RANK_YEAR])</f>
        <v>2023 Amended Plan</v>
      </c>
      <c r="BP236" s="204">
        <f>_xlfn.XLOOKUP(FMS_Ranking4[[#This Row],[FMS ID]],Prev_Rank[FMS ID],Prev_Rank[Prev Rank])</f>
        <v>197</v>
      </c>
      <c r="BQ236" s="205" t="e">
        <f>_xlfn.XLOOKUP(FMS_Ranking4[[#This Row],[FMS ID]],#REF!,#REF!)</f>
        <v>#REF!</v>
      </c>
      <c r="BR236" s="199" t="e">
        <f>SUM(#REF!,#REF!,#REF!,#REF!,#REF!,#REF!,#REF!,#REF!,#REF!,FMS_Ranking4[[#This Row],[ArcSinh Res struct removed 0-10]],#REF!)</f>
        <v>#REF!</v>
      </c>
      <c r="BS236" s="199" t="e">
        <f>FMS_Ranking4[[#This Row],[Log Score Based on Normalized Reported Factors]]+FMS_Ranking4[[#This Row],[% NBS Score (Normalized)]]+(FMS_Ranking4[[#This Row],[Water Supply Score (Normalized)]]*10*$BB$5)+(FMS_Ranking4[[#This Row],[FMS_Type Score Weighted]])</f>
        <v>#REF!</v>
      </c>
      <c r="BT236" s="200" t="e">
        <f>_xlfn.RANK.EQ(FMS_Ranking4[[#This Row],[Log Total Score]],FMS_Ranking4[Log Total Score],0)</f>
        <v>#REF!</v>
      </c>
      <c r="BU236" s="200" t="e">
        <f>_xlfn.XLOOKUP(FMS_Ranking4[[#This Row],[FMS ID]],#REF!,#REF!)</f>
        <v>#REF!</v>
      </c>
      <c r="BV236" s="200">
        <f>FMS_Ranking4[[#This Row],[Region Number]]</f>
        <v>3</v>
      </c>
      <c r="BW236" s="200">
        <f>FMS_Ranking4[[#This Row],[Rank (with ArcSinh normalization of select criteria)]]-FMS_Ranking4[[#This Row],[Rank
(with linear
normalization)]]</f>
        <v>44</v>
      </c>
      <c r="BX236" s="200" t="e">
        <f>FMS_Ranking4[[#This Row],[Log Rank]]-FMS_Ranking4[[#This Row],[Rank
(with linear
normalization)]]</f>
        <v>#REF!</v>
      </c>
      <c r="BY236" s="200">
        <f>IF(FMS_Ranking4[[#This Row],[FMS Type]]="Flood Measurement and Warning",FMS_Ranking4[[#This Row],[Rank (with ArcSinh normalization of select criteria)]],"")</f>
        <v>229</v>
      </c>
      <c r="BZ236" s="200" t="str">
        <f>IF(FMS_Ranking4[[#This Row],[FMS Type]]="Regulatory and Guidance",FMS_Ranking4[[#This Row],[Rank (with ArcSinh normalization of select criteria)]],"")</f>
        <v/>
      </c>
      <c r="CA236" s="200" t="str">
        <f>IF(FMS_Ranking4[[#This Row],[FMS Type]]="Education and Outreach",FMS_Ranking4[[#This Row],[Rank (with ArcSinh normalization of select criteria)]],"")</f>
        <v/>
      </c>
      <c r="CB236" s="200" t="str">
        <f>IF(FMS_Ranking4[[#This Row],[FMS Type]]="Property Acquisition and Structural Elevation",FMS_Ranking4[[#This Row],[Rank (with ArcSinh normalization of select criteria)]],"")</f>
        <v/>
      </c>
      <c r="CC236" s="200" t="str">
        <f>IF(FMS_Ranking4[[#This Row],[FMS Type]]="Infrastructure Projects",FMS_Ranking4[[#This Row],[Rank (with ArcSinh normalization of select criteria)]],"")</f>
        <v/>
      </c>
      <c r="CD236" s="200" t="str">
        <f>IF(FMS_Ranking4[[#This Row],[FMS Type]]="Other",FMS_Ranking4[[#This Row],[Rank (with ArcSinh normalization of select criteria)]],"")</f>
        <v/>
      </c>
      <c r="CE236" s="201"/>
      <c r="CF236" s="206"/>
      <c r="CG236" s="206"/>
      <c r="CH236" s="206"/>
      <c r="CI236" s="206"/>
      <c r="CJ236" s="206"/>
      <c r="CK236" s="206"/>
      <c r="CL236" s="206"/>
      <c r="CM236" s="206"/>
      <c r="CN236" s="206"/>
      <c r="CO236" s="206"/>
      <c r="CP236" s="206"/>
      <c r="CQ236" s="206"/>
      <c r="CR236" s="206"/>
    </row>
    <row r="237" spans="2:96" ht="135" x14ac:dyDescent="0.25">
      <c r="B237" s="341" t="s">
        <v>2095</v>
      </c>
      <c r="C237" s="246">
        <f>_xlfn.XLOOKUP(FMS_Ranking4[[#This Row],[FMS ID]],FMS_Input[FMS_ID],FMS_Input[RFPG_NUM])</f>
        <v>3</v>
      </c>
      <c r="D237" s="309" t="str">
        <f>_xlfn.XLOOKUP(FMS_Ranking4[[#This Row],[FMS ID]],FMS_Input[FMS_ID],FMS_Input[FMS_NAME])</f>
        <v>Additional Rain/Stream Gauges for 13 locations</v>
      </c>
      <c r="E237" s="308" t="str">
        <f>_xlfn.XLOOKUP(FMS_Ranking4[[#This Row],[FMS ID]],FMS_Input[FMS_ID],FMS_Input[SPONSOR])</f>
        <v>Grand Prairie</v>
      </c>
      <c r="F237" s="309" t="str">
        <f>_xlfn.XLOOKUP(FMS_Ranking4[[#This Row],[FMS ID]],Sponsor[FMS_ID],Sponsor[SPONSOR NAME])</f>
        <v>Grand Prairie</v>
      </c>
      <c r="G237" s="309" t="str">
        <f>_xlfn.XLOOKUP(FMS_Ranking4[[#This Row],[FMS ID]],FMS_Input[FMS_ID],FMS_Input[FMS_DESCR])</f>
        <v>West Fork Trinity River at MacArthur Blvd, Bowman Creek at Mirabella Blvd, Cottonwood Creek at Robinson Road, Johnson Creek at Duncan Perry Road, Foster Branch at Seeton Road, Mountain Creek at county road FM 661, Carrier Parkway underneath I-20, Robinson</v>
      </c>
      <c r="H237" s="248" t="str">
        <f>_xlfn.XLOOKUP(FMS_Ranking4[[#This Row],[FMS ID]],FMS_Input[FMS_ID],FMS_Input[FMS_TYPE])</f>
        <v>Flood Measurement and Warning</v>
      </c>
      <c r="I237" s="249">
        <f>_xlfn.XLOOKUP(FMS_Ranking4[[#This Row],[FMS ID]],FMS_Input[FMS_ID],FMS_Input[NRNC_COST])</f>
        <v>25000</v>
      </c>
      <c r="J237" s="250">
        <f>_xlfn.XLOOKUP(FMS_Ranking4[[#This Row],[FMS ID]],FMS_Input[FMS_ID],FMS_Input[FMS_COST])</f>
        <v>250000</v>
      </c>
      <c r="K237" s="251" t="str">
        <f>_xlfn.XLOOKUP(FMS_Ranking4[[#This Row],[FMS ID]],FMS_Input[FMS_ID],FMS_Input[EMER_NEED])</f>
        <v>No</v>
      </c>
      <c r="L237" s="252">
        <f t="shared" si="3"/>
        <v>0</v>
      </c>
      <c r="M237" s="253">
        <f>_xlfn.XLOOKUP(FMS_Ranking4[[#This Row],[FMS ID]],FMS_Input[FMS_ID],FMS_Input[STRUCT_100])</f>
        <v>442</v>
      </c>
      <c r="N237" s="255">
        <f>(ASINH(FMS_Ranking4[[#This Row],[Structure at Risk Raw]]))*(10)/(ASINH(M$4))</f>
        <v>5.3335944191408622</v>
      </c>
      <c r="O237" s="256">
        <f>FMS_Ranking4[[#This Row],[Structures at risk, ArcSinh (0-10)]]*M$5*10</f>
        <v>5.3335944191408622</v>
      </c>
      <c r="P237" s="253">
        <f>_xlfn.XLOOKUP(FMS_Ranking4[[#This Row],[FMS ID]],FMS_Input[FMS_ID],FMS_Input[RES_STRUCT100])</f>
        <v>338</v>
      </c>
      <c r="Q237" s="257">
        <f>ASINH(FMS_Ranking4[[#This Row],[Res Structure Raw]])/Q$4*P$5*100</f>
        <v>0</v>
      </c>
      <c r="R237" s="253">
        <f>_xlfn.XLOOKUP(FMS_Ranking4[[#This Row],[FMS ID]],FMS_Input[FMS_ID],FMS_Input[POP100])</f>
        <v>2010</v>
      </c>
      <c r="S237" s="259">
        <f>(ASINH(FMS_Ranking4[[#This Row],[Pop at Risk Raw]]))*(10)/(ASINH(R$4))</f>
        <v>5.7293085619625481</v>
      </c>
      <c r="T237" s="256">
        <f>FMS_Ranking4[[#This Row],[Population at risk, ArcSinh (0-10)]]*R$5*10</f>
        <v>5.7293085619625481</v>
      </c>
      <c r="U237" s="253">
        <f>_xlfn.XLOOKUP(FMS_Ranking4[[#This Row],[FMS ID]],FMS_Input[FMS_ID],FMS_Input[CRITFAC100])</f>
        <v>8</v>
      </c>
      <c r="V237" s="259">
        <f>(ASINH(FMS_Ranking4[[#This Row],[Critical Facilities Raw]]))*(10)/(ASINH(U$4))</f>
        <v>3.286688318109702</v>
      </c>
      <c r="W237" s="256">
        <f>FMS_Ranking4[[#This Row],[Critical facilities at risk, ArcSinh (0-10)]]*U$5*10</f>
        <v>3.2866883181097024</v>
      </c>
      <c r="X237" s="253">
        <f>_xlfn.XLOOKUP(FMS_Ranking4[[#This Row],[FMS ID]],FMS_Input[FMS_ID],FMS_Input[LWC])</f>
        <v>19</v>
      </c>
      <c r="Y237" s="259">
        <f>(ASINH(FMS_Ranking4[[#This Row],[LWC Raw]]))*(10)/(ASINH(X$4))</f>
        <v>4.9289126022409242</v>
      </c>
      <c r="Z237" s="256">
        <f>FMS_Ranking4[[#This Row],[LWC, ArcSInh (0-10)]]*X$5*10</f>
        <v>4.9289126022409242</v>
      </c>
      <c r="AA237" s="253">
        <f>_xlfn.XLOOKUP(FMS_Ranking4[[#This Row],[FMS ID]],FMS_Input[FMS_ID],FMS_Input[ROADCLS])</f>
        <v>0</v>
      </c>
      <c r="AB237" s="255">
        <f>(ASINH(FMS_Ranking4[[#This Row],[Road Closures Raw]]))*(10)/(ASINH(AA$4))</f>
        <v>0</v>
      </c>
      <c r="AC237" s="256">
        <f>FMS_Ranking4[[#This Row],[Road closures, ArcSinh (0-10)]]*AA$5*10</f>
        <v>0</v>
      </c>
      <c r="AD237" s="253">
        <f>_xlfn.XLOOKUP(FMS_Ranking4[[#This Row],[FMS ID]],FMS_Input[FMS_ID],FMS_Input[ROAD_MILES100])</f>
        <v>40</v>
      </c>
      <c r="AE237" s="259">
        <f>(ASINH(FMS_Ranking4[[#This Row],[Road Miles Raw]]))*(10)/(ASINH(AD$4))</f>
        <v>4.6702012712993621</v>
      </c>
      <c r="AF237" s="256">
        <f>FMS_Ranking4[[#This Row],[Length of roads at risk, ArcSinh (0-10)]]*AD$5*10</f>
        <v>4.6702012712993621</v>
      </c>
      <c r="AG237" s="253">
        <f>_xlfn.XLOOKUP(FMS_Ranking4[[#This Row],[FMS ID]],FMS_Input[FMS_ID],FMS_Input[FARMACRE100])</f>
        <v>1927.255004882812</v>
      </c>
      <c r="AH237" s="255">
        <f>(ASINH(FMS_Ranking4[[#This Row],[Ag Land Raw]]))*(10)/(ASINH(AG$4))</f>
        <v>5.3635936985251726</v>
      </c>
      <c r="AI237" s="260">
        <f>FMS_Ranking4[[#This Row],[Farm &amp; ranch land, ArcSinh (0-10)]]*AG$5*10</f>
        <v>2.6817968492625868</v>
      </c>
      <c r="AJ237" s="258">
        <f>_xlfn.XLOOKUP(FMS_Ranking4[[#This Row],[FMS ID]],FMS_Input[FMS_ID],FMS_Input[REDSTRUCT100])</f>
        <v>0</v>
      </c>
      <c r="AK237" s="253">
        <f>_xlfn.XLOOKUP(FMS_Ranking4[[#This Row],[FMS ID]],FMS_Input[FMS_ID],FMS_Input[REMSTRC100])</f>
        <v>0</v>
      </c>
      <c r="AL237" s="259">
        <f>(ASINH(FMS_Ranking4[[#This Row],[Structures Removed Raw]]))*(10)/(ASINH(AK$4))</f>
        <v>0</v>
      </c>
      <c r="AM237" s="262">
        <f>FMS_Ranking4[[#This Row],[Structures removed, ArcSinh (0-10)]]*AK$5*10</f>
        <v>0</v>
      </c>
      <c r="AN237" s="253">
        <f>_xlfn.XLOOKUP(FMS_Ranking4[[#This Row],[FMS ID]],FMS_Input[FMS_ID],FMS_Input[REMRESSTRC100])</f>
        <v>0</v>
      </c>
      <c r="AO237" s="261">
        <f>FMS_Ranking4[[#This Row],[ArcSinh Res struct removed 0-10]]*AN$5*10</f>
        <v>0</v>
      </c>
      <c r="AP237" s="260">
        <f>ASINH(FMS_Ranking4[[#This Row],[Residential Structures Removed Raw]])/AP$4*AN$5*100</f>
        <v>0</v>
      </c>
      <c r="AQ237" s="254">
        <f>(ASINH(FMS_Ranking4[[#This Row],[Residential Structures Removed Raw]]))*(10)/(ASINH(AN$4))</f>
        <v>0</v>
      </c>
      <c r="AR237" s="253">
        <f>_xlfn.XLOOKUP(FMS_Ranking4[[#This Row],[FMS ID]],FMS_Input[FMS_ID],FMS_Input[REMPOP100])</f>
        <v>0</v>
      </c>
      <c r="AS237" s="259">
        <f>(ASINH(FMS_Ranking4[[#This Row],[Removed Pop Raw]]))*(10)/(ASINH(AR$4))</f>
        <v>0</v>
      </c>
      <c r="AT237" s="262">
        <f>FMS_Ranking4[[#This Row],[Removed population, ArcSinh (0-10)]]*AR$5*10</f>
        <v>0</v>
      </c>
      <c r="AU237" s="264">
        <f>_xlfn.XLOOKUP(FMS_Ranking4[[#This Row],[FMS ID]],FMS_Input[FMS_ID],FMS_Input[REMCRITFAC100])</f>
        <v>0</v>
      </c>
      <c r="AV237" s="264">
        <f>_xlfn.XLOOKUP(FMS_Ranking4[[#This Row],[FMS ID]],FMS_Input[FMS_ID],FMS_Input[REMLWC100])</f>
        <v>0</v>
      </c>
      <c r="AW237" s="264">
        <f>_xlfn.XLOOKUP(FMS_Ranking4[[#This Row],[FMS ID]],FMS_Input[FMS_ID],FMS_Input[REMROADCLS])</f>
        <v>0</v>
      </c>
      <c r="AX237" s="264">
        <f>_xlfn.XLOOKUP(FMS_Ranking4[[#This Row],[FMS ID]],FMS_Input[FMS_ID],FMS_Input[REMFRMACRE100])</f>
        <v>0</v>
      </c>
      <c r="AY237" s="258">
        <f>_xlfn.XLOOKUP(FMS_Ranking4[[#This Row],[FMS ID]],FMS_Input[FMS_ID],FMS_Input[COSTSTRUCT])</f>
        <v>0</v>
      </c>
      <c r="AZ237" s="253">
        <f>_xlfn.XLOOKUP(FMS_Ranking4[[#This Row],[FMS ID]],FMS_Input[FMS_ID],FMS_Input[NATURE])</f>
        <v>0</v>
      </c>
      <c r="BA237" s="262">
        <f>(((FMS_Ranking4[[#This Row],[% NBS Raw]]/AZ$4)*100)*AZ$5)</f>
        <v>0</v>
      </c>
      <c r="BB237" s="251" t="str">
        <f>_xlfn.XLOOKUP(FMS_Ranking4[[#This Row],[FMS ID]],FMS_Input[FMS_ID],FMS_Input[WATER_SUP])</f>
        <v>No</v>
      </c>
      <c r="BC237" s="265">
        <f>IF(FMS_Ranking4[[#This Row],[Water Supply Raw]]="Yes",10,0)</f>
        <v>0</v>
      </c>
      <c r="BD237" s="266">
        <f>_xlfn.XLOOKUP(FMS_Ranking4[[#This Row],[FMS Type]],FMS_TYPE[FMS_Type],FMS_TYPE[Score])</f>
        <v>10</v>
      </c>
      <c r="BE237" s="267">
        <f>FMS_Ranking4[[#This Row],[FMS_Type Score]]*$BD$5*10</f>
        <v>2.5</v>
      </c>
      <c r="BF23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0.38919433629162148</v>
      </c>
      <c r="BG237" s="271">
        <f>_xlfn.RANK.EQ(BF237,$BF$8:$BF$870,0)+COUNTIF($BF$8:BF237,BF237)-1</f>
        <v>265</v>
      </c>
      <c r="BH237" s="268">
        <f>(((FMS_Ranking4[[#This Row],[Structures Removed Raw]]/AK$4)*100)*AK$5)+(((FMS_Ranking4[[#This Row],[Removed Pop Raw]]/AR$4)*100)*AR$5)</f>
        <v>0</v>
      </c>
      <c r="BI23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2.8891943362916215</v>
      </c>
      <c r="BJ237" s="205">
        <f>_xlfn.RANK.EQ(FMS_Ranking4[[#This Row],[Total Score 
(with linear
normalization)]],FMS_Ranking4[Total Score 
(with linear
normalization)],0)</f>
        <v>185</v>
      </c>
      <c r="BK237" s="205" t="e">
        <f>_xlfn.XLOOKUP(FMS_Ranking4[[#This Row],[FMS ID]],#REF!,#REF!)</f>
        <v>#REF!</v>
      </c>
      <c r="BL23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26.630502022015985</v>
      </c>
      <c r="BM237" s="272">
        <f>FMS_Ranking4[[#This Row],[ArcSinh Score Based on Normalized Reported Factors]]+FMS_Ranking4[[#This Row],[% NBS Score (Normalized)]]+(FMS_Ranking4[[#This Row],[Water Supply Score (Normalized)]]*10*$BB$5)+FMS_Ranking4[[#This Row],[FMS_Type Score Weighted]]</f>
        <v>29.130502022015985</v>
      </c>
      <c r="BN237" s="205">
        <f>_xlfn.RANK.EQ(FMS_Ranking4[[#This Row],[Total Score (with ArcSinh normalization of select criteria)]],FMS_Ranking4[Total Score (with ArcSinh normalization of select criteria)],0)</f>
        <v>229</v>
      </c>
      <c r="BO237" s="270" t="str">
        <f>_xlfn.XLOOKUP(FMS_Ranking4[[#This Row],[FMS ID]],FMS_Input[FMS_ID],FMS_Input[FMS_RANK_YEAR])</f>
        <v>2023 Amended Plan</v>
      </c>
      <c r="BP237" s="204">
        <f>_xlfn.XLOOKUP(FMS_Ranking4[[#This Row],[FMS ID]],Prev_Rank[FMS ID],Prev_Rank[Prev Rank])</f>
        <v>197</v>
      </c>
      <c r="BQ237" s="205" t="e">
        <f>_xlfn.XLOOKUP(FMS_Ranking4[[#This Row],[FMS ID]],#REF!,#REF!)</f>
        <v>#REF!</v>
      </c>
      <c r="BR237" s="199" t="e">
        <f>SUM(#REF!,#REF!,#REF!,#REF!,#REF!,#REF!,#REF!,#REF!,#REF!,FMS_Ranking4[[#This Row],[ArcSinh Res struct removed 0-10]],#REF!)</f>
        <v>#REF!</v>
      </c>
      <c r="BS237" s="199" t="e">
        <f>FMS_Ranking4[[#This Row],[Log Score Based on Normalized Reported Factors]]+FMS_Ranking4[[#This Row],[% NBS Score (Normalized)]]+(FMS_Ranking4[[#This Row],[Water Supply Score (Normalized)]]*10*$BB$5)+(FMS_Ranking4[[#This Row],[FMS_Type Score Weighted]])</f>
        <v>#REF!</v>
      </c>
      <c r="BT237" s="200" t="e">
        <f>_xlfn.RANK.EQ(FMS_Ranking4[[#This Row],[Log Total Score]],FMS_Ranking4[Log Total Score],0)</f>
        <v>#REF!</v>
      </c>
      <c r="BU237" s="200" t="e">
        <f>_xlfn.XLOOKUP(FMS_Ranking4[[#This Row],[FMS ID]],#REF!,#REF!)</f>
        <v>#REF!</v>
      </c>
      <c r="BV237" s="200">
        <f>FMS_Ranking4[[#This Row],[Region Number]]</f>
        <v>3</v>
      </c>
      <c r="BW237" s="200">
        <f>FMS_Ranking4[[#This Row],[Rank (with ArcSinh normalization of select criteria)]]-FMS_Ranking4[[#This Row],[Rank
(with linear
normalization)]]</f>
        <v>44</v>
      </c>
      <c r="BX237" s="200" t="e">
        <f>FMS_Ranking4[[#This Row],[Log Rank]]-FMS_Ranking4[[#This Row],[Rank
(with linear
normalization)]]</f>
        <v>#REF!</v>
      </c>
      <c r="BY237" s="200">
        <f>IF(FMS_Ranking4[[#This Row],[FMS Type]]="Flood Measurement and Warning",FMS_Ranking4[[#This Row],[Rank (with ArcSinh normalization of select criteria)]],"")</f>
        <v>229</v>
      </c>
      <c r="BZ237" s="200" t="str">
        <f>IF(FMS_Ranking4[[#This Row],[FMS Type]]="Regulatory and Guidance",FMS_Ranking4[[#This Row],[Rank (with ArcSinh normalization of select criteria)]],"")</f>
        <v/>
      </c>
      <c r="CA237" s="200" t="str">
        <f>IF(FMS_Ranking4[[#This Row],[FMS Type]]="Education and Outreach",FMS_Ranking4[[#This Row],[Rank (with ArcSinh normalization of select criteria)]],"")</f>
        <v/>
      </c>
      <c r="CB237" s="200" t="str">
        <f>IF(FMS_Ranking4[[#This Row],[FMS Type]]="Property Acquisition and Structural Elevation",FMS_Ranking4[[#This Row],[Rank (with ArcSinh normalization of select criteria)]],"")</f>
        <v/>
      </c>
      <c r="CC237" s="200" t="str">
        <f>IF(FMS_Ranking4[[#This Row],[FMS Type]]="Infrastructure Projects",FMS_Ranking4[[#This Row],[Rank (with ArcSinh normalization of select criteria)]],"")</f>
        <v/>
      </c>
      <c r="CD237" s="200" t="str">
        <f>IF(FMS_Ranking4[[#This Row],[FMS Type]]="Other",FMS_Ranking4[[#This Row],[Rank (with ArcSinh normalization of select criteria)]],"")</f>
        <v/>
      </c>
      <c r="CE237" s="201"/>
      <c r="CF237" s="206"/>
      <c r="CG237" s="206"/>
      <c r="CH237" s="206"/>
      <c r="CI237" s="206"/>
      <c r="CJ237" s="206"/>
      <c r="CK237" s="206"/>
      <c r="CL237" s="206"/>
      <c r="CM237" s="206"/>
      <c r="CN237" s="206"/>
      <c r="CO237" s="206"/>
      <c r="CP237" s="206"/>
      <c r="CQ237" s="206"/>
      <c r="CR237" s="206"/>
    </row>
    <row r="238" spans="2:96" ht="45" x14ac:dyDescent="0.25">
      <c r="B238" s="341" t="s">
        <v>1016</v>
      </c>
      <c r="C238" s="246">
        <f>_xlfn.XLOOKUP(FMS_Ranking4[[#This Row],[FMS ID]],FMS_Input[FMS_ID],FMS_Input[RFPG_NUM])</f>
        <v>9</v>
      </c>
      <c r="D238" s="309" t="str">
        <f>_xlfn.XLOOKUP(FMS_Ranking4[[#This Row],[FMS ID]],FMS_Input[FMS_ID],FMS_Input[FMS_NAME])</f>
        <v>Taylor County Debris Clearing Program</v>
      </c>
      <c r="E238" s="308" t="str">
        <f>_xlfn.XLOOKUP(FMS_Ranking4[[#This Row],[FMS ID]],FMS_Input[FMS_ID],FMS_Input[SPONSOR])</f>
        <v>00000168</v>
      </c>
      <c r="F238" s="309" t="str">
        <f>_xlfn.XLOOKUP(FMS_Ranking4[[#This Row],[FMS ID]],Sponsor[FMS_ID],Sponsor[SPONSOR NAME])</f>
        <v>Taylor</v>
      </c>
      <c r="G238" s="309" t="str">
        <f>_xlfn.XLOOKUP(FMS_Ranking4[[#This Row],[FMS ID]],FMS_Input[FMS_ID],FMS_Input[FMS_DESCR])</f>
        <v xml:space="preserve">Adopt and implement a program for clearing debris from bridges, drains and culverts. </v>
      </c>
      <c r="H238" s="248" t="str">
        <f>_xlfn.XLOOKUP(FMS_Ranking4[[#This Row],[FMS ID]],FMS_Input[FMS_ID],FMS_Input[FMS_TYPE])</f>
        <v>Other</v>
      </c>
      <c r="I238" s="249">
        <f>_xlfn.XLOOKUP(FMS_Ranking4[[#This Row],[FMS ID]],FMS_Input[FMS_ID],FMS_Input[NRNC_COST])</f>
        <v>126200</v>
      </c>
      <c r="J238" s="250">
        <f>_xlfn.XLOOKUP(FMS_Ranking4[[#This Row],[FMS ID]],FMS_Input[FMS_ID],FMS_Input[FMS_COST])</f>
        <v>151200</v>
      </c>
      <c r="K238" s="251" t="str">
        <f>_xlfn.XLOOKUP(FMS_Ranking4[[#This Row],[FMS ID]],FMS_Input[FMS_ID],FMS_Input[EMER_NEED])</f>
        <v>No</v>
      </c>
      <c r="L238" s="252">
        <f t="shared" si="3"/>
        <v>0</v>
      </c>
      <c r="M238" s="253">
        <f>_xlfn.XLOOKUP(FMS_Ranking4[[#This Row],[FMS ID]],FMS_Input[FMS_ID],FMS_Input[STRUCT_100])</f>
        <v>70</v>
      </c>
      <c r="N238" s="255">
        <f>(ASINH(FMS_Ranking4[[#This Row],[Structure at Risk Raw]]))*(10)/(ASINH(M$4))</f>
        <v>3.884906829427599</v>
      </c>
      <c r="O238" s="256">
        <f>FMS_Ranking4[[#This Row],[Structures at risk, ArcSinh (0-10)]]*M$5*10</f>
        <v>3.884906829427599</v>
      </c>
      <c r="P238" s="253">
        <f>_xlfn.XLOOKUP(FMS_Ranking4[[#This Row],[FMS ID]],FMS_Input[FMS_ID],FMS_Input[RES_STRUCT100])</f>
        <v>51</v>
      </c>
      <c r="Q238" s="257">
        <f>ASINH(FMS_Ranking4[[#This Row],[Res Structure Raw]])/Q$4*P$5*100</f>
        <v>0</v>
      </c>
      <c r="R238" s="253">
        <f>_xlfn.XLOOKUP(FMS_Ranking4[[#This Row],[FMS ID]],FMS_Input[FMS_ID],FMS_Input[POP100])</f>
        <v>46</v>
      </c>
      <c r="S238" s="255">
        <f>(ASINH(FMS_Ranking4[[#This Row],[Pop at Risk Raw]]))*(10)/(ASINH(R$4))</f>
        <v>3.1217354535239523</v>
      </c>
      <c r="T238" s="256">
        <f>FMS_Ranking4[[#This Row],[Population at risk, ArcSinh (0-10)]]*R$5*10</f>
        <v>3.1217354535239528</v>
      </c>
      <c r="U238" s="253">
        <f>_xlfn.XLOOKUP(FMS_Ranking4[[#This Row],[FMS ID]],FMS_Input[FMS_ID],FMS_Input[CRITFAC100])</f>
        <v>0</v>
      </c>
      <c r="V238" s="255">
        <f>(ASINH(FMS_Ranking4[[#This Row],[Critical Facilities Raw]]))*(10)/(ASINH(U$4))</f>
        <v>0</v>
      </c>
      <c r="W238" s="256">
        <f>FMS_Ranking4[[#This Row],[Critical facilities at risk, ArcSinh (0-10)]]*U$5*10</f>
        <v>0</v>
      </c>
      <c r="X238" s="253">
        <f>_xlfn.XLOOKUP(FMS_Ranking4[[#This Row],[FMS ID]],FMS_Input[FMS_ID],FMS_Input[LWC])</f>
        <v>10</v>
      </c>
      <c r="Y238" s="255">
        <f>(ASINH(FMS_Ranking4[[#This Row],[LWC Raw]]))*(10)/(ASINH(X$4))</f>
        <v>4.06180589758889</v>
      </c>
      <c r="Z238" s="256">
        <f>FMS_Ranking4[[#This Row],[LWC, ArcSInh (0-10)]]*X$5*10</f>
        <v>4.06180589758889</v>
      </c>
      <c r="AA238" s="253">
        <f>_xlfn.XLOOKUP(FMS_Ranking4[[#This Row],[FMS ID]],FMS_Input[FMS_ID],FMS_Input[ROADCLS])</f>
        <v>0</v>
      </c>
      <c r="AB238" s="255">
        <f>(ASINH(FMS_Ranking4[[#This Row],[Road Closures Raw]]))*(10)/(ASINH(AA$4))</f>
        <v>0</v>
      </c>
      <c r="AC238" s="256">
        <f>FMS_Ranking4[[#This Row],[Road closures, ArcSinh (0-10)]]*AA$5*10</f>
        <v>0</v>
      </c>
      <c r="AD238" s="253">
        <f>_xlfn.XLOOKUP(FMS_Ranking4[[#This Row],[FMS ID]],FMS_Input[FMS_ID],FMS_Input[ROAD_MILES100])</f>
        <v>18</v>
      </c>
      <c r="AE238" s="255">
        <f>(ASINH(FMS_Ranking4[[#This Row],[Road Miles Raw]]))*(10)/(ASINH(AD$4))</f>
        <v>3.8198666439072628</v>
      </c>
      <c r="AF238" s="256">
        <f>FMS_Ranking4[[#This Row],[Length of roads at risk, ArcSinh (0-10)]]*AD$5*10</f>
        <v>3.8198666439072633</v>
      </c>
      <c r="AG238" s="253">
        <f>_xlfn.XLOOKUP(FMS_Ranking4[[#This Row],[FMS ID]],FMS_Input[FMS_ID],FMS_Input[FARMACRE100])</f>
        <v>3492.507568359375</v>
      </c>
      <c r="AH238" s="255">
        <f>(ASINH(FMS_Ranking4[[#This Row],[Ag Land Raw]]))*(10)/(ASINH(AG$4))</f>
        <v>5.7497849647365538</v>
      </c>
      <c r="AI238" s="260">
        <f>FMS_Ranking4[[#This Row],[Farm &amp; ranch land, ArcSinh (0-10)]]*AG$5*10</f>
        <v>2.8748924823682769</v>
      </c>
      <c r="AJ238" s="258">
        <f>_xlfn.XLOOKUP(FMS_Ranking4[[#This Row],[FMS ID]],FMS_Input[FMS_ID],FMS_Input[REDSTRUCT100])</f>
        <v>18</v>
      </c>
      <c r="AK238" s="253">
        <f>_xlfn.XLOOKUP(FMS_Ranking4[[#This Row],[FMS ID]],FMS_Input[FMS_ID],FMS_Input[REMSTRC100])</f>
        <v>18</v>
      </c>
      <c r="AL238" s="255">
        <f>(ASINH(FMS_Ranking4[[#This Row],[Structures Removed Raw]]))*(10)/(ASINH(AK$4))</f>
        <v>4.0809696174971908</v>
      </c>
      <c r="AM238" s="262">
        <f>FMS_Ranking4[[#This Row],[Structures removed, ArcSinh (0-10)]]*AK$5*10</f>
        <v>4.0809696174971908</v>
      </c>
      <c r="AN238" s="253">
        <f>_xlfn.XLOOKUP(FMS_Ranking4[[#This Row],[FMS ID]],FMS_Input[FMS_ID],FMS_Input[REMRESSTRC100])</f>
        <v>12</v>
      </c>
      <c r="AO238" s="261">
        <f>FMS_Ranking4[[#This Row],[ArcSinh Res struct removed 0-10]]*AN$5*10</f>
        <v>1.8650283178354909</v>
      </c>
      <c r="AP238" s="260">
        <f>ASINH(FMS_Ranking4[[#This Row],[Residential Structures Removed Raw]])/AP$4*AN$5*100</f>
        <v>1.8650283178354912</v>
      </c>
      <c r="AQ238" s="258">
        <f>(ASINH(FMS_Ranking4[[#This Row],[Residential Structures Removed Raw]]))*(10)/(ASINH(AN$4))</f>
        <v>3.7300566356709819</v>
      </c>
      <c r="AR238" s="253">
        <f>_xlfn.XLOOKUP(FMS_Ranking4[[#This Row],[FMS ID]],FMS_Input[FMS_ID],FMS_Input[REMPOP100])</f>
        <v>11</v>
      </c>
      <c r="AS238" s="255">
        <f>(ASINH(FMS_Ranking4[[#This Row],[Removed Pop Raw]]))*(10)/(ASINH(AR$4))</f>
        <v>3.036252346330846</v>
      </c>
      <c r="AT238" s="262">
        <f>FMS_Ranking4[[#This Row],[Removed population, ArcSinh (0-10)]]*AR$5*10</f>
        <v>3.036252346330846</v>
      </c>
      <c r="AU238" s="264">
        <f>_xlfn.XLOOKUP(FMS_Ranking4[[#This Row],[FMS ID]],FMS_Input[FMS_ID],FMS_Input[REMCRITFAC100])</f>
        <v>0</v>
      </c>
      <c r="AV238" s="264">
        <f>_xlfn.XLOOKUP(FMS_Ranking4[[#This Row],[FMS ID]],FMS_Input[FMS_ID],FMS_Input[REMLWC100])</f>
        <v>2</v>
      </c>
      <c r="AW238" s="264">
        <f>_xlfn.XLOOKUP(FMS_Ranking4[[#This Row],[FMS ID]],FMS_Input[FMS_ID],FMS_Input[REMROADCLS])</f>
        <v>0</v>
      </c>
      <c r="AX238" s="264">
        <f>_xlfn.XLOOKUP(FMS_Ranking4[[#This Row],[FMS ID]],FMS_Input[FMS_ID],FMS_Input[REMFRMACRE100])</f>
        <v>873.12689208984375</v>
      </c>
      <c r="AY238" s="258">
        <f>_xlfn.XLOOKUP(FMS_Ranking4[[#This Row],[FMS ID]],FMS_Input[FMS_ID],FMS_Input[COSTSTRUCT])</f>
        <v>25000</v>
      </c>
      <c r="AZ238" s="253">
        <f>_xlfn.XLOOKUP(FMS_Ranking4[[#This Row],[FMS ID]],FMS_Input[FMS_ID],FMS_Input[NATURE])</f>
        <v>25</v>
      </c>
      <c r="BA238" s="262">
        <f>(((FMS_Ranking4[[#This Row],[% NBS Raw]]/AZ$4)*100)*AZ$5)</f>
        <v>1.875</v>
      </c>
      <c r="BB238" s="251" t="str">
        <f>_xlfn.XLOOKUP(FMS_Ranking4[[#This Row],[FMS ID]],FMS_Input[FMS_ID],FMS_Input[WATER_SUP])</f>
        <v>No</v>
      </c>
      <c r="BC238" s="265">
        <f>IF(FMS_Ranking4[[#This Row],[Water Supply Raw]]="Yes",10,0)</f>
        <v>0</v>
      </c>
      <c r="BD238" s="266">
        <f>_xlfn.XLOOKUP(FMS_Ranking4[[#This Row],[FMS Type]],FMS_TYPE[FMS_Type],FMS_TYPE[Score])</f>
        <v>2</v>
      </c>
      <c r="BE238" s="267">
        <f>FMS_Ranking4[[#This Row],[FMS_Type Score]]*$BD$5*10</f>
        <v>0.5</v>
      </c>
      <c r="BF23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0.16667331243441863</v>
      </c>
      <c r="BG238" s="321">
        <f>_xlfn.RANK.EQ(BF238,$BF$8:$BF$870,0)+COUNTIF($BF$8:BF238,BF238)-1</f>
        <v>380</v>
      </c>
      <c r="BH238" s="294">
        <f>(((FMS_Ranking4[[#This Row],[Structures Removed Raw]]/AK$4)*100)*AK$5)+(((FMS_Ranking4[[#This Row],[Removed Pop Raw]]/AR$4)*100)*AR$5)</f>
        <v>6.3480300935541828E-2</v>
      </c>
      <c r="BI23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2.6051536133699607</v>
      </c>
      <c r="BJ238" s="251">
        <f>_xlfn.RANK.EQ(FMS_Ranking4[[#This Row],[Total Score 
(with linear
normalization)]],FMS_Ranking4[Total Score 
(with linear
normalization)],0)</f>
        <v>225</v>
      </c>
      <c r="BK238" s="251" t="e">
        <f>_xlfn.XLOOKUP(FMS_Ranking4[[#This Row],[FMS ID]],#REF!,#REF!)</f>
        <v>#REF!</v>
      </c>
      <c r="BL23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26.74545758847951</v>
      </c>
      <c r="BM238" s="324">
        <f>FMS_Ranking4[[#This Row],[ArcSinh Score Based on Normalized Reported Factors]]+FMS_Ranking4[[#This Row],[% NBS Score (Normalized)]]+(FMS_Ranking4[[#This Row],[Water Supply Score (Normalized)]]*10*$BB$5)+FMS_Ranking4[[#This Row],[FMS_Type Score Weighted]]</f>
        <v>29.12045758847951</v>
      </c>
      <c r="BN238" s="251">
        <f>_xlfn.RANK.EQ(FMS_Ranking4[[#This Row],[Total Score (with ArcSinh normalization of select criteria)]],FMS_Ranking4[Total Score (with ArcSinh normalization of select criteria)],0)</f>
        <v>231</v>
      </c>
      <c r="BO238" s="270" t="str">
        <f>_xlfn.XLOOKUP(FMS_Ranking4[[#This Row],[FMS ID]],FMS_Input[FMS_ID],FMS_Input[FMS_RANK_YEAR])</f>
        <v>2023 Amended Plan</v>
      </c>
      <c r="BP238" s="204">
        <f>_xlfn.XLOOKUP(FMS_Ranking4[[#This Row],[FMS ID]],Prev_Rank[FMS ID],Prev_Rank[Prev Rank])</f>
        <v>222</v>
      </c>
      <c r="BQ238" s="251" t="e">
        <f>_xlfn.XLOOKUP(FMS_Ranking4[[#This Row],[FMS ID]],#REF!,#REF!)</f>
        <v>#REF!</v>
      </c>
      <c r="BR238" s="199" t="e">
        <f>SUM(#REF!,#REF!,#REF!,#REF!,#REF!,#REF!,#REF!,#REF!,#REF!,FMS_Ranking4[[#This Row],[ArcSinh Res struct removed 0-10]],#REF!)</f>
        <v>#REF!</v>
      </c>
      <c r="BS238" s="199" t="e">
        <f>FMS_Ranking4[[#This Row],[Log Score Based on Normalized Reported Factors]]+FMS_Ranking4[[#This Row],[% NBS Score (Normalized)]]+(FMS_Ranking4[[#This Row],[Water Supply Score (Normalized)]]*10*$BB$5)+(FMS_Ranking4[[#This Row],[FMS_Type Score Weighted]])</f>
        <v>#REF!</v>
      </c>
      <c r="BT238" s="200" t="e">
        <f>_xlfn.RANK.EQ(FMS_Ranking4[[#This Row],[Log Total Score]],FMS_Ranking4[Log Total Score],0)</f>
        <v>#REF!</v>
      </c>
      <c r="BU238" s="200" t="e">
        <f>_xlfn.XLOOKUP(FMS_Ranking4[[#This Row],[FMS ID]],#REF!,#REF!)</f>
        <v>#REF!</v>
      </c>
      <c r="BV238" s="200">
        <f>FMS_Ranking4[[#This Row],[Region Number]]</f>
        <v>9</v>
      </c>
      <c r="BW238" s="200">
        <f>FMS_Ranking4[[#This Row],[Rank (with ArcSinh normalization of select criteria)]]-FMS_Ranking4[[#This Row],[Rank
(with linear
normalization)]]</f>
        <v>6</v>
      </c>
      <c r="BX238" s="200" t="e">
        <f>FMS_Ranking4[[#This Row],[Log Rank]]-FMS_Ranking4[[#This Row],[Rank
(with linear
normalization)]]</f>
        <v>#REF!</v>
      </c>
      <c r="BY238" s="200" t="str">
        <f>IF(FMS_Ranking4[[#This Row],[FMS Type]]="Flood Measurement and Warning",FMS_Ranking4[[#This Row],[Rank (with ArcSinh normalization of select criteria)]],"")</f>
        <v/>
      </c>
      <c r="BZ238" s="200" t="str">
        <f>IF(FMS_Ranking4[[#This Row],[FMS Type]]="Regulatory and Guidance",FMS_Ranking4[[#This Row],[Rank (with ArcSinh normalization of select criteria)]],"")</f>
        <v/>
      </c>
      <c r="CA238" s="200" t="str">
        <f>IF(FMS_Ranking4[[#This Row],[FMS Type]]="Education and Outreach",FMS_Ranking4[[#This Row],[Rank (with ArcSinh normalization of select criteria)]],"")</f>
        <v/>
      </c>
      <c r="CB238" s="200" t="str">
        <f>IF(FMS_Ranking4[[#This Row],[FMS Type]]="Property Acquisition and Structural Elevation",FMS_Ranking4[[#This Row],[Rank (with ArcSinh normalization of select criteria)]],"")</f>
        <v/>
      </c>
      <c r="CC238" s="200" t="str">
        <f>IF(FMS_Ranking4[[#This Row],[FMS Type]]="Infrastructure Projects",FMS_Ranking4[[#This Row],[Rank (with ArcSinh normalization of select criteria)]],"")</f>
        <v/>
      </c>
      <c r="CD238" s="200">
        <f>IF(FMS_Ranking4[[#This Row],[FMS Type]]="Other",FMS_Ranking4[[#This Row],[Rank (with ArcSinh normalization of select criteria)]],"")</f>
        <v>231</v>
      </c>
      <c r="CE238" s="201"/>
      <c r="CF238" s="206"/>
      <c r="CG238" s="206"/>
      <c r="CH238" s="206"/>
      <c r="CI238" s="206"/>
      <c r="CJ238" s="206"/>
      <c r="CK238" s="206"/>
      <c r="CL238" s="206"/>
      <c r="CM238" s="206"/>
      <c r="CN238" s="206"/>
      <c r="CO238" s="206"/>
      <c r="CP238" s="206"/>
      <c r="CQ238" s="206"/>
      <c r="CR238" s="206"/>
    </row>
    <row r="239" spans="2:96" ht="75" x14ac:dyDescent="0.25">
      <c r="B239" s="341" t="s">
        <v>624</v>
      </c>
      <c r="C239" s="246">
        <f>_xlfn.XLOOKUP(FMS_Ranking4[[#This Row],[FMS ID]],FMS_Input[FMS_ID],FMS_Input[RFPG_NUM])</f>
        <v>9</v>
      </c>
      <c r="D239" s="309" t="str">
        <f>_xlfn.XLOOKUP(FMS_Ranking4[[#This Row],[FMS ID]],FMS_Input[FMS_ID],FMS_Input[FMS_NAME])</f>
        <v>Taylor County Detention Program</v>
      </c>
      <c r="E239" s="308" t="str">
        <f>_xlfn.XLOOKUP(FMS_Ranking4[[#This Row],[FMS ID]],FMS_Input[FMS_ID],FMS_Input[SPONSOR])</f>
        <v>00000144</v>
      </c>
      <c r="F239" s="309" t="str">
        <f>_xlfn.XLOOKUP(FMS_Ranking4[[#This Row],[FMS ID]],Sponsor[FMS_ID],Sponsor[SPONSOR NAME])</f>
        <v>Coleman</v>
      </c>
      <c r="G239" s="309" t="str">
        <f>_xlfn.XLOOKUP(FMS_Ranking4[[#This Row],[FMS ID]],FMS_Input[FMS_ID],FMS_Input[FMS_DESCR])</f>
        <v xml:space="preserve">Adopt on-site retention basin program in conjunction with development to address excessive stormwater / firefighting water source. </v>
      </c>
      <c r="H239" s="248" t="str">
        <f>_xlfn.XLOOKUP(FMS_Ranking4[[#This Row],[FMS ID]],FMS_Input[FMS_ID],FMS_Input[FMS_TYPE])</f>
        <v>Other</v>
      </c>
      <c r="I239" s="249">
        <f>_xlfn.XLOOKUP(FMS_Ranking4[[#This Row],[FMS ID]],FMS_Input[FMS_ID],FMS_Input[NRNC_COST])</f>
        <v>75000</v>
      </c>
      <c r="J239" s="250">
        <f>_xlfn.XLOOKUP(FMS_Ranking4[[#This Row],[FMS ID]],FMS_Input[FMS_ID],FMS_Input[FMS_COST])</f>
        <v>100000</v>
      </c>
      <c r="K239" s="251" t="str">
        <f>_xlfn.XLOOKUP(FMS_Ranking4[[#This Row],[FMS ID]],FMS_Input[FMS_ID],FMS_Input[EMER_NEED])</f>
        <v>No</v>
      </c>
      <c r="L239" s="252">
        <f t="shared" si="3"/>
        <v>0</v>
      </c>
      <c r="M239" s="253">
        <f>_xlfn.XLOOKUP(FMS_Ranking4[[#This Row],[FMS ID]],FMS_Input[FMS_ID],FMS_Input[STRUCT_100])</f>
        <v>70</v>
      </c>
      <c r="N239" s="255">
        <f>(ASINH(FMS_Ranking4[[#This Row],[Structure at Risk Raw]]))*(10)/(ASINH(M$4))</f>
        <v>3.884906829427599</v>
      </c>
      <c r="O239" s="256">
        <f>FMS_Ranking4[[#This Row],[Structures at risk, ArcSinh (0-10)]]*M$5*10</f>
        <v>3.884906829427599</v>
      </c>
      <c r="P239" s="253">
        <f>_xlfn.XLOOKUP(FMS_Ranking4[[#This Row],[FMS ID]],FMS_Input[FMS_ID],FMS_Input[RES_STRUCT100])</f>
        <v>51</v>
      </c>
      <c r="Q239" s="257">
        <f>ASINH(FMS_Ranking4[[#This Row],[Res Structure Raw]])/Q$4*P$5*100</f>
        <v>0</v>
      </c>
      <c r="R239" s="253">
        <f>_xlfn.XLOOKUP(FMS_Ranking4[[#This Row],[FMS ID]],FMS_Input[FMS_ID],FMS_Input[POP100])</f>
        <v>46</v>
      </c>
      <c r="S239" s="255">
        <f>(ASINH(FMS_Ranking4[[#This Row],[Pop at Risk Raw]]))*(10)/(ASINH(R$4))</f>
        <v>3.1217354535239523</v>
      </c>
      <c r="T239" s="256">
        <f>FMS_Ranking4[[#This Row],[Population at risk, ArcSinh (0-10)]]*R$5*10</f>
        <v>3.1217354535239528</v>
      </c>
      <c r="U239" s="253">
        <f>_xlfn.XLOOKUP(FMS_Ranking4[[#This Row],[FMS ID]],FMS_Input[FMS_ID],FMS_Input[CRITFAC100])</f>
        <v>0</v>
      </c>
      <c r="V239" s="255">
        <f>(ASINH(FMS_Ranking4[[#This Row],[Critical Facilities Raw]]))*(10)/(ASINH(U$4))</f>
        <v>0</v>
      </c>
      <c r="W239" s="256">
        <f>FMS_Ranking4[[#This Row],[Critical facilities at risk, ArcSinh (0-10)]]*U$5*10</f>
        <v>0</v>
      </c>
      <c r="X239" s="253">
        <f>_xlfn.XLOOKUP(FMS_Ranking4[[#This Row],[FMS ID]],FMS_Input[FMS_ID],FMS_Input[LWC])</f>
        <v>10</v>
      </c>
      <c r="Y239" s="255">
        <f>(ASINH(FMS_Ranking4[[#This Row],[LWC Raw]]))*(10)/(ASINH(X$4))</f>
        <v>4.06180589758889</v>
      </c>
      <c r="Z239" s="256">
        <f>FMS_Ranking4[[#This Row],[LWC, ArcSInh (0-10)]]*X$5*10</f>
        <v>4.06180589758889</v>
      </c>
      <c r="AA239" s="253">
        <f>_xlfn.XLOOKUP(FMS_Ranking4[[#This Row],[FMS ID]],FMS_Input[FMS_ID],FMS_Input[ROADCLS])</f>
        <v>0</v>
      </c>
      <c r="AB239" s="255">
        <f>(ASINH(FMS_Ranking4[[#This Row],[Road Closures Raw]]))*(10)/(ASINH(AA$4))</f>
        <v>0</v>
      </c>
      <c r="AC239" s="256">
        <f>FMS_Ranking4[[#This Row],[Road closures, ArcSinh (0-10)]]*AA$5*10</f>
        <v>0</v>
      </c>
      <c r="AD239" s="253">
        <f>_xlfn.XLOOKUP(FMS_Ranking4[[#This Row],[FMS ID]],FMS_Input[FMS_ID],FMS_Input[ROAD_MILES100])</f>
        <v>18</v>
      </c>
      <c r="AE239" s="255">
        <f>(ASINH(FMS_Ranking4[[#This Row],[Road Miles Raw]]))*(10)/(ASINH(AD$4))</f>
        <v>3.8198666439072628</v>
      </c>
      <c r="AF239" s="256">
        <f>FMS_Ranking4[[#This Row],[Length of roads at risk, ArcSinh (0-10)]]*AD$5*10</f>
        <v>3.8198666439072633</v>
      </c>
      <c r="AG239" s="253">
        <f>_xlfn.XLOOKUP(FMS_Ranking4[[#This Row],[FMS ID]],FMS_Input[FMS_ID],FMS_Input[FARMACRE100])</f>
        <v>3492.507568359375</v>
      </c>
      <c r="AH239" s="255">
        <f>(ASINH(FMS_Ranking4[[#This Row],[Ag Land Raw]]))*(10)/(ASINH(AG$4))</f>
        <v>5.7497849647365538</v>
      </c>
      <c r="AI239" s="260">
        <f>FMS_Ranking4[[#This Row],[Farm &amp; ranch land, ArcSinh (0-10)]]*AG$5*10</f>
        <v>2.8748924823682769</v>
      </c>
      <c r="AJ239" s="258">
        <f>_xlfn.XLOOKUP(FMS_Ranking4[[#This Row],[FMS ID]],FMS_Input[FMS_ID],FMS_Input[REDSTRUCT100])</f>
        <v>18</v>
      </c>
      <c r="AK239" s="253">
        <f>_xlfn.XLOOKUP(FMS_Ranking4[[#This Row],[FMS ID]],FMS_Input[FMS_ID],FMS_Input[REMSTRC100])</f>
        <v>18</v>
      </c>
      <c r="AL239" s="255">
        <f>(ASINH(FMS_Ranking4[[#This Row],[Structures Removed Raw]]))*(10)/(ASINH(AK$4))</f>
        <v>4.0809696174971908</v>
      </c>
      <c r="AM239" s="262">
        <f>FMS_Ranking4[[#This Row],[Structures removed, ArcSinh (0-10)]]*AK$5*10</f>
        <v>4.0809696174971908</v>
      </c>
      <c r="AN239" s="253">
        <f>_xlfn.XLOOKUP(FMS_Ranking4[[#This Row],[FMS ID]],FMS_Input[FMS_ID],FMS_Input[REMRESSTRC100])</f>
        <v>12</v>
      </c>
      <c r="AO239" s="261">
        <f>FMS_Ranking4[[#This Row],[ArcSinh Res struct removed 0-10]]*AN$5*10</f>
        <v>1.8650283178354909</v>
      </c>
      <c r="AP239" s="260">
        <f>ASINH(FMS_Ranking4[[#This Row],[Residential Structures Removed Raw]])/AP$4*AN$5*100</f>
        <v>1.8650283178354912</v>
      </c>
      <c r="AQ239" s="258">
        <f>(ASINH(FMS_Ranking4[[#This Row],[Residential Structures Removed Raw]]))*(10)/(ASINH(AN$4))</f>
        <v>3.7300566356709819</v>
      </c>
      <c r="AR239" s="253">
        <f>_xlfn.XLOOKUP(FMS_Ranking4[[#This Row],[FMS ID]],FMS_Input[FMS_ID],FMS_Input[REMPOP100])</f>
        <v>11</v>
      </c>
      <c r="AS239" s="255">
        <f>(ASINH(FMS_Ranking4[[#This Row],[Removed Pop Raw]]))*(10)/(ASINH(AR$4))</f>
        <v>3.036252346330846</v>
      </c>
      <c r="AT239" s="262">
        <f>FMS_Ranking4[[#This Row],[Removed population, ArcSinh (0-10)]]*AR$5*10</f>
        <v>3.036252346330846</v>
      </c>
      <c r="AU239" s="264">
        <f>_xlfn.XLOOKUP(FMS_Ranking4[[#This Row],[FMS ID]],FMS_Input[FMS_ID],FMS_Input[REMCRITFAC100])</f>
        <v>0</v>
      </c>
      <c r="AV239" s="264">
        <f>_xlfn.XLOOKUP(FMS_Ranking4[[#This Row],[FMS ID]],FMS_Input[FMS_ID],FMS_Input[REMLWC100])</f>
        <v>2</v>
      </c>
      <c r="AW239" s="264">
        <f>_xlfn.XLOOKUP(FMS_Ranking4[[#This Row],[FMS ID]],FMS_Input[FMS_ID],FMS_Input[REMROADCLS])</f>
        <v>0</v>
      </c>
      <c r="AX239" s="264">
        <f>_xlfn.XLOOKUP(FMS_Ranking4[[#This Row],[FMS ID]],FMS_Input[FMS_ID],FMS_Input[REMFRMACRE100])</f>
        <v>873.12689208984375</v>
      </c>
      <c r="AY239" s="258">
        <f>_xlfn.XLOOKUP(FMS_Ranking4[[#This Row],[FMS ID]],FMS_Input[FMS_ID],FMS_Input[COSTSTRUCT])</f>
        <v>25000</v>
      </c>
      <c r="AZ239" s="253">
        <f>_xlfn.XLOOKUP(FMS_Ranking4[[#This Row],[FMS ID]],FMS_Input[FMS_ID],FMS_Input[NATURE])</f>
        <v>25</v>
      </c>
      <c r="BA239" s="262">
        <f>(((FMS_Ranking4[[#This Row],[% NBS Raw]]/AZ$4)*100)*AZ$5)</f>
        <v>1.875</v>
      </c>
      <c r="BB239" s="251" t="str">
        <f>_xlfn.XLOOKUP(FMS_Ranking4[[#This Row],[FMS ID]],FMS_Input[FMS_ID],FMS_Input[WATER_SUP])</f>
        <v>No</v>
      </c>
      <c r="BC239" s="265">
        <f>IF(FMS_Ranking4[[#This Row],[Water Supply Raw]]="Yes",10,0)</f>
        <v>0</v>
      </c>
      <c r="BD239" s="266">
        <f>_xlfn.XLOOKUP(FMS_Ranking4[[#This Row],[FMS Type]],FMS_TYPE[FMS_Type],FMS_TYPE[Score])</f>
        <v>2</v>
      </c>
      <c r="BE239" s="267">
        <f>FMS_Ranking4[[#This Row],[FMS_Type Score]]*$BD$5*10</f>
        <v>0.5</v>
      </c>
      <c r="BF23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0.16667331243441863</v>
      </c>
      <c r="BG239" s="321">
        <f>_xlfn.RANK.EQ(BF239,$BF$8:$BF$870,0)+COUNTIF($BF$8:BF239,BF239)-1</f>
        <v>381</v>
      </c>
      <c r="BH239" s="294">
        <f>(((FMS_Ranking4[[#This Row],[Structures Removed Raw]]/AK$4)*100)*AK$5)+(((FMS_Ranking4[[#This Row],[Removed Pop Raw]]/AR$4)*100)*AR$5)</f>
        <v>6.3480300935541828E-2</v>
      </c>
      <c r="BI23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2.6051536133699607</v>
      </c>
      <c r="BJ239" s="251">
        <f>_xlfn.RANK.EQ(FMS_Ranking4[[#This Row],[Total Score 
(with linear
normalization)]],FMS_Ranking4[Total Score 
(with linear
normalization)],0)</f>
        <v>225</v>
      </c>
      <c r="BK239" s="251" t="e">
        <f>_xlfn.XLOOKUP(FMS_Ranking4[[#This Row],[FMS ID]],#REF!,#REF!)</f>
        <v>#REF!</v>
      </c>
      <c r="BL23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26.74545758847951</v>
      </c>
      <c r="BM239" s="324">
        <f>FMS_Ranking4[[#This Row],[ArcSinh Score Based on Normalized Reported Factors]]+FMS_Ranking4[[#This Row],[% NBS Score (Normalized)]]+(FMS_Ranking4[[#This Row],[Water Supply Score (Normalized)]]*10*$BB$5)+FMS_Ranking4[[#This Row],[FMS_Type Score Weighted]]</f>
        <v>29.12045758847951</v>
      </c>
      <c r="BN239" s="251">
        <f>_xlfn.RANK.EQ(FMS_Ranking4[[#This Row],[Total Score (with ArcSinh normalization of select criteria)]],FMS_Ranking4[Total Score (with ArcSinh normalization of select criteria)],0)</f>
        <v>231</v>
      </c>
      <c r="BO239" s="270" t="str">
        <f>_xlfn.XLOOKUP(FMS_Ranking4[[#This Row],[FMS ID]],FMS_Input[FMS_ID],FMS_Input[FMS_RANK_YEAR])</f>
        <v>2023 Amended Plan</v>
      </c>
      <c r="BP239" s="204">
        <f>_xlfn.XLOOKUP(FMS_Ranking4[[#This Row],[FMS ID]],Prev_Rank[FMS ID],Prev_Rank[Prev Rank])</f>
        <v>222</v>
      </c>
      <c r="BQ239" s="251" t="e">
        <f>_xlfn.XLOOKUP(FMS_Ranking4[[#This Row],[FMS ID]],#REF!,#REF!)</f>
        <v>#REF!</v>
      </c>
      <c r="BR239" s="199" t="e">
        <f>SUM(#REF!,#REF!,#REF!,#REF!,#REF!,#REF!,#REF!,#REF!,#REF!,FMS_Ranking4[[#This Row],[ArcSinh Res struct removed 0-10]],#REF!)</f>
        <v>#REF!</v>
      </c>
      <c r="BS239" s="199" t="e">
        <f>FMS_Ranking4[[#This Row],[Log Score Based on Normalized Reported Factors]]+FMS_Ranking4[[#This Row],[% NBS Score (Normalized)]]+(FMS_Ranking4[[#This Row],[Water Supply Score (Normalized)]]*10*$BB$5)+(FMS_Ranking4[[#This Row],[FMS_Type Score Weighted]])</f>
        <v>#REF!</v>
      </c>
      <c r="BT239" s="200" t="e">
        <f>_xlfn.RANK.EQ(FMS_Ranking4[[#This Row],[Log Total Score]],FMS_Ranking4[Log Total Score],0)</f>
        <v>#REF!</v>
      </c>
      <c r="BU239" s="200" t="e">
        <f>_xlfn.XLOOKUP(FMS_Ranking4[[#This Row],[FMS ID]],#REF!,#REF!)</f>
        <v>#REF!</v>
      </c>
      <c r="BV239" s="200">
        <f>FMS_Ranking4[[#This Row],[Region Number]]</f>
        <v>9</v>
      </c>
      <c r="BW239" s="200">
        <f>FMS_Ranking4[[#This Row],[Rank (with ArcSinh normalization of select criteria)]]-FMS_Ranking4[[#This Row],[Rank
(with linear
normalization)]]</f>
        <v>6</v>
      </c>
      <c r="BX239" s="200" t="e">
        <f>FMS_Ranking4[[#This Row],[Log Rank]]-FMS_Ranking4[[#This Row],[Rank
(with linear
normalization)]]</f>
        <v>#REF!</v>
      </c>
      <c r="BY239" s="200" t="str">
        <f>IF(FMS_Ranking4[[#This Row],[FMS Type]]="Flood Measurement and Warning",FMS_Ranking4[[#This Row],[Rank (with ArcSinh normalization of select criteria)]],"")</f>
        <v/>
      </c>
      <c r="BZ239" s="200" t="str">
        <f>IF(FMS_Ranking4[[#This Row],[FMS Type]]="Regulatory and Guidance",FMS_Ranking4[[#This Row],[Rank (with ArcSinh normalization of select criteria)]],"")</f>
        <v/>
      </c>
      <c r="CA239" s="200" t="str">
        <f>IF(FMS_Ranking4[[#This Row],[FMS Type]]="Education and Outreach",FMS_Ranking4[[#This Row],[Rank (with ArcSinh normalization of select criteria)]],"")</f>
        <v/>
      </c>
      <c r="CB239" s="200" t="str">
        <f>IF(FMS_Ranking4[[#This Row],[FMS Type]]="Property Acquisition and Structural Elevation",FMS_Ranking4[[#This Row],[Rank (with ArcSinh normalization of select criteria)]],"")</f>
        <v/>
      </c>
      <c r="CC239" s="200" t="str">
        <f>IF(FMS_Ranking4[[#This Row],[FMS Type]]="Infrastructure Projects",FMS_Ranking4[[#This Row],[Rank (with ArcSinh normalization of select criteria)]],"")</f>
        <v/>
      </c>
      <c r="CD239" s="200">
        <f>IF(FMS_Ranking4[[#This Row],[FMS Type]]="Other",FMS_Ranking4[[#This Row],[Rank (with ArcSinh normalization of select criteria)]],"")</f>
        <v>231</v>
      </c>
      <c r="CE239" s="201"/>
      <c r="CF239" s="206"/>
      <c r="CG239" s="206"/>
      <c r="CH239" s="206"/>
      <c r="CI239" s="206"/>
      <c r="CJ239" s="206"/>
      <c r="CK239" s="206"/>
      <c r="CL239" s="206"/>
      <c r="CM239" s="206"/>
      <c r="CN239" s="206"/>
      <c r="CO239" s="206"/>
      <c r="CP239" s="206"/>
      <c r="CQ239" s="206"/>
      <c r="CR239" s="206"/>
    </row>
    <row r="240" spans="2:96" ht="135" x14ac:dyDescent="0.25">
      <c r="B240" s="341" t="s">
        <v>2005</v>
      </c>
      <c r="C240" s="246">
        <f>_xlfn.XLOOKUP(FMS_Ranking4[[#This Row],[FMS ID]],FMS_Input[FMS_ID],FMS_Input[RFPG_NUM])</f>
        <v>3</v>
      </c>
      <c r="D240" s="309" t="str">
        <f>_xlfn.XLOOKUP(FMS_Ranking4[[#This Row],[FMS ID]],FMS_Input[FMS_ID],FMS_Input[FMS_NAME])</f>
        <v xml:space="preserve">Hazard Hardening Retrofit for Polk County Facilities </v>
      </c>
      <c r="E240" s="308" t="str">
        <f>_xlfn.XLOOKUP(FMS_Ranking4[[#This Row],[FMS ID]],FMS_Input[FMS_ID],FMS_Input[SPONSOR])</f>
        <v>Polk County, Corrigan, Goodrich, Livingston, Onalaska, Seven Oaks</v>
      </c>
      <c r="F240" s="309" t="str">
        <f>_xlfn.XLOOKUP(FMS_Ranking4[[#This Row],[FMS ID]],Sponsor[FMS_ID],Sponsor[SPONSOR NAME])</f>
        <v>Polk County, Corrigan, Goodrich, Livingston, Onalaska, Seven Oaks</v>
      </c>
      <c r="G240" s="309" t="str">
        <f>_xlfn.XLOOKUP(FMS_Ranking4[[#This Row],[FMS ID]],FMS_Input[FMS_ID],FMS_Input[FMS_DESCR])</f>
        <v>Flood-proofing, impact resistant windows, storm shutter, roof strap, structural bracing, low-flow plumbing fixture, roll-up door reinforcement, grounding system, surge-protection, data back-up systems, plumbing reinforcement and insulation, heat resistant</v>
      </c>
      <c r="H240" s="248" t="str">
        <f>_xlfn.XLOOKUP(FMS_Ranking4[[#This Row],[FMS ID]],FMS_Input[FMS_ID],FMS_Input[FMS_TYPE])</f>
        <v>Other</v>
      </c>
      <c r="I240" s="249">
        <f>_xlfn.XLOOKUP(FMS_Ranking4[[#This Row],[FMS ID]],FMS_Input[FMS_ID],FMS_Input[NRNC_COST])</f>
        <v>3000000</v>
      </c>
      <c r="J240" s="250">
        <f>_xlfn.XLOOKUP(FMS_Ranking4[[#This Row],[FMS ID]],FMS_Input[FMS_ID],FMS_Input[FMS_COST])</f>
        <v>30000000</v>
      </c>
      <c r="K240" s="251" t="str">
        <f>_xlfn.XLOOKUP(FMS_Ranking4[[#This Row],[FMS ID]],FMS_Input[FMS_ID],FMS_Input[EMER_NEED])</f>
        <v>No</v>
      </c>
      <c r="L240" s="252">
        <f t="shared" si="3"/>
        <v>0</v>
      </c>
      <c r="M240" s="253">
        <f>_xlfn.XLOOKUP(FMS_Ranking4[[#This Row],[FMS ID]],FMS_Input[FMS_ID],FMS_Input[STRUCT_100])</f>
        <v>1797</v>
      </c>
      <c r="N240" s="255">
        <f>(ASINH(FMS_Ranking4[[#This Row],[Structure at Risk Raw]]))*(10)/(ASINH(M$4))</f>
        <v>6.4362176144339083</v>
      </c>
      <c r="O240" s="256">
        <f>FMS_Ranking4[[#This Row],[Structures at risk, ArcSinh (0-10)]]*M$5*10</f>
        <v>6.4362176144339092</v>
      </c>
      <c r="P240" s="253">
        <f>_xlfn.XLOOKUP(FMS_Ranking4[[#This Row],[FMS ID]],FMS_Input[FMS_ID],FMS_Input[RES_STRUCT100])</f>
        <v>1654</v>
      </c>
      <c r="Q240" s="257">
        <f>ASINH(FMS_Ranking4[[#This Row],[Res Structure Raw]])/Q$4*P$5*100</f>
        <v>0</v>
      </c>
      <c r="R240" s="253">
        <f>_xlfn.XLOOKUP(FMS_Ranking4[[#This Row],[FMS ID]],FMS_Input[FMS_ID],FMS_Input[POP100])</f>
        <v>2617</v>
      </c>
      <c r="S240" s="259">
        <f>(ASINH(FMS_Ranking4[[#This Row],[Pop at Risk Raw]]))*(10)/(ASINH(R$4))</f>
        <v>5.9114898679903982</v>
      </c>
      <c r="T240" s="256">
        <f>FMS_Ranking4[[#This Row],[Population at risk, ArcSinh (0-10)]]*R$5*10</f>
        <v>5.9114898679903982</v>
      </c>
      <c r="U240" s="253">
        <f>_xlfn.XLOOKUP(FMS_Ranking4[[#This Row],[FMS ID]],FMS_Input[FMS_ID],FMS_Input[CRITFAC100])</f>
        <v>31</v>
      </c>
      <c r="V240" s="259">
        <f>(ASINH(FMS_Ranking4[[#This Row],[Critical Facilities Raw]]))*(10)/(ASINH(U$4))</f>
        <v>4.8858615117822186</v>
      </c>
      <c r="W240" s="256">
        <f>FMS_Ranking4[[#This Row],[Critical facilities at risk, ArcSinh (0-10)]]*U$5*10</f>
        <v>4.8858615117822186</v>
      </c>
      <c r="X240" s="253">
        <f>_xlfn.XLOOKUP(FMS_Ranking4[[#This Row],[FMS ID]],FMS_Input[FMS_ID],FMS_Input[LWC])</f>
        <v>3</v>
      </c>
      <c r="Y240" s="259">
        <f>(ASINH(FMS_Ranking4[[#This Row],[LWC Raw]]))*(10)/(ASINH(X$4))</f>
        <v>2.4635181155638843</v>
      </c>
      <c r="Z240" s="256">
        <f>FMS_Ranking4[[#This Row],[LWC, ArcSInh (0-10)]]*X$5*10</f>
        <v>2.4635181155638843</v>
      </c>
      <c r="AA240" s="253">
        <f>_xlfn.XLOOKUP(FMS_Ranking4[[#This Row],[FMS ID]],FMS_Input[FMS_ID],FMS_Input[ROADCLS])</f>
        <v>0</v>
      </c>
      <c r="AB240" s="255">
        <f>(ASINH(FMS_Ranking4[[#This Row],[Road Closures Raw]]))*(10)/(ASINH(AA$4))</f>
        <v>0</v>
      </c>
      <c r="AC240" s="256">
        <f>FMS_Ranking4[[#This Row],[Road closures, ArcSinh (0-10)]]*AA$5*10</f>
        <v>0</v>
      </c>
      <c r="AD240" s="253">
        <f>_xlfn.XLOOKUP(FMS_Ranking4[[#This Row],[FMS ID]],FMS_Input[FMS_ID],FMS_Input[ROAD_MILES100])</f>
        <v>95</v>
      </c>
      <c r="AE240" s="259">
        <f>(ASINH(FMS_Ranking4[[#This Row],[Road Miles Raw]]))*(10)/(ASINH(AD$4))</f>
        <v>5.5919135976357097</v>
      </c>
      <c r="AF240" s="256">
        <f>FMS_Ranking4[[#This Row],[Length of roads at risk, ArcSinh (0-10)]]*AD$5*10</f>
        <v>5.5919135976357106</v>
      </c>
      <c r="AG240" s="253">
        <f>_xlfn.XLOOKUP(FMS_Ranking4[[#This Row],[FMS ID]],FMS_Input[FMS_ID],FMS_Input[FARMACRE100])</f>
        <v>13977.25</v>
      </c>
      <c r="AH240" s="255">
        <f>(ASINH(FMS_Ranking4[[#This Row],[Ag Land Raw]]))*(10)/(ASINH(AG$4))</f>
        <v>6.6506316979347151</v>
      </c>
      <c r="AI240" s="260">
        <f>FMS_Ranking4[[#This Row],[Farm &amp; ranch land, ArcSinh (0-10)]]*AG$5*10</f>
        <v>3.325315848967358</v>
      </c>
      <c r="AJ240" s="258">
        <f>_xlfn.XLOOKUP(FMS_Ranking4[[#This Row],[FMS ID]],FMS_Input[FMS_ID],FMS_Input[REDSTRUCT100])</f>
        <v>0</v>
      </c>
      <c r="AK240" s="253">
        <f>_xlfn.XLOOKUP(FMS_Ranking4[[#This Row],[FMS ID]],FMS_Input[FMS_ID],FMS_Input[REMSTRC100])</f>
        <v>0</v>
      </c>
      <c r="AL240" s="259">
        <f>(ASINH(FMS_Ranking4[[#This Row],[Structures Removed Raw]]))*(10)/(ASINH(AK$4))</f>
        <v>0</v>
      </c>
      <c r="AM240" s="262">
        <f>FMS_Ranking4[[#This Row],[Structures removed, ArcSinh (0-10)]]*AK$5*10</f>
        <v>0</v>
      </c>
      <c r="AN240" s="253">
        <f>_xlfn.XLOOKUP(FMS_Ranking4[[#This Row],[FMS ID]],FMS_Input[FMS_ID],FMS_Input[REMRESSTRC100])</f>
        <v>0</v>
      </c>
      <c r="AO240" s="261">
        <f>FMS_Ranking4[[#This Row],[ArcSinh Res struct removed 0-10]]*AN$5*10</f>
        <v>0</v>
      </c>
      <c r="AP240" s="260">
        <f>ASINH(FMS_Ranking4[[#This Row],[Residential Structures Removed Raw]])/AP$4*AN$5*100</f>
        <v>0</v>
      </c>
      <c r="AQ240" s="254">
        <f>(ASINH(FMS_Ranking4[[#This Row],[Residential Structures Removed Raw]]))*(10)/(ASINH(AN$4))</f>
        <v>0</v>
      </c>
      <c r="AR240" s="253">
        <f>_xlfn.XLOOKUP(FMS_Ranking4[[#This Row],[FMS ID]],FMS_Input[FMS_ID],FMS_Input[REMPOP100])</f>
        <v>0</v>
      </c>
      <c r="AS240" s="259">
        <f>(ASINH(FMS_Ranking4[[#This Row],[Removed Pop Raw]]))*(10)/(ASINH(AR$4))</f>
        <v>0</v>
      </c>
      <c r="AT240" s="262">
        <f>FMS_Ranking4[[#This Row],[Removed population, ArcSinh (0-10)]]*AR$5*10</f>
        <v>0</v>
      </c>
      <c r="AU240" s="264">
        <f>_xlfn.XLOOKUP(FMS_Ranking4[[#This Row],[FMS ID]],FMS_Input[FMS_ID],FMS_Input[REMCRITFAC100])</f>
        <v>0</v>
      </c>
      <c r="AV240" s="264">
        <f>_xlfn.XLOOKUP(FMS_Ranking4[[#This Row],[FMS ID]],FMS_Input[FMS_ID],FMS_Input[REMLWC100])</f>
        <v>0</v>
      </c>
      <c r="AW240" s="264">
        <f>_xlfn.XLOOKUP(FMS_Ranking4[[#This Row],[FMS ID]],FMS_Input[FMS_ID],FMS_Input[REMROADCLS])</f>
        <v>0</v>
      </c>
      <c r="AX240" s="264">
        <f>_xlfn.XLOOKUP(FMS_Ranking4[[#This Row],[FMS ID]],FMS_Input[FMS_ID],FMS_Input[REMFRMACRE100])</f>
        <v>0</v>
      </c>
      <c r="AY240" s="258">
        <f>_xlfn.XLOOKUP(FMS_Ranking4[[#This Row],[FMS ID]],FMS_Input[FMS_ID],FMS_Input[COSTSTRUCT])</f>
        <v>0</v>
      </c>
      <c r="AZ240" s="253">
        <f>_xlfn.XLOOKUP(FMS_Ranking4[[#This Row],[FMS ID]],FMS_Input[FMS_ID],FMS_Input[NATURE])</f>
        <v>0</v>
      </c>
      <c r="BA240" s="262">
        <f>(((FMS_Ranking4[[#This Row],[% NBS Raw]]/AZ$4)*100)*AZ$5)</f>
        <v>0</v>
      </c>
      <c r="BB240" s="251" t="str">
        <f>_xlfn.XLOOKUP(FMS_Ranking4[[#This Row],[FMS ID]],FMS_Input[FMS_ID],FMS_Input[WATER_SUP])</f>
        <v>No</v>
      </c>
      <c r="BC240" s="265">
        <f>IF(FMS_Ranking4[[#This Row],[Water Supply Raw]]="Yes",10,0)</f>
        <v>0</v>
      </c>
      <c r="BD240" s="266">
        <f>_xlfn.XLOOKUP(FMS_Ranking4[[#This Row],[FMS Type]],FMS_TYPE[FMS_Type],FMS_TYPE[Score])</f>
        <v>2</v>
      </c>
      <c r="BE240" s="267">
        <f>FMS_Ranking4[[#This Row],[FMS_Type Score]]*$BD$5*10</f>
        <v>0.5</v>
      </c>
      <c r="BF24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0.49318689909021551</v>
      </c>
      <c r="BG240" s="271">
        <f>_xlfn.RANK.EQ(BF240,$BF$8:$BF$870,0)+COUNTIF($BF$8:BF240,BF240)-1</f>
        <v>228</v>
      </c>
      <c r="BH240" s="268">
        <f>(((FMS_Ranking4[[#This Row],[Structures Removed Raw]]/AK$4)*100)*AK$5)+(((FMS_Ranking4[[#This Row],[Removed Pop Raw]]/AR$4)*100)*AR$5)</f>
        <v>0</v>
      </c>
      <c r="BI24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0.99318689909021551</v>
      </c>
      <c r="BJ240" s="205">
        <f>_xlfn.RANK.EQ(FMS_Ranking4[[#This Row],[Total Score 
(with linear
normalization)]],FMS_Ranking4[Total Score 
(with linear
normalization)],0)</f>
        <v>765</v>
      </c>
      <c r="BK240" s="205" t="e">
        <f>_xlfn.XLOOKUP(FMS_Ranking4[[#This Row],[FMS ID]],#REF!,#REF!)</f>
        <v>#REF!</v>
      </c>
      <c r="BL24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28.614316556373481</v>
      </c>
      <c r="BM240" s="272">
        <f>FMS_Ranking4[[#This Row],[ArcSinh Score Based on Normalized Reported Factors]]+FMS_Ranking4[[#This Row],[% NBS Score (Normalized)]]+(FMS_Ranking4[[#This Row],[Water Supply Score (Normalized)]]*10*$BB$5)+FMS_Ranking4[[#This Row],[FMS_Type Score Weighted]]</f>
        <v>29.114316556373481</v>
      </c>
      <c r="BN240" s="205">
        <f>_xlfn.RANK.EQ(FMS_Ranking4[[#This Row],[Total Score (with ArcSinh normalization of select criteria)]],FMS_Ranking4[Total Score (with ArcSinh normalization of select criteria)],0)</f>
        <v>233</v>
      </c>
      <c r="BO240" s="270" t="str">
        <f>_xlfn.XLOOKUP(FMS_Ranking4[[#This Row],[FMS ID]],FMS_Input[FMS_ID],FMS_Input[FMS_RANK_YEAR])</f>
        <v>2023 Amended Plan</v>
      </c>
      <c r="BP240" s="204">
        <f>_xlfn.XLOOKUP(FMS_Ranking4[[#This Row],[FMS ID]],Prev_Rank[FMS ID],Prev_Rank[Prev Rank])</f>
        <v>203</v>
      </c>
      <c r="BQ240" s="205" t="e">
        <f>_xlfn.XLOOKUP(FMS_Ranking4[[#This Row],[FMS ID]],#REF!,#REF!)</f>
        <v>#REF!</v>
      </c>
      <c r="BR240" s="199" t="e">
        <f>SUM(#REF!,#REF!,#REF!,#REF!,#REF!,#REF!,#REF!,#REF!,#REF!,FMS_Ranking4[[#This Row],[ArcSinh Res struct removed 0-10]],#REF!)</f>
        <v>#REF!</v>
      </c>
      <c r="BS240" s="199" t="e">
        <f>FMS_Ranking4[[#This Row],[Log Score Based on Normalized Reported Factors]]+FMS_Ranking4[[#This Row],[% NBS Score (Normalized)]]+(FMS_Ranking4[[#This Row],[Water Supply Score (Normalized)]]*10*$BB$5)+(FMS_Ranking4[[#This Row],[FMS_Type Score Weighted]])</f>
        <v>#REF!</v>
      </c>
      <c r="BT240" s="200" t="e">
        <f>_xlfn.RANK.EQ(FMS_Ranking4[[#This Row],[Log Total Score]],FMS_Ranking4[Log Total Score],0)</f>
        <v>#REF!</v>
      </c>
      <c r="BU240" s="200" t="e">
        <f>_xlfn.XLOOKUP(FMS_Ranking4[[#This Row],[FMS ID]],#REF!,#REF!)</f>
        <v>#REF!</v>
      </c>
      <c r="BV240" s="200">
        <f>FMS_Ranking4[[#This Row],[Region Number]]</f>
        <v>3</v>
      </c>
      <c r="BW240" s="200">
        <f>FMS_Ranking4[[#This Row],[Rank (with ArcSinh normalization of select criteria)]]-FMS_Ranking4[[#This Row],[Rank
(with linear
normalization)]]</f>
        <v>-532</v>
      </c>
      <c r="BX240" s="200" t="e">
        <f>FMS_Ranking4[[#This Row],[Log Rank]]-FMS_Ranking4[[#This Row],[Rank
(with linear
normalization)]]</f>
        <v>#REF!</v>
      </c>
      <c r="BY240" s="200" t="str">
        <f>IF(FMS_Ranking4[[#This Row],[FMS Type]]="Flood Measurement and Warning",FMS_Ranking4[[#This Row],[Rank (with ArcSinh normalization of select criteria)]],"")</f>
        <v/>
      </c>
      <c r="BZ240" s="200" t="str">
        <f>IF(FMS_Ranking4[[#This Row],[FMS Type]]="Regulatory and Guidance",FMS_Ranking4[[#This Row],[Rank (with ArcSinh normalization of select criteria)]],"")</f>
        <v/>
      </c>
      <c r="CA240" s="200" t="str">
        <f>IF(FMS_Ranking4[[#This Row],[FMS Type]]="Education and Outreach",FMS_Ranking4[[#This Row],[Rank (with ArcSinh normalization of select criteria)]],"")</f>
        <v/>
      </c>
      <c r="CB240" s="200" t="str">
        <f>IF(FMS_Ranking4[[#This Row],[FMS Type]]="Property Acquisition and Structural Elevation",FMS_Ranking4[[#This Row],[Rank (with ArcSinh normalization of select criteria)]],"")</f>
        <v/>
      </c>
      <c r="CC240" s="200" t="str">
        <f>IF(FMS_Ranking4[[#This Row],[FMS Type]]="Infrastructure Projects",FMS_Ranking4[[#This Row],[Rank (with ArcSinh normalization of select criteria)]],"")</f>
        <v/>
      </c>
      <c r="CD240" s="200">
        <f>IF(FMS_Ranking4[[#This Row],[FMS Type]]="Other",FMS_Ranking4[[#This Row],[Rank (with ArcSinh normalization of select criteria)]],"")</f>
        <v>233</v>
      </c>
      <c r="CE240" s="201"/>
      <c r="CF240" s="206"/>
      <c r="CG240" s="206"/>
      <c r="CH240" s="206"/>
      <c r="CI240" s="206"/>
      <c r="CJ240" s="206"/>
      <c r="CK240" s="206"/>
      <c r="CL240" s="206"/>
      <c r="CM240" s="206"/>
      <c r="CN240" s="206"/>
      <c r="CO240" s="206"/>
      <c r="CP240" s="206"/>
      <c r="CQ240" s="206"/>
      <c r="CR240" s="206"/>
    </row>
    <row r="241" spans="2:96" ht="45" x14ac:dyDescent="0.25">
      <c r="B241" s="341" t="s">
        <v>3513</v>
      </c>
      <c r="C241" s="246">
        <f>_xlfn.XLOOKUP(FMS_Ranking4[[#This Row],[FMS ID]],FMS_Input[FMS_ID],FMS_Input[RFPG_NUM])</f>
        <v>12</v>
      </c>
      <c r="D241" s="309" t="str">
        <f>_xlfn.XLOOKUP(FMS_Ranking4[[#This Row],[FMS ID]],FMS_Input[FMS_ID],FMS_Input[FMS_NAME])</f>
        <v>Shelter requirement for RV parks</v>
      </c>
      <c r="E241" s="308" t="str">
        <f>_xlfn.XLOOKUP(FMS_Ranking4[[#This Row],[FMS ID]],FMS_Input[FMS_ID],FMS_Input[SPONSOR])</f>
        <v>00000095</v>
      </c>
      <c r="F241" s="309" t="str">
        <f>_xlfn.XLOOKUP(FMS_Ranking4[[#This Row],[FMS ID]],Sponsor[FMS_ID],Sponsor[SPONSOR NAME])</f>
        <v>Karnes</v>
      </c>
      <c r="G241" s="309" t="str">
        <f>_xlfn.XLOOKUP(FMS_Ranking4[[#This Row],[FMS ID]],FMS_Input[FMS_ID],FMS_Input[FMS_DESCR])</f>
        <v>Adopt and implement an ordinance to require RV Parks to provide shelter facilities.</v>
      </c>
      <c r="H241" s="248" t="str">
        <f>_xlfn.XLOOKUP(FMS_Ranking4[[#This Row],[FMS ID]],FMS_Input[FMS_ID],FMS_Input[FMS_TYPE])</f>
        <v>Regulatory and Guidance</v>
      </c>
      <c r="I241" s="249">
        <f>_xlfn.XLOOKUP(FMS_Ranking4[[#This Row],[FMS ID]],FMS_Input[FMS_ID],FMS_Input[NRNC_COST])</f>
        <v>10000</v>
      </c>
      <c r="J241" s="250">
        <f>_xlfn.XLOOKUP(FMS_Ranking4[[#This Row],[FMS ID]],FMS_Input[FMS_ID],FMS_Input[FMS_COST])</f>
        <v>10000</v>
      </c>
      <c r="K241" s="251" t="str">
        <f>_xlfn.XLOOKUP(FMS_Ranking4[[#This Row],[FMS ID]],FMS_Input[FMS_ID],FMS_Input[EMER_NEED])</f>
        <v>No</v>
      </c>
      <c r="L241" s="252">
        <f t="shared" si="3"/>
        <v>0</v>
      </c>
      <c r="M241" s="253">
        <f>_xlfn.XLOOKUP(FMS_Ranking4[[#This Row],[FMS ID]],FMS_Input[FMS_ID],FMS_Input[STRUCT_100])</f>
        <v>336</v>
      </c>
      <c r="N241" s="255">
        <f>(ASINH(FMS_Ranking4[[#This Row],[Structure at Risk Raw]]))*(10)/(ASINH(M$4))</f>
        <v>5.1180341319979368</v>
      </c>
      <c r="O241" s="256">
        <f>FMS_Ranking4[[#This Row],[Structures at risk, ArcSinh (0-10)]]*M$5*10</f>
        <v>5.1180341319979377</v>
      </c>
      <c r="P241" s="253">
        <f>_xlfn.XLOOKUP(FMS_Ranking4[[#This Row],[FMS ID]],FMS_Input[FMS_ID],FMS_Input[RES_STRUCT100])</f>
        <v>161</v>
      </c>
      <c r="Q241" s="257">
        <f>ASINH(FMS_Ranking4[[#This Row],[Res Structure Raw]])/Q$4*P$5*100</f>
        <v>0</v>
      </c>
      <c r="R241" s="253">
        <f>_xlfn.XLOOKUP(FMS_Ranking4[[#This Row],[FMS ID]],FMS_Input[FMS_ID],FMS_Input[POP100])</f>
        <v>422</v>
      </c>
      <c r="S241" s="259">
        <f>(ASINH(FMS_Ranking4[[#This Row],[Pop at Risk Raw]]))*(10)/(ASINH(R$4))</f>
        <v>4.651739917462991</v>
      </c>
      <c r="T241" s="256">
        <f>FMS_Ranking4[[#This Row],[Population at risk, ArcSinh (0-10)]]*R$5*10</f>
        <v>4.6517399174629919</v>
      </c>
      <c r="U241" s="253">
        <f>_xlfn.XLOOKUP(FMS_Ranking4[[#This Row],[FMS ID]],FMS_Input[FMS_ID],FMS_Input[CRITFAC100])</f>
        <v>0</v>
      </c>
      <c r="V241" s="259">
        <f>(ASINH(FMS_Ranking4[[#This Row],[Critical Facilities Raw]]))*(10)/(ASINH(U$4))</f>
        <v>0</v>
      </c>
      <c r="W241" s="256">
        <f>FMS_Ranking4[[#This Row],[Critical facilities at risk, ArcSinh (0-10)]]*U$5*10</f>
        <v>0</v>
      </c>
      <c r="X241" s="253">
        <f>_xlfn.XLOOKUP(FMS_Ranking4[[#This Row],[FMS ID]],FMS_Input[FMS_ID],FMS_Input[LWC])</f>
        <v>19</v>
      </c>
      <c r="Y241" s="259">
        <f>(ASINH(FMS_Ranking4[[#This Row],[LWC Raw]]))*(10)/(ASINH(X$4))</f>
        <v>4.9289126022409242</v>
      </c>
      <c r="Z241" s="256">
        <f>FMS_Ranking4[[#This Row],[LWC, ArcSInh (0-10)]]*X$5*10</f>
        <v>4.9289126022409242</v>
      </c>
      <c r="AA241" s="253">
        <f>_xlfn.XLOOKUP(FMS_Ranking4[[#This Row],[FMS ID]],FMS_Input[FMS_ID],FMS_Input[ROADCLS])</f>
        <v>757</v>
      </c>
      <c r="AB241" s="255">
        <f>(ASINH(FMS_Ranking4[[#This Row],[Road Closures Raw]]))*(10)/(ASINH(AA$4))</f>
        <v>7.6257229885087376</v>
      </c>
      <c r="AC241" s="256">
        <f>FMS_Ranking4[[#This Row],[Road closures, ArcSinh (0-10)]]*AA$5*10</f>
        <v>3.8128614942543693</v>
      </c>
      <c r="AD241" s="253">
        <f>_xlfn.XLOOKUP(FMS_Ranking4[[#This Row],[FMS ID]],FMS_Input[FMS_ID],FMS_Input[ROAD_MILES100])</f>
        <v>59</v>
      </c>
      <c r="AE241" s="259">
        <f>(ASINH(FMS_Ranking4[[#This Row],[Road Miles Raw]]))*(10)/(ASINH(AD$4))</f>
        <v>5.0843138091420288</v>
      </c>
      <c r="AF241" s="256">
        <f>FMS_Ranking4[[#This Row],[Length of roads at risk, ArcSinh (0-10)]]*AD$5*10</f>
        <v>5.0843138091420297</v>
      </c>
      <c r="AG241" s="253">
        <f>_xlfn.XLOOKUP(FMS_Ranking4[[#This Row],[FMS ID]],FMS_Input[FMS_ID],FMS_Input[FARMACRE100])</f>
        <v>14495.400390625</v>
      </c>
      <c r="AH241" s="255">
        <f>(ASINH(FMS_Ranking4[[#This Row],[Ag Land Raw]]))*(10)/(ASINH(AG$4))</f>
        <v>6.674276708117219</v>
      </c>
      <c r="AI241" s="260">
        <f>FMS_Ranking4[[#This Row],[Farm &amp; ranch land, ArcSinh (0-10)]]*AG$5*10</f>
        <v>3.3371383540586095</v>
      </c>
      <c r="AJ241" s="258">
        <f>_xlfn.XLOOKUP(FMS_Ranking4[[#This Row],[FMS ID]],FMS_Input[FMS_ID],FMS_Input[REDSTRUCT100])</f>
        <v>0</v>
      </c>
      <c r="AK241" s="253">
        <f>_xlfn.XLOOKUP(FMS_Ranking4[[#This Row],[FMS ID]],FMS_Input[FMS_ID],FMS_Input[REMSTRC100])</f>
        <v>0</v>
      </c>
      <c r="AL241" s="259">
        <f>(ASINH(FMS_Ranking4[[#This Row],[Structures Removed Raw]]))*(10)/(ASINH(AK$4))</f>
        <v>0</v>
      </c>
      <c r="AM241" s="262">
        <f>FMS_Ranking4[[#This Row],[Structures removed, ArcSinh (0-10)]]*AK$5*10</f>
        <v>0</v>
      </c>
      <c r="AN241" s="253">
        <f>_xlfn.XLOOKUP(FMS_Ranking4[[#This Row],[FMS ID]],FMS_Input[FMS_ID],FMS_Input[REMRESSTRC100])</f>
        <v>0</v>
      </c>
      <c r="AO241" s="261">
        <f>FMS_Ranking4[[#This Row],[ArcSinh Res struct removed 0-10]]*AN$5*10</f>
        <v>0</v>
      </c>
      <c r="AP241" s="260">
        <f>ASINH(FMS_Ranking4[[#This Row],[Residential Structures Removed Raw]])/AP$4*AN$5*100</f>
        <v>0</v>
      </c>
      <c r="AQ241" s="254">
        <f>(ASINH(FMS_Ranking4[[#This Row],[Residential Structures Removed Raw]]))*(10)/(ASINH(AN$4))</f>
        <v>0</v>
      </c>
      <c r="AR241" s="253">
        <f>_xlfn.XLOOKUP(FMS_Ranking4[[#This Row],[FMS ID]],FMS_Input[FMS_ID],FMS_Input[REMPOP100])</f>
        <v>0</v>
      </c>
      <c r="AS241" s="259">
        <f>(ASINH(FMS_Ranking4[[#This Row],[Removed Pop Raw]]))*(10)/(ASINH(AR$4))</f>
        <v>0</v>
      </c>
      <c r="AT241" s="262">
        <f>FMS_Ranking4[[#This Row],[Removed population, ArcSinh (0-10)]]*AR$5*10</f>
        <v>0</v>
      </c>
      <c r="AU241" s="264">
        <f>_xlfn.XLOOKUP(FMS_Ranking4[[#This Row],[FMS ID]],FMS_Input[FMS_ID],FMS_Input[REMCRITFAC100])</f>
        <v>0</v>
      </c>
      <c r="AV241" s="264">
        <f>_xlfn.XLOOKUP(FMS_Ranking4[[#This Row],[FMS ID]],FMS_Input[FMS_ID],FMS_Input[REMLWC100])</f>
        <v>0</v>
      </c>
      <c r="AW241" s="264">
        <f>_xlfn.XLOOKUP(FMS_Ranking4[[#This Row],[FMS ID]],FMS_Input[FMS_ID],FMS_Input[REMROADCLS])</f>
        <v>0</v>
      </c>
      <c r="AX241" s="264">
        <f>_xlfn.XLOOKUP(FMS_Ranking4[[#This Row],[FMS ID]],FMS_Input[FMS_ID],FMS_Input[REMFRMACRE100])</f>
        <v>0</v>
      </c>
      <c r="AY241" s="258">
        <f>_xlfn.XLOOKUP(FMS_Ranking4[[#This Row],[FMS ID]],FMS_Input[FMS_ID],FMS_Input[COSTSTRUCT])</f>
        <v>0</v>
      </c>
      <c r="AZ241" s="253">
        <f>_xlfn.XLOOKUP(FMS_Ranking4[[#This Row],[FMS ID]],FMS_Input[FMS_ID],FMS_Input[NATURE])</f>
        <v>0</v>
      </c>
      <c r="BA241" s="262">
        <f>(((FMS_Ranking4[[#This Row],[% NBS Raw]]/AZ$4)*100)*AZ$5)</f>
        <v>0</v>
      </c>
      <c r="BB241" s="251" t="str">
        <f>_xlfn.XLOOKUP(FMS_Ranking4[[#This Row],[FMS ID]],FMS_Input[FMS_ID],FMS_Input[WATER_SUP])</f>
        <v>No</v>
      </c>
      <c r="BC241" s="265">
        <f>IF(FMS_Ranking4[[#This Row],[Water Supply Raw]]="Yes",10,0)</f>
        <v>0</v>
      </c>
      <c r="BD241" s="266">
        <f>_xlfn.XLOOKUP(FMS_Ranking4[[#This Row],[FMS Type]],FMS_TYPE[FMS_Type],FMS_TYPE[Score])</f>
        <v>8</v>
      </c>
      <c r="BE241" s="267">
        <f>FMS_Ranking4[[#This Row],[FMS_Type Score]]*$BD$5*10</f>
        <v>2</v>
      </c>
      <c r="BF24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0.90165804444024089</v>
      </c>
      <c r="BG241" s="271">
        <f>_xlfn.RANK.EQ(BF241,$BF$8:$BF$870,0)+COUNTIF($BF$8:BF241,BF241)-1</f>
        <v>151</v>
      </c>
      <c r="BH241" s="268">
        <f>(((FMS_Ranking4[[#This Row],[Structures Removed Raw]]/AK$4)*100)*AK$5)+(((FMS_Ranking4[[#This Row],[Removed Pop Raw]]/AR$4)*100)*AR$5)</f>
        <v>0</v>
      </c>
      <c r="BI24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2.9016580444402411</v>
      </c>
      <c r="BJ241" s="205">
        <f>_xlfn.RANK.EQ(FMS_Ranking4[[#This Row],[Total Score 
(with linear
normalization)]],FMS_Ranking4[Total Score 
(with linear
normalization)],0)</f>
        <v>184</v>
      </c>
      <c r="BK241" s="205" t="e">
        <f>_xlfn.XLOOKUP(FMS_Ranking4[[#This Row],[FMS ID]],#REF!,#REF!)</f>
        <v>#REF!</v>
      </c>
      <c r="BL24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26.93300030915686</v>
      </c>
      <c r="BM241" s="272">
        <f>FMS_Ranking4[[#This Row],[ArcSinh Score Based on Normalized Reported Factors]]+FMS_Ranking4[[#This Row],[% NBS Score (Normalized)]]+(FMS_Ranking4[[#This Row],[Water Supply Score (Normalized)]]*10*$BB$5)+FMS_Ranking4[[#This Row],[FMS_Type Score Weighted]]</f>
        <v>28.93300030915686</v>
      </c>
      <c r="BN241" s="205">
        <f>_xlfn.RANK.EQ(FMS_Ranking4[[#This Row],[Total Score (with ArcSinh normalization of select criteria)]],FMS_Ranking4[Total Score (with ArcSinh normalization of select criteria)],0)</f>
        <v>234</v>
      </c>
      <c r="BO241" s="270" t="str">
        <f>_xlfn.XLOOKUP(FMS_Ranking4[[#This Row],[FMS ID]],FMS_Input[FMS_ID],FMS_Input[FMS_RANK_YEAR])</f>
        <v>2023 Amended Plan</v>
      </c>
      <c r="BP241" s="204">
        <f>_xlfn.XLOOKUP(FMS_Ranking4[[#This Row],[FMS ID]],Prev_Rank[FMS ID],Prev_Rank[Prev Rank])</f>
        <v>209</v>
      </c>
      <c r="BQ241" s="205" t="e">
        <f>_xlfn.XLOOKUP(FMS_Ranking4[[#This Row],[FMS ID]],#REF!,#REF!)</f>
        <v>#REF!</v>
      </c>
      <c r="BR241" s="199" t="e">
        <f>SUM(#REF!,#REF!,#REF!,#REF!,#REF!,#REF!,#REF!,#REF!,#REF!,FMS_Ranking4[[#This Row],[ArcSinh Res struct removed 0-10]],#REF!)</f>
        <v>#REF!</v>
      </c>
      <c r="BS241" s="199" t="e">
        <f>FMS_Ranking4[[#This Row],[Log Score Based on Normalized Reported Factors]]+FMS_Ranking4[[#This Row],[% NBS Score (Normalized)]]+(FMS_Ranking4[[#This Row],[Water Supply Score (Normalized)]]*10*$BB$5)+(FMS_Ranking4[[#This Row],[FMS_Type Score Weighted]])</f>
        <v>#REF!</v>
      </c>
      <c r="BT241" s="200" t="e">
        <f>_xlfn.RANK.EQ(FMS_Ranking4[[#This Row],[Log Total Score]],FMS_Ranking4[Log Total Score],0)</f>
        <v>#REF!</v>
      </c>
      <c r="BU241" s="200" t="e">
        <f>_xlfn.XLOOKUP(FMS_Ranking4[[#This Row],[FMS ID]],#REF!,#REF!)</f>
        <v>#REF!</v>
      </c>
      <c r="BV241" s="200">
        <f>FMS_Ranking4[[#This Row],[Region Number]]</f>
        <v>12</v>
      </c>
      <c r="BW241" s="200">
        <f>FMS_Ranking4[[#This Row],[Rank (with ArcSinh normalization of select criteria)]]-FMS_Ranking4[[#This Row],[Rank
(with linear
normalization)]]</f>
        <v>50</v>
      </c>
      <c r="BX241" s="200" t="e">
        <f>FMS_Ranking4[[#This Row],[Log Rank]]-FMS_Ranking4[[#This Row],[Rank
(with linear
normalization)]]</f>
        <v>#REF!</v>
      </c>
      <c r="BY241" s="200" t="str">
        <f>IF(FMS_Ranking4[[#This Row],[FMS Type]]="Flood Measurement and Warning",FMS_Ranking4[[#This Row],[Rank (with ArcSinh normalization of select criteria)]],"")</f>
        <v/>
      </c>
      <c r="BZ241" s="200">
        <f>IF(FMS_Ranking4[[#This Row],[FMS Type]]="Regulatory and Guidance",FMS_Ranking4[[#This Row],[Rank (with ArcSinh normalization of select criteria)]],"")</f>
        <v>234</v>
      </c>
      <c r="CA241" s="200" t="str">
        <f>IF(FMS_Ranking4[[#This Row],[FMS Type]]="Education and Outreach",FMS_Ranking4[[#This Row],[Rank (with ArcSinh normalization of select criteria)]],"")</f>
        <v/>
      </c>
      <c r="CB241" s="200" t="str">
        <f>IF(FMS_Ranking4[[#This Row],[FMS Type]]="Property Acquisition and Structural Elevation",FMS_Ranking4[[#This Row],[Rank (with ArcSinh normalization of select criteria)]],"")</f>
        <v/>
      </c>
      <c r="CC241" s="200" t="str">
        <f>IF(FMS_Ranking4[[#This Row],[FMS Type]]="Infrastructure Projects",FMS_Ranking4[[#This Row],[Rank (with ArcSinh normalization of select criteria)]],"")</f>
        <v/>
      </c>
      <c r="CD241" s="200" t="str">
        <f>IF(FMS_Ranking4[[#This Row],[FMS Type]]="Other",FMS_Ranking4[[#This Row],[Rank (with ArcSinh normalization of select criteria)]],"")</f>
        <v/>
      </c>
      <c r="CE241" s="201"/>
      <c r="CF241" s="206"/>
      <c r="CG241" s="206"/>
      <c r="CH241" s="206"/>
      <c r="CI241" s="206"/>
      <c r="CJ241" s="206"/>
      <c r="CK241" s="206"/>
      <c r="CL241" s="206"/>
      <c r="CM241" s="206"/>
      <c r="CN241" s="206"/>
      <c r="CO241" s="206"/>
      <c r="CP241" s="206"/>
      <c r="CQ241" s="206"/>
      <c r="CR241" s="206"/>
    </row>
    <row r="242" spans="2:96" ht="45" x14ac:dyDescent="0.25">
      <c r="B242" s="341" t="s">
        <v>1666</v>
      </c>
      <c r="C242" s="246">
        <f>_xlfn.XLOOKUP(FMS_Ranking4[[#This Row],[FMS ID]],FMS_Input[FMS_ID],FMS_Input[RFPG_NUM])</f>
        <v>2</v>
      </c>
      <c r="D242" s="309" t="str">
        <f>_xlfn.XLOOKUP(FMS_Ranking4[[#This Row],[FMS ID]],FMS_Input[FMS_ID],FMS_Input[FMS_NAME])</f>
        <v>Titus County NFIP Involvement</v>
      </c>
      <c r="E242" s="308" t="str">
        <f>_xlfn.XLOOKUP(FMS_Ranking4[[#This Row],[FMS ID]],FMS_Input[FMS_ID],FMS_Input[SPONSOR])</f>
        <v>Titus County</v>
      </c>
      <c r="F242" s="309" t="str">
        <f>_xlfn.XLOOKUP(FMS_Ranking4[[#This Row],[FMS ID]],Sponsor[FMS_ID],Sponsor[SPONSOR NAME])</f>
        <v>Titus County</v>
      </c>
      <c r="G242" s="309" t="str">
        <f>_xlfn.XLOOKUP(FMS_Ranking4[[#This Row],[FMS ID]],FMS_Input[FMS_ID],FMS_Input[FMS_DESCR])</f>
        <v xml:space="preserve">Application to join NFIP or adoption of equivalent standards </v>
      </c>
      <c r="H242" s="248" t="str">
        <f>_xlfn.XLOOKUP(FMS_Ranking4[[#This Row],[FMS ID]],FMS_Input[FMS_ID],FMS_Input[FMS_TYPE])</f>
        <v>Regulatory and Guidance</v>
      </c>
      <c r="I242" s="249">
        <f>_xlfn.XLOOKUP(FMS_Ranking4[[#This Row],[FMS ID]],FMS_Input[FMS_ID],FMS_Input[NRNC_COST])</f>
        <v>100000</v>
      </c>
      <c r="J242" s="250">
        <f>_xlfn.XLOOKUP(FMS_Ranking4[[#This Row],[FMS ID]],FMS_Input[FMS_ID],FMS_Input[FMS_COST])</f>
        <v>100000</v>
      </c>
      <c r="K242" s="251" t="str">
        <f>_xlfn.XLOOKUP(FMS_Ranking4[[#This Row],[FMS ID]],FMS_Input[FMS_ID],FMS_Input[EMER_NEED])</f>
        <v>No</v>
      </c>
      <c r="L242" s="252">
        <f t="shared" si="3"/>
        <v>0</v>
      </c>
      <c r="M242" s="253">
        <f>_xlfn.XLOOKUP(FMS_Ranking4[[#This Row],[FMS ID]],FMS_Input[FMS_ID],FMS_Input[STRUCT_100])</f>
        <v>596</v>
      </c>
      <c r="N242" s="255">
        <f>(ASINH(FMS_Ranking4[[#This Row],[Structure at Risk Raw]]))*(10)/(ASINH(M$4))</f>
        <v>5.5685980722926223</v>
      </c>
      <c r="O242" s="256">
        <f>FMS_Ranking4[[#This Row],[Structures at risk, ArcSinh (0-10)]]*M$5*10</f>
        <v>5.5685980722926223</v>
      </c>
      <c r="P242" s="253">
        <f>_xlfn.XLOOKUP(FMS_Ranking4[[#This Row],[FMS ID]],FMS_Input[FMS_ID],FMS_Input[RES_STRUCT100])</f>
        <v>315</v>
      </c>
      <c r="Q242" s="257">
        <f>ASINH(FMS_Ranking4[[#This Row],[Res Structure Raw]])/Q$4*P$5*100</f>
        <v>0</v>
      </c>
      <c r="R242" s="253">
        <f>_xlfn.XLOOKUP(FMS_Ranking4[[#This Row],[FMS ID]],FMS_Input[FMS_ID],FMS_Input[POP100])</f>
        <v>2890</v>
      </c>
      <c r="S242" s="259">
        <f>(ASINH(FMS_Ranking4[[#This Row],[Pop at Risk Raw]]))*(10)/(ASINH(R$4))</f>
        <v>5.9799926448772833</v>
      </c>
      <c r="T242" s="256">
        <f>FMS_Ranking4[[#This Row],[Population at risk, ArcSinh (0-10)]]*R$5*10</f>
        <v>5.9799926448772833</v>
      </c>
      <c r="U242" s="253">
        <f>_xlfn.XLOOKUP(FMS_Ranking4[[#This Row],[FMS ID]],FMS_Input[FMS_ID],FMS_Input[CRITFAC100])</f>
        <v>8</v>
      </c>
      <c r="V242" s="259">
        <f>(ASINH(FMS_Ranking4[[#This Row],[Critical Facilities Raw]]))*(10)/(ASINH(U$4))</f>
        <v>3.286688318109702</v>
      </c>
      <c r="W242" s="256">
        <f>FMS_Ranking4[[#This Row],[Critical facilities at risk, ArcSinh (0-10)]]*U$5*10</f>
        <v>3.2866883181097024</v>
      </c>
      <c r="X242" s="253">
        <f>_xlfn.XLOOKUP(FMS_Ranking4[[#This Row],[FMS ID]],FMS_Input[FMS_ID],FMS_Input[LWC])</f>
        <v>9</v>
      </c>
      <c r="Y242" s="259">
        <f>(ASINH(FMS_Ranking4[[#This Row],[LWC Raw]]))*(10)/(ASINH(X$4))</f>
        <v>3.919857876161724</v>
      </c>
      <c r="Z242" s="256">
        <f>FMS_Ranking4[[#This Row],[LWC, ArcSInh (0-10)]]*X$5*10</f>
        <v>3.919857876161724</v>
      </c>
      <c r="AA242" s="253">
        <f>_xlfn.XLOOKUP(FMS_Ranking4[[#This Row],[FMS ID]],FMS_Input[FMS_ID],FMS_Input[ROADCLS])</f>
        <v>0</v>
      </c>
      <c r="AB242" s="255">
        <f>(ASINH(FMS_Ranking4[[#This Row],[Road Closures Raw]]))*(10)/(ASINH(AA$4))</f>
        <v>0</v>
      </c>
      <c r="AC242" s="256">
        <f>FMS_Ranking4[[#This Row],[Road closures, ArcSinh (0-10)]]*AA$5*10</f>
        <v>0</v>
      </c>
      <c r="AD242" s="253">
        <f>_xlfn.XLOOKUP(FMS_Ranking4[[#This Row],[FMS ID]],FMS_Input[FMS_ID],FMS_Input[ROAD_MILES100])</f>
        <v>87</v>
      </c>
      <c r="AE242" s="259">
        <f>(ASINH(FMS_Ranking4[[#This Row],[Road Miles Raw]]))*(10)/(ASINH(AD$4))</f>
        <v>5.4981687663549952</v>
      </c>
      <c r="AF242" s="256">
        <f>FMS_Ranking4[[#This Row],[Length of roads at risk, ArcSinh (0-10)]]*AD$5*10</f>
        <v>5.4981687663549952</v>
      </c>
      <c r="AG242" s="253">
        <f>_xlfn.XLOOKUP(FMS_Ranking4[[#This Row],[FMS ID]],FMS_Input[FMS_ID],FMS_Input[FARMACRE100])</f>
        <v>1569.936401367188</v>
      </c>
      <c r="AH242" s="255">
        <f>(ASINH(FMS_Ranking4[[#This Row],[Ag Land Raw]]))*(10)/(ASINH(AG$4))</f>
        <v>5.2303895030545675</v>
      </c>
      <c r="AI242" s="260">
        <f>FMS_Ranking4[[#This Row],[Farm &amp; ranch land, ArcSinh (0-10)]]*AG$5*10</f>
        <v>2.6151947515272838</v>
      </c>
      <c r="AJ242" s="258">
        <f>_xlfn.XLOOKUP(FMS_Ranking4[[#This Row],[FMS ID]],FMS_Input[FMS_ID],FMS_Input[REDSTRUCT100])</f>
        <v>0</v>
      </c>
      <c r="AK242" s="253">
        <f>_xlfn.XLOOKUP(FMS_Ranking4[[#This Row],[FMS ID]],FMS_Input[FMS_ID],FMS_Input[REMSTRC100])</f>
        <v>0</v>
      </c>
      <c r="AL242" s="259">
        <f>(ASINH(FMS_Ranking4[[#This Row],[Structures Removed Raw]]))*(10)/(ASINH(AK$4))</f>
        <v>0</v>
      </c>
      <c r="AM242" s="262">
        <f>FMS_Ranking4[[#This Row],[Structures removed, ArcSinh (0-10)]]*AK$5*10</f>
        <v>0</v>
      </c>
      <c r="AN242" s="253">
        <f>_xlfn.XLOOKUP(FMS_Ranking4[[#This Row],[FMS ID]],FMS_Input[FMS_ID],FMS_Input[REMRESSTRC100])</f>
        <v>0</v>
      </c>
      <c r="AO242" s="261">
        <f>FMS_Ranking4[[#This Row],[ArcSinh Res struct removed 0-10]]*AN$5*10</f>
        <v>0</v>
      </c>
      <c r="AP242" s="260">
        <f>ASINH(FMS_Ranking4[[#This Row],[Residential Structures Removed Raw]])/AP$4*AN$5*100</f>
        <v>0</v>
      </c>
      <c r="AQ242" s="254">
        <f>(ASINH(FMS_Ranking4[[#This Row],[Residential Structures Removed Raw]]))*(10)/(ASINH(AN$4))</f>
        <v>0</v>
      </c>
      <c r="AR242" s="253">
        <f>_xlfn.XLOOKUP(FMS_Ranking4[[#This Row],[FMS ID]],FMS_Input[FMS_ID],FMS_Input[REMPOP100])</f>
        <v>0</v>
      </c>
      <c r="AS242" s="259">
        <f>(ASINH(FMS_Ranking4[[#This Row],[Removed Pop Raw]]))*(10)/(ASINH(AR$4))</f>
        <v>0</v>
      </c>
      <c r="AT242" s="262">
        <f>FMS_Ranking4[[#This Row],[Removed population, ArcSinh (0-10)]]*AR$5*10</f>
        <v>0</v>
      </c>
      <c r="AU242" s="264">
        <f>_xlfn.XLOOKUP(FMS_Ranking4[[#This Row],[FMS ID]],FMS_Input[FMS_ID],FMS_Input[REMCRITFAC100])</f>
        <v>0</v>
      </c>
      <c r="AV242" s="264">
        <f>_xlfn.XLOOKUP(FMS_Ranking4[[#This Row],[FMS ID]],FMS_Input[FMS_ID],FMS_Input[REMLWC100])</f>
        <v>0</v>
      </c>
      <c r="AW242" s="264">
        <f>_xlfn.XLOOKUP(FMS_Ranking4[[#This Row],[FMS ID]],FMS_Input[FMS_ID],FMS_Input[REMROADCLS])</f>
        <v>0</v>
      </c>
      <c r="AX242" s="264">
        <f>_xlfn.XLOOKUP(FMS_Ranking4[[#This Row],[FMS ID]],FMS_Input[FMS_ID],FMS_Input[REMFRMACRE100])</f>
        <v>0</v>
      </c>
      <c r="AY242" s="258">
        <f>_xlfn.XLOOKUP(FMS_Ranking4[[#This Row],[FMS ID]],FMS_Input[FMS_ID],FMS_Input[COSTSTRUCT])</f>
        <v>0</v>
      </c>
      <c r="AZ242" s="253">
        <f>_xlfn.XLOOKUP(FMS_Ranking4[[#This Row],[FMS ID]],FMS_Input[FMS_ID],FMS_Input[NATURE])</f>
        <v>0</v>
      </c>
      <c r="BA242" s="262">
        <f>(((FMS_Ranking4[[#This Row],[% NBS Raw]]/AZ$4)*100)*AZ$5)</f>
        <v>0</v>
      </c>
      <c r="BB242" s="251" t="str">
        <f>_xlfn.XLOOKUP(FMS_Ranking4[[#This Row],[FMS ID]],FMS_Input[FMS_ID],FMS_Input[WATER_SUP])</f>
        <v>No</v>
      </c>
      <c r="BC242" s="265">
        <f>IF(FMS_Ranking4[[#This Row],[Water Supply Raw]]="Yes",10,0)</f>
        <v>0</v>
      </c>
      <c r="BD242" s="266">
        <f>_xlfn.XLOOKUP(FMS_Ranking4[[#This Row],[FMS Type]],FMS_TYPE[FMS_Type],FMS_TYPE[Score])</f>
        <v>8</v>
      </c>
      <c r="BE242" s="267">
        <f>FMS_Ranking4[[#This Row],[FMS_Type Score]]*$BD$5*10</f>
        <v>2</v>
      </c>
      <c r="BF24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0.36121372724684964</v>
      </c>
      <c r="BG242" s="271">
        <f>_xlfn.RANK.EQ(BF242,$BF$8:$BF$870,0)+COUNTIF($BF$8:BF242,BF242)-1</f>
        <v>272</v>
      </c>
      <c r="BH242" s="268">
        <f>(((FMS_Ranking4[[#This Row],[Structures Removed Raw]]/AK$4)*100)*AK$5)+(((FMS_Ranking4[[#This Row],[Removed Pop Raw]]/AR$4)*100)*AR$5)</f>
        <v>0</v>
      </c>
      <c r="BI24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2.3612137272468496</v>
      </c>
      <c r="BJ242" s="205">
        <f>_xlfn.RANK.EQ(FMS_Ranking4[[#This Row],[Total Score 
(with linear
normalization)]],FMS_Ranking4[Total Score 
(with linear
normalization)],0)</f>
        <v>283</v>
      </c>
      <c r="BK242" s="205" t="e">
        <f>_xlfn.XLOOKUP(FMS_Ranking4[[#This Row],[FMS ID]],#REF!,#REF!)</f>
        <v>#REF!</v>
      </c>
      <c r="BL24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26.86850042932361</v>
      </c>
      <c r="BM242" s="272">
        <f>FMS_Ranking4[[#This Row],[ArcSinh Score Based on Normalized Reported Factors]]+FMS_Ranking4[[#This Row],[% NBS Score (Normalized)]]+(FMS_Ranking4[[#This Row],[Water Supply Score (Normalized)]]*10*$BB$5)+FMS_Ranking4[[#This Row],[FMS_Type Score Weighted]]</f>
        <v>28.86850042932361</v>
      </c>
      <c r="BN242" s="205">
        <f>_xlfn.RANK.EQ(FMS_Ranking4[[#This Row],[Total Score (with ArcSinh normalization of select criteria)]],FMS_Ranking4[Total Score (with ArcSinh normalization of select criteria)],0)</f>
        <v>235</v>
      </c>
      <c r="BO242" s="270" t="str">
        <f>_xlfn.XLOOKUP(FMS_Ranking4[[#This Row],[FMS ID]],FMS_Input[FMS_ID],FMS_Input[FMS_RANK_YEAR])</f>
        <v>2023 Amended Plan</v>
      </c>
      <c r="BP242" s="204">
        <f>_xlfn.XLOOKUP(FMS_Ranking4[[#This Row],[FMS ID]],Prev_Rank[FMS ID],Prev_Rank[Prev Rank])</f>
        <v>210</v>
      </c>
      <c r="BQ242" s="205" t="e">
        <f>_xlfn.XLOOKUP(FMS_Ranking4[[#This Row],[FMS ID]],#REF!,#REF!)</f>
        <v>#REF!</v>
      </c>
      <c r="BR242" s="199" t="e">
        <f>SUM(#REF!,#REF!,#REF!,#REF!,#REF!,#REF!,#REF!,#REF!,#REF!,FMS_Ranking4[[#This Row],[ArcSinh Res struct removed 0-10]],#REF!)</f>
        <v>#REF!</v>
      </c>
      <c r="BS242" s="199" t="e">
        <f>FMS_Ranking4[[#This Row],[Log Score Based on Normalized Reported Factors]]+FMS_Ranking4[[#This Row],[% NBS Score (Normalized)]]+(FMS_Ranking4[[#This Row],[Water Supply Score (Normalized)]]*10*$BB$5)+(FMS_Ranking4[[#This Row],[FMS_Type Score Weighted]])</f>
        <v>#REF!</v>
      </c>
      <c r="BT242" s="200" t="e">
        <f>_xlfn.RANK.EQ(FMS_Ranking4[[#This Row],[Log Total Score]],FMS_Ranking4[Log Total Score],0)</f>
        <v>#REF!</v>
      </c>
      <c r="BU242" s="200" t="e">
        <f>_xlfn.XLOOKUP(FMS_Ranking4[[#This Row],[FMS ID]],#REF!,#REF!)</f>
        <v>#REF!</v>
      </c>
      <c r="BV242" s="200">
        <f>FMS_Ranking4[[#This Row],[Region Number]]</f>
        <v>2</v>
      </c>
      <c r="BW242" s="200">
        <f>FMS_Ranking4[[#This Row],[Rank (with ArcSinh normalization of select criteria)]]-FMS_Ranking4[[#This Row],[Rank
(with linear
normalization)]]</f>
        <v>-48</v>
      </c>
      <c r="BX242" s="200" t="e">
        <f>FMS_Ranking4[[#This Row],[Log Rank]]-FMS_Ranking4[[#This Row],[Rank
(with linear
normalization)]]</f>
        <v>#REF!</v>
      </c>
      <c r="BY242" s="200" t="str">
        <f>IF(FMS_Ranking4[[#This Row],[FMS Type]]="Flood Measurement and Warning",FMS_Ranking4[[#This Row],[Rank (with ArcSinh normalization of select criteria)]],"")</f>
        <v/>
      </c>
      <c r="BZ242" s="200">
        <f>IF(FMS_Ranking4[[#This Row],[FMS Type]]="Regulatory and Guidance",FMS_Ranking4[[#This Row],[Rank (with ArcSinh normalization of select criteria)]],"")</f>
        <v>235</v>
      </c>
      <c r="CA242" s="200" t="str">
        <f>IF(FMS_Ranking4[[#This Row],[FMS Type]]="Education and Outreach",FMS_Ranking4[[#This Row],[Rank (with ArcSinh normalization of select criteria)]],"")</f>
        <v/>
      </c>
      <c r="CB242" s="200" t="str">
        <f>IF(FMS_Ranking4[[#This Row],[FMS Type]]="Property Acquisition and Structural Elevation",FMS_Ranking4[[#This Row],[Rank (with ArcSinh normalization of select criteria)]],"")</f>
        <v/>
      </c>
      <c r="CC242" s="200" t="str">
        <f>IF(FMS_Ranking4[[#This Row],[FMS Type]]="Infrastructure Projects",FMS_Ranking4[[#This Row],[Rank (with ArcSinh normalization of select criteria)]],"")</f>
        <v/>
      </c>
      <c r="CD242" s="200" t="str">
        <f>IF(FMS_Ranking4[[#This Row],[FMS Type]]="Other",FMS_Ranking4[[#This Row],[Rank (with ArcSinh normalization of select criteria)]],"")</f>
        <v/>
      </c>
      <c r="CE242" s="201"/>
      <c r="CF242" s="206"/>
      <c r="CG242" s="206"/>
      <c r="CH242" s="206"/>
      <c r="CI242" s="206"/>
      <c r="CJ242" s="206"/>
      <c r="CK242" s="206"/>
      <c r="CL242" s="206"/>
      <c r="CM242" s="206"/>
      <c r="CN242" s="206"/>
      <c r="CO242" s="206"/>
      <c r="CP242" s="206"/>
      <c r="CQ242" s="206"/>
      <c r="CR242" s="206"/>
    </row>
    <row r="243" spans="2:96" ht="45" x14ac:dyDescent="0.25">
      <c r="B243" s="341" t="s">
        <v>1660</v>
      </c>
      <c r="C243" s="246">
        <f>_xlfn.XLOOKUP(FMS_Ranking4[[#This Row],[FMS ID]],FMS_Input[FMS_ID],FMS_Input[RFPG_NUM])</f>
        <v>2</v>
      </c>
      <c r="D243" s="309" t="str">
        <f>_xlfn.XLOOKUP(FMS_Ranking4[[#This Row],[FMS ID]],FMS_Input[FMS_ID],FMS_Input[FMS_NAME])</f>
        <v>Red River County NFIP Involvement</v>
      </c>
      <c r="E243" s="308" t="str">
        <f>_xlfn.XLOOKUP(FMS_Ranking4[[#This Row],[FMS ID]],FMS_Input[FMS_ID],FMS_Input[SPONSOR])</f>
        <v>Red River County</v>
      </c>
      <c r="F243" s="309" t="str">
        <f>_xlfn.XLOOKUP(FMS_Ranking4[[#This Row],[FMS ID]],Sponsor[FMS_ID],Sponsor[SPONSOR NAME])</f>
        <v>Red River County</v>
      </c>
      <c r="G243" s="309" t="str">
        <f>_xlfn.XLOOKUP(FMS_Ranking4[[#This Row],[FMS ID]],FMS_Input[FMS_ID],FMS_Input[FMS_DESCR])</f>
        <v xml:space="preserve">Application to join NFIP or adoption of equivalent standards </v>
      </c>
      <c r="H243" s="248" t="str">
        <f>_xlfn.XLOOKUP(FMS_Ranking4[[#This Row],[FMS ID]],FMS_Input[FMS_ID],FMS_Input[FMS_TYPE])</f>
        <v>Regulatory and Guidance</v>
      </c>
      <c r="I243" s="249">
        <f>_xlfn.XLOOKUP(FMS_Ranking4[[#This Row],[FMS ID]],FMS_Input[FMS_ID],FMS_Input[NRNC_COST])</f>
        <v>100000</v>
      </c>
      <c r="J243" s="250">
        <f>_xlfn.XLOOKUP(FMS_Ranking4[[#This Row],[FMS ID]],FMS_Input[FMS_ID],FMS_Input[FMS_COST])</f>
        <v>100000</v>
      </c>
      <c r="K243" s="251" t="str">
        <f>_xlfn.XLOOKUP(FMS_Ranking4[[#This Row],[FMS ID]],FMS_Input[FMS_ID],FMS_Input[EMER_NEED])</f>
        <v>No</v>
      </c>
      <c r="L243" s="252">
        <f t="shared" si="3"/>
        <v>0</v>
      </c>
      <c r="M243" s="253">
        <f>_xlfn.XLOOKUP(FMS_Ranking4[[#This Row],[FMS ID]],FMS_Input[FMS_ID],FMS_Input[STRUCT_100])</f>
        <v>391</v>
      </c>
      <c r="N243" s="255">
        <f>(ASINH(FMS_Ranking4[[#This Row],[Structure at Risk Raw]]))*(10)/(ASINH(M$4))</f>
        <v>5.2372110188315304</v>
      </c>
      <c r="O243" s="256">
        <f>FMS_Ranking4[[#This Row],[Structures at risk, ArcSinh (0-10)]]*M$5*10</f>
        <v>5.2372110188315304</v>
      </c>
      <c r="P243" s="253">
        <f>_xlfn.XLOOKUP(FMS_Ranking4[[#This Row],[FMS ID]],FMS_Input[FMS_ID],FMS_Input[RES_STRUCT100])</f>
        <v>138</v>
      </c>
      <c r="Q243" s="257">
        <f>ASINH(FMS_Ranking4[[#This Row],[Res Structure Raw]])/Q$4*P$5*100</f>
        <v>0</v>
      </c>
      <c r="R243" s="253">
        <f>_xlfn.XLOOKUP(FMS_Ranking4[[#This Row],[FMS ID]],FMS_Input[FMS_ID],FMS_Input[POP100])</f>
        <v>374</v>
      </c>
      <c r="S243" s="259">
        <f>(ASINH(FMS_Ranking4[[#This Row],[Pop at Risk Raw]]))*(10)/(ASINH(R$4))</f>
        <v>4.5683797610793651</v>
      </c>
      <c r="T243" s="256">
        <f>FMS_Ranking4[[#This Row],[Population at risk, ArcSinh (0-10)]]*R$5*10</f>
        <v>4.5683797610793651</v>
      </c>
      <c r="U243" s="253">
        <f>_xlfn.XLOOKUP(FMS_Ranking4[[#This Row],[FMS ID]],FMS_Input[FMS_ID],FMS_Input[CRITFAC100])</f>
        <v>5</v>
      </c>
      <c r="V243" s="259">
        <f>(ASINH(FMS_Ranking4[[#This Row],[Critical Facilities Raw]]))*(10)/(ASINH(U$4))</f>
        <v>2.7373815814321909</v>
      </c>
      <c r="W243" s="256">
        <f>FMS_Ranking4[[#This Row],[Critical facilities at risk, ArcSinh (0-10)]]*U$5*10</f>
        <v>2.7373815814321913</v>
      </c>
      <c r="X243" s="253">
        <f>_xlfn.XLOOKUP(FMS_Ranking4[[#This Row],[FMS ID]],FMS_Input[FMS_ID],FMS_Input[LWC])</f>
        <v>16</v>
      </c>
      <c r="Y243" s="259">
        <f>(ASINH(FMS_Ranking4[[#This Row],[LWC Raw]]))*(10)/(ASINH(X$4))</f>
        <v>4.6964844083783914</v>
      </c>
      <c r="Z243" s="256">
        <f>FMS_Ranking4[[#This Row],[LWC, ArcSInh (0-10)]]*X$5*10</f>
        <v>4.6964844083783923</v>
      </c>
      <c r="AA243" s="253">
        <f>_xlfn.XLOOKUP(FMS_Ranking4[[#This Row],[FMS ID]],FMS_Input[FMS_ID],FMS_Input[ROADCLS])</f>
        <v>0</v>
      </c>
      <c r="AB243" s="255">
        <f>(ASINH(FMS_Ranking4[[#This Row],[Road Closures Raw]]))*(10)/(ASINH(AA$4))</f>
        <v>0</v>
      </c>
      <c r="AC243" s="256">
        <f>FMS_Ranking4[[#This Row],[Road closures, ArcSinh (0-10)]]*AA$5*10</f>
        <v>0</v>
      </c>
      <c r="AD243" s="253">
        <f>_xlfn.XLOOKUP(FMS_Ranking4[[#This Row],[FMS ID]],FMS_Input[FMS_ID],FMS_Input[ROAD_MILES100])</f>
        <v>157</v>
      </c>
      <c r="AE243" s="259">
        <f>(ASINH(FMS_Ranking4[[#This Row],[Road Miles Raw]]))*(10)/(ASINH(AD$4))</f>
        <v>6.1272819344284164</v>
      </c>
      <c r="AF243" s="256">
        <f>FMS_Ranking4[[#This Row],[Length of roads at risk, ArcSinh (0-10)]]*AD$5*10</f>
        <v>6.1272819344284173</v>
      </c>
      <c r="AG243" s="253">
        <f>_xlfn.XLOOKUP(FMS_Ranking4[[#This Row],[FMS ID]],FMS_Input[FMS_ID],FMS_Input[FARMACRE100])</f>
        <v>24044.99609375</v>
      </c>
      <c r="AH243" s="255">
        <f>(ASINH(FMS_Ranking4[[#This Row],[Ag Land Raw]]))*(10)/(ASINH(AG$4))</f>
        <v>7.0030269840641441</v>
      </c>
      <c r="AI243" s="260">
        <f>FMS_Ranking4[[#This Row],[Farm &amp; ranch land, ArcSinh (0-10)]]*AG$5*10</f>
        <v>3.5015134920320721</v>
      </c>
      <c r="AJ243" s="258">
        <f>_xlfn.XLOOKUP(FMS_Ranking4[[#This Row],[FMS ID]],FMS_Input[FMS_ID],FMS_Input[REDSTRUCT100])</f>
        <v>0</v>
      </c>
      <c r="AK243" s="253">
        <f>_xlfn.XLOOKUP(FMS_Ranking4[[#This Row],[FMS ID]],FMS_Input[FMS_ID],FMS_Input[REMSTRC100])</f>
        <v>0</v>
      </c>
      <c r="AL243" s="259">
        <f>(ASINH(FMS_Ranking4[[#This Row],[Structures Removed Raw]]))*(10)/(ASINH(AK$4))</f>
        <v>0</v>
      </c>
      <c r="AM243" s="262">
        <f>FMS_Ranking4[[#This Row],[Structures removed, ArcSinh (0-10)]]*AK$5*10</f>
        <v>0</v>
      </c>
      <c r="AN243" s="253">
        <f>_xlfn.XLOOKUP(FMS_Ranking4[[#This Row],[FMS ID]],FMS_Input[FMS_ID],FMS_Input[REMRESSTRC100])</f>
        <v>0</v>
      </c>
      <c r="AO243" s="261">
        <f>FMS_Ranking4[[#This Row],[ArcSinh Res struct removed 0-10]]*AN$5*10</f>
        <v>0</v>
      </c>
      <c r="AP243" s="260">
        <f>ASINH(FMS_Ranking4[[#This Row],[Residential Structures Removed Raw]])/AP$4*AN$5*100</f>
        <v>0</v>
      </c>
      <c r="AQ243" s="254">
        <f>(ASINH(FMS_Ranking4[[#This Row],[Residential Structures Removed Raw]]))*(10)/(ASINH(AN$4))</f>
        <v>0</v>
      </c>
      <c r="AR243" s="253">
        <f>_xlfn.XLOOKUP(FMS_Ranking4[[#This Row],[FMS ID]],FMS_Input[FMS_ID],FMS_Input[REMPOP100])</f>
        <v>0</v>
      </c>
      <c r="AS243" s="259">
        <f>(ASINH(FMS_Ranking4[[#This Row],[Removed Pop Raw]]))*(10)/(ASINH(AR$4))</f>
        <v>0</v>
      </c>
      <c r="AT243" s="262">
        <f>FMS_Ranking4[[#This Row],[Removed population, ArcSinh (0-10)]]*AR$5*10</f>
        <v>0</v>
      </c>
      <c r="AU243" s="264">
        <f>_xlfn.XLOOKUP(FMS_Ranking4[[#This Row],[FMS ID]],FMS_Input[FMS_ID],FMS_Input[REMCRITFAC100])</f>
        <v>0</v>
      </c>
      <c r="AV243" s="264">
        <f>_xlfn.XLOOKUP(FMS_Ranking4[[#This Row],[FMS ID]],FMS_Input[FMS_ID],FMS_Input[REMLWC100])</f>
        <v>0</v>
      </c>
      <c r="AW243" s="264">
        <f>_xlfn.XLOOKUP(FMS_Ranking4[[#This Row],[FMS ID]],FMS_Input[FMS_ID],FMS_Input[REMROADCLS])</f>
        <v>0</v>
      </c>
      <c r="AX243" s="264">
        <f>_xlfn.XLOOKUP(FMS_Ranking4[[#This Row],[FMS ID]],FMS_Input[FMS_ID],FMS_Input[REMFRMACRE100])</f>
        <v>0</v>
      </c>
      <c r="AY243" s="258">
        <f>_xlfn.XLOOKUP(FMS_Ranking4[[#This Row],[FMS ID]],FMS_Input[FMS_ID],FMS_Input[COSTSTRUCT])</f>
        <v>0</v>
      </c>
      <c r="AZ243" s="253">
        <f>_xlfn.XLOOKUP(FMS_Ranking4[[#This Row],[FMS ID]],FMS_Input[FMS_ID],FMS_Input[NATURE])</f>
        <v>0</v>
      </c>
      <c r="BA243" s="262">
        <f>(((FMS_Ranking4[[#This Row],[% NBS Raw]]/AZ$4)*100)*AZ$5)</f>
        <v>0</v>
      </c>
      <c r="BB243" s="251" t="str">
        <f>_xlfn.XLOOKUP(FMS_Ranking4[[#This Row],[FMS ID]],FMS_Input[FMS_ID],FMS_Input[WATER_SUP])</f>
        <v>No</v>
      </c>
      <c r="BC243" s="265">
        <f>IF(FMS_Ranking4[[#This Row],[Water Supply Raw]]="Yes",10,0)</f>
        <v>0</v>
      </c>
      <c r="BD243" s="266">
        <f>_xlfn.XLOOKUP(FMS_Ranking4[[#This Row],[FMS Type]],FMS_TYPE[FMS_Type],FMS_TYPE[Score])</f>
        <v>8</v>
      </c>
      <c r="BE243" s="267">
        <f>FMS_Ranking4[[#This Row],[FMS_Type Score]]*$BD$5*10</f>
        <v>2</v>
      </c>
      <c r="BF24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0.56161137501425507</v>
      </c>
      <c r="BG243" s="271">
        <f>_xlfn.RANK.EQ(BF243,$BF$8:$BF$870,0)+COUNTIF($BF$8:BF243,BF243)-1</f>
        <v>208</v>
      </c>
      <c r="BH243" s="268">
        <f>(((FMS_Ranking4[[#This Row],[Structures Removed Raw]]/AK$4)*100)*AK$5)+(((FMS_Ranking4[[#This Row],[Removed Pop Raw]]/AR$4)*100)*AR$5)</f>
        <v>0</v>
      </c>
      <c r="BI24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2.5616113750142553</v>
      </c>
      <c r="BJ243" s="205">
        <f>_xlfn.RANK.EQ(FMS_Ranking4[[#This Row],[Total Score 
(with linear
normalization)]],FMS_Ranking4[Total Score 
(with linear
normalization)],0)</f>
        <v>233</v>
      </c>
      <c r="BK243" s="205" t="e">
        <f>_xlfn.XLOOKUP(FMS_Ranking4[[#This Row],[FMS ID]],#REF!,#REF!)</f>
        <v>#REF!</v>
      </c>
      <c r="BL24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26.868252196181967</v>
      </c>
      <c r="BM243" s="272">
        <f>FMS_Ranking4[[#This Row],[ArcSinh Score Based on Normalized Reported Factors]]+FMS_Ranking4[[#This Row],[% NBS Score (Normalized)]]+(FMS_Ranking4[[#This Row],[Water Supply Score (Normalized)]]*10*$BB$5)+FMS_Ranking4[[#This Row],[FMS_Type Score Weighted]]</f>
        <v>28.868252196181967</v>
      </c>
      <c r="BN243" s="205">
        <f>_xlfn.RANK.EQ(FMS_Ranking4[[#This Row],[Total Score (with ArcSinh normalization of select criteria)]],FMS_Ranking4[Total Score (with ArcSinh normalization of select criteria)],0)</f>
        <v>236</v>
      </c>
      <c r="BO243" s="270" t="str">
        <f>_xlfn.XLOOKUP(FMS_Ranking4[[#This Row],[FMS ID]],FMS_Input[FMS_ID],FMS_Input[FMS_RANK_YEAR])</f>
        <v>2023 Amended Plan</v>
      </c>
      <c r="BP243" s="204">
        <f>_xlfn.XLOOKUP(FMS_Ranking4[[#This Row],[FMS ID]],Prev_Rank[FMS ID],Prev_Rank[Prev Rank])</f>
        <v>212</v>
      </c>
      <c r="BQ243" s="205" t="e">
        <f>_xlfn.XLOOKUP(FMS_Ranking4[[#This Row],[FMS ID]],#REF!,#REF!)</f>
        <v>#REF!</v>
      </c>
      <c r="BR243" s="199" t="e">
        <f>SUM(#REF!,#REF!,#REF!,#REF!,#REF!,#REF!,#REF!,#REF!,#REF!,FMS_Ranking4[[#This Row],[ArcSinh Res struct removed 0-10]],#REF!)</f>
        <v>#REF!</v>
      </c>
      <c r="BS243" s="199" t="e">
        <f>FMS_Ranking4[[#This Row],[Log Score Based on Normalized Reported Factors]]+FMS_Ranking4[[#This Row],[% NBS Score (Normalized)]]+(FMS_Ranking4[[#This Row],[Water Supply Score (Normalized)]]*10*$BB$5)+(FMS_Ranking4[[#This Row],[FMS_Type Score Weighted]])</f>
        <v>#REF!</v>
      </c>
      <c r="BT243" s="200" t="e">
        <f>_xlfn.RANK.EQ(FMS_Ranking4[[#This Row],[Log Total Score]],FMS_Ranking4[Log Total Score],0)</f>
        <v>#REF!</v>
      </c>
      <c r="BU243" s="200" t="e">
        <f>_xlfn.XLOOKUP(FMS_Ranking4[[#This Row],[FMS ID]],#REF!,#REF!)</f>
        <v>#REF!</v>
      </c>
      <c r="BV243" s="200">
        <f>FMS_Ranking4[[#This Row],[Region Number]]</f>
        <v>2</v>
      </c>
      <c r="BW243" s="200">
        <f>FMS_Ranking4[[#This Row],[Rank (with ArcSinh normalization of select criteria)]]-FMS_Ranking4[[#This Row],[Rank
(with linear
normalization)]]</f>
        <v>3</v>
      </c>
      <c r="BX243" s="200" t="e">
        <f>FMS_Ranking4[[#This Row],[Log Rank]]-FMS_Ranking4[[#This Row],[Rank
(with linear
normalization)]]</f>
        <v>#REF!</v>
      </c>
      <c r="BY243" s="200" t="str">
        <f>IF(FMS_Ranking4[[#This Row],[FMS Type]]="Flood Measurement and Warning",FMS_Ranking4[[#This Row],[Rank (with ArcSinh normalization of select criteria)]],"")</f>
        <v/>
      </c>
      <c r="BZ243" s="200">
        <f>IF(FMS_Ranking4[[#This Row],[FMS Type]]="Regulatory and Guidance",FMS_Ranking4[[#This Row],[Rank (with ArcSinh normalization of select criteria)]],"")</f>
        <v>236</v>
      </c>
      <c r="CA243" s="200" t="str">
        <f>IF(FMS_Ranking4[[#This Row],[FMS Type]]="Education and Outreach",FMS_Ranking4[[#This Row],[Rank (with ArcSinh normalization of select criteria)]],"")</f>
        <v/>
      </c>
      <c r="CB243" s="200" t="str">
        <f>IF(FMS_Ranking4[[#This Row],[FMS Type]]="Property Acquisition and Structural Elevation",FMS_Ranking4[[#This Row],[Rank (with ArcSinh normalization of select criteria)]],"")</f>
        <v/>
      </c>
      <c r="CC243" s="200" t="str">
        <f>IF(FMS_Ranking4[[#This Row],[FMS Type]]="Infrastructure Projects",FMS_Ranking4[[#This Row],[Rank (with ArcSinh normalization of select criteria)]],"")</f>
        <v/>
      </c>
      <c r="CD243" s="200" t="str">
        <f>IF(FMS_Ranking4[[#This Row],[FMS Type]]="Other",FMS_Ranking4[[#This Row],[Rank (with ArcSinh normalization of select criteria)]],"")</f>
        <v/>
      </c>
      <c r="CE243" s="201"/>
      <c r="CF243" s="206"/>
      <c r="CG243" s="206"/>
      <c r="CH243" s="206"/>
      <c r="CI243" s="206"/>
      <c r="CJ243" s="206"/>
      <c r="CK243" s="206"/>
      <c r="CL243" s="206"/>
      <c r="CM243" s="206"/>
      <c r="CN243" s="206"/>
      <c r="CO243" s="206"/>
      <c r="CP243" s="206"/>
      <c r="CQ243" s="206"/>
      <c r="CR243" s="206"/>
    </row>
    <row r="244" spans="2:96" ht="45" x14ac:dyDescent="0.25">
      <c r="B244" s="341" t="s">
        <v>3195</v>
      </c>
      <c r="C244" s="246">
        <f>_xlfn.XLOOKUP(FMS_Ranking4[[#This Row],[FMS ID]],FMS_Input[FMS_ID],FMS_Input[RFPG_NUM])</f>
        <v>7</v>
      </c>
      <c r="D244" s="309" t="str">
        <f>_xlfn.XLOOKUP(FMS_Ranking4[[#This Row],[FMS ID]],FMS_Input[FMS_ID],FMS_Input[FMS_NAME])</f>
        <v>Bailey County NFIP Participation</v>
      </c>
      <c r="E244" s="308" t="str">
        <f>_xlfn.XLOOKUP(FMS_Ranking4[[#This Row],[FMS ID]],FMS_Input[FMS_ID],FMS_Input[SPONSOR])</f>
        <v>07000202</v>
      </c>
      <c r="F244" s="309" t="str">
        <f>_xlfn.XLOOKUP(FMS_Ranking4[[#This Row],[FMS ID]],Sponsor[FMS_ID],Sponsor[SPONSOR NAME])</f>
        <v>Bailey</v>
      </c>
      <c r="G244" s="309" t="str">
        <f>_xlfn.XLOOKUP(FMS_Ranking4[[#This Row],[FMS ID]],FMS_Input[FMS_ID],FMS_Input[FMS_DESCR])</f>
        <v>Application to join NFIP or adoption of equivalent standards.</v>
      </c>
      <c r="H244" s="248" t="str">
        <f>_xlfn.XLOOKUP(FMS_Ranking4[[#This Row],[FMS ID]],FMS_Input[FMS_ID],FMS_Input[FMS_TYPE])</f>
        <v>Regulatory and Guidance</v>
      </c>
      <c r="I244" s="249">
        <f>_xlfn.XLOOKUP(FMS_Ranking4[[#This Row],[FMS ID]],FMS_Input[FMS_ID],FMS_Input[NRNC_COST])</f>
        <v>50000</v>
      </c>
      <c r="J244" s="250">
        <f>_xlfn.XLOOKUP(FMS_Ranking4[[#This Row],[FMS ID]],FMS_Input[FMS_ID],FMS_Input[FMS_COST])</f>
        <v>50000</v>
      </c>
      <c r="K244" s="251" t="str">
        <f>_xlfn.XLOOKUP(FMS_Ranking4[[#This Row],[FMS ID]],FMS_Input[FMS_ID],FMS_Input[EMER_NEED])</f>
        <v>No</v>
      </c>
      <c r="L244" s="252">
        <f t="shared" si="3"/>
        <v>0</v>
      </c>
      <c r="M244" s="253">
        <f>_xlfn.XLOOKUP(FMS_Ranking4[[#This Row],[FMS ID]],FMS_Input[FMS_ID],FMS_Input[STRUCT_100])</f>
        <v>475</v>
      </c>
      <c r="N244" s="255">
        <f>(ASINH(FMS_Ranking4[[#This Row],[Structure at Risk Raw]]))*(10)/(ASINH(M$4))</f>
        <v>5.3902008739418132</v>
      </c>
      <c r="O244" s="256">
        <f>FMS_Ranking4[[#This Row],[Structures at risk, ArcSinh (0-10)]]*M$5*10</f>
        <v>5.3902008739418141</v>
      </c>
      <c r="P244" s="253">
        <f>_xlfn.XLOOKUP(FMS_Ranking4[[#This Row],[FMS ID]],FMS_Input[FMS_ID],FMS_Input[RES_STRUCT100])</f>
        <v>46</v>
      </c>
      <c r="Q244" s="257">
        <f>ASINH(FMS_Ranking4[[#This Row],[Res Structure Raw]])/Q$4*P$5*100</f>
        <v>0</v>
      </c>
      <c r="R244" s="253">
        <f>_xlfn.XLOOKUP(FMS_Ranking4[[#This Row],[FMS ID]],FMS_Input[FMS_ID],FMS_Input[POP100])</f>
        <v>759</v>
      </c>
      <c r="S244" s="259">
        <f>(ASINH(FMS_Ranking4[[#This Row],[Pop at Risk Raw]]))*(10)/(ASINH(R$4))</f>
        <v>5.0569770802873419</v>
      </c>
      <c r="T244" s="256">
        <f>FMS_Ranking4[[#This Row],[Population at risk, ArcSinh (0-10)]]*R$5*10</f>
        <v>5.0569770802873428</v>
      </c>
      <c r="U244" s="253">
        <f>_xlfn.XLOOKUP(FMS_Ranking4[[#This Row],[FMS ID]],FMS_Input[FMS_ID],FMS_Input[CRITFAC100])</f>
        <v>1</v>
      </c>
      <c r="V244" s="259">
        <f>(ASINH(FMS_Ranking4[[#This Row],[Critical Facilities Raw]]))*(10)/(ASINH(U$4))</f>
        <v>1.0433384451410745</v>
      </c>
      <c r="W244" s="256">
        <f>FMS_Ranking4[[#This Row],[Critical facilities at risk, ArcSinh (0-10)]]*U$5*10</f>
        <v>1.0433384451410745</v>
      </c>
      <c r="X244" s="253">
        <f>_xlfn.XLOOKUP(FMS_Ranking4[[#This Row],[FMS ID]],FMS_Input[FMS_ID],FMS_Input[LWC])</f>
        <v>13</v>
      </c>
      <c r="Y244" s="259">
        <f>(ASINH(FMS_Ranking4[[#This Row],[LWC Raw]]))*(10)/(ASINH(X$4))</f>
        <v>4.4158660820509805</v>
      </c>
      <c r="Z244" s="256">
        <f>FMS_Ranking4[[#This Row],[LWC, ArcSInh (0-10)]]*X$5*10</f>
        <v>4.4158660820509805</v>
      </c>
      <c r="AA244" s="253">
        <f>_xlfn.XLOOKUP(FMS_Ranking4[[#This Row],[FMS ID]],FMS_Input[FMS_ID],FMS_Input[ROADCLS])</f>
        <v>0</v>
      </c>
      <c r="AB244" s="255">
        <f>(ASINH(FMS_Ranking4[[#This Row],[Road Closures Raw]]))*(10)/(ASINH(AA$4))</f>
        <v>0</v>
      </c>
      <c r="AC244" s="256">
        <f>FMS_Ranking4[[#This Row],[Road closures, ArcSinh (0-10)]]*AA$5*10</f>
        <v>0</v>
      </c>
      <c r="AD244" s="253">
        <f>_xlfn.XLOOKUP(FMS_Ranking4[[#This Row],[FMS ID]],FMS_Input[FMS_ID],FMS_Input[ROAD_MILES100])</f>
        <v>499</v>
      </c>
      <c r="AE244" s="259">
        <f>(ASINH(FMS_Ranking4[[#This Row],[Road Miles Raw]]))*(10)/(ASINH(AD$4))</f>
        <v>7.3596341224049961</v>
      </c>
      <c r="AF244" s="256">
        <f>FMS_Ranking4[[#This Row],[Length of roads at risk, ArcSinh (0-10)]]*AD$5*10</f>
        <v>7.3596341224049961</v>
      </c>
      <c r="AG244" s="253">
        <f>_xlfn.XLOOKUP(FMS_Ranking4[[#This Row],[FMS ID]],FMS_Input[FMS_ID],FMS_Input[FARMACRE100])</f>
        <v>32566.796875</v>
      </c>
      <c r="AH244" s="255">
        <f>(ASINH(FMS_Ranking4[[#This Row],[Ag Land Raw]]))*(10)/(ASINH(AG$4))</f>
        <v>7.2000881474075644</v>
      </c>
      <c r="AI244" s="260">
        <f>FMS_Ranking4[[#This Row],[Farm &amp; ranch land, ArcSinh (0-10)]]*AG$5*10</f>
        <v>3.6000440737037827</v>
      </c>
      <c r="AJ244" s="258">
        <f>_xlfn.XLOOKUP(FMS_Ranking4[[#This Row],[FMS ID]],FMS_Input[FMS_ID],FMS_Input[REDSTRUCT100])</f>
        <v>0</v>
      </c>
      <c r="AK244" s="253">
        <f>_xlfn.XLOOKUP(FMS_Ranking4[[#This Row],[FMS ID]],FMS_Input[FMS_ID],FMS_Input[REMSTRC100])</f>
        <v>0</v>
      </c>
      <c r="AL244" s="259">
        <f>(ASINH(FMS_Ranking4[[#This Row],[Structures Removed Raw]]))*(10)/(ASINH(AK$4))</f>
        <v>0</v>
      </c>
      <c r="AM244" s="262">
        <f>FMS_Ranking4[[#This Row],[Structures removed, ArcSinh (0-10)]]*AK$5*10</f>
        <v>0</v>
      </c>
      <c r="AN244" s="253">
        <f>_xlfn.XLOOKUP(FMS_Ranking4[[#This Row],[FMS ID]],FMS_Input[FMS_ID],FMS_Input[REMRESSTRC100])</f>
        <v>0</v>
      </c>
      <c r="AO244" s="261">
        <f>FMS_Ranking4[[#This Row],[ArcSinh Res struct removed 0-10]]*AN$5*10</f>
        <v>0</v>
      </c>
      <c r="AP244" s="260">
        <f>ASINH(FMS_Ranking4[[#This Row],[Residential Structures Removed Raw]])/AP$4*AN$5*100</f>
        <v>0</v>
      </c>
      <c r="AQ244" s="254">
        <f>(ASINH(FMS_Ranking4[[#This Row],[Residential Structures Removed Raw]]))*(10)/(ASINH(AN$4))</f>
        <v>0</v>
      </c>
      <c r="AR244" s="253">
        <f>_xlfn.XLOOKUP(FMS_Ranking4[[#This Row],[FMS ID]],FMS_Input[FMS_ID],FMS_Input[REMPOP100])</f>
        <v>0</v>
      </c>
      <c r="AS244" s="259">
        <f>(ASINH(FMS_Ranking4[[#This Row],[Removed Pop Raw]]))*(10)/(ASINH(AR$4))</f>
        <v>0</v>
      </c>
      <c r="AT244" s="262">
        <f>FMS_Ranking4[[#This Row],[Removed population, ArcSinh (0-10)]]*AR$5*10</f>
        <v>0</v>
      </c>
      <c r="AU244" s="264">
        <f>_xlfn.XLOOKUP(FMS_Ranking4[[#This Row],[FMS ID]],FMS_Input[FMS_ID],FMS_Input[REMCRITFAC100])</f>
        <v>0</v>
      </c>
      <c r="AV244" s="264">
        <f>_xlfn.XLOOKUP(FMS_Ranking4[[#This Row],[FMS ID]],FMS_Input[FMS_ID],FMS_Input[REMLWC100])</f>
        <v>0</v>
      </c>
      <c r="AW244" s="264">
        <f>_xlfn.XLOOKUP(FMS_Ranking4[[#This Row],[FMS ID]],FMS_Input[FMS_ID],FMS_Input[REMROADCLS])</f>
        <v>0</v>
      </c>
      <c r="AX244" s="264">
        <f>_xlfn.XLOOKUP(FMS_Ranking4[[#This Row],[FMS ID]],FMS_Input[FMS_ID],FMS_Input[REMFRMACRE100])</f>
        <v>0</v>
      </c>
      <c r="AY244" s="258">
        <f>_xlfn.XLOOKUP(FMS_Ranking4[[#This Row],[FMS ID]],FMS_Input[FMS_ID],FMS_Input[COSTSTRUCT])</f>
        <v>0</v>
      </c>
      <c r="AZ244" s="253">
        <f>_xlfn.XLOOKUP(FMS_Ranking4[[#This Row],[FMS ID]],FMS_Input[FMS_ID],FMS_Input[NATURE])</f>
        <v>0</v>
      </c>
      <c r="BA244" s="262">
        <f>(((FMS_Ranking4[[#This Row],[% NBS Raw]]/AZ$4)*100)*AZ$5)</f>
        <v>0</v>
      </c>
      <c r="BB244" s="251" t="str">
        <f>_xlfn.XLOOKUP(FMS_Ranking4[[#This Row],[FMS ID]],FMS_Input[FMS_ID],FMS_Input[WATER_SUP])</f>
        <v>No</v>
      </c>
      <c r="BC244" s="265">
        <f>IF(FMS_Ranking4[[#This Row],[Water Supply Raw]]="Yes",10,0)</f>
        <v>0</v>
      </c>
      <c r="BD244" s="266">
        <f>_xlfn.XLOOKUP(FMS_Ranking4[[#This Row],[FMS Type]],FMS_TYPE[FMS_Type],FMS_TYPE[Score])</f>
        <v>8</v>
      </c>
      <c r="BE244" s="267">
        <f>FMS_Ranking4[[#This Row],[FMS_Type Score]]*$BD$5*10</f>
        <v>2</v>
      </c>
      <c r="BF24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1.1090034331058904</v>
      </c>
      <c r="BG244" s="271">
        <f>_xlfn.RANK.EQ(BF244,$BF$8:$BF$870,0)+COUNTIF($BF$8:BF244,BF244)-1</f>
        <v>135</v>
      </c>
      <c r="BH244" s="268">
        <f>(((FMS_Ranking4[[#This Row],[Structures Removed Raw]]/AK$4)*100)*AK$5)+(((FMS_Ranking4[[#This Row],[Removed Pop Raw]]/AR$4)*100)*AR$5)</f>
        <v>0</v>
      </c>
      <c r="BI24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3.1090034331058902</v>
      </c>
      <c r="BJ244" s="205">
        <f>_xlfn.RANK.EQ(FMS_Ranking4[[#This Row],[Total Score 
(with linear
normalization)]],FMS_Ranking4[Total Score 
(with linear
normalization)],0)</f>
        <v>163</v>
      </c>
      <c r="BK244" s="205" t="e">
        <f>_xlfn.XLOOKUP(FMS_Ranking4[[#This Row],[FMS ID]],#REF!,#REF!)</f>
        <v>#REF!</v>
      </c>
      <c r="BL24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26.86606067752999</v>
      </c>
      <c r="BM244" s="272">
        <f>FMS_Ranking4[[#This Row],[ArcSinh Score Based on Normalized Reported Factors]]+FMS_Ranking4[[#This Row],[% NBS Score (Normalized)]]+(FMS_Ranking4[[#This Row],[Water Supply Score (Normalized)]]*10*$BB$5)+FMS_Ranking4[[#This Row],[FMS_Type Score Weighted]]</f>
        <v>28.86606067752999</v>
      </c>
      <c r="BN244" s="205">
        <f>_xlfn.RANK.EQ(FMS_Ranking4[[#This Row],[Total Score (with ArcSinh normalization of select criteria)]],FMS_Ranking4[Total Score (with ArcSinh normalization of select criteria)],0)</f>
        <v>237</v>
      </c>
      <c r="BO244" s="270" t="str">
        <f>_xlfn.XLOOKUP(FMS_Ranking4[[#This Row],[FMS ID]],FMS_Input[FMS_ID],FMS_Input[FMS_RANK_YEAR])</f>
        <v>2023 Amended Plan</v>
      </c>
      <c r="BP244" s="204">
        <f>_xlfn.XLOOKUP(FMS_Ranking4[[#This Row],[FMS ID]],Prev_Rank[FMS ID],Prev_Rank[Prev Rank])</f>
        <v>211</v>
      </c>
      <c r="BQ244" s="205" t="e">
        <f>_xlfn.XLOOKUP(FMS_Ranking4[[#This Row],[FMS ID]],#REF!,#REF!)</f>
        <v>#REF!</v>
      </c>
      <c r="BR244" s="199" t="e">
        <f>SUM(#REF!,#REF!,#REF!,#REF!,#REF!,#REF!,#REF!,#REF!,#REF!,FMS_Ranking4[[#This Row],[ArcSinh Res struct removed 0-10]],#REF!)</f>
        <v>#REF!</v>
      </c>
      <c r="BS244" s="199" t="e">
        <f>FMS_Ranking4[[#This Row],[Log Score Based on Normalized Reported Factors]]+FMS_Ranking4[[#This Row],[% NBS Score (Normalized)]]+(FMS_Ranking4[[#This Row],[Water Supply Score (Normalized)]]*10*$BB$5)+(FMS_Ranking4[[#This Row],[FMS_Type Score Weighted]])</f>
        <v>#REF!</v>
      </c>
      <c r="BT244" s="200" t="e">
        <f>_xlfn.RANK.EQ(FMS_Ranking4[[#This Row],[Log Total Score]],FMS_Ranking4[Log Total Score],0)</f>
        <v>#REF!</v>
      </c>
      <c r="BU244" s="200" t="e">
        <f>_xlfn.XLOOKUP(FMS_Ranking4[[#This Row],[FMS ID]],#REF!,#REF!)</f>
        <v>#REF!</v>
      </c>
      <c r="BV244" s="200">
        <f>FMS_Ranking4[[#This Row],[Region Number]]</f>
        <v>7</v>
      </c>
      <c r="BW244" s="200">
        <f>FMS_Ranking4[[#This Row],[Rank (with ArcSinh normalization of select criteria)]]-FMS_Ranking4[[#This Row],[Rank
(with linear
normalization)]]</f>
        <v>74</v>
      </c>
      <c r="BX244" s="200" t="e">
        <f>FMS_Ranking4[[#This Row],[Log Rank]]-FMS_Ranking4[[#This Row],[Rank
(with linear
normalization)]]</f>
        <v>#REF!</v>
      </c>
      <c r="BY244" s="200" t="str">
        <f>IF(FMS_Ranking4[[#This Row],[FMS Type]]="Flood Measurement and Warning",FMS_Ranking4[[#This Row],[Rank (with ArcSinh normalization of select criteria)]],"")</f>
        <v/>
      </c>
      <c r="BZ244" s="200">
        <f>IF(FMS_Ranking4[[#This Row],[FMS Type]]="Regulatory and Guidance",FMS_Ranking4[[#This Row],[Rank (with ArcSinh normalization of select criteria)]],"")</f>
        <v>237</v>
      </c>
      <c r="CA244" s="200" t="str">
        <f>IF(FMS_Ranking4[[#This Row],[FMS Type]]="Education and Outreach",FMS_Ranking4[[#This Row],[Rank (with ArcSinh normalization of select criteria)]],"")</f>
        <v/>
      </c>
      <c r="CB244" s="200" t="str">
        <f>IF(FMS_Ranking4[[#This Row],[FMS Type]]="Property Acquisition and Structural Elevation",FMS_Ranking4[[#This Row],[Rank (with ArcSinh normalization of select criteria)]],"")</f>
        <v/>
      </c>
      <c r="CC244" s="200" t="str">
        <f>IF(FMS_Ranking4[[#This Row],[FMS Type]]="Infrastructure Projects",FMS_Ranking4[[#This Row],[Rank (with ArcSinh normalization of select criteria)]],"")</f>
        <v/>
      </c>
      <c r="CD244" s="200" t="str">
        <f>IF(FMS_Ranking4[[#This Row],[FMS Type]]="Other",FMS_Ranking4[[#This Row],[Rank (with ArcSinh normalization of select criteria)]],"")</f>
        <v/>
      </c>
      <c r="CE244" s="201"/>
      <c r="CF244" s="206"/>
      <c r="CG244" s="206"/>
      <c r="CH244" s="206"/>
      <c r="CI244" s="206"/>
      <c r="CJ244" s="206"/>
      <c r="CK244" s="206"/>
      <c r="CL244" s="206"/>
      <c r="CM244" s="206"/>
      <c r="CN244" s="206"/>
      <c r="CO244" s="206"/>
      <c r="CP244" s="206"/>
      <c r="CQ244" s="206"/>
      <c r="CR244" s="206"/>
    </row>
    <row r="245" spans="2:96" ht="135" x14ac:dyDescent="0.25">
      <c r="B245" s="341" t="s">
        <v>3679</v>
      </c>
      <c r="C245" s="246">
        <f>_xlfn.XLOOKUP(FMS_Ranking4[[#This Row],[FMS ID]],FMS_Input[FMS_ID],FMS_Input[RFPG_NUM])</f>
        <v>13</v>
      </c>
      <c r="D245" s="309" t="str">
        <f>_xlfn.XLOOKUP(FMS_Ranking4[[#This Row],[FMS ID]],FMS_Input[FMS_ID],FMS_Input[FMS_NAME])</f>
        <v>Flood Mitigation Public Education</v>
      </c>
      <c r="E245" s="308" t="str">
        <f>_xlfn.XLOOKUP(FMS_Ranking4[[#This Row],[FMS ID]],FMS_Input[FMS_ID],FMS_Input[SPONSOR])</f>
        <v>00000083</v>
      </c>
      <c r="F245" s="309" t="str">
        <f>_xlfn.XLOOKUP(FMS_Ranking4[[#This Row],[FMS ID]],Sponsor[FMS_ID],Sponsor[SPONSOR NAME])</f>
        <v>Aransas</v>
      </c>
      <c r="G245" s="309" t="str">
        <f>_xlfn.XLOOKUP(FMS_Ranking4[[#This Row],[FMS ID]],FMS_Input[FMS_ID],FMS_Input[FMS_DESCR])</f>
        <v>Design and implement a program for public education. The program will educate citizens on methods of hazard mitigation and risk reduction. To be incorporated into Aransas County's floodplain management program as part of CRS.</v>
      </c>
      <c r="H245" s="248" t="str">
        <f>_xlfn.XLOOKUP(FMS_Ranking4[[#This Row],[FMS ID]],FMS_Input[FMS_ID],FMS_Input[FMS_TYPE])</f>
        <v>Education and Outreach</v>
      </c>
      <c r="I245" s="249">
        <f>_xlfn.XLOOKUP(FMS_Ranking4[[#This Row],[FMS ID]],FMS_Input[FMS_ID],FMS_Input[NRNC_COST])</f>
        <v>50000</v>
      </c>
      <c r="J245" s="250">
        <f>_xlfn.XLOOKUP(FMS_Ranking4[[#This Row],[FMS ID]],FMS_Input[FMS_ID],FMS_Input[FMS_COST])</f>
        <v>50000</v>
      </c>
      <c r="K245" s="251" t="str">
        <f>_xlfn.XLOOKUP(FMS_Ranking4[[#This Row],[FMS ID]],FMS_Input[FMS_ID],FMS_Input[EMER_NEED])</f>
        <v>Yes</v>
      </c>
      <c r="L245" s="252">
        <f t="shared" si="3"/>
        <v>1</v>
      </c>
      <c r="M245" s="253">
        <f>_xlfn.XLOOKUP(FMS_Ranking4[[#This Row],[FMS ID]],FMS_Input[FMS_ID],FMS_Input[STRUCT_100])</f>
        <v>3334</v>
      </c>
      <c r="N245" s="255">
        <f>(ASINH(FMS_Ranking4[[#This Row],[Structure at Risk Raw]]))*(10)/(ASINH(M$4))</f>
        <v>6.9221001782843219</v>
      </c>
      <c r="O245" s="256">
        <f>FMS_Ranking4[[#This Row],[Structures at risk, ArcSinh (0-10)]]*M$5*10</f>
        <v>6.9221001782843228</v>
      </c>
      <c r="P245" s="253">
        <f>_xlfn.XLOOKUP(FMS_Ranking4[[#This Row],[FMS ID]],FMS_Input[FMS_ID],FMS_Input[RES_STRUCT100])</f>
        <v>2828</v>
      </c>
      <c r="Q245" s="257">
        <f>ASINH(FMS_Ranking4[[#This Row],[Res Structure Raw]])/Q$4*P$5*100</f>
        <v>0</v>
      </c>
      <c r="R245" s="253">
        <f>_xlfn.XLOOKUP(FMS_Ranking4[[#This Row],[FMS ID]],FMS_Input[FMS_ID],FMS_Input[POP100])</f>
        <v>4790</v>
      </c>
      <c r="S245" s="259">
        <f>(ASINH(FMS_Ranking4[[#This Row],[Pop at Risk Raw]]))*(10)/(ASINH(R$4))</f>
        <v>6.3288126273256964</v>
      </c>
      <c r="T245" s="256">
        <f>FMS_Ranking4[[#This Row],[Population at risk, ArcSinh (0-10)]]*R$5*10</f>
        <v>6.3288126273256973</v>
      </c>
      <c r="U245" s="253">
        <f>_xlfn.XLOOKUP(FMS_Ranking4[[#This Row],[FMS ID]],FMS_Input[FMS_ID],FMS_Input[CRITFAC100])</f>
        <v>4</v>
      </c>
      <c r="V245" s="259">
        <f>(ASINH(FMS_Ranking4[[#This Row],[Critical Facilities Raw]]))*(10)/(ASINH(U$4))</f>
        <v>2.4796455944038147</v>
      </c>
      <c r="W245" s="256">
        <f>FMS_Ranking4[[#This Row],[Critical facilities at risk, ArcSinh (0-10)]]*U$5*10</f>
        <v>2.4796455944038147</v>
      </c>
      <c r="X245" s="253">
        <f>_xlfn.XLOOKUP(FMS_Ranking4[[#This Row],[FMS ID]],FMS_Input[FMS_ID],FMS_Input[LWC])</f>
        <v>0</v>
      </c>
      <c r="Y245" s="259">
        <f>(ASINH(FMS_Ranking4[[#This Row],[LWC Raw]]))*(10)/(ASINH(X$4))</f>
        <v>0</v>
      </c>
      <c r="Z245" s="256">
        <f>FMS_Ranking4[[#This Row],[LWC, ArcSInh (0-10)]]*X$5*10</f>
        <v>0</v>
      </c>
      <c r="AA245" s="253">
        <f>_xlfn.XLOOKUP(FMS_Ranking4[[#This Row],[FMS ID]],FMS_Input[FMS_ID],FMS_Input[ROADCLS])</f>
        <v>548</v>
      </c>
      <c r="AB245" s="255">
        <f>(ASINH(FMS_Ranking4[[#This Row],[Road Closures Raw]]))*(10)/(ASINH(AA$4))</f>
        <v>7.289256938063545</v>
      </c>
      <c r="AC245" s="256">
        <f>FMS_Ranking4[[#This Row],[Road closures, ArcSinh (0-10)]]*AA$5*10</f>
        <v>3.6446284690317725</v>
      </c>
      <c r="AD245" s="253">
        <f>_xlfn.XLOOKUP(FMS_Ranking4[[#This Row],[FMS ID]],FMS_Input[FMS_ID],FMS_Input[ROAD_MILES100])</f>
        <v>103</v>
      </c>
      <c r="AE245" s="259">
        <f>(ASINH(FMS_Ranking4[[#This Row],[Road Miles Raw]]))*(10)/(ASINH(AD$4))</f>
        <v>5.678075280842374</v>
      </c>
      <c r="AF245" s="256">
        <f>FMS_Ranking4[[#This Row],[Length of roads at risk, ArcSinh (0-10)]]*AD$5*10</f>
        <v>5.678075280842374</v>
      </c>
      <c r="AG245" s="253">
        <f>_xlfn.XLOOKUP(FMS_Ranking4[[#This Row],[FMS ID]],FMS_Input[FMS_ID],FMS_Input[FARMACRE100])</f>
        <v>571.30499267578125</v>
      </c>
      <c r="AH245" s="255">
        <f>(ASINH(FMS_Ranking4[[#This Row],[Ag Land Raw]]))*(10)/(ASINH(AG$4))</f>
        <v>4.5737493440527315</v>
      </c>
      <c r="AI245" s="260">
        <f>FMS_Ranking4[[#This Row],[Farm &amp; ranch land, ArcSinh (0-10)]]*AG$5*10</f>
        <v>2.2868746720263657</v>
      </c>
      <c r="AJ245" s="258">
        <f>_xlfn.XLOOKUP(FMS_Ranking4[[#This Row],[FMS ID]],FMS_Input[FMS_ID],FMS_Input[REDSTRUCT100])</f>
        <v>0</v>
      </c>
      <c r="AK245" s="253">
        <f>_xlfn.XLOOKUP(FMS_Ranking4[[#This Row],[FMS ID]],FMS_Input[FMS_ID],FMS_Input[REMSTRC100])</f>
        <v>0</v>
      </c>
      <c r="AL245" s="259">
        <f>(ASINH(FMS_Ranking4[[#This Row],[Structures Removed Raw]]))*(10)/(ASINH(AK$4))</f>
        <v>0</v>
      </c>
      <c r="AM245" s="262">
        <f>FMS_Ranking4[[#This Row],[Structures removed, ArcSinh (0-10)]]*AK$5*10</f>
        <v>0</v>
      </c>
      <c r="AN245" s="253">
        <f>_xlfn.XLOOKUP(FMS_Ranking4[[#This Row],[FMS ID]],FMS_Input[FMS_ID],FMS_Input[REMRESSTRC100])</f>
        <v>0</v>
      </c>
      <c r="AO245" s="261">
        <f>FMS_Ranking4[[#This Row],[ArcSinh Res struct removed 0-10]]*AN$5*10</f>
        <v>0</v>
      </c>
      <c r="AP245" s="260">
        <f>ASINH(FMS_Ranking4[[#This Row],[Residential Structures Removed Raw]])/AP$4*AN$5*100</f>
        <v>0</v>
      </c>
      <c r="AQ245" s="254">
        <f>(ASINH(FMS_Ranking4[[#This Row],[Residential Structures Removed Raw]]))*(10)/(ASINH(AN$4))</f>
        <v>0</v>
      </c>
      <c r="AR245" s="253">
        <f>_xlfn.XLOOKUP(FMS_Ranking4[[#This Row],[FMS ID]],FMS_Input[FMS_ID],FMS_Input[REMPOP100])</f>
        <v>0</v>
      </c>
      <c r="AS245" s="259">
        <f>(ASINH(FMS_Ranking4[[#This Row],[Removed Pop Raw]]))*(10)/(ASINH(AR$4))</f>
        <v>0</v>
      </c>
      <c r="AT245" s="262">
        <f>FMS_Ranking4[[#This Row],[Removed population, ArcSinh (0-10)]]*AR$5*10</f>
        <v>0</v>
      </c>
      <c r="AU245" s="264">
        <f>_xlfn.XLOOKUP(FMS_Ranking4[[#This Row],[FMS ID]],FMS_Input[FMS_ID],FMS_Input[REMCRITFAC100])</f>
        <v>0</v>
      </c>
      <c r="AV245" s="264">
        <f>_xlfn.XLOOKUP(FMS_Ranking4[[#This Row],[FMS ID]],FMS_Input[FMS_ID],FMS_Input[REMLWC100])</f>
        <v>0</v>
      </c>
      <c r="AW245" s="264">
        <f>_xlfn.XLOOKUP(FMS_Ranking4[[#This Row],[FMS ID]],FMS_Input[FMS_ID],FMS_Input[REMROADCLS])</f>
        <v>0</v>
      </c>
      <c r="AX245" s="264">
        <f>_xlfn.XLOOKUP(FMS_Ranking4[[#This Row],[FMS ID]],FMS_Input[FMS_ID],FMS_Input[REMFRMACRE100])</f>
        <v>0</v>
      </c>
      <c r="AY245" s="258">
        <f>_xlfn.XLOOKUP(FMS_Ranking4[[#This Row],[FMS ID]],FMS_Input[FMS_ID],FMS_Input[COSTSTRUCT])</f>
        <v>0</v>
      </c>
      <c r="AZ245" s="253">
        <f>_xlfn.XLOOKUP(FMS_Ranking4[[#This Row],[FMS ID]],FMS_Input[FMS_ID],FMS_Input[NATURE])</f>
        <v>0</v>
      </c>
      <c r="BA245" s="262">
        <f>(((FMS_Ranking4[[#This Row],[% NBS Raw]]/AZ$4)*100)*AZ$5)</f>
        <v>0</v>
      </c>
      <c r="BB245" s="251" t="str">
        <f>_xlfn.XLOOKUP(FMS_Ranking4[[#This Row],[FMS ID]],FMS_Input[FMS_ID],FMS_Input[WATER_SUP])</f>
        <v>No</v>
      </c>
      <c r="BC245" s="265">
        <f>IF(FMS_Ranking4[[#This Row],[Water Supply Raw]]="Yes",10,0)</f>
        <v>0</v>
      </c>
      <c r="BD245" s="266">
        <f>_xlfn.XLOOKUP(FMS_Ranking4[[#This Row],[FMS Type]],FMS_TYPE[FMS_Type],FMS_TYPE[Score])</f>
        <v>6</v>
      </c>
      <c r="BE245" s="267">
        <f>FMS_Ranking4[[#This Row],[FMS_Type Score]]*$BD$5*10</f>
        <v>1.5000000000000002</v>
      </c>
      <c r="BF24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0.81029337594562656</v>
      </c>
      <c r="BG245" s="271">
        <f>_xlfn.RANK.EQ(BF245,$BF$8:$BF$870,0)+COUNTIF($BF$8:BF245,BF245)-1</f>
        <v>168</v>
      </c>
      <c r="BH245" s="268">
        <f>(((FMS_Ranking4[[#This Row],[Structures Removed Raw]]/AK$4)*100)*AK$5)+(((FMS_Ranking4[[#This Row],[Removed Pop Raw]]/AR$4)*100)*AR$5)</f>
        <v>0</v>
      </c>
      <c r="BI24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2.3102933759456268</v>
      </c>
      <c r="BJ245" s="205">
        <f>_xlfn.RANK.EQ(FMS_Ranking4[[#This Row],[Total Score 
(with linear
normalization)]],FMS_Ranking4[Total Score 
(with linear
normalization)],0)</f>
        <v>292</v>
      </c>
      <c r="BK245" s="205" t="e">
        <f>_xlfn.XLOOKUP(FMS_Ranking4[[#This Row],[FMS ID]],#REF!,#REF!)</f>
        <v>#REF!</v>
      </c>
      <c r="BL24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27.340136821914346</v>
      </c>
      <c r="BM245" s="272">
        <f>FMS_Ranking4[[#This Row],[ArcSinh Score Based on Normalized Reported Factors]]+FMS_Ranking4[[#This Row],[% NBS Score (Normalized)]]+(FMS_Ranking4[[#This Row],[Water Supply Score (Normalized)]]*10*$BB$5)+FMS_Ranking4[[#This Row],[FMS_Type Score Weighted]]</f>
        <v>28.840136821914346</v>
      </c>
      <c r="BN245" s="205">
        <f>_xlfn.RANK.EQ(FMS_Ranking4[[#This Row],[Total Score (with ArcSinh normalization of select criteria)]],FMS_Ranking4[Total Score (with ArcSinh normalization of select criteria)],0)</f>
        <v>238</v>
      </c>
      <c r="BO245" s="270" t="str">
        <f>_xlfn.XLOOKUP(FMS_Ranking4[[#This Row],[FMS ID]],FMS_Input[FMS_ID],FMS_Input[FMS_RANK_YEAR])</f>
        <v>2023 Amended Plan</v>
      </c>
      <c r="BP245" s="204">
        <f>_xlfn.XLOOKUP(FMS_Ranking4[[#This Row],[FMS ID]],Prev_Rank[FMS ID],Prev_Rank[Prev Rank])</f>
        <v>206</v>
      </c>
      <c r="BQ245" s="205" t="e">
        <f>_xlfn.XLOOKUP(FMS_Ranking4[[#This Row],[FMS ID]],#REF!,#REF!)</f>
        <v>#REF!</v>
      </c>
      <c r="BR245" s="199" t="e">
        <f>SUM(#REF!,#REF!,#REF!,#REF!,#REF!,#REF!,#REF!,#REF!,#REF!,FMS_Ranking4[[#This Row],[ArcSinh Res struct removed 0-10]],#REF!)</f>
        <v>#REF!</v>
      </c>
      <c r="BS245" s="199" t="e">
        <f>FMS_Ranking4[[#This Row],[Log Score Based on Normalized Reported Factors]]+FMS_Ranking4[[#This Row],[% NBS Score (Normalized)]]+(FMS_Ranking4[[#This Row],[Water Supply Score (Normalized)]]*10*$BB$5)+(FMS_Ranking4[[#This Row],[FMS_Type Score Weighted]])</f>
        <v>#REF!</v>
      </c>
      <c r="BT245" s="200" t="e">
        <f>_xlfn.RANK.EQ(FMS_Ranking4[[#This Row],[Log Total Score]],FMS_Ranking4[Log Total Score],0)</f>
        <v>#REF!</v>
      </c>
      <c r="BU245" s="200" t="e">
        <f>_xlfn.XLOOKUP(FMS_Ranking4[[#This Row],[FMS ID]],#REF!,#REF!)</f>
        <v>#REF!</v>
      </c>
      <c r="BV245" s="200">
        <f>FMS_Ranking4[[#This Row],[Region Number]]</f>
        <v>13</v>
      </c>
      <c r="BW245" s="200">
        <f>FMS_Ranking4[[#This Row],[Rank (with ArcSinh normalization of select criteria)]]-FMS_Ranking4[[#This Row],[Rank
(with linear
normalization)]]</f>
        <v>-54</v>
      </c>
      <c r="BX245" s="200" t="e">
        <f>FMS_Ranking4[[#This Row],[Log Rank]]-FMS_Ranking4[[#This Row],[Rank
(with linear
normalization)]]</f>
        <v>#REF!</v>
      </c>
      <c r="BY245" s="200" t="str">
        <f>IF(FMS_Ranking4[[#This Row],[FMS Type]]="Flood Measurement and Warning",FMS_Ranking4[[#This Row],[Rank (with ArcSinh normalization of select criteria)]],"")</f>
        <v/>
      </c>
      <c r="BZ245" s="200" t="str">
        <f>IF(FMS_Ranking4[[#This Row],[FMS Type]]="Regulatory and Guidance",FMS_Ranking4[[#This Row],[Rank (with ArcSinh normalization of select criteria)]],"")</f>
        <v/>
      </c>
      <c r="CA245" s="200">
        <f>IF(FMS_Ranking4[[#This Row],[FMS Type]]="Education and Outreach",FMS_Ranking4[[#This Row],[Rank (with ArcSinh normalization of select criteria)]],"")</f>
        <v>238</v>
      </c>
      <c r="CB245" s="200" t="str">
        <f>IF(FMS_Ranking4[[#This Row],[FMS Type]]="Property Acquisition and Structural Elevation",FMS_Ranking4[[#This Row],[Rank (with ArcSinh normalization of select criteria)]],"")</f>
        <v/>
      </c>
      <c r="CC245" s="200" t="str">
        <f>IF(FMS_Ranking4[[#This Row],[FMS Type]]="Infrastructure Projects",FMS_Ranking4[[#This Row],[Rank (with ArcSinh normalization of select criteria)]],"")</f>
        <v/>
      </c>
      <c r="CD245" s="200" t="str">
        <f>IF(FMS_Ranking4[[#This Row],[FMS Type]]="Other",FMS_Ranking4[[#This Row],[Rank (with ArcSinh normalization of select criteria)]],"")</f>
        <v/>
      </c>
      <c r="CE245" s="201"/>
      <c r="CF245" s="206"/>
      <c r="CG245" s="206"/>
      <c r="CH245" s="206"/>
      <c r="CI245" s="206"/>
      <c r="CJ245" s="206"/>
      <c r="CK245" s="206"/>
      <c r="CL245" s="206"/>
      <c r="CM245" s="206"/>
      <c r="CN245" s="206"/>
      <c r="CO245" s="206"/>
      <c r="CP245" s="206"/>
      <c r="CQ245" s="206"/>
      <c r="CR245" s="206"/>
    </row>
    <row r="246" spans="2:96" ht="105" x14ac:dyDescent="0.25">
      <c r="B246" s="341" t="s">
        <v>3799</v>
      </c>
      <c r="C246" s="246">
        <f>_xlfn.XLOOKUP(FMS_Ranking4[[#This Row],[FMS ID]],FMS_Input[FMS_ID],FMS_Input[RFPG_NUM])</f>
        <v>13</v>
      </c>
      <c r="D246" s="309" t="str">
        <f>_xlfn.XLOOKUP(FMS_Ranking4[[#This Row],[FMS ID]],FMS_Input[FMS_ID],FMS_Input[FMS_NAME])</f>
        <v>Aransas County Educational Signage Program</v>
      </c>
      <c r="E246" s="308" t="str">
        <f>_xlfn.XLOOKUP(FMS_Ranking4[[#This Row],[FMS ID]],FMS_Input[FMS_ID],FMS_Input[SPONSOR])</f>
        <v>00000083</v>
      </c>
      <c r="F246" s="309" t="str">
        <f>_xlfn.XLOOKUP(FMS_Ranking4[[#This Row],[FMS ID]],Sponsor[FMS_ID],Sponsor[SPONSOR NAME])</f>
        <v>Aransas</v>
      </c>
      <c r="G246" s="309" t="str">
        <f>_xlfn.XLOOKUP(FMS_Ranking4[[#This Row],[FMS ID]],FMS_Input[FMS_ID],FMS_Input[FMS_DESCR])</f>
        <v>Aransas County Multi-Jurisdictional Floodplain Managment Plan - Action 3.1.e: Develop and install educatinal signage regarding flood safety to located along low areas of roadways likey to flood.</v>
      </c>
      <c r="H246" s="248" t="str">
        <f>_xlfn.XLOOKUP(FMS_Ranking4[[#This Row],[FMS ID]],FMS_Input[FMS_ID],FMS_Input[FMS_TYPE])</f>
        <v>Education and Outreach</v>
      </c>
      <c r="I246" s="249">
        <f>_xlfn.XLOOKUP(FMS_Ranking4[[#This Row],[FMS ID]],FMS_Input[FMS_ID],FMS_Input[NRNC_COST])</f>
        <v>7000</v>
      </c>
      <c r="J246" s="250">
        <f>_xlfn.XLOOKUP(FMS_Ranking4[[#This Row],[FMS ID]],FMS_Input[FMS_ID],FMS_Input[FMS_COST])</f>
        <v>7000</v>
      </c>
      <c r="K246" s="251" t="str">
        <f>_xlfn.XLOOKUP(FMS_Ranking4[[#This Row],[FMS ID]],FMS_Input[FMS_ID],FMS_Input[EMER_NEED])</f>
        <v>Yes</v>
      </c>
      <c r="L246" s="252">
        <f t="shared" si="3"/>
        <v>1</v>
      </c>
      <c r="M246" s="253">
        <f>_xlfn.XLOOKUP(FMS_Ranking4[[#This Row],[FMS ID]],FMS_Input[FMS_ID],FMS_Input[STRUCT_100])</f>
        <v>3334</v>
      </c>
      <c r="N246" s="255">
        <f>(ASINH(FMS_Ranking4[[#This Row],[Structure at Risk Raw]]))*(10)/(ASINH(M$4))</f>
        <v>6.9221001782843219</v>
      </c>
      <c r="O246" s="256">
        <f>FMS_Ranking4[[#This Row],[Structures at risk, ArcSinh (0-10)]]*M$5*10</f>
        <v>6.9221001782843228</v>
      </c>
      <c r="P246" s="253">
        <f>_xlfn.XLOOKUP(FMS_Ranking4[[#This Row],[FMS ID]],FMS_Input[FMS_ID],FMS_Input[RES_STRUCT100])</f>
        <v>2828</v>
      </c>
      <c r="Q246" s="257">
        <f>ASINH(FMS_Ranking4[[#This Row],[Res Structure Raw]])/Q$4*P$5*100</f>
        <v>0</v>
      </c>
      <c r="R246" s="253">
        <f>_xlfn.XLOOKUP(FMS_Ranking4[[#This Row],[FMS ID]],FMS_Input[FMS_ID],FMS_Input[POP100])</f>
        <v>4790</v>
      </c>
      <c r="S246" s="255">
        <f>(ASINH(FMS_Ranking4[[#This Row],[Pop at Risk Raw]]))*(10)/(ASINH(R$4))</f>
        <v>6.3288126273256964</v>
      </c>
      <c r="T246" s="256">
        <f>FMS_Ranking4[[#This Row],[Population at risk, ArcSinh (0-10)]]*R$5*10</f>
        <v>6.3288126273256973</v>
      </c>
      <c r="U246" s="253">
        <f>_xlfn.XLOOKUP(FMS_Ranking4[[#This Row],[FMS ID]],FMS_Input[FMS_ID],FMS_Input[CRITFAC100])</f>
        <v>4</v>
      </c>
      <c r="V246" s="255">
        <f>(ASINH(FMS_Ranking4[[#This Row],[Critical Facilities Raw]]))*(10)/(ASINH(U$4))</f>
        <v>2.4796455944038147</v>
      </c>
      <c r="W246" s="256">
        <f>FMS_Ranking4[[#This Row],[Critical facilities at risk, ArcSinh (0-10)]]*U$5*10</f>
        <v>2.4796455944038147</v>
      </c>
      <c r="X246" s="253">
        <f>_xlfn.XLOOKUP(FMS_Ranking4[[#This Row],[FMS ID]],FMS_Input[FMS_ID],FMS_Input[LWC])</f>
        <v>0</v>
      </c>
      <c r="Y246" s="255">
        <f>(ASINH(FMS_Ranking4[[#This Row],[LWC Raw]]))*(10)/(ASINH(X$4))</f>
        <v>0</v>
      </c>
      <c r="Z246" s="256">
        <f>FMS_Ranking4[[#This Row],[LWC, ArcSInh (0-10)]]*X$5*10</f>
        <v>0</v>
      </c>
      <c r="AA246" s="253">
        <f>_xlfn.XLOOKUP(FMS_Ranking4[[#This Row],[FMS ID]],FMS_Input[FMS_ID],FMS_Input[ROADCLS])</f>
        <v>548</v>
      </c>
      <c r="AB246" s="255">
        <f>(ASINH(FMS_Ranking4[[#This Row],[Road Closures Raw]]))*(10)/(ASINH(AA$4))</f>
        <v>7.289256938063545</v>
      </c>
      <c r="AC246" s="256">
        <f>FMS_Ranking4[[#This Row],[Road closures, ArcSinh (0-10)]]*AA$5*10</f>
        <v>3.6446284690317725</v>
      </c>
      <c r="AD246" s="253">
        <f>_xlfn.XLOOKUP(FMS_Ranking4[[#This Row],[FMS ID]],FMS_Input[FMS_ID],FMS_Input[ROAD_MILES100])</f>
        <v>103</v>
      </c>
      <c r="AE246" s="255">
        <f>(ASINH(FMS_Ranking4[[#This Row],[Road Miles Raw]]))*(10)/(ASINH(AD$4))</f>
        <v>5.678075280842374</v>
      </c>
      <c r="AF246" s="256">
        <f>FMS_Ranking4[[#This Row],[Length of roads at risk, ArcSinh (0-10)]]*AD$5*10</f>
        <v>5.678075280842374</v>
      </c>
      <c r="AG246" s="253">
        <f>_xlfn.XLOOKUP(FMS_Ranking4[[#This Row],[FMS ID]],FMS_Input[FMS_ID],FMS_Input[FARMACRE100])</f>
        <v>571.2467041015625</v>
      </c>
      <c r="AH246" s="255">
        <f>(ASINH(FMS_Ranking4[[#This Row],[Ag Land Raw]]))*(10)/(ASINH(AG$4))</f>
        <v>4.5736830658793828</v>
      </c>
      <c r="AI246" s="260">
        <f>FMS_Ranking4[[#This Row],[Farm &amp; ranch land, ArcSinh (0-10)]]*AG$5*10</f>
        <v>2.2868415329396914</v>
      </c>
      <c r="AJ246" s="258">
        <f>_xlfn.XLOOKUP(FMS_Ranking4[[#This Row],[FMS ID]],FMS_Input[FMS_ID],FMS_Input[REDSTRUCT100])</f>
        <v>0</v>
      </c>
      <c r="AK246" s="253">
        <f>_xlfn.XLOOKUP(FMS_Ranking4[[#This Row],[FMS ID]],FMS_Input[FMS_ID],FMS_Input[REMSTRC100])</f>
        <v>0</v>
      </c>
      <c r="AL246" s="255">
        <f>(ASINH(FMS_Ranking4[[#This Row],[Structures Removed Raw]]))*(10)/(ASINH(AK$4))</f>
        <v>0</v>
      </c>
      <c r="AM246" s="262">
        <f>FMS_Ranking4[[#This Row],[Structures removed, ArcSinh (0-10)]]*AK$5*10</f>
        <v>0</v>
      </c>
      <c r="AN246" s="253">
        <f>_xlfn.XLOOKUP(FMS_Ranking4[[#This Row],[FMS ID]],FMS_Input[FMS_ID],FMS_Input[REMRESSTRC100])</f>
        <v>0</v>
      </c>
      <c r="AO246" s="261">
        <f>FMS_Ranking4[[#This Row],[ArcSinh Res struct removed 0-10]]*AN$5*10</f>
        <v>0</v>
      </c>
      <c r="AP246" s="260">
        <f>ASINH(FMS_Ranking4[[#This Row],[Residential Structures Removed Raw]])/AP$4*AN$5*100</f>
        <v>0</v>
      </c>
      <c r="AQ246" s="258">
        <f>(ASINH(FMS_Ranking4[[#This Row],[Residential Structures Removed Raw]]))*(10)/(ASINH(AN$4))</f>
        <v>0</v>
      </c>
      <c r="AR246" s="253">
        <f>_xlfn.XLOOKUP(FMS_Ranking4[[#This Row],[FMS ID]],FMS_Input[FMS_ID],FMS_Input[REMPOP100])</f>
        <v>0</v>
      </c>
      <c r="AS246" s="255">
        <f>(ASINH(FMS_Ranking4[[#This Row],[Removed Pop Raw]]))*(10)/(ASINH(AR$4))</f>
        <v>0</v>
      </c>
      <c r="AT246" s="262">
        <f>FMS_Ranking4[[#This Row],[Removed population, ArcSinh (0-10)]]*AR$5*10</f>
        <v>0</v>
      </c>
      <c r="AU246" s="264">
        <f>_xlfn.XLOOKUP(FMS_Ranking4[[#This Row],[FMS ID]],FMS_Input[FMS_ID],FMS_Input[REMCRITFAC100])</f>
        <v>0</v>
      </c>
      <c r="AV246" s="264">
        <f>_xlfn.XLOOKUP(FMS_Ranking4[[#This Row],[FMS ID]],FMS_Input[FMS_ID],FMS_Input[REMLWC100])</f>
        <v>0</v>
      </c>
      <c r="AW246" s="264">
        <f>_xlfn.XLOOKUP(FMS_Ranking4[[#This Row],[FMS ID]],FMS_Input[FMS_ID],FMS_Input[REMROADCLS])</f>
        <v>0</v>
      </c>
      <c r="AX246" s="264">
        <f>_xlfn.XLOOKUP(FMS_Ranking4[[#This Row],[FMS ID]],FMS_Input[FMS_ID],FMS_Input[REMFRMACRE100])</f>
        <v>0</v>
      </c>
      <c r="AY246" s="258">
        <f>_xlfn.XLOOKUP(FMS_Ranking4[[#This Row],[FMS ID]],FMS_Input[FMS_ID],FMS_Input[COSTSTRUCT])</f>
        <v>0</v>
      </c>
      <c r="AZ246" s="253">
        <f>_xlfn.XLOOKUP(FMS_Ranking4[[#This Row],[FMS ID]],FMS_Input[FMS_ID],FMS_Input[NATURE])</f>
        <v>0</v>
      </c>
      <c r="BA246" s="262">
        <f>(((FMS_Ranking4[[#This Row],[% NBS Raw]]/AZ$4)*100)*AZ$5)</f>
        <v>0</v>
      </c>
      <c r="BB246" s="251" t="str">
        <f>_xlfn.XLOOKUP(FMS_Ranking4[[#This Row],[FMS ID]],FMS_Input[FMS_ID],FMS_Input[WATER_SUP])</f>
        <v>No</v>
      </c>
      <c r="BC246" s="265">
        <f>IF(FMS_Ranking4[[#This Row],[Water Supply Raw]]="Yes",10,0)</f>
        <v>0</v>
      </c>
      <c r="BD246" s="266">
        <f>_xlfn.XLOOKUP(FMS_Ranking4[[#This Row],[FMS Type]],FMS_TYPE[FMS_Type],FMS_TYPE[Score])</f>
        <v>6</v>
      </c>
      <c r="BE246" s="267">
        <f>FMS_Ranking4[[#This Row],[FMS_Type Score]]*$BD$5*10</f>
        <v>1.5000000000000002</v>
      </c>
      <c r="BF24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0.81029325576763289</v>
      </c>
      <c r="BG246" s="321">
        <f>_xlfn.RANK.EQ(BF246,$BF$8:$BF$870,0)+COUNTIF($BF$8:BF246,BF246)-1</f>
        <v>169</v>
      </c>
      <c r="BH246" s="294">
        <f>(((FMS_Ranking4[[#This Row],[Structures Removed Raw]]/AK$4)*100)*AK$5)+(((FMS_Ranking4[[#This Row],[Removed Pop Raw]]/AR$4)*100)*AR$5)</f>
        <v>0</v>
      </c>
      <c r="BI24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2.310293255767633</v>
      </c>
      <c r="BJ246" s="251">
        <f>_xlfn.RANK.EQ(FMS_Ranking4[[#This Row],[Total Score 
(with linear
normalization)]],FMS_Ranking4[Total Score 
(with linear
normalization)],0)</f>
        <v>293</v>
      </c>
      <c r="BK246" s="251" t="e">
        <f>_xlfn.XLOOKUP(FMS_Ranking4[[#This Row],[FMS ID]],#REF!,#REF!)</f>
        <v>#REF!</v>
      </c>
      <c r="BL24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27.340103682827674</v>
      </c>
      <c r="BM246" s="324">
        <f>FMS_Ranking4[[#This Row],[ArcSinh Score Based on Normalized Reported Factors]]+FMS_Ranking4[[#This Row],[% NBS Score (Normalized)]]+(FMS_Ranking4[[#This Row],[Water Supply Score (Normalized)]]*10*$BB$5)+FMS_Ranking4[[#This Row],[FMS_Type Score Weighted]]</f>
        <v>28.840103682827674</v>
      </c>
      <c r="BN246" s="251">
        <f>_xlfn.RANK.EQ(FMS_Ranking4[[#This Row],[Total Score (with ArcSinh normalization of select criteria)]],FMS_Ranking4[Total Score (with ArcSinh normalization of select criteria)],0)</f>
        <v>239</v>
      </c>
      <c r="BO246" s="270" t="str">
        <f>_xlfn.XLOOKUP(FMS_Ranking4[[#This Row],[FMS ID]],FMS_Input[FMS_ID],FMS_Input[FMS_RANK_YEAR])</f>
        <v>2023 Amended Plan</v>
      </c>
      <c r="BP246" s="204">
        <f>_xlfn.XLOOKUP(FMS_Ranking4[[#This Row],[FMS ID]],Prev_Rank[FMS ID],Prev_Rank[Prev Rank])</f>
        <v>207</v>
      </c>
      <c r="BQ246" s="251" t="e">
        <f>_xlfn.XLOOKUP(FMS_Ranking4[[#This Row],[FMS ID]],#REF!,#REF!)</f>
        <v>#REF!</v>
      </c>
      <c r="BR246" s="199" t="e">
        <f>SUM(#REF!,#REF!,#REF!,#REF!,#REF!,#REF!,#REF!,#REF!,#REF!,FMS_Ranking4[[#This Row],[ArcSinh Res struct removed 0-10]],#REF!)</f>
        <v>#REF!</v>
      </c>
      <c r="BS246" s="199" t="e">
        <f>FMS_Ranking4[[#This Row],[Log Score Based on Normalized Reported Factors]]+FMS_Ranking4[[#This Row],[% NBS Score (Normalized)]]+(FMS_Ranking4[[#This Row],[Water Supply Score (Normalized)]]*10*$BB$5)+(FMS_Ranking4[[#This Row],[FMS_Type Score Weighted]])</f>
        <v>#REF!</v>
      </c>
      <c r="BT246" s="200" t="e">
        <f>_xlfn.RANK.EQ(FMS_Ranking4[[#This Row],[Log Total Score]],FMS_Ranking4[Log Total Score],0)</f>
        <v>#REF!</v>
      </c>
      <c r="BU246" s="200" t="e">
        <f>_xlfn.XLOOKUP(FMS_Ranking4[[#This Row],[FMS ID]],#REF!,#REF!)</f>
        <v>#REF!</v>
      </c>
      <c r="BV246" s="200">
        <f>FMS_Ranking4[[#This Row],[Region Number]]</f>
        <v>13</v>
      </c>
      <c r="BW246" s="200">
        <f>FMS_Ranking4[[#This Row],[Rank (with ArcSinh normalization of select criteria)]]-FMS_Ranking4[[#This Row],[Rank
(with linear
normalization)]]</f>
        <v>-54</v>
      </c>
      <c r="BX246" s="200" t="e">
        <f>FMS_Ranking4[[#This Row],[Log Rank]]-FMS_Ranking4[[#This Row],[Rank
(with linear
normalization)]]</f>
        <v>#REF!</v>
      </c>
      <c r="BY246" s="200" t="str">
        <f>IF(FMS_Ranking4[[#This Row],[FMS Type]]="Flood Measurement and Warning",FMS_Ranking4[[#This Row],[Rank (with ArcSinh normalization of select criteria)]],"")</f>
        <v/>
      </c>
      <c r="BZ246" s="200" t="str">
        <f>IF(FMS_Ranking4[[#This Row],[FMS Type]]="Regulatory and Guidance",FMS_Ranking4[[#This Row],[Rank (with ArcSinh normalization of select criteria)]],"")</f>
        <v/>
      </c>
      <c r="CA246" s="200">
        <f>IF(FMS_Ranking4[[#This Row],[FMS Type]]="Education and Outreach",FMS_Ranking4[[#This Row],[Rank (with ArcSinh normalization of select criteria)]],"")</f>
        <v>239</v>
      </c>
      <c r="CB246" s="200" t="str">
        <f>IF(FMS_Ranking4[[#This Row],[FMS Type]]="Property Acquisition and Structural Elevation",FMS_Ranking4[[#This Row],[Rank (with ArcSinh normalization of select criteria)]],"")</f>
        <v/>
      </c>
      <c r="CC246" s="200" t="str">
        <f>IF(FMS_Ranking4[[#This Row],[FMS Type]]="Infrastructure Projects",FMS_Ranking4[[#This Row],[Rank (with ArcSinh normalization of select criteria)]],"")</f>
        <v/>
      </c>
      <c r="CD246" s="200" t="str">
        <f>IF(FMS_Ranking4[[#This Row],[FMS Type]]="Other",FMS_Ranking4[[#This Row],[Rank (with ArcSinh normalization of select criteria)]],"")</f>
        <v/>
      </c>
      <c r="CE246" s="201"/>
      <c r="CF246" s="206"/>
      <c r="CG246" s="206"/>
      <c r="CH246" s="206"/>
      <c r="CI246" s="206"/>
      <c r="CJ246" s="206"/>
      <c r="CK246" s="206"/>
      <c r="CL246" s="206"/>
      <c r="CM246" s="206"/>
      <c r="CN246" s="206"/>
      <c r="CO246" s="206"/>
      <c r="CP246" s="206"/>
      <c r="CQ246" s="206"/>
      <c r="CR246" s="206"/>
    </row>
    <row r="247" spans="2:96" ht="60" x14ac:dyDescent="0.25">
      <c r="B247" s="341" t="s">
        <v>4280</v>
      </c>
      <c r="C247" s="246">
        <f>_xlfn.XLOOKUP(FMS_Ranking4[[#This Row],[FMS ID]],FMS_Input[FMS_ID],FMS_Input[RFPG_NUM])</f>
        <v>15</v>
      </c>
      <c r="D247" s="309" t="str">
        <f>_xlfn.XLOOKUP(FMS_Ranking4[[#This Row],[FMS ID]],FMS_Input[FMS_ID],FMS_Input[FMS_NAME])</f>
        <v>City of Weslaco - Flood Warning System, planning, operation &amp; maintenance</v>
      </c>
      <c r="E247" s="308" t="str">
        <f>_xlfn.XLOOKUP(FMS_Ranking4[[#This Row],[FMS ID]],FMS_Input[FMS_ID],FMS_Input[SPONSOR])</f>
        <v>15000068</v>
      </c>
      <c r="F247" s="309" t="str">
        <f>_xlfn.XLOOKUP(FMS_Ranking4[[#This Row],[FMS ID]],Sponsor[FMS_ID],Sponsor[SPONSOR NAME])</f>
        <v>Weslaco</v>
      </c>
      <c r="G247" s="309" t="str">
        <f>_xlfn.XLOOKUP(FMS_Ranking4[[#This Row],[FMS ID]],FMS_Input[FMS_ID],FMS_Input[FMS_DESCR])</f>
        <v>Develop and Implement a Flood Warning System, planning, operation &amp; Maintenance plan</v>
      </c>
      <c r="H247" s="248" t="str">
        <f>_xlfn.XLOOKUP(FMS_Ranking4[[#This Row],[FMS ID]],FMS_Input[FMS_ID],FMS_Input[FMS_TYPE])</f>
        <v>Flood Measurement and Warning</v>
      </c>
      <c r="I247" s="249">
        <f>_xlfn.XLOOKUP(FMS_Ranking4[[#This Row],[FMS ID]],FMS_Input[FMS_ID],FMS_Input[NRNC_COST])</f>
        <v>600000</v>
      </c>
      <c r="J247" s="250">
        <f>_xlfn.XLOOKUP(FMS_Ranking4[[#This Row],[FMS ID]],FMS_Input[FMS_ID],FMS_Input[FMS_COST])</f>
        <v>5000000</v>
      </c>
      <c r="K247" s="251" t="str">
        <f>_xlfn.XLOOKUP(FMS_Ranking4[[#This Row],[FMS ID]],FMS_Input[FMS_ID],FMS_Input[EMER_NEED])</f>
        <v>Yes</v>
      </c>
      <c r="L247" s="252">
        <f t="shared" si="3"/>
        <v>1</v>
      </c>
      <c r="M247" s="253">
        <f>_xlfn.XLOOKUP(FMS_Ranking4[[#This Row],[FMS ID]],FMS_Input[FMS_ID],FMS_Input[STRUCT_100])</f>
        <v>8435</v>
      </c>
      <c r="N247" s="255">
        <f>(ASINH(FMS_Ranking4[[#This Row],[Structure at Risk Raw]]))*(10)/(ASINH(M$4))</f>
        <v>7.6518168771726023</v>
      </c>
      <c r="O247" s="256">
        <f>FMS_Ranking4[[#This Row],[Structures at risk, ArcSinh (0-10)]]*M$5*10</f>
        <v>7.6518168771726023</v>
      </c>
      <c r="P247" s="253">
        <f>_xlfn.XLOOKUP(FMS_Ranking4[[#This Row],[FMS ID]],FMS_Input[FMS_ID],FMS_Input[RES_STRUCT100])</f>
        <v>6295</v>
      </c>
      <c r="Q247" s="257">
        <f>ASINH(FMS_Ranking4[[#This Row],[Res Structure Raw]])/Q$4*P$5*100</f>
        <v>0</v>
      </c>
      <c r="R247" s="253">
        <f>_xlfn.XLOOKUP(FMS_Ranking4[[#This Row],[FMS ID]],FMS_Input[FMS_ID],FMS_Input[POP100])</f>
        <v>40076</v>
      </c>
      <c r="S247" s="255">
        <f>(ASINH(FMS_Ranking4[[#This Row],[Pop at Risk Raw]]))*(10)/(ASINH(R$4))</f>
        <v>7.7953041589448997</v>
      </c>
      <c r="T247" s="256">
        <f>FMS_Ranking4[[#This Row],[Population at risk, ArcSinh (0-10)]]*R$5*10</f>
        <v>7.7953041589448997</v>
      </c>
      <c r="U247" s="253">
        <f>_xlfn.XLOOKUP(FMS_Ranking4[[#This Row],[FMS ID]],FMS_Input[FMS_ID],FMS_Input[CRITFAC100])</f>
        <v>3</v>
      </c>
      <c r="V247" s="255">
        <f>(ASINH(FMS_Ranking4[[#This Row],[Critical Facilities Raw]]))*(10)/(ASINH(U$4))</f>
        <v>2.152611706646717</v>
      </c>
      <c r="W247" s="256">
        <f>FMS_Ranking4[[#This Row],[Critical facilities at risk, ArcSinh (0-10)]]*U$5*10</f>
        <v>2.152611706646717</v>
      </c>
      <c r="X247" s="253">
        <f>_xlfn.XLOOKUP(FMS_Ranking4[[#This Row],[FMS ID]],FMS_Input[FMS_ID],FMS_Input[LWC])</f>
        <v>0</v>
      </c>
      <c r="Y247" s="255">
        <f>(ASINH(FMS_Ranking4[[#This Row],[LWC Raw]]))*(10)/(ASINH(X$4))</f>
        <v>0</v>
      </c>
      <c r="Z247" s="256">
        <f>FMS_Ranking4[[#This Row],[LWC, ArcSInh (0-10)]]*X$5*10</f>
        <v>0</v>
      </c>
      <c r="AA247" s="253">
        <f>_xlfn.XLOOKUP(FMS_Ranking4[[#This Row],[FMS ID]],FMS_Input[FMS_ID],FMS_Input[ROADCLS])</f>
        <v>0</v>
      </c>
      <c r="AB247" s="255">
        <f>(ASINH(FMS_Ranking4[[#This Row],[Road Closures Raw]]))*(10)/(ASINH(AA$4))</f>
        <v>0</v>
      </c>
      <c r="AC247" s="256">
        <f>FMS_Ranking4[[#This Row],[Road closures, ArcSinh (0-10)]]*AA$5*10</f>
        <v>0</v>
      </c>
      <c r="AD247" s="253">
        <f>_xlfn.XLOOKUP(FMS_Ranking4[[#This Row],[FMS ID]],FMS_Input[FMS_ID],FMS_Input[ROAD_MILES100])</f>
        <v>148</v>
      </c>
      <c r="AE247" s="255">
        <f>(ASINH(FMS_Ranking4[[#This Row],[Road Miles Raw]]))*(10)/(ASINH(AD$4))</f>
        <v>6.0643697858517598</v>
      </c>
      <c r="AF247" s="256">
        <f>FMS_Ranking4[[#This Row],[Length of roads at risk, ArcSinh (0-10)]]*AD$5*10</f>
        <v>6.0643697858517598</v>
      </c>
      <c r="AG247" s="253">
        <f>_xlfn.XLOOKUP(FMS_Ranking4[[#This Row],[FMS ID]],FMS_Input[FMS_ID],FMS_Input[FARMACRE100])</f>
        <v>1823.820190429688</v>
      </c>
      <c r="AH247" s="255">
        <f>(ASINH(FMS_Ranking4[[#This Row],[Ag Land Raw]]))*(10)/(ASINH(AG$4))</f>
        <v>5.3277605771256562</v>
      </c>
      <c r="AI247" s="260">
        <f>FMS_Ranking4[[#This Row],[Farm &amp; ranch land, ArcSinh (0-10)]]*AG$5*10</f>
        <v>2.6638802885628281</v>
      </c>
      <c r="AJ247" s="258">
        <f>_xlfn.XLOOKUP(FMS_Ranking4[[#This Row],[FMS ID]],FMS_Input[FMS_ID],FMS_Input[REDSTRUCT100])</f>
        <v>0</v>
      </c>
      <c r="AK247" s="253">
        <f>_xlfn.XLOOKUP(FMS_Ranking4[[#This Row],[FMS ID]],FMS_Input[FMS_ID],FMS_Input[REMSTRC100])</f>
        <v>0</v>
      </c>
      <c r="AL247" s="255">
        <f>(ASINH(FMS_Ranking4[[#This Row],[Structures Removed Raw]]))*(10)/(ASINH(AK$4))</f>
        <v>0</v>
      </c>
      <c r="AM247" s="262">
        <f>FMS_Ranking4[[#This Row],[Structures removed, ArcSinh (0-10)]]*AK$5*10</f>
        <v>0</v>
      </c>
      <c r="AN247" s="253">
        <f>_xlfn.XLOOKUP(FMS_Ranking4[[#This Row],[FMS ID]],FMS_Input[FMS_ID],FMS_Input[REMRESSTRC100])</f>
        <v>0</v>
      </c>
      <c r="AO247" s="261">
        <f>FMS_Ranking4[[#This Row],[ArcSinh Res struct removed 0-10]]*AN$5*10</f>
        <v>0</v>
      </c>
      <c r="AP247" s="260">
        <f>ASINH(FMS_Ranking4[[#This Row],[Residential Structures Removed Raw]])/AP$4*AN$5*100</f>
        <v>0</v>
      </c>
      <c r="AQ247" s="258">
        <f>(ASINH(FMS_Ranking4[[#This Row],[Residential Structures Removed Raw]]))*(10)/(ASINH(AN$4))</f>
        <v>0</v>
      </c>
      <c r="AR247" s="253">
        <f>_xlfn.XLOOKUP(FMS_Ranking4[[#This Row],[FMS ID]],FMS_Input[FMS_ID],FMS_Input[REMPOP100])</f>
        <v>0</v>
      </c>
      <c r="AS247" s="255">
        <f>(ASINH(FMS_Ranking4[[#This Row],[Removed Pop Raw]]))*(10)/(ASINH(AR$4))</f>
        <v>0</v>
      </c>
      <c r="AT247" s="262">
        <f>FMS_Ranking4[[#This Row],[Removed population, ArcSinh (0-10)]]*AR$5*10</f>
        <v>0</v>
      </c>
      <c r="AU247" s="264">
        <f>_xlfn.XLOOKUP(FMS_Ranking4[[#This Row],[FMS ID]],FMS_Input[FMS_ID],FMS_Input[REMCRITFAC100])</f>
        <v>0</v>
      </c>
      <c r="AV247" s="264">
        <f>_xlfn.XLOOKUP(FMS_Ranking4[[#This Row],[FMS ID]],FMS_Input[FMS_ID],FMS_Input[REMLWC100])</f>
        <v>0</v>
      </c>
      <c r="AW247" s="264">
        <f>_xlfn.XLOOKUP(FMS_Ranking4[[#This Row],[FMS ID]],FMS_Input[FMS_ID],FMS_Input[REMROADCLS])</f>
        <v>0</v>
      </c>
      <c r="AX247" s="264">
        <f>_xlfn.XLOOKUP(FMS_Ranking4[[#This Row],[FMS ID]],FMS_Input[FMS_ID],FMS_Input[REMFRMACRE100])</f>
        <v>0</v>
      </c>
      <c r="AY247" s="258">
        <f>_xlfn.XLOOKUP(FMS_Ranking4[[#This Row],[FMS ID]],FMS_Input[FMS_ID],FMS_Input[COSTSTRUCT])</f>
        <v>0</v>
      </c>
      <c r="AZ247" s="253">
        <f>_xlfn.XLOOKUP(FMS_Ranking4[[#This Row],[FMS ID]],FMS_Input[FMS_ID],FMS_Input[NATURE])</f>
        <v>0</v>
      </c>
      <c r="BA247" s="262">
        <f>(((FMS_Ranking4[[#This Row],[% NBS Raw]]/AZ$4)*100)*AZ$5)</f>
        <v>0</v>
      </c>
      <c r="BB247" s="251" t="str">
        <f>_xlfn.XLOOKUP(FMS_Ranking4[[#This Row],[FMS ID]],FMS_Input[FMS_ID],FMS_Input[WATER_SUP])</f>
        <v>No</v>
      </c>
      <c r="BC247" s="265">
        <f>IF(FMS_Ranking4[[#This Row],[Water Supply Raw]]="Yes",10,0)</f>
        <v>0</v>
      </c>
      <c r="BD247" s="266">
        <f>_xlfn.XLOOKUP(FMS_Ranking4[[#This Row],[FMS Type]],FMS_TYPE[FMS_Type],FMS_TYPE[Score])</f>
        <v>10</v>
      </c>
      <c r="BE247" s="267">
        <f>FMS_Ranking4[[#This Row],[FMS_Type Score]]*$BD$5*10</f>
        <v>2.5</v>
      </c>
      <c r="BF24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1.1802869240309899</v>
      </c>
      <c r="BG247" s="321">
        <f>_xlfn.RANK.EQ(BF247,$BF$8:$BF$870,0)+COUNTIF($BF$8:BF247,BF247)-1</f>
        <v>127</v>
      </c>
      <c r="BH247" s="294">
        <f>(((FMS_Ranking4[[#This Row],[Structures Removed Raw]]/AK$4)*100)*AK$5)+(((FMS_Ranking4[[#This Row],[Removed Pop Raw]]/AR$4)*100)*AR$5)</f>
        <v>0</v>
      </c>
      <c r="BI24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3.6802869240309901</v>
      </c>
      <c r="BJ247" s="251">
        <f>_xlfn.RANK.EQ(FMS_Ranking4[[#This Row],[Total Score 
(with linear
normalization)]],FMS_Ranking4[Total Score 
(with linear
normalization)],0)</f>
        <v>143</v>
      </c>
      <c r="BK247" s="251" t="e">
        <f>_xlfn.XLOOKUP(FMS_Ranking4[[#This Row],[FMS ID]],#REF!,#REF!)</f>
        <v>#REF!</v>
      </c>
      <c r="BL24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26.327982817178807</v>
      </c>
      <c r="BM247" s="324">
        <f>FMS_Ranking4[[#This Row],[ArcSinh Score Based on Normalized Reported Factors]]+FMS_Ranking4[[#This Row],[% NBS Score (Normalized)]]+(FMS_Ranking4[[#This Row],[Water Supply Score (Normalized)]]*10*$BB$5)+FMS_Ranking4[[#This Row],[FMS_Type Score Weighted]]</f>
        <v>28.827982817178807</v>
      </c>
      <c r="BN247" s="251">
        <f>_xlfn.RANK.EQ(FMS_Ranking4[[#This Row],[Total Score (with ArcSinh normalization of select criteria)]],FMS_Ranking4[Total Score (with ArcSinh normalization of select criteria)],0)</f>
        <v>240</v>
      </c>
      <c r="BO247" s="270" t="str">
        <f>_xlfn.XLOOKUP(FMS_Ranking4[[#This Row],[FMS ID]],FMS_Input[FMS_ID],FMS_Input[FMS_RANK_YEAR])</f>
        <v>2023 Amended Plan</v>
      </c>
      <c r="BP247" s="204">
        <f>_xlfn.XLOOKUP(FMS_Ranking4[[#This Row],[FMS ID]],Prev_Rank[FMS ID],Prev_Rank[Prev Rank])</f>
        <v>205</v>
      </c>
      <c r="BQ247" s="251" t="e">
        <f>_xlfn.XLOOKUP(FMS_Ranking4[[#This Row],[FMS ID]],#REF!,#REF!)</f>
        <v>#REF!</v>
      </c>
      <c r="BR247" s="199" t="e">
        <f>SUM(#REF!,#REF!,#REF!,#REF!,#REF!,#REF!,#REF!,#REF!,#REF!,FMS_Ranking4[[#This Row],[ArcSinh Res struct removed 0-10]],#REF!)</f>
        <v>#REF!</v>
      </c>
      <c r="BS247" s="199" t="e">
        <f>FMS_Ranking4[[#This Row],[Log Score Based on Normalized Reported Factors]]+FMS_Ranking4[[#This Row],[% NBS Score (Normalized)]]+(FMS_Ranking4[[#This Row],[Water Supply Score (Normalized)]]*10*$BB$5)+(FMS_Ranking4[[#This Row],[FMS_Type Score Weighted]])</f>
        <v>#REF!</v>
      </c>
      <c r="BT247" s="200" t="e">
        <f>_xlfn.RANK.EQ(FMS_Ranking4[[#This Row],[Log Total Score]],FMS_Ranking4[Log Total Score],0)</f>
        <v>#REF!</v>
      </c>
      <c r="BU247" s="200" t="e">
        <f>_xlfn.XLOOKUP(FMS_Ranking4[[#This Row],[FMS ID]],#REF!,#REF!)</f>
        <v>#REF!</v>
      </c>
      <c r="BV247" s="200">
        <f>FMS_Ranking4[[#This Row],[Region Number]]</f>
        <v>15</v>
      </c>
      <c r="BW247" s="200">
        <f>FMS_Ranking4[[#This Row],[Rank (with ArcSinh normalization of select criteria)]]-FMS_Ranking4[[#This Row],[Rank
(with linear
normalization)]]</f>
        <v>97</v>
      </c>
      <c r="BX247" s="200" t="e">
        <f>FMS_Ranking4[[#This Row],[Log Rank]]-FMS_Ranking4[[#This Row],[Rank
(with linear
normalization)]]</f>
        <v>#REF!</v>
      </c>
      <c r="BY247" s="200">
        <f>IF(FMS_Ranking4[[#This Row],[FMS Type]]="Flood Measurement and Warning",FMS_Ranking4[[#This Row],[Rank (with ArcSinh normalization of select criteria)]],"")</f>
        <v>240</v>
      </c>
      <c r="BZ247" s="200" t="str">
        <f>IF(FMS_Ranking4[[#This Row],[FMS Type]]="Regulatory and Guidance",FMS_Ranking4[[#This Row],[Rank (with ArcSinh normalization of select criteria)]],"")</f>
        <v/>
      </c>
      <c r="CA247" s="200" t="str">
        <f>IF(FMS_Ranking4[[#This Row],[FMS Type]]="Education and Outreach",FMS_Ranking4[[#This Row],[Rank (with ArcSinh normalization of select criteria)]],"")</f>
        <v/>
      </c>
      <c r="CB247" s="200" t="str">
        <f>IF(FMS_Ranking4[[#This Row],[FMS Type]]="Property Acquisition and Structural Elevation",FMS_Ranking4[[#This Row],[Rank (with ArcSinh normalization of select criteria)]],"")</f>
        <v/>
      </c>
      <c r="CC247" s="200" t="str">
        <f>IF(FMS_Ranking4[[#This Row],[FMS Type]]="Infrastructure Projects",FMS_Ranking4[[#This Row],[Rank (with ArcSinh normalization of select criteria)]],"")</f>
        <v/>
      </c>
      <c r="CD247" s="200" t="str">
        <f>IF(FMS_Ranking4[[#This Row],[FMS Type]]="Other",FMS_Ranking4[[#This Row],[Rank (with ArcSinh normalization of select criteria)]],"")</f>
        <v/>
      </c>
      <c r="CE247" s="201"/>
      <c r="CF247" s="206"/>
      <c r="CG247" s="206"/>
      <c r="CH247" s="206"/>
      <c r="CI247" s="206"/>
      <c r="CJ247" s="206"/>
      <c r="CK247" s="206"/>
      <c r="CL247" s="206"/>
      <c r="CM247" s="206"/>
      <c r="CN247" s="206"/>
      <c r="CO247" s="206"/>
      <c r="CP247" s="206"/>
      <c r="CQ247" s="206"/>
      <c r="CR247" s="206"/>
    </row>
    <row r="248" spans="2:96" ht="60" x14ac:dyDescent="0.25">
      <c r="B248" s="341" t="s">
        <v>2040</v>
      </c>
      <c r="C248" s="246">
        <f>_xlfn.XLOOKUP(FMS_Ranking4[[#This Row],[FMS ID]],FMS_Input[FMS_ID],FMS_Input[RFPG_NUM])</f>
        <v>3</v>
      </c>
      <c r="D248" s="309" t="str">
        <f>_xlfn.XLOOKUP(FMS_Ranking4[[#This Row],[FMS ID]],FMS_Input[FMS_ID],FMS_Input[FMS_NAME])</f>
        <v>Acquisition of Repetitive Loss Properties in the Deep River Plantation Subdivision</v>
      </c>
      <c r="E248" s="308" t="str">
        <f>_xlfn.XLOOKUP(FMS_Ranking4[[#This Row],[FMS ID]],FMS_Input[FMS_ID],FMS_Input[SPONSOR])</f>
        <v>Walker County</v>
      </c>
      <c r="F248" s="309" t="str">
        <f>_xlfn.XLOOKUP(FMS_Ranking4[[#This Row],[FMS ID]],Sponsor[FMS_ID],Sponsor[SPONSOR NAME])</f>
        <v>Walker County</v>
      </c>
      <c r="G248" s="309" t="str">
        <f>_xlfn.XLOOKUP(FMS_Ranking4[[#This Row],[FMS ID]],FMS_Input[FMS_ID],FMS_Input[FMS_DESCR])</f>
        <v>Acquire repetitive flood loss properties and properties prone to flooding in the Deep River Plantation Subdivision</v>
      </c>
      <c r="H248" s="248" t="str">
        <f>_xlfn.XLOOKUP(FMS_Ranking4[[#This Row],[FMS ID]],FMS_Input[FMS_ID],FMS_Input[FMS_TYPE])</f>
        <v>Property Acquisition and Structural Elevation</v>
      </c>
      <c r="I248" s="249">
        <f>_xlfn.XLOOKUP(FMS_Ranking4[[#This Row],[FMS ID]],FMS_Input[FMS_ID],FMS_Input[NRNC_COST])</f>
        <v>500000</v>
      </c>
      <c r="J248" s="250">
        <f>_xlfn.XLOOKUP(FMS_Ranking4[[#This Row],[FMS ID]],FMS_Input[FMS_ID],FMS_Input[FMS_COST])</f>
        <v>5000000</v>
      </c>
      <c r="K248" s="251" t="str">
        <f>_xlfn.XLOOKUP(FMS_Ranking4[[#This Row],[FMS ID]],FMS_Input[FMS_ID],FMS_Input[EMER_NEED])</f>
        <v>No</v>
      </c>
      <c r="L248" s="252">
        <f t="shared" si="3"/>
        <v>0</v>
      </c>
      <c r="M248" s="253">
        <f>_xlfn.XLOOKUP(FMS_Ranking4[[#This Row],[FMS ID]],FMS_Input[FMS_ID],FMS_Input[STRUCT_100])</f>
        <v>1654</v>
      </c>
      <c r="N248" s="255">
        <f>(ASINH(FMS_Ranking4[[#This Row],[Structure at Risk Raw]]))*(10)/(ASINH(M$4))</f>
        <v>6.3710285780569489</v>
      </c>
      <c r="O248" s="256">
        <f>FMS_Ranking4[[#This Row],[Structures at risk, ArcSinh (0-10)]]*M$5*10</f>
        <v>6.3710285780569498</v>
      </c>
      <c r="P248" s="253">
        <f>_xlfn.XLOOKUP(FMS_Ranking4[[#This Row],[FMS ID]],FMS_Input[FMS_ID],FMS_Input[RES_STRUCT100])</f>
        <v>1480</v>
      </c>
      <c r="Q248" s="257">
        <f>ASINH(FMS_Ranking4[[#This Row],[Res Structure Raw]])/Q$4*P$5*100</f>
        <v>0</v>
      </c>
      <c r="R248" s="253">
        <f>_xlfn.XLOOKUP(FMS_Ranking4[[#This Row],[FMS ID]],FMS_Input[FMS_ID],FMS_Input[POP100])</f>
        <v>2795</v>
      </c>
      <c r="S248" s="255">
        <f>(ASINH(FMS_Ranking4[[#This Row],[Pop at Risk Raw]]))*(10)/(ASINH(R$4))</f>
        <v>5.9569178401811422</v>
      </c>
      <c r="T248" s="256">
        <f>FMS_Ranking4[[#This Row],[Population at risk, ArcSinh (0-10)]]*R$5*10</f>
        <v>5.9569178401811431</v>
      </c>
      <c r="U248" s="253">
        <f>_xlfn.XLOOKUP(FMS_Ranking4[[#This Row],[FMS ID]],FMS_Input[FMS_ID],FMS_Input[CRITFAC100])</f>
        <v>11</v>
      </c>
      <c r="V248" s="255">
        <f>(ASINH(FMS_Ranking4[[#This Row],[Critical Facilities Raw]]))*(10)/(ASINH(U$4))</f>
        <v>3.661503455940549</v>
      </c>
      <c r="W248" s="256">
        <f>FMS_Ranking4[[#This Row],[Critical facilities at risk, ArcSinh (0-10)]]*U$5*10</f>
        <v>3.661503455940549</v>
      </c>
      <c r="X248" s="253">
        <f>_xlfn.XLOOKUP(FMS_Ranking4[[#This Row],[FMS ID]],FMS_Input[FMS_ID],FMS_Input[LWC])</f>
        <v>5</v>
      </c>
      <c r="Y248" s="255">
        <f>(ASINH(FMS_Ranking4[[#This Row],[LWC Raw]]))*(10)/(ASINH(X$4))</f>
        <v>3.1327475801820781</v>
      </c>
      <c r="Z248" s="256">
        <f>FMS_Ranking4[[#This Row],[LWC, ArcSInh (0-10)]]*X$5*10</f>
        <v>3.1327475801820781</v>
      </c>
      <c r="AA248" s="253">
        <f>_xlfn.XLOOKUP(FMS_Ranking4[[#This Row],[FMS ID]],FMS_Input[FMS_ID],FMS_Input[ROADCLS])</f>
        <v>0</v>
      </c>
      <c r="AB248" s="255">
        <f>(ASINH(FMS_Ranking4[[#This Row],[Road Closures Raw]]))*(10)/(ASINH(AA$4))</f>
        <v>0</v>
      </c>
      <c r="AC248" s="256">
        <f>FMS_Ranking4[[#This Row],[Road closures, ArcSinh (0-10)]]*AA$5*10</f>
        <v>0</v>
      </c>
      <c r="AD248" s="253">
        <f>_xlfn.XLOOKUP(FMS_Ranking4[[#This Row],[FMS ID]],FMS_Input[FMS_ID],FMS_Input[ROAD_MILES100])</f>
        <v>59</v>
      </c>
      <c r="AE248" s="255">
        <f>(ASINH(FMS_Ranking4[[#This Row],[Road Miles Raw]]))*(10)/(ASINH(AD$4))</f>
        <v>5.0843138091420288</v>
      </c>
      <c r="AF248" s="256">
        <f>FMS_Ranking4[[#This Row],[Length of roads at risk, ArcSinh (0-10)]]*AD$5*10</f>
        <v>5.0843138091420297</v>
      </c>
      <c r="AG248" s="253">
        <f>_xlfn.XLOOKUP(FMS_Ranking4[[#This Row],[FMS ID]],FMS_Input[FMS_ID],FMS_Input[FARMACRE100])</f>
        <v>28691.5</v>
      </c>
      <c r="AH248" s="255">
        <f>(ASINH(FMS_Ranking4[[#This Row],[Ag Land Raw]]))*(10)/(ASINH(AG$4))</f>
        <v>7.1177911400864655</v>
      </c>
      <c r="AI248" s="260">
        <f>FMS_Ranking4[[#This Row],[Farm &amp; ranch land, ArcSinh (0-10)]]*AG$5*10</f>
        <v>3.5588955700432328</v>
      </c>
      <c r="AJ248" s="258">
        <f>_xlfn.XLOOKUP(FMS_Ranking4[[#This Row],[FMS ID]],FMS_Input[FMS_ID],FMS_Input[REDSTRUCT100])</f>
        <v>0</v>
      </c>
      <c r="AK248" s="253">
        <f>_xlfn.XLOOKUP(FMS_Ranking4[[#This Row],[FMS ID]],FMS_Input[FMS_ID],FMS_Input[REMSTRC100])</f>
        <v>0</v>
      </c>
      <c r="AL248" s="255">
        <f>(ASINH(FMS_Ranking4[[#This Row],[Structures Removed Raw]]))*(10)/(ASINH(AK$4))</f>
        <v>0</v>
      </c>
      <c r="AM248" s="262">
        <f>FMS_Ranking4[[#This Row],[Structures removed, ArcSinh (0-10)]]*AK$5*10</f>
        <v>0</v>
      </c>
      <c r="AN248" s="253">
        <f>_xlfn.XLOOKUP(FMS_Ranking4[[#This Row],[FMS ID]],FMS_Input[FMS_ID],FMS_Input[REMRESSTRC100])</f>
        <v>0</v>
      </c>
      <c r="AO248" s="261">
        <f>FMS_Ranking4[[#This Row],[ArcSinh Res struct removed 0-10]]*AN$5*10</f>
        <v>0</v>
      </c>
      <c r="AP248" s="260">
        <f>ASINH(FMS_Ranking4[[#This Row],[Residential Structures Removed Raw]])/AP$4*AN$5*100</f>
        <v>0</v>
      </c>
      <c r="AQ248" s="258">
        <f>(ASINH(FMS_Ranking4[[#This Row],[Residential Structures Removed Raw]]))*(10)/(ASINH(AN$4))</f>
        <v>0</v>
      </c>
      <c r="AR248" s="253">
        <f>_xlfn.XLOOKUP(FMS_Ranking4[[#This Row],[FMS ID]],FMS_Input[FMS_ID],FMS_Input[REMPOP100])</f>
        <v>0</v>
      </c>
      <c r="AS248" s="255">
        <f>(ASINH(FMS_Ranking4[[#This Row],[Removed Pop Raw]]))*(10)/(ASINH(AR$4))</f>
        <v>0</v>
      </c>
      <c r="AT248" s="262">
        <f>FMS_Ranking4[[#This Row],[Removed population, ArcSinh (0-10)]]*AR$5*10</f>
        <v>0</v>
      </c>
      <c r="AU248" s="264">
        <f>_xlfn.XLOOKUP(FMS_Ranking4[[#This Row],[FMS ID]],FMS_Input[FMS_ID],FMS_Input[REMCRITFAC100])</f>
        <v>0</v>
      </c>
      <c r="AV248" s="264">
        <f>_xlfn.XLOOKUP(FMS_Ranking4[[#This Row],[FMS ID]],FMS_Input[FMS_ID],FMS_Input[REMLWC100])</f>
        <v>0</v>
      </c>
      <c r="AW248" s="264">
        <f>_xlfn.XLOOKUP(FMS_Ranking4[[#This Row],[FMS ID]],FMS_Input[FMS_ID],FMS_Input[REMROADCLS])</f>
        <v>0</v>
      </c>
      <c r="AX248" s="264">
        <f>_xlfn.XLOOKUP(FMS_Ranking4[[#This Row],[FMS ID]],FMS_Input[FMS_ID],FMS_Input[REMFRMACRE100])</f>
        <v>0</v>
      </c>
      <c r="AY248" s="258">
        <f>_xlfn.XLOOKUP(FMS_Ranking4[[#This Row],[FMS ID]],FMS_Input[FMS_ID],FMS_Input[COSTSTRUCT])</f>
        <v>0</v>
      </c>
      <c r="AZ248" s="253">
        <f>_xlfn.XLOOKUP(FMS_Ranking4[[#This Row],[FMS ID]],FMS_Input[FMS_ID],FMS_Input[NATURE])</f>
        <v>0</v>
      </c>
      <c r="BA248" s="262">
        <f>(((FMS_Ranking4[[#This Row],[% NBS Raw]]/AZ$4)*100)*AZ$5)</f>
        <v>0</v>
      </c>
      <c r="BB248" s="251" t="str">
        <f>_xlfn.XLOOKUP(FMS_Ranking4[[#This Row],[FMS ID]],FMS_Input[FMS_ID],FMS_Input[WATER_SUP])</f>
        <v>No</v>
      </c>
      <c r="BC248" s="265">
        <f>IF(FMS_Ranking4[[#This Row],[Water Supply Raw]]="Yes",10,0)</f>
        <v>0</v>
      </c>
      <c r="BD248" s="266">
        <f>_xlfn.XLOOKUP(FMS_Ranking4[[#This Row],[FMS Type]],FMS_TYPE[FMS_Type],FMS_TYPE[Score])</f>
        <v>4</v>
      </c>
      <c r="BE248" s="267">
        <f>FMS_Ranking4[[#This Row],[FMS_Type Score]]*$BD$5*10</f>
        <v>1</v>
      </c>
      <c r="BF24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0.39537320337584902</v>
      </c>
      <c r="BG248" s="321">
        <f>_xlfn.RANK.EQ(BF248,$BF$8:$BF$870,0)+COUNTIF($BF$8:BF248,BF248)-1</f>
        <v>260</v>
      </c>
      <c r="BH248" s="294">
        <f>(((FMS_Ranking4[[#This Row],[Structures Removed Raw]]/AK$4)*100)*AK$5)+(((FMS_Ranking4[[#This Row],[Removed Pop Raw]]/AR$4)*100)*AR$5)</f>
        <v>0</v>
      </c>
      <c r="BI24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1.395373203375849</v>
      </c>
      <c r="BJ248" s="251">
        <f>_xlfn.RANK.EQ(FMS_Ranking4[[#This Row],[Total Score 
(with linear
normalization)]],FMS_Ranking4[Total Score 
(with linear
normalization)],0)</f>
        <v>622</v>
      </c>
      <c r="BK248" s="251" t="e">
        <f>_xlfn.XLOOKUP(FMS_Ranking4[[#This Row],[FMS ID]],#REF!,#REF!)</f>
        <v>#REF!</v>
      </c>
      <c r="BL24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27.765406833545981</v>
      </c>
      <c r="BM248" s="324">
        <f>FMS_Ranking4[[#This Row],[ArcSinh Score Based on Normalized Reported Factors]]+FMS_Ranking4[[#This Row],[% NBS Score (Normalized)]]+(FMS_Ranking4[[#This Row],[Water Supply Score (Normalized)]]*10*$BB$5)+FMS_Ranking4[[#This Row],[FMS_Type Score Weighted]]</f>
        <v>28.765406833545981</v>
      </c>
      <c r="BN248" s="251">
        <f>_xlfn.RANK.EQ(FMS_Ranking4[[#This Row],[Total Score (with ArcSinh normalization of select criteria)]],FMS_Ranking4[Total Score (with ArcSinh normalization of select criteria)],0)</f>
        <v>241</v>
      </c>
      <c r="BO248" s="270" t="str">
        <f>_xlfn.XLOOKUP(FMS_Ranking4[[#This Row],[FMS ID]],FMS_Input[FMS_ID],FMS_Input[FMS_RANK_YEAR])</f>
        <v>2023 Amended Plan</v>
      </c>
      <c r="BP248" s="204">
        <f>_xlfn.XLOOKUP(FMS_Ranking4[[#This Row],[FMS ID]],Prev_Rank[FMS ID],Prev_Rank[Prev Rank])</f>
        <v>204</v>
      </c>
      <c r="BQ248" s="251" t="e">
        <f>_xlfn.XLOOKUP(FMS_Ranking4[[#This Row],[FMS ID]],#REF!,#REF!)</f>
        <v>#REF!</v>
      </c>
      <c r="BR248" s="199" t="e">
        <f>SUM(#REF!,#REF!,#REF!,#REF!,#REF!,#REF!,#REF!,#REF!,#REF!,FMS_Ranking4[[#This Row],[ArcSinh Res struct removed 0-10]],#REF!)</f>
        <v>#REF!</v>
      </c>
      <c r="BS248" s="199" t="e">
        <f>FMS_Ranking4[[#This Row],[Log Score Based on Normalized Reported Factors]]+FMS_Ranking4[[#This Row],[% NBS Score (Normalized)]]+(FMS_Ranking4[[#This Row],[Water Supply Score (Normalized)]]*10*$BB$5)+(FMS_Ranking4[[#This Row],[FMS_Type Score Weighted]])</f>
        <v>#REF!</v>
      </c>
      <c r="BT248" s="200" t="e">
        <f>_xlfn.RANK.EQ(FMS_Ranking4[[#This Row],[Log Total Score]],FMS_Ranking4[Log Total Score],0)</f>
        <v>#REF!</v>
      </c>
      <c r="BU248" s="200" t="e">
        <f>_xlfn.XLOOKUP(FMS_Ranking4[[#This Row],[FMS ID]],#REF!,#REF!)</f>
        <v>#REF!</v>
      </c>
      <c r="BV248" s="200">
        <f>FMS_Ranking4[[#This Row],[Region Number]]</f>
        <v>3</v>
      </c>
      <c r="BW248" s="200">
        <f>FMS_Ranking4[[#This Row],[Rank (with ArcSinh normalization of select criteria)]]-FMS_Ranking4[[#This Row],[Rank
(with linear
normalization)]]</f>
        <v>-381</v>
      </c>
      <c r="BX248" s="200" t="e">
        <f>FMS_Ranking4[[#This Row],[Log Rank]]-FMS_Ranking4[[#This Row],[Rank
(with linear
normalization)]]</f>
        <v>#REF!</v>
      </c>
      <c r="BY248" s="200" t="str">
        <f>IF(FMS_Ranking4[[#This Row],[FMS Type]]="Flood Measurement and Warning",FMS_Ranking4[[#This Row],[Rank (with ArcSinh normalization of select criteria)]],"")</f>
        <v/>
      </c>
      <c r="BZ248" s="200" t="str">
        <f>IF(FMS_Ranking4[[#This Row],[FMS Type]]="Regulatory and Guidance",FMS_Ranking4[[#This Row],[Rank (with ArcSinh normalization of select criteria)]],"")</f>
        <v/>
      </c>
      <c r="CA248" s="200" t="str">
        <f>IF(FMS_Ranking4[[#This Row],[FMS Type]]="Education and Outreach",FMS_Ranking4[[#This Row],[Rank (with ArcSinh normalization of select criteria)]],"")</f>
        <v/>
      </c>
      <c r="CB248" s="200">
        <f>IF(FMS_Ranking4[[#This Row],[FMS Type]]="Property Acquisition and Structural Elevation",FMS_Ranking4[[#This Row],[Rank (with ArcSinh normalization of select criteria)]],"")</f>
        <v>241</v>
      </c>
      <c r="CC248" s="200" t="str">
        <f>IF(FMS_Ranking4[[#This Row],[FMS Type]]="Infrastructure Projects",FMS_Ranking4[[#This Row],[Rank (with ArcSinh normalization of select criteria)]],"")</f>
        <v/>
      </c>
      <c r="CD248" s="200" t="str">
        <f>IF(FMS_Ranking4[[#This Row],[FMS Type]]="Other",FMS_Ranking4[[#This Row],[Rank (with ArcSinh normalization of select criteria)]],"")</f>
        <v/>
      </c>
      <c r="CE248" s="201"/>
      <c r="CF248" s="206"/>
      <c r="CG248" s="206"/>
      <c r="CH248" s="206"/>
      <c r="CI248" s="206"/>
      <c r="CJ248" s="206"/>
      <c r="CK248" s="206"/>
      <c r="CL248" s="206"/>
      <c r="CM248" s="206"/>
      <c r="CN248" s="206"/>
      <c r="CO248" s="206"/>
      <c r="CP248" s="206"/>
      <c r="CQ248" s="206"/>
      <c r="CR248" s="206"/>
    </row>
    <row r="249" spans="2:96" ht="75" x14ac:dyDescent="0.25">
      <c r="B249" s="341" t="s">
        <v>3007</v>
      </c>
      <c r="C249" s="246">
        <f>_xlfn.XLOOKUP(FMS_Ranking4[[#This Row],[FMS ID]],FMS_Input[FMS_ID],FMS_Input[RFPG_NUM])</f>
        <v>7</v>
      </c>
      <c r="D249" s="309" t="str">
        <f>_xlfn.XLOOKUP(FMS_Ranking4[[#This Row],[FMS ID]],FMS_Input[FMS_ID],FMS_Input[FMS_NAME])</f>
        <v>Haskell County NFIP Cross Train Program</v>
      </c>
      <c r="E249" s="308" t="str">
        <f>_xlfn.XLOOKUP(FMS_Ranking4[[#This Row],[FMS ID]],FMS_Input[FMS_ID],FMS_Input[SPONSOR])</f>
        <v>07000180</v>
      </c>
      <c r="F249" s="309" t="str">
        <f>_xlfn.XLOOKUP(FMS_Ranking4[[#This Row],[FMS ID]],Sponsor[FMS_ID],Sponsor[SPONSOR NAME])</f>
        <v>Haskell</v>
      </c>
      <c r="G249" s="309" t="str">
        <f>_xlfn.XLOOKUP(FMS_Ranking4[[#This Row],[FMS ID]],FMS_Input[FMS_ID],FMS_Input[FMS_DESCR])</f>
        <v>Cross-train Code Officers and Building Inspectors regarding permitting, inspection, and record-keeping requirements of the NFIP Program.</v>
      </c>
      <c r="H249" s="248" t="str">
        <f>_xlfn.XLOOKUP(FMS_Ranking4[[#This Row],[FMS ID]],FMS_Input[FMS_ID],FMS_Input[FMS_TYPE])</f>
        <v>Regulatory and Guidance</v>
      </c>
      <c r="I249" s="249">
        <f>_xlfn.XLOOKUP(FMS_Ranking4[[#This Row],[FMS ID]],FMS_Input[FMS_ID],FMS_Input[NRNC_COST])</f>
        <v>25000</v>
      </c>
      <c r="J249" s="250">
        <f>_xlfn.XLOOKUP(FMS_Ranking4[[#This Row],[FMS ID]],FMS_Input[FMS_ID],FMS_Input[FMS_COST])</f>
        <v>25000</v>
      </c>
      <c r="K249" s="251" t="str">
        <f>_xlfn.XLOOKUP(FMS_Ranking4[[#This Row],[FMS ID]],FMS_Input[FMS_ID],FMS_Input[EMER_NEED])</f>
        <v>No</v>
      </c>
      <c r="L249" s="252">
        <f t="shared" si="3"/>
        <v>0</v>
      </c>
      <c r="M249" s="253">
        <f>_xlfn.XLOOKUP(FMS_Ranking4[[#This Row],[FMS ID]],FMS_Input[FMS_ID],FMS_Input[STRUCT_100])</f>
        <v>788</v>
      </c>
      <c r="N249" s="255">
        <f>(ASINH(FMS_Ranking4[[#This Row],[Structure at Risk Raw]]))*(10)/(ASINH(M$4))</f>
        <v>5.7881357494615626</v>
      </c>
      <c r="O249" s="256">
        <f>FMS_Ranking4[[#This Row],[Structures at risk, ArcSinh (0-10)]]*M$5*10</f>
        <v>5.7881357494615626</v>
      </c>
      <c r="P249" s="253">
        <f>_xlfn.XLOOKUP(FMS_Ranking4[[#This Row],[FMS ID]],FMS_Input[FMS_ID],FMS_Input[RES_STRUCT100])</f>
        <v>294</v>
      </c>
      <c r="Q249" s="257">
        <f>ASINH(FMS_Ranking4[[#This Row],[Res Structure Raw]])/Q$4*P$5*100</f>
        <v>0</v>
      </c>
      <c r="R249" s="253">
        <f>_xlfn.XLOOKUP(FMS_Ranking4[[#This Row],[FMS ID]],FMS_Input[FMS_ID],FMS_Input[POP100])</f>
        <v>708</v>
      </c>
      <c r="S249" s="259">
        <f>(ASINH(FMS_Ranking4[[#This Row],[Pop at Risk Raw]]))*(10)/(ASINH(R$4))</f>
        <v>5.0089574064395883</v>
      </c>
      <c r="T249" s="256">
        <f>FMS_Ranking4[[#This Row],[Population at risk, ArcSinh (0-10)]]*R$5*10</f>
        <v>5.0089574064395883</v>
      </c>
      <c r="U249" s="253">
        <f>_xlfn.XLOOKUP(FMS_Ranking4[[#This Row],[FMS ID]],FMS_Input[FMS_ID],FMS_Input[CRITFAC100])</f>
        <v>1</v>
      </c>
      <c r="V249" s="259">
        <f>(ASINH(FMS_Ranking4[[#This Row],[Critical Facilities Raw]]))*(10)/(ASINH(U$4))</f>
        <v>1.0433384451410745</v>
      </c>
      <c r="W249" s="256">
        <f>FMS_Ranking4[[#This Row],[Critical facilities at risk, ArcSinh (0-10)]]*U$5*10</f>
        <v>1.0433384451410745</v>
      </c>
      <c r="X249" s="253">
        <f>_xlfn.XLOOKUP(FMS_Ranking4[[#This Row],[FMS ID]],FMS_Input[FMS_ID],FMS_Input[LWC])</f>
        <v>15</v>
      </c>
      <c r="Y249" s="259">
        <f>(ASINH(FMS_Ranking4[[#This Row],[LWC Raw]]))*(10)/(ASINH(X$4))</f>
        <v>4.6092333449203755</v>
      </c>
      <c r="Z249" s="256">
        <f>FMS_Ranking4[[#This Row],[LWC, ArcSInh (0-10)]]*X$5*10</f>
        <v>4.6092333449203764</v>
      </c>
      <c r="AA249" s="253">
        <f>_xlfn.XLOOKUP(FMS_Ranking4[[#This Row],[FMS ID]],FMS_Input[FMS_ID],FMS_Input[ROADCLS])</f>
        <v>0</v>
      </c>
      <c r="AB249" s="255">
        <f>(ASINH(FMS_Ranking4[[#This Row],[Road Closures Raw]]))*(10)/(ASINH(AA$4))</f>
        <v>0</v>
      </c>
      <c r="AC249" s="256">
        <f>FMS_Ranking4[[#This Row],[Road closures, ArcSinh (0-10)]]*AA$5*10</f>
        <v>0</v>
      </c>
      <c r="AD249" s="253">
        <f>_xlfn.XLOOKUP(FMS_Ranking4[[#This Row],[FMS ID]],FMS_Input[FMS_ID],FMS_Input[ROAD_MILES100])</f>
        <v>226</v>
      </c>
      <c r="AE249" s="259">
        <f>(ASINH(FMS_Ranking4[[#This Row],[Road Miles Raw]]))*(10)/(ASINH(AD$4))</f>
        <v>6.5155083978497501</v>
      </c>
      <c r="AF249" s="256">
        <f>FMS_Ranking4[[#This Row],[Length of roads at risk, ArcSinh (0-10)]]*AD$5*10</f>
        <v>6.515508397849751</v>
      </c>
      <c r="AG249" s="253">
        <f>_xlfn.XLOOKUP(FMS_Ranking4[[#This Row],[FMS ID]],FMS_Input[FMS_ID],FMS_Input[FARMACRE100])</f>
        <v>59647.609375</v>
      </c>
      <c r="AH249" s="255">
        <f>(ASINH(FMS_Ranking4[[#This Row],[Ag Land Raw]]))*(10)/(ASINH(AG$4))</f>
        <v>7.5931893899909522</v>
      </c>
      <c r="AI249" s="260">
        <f>FMS_Ranking4[[#This Row],[Farm &amp; ranch land, ArcSinh (0-10)]]*AG$5*10</f>
        <v>3.7965946949954765</v>
      </c>
      <c r="AJ249" s="258">
        <f>_xlfn.XLOOKUP(FMS_Ranking4[[#This Row],[FMS ID]],FMS_Input[FMS_ID],FMS_Input[REDSTRUCT100])</f>
        <v>0</v>
      </c>
      <c r="AK249" s="253">
        <f>_xlfn.XLOOKUP(FMS_Ranking4[[#This Row],[FMS ID]],FMS_Input[FMS_ID],FMS_Input[REMSTRC100])</f>
        <v>0</v>
      </c>
      <c r="AL249" s="259">
        <f>(ASINH(FMS_Ranking4[[#This Row],[Structures Removed Raw]]))*(10)/(ASINH(AK$4))</f>
        <v>0</v>
      </c>
      <c r="AM249" s="262">
        <f>FMS_Ranking4[[#This Row],[Structures removed, ArcSinh (0-10)]]*AK$5*10</f>
        <v>0</v>
      </c>
      <c r="AN249" s="253">
        <f>_xlfn.XLOOKUP(FMS_Ranking4[[#This Row],[FMS ID]],FMS_Input[FMS_ID],FMS_Input[REMRESSTRC100])</f>
        <v>0</v>
      </c>
      <c r="AO249" s="261">
        <f>FMS_Ranking4[[#This Row],[ArcSinh Res struct removed 0-10]]*AN$5*10</f>
        <v>0</v>
      </c>
      <c r="AP249" s="260">
        <f>ASINH(FMS_Ranking4[[#This Row],[Residential Structures Removed Raw]])/AP$4*AN$5*100</f>
        <v>0</v>
      </c>
      <c r="AQ249" s="254">
        <f>(ASINH(FMS_Ranking4[[#This Row],[Residential Structures Removed Raw]]))*(10)/(ASINH(AN$4))</f>
        <v>0</v>
      </c>
      <c r="AR249" s="253">
        <f>_xlfn.XLOOKUP(FMS_Ranking4[[#This Row],[FMS ID]],FMS_Input[FMS_ID],FMS_Input[REMPOP100])</f>
        <v>0</v>
      </c>
      <c r="AS249" s="259">
        <f>(ASINH(FMS_Ranking4[[#This Row],[Removed Pop Raw]]))*(10)/(ASINH(AR$4))</f>
        <v>0</v>
      </c>
      <c r="AT249" s="262">
        <f>FMS_Ranking4[[#This Row],[Removed population, ArcSinh (0-10)]]*AR$5*10</f>
        <v>0</v>
      </c>
      <c r="AU249" s="264">
        <f>_xlfn.XLOOKUP(FMS_Ranking4[[#This Row],[FMS ID]],FMS_Input[FMS_ID],FMS_Input[REMCRITFAC100])</f>
        <v>0</v>
      </c>
      <c r="AV249" s="264">
        <f>_xlfn.XLOOKUP(FMS_Ranking4[[#This Row],[FMS ID]],FMS_Input[FMS_ID],FMS_Input[REMLWC100])</f>
        <v>0</v>
      </c>
      <c r="AW249" s="264">
        <f>_xlfn.XLOOKUP(FMS_Ranking4[[#This Row],[FMS ID]],FMS_Input[FMS_ID],FMS_Input[REMROADCLS])</f>
        <v>0</v>
      </c>
      <c r="AX249" s="264">
        <f>_xlfn.XLOOKUP(FMS_Ranking4[[#This Row],[FMS ID]],FMS_Input[FMS_ID],FMS_Input[REMFRMACRE100])</f>
        <v>0</v>
      </c>
      <c r="AY249" s="258">
        <f>_xlfn.XLOOKUP(FMS_Ranking4[[#This Row],[FMS ID]],FMS_Input[FMS_ID],FMS_Input[COSTSTRUCT])</f>
        <v>0</v>
      </c>
      <c r="AZ249" s="253">
        <f>_xlfn.XLOOKUP(FMS_Ranking4[[#This Row],[FMS ID]],FMS_Input[FMS_ID],FMS_Input[NATURE])</f>
        <v>0</v>
      </c>
      <c r="BA249" s="262">
        <f>(((FMS_Ranking4[[#This Row],[% NBS Raw]]/AZ$4)*100)*AZ$5)</f>
        <v>0</v>
      </c>
      <c r="BB249" s="251" t="str">
        <f>_xlfn.XLOOKUP(FMS_Ranking4[[#This Row],[FMS ID]],FMS_Input[FMS_ID],FMS_Input[WATER_SUP])</f>
        <v>No</v>
      </c>
      <c r="BC249" s="265">
        <f>IF(FMS_Ranking4[[#This Row],[Water Supply Raw]]="Yes",10,0)</f>
        <v>0</v>
      </c>
      <c r="BD249" s="266">
        <f>_xlfn.XLOOKUP(FMS_Ranking4[[#This Row],[FMS Type]],FMS_TYPE[FMS_Type],FMS_TYPE[Score])</f>
        <v>8</v>
      </c>
      <c r="BE249" s="267">
        <f>FMS_Ranking4[[#This Row],[FMS_Type Score]]*$BD$5*10</f>
        <v>2</v>
      </c>
      <c r="BF24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0.74865325334044497</v>
      </c>
      <c r="BG249" s="271">
        <f>_xlfn.RANK.EQ(BF249,$BF$8:$BF$870,0)+COUNTIF($BF$8:BF249,BF249)-1</f>
        <v>179</v>
      </c>
      <c r="BH249" s="268">
        <f>(((FMS_Ranking4[[#This Row],[Structures Removed Raw]]/AK$4)*100)*AK$5)+(((FMS_Ranking4[[#This Row],[Removed Pop Raw]]/AR$4)*100)*AR$5)</f>
        <v>0</v>
      </c>
      <c r="BI24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2.7486532533404451</v>
      </c>
      <c r="BJ249" s="205">
        <f>_xlfn.RANK.EQ(FMS_Ranking4[[#This Row],[Total Score 
(with linear
normalization)]],FMS_Ranking4[Total Score 
(with linear
normalization)],0)</f>
        <v>200</v>
      </c>
      <c r="BK249" s="205" t="e">
        <f>_xlfn.XLOOKUP(FMS_Ranking4[[#This Row],[FMS ID]],#REF!,#REF!)</f>
        <v>#REF!</v>
      </c>
      <c r="BL24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26.76176803880783</v>
      </c>
      <c r="BM249" s="272">
        <f>FMS_Ranking4[[#This Row],[ArcSinh Score Based on Normalized Reported Factors]]+FMS_Ranking4[[#This Row],[% NBS Score (Normalized)]]+(FMS_Ranking4[[#This Row],[Water Supply Score (Normalized)]]*10*$BB$5)+FMS_Ranking4[[#This Row],[FMS_Type Score Weighted]]</f>
        <v>28.76176803880783</v>
      </c>
      <c r="BN249" s="205">
        <f>_xlfn.RANK.EQ(FMS_Ranking4[[#This Row],[Total Score (with ArcSinh normalization of select criteria)]],FMS_Ranking4[Total Score (with ArcSinh normalization of select criteria)],0)</f>
        <v>242</v>
      </c>
      <c r="BO249" s="270" t="str">
        <f>_xlfn.XLOOKUP(FMS_Ranking4[[#This Row],[FMS ID]],FMS_Input[FMS_ID],FMS_Input[FMS_RANK_YEAR])</f>
        <v>2023 Amended Plan</v>
      </c>
      <c r="BP249" s="204">
        <f>_xlfn.XLOOKUP(FMS_Ranking4[[#This Row],[FMS ID]],Prev_Rank[FMS ID],Prev_Rank[Prev Rank])</f>
        <v>214</v>
      </c>
      <c r="BQ249" s="205" t="e">
        <f>_xlfn.XLOOKUP(FMS_Ranking4[[#This Row],[FMS ID]],#REF!,#REF!)</f>
        <v>#REF!</v>
      </c>
      <c r="BR249" s="199" t="e">
        <f>SUM(#REF!,#REF!,#REF!,#REF!,#REF!,#REF!,#REF!,#REF!,#REF!,FMS_Ranking4[[#This Row],[ArcSinh Res struct removed 0-10]],#REF!)</f>
        <v>#REF!</v>
      </c>
      <c r="BS249" s="199" t="e">
        <f>FMS_Ranking4[[#This Row],[Log Score Based on Normalized Reported Factors]]+FMS_Ranking4[[#This Row],[% NBS Score (Normalized)]]+(FMS_Ranking4[[#This Row],[Water Supply Score (Normalized)]]*10*$BB$5)+(FMS_Ranking4[[#This Row],[FMS_Type Score Weighted]])</f>
        <v>#REF!</v>
      </c>
      <c r="BT249" s="200" t="e">
        <f>_xlfn.RANK.EQ(FMS_Ranking4[[#This Row],[Log Total Score]],FMS_Ranking4[Log Total Score],0)</f>
        <v>#REF!</v>
      </c>
      <c r="BU249" s="200" t="e">
        <f>_xlfn.XLOOKUP(FMS_Ranking4[[#This Row],[FMS ID]],#REF!,#REF!)</f>
        <v>#REF!</v>
      </c>
      <c r="BV249" s="200">
        <f>FMS_Ranking4[[#This Row],[Region Number]]</f>
        <v>7</v>
      </c>
      <c r="BW249" s="200">
        <f>FMS_Ranking4[[#This Row],[Rank (with ArcSinh normalization of select criteria)]]-FMS_Ranking4[[#This Row],[Rank
(with linear
normalization)]]</f>
        <v>42</v>
      </c>
      <c r="BX249" s="200" t="e">
        <f>FMS_Ranking4[[#This Row],[Log Rank]]-FMS_Ranking4[[#This Row],[Rank
(with linear
normalization)]]</f>
        <v>#REF!</v>
      </c>
      <c r="BY249" s="200" t="str">
        <f>IF(FMS_Ranking4[[#This Row],[FMS Type]]="Flood Measurement and Warning",FMS_Ranking4[[#This Row],[Rank (with ArcSinh normalization of select criteria)]],"")</f>
        <v/>
      </c>
      <c r="BZ249" s="200">
        <f>IF(FMS_Ranking4[[#This Row],[FMS Type]]="Regulatory and Guidance",FMS_Ranking4[[#This Row],[Rank (with ArcSinh normalization of select criteria)]],"")</f>
        <v>242</v>
      </c>
      <c r="CA249" s="200" t="str">
        <f>IF(FMS_Ranking4[[#This Row],[FMS Type]]="Education and Outreach",FMS_Ranking4[[#This Row],[Rank (with ArcSinh normalization of select criteria)]],"")</f>
        <v/>
      </c>
      <c r="CB249" s="200" t="str">
        <f>IF(FMS_Ranking4[[#This Row],[FMS Type]]="Property Acquisition and Structural Elevation",FMS_Ranking4[[#This Row],[Rank (with ArcSinh normalization of select criteria)]],"")</f>
        <v/>
      </c>
      <c r="CC249" s="200" t="str">
        <f>IF(FMS_Ranking4[[#This Row],[FMS Type]]="Infrastructure Projects",FMS_Ranking4[[#This Row],[Rank (with ArcSinh normalization of select criteria)]],"")</f>
        <v/>
      </c>
      <c r="CD249" s="200" t="str">
        <f>IF(FMS_Ranking4[[#This Row],[FMS Type]]="Other",FMS_Ranking4[[#This Row],[Rank (with ArcSinh normalization of select criteria)]],"")</f>
        <v/>
      </c>
      <c r="CE249" s="201"/>
      <c r="CF249" s="206"/>
      <c r="CG249" s="206"/>
      <c r="CH249" s="206"/>
      <c r="CI249" s="206"/>
      <c r="CJ249" s="206"/>
      <c r="CK249" s="206"/>
      <c r="CL249" s="206"/>
      <c r="CM249" s="206"/>
      <c r="CN249" s="206"/>
      <c r="CO249" s="206"/>
      <c r="CP249" s="206"/>
      <c r="CQ249" s="206"/>
      <c r="CR249" s="206"/>
    </row>
    <row r="250" spans="2:96" ht="105" x14ac:dyDescent="0.25">
      <c r="B250" s="341" t="s">
        <v>11962</v>
      </c>
      <c r="C250" s="246">
        <f>_xlfn.XLOOKUP(FMS_Ranking4[[#This Row],[FMS ID]],FMS_Input[FMS_ID],FMS_Input[RFPG_NUM])</f>
        <v>15</v>
      </c>
      <c r="D250" s="309" t="str">
        <f>_xlfn.XLOOKUP(FMS_Ranking4[[#This Row],[FMS ID]],FMS_Input[FMS_ID],FMS_Input[FMS_NAME])</f>
        <v>City of San Benito</v>
      </c>
      <c r="E250" s="308" t="str">
        <f>_xlfn.XLOOKUP(FMS_Ranking4[[#This Row],[FMS ID]],FMS_Input[FMS_ID],FMS_Input[SPONSOR])</f>
        <v>15000073</v>
      </c>
      <c r="F250" s="309" t="str">
        <f>_xlfn.XLOOKUP(FMS_Ranking4[[#This Row],[FMS ID]],Sponsor[FMS_ID],Sponsor[SPONSOR NAME])</f>
        <v>San Benito</v>
      </c>
      <c r="G250" s="309" t="str">
        <f>_xlfn.XLOOKUP(FMS_Ranking4[[#This Row],[FMS ID]],FMS_Input[FMS_ID],FMS_Input[FMS_DESCR])</f>
        <v>FMS 2 - Assessment, development, and updating of the City's ordinances, orders, policies, engineering specifications, guidance documents and other flood management tools.</v>
      </c>
      <c r="H250" s="248" t="str">
        <f>_xlfn.XLOOKUP(FMS_Ranking4[[#This Row],[FMS ID]],FMS_Input[FMS_ID],FMS_Input[FMS_TYPE])</f>
        <v>Regulatory and Guidance</v>
      </c>
      <c r="I250" s="249">
        <f>_xlfn.XLOOKUP(FMS_Ranking4[[#This Row],[FMS ID]],FMS_Input[FMS_ID],FMS_Input[NRNC_COST])</f>
        <v>500000</v>
      </c>
      <c r="J250" s="250">
        <f>_xlfn.XLOOKUP(FMS_Ranking4[[#This Row],[FMS ID]],FMS_Input[FMS_ID],FMS_Input[FMS_COST])</f>
        <v>500000</v>
      </c>
      <c r="K250" s="251" t="str">
        <f>_xlfn.XLOOKUP(FMS_Ranking4[[#This Row],[FMS ID]],FMS_Input[FMS_ID],FMS_Input[EMER_NEED])</f>
        <v>Yes</v>
      </c>
      <c r="L250" s="252">
        <f t="shared" si="3"/>
        <v>1</v>
      </c>
      <c r="M250" s="253">
        <f>_xlfn.XLOOKUP(FMS_Ranking4[[#This Row],[FMS ID]],FMS_Input[FMS_ID],FMS_Input[STRUCT_100])</f>
        <v>2409</v>
      </c>
      <c r="N250" s="255">
        <f>(ASINH(FMS_Ranking4[[#This Row],[Structure at Risk Raw]]))*(10)/(ASINH(M$4))</f>
        <v>6.6666324161563679</v>
      </c>
      <c r="O250" s="256">
        <f>FMS_Ranking4[[#This Row],[Structures at risk, ArcSinh (0-10)]]*M$5*10</f>
        <v>6.6666324161563679</v>
      </c>
      <c r="P250" s="253">
        <f>_xlfn.XLOOKUP(FMS_Ranking4[[#This Row],[FMS ID]],FMS_Input[FMS_ID],FMS_Input[RES_STRUCT100])</f>
        <v>2009</v>
      </c>
      <c r="Q250" s="257">
        <f>ASINH(FMS_Ranking4[[#This Row],[Res Structure Raw]])/Q$4*P$5*100</f>
        <v>0</v>
      </c>
      <c r="R250" s="253">
        <f>_xlfn.XLOOKUP(FMS_Ranking4[[#This Row],[FMS ID]],FMS_Input[FMS_ID],FMS_Input[POP100])</f>
        <v>6785</v>
      </c>
      <c r="S250" s="259">
        <f>(ASINH(FMS_Ranking4[[#This Row],[Pop at Risk Raw]]))*(10)/(ASINH(R$4))</f>
        <v>6.5691842277485302</v>
      </c>
      <c r="T250" s="256">
        <f>FMS_Ranking4[[#This Row],[Population at risk, ArcSinh (0-10)]]*R$5*10</f>
        <v>6.5691842277485302</v>
      </c>
      <c r="U250" s="253">
        <f>_xlfn.XLOOKUP(FMS_Ranking4[[#This Row],[FMS ID]],FMS_Input[FMS_ID],FMS_Input[CRITFAC100])</f>
        <v>26</v>
      </c>
      <c r="V250" s="259">
        <f>(ASINH(FMS_Ranking4[[#This Row],[Critical Facilities Raw]]))*(10)/(ASINH(U$4))</f>
        <v>4.6777781573969257</v>
      </c>
      <c r="W250" s="256">
        <f>FMS_Ranking4[[#This Row],[Critical facilities at risk, ArcSinh (0-10)]]*U$5*10</f>
        <v>4.6777781573969257</v>
      </c>
      <c r="X250" s="253">
        <f>_xlfn.XLOOKUP(FMS_Ranking4[[#This Row],[FMS ID]],FMS_Input[FMS_ID],FMS_Input[LWC])</f>
        <v>0</v>
      </c>
      <c r="Y250" s="259">
        <f>(ASINH(FMS_Ranking4[[#This Row],[LWC Raw]]))*(10)/(ASINH(X$4))</f>
        <v>0</v>
      </c>
      <c r="Z250" s="256">
        <f>FMS_Ranking4[[#This Row],[LWC, ArcSInh (0-10)]]*X$5*10</f>
        <v>0</v>
      </c>
      <c r="AA250" s="253">
        <f>_xlfn.XLOOKUP(FMS_Ranking4[[#This Row],[FMS ID]],FMS_Input[FMS_ID],FMS_Input[ROADCLS])</f>
        <v>117</v>
      </c>
      <c r="AB250" s="255">
        <f>(ASINH(FMS_Ranking4[[#This Row],[Road Closures Raw]]))*(10)/(ASINH(AA$4))</f>
        <v>5.6812352538218738</v>
      </c>
      <c r="AC250" s="256">
        <f>FMS_Ranking4[[#This Row],[Road closures, ArcSinh (0-10)]]*AA$5*10</f>
        <v>2.8406176269109369</v>
      </c>
      <c r="AD250" s="253">
        <f>_xlfn.XLOOKUP(FMS_Ranking4[[#This Row],[FMS ID]],FMS_Input[FMS_ID],FMS_Input[ROAD_MILES100])</f>
        <v>67</v>
      </c>
      <c r="AE250" s="259">
        <f>(ASINH(FMS_Ranking4[[#This Row],[Road Miles Raw]]))*(10)/(ASINH(AD$4))</f>
        <v>5.2198090593434632</v>
      </c>
      <c r="AF250" s="256">
        <f>FMS_Ranking4[[#This Row],[Length of roads at risk, ArcSinh (0-10)]]*AD$5*10</f>
        <v>5.2198090593434632</v>
      </c>
      <c r="AG250" s="253">
        <f>_xlfn.XLOOKUP(FMS_Ranking4[[#This Row],[FMS ID]],FMS_Input[FMS_ID],FMS_Input[FARMACRE100])</f>
        <v>4.9721565246582031</v>
      </c>
      <c r="AH250" s="255">
        <f>(ASINH(FMS_Ranking4[[#This Row],[Ag Land Raw]]))*(10)/(ASINH(AG$4))</f>
        <v>1.4985604904502534</v>
      </c>
      <c r="AI250" s="260">
        <f>FMS_Ranking4[[#This Row],[Farm &amp; ranch land, ArcSinh (0-10)]]*AG$5*10</f>
        <v>0.74928024522512671</v>
      </c>
      <c r="AJ250" s="258">
        <f>_xlfn.XLOOKUP(FMS_Ranking4[[#This Row],[FMS ID]],FMS_Input[FMS_ID],FMS_Input[REDSTRUCT100])</f>
        <v>0</v>
      </c>
      <c r="AK250" s="253">
        <f>_xlfn.XLOOKUP(FMS_Ranking4[[#This Row],[FMS ID]],FMS_Input[FMS_ID],FMS_Input[REMSTRC100])</f>
        <v>0</v>
      </c>
      <c r="AL250" s="259">
        <f>(ASINH(FMS_Ranking4[[#This Row],[Structures Removed Raw]]))*(10)/(ASINH(AK$4))</f>
        <v>0</v>
      </c>
      <c r="AM250" s="262">
        <f>FMS_Ranking4[[#This Row],[Structures removed, ArcSinh (0-10)]]*AK$5*10</f>
        <v>0</v>
      </c>
      <c r="AN250" s="253">
        <f>_xlfn.XLOOKUP(FMS_Ranking4[[#This Row],[FMS ID]],FMS_Input[FMS_ID],FMS_Input[REMRESSTRC100])</f>
        <v>0</v>
      </c>
      <c r="AO250" s="261">
        <f>FMS_Ranking4[[#This Row],[ArcSinh Res struct removed 0-10]]*AN$5*10</f>
        <v>0</v>
      </c>
      <c r="AP250" s="260">
        <f>ASINH(FMS_Ranking4[[#This Row],[Residential Structures Removed Raw]])/AP$4*AN$5*100</f>
        <v>0</v>
      </c>
      <c r="AQ250" s="254">
        <f>(ASINH(FMS_Ranking4[[#This Row],[Residential Structures Removed Raw]]))*(10)/(ASINH(AN$4))</f>
        <v>0</v>
      </c>
      <c r="AR250" s="253">
        <f>_xlfn.XLOOKUP(FMS_Ranking4[[#This Row],[FMS ID]],FMS_Input[FMS_ID],FMS_Input[REMPOP100])</f>
        <v>0</v>
      </c>
      <c r="AS250" s="259">
        <f>(ASINH(FMS_Ranking4[[#This Row],[Removed Pop Raw]]))*(10)/(ASINH(AR$4))</f>
        <v>0</v>
      </c>
      <c r="AT250" s="262">
        <f>FMS_Ranking4[[#This Row],[Removed population, ArcSinh (0-10)]]*AR$5*10</f>
        <v>0</v>
      </c>
      <c r="AU250" s="264">
        <f>_xlfn.XLOOKUP(FMS_Ranking4[[#This Row],[FMS ID]],FMS_Input[FMS_ID],FMS_Input[REMCRITFAC100])</f>
        <v>0</v>
      </c>
      <c r="AV250" s="264">
        <f>_xlfn.XLOOKUP(FMS_Ranking4[[#This Row],[FMS ID]],FMS_Input[FMS_ID],FMS_Input[REMLWC100])</f>
        <v>0</v>
      </c>
      <c r="AW250" s="264">
        <f>_xlfn.XLOOKUP(FMS_Ranking4[[#This Row],[FMS ID]],FMS_Input[FMS_ID],FMS_Input[REMROADCLS])</f>
        <v>0</v>
      </c>
      <c r="AX250" s="264">
        <f>_xlfn.XLOOKUP(FMS_Ranking4[[#This Row],[FMS ID]],FMS_Input[FMS_ID],FMS_Input[REMFRMACRE100])</f>
        <v>0</v>
      </c>
      <c r="AY250" s="258">
        <f>_xlfn.XLOOKUP(FMS_Ranking4[[#This Row],[FMS ID]],FMS_Input[FMS_ID],FMS_Input[COSTSTRUCT])</f>
        <v>0</v>
      </c>
      <c r="AZ250" s="253">
        <f>_xlfn.XLOOKUP(FMS_Ranking4[[#This Row],[FMS ID]],FMS_Input[FMS_ID],FMS_Input[NATURE])</f>
        <v>0</v>
      </c>
      <c r="BA250" s="262">
        <f>(((FMS_Ranking4[[#This Row],[% NBS Raw]]/AZ$4)*100)*AZ$5)</f>
        <v>0</v>
      </c>
      <c r="BB250" s="251" t="str">
        <f>_xlfn.XLOOKUP(FMS_Ranking4[[#This Row],[FMS ID]],FMS_Input[FMS_ID],FMS_Input[WATER_SUP])</f>
        <v>No</v>
      </c>
      <c r="BC250" s="265">
        <f>IF(FMS_Ranking4[[#This Row],[Water Supply Raw]]="Yes",10,0)</f>
        <v>0</v>
      </c>
      <c r="BD250" s="266">
        <f>_xlfn.XLOOKUP(FMS_Ranking4[[#This Row],[FMS Type]],FMS_TYPE[FMS_Type],FMS_TYPE[Score])</f>
        <v>8</v>
      </c>
      <c r="BE250" s="267">
        <f>FMS_Ranking4[[#This Row],[FMS_Type Score]]*$BD$5*10</f>
        <v>2</v>
      </c>
      <c r="BF25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0.51679165770763102</v>
      </c>
      <c r="BG250" s="271">
        <f>_xlfn.RANK.EQ(BF250,$BF$8:$BF$870,0)+COUNTIF($BF$8:BF250,BF250)-1</f>
        <v>222</v>
      </c>
      <c r="BH250" s="268">
        <f>(((FMS_Ranking4[[#This Row],[Structures Removed Raw]]/AK$4)*100)*AK$5)+(((FMS_Ranking4[[#This Row],[Removed Pop Raw]]/AR$4)*100)*AR$5)</f>
        <v>0</v>
      </c>
      <c r="BI25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2.516791657707631</v>
      </c>
      <c r="BJ250" s="205">
        <f>_xlfn.RANK.EQ(FMS_Ranking4[[#This Row],[Total Score 
(with linear
normalization)]],FMS_Ranking4[Total Score 
(with linear
normalization)],0)</f>
        <v>247</v>
      </c>
      <c r="BK250" s="205" t="e">
        <f>_xlfn.XLOOKUP(FMS_Ranking4[[#This Row],[FMS ID]],#REF!,#REF!)</f>
        <v>#REF!</v>
      </c>
      <c r="BL25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26.723301732781348</v>
      </c>
      <c r="BM250" s="272">
        <f>FMS_Ranking4[[#This Row],[ArcSinh Score Based on Normalized Reported Factors]]+FMS_Ranking4[[#This Row],[% NBS Score (Normalized)]]+(FMS_Ranking4[[#This Row],[Water Supply Score (Normalized)]]*10*$BB$5)+FMS_Ranking4[[#This Row],[FMS_Type Score Weighted]]</f>
        <v>28.723301732781348</v>
      </c>
      <c r="BN250" s="205">
        <f>_xlfn.RANK.EQ(FMS_Ranking4[[#This Row],[Total Score (with ArcSinh normalization of select criteria)]],FMS_Ranking4[Total Score (with ArcSinh normalization of select criteria)],0)</f>
        <v>243</v>
      </c>
      <c r="BO250" s="270" t="str">
        <f>_xlfn.XLOOKUP(FMS_Ranking4[[#This Row],[FMS ID]],FMS_Input[FMS_ID],FMS_Input[FMS_RANK_YEAR])</f>
        <v>2025 Amended Plan</v>
      </c>
      <c r="BP250" s="204" t="e">
        <f>_xlfn.XLOOKUP(FMS_Ranking4[[#This Row],[FMS ID]],Prev_Rank[FMS ID],Prev_Rank[Prev Rank])</f>
        <v>#N/A</v>
      </c>
      <c r="BQ250" s="205" t="e">
        <f>_xlfn.XLOOKUP(FMS_Ranking4[[#This Row],[FMS ID]],#REF!,#REF!)</f>
        <v>#REF!</v>
      </c>
      <c r="BR250" s="199" t="e">
        <f>SUM(#REF!,#REF!,#REF!,#REF!,#REF!,#REF!,#REF!,#REF!,#REF!,FMS_Ranking4[[#This Row],[ArcSinh Res struct removed 0-10]],#REF!)</f>
        <v>#REF!</v>
      </c>
      <c r="BS250" s="199" t="e">
        <f>FMS_Ranking4[[#This Row],[Log Score Based on Normalized Reported Factors]]+FMS_Ranking4[[#This Row],[% NBS Score (Normalized)]]+(FMS_Ranking4[[#This Row],[Water Supply Score (Normalized)]]*10*$BB$5)+(FMS_Ranking4[[#This Row],[FMS_Type Score Weighted]])</f>
        <v>#REF!</v>
      </c>
      <c r="BT250" s="200" t="e">
        <f>_xlfn.RANK.EQ(FMS_Ranking4[[#This Row],[Log Total Score]],FMS_Ranking4[Log Total Score],0)</f>
        <v>#REF!</v>
      </c>
      <c r="BU250" s="200" t="e">
        <f>_xlfn.XLOOKUP(FMS_Ranking4[[#This Row],[FMS ID]],#REF!,#REF!)</f>
        <v>#REF!</v>
      </c>
      <c r="BV250" s="200">
        <f>FMS_Ranking4[[#This Row],[Region Number]]</f>
        <v>15</v>
      </c>
      <c r="BW250" s="200">
        <f>FMS_Ranking4[[#This Row],[Rank (with ArcSinh normalization of select criteria)]]-FMS_Ranking4[[#This Row],[Rank
(with linear
normalization)]]</f>
        <v>-4</v>
      </c>
      <c r="BX250" s="200" t="e">
        <f>FMS_Ranking4[[#This Row],[Log Rank]]-FMS_Ranking4[[#This Row],[Rank
(with linear
normalization)]]</f>
        <v>#REF!</v>
      </c>
      <c r="BY250" s="200" t="str">
        <f>IF(FMS_Ranking4[[#This Row],[FMS Type]]="Flood Measurement and Warning",FMS_Ranking4[[#This Row],[Rank (with ArcSinh normalization of select criteria)]],"")</f>
        <v/>
      </c>
      <c r="BZ250" s="200">
        <f>IF(FMS_Ranking4[[#This Row],[FMS Type]]="Regulatory and Guidance",FMS_Ranking4[[#This Row],[Rank (with ArcSinh normalization of select criteria)]],"")</f>
        <v>243</v>
      </c>
      <c r="CA250" s="200" t="str">
        <f>IF(FMS_Ranking4[[#This Row],[FMS Type]]="Education and Outreach",FMS_Ranking4[[#This Row],[Rank (with ArcSinh normalization of select criteria)]],"")</f>
        <v/>
      </c>
      <c r="CB250" s="200" t="str">
        <f>IF(FMS_Ranking4[[#This Row],[FMS Type]]="Property Acquisition and Structural Elevation",FMS_Ranking4[[#This Row],[Rank (with ArcSinh normalization of select criteria)]],"")</f>
        <v/>
      </c>
      <c r="CC250" s="200" t="str">
        <f>IF(FMS_Ranking4[[#This Row],[FMS Type]]="Infrastructure Projects",FMS_Ranking4[[#This Row],[Rank (with ArcSinh normalization of select criteria)]],"")</f>
        <v/>
      </c>
      <c r="CD250" s="200" t="str">
        <f>IF(FMS_Ranking4[[#This Row],[FMS Type]]="Other",FMS_Ranking4[[#This Row],[Rank (with ArcSinh normalization of select criteria)]],"")</f>
        <v/>
      </c>
      <c r="CE250" s="201"/>
      <c r="CF250" s="206"/>
      <c r="CG250" s="206"/>
      <c r="CH250" s="206"/>
      <c r="CI250" s="206"/>
      <c r="CJ250" s="206"/>
      <c r="CK250" s="206"/>
      <c r="CL250" s="206"/>
      <c r="CM250" s="206"/>
      <c r="CN250" s="206"/>
      <c r="CO250" s="206"/>
      <c r="CP250" s="206"/>
      <c r="CQ250" s="206"/>
      <c r="CR250" s="206"/>
    </row>
    <row r="251" spans="2:96" ht="105" x14ac:dyDescent="0.25">
      <c r="B251" s="341" t="s">
        <v>12015</v>
      </c>
      <c r="C251" s="246">
        <f>_xlfn.XLOOKUP(FMS_Ranking4[[#This Row],[FMS ID]],FMS_Input[FMS_ID],FMS_Input[RFPG_NUM])</f>
        <v>15</v>
      </c>
      <c r="D251" s="309" t="str">
        <f>_xlfn.XLOOKUP(FMS_Ranking4[[#This Row],[FMS ID]],FMS_Input[FMS_ID],FMS_Input[FMS_NAME])</f>
        <v>City of Mission</v>
      </c>
      <c r="E251" s="308" t="str">
        <f>_xlfn.XLOOKUP(FMS_Ranking4[[#This Row],[FMS ID]],FMS_Input[FMS_ID],FMS_Input[SPONSOR])</f>
        <v>15000085</v>
      </c>
      <c r="F251" s="309" t="str">
        <f>_xlfn.XLOOKUP(FMS_Ranking4[[#This Row],[FMS ID]],Sponsor[FMS_ID],Sponsor[SPONSOR NAME])</f>
        <v>Mission</v>
      </c>
      <c r="G251" s="309" t="str">
        <f>_xlfn.XLOOKUP(FMS_Ranking4[[#This Row],[FMS ID]],FMS_Input[FMS_ID],FMS_Input[FMS_DESCR])</f>
        <v>FMS 2 - Assessment, development, and updating of the City's ordinances, orders, policies, engineering specifications, guidance documents and other flood management tools.</v>
      </c>
      <c r="H251" s="248" t="str">
        <f>_xlfn.XLOOKUP(FMS_Ranking4[[#This Row],[FMS ID]],FMS_Input[FMS_ID],FMS_Input[FMS_TYPE])</f>
        <v>Regulatory and Guidance</v>
      </c>
      <c r="I251" s="249">
        <f>_xlfn.XLOOKUP(FMS_Ranking4[[#This Row],[FMS ID]],FMS_Input[FMS_ID],FMS_Input[NRNC_COST])</f>
        <v>500000</v>
      </c>
      <c r="J251" s="250">
        <f>_xlfn.XLOOKUP(FMS_Ranking4[[#This Row],[FMS ID]],FMS_Input[FMS_ID],FMS_Input[FMS_COST])</f>
        <v>500000</v>
      </c>
      <c r="K251" s="251" t="str">
        <f>_xlfn.XLOOKUP(FMS_Ranking4[[#This Row],[FMS ID]],FMS_Input[FMS_ID],FMS_Input[EMER_NEED])</f>
        <v>Yes</v>
      </c>
      <c r="L251" s="252">
        <f t="shared" si="3"/>
        <v>1</v>
      </c>
      <c r="M251" s="253">
        <f>_xlfn.XLOOKUP(FMS_Ranking4[[#This Row],[FMS ID]],FMS_Input[FMS_ID],FMS_Input[STRUCT_100])</f>
        <v>5464</v>
      </c>
      <c r="N251" s="255">
        <f>(ASINH(FMS_Ranking4[[#This Row],[Structure at Risk Raw]]))*(10)/(ASINH(M$4))</f>
        <v>7.310464275462496</v>
      </c>
      <c r="O251" s="256">
        <f>FMS_Ranking4[[#This Row],[Structures at risk, ArcSinh (0-10)]]*M$5*10</f>
        <v>7.310464275462496</v>
      </c>
      <c r="P251" s="253">
        <f>_xlfn.XLOOKUP(FMS_Ranking4[[#This Row],[FMS ID]],FMS_Input[FMS_ID],FMS_Input[RES_STRUCT100])</f>
        <v>4596</v>
      </c>
      <c r="Q251" s="257">
        <f>ASINH(FMS_Ranking4[[#This Row],[Res Structure Raw]])/Q$4*P$5*100</f>
        <v>0</v>
      </c>
      <c r="R251" s="253">
        <f>_xlfn.XLOOKUP(FMS_Ranking4[[#This Row],[FMS ID]],FMS_Input[FMS_ID],FMS_Input[POP100])</f>
        <v>15487</v>
      </c>
      <c r="S251" s="255">
        <f>(ASINH(FMS_Ranking4[[#This Row],[Pop at Risk Raw]]))*(10)/(ASINH(R$4))</f>
        <v>7.1389276588449473</v>
      </c>
      <c r="T251" s="256">
        <f>FMS_Ranking4[[#This Row],[Population at risk, ArcSinh (0-10)]]*R$5*10</f>
        <v>7.1389276588449482</v>
      </c>
      <c r="U251" s="253">
        <f>_xlfn.XLOOKUP(FMS_Ranking4[[#This Row],[FMS ID]],FMS_Input[FMS_ID],FMS_Input[CRITFAC100])</f>
        <v>47</v>
      </c>
      <c r="V251" s="255">
        <f>(ASINH(FMS_Ranking4[[#This Row],[Critical Facilities Raw]]))*(10)/(ASINH(U$4))</f>
        <v>5.3783233828019528</v>
      </c>
      <c r="W251" s="256">
        <f>FMS_Ranking4[[#This Row],[Critical facilities at risk, ArcSinh (0-10)]]*U$5*10</f>
        <v>5.3783233828019528</v>
      </c>
      <c r="X251" s="253">
        <f>_xlfn.XLOOKUP(FMS_Ranking4[[#This Row],[FMS ID]],FMS_Input[FMS_ID],FMS_Input[LWC])</f>
        <v>0</v>
      </c>
      <c r="Y251" s="255">
        <f>(ASINH(FMS_Ranking4[[#This Row],[LWC Raw]]))*(10)/(ASINH(X$4))</f>
        <v>0</v>
      </c>
      <c r="Z251" s="256">
        <f>FMS_Ranking4[[#This Row],[LWC, ArcSInh (0-10)]]*X$5*10</f>
        <v>0</v>
      </c>
      <c r="AA251" s="253">
        <f>_xlfn.XLOOKUP(FMS_Ranking4[[#This Row],[FMS ID]],FMS_Input[FMS_ID],FMS_Input[ROADCLS])</f>
        <v>0</v>
      </c>
      <c r="AB251" s="255">
        <f>(ASINH(FMS_Ranking4[[#This Row],[Road Closures Raw]]))*(10)/(ASINH(AA$4))</f>
        <v>0</v>
      </c>
      <c r="AC251" s="256">
        <f>FMS_Ranking4[[#This Row],[Road closures, ArcSinh (0-10)]]*AA$5*10</f>
        <v>0</v>
      </c>
      <c r="AD251" s="253">
        <f>_xlfn.XLOOKUP(FMS_Ranking4[[#This Row],[FMS ID]],FMS_Input[FMS_ID],FMS_Input[ROAD_MILES100])</f>
        <v>130</v>
      </c>
      <c r="AE251" s="255">
        <f>(ASINH(FMS_Ranking4[[#This Row],[Road Miles Raw]]))*(10)/(ASINH(AD$4))</f>
        <v>5.9261725051497169</v>
      </c>
      <c r="AF251" s="256">
        <f>FMS_Ranking4[[#This Row],[Length of roads at risk, ArcSinh (0-10)]]*AD$5*10</f>
        <v>5.9261725051497169</v>
      </c>
      <c r="AG251" s="253">
        <f>_xlfn.XLOOKUP(FMS_Ranking4[[#This Row],[FMS ID]],FMS_Input[FMS_ID],FMS_Input[FARMACRE100])</f>
        <v>9.8053646087646484</v>
      </c>
      <c r="AH251" s="255">
        <f>(ASINH(FMS_Ranking4[[#This Row],[Ag Land Raw]]))*(10)/(ASINH(AG$4))</f>
        <v>1.9348868711202447</v>
      </c>
      <c r="AI251" s="260">
        <f>FMS_Ranking4[[#This Row],[Farm &amp; ranch land, ArcSinh (0-10)]]*AG$5*10</f>
        <v>0.96744343556012247</v>
      </c>
      <c r="AJ251" s="258">
        <f>_xlfn.XLOOKUP(FMS_Ranking4[[#This Row],[FMS ID]],FMS_Input[FMS_ID],FMS_Input[REDSTRUCT100])</f>
        <v>0</v>
      </c>
      <c r="AK251" s="253">
        <f>_xlfn.XLOOKUP(FMS_Ranking4[[#This Row],[FMS ID]],FMS_Input[FMS_ID],FMS_Input[REMSTRC100])</f>
        <v>0</v>
      </c>
      <c r="AL251" s="255">
        <f>(ASINH(FMS_Ranking4[[#This Row],[Structures Removed Raw]]))*(10)/(ASINH(AK$4))</f>
        <v>0</v>
      </c>
      <c r="AM251" s="262">
        <f>FMS_Ranking4[[#This Row],[Structures removed, ArcSinh (0-10)]]*AK$5*10</f>
        <v>0</v>
      </c>
      <c r="AN251" s="253">
        <f>_xlfn.XLOOKUP(FMS_Ranking4[[#This Row],[FMS ID]],FMS_Input[FMS_ID],FMS_Input[REMRESSTRC100])</f>
        <v>0</v>
      </c>
      <c r="AO251" s="261">
        <f>FMS_Ranking4[[#This Row],[ArcSinh Res struct removed 0-10]]*AN$5*10</f>
        <v>0</v>
      </c>
      <c r="AP251" s="260">
        <f>ASINH(FMS_Ranking4[[#This Row],[Residential Structures Removed Raw]])/AP$4*AN$5*100</f>
        <v>0</v>
      </c>
      <c r="AQ251" s="258">
        <f>(ASINH(FMS_Ranking4[[#This Row],[Residential Structures Removed Raw]]))*(10)/(ASINH(AN$4))</f>
        <v>0</v>
      </c>
      <c r="AR251" s="253">
        <f>_xlfn.XLOOKUP(FMS_Ranking4[[#This Row],[FMS ID]],FMS_Input[FMS_ID],FMS_Input[REMPOP100])</f>
        <v>0</v>
      </c>
      <c r="AS251" s="255">
        <f>(ASINH(FMS_Ranking4[[#This Row],[Removed Pop Raw]]))*(10)/(ASINH(AR$4))</f>
        <v>0</v>
      </c>
      <c r="AT251" s="262">
        <f>FMS_Ranking4[[#This Row],[Removed population, ArcSinh (0-10)]]*AR$5*10</f>
        <v>0</v>
      </c>
      <c r="AU251" s="264">
        <f>_xlfn.XLOOKUP(FMS_Ranking4[[#This Row],[FMS ID]],FMS_Input[FMS_ID],FMS_Input[REMCRITFAC100])</f>
        <v>0</v>
      </c>
      <c r="AV251" s="264">
        <f>_xlfn.XLOOKUP(FMS_Ranking4[[#This Row],[FMS ID]],FMS_Input[FMS_ID],FMS_Input[REMLWC100])</f>
        <v>0</v>
      </c>
      <c r="AW251" s="264">
        <f>_xlfn.XLOOKUP(FMS_Ranking4[[#This Row],[FMS ID]],FMS_Input[FMS_ID],FMS_Input[REMROADCLS])</f>
        <v>0</v>
      </c>
      <c r="AX251" s="264">
        <f>_xlfn.XLOOKUP(FMS_Ranking4[[#This Row],[FMS ID]],FMS_Input[FMS_ID],FMS_Input[REMFRMACRE100])</f>
        <v>0</v>
      </c>
      <c r="AY251" s="258">
        <f>_xlfn.XLOOKUP(FMS_Ranking4[[#This Row],[FMS ID]],FMS_Input[FMS_ID],FMS_Input[COSTSTRUCT])</f>
        <v>0</v>
      </c>
      <c r="AZ251" s="253">
        <f>_xlfn.XLOOKUP(FMS_Ranking4[[#This Row],[FMS ID]],FMS_Input[FMS_ID],FMS_Input[NATURE])</f>
        <v>0</v>
      </c>
      <c r="BA251" s="262">
        <f>(((FMS_Ranking4[[#This Row],[% NBS Raw]]/AZ$4)*100)*AZ$5)</f>
        <v>0</v>
      </c>
      <c r="BB251" s="251" t="str">
        <f>_xlfn.XLOOKUP(FMS_Ranking4[[#This Row],[FMS ID]],FMS_Input[FMS_ID],FMS_Input[WATER_SUP])</f>
        <v>No</v>
      </c>
      <c r="BC251" s="265">
        <f>IF(FMS_Ranking4[[#This Row],[Water Supply Raw]]="Yes",10,0)</f>
        <v>0</v>
      </c>
      <c r="BD251" s="266">
        <f>_xlfn.XLOOKUP(FMS_Ranking4[[#This Row],[FMS Type]],FMS_TYPE[FMS_Type],FMS_TYPE[Score])</f>
        <v>8</v>
      </c>
      <c r="BE251" s="267">
        <f>FMS_Ranking4[[#This Row],[FMS_Type Score]]*$BD$5*10</f>
        <v>2</v>
      </c>
      <c r="BF25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0.90555978372494295</v>
      </c>
      <c r="BG251" s="321">
        <f>_xlfn.RANK.EQ(BF251,$BF$8:$BF$870,0)+COUNTIF($BF$8:BF251,BF251)-1</f>
        <v>150</v>
      </c>
      <c r="BH251" s="294">
        <f>(((FMS_Ranking4[[#This Row],[Structures Removed Raw]]/AK$4)*100)*AK$5)+(((FMS_Ranking4[[#This Row],[Removed Pop Raw]]/AR$4)*100)*AR$5)</f>
        <v>0</v>
      </c>
      <c r="BI25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2.9055597837249429</v>
      </c>
      <c r="BJ251" s="251">
        <f>_xlfn.RANK.EQ(FMS_Ranking4[[#This Row],[Total Score 
(with linear
normalization)]],FMS_Ranking4[Total Score 
(with linear
normalization)],0)</f>
        <v>183</v>
      </c>
      <c r="BK251" s="251" t="e">
        <f>_xlfn.XLOOKUP(FMS_Ranking4[[#This Row],[FMS ID]],#REF!,#REF!)</f>
        <v>#REF!</v>
      </c>
      <c r="BL25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26.721331257819237</v>
      </c>
      <c r="BM251" s="324">
        <f>FMS_Ranking4[[#This Row],[ArcSinh Score Based on Normalized Reported Factors]]+FMS_Ranking4[[#This Row],[% NBS Score (Normalized)]]+(FMS_Ranking4[[#This Row],[Water Supply Score (Normalized)]]*10*$BB$5)+FMS_Ranking4[[#This Row],[FMS_Type Score Weighted]]</f>
        <v>28.721331257819237</v>
      </c>
      <c r="BN251" s="251">
        <f>_xlfn.RANK.EQ(FMS_Ranking4[[#This Row],[Total Score (with ArcSinh normalization of select criteria)]],FMS_Ranking4[Total Score (with ArcSinh normalization of select criteria)],0)</f>
        <v>244</v>
      </c>
      <c r="BO251" s="270" t="str">
        <f>_xlfn.XLOOKUP(FMS_Ranking4[[#This Row],[FMS ID]],FMS_Input[FMS_ID],FMS_Input[FMS_RANK_YEAR])</f>
        <v>2025 Amended Plan</v>
      </c>
      <c r="BP251" s="204" t="e">
        <f>_xlfn.XLOOKUP(FMS_Ranking4[[#This Row],[FMS ID]],Prev_Rank[FMS ID],Prev_Rank[Prev Rank])</f>
        <v>#N/A</v>
      </c>
      <c r="BQ251" s="251" t="e">
        <f>_xlfn.XLOOKUP(FMS_Ranking4[[#This Row],[FMS ID]],#REF!,#REF!)</f>
        <v>#REF!</v>
      </c>
      <c r="BR251" s="199" t="e">
        <f>SUM(#REF!,#REF!,#REF!,#REF!,#REF!,#REF!,#REF!,#REF!,#REF!,FMS_Ranking4[[#This Row],[ArcSinh Res struct removed 0-10]],#REF!)</f>
        <v>#REF!</v>
      </c>
      <c r="BS251" s="199" t="e">
        <f>FMS_Ranking4[[#This Row],[Log Score Based on Normalized Reported Factors]]+FMS_Ranking4[[#This Row],[% NBS Score (Normalized)]]+(FMS_Ranking4[[#This Row],[Water Supply Score (Normalized)]]*10*$BB$5)+(FMS_Ranking4[[#This Row],[FMS_Type Score Weighted]])</f>
        <v>#REF!</v>
      </c>
      <c r="BT251" s="200" t="e">
        <f>_xlfn.RANK.EQ(FMS_Ranking4[[#This Row],[Log Total Score]],FMS_Ranking4[Log Total Score],0)</f>
        <v>#REF!</v>
      </c>
      <c r="BU251" s="200" t="e">
        <f>_xlfn.XLOOKUP(FMS_Ranking4[[#This Row],[FMS ID]],#REF!,#REF!)</f>
        <v>#REF!</v>
      </c>
      <c r="BV251" s="200">
        <f>FMS_Ranking4[[#This Row],[Region Number]]</f>
        <v>15</v>
      </c>
      <c r="BW251" s="200">
        <f>FMS_Ranking4[[#This Row],[Rank (with ArcSinh normalization of select criteria)]]-FMS_Ranking4[[#This Row],[Rank
(with linear
normalization)]]</f>
        <v>61</v>
      </c>
      <c r="BX251" s="200" t="e">
        <f>FMS_Ranking4[[#This Row],[Log Rank]]-FMS_Ranking4[[#This Row],[Rank
(with linear
normalization)]]</f>
        <v>#REF!</v>
      </c>
      <c r="BY251" s="200" t="str">
        <f>IF(FMS_Ranking4[[#This Row],[FMS Type]]="Flood Measurement and Warning",FMS_Ranking4[[#This Row],[Rank (with ArcSinh normalization of select criteria)]],"")</f>
        <v/>
      </c>
      <c r="BZ251" s="200">
        <f>IF(FMS_Ranking4[[#This Row],[FMS Type]]="Regulatory and Guidance",FMS_Ranking4[[#This Row],[Rank (with ArcSinh normalization of select criteria)]],"")</f>
        <v>244</v>
      </c>
      <c r="CA251" s="200" t="str">
        <f>IF(FMS_Ranking4[[#This Row],[FMS Type]]="Education and Outreach",FMS_Ranking4[[#This Row],[Rank (with ArcSinh normalization of select criteria)]],"")</f>
        <v/>
      </c>
      <c r="CB251" s="200" t="str">
        <f>IF(FMS_Ranking4[[#This Row],[FMS Type]]="Property Acquisition and Structural Elevation",FMS_Ranking4[[#This Row],[Rank (with ArcSinh normalization of select criteria)]],"")</f>
        <v/>
      </c>
      <c r="CC251" s="200" t="str">
        <f>IF(FMS_Ranking4[[#This Row],[FMS Type]]="Infrastructure Projects",FMS_Ranking4[[#This Row],[Rank (with ArcSinh normalization of select criteria)]],"")</f>
        <v/>
      </c>
      <c r="CD251" s="200" t="str">
        <f>IF(FMS_Ranking4[[#This Row],[FMS Type]]="Other",FMS_Ranking4[[#This Row],[Rank (with ArcSinh normalization of select criteria)]],"")</f>
        <v/>
      </c>
      <c r="CE251" s="201"/>
      <c r="CF251" s="206"/>
      <c r="CG251" s="206"/>
      <c r="CH251" s="206"/>
      <c r="CI251" s="206"/>
      <c r="CJ251" s="206"/>
      <c r="CK251" s="206"/>
      <c r="CL251" s="206"/>
      <c r="CM251" s="206"/>
      <c r="CN251" s="206"/>
      <c r="CO251" s="206"/>
      <c r="CP251" s="206"/>
      <c r="CQ251" s="206"/>
      <c r="CR251" s="206"/>
    </row>
    <row r="252" spans="2:96" ht="60" x14ac:dyDescent="0.25">
      <c r="B252" s="341" t="s">
        <v>1972</v>
      </c>
      <c r="C252" s="246">
        <f>_xlfn.XLOOKUP(FMS_Ranking4[[#This Row],[FMS ID]],FMS_Input[FMS_ID],FMS_Input[RFPG_NUM])</f>
        <v>3</v>
      </c>
      <c r="D252" s="309" t="str">
        <f>_xlfn.XLOOKUP(FMS_Ranking4[[#This Row],[FMS ID]],FMS_Input[FMS_ID],FMS_Input[FMS_NAME])</f>
        <v xml:space="preserve">Acquire and Protect Red Oak Creek, Bentle Branch Creek, and Balcones Escarpment </v>
      </c>
      <c r="E252" s="308" t="str">
        <f>_xlfn.XLOOKUP(FMS_Ranking4[[#This Row],[FMS ID]],FMS_Input[FMS_ID],FMS_Input[SPONSOR])</f>
        <v>Cedar Hill</v>
      </c>
      <c r="F252" s="309" t="str">
        <f>_xlfn.XLOOKUP(FMS_Ranking4[[#This Row],[FMS ID]],Sponsor[FMS_ID],Sponsor[SPONSOR NAME])</f>
        <v>Cedar Hill</v>
      </c>
      <c r="G252" s="309" t="str">
        <f>_xlfn.XLOOKUP(FMS_Ranking4[[#This Row],[FMS ID]],FMS_Input[FMS_ID],FMS_Input[FMS_DESCR])</f>
        <v>Acquire areas in the floodplain and protect environmentally sensitive areas and convert them into open space land</v>
      </c>
      <c r="H252" s="248" t="str">
        <f>_xlfn.XLOOKUP(FMS_Ranking4[[#This Row],[FMS ID]],FMS_Input[FMS_ID],FMS_Input[FMS_TYPE])</f>
        <v>Property Acquisition and Structural Elevation</v>
      </c>
      <c r="I252" s="249">
        <f>_xlfn.XLOOKUP(FMS_Ranking4[[#This Row],[FMS ID]],FMS_Input[FMS_ID],FMS_Input[NRNC_COST])</f>
        <v>500000</v>
      </c>
      <c r="J252" s="250">
        <f>_xlfn.XLOOKUP(FMS_Ranking4[[#This Row],[FMS ID]],FMS_Input[FMS_ID],FMS_Input[FMS_COST])</f>
        <v>5000000</v>
      </c>
      <c r="K252" s="251" t="str">
        <f>_xlfn.XLOOKUP(FMS_Ranking4[[#This Row],[FMS ID]],FMS_Input[FMS_ID],FMS_Input[EMER_NEED])</f>
        <v>No</v>
      </c>
      <c r="L252" s="252">
        <f t="shared" si="3"/>
        <v>0</v>
      </c>
      <c r="M252" s="253">
        <f>_xlfn.XLOOKUP(FMS_Ranking4[[#This Row],[FMS ID]],FMS_Input[FMS_ID],FMS_Input[STRUCT_100])</f>
        <v>315</v>
      </c>
      <c r="N252" s="255">
        <f>(ASINH(FMS_Ranking4[[#This Row],[Structure at Risk Raw]]))*(10)/(ASINH(M$4))</f>
        <v>5.067297484865664</v>
      </c>
      <c r="O252" s="256">
        <f>FMS_Ranking4[[#This Row],[Structures at risk, ArcSinh (0-10)]]*M$5*10</f>
        <v>5.067297484865664</v>
      </c>
      <c r="P252" s="253">
        <f>_xlfn.XLOOKUP(FMS_Ranking4[[#This Row],[FMS ID]],FMS_Input[FMS_ID],FMS_Input[RES_STRUCT100])</f>
        <v>298</v>
      </c>
      <c r="Q252" s="257">
        <f>ASINH(FMS_Ranking4[[#This Row],[Res Structure Raw]])/Q$4*P$5*100</f>
        <v>0</v>
      </c>
      <c r="R252" s="253">
        <f>_xlfn.XLOOKUP(FMS_Ranking4[[#This Row],[FMS ID]],FMS_Input[FMS_ID],FMS_Input[POP100])</f>
        <v>3258</v>
      </c>
      <c r="S252" s="259">
        <f>(ASINH(FMS_Ranking4[[#This Row],[Pop at Risk Raw]]))*(10)/(ASINH(R$4))</f>
        <v>6.06273691096054</v>
      </c>
      <c r="T252" s="256">
        <f>FMS_Ranking4[[#This Row],[Population at risk, ArcSinh (0-10)]]*R$5*10</f>
        <v>6.06273691096054</v>
      </c>
      <c r="U252" s="253">
        <f>_xlfn.XLOOKUP(FMS_Ranking4[[#This Row],[FMS ID]],FMS_Input[FMS_ID],FMS_Input[CRITFAC100])</f>
        <v>3</v>
      </c>
      <c r="V252" s="259">
        <f>(ASINH(FMS_Ranking4[[#This Row],[Critical Facilities Raw]]))*(10)/(ASINH(U$4))</f>
        <v>2.152611706646717</v>
      </c>
      <c r="W252" s="256">
        <f>FMS_Ranking4[[#This Row],[Critical facilities at risk, ArcSinh (0-10)]]*U$5*10</f>
        <v>2.152611706646717</v>
      </c>
      <c r="X252" s="253">
        <f>_xlfn.XLOOKUP(FMS_Ranking4[[#This Row],[FMS ID]],FMS_Input[FMS_ID],FMS_Input[LWC])</f>
        <v>1</v>
      </c>
      <c r="Y252" s="259">
        <f>(ASINH(FMS_Ranking4[[#This Row],[LWC Raw]]))*(10)/(ASINH(X$4))</f>
        <v>1.1940300948531093</v>
      </c>
      <c r="Z252" s="256">
        <f>FMS_Ranking4[[#This Row],[LWC, ArcSInh (0-10)]]*X$5*10</f>
        <v>1.1940300948531093</v>
      </c>
      <c r="AA252" s="253">
        <f>_xlfn.XLOOKUP(FMS_Ranking4[[#This Row],[FMS ID]],FMS_Input[FMS_ID],FMS_Input[ROADCLS])</f>
        <v>0</v>
      </c>
      <c r="AB252" s="255">
        <f>(ASINH(FMS_Ranking4[[#This Row],[Road Closures Raw]]))*(10)/(ASINH(AA$4))</f>
        <v>0</v>
      </c>
      <c r="AC252" s="256">
        <f>FMS_Ranking4[[#This Row],[Road closures, ArcSinh (0-10)]]*AA$5*10</f>
        <v>0</v>
      </c>
      <c r="AD252" s="253">
        <f>_xlfn.XLOOKUP(FMS_Ranking4[[#This Row],[FMS ID]],FMS_Input[FMS_ID],FMS_Input[ROAD_MILES100])</f>
        <v>17</v>
      </c>
      <c r="AE252" s="259">
        <f>(ASINH(FMS_Ranking4[[#This Row],[Road Miles Raw]]))*(10)/(ASINH(AD$4))</f>
        <v>3.7590508453510045</v>
      </c>
      <c r="AF252" s="256">
        <f>FMS_Ranking4[[#This Row],[Length of roads at risk, ArcSinh (0-10)]]*AD$5*10</f>
        <v>3.7590508453510045</v>
      </c>
      <c r="AG252" s="253">
        <f>_xlfn.XLOOKUP(FMS_Ranking4[[#This Row],[FMS ID]],FMS_Input[FMS_ID],FMS_Input[FARMACRE100])</f>
        <v>215.89630126953119</v>
      </c>
      <c r="AH252" s="255">
        <f>(ASINH(FMS_Ranking4[[#This Row],[Ag Land Raw]]))*(10)/(ASINH(AG$4))</f>
        <v>3.9416283637392082</v>
      </c>
      <c r="AI252" s="260">
        <f>FMS_Ranking4[[#This Row],[Farm &amp; ranch land, ArcSinh (0-10)]]*AG$5*10</f>
        <v>1.9708141818696043</v>
      </c>
      <c r="AJ252" s="258">
        <f>_xlfn.XLOOKUP(FMS_Ranking4[[#This Row],[FMS ID]],FMS_Input[FMS_ID],FMS_Input[REDSTRUCT100])</f>
        <v>0</v>
      </c>
      <c r="AK252" s="253">
        <f>_xlfn.XLOOKUP(FMS_Ranking4[[#This Row],[FMS ID]],FMS_Input[FMS_ID],FMS_Input[REMSTRC100])</f>
        <v>0</v>
      </c>
      <c r="AL252" s="259">
        <f>(ASINH(FMS_Ranking4[[#This Row],[Structures Removed Raw]]))*(10)/(ASINH(AK$4))</f>
        <v>0</v>
      </c>
      <c r="AM252" s="262">
        <f>FMS_Ranking4[[#This Row],[Structures removed, ArcSinh (0-10)]]*AK$5*10</f>
        <v>0</v>
      </c>
      <c r="AN252" s="253">
        <f>_xlfn.XLOOKUP(FMS_Ranking4[[#This Row],[FMS ID]],FMS_Input[FMS_ID],FMS_Input[REMRESSTRC100])</f>
        <v>0</v>
      </c>
      <c r="AO252" s="261">
        <f>FMS_Ranking4[[#This Row],[ArcSinh Res struct removed 0-10]]*AN$5*10</f>
        <v>0</v>
      </c>
      <c r="AP252" s="260">
        <f>ASINH(FMS_Ranking4[[#This Row],[Residential Structures Removed Raw]])/AP$4*AN$5*100</f>
        <v>0</v>
      </c>
      <c r="AQ252" s="254">
        <f>(ASINH(FMS_Ranking4[[#This Row],[Residential Structures Removed Raw]]))*(10)/(ASINH(AN$4))</f>
        <v>0</v>
      </c>
      <c r="AR252" s="253">
        <f>_xlfn.XLOOKUP(FMS_Ranking4[[#This Row],[FMS ID]],FMS_Input[FMS_ID],FMS_Input[REMPOP100])</f>
        <v>0</v>
      </c>
      <c r="AS252" s="259">
        <f>(ASINH(FMS_Ranking4[[#This Row],[Removed Pop Raw]]))*(10)/(ASINH(AR$4))</f>
        <v>0</v>
      </c>
      <c r="AT252" s="262">
        <f>FMS_Ranking4[[#This Row],[Removed population, ArcSinh (0-10)]]*AR$5*10</f>
        <v>0</v>
      </c>
      <c r="AU252" s="264">
        <f>_xlfn.XLOOKUP(FMS_Ranking4[[#This Row],[FMS ID]],FMS_Input[FMS_ID],FMS_Input[REMCRITFAC100])</f>
        <v>0</v>
      </c>
      <c r="AV252" s="264">
        <f>_xlfn.XLOOKUP(FMS_Ranking4[[#This Row],[FMS ID]],FMS_Input[FMS_ID],FMS_Input[REMLWC100])</f>
        <v>0</v>
      </c>
      <c r="AW252" s="264">
        <f>_xlfn.XLOOKUP(FMS_Ranking4[[#This Row],[FMS ID]],FMS_Input[FMS_ID],FMS_Input[REMROADCLS])</f>
        <v>0</v>
      </c>
      <c r="AX252" s="264">
        <f>_xlfn.XLOOKUP(FMS_Ranking4[[#This Row],[FMS ID]],FMS_Input[FMS_ID],FMS_Input[REMFRMACRE100])</f>
        <v>0</v>
      </c>
      <c r="AY252" s="258">
        <f>_xlfn.XLOOKUP(FMS_Ranking4[[#This Row],[FMS ID]],FMS_Input[FMS_ID],FMS_Input[COSTSTRUCT])</f>
        <v>0</v>
      </c>
      <c r="AZ252" s="253">
        <f>_xlfn.XLOOKUP(FMS_Ranking4[[#This Row],[FMS ID]],FMS_Input[FMS_ID],FMS_Input[NATURE])</f>
        <v>100</v>
      </c>
      <c r="BA252" s="262">
        <f>(((FMS_Ranking4[[#This Row],[% NBS Raw]]/AZ$4)*100)*AZ$5)</f>
        <v>7.5</v>
      </c>
      <c r="BB252" s="251" t="str">
        <f>_xlfn.XLOOKUP(FMS_Ranking4[[#This Row],[FMS ID]],FMS_Input[FMS_ID],FMS_Input[WATER_SUP])</f>
        <v>No</v>
      </c>
      <c r="BC252" s="265">
        <f>IF(FMS_Ranking4[[#This Row],[Water Supply Raw]]="Yes",10,0)</f>
        <v>0</v>
      </c>
      <c r="BD252" s="266">
        <f>_xlfn.XLOOKUP(FMS_Ranking4[[#This Row],[FMS Type]],FMS_TYPE[FMS_Type],FMS_TYPE[Score])</f>
        <v>4</v>
      </c>
      <c r="BE252" s="267">
        <f>FMS_Ranking4[[#This Row],[FMS_Type Score]]*$BD$5*10</f>
        <v>1</v>
      </c>
      <c r="BF25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0.10655237161862297</v>
      </c>
      <c r="BG252" s="271">
        <f>_xlfn.RANK.EQ(BF252,$BF$8:$BF$870,0)+COUNTIF($BF$8:BF252,BF252)-1</f>
        <v>488</v>
      </c>
      <c r="BH252" s="268">
        <f>(((FMS_Ranking4[[#This Row],[Structures Removed Raw]]/AK$4)*100)*AK$5)+(((FMS_Ranking4[[#This Row],[Removed Pop Raw]]/AR$4)*100)*AR$5)</f>
        <v>0</v>
      </c>
      <c r="BI25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8.6065523716186227</v>
      </c>
      <c r="BJ252" s="205">
        <f>_xlfn.RANK.EQ(FMS_Ranking4[[#This Row],[Total Score 
(with linear
normalization)]],FMS_Ranking4[Total Score 
(with linear
normalization)],0)</f>
        <v>69</v>
      </c>
      <c r="BK252" s="205" t="e">
        <f>_xlfn.XLOOKUP(FMS_Ranking4[[#This Row],[FMS ID]],#REF!,#REF!)</f>
        <v>#REF!</v>
      </c>
      <c r="BL25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20.206541224546637</v>
      </c>
      <c r="BM252" s="272">
        <f>FMS_Ranking4[[#This Row],[ArcSinh Score Based on Normalized Reported Factors]]+FMS_Ranking4[[#This Row],[% NBS Score (Normalized)]]+(FMS_Ranking4[[#This Row],[Water Supply Score (Normalized)]]*10*$BB$5)+FMS_Ranking4[[#This Row],[FMS_Type Score Weighted]]</f>
        <v>28.706541224546637</v>
      </c>
      <c r="BN252" s="205">
        <f>_xlfn.RANK.EQ(FMS_Ranking4[[#This Row],[Total Score (with ArcSinh normalization of select criteria)]],FMS_Ranking4[Total Score (with ArcSinh normalization of select criteria)],0)</f>
        <v>245</v>
      </c>
      <c r="BO252" s="270" t="str">
        <f>_xlfn.XLOOKUP(FMS_Ranking4[[#This Row],[FMS ID]],FMS_Input[FMS_ID],FMS_Input[FMS_RANK_YEAR])</f>
        <v>2023 Amended Plan</v>
      </c>
      <c r="BP252" s="204">
        <f>_xlfn.XLOOKUP(FMS_Ranking4[[#This Row],[FMS ID]],Prev_Rank[FMS ID],Prev_Rank[Prev Rank])</f>
        <v>208</v>
      </c>
      <c r="BQ252" s="205" t="e">
        <f>_xlfn.XLOOKUP(FMS_Ranking4[[#This Row],[FMS ID]],#REF!,#REF!)</f>
        <v>#REF!</v>
      </c>
      <c r="BR252" s="199" t="e">
        <f>SUM(#REF!,#REF!,#REF!,#REF!,#REF!,#REF!,#REF!,#REF!,#REF!,FMS_Ranking4[[#This Row],[ArcSinh Res struct removed 0-10]],#REF!)</f>
        <v>#REF!</v>
      </c>
      <c r="BS252" s="199" t="e">
        <f>FMS_Ranking4[[#This Row],[Log Score Based on Normalized Reported Factors]]+FMS_Ranking4[[#This Row],[% NBS Score (Normalized)]]+(FMS_Ranking4[[#This Row],[Water Supply Score (Normalized)]]*10*$BB$5)+(FMS_Ranking4[[#This Row],[FMS_Type Score Weighted]])</f>
        <v>#REF!</v>
      </c>
      <c r="BT252" s="200" t="e">
        <f>_xlfn.RANK.EQ(FMS_Ranking4[[#This Row],[Log Total Score]],FMS_Ranking4[Log Total Score],0)</f>
        <v>#REF!</v>
      </c>
      <c r="BU252" s="200" t="e">
        <f>_xlfn.XLOOKUP(FMS_Ranking4[[#This Row],[FMS ID]],#REF!,#REF!)</f>
        <v>#REF!</v>
      </c>
      <c r="BV252" s="200">
        <f>FMS_Ranking4[[#This Row],[Region Number]]</f>
        <v>3</v>
      </c>
      <c r="BW252" s="200">
        <f>FMS_Ranking4[[#This Row],[Rank (with ArcSinh normalization of select criteria)]]-FMS_Ranking4[[#This Row],[Rank
(with linear
normalization)]]</f>
        <v>176</v>
      </c>
      <c r="BX252" s="200" t="e">
        <f>FMS_Ranking4[[#This Row],[Log Rank]]-FMS_Ranking4[[#This Row],[Rank
(with linear
normalization)]]</f>
        <v>#REF!</v>
      </c>
      <c r="BY252" s="200" t="str">
        <f>IF(FMS_Ranking4[[#This Row],[FMS Type]]="Flood Measurement and Warning",FMS_Ranking4[[#This Row],[Rank (with ArcSinh normalization of select criteria)]],"")</f>
        <v/>
      </c>
      <c r="BZ252" s="200" t="str">
        <f>IF(FMS_Ranking4[[#This Row],[FMS Type]]="Regulatory and Guidance",FMS_Ranking4[[#This Row],[Rank (with ArcSinh normalization of select criteria)]],"")</f>
        <v/>
      </c>
      <c r="CA252" s="200" t="str">
        <f>IF(FMS_Ranking4[[#This Row],[FMS Type]]="Education and Outreach",FMS_Ranking4[[#This Row],[Rank (with ArcSinh normalization of select criteria)]],"")</f>
        <v/>
      </c>
      <c r="CB252" s="200">
        <f>IF(FMS_Ranking4[[#This Row],[FMS Type]]="Property Acquisition and Structural Elevation",FMS_Ranking4[[#This Row],[Rank (with ArcSinh normalization of select criteria)]],"")</f>
        <v>245</v>
      </c>
      <c r="CC252" s="200" t="str">
        <f>IF(FMS_Ranking4[[#This Row],[FMS Type]]="Infrastructure Projects",FMS_Ranking4[[#This Row],[Rank (with ArcSinh normalization of select criteria)]],"")</f>
        <v/>
      </c>
      <c r="CD252" s="200" t="str">
        <f>IF(FMS_Ranking4[[#This Row],[FMS Type]]="Other",FMS_Ranking4[[#This Row],[Rank (with ArcSinh normalization of select criteria)]],"")</f>
        <v/>
      </c>
      <c r="CE252" s="201"/>
      <c r="CF252" s="206"/>
      <c r="CG252" s="206"/>
      <c r="CH252" s="206"/>
      <c r="CI252" s="206"/>
      <c r="CJ252" s="206"/>
      <c r="CK252" s="206"/>
      <c r="CL252" s="206"/>
      <c r="CM252" s="206"/>
      <c r="CN252" s="206"/>
      <c r="CO252" s="206"/>
      <c r="CP252" s="206"/>
      <c r="CQ252" s="206"/>
      <c r="CR252" s="206"/>
    </row>
    <row r="253" spans="2:96" ht="90" x14ac:dyDescent="0.25">
      <c r="B253" s="341" t="s">
        <v>3644</v>
      </c>
      <c r="C253" s="246">
        <f>_xlfn.XLOOKUP(FMS_Ranking4[[#This Row],[FMS ID]],FMS_Input[FMS_ID],FMS_Input[RFPG_NUM])</f>
        <v>13</v>
      </c>
      <c r="D253" s="309" t="str">
        <f>_xlfn.XLOOKUP(FMS_Ranking4[[#This Row],[FMS ID]],FMS_Input[FMS_ID],FMS_Input[FMS_NAME])</f>
        <v xml:space="preserve">City of Alice &amp; Jim Wells County Multi-Hazard Mitigation Plan - Create a Buyout Program for Repetitive Loss Properties  </v>
      </c>
      <c r="E253" s="308" t="str">
        <f>_xlfn.XLOOKUP(FMS_Ranking4[[#This Row],[FMS ID]],FMS_Input[FMS_ID],FMS_Input[SPONSOR])</f>
        <v>13003128</v>
      </c>
      <c r="F253" s="309" t="str">
        <f>_xlfn.XLOOKUP(FMS_Ranking4[[#This Row],[FMS ID]],Sponsor[FMS_ID],Sponsor[SPONSOR NAME])</f>
        <v>Alice</v>
      </c>
      <c r="G253" s="309" t="str">
        <f>_xlfn.XLOOKUP(FMS_Ranking4[[#This Row],[FMS ID]],FMS_Input[FMS_ID],FMS_Input[FMS_DESCR])</f>
        <v xml:space="preserve">This action will develop and implement a program to buyout repetitive loss properties to expand drainage systems. </v>
      </c>
      <c r="H253" s="248" t="str">
        <f>_xlfn.XLOOKUP(FMS_Ranking4[[#This Row],[FMS ID]],FMS_Input[FMS_ID],FMS_Input[FMS_TYPE])</f>
        <v>Property Acquisition and Structural Elevation</v>
      </c>
      <c r="I253" s="249">
        <f>_xlfn.XLOOKUP(FMS_Ranking4[[#This Row],[FMS ID]],FMS_Input[FMS_ID],FMS_Input[NRNC_COST])</f>
        <v>5000000</v>
      </c>
      <c r="J253" s="250">
        <f>_xlfn.XLOOKUP(FMS_Ranking4[[#This Row],[FMS ID]],FMS_Input[FMS_ID],FMS_Input[FMS_COST])</f>
        <v>5000000</v>
      </c>
      <c r="K253" s="251" t="str">
        <f>_xlfn.XLOOKUP(FMS_Ranking4[[#This Row],[FMS ID]],FMS_Input[FMS_ID],FMS_Input[EMER_NEED])</f>
        <v>Yes</v>
      </c>
      <c r="L253" s="252">
        <f t="shared" si="3"/>
        <v>1</v>
      </c>
      <c r="M253" s="253">
        <f>_xlfn.XLOOKUP(FMS_Ranking4[[#This Row],[FMS ID]],FMS_Input[FMS_ID],FMS_Input[STRUCT_100])</f>
        <v>893</v>
      </c>
      <c r="N253" s="255">
        <f>(ASINH(FMS_Ranking4[[#This Row],[Structure at Risk Raw]]))*(10)/(ASINH(M$4))</f>
        <v>5.8864738582157177</v>
      </c>
      <c r="O253" s="256">
        <f>FMS_Ranking4[[#This Row],[Structures at risk, ArcSinh (0-10)]]*M$5*10</f>
        <v>5.8864738582157186</v>
      </c>
      <c r="P253" s="253">
        <f>_xlfn.XLOOKUP(FMS_Ranking4[[#This Row],[FMS ID]],FMS_Input[FMS_ID],FMS_Input[RES_STRUCT100])</f>
        <v>572</v>
      </c>
      <c r="Q253" s="257">
        <f>ASINH(FMS_Ranking4[[#This Row],[Res Structure Raw]])/Q$4*P$5*100</f>
        <v>0</v>
      </c>
      <c r="R253" s="253">
        <f>_xlfn.XLOOKUP(FMS_Ranking4[[#This Row],[FMS ID]],FMS_Input[FMS_ID],FMS_Input[POP100])</f>
        <v>6681</v>
      </c>
      <c r="S253" s="255">
        <f>(ASINH(FMS_Ranking4[[#This Row],[Pop at Risk Raw]]))*(10)/(ASINH(R$4))</f>
        <v>6.5585205293341957</v>
      </c>
      <c r="T253" s="256">
        <f>FMS_Ranking4[[#This Row],[Population at risk, ArcSinh (0-10)]]*R$5*10</f>
        <v>6.5585205293341966</v>
      </c>
      <c r="U253" s="253">
        <f>_xlfn.XLOOKUP(FMS_Ranking4[[#This Row],[FMS ID]],FMS_Input[FMS_ID],FMS_Input[CRITFAC100])</f>
        <v>8</v>
      </c>
      <c r="V253" s="255">
        <f>(ASINH(FMS_Ranking4[[#This Row],[Critical Facilities Raw]]))*(10)/(ASINH(U$4))</f>
        <v>3.286688318109702</v>
      </c>
      <c r="W253" s="256">
        <f>FMS_Ranking4[[#This Row],[Critical facilities at risk, ArcSinh (0-10)]]*U$5*10</f>
        <v>3.2866883181097024</v>
      </c>
      <c r="X253" s="253">
        <f>_xlfn.XLOOKUP(FMS_Ranking4[[#This Row],[FMS ID]],FMS_Input[FMS_ID],FMS_Input[LWC])</f>
        <v>4</v>
      </c>
      <c r="Y253" s="255">
        <f>(ASINH(FMS_Ranking4[[#This Row],[LWC Raw]]))*(10)/(ASINH(X$4))</f>
        <v>2.8377862217928165</v>
      </c>
      <c r="Z253" s="256">
        <f>FMS_Ranking4[[#This Row],[LWC, ArcSInh (0-10)]]*X$5*10</f>
        <v>2.8377862217928169</v>
      </c>
      <c r="AA253" s="253">
        <f>_xlfn.XLOOKUP(FMS_Ranking4[[#This Row],[FMS ID]],FMS_Input[FMS_ID],FMS_Input[ROADCLS])</f>
        <v>296</v>
      </c>
      <c r="AB253" s="255">
        <f>(ASINH(FMS_Ranking4[[#This Row],[Road Closures Raw]]))*(10)/(ASINH(AA$4))</f>
        <v>6.6478392335995862</v>
      </c>
      <c r="AC253" s="256">
        <f>FMS_Ranking4[[#This Row],[Road closures, ArcSinh (0-10)]]*AA$5*10</f>
        <v>3.3239196167997931</v>
      </c>
      <c r="AD253" s="253">
        <f>_xlfn.XLOOKUP(FMS_Ranking4[[#This Row],[FMS ID]],FMS_Input[FMS_ID],FMS_Input[ROAD_MILES100])</f>
        <v>19</v>
      </c>
      <c r="AE253" s="255">
        <f>(ASINH(FMS_Ranking4[[#This Row],[Road Miles Raw]]))*(10)/(ASINH(AD$4))</f>
        <v>3.877403329266758</v>
      </c>
      <c r="AF253" s="256">
        <f>FMS_Ranking4[[#This Row],[Length of roads at risk, ArcSinh (0-10)]]*AD$5*10</f>
        <v>3.877403329266758</v>
      </c>
      <c r="AG253" s="253">
        <f>_xlfn.XLOOKUP(FMS_Ranking4[[#This Row],[FMS ID]],FMS_Input[FMS_ID],FMS_Input[FARMACRE100])</f>
        <v>131.8397216796875</v>
      </c>
      <c r="AH253" s="255">
        <f>(ASINH(FMS_Ranking4[[#This Row],[Ag Land Raw]]))*(10)/(ASINH(AG$4))</f>
        <v>3.6212533335784234</v>
      </c>
      <c r="AI253" s="260">
        <f>FMS_Ranking4[[#This Row],[Farm &amp; ranch land, ArcSinh (0-10)]]*AG$5*10</f>
        <v>1.8106266667892119</v>
      </c>
      <c r="AJ253" s="258">
        <f>_xlfn.XLOOKUP(FMS_Ranking4[[#This Row],[FMS ID]],FMS_Input[FMS_ID],FMS_Input[REDSTRUCT100])</f>
        <v>0</v>
      </c>
      <c r="AK253" s="253">
        <f>_xlfn.XLOOKUP(FMS_Ranking4[[#This Row],[FMS ID]],FMS_Input[FMS_ID],FMS_Input[REMSTRC100])</f>
        <v>0</v>
      </c>
      <c r="AL253" s="255">
        <f>(ASINH(FMS_Ranking4[[#This Row],[Structures Removed Raw]]))*(10)/(ASINH(AK$4))</f>
        <v>0</v>
      </c>
      <c r="AM253" s="262">
        <f>FMS_Ranking4[[#This Row],[Structures removed, ArcSinh (0-10)]]*AK$5*10</f>
        <v>0</v>
      </c>
      <c r="AN253" s="253">
        <f>_xlfn.XLOOKUP(FMS_Ranking4[[#This Row],[FMS ID]],FMS_Input[FMS_ID],FMS_Input[REMRESSTRC100])</f>
        <v>0</v>
      </c>
      <c r="AO253" s="261">
        <f>FMS_Ranking4[[#This Row],[ArcSinh Res struct removed 0-10]]*AN$5*10</f>
        <v>0</v>
      </c>
      <c r="AP253" s="260">
        <f>ASINH(FMS_Ranking4[[#This Row],[Residential Structures Removed Raw]])/AP$4*AN$5*100</f>
        <v>0</v>
      </c>
      <c r="AQ253" s="258">
        <f>(ASINH(FMS_Ranking4[[#This Row],[Residential Structures Removed Raw]]))*(10)/(ASINH(AN$4))</f>
        <v>0</v>
      </c>
      <c r="AR253" s="253">
        <f>_xlfn.XLOOKUP(FMS_Ranking4[[#This Row],[FMS ID]],FMS_Input[FMS_ID],FMS_Input[REMPOP100])</f>
        <v>0</v>
      </c>
      <c r="AS253" s="255">
        <f>(ASINH(FMS_Ranking4[[#This Row],[Removed Pop Raw]]))*(10)/(ASINH(AR$4))</f>
        <v>0</v>
      </c>
      <c r="AT253" s="262">
        <f>FMS_Ranking4[[#This Row],[Removed population, ArcSinh (0-10)]]*AR$5*10</f>
        <v>0</v>
      </c>
      <c r="AU253" s="264">
        <f>_xlfn.XLOOKUP(FMS_Ranking4[[#This Row],[FMS ID]],FMS_Input[FMS_ID],FMS_Input[REMCRITFAC100])</f>
        <v>0</v>
      </c>
      <c r="AV253" s="264">
        <f>_xlfn.XLOOKUP(FMS_Ranking4[[#This Row],[FMS ID]],FMS_Input[FMS_ID],FMS_Input[REMLWC100])</f>
        <v>0</v>
      </c>
      <c r="AW253" s="264">
        <f>_xlfn.XLOOKUP(FMS_Ranking4[[#This Row],[FMS ID]],FMS_Input[FMS_ID],FMS_Input[REMROADCLS])</f>
        <v>0</v>
      </c>
      <c r="AX253" s="264">
        <f>_xlfn.XLOOKUP(FMS_Ranking4[[#This Row],[FMS ID]],FMS_Input[FMS_ID],FMS_Input[REMFRMACRE100])</f>
        <v>0</v>
      </c>
      <c r="AY253" s="258">
        <f>_xlfn.XLOOKUP(FMS_Ranking4[[#This Row],[FMS ID]],FMS_Input[FMS_ID],FMS_Input[COSTSTRUCT])</f>
        <v>0</v>
      </c>
      <c r="AZ253" s="253">
        <f>_xlfn.XLOOKUP(FMS_Ranking4[[#This Row],[FMS ID]],FMS_Input[FMS_ID],FMS_Input[NATURE])</f>
        <v>0</v>
      </c>
      <c r="BA253" s="262">
        <f>(((FMS_Ranking4[[#This Row],[% NBS Raw]]/AZ$4)*100)*AZ$5)</f>
        <v>0</v>
      </c>
      <c r="BB253" s="251" t="str">
        <f>_xlfn.XLOOKUP(FMS_Ranking4[[#This Row],[FMS ID]],FMS_Input[FMS_ID],FMS_Input[WATER_SUP])</f>
        <v>No</v>
      </c>
      <c r="BC253" s="265">
        <f>IF(FMS_Ranking4[[#This Row],[Water Supply Raw]]="Yes",10,0)</f>
        <v>0</v>
      </c>
      <c r="BD253" s="266">
        <f>_xlfn.XLOOKUP(FMS_Ranking4[[#This Row],[FMS Type]],FMS_TYPE[FMS_Type],FMS_TYPE[Score])</f>
        <v>4</v>
      </c>
      <c r="BE253" s="267">
        <f>FMS_Ranking4[[#This Row],[FMS_Type Score]]*$BD$5*10</f>
        <v>1</v>
      </c>
      <c r="BF25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0.43815021922108599</v>
      </c>
      <c r="BG253" s="321">
        <f>_xlfn.RANK.EQ(BF253,$BF$8:$BF$870,0)+COUNTIF($BF$8:BF253,BF253)-1</f>
        <v>246</v>
      </c>
      <c r="BH253" s="294">
        <f>(((FMS_Ranking4[[#This Row],[Structures Removed Raw]]/AK$4)*100)*AK$5)+(((FMS_Ranking4[[#This Row],[Removed Pop Raw]]/AR$4)*100)*AR$5)</f>
        <v>0</v>
      </c>
      <c r="BI25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1.438150219221086</v>
      </c>
      <c r="BJ253" s="251">
        <f>_xlfn.RANK.EQ(FMS_Ranking4[[#This Row],[Total Score 
(with linear
normalization)]],FMS_Ranking4[Total Score 
(with linear
normalization)],0)</f>
        <v>616</v>
      </c>
      <c r="BK253" s="251" t="e">
        <f>_xlfn.XLOOKUP(FMS_Ranking4[[#This Row],[FMS ID]],#REF!,#REF!)</f>
        <v>#REF!</v>
      </c>
      <c r="BL25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27.581418540308196</v>
      </c>
      <c r="BM253" s="324">
        <f>FMS_Ranking4[[#This Row],[ArcSinh Score Based on Normalized Reported Factors]]+FMS_Ranking4[[#This Row],[% NBS Score (Normalized)]]+(FMS_Ranking4[[#This Row],[Water Supply Score (Normalized)]]*10*$BB$5)+FMS_Ranking4[[#This Row],[FMS_Type Score Weighted]]</f>
        <v>28.581418540308196</v>
      </c>
      <c r="BN253" s="251">
        <f>_xlfn.RANK.EQ(FMS_Ranking4[[#This Row],[Total Score (with ArcSinh normalization of select criteria)]],FMS_Ranking4[Total Score (with ArcSinh normalization of select criteria)],0)</f>
        <v>246</v>
      </c>
      <c r="BO253" s="270" t="str">
        <f>_xlfn.XLOOKUP(FMS_Ranking4[[#This Row],[FMS ID]],FMS_Input[FMS_ID],FMS_Input[FMS_RANK_YEAR])</f>
        <v>2023 Amended Plan</v>
      </c>
      <c r="BP253" s="204">
        <f>_xlfn.XLOOKUP(FMS_Ranking4[[#This Row],[FMS ID]],Prev_Rank[FMS ID],Prev_Rank[Prev Rank])</f>
        <v>216</v>
      </c>
      <c r="BQ253" s="251" t="e">
        <f>_xlfn.XLOOKUP(FMS_Ranking4[[#This Row],[FMS ID]],#REF!,#REF!)</f>
        <v>#REF!</v>
      </c>
      <c r="BR253" s="199" t="e">
        <f>SUM(#REF!,#REF!,#REF!,#REF!,#REF!,#REF!,#REF!,#REF!,#REF!,FMS_Ranking4[[#This Row],[ArcSinh Res struct removed 0-10]],#REF!)</f>
        <v>#REF!</v>
      </c>
      <c r="BS253" s="199" t="e">
        <f>FMS_Ranking4[[#This Row],[Log Score Based on Normalized Reported Factors]]+FMS_Ranking4[[#This Row],[% NBS Score (Normalized)]]+(FMS_Ranking4[[#This Row],[Water Supply Score (Normalized)]]*10*$BB$5)+(FMS_Ranking4[[#This Row],[FMS_Type Score Weighted]])</f>
        <v>#REF!</v>
      </c>
      <c r="BT253" s="200" t="e">
        <f>_xlfn.RANK.EQ(FMS_Ranking4[[#This Row],[Log Total Score]],FMS_Ranking4[Log Total Score],0)</f>
        <v>#REF!</v>
      </c>
      <c r="BU253" s="200" t="e">
        <f>_xlfn.XLOOKUP(FMS_Ranking4[[#This Row],[FMS ID]],#REF!,#REF!)</f>
        <v>#REF!</v>
      </c>
      <c r="BV253" s="200">
        <f>FMS_Ranking4[[#This Row],[Region Number]]</f>
        <v>13</v>
      </c>
      <c r="BW253" s="200">
        <f>FMS_Ranking4[[#This Row],[Rank (with ArcSinh normalization of select criteria)]]-FMS_Ranking4[[#This Row],[Rank
(with linear
normalization)]]</f>
        <v>-370</v>
      </c>
      <c r="BX253" s="200" t="e">
        <f>FMS_Ranking4[[#This Row],[Log Rank]]-FMS_Ranking4[[#This Row],[Rank
(with linear
normalization)]]</f>
        <v>#REF!</v>
      </c>
      <c r="BY253" s="200" t="str">
        <f>IF(FMS_Ranking4[[#This Row],[FMS Type]]="Flood Measurement and Warning",FMS_Ranking4[[#This Row],[Rank (with ArcSinh normalization of select criteria)]],"")</f>
        <v/>
      </c>
      <c r="BZ253" s="200" t="str">
        <f>IF(FMS_Ranking4[[#This Row],[FMS Type]]="Regulatory and Guidance",FMS_Ranking4[[#This Row],[Rank (with ArcSinh normalization of select criteria)]],"")</f>
        <v/>
      </c>
      <c r="CA253" s="200" t="str">
        <f>IF(FMS_Ranking4[[#This Row],[FMS Type]]="Education and Outreach",FMS_Ranking4[[#This Row],[Rank (with ArcSinh normalization of select criteria)]],"")</f>
        <v/>
      </c>
      <c r="CB253" s="200">
        <f>IF(FMS_Ranking4[[#This Row],[FMS Type]]="Property Acquisition and Structural Elevation",FMS_Ranking4[[#This Row],[Rank (with ArcSinh normalization of select criteria)]],"")</f>
        <v>246</v>
      </c>
      <c r="CC253" s="200" t="str">
        <f>IF(FMS_Ranking4[[#This Row],[FMS Type]]="Infrastructure Projects",FMS_Ranking4[[#This Row],[Rank (with ArcSinh normalization of select criteria)]],"")</f>
        <v/>
      </c>
      <c r="CD253" s="200" t="str">
        <f>IF(FMS_Ranking4[[#This Row],[FMS Type]]="Other",FMS_Ranking4[[#This Row],[Rank (with ArcSinh normalization of select criteria)]],"")</f>
        <v/>
      </c>
      <c r="CE253" s="201"/>
      <c r="CF253" s="206"/>
      <c r="CG253" s="206"/>
      <c r="CH253" s="206"/>
      <c r="CI253" s="206"/>
      <c r="CJ253" s="206"/>
      <c r="CK253" s="206"/>
      <c r="CL253" s="206"/>
      <c r="CM253" s="206"/>
      <c r="CN253" s="206"/>
      <c r="CO253" s="206"/>
      <c r="CP253" s="206"/>
      <c r="CQ253" s="206"/>
      <c r="CR253" s="206"/>
    </row>
    <row r="254" spans="2:96" ht="90" x14ac:dyDescent="0.25">
      <c r="B254" s="341" t="s">
        <v>144</v>
      </c>
      <c r="C254" s="246">
        <f>_xlfn.XLOOKUP(FMS_Ranking4[[#This Row],[FMS ID]],FMS_Input[FMS_ID],FMS_Input[RFPG_NUM])</f>
        <v>6</v>
      </c>
      <c r="D254" s="309" t="str">
        <f>_xlfn.XLOOKUP(FMS_Ranking4[[#This Row],[FMS ID]],FMS_Input[FMS_ID],FMS_Input[FMS_NAME])</f>
        <v>City of Bellaire Flood Early Warning System</v>
      </c>
      <c r="E254" s="308" t="str">
        <f>_xlfn.XLOOKUP(FMS_Ranking4[[#This Row],[FMS ID]],FMS_Input[FMS_ID],FMS_Input[SPONSOR])</f>
        <v>06002854</v>
      </c>
      <c r="F254" s="309" t="str">
        <f>_xlfn.XLOOKUP(FMS_Ranking4[[#This Row],[FMS ID]],Sponsor[FMS_ID],Sponsor[SPONSOR NAME])</f>
        <v>Bellaire</v>
      </c>
      <c r="G254" s="309" t="str">
        <f>_xlfn.XLOOKUP(FMS_Ranking4[[#This Row],[FMS ID]],FMS_Input[FMS_ID],FMS_Input[FMS_DESCR])</f>
        <v>Develop Flood Early Warning System for the City of Bellaire to inform emergency responders and to assist residents in making safe decisions during major storm events.</v>
      </c>
      <c r="H254" s="248" t="str">
        <f>_xlfn.XLOOKUP(FMS_Ranking4[[#This Row],[FMS ID]],FMS_Input[FMS_ID],FMS_Input[FMS_TYPE])</f>
        <v>Flood Measurement and Warning</v>
      </c>
      <c r="I254" s="249">
        <f>_xlfn.XLOOKUP(FMS_Ranking4[[#This Row],[FMS ID]],FMS_Input[FMS_ID],FMS_Input[NRNC_COST])</f>
        <v>7500</v>
      </c>
      <c r="J254" s="250">
        <f>_xlfn.XLOOKUP(FMS_Ranking4[[#This Row],[FMS ID]],FMS_Input[FMS_ID],FMS_Input[FMS_COST])</f>
        <v>150000</v>
      </c>
      <c r="K254" s="251" t="str">
        <f>_xlfn.XLOOKUP(FMS_Ranking4[[#This Row],[FMS ID]],FMS_Input[FMS_ID],FMS_Input[EMER_NEED])</f>
        <v>No</v>
      </c>
      <c r="L254" s="252">
        <f t="shared" si="3"/>
        <v>0</v>
      </c>
      <c r="M254" s="253">
        <f>_xlfn.XLOOKUP(FMS_Ranking4[[#This Row],[FMS ID]],FMS_Input[FMS_ID],FMS_Input[STRUCT_100])</f>
        <v>5879</v>
      </c>
      <c r="N254" s="255">
        <f>(ASINH(FMS_Ranking4[[#This Row],[Structure at Risk Raw]]))*(10)/(ASINH(M$4))</f>
        <v>7.368014742322452</v>
      </c>
      <c r="O254" s="256">
        <f>FMS_Ranking4[[#This Row],[Structures at risk, ArcSinh (0-10)]]*M$5*10</f>
        <v>7.3680147423224529</v>
      </c>
      <c r="P254" s="253">
        <f>_xlfn.XLOOKUP(FMS_Ranking4[[#This Row],[FMS ID]],FMS_Input[FMS_ID],FMS_Input[RES_STRUCT100])</f>
        <v>5539</v>
      </c>
      <c r="Q254" s="257">
        <f>ASINH(FMS_Ranking4[[#This Row],[Res Structure Raw]])/Q$4*P$5*100</f>
        <v>0</v>
      </c>
      <c r="R254" s="253">
        <f>_xlfn.XLOOKUP(FMS_Ranking4[[#This Row],[FMS ID]],FMS_Input[FMS_ID],FMS_Input[POP100])</f>
        <v>25741</v>
      </c>
      <c r="S254" s="255">
        <f>(ASINH(FMS_Ranking4[[#This Row],[Pop at Risk Raw]]))*(10)/(ASINH(R$4))</f>
        <v>7.4896876847086586</v>
      </c>
      <c r="T254" s="256">
        <f>FMS_Ranking4[[#This Row],[Population at risk, ArcSinh (0-10)]]*R$5*10</f>
        <v>7.4896876847086595</v>
      </c>
      <c r="U254" s="253">
        <f>_xlfn.XLOOKUP(FMS_Ranking4[[#This Row],[FMS ID]],FMS_Input[FMS_ID],FMS_Input[CRITFAC100])</f>
        <v>71</v>
      </c>
      <c r="V254" s="255">
        <f>(ASINH(FMS_Ranking4[[#This Row],[Critical Facilities Raw]]))*(10)/(ASINH(U$4))</f>
        <v>5.8665890510003154</v>
      </c>
      <c r="W254" s="256">
        <f>FMS_Ranking4[[#This Row],[Critical facilities at risk, ArcSinh (0-10)]]*U$5*10</f>
        <v>5.8665890510003162</v>
      </c>
      <c r="X254" s="253">
        <f>_xlfn.XLOOKUP(FMS_Ranking4[[#This Row],[FMS ID]],FMS_Input[FMS_ID],FMS_Input[LWC])</f>
        <v>0</v>
      </c>
      <c r="Y254" s="255">
        <f>(ASINH(FMS_Ranking4[[#This Row],[LWC Raw]]))*(10)/(ASINH(X$4))</f>
        <v>0</v>
      </c>
      <c r="Z254" s="256">
        <f>FMS_Ranking4[[#This Row],[LWC, ArcSInh (0-10)]]*X$5*10</f>
        <v>0</v>
      </c>
      <c r="AA254" s="253">
        <f>_xlfn.XLOOKUP(FMS_Ranking4[[#This Row],[FMS ID]],FMS_Input[FMS_ID],FMS_Input[ROADCLS])</f>
        <v>0</v>
      </c>
      <c r="AB254" s="255">
        <f>(ASINH(FMS_Ranking4[[#This Row],[Road Closures Raw]]))*(10)/(ASINH(AA$4))</f>
        <v>0</v>
      </c>
      <c r="AC254" s="256">
        <f>FMS_Ranking4[[#This Row],[Road closures, ArcSinh (0-10)]]*AA$5*10</f>
        <v>0</v>
      </c>
      <c r="AD254" s="253">
        <f>_xlfn.XLOOKUP(FMS_Ranking4[[#This Row],[FMS ID]],FMS_Input[FMS_ID],FMS_Input[ROAD_MILES100])</f>
        <v>71</v>
      </c>
      <c r="AE254" s="255">
        <f>(ASINH(FMS_Ranking4[[#This Row],[Road Miles Raw]]))*(10)/(ASINH(AD$4))</f>
        <v>5.2816010241547486</v>
      </c>
      <c r="AF254" s="256">
        <f>FMS_Ranking4[[#This Row],[Length of roads at risk, ArcSinh (0-10)]]*AD$5*10</f>
        <v>5.2816010241547486</v>
      </c>
      <c r="AG254" s="253">
        <f>_xlfn.XLOOKUP(FMS_Ranking4[[#This Row],[FMS ID]],FMS_Input[FMS_ID],FMS_Input[FARMACRE100])</f>
        <v>0.1517360061407089</v>
      </c>
      <c r="AH254" s="255">
        <f>(ASINH(FMS_Ranking4[[#This Row],[Ag Land Raw]]))*(10)/(ASINH(AG$4))</f>
        <v>9.8190540267440299E-2</v>
      </c>
      <c r="AI254" s="260">
        <f>FMS_Ranking4[[#This Row],[Farm &amp; ranch land, ArcSinh (0-10)]]*AG$5*10</f>
        <v>4.9095270133720156E-2</v>
      </c>
      <c r="AJ254" s="258">
        <f>_xlfn.XLOOKUP(FMS_Ranking4[[#This Row],[FMS ID]],FMS_Input[FMS_ID],FMS_Input[REDSTRUCT100])</f>
        <v>0</v>
      </c>
      <c r="AK254" s="253">
        <f>_xlfn.XLOOKUP(FMS_Ranking4[[#This Row],[FMS ID]],FMS_Input[FMS_ID],FMS_Input[REMSTRC100])</f>
        <v>0</v>
      </c>
      <c r="AL254" s="255">
        <f>(ASINH(FMS_Ranking4[[#This Row],[Structures Removed Raw]]))*(10)/(ASINH(AK$4))</f>
        <v>0</v>
      </c>
      <c r="AM254" s="262">
        <f>FMS_Ranking4[[#This Row],[Structures removed, ArcSinh (0-10)]]*AK$5*10</f>
        <v>0</v>
      </c>
      <c r="AN254" s="253">
        <f>_xlfn.XLOOKUP(FMS_Ranking4[[#This Row],[FMS ID]],FMS_Input[FMS_ID],FMS_Input[REMRESSTRC100])</f>
        <v>0</v>
      </c>
      <c r="AO254" s="261">
        <f>FMS_Ranking4[[#This Row],[ArcSinh Res struct removed 0-10]]*AN$5*10</f>
        <v>0</v>
      </c>
      <c r="AP254" s="260">
        <f>ASINH(FMS_Ranking4[[#This Row],[Residential Structures Removed Raw]])/AP$4*AN$5*100</f>
        <v>0</v>
      </c>
      <c r="AQ254" s="258">
        <f>(ASINH(FMS_Ranking4[[#This Row],[Residential Structures Removed Raw]]))*(10)/(ASINH(AN$4))</f>
        <v>0</v>
      </c>
      <c r="AR254" s="253">
        <f>_xlfn.XLOOKUP(FMS_Ranking4[[#This Row],[FMS ID]],FMS_Input[FMS_ID],FMS_Input[REMPOP100])</f>
        <v>0</v>
      </c>
      <c r="AS254" s="255">
        <f>(ASINH(FMS_Ranking4[[#This Row],[Removed Pop Raw]]))*(10)/(ASINH(AR$4))</f>
        <v>0</v>
      </c>
      <c r="AT254" s="262">
        <f>FMS_Ranking4[[#This Row],[Removed population, ArcSinh (0-10)]]*AR$5*10</f>
        <v>0</v>
      </c>
      <c r="AU254" s="264">
        <f>_xlfn.XLOOKUP(FMS_Ranking4[[#This Row],[FMS ID]],FMS_Input[FMS_ID],FMS_Input[REMCRITFAC100])</f>
        <v>0</v>
      </c>
      <c r="AV254" s="264">
        <f>_xlfn.XLOOKUP(FMS_Ranking4[[#This Row],[FMS ID]],FMS_Input[FMS_ID],FMS_Input[REMLWC100])</f>
        <v>0</v>
      </c>
      <c r="AW254" s="264">
        <f>_xlfn.XLOOKUP(FMS_Ranking4[[#This Row],[FMS ID]],FMS_Input[FMS_ID],FMS_Input[REMROADCLS])</f>
        <v>0</v>
      </c>
      <c r="AX254" s="264">
        <f>_xlfn.XLOOKUP(FMS_Ranking4[[#This Row],[FMS ID]],FMS_Input[FMS_ID],FMS_Input[REMFRMACRE100])</f>
        <v>0</v>
      </c>
      <c r="AY254" s="258">
        <f>_xlfn.XLOOKUP(FMS_Ranking4[[#This Row],[FMS ID]],FMS_Input[FMS_ID],FMS_Input[COSTSTRUCT])</f>
        <v>0</v>
      </c>
      <c r="AZ254" s="253">
        <f>_xlfn.XLOOKUP(FMS_Ranking4[[#This Row],[FMS ID]],FMS_Input[FMS_ID],FMS_Input[NATURE])</f>
        <v>0</v>
      </c>
      <c r="BA254" s="262">
        <f>(((FMS_Ranking4[[#This Row],[% NBS Raw]]/AZ$4)*100)*AZ$5)</f>
        <v>0</v>
      </c>
      <c r="BB254" s="251" t="str">
        <f>_xlfn.XLOOKUP(FMS_Ranking4[[#This Row],[FMS ID]],FMS_Input[FMS_ID],FMS_Input[WATER_SUP])</f>
        <v>No</v>
      </c>
      <c r="BC254" s="265">
        <f>IF(FMS_Ranking4[[#This Row],[Water Supply Raw]]="Yes",10,0)</f>
        <v>0</v>
      </c>
      <c r="BD254" s="266">
        <f>_xlfn.XLOOKUP(FMS_Ranking4[[#This Row],[FMS Type]],FMS_TYPE[FMS_Type],FMS_TYPE[Score])</f>
        <v>10</v>
      </c>
      <c r="BE254" s="267">
        <f>FMS_Ranking4[[#This Row],[FMS_Type Score]]*$BD$5*10</f>
        <v>2.5</v>
      </c>
      <c r="BF25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1.0389833579804335</v>
      </c>
      <c r="BG254" s="321">
        <f>_xlfn.RANK.EQ(BF254,$BF$8:$BF$870,0)+COUNTIF($BF$8:BF254,BF254)-1</f>
        <v>139</v>
      </c>
      <c r="BH254" s="294">
        <f>(((FMS_Ranking4[[#This Row],[Structures Removed Raw]]/AK$4)*100)*AK$5)+(((FMS_Ranking4[[#This Row],[Removed Pop Raw]]/AR$4)*100)*AR$5)</f>
        <v>0</v>
      </c>
      <c r="BI25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3.5389833579804337</v>
      </c>
      <c r="BJ254" s="251">
        <f>_xlfn.RANK.EQ(FMS_Ranking4[[#This Row],[Total Score 
(with linear
normalization)]],FMS_Ranking4[Total Score 
(with linear
normalization)],0)</f>
        <v>147</v>
      </c>
      <c r="BK254" s="251" t="e">
        <f>_xlfn.XLOOKUP(FMS_Ranking4[[#This Row],[FMS ID]],#REF!,#REF!)</f>
        <v>#REF!</v>
      </c>
      <c r="BL25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26.054987772319897</v>
      </c>
      <c r="BM254" s="324">
        <f>FMS_Ranking4[[#This Row],[ArcSinh Score Based on Normalized Reported Factors]]+FMS_Ranking4[[#This Row],[% NBS Score (Normalized)]]+(FMS_Ranking4[[#This Row],[Water Supply Score (Normalized)]]*10*$BB$5)+FMS_Ranking4[[#This Row],[FMS_Type Score Weighted]]</f>
        <v>28.554987772319897</v>
      </c>
      <c r="BN254" s="251">
        <f>_xlfn.RANK.EQ(FMS_Ranking4[[#This Row],[Total Score (with ArcSinh normalization of select criteria)]],FMS_Ranking4[Total Score (with ArcSinh normalization of select criteria)],0)</f>
        <v>247</v>
      </c>
      <c r="BO254" s="270" t="str">
        <f>_xlfn.XLOOKUP(FMS_Ranking4[[#This Row],[FMS ID]],FMS_Input[FMS_ID],FMS_Input[FMS_RANK_YEAR])</f>
        <v>2023 Amended Plan</v>
      </c>
      <c r="BP254" s="204">
        <f>_xlfn.XLOOKUP(FMS_Ranking4[[#This Row],[FMS ID]],Prev_Rank[FMS ID],Prev_Rank[Prev Rank])</f>
        <v>215</v>
      </c>
      <c r="BQ254" s="251" t="e">
        <f>_xlfn.XLOOKUP(FMS_Ranking4[[#This Row],[FMS ID]],#REF!,#REF!)</f>
        <v>#REF!</v>
      </c>
      <c r="BR254" s="199" t="e">
        <f>SUM(#REF!,#REF!,#REF!,#REF!,#REF!,#REF!,#REF!,#REF!,#REF!,FMS_Ranking4[[#This Row],[ArcSinh Res struct removed 0-10]],#REF!)</f>
        <v>#REF!</v>
      </c>
      <c r="BS254" s="199" t="e">
        <f>FMS_Ranking4[[#This Row],[Log Score Based on Normalized Reported Factors]]+FMS_Ranking4[[#This Row],[% NBS Score (Normalized)]]+(FMS_Ranking4[[#This Row],[Water Supply Score (Normalized)]]*10*$BB$5)+(FMS_Ranking4[[#This Row],[FMS_Type Score Weighted]])</f>
        <v>#REF!</v>
      </c>
      <c r="BT254" s="200" t="e">
        <f>_xlfn.RANK.EQ(FMS_Ranking4[[#This Row],[Log Total Score]],FMS_Ranking4[Log Total Score],0)</f>
        <v>#REF!</v>
      </c>
      <c r="BU254" s="200" t="e">
        <f>_xlfn.XLOOKUP(FMS_Ranking4[[#This Row],[FMS ID]],#REF!,#REF!)</f>
        <v>#REF!</v>
      </c>
      <c r="BV254" s="200">
        <f>FMS_Ranking4[[#This Row],[Region Number]]</f>
        <v>6</v>
      </c>
      <c r="BW254" s="200">
        <f>FMS_Ranking4[[#This Row],[Rank (with ArcSinh normalization of select criteria)]]-FMS_Ranking4[[#This Row],[Rank
(with linear
normalization)]]</f>
        <v>100</v>
      </c>
      <c r="BX254" s="200" t="e">
        <f>FMS_Ranking4[[#This Row],[Log Rank]]-FMS_Ranking4[[#This Row],[Rank
(with linear
normalization)]]</f>
        <v>#REF!</v>
      </c>
      <c r="BY254" s="200">
        <f>IF(FMS_Ranking4[[#This Row],[FMS Type]]="Flood Measurement and Warning",FMS_Ranking4[[#This Row],[Rank (with ArcSinh normalization of select criteria)]],"")</f>
        <v>247</v>
      </c>
      <c r="BZ254" s="200" t="str">
        <f>IF(FMS_Ranking4[[#This Row],[FMS Type]]="Regulatory and Guidance",FMS_Ranking4[[#This Row],[Rank (with ArcSinh normalization of select criteria)]],"")</f>
        <v/>
      </c>
      <c r="CA254" s="200" t="str">
        <f>IF(FMS_Ranking4[[#This Row],[FMS Type]]="Education and Outreach",FMS_Ranking4[[#This Row],[Rank (with ArcSinh normalization of select criteria)]],"")</f>
        <v/>
      </c>
      <c r="CB254" s="200" t="str">
        <f>IF(FMS_Ranking4[[#This Row],[FMS Type]]="Property Acquisition and Structural Elevation",FMS_Ranking4[[#This Row],[Rank (with ArcSinh normalization of select criteria)]],"")</f>
        <v/>
      </c>
      <c r="CC254" s="200" t="str">
        <f>IF(FMS_Ranking4[[#This Row],[FMS Type]]="Infrastructure Projects",FMS_Ranking4[[#This Row],[Rank (with ArcSinh normalization of select criteria)]],"")</f>
        <v/>
      </c>
      <c r="CD254" s="200" t="str">
        <f>IF(FMS_Ranking4[[#This Row],[FMS Type]]="Other",FMS_Ranking4[[#This Row],[Rank (with ArcSinh normalization of select criteria)]],"")</f>
        <v/>
      </c>
      <c r="CE254" s="201"/>
      <c r="CF254" s="206"/>
      <c r="CG254" s="206"/>
      <c r="CH254" s="206"/>
      <c r="CI254" s="206"/>
      <c r="CJ254" s="206"/>
      <c r="CK254" s="206"/>
      <c r="CL254" s="206"/>
      <c r="CM254" s="206"/>
      <c r="CN254" s="206"/>
      <c r="CO254" s="206"/>
      <c r="CP254" s="206"/>
      <c r="CQ254" s="206"/>
      <c r="CR254" s="206"/>
    </row>
    <row r="255" spans="2:96" ht="45" x14ac:dyDescent="0.25">
      <c r="B255" s="341" t="s">
        <v>1632</v>
      </c>
      <c r="C255" s="246">
        <f>_xlfn.XLOOKUP(FMS_Ranking4[[#This Row],[FMS ID]],FMS_Input[FMS_ID],FMS_Input[RFPG_NUM])</f>
        <v>2</v>
      </c>
      <c r="D255" s="309" t="str">
        <f>_xlfn.XLOOKUP(FMS_Ranking4[[#This Row],[FMS ID]],FMS_Input[FMS_ID],FMS_Input[FMS_NAME])</f>
        <v>Hopkins County NFIP Involvement</v>
      </c>
      <c r="E255" s="308" t="str">
        <f>_xlfn.XLOOKUP(FMS_Ranking4[[#This Row],[FMS ID]],FMS_Input[FMS_ID],FMS_Input[SPONSOR])</f>
        <v>Hopkins County</v>
      </c>
      <c r="F255" s="309" t="str">
        <f>_xlfn.XLOOKUP(FMS_Ranking4[[#This Row],[FMS ID]],Sponsor[FMS_ID],Sponsor[SPONSOR NAME])</f>
        <v>Hopkins County</v>
      </c>
      <c r="G255" s="309" t="str">
        <f>_xlfn.XLOOKUP(FMS_Ranking4[[#This Row],[FMS ID]],FMS_Input[FMS_ID],FMS_Input[FMS_DESCR])</f>
        <v xml:space="preserve">Application to join NFIP or adoption of equivalent standards </v>
      </c>
      <c r="H255" s="248" t="str">
        <f>_xlfn.XLOOKUP(FMS_Ranking4[[#This Row],[FMS ID]],FMS_Input[FMS_ID],FMS_Input[FMS_TYPE])</f>
        <v>Regulatory and Guidance</v>
      </c>
      <c r="I255" s="249">
        <f>_xlfn.XLOOKUP(FMS_Ranking4[[#This Row],[FMS ID]],FMS_Input[FMS_ID],FMS_Input[NRNC_COST])</f>
        <v>100000</v>
      </c>
      <c r="J255" s="250">
        <f>_xlfn.XLOOKUP(FMS_Ranking4[[#This Row],[FMS ID]],FMS_Input[FMS_ID],FMS_Input[FMS_COST])</f>
        <v>100000</v>
      </c>
      <c r="K255" s="251" t="str">
        <f>_xlfn.XLOOKUP(FMS_Ranking4[[#This Row],[FMS ID]],FMS_Input[FMS_ID],FMS_Input[EMER_NEED])</f>
        <v>No</v>
      </c>
      <c r="L255" s="252">
        <f t="shared" si="3"/>
        <v>0</v>
      </c>
      <c r="M255" s="253">
        <f>_xlfn.XLOOKUP(FMS_Ranking4[[#This Row],[FMS ID]],FMS_Input[FMS_ID],FMS_Input[STRUCT_100])</f>
        <v>702</v>
      </c>
      <c r="N255" s="255">
        <f>(ASINH(FMS_Ranking4[[#This Row],[Structure at Risk Raw]]))*(10)/(ASINH(M$4))</f>
        <v>5.6972847818615673</v>
      </c>
      <c r="O255" s="256">
        <f>FMS_Ranking4[[#This Row],[Structures at risk, ArcSinh (0-10)]]*M$5*10</f>
        <v>5.6972847818615682</v>
      </c>
      <c r="P255" s="253">
        <f>_xlfn.XLOOKUP(FMS_Ranking4[[#This Row],[FMS ID]],FMS_Input[FMS_ID],FMS_Input[RES_STRUCT100])</f>
        <v>381</v>
      </c>
      <c r="Q255" s="257">
        <f>ASINH(FMS_Ranking4[[#This Row],[Res Structure Raw]])/Q$4*P$5*100</f>
        <v>0</v>
      </c>
      <c r="R255" s="253">
        <f>_xlfn.XLOOKUP(FMS_Ranking4[[#This Row],[FMS ID]],FMS_Input[FMS_ID],FMS_Input[POP100])</f>
        <v>5081</v>
      </c>
      <c r="S255" s="259">
        <f>(ASINH(FMS_Ranking4[[#This Row],[Pop at Risk Raw]]))*(10)/(ASINH(R$4))</f>
        <v>6.3695283533719431</v>
      </c>
      <c r="T255" s="256">
        <f>FMS_Ranking4[[#This Row],[Population at risk, ArcSinh (0-10)]]*R$5*10</f>
        <v>6.369528353371944</v>
      </c>
      <c r="U255" s="253">
        <f>_xlfn.XLOOKUP(FMS_Ranking4[[#This Row],[FMS ID]],FMS_Input[FMS_ID],FMS_Input[CRITFAC100])</f>
        <v>5</v>
      </c>
      <c r="V255" s="259">
        <f>(ASINH(FMS_Ranking4[[#This Row],[Critical Facilities Raw]]))*(10)/(ASINH(U$4))</f>
        <v>2.7373815814321909</v>
      </c>
      <c r="W255" s="256">
        <f>FMS_Ranking4[[#This Row],[Critical facilities at risk, ArcSinh (0-10)]]*U$5*10</f>
        <v>2.7373815814321913</v>
      </c>
      <c r="X255" s="253">
        <f>_xlfn.XLOOKUP(FMS_Ranking4[[#This Row],[FMS ID]],FMS_Input[FMS_ID],FMS_Input[LWC])</f>
        <v>3</v>
      </c>
      <c r="Y255" s="259">
        <f>(ASINH(FMS_Ranking4[[#This Row],[LWC Raw]]))*(10)/(ASINH(X$4))</f>
        <v>2.4635181155638843</v>
      </c>
      <c r="Z255" s="256">
        <f>FMS_Ranking4[[#This Row],[LWC, ArcSInh (0-10)]]*X$5*10</f>
        <v>2.4635181155638843</v>
      </c>
      <c r="AA255" s="253">
        <f>_xlfn.XLOOKUP(FMS_Ranking4[[#This Row],[FMS ID]],FMS_Input[FMS_ID],FMS_Input[ROADCLS])</f>
        <v>0</v>
      </c>
      <c r="AB255" s="255">
        <f>(ASINH(FMS_Ranking4[[#This Row],[Road Closures Raw]]))*(10)/(ASINH(AA$4))</f>
        <v>0</v>
      </c>
      <c r="AC255" s="256">
        <f>FMS_Ranking4[[#This Row],[Road closures, ArcSinh (0-10)]]*AA$5*10</f>
        <v>0</v>
      </c>
      <c r="AD255" s="253">
        <f>_xlfn.XLOOKUP(FMS_Ranking4[[#This Row],[FMS ID]],FMS_Input[FMS_ID],FMS_Input[ROAD_MILES100])</f>
        <v>148</v>
      </c>
      <c r="AE255" s="259">
        <f>(ASINH(FMS_Ranking4[[#This Row],[Road Miles Raw]]))*(10)/(ASINH(AD$4))</f>
        <v>6.0643697858517598</v>
      </c>
      <c r="AF255" s="256">
        <f>FMS_Ranking4[[#This Row],[Length of roads at risk, ArcSinh (0-10)]]*AD$5*10</f>
        <v>6.0643697858517598</v>
      </c>
      <c r="AG255" s="253">
        <f>_xlfn.XLOOKUP(FMS_Ranking4[[#This Row],[FMS ID]],FMS_Input[FMS_ID],FMS_Input[FARMACRE100])</f>
        <v>8634.52734375</v>
      </c>
      <c r="AH255" s="255">
        <f>(ASINH(FMS_Ranking4[[#This Row],[Ag Land Raw]]))*(10)/(ASINH(AG$4))</f>
        <v>6.337752966852551</v>
      </c>
      <c r="AI255" s="260">
        <f>FMS_Ranking4[[#This Row],[Farm &amp; ranch land, ArcSinh (0-10)]]*AG$5*10</f>
        <v>3.1688764834262755</v>
      </c>
      <c r="AJ255" s="258">
        <f>_xlfn.XLOOKUP(FMS_Ranking4[[#This Row],[FMS ID]],FMS_Input[FMS_ID],FMS_Input[REDSTRUCT100])</f>
        <v>0</v>
      </c>
      <c r="AK255" s="253">
        <f>_xlfn.XLOOKUP(FMS_Ranking4[[#This Row],[FMS ID]],FMS_Input[FMS_ID],FMS_Input[REMSTRC100])</f>
        <v>0</v>
      </c>
      <c r="AL255" s="259">
        <f>(ASINH(FMS_Ranking4[[#This Row],[Structures Removed Raw]]))*(10)/(ASINH(AK$4))</f>
        <v>0</v>
      </c>
      <c r="AM255" s="262">
        <f>FMS_Ranking4[[#This Row],[Structures removed, ArcSinh (0-10)]]*AK$5*10</f>
        <v>0</v>
      </c>
      <c r="AN255" s="253">
        <f>_xlfn.XLOOKUP(FMS_Ranking4[[#This Row],[FMS ID]],FMS_Input[FMS_ID],FMS_Input[REMRESSTRC100])</f>
        <v>0</v>
      </c>
      <c r="AO255" s="261">
        <f>FMS_Ranking4[[#This Row],[ArcSinh Res struct removed 0-10]]*AN$5*10</f>
        <v>0</v>
      </c>
      <c r="AP255" s="260">
        <f>ASINH(FMS_Ranking4[[#This Row],[Residential Structures Removed Raw]])/AP$4*AN$5*100</f>
        <v>0</v>
      </c>
      <c r="AQ255" s="254">
        <f>(ASINH(FMS_Ranking4[[#This Row],[Residential Structures Removed Raw]]))*(10)/(ASINH(AN$4))</f>
        <v>0</v>
      </c>
      <c r="AR255" s="253">
        <f>_xlfn.XLOOKUP(FMS_Ranking4[[#This Row],[FMS ID]],FMS_Input[FMS_ID],FMS_Input[REMPOP100])</f>
        <v>0</v>
      </c>
      <c r="AS255" s="259">
        <f>(ASINH(FMS_Ranking4[[#This Row],[Removed Pop Raw]]))*(10)/(ASINH(AR$4))</f>
        <v>0</v>
      </c>
      <c r="AT255" s="262">
        <f>FMS_Ranking4[[#This Row],[Removed population, ArcSinh (0-10)]]*AR$5*10</f>
        <v>0</v>
      </c>
      <c r="AU255" s="264">
        <f>_xlfn.XLOOKUP(FMS_Ranking4[[#This Row],[FMS ID]],FMS_Input[FMS_ID],FMS_Input[REMCRITFAC100])</f>
        <v>0</v>
      </c>
      <c r="AV255" s="264">
        <f>_xlfn.XLOOKUP(FMS_Ranking4[[#This Row],[FMS ID]],FMS_Input[FMS_ID],FMS_Input[REMLWC100])</f>
        <v>0</v>
      </c>
      <c r="AW255" s="264">
        <f>_xlfn.XLOOKUP(FMS_Ranking4[[#This Row],[FMS ID]],FMS_Input[FMS_ID],FMS_Input[REMROADCLS])</f>
        <v>0</v>
      </c>
      <c r="AX255" s="264">
        <f>_xlfn.XLOOKUP(FMS_Ranking4[[#This Row],[FMS ID]],FMS_Input[FMS_ID],FMS_Input[REMFRMACRE100])</f>
        <v>0</v>
      </c>
      <c r="AY255" s="258">
        <f>_xlfn.XLOOKUP(FMS_Ranking4[[#This Row],[FMS ID]],FMS_Input[FMS_ID],FMS_Input[COSTSTRUCT])</f>
        <v>0</v>
      </c>
      <c r="AZ255" s="253">
        <f>_xlfn.XLOOKUP(FMS_Ranking4[[#This Row],[FMS ID]],FMS_Input[FMS_ID],FMS_Input[NATURE])</f>
        <v>0</v>
      </c>
      <c r="BA255" s="262">
        <f>(((FMS_Ranking4[[#This Row],[% NBS Raw]]/AZ$4)*100)*AZ$5)</f>
        <v>0</v>
      </c>
      <c r="BB255" s="251" t="str">
        <f>_xlfn.XLOOKUP(FMS_Ranking4[[#This Row],[FMS ID]],FMS_Input[FMS_ID],FMS_Input[WATER_SUP])</f>
        <v>No</v>
      </c>
      <c r="BC255" s="265">
        <f>IF(FMS_Ranking4[[#This Row],[Water Supply Raw]]="Yes",10,0)</f>
        <v>0</v>
      </c>
      <c r="BD255" s="266">
        <f>_xlfn.XLOOKUP(FMS_Ranking4[[#This Row],[FMS Type]],FMS_TYPE[FMS_Type],FMS_TYPE[Score])</f>
        <v>8</v>
      </c>
      <c r="BE255" s="267">
        <f>FMS_Ranking4[[#This Row],[FMS_Type Score]]*$BD$5*10</f>
        <v>2</v>
      </c>
      <c r="BF25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0.41958761887922574</v>
      </c>
      <c r="BG255" s="271">
        <f>_xlfn.RANK.EQ(BF255,$BF$8:$BF$870,0)+COUNTIF($BF$8:BF255,BF255)-1</f>
        <v>254</v>
      </c>
      <c r="BH255" s="268">
        <f>(((FMS_Ranking4[[#This Row],[Structures Removed Raw]]/AK$4)*100)*AK$5)+(((FMS_Ranking4[[#This Row],[Removed Pop Raw]]/AR$4)*100)*AR$5)</f>
        <v>0</v>
      </c>
      <c r="BI25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2.4195876188792256</v>
      </c>
      <c r="BJ255" s="205">
        <f>_xlfn.RANK.EQ(FMS_Ranking4[[#This Row],[Total Score 
(with linear
normalization)]],FMS_Ranking4[Total Score 
(with linear
normalization)],0)</f>
        <v>275</v>
      </c>
      <c r="BK255" s="205" t="e">
        <f>_xlfn.XLOOKUP(FMS_Ranking4[[#This Row],[FMS ID]],#REF!,#REF!)</f>
        <v>#REF!</v>
      </c>
      <c r="BL25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26.500959101507625</v>
      </c>
      <c r="BM255" s="272">
        <f>FMS_Ranking4[[#This Row],[ArcSinh Score Based on Normalized Reported Factors]]+FMS_Ranking4[[#This Row],[% NBS Score (Normalized)]]+(FMS_Ranking4[[#This Row],[Water Supply Score (Normalized)]]*10*$BB$5)+FMS_Ranking4[[#This Row],[FMS_Type Score Weighted]]</f>
        <v>28.500959101507625</v>
      </c>
      <c r="BN255" s="205">
        <f>_xlfn.RANK.EQ(FMS_Ranking4[[#This Row],[Total Score (with ArcSinh normalization of select criteria)]],FMS_Ranking4[Total Score (with ArcSinh normalization of select criteria)],0)</f>
        <v>248</v>
      </c>
      <c r="BO255" s="270" t="str">
        <f>_xlfn.XLOOKUP(FMS_Ranking4[[#This Row],[FMS ID]],FMS_Input[FMS_ID],FMS_Input[FMS_RANK_YEAR])</f>
        <v>2023 Amended Plan</v>
      </c>
      <c r="BP255" s="204">
        <f>_xlfn.XLOOKUP(FMS_Ranking4[[#This Row],[FMS ID]],Prev_Rank[FMS ID],Prev_Rank[Prev Rank])</f>
        <v>217</v>
      </c>
      <c r="BQ255" s="205" t="e">
        <f>_xlfn.XLOOKUP(FMS_Ranking4[[#This Row],[FMS ID]],#REF!,#REF!)</f>
        <v>#REF!</v>
      </c>
      <c r="BR255" s="199" t="e">
        <f>SUM(#REF!,#REF!,#REF!,#REF!,#REF!,#REF!,#REF!,#REF!,#REF!,FMS_Ranking4[[#This Row],[ArcSinh Res struct removed 0-10]],#REF!)</f>
        <v>#REF!</v>
      </c>
      <c r="BS255" s="199" t="e">
        <f>FMS_Ranking4[[#This Row],[Log Score Based on Normalized Reported Factors]]+FMS_Ranking4[[#This Row],[% NBS Score (Normalized)]]+(FMS_Ranking4[[#This Row],[Water Supply Score (Normalized)]]*10*$BB$5)+(FMS_Ranking4[[#This Row],[FMS_Type Score Weighted]])</f>
        <v>#REF!</v>
      </c>
      <c r="BT255" s="200" t="e">
        <f>_xlfn.RANK.EQ(FMS_Ranking4[[#This Row],[Log Total Score]],FMS_Ranking4[Log Total Score],0)</f>
        <v>#REF!</v>
      </c>
      <c r="BU255" s="200" t="e">
        <f>_xlfn.XLOOKUP(FMS_Ranking4[[#This Row],[FMS ID]],#REF!,#REF!)</f>
        <v>#REF!</v>
      </c>
      <c r="BV255" s="200">
        <f>FMS_Ranking4[[#This Row],[Region Number]]</f>
        <v>2</v>
      </c>
      <c r="BW255" s="200">
        <f>FMS_Ranking4[[#This Row],[Rank (with ArcSinh normalization of select criteria)]]-FMS_Ranking4[[#This Row],[Rank
(with linear
normalization)]]</f>
        <v>-27</v>
      </c>
      <c r="BX255" s="200" t="e">
        <f>FMS_Ranking4[[#This Row],[Log Rank]]-FMS_Ranking4[[#This Row],[Rank
(with linear
normalization)]]</f>
        <v>#REF!</v>
      </c>
      <c r="BY255" s="200" t="str">
        <f>IF(FMS_Ranking4[[#This Row],[FMS Type]]="Flood Measurement and Warning",FMS_Ranking4[[#This Row],[Rank (with ArcSinh normalization of select criteria)]],"")</f>
        <v/>
      </c>
      <c r="BZ255" s="200">
        <f>IF(FMS_Ranking4[[#This Row],[FMS Type]]="Regulatory and Guidance",FMS_Ranking4[[#This Row],[Rank (with ArcSinh normalization of select criteria)]],"")</f>
        <v>248</v>
      </c>
      <c r="CA255" s="200" t="str">
        <f>IF(FMS_Ranking4[[#This Row],[FMS Type]]="Education and Outreach",FMS_Ranking4[[#This Row],[Rank (with ArcSinh normalization of select criteria)]],"")</f>
        <v/>
      </c>
      <c r="CB255" s="200" t="str">
        <f>IF(FMS_Ranking4[[#This Row],[FMS Type]]="Property Acquisition and Structural Elevation",FMS_Ranking4[[#This Row],[Rank (with ArcSinh normalization of select criteria)]],"")</f>
        <v/>
      </c>
      <c r="CC255" s="200" t="str">
        <f>IF(FMS_Ranking4[[#This Row],[FMS Type]]="Infrastructure Projects",FMS_Ranking4[[#This Row],[Rank (with ArcSinh normalization of select criteria)]],"")</f>
        <v/>
      </c>
      <c r="CD255" s="200" t="str">
        <f>IF(FMS_Ranking4[[#This Row],[FMS Type]]="Other",FMS_Ranking4[[#This Row],[Rank (with ArcSinh normalization of select criteria)]],"")</f>
        <v/>
      </c>
      <c r="CE255" s="201"/>
      <c r="CF255" s="206"/>
      <c r="CG255" s="206"/>
      <c r="CH255" s="206"/>
      <c r="CI255" s="206"/>
      <c r="CJ255" s="206"/>
      <c r="CK255" s="206"/>
      <c r="CL255" s="206"/>
      <c r="CM255" s="206"/>
      <c r="CN255" s="206"/>
      <c r="CO255" s="206"/>
      <c r="CP255" s="206"/>
      <c r="CQ255" s="206"/>
      <c r="CR255" s="206"/>
    </row>
    <row r="256" spans="2:96" ht="90" x14ac:dyDescent="0.25">
      <c r="B256" s="341" t="s">
        <v>726</v>
      </c>
      <c r="C256" s="246">
        <f>_xlfn.XLOOKUP(FMS_Ranking4[[#This Row],[FMS ID]],FMS_Input[FMS_ID],FMS_Input[RFPG_NUM])</f>
        <v>9</v>
      </c>
      <c r="D256" s="309" t="str">
        <f>_xlfn.XLOOKUP(FMS_Ranking4[[#This Row],[FMS ID]],FMS_Input[FMS_ID],FMS_Input[FMS_NAME])</f>
        <v>Concho County Flood Awareness Program</v>
      </c>
      <c r="E256" s="308" t="str">
        <f>_xlfn.XLOOKUP(FMS_Ranking4[[#This Row],[FMS ID]],FMS_Input[FMS_ID],FMS_Input[SPONSOR])</f>
        <v>00000124</v>
      </c>
      <c r="F256" s="309" t="str">
        <f>_xlfn.XLOOKUP(FMS_Ranking4[[#This Row],[FMS ID]],Sponsor[FMS_ID],Sponsor[SPONSOR NAME])</f>
        <v>Concho</v>
      </c>
      <c r="G256" s="309" t="str">
        <f>_xlfn.XLOOKUP(FMS_Ranking4[[#This Row],[FMS ID]],FMS_Input[FMS_ID],FMS_Input[FMS_DESCR])</f>
        <v xml:space="preserve">Establish education program regarding benefits of flood insurance as it pertains to elevating structures in the SFHA and in accordance with the local Floodplain Ordinance </v>
      </c>
      <c r="H256" s="248" t="str">
        <f>_xlfn.XLOOKUP(FMS_Ranking4[[#This Row],[FMS ID]],FMS_Input[FMS_ID],FMS_Input[FMS_TYPE])</f>
        <v>Other</v>
      </c>
      <c r="I256" s="249">
        <f>_xlfn.XLOOKUP(FMS_Ranking4[[#This Row],[FMS ID]],FMS_Input[FMS_ID],FMS_Input[NRNC_COST])</f>
        <v>5000</v>
      </c>
      <c r="J256" s="250">
        <f>_xlfn.XLOOKUP(FMS_Ranking4[[#This Row],[FMS ID]],FMS_Input[FMS_ID],FMS_Input[FMS_COST])</f>
        <v>30000</v>
      </c>
      <c r="K256" s="251" t="str">
        <f>_xlfn.XLOOKUP(FMS_Ranking4[[#This Row],[FMS ID]],FMS_Input[FMS_ID],FMS_Input[EMER_NEED])</f>
        <v>No</v>
      </c>
      <c r="L256" s="252">
        <f t="shared" si="3"/>
        <v>0</v>
      </c>
      <c r="M256" s="253">
        <f>_xlfn.XLOOKUP(FMS_Ranking4[[#This Row],[FMS ID]],FMS_Input[FMS_ID],FMS_Input[STRUCT_100])</f>
        <v>103</v>
      </c>
      <c r="N256" s="255">
        <f>(ASINH(FMS_Ranking4[[#This Row],[Structure at Risk Raw]]))*(10)/(ASINH(M$4))</f>
        <v>4.1885224799346403</v>
      </c>
      <c r="O256" s="256">
        <f>FMS_Ranking4[[#This Row],[Structures at risk, ArcSinh (0-10)]]*M$5*10</f>
        <v>4.1885224799346403</v>
      </c>
      <c r="P256" s="253">
        <f>_xlfn.XLOOKUP(FMS_Ranking4[[#This Row],[FMS ID]],FMS_Input[FMS_ID],FMS_Input[RES_STRUCT100])</f>
        <v>52</v>
      </c>
      <c r="Q256" s="257">
        <f>ASINH(FMS_Ranking4[[#This Row],[Res Structure Raw]])/Q$4*P$5*100</f>
        <v>0</v>
      </c>
      <c r="R256" s="253">
        <f>_xlfn.XLOOKUP(FMS_Ranking4[[#This Row],[FMS ID]],FMS_Input[FMS_ID],FMS_Input[POP100])</f>
        <v>77</v>
      </c>
      <c r="S256" s="259">
        <f>(ASINH(FMS_Ranking4[[#This Row],[Pop at Risk Raw]]))*(10)/(ASINH(R$4))</f>
        <v>3.4773307299522225</v>
      </c>
      <c r="T256" s="256">
        <f>FMS_Ranking4[[#This Row],[Population at risk, ArcSinh (0-10)]]*R$5*10</f>
        <v>3.4773307299522225</v>
      </c>
      <c r="U256" s="253">
        <f>_xlfn.XLOOKUP(FMS_Ranking4[[#This Row],[FMS ID]],FMS_Input[FMS_ID],FMS_Input[CRITFAC100])</f>
        <v>0</v>
      </c>
      <c r="V256" s="259">
        <f>(ASINH(FMS_Ranking4[[#This Row],[Critical Facilities Raw]]))*(10)/(ASINH(U$4))</f>
        <v>0</v>
      </c>
      <c r="W256" s="256">
        <f>FMS_Ranking4[[#This Row],[Critical facilities at risk, ArcSinh (0-10)]]*U$5*10</f>
        <v>0</v>
      </c>
      <c r="X256" s="253">
        <f>_xlfn.XLOOKUP(FMS_Ranking4[[#This Row],[FMS ID]],FMS_Input[FMS_ID],FMS_Input[LWC])</f>
        <v>4</v>
      </c>
      <c r="Y256" s="259">
        <f>(ASINH(FMS_Ranking4[[#This Row],[LWC Raw]]))*(10)/(ASINH(X$4))</f>
        <v>2.8377862217928165</v>
      </c>
      <c r="Z256" s="256">
        <f>FMS_Ranking4[[#This Row],[LWC, ArcSInh (0-10)]]*X$5*10</f>
        <v>2.8377862217928169</v>
      </c>
      <c r="AA256" s="253">
        <f>_xlfn.XLOOKUP(FMS_Ranking4[[#This Row],[FMS ID]],FMS_Input[FMS_ID],FMS_Input[ROADCLS])</f>
        <v>0</v>
      </c>
      <c r="AB256" s="255">
        <f>(ASINH(FMS_Ranking4[[#This Row],[Road Closures Raw]]))*(10)/(ASINH(AA$4))</f>
        <v>0</v>
      </c>
      <c r="AC256" s="256">
        <f>FMS_Ranking4[[#This Row],[Road closures, ArcSinh (0-10)]]*AA$5*10</f>
        <v>0</v>
      </c>
      <c r="AD256" s="253">
        <f>_xlfn.XLOOKUP(FMS_Ranking4[[#This Row],[FMS ID]],FMS_Input[FMS_ID],FMS_Input[ROAD_MILES100])</f>
        <v>24</v>
      </c>
      <c r="AE256" s="259">
        <f>(ASINH(FMS_Ranking4[[#This Row],[Road Miles Raw]]))*(10)/(ASINH(AD$4))</f>
        <v>4.1260974697280659</v>
      </c>
      <c r="AF256" s="256">
        <f>FMS_Ranking4[[#This Row],[Length of roads at risk, ArcSinh (0-10)]]*AD$5*10</f>
        <v>4.1260974697280659</v>
      </c>
      <c r="AG256" s="253">
        <f>_xlfn.XLOOKUP(FMS_Ranking4[[#This Row],[FMS ID]],FMS_Input[FMS_ID],FMS_Input[FARMACRE100])</f>
        <v>12260.4326171875</v>
      </c>
      <c r="AH256" s="255">
        <f>(ASINH(FMS_Ranking4[[#This Row],[Ag Land Raw]]))*(10)/(ASINH(AG$4))</f>
        <v>6.565501584000403</v>
      </c>
      <c r="AI256" s="260">
        <f>FMS_Ranking4[[#This Row],[Farm &amp; ranch land, ArcSinh (0-10)]]*AG$5*10</f>
        <v>3.2827507920002019</v>
      </c>
      <c r="AJ256" s="258">
        <f>_xlfn.XLOOKUP(FMS_Ranking4[[#This Row],[FMS ID]],FMS_Input[FMS_ID],FMS_Input[REDSTRUCT100])</f>
        <v>26</v>
      </c>
      <c r="AK256" s="253">
        <f>_xlfn.XLOOKUP(FMS_Ranking4[[#This Row],[FMS ID]],FMS_Input[FMS_ID],FMS_Input[REMSTRC100])</f>
        <v>26</v>
      </c>
      <c r="AL256" s="259">
        <f>(ASINH(FMS_Ranking4[[#This Row],[Structures Removed Raw]]))*(10)/(ASINH(AK$4))</f>
        <v>4.499193851778454</v>
      </c>
      <c r="AM256" s="262">
        <f>FMS_Ranking4[[#This Row],[Structures removed, ArcSinh (0-10)]]*AK$5*10</f>
        <v>4.499193851778454</v>
      </c>
      <c r="AN256" s="253">
        <f>_xlfn.XLOOKUP(FMS_Ranking4[[#This Row],[FMS ID]],FMS_Input[FMS_ID],FMS_Input[REMRESSTRC100])</f>
        <v>13</v>
      </c>
      <c r="AO256" s="261">
        <f>FMS_Ranking4[[#This Row],[ArcSinh Res struct removed 0-10]]*AN$5*10</f>
        <v>1.9118255745793964</v>
      </c>
      <c r="AP256" s="260">
        <f>ASINH(FMS_Ranking4[[#This Row],[Residential Structures Removed Raw]])/AP$4*AN$5*100</f>
        <v>1.9118255745793966</v>
      </c>
      <c r="AQ256" s="254">
        <f>(ASINH(FMS_Ranking4[[#This Row],[Residential Structures Removed Raw]]))*(10)/(ASINH(AN$4))</f>
        <v>3.8236511491587923</v>
      </c>
      <c r="AR256" s="253">
        <f>_xlfn.XLOOKUP(FMS_Ranking4[[#This Row],[FMS ID]],FMS_Input[FMS_ID],FMS_Input[REMPOP100])</f>
        <v>19</v>
      </c>
      <c r="AS256" s="259">
        <f>(ASINH(FMS_Ranking4[[#This Row],[Removed Pop Raw]]))*(10)/(ASINH(AR$4))</f>
        <v>3.5714080243125372</v>
      </c>
      <c r="AT256" s="262">
        <f>FMS_Ranking4[[#This Row],[Removed population, ArcSinh (0-10)]]*AR$5*10</f>
        <v>3.5714080243125372</v>
      </c>
      <c r="AU256" s="264">
        <f>_xlfn.XLOOKUP(FMS_Ranking4[[#This Row],[FMS ID]],FMS_Input[FMS_ID],FMS_Input[REMCRITFAC100])</f>
        <v>0</v>
      </c>
      <c r="AV256" s="264">
        <f>_xlfn.XLOOKUP(FMS_Ranking4[[#This Row],[FMS ID]],FMS_Input[FMS_ID],FMS_Input[REMLWC100])</f>
        <v>1</v>
      </c>
      <c r="AW256" s="264">
        <f>_xlfn.XLOOKUP(FMS_Ranking4[[#This Row],[FMS ID]],FMS_Input[FMS_ID],FMS_Input[REMROADCLS])</f>
        <v>0</v>
      </c>
      <c r="AX256" s="264">
        <f>_xlfn.XLOOKUP(FMS_Ranking4[[#This Row],[FMS ID]],FMS_Input[FMS_ID],FMS_Input[REMFRMACRE100])</f>
        <v>3065.108154296875</v>
      </c>
      <c r="AY256" s="258">
        <f>_xlfn.XLOOKUP(FMS_Ranking4[[#This Row],[FMS ID]],FMS_Input[FMS_ID],FMS_Input[COSTSTRUCT])</f>
        <v>25000</v>
      </c>
      <c r="AZ256" s="253">
        <f>_xlfn.XLOOKUP(FMS_Ranking4[[#This Row],[FMS ID]],FMS_Input[FMS_ID],FMS_Input[NATURE])</f>
        <v>0</v>
      </c>
      <c r="BA256" s="262">
        <f>(((FMS_Ranking4[[#This Row],[% NBS Raw]]/AZ$4)*100)*AZ$5)</f>
        <v>0</v>
      </c>
      <c r="BB256" s="251" t="str">
        <f>_xlfn.XLOOKUP(FMS_Ranking4[[#This Row],[FMS ID]],FMS_Input[FMS_ID],FMS_Input[WATER_SUP])</f>
        <v>No</v>
      </c>
      <c r="BC256" s="265">
        <f>IF(FMS_Ranking4[[#This Row],[Water Supply Raw]]="Yes",10,0)</f>
        <v>0</v>
      </c>
      <c r="BD256" s="266">
        <f>_xlfn.XLOOKUP(FMS_Ranking4[[#This Row],[FMS Type]],FMS_TYPE[FMS_Type],FMS_TYPE[Score])</f>
        <v>2</v>
      </c>
      <c r="BE256" s="267">
        <f>FMS_Ranking4[[#This Row],[FMS_Type Score]]*$BD$5*10</f>
        <v>0.5</v>
      </c>
      <c r="BF25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0.12241597147701305</v>
      </c>
      <c r="BG256" s="271">
        <f>_xlfn.RANK.EQ(BF256,$BF$8:$BF$870,0)+COUNTIF($BF$8:BF256,BF256)-1</f>
        <v>452</v>
      </c>
      <c r="BH256" s="268">
        <f>(((FMS_Ranking4[[#This Row],[Structures Removed Raw]]/AK$4)*100)*AK$5)+(((FMS_Ranking4[[#This Row],[Removed Pop Raw]]/AR$4)*100)*AR$5)</f>
        <v>9.4036295772775669E-2</v>
      </c>
      <c r="BI25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0.71645226724978872</v>
      </c>
      <c r="BJ256" s="205">
        <f>_xlfn.RANK.EQ(FMS_Ranking4[[#This Row],[Total Score 
(with linear
normalization)]],FMS_Ranking4[Total Score 
(with linear
normalization)],0)</f>
        <v>795</v>
      </c>
      <c r="BK256" s="205" t="e">
        <f>_xlfn.XLOOKUP(FMS_Ranking4[[#This Row],[FMS ID]],#REF!,#REF!)</f>
        <v>#REF!</v>
      </c>
      <c r="BL25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27.894915144078333</v>
      </c>
      <c r="BM256" s="272">
        <f>FMS_Ranking4[[#This Row],[ArcSinh Score Based on Normalized Reported Factors]]+FMS_Ranking4[[#This Row],[% NBS Score (Normalized)]]+(FMS_Ranking4[[#This Row],[Water Supply Score (Normalized)]]*10*$BB$5)+FMS_Ranking4[[#This Row],[FMS_Type Score Weighted]]</f>
        <v>28.394915144078333</v>
      </c>
      <c r="BN256" s="205">
        <f>_xlfn.RANK.EQ(FMS_Ranking4[[#This Row],[Total Score (with ArcSinh normalization of select criteria)]],FMS_Ranking4[Total Score (with ArcSinh normalization of select criteria)],0)</f>
        <v>249</v>
      </c>
      <c r="BO256" s="270" t="str">
        <f>_xlfn.XLOOKUP(FMS_Ranking4[[#This Row],[FMS ID]],FMS_Input[FMS_ID],FMS_Input[FMS_RANK_YEAR])</f>
        <v>2023 Amended Plan</v>
      </c>
      <c r="BP256" s="204">
        <f>_xlfn.XLOOKUP(FMS_Ranking4[[#This Row],[FMS ID]],Prev_Rank[FMS ID],Prev_Rank[Prev Rank])</f>
        <v>230</v>
      </c>
      <c r="BQ256" s="205" t="e">
        <f>_xlfn.XLOOKUP(FMS_Ranking4[[#This Row],[FMS ID]],#REF!,#REF!)</f>
        <v>#REF!</v>
      </c>
      <c r="BR256" s="199" t="e">
        <f>SUM(#REF!,#REF!,#REF!,#REF!,#REF!,#REF!,#REF!,#REF!,#REF!,FMS_Ranking4[[#This Row],[ArcSinh Res struct removed 0-10]],#REF!)</f>
        <v>#REF!</v>
      </c>
      <c r="BS256" s="199" t="e">
        <f>FMS_Ranking4[[#This Row],[Log Score Based on Normalized Reported Factors]]+FMS_Ranking4[[#This Row],[% NBS Score (Normalized)]]+(FMS_Ranking4[[#This Row],[Water Supply Score (Normalized)]]*10*$BB$5)+(FMS_Ranking4[[#This Row],[FMS_Type Score Weighted]])</f>
        <v>#REF!</v>
      </c>
      <c r="BT256" s="200" t="e">
        <f>_xlfn.RANK.EQ(FMS_Ranking4[[#This Row],[Log Total Score]],FMS_Ranking4[Log Total Score],0)</f>
        <v>#REF!</v>
      </c>
      <c r="BU256" s="200" t="e">
        <f>_xlfn.XLOOKUP(FMS_Ranking4[[#This Row],[FMS ID]],#REF!,#REF!)</f>
        <v>#REF!</v>
      </c>
      <c r="BV256" s="200">
        <f>FMS_Ranking4[[#This Row],[Region Number]]</f>
        <v>9</v>
      </c>
      <c r="BW256" s="200">
        <f>FMS_Ranking4[[#This Row],[Rank (with ArcSinh normalization of select criteria)]]-FMS_Ranking4[[#This Row],[Rank
(with linear
normalization)]]</f>
        <v>-546</v>
      </c>
      <c r="BX256" s="200" t="e">
        <f>FMS_Ranking4[[#This Row],[Log Rank]]-FMS_Ranking4[[#This Row],[Rank
(with linear
normalization)]]</f>
        <v>#REF!</v>
      </c>
      <c r="BY256" s="200" t="str">
        <f>IF(FMS_Ranking4[[#This Row],[FMS Type]]="Flood Measurement and Warning",FMS_Ranking4[[#This Row],[Rank (with ArcSinh normalization of select criteria)]],"")</f>
        <v/>
      </c>
      <c r="BZ256" s="200" t="str">
        <f>IF(FMS_Ranking4[[#This Row],[FMS Type]]="Regulatory and Guidance",FMS_Ranking4[[#This Row],[Rank (with ArcSinh normalization of select criteria)]],"")</f>
        <v/>
      </c>
      <c r="CA256" s="200" t="str">
        <f>IF(FMS_Ranking4[[#This Row],[FMS Type]]="Education and Outreach",FMS_Ranking4[[#This Row],[Rank (with ArcSinh normalization of select criteria)]],"")</f>
        <v/>
      </c>
      <c r="CB256" s="200" t="str">
        <f>IF(FMS_Ranking4[[#This Row],[FMS Type]]="Property Acquisition and Structural Elevation",FMS_Ranking4[[#This Row],[Rank (with ArcSinh normalization of select criteria)]],"")</f>
        <v/>
      </c>
      <c r="CC256" s="200" t="str">
        <f>IF(FMS_Ranking4[[#This Row],[FMS Type]]="Infrastructure Projects",FMS_Ranking4[[#This Row],[Rank (with ArcSinh normalization of select criteria)]],"")</f>
        <v/>
      </c>
      <c r="CD256" s="200">
        <f>IF(FMS_Ranking4[[#This Row],[FMS Type]]="Other",FMS_Ranking4[[#This Row],[Rank (with ArcSinh normalization of select criteria)]],"")</f>
        <v>249</v>
      </c>
      <c r="CE256" s="201"/>
      <c r="CF256" s="206"/>
      <c r="CG256" s="206"/>
      <c r="CH256" s="206"/>
      <c r="CI256" s="206"/>
      <c r="CJ256" s="206"/>
      <c r="CK256" s="206"/>
      <c r="CL256" s="206"/>
      <c r="CM256" s="206"/>
      <c r="CN256" s="206"/>
      <c r="CO256" s="206"/>
      <c r="CP256" s="206"/>
      <c r="CQ256" s="206"/>
      <c r="CR256" s="206"/>
    </row>
    <row r="257" spans="2:96" ht="45" x14ac:dyDescent="0.25">
      <c r="B257" s="341" t="s">
        <v>900</v>
      </c>
      <c r="C257" s="246">
        <f>_xlfn.XLOOKUP(FMS_Ranking4[[#This Row],[FMS ID]],FMS_Input[FMS_ID],FMS_Input[RFPG_NUM])</f>
        <v>9</v>
      </c>
      <c r="D257" s="309" t="str">
        <f>_xlfn.XLOOKUP(FMS_Ranking4[[#This Row],[FMS ID]],FMS_Input[FMS_ID],FMS_Input[FMS_NAME])</f>
        <v>Concho County DCM</v>
      </c>
      <c r="E257" s="308" t="str">
        <f>_xlfn.XLOOKUP(FMS_Ranking4[[#This Row],[FMS ID]],FMS_Input[FMS_ID],FMS_Input[SPONSOR])</f>
        <v>00000124</v>
      </c>
      <c r="F257" s="309" t="str">
        <f>_xlfn.XLOOKUP(FMS_Ranking4[[#This Row],[FMS ID]],Sponsor[FMS_ID],Sponsor[SPONSOR NAME])</f>
        <v>Concho</v>
      </c>
      <c r="G257" s="309" t="str">
        <f>_xlfn.XLOOKUP(FMS_Ranking4[[#This Row],[FMS ID]],FMS_Input[FMS_ID],FMS_Input[FMS_DESCR])</f>
        <v>Outreach Program: Discuss Stormwater Criteria Design Manual</v>
      </c>
      <c r="H257" s="248" t="str">
        <f>_xlfn.XLOOKUP(FMS_Ranking4[[#This Row],[FMS ID]],FMS_Input[FMS_ID],FMS_Input[FMS_TYPE])</f>
        <v>Other</v>
      </c>
      <c r="I257" s="249">
        <f>_xlfn.XLOOKUP(FMS_Ranking4[[#This Row],[FMS ID]],FMS_Input[FMS_ID],FMS_Input[NRNC_COST])</f>
        <v>75000</v>
      </c>
      <c r="J257" s="250">
        <f>_xlfn.XLOOKUP(FMS_Ranking4[[#This Row],[FMS ID]],FMS_Input[FMS_ID],FMS_Input[FMS_COST])</f>
        <v>100000</v>
      </c>
      <c r="K257" s="251" t="str">
        <f>_xlfn.XLOOKUP(FMS_Ranking4[[#This Row],[FMS ID]],FMS_Input[FMS_ID],FMS_Input[EMER_NEED])</f>
        <v>No</v>
      </c>
      <c r="L257" s="252">
        <f t="shared" si="3"/>
        <v>0</v>
      </c>
      <c r="M257" s="253">
        <f>_xlfn.XLOOKUP(FMS_Ranking4[[#This Row],[FMS ID]],FMS_Input[FMS_ID],FMS_Input[STRUCT_100])</f>
        <v>103</v>
      </c>
      <c r="N257" s="255">
        <f>(ASINH(FMS_Ranking4[[#This Row],[Structure at Risk Raw]]))*(10)/(ASINH(M$4))</f>
        <v>4.1885224799346403</v>
      </c>
      <c r="O257" s="256">
        <f>FMS_Ranking4[[#This Row],[Structures at risk, ArcSinh (0-10)]]*M$5*10</f>
        <v>4.1885224799346403</v>
      </c>
      <c r="P257" s="253">
        <f>_xlfn.XLOOKUP(FMS_Ranking4[[#This Row],[FMS ID]],FMS_Input[FMS_ID],FMS_Input[RES_STRUCT100])</f>
        <v>52</v>
      </c>
      <c r="Q257" s="257">
        <f>ASINH(FMS_Ranking4[[#This Row],[Res Structure Raw]])/Q$4*P$5*100</f>
        <v>0</v>
      </c>
      <c r="R257" s="253">
        <f>_xlfn.XLOOKUP(FMS_Ranking4[[#This Row],[FMS ID]],FMS_Input[FMS_ID],FMS_Input[POP100])</f>
        <v>77</v>
      </c>
      <c r="S257" s="255">
        <f>(ASINH(FMS_Ranking4[[#This Row],[Pop at Risk Raw]]))*(10)/(ASINH(R$4))</f>
        <v>3.4773307299522225</v>
      </c>
      <c r="T257" s="256">
        <f>FMS_Ranking4[[#This Row],[Population at risk, ArcSinh (0-10)]]*R$5*10</f>
        <v>3.4773307299522225</v>
      </c>
      <c r="U257" s="253">
        <f>_xlfn.XLOOKUP(FMS_Ranking4[[#This Row],[FMS ID]],FMS_Input[FMS_ID],FMS_Input[CRITFAC100])</f>
        <v>0</v>
      </c>
      <c r="V257" s="255">
        <f>(ASINH(FMS_Ranking4[[#This Row],[Critical Facilities Raw]]))*(10)/(ASINH(U$4))</f>
        <v>0</v>
      </c>
      <c r="W257" s="256">
        <f>FMS_Ranking4[[#This Row],[Critical facilities at risk, ArcSinh (0-10)]]*U$5*10</f>
        <v>0</v>
      </c>
      <c r="X257" s="253">
        <f>_xlfn.XLOOKUP(FMS_Ranking4[[#This Row],[FMS ID]],FMS_Input[FMS_ID],FMS_Input[LWC])</f>
        <v>4</v>
      </c>
      <c r="Y257" s="255">
        <f>(ASINH(FMS_Ranking4[[#This Row],[LWC Raw]]))*(10)/(ASINH(X$4))</f>
        <v>2.8377862217928165</v>
      </c>
      <c r="Z257" s="256">
        <f>FMS_Ranking4[[#This Row],[LWC, ArcSInh (0-10)]]*X$5*10</f>
        <v>2.8377862217928169</v>
      </c>
      <c r="AA257" s="253">
        <f>_xlfn.XLOOKUP(FMS_Ranking4[[#This Row],[FMS ID]],FMS_Input[FMS_ID],FMS_Input[ROADCLS])</f>
        <v>0</v>
      </c>
      <c r="AB257" s="255">
        <f>(ASINH(FMS_Ranking4[[#This Row],[Road Closures Raw]]))*(10)/(ASINH(AA$4))</f>
        <v>0</v>
      </c>
      <c r="AC257" s="256">
        <f>FMS_Ranking4[[#This Row],[Road closures, ArcSinh (0-10)]]*AA$5*10</f>
        <v>0</v>
      </c>
      <c r="AD257" s="253">
        <f>_xlfn.XLOOKUP(FMS_Ranking4[[#This Row],[FMS ID]],FMS_Input[FMS_ID],FMS_Input[ROAD_MILES100])</f>
        <v>24</v>
      </c>
      <c r="AE257" s="255">
        <f>(ASINH(FMS_Ranking4[[#This Row],[Road Miles Raw]]))*(10)/(ASINH(AD$4))</f>
        <v>4.1260974697280659</v>
      </c>
      <c r="AF257" s="256">
        <f>FMS_Ranking4[[#This Row],[Length of roads at risk, ArcSinh (0-10)]]*AD$5*10</f>
        <v>4.1260974697280659</v>
      </c>
      <c r="AG257" s="253">
        <f>_xlfn.XLOOKUP(FMS_Ranking4[[#This Row],[FMS ID]],FMS_Input[FMS_ID],FMS_Input[FARMACRE100])</f>
        <v>12259.0703125</v>
      </c>
      <c r="AH257" s="255">
        <f>(ASINH(FMS_Ranking4[[#This Row],[Ag Land Raw]]))*(10)/(ASINH(AG$4))</f>
        <v>6.5654294024491646</v>
      </c>
      <c r="AI257" s="260">
        <f>FMS_Ranking4[[#This Row],[Farm &amp; ranch land, ArcSinh (0-10)]]*AG$5*10</f>
        <v>3.2827147012245828</v>
      </c>
      <c r="AJ257" s="258">
        <f>_xlfn.XLOOKUP(FMS_Ranking4[[#This Row],[FMS ID]],FMS_Input[FMS_ID],FMS_Input[REDSTRUCT100])</f>
        <v>26</v>
      </c>
      <c r="AK257" s="253">
        <f>_xlfn.XLOOKUP(FMS_Ranking4[[#This Row],[FMS ID]],FMS_Input[FMS_ID],FMS_Input[REMSTRC100])</f>
        <v>26</v>
      </c>
      <c r="AL257" s="255">
        <f>(ASINH(FMS_Ranking4[[#This Row],[Structures Removed Raw]]))*(10)/(ASINH(AK$4))</f>
        <v>4.499193851778454</v>
      </c>
      <c r="AM257" s="262">
        <f>FMS_Ranking4[[#This Row],[Structures removed, ArcSinh (0-10)]]*AK$5*10</f>
        <v>4.499193851778454</v>
      </c>
      <c r="AN257" s="253">
        <f>_xlfn.XLOOKUP(FMS_Ranking4[[#This Row],[FMS ID]],FMS_Input[FMS_ID],FMS_Input[REMRESSTRC100])</f>
        <v>13</v>
      </c>
      <c r="AO257" s="261">
        <f>FMS_Ranking4[[#This Row],[ArcSinh Res struct removed 0-10]]*AN$5*10</f>
        <v>1.9118255745793964</v>
      </c>
      <c r="AP257" s="260">
        <f>ASINH(FMS_Ranking4[[#This Row],[Residential Structures Removed Raw]])/AP$4*AN$5*100</f>
        <v>1.9118255745793966</v>
      </c>
      <c r="AQ257" s="258">
        <f>(ASINH(FMS_Ranking4[[#This Row],[Residential Structures Removed Raw]]))*(10)/(ASINH(AN$4))</f>
        <v>3.8236511491587923</v>
      </c>
      <c r="AR257" s="253">
        <f>_xlfn.XLOOKUP(FMS_Ranking4[[#This Row],[FMS ID]],FMS_Input[FMS_ID],FMS_Input[REMPOP100])</f>
        <v>19</v>
      </c>
      <c r="AS257" s="255">
        <f>(ASINH(FMS_Ranking4[[#This Row],[Removed Pop Raw]]))*(10)/(ASINH(AR$4))</f>
        <v>3.5714080243125372</v>
      </c>
      <c r="AT257" s="262">
        <f>FMS_Ranking4[[#This Row],[Removed population, ArcSinh (0-10)]]*AR$5*10</f>
        <v>3.5714080243125372</v>
      </c>
      <c r="AU257" s="264">
        <f>_xlfn.XLOOKUP(FMS_Ranking4[[#This Row],[FMS ID]],FMS_Input[FMS_ID],FMS_Input[REMCRITFAC100])</f>
        <v>0</v>
      </c>
      <c r="AV257" s="264">
        <f>_xlfn.XLOOKUP(FMS_Ranking4[[#This Row],[FMS ID]],FMS_Input[FMS_ID],FMS_Input[REMLWC100])</f>
        <v>1</v>
      </c>
      <c r="AW257" s="264">
        <f>_xlfn.XLOOKUP(FMS_Ranking4[[#This Row],[FMS ID]],FMS_Input[FMS_ID],FMS_Input[REMROADCLS])</f>
        <v>0</v>
      </c>
      <c r="AX257" s="264">
        <f>_xlfn.XLOOKUP(FMS_Ranking4[[#This Row],[FMS ID]],FMS_Input[FMS_ID],FMS_Input[REMFRMACRE100])</f>
        <v>3064.767578125</v>
      </c>
      <c r="AY257" s="258">
        <f>_xlfn.XLOOKUP(FMS_Ranking4[[#This Row],[FMS ID]],FMS_Input[FMS_ID],FMS_Input[COSTSTRUCT])</f>
        <v>25000</v>
      </c>
      <c r="AZ257" s="253">
        <f>_xlfn.XLOOKUP(FMS_Ranking4[[#This Row],[FMS ID]],FMS_Input[FMS_ID],FMS_Input[NATURE])</f>
        <v>0</v>
      </c>
      <c r="BA257" s="262">
        <f>(((FMS_Ranking4[[#This Row],[% NBS Raw]]/AZ$4)*100)*AZ$5)</f>
        <v>0</v>
      </c>
      <c r="BB257" s="251" t="str">
        <f>_xlfn.XLOOKUP(FMS_Ranking4[[#This Row],[FMS ID]],FMS_Input[FMS_ID],FMS_Input[WATER_SUP])</f>
        <v>No</v>
      </c>
      <c r="BC257" s="265">
        <f>IF(FMS_Ranking4[[#This Row],[Water Supply Raw]]="Yes",10,0)</f>
        <v>0</v>
      </c>
      <c r="BD257" s="266">
        <f>_xlfn.XLOOKUP(FMS_Ranking4[[#This Row],[FMS Type]],FMS_TYPE[FMS_Type],FMS_TYPE[Score])</f>
        <v>2</v>
      </c>
      <c r="BE257" s="267">
        <f>FMS_Ranking4[[#This Row],[FMS_Type Score]]*$BD$5*10</f>
        <v>0.5</v>
      </c>
      <c r="BF25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0.12241316270966553</v>
      </c>
      <c r="BG257" s="321">
        <f>_xlfn.RANK.EQ(BF257,$BF$8:$BF$870,0)+COUNTIF($BF$8:BF257,BF257)-1</f>
        <v>453</v>
      </c>
      <c r="BH257" s="294">
        <f>(((FMS_Ranking4[[#This Row],[Structures Removed Raw]]/AK$4)*100)*AK$5)+(((FMS_Ranking4[[#This Row],[Removed Pop Raw]]/AR$4)*100)*AR$5)</f>
        <v>9.4036295772775669E-2</v>
      </c>
      <c r="BI25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0.71644945848244124</v>
      </c>
      <c r="BJ257" s="251">
        <f>_xlfn.RANK.EQ(FMS_Ranking4[[#This Row],[Total Score 
(with linear
normalization)]],FMS_Ranking4[Total Score 
(with linear
normalization)],0)</f>
        <v>796</v>
      </c>
      <c r="BK257" s="251" t="e">
        <f>_xlfn.XLOOKUP(FMS_Ranking4[[#This Row],[FMS ID]],#REF!,#REF!)</f>
        <v>#REF!</v>
      </c>
      <c r="BL25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27.894879053302716</v>
      </c>
      <c r="BM257" s="324">
        <f>FMS_Ranking4[[#This Row],[ArcSinh Score Based on Normalized Reported Factors]]+FMS_Ranking4[[#This Row],[% NBS Score (Normalized)]]+(FMS_Ranking4[[#This Row],[Water Supply Score (Normalized)]]*10*$BB$5)+FMS_Ranking4[[#This Row],[FMS_Type Score Weighted]]</f>
        <v>28.394879053302716</v>
      </c>
      <c r="BN257" s="251">
        <f>_xlfn.RANK.EQ(FMS_Ranking4[[#This Row],[Total Score (with ArcSinh normalization of select criteria)]],FMS_Ranking4[Total Score (with ArcSinh normalization of select criteria)],0)</f>
        <v>250</v>
      </c>
      <c r="BO257" s="270" t="str">
        <f>_xlfn.XLOOKUP(FMS_Ranking4[[#This Row],[FMS ID]],FMS_Input[FMS_ID],FMS_Input[FMS_RANK_YEAR])</f>
        <v>2023 Amended Plan</v>
      </c>
      <c r="BP257" s="204">
        <f>_xlfn.XLOOKUP(FMS_Ranking4[[#This Row],[FMS ID]],Prev_Rank[FMS ID],Prev_Rank[Prev Rank])</f>
        <v>231</v>
      </c>
      <c r="BQ257" s="251" t="e">
        <f>_xlfn.XLOOKUP(FMS_Ranking4[[#This Row],[FMS ID]],#REF!,#REF!)</f>
        <v>#REF!</v>
      </c>
      <c r="BR257" s="199" t="e">
        <f>SUM(#REF!,#REF!,#REF!,#REF!,#REF!,#REF!,#REF!,#REF!,#REF!,FMS_Ranking4[[#This Row],[ArcSinh Res struct removed 0-10]],#REF!)</f>
        <v>#REF!</v>
      </c>
      <c r="BS257" s="199" t="e">
        <f>FMS_Ranking4[[#This Row],[Log Score Based on Normalized Reported Factors]]+FMS_Ranking4[[#This Row],[% NBS Score (Normalized)]]+(FMS_Ranking4[[#This Row],[Water Supply Score (Normalized)]]*10*$BB$5)+(FMS_Ranking4[[#This Row],[FMS_Type Score Weighted]])</f>
        <v>#REF!</v>
      </c>
      <c r="BT257" s="200" t="e">
        <f>_xlfn.RANK.EQ(FMS_Ranking4[[#This Row],[Log Total Score]],FMS_Ranking4[Log Total Score],0)</f>
        <v>#REF!</v>
      </c>
      <c r="BU257" s="200" t="e">
        <f>_xlfn.XLOOKUP(FMS_Ranking4[[#This Row],[FMS ID]],#REF!,#REF!)</f>
        <v>#REF!</v>
      </c>
      <c r="BV257" s="200">
        <f>FMS_Ranking4[[#This Row],[Region Number]]</f>
        <v>9</v>
      </c>
      <c r="BW257" s="200">
        <f>FMS_Ranking4[[#This Row],[Rank (with ArcSinh normalization of select criteria)]]-FMS_Ranking4[[#This Row],[Rank
(with linear
normalization)]]</f>
        <v>-546</v>
      </c>
      <c r="BX257" s="200" t="e">
        <f>FMS_Ranking4[[#This Row],[Log Rank]]-FMS_Ranking4[[#This Row],[Rank
(with linear
normalization)]]</f>
        <v>#REF!</v>
      </c>
      <c r="BY257" s="200" t="str">
        <f>IF(FMS_Ranking4[[#This Row],[FMS Type]]="Flood Measurement and Warning",FMS_Ranking4[[#This Row],[Rank (with ArcSinh normalization of select criteria)]],"")</f>
        <v/>
      </c>
      <c r="BZ257" s="200" t="str">
        <f>IF(FMS_Ranking4[[#This Row],[FMS Type]]="Regulatory and Guidance",FMS_Ranking4[[#This Row],[Rank (with ArcSinh normalization of select criteria)]],"")</f>
        <v/>
      </c>
      <c r="CA257" s="200" t="str">
        <f>IF(FMS_Ranking4[[#This Row],[FMS Type]]="Education and Outreach",FMS_Ranking4[[#This Row],[Rank (with ArcSinh normalization of select criteria)]],"")</f>
        <v/>
      </c>
      <c r="CB257" s="200" t="str">
        <f>IF(FMS_Ranking4[[#This Row],[FMS Type]]="Property Acquisition and Structural Elevation",FMS_Ranking4[[#This Row],[Rank (with ArcSinh normalization of select criteria)]],"")</f>
        <v/>
      </c>
      <c r="CC257" s="200" t="str">
        <f>IF(FMS_Ranking4[[#This Row],[FMS Type]]="Infrastructure Projects",FMS_Ranking4[[#This Row],[Rank (with ArcSinh normalization of select criteria)]],"")</f>
        <v/>
      </c>
      <c r="CD257" s="200">
        <f>IF(FMS_Ranking4[[#This Row],[FMS Type]]="Other",FMS_Ranking4[[#This Row],[Rank (with ArcSinh normalization of select criteria)]],"")</f>
        <v>250</v>
      </c>
      <c r="CE257" s="201"/>
      <c r="CF257" s="206"/>
      <c r="CG257" s="206"/>
      <c r="CH257" s="206"/>
      <c r="CI257" s="206"/>
      <c r="CJ257" s="206"/>
      <c r="CK257" s="206"/>
      <c r="CL257" s="206"/>
      <c r="CM257" s="206"/>
      <c r="CN257" s="206"/>
      <c r="CO257" s="206"/>
      <c r="CP257" s="206"/>
      <c r="CQ257" s="206"/>
      <c r="CR257" s="206"/>
    </row>
    <row r="258" spans="2:96" ht="75" x14ac:dyDescent="0.25">
      <c r="B258" s="341" t="s">
        <v>663</v>
      </c>
      <c r="C258" s="246">
        <f>_xlfn.XLOOKUP(FMS_Ranking4[[#This Row],[FMS ID]],FMS_Input[FMS_ID],FMS_Input[RFPG_NUM])</f>
        <v>9</v>
      </c>
      <c r="D258" s="309" t="str">
        <f>_xlfn.XLOOKUP(FMS_Ranking4[[#This Row],[FMS ID]],FMS_Input[FMS_ID],FMS_Input[FMS_NAME])</f>
        <v xml:space="preserve">Concho County CTP Program </v>
      </c>
      <c r="E258" s="308" t="str">
        <f>_xlfn.XLOOKUP(FMS_Ranking4[[#This Row],[FMS ID]],FMS_Input[FMS_ID],FMS_Input[SPONSOR])</f>
        <v>00000050</v>
      </c>
      <c r="F258" s="309" t="str">
        <f>_xlfn.XLOOKUP(FMS_Ranking4[[#This Row],[FMS ID]],Sponsor[FMS_ID],Sponsor[SPONSOR NAME])</f>
        <v>Menard</v>
      </c>
      <c r="G258" s="309" t="str">
        <f>_xlfn.XLOOKUP(FMS_Ranking4[[#This Row],[FMS ID]],FMS_Input[FMS_ID],FMS_Input[FMS_DESCR])</f>
        <v>Develop Cooperating Technical Partners. The CTP Program is an innovative approach to creating partnerships between FEMA and participating NFIP communities</v>
      </c>
      <c r="H258" s="248" t="str">
        <f>_xlfn.XLOOKUP(FMS_Ranking4[[#This Row],[FMS ID]],FMS_Input[FMS_ID],FMS_Input[FMS_TYPE])</f>
        <v>Other</v>
      </c>
      <c r="I258" s="249">
        <f>_xlfn.XLOOKUP(FMS_Ranking4[[#This Row],[FMS ID]],FMS_Input[FMS_ID],FMS_Input[NRNC_COST])</f>
        <v>5000</v>
      </c>
      <c r="J258" s="250">
        <f>_xlfn.XLOOKUP(FMS_Ranking4[[#This Row],[FMS ID]],FMS_Input[FMS_ID],FMS_Input[FMS_COST])</f>
        <v>30000</v>
      </c>
      <c r="K258" s="251" t="str">
        <f>_xlfn.XLOOKUP(FMS_Ranking4[[#This Row],[FMS ID]],FMS_Input[FMS_ID],FMS_Input[EMER_NEED])</f>
        <v>No</v>
      </c>
      <c r="L258" s="252">
        <f t="shared" si="3"/>
        <v>0</v>
      </c>
      <c r="M258" s="253">
        <f>_xlfn.XLOOKUP(FMS_Ranking4[[#This Row],[FMS ID]],FMS_Input[FMS_ID],FMS_Input[STRUCT_100])</f>
        <v>103</v>
      </c>
      <c r="N258" s="255">
        <f>(ASINH(FMS_Ranking4[[#This Row],[Structure at Risk Raw]]))*(10)/(ASINH(M$4))</f>
        <v>4.1885224799346403</v>
      </c>
      <c r="O258" s="256">
        <f>FMS_Ranking4[[#This Row],[Structures at risk, ArcSinh (0-10)]]*M$5*10</f>
        <v>4.1885224799346403</v>
      </c>
      <c r="P258" s="253">
        <f>_xlfn.XLOOKUP(FMS_Ranking4[[#This Row],[FMS ID]],FMS_Input[FMS_ID],FMS_Input[RES_STRUCT100])</f>
        <v>52</v>
      </c>
      <c r="Q258" s="257">
        <f>ASINH(FMS_Ranking4[[#This Row],[Res Structure Raw]])/Q$4*P$5*100</f>
        <v>0</v>
      </c>
      <c r="R258" s="253">
        <f>_xlfn.XLOOKUP(FMS_Ranking4[[#This Row],[FMS ID]],FMS_Input[FMS_ID],FMS_Input[POP100])</f>
        <v>77</v>
      </c>
      <c r="S258" s="259">
        <f>(ASINH(FMS_Ranking4[[#This Row],[Pop at Risk Raw]]))*(10)/(ASINH(R$4))</f>
        <v>3.4773307299522225</v>
      </c>
      <c r="T258" s="256">
        <f>FMS_Ranking4[[#This Row],[Population at risk, ArcSinh (0-10)]]*R$5*10</f>
        <v>3.4773307299522225</v>
      </c>
      <c r="U258" s="253">
        <f>_xlfn.XLOOKUP(FMS_Ranking4[[#This Row],[FMS ID]],FMS_Input[FMS_ID],FMS_Input[CRITFAC100])</f>
        <v>0</v>
      </c>
      <c r="V258" s="259">
        <f>(ASINH(FMS_Ranking4[[#This Row],[Critical Facilities Raw]]))*(10)/(ASINH(U$4))</f>
        <v>0</v>
      </c>
      <c r="W258" s="256">
        <f>FMS_Ranking4[[#This Row],[Critical facilities at risk, ArcSinh (0-10)]]*U$5*10</f>
        <v>0</v>
      </c>
      <c r="X258" s="253">
        <f>_xlfn.XLOOKUP(FMS_Ranking4[[#This Row],[FMS ID]],FMS_Input[FMS_ID],FMS_Input[LWC])</f>
        <v>4</v>
      </c>
      <c r="Y258" s="259">
        <f>(ASINH(FMS_Ranking4[[#This Row],[LWC Raw]]))*(10)/(ASINH(X$4))</f>
        <v>2.8377862217928165</v>
      </c>
      <c r="Z258" s="256">
        <f>FMS_Ranking4[[#This Row],[LWC, ArcSInh (0-10)]]*X$5*10</f>
        <v>2.8377862217928169</v>
      </c>
      <c r="AA258" s="253">
        <f>_xlfn.XLOOKUP(FMS_Ranking4[[#This Row],[FMS ID]],FMS_Input[FMS_ID],FMS_Input[ROADCLS])</f>
        <v>0</v>
      </c>
      <c r="AB258" s="255">
        <f>(ASINH(FMS_Ranking4[[#This Row],[Road Closures Raw]]))*(10)/(ASINH(AA$4))</f>
        <v>0</v>
      </c>
      <c r="AC258" s="256">
        <f>FMS_Ranking4[[#This Row],[Road closures, ArcSinh (0-10)]]*AA$5*10</f>
        <v>0</v>
      </c>
      <c r="AD258" s="253">
        <f>_xlfn.XLOOKUP(FMS_Ranking4[[#This Row],[FMS ID]],FMS_Input[FMS_ID],FMS_Input[ROAD_MILES100])</f>
        <v>24</v>
      </c>
      <c r="AE258" s="259">
        <f>(ASINH(FMS_Ranking4[[#This Row],[Road Miles Raw]]))*(10)/(ASINH(AD$4))</f>
        <v>4.1260974697280659</v>
      </c>
      <c r="AF258" s="256">
        <f>FMS_Ranking4[[#This Row],[Length of roads at risk, ArcSinh (0-10)]]*AD$5*10</f>
        <v>4.1260974697280659</v>
      </c>
      <c r="AG258" s="253">
        <f>_xlfn.XLOOKUP(FMS_Ranking4[[#This Row],[FMS ID]],FMS_Input[FMS_ID],FMS_Input[FARMACRE100])</f>
        <v>12259.0703125</v>
      </c>
      <c r="AH258" s="255">
        <f>(ASINH(FMS_Ranking4[[#This Row],[Ag Land Raw]]))*(10)/(ASINH(AG$4))</f>
        <v>6.5654294024491646</v>
      </c>
      <c r="AI258" s="260">
        <f>FMS_Ranking4[[#This Row],[Farm &amp; ranch land, ArcSinh (0-10)]]*AG$5*10</f>
        <v>3.2827147012245828</v>
      </c>
      <c r="AJ258" s="258">
        <f>_xlfn.XLOOKUP(FMS_Ranking4[[#This Row],[FMS ID]],FMS_Input[FMS_ID],FMS_Input[REDSTRUCT100])</f>
        <v>26</v>
      </c>
      <c r="AK258" s="253">
        <f>_xlfn.XLOOKUP(FMS_Ranking4[[#This Row],[FMS ID]],FMS_Input[FMS_ID],FMS_Input[REMSTRC100])</f>
        <v>26</v>
      </c>
      <c r="AL258" s="259">
        <f>(ASINH(FMS_Ranking4[[#This Row],[Structures Removed Raw]]))*(10)/(ASINH(AK$4))</f>
        <v>4.499193851778454</v>
      </c>
      <c r="AM258" s="262">
        <f>FMS_Ranking4[[#This Row],[Structures removed, ArcSinh (0-10)]]*AK$5*10</f>
        <v>4.499193851778454</v>
      </c>
      <c r="AN258" s="253">
        <f>_xlfn.XLOOKUP(FMS_Ranking4[[#This Row],[FMS ID]],FMS_Input[FMS_ID],FMS_Input[REMRESSTRC100])</f>
        <v>13</v>
      </c>
      <c r="AO258" s="261">
        <f>FMS_Ranking4[[#This Row],[ArcSinh Res struct removed 0-10]]*AN$5*10</f>
        <v>1.9118255745793964</v>
      </c>
      <c r="AP258" s="260">
        <f>ASINH(FMS_Ranking4[[#This Row],[Residential Structures Removed Raw]])/AP$4*AN$5*100</f>
        <v>1.9118255745793966</v>
      </c>
      <c r="AQ258" s="254">
        <f>(ASINH(FMS_Ranking4[[#This Row],[Residential Structures Removed Raw]]))*(10)/(ASINH(AN$4))</f>
        <v>3.8236511491587923</v>
      </c>
      <c r="AR258" s="253">
        <f>_xlfn.XLOOKUP(FMS_Ranking4[[#This Row],[FMS ID]],FMS_Input[FMS_ID],FMS_Input[REMPOP100])</f>
        <v>19</v>
      </c>
      <c r="AS258" s="259">
        <f>(ASINH(FMS_Ranking4[[#This Row],[Removed Pop Raw]]))*(10)/(ASINH(AR$4))</f>
        <v>3.5714080243125372</v>
      </c>
      <c r="AT258" s="262">
        <f>FMS_Ranking4[[#This Row],[Removed population, ArcSinh (0-10)]]*AR$5*10</f>
        <v>3.5714080243125372</v>
      </c>
      <c r="AU258" s="264">
        <f>_xlfn.XLOOKUP(FMS_Ranking4[[#This Row],[FMS ID]],FMS_Input[FMS_ID],FMS_Input[REMCRITFAC100])</f>
        <v>0</v>
      </c>
      <c r="AV258" s="264">
        <f>_xlfn.XLOOKUP(FMS_Ranking4[[#This Row],[FMS ID]],FMS_Input[FMS_ID],FMS_Input[REMLWC100])</f>
        <v>1</v>
      </c>
      <c r="AW258" s="264">
        <f>_xlfn.XLOOKUP(FMS_Ranking4[[#This Row],[FMS ID]],FMS_Input[FMS_ID],FMS_Input[REMROADCLS])</f>
        <v>0</v>
      </c>
      <c r="AX258" s="264">
        <f>_xlfn.XLOOKUP(FMS_Ranking4[[#This Row],[FMS ID]],FMS_Input[FMS_ID],FMS_Input[REMFRMACRE100])</f>
        <v>3064.767578125</v>
      </c>
      <c r="AY258" s="258">
        <f>_xlfn.XLOOKUP(FMS_Ranking4[[#This Row],[FMS ID]],FMS_Input[FMS_ID],FMS_Input[COSTSTRUCT])</f>
        <v>25000</v>
      </c>
      <c r="AZ258" s="253">
        <f>_xlfn.XLOOKUP(FMS_Ranking4[[#This Row],[FMS ID]],FMS_Input[FMS_ID],FMS_Input[NATURE])</f>
        <v>0</v>
      </c>
      <c r="BA258" s="262">
        <f>(((FMS_Ranking4[[#This Row],[% NBS Raw]]/AZ$4)*100)*AZ$5)</f>
        <v>0</v>
      </c>
      <c r="BB258" s="251" t="str">
        <f>_xlfn.XLOOKUP(FMS_Ranking4[[#This Row],[FMS ID]],FMS_Input[FMS_ID],FMS_Input[WATER_SUP])</f>
        <v>No</v>
      </c>
      <c r="BC258" s="265">
        <f>IF(FMS_Ranking4[[#This Row],[Water Supply Raw]]="Yes",10,0)</f>
        <v>0</v>
      </c>
      <c r="BD258" s="266">
        <f>_xlfn.XLOOKUP(FMS_Ranking4[[#This Row],[FMS Type]],FMS_TYPE[FMS_Type],FMS_TYPE[Score])</f>
        <v>2</v>
      </c>
      <c r="BE258" s="267">
        <f>FMS_Ranking4[[#This Row],[FMS_Type Score]]*$BD$5*10</f>
        <v>0.5</v>
      </c>
      <c r="BF25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0.12241316270966553</v>
      </c>
      <c r="BG258" s="271">
        <f>_xlfn.RANK.EQ(BF258,$BF$8:$BF$870,0)+COUNTIF($BF$8:BF258,BF258)-1</f>
        <v>454</v>
      </c>
      <c r="BH258" s="268">
        <f>(((FMS_Ranking4[[#This Row],[Structures Removed Raw]]/AK$4)*100)*AK$5)+(((FMS_Ranking4[[#This Row],[Removed Pop Raw]]/AR$4)*100)*AR$5)</f>
        <v>9.4036295772775669E-2</v>
      </c>
      <c r="BI25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0.71644945848244124</v>
      </c>
      <c r="BJ258" s="205">
        <f>_xlfn.RANK.EQ(FMS_Ranking4[[#This Row],[Total Score 
(with linear
normalization)]],FMS_Ranking4[Total Score 
(with linear
normalization)],0)</f>
        <v>796</v>
      </c>
      <c r="BK258" s="205" t="e">
        <f>_xlfn.XLOOKUP(FMS_Ranking4[[#This Row],[FMS ID]],#REF!,#REF!)</f>
        <v>#REF!</v>
      </c>
      <c r="BL25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27.894879053302716</v>
      </c>
      <c r="BM258" s="272">
        <f>FMS_Ranking4[[#This Row],[ArcSinh Score Based on Normalized Reported Factors]]+FMS_Ranking4[[#This Row],[% NBS Score (Normalized)]]+(FMS_Ranking4[[#This Row],[Water Supply Score (Normalized)]]*10*$BB$5)+FMS_Ranking4[[#This Row],[FMS_Type Score Weighted]]</f>
        <v>28.394879053302716</v>
      </c>
      <c r="BN258" s="205">
        <f>_xlfn.RANK.EQ(FMS_Ranking4[[#This Row],[Total Score (with ArcSinh normalization of select criteria)]],FMS_Ranking4[Total Score (with ArcSinh normalization of select criteria)],0)</f>
        <v>250</v>
      </c>
      <c r="BO258" s="270" t="str">
        <f>_xlfn.XLOOKUP(FMS_Ranking4[[#This Row],[FMS ID]],FMS_Input[FMS_ID],FMS_Input[FMS_RANK_YEAR])</f>
        <v>2023 Amended Plan</v>
      </c>
      <c r="BP258" s="204">
        <f>_xlfn.XLOOKUP(FMS_Ranking4[[#This Row],[FMS ID]],Prev_Rank[FMS ID],Prev_Rank[Prev Rank])</f>
        <v>231</v>
      </c>
      <c r="BQ258" s="205" t="e">
        <f>_xlfn.XLOOKUP(FMS_Ranking4[[#This Row],[FMS ID]],#REF!,#REF!)</f>
        <v>#REF!</v>
      </c>
      <c r="BR258" s="199" t="e">
        <f>SUM(#REF!,#REF!,#REF!,#REF!,#REF!,#REF!,#REF!,#REF!,#REF!,FMS_Ranking4[[#This Row],[ArcSinh Res struct removed 0-10]],#REF!)</f>
        <v>#REF!</v>
      </c>
      <c r="BS258" s="199" t="e">
        <f>FMS_Ranking4[[#This Row],[Log Score Based on Normalized Reported Factors]]+FMS_Ranking4[[#This Row],[% NBS Score (Normalized)]]+(FMS_Ranking4[[#This Row],[Water Supply Score (Normalized)]]*10*$BB$5)+(FMS_Ranking4[[#This Row],[FMS_Type Score Weighted]])</f>
        <v>#REF!</v>
      </c>
      <c r="BT258" s="200" t="e">
        <f>_xlfn.RANK.EQ(FMS_Ranking4[[#This Row],[Log Total Score]],FMS_Ranking4[Log Total Score],0)</f>
        <v>#REF!</v>
      </c>
      <c r="BU258" s="200" t="e">
        <f>_xlfn.XLOOKUP(FMS_Ranking4[[#This Row],[FMS ID]],#REF!,#REF!)</f>
        <v>#REF!</v>
      </c>
      <c r="BV258" s="200">
        <f>FMS_Ranking4[[#This Row],[Region Number]]</f>
        <v>9</v>
      </c>
      <c r="BW258" s="200">
        <f>FMS_Ranking4[[#This Row],[Rank (with ArcSinh normalization of select criteria)]]-FMS_Ranking4[[#This Row],[Rank
(with linear
normalization)]]</f>
        <v>-546</v>
      </c>
      <c r="BX258" s="200" t="e">
        <f>FMS_Ranking4[[#This Row],[Log Rank]]-FMS_Ranking4[[#This Row],[Rank
(with linear
normalization)]]</f>
        <v>#REF!</v>
      </c>
      <c r="BY258" s="200" t="str">
        <f>IF(FMS_Ranking4[[#This Row],[FMS Type]]="Flood Measurement and Warning",FMS_Ranking4[[#This Row],[Rank (with ArcSinh normalization of select criteria)]],"")</f>
        <v/>
      </c>
      <c r="BZ258" s="200" t="str">
        <f>IF(FMS_Ranking4[[#This Row],[FMS Type]]="Regulatory and Guidance",FMS_Ranking4[[#This Row],[Rank (with ArcSinh normalization of select criteria)]],"")</f>
        <v/>
      </c>
      <c r="CA258" s="200" t="str">
        <f>IF(FMS_Ranking4[[#This Row],[FMS Type]]="Education and Outreach",FMS_Ranking4[[#This Row],[Rank (with ArcSinh normalization of select criteria)]],"")</f>
        <v/>
      </c>
      <c r="CB258" s="200" t="str">
        <f>IF(FMS_Ranking4[[#This Row],[FMS Type]]="Property Acquisition and Structural Elevation",FMS_Ranking4[[#This Row],[Rank (with ArcSinh normalization of select criteria)]],"")</f>
        <v/>
      </c>
      <c r="CC258" s="200" t="str">
        <f>IF(FMS_Ranking4[[#This Row],[FMS Type]]="Infrastructure Projects",FMS_Ranking4[[#This Row],[Rank (with ArcSinh normalization of select criteria)]],"")</f>
        <v/>
      </c>
      <c r="CD258" s="200">
        <f>IF(FMS_Ranking4[[#This Row],[FMS Type]]="Other",FMS_Ranking4[[#This Row],[Rank (with ArcSinh normalization of select criteria)]],"")</f>
        <v>250</v>
      </c>
      <c r="CE258" s="201"/>
      <c r="CF258" s="206"/>
      <c r="CG258" s="206"/>
      <c r="CH258" s="206"/>
      <c r="CI258" s="206"/>
      <c r="CJ258" s="206"/>
      <c r="CK258" s="206"/>
      <c r="CL258" s="206"/>
      <c r="CM258" s="206"/>
      <c r="CN258" s="206"/>
      <c r="CO258" s="206"/>
      <c r="CP258" s="206"/>
      <c r="CQ258" s="206"/>
      <c r="CR258" s="206"/>
    </row>
    <row r="259" spans="2:96" ht="30" x14ac:dyDescent="0.25">
      <c r="B259" s="341" t="s">
        <v>902</v>
      </c>
      <c r="C259" s="246">
        <f>_xlfn.XLOOKUP(FMS_Ranking4[[#This Row],[FMS ID]],FMS_Input[FMS_ID],FMS_Input[RFPG_NUM])</f>
        <v>9</v>
      </c>
      <c r="D259" s="309" t="str">
        <f>_xlfn.XLOOKUP(FMS_Ranking4[[#This Row],[FMS ID]],FMS_Input[FMS_ID],FMS_Input[FMS_NAME])</f>
        <v>Concho County NFIP Application</v>
      </c>
      <c r="E259" s="308" t="str">
        <f>_xlfn.XLOOKUP(FMS_Ranking4[[#This Row],[FMS ID]],FMS_Input[FMS_ID],FMS_Input[SPONSOR])</f>
        <v>00000124</v>
      </c>
      <c r="F259" s="309" t="str">
        <f>_xlfn.XLOOKUP(FMS_Ranking4[[#This Row],[FMS ID]],Sponsor[FMS_ID],Sponsor[SPONSOR NAME])</f>
        <v>Concho</v>
      </c>
      <c r="G259" s="309" t="str">
        <f>_xlfn.XLOOKUP(FMS_Ranking4[[#This Row],[FMS ID]],FMS_Input[FMS_ID],FMS_Input[FMS_DESCR])</f>
        <v xml:space="preserve">Join the National Flood Insurance Program (NFIP). </v>
      </c>
      <c r="H259" s="248" t="str">
        <f>_xlfn.XLOOKUP(FMS_Ranking4[[#This Row],[FMS ID]],FMS_Input[FMS_ID],FMS_Input[FMS_TYPE])</f>
        <v>Other</v>
      </c>
      <c r="I259" s="249">
        <f>_xlfn.XLOOKUP(FMS_Ranking4[[#This Row],[FMS ID]],FMS_Input[FMS_ID],FMS_Input[NRNC_COST])</f>
        <v>5000</v>
      </c>
      <c r="J259" s="250">
        <f>_xlfn.XLOOKUP(FMS_Ranking4[[#This Row],[FMS ID]],FMS_Input[FMS_ID],FMS_Input[FMS_COST])</f>
        <v>30000</v>
      </c>
      <c r="K259" s="251" t="str">
        <f>_xlfn.XLOOKUP(FMS_Ranking4[[#This Row],[FMS ID]],FMS_Input[FMS_ID],FMS_Input[EMER_NEED])</f>
        <v>No</v>
      </c>
      <c r="L259" s="252">
        <f t="shared" si="3"/>
        <v>0</v>
      </c>
      <c r="M259" s="253">
        <f>_xlfn.XLOOKUP(FMS_Ranking4[[#This Row],[FMS ID]],FMS_Input[FMS_ID],FMS_Input[STRUCT_100])</f>
        <v>103</v>
      </c>
      <c r="N259" s="255">
        <f>(ASINH(FMS_Ranking4[[#This Row],[Structure at Risk Raw]]))*(10)/(ASINH(M$4))</f>
        <v>4.1885224799346403</v>
      </c>
      <c r="O259" s="256">
        <f>FMS_Ranking4[[#This Row],[Structures at risk, ArcSinh (0-10)]]*M$5*10</f>
        <v>4.1885224799346403</v>
      </c>
      <c r="P259" s="253">
        <f>_xlfn.XLOOKUP(FMS_Ranking4[[#This Row],[FMS ID]],FMS_Input[FMS_ID],FMS_Input[RES_STRUCT100])</f>
        <v>52</v>
      </c>
      <c r="Q259" s="257">
        <f>ASINH(FMS_Ranking4[[#This Row],[Res Structure Raw]])/Q$4*P$5*100</f>
        <v>0</v>
      </c>
      <c r="R259" s="253">
        <f>_xlfn.XLOOKUP(FMS_Ranking4[[#This Row],[FMS ID]],FMS_Input[FMS_ID],FMS_Input[POP100])</f>
        <v>77</v>
      </c>
      <c r="S259" s="259">
        <f>(ASINH(FMS_Ranking4[[#This Row],[Pop at Risk Raw]]))*(10)/(ASINH(R$4))</f>
        <v>3.4773307299522225</v>
      </c>
      <c r="T259" s="256">
        <f>FMS_Ranking4[[#This Row],[Population at risk, ArcSinh (0-10)]]*R$5*10</f>
        <v>3.4773307299522225</v>
      </c>
      <c r="U259" s="253">
        <f>_xlfn.XLOOKUP(FMS_Ranking4[[#This Row],[FMS ID]],FMS_Input[FMS_ID],FMS_Input[CRITFAC100])</f>
        <v>0</v>
      </c>
      <c r="V259" s="259">
        <f>(ASINH(FMS_Ranking4[[#This Row],[Critical Facilities Raw]]))*(10)/(ASINH(U$4))</f>
        <v>0</v>
      </c>
      <c r="W259" s="256">
        <f>FMS_Ranking4[[#This Row],[Critical facilities at risk, ArcSinh (0-10)]]*U$5*10</f>
        <v>0</v>
      </c>
      <c r="X259" s="253">
        <f>_xlfn.XLOOKUP(FMS_Ranking4[[#This Row],[FMS ID]],FMS_Input[FMS_ID],FMS_Input[LWC])</f>
        <v>4</v>
      </c>
      <c r="Y259" s="259">
        <f>(ASINH(FMS_Ranking4[[#This Row],[LWC Raw]]))*(10)/(ASINH(X$4))</f>
        <v>2.8377862217928165</v>
      </c>
      <c r="Z259" s="256">
        <f>FMS_Ranking4[[#This Row],[LWC, ArcSInh (0-10)]]*X$5*10</f>
        <v>2.8377862217928169</v>
      </c>
      <c r="AA259" s="253">
        <f>_xlfn.XLOOKUP(FMS_Ranking4[[#This Row],[FMS ID]],FMS_Input[FMS_ID],FMS_Input[ROADCLS])</f>
        <v>0</v>
      </c>
      <c r="AB259" s="255">
        <f>(ASINH(FMS_Ranking4[[#This Row],[Road Closures Raw]]))*(10)/(ASINH(AA$4))</f>
        <v>0</v>
      </c>
      <c r="AC259" s="256">
        <f>FMS_Ranking4[[#This Row],[Road closures, ArcSinh (0-10)]]*AA$5*10</f>
        <v>0</v>
      </c>
      <c r="AD259" s="253">
        <f>_xlfn.XLOOKUP(FMS_Ranking4[[#This Row],[FMS ID]],FMS_Input[FMS_ID],FMS_Input[ROAD_MILES100])</f>
        <v>24</v>
      </c>
      <c r="AE259" s="259">
        <f>(ASINH(FMS_Ranking4[[#This Row],[Road Miles Raw]]))*(10)/(ASINH(AD$4))</f>
        <v>4.1260974697280659</v>
      </c>
      <c r="AF259" s="256">
        <f>FMS_Ranking4[[#This Row],[Length of roads at risk, ArcSinh (0-10)]]*AD$5*10</f>
        <v>4.1260974697280659</v>
      </c>
      <c r="AG259" s="253">
        <f>_xlfn.XLOOKUP(FMS_Ranking4[[#This Row],[FMS ID]],FMS_Input[FMS_ID],FMS_Input[FARMACRE100])</f>
        <v>12259.0703125</v>
      </c>
      <c r="AH259" s="255">
        <f>(ASINH(FMS_Ranking4[[#This Row],[Ag Land Raw]]))*(10)/(ASINH(AG$4))</f>
        <v>6.5654294024491646</v>
      </c>
      <c r="AI259" s="260">
        <f>FMS_Ranking4[[#This Row],[Farm &amp; ranch land, ArcSinh (0-10)]]*AG$5*10</f>
        <v>3.2827147012245828</v>
      </c>
      <c r="AJ259" s="258">
        <f>_xlfn.XLOOKUP(FMS_Ranking4[[#This Row],[FMS ID]],FMS_Input[FMS_ID],FMS_Input[REDSTRUCT100])</f>
        <v>26</v>
      </c>
      <c r="AK259" s="253">
        <f>_xlfn.XLOOKUP(FMS_Ranking4[[#This Row],[FMS ID]],FMS_Input[FMS_ID],FMS_Input[REMSTRC100])</f>
        <v>26</v>
      </c>
      <c r="AL259" s="259">
        <f>(ASINH(FMS_Ranking4[[#This Row],[Structures Removed Raw]]))*(10)/(ASINH(AK$4))</f>
        <v>4.499193851778454</v>
      </c>
      <c r="AM259" s="262">
        <f>FMS_Ranking4[[#This Row],[Structures removed, ArcSinh (0-10)]]*AK$5*10</f>
        <v>4.499193851778454</v>
      </c>
      <c r="AN259" s="253">
        <f>_xlfn.XLOOKUP(FMS_Ranking4[[#This Row],[FMS ID]],FMS_Input[FMS_ID],FMS_Input[REMRESSTRC100])</f>
        <v>13</v>
      </c>
      <c r="AO259" s="261">
        <f>FMS_Ranking4[[#This Row],[ArcSinh Res struct removed 0-10]]*AN$5*10</f>
        <v>1.9118255745793964</v>
      </c>
      <c r="AP259" s="260">
        <f>ASINH(FMS_Ranking4[[#This Row],[Residential Structures Removed Raw]])/AP$4*AN$5*100</f>
        <v>1.9118255745793966</v>
      </c>
      <c r="AQ259" s="254">
        <f>(ASINH(FMS_Ranking4[[#This Row],[Residential Structures Removed Raw]]))*(10)/(ASINH(AN$4))</f>
        <v>3.8236511491587923</v>
      </c>
      <c r="AR259" s="253">
        <f>_xlfn.XLOOKUP(FMS_Ranking4[[#This Row],[FMS ID]],FMS_Input[FMS_ID],FMS_Input[REMPOP100])</f>
        <v>19</v>
      </c>
      <c r="AS259" s="259">
        <f>(ASINH(FMS_Ranking4[[#This Row],[Removed Pop Raw]]))*(10)/(ASINH(AR$4))</f>
        <v>3.5714080243125372</v>
      </c>
      <c r="AT259" s="262">
        <f>FMS_Ranking4[[#This Row],[Removed population, ArcSinh (0-10)]]*AR$5*10</f>
        <v>3.5714080243125372</v>
      </c>
      <c r="AU259" s="264">
        <f>_xlfn.XLOOKUP(FMS_Ranking4[[#This Row],[FMS ID]],FMS_Input[FMS_ID],FMS_Input[REMCRITFAC100])</f>
        <v>0</v>
      </c>
      <c r="AV259" s="264">
        <f>_xlfn.XLOOKUP(FMS_Ranking4[[#This Row],[FMS ID]],FMS_Input[FMS_ID],FMS_Input[REMLWC100])</f>
        <v>1</v>
      </c>
      <c r="AW259" s="264">
        <f>_xlfn.XLOOKUP(FMS_Ranking4[[#This Row],[FMS ID]],FMS_Input[FMS_ID],FMS_Input[REMROADCLS])</f>
        <v>0</v>
      </c>
      <c r="AX259" s="264">
        <f>_xlfn.XLOOKUP(FMS_Ranking4[[#This Row],[FMS ID]],FMS_Input[FMS_ID],FMS_Input[REMFRMACRE100])</f>
        <v>3064.767578125</v>
      </c>
      <c r="AY259" s="258">
        <f>_xlfn.XLOOKUP(FMS_Ranking4[[#This Row],[FMS ID]],FMS_Input[FMS_ID],FMS_Input[COSTSTRUCT])</f>
        <v>25000</v>
      </c>
      <c r="AZ259" s="253">
        <f>_xlfn.XLOOKUP(FMS_Ranking4[[#This Row],[FMS ID]],FMS_Input[FMS_ID],FMS_Input[NATURE])</f>
        <v>0</v>
      </c>
      <c r="BA259" s="262">
        <f>(((FMS_Ranking4[[#This Row],[% NBS Raw]]/AZ$4)*100)*AZ$5)</f>
        <v>0</v>
      </c>
      <c r="BB259" s="251" t="str">
        <f>_xlfn.XLOOKUP(FMS_Ranking4[[#This Row],[FMS ID]],FMS_Input[FMS_ID],FMS_Input[WATER_SUP])</f>
        <v>No</v>
      </c>
      <c r="BC259" s="265">
        <f>IF(FMS_Ranking4[[#This Row],[Water Supply Raw]]="Yes",10,0)</f>
        <v>0</v>
      </c>
      <c r="BD259" s="266">
        <f>_xlfn.XLOOKUP(FMS_Ranking4[[#This Row],[FMS Type]],FMS_TYPE[FMS_Type],FMS_TYPE[Score])</f>
        <v>2</v>
      </c>
      <c r="BE259" s="267">
        <f>FMS_Ranking4[[#This Row],[FMS_Type Score]]*$BD$5*10</f>
        <v>0.5</v>
      </c>
      <c r="BF25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0.12241316270966553</v>
      </c>
      <c r="BG259" s="271">
        <f>_xlfn.RANK.EQ(BF259,$BF$8:$BF$870,0)+COUNTIF($BF$8:BF259,BF259)-1</f>
        <v>455</v>
      </c>
      <c r="BH259" s="268">
        <f>(((FMS_Ranking4[[#This Row],[Structures Removed Raw]]/AK$4)*100)*AK$5)+(((FMS_Ranking4[[#This Row],[Removed Pop Raw]]/AR$4)*100)*AR$5)</f>
        <v>9.4036295772775669E-2</v>
      </c>
      <c r="BI25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0.71644945848244124</v>
      </c>
      <c r="BJ259" s="205">
        <f>_xlfn.RANK.EQ(FMS_Ranking4[[#This Row],[Total Score 
(with linear
normalization)]],FMS_Ranking4[Total Score 
(with linear
normalization)],0)</f>
        <v>796</v>
      </c>
      <c r="BK259" s="205" t="e">
        <f>_xlfn.XLOOKUP(FMS_Ranking4[[#This Row],[FMS ID]],#REF!,#REF!)</f>
        <v>#REF!</v>
      </c>
      <c r="BL25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27.894879053302716</v>
      </c>
      <c r="BM259" s="272">
        <f>FMS_Ranking4[[#This Row],[ArcSinh Score Based on Normalized Reported Factors]]+FMS_Ranking4[[#This Row],[% NBS Score (Normalized)]]+(FMS_Ranking4[[#This Row],[Water Supply Score (Normalized)]]*10*$BB$5)+FMS_Ranking4[[#This Row],[FMS_Type Score Weighted]]</f>
        <v>28.394879053302716</v>
      </c>
      <c r="BN259" s="205">
        <f>_xlfn.RANK.EQ(FMS_Ranking4[[#This Row],[Total Score (with ArcSinh normalization of select criteria)]],FMS_Ranking4[Total Score (with ArcSinh normalization of select criteria)],0)</f>
        <v>250</v>
      </c>
      <c r="BO259" s="270" t="str">
        <f>_xlfn.XLOOKUP(FMS_Ranking4[[#This Row],[FMS ID]],FMS_Input[FMS_ID],FMS_Input[FMS_RANK_YEAR])</f>
        <v>2023 Amended Plan</v>
      </c>
      <c r="BP259" s="204">
        <f>_xlfn.XLOOKUP(FMS_Ranking4[[#This Row],[FMS ID]],Prev_Rank[FMS ID],Prev_Rank[Prev Rank])</f>
        <v>231</v>
      </c>
      <c r="BQ259" s="205" t="e">
        <f>_xlfn.XLOOKUP(FMS_Ranking4[[#This Row],[FMS ID]],#REF!,#REF!)</f>
        <v>#REF!</v>
      </c>
      <c r="BR259" s="199" t="e">
        <f>SUM(#REF!,#REF!,#REF!,#REF!,#REF!,#REF!,#REF!,#REF!,#REF!,FMS_Ranking4[[#This Row],[ArcSinh Res struct removed 0-10]],#REF!)</f>
        <v>#REF!</v>
      </c>
      <c r="BS259" s="199" t="e">
        <f>FMS_Ranking4[[#This Row],[Log Score Based on Normalized Reported Factors]]+FMS_Ranking4[[#This Row],[% NBS Score (Normalized)]]+(FMS_Ranking4[[#This Row],[Water Supply Score (Normalized)]]*10*$BB$5)+(FMS_Ranking4[[#This Row],[FMS_Type Score Weighted]])</f>
        <v>#REF!</v>
      </c>
      <c r="BT259" s="200" t="e">
        <f>_xlfn.RANK.EQ(FMS_Ranking4[[#This Row],[Log Total Score]],FMS_Ranking4[Log Total Score],0)</f>
        <v>#REF!</v>
      </c>
      <c r="BU259" s="200" t="e">
        <f>_xlfn.XLOOKUP(FMS_Ranking4[[#This Row],[FMS ID]],#REF!,#REF!)</f>
        <v>#REF!</v>
      </c>
      <c r="BV259" s="200">
        <f>FMS_Ranking4[[#This Row],[Region Number]]</f>
        <v>9</v>
      </c>
      <c r="BW259" s="200">
        <f>FMS_Ranking4[[#This Row],[Rank (with ArcSinh normalization of select criteria)]]-FMS_Ranking4[[#This Row],[Rank
(with linear
normalization)]]</f>
        <v>-546</v>
      </c>
      <c r="BX259" s="200" t="e">
        <f>FMS_Ranking4[[#This Row],[Log Rank]]-FMS_Ranking4[[#This Row],[Rank
(with linear
normalization)]]</f>
        <v>#REF!</v>
      </c>
      <c r="BY259" s="200" t="str">
        <f>IF(FMS_Ranking4[[#This Row],[FMS Type]]="Flood Measurement and Warning",FMS_Ranking4[[#This Row],[Rank (with ArcSinh normalization of select criteria)]],"")</f>
        <v/>
      </c>
      <c r="BZ259" s="200" t="str">
        <f>IF(FMS_Ranking4[[#This Row],[FMS Type]]="Regulatory and Guidance",FMS_Ranking4[[#This Row],[Rank (with ArcSinh normalization of select criteria)]],"")</f>
        <v/>
      </c>
      <c r="CA259" s="200" t="str">
        <f>IF(FMS_Ranking4[[#This Row],[FMS Type]]="Education and Outreach",FMS_Ranking4[[#This Row],[Rank (with ArcSinh normalization of select criteria)]],"")</f>
        <v/>
      </c>
      <c r="CB259" s="200" t="str">
        <f>IF(FMS_Ranking4[[#This Row],[FMS Type]]="Property Acquisition and Structural Elevation",FMS_Ranking4[[#This Row],[Rank (with ArcSinh normalization of select criteria)]],"")</f>
        <v/>
      </c>
      <c r="CC259" s="200" t="str">
        <f>IF(FMS_Ranking4[[#This Row],[FMS Type]]="Infrastructure Projects",FMS_Ranking4[[#This Row],[Rank (with ArcSinh normalization of select criteria)]],"")</f>
        <v/>
      </c>
      <c r="CD259" s="200">
        <f>IF(FMS_Ranking4[[#This Row],[FMS Type]]="Other",FMS_Ranking4[[#This Row],[Rank (with ArcSinh normalization of select criteria)]],"")</f>
        <v>250</v>
      </c>
      <c r="CE259" s="201"/>
      <c r="CF259" s="206"/>
      <c r="CG259" s="206"/>
      <c r="CH259" s="206"/>
      <c r="CI259" s="206"/>
      <c r="CJ259" s="206"/>
      <c r="CK259" s="206"/>
      <c r="CL259" s="206"/>
      <c r="CM259" s="206"/>
      <c r="CN259" s="206"/>
      <c r="CO259" s="206"/>
      <c r="CP259" s="206"/>
      <c r="CQ259" s="206"/>
      <c r="CR259" s="206"/>
    </row>
    <row r="260" spans="2:96" ht="105" x14ac:dyDescent="0.25">
      <c r="B260" s="341" t="s">
        <v>1784</v>
      </c>
      <c r="C260" s="246">
        <f>_xlfn.XLOOKUP(FMS_Ranking4[[#This Row],[FMS ID]],FMS_Input[FMS_ID],FMS_Input[RFPG_NUM])</f>
        <v>3</v>
      </c>
      <c r="D260" s="309" t="str">
        <f>_xlfn.XLOOKUP(FMS_Ranking4[[#This Row],[FMS ID]],FMS_Input[FMS_ID],FMS_Input[FMS_NAME])</f>
        <v>Anderson County Structure Permitting Requirement Update</v>
      </c>
      <c r="E260" s="308" t="str">
        <f>_xlfn.XLOOKUP(FMS_Ranking4[[#This Row],[FMS ID]],FMS_Input[FMS_ID],FMS_Input[SPONSOR])</f>
        <v>Anderson County</v>
      </c>
      <c r="F260" s="309" t="str">
        <f>_xlfn.XLOOKUP(FMS_Ranking4[[#This Row],[FMS ID]],Sponsor[FMS_ID],Sponsor[SPONSOR NAME])</f>
        <v>Anderson County</v>
      </c>
      <c r="G260" s="309" t="str">
        <f>_xlfn.XLOOKUP(FMS_Ranking4[[#This Row],[FMS ID]],FMS_Input[FMS_ID],FMS_Input[FMS_DESCR])</f>
        <v>Increase freeboard requirements for permitting structures in the SFHA; Adopt a “no-rise” in BFE in the 100-year floodplain; Update local flood ordinance to prohibit granting of variance in SFHA</v>
      </c>
      <c r="H260" s="248" t="str">
        <f>_xlfn.XLOOKUP(FMS_Ranking4[[#This Row],[FMS ID]],FMS_Input[FMS_ID],FMS_Input[FMS_TYPE])</f>
        <v>Regulatory and Guidance</v>
      </c>
      <c r="I260" s="249">
        <f>_xlfn.XLOOKUP(FMS_Ranking4[[#This Row],[FMS ID]],FMS_Input[FMS_ID],FMS_Input[NRNC_COST])</f>
        <v>100000</v>
      </c>
      <c r="J260" s="250">
        <f>_xlfn.XLOOKUP(FMS_Ranking4[[#This Row],[FMS ID]],FMS_Input[FMS_ID],FMS_Input[FMS_COST])</f>
        <v>100000</v>
      </c>
      <c r="K260" s="251" t="str">
        <f>_xlfn.XLOOKUP(FMS_Ranking4[[#This Row],[FMS ID]],FMS_Input[FMS_ID],FMS_Input[EMER_NEED])</f>
        <v>No</v>
      </c>
      <c r="L260" s="252">
        <f t="shared" si="3"/>
        <v>0</v>
      </c>
      <c r="M260" s="253">
        <f>_xlfn.XLOOKUP(FMS_Ranking4[[#This Row],[FMS ID]],FMS_Input[FMS_ID],FMS_Input[STRUCT_100])</f>
        <v>667</v>
      </c>
      <c r="N260" s="255">
        <f>(ASINH(FMS_Ranking4[[#This Row],[Structure at Risk Raw]]))*(10)/(ASINH(M$4))</f>
        <v>5.6570785304233828</v>
      </c>
      <c r="O260" s="256">
        <f>FMS_Ranking4[[#This Row],[Structures at risk, ArcSinh (0-10)]]*M$5*10</f>
        <v>5.6570785304233828</v>
      </c>
      <c r="P260" s="253">
        <f>_xlfn.XLOOKUP(FMS_Ranking4[[#This Row],[FMS ID]],FMS_Input[FMS_ID],FMS_Input[RES_STRUCT100])</f>
        <v>416</v>
      </c>
      <c r="Q260" s="257">
        <f>ASINH(FMS_Ranking4[[#This Row],[Res Structure Raw]])/Q$4*P$5*100</f>
        <v>0</v>
      </c>
      <c r="R260" s="253">
        <f>_xlfn.XLOOKUP(FMS_Ranking4[[#This Row],[FMS ID]],FMS_Input[FMS_ID],FMS_Input[POP100])</f>
        <v>1098</v>
      </c>
      <c r="S260" s="255">
        <f>(ASINH(FMS_Ranking4[[#This Row],[Pop at Risk Raw]]))*(10)/(ASINH(R$4))</f>
        <v>5.3118874464421824</v>
      </c>
      <c r="T260" s="256">
        <f>FMS_Ranking4[[#This Row],[Population at risk, ArcSinh (0-10)]]*R$5*10</f>
        <v>5.3118874464421832</v>
      </c>
      <c r="U260" s="253">
        <f>_xlfn.XLOOKUP(FMS_Ranking4[[#This Row],[FMS ID]],FMS_Input[FMS_ID],FMS_Input[CRITFAC100])</f>
        <v>6</v>
      </c>
      <c r="V260" s="255">
        <f>(ASINH(FMS_Ranking4[[#This Row],[Critical Facilities Raw]]))*(10)/(ASINH(U$4))</f>
        <v>2.9496796311809068</v>
      </c>
      <c r="W260" s="256">
        <f>FMS_Ranking4[[#This Row],[Critical facilities at risk, ArcSinh (0-10)]]*U$5*10</f>
        <v>2.9496796311809073</v>
      </c>
      <c r="X260" s="253">
        <f>_xlfn.XLOOKUP(FMS_Ranking4[[#This Row],[FMS ID]],FMS_Input[FMS_ID],FMS_Input[LWC])</f>
        <v>6</v>
      </c>
      <c r="Y260" s="255">
        <f>(ASINH(FMS_Ranking4[[#This Row],[LWC Raw]]))*(10)/(ASINH(X$4))</f>
        <v>3.375708300798784</v>
      </c>
      <c r="Z260" s="256">
        <f>FMS_Ranking4[[#This Row],[LWC, ArcSInh (0-10)]]*X$5*10</f>
        <v>3.3757083007987845</v>
      </c>
      <c r="AA260" s="253">
        <f>_xlfn.XLOOKUP(FMS_Ranking4[[#This Row],[FMS ID]],FMS_Input[FMS_ID],FMS_Input[ROADCLS])</f>
        <v>0</v>
      </c>
      <c r="AB260" s="255">
        <f>(ASINH(FMS_Ranking4[[#This Row],[Road Closures Raw]]))*(10)/(ASINH(AA$4))</f>
        <v>0</v>
      </c>
      <c r="AC260" s="256">
        <f>FMS_Ranking4[[#This Row],[Road closures, ArcSinh (0-10)]]*AA$5*10</f>
        <v>0</v>
      </c>
      <c r="AD260" s="253">
        <f>_xlfn.XLOOKUP(FMS_Ranking4[[#This Row],[FMS ID]],FMS_Input[FMS_ID],FMS_Input[ROAD_MILES100])</f>
        <v>73</v>
      </c>
      <c r="AE260" s="255">
        <f>(ASINH(FMS_Ranking4[[#This Row],[Road Miles Raw]]))*(10)/(ASINH(AD$4))</f>
        <v>5.311203540700042</v>
      </c>
      <c r="AF260" s="256">
        <f>FMS_Ranking4[[#This Row],[Length of roads at risk, ArcSinh (0-10)]]*AD$5*10</f>
        <v>5.311203540700042</v>
      </c>
      <c r="AG260" s="253">
        <f>_xlfn.XLOOKUP(FMS_Ranking4[[#This Row],[FMS ID]],FMS_Input[FMS_ID],FMS_Input[FARMACRE100])</f>
        <v>36103.83984375</v>
      </c>
      <c r="AH260" s="255">
        <f>(ASINH(FMS_Ranking4[[#This Row],[Ag Land Raw]]))*(10)/(ASINH(AG$4))</f>
        <v>7.2670638670482877</v>
      </c>
      <c r="AI260" s="260">
        <f>FMS_Ranking4[[#This Row],[Farm &amp; ranch land, ArcSinh (0-10)]]*AG$5*10</f>
        <v>3.6335319335241438</v>
      </c>
      <c r="AJ260" s="258">
        <f>_xlfn.XLOOKUP(FMS_Ranking4[[#This Row],[FMS ID]],FMS_Input[FMS_ID],FMS_Input[REDSTRUCT100])</f>
        <v>0</v>
      </c>
      <c r="AK260" s="253">
        <f>_xlfn.XLOOKUP(FMS_Ranking4[[#This Row],[FMS ID]],FMS_Input[FMS_ID],FMS_Input[REMSTRC100])</f>
        <v>0</v>
      </c>
      <c r="AL260" s="255">
        <f>(ASINH(FMS_Ranking4[[#This Row],[Structures Removed Raw]]))*(10)/(ASINH(AK$4))</f>
        <v>0</v>
      </c>
      <c r="AM260" s="262">
        <f>FMS_Ranking4[[#This Row],[Structures removed, ArcSinh (0-10)]]*AK$5*10</f>
        <v>0</v>
      </c>
      <c r="AN260" s="253">
        <f>_xlfn.XLOOKUP(FMS_Ranking4[[#This Row],[FMS ID]],FMS_Input[FMS_ID],FMS_Input[REMRESSTRC100])</f>
        <v>0</v>
      </c>
      <c r="AO260" s="261">
        <f>FMS_Ranking4[[#This Row],[ArcSinh Res struct removed 0-10]]*AN$5*10</f>
        <v>0</v>
      </c>
      <c r="AP260" s="260">
        <f>ASINH(FMS_Ranking4[[#This Row],[Residential Structures Removed Raw]])/AP$4*AN$5*100</f>
        <v>0</v>
      </c>
      <c r="AQ260" s="258">
        <f>(ASINH(FMS_Ranking4[[#This Row],[Residential Structures Removed Raw]]))*(10)/(ASINH(AN$4))</f>
        <v>0</v>
      </c>
      <c r="AR260" s="253">
        <f>_xlfn.XLOOKUP(FMS_Ranking4[[#This Row],[FMS ID]],FMS_Input[FMS_ID],FMS_Input[REMPOP100])</f>
        <v>0</v>
      </c>
      <c r="AS260" s="255">
        <f>(ASINH(FMS_Ranking4[[#This Row],[Removed Pop Raw]]))*(10)/(ASINH(AR$4))</f>
        <v>0</v>
      </c>
      <c r="AT260" s="262">
        <f>FMS_Ranking4[[#This Row],[Removed population, ArcSinh (0-10)]]*AR$5*10</f>
        <v>0</v>
      </c>
      <c r="AU260" s="264">
        <f>_xlfn.XLOOKUP(FMS_Ranking4[[#This Row],[FMS ID]],FMS_Input[FMS_ID],FMS_Input[REMCRITFAC100])</f>
        <v>0</v>
      </c>
      <c r="AV260" s="264">
        <f>_xlfn.XLOOKUP(FMS_Ranking4[[#This Row],[FMS ID]],FMS_Input[FMS_ID],FMS_Input[REMLWC100])</f>
        <v>0</v>
      </c>
      <c r="AW260" s="264">
        <f>_xlfn.XLOOKUP(FMS_Ranking4[[#This Row],[FMS ID]],FMS_Input[FMS_ID],FMS_Input[REMROADCLS])</f>
        <v>0</v>
      </c>
      <c r="AX260" s="264">
        <f>_xlfn.XLOOKUP(FMS_Ranking4[[#This Row],[FMS ID]],FMS_Input[FMS_ID],FMS_Input[REMFRMACRE100])</f>
        <v>0</v>
      </c>
      <c r="AY260" s="258">
        <f>_xlfn.XLOOKUP(FMS_Ranking4[[#This Row],[FMS ID]],FMS_Input[FMS_ID],FMS_Input[COSTSTRUCT])</f>
        <v>0</v>
      </c>
      <c r="AZ260" s="253">
        <f>_xlfn.XLOOKUP(FMS_Ranking4[[#This Row],[FMS ID]],FMS_Input[FMS_ID],FMS_Input[NATURE])</f>
        <v>0</v>
      </c>
      <c r="BA260" s="262">
        <f>(((FMS_Ranking4[[#This Row],[% NBS Raw]]/AZ$4)*100)*AZ$5)</f>
        <v>0</v>
      </c>
      <c r="BB260" s="251" t="str">
        <f>_xlfn.XLOOKUP(FMS_Ranking4[[#This Row],[FMS ID]],FMS_Input[FMS_ID],FMS_Input[WATER_SUP])</f>
        <v>No</v>
      </c>
      <c r="BC260" s="265">
        <f>IF(FMS_Ranking4[[#This Row],[Water Supply Raw]]="Yes",10,0)</f>
        <v>0</v>
      </c>
      <c r="BD260" s="266">
        <f>_xlfn.XLOOKUP(FMS_Ranking4[[#This Row],[FMS Type]],FMS_TYPE[FMS_Type],FMS_TYPE[Score])</f>
        <v>8</v>
      </c>
      <c r="BE260" s="267">
        <f>FMS_Ranking4[[#This Row],[FMS_Type Score]]*$BD$5*10</f>
        <v>2</v>
      </c>
      <c r="BF26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0.34882659918244752</v>
      </c>
      <c r="BG260" s="321">
        <f>_xlfn.RANK.EQ(BF260,$BF$8:$BF$870,0)+COUNTIF($BF$8:BF260,BF260)-1</f>
        <v>275</v>
      </c>
      <c r="BH260" s="294">
        <f>(((FMS_Ranking4[[#This Row],[Structures Removed Raw]]/AK$4)*100)*AK$5)+(((FMS_Ranking4[[#This Row],[Removed Pop Raw]]/AR$4)*100)*AR$5)</f>
        <v>0</v>
      </c>
      <c r="BI26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2.3488265991824475</v>
      </c>
      <c r="BJ260" s="251">
        <f>_xlfn.RANK.EQ(FMS_Ranking4[[#This Row],[Total Score 
(with linear
normalization)]],FMS_Ranking4[Total Score 
(with linear
normalization)],0)</f>
        <v>285</v>
      </c>
      <c r="BK260" s="251" t="e">
        <f>_xlfn.XLOOKUP(FMS_Ranking4[[#This Row],[FMS ID]],#REF!,#REF!)</f>
        <v>#REF!</v>
      </c>
      <c r="BL26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26.239089383069441</v>
      </c>
      <c r="BM260" s="324">
        <f>FMS_Ranking4[[#This Row],[ArcSinh Score Based on Normalized Reported Factors]]+FMS_Ranking4[[#This Row],[% NBS Score (Normalized)]]+(FMS_Ranking4[[#This Row],[Water Supply Score (Normalized)]]*10*$BB$5)+FMS_Ranking4[[#This Row],[FMS_Type Score Weighted]]</f>
        <v>28.239089383069441</v>
      </c>
      <c r="BN260" s="251">
        <f>_xlfn.RANK.EQ(FMS_Ranking4[[#This Row],[Total Score (with ArcSinh normalization of select criteria)]],FMS_Ranking4[Total Score (with ArcSinh normalization of select criteria)],0)</f>
        <v>253</v>
      </c>
      <c r="BO260" s="270" t="str">
        <f>_xlfn.XLOOKUP(FMS_Ranking4[[#This Row],[FMS ID]],FMS_Input[FMS_ID],FMS_Input[FMS_RANK_YEAR])</f>
        <v>2023 Amended Plan</v>
      </c>
      <c r="BP260" s="204">
        <f>_xlfn.XLOOKUP(FMS_Ranking4[[#This Row],[FMS ID]],Prev_Rank[FMS ID],Prev_Rank[Prev Rank])</f>
        <v>221</v>
      </c>
      <c r="BQ260" s="251" t="e">
        <f>_xlfn.XLOOKUP(FMS_Ranking4[[#This Row],[FMS ID]],#REF!,#REF!)</f>
        <v>#REF!</v>
      </c>
      <c r="BR260" s="199" t="e">
        <f>SUM(#REF!,#REF!,#REF!,#REF!,#REF!,#REF!,#REF!,#REF!,#REF!,FMS_Ranking4[[#This Row],[ArcSinh Res struct removed 0-10]],#REF!)</f>
        <v>#REF!</v>
      </c>
      <c r="BS260" s="199" t="e">
        <f>FMS_Ranking4[[#This Row],[Log Score Based on Normalized Reported Factors]]+FMS_Ranking4[[#This Row],[% NBS Score (Normalized)]]+(FMS_Ranking4[[#This Row],[Water Supply Score (Normalized)]]*10*$BB$5)+(FMS_Ranking4[[#This Row],[FMS_Type Score Weighted]])</f>
        <v>#REF!</v>
      </c>
      <c r="BT260" s="200" t="e">
        <f>_xlfn.RANK.EQ(FMS_Ranking4[[#This Row],[Log Total Score]],FMS_Ranking4[Log Total Score],0)</f>
        <v>#REF!</v>
      </c>
      <c r="BU260" s="200" t="e">
        <f>_xlfn.XLOOKUP(FMS_Ranking4[[#This Row],[FMS ID]],#REF!,#REF!)</f>
        <v>#REF!</v>
      </c>
      <c r="BV260" s="200">
        <f>FMS_Ranking4[[#This Row],[Region Number]]</f>
        <v>3</v>
      </c>
      <c r="BW260" s="200">
        <f>FMS_Ranking4[[#This Row],[Rank (with ArcSinh normalization of select criteria)]]-FMS_Ranking4[[#This Row],[Rank
(with linear
normalization)]]</f>
        <v>-32</v>
      </c>
      <c r="BX260" s="200" t="e">
        <f>FMS_Ranking4[[#This Row],[Log Rank]]-FMS_Ranking4[[#This Row],[Rank
(with linear
normalization)]]</f>
        <v>#REF!</v>
      </c>
      <c r="BY260" s="200" t="str">
        <f>IF(FMS_Ranking4[[#This Row],[FMS Type]]="Flood Measurement and Warning",FMS_Ranking4[[#This Row],[Rank (with ArcSinh normalization of select criteria)]],"")</f>
        <v/>
      </c>
      <c r="BZ260" s="200">
        <f>IF(FMS_Ranking4[[#This Row],[FMS Type]]="Regulatory and Guidance",FMS_Ranking4[[#This Row],[Rank (with ArcSinh normalization of select criteria)]],"")</f>
        <v>253</v>
      </c>
      <c r="CA260" s="200" t="str">
        <f>IF(FMS_Ranking4[[#This Row],[FMS Type]]="Education and Outreach",FMS_Ranking4[[#This Row],[Rank (with ArcSinh normalization of select criteria)]],"")</f>
        <v/>
      </c>
      <c r="CB260" s="200" t="str">
        <f>IF(FMS_Ranking4[[#This Row],[FMS Type]]="Property Acquisition and Structural Elevation",FMS_Ranking4[[#This Row],[Rank (with ArcSinh normalization of select criteria)]],"")</f>
        <v/>
      </c>
      <c r="CC260" s="200" t="str">
        <f>IF(FMS_Ranking4[[#This Row],[FMS Type]]="Infrastructure Projects",FMS_Ranking4[[#This Row],[Rank (with ArcSinh normalization of select criteria)]],"")</f>
        <v/>
      </c>
      <c r="CD260" s="200" t="str">
        <f>IF(FMS_Ranking4[[#This Row],[FMS Type]]="Other",FMS_Ranking4[[#This Row],[Rank (with ArcSinh normalization of select criteria)]],"")</f>
        <v/>
      </c>
      <c r="CE260" s="201"/>
      <c r="CF260" s="206"/>
      <c r="CG260" s="206"/>
      <c r="CH260" s="206"/>
      <c r="CI260" s="206"/>
      <c r="CJ260" s="206"/>
      <c r="CK260" s="206"/>
      <c r="CL260" s="206"/>
      <c r="CM260" s="206"/>
      <c r="CN260" s="206"/>
      <c r="CO260" s="206"/>
      <c r="CP260" s="206"/>
      <c r="CQ260" s="206"/>
      <c r="CR260" s="206"/>
    </row>
    <row r="261" spans="2:96" ht="60" x14ac:dyDescent="0.25">
      <c r="B261" s="341" t="s">
        <v>2043</v>
      </c>
      <c r="C261" s="246">
        <f>_xlfn.XLOOKUP(FMS_Ranking4[[#This Row],[FMS ID]],FMS_Input[FMS_ID],FMS_Input[RFPG_NUM])</f>
        <v>3</v>
      </c>
      <c r="D261" s="309" t="str">
        <f>_xlfn.XLOOKUP(FMS_Ranking4[[#This Row],[FMS ID]],FMS_Input[FMS_ID],FMS_Input[FMS_NAME])</f>
        <v>City of Hurst Buyout Program</v>
      </c>
      <c r="E261" s="308" t="str">
        <f>_xlfn.XLOOKUP(FMS_Ranking4[[#This Row],[FMS ID]],FMS_Input[FMS_ID],FMS_Input[SPONSOR])</f>
        <v xml:space="preserve"> Hurst</v>
      </c>
      <c r="F261" s="309" t="str">
        <f>_xlfn.XLOOKUP(FMS_Ranking4[[#This Row],[FMS ID]],Sponsor[FMS_ID],Sponsor[SPONSOR NAME])</f>
        <v xml:space="preserve"> Hurst</v>
      </c>
      <c r="G261" s="309" t="str">
        <f>_xlfn.XLOOKUP(FMS_Ranking4[[#This Row],[FMS ID]],FMS_Input[FMS_ID],FMS_Input[FMS_DESCR])</f>
        <v>107 total structures across the Lorean, Valley View, and Walker watersheds</v>
      </c>
      <c r="H261" s="248" t="str">
        <f>_xlfn.XLOOKUP(FMS_Ranking4[[#This Row],[FMS ID]],FMS_Input[FMS_ID],FMS_Input[FMS_TYPE])</f>
        <v>Property Acquisition and Structural Elevation</v>
      </c>
      <c r="I261" s="249">
        <f>_xlfn.XLOOKUP(FMS_Ranking4[[#This Row],[FMS ID]],FMS_Input[FMS_ID],FMS_Input[NRNC_COST])</f>
        <v>2500000</v>
      </c>
      <c r="J261" s="250">
        <f>_xlfn.XLOOKUP(FMS_Ranking4[[#This Row],[FMS ID]],FMS_Input[FMS_ID],FMS_Input[FMS_COST])</f>
        <v>25000000</v>
      </c>
      <c r="K261" s="251" t="str">
        <f>_xlfn.XLOOKUP(FMS_Ranking4[[#This Row],[FMS ID]],FMS_Input[FMS_ID],FMS_Input[EMER_NEED])</f>
        <v>No</v>
      </c>
      <c r="L261" s="252">
        <f t="shared" si="3"/>
        <v>0</v>
      </c>
      <c r="M261" s="253">
        <f>_xlfn.XLOOKUP(FMS_Ranking4[[#This Row],[FMS ID]],FMS_Input[FMS_ID],FMS_Input[STRUCT_100])</f>
        <v>287</v>
      </c>
      <c r="N261" s="255">
        <f>(ASINH(FMS_Ranking4[[#This Row],[Structure at Risk Raw]]))*(10)/(ASINH(M$4))</f>
        <v>4.9941149571040482</v>
      </c>
      <c r="O261" s="256">
        <f>FMS_Ranking4[[#This Row],[Structures at risk, ArcSinh (0-10)]]*M$5*10</f>
        <v>4.9941149571040482</v>
      </c>
      <c r="P261" s="253">
        <f>_xlfn.XLOOKUP(FMS_Ranking4[[#This Row],[FMS ID]],FMS_Input[FMS_ID],FMS_Input[RES_STRUCT100])</f>
        <v>278</v>
      </c>
      <c r="Q261" s="257">
        <f>ASINH(FMS_Ranking4[[#This Row],[Res Structure Raw]])/Q$4*P$5*100</f>
        <v>0</v>
      </c>
      <c r="R261" s="253">
        <f>_xlfn.XLOOKUP(FMS_Ranking4[[#This Row],[FMS ID]],FMS_Input[FMS_ID],FMS_Input[POP100])</f>
        <v>1226</v>
      </c>
      <c r="S261" s="259">
        <f>(ASINH(FMS_Ranking4[[#This Row],[Pop at Risk Raw]]))*(10)/(ASINH(R$4))</f>
        <v>5.3880107987002717</v>
      </c>
      <c r="T261" s="256">
        <f>FMS_Ranking4[[#This Row],[Population at risk, ArcSinh (0-10)]]*R$5*10</f>
        <v>5.3880107987002726</v>
      </c>
      <c r="U261" s="253">
        <f>_xlfn.XLOOKUP(FMS_Ranking4[[#This Row],[FMS ID]],FMS_Input[FMS_ID],FMS_Input[CRITFAC100])</f>
        <v>6</v>
      </c>
      <c r="V261" s="259">
        <f>(ASINH(FMS_Ranking4[[#This Row],[Critical Facilities Raw]]))*(10)/(ASINH(U$4))</f>
        <v>2.9496796311809068</v>
      </c>
      <c r="W261" s="256">
        <f>FMS_Ranking4[[#This Row],[Critical facilities at risk, ArcSinh (0-10)]]*U$5*10</f>
        <v>2.9496796311809073</v>
      </c>
      <c r="X261" s="253">
        <f>_xlfn.XLOOKUP(FMS_Ranking4[[#This Row],[FMS ID]],FMS_Input[FMS_ID],FMS_Input[LWC])</f>
        <v>6</v>
      </c>
      <c r="Y261" s="259">
        <f>(ASINH(FMS_Ranking4[[#This Row],[LWC Raw]]))*(10)/(ASINH(X$4))</f>
        <v>3.375708300798784</v>
      </c>
      <c r="Z261" s="256">
        <f>FMS_Ranking4[[#This Row],[LWC, ArcSInh (0-10)]]*X$5*10</f>
        <v>3.3757083007987845</v>
      </c>
      <c r="AA261" s="253">
        <f>_xlfn.XLOOKUP(FMS_Ranking4[[#This Row],[FMS ID]],FMS_Input[FMS_ID],FMS_Input[ROADCLS])</f>
        <v>0</v>
      </c>
      <c r="AB261" s="255">
        <f>(ASINH(FMS_Ranking4[[#This Row],[Road Closures Raw]]))*(10)/(ASINH(AA$4))</f>
        <v>0</v>
      </c>
      <c r="AC261" s="256">
        <f>FMS_Ranking4[[#This Row],[Road closures, ArcSinh (0-10)]]*AA$5*10</f>
        <v>0</v>
      </c>
      <c r="AD261" s="253">
        <f>_xlfn.XLOOKUP(FMS_Ranking4[[#This Row],[FMS ID]],FMS_Input[FMS_ID],FMS_Input[ROAD_MILES100])</f>
        <v>9</v>
      </c>
      <c r="AE261" s="259">
        <f>(ASINH(FMS_Ranking4[[#This Row],[Road Miles Raw]]))*(10)/(ASINH(AD$4))</f>
        <v>3.0836152323682597</v>
      </c>
      <c r="AF261" s="256">
        <f>FMS_Ranking4[[#This Row],[Length of roads at risk, ArcSinh (0-10)]]*AD$5*10</f>
        <v>3.0836152323682597</v>
      </c>
      <c r="AG261" s="253">
        <f>_xlfn.XLOOKUP(FMS_Ranking4[[#This Row],[FMS ID]],FMS_Input[FMS_ID],FMS_Input[FARMACRE100])</f>
        <v>17.991550445556641</v>
      </c>
      <c r="AH261" s="255">
        <f>(ASINH(FMS_Ranking4[[#This Row],[Ag Land Raw]]))*(10)/(ASINH(AG$4))</f>
        <v>2.3279836103929306</v>
      </c>
      <c r="AI261" s="260">
        <f>FMS_Ranking4[[#This Row],[Farm &amp; ranch land, ArcSinh (0-10)]]*AG$5*10</f>
        <v>1.1639918051964653</v>
      </c>
      <c r="AJ261" s="258">
        <f>_xlfn.XLOOKUP(FMS_Ranking4[[#This Row],[FMS ID]],FMS_Input[FMS_ID],FMS_Input[REDSTRUCT100])</f>
        <v>0</v>
      </c>
      <c r="AK261" s="253">
        <f>_xlfn.XLOOKUP(FMS_Ranking4[[#This Row],[FMS ID]],FMS_Input[FMS_ID],FMS_Input[REMSTRC100])</f>
        <v>107</v>
      </c>
      <c r="AL261" s="259">
        <f>(ASINH(FMS_Ranking4[[#This Row],[Structures Removed Raw]]))*(10)/(ASINH(AK$4))</f>
        <v>6.1095715808445066</v>
      </c>
      <c r="AM261" s="262">
        <f>FMS_Ranking4[[#This Row],[Structures removed, ArcSinh (0-10)]]*AK$5*10</f>
        <v>6.1095715808445075</v>
      </c>
      <c r="AN261" s="253">
        <f>_xlfn.XLOOKUP(FMS_Ranking4[[#This Row],[FMS ID]],FMS_Input[FMS_ID],FMS_Input[REMRESSTRC100])</f>
        <v>0</v>
      </c>
      <c r="AO261" s="261">
        <f>FMS_Ranking4[[#This Row],[ArcSinh Res struct removed 0-10]]*AN$5*10</f>
        <v>0</v>
      </c>
      <c r="AP261" s="260">
        <f>ASINH(FMS_Ranking4[[#This Row],[Residential Structures Removed Raw]])/AP$4*AN$5*100</f>
        <v>0</v>
      </c>
      <c r="AQ261" s="254">
        <f>(ASINH(FMS_Ranking4[[#This Row],[Residential Structures Removed Raw]]))*(10)/(ASINH(AN$4))</f>
        <v>0</v>
      </c>
      <c r="AR261" s="253">
        <f>_xlfn.XLOOKUP(FMS_Ranking4[[#This Row],[FMS ID]],FMS_Input[FMS_ID],FMS_Input[REMPOP100])</f>
        <v>0</v>
      </c>
      <c r="AS261" s="259">
        <f>(ASINH(FMS_Ranking4[[#This Row],[Removed Pop Raw]]))*(10)/(ASINH(AR$4))</f>
        <v>0</v>
      </c>
      <c r="AT261" s="262">
        <f>FMS_Ranking4[[#This Row],[Removed population, ArcSinh (0-10)]]*AR$5*10</f>
        <v>0</v>
      </c>
      <c r="AU261" s="264">
        <f>_xlfn.XLOOKUP(FMS_Ranking4[[#This Row],[FMS ID]],FMS_Input[FMS_ID],FMS_Input[REMCRITFAC100])</f>
        <v>0</v>
      </c>
      <c r="AV261" s="264">
        <f>_xlfn.XLOOKUP(FMS_Ranking4[[#This Row],[FMS ID]],FMS_Input[FMS_ID],FMS_Input[REMLWC100])</f>
        <v>0</v>
      </c>
      <c r="AW261" s="264">
        <f>_xlfn.XLOOKUP(FMS_Ranking4[[#This Row],[FMS ID]],FMS_Input[FMS_ID],FMS_Input[REMROADCLS])</f>
        <v>0</v>
      </c>
      <c r="AX261" s="264">
        <f>_xlfn.XLOOKUP(FMS_Ranking4[[#This Row],[FMS ID]],FMS_Input[FMS_ID],FMS_Input[REMFRMACRE100])</f>
        <v>0</v>
      </c>
      <c r="AY261" s="258">
        <f>_xlfn.XLOOKUP(FMS_Ranking4[[#This Row],[FMS ID]],FMS_Input[FMS_ID],FMS_Input[COSTSTRUCT])</f>
        <v>234000</v>
      </c>
      <c r="AZ261" s="253">
        <f>_xlfn.XLOOKUP(FMS_Ranking4[[#This Row],[FMS ID]],FMS_Input[FMS_ID],FMS_Input[NATURE])</f>
        <v>0</v>
      </c>
      <c r="BA261" s="262">
        <f>(((FMS_Ranking4[[#This Row],[% NBS Raw]]/AZ$4)*100)*AZ$5)</f>
        <v>0</v>
      </c>
      <c r="BB261" s="251" t="str">
        <f>_xlfn.XLOOKUP(FMS_Ranking4[[#This Row],[FMS ID]],FMS_Input[FMS_ID],FMS_Input[WATER_SUP])</f>
        <v>No</v>
      </c>
      <c r="BC261" s="265">
        <f>IF(FMS_Ranking4[[#This Row],[Water Supply Raw]]="Yes",10,0)</f>
        <v>0</v>
      </c>
      <c r="BD261" s="266">
        <f>_xlfn.XLOOKUP(FMS_Ranking4[[#This Row],[FMS Type]],FMS_TYPE[FMS_Type],FMS_TYPE[Score])</f>
        <v>4</v>
      </c>
      <c r="BE261" s="267">
        <f>FMS_Ranking4[[#This Row],[FMS_Type Score]]*$BD$5*10</f>
        <v>1</v>
      </c>
      <c r="BF26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0.14534038132108626</v>
      </c>
      <c r="BG261" s="271">
        <f>_xlfn.RANK.EQ(BF261,$BF$8:$BF$870,0)+COUNTIF($BF$8:BF261,BF261)-1</f>
        <v>409</v>
      </c>
      <c r="BH261" s="268">
        <f>(((FMS_Ranking4[[#This Row],[Structures Removed Raw]]/AK$4)*100)*AK$5)+(((FMS_Ranking4[[#This Row],[Removed Pop Raw]]/AR$4)*100)*AR$5)</f>
        <v>0.32812020852499235</v>
      </c>
      <c r="BI26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1.4734605898460786</v>
      </c>
      <c r="BJ261" s="205">
        <f>_xlfn.RANK.EQ(FMS_Ranking4[[#This Row],[Total Score 
(with linear
normalization)]],FMS_Ranking4[Total Score 
(with linear
normalization)],0)</f>
        <v>615</v>
      </c>
      <c r="BK261" s="205" t="e">
        <f>_xlfn.XLOOKUP(FMS_Ranking4[[#This Row],[FMS ID]],#REF!,#REF!)</f>
        <v>#REF!</v>
      </c>
      <c r="BL26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27.064692306193244</v>
      </c>
      <c r="BM261" s="272">
        <f>FMS_Ranking4[[#This Row],[ArcSinh Score Based on Normalized Reported Factors]]+FMS_Ranking4[[#This Row],[% NBS Score (Normalized)]]+(FMS_Ranking4[[#This Row],[Water Supply Score (Normalized)]]*10*$BB$5)+FMS_Ranking4[[#This Row],[FMS_Type Score Weighted]]</f>
        <v>28.064692306193244</v>
      </c>
      <c r="BN261" s="205">
        <f>_xlfn.RANK.EQ(FMS_Ranking4[[#This Row],[Total Score (with ArcSinh normalization of select criteria)]],FMS_Ranking4[Total Score (with ArcSinh normalization of select criteria)],0)</f>
        <v>254</v>
      </c>
      <c r="BO261" s="270" t="str">
        <f>_xlfn.XLOOKUP(FMS_Ranking4[[#This Row],[FMS ID]],FMS_Input[FMS_ID],FMS_Input[FMS_RANK_YEAR])</f>
        <v>2023 Amended Plan</v>
      </c>
      <c r="BP261" s="204">
        <f>_xlfn.XLOOKUP(FMS_Ranking4[[#This Row],[FMS ID]],Prev_Rank[FMS ID],Prev_Rank[Prev Rank])</f>
        <v>238</v>
      </c>
      <c r="BQ261" s="205" t="e">
        <f>_xlfn.XLOOKUP(FMS_Ranking4[[#This Row],[FMS ID]],#REF!,#REF!)</f>
        <v>#REF!</v>
      </c>
      <c r="BR261" s="199" t="e">
        <f>SUM(#REF!,#REF!,#REF!,#REF!,#REF!,#REF!,#REF!,#REF!,#REF!,FMS_Ranking4[[#This Row],[ArcSinh Res struct removed 0-10]],#REF!)</f>
        <v>#REF!</v>
      </c>
      <c r="BS261" s="199" t="e">
        <f>FMS_Ranking4[[#This Row],[Log Score Based on Normalized Reported Factors]]+FMS_Ranking4[[#This Row],[% NBS Score (Normalized)]]+(FMS_Ranking4[[#This Row],[Water Supply Score (Normalized)]]*10*$BB$5)+(FMS_Ranking4[[#This Row],[FMS_Type Score Weighted]])</f>
        <v>#REF!</v>
      </c>
      <c r="BT261" s="200" t="e">
        <f>_xlfn.RANK.EQ(FMS_Ranking4[[#This Row],[Log Total Score]],FMS_Ranking4[Log Total Score],0)</f>
        <v>#REF!</v>
      </c>
      <c r="BU261" s="200" t="e">
        <f>_xlfn.XLOOKUP(FMS_Ranking4[[#This Row],[FMS ID]],#REF!,#REF!)</f>
        <v>#REF!</v>
      </c>
      <c r="BV261" s="200">
        <f>FMS_Ranking4[[#This Row],[Region Number]]</f>
        <v>3</v>
      </c>
      <c r="BW261" s="200">
        <f>FMS_Ranking4[[#This Row],[Rank (with ArcSinh normalization of select criteria)]]-FMS_Ranking4[[#This Row],[Rank
(with linear
normalization)]]</f>
        <v>-361</v>
      </c>
      <c r="BX261" s="200" t="e">
        <f>FMS_Ranking4[[#This Row],[Log Rank]]-FMS_Ranking4[[#This Row],[Rank
(with linear
normalization)]]</f>
        <v>#REF!</v>
      </c>
      <c r="BY261" s="200" t="str">
        <f>IF(FMS_Ranking4[[#This Row],[FMS Type]]="Flood Measurement and Warning",FMS_Ranking4[[#This Row],[Rank (with ArcSinh normalization of select criteria)]],"")</f>
        <v/>
      </c>
      <c r="BZ261" s="200" t="str">
        <f>IF(FMS_Ranking4[[#This Row],[FMS Type]]="Regulatory and Guidance",FMS_Ranking4[[#This Row],[Rank (with ArcSinh normalization of select criteria)]],"")</f>
        <v/>
      </c>
      <c r="CA261" s="200" t="str">
        <f>IF(FMS_Ranking4[[#This Row],[FMS Type]]="Education and Outreach",FMS_Ranking4[[#This Row],[Rank (with ArcSinh normalization of select criteria)]],"")</f>
        <v/>
      </c>
      <c r="CB261" s="200">
        <f>IF(FMS_Ranking4[[#This Row],[FMS Type]]="Property Acquisition and Structural Elevation",FMS_Ranking4[[#This Row],[Rank (with ArcSinh normalization of select criteria)]],"")</f>
        <v>254</v>
      </c>
      <c r="CC261" s="200" t="str">
        <f>IF(FMS_Ranking4[[#This Row],[FMS Type]]="Infrastructure Projects",FMS_Ranking4[[#This Row],[Rank (with ArcSinh normalization of select criteria)]],"")</f>
        <v/>
      </c>
      <c r="CD261" s="200" t="str">
        <f>IF(FMS_Ranking4[[#This Row],[FMS Type]]="Other",FMS_Ranking4[[#This Row],[Rank (with ArcSinh normalization of select criteria)]],"")</f>
        <v/>
      </c>
      <c r="CE261" s="201"/>
      <c r="CF261" s="206"/>
      <c r="CG261" s="206"/>
      <c r="CH261" s="206"/>
      <c r="CI261" s="206"/>
      <c r="CJ261" s="206"/>
      <c r="CK261" s="206"/>
      <c r="CL261" s="206"/>
      <c r="CM261" s="206"/>
      <c r="CN261" s="206"/>
      <c r="CO261" s="206"/>
      <c r="CP261" s="206"/>
      <c r="CQ261" s="206"/>
      <c r="CR261" s="206"/>
    </row>
    <row r="262" spans="2:96" ht="45" x14ac:dyDescent="0.25">
      <c r="B262" s="341" t="s">
        <v>12363</v>
      </c>
      <c r="C262" s="246">
        <f>_xlfn.XLOOKUP(FMS_Ranking4[[#This Row],[FMS ID]],FMS_Input[FMS_ID],FMS_Input[RFPG_NUM])</f>
        <v>5</v>
      </c>
      <c r="D262" s="309" t="str">
        <f>_xlfn.XLOOKUP(FMS_Ranking4[[#This Row],[FMS ID]],FMS_Input[FMS_ID],FMS_Input[FMS_NAME])</f>
        <v>SE Texas R.A.I.N. Gage Network Improvements</v>
      </c>
      <c r="E262" s="308" t="str">
        <f>_xlfn.XLOOKUP(FMS_Ranking4[[#This Row],[FMS ID]],FMS_Input[FMS_ID],FMS_Input[SPONSOR])</f>
        <v>00000013</v>
      </c>
      <c r="F262" s="309" t="str">
        <f>_xlfn.XLOOKUP(FMS_Ranking4[[#This Row],[FMS ID]],Sponsor[FMS_ID],Sponsor[SPONSOR NAME])</f>
        <v>Chambers</v>
      </c>
      <c r="G262" s="309" t="str">
        <f>_xlfn.XLOOKUP(FMS_Ranking4[[#This Row],[FMS ID]],FMS_Input[FMS_ID],FMS_Input[FMS_DESCR])</f>
        <v>Re-location and installation of rain and stream gages throughout jurisdiction.</v>
      </c>
      <c r="H262" s="248" t="str">
        <f>_xlfn.XLOOKUP(FMS_Ranking4[[#This Row],[FMS ID]],FMS_Input[FMS_ID],FMS_Input[FMS_TYPE])</f>
        <v>Flood Measurement and Warning</v>
      </c>
      <c r="I262" s="249">
        <f>_xlfn.XLOOKUP(FMS_Ranking4[[#This Row],[FMS ID]],FMS_Input[FMS_ID],FMS_Input[NRNC_COST])</f>
        <v>444375</v>
      </c>
      <c r="J262" s="250">
        <f>_xlfn.XLOOKUP(FMS_Ranking4[[#This Row],[FMS ID]],FMS_Input[FMS_ID],FMS_Input[FMS_COST])</f>
        <v>444375</v>
      </c>
      <c r="K262" s="251" t="str">
        <f>_xlfn.XLOOKUP(FMS_Ranking4[[#This Row],[FMS ID]],FMS_Input[FMS_ID],FMS_Input[EMER_NEED])</f>
        <v>No</v>
      </c>
      <c r="L262" s="252">
        <f t="shared" si="3"/>
        <v>0</v>
      </c>
      <c r="M262" s="253">
        <f>_xlfn.XLOOKUP(FMS_Ranking4[[#This Row],[FMS ID]],FMS_Input[FMS_ID],FMS_Input[STRUCT_100])</f>
        <v>2322</v>
      </c>
      <c r="N262" s="255">
        <f>(ASINH(FMS_Ranking4[[#This Row],[Structure at Risk Raw]]))*(10)/(ASINH(M$4))</f>
        <v>6.6377156294933668</v>
      </c>
      <c r="O262" s="256">
        <f>FMS_Ranking4[[#This Row],[Structures at risk, ArcSinh (0-10)]]*M$5*10</f>
        <v>6.6377156294933668</v>
      </c>
      <c r="P262" s="253">
        <f>_xlfn.XLOOKUP(FMS_Ranking4[[#This Row],[FMS ID]],FMS_Input[FMS_ID],FMS_Input[RES_STRUCT100])</f>
        <v>1223</v>
      </c>
      <c r="Q262" s="257">
        <f>ASINH(FMS_Ranking4[[#This Row],[Res Structure Raw]])/Q$4*P$5*100</f>
        <v>0</v>
      </c>
      <c r="R262" s="253">
        <f>_xlfn.XLOOKUP(FMS_Ranking4[[#This Row],[FMS ID]],FMS_Input[FMS_ID],FMS_Input[POP100])</f>
        <v>4445</v>
      </c>
      <c r="S262" s="259">
        <f>(ASINH(FMS_Ranking4[[#This Row],[Pop at Risk Raw]]))*(10)/(ASINH(R$4))</f>
        <v>6.2772079772587066</v>
      </c>
      <c r="T262" s="256">
        <f>FMS_Ranking4[[#This Row],[Population at risk, ArcSinh (0-10)]]*R$5*10</f>
        <v>6.2772079772587075</v>
      </c>
      <c r="U262" s="253">
        <f>_xlfn.XLOOKUP(FMS_Ranking4[[#This Row],[FMS ID]],FMS_Input[FMS_ID],FMS_Input[CRITFAC100])</f>
        <v>7</v>
      </c>
      <c r="V262" s="259">
        <f>(ASINH(FMS_Ranking4[[#This Row],[Critical Facilities Raw]]))*(10)/(ASINH(U$4))</f>
        <v>3.1300153354232236</v>
      </c>
      <c r="W262" s="256">
        <f>FMS_Ranking4[[#This Row],[Critical facilities at risk, ArcSinh (0-10)]]*U$5*10</f>
        <v>3.1300153354232241</v>
      </c>
      <c r="X262" s="253">
        <f>_xlfn.XLOOKUP(FMS_Ranking4[[#This Row],[FMS ID]],FMS_Input[FMS_ID],FMS_Input[LWC])</f>
        <v>0</v>
      </c>
      <c r="Y262" s="259">
        <f>(ASINH(FMS_Ranking4[[#This Row],[LWC Raw]]))*(10)/(ASINH(X$4))</f>
        <v>0</v>
      </c>
      <c r="Z262" s="256">
        <f>FMS_Ranking4[[#This Row],[LWC, ArcSInh (0-10)]]*X$5*10</f>
        <v>0</v>
      </c>
      <c r="AA262" s="253">
        <f>_xlfn.XLOOKUP(FMS_Ranking4[[#This Row],[FMS ID]],FMS_Input[FMS_ID],FMS_Input[ROADCLS])</f>
        <v>0</v>
      </c>
      <c r="AB262" s="255">
        <f>(ASINH(FMS_Ranking4[[#This Row],[Road Closures Raw]]))*(10)/(ASINH(AA$4))</f>
        <v>0</v>
      </c>
      <c r="AC262" s="256">
        <f>FMS_Ranking4[[#This Row],[Road closures, ArcSinh (0-10)]]*AA$5*10</f>
        <v>0</v>
      </c>
      <c r="AD262" s="253">
        <f>_xlfn.XLOOKUP(FMS_Ranking4[[#This Row],[FMS ID]],FMS_Input[FMS_ID],FMS_Input[ROAD_MILES100])</f>
        <v>105</v>
      </c>
      <c r="AE262" s="259">
        <f>(ASINH(FMS_Ranking4[[#This Row],[Road Miles Raw]]))*(10)/(ASINH(AD$4))</f>
        <v>5.6985696741085849</v>
      </c>
      <c r="AF262" s="256">
        <f>FMS_Ranking4[[#This Row],[Length of roads at risk, ArcSinh (0-10)]]*AD$5*10</f>
        <v>5.6985696741085858</v>
      </c>
      <c r="AG262" s="253">
        <f>_xlfn.XLOOKUP(FMS_Ranking4[[#This Row],[FMS ID]],FMS_Input[FMS_ID],FMS_Input[FARMACRE100])</f>
        <v>64158.80078125</v>
      </c>
      <c r="AH262" s="255">
        <f>(ASINH(FMS_Ranking4[[#This Row],[Ag Land Raw]]))*(10)/(ASINH(AG$4))</f>
        <v>7.6405485574570644</v>
      </c>
      <c r="AI262" s="260">
        <f>FMS_Ranking4[[#This Row],[Farm &amp; ranch land, ArcSinh (0-10)]]*AG$5*10</f>
        <v>3.8202742787285326</v>
      </c>
      <c r="AJ262" s="258">
        <f>_xlfn.XLOOKUP(FMS_Ranking4[[#This Row],[FMS ID]],FMS_Input[FMS_ID],FMS_Input[REDSTRUCT100])</f>
        <v>0</v>
      </c>
      <c r="AK262" s="253">
        <f>_xlfn.XLOOKUP(FMS_Ranking4[[#This Row],[FMS ID]],FMS_Input[FMS_ID],FMS_Input[REMSTRC100])</f>
        <v>0</v>
      </c>
      <c r="AL262" s="259">
        <f>(ASINH(FMS_Ranking4[[#This Row],[Structures Removed Raw]]))*(10)/(ASINH(AK$4))</f>
        <v>0</v>
      </c>
      <c r="AM262" s="262">
        <f>FMS_Ranking4[[#This Row],[Structures removed, ArcSinh (0-10)]]*AK$5*10</f>
        <v>0</v>
      </c>
      <c r="AN262" s="253">
        <f>_xlfn.XLOOKUP(FMS_Ranking4[[#This Row],[FMS ID]],FMS_Input[FMS_ID],FMS_Input[REMRESSTRC100])</f>
        <v>0</v>
      </c>
      <c r="AO262" s="261">
        <f>FMS_Ranking4[[#This Row],[ArcSinh Res struct removed 0-10]]*AN$5*10</f>
        <v>0</v>
      </c>
      <c r="AP262" s="260">
        <f>ASINH(FMS_Ranking4[[#This Row],[Residential Structures Removed Raw]])/AP$4*AN$5*100</f>
        <v>0</v>
      </c>
      <c r="AQ262" s="254">
        <f>(ASINH(FMS_Ranking4[[#This Row],[Residential Structures Removed Raw]]))*(10)/(ASINH(AN$4))</f>
        <v>0</v>
      </c>
      <c r="AR262" s="253">
        <f>_xlfn.XLOOKUP(FMS_Ranking4[[#This Row],[FMS ID]],FMS_Input[FMS_ID],FMS_Input[REMPOP100])</f>
        <v>0</v>
      </c>
      <c r="AS262" s="259">
        <f>(ASINH(FMS_Ranking4[[#This Row],[Removed Pop Raw]]))*(10)/(ASINH(AR$4))</f>
        <v>0</v>
      </c>
      <c r="AT262" s="262">
        <f>FMS_Ranking4[[#This Row],[Removed population, ArcSinh (0-10)]]*AR$5*10</f>
        <v>0</v>
      </c>
      <c r="AU262" s="264">
        <f>_xlfn.XLOOKUP(FMS_Ranking4[[#This Row],[FMS ID]],FMS_Input[FMS_ID],FMS_Input[REMCRITFAC100])</f>
        <v>0</v>
      </c>
      <c r="AV262" s="264">
        <f>_xlfn.XLOOKUP(FMS_Ranking4[[#This Row],[FMS ID]],FMS_Input[FMS_ID],FMS_Input[REMLWC100])</f>
        <v>0</v>
      </c>
      <c r="AW262" s="264">
        <f>_xlfn.XLOOKUP(FMS_Ranking4[[#This Row],[FMS ID]],FMS_Input[FMS_ID],FMS_Input[REMROADCLS])</f>
        <v>0</v>
      </c>
      <c r="AX262" s="264">
        <f>_xlfn.XLOOKUP(FMS_Ranking4[[#This Row],[FMS ID]],FMS_Input[FMS_ID],FMS_Input[REMFRMACRE100])</f>
        <v>0</v>
      </c>
      <c r="AY262" s="258">
        <f>_xlfn.XLOOKUP(FMS_Ranking4[[#This Row],[FMS ID]],FMS_Input[FMS_ID],FMS_Input[COSTSTRUCT])</f>
        <v>0</v>
      </c>
      <c r="AZ262" s="253">
        <f>_xlfn.XLOOKUP(FMS_Ranking4[[#This Row],[FMS ID]],FMS_Input[FMS_ID],FMS_Input[NATURE])</f>
        <v>0</v>
      </c>
      <c r="BA262" s="262">
        <f>(((FMS_Ranking4[[#This Row],[% NBS Raw]]/AZ$4)*100)*AZ$5)</f>
        <v>0</v>
      </c>
      <c r="BB262" s="251" t="str">
        <f>_xlfn.XLOOKUP(FMS_Ranking4[[#This Row],[FMS ID]],FMS_Input[FMS_ID],FMS_Input[WATER_SUP])</f>
        <v>No</v>
      </c>
      <c r="BC262" s="265">
        <f>IF(FMS_Ranking4[[#This Row],[Water Supply Raw]]="Yes",10,0)</f>
        <v>0</v>
      </c>
      <c r="BD262" s="266">
        <f>_xlfn.XLOOKUP(FMS_Ranking4[[#This Row],[FMS Type]],FMS_TYPE[FMS_Type],FMS_TYPE[Score])</f>
        <v>10</v>
      </c>
      <c r="BE262" s="352">
        <f>FMS_Ranking4[[#This Row],[FMS_Type Score]]*$BD$5*10</f>
        <v>2.5</v>
      </c>
      <c r="BF26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0.52330612452628633</v>
      </c>
      <c r="BG262" s="271">
        <f>_xlfn.RANK.EQ(BF262,$BF$8:$BF$870,0)+COUNTIF($BF$8:BF262,BF262)-1</f>
        <v>218</v>
      </c>
      <c r="BH262" s="268">
        <f>(((FMS_Ranking4[[#This Row],[Structures Removed Raw]]/AK$4)*100)*AK$5)+(((FMS_Ranking4[[#This Row],[Removed Pop Raw]]/AR$4)*100)*AR$5)</f>
        <v>0</v>
      </c>
      <c r="BI26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3.0233061245262864</v>
      </c>
      <c r="BJ262" s="205">
        <f>_xlfn.RANK.EQ(FMS_Ranking4[[#This Row],[Total Score 
(with linear
normalization)]],FMS_Ranking4[Total Score 
(with linear
normalization)],0)</f>
        <v>170</v>
      </c>
      <c r="BK262" s="205" t="e">
        <f>_xlfn.XLOOKUP(FMS_Ranking4[[#This Row],[FMS ID]],#REF!,#REF!)</f>
        <v>#REF!</v>
      </c>
      <c r="BL26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25.56378289501242</v>
      </c>
      <c r="BM262" s="272">
        <f>FMS_Ranking4[[#This Row],[ArcSinh Score Based on Normalized Reported Factors]]+FMS_Ranking4[[#This Row],[% NBS Score (Normalized)]]+(FMS_Ranking4[[#This Row],[Water Supply Score (Normalized)]]*10*$BB$5)+FMS_Ranking4[[#This Row],[FMS_Type Score Weighted]]</f>
        <v>28.06378289501242</v>
      </c>
      <c r="BN262" s="205">
        <f>_xlfn.RANK.EQ(FMS_Ranking4[[#This Row],[Total Score (with ArcSinh normalization of select criteria)]],FMS_Ranking4[Total Score (with ArcSinh normalization of select criteria)],0)</f>
        <v>255</v>
      </c>
      <c r="BO262" s="270" t="str">
        <f>_xlfn.XLOOKUP(FMS_Ranking4[[#This Row],[FMS ID]],FMS_Input[FMS_ID],FMS_Input[FMS_RANK_YEAR])</f>
        <v>2025 Amended Plan</v>
      </c>
      <c r="BP262" s="204" t="e">
        <f>_xlfn.XLOOKUP(FMS_Ranking4[[#This Row],[FMS ID]],Prev_Rank[FMS ID],Prev_Rank[Prev Rank])</f>
        <v>#N/A</v>
      </c>
      <c r="BQ262" s="205" t="e">
        <f>_xlfn.XLOOKUP(FMS_Ranking4[[#This Row],[FMS ID]],#REF!,#REF!)</f>
        <v>#REF!</v>
      </c>
      <c r="BR262" s="199" t="e">
        <f>SUM(#REF!,#REF!,#REF!,#REF!,#REF!,#REF!,#REF!,#REF!,#REF!,FMS_Ranking4[[#This Row],[ArcSinh Res struct removed 0-10]],#REF!)</f>
        <v>#REF!</v>
      </c>
      <c r="BS262" s="199" t="e">
        <f>FMS_Ranking4[[#This Row],[Log Score Based on Normalized Reported Factors]]+FMS_Ranking4[[#This Row],[% NBS Score (Normalized)]]+(FMS_Ranking4[[#This Row],[Water Supply Score (Normalized)]]*10*$BB$5)+(FMS_Ranking4[[#This Row],[FMS_Type Score Weighted]])</f>
        <v>#REF!</v>
      </c>
      <c r="BT262" s="200" t="e">
        <f>_xlfn.RANK.EQ(FMS_Ranking4[[#This Row],[Log Total Score]],FMS_Ranking4[Log Total Score],0)</f>
        <v>#REF!</v>
      </c>
      <c r="BU262" s="200" t="e">
        <f>_xlfn.XLOOKUP(FMS_Ranking4[[#This Row],[FMS ID]],#REF!,#REF!)</f>
        <v>#REF!</v>
      </c>
      <c r="BV262" s="200">
        <f>FMS_Ranking4[[#This Row],[Region Number]]</f>
        <v>5</v>
      </c>
      <c r="BW262" s="200">
        <f>FMS_Ranking4[[#This Row],[Rank (with ArcSinh normalization of select criteria)]]-FMS_Ranking4[[#This Row],[Rank
(with linear
normalization)]]</f>
        <v>85</v>
      </c>
      <c r="BX262" s="200" t="e">
        <f>FMS_Ranking4[[#This Row],[Log Rank]]-FMS_Ranking4[[#This Row],[Rank
(with linear
normalization)]]</f>
        <v>#REF!</v>
      </c>
      <c r="BY262" s="200">
        <f>IF(FMS_Ranking4[[#This Row],[FMS Type]]="Flood Measurement and Warning",FMS_Ranking4[[#This Row],[Rank (with ArcSinh normalization of select criteria)]],"")</f>
        <v>255</v>
      </c>
      <c r="BZ262" s="200" t="str">
        <f>IF(FMS_Ranking4[[#This Row],[FMS Type]]="Regulatory and Guidance",FMS_Ranking4[[#This Row],[Rank (with ArcSinh normalization of select criteria)]],"")</f>
        <v/>
      </c>
      <c r="CA262" s="200" t="str">
        <f>IF(FMS_Ranking4[[#This Row],[FMS Type]]="Education and Outreach",FMS_Ranking4[[#This Row],[Rank (with ArcSinh normalization of select criteria)]],"")</f>
        <v/>
      </c>
      <c r="CB262" s="200" t="str">
        <f>IF(FMS_Ranking4[[#This Row],[FMS Type]]="Property Acquisition and Structural Elevation",FMS_Ranking4[[#This Row],[Rank (with ArcSinh normalization of select criteria)]],"")</f>
        <v/>
      </c>
      <c r="CC262" s="200" t="str">
        <f>IF(FMS_Ranking4[[#This Row],[FMS Type]]="Infrastructure Projects",FMS_Ranking4[[#This Row],[Rank (with ArcSinh normalization of select criteria)]],"")</f>
        <v/>
      </c>
      <c r="CD262" s="200" t="str">
        <f>IF(FMS_Ranking4[[#This Row],[FMS Type]]="Other",FMS_Ranking4[[#This Row],[Rank (with ArcSinh normalization of select criteria)]],"")</f>
        <v/>
      </c>
      <c r="CE262" s="201"/>
      <c r="CF262" s="206"/>
      <c r="CG262" s="206"/>
      <c r="CH262" s="206"/>
      <c r="CI262" s="206"/>
      <c r="CJ262" s="206"/>
      <c r="CK262" s="206"/>
      <c r="CL262" s="206"/>
      <c r="CM262" s="206"/>
      <c r="CN262" s="206"/>
      <c r="CO262" s="206"/>
      <c r="CP262" s="206"/>
      <c r="CQ262" s="206"/>
      <c r="CR262" s="206"/>
    </row>
    <row r="263" spans="2:96" ht="120" x14ac:dyDescent="0.25">
      <c r="B263" s="341" t="s">
        <v>105</v>
      </c>
      <c r="C263" s="246">
        <f>_xlfn.XLOOKUP(FMS_Ranking4[[#This Row],[FMS ID]],FMS_Input[FMS_ID],FMS_Input[RFPG_NUM])</f>
        <v>6</v>
      </c>
      <c r="D263" s="309" t="str">
        <f>_xlfn.XLOOKUP(FMS_Ranking4[[#This Row],[FMS ID]],FMS_Input[FMS_ID],FMS_Input[FMS_NAME])</f>
        <v>City of Bellaire Flood Rescue Plan</v>
      </c>
      <c r="E263" s="308" t="str">
        <f>_xlfn.XLOOKUP(FMS_Ranking4[[#This Row],[FMS ID]],FMS_Input[FMS_ID],FMS_Input[SPONSOR])</f>
        <v>06002854</v>
      </c>
      <c r="F263" s="309" t="str">
        <f>_xlfn.XLOOKUP(FMS_Ranking4[[#This Row],[FMS ID]],Sponsor[FMS_ID],Sponsor[SPONSOR NAME])</f>
        <v>Bellaire</v>
      </c>
      <c r="G263" s="309" t="str">
        <f>_xlfn.XLOOKUP(FMS_Ranking4[[#This Row],[FMS ID]],FMS_Input[FMS_ID],FMS_Input[FMS_DESCR])</f>
        <v>Develop a plan to address rescues from both one-story and two-story homes. This includes evacuating disabled/physically impaired/elderly individuals from homes in advance of anticipated extreme rainfall events.</v>
      </c>
      <c r="H263" s="248" t="str">
        <f>_xlfn.XLOOKUP(FMS_Ranking4[[#This Row],[FMS ID]],FMS_Input[FMS_ID],FMS_Input[FMS_TYPE])</f>
        <v>Regulatory and Guidance</v>
      </c>
      <c r="I263" s="249">
        <f>_xlfn.XLOOKUP(FMS_Ranking4[[#This Row],[FMS ID]],FMS_Input[FMS_ID],FMS_Input[NRNC_COST])</f>
        <v>10000</v>
      </c>
      <c r="J263" s="250">
        <f>_xlfn.XLOOKUP(FMS_Ranking4[[#This Row],[FMS ID]],FMS_Input[FMS_ID],FMS_Input[FMS_COST])</f>
        <v>200000</v>
      </c>
      <c r="K263" s="251" t="str">
        <f>_xlfn.XLOOKUP(FMS_Ranking4[[#This Row],[FMS ID]],FMS_Input[FMS_ID],FMS_Input[EMER_NEED])</f>
        <v>No</v>
      </c>
      <c r="L263" s="252">
        <f t="shared" si="3"/>
        <v>0</v>
      </c>
      <c r="M263" s="253">
        <f>_xlfn.XLOOKUP(FMS_Ranking4[[#This Row],[FMS ID]],FMS_Input[FMS_ID],FMS_Input[STRUCT_100])</f>
        <v>5879</v>
      </c>
      <c r="N263" s="255">
        <f>(ASINH(FMS_Ranking4[[#This Row],[Structure at Risk Raw]]))*(10)/(ASINH(M$4))</f>
        <v>7.368014742322452</v>
      </c>
      <c r="O263" s="256">
        <f>FMS_Ranking4[[#This Row],[Structures at risk, ArcSinh (0-10)]]*M$5*10</f>
        <v>7.3680147423224529</v>
      </c>
      <c r="P263" s="253">
        <f>_xlfn.XLOOKUP(FMS_Ranking4[[#This Row],[FMS ID]],FMS_Input[FMS_ID],FMS_Input[RES_STRUCT100])</f>
        <v>5539</v>
      </c>
      <c r="Q263" s="257">
        <f>ASINH(FMS_Ranking4[[#This Row],[Res Structure Raw]])/Q$4*P$5*100</f>
        <v>0</v>
      </c>
      <c r="R263" s="253">
        <f>_xlfn.XLOOKUP(FMS_Ranking4[[#This Row],[FMS ID]],FMS_Input[FMS_ID],FMS_Input[POP100])</f>
        <v>25741</v>
      </c>
      <c r="S263" s="259">
        <f>(ASINH(FMS_Ranking4[[#This Row],[Pop at Risk Raw]]))*(10)/(ASINH(R$4))</f>
        <v>7.4896876847086586</v>
      </c>
      <c r="T263" s="256">
        <f>FMS_Ranking4[[#This Row],[Population at risk, ArcSinh (0-10)]]*R$5*10</f>
        <v>7.4896876847086595</v>
      </c>
      <c r="U263" s="253">
        <f>_xlfn.XLOOKUP(FMS_Ranking4[[#This Row],[FMS ID]],FMS_Input[FMS_ID],FMS_Input[CRITFAC100])</f>
        <v>71</v>
      </c>
      <c r="V263" s="259">
        <f>(ASINH(FMS_Ranking4[[#This Row],[Critical Facilities Raw]]))*(10)/(ASINH(U$4))</f>
        <v>5.8665890510003154</v>
      </c>
      <c r="W263" s="256">
        <f>FMS_Ranking4[[#This Row],[Critical facilities at risk, ArcSinh (0-10)]]*U$5*10</f>
        <v>5.8665890510003162</v>
      </c>
      <c r="X263" s="253">
        <f>_xlfn.XLOOKUP(FMS_Ranking4[[#This Row],[FMS ID]],FMS_Input[FMS_ID],FMS_Input[LWC])</f>
        <v>0</v>
      </c>
      <c r="Y263" s="259">
        <f>(ASINH(FMS_Ranking4[[#This Row],[LWC Raw]]))*(10)/(ASINH(X$4))</f>
        <v>0</v>
      </c>
      <c r="Z263" s="256">
        <f>FMS_Ranking4[[#This Row],[LWC, ArcSInh (0-10)]]*X$5*10</f>
        <v>0</v>
      </c>
      <c r="AA263" s="253">
        <f>_xlfn.XLOOKUP(FMS_Ranking4[[#This Row],[FMS ID]],FMS_Input[FMS_ID],FMS_Input[ROADCLS])</f>
        <v>0</v>
      </c>
      <c r="AB263" s="255">
        <f>(ASINH(FMS_Ranking4[[#This Row],[Road Closures Raw]]))*(10)/(ASINH(AA$4))</f>
        <v>0</v>
      </c>
      <c r="AC263" s="256">
        <f>FMS_Ranking4[[#This Row],[Road closures, ArcSinh (0-10)]]*AA$5*10</f>
        <v>0</v>
      </c>
      <c r="AD263" s="253">
        <f>_xlfn.XLOOKUP(FMS_Ranking4[[#This Row],[FMS ID]],FMS_Input[FMS_ID],FMS_Input[ROAD_MILES100])</f>
        <v>71</v>
      </c>
      <c r="AE263" s="259">
        <f>(ASINH(FMS_Ranking4[[#This Row],[Road Miles Raw]]))*(10)/(ASINH(AD$4))</f>
        <v>5.2816010241547486</v>
      </c>
      <c r="AF263" s="256">
        <f>FMS_Ranking4[[#This Row],[Length of roads at risk, ArcSinh (0-10)]]*AD$5*10</f>
        <v>5.2816010241547486</v>
      </c>
      <c r="AG263" s="253">
        <f>_xlfn.XLOOKUP(FMS_Ranking4[[#This Row],[FMS ID]],FMS_Input[FMS_ID],FMS_Input[FARMACRE100])</f>
        <v>0.1517360061407089</v>
      </c>
      <c r="AH263" s="255">
        <f>(ASINH(FMS_Ranking4[[#This Row],[Ag Land Raw]]))*(10)/(ASINH(AG$4))</f>
        <v>9.8190540267440299E-2</v>
      </c>
      <c r="AI263" s="260">
        <f>FMS_Ranking4[[#This Row],[Farm &amp; ranch land, ArcSinh (0-10)]]*AG$5*10</f>
        <v>4.9095270133720156E-2</v>
      </c>
      <c r="AJ263" s="258">
        <f>_xlfn.XLOOKUP(FMS_Ranking4[[#This Row],[FMS ID]],FMS_Input[FMS_ID],FMS_Input[REDSTRUCT100])</f>
        <v>0</v>
      </c>
      <c r="AK263" s="253">
        <f>_xlfn.XLOOKUP(FMS_Ranking4[[#This Row],[FMS ID]],FMS_Input[FMS_ID],FMS_Input[REMSTRC100])</f>
        <v>0</v>
      </c>
      <c r="AL263" s="259">
        <f>(ASINH(FMS_Ranking4[[#This Row],[Structures Removed Raw]]))*(10)/(ASINH(AK$4))</f>
        <v>0</v>
      </c>
      <c r="AM263" s="262">
        <f>FMS_Ranking4[[#This Row],[Structures removed, ArcSinh (0-10)]]*AK$5*10</f>
        <v>0</v>
      </c>
      <c r="AN263" s="253">
        <f>_xlfn.XLOOKUP(FMS_Ranking4[[#This Row],[FMS ID]],FMS_Input[FMS_ID],FMS_Input[REMRESSTRC100])</f>
        <v>0</v>
      </c>
      <c r="AO263" s="261">
        <f>FMS_Ranking4[[#This Row],[ArcSinh Res struct removed 0-10]]*AN$5*10</f>
        <v>0</v>
      </c>
      <c r="AP263" s="260">
        <f>ASINH(FMS_Ranking4[[#This Row],[Residential Structures Removed Raw]])/AP$4*AN$5*100</f>
        <v>0</v>
      </c>
      <c r="AQ263" s="254">
        <f>(ASINH(FMS_Ranking4[[#This Row],[Residential Structures Removed Raw]]))*(10)/(ASINH(AN$4))</f>
        <v>0</v>
      </c>
      <c r="AR263" s="253">
        <f>_xlfn.XLOOKUP(FMS_Ranking4[[#This Row],[FMS ID]],FMS_Input[FMS_ID],FMS_Input[REMPOP100])</f>
        <v>0</v>
      </c>
      <c r="AS263" s="259">
        <f>(ASINH(FMS_Ranking4[[#This Row],[Removed Pop Raw]]))*(10)/(ASINH(AR$4))</f>
        <v>0</v>
      </c>
      <c r="AT263" s="262">
        <f>FMS_Ranking4[[#This Row],[Removed population, ArcSinh (0-10)]]*AR$5*10</f>
        <v>0</v>
      </c>
      <c r="AU263" s="264">
        <f>_xlfn.XLOOKUP(FMS_Ranking4[[#This Row],[FMS ID]],FMS_Input[FMS_ID],FMS_Input[REMCRITFAC100])</f>
        <v>0</v>
      </c>
      <c r="AV263" s="264">
        <f>_xlfn.XLOOKUP(FMS_Ranking4[[#This Row],[FMS ID]],FMS_Input[FMS_ID],FMS_Input[REMLWC100])</f>
        <v>0</v>
      </c>
      <c r="AW263" s="264">
        <f>_xlfn.XLOOKUP(FMS_Ranking4[[#This Row],[FMS ID]],FMS_Input[FMS_ID],FMS_Input[REMROADCLS])</f>
        <v>0</v>
      </c>
      <c r="AX263" s="264">
        <f>_xlfn.XLOOKUP(FMS_Ranking4[[#This Row],[FMS ID]],FMS_Input[FMS_ID],FMS_Input[REMFRMACRE100])</f>
        <v>0</v>
      </c>
      <c r="AY263" s="258">
        <f>_xlfn.XLOOKUP(FMS_Ranking4[[#This Row],[FMS ID]],FMS_Input[FMS_ID],FMS_Input[COSTSTRUCT])</f>
        <v>0</v>
      </c>
      <c r="AZ263" s="253">
        <f>_xlfn.XLOOKUP(FMS_Ranking4[[#This Row],[FMS ID]],FMS_Input[FMS_ID],FMS_Input[NATURE])</f>
        <v>0</v>
      </c>
      <c r="BA263" s="262">
        <f>(((FMS_Ranking4[[#This Row],[% NBS Raw]]/AZ$4)*100)*AZ$5)</f>
        <v>0</v>
      </c>
      <c r="BB263" s="251" t="str">
        <f>_xlfn.XLOOKUP(FMS_Ranking4[[#This Row],[FMS ID]],FMS_Input[FMS_ID],FMS_Input[WATER_SUP])</f>
        <v>No</v>
      </c>
      <c r="BC263" s="265">
        <f>IF(FMS_Ranking4[[#This Row],[Water Supply Raw]]="Yes",10,0)</f>
        <v>0</v>
      </c>
      <c r="BD263" s="266">
        <f>_xlfn.XLOOKUP(FMS_Ranking4[[#This Row],[FMS Type]],FMS_TYPE[FMS_Type],FMS_TYPE[Score])</f>
        <v>8</v>
      </c>
      <c r="BE263" s="267">
        <f>FMS_Ranking4[[#This Row],[FMS_Type Score]]*$BD$5*10</f>
        <v>2</v>
      </c>
      <c r="BF26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1.0389833579804335</v>
      </c>
      <c r="BG263" s="271">
        <f>_xlfn.RANK.EQ(BF263,$BF$8:$BF$870,0)+COUNTIF($BF$8:BF263,BF263)-1</f>
        <v>140</v>
      </c>
      <c r="BH263" s="268">
        <f>(((FMS_Ranking4[[#This Row],[Structures Removed Raw]]/AK$4)*100)*AK$5)+(((FMS_Ranking4[[#This Row],[Removed Pop Raw]]/AR$4)*100)*AR$5)</f>
        <v>0</v>
      </c>
      <c r="BI26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3.0389833579804337</v>
      </c>
      <c r="BJ263" s="205">
        <f>_xlfn.RANK.EQ(FMS_Ranking4[[#This Row],[Total Score 
(with linear
normalization)]],FMS_Ranking4[Total Score 
(with linear
normalization)],0)</f>
        <v>169</v>
      </c>
      <c r="BK263" s="205" t="e">
        <f>_xlfn.XLOOKUP(FMS_Ranking4[[#This Row],[FMS ID]],#REF!,#REF!)</f>
        <v>#REF!</v>
      </c>
      <c r="BL26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26.054987772319897</v>
      </c>
      <c r="BM263" s="272">
        <f>FMS_Ranking4[[#This Row],[ArcSinh Score Based on Normalized Reported Factors]]+FMS_Ranking4[[#This Row],[% NBS Score (Normalized)]]+(FMS_Ranking4[[#This Row],[Water Supply Score (Normalized)]]*10*$BB$5)+FMS_Ranking4[[#This Row],[FMS_Type Score Weighted]]</f>
        <v>28.054987772319897</v>
      </c>
      <c r="BN263" s="205">
        <f>_xlfn.RANK.EQ(FMS_Ranking4[[#This Row],[Total Score (with ArcSinh normalization of select criteria)]],FMS_Ranking4[Total Score (with ArcSinh normalization of select criteria)],0)</f>
        <v>256</v>
      </c>
      <c r="BO263" s="270" t="str">
        <f>_xlfn.XLOOKUP(FMS_Ranking4[[#This Row],[FMS ID]],FMS_Input[FMS_ID],FMS_Input[FMS_RANK_YEAR])</f>
        <v>2023 Amended Plan</v>
      </c>
      <c r="BP263" s="204">
        <f>_xlfn.XLOOKUP(FMS_Ranking4[[#This Row],[FMS ID]],Prev_Rank[FMS ID],Prev_Rank[Prev Rank])</f>
        <v>225</v>
      </c>
      <c r="BQ263" s="205" t="e">
        <f>_xlfn.XLOOKUP(FMS_Ranking4[[#This Row],[FMS ID]],#REF!,#REF!)</f>
        <v>#REF!</v>
      </c>
      <c r="BR263" s="199" t="e">
        <f>SUM(#REF!,#REF!,#REF!,#REF!,#REF!,#REF!,#REF!,#REF!,#REF!,FMS_Ranking4[[#This Row],[ArcSinh Res struct removed 0-10]],#REF!)</f>
        <v>#REF!</v>
      </c>
      <c r="BS263" s="199" t="e">
        <f>FMS_Ranking4[[#This Row],[Log Score Based on Normalized Reported Factors]]+FMS_Ranking4[[#This Row],[% NBS Score (Normalized)]]+(FMS_Ranking4[[#This Row],[Water Supply Score (Normalized)]]*10*$BB$5)+(FMS_Ranking4[[#This Row],[FMS_Type Score Weighted]])</f>
        <v>#REF!</v>
      </c>
      <c r="BT263" s="200" t="e">
        <f>_xlfn.RANK.EQ(FMS_Ranking4[[#This Row],[Log Total Score]],FMS_Ranking4[Log Total Score],0)</f>
        <v>#REF!</v>
      </c>
      <c r="BU263" s="200" t="e">
        <f>_xlfn.XLOOKUP(FMS_Ranking4[[#This Row],[FMS ID]],#REF!,#REF!)</f>
        <v>#REF!</v>
      </c>
      <c r="BV263" s="200">
        <f>FMS_Ranking4[[#This Row],[Region Number]]</f>
        <v>6</v>
      </c>
      <c r="BW263" s="200">
        <f>FMS_Ranking4[[#This Row],[Rank (with ArcSinh normalization of select criteria)]]-FMS_Ranking4[[#This Row],[Rank
(with linear
normalization)]]</f>
        <v>87</v>
      </c>
      <c r="BX263" s="200" t="e">
        <f>FMS_Ranking4[[#This Row],[Log Rank]]-FMS_Ranking4[[#This Row],[Rank
(with linear
normalization)]]</f>
        <v>#REF!</v>
      </c>
      <c r="BY263" s="200" t="str">
        <f>IF(FMS_Ranking4[[#This Row],[FMS Type]]="Flood Measurement and Warning",FMS_Ranking4[[#This Row],[Rank (with ArcSinh normalization of select criteria)]],"")</f>
        <v/>
      </c>
      <c r="BZ263" s="200">
        <f>IF(FMS_Ranking4[[#This Row],[FMS Type]]="Regulatory and Guidance",FMS_Ranking4[[#This Row],[Rank (with ArcSinh normalization of select criteria)]],"")</f>
        <v>256</v>
      </c>
      <c r="CA263" s="200" t="str">
        <f>IF(FMS_Ranking4[[#This Row],[FMS Type]]="Education and Outreach",FMS_Ranking4[[#This Row],[Rank (with ArcSinh normalization of select criteria)]],"")</f>
        <v/>
      </c>
      <c r="CB263" s="200" t="str">
        <f>IF(FMS_Ranking4[[#This Row],[FMS Type]]="Property Acquisition and Structural Elevation",FMS_Ranking4[[#This Row],[Rank (with ArcSinh normalization of select criteria)]],"")</f>
        <v/>
      </c>
      <c r="CC263" s="200" t="str">
        <f>IF(FMS_Ranking4[[#This Row],[FMS Type]]="Infrastructure Projects",FMS_Ranking4[[#This Row],[Rank (with ArcSinh normalization of select criteria)]],"")</f>
        <v/>
      </c>
      <c r="CD263" s="200" t="str">
        <f>IF(FMS_Ranking4[[#This Row],[FMS Type]]="Other",FMS_Ranking4[[#This Row],[Rank (with ArcSinh normalization of select criteria)]],"")</f>
        <v/>
      </c>
      <c r="CE263" s="201"/>
      <c r="CF263" s="206"/>
      <c r="CG263" s="206"/>
      <c r="CH263" s="206"/>
      <c r="CI263" s="206"/>
      <c r="CJ263" s="206"/>
      <c r="CK263" s="206"/>
      <c r="CL263" s="206"/>
      <c r="CM263" s="206"/>
      <c r="CN263" s="206"/>
      <c r="CO263" s="206"/>
      <c r="CP263" s="206"/>
      <c r="CQ263" s="206"/>
      <c r="CR263" s="206"/>
    </row>
    <row r="264" spans="2:96" ht="60" x14ac:dyDescent="0.25">
      <c r="B264" s="341" t="s">
        <v>695</v>
      </c>
      <c r="C264" s="246">
        <f>_xlfn.XLOOKUP(FMS_Ranking4[[#This Row],[FMS ID]],FMS_Input[FMS_ID],FMS_Input[RFPG_NUM])</f>
        <v>9</v>
      </c>
      <c r="D264" s="309" t="str">
        <f>_xlfn.XLOOKUP(FMS_Ranking4[[#This Row],[FMS ID]],FMS_Input[FMS_ID],FMS_Input[FMS_NAME])</f>
        <v>Taylor County</v>
      </c>
      <c r="E264" s="308" t="str">
        <f>_xlfn.XLOOKUP(FMS_Ranking4[[#This Row],[FMS ID]],FMS_Input[FMS_ID],FMS_Input[SPONSOR])</f>
        <v>00000145</v>
      </c>
      <c r="F264" s="309" t="str">
        <f>_xlfn.XLOOKUP(FMS_Ranking4[[#This Row],[FMS ID]],Sponsor[FMS_ID],Sponsor[SPONSOR NAME])</f>
        <v>Runnels</v>
      </c>
      <c r="G264" s="309" t="str">
        <f>_xlfn.XLOOKUP(FMS_Ranking4[[#This Row],[FMS ID]],FMS_Input[FMS_ID],FMS_Input[FMS_DESCR])</f>
        <v>Establish, adopt, and implement a "green infrastructure" program for parks, nature preserve, greenbelts, etc.</v>
      </c>
      <c r="H264" s="248" t="str">
        <f>_xlfn.XLOOKUP(FMS_Ranking4[[#This Row],[FMS ID]],FMS_Input[FMS_ID],FMS_Input[FMS_TYPE])</f>
        <v>Other</v>
      </c>
      <c r="I264" s="249">
        <f>_xlfn.XLOOKUP(FMS_Ranking4[[#This Row],[FMS ID]],FMS_Input[FMS_ID],FMS_Input[NRNC_COST])</f>
        <v>5000</v>
      </c>
      <c r="J264" s="250">
        <f>_xlfn.XLOOKUP(FMS_Ranking4[[#This Row],[FMS ID]],FMS_Input[FMS_ID],FMS_Input[FMS_COST])</f>
        <v>30000</v>
      </c>
      <c r="K264" s="251" t="str">
        <f>_xlfn.XLOOKUP(FMS_Ranking4[[#This Row],[FMS ID]],FMS_Input[FMS_ID],FMS_Input[EMER_NEED])</f>
        <v>No</v>
      </c>
      <c r="L264" s="252">
        <f t="shared" ref="L264:L327" si="4">IF(K264="Yes",1,0)</f>
        <v>0</v>
      </c>
      <c r="M264" s="253">
        <f>_xlfn.XLOOKUP(FMS_Ranking4[[#This Row],[FMS ID]],FMS_Input[FMS_ID],FMS_Input[STRUCT_100])</f>
        <v>70</v>
      </c>
      <c r="N264" s="255">
        <f>(ASINH(FMS_Ranking4[[#This Row],[Structure at Risk Raw]]))*(10)/(ASINH(M$4))</f>
        <v>3.884906829427599</v>
      </c>
      <c r="O264" s="256">
        <f>FMS_Ranking4[[#This Row],[Structures at risk, ArcSinh (0-10)]]*M$5*10</f>
        <v>3.884906829427599</v>
      </c>
      <c r="P264" s="253">
        <f>_xlfn.XLOOKUP(FMS_Ranking4[[#This Row],[FMS ID]],FMS_Input[FMS_ID],FMS_Input[RES_STRUCT100])</f>
        <v>51</v>
      </c>
      <c r="Q264" s="257">
        <f>ASINH(FMS_Ranking4[[#This Row],[Res Structure Raw]])/Q$4*P$5*100</f>
        <v>0</v>
      </c>
      <c r="R264" s="253">
        <f>_xlfn.XLOOKUP(FMS_Ranking4[[#This Row],[FMS ID]],FMS_Input[FMS_ID],FMS_Input[POP100])</f>
        <v>46</v>
      </c>
      <c r="S264" s="259">
        <f>(ASINH(FMS_Ranking4[[#This Row],[Pop at Risk Raw]]))*(10)/(ASINH(R$4))</f>
        <v>3.1217354535239523</v>
      </c>
      <c r="T264" s="256">
        <f>FMS_Ranking4[[#This Row],[Population at risk, ArcSinh (0-10)]]*R$5*10</f>
        <v>3.1217354535239528</v>
      </c>
      <c r="U264" s="253">
        <f>_xlfn.XLOOKUP(FMS_Ranking4[[#This Row],[FMS ID]],FMS_Input[FMS_ID],FMS_Input[CRITFAC100])</f>
        <v>0</v>
      </c>
      <c r="V264" s="259">
        <f>(ASINH(FMS_Ranking4[[#This Row],[Critical Facilities Raw]]))*(10)/(ASINH(U$4))</f>
        <v>0</v>
      </c>
      <c r="W264" s="256">
        <f>FMS_Ranking4[[#This Row],[Critical facilities at risk, ArcSinh (0-10)]]*U$5*10</f>
        <v>0</v>
      </c>
      <c r="X264" s="253">
        <f>_xlfn.XLOOKUP(FMS_Ranking4[[#This Row],[FMS ID]],FMS_Input[FMS_ID],FMS_Input[LWC])</f>
        <v>10</v>
      </c>
      <c r="Y264" s="259">
        <f>(ASINH(FMS_Ranking4[[#This Row],[LWC Raw]]))*(10)/(ASINH(X$4))</f>
        <v>4.06180589758889</v>
      </c>
      <c r="Z264" s="256">
        <f>FMS_Ranking4[[#This Row],[LWC, ArcSInh (0-10)]]*X$5*10</f>
        <v>4.06180589758889</v>
      </c>
      <c r="AA264" s="253">
        <f>_xlfn.XLOOKUP(FMS_Ranking4[[#This Row],[FMS ID]],FMS_Input[FMS_ID],FMS_Input[ROADCLS])</f>
        <v>0</v>
      </c>
      <c r="AB264" s="255">
        <f>(ASINH(FMS_Ranking4[[#This Row],[Road Closures Raw]]))*(10)/(ASINH(AA$4))</f>
        <v>0</v>
      </c>
      <c r="AC264" s="256">
        <f>FMS_Ranking4[[#This Row],[Road closures, ArcSinh (0-10)]]*AA$5*10</f>
        <v>0</v>
      </c>
      <c r="AD264" s="253">
        <f>_xlfn.XLOOKUP(FMS_Ranking4[[#This Row],[FMS ID]],FMS_Input[FMS_ID],FMS_Input[ROAD_MILES100])</f>
        <v>18</v>
      </c>
      <c r="AE264" s="259">
        <f>(ASINH(FMS_Ranking4[[#This Row],[Road Miles Raw]]))*(10)/(ASINH(AD$4))</f>
        <v>3.8198666439072628</v>
      </c>
      <c r="AF264" s="256">
        <f>FMS_Ranking4[[#This Row],[Length of roads at risk, ArcSinh (0-10)]]*AD$5*10</f>
        <v>3.8198666439072633</v>
      </c>
      <c r="AG264" s="253">
        <f>_xlfn.XLOOKUP(FMS_Ranking4[[#This Row],[FMS ID]],FMS_Input[FMS_ID],FMS_Input[FARMACRE100])</f>
        <v>3492.16162109375</v>
      </c>
      <c r="AH264" s="255">
        <f>(ASINH(FMS_Ranking4[[#This Row],[Ag Land Raw]]))*(10)/(ASINH(AG$4))</f>
        <v>5.7497206178310707</v>
      </c>
      <c r="AI264" s="260">
        <f>FMS_Ranking4[[#This Row],[Farm &amp; ranch land, ArcSinh (0-10)]]*AG$5*10</f>
        <v>2.8748603089155358</v>
      </c>
      <c r="AJ264" s="258">
        <f>_xlfn.XLOOKUP(FMS_Ranking4[[#This Row],[FMS ID]],FMS_Input[FMS_ID],FMS_Input[REDSTRUCT100])</f>
        <v>18</v>
      </c>
      <c r="AK264" s="253">
        <f>_xlfn.XLOOKUP(FMS_Ranking4[[#This Row],[FMS ID]],FMS_Input[FMS_ID],FMS_Input[REMSTRC100])</f>
        <v>18</v>
      </c>
      <c r="AL264" s="259">
        <f>(ASINH(FMS_Ranking4[[#This Row],[Structures Removed Raw]]))*(10)/(ASINH(AK$4))</f>
        <v>4.0809696174971908</v>
      </c>
      <c r="AM264" s="262">
        <f>FMS_Ranking4[[#This Row],[Structures removed, ArcSinh (0-10)]]*AK$5*10</f>
        <v>4.0809696174971908</v>
      </c>
      <c r="AN264" s="253">
        <f>_xlfn.XLOOKUP(FMS_Ranking4[[#This Row],[FMS ID]],FMS_Input[FMS_ID],FMS_Input[REMRESSTRC100])</f>
        <v>12</v>
      </c>
      <c r="AO264" s="261">
        <f>FMS_Ranking4[[#This Row],[ArcSinh Res struct removed 0-10]]*AN$5*10</f>
        <v>1.8650283178354909</v>
      </c>
      <c r="AP264" s="260">
        <f>ASINH(FMS_Ranking4[[#This Row],[Residential Structures Removed Raw]])/AP$4*AN$5*100</f>
        <v>1.8650283178354912</v>
      </c>
      <c r="AQ264" s="254">
        <f>(ASINH(FMS_Ranking4[[#This Row],[Residential Structures Removed Raw]]))*(10)/(ASINH(AN$4))</f>
        <v>3.7300566356709819</v>
      </c>
      <c r="AR264" s="253">
        <f>_xlfn.XLOOKUP(FMS_Ranking4[[#This Row],[FMS ID]],FMS_Input[FMS_ID],FMS_Input[REMPOP100])</f>
        <v>11</v>
      </c>
      <c r="AS264" s="259">
        <f>(ASINH(FMS_Ranking4[[#This Row],[Removed Pop Raw]]))*(10)/(ASINH(AR$4))</f>
        <v>3.036252346330846</v>
      </c>
      <c r="AT264" s="262">
        <f>FMS_Ranking4[[#This Row],[Removed population, ArcSinh (0-10)]]*AR$5*10</f>
        <v>3.036252346330846</v>
      </c>
      <c r="AU264" s="264">
        <f>_xlfn.XLOOKUP(FMS_Ranking4[[#This Row],[FMS ID]],FMS_Input[FMS_ID],FMS_Input[REMCRITFAC100])</f>
        <v>0</v>
      </c>
      <c r="AV264" s="264">
        <f>_xlfn.XLOOKUP(FMS_Ranking4[[#This Row],[FMS ID]],FMS_Input[FMS_ID],FMS_Input[REMLWC100])</f>
        <v>2</v>
      </c>
      <c r="AW264" s="264">
        <f>_xlfn.XLOOKUP(FMS_Ranking4[[#This Row],[FMS ID]],FMS_Input[FMS_ID],FMS_Input[REMROADCLS])</f>
        <v>0</v>
      </c>
      <c r="AX264" s="264">
        <f>_xlfn.XLOOKUP(FMS_Ranking4[[#This Row],[FMS ID]],FMS_Input[FMS_ID],FMS_Input[REMFRMACRE100])</f>
        <v>873.0404052734375</v>
      </c>
      <c r="AY264" s="258">
        <f>_xlfn.XLOOKUP(FMS_Ranking4[[#This Row],[FMS ID]],FMS_Input[FMS_ID],FMS_Input[COSTSTRUCT])</f>
        <v>25000</v>
      </c>
      <c r="AZ264" s="253">
        <f>_xlfn.XLOOKUP(FMS_Ranking4[[#This Row],[FMS ID]],FMS_Input[FMS_ID],FMS_Input[NATURE])</f>
        <v>10</v>
      </c>
      <c r="BA264" s="262">
        <f>(((FMS_Ranking4[[#This Row],[% NBS Raw]]/AZ$4)*100)*AZ$5)</f>
        <v>0.75</v>
      </c>
      <c r="BB264" s="251" t="str">
        <f>_xlfn.XLOOKUP(FMS_Ranking4[[#This Row],[FMS ID]],FMS_Input[FMS_ID],FMS_Input[WATER_SUP])</f>
        <v>No</v>
      </c>
      <c r="BC264" s="265">
        <f>IF(FMS_Ranking4[[#This Row],[Water Supply Raw]]="Yes",10,0)</f>
        <v>0</v>
      </c>
      <c r="BD264" s="266">
        <f>_xlfn.XLOOKUP(FMS_Ranking4[[#This Row],[FMS Type]],FMS_TYPE[FMS_Type],FMS_TYPE[Score])</f>
        <v>2</v>
      </c>
      <c r="BE264" s="267">
        <f>FMS_Ranking4[[#This Row],[FMS_Type Score]]*$BD$5*10</f>
        <v>0.5</v>
      </c>
      <c r="BF26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0.16667259916858862</v>
      </c>
      <c r="BG264" s="271">
        <f>_xlfn.RANK.EQ(BF264,$BF$8:$BF$870,0)+COUNTIF($BF$8:BF264,BF264)-1</f>
        <v>384</v>
      </c>
      <c r="BH264" s="268">
        <f>(((FMS_Ranking4[[#This Row],[Structures Removed Raw]]/AK$4)*100)*AK$5)+(((FMS_Ranking4[[#This Row],[Removed Pop Raw]]/AR$4)*100)*AR$5)</f>
        <v>6.3480300935541828E-2</v>
      </c>
      <c r="BI26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1.4801529001041305</v>
      </c>
      <c r="BJ264" s="205">
        <f>_xlfn.RANK.EQ(FMS_Ranking4[[#This Row],[Total Score 
(with linear
normalization)]],FMS_Ranking4[Total Score 
(with linear
normalization)],0)</f>
        <v>614</v>
      </c>
      <c r="BK264" s="205" t="e">
        <f>_xlfn.XLOOKUP(FMS_Ranking4[[#This Row],[FMS ID]],#REF!,#REF!)</f>
        <v>#REF!</v>
      </c>
      <c r="BL26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26.745425415026766</v>
      </c>
      <c r="BM264" s="272">
        <f>FMS_Ranking4[[#This Row],[ArcSinh Score Based on Normalized Reported Factors]]+FMS_Ranking4[[#This Row],[% NBS Score (Normalized)]]+(FMS_Ranking4[[#This Row],[Water Supply Score (Normalized)]]*10*$BB$5)+FMS_Ranking4[[#This Row],[FMS_Type Score Weighted]]</f>
        <v>27.995425415026766</v>
      </c>
      <c r="BN264" s="205">
        <f>_xlfn.RANK.EQ(FMS_Ranking4[[#This Row],[Total Score (with ArcSinh normalization of select criteria)]],FMS_Ranking4[Total Score (with ArcSinh normalization of select criteria)],0)</f>
        <v>257</v>
      </c>
      <c r="BO264" s="270" t="str">
        <f>_xlfn.XLOOKUP(FMS_Ranking4[[#This Row],[FMS ID]],FMS_Input[FMS_ID],FMS_Input[FMS_RANK_YEAR])</f>
        <v>2023 Amended Plan</v>
      </c>
      <c r="BP264" s="204">
        <f>_xlfn.XLOOKUP(FMS_Ranking4[[#This Row],[FMS ID]],Prev_Rank[FMS ID],Prev_Rank[Prev Rank])</f>
        <v>247</v>
      </c>
      <c r="BQ264" s="205" t="e">
        <f>_xlfn.XLOOKUP(FMS_Ranking4[[#This Row],[FMS ID]],#REF!,#REF!)</f>
        <v>#REF!</v>
      </c>
      <c r="BR264" s="199" t="e">
        <f>SUM(#REF!,#REF!,#REF!,#REF!,#REF!,#REF!,#REF!,#REF!,#REF!,FMS_Ranking4[[#This Row],[ArcSinh Res struct removed 0-10]],#REF!)</f>
        <v>#REF!</v>
      </c>
      <c r="BS264" s="199" t="e">
        <f>FMS_Ranking4[[#This Row],[Log Score Based on Normalized Reported Factors]]+FMS_Ranking4[[#This Row],[% NBS Score (Normalized)]]+(FMS_Ranking4[[#This Row],[Water Supply Score (Normalized)]]*10*$BB$5)+(FMS_Ranking4[[#This Row],[FMS_Type Score Weighted]])</f>
        <v>#REF!</v>
      </c>
      <c r="BT264" s="200" t="e">
        <f>_xlfn.RANK.EQ(FMS_Ranking4[[#This Row],[Log Total Score]],FMS_Ranking4[Log Total Score],0)</f>
        <v>#REF!</v>
      </c>
      <c r="BU264" s="200" t="e">
        <f>_xlfn.XLOOKUP(FMS_Ranking4[[#This Row],[FMS ID]],#REF!,#REF!)</f>
        <v>#REF!</v>
      </c>
      <c r="BV264" s="200">
        <f>FMS_Ranking4[[#This Row],[Region Number]]</f>
        <v>9</v>
      </c>
      <c r="BW264" s="200">
        <f>FMS_Ranking4[[#This Row],[Rank (with ArcSinh normalization of select criteria)]]-FMS_Ranking4[[#This Row],[Rank
(with linear
normalization)]]</f>
        <v>-357</v>
      </c>
      <c r="BX264" s="200" t="e">
        <f>FMS_Ranking4[[#This Row],[Log Rank]]-FMS_Ranking4[[#This Row],[Rank
(with linear
normalization)]]</f>
        <v>#REF!</v>
      </c>
      <c r="BY264" s="200" t="str">
        <f>IF(FMS_Ranking4[[#This Row],[FMS Type]]="Flood Measurement and Warning",FMS_Ranking4[[#This Row],[Rank (with ArcSinh normalization of select criteria)]],"")</f>
        <v/>
      </c>
      <c r="BZ264" s="200" t="str">
        <f>IF(FMS_Ranking4[[#This Row],[FMS Type]]="Regulatory and Guidance",FMS_Ranking4[[#This Row],[Rank (with ArcSinh normalization of select criteria)]],"")</f>
        <v/>
      </c>
      <c r="CA264" s="200" t="str">
        <f>IF(FMS_Ranking4[[#This Row],[FMS Type]]="Education and Outreach",FMS_Ranking4[[#This Row],[Rank (with ArcSinh normalization of select criteria)]],"")</f>
        <v/>
      </c>
      <c r="CB264" s="200" t="str">
        <f>IF(FMS_Ranking4[[#This Row],[FMS Type]]="Property Acquisition and Structural Elevation",FMS_Ranking4[[#This Row],[Rank (with ArcSinh normalization of select criteria)]],"")</f>
        <v/>
      </c>
      <c r="CC264" s="200" t="str">
        <f>IF(FMS_Ranking4[[#This Row],[FMS Type]]="Infrastructure Projects",FMS_Ranking4[[#This Row],[Rank (with ArcSinh normalization of select criteria)]],"")</f>
        <v/>
      </c>
      <c r="CD264" s="200">
        <f>IF(FMS_Ranking4[[#This Row],[FMS Type]]="Other",FMS_Ranking4[[#This Row],[Rank (with ArcSinh normalization of select criteria)]],"")</f>
        <v>257</v>
      </c>
      <c r="CE264" s="201"/>
      <c r="CF264" s="206"/>
      <c r="CG264" s="206"/>
      <c r="CH264" s="206"/>
      <c r="CI264" s="206"/>
      <c r="CJ264" s="206"/>
      <c r="CK264" s="206"/>
      <c r="CL264" s="206"/>
      <c r="CM264" s="206"/>
      <c r="CN264" s="206"/>
      <c r="CO264" s="206"/>
      <c r="CP264" s="206"/>
      <c r="CQ264" s="206"/>
      <c r="CR264" s="206"/>
    </row>
    <row r="265" spans="2:96" ht="60" x14ac:dyDescent="0.25">
      <c r="B265" s="341" t="s">
        <v>1000</v>
      </c>
      <c r="C265" s="246">
        <f>_xlfn.XLOOKUP(FMS_Ranking4[[#This Row],[FMS ID]],FMS_Input[FMS_ID],FMS_Input[RFPG_NUM])</f>
        <v>9</v>
      </c>
      <c r="D265" s="309" t="str">
        <f>_xlfn.XLOOKUP(FMS_Ranking4[[#This Row],[FMS ID]],FMS_Input[FMS_ID],FMS_Input[FMS_NAME])</f>
        <v>Schleicher County DCM</v>
      </c>
      <c r="E265" s="308" t="str">
        <f>_xlfn.XLOOKUP(FMS_Ranking4[[#This Row],[FMS ID]],FMS_Input[FMS_ID],FMS_Input[SPONSOR])</f>
        <v>00000051</v>
      </c>
      <c r="F265" s="309" t="str">
        <f>_xlfn.XLOOKUP(FMS_Ranking4[[#This Row],[FMS ID]],Sponsor[FMS_ID],Sponsor[SPONSOR NAME])</f>
        <v>Schleicher</v>
      </c>
      <c r="G265" s="309" t="str">
        <f>_xlfn.XLOOKUP(FMS_Ranking4[[#This Row],[FMS ID]],FMS_Input[FMS_ID],FMS_Input[FMS_DESCR])</f>
        <v>Consider stormwater criteria for infrastructure and floodplain ordinances to avoid new exposure to flood hazards.</v>
      </c>
      <c r="H265" s="248" t="str">
        <f>_xlfn.XLOOKUP(FMS_Ranking4[[#This Row],[FMS ID]],FMS_Input[FMS_ID],FMS_Input[FMS_TYPE])</f>
        <v>Other</v>
      </c>
      <c r="I265" s="249">
        <f>_xlfn.XLOOKUP(FMS_Ranking4[[#This Row],[FMS ID]],FMS_Input[FMS_ID],FMS_Input[NRNC_COST])</f>
        <v>75000</v>
      </c>
      <c r="J265" s="250">
        <f>_xlfn.XLOOKUP(FMS_Ranking4[[#This Row],[FMS ID]],FMS_Input[FMS_ID],FMS_Input[FMS_COST])</f>
        <v>100000</v>
      </c>
      <c r="K265" s="251" t="str">
        <f>_xlfn.XLOOKUP(FMS_Ranking4[[#This Row],[FMS ID]],FMS_Input[FMS_ID],FMS_Input[EMER_NEED])</f>
        <v>No</v>
      </c>
      <c r="L265" s="252">
        <f t="shared" si="4"/>
        <v>0</v>
      </c>
      <c r="M265" s="253">
        <f>_xlfn.XLOOKUP(FMS_Ranking4[[#This Row],[FMS ID]],FMS_Input[FMS_ID],FMS_Input[STRUCT_100])</f>
        <v>99</v>
      </c>
      <c r="N265" s="255">
        <f>(ASINH(FMS_Ranking4[[#This Row],[Structure at Risk Raw]]))*(10)/(ASINH(M$4))</f>
        <v>4.1573853269885328</v>
      </c>
      <c r="O265" s="256">
        <f>FMS_Ranking4[[#This Row],[Structures at risk, ArcSinh (0-10)]]*M$5*10</f>
        <v>4.1573853269885328</v>
      </c>
      <c r="P265" s="253">
        <f>_xlfn.XLOOKUP(FMS_Ranking4[[#This Row],[FMS ID]],FMS_Input[FMS_ID],FMS_Input[RES_STRUCT100])</f>
        <v>40</v>
      </c>
      <c r="Q265" s="257">
        <f>ASINH(FMS_Ranking4[[#This Row],[Res Structure Raw]])/Q$4*P$5*100</f>
        <v>0</v>
      </c>
      <c r="R265" s="253">
        <f>_xlfn.XLOOKUP(FMS_Ranking4[[#This Row],[FMS ID]],FMS_Input[FMS_ID],FMS_Input[POP100])</f>
        <v>191</v>
      </c>
      <c r="S265" s="255">
        <f>(ASINH(FMS_Ranking4[[#This Row],[Pop at Risk Raw]]))*(10)/(ASINH(R$4))</f>
        <v>4.1044747071042469</v>
      </c>
      <c r="T265" s="256">
        <f>FMS_Ranking4[[#This Row],[Population at risk, ArcSinh (0-10)]]*R$5*10</f>
        <v>4.1044747071042469</v>
      </c>
      <c r="U265" s="253">
        <f>_xlfn.XLOOKUP(FMS_Ranking4[[#This Row],[FMS ID]],FMS_Input[FMS_ID],FMS_Input[CRITFAC100])</f>
        <v>0</v>
      </c>
      <c r="V265" s="255">
        <f>(ASINH(FMS_Ranking4[[#This Row],[Critical Facilities Raw]]))*(10)/(ASINH(U$4))</f>
        <v>0</v>
      </c>
      <c r="W265" s="256">
        <f>FMS_Ranking4[[#This Row],[Critical facilities at risk, ArcSinh (0-10)]]*U$5*10</f>
        <v>0</v>
      </c>
      <c r="X265" s="253">
        <f>_xlfn.XLOOKUP(FMS_Ranking4[[#This Row],[FMS ID]],FMS_Input[FMS_ID],FMS_Input[LWC])</f>
        <v>2</v>
      </c>
      <c r="Y265" s="255">
        <f>(ASINH(FMS_Ranking4[[#This Row],[LWC Raw]]))*(10)/(ASINH(X$4))</f>
        <v>1.9557475158633808</v>
      </c>
      <c r="Z265" s="256">
        <f>FMS_Ranking4[[#This Row],[LWC, ArcSInh (0-10)]]*X$5*10</f>
        <v>1.9557475158633808</v>
      </c>
      <c r="AA265" s="253">
        <f>_xlfn.XLOOKUP(FMS_Ranking4[[#This Row],[FMS ID]],FMS_Input[FMS_ID],FMS_Input[ROADCLS])</f>
        <v>0</v>
      </c>
      <c r="AB265" s="255">
        <f>(ASINH(FMS_Ranking4[[#This Row],[Road Closures Raw]]))*(10)/(ASINH(AA$4))</f>
        <v>0</v>
      </c>
      <c r="AC265" s="256">
        <f>FMS_Ranking4[[#This Row],[Road closures, ArcSinh (0-10)]]*AA$5*10</f>
        <v>0</v>
      </c>
      <c r="AD265" s="253">
        <f>_xlfn.XLOOKUP(FMS_Ranking4[[#This Row],[FMS ID]],FMS_Input[FMS_ID],FMS_Input[ROAD_MILES100])</f>
        <v>17</v>
      </c>
      <c r="AE265" s="255">
        <f>(ASINH(FMS_Ranking4[[#This Row],[Road Miles Raw]]))*(10)/(ASINH(AD$4))</f>
        <v>3.7590508453510045</v>
      </c>
      <c r="AF265" s="256">
        <f>FMS_Ranking4[[#This Row],[Length of roads at risk, ArcSinh (0-10)]]*AD$5*10</f>
        <v>3.7590508453510045</v>
      </c>
      <c r="AG265" s="253">
        <f>_xlfn.XLOOKUP(FMS_Ranking4[[#This Row],[FMS ID]],FMS_Input[FMS_ID],FMS_Input[FARMACRE100])</f>
        <v>1263.988647460938</v>
      </c>
      <c r="AH265" s="255">
        <f>(ASINH(FMS_Ranking4[[#This Row],[Ag Land Raw]]))*(10)/(ASINH(AG$4))</f>
        <v>5.0895844435453217</v>
      </c>
      <c r="AI265" s="260">
        <f>FMS_Ranking4[[#This Row],[Farm &amp; ranch land, ArcSinh (0-10)]]*AG$5*10</f>
        <v>2.5447922217726608</v>
      </c>
      <c r="AJ265" s="258">
        <f>_xlfn.XLOOKUP(FMS_Ranking4[[#This Row],[FMS ID]],FMS_Input[FMS_ID],FMS_Input[REDSTRUCT100])</f>
        <v>25</v>
      </c>
      <c r="AK265" s="253">
        <f>_xlfn.XLOOKUP(FMS_Ranking4[[#This Row],[FMS ID]],FMS_Input[FMS_ID],FMS_Input[REMSTRC100])</f>
        <v>25</v>
      </c>
      <c r="AL265" s="255">
        <f>(ASINH(FMS_Ranking4[[#This Row],[Structures Removed Raw]]))*(10)/(ASINH(AK$4))</f>
        <v>4.4545725898839885</v>
      </c>
      <c r="AM265" s="262">
        <f>FMS_Ranking4[[#This Row],[Structures removed, ArcSinh (0-10)]]*AK$5*10</f>
        <v>4.4545725898839885</v>
      </c>
      <c r="AN265" s="253">
        <f>_xlfn.XLOOKUP(FMS_Ranking4[[#This Row],[FMS ID]],FMS_Input[FMS_ID],FMS_Input[REMRESSTRC100])</f>
        <v>10</v>
      </c>
      <c r="AO265" s="261">
        <f>FMS_Ranking4[[#This Row],[ArcSinh Res struct removed 0-10]]*AN$5*10</f>
        <v>1.7585371136031225</v>
      </c>
      <c r="AP265" s="260">
        <f>ASINH(FMS_Ranking4[[#This Row],[Residential Structures Removed Raw]])/AP$4*AN$5*100</f>
        <v>1.7585371136031223</v>
      </c>
      <c r="AQ265" s="258">
        <f>(ASINH(FMS_Ranking4[[#This Row],[Residential Structures Removed Raw]]))*(10)/(ASINH(AN$4))</f>
        <v>3.5170742272062445</v>
      </c>
      <c r="AR265" s="253">
        <f>_xlfn.XLOOKUP(FMS_Ranking4[[#This Row],[FMS ID]],FMS_Input[FMS_ID],FMS_Input[REMPOP100])</f>
        <v>62</v>
      </c>
      <c r="AS265" s="255">
        <f>(ASINH(FMS_Ranking4[[#This Row],[Removed Pop Raw]]))*(10)/(ASINH(AR$4))</f>
        <v>4.7317507597016544</v>
      </c>
      <c r="AT265" s="262">
        <f>FMS_Ranking4[[#This Row],[Removed population, ArcSinh (0-10)]]*AR$5*10</f>
        <v>4.7317507597016544</v>
      </c>
      <c r="AU265" s="264">
        <f>_xlfn.XLOOKUP(FMS_Ranking4[[#This Row],[FMS ID]],FMS_Input[FMS_ID],FMS_Input[REMCRITFAC100])</f>
        <v>0</v>
      </c>
      <c r="AV265" s="264">
        <f>_xlfn.XLOOKUP(FMS_Ranking4[[#This Row],[FMS ID]],FMS_Input[FMS_ID],FMS_Input[REMLWC100])</f>
        <v>0</v>
      </c>
      <c r="AW265" s="264">
        <f>_xlfn.XLOOKUP(FMS_Ranking4[[#This Row],[FMS ID]],FMS_Input[FMS_ID],FMS_Input[REMROADCLS])</f>
        <v>0</v>
      </c>
      <c r="AX265" s="264">
        <f>_xlfn.XLOOKUP(FMS_Ranking4[[#This Row],[FMS ID]],FMS_Input[FMS_ID],FMS_Input[REMFRMACRE100])</f>
        <v>315.99716186523438</v>
      </c>
      <c r="AY265" s="258">
        <f>_xlfn.XLOOKUP(FMS_Ranking4[[#This Row],[FMS ID]],FMS_Input[FMS_ID],FMS_Input[COSTSTRUCT])</f>
        <v>25000</v>
      </c>
      <c r="AZ265" s="253">
        <f>_xlfn.XLOOKUP(FMS_Ranking4[[#This Row],[FMS ID]],FMS_Input[FMS_ID],FMS_Input[NATURE])</f>
        <v>0</v>
      </c>
      <c r="BA265" s="262">
        <f>(((FMS_Ranking4[[#This Row],[% NBS Raw]]/AZ$4)*100)*AZ$5)</f>
        <v>0</v>
      </c>
      <c r="BB265" s="251" t="str">
        <f>_xlfn.XLOOKUP(FMS_Ranking4[[#This Row],[FMS ID]],FMS_Input[FMS_ID],FMS_Input[WATER_SUP])</f>
        <v>No</v>
      </c>
      <c r="BC265" s="265">
        <f>IF(FMS_Ranking4[[#This Row],[Water Supply Raw]]="Yes",10,0)</f>
        <v>0</v>
      </c>
      <c r="BD265" s="266">
        <f>_xlfn.XLOOKUP(FMS_Ranking4[[#This Row],[FMS Type]],FMS_TYPE[FMS_Type],FMS_TYPE[Score])</f>
        <v>2</v>
      </c>
      <c r="BE265" s="267">
        <f>FMS_Ranking4[[#This Row],[FMS_Type Score]]*$BD$5*10</f>
        <v>0.5</v>
      </c>
      <c r="BF26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6.3988402321720164E-2</v>
      </c>
      <c r="BG265" s="321">
        <f>_xlfn.RANK.EQ(BF265,$BF$8:$BF$870,0)+COUNTIF($BF$8:BF265,BF265)-1</f>
        <v>529</v>
      </c>
      <c r="BH265" s="294">
        <f>(((FMS_Ranking4[[#This Row],[Structures Removed Raw]]/AK$4)*100)*AK$5)+(((FMS_Ranking4[[#This Row],[Removed Pop Raw]]/AR$4)*100)*AR$5)</f>
        <v>0.12334683180702288</v>
      </c>
      <c r="BI26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0.68733523412874309</v>
      </c>
      <c r="BJ265" s="251">
        <f>_xlfn.RANK.EQ(FMS_Ranking4[[#This Row],[Total Score 
(with linear
normalization)]],FMS_Ranking4[Total Score 
(with linear
normalization)],0)</f>
        <v>801</v>
      </c>
      <c r="BK265" s="251" t="e">
        <f>_xlfn.XLOOKUP(FMS_Ranking4[[#This Row],[FMS ID]],#REF!,#REF!)</f>
        <v>#REF!</v>
      </c>
      <c r="BL26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27.466311080268589</v>
      </c>
      <c r="BM265" s="324">
        <f>FMS_Ranking4[[#This Row],[ArcSinh Score Based on Normalized Reported Factors]]+FMS_Ranking4[[#This Row],[% NBS Score (Normalized)]]+(FMS_Ranking4[[#This Row],[Water Supply Score (Normalized)]]*10*$BB$5)+FMS_Ranking4[[#This Row],[FMS_Type Score Weighted]]</f>
        <v>27.966311080268589</v>
      </c>
      <c r="BN265" s="251">
        <f>_xlfn.RANK.EQ(FMS_Ranking4[[#This Row],[Total Score (with ArcSinh normalization of select criteria)]],FMS_Ranking4[Total Score (with ArcSinh normalization of select criteria)],0)</f>
        <v>258</v>
      </c>
      <c r="BO265" s="270" t="str">
        <f>_xlfn.XLOOKUP(FMS_Ranking4[[#This Row],[FMS ID]],FMS_Input[FMS_ID],FMS_Input[FMS_RANK_YEAR])</f>
        <v>2023 Amended Plan</v>
      </c>
      <c r="BP265" s="204">
        <f>_xlfn.XLOOKUP(FMS_Ranking4[[#This Row],[FMS ID]],Prev_Rank[FMS ID],Prev_Rank[Prev Rank])</f>
        <v>254</v>
      </c>
      <c r="BQ265" s="251" t="e">
        <f>_xlfn.XLOOKUP(FMS_Ranking4[[#This Row],[FMS ID]],#REF!,#REF!)</f>
        <v>#REF!</v>
      </c>
      <c r="BR265" s="199" t="e">
        <f>SUM(#REF!,#REF!,#REF!,#REF!,#REF!,#REF!,#REF!,#REF!,#REF!,FMS_Ranking4[[#This Row],[ArcSinh Res struct removed 0-10]],#REF!)</f>
        <v>#REF!</v>
      </c>
      <c r="BS265" s="199" t="e">
        <f>FMS_Ranking4[[#This Row],[Log Score Based on Normalized Reported Factors]]+FMS_Ranking4[[#This Row],[% NBS Score (Normalized)]]+(FMS_Ranking4[[#This Row],[Water Supply Score (Normalized)]]*10*$BB$5)+(FMS_Ranking4[[#This Row],[FMS_Type Score Weighted]])</f>
        <v>#REF!</v>
      </c>
      <c r="BT265" s="200" t="e">
        <f>_xlfn.RANK.EQ(FMS_Ranking4[[#This Row],[Log Total Score]],FMS_Ranking4[Log Total Score],0)</f>
        <v>#REF!</v>
      </c>
      <c r="BU265" s="200" t="e">
        <f>_xlfn.XLOOKUP(FMS_Ranking4[[#This Row],[FMS ID]],#REF!,#REF!)</f>
        <v>#REF!</v>
      </c>
      <c r="BV265" s="200">
        <f>FMS_Ranking4[[#This Row],[Region Number]]</f>
        <v>9</v>
      </c>
      <c r="BW265" s="200">
        <f>FMS_Ranking4[[#This Row],[Rank (with ArcSinh normalization of select criteria)]]-FMS_Ranking4[[#This Row],[Rank
(with linear
normalization)]]</f>
        <v>-543</v>
      </c>
      <c r="BX265" s="200" t="e">
        <f>FMS_Ranking4[[#This Row],[Log Rank]]-FMS_Ranking4[[#This Row],[Rank
(with linear
normalization)]]</f>
        <v>#REF!</v>
      </c>
      <c r="BY265" s="200" t="str">
        <f>IF(FMS_Ranking4[[#This Row],[FMS Type]]="Flood Measurement and Warning",FMS_Ranking4[[#This Row],[Rank (with ArcSinh normalization of select criteria)]],"")</f>
        <v/>
      </c>
      <c r="BZ265" s="200" t="str">
        <f>IF(FMS_Ranking4[[#This Row],[FMS Type]]="Regulatory and Guidance",FMS_Ranking4[[#This Row],[Rank (with ArcSinh normalization of select criteria)]],"")</f>
        <v/>
      </c>
      <c r="CA265" s="200" t="str">
        <f>IF(FMS_Ranking4[[#This Row],[FMS Type]]="Education and Outreach",FMS_Ranking4[[#This Row],[Rank (with ArcSinh normalization of select criteria)]],"")</f>
        <v/>
      </c>
      <c r="CB265" s="200" t="str">
        <f>IF(FMS_Ranking4[[#This Row],[FMS Type]]="Property Acquisition and Structural Elevation",FMS_Ranking4[[#This Row],[Rank (with ArcSinh normalization of select criteria)]],"")</f>
        <v/>
      </c>
      <c r="CC265" s="200" t="str">
        <f>IF(FMS_Ranking4[[#This Row],[FMS Type]]="Infrastructure Projects",FMS_Ranking4[[#This Row],[Rank (with ArcSinh normalization of select criteria)]],"")</f>
        <v/>
      </c>
      <c r="CD265" s="200">
        <f>IF(FMS_Ranking4[[#This Row],[FMS Type]]="Other",FMS_Ranking4[[#This Row],[Rank (with ArcSinh normalization of select criteria)]],"")</f>
        <v>258</v>
      </c>
      <c r="CE265" s="201"/>
      <c r="CF265" s="206"/>
      <c r="CG265" s="206"/>
      <c r="CH265" s="206"/>
      <c r="CI265" s="206"/>
      <c r="CJ265" s="206"/>
      <c r="CK265" s="206"/>
      <c r="CL265" s="206"/>
      <c r="CM265" s="206"/>
      <c r="CN265" s="206"/>
      <c r="CO265" s="206"/>
      <c r="CP265" s="206"/>
      <c r="CQ265" s="206"/>
      <c r="CR265" s="206"/>
    </row>
    <row r="266" spans="2:96" ht="45" x14ac:dyDescent="0.25">
      <c r="B266" s="341" t="s">
        <v>839</v>
      </c>
      <c r="C266" s="246">
        <f>_xlfn.XLOOKUP(FMS_Ranking4[[#This Row],[FMS ID]],FMS_Input[FMS_ID],FMS_Input[RFPG_NUM])</f>
        <v>9</v>
      </c>
      <c r="D266" s="309" t="str">
        <f>_xlfn.XLOOKUP(FMS_Ranking4[[#This Row],[FMS ID]],FMS_Input[FMS_ID],FMS_Input[FMS_NAME])</f>
        <v>Schleicher County Flood Insurance Education Program</v>
      </c>
      <c r="E266" s="308" t="str">
        <f>_xlfn.XLOOKUP(FMS_Ranking4[[#This Row],[FMS ID]],FMS_Input[FMS_ID],FMS_Input[SPONSOR])</f>
        <v>00000051</v>
      </c>
      <c r="F266" s="309" t="str">
        <f>_xlfn.XLOOKUP(FMS_Ranking4[[#This Row],[FMS ID]],Sponsor[FMS_ID],Sponsor[SPONSOR NAME])</f>
        <v>Schleicher</v>
      </c>
      <c r="G266" s="309" t="str">
        <f>_xlfn.XLOOKUP(FMS_Ranking4[[#This Row],[FMS ID]],FMS_Input[FMS_ID],FMS_Input[FMS_DESCR])</f>
        <v>Draft flood insurance education program</v>
      </c>
      <c r="H266" s="248" t="str">
        <f>_xlfn.XLOOKUP(FMS_Ranking4[[#This Row],[FMS ID]],FMS_Input[FMS_ID],FMS_Input[FMS_TYPE])</f>
        <v>Other</v>
      </c>
      <c r="I266" s="249">
        <f>_xlfn.XLOOKUP(FMS_Ranking4[[#This Row],[FMS ID]],FMS_Input[FMS_ID],FMS_Input[NRNC_COST])</f>
        <v>5000</v>
      </c>
      <c r="J266" s="250">
        <f>_xlfn.XLOOKUP(FMS_Ranking4[[#This Row],[FMS ID]],FMS_Input[FMS_ID],FMS_Input[FMS_COST])</f>
        <v>30000</v>
      </c>
      <c r="K266" s="251" t="str">
        <f>_xlfn.XLOOKUP(FMS_Ranking4[[#This Row],[FMS ID]],FMS_Input[FMS_ID],FMS_Input[EMER_NEED])</f>
        <v>No</v>
      </c>
      <c r="L266" s="252">
        <f t="shared" si="4"/>
        <v>0</v>
      </c>
      <c r="M266" s="253">
        <f>_xlfn.XLOOKUP(FMS_Ranking4[[#This Row],[FMS ID]],FMS_Input[FMS_ID],FMS_Input[STRUCT_100])</f>
        <v>99</v>
      </c>
      <c r="N266" s="255">
        <f>(ASINH(FMS_Ranking4[[#This Row],[Structure at Risk Raw]]))*(10)/(ASINH(M$4))</f>
        <v>4.1573853269885328</v>
      </c>
      <c r="O266" s="256">
        <f>FMS_Ranking4[[#This Row],[Structures at risk, ArcSinh (0-10)]]*M$5*10</f>
        <v>4.1573853269885328</v>
      </c>
      <c r="P266" s="253">
        <f>_xlfn.XLOOKUP(FMS_Ranking4[[#This Row],[FMS ID]],FMS_Input[FMS_ID],FMS_Input[RES_STRUCT100])</f>
        <v>40</v>
      </c>
      <c r="Q266" s="257">
        <f>ASINH(FMS_Ranking4[[#This Row],[Res Structure Raw]])/Q$4*P$5*100</f>
        <v>0</v>
      </c>
      <c r="R266" s="253">
        <f>_xlfn.XLOOKUP(FMS_Ranking4[[#This Row],[FMS ID]],FMS_Input[FMS_ID],FMS_Input[POP100])</f>
        <v>191</v>
      </c>
      <c r="S266" s="255">
        <f>(ASINH(FMS_Ranking4[[#This Row],[Pop at Risk Raw]]))*(10)/(ASINH(R$4))</f>
        <v>4.1044747071042469</v>
      </c>
      <c r="T266" s="256">
        <f>FMS_Ranking4[[#This Row],[Population at risk, ArcSinh (0-10)]]*R$5*10</f>
        <v>4.1044747071042469</v>
      </c>
      <c r="U266" s="253">
        <f>_xlfn.XLOOKUP(FMS_Ranking4[[#This Row],[FMS ID]],FMS_Input[FMS_ID],FMS_Input[CRITFAC100])</f>
        <v>0</v>
      </c>
      <c r="V266" s="255">
        <f>(ASINH(FMS_Ranking4[[#This Row],[Critical Facilities Raw]]))*(10)/(ASINH(U$4))</f>
        <v>0</v>
      </c>
      <c r="W266" s="256">
        <f>FMS_Ranking4[[#This Row],[Critical facilities at risk, ArcSinh (0-10)]]*U$5*10</f>
        <v>0</v>
      </c>
      <c r="X266" s="253">
        <f>_xlfn.XLOOKUP(FMS_Ranking4[[#This Row],[FMS ID]],FMS_Input[FMS_ID],FMS_Input[LWC])</f>
        <v>2</v>
      </c>
      <c r="Y266" s="255">
        <f>(ASINH(FMS_Ranking4[[#This Row],[LWC Raw]]))*(10)/(ASINH(X$4))</f>
        <v>1.9557475158633808</v>
      </c>
      <c r="Z266" s="256">
        <f>FMS_Ranking4[[#This Row],[LWC, ArcSInh (0-10)]]*X$5*10</f>
        <v>1.9557475158633808</v>
      </c>
      <c r="AA266" s="253">
        <f>_xlfn.XLOOKUP(FMS_Ranking4[[#This Row],[FMS ID]],FMS_Input[FMS_ID],FMS_Input[ROADCLS])</f>
        <v>0</v>
      </c>
      <c r="AB266" s="255">
        <f>(ASINH(FMS_Ranking4[[#This Row],[Road Closures Raw]]))*(10)/(ASINH(AA$4))</f>
        <v>0</v>
      </c>
      <c r="AC266" s="256">
        <f>FMS_Ranking4[[#This Row],[Road closures, ArcSinh (0-10)]]*AA$5*10</f>
        <v>0</v>
      </c>
      <c r="AD266" s="253">
        <f>_xlfn.XLOOKUP(FMS_Ranking4[[#This Row],[FMS ID]],FMS_Input[FMS_ID],FMS_Input[ROAD_MILES100])</f>
        <v>17</v>
      </c>
      <c r="AE266" s="255">
        <f>(ASINH(FMS_Ranking4[[#This Row],[Road Miles Raw]]))*(10)/(ASINH(AD$4))</f>
        <v>3.7590508453510045</v>
      </c>
      <c r="AF266" s="256">
        <f>FMS_Ranking4[[#This Row],[Length of roads at risk, ArcSinh (0-10)]]*AD$5*10</f>
        <v>3.7590508453510045</v>
      </c>
      <c r="AG266" s="253">
        <f>_xlfn.XLOOKUP(FMS_Ranking4[[#This Row],[FMS ID]],FMS_Input[FMS_ID],FMS_Input[FARMACRE100])</f>
        <v>1263.988647460938</v>
      </c>
      <c r="AH266" s="255">
        <f>(ASINH(FMS_Ranking4[[#This Row],[Ag Land Raw]]))*(10)/(ASINH(AG$4))</f>
        <v>5.0895844435453217</v>
      </c>
      <c r="AI266" s="260">
        <f>FMS_Ranking4[[#This Row],[Farm &amp; ranch land, ArcSinh (0-10)]]*AG$5*10</f>
        <v>2.5447922217726608</v>
      </c>
      <c r="AJ266" s="258">
        <f>_xlfn.XLOOKUP(FMS_Ranking4[[#This Row],[FMS ID]],FMS_Input[FMS_ID],FMS_Input[REDSTRUCT100])</f>
        <v>25</v>
      </c>
      <c r="AK266" s="253">
        <f>_xlfn.XLOOKUP(FMS_Ranking4[[#This Row],[FMS ID]],FMS_Input[FMS_ID],FMS_Input[REMSTRC100])</f>
        <v>25</v>
      </c>
      <c r="AL266" s="255">
        <f>(ASINH(FMS_Ranking4[[#This Row],[Structures Removed Raw]]))*(10)/(ASINH(AK$4))</f>
        <v>4.4545725898839885</v>
      </c>
      <c r="AM266" s="262">
        <f>FMS_Ranking4[[#This Row],[Structures removed, ArcSinh (0-10)]]*AK$5*10</f>
        <v>4.4545725898839885</v>
      </c>
      <c r="AN266" s="253">
        <f>_xlfn.XLOOKUP(FMS_Ranking4[[#This Row],[FMS ID]],FMS_Input[FMS_ID],FMS_Input[REMRESSTRC100])</f>
        <v>10</v>
      </c>
      <c r="AO266" s="261">
        <f>FMS_Ranking4[[#This Row],[ArcSinh Res struct removed 0-10]]*AN$5*10</f>
        <v>1.7585371136031225</v>
      </c>
      <c r="AP266" s="260">
        <f>ASINH(FMS_Ranking4[[#This Row],[Residential Structures Removed Raw]])/AP$4*AN$5*100</f>
        <v>1.7585371136031223</v>
      </c>
      <c r="AQ266" s="258">
        <f>(ASINH(FMS_Ranking4[[#This Row],[Residential Structures Removed Raw]]))*(10)/(ASINH(AN$4))</f>
        <v>3.5170742272062445</v>
      </c>
      <c r="AR266" s="253">
        <f>_xlfn.XLOOKUP(FMS_Ranking4[[#This Row],[FMS ID]],FMS_Input[FMS_ID],FMS_Input[REMPOP100])</f>
        <v>62</v>
      </c>
      <c r="AS266" s="255">
        <f>(ASINH(FMS_Ranking4[[#This Row],[Removed Pop Raw]]))*(10)/(ASINH(AR$4))</f>
        <v>4.7317507597016544</v>
      </c>
      <c r="AT266" s="262">
        <f>FMS_Ranking4[[#This Row],[Removed population, ArcSinh (0-10)]]*AR$5*10</f>
        <v>4.7317507597016544</v>
      </c>
      <c r="AU266" s="264">
        <f>_xlfn.XLOOKUP(FMS_Ranking4[[#This Row],[FMS ID]],FMS_Input[FMS_ID],FMS_Input[REMCRITFAC100])</f>
        <v>0</v>
      </c>
      <c r="AV266" s="264">
        <f>_xlfn.XLOOKUP(FMS_Ranking4[[#This Row],[FMS ID]],FMS_Input[FMS_ID],FMS_Input[REMLWC100])</f>
        <v>0</v>
      </c>
      <c r="AW266" s="264">
        <f>_xlfn.XLOOKUP(FMS_Ranking4[[#This Row],[FMS ID]],FMS_Input[FMS_ID],FMS_Input[REMROADCLS])</f>
        <v>0</v>
      </c>
      <c r="AX266" s="264">
        <f>_xlfn.XLOOKUP(FMS_Ranking4[[#This Row],[FMS ID]],FMS_Input[FMS_ID],FMS_Input[REMFRMACRE100])</f>
        <v>315.99716186523438</v>
      </c>
      <c r="AY266" s="258">
        <f>_xlfn.XLOOKUP(FMS_Ranking4[[#This Row],[FMS ID]],FMS_Input[FMS_ID],FMS_Input[COSTSTRUCT])</f>
        <v>25000</v>
      </c>
      <c r="AZ266" s="253">
        <f>_xlfn.XLOOKUP(FMS_Ranking4[[#This Row],[FMS ID]],FMS_Input[FMS_ID],FMS_Input[NATURE])</f>
        <v>0</v>
      </c>
      <c r="BA266" s="262">
        <f>(((FMS_Ranking4[[#This Row],[% NBS Raw]]/AZ$4)*100)*AZ$5)</f>
        <v>0</v>
      </c>
      <c r="BB266" s="251" t="str">
        <f>_xlfn.XLOOKUP(FMS_Ranking4[[#This Row],[FMS ID]],FMS_Input[FMS_ID],FMS_Input[WATER_SUP])</f>
        <v>No</v>
      </c>
      <c r="BC266" s="265">
        <f>IF(FMS_Ranking4[[#This Row],[Water Supply Raw]]="Yes",10,0)</f>
        <v>0</v>
      </c>
      <c r="BD266" s="266">
        <f>_xlfn.XLOOKUP(FMS_Ranking4[[#This Row],[FMS Type]],FMS_TYPE[FMS_Type],FMS_TYPE[Score])</f>
        <v>2</v>
      </c>
      <c r="BE266" s="267">
        <f>FMS_Ranking4[[#This Row],[FMS_Type Score]]*$BD$5*10</f>
        <v>0.5</v>
      </c>
      <c r="BF26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6.3988402321720164E-2</v>
      </c>
      <c r="BG266" s="321">
        <f>_xlfn.RANK.EQ(BF266,$BF$8:$BF$870,0)+COUNTIF($BF$8:BF266,BF266)-1</f>
        <v>530</v>
      </c>
      <c r="BH266" s="294">
        <f>(((FMS_Ranking4[[#This Row],[Structures Removed Raw]]/AK$4)*100)*AK$5)+(((FMS_Ranking4[[#This Row],[Removed Pop Raw]]/AR$4)*100)*AR$5)</f>
        <v>0.12334683180702288</v>
      </c>
      <c r="BI26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0.68733523412874309</v>
      </c>
      <c r="BJ266" s="251">
        <f>_xlfn.RANK.EQ(FMS_Ranking4[[#This Row],[Total Score 
(with linear
normalization)]],FMS_Ranking4[Total Score 
(with linear
normalization)],0)</f>
        <v>801</v>
      </c>
      <c r="BK266" s="251" t="e">
        <f>_xlfn.XLOOKUP(FMS_Ranking4[[#This Row],[FMS ID]],#REF!,#REF!)</f>
        <v>#REF!</v>
      </c>
      <c r="BL26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27.466311080268589</v>
      </c>
      <c r="BM266" s="324">
        <f>FMS_Ranking4[[#This Row],[ArcSinh Score Based on Normalized Reported Factors]]+FMS_Ranking4[[#This Row],[% NBS Score (Normalized)]]+(FMS_Ranking4[[#This Row],[Water Supply Score (Normalized)]]*10*$BB$5)+FMS_Ranking4[[#This Row],[FMS_Type Score Weighted]]</f>
        <v>27.966311080268589</v>
      </c>
      <c r="BN266" s="251">
        <f>_xlfn.RANK.EQ(FMS_Ranking4[[#This Row],[Total Score (with ArcSinh normalization of select criteria)]],FMS_Ranking4[Total Score (with ArcSinh normalization of select criteria)],0)</f>
        <v>258</v>
      </c>
      <c r="BO266" s="270" t="str">
        <f>_xlfn.XLOOKUP(FMS_Ranking4[[#This Row],[FMS ID]],FMS_Input[FMS_ID],FMS_Input[FMS_RANK_YEAR])</f>
        <v>2023 Amended Plan</v>
      </c>
      <c r="BP266" s="204">
        <f>_xlfn.XLOOKUP(FMS_Ranking4[[#This Row],[FMS ID]],Prev_Rank[FMS ID],Prev_Rank[Prev Rank])</f>
        <v>254</v>
      </c>
      <c r="BQ266" s="251" t="e">
        <f>_xlfn.XLOOKUP(FMS_Ranking4[[#This Row],[FMS ID]],#REF!,#REF!)</f>
        <v>#REF!</v>
      </c>
      <c r="BR266" s="199" t="e">
        <f>SUM(#REF!,#REF!,#REF!,#REF!,#REF!,#REF!,#REF!,#REF!,#REF!,FMS_Ranking4[[#This Row],[ArcSinh Res struct removed 0-10]],#REF!)</f>
        <v>#REF!</v>
      </c>
      <c r="BS266" s="199" t="e">
        <f>FMS_Ranking4[[#This Row],[Log Score Based on Normalized Reported Factors]]+FMS_Ranking4[[#This Row],[% NBS Score (Normalized)]]+(FMS_Ranking4[[#This Row],[Water Supply Score (Normalized)]]*10*$BB$5)+(FMS_Ranking4[[#This Row],[FMS_Type Score Weighted]])</f>
        <v>#REF!</v>
      </c>
      <c r="BT266" s="200" t="e">
        <f>_xlfn.RANK.EQ(FMS_Ranking4[[#This Row],[Log Total Score]],FMS_Ranking4[Log Total Score],0)</f>
        <v>#REF!</v>
      </c>
      <c r="BU266" s="200" t="e">
        <f>_xlfn.XLOOKUP(FMS_Ranking4[[#This Row],[FMS ID]],#REF!,#REF!)</f>
        <v>#REF!</v>
      </c>
      <c r="BV266" s="200">
        <f>FMS_Ranking4[[#This Row],[Region Number]]</f>
        <v>9</v>
      </c>
      <c r="BW266" s="200">
        <f>FMS_Ranking4[[#This Row],[Rank (with ArcSinh normalization of select criteria)]]-FMS_Ranking4[[#This Row],[Rank
(with linear
normalization)]]</f>
        <v>-543</v>
      </c>
      <c r="BX266" s="200" t="e">
        <f>FMS_Ranking4[[#This Row],[Log Rank]]-FMS_Ranking4[[#This Row],[Rank
(with linear
normalization)]]</f>
        <v>#REF!</v>
      </c>
      <c r="BY266" s="200" t="str">
        <f>IF(FMS_Ranking4[[#This Row],[FMS Type]]="Flood Measurement and Warning",FMS_Ranking4[[#This Row],[Rank (with ArcSinh normalization of select criteria)]],"")</f>
        <v/>
      </c>
      <c r="BZ266" s="200" t="str">
        <f>IF(FMS_Ranking4[[#This Row],[FMS Type]]="Regulatory and Guidance",FMS_Ranking4[[#This Row],[Rank (with ArcSinh normalization of select criteria)]],"")</f>
        <v/>
      </c>
      <c r="CA266" s="200" t="str">
        <f>IF(FMS_Ranking4[[#This Row],[FMS Type]]="Education and Outreach",FMS_Ranking4[[#This Row],[Rank (with ArcSinh normalization of select criteria)]],"")</f>
        <v/>
      </c>
      <c r="CB266" s="200" t="str">
        <f>IF(FMS_Ranking4[[#This Row],[FMS Type]]="Property Acquisition and Structural Elevation",FMS_Ranking4[[#This Row],[Rank (with ArcSinh normalization of select criteria)]],"")</f>
        <v/>
      </c>
      <c r="CC266" s="200" t="str">
        <f>IF(FMS_Ranking4[[#This Row],[FMS Type]]="Infrastructure Projects",FMS_Ranking4[[#This Row],[Rank (with ArcSinh normalization of select criteria)]],"")</f>
        <v/>
      </c>
      <c r="CD266" s="200">
        <f>IF(FMS_Ranking4[[#This Row],[FMS Type]]="Other",FMS_Ranking4[[#This Row],[Rank (with ArcSinh normalization of select criteria)]],"")</f>
        <v>258</v>
      </c>
      <c r="CE266" s="201"/>
      <c r="CF266" s="206"/>
      <c r="CG266" s="206"/>
      <c r="CH266" s="206"/>
      <c r="CI266" s="206"/>
      <c r="CJ266" s="206"/>
      <c r="CK266" s="206"/>
      <c r="CL266" s="206"/>
      <c r="CM266" s="206"/>
      <c r="CN266" s="206"/>
      <c r="CO266" s="206"/>
      <c r="CP266" s="206"/>
      <c r="CQ266" s="206"/>
      <c r="CR266" s="206"/>
    </row>
    <row r="267" spans="2:96" ht="30" x14ac:dyDescent="0.25">
      <c r="B267" s="341" t="s">
        <v>917</v>
      </c>
      <c r="C267" s="246">
        <f>_xlfn.XLOOKUP(FMS_Ranking4[[#This Row],[FMS ID]],FMS_Input[FMS_ID],FMS_Input[RFPG_NUM])</f>
        <v>9</v>
      </c>
      <c r="D267" s="309" t="str">
        <f>_xlfn.XLOOKUP(FMS_Ranking4[[#This Row],[FMS ID]],FMS_Input[FMS_ID],FMS_Input[FMS_NAME])</f>
        <v>Schleicher County NFIP Application</v>
      </c>
      <c r="E267" s="308" t="str">
        <f>_xlfn.XLOOKUP(FMS_Ranking4[[#This Row],[FMS ID]],FMS_Input[FMS_ID],FMS_Input[SPONSOR])</f>
        <v>00000051</v>
      </c>
      <c r="F267" s="309" t="str">
        <f>_xlfn.XLOOKUP(FMS_Ranking4[[#This Row],[FMS ID]],Sponsor[FMS_ID],Sponsor[SPONSOR NAME])</f>
        <v>Schleicher</v>
      </c>
      <c r="G267" s="309" t="str">
        <f>_xlfn.XLOOKUP(FMS_Ranking4[[#This Row],[FMS ID]],FMS_Input[FMS_ID],FMS_Input[FMS_DESCR])</f>
        <v xml:space="preserve">Join the National Flood Insurance Program (NFIP). </v>
      </c>
      <c r="H267" s="248" t="str">
        <f>_xlfn.XLOOKUP(FMS_Ranking4[[#This Row],[FMS ID]],FMS_Input[FMS_ID],FMS_Input[FMS_TYPE])</f>
        <v>Other</v>
      </c>
      <c r="I267" s="249">
        <f>_xlfn.XLOOKUP(FMS_Ranking4[[#This Row],[FMS ID]],FMS_Input[FMS_ID],FMS_Input[NRNC_COST])</f>
        <v>5000</v>
      </c>
      <c r="J267" s="250">
        <f>_xlfn.XLOOKUP(FMS_Ranking4[[#This Row],[FMS ID]],FMS_Input[FMS_ID],FMS_Input[FMS_COST])</f>
        <v>30000</v>
      </c>
      <c r="K267" s="251" t="str">
        <f>_xlfn.XLOOKUP(FMS_Ranking4[[#This Row],[FMS ID]],FMS_Input[FMS_ID],FMS_Input[EMER_NEED])</f>
        <v>No</v>
      </c>
      <c r="L267" s="252">
        <f t="shared" si="4"/>
        <v>0</v>
      </c>
      <c r="M267" s="253">
        <f>_xlfn.XLOOKUP(FMS_Ranking4[[#This Row],[FMS ID]],FMS_Input[FMS_ID],FMS_Input[STRUCT_100])</f>
        <v>99</v>
      </c>
      <c r="N267" s="255">
        <f>(ASINH(FMS_Ranking4[[#This Row],[Structure at Risk Raw]]))*(10)/(ASINH(M$4))</f>
        <v>4.1573853269885328</v>
      </c>
      <c r="O267" s="256">
        <f>FMS_Ranking4[[#This Row],[Structures at risk, ArcSinh (0-10)]]*M$5*10</f>
        <v>4.1573853269885328</v>
      </c>
      <c r="P267" s="253">
        <f>_xlfn.XLOOKUP(FMS_Ranking4[[#This Row],[FMS ID]],FMS_Input[FMS_ID],FMS_Input[RES_STRUCT100])</f>
        <v>40</v>
      </c>
      <c r="Q267" s="257">
        <f>ASINH(FMS_Ranking4[[#This Row],[Res Structure Raw]])/Q$4*P$5*100</f>
        <v>0</v>
      </c>
      <c r="R267" s="253">
        <f>_xlfn.XLOOKUP(FMS_Ranking4[[#This Row],[FMS ID]],FMS_Input[FMS_ID],FMS_Input[POP100])</f>
        <v>191</v>
      </c>
      <c r="S267" s="259">
        <f>(ASINH(FMS_Ranking4[[#This Row],[Pop at Risk Raw]]))*(10)/(ASINH(R$4))</f>
        <v>4.1044747071042469</v>
      </c>
      <c r="T267" s="256">
        <f>FMS_Ranking4[[#This Row],[Population at risk, ArcSinh (0-10)]]*R$5*10</f>
        <v>4.1044747071042469</v>
      </c>
      <c r="U267" s="253">
        <f>_xlfn.XLOOKUP(FMS_Ranking4[[#This Row],[FMS ID]],FMS_Input[FMS_ID],FMS_Input[CRITFAC100])</f>
        <v>0</v>
      </c>
      <c r="V267" s="259">
        <f>(ASINH(FMS_Ranking4[[#This Row],[Critical Facilities Raw]]))*(10)/(ASINH(U$4))</f>
        <v>0</v>
      </c>
      <c r="W267" s="256">
        <f>FMS_Ranking4[[#This Row],[Critical facilities at risk, ArcSinh (0-10)]]*U$5*10</f>
        <v>0</v>
      </c>
      <c r="X267" s="253">
        <f>_xlfn.XLOOKUP(FMS_Ranking4[[#This Row],[FMS ID]],FMS_Input[FMS_ID],FMS_Input[LWC])</f>
        <v>2</v>
      </c>
      <c r="Y267" s="259">
        <f>(ASINH(FMS_Ranking4[[#This Row],[LWC Raw]]))*(10)/(ASINH(X$4))</f>
        <v>1.9557475158633808</v>
      </c>
      <c r="Z267" s="256">
        <f>FMS_Ranking4[[#This Row],[LWC, ArcSInh (0-10)]]*X$5*10</f>
        <v>1.9557475158633808</v>
      </c>
      <c r="AA267" s="253">
        <f>_xlfn.XLOOKUP(FMS_Ranking4[[#This Row],[FMS ID]],FMS_Input[FMS_ID],FMS_Input[ROADCLS])</f>
        <v>0</v>
      </c>
      <c r="AB267" s="255">
        <f>(ASINH(FMS_Ranking4[[#This Row],[Road Closures Raw]]))*(10)/(ASINH(AA$4))</f>
        <v>0</v>
      </c>
      <c r="AC267" s="256">
        <f>FMS_Ranking4[[#This Row],[Road closures, ArcSinh (0-10)]]*AA$5*10</f>
        <v>0</v>
      </c>
      <c r="AD267" s="253">
        <f>_xlfn.XLOOKUP(FMS_Ranking4[[#This Row],[FMS ID]],FMS_Input[FMS_ID],FMS_Input[ROAD_MILES100])</f>
        <v>17</v>
      </c>
      <c r="AE267" s="259">
        <f>(ASINH(FMS_Ranking4[[#This Row],[Road Miles Raw]]))*(10)/(ASINH(AD$4))</f>
        <v>3.7590508453510045</v>
      </c>
      <c r="AF267" s="256">
        <f>FMS_Ranking4[[#This Row],[Length of roads at risk, ArcSinh (0-10)]]*AD$5*10</f>
        <v>3.7590508453510045</v>
      </c>
      <c r="AG267" s="253">
        <f>_xlfn.XLOOKUP(FMS_Ranking4[[#This Row],[FMS ID]],FMS_Input[FMS_ID],FMS_Input[FARMACRE100])</f>
        <v>1263.988647460938</v>
      </c>
      <c r="AH267" s="255">
        <f>(ASINH(FMS_Ranking4[[#This Row],[Ag Land Raw]]))*(10)/(ASINH(AG$4))</f>
        <v>5.0895844435453217</v>
      </c>
      <c r="AI267" s="260">
        <f>FMS_Ranking4[[#This Row],[Farm &amp; ranch land, ArcSinh (0-10)]]*AG$5*10</f>
        <v>2.5447922217726608</v>
      </c>
      <c r="AJ267" s="258">
        <f>_xlfn.XLOOKUP(FMS_Ranking4[[#This Row],[FMS ID]],FMS_Input[FMS_ID],FMS_Input[REDSTRUCT100])</f>
        <v>25</v>
      </c>
      <c r="AK267" s="253">
        <f>_xlfn.XLOOKUP(FMS_Ranking4[[#This Row],[FMS ID]],FMS_Input[FMS_ID],FMS_Input[REMSTRC100])</f>
        <v>25</v>
      </c>
      <c r="AL267" s="259">
        <f>(ASINH(FMS_Ranking4[[#This Row],[Structures Removed Raw]]))*(10)/(ASINH(AK$4))</f>
        <v>4.4545725898839885</v>
      </c>
      <c r="AM267" s="262">
        <f>FMS_Ranking4[[#This Row],[Structures removed, ArcSinh (0-10)]]*AK$5*10</f>
        <v>4.4545725898839885</v>
      </c>
      <c r="AN267" s="253">
        <f>_xlfn.XLOOKUP(FMS_Ranking4[[#This Row],[FMS ID]],FMS_Input[FMS_ID],FMS_Input[REMRESSTRC100])</f>
        <v>10</v>
      </c>
      <c r="AO267" s="261">
        <f>FMS_Ranking4[[#This Row],[ArcSinh Res struct removed 0-10]]*AN$5*10</f>
        <v>1.7585371136031225</v>
      </c>
      <c r="AP267" s="260">
        <f>ASINH(FMS_Ranking4[[#This Row],[Residential Structures Removed Raw]])/AP$4*AN$5*100</f>
        <v>1.7585371136031223</v>
      </c>
      <c r="AQ267" s="254">
        <f>(ASINH(FMS_Ranking4[[#This Row],[Residential Structures Removed Raw]]))*(10)/(ASINH(AN$4))</f>
        <v>3.5170742272062445</v>
      </c>
      <c r="AR267" s="253">
        <f>_xlfn.XLOOKUP(FMS_Ranking4[[#This Row],[FMS ID]],FMS_Input[FMS_ID],FMS_Input[REMPOP100])</f>
        <v>62</v>
      </c>
      <c r="AS267" s="259">
        <f>(ASINH(FMS_Ranking4[[#This Row],[Removed Pop Raw]]))*(10)/(ASINH(AR$4))</f>
        <v>4.7317507597016544</v>
      </c>
      <c r="AT267" s="262">
        <f>FMS_Ranking4[[#This Row],[Removed population, ArcSinh (0-10)]]*AR$5*10</f>
        <v>4.7317507597016544</v>
      </c>
      <c r="AU267" s="264">
        <f>_xlfn.XLOOKUP(FMS_Ranking4[[#This Row],[FMS ID]],FMS_Input[FMS_ID],FMS_Input[REMCRITFAC100])</f>
        <v>0</v>
      </c>
      <c r="AV267" s="264">
        <f>_xlfn.XLOOKUP(FMS_Ranking4[[#This Row],[FMS ID]],FMS_Input[FMS_ID],FMS_Input[REMLWC100])</f>
        <v>0</v>
      </c>
      <c r="AW267" s="264">
        <f>_xlfn.XLOOKUP(FMS_Ranking4[[#This Row],[FMS ID]],FMS_Input[FMS_ID],FMS_Input[REMROADCLS])</f>
        <v>0</v>
      </c>
      <c r="AX267" s="264">
        <f>_xlfn.XLOOKUP(FMS_Ranking4[[#This Row],[FMS ID]],FMS_Input[FMS_ID],FMS_Input[REMFRMACRE100])</f>
        <v>315.99716186523438</v>
      </c>
      <c r="AY267" s="258">
        <f>_xlfn.XLOOKUP(FMS_Ranking4[[#This Row],[FMS ID]],FMS_Input[FMS_ID],FMS_Input[COSTSTRUCT])</f>
        <v>25000</v>
      </c>
      <c r="AZ267" s="253">
        <f>_xlfn.XLOOKUP(FMS_Ranking4[[#This Row],[FMS ID]],FMS_Input[FMS_ID],FMS_Input[NATURE])</f>
        <v>0</v>
      </c>
      <c r="BA267" s="262">
        <f>(((FMS_Ranking4[[#This Row],[% NBS Raw]]/AZ$4)*100)*AZ$5)</f>
        <v>0</v>
      </c>
      <c r="BB267" s="251" t="str">
        <f>_xlfn.XLOOKUP(FMS_Ranking4[[#This Row],[FMS ID]],FMS_Input[FMS_ID],FMS_Input[WATER_SUP])</f>
        <v>No</v>
      </c>
      <c r="BC267" s="265">
        <f>IF(FMS_Ranking4[[#This Row],[Water Supply Raw]]="Yes",10,0)</f>
        <v>0</v>
      </c>
      <c r="BD267" s="266">
        <f>_xlfn.XLOOKUP(FMS_Ranking4[[#This Row],[FMS Type]],FMS_TYPE[FMS_Type],FMS_TYPE[Score])</f>
        <v>2</v>
      </c>
      <c r="BE267" s="267">
        <f>FMS_Ranking4[[#This Row],[FMS_Type Score]]*$BD$5*10</f>
        <v>0.5</v>
      </c>
      <c r="BF26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6.3988402321720164E-2</v>
      </c>
      <c r="BG267" s="271">
        <f>_xlfn.RANK.EQ(BF267,$BF$8:$BF$870,0)+COUNTIF($BF$8:BF267,BF267)-1</f>
        <v>531</v>
      </c>
      <c r="BH267" s="268">
        <f>(((FMS_Ranking4[[#This Row],[Structures Removed Raw]]/AK$4)*100)*AK$5)+(((FMS_Ranking4[[#This Row],[Removed Pop Raw]]/AR$4)*100)*AR$5)</f>
        <v>0.12334683180702288</v>
      </c>
      <c r="BI26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0.68733523412874309</v>
      </c>
      <c r="BJ267" s="205">
        <f>_xlfn.RANK.EQ(FMS_Ranking4[[#This Row],[Total Score 
(with linear
normalization)]],FMS_Ranking4[Total Score 
(with linear
normalization)],0)</f>
        <v>801</v>
      </c>
      <c r="BK267" s="205" t="e">
        <f>_xlfn.XLOOKUP(FMS_Ranking4[[#This Row],[FMS ID]],#REF!,#REF!)</f>
        <v>#REF!</v>
      </c>
      <c r="BL26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27.466311080268589</v>
      </c>
      <c r="BM267" s="272">
        <f>FMS_Ranking4[[#This Row],[ArcSinh Score Based on Normalized Reported Factors]]+FMS_Ranking4[[#This Row],[% NBS Score (Normalized)]]+(FMS_Ranking4[[#This Row],[Water Supply Score (Normalized)]]*10*$BB$5)+FMS_Ranking4[[#This Row],[FMS_Type Score Weighted]]</f>
        <v>27.966311080268589</v>
      </c>
      <c r="BN267" s="205">
        <f>_xlfn.RANK.EQ(FMS_Ranking4[[#This Row],[Total Score (with ArcSinh normalization of select criteria)]],FMS_Ranking4[Total Score (with ArcSinh normalization of select criteria)],0)</f>
        <v>258</v>
      </c>
      <c r="BO267" s="270" t="str">
        <f>_xlfn.XLOOKUP(FMS_Ranking4[[#This Row],[FMS ID]],FMS_Input[FMS_ID],FMS_Input[FMS_RANK_YEAR])</f>
        <v>2023 Amended Plan</v>
      </c>
      <c r="BP267" s="204">
        <f>_xlfn.XLOOKUP(FMS_Ranking4[[#This Row],[FMS ID]],Prev_Rank[FMS ID],Prev_Rank[Prev Rank])</f>
        <v>254</v>
      </c>
      <c r="BQ267" s="205" t="e">
        <f>_xlfn.XLOOKUP(FMS_Ranking4[[#This Row],[FMS ID]],#REF!,#REF!)</f>
        <v>#REF!</v>
      </c>
      <c r="BR267" s="199" t="e">
        <f>SUM(#REF!,#REF!,#REF!,#REF!,#REF!,#REF!,#REF!,#REF!,#REF!,FMS_Ranking4[[#This Row],[ArcSinh Res struct removed 0-10]],#REF!)</f>
        <v>#REF!</v>
      </c>
      <c r="BS267" s="199" t="e">
        <f>FMS_Ranking4[[#This Row],[Log Score Based on Normalized Reported Factors]]+FMS_Ranking4[[#This Row],[% NBS Score (Normalized)]]+(FMS_Ranking4[[#This Row],[Water Supply Score (Normalized)]]*10*$BB$5)+(FMS_Ranking4[[#This Row],[FMS_Type Score Weighted]])</f>
        <v>#REF!</v>
      </c>
      <c r="BT267" s="200" t="e">
        <f>_xlfn.RANK.EQ(FMS_Ranking4[[#This Row],[Log Total Score]],FMS_Ranking4[Log Total Score],0)</f>
        <v>#REF!</v>
      </c>
      <c r="BU267" s="200" t="e">
        <f>_xlfn.XLOOKUP(FMS_Ranking4[[#This Row],[FMS ID]],#REF!,#REF!)</f>
        <v>#REF!</v>
      </c>
      <c r="BV267" s="200">
        <f>FMS_Ranking4[[#This Row],[Region Number]]</f>
        <v>9</v>
      </c>
      <c r="BW267" s="200">
        <f>FMS_Ranking4[[#This Row],[Rank (with ArcSinh normalization of select criteria)]]-FMS_Ranking4[[#This Row],[Rank
(with linear
normalization)]]</f>
        <v>-543</v>
      </c>
      <c r="BX267" s="200" t="e">
        <f>FMS_Ranking4[[#This Row],[Log Rank]]-FMS_Ranking4[[#This Row],[Rank
(with linear
normalization)]]</f>
        <v>#REF!</v>
      </c>
      <c r="BY267" s="200" t="str">
        <f>IF(FMS_Ranking4[[#This Row],[FMS Type]]="Flood Measurement and Warning",FMS_Ranking4[[#This Row],[Rank (with ArcSinh normalization of select criteria)]],"")</f>
        <v/>
      </c>
      <c r="BZ267" s="200" t="str">
        <f>IF(FMS_Ranking4[[#This Row],[FMS Type]]="Regulatory and Guidance",FMS_Ranking4[[#This Row],[Rank (with ArcSinh normalization of select criteria)]],"")</f>
        <v/>
      </c>
      <c r="CA267" s="200" t="str">
        <f>IF(FMS_Ranking4[[#This Row],[FMS Type]]="Education and Outreach",FMS_Ranking4[[#This Row],[Rank (with ArcSinh normalization of select criteria)]],"")</f>
        <v/>
      </c>
      <c r="CB267" s="200" t="str">
        <f>IF(FMS_Ranking4[[#This Row],[FMS Type]]="Property Acquisition and Structural Elevation",FMS_Ranking4[[#This Row],[Rank (with ArcSinh normalization of select criteria)]],"")</f>
        <v/>
      </c>
      <c r="CC267" s="200" t="str">
        <f>IF(FMS_Ranking4[[#This Row],[FMS Type]]="Infrastructure Projects",FMS_Ranking4[[#This Row],[Rank (with ArcSinh normalization of select criteria)]],"")</f>
        <v/>
      </c>
      <c r="CD267" s="200">
        <f>IF(FMS_Ranking4[[#This Row],[FMS Type]]="Other",FMS_Ranking4[[#This Row],[Rank (with ArcSinh normalization of select criteria)]],"")</f>
        <v>258</v>
      </c>
      <c r="CE267" s="201"/>
      <c r="CF267" s="206"/>
      <c r="CG267" s="206"/>
      <c r="CH267" s="206"/>
      <c r="CI267" s="206"/>
      <c r="CJ267" s="206"/>
      <c r="CK267" s="206"/>
      <c r="CL267" s="206"/>
      <c r="CM267" s="206"/>
      <c r="CN267" s="206"/>
      <c r="CO267" s="206"/>
      <c r="CP267" s="206"/>
      <c r="CQ267" s="206"/>
      <c r="CR267" s="206"/>
    </row>
    <row r="268" spans="2:96" ht="60" x14ac:dyDescent="0.25">
      <c r="B268" s="341" t="s">
        <v>1005</v>
      </c>
      <c r="C268" s="246">
        <f>_xlfn.XLOOKUP(FMS_Ranking4[[#This Row],[FMS ID]],FMS_Input[FMS_ID],FMS_Input[RFPG_NUM])</f>
        <v>9</v>
      </c>
      <c r="D268" s="309" t="str">
        <f>_xlfn.XLOOKUP(FMS_Ranking4[[#This Row],[FMS ID]],FMS_Input[FMS_ID],FMS_Input[FMS_NAME])</f>
        <v>Schleicher County CTP Program</v>
      </c>
      <c r="E268" s="308" t="str">
        <f>_xlfn.XLOOKUP(FMS_Ranking4[[#This Row],[FMS ID]],FMS_Input[FMS_ID],FMS_Input[SPONSOR])</f>
        <v>00000051</v>
      </c>
      <c r="F268" s="309" t="str">
        <f>_xlfn.XLOOKUP(FMS_Ranking4[[#This Row],[FMS ID]],Sponsor[FMS_ID],Sponsor[SPONSOR NAME])</f>
        <v>Schleicher</v>
      </c>
      <c r="G268" s="309" t="str">
        <f>_xlfn.XLOOKUP(FMS_Ranking4[[#This Row],[FMS ID]],FMS_Input[FMS_ID],FMS_Input[FMS_DESCR])</f>
        <v>Develop a Cooperating Technical Partners program with FEMA to facilitate FEMA Mapping updates.</v>
      </c>
      <c r="H268" s="248" t="str">
        <f>_xlfn.XLOOKUP(FMS_Ranking4[[#This Row],[FMS ID]],FMS_Input[FMS_ID],FMS_Input[FMS_TYPE])</f>
        <v>Other</v>
      </c>
      <c r="I268" s="249">
        <f>_xlfn.XLOOKUP(FMS_Ranking4[[#This Row],[FMS ID]],FMS_Input[FMS_ID],FMS_Input[NRNC_COST])</f>
        <v>5000</v>
      </c>
      <c r="J268" s="250">
        <f>_xlfn.XLOOKUP(FMS_Ranking4[[#This Row],[FMS ID]],FMS_Input[FMS_ID],FMS_Input[FMS_COST])</f>
        <v>30000</v>
      </c>
      <c r="K268" s="251" t="str">
        <f>_xlfn.XLOOKUP(FMS_Ranking4[[#This Row],[FMS ID]],FMS_Input[FMS_ID],FMS_Input[EMER_NEED])</f>
        <v>No</v>
      </c>
      <c r="L268" s="252">
        <f t="shared" si="4"/>
        <v>0</v>
      </c>
      <c r="M268" s="253">
        <f>_xlfn.XLOOKUP(FMS_Ranking4[[#This Row],[FMS ID]],FMS_Input[FMS_ID],FMS_Input[STRUCT_100])</f>
        <v>99</v>
      </c>
      <c r="N268" s="255">
        <f>(ASINH(FMS_Ranking4[[#This Row],[Structure at Risk Raw]]))*(10)/(ASINH(M$4))</f>
        <v>4.1573853269885328</v>
      </c>
      <c r="O268" s="256">
        <f>FMS_Ranking4[[#This Row],[Structures at risk, ArcSinh (0-10)]]*M$5*10</f>
        <v>4.1573853269885328</v>
      </c>
      <c r="P268" s="253">
        <f>_xlfn.XLOOKUP(FMS_Ranking4[[#This Row],[FMS ID]],FMS_Input[FMS_ID],FMS_Input[RES_STRUCT100])</f>
        <v>40</v>
      </c>
      <c r="Q268" s="257">
        <f>ASINH(FMS_Ranking4[[#This Row],[Res Structure Raw]])/Q$4*P$5*100</f>
        <v>0</v>
      </c>
      <c r="R268" s="253">
        <f>_xlfn.XLOOKUP(FMS_Ranking4[[#This Row],[FMS ID]],FMS_Input[FMS_ID],FMS_Input[POP100])</f>
        <v>191</v>
      </c>
      <c r="S268" s="259">
        <f>(ASINH(FMS_Ranking4[[#This Row],[Pop at Risk Raw]]))*(10)/(ASINH(R$4))</f>
        <v>4.1044747071042469</v>
      </c>
      <c r="T268" s="256">
        <f>FMS_Ranking4[[#This Row],[Population at risk, ArcSinh (0-10)]]*R$5*10</f>
        <v>4.1044747071042469</v>
      </c>
      <c r="U268" s="253">
        <f>_xlfn.XLOOKUP(FMS_Ranking4[[#This Row],[FMS ID]],FMS_Input[FMS_ID],FMS_Input[CRITFAC100])</f>
        <v>0</v>
      </c>
      <c r="V268" s="259">
        <f>(ASINH(FMS_Ranking4[[#This Row],[Critical Facilities Raw]]))*(10)/(ASINH(U$4))</f>
        <v>0</v>
      </c>
      <c r="W268" s="256">
        <f>FMS_Ranking4[[#This Row],[Critical facilities at risk, ArcSinh (0-10)]]*U$5*10</f>
        <v>0</v>
      </c>
      <c r="X268" s="253">
        <f>_xlfn.XLOOKUP(FMS_Ranking4[[#This Row],[FMS ID]],FMS_Input[FMS_ID],FMS_Input[LWC])</f>
        <v>2</v>
      </c>
      <c r="Y268" s="259">
        <f>(ASINH(FMS_Ranking4[[#This Row],[LWC Raw]]))*(10)/(ASINH(X$4))</f>
        <v>1.9557475158633808</v>
      </c>
      <c r="Z268" s="256">
        <f>FMS_Ranking4[[#This Row],[LWC, ArcSInh (0-10)]]*X$5*10</f>
        <v>1.9557475158633808</v>
      </c>
      <c r="AA268" s="253">
        <f>_xlfn.XLOOKUP(FMS_Ranking4[[#This Row],[FMS ID]],FMS_Input[FMS_ID],FMS_Input[ROADCLS])</f>
        <v>0</v>
      </c>
      <c r="AB268" s="255">
        <f>(ASINH(FMS_Ranking4[[#This Row],[Road Closures Raw]]))*(10)/(ASINH(AA$4))</f>
        <v>0</v>
      </c>
      <c r="AC268" s="256">
        <f>FMS_Ranking4[[#This Row],[Road closures, ArcSinh (0-10)]]*AA$5*10</f>
        <v>0</v>
      </c>
      <c r="AD268" s="253">
        <f>_xlfn.XLOOKUP(FMS_Ranking4[[#This Row],[FMS ID]],FMS_Input[FMS_ID],FMS_Input[ROAD_MILES100])</f>
        <v>17</v>
      </c>
      <c r="AE268" s="259">
        <f>(ASINH(FMS_Ranking4[[#This Row],[Road Miles Raw]]))*(10)/(ASINH(AD$4))</f>
        <v>3.7590508453510045</v>
      </c>
      <c r="AF268" s="256">
        <f>FMS_Ranking4[[#This Row],[Length of roads at risk, ArcSinh (0-10)]]*AD$5*10</f>
        <v>3.7590508453510045</v>
      </c>
      <c r="AG268" s="253">
        <f>_xlfn.XLOOKUP(FMS_Ranking4[[#This Row],[FMS ID]],FMS_Input[FMS_ID],FMS_Input[FARMACRE100])</f>
        <v>1263.988647460938</v>
      </c>
      <c r="AH268" s="255">
        <f>(ASINH(FMS_Ranking4[[#This Row],[Ag Land Raw]]))*(10)/(ASINH(AG$4))</f>
        <v>5.0895844435453217</v>
      </c>
      <c r="AI268" s="260">
        <f>FMS_Ranking4[[#This Row],[Farm &amp; ranch land, ArcSinh (0-10)]]*AG$5*10</f>
        <v>2.5447922217726608</v>
      </c>
      <c r="AJ268" s="258">
        <f>_xlfn.XLOOKUP(FMS_Ranking4[[#This Row],[FMS ID]],FMS_Input[FMS_ID],FMS_Input[REDSTRUCT100])</f>
        <v>25</v>
      </c>
      <c r="AK268" s="253">
        <f>_xlfn.XLOOKUP(FMS_Ranking4[[#This Row],[FMS ID]],FMS_Input[FMS_ID],FMS_Input[REMSTRC100])</f>
        <v>25</v>
      </c>
      <c r="AL268" s="259">
        <f>(ASINH(FMS_Ranking4[[#This Row],[Structures Removed Raw]]))*(10)/(ASINH(AK$4))</f>
        <v>4.4545725898839885</v>
      </c>
      <c r="AM268" s="262">
        <f>FMS_Ranking4[[#This Row],[Structures removed, ArcSinh (0-10)]]*AK$5*10</f>
        <v>4.4545725898839885</v>
      </c>
      <c r="AN268" s="253">
        <f>_xlfn.XLOOKUP(FMS_Ranking4[[#This Row],[FMS ID]],FMS_Input[FMS_ID],FMS_Input[REMRESSTRC100])</f>
        <v>10</v>
      </c>
      <c r="AO268" s="261">
        <f>FMS_Ranking4[[#This Row],[ArcSinh Res struct removed 0-10]]*AN$5*10</f>
        <v>1.7585371136031225</v>
      </c>
      <c r="AP268" s="260">
        <f>ASINH(FMS_Ranking4[[#This Row],[Residential Structures Removed Raw]])/AP$4*AN$5*100</f>
        <v>1.7585371136031223</v>
      </c>
      <c r="AQ268" s="254">
        <f>(ASINH(FMS_Ranking4[[#This Row],[Residential Structures Removed Raw]]))*(10)/(ASINH(AN$4))</f>
        <v>3.5170742272062445</v>
      </c>
      <c r="AR268" s="253">
        <f>_xlfn.XLOOKUP(FMS_Ranking4[[#This Row],[FMS ID]],FMS_Input[FMS_ID],FMS_Input[REMPOP100])</f>
        <v>62</v>
      </c>
      <c r="AS268" s="259">
        <f>(ASINH(FMS_Ranking4[[#This Row],[Removed Pop Raw]]))*(10)/(ASINH(AR$4))</f>
        <v>4.7317507597016544</v>
      </c>
      <c r="AT268" s="262">
        <f>FMS_Ranking4[[#This Row],[Removed population, ArcSinh (0-10)]]*AR$5*10</f>
        <v>4.7317507597016544</v>
      </c>
      <c r="AU268" s="264">
        <f>_xlfn.XLOOKUP(FMS_Ranking4[[#This Row],[FMS ID]],FMS_Input[FMS_ID],FMS_Input[REMCRITFAC100])</f>
        <v>0</v>
      </c>
      <c r="AV268" s="264">
        <f>_xlfn.XLOOKUP(FMS_Ranking4[[#This Row],[FMS ID]],FMS_Input[FMS_ID],FMS_Input[REMLWC100])</f>
        <v>0</v>
      </c>
      <c r="AW268" s="264">
        <f>_xlfn.XLOOKUP(FMS_Ranking4[[#This Row],[FMS ID]],FMS_Input[FMS_ID],FMS_Input[REMROADCLS])</f>
        <v>0</v>
      </c>
      <c r="AX268" s="264">
        <f>_xlfn.XLOOKUP(FMS_Ranking4[[#This Row],[FMS ID]],FMS_Input[FMS_ID],FMS_Input[REMFRMACRE100])</f>
        <v>315.99716186523438</v>
      </c>
      <c r="AY268" s="258">
        <f>_xlfn.XLOOKUP(FMS_Ranking4[[#This Row],[FMS ID]],FMS_Input[FMS_ID],FMS_Input[COSTSTRUCT])</f>
        <v>25000</v>
      </c>
      <c r="AZ268" s="253">
        <f>_xlfn.XLOOKUP(FMS_Ranking4[[#This Row],[FMS ID]],FMS_Input[FMS_ID],FMS_Input[NATURE])</f>
        <v>0</v>
      </c>
      <c r="BA268" s="262">
        <f>(((FMS_Ranking4[[#This Row],[% NBS Raw]]/AZ$4)*100)*AZ$5)</f>
        <v>0</v>
      </c>
      <c r="BB268" s="251" t="str">
        <f>_xlfn.XLOOKUP(FMS_Ranking4[[#This Row],[FMS ID]],FMS_Input[FMS_ID],FMS_Input[WATER_SUP])</f>
        <v>No</v>
      </c>
      <c r="BC268" s="265">
        <f>IF(FMS_Ranking4[[#This Row],[Water Supply Raw]]="Yes",10,0)</f>
        <v>0</v>
      </c>
      <c r="BD268" s="266">
        <f>_xlfn.XLOOKUP(FMS_Ranking4[[#This Row],[FMS Type]],FMS_TYPE[FMS_Type],FMS_TYPE[Score])</f>
        <v>2</v>
      </c>
      <c r="BE268" s="267">
        <f>FMS_Ranking4[[#This Row],[FMS_Type Score]]*$BD$5*10</f>
        <v>0.5</v>
      </c>
      <c r="BF26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6.3988402321720164E-2</v>
      </c>
      <c r="BG268" s="269">
        <f>_xlfn.RANK.EQ(BF268,$BF$8:$BF$870,0)+COUNTIF($BF$8:BF268,BF268)-1</f>
        <v>532</v>
      </c>
      <c r="BH268" s="268">
        <f>(((FMS_Ranking4[[#This Row],[Structures Removed Raw]]/AK$4)*100)*AK$5)+(((FMS_Ranking4[[#This Row],[Removed Pop Raw]]/AR$4)*100)*AR$5)</f>
        <v>0.12334683180702288</v>
      </c>
      <c r="BI26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0.68733523412874309</v>
      </c>
      <c r="BJ268" s="204">
        <f>_xlfn.RANK.EQ(FMS_Ranking4[[#This Row],[Total Score 
(with linear
normalization)]],FMS_Ranking4[Total Score 
(with linear
normalization)],0)</f>
        <v>801</v>
      </c>
      <c r="BK268" s="204" t="e">
        <f>_xlfn.XLOOKUP(FMS_Ranking4[[#This Row],[FMS ID]],#REF!,#REF!)</f>
        <v>#REF!</v>
      </c>
      <c r="BL268"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27.466311080268589</v>
      </c>
      <c r="BM268" s="270">
        <f>FMS_Ranking4[[#This Row],[ArcSinh Score Based on Normalized Reported Factors]]+FMS_Ranking4[[#This Row],[% NBS Score (Normalized)]]+(FMS_Ranking4[[#This Row],[Water Supply Score (Normalized)]]*10*$BB$5)+FMS_Ranking4[[#This Row],[FMS_Type Score Weighted]]</f>
        <v>27.966311080268589</v>
      </c>
      <c r="BN268" s="204">
        <f>_xlfn.RANK.EQ(FMS_Ranking4[[#This Row],[Total Score (with ArcSinh normalization of select criteria)]],FMS_Ranking4[Total Score (with ArcSinh normalization of select criteria)],0)</f>
        <v>258</v>
      </c>
      <c r="BO268" s="270" t="str">
        <f>_xlfn.XLOOKUP(FMS_Ranking4[[#This Row],[FMS ID]],FMS_Input[FMS_ID],FMS_Input[FMS_RANK_YEAR])</f>
        <v>2023 Amended Plan</v>
      </c>
      <c r="BP268" s="204">
        <f>_xlfn.XLOOKUP(FMS_Ranking4[[#This Row],[FMS ID]],Prev_Rank[FMS ID],Prev_Rank[Prev Rank])</f>
        <v>254</v>
      </c>
      <c r="BQ268" s="204" t="e">
        <f>_xlfn.XLOOKUP(FMS_Ranking4[[#This Row],[FMS ID]],#REF!,#REF!)</f>
        <v>#REF!</v>
      </c>
      <c r="BR268" s="199" t="e">
        <f>SUM(#REF!,#REF!,#REF!,#REF!,#REF!,#REF!,#REF!,#REF!,#REF!,FMS_Ranking4[[#This Row],[ArcSinh Res struct removed 0-10]],#REF!)</f>
        <v>#REF!</v>
      </c>
      <c r="BS268" s="199" t="e">
        <f>FMS_Ranking4[[#This Row],[Log Score Based on Normalized Reported Factors]]+FMS_Ranking4[[#This Row],[% NBS Score (Normalized)]]+(FMS_Ranking4[[#This Row],[Water Supply Score (Normalized)]]*10*$BB$5)+(FMS_Ranking4[[#This Row],[FMS_Type Score Weighted]])</f>
        <v>#REF!</v>
      </c>
      <c r="BT268" s="200" t="e">
        <f>_xlfn.RANK.EQ(FMS_Ranking4[[#This Row],[Log Total Score]],FMS_Ranking4[Log Total Score],0)</f>
        <v>#REF!</v>
      </c>
      <c r="BU268" s="200" t="e">
        <f>_xlfn.XLOOKUP(FMS_Ranking4[[#This Row],[FMS ID]],#REF!,#REF!)</f>
        <v>#REF!</v>
      </c>
      <c r="BV268" s="200">
        <f>FMS_Ranking4[[#This Row],[Region Number]]</f>
        <v>9</v>
      </c>
      <c r="BW268" s="200">
        <f>FMS_Ranking4[[#This Row],[Rank (with ArcSinh normalization of select criteria)]]-FMS_Ranking4[[#This Row],[Rank
(with linear
normalization)]]</f>
        <v>-543</v>
      </c>
      <c r="BX268" s="200" t="e">
        <f>FMS_Ranking4[[#This Row],[Log Rank]]-FMS_Ranking4[[#This Row],[Rank
(with linear
normalization)]]</f>
        <v>#REF!</v>
      </c>
      <c r="BY268" s="200" t="str">
        <f>IF(FMS_Ranking4[[#This Row],[FMS Type]]="Flood Measurement and Warning",FMS_Ranking4[[#This Row],[Rank (with ArcSinh normalization of select criteria)]],"")</f>
        <v/>
      </c>
      <c r="BZ268" s="200" t="str">
        <f>IF(FMS_Ranking4[[#This Row],[FMS Type]]="Regulatory and Guidance",FMS_Ranking4[[#This Row],[Rank (with ArcSinh normalization of select criteria)]],"")</f>
        <v/>
      </c>
      <c r="CA268" s="200" t="str">
        <f>IF(FMS_Ranking4[[#This Row],[FMS Type]]="Education and Outreach",FMS_Ranking4[[#This Row],[Rank (with ArcSinh normalization of select criteria)]],"")</f>
        <v/>
      </c>
      <c r="CB268" s="200" t="str">
        <f>IF(FMS_Ranking4[[#This Row],[FMS Type]]="Property Acquisition and Structural Elevation",FMS_Ranking4[[#This Row],[Rank (with ArcSinh normalization of select criteria)]],"")</f>
        <v/>
      </c>
      <c r="CC268" s="200" t="str">
        <f>IF(FMS_Ranking4[[#This Row],[FMS Type]]="Infrastructure Projects",FMS_Ranking4[[#This Row],[Rank (with ArcSinh normalization of select criteria)]],"")</f>
        <v/>
      </c>
      <c r="CD268" s="200">
        <f>IF(FMS_Ranking4[[#This Row],[FMS Type]]="Other",FMS_Ranking4[[#This Row],[Rank (with ArcSinh normalization of select criteria)]],"")</f>
        <v>258</v>
      </c>
      <c r="CE268" s="201"/>
      <c r="CF268" s="206"/>
      <c r="CG268" s="206"/>
      <c r="CH268" s="206"/>
      <c r="CI268" s="206"/>
      <c r="CJ268" s="206"/>
      <c r="CK268" s="206"/>
      <c r="CL268" s="206"/>
      <c r="CM268" s="206"/>
      <c r="CN268" s="206"/>
      <c r="CO268" s="206"/>
      <c r="CP268" s="206"/>
      <c r="CQ268" s="206"/>
      <c r="CR268" s="206"/>
    </row>
    <row r="269" spans="2:96" ht="60" x14ac:dyDescent="0.25">
      <c r="B269" s="341" t="s">
        <v>12375</v>
      </c>
      <c r="C269" s="246">
        <f>_xlfn.XLOOKUP(FMS_Ranking4[[#This Row],[FMS ID]],FMS_Input[FMS_ID],FMS_Input[RFPG_NUM])</f>
        <v>5</v>
      </c>
      <c r="D269" s="309" t="str">
        <f>_xlfn.XLOOKUP(FMS_Ranking4[[#This Row],[FMS ID]],FMS_Input[FMS_ID],FMS_Input[FMS_NAME])</f>
        <v>Flood Model and Map Management System</v>
      </c>
      <c r="E269" s="308" t="str">
        <f>_xlfn.XLOOKUP(FMS_Ranking4[[#This Row],[FMS ID]],FMS_Input[FMS_ID],FMS_Input[SPONSOR])</f>
        <v>00000013</v>
      </c>
      <c r="F269" s="309" t="str">
        <f>_xlfn.XLOOKUP(FMS_Ranking4[[#This Row],[FMS ID]],Sponsor[FMS_ID],Sponsor[SPONSOR NAME])</f>
        <v>Chambers</v>
      </c>
      <c r="G269" s="309" t="str">
        <f>_xlfn.XLOOKUP(FMS_Ranking4[[#This Row],[FMS ID]],FMS_Input[FMS_ID],FMS_Input[FMS_DESCR])</f>
        <v>Develop and implement a web-based system to manage flood models and mapping and regulate future development.</v>
      </c>
      <c r="H269" s="248" t="str">
        <f>_xlfn.XLOOKUP(FMS_Ranking4[[#This Row],[FMS ID]],FMS_Input[FMS_ID],FMS_Input[FMS_TYPE])</f>
        <v>Flood Measurement and Warning</v>
      </c>
      <c r="I269" s="249">
        <f>_xlfn.XLOOKUP(FMS_Ranking4[[#This Row],[FMS ID]],FMS_Input[FMS_ID],FMS_Input[NRNC_COST])</f>
        <v>345111</v>
      </c>
      <c r="J269" s="250">
        <f>_xlfn.XLOOKUP(FMS_Ranking4[[#This Row],[FMS ID]],FMS_Input[FMS_ID],FMS_Input[FMS_COST])</f>
        <v>345111</v>
      </c>
      <c r="K269" s="251" t="str">
        <f>_xlfn.XLOOKUP(FMS_Ranking4[[#This Row],[FMS ID]],FMS_Input[FMS_ID],FMS_Input[EMER_NEED])</f>
        <v>No</v>
      </c>
      <c r="L269" s="252">
        <f t="shared" si="4"/>
        <v>0</v>
      </c>
      <c r="M269" s="253">
        <f>_xlfn.XLOOKUP(FMS_Ranking4[[#This Row],[FMS ID]],FMS_Input[FMS_ID],FMS_Input[STRUCT_100])</f>
        <v>2245</v>
      </c>
      <c r="N269" s="255">
        <f>(ASINH(FMS_Ranking4[[#This Row],[Structure at Risk Raw]]))*(10)/(ASINH(M$4))</f>
        <v>6.6112040482495562</v>
      </c>
      <c r="O269" s="256">
        <f>FMS_Ranking4[[#This Row],[Structures at risk, ArcSinh (0-10)]]*M$5*10</f>
        <v>6.6112040482495571</v>
      </c>
      <c r="P269" s="253">
        <f>_xlfn.XLOOKUP(FMS_Ranking4[[#This Row],[FMS ID]],FMS_Input[FMS_ID],FMS_Input[RES_STRUCT100])</f>
        <v>1180</v>
      </c>
      <c r="Q269" s="257">
        <f>ASINH(FMS_Ranking4[[#This Row],[Res Structure Raw]])/Q$4*P$5*100</f>
        <v>0</v>
      </c>
      <c r="R269" s="253">
        <f>_xlfn.XLOOKUP(FMS_Ranking4[[#This Row],[FMS ID]],FMS_Input[FMS_ID],FMS_Input[POP100])</f>
        <v>4352</v>
      </c>
      <c r="S269" s="255">
        <f>(ASINH(FMS_Ranking4[[#This Row],[Pop at Risk Raw]]))*(10)/(ASINH(R$4))</f>
        <v>6.262610795352904</v>
      </c>
      <c r="T269" s="256">
        <f>FMS_Ranking4[[#This Row],[Population at risk, ArcSinh (0-10)]]*R$5*10</f>
        <v>6.262610795352904</v>
      </c>
      <c r="U269" s="253">
        <f>_xlfn.XLOOKUP(FMS_Ranking4[[#This Row],[FMS ID]],FMS_Input[FMS_ID],FMS_Input[CRITFAC100])</f>
        <v>7</v>
      </c>
      <c r="V269" s="255">
        <f>(ASINH(FMS_Ranking4[[#This Row],[Critical Facilities Raw]]))*(10)/(ASINH(U$4))</f>
        <v>3.1300153354232236</v>
      </c>
      <c r="W269" s="256">
        <f>FMS_Ranking4[[#This Row],[Critical facilities at risk, ArcSinh (0-10)]]*U$5*10</f>
        <v>3.1300153354232241</v>
      </c>
      <c r="X269" s="253">
        <f>_xlfn.XLOOKUP(FMS_Ranking4[[#This Row],[FMS ID]],FMS_Input[FMS_ID],FMS_Input[LWC])</f>
        <v>0</v>
      </c>
      <c r="Y269" s="255">
        <f>(ASINH(FMS_Ranking4[[#This Row],[LWC Raw]]))*(10)/(ASINH(X$4))</f>
        <v>0</v>
      </c>
      <c r="Z269" s="256">
        <f>FMS_Ranking4[[#This Row],[LWC, ArcSInh (0-10)]]*X$5*10</f>
        <v>0</v>
      </c>
      <c r="AA269" s="253">
        <f>_xlfn.XLOOKUP(FMS_Ranking4[[#This Row],[FMS ID]],FMS_Input[FMS_ID],FMS_Input[ROADCLS])</f>
        <v>0</v>
      </c>
      <c r="AB269" s="255">
        <f>(ASINH(FMS_Ranking4[[#This Row],[Road Closures Raw]]))*(10)/(ASINH(AA$4))</f>
        <v>0</v>
      </c>
      <c r="AC269" s="256">
        <f>FMS_Ranking4[[#This Row],[Road closures, ArcSinh (0-10)]]*AA$5*10</f>
        <v>0</v>
      </c>
      <c r="AD269" s="253">
        <f>_xlfn.XLOOKUP(FMS_Ranking4[[#This Row],[FMS ID]],FMS_Input[FMS_ID],FMS_Input[ROAD_MILES100])</f>
        <v>100</v>
      </c>
      <c r="AE269" s="255">
        <f>(ASINH(FMS_Ranking4[[#This Row],[Road Miles Raw]]))*(10)/(ASINH(AD$4))</f>
        <v>5.6465752593087606</v>
      </c>
      <c r="AF269" s="256">
        <f>FMS_Ranking4[[#This Row],[Length of roads at risk, ArcSinh (0-10)]]*AD$5*10</f>
        <v>5.6465752593087606</v>
      </c>
      <c r="AG269" s="253">
        <f>_xlfn.XLOOKUP(FMS_Ranking4[[#This Row],[FMS ID]],FMS_Input[FMS_ID],FMS_Input[FARMACRE100])</f>
        <v>58715</v>
      </c>
      <c r="AH269" s="255">
        <f>(ASINH(FMS_Ranking4[[#This Row],[Ag Land Raw]]))*(10)/(ASINH(AG$4))</f>
        <v>7.5829527399479657</v>
      </c>
      <c r="AI269" s="260">
        <f>FMS_Ranking4[[#This Row],[Farm &amp; ranch land, ArcSinh (0-10)]]*AG$5*10</f>
        <v>3.7914763699739829</v>
      </c>
      <c r="AJ269" s="258">
        <f>_xlfn.XLOOKUP(FMS_Ranking4[[#This Row],[FMS ID]],FMS_Input[FMS_ID],FMS_Input[REDSTRUCT100])</f>
        <v>0</v>
      </c>
      <c r="AK269" s="253">
        <f>_xlfn.XLOOKUP(FMS_Ranking4[[#This Row],[FMS ID]],FMS_Input[FMS_ID],FMS_Input[REMSTRC100])</f>
        <v>0</v>
      </c>
      <c r="AL269" s="255">
        <f>(ASINH(FMS_Ranking4[[#This Row],[Structures Removed Raw]]))*(10)/(ASINH(AK$4))</f>
        <v>0</v>
      </c>
      <c r="AM269" s="262">
        <f>FMS_Ranking4[[#This Row],[Structures removed, ArcSinh (0-10)]]*AK$5*10</f>
        <v>0</v>
      </c>
      <c r="AN269" s="253">
        <f>_xlfn.XLOOKUP(FMS_Ranking4[[#This Row],[FMS ID]],FMS_Input[FMS_ID],FMS_Input[REMRESSTRC100])</f>
        <v>0</v>
      </c>
      <c r="AO269" s="261">
        <f>FMS_Ranking4[[#This Row],[ArcSinh Res struct removed 0-10]]*AN$5*10</f>
        <v>0</v>
      </c>
      <c r="AP269" s="260">
        <f>ASINH(FMS_Ranking4[[#This Row],[Residential Structures Removed Raw]])/AP$4*AN$5*100</f>
        <v>0</v>
      </c>
      <c r="AQ269" s="258">
        <f>(ASINH(FMS_Ranking4[[#This Row],[Residential Structures Removed Raw]]))*(10)/(ASINH(AN$4))</f>
        <v>0</v>
      </c>
      <c r="AR269" s="253">
        <f>_xlfn.XLOOKUP(FMS_Ranking4[[#This Row],[FMS ID]],FMS_Input[FMS_ID],FMS_Input[REMPOP100])</f>
        <v>0</v>
      </c>
      <c r="AS269" s="255">
        <f>(ASINH(FMS_Ranking4[[#This Row],[Removed Pop Raw]]))*(10)/(ASINH(AR$4))</f>
        <v>0</v>
      </c>
      <c r="AT269" s="262">
        <f>FMS_Ranking4[[#This Row],[Removed population, ArcSinh (0-10)]]*AR$5*10</f>
        <v>0</v>
      </c>
      <c r="AU269" s="264">
        <f>_xlfn.XLOOKUP(FMS_Ranking4[[#This Row],[FMS ID]],FMS_Input[FMS_ID],FMS_Input[REMCRITFAC100])</f>
        <v>0</v>
      </c>
      <c r="AV269" s="264">
        <f>_xlfn.XLOOKUP(FMS_Ranking4[[#This Row],[FMS ID]],FMS_Input[FMS_ID],FMS_Input[REMLWC100])</f>
        <v>0</v>
      </c>
      <c r="AW269" s="264">
        <f>_xlfn.XLOOKUP(FMS_Ranking4[[#This Row],[FMS ID]],FMS_Input[FMS_ID],FMS_Input[REMROADCLS])</f>
        <v>0</v>
      </c>
      <c r="AX269" s="264">
        <f>_xlfn.XLOOKUP(FMS_Ranking4[[#This Row],[FMS ID]],FMS_Input[FMS_ID],FMS_Input[REMFRMACRE100])</f>
        <v>0</v>
      </c>
      <c r="AY269" s="258">
        <f>_xlfn.XLOOKUP(FMS_Ranking4[[#This Row],[FMS ID]],FMS_Input[FMS_ID],FMS_Input[COSTSTRUCT])</f>
        <v>0</v>
      </c>
      <c r="AZ269" s="253">
        <f>_xlfn.XLOOKUP(FMS_Ranking4[[#This Row],[FMS ID]],FMS_Input[FMS_ID],FMS_Input[NATURE])</f>
        <v>0</v>
      </c>
      <c r="BA269" s="262">
        <f>(((FMS_Ranking4[[#This Row],[% NBS Raw]]/AZ$4)*100)*AZ$5)</f>
        <v>0</v>
      </c>
      <c r="BB269" s="251" t="str">
        <f>_xlfn.XLOOKUP(FMS_Ranking4[[#This Row],[FMS ID]],FMS_Input[FMS_ID],FMS_Input[WATER_SUP])</f>
        <v>No</v>
      </c>
      <c r="BC269" s="265">
        <f>IF(FMS_Ranking4[[#This Row],[Water Supply Raw]]="Yes",10,0)</f>
        <v>0</v>
      </c>
      <c r="BD269" s="266">
        <f>_xlfn.XLOOKUP(FMS_Ranking4[[#This Row],[FMS Type]],FMS_TYPE[FMS_Type],FMS_TYPE[Score])</f>
        <v>10</v>
      </c>
      <c r="BE269" s="352">
        <f>FMS_Ranking4[[#This Row],[FMS_Type Score]]*$BD$5*10</f>
        <v>2.5</v>
      </c>
      <c r="BF26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0.49811373801996212</v>
      </c>
      <c r="BG269" s="321">
        <f>_xlfn.RANK.EQ(BF269,$BF$8:$BF$870,0)+COUNTIF($BF$8:BF269,BF269)-1</f>
        <v>224</v>
      </c>
      <c r="BH269" s="294">
        <f>(((FMS_Ranking4[[#This Row],[Structures Removed Raw]]/AK$4)*100)*AK$5)+(((FMS_Ranking4[[#This Row],[Removed Pop Raw]]/AR$4)*100)*AR$5)</f>
        <v>0</v>
      </c>
      <c r="BI26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2.9981137380199621</v>
      </c>
      <c r="BJ269" s="251">
        <f>_xlfn.RANK.EQ(FMS_Ranking4[[#This Row],[Total Score 
(with linear
normalization)]],FMS_Ranking4[Total Score 
(with linear
normalization)],0)</f>
        <v>175</v>
      </c>
      <c r="BK269" s="251" t="e">
        <f>_xlfn.XLOOKUP(FMS_Ranking4[[#This Row],[FMS ID]],#REF!,#REF!)</f>
        <v>#REF!</v>
      </c>
      <c r="BL26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25.441881808308427</v>
      </c>
      <c r="BM269" s="324">
        <f>FMS_Ranking4[[#This Row],[ArcSinh Score Based on Normalized Reported Factors]]+FMS_Ranking4[[#This Row],[% NBS Score (Normalized)]]+(FMS_Ranking4[[#This Row],[Water Supply Score (Normalized)]]*10*$BB$5)+FMS_Ranking4[[#This Row],[FMS_Type Score Weighted]]</f>
        <v>27.941881808308427</v>
      </c>
      <c r="BN269" s="251">
        <f>_xlfn.RANK.EQ(FMS_Ranking4[[#This Row],[Total Score (with ArcSinh normalization of select criteria)]],FMS_Ranking4[Total Score (with ArcSinh normalization of select criteria)],0)</f>
        <v>262</v>
      </c>
      <c r="BO269" s="270" t="str">
        <f>_xlfn.XLOOKUP(FMS_Ranking4[[#This Row],[FMS ID]],FMS_Input[FMS_ID],FMS_Input[FMS_RANK_YEAR])</f>
        <v>2025 Amended Plan</v>
      </c>
      <c r="BP269" s="204" t="e">
        <f>_xlfn.XLOOKUP(FMS_Ranking4[[#This Row],[FMS ID]],Prev_Rank[FMS ID],Prev_Rank[Prev Rank])</f>
        <v>#N/A</v>
      </c>
      <c r="BQ269" s="251" t="e">
        <f>_xlfn.XLOOKUP(FMS_Ranking4[[#This Row],[FMS ID]],#REF!,#REF!)</f>
        <v>#REF!</v>
      </c>
      <c r="BR269" s="199" t="e">
        <f>SUM(#REF!,#REF!,#REF!,#REF!,#REF!,#REF!,#REF!,#REF!,#REF!,FMS_Ranking4[[#This Row],[ArcSinh Res struct removed 0-10]],#REF!)</f>
        <v>#REF!</v>
      </c>
      <c r="BS269" s="199" t="e">
        <f>FMS_Ranking4[[#This Row],[Log Score Based on Normalized Reported Factors]]+FMS_Ranking4[[#This Row],[% NBS Score (Normalized)]]+(FMS_Ranking4[[#This Row],[Water Supply Score (Normalized)]]*10*$BB$5)+(FMS_Ranking4[[#This Row],[FMS_Type Score Weighted]])</f>
        <v>#REF!</v>
      </c>
      <c r="BT269" s="200" t="e">
        <f>_xlfn.RANK.EQ(FMS_Ranking4[[#This Row],[Log Total Score]],FMS_Ranking4[Log Total Score],0)</f>
        <v>#REF!</v>
      </c>
      <c r="BU269" s="200" t="e">
        <f>_xlfn.XLOOKUP(FMS_Ranking4[[#This Row],[FMS ID]],#REF!,#REF!)</f>
        <v>#REF!</v>
      </c>
      <c r="BV269" s="200">
        <f>FMS_Ranking4[[#This Row],[Region Number]]</f>
        <v>5</v>
      </c>
      <c r="BW269" s="200">
        <f>FMS_Ranking4[[#This Row],[Rank (with ArcSinh normalization of select criteria)]]-FMS_Ranking4[[#This Row],[Rank
(with linear
normalization)]]</f>
        <v>87</v>
      </c>
      <c r="BX269" s="200" t="e">
        <f>FMS_Ranking4[[#This Row],[Log Rank]]-FMS_Ranking4[[#This Row],[Rank
(with linear
normalization)]]</f>
        <v>#REF!</v>
      </c>
      <c r="BY269" s="200">
        <f>IF(FMS_Ranking4[[#This Row],[FMS Type]]="Flood Measurement and Warning",FMS_Ranking4[[#This Row],[Rank (with ArcSinh normalization of select criteria)]],"")</f>
        <v>262</v>
      </c>
      <c r="BZ269" s="200" t="str">
        <f>IF(FMS_Ranking4[[#This Row],[FMS Type]]="Regulatory and Guidance",FMS_Ranking4[[#This Row],[Rank (with ArcSinh normalization of select criteria)]],"")</f>
        <v/>
      </c>
      <c r="CA269" s="200" t="str">
        <f>IF(FMS_Ranking4[[#This Row],[FMS Type]]="Education and Outreach",FMS_Ranking4[[#This Row],[Rank (with ArcSinh normalization of select criteria)]],"")</f>
        <v/>
      </c>
      <c r="CB269" s="200" t="str">
        <f>IF(FMS_Ranking4[[#This Row],[FMS Type]]="Property Acquisition and Structural Elevation",FMS_Ranking4[[#This Row],[Rank (with ArcSinh normalization of select criteria)]],"")</f>
        <v/>
      </c>
      <c r="CC269" s="200" t="str">
        <f>IF(FMS_Ranking4[[#This Row],[FMS Type]]="Infrastructure Projects",FMS_Ranking4[[#This Row],[Rank (with ArcSinh normalization of select criteria)]],"")</f>
        <v/>
      </c>
      <c r="CD269" s="200" t="str">
        <f>IF(FMS_Ranking4[[#This Row],[FMS Type]]="Other",FMS_Ranking4[[#This Row],[Rank (with ArcSinh normalization of select criteria)]],"")</f>
        <v/>
      </c>
      <c r="CE269" s="201"/>
      <c r="CF269" s="206"/>
      <c r="CG269" s="206"/>
      <c r="CH269" s="206"/>
      <c r="CI269" s="206"/>
      <c r="CJ269" s="206"/>
      <c r="CK269" s="206"/>
      <c r="CL269" s="206"/>
      <c r="CM269" s="206"/>
      <c r="CN269" s="206"/>
      <c r="CO269" s="206"/>
      <c r="CP269" s="206"/>
      <c r="CQ269" s="206"/>
      <c r="CR269" s="206"/>
    </row>
    <row r="270" spans="2:96" ht="30" x14ac:dyDescent="0.25">
      <c r="B270" s="341" t="s">
        <v>3558</v>
      </c>
      <c r="C270" s="246">
        <f>_xlfn.XLOOKUP(FMS_Ranking4[[#This Row],[FMS ID]],FMS_Input[FMS_ID],FMS_Input[RFPG_NUM])</f>
        <v>12</v>
      </c>
      <c r="D270" s="309" t="str">
        <f>_xlfn.XLOOKUP(FMS_Ranking4[[#This Row],[FMS ID]],FMS_Input[FMS_ID],FMS_Input[FMS_NAME])</f>
        <v>Conservation Easement Program</v>
      </c>
      <c r="E270" s="308" t="str">
        <f>_xlfn.XLOOKUP(FMS_Ranking4[[#This Row],[FMS ID]],FMS_Input[FMS_ID],FMS_Input[SPONSOR])</f>
        <v>00000005</v>
      </c>
      <c r="F270" s="309" t="str">
        <f>_xlfn.XLOOKUP(FMS_Ranking4[[#This Row],[FMS ID]],Sponsor[FMS_ID],Sponsor[SPONSOR NAME])</f>
        <v>Medina</v>
      </c>
      <c r="G270" s="309" t="str">
        <f>_xlfn.XLOOKUP(FMS_Ranking4[[#This Row],[FMS ID]],FMS_Input[FMS_ID],FMS_Input[FMS_DESCR])</f>
        <v>Develop a Conservation Easement Program.</v>
      </c>
      <c r="H270" s="248" t="str">
        <f>_xlfn.XLOOKUP(FMS_Ranking4[[#This Row],[FMS ID]],FMS_Input[FMS_ID],FMS_Input[FMS_TYPE])</f>
        <v>Regulatory and Guidance</v>
      </c>
      <c r="I270" s="249">
        <f>_xlfn.XLOOKUP(FMS_Ranking4[[#This Row],[FMS ID]],FMS_Input[FMS_ID],FMS_Input[NRNC_COST])</f>
        <v>50000</v>
      </c>
      <c r="J270" s="250">
        <f>_xlfn.XLOOKUP(FMS_Ranking4[[#This Row],[FMS ID]],FMS_Input[FMS_ID],FMS_Input[FMS_COST])</f>
        <v>50000</v>
      </c>
      <c r="K270" s="251" t="str">
        <f>_xlfn.XLOOKUP(FMS_Ranking4[[#This Row],[FMS ID]],FMS_Input[FMS_ID],FMS_Input[EMER_NEED])</f>
        <v>No</v>
      </c>
      <c r="L270" s="252">
        <f t="shared" si="4"/>
        <v>0</v>
      </c>
      <c r="M270" s="253">
        <f>_xlfn.XLOOKUP(FMS_Ranking4[[#This Row],[FMS ID]],FMS_Input[FMS_ID],FMS_Input[STRUCT_100])</f>
        <v>362</v>
      </c>
      <c r="N270" s="255">
        <f>(ASINH(FMS_Ranking4[[#This Row],[Structure at Risk Raw]]))*(10)/(ASINH(M$4))</f>
        <v>5.1766279671648956</v>
      </c>
      <c r="O270" s="256">
        <f>FMS_Ranking4[[#This Row],[Structures at risk, ArcSinh (0-10)]]*M$5*10</f>
        <v>5.1766279671648965</v>
      </c>
      <c r="P270" s="253">
        <f>_xlfn.XLOOKUP(FMS_Ranking4[[#This Row],[FMS ID]],FMS_Input[FMS_ID],FMS_Input[RES_STRUCT100])</f>
        <v>255</v>
      </c>
      <c r="Q270" s="257">
        <f>ASINH(FMS_Ranking4[[#This Row],[Res Structure Raw]])/Q$4*P$5*100</f>
        <v>0</v>
      </c>
      <c r="R270" s="253">
        <f>_xlfn.XLOOKUP(FMS_Ranking4[[#This Row],[FMS ID]],FMS_Input[FMS_ID],FMS_Input[POP100])</f>
        <v>444</v>
      </c>
      <c r="S270" s="255">
        <f>(ASINH(FMS_Ranking4[[#This Row],[Pop at Risk Raw]]))*(10)/(ASINH(R$4))</f>
        <v>4.6868233095606051</v>
      </c>
      <c r="T270" s="256">
        <f>FMS_Ranking4[[#This Row],[Population at risk, ArcSinh (0-10)]]*R$5*10</f>
        <v>4.6868233095606051</v>
      </c>
      <c r="U270" s="253">
        <f>_xlfn.XLOOKUP(FMS_Ranking4[[#This Row],[FMS ID]],FMS_Input[FMS_ID],FMS_Input[CRITFAC100])</f>
        <v>1</v>
      </c>
      <c r="V270" s="255">
        <f>(ASINH(FMS_Ranking4[[#This Row],[Critical Facilities Raw]]))*(10)/(ASINH(U$4))</f>
        <v>1.0433384451410745</v>
      </c>
      <c r="W270" s="256">
        <f>FMS_Ranking4[[#This Row],[Critical facilities at risk, ArcSinh (0-10)]]*U$5*10</f>
        <v>1.0433384451410745</v>
      </c>
      <c r="X270" s="253">
        <f>_xlfn.XLOOKUP(FMS_Ranking4[[#This Row],[FMS ID]],FMS_Input[FMS_ID],FMS_Input[LWC])</f>
        <v>25</v>
      </c>
      <c r="Y270" s="255">
        <f>(ASINH(FMS_Ranking4[[#This Row],[LWC Raw]]))*(10)/(ASINH(X$4))</f>
        <v>5.3003069240609193</v>
      </c>
      <c r="Z270" s="256">
        <f>FMS_Ranking4[[#This Row],[LWC, ArcSInh (0-10)]]*X$5*10</f>
        <v>5.3003069240609193</v>
      </c>
      <c r="AA270" s="253">
        <f>_xlfn.XLOOKUP(FMS_Ranking4[[#This Row],[FMS ID]],FMS_Input[FMS_ID],FMS_Input[ROADCLS])</f>
        <v>292</v>
      </c>
      <c r="AB270" s="255">
        <f>(ASINH(FMS_Ranking4[[#This Row],[Road Closures Raw]]))*(10)/(ASINH(AA$4))</f>
        <v>6.6336702777208449</v>
      </c>
      <c r="AC270" s="256">
        <f>FMS_Ranking4[[#This Row],[Road closures, ArcSinh (0-10)]]*AA$5*10</f>
        <v>3.3168351388604229</v>
      </c>
      <c r="AD270" s="253">
        <f>_xlfn.XLOOKUP(FMS_Ranking4[[#This Row],[FMS ID]],FMS_Input[FMS_ID],FMS_Input[ROAD_MILES100])</f>
        <v>15</v>
      </c>
      <c r="AE270" s="255">
        <f>(ASINH(FMS_Ranking4[[#This Row],[Road Miles Raw]]))*(10)/(ASINH(AD$4))</f>
        <v>3.625922827042257</v>
      </c>
      <c r="AF270" s="256">
        <f>FMS_Ranking4[[#This Row],[Length of roads at risk, ArcSinh (0-10)]]*AD$5*10</f>
        <v>3.625922827042257</v>
      </c>
      <c r="AG270" s="253">
        <f>_xlfn.XLOOKUP(FMS_Ranking4[[#This Row],[FMS ID]],FMS_Input[FMS_ID],FMS_Input[FARMACRE100])</f>
        <v>2208.25</v>
      </c>
      <c r="AH270" s="255">
        <f>(ASINH(FMS_Ranking4[[#This Row],[Ag Land Raw]]))*(10)/(ASINH(AG$4))</f>
        <v>5.4520040862598753</v>
      </c>
      <c r="AI270" s="260">
        <f>FMS_Ranking4[[#This Row],[Farm &amp; ranch land, ArcSinh (0-10)]]*AG$5*10</f>
        <v>2.7260020431299377</v>
      </c>
      <c r="AJ270" s="258">
        <f>_xlfn.XLOOKUP(FMS_Ranking4[[#This Row],[FMS ID]],FMS_Input[FMS_ID],FMS_Input[REDSTRUCT100])</f>
        <v>0</v>
      </c>
      <c r="AK270" s="253">
        <f>_xlfn.XLOOKUP(FMS_Ranking4[[#This Row],[FMS ID]],FMS_Input[FMS_ID],FMS_Input[REMSTRC100])</f>
        <v>0</v>
      </c>
      <c r="AL270" s="255">
        <f>(ASINH(FMS_Ranking4[[#This Row],[Structures Removed Raw]]))*(10)/(ASINH(AK$4))</f>
        <v>0</v>
      </c>
      <c r="AM270" s="262">
        <f>FMS_Ranking4[[#This Row],[Structures removed, ArcSinh (0-10)]]*AK$5*10</f>
        <v>0</v>
      </c>
      <c r="AN270" s="253">
        <f>_xlfn.XLOOKUP(FMS_Ranking4[[#This Row],[FMS ID]],FMS_Input[FMS_ID],FMS_Input[REMRESSTRC100])</f>
        <v>0</v>
      </c>
      <c r="AO270" s="261">
        <f>FMS_Ranking4[[#This Row],[ArcSinh Res struct removed 0-10]]*AN$5*10</f>
        <v>0</v>
      </c>
      <c r="AP270" s="260">
        <f>ASINH(FMS_Ranking4[[#This Row],[Residential Structures Removed Raw]])/AP$4*AN$5*100</f>
        <v>0</v>
      </c>
      <c r="AQ270" s="258">
        <f>(ASINH(FMS_Ranking4[[#This Row],[Residential Structures Removed Raw]]))*(10)/(ASINH(AN$4))</f>
        <v>0</v>
      </c>
      <c r="AR270" s="253">
        <f>_xlfn.XLOOKUP(FMS_Ranking4[[#This Row],[FMS ID]],FMS_Input[FMS_ID],FMS_Input[REMPOP100])</f>
        <v>0</v>
      </c>
      <c r="AS270" s="255">
        <f>(ASINH(FMS_Ranking4[[#This Row],[Removed Pop Raw]]))*(10)/(ASINH(AR$4))</f>
        <v>0</v>
      </c>
      <c r="AT270" s="262">
        <f>FMS_Ranking4[[#This Row],[Removed population, ArcSinh (0-10)]]*AR$5*10</f>
        <v>0</v>
      </c>
      <c r="AU270" s="264">
        <f>_xlfn.XLOOKUP(FMS_Ranking4[[#This Row],[FMS ID]],FMS_Input[FMS_ID],FMS_Input[REMCRITFAC100])</f>
        <v>0</v>
      </c>
      <c r="AV270" s="264">
        <f>_xlfn.XLOOKUP(FMS_Ranking4[[#This Row],[FMS ID]],FMS_Input[FMS_ID],FMS_Input[REMLWC100])</f>
        <v>0</v>
      </c>
      <c r="AW270" s="264">
        <f>_xlfn.XLOOKUP(FMS_Ranking4[[#This Row],[FMS ID]],FMS_Input[FMS_ID],FMS_Input[REMROADCLS])</f>
        <v>0</v>
      </c>
      <c r="AX270" s="264">
        <f>_xlfn.XLOOKUP(FMS_Ranking4[[#This Row],[FMS ID]],FMS_Input[FMS_ID],FMS_Input[REMFRMACRE100])</f>
        <v>0</v>
      </c>
      <c r="AY270" s="258">
        <f>_xlfn.XLOOKUP(FMS_Ranking4[[#This Row],[FMS ID]],FMS_Input[FMS_ID],FMS_Input[COSTSTRUCT])</f>
        <v>0</v>
      </c>
      <c r="AZ270" s="253">
        <f>_xlfn.XLOOKUP(FMS_Ranking4[[#This Row],[FMS ID]],FMS_Input[FMS_ID],FMS_Input[NATURE])</f>
        <v>0</v>
      </c>
      <c r="BA270" s="262">
        <f>(((FMS_Ranking4[[#This Row],[% NBS Raw]]/AZ$4)*100)*AZ$5)</f>
        <v>0</v>
      </c>
      <c r="BB270" s="251" t="str">
        <f>_xlfn.XLOOKUP(FMS_Ranking4[[#This Row],[FMS ID]],FMS_Input[FMS_ID],FMS_Input[WATER_SUP])</f>
        <v>No</v>
      </c>
      <c r="BC270" s="265">
        <f>IF(FMS_Ranking4[[#This Row],[Water Supply Raw]]="Yes",10,0)</f>
        <v>0</v>
      </c>
      <c r="BD270" s="266">
        <f>_xlfn.XLOOKUP(FMS_Ranking4[[#This Row],[FMS Type]],FMS_TYPE[FMS_Type],FMS_TYPE[Score])</f>
        <v>8</v>
      </c>
      <c r="BE270" s="267">
        <f>FMS_Ranking4[[#This Row],[FMS_Type Score]]*$BD$5*10</f>
        <v>2</v>
      </c>
      <c r="BF27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0.56889925552613829</v>
      </c>
      <c r="BG270" s="321">
        <f>_xlfn.RANK.EQ(BF270,$BF$8:$BF$870,0)+COUNTIF($BF$8:BF270,BF270)-1</f>
        <v>204</v>
      </c>
      <c r="BH270" s="294">
        <f>(((FMS_Ranking4[[#This Row],[Structures Removed Raw]]/AK$4)*100)*AK$5)+(((FMS_Ranking4[[#This Row],[Removed Pop Raw]]/AR$4)*100)*AR$5)</f>
        <v>0</v>
      </c>
      <c r="BI27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2.5688992555261381</v>
      </c>
      <c r="BJ270" s="251">
        <f>_xlfn.RANK.EQ(FMS_Ranking4[[#This Row],[Total Score 
(with linear
normalization)]],FMS_Ranking4[Total Score 
(with linear
normalization)],0)</f>
        <v>232</v>
      </c>
      <c r="BK270" s="251" t="e">
        <f>_xlfn.XLOOKUP(FMS_Ranking4[[#This Row],[FMS ID]],#REF!,#REF!)</f>
        <v>#REF!</v>
      </c>
      <c r="BL27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25.875856654960113</v>
      </c>
      <c r="BM270" s="324">
        <f>FMS_Ranking4[[#This Row],[ArcSinh Score Based on Normalized Reported Factors]]+FMS_Ranking4[[#This Row],[% NBS Score (Normalized)]]+(FMS_Ranking4[[#This Row],[Water Supply Score (Normalized)]]*10*$BB$5)+FMS_Ranking4[[#This Row],[FMS_Type Score Weighted]]</f>
        <v>27.875856654960113</v>
      </c>
      <c r="BN270" s="251">
        <f>_xlfn.RANK.EQ(FMS_Ranking4[[#This Row],[Total Score (with ArcSinh normalization of select criteria)]],FMS_Ranking4[Total Score (with ArcSinh normalization of select criteria)],0)</f>
        <v>263</v>
      </c>
      <c r="BO270" s="270" t="str">
        <f>_xlfn.XLOOKUP(FMS_Ranking4[[#This Row],[FMS ID]],FMS_Input[FMS_ID],FMS_Input[FMS_RANK_YEAR])</f>
        <v>2023 Amended Plan</v>
      </c>
      <c r="BP270" s="204">
        <f>_xlfn.XLOOKUP(FMS_Ranking4[[#This Row],[FMS ID]],Prev_Rank[FMS ID],Prev_Rank[Prev Rank])</f>
        <v>227</v>
      </c>
      <c r="BQ270" s="251" t="e">
        <f>_xlfn.XLOOKUP(FMS_Ranking4[[#This Row],[FMS ID]],#REF!,#REF!)</f>
        <v>#REF!</v>
      </c>
      <c r="BR270" s="199" t="e">
        <f>SUM(#REF!,#REF!,#REF!,#REF!,#REF!,#REF!,#REF!,#REF!,#REF!,FMS_Ranking4[[#This Row],[ArcSinh Res struct removed 0-10]],#REF!)</f>
        <v>#REF!</v>
      </c>
      <c r="BS270" s="199" t="e">
        <f>FMS_Ranking4[[#This Row],[Log Score Based on Normalized Reported Factors]]+FMS_Ranking4[[#This Row],[% NBS Score (Normalized)]]+(FMS_Ranking4[[#This Row],[Water Supply Score (Normalized)]]*10*$BB$5)+(FMS_Ranking4[[#This Row],[FMS_Type Score Weighted]])</f>
        <v>#REF!</v>
      </c>
      <c r="BT270" s="200" t="e">
        <f>_xlfn.RANK.EQ(FMS_Ranking4[[#This Row],[Log Total Score]],FMS_Ranking4[Log Total Score],0)</f>
        <v>#REF!</v>
      </c>
      <c r="BU270" s="200" t="e">
        <f>_xlfn.XLOOKUP(FMS_Ranking4[[#This Row],[FMS ID]],#REF!,#REF!)</f>
        <v>#REF!</v>
      </c>
      <c r="BV270" s="200">
        <f>FMS_Ranking4[[#This Row],[Region Number]]</f>
        <v>12</v>
      </c>
      <c r="BW270" s="200">
        <f>FMS_Ranking4[[#This Row],[Rank (with ArcSinh normalization of select criteria)]]-FMS_Ranking4[[#This Row],[Rank
(with linear
normalization)]]</f>
        <v>31</v>
      </c>
      <c r="BX270" s="200" t="e">
        <f>FMS_Ranking4[[#This Row],[Log Rank]]-FMS_Ranking4[[#This Row],[Rank
(with linear
normalization)]]</f>
        <v>#REF!</v>
      </c>
      <c r="BY270" s="200" t="str">
        <f>IF(FMS_Ranking4[[#This Row],[FMS Type]]="Flood Measurement and Warning",FMS_Ranking4[[#This Row],[Rank (with ArcSinh normalization of select criteria)]],"")</f>
        <v/>
      </c>
      <c r="BZ270" s="200">
        <f>IF(FMS_Ranking4[[#This Row],[FMS Type]]="Regulatory and Guidance",FMS_Ranking4[[#This Row],[Rank (with ArcSinh normalization of select criteria)]],"")</f>
        <v>263</v>
      </c>
      <c r="CA270" s="200" t="str">
        <f>IF(FMS_Ranking4[[#This Row],[FMS Type]]="Education and Outreach",FMS_Ranking4[[#This Row],[Rank (with ArcSinh normalization of select criteria)]],"")</f>
        <v/>
      </c>
      <c r="CB270" s="200" t="str">
        <f>IF(FMS_Ranking4[[#This Row],[FMS Type]]="Property Acquisition and Structural Elevation",FMS_Ranking4[[#This Row],[Rank (with ArcSinh normalization of select criteria)]],"")</f>
        <v/>
      </c>
      <c r="CC270" s="200" t="str">
        <f>IF(FMS_Ranking4[[#This Row],[FMS Type]]="Infrastructure Projects",FMS_Ranking4[[#This Row],[Rank (with ArcSinh normalization of select criteria)]],"")</f>
        <v/>
      </c>
      <c r="CD270" s="200" t="str">
        <f>IF(FMS_Ranking4[[#This Row],[FMS Type]]="Other",FMS_Ranking4[[#This Row],[Rank (with ArcSinh normalization of select criteria)]],"")</f>
        <v/>
      </c>
      <c r="CE270" s="201"/>
      <c r="CF270" s="206"/>
      <c r="CG270" s="206"/>
      <c r="CH270" s="206"/>
      <c r="CI270" s="206"/>
      <c r="CJ270" s="206"/>
      <c r="CK270" s="206"/>
      <c r="CL270" s="206"/>
      <c r="CM270" s="206"/>
      <c r="CN270" s="206"/>
      <c r="CO270" s="206"/>
      <c r="CP270" s="206"/>
      <c r="CQ270" s="206"/>
      <c r="CR270" s="206"/>
    </row>
    <row r="271" spans="2:96" ht="105" x14ac:dyDescent="0.25">
      <c r="B271" s="341" t="s">
        <v>3790</v>
      </c>
      <c r="C271" s="246">
        <f>_xlfn.XLOOKUP(FMS_Ranking4[[#This Row],[FMS ID]],FMS_Input[FMS_ID],FMS_Input[RFPG_NUM])</f>
        <v>13</v>
      </c>
      <c r="D271" s="309" t="str">
        <f>_xlfn.XLOOKUP(FMS_Ranking4[[#This Row],[FMS ID]],FMS_Input[FMS_ID],FMS_Input[FMS_NAME])</f>
        <v>Aransas County Coastal Erosion Response Plan</v>
      </c>
      <c r="E271" s="308" t="str">
        <f>_xlfn.XLOOKUP(FMS_Ranking4[[#This Row],[FMS ID]],FMS_Input[FMS_ID],FMS_Input[SPONSOR])</f>
        <v>00000083</v>
      </c>
      <c r="F271" s="309" t="str">
        <f>_xlfn.XLOOKUP(FMS_Ranking4[[#This Row],[FMS ID]],Sponsor[FMS_ID],Sponsor[SPONSOR NAME])</f>
        <v>Aransas</v>
      </c>
      <c r="G271" s="309" t="str">
        <f>_xlfn.XLOOKUP(FMS_Ranking4[[#This Row],[FMS ID]],FMS_Input[FMS_ID],FMS_Input[FMS_DESCR])</f>
        <v>Aransas County Texas Multi-Jurisdisctinal Hazard Mitigation Action Plan - Action #9: Create an erosion response plan. New and existing buildings and infrastructure will benefit from coastal erosion protection</v>
      </c>
      <c r="H271" s="248" t="str">
        <f>_xlfn.XLOOKUP(FMS_Ranking4[[#This Row],[FMS ID]],FMS_Input[FMS_ID],FMS_Input[FMS_TYPE])</f>
        <v>Other</v>
      </c>
      <c r="I271" s="249">
        <f>_xlfn.XLOOKUP(FMS_Ranking4[[#This Row],[FMS ID]],FMS_Input[FMS_ID],FMS_Input[NRNC_COST])</f>
        <v>2650</v>
      </c>
      <c r="J271" s="250">
        <f>_xlfn.XLOOKUP(FMS_Ranking4[[#This Row],[FMS ID]],FMS_Input[FMS_ID],FMS_Input[FMS_COST])</f>
        <v>2650</v>
      </c>
      <c r="K271" s="251" t="str">
        <f>_xlfn.XLOOKUP(FMS_Ranking4[[#This Row],[FMS ID]],FMS_Input[FMS_ID],FMS_Input[EMER_NEED])</f>
        <v>Yes</v>
      </c>
      <c r="L271" s="252">
        <f t="shared" si="4"/>
        <v>1</v>
      </c>
      <c r="M271" s="253">
        <f>_xlfn.XLOOKUP(FMS_Ranking4[[#This Row],[FMS ID]],FMS_Input[FMS_ID],FMS_Input[STRUCT_100])</f>
        <v>3334</v>
      </c>
      <c r="N271" s="255">
        <f>(ASINH(FMS_Ranking4[[#This Row],[Structure at Risk Raw]]))*(10)/(ASINH(M$4))</f>
        <v>6.9221001782843219</v>
      </c>
      <c r="O271" s="256">
        <f>FMS_Ranking4[[#This Row],[Structures at risk, ArcSinh (0-10)]]*M$5*10</f>
        <v>6.9221001782843228</v>
      </c>
      <c r="P271" s="253">
        <f>_xlfn.XLOOKUP(FMS_Ranking4[[#This Row],[FMS ID]],FMS_Input[FMS_ID],FMS_Input[RES_STRUCT100])</f>
        <v>2828</v>
      </c>
      <c r="Q271" s="257">
        <f>ASINH(FMS_Ranking4[[#This Row],[Res Structure Raw]])/Q$4*P$5*100</f>
        <v>0</v>
      </c>
      <c r="R271" s="253">
        <f>_xlfn.XLOOKUP(FMS_Ranking4[[#This Row],[FMS ID]],FMS_Input[FMS_ID],FMS_Input[POP100])</f>
        <v>4790</v>
      </c>
      <c r="S271" s="255">
        <f>(ASINH(FMS_Ranking4[[#This Row],[Pop at Risk Raw]]))*(10)/(ASINH(R$4))</f>
        <v>6.3288126273256964</v>
      </c>
      <c r="T271" s="256">
        <f>FMS_Ranking4[[#This Row],[Population at risk, ArcSinh (0-10)]]*R$5*10</f>
        <v>6.3288126273256973</v>
      </c>
      <c r="U271" s="253">
        <f>_xlfn.XLOOKUP(FMS_Ranking4[[#This Row],[FMS ID]],FMS_Input[FMS_ID],FMS_Input[CRITFAC100])</f>
        <v>4</v>
      </c>
      <c r="V271" s="255">
        <f>(ASINH(FMS_Ranking4[[#This Row],[Critical Facilities Raw]]))*(10)/(ASINH(U$4))</f>
        <v>2.4796455944038147</v>
      </c>
      <c r="W271" s="256">
        <f>FMS_Ranking4[[#This Row],[Critical facilities at risk, ArcSinh (0-10)]]*U$5*10</f>
        <v>2.4796455944038147</v>
      </c>
      <c r="X271" s="253">
        <f>_xlfn.XLOOKUP(FMS_Ranking4[[#This Row],[FMS ID]],FMS_Input[FMS_ID],FMS_Input[LWC])</f>
        <v>0</v>
      </c>
      <c r="Y271" s="255">
        <f>(ASINH(FMS_Ranking4[[#This Row],[LWC Raw]]))*(10)/(ASINH(X$4))</f>
        <v>0</v>
      </c>
      <c r="Z271" s="256">
        <f>FMS_Ranking4[[#This Row],[LWC, ArcSInh (0-10)]]*X$5*10</f>
        <v>0</v>
      </c>
      <c r="AA271" s="253">
        <f>_xlfn.XLOOKUP(FMS_Ranking4[[#This Row],[FMS ID]],FMS_Input[FMS_ID],FMS_Input[ROADCLS])</f>
        <v>548</v>
      </c>
      <c r="AB271" s="255">
        <f>(ASINH(FMS_Ranking4[[#This Row],[Road Closures Raw]]))*(10)/(ASINH(AA$4))</f>
        <v>7.289256938063545</v>
      </c>
      <c r="AC271" s="256">
        <f>FMS_Ranking4[[#This Row],[Road closures, ArcSinh (0-10)]]*AA$5*10</f>
        <v>3.6446284690317725</v>
      </c>
      <c r="AD271" s="253">
        <f>_xlfn.XLOOKUP(FMS_Ranking4[[#This Row],[FMS ID]],FMS_Input[FMS_ID],FMS_Input[ROAD_MILES100])</f>
        <v>103</v>
      </c>
      <c r="AE271" s="255">
        <f>(ASINH(FMS_Ranking4[[#This Row],[Road Miles Raw]]))*(10)/(ASINH(AD$4))</f>
        <v>5.678075280842374</v>
      </c>
      <c r="AF271" s="256">
        <f>FMS_Ranking4[[#This Row],[Length of roads at risk, ArcSinh (0-10)]]*AD$5*10</f>
        <v>5.678075280842374</v>
      </c>
      <c r="AG271" s="253">
        <f>_xlfn.XLOOKUP(FMS_Ranking4[[#This Row],[FMS ID]],FMS_Input[FMS_ID],FMS_Input[FARMACRE100])</f>
        <v>571.2467041015625</v>
      </c>
      <c r="AH271" s="255">
        <f>(ASINH(FMS_Ranking4[[#This Row],[Ag Land Raw]]))*(10)/(ASINH(AG$4))</f>
        <v>4.5736830658793828</v>
      </c>
      <c r="AI271" s="260">
        <f>FMS_Ranking4[[#This Row],[Farm &amp; ranch land, ArcSinh (0-10)]]*AG$5*10</f>
        <v>2.2868415329396914</v>
      </c>
      <c r="AJ271" s="258">
        <f>_xlfn.XLOOKUP(FMS_Ranking4[[#This Row],[FMS ID]],FMS_Input[FMS_ID],FMS_Input[REDSTRUCT100])</f>
        <v>0</v>
      </c>
      <c r="AK271" s="253">
        <f>_xlfn.XLOOKUP(FMS_Ranking4[[#This Row],[FMS ID]],FMS_Input[FMS_ID],FMS_Input[REMSTRC100])</f>
        <v>0</v>
      </c>
      <c r="AL271" s="255">
        <f>(ASINH(FMS_Ranking4[[#This Row],[Structures Removed Raw]]))*(10)/(ASINH(AK$4))</f>
        <v>0</v>
      </c>
      <c r="AM271" s="262">
        <f>FMS_Ranking4[[#This Row],[Structures removed, ArcSinh (0-10)]]*AK$5*10</f>
        <v>0</v>
      </c>
      <c r="AN271" s="253">
        <f>_xlfn.XLOOKUP(FMS_Ranking4[[#This Row],[FMS ID]],FMS_Input[FMS_ID],FMS_Input[REMRESSTRC100])</f>
        <v>0</v>
      </c>
      <c r="AO271" s="261">
        <f>FMS_Ranking4[[#This Row],[ArcSinh Res struct removed 0-10]]*AN$5*10</f>
        <v>0</v>
      </c>
      <c r="AP271" s="260">
        <f>ASINH(FMS_Ranking4[[#This Row],[Residential Structures Removed Raw]])/AP$4*AN$5*100</f>
        <v>0</v>
      </c>
      <c r="AQ271" s="258">
        <f>(ASINH(FMS_Ranking4[[#This Row],[Residential Structures Removed Raw]]))*(10)/(ASINH(AN$4))</f>
        <v>0</v>
      </c>
      <c r="AR271" s="253">
        <f>_xlfn.XLOOKUP(FMS_Ranking4[[#This Row],[FMS ID]],FMS_Input[FMS_ID],FMS_Input[REMPOP100])</f>
        <v>0</v>
      </c>
      <c r="AS271" s="255">
        <f>(ASINH(FMS_Ranking4[[#This Row],[Removed Pop Raw]]))*(10)/(ASINH(AR$4))</f>
        <v>0</v>
      </c>
      <c r="AT271" s="262">
        <f>FMS_Ranking4[[#This Row],[Removed population, ArcSinh (0-10)]]*AR$5*10</f>
        <v>0</v>
      </c>
      <c r="AU271" s="264">
        <f>_xlfn.XLOOKUP(FMS_Ranking4[[#This Row],[FMS ID]],FMS_Input[FMS_ID],FMS_Input[REMCRITFAC100])</f>
        <v>0</v>
      </c>
      <c r="AV271" s="264">
        <f>_xlfn.XLOOKUP(FMS_Ranking4[[#This Row],[FMS ID]],FMS_Input[FMS_ID],FMS_Input[REMLWC100])</f>
        <v>0</v>
      </c>
      <c r="AW271" s="264">
        <f>_xlfn.XLOOKUP(FMS_Ranking4[[#This Row],[FMS ID]],FMS_Input[FMS_ID],FMS_Input[REMROADCLS])</f>
        <v>0</v>
      </c>
      <c r="AX271" s="264">
        <f>_xlfn.XLOOKUP(FMS_Ranking4[[#This Row],[FMS ID]],FMS_Input[FMS_ID],FMS_Input[REMFRMACRE100])</f>
        <v>0</v>
      </c>
      <c r="AY271" s="258">
        <f>_xlfn.XLOOKUP(FMS_Ranking4[[#This Row],[FMS ID]],FMS_Input[FMS_ID],FMS_Input[COSTSTRUCT])</f>
        <v>0</v>
      </c>
      <c r="AZ271" s="253">
        <f>_xlfn.XLOOKUP(FMS_Ranking4[[#This Row],[FMS ID]],FMS_Input[FMS_ID],FMS_Input[NATURE])</f>
        <v>0</v>
      </c>
      <c r="BA271" s="262">
        <f>(((FMS_Ranking4[[#This Row],[% NBS Raw]]/AZ$4)*100)*AZ$5)</f>
        <v>0</v>
      </c>
      <c r="BB271" s="251" t="str">
        <f>_xlfn.XLOOKUP(FMS_Ranking4[[#This Row],[FMS ID]],FMS_Input[FMS_ID],FMS_Input[WATER_SUP])</f>
        <v>No</v>
      </c>
      <c r="BC271" s="265">
        <f>IF(FMS_Ranking4[[#This Row],[Water Supply Raw]]="Yes",10,0)</f>
        <v>0</v>
      </c>
      <c r="BD271" s="266">
        <f>_xlfn.XLOOKUP(FMS_Ranking4[[#This Row],[FMS Type]],FMS_TYPE[FMS_Type],FMS_TYPE[Score])</f>
        <v>2</v>
      </c>
      <c r="BE271" s="267">
        <f>FMS_Ranking4[[#This Row],[FMS_Type Score]]*$BD$5*10</f>
        <v>0.5</v>
      </c>
      <c r="BF27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0.81029325576763289</v>
      </c>
      <c r="BG271" s="321">
        <f>_xlfn.RANK.EQ(BF271,$BF$8:$BF$870,0)+COUNTIF($BF$8:BF271,BF271)-1</f>
        <v>170</v>
      </c>
      <c r="BH271" s="294">
        <f>(((FMS_Ranking4[[#This Row],[Structures Removed Raw]]/AK$4)*100)*AK$5)+(((FMS_Ranking4[[#This Row],[Removed Pop Raw]]/AR$4)*100)*AR$5)</f>
        <v>0</v>
      </c>
      <c r="BI27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1.310293255767633</v>
      </c>
      <c r="BJ271" s="251">
        <f>_xlfn.RANK.EQ(FMS_Ranking4[[#This Row],[Total Score 
(with linear
normalization)]],FMS_Ranking4[Total Score 
(with linear
normalization)],0)</f>
        <v>630</v>
      </c>
      <c r="BK271" s="251" t="e">
        <f>_xlfn.XLOOKUP(FMS_Ranking4[[#This Row],[FMS ID]],#REF!,#REF!)</f>
        <v>#REF!</v>
      </c>
      <c r="BL27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27.340103682827674</v>
      </c>
      <c r="BM271" s="324">
        <f>FMS_Ranking4[[#This Row],[ArcSinh Score Based on Normalized Reported Factors]]+FMS_Ranking4[[#This Row],[% NBS Score (Normalized)]]+(FMS_Ranking4[[#This Row],[Water Supply Score (Normalized)]]*10*$BB$5)+FMS_Ranking4[[#This Row],[FMS_Type Score Weighted]]</f>
        <v>27.840103682827674</v>
      </c>
      <c r="BN271" s="251">
        <f>_xlfn.RANK.EQ(FMS_Ranking4[[#This Row],[Total Score (with ArcSinh normalization of select criteria)]],FMS_Ranking4[Total Score (with ArcSinh normalization of select criteria)],0)</f>
        <v>264</v>
      </c>
      <c r="BO271" s="270" t="str">
        <f>_xlfn.XLOOKUP(FMS_Ranking4[[#This Row],[FMS ID]],FMS_Input[FMS_ID],FMS_Input[FMS_RANK_YEAR])</f>
        <v>2023 Amended Plan</v>
      </c>
      <c r="BP271" s="204">
        <f>_xlfn.XLOOKUP(FMS_Ranking4[[#This Row],[FMS ID]],Prev_Rank[FMS ID],Prev_Rank[Prev Rank])</f>
        <v>226</v>
      </c>
      <c r="BQ271" s="251" t="e">
        <f>_xlfn.XLOOKUP(FMS_Ranking4[[#This Row],[FMS ID]],#REF!,#REF!)</f>
        <v>#REF!</v>
      </c>
      <c r="BR271" s="199" t="e">
        <f>SUM(#REF!,#REF!,#REF!,#REF!,#REF!,#REF!,#REF!,#REF!,#REF!,FMS_Ranking4[[#This Row],[ArcSinh Res struct removed 0-10]],#REF!)</f>
        <v>#REF!</v>
      </c>
      <c r="BS271" s="199" t="e">
        <f>FMS_Ranking4[[#This Row],[Log Score Based on Normalized Reported Factors]]+FMS_Ranking4[[#This Row],[% NBS Score (Normalized)]]+(FMS_Ranking4[[#This Row],[Water Supply Score (Normalized)]]*10*$BB$5)+(FMS_Ranking4[[#This Row],[FMS_Type Score Weighted]])</f>
        <v>#REF!</v>
      </c>
      <c r="BT271" s="200" t="e">
        <f>_xlfn.RANK.EQ(FMS_Ranking4[[#This Row],[Log Total Score]],FMS_Ranking4[Log Total Score],0)</f>
        <v>#REF!</v>
      </c>
      <c r="BU271" s="200" t="e">
        <f>_xlfn.XLOOKUP(FMS_Ranking4[[#This Row],[FMS ID]],#REF!,#REF!)</f>
        <v>#REF!</v>
      </c>
      <c r="BV271" s="200">
        <f>FMS_Ranking4[[#This Row],[Region Number]]</f>
        <v>13</v>
      </c>
      <c r="BW271" s="200">
        <f>FMS_Ranking4[[#This Row],[Rank (with ArcSinh normalization of select criteria)]]-FMS_Ranking4[[#This Row],[Rank
(with linear
normalization)]]</f>
        <v>-366</v>
      </c>
      <c r="BX271" s="200" t="e">
        <f>FMS_Ranking4[[#This Row],[Log Rank]]-FMS_Ranking4[[#This Row],[Rank
(with linear
normalization)]]</f>
        <v>#REF!</v>
      </c>
      <c r="BY271" s="200" t="str">
        <f>IF(FMS_Ranking4[[#This Row],[FMS Type]]="Flood Measurement and Warning",FMS_Ranking4[[#This Row],[Rank (with ArcSinh normalization of select criteria)]],"")</f>
        <v/>
      </c>
      <c r="BZ271" s="200" t="str">
        <f>IF(FMS_Ranking4[[#This Row],[FMS Type]]="Regulatory and Guidance",FMS_Ranking4[[#This Row],[Rank (with ArcSinh normalization of select criteria)]],"")</f>
        <v/>
      </c>
      <c r="CA271" s="200" t="str">
        <f>IF(FMS_Ranking4[[#This Row],[FMS Type]]="Education and Outreach",FMS_Ranking4[[#This Row],[Rank (with ArcSinh normalization of select criteria)]],"")</f>
        <v/>
      </c>
      <c r="CB271" s="200" t="str">
        <f>IF(FMS_Ranking4[[#This Row],[FMS Type]]="Property Acquisition and Structural Elevation",FMS_Ranking4[[#This Row],[Rank (with ArcSinh normalization of select criteria)]],"")</f>
        <v/>
      </c>
      <c r="CC271" s="200" t="str">
        <f>IF(FMS_Ranking4[[#This Row],[FMS Type]]="Infrastructure Projects",FMS_Ranking4[[#This Row],[Rank (with ArcSinh normalization of select criteria)]],"")</f>
        <v/>
      </c>
      <c r="CD271" s="200">
        <f>IF(FMS_Ranking4[[#This Row],[FMS Type]]="Other",FMS_Ranking4[[#This Row],[Rank (with ArcSinh normalization of select criteria)]],"")</f>
        <v>264</v>
      </c>
      <c r="CE271" s="201"/>
      <c r="CF271" s="206"/>
      <c r="CG271" s="206"/>
      <c r="CH271" s="206"/>
      <c r="CI271" s="206"/>
      <c r="CJ271" s="206"/>
      <c r="CK271" s="206"/>
      <c r="CL271" s="206"/>
      <c r="CM271" s="206"/>
      <c r="CN271" s="206"/>
      <c r="CO271" s="206"/>
      <c r="CP271" s="206"/>
      <c r="CQ271" s="206"/>
      <c r="CR271" s="206"/>
    </row>
    <row r="272" spans="2:96" ht="30" x14ac:dyDescent="0.25">
      <c r="B272" s="341" t="s">
        <v>1361</v>
      </c>
      <c r="C272" s="246">
        <f>_xlfn.XLOOKUP(FMS_Ranking4[[#This Row],[FMS ID]],FMS_Input[FMS_ID],FMS_Input[RFPG_NUM])</f>
        <v>1</v>
      </c>
      <c r="D272" s="309" t="str">
        <f>_xlfn.XLOOKUP(FMS_Ranking4[[#This Row],[FMS ID]],FMS_Input[FMS_ID],FMS_Input[FMS_NAME])</f>
        <v>Hutchinson County NFIP Involvement</v>
      </c>
      <c r="E272" s="308" t="str">
        <f>_xlfn.XLOOKUP(FMS_Ranking4[[#This Row],[FMS ID]],FMS_Input[FMS_ID],FMS_Input[SPONSOR])</f>
        <v>01000231</v>
      </c>
      <c r="F272" s="309" t="str">
        <f>_xlfn.XLOOKUP(FMS_Ranking4[[#This Row],[FMS ID]],Sponsor[FMS_ID],Sponsor[SPONSOR NAME])</f>
        <v>Hutchinson</v>
      </c>
      <c r="G272" s="309" t="str">
        <f>_xlfn.XLOOKUP(FMS_Ranking4[[#This Row],[FMS ID]],FMS_Input[FMS_ID],FMS_Input[FMS_DESCR])</f>
        <v>Application to join NFIP or adopt equivalent standards</v>
      </c>
      <c r="H272" s="248" t="str">
        <f>_xlfn.XLOOKUP(FMS_Ranking4[[#This Row],[FMS ID]],FMS_Input[FMS_ID],FMS_Input[FMS_TYPE])</f>
        <v>Regulatory and Guidance</v>
      </c>
      <c r="I272" s="249">
        <f>_xlfn.XLOOKUP(FMS_Ranking4[[#This Row],[FMS ID]],FMS_Input[FMS_ID],FMS_Input[NRNC_COST])</f>
        <v>100000</v>
      </c>
      <c r="J272" s="250">
        <f>_xlfn.XLOOKUP(FMS_Ranking4[[#This Row],[FMS ID]],FMS_Input[FMS_ID],FMS_Input[FMS_COST])</f>
        <v>100000</v>
      </c>
      <c r="K272" s="251" t="str">
        <f>_xlfn.XLOOKUP(FMS_Ranking4[[#This Row],[FMS ID]],FMS_Input[FMS_ID],FMS_Input[EMER_NEED])</f>
        <v>No</v>
      </c>
      <c r="L272" s="252">
        <f t="shared" si="4"/>
        <v>0</v>
      </c>
      <c r="M272" s="253">
        <f>_xlfn.XLOOKUP(FMS_Ranking4[[#This Row],[FMS ID]],FMS_Input[FMS_ID],FMS_Input[STRUCT_100])</f>
        <v>428</v>
      </c>
      <c r="N272" s="255">
        <f>(ASINH(FMS_Ranking4[[#This Row],[Structure at Risk Raw]]))*(10)/(ASINH(M$4))</f>
        <v>5.3082909580545872</v>
      </c>
      <c r="O272" s="256">
        <f>FMS_Ranking4[[#This Row],[Structures at risk, ArcSinh (0-10)]]*M$5*10</f>
        <v>5.3082909580545881</v>
      </c>
      <c r="P272" s="253">
        <f>_xlfn.XLOOKUP(FMS_Ranking4[[#This Row],[FMS ID]],FMS_Input[FMS_ID],FMS_Input[RES_STRUCT100])</f>
        <v>0</v>
      </c>
      <c r="Q272" s="257">
        <f>ASINH(FMS_Ranking4[[#This Row],[Res Structure Raw]])/Q$4*P$5*100</f>
        <v>0</v>
      </c>
      <c r="R272" s="253">
        <f>_xlfn.XLOOKUP(FMS_Ranking4[[#This Row],[FMS ID]],FMS_Input[FMS_ID],FMS_Input[POP100])</f>
        <v>587</v>
      </c>
      <c r="S272" s="259">
        <f>(ASINH(FMS_Ranking4[[#This Row],[Pop at Risk Raw]]))*(10)/(ASINH(R$4))</f>
        <v>4.8795711271040894</v>
      </c>
      <c r="T272" s="256">
        <f>FMS_Ranking4[[#This Row],[Population at risk, ArcSinh (0-10)]]*R$5*10</f>
        <v>4.8795711271040894</v>
      </c>
      <c r="U272" s="253">
        <f>_xlfn.XLOOKUP(FMS_Ranking4[[#This Row],[FMS ID]],FMS_Input[FMS_ID],FMS_Input[CRITFAC100])</f>
        <v>2</v>
      </c>
      <c r="V272" s="259">
        <f>(ASINH(FMS_Ranking4[[#This Row],[Critical Facilities Raw]]))*(10)/(ASINH(U$4))</f>
        <v>1.7089239049208753</v>
      </c>
      <c r="W272" s="256">
        <f>FMS_Ranking4[[#This Row],[Critical facilities at risk, ArcSinh (0-10)]]*U$5*10</f>
        <v>1.7089239049208755</v>
      </c>
      <c r="X272" s="253">
        <f>_xlfn.XLOOKUP(FMS_Ranking4[[#This Row],[FMS ID]],FMS_Input[FMS_ID],FMS_Input[LWC])</f>
        <v>10</v>
      </c>
      <c r="Y272" s="259">
        <f>(ASINH(FMS_Ranking4[[#This Row],[LWC Raw]]))*(10)/(ASINH(X$4))</f>
        <v>4.06180589758889</v>
      </c>
      <c r="Z272" s="256">
        <f>FMS_Ranking4[[#This Row],[LWC, ArcSInh (0-10)]]*X$5*10</f>
        <v>4.06180589758889</v>
      </c>
      <c r="AA272" s="253">
        <f>_xlfn.XLOOKUP(FMS_Ranking4[[#This Row],[FMS ID]],FMS_Input[FMS_ID],FMS_Input[ROADCLS])</f>
        <v>10</v>
      </c>
      <c r="AB272" s="255">
        <f>(ASINH(FMS_Ranking4[[#This Row],[Road Closures Raw]]))*(10)/(ASINH(AA$4))</f>
        <v>3.1223740164895069</v>
      </c>
      <c r="AC272" s="256">
        <f>FMS_Ranking4[[#This Row],[Road closures, ArcSinh (0-10)]]*AA$5*10</f>
        <v>1.5611870082447534</v>
      </c>
      <c r="AD272" s="253">
        <f>_xlfn.XLOOKUP(FMS_Ranking4[[#This Row],[FMS ID]],FMS_Input[FMS_ID],FMS_Input[ROAD_MILES100])</f>
        <v>30</v>
      </c>
      <c r="AE272" s="259">
        <f>(ASINH(FMS_Ranking4[[#This Row],[Road Miles Raw]]))*(10)/(ASINH(AD$4))</f>
        <v>4.3637407612967882</v>
      </c>
      <c r="AF272" s="256">
        <f>FMS_Ranking4[[#This Row],[Length of roads at risk, ArcSinh (0-10)]]*AD$5*10</f>
        <v>4.3637407612967882</v>
      </c>
      <c r="AG272" s="253">
        <f>_xlfn.XLOOKUP(FMS_Ranking4[[#This Row],[FMS ID]],FMS_Input[FMS_ID],FMS_Input[FARMACRE100])</f>
        <v>70011.9921875</v>
      </c>
      <c r="AH272" s="255">
        <f>(ASINH(FMS_Ranking4[[#This Row],[Ag Land Raw]]))*(10)/(ASINH(AG$4))</f>
        <v>7.6972604443299701</v>
      </c>
      <c r="AI272" s="260">
        <f>FMS_Ranking4[[#This Row],[Farm &amp; ranch land, ArcSinh (0-10)]]*AG$5*10</f>
        <v>3.8486302221649855</v>
      </c>
      <c r="AJ272" s="258">
        <f>_xlfn.XLOOKUP(FMS_Ranking4[[#This Row],[FMS ID]],FMS_Input[FMS_ID],FMS_Input[REDSTRUCT100])</f>
        <v>0</v>
      </c>
      <c r="AK272" s="253">
        <f>_xlfn.XLOOKUP(FMS_Ranking4[[#This Row],[FMS ID]],FMS_Input[FMS_ID],FMS_Input[REMSTRC100])</f>
        <v>0</v>
      </c>
      <c r="AL272" s="259">
        <f>(ASINH(FMS_Ranking4[[#This Row],[Structures Removed Raw]]))*(10)/(ASINH(AK$4))</f>
        <v>0</v>
      </c>
      <c r="AM272" s="262">
        <f>FMS_Ranking4[[#This Row],[Structures removed, ArcSinh (0-10)]]*AK$5*10</f>
        <v>0</v>
      </c>
      <c r="AN272" s="253">
        <f>_xlfn.XLOOKUP(FMS_Ranking4[[#This Row],[FMS ID]],FMS_Input[FMS_ID],FMS_Input[REMRESSTRC100])</f>
        <v>0</v>
      </c>
      <c r="AO272" s="261">
        <f>FMS_Ranking4[[#This Row],[ArcSinh Res struct removed 0-10]]*AN$5*10</f>
        <v>0</v>
      </c>
      <c r="AP272" s="260">
        <f>ASINH(FMS_Ranking4[[#This Row],[Residential Structures Removed Raw]])/AP$4*AN$5*100</f>
        <v>0</v>
      </c>
      <c r="AQ272" s="254">
        <f>(ASINH(FMS_Ranking4[[#This Row],[Residential Structures Removed Raw]]))*(10)/(ASINH(AN$4))</f>
        <v>0</v>
      </c>
      <c r="AR272" s="253">
        <f>_xlfn.XLOOKUP(FMS_Ranking4[[#This Row],[FMS ID]],FMS_Input[FMS_ID],FMS_Input[REMPOP100])</f>
        <v>0</v>
      </c>
      <c r="AS272" s="259">
        <f>(ASINH(FMS_Ranking4[[#This Row],[Removed Pop Raw]]))*(10)/(ASINH(AR$4))</f>
        <v>0</v>
      </c>
      <c r="AT272" s="262">
        <f>FMS_Ranking4[[#This Row],[Removed population, ArcSinh (0-10)]]*AR$5*10</f>
        <v>0</v>
      </c>
      <c r="AU272" s="264">
        <f>_xlfn.XLOOKUP(FMS_Ranking4[[#This Row],[FMS ID]],FMS_Input[FMS_ID],FMS_Input[REMCRITFAC100])</f>
        <v>0</v>
      </c>
      <c r="AV272" s="264">
        <f>_xlfn.XLOOKUP(FMS_Ranking4[[#This Row],[FMS ID]],FMS_Input[FMS_ID],FMS_Input[REMLWC100])</f>
        <v>0</v>
      </c>
      <c r="AW272" s="264">
        <f>_xlfn.XLOOKUP(FMS_Ranking4[[#This Row],[FMS ID]],FMS_Input[FMS_ID],FMS_Input[REMROADCLS])</f>
        <v>0</v>
      </c>
      <c r="AX272" s="264">
        <f>_xlfn.XLOOKUP(FMS_Ranking4[[#This Row],[FMS ID]],FMS_Input[FMS_ID],FMS_Input[REMFRMACRE100])</f>
        <v>0</v>
      </c>
      <c r="AY272" s="258">
        <f>_xlfn.XLOOKUP(FMS_Ranking4[[#This Row],[FMS ID]],FMS_Input[FMS_ID],FMS_Input[COSTSTRUCT])</f>
        <v>0</v>
      </c>
      <c r="AZ272" s="253">
        <f>_xlfn.XLOOKUP(FMS_Ranking4[[#This Row],[FMS ID]],FMS_Input[FMS_ID],FMS_Input[NATURE])</f>
        <v>0</v>
      </c>
      <c r="BA272" s="262">
        <f>(((FMS_Ranking4[[#This Row],[% NBS Raw]]/AZ$4)*100)*AZ$5)</f>
        <v>0</v>
      </c>
      <c r="BB272" s="251" t="str">
        <f>_xlfn.XLOOKUP(FMS_Ranking4[[#This Row],[FMS ID]],FMS_Input[FMS_ID],FMS_Input[WATER_SUP])</f>
        <v>No</v>
      </c>
      <c r="BC272" s="265">
        <f>IF(FMS_Ranking4[[#This Row],[Water Supply Raw]]="Yes",10,0)</f>
        <v>0</v>
      </c>
      <c r="BD272" s="266">
        <f>_xlfn.XLOOKUP(FMS_Ranking4[[#This Row],[FMS Type]],FMS_TYPE[FMS_Type],FMS_TYPE[Score])</f>
        <v>8</v>
      </c>
      <c r="BE272" s="267">
        <f>FMS_Ranking4[[#This Row],[FMS_Type Score]]*$BD$5*10</f>
        <v>2</v>
      </c>
      <c r="BF27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0.36628974353988342</v>
      </c>
      <c r="BG272" s="271">
        <f>_xlfn.RANK.EQ(BF272,$BF$8:$BF$870,0)+COUNTIF($BF$8:BF272,BF272)-1</f>
        <v>269</v>
      </c>
      <c r="BH272" s="268">
        <f>(((FMS_Ranking4[[#This Row],[Structures Removed Raw]]/AK$4)*100)*AK$5)+(((FMS_Ranking4[[#This Row],[Removed Pop Raw]]/AR$4)*100)*AR$5)</f>
        <v>0</v>
      </c>
      <c r="BI27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2.3662897435398835</v>
      </c>
      <c r="BJ272" s="205">
        <f>_xlfn.RANK.EQ(FMS_Ranking4[[#This Row],[Total Score 
(with linear
normalization)]],FMS_Ranking4[Total Score 
(with linear
normalization)],0)</f>
        <v>282</v>
      </c>
      <c r="BK272" s="205" t="e">
        <f>_xlfn.XLOOKUP(FMS_Ranking4[[#This Row],[FMS ID]],#REF!,#REF!)</f>
        <v>#REF!</v>
      </c>
      <c r="BL27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25.732149879374973</v>
      </c>
      <c r="BM272" s="272">
        <f>FMS_Ranking4[[#This Row],[ArcSinh Score Based on Normalized Reported Factors]]+FMS_Ranking4[[#This Row],[% NBS Score (Normalized)]]+(FMS_Ranking4[[#This Row],[Water Supply Score (Normalized)]]*10*$BB$5)+FMS_Ranking4[[#This Row],[FMS_Type Score Weighted]]</f>
        <v>27.732149879374973</v>
      </c>
      <c r="BN272" s="205">
        <f>_xlfn.RANK.EQ(FMS_Ranking4[[#This Row],[Total Score (with ArcSinh normalization of select criteria)]],FMS_Ranking4[Total Score (with ArcSinh normalization of select criteria)],0)</f>
        <v>265</v>
      </c>
      <c r="BO272" s="270" t="str">
        <f>_xlfn.XLOOKUP(FMS_Ranking4[[#This Row],[FMS ID]],FMS_Input[FMS_ID],FMS_Input[FMS_RANK_YEAR])</f>
        <v>2023 Amended Plan</v>
      </c>
      <c r="BP272" s="204">
        <f>_xlfn.XLOOKUP(FMS_Ranking4[[#This Row],[FMS ID]],Prev_Rank[FMS ID],Prev_Rank[Prev Rank])</f>
        <v>228</v>
      </c>
      <c r="BQ272" s="205" t="e">
        <f>_xlfn.XLOOKUP(FMS_Ranking4[[#This Row],[FMS ID]],#REF!,#REF!)</f>
        <v>#REF!</v>
      </c>
      <c r="BR272" s="199" t="e">
        <f>SUM(#REF!,#REF!,#REF!,#REF!,#REF!,#REF!,#REF!,#REF!,#REF!,FMS_Ranking4[[#This Row],[ArcSinh Res struct removed 0-10]],#REF!)</f>
        <v>#REF!</v>
      </c>
      <c r="BS272" s="199" t="e">
        <f>FMS_Ranking4[[#This Row],[Log Score Based on Normalized Reported Factors]]+FMS_Ranking4[[#This Row],[% NBS Score (Normalized)]]+(FMS_Ranking4[[#This Row],[Water Supply Score (Normalized)]]*10*$BB$5)+(FMS_Ranking4[[#This Row],[FMS_Type Score Weighted]])</f>
        <v>#REF!</v>
      </c>
      <c r="BT272" s="200" t="e">
        <f>_xlfn.RANK.EQ(FMS_Ranking4[[#This Row],[Log Total Score]],FMS_Ranking4[Log Total Score],0)</f>
        <v>#REF!</v>
      </c>
      <c r="BU272" s="200" t="e">
        <f>_xlfn.XLOOKUP(FMS_Ranking4[[#This Row],[FMS ID]],#REF!,#REF!)</f>
        <v>#REF!</v>
      </c>
      <c r="BV272" s="200">
        <f>FMS_Ranking4[[#This Row],[Region Number]]</f>
        <v>1</v>
      </c>
      <c r="BW272" s="200">
        <f>FMS_Ranking4[[#This Row],[Rank (with ArcSinh normalization of select criteria)]]-FMS_Ranking4[[#This Row],[Rank
(with linear
normalization)]]</f>
        <v>-17</v>
      </c>
      <c r="BX272" s="200" t="e">
        <f>FMS_Ranking4[[#This Row],[Log Rank]]-FMS_Ranking4[[#This Row],[Rank
(with linear
normalization)]]</f>
        <v>#REF!</v>
      </c>
      <c r="BY272" s="200" t="str">
        <f>IF(FMS_Ranking4[[#This Row],[FMS Type]]="Flood Measurement and Warning",FMS_Ranking4[[#This Row],[Rank (with ArcSinh normalization of select criteria)]],"")</f>
        <v/>
      </c>
      <c r="BZ272" s="200">
        <f>IF(FMS_Ranking4[[#This Row],[FMS Type]]="Regulatory and Guidance",FMS_Ranking4[[#This Row],[Rank (with ArcSinh normalization of select criteria)]],"")</f>
        <v>265</v>
      </c>
      <c r="CA272" s="200" t="str">
        <f>IF(FMS_Ranking4[[#This Row],[FMS Type]]="Education and Outreach",FMS_Ranking4[[#This Row],[Rank (with ArcSinh normalization of select criteria)]],"")</f>
        <v/>
      </c>
      <c r="CB272" s="200" t="str">
        <f>IF(FMS_Ranking4[[#This Row],[FMS Type]]="Property Acquisition and Structural Elevation",FMS_Ranking4[[#This Row],[Rank (with ArcSinh normalization of select criteria)]],"")</f>
        <v/>
      </c>
      <c r="CC272" s="200" t="str">
        <f>IF(FMS_Ranking4[[#This Row],[FMS Type]]="Infrastructure Projects",FMS_Ranking4[[#This Row],[Rank (with ArcSinh normalization of select criteria)]],"")</f>
        <v/>
      </c>
      <c r="CD272" s="200" t="str">
        <f>IF(FMS_Ranking4[[#This Row],[FMS Type]]="Other",FMS_Ranking4[[#This Row],[Rank (with ArcSinh normalization of select criteria)]],"")</f>
        <v/>
      </c>
      <c r="CE272" s="201"/>
      <c r="CF272" s="206"/>
      <c r="CG272" s="206"/>
      <c r="CH272" s="206"/>
      <c r="CI272" s="206"/>
      <c r="CJ272" s="206"/>
      <c r="CK272" s="206"/>
      <c r="CL272" s="206"/>
      <c r="CM272" s="206"/>
      <c r="CN272" s="206"/>
      <c r="CO272" s="206"/>
      <c r="CP272" s="206"/>
      <c r="CQ272" s="206"/>
      <c r="CR272" s="206"/>
    </row>
    <row r="273" spans="2:96" ht="45" x14ac:dyDescent="0.25">
      <c r="B273" s="341" t="s">
        <v>4588</v>
      </c>
      <c r="C273" s="246">
        <f>_xlfn.XLOOKUP(FMS_Ranking4[[#This Row],[FMS ID]],FMS_Input[FMS_ID],FMS_Input[RFPG_NUM])</f>
        <v>4</v>
      </c>
      <c r="D273" s="309" t="str">
        <f>_xlfn.XLOOKUP(FMS_Ranking4[[#This Row],[FMS ID]],FMS_Input[FMS_ID],FMS_Input[FMS_NAME])</f>
        <v>Van Zandt County Flood Safety Improvements and Education</v>
      </c>
      <c r="E273" s="308" t="str">
        <f>_xlfn.XLOOKUP(FMS_Ranking4[[#This Row],[FMS ID]],FMS_Input[FMS_ID],FMS_Input[SPONSOR])</f>
        <v>00000110</v>
      </c>
      <c r="F273" s="309" t="str">
        <f>_xlfn.XLOOKUP(FMS_Ranking4[[#This Row],[FMS ID]],Sponsor[FMS_ID],Sponsor[SPONSOR NAME])</f>
        <v>Van Zandt</v>
      </c>
      <c r="G273" s="309" t="str">
        <f>_xlfn.XLOOKUP(FMS_Ranking4[[#This Row],[FMS ID]],FMS_Input[FMS_ID],FMS_Input[FMS_DESCR])</f>
        <v>Educate community on the dangers of low water crossings</v>
      </c>
      <c r="H273" s="248" t="str">
        <f>_xlfn.XLOOKUP(FMS_Ranking4[[#This Row],[FMS ID]],FMS_Input[FMS_ID],FMS_Input[FMS_TYPE])</f>
        <v>Education and Outreach</v>
      </c>
      <c r="I273" s="249">
        <f>_xlfn.XLOOKUP(FMS_Ranking4[[#This Row],[FMS ID]],FMS_Input[FMS_ID],FMS_Input[NRNC_COST])</f>
        <v>50000</v>
      </c>
      <c r="J273" s="250">
        <f>_xlfn.XLOOKUP(FMS_Ranking4[[#This Row],[FMS ID]],FMS_Input[FMS_ID],FMS_Input[FMS_COST])</f>
        <v>50000</v>
      </c>
      <c r="K273" s="251" t="str">
        <f>_xlfn.XLOOKUP(FMS_Ranking4[[#This Row],[FMS ID]],FMS_Input[FMS_ID],FMS_Input[EMER_NEED])</f>
        <v>No</v>
      </c>
      <c r="L273" s="252">
        <f t="shared" si="4"/>
        <v>0</v>
      </c>
      <c r="M273" s="253">
        <f>_xlfn.XLOOKUP(FMS_Ranking4[[#This Row],[FMS ID]],FMS_Input[FMS_ID],FMS_Input[STRUCT_100])</f>
        <v>1080</v>
      </c>
      <c r="N273" s="255">
        <f>(ASINH(FMS_Ranking4[[#This Row],[Structure at Risk Raw]]))*(10)/(ASINH(M$4))</f>
        <v>6.0359440643934219</v>
      </c>
      <c r="O273" s="256">
        <f>FMS_Ranking4[[#This Row],[Structures at risk, ArcSinh (0-10)]]*M$5*10</f>
        <v>6.0359440643934228</v>
      </c>
      <c r="P273" s="253">
        <f>_xlfn.XLOOKUP(FMS_Ranking4[[#This Row],[FMS ID]],FMS_Input[FMS_ID],FMS_Input[RES_STRUCT100])</f>
        <v>452</v>
      </c>
      <c r="Q273" s="257">
        <f>ASINH(FMS_Ranking4[[#This Row],[Res Structure Raw]])/Q$4*P$5*100</f>
        <v>0</v>
      </c>
      <c r="R273" s="253">
        <f>_xlfn.XLOOKUP(FMS_Ranking4[[#This Row],[FMS ID]],FMS_Input[FMS_ID],FMS_Input[POP100])</f>
        <v>1954</v>
      </c>
      <c r="S273" s="259">
        <f>(ASINH(FMS_Ranking4[[#This Row],[Pop at Risk Raw]]))*(10)/(ASINH(R$4))</f>
        <v>5.7098016863492447</v>
      </c>
      <c r="T273" s="256">
        <f>FMS_Ranking4[[#This Row],[Population at risk, ArcSinh (0-10)]]*R$5*10</f>
        <v>5.7098016863492447</v>
      </c>
      <c r="U273" s="253">
        <f>_xlfn.XLOOKUP(FMS_Ranking4[[#This Row],[FMS ID]],FMS_Input[FMS_ID],FMS_Input[CRITFAC100])</f>
        <v>0</v>
      </c>
      <c r="V273" s="259">
        <f>(ASINH(FMS_Ranking4[[#This Row],[Critical Facilities Raw]]))*(10)/(ASINH(U$4))</f>
        <v>0</v>
      </c>
      <c r="W273" s="256">
        <f>FMS_Ranking4[[#This Row],[Critical facilities at risk, ArcSinh (0-10)]]*U$5*10</f>
        <v>0</v>
      </c>
      <c r="X273" s="253">
        <f>_xlfn.XLOOKUP(FMS_Ranking4[[#This Row],[FMS ID]],FMS_Input[FMS_ID],FMS_Input[LWC])</f>
        <v>9</v>
      </c>
      <c r="Y273" s="259">
        <f>(ASINH(FMS_Ranking4[[#This Row],[LWC Raw]]))*(10)/(ASINH(X$4))</f>
        <v>3.919857876161724</v>
      </c>
      <c r="Z273" s="256">
        <f>FMS_Ranking4[[#This Row],[LWC, ArcSInh (0-10)]]*X$5*10</f>
        <v>3.919857876161724</v>
      </c>
      <c r="AA273" s="253">
        <f>_xlfn.XLOOKUP(FMS_Ranking4[[#This Row],[FMS ID]],FMS_Input[FMS_ID],FMS_Input[ROADCLS])</f>
        <v>9</v>
      </c>
      <c r="AB273" s="255">
        <f>(ASINH(FMS_Ranking4[[#This Row],[Road Closures Raw]]))*(10)/(ASINH(AA$4))</f>
        <v>3.013256341994186</v>
      </c>
      <c r="AC273" s="256">
        <f>FMS_Ranking4[[#This Row],[Road closures, ArcSinh (0-10)]]*AA$5*10</f>
        <v>1.506628170997093</v>
      </c>
      <c r="AD273" s="253">
        <f>_xlfn.XLOOKUP(FMS_Ranking4[[#This Row],[FMS ID]],FMS_Input[FMS_ID],FMS_Input[ROAD_MILES100])</f>
        <v>79</v>
      </c>
      <c r="AE273" s="259">
        <f>(ASINH(FMS_Ranking4[[#This Row],[Road Miles Raw]]))*(10)/(ASINH(AD$4))</f>
        <v>5.3953761504854318</v>
      </c>
      <c r="AF273" s="256">
        <f>FMS_Ranking4[[#This Row],[Length of roads at risk, ArcSinh (0-10)]]*AD$5*10</f>
        <v>5.3953761504854327</v>
      </c>
      <c r="AG273" s="253">
        <f>_xlfn.XLOOKUP(FMS_Ranking4[[#This Row],[FMS ID]],FMS_Input[FMS_ID],FMS_Input[FARMACRE100])</f>
        <v>24554.30078125</v>
      </c>
      <c r="AH273" s="255">
        <f>(ASINH(FMS_Ranking4[[#This Row],[Ag Land Raw]]))*(10)/(ASINH(AG$4))</f>
        <v>7.0166422838803282</v>
      </c>
      <c r="AI273" s="260">
        <f>FMS_Ranking4[[#This Row],[Farm &amp; ranch land, ArcSinh (0-10)]]*AG$5*10</f>
        <v>3.5083211419401645</v>
      </c>
      <c r="AJ273" s="258">
        <f>_xlfn.XLOOKUP(FMS_Ranking4[[#This Row],[FMS ID]],FMS_Input[FMS_ID],FMS_Input[REDSTRUCT100])</f>
        <v>0</v>
      </c>
      <c r="AK273" s="253">
        <f>_xlfn.XLOOKUP(FMS_Ranking4[[#This Row],[FMS ID]],FMS_Input[FMS_ID],FMS_Input[REMSTRC100])</f>
        <v>0</v>
      </c>
      <c r="AL273" s="259">
        <f>(ASINH(FMS_Ranking4[[#This Row],[Structures Removed Raw]]))*(10)/(ASINH(AK$4))</f>
        <v>0</v>
      </c>
      <c r="AM273" s="262">
        <f>FMS_Ranking4[[#This Row],[Structures removed, ArcSinh (0-10)]]*AK$5*10</f>
        <v>0</v>
      </c>
      <c r="AN273" s="253">
        <f>_xlfn.XLOOKUP(FMS_Ranking4[[#This Row],[FMS ID]],FMS_Input[FMS_ID],FMS_Input[REMRESSTRC100])</f>
        <v>0</v>
      </c>
      <c r="AO273" s="261">
        <f>FMS_Ranking4[[#This Row],[ArcSinh Res struct removed 0-10]]*AN$5*10</f>
        <v>0</v>
      </c>
      <c r="AP273" s="260">
        <f>ASINH(FMS_Ranking4[[#This Row],[Residential Structures Removed Raw]])/AP$4*AN$5*100</f>
        <v>0</v>
      </c>
      <c r="AQ273" s="254">
        <f>(ASINH(FMS_Ranking4[[#This Row],[Residential Structures Removed Raw]]))*(10)/(ASINH(AN$4))</f>
        <v>0</v>
      </c>
      <c r="AR273" s="253">
        <f>_xlfn.XLOOKUP(FMS_Ranking4[[#This Row],[FMS ID]],FMS_Input[FMS_ID],FMS_Input[REMPOP100])</f>
        <v>0</v>
      </c>
      <c r="AS273" s="259">
        <f>(ASINH(FMS_Ranking4[[#This Row],[Removed Pop Raw]]))*(10)/(ASINH(AR$4))</f>
        <v>0</v>
      </c>
      <c r="AT273" s="262">
        <f>FMS_Ranking4[[#This Row],[Removed population, ArcSinh (0-10)]]*AR$5*10</f>
        <v>0</v>
      </c>
      <c r="AU273" s="264">
        <f>_xlfn.XLOOKUP(FMS_Ranking4[[#This Row],[FMS ID]],FMS_Input[FMS_ID],FMS_Input[REMCRITFAC100])</f>
        <v>0</v>
      </c>
      <c r="AV273" s="264">
        <f>_xlfn.XLOOKUP(FMS_Ranking4[[#This Row],[FMS ID]],FMS_Input[FMS_ID],FMS_Input[REMLWC100])</f>
        <v>0</v>
      </c>
      <c r="AW273" s="264">
        <f>_xlfn.XLOOKUP(FMS_Ranking4[[#This Row],[FMS ID]],FMS_Input[FMS_ID],FMS_Input[REMROADCLS])</f>
        <v>0</v>
      </c>
      <c r="AX273" s="264">
        <f>_xlfn.XLOOKUP(FMS_Ranking4[[#This Row],[FMS ID]],FMS_Input[FMS_ID],FMS_Input[REMFRMACRE100])</f>
        <v>0</v>
      </c>
      <c r="AY273" s="258">
        <f>_xlfn.XLOOKUP(FMS_Ranking4[[#This Row],[FMS ID]],FMS_Input[FMS_ID],FMS_Input[COSTSTRUCT])</f>
        <v>0</v>
      </c>
      <c r="AZ273" s="253">
        <f>_xlfn.XLOOKUP(FMS_Ranking4[[#This Row],[FMS ID]],FMS_Input[FMS_ID],FMS_Input[NATURE])</f>
        <v>0</v>
      </c>
      <c r="BA273" s="262">
        <f>(((FMS_Ranking4[[#This Row],[% NBS Raw]]/AZ$4)*100)*AZ$5)</f>
        <v>0</v>
      </c>
      <c r="BB273" s="251" t="str">
        <f>_xlfn.XLOOKUP(FMS_Ranking4[[#This Row],[FMS ID]],FMS_Input[FMS_ID],FMS_Input[WATER_SUP])</f>
        <v>No</v>
      </c>
      <c r="BC273" s="265">
        <f>IF(FMS_Ranking4[[#This Row],[Water Supply Raw]]="Yes",10,0)</f>
        <v>0</v>
      </c>
      <c r="BD273" s="266">
        <f>_xlfn.XLOOKUP(FMS_Ranking4[[#This Row],[FMS Type]],FMS_TYPE[FMS_Type],FMS_TYPE[Score])</f>
        <v>6</v>
      </c>
      <c r="BE273" s="267">
        <f>FMS_Ranking4[[#This Row],[FMS_Type Score]]*$BD$5*10</f>
        <v>1.5000000000000002</v>
      </c>
      <c r="BF27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0.38628053083604141</v>
      </c>
      <c r="BG273" s="271">
        <f>_xlfn.RANK.EQ(BF273,$BF$8:$BF$870,0)+COUNTIF($BF$8:BF273,BF273)-1</f>
        <v>266</v>
      </c>
      <c r="BH273" s="268">
        <f>(((FMS_Ranking4[[#This Row],[Structures Removed Raw]]/AK$4)*100)*AK$5)+(((FMS_Ranking4[[#This Row],[Removed Pop Raw]]/AR$4)*100)*AR$5)</f>
        <v>0</v>
      </c>
      <c r="BI27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1.8862805308360415</v>
      </c>
      <c r="BJ273" s="205">
        <f>_xlfn.RANK.EQ(FMS_Ranking4[[#This Row],[Total Score 
(with linear
normalization)]],FMS_Ranking4[Total Score 
(with linear
normalization)],0)</f>
        <v>530</v>
      </c>
      <c r="BK273" s="205" t="e">
        <f>_xlfn.XLOOKUP(FMS_Ranking4[[#This Row],[FMS ID]],#REF!,#REF!)</f>
        <v>#REF!</v>
      </c>
      <c r="BL27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26.075929090327083</v>
      </c>
      <c r="BM273" s="272">
        <f>FMS_Ranking4[[#This Row],[ArcSinh Score Based on Normalized Reported Factors]]+FMS_Ranking4[[#This Row],[% NBS Score (Normalized)]]+(FMS_Ranking4[[#This Row],[Water Supply Score (Normalized)]]*10*$BB$5)+FMS_Ranking4[[#This Row],[FMS_Type Score Weighted]]</f>
        <v>27.575929090327083</v>
      </c>
      <c r="BN273" s="205">
        <f>_xlfn.RANK.EQ(FMS_Ranking4[[#This Row],[Total Score (with ArcSinh normalization of select criteria)]],FMS_Ranking4[Total Score (with ArcSinh normalization of select criteria)],0)</f>
        <v>266</v>
      </c>
      <c r="BO273" s="270" t="str">
        <f>_xlfn.XLOOKUP(FMS_Ranking4[[#This Row],[FMS ID]],FMS_Input[FMS_ID],FMS_Input[FMS_RANK_YEAR])</f>
        <v>2023 Amended Plan</v>
      </c>
      <c r="BP273" s="204">
        <f>_xlfn.XLOOKUP(FMS_Ranking4[[#This Row],[FMS ID]],Prev_Rank[FMS ID],Prev_Rank[Prev Rank])</f>
        <v>242</v>
      </c>
      <c r="BQ273" s="205" t="e">
        <f>_xlfn.XLOOKUP(FMS_Ranking4[[#This Row],[FMS ID]],#REF!,#REF!)</f>
        <v>#REF!</v>
      </c>
      <c r="BR273" s="199" t="e">
        <f>SUM(#REF!,#REF!,#REF!,#REF!,#REF!,#REF!,#REF!,#REF!,#REF!,FMS_Ranking4[[#This Row],[ArcSinh Res struct removed 0-10]],#REF!)</f>
        <v>#REF!</v>
      </c>
      <c r="BS273" s="199" t="e">
        <f>FMS_Ranking4[[#This Row],[Log Score Based on Normalized Reported Factors]]+FMS_Ranking4[[#This Row],[% NBS Score (Normalized)]]+(FMS_Ranking4[[#This Row],[Water Supply Score (Normalized)]]*10*$BB$5)+(FMS_Ranking4[[#This Row],[FMS_Type Score Weighted]])</f>
        <v>#REF!</v>
      </c>
      <c r="BT273" s="200" t="e">
        <f>_xlfn.RANK.EQ(FMS_Ranking4[[#This Row],[Log Total Score]],FMS_Ranking4[Log Total Score],0)</f>
        <v>#REF!</v>
      </c>
      <c r="BU273" s="200" t="e">
        <f>_xlfn.XLOOKUP(FMS_Ranking4[[#This Row],[FMS ID]],#REF!,#REF!)</f>
        <v>#REF!</v>
      </c>
      <c r="BV273" s="200">
        <f>FMS_Ranking4[[#This Row],[Region Number]]</f>
        <v>4</v>
      </c>
      <c r="BW273" s="200">
        <f>FMS_Ranking4[[#This Row],[Rank (with ArcSinh normalization of select criteria)]]-FMS_Ranking4[[#This Row],[Rank
(with linear
normalization)]]</f>
        <v>-264</v>
      </c>
      <c r="BX273" s="200" t="e">
        <f>FMS_Ranking4[[#This Row],[Log Rank]]-FMS_Ranking4[[#This Row],[Rank
(with linear
normalization)]]</f>
        <v>#REF!</v>
      </c>
      <c r="BY273" s="200" t="str">
        <f>IF(FMS_Ranking4[[#This Row],[FMS Type]]="Flood Measurement and Warning",FMS_Ranking4[[#This Row],[Rank (with ArcSinh normalization of select criteria)]],"")</f>
        <v/>
      </c>
      <c r="BZ273" s="200" t="str">
        <f>IF(FMS_Ranking4[[#This Row],[FMS Type]]="Regulatory and Guidance",FMS_Ranking4[[#This Row],[Rank (with ArcSinh normalization of select criteria)]],"")</f>
        <v/>
      </c>
      <c r="CA273" s="200">
        <f>IF(FMS_Ranking4[[#This Row],[FMS Type]]="Education and Outreach",FMS_Ranking4[[#This Row],[Rank (with ArcSinh normalization of select criteria)]],"")</f>
        <v>266</v>
      </c>
      <c r="CB273" s="200" t="str">
        <f>IF(FMS_Ranking4[[#This Row],[FMS Type]]="Property Acquisition and Structural Elevation",FMS_Ranking4[[#This Row],[Rank (with ArcSinh normalization of select criteria)]],"")</f>
        <v/>
      </c>
      <c r="CC273" s="200" t="str">
        <f>IF(FMS_Ranking4[[#This Row],[FMS Type]]="Infrastructure Projects",FMS_Ranking4[[#This Row],[Rank (with ArcSinh normalization of select criteria)]],"")</f>
        <v/>
      </c>
      <c r="CD273" s="200" t="str">
        <f>IF(FMS_Ranking4[[#This Row],[FMS Type]]="Other",FMS_Ranking4[[#This Row],[Rank (with ArcSinh normalization of select criteria)]],"")</f>
        <v/>
      </c>
      <c r="CE273" s="201"/>
      <c r="CF273" s="206"/>
      <c r="CG273" s="206"/>
      <c r="CH273" s="206"/>
      <c r="CI273" s="206"/>
      <c r="CJ273" s="206"/>
      <c r="CK273" s="206"/>
      <c r="CL273" s="206"/>
      <c r="CM273" s="206"/>
      <c r="CN273" s="206"/>
      <c r="CO273" s="206"/>
      <c r="CP273" s="206"/>
      <c r="CQ273" s="206"/>
      <c r="CR273" s="206"/>
    </row>
    <row r="274" spans="2:96" ht="120" x14ac:dyDescent="0.25">
      <c r="B274" s="341" t="s">
        <v>11</v>
      </c>
      <c r="C274" s="246">
        <f>_xlfn.XLOOKUP(FMS_Ranking4[[#This Row],[FMS ID]],FMS_Input[FMS_ID],FMS_Input[RFPG_NUM])</f>
        <v>6</v>
      </c>
      <c r="D274" s="309" t="str">
        <f>_xlfn.XLOOKUP(FMS_Ranking4[[#This Row],[FMS ID]],FMS_Input[FMS_ID],FMS_Input[FMS_NAME])</f>
        <v xml:space="preserve">City of Bellaire Floodwater Public Awareness Initiatives_x000D_
</v>
      </c>
      <c r="E274" s="308" t="str">
        <f>_xlfn.XLOOKUP(FMS_Ranking4[[#This Row],[FMS ID]],FMS_Input[FMS_ID],FMS_Input[SPONSOR])</f>
        <v>06002854</v>
      </c>
      <c r="F274" s="309" t="str">
        <f>_xlfn.XLOOKUP(FMS_Ranking4[[#This Row],[FMS ID]],Sponsor[FMS_ID],Sponsor[SPONSOR NAME])</f>
        <v>Bellaire</v>
      </c>
      <c r="G274" s="309" t="str">
        <f>_xlfn.XLOOKUP(FMS_Ranking4[[#This Row],[FMS ID]],FMS_Input[FMS_ID],FMS_Input[FMS_DESCR])</f>
        <v>Periodically distribute messages to residents warning of dangers of walking or playing in floodwaters. Develop a plan with local schools to educate children to avoid walking, playing, or riding bicycles in floodwaters.</v>
      </c>
      <c r="H274" s="248" t="str">
        <f>_xlfn.XLOOKUP(FMS_Ranking4[[#This Row],[FMS ID]],FMS_Input[FMS_ID],FMS_Input[FMS_TYPE])</f>
        <v>Education and Outreach</v>
      </c>
      <c r="I274" s="249">
        <f>_xlfn.XLOOKUP(FMS_Ranking4[[#This Row],[FMS ID]],FMS_Input[FMS_ID],FMS_Input[NRNC_COST])</f>
        <v>2500</v>
      </c>
      <c r="J274" s="250">
        <f>_xlfn.XLOOKUP(FMS_Ranking4[[#This Row],[FMS ID]],FMS_Input[FMS_ID],FMS_Input[FMS_COST])</f>
        <v>50000</v>
      </c>
      <c r="K274" s="251" t="str">
        <f>_xlfn.XLOOKUP(FMS_Ranking4[[#This Row],[FMS ID]],FMS_Input[FMS_ID],FMS_Input[EMER_NEED])</f>
        <v>No</v>
      </c>
      <c r="L274" s="252">
        <f t="shared" si="4"/>
        <v>0</v>
      </c>
      <c r="M274" s="253">
        <f>_xlfn.XLOOKUP(FMS_Ranking4[[#This Row],[FMS ID]],FMS_Input[FMS_ID],FMS_Input[STRUCT_100])</f>
        <v>5879</v>
      </c>
      <c r="N274" s="255">
        <f>(ASINH(FMS_Ranking4[[#This Row],[Structure at Risk Raw]]))*(10)/(ASINH(M$4))</f>
        <v>7.368014742322452</v>
      </c>
      <c r="O274" s="256">
        <f>FMS_Ranking4[[#This Row],[Structures at risk, ArcSinh (0-10)]]*M$5*10</f>
        <v>7.3680147423224529</v>
      </c>
      <c r="P274" s="253">
        <f>_xlfn.XLOOKUP(FMS_Ranking4[[#This Row],[FMS ID]],FMS_Input[FMS_ID],FMS_Input[RES_STRUCT100])</f>
        <v>5539</v>
      </c>
      <c r="Q274" s="257">
        <f>ASINH(FMS_Ranking4[[#This Row],[Res Structure Raw]])/Q$4*P$5*100</f>
        <v>0</v>
      </c>
      <c r="R274" s="253">
        <f>_xlfn.XLOOKUP(FMS_Ranking4[[#This Row],[FMS ID]],FMS_Input[FMS_ID],FMS_Input[POP100])</f>
        <v>25741</v>
      </c>
      <c r="S274" s="255">
        <f>(ASINH(FMS_Ranking4[[#This Row],[Pop at Risk Raw]]))*(10)/(ASINH(R$4))</f>
        <v>7.4896876847086586</v>
      </c>
      <c r="T274" s="256">
        <f>FMS_Ranking4[[#This Row],[Population at risk, ArcSinh (0-10)]]*R$5*10</f>
        <v>7.4896876847086595</v>
      </c>
      <c r="U274" s="253">
        <f>_xlfn.XLOOKUP(FMS_Ranking4[[#This Row],[FMS ID]],FMS_Input[FMS_ID],FMS_Input[CRITFAC100])</f>
        <v>71</v>
      </c>
      <c r="V274" s="255">
        <f>(ASINH(FMS_Ranking4[[#This Row],[Critical Facilities Raw]]))*(10)/(ASINH(U$4))</f>
        <v>5.8665890510003154</v>
      </c>
      <c r="W274" s="256">
        <f>FMS_Ranking4[[#This Row],[Critical facilities at risk, ArcSinh (0-10)]]*U$5*10</f>
        <v>5.8665890510003162</v>
      </c>
      <c r="X274" s="253">
        <f>_xlfn.XLOOKUP(FMS_Ranking4[[#This Row],[FMS ID]],FMS_Input[FMS_ID],FMS_Input[LWC])</f>
        <v>0</v>
      </c>
      <c r="Y274" s="255">
        <f>(ASINH(FMS_Ranking4[[#This Row],[LWC Raw]]))*(10)/(ASINH(X$4))</f>
        <v>0</v>
      </c>
      <c r="Z274" s="256">
        <f>FMS_Ranking4[[#This Row],[LWC, ArcSInh (0-10)]]*X$5*10</f>
        <v>0</v>
      </c>
      <c r="AA274" s="253">
        <f>_xlfn.XLOOKUP(FMS_Ranking4[[#This Row],[FMS ID]],FMS_Input[FMS_ID],FMS_Input[ROADCLS])</f>
        <v>0</v>
      </c>
      <c r="AB274" s="255">
        <f>(ASINH(FMS_Ranking4[[#This Row],[Road Closures Raw]]))*(10)/(ASINH(AA$4))</f>
        <v>0</v>
      </c>
      <c r="AC274" s="256">
        <f>FMS_Ranking4[[#This Row],[Road closures, ArcSinh (0-10)]]*AA$5*10</f>
        <v>0</v>
      </c>
      <c r="AD274" s="253">
        <f>_xlfn.XLOOKUP(FMS_Ranking4[[#This Row],[FMS ID]],FMS_Input[FMS_ID],FMS_Input[ROAD_MILES100])</f>
        <v>71</v>
      </c>
      <c r="AE274" s="255">
        <f>(ASINH(FMS_Ranking4[[#This Row],[Road Miles Raw]]))*(10)/(ASINH(AD$4))</f>
        <v>5.2816010241547486</v>
      </c>
      <c r="AF274" s="256">
        <f>FMS_Ranking4[[#This Row],[Length of roads at risk, ArcSinh (0-10)]]*AD$5*10</f>
        <v>5.2816010241547486</v>
      </c>
      <c r="AG274" s="253">
        <f>_xlfn.XLOOKUP(FMS_Ranking4[[#This Row],[FMS ID]],FMS_Input[FMS_ID],FMS_Input[FARMACRE100])</f>
        <v>0.1517360061407089</v>
      </c>
      <c r="AH274" s="255">
        <f>(ASINH(FMS_Ranking4[[#This Row],[Ag Land Raw]]))*(10)/(ASINH(AG$4))</f>
        <v>9.8190540267440299E-2</v>
      </c>
      <c r="AI274" s="260">
        <f>FMS_Ranking4[[#This Row],[Farm &amp; ranch land, ArcSinh (0-10)]]*AG$5*10</f>
        <v>4.9095270133720156E-2</v>
      </c>
      <c r="AJ274" s="258">
        <f>_xlfn.XLOOKUP(FMS_Ranking4[[#This Row],[FMS ID]],FMS_Input[FMS_ID],FMS_Input[REDSTRUCT100])</f>
        <v>0</v>
      </c>
      <c r="AK274" s="253">
        <f>_xlfn.XLOOKUP(FMS_Ranking4[[#This Row],[FMS ID]],FMS_Input[FMS_ID],FMS_Input[REMSTRC100])</f>
        <v>0</v>
      </c>
      <c r="AL274" s="255">
        <f>(ASINH(FMS_Ranking4[[#This Row],[Structures Removed Raw]]))*(10)/(ASINH(AK$4))</f>
        <v>0</v>
      </c>
      <c r="AM274" s="262">
        <f>FMS_Ranking4[[#This Row],[Structures removed, ArcSinh (0-10)]]*AK$5*10</f>
        <v>0</v>
      </c>
      <c r="AN274" s="253">
        <f>_xlfn.XLOOKUP(FMS_Ranking4[[#This Row],[FMS ID]],FMS_Input[FMS_ID],FMS_Input[REMRESSTRC100])</f>
        <v>0</v>
      </c>
      <c r="AO274" s="261">
        <f>FMS_Ranking4[[#This Row],[ArcSinh Res struct removed 0-10]]*AN$5*10</f>
        <v>0</v>
      </c>
      <c r="AP274" s="260">
        <f>ASINH(FMS_Ranking4[[#This Row],[Residential Structures Removed Raw]])/AP$4*AN$5*100</f>
        <v>0</v>
      </c>
      <c r="AQ274" s="258">
        <f>(ASINH(FMS_Ranking4[[#This Row],[Residential Structures Removed Raw]]))*(10)/(ASINH(AN$4))</f>
        <v>0</v>
      </c>
      <c r="AR274" s="253">
        <f>_xlfn.XLOOKUP(FMS_Ranking4[[#This Row],[FMS ID]],FMS_Input[FMS_ID],FMS_Input[REMPOP100])</f>
        <v>0</v>
      </c>
      <c r="AS274" s="255">
        <f>(ASINH(FMS_Ranking4[[#This Row],[Removed Pop Raw]]))*(10)/(ASINH(AR$4))</f>
        <v>0</v>
      </c>
      <c r="AT274" s="262">
        <f>FMS_Ranking4[[#This Row],[Removed population, ArcSinh (0-10)]]*AR$5*10</f>
        <v>0</v>
      </c>
      <c r="AU274" s="264">
        <f>_xlfn.XLOOKUP(FMS_Ranking4[[#This Row],[FMS ID]],FMS_Input[FMS_ID],FMS_Input[REMCRITFAC100])</f>
        <v>0</v>
      </c>
      <c r="AV274" s="264">
        <f>_xlfn.XLOOKUP(FMS_Ranking4[[#This Row],[FMS ID]],FMS_Input[FMS_ID],FMS_Input[REMLWC100])</f>
        <v>0</v>
      </c>
      <c r="AW274" s="264">
        <f>_xlfn.XLOOKUP(FMS_Ranking4[[#This Row],[FMS ID]],FMS_Input[FMS_ID],FMS_Input[REMROADCLS])</f>
        <v>0</v>
      </c>
      <c r="AX274" s="264">
        <f>_xlfn.XLOOKUP(FMS_Ranking4[[#This Row],[FMS ID]],FMS_Input[FMS_ID],FMS_Input[REMFRMACRE100])</f>
        <v>0</v>
      </c>
      <c r="AY274" s="258">
        <f>_xlfn.XLOOKUP(FMS_Ranking4[[#This Row],[FMS ID]],FMS_Input[FMS_ID],FMS_Input[COSTSTRUCT])</f>
        <v>0</v>
      </c>
      <c r="AZ274" s="253">
        <f>_xlfn.XLOOKUP(FMS_Ranking4[[#This Row],[FMS ID]],FMS_Input[FMS_ID],FMS_Input[NATURE])</f>
        <v>0</v>
      </c>
      <c r="BA274" s="262">
        <f>(((FMS_Ranking4[[#This Row],[% NBS Raw]]/AZ$4)*100)*AZ$5)</f>
        <v>0</v>
      </c>
      <c r="BB274" s="251" t="str">
        <f>_xlfn.XLOOKUP(FMS_Ranking4[[#This Row],[FMS ID]],FMS_Input[FMS_ID],FMS_Input[WATER_SUP])</f>
        <v>No</v>
      </c>
      <c r="BC274" s="265">
        <f>IF(FMS_Ranking4[[#This Row],[Water Supply Raw]]="Yes",10,0)</f>
        <v>0</v>
      </c>
      <c r="BD274" s="266">
        <f>_xlfn.XLOOKUP(FMS_Ranking4[[#This Row],[FMS Type]],FMS_TYPE[FMS_Type],FMS_TYPE[Score])</f>
        <v>6</v>
      </c>
      <c r="BE274" s="267">
        <f>FMS_Ranking4[[#This Row],[FMS_Type Score]]*$BD$5*10</f>
        <v>1.5000000000000002</v>
      </c>
      <c r="BF27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1.0389833579804335</v>
      </c>
      <c r="BG274" s="321">
        <f>_xlfn.RANK.EQ(BF274,$BF$8:$BF$870,0)+COUNTIF($BF$8:BF274,BF274)-1</f>
        <v>141</v>
      </c>
      <c r="BH274" s="294">
        <f>(((FMS_Ranking4[[#This Row],[Structures Removed Raw]]/AK$4)*100)*AK$5)+(((FMS_Ranking4[[#This Row],[Removed Pop Raw]]/AR$4)*100)*AR$5)</f>
        <v>0</v>
      </c>
      <c r="BI27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2.5389833579804337</v>
      </c>
      <c r="BJ274" s="251">
        <f>_xlfn.RANK.EQ(FMS_Ranking4[[#This Row],[Total Score 
(with linear
normalization)]],FMS_Ranking4[Total Score 
(with linear
normalization)],0)</f>
        <v>239</v>
      </c>
      <c r="BK274" s="251" t="e">
        <f>_xlfn.XLOOKUP(FMS_Ranking4[[#This Row],[FMS ID]],#REF!,#REF!)</f>
        <v>#REF!</v>
      </c>
      <c r="BL27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26.054987772319897</v>
      </c>
      <c r="BM274" s="324">
        <f>FMS_Ranking4[[#This Row],[ArcSinh Score Based on Normalized Reported Factors]]+FMS_Ranking4[[#This Row],[% NBS Score (Normalized)]]+(FMS_Ranking4[[#This Row],[Water Supply Score (Normalized)]]*10*$BB$5)+FMS_Ranking4[[#This Row],[FMS_Type Score Weighted]]</f>
        <v>27.554987772319897</v>
      </c>
      <c r="BN274" s="251">
        <f>_xlfn.RANK.EQ(FMS_Ranking4[[#This Row],[Total Score (with ArcSinh normalization of select criteria)]],FMS_Ranking4[Total Score (with ArcSinh normalization of select criteria)],0)</f>
        <v>267</v>
      </c>
      <c r="BO274" s="270" t="str">
        <f>_xlfn.XLOOKUP(FMS_Ranking4[[#This Row],[FMS ID]],FMS_Input[FMS_ID],FMS_Input[FMS_RANK_YEAR])</f>
        <v>2023 Amended Plan</v>
      </c>
      <c r="BP274" s="204">
        <f>_xlfn.XLOOKUP(FMS_Ranking4[[#This Row],[FMS ID]],Prev_Rank[FMS ID],Prev_Rank[Prev Rank])</f>
        <v>229</v>
      </c>
      <c r="BQ274" s="251" t="e">
        <f>_xlfn.XLOOKUP(FMS_Ranking4[[#This Row],[FMS ID]],#REF!,#REF!)</f>
        <v>#REF!</v>
      </c>
      <c r="BR274" s="199" t="e">
        <f>SUM(#REF!,#REF!,#REF!,#REF!,#REF!,#REF!,#REF!,#REF!,#REF!,FMS_Ranking4[[#This Row],[ArcSinh Res struct removed 0-10]],#REF!)</f>
        <v>#REF!</v>
      </c>
      <c r="BS274" s="199" t="e">
        <f>FMS_Ranking4[[#This Row],[Log Score Based on Normalized Reported Factors]]+FMS_Ranking4[[#This Row],[% NBS Score (Normalized)]]+(FMS_Ranking4[[#This Row],[Water Supply Score (Normalized)]]*10*$BB$5)+(FMS_Ranking4[[#This Row],[FMS_Type Score Weighted]])</f>
        <v>#REF!</v>
      </c>
      <c r="BT274" s="200" t="e">
        <f>_xlfn.RANK.EQ(FMS_Ranking4[[#This Row],[Log Total Score]],FMS_Ranking4[Log Total Score],0)</f>
        <v>#REF!</v>
      </c>
      <c r="BU274" s="200" t="e">
        <f>_xlfn.XLOOKUP(FMS_Ranking4[[#This Row],[FMS ID]],#REF!,#REF!)</f>
        <v>#REF!</v>
      </c>
      <c r="BV274" s="200">
        <f>FMS_Ranking4[[#This Row],[Region Number]]</f>
        <v>6</v>
      </c>
      <c r="BW274" s="200">
        <f>FMS_Ranking4[[#This Row],[Rank (with ArcSinh normalization of select criteria)]]-FMS_Ranking4[[#This Row],[Rank
(with linear
normalization)]]</f>
        <v>28</v>
      </c>
      <c r="BX274" s="200" t="e">
        <f>FMS_Ranking4[[#This Row],[Log Rank]]-FMS_Ranking4[[#This Row],[Rank
(with linear
normalization)]]</f>
        <v>#REF!</v>
      </c>
      <c r="BY274" s="200" t="str">
        <f>IF(FMS_Ranking4[[#This Row],[FMS Type]]="Flood Measurement and Warning",FMS_Ranking4[[#This Row],[Rank (with ArcSinh normalization of select criteria)]],"")</f>
        <v/>
      </c>
      <c r="BZ274" s="200" t="str">
        <f>IF(FMS_Ranking4[[#This Row],[FMS Type]]="Regulatory and Guidance",FMS_Ranking4[[#This Row],[Rank (with ArcSinh normalization of select criteria)]],"")</f>
        <v/>
      </c>
      <c r="CA274" s="200">
        <f>IF(FMS_Ranking4[[#This Row],[FMS Type]]="Education and Outreach",FMS_Ranking4[[#This Row],[Rank (with ArcSinh normalization of select criteria)]],"")</f>
        <v>267</v>
      </c>
      <c r="CB274" s="200" t="str">
        <f>IF(FMS_Ranking4[[#This Row],[FMS Type]]="Property Acquisition and Structural Elevation",FMS_Ranking4[[#This Row],[Rank (with ArcSinh normalization of select criteria)]],"")</f>
        <v/>
      </c>
      <c r="CC274" s="200" t="str">
        <f>IF(FMS_Ranking4[[#This Row],[FMS Type]]="Infrastructure Projects",FMS_Ranking4[[#This Row],[Rank (with ArcSinh normalization of select criteria)]],"")</f>
        <v/>
      </c>
      <c r="CD274" s="200" t="str">
        <f>IF(FMS_Ranking4[[#This Row],[FMS Type]]="Other",FMS_Ranking4[[#This Row],[Rank (with ArcSinh normalization of select criteria)]],"")</f>
        <v/>
      </c>
      <c r="CE274" s="201"/>
      <c r="CF274" s="206"/>
      <c r="CG274" s="206"/>
      <c r="CH274" s="206"/>
      <c r="CI274" s="206"/>
      <c r="CJ274" s="206"/>
      <c r="CK274" s="206"/>
      <c r="CL274" s="206"/>
      <c r="CM274" s="206"/>
      <c r="CN274" s="206"/>
      <c r="CO274" s="206"/>
      <c r="CP274" s="206"/>
      <c r="CQ274" s="206"/>
      <c r="CR274" s="206"/>
    </row>
    <row r="275" spans="2:96" ht="105" x14ac:dyDescent="0.25">
      <c r="B275" s="341" t="s">
        <v>11968</v>
      </c>
      <c r="C275" s="246">
        <f>_xlfn.XLOOKUP(FMS_Ranking4[[#This Row],[FMS ID]],FMS_Input[FMS_ID],FMS_Input[RFPG_NUM])</f>
        <v>15</v>
      </c>
      <c r="D275" s="309" t="str">
        <f>_xlfn.XLOOKUP(FMS_Ranking4[[#This Row],[FMS ID]],FMS_Input[FMS_ID],FMS_Input[FMS_NAME])</f>
        <v>City of Weslaco</v>
      </c>
      <c r="E275" s="308" t="str">
        <f>_xlfn.XLOOKUP(FMS_Ranking4[[#This Row],[FMS ID]],FMS_Input[FMS_ID],FMS_Input[SPONSOR])</f>
        <v>15000068</v>
      </c>
      <c r="F275" s="309" t="str">
        <f>_xlfn.XLOOKUP(FMS_Ranking4[[#This Row],[FMS ID]],Sponsor[FMS_ID],Sponsor[SPONSOR NAME])</f>
        <v>Weslaco</v>
      </c>
      <c r="G275" s="309" t="str">
        <f>_xlfn.XLOOKUP(FMS_Ranking4[[#This Row],[FMS ID]],FMS_Input[FMS_ID],FMS_Input[FMS_DESCR])</f>
        <v>FMS 2 - Assessment, development, and updating of the City's ordinances, orders, policies, engineering specifications, guidance documents and other flood management tools.</v>
      </c>
      <c r="H275" s="248" t="str">
        <f>_xlfn.XLOOKUP(FMS_Ranking4[[#This Row],[FMS ID]],FMS_Input[FMS_ID],FMS_Input[FMS_TYPE])</f>
        <v>Regulatory and Guidance</v>
      </c>
      <c r="I275" s="249">
        <f>_xlfn.XLOOKUP(FMS_Ranking4[[#This Row],[FMS ID]],FMS_Input[FMS_ID],FMS_Input[NRNC_COST])</f>
        <v>500000</v>
      </c>
      <c r="J275" s="250">
        <f>_xlfn.XLOOKUP(FMS_Ranking4[[#This Row],[FMS ID]],FMS_Input[FMS_ID],FMS_Input[FMS_COST])</f>
        <v>500000</v>
      </c>
      <c r="K275" s="251" t="str">
        <f>_xlfn.XLOOKUP(FMS_Ranking4[[#This Row],[FMS ID]],FMS_Input[FMS_ID],FMS_Input[EMER_NEED])</f>
        <v>Yes</v>
      </c>
      <c r="L275" s="252">
        <f t="shared" si="4"/>
        <v>1</v>
      </c>
      <c r="M275" s="253">
        <f>_xlfn.XLOOKUP(FMS_Ranking4[[#This Row],[FMS ID]],FMS_Input[FMS_ID],FMS_Input[STRUCT_100])</f>
        <v>4532</v>
      </c>
      <c r="N275" s="255">
        <f>(ASINH(FMS_Ranking4[[#This Row],[Structure at Risk Raw]]))*(10)/(ASINH(M$4))</f>
        <v>7.1634404583324747</v>
      </c>
      <c r="O275" s="256">
        <f>FMS_Ranking4[[#This Row],[Structures at risk, ArcSinh (0-10)]]*M$5*10</f>
        <v>7.1634404583324756</v>
      </c>
      <c r="P275" s="253">
        <f>_xlfn.XLOOKUP(FMS_Ranking4[[#This Row],[FMS ID]],FMS_Input[FMS_ID],FMS_Input[RES_STRUCT100])</f>
        <v>3444</v>
      </c>
      <c r="Q275" s="257">
        <f>ASINH(FMS_Ranking4[[#This Row],[Res Structure Raw]])/Q$4*P$5*100</f>
        <v>0</v>
      </c>
      <c r="R275" s="253">
        <f>_xlfn.XLOOKUP(FMS_Ranking4[[#This Row],[FMS ID]],FMS_Input[FMS_ID],FMS_Input[POP100])</f>
        <v>12194</v>
      </c>
      <c r="S275" s="259">
        <f>(ASINH(FMS_Ranking4[[#This Row],[Pop at Risk Raw]]))*(10)/(ASINH(R$4))</f>
        <v>6.9738927397600188</v>
      </c>
      <c r="T275" s="256">
        <f>FMS_Ranking4[[#This Row],[Population at risk, ArcSinh (0-10)]]*R$5*10</f>
        <v>6.9738927397600197</v>
      </c>
      <c r="U275" s="253">
        <f>_xlfn.XLOOKUP(FMS_Ranking4[[#This Row],[FMS ID]],FMS_Input[FMS_ID],FMS_Input[CRITFAC100])</f>
        <v>37</v>
      </c>
      <c r="V275" s="259">
        <f>(ASINH(FMS_Ranking4[[#This Row],[Critical Facilities Raw]]))*(10)/(ASINH(U$4))</f>
        <v>5.0952140220655693</v>
      </c>
      <c r="W275" s="256">
        <f>FMS_Ranking4[[#This Row],[Critical facilities at risk, ArcSinh (0-10)]]*U$5*10</f>
        <v>5.0952140220655693</v>
      </c>
      <c r="X275" s="253">
        <f>_xlfn.XLOOKUP(FMS_Ranking4[[#This Row],[FMS ID]],FMS_Input[FMS_ID],FMS_Input[LWC])</f>
        <v>0</v>
      </c>
      <c r="Y275" s="259">
        <f>(ASINH(FMS_Ranking4[[#This Row],[LWC Raw]]))*(10)/(ASINH(X$4))</f>
        <v>0</v>
      </c>
      <c r="Z275" s="256">
        <f>FMS_Ranking4[[#This Row],[LWC, ArcSInh (0-10)]]*X$5*10</f>
        <v>0</v>
      </c>
      <c r="AA275" s="253">
        <f>_xlfn.XLOOKUP(FMS_Ranking4[[#This Row],[FMS ID]],FMS_Input[FMS_ID],FMS_Input[ROADCLS])</f>
        <v>0</v>
      </c>
      <c r="AB275" s="255">
        <f>(ASINH(FMS_Ranking4[[#This Row],[Road Closures Raw]]))*(10)/(ASINH(AA$4))</f>
        <v>0</v>
      </c>
      <c r="AC275" s="256">
        <f>FMS_Ranking4[[#This Row],[Road closures, ArcSinh (0-10)]]*AA$5*10</f>
        <v>0</v>
      </c>
      <c r="AD275" s="253">
        <f>_xlfn.XLOOKUP(FMS_Ranking4[[#This Row],[FMS ID]],FMS_Input[FMS_ID],FMS_Input[ROAD_MILES100])</f>
        <v>104</v>
      </c>
      <c r="AE275" s="259">
        <f>(ASINH(FMS_Ranking4[[#This Row],[Road Miles Raw]]))*(10)/(ASINH(AD$4))</f>
        <v>5.6883717390481889</v>
      </c>
      <c r="AF275" s="256">
        <f>FMS_Ranking4[[#This Row],[Length of roads at risk, ArcSinh (0-10)]]*AD$5*10</f>
        <v>5.6883717390481889</v>
      </c>
      <c r="AG275" s="253">
        <f>_xlfn.XLOOKUP(FMS_Ranking4[[#This Row],[FMS ID]],FMS_Input[FMS_ID],FMS_Input[FARMACRE100])</f>
        <v>2.8594152927398682</v>
      </c>
      <c r="AH275" s="255">
        <f>(ASINH(FMS_Ranking4[[#This Row],[Ag Land Raw]]))*(10)/(ASINH(AG$4))</f>
        <v>1.1517252047840956</v>
      </c>
      <c r="AI275" s="260">
        <f>FMS_Ranking4[[#This Row],[Farm &amp; ranch land, ArcSinh (0-10)]]*AG$5*10</f>
        <v>0.57586260239204778</v>
      </c>
      <c r="AJ275" s="258">
        <f>_xlfn.XLOOKUP(FMS_Ranking4[[#This Row],[FMS ID]],FMS_Input[FMS_ID],FMS_Input[REDSTRUCT100])</f>
        <v>0</v>
      </c>
      <c r="AK275" s="253">
        <f>_xlfn.XLOOKUP(FMS_Ranking4[[#This Row],[FMS ID]],FMS_Input[FMS_ID],FMS_Input[REMSTRC100])</f>
        <v>0</v>
      </c>
      <c r="AL275" s="259">
        <f>(ASINH(FMS_Ranking4[[#This Row],[Structures Removed Raw]]))*(10)/(ASINH(AK$4))</f>
        <v>0</v>
      </c>
      <c r="AM275" s="262">
        <f>FMS_Ranking4[[#This Row],[Structures removed, ArcSinh (0-10)]]*AK$5*10</f>
        <v>0</v>
      </c>
      <c r="AN275" s="253">
        <f>_xlfn.XLOOKUP(FMS_Ranking4[[#This Row],[FMS ID]],FMS_Input[FMS_ID],FMS_Input[REMRESSTRC100])</f>
        <v>0</v>
      </c>
      <c r="AO275" s="261">
        <f>FMS_Ranking4[[#This Row],[ArcSinh Res struct removed 0-10]]*AN$5*10</f>
        <v>0</v>
      </c>
      <c r="AP275" s="260">
        <f>ASINH(FMS_Ranking4[[#This Row],[Residential Structures Removed Raw]])/AP$4*AN$5*100</f>
        <v>0</v>
      </c>
      <c r="AQ275" s="254">
        <f>(ASINH(FMS_Ranking4[[#This Row],[Residential Structures Removed Raw]]))*(10)/(ASINH(AN$4))</f>
        <v>0</v>
      </c>
      <c r="AR275" s="253">
        <f>_xlfn.XLOOKUP(FMS_Ranking4[[#This Row],[FMS ID]],FMS_Input[FMS_ID],FMS_Input[REMPOP100])</f>
        <v>0</v>
      </c>
      <c r="AS275" s="259">
        <f>(ASINH(FMS_Ranking4[[#This Row],[Removed Pop Raw]]))*(10)/(ASINH(AR$4))</f>
        <v>0</v>
      </c>
      <c r="AT275" s="262">
        <f>FMS_Ranking4[[#This Row],[Removed population, ArcSinh (0-10)]]*AR$5*10</f>
        <v>0</v>
      </c>
      <c r="AU275" s="264">
        <f>_xlfn.XLOOKUP(FMS_Ranking4[[#This Row],[FMS ID]],FMS_Input[FMS_ID],FMS_Input[REMCRITFAC100])</f>
        <v>0</v>
      </c>
      <c r="AV275" s="264">
        <f>_xlfn.XLOOKUP(FMS_Ranking4[[#This Row],[FMS ID]],FMS_Input[FMS_ID],FMS_Input[REMLWC100])</f>
        <v>0</v>
      </c>
      <c r="AW275" s="264">
        <f>_xlfn.XLOOKUP(FMS_Ranking4[[#This Row],[FMS ID]],FMS_Input[FMS_ID],FMS_Input[REMROADCLS])</f>
        <v>0</v>
      </c>
      <c r="AX275" s="264">
        <f>_xlfn.XLOOKUP(FMS_Ranking4[[#This Row],[FMS ID]],FMS_Input[FMS_ID],FMS_Input[REMFRMACRE100])</f>
        <v>0</v>
      </c>
      <c r="AY275" s="258">
        <f>_xlfn.XLOOKUP(FMS_Ranking4[[#This Row],[FMS ID]],FMS_Input[FMS_ID],FMS_Input[COSTSTRUCT])</f>
        <v>0</v>
      </c>
      <c r="AZ275" s="253">
        <f>_xlfn.XLOOKUP(FMS_Ranking4[[#This Row],[FMS ID]],FMS_Input[FMS_ID],FMS_Input[NATURE])</f>
        <v>0</v>
      </c>
      <c r="BA275" s="262">
        <f>(((FMS_Ranking4[[#This Row],[% NBS Raw]]/AZ$4)*100)*AZ$5)</f>
        <v>0</v>
      </c>
      <c r="BB275" s="251" t="str">
        <f>_xlfn.XLOOKUP(FMS_Ranking4[[#This Row],[FMS ID]],FMS_Input[FMS_ID],FMS_Input[WATER_SUP])</f>
        <v>No</v>
      </c>
      <c r="BC275" s="265">
        <f>IF(FMS_Ranking4[[#This Row],[Water Supply Raw]]="Yes",10,0)</f>
        <v>0</v>
      </c>
      <c r="BD275" s="266">
        <f>_xlfn.XLOOKUP(FMS_Ranking4[[#This Row],[FMS Type]],FMS_TYPE[FMS_Type],FMS_TYPE[Score])</f>
        <v>8</v>
      </c>
      <c r="BE275" s="267">
        <f>FMS_Ranking4[[#This Row],[FMS_Type Score]]*$BD$5*10</f>
        <v>2</v>
      </c>
      <c r="BF27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0.72947813649040505</v>
      </c>
      <c r="BG275" s="271">
        <f>_xlfn.RANK.EQ(BF275,$BF$8:$BF$870,0)+COUNTIF($BF$8:BF275,BF275)-1</f>
        <v>182</v>
      </c>
      <c r="BH275" s="268">
        <f>(((FMS_Ranking4[[#This Row],[Structures Removed Raw]]/AK$4)*100)*AK$5)+(((FMS_Ranking4[[#This Row],[Removed Pop Raw]]/AR$4)*100)*AR$5)</f>
        <v>0</v>
      </c>
      <c r="BI27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2.729478136490405</v>
      </c>
      <c r="BJ275" s="205">
        <f>_xlfn.RANK.EQ(FMS_Ranking4[[#This Row],[Total Score 
(with linear
normalization)]],FMS_Ranking4[Total Score 
(with linear
normalization)],0)</f>
        <v>203</v>
      </c>
      <c r="BK275" s="205" t="e">
        <f>_xlfn.XLOOKUP(FMS_Ranking4[[#This Row],[FMS ID]],#REF!,#REF!)</f>
        <v>#REF!</v>
      </c>
      <c r="BL27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25.496781561598301</v>
      </c>
      <c r="BM275" s="272">
        <f>FMS_Ranking4[[#This Row],[ArcSinh Score Based on Normalized Reported Factors]]+FMS_Ranking4[[#This Row],[% NBS Score (Normalized)]]+(FMS_Ranking4[[#This Row],[Water Supply Score (Normalized)]]*10*$BB$5)+FMS_Ranking4[[#This Row],[FMS_Type Score Weighted]]</f>
        <v>27.496781561598301</v>
      </c>
      <c r="BN275" s="205">
        <f>_xlfn.RANK.EQ(FMS_Ranking4[[#This Row],[Total Score (with ArcSinh normalization of select criteria)]],FMS_Ranking4[Total Score (with ArcSinh normalization of select criteria)],0)</f>
        <v>268</v>
      </c>
      <c r="BO275" s="270" t="str">
        <f>_xlfn.XLOOKUP(FMS_Ranking4[[#This Row],[FMS ID]],FMS_Input[FMS_ID],FMS_Input[FMS_RANK_YEAR])</f>
        <v>2025 Amended Plan</v>
      </c>
      <c r="BP275" s="204" t="e">
        <f>_xlfn.XLOOKUP(FMS_Ranking4[[#This Row],[FMS ID]],Prev_Rank[FMS ID],Prev_Rank[Prev Rank])</f>
        <v>#N/A</v>
      </c>
      <c r="BQ275" s="205" t="e">
        <f>_xlfn.XLOOKUP(FMS_Ranking4[[#This Row],[FMS ID]],#REF!,#REF!)</f>
        <v>#REF!</v>
      </c>
      <c r="BR275" s="199" t="e">
        <f>SUM(#REF!,#REF!,#REF!,#REF!,#REF!,#REF!,#REF!,#REF!,#REF!,FMS_Ranking4[[#This Row],[ArcSinh Res struct removed 0-10]],#REF!)</f>
        <v>#REF!</v>
      </c>
      <c r="BS275" s="199" t="e">
        <f>FMS_Ranking4[[#This Row],[Log Score Based on Normalized Reported Factors]]+FMS_Ranking4[[#This Row],[% NBS Score (Normalized)]]+(FMS_Ranking4[[#This Row],[Water Supply Score (Normalized)]]*10*$BB$5)+(FMS_Ranking4[[#This Row],[FMS_Type Score Weighted]])</f>
        <v>#REF!</v>
      </c>
      <c r="BT275" s="200" t="e">
        <f>_xlfn.RANK.EQ(FMS_Ranking4[[#This Row],[Log Total Score]],FMS_Ranking4[Log Total Score],0)</f>
        <v>#REF!</v>
      </c>
      <c r="BU275" s="200" t="e">
        <f>_xlfn.XLOOKUP(FMS_Ranking4[[#This Row],[FMS ID]],#REF!,#REF!)</f>
        <v>#REF!</v>
      </c>
      <c r="BV275" s="200">
        <f>FMS_Ranking4[[#This Row],[Region Number]]</f>
        <v>15</v>
      </c>
      <c r="BW275" s="200">
        <f>FMS_Ranking4[[#This Row],[Rank (with ArcSinh normalization of select criteria)]]-FMS_Ranking4[[#This Row],[Rank
(with linear
normalization)]]</f>
        <v>65</v>
      </c>
      <c r="BX275" s="200" t="e">
        <f>FMS_Ranking4[[#This Row],[Log Rank]]-FMS_Ranking4[[#This Row],[Rank
(with linear
normalization)]]</f>
        <v>#REF!</v>
      </c>
      <c r="BY275" s="200" t="str">
        <f>IF(FMS_Ranking4[[#This Row],[FMS Type]]="Flood Measurement and Warning",FMS_Ranking4[[#This Row],[Rank (with ArcSinh normalization of select criteria)]],"")</f>
        <v/>
      </c>
      <c r="BZ275" s="200">
        <f>IF(FMS_Ranking4[[#This Row],[FMS Type]]="Regulatory and Guidance",FMS_Ranking4[[#This Row],[Rank (with ArcSinh normalization of select criteria)]],"")</f>
        <v>268</v>
      </c>
      <c r="CA275" s="200" t="str">
        <f>IF(FMS_Ranking4[[#This Row],[FMS Type]]="Education and Outreach",FMS_Ranking4[[#This Row],[Rank (with ArcSinh normalization of select criteria)]],"")</f>
        <v/>
      </c>
      <c r="CB275" s="200" t="str">
        <f>IF(FMS_Ranking4[[#This Row],[FMS Type]]="Property Acquisition and Structural Elevation",FMS_Ranking4[[#This Row],[Rank (with ArcSinh normalization of select criteria)]],"")</f>
        <v/>
      </c>
      <c r="CC275" s="200" t="str">
        <f>IF(FMS_Ranking4[[#This Row],[FMS Type]]="Infrastructure Projects",FMS_Ranking4[[#This Row],[Rank (with ArcSinh normalization of select criteria)]],"")</f>
        <v/>
      </c>
      <c r="CD275" s="200" t="str">
        <f>IF(FMS_Ranking4[[#This Row],[FMS Type]]="Other",FMS_Ranking4[[#This Row],[Rank (with ArcSinh normalization of select criteria)]],"")</f>
        <v/>
      </c>
      <c r="CE275" s="201"/>
      <c r="CF275" s="206"/>
      <c r="CG275" s="206"/>
      <c r="CH275" s="206"/>
      <c r="CI275" s="206"/>
      <c r="CJ275" s="206"/>
      <c r="CK275" s="206"/>
      <c r="CL275" s="206"/>
      <c r="CM275" s="206"/>
      <c r="CN275" s="206"/>
      <c r="CO275" s="206"/>
      <c r="CP275" s="206"/>
      <c r="CQ275" s="206"/>
      <c r="CR275" s="206"/>
    </row>
    <row r="276" spans="2:96" ht="90" x14ac:dyDescent="0.25">
      <c r="B276" s="341" t="s">
        <v>12383</v>
      </c>
      <c r="C276" s="246">
        <f>_xlfn.XLOOKUP(FMS_Ranking4[[#This Row],[FMS ID]],FMS_Input[FMS_ID],FMS_Input[RFPG_NUM])</f>
        <v>5</v>
      </c>
      <c r="D276" s="309" t="str">
        <f>_xlfn.XLOOKUP(FMS_Ranking4[[#This Row],[FMS ID]],FMS_Input[FMS_ID],FMS_Input[FMS_NAME])</f>
        <v>Chambers County Drainage Criteria Manual Update</v>
      </c>
      <c r="E276" s="308" t="str">
        <f>_xlfn.XLOOKUP(FMS_Ranking4[[#This Row],[FMS ID]],FMS_Input[FMS_ID],FMS_Input[SPONSOR])</f>
        <v>00000013</v>
      </c>
      <c r="F276" s="309" t="str">
        <f>_xlfn.XLOOKUP(FMS_Ranking4[[#This Row],[FMS ID]],Sponsor[FMS_ID],Sponsor[SPONSOR NAME])</f>
        <v>Chambers</v>
      </c>
      <c r="G276" s="309" t="str">
        <f>_xlfn.XLOOKUP(FMS_Ranking4[[#This Row],[FMS ID]],FMS_Input[FMS_ID],FMS_Input[FMS_DESCR])</f>
        <v>Update Drainage Criteria Manual for the County to minimize and eliminate the possibility of future development adversely impacting downstream communities.</v>
      </c>
      <c r="H276" s="248" t="str">
        <f>_xlfn.XLOOKUP(FMS_Ranking4[[#This Row],[FMS ID]],FMS_Input[FMS_ID],FMS_Input[FMS_TYPE])</f>
        <v>Regulatory and Guidance</v>
      </c>
      <c r="I276" s="249">
        <f>_xlfn.XLOOKUP(FMS_Ranking4[[#This Row],[FMS ID]],FMS_Input[FMS_ID],FMS_Input[NRNC_COST])</f>
        <v>150000</v>
      </c>
      <c r="J276" s="250">
        <f>_xlfn.XLOOKUP(FMS_Ranking4[[#This Row],[FMS ID]],FMS_Input[FMS_ID],FMS_Input[FMS_COST])</f>
        <v>150000</v>
      </c>
      <c r="K276" s="251" t="str">
        <f>_xlfn.XLOOKUP(FMS_Ranking4[[#This Row],[FMS ID]],FMS_Input[FMS_ID],FMS_Input[EMER_NEED])</f>
        <v>No</v>
      </c>
      <c r="L276" s="252">
        <f t="shared" si="4"/>
        <v>0</v>
      </c>
      <c r="M276" s="253">
        <f>_xlfn.XLOOKUP(FMS_Ranking4[[#This Row],[FMS ID]],FMS_Input[FMS_ID],FMS_Input[STRUCT_100])</f>
        <v>2245</v>
      </c>
      <c r="N276" s="255">
        <f>(ASINH(FMS_Ranking4[[#This Row],[Structure at Risk Raw]]))*(10)/(ASINH(M$4))</f>
        <v>6.6112040482495562</v>
      </c>
      <c r="O276" s="256">
        <f>FMS_Ranking4[[#This Row],[Structures at risk, ArcSinh (0-10)]]*M$5*10</f>
        <v>6.6112040482495571</v>
      </c>
      <c r="P276" s="253">
        <f>_xlfn.XLOOKUP(FMS_Ranking4[[#This Row],[FMS ID]],FMS_Input[FMS_ID],FMS_Input[RES_STRUCT100])</f>
        <v>1180</v>
      </c>
      <c r="Q276" s="257">
        <f>ASINH(FMS_Ranking4[[#This Row],[Res Structure Raw]])/Q$4*P$5*100</f>
        <v>0</v>
      </c>
      <c r="R276" s="253">
        <f>_xlfn.XLOOKUP(FMS_Ranking4[[#This Row],[FMS ID]],FMS_Input[FMS_ID],FMS_Input[POP100])</f>
        <v>4352</v>
      </c>
      <c r="S276" s="255">
        <f>(ASINH(FMS_Ranking4[[#This Row],[Pop at Risk Raw]]))*(10)/(ASINH(R$4))</f>
        <v>6.262610795352904</v>
      </c>
      <c r="T276" s="256">
        <f>FMS_Ranking4[[#This Row],[Population at risk, ArcSinh (0-10)]]*R$5*10</f>
        <v>6.262610795352904</v>
      </c>
      <c r="U276" s="253">
        <f>_xlfn.XLOOKUP(FMS_Ranking4[[#This Row],[FMS ID]],FMS_Input[FMS_ID],FMS_Input[CRITFAC100])</f>
        <v>7</v>
      </c>
      <c r="V276" s="255">
        <f>(ASINH(FMS_Ranking4[[#This Row],[Critical Facilities Raw]]))*(10)/(ASINH(U$4))</f>
        <v>3.1300153354232236</v>
      </c>
      <c r="W276" s="256">
        <f>FMS_Ranking4[[#This Row],[Critical facilities at risk, ArcSinh (0-10)]]*U$5*10</f>
        <v>3.1300153354232241</v>
      </c>
      <c r="X276" s="253">
        <f>_xlfn.XLOOKUP(FMS_Ranking4[[#This Row],[FMS ID]],FMS_Input[FMS_ID],FMS_Input[LWC])</f>
        <v>0</v>
      </c>
      <c r="Y276" s="255">
        <f>(ASINH(FMS_Ranking4[[#This Row],[LWC Raw]]))*(10)/(ASINH(X$4))</f>
        <v>0</v>
      </c>
      <c r="Z276" s="256">
        <f>FMS_Ranking4[[#This Row],[LWC, ArcSInh (0-10)]]*X$5*10</f>
        <v>0</v>
      </c>
      <c r="AA276" s="253">
        <f>_xlfn.XLOOKUP(FMS_Ranking4[[#This Row],[FMS ID]],FMS_Input[FMS_ID],FMS_Input[ROADCLS])</f>
        <v>0</v>
      </c>
      <c r="AB276" s="255">
        <f>(ASINH(FMS_Ranking4[[#This Row],[Road Closures Raw]]))*(10)/(ASINH(AA$4))</f>
        <v>0</v>
      </c>
      <c r="AC276" s="256">
        <f>FMS_Ranking4[[#This Row],[Road closures, ArcSinh (0-10)]]*AA$5*10</f>
        <v>0</v>
      </c>
      <c r="AD276" s="253">
        <f>_xlfn.XLOOKUP(FMS_Ranking4[[#This Row],[FMS ID]],FMS_Input[FMS_ID],FMS_Input[ROAD_MILES100])</f>
        <v>100</v>
      </c>
      <c r="AE276" s="255">
        <f>(ASINH(FMS_Ranking4[[#This Row],[Road Miles Raw]]))*(10)/(ASINH(AD$4))</f>
        <v>5.6465752593087606</v>
      </c>
      <c r="AF276" s="256">
        <f>FMS_Ranking4[[#This Row],[Length of roads at risk, ArcSinh (0-10)]]*AD$5*10</f>
        <v>5.6465752593087606</v>
      </c>
      <c r="AG276" s="253">
        <f>_xlfn.XLOOKUP(FMS_Ranking4[[#This Row],[FMS ID]],FMS_Input[FMS_ID],FMS_Input[FARMACRE100])</f>
        <v>58715</v>
      </c>
      <c r="AH276" s="255">
        <f>(ASINH(FMS_Ranking4[[#This Row],[Ag Land Raw]]))*(10)/(ASINH(AG$4))</f>
        <v>7.5829527399479657</v>
      </c>
      <c r="AI276" s="260">
        <f>FMS_Ranking4[[#This Row],[Farm &amp; ranch land, ArcSinh (0-10)]]*AG$5*10</f>
        <v>3.7914763699739829</v>
      </c>
      <c r="AJ276" s="258">
        <f>_xlfn.XLOOKUP(FMS_Ranking4[[#This Row],[FMS ID]],FMS_Input[FMS_ID],FMS_Input[REDSTRUCT100])</f>
        <v>0</v>
      </c>
      <c r="AK276" s="253">
        <f>_xlfn.XLOOKUP(FMS_Ranking4[[#This Row],[FMS ID]],FMS_Input[FMS_ID],FMS_Input[REMSTRC100])</f>
        <v>0</v>
      </c>
      <c r="AL276" s="255">
        <f>(ASINH(FMS_Ranking4[[#This Row],[Structures Removed Raw]]))*(10)/(ASINH(AK$4))</f>
        <v>0</v>
      </c>
      <c r="AM276" s="262">
        <f>FMS_Ranking4[[#This Row],[Structures removed, ArcSinh (0-10)]]*AK$5*10</f>
        <v>0</v>
      </c>
      <c r="AN276" s="253">
        <f>_xlfn.XLOOKUP(FMS_Ranking4[[#This Row],[FMS ID]],FMS_Input[FMS_ID],FMS_Input[REMRESSTRC100])</f>
        <v>0</v>
      </c>
      <c r="AO276" s="261">
        <f>FMS_Ranking4[[#This Row],[ArcSinh Res struct removed 0-10]]*AN$5*10</f>
        <v>0</v>
      </c>
      <c r="AP276" s="260">
        <f>ASINH(FMS_Ranking4[[#This Row],[Residential Structures Removed Raw]])/AP$4*AN$5*100</f>
        <v>0</v>
      </c>
      <c r="AQ276" s="258">
        <f>(ASINH(FMS_Ranking4[[#This Row],[Residential Structures Removed Raw]]))*(10)/(ASINH(AN$4))</f>
        <v>0</v>
      </c>
      <c r="AR276" s="253">
        <f>_xlfn.XLOOKUP(FMS_Ranking4[[#This Row],[FMS ID]],FMS_Input[FMS_ID],FMS_Input[REMPOP100])</f>
        <v>0</v>
      </c>
      <c r="AS276" s="255">
        <f>(ASINH(FMS_Ranking4[[#This Row],[Removed Pop Raw]]))*(10)/(ASINH(AR$4))</f>
        <v>0</v>
      </c>
      <c r="AT276" s="262">
        <f>FMS_Ranking4[[#This Row],[Removed population, ArcSinh (0-10)]]*AR$5*10</f>
        <v>0</v>
      </c>
      <c r="AU276" s="264">
        <f>_xlfn.XLOOKUP(FMS_Ranking4[[#This Row],[FMS ID]],FMS_Input[FMS_ID],FMS_Input[REMCRITFAC100])</f>
        <v>0</v>
      </c>
      <c r="AV276" s="264">
        <f>_xlfn.XLOOKUP(FMS_Ranking4[[#This Row],[FMS ID]],FMS_Input[FMS_ID],FMS_Input[REMLWC100])</f>
        <v>0</v>
      </c>
      <c r="AW276" s="264">
        <f>_xlfn.XLOOKUP(FMS_Ranking4[[#This Row],[FMS ID]],FMS_Input[FMS_ID],FMS_Input[REMROADCLS])</f>
        <v>0</v>
      </c>
      <c r="AX276" s="264">
        <f>_xlfn.XLOOKUP(FMS_Ranking4[[#This Row],[FMS ID]],FMS_Input[FMS_ID],FMS_Input[REMFRMACRE100])</f>
        <v>0</v>
      </c>
      <c r="AY276" s="258">
        <f>_xlfn.XLOOKUP(FMS_Ranking4[[#This Row],[FMS ID]],FMS_Input[FMS_ID],FMS_Input[COSTSTRUCT])</f>
        <v>0</v>
      </c>
      <c r="AZ276" s="253">
        <f>_xlfn.XLOOKUP(FMS_Ranking4[[#This Row],[FMS ID]],FMS_Input[FMS_ID],FMS_Input[NATURE])</f>
        <v>0</v>
      </c>
      <c r="BA276" s="262">
        <f>(((FMS_Ranking4[[#This Row],[% NBS Raw]]/AZ$4)*100)*AZ$5)</f>
        <v>0</v>
      </c>
      <c r="BB276" s="251" t="str">
        <f>_xlfn.XLOOKUP(FMS_Ranking4[[#This Row],[FMS ID]],FMS_Input[FMS_ID],FMS_Input[WATER_SUP])</f>
        <v>No</v>
      </c>
      <c r="BC276" s="265">
        <f>IF(FMS_Ranking4[[#This Row],[Water Supply Raw]]="Yes",10,0)</f>
        <v>0</v>
      </c>
      <c r="BD276" s="266">
        <f>_xlfn.XLOOKUP(FMS_Ranking4[[#This Row],[FMS Type]],FMS_TYPE[FMS_Type],FMS_TYPE[Score])</f>
        <v>8</v>
      </c>
      <c r="BE276" s="267">
        <f>FMS_Ranking4[[#This Row],[FMS_Type Score]]*$BD$5*10</f>
        <v>2</v>
      </c>
      <c r="BF27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0.49811373801996212</v>
      </c>
      <c r="BG276" s="321">
        <f>_xlfn.RANK.EQ(BF276,$BF$8:$BF$870,0)+COUNTIF($BF$8:BF276,BF276)-1</f>
        <v>225</v>
      </c>
      <c r="BH276" s="294">
        <f>(((FMS_Ranking4[[#This Row],[Structures Removed Raw]]/AK$4)*100)*AK$5)+(((FMS_Ranking4[[#This Row],[Removed Pop Raw]]/AR$4)*100)*AR$5)</f>
        <v>0</v>
      </c>
      <c r="BI27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2.4981137380199621</v>
      </c>
      <c r="BJ276" s="251">
        <f>_xlfn.RANK.EQ(FMS_Ranking4[[#This Row],[Total Score 
(with linear
normalization)]],FMS_Ranking4[Total Score 
(with linear
normalization)],0)</f>
        <v>263</v>
      </c>
      <c r="BK276" s="251" t="e">
        <f>_xlfn.XLOOKUP(FMS_Ranking4[[#This Row],[FMS ID]],#REF!,#REF!)</f>
        <v>#REF!</v>
      </c>
      <c r="BL27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25.441881808308427</v>
      </c>
      <c r="BM276" s="324">
        <f>FMS_Ranking4[[#This Row],[ArcSinh Score Based on Normalized Reported Factors]]+FMS_Ranking4[[#This Row],[% NBS Score (Normalized)]]+(FMS_Ranking4[[#This Row],[Water Supply Score (Normalized)]]*10*$BB$5)+FMS_Ranking4[[#This Row],[FMS_Type Score Weighted]]</f>
        <v>27.441881808308427</v>
      </c>
      <c r="BN276" s="251">
        <f>_xlfn.RANK.EQ(FMS_Ranking4[[#This Row],[Total Score (with ArcSinh normalization of select criteria)]],FMS_Ranking4[Total Score (with ArcSinh normalization of select criteria)],0)</f>
        <v>269</v>
      </c>
      <c r="BO276" s="270" t="str">
        <f>_xlfn.XLOOKUP(FMS_Ranking4[[#This Row],[FMS ID]],FMS_Input[FMS_ID],FMS_Input[FMS_RANK_YEAR])</f>
        <v>2025 Amended Plan</v>
      </c>
      <c r="BP276" s="204" t="e">
        <f>_xlfn.XLOOKUP(FMS_Ranking4[[#This Row],[FMS ID]],Prev_Rank[FMS ID],Prev_Rank[Prev Rank])</f>
        <v>#N/A</v>
      </c>
      <c r="BQ276" s="251" t="e">
        <f>_xlfn.XLOOKUP(FMS_Ranking4[[#This Row],[FMS ID]],#REF!,#REF!)</f>
        <v>#REF!</v>
      </c>
      <c r="BR276" s="199" t="e">
        <f>SUM(#REF!,#REF!,#REF!,#REF!,#REF!,#REF!,#REF!,#REF!,#REF!,FMS_Ranking4[[#This Row],[ArcSinh Res struct removed 0-10]],#REF!)</f>
        <v>#REF!</v>
      </c>
      <c r="BS276" s="199" t="e">
        <f>FMS_Ranking4[[#This Row],[Log Score Based on Normalized Reported Factors]]+FMS_Ranking4[[#This Row],[% NBS Score (Normalized)]]+(FMS_Ranking4[[#This Row],[Water Supply Score (Normalized)]]*10*$BB$5)+(FMS_Ranking4[[#This Row],[FMS_Type Score Weighted]])</f>
        <v>#REF!</v>
      </c>
      <c r="BT276" s="200" t="e">
        <f>_xlfn.RANK.EQ(FMS_Ranking4[[#This Row],[Log Total Score]],FMS_Ranking4[Log Total Score],0)</f>
        <v>#REF!</v>
      </c>
      <c r="BU276" s="200" t="e">
        <f>_xlfn.XLOOKUP(FMS_Ranking4[[#This Row],[FMS ID]],#REF!,#REF!)</f>
        <v>#REF!</v>
      </c>
      <c r="BV276" s="200">
        <f>FMS_Ranking4[[#This Row],[Region Number]]</f>
        <v>5</v>
      </c>
      <c r="BW276" s="200">
        <f>FMS_Ranking4[[#This Row],[Rank (with ArcSinh normalization of select criteria)]]-FMS_Ranking4[[#This Row],[Rank
(with linear
normalization)]]</f>
        <v>6</v>
      </c>
      <c r="BX276" s="200" t="e">
        <f>FMS_Ranking4[[#This Row],[Log Rank]]-FMS_Ranking4[[#This Row],[Rank
(with linear
normalization)]]</f>
        <v>#REF!</v>
      </c>
      <c r="BY276" s="200" t="str">
        <f>IF(FMS_Ranking4[[#This Row],[FMS Type]]="Flood Measurement and Warning",FMS_Ranking4[[#This Row],[Rank (with ArcSinh normalization of select criteria)]],"")</f>
        <v/>
      </c>
      <c r="BZ276" s="200">
        <f>IF(FMS_Ranking4[[#This Row],[FMS Type]]="Regulatory and Guidance",FMS_Ranking4[[#This Row],[Rank (with ArcSinh normalization of select criteria)]],"")</f>
        <v>269</v>
      </c>
      <c r="CA276" s="200" t="str">
        <f>IF(FMS_Ranking4[[#This Row],[FMS Type]]="Education and Outreach",FMS_Ranking4[[#This Row],[Rank (with ArcSinh normalization of select criteria)]],"")</f>
        <v/>
      </c>
      <c r="CB276" s="200" t="str">
        <f>IF(FMS_Ranking4[[#This Row],[FMS Type]]="Property Acquisition and Structural Elevation",FMS_Ranking4[[#This Row],[Rank (with ArcSinh normalization of select criteria)]],"")</f>
        <v/>
      </c>
      <c r="CC276" s="200" t="str">
        <f>IF(FMS_Ranking4[[#This Row],[FMS Type]]="Infrastructure Projects",FMS_Ranking4[[#This Row],[Rank (with ArcSinh normalization of select criteria)]],"")</f>
        <v/>
      </c>
      <c r="CD276" s="200" t="str">
        <f>IF(FMS_Ranking4[[#This Row],[FMS Type]]="Other",FMS_Ranking4[[#This Row],[Rank (with ArcSinh normalization of select criteria)]],"")</f>
        <v/>
      </c>
      <c r="CE276" s="201"/>
      <c r="CF276" s="206"/>
      <c r="CG276" s="206"/>
      <c r="CH276" s="206"/>
      <c r="CI276" s="206"/>
      <c r="CJ276" s="206"/>
      <c r="CK276" s="206"/>
      <c r="CL276" s="206"/>
      <c r="CM276" s="206"/>
      <c r="CN276" s="206"/>
      <c r="CO276" s="206"/>
      <c r="CP276" s="206"/>
      <c r="CQ276" s="206"/>
      <c r="CR276" s="206"/>
    </row>
    <row r="277" spans="2:96" ht="60" x14ac:dyDescent="0.25">
      <c r="B277" s="341" t="s">
        <v>12372</v>
      </c>
      <c r="C277" s="246">
        <f>_xlfn.XLOOKUP(FMS_Ranking4[[#This Row],[FMS ID]],FMS_Input[FMS_ID],FMS_Input[RFPG_NUM])</f>
        <v>5</v>
      </c>
      <c r="D277" s="309" t="str">
        <f>_xlfn.XLOOKUP(FMS_Ranking4[[#This Row],[FMS ID]],FMS_Input[FMS_ID],FMS_Input[FMS_NAME])</f>
        <v>Community Rating System</v>
      </c>
      <c r="E277" s="308" t="str">
        <f>_xlfn.XLOOKUP(FMS_Ranking4[[#This Row],[FMS ID]],FMS_Input[FMS_ID],FMS_Input[SPONSOR])</f>
        <v>00000013</v>
      </c>
      <c r="F277" s="309" t="str">
        <f>_xlfn.XLOOKUP(FMS_Ranking4[[#This Row],[FMS ID]],Sponsor[FMS_ID],Sponsor[SPONSOR NAME])</f>
        <v>Chambers</v>
      </c>
      <c r="G277" s="309" t="str">
        <f>_xlfn.XLOOKUP(FMS_Ranking4[[#This Row],[FMS ID]],FMS_Input[FMS_ID],FMS_Input[FMS_DESCR])</f>
        <v>Join the Community Rating System to reduce flood insurance premiums and flood risk for residents.</v>
      </c>
      <c r="H277" s="248" t="str">
        <f>_xlfn.XLOOKUP(FMS_Ranking4[[#This Row],[FMS ID]],FMS_Input[FMS_ID],FMS_Input[FMS_TYPE])</f>
        <v>Regulatory and Guidance</v>
      </c>
      <c r="I277" s="249">
        <f>_xlfn.XLOOKUP(FMS_Ranking4[[#This Row],[FMS ID]],FMS_Input[FMS_ID],FMS_Input[NRNC_COST])</f>
        <v>69022</v>
      </c>
      <c r="J277" s="250">
        <f>_xlfn.XLOOKUP(FMS_Ranking4[[#This Row],[FMS ID]],FMS_Input[FMS_ID],FMS_Input[FMS_COST])</f>
        <v>69022</v>
      </c>
      <c r="K277" s="251" t="str">
        <f>_xlfn.XLOOKUP(FMS_Ranking4[[#This Row],[FMS ID]],FMS_Input[FMS_ID],FMS_Input[EMER_NEED])</f>
        <v>No</v>
      </c>
      <c r="L277" s="252">
        <f t="shared" si="4"/>
        <v>0</v>
      </c>
      <c r="M277" s="253">
        <f>_xlfn.XLOOKUP(FMS_Ranking4[[#This Row],[FMS ID]],FMS_Input[FMS_ID],FMS_Input[STRUCT_100])</f>
        <v>2245</v>
      </c>
      <c r="N277" s="255">
        <f>(ASINH(FMS_Ranking4[[#This Row],[Structure at Risk Raw]]))*(10)/(ASINH(M$4))</f>
        <v>6.6112040482495562</v>
      </c>
      <c r="O277" s="256">
        <f>FMS_Ranking4[[#This Row],[Structures at risk, ArcSinh (0-10)]]*M$5*10</f>
        <v>6.6112040482495571</v>
      </c>
      <c r="P277" s="253">
        <f>_xlfn.XLOOKUP(FMS_Ranking4[[#This Row],[FMS ID]],FMS_Input[FMS_ID],FMS_Input[RES_STRUCT100])</f>
        <v>1180</v>
      </c>
      <c r="Q277" s="257">
        <f>ASINH(FMS_Ranking4[[#This Row],[Res Structure Raw]])/Q$4*P$5*100</f>
        <v>0</v>
      </c>
      <c r="R277" s="253">
        <f>_xlfn.XLOOKUP(FMS_Ranking4[[#This Row],[FMS ID]],FMS_Input[FMS_ID],FMS_Input[POP100])</f>
        <v>4352</v>
      </c>
      <c r="S277" s="259">
        <f>(ASINH(FMS_Ranking4[[#This Row],[Pop at Risk Raw]]))*(10)/(ASINH(R$4))</f>
        <v>6.262610795352904</v>
      </c>
      <c r="T277" s="256">
        <f>FMS_Ranking4[[#This Row],[Population at risk, ArcSinh (0-10)]]*R$5*10</f>
        <v>6.262610795352904</v>
      </c>
      <c r="U277" s="253">
        <f>_xlfn.XLOOKUP(FMS_Ranking4[[#This Row],[FMS ID]],FMS_Input[FMS_ID],FMS_Input[CRITFAC100])</f>
        <v>7</v>
      </c>
      <c r="V277" s="259">
        <f>(ASINH(FMS_Ranking4[[#This Row],[Critical Facilities Raw]]))*(10)/(ASINH(U$4))</f>
        <v>3.1300153354232236</v>
      </c>
      <c r="W277" s="256">
        <f>FMS_Ranking4[[#This Row],[Critical facilities at risk, ArcSinh (0-10)]]*U$5*10</f>
        <v>3.1300153354232241</v>
      </c>
      <c r="X277" s="253">
        <f>_xlfn.XLOOKUP(FMS_Ranking4[[#This Row],[FMS ID]],FMS_Input[FMS_ID],FMS_Input[LWC])</f>
        <v>0</v>
      </c>
      <c r="Y277" s="259">
        <f>(ASINH(FMS_Ranking4[[#This Row],[LWC Raw]]))*(10)/(ASINH(X$4))</f>
        <v>0</v>
      </c>
      <c r="Z277" s="256">
        <f>FMS_Ranking4[[#This Row],[LWC, ArcSInh (0-10)]]*X$5*10</f>
        <v>0</v>
      </c>
      <c r="AA277" s="253">
        <f>_xlfn.XLOOKUP(FMS_Ranking4[[#This Row],[FMS ID]],FMS_Input[FMS_ID],FMS_Input[ROADCLS])</f>
        <v>0</v>
      </c>
      <c r="AB277" s="255">
        <f>(ASINH(FMS_Ranking4[[#This Row],[Road Closures Raw]]))*(10)/(ASINH(AA$4))</f>
        <v>0</v>
      </c>
      <c r="AC277" s="256">
        <f>FMS_Ranking4[[#This Row],[Road closures, ArcSinh (0-10)]]*AA$5*10</f>
        <v>0</v>
      </c>
      <c r="AD277" s="253">
        <f>_xlfn.XLOOKUP(FMS_Ranking4[[#This Row],[FMS ID]],FMS_Input[FMS_ID],FMS_Input[ROAD_MILES100])</f>
        <v>100</v>
      </c>
      <c r="AE277" s="259">
        <f>(ASINH(FMS_Ranking4[[#This Row],[Road Miles Raw]]))*(10)/(ASINH(AD$4))</f>
        <v>5.6465752593087606</v>
      </c>
      <c r="AF277" s="256">
        <f>FMS_Ranking4[[#This Row],[Length of roads at risk, ArcSinh (0-10)]]*AD$5*10</f>
        <v>5.6465752593087606</v>
      </c>
      <c r="AG277" s="253">
        <f>_xlfn.XLOOKUP(FMS_Ranking4[[#This Row],[FMS ID]],FMS_Input[FMS_ID],FMS_Input[FARMACRE100])</f>
        <v>58715</v>
      </c>
      <c r="AH277" s="255">
        <f>(ASINH(FMS_Ranking4[[#This Row],[Ag Land Raw]]))*(10)/(ASINH(AG$4))</f>
        <v>7.5829527399479657</v>
      </c>
      <c r="AI277" s="260">
        <f>FMS_Ranking4[[#This Row],[Farm &amp; ranch land, ArcSinh (0-10)]]*AG$5*10</f>
        <v>3.7914763699739829</v>
      </c>
      <c r="AJ277" s="258">
        <f>_xlfn.XLOOKUP(FMS_Ranking4[[#This Row],[FMS ID]],FMS_Input[FMS_ID],FMS_Input[REDSTRUCT100])</f>
        <v>0</v>
      </c>
      <c r="AK277" s="253">
        <f>_xlfn.XLOOKUP(FMS_Ranking4[[#This Row],[FMS ID]],FMS_Input[FMS_ID],FMS_Input[REMSTRC100])</f>
        <v>0</v>
      </c>
      <c r="AL277" s="259">
        <f>(ASINH(FMS_Ranking4[[#This Row],[Structures Removed Raw]]))*(10)/(ASINH(AK$4))</f>
        <v>0</v>
      </c>
      <c r="AM277" s="262">
        <f>FMS_Ranking4[[#This Row],[Structures removed, ArcSinh (0-10)]]*AK$5*10</f>
        <v>0</v>
      </c>
      <c r="AN277" s="253">
        <f>_xlfn.XLOOKUP(FMS_Ranking4[[#This Row],[FMS ID]],FMS_Input[FMS_ID],FMS_Input[REMRESSTRC100])</f>
        <v>0</v>
      </c>
      <c r="AO277" s="261">
        <f>FMS_Ranking4[[#This Row],[ArcSinh Res struct removed 0-10]]*AN$5*10</f>
        <v>0</v>
      </c>
      <c r="AP277" s="260">
        <f>ASINH(FMS_Ranking4[[#This Row],[Residential Structures Removed Raw]])/AP$4*AN$5*100</f>
        <v>0</v>
      </c>
      <c r="AQ277" s="254">
        <f>(ASINH(FMS_Ranking4[[#This Row],[Residential Structures Removed Raw]]))*(10)/(ASINH(AN$4))</f>
        <v>0</v>
      </c>
      <c r="AR277" s="253">
        <f>_xlfn.XLOOKUP(FMS_Ranking4[[#This Row],[FMS ID]],FMS_Input[FMS_ID],FMS_Input[REMPOP100])</f>
        <v>0</v>
      </c>
      <c r="AS277" s="259">
        <f>(ASINH(FMS_Ranking4[[#This Row],[Removed Pop Raw]]))*(10)/(ASINH(AR$4))</f>
        <v>0</v>
      </c>
      <c r="AT277" s="262">
        <f>FMS_Ranking4[[#This Row],[Removed population, ArcSinh (0-10)]]*AR$5*10</f>
        <v>0</v>
      </c>
      <c r="AU277" s="264">
        <f>_xlfn.XLOOKUP(FMS_Ranking4[[#This Row],[FMS ID]],FMS_Input[FMS_ID],FMS_Input[REMCRITFAC100])</f>
        <v>0</v>
      </c>
      <c r="AV277" s="264">
        <f>_xlfn.XLOOKUP(FMS_Ranking4[[#This Row],[FMS ID]],FMS_Input[FMS_ID],FMS_Input[REMLWC100])</f>
        <v>0</v>
      </c>
      <c r="AW277" s="264">
        <f>_xlfn.XLOOKUP(FMS_Ranking4[[#This Row],[FMS ID]],FMS_Input[FMS_ID],FMS_Input[REMROADCLS])</f>
        <v>0</v>
      </c>
      <c r="AX277" s="264">
        <f>_xlfn.XLOOKUP(FMS_Ranking4[[#This Row],[FMS ID]],FMS_Input[FMS_ID],FMS_Input[REMFRMACRE100])</f>
        <v>0</v>
      </c>
      <c r="AY277" s="258">
        <f>_xlfn.XLOOKUP(FMS_Ranking4[[#This Row],[FMS ID]],FMS_Input[FMS_ID],FMS_Input[COSTSTRUCT])</f>
        <v>0</v>
      </c>
      <c r="AZ277" s="253">
        <f>_xlfn.XLOOKUP(FMS_Ranking4[[#This Row],[FMS ID]],FMS_Input[FMS_ID],FMS_Input[NATURE])</f>
        <v>0</v>
      </c>
      <c r="BA277" s="262">
        <f>(((FMS_Ranking4[[#This Row],[% NBS Raw]]/AZ$4)*100)*AZ$5)</f>
        <v>0</v>
      </c>
      <c r="BB277" s="251" t="str">
        <f>_xlfn.XLOOKUP(FMS_Ranking4[[#This Row],[FMS ID]],FMS_Input[FMS_ID],FMS_Input[WATER_SUP])</f>
        <v>No</v>
      </c>
      <c r="BC277" s="265">
        <f>IF(FMS_Ranking4[[#This Row],[Water Supply Raw]]="Yes",10,0)</f>
        <v>0</v>
      </c>
      <c r="BD277" s="266">
        <f>_xlfn.XLOOKUP(FMS_Ranking4[[#This Row],[FMS Type]],FMS_TYPE[FMS_Type],FMS_TYPE[Score])</f>
        <v>8</v>
      </c>
      <c r="BE277" s="267">
        <f>FMS_Ranking4[[#This Row],[FMS_Type Score]]*$BD$5*10</f>
        <v>2</v>
      </c>
      <c r="BF27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0.49811373801996212</v>
      </c>
      <c r="BG277" s="271">
        <f>_xlfn.RANK.EQ(BF277,$BF$8:$BF$870,0)+COUNTIF($BF$8:BF277,BF277)-1</f>
        <v>226</v>
      </c>
      <c r="BH277" s="268">
        <f>(((FMS_Ranking4[[#This Row],[Structures Removed Raw]]/AK$4)*100)*AK$5)+(((FMS_Ranking4[[#This Row],[Removed Pop Raw]]/AR$4)*100)*AR$5)</f>
        <v>0</v>
      </c>
      <c r="BI27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2.4981137380199621</v>
      </c>
      <c r="BJ277" s="205">
        <f>_xlfn.RANK.EQ(FMS_Ranking4[[#This Row],[Total Score 
(with linear
normalization)]],FMS_Ranking4[Total Score 
(with linear
normalization)],0)</f>
        <v>263</v>
      </c>
      <c r="BK277" s="205" t="e">
        <f>_xlfn.XLOOKUP(FMS_Ranking4[[#This Row],[FMS ID]],#REF!,#REF!)</f>
        <v>#REF!</v>
      </c>
      <c r="BL27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25.441881808308427</v>
      </c>
      <c r="BM277" s="272">
        <f>FMS_Ranking4[[#This Row],[ArcSinh Score Based on Normalized Reported Factors]]+FMS_Ranking4[[#This Row],[% NBS Score (Normalized)]]+(FMS_Ranking4[[#This Row],[Water Supply Score (Normalized)]]*10*$BB$5)+FMS_Ranking4[[#This Row],[FMS_Type Score Weighted]]</f>
        <v>27.441881808308427</v>
      </c>
      <c r="BN277" s="205">
        <f>_xlfn.RANK.EQ(FMS_Ranking4[[#This Row],[Total Score (with ArcSinh normalization of select criteria)]],FMS_Ranking4[Total Score (with ArcSinh normalization of select criteria)],0)</f>
        <v>269</v>
      </c>
      <c r="BO277" s="270" t="str">
        <f>_xlfn.XLOOKUP(FMS_Ranking4[[#This Row],[FMS ID]],FMS_Input[FMS_ID],FMS_Input[FMS_RANK_YEAR])</f>
        <v>2025 Amended Plan</v>
      </c>
      <c r="BP277" s="204" t="e">
        <f>_xlfn.XLOOKUP(FMS_Ranking4[[#This Row],[FMS ID]],Prev_Rank[FMS ID],Prev_Rank[Prev Rank])</f>
        <v>#N/A</v>
      </c>
      <c r="BQ277" s="205" t="e">
        <f>_xlfn.XLOOKUP(FMS_Ranking4[[#This Row],[FMS ID]],#REF!,#REF!)</f>
        <v>#REF!</v>
      </c>
      <c r="BR277" s="199" t="e">
        <f>SUM(#REF!,#REF!,#REF!,#REF!,#REF!,#REF!,#REF!,#REF!,#REF!,FMS_Ranking4[[#This Row],[ArcSinh Res struct removed 0-10]],#REF!)</f>
        <v>#REF!</v>
      </c>
      <c r="BS277" s="199" t="e">
        <f>FMS_Ranking4[[#This Row],[Log Score Based on Normalized Reported Factors]]+FMS_Ranking4[[#This Row],[% NBS Score (Normalized)]]+(FMS_Ranking4[[#This Row],[Water Supply Score (Normalized)]]*10*$BB$5)+(FMS_Ranking4[[#This Row],[FMS_Type Score Weighted]])</f>
        <v>#REF!</v>
      </c>
      <c r="BT277" s="200" t="e">
        <f>_xlfn.RANK.EQ(FMS_Ranking4[[#This Row],[Log Total Score]],FMS_Ranking4[Log Total Score],0)</f>
        <v>#REF!</v>
      </c>
      <c r="BU277" s="200" t="e">
        <f>_xlfn.XLOOKUP(FMS_Ranking4[[#This Row],[FMS ID]],#REF!,#REF!)</f>
        <v>#REF!</v>
      </c>
      <c r="BV277" s="200">
        <f>FMS_Ranking4[[#This Row],[Region Number]]</f>
        <v>5</v>
      </c>
      <c r="BW277" s="200">
        <f>FMS_Ranking4[[#This Row],[Rank (with ArcSinh normalization of select criteria)]]-FMS_Ranking4[[#This Row],[Rank
(with linear
normalization)]]</f>
        <v>6</v>
      </c>
      <c r="BX277" s="200" t="e">
        <f>FMS_Ranking4[[#This Row],[Log Rank]]-FMS_Ranking4[[#This Row],[Rank
(with linear
normalization)]]</f>
        <v>#REF!</v>
      </c>
      <c r="BY277" s="200" t="str">
        <f>IF(FMS_Ranking4[[#This Row],[FMS Type]]="Flood Measurement and Warning",FMS_Ranking4[[#This Row],[Rank (with ArcSinh normalization of select criteria)]],"")</f>
        <v/>
      </c>
      <c r="BZ277" s="200">
        <f>IF(FMS_Ranking4[[#This Row],[FMS Type]]="Regulatory and Guidance",FMS_Ranking4[[#This Row],[Rank (with ArcSinh normalization of select criteria)]],"")</f>
        <v>269</v>
      </c>
      <c r="CA277" s="200" t="str">
        <f>IF(FMS_Ranking4[[#This Row],[FMS Type]]="Education and Outreach",FMS_Ranking4[[#This Row],[Rank (with ArcSinh normalization of select criteria)]],"")</f>
        <v/>
      </c>
      <c r="CB277" s="200" t="str">
        <f>IF(FMS_Ranking4[[#This Row],[FMS Type]]="Property Acquisition and Structural Elevation",FMS_Ranking4[[#This Row],[Rank (with ArcSinh normalization of select criteria)]],"")</f>
        <v/>
      </c>
      <c r="CC277" s="200" t="str">
        <f>IF(FMS_Ranking4[[#This Row],[FMS Type]]="Infrastructure Projects",FMS_Ranking4[[#This Row],[Rank (with ArcSinh normalization of select criteria)]],"")</f>
        <v/>
      </c>
      <c r="CD277" s="200" t="str">
        <f>IF(FMS_Ranking4[[#This Row],[FMS Type]]="Other",FMS_Ranking4[[#This Row],[Rank (with ArcSinh normalization of select criteria)]],"")</f>
        <v/>
      </c>
      <c r="CE277" s="201"/>
      <c r="CF277" s="206"/>
      <c r="CG277" s="206"/>
      <c r="CH277" s="206"/>
      <c r="CI277" s="206"/>
      <c r="CJ277" s="206"/>
      <c r="CK277" s="206"/>
      <c r="CL277" s="206"/>
      <c r="CM277" s="206"/>
      <c r="CN277" s="206"/>
      <c r="CO277" s="206"/>
      <c r="CP277" s="206"/>
      <c r="CQ277" s="206"/>
      <c r="CR277" s="206"/>
    </row>
    <row r="278" spans="2:96" ht="45" x14ac:dyDescent="0.25">
      <c r="B278" s="341" t="s">
        <v>2996</v>
      </c>
      <c r="C278" s="246">
        <f>_xlfn.XLOOKUP(FMS_Ranking4[[#This Row],[FMS ID]],FMS_Input[FMS_ID],FMS_Input[RFPG_NUM])</f>
        <v>7</v>
      </c>
      <c r="D278" s="309" t="str">
        <f>_xlfn.XLOOKUP(FMS_Ranking4[[#This Row],[FMS ID]],FMS_Input[FMS_ID],FMS_Input[FMS_NAME])</f>
        <v>Jones County Tax Incentive Program</v>
      </c>
      <c r="E278" s="308" t="str">
        <f>_xlfn.XLOOKUP(FMS_Ranking4[[#This Row],[FMS ID]],FMS_Input[FMS_ID],FMS_Input[SPONSOR])</f>
        <v>07000112</v>
      </c>
      <c r="F278" s="309" t="str">
        <f>_xlfn.XLOOKUP(FMS_Ranking4[[#This Row],[FMS ID]],Sponsor[FMS_ID],Sponsor[SPONSOR NAME])</f>
        <v>Jones</v>
      </c>
      <c r="G278" s="309" t="str">
        <f>_xlfn.XLOOKUP(FMS_Ranking4[[#This Row],[FMS ID]],FMS_Input[FMS_ID],FMS_Input[FMS_DESCR])</f>
        <v>Consider program of tax incentives for development of low-hazard land parcels.</v>
      </c>
      <c r="H278" s="248" t="str">
        <f>_xlfn.XLOOKUP(FMS_Ranking4[[#This Row],[FMS ID]],FMS_Input[FMS_ID],FMS_Input[FMS_TYPE])</f>
        <v>Other</v>
      </c>
      <c r="I278" s="249">
        <f>_xlfn.XLOOKUP(FMS_Ranking4[[#This Row],[FMS ID]],FMS_Input[FMS_ID],FMS_Input[NRNC_COST])</f>
        <v>25000</v>
      </c>
      <c r="J278" s="250">
        <f>_xlfn.XLOOKUP(FMS_Ranking4[[#This Row],[FMS ID]],FMS_Input[FMS_ID],FMS_Input[FMS_COST])</f>
        <v>25000</v>
      </c>
      <c r="K278" s="251" t="str">
        <f>_xlfn.XLOOKUP(FMS_Ranking4[[#This Row],[FMS ID]],FMS_Input[FMS_ID],FMS_Input[EMER_NEED])</f>
        <v>No</v>
      </c>
      <c r="L278" s="252">
        <f t="shared" si="4"/>
        <v>0</v>
      </c>
      <c r="M278" s="253">
        <f>_xlfn.XLOOKUP(FMS_Ranking4[[#This Row],[FMS ID]],FMS_Input[FMS_ID],FMS_Input[STRUCT_100])</f>
        <v>1145</v>
      </c>
      <c r="N278" s="255">
        <f>(ASINH(FMS_Ranking4[[#This Row],[Structure at Risk Raw]]))*(10)/(ASINH(M$4))</f>
        <v>6.0818894140339665</v>
      </c>
      <c r="O278" s="256">
        <f>FMS_Ranking4[[#This Row],[Structures at risk, ArcSinh (0-10)]]*M$5*10</f>
        <v>6.0818894140339674</v>
      </c>
      <c r="P278" s="253">
        <f>_xlfn.XLOOKUP(FMS_Ranking4[[#This Row],[FMS ID]],FMS_Input[FMS_ID],FMS_Input[RES_STRUCT100])</f>
        <v>499</v>
      </c>
      <c r="Q278" s="257">
        <f>ASINH(FMS_Ranking4[[#This Row],[Res Structure Raw]])/Q$4*P$5*100</f>
        <v>0</v>
      </c>
      <c r="R278" s="253">
        <f>_xlfn.XLOOKUP(FMS_Ranking4[[#This Row],[FMS ID]],FMS_Input[FMS_ID],FMS_Input[POP100])</f>
        <v>1118</v>
      </c>
      <c r="S278" s="259">
        <f>(ASINH(FMS_Ranking4[[#This Row],[Pop at Risk Raw]]))*(10)/(ASINH(R$4))</f>
        <v>5.3243491194047889</v>
      </c>
      <c r="T278" s="256">
        <f>FMS_Ranking4[[#This Row],[Population at risk, ArcSinh (0-10)]]*R$5*10</f>
        <v>5.3243491194047889</v>
      </c>
      <c r="U278" s="253">
        <f>_xlfn.XLOOKUP(FMS_Ranking4[[#This Row],[FMS ID]],FMS_Input[FMS_ID],FMS_Input[CRITFAC100])</f>
        <v>2</v>
      </c>
      <c r="V278" s="259">
        <f>(ASINH(FMS_Ranking4[[#This Row],[Critical Facilities Raw]]))*(10)/(ASINH(U$4))</f>
        <v>1.7089239049208753</v>
      </c>
      <c r="W278" s="256">
        <f>FMS_Ranking4[[#This Row],[Critical facilities at risk, ArcSinh (0-10)]]*U$5*10</f>
        <v>1.7089239049208755</v>
      </c>
      <c r="X278" s="253">
        <f>_xlfn.XLOOKUP(FMS_Ranking4[[#This Row],[FMS ID]],FMS_Input[FMS_ID],FMS_Input[LWC])</f>
        <v>8</v>
      </c>
      <c r="Y278" s="259">
        <f>(ASINH(FMS_Ranking4[[#This Row],[LWC Raw]]))*(10)/(ASINH(X$4))</f>
        <v>3.7613918882232862</v>
      </c>
      <c r="Z278" s="256">
        <f>FMS_Ranking4[[#This Row],[LWC, ArcSInh (0-10)]]*X$5*10</f>
        <v>3.7613918882232866</v>
      </c>
      <c r="AA278" s="253">
        <f>_xlfn.XLOOKUP(FMS_Ranking4[[#This Row],[FMS ID]],FMS_Input[FMS_ID],FMS_Input[ROADCLS])</f>
        <v>0</v>
      </c>
      <c r="AB278" s="255">
        <f>(ASINH(FMS_Ranking4[[#This Row],[Road Closures Raw]]))*(10)/(ASINH(AA$4))</f>
        <v>0</v>
      </c>
      <c r="AC278" s="256">
        <f>FMS_Ranking4[[#This Row],[Road closures, ArcSinh (0-10)]]*AA$5*10</f>
        <v>0</v>
      </c>
      <c r="AD278" s="253">
        <f>_xlfn.XLOOKUP(FMS_Ranking4[[#This Row],[FMS ID]],FMS_Input[FMS_ID],FMS_Input[ROAD_MILES100])</f>
        <v>189</v>
      </c>
      <c r="AE278" s="259">
        <f>(ASINH(FMS_Ranking4[[#This Row],[Road Miles Raw]]))*(10)/(ASINH(AD$4))</f>
        <v>6.3249718378516366</v>
      </c>
      <c r="AF278" s="256">
        <f>FMS_Ranking4[[#This Row],[Length of roads at risk, ArcSinh (0-10)]]*AD$5*10</f>
        <v>6.3249718378516375</v>
      </c>
      <c r="AG278" s="253">
        <f>_xlfn.XLOOKUP(FMS_Ranking4[[#This Row],[FMS ID]],FMS_Input[FMS_ID],FMS_Input[FARMACRE100])</f>
        <v>47148.859375</v>
      </c>
      <c r="AH278" s="255">
        <f>(ASINH(FMS_Ranking4[[#This Row],[Ag Land Raw]]))*(10)/(ASINH(AG$4))</f>
        <v>7.4404440407647989</v>
      </c>
      <c r="AI278" s="260">
        <f>FMS_Ranking4[[#This Row],[Farm &amp; ranch land, ArcSinh (0-10)]]*AG$5*10</f>
        <v>3.7202220203823999</v>
      </c>
      <c r="AJ278" s="258">
        <f>_xlfn.XLOOKUP(FMS_Ranking4[[#This Row],[FMS ID]],FMS_Input[FMS_ID],FMS_Input[REDSTRUCT100])</f>
        <v>0</v>
      </c>
      <c r="AK278" s="253">
        <f>_xlfn.XLOOKUP(FMS_Ranking4[[#This Row],[FMS ID]],FMS_Input[FMS_ID],FMS_Input[REMSTRC100])</f>
        <v>0</v>
      </c>
      <c r="AL278" s="259">
        <f>(ASINH(FMS_Ranking4[[#This Row],[Structures Removed Raw]]))*(10)/(ASINH(AK$4))</f>
        <v>0</v>
      </c>
      <c r="AM278" s="262">
        <f>FMS_Ranking4[[#This Row],[Structures removed, ArcSinh (0-10)]]*AK$5*10</f>
        <v>0</v>
      </c>
      <c r="AN278" s="253">
        <f>_xlfn.XLOOKUP(FMS_Ranking4[[#This Row],[FMS ID]],FMS_Input[FMS_ID],FMS_Input[REMRESSTRC100])</f>
        <v>0</v>
      </c>
      <c r="AO278" s="261">
        <f>FMS_Ranking4[[#This Row],[ArcSinh Res struct removed 0-10]]*AN$5*10</f>
        <v>0</v>
      </c>
      <c r="AP278" s="260">
        <f>ASINH(FMS_Ranking4[[#This Row],[Residential Structures Removed Raw]])/AP$4*AN$5*100</f>
        <v>0</v>
      </c>
      <c r="AQ278" s="254">
        <f>(ASINH(FMS_Ranking4[[#This Row],[Residential Structures Removed Raw]]))*(10)/(ASINH(AN$4))</f>
        <v>0</v>
      </c>
      <c r="AR278" s="253">
        <f>_xlfn.XLOOKUP(FMS_Ranking4[[#This Row],[FMS ID]],FMS_Input[FMS_ID],FMS_Input[REMPOP100])</f>
        <v>0</v>
      </c>
      <c r="AS278" s="259">
        <f>(ASINH(FMS_Ranking4[[#This Row],[Removed Pop Raw]]))*(10)/(ASINH(AR$4))</f>
        <v>0</v>
      </c>
      <c r="AT278" s="262">
        <f>FMS_Ranking4[[#This Row],[Removed population, ArcSinh (0-10)]]*AR$5*10</f>
        <v>0</v>
      </c>
      <c r="AU278" s="264">
        <f>_xlfn.XLOOKUP(FMS_Ranking4[[#This Row],[FMS ID]],FMS_Input[FMS_ID],FMS_Input[REMCRITFAC100])</f>
        <v>0</v>
      </c>
      <c r="AV278" s="264">
        <f>_xlfn.XLOOKUP(FMS_Ranking4[[#This Row],[FMS ID]],FMS_Input[FMS_ID],FMS_Input[REMLWC100])</f>
        <v>0</v>
      </c>
      <c r="AW278" s="264">
        <f>_xlfn.XLOOKUP(FMS_Ranking4[[#This Row],[FMS ID]],FMS_Input[FMS_ID],FMS_Input[REMROADCLS])</f>
        <v>0</v>
      </c>
      <c r="AX278" s="264">
        <f>_xlfn.XLOOKUP(FMS_Ranking4[[#This Row],[FMS ID]],FMS_Input[FMS_ID],FMS_Input[REMFRMACRE100])</f>
        <v>0</v>
      </c>
      <c r="AY278" s="258">
        <f>_xlfn.XLOOKUP(FMS_Ranking4[[#This Row],[FMS ID]],FMS_Input[FMS_ID],FMS_Input[COSTSTRUCT])</f>
        <v>0</v>
      </c>
      <c r="AZ278" s="253">
        <f>_xlfn.XLOOKUP(FMS_Ranking4[[#This Row],[FMS ID]],FMS_Input[FMS_ID],FMS_Input[NATURE])</f>
        <v>0</v>
      </c>
      <c r="BA278" s="262">
        <f>(((FMS_Ranking4[[#This Row],[% NBS Raw]]/AZ$4)*100)*AZ$5)</f>
        <v>0</v>
      </c>
      <c r="BB278" s="251" t="str">
        <f>_xlfn.XLOOKUP(FMS_Ranking4[[#This Row],[FMS ID]],FMS_Input[FMS_ID],FMS_Input[WATER_SUP])</f>
        <v>No</v>
      </c>
      <c r="BC278" s="265">
        <f>IF(FMS_Ranking4[[#This Row],[Water Supply Raw]]="Yes",10,0)</f>
        <v>0</v>
      </c>
      <c r="BD278" s="266">
        <f>_xlfn.XLOOKUP(FMS_Ranking4[[#This Row],[FMS Type]],FMS_TYPE[FMS_Type],FMS_TYPE[Score])</f>
        <v>2</v>
      </c>
      <c r="BE278" s="267">
        <f>FMS_Ranking4[[#This Row],[FMS_Type Score]]*$BD$5*10</f>
        <v>0.5</v>
      </c>
      <c r="BF27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0.60329683068097406</v>
      </c>
      <c r="BG278" s="271">
        <f>_xlfn.RANK.EQ(BF278,$BF$8:$BF$870,0)+COUNTIF($BF$8:BF278,BF278)-1</f>
        <v>194</v>
      </c>
      <c r="BH278" s="268">
        <f>(((FMS_Ranking4[[#This Row],[Structures Removed Raw]]/AK$4)*100)*AK$5)+(((FMS_Ranking4[[#This Row],[Removed Pop Raw]]/AR$4)*100)*AR$5)</f>
        <v>0</v>
      </c>
      <c r="BI27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1.1032968306809741</v>
      </c>
      <c r="BJ278" s="204">
        <f>_xlfn.RANK.EQ(FMS_Ranking4[[#This Row],[Total Score 
(with linear
normalization)]],FMS_Ranking4[Total Score 
(with linear
normalization)],0)</f>
        <v>677</v>
      </c>
      <c r="BK278" s="204" t="e">
        <f>_xlfn.XLOOKUP(FMS_Ranking4[[#This Row],[FMS ID]],#REF!,#REF!)</f>
        <v>#REF!</v>
      </c>
      <c r="BL278"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26.921748184816959</v>
      </c>
      <c r="BM278" s="270">
        <f>FMS_Ranking4[[#This Row],[ArcSinh Score Based on Normalized Reported Factors]]+FMS_Ranking4[[#This Row],[% NBS Score (Normalized)]]+(FMS_Ranking4[[#This Row],[Water Supply Score (Normalized)]]*10*$BB$5)+FMS_Ranking4[[#This Row],[FMS_Type Score Weighted]]</f>
        <v>27.421748184816959</v>
      </c>
      <c r="BN278" s="204">
        <f>_xlfn.RANK.EQ(FMS_Ranking4[[#This Row],[Total Score (with ArcSinh normalization of select criteria)]],FMS_Ranking4[Total Score (with ArcSinh normalization of select criteria)],0)</f>
        <v>271</v>
      </c>
      <c r="BO278" s="270" t="str">
        <f>_xlfn.XLOOKUP(FMS_Ranking4[[#This Row],[FMS ID]],FMS_Input[FMS_ID],FMS_Input[FMS_RANK_YEAR])</f>
        <v>2023 Amended Plan</v>
      </c>
      <c r="BP278" s="204">
        <f>_xlfn.XLOOKUP(FMS_Ranking4[[#This Row],[FMS ID]],Prev_Rank[FMS ID],Prev_Rank[Prev Rank])</f>
        <v>239</v>
      </c>
      <c r="BQ278" s="204" t="e">
        <f>_xlfn.XLOOKUP(FMS_Ranking4[[#This Row],[FMS ID]],#REF!,#REF!)</f>
        <v>#REF!</v>
      </c>
      <c r="BR278" s="199" t="e">
        <f>SUM(#REF!,#REF!,#REF!,#REF!,#REF!,#REF!,#REF!,#REF!,#REF!,FMS_Ranking4[[#This Row],[ArcSinh Res struct removed 0-10]],#REF!)</f>
        <v>#REF!</v>
      </c>
      <c r="BS278" s="199" t="e">
        <f>FMS_Ranking4[[#This Row],[Log Score Based on Normalized Reported Factors]]+FMS_Ranking4[[#This Row],[% NBS Score (Normalized)]]+(FMS_Ranking4[[#This Row],[Water Supply Score (Normalized)]]*10*$BB$5)+(FMS_Ranking4[[#This Row],[FMS_Type Score Weighted]])</f>
        <v>#REF!</v>
      </c>
      <c r="BT278" s="200" t="e">
        <f>_xlfn.RANK.EQ(FMS_Ranking4[[#This Row],[Log Total Score]],FMS_Ranking4[Log Total Score],0)</f>
        <v>#REF!</v>
      </c>
      <c r="BU278" s="200" t="e">
        <f>_xlfn.XLOOKUP(FMS_Ranking4[[#This Row],[FMS ID]],#REF!,#REF!)</f>
        <v>#REF!</v>
      </c>
      <c r="BV278" s="200">
        <f>FMS_Ranking4[[#This Row],[Region Number]]</f>
        <v>7</v>
      </c>
      <c r="BW278" s="200">
        <f>FMS_Ranking4[[#This Row],[Rank (with ArcSinh normalization of select criteria)]]-FMS_Ranking4[[#This Row],[Rank
(with linear
normalization)]]</f>
        <v>-406</v>
      </c>
      <c r="BX278" s="200" t="e">
        <f>FMS_Ranking4[[#This Row],[Log Rank]]-FMS_Ranking4[[#This Row],[Rank
(with linear
normalization)]]</f>
        <v>#REF!</v>
      </c>
      <c r="BY278" s="200" t="str">
        <f>IF(FMS_Ranking4[[#This Row],[FMS Type]]="Flood Measurement and Warning",FMS_Ranking4[[#This Row],[Rank (with ArcSinh normalization of select criteria)]],"")</f>
        <v/>
      </c>
      <c r="BZ278" s="200" t="str">
        <f>IF(FMS_Ranking4[[#This Row],[FMS Type]]="Regulatory and Guidance",FMS_Ranking4[[#This Row],[Rank (with ArcSinh normalization of select criteria)]],"")</f>
        <v/>
      </c>
      <c r="CA278" s="200" t="str">
        <f>IF(FMS_Ranking4[[#This Row],[FMS Type]]="Education and Outreach",FMS_Ranking4[[#This Row],[Rank (with ArcSinh normalization of select criteria)]],"")</f>
        <v/>
      </c>
      <c r="CB278" s="200" t="str">
        <f>IF(FMS_Ranking4[[#This Row],[FMS Type]]="Property Acquisition and Structural Elevation",FMS_Ranking4[[#This Row],[Rank (with ArcSinh normalization of select criteria)]],"")</f>
        <v/>
      </c>
      <c r="CC278" s="200" t="str">
        <f>IF(FMS_Ranking4[[#This Row],[FMS Type]]="Infrastructure Projects",FMS_Ranking4[[#This Row],[Rank (with ArcSinh normalization of select criteria)]],"")</f>
        <v/>
      </c>
      <c r="CD278" s="200">
        <f>IF(FMS_Ranking4[[#This Row],[FMS Type]]="Other",FMS_Ranking4[[#This Row],[Rank (with ArcSinh normalization of select criteria)]],"")</f>
        <v>271</v>
      </c>
      <c r="CE278" s="201"/>
      <c r="CF278" s="206"/>
      <c r="CG278" s="206"/>
      <c r="CH278" s="206"/>
      <c r="CI278" s="206"/>
      <c r="CJ278" s="206"/>
      <c r="CK278" s="206"/>
      <c r="CL278" s="206"/>
      <c r="CM278" s="206"/>
      <c r="CN278" s="206"/>
      <c r="CO278" s="206"/>
      <c r="CP278" s="206"/>
      <c r="CQ278" s="206"/>
      <c r="CR278" s="206"/>
    </row>
    <row r="279" spans="2:96" ht="30" x14ac:dyDescent="0.25">
      <c r="B279" s="341" t="s">
        <v>1387</v>
      </c>
      <c r="C279" s="246">
        <f>_xlfn.XLOOKUP(FMS_Ranking4[[#This Row],[FMS ID]],FMS_Input[FMS_ID],FMS_Input[RFPG_NUM])</f>
        <v>1</v>
      </c>
      <c r="D279" s="309" t="str">
        <f>_xlfn.XLOOKUP(FMS_Ranking4[[#This Row],[FMS ID]],FMS_Input[FMS_ID],FMS_Input[FMS_NAME])</f>
        <v>Donley County NFIP Involvement</v>
      </c>
      <c r="E279" s="308" t="str">
        <f>_xlfn.XLOOKUP(FMS_Ranking4[[#This Row],[FMS ID]],FMS_Input[FMS_ID],FMS_Input[SPONSOR])</f>
        <v>01000241</v>
      </c>
      <c r="F279" s="309" t="str">
        <f>_xlfn.XLOOKUP(FMS_Ranking4[[#This Row],[FMS ID]],Sponsor[FMS_ID],Sponsor[SPONSOR NAME])</f>
        <v>Donley</v>
      </c>
      <c r="G279" s="309" t="str">
        <f>_xlfn.XLOOKUP(FMS_Ranking4[[#This Row],[FMS ID]],FMS_Input[FMS_ID],FMS_Input[FMS_DESCR])</f>
        <v>Application to join NFIP or adopt equivalent standards</v>
      </c>
      <c r="H279" s="248" t="str">
        <f>_xlfn.XLOOKUP(FMS_Ranking4[[#This Row],[FMS ID]],FMS_Input[FMS_ID],FMS_Input[FMS_TYPE])</f>
        <v>Regulatory and Guidance</v>
      </c>
      <c r="I279" s="249">
        <f>_xlfn.XLOOKUP(FMS_Ranking4[[#This Row],[FMS ID]],FMS_Input[FMS_ID],FMS_Input[NRNC_COST])</f>
        <v>100000</v>
      </c>
      <c r="J279" s="250">
        <f>_xlfn.XLOOKUP(FMS_Ranking4[[#This Row],[FMS ID]],FMS_Input[FMS_ID],FMS_Input[FMS_COST])</f>
        <v>100000</v>
      </c>
      <c r="K279" s="251" t="str">
        <f>_xlfn.XLOOKUP(FMS_Ranking4[[#This Row],[FMS ID]],FMS_Input[FMS_ID],FMS_Input[EMER_NEED])</f>
        <v>No</v>
      </c>
      <c r="L279" s="252">
        <f t="shared" si="4"/>
        <v>0</v>
      </c>
      <c r="M279" s="253">
        <f>_xlfn.XLOOKUP(FMS_Ranking4[[#This Row],[FMS ID]],FMS_Input[FMS_ID],FMS_Input[STRUCT_100])</f>
        <v>219</v>
      </c>
      <c r="N279" s="255">
        <f>(ASINH(FMS_Ranking4[[#This Row],[Structure at Risk Raw]]))*(10)/(ASINH(M$4))</f>
        <v>4.7815337645509226</v>
      </c>
      <c r="O279" s="256">
        <f>FMS_Ranking4[[#This Row],[Structures at risk, ArcSinh (0-10)]]*M$5*10</f>
        <v>4.7815337645509226</v>
      </c>
      <c r="P279" s="253">
        <f>_xlfn.XLOOKUP(FMS_Ranking4[[#This Row],[FMS ID]],FMS_Input[FMS_ID],FMS_Input[RES_STRUCT100])</f>
        <v>18</v>
      </c>
      <c r="Q279" s="257">
        <f>ASINH(FMS_Ranking4[[#This Row],[Res Structure Raw]])/Q$4*P$5*100</f>
        <v>0</v>
      </c>
      <c r="R279" s="253">
        <f>_xlfn.XLOOKUP(FMS_Ranking4[[#This Row],[FMS ID]],FMS_Input[FMS_ID],FMS_Input[POP100])</f>
        <v>525</v>
      </c>
      <c r="S279" s="259">
        <f>(ASINH(FMS_Ranking4[[#This Row],[Pop at Risk Raw]]))*(10)/(ASINH(R$4))</f>
        <v>4.8025089412661446</v>
      </c>
      <c r="T279" s="256">
        <f>FMS_Ranking4[[#This Row],[Population at risk, ArcSinh (0-10)]]*R$5*10</f>
        <v>4.8025089412661446</v>
      </c>
      <c r="U279" s="253">
        <f>_xlfn.XLOOKUP(FMS_Ranking4[[#This Row],[FMS ID]],FMS_Input[FMS_ID],FMS_Input[CRITFAC100])</f>
        <v>2</v>
      </c>
      <c r="V279" s="259">
        <f>(ASINH(FMS_Ranking4[[#This Row],[Critical Facilities Raw]]))*(10)/(ASINH(U$4))</f>
        <v>1.7089239049208753</v>
      </c>
      <c r="W279" s="256">
        <f>FMS_Ranking4[[#This Row],[Critical facilities at risk, ArcSinh (0-10)]]*U$5*10</f>
        <v>1.7089239049208755</v>
      </c>
      <c r="X279" s="253">
        <f>_xlfn.XLOOKUP(FMS_Ranking4[[#This Row],[FMS ID]],FMS_Input[FMS_ID],FMS_Input[LWC])</f>
        <v>9</v>
      </c>
      <c r="Y279" s="259">
        <f>(ASINH(FMS_Ranking4[[#This Row],[LWC Raw]]))*(10)/(ASINH(X$4))</f>
        <v>3.919857876161724</v>
      </c>
      <c r="Z279" s="256">
        <f>FMS_Ranking4[[#This Row],[LWC, ArcSInh (0-10)]]*X$5*10</f>
        <v>3.919857876161724</v>
      </c>
      <c r="AA279" s="253">
        <f>_xlfn.XLOOKUP(FMS_Ranking4[[#This Row],[FMS ID]],FMS_Input[FMS_ID],FMS_Input[ROADCLS])</f>
        <v>9</v>
      </c>
      <c r="AB279" s="255">
        <f>(ASINH(FMS_Ranking4[[#This Row],[Road Closures Raw]]))*(10)/(ASINH(AA$4))</f>
        <v>3.013256341994186</v>
      </c>
      <c r="AC279" s="256">
        <f>FMS_Ranking4[[#This Row],[Road closures, ArcSinh (0-10)]]*AA$5*10</f>
        <v>1.506628170997093</v>
      </c>
      <c r="AD279" s="253">
        <f>_xlfn.XLOOKUP(FMS_Ranking4[[#This Row],[FMS ID]],FMS_Input[FMS_ID],FMS_Input[ROAD_MILES100])</f>
        <v>46</v>
      </c>
      <c r="AE279" s="259">
        <f>(ASINH(FMS_Ranking4[[#This Row],[Road Miles Raw]]))*(10)/(ASINH(AD$4))</f>
        <v>4.8191084598411456</v>
      </c>
      <c r="AF279" s="256">
        <f>FMS_Ranking4[[#This Row],[Length of roads at risk, ArcSinh (0-10)]]*AD$5*10</f>
        <v>4.8191084598411464</v>
      </c>
      <c r="AG279" s="253">
        <f>_xlfn.XLOOKUP(FMS_Ranking4[[#This Row],[FMS ID]],FMS_Input[FMS_ID],FMS_Input[FARMACRE100])</f>
        <v>76552.171875</v>
      </c>
      <c r="AH279" s="255">
        <f>(ASINH(FMS_Ranking4[[#This Row],[Ag Land Raw]]))*(10)/(ASINH(AG$4))</f>
        <v>7.7552719341152736</v>
      </c>
      <c r="AI279" s="260">
        <f>FMS_Ranking4[[#This Row],[Farm &amp; ranch land, ArcSinh (0-10)]]*AG$5*10</f>
        <v>3.8776359670576372</v>
      </c>
      <c r="AJ279" s="258">
        <f>_xlfn.XLOOKUP(FMS_Ranking4[[#This Row],[FMS ID]],FMS_Input[FMS_ID],FMS_Input[REDSTRUCT100])</f>
        <v>0</v>
      </c>
      <c r="AK279" s="253">
        <f>_xlfn.XLOOKUP(FMS_Ranking4[[#This Row],[FMS ID]],FMS_Input[FMS_ID],FMS_Input[REMSTRC100])</f>
        <v>0</v>
      </c>
      <c r="AL279" s="259">
        <f>(ASINH(FMS_Ranking4[[#This Row],[Structures Removed Raw]]))*(10)/(ASINH(AK$4))</f>
        <v>0</v>
      </c>
      <c r="AM279" s="262">
        <f>FMS_Ranking4[[#This Row],[Structures removed, ArcSinh (0-10)]]*AK$5*10</f>
        <v>0</v>
      </c>
      <c r="AN279" s="253">
        <f>_xlfn.XLOOKUP(FMS_Ranking4[[#This Row],[FMS ID]],FMS_Input[FMS_ID],FMS_Input[REMRESSTRC100])</f>
        <v>0</v>
      </c>
      <c r="AO279" s="261">
        <f>FMS_Ranking4[[#This Row],[ArcSinh Res struct removed 0-10]]*AN$5*10</f>
        <v>0</v>
      </c>
      <c r="AP279" s="260">
        <f>ASINH(FMS_Ranking4[[#This Row],[Residential Structures Removed Raw]])/AP$4*AN$5*100</f>
        <v>0</v>
      </c>
      <c r="AQ279" s="254">
        <f>(ASINH(FMS_Ranking4[[#This Row],[Residential Structures Removed Raw]]))*(10)/(ASINH(AN$4))</f>
        <v>0</v>
      </c>
      <c r="AR279" s="253">
        <f>_xlfn.XLOOKUP(FMS_Ranking4[[#This Row],[FMS ID]],FMS_Input[FMS_ID],FMS_Input[REMPOP100])</f>
        <v>0</v>
      </c>
      <c r="AS279" s="259">
        <f>(ASINH(FMS_Ranking4[[#This Row],[Removed Pop Raw]]))*(10)/(ASINH(AR$4))</f>
        <v>0</v>
      </c>
      <c r="AT279" s="262">
        <f>FMS_Ranking4[[#This Row],[Removed population, ArcSinh (0-10)]]*AR$5*10</f>
        <v>0</v>
      </c>
      <c r="AU279" s="264">
        <f>_xlfn.XLOOKUP(FMS_Ranking4[[#This Row],[FMS ID]],FMS_Input[FMS_ID],FMS_Input[REMCRITFAC100])</f>
        <v>0</v>
      </c>
      <c r="AV279" s="264">
        <f>_xlfn.XLOOKUP(FMS_Ranking4[[#This Row],[FMS ID]],FMS_Input[FMS_ID],FMS_Input[REMLWC100])</f>
        <v>0</v>
      </c>
      <c r="AW279" s="264">
        <f>_xlfn.XLOOKUP(FMS_Ranking4[[#This Row],[FMS ID]],FMS_Input[FMS_ID],FMS_Input[REMROADCLS])</f>
        <v>0</v>
      </c>
      <c r="AX279" s="264">
        <f>_xlfn.XLOOKUP(FMS_Ranking4[[#This Row],[FMS ID]],FMS_Input[FMS_ID],FMS_Input[REMFRMACRE100])</f>
        <v>0</v>
      </c>
      <c r="AY279" s="258">
        <f>_xlfn.XLOOKUP(FMS_Ranking4[[#This Row],[FMS ID]],FMS_Input[FMS_ID],FMS_Input[COSTSTRUCT])</f>
        <v>0</v>
      </c>
      <c r="AZ279" s="253">
        <f>_xlfn.XLOOKUP(FMS_Ranking4[[#This Row],[FMS ID]],FMS_Input[FMS_ID],FMS_Input[NATURE])</f>
        <v>0</v>
      </c>
      <c r="BA279" s="262">
        <f>(((FMS_Ranking4[[#This Row],[% NBS Raw]]/AZ$4)*100)*AZ$5)</f>
        <v>0</v>
      </c>
      <c r="BB279" s="251" t="str">
        <f>_xlfn.XLOOKUP(FMS_Ranking4[[#This Row],[FMS ID]],FMS_Input[FMS_ID],FMS_Input[WATER_SUP])</f>
        <v>No</v>
      </c>
      <c r="BC279" s="265">
        <f>IF(FMS_Ranking4[[#This Row],[Water Supply Raw]]="Yes",10,0)</f>
        <v>0</v>
      </c>
      <c r="BD279" s="266">
        <f>_xlfn.XLOOKUP(FMS_Ranking4[[#This Row],[FMS Type]],FMS_TYPE[FMS_Type],FMS_TYPE[Score])</f>
        <v>8</v>
      </c>
      <c r="BE279" s="267">
        <f>FMS_Ranking4[[#This Row],[FMS_Type Score]]*$BD$5*10</f>
        <v>2</v>
      </c>
      <c r="BF27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0.38043015435719502</v>
      </c>
      <c r="BG279" s="271">
        <f>_xlfn.RANK.EQ(BF279,$BF$8:$BF$870,0)+COUNTIF($BF$8:BF279,BF279)-1</f>
        <v>267</v>
      </c>
      <c r="BH279" s="268">
        <f>(((FMS_Ranking4[[#This Row],[Structures Removed Raw]]/AK$4)*100)*AK$5)+(((FMS_Ranking4[[#This Row],[Removed Pop Raw]]/AR$4)*100)*AR$5)</f>
        <v>0</v>
      </c>
      <c r="BI27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2.3804301543571951</v>
      </c>
      <c r="BJ279" s="205">
        <f>_xlfn.RANK.EQ(FMS_Ranking4[[#This Row],[Total Score 
(with linear
normalization)]],FMS_Ranking4[Total Score 
(with linear
normalization)],0)</f>
        <v>280</v>
      </c>
      <c r="BK279" s="205" t="e">
        <f>_xlfn.XLOOKUP(FMS_Ranking4[[#This Row],[FMS ID]],#REF!,#REF!)</f>
        <v>#REF!</v>
      </c>
      <c r="BL27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25.416197084795542</v>
      </c>
      <c r="BM279" s="272">
        <f>FMS_Ranking4[[#This Row],[ArcSinh Score Based on Normalized Reported Factors]]+FMS_Ranking4[[#This Row],[% NBS Score (Normalized)]]+(FMS_Ranking4[[#This Row],[Water Supply Score (Normalized)]]*10*$BB$5)+FMS_Ranking4[[#This Row],[FMS_Type Score Weighted]]</f>
        <v>27.416197084795542</v>
      </c>
      <c r="BN279" s="205">
        <f>_xlfn.RANK.EQ(FMS_Ranking4[[#This Row],[Total Score (with ArcSinh normalization of select criteria)]],FMS_Ranking4[Total Score (with ArcSinh normalization of select criteria)],0)</f>
        <v>272</v>
      </c>
      <c r="BO279" s="270" t="str">
        <f>_xlfn.XLOOKUP(FMS_Ranking4[[#This Row],[FMS ID]],FMS_Input[FMS_ID],FMS_Input[FMS_RANK_YEAR])</f>
        <v>2023 Amended Plan</v>
      </c>
      <c r="BP279" s="204">
        <f>_xlfn.XLOOKUP(FMS_Ranking4[[#This Row],[FMS ID]],Prev_Rank[FMS ID],Prev_Rank[Prev Rank])</f>
        <v>241</v>
      </c>
      <c r="BQ279" s="205" t="e">
        <f>_xlfn.XLOOKUP(FMS_Ranking4[[#This Row],[FMS ID]],#REF!,#REF!)</f>
        <v>#REF!</v>
      </c>
      <c r="BR279" s="199" t="e">
        <f>SUM(#REF!,#REF!,#REF!,#REF!,#REF!,#REF!,#REF!,#REF!,#REF!,FMS_Ranking4[[#This Row],[ArcSinh Res struct removed 0-10]],#REF!)</f>
        <v>#REF!</v>
      </c>
      <c r="BS279" s="199" t="e">
        <f>FMS_Ranking4[[#This Row],[Log Score Based on Normalized Reported Factors]]+FMS_Ranking4[[#This Row],[% NBS Score (Normalized)]]+(FMS_Ranking4[[#This Row],[Water Supply Score (Normalized)]]*10*$BB$5)+(FMS_Ranking4[[#This Row],[FMS_Type Score Weighted]])</f>
        <v>#REF!</v>
      </c>
      <c r="BT279" s="200" t="e">
        <f>_xlfn.RANK.EQ(FMS_Ranking4[[#This Row],[Log Total Score]],FMS_Ranking4[Log Total Score],0)</f>
        <v>#REF!</v>
      </c>
      <c r="BU279" s="200" t="e">
        <f>_xlfn.XLOOKUP(FMS_Ranking4[[#This Row],[FMS ID]],#REF!,#REF!)</f>
        <v>#REF!</v>
      </c>
      <c r="BV279" s="200">
        <f>FMS_Ranking4[[#This Row],[Region Number]]</f>
        <v>1</v>
      </c>
      <c r="BW279" s="200">
        <f>FMS_Ranking4[[#This Row],[Rank (with ArcSinh normalization of select criteria)]]-FMS_Ranking4[[#This Row],[Rank
(with linear
normalization)]]</f>
        <v>-8</v>
      </c>
      <c r="BX279" s="200" t="e">
        <f>FMS_Ranking4[[#This Row],[Log Rank]]-FMS_Ranking4[[#This Row],[Rank
(with linear
normalization)]]</f>
        <v>#REF!</v>
      </c>
      <c r="BY279" s="200" t="str">
        <f>IF(FMS_Ranking4[[#This Row],[FMS Type]]="Flood Measurement and Warning",FMS_Ranking4[[#This Row],[Rank (with ArcSinh normalization of select criteria)]],"")</f>
        <v/>
      </c>
      <c r="BZ279" s="200">
        <f>IF(FMS_Ranking4[[#This Row],[FMS Type]]="Regulatory and Guidance",FMS_Ranking4[[#This Row],[Rank (with ArcSinh normalization of select criteria)]],"")</f>
        <v>272</v>
      </c>
      <c r="CA279" s="200" t="str">
        <f>IF(FMS_Ranking4[[#This Row],[FMS Type]]="Education and Outreach",FMS_Ranking4[[#This Row],[Rank (with ArcSinh normalization of select criteria)]],"")</f>
        <v/>
      </c>
      <c r="CB279" s="200" t="str">
        <f>IF(FMS_Ranking4[[#This Row],[FMS Type]]="Property Acquisition and Structural Elevation",FMS_Ranking4[[#This Row],[Rank (with ArcSinh normalization of select criteria)]],"")</f>
        <v/>
      </c>
      <c r="CC279" s="200" t="str">
        <f>IF(FMS_Ranking4[[#This Row],[FMS Type]]="Infrastructure Projects",FMS_Ranking4[[#This Row],[Rank (with ArcSinh normalization of select criteria)]],"")</f>
        <v/>
      </c>
      <c r="CD279" s="200" t="str">
        <f>IF(FMS_Ranking4[[#This Row],[FMS Type]]="Other",FMS_Ranking4[[#This Row],[Rank (with ArcSinh normalization of select criteria)]],"")</f>
        <v/>
      </c>
      <c r="CE279" s="201"/>
      <c r="CF279" s="206"/>
      <c r="CG279" s="206"/>
      <c r="CH279" s="206"/>
      <c r="CI279" s="206"/>
      <c r="CJ279" s="206"/>
      <c r="CK279" s="206"/>
      <c r="CL279" s="206"/>
      <c r="CM279" s="206"/>
      <c r="CN279" s="206"/>
      <c r="CO279" s="206"/>
      <c r="CP279" s="206"/>
      <c r="CQ279" s="206"/>
      <c r="CR279" s="206"/>
    </row>
    <row r="280" spans="2:96" ht="120" x14ac:dyDescent="0.25">
      <c r="B280" s="341" t="s">
        <v>274</v>
      </c>
      <c r="C280" s="246">
        <f>_xlfn.XLOOKUP(FMS_Ranking4[[#This Row],[FMS ID]],FMS_Input[FMS_ID],FMS_Input[RFPG_NUM])</f>
        <v>6</v>
      </c>
      <c r="D280" s="309" t="str">
        <f>_xlfn.XLOOKUP(FMS_Ranking4[[#This Row],[FMS ID]],FMS_Input[FMS_ID],FMS_Input[FMS_NAME])</f>
        <v xml:space="preserve">City of Alvin Full Time Floodplain Administrator </v>
      </c>
      <c r="E280" s="308" t="str">
        <f>_xlfn.XLOOKUP(FMS_Ranking4[[#This Row],[FMS ID]],FMS_Input[FMS_ID],FMS_Input[SPONSOR])</f>
        <v>00003020</v>
      </c>
      <c r="F280" s="309" t="str">
        <f>_xlfn.XLOOKUP(FMS_Ranking4[[#This Row],[FMS ID]],Sponsor[FMS_ID],Sponsor[SPONSOR NAME])</f>
        <v>Alvin</v>
      </c>
      <c r="G280" s="309" t="str">
        <f>_xlfn.XLOOKUP(FMS_Ranking4[[#This Row],[FMS ID]],FMS_Input[FMS_ID],FMS_Input[FMS_DESCR])</f>
        <v>Hire a full-time floodplain administrator who can support CRS application, NFIP, mapping and community floodplain support.  A dedicated employee could help the community obtain CRS status and full time flood plain support.</v>
      </c>
      <c r="H280" s="248" t="str">
        <f>_xlfn.XLOOKUP(FMS_Ranking4[[#This Row],[FMS ID]],FMS_Input[FMS_ID],FMS_Input[FMS_TYPE])</f>
        <v>Regulatory and Guidance</v>
      </c>
      <c r="I280" s="249">
        <f>_xlfn.XLOOKUP(FMS_Ranking4[[#This Row],[FMS ID]],FMS_Input[FMS_ID],FMS_Input[NRNC_COST])</f>
        <v>5000</v>
      </c>
      <c r="J280" s="250">
        <f>_xlfn.XLOOKUP(FMS_Ranking4[[#This Row],[FMS ID]],FMS_Input[FMS_ID],FMS_Input[FMS_COST])</f>
        <v>100000</v>
      </c>
      <c r="K280" s="251" t="str">
        <f>_xlfn.XLOOKUP(FMS_Ranking4[[#This Row],[FMS ID]],FMS_Input[FMS_ID],FMS_Input[EMER_NEED])</f>
        <v>No</v>
      </c>
      <c r="L280" s="252">
        <f t="shared" si="4"/>
        <v>0</v>
      </c>
      <c r="M280" s="253">
        <f>_xlfn.XLOOKUP(FMS_Ranking4[[#This Row],[FMS ID]],FMS_Input[FMS_ID],FMS_Input[STRUCT_100])</f>
        <v>3445</v>
      </c>
      <c r="N280" s="255">
        <f>(ASINH(FMS_Ranking4[[#This Row],[Structure at Risk Raw]]))*(10)/(ASINH(M$4))</f>
        <v>6.9478474340215524</v>
      </c>
      <c r="O280" s="256">
        <f>FMS_Ranking4[[#This Row],[Structures at risk, ArcSinh (0-10)]]*M$5*10</f>
        <v>6.9478474340215524</v>
      </c>
      <c r="P280" s="253">
        <f>_xlfn.XLOOKUP(FMS_Ranking4[[#This Row],[FMS ID]],FMS_Input[FMS_ID],FMS_Input[RES_STRUCT100])</f>
        <v>2605</v>
      </c>
      <c r="Q280" s="257">
        <f>ASINH(FMS_Ranking4[[#This Row],[Res Structure Raw]])/Q$4*P$5*100</f>
        <v>0</v>
      </c>
      <c r="R280" s="253">
        <f>_xlfn.XLOOKUP(FMS_Ranking4[[#This Row],[FMS ID]],FMS_Input[FMS_ID],FMS_Input[POP100])</f>
        <v>15192</v>
      </c>
      <c r="S280" s="259">
        <f>(ASINH(FMS_Ranking4[[#This Row],[Pop at Risk Raw]]))*(10)/(ASINH(R$4))</f>
        <v>7.1256506973413174</v>
      </c>
      <c r="T280" s="256">
        <f>FMS_Ranking4[[#This Row],[Population at risk, ArcSinh (0-10)]]*R$5*10</f>
        <v>7.1256506973413183</v>
      </c>
      <c r="U280" s="253">
        <f>_xlfn.XLOOKUP(FMS_Ranking4[[#This Row],[FMS ID]],FMS_Input[FMS_ID],FMS_Input[CRITFAC100])</f>
        <v>18</v>
      </c>
      <c r="V280" s="259">
        <f>(ASINH(FMS_Ranking4[[#This Row],[Critical Facilities Raw]]))*(10)/(ASINH(U$4))</f>
        <v>4.2429535527087694</v>
      </c>
      <c r="W280" s="256">
        <f>FMS_Ranking4[[#This Row],[Critical facilities at risk, ArcSinh (0-10)]]*U$5*10</f>
        <v>4.2429535527087694</v>
      </c>
      <c r="X280" s="253">
        <f>_xlfn.XLOOKUP(FMS_Ranking4[[#This Row],[FMS ID]],FMS_Input[FMS_ID],FMS_Input[LWC])</f>
        <v>0</v>
      </c>
      <c r="Y280" s="259">
        <f>(ASINH(FMS_Ranking4[[#This Row],[LWC Raw]]))*(10)/(ASINH(X$4))</f>
        <v>0</v>
      </c>
      <c r="Z280" s="256">
        <f>FMS_Ranking4[[#This Row],[LWC, ArcSInh (0-10)]]*X$5*10</f>
        <v>0</v>
      </c>
      <c r="AA280" s="253">
        <f>_xlfn.XLOOKUP(FMS_Ranking4[[#This Row],[FMS ID]],FMS_Input[FMS_ID],FMS_Input[ROADCLS])</f>
        <v>0</v>
      </c>
      <c r="AB280" s="255">
        <f>(ASINH(FMS_Ranking4[[#This Row],[Road Closures Raw]]))*(10)/(ASINH(AA$4))</f>
        <v>0</v>
      </c>
      <c r="AC280" s="256">
        <f>FMS_Ranking4[[#This Row],[Road closures, ArcSinh (0-10)]]*AA$5*10</f>
        <v>0</v>
      </c>
      <c r="AD280" s="253">
        <f>_xlfn.XLOOKUP(FMS_Ranking4[[#This Row],[FMS ID]],FMS_Input[FMS_ID],FMS_Input[ROAD_MILES100])</f>
        <v>57</v>
      </c>
      <c r="AE280" s="259">
        <f>(ASINH(FMS_Ranking4[[#This Row],[Road Miles Raw]]))*(10)/(ASINH(AD$4))</f>
        <v>5.0475664975813634</v>
      </c>
      <c r="AF280" s="256">
        <f>FMS_Ranking4[[#This Row],[Length of roads at risk, ArcSinh (0-10)]]*AD$5*10</f>
        <v>5.0475664975813643</v>
      </c>
      <c r="AG280" s="253">
        <f>_xlfn.XLOOKUP(FMS_Ranking4[[#This Row],[FMS ID]],FMS_Input[FMS_ID],FMS_Input[FARMACRE100])</f>
        <v>262.29559326171881</v>
      </c>
      <c r="AH280" s="255">
        <f>(ASINH(FMS_Ranking4[[#This Row],[Ag Land Raw]]))*(10)/(ASINH(AG$4))</f>
        <v>4.0680837855870973</v>
      </c>
      <c r="AI280" s="260">
        <f>FMS_Ranking4[[#This Row],[Farm &amp; ranch land, ArcSinh (0-10)]]*AG$5*10</f>
        <v>2.0340418927935486</v>
      </c>
      <c r="AJ280" s="258">
        <f>_xlfn.XLOOKUP(FMS_Ranking4[[#This Row],[FMS ID]],FMS_Input[FMS_ID],FMS_Input[REDSTRUCT100])</f>
        <v>0</v>
      </c>
      <c r="AK280" s="253">
        <f>_xlfn.XLOOKUP(FMS_Ranking4[[#This Row],[FMS ID]],FMS_Input[FMS_ID],FMS_Input[REMSTRC100])</f>
        <v>0</v>
      </c>
      <c r="AL280" s="259">
        <f>(ASINH(FMS_Ranking4[[#This Row],[Structures Removed Raw]]))*(10)/(ASINH(AK$4))</f>
        <v>0</v>
      </c>
      <c r="AM280" s="262">
        <f>FMS_Ranking4[[#This Row],[Structures removed, ArcSinh (0-10)]]*AK$5*10</f>
        <v>0</v>
      </c>
      <c r="AN280" s="253">
        <f>_xlfn.XLOOKUP(FMS_Ranking4[[#This Row],[FMS ID]],FMS_Input[FMS_ID],FMS_Input[REMRESSTRC100])</f>
        <v>0</v>
      </c>
      <c r="AO280" s="261">
        <f>FMS_Ranking4[[#This Row],[ArcSinh Res struct removed 0-10]]*AN$5*10</f>
        <v>0</v>
      </c>
      <c r="AP280" s="260">
        <f>ASINH(FMS_Ranking4[[#This Row],[Residential Structures Removed Raw]])/AP$4*AN$5*100</f>
        <v>0</v>
      </c>
      <c r="AQ280" s="254">
        <f>(ASINH(FMS_Ranking4[[#This Row],[Residential Structures Removed Raw]]))*(10)/(ASINH(AN$4))</f>
        <v>0</v>
      </c>
      <c r="AR280" s="253">
        <f>_xlfn.XLOOKUP(FMS_Ranking4[[#This Row],[FMS ID]],FMS_Input[FMS_ID],FMS_Input[REMPOP100])</f>
        <v>0</v>
      </c>
      <c r="AS280" s="259">
        <f>(ASINH(FMS_Ranking4[[#This Row],[Removed Pop Raw]]))*(10)/(ASINH(AR$4))</f>
        <v>0</v>
      </c>
      <c r="AT280" s="262">
        <f>FMS_Ranking4[[#This Row],[Removed population, ArcSinh (0-10)]]*AR$5*10</f>
        <v>0</v>
      </c>
      <c r="AU280" s="264">
        <f>_xlfn.XLOOKUP(FMS_Ranking4[[#This Row],[FMS ID]],FMS_Input[FMS_ID],FMS_Input[REMCRITFAC100])</f>
        <v>0</v>
      </c>
      <c r="AV280" s="264">
        <f>_xlfn.XLOOKUP(FMS_Ranking4[[#This Row],[FMS ID]],FMS_Input[FMS_ID],FMS_Input[REMLWC100])</f>
        <v>0</v>
      </c>
      <c r="AW280" s="264">
        <f>_xlfn.XLOOKUP(FMS_Ranking4[[#This Row],[FMS ID]],FMS_Input[FMS_ID],FMS_Input[REMROADCLS])</f>
        <v>0</v>
      </c>
      <c r="AX280" s="264">
        <f>_xlfn.XLOOKUP(FMS_Ranking4[[#This Row],[FMS ID]],FMS_Input[FMS_ID],FMS_Input[REMFRMACRE100])</f>
        <v>0</v>
      </c>
      <c r="AY280" s="258">
        <f>_xlfn.XLOOKUP(FMS_Ranking4[[#This Row],[FMS ID]],FMS_Input[FMS_ID],FMS_Input[COSTSTRUCT])</f>
        <v>0</v>
      </c>
      <c r="AZ280" s="253">
        <f>_xlfn.XLOOKUP(FMS_Ranking4[[#This Row],[FMS ID]],FMS_Input[FMS_ID],FMS_Input[NATURE])</f>
        <v>0</v>
      </c>
      <c r="BA280" s="262">
        <f>(((FMS_Ranking4[[#This Row],[% NBS Raw]]/AZ$4)*100)*AZ$5)</f>
        <v>0</v>
      </c>
      <c r="BB280" s="251" t="str">
        <f>_xlfn.XLOOKUP(FMS_Ranking4[[#This Row],[FMS ID]],FMS_Input[FMS_ID],FMS_Input[WATER_SUP])</f>
        <v>No</v>
      </c>
      <c r="BC280" s="265">
        <f>IF(FMS_Ranking4[[#This Row],[Water Supply Raw]]="Yes",10,0)</f>
        <v>0</v>
      </c>
      <c r="BD280" s="266">
        <f>_xlfn.XLOOKUP(FMS_Ranking4[[#This Row],[FMS Type]],FMS_TYPE[FMS_Type],FMS_TYPE[Score])</f>
        <v>8</v>
      </c>
      <c r="BE280" s="267">
        <f>FMS_Ranking4[[#This Row],[FMS_Type Score]]*$BD$5*10</f>
        <v>2</v>
      </c>
      <c r="BF28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0.53515449109579438</v>
      </c>
      <c r="BG280" s="269">
        <f>_xlfn.RANK.EQ(BF280,$BF$8:$BF$870,0)+COUNTIF($BF$8:BF280,BF280)-1</f>
        <v>211</v>
      </c>
      <c r="BH280" s="268">
        <f>(((FMS_Ranking4[[#This Row],[Structures Removed Raw]]/AK$4)*100)*AK$5)+(((FMS_Ranking4[[#This Row],[Removed Pop Raw]]/AR$4)*100)*AR$5)</f>
        <v>0</v>
      </c>
      <c r="BI28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2.5351544910957946</v>
      </c>
      <c r="BJ280" s="204">
        <f>_xlfn.RANK.EQ(FMS_Ranking4[[#This Row],[Total Score 
(with linear
normalization)]],FMS_Ranking4[Total Score 
(with linear
normalization)],0)</f>
        <v>241</v>
      </c>
      <c r="BK280" s="204" t="e">
        <f>_xlfn.XLOOKUP(FMS_Ranking4[[#This Row],[FMS ID]],#REF!,#REF!)</f>
        <v>#REF!</v>
      </c>
      <c r="BL280"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25.398060074446555</v>
      </c>
      <c r="BM280" s="270">
        <f>FMS_Ranking4[[#This Row],[ArcSinh Score Based on Normalized Reported Factors]]+FMS_Ranking4[[#This Row],[% NBS Score (Normalized)]]+(FMS_Ranking4[[#This Row],[Water Supply Score (Normalized)]]*10*$BB$5)+FMS_Ranking4[[#This Row],[FMS_Type Score Weighted]]</f>
        <v>27.398060074446555</v>
      </c>
      <c r="BN280" s="204">
        <f>_xlfn.RANK.EQ(FMS_Ranking4[[#This Row],[Total Score (with ArcSinh normalization of select criteria)]],FMS_Ranking4[Total Score (with ArcSinh normalization of select criteria)],0)</f>
        <v>273</v>
      </c>
      <c r="BO280" s="270" t="str">
        <f>_xlfn.XLOOKUP(FMS_Ranking4[[#This Row],[FMS ID]],FMS_Input[FMS_ID],FMS_Input[FMS_RANK_YEAR])</f>
        <v>2023 Amended Plan</v>
      </c>
      <c r="BP280" s="204">
        <f>_xlfn.XLOOKUP(FMS_Ranking4[[#This Row],[FMS ID]],Prev_Rank[FMS ID],Prev_Rank[Prev Rank])</f>
        <v>234</v>
      </c>
      <c r="BQ280" s="204" t="e">
        <f>_xlfn.XLOOKUP(FMS_Ranking4[[#This Row],[FMS ID]],#REF!,#REF!)</f>
        <v>#REF!</v>
      </c>
      <c r="BR280" s="199" t="e">
        <f>SUM(#REF!,#REF!,#REF!,#REF!,#REF!,#REF!,#REF!,#REF!,#REF!,FMS_Ranking4[[#This Row],[ArcSinh Res struct removed 0-10]],#REF!)</f>
        <v>#REF!</v>
      </c>
      <c r="BS280" s="199" t="e">
        <f>FMS_Ranking4[[#This Row],[Log Score Based on Normalized Reported Factors]]+FMS_Ranking4[[#This Row],[% NBS Score (Normalized)]]+(FMS_Ranking4[[#This Row],[Water Supply Score (Normalized)]]*10*$BB$5)+(FMS_Ranking4[[#This Row],[FMS_Type Score Weighted]])</f>
        <v>#REF!</v>
      </c>
      <c r="BT280" s="200" t="e">
        <f>_xlfn.RANK.EQ(FMS_Ranking4[[#This Row],[Log Total Score]],FMS_Ranking4[Log Total Score],0)</f>
        <v>#REF!</v>
      </c>
      <c r="BU280" s="200" t="e">
        <f>_xlfn.XLOOKUP(FMS_Ranking4[[#This Row],[FMS ID]],#REF!,#REF!)</f>
        <v>#REF!</v>
      </c>
      <c r="BV280" s="200">
        <f>FMS_Ranking4[[#This Row],[Region Number]]</f>
        <v>6</v>
      </c>
      <c r="BW280" s="200">
        <f>FMS_Ranking4[[#This Row],[Rank (with ArcSinh normalization of select criteria)]]-FMS_Ranking4[[#This Row],[Rank
(with linear
normalization)]]</f>
        <v>32</v>
      </c>
      <c r="BX280" s="200" t="e">
        <f>FMS_Ranking4[[#This Row],[Log Rank]]-FMS_Ranking4[[#This Row],[Rank
(with linear
normalization)]]</f>
        <v>#REF!</v>
      </c>
      <c r="BY280" s="200" t="str">
        <f>IF(FMS_Ranking4[[#This Row],[FMS Type]]="Flood Measurement and Warning",FMS_Ranking4[[#This Row],[Rank (with ArcSinh normalization of select criteria)]],"")</f>
        <v/>
      </c>
      <c r="BZ280" s="200">
        <f>IF(FMS_Ranking4[[#This Row],[FMS Type]]="Regulatory and Guidance",FMS_Ranking4[[#This Row],[Rank (with ArcSinh normalization of select criteria)]],"")</f>
        <v>273</v>
      </c>
      <c r="CA280" s="200" t="str">
        <f>IF(FMS_Ranking4[[#This Row],[FMS Type]]="Education and Outreach",FMS_Ranking4[[#This Row],[Rank (with ArcSinh normalization of select criteria)]],"")</f>
        <v/>
      </c>
      <c r="CB280" s="200" t="str">
        <f>IF(FMS_Ranking4[[#This Row],[FMS Type]]="Property Acquisition and Structural Elevation",FMS_Ranking4[[#This Row],[Rank (with ArcSinh normalization of select criteria)]],"")</f>
        <v/>
      </c>
      <c r="CC280" s="200" t="str">
        <f>IF(FMS_Ranking4[[#This Row],[FMS Type]]="Infrastructure Projects",FMS_Ranking4[[#This Row],[Rank (with ArcSinh normalization of select criteria)]],"")</f>
        <v/>
      </c>
      <c r="CD280" s="200" t="str">
        <f>IF(FMS_Ranking4[[#This Row],[FMS Type]]="Other",FMS_Ranking4[[#This Row],[Rank (with ArcSinh normalization of select criteria)]],"")</f>
        <v/>
      </c>
      <c r="CE280" s="201"/>
      <c r="CF280" s="206"/>
      <c r="CG280" s="206"/>
      <c r="CH280" s="206"/>
      <c r="CI280" s="206"/>
      <c r="CJ280" s="206"/>
      <c r="CK280" s="206"/>
      <c r="CL280" s="206"/>
      <c r="CM280" s="206"/>
      <c r="CN280" s="206"/>
      <c r="CO280" s="206"/>
      <c r="CP280" s="206"/>
      <c r="CQ280" s="206"/>
      <c r="CR280" s="206"/>
    </row>
    <row r="281" spans="2:96" ht="45" x14ac:dyDescent="0.25">
      <c r="B281" s="341" t="s">
        <v>1626</v>
      </c>
      <c r="C281" s="246">
        <f>_xlfn.XLOOKUP(FMS_Ranking4[[#This Row],[FMS ID]],FMS_Input[FMS_ID],FMS_Input[RFPG_NUM])</f>
        <v>2</v>
      </c>
      <c r="D281" s="309" t="str">
        <f>_xlfn.XLOOKUP(FMS_Ranking4[[#This Row],[FMS ID]],FMS_Input[FMS_ID],FMS_Input[FMS_NAME])</f>
        <v>Harrison County NFIP Involvement</v>
      </c>
      <c r="E281" s="308" t="str">
        <f>_xlfn.XLOOKUP(FMS_Ranking4[[#This Row],[FMS ID]],FMS_Input[FMS_ID],FMS_Input[SPONSOR])</f>
        <v>Harrison County</v>
      </c>
      <c r="F281" s="309" t="str">
        <f>_xlfn.XLOOKUP(FMS_Ranking4[[#This Row],[FMS ID]],Sponsor[FMS_ID],Sponsor[SPONSOR NAME])</f>
        <v>Harrison County</v>
      </c>
      <c r="G281" s="309" t="str">
        <f>_xlfn.XLOOKUP(FMS_Ranking4[[#This Row],[FMS ID]],FMS_Input[FMS_ID],FMS_Input[FMS_DESCR])</f>
        <v xml:space="preserve">Application to join NFIP or adoption of equivalent standards </v>
      </c>
      <c r="H281" s="248" t="str">
        <f>_xlfn.XLOOKUP(FMS_Ranking4[[#This Row],[FMS ID]],FMS_Input[FMS_ID],FMS_Input[FMS_TYPE])</f>
        <v>Regulatory and Guidance</v>
      </c>
      <c r="I281" s="249">
        <f>_xlfn.XLOOKUP(FMS_Ranking4[[#This Row],[FMS ID]],FMS_Input[FMS_ID],FMS_Input[NRNC_COST])</f>
        <v>100000</v>
      </c>
      <c r="J281" s="250">
        <f>_xlfn.XLOOKUP(FMS_Ranking4[[#This Row],[FMS ID]],FMS_Input[FMS_ID],FMS_Input[FMS_COST])</f>
        <v>100000</v>
      </c>
      <c r="K281" s="251" t="str">
        <f>_xlfn.XLOOKUP(FMS_Ranking4[[#This Row],[FMS ID]],FMS_Input[FMS_ID],FMS_Input[EMER_NEED])</f>
        <v>No</v>
      </c>
      <c r="L281" s="252">
        <f t="shared" si="4"/>
        <v>0</v>
      </c>
      <c r="M281" s="253">
        <f>_xlfn.XLOOKUP(FMS_Ranking4[[#This Row],[FMS ID]],FMS_Input[FMS_ID],FMS_Input[STRUCT_100])</f>
        <v>898</v>
      </c>
      <c r="N281" s="255">
        <f>(ASINH(FMS_Ranking4[[#This Row],[Structure at Risk Raw]]))*(10)/(ASINH(M$4))</f>
        <v>5.8908633079407169</v>
      </c>
      <c r="O281" s="256">
        <f>FMS_Ranking4[[#This Row],[Structures at risk, ArcSinh (0-10)]]*M$5*10</f>
        <v>5.8908633079407169</v>
      </c>
      <c r="P281" s="253">
        <f>_xlfn.XLOOKUP(FMS_Ranking4[[#This Row],[FMS ID]],FMS_Input[FMS_ID],FMS_Input[RES_STRUCT100])</f>
        <v>740</v>
      </c>
      <c r="Q281" s="257">
        <f>ASINH(FMS_Ranking4[[#This Row],[Res Structure Raw]])/Q$4*P$5*100</f>
        <v>0</v>
      </c>
      <c r="R281" s="253">
        <f>_xlfn.XLOOKUP(FMS_Ranking4[[#This Row],[FMS ID]],FMS_Input[FMS_ID],FMS_Input[POP100])</f>
        <v>2056</v>
      </c>
      <c r="S281" s="255">
        <f>(ASINH(FMS_Ranking4[[#This Row],[Pop at Risk Raw]]))*(10)/(ASINH(R$4))</f>
        <v>5.7449297273037123</v>
      </c>
      <c r="T281" s="256">
        <f>FMS_Ranking4[[#This Row],[Population at risk, ArcSinh (0-10)]]*R$5*10</f>
        <v>5.7449297273037123</v>
      </c>
      <c r="U281" s="253">
        <f>_xlfn.XLOOKUP(FMS_Ranking4[[#This Row],[FMS ID]],FMS_Input[FMS_ID],FMS_Input[CRITFAC100])</f>
        <v>6</v>
      </c>
      <c r="V281" s="255">
        <f>(ASINH(FMS_Ranking4[[#This Row],[Critical Facilities Raw]]))*(10)/(ASINH(U$4))</f>
        <v>2.9496796311809068</v>
      </c>
      <c r="W281" s="256">
        <f>FMS_Ranking4[[#This Row],[Critical facilities at risk, ArcSinh (0-10)]]*U$5*10</f>
        <v>2.9496796311809073</v>
      </c>
      <c r="X281" s="253">
        <f>_xlfn.XLOOKUP(FMS_Ranking4[[#This Row],[FMS ID]],FMS_Input[FMS_ID],FMS_Input[LWC])</f>
        <v>5</v>
      </c>
      <c r="Y281" s="255">
        <f>(ASINH(FMS_Ranking4[[#This Row],[LWC Raw]]))*(10)/(ASINH(X$4))</f>
        <v>3.1327475801820781</v>
      </c>
      <c r="Z281" s="256">
        <f>FMS_Ranking4[[#This Row],[LWC, ArcSInh (0-10)]]*X$5*10</f>
        <v>3.1327475801820781</v>
      </c>
      <c r="AA281" s="253">
        <f>_xlfn.XLOOKUP(FMS_Ranking4[[#This Row],[FMS ID]],FMS_Input[FMS_ID],FMS_Input[ROADCLS])</f>
        <v>0</v>
      </c>
      <c r="AB281" s="255">
        <f>(ASINH(FMS_Ranking4[[#This Row],[Road Closures Raw]]))*(10)/(ASINH(AA$4))</f>
        <v>0</v>
      </c>
      <c r="AC281" s="256">
        <f>FMS_Ranking4[[#This Row],[Road closures, ArcSinh (0-10)]]*AA$5*10</f>
        <v>0</v>
      </c>
      <c r="AD281" s="253">
        <f>_xlfn.XLOOKUP(FMS_Ranking4[[#This Row],[FMS ID]],FMS_Input[FMS_ID],FMS_Input[ROAD_MILES100])</f>
        <v>97</v>
      </c>
      <c r="AE281" s="255">
        <f>(ASINH(FMS_Ranking4[[#This Row],[Road Miles Raw]]))*(10)/(ASINH(AD$4))</f>
        <v>5.6141157975801468</v>
      </c>
      <c r="AF281" s="256">
        <f>FMS_Ranking4[[#This Row],[Length of roads at risk, ArcSinh (0-10)]]*AD$5*10</f>
        <v>5.6141157975801468</v>
      </c>
      <c r="AG281" s="253">
        <f>_xlfn.XLOOKUP(FMS_Ranking4[[#This Row],[FMS ID]],FMS_Input[FMS_ID],FMS_Input[FARMACRE100])</f>
        <v>255.00254821777341</v>
      </c>
      <c r="AH281" s="255">
        <f>(ASINH(FMS_Ranking4[[#This Row],[Ag Land Raw]]))*(10)/(ASINH(AG$4))</f>
        <v>4.0497666681357627</v>
      </c>
      <c r="AI281" s="260">
        <f>FMS_Ranking4[[#This Row],[Farm &amp; ranch land, ArcSinh (0-10)]]*AG$5*10</f>
        <v>2.0248833340678813</v>
      </c>
      <c r="AJ281" s="258">
        <f>_xlfn.XLOOKUP(FMS_Ranking4[[#This Row],[FMS ID]],FMS_Input[FMS_ID],FMS_Input[REDSTRUCT100])</f>
        <v>0</v>
      </c>
      <c r="AK281" s="253">
        <f>_xlfn.XLOOKUP(FMS_Ranking4[[#This Row],[FMS ID]],FMS_Input[FMS_ID],FMS_Input[REMSTRC100])</f>
        <v>0</v>
      </c>
      <c r="AL281" s="255">
        <f>(ASINH(FMS_Ranking4[[#This Row],[Structures Removed Raw]]))*(10)/(ASINH(AK$4))</f>
        <v>0</v>
      </c>
      <c r="AM281" s="262">
        <f>FMS_Ranking4[[#This Row],[Structures removed, ArcSinh (0-10)]]*AK$5*10</f>
        <v>0</v>
      </c>
      <c r="AN281" s="253">
        <f>_xlfn.XLOOKUP(FMS_Ranking4[[#This Row],[FMS ID]],FMS_Input[FMS_ID],FMS_Input[REMRESSTRC100])</f>
        <v>0</v>
      </c>
      <c r="AO281" s="261">
        <f>FMS_Ranking4[[#This Row],[ArcSinh Res struct removed 0-10]]*AN$5*10</f>
        <v>0</v>
      </c>
      <c r="AP281" s="260">
        <f>ASINH(FMS_Ranking4[[#This Row],[Residential Structures Removed Raw]])/AP$4*AN$5*100</f>
        <v>0</v>
      </c>
      <c r="AQ281" s="258">
        <f>(ASINH(FMS_Ranking4[[#This Row],[Residential Structures Removed Raw]]))*(10)/(ASINH(AN$4))</f>
        <v>0</v>
      </c>
      <c r="AR281" s="253">
        <f>_xlfn.XLOOKUP(FMS_Ranking4[[#This Row],[FMS ID]],FMS_Input[FMS_ID],FMS_Input[REMPOP100])</f>
        <v>0</v>
      </c>
      <c r="AS281" s="255">
        <f>(ASINH(FMS_Ranking4[[#This Row],[Removed Pop Raw]]))*(10)/(ASINH(AR$4))</f>
        <v>0</v>
      </c>
      <c r="AT281" s="262">
        <f>FMS_Ranking4[[#This Row],[Removed population, ArcSinh (0-10)]]*AR$5*10</f>
        <v>0</v>
      </c>
      <c r="AU281" s="264">
        <f>_xlfn.XLOOKUP(FMS_Ranking4[[#This Row],[FMS ID]],FMS_Input[FMS_ID],FMS_Input[REMCRITFAC100])</f>
        <v>0</v>
      </c>
      <c r="AV281" s="264">
        <f>_xlfn.XLOOKUP(FMS_Ranking4[[#This Row],[FMS ID]],FMS_Input[FMS_ID],FMS_Input[REMLWC100])</f>
        <v>0</v>
      </c>
      <c r="AW281" s="264">
        <f>_xlfn.XLOOKUP(FMS_Ranking4[[#This Row],[FMS ID]],FMS_Input[FMS_ID],FMS_Input[REMROADCLS])</f>
        <v>0</v>
      </c>
      <c r="AX281" s="264">
        <f>_xlfn.XLOOKUP(FMS_Ranking4[[#This Row],[FMS ID]],FMS_Input[FMS_ID],FMS_Input[REMFRMACRE100])</f>
        <v>0</v>
      </c>
      <c r="AY281" s="258">
        <f>_xlfn.XLOOKUP(FMS_Ranking4[[#This Row],[FMS ID]],FMS_Input[FMS_ID],FMS_Input[COSTSTRUCT])</f>
        <v>0</v>
      </c>
      <c r="AZ281" s="253">
        <f>_xlfn.XLOOKUP(FMS_Ranking4[[#This Row],[FMS ID]],FMS_Input[FMS_ID],FMS_Input[NATURE])</f>
        <v>0</v>
      </c>
      <c r="BA281" s="262">
        <f>(((FMS_Ranking4[[#This Row],[% NBS Raw]]/AZ$4)*100)*AZ$5)</f>
        <v>0</v>
      </c>
      <c r="BB281" s="251" t="str">
        <f>_xlfn.XLOOKUP(FMS_Ranking4[[#This Row],[FMS ID]],FMS_Input[FMS_ID],FMS_Input[WATER_SUP])</f>
        <v>No</v>
      </c>
      <c r="BC281" s="265">
        <f>IF(FMS_Ranking4[[#This Row],[Water Supply Raw]]="Yes",10,0)</f>
        <v>0</v>
      </c>
      <c r="BD281" s="266">
        <f>_xlfn.XLOOKUP(FMS_Ranking4[[#This Row],[FMS Type]],FMS_TYPE[FMS_Type],FMS_TYPE[Score])</f>
        <v>8</v>
      </c>
      <c r="BE281" s="267">
        <f>FMS_Ranking4[[#This Row],[FMS_Type Score]]*$BD$5*10</f>
        <v>2</v>
      </c>
      <c r="BF28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0.32645873055190183</v>
      </c>
      <c r="BG281" s="321">
        <f>_xlfn.RANK.EQ(BF281,$BF$8:$BF$870,0)+COUNTIF($BF$8:BF281,BF281)-1</f>
        <v>291</v>
      </c>
      <c r="BH281" s="294">
        <f>(((FMS_Ranking4[[#This Row],[Structures Removed Raw]]/AK$4)*100)*AK$5)+(((FMS_Ranking4[[#This Row],[Removed Pop Raw]]/AR$4)*100)*AR$5)</f>
        <v>0</v>
      </c>
      <c r="BI28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2.3264587305519018</v>
      </c>
      <c r="BJ281" s="251">
        <f>_xlfn.RANK.EQ(FMS_Ranking4[[#This Row],[Total Score 
(with linear
normalization)]],FMS_Ranking4[Total Score 
(with linear
normalization)],0)</f>
        <v>290</v>
      </c>
      <c r="BK281" s="251" t="e">
        <f>_xlfn.XLOOKUP(FMS_Ranking4[[#This Row],[FMS ID]],#REF!,#REF!)</f>
        <v>#REF!</v>
      </c>
      <c r="BL28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25.35721937825544</v>
      </c>
      <c r="BM281" s="324">
        <f>FMS_Ranking4[[#This Row],[ArcSinh Score Based on Normalized Reported Factors]]+FMS_Ranking4[[#This Row],[% NBS Score (Normalized)]]+(FMS_Ranking4[[#This Row],[Water Supply Score (Normalized)]]*10*$BB$5)+FMS_Ranking4[[#This Row],[FMS_Type Score Weighted]]</f>
        <v>27.35721937825544</v>
      </c>
      <c r="BN281" s="251">
        <f>_xlfn.RANK.EQ(FMS_Ranking4[[#This Row],[Total Score (with ArcSinh normalization of select criteria)]],FMS_Ranking4[Total Score (with ArcSinh normalization of select criteria)],0)</f>
        <v>274</v>
      </c>
      <c r="BO281" s="270" t="str">
        <f>_xlfn.XLOOKUP(FMS_Ranking4[[#This Row],[FMS ID]],FMS_Input[FMS_ID],FMS_Input[FMS_RANK_YEAR])</f>
        <v>2023 Amended Plan</v>
      </c>
      <c r="BP281" s="204">
        <f>_xlfn.XLOOKUP(FMS_Ranking4[[#This Row],[FMS ID]],Prev_Rank[FMS ID],Prev_Rank[Prev Rank])</f>
        <v>243</v>
      </c>
      <c r="BQ281" s="251" t="e">
        <f>_xlfn.XLOOKUP(FMS_Ranking4[[#This Row],[FMS ID]],#REF!,#REF!)</f>
        <v>#REF!</v>
      </c>
      <c r="BR281" s="199" t="e">
        <f>SUM(#REF!,#REF!,#REF!,#REF!,#REF!,#REF!,#REF!,#REF!,#REF!,FMS_Ranking4[[#This Row],[ArcSinh Res struct removed 0-10]],#REF!)</f>
        <v>#REF!</v>
      </c>
      <c r="BS281" s="199" t="e">
        <f>FMS_Ranking4[[#This Row],[Log Score Based on Normalized Reported Factors]]+FMS_Ranking4[[#This Row],[% NBS Score (Normalized)]]+(FMS_Ranking4[[#This Row],[Water Supply Score (Normalized)]]*10*$BB$5)+(FMS_Ranking4[[#This Row],[FMS_Type Score Weighted]])</f>
        <v>#REF!</v>
      </c>
      <c r="BT281" s="200" t="e">
        <f>_xlfn.RANK.EQ(FMS_Ranking4[[#This Row],[Log Total Score]],FMS_Ranking4[Log Total Score],0)</f>
        <v>#REF!</v>
      </c>
      <c r="BU281" s="200" t="e">
        <f>_xlfn.XLOOKUP(FMS_Ranking4[[#This Row],[FMS ID]],#REF!,#REF!)</f>
        <v>#REF!</v>
      </c>
      <c r="BV281" s="200">
        <f>FMS_Ranking4[[#This Row],[Region Number]]</f>
        <v>2</v>
      </c>
      <c r="BW281" s="200">
        <f>FMS_Ranking4[[#This Row],[Rank (with ArcSinh normalization of select criteria)]]-FMS_Ranking4[[#This Row],[Rank
(with linear
normalization)]]</f>
        <v>-16</v>
      </c>
      <c r="BX281" s="200" t="e">
        <f>FMS_Ranking4[[#This Row],[Log Rank]]-FMS_Ranking4[[#This Row],[Rank
(with linear
normalization)]]</f>
        <v>#REF!</v>
      </c>
      <c r="BY281" s="200" t="str">
        <f>IF(FMS_Ranking4[[#This Row],[FMS Type]]="Flood Measurement and Warning",FMS_Ranking4[[#This Row],[Rank (with ArcSinh normalization of select criteria)]],"")</f>
        <v/>
      </c>
      <c r="BZ281" s="200">
        <f>IF(FMS_Ranking4[[#This Row],[FMS Type]]="Regulatory and Guidance",FMS_Ranking4[[#This Row],[Rank (with ArcSinh normalization of select criteria)]],"")</f>
        <v>274</v>
      </c>
      <c r="CA281" s="200" t="str">
        <f>IF(FMS_Ranking4[[#This Row],[FMS Type]]="Education and Outreach",FMS_Ranking4[[#This Row],[Rank (with ArcSinh normalization of select criteria)]],"")</f>
        <v/>
      </c>
      <c r="CB281" s="200" t="str">
        <f>IF(FMS_Ranking4[[#This Row],[FMS Type]]="Property Acquisition and Structural Elevation",FMS_Ranking4[[#This Row],[Rank (with ArcSinh normalization of select criteria)]],"")</f>
        <v/>
      </c>
      <c r="CC281" s="200" t="str">
        <f>IF(FMS_Ranking4[[#This Row],[FMS Type]]="Infrastructure Projects",FMS_Ranking4[[#This Row],[Rank (with ArcSinh normalization of select criteria)]],"")</f>
        <v/>
      </c>
      <c r="CD281" s="200" t="str">
        <f>IF(FMS_Ranking4[[#This Row],[FMS Type]]="Other",FMS_Ranking4[[#This Row],[Rank (with ArcSinh normalization of select criteria)]],"")</f>
        <v/>
      </c>
      <c r="CE281" s="201"/>
      <c r="CF281" s="206"/>
      <c r="CG281" s="206"/>
      <c r="CH281" s="206"/>
      <c r="CI281" s="206"/>
      <c r="CJ281" s="206"/>
      <c r="CK281" s="206"/>
      <c r="CL281" s="206"/>
      <c r="CM281" s="206"/>
      <c r="CN281" s="206"/>
      <c r="CO281" s="206"/>
      <c r="CP281" s="206"/>
      <c r="CQ281" s="206"/>
      <c r="CR281" s="206"/>
    </row>
    <row r="282" spans="2:96" ht="60" x14ac:dyDescent="0.25">
      <c r="B282" s="341" t="s">
        <v>1896</v>
      </c>
      <c r="C282" s="246">
        <f>_xlfn.XLOOKUP(FMS_Ranking4[[#This Row],[FMS ID]],FMS_Input[FMS_ID],FMS_Input[RFPG_NUM])</f>
        <v>3</v>
      </c>
      <c r="D282" s="309" t="str">
        <f>_xlfn.XLOOKUP(FMS_Ranking4[[#This Row],[FMS ID]],FMS_Input[FMS_ID],FMS_Input[FMS_NAME])</f>
        <v>Rockwall County Warning Signs and Flood Control Gates</v>
      </c>
      <c r="E282" s="308" t="str">
        <f>_xlfn.XLOOKUP(FMS_Ranking4[[#This Row],[FMS ID]],FMS_Input[FMS_ID],FMS_Input[SPONSOR])</f>
        <v>Rockwall County</v>
      </c>
      <c r="F282" s="309" t="str">
        <f>_xlfn.XLOOKUP(FMS_Ranking4[[#This Row],[FMS ID]],Sponsor[FMS_ID],Sponsor[SPONSOR NAME])</f>
        <v>Rockwall County</v>
      </c>
      <c r="G282" s="309" t="str">
        <f>_xlfn.XLOOKUP(FMS_Ranking4[[#This Row],[FMS ID]],FMS_Input[FMS_ID],FMS_Input[FMS_DESCR])</f>
        <v>Install automatic flood warning gates to prevent access into flooded areas. Install warning signs and flood control</v>
      </c>
      <c r="H282" s="248" t="str">
        <f>_xlfn.XLOOKUP(FMS_Ranking4[[#This Row],[FMS ID]],FMS_Input[FMS_ID],FMS_Input[FMS_TYPE])</f>
        <v>Flood Measurement and Warning</v>
      </c>
      <c r="I282" s="249">
        <f>_xlfn.XLOOKUP(FMS_Ranking4[[#This Row],[FMS ID]],FMS_Input[FMS_ID],FMS_Input[NRNC_COST])</f>
        <v>25000</v>
      </c>
      <c r="J282" s="250">
        <f>_xlfn.XLOOKUP(FMS_Ranking4[[#This Row],[FMS ID]],FMS_Input[FMS_ID],FMS_Input[FMS_COST])</f>
        <v>250000</v>
      </c>
      <c r="K282" s="251" t="str">
        <f>_xlfn.XLOOKUP(FMS_Ranking4[[#This Row],[FMS ID]],FMS_Input[FMS_ID],FMS_Input[EMER_NEED])</f>
        <v>No</v>
      </c>
      <c r="L282" s="252">
        <f t="shared" si="4"/>
        <v>0</v>
      </c>
      <c r="M282" s="253">
        <f>_xlfn.XLOOKUP(FMS_Ranking4[[#This Row],[FMS ID]],FMS_Input[FMS_ID],FMS_Input[STRUCT_100])</f>
        <v>411</v>
      </c>
      <c r="N282" s="255">
        <f>(ASINH(FMS_Ranking4[[#This Row],[Structure at Risk Raw]]))*(10)/(ASINH(M$4))</f>
        <v>5.2764284488590265</v>
      </c>
      <c r="O282" s="256">
        <f>FMS_Ranking4[[#This Row],[Structures at risk, ArcSinh (0-10)]]*M$5*10</f>
        <v>5.2764284488590265</v>
      </c>
      <c r="P282" s="253">
        <f>_xlfn.XLOOKUP(FMS_Ranking4[[#This Row],[FMS ID]],FMS_Input[FMS_ID],FMS_Input[RES_STRUCT100])</f>
        <v>371</v>
      </c>
      <c r="Q282" s="257">
        <f>ASINH(FMS_Ranking4[[#This Row],[Res Structure Raw]])/Q$4*P$5*100</f>
        <v>0</v>
      </c>
      <c r="R282" s="253">
        <f>_xlfn.XLOOKUP(FMS_Ranking4[[#This Row],[FMS ID]],FMS_Input[FMS_ID],FMS_Input[POP100])</f>
        <v>1183</v>
      </c>
      <c r="S282" s="259">
        <f>(ASINH(FMS_Ranking4[[#This Row],[Pop at Risk Raw]]))*(10)/(ASINH(R$4))</f>
        <v>5.3633627734167808</v>
      </c>
      <c r="T282" s="256">
        <f>FMS_Ranking4[[#This Row],[Population at risk, ArcSinh (0-10)]]*R$5*10</f>
        <v>5.3633627734167808</v>
      </c>
      <c r="U282" s="253">
        <f>_xlfn.XLOOKUP(FMS_Ranking4[[#This Row],[FMS ID]],FMS_Input[FMS_ID],FMS_Input[CRITFAC100])</f>
        <v>3</v>
      </c>
      <c r="V282" s="259">
        <f>(ASINH(FMS_Ranking4[[#This Row],[Critical Facilities Raw]]))*(10)/(ASINH(U$4))</f>
        <v>2.152611706646717</v>
      </c>
      <c r="W282" s="256">
        <f>FMS_Ranking4[[#This Row],[Critical facilities at risk, ArcSinh (0-10)]]*U$5*10</f>
        <v>2.152611706646717</v>
      </c>
      <c r="X282" s="253">
        <f>_xlfn.XLOOKUP(FMS_Ranking4[[#This Row],[FMS ID]],FMS_Input[FMS_ID],FMS_Input[LWC])</f>
        <v>15</v>
      </c>
      <c r="Y282" s="259">
        <f>(ASINH(FMS_Ranking4[[#This Row],[LWC Raw]]))*(10)/(ASINH(X$4))</f>
        <v>4.6092333449203755</v>
      </c>
      <c r="Z282" s="256">
        <f>FMS_Ranking4[[#This Row],[LWC, ArcSInh (0-10)]]*X$5*10</f>
        <v>4.6092333449203764</v>
      </c>
      <c r="AA282" s="253">
        <f>_xlfn.XLOOKUP(FMS_Ranking4[[#This Row],[FMS ID]],FMS_Input[FMS_ID],FMS_Input[ROADCLS])</f>
        <v>0</v>
      </c>
      <c r="AB282" s="255">
        <f>(ASINH(FMS_Ranking4[[#This Row],[Road Closures Raw]]))*(10)/(ASINH(AA$4))</f>
        <v>0</v>
      </c>
      <c r="AC282" s="256">
        <f>FMS_Ranking4[[#This Row],[Road closures, ArcSinh (0-10)]]*AA$5*10</f>
        <v>0</v>
      </c>
      <c r="AD282" s="253">
        <f>_xlfn.XLOOKUP(FMS_Ranking4[[#This Row],[FMS ID]],FMS_Input[FMS_ID],FMS_Input[ROAD_MILES100])</f>
        <v>34</v>
      </c>
      <c r="AE282" s="259">
        <f>(ASINH(FMS_Ranking4[[#This Row],[Road Miles Raw]]))*(10)/(ASINH(AD$4))</f>
        <v>4.4970647269582971</v>
      </c>
      <c r="AF282" s="256">
        <f>FMS_Ranking4[[#This Row],[Length of roads at risk, ArcSinh (0-10)]]*AD$5*10</f>
        <v>4.497064726958298</v>
      </c>
      <c r="AG282" s="253">
        <f>_xlfn.XLOOKUP(FMS_Ranking4[[#This Row],[FMS ID]],FMS_Input[FMS_ID],FMS_Input[FARMACRE100])</f>
        <v>4484.98876953125</v>
      </c>
      <c r="AH282" s="255">
        <f>(ASINH(FMS_Ranking4[[#This Row],[Ag Land Raw]]))*(10)/(ASINH(AG$4))</f>
        <v>5.9122556862799467</v>
      </c>
      <c r="AI282" s="260">
        <f>FMS_Ranking4[[#This Row],[Farm &amp; ranch land, ArcSinh (0-10)]]*AG$5*10</f>
        <v>2.9561278431399733</v>
      </c>
      <c r="AJ282" s="258">
        <f>_xlfn.XLOOKUP(FMS_Ranking4[[#This Row],[FMS ID]],FMS_Input[FMS_ID],FMS_Input[REDSTRUCT100])</f>
        <v>0</v>
      </c>
      <c r="AK282" s="253">
        <f>_xlfn.XLOOKUP(FMS_Ranking4[[#This Row],[FMS ID]],FMS_Input[FMS_ID],FMS_Input[REMSTRC100])</f>
        <v>0</v>
      </c>
      <c r="AL282" s="259">
        <f>(ASINH(FMS_Ranking4[[#This Row],[Structures Removed Raw]]))*(10)/(ASINH(AK$4))</f>
        <v>0</v>
      </c>
      <c r="AM282" s="262">
        <f>FMS_Ranking4[[#This Row],[Structures removed, ArcSinh (0-10)]]*AK$5*10</f>
        <v>0</v>
      </c>
      <c r="AN282" s="253">
        <f>_xlfn.XLOOKUP(FMS_Ranking4[[#This Row],[FMS ID]],FMS_Input[FMS_ID],FMS_Input[REMRESSTRC100])</f>
        <v>0</v>
      </c>
      <c r="AO282" s="261">
        <f>FMS_Ranking4[[#This Row],[ArcSinh Res struct removed 0-10]]*AN$5*10</f>
        <v>0</v>
      </c>
      <c r="AP282" s="260">
        <f>ASINH(FMS_Ranking4[[#This Row],[Residential Structures Removed Raw]])/AP$4*AN$5*100</f>
        <v>0</v>
      </c>
      <c r="AQ282" s="254">
        <f>(ASINH(FMS_Ranking4[[#This Row],[Residential Structures Removed Raw]]))*(10)/(ASINH(AN$4))</f>
        <v>0</v>
      </c>
      <c r="AR282" s="253">
        <f>_xlfn.XLOOKUP(FMS_Ranking4[[#This Row],[FMS ID]],FMS_Input[FMS_ID],FMS_Input[REMPOP100])</f>
        <v>0</v>
      </c>
      <c r="AS282" s="259">
        <f>(ASINH(FMS_Ranking4[[#This Row],[Removed Pop Raw]]))*(10)/(ASINH(AR$4))</f>
        <v>0</v>
      </c>
      <c r="AT282" s="262">
        <f>FMS_Ranking4[[#This Row],[Removed population, ArcSinh (0-10)]]*AR$5*10</f>
        <v>0</v>
      </c>
      <c r="AU282" s="264">
        <f>_xlfn.XLOOKUP(FMS_Ranking4[[#This Row],[FMS ID]],FMS_Input[FMS_ID],FMS_Input[REMCRITFAC100])</f>
        <v>0</v>
      </c>
      <c r="AV282" s="264">
        <f>_xlfn.XLOOKUP(FMS_Ranking4[[#This Row],[FMS ID]],FMS_Input[FMS_ID],FMS_Input[REMLWC100])</f>
        <v>0</v>
      </c>
      <c r="AW282" s="264">
        <f>_xlfn.XLOOKUP(FMS_Ranking4[[#This Row],[FMS ID]],FMS_Input[FMS_ID],FMS_Input[REMROADCLS])</f>
        <v>0</v>
      </c>
      <c r="AX282" s="264">
        <f>_xlfn.XLOOKUP(FMS_Ranking4[[#This Row],[FMS ID]],FMS_Input[FMS_ID],FMS_Input[REMFRMACRE100])</f>
        <v>0</v>
      </c>
      <c r="AY282" s="258">
        <f>_xlfn.XLOOKUP(FMS_Ranking4[[#This Row],[FMS ID]],FMS_Input[FMS_ID],FMS_Input[COSTSTRUCT])</f>
        <v>0</v>
      </c>
      <c r="AZ282" s="253">
        <f>_xlfn.XLOOKUP(FMS_Ranking4[[#This Row],[FMS ID]],FMS_Input[FMS_ID],FMS_Input[NATURE])</f>
        <v>0</v>
      </c>
      <c r="BA282" s="262">
        <f>(((FMS_Ranking4[[#This Row],[% NBS Raw]]/AZ$4)*100)*AZ$5)</f>
        <v>0</v>
      </c>
      <c r="BB282" s="251" t="str">
        <f>_xlfn.XLOOKUP(FMS_Ranking4[[#This Row],[FMS ID]],FMS_Input[FMS_ID],FMS_Input[WATER_SUP])</f>
        <v>No</v>
      </c>
      <c r="BC282" s="265">
        <f>IF(FMS_Ranking4[[#This Row],[Water Supply Raw]]="Yes",10,0)</f>
        <v>0</v>
      </c>
      <c r="BD282" s="266">
        <f>_xlfn.XLOOKUP(FMS_Ranking4[[#This Row],[FMS Type]],FMS_TYPE[FMS_Type],FMS_TYPE[Score])</f>
        <v>10</v>
      </c>
      <c r="BE282" s="267">
        <f>FMS_Ranking4[[#This Row],[FMS_Type Score]]*$BD$5*10</f>
        <v>2.5</v>
      </c>
      <c r="BF28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0.30279976851558754</v>
      </c>
      <c r="BG282" s="271">
        <f>_xlfn.RANK.EQ(BF282,$BF$8:$BF$870,0)+COUNTIF($BF$8:BF282,BF282)-1</f>
        <v>295</v>
      </c>
      <c r="BH282" s="268">
        <f>(((FMS_Ranking4[[#This Row],[Structures Removed Raw]]/AK$4)*100)*AK$5)+(((FMS_Ranking4[[#This Row],[Removed Pop Raw]]/AR$4)*100)*AR$5)</f>
        <v>0</v>
      </c>
      <c r="BI28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2.8027997685155874</v>
      </c>
      <c r="BJ282" s="205">
        <f>_xlfn.RANK.EQ(FMS_Ranking4[[#This Row],[Total Score 
(with linear
normalization)]],FMS_Ranking4[Total Score 
(with linear
normalization)],0)</f>
        <v>195</v>
      </c>
      <c r="BK282" s="205" t="e">
        <f>_xlfn.XLOOKUP(FMS_Ranking4[[#This Row],[FMS ID]],#REF!,#REF!)</f>
        <v>#REF!</v>
      </c>
      <c r="BL28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24.854828843941171</v>
      </c>
      <c r="BM282" s="272">
        <f>FMS_Ranking4[[#This Row],[ArcSinh Score Based on Normalized Reported Factors]]+FMS_Ranking4[[#This Row],[% NBS Score (Normalized)]]+(FMS_Ranking4[[#This Row],[Water Supply Score (Normalized)]]*10*$BB$5)+FMS_Ranking4[[#This Row],[FMS_Type Score Weighted]]</f>
        <v>27.354828843941171</v>
      </c>
      <c r="BN282" s="205">
        <f>_xlfn.RANK.EQ(FMS_Ranking4[[#This Row],[Total Score (with ArcSinh normalization of select criteria)]],FMS_Ranking4[Total Score (with ArcSinh normalization of select criteria)],0)</f>
        <v>275</v>
      </c>
      <c r="BO282" s="270" t="str">
        <f>_xlfn.XLOOKUP(FMS_Ranking4[[#This Row],[FMS ID]],FMS_Input[FMS_ID],FMS_Input[FMS_RANK_YEAR])</f>
        <v>2023 Amended Plan</v>
      </c>
      <c r="BP282" s="204">
        <f>_xlfn.XLOOKUP(FMS_Ranking4[[#This Row],[FMS ID]],Prev_Rank[FMS ID],Prev_Rank[Prev Rank])</f>
        <v>235</v>
      </c>
      <c r="BQ282" s="205" t="e">
        <f>_xlfn.XLOOKUP(FMS_Ranking4[[#This Row],[FMS ID]],#REF!,#REF!)</f>
        <v>#REF!</v>
      </c>
      <c r="BR282" s="199" t="e">
        <f>SUM(#REF!,#REF!,#REF!,#REF!,#REF!,#REF!,#REF!,#REF!,#REF!,FMS_Ranking4[[#This Row],[ArcSinh Res struct removed 0-10]],#REF!)</f>
        <v>#REF!</v>
      </c>
      <c r="BS282" s="199" t="e">
        <f>FMS_Ranking4[[#This Row],[Log Score Based on Normalized Reported Factors]]+FMS_Ranking4[[#This Row],[% NBS Score (Normalized)]]+(FMS_Ranking4[[#This Row],[Water Supply Score (Normalized)]]*10*$BB$5)+(FMS_Ranking4[[#This Row],[FMS_Type Score Weighted]])</f>
        <v>#REF!</v>
      </c>
      <c r="BT282" s="200" t="e">
        <f>_xlfn.RANK.EQ(FMS_Ranking4[[#This Row],[Log Total Score]],FMS_Ranking4[Log Total Score],0)</f>
        <v>#REF!</v>
      </c>
      <c r="BU282" s="200" t="e">
        <f>_xlfn.XLOOKUP(FMS_Ranking4[[#This Row],[FMS ID]],#REF!,#REF!)</f>
        <v>#REF!</v>
      </c>
      <c r="BV282" s="200">
        <f>FMS_Ranking4[[#This Row],[Region Number]]</f>
        <v>3</v>
      </c>
      <c r="BW282" s="200">
        <f>FMS_Ranking4[[#This Row],[Rank (with ArcSinh normalization of select criteria)]]-FMS_Ranking4[[#This Row],[Rank
(with linear
normalization)]]</f>
        <v>80</v>
      </c>
      <c r="BX282" s="200" t="e">
        <f>FMS_Ranking4[[#This Row],[Log Rank]]-FMS_Ranking4[[#This Row],[Rank
(with linear
normalization)]]</f>
        <v>#REF!</v>
      </c>
      <c r="BY282" s="200">
        <f>IF(FMS_Ranking4[[#This Row],[FMS Type]]="Flood Measurement and Warning",FMS_Ranking4[[#This Row],[Rank (with ArcSinh normalization of select criteria)]],"")</f>
        <v>275</v>
      </c>
      <c r="BZ282" s="200" t="str">
        <f>IF(FMS_Ranking4[[#This Row],[FMS Type]]="Regulatory and Guidance",FMS_Ranking4[[#This Row],[Rank (with ArcSinh normalization of select criteria)]],"")</f>
        <v/>
      </c>
      <c r="CA282" s="200" t="str">
        <f>IF(FMS_Ranking4[[#This Row],[FMS Type]]="Education and Outreach",FMS_Ranking4[[#This Row],[Rank (with ArcSinh normalization of select criteria)]],"")</f>
        <v/>
      </c>
      <c r="CB282" s="200" t="str">
        <f>IF(FMS_Ranking4[[#This Row],[FMS Type]]="Property Acquisition and Structural Elevation",FMS_Ranking4[[#This Row],[Rank (with ArcSinh normalization of select criteria)]],"")</f>
        <v/>
      </c>
      <c r="CC282" s="200" t="str">
        <f>IF(FMS_Ranking4[[#This Row],[FMS Type]]="Infrastructure Projects",FMS_Ranking4[[#This Row],[Rank (with ArcSinh normalization of select criteria)]],"")</f>
        <v/>
      </c>
      <c r="CD282" s="200" t="str">
        <f>IF(FMS_Ranking4[[#This Row],[FMS Type]]="Other",FMS_Ranking4[[#This Row],[Rank (with ArcSinh normalization of select criteria)]],"")</f>
        <v/>
      </c>
      <c r="CE282" s="201"/>
      <c r="CF282" s="206"/>
      <c r="CG282" s="206"/>
      <c r="CH282" s="206"/>
      <c r="CI282" s="206"/>
      <c r="CJ282" s="206"/>
      <c r="CK282" s="206"/>
      <c r="CL282" s="206"/>
      <c r="CM282" s="206"/>
      <c r="CN282" s="206"/>
      <c r="CO282" s="206"/>
      <c r="CP282" s="206"/>
      <c r="CQ282" s="206"/>
      <c r="CR282" s="206"/>
    </row>
    <row r="283" spans="2:96" ht="45" x14ac:dyDescent="0.25">
      <c r="B283" s="341" t="s">
        <v>3189</v>
      </c>
      <c r="C283" s="246">
        <f>_xlfn.XLOOKUP(FMS_Ranking4[[#This Row],[FMS ID]],FMS_Input[FMS_ID],FMS_Input[RFPG_NUM])</f>
        <v>7</v>
      </c>
      <c r="D283" s="309" t="str">
        <f>_xlfn.XLOOKUP(FMS_Ranking4[[#This Row],[FMS ID]],FMS_Input[FMS_ID],FMS_Input[FMS_NAME])</f>
        <v>Knox County NFIP Participation</v>
      </c>
      <c r="E283" s="308" t="str">
        <f>_xlfn.XLOOKUP(FMS_Ranking4[[#This Row],[FMS ID]],FMS_Input[FMS_ID],FMS_Input[SPONSOR])</f>
        <v>00000217</v>
      </c>
      <c r="F283" s="309" t="str">
        <f>_xlfn.XLOOKUP(FMS_Ranking4[[#This Row],[FMS ID]],Sponsor[FMS_ID],Sponsor[SPONSOR NAME])</f>
        <v>Knox</v>
      </c>
      <c r="G283" s="309" t="str">
        <f>_xlfn.XLOOKUP(FMS_Ranking4[[#This Row],[FMS ID]],FMS_Input[FMS_ID],FMS_Input[FMS_DESCR])</f>
        <v>Application to join NFIP or adoption of equivalent standards.</v>
      </c>
      <c r="H283" s="248" t="str">
        <f>_xlfn.XLOOKUP(FMS_Ranking4[[#This Row],[FMS ID]],FMS_Input[FMS_ID],FMS_Input[FMS_TYPE])</f>
        <v>Regulatory and Guidance</v>
      </c>
      <c r="I283" s="249">
        <f>_xlfn.XLOOKUP(FMS_Ranking4[[#This Row],[FMS ID]],FMS_Input[FMS_ID],FMS_Input[NRNC_COST])</f>
        <v>50000</v>
      </c>
      <c r="J283" s="250">
        <f>_xlfn.XLOOKUP(FMS_Ranking4[[#This Row],[FMS ID]],FMS_Input[FMS_ID],FMS_Input[FMS_COST])</f>
        <v>50000</v>
      </c>
      <c r="K283" s="251" t="str">
        <f>_xlfn.XLOOKUP(FMS_Ranking4[[#This Row],[FMS ID]],FMS_Input[FMS_ID],FMS_Input[EMER_NEED])</f>
        <v>No</v>
      </c>
      <c r="L283" s="252">
        <f t="shared" si="4"/>
        <v>0</v>
      </c>
      <c r="M283" s="253">
        <f>_xlfn.XLOOKUP(FMS_Ranking4[[#This Row],[FMS ID]],FMS_Input[FMS_ID],FMS_Input[STRUCT_100])</f>
        <v>968</v>
      </c>
      <c r="N283" s="255">
        <f>(ASINH(FMS_Ranking4[[#This Row],[Structure at Risk Raw]]))*(10)/(ASINH(M$4))</f>
        <v>5.9498731971308185</v>
      </c>
      <c r="O283" s="256">
        <f>FMS_Ranking4[[#This Row],[Structures at risk, ArcSinh (0-10)]]*M$5*10</f>
        <v>5.9498731971308185</v>
      </c>
      <c r="P283" s="253">
        <f>_xlfn.XLOOKUP(FMS_Ranking4[[#This Row],[FMS ID]],FMS_Input[FMS_ID],FMS_Input[RES_STRUCT100])</f>
        <v>526</v>
      </c>
      <c r="Q283" s="257">
        <f>ASINH(FMS_Ranking4[[#This Row],[Res Structure Raw]])/Q$4*P$5*100</f>
        <v>0</v>
      </c>
      <c r="R283" s="253">
        <f>_xlfn.XLOOKUP(FMS_Ranking4[[#This Row],[FMS ID]],FMS_Input[FMS_ID],FMS_Input[POP100])</f>
        <v>1310</v>
      </c>
      <c r="S283" s="259">
        <f>(ASINH(FMS_Ranking4[[#This Row],[Pop at Risk Raw]]))*(10)/(ASINH(R$4))</f>
        <v>5.433761030448844</v>
      </c>
      <c r="T283" s="256">
        <f>FMS_Ranking4[[#This Row],[Population at risk, ArcSinh (0-10)]]*R$5*10</f>
        <v>5.433761030448844</v>
      </c>
      <c r="U283" s="253">
        <f>_xlfn.XLOOKUP(FMS_Ranking4[[#This Row],[FMS ID]],FMS_Input[FMS_ID],FMS_Input[CRITFAC100])</f>
        <v>4</v>
      </c>
      <c r="V283" s="259">
        <f>(ASINH(FMS_Ranking4[[#This Row],[Critical Facilities Raw]]))*(10)/(ASINH(U$4))</f>
        <v>2.4796455944038147</v>
      </c>
      <c r="W283" s="256">
        <f>FMS_Ranking4[[#This Row],[Critical facilities at risk, ArcSinh (0-10)]]*U$5*10</f>
        <v>2.4796455944038147</v>
      </c>
      <c r="X283" s="253">
        <f>_xlfn.XLOOKUP(FMS_Ranking4[[#This Row],[FMS ID]],FMS_Input[FMS_ID],FMS_Input[LWC])</f>
        <v>2</v>
      </c>
      <c r="Y283" s="259">
        <f>(ASINH(FMS_Ranking4[[#This Row],[LWC Raw]]))*(10)/(ASINH(X$4))</f>
        <v>1.9557475158633808</v>
      </c>
      <c r="Z283" s="256">
        <f>FMS_Ranking4[[#This Row],[LWC, ArcSInh (0-10)]]*X$5*10</f>
        <v>1.9557475158633808</v>
      </c>
      <c r="AA283" s="253">
        <f>_xlfn.XLOOKUP(FMS_Ranking4[[#This Row],[FMS ID]],FMS_Input[FMS_ID],FMS_Input[ROADCLS])</f>
        <v>0</v>
      </c>
      <c r="AB283" s="255">
        <f>(ASINH(FMS_Ranking4[[#This Row],[Road Closures Raw]]))*(10)/(ASINH(AA$4))</f>
        <v>0</v>
      </c>
      <c r="AC283" s="256">
        <f>FMS_Ranking4[[#This Row],[Road closures, ArcSinh (0-10)]]*AA$5*10</f>
        <v>0</v>
      </c>
      <c r="AD283" s="253">
        <f>_xlfn.XLOOKUP(FMS_Ranking4[[#This Row],[FMS ID]],FMS_Input[FMS_ID],FMS_Input[ROAD_MILES100])</f>
        <v>130</v>
      </c>
      <c r="AE283" s="259">
        <f>(ASINH(FMS_Ranking4[[#This Row],[Road Miles Raw]]))*(10)/(ASINH(AD$4))</f>
        <v>5.9261725051497169</v>
      </c>
      <c r="AF283" s="256">
        <f>FMS_Ranking4[[#This Row],[Length of roads at risk, ArcSinh (0-10)]]*AD$5*10</f>
        <v>5.9261725051497169</v>
      </c>
      <c r="AG283" s="253">
        <f>_xlfn.XLOOKUP(FMS_Ranking4[[#This Row],[FMS ID]],FMS_Input[FMS_ID],FMS_Input[FARMACRE100])</f>
        <v>33293.21875</v>
      </c>
      <c r="AH283" s="255">
        <f>(ASINH(FMS_Ranking4[[#This Row],[Ag Land Raw]]))*(10)/(ASINH(AG$4))</f>
        <v>7.2144182176607954</v>
      </c>
      <c r="AI283" s="260">
        <f>FMS_Ranking4[[#This Row],[Farm &amp; ranch land, ArcSinh (0-10)]]*AG$5*10</f>
        <v>3.6072091088303981</v>
      </c>
      <c r="AJ283" s="258">
        <f>_xlfn.XLOOKUP(FMS_Ranking4[[#This Row],[FMS ID]],FMS_Input[FMS_ID],FMS_Input[REDSTRUCT100])</f>
        <v>0</v>
      </c>
      <c r="AK283" s="253">
        <f>_xlfn.XLOOKUP(FMS_Ranking4[[#This Row],[FMS ID]],FMS_Input[FMS_ID],FMS_Input[REMSTRC100])</f>
        <v>0</v>
      </c>
      <c r="AL283" s="259">
        <f>(ASINH(FMS_Ranking4[[#This Row],[Structures Removed Raw]]))*(10)/(ASINH(AK$4))</f>
        <v>0</v>
      </c>
      <c r="AM283" s="262">
        <f>FMS_Ranking4[[#This Row],[Structures removed, ArcSinh (0-10)]]*AK$5*10</f>
        <v>0</v>
      </c>
      <c r="AN283" s="253">
        <f>_xlfn.XLOOKUP(FMS_Ranking4[[#This Row],[FMS ID]],FMS_Input[FMS_ID],FMS_Input[REMRESSTRC100])</f>
        <v>0</v>
      </c>
      <c r="AO283" s="261">
        <f>FMS_Ranking4[[#This Row],[ArcSinh Res struct removed 0-10]]*AN$5*10</f>
        <v>0</v>
      </c>
      <c r="AP283" s="260">
        <f>ASINH(FMS_Ranking4[[#This Row],[Residential Structures Removed Raw]])/AP$4*AN$5*100</f>
        <v>0</v>
      </c>
      <c r="AQ283" s="254">
        <f>(ASINH(FMS_Ranking4[[#This Row],[Residential Structures Removed Raw]]))*(10)/(ASINH(AN$4))</f>
        <v>0</v>
      </c>
      <c r="AR283" s="253">
        <f>_xlfn.XLOOKUP(FMS_Ranking4[[#This Row],[FMS ID]],FMS_Input[FMS_ID],FMS_Input[REMPOP100])</f>
        <v>0</v>
      </c>
      <c r="AS283" s="259">
        <f>(ASINH(FMS_Ranking4[[#This Row],[Removed Pop Raw]]))*(10)/(ASINH(AR$4))</f>
        <v>0</v>
      </c>
      <c r="AT283" s="262">
        <f>FMS_Ranking4[[#This Row],[Removed population, ArcSinh (0-10)]]*AR$5*10</f>
        <v>0</v>
      </c>
      <c r="AU283" s="264">
        <f>_xlfn.XLOOKUP(FMS_Ranking4[[#This Row],[FMS ID]],FMS_Input[FMS_ID],FMS_Input[REMCRITFAC100])</f>
        <v>0</v>
      </c>
      <c r="AV283" s="264">
        <f>_xlfn.XLOOKUP(FMS_Ranking4[[#This Row],[FMS ID]],FMS_Input[FMS_ID],FMS_Input[REMLWC100])</f>
        <v>0</v>
      </c>
      <c r="AW283" s="264">
        <f>_xlfn.XLOOKUP(FMS_Ranking4[[#This Row],[FMS ID]],FMS_Input[FMS_ID],FMS_Input[REMROADCLS])</f>
        <v>0</v>
      </c>
      <c r="AX283" s="264">
        <f>_xlfn.XLOOKUP(FMS_Ranking4[[#This Row],[FMS ID]],FMS_Input[FMS_ID],FMS_Input[REMFRMACRE100])</f>
        <v>0</v>
      </c>
      <c r="AY283" s="258">
        <f>_xlfn.XLOOKUP(FMS_Ranking4[[#This Row],[FMS ID]],FMS_Input[FMS_ID],FMS_Input[COSTSTRUCT])</f>
        <v>0</v>
      </c>
      <c r="AZ283" s="253">
        <f>_xlfn.XLOOKUP(FMS_Ranking4[[#This Row],[FMS ID]],FMS_Input[FMS_ID],FMS_Input[NATURE])</f>
        <v>0</v>
      </c>
      <c r="BA283" s="262">
        <f>(((FMS_Ranking4[[#This Row],[% NBS Raw]]/AZ$4)*100)*AZ$5)</f>
        <v>0</v>
      </c>
      <c r="BB283" s="251" t="str">
        <f>_xlfn.XLOOKUP(FMS_Ranking4[[#This Row],[FMS ID]],FMS_Input[FMS_ID],FMS_Input[WATER_SUP])</f>
        <v>No</v>
      </c>
      <c r="BC283" s="265">
        <f>IF(FMS_Ranking4[[#This Row],[Water Supply Raw]]="Yes",10,0)</f>
        <v>0</v>
      </c>
      <c r="BD283" s="266">
        <f>_xlfn.XLOOKUP(FMS_Ranking4[[#This Row],[FMS Type]],FMS_TYPE[FMS_Type],FMS_TYPE[Score])</f>
        <v>8</v>
      </c>
      <c r="BE283" s="267">
        <f>FMS_Ranking4[[#This Row],[FMS_Type Score]]*$BD$5*10</f>
        <v>2</v>
      </c>
      <c r="BF28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0.40070727209845541</v>
      </c>
      <c r="BG283" s="271">
        <f>_xlfn.RANK.EQ(BF283,$BF$8:$BF$870,0)+COUNTIF($BF$8:BF283,BF283)-1</f>
        <v>258</v>
      </c>
      <c r="BH283" s="268">
        <f>(((FMS_Ranking4[[#This Row],[Structures Removed Raw]]/AK$4)*100)*AK$5)+(((FMS_Ranking4[[#This Row],[Removed Pop Raw]]/AR$4)*100)*AR$5)</f>
        <v>0</v>
      </c>
      <c r="BI28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2.4007072720984555</v>
      </c>
      <c r="BJ283" s="205">
        <f>_xlfn.RANK.EQ(FMS_Ranking4[[#This Row],[Total Score 
(with linear
normalization)]],FMS_Ranking4[Total Score 
(with linear
normalization)],0)</f>
        <v>277</v>
      </c>
      <c r="BK283" s="205" t="e">
        <f>_xlfn.XLOOKUP(FMS_Ranking4[[#This Row],[FMS ID]],#REF!,#REF!)</f>
        <v>#REF!</v>
      </c>
      <c r="BL28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25.352408951826973</v>
      </c>
      <c r="BM283" s="272">
        <f>FMS_Ranking4[[#This Row],[ArcSinh Score Based on Normalized Reported Factors]]+FMS_Ranking4[[#This Row],[% NBS Score (Normalized)]]+(FMS_Ranking4[[#This Row],[Water Supply Score (Normalized)]]*10*$BB$5)+FMS_Ranking4[[#This Row],[FMS_Type Score Weighted]]</f>
        <v>27.352408951826973</v>
      </c>
      <c r="BN283" s="205">
        <f>_xlfn.RANK.EQ(FMS_Ranking4[[#This Row],[Total Score (with ArcSinh normalization of select criteria)]],FMS_Ranking4[Total Score (with ArcSinh normalization of select criteria)],0)</f>
        <v>276</v>
      </c>
      <c r="BO283" s="270" t="str">
        <f>_xlfn.XLOOKUP(FMS_Ranking4[[#This Row],[FMS ID]],FMS_Input[FMS_ID],FMS_Input[FMS_RANK_YEAR])</f>
        <v>2023 Amended Plan</v>
      </c>
      <c r="BP283" s="204">
        <f>_xlfn.XLOOKUP(FMS_Ranking4[[#This Row],[FMS ID]],Prev_Rank[FMS ID],Prev_Rank[Prev Rank])</f>
        <v>240</v>
      </c>
      <c r="BQ283" s="205" t="e">
        <f>_xlfn.XLOOKUP(FMS_Ranking4[[#This Row],[FMS ID]],#REF!,#REF!)</f>
        <v>#REF!</v>
      </c>
      <c r="BR283" s="199" t="e">
        <f>SUM(#REF!,#REF!,#REF!,#REF!,#REF!,#REF!,#REF!,#REF!,#REF!,FMS_Ranking4[[#This Row],[ArcSinh Res struct removed 0-10]],#REF!)</f>
        <v>#REF!</v>
      </c>
      <c r="BS283" s="199" t="e">
        <f>FMS_Ranking4[[#This Row],[Log Score Based on Normalized Reported Factors]]+FMS_Ranking4[[#This Row],[% NBS Score (Normalized)]]+(FMS_Ranking4[[#This Row],[Water Supply Score (Normalized)]]*10*$BB$5)+(FMS_Ranking4[[#This Row],[FMS_Type Score Weighted]])</f>
        <v>#REF!</v>
      </c>
      <c r="BT283" s="200" t="e">
        <f>_xlfn.RANK.EQ(FMS_Ranking4[[#This Row],[Log Total Score]],FMS_Ranking4[Log Total Score],0)</f>
        <v>#REF!</v>
      </c>
      <c r="BU283" s="200" t="e">
        <f>_xlfn.XLOOKUP(FMS_Ranking4[[#This Row],[FMS ID]],#REF!,#REF!)</f>
        <v>#REF!</v>
      </c>
      <c r="BV283" s="200">
        <f>FMS_Ranking4[[#This Row],[Region Number]]</f>
        <v>7</v>
      </c>
      <c r="BW283" s="200">
        <f>FMS_Ranking4[[#This Row],[Rank (with ArcSinh normalization of select criteria)]]-FMS_Ranking4[[#This Row],[Rank
(with linear
normalization)]]</f>
        <v>-1</v>
      </c>
      <c r="BX283" s="200" t="e">
        <f>FMS_Ranking4[[#This Row],[Log Rank]]-FMS_Ranking4[[#This Row],[Rank
(with linear
normalization)]]</f>
        <v>#REF!</v>
      </c>
      <c r="BY283" s="200" t="str">
        <f>IF(FMS_Ranking4[[#This Row],[FMS Type]]="Flood Measurement and Warning",FMS_Ranking4[[#This Row],[Rank (with ArcSinh normalization of select criteria)]],"")</f>
        <v/>
      </c>
      <c r="BZ283" s="200">
        <f>IF(FMS_Ranking4[[#This Row],[FMS Type]]="Regulatory and Guidance",FMS_Ranking4[[#This Row],[Rank (with ArcSinh normalization of select criteria)]],"")</f>
        <v>276</v>
      </c>
      <c r="CA283" s="200" t="str">
        <f>IF(FMS_Ranking4[[#This Row],[FMS Type]]="Education and Outreach",FMS_Ranking4[[#This Row],[Rank (with ArcSinh normalization of select criteria)]],"")</f>
        <v/>
      </c>
      <c r="CB283" s="200" t="str">
        <f>IF(FMS_Ranking4[[#This Row],[FMS Type]]="Property Acquisition and Structural Elevation",FMS_Ranking4[[#This Row],[Rank (with ArcSinh normalization of select criteria)]],"")</f>
        <v/>
      </c>
      <c r="CC283" s="200" t="str">
        <f>IF(FMS_Ranking4[[#This Row],[FMS Type]]="Infrastructure Projects",FMS_Ranking4[[#This Row],[Rank (with ArcSinh normalization of select criteria)]],"")</f>
        <v/>
      </c>
      <c r="CD283" s="200" t="str">
        <f>IF(FMS_Ranking4[[#This Row],[FMS Type]]="Other",FMS_Ranking4[[#This Row],[Rank (with ArcSinh normalization of select criteria)]],"")</f>
        <v/>
      </c>
      <c r="CE283" s="201"/>
      <c r="CF283" s="206"/>
      <c r="CG283" s="206"/>
      <c r="CH283" s="206"/>
      <c r="CI283" s="206"/>
      <c r="CJ283" s="206"/>
      <c r="CK283" s="206"/>
      <c r="CL283" s="206"/>
      <c r="CM283" s="206"/>
      <c r="CN283" s="206"/>
      <c r="CO283" s="206"/>
      <c r="CP283" s="206"/>
      <c r="CQ283" s="206"/>
      <c r="CR283" s="206"/>
    </row>
    <row r="284" spans="2:96" ht="60" x14ac:dyDescent="0.25">
      <c r="B284" s="341" t="s">
        <v>4283</v>
      </c>
      <c r="C284" s="246">
        <f>_xlfn.XLOOKUP(FMS_Ranking4[[#This Row],[FMS ID]],FMS_Input[FMS_ID],FMS_Input[RFPG_NUM])</f>
        <v>15</v>
      </c>
      <c r="D284" s="309" t="str">
        <f>_xlfn.XLOOKUP(FMS_Ranking4[[#This Row],[FMS ID]],FMS_Input[FMS_ID],FMS_Input[FMS_NAME])</f>
        <v>City of Donna - Flood Warning System, planning, operation &amp; maintenance</v>
      </c>
      <c r="E284" s="308" t="str">
        <f>_xlfn.XLOOKUP(FMS_Ranking4[[#This Row],[FMS ID]],FMS_Input[FMS_ID],FMS_Input[SPONSOR])</f>
        <v>15000069</v>
      </c>
      <c r="F284" s="309" t="str">
        <f>_xlfn.XLOOKUP(FMS_Ranking4[[#This Row],[FMS ID]],Sponsor[FMS_ID],Sponsor[SPONSOR NAME])</f>
        <v>Donna</v>
      </c>
      <c r="G284" s="309" t="str">
        <f>_xlfn.XLOOKUP(FMS_Ranking4[[#This Row],[FMS ID]],FMS_Input[FMS_ID],FMS_Input[FMS_DESCR])</f>
        <v>Develop and Implement a Flood Warning System, planning, operation &amp; Maintenance plan</v>
      </c>
      <c r="H284" s="248" t="str">
        <f>_xlfn.XLOOKUP(FMS_Ranking4[[#This Row],[FMS ID]],FMS_Input[FMS_ID],FMS_Input[FMS_TYPE])</f>
        <v>Flood Measurement and Warning</v>
      </c>
      <c r="I284" s="249">
        <f>_xlfn.XLOOKUP(FMS_Ranking4[[#This Row],[FMS ID]],FMS_Input[FMS_ID],FMS_Input[NRNC_COST])</f>
        <v>600000</v>
      </c>
      <c r="J284" s="250">
        <f>_xlfn.XLOOKUP(FMS_Ranking4[[#This Row],[FMS ID]],FMS_Input[FMS_ID],FMS_Input[FMS_COST])</f>
        <v>5000000</v>
      </c>
      <c r="K284" s="251" t="str">
        <f>_xlfn.XLOOKUP(FMS_Ranking4[[#This Row],[FMS ID]],FMS_Input[FMS_ID],FMS_Input[EMER_NEED])</f>
        <v>Yes</v>
      </c>
      <c r="L284" s="252">
        <f t="shared" si="4"/>
        <v>1</v>
      </c>
      <c r="M284" s="253">
        <f>_xlfn.XLOOKUP(FMS_Ranking4[[#This Row],[FMS ID]],FMS_Input[FMS_ID],FMS_Input[STRUCT_100])</f>
        <v>3455</v>
      </c>
      <c r="N284" s="255">
        <f>(ASINH(FMS_Ranking4[[#This Row],[Structure at Risk Raw]]))*(10)/(ASINH(M$4))</f>
        <v>6.9501261279662945</v>
      </c>
      <c r="O284" s="256">
        <f>FMS_Ranking4[[#This Row],[Structures at risk, ArcSinh (0-10)]]*M$5*10</f>
        <v>6.9501261279662954</v>
      </c>
      <c r="P284" s="253">
        <f>_xlfn.XLOOKUP(FMS_Ranking4[[#This Row],[FMS ID]],FMS_Input[FMS_ID],FMS_Input[RES_STRUCT100])</f>
        <v>2165</v>
      </c>
      <c r="Q284" s="257">
        <f>ASINH(FMS_Ranking4[[#This Row],[Res Structure Raw]])/Q$4*P$5*100</f>
        <v>0</v>
      </c>
      <c r="R284" s="253">
        <f>_xlfn.XLOOKUP(FMS_Ranking4[[#This Row],[FMS ID]],FMS_Input[FMS_ID],FMS_Input[POP100])</f>
        <v>15682</v>
      </c>
      <c r="S284" s="259">
        <f>(ASINH(FMS_Ranking4[[#This Row],[Pop at Risk Raw]]))*(10)/(ASINH(R$4))</f>
        <v>7.1475658319407662</v>
      </c>
      <c r="T284" s="256">
        <f>FMS_Ranking4[[#This Row],[Population at risk, ArcSinh (0-10)]]*R$5*10</f>
        <v>7.1475658319407662</v>
      </c>
      <c r="U284" s="253">
        <f>_xlfn.XLOOKUP(FMS_Ranking4[[#This Row],[FMS ID]],FMS_Input[FMS_ID],FMS_Input[CRITFAC100])</f>
        <v>6</v>
      </c>
      <c r="V284" s="259">
        <f>(ASINH(FMS_Ranking4[[#This Row],[Critical Facilities Raw]]))*(10)/(ASINH(U$4))</f>
        <v>2.9496796311809068</v>
      </c>
      <c r="W284" s="256">
        <f>FMS_Ranking4[[#This Row],[Critical facilities at risk, ArcSinh (0-10)]]*U$5*10</f>
        <v>2.9496796311809073</v>
      </c>
      <c r="X284" s="253">
        <f>_xlfn.XLOOKUP(FMS_Ranking4[[#This Row],[FMS ID]],FMS_Input[FMS_ID],FMS_Input[LWC])</f>
        <v>0</v>
      </c>
      <c r="Y284" s="259">
        <f>(ASINH(FMS_Ranking4[[#This Row],[LWC Raw]]))*(10)/(ASINH(X$4))</f>
        <v>0</v>
      </c>
      <c r="Z284" s="256">
        <f>FMS_Ranking4[[#This Row],[LWC, ArcSInh (0-10)]]*X$5*10</f>
        <v>0</v>
      </c>
      <c r="AA284" s="253">
        <f>_xlfn.XLOOKUP(FMS_Ranking4[[#This Row],[FMS ID]],FMS_Input[FMS_ID],FMS_Input[ROADCLS])</f>
        <v>0</v>
      </c>
      <c r="AB284" s="255">
        <f>(ASINH(FMS_Ranking4[[#This Row],[Road Closures Raw]]))*(10)/(ASINH(AA$4))</f>
        <v>0</v>
      </c>
      <c r="AC284" s="256">
        <f>FMS_Ranking4[[#This Row],[Road closures, ArcSinh (0-10)]]*AA$5*10</f>
        <v>0</v>
      </c>
      <c r="AD284" s="253">
        <f>_xlfn.XLOOKUP(FMS_Ranking4[[#This Row],[FMS ID]],FMS_Input[FMS_ID],FMS_Input[ROAD_MILES100])</f>
        <v>61</v>
      </c>
      <c r="AE284" s="259">
        <f>(ASINH(FMS_Ranking4[[#This Row],[Road Miles Raw]]))*(10)/(ASINH(AD$4))</f>
        <v>5.1198363258653155</v>
      </c>
      <c r="AF284" s="256">
        <f>FMS_Ranking4[[#This Row],[Length of roads at risk, ArcSinh (0-10)]]*AD$5*10</f>
        <v>5.1198363258653155</v>
      </c>
      <c r="AG284" s="253">
        <f>_xlfn.XLOOKUP(FMS_Ranking4[[#This Row],[FMS ID]],FMS_Input[FMS_ID],FMS_Input[FARMACRE100])</f>
        <v>1935.2421875</v>
      </c>
      <c r="AH284" s="255">
        <f>(ASINH(FMS_Ranking4[[#This Row],[Ag Land Raw]]))*(10)/(ASINH(AG$4))</f>
        <v>5.3662802156986684</v>
      </c>
      <c r="AI284" s="260">
        <f>FMS_Ranking4[[#This Row],[Farm &amp; ranch land, ArcSinh (0-10)]]*AG$5*10</f>
        <v>2.6831401078493347</v>
      </c>
      <c r="AJ284" s="258">
        <f>_xlfn.XLOOKUP(FMS_Ranking4[[#This Row],[FMS ID]],FMS_Input[FMS_ID],FMS_Input[REDSTRUCT100])</f>
        <v>0</v>
      </c>
      <c r="AK284" s="253">
        <f>_xlfn.XLOOKUP(FMS_Ranking4[[#This Row],[FMS ID]],FMS_Input[FMS_ID],FMS_Input[REMSTRC100])</f>
        <v>0</v>
      </c>
      <c r="AL284" s="259">
        <f>(ASINH(FMS_Ranking4[[#This Row],[Structures Removed Raw]]))*(10)/(ASINH(AK$4))</f>
        <v>0</v>
      </c>
      <c r="AM284" s="262">
        <f>FMS_Ranking4[[#This Row],[Structures removed, ArcSinh (0-10)]]*AK$5*10</f>
        <v>0</v>
      </c>
      <c r="AN284" s="253">
        <f>_xlfn.XLOOKUP(FMS_Ranking4[[#This Row],[FMS ID]],FMS_Input[FMS_ID],FMS_Input[REMRESSTRC100])</f>
        <v>0</v>
      </c>
      <c r="AO284" s="261">
        <f>FMS_Ranking4[[#This Row],[ArcSinh Res struct removed 0-10]]*AN$5*10</f>
        <v>0</v>
      </c>
      <c r="AP284" s="260">
        <f>ASINH(FMS_Ranking4[[#This Row],[Residential Structures Removed Raw]])/AP$4*AN$5*100</f>
        <v>0</v>
      </c>
      <c r="AQ284" s="254">
        <f>(ASINH(FMS_Ranking4[[#This Row],[Residential Structures Removed Raw]]))*(10)/(ASINH(AN$4))</f>
        <v>0</v>
      </c>
      <c r="AR284" s="253">
        <f>_xlfn.XLOOKUP(FMS_Ranking4[[#This Row],[FMS ID]],FMS_Input[FMS_ID],FMS_Input[REMPOP100])</f>
        <v>0</v>
      </c>
      <c r="AS284" s="259">
        <f>(ASINH(FMS_Ranking4[[#This Row],[Removed Pop Raw]]))*(10)/(ASINH(AR$4))</f>
        <v>0</v>
      </c>
      <c r="AT284" s="262">
        <f>FMS_Ranking4[[#This Row],[Removed population, ArcSinh (0-10)]]*AR$5*10</f>
        <v>0</v>
      </c>
      <c r="AU284" s="264">
        <f>_xlfn.XLOOKUP(FMS_Ranking4[[#This Row],[FMS ID]],FMS_Input[FMS_ID],FMS_Input[REMCRITFAC100])</f>
        <v>0</v>
      </c>
      <c r="AV284" s="264">
        <f>_xlfn.XLOOKUP(FMS_Ranking4[[#This Row],[FMS ID]],FMS_Input[FMS_ID],FMS_Input[REMLWC100])</f>
        <v>0</v>
      </c>
      <c r="AW284" s="264">
        <f>_xlfn.XLOOKUP(FMS_Ranking4[[#This Row],[FMS ID]],FMS_Input[FMS_ID],FMS_Input[REMROADCLS])</f>
        <v>0</v>
      </c>
      <c r="AX284" s="264">
        <f>_xlfn.XLOOKUP(FMS_Ranking4[[#This Row],[FMS ID]],FMS_Input[FMS_ID],FMS_Input[REMFRMACRE100])</f>
        <v>0</v>
      </c>
      <c r="AY284" s="258">
        <f>_xlfn.XLOOKUP(FMS_Ranking4[[#This Row],[FMS ID]],FMS_Input[FMS_ID],FMS_Input[COSTSTRUCT])</f>
        <v>0</v>
      </c>
      <c r="AZ284" s="253">
        <f>_xlfn.XLOOKUP(FMS_Ranking4[[#This Row],[FMS ID]],FMS_Input[FMS_ID],FMS_Input[NATURE])</f>
        <v>0</v>
      </c>
      <c r="BA284" s="262">
        <f>(((FMS_Ranking4[[#This Row],[% NBS Raw]]/AZ$4)*100)*AZ$5)</f>
        <v>0</v>
      </c>
      <c r="BB284" s="251" t="str">
        <f>_xlfn.XLOOKUP(FMS_Ranking4[[#This Row],[FMS ID]],FMS_Input[FMS_ID],FMS_Input[WATER_SUP])</f>
        <v>No</v>
      </c>
      <c r="BC284" s="265">
        <f>IF(FMS_Ranking4[[#This Row],[Water Supply Raw]]="Yes",10,0)</f>
        <v>0</v>
      </c>
      <c r="BD284" s="266">
        <f>_xlfn.XLOOKUP(FMS_Ranking4[[#This Row],[FMS Type]],FMS_TYPE[FMS_Type],FMS_TYPE[Score])</f>
        <v>10</v>
      </c>
      <c r="BE284" s="267">
        <f>FMS_Ranking4[[#This Row],[FMS_Type Score]]*$BD$5*10</f>
        <v>2.5</v>
      </c>
      <c r="BF28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0.49948936545057032</v>
      </c>
      <c r="BG284" s="271">
        <f>_xlfn.RANK.EQ(BF284,$BF$8:$BF$870,0)+COUNTIF($BF$8:BF284,BF284)-1</f>
        <v>223</v>
      </c>
      <c r="BH284" s="268">
        <f>(((FMS_Ranking4[[#This Row],[Structures Removed Raw]]/AK$4)*100)*AK$5)+(((FMS_Ranking4[[#This Row],[Removed Pop Raw]]/AR$4)*100)*AR$5)</f>
        <v>0</v>
      </c>
      <c r="BI28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2.9994893654505703</v>
      </c>
      <c r="BJ284" s="205">
        <f>_xlfn.RANK.EQ(FMS_Ranking4[[#This Row],[Total Score 
(with linear
normalization)]],FMS_Ranking4[Total Score 
(with linear
normalization)],0)</f>
        <v>174</v>
      </c>
      <c r="BK284" s="205" t="e">
        <f>_xlfn.XLOOKUP(FMS_Ranking4[[#This Row],[FMS ID]],#REF!,#REF!)</f>
        <v>#REF!</v>
      </c>
      <c r="BL28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24.850348024802621</v>
      </c>
      <c r="BM284" s="272">
        <f>FMS_Ranking4[[#This Row],[ArcSinh Score Based on Normalized Reported Factors]]+FMS_Ranking4[[#This Row],[% NBS Score (Normalized)]]+(FMS_Ranking4[[#This Row],[Water Supply Score (Normalized)]]*10*$BB$5)+FMS_Ranking4[[#This Row],[FMS_Type Score Weighted]]</f>
        <v>27.350348024802621</v>
      </c>
      <c r="BN284" s="205">
        <f>_xlfn.RANK.EQ(FMS_Ranking4[[#This Row],[Total Score (with ArcSinh normalization of select criteria)]],FMS_Ranking4[Total Score (with ArcSinh normalization of select criteria)],0)</f>
        <v>277</v>
      </c>
      <c r="BO284" s="270" t="str">
        <f>_xlfn.XLOOKUP(FMS_Ranking4[[#This Row],[FMS ID]],FMS_Input[FMS_ID],FMS_Input[FMS_RANK_YEAR])</f>
        <v>2023 Amended Plan</v>
      </c>
      <c r="BP284" s="204">
        <f>_xlfn.XLOOKUP(FMS_Ranking4[[#This Row],[FMS ID]],Prev_Rank[FMS ID],Prev_Rank[Prev Rank])</f>
        <v>236</v>
      </c>
      <c r="BQ284" s="205" t="e">
        <f>_xlfn.XLOOKUP(FMS_Ranking4[[#This Row],[FMS ID]],#REF!,#REF!)</f>
        <v>#REF!</v>
      </c>
      <c r="BR284" s="199" t="e">
        <f>SUM(#REF!,#REF!,#REF!,#REF!,#REF!,#REF!,#REF!,#REF!,#REF!,FMS_Ranking4[[#This Row],[ArcSinh Res struct removed 0-10]],#REF!)</f>
        <v>#REF!</v>
      </c>
      <c r="BS284" s="199" t="e">
        <f>FMS_Ranking4[[#This Row],[Log Score Based on Normalized Reported Factors]]+FMS_Ranking4[[#This Row],[% NBS Score (Normalized)]]+(FMS_Ranking4[[#This Row],[Water Supply Score (Normalized)]]*10*$BB$5)+(FMS_Ranking4[[#This Row],[FMS_Type Score Weighted]])</f>
        <v>#REF!</v>
      </c>
      <c r="BT284" s="200" t="e">
        <f>_xlfn.RANK.EQ(FMS_Ranking4[[#This Row],[Log Total Score]],FMS_Ranking4[Log Total Score],0)</f>
        <v>#REF!</v>
      </c>
      <c r="BU284" s="200" t="e">
        <f>_xlfn.XLOOKUP(FMS_Ranking4[[#This Row],[FMS ID]],#REF!,#REF!)</f>
        <v>#REF!</v>
      </c>
      <c r="BV284" s="200">
        <f>FMS_Ranking4[[#This Row],[Region Number]]</f>
        <v>15</v>
      </c>
      <c r="BW284" s="200">
        <f>FMS_Ranking4[[#This Row],[Rank (with ArcSinh normalization of select criteria)]]-FMS_Ranking4[[#This Row],[Rank
(with linear
normalization)]]</f>
        <v>103</v>
      </c>
      <c r="BX284" s="200" t="e">
        <f>FMS_Ranking4[[#This Row],[Log Rank]]-FMS_Ranking4[[#This Row],[Rank
(with linear
normalization)]]</f>
        <v>#REF!</v>
      </c>
      <c r="BY284" s="200">
        <f>IF(FMS_Ranking4[[#This Row],[FMS Type]]="Flood Measurement and Warning",FMS_Ranking4[[#This Row],[Rank (with ArcSinh normalization of select criteria)]],"")</f>
        <v>277</v>
      </c>
      <c r="BZ284" s="200" t="str">
        <f>IF(FMS_Ranking4[[#This Row],[FMS Type]]="Regulatory and Guidance",FMS_Ranking4[[#This Row],[Rank (with ArcSinh normalization of select criteria)]],"")</f>
        <v/>
      </c>
      <c r="CA284" s="200" t="str">
        <f>IF(FMS_Ranking4[[#This Row],[FMS Type]]="Education and Outreach",FMS_Ranking4[[#This Row],[Rank (with ArcSinh normalization of select criteria)]],"")</f>
        <v/>
      </c>
      <c r="CB284" s="200" t="str">
        <f>IF(FMS_Ranking4[[#This Row],[FMS Type]]="Property Acquisition and Structural Elevation",FMS_Ranking4[[#This Row],[Rank (with ArcSinh normalization of select criteria)]],"")</f>
        <v/>
      </c>
      <c r="CC284" s="200" t="str">
        <f>IF(FMS_Ranking4[[#This Row],[FMS Type]]="Infrastructure Projects",FMS_Ranking4[[#This Row],[Rank (with ArcSinh normalization of select criteria)]],"")</f>
        <v/>
      </c>
      <c r="CD284" s="200" t="str">
        <f>IF(FMS_Ranking4[[#This Row],[FMS Type]]="Other",FMS_Ranking4[[#This Row],[Rank (with ArcSinh normalization of select criteria)]],"")</f>
        <v/>
      </c>
      <c r="CE284" s="201"/>
      <c r="CF284" s="206"/>
      <c r="CG284" s="206"/>
      <c r="CH284" s="206"/>
      <c r="CI284" s="206"/>
      <c r="CJ284" s="206"/>
      <c r="CK284" s="206"/>
      <c r="CL284" s="206"/>
      <c r="CM284" s="206"/>
      <c r="CN284" s="206"/>
      <c r="CO284" s="206"/>
      <c r="CP284" s="206"/>
      <c r="CQ284" s="206"/>
      <c r="CR284" s="206"/>
    </row>
    <row r="285" spans="2:96" ht="30" x14ac:dyDescent="0.25">
      <c r="B285" s="341" t="s">
        <v>3583</v>
      </c>
      <c r="C285" s="246">
        <f>_xlfn.XLOOKUP(FMS_Ranking4[[#This Row],[FMS ID]],FMS_Input[FMS_ID],FMS_Input[RFPG_NUM])</f>
        <v>13</v>
      </c>
      <c r="D285" s="309" t="str">
        <f>_xlfn.XLOOKUP(FMS_Ranking4[[#This Row],[FMS ID]],FMS_Input[FMS_ID],FMS_Input[FMS_NAME])</f>
        <v>Review and Adoption of Updated Building Codes</v>
      </c>
      <c r="E285" s="308" t="str">
        <f>_xlfn.XLOOKUP(FMS_Ranking4[[#This Row],[FMS ID]],FMS_Input[FMS_ID],FMS_Input[SPONSOR])</f>
        <v>13002953</v>
      </c>
      <c r="F285" s="309" t="str">
        <f>_xlfn.XLOOKUP(FMS_Ranking4[[#This Row],[FMS ID]],Sponsor[FMS_ID],Sponsor[SPONSOR NAME])</f>
        <v>Hondo</v>
      </c>
      <c r="G285" s="309" t="str">
        <f>_xlfn.XLOOKUP(FMS_Ranking4[[#This Row],[FMS ID]],FMS_Input[FMS_ID],FMS_Input[FMS_DESCR])</f>
        <v>Review and Adoption of Updated Building Codes</v>
      </c>
      <c r="H285" s="248" t="str">
        <f>_xlfn.XLOOKUP(FMS_Ranking4[[#This Row],[FMS ID]],FMS_Input[FMS_ID],FMS_Input[FMS_TYPE])</f>
        <v>Regulatory and Guidance</v>
      </c>
      <c r="I285" s="249">
        <f>_xlfn.XLOOKUP(FMS_Ranking4[[#This Row],[FMS ID]],FMS_Input[FMS_ID],FMS_Input[NRNC_COST])</f>
        <v>100000</v>
      </c>
      <c r="J285" s="250">
        <f>_xlfn.XLOOKUP(FMS_Ranking4[[#This Row],[FMS ID]],FMS_Input[FMS_ID],FMS_Input[FMS_COST])</f>
        <v>100000</v>
      </c>
      <c r="K285" s="251" t="str">
        <f>_xlfn.XLOOKUP(FMS_Ranking4[[#This Row],[FMS ID]],FMS_Input[FMS_ID],FMS_Input[EMER_NEED])</f>
        <v>Yes</v>
      </c>
      <c r="L285" s="252">
        <f t="shared" si="4"/>
        <v>1</v>
      </c>
      <c r="M285" s="253">
        <f>_xlfn.XLOOKUP(FMS_Ranking4[[#This Row],[FMS ID]],FMS_Input[FMS_ID],FMS_Input[STRUCT_100])</f>
        <v>592</v>
      </c>
      <c r="N285" s="255">
        <f>(ASINH(FMS_Ranking4[[#This Row],[Structure at Risk Raw]]))*(10)/(ASINH(M$4))</f>
        <v>5.5633041278462478</v>
      </c>
      <c r="O285" s="256">
        <f>FMS_Ranking4[[#This Row],[Structures at risk, ArcSinh (0-10)]]*M$5*10</f>
        <v>5.5633041278462478</v>
      </c>
      <c r="P285" s="253">
        <f>_xlfn.XLOOKUP(FMS_Ranking4[[#This Row],[FMS ID]],FMS_Input[FMS_ID],FMS_Input[RES_STRUCT100])</f>
        <v>425</v>
      </c>
      <c r="Q285" s="257">
        <f>ASINH(FMS_Ranking4[[#This Row],[Res Structure Raw]])/Q$4*P$5*100</f>
        <v>0</v>
      </c>
      <c r="R285" s="253">
        <f>_xlfn.XLOOKUP(FMS_Ranking4[[#This Row],[FMS ID]],FMS_Input[FMS_ID],FMS_Input[POP100])</f>
        <v>2211</v>
      </c>
      <c r="S285" s="259">
        <f>(ASINH(FMS_Ranking4[[#This Row],[Pop at Risk Raw]]))*(10)/(ASINH(R$4))</f>
        <v>5.7951067204289046</v>
      </c>
      <c r="T285" s="256">
        <f>FMS_Ranking4[[#This Row],[Population at risk, ArcSinh (0-10)]]*R$5*10</f>
        <v>5.7951067204289055</v>
      </c>
      <c r="U285" s="253">
        <f>_xlfn.XLOOKUP(FMS_Ranking4[[#This Row],[FMS ID]],FMS_Input[FMS_ID],FMS_Input[CRITFAC100])</f>
        <v>3</v>
      </c>
      <c r="V285" s="259">
        <f>(ASINH(FMS_Ranking4[[#This Row],[Critical Facilities Raw]]))*(10)/(ASINH(U$4))</f>
        <v>2.152611706646717</v>
      </c>
      <c r="W285" s="256">
        <f>FMS_Ranking4[[#This Row],[Critical facilities at risk, ArcSinh (0-10)]]*U$5*10</f>
        <v>2.152611706646717</v>
      </c>
      <c r="X285" s="253">
        <f>_xlfn.XLOOKUP(FMS_Ranking4[[#This Row],[FMS ID]],FMS_Input[FMS_ID],FMS_Input[LWC])</f>
        <v>5</v>
      </c>
      <c r="Y285" s="259">
        <f>(ASINH(FMS_Ranking4[[#This Row],[LWC Raw]]))*(10)/(ASINH(X$4))</f>
        <v>3.1327475801820781</v>
      </c>
      <c r="Z285" s="256">
        <f>FMS_Ranking4[[#This Row],[LWC, ArcSInh (0-10)]]*X$5*10</f>
        <v>3.1327475801820781</v>
      </c>
      <c r="AA285" s="253">
        <f>_xlfn.XLOOKUP(FMS_Ranking4[[#This Row],[FMS ID]],FMS_Input[FMS_ID],FMS_Input[ROADCLS])</f>
        <v>67</v>
      </c>
      <c r="AB285" s="255">
        <f>(ASINH(FMS_Ranking4[[#This Row],[Road Closures Raw]]))*(10)/(ASINH(AA$4))</f>
        <v>5.1007086055887703</v>
      </c>
      <c r="AC285" s="256">
        <f>FMS_Ranking4[[#This Row],[Road closures, ArcSinh (0-10)]]*AA$5*10</f>
        <v>2.5503543027943856</v>
      </c>
      <c r="AD285" s="253">
        <f>_xlfn.XLOOKUP(FMS_Ranking4[[#This Row],[FMS ID]],FMS_Input[FMS_ID],FMS_Input[ROAD_MILES100])</f>
        <v>15</v>
      </c>
      <c r="AE285" s="259">
        <f>(ASINH(FMS_Ranking4[[#This Row],[Road Miles Raw]]))*(10)/(ASINH(AD$4))</f>
        <v>3.625922827042257</v>
      </c>
      <c r="AF285" s="256">
        <f>FMS_Ranking4[[#This Row],[Length of roads at risk, ArcSinh (0-10)]]*AD$5*10</f>
        <v>3.625922827042257</v>
      </c>
      <c r="AG285" s="253">
        <f>_xlfn.XLOOKUP(FMS_Ranking4[[#This Row],[FMS ID]],FMS_Input[FMS_ID],FMS_Input[FARMACRE100])</f>
        <v>1095.853271484375</v>
      </c>
      <c r="AH285" s="255">
        <f>(ASINH(FMS_Ranking4[[#This Row],[Ag Land Raw]]))*(10)/(ASINH(AG$4))</f>
        <v>4.9968638605927849</v>
      </c>
      <c r="AI285" s="260">
        <f>FMS_Ranking4[[#This Row],[Farm &amp; ranch land, ArcSinh (0-10)]]*AG$5*10</f>
        <v>2.4984319302963924</v>
      </c>
      <c r="AJ285" s="258">
        <f>_xlfn.XLOOKUP(FMS_Ranking4[[#This Row],[FMS ID]],FMS_Input[FMS_ID],FMS_Input[REDSTRUCT100])</f>
        <v>0</v>
      </c>
      <c r="AK285" s="253">
        <f>_xlfn.XLOOKUP(FMS_Ranking4[[#This Row],[FMS ID]],FMS_Input[FMS_ID],FMS_Input[REMSTRC100])</f>
        <v>0</v>
      </c>
      <c r="AL285" s="259">
        <f>(ASINH(FMS_Ranking4[[#This Row],[Structures Removed Raw]]))*(10)/(ASINH(AK$4))</f>
        <v>0</v>
      </c>
      <c r="AM285" s="262">
        <f>FMS_Ranking4[[#This Row],[Structures removed, ArcSinh (0-10)]]*AK$5*10</f>
        <v>0</v>
      </c>
      <c r="AN285" s="253">
        <f>_xlfn.XLOOKUP(FMS_Ranking4[[#This Row],[FMS ID]],FMS_Input[FMS_ID],FMS_Input[REMRESSTRC100])</f>
        <v>0</v>
      </c>
      <c r="AO285" s="261">
        <f>FMS_Ranking4[[#This Row],[ArcSinh Res struct removed 0-10]]*AN$5*10</f>
        <v>0</v>
      </c>
      <c r="AP285" s="260">
        <f>ASINH(FMS_Ranking4[[#This Row],[Residential Structures Removed Raw]])/AP$4*AN$5*100</f>
        <v>0</v>
      </c>
      <c r="AQ285" s="254">
        <f>(ASINH(FMS_Ranking4[[#This Row],[Residential Structures Removed Raw]]))*(10)/(ASINH(AN$4))</f>
        <v>0</v>
      </c>
      <c r="AR285" s="253">
        <f>_xlfn.XLOOKUP(FMS_Ranking4[[#This Row],[FMS ID]],FMS_Input[FMS_ID],FMS_Input[REMPOP100])</f>
        <v>0</v>
      </c>
      <c r="AS285" s="259">
        <f>(ASINH(FMS_Ranking4[[#This Row],[Removed Pop Raw]]))*(10)/(ASINH(AR$4))</f>
        <v>0</v>
      </c>
      <c r="AT285" s="262">
        <f>FMS_Ranking4[[#This Row],[Removed population, ArcSinh (0-10)]]*AR$5*10</f>
        <v>0</v>
      </c>
      <c r="AU285" s="264">
        <f>_xlfn.XLOOKUP(FMS_Ranking4[[#This Row],[FMS ID]],FMS_Input[FMS_ID],FMS_Input[REMCRITFAC100])</f>
        <v>0</v>
      </c>
      <c r="AV285" s="264">
        <f>_xlfn.XLOOKUP(FMS_Ranking4[[#This Row],[FMS ID]],FMS_Input[FMS_ID],FMS_Input[REMLWC100])</f>
        <v>0</v>
      </c>
      <c r="AW285" s="264">
        <f>_xlfn.XLOOKUP(FMS_Ranking4[[#This Row],[FMS ID]],FMS_Input[FMS_ID],FMS_Input[REMROADCLS])</f>
        <v>0</v>
      </c>
      <c r="AX285" s="264">
        <f>_xlfn.XLOOKUP(FMS_Ranking4[[#This Row],[FMS ID]],FMS_Input[FMS_ID],FMS_Input[REMFRMACRE100])</f>
        <v>0</v>
      </c>
      <c r="AY285" s="258">
        <f>_xlfn.XLOOKUP(FMS_Ranking4[[#This Row],[FMS ID]],FMS_Input[FMS_ID],FMS_Input[COSTSTRUCT])</f>
        <v>0</v>
      </c>
      <c r="AZ285" s="253">
        <f>_xlfn.XLOOKUP(FMS_Ranking4[[#This Row],[FMS ID]],FMS_Input[FMS_ID],FMS_Input[NATURE])</f>
        <v>0</v>
      </c>
      <c r="BA285" s="262">
        <f>(((FMS_Ranking4[[#This Row],[% NBS Raw]]/AZ$4)*100)*AZ$5)</f>
        <v>0</v>
      </c>
      <c r="BB285" s="251" t="str">
        <f>_xlfn.XLOOKUP(FMS_Ranking4[[#This Row],[FMS ID]],FMS_Input[FMS_ID],FMS_Input[WATER_SUP])</f>
        <v>No</v>
      </c>
      <c r="BC285" s="265">
        <f>IF(FMS_Ranking4[[#This Row],[Water Supply Raw]]="Yes",10,0)</f>
        <v>0</v>
      </c>
      <c r="BD285" s="266">
        <f>_xlfn.XLOOKUP(FMS_Ranking4[[#This Row],[FMS Type]],FMS_TYPE[FMS_Type],FMS_TYPE[Score])</f>
        <v>8</v>
      </c>
      <c r="BE285" s="267">
        <f>FMS_Ranking4[[#This Row],[FMS_Type Score]]*$BD$5*10</f>
        <v>2</v>
      </c>
      <c r="BF28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0.2059318405751917</v>
      </c>
      <c r="BG285" s="271">
        <f>_xlfn.RANK.EQ(BF285,$BF$8:$BF$870,0)+COUNTIF($BF$8:BF285,BF285)-1</f>
        <v>364</v>
      </c>
      <c r="BH285" s="268">
        <f>(((FMS_Ranking4[[#This Row],[Structures Removed Raw]]/AK$4)*100)*AK$5)+(((FMS_Ranking4[[#This Row],[Removed Pop Raw]]/AR$4)*100)*AR$5)</f>
        <v>0</v>
      </c>
      <c r="BI28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2.2059318405751918</v>
      </c>
      <c r="BJ285" s="205">
        <f>_xlfn.RANK.EQ(FMS_Ranking4[[#This Row],[Total Score 
(with linear
normalization)]],FMS_Ranking4[Total Score 
(with linear
normalization)],0)</f>
        <v>327</v>
      </c>
      <c r="BK285" s="205" t="e">
        <f>_xlfn.XLOOKUP(FMS_Ranking4[[#This Row],[FMS ID]],#REF!,#REF!)</f>
        <v>#REF!</v>
      </c>
      <c r="BL28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25.318479195236979</v>
      </c>
      <c r="BM285" s="272">
        <f>FMS_Ranking4[[#This Row],[ArcSinh Score Based on Normalized Reported Factors]]+FMS_Ranking4[[#This Row],[% NBS Score (Normalized)]]+(FMS_Ranking4[[#This Row],[Water Supply Score (Normalized)]]*10*$BB$5)+FMS_Ranking4[[#This Row],[FMS_Type Score Weighted]]</f>
        <v>27.318479195236979</v>
      </c>
      <c r="BN285" s="205">
        <f>_xlfn.RANK.EQ(FMS_Ranking4[[#This Row],[Total Score (with ArcSinh normalization of select criteria)]],FMS_Ranking4[Total Score (with ArcSinh normalization of select criteria)],0)</f>
        <v>278</v>
      </c>
      <c r="BO285" s="270" t="str">
        <f>_xlfn.XLOOKUP(FMS_Ranking4[[#This Row],[FMS ID]],FMS_Input[FMS_ID],FMS_Input[FMS_RANK_YEAR])</f>
        <v>2023 Amended Plan</v>
      </c>
      <c r="BP285" s="204">
        <f>_xlfn.XLOOKUP(FMS_Ranking4[[#This Row],[FMS ID]],Prev_Rank[FMS ID],Prev_Rank[Prev Rank])</f>
        <v>244</v>
      </c>
      <c r="BQ285" s="205" t="e">
        <f>_xlfn.XLOOKUP(FMS_Ranking4[[#This Row],[FMS ID]],#REF!,#REF!)</f>
        <v>#REF!</v>
      </c>
      <c r="BR285" s="199" t="e">
        <f>SUM(#REF!,#REF!,#REF!,#REF!,#REF!,#REF!,#REF!,#REF!,#REF!,FMS_Ranking4[[#This Row],[ArcSinh Res struct removed 0-10]],#REF!)</f>
        <v>#REF!</v>
      </c>
      <c r="BS285" s="199" t="e">
        <f>FMS_Ranking4[[#This Row],[Log Score Based on Normalized Reported Factors]]+FMS_Ranking4[[#This Row],[% NBS Score (Normalized)]]+(FMS_Ranking4[[#This Row],[Water Supply Score (Normalized)]]*10*$BB$5)+(FMS_Ranking4[[#This Row],[FMS_Type Score Weighted]])</f>
        <v>#REF!</v>
      </c>
      <c r="BT285" s="200" t="e">
        <f>_xlfn.RANK.EQ(FMS_Ranking4[[#This Row],[Log Total Score]],FMS_Ranking4[Log Total Score],0)</f>
        <v>#REF!</v>
      </c>
      <c r="BU285" s="200" t="e">
        <f>_xlfn.XLOOKUP(FMS_Ranking4[[#This Row],[FMS ID]],#REF!,#REF!)</f>
        <v>#REF!</v>
      </c>
      <c r="BV285" s="200">
        <f>FMS_Ranking4[[#This Row],[Region Number]]</f>
        <v>13</v>
      </c>
      <c r="BW285" s="200">
        <f>FMS_Ranking4[[#This Row],[Rank (with ArcSinh normalization of select criteria)]]-FMS_Ranking4[[#This Row],[Rank
(with linear
normalization)]]</f>
        <v>-49</v>
      </c>
      <c r="BX285" s="200" t="e">
        <f>FMS_Ranking4[[#This Row],[Log Rank]]-FMS_Ranking4[[#This Row],[Rank
(with linear
normalization)]]</f>
        <v>#REF!</v>
      </c>
      <c r="BY285" s="200" t="str">
        <f>IF(FMS_Ranking4[[#This Row],[FMS Type]]="Flood Measurement and Warning",FMS_Ranking4[[#This Row],[Rank (with ArcSinh normalization of select criteria)]],"")</f>
        <v/>
      </c>
      <c r="BZ285" s="200">
        <f>IF(FMS_Ranking4[[#This Row],[FMS Type]]="Regulatory and Guidance",FMS_Ranking4[[#This Row],[Rank (with ArcSinh normalization of select criteria)]],"")</f>
        <v>278</v>
      </c>
      <c r="CA285" s="200" t="str">
        <f>IF(FMS_Ranking4[[#This Row],[FMS Type]]="Education and Outreach",FMS_Ranking4[[#This Row],[Rank (with ArcSinh normalization of select criteria)]],"")</f>
        <v/>
      </c>
      <c r="CB285" s="200" t="str">
        <f>IF(FMS_Ranking4[[#This Row],[FMS Type]]="Property Acquisition and Structural Elevation",FMS_Ranking4[[#This Row],[Rank (with ArcSinh normalization of select criteria)]],"")</f>
        <v/>
      </c>
      <c r="CC285" s="200" t="str">
        <f>IF(FMS_Ranking4[[#This Row],[FMS Type]]="Infrastructure Projects",FMS_Ranking4[[#This Row],[Rank (with ArcSinh normalization of select criteria)]],"")</f>
        <v/>
      </c>
      <c r="CD285" s="200" t="str">
        <f>IF(FMS_Ranking4[[#This Row],[FMS Type]]="Other",FMS_Ranking4[[#This Row],[Rank (with ArcSinh normalization of select criteria)]],"")</f>
        <v/>
      </c>
      <c r="CE285" s="201"/>
      <c r="CF285" s="206"/>
      <c r="CG285" s="206"/>
      <c r="CH285" s="206"/>
      <c r="CI285" s="206"/>
      <c r="CJ285" s="206"/>
      <c r="CK285" s="206"/>
      <c r="CL285" s="206"/>
      <c r="CM285" s="206"/>
      <c r="CN285" s="206"/>
      <c r="CO285" s="206"/>
      <c r="CP285" s="206"/>
      <c r="CQ285" s="206"/>
      <c r="CR285" s="206"/>
    </row>
    <row r="286" spans="2:96" ht="105" x14ac:dyDescent="0.25">
      <c r="B286" s="341" t="s">
        <v>3586</v>
      </c>
      <c r="C286" s="246">
        <f>_xlfn.XLOOKUP(FMS_Ranking4[[#This Row],[FMS ID]],FMS_Input[FMS_ID],FMS_Input[RFPG_NUM])</f>
        <v>13</v>
      </c>
      <c r="D286" s="309" t="str">
        <f>_xlfn.XLOOKUP(FMS_Ranking4[[#This Row],[FMS ID]],FMS_Input[FMS_ID],FMS_Input[FMS_NAME])</f>
        <v>Subdivision Ordinance Revision</v>
      </c>
      <c r="E286" s="308" t="str">
        <f>_xlfn.XLOOKUP(FMS_Ranking4[[#This Row],[FMS ID]],FMS_Input[FMS_ID],FMS_Input[SPONSOR])</f>
        <v>13002953</v>
      </c>
      <c r="F286" s="309" t="str">
        <f>_xlfn.XLOOKUP(FMS_Ranking4[[#This Row],[FMS ID]],Sponsor[FMS_ID],Sponsor[SPONSOR NAME])</f>
        <v>Hondo</v>
      </c>
      <c r="G286" s="309" t="str">
        <f>_xlfn.XLOOKUP(FMS_Ranking4[[#This Row],[FMS ID]],FMS_Input[FMS_ID],FMS_Input[FMS_DESCR])</f>
        <v>Create new Subdivision Ordinance and development standards to ensure the city is proactive in our regulatory practices and to ensure that the standards align with flood hazard mitigation strategies.</v>
      </c>
      <c r="H286" s="248" t="str">
        <f>_xlfn.XLOOKUP(FMS_Ranking4[[#This Row],[FMS ID]],FMS_Input[FMS_ID],FMS_Input[FMS_TYPE])</f>
        <v>Regulatory and Guidance</v>
      </c>
      <c r="I286" s="249">
        <f>_xlfn.XLOOKUP(FMS_Ranking4[[#This Row],[FMS ID]],FMS_Input[FMS_ID],FMS_Input[NRNC_COST])</f>
        <v>100000</v>
      </c>
      <c r="J286" s="250">
        <f>_xlfn.XLOOKUP(FMS_Ranking4[[#This Row],[FMS ID]],FMS_Input[FMS_ID],FMS_Input[FMS_COST])</f>
        <v>100000</v>
      </c>
      <c r="K286" s="251" t="str">
        <f>_xlfn.XLOOKUP(FMS_Ranking4[[#This Row],[FMS ID]],FMS_Input[FMS_ID],FMS_Input[EMER_NEED])</f>
        <v>Yes</v>
      </c>
      <c r="L286" s="252">
        <f t="shared" si="4"/>
        <v>1</v>
      </c>
      <c r="M286" s="253">
        <f>_xlfn.XLOOKUP(FMS_Ranking4[[#This Row],[FMS ID]],FMS_Input[FMS_ID],FMS_Input[STRUCT_100])</f>
        <v>592</v>
      </c>
      <c r="N286" s="255">
        <f>(ASINH(FMS_Ranking4[[#This Row],[Structure at Risk Raw]]))*(10)/(ASINH(M$4))</f>
        <v>5.5633041278462478</v>
      </c>
      <c r="O286" s="256">
        <f>FMS_Ranking4[[#This Row],[Structures at risk, ArcSinh (0-10)]]*M$5*10</f>
        <v>5.5633041278462478</v>
      </c>
      <c r="P286" s="253">
        <f>_xlfn.XLOOKUP(FMS_Ranking4[[#This Row],[FMS ID]],FMS_Input[FMS_ID],FMS_Input[RES_STRUCT100])</f>
        <v>425</v>
      </c>
      <c r="Q286" s="257">
        <f>ASINH(FMS_Ranking4[[#This Row],[Res Structure Raw]])/Q$4*P$5*100</f>
        <v>0</v>
      </c>
      <c r="R286" s="253">
        <f>_xlfn.XLOOKUP(FMS_Ranking4[[#This Row],[FMS ID]],FMS_Input[FMS_ID],FMS_Input[POP100])</f>
        <v>2211</v>
      </c>
      <c r="S286" s="259">
        <f>(ASINH(FMS_Ranking4[[#This Row],[Pop at Risk Raw]]))*(10)/(ASINH(R$4))</f>
        <v>5.7951067204289046</v>
      </c>
      <c r="T286" s="256">
        <f>FMS_Ranking4[[#This Row],[Population at risk, ArcSinh (0-10)]]*R$5*10</f>
        <v>5.7951067204289055</v>
      </c>
      <c r="U286" s="253">
        <f>_xlfn.XLOOKUP(FMS_Ranking4[[#This Row],[FMS ID]],FMS_Input[FMS_ID],FMS_Input[CRITFAC100])</f>
        <v>3</v>
      </c>
      <c r="V286" s="259">
        <f>(ASINH(FMS_Ranking4[[#This Row],[Critical Facilities Raw]]))*(10)/(ASINH(U$4))</f>
        <v>2.152611706646717</v>
      </c>
      <c r="W286" s="256">
        <f>FMS_Ranking4[[#This Row],[Critical facilities at risk, ArcSinh (0-10)]]*U$5*10</f>
        <v>2.152611706646717</v>
      </c>
      <c r="X286" s="253">
        <f>_xlfn.XLOOKUP(FMS_Ranking4[[#This Row],[FMS ID]],FMS_Input[FMS_ID],FMS_Input[LWC])</f>
        <v>5</v>
      </c>
      <c r="Y286" s="259">
        <f>(ASINH(FMS_Ranking4[[#This Row],[LWC Raw]]))*(10)/(ASINH(X$4))</f>
        <v>3.1327475801820781</v>
      </c>
      <c r="Z286" s="256">
        <f>FMS_Ranking4[[#This Row],[LWC, ArcSInh (0-10)]]*X$5*10</f>
        <v>3.1327475801820781</v>
      </c>
      <c r="AA286" s="253">
        <f>_xlfn.XLOOKUP(FMS_Ranking4[[#This Row],[FMS ID]],FMS_Input[FMS_ID],FMS_Input[ROADCLS])</f>
        <v>67</v>
      </c>
      <c r="AB286" s="255">
        <f>(ASINH(FMS_Ranking4[[#This Row],[Road Closures Raw]]))*(10)/(ASINH(AA$4))</f>
        <v>5.1007086055887703</v>
      </c>
      <c r="AC286" s="256">
        <f>FMS_Ranking4[[#This Row],[Road closures, ArcSinh (0-10)]]*AA$5*10</f>
        <v>2.5503543027943856</v>
      </c>
      <c r="AD286" s="253">
        <f>_xlfn.XLOOKUP(FMS_Ranking4[[#This Row],[FMS ID]],FMS_Input[FMS_ID],FMS_Input[ROAD_MILES100])</f>
        <v>15</v>
      </c>
      <c r="AE286" s="259">
        <f>(ASINH(FMS_Ranking4[[#This Row],[Road Miles Raw]]))*(10)/(ASINH(AD$4))</f>
        <v>3.625922827042257</v>
      </c>
      <c r="AF286" s="256">
        <f>FMS_Ranking4[[#This Row],[Length of roads at risk, ArcSinh (0-10)]]*AD$5*10</f>
        <v>3.625922827042257</v>
      </c>
      <c r="AG286" s="253">
        <f>_xlfn.XLOOKUP(FMS_Ranking4[[#This Row],[FMS ID]],FMS_Input[FMS_ID],FMS_Input[FARMACRE100])</f>
        <v>1095.853271484375</v>
      </c>
      <c r="AH286" s="255">
        <f>(ASINH(FMS_Ranking4[[#This Row],[Ag Land Raw]]))*(10)/(ASINH(AG$4))</f>
        <v>4.9968638605927849</v>
      </c>
      <c r="AI286" s="260">
        <f>FMS_Ranking4[[#This Row],[Farm &amp; ranch land, ArcSinh (0-10)]]*AG$5*10</f>
        <v>2.4984319302963924</v>
      </c>
      <c r="AJ286" s="258">
        <f>_xlfn.XLOOKUP(FMS_Ranking4[[#This Row],[FMS ID]],FMS_Input[FMS_ID],FMS_Input[REDSTRUCT100])</f>
        <v>0</v>
      </c>
      <c r="AK286" s="253">
        <f>_xlfn.XLOOKUP(FMS_Ranking4[[#This Row],[FMS ID]],FMS_Input[FMS_ID],FMS_Input[REMSTRC100])</f>
        <v>0</v>
      </c>
      <c r="AL286" s="259">
        <f>(ASINH(FMS_Ranking4[[#This Row],[Structures Removed Raw]]))*(10)/(ASINH(AK$4))</f>
        <v>0</v>
      </c>
      <c r="AM286" s="262">
        <f>FMS_Ranking4[[#This Row],[Structures removed, ArcSinh (0-10)]]*AK$5*10</f>
        <v>0</v>
      </c>
      <c r="AN286" s="253">
        <f>_xlfn.XLOOKUP(FMS_Ranking4[[#This Row],[FMS ID]],FMS_Input[FMS_ID],FMS_Input[REMRESSTRC100])</f>
        <v>0</v>
      </c>
      <c r="AO286" s="261">
        <f>FMS_Ranking4[[#This Row],[ArcSinh Res struct removed 0-10]]*AN$5*10</f>
        <v>0</v>
      </c>
      <c r="AP286" s="260">
        <f>ASINH(FMS_Ranking4[[#This Row],[Residential Structures Removed Raw]])/AP$4*AN$5*100</f>
        <v>0</v>
      </c>
      <c r="AQ286" s="254">
        <f>(ASINH(FMS_Ranking4[[#This Row],[Residential Structures Removed Raw]]))*(10)/(ASINH(AN$4))</f>
        <v>0</v>
      </c>
      <c r="AR286" s="253">
        <f>_xlfn.XLOOKUP(FMS_Ranking4[[#This Row],[FMS ID]],FMS_Input[FMS_ID],FMS_Input[REMPOP100])</f>
        <v>0</v>
      </c>
      <c r="AS286" s="259">
        <f>(ASINH(FMS_Ranking4[[#This Row],[Removed Pop Raw]]))*(10)/(ASINH(AR$4))</f>
        <v>0</v>
      </c>
      <c r="AT286" s="262">
        <f>FMS_Ranking4[[#This Row],[Removed population, ArcSinh (0-10)]]*AR$5*10</f>
        <v>0</v>
      </c>
      <c r="AU286" s="264">
        <f>_xlfn.XLOOKUP(FMS_Ranking4[[#This Row],[FMS ID]],FMS_Input[FMS_ID],FMS_Input[REMCRITFAC100])</f>
        <v>0</v>
      </c>
      <c r="AV286" s="264">
        <f>_xlfn.XLOOKUP(FMS_Ranking4[[#This Row],[FMS ID]],FMS_Input[FMS_ID],FMS_Input[REMLWC100])</f>
        <v>0</v>
      </c>
      <c r="AW286" s="264">
        <f>_xlfn.XLOOKUP(FMS_Ranking4[[#This Row],[FMS ID]],FMS_Input[FMS_ID],FMS_Input[REMROADCLS])</f>
        <v>0</v>
      </c>
      <c r="AX286" s="264">
        <f>_xlfn.XLOOKUP(FMS_Ranking4[[#This Row],[FMS ID]],FMS_Input[FMS_ID],FMS_Input[REMFRMACRE100])</f>
        <v>0</v>
      </c>
      <c r="AY286" s="258">
        <f>_xlfn.XLOOKUP(FMS_Ranking4[[#This Row],[FMS ID]],FMS_Input[FMS_ID],FMS_Input[COSTSTRUCT])</f>
        <v>0</v>
      </c>
      <c r="AZ286" s="253">
        <f>_xlfn.XLOOKUP(FMS_Ranking4[[#This Row],[FMS ID]],FMS_Input[FMS_ID],FMS_Input[NATURE])</f>
        <v>0</v>
      </c>
      <c r="BA286" s="262">
        <f>(((FMS_Ranking4[[#This Row],[% NBS Raw]]/AZ$4)*100)*AZ$5)</f>
        <v>0</v>
      </c>
      <c r="BB286" s="251" t="str">
        <f>_xlfn.XLOOKUP(FMS_Ranking4[[#This Row],[FMS ID]],FMS_Input[FMS_ID],FMS_Input[WATER_SUP])</f>
        <v>No</v>
      </c>
      <c r="BC286" s="265">
        <f>IF(FMS_Ranking4[[#This Row],[Water Supply Raw]]="Yes",10,0)</f>
        <v>0</v>
      </c>
      <c r="BD286" s="266">
        <f>_xlfn.XLOOKUP(FMS_Ranking4[[#This Row],[FMS Type]],FMS_TYPE[FMS_Type],FMS_TYPE[Score])</f>
        <v>8</v>
      </c>
      <c r="BE286" s="267">
        <f>FMS_Ranking4[[#This Row],[FMS_Type Score]]*$BD$5*10</f>
        <v>2</v>
      </c>
      <c r="BF28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0.2059318405751917</v>
      </c>
      <c r="BG286" s="271">
        <f>_xlfn.RANK.EQ(BF286,$BF$8:$BF$870,0)+COUNTIF($BF$8:BF286,BF286)-1</f>
        <v>365</v>
      </c>
      <c r="BH286" s="268">
        <f>(((FMS_Ranking4[[#This Row],[Structures Removed Raw]]/AK$4)*100)*AK$5)+(((FMS_Ranking4[[#This Row],[Removed Pop Raw]]/AR$4)*100)*AR$5)</f>
        <v>0</v>
      </c>
      <c r="BI28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2.2059318405751918</v>
      </c>
      <c r="BJ286" s="205">
        <f>_xlfn.RANK.EQ(FMS_Ranking4[[#This Row],[Total Score 
(with linear
normalization)]],FMS_Ranking4[Total Score 
(with linear
normalization)],0)</f>
        <v>327</v>
      </c>
      <c r="BK286" s="205" t="e">
        <f>_xlfn.XLOOKUP(FMS_Ranking4[[#This Row],[FMS ID]],#REF!,#REF!)</f>
        <v>#REF!</v>
      </c>
      <c r="BL28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25.318479195236979</v>
      </c>
      <c r="BM286" s="272">
        <f>FMS_Ranking4[[#This Row],[ArcSinh Score Based on Normalized Reported Factors]]+FMS_Ranking4[[#This Row],[% NBS Score (Normalized)]]+(FMS_Ranking4[[#This Row],[Water Supply Score (Normalized)]]*10*$BB$5)+FMS_Ranking4[[#This Row],[FMS_Type Score Weighted]]</f>
        <v>27.318479195236979</v>
      </c>
      <c r="BN286" s="205">
        <f>_xlfn.RANK.EQ(FMS_Ranking4[[#This Row],[Total Score (with ArcSinh normalization of select criteria)]],FMS_Ranking4[Total Score (with ArcSinh normalization of select criteria)],0)</f>
        <v>278</v>
      </c>
      <c r="BO286" s="270" t="str">
        <f>_xlfn.XLOOKUP(FMS_Ranking4[[#This Row],[FMS ID]],FMS_Input[FMS_ID],FMS_Input[FMS_RANK_YEAR])</f>
        <v>2023 Amended Plan</v>
      </c>
      <c r="BP286" s="204">
        <f>_xlfn.XLOOKUP(FMS_Ranking4[[#This Row],[FMS ID]],Prev_Rank[FMS ID],Prev_Rank[Prev Rank])</f>
        <v>244</v>
      </c>
      <c r="BQ286" s="205" t="e">
        <f>_xlfn.XLOOKUP(FMS_Ranking4[[#This Row],[FMS ID]],#REF!,#REF!)</f>
        <v>#REF!</v>
      </c>
      <c r="BR286" s="199" t="e">
        <f>SUM(#REF!,#REF!,#REF!,#REF!,#REF!,#REF!,#REF!,#REF!,#REF!,FMS_Ranking4[[#This Row],[ArcSinh Res struct removed 0-10]],#REF!)</f>
        <v>#REF!</v>
      </c>
      <c r="BS286" s="199" t="e">
        <f>FMS_Ranking4[[#This Row],[Log Score Based on Normalized Reported Factors]]+FMS_Ranking4[[#This Row],[% NBS Score (Normalized)]]+(FMS_Ranking4[[#This Row],[Water Supply Score (Normalized)]]*10*$BB$5)+(FMS_Ranking4[[#This Row],[FMS_Type Score Weighted]])</f>
        <v>#REF!</v>
      </c>
      <c r="BT286" s="200" t="e">
        <f>_xlfn.RANK.EQ(FMS_Ranking4[[#This Row],[Log Total Score]],FMS_Ranking4[Log Total Score],0)</f>
        <v>#REF!</v>
      </c>
      <c r="BU286" s="200" t="e">
        <f>_xlfn.XLOOKUP(FMS_Ranking4[[#This Row],[FMS ID]],#REF!,#REF!)</f>
        <v>#REF!</v>
      </c>
      <c r="BV286" s="200">
        <f>FMS_Ranking4[[#This Row],[Region Number]]</f>
        <v>13</v>
      </c>
      <c r="BW286" s="200">
        <f>FMS_Ranking4[[#This Row],[Rank (with ArcSinh normalization of select criteria)]]-FMS_Ranking4[[#This Row],[Rank
(with linear
normalization)]]</f>
        <v>-49</v>
      </c>
      <c r="BX286" s="200" t="e">
        <f>FMS_Ranking4[[#This Row],[Log Rank]]-FMS_Ranking4[[#This Row],[Rank
(with linear
normalization)]]</f>
        <v>#REF!</v>
      </c>
      <c r="BY286" s="200" t="str">
        <f>IF(FMS_Ranking4[[#This Row],[FMS Type]]="Flood Measurement and Warning",FMS_Ranking4[[#This Row],[Rank (with ArcSinh normalization of select criteria)]],"")</f>
        <v/>
      </c>
      <c r="BZ286" s="200">
        <f>IF(FMS_Ranking4[[#This Row],[FMS Type]]="Regulatory and Guidance",FMS_Ranking4[[#This Row],[Rank (with ArcSinh normalization of select criteria)]],"")</f>
        <v>278</v>
      </c>
      <c r="CA286" s="200" t="str">
        <f>IF(FMS_Ranking4[[#This Row],[FMS Type]]="Education and Outreach",FMS_Ranking4[[#This Row],[Rank (with ArcSinh normalization of select criteria)]],"")</f>
        <v/>
      </c>
      <c r="CB286" s="200" t="str">
        <f>IF(FMS_Ranking4[[#This Row],[FMS Type]]="Property Acquisition and Structural Elevation",FMS_Ranking4[[#This Row],[Rank (with ArcSinh normalization of select criteria)]],"")</f>
        <v/>
      </c>
      <c r="CC286" s="200" t="str">
        <f>IF(FMS_Ranking4[[#This Row],[FMS Type]]="Infrastructure Projects",FMS_Ranking4[[#This Row],[Rank (with ArcSinh normalization of select criteria)]],"")</f>
        <v/>
      </c>
      <c r="CD286" s="200" t="str">
        <f>IF(FMS_Ranking4[[#This Row],[FMS Type]]="Other",FMS_Ranking4[[#This Row],[Rank (with ArcSinh normalization of select criteria)]],"")</f>
        <v/>
      </c>
      <c r="CE286" s="201"/>
      <c r="CF286" s="206"/>
      <c r="CG286" s="206"/>
      <c r="CH286" s="206"/>
      <c r="CI286" s="206"/>
      <c r="CJ286" s="206"/>
      <c r="CK286" s="206"/>
      <c r="CL286" s="206"/>
      <c r="CM286" s="206"/>
      <c r="CN286" s="206"/>
      <c r="CO286" s="206"/>
      <c r="CP286" s="206"/>
      <c r="CQ286" s="206"/>
      <c r="CR286" s="206"/>
    </row>
    <row r="287" spans="2:96" ht="90" x14ac:dyDescent="0.25">
      <c r="B287" s="341" t="s">
        <v>3589</v>
      </c>
      <c r="C287" s="246">
        <f>_xlfn.XLOOKUP(FMS_Ranking4[[#This Row],[FMS ID]],FMS_Input[FMS_ID],FMS_Input[RFPG_NUM])</f>
        <v>13</v>
      </c>
      <c r="D287" s="309" t="str">
        <f>_xlfn.XLOOKUP(FMS_Ranking4[[#This Row],[FMS ID]],FMS_Input[FMS_ID],FMS_Input[FMS_NAME])</f>
        <v>Update City’s Flood Hazard Mitigation Ordinance</v>
      </c>
      <c r="E287" s="308" t="str">
        <f>_xlfn.XLOOKUP(FMS_Ranking4[[#This Row],[FMS ID]],FMS_Input[FMS_ID],FMS_Input[SPONSOR])</f>
        <v>13002953</v>
      </c>
      <c r="F287" s="309" t="str">
        <f>_xlfn.XLOOKUP(FMS_Ranking4[[#This Row],[FMS ID]],Sponsor[FMS_ID],Sponsor[SPONSOR NAME])</f>
        <v>Hondo</v>
      </c>
      <c r="G287" s="309" t="str">
        <f>_xlfn.XLOOKUP(FMS_Ranking4[[#This Row],[FMS ID]],FMS_Input[FMS_ID],FMS_Input[FMS_DESCR])</f>
        <v>Update the City’s Flood Hazard Mitigation Ordinance to ensure proper regulation of NFIP requirements and to implement higher standards of floodplain management.</v>
      </c>
      <c r="H287" s="248" t="str">
        <f>_xlfn.XLOOKUP(FMS_Ranking4[[#This Row],[FMS ID]],FMS_Input[FMS_ID],FMS_Input[FMS_TYPE])</f>
        <v>Regulatory and Guidance</v>
      </c>
      <c r="I287" s="249">
        <f>_xlfn.XLOOKUP(FMS_Ranking4[[#This Row],[FMS ID]],FMS_Input[FMS_ID],FMS_Input[NRNC_COST])</f>
        <v>100000</v>
      </c>
      <c r="J287" s="250">
        <f>_xlfn.XLOOKUP(FMS_Ranking4[[#This Row],[FMS ID]],FMS_Input[FMS_ID],FMS_Input[FMS_COST])</f>
        <v>100000</v>
      </c>
      <c r="K287" s="251" t="str">
        <f>_xlfn.XLOOKUP(FMS_Ranking4[[#This Row],[FMS ID]],FMS_Input[FMS_ID],FMS_Input[EMER_NEED])</f>
        <v>Yes</v>
      </c>
      <c r="L287" s="252">
        <f t="shared" si="4"/>
        <v>1</v>
      </c>
      <c r="M287" s="253">
        <f>_xlfn.XLOOKUP(FMS_Ranking4[[#This Row],[FMS ID]],FMS_Input[FMS_ID],FMS_Input[STRUCT_100])</f>
        <v>592</v>
      </c>
      <c r="N287" s="255">
        <f>(ASINH(FMS_Ranking4[[#This Row],[Structure at Risk Raw]]))*(10)/(ASINH(M$4))</f>
        <v>5.5633041278462478</v>
      </c>
      <c r="O287" s="256">
        <f>FMS_Ranking4[[#This Row],[Structures at risk, ArcSinh (0-10)]]*M$5*10</f>
        <v>5.5633041278462478</v>
      </c>
      <c r="P287" s="253">
        <f>_xlfn.XLOOKUP(FMS_Ranking4[[#This Row],[FMS ID]],FMS_Input[FMS_ID],FMS_Input[RES_STRUCT100])</f>
        <v>425</v>
      </c>
      <c r="Q287" s="257">
        <f>ASINH(FMS_Ranking4[[#This Row],[Res Structure Raw]])/Q$4*P$5*100</f>
        <v>0</v>
      </c>
      <c r="R287" s="253">
        <f>_xlfn.XLOOKUP(FMS_Ranking4[[#This Row],[FMS ID]],FMS_Input[FMS_ID],FMS_Input[POP100])</f>
        <v>2211</v>
      </c>
      <c r="S287" s="259">
        <f>(ASINH(FMS_Ranking4[[#This Row],[Pop at Risk Raw]]))*(10)/(ASINH(R$4))</f>
        <v>5.7951067204289046</v>
      </c>
      <c r="T287" s="256">
        <f>FMS_Ranking4[[#This Row],[Population at risk, ArcSinh (0-10)]]*R$5*10</f>
        <v>5.7951067204289055</v>
      </c>
      <c r="U287" s="253">
        <f>_xlfn.XLOOKUP(FMS_Ranking4[[#This Row],[FMS ID]],FMS_Input[FMS_ID],FMS_Input[CRITFAC100])</f>
        <v>3</v>
      </c>
      <c r="V287" s="259">
        <f>(ASINH(FMS_Ranking4[[#This Row],[Critical Facilities Raw]]))*(10)/(ASINH(U$4))</f>
        <v>2.152611706646717</v>
      </c>
      <c r="W287" s="256">
        <f>FMS_Ranking4[[#This Row],[Critical facilities at risk, ArcSinh (0-10)]]*U$5*10</f>
        <v>2.152611706646717</v>
      </c>
      <c r="X287" s="253">
        <f>_xlfn.XLOOKUP(FMS_Ranking4[[#This Row],[FMS ID]],FMS_Input[FMS_ID],FMS_Input[LWC])</f>
        <v>5</v>
      </c>
      <c r="Y287" s="259">
        <f>(ASINH(FMS_Ranking4[[#This Row],[LWC Raw]]))*(10)/(ASINH(X$4))</f>
        <v>3.1327475801820781</v>
      </c>
      <c r="Z287" s="256">
        <f>FMS_Ranking4[[#This Row],[LWC, ArcSInh (0-10)]]*X$5*10</f>
        <v>3.1327475801820781</v>
      </c>
      <c r="AA287" s="253">
        <f>_xlfn.XLOOKUP(FMS_Ranking4[[#This Row],[FMS ID]],FMS_Input[FMS_ID],FMS_Input[ROADCLS])</f>
        <v>67</v>
      </c>
      <c r="AB287" s="255">
        <f>(ASINH(FMS_Ranking4[[#This Row],[Road Closures Raw]]))*(10)/(ASINH(AA$4))</f>
        <v>5.1007086055887703</v>
      </c>
      <c r="AC287" s="256">
        <f>FMS_Ranking4[[#This Row],[Road closures, ArcSinh (0-10)]]*AA$5*10</f>
        <v>2.5503543027943856</v>
      </c>
      <c r="AD287" s="253">
        <f>_xlfn.XLOOKUP(FMS_Ranking4[[#This Row],[FMS ID]],FMS_Input[FMS_ID],FMS_Input[ROAD_MILES100])</f>
        <v>15</v>
      </c>
      <c r="AE287" s="259">
        <f>(ASINH(FMS_Ranking4[[#This Row],[Road Miles Raw]]))*(10)/(ASINH(AD$4))</f>
        <v>3.625922827042257</v>
      </c>
      <c r="AF287" s="256">
        <f>FMS_Ranking4[[#This Row],[Length of roads at risk, ArcSinh (0-10)]]*AD$5*10</f>
        <v>3.625922827042257</v>
      </c>
      <c r="AG287" s="253">
        <f>_xlfn.XLOOKUP(FMS_Ranking4[[#This Row],[FMS ID]],FMS_Input[FMS_ID],FMS_Input[FARMACRE100])</f>
        <v>1095.853271484375</v>
      </c>
      <c r="AH287" s="255">
        <f>(ASINH(FMS_Ranking4[[#This Row],[Ag Land Raw]]))*(10)/(ASINH(AG$4))</f>
        <v>4.9968638605927849</v>
      </c>
      <c r="AI287" s="260">
        <f>FMS_Ranking4[[#This Row],[Farm &amp; ranch land, ArcSinh (0-10)]]*AG$5*10</f>
        <v>2.4984319302963924</v>
      </c>
      <c r="AJ287" s="258">
        <f>_xlfn.XLOOKUP(FMS_Ranking4[[#This Row],[FMS ID]],FMS_Input[FMS_ID],FMS_Input[REDSTRUCT100])</f>
        <v>0</v>
      </c>
      <c r="AK287" s="253">
        <f>_xlfn.XLOOKUP(FMS_Ranking4[[#This Row],[FMS ID]],FMS_Input[FMS_ID],FMS_Input[REMSTRC100])</f>
        <v>0</v>
      </c>
      <c r="AL287" s="259">
        <f>(ASINH(FMS_Ranking4[[#This Row],[Structures Removed Raw]]))*(10)/(ASINH(AK$4))</f>
        <v>0</v>
      </c>
      <c r="AM287" s="262">
        <f>FMS_Ranking4[[#This Row],[Structures removed, ArcSinh (0-10)]]*AK$5*10</f>
        <v>0</v>
      </c>
      <c r="AN287" s="253">
        <f>_xlfn.XLOOKUP(FMS_Ranking4[[#This Row],[FMS ID]],FMS_Input[FMS_ID],FMS_Input[REMRESSTRC100])</f>
        <v>0</v>
      </c>
      <c r="AO287" s="261">
        <f>FMS_Ranking4[[#This Row],[ArcSinh Res struct removed 0-10]]*AN$5*10</f>
        <v>0</v>
      </c>
      <c r="AP287" s="260">
        <f>ASINH(FMS_Ranking4[[#This Row],[Residential Structures Removed Raw]])/AP$4*AN$5*100</f>
        <v>0</v>
      </c>
      <c r="AQ287" s="254">
        <f>(ASINH(FMS_Ranking4[[#This Row],[Residential Structures Removed Raw]]))*(10)/(ASINH(AN$4))</f>
        <v>0</v>
      </c>
      <c r="AR287" s="253">
        <f>_xlfn.XLOOKUP(FMS_Ranking4[[#This Row],[FMS ID]],FMS_Input[FMS_ID],FMS_Input[REMPOP100])</f>
        <v>0</v>
      </c>
      <c r="AS287" s="259">
        <f>(ASINH(FMS_Ranking4[[#This Row],[Removed Pop Raw]]))*(10)/(ASINH(AR$4))</f>
        <v>0</v>
      </c>
      <c r="AT287" s="262">
        <f>FMS_Ranking4[[#This Row],[Removed population, ArcSinh (0-10)]]*AR$5*10</f>
        <v>0</v>
      </c>
      <c r="AU287" s="264">
        <f>_xlfn.XLOOKUP(FMS_Ranking4[[#This Row],[FMS ID]],FMS_Input[FMS_ID],FMS_Input[REMCRITFAC100])</f>
        <v>0</v>
      </c>
      <c r="AV287" s="264">
        <f>_xlfn.XLOOKUP(FMS_Ranking4[[#This Row],[FMS ID]],FMS_Input[FMS_ID],FMS_Input[REMLWC100])</f>
        <v>0</v>
      </c>
      <c r="AW287" s="264">
        <f>_xlfn.XLOOKUP(FMS_Ranking4[[#This Row],[FMS ID]],FMS_Input[FMS_ID],FMS_Input[REMROADCLS])</f>
        <v>0</v>
      </c>
      <c r="AX287" s="264">
        <f>_xlfn.XLOOKUP(FMS_Ranking4[[#This Row],[FMS ID]],FMS_Input[FMS_ID],FMS_Input[REMFRMACRE100])</f>
        <v>0</v>
      </c>
      <c r="AY287" s="258">
        <f>_xlfn.XLOOKUP(FMS_Ranking4[[#This Row],[FMS ID]],FMS_Input[FMS_ID],FMS_Input[COSTSTRUCT])</f>
        <v>0</v>
      </c>
      <c r="AZ287" s="253">
        <f>_xlfn.XLOOKUP(FMS_Ranking4[[#This Row],[FMS ID]],FMS_Input[FMS_ID],FMS_Input[NATURE])</f>
        <v>0</v>
      </c>
      <c r="BA287" s="262">
        <f>(((FMS_Ranking4[[#This Row],[% NBS Raw]]/AZ$4)*100)*AZ$5)</f>
        <v>0</v>
      </c>
      <c r="BB287" s="251" t="str">
        <f>_xlfn.XLOOKUP(FMS_Ranking4[[#This Row],[FMS ID]],FMS_Input[FMS_ID],FMS_Input[WATER_SUP])</f>
        <v>No</v>
      </c>
      <c r="BC287" s="265">
        <f>IF(FMS_Ranking4[[#This Row],[Water Supply Raw]]="Yes",10,0)</f>
        <v>0</v>
      </c>
      <c r="BD287" s="266">
        <f>_xlfn.XLOOKUP(FMS_Ranking4[[#This Row],[FMS Type]],FMS_TYPE[FMS_Type],FMS_TYPE[Score])</f>
        <v>8</v>
      </c>
      <c r="BE287" s="267">
        <f>FMS_Ranking4[[#This Row],[FMS_Type Score]]*$BD$5*10</f>
        <v>2</v>
      </c>
      <c r="BF28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0.2059318405751917</v>
      </c>
      <c r="BG287" s="271">
        <f>_xlfn.RANK.EQ(BF287,$BF$8:$BF$870,0)+COUNTIF($BF$8:BF287,BF287)-1</f>
        <v>366</v>
      </c>
      <c r="BH287" s="268">
        <f>(((FMS_Ranking4[[#This Row],[Structures Removed Raw]]/AK$4)*100)*AK$5)+(((FMS_Ranking4[[#This Row],[Removed Pop Raw]]/AR$4)*100)*AR$5)</f>
        <v>0</v>
      </c>
      <c r="BI28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2.2059318405751918</v>
      </c>
      <c r="BJ287" s="205">
        <f>_xlfn.RANK.EQ(FMS_Ranking4[[#This Row],[Total Score 
(with linear
normalization)]],FMS_Ranking4[Total Score 
(with linear
normalization)],0)</f>
        <v>327</v>
      </c>
      <c r="BK287" s="205" t="e">
        <f>_xlfn.XLOOKUP(FMS_Ranking4[[#This Row],[FMS ID]],#REF!,#REF!)</f>
        <v>#REF!</v>
      </c>
      <c r="BL28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25.318479195236979</v>
      </c>
      <c r="BM287" s="272">
        <f>FMS_Ranking4[[#This Row],[ArcSinh Score Based on Normalized Reported Factors]]+FMS_Ranking4[[#This Row],[% NBS Score (Normalized)]]+(FMS_Ranking4[[#This Row],[Water Supply Score (Normalized)]]*10*$BB$5)+FMS_Ranking4[[#This Row],[FMS_Type Score Weighted]]</f>
        <v>27.318479195236979</v>
      </c>
      <c r="BN287" s="205">
        <f>_xlfn.RANK.EQ(FMS_Ranking4[[#This Row],[Total Score (with ArcSinh normalization of select criteria)]],FMS_Ranking4[Total Score (with ArcSinh normalization of select criteria)],0)</f>
        <v>278</v>
      </c>
      <c r="BO287" s="270" t="str">
        <f>_xlfn.XLOOKUP(FMS_Ranking4[[#This Row],[FMS ID]],FMS_Input[FMS_ID],FMS_Input[FMS_RANK_YEAR])</f>
        <v>2023 Amended Plan</v>
      </c>
      <c r="BP287" s="204">
        <f>_xlfn.XLOOKUP(FMS_Ranking4[[#This Row],[FMS ID]],Prev_Rank[FMS ID],Prev_Rank[Prev Rank])</f>
        <v>244</v>
      </c>
      <c r="BQ287" s="205" t="e">
        <f>_xlfn.XLOOKUP(FMS_Ranking4[[#This Row],[FMS ID]],#REF!,#REF!)</f>
        <v>#REF!</v>
      </c>
      <c r="BR287" s="199" t="e">
        <f>SUM(#REF!,#REF!,#REF!,#REF!,#REF!,#REF!,#REF!,#REF!,#REF!,FMS_Ranking4[[#This Row],[ArcSinh Res struct removed 0-10]],#REF!)</f>
        <v>#REF!</v>
      </c>
      <c r="BS287" s="199" t="e">
        <f>FMS_Ranking4[[#This Row],[Log Score Based on Normalized Reported Factors]]+FMS_Ranking4[[#This Row],[% NBS Score (Normalized)]]+(FMS_Ranking4[[#This Row],[Water Supply Score (Normalized)]]*10*$BB$5)+(FMS_Ranking4[[#This Row],[FMS_Type Score Weighted]])</f>
        <v>#REF!</v>
      </c>
      <c r="BT287" s="200" t="e">
        <f>_xlfn.RANK.EQ(FMS_Ranking4[[#This Row],[Log Total Score]],FMS_Ranking4[Log Total Score],0)</f>
        <v>#REF!</v>
      </c>
      <c r="BU287" s="200" t="e">
        <f>_xlfn.XLOOKUP(FMS_Ranking4[[#This Row],[FMS ID]],#REF!,#REF!)</f>
        <v>#REF!</v>
      </c>
      <c r="BV287" s="200">
        <f>FMS_Ranking4[[#This Row],[Region Number]]</f>
        <v>13</v>
      </c>
      <c r="BW287" s="200">
        <f>FMS_Ranking4[[#This Row],[Rank (with ArcSinh normalization of select criteria)]]-FMS_Ranking4[[#This Row],[Rank
(with linear
normalization)]]</f>
        <v>-49</v>
      </c>
      <c r="BX287" s="200" t="e">
        <f>FMS_Ranking4[[#This Row],[Log Rank]]-FMS_Ranking4[[#This Row],[Rank
(with linear
normalization)]]</f>
        <v>#REF!</v>
      </c>
      <c r="BY287" s="200" t="str">
        <f>IF(FMS_Ranking4[[#This Row],[FMS Type]]="Flood Measurement and Warning",FMS_Ranking4[[#This Row],[Rank (with ArcSinh normalization of select criteria)]],"")</f>
        <v/>
      </c>
      <c r="BZ287" s="200">
        <f>IF(FMS_Ranking4[[#This Row],[FMS Type]]="Regulatory and Guidance",FMS_Ranking4[[#This Row],[Rank (with ArcSinh normalization of select criteria)]],"")</f>
        <v>278</v>
      </c>
      <c r="CA287" s="200" t="str">
        <f>IF(FMS_Ranking4[[#This Row],[FMS Type]]="Education and Outreach",FMS_Ranking4[[#This Row],[Rank (with ArcSinh normalization of select criteria)]],"")</f>
        <v/>
      </c>
      <c r="CB287" s="200" t="str">
        <f>IF(FMS_Ranking4[[#This Row],[FMS Type]]="Property Acquisition and Structural Elevation",FMS_Ranking4[[#This Row],[Rank (with ArcSinh normalization of select criteria)]],"")</f>
        <v/>
      </c>
      <c r="CC287" s="200" t="str">
        <f>IF(FMS_Ranking4[[#This Row],[FMS Type]]="Infrastructure Projects",FMS_Ranking4[[#This Row],[Rank (with ArcSinh normalization of select criteria)]],"")</f>
        <v/>
      </c>
      <c r="CD287" s="200" t="str">
        <f>IF(FMS_Ranking4[[#This Row],[FMS Type]]="Other",FMS_Ranking4[[#This Row],[Rank (with ArcSinh normalization of select criteria)]],"")</f>
        <v/>
      </c>
      <c r="CE287" s="201"/>
      <c r="CF287" s="206"/>
      <c r="CG287" s="206"/>
      <c r="CH287" s="206"/>
      <c r="CI287" s="206"/>
      <c r="CJ287" s="206"/>
      <c r="CK287" s="206"/>
      <c r="CL287" s="206"/>
      <c r="CM287" s="206"/>
      <c r="CN287" s="206"/>
      <c r="CO287" s="206"/>
      <c r="CP287" s="206"/>
      <c r="CQ287" s="206"/>
      <c r="CR287" s="206"/>
    </row>
    <row r="288" spans="2:96" ht="60" x14ac:dyDescent="0.25">
      <c r="B288" s="341" t="s">
        <v>4325</v>
      </c>
      <c r="C288" s="246">
        <f>_xlfn.XLOOKUP(FMS_Ranking4[[#This Row],[FMS ID]],FMS_Input[FMS_ID],FMS_Input[RFPG_NUM])</f>
        <v>15</v>
      </c>
      <c r="D288" s="309" t="str">
        <f>_xlfn.XLOOKUP(FMS_Ranking4[[#This Row],[FMS ID]],FMS_Input[FMS_ID],FMS_Input[FMS_NAME])</f>
        <v>City of San Juan - Flood Warning System, planning, operation &amp; maintenance</v>
      </c>
      <c r="E288" s="308" t="str">
        <f>_xlfn.XLOOKUP(FMS_Ranking4[[#This Row],[FMS ID]],FMS_Input[FMS_ID],FMS_Input[SPONSOR])</f>
        <v>15000087</v>
      </c>
      <c r="F288" s="309" t="str">
        <f>_xlfn.XLOOKUP(FMS_Ranking4[[#This Row],[FMS ID]],Sponsor[FMS_ID],Sponsor[SPONSOR NAME])</f>
        <v>San Juan</v>
      </c>
      <c r="G288" s="309" t="str">
        <f>_xlfn.XLOOKUP(FMS_Ranking4[[#This Row],[FMS ID]],FMS_Input[FMS_ID],FMS_Input[FMS_DESCR])</f>
        <v>Develop and Implement a Flood Warning System, planning, operation &amp; Maintenance plan</v>
      </c>
      <c r="H288" s="248" t="str">
        <f>_xlfn.XLOOKUP(FMS_Ranking4[[#This Row],[FMS ID]],FMS_Input[FMS_ID],FMS_Input[FMS_TYPE])</f>
        <v>Flood Measurement and Warning</v>
      </c>
      <c r="I288" s="249">
        <f>_xlfn.XLOOKUP(FMS_Ranking4[[#This Row],[FMS ID]],FMS_Input[FMS_ID],FMS_Input[NRNC_COST])</f>
        <v>600000</v>
      </c>
      <c r="J288" s="250">
        <f>_xlfn.XLOOKUP(FMS_Ranking4[[#This Row],[FMS ID]],FMS_Input[FMS_ID],FMS_Input[FMS_COST])</f>
        <v>5000000</v>
      </c>
      <c r="K288" s="251" t="str">
        <f>_xlfn.XLOOKUP(FMS_Ranking4[[#This Row],[FMS ID]],FMS_Input[FMS_ID],FMS_Input[EMER_NEED])</f>
        <v>Yes</v>
      </c>
      <c r="L288" s="252">
        <f t="shared" si="4"/>
        <v>1</v>
      </c>
      <c r="M288" s="253">
        <f>_xlfn.XLOOKUP(FMS_Ranking4[[#This Row],[FMS ID]],FMS_Input[FMS_ID],FMS_Input[STRUCT_100])</f>
        <v>6407</v>
      </c>
      <c r="N288" s="255">
        <f>(ASINH(FMS_Ranking4[[#This Row],[Structure at Risk Raw]]))*(10)/(ASINH(M$4))</f>
        <v>7.4356270550378794</v>
      </c>
      <c r="O288" s="256">
        <f>FMS_Ranking4[[#This Row],[Structures at risk, ArcSinh (0-10)]]*M$5*10</f>
        <v>7.4356270550378802</v>
      </c>
      <c r="P288" s="253">
        <f>_xlfn.XLOOKUP(FMS_Ranking4[[#This Row],[FMS ID]],FMS_Input[FMS_ID],FMS_Input[RES_STRUCT100])</f>
        <v>5795</v>
      </c>
      <c r="Q288" s="257">
        <f>ASINH(FMS_Ranking4[[#This Row],[Res Structure Raw]])/Q$4*P$5*100</f>
        <v>0</v>
      </c>
      <c r="R288" s="253">
        <f>_xlfn.XLOOKUP(FMS_Ranking4[[#This Row],[FMS ID]],FMS_Input[FMS_ID],FMS_Input[POP100])</f>
        <v>24358</v>
      </c>
      <c r="S288" s="255">
        <f>(ASINH(FMS_Ranking4[[#This Row],[Pop at Risk Raw]]))*(10)/(ASINH(R$4))</f>
        <v>7.4515628497431345</v>
      </c>
      <c r="T288" s="256">
        <f>FMS_Ranking4[[#This Row],[Population at risk, ArcSinh (0-10)]]*R$5*10</f>
        <v>7.4515628497431354</v>
      </c>
      <c r="U288" s="253">
        <f>_xlfn.XLOOKUP(FMS_Ranking4[[#This Row],[FMS ID]],FMS_Input[FMS_ID],FMS_Input[CRITFAC100])</f>
        <v>2</v>
      </c>
      <c r="V288" s="255">
        <f>(ASINH(FMS_Ranking4[[#This Row],[Critical Facilities Raw]]))*(10)/(ASINH(U$4))</f>
        <v>1.7089239049208753</v>
      </c>
      <c r="W288" s="256">
        <f>FMS_Ranking4[[#This Row],[Critical facilities at risk, ArcSinh (0-10)]]*U$5*10</f>
        <v>1.7089239049208755</v>
      </c>
      <c r="X288" s="253">
        <f>_xlfn.XLOOKUP(FMS_Ranking4[[#This Row],[FMS ID]],FMS_Input[FMS_ID],FMS_Input[LWC])</f>
        <v>0</v>
      </c>
      <c r="Y288" s="255">
        <f>(ASINH(FMS_Ranking4[[#This Row],[LWC Raw]]))*(10)/(ASINH(X$4))</f>
        <v>0</v>
      </c>
      <c r="Z288" s="256">
        <f>FMS_Ranking4[[#This Row],[LWC, ArcSInh (0-10)]]*X$5*10</f>
        <v>0</v>
      </c>
      <c r="AA288" s="253">
        <f>_xlfn.XLOOKUP(FMS_Ranking4[[#This Row],[FMS ID]],FMS_Input[FMS_ID],FMS_Input[ROADCLS])</f>
        <v>0</v>
      </c>
      <c r="AB288" s="255">
        <f>(ASINH(FMS_Ranking4[[#This Row],[Road Closures Raw]]))*(10)/(ASINH(AA$4))</f>
        <v>0</v>
      </c>
      <c r="AC288" s="256">
        <f>FMS_Ranking4[[#This Row],[Road closures, ArcSinh (0-10)]]*AA$5*10</f>
        <v>0</v>
      </c>
      <c r="AD288" s="253">
        <f>_xlfn.XLOOKUP(FMS_Ranking4[[#This Row],[FMS ID]],FMS_Input[FMS_ID],FMS_Input[ROAD_MILES100])</f>
        <v>94</v>
      </c>
      <c r="AE288" s="255">
        <f>(ASINH(FMS_Ranking4[[#This Row],[Road Miles Raw]]))*(10)/(ASINH(AD$4))</f>
        <v>5.5806366118884574</v>
      </c>
      <c r="AF288" s="256">
        <f>FMS_Ranking4[[#This Row],[Length of roads at risk, ArcSinh (0-10)]]*AD$5*10</f>
        <v>5.5806366118884574</v>
      </c>
      <c r="AG288" s="253">
        <f>_xlfn.XLOOKUP(FMS_Ranking4[[#This Row],[FMS ID]],FMS_Input[FMS_ID],FMS_Input[FARMACRE100])</f>
        <v>1610.65185546875</v>
      </c>
      <c r="AH288" s="255">
        <f>(ASINH(FMS_Ranking4[[#This Row],[Ag Land Raw]]))*(10)/(ASINH(AG$4))</f>
        <v>5.2470212969033554</v>
      </c>
      <c r="AI288" s="260">
        <f>FMS_Ranking4[[#This Row],[Farm &amp; ranch land, ArcSinh (0-10)]]*AG$5*10</f>
        <v>2.6235106484516777</v>
      </c>
      <c r="AJ288" s="258">
        <f>_xlfn.XLOOKUP(FMS_Ranking4[[#This Row],[FMS ID]],FMS_Input[FMS_ID],FMS_Input[REDSTRUCT100])</f>
        <v>0</v>
      </c>
      <c r="AK288" s="253">
        <f>_xlfn.XLOOKUP(FMS_Ranking4[[#This Row],[FMS ID]],FMS_Input[FMS_ID],FMS_Input[REMSTRC100])</f>
        <v>0</v>
      </c>
      <c r="AL288" s="255">
        <f>(ASINH(FMS_Ranking4[[#This Row],[Structures Removed Raw]]))*(10)/(ASINH(AK$4))</f>
        <v>0</v>
      </c>
      <c r="AM288" s="262">
        <f>FMS_Ranking4[[#This Row],[Structures removed, ArcSinh (0-10)]]*AK$5*10</f>
        <v>0</v>
      </c>
      <c r="AN288" s="253">
        <f>_xlfn.XLOOKUP(FMS_Ranking4[[#This Row],[FMS ID]],FMS_Input[FMS_ID],FMS_Input[REMRESSTRC100])</f>
        <v>0</v>
      </c>
      <c r="AO288" s="261">
        <f>FMS_Ranking4[[#This Row],[ArcSinh Res struct removed 0-10]]*AN$5*10</f>
        <v>0</v>
      </c>
      <c r="AP288" s="260">
        <f>ASINH(FMS_Ranking4[[#This Row],[Residential Structures Removed Raw]])/AP$4*AN$5*100</f>
        <v>0</v>
      </c>
      <c r="AQ288" s="258">
        <f>(ASINH(FMS_Ranking4[[#This Row],[Residential Structures Removed Raw]]))*(10)/(ASINH(AN$4))</f>
        <v>0</v>
      </c>
      <c r="AR288" s="253">
        <f>_xlfn.XLOOKUP(FMS_Ranking4[[#This Row],[FMS ID]],FMS_Input[FMS_ID],FMS_Input[REMPOP100])</f>
        <v>0</v>
      </c>
      <c r="AS288" s="255">
        <f>(ASINH(FMS_Ranking4[[#This Row],[Removed Pop Raw]]))*(10)/(ASINH(AR$4))</f>
        <v>0</v>
      </c>
      <c r="AT288" s="262">
        <f>FMS_Ranking4[[#This Row],[Removed population, ArcSinh (0-10)]]*AR$5*10</f>
        <v>0</v>
      </c>
      <c r="AU288" s="264">
        <f>_xlfn.XLOOKUP(FMS_Ranking4[[#This Row],[FMS ID]],FMS_Input[FMS_ID],FMS_Input[REMCRITFAC100])</f>
        <v>0</v>
      </c>
      <c r="AV288" s="264">
        <f>_xlfn.XLOOKUP(FMS_Ranking4[[#This Row],[FMS ID]],FMS_Input[FMS_ID],FMS_Input[REMLWC100])</f>
        <v>0</v>
      </c>
      <c r="AW288" s="264">
        <f>_xlfn.XLOOKUP(FMS_Ranking4[[#This Row],[FMS ID]],FMS_Input[FMS_ID],FMS_Input[REMROADCLS])</f>
        <v>0</v>
      </c>
      <c r="AX288" s="264">
        <f>_xlfn.XLOOKUP(FMS_Ranking4[[#This Row],[FMS ID]],FMS_Input[FMS_ID],FMS_Input[REMFRMACRE100])</f>
        <v>0</v>
      </c>
      <c r="AY288" s="258">
        <f>_xlfn.XLOOKUP(FMS_Ranking4[[#This Row],[FMS ID]],FMS_Input[FMS_ID],FMS_Input[COSTSTRUCT])</f>
        <v>0</v>
      </c>
      <c r="AZ288" s="253">
        <f>_xlfn.XLOOKUP(FMS_Ranking4[[#This Row],[FMS ID]],FMS_Input[FMS_ID],FMS_Input[NATURE])</f>
        <v>0</v>
      </c>
      <c r="BA288" s="262">
        <f>(((FMS_Ranking4[[#This Row],[% NBS Raw]]/AZ$4)*100)*AZ$5)</f>
        <v>0</v>
      </c>
      <c r="BB288" s="251" t="str">
        <f>_xlfn.XLOOKUP(FMS_Ranking4[[#This Row],[FMS ID]],FMS_Input[FMS_ID],FMS_Input[WATER_SUP])</f>
        <v>No</v>
      </c>
      <c r="BC288" s="265">
        <f>IF(FMS_Ranking4[[#This Row],[Water Supply Raw]]="Yes",10,0)</f>
        <v>0</v>
      </c>
      <c r="BD288" s="266">
        <f>_xlfn.XLOOKUP(FMS_Ranking4[[#This Row],[FMS Type]],FMS_TYPE[FMS_Type],FMS_TYPE[Score])</f>
        <v>10</v>
      </c>
      <c r="BE288" s="267">
        <f>FMS_Ranking4[[#This Row],[FMS_Type Score]]*$BD$5*10</f>
        <v>2.5</v>
      </c>
      <c r="BF28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0.80253160287689262</v>
      </c>
      <c r="BG288" s="321">
        <f>_xlfn.RANK.EQ(BF288,$BF$8:$BF$870,0)+COUNTIF($BF$8:BF288,BF288)-1</f>
        <v>173</v>
      </c>
      <c r="BH288" s="294">
        <f>(((FMS_Ranking4[[#This Row],[Structures Removed Raw]]/AK$4)*100)*AK$5)+(((FMS_Ranking4[[#This Row],[Removed Pop Raw]]/AR$4)*100)*AR$5)</f>
        <v>0</v>
      </c>
      <c r="BI28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3.3025316028768925</v>
      </c>
      <c r="BJ288" s="251">
        <f>_xlfn.RANK.EQ(FMS_Ranking4[[#This Row],[Total Score 
(with linear
normalization)]],FMS_Ranking4[Total Score 
(with linear
normalization)],0)</f>
        <v>155</v>
      </c>
      <c r="BK288" s="251" t="e">
        <f>_xlfn.XLOOKUP(FMS_Ranking4[[#This Row],[FMS ID]],#REF!,#REF!)</f>
        <v>#REF!</v>
      </c>
      <c r="BL28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24.800261070042026</v>
      </c>
      <c r="BM288" s="324">
        <f>FMS_Ranking4[[#This Row],[ArcSinh Score Based on Normalized Reported Factors]]+FMS_Ranking4[[#This Row],[% NBS Score (Normalized)]]+(FMS_Ranking4[[#This Row],[Water Supply Score (Normalized)]]*10*$BB$5)+FMS_Ranking4[[#This Row],[FMS_Type Score Weighted]]</f>
        <v>27.300261070042026</v>
      </c>
      <c r="BN288" s="251">
        <f>_xlfn.RANK.EQ(FMS_Ranking4[[#This Row],[Total Score (with ArcSinh normalization of select criteria)]],FMS_Ranking4[Total Score (with ArcSinh normalization of select criteria)],0)</f>
        <v>281</v>
      </c>
      <c r="BO288" s="270" t="str">
        <f>_xlfn.XLOOKUP(FMS_Ranking4[[#This Row],[FMS ID]],FMS_Input[FMS_ID],FMS_Input[FMS_RANK_YEAR])</f>
        <v>2023 Amended Plan</v>
      </c>
      <c r="BP288" s="204">
        <f>_xlfn.XLOOKUP(FMS_Ranking4[[#This Row],[FMS ID]],Prev_Rank[FMS ID],Prev_Rank[Prev Rank])</f>
        <v>237</v>
      </c>
      <c r="BQ288" s="251" t="e">
        <f>_xlfn.XLOOKUP(FMS_Ranking4[[#This Row],[FMS ID]],#REF!,#REF!)</f>
        <v>#REF!</v>
      </c>
      <c r="BR288" s="199" t="e">
        <f>SUM(#REF!,#REF!,#REF!,#REF!,#REF!,#REF!,#REF!,#REF!,#REF!,FMS_Ranking4[[#This Row],[ArcSinh Res struct removed 0-10]],#REF!)</f>
        <v>#REF!</v>
      </c>
      <c r="BS288" s="199" t="e">
        <f>FMS_Ranking4[[#This Row],[Log Score Based on Normalized Reported Factors]]+FMS_Ranking4[[#This Row],[% NBS Score (Normalized)]]+(FMS_Ranking4[[#This Row],[Water Supply Score (Normalized)]]*10*$BB$5)+(FMS_Ranking4[[#This Row],[FMS_Type Score Weighted]])</f>
        <v>#REF!</v>
      </c>
      <c r="BT288" s="200" t="e">
        <f>_xlfn.RANK.EQ(FMS_Ranking4[[#This Row],[Log Total Score]],FMS_Ranking4[Log Total Score],0)</f>
        <v>#REF!</v>
      </c>
      <c r="BU288" s="200" t="e">
        <f>_xlfn.XLOOKUP(FMS_Ranking4[[#This Row],[FMS ID]],#REF!,#REF!)</f>
        <v>#REF!</v>
      </c>
      <c r="BV288" s="200">
        <f>FMS_Ranking4[[#This Row],[Region Number]]</f>
        <v>15</v>
      </c>
      <c r="BW288" s="200">
        <f>FMS_Ranking4[[#This Row],[Rank (with ArcSinh normalization of select criteria)]]-FMS_Ranking4[[#This Row],[Rank
(with linear
normalization)]]</f>
        <v>126</v>
      </c>
      <c r="BX288" s="200" t="e">
        <f>FMS_Ranking4[[#This Row],[Log Rank]]-FMS_Ranking4[[#This Row],[Rank
(with linear
normalization)]]</f>
        <v>#REF!</v>
      </c>
      <c r="BY288" s="200">
        <f>IF(FMS_Ranking4[[#This Row],[FMS Type]]="Flood Measurement and Warning",FMS_Ranking4[[#This Row],[Rank (with ArcSinh normalization of select criteria)]],"")</f>
        <v>281</v>
      </c>
      <c r="BZ288" s="200" t="str">
        <f>IF(FMS_Ranking4[[#This Row],[FMS Type]]="Regulatory and Guidance",FMS_Ranking4[[#This Row],[Rank (with ArcSinh normalization of select criteria)]],"")</f>
        <v/>
      </c>
      <c r="CA288" s="200" t="str">
        <f>IF(FMS_Ranking4[[#This Row],[FMS Type]]="Education and Outreach",FMS_Ranking4[[#This Row],[Rank (with ArcSinh normalization of select criteria)]],"")</f>
        <v/>
      </c>
      <c r="CB288" s="200" t="str">
        <f>IF(FMS_Ranking4[[#This Row],[FMS Type]]="Property Acquisition and Structural Elevation",FMS_Ranking4[[#This Row],[Rank (with ArcSinh normalization of select criteria)]],"")</f>
        <v/>
      </c>
      <c r="CC288" s="200" t="str">
        <f>IF(FMS_Ranking4[[#This Row],[FMS Type]]="Infrastructure Projects",FMS_Ranking4[[#This Row],[Rank (with ArcSinh normalization of select criteria)]],"")</f>
        <v/>
      </c>
      <c r="CD288" s="200" t="str">
        <f>IF(FMS_Ranking4[[#This Row],[FMS Type]]="Other",FMS_Ranking4[[#This Row],[Rank (with ArcSinh normalization of select criteria)]],"")</f>
        <v/>
      </c>
      <c r="CE288" s="201"/>
      <c r="CF288" s="206"/>
      <c r="CG288" s="206"/>
      <c r="CH288" s="206"/>
      <c r="CI288" s="206"/>
      <c r="CJ288" s="206"/>
      <c r="CK288" s="206"/>
      <c r="CL288" s="206"/>
      <c r="CM288" s="206"/>
      <c r="CN288" s="206"/>
      <c r="CO288" s="206"/>
      <c r="CP288" s="206"/>
      <c r="CQ288" s="206"/>
      <c r="CR288" s="206"/>
    </row>
    <row r="289" spans="2:96" ht="45" x14ac:dyDescent="0.25">
      <c r="B289" s="341" t="s">
        <v>993</v>
      </c>
      <c r="C289" s="246">
        <f>_xlfn.XLOOKUP(FMS_Ranking4[[#This Row],[FMS ID]],FMS_Input[FMS_ID],FMS_Input[RFPG_NUM])</f>
        <v>9</v>
      </c>
      <c r="D289" s="309" t="str">
        <f>_xlfn.XLOOKUP(FMS_Ranking4[[#This Row],[FMS ID]],FMS_Input[FMS_ID],FMS_Input[FMS_NAME])</f>
        <v>Taylor County Gauge/Flood Barrier Program</v>
      </c>
      <c r="E289" s="308" t="str">
        <f>_xlfn.XLOOKUP(FMS_Ranking4[[#This Row],[FMS ID]],FMS_Input[FMS_ID],FMS_Input[SPONSOR])</f>
        <v>00000168</v>
      </c>
      <c r="F289" s="309" t="str">
        <f>_xlfn.XLOOKUP(FMS_Ranking4[[#This Row],[FMS ID]],Sponsor[FMS_ID],Sponsor[SPONSOR NAME])</f>
        <v>Taylor</v>
      </c>
      <c r="G289" s="309" t="str">
        <f>_xlfn.XLOOKUP(FMS_Ranking4[[#This Row],[FMS ID]],FMS_Input[FMS_ID],FMS_Input[FMS_DESCR])</f>
        <v xml:space="preserve">Install automated creek rain gauges and automated barriers for flooded roadways. </v>
      </c>
      <c r="H289" s="248" t="str">
        <f>_xlfn.XLOOKUP(FMS_Ranking4[[#This Row],[FMS ID]],FMS_Input[FMS_ID],FMS_Input[FMS_TYPE])</f>
        <v>Other</v>
      </c>
      <c r="I289" s="249">
        <f>_xlfn.XLOOKUP(FMS_Ranking4[[#This Row],[FMS ID]],FMS_Input[FMS_ID],FMS_Input[NRNC_COST])</f>
        <v>126200</v>
      </c>
      <c r="J289" s="250">
        <f>_xlfn.XLOOKUP(FMS_Ranking4[[#This Row],[FMS ID]],FMS_Input[FMS_ID],FMS_Input[FMS_COST])</f>
        <v>151200</v>
      </c>
      <c r="K289" s="251" t="str">
        <f>_xlfn.XLOOKUP(FMS_Ranking4[[#This Row],[FMS ID]],FMS_Input[FMS_ID],FMS_Input[EMER_NEED])</f>
        <v>No</v>
      </c>
      <c r="L289" s="252">
        <f t="shared" si="4"/>
        <v>0</v>
      </c>
      <c r="M289" s="253">
        <f>_xlfn.XLOOKUP(FMS_Ranking4[[#This Row],[FMS ID]],FMS_Input[FMS_ID],FMS_Input[STRUCT_100])</f>
        <v>70</v>
      </c>
      <c r="N289" s="255">
        <f>(ASINH(FMS_Ranking4[[#This Row],[Structure at Risk Raw]]))*(10)/(ASINH(M$4))</f>
        <v>3.884906829427599</v>
      </c>
      <c r="O289" s="256">
        <f>FMS_Ranking4[[#This Row],[Structures at risk, ArcSinh (0-10)]]*M$5*10</f>
        <v>3.884906829427599</v>
      </c>
      <c r="P289" s="253">
        <f>_xlfn.XLOOKUP(FMS_Ranking4[[#This Row],[FMS ID]],FMS_Input[FMS_ID],FMS_Input[RES_STRUCT100])</f>
        <v>51</v>
      </c>
      <c r="Q289" s="257">
        <f>ASINH(FMS_Ranking4[[#This Row],[Res Structure Raw]])/Q$4*P$5*100</f>
        <v>0</v>
      </c>
      <c r="R289" s="253">
        <f>_xlfn.XLOOKUP(FMS_Ranking4[[#This Row],[FMS ID]],FMS_Input[FMS_ID],FMS_Input[POP100])</f>
        <v>46</v>
      </c>
      <c r="S289" s="259">
        <f>(ASINH(FMS_Ranking4[[#This Row],[Pop at Risk Raw]]))*(10)/(ASINH(R$4))</f>
        <v>3.1217354535239523</v>
      </c>
      <c r="T289" s="256">
        <f>FMS_Ranking4[[#This Row],[Population at risk, ArcSinh (0-10)]]*R$5*10</f>
        <v>3.1217354535239528</v>
      </c>
      <c r="U289" s="253">
        <f>_xlfn.XLOOKUP(FMS_Ranking4[[#This Row],[FMS ID]],FMS_Input[FMS_ID],FMS_Input[CRITFAC100])</f>
        <v>0</v>
      </c>
      <c r="V289" s="259">
        <f>(ASINH(FMS_Ranking4[[#This Row],[Critical Facilities Raw]]))*(10)/(ASINH(U$4))</f>
        <v>0</v>
      </c>
      <c r="W289" s="256">
        <f>FMS_Ranking4[[#This Row],[Critical facilities at risk, ArcSinh (0-10)]]*U$5*10</f>
        <v>0</v>
      </c>
      <c r="X289" s="253">
        <f>_xlfn.XLOOKUP(FMS_Ranking4[[#This Row],[FMS ID]],FMS_Input[FMS_ID],FMS_Input[LWC])</f>
        <v>10</v>
      </c>
      <c r="Y289" s="259">
        <f>(ASINH(FMS_Ranking4[[#This Row],[LWC Raw]]))*(10)/(ASINH(X$4))</f>
        <v>4.06180589758889</v>
      </c>
      <c r="Z289" s="256">
        <f>FMS_Ranking4[[#This Row],[LWC, ArcSInh (0-10)]]*X$5*10</f>
        <v>4.06180589758889</v>
      </c>
      <c r="AA289" s="253">
        <f>_xlfn.XLOOKUP(FMS_Ranking4[[#This Row],[FMS ID]],FMS_Input[FMS_ID],FMS_Input[ROADCLS])</f>
        <v>0</v>
      </c>
      <c r="AB289" s="255">
        <f>(ASINH(FMS_Ranking4[[#This Row],[Road Closures Raw]]))*(10)/(ASINH(AA$4))</f>
        <v>0</v>
      </c>
      <c r="AC289" s="256">
        <f>FMS_Ranking4[[#This Row],[Road closures, ArcSinh (0-10)]]*AA$5*10</f>
        <v>0</v>
      </c>
      <c r="AD289" s="253">
        <f>_xlfn.XLOOKUP(FMS_Ranking4[[#This Row],[FMS ID]],FMS_Input[FMS_ID],FMS_Input[ROAD_MILES100])</f>
        <v>18</v>
      </c>
      <c r="AE289" s="259">
        <f>(ASINH(FMS_Ranking4[[#This Row],[Road Miles Raw]]))*(10)/(ASINH(AD$4))</f>
        <v>3.8198666439072628</v>
      </c>
      <c r="AF289" s="256">
        <f>FMS_Ranking4[[#This Row],[Length of roads at risk, ArcSinh (0-10)]]*AD$5*10</f>
        <v>3.8198666439072633</v>
      </c>
      <c r="AG289" s="253">
        <f>_xlfn.XLOOKUP(FMS_Ranking4[[#This Row],[FMS ID]],FMS_Input[FMS_ID],FMS_Input[FARMACRE100])</f>
        <v>3492.507568359375</v>
      </c>
      <c r="AH289" s="255">
        <f>(ASINH(FMS_Ranking4[[#This Row],[Ag Land Raw]]))*(10)/(ASINH(AG$4))</f>
        <v>5.7497849647365538</v>
      </c>
      <c r="AI289" s="260">
        <f>FMS_Ranking4[[#This Row],[Farm &amp; ranch land, ArcSinh (0-10)]]*AG$5*10</f>
        <v>2.8748924823682769</v>
      </c>
      <c r="AJ289" s="258">
        <f>_xlfn.XLOOKUP(FMS_Ranking4[[#This Row],[FMS ID]],FMS_Input[FMS_ID],FMS_Input[REDSTRUCT100])</f>
        <v>18</v>
      </c>
      <c r="AK289" s="253">
        <f>_xlfn.XLOOKUP(FMS_Ranking4[[#This Row],[FMS ID]],FMS_Input[FMS_ID],FMS_Input[REMSTRC100])</f>
        <v>18</v>
      </c>
      <c r="AL289" s="259">
        <f>(ASINH(FMS_Ranking4[[#This Row],[Structures Removed Raw]]))*(10)/(ASINH(AK$4))</f>
        <v>4.0809696174971908</v>
      </c>
      <c r="AM289" s="262">
        <f>FMS_Ranking4[[#This Row],[Structures removed, ArcSinh (0-10)]]*AK$5*10</f>
        <v>4.0809696174971908</v>
      </c>
      <c r="AN289" s="253">
        <f>_xlfn.XLOOKUP(FMS_Ranking4[[#This Row],[FMS ID]],FMS_Input[FMS_ID],FMS_Input[REMRESSTRC100])</f>
        <v>12</v>
      </c>
      <c r="AO289" s="261">
        <f>FMS_Ranking4[[#This Row],[ArcSinh Res struct removed 0-10]]*AN$5*10</f>
        <v>1.8650283178354909</v>
      </c>
      <c r="AP289" s="260">
        <f>ASINH(FMS_Ranking4[[#This Row],[Residential Structures Removed Raw]])/AP$4*AN$5*100</f>
        <v>1.8650283178354912</v>
      </c>
      <c r="AQ289" s="254">
        <f>(ASINH(FMS_Ranking4[[#This Row],[Residential Structures Removed Raw]]))*(10)/(ASINH(AN$4))</f>
        <v>3.7300566356709819</v>
      </c>
      <c r="AR289" s="253">
        <f>_xlfn.XLOOKUP(FMS_Ranking4[[#This Row],[FMS ID]],FMS_Input[FMS_ID],FMS_Input[REMPOP100])</f>
        <v>11</v>
      </c>
      <c r="AS289" s="259">
        <f>(ASINH(FMS_Ranking4[[#This Row],[Removed Pop Raw]]))*(10)/(ASINH(AR$4))</f>
        <v>3.036252346330846</v>
      </c>
      <c r="AT289" s="262">
        <f>FMS_Ranking4[[#This Row],[Removed population, ArcSinh (0-10)]]*AR$5*10</f>
        <v>3.036252346330846</v>
      </c>
      <c r="AU289" s="264">
        <f>_xlfn.XLOOKUP(FMS_Ranking4[[#This Row],[FMS ID]],FMS_Input[FMS_ID],FMS_Input[REMCRITFAC100])</f>
        <v>0</v>
      </c>
      <c r="AV289" s="264">
        <f>_xlfn.XLOOKUP(FMS_Ranking4[[#This Row],[FMS ID]],FMS_Input[FMS_ID],FMS_Input[REMLWC100])</f>
        <v>2</v>
      </c>
      <c r="AW289" s="264">
        <f>_xlfn.XLOOKUP(FMS_Ranking4[[#This Row],[FMS ID]],FMS_Input[FMS_ID],FMS_Input[REMROADCLS])</f>
        <v>0</v>
      </c>
      <c r="AX289" s="264">
        <f>_xlfn.XLOOKUP(FMS_Ranking4[[#This Row],[FMS ID]],FMS_Input[FMS_ID],FMS_Input[REMFRMACRE100])</f>
        <v>873.12689208984375</v>
      </c>
      <c r="AY289" s="258">
        <f>_xlfn.XLOOKUP(FMS_Ranking4[[#This Row],[FMS ID]],FMS_Input[FMS_ID],FMS_Input[COSTSTRUCT])</f>
        <v>25000</v>
      </c>
      <c r="AZ289" s="253">
        <f>_xlfn.XLOOKUP(FMS_Ranking4[[#This Row],[FMS ID]],FMS_Input[FMS_ID],FMS_Input[NATURE])</f>
        <v>0</v>
      </c>
      <c r="BA289" s="262">
        <f>(((FMS_Ranking4[[#This Row],[% NBS Raw]]/AZ$4)*100)*AZ$5)</f>
        <v>0</v>
      </c>
      <c r="BB289" s="251" t="str">
        <f>_xlfn.XLOOKUP(FMS_Ranking4[[#This Row],[FMS ID]],FMS_Input[FMS_ID],FMS_Input[WATER_SUP])</f>
        <v>No</v>
      </c>
      <c r="BC289" s="265">
        <f>IF(FMS_Ranking4[[#This Row],[Water Supply Raw]]="Yes",10,0)</f>
        <v>0</v>
      </c>
      <c r="BD289" s="266">
        <f>_xlfn.XLOOKUP(FMS_Ranking4[[#This Row],[FMS Type]],FMS_TYPE[FMS_Type],FMS_TYPE[Score])</f>
        <v>2</v>
      </c>
      <c r="BE289" s="267">
        <f>FMS_Ranking4[[#This Row],[FMS_Type Score]]*$BD$5*10</f>
        <v>0.5</v>
      </c>
      <c r="BF28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0.16667331243441863</v>
      </c>
      <c r="BG289" s="271">
        <f>_xlfn.RANK.EQ(BF289,$BF$8:$BF$870,0)+COUNTIF($BF$8:BF289,BF289)-1</f>
        <v>382</v>
      </c>
      <c r="BH289" s="268">
        <f>(((FMS_Ranking4[[#This Row],[Structures Removed Raw]]/AK$4)*100)*AK$5)+(((FMS_Ranking4[[#This Row],[Removed Pop Raw]]/AR$4)*100)*AR$5)</f>
        <v>6.3480300935541828E-2</v>
      </c>
      <c r="BI28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0.73015361336996043</v>
      </c>
      <c r="BJ289" s="205">
        <f>_xlfn.RANK.EQ(FMS_Ranking4[[#This Row],[Total Score 
(with linear
normalization)]],FMS_Ranking4[Total Score 
(with linear
normalization)],0)</f>
        <v>791</v>
      </c>
      <c r="BK289" s="205" t="e">
        <f>_xlfn.XLOOKUP(FMS_Ranking4[[#This Row],[FMS ID]],#REF!,#REF!)</f>
        <v>#REF!</v>
      </c>
      <c r="BL28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26.74545758847951</v>
      </c>
      <c r="BM289" s="272">
        <f>FMS_Ranking4[[#This Row],[ArcSinh Score Based on Normalized Reported Factors]]+FMS_Ranking4[[#This Row],[% NBS Score (Normalized)]]+(FMS_Ranking4[[#This Row],[Water Supply Score (Normalized)]]*10*$BB$5)+FMS_Ranking4[[#This Row],[FMS_Type Score Weighted]]</f>
        <v>27.24545758847951</v>
      </c>
      <c r="BN289" s="205">
        <f>_xlfn.RANK.EQ(FMS_Ranking4[[#This Row],[Total Score (with ArcSinh normalization of select criteria)]],FMS_Ranking4[Total Score (with ArcSinh normalization of select criteria)],0)</f>
        <v>282</v>
      </c>
      <c r="BO289" s="270" t="str">
        <f>_xlfn.XLOOKUP(FMS_Ranking4[[#This Row],[FMS ID]],FMS_Input[FMS_ID],FMS_Input[FMS_RANK_YEAR])</f>
        <v>2023 Amended Plan</v>
      </c>
      <c r="BP289" s="204">
        <f>_xlfn.XLOOKUP(FMS_Ranking4[[#This Row],[FMS ID]],Prev_Rank[FMS ID],Prev_Rank[Prev Rank])</f>
        <v>275</v>
      </c>
      <c r="BQ289" s="205" t="e">
        <f>_xlfn.XLOOKUP(FMS_Ranking4[[#This Row],[FMS ID]],#REF!,#REF!)</f>
        <v>#REF!</v>
      </c>
      <c r="BR289" s="199" t="e">
        <f>SUM(#REF!,#REF!,#REF!,#REF!,#REF!,#REF!,#REF!,#REF!,#REF!,FMS_Ranking4[[#This Row],[ArcSinh Res struct removed 0-10]],#REF!)</f>
        <v>#REF!</v>
      </c>
      <c r="BS289" s="199" t="e">
        <f>FMS_Ranking4[[#This Row],[Log Score Based on Normalized Reported Factors]]+FMS_Ranking4[[#This Row],[% NBS Score (Normalized)]]+(FMS_Ranking4[[#This Row],[Water Supply Score (Normalized)]]*10*$BB$5)+(FMS_Ranking4[[#This Row],[FMS_Type Score Weighted]])</f>
        <v>#REF!</v>
      </c>
      <c r="BT289" s="200" t="e">
        <f>_xlfn.RANK.EQ(FMS_Ranking4[[#This Row],[Log Total Score]],FMS_Ranking4[Log Total Score],0)</f>
        <v>#REF!</v>
      </c>
      <c r="BU289" s="200" t="e">
        <f>_xlfn.XLOOKUP(FMS_Ranking4[[#This Row],[FMS ID]],#REF!,#REF!)</f>
        <v>#REF!</v>
      </c>
      <c r="BV289" s="200">
        <f>FMS_Ranking4[[#This Row],[Region Number]]</f>
        <v>9</v>
      </c>
      <c r="BW289" s="200">
        <f>FMS_Ranking4[[#This Row],[Rank (with ArcSinh normalization of select criteria)]]-FMS_Ranking4[[#This Row],[Rank
(with linear
normalization)]]</f>
        <v>-509</v>
      </c>
      <c r="BX289" s="200" t="e">
        <f>FMS_Ranking4[[#This Row],[Log Rank]]-FMS_Ranking4[[#This Row],[Rank
(with linear
normalization)]]</f>
        <v>#REF!</v>
      </c>
      <c r="BY289" s="200" t="str">
        <f>IF(FMS_Ranking4[[#This Row],[FMS Type]]="Flood Measurement and Warning",FMS_Ranking4[[#This Row],[Rank (with ArcSinh normalization of select criteria)]],"")</f>
        <v/>
      </c>
      <c r="BZ289" s="200" t="str">
        <f>IF(FMS_Ranking4[[#This Row],[FMS Type]]="Regulatory and Guidance",FMS_Ranking4[[#This Row],[Rank (with ArcSinh normalization of select criteria)]],"")</f>
        <v/>
      </c>
      <c r="CA289" s="200" t="str">
        <f>IF(FMS_Ranking4[[#This Row],[FMS Type]]="Education and Outreach",FMS_Ranking4[[#This Row],[Rank (with ArcSinh normalization of select criteria)]],"")</f>
        <v/>
      </c>
      <c r="CB289" s="200" t="str">
        <f>IF(FMS_Ranking4[[#This Row],[FMS Type]]="Property Acquisition and Structural Elevation",FMS_Ranking4[[#This Row],[Rank (with ArcSinh normalization of select criteria)]],"")</f>
        <v/>
      </c>
      <c r="CC289" s="200" t="str">
        <f>IF(FMS_Ranking4[[#This Row],[FMS Type]]="Infrastructure Projects",FMS_Ranking4[[#This Row],[Rank (with ArcSinh normalization of select criteria)]],"")</f>
        <v/>
      </c>
      <c r="CD289" s="200">
        <f>IF(FMS_Ranking4[[#This Row],[FMS Type]]="Other",FMS_Ranking4[[#This Row],[Rank (with ArcSinh normalization of select criteria)]],"")</f>
        <v>282</v>
      </c>
      <c r="CE289" s="201"/>
      <c r="CF289" s="206"/>
      <c r="CG289" s="206"/>
      <c r="CH289" s="206"/>
      <c r="CI289" s="206"/>
      <c r="CJ289" s="206"/>
      <c r="CK289" s="206"/>
      <c r="CL289" s="206"/>
      <c r="CM289" s="206"/>
      <c r="CN289" s="206"/>
      <c r="CO289" s="206"/>
      <c r="CP289" s="206"/>
      <c r="CQ289" s="206"/>
      <c r="CR289" s="206"/>
    </row>
    <row r="290" spans="2:96" ht="90" x14ac:dyDescent="0.25">
      <c r="B290" s="341" t="s">
        <v>634</v>
      </c>
      <c r="C290" s="246">
        <f>_xlfn.XLOOKUP(FMS_Ranking4[[#This Row],[FMS ID]],FMS_Input[FMS_ID],FMS_Input[RFPG_NUM])</f>
        <v>9</v>
      </c>
      <c r="D290" s="309" t="str">
        <f>_xlfn.XLOOKUP(FMS_Ranking4[[#This Row],[FMS ID]],FMS_Input[FMS_ID],FMS_Input[FMS_NAME])</f>
        <v>Taylor County New Ordinance - Wetlands and Watershed Ordinance</v>
      </c>
      <c r="E290" s="308" t="str">
        <f>_xlfn.XLOOKUP(FMS_Ranking4[[#This Row],[FMS ID]],FMS_Input[FMS_ID],FMS_Input[SPONSOR])</f>
        <v>00000144</v>
      </c>
      <c r="F290" s="309" t="str">
        <f>_xlfn.XLOOKUP(FMS_Ranking4[[#This Row],[FMS ID]],Sponsor[FMS_ID],Sponsor[SPONSOR NAME])</f>
        <v>Coleman</v>
      </c>
      <c r="G290" s="309" t="str">
        <f>_xlfn.XLOOKUP(FMS_Ranking4[[#This Row],[FMS ID]],FMS_Input[FMS_ID],FMS_Input[FMS_DESCR])</f>
        <v xml:space="preserve">Adopt wetlands development regulations; Implement a Comprehensive Watershed Ordinance for new development. 
</v>
      </c>
      <c r="H290" s="248" t="str">
        <f>_xlfn.XLOOKUP(FMS_Ranking4[[#This Row],[FMS ID]],FMS_Input[FMS_ID],FMS_Input[FMS_TYPE])</f>
        <v>Other</v>
      </c>
      <c r="I290" s="249">
        <f>_xlfn.XLOOKUP(FMS_Ranking4[[#This Row],[FMS ID]],FMS_Input[FMS_ID],FMS_Input[NRNC_COST])</f>
        <v>5000</v>
      </c>
      <c r="J290" s="250">
        <f>_xlfn.XLOOKUP(FMS_Ranking4[[#This Row],[FMS ID]],FMS_Input[FMS_ID],FMS_Input[FMS_COST])</f>
        <v>30000</v>
      </c>
      <c r="K290" s="251" t="str">
        <f>_xlfn.XLOOKUP(FMS_Ranking4[[#This Row],[FMS ID]],FMS_Input[FMS_ID],FMS_Input[EMER_NEED])</f>
        <v>No</v>
      </c>
      <c r="L290" s="252">
        <f t="shared" si="4"/>
        <v>0</v>
      </c>
      <c r="M290" s="253">
        <f>_xlfn.XLOOKUP(FMS_Ranking4[[#This Row],[FMS ID]],FMS_Input[FMS_ID],FMS_Input[STRUCT_100])</f>
        <v>70</v>
      </c>
      <c r="N290" s="255">
        <f>(ASINH(FMS_Ranking4[[#This Row],[Structure at Risk Raw]]))*(10)/(ASINH(M$4))</f>
        <v>3.884906829427599</v>
      </c>
      <c r="O290" s="256">
        <f>FMS_Ranking4[[#This Row],[Structures at risk, ArcSinh (0-10)]]*M$5*10</f>
        <v>3.884906829427599</v>
      </c>
      <c r="P290" s="253">
        <f>_xlfn.XLOOKUP(FMS_Ranking4[[#This Row],[FMS ID]],FMS_Input[FMS_ID],FMS_Input[RES_STRUCT100])</f>
        <v>51</v>
      </c>
      <c r="Q290" s="257">
        <f>ASINH(FMS_Ranking4[[#This Row],[Res Structure Raw]])/Q$4*P$5*100</f>
        <v>0</v>
      </c>
      <c r="R290" s="253">
        <f>_xlfn.XLOOKUP(FMS_Ranking4[[#This Row],[FMS ID]],FMS_Input[FMS_ID],FMS_Input[POP100])</f>
        <v>46</v>
      </c>
      <c r="S290" s="259">
        <f>(ASINH(FMS_Ranking4[[#This Row],[Pop at Risk Raw]]))*(10)/(ASINH(R$4))</f>
        <v>3.1217354535239523</v>
      </c>
      <c r="T290" s="256">
        <f>FMS_Ranking4[[#This Row],[Population at risk, ArcSinh (0-10)]]*R$5*10</f>
        <v>3.1217354535239528</v>
      </c>
      <c r="U290" s="253">
        <f>_xlfn.XLOOKUP(FMS_Ranking4[[#This Row],[FMS ID]],FMS_Input[FMS_ID],FMS_Input[CRITFAC100])</f>
        <v>0</v>
      </c>
      <c r="V290" s="259">
        <f>(ASINH(FMS_Ranking4[[#This Row],[Critical Facilities Raw]]))*(10)/(ASINH(U$4))</f>
        <v>0</v>
      </c>
      <c r="W290" s="256">
        <f>FMS_Ranking4[[#This Row],[Critical facilities at risk, ArcSinh (0-10)]]*U$5*10</f>
        <v>0</v>
      </c>
      <c r="X290" s="253">
        <f>_xlfn.XLOOKUP(FMS_Ranking4[[#This Row],[FMS ID]],FMS_Input[FMS_ID],FMS_Input[LWC])</f>
        <v>10</v>
      </c>
      <c r="Y290" s="259">
        <f>(ASINH(FMS_Ranking4[[#This Row],[LWC Raw]]))*(10)/(ASINH(X$4))</f>
        <v>4.06180589758889</v>
      </c>
      <c r="Z290" s="256">
        <f>FMS_Ranking4[[#This Row],[LWC, ArcSInh (0-10)]]*X$5*10</f>
        <v>4.06180589758889</v>
      </c>
      <c r="AA290" s="253">
        <f>_xlfn.XLOOKUP(FMS_Ranking4[[#This Row],[FMS ID]],FMS_Input[FMS_ID],FMS_Input[ROADCLS])</f>
        <v>0</v>
      </c>
      <c r="AB290" s="255">
        <f>(ASINH(FMS_Ranking4[[#This Row],[Road Closures Raw]]))*(10)/(ASINH(AA$4))</f>
        <v>0</v>
      </c>
      <c r="AC290" s="256">
        <f>FMS_Ranking4[[#This Row],[Road closures, ArcSinh (0-10)]]*AA$5*10</f>
        <v>0</v>
      </c>
      <c r="AD290" s="253">
        <f>_xlfn.XLOOKUP(FMS_Ranking4[[#This Row],[FMS ID]],FMS_Input[FMS_ID],FMS_Input[ROAD_MILES100])</f>
        <v>18</v>
      </c>
      <c r="AE290" s="259">
        <f>(ASINH(FMS_Ranking4[[#This Row],[Road Miles Raw]]))*(10)/(ASINH(AD$4))</f>
        <v>3.8198666439072628</v>
      </c>
      <c r="AF290" s="256">
        <f>FMS_Ranking4[[#This Row],[Length of roads at risk, ArcSinh (0-10)]]*AD$5*10</f>
        <v>3.8198666439072633</v>
      </c>
      <c r="AG290" s="253">
        <f>_xlfn.XLOOKUP(FMS_Ranking4[[#This Row],[FMS ID]],FMS_Input[FMS_ID],FMS_Input[FARMACRE100])</f>
        <v>3492.507568359375</v>
      </c>
      <c r="AH290" s="255">
        <f>(ASINH(FMS_Ranking4[[#This Row],[Ag Land Raw]]))*(10)/(ASINH(AG$4))</f>
        <v>5.7497849647365538</v>
      </c>
      <c r="AI290" s="260">
        <f>FMS_Ranking4[[#This Row],[Farm &amp; ranch land, ArcSinh (0-10)]]*AG$5*10</f>
        <v>2.8748924823682769</v>
      </c>
      <c r="AJ290" s="258">
        <f>_xlfn.XLOOKUP(FMS_Ranking4[[#This Row],[FMS ID]],FMS_Input[FMS_ID],FMS_Input[REDSTRUCT100])</f>
        <v>18</v>
      </c>
      <c r="AK290" s="253">
        <f>_xlfn.XLOOKUP(FMS_Ranking4[[#This Row],[FMS ID]],FMS_Input[FMS_ID],FMS_Input[REMSTRC100])</f>
        <v>18</v>
      </c>
      <c r="AL290" s="259">
        <f>(ASINH(FMS_Ranking4[[#This Row],[Structures Removed Raw]]))*(10)/(ASINH(AK$4))</f>
        <v>4.0809696174971908</v>
      </c>
      <c r="AM290" s="262">
        <f>FMS_Ranking4[[#This Row],[Structures removed, ArcSinh (0-10)]]*AK$5*10</f>
        <v>4.0809696174971908</v>
      </c>
      <c r="AN290" s="253">
        <f>_xlfn.XLOOKUP(FMS_Ranking4[[#This Row],[FMS ID]],FMS_Input[FMS_ID],FMS_Input[REMRESSTRC100])</f>
        <v>12</v>
      </c>
      <c r="AO290" s="261">
        <f>FMS_Ranking4[[#This Row],[ArcSinh Res struct removed 0-10]]*AN$5*10</f>
        <v>1.8650283178354909</v>
      </c>
      <c r="AP290" s="260">
        <f>ASINH(FMS_Ranking4[[#This Row],[Residential Structures Removed Raw]])/AP$4*AN$5*100</f>
        <v>1.8650283178354912</v>
      </c>
      <c r="AQ290" s="254">
        <f>(ASINH(FMS_Ranking4[[#This Row],[Residential Structures Removed Raw]]))*(10)/(ASINH(AN$4))</f>
        <v>3.7300566356709819</v>
      </c>
      <c r="AR290" s="253">
        <f>_xlfn.XLOOKUP(FMS_Ranking4[[#This Row],[FMS ID]],FMS_Input[FMS_ID],FMS_Input[REMPOP100])</f>
        <v>11</v>
      </c>
      <c r="AS290" s="259">
        <f>(ASINH(FMS_Ranking4[[#This Row],[Removed Pop Raw]]))*(10)/(ASINH(AR$4))</f>
        <v>3.036252346330846</v>
      </c>
      <c r="AT290" s="262">
        <f>FMS_Ranking4[[#This Row],[Removed population, ArcSinh (0-10)]]*AR$5*10</f>
        <v>3.036252346330846</v>
      </c>
      <c r="AU290" s="264">
        <f>_xlfn.XLOOKUP(FMS_Ranking4[[#This Row],[FMS ID]],FMS_Input[FMS_ID],FMS_Input[REMCRITFAC100])</f>
        <v>0</v>
      </c>
      <c r="AV290" s="264">
        <f>_xlfn.XLOOKUP(FMS_Ranking4[[#This Row],[FMS ID]],FMS_Input[FMS_ID],FMS_Input[REMLWC100])</f>
        <v>2</v>
      </c>
      <c r="AW290" s="264">
        <f>_xlfn.XLOOKUP(FMS_Ranking4[[#This Row],[FMS ID]],FMS_Input[FMS_ID],FMS_Input[REMROADCLS])</f>
        <v>0</v>
      </c>
      <c r="AX290" s="264">
        <f>_xlfn.XLOOKUP(FMS_Ranking4[[#This Row],[FMS ID]],FMS_Input[FMS_ID],FMS_Input[REMFRMACRE100])</f>
        <v>873.12689208984375</v>
      </c>
      <c r="AY290" s="258">
        <f>_xlfn.XLOOKUP(FMS_Ranking4[[#This Row],[FMS ID]],FMS_Input[FMS_ID],FMS_Input[COSTSTRUCT])</f>
        <v>25000</v>
      </c>
      <c r="AZ290" s="253">
        <f>_xlfn.XLOOKUP(FMS_Ranking4[[#This Row],[FMS ID]],FMS_Input[FMS_ID],FMS_Input[NATURE])</f>
        <v>0</v>
      </c>
      <c r="BA290" s="262">
        <f>(((FMS_Ranking4[[#This Row],[% NBS Raw]]/AZ$4)*100)*AZ$5)</f>
        <v>0</v>
      </c>
      <c r="BB290" s="251" t="str">
        <f>_xlfn.XLOOKUP(FMS_Ranking4[[#This Row],[FMS ID]],FMS_Input[FMS_ID],FMS_Input[WATER_SUP])</f>
        <v>No</v>
      </c>
      <c r="BC290" s="265">
        <f>IF(FMS_Ranking4[[#This Row],[Water Supply Raw]]="Yes",10,0)</f>
        <v>0</v>
      </c>
      <c r="BD290" s="266">
        <f>_xlfn.XLOOKUP(FMS_Ranking4[[#This Row],[FMS Type]],FMS_TYPE[FMS_Type],FMS_TYPE[Score])</f>
        <v>2</v>
      </c>
      <c r="BE290" s="267">
        <f>FMS_Ranking4[[#This Row],[FMS_Type Score]]*$BD$5*10</f>
        <v>0.5</v>
      </c>
      <c r="BF29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0.16667331243441863</v>
      </c>
      <c r="BG290" s="271">
        <f>_xlfn.RANK.EQ(BF290,$BF$8:$BF$870,0)+COUNTIF($BF$8:BF290,BF290)-1</f>
        <v>383</v>
      </c>
      <c r="BH290" s="268">
        <f>(((FMS_Ranking4[[#This Row],[Structures Removed Raw]]/AK$4)*100)*AK$5)+(((FMS_Ranking4[[#This Row],[Removed Pop Raw]]/AR$4)*100)*AR$5)</f>
        <v>6.3480300935541828E-2</v>
      </c>
      <c r="BI29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0.73015361336996043</v>
      </c>
      <c r="BJ290" s="205">
        <f>_xlfn.RANK.EQ(FMS_Ranking4[[#This Row],[Total Score 
(with linear
normalization)]],FMS_Ranking4[Total Score 
(with linear
normalization)],0)</f>
        <v>791</v>
      </c>
      <c r="BK290" s="205" t="e">
        <f>_xlfn.XLOOKUP(FMS_Ranking4[[#This Row],[FMS ID]],#REF!,#REF!)</f>
        <v>#REF!</v>
      </c>
      <c r="BL29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26.74545758847951</v>
      </c>
      <c r="BM290" s="272">
        <f>FMS_Ranking4[[#This Row],[ArcSinh Score Based on Normalized Reported Factors]]+FMS_Ranking4[[#This Row],[% NBS Score (Normalized)]]+(FMS_Ranking4[[#This Row],[Water Supply Score (Normalized)]]*10*$BB$5)+FMS_Ranking4[[#This Row],[FMS_Type Score Weighted]]</f>
        <v>27.24545758847951</v>
      </c>
      <c r="BN290" s="205">
        <f>_xlfn.RANK.EQ(FMS_Ranking4[[#This Row],[Total Score (with ArcSinh normalization of select criteria)]],FMS_Ranking4[Total Score (with ArcSinh normalization of select criteria)],0)</f>
        <v>282</v>
      </c>
      <c r="BO290" s="270" t="str">
        <f>_xlfn.XLOOKUP(FMS_Ranking4[[#This Row],[FMS ID]],FMS_Input[FMS_ID],FMS_Input[FMS_RANK_YEAR])</f>
        <v>2023 Amended Plan</v>
      </c>
      <c r="BP290" s="204">
        <f>_xlfn.XLOOKUP(FMS_Ranking4[[#This Row],[FMS ID]],Prev_Rank[FMS ID],Prev_Rank[Prev Rank])</f>
        <v>275</v>
      </c>
      <c r="BQ290" s="205" t="e">
        <f>_xlfn.XLOOKUP(FMS_Ranking4[[#This Row],[FMS ID]],#REF!,#REF!)</f>
        <v>#REF!</v>
      </c>
      <c r="BR290" s="199" t="e">
        <f>SUM(#REF!,#REF!,#REF!,#REF!,#REF!,#REF!,#REF!,#REF!,#REF!,FMS_Ranking4[[#This Row],[ArcSinh Res struct removed 0-10]],#REF!)</f>
        <v>#REF!</v>
      </c>
      <c r="BS290" s="199" t="e">
        <f>FMS_Ranking4[[#This Row],[Log Score Based on Normalized Reported Factors]]+FMS_Ranking4[[#This Row],[% NBS Score (Normalized)]]+(FMS_Ranking4[[#This Row],[Water Supply Score (Normalized)]]*10*$BB$5)+(FMS_Ranking4[[#This Row],[FMS_Type Score Weighted]])</f>
        <v>#REF!</v>
      </c>
      <c r="BT290" s="200" t="e">
        <f>_xlfn.RANK.EQ(FMS_Ranking4[[#This Row],[Log Total Score]],FMS_Ranking4[Log Total Score],0)</f>
        <v>#REF!</v>
      </c>
      <c r="BU290" s="200" t="e">
        <f>_xlfn.XLOOKUP(FMS_Ranking4[[#This Row],[FMS ID]],#REF!,#REF!)</f>
        <v>#REF!</v>
      </c>
      <c r="BV290" s="200">
        <f>FMS_Ranking4[[#This Row],[Region Number]]</f>
        <v>9</v>
      </c>
      <c r="BW290" s="200">
        <f>FMS_Ranking4[[#This Row],[Rank (with ArcSinh normalization of select criteria)]]-FMS_Ranking4[[#This Row],[Rank
(with linear
normalization)]]</f>
        <v>-509</v>
      </c>
      <c r="BX290" s="200" t="e">
        <f>FMS_Ranking4[[#This Row],[Log Rank]]-FMS_Ranking4[[#This Row],[Rank
(with linear
normalization)]]</f>
        <v>#REF!</v>
      </c>
      <c r="BY290" s="200" t="str">
        <f>IF(FMS_Ranking4[[#This Row],[FMS Type]]="Flood Measurement and Warning",FMS_Ranking4[[#This Row],[Rank (with ArcSinh normalization of select criteria)]],"")</f>
        <v/>
      </c>
      <c r="BZ290" s="200" t="str">
        <f>IF(FMS_Ranking4[[#This Row],[FMS Type]]="Regulatory and Guidance",FMS_Ranking4[[#This Row],[Rank (with ArcSinh normalization of select criteria)]],"")</f>
        <v/>
      </c>
      <c r="CA290" s="200" t="str">
        <f>IF(FMS_Ranking4[[#This Row],[FMS Type]]="Education and Outreach",FMS_Ranking4[[#This Row],[Rank (with ArcSinh normalization of select criteria)]],"")</f>
        <v/>
      </c>
      <c r="CB290" s="200" t="str">
        <f>IF(FMS_Ranking4[[#This Row],[FMS Type]]="Property Acquisition and Structural Elevation",FMS_Ranking4[[#This Row],[Rank (with ArcSinh normalization of select criteria)]],"")</f>
        <v/>
      </c>
      <c r="CC290" s="200" t="str">
        <f>IF(FMS_Ranking4[[#This Row],[FMS Type]]="Infrastructure Projects",FMS_Ranking4[[#This Row],[Rank (with ArcSinh normalization of select criteria)]],"")</f>
        <v/>
      </c>
      <c r="CD290" s="200">
        <f>IF(FMS_Ranking4[[#This Row],[FMS Type]]="Other",FMS_Ranking4[[#This Row],[Rank (with ArcSinh normalization of select criteria)]],"")</f>
        <v>282</v>
      </c>
      <c r="CE290" s="201"/>
      <c r="CF290" s="206"/>
      <c r="CG290" s="206"/>
      <c r="CH290" s="206"/>
      <c r="CI290" s="206"/>
      <c r="CJ290" s="206"/>
      <c r="CK290" s="206"/>
      <c r="CL290" s="206"/>
      <c r="CM290" s="206"/>
      <c r="CN290" s="206"/>
      <c r="CO290" s="206"/>
      <c r="CP290" s="206"/>
      <c r="CQ290" s="206"/>
      <c r="CR290" s="206"/>
    </row>
    <row r="291" spans="2:96" ht="90" x14ac:dyDescent="0.25">
      <c r="B291" s="341" t="s">
        <v>700</v>
      </c>
      <c r="C291" s="246">
        <f>_xlfn.XLOOKUP(FMS_Ranking4[[#This Row],[FMS ID]],FMS_Input[FMS_ID],FMS_Input[RFPG_NUM])</f>
        <v>9</v>
      </c>
      <c r="D291" s="309" t="str">
        <f>_xlfn.XLOOKUP(FMS_Ranking4[[#This Row],[FMS ID]],FMS_Input[FMS_ID],FMS_Input[FMS_NAME])</f>
        <v>Taylor County</v>
      </c>
      <c r="E291" s="308" t="str">
        <f>_xlfn.XLOOKUP(FMS_Ranking4[[#This Row],[FMS ID]],FMS_Input[FMS_ID],FMS_Input[SPONSOR])</f>
        <v>00000145</v>
      </c>
      <c r="F291" s="309" t="str">
        <f>_xlfn.XLOOKUP(FMS_Ranking4[[#This Row],[FMS ID]],Sponsor[FMS_ID],Sponsor[SPONSOR NAME])</f>
        <v>Runnels</v>
      </c>
      <c r="G291" s="309" t="str">
        <f>_xlfn.XLOOKUP(FMS_Ranking4[[#This Row],[FMS ID]],FMS_Input[FMS_ID],FMS_Input[FMS_DESCR])</f>
        <v>Create and implement a flood awareness program by providing FEMA/NFIP materials to mortgage lenders, real agents and insurance agents and place in local libraries.</v>
      </c>
      <c r="H291" s="248" t="str">
        <f>_xlfn.XLOOKUP(FMS_Ranking4[[#This Row],[FMS ID]],FMS_Input[FMS_ID],FMS_Input[FMS_TYPE])</f>
        <v>Other</v>
      </c>
      <c r="I291" s="249">
        <f>_xlfn.XLOOKUP(FMS_Ranking4[[#This Row],[FMS ID]],FMS_Input[FMS_ID],FMS_Input[NRNC_COST])</f>
        <v>5000</v>
      </c>
      <c r="J291" s="250">
        <f>_xlfn.XLOOKUP(FMS_Ranking4[[#This Row],[FMS ID]],FMS_Input[FMS_ID],FMS_Input[FMS_COST])</f>
        <v>30000</v>
      </c>
      <c r="K291" s="251" t="str">
        <f>_xlfn.XLOOKUP(FMS_Ranking4[[#This Row],[FMS ID]],FMS_Input[FMS_ID],FMS_Input[EMER_NEED])</f>
        <v>No</v>
      </c>
      <c r="L291" s="252">
        <f t="shared" si="4"/>
        <v>0</v>
      </c>
      <c r="M291" s="253">
        <f>_xlfn.XLOOKUP(FMS_Ranking4[[#This Row],[FMS ID]],FMS_Input[FMS_ID],FMS_Input[STRUCT_100])</f>
        <v>70</v>
      </c>
      <c r="N291" s="255">
        <f>(ASINH(FMS_Ranking4[[#This Row],[Structure at Risk Raw]]))*(10)/(ASINH(M$4))</f>
        <v>3.884906829427599</v>
      </c>
      <c r="O291" s="256">
        <f>FMS_Ranking4[[#This Row],[Structures at risk, ArcSinh (0-10)]]*M$5*10</f>
        <v>3.884906829427599</v>
      </c>
      <c r="P291" s="253">
        <f>_xlfn.XLOOKUP(FMS_Ranking4[[#This Row],[FMS ID]],FMS_Input[FMS_ID],FMS_Input[RES_STRUCT100])</f>
        <v>51</v>
      </c>
      <c r="Q291" s="257">
        <f>ASINH(FMS_Ranking4[[#This Row],[Res Structure Raw]])/Q$4*P$5*100</f>
        <v>0</v>
      </c>
      <c r="R291" s="253">
        <f>_xlfn.XLOOKUP(FMS_Ranking4[[#This Row],[FMS ID]],FMS_Input[FMS_ID],FMS_Input[POP100])</f>
        <v>46</v>
      </c>
      <c r="S291" s="259">
        <f>(ASINH(FMS_Ranking4[[#This Row],[Pop at Risk Raw]]))*(10)/(ASINH(R$4))</f>
        <v>3.1217354535239523</v>
      </c>
      <c r="T291" s="256">
        <f>FMS_Ranking4[[#This Row],[Population at risk, ArcSinh (0-10)]]*R$5*10</f>
        <v>3.1217354535239528</v>
      </c>
      <c r="U291" s="253">
        <f>_xlfn.XLOOKUP(FMS_Ranking4[[#This Row],[FMS ID]],FMS_Input[FMS_ID],FMS_Input[CRITFAC100])</f>
        <v>0</v>
      </c>
      <c r="V291" s="259">
        <f>(ASINH(FMS_Ranking4[[#This Row],[Critical Facilities Raw]]))*(10)/(ASINH(U$4))</f>
        <v>0</v>
      </c>
      <c r="W291" s="256">
        <f>FMS_Ranking4[[#This Row],[Critical facilities at risk, ArcSinh (0-10)]]*U$5*10</f>
        <v>0</v>
      </c>
      <c r="X291" s="253">
        <f>_xlfn.XLOOKUP(FMS_Ranking4[[#This Row],[FMS ID]],FMS_Input[FMS_ID],FMS_Input[LWC])</f>
        <v>10</v>
      </c>
      <c r="Y291" s="259">
        <f>(ASINH(FMS_Ranking4[[#This Row],[LWC Raw]]))*(10)/(ASINH(X$4))</f>
        <v>4.06180589758889</v>
      </c>
      <c r="Z291" s="256">
        <f>FMS_Ranking4[[#This Row],[LWC, ArcSInh (0-10)]]*X$5*10</f>
        <v>4.06180589758889</v>
      </c>
      <c r="AA291" s="253">
        <f>_xlfn.XLOOKUP(FMS_Ranking4[[#This Row],[FMS ID]],FMS_Input[FMS_ID],FMS_Input[ROADCLS])</f>
        <v>0</v>
      </c>
      <c r="AB291" s="255">
        <f>(ASINH(FMS_Ranking4[[#This Row],[Road Closures Raw]]))*(10)/(ASINH(AA$4))</f>
        <v>0</v>
      </c>
      <c r="AC291" s="256">
        <f>FMS_Ranking4[[#This Row],[Road closures, ArcSinh (0-10)]]*AA$5*10</f>
        <v>0</v>
      </c>
      <c r="AD291" s="253">
        <f>_xlfn.XLOOKUP(FMS_Ranking4[[#This Row],[FMS ID]],FMS_Input[FMS_ID],FMS_Input[ROAD_MILES100])</f>
        <v>18</v>
      </c>
      <c r="AE291" s="259">
        <f>(ASINH(FMS_Ranking4[[#This Row],[Road Miles Raw]]))*(10)/(ASINH(AD$4))</f>
        <v>3.8198666439072628</v>
      </c>
      <c r="AF291" s="256">
        <f>FMS_Ranking4[[#This Row],[Length of roads at risk, ArcSinh (0-10)]]*AD$5*10</f>
        <v>3.8198666439072633</v>
      </c>
      <c r="AG291" s="253">
        <f>_xlfn.XLOOKUP(FMS_Ranking4[[#This Row],[FMS ID]],FMS_Input[FMS_ID],FMS_Input[FARMACRE100])</f>
        <v>3492.16162109375</v>
      </c>
      <c r="AH291" s="255">
        <f>(ASINH(FMS_Ranking4[[#This Row],[Ag Land Raw]]))*(10)/(ASINH(AG$4))</f>
        <v>5.7497206178310707</v>
      </c>
      <c r="AI291" s="260">
        <f>FMS_Ranking4[[#This Row],[Farm &amp; ranch land, ArcSinh (0-10)]]*AG$5*10</f>
        <v>2.8748603089155358</v>
      </c>
      <c r="AJ291" s="258">
        <f>_xlfn.XLOOKUP(FMS_Ranking4[[#This Row],[FMS ID]],FMS_Input[FMS_ID],FMS_Input[REDSTRUCT100])</f>
        <v>18</v>
      </c>
      <c r="AK291" s="253">
        <f>_xlfn.XLOOKUP(FMS_Ranking4[[#This Row],[FMS ID]],FMS_Input[FMS_ID],FMS_Input[REMSTRC100])</f>
        <v>18</v>
      </c>
      <c r="AL291" s="259">
        <f>(ASINH(FMS_Ranking4[[#This Row],[Structures Removed Raw]]))*(10)/(ASINH(AK$4))</f>
        <v>4.0809696174971908</v>
      </c>
      <c r="AM291" s="262">
        <f>FMS_Ranking4[[#This Row],[Structures removed, ArcSinh (0-10)]]*AK$5*10</f>
        <v>4.0809696174971908</v>
      </c>
      <c r="AN291" s="253">
        <f>_xlfn.XLOOKUP(FMS_Ranking4[[#This Row],[FMS ID]],FMS_Input[FMS_ID],FMS_Input[REMRESSTRC100])</f>
        <v>12</v>
      </c>
      <c r="AO291" s="261">
        <f>FMS_Ranking4[[#This Row],[ArcSinh Res struct removed 0-10]]*AN$5*10</f>
        <v>1.8650283178354909</v>
      </c>
      <c r="AP291" s="260">
        <f>ASINH(FMS_Ranking4[[#This Row],[Residential Structures Removed Raw]])/AP$4*AN$5*100</f>
        <v>1.8650283178354912</v>
      </c>
      <c r="AQ291" s="254">
        <f>(ASINH(FMS_Ranking4[[#This Row],[Residential Structures Removed Raw]]))*(10)/(ASINH(AN$4))</f>
        <v>3.7300566356709819</v>
      </c>
      <c r="AR291" s="253">
        <f>_xlfn.XLOOKUP(FMS_Ranking4[[#This Row],[FMS ID]],FMS_Input[FMS_ID],FMS_Input[REMPOP100])</f>
        <v>11</v>
      </c>
      <c r="AS291" s="259">
        <f>(ASINH(FMS_Ranking4[[#This Row],[Removed Pop Raw]]))*(10)/(ASINH(AR$4))</f>
        <v>3.036252346330846</v>
      </c>
      <c r="AT291" s="262">
        <f>FMS_Ranking4[[#This Row],[Removed population, ArcSinh (0-10)]]*AR$5*10</f>
        <v>3.036252346330846</v>
      </c>
      <c r="AU291" s="264">
        <f>_xlfn.XLOOKUP(FMS_Ranking4[[#This Row],[FMS ID]],FMS_Input[FMS_ID],FMS_Input[REMCRITFAC100])</f>
        <v>0</v>
      </c>
      <c r="AV291" s="264">
        <f>_xlfn.XLOOKUP(FMS_Ranking4[[#This Row],[FMS ID]],FMS_Input[FMS_ID],FMS_Input[REMLWC100])</f>
        <v>2</v>
      </c>
      <c r="AW291" s="264">
        <f>_xlfn.XLOOKUP(FMS_Ranking4[[#This Row],[FMS ID]],FMS_Input[FMS_ID],FMS_Input[REMROADCLS])</f>
        <v>0</v>
      </c>
      <c r="AX291" s="264">
        <f>_xlfn.XLOOKUP(FMS_Ranking4[[#This Row],[FMS ID]],FMS_Input[FMS_ID],FMS_Input[REMFRMACRE100])</f>
        <v>873.0404052734375</v>
      </c>
      <c r="AY291" s="258">
        <f>_xlfn.XLOOKUP(FMS_Ranking4[[#This Row],[FMS ID]],FMS_Input[FMS_ID],FMS_Input[COSTSTRUCT])</f>
        <v>25000</v>
      </c>
      <c r="AZ291" s="253">
        <f>_xlfn.XLOOKUP(FMS_Ranking4[[#This Row],[FMS ID]],FMS_Input[FMS_ID],FMS_Input[NATURE])</f>
        <v>0</v>
      </c>
      <c r="BA291" s="262">
        <f>(((FMS_Ranking4[[#This Row],[% NBS Raw]]/AZ$4)*100)*AZ$5)</f>
        <v>0</v>
      </c>
      <c r="BB291" s="251" t="str">
        <f>_xlfn.XLOOKUP(FMS_Ranking4[[#This Row],[FMS ID]],FMS_Input[FMS_ID],FMS_Input[WATER_SUP])</f>
        <v>No</v>
      </c>
      <c r="BC291" s="265">
        <f>IF(FMS_Ranking4[[#This Row],[Water Supply Raw]]="Yes",10,0)</f>
        <v>0</v>
      </c>
      <c r="BD291" s="266">
        <f>_xlfn.XLOOKUP(FMS_Ranking4[[#This Row],[FMS Type]],FMS_TYPE[FMS_Type],FMS_TYPE[Score])</f>
        <v>2</v>
      </c>
      <c r="BE291" s="267">
        <f>FMS_Ranking4[[#This Row],[FMS_Type Score]]*$BD$5*10</f>
        <v>0.5</v>
      </c>
      <c r="BF29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0.16667259916858862</v>
      </c>
      <c r="BG291" s="271">
        <f>_xlfn.RANK.EQ(BF291,$BF$8:$BF$870,0)+COUNTIF($BF$8:BF291,BF291)-1</f>
        <v>385</v>
      </c>
      <c r="BH291" s="268">
        <f>(((FMS_Ranking4[[#This Row],[Structures Removed Raw]]/AK$4)*100)*AK$5)+(((FMS_Ranking4[[#This Row],[Removed Pop Raw]]/AR$4)*100)*AR$5)</f>
        <v>6.3480300935541828E-2</v>
      </c>
      <c r="BI29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0.73015290010413048</v>
      </c>
      <c r="BJ291" s="205">
        <f>_xlfn.RANK.EQ(FMS_Ranking4[[#This Row],[Total Score 
(with linear
normalization)]],FMS_Ranking4[Total Score 
(with linear
normalization)],0)</f>
        <v>793</v>
      </c>
      <c r="BK291" s="205" t="e">
        <f>_xlfn.XLOOKUP(FMS_Ranking4[[#This Row],[FMS ID]],#REF!,#REF!)</f>
        <v>#REF!</v>
      </c>
      <c r="BL29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26.745425415026766</v>
      </c>
      <c r="BM291" s="272">
        <f>FMS_Ranking4[[#This Row],[ArcSinh Score Based on Normalized Reported Factors]]+FMS_Ranking4[[#This Row],[% NBS Score (Normalized)]]+(FMS_Ranking4[[#This Row],[Water Supply Score (Normalized)]]*10*$BB$5)+FMS_Ranking4[[#This Row],[FMS_Type Score Weighted]]</f>
        <v>27.245425415026766</v>
      </c>
      <c r="BN291" s="205">
        <f>_xlfn.RANK.EQ(FMS_Ranking4[[#This Row],[Total Score (with ArcSinh normalization of select criteria)]],FMS_Ranking4[Total Score (with ArcSinh normalization of select criteria)],0)</f>
        <v>284</v>
      </c>
      <c r="BO291" s="270" t="str">
        <f>_xlfn.XLOOKUP(FMS_Ranking4[[#This Row],[FMS ID]],FMS_Input[FMS_ID],FMS_Input[FMS_RANK_YEAR])</f>
        <v>2023 Amended Plan</v>
      </c>
      <c r="BP291" s="204">
        <f>_xlfn.XLOOKUP(FMS_Ranking4[[#This Row],[FMS ID]],Prev_Rank[FMS ID],Prev_Rank[Prev Rank])</f>
        <v>277</v>
      </c>
      <c r="BQ291" s="205" t="e">
        <f>_xlfn.XLOOKUP(FMS_Ranking4[[#This Row],[FMS ID]],#REF!,#REF!)</f>
        <v>#REF!</v>
      </c>
      <c r="BR291" s="199" t="e">
        <f>SUM(#REF!,#REF!,#REF!,#REF!,#REF!,#REF!,#REF!,#REF!,#REF!,FMS_Ranking4[[#This Row],[ArcSinh Res struct removed 0-10]],#REF!)</f>
        <v>#REF!</v>
      </c>
      <c r="BS291" s="199" t="e">
        <f>FMS_Ranking4[[#This Row],[Log Score Based on Normalized Reported Factors]]+FMS_Ranking4[[#This Row],[% NBS Score (Normalized)]]+(FMS_Ranking4[[#This Row],[Water Supply Score (Normalized)]]*10*$BB$5)+(FMS_Ranking4[[#This Row],[FMS_Type Score Weighted]])</f>
        <v>#REF!</v>
      </c>
      <c r="BT291" s="200" t="e">
        <f>_xlfn.RANK.EQ(FMS_Ranking4[[#This Row],[Log Total Score]],FMS_Ranking4[Log Total Score],0)</f>
        <v>#REF!</v>
      </c>
      <c r="BU291" s="200" t="e">
        <f>_xlfn.XLOOKUP(FMS_Ranking4[[#This Row],[FMS ID]],#REF!,#REF!)</f>
        <v>#REF!</v>
      </c>
      <c r="BV291" s="200">
        <f>FMS_Ranking4[[#This Row],[Region Number]]</f>
        <v>9</v>
      </c>
      <c r="BW291" s="200">
        <f>FMS_Ranking4[[#This Row],[Rank (with ArcSinh normalization of select criteria)]]-FMS_Ranking4[[#This Row],[Rank
(with linear
normalization)]]</f>
        <v>-509</v>
      </c>
      <c r="BX291" s="200" t="e">
        <f>FMS_Ranking4[[#This Row],[Log Rank]]-FMS_Ranking4[[#This Row],[Rank
(with linear
normalization)]]</f>
        <v>#REF!</v>
      </c>
      <c r="BY291" s="200" t="str">
        <f>IF(FMS_Ranking4[[#This Row],[FMS Type]]="Flood Measurement and Warning",FMS_Ranking4[[#This Row],[Rank (with ArcSinh normalization of select criteria)]],"")</f>
        <v/>
      </c>
      <c r="BZ291" s="200" t="str">
        <f>IF(FMS_Ranking4[[#This Row],[FMS Type]]="Regulatory and Guidance",FMS_Ranking4[[#This Row],[Rank (with ArcSinh normalization of select criteria)]],"")</f>
        <v/>
      </c>
      <c r="CA291" s="200" t="str">
        <f>IF(FMS_Ranking4[[#This Row],[FMS Type]]="Education and Outreach",FMS_Ranking4[[#This Row],[Rank (with ArcSinh normalization of select criteria)]],"")</f>
        <v/>
      </c>
      <c r="CB291" s="200" t="str">
        <f>IF(FMS_Ranking4[[#This Row],[FMS Type]]="Property Acquisition and Structural Elevation",FMS_Ranking4[[#This Row],[Rank (with ArcSinh normalization of select criteria)]],"")</f>
        <v/>
      </c>
      <c r="CC291" s="200" t="str">
        <f>IF(FMS_Ranking4[[#This Row],[FMS Type]]="Infrastructure Projects",FMS_Ranking4[[#This Row],[Rank (with ArcSinh normalization of select criteria)]],"")</f>
        <v/>
      </c>
      <c r="CD291" s="200">
        <f>IF(FMS_Ranking4[[#This Row],[FMS Type]]="Other",FMS_Ranking4[[#This Row],[Rank (with ArcSinh normalization of select criteria)]],"")</f>
        <v>284</v>
      </c>
      <c r="CE291" s="201"/>
      <c r="CF291" s="206"/>
      <c r="CG291" s="206"/>
      <c r="CH291" s="206"/>
      <c r="CI291" s="206"/>
      <c r="CJ291" s="206"/>
      <c r="CK291" s="206"/>
      <c r="CL291" s="206"/>
      <c r="CM291" s="206"/>
      <c r="CN291" s="206"/>
      <c r="CO291" s="206"/>
      <c r="CP291" s="206"/>
      <c r="CQ291" s="206"/>
      <c r="CR291" s="206"/>
    </row>
    <row r="292" spans="2:96" ht="30" x14ac:dyDescent="0.25">
      <c r="B292" s="341" t="s">
        <v>702</v>
      </c>
      <c r="C292" s="246">
        <f>_xlfn.XLOOKUP(FMS_Ranking4[[#This Row],[FMS ID]],FMS_Input[FMS_ID],FMS_Input[RFPG_NUM])</f>
        <v>9</v>
      </c>
      <c r="D292" s="309" t="str">
        <f>_xlfn.XLOOKUP(FMS_Ranking4[[#This Row],[FMS ID]],FMS_Input[FMS_ID],FMS_Input[FMS_NAME])</f>
        <v>Taylor County</v>
      </c>
      <c r="E292" s="308" t="str">
        <f>_xlfn.XLOOKUP(FMS_Ranking4[[#This Row],[FMS ID]],FMS_Input[FMS_ID],FMS_Input[SPONSOR])</f>
        <v>00000145</v>
      </c>
      <c r="F292" s="309" t="str">
        <f>_xlfn.XLOOKUP(FMS_Ranking4[[#This Row],[FMS ID]],Sponsor[FMS_ID],Sponsor[SPONSOR NAME])</f>
        <v>Runnels</v>
      </c>
      <c r="G292" s="309" t="str">
        <f>_xlfn.XLOOKUP(FMS_Ranking4[[#This Row],[FMS ID]],FMS_Input[FMS_ID],FMS_Input[FMS_DESCR])</f>
        <v>Update FIS and FIRM maps once BLE is available</v>
      </c>
      <c r="H292" s="248" t="str">
        <f>_xlfn.XLOOKUP(FMS_Ranking4[[#This Row],[FMS ID]],FMS_Input[FMS_ID],FMS_Input[FMS_TYPE])</f>
        <v>Other</v>
      </c>
      <c r="I292" s="249">
        <f>_xlfn.XLOOKUP(FMS_Ranking4[[#This Row],[FMS ID]],FMS_Input[FMS_ID],FMS_Input[NRNC_COST])</f>
        <v>5000</v>
      </c>
      <c r="J292" s="250">
        <f>_xlfn.XLOOKUP(FMS_Ranking4[[#This Row],[FMS ID]],FMS_Input[FMS_ID],FMS_Input[FMS_COST])</f>
        <v>30000</v>
      </c>
      <c r="K292" s="251" t="str">
        <f>_xlfn.XLOOKUP(FMS_Ranking4[[#This Row],[FMS ID]],FMS_Input[FMS_ID],FMS_Input[EMER_NEED])</f>
        <v>No</v>
      </c>
      <c r="L292" s="252">
        <f t="shared" si="4"/>
        <v>0</v>
      </c>
      <c r="M292" s="253">
        <f>_xlfn.XLOOKUP(FMS_Ranking4[[#This Row],[FMS ID]],FMS_Input[FMS_ID],FMS_Input[STRUCT_100])</f>
        <v>70</v>
      </c>
      <c r="N292" s="255">
        <f>(ASINH(FMS_Ranking4[[#This Row],[Structure at Risk Raw]]))*(10)/(ASINH(M$4))</f>
        <v>3.884906829427599</v>
      </c>
      <c r="O292" s="256">
        <f>FMS_Ranking4[[#This Row],[Structures at risk, ArcSinh (0-10)]]*M$5*10</f>
        <v>3.884906829427599</v>
      </c>
      <c r="P292" s="253">
        <f>_xlfn.XLOOKUP(FMS_Ranking4[[#This Row],[FMS ID]],FMS_Input[FMS_ID],FMS_Input[RES_STRUCT100])</f>
        <v>51</v>
      </c>
      <c r="Q292" s="257">
        <f>ASINH(FMS_Ranking4[[#This Row],[Res Structure Raw]])/Q$4*P$5*100</f>
        <v>0</v>
      </c>
      <c r="R292" s="253">
        <f>_xlfn.XLOOKUP(FMS_Ranking4[[#This Row],[FMS ID]],FMS_Input[FMS_ID],FMS_Input[POP100])</f>
        <v>46</v>
      </c>
      <c r="S292" s="259">
        <f>(ASINH(FMS_Ranking4[[#This Row],[Pop at Risk Raw]]))*(10)/(ASINH(R$4))</f>
        <v>3.1217354535239523</v>
      </c>
      <c r="T292" s="256">
        <f>FMS_Ranking4[[#This Row],[Population at risk, ArcSinh (0-10)]]*R$5*10</f>
        <v>3.1217354535239528</v>
      </c>
      <c r="U292" s="253">
        <f>_xlfn.XLOOKUP(FMS_Ranking4[[#This Row],[FMS ID]],FMS_Input[FMS_ID],FMS_Input[CRITFAC100])</f>
        <v>0</v>
      </c>
      <c r="V292" s="259">
        <f>(ASINH(FMS_Ranking4[[#This Row],[Critical Facilities Raw]]))*(10)/(ASINH(U$4))</f>
        <v>0</v>
      </c>
      <c r="W292" s="256">
        <f>FMS_Ranking4[[#This Row],[Critical facilities at risk, ArcSinh (0-10)]]*U$5*10</f>
        <v>0</v>
      </c>
      <c r="X292" s="253">
        <f>_xlfn.XLOOKUP(FMS_Ranking4[[#This Row],[FMS ID]],FMS_Input[FMS_ID],FMS_Input[LWC])</f>
        <v>10</v>
      </c>
      <c r="Y292" s="259">
        <f>(ASINH(FMS_Ranking4[[#This Row],[LWC Raw]]))*(10)/(ASINH(X$4))</f>
        <v>4.06180589758889</v>
      </c>
      <c r="Z292" s="256">
        <f>FMS_Ranking4[[#This Row],[LWC, ArcSInh (0-10)]]*X$5*10</f>
        <v>4.06180589758889</v>
      </c>
      <c r="AA292" s="253">
        <f>_xlfn.XLOOKUP(FMS_Ranking4[[#This Row],[FMS ID]],FMS_Input[FMS_ID],FMS_Input[ROADCLS])</f>
        <v>0</v>
      </c>
      <c r="AB292" s="255">
        <f>(ASINH(FMS_Ranking4[[#This Row],[Road Closures Raw]]))*(10)/(ASINH(AA$4))</f>
        <v>0</v>
      </c>
      <c r="AC292" s="256">
        <f>FMS_Ranking4[[#This Row],[Road closures, ArcSinh (0-10)]]*AA$5*10</f>
        <v>0</v>
      </c>
      <c r="AD292" s="253">
        <f>_xlfn.XLOOKUP(FMS_Ranking4[[#This Row],[FMS ID]],FMS_Input[FMS_ID],FMS_Input[ROAD_MILES100])</f>
        <v>18</v>
      </c>
      <c r="AE292" s="259">
        <f>(ASINH(FMS_Ranking4[[#This Row],[Road Miles Raw]]))*(10)/(ASINH(AD$4))</f>
        <v>3.8198666439072628</v>
      </c>
      <c r="AF292" s="256">
        <f>FMS_Ranking4[[#This Row],[Length of roads at risk, ArcSinh (0-10)]]*AD$5*10</f>
        <v>3.8198666439072633</v>
      </c>
      <c r="AG292" s="253">
        <f>_xlfn.XLOOKUP(FMS_Ranking4[[#This Row],[FMS ID]],FMS_Input[FMS_ID],FMS_Input[FARMACRE100])</f>
        <v>3492.16162109375</v>
      </c>
      <c r="AH292" s="255">
        <f>(ASINH(FMS_Ranking4[[#This Row],[Ag Land Raw]]))*(10)/(ASINH(AG$4))</f>
        <v>5.7497206178310707</v>
      </c>
      <c r="AI292" s="260">
        <f>FMS_Ranking4[[#This Row],[Farm &amp; ranch land, ArcSinh (0-10)]]*AG$5*10</f>
        <v>2.8748603089155358</v>
      </c>
      <c r="AJ292" s="258">
        <f>_xlfn.XLOOKUP(FMS_Ranking4[[#This Row],[FMS ID]],FMS_Input[FMS_ID],FMS_Input[REDSTRUCT100])</f>
        <v>18</v>
      </c>
      <c r="AK292" s="253">
        <f>_xlfn.XLOOKUP(FMS_Ranking4[[#This Row],[FMS ID]],FMS_Input[FMS_ID],FMS_Input[REMSTRC100])</f>
        <v>18</v>
      </c>
      <c r="AL292" s="259">
        <f>(ASINH(FMS_Ranking4[[#This Row],[Structures Removed Raw]]))*(10)/(ASINH(AK$4))</f>
        <v>4.0809696174971908</v>
      </c>
      <c r="AM292" s="262">
        <f>FMS_Ranking4[[#This Row],[Structures removed, ArcSinh (0-10)]]*AK$5*10</f>
        <v>4.0809696174971908</v>
      </c>
      <c r="AN292" s="253">
        <f>_xlfn.XLOOKUP(FMS_Ranking4[[#This Row],[FMS ID]],FMS_Input[FMS_ID],FMS_Input[REMRESSTRC100])</f>
        <v>12</v>
      </c>
      <c r="AO292" s="261">
        <f>FMS_Ranking4[[#This Row],[ArcSinh Res struct removed 0-10]]*AN$5*10</f>
        <v>1.8650283178354909</v>
      </c>
      <c r="AP292" s="260">
        <f>ASINH(FMS_Ranking4[[#This Row],[Residential Structures Removed Raw]])/AP$4*AN$5*100</f>
        <v>1.8650283178354912</v>
      </c>
      <c r="AQ292" s="254">
        <f>(ASINH(FMS_Ranking4[[#This Row],[Residential Structures Removed Raw]]))*(10)/(ASINH(AN$4))</f>
        <v>3.7300566356709819</v>
      </c>
      <c r="AR292" s="253">
        <f>_xlfn.XLOOKUP(FMS_Ranking4[[#This Row],[FMS ID]],FMS_Input[FMS_ID],FMS_Input[REMPOP100])</f>
        <v>11</v>
      </c>
      <c r="AS292" s="259">
        <f>(ASINH(FMS_Ranking4[[#This Row],[Removed Pop Raw]]))*(10)/(ASINH(AR$4))</f>
        <v>3.036252346330846</v>
      </c>
      <c r="AT292" s="262">
        <f>FMS_Ranking4[[#This Row],[Removed population, ArcSinh (0-10)]]*AR$5*10</f>
        <v>3.036252346330846</v>
      </c>
      <c r="AU292" s="264">
        <f>_xlfn.XLOOKUP(FMS_Ranking4[[#This Row],[FMS ID]],FMS_Input[FMS_ID],FMS_Input[REMCRITFAC100])</f>
        <v>0</v>
      </c>
      <c r="AV292" s="264">
        <f>_xlfn.XLOOKUP(FMS_Ranking4[[#This Row],[FMS ID]],FMS_Input[FMS_ID],FMS_Input[REMLWC100])</f>
        <v>2</v>
      </c>
      <c r="AW292" s="264">
        <f>_xlfn.XLOOKUP(FMS_Ranking4[[#This Row],[FMS ID]],FMS_Input[FMS_ID],FMS_Input[REMROADCLS])</f>
        <v>0</v>
      </c>
      <c r="AX292" s="264">
        <f>_xlfn.XLOOKUP(FMS_Ranking4[[#This Row],[FMS ID]],FMS_Input[FMS_ID],FMS_Input[REMFRMACRE100])</f>
        <v>873.0404052734375</v>
      </c>
      <c r="AY292" s="258">
        <f>_xlfn.XLOOKUP(FMS_Ranking4[[#This Row],[FMS ID]],FMS_Input[FMS_ID],FMS_Input[COSTSTRUCT])</f>
        <v>25000</v>
      </c>
      <c r="AZ292" s="253">
        <f>_xlfn.XLOOKUP(FMS_Ranking4[[#This Row],[FMS ID]],FMS_Input[FMS_ID],FMS_Input[NATURE])</f>
        <v>0</v>
      </c>
      <c r="BA292" s="262">
        <f>(((FMS_Ranking4[[#This Row],[% NBS Raw]]/AZ$4)*100)*AZ$5)</f>
        <v>0</v>
      </c>
      <c r="BB292" s="251" t="str">
        <f>_xlfn.XLOOKUP(FMS_Ranking4[[#This Row],[FMS ID]],FMS_Input[FMS_ID],FMS_Input[WATER_SUP])</f>
        <v>No</v>
      </c>
      <c r="BC292" s="265">
        <f>IF(FMS_Ranking4[[#This Row],[Water Supply Raw]]="Yes",10,0)</f>
        <v>0</v>
      </c>
      <c r="BD292" s="266">
        <f>_xlfn.XLOOKUP(FMS_Ranking4[[#This Row],[FMS Type]],FMS_TYPE[FMS_Type],FMS_TYPE[Score])</f>
        <v>2</v>
      </c>
      <c r="BE292" s="267">
        <f>FMS_Ranking4[[#This Row],[FMS_Type Score]]*$BD$5*10</f>
        <v>0.5</v>
      </c>
      <c r="BF29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0.16667259916858862</v>
      </c>
      <c r="BG292" s="271">
        <f>_xlfn.RANK.EQ(BF292,$BF$8:$BF$870,0)+COUNTIF($BF$8:BF292,BF292)-1</f>
        <v>386</v>
      </c>
      <c r="BH292" s="268">
        <f>(((FMS_Ranking4[[#This Row],[Structures Removed Raw]]/AK$4)*100)*AK$5)+(((FMS_Ranking4[[#This Row],[Removed Pop Raw]]/AR$4)*100)*AR$5)</f>
        <v>6.3480300935541828E-2</v>
      </c>
      <c r="BI29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0.73015290010413048</v>
      </c>
      <c r="BJ292" s="205">
        <f>_xlfn.RANK.EQ(FMS_Ranking4[[#This Row],[Total Score 
(with linear
normalization)]],FMS_Ranking4[Total Score 
(with linear
normalization)],0)</f>
        <v>793</v>
      </c>
      <c r="BK292" s="205" t="e">
        <f>_xlfn.XLOOKUP(FMS_Ranking4[[#This Row],[FMS ID]],#REF!,#REF!)</f>
        <v>#REF!</v>
      </c>
      <c r="BL29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26.745425415026766</v>
      </c>
      <c r="BM292" s="272">
        <f>FMS_Ranking4[[#This Row],[ArcSinh Score Based on Normalized Reported Factors]]+FMS_Ranking4[[#This Row],[% NBS Score (Normalized)]]+(FMS_Ranking4[[#This Row],[Water Supply Score (Normalized)]]*10*$BB$5)+FMS_Ranking4[[#This Row],[FMS_Type Score Weighted]]</f>
        <v>27.245425415026766</v>
      </c>
      <c r="BN292" s="205">
        <f>_xlfn.RANK.EQ(FMS_Ranking4[[#This Row],[Total Score (with ArcSinh normalization of select criteria)]],FMS_Ranking4[Total Score (with ArcSinh normalization of select criteria)],0)</f>
        <v>284</v>
      </c>
      <c r="BO292" s="270" t="str">
        <f>_xlfn.XLOOKUP(FMS_Ranking4[[#This Row],[FMS ID]],FMS_Input[FMS_ID],FMS_Input[FMS_RANK_YEAR])</f>
        <v>2023 Amended Plan</v>
      </c>
      <c r="BP292" s="204">
        <f>_xlfn.XLOOKUP(FMS_Ranking4[[#This Row],[FMS ID]],Prev_Rank[FMS ID],Prev_Rank[Prev Rank])</f>
        <v>277</v>
      </c>
      <c r="BQ292" s="205" t="e">
        <f>_xlfn.XLOOKUP(FMS_Ranking4[[#This Row],[FMS ID]],#REF!,#REF!)</f>
        <v>#REF!</v>
      </c>
      <c r="BR292" s="199" t="e">
        <f>SUM(#REF!,#REF!,#REF!,#REF!,#REF!,#REF!,#REF!,#REF!,#REF!,FMS_Ranking4[[#This Row],[ArcSinh Res struct removed 0-10]],#REF!)</f>
        <v>#REF!</v>
      </c>
      <c r="BS292" s="199" t="e">
        <f>FMS_Ranking4[[#This Row],[Log Score Based on Normalized Reported Factors]]+FMS_Ranking4[[#This Row],[% NBS Score (Normalized)]]+(FMS_Ranking4[[#This Row],[Water Supply Score (Normalized)]]*10*$BB$5)+(FMS_Ranking4[[#This Row],[FMS_Type Score Weighted]])</f>
        <v>#REF!</v>
      </c>
      <c r="BT292" s="200" t="e">
        <f>_xlfn.RANK.EQ(FMS_Ranking4[[#This Row],[Log Total Score]],FMS_Ranking4[Log Total Score],0)</f>
        <v>#REF!</v>
      </c>
      <c r="BU292" s="200" t="e">
        <f>_xlfn.XLOOKUP(FMS_Ranking4[[#This Row],[FMS ID]],#REF!,#REF!)</f>
        <v>#REF!</v>
      </c>
      <c r="BV292" s="200">
        <f>FMS_Ranking4[[#This Row],[Region Number]]</f>
        <v>9</v>
      </c>
      <c r="BW292" s="200">
        <f>FMS_Ranking4[[#This Row],[Rank (with ArcSinh normalization of select criteria)]]-FMS_Ranking4[[#This Row],[Rank
(with linear
normalization)]]</f>
        <v>-509</v>
      </c>
      <c r="BX292" s="200" t="e">
        <f>FMS_Ranking4[[#This Row],[Log Rank]]-FMS_Ranking4[[#This Row],[Rank
(with linear
normalization)]]</f>
        <v>#REF!</v>
      </c>
      <c r="BY292" s="200" t="str">
        <f>IF(FMS_Ranking4[[#This Row],[FMS Type]]="Flood Measurement and Warning",FMS_Ranking4[[#This Row],[Rank (with ArcSinh normalization of select criteria)]],"")</f>
        <v/>
      </c>
      <c r="BZ292" s="200" t="str">
        <f>IF(FMS_Ranking4[[#This Row],[FMS Type]]="Regulatory and Guidance",FMS_Ranking4[[#This Row],[Rank (with ArcSinh normalization of select criteria)]],"")</f>
        <v/>
      </c>
      <c r="CA292" s="200" t="str">
        <f>IF(FMS_Ranking4[[#This Row],[FMS Type]]="Education and Outreach",FMS_Ranking4[[#This Row],[Rank (with ArcSinh normalization of select criteria)]],"")</f>
        <v/>
      </c>
      <c r="CB292" s="200" t="str">
        <f>IF(FMS_Ranking4[[#This Row],[FMS Type]]="Property Acquisition and Structural Elevation",FMS_Ranking4[[#This Row],[Rank (with ArcSinh normalization of select criteria)]],"")</f>
        <v/>
      </c>
      <c r="CC292" s="200" t="str">
        <f>IF(FMS_Ranking4[[#This Row],[FMS Type]]="Infrastructure Projects",FMS_Ranking4[[#This Row],[Rank (with ArcSinh normalization of select criteria)]],"")</f>
        <v/>
      </c>
      <c r="CD292" s="200">
        <f>IF(FMS_Ranking4[[#This Row],[FMS Type]]="Other",FMS_Ranking4[[#This Row],[Rank (with ArcSinh normalization of select criteria)]],"")</f>
        <v>284</v>
      </c>
      <c r="CE292" s="201"/>
      <c r="CF292" s="206"/>
      <c r="CG292" s="206"/>
      <c r="CH292" s="206"/>
      <c r="CI292" s="206"/>
      <c r="CJ292" s="206"/>
      <c r="CK292" s="206"/>
      <c r="CL292" s="206"/>
      <c r="CM292" s="206"/>
      <c r="CN292" s="206"/>
      <c r="CO292" s="206"/>
      <c r="CP292" s="206"/>
      <c r="CQ292" s="206"/>
      <c r="CR292" s="206"/>
    </row>
    <row r="293" spans="2:96" ht="45" x14ac:dyDescent="0.25">
      <c r="B293" s="341" t="s">
        <v>3159</v>
      </c>
      <c r="C293" s="246">
        <f>_xlfn.XLOOKUP(FMS_Ranking4[[#This Row],[FMS ID]],FMS_Input[FMS_ID],FMS_Input[RFPG_NUM])</f>
        <v>7</v>
      </c>
      <c r="D293" s="309" t="str">
        <f>_xlfn.XLOOKUP(FMS_Ranking4[[#This Row],[FMS ID]],FMS_Input[FMS_ID],FMS_Input[FMS_NAME])</f>
        <v>Crosby County NFIP Participation</v>
      </c>
      <c r="E293" s="308" t="str">
        <f>_xlfn.XLOOKUP(FMS_Ranking4[[#This Row],[FMS ID]],FMS_Input[FMS_ID],FMS_Input[SPONSOR])</f>
        <v>00000221</v>
      </c>
      <c r="F293" s="309" t="str">
        <f>_xlfn.XLOOKUP(FMS_Ranking4[[#This Row],[FMS ID]],Sponsor[FMS_ID],Sponsor[SPONSOR NAME])</f>
        <v>Crosby</v>
      </c>
      <c r="G293" s="309" t="str">
        <f>_xlfn.XLOOKUP(FMS_Ranking4[[#This Row],[FMS ID]],FMS_Input[FMS_ID],FMS_Input[FMS_DESCR])</f>
        <v>Application to join NFIP or adoption of equivalent standards.</v>
      </c>
      <c r="H293" s="248" t="str">
        <f>_xlfn.XLOOKUP(FMS_Ranking4[[#This Row],[FMS ID]],FMS_Input[FMS_ID],FMS_Input[FMS_TYPE])</f>
        <v>Regulatory and Guidance</v>
      </c>
      <c r="I293" s="249">
        <f>_xlfn.XLOOKUP(FMS_Ranking4[[#This Row],[FMS ID]],FMS_Input[FMS_ID],FMS_Input[NRNC_COST])</f>
        <v>50000</v>
      </c>
      <c r="J293" s="250">
        <f>_xlfn.XLOOKUP(FMS_Ranking4[[#This Row],[FMS ID]],FMS_Input[FMS_ID],FMS_Input[FMS_COST])</f>
        <v>50000</v>
      </c>
      <c r="K293" s="251" t="str">
        <f>_xlfn.XLOOKUP(FMS_Ranking4[[#This Row],[FMS ID]],FMS_Input[FMS_ID],FMS_Input[EMER_NEED])</f>
        <v>No</v>
      </c>
      <c r="L293" s="252">
        <f t="shared" si="4"/>
        <v>0</v>
      </c>
      <c r="M293" s="253">
        <f>_xlfn.XLOOKUP(FMS_Ranking4[[#This Row],[FMS ID]],FMS_Input[FMS_ID],FMS_Input[STRUCT_100])</f>
        <v>279</v>
      </c>
      <c r="N293" s="255">
        <f>(ASINH(FMS_Ranking4[[#This Row],[Structure at Risk Raw]]))*(10)/(ASINH(M$4))</f>
        <v>4.9718903255386451</v>
      </c>
      <c r="O293" s="256">
        <f>FMS_Ranking4[[#This Row],[Structures at risk, ArcSinh (0-10)]]*M$5*10</f>
        <v>4.9718903255386451</v>
      </c>
      <c r="P293" s="253">
        <f>_xlfn.XLOOKUP(FMS_Ranking4[[#This Row],[FMS ID]],FMS_Input[FMS_ID],FMS_Input[RES_STRUCT100])</f>
        <v>62</v>
      </c>
      <c r="Q293" s="257">
        <f>ASINH(FMS_Ranking4[[#This Row],[Res Structure Raw]])/Q$4*P$5*100</f>
        <v>0</v>
      </c>
      <c r="R293" s="253">
        <f>_xlfn.XLOOKUP(FMS_Ranking4[[#This Row],[FMS ID]],FMS_Input[FMS_ID],FMS_Input[POP100])</f>
        <v>325</v>
      </c>
      <c r="S293" s="259">
        <f>(ASINH(FMS_Ranking4[[#This Row],[Pop at Risk Raw]]))*(10)/(ASINH(R$4))</f>
        <v>4.4714327320125022</v>
      </c>
      <c r="T293" s="256">
        <f>FMS_Ranking4[[#This Row],[Population at risk, ArcSinh (0-10)]]*R$5*10</f>
        <v>4.4714327320125022</v>
      </c>
      <c r="U293" s="253">
        <f>_xlfn.XLOOKUP(FMS_Ranking4[[#This Row],[FMS ID]],FMS_Input[FMS_ID],FMS_Input[CRITFAC100])</f>
        <v>2</v>
      </c>
      <c r="V293" s="259">
        <f>(ASINH(FMS_Ranking4[[#This Row],[Critical Facilities Raw]]))*(10)/(ASINH(U$4))</f>
        <v>1.7089239049208753</v>
      </c>
      <c r="W293" s="256">
        <f>FMS_Ranking4[[#This Row],[Critical facilities at risk, ArcSinh (0-10)]]*U$5*10</f>
        <v>1.7089239049208755</v>
      </c>
      <c r="X293" s="253">
        <f>_xlfn.XLOOKUP(FMS_Ranking4[[#This Row],[FMS ID]],FMS_Input[FMS_ID],FMS_Input[LWC])</f>
        <v>6</v>
      </c>
      <c r="Y293" s="259">
        <f>(ASINH(FMS_Ranking4[[#This Row],[LWC Raw]]))*(10)/(ASINH(X$4))</f>
        <v>3.375708300798784</v>
      </c>
      <c r="Z293" s="256">
        <f>FMS_Ranking4[[#This Row],[LWC, ArcSInh (0-10)]]*X$5*10</f>
        <v>3.3757083007987845</v>
      </c>
      <c r="AA293" s="253">
        <f>_xlfn.XLOOKUP(FMS_Ranking4[[#This Row],[FMS ID]],FMS_Input[FMS_ID],FMS_Input[ROADCLS])</f>
        <v>0</v>
      </c>
      <c r="AB293" s="255">
        <f>(ASINH(FMS_Ranking4[[#This Row],[Road Closures Raw]]))*(10)/(ASINH(AA$4))</f>
        <v>0</v>
      </c>
      <c r="AC293" s="256">
        <f>FMS_Ranking4[[#This Row],[Road closures, ArcSinh (0-10)]]*AA$5*10</f>
        <v>0</v>
      </c>
      <c r="AD293" s="253">
        <f>_xlfn.XLOOKUP(FMS_Ranking4[[#This Row],[FMS ID]],FMS_Input[FMS_ID],FMS_Input[ROAD_MILES100])</f>
        <v>350</v>
      </c>
      <c r="AE293" s="259">
        <f>(ASINH(FMS_Ranking4[[#This Row],[Road Miles Raw]]))*(10)/(ASINH(AD$4))</f>
        <v>6.9816514510807801</v>
      </c>
      <c r="AF293" s="256">
        <f>FMS_Ranking4[[#This Row],[Length of roads at risk, ArcSinh (0-10)]]*AD$5*10</f>
        <v>6.9816514510807801</v>
      </c>
      <c r="AG293" s="253">
        <f>_xlfn.XLOOKUP(FMS_Ranking4[[#This Row],[FMS ID]],FMS_Input[FMS_ID],FMS_Input[FARMACRE100])</f>
        <v>45936.109375</v>
      </c>
      <c r="AH293" s="255">
        <f>(ASINH(FMS_Ranking4[[#This Row],[Ag Land Raw]]))*(10)/(ASINH(AG$4))</f>
        <v>7.4235170435414775</v>
      </c>
      <c r="AI293" s="260">
        <f>FMS_Ranking4[[#This Row],[Farm &amp; ranch land, ArcSinh (0-10)]]*AG$5*10</f>
        <v>3.7117585217707387</v>
      </c>
      <c r="AJ293" s="258">
        <f>_xlfn.XLOOKUP(FMS_Ranking4[[#This Row],[FMS ID]],FMS_Input[FMS_ID],FMS_Input[REDSTRUCT100])</f>
        <v>0</v>
      </c>
      <c r="AK293" s="253">
        <f>_xlfn.XLOOKUP(FMS_Ranking4[[#This Row],[FMS ID]],FMS_Input[FMS_ID],FMS_Input[REMSTRC100])</f>
        <v>0</v>
      </c>
      <c r="AL293" s="259">
        <f>(ASINH(FMS_Ranking4[[#This Row],[Structures Removed Raw]]))*(10)/(ASINH(AK$4))</f>
        <v>0</v>
      </c>
      <c r="AM293" s="262">
        <f>FMS_Ranking4[[#This Row],[Structures removed, ArcSinh (0-10)]]*AK$5*10</f>
        <v>0</v>
      </c>
      <c r="AN293" s="253">
        <f>_xlfn.XLOOKUP(FMS_Ranking4[[#This Row],[FMS ID]],FMS_Input[FMS_ID],FMS_Input[REMRESSTRC100])</f>
        <v>0</v>
      </c>
      <c r="AO293" s="261">
        <f>FMS_Ranking4[[#This Row],[ArcSinh Res struct removed 0-10]]*AN$5*10</f>
        <v>0</v>
      </c>
      <c r="AP293" s="260">
        <f>ASINH(FMS_Ranking4[[#This Row],[Residential Structures Removed Raw]])/AP$4*AN$5*100</f>
        <v>0</v>
      </c>
      <c r="AQ293" s="254">
        <f>(ASINH(FMS_Ranking4[[#This Row],[Residential Structures Removed Raw]]))*(10)/(ASINH(AN$4))</f>
        <v>0</v>
      </c>
      <c r="AR293" s="253">
        <f>_xlfn.XLOOKUP(FMS_Ranking4[[#This Row],[FMS ID]],FMS_Input[FMS_ID],FMS_Input[REMPOP100])</f>
        <v>0</v>
      </c>
      <c r="AS293" s="259">
        <f>(ASINH(FMS_Ranking4[[#This Row],[Removed Pop Raw]]))*(10)/(ASINH(AR$4))</f>
        <v>0</v>
      </c>
      <c r="AT293" s="262">
        <f>FMS_Ranking4[[#This Row],[Removed population, ArcSinh (0-10)]]*AR$5*10</f>
        <v>0</v>
      </c>
      <c r="AU293" s="264">
        <f>_xlfn.XLOOKUP(FMS_Ranking4[[#This Row],[FMS ID]],FMS_Input[FMS_ID],FMS_Input[REMCRITFAC100])</f>
        <v>0</v>
      </c>
      <c r="AV293" s="264">
        <f>_xlfn.XLOOKUP(FMS_Ranking4[[#This Row],[FMS ID]],FMS_Input[FMS_ID],FMS_Input[REMLWC100])</f>
        <v>0</v>
      </c>
      <c r="AW293" s="264">
        <f>_xlfn.XLOOKUP(FMS_Ranking4[[#This Row],[FMS ID]],FMS_Input[FMS_ID],FMS_Input[REMROADCLS])</f>
        <v>0</v>
      </c>
      <c r="AX293" s="264">
        <f>_xlfn.XLOOKUP(FMS_Ranking4[[#This Row],[FMS ID]],FMS_Input[FMS_ID],FMS_Input[REMFRMACRE100])</f>
        <v>0</v>
      </c>
      <c r="AY293" s="258">
        <f>_xlfn.XLOOKUP(FMS_Ranking4[[#This Row],[FMS ID]],FMS_Input[FMS_ID],FMS_Input[COSTSTRUCT])</f>
        <v>0</v>
      </c>
      <c r="AZ293" s="253">
        <f>_xlfn.XLOOKUP(FMS_Ranking4[[#This Row],[FMS ID]],FMS_Input[FMS_ID],FMS_Input[NATURE])</f>
        <v>0</v>
      </c>
      <c r="BA293" s="262">
        <f>(((FMS_Ranking4[[#This Row],[% NBS Raw]]/AZ$4)*100)*AZ$5)</f>
        <v>0</v>
      </c>
      <c r="BB293" s="251" t="str">
        <f>_xlfn.XLOOKUP(FMS_Ranking4[[#This Row],[FMS ID]],FMS_Input[FMS_ID],FMS_Input[WATER_SUP])</f>
        <v>No</v>
      </c>
      <c r="BC293" s="265">
        <f>IF(FMS_Ranking4[[#This Row],[Water Supply Raw]]="Yes",10,0)</f>
        <v>0</v>
      </c>
      <c r="BD293" s="266">
        <f>_xlfn.XLOOKUP(FMS_Ranking4[[#This Row],[FMS Type]],FMS_TYPE[FMS_Type],FMS_TYPE[Score])</f>
        <v>8</v>
      </c>
      <c r="BE293" s="267">
        <f>FMS_Ranking4[[#This Row],[FMS_Type Score]]*$BD$5*10</f>
        <v>2</v>
      </c>
      <c r="BF29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0.78684641262909949</v>
      </c>
      <c r="BG293" s="271">
        <f>_xlfn.RANK.EQ(BF293,$BF$8:$BF$870,0)+COUNTIF($BF$8:BF293,BF293)-1</f>
        <v>174</v>
      </c>
      <c r="BH293" s="268">
        <f>(((FMS_Ranking4[[#This Row],[Structures Removed Raw]]/AK$4)*100)*AK$5)+(((FMS_Ranking4[[#This Row],[Removed Pop Raw]]/AR$4)*100)*AR$5)</f>
        <v>0</v>
      </c>
      <c r="BI29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2.7868464126290995</v>
      </c>
      <c r="BJ293" s="205">
        <f>_xlfn.RANK.EQ(FMS_Ranking4[[#This Row],[Total Score 
(with linear
normalization)]],FMS_Ranking4[Total Score 
(with linear
normalization)],0)</f>
        <v>197</v>
      </c>
      <c r="BK293" s="205" t="e">
        <f>_xlfn.XLOOKUP(FMS_Ranking4[[#This Row],[FMS ID]],#REF!,#REF!)</f>
        <v>#REF!</v>
      </c>
      <c r="BL29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25.221365236122328</v>
      </c>
      <c r="BM293" s="272">
        <f>FMS_Ranking4[[#This Row],[ArcSinh Score Based on Normalized Reported Factors]]+FMS_Ranking4[[#This Row],[% NBS Score (Normalized)]]+(FMS_Ranking4[[#This Row],[Water Supply Score (Normalized)]]*10*$BB$5)+FMS_Ranking4[[#This Row],[FMS_Type Score Weighted]]</f>
        <v>27.221365236122328</v>
      </c>
      <c r="BN293" s="205">
        <f>_xlfn.RANK.EQ(FMS_Ranking4[[#This Row],[Total Score (with ArcSinh normalization of select criteria)]],FMS_Ranking4[Total Score (with ArcSinh normalization of select criteria)],0)</f>
        <v>286</v>
      </c>
      <c r="BO293" s="270" t="str">
        <f>_xlfn.XLOOKUP(FMS_Ranking4[[#This Row],[FMS ID]],FMS_Input[FMS_ID],FMS_Input[FMS_RANK_YEAR])</f>
        <v>2023 Amended Plan</v>
      </c>
      <c r="BP293" s="204">
        <f>_xlfn.XLOOKUP(FMS_Ranking4[[#This Row],[FMS ID]],Prev_Rank[FMS ID],Prev_Rank[Prev Rank])</f>
        <v>249</v>
      </c>
      <c r="BQ293" s="205" t="e">
        <f>_xlfn.XLOOKUP(FMS_Ranking4[[#This Row],[FMS ID]],#REF!,#REF!)</f>
        <v>#REF!</v>
      </c>
      <c r="BR293" s="199" t="e">
        <f>SUM(#REF!,#REF!,#REF!,#REF!,#REF!,#REF!,#REF!,#REF!,#REF!,FMS_Ranking4[[#This Row],[ArcSinh Res struct removed 0-10]],#REF!)</f>
        <v>#REF!</v>
      </c>
      <c r="BS293" s="199" t="e">
        <f>FMS_Ranking4[[#This Row],[Log Score Based on Normalized Reported Factors]]+FMS_Ranking4[[#This Row],[% NBS Score (Normalized)]]+(FMS_Ranking4[[#This Row],[Water Supply Score (Normalized)]]*10*$BB$5)+(FMS_Ranking4[[#This Row],[FMS_Type Score Weighted]])</f>
        <v>#REF!</v>
      </c>
      <c r="BT293" s="200" t="e">
        <f>_xlfn.RANK.EQ(FMS_Ranking4[[#This Row],[Log Total Score]],FMS_Ranking4[Log Total Score],0)</f>
        <v>#REF!</v>
      </c>
      <c r="BU293" s="200" t="e">
        <f>_xlfn.XLOOKUP(FMS_Ranking4[[#This Row],[FMS ID]],#REF!,#REF!)</f>
        <v>#REF!</v>
      </c>
      <c r="BV293" s="200">
        <f>FMS_Ranking4[[#This Row],[Region Number]]</f>
        <v>7</v>
      </c>
      <c r="BW293" s="200">
        <f>FMS_Ranking4[[#This Row],[Rank (with ArcSinh normalization of select criteria)]]-FMS_Ranking4[[#This Row],[Rank
(with linear
normalization)]]</f>
        <v>89</v>
      </c>
      <c r="BX293" s="200" t="e">
        <f>FMS_Ranking4[[#This Row],[Log Rank]]-FMS_Ranking4[[#This Row],[Rank
(with linear
normalization)]]</f>
        <v>#REF!</v>
      </c>
      <c r="BY293" s="200" t="str">
        <f>IF(FMS_Ranking4[[#This Row],[FMS Type]]="Flood Measurement and Warning",FMS_Ranking4[[#This Row],[Rank (with ArcSinh normalization of select criteria)]],"")</f>
        <v/>
      </c>
      <c r="BZ293" s="200">
        <f>IF(FMS_Ranking4[[#This Row],[FMS Type]]="Regulatory and Guidance",FMS_Ranking4[[#This Row],[Rank (with ArcSinh normalization of select criteria)]],"")</f>
        <v>286</v>
      </c>
      <c r="CA293" s="200" t="str">
        <f>IF(FMS_Ranking4[[#This Row],[FMS Type]]="Education and Outreach",FMS_Ranking4[[#This Row],[Rank (with ArcSinh normalization of select criteria)]],"")</f>
        <v/>
      </c>
      <c r="CB293" s="200" t="str">
        <f>IF(FMS_Ranking4[[#This Row],[FMS Type]]="Property Acquisition and Structural Elevation",FMS_Ranking4[[#This Row],[Rank (with ArcSinh normalization of select criteria)]],"")</f>
        <v/>
      </c>
      <c r="CC293" s="200" t="str">
        <f>IF(FMS_Ranking4[[#This Row],[FMS Type]]="Infrastructure Projects",FMS_Ranking4[[#This Row],[Rank (with ArcSinh normalization of select criteria)]],"")</f>
        <v/>
      </c>
      <c r="CD293" s="200" t="str">
        <f>IF(FMS_Ranking4[[#This Row],[FMS Type]]="Other",FMS_Ranking4[[#This Row],[Rank (with ArcSinh normalization of select criteria)]],"")</f>
        <v/>
      </c>
      <c r="CE293" s="201"/>
      <c r="CF293" s="206"/>
      <c r="CG293" s="206"/>
      <c r="CH293" s="206"/>
      <c r="CI293" s="206"/>
      <c r="CJ293" s="206"/>
      <c r="CK293" s="206"/>
      <c r="CL293" s="206"/>
      <c r="CM293" s="206"/>
      <c r="CN293" s="206"/>
      <c r="CO293" s="206"/>
      <c r="CP293" s="206"/>
      <c r="CQ293" s="206"/>
      <c r="CR293" s="206"/>
    </row>
    <row r="294" spans="2:96" ht="90" x14ac:dyDescent="0.25">
      <c r="B294" s="341" t="s">
        <v>3985</v>
      </c>
      <c r="C294" s="246">
        <f>_xlfn.XLOOKUP(FMS_Ranking4[[#This Row],[FMS ID]],FMS_Input[FMS_ID],FMS_Input[RFPG_NUM])</f>
        <v>15</v>
      </c>
      <c r="D294" s="309" t="str">
        <f>_xlfn.XLOOKUP(FMS_Ranking4[[#This Row],[FMS ID]],FMS_Input[FMS_ID],FMS_Input[FMS_NAME])</f>
        <v>San Benito Action #13</v>
      </c>
      <c r="E294" s="308" t="str">
        <f>_xlfn.XLOOKUP(FMS_Ranking4[[#This Row],[FMS ID]],FMS_Input[FMS_ID],FMS_Input[SPONSOR])</f>
        <v>15000073</v>
      </c>
      <c r="F294" s="309" t="str">
        <f>_xlfn.XLOOKUP(FMS_Ranking4[[#This Row],[FMS ID]],Sponsor[FMS_ID],Sponsor[SPONSOR NAME])</f>
        <v>San Benito</v>
      </c>
      <c r="G294" s="309" t="str">
        <f>_xlfn.XLOOKUP(FMS_Ranking4[[#This Row],[FMS ID]],FMS_Input[FMS_ID],FMS_Input[FMS_DESCR])</f>
        <v>Adopt higher standards into the flood damage prevention ordinance to limit floodplain development and provide higher protection to structures in the floodplain</v>
      </c>
      <c r="H294" s="248" t="str">
        <f>_xlfn.XLOOKUP(FMS_Ranking4[[#This Row],[FMS ID]],FMS_Input[FMS_ID],FMS_Input[FMS_TYPE])</f>
        <v>Regulatory and Guidance</v>
      </c>
      <c r="I294" s="249">
        <f>_xlfn.XLOOKUP(FMS_Ranking4[[#This Row],[FMS ID]],FMS_Input[FMS_ID],FMS_Input[NRNC_COST])</f>
        <v>1000</v>
      </c>
      <c r="J294" s="250">
        <f>_xlfn.XLOOKUP(FMS_Ranking4[[#This Row],[FMS ID]],FMS_Input[FMS_ID],FMS_Input[FMS_COST])</f>
        <v>10000</v>
      </c>
      <c r="K294" s="251" t="str">
        <f>_xlfn.XLOOKUP(FMS_Ranking4[[#This Row],[FMS ID]],FMS_Input[FMS_ID],FMS_Input[EMER_NEED])</f>
        <v>Yes</v>
      </c>
      <c r="L294" s="252">
        <f t="shared" si="4"/>
        <v>1</v>
      </c>
      <c r="M294" s="253">
        <f>_xlfn.XLOOKUP(FMS_Ranking4[[#This Row],[FMS ID]],FMS_Input[FMS_ID],FMS_Input[STRUCT_100])</f>
        <v>5217</v>
      </c>
      <c r="N294" s="255">
        <f>(ASINH(FMS_Ranking4[[#This Row],[Structure at Risk Raw]]))*(10)/(ASINH(M$4))</f>
        <v>7.274098130286248</v>
      </c>
      <c r="O294" s="256">
        <f>FMS_Ranking4[[#This Row],[Structures at risk, ArcSinh (0-10)]]*M$5*10</f>
        <v>7.274098130286248</v>
      </c>
      <c r="P294" s="253">
        <f>_xlfn.XLOOKUP(FMS_Ranking4[[#This Row],[FMS ID]],FMS_Input[FMS_ID],FMS_Input[RES_STRUCT100])</f>
        <v>3999</v>
      </c>
      <c r="Q294" s="257">
        <f>ASINH(FMS_Ranking4[[#This Row],[Res Structure Raw]])/Q$4*P$5*100</f>
        <v>0</v>
      </c>
      <c r="R294" s="253">
        <f>_xlfn.XLOOKUP(FMS_Ranking4[[#This Row],[FMS ID]],FMS_Input[FMS_ID],FMS_Input[POP100])</f>
        <v>15207</v>
      </c>
      <c r="S294" s="259">
        <f>(ASINH(FMS_Ranking4[[#This Row],[Pop at Risk Raw]]))*(10)/(ASINH(R$4))</f>
        <v>7.1263319943633912</v>
      </c>
      <c r="T294" s="256">
        <f>FMS_Ranking4[[#This Row],[Population at risk, ArcSinh (0-10)]]*R$5*10</f>
        <v>7.126331994363392</v>
      </c>
      <c r="U294" s="253">
        <f>_xlfn.XLOOKUP(FMS_Ranking4[[#This Row],[FMS ID]],FMS_Input[FMS_ID],FMS_Input[CRITFAC100])</f>
        <v>3</v>
      </c>
      <c r="V294" s="259">
        <f>(ASINH(FMS_Ranking4[[#This Row],[Critical Facilities Raw]]))*(10)/(ASINH(U$4))</f>
        <v>2.152611706646717</v>
      </c>
      <c r="W294" s="256">
        <f>FMS_Ranking4[[#This Row],[Critical facilities at risk, ArcSinh (0-10)]]*U$5*10</f>
        <v>2.152611706646717</v>
      </c>
      <c r="X294" s="253">
        <f>_xlfn.XLOOKUP(FMS_Ranking4[[#This Row],[FMS ID]],FMS_Input[FMS_ID],FMS_Input[LWC])</f>
        <v>0</v>
      </c>
      <c r="Y294" s="259">
        <f>(ASINH(FMS_Ranking4[[#This Row],[LWC Raw]]))*(10)/(ASINH(X$4))</f>
        <v>0</v>
      </c>
      <c r="Z294" s="256">
        <f>FMS_Ranking4[[#This Row],[LWC, ArcSInh (0-10)]]*X$5*10</f>
        <v>0</v>
      </c>
      <c r="AA294" s="253">
        <f>_xlfn.XLOOKUP(FMS_Ranking4[[#This Row],[FMS ID]],FMS_Input[FMS_ID],FMS_Input[ROADCLS])</f>
        <v>0</v>
      </c>
      <c r="AB294" s="255">
        <f>(ASINH(FMS_Ranking4[[#This Row],[Road Closures Raw]]))*(10)/(ASINH(AA$4))</f>
        <v>0</v>
      </c>
      <c r="AC294" s="256">
        <f>FMS_Ranking4[[#This Row],[Road closures, ArcSinh (0-10)]]*AA$5*10</f>
        <v>0</v>
      </c>
      <c r="AD294" s="253">
        <f>_xlfn.XLOOKUP(FMS_Ranking4[[#This Row],[FMS ID]],FMS_Input[FMS_ID],FMS_Input[ROAD_MILES100])</f>
        <v>98</v>
      </c>
      <c r="AE294" s="259">
        <f>(ASINH(FMS_Ranking4[[#This Row],[Road Miles Raw]]))*(10)/(ASINH(AD$4))</f>
        <v>5.6250458300497961</v>
      </c>
      <c r="AF294" s="256">
        <f>FMS_Ranking4[[#This Row],[Length of roads at risk, ArcSinh (0-10)]]*AD$5*10</f>
        <v>5.6250458300497961</v>
      </c>
      <c r="AG294" s="253">
        <f>_xlfn.XLOOKUP(FMS_Ranking4[[#This Row],[FMS ID]],FMS_Input[FMS_ID],FMS_Input[FARMACRE100])</f>
        <v>3046.16943359375</v>
      </c>
      <c r="AH294" s="255">
        <f>(ASINH(FMS_Ranking4[[#This Row],[Ag Land Raw]]))*(10)/(ASINH(AG$4))</f>
        <v>5.6609643809119055</v>
      </c>
      <c r="AI294" s="260">
        <f>FMS_Ranking4[[#This Row],[Farm &amp; ranch land, ArcSinh (0-10)]]*AG$5*10</f>
        <v>2.8304821904559532</v>
      </c>
      <c r="AJ294" s="258">
        <f>_xlfn.XLOOKUP(FMS_Ranking4[[#This Row],[FMS ID]],FMS_Input[FMS_ID],FMS_Input[REDSTRUCT100])</f>
        <v>0</v>
      </c>
      <c r="AK294" s="253">
        <f>_xlfn.XLOOKUP(FMS_Ranking4[[#This Row],[FMS ID]],FMS_Input[FMS_ID],FMS_Input[REMSTRC100])</f>
        <v>0</v>
      </c>
      <c r="AL294" s="259">
        <f>(ASINH(FMS_Ranking4[[#This Row],[Structures Removed Raw]]))*(10)/(ASINH(AK$4))</f>
        <v>0</v>
      </c>
      <c r="AM294" s="262">
        <f>FMS_Ranking4[[#This Row],[Structures removed, ArcSinh (0-10)]]*AK$5*10</f>
        <v>0</v>
      </c>
      <c r="AN294" s="253">
        <f>_xlfn.XLOOKUP(FMS_Ranking4[[#This Row],[FMS ID]],FMS_Input[FMS_ID],FMS_Input[REMRESSTRC100])</f>
        <v>0</v>
      </c>
      <c r="AO294" s="261">
        <f>FMS_Ranking4[[#This Row],[ArcSinh Res struct removed 0-10]]*AN$5*10</f>
        <v>0</v>
      </c>
      <c r="AP294" s="260">
        <f>ASINH(FMS_Ranking4[[#This Row],[Residential Structures Removed Raw]])/AP$4*AN$5*100</f>
        <v>0</v>
      </c>
      <c r="AQ294" s="254">
        <f>(ASINH(FMS_Ranking4[[#This Row],[Residential Structures Removed Raw]]))*(10)/(ASINH(AN$4))</f>
        <v>0</v>
      </c>
      <c r="AR294" s="253">
        <f>_xlfn.XLOOKUP(FMS_Ranking4[[#This Row],[FMS ID]],FMS_Input[FMS_ID],FMS_Input[REMPOP100])</f>
        <v>0</v>
      </c>
      <c r="AS294" s="259">
        <f>(ASINH(FMS_Ranking4[[#This Row],[Removed Pop Raw]]))*(10)/(ASINH(AR$4))</f>
        <v>0</v>
      </c>
      <c r="AT294" s="262">
        <f>FMS_Ranking4[[#This Row],[Removed population, ArcSinh (0-10)]]*AR$5*10</f>
        <v>0</v>
      </c>
      <c r="AU294" s="264">
        <f>_xlfn.XLOOKUP(FMS_Ranking4[[#This Row],[FMS ID]],FMS_Input[FMS_ID],FMS_Input[REMCRITFAC100])</f>
        <v>0</v>
      </c>
      <c r="AV294" s="264">
        <f>_xlfn.XLOOKUP(FMS_Ranking4[[#This Row],[FMS ID]],FMS_Input[FMS_ID],FMS_Input[REMLWC100])</f>
        <v>0</v>
      </c>
      <c r="AW294" s="264">
        <f>_xlfn.XLOOKUP(FMS_Ranking4[[#This Row],[FMS ID]],FMS_Input[FMS_ID],FMS_Input[REMROADCLS])</f>
        <v>0</v>
      </c>
      <c r="AX294" s="264">
        <f>_xlfn.XLOOKUP(FMS_Ranking4[[#This Row],[FMS ID]],FMS_Input[FMS_ID],FMS_Input[REMFRMACRE100])</f>
        <v>0</v>
      </c>
      <c r="AY294" s="258">
        <f>_xlfn.XLOOKUP(FMS_Ranking4[[#This Row],[FMS ID]],FMS_Input[FMS_ID],FMS_Input[COSTSTRUCT])</f>
        <v>0</v>
      </c>
      <c r="AZ294" s="253">
        <f>_xlfn.XLOOKUP(FMS_Ranking4[[#This Row],[FMS ID]],FMS_Input[FMS_ID],FMS_Input[NATURE])</f>
        <v>0</v>
      </c>
      <c r="BA294" s="262">
        <f>(((FMS_Ranking4[[#This Row],[% NBS Raw]]/AZ$4)*100)*AZ$5)</f>
        <v>0</v>
      </c>
      <c r="BB294" s="251" t="str">
        <f>_xlfn.XLOOKUP(FMS_Ranking4[[#This Row],[FMS ID]],FMS_Input[FMS_ID],FMS_Input[WATER_SUP])</f>
        <v>No</v>
      </c>
      <c r="BC294" s="265">
        <f>IF(FMS_Ranking4[[#This Row],[Water Supply Raw]]="Yes",10,0)</f>
        <v>0</v>
      </c>
      <c r="BD294" s="266">
        <f>_xlfn.XLOOKUP(FMS_Ranking4[[#This Row],[FMS Type]],FMS_TYPE[FMS_Type],FMS_TYPE[Score])</f>
        <v>8</v>
      </c>
      <c r="BE294" s="267">
        <f>FMS_Ranking4[[#This Row],[FMS_Type Score]]*$BD$5*10</f>
        <v>2</v>
      </c>
      <c r="BF29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0.65166807162666218</v>
      </c>
      <c r="BG294" s="271">
        <f>_xlfn.RANK.EQ(BF294,$BF$8:$BF$870,0)+COUNTIF($BF$8:BF294,BF294)-1</f>
        <v>187</v>
      </c>
      <c r="BH294" s="268">
        <f>(((FMS_Ranking4[[#This Row],[Structures Removed Raw]]/AK$4)*100)*AK$5)+(((FMS_Ranking4[[#This Row],[Removed Pop Raw]]/AR$4)*100)*AR$5)</f>
        <v>0</v>
      </c>
      <c r="BI29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2.6516680716266623</v>
      </c>
      <c r="BJ294" s="205">
        <f>_xlfn.RANK.EQ(FMS_Ranking4[[#This Row],[Total Score 
(with linear
normalization)]],FMS_Ranking4[Total Score 
(with linear
normalization)],0)</f>
        <v>215</v>
      </c>
      <c r="BK294" s="205" t="e">
        <f>_xlfn.XLOOKUP(FMS_Ranking4[[#This Row],[FMS ID]],#REF!,#REF!)</f>
        <v>#REF!</v>
      </c>
      <c r="BL29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25.008569851802108</v>
      </c>
      <c r="BM294" s="272">
        <f>FMS_Ranking4[[#This Row],[ArcSinh Score Based on Normalized Reported Factors]]+FMS_Ranking4[[#This Row],[% NBS Score (Normalized)]]+(FMS_Ranking4[[#This Row],[Water Supply Score (Normalized)]]*10*$BB$5)+FMS_Ranking4[[#This Row],[FMS_Type Score Weighted]]</f>
        <v>27.008569851802108</v>
      </c>
      <c r="BN294" s="205">
        <f>_xlfn.RANK.EQ(FMS_Ranking4[[#This Row],[Total Score (with ArcSinh normalization of select criteria)]],FMS_Ranking4[Total Score (with ArcSinh normalization of select criteria)],0)</f>
        <v>287</v>
      </c>
      <c r="BO294" s="270" t="str">
        <f>_xlfn.XLOOKUP(FMS_Ranking4[[#This Row],[FMS ID]],FMS_Input[FMS_ID],FMS_Input[FMS_RANK_YEAR])</f>
        <v>2023 Amended Plan</v>
      </c>
      <c r="BP294" s="204">
        <f>_xlfn.XLOOKUP(FMS_Ranking4[[#This Row],[FMS ID]],Prev_Rank[FMS ID],Prev_Rank[Prev Rank])</f>
        <v>250</v>
      </c>
      <c r="BQ294" s="205" t="e">
        <f>_xlfn.XLOOKUP(FMS_Ranking4[[#This Row],[FMS ID]],#REF!,#REF!)</f>
        <v>#REF!</v>
      </c>
      <c r="BR294" s="199" t="e">
        <f>SUM(#REF!,#REF!,#REF!,#REF!,#REF!,#REF!,#REF!,#REF!,#REF!,FMS_Ranking4[[#This Row],[ArcSinh Res struct removed 0-10]],#REF!)</f>
        <v>#REF!</v>
      </c>
      <c r="BS294" s="199" t="e">
        <f>FMS_Ranking4[[#This Row],[Log Score Based on Normalized Reported Factors]]+FMS_Ranking4[[#This Row],[% NBS Score (Normalized)]]+(FMS_Ranking4[[#This Row],[Water Supply Score (Normalized)]]*10*$BB$5)+(FMS_Ranking4[[#This Row],[FMS_Type Score Weighted]])</f>
        <v>#REF!</v>
      </c>
      <c r="BT294" s="200" t="e">
        <f>_xlfn.RANK.EQ(FMS_Ranking4[[#This Row],[Log Total Score]],FMS_Ranking4[Log Total Score],0)</f>
        <v>#REF!</v>
      </c>
      <c r="BU294" s="200" t="e">
        <f>_xlfn.XLOOKUP(FMS_Ranking4[[#This Row],[FMS ID]],#REF!,#REF!)</f>
        <v>#REF!</v>
      </c>
      <c r="BV294" s="200">
        <f>FMS_Ranking4[[#This Row],[Region Number]]</f>
        <v>15</v>
      </c>
      <c r="BW294" s="200">
        <f>FMS_Ranking4[[#This Row],[Rank (with ArcSinh normalization of select criteria)]]-FMS_Ranking4[[#This Row],[Rank
(with linear
normalization)]]</f>
        <v>72</v>
      </c>
      <c r="BX294" s="200" t="e">
        <f>FMS_Ranking4[[#This Row],[Log Rank]]-FMS_Ranking4[[#This Row],[Rank
(with linear
normalization)]]</f>
        <v>#REF!</v>
      </c>
      <c r="BY294" s="200" t="str">
        <f>IF(FMS_Ranking4[[#This Row],[FMS Type]]="Flood Measurement and Warning",FMS_Ranking4[[#This Row],[Rank (with ArcSinh normalization of select criteria)]],"")</f>
        <v/>
      </c>
      <c r="BZ294" s="200">
        <f>IF(FMS_Ranking4[[#This Row],[FMS Type]]="Regulatory and Guidance",FMS_Ranking4[[#This Row],[Rank (with ArcSinh normalization of select criteria)]],"")</f>
        <v>287</v>
      </c>
      <c r="CA294" s="200" t="str">
        <f>IF(FMS_Ranking4[[#This Row],[FMS Type]]="Education and Outreach",FMS_Ranking4[[#This Row],[Rank (with ArcSinh normalization of select criteria)]],"")</f>
        <v/>
      </c>
      <c r="CB294" s="200" t="str">
        <f>IF(FMS_Ranking4[[#This Row],[FMS Type]]="Property Acquisition and Structural Elevation",FMS_Ranking4[[#This Row],[Rank (with ArcSinh normalization of select criteria)]],"")</f>
        <v/>
      </c>
      <c r="CC294" s="200" t="str">
        <f>IF(FMS_Ranking4[[#This Row],[FMS Type]]="Infrastructure Projects",FMS_Ranking4[[#This Row],[Rank (with ArcSinh normalization of select criteria)]],"")</f>
        <v/>
      </c>
      <c r="CD294" s="200" t="str">
        <f>IF(FMS_Ranking4[[#This Row],[FMS Type]]="Other",FMS_Ranking4[[#This Row],[Rank (with ArcSinh normalization of select criteria)]],"")</f>
        <v/>
      </c>
      <c r="CE294" s="201"/>
      <c r="CF294" s="206"/>
      <c r="CG294" s="206"/>
      <c r="CH294" s="206"/>
      <c r="CI294" s="206"/>
      <c r="CJ294" s="206"/>
      <c r="CK294" s="206"/>
      <c r="CL294" s="206"/>
      <c r="CM294" s="206"/>
      <c r="CN294" s="206"/>
      <c r="CO294" s="206"/>
      <c r="CP294" s="206"/>
      <c r="CQ294" s="206"/>
      <c r="CR294" s="206"/>
    </row>
    <row r="295" spans="2:96" ht="75" x14ac:dyDescent="0.25">
      <c r="B295" s="341" t="s">
        <v>3866</v>
      </c>
      <c r="C295" s="246">
        <f>_xlfn.XLOOKUP(FMS_Ranking4[[#This Row],[FMS ID]],FMS_Input[FMS_ID],FMS_Input[RFPG_NUM])</f>
        <v>15</v>
      </c>
      <c r="D295" s="309" t="str">
        <f>_xlfn.XLOOKUP(FMS_Ranking4[[#This Row],[FMS ID]],FMS_Input[FMS_ID],FMS_Input[FMS_NAME])</f>
        <v>Alamo #5-1.1</v>
      </c>
      <c r="E295" s="308" t="str">
        <f>_xlfn.XLOOKUP(FMS_Ranking4[[#This Row],[FMS ID]],FMS_Input[FMS_ID],FMS_Input[SPONSOR])</f>
        <v>15000055</v>
      </c>
      <c r="F295" s="309" t="str">
        <f>_xlfn.XLOOKUP(FMS_Ranking4[[#This Row],[FMS ID]],Sponsor[FMS_ID],Sponsor[SPONSOR NAME])</f>
        <v>Alamo</v>
      </c>
      <c r="G295" s="309" t="str">
        <f>_xlfn.XLOOKUP(FMS_Ranking4[[#This Row],[FMS ID]],FMS_Input[FMS_ID],FMS_Input[FMS_DESCR])</f>
        <v>Develop a Program To Provide Links To Weather Alerts And Departmental Phone Listings With Contact Personnel For Residents.</v>
      </c>
      <c r="H295" s="248" t="str">
        <f>_xlfn.XLOOKUP(FMS_Ranking4[[#This Row],[FMS ID]],FMS_Input[FMS_ID],FMS_Input[FMS_TYPE])</f>
        <v>Flood Measurement and Warning</v>
      </c>
      <c r="I295" s="249">
        <f>_xlfn.XLOOKUP(FMS_Ranking4[[#This Row],[FMS ID]],FMS_Input[FMS_ID],FMS_Input[NRNC_COST])</f>
        <v>1000</v>
      </c>
      <c r="J295" s="250">
        <f>_xlfn.XLOOKUP(FMS_Ranking4[[#This Row],[FMS ID]],FMS_Input[FMS_ID],FMS_Input[FMS_COST])</f>
        <v>2000</v>
      </c>
      <c r="K295" s="251" t="str">
        <f>_xlfn.XLOOKUP(FMS_Ranking4[[#This Row],[FMS ID]],FMS_Input[FMS_ID],FMS_Input[EMER_NEED])</f>
        <v>Yes</v>
      </c>
      <c r="L295" s="252">
        <f t="shared" si="4"/>
        <v>1</v>
      </c>
      <c r="M295" s="253">
        <f>_xlfn.XLOOKUP(FMS_Ranking4[[#This Row],[FMS ID]],FMS_Input[FMS_ID],FMS_Input[STRUCT_100])</f>
        <v>4822</v>
      </c>
      <c r="N295" s="255">
        <f>(ASINH(FMS_Ranking4[[#This Row],[Structure at Risk Raw]]))*(10)/(ASINH(M$4))</f>
        <v>7.2122016855658932</v>
      </c>
      <c r="O295" s="256">
        <f>FMS_Ranking4[[#This Row],[Structures at risk, ArcSinh (0-10)]]*M$5*10</f>
        <v>7.2122016855658932</v>
      </c>
      <c r="P295" s="253">
        <f>_xlfn.XLOOKUP(FMS_Ranking4[[#This Row],[FMS ID]],FMS_Input[FMS_ID],FMS_Input[RES_STRUCT100])</f>
        <v>3640</v>
      </c>
      <c r="Q295" s="257">
        <f>ASINH(FMS_Ranking4[[#This Row],[Res Structure Raw]])/Q$4*P$5*100</f>
        <v>0</v>
      </c>
      <c r="R295" s="253">
        <f>_xlfn.XLOOKUP(FMS_Ranking4[[#This Row],[FMS ID]],FMS_Input[FMS_ID],FMS_Input[POP100])</f>
        <v>14357</v>
      </c>
      <c r="S295" s="259">
        <f>(ASINH(FMS_Ranking4[[#This Row],[Pop at Risk Raw]]))*(10)/(ASINH(R$4))</f>
        <v>7.0866238185877908</v>
      </c>
      <c r="T295" s="256">
        <f>FMS_Ranking4[[#This Row],[Population at risk, ArcSinh (0-10)]]*R$5*10</f>
        <v>7.0866238185877917</v>
      </c>
      <c r="U295" s="253">
        <f>_xlfn.XLOOKUP(FMS_Ranking4[[#This Row],[FMS ID]],FMS_Input[FMS_ID],FMS_Input[CRITFAC100])</f>
        <v>4</v>
      </c>
      <c r="V295" s="259">
        <f>(ASINH(FMS_Ranking4[[#This Row],[Critical Facilities Raw]]))*(10)/(ASINH(U$4))</f>
        <v>2.4796455944038147</v>
      </c>
      <c r="W295" s="256">
        <f>FMS_Ranking4[[#This Row],[Critical facilities at risk, ArcSinh (0-10)]]*U$5*10</f>
        <v>2.4796455944038147</v>
      </c>
      <c r="X295" s="253">
        <f>_xlfn.XLOOKUP(FMS_Ranking4[[#This Row],[FMS ID]],FMS_Input[FMS_ID],FMS_Input[LWC])</f>
        <v>0</v>
      </c>
      <c r="Y295" s="259">
        <f>(ASINH(FMS_Ranking4[[#This Row],[LWC Raw]]))*(10)/(ASINH(X$4))</f>
        <v>0</v>
      </c>
      <c r="Z295" s="256">
        <f>FMS_Ranking4[[#This Row],[LWC, ArcSInh (0-10)]]*X$5*10</f>
        <v>0</v>
      </c>
      <c r="AA295" s="253">
        <f>_xlfn.XLOOKUP(FMS_Ranking4[[#This Row],[FMS ID]],FMS_Input[FMS_ID],FMS_Input[ROADCLS])</f>
        <v>0</v>
      </c>
      <c r="AB295" s="255">
        <f>(ASINH(FMS_Ranking4[[#This Row],[Road Closures Raw]]))*(10)/(ASINH(AA$4))</f>
        <v>0</v>
      </c>
      <c r="AC295" s="256">
        <f>FMS_Ranking4[[#This Row],[Road closures, ArcSinh (0-10)]]*AA$5*10</f>
        <v>0</v>
      </c>
      <c r="AD295" s="253">
        <f>_xlfn.XLOOKUP(FMS_Ranking4[[#This Row],[FMS ID]],FMS_Input[FMS_ID],FMS_Input[ROAD_MILES100])</f>
        <v>71</v>
      </c>
      <c r="AE295" s="259">
        <f>(ASINH(FMS_Ranking4[[#This Row],[Road Miles Raw]]))*(10)/(ASINH(AD$4))</f>
        <v>5.2816010241547486</v>
      </c>
      <c r="AF295" s="256">
        <f>FMS_Ranking4[[#This Row],[Length of roads at risk, ArcSinh (0-10)]]*AD$5*10</f>
        <v>5.2816010241547486</v>
      </c>
      <c r="AG295" s="253">
        <f>_xlfn.XLOOKUP(FMS_Ranking4[[#This Row],[FMS ID]],FMS_Input[FMS_ID],FMS_Input[FARMACRE100])</f>
        <v>936.8443603515625</v>
      </c>
      <c r="AH295" s="255">
        <f>(ASINH(FMS_Ranking4[[#This Row],[Ag Land Raw]]))*(10)/(ASINH(AG$4))</f>
        <v>4.895028102383618</v>
      </c>
      <c r="AI295" s="260">
        <f>FMS_Ranking4[[#This Row],[Farm &amp; ranch land, ArcSinh (0-10)]]*AG$5*10</f>
        <v>2.447514051191809</v>
      </c>
      <c r="AJ295" s="258">
        <f>_xlfn.XLOOKUP(FMS_Ranking4[[#This Row],[FMS ID]],FMS_Input[FMS_ID],FMS_Input[REDSTRUCT100])</f>
        <v>0</v>
      </c>
      <c r="AK295" s="253">
        <f>_xlfn.XLOOKUP(FMS_Ranking4[[#This Row],[FMS ID]],FMS_Input[FMS_ID],FMS_Input[REMSTRC100])</f>
        <v>0</v>
      </c>
      <c r="AL295" s="259">
        <f>(ASINH(FMS_Ranking4[[#This Row],[Structures Removed Raw]]))*(10)/(ASINH(AK$4))</f>
        <v>0</v>
      </c>
      <c r="AM295" s="262">
        <f>FMS_Ranking4[[#This Row],[Structures removed, ArcSinh (0-10)]]*AK$5*10</f>
        <v>0</v>
      </c>
      <c r="AN295" s="253">
        <f>_xlfn.XLOOKUP(FMS_Ranking4[[#This Row],[FMS ID]],FMS_Input[FMS_ID],FMS_Input[REMRESSTRC100])</f>
        <v>0</v>
      </c>
      <c r="AO295" s="261">
        <f>FMS_Ranking4[[#This Row],[ArcSinh Res struct removed 0-10]]*AN$5*10</f>
        <v>0</v>
      </c>
      <c r="AP295" s="260">
        <f>ASINH(FMS_Ranking4[[#This Row],[Residential Structures Removed Raw]])/AP$4*AN$5*100</f>
        <v>0</v>
      </c>
      <c r="AQ295" s="254">
        <f>(ASINH(FMS_Ranking4[[#This Row],[Residential Structures Removed Raw]]))*(10)/(ASINH(AN$4))</f>
        <v>0</v>
      </c>
      <c r="AR295" s="253">
        <f>_xlfn.XLOOKUP(FMS_Ranking4[[#This Row],[FMS ID]],FMS_Input[FMS_ID],FMS_Input[REMPOP100])</f>
        <v>0</v>
      </c>
      <c r="AS295" s="259">
        <f>(ASINH(FMS_Ranking4[[#This Row],[Removed Pop Raw]]))*(10)/(ASINH(AR$4))</f>
        <v>0</v>
      </c>
      <c r="AT295" s="262">
        <f>FMS_Ranking4[[#This Row],[Removed population, ArcSinh (0-10)]]*AR$5*10</f>
        <v>0</v>
      </c>
      <c r="AU295" s="264">
        <f>_xlfn.XLOOKUP(FMS_Ranking4[[#This Row],[FMS ID]],FMS_Input[FMS_ID],FMS_Input[REMCRITFAC100])</f>
        <v>0</v>
      </c>
      <c r="AV295" s="264">
        <f>_xlfn.XLOOKUP(FMS_Ranking4[[#This Row],[FMS ID]],FMS_Input[FMS_ID],FMS_Input[REMLWC100])</f>
        <v>0</v>
      </c>
      <c r="AW295" s="264">
        <f>_xlfn.XLOOKUP(FMS_Ranking4[[#This Row],[FMS ID]],FMS_Input[FMS_ID],FMS_Input[REMROADCLS])</f>
        <v>0</v>
      </c>
      <c r="AX295" s="264">
        <f>_xlfn.XLOOKUP(FMS_Ranking4[[#This Row],[FMS ID]],FMS_Input[FMS_ID],FMS_Input[REMFRMACRE100])</f>
        <v>0</v>
      </c>
      <c r="AY295" s="258">
        <f>_xlfn.XLOOKUP(FMS_Ranking4[[#This Row],[FMS ID]],FMS_Input[FMS_ID],FMS_Input[COSTSTRUCT])</f>
        <v>0</v>
      </c>
      <c r="AZ295" s="253">
        <f>_xlfn.XLOOKUP(FMS_Ranking4[[#This Row],[FMS ID]],FMS_Input[FMS_ID],FMS_Input[NATURE])</f>
        <v>0</v>
      </c>
      <c r="BA295" s="262">
        <f>(((FMS_Ranking4[[#This Row],[% NBS Raw]]/AZ$4)*100)*AZ$5)</f>
        <v>0</v>
      </c>
      <c r="BB295" s="251" t="str">
        <f>_xlfn.XLOOKUP(FMS_Ranking4[[#This Row],[FMS ID]],FMS_Input[FMS_ID],FMS_Input[WATER_SUP])</f>
        <v>No</v>
      </c>
      <c r="BC295" s="265">
        <f>IF(FMS_Ranking4[[#This Row],[Water Supply Raw]]="Yes",10,0)</f>
        <v>0</v>
      </c>
      <c r="BD295" s="266">
        <f>_xlfn.XLOOKUP(FMS_Ranking4[[#This Row],[FMS Type]],FMS_TYPE[FMS_Type],FMS_TYPE[Score])</f>
        <v>10</v>
      </c>
      <c r="BE295" s="267">
        <f>FMS_Ranking4[[#This Row],[FMS_Type Score]]*$BD$5*10</f>
        <v>2.5</v>
      </c>
      <c r="BF29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0.57386085572988599</v>
      </c>
      <c r="BG295" s="271">
        <f>_xlfn.RANK.EQ(BF295,$BF$8:$BF$870,0)+COUNTIF($BF$8:BF295,BF295)-1</f>
        <v>199</v>
      </c>
      <c r="BH295" s="268">
        <f>(((FMS_Ranking4[[#This Row],[Structures Removed Raw]]/AK$4)*100)*AK$5)+(((FMS_Ranking4[[#This Row],[Removed Pop Raw]]/AR$4)*100)*AR$5)</f>
        <v>0</v>
      </c>
      <c r="BI29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3.0738608557298859</v>
      </c>
      <c r="BJ295" s="205">
        <f>_xlfn.RANK.EQ(FMS_Ranking4[[#This Row],[Total Score 
(with linear
normalization)]],FMS_Ranking4[Total Score 
(with linear
normalization)],0)</f>
        <v>166</v>
      </c>
      <c r="BK295" s="205" t="e">
        <f>_xlfn.XLOOKUP(FMS_Ranking4[[#This Row],[FMS ID]],#REF!,#REF!)</f>
        <v>#REF!</v>
      </c>
      <c r="BL29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24.507586173904059</v>
      </c>
      <c r="BM295" s="272">
        <f>FMS_Ranking4[[#This Row],[ArcSinh Score Based on Normalized Reported Factors]]+FMS_Ranking4[[#This Row],[% NBS Score (Normalized)]]+(FMS_Ranking4[[#This Row],[Water Supply Score (Normalized)]]*10*$BB$5)+FMS_Ranking4[[#This Row],[FMS_Type Score Weighted]]</f>
        <v>27.007586173904059</v>
      </c>
      <c r="BN295" s="205">
        <f>_xlfn.RANK.EQ(FMS_Ranking4[[#This Row],[Total Score (with ArcSinh normalization of select criteria)]],FMS_Ranking4[Total Score (with ArcSinh normalization of select criteria)],0)</f>
        <v>288</v>
      </c>
      <c r="BO295" s="270" t="str">
        <f>_xlfn.XLOOKUP(FMS_Ranking4[[#This Row],[FMS ID]],FMS_Input[FMS_ID],FMS_Input[FMS_RANK_YEAR])</f>
        <v>2023 Amended Plan</v>
      </c>
      <c r="BP295" s="204">
        <f>_xlfn.XLOOKUP(FMS_Ranking4[[#This Row],[FMS ID]],Prev_Rank[FMS ID],Prev_Rank[Prev Rank])</f>
        <v>251</v>
      </c>
      <c r="BQ295" s="205" t="e">
        <f>_xlfn.XLOOKUP(FMS_Ranking4[[#This Row],[FMS ID]],#REF!,#REF!)</f>
        <v>#REF!</v>
      </c>
      <c r="BR295" s="199" t="e">
        <f>SUM(#REF!,#REF!,#REF!,#REF!,#REF!,#REF!,#REF!,#REF!,#REF!,FMS_Ranking4[[#This Row],[ArcSinh Res struct removed 0-10]],#REF!)</f>
        <v>#REF!</v>
      </c>
      <c r="BS295" s="199" t="e">
        <f>FMS_Ranking4[[#This Row],[Log Score Based on Normalized Reported Factors]]+FMS_Ranking4[[#This Row],[% NBS Score (Normalized)]]+(FMS_Ranking4[[#This Row],[Water Supply Score (Normalized)]]*10*$BB$5)+(FMS_Ranking4[[#This Row],[FMS_Type Score Weighted]])</f>
        <v>#REF!</v>
      </c>
      <c r="BT295" s="200" t="e">
        <f>_xlfn.RANK.EQ(FMS_Ranking4[[#This Row],[Log Total Score]],FMS_Ranking4[Log Total Score],0)</f>
        <v>#REF!</v>
      </c>
      <c r="BU295" s="200" t="e">
        <f>_xlfn.XLOOKUP(FMS_Ranking4[[#This Row],[FMS ID]],#REF!,#REF!)</f>
        <v>#REF!</v>
      </c>
      <c r="BV295" s="200">
        <f>FMS_Ranking4[[#This Row],[Region Number]]</f>
        <v>15</v>
      </c>
      <c r="BW295" s="200">
        <f>FMS_Ranking4[[#This Row],[Rank (with ArcSinh normalization of select criteria)]]-FMS_Ranking4[[#This Row],[Rank
(with linear
normalization)]]</f>
        <v>122</v>
      </c>
      <c r="BX295" s="200" t="e">
        <f>FMS_Ranking4[[#This Row],[Log Rank]]-FMS_Ranking4[[#This Row],[Rank
(with linear
normalization)]]</f>
        <v>#REF!</v>
      </c>
      <c r="BY295" s="200">
        <f>IF(FMS_Ranking4[[#This Row],[FMS Type]]="Flood Measurement and Warning",FMS_Ranking4[[#This Row],[Rank (with ArcSinh normalization of select criteria)]],"")</f>
        <v>288</v>
      </c>
      <c r="BZ295" s="200" t="str">
        <f>IF(FMS_Ranking4[[#This Row],[FMS Type]]="Regulatory and Guidance",FMS_Ranking4[[#This Row],[Rank (with ArcSinh normalization of select criteria)]],"")</f>
        <v/>
      </c>
      <c r="CA295" s="200" t="str">
        <f>IF(FMS_Ranking4[[#This Row],[FMS Type]]="Education and Outreach",FMS_Ranking4[[#This Row],[Rank (with ArcSinh normalization of select criteria)]],"")</f>
        <v/>
      </c>
      <c r="CB295" s="200" t="str">
        <f>IF(FMS_Ranking4[[#This Row],[FMS Type]]="Property Acquisition and Structural Elevation",FMS_Ranking4[[#This Row],[Rank (with ArcSinh normalization of select criteria)]],"")</f>
        <v/>
      </c>
      <c r="CC295" s="200" t="str">
        <f>IF(FMS_Ranking4[[#This Row],[FMS Type]]="Infrastructure Projects",FMS_Ranking4[[#This Row],[Rank (with ArcSinh normalization of select criteria)]],"")</f>
        <v/>
      </c>
      <c r="CD295" s="200" t="str">
        <f>IF(FMS_Ranking4[[#This Row],[FMS Type]]="Other",FMS_Ranking4[[#This Row],[Rank (with ArcSinh normalization of select criteria)]],"")</f>
        <v/>
      </c>
      <c r="CE295" s="201"/>
      <c r="CF295" s="206"/>
      <c r="CG295" s="206"/>
      <c r="CH295" s="206"/>
      <c r="CI295" s="206"/>
      <c r="CJ295" s="206"/>
      <c r="CK295" s="206"/>
      <c r="CL295" s="206"/>
      <c r="CM295" s="206"/>
      <c r="CN295" s="206"/>
      <c r="CO295" s="206"/>
      <c r="CP295" s="206"/>
      <c r="CQ295" s="206"/>
      <c r="CR295" s="206"/>
    </row>
    <row r="296" spans="2:96" ht="60" x14ac:dyDescent="0.25">
      <c r="B296" s="346" t="s">
        <v>3869</v>
      </c>
      <c r="C296" s="246">
        <f>_xlfn.XLOOKUP(FMS_Ranking4[[#This Row],[FMS ID]],FMS_Input[FMS_ID],FMS_Input[RFPG_NUM])</f>
        <v>15</v>
      </c>
      <c r="D296" s="309" t="str">
        <f>_xlfn.XLOOKUP(FMS_Ranking4[[#This Row],[FMS ID]],FMS_Input[FMS_ID],FMS_Input[FMS_NAME])</f>
        <v>Alamo # 4-1.2</v>
      </c>
      <c r="E296" s="308" t="str">
        <f>_xlfn.XLOOKUP(FMS_Ranking4[[#This Row],[FMS ID]],FMS_Input[FMS_ID],FMS_Input[SPONSOR])</f>
        <v>15000055</v>
      </c>
      <c r="F296" s="309" t="str">
        <f>_xlfn.XLOOKUP(FMS_Ranking4[[#This Row],[FMS ID]],Sponsor[FMS_ID],Sponsor[SPONSOR NAME])</f>
        <v>Alamo</v>
      </c>
      <c r="G296" s="309" t="str">
        <f>_xlfn.XLOOKUP(FMS_Ranking4[[#This Row],[FMS ID]],FMS_Input[FMS_ID],FMS_Input[FMS_DESCR])</f>
        <v>Develop a plan to Provide Traffic Control And Evacuation Assistance During Emergency Situations</v>
      </c>
      <c r="H296" s="248" t="str">
        <f>_xlfn.XLOOKUP(FMS_Ranking4[[#This Row],[FMS ID]],FMS_Input[FMS_ID],FMS_Input[FMS_TYPE])</f>
        <v>Flood Measurement and Warning</v>
      </c>
      <c r="I296" s="249">
        <f>_xlfn.XLOOKUP(FMS_Ranking4[[#This Row],[FMS ID]],FMS_Input[FMS_ID],FMS_Input[NRNC_COST])</f>
        <v>1000</v>
      </c>
      <c r="J296" s="250">
        <f>_xlfn.XLOOKUP(FMS_Ranking4[[#This Row],[FMS ID]],FMS_Input[FMS_ID],FMS_Input[FMS_COST])</f>
        <v>10000</v>
      </c>
      <c r="K296" s="251" t="str">
        <f>_xlfn.XLOOKUP(FMS_Ranking4[[#This Row],[FMS ID]],FMS_Input[FMS_ID],FMS_Input[EMER_NEED])</f>
        <v>Yes</v>
      </c>
      <c r="L296" s="252">
        <f t="shared" si="4"/>
        <v>1</v>
      </c>
      <c r="M296" s="253">
        <f>_xlfn.XLOOKUP(FMS_Ranking4[[#This Row],[FMS ID]],FMS_Input[FMS_ID],FMS_Input[STRUCT_100])</f>
        <v>4822</v>
      </c>
      <c r="N296" s="255">
        <f>(ASINH(FMS_Ranking4[[#This Row],[Structure at Risk Raw]]))*(10)/(ASINH(M$4))</f>
        <v>7.2122016855658932</v>
      </c>
      <c r="O296" s="256">
        <f>FMS_Ranking4[[#This Row],[Structures at risk, ArcSinh (0-10)]]*M$5*10</f>
        <v>7.2122016855658932</v>
      </c>
      <c r="P296" s="253">
        <f>_xlfn.XLOOKUP(FMS_Ranking4[[#This Row],[FMS ID]],FMS_Input[FMS_ID],FMS_Input[RES_STRUCT100])</f>
        <v>3640</v>
      </c>
      <c r="Q296" s="257">
        <f>ASINH(FMS_Ranking4[[#This Row],[Res Structure Raw]])/Q$4*P$5*100</f>
        <v>0</v>
      </c>
      <c r="R296" s="253">
        <f>_xlfn.XLOOKUP(FMS_Ranking4[[#This Row],[FMS ID]],FMS_Input[FMS_ID],FMS_Input[POP100])</f>
        <v>14357</v>
      </c>
      <c r="S296" s="255">
        <f>(ASINH(FMS_Ranking4[[#This Row],[Pop at Risk Raw]]))*(10)/(ASINH(R$4))</f>
        <v>7.0866238185877908</v>
      </c>
      <c r="T296" s="256">
        <f>FMS_Ranking4[[#This Row],[Population at risk, ArcSinh (0-10)]]*R$5*10</f>
        <v>7.0866238185877917</v>
      </c>
      <c r="U296" s="253">
        <f>_xlfn.XLOOKUP(FMS_Ranking4[[#This Row],[FMS ID]],FMS_Input[FMS_ID],FMS_Input[CRITFAC100])</f>
        <v>4</v>
      </c>
      <c r="V296" s="255">
        <f>(ASINH(FMS_Ranking4[[#This Row],[Critical Facilities Raw]]))*(10)/(ASINH(U$4))</f>
        <v>2.4796455944038147</v>
      </c>
      <c r="W296" s="256">
        <f>FMS_Ranking4[[#This Row],[Critical facilities at risk, ArcSinh (0-10)]]*U$5*10</f>
        <v>2.4796455944038147</v>
      </c>
      <c r="X296" s="253">
        <f>_xlfn.XLOOKUP(FMS_Ranking4[[#This Row],[FMS ID]],FMS_Input[FMS_ID],FMS_Input[LWC])</f>
        <v>0</v>
      </c>
      <c r="Y296" s="255">
        <f>(ASINH(FMS_Ranking4[[#This Row],[LWC Raw]]))*(10)/(ASINH(X$4))</f>
        <v>0</v>
      </c>
      <c r="Z296" s="256">
        <f>FMS_Ranking4[[#This Row],[LWC, ArcSInh (0-10)]]*X$5*10</f>
        <v>0</v>
      </c>
      <c r="AA296" s="253">
        <f>_xlfn.XLOOKUP(FMS_Ranking4[[#This Row],[FMS ID]],FMS_Input[FMS_ID],FMS_Input[ROADCLS])</f>
        <v>0</v>
      </c>
      <c r="AB296" s="255">
        <f>(ASINH(FMS_Ranking4[[#This Row],[Road Closures Raw]]))*(10)/(ASINH(AA$4))</f>
        <v>0</v>
      </c>
      <c r="AC296" s="256">
        <f>FMS_Ranking4[[#This Row],[Road closures, ArcSinh (0-10)]]*AA$5*10</f>
        <v>0</v>
      </c>
      <c r="AD296" s="253">
        <f>_xlfn.XLOOKUP(FMS_Ranking4[[#This Row],[FMS ID]],FMS_Input[FMS_ID],FMS_Input[ROAD_MILES100])</f>
        <v>71</v>
      </c>
      <c r="AE296" s="255">
        <f>(ASINH(FMS_Ranking4[[#This Row],[Road Miles Raw]]))*(10)/(ASINH(AD$4))</f>
        <v>5.2816010241547486</v>
      </c>
      <c r="AF296" s="256">
        <f>FMS_Ranking4[[#This Row],[Length of roads at risk, ArcSinh (0-10)]]*AD$5*10</f>
        <v>5.2816010241547486</v>
      </c>
      <c r="AG296" s="253">
        <f>_xlfn.XLOOKUP(FMS_Ranking4[[#This Row],[FMS ID]],FMS_Input[FMS_ID],FMS_Input[FARMACRE100])</f>
        <v>936.8443603515625</v>
      </c>
      <c r="AH296" s="255">
        <f>(ASINH(FMS_Ranking4[[#This Row],[Ag Land Raw]]))*(10)/(ASINH(AG$4))</f>
        <v>4.895028102383618</v>
      </c>
      <c r="AI296" s="260">
        <f>FMS_Ranking4[[#This Row],[Farm &amp; ranch land, ArcSinh (0-10)]]*AG$5*10</f>
        <v>2.447514051191809</v>
      </c>
      <c r="AJ296" s="258">
        <f>_xlfn.XLOOKUP(FMS_Ranking4[[#This Row],[FMS ID]],FMS_Input[FMS_ID],FMS_Input[REDSTRUCT100])</f>
        <v>0</v>
      </c>
      <c r="AK296" s="253">
        <f>_xlfn.XLOOKUP(FMS_Ranking4[[#This Row],[FMS ID]],FMS_Input[FMS_ID],FMS_Input[REMSTRC100])</f>
        <v>0</v>
      </c>
      <c r="AL296" s="255">
        <f>(ASINH(FMS_Ranking4[[#This Row],[Structures Removed Raw]]))*(10)/(ASINH(AK$4))</f>
        <v>0</v>
      </c>
      <c r="AM296" s="262">
        <f>FMS_Ranking4[[#This Row],[Structures removed, ArcSinh (0-10)]]*AK$5*10</f>
        <v>0</v>
      </c>
      <c r="AN296" s="253">
        <f>_xlfn.XLOOKUP(FMS_Ranking4[[#This Row],[FMS ID]],FMS_Input[FMS_ID],FMS_Input[REMRESSTRC100])</f>
        <v>0</v>
      </c>
      <c r="AO296" s="261">
        <f>FMS_Ranking4[[#This Row],[ArcSinh Res struct removed 0-10]]*AN$5*10</f>
        <v>0</v>
      </c>
      <c r="AP296" s="260">
        <f>ASINH(FMS_Ranking4[[#This Row],[Residential Structures Removed Raw]])/AP$4*AN$5*100</f>
        <v>0</v>
      </c>
      <c r="AQ296" s="258">
        <f>(ASINH(FMS_Ranking4[[#This Row],[Residential Structures Removed Raw]]))*(10)/(ASINH(AN$4))</f>
        <v>0</v>
      </c>
      <c r="AR296" s="253">
        <f>_xlfn.XLOOKUP(FMS_Ranking4[[#This Row],[FMS ID]],FMS_Input[FMS_ID],FMS_Input[REMPOP100])</f>
        <v>0</v>
      </c>
      <c r="AS296" s="255">
        <f>(ASINH(FMS_Ranking4[[#This Row],[Removed Pop Raw]]))*(10)/(ASINH(AR$4))</f>
        <v>0</v>
      </c>
      <c r="AT296" s="262">
        <f>FMS_Ranking4[[#This Row],[Removed population, ArcSinh (0-10)]]*AR$5*10</f>
        <v>0</v>
      </c>
      <c r="AU296" s="264">
        <f>_xlfn.XLOOKUP(FMS_Ranking4[[#This Row],[FMS ID]],FMS_Input[FMS_ID],FMS_Input[REMCRITFAC100])</f>
        <v>0</v>
      </c>
      <c r="AV296" s="264">
        <f>_xlfn.XLOOKUP(FMS_Ranking4[[#This Row],[FMS ID]],FMS_Input[FMS_ID],FMS_Input[REMLWC100])</f>
        <v>0</v>
      </c>
      <c r="AW296" s="264">
        <f>_xlfn.XLOOKUP(FMS_Ranking4[[#This Row],[FMS ID]],FMS_Input[FMS_ID],FMS_Input[REMROADCLS])</f>
        <v>0</v>
      </c>
      <c r="AX296" s="264">
        <f>_xlfn.XLOOKUP(FMS_Ranking4[[#This Row],[FMS ID]],FMS_Input[FMS_ID],FMS_Input[REMFRMACRE100])</f>
        <v>0</v>
      </c>
      <c r="AY296" s="258">
        <f>_xlfn.XLOOKUP(FMS_Ranking4[[#This Row],[FMS ID]],FMS_Input[FMS_ID],FMS_Input[COSTSTRUCT])</f>
        <v>0</v>
      </c>
      <c r="AZ296" s="253">
        <f>_xlfn.XLOOKUP(FMS_Ranking4[[#This Row],[FMS ID]],FMS_Input[FMS_ID],FMS_Input[NATURE])</f>
        <v>0</v>
      </c>
      <c r="BA296" s="262">
        <f>(((FMS_Ranking4[[#This Row],[% NBS Raw]]/AZ$4)*100)*AZ$5)</f>
        <v>0</v>
      </c>
      <c r="BB296" s="251" t="str">
        <f>_xlfn.XLOOKUP(FMS_Ranking4[[#This Row],[FMS ID]],FMS_Input[FMS_ID],FMS_Input[WATER_SUP])</f>
        <v>No</v>
      </c>
      <c r="BC296" s="265">
        <f>IF(FMS_Ranking4[[#This Row],[Water Supply Raw]]="Yes",10,0)</f>
        <v>0</v>
      </c>
      <c r="BD296" s="266">
        <f>_xlfn.XLOOKUP(FMS_Ranking4[[#This Row],[FMS Type]],FMS_TYPE[FMS_Type],FMS_TYPE[Score])</f>
        <v>10</v>
      </c>
      <c r="BE296" s="267">
        <f>FMS_Ranking4[[#This Row],[FMS_Type Score]]*$BD$5*10</f>
        <v>2.5</v>
      </c>
      <c r="BF29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0.57386085572988599</v>
      </c>
      <c r="BG296" s="293">
        <f>_xlfn.RANK.EQ(BF296,$BF$8:$BF$870,0)+COUNTIF($BF$8:BF296,BF296)-1</f>
        <v>200</v>
      </c>
      <c r="BH296" s="294">
        <f>(((FMS_Ranking4[[#This Row],[Structures Removed Raw]]/AK$4)*100)*AK$5)+(((FMS_Ranking4[[#This Row],[Removed Pop Raw]]/AR$4)*100)*AR$5)</f>
        <v>0</v>
      </c>
      <c r="BI29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3.0738608557298859</v>
      </c>
      <c r="BJ296" s="251">
        <f>_xlfn.RANK.EQ(FMS_Ranking4[[#This Row],[Total Score 
(with linear
normalization)]],FMS_Ranking4[Total Score 
(with linear
normalization)],0)</f>
        <v>166</v>
      </c>
      <c r="BK296" s="251" t="e">
        <f>_xlfn.XLOOKUP(FMS_Ranking4[[#This Row],[FMS ID]],#REF!,#REF!)</f>
        <v>#REF!</v>
      </c>
      <c r="BL29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24.507586173904059</v>
      </c>
      <c r="BM296" s="324">
        <f>FMS_Ranking4[[#This Row],[ArcSinh Score Based on Normalized Reported Factors]]+FMS_Ranking4[[#This Row],[% NBS Score (Normalized)]]+(FMS_Ranking4[[#This Row],[Water Supply Score (Normalized)]]*10*$BB$5)+FMS_Ranking4[[#This Row],[FMS_Type Score Weighted]]</f>
        <v>27.007586173904059</v>
      </c>
      <c r="BN296" s="251">
        <f>_xlfn.RANK.EQ(FMS_Ranking4[[#This Row],[Total Score (with ArcSinh normalization of select criteria)]],FMS_Ranking4[Total Score (with ArcSinh normalization of select criteria)],0)</f>
        <v>288</v>
      </c>
      <c r="BO296" s="270" t="str">
        <f>_xlfn.XLOOKUP(FMS_Ranking4[[#This Row],[FMS ID]],FMS_Input[FMS_ID],FMS_Input[FMS_RANK_YEAR])</f>
        <v>2023 Amended Plan</v>
      </c>
      <c r="BP296" s="324">
        <f>_xlfn.XLOOKUP(FMS_Ranking4[[#This Row],[FMS ID]],Prev_Rank[FMS ID],Prev_Rank[Prev Rank])</f>
        <v>251</v>
      </c>
      <c r="BQ296" s="251" t="e">
        <f>_xlfn.XLOOKUP(FMS_Ranking4[[#This Row],[FMS ID]],#REF!,#REF!)</f>
        <v>#REF!</v>
      </c>
      <c r="BR296" s="199" t="e">
        <f>SUM(#REF!,#REF!,#REF!,#REF!,#REF!,#REF!,#REF!,#REF!,#REF!,FMS_Ranking4[[#This Row],[ArcSinh Res struct removed 0-10]],#REF!)</f>
        <v>#REF!</v>
      </c>
      <c r="BS296" s="199" t="e">
        <f>FMS_Ranking4[[#This Row],[Log Score Based on Normalized Reported Factors]]+FMS_Ranking4[[#This Row],[% NBS Score (Normalized)]]+(FMS_Ranking4[[#This Row],[Water Supply Score (Normalized)]]*10*$BB$5)+(FMS_Ranking4[[#This Row],[FMS_Type Score Weighted]])</f>
        <v>#REF!</v>
      </c>
      <c r="BT296" s="200" t="e">
        <f>_xlfn.RANK.EQ(FMS_Ranking4[[#This Row],[Log Total Score]],FMS_Ranking4[Log Total Score],0)</f>
        <v>#REF!</v>
      </c>
      <c r="BU296" s="200" t="e">
        <f>_xlfn.XLOOKUP(FMS_Ranking4[[#This Row],[FMS ID]],#REF!,#REF!)</f>
        <v>#REF!</v>
      </c>
      <c r="BV296" s="200">
        <f>FMS_Ranking4[[#This Row],[Region Number]]</f>
        <v>15</v>
      </c>
      <c r="BW296" s="200">
        <f>FMS_Ranking4[[#This Row],[Rank (with ArcSinh normalization of select criteria)]]-FMS_Ranking4[[#This Row],[Rank
(with linear
normalization)]]</f>
        <v>122</v>
      </c>
      <c r="BX296" s="200" t="e">
        <f>FMS_Ranking4[[#This Row],[Log Rank]]-FMS_Ranking4[[#This Row],[Rank
(with linear
normalization)]]</f>
        <v>#REF!</v>
      </c>
      <c r="BY296" s="200">
        <f>IF(FMS_Ranking4[[#This Row],[FMS Type]]="Flood Measurement and Warning",FMS_Ranking4[[#This Row],[Rank (with ArcSinh normalization of select criteria)]],"")</f>
        <v>288</v>
      </c>
      <c r="BZ296" s="200" t="str">
        <f>IF(FMS_Ranking4[[#This Row],[FMS Type]]="Regulatory and Guidance",FMS_Ranking4[[#This Row],[Rank (with ArcSinh normalization of select criteria)]],"")</f>
        <v/>
      </c>
      <c r="CA296" s="200" t="str">
        <f>IF(FMS_Ranking4[[#This Row],[FMS Type]]="Education and Outreach",FMS_Ranking4[[#This Row],[Rank (with ArcSinh normalization of select criteria)]],"")</f>
        <v/>
      </c>
      <c r="CB296" s="200" t="str">
        <f>IF(FMS_Ranking4[[#This Row],[FMS Type]]="Property Acquisition and Structural Elevation",FMS_Ranking4[[#This Row],[Rank (with ArcSinh normalization of select criteria)]],"")</f>
        <v/>
      </c>
      <c r="CC296" s="200" t="str">
        <f>IF(FMS_Ranking4[[#This Row],[FMS Type]]="Infrastructure Projects",FMS_Ranking4[[#This Row],[Rank (with ArcSinh normalization of select criteria)]],"")</f>
        <v/>
      </c>
      <c r="CD296" s="200" t="str">
        <f>IF(FMS_Ranking4[[#This Row],[FMS Type]]="Other",FMS_Ranking4[[#This Row],[Rank (with ArcSinh normalization of select criteria)]],"")</f>
        <v/>
      </c>
      <c r="CE296" s="201"/>
      <c r="CF296" s="206"/>
      <c r="CG296" s="206"/>
      <c r="CH296" s="206"/>
      <c r="CI296" s="206"/>
      <c r="CJ296" s="206"/>
      <c r="CK296" s="206"/>
      <c r="CL296" s="206"/>
      <c r="CM296" s="206"/>
      <c r="CN296" s="206"/>
      <c r="CO296" s="206"/>
      <c r="CP296" s="206"/>
      <c r="CQ296" s="206"/>
      <c r="CR296" s="206"/>
    </row>
    <row r="297" spans="2:96" ht="45" x14ac:dyDescent="0.25">
      <c r="B297" s="341" t="s">
        <v>4250</v>
      </c>
      <c r="C297" s="246">
        <f>_xlfn.XLOOKUP(FMS_Ranking4[[#This Row],[FMS ID]],FMS_Input[FMS_ID],FMS_Input[RFPG_NUM])</f>
        <v>15</v>
      </c>
      <c r="D297" s="309" t="str">
        <f>_xlfn.XLOOKUP(FMS_Ranking4[[#This Row],[FMS ID]],FMS_Input[FMS_ID],FMS_Input[FMS_NAME])</f>
        <v>City of Alamo - Planning, operation &amp; maintenance</v>
      </c>
      <c r="E297" s="308" t="str">
        <f>_xlfn.XLOOKUP(FMS_Ranking4[[#This Row],[FMS ID]],FMS_Input[FMS_ID],FMS_Input[SPONSOR])</f>
        <v>15000055</v>
      </c>
      <c r="F297" s="309" t="str">
        <f>_xlfn.XLOOKUP(FMS_Ranking4[[#This Row],[FMS ID]],Sponsor[FMS_ID],Sponsor[SPONSOR NAME])</f>
        <v>Alamo</v>
      </c>
      <c r="G297" s="309" t="str">
        <f>_xlfn.XLOOKUP(FMS_Ranking4[[#This Row],[FMS ID]],FMS_Input[FMS_ID],FMS_Input[FMS_DESCR])</f>
        <v>Develop and Implement a planning, operation &amp; Maintenance plan</v>
      </c>
      <c r="H297" s="248" t="str">
        <f>_xlfn.XLOOKUP(FMS_Ranking4[[#This Row],[FMS ID]],FMS_Input[FMS_ID],FMS_Input[FMS_TYPE])</f>
        <v>Flood Measurement and Warning</v>
      </c>
      <c r="I297" s="249">
        <f>_xlfn.XLOOKUP(FMS_Ranking4[[#This Row],[FMS ID]],FMS_Input[FMS_ID],FMS_Input[NRNC_COST])</f>
        <v>600000</v>
      </c>
      <c r="J297" s="250">
        <f>_xlfn.XLOOKUP(FMS_Ranking4[[#This Row],[FMS ID]],FMS_Input[FMS_ID],FMS_Input[FMS_COST])</f>
        <v>5000000</v>
      </c>
      <c r="K297" s="251" t="str">
        <f>_xlfn.XLOOKUP(FMS_Ranking4[[#This Row],[FMS ID]],FMS_Input[FMS_ID],FMS_Input[EMER_NEED])</f>
        <v>Yes</v>
      </c>
      <c r="L297" s="252">
        <f t="shared" si="4"/>
        <v>1</v>
      </c>
      <c r="M297" s="253">
        <f>_xlfn.XLOOKUP(FMS_Ranking4[[#This Row],[FMS ID]],FMS_Input[FMS_ID],FMS_Input[STRUCT_100])</f>
        <v>4823</v>
      </c>
      <c r="N297" s="255">
        <f>(ASINH(FMS_Ranking4[[#This Row],[Structure at Risk Raw]]))*(10)/(ASINH(M$4))</f>
        <v>7.2123647024408486</v>
      </c>
      <c r="O297" s="256">
        <f>FMS_Ranking4[[#This Row],[Structures at risk, ArcSinh (0-10)]]*M$5*10</f>
        <v>7.2123647024408486</v>
      </c>
      <c r="P297" s="253">
        <f>_xlfn.XLOOKUP(FMS_Ranking4[[#This Row],[FMS ID]],FMS_Input[FMS_ID],FMS_Input[RES_STRUCT100])</f>
        <v>3641</v>
      </c>
      <c r="Q297" s="257">
        <f>ASINH(FMS_Ranking4[[#This Row],[Res Structure Raw]])/Q$4*P$5*100</f>
        <v>0</v>
      </c>
      <c r="R297" s="253">
        <f>_xlfn.XLOOKUP(FMS_Ranking4[[#This Row],[FMS ID]],FMS_Input[FMS_ID],FMS_Input[POP100])</f>
        <v>14358</v>
      </c>
      <c r="S297" s="259">
        <f>(ASINH(FMS_Ranking4[[#This Row],[Pop at Risk Raw]]))*(10)/(ASINH(R$4))</f>
        <v>7.086671902043582</v>
      </c>
      <c r="T297" s="256">
        <f>FMS_Ranking4[[#This Row],[Population at risk, ArcSinh (0-10)]]*R$5*10</f>
        <v>7.086671902043582</v>
      </c>
      <c r="U297" s="253">
        <f>_xlfn.XLOOKUP(FMS_Ranking4[[#This Row],[FMS ID]],FMS_Input[FMS_ID],FMS_Input[CRITFAC100])</f>
        <v>4</v>
      </c>
      <c r="V297" s="259">
        <f>(ASINH(FMS_Ranking4[[#This Row],[Critical Facilities Raw]]))*(10)/(ASINH(U$4))</f>
        <v>2.4796455944038147</v>
      </c>
      <c r="W297" s="256">
        <f>FMS_Ranking4[[#This Row],[Critical facilities at risk, ArcSinh (0-10)]]*U$5*10</f>
        <v>2.4796455944038147</v>
      </c>
      <c r="X297" s="253">
        <f>_xlfn.XLOOKUP(FMS_Ranking4[[#This Row],[FMS ID]],FMS_Input[FMS_ID],FMS_Input[LWC])</f>
        <v>0</v>
      </c>
      <c r="Y297" s="259">
        <f>(ASINH(FMS_Ranking4[[#This Row],[LWC Raw]]))*(10)/(ASINH(X$4))</f>
        <v>0</v>
      </c>
      <c r="Z297" s="256">
        <f>FMS_Ranking4[[#This Row],[LWC, ArcSInh (0-10)]]*X$5*10</f>
        <v>0</v>
      </c>
      <c r="AA297" s="253">
        <f>_xlfn.XLOOKUP(FMS_Ranking4[[#This Row],[FMS ID]],FMS_Input[FMS_ID],FMS_Input[ROADCLS])</f>
        <v>0</v>
      </c>
      <c r="AB297" s="255">
        <f>(ASINH(FMS_Ranking4[[#This Row],[Road Closures Raw]]))*(10)/(ASINH(AA$4))</f>
        <v>0</v>
      </c>
      <c r="AC297" s="256">
        <f>FMS_Ranking4[[#This Row],[Road closures, ArcSinh (0-10)]]*AA$5*10</f>
        <v>0</v>
      </c>
      <c r="AD297" s="253">
        <f>_xlfn.XLOOKUP(FMS_Ranking4[[#This Row],[FMS ID]],FMS_Input[FMS_ID],FMS_Input[ROAD_MILES100])</f>
        <v>71</v>
      </c>
      <c r="AE297" s="259">
        <f>(ASINH(FMS_Ranking4[[#This Row],[Road Miles Raw]]))*(10)/(ASINH(AD$4))</f>
        <v>5.2816010241547486</v>
      </c>
      <c r="AF297" s="256">
        <f>FMS_Ranking4[[#This Row],[Length of roads at risk, ArcSinh (0-10)]]*AD$5*10</f>
        <v>5.2816010241547486</v>
      </c>
      <c r="AG297" s="253">
        <f>_xlfn.XLOOKUP(FMS_Ranking4[[#This Row],[FMS ID]],FMS_Input[FMS_ID],FMS_Input[FARMACRE100])</f>
        <v>935.9383544921875</v>
      </c>
      <c r="AH297" s="255">
        <f>(ASINH(FMS_Ranking4[[#This Row],[Ag Land Raw]]))*(10)/(ASINH(AG$4))</f>
        <v>4.8943995998638217</v>
      </c>
      <c r="AI297" s="260">
        <f>FMS_Ranking4[[#This Row],[Farm &amp; ranch land, ArcSinh (0-10)]]*AG$5*10</f>
        <v>2.4471997999319108</v>
      </c>
      <c r="AJ297" s="258">
        <f>_xlfn.XLOOKUP(FMS_Ranking4[[#This Row],[FMS ID]],FMS_Input[FMS_ID],FMS_Input[REDSTRUCT100])</f>
        <v>0</v>
      </c>
      <c r="AK297" s="253">
        <f>_xlfn.XLOOKUP(FMS_Ranking4[[#This Row],[FMS ID]],FMS_Input[FMS_ID],FMS_Input[REMSTRC100])</f>
        <v>0</v>
      </c>
      <c r="AL297" s="259">
        <f>(ASINH(FMS_Ranking4[[#This Row],[Structures Removed Raw]]))*(10)/(ASINH(AK$4))</f>
        <v>0</v>
      </c>
      <c r="AM297" s="262">
        <f>FMS_Ranking4[[#This Row],[Structures removed, ArcSinh (0-10)]]*AK$5*10</f>
        <v>0</v>
      </c>
      <c r="AN297" s="253">
        <f>_xlfn.XLOOKUP(FMS_Ranking4[[#This Row],[FMS ID]],FMS_Input[FMS_ID],FMS_Input[REMRESSTRC100])</f>
        <v>0</v>
      </c>
      <c r="AO297" s="261">
        <f>FMS_Ranking4[[#This Row],[ArcSinh Res struct removed 0-10]]*AN$5*10</f>
        <v>0</v>
      </c>
      <c r="AP297" s="260">
        <f>ASINH(FMS_Ranking4[[#This Row],[Residential Structures Removed Raw]])/AP$4*AN$5*100</f>
        <v>0</v>
      </c>
      <c r="AQ297" s="254">
        <f>(ASINH(FMS_Ranking4[[#This Row],[Residential Structures Removed Raw]]))*(10)/(ASINH(AN$4))</f>
        <v>0</v>
      </c>
      <c r="AR297" s="253">
        <f>_xlfn.XLOOKUP(FMS_Ranking4[[#This Row],[FMS ID]],FMS_Input[FMS_ID],FMS_Input[REMPOP100])</f>
        <v>0</v>
      </c>
      <c r="AS297" s="259">
        <f>(ASINH(FMS_Ranking4[[#This Row],[Removed Pop Raw]]))*(10)/(ASINH(AR$4))</f>
        <v>0</v>
      </c>
      <c r="AT297" s="262">
        <f>FMS_Ranking4[[#This Row],[Removed population, ArcSinh (0-10)]]*AR$5*10</f>
        <v>0</v>
      </c>
      <c r="AU297" s="264">
        <f>_xlfn.XLOOKUP(FMS_Ranking4[[#This Row],[FMS ID]],FMS_Input[FMS_ID],FMS_Input[REMCRITFAC100])</f>
        <v>0</v>
      </c>
      <c r="AV297" s="264">
        <f>_xlfn.XLOOKUP(FMS_Ranking4[[#This Row],[FMS ID]],FMS_Input[FMS_ID],FMS_Input[REMLWC100])</f>
        <v>0</v>
      </c>
      <c r="AW297" s="264">
        <f>_xlfn.XLOOKUP(FMS_Ranking4[[#This Row],[FMS ID]],FMS_Input[FMS_ID],FMS_Input[REMROADCLS])</f>
        <v>0</v>
      </c>
      <c r="AX297" s="264">
        <f>_xlfn.XLOOKUP(FMS_Ranking4[[#This Row],[FMS ID]],FMS_Input[FMS_ID],FMS_Input[REMFRMACRE100])</f>
        <v>0</v>
      </c>
      <c r="AY297" s="258">
        <f>_xlfn.XLOOKUP(FMS_Ranking4[[#This Row],[FMS ID]],FMS_Input[FMS_ID],FMS_Input[COSTSTRUCT])</f>
        <v>0</v>
      </c>
      <c r="AZ297" s="253">
        <f>_xlfn.XLOOKUP(FMS_Ranking4[[#This Row],[FMS ID]],FMS_Input[FMS_ID],FMS_Input[NATURE])</f>
        <v>0</v>
      </c>
      <c r="BA297" s="262">
        <f>(((FMS_Ranking4[[#This Row],[% NBS Raw]]/AZ$4)*100)*AZ$5)</f>
        <v>0</v>
      </c>
      <c r="BB297" s="251" t="str">
        <f>_xlfn.XLOOKUP(FMS_Ranking4[[#This Row],[FMS ID]],FMS_Input[FMS_ID],FMS_Input[WATER_SUP])</f>
        <v>No</v>
      </c>
      <c r="BC297" s="265">
        <f>IF(FMS_Ranking4[[#This Row],[Water Supply Raw]]="Yes",10,0)</f>
        <v>0</v>
      </c>
      <c r="BD297" s="266">
        <f>_xlfn.XLOOKUP(FMS_Ranking4[[#This Row],[FMS Type]],FMS_TYPE[FMS_Type],FMS_TYPE[Score])</f>
        <v>10</v>
      </c>
      <c r="BE297" s="267">
        <f>FMS_Ranking4[[#This Row],[FMS_Type Score]]*$BD$5*10</f>
        <v>2.5</v>
      </c>
      <c r="BF29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0.57392902478448538</v>
      </c>
      <c r="BG297" s="271">
        <f>_xlfn.RANK.EQ(BF297,$BF$8:$BF$870,0)+COUNTIF($BF$8:BF297,BF297)-1</f>
        <v>198</v>
      </c>
      <c r="BH297" s="268">
        <f>(((FMS_Ranking4[[#This Row],[Structures Removed Raw]]/AK$4)*100)*AK$5)+(((FMS_Ranking4[[#This Row],[Removed Pop Raw]]/AR$4)*100)*AR$5)</f>
        <v>0</v>
      </c>
      <c r="BI29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3.0739290247844853</v>
      </c>
      <c r="BJ297" s="205">
        <f>_xlfn.RANK.EQ(FMS_Ranking4[[#This Row],[Total Score 
(with linear
normalization)]],FMS_Ranking4[Total Score 
(with linear
normalization)],0)</f>
        <v>165</v>
      </c>
      <c r="BK297" s="205" t="e">
        <f>_xlfn.XLOOKUP(FMS_Ranking4[[#This Row],[FMS ID]],#REF!,#REF!)</f>
        <v>#REF!</v>
      </c>
      <c r="BL29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24.50748302297491</v>
      </c>
      <c r="BM297" s="272">
        <f>FMS_Ranking4[[#This Row],[ArcSinh Score Based on Normalized Reported Factors]]+FMS_Ranking4[[#This Row],[% NBS Score (Normalized)]]+(FMS_Ranking4[[#This Row],[Water Supply Score (Normalized)]]*10*$BB$5)+FMS_Ranking4[[#This Row],[FMS_Type Score Weighted]]</f>
        <v>27.00748302297491</v>
      </c>
      <c r="BN297" s="205">
        <f>_xlfn.RANK.EQ(FMS_Ranking4[[#This Row],[Total Score (with ArcSinh normalization of select criteria)]],FMS_Ranking4[Total Score (with ArcSinh normalization of select criteria)],0)</f>
        <v>290</v>
      </c>
      <c r="BO297" s="270" t="str">
        <f>_xlfn.XLOOKUP(FMS_Ranking4[[#This Row],[FMS ID]],FMS_Input[FMS_ID],FMS_Input[FMS_RANK_YEAR])</f>
        <v>2023 Amended Plan</v>
      </c>
      <c r="BP297" s="204">
        <f>_xlfn.XLOOKUP(FMS_Ranking4[[#This Row],[FMS ID]],Prev_Rank[FMS ID],Prev_Rank[Prev Rank])</f>
        <v>253</v>
      </c>
      <c r="BQ297" s="205" t="e">
        <f>_xlfn.XLOOKUP(FMS_Ranking4[[#This Row],[FMS ID]],#REF!,#REF!)</f>
        <v>#REF!</v>
      </c>
      <c r="BR297" s="199" t="e">
        <f>SUM(#REF!,#REF!,#REF!,#REF!,#REF!,#REF!,#REF!,#REF!,#REF!,FMS_Ranking4[[#This Row],[ArcSinh Res struct removed 0-10]],#REF!)</f>
        <v>#REF!</v>
      </c>
      <c r="BS297" s="199" t="e">
        <f>FMS_Ranking4[[#This Row],[Log Score Based on Normalized Reported Factors]]+FMS_Ranking4[[#This Row],[% NBS Score (Normalized)]]+(FMS_Ranking4[[#This Row],[Water Supply Score (Normalized)]]*10*$BB$5)+(FMS_Ranking4[[#This Row],[FMS_Type Score Weighted]])</f>
        <v>#REF!</v>
      </c>
      <c r="BT297" s="200" t="e">
        <f>_xlfn.RANK.EQ(FMS_Ranking4[[#This Row],[Log Total Score]],FMS_Ranking4[Log Total Score],0)</f>
        <v>#REF!</v>
      </c>
      <c r="BU297" s="200" t="e">
        <f>_xlfn.XLOOKUP(FMS_Ranking4[[#This Row],[FMS ID]],#REF!,#REF!)</f>
        <v>#REF!</v>
      </c>
      <c r="BV297" s="200">
        <f>FMS_Ranking4[[#This Row],[Region Number]]</f>
        <v>15</v>
      </c>
      <c r="BW297" s="200">
        <f>FMS_Ranking4[[#This Row],[Rank (with ArcSinh normalization of select criteria)]]-FMS_Ranking4[[#This Row],[Rank
(with linear
normalization)]]</f>
        <v>125</v>
      </c>
      <c r="BX297" s="200" t="e">
        <f>FMS_Ranking4[[#This Row],[Log Rank]]-FMS_Ranking4[[#This Row],[Rank
(with linear
normalization)]]</f>
        <v>#REF!</v>
      </c>
      <c r="BY297" s="200">
        <f>IF(FMS_Ranking4[[#This Row],[FMS Type]]="Flood Measurement and Warning",FMS_Ranking4[[#This Row],[Rank (with ArcSinh normalization of select criteria)]],"")</f>
        <v>290</v>
      </c>
      <c r="BZ297" s="200" t="str">
        <f>IF(FMS_Ranking4[[#This Row],[FMS Type]]="Regulatory and Guidance",FMS_Ranking4[[#This Row],[Rank (with ArcSinh normalization of select criteria)]],"")</f>
        <v/>
      </c>
      <c r="CA297" s="200" t="str">
        <f>IF(FMS_Ranking4[[#This Row],[FMS Type]]="Education and Outreach",FMS_Ranking4[[#This Row],[Rank (with ArcSinh normalization of select criteria)]],"")</f>
        <v/>
      </c>
      <c r="CB297" s="200" t="str">
        <f>IF(FMS_Ranking4[[#This Row],[FMS Type]]="Property Acquisition and Structural Elevation",FMS_Ranking4[[#This Row],[Rank (with ArcSinh normalization of select criteria)]],"")</f>
        <v/>
      </c>
      <c r="CC297" s="200" t="str">
        <f>IF(FMS_Ranking4[[#This Row],[FMS Type]]="Infrastructure Projects",FMS_Ranking4[[#This Row],[Rank (with ArcSinh normalization of select criteria)]],"")</f>
        <v/>
      </c>
      <c r="CD297" s="200" t="str">
        <f>IF(FMS_Ranking4[[#This Row],[FMS Type]]="Other",FMS_Ranking4[[#This Row],[Rank (with ArcSinh normalization of select criteria)]],"")</f>
        <v/>
      </c>
      <c r="CE297" s="201"/>
      <c r="CF297" s="206"/>
      <c r="CG297" s="206"/>
      <c r="CH297" s="206"/>
      <c r="CI297" s="206"/>
      <c r="CJ297" s="206"/>
      <c r="CK297" s="206"/>
      <c r="CL297" s="206"/>
      <c r="CM297" s="206"/>
      <c r="CN297" s="206"/>
      <c r="CO297" s="206"/>
      <c r="CP297" s="206"/>
      <c r="CQ297" s="206"/>
      <c r="CR297" s="206"/>
    </row>
    <row r="298" spans="2:96" ht="120" x14ac:dyDescent="0.25">
      <c r="B298" s="341" t="s">
        <v>1673</v>
      </c>
      <c r="C298" s="246">
        <f>_xlfn.XLOOKUP(FMS_Ranking4[[#This Row],[FMS ID]],FMS_Input[FMS_ID],FMS_Input[RFPG_NUM])</f>
        <v>2</v>
      </c>
      <c r="D298" s="309" t="str">
        <f>_xlfn.XLOOKUP(FMS_Ranking4[[#This Row],[FMS ID]],FMS_Input[FMS_ID],FMS_Input[FMS_NAME])</f>
        <v>Upshur County NFIP</v>
      </c>
      <c r="E298" s="308" t="str">
        <f>_xlfn.XLOOKUP(FMS_Ranking4[[#This Row],[FMS ID]],FMS_Input[FMS_ID],FMS_Input[SPONSOR])</f>
        <v>Upshur County</v>
      </c>
      <c r="F298" s="309" t="str">
        <f>_xlfn.XLOOKUP(FMS_Ranking4[[#This Row],[FMS ID]],Sponsor[FMS_ID],Sponsor[SPONSOR NAME])</f>
        <v>Upshur County</v>
      </c>
      <c r="G298" s="309" t="str">
        <f>_xlfn.XLOOKUP(FMS_Ranking4[[#This Row],[FMS ID]],FMS_Input[FMS_ID],FMS_Input[FMS_DESCR])</f>
        <v>The County Hazard Mitigation Officer will assist those cities within the county that are not participating in NFIP to take appropriate actions to qualify for and maintain participation in NFIP to have 100% participation within the county</v>
      </c>
      <c r="H298" s="248" t="str">
        <f>_xlfn.XLOOKUP(FMS_Ranking4[[#This Row],[FMS ID]],FMS_Input[FMS_ID],FMS_Input[FMS_TYPE])</f>
        <v>Regulatory and Guidance</v>
      </c>
      <c r="I298" s="249">
        <f>_xlfn.XLOOKUP(FMS_Ranking4[[#This Row],[FMS ID]],FMS_Input[FMS_ID],FMS_Input[NRNC_COST])</f>
        <v>100000</v>
      </c>
      <c r="J298" s="250">
        <f>_xlfn.XLOOKUP(FMS_Ranking4[[#This Row],[FMS ID]],FMS_Input[FMS_ID],FMS_Input[FMS_COST])</f>
        <v>100000</v>
      </c>
      <c r="K298" s="251" t="str">
        <f>_xlfn.XLOOKUP(FMS_Ranking4[[#This Row],[FMS ID]],FMS_Input[FMS_ID],FMS_Input[EMER_NEED])</f>
        <v>No</v>
      </c>
      <c r="L298" s="252">
        <f t="shared" si="4"/>
        <v>0</v>
      </c>
      <c r="M298" s="253">
        <f>_xlfn.XLOOKUP(FMS_Ranking4[[#This Row],[FMS ID]],FMS_Input[FMS_ID],FMS_Input[STRUCT_100])</f>
        <v>425</v>
      </c>
      <c r="N298" s="255">
        <f>(ASINH(FMS_Ranking4[[#This Row],[Structure at Risk Raw]]))*(10)/(ASINH(M$4))</f>
        <v>5.3027611809808306</v>
      </c>
      <c r="O298" s="256">
        <f>FMS_Ranking4[[#This Row],[Structures at risk, ArcSinh (0-10)]]*M$5*10</f>
        <v>5.3027611809808306</v>
      </c>
      <c r="P298" s="253">
        <f>_xlfn.XLOOKUP(FMS_Ranking4[[#This Row],[FMS ID]],FMS_Input[FMS_ID],FMS_Input[RES_STRUCT100])</f>
        <v>250</v>
      </c>
      <c r="Q298" s="257">
        <f>ASINH(FMS_Ranking4[[#This Row],[Res Structure Raw]])/Q$4*P$5*100</f>
        <v>0</v>
      </c>
      <c r="R298" s="253">
        <f>_xlfn.XLOOKUP(FMS_Ranking4[[#This Row],[FMS ID]],FMS_Input[FMS_ID],FMS_Input[POP100])</f>
        <v>2262</v>
      </c>
      <c r="S298" s="259">
        <f>(ASINH(FMS_Ranking4[[#This Row],[Pop at Risk Raw]]))*(10)/(ASINH(R$4))</f>
        <v>5.8108499761418431</v>
      </c>
      <c r="T298" s="256">
        <f>FMS_Ranking4[[#This Row],[Population at risk, ArcSinh (0-10)]]*R$5*10</f>
        <v>5.8108499761418431</v>
      </c>
      <c r="U298" s="253">
        <f>_xlfn.XLOOKUP(FMS_Ranking4[[#This Row],[FMS ID]],FMS_Input[FMS_ID],FMS_Input[CRITFAC100])</f>
        <v>10</v>
      </c>
      <c r="V298" s="259">
        <f>(ASINH(FMS_Ranking4[[#This Row],[Critical Facilities Raw]]))*(10)/(ASINH(U$4))</f>
        <v>3.5491888084919516</v>
      </c>
      <c r="W298" s="256">
        <f>FMS_Ranking4[[#This Row],[Critical facilities at risk, ArcSinh (0-10)]]*U$5*10</f>
        <v>3.5491888084919521</v>
      </c>
      <c r="X298" s="253">
        <f>_xlfn.XLOOKUP(FMS_Ranking4[[#This Row],[FMS ID]],FMS_Input[FMS_ID],FMS_Input[LWC])</f>
        <v>3</v>
      </c>
      <c r="Y298" s="259">
        <f>(ASINH(FMS_Ranking4[[#This Row],[LWC Raw]]))*(10)/(ASINH(X$4))</f>
        <v>2.4635181155638843</v>
      </c>
      <c r="Z298" s="256">
        <f>FMS_Ranking4[[#This Row],[LWC, ArcSInh (0-10)]]*X$5*10</f>
        <v>2.4635181155638843</v>
      </c>
      <c r="AA298" s="253">
        <f>_xlfn.XLOOKUP(FMS_Ranking4[[#This Row],[FMS ID]],FMS_Input[FMS_ID],FMS_Input[ROADCLS])</f>
        <v>0</v>
      </c>
      <c r="AB298" s="255">
        <f>(ASINH(FMS_Ranking4[[#This Row],[Road Closures Raw]]))*(10)/(ASINH(AA$4))</f>
        <v>0</v>
      </c>
      <c r="AC298" s="256">
        <f>FMS_Ranking4[[#This Row],[Road closures, ArcSinh (0-10)]]*AA$5*10</f>
        <v>0</v>
      </c>
      <c r="AD298" s="253">
        <f>_xlfn.XLOOKUP(FMS_Ranking4[[#This Row],[FMS ID]],FMS_Input[FMS_ID],FMS_Input[ROAD_MILES100])</f>
        <v>91</v>
      </c>
      <c r="AE298" s="259">
        <f>(ASINH(FMS_Ranking4[[#This Row],[Road Miles Raw]]))*(10)/(ASINH(AD$4))</f>
        <v>5.546071552364725</v>
      </c>
      <c r="AF298" s="256">
        <f>FMS_Ranking4[[#This Row],[Length of roads at risk, ArcSinh (0-10)]]*AD$5*10</f>
        <v>5.546071552364725</v>
      </c>
      <c r="AG298" s="253">
        <f>_xlfn.XLOOKUP(FMS_Ranking4[[#This Row],[FMS ID]],FMS_Input[FMS_ID],FMS_Input[FARMACRE100])</f>
        <v>611.719482421875</v>
      </c>
      <c r="AH298" s="255">
        <f>(ASINH(FMS_Ranking4[[#This Row],[Ag Land Raw]]))*(10)/(ASINH(AG$4))</f>
        <v>4.6181485705013721</v>
      </c>
      <c r="AI298" s="260">
        <f>FMS_Ranking4[[#This Row],[Farm &amp; ranch land, ArcSinh (0-10)]]*AG$5*10</f>
        <v>2.309074285250686</v>
      </c>
      <c r="AJ298" s="258">
        <f>_xlfn.XLOOKUP(FMS_Ranking4[[#This Row],[FMS ID]],FMS_Input[FMS_ID],FMS_Input[REDSTRUCT100])</f>
        <v>0</v>
      </c>
      <c r="AK298" s="253">
        <f>_xlfn.XLOOKUP(FMS_Ranking4[[#This Row],[FMS ID]],FMS_Input[FMS_ID],FMS_Input[REMSTRC100])</f>
        <v>0</v>
      </c>
      <c r="AL298" s="259">
        <f>(ASINH(FMS_Ranking4[[#This Row],[Structures Removed Raw]]))*(10)/(ASINH(AK$4))</f>
        <v>0</v>
      </c>
      <c r="AM298" s="262">
        <f>FMS_Ranking4[[#This Row],[Structures removed, ArcSinh (0-10)]]*AK$5*10</f>
        <v>0</v>
      </c>
      <c r="AN298" s="253">
        <f>_xlfn.XLOOKUP(FMS_Ranking4[[#This Row],[FMS ID]],FMS_Input[FMS_ID],FMS_Input[REMRESSTRC100])</f>
        <v>0</v>
      </c>
      <c r="AO298" s="261">
        <f>FMS_Ranking4[[#This Row],[ArcSinh Res struct removed 0-10]]*AN$5*10</f>
        <v>0</v>
      </c>
      <c r="AP298" s="260">
        <f>ASINH(FMS_Ranking4[[#This Row],[Residential Structures Removed Raw]])/AP$4*AN$5*100</f>
        <v>0</v>
      </c>
      <c r="AQ298" s="254">
        <f>(ASINH(FMS_Ranking4[[#This Row],[Residential Structures Removed Raw]]))*(10)/(ASINH(AN$4))</f>
        <v>0</v>
      </c>
      <c r="AR298" s="253">
        <f>_xlfn.XLOOKUP(FMS_Ranking4[[#This Row],[FMS ID]],FMS_Input[FMS_ID],FMS_Input[REMPOP100])</f>
        <v>0</v>
      </c>
      <c r="AS298" s="259">
        <f>(ASINH(FMS_Ranking4[[#This Row],[Removed Pop Raw]]))*(10)/(ASINH(AR$4))</f>
        <v>0</v>
      </c>
      <c r="AT298" s="262">
        <f>FMS_Ranking4[[#This Row],[Removed population, ArcSinh (0-10)]]*AR$5*10</f>
        <v>0</v>
      </c>
      <c r="AU298" s="264">
        <f>_xlfn.XLOOKUP(FMS_Ranking4[[#This Row],[FMS ID]],FMS_Input[FMS_ID],FMS_Input[REMCRITFAC100])</f>
        <v>0</v>
      </c>
      <c r="AV298" s="264">
        <f>_xlfn.XLOOKUP(FMS_Ranking4[[#This Row],[FMS ID]],FMS_Input[FMS_ID],FMS_Input[REMLWC100])</f>
        <v>0</v>
      </c>
      <c r="AW298" s="264">
        <f>_xlfn.XLOOKUP(FMS_Ranking4[[#This Row],[FMS ID]],FMS_Input[FMS_ID],FMS_Input[REMROADCLS])</f>
        <v>0</v>
      </c>
      <c r="AX298" s="264">
        <f>_xlfn.XLOOKUP(FMS_Ranking4[[#This Row],[FMS ID]],FMS_Input[FMS_ID],FMS_Input[REMFRMACRE100])</f>
        <v>0</v>
      </c>
      <c r="AY298" s="258">
        <f>_xlfn.XLOOKUP(FMS_Ranking4[[#This Row],[FMS ID]],FMS_Input[FMS_ID],FMS_Input[COSTSTRUCT])</f>
        <v>0</v>
      </c>
      <c r="AZ298" s="253">
        <f>_xlfn.XLOOKUP(FMS_Ranking4[[#This Row],[FMS ID]],FMS_Input[FMS_ID],FMS_Input[NATURE])</f>
        <v>0</v>
      </c>
      <c r="BA298" s="262">
        <f>(((FMS_Ranking4[[#This Row],[% NBS Raw]]/AZ$4)*100)*AZ$5)</f>
        <v>0</v>
      </c>
      <c r="BB298" s="251" t="str">
        <f>_xlfn.XLOOKUP(FMS_Ranking4[[#This Row],[FMS ID]],FMS_Input[FMS_ID],FMS_Input[WATER_SUP])</f>
        <v>No</v>
      </c>
      <c r="BC298" s="265">
        <f>IF(FMS_Ranking4[[#This Row],[Water Supply Raw]]="Yes",10,0)</f>
        <v>0</v>
      </c>
      <c r="BD298" s="266">
        <f>_xlfn.XLOOKUP(FMS_Ranking4[[#This Row],[FMS Type]],FMS_TYPE[FMS_Type],FMS_TYPE[Score])</f>
        <v>8</v>
      </c>
      <c r="BE298" s="267">
        <f>FMS_Ranking4[[#This Row],[FMS_Type Score]]*$BD$5*10</f>
        <v>2</v>
      </c>
      <c r="BF29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0.28316945669384963</v>
      </c>
      <c r="BG298" s="271">
        <f>_xlfn.RANK.EQ(BF298,$BF$8:$BF$870,0)+COUNTIF($BF$8:BF298,BF298)-1</f>
        <v>311</v>
      </c>
      <c r="BH298" s="268">
        <f>(((FMS_Ranking4[[#This Row],[Structures Removed Raw]]/AK$4)*100)*AK$5)+(((FMS_Ranking4[[#This Row],[Removed Pop Raw]]/AR$4)*100)*AR$5)</f>
        <v>0</v>
      </c>
      <c r="BI29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2.2831694566938499</v>
      </c>
      <c r="BJ298" s="205">
        <f>_xlfn.RANK.EQ(FMS_Ranking4[[#This Row],[Total Score 
(with linear
normalization)]],FMS_Ranking4[Total Score 
(with linear
normalization)],0)</f>
        <v>304</v>
      </c>
      <c r="BK298" s="205" t="e">
        <f>_xlfn.XLOOKUP(FMS_Ranking4[[#This Row],[FMS ID]],#REF!,#REF!)</f>
        <v>#REF!</v>
      </c>
      <c r="BL29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24.981463918793921</v>
      </c>
      <c r="BM298" s="272">
        <f>FMS_Ranking4[[#This Row],[ArcSinh Score Based on Normalized Reported Factors]]+FMS_Ranking4[[#This Row],[% NBS Score (Normalized)]]+(FMS_Ranking4[[#This Row],[Water Supply Score (Normalized)]]*10*$BB$5)+FMS_Ranking4[[#This Row],[FMS_Type Score Weighted]]</f>
        <v>26.981463918793921</v>
      </c>
      <c r="BN298" s="205">
        <f>_xlfn.RANK.EQ(FMS_Ranking4[[#This Row],[Total Score (with ArcSinh normalization of select criteria)]],FMS_Ranking4[Total Score (with ArcSinh normalization of select criteria)],0)</f>
        <v>291</v>
      </c>
      <c r="BO298" s="270" t="str">
        <f>_xlfn.XLOOKUP(FMS_Ranking4[[#This Row],[FMS ID]],FMS_Input[FMS_ID],FMS_Input[FMS_RANK_YEAR])</f>
        <v>2023 Amended Plan</v>
      </c>
      <c r="BP298" s="204">
        <f>_xlfn.XLOOKUP(FMS_Ranking4[[#This Row],[FMS ID]],Prev_Rank[FMS ID],Prev_Rank[Prev Rank])</f>
        <v>259</v>
      </c>
      <c r="BQ298" s="205" t="e">
        <f>_xlfn.XLOOKUP(FMS_Ranking4[[#This Row],[FMS ID]],#REF!,#REF!)</f>
        <v>#REF!</v>
      </c>
      <c r="BR298" s="199" t="e">
        <f>SUM(#REF!,#REF!,#REF!,#REF!,#REF!,#REF!,#REF!,#REF!,#REF!,FMS_Ranking4[[#This Row],[ArcSinh Res struct removed 0-10]],#REF!)</f>
        <v>#REF!</v>
      </c>
      <c r="BS298" s="199" t="e">
        <f>FMS_Ranking4[[#This Row],[Log Score Based on Normalized Reported Factors]]+FMS_Ranking4[[#This Row],[% NBS Score (Normalized)]]+(FMS_Ranking4[[#This Row],[Water Supply Score (Normalized)]]*10*$BB$5)+(FMS_Ranking4[[#This Row],[FMS_Type Score Weighted]])</f>
        <v>#REF!</v>
      </c>
      <c r="BT298" s="200" t="e">
        <f>_xlfn.RANK.EQ(FMS_Ranking4[[#This Row],[Log Total Score]],FMS_Ranking4[Log Total Score],0)</f>
        <v>#REF!</v>
      </c>
      <c r="BU298" s="200" t="e">
        <f>_xlfn.XLOOKUP(FMS_Ranking4[[#This Row],[FMS ID]],#REF!,#REF!)</f>
        <v>#REF!</v>
      </c>
      <c r="BV298" s="200">
        <f>FMS_Ranking4[[#This Row],[Region Number]]</f>
        <v>2</v>
      </c>
      <c r="BW298" s="200">
        <f>FMS_Ranking4[[#This Row],[Rank (with ArcSinh normalization of select criteria)]]-FMS_Ranking4[[#This Row],[Rank
(with linear
normalization)]]</f>
        <v>-13</v>
      </c>
      <c r="BX298" s="200" t="e">
        <f>FMS_Ranking4[[#This Row],[Log Rank]]-FMS_Ranking4[[#This Row],[Rank
(with linear
normalization)]]</f>
        <v>#REF!</v>
      </c>
      <c r="BY298" s="200" t="str">
        <f>IF(FMS_Ranking4[[#This Row],[FMS Type]]="Flood Measurement and Warning",FMS_Ranking4[[#This Row],[Rank (with ArcSinh normalization of select criteria)]],"")</f>
        <v/>
      </c>
      <c r="BZ298" s="200">
        <f>IF(FMS_Ranking4[[#This Row],[FMS Type]]="Regulatory and Guidance",FMS_Ranking4[[#This Row],[Rank (with ArcSinh normalization of select criteria)]],"")</f>
        <v>291</v>
      </c>
      <c r="CA298" s="200" t="str">
        <f>IF(FMS_Ranking4[[#This Row],[FMS Type]]="Education and Outreach",FMS_Ranking4[[#This Row],[Rank (with ArcSinh normalization of select criteria)]],"")</f>
        <v/>
      </c>
      <c r="CB298" s="200" t="str">
        <f>IF(FMS_Ranking4[[#This Row],[FMS Type]]="Property Acquisition and Structural Elevation",FMS_Ranking4[[#This Row],[Rank (with ArcSinh normalization of select criteria)]],"")</f>
        <v/>
      </c>
      <c r="CC298" s="200" t="str">
        <f>IF(FMS_Ranking4[[#This Row],[FMS Type]]="Infrastructure Projects",FMS_Ranking4[[#This Row],[Rank (with ArcSinh normalization of select criteria)]],"")</f>
        <v/>
      </c>
      <c r="CD298" s="200" t="str">
        <f>IF(FMS_Ranking4[[#This Row],[FMS Type]]="Other",FMS_Ranking4[[#This Row],[Rank (with ArcSinh normalization of select criteria)]],"")</f>
        <v/>
      </c>
      <c r="CE298" s="201"/>
      <c r="CF298" s="206"/>
      <c r="CG298" s="206"/>
      <c r="CH298" s="206"/>
      <c r="CI298" s="206"/>
      <c r="CJ298" s="206"/>
      <c r="CK298" s="206"/>
      <c r="CL298" s="206"/>
      <c r="CM298" s="206"/>
      <c r="CN298" s="206"/>
      <c r="CO298" s="206"/>
      <c r="CP298" s="206"/>
      <c r="CQ298" s="206"/>
      <c r="CR298" s="206"/>
    </row>
    <row r="299" spans="2:96" ht="45" x14ac:dyDescent="0.25">
      <c r="B299" s="341" t="s">
        <v>1733</v>
      </c>
      <c r="C299" s="246">
        <f>_xlfn.XLOOKUP(FMS_Ranking4[[#This Row],[FMS ID]],FMS_Input[FMS_ID],FMS_Input[RFPG_NUM])</f>
        <v>2</v>
      </c>
      <c r="D299" s="309" t="str">
        <f>_xlfn.XLOOKUP(FMS_Ranking4[[#This Row],[FMS ID]],FMS_Input[FMS_ID],FMS_Input[FMS_NAME])</f>
        <v>Upshur County NFIP Involvement</v>
      </c>
      <c r="E299" s="308" t="str">
        <f>_xlfn.XLOOKUP(FMS_Ranking4[[#This Row],[FMS ID]],FMS_Input[FMS_ID],FMS_Input[SPONSOR])</f>
        <v>Upshur County</v>
      </c>
      <c r="F299" s="309" t="str">
        <f>_xlfn.XLOOKUP(FMS_Ranking4[[#This Row],[FMS ID]],Sponsor[FMS_ID],Sponsor[SPONSOR NAME])</f>
        <v>Upshur County</v>
      </c>
      <c r="G299" s="309" t="str">
        <f>_xlfn.XLOOKUP(FMS_Ranking4[[#This Row],[FMS ID]],FMS_Input[FMS_ID],FMS_Input[FMS_DESCR])</f>
        <v xml:space="preserve">Application to join NFIP or adoption of equivalent standards </v>
      </c>
      <c r="H299" s="248" t="str">
        <f>_xlfn.XLOOKUP(FMS_Ranking4[[#This Row],[FMS ID]],FMS_Input[FMS_ID],FMS_Input[FMS_TYPE])</f>
        <v>Regulatory and Guidance</v>
      </c>
      <c r="I299" s="249">
        <f>_xlfn.XLOOKUP(FMS_Ranking4[[#This Row],[FMS ID]],FMS_Input[FMS_ID],FMS_Input[NRNC_COST])</f>
        <v>100000</v>
      </c>
      <c r="J299" s="250">
        <f>_xlfn.XLOOKUP(FMS_Ranking4[[#This Row],[FMS ID]],FMS_Input[FMS_ID],FMS_Input[FMS_COST])</f>
        <v>100000</v>
      </c>
      <c r="K299" s="251" t="str">
        <f>_xlfn.XLOOKUP(FMS_Ranking4[[#This Row],[FMS ID]],FMS_Input[FMS_ID],FMS_Input[EMER_NEED])</f>
        <v>No</v>
      </c>
      <c r="L299" s="252">
        <f t="shared" si="4"/>
        <v>0</v>
      </c>
      <c r="M299" s="253">
        <f>_xlfn.XLOOKUP(FMS_Ranking4[[#This Row],[FMS ID]],FMS_Input[FMS_ID],FMS_Input[STRUCT_100])</f>
        <v>425</v>
      </c>
      <c r="N299" s="255">
        <f>(ASINH(FMS_Ranking4[[#This Row],[Structure at Risk Raw]]))*(10)/(ASINH(M$4))</f>
        <v>5.3027611809808306</v>
      </c>
      <c r="O299" s="256">
        <f>FMS_Ranking4[[#This Row],[Structures at risk, ArcSinh (0-10)]]*M$5*10</f>
        <v>5.3027611809808306</v>
      </c>
      <c r="P299" s="253">
        <f>_xlfn.XLOOKUP(FMS_Ranking4[[#This Row],[FMS ID]],FMS_Input[FMS_ID],FMS_Input[RES_STRUCT100])</f>
        <v>250</v>
      </c>
      <c r="Q299" s="257">
        <f>ASINH(FMS_Ranking4[[#This Row],[Res Structure Raw]])/Q$4*P$5*100</f>
        <v>0</v>
      </c>
      <c r="R299" s="253">
        <f>_xlfn.XLOOKUP(FMS_Ranking4[[#This Row],[FMS ID]],FMS_Input[FMS_ID],FMS_Input[POP100])</f>
        <v>2262</v>
      </c>
      <c r="S299" s="255">
        <f>(ASINH(FMS_Ranking4[[#This Row],[Pop at Risk Raw]]))*(10)/(ASINH(R$4))</f>
        <v>5.8108499761418431</v>
      </c>
      <c r="T299" s="256">
        <f>FMS_Ranking4[[#This Row],[Population at risk, ArcSinh (0-10)]]*R$5*10</f>
        <v>5.8108499761418431</v>
      </c>
      <c r="U299" s="253">
        <f>_xlfn.XLOOKUP(FMS_Ranking4[[#This Row],[FMS ID]],FMS_Input[FMS_ID],FMS_Input[CRITFAC100])</f>
        <v>10</v>
      </c>
      <c r="V299" s="255">
        <f>(ASINH(FMS_Ranking4[[#This Row],[Critical Facilities Raw]]))*(10)/(ASINH(U$4))</f>
        <v>3.5491888084919516</v>
      </c>
      <c r="W299" s="256">
        <f>FMS_Ranking4[[#This Row],[Critical facilities at risk, ArcSinh (0-10)]]*U$5*10</f>
        <v>3.5491888084919521</v>
      </c>
      <c r="X299" s="253">
        <f>_xlfn.XLOOKUP(FMS_Ranking4[[#This Row],[FMS ID]],FMS_Input[FMS_ID],FMS_Input[LWC])</f>
        <v>3</v>
      </c>
      <c r="Y299" s="255">
        <f>(ASINH(FMS_Ranking4[[#This Row],[LWC Raw]]))*(10)/(ASINH(X$4))</f>
        <v>2.4635181155638843</v>
      </c>
      <c r="Z299" s="256">
        <f>FMS_Ranking4[[#This Row],[LWC, ArcSInh (0-10)]]*X$5*10</f>
        <v>2.4635181155638843</v>
      </c>
      <c r="AA299" s="253">
        <f>_xlfn.XLOOKUP(FMS_Ranking4[[#This Row],[FMS ID]],FMS_Input[FMS_ID],FMS_Input[ROADCLS])</f>
        <v>0</v>
      </c>
      <c r="AB299" s="255">
        <f>(ASINH(FMS_Ranking4[[#This Row],[Road Closures Raw]]))*(10)/(ASINH(AA$4))</f>
        <v>0</v>
      </c>
      <c r="AC299" s="256">
        <f>FMS_Ranking4[[#This Row],[Road closures, ArcSinh (0-10)]]*AA$5*10</f>
        <v>0</v>
      </c>
      <c r="AD299" s="253">
        <f>_xlfn.XLOOKUP(FMS_Ranking4[[#This Row],[FMS ID]],FMS_Input[FMS_ID],FMS_Input[ROAD_MILES100])</f>
        <v>91</v>
      </c>
      <c r="AE299" s="255">
        <f>(ASINH(FMS_Ranking4[[#This Row],[Road Miles Raw]]))*(10)/(ASINH(AD$4))</f>
        <v>5.546071552364725</v>
      </c>
      <c r="AF299" s="256">
        <f>FMS_Ranking4[[#This Row],[Length of roads at risk, ArcSinh (0-10)]]*AD$5*10</f>
        <v>5.546071552364725</v>
      </c>
      <c r="AG299" s="253">
        <f>_xlfn.XLOOKUP(FMS_Ranking4[[#This Row],[FMS ID]],FMS_Input[FMS_ID],FMS_Input[FARMACRE100])</f>
        <v>611.719482421875</v>
      </c>
      <c r="AH299" s="255">
        <f>(ASINH(FMS_Ranking4[[#This Row],[Ag Land Raw]]))*(10)/(ASINH(AG$4))</f>
        <v>4.6181485705013721</v>
      </c>
      <c r="AI299" s="260">
        <f>FMS_Ranking4[[#This Row],[Farm &amp; ranch land, ArcSinh (0-10)]]*AG$5*10</f>
        <v>2.309074285250686</v>
      </c>
      <c r="AJ299" s="258">
        <f>_xlfn.XLOOKUP(FMS_Ranking4[[#This Row],[FMS ID]],FMS_Input[FMS_ID],FMS_Input[REDSTRUCT100])</f>
        <v>0</v>
      </c>
      <c r="AK299" s="253">
        <f>_xlfn.XLOOKUP(FMS_Ranking4[[#This Row],[FMS ID]],FMS_Input[FMS_ID],FMS_Input[REMSTRC100])</f>
        <v>0</v>
      </c>
      <c r="AL299" s="255">
        <f>(ASINH(FMS_Ranking4[[#This Row],[Structures Removed Raw]]))*(10)/(ASINH(AK$4))</f>
        <v>0</v>
      </c>
      <c r="AM299" s="262">
        <f>FMS_Ranking4[[#This Row],[Structures removed, ArcSinh (0-10)]]*AK$5*10</f>
        <v>0</v>
      </c>
      <c r="AN299" s="253">
        <f>_xlfn.XLOOKUP(FMS_Ranking4[[#This Row],[FMS ID]],FMS_Input[FMS_ID],FMS_Input[REMRESSTRC100])</f>
        <v>0</v>
      </c>
      <c r="AO299" s="261">
        <f>FMS_Ranking4[[#This Row],[ArcSinh Res struct removed 0-10]]*AN$5*10</f>
        <v>0</v>
      </c>
      <c r="AP299" s="260">
        <f>ASINH(FMS_Ranking4[[#This Row],[Residential Structures Removed Raw]])/AP$4*AN$5*100</f>
        <v>0</v>
      </c>
      <c r="AQ299" s="258">
        <f>(ASINH(FMS_Ranking4[[#This Row],[Residential Structures Removed Raw]]))*(10)/(ASINH(AN$4))</f>
        <v>0</v>
      </c>
      <c r="AR299" s="253">
        <f>_xlfn.XLOOKUP(FMS_Ranking4[[#This Row],[FMS ID]],FMS_Input[FMS_ID],FMS_Input[REMPOP100])</f>
        <v>0</v>
      </c>
      <c r="AS299" s="255">
        <f>(ASINH(FMS_Ranking4[[#This Row],[Removed Pop Raw]]))*(10)/(ASINH(AR$4))</f>
        <v>0</v>
      </c>
      <c r="AT299" s="262">
        <f>FMS_Ranking4[[#This Row],[Removed population, ArcSinh (0-10)]]*AR$5*10</f>
        <v>0</v>
      </c>
      <c r="AU299" s="264">
        <f>_xlfn.XLOOKUP(FMS_Ranking4[[#This Row],[FMS ID]],FMS_Input[FMS_ID],FMS_Input[REMCRITFAC100])</f>
        <v>0</v>
      </c>
      <c r="AV299" s="264">
        <f>_xlfn.XLOOKUP(FMS_Ranking4[[#This Row],[FMS ID]],FMS_Input[FMS_ID],FMS_Input[REMLWC100])</f>
        <v>0</v>
      </c>
      <c r="AW299" s="264">
        <f>_xlfn.XLOOKUP(FMS_Ranking4[[#This Row],[FMS ID]],FMS_Input[FMS_ID],FMS_Input[REMROADCLS])</f>
        <v>0</v>
      </c>
      <c r="AX299" s="264">
        <f>_xlfn.XLOOKUP(FMS_Ranking4[[#This Row],[FMS ID]],FMS_Input[FMS_ID],FMS_Input[REMFRMACRE100])</f>
        <v>0</v>
      </c>
      <c r="AY299" s="258">
        <f>_xlfn.XLOOKUP(FMS_Ranking4[[#This Row],[FMS ID]],FMS_Input[FMS_ID],FMS_Input[COSTSTRUCT])</f>
        <v>0</v>
      </c>
      <c r="AZ299" s="253">
        <f>_xlfn.XLOOKUP(FMS_Ranking4[[#This Row],[FMS ID]],FMS_Input[FMS_ID],FMS_Input[NATURE])</f>
        <v>0</v>
      </c>
      <c r="BA299" s="262">
        <f>(((FMS_Ranking4[[#This Row],[% NBS Raw]]/AZ$4)*100)*AZ$5)</f>
        <v>0</v>
      </c>
      <c r="BB299" s="251" t="str">
        <f>_xlfn.XLOOKUP(FMS_Ranking4[[#This Row],[FMS ID]],FMS_Input[FMS_ID],FMS_Input[WATER_SUP])</f>
        <v>No</v>
      </c>
      <c r="BC299" s="265">
        <f>IF(FMS_Ranking4[[#This Row],[Water Supply Raw]]="Yes",10,0)</f>
        <v>0</v>
      </c>
      <c r="BD299" s="266">
        <f>_xlfn.XLOOKUP(FMS_Ranking4[[#This Row],[FMS Type]],FMS_TYPE[FMS_Type],FMS_TYPE[Score])</f>
        <v>8</v>
      </c>
      <c r="BE299" s="267">
        <f>FMS_Ranking4[[#This Row],[FMS_Type Score]]*$BD$5*10</f>
        <v>2</v>
      </c>
      <c r="BF29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0.28316945669384963</v>
      </c>
      <c r="BG299" s="321">
        <f>_xlfn.RANK.EQ(BF299,$BF$8:$BF$870,0)+COUNTIF($BF$8:BF299,BF299)-1</f>
        <v>312</v>
      </c>
      <c r="BH299" s="294">
        <f>(((FMS_Ranking4[[#This Row],[Structures Removed Raw]]/AK$4)*100)*AK$5)+(((FMS_Ranking4[[#This Row],[Removed Pop Raw]]/AR$4)*100)*AR$5)</f>
        <v>0</v>
      </c>
      <c r="BI29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2.2831694566938499</v>
      </c>
      <c r="BJ299" s="251">
        <f>_xlfn.RANK.EQ(FMS_Ranking4[[#This Row],[Total Score 
(with linear
normalization)]],FMS_Ranking4[Total Score 
(with linear
normalization)],0)</f>
        <v>304</v>
      </c>
      <c r="BK299" s="251" t="e">
        <f>_xlfn.XLOOKUP(FMS_Ranking4[[#This Row],[FMS ID]],#REF!,#REF!)</f>
        <v>#REF!</v>
      </c>
      <c r="BL29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24.981463918793921</v>
      </c>
      <c r="BM299" s="324">
        <f>FMS_Ranking4[[#This Row],[ArcSinh Score Based on Normalized Reported Factors]]+FMS_Ranking4[[#This Row],[% NBS Score (Normalized)]]+(FMS_Ranking4[[#This Row],[Water Supply Score (Normalized)]]*10*$BB$5)+FMS_Ranking4[[#This Row],[FMS_Type Score Weighted]]</f>
        <v>26.981463918793921</v>
      </c>
      <c r="BN299" s="251">
        <f>_xlfn.RANK.EQ(FMS_Ranking4[[#This Row],[Total Score (with ArcSinh normalization of select criteria)]],FMS_Ranking4[Total Score (with ArcSinh normalization of select criteria)],0)</f>
        <v>291</v>
      </c>
      <c r="BO299" s="270" t="str">
        <f>_xlfn.XLOOKUP(FMS_Ranking4[[#This Row],[FMS ID]],FMS_Input[FMS_ID],FMS_Input[FMS_RANK_YEAR])</f>
        <v>2023 Amended Plan</v>
      </c>
      <c r="BP299" s="204">
        <f>_xlfn.XLOOKUP(FMS_Ranking4[[#This Row],[FMS ID]],Prev_Rank[FMS ID],Prev_Rank[Prev Rank])</f>
        <v>259</v>
      </c>
      <c r="BQ299" s="251" t="e">
        <f>_xlfn.XLOOKUP(FMS_Ranking4[[#This Row],[FMS ID]],#REF!,#REF!)</f>
        <v>#REF!</v>
      </c>
      <c r="BR299" s="199" t="e">
        <f>SUM(#REF!,#REF!,#REF!,#REF!,#REF!,#REF!,#REF!,#REF!,#REF!,FMS_Ranking4[[#This Row],[ArcSinh Res struct removed 0-10]],#REF!)</f>
        <v>#REF!</v>
      </c>
      <c r="BS299" s="199" t="e">
        <f>FMS_Ranking4[[#This Row],[Log Score Based on Normalized Reported Factors]]+FMS_Ranking4[[#This Row],[% NBS Score (Normalized)]]+(FMS_Ranking4[[#This Row],[Water Supply Score (Normalized)]]*10*$BB$5)+(FMS_Ranking4[[#This Row],[FMS_Type Score Weighted]])</f>
        <v>#REF!</v>
      </c>
      <c r="BT299" s="200" t="e">
        <f>_xlfn.RANK.EQ(FMS_Ranking4[[#This Row],[Log Total Score]],FMS_Ranking4[Log Total Score],0)</f>
        <v>#REF!</v>
      </c>
      <c r="BU299" s="200" t="e">
        <f>_xlfn.XLOOKUP(FMS_Ranking4[[#This Row],[FMS ID]],#REF!,#REF!)</f>
        <v>#REF!</v>
      </c>
      <c r="BV299" s="200">
        <f>FMS_Ranking4[[#This Row],[Region Number]]</f>
        <v>2</v>
      </c>
      <c r="BW299" s="200">
        <f>FMS_Ranking4[[#This Row],[Rank (with ArcSinh normalization of select criteria)]]-FMS_Ranking4[[#This Row],[Rank
(with linear
normalization)]]</f>
        <v>-13</v>
      </c>
      <c r="BX299" s="200" t="e">
        <f>FMS_Ranking4[[#This Row],[Log Rank]]-FMS_Ranking4[[#This Row],[Rank
(with linear
normalization)]]</f>
        <v>#REF!</v>
      </c>
      <c r="BY299" s="200" t="str">
        <f>IF(FMS_Ranking4[[#This Row],[FMS Type]]="Flood Measurement and Warning",FMS_Ranking4[[#This Row],[Rank (with ArcSinh normalization of select criteria)]],"")</f>
        <v/>
      </c>
      <c r="BZ299" s="200">
        <f>IF(FMS_Ranking4[[#This Row],[FMS Type]]="Regulatory and Guidance",FMS_Ranking4[[#This Row],[Rank (with ArcSinh normalization of select criteria)]],"")</f>
        <v>291</v>
      </c>
      <c r="CA299" s="200" t="str">
        <f>IF(FMS_Ranking4[[#This Row],[FMS Type]]="Education and Outreach",FMS_Ranking4[[#This Row],[Rank (with ArcSinh normalization of select criteria)]],"")</f>
        <v/>
      </c>
      <c r="CB299" s="200" t="str">
        <f>IF(FMS_Ranking4[[#This Row],[FMS Type]]="Property Acquisition and Structural Elevation",FMS_Ranking4[[#This Row],[Rank (with ArcSinh normalization of select criteria)]],"")</f>
        <v/>
      </c>
      <c r="CC299" s="200" t="str">
        <f>IF(FMS_Ranking4[[#This Row],[FMS Type]]="Infrastructure Projects",FMS_Ranking4[[#This Row],[Rank (with ArcSinh normalization of select criteria)]],"")</f>
        <v/>
      </c>
      <c r="CD299" s="200" t="str">
        <f>IF(FMS_Ranking4[[#This Row],[FMS Type]]="Other",FMS_Ranking4[[#This Row],[Rank (with ArcSinh normalization of select criteria)]],"")</f>
        <v/>
      </c>
      <c r="CE299" s="201"/>
      <c r="CF299" s="206"/>
      <c r="CG299" s="206"/>
      <c r="CH299" s="206"/>
      <c r="CI299" s="206"/>
      <c r="CJ299" s="206"/>
      <c r="CK299" s="206"/>
      <c r="CL299" s="206"/>
      <c r="CM299" s="206"/>
      <c r="CN299" s="206"/>
      <c r="CO299" s="206"/>
      <c r="CP299" s="206"/>
      <c r="CQ299" s="206"/>
      <c r="CR299" s="206"/>
    </row>
    <row r="300" spans="2:96" ht="30" x14ac:dyDescent="0.25">
      <c r="B300" s="341" t="s">
        <v>856</v>
      </c>
      <c r="C300" s="246">
        <f>_xlfn.XLOOKUP(FMS_Ranking4[[#This Row],[FMS ID]],FMS_Input[FMS_ID],FMS_Input[RFPG_NUM])</f>
        <v>9</v>
      </c>
      <c r="D300" s="309" t="str">
        <f>_xlfn.XLOOKUP(FMS_Ranking4[[#This Row],[FMS ID]],FMS_Input[FMS_ID],FMS_Input[FMS_NAME])</f>
        <v>Sterling Flood Insurance Education Program</v>
      </c>
      <c r="E300" s="308" t="str">
        <f>_xlfn.XLOOKUP(FMS_Ranking4[[#This Row],[FMS ID]],FMS_Input[FMS_ID],FMS_Input[SPONSOR])</f>
        <v>09000149</v>
      </c>
      <c r="F300" s="309" t="str">
        <f>_xlfn.XLOOKUP(FMS_Ranking4[[#This Row],[FMS ID]],Sponsor[FMS_ID],Sponsor[SPONSOR NAME])</f>
        <v>Sterling</v>
      </c>
      <c r="G300" s="309" t="str">
        <f>_xlfn.XLOOKUP(FMS_Ranking4[[#This Row],[FMS ID]],FMS_Input[FMS_ID],FMS_Input[FMS_DESCR])</f>
        <v>Draft flood insurance education program</v>
      </c>
      <c r="H300" s="248" t="str">
        <f>_xlfn.XLOOKUP(FMS_Ranking4[[#This Row],[FMS ID]],FMS_Input[FMS_ID],FMS_Input[FMS_TYPE])</f>
        <v>Other</v>
      </c>
      <c r="I300" s="249">
        <f>_xlfn.XLOOKUP(FMS_Ranking4[[#This Row],[FMS ID]],FMS_Input[FMS_ID],FMS_Input[NRNC_COST])</f>
        <v>5000</v>
      </c>
      <c r="J300" s="250">
        <f>_xlfn.XLOOKUP(FMS_Ranking4[[#This Row],[FMS ID]],FMS_Input[FMS_ID],FMS_Input[FMS_COST])</f>
        <v>30000</v>
      </c>
      <c r="K300" s="251" t="str">
        <f>_xlfn.XLOOKUP(FMS_Ranking4[[#This Row],[FMS ID]],FMS_Input[FMS_ID],FMS_Input[EMER_NEED])</f>
        <v>No</v>
      </c>
      <c r="L300" s="252">
        <f t="shared" si="4"/>
        <v>0</v>
      </c>
      <c r="M300" s="253">
        <f>_xlfn.XLOOKUP(FMS_Ranking4[[#This Row],[FMS ID]],FMS_Input[FMS_ID],FMS_Input[STRUCT_100])</f>
        <v>132</v>
      </c>
      <c r="N300" s="255">
        <f>(ASINH(FMS_Ranking4[[#This Row],[Structure at Risk Raw]]))*(10)/(ASINH(M$4))</f>
        <v>4.3835374973774615</v>
      </c>
      <c r="O300" s="256">
        <f>FMS_Ranking4[[#This Row],[Structures at risk, ArcSinh (0-10)]]*M$5*10</f>
        <v>4.3835374973774615</v>
      </c>
      <c r="P300" s="253">
        <f>_xlfn.XLOOKUP(FMS_Ranking4[[#This Row],[FMS ID]],FMS_Input[FMS_ID],FMS_Input[RES_STRUCT100])</f>
        <v>90</v>
      </c>
      <c r="Q300" s="257">
        <f>ASINH(FMS_Ranking4[[#This Row],[Res Structure Raw]])/Q$4*P$5*100</f>
        <v>0</v>
      </c>
      <c r="R300" s="253">
        <f>_xlfn.XLOOKUP(FMS_Ranking4[[#This Row],[FMS ID]],FMS_Input[FMS_ID],FMS_Input[POP100])</f>
        <v>156</v>
      </c>
      <c r="S300" s="255">
        <f>(ASINH(FMS_Ranking4[[#This Row],[Pop at Risk Raw]]))*(10)/(ASINH(R$4))</f>
        <v>3.9647365381444706</v>
      </c>
      <c r="T300" s="256">
        <f>FMS_Ranking4[[#This Row],[Population at risk, ArcSinh (0-10)]]*R$5*10</f>
        <v>3.964736538144471</v>
      </c>
      <c r="U300" s="253">
        <f>_xlfn.XLOOKUP(FMS_Ranking4[[#This Row],[FMS ID]],FMS_Input[FMS_ID],FMS_Input[CRITFAC100])</f>
        <v>0</v>
      </c>
      <c r="V300" s="255">
        <f>(ASINH(FMS_Ranking4[[#This Row],[Critical Facilities Raw]]))*(10)/(ASINH(U$4))</f>
        <v>0</v>
      </c>
      <c r="W300" s="256">
        <f>FMS_Ranking4[[#This Row],[Critical facilities at risk, ArcSinh (0-10)]]*U$5*10</f>
        <v>0</v>
      </c>
      <c r="X300" s="253">
        <f>_xlfn.XLOOKUP(FMS_Ranking4[[#This Row],[FMS ID]],FMS_Input[FMS_ID],FMS_Input[LWC])</f>
        <v>7</v>
      </c>
      <c r="Y300" s="255">
        <f>(ASINH(FMS_Ranking4[[#This Row],[LWC Raw]]))*(10)/(ASINH(X$4))</f>
        <v>3.5820902845593281</v>
      </c>
      <c r="Z300" s="256">
        <f>FMS_Ranking4[[#This Row],[LWC, ArcSInh (0-10)]]*X$5*10</f>
        <v>3.5820902845593281</v>
      </c>
      <c r="AA300" s="253">
        <f>_xlfn.XLOOKUP(FMS_Ranking4[[#This Row],[FMS ID]],FMS_Input[FMS_ID],FMS_Input[ROADCLS])</f>
        <v>0</v>
      </c>
      <c r="AB300" s="255">
        <f>(ASINH(FMS_Ranking4[[#This Row],[Road Closures Raw]]))*(10)/(ASINH(AA$4))</f>
        <v>0</v>
      </c>
      <c r="AC300" s="256">
        <f>FMS_Ranking4[[#This Row],[Road closures, ArcSinh (0-10)]]*AA$5*10</f>
        <v>0</v>
      </c>
      <c r="AD300" s="253">
        <f>_xlfn.XLOOKUP(FMS_Ranking4[[#This Row],[FMS ID]],FMS_Input[FMS_ID],FMS_Input[ROAD_MILES100])</f>
        <v>5</v>
      </c>
      <c r="AE300" s="255">
        <f>(ASINH(FMS_Ranking4[[#This Row],[Road Miles Raw]]))*(10)/(ASINH(AD$4))</f>
        <v>2.4644230639487872</v>
      </c>
      <c r="AF300" s="256">
        <f>FMS_Ranking4[[#This Row],[Length of roads at risk, ArcSinh (0-10)]]*AD$5*10</f>
        <v>2.4644230639487876</v>
      </c>
      <c r="AG300" s="253">
        <f>_xlfn.XLOOKUP(FMS_Ranking4[[#This Row],[FMS ID]],FMS_Input[FMS_ID],FMS_Input[FARMACRE100])</f>
        <v>1.5922608375549321</v>
      </c>
      <c r="AH300" s="255">
        <f>(ASINH(FMS_Ranking4[[#This Row],[Ag Land Raw]]))*(10)/(ASINH(AG$4))</f>
        <v>0.80864736341814181</v>
      </c>
      <c r="AI300" s="260">
        <f>FMS_Ranking4[[#This Row],[Farm &amp; ranch land, ArcSinh (0-10)]]*AG$5*10</f>
        <v>0.4043236817090709</v>
      </c>
      <c r="AJ300" s="258">
        <f>_xlfn.XLOOKUP(FMS_Ranking4[[#This Row],[FMS ID]],FMS_Input[FMS_ID],FMS_Input[REDSTRUCT100])</f>
        <v>33</v>
      </c>
      <c r="AK300" s="253">
        <f>_xlfn.XLOOKUP(FMS_Ranking4[[#This Row],[FMS ID]],FMS_Input[FMS_ID],FMS_Input[REMSTRC100])</f>
        <v>33</v>
      </c>
      <c r="AL300" s="255">
        <f>(ASINH(FMS_Ranking4[[#This Row],[Structures Removed Raw]]))*(10)/(ASINH(AK$4))</f>
        <v>4.7704822740537018</v>
      </c>
      <c r="AM300" s="262">
        <f>FMS_Ranking4[[#This Row],[Structures removed, ArcSinh (0-10)]]*AK$5*10</f>
        <v>4.7704822740537018</v>
      </c>
      <c r="AN300" s="253">
        <f>_xlfn.XLOOKUP(FMS_Ranking4[[#This Row],[FMS ID]],FMS_Input[FMS_ID],FMS_Input[REMRESSTRC100])</f>
        <v>22</v>
      </c>
      <c r="AO300" s="261">
        <f>FMS_Ranking4[[#This Row],[ArcSinh Res struct removed 0-10]]*AN$5*10</f>
        <v>2.2198300989646338</v>
      </c>
      <c r="AP300" s="260">
        <f>ASINH(FMS_Ranking4[[#This Row],[Residential Structures Removed Raw]])/AP$4*AN$5*100</f>
        <v>2.2198300989646342</v>
      </c>
      <c r="AQ300" s="258">
        <f>(ASINH(FMS_Ranking4[[#This Row],[Residential Structures Removed Raw]]))*(10)/(ASINH(AN$4))</f>
        <v>4.4396601979292676</v>
      </c>
      <c r="AR300" s="253">
        <f>_xlfn.XLOOKUP(FMS_Ranking4[[#This Row],[FMS ID]],FMS_Input[FMS_ID],FMS_Input[REMPOP100])</f>
        <v>57</v>
      </c>
      <c r="AS300" s="255">
        <f>(ASINH(FMS_Ranking4[[#This Row],[Removed Pop Raw]]))*(10)/(ASINH(AR$4))</f>
        <v>4.6492247418898813</v>
      </c>
      <c r="AT300" s="262">
        <f>FMS_Ranking4[[#This Row],[Removed population, ArcSinh (0-10)]]*AR$5*10</f>
        <v>4.6492247418898813</v>
      </c>
      <c r="AU300" s="264">
        <f>_xlfn.XLOOKUP(FMS_Ranking4[[#This Row],[FMS ID]],FMS_Input[FMS_ID],FMS_Input[REMCRITFAC100])</f>
        <v>0</v>
      </c>
      <c r="AV300" s="264">
        <f>_xlfn.XLOOKUP(FMS_Ranking4[[#This Row],[FMS ID]],FMS_Input[FMS_ID],FMS_Input[REMLWC100])</f>
        <v>1</v>
      </c>
      <c r="AW300" s="264">
        <f>_xlfn.XLOOKUP(FMS_Ranking4[[#This Row],[FMS ID]],FMS_Input[FMS_ID],FMS_Input[REMROADCLS])</f>
        <v>0</v>
      </c>
      <c r="AX300" s="264">
        <f>_xlfn.XLOOKUP(FMS_Ranking4[[#This Row],[FMS ID]],FMS_Input[FMS_ID],FMS_Input[REMFRMACRE100])</f>
        <v>0.39806520938873291</v>
      </c>
      <c r="AY300" s="258">
        <f>_xlfn.XLOOKUP(FMS_Ranking4[[#This Row],[FMS ID]],FMS_Input[FMS_ID],FMS_Input[COSTSTRUCT])</f>
        <v>25000</v>
      </c>
      <c r="AZ300" s="253">
        <f>_xlfn.XLOOKUP(FMS_Ranking4[[#This Row],[FMS ID]],FMS_Input[FMS_ID],FMS_Input[NATURE])</f>
        <v>0</v>
      </c>
      <c r="BA300" s="262">
        <f>(((FMS_Ranking4[[#This Row],[% NBS Raw]]/AZ$4)*100)*AZ$5)</f>
        <v>0</v>
      </c>
      <c r="BB300" s="251" t="str">
        <f>_xlfn.XLOOKUP(FMS_Ranking4[[#This Row],[FMS ID]],FMS_Input[FMS_ID],FMS_Input[WATER_SUP])</f>
        <v>No</v>
      </c>
      <c r="BC300" s="265">
        <f>IF(FMS_Ranking4[[#This Row],[Water Supply Raw]]="Yes",10,0)</f>
        <v>0</v>
      </c>
      <c r="BD300" s="266">
        <f>_xlfn.XLOOKUP(FMS_Ranking4[[#This Row],[FMS Type]],FMS_TYPE[FMS_Type],FMS_TYPE[Score])</f>
        <v>2</v>
      </c>
      <c r="BE300" s="267">
        <f>FMS_Ranking4[[#This Row],[FMS_Type Score]]*$BD$5*10</f>
        <v>0.5</v>
      </c>
      <c r="BF30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0.10507880454401139</v>
      </c>
      <c r="BG300" s="321">
        <f>_xlfn.RANK.EQ(BF300,$BF$8:$BF$870,0)+COUNTIF($BF$8:BF300,BF300)-1</f>
        <v>490</v>
      </c>
      <c r="BH300" s="294">
        <f>(((FMS_Ranking4[[#This Row],[Structures Removed Raw]]/AK$4)*100)*AK$5)+(((FMS_Ranking4[[#This Row],[Removed Pop Raw]]/AR$4)*100)*AR$5)</f>
        <v>0.14411440709753584</v>
      </c>
      <c r="BI30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0.74919321164154717</v>
      </c>
      <c r="BJ300" s="251">
        <f>_xlfn.RANK.EQ(FMS_Ranking4[[#This Row],[Total Score 
(with linear
normalization)]],FMS_Ranking4[Total Score 
(with linear
normalization)],0)</f>
        <v>783</v>
      </c>
      <c r="BK300" s="251" t="e">
        <f>_xlfn.XLOOKUP(FMS_Ranking4[[#This Row],[FMS ID]],#REF!,#REF!)</f>
        <v>#REF!</v>
      </c>
      <c r="BL30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26.438648180647334</v>
      </c>
      <c r="BM300" s="324">
        <f>FMS_Ranking4[[#This Row],[ArcSinh Score Based on Normalized Reported Factors]]+FMS_Ranking4[[#This Row],[% NBS Score (Normalized)]]+(FMS_Ranking4[[#This Row],[Water Supply Score (Normalized)]]*10*$BB$5)+FMS_Ranking4[[#This Row],[FMS_Type Score Weighted]]</f>
        <v>26.938648180647334</v>
      </c>
      <c r="BN300" s="251">
        <f>_xlfn.RANK.EQ(FMS_Ranking4[[#This Row],[Total Score (with ArcSinh normalization of select criteria)]],FMS_Ranking4[Total Score (with ArcSinh normalization of select criteria)],0)</f>
        <v>293</v>
      </c>
      <c r="BO300" s="270" t="str">
        <f>_xlfn.XLOOKUP(FMS_Ranking4[[#This Row],[FMS ID]],FMS_Input[FMS_ID],FMS_Input[FMS_RANK_YEAR])</f>
        <v>2023 Amended Plan</v>
      </c>
      <c r="BP300" s="204">
        <f>_xlfn.XLOOKUP(FMS_Ranking4[[#This Row],[FMS ID]],Prev_Rank[FMS ID],Prev_Rank[Prev Rank])</f>
        <v>291</v>
      </c>
      <c r="BQ300" s="251" t="e">
        <f>_xlfn.XLOOKUP(FMS_Ranking4[[#This Row],[FMS ID]],#REF!,#REF!)</f>
        <v>#REF!</v>
      </c>
      <c r="BR300" s="199" t="e">
        <f>SUM(#REF!,#REF!,#REF!,#REF!,#REF!,#REF!,#REF!,#REF!,#REF!,FMS_Ranking4[[#This Row],[ArcSinh Res struct removed 0-10]],#REF!)</f>
        <v>#REF!</v>
      </c>
      <c r="BS300" s="199" t="e">
        <f>FMS_Ranking4[[#This Row],[Log Score Based on Normalized Reported Factors]]+FMS_Ranking4[[#This Row],[% NBS Score (Normalized)]]+(FMS_Ranking4[[#This Row],[Water Supply Score (Normalized)]]*10*$BB$5)+(FMS_Ranking4[[#This Row],[FMS_Type Score Weighted]])</f>
        <v>#REF!</v>
      </c>
      <c r="BT300" s="200" t="e">
        <f>_xlfn.RANK.EQ(FMS_Ranking4[[#This Row],[Log Total Score]],FMS_Ranking4[Log Total Score],0)</f>
        <v>#REF!</v>
      </c>
      <c r="BU300" s="200" t="e">
        <f>_xlfn.XLOOKUP(FMS_Ranking4[[#This Row],[FMS ID]],#REF!,#REF!)</f>
        <v>#REF!</v>
      </c>
      <c r="BV300" s="200">
        <f>FMS_Ranking4[[#This Row],[Region Number]]</f>
        <v>9</v>
      </c>
      <c r="BW300" s="200">
        <f>FMS_Ranking4[[#This Row],[Rank (with ArcSinh normalization of select criteria)]]-FMS_Ranking4[[#This Row],[Rank
(with linear
normalization)]]</f>
        <v>-490</v>
      </c>
      <c r="BX300" s="200" t="e">
        <f>FMS_Ranking4[[#This Row],[Log Rank]]-FMS_Ranking4[[#This Row],[Rank
(with linear
normalization)]]</f>
        <v>#REF!</v>
      </c>
      <c r="BY300" s="200" t="str">
        <f>IF(FMS_Ranking4[[#This Row],[FMS Type]]="Flood Measurement and Warning",FMS_Ranking4[[#This Row],[Rank (with ArcSinh normalization of select criteria)]],"")</f>
        <v/>
      </c>
      <c r="BZ300" s="200" t="str">
        <f>IF(FMS_Ranking4[[#This Row],[FMS Type]]="Regulatory and Guidance",FMS_Ranking4[[#This Row],[Rank (with ArcSinh normalization of select criteria)]],"")</f>
        <v/>
      </c>
      <c r="CA300" s="200" t="str">
        <f>IF(FMS_Ranking4[[#This Row],[FMS Type]]="Education and Outreach",FMS_Ranking4[[#This Row],[Rank (with ArcSinh normalization of select criteria)]],"")</f>
        <v/>
      </c>
      <c r="CB300" s="200" t="str">
        <f>IF(FMS_Ranking4[[#This Row],[FMS Type]]="Property Acquisition and Structural Elevation",FMS_Ranking4[[#This Row],[Rank (with ArcSinh normalization of select criteria)]],"")</f>
        <v/>
      </c>
      <c r="CC300" s="200" t="str">
        <f>IF(FMS_Ranking4[[#This Row],[FMS Type]]="Infrastructure Projects",FMS_Ranking4[[#This Row],[Rank (with ArcSinh normalization of select criteria)]],"")</f>
        <v/>
      </c>
      <c r="CD300" s="200">
        <f>IF(FMS_Ranking4[[#This Row],[FMS Type]]="Other",FMS_Ranking4[[#This Row],[Rank (with ArcSinh normalization of select criteria)]],"")</f>
        <v>293</v>
      </c>
      <c r="CE300" s="201"/>
      <c r="CF300" s="206"/>
      <c r="CG300" s="206"/>
      <c r="CH300" s="206"/>
      <c r="CI300" s="206"/>
      <c r="CJ300" s="206"/>
      <c r="CK300" s="206"/>
      <c r="CL300" s="206"/>
      <c r="CM300" s="206"/>
      <c r="CN300" s="206"/>
      <c r="CO300" s="206"/>
      <c r="CP300" s="206"/>
      <c r="CQ300" s="206"/>
      <c r="CR300" s="206"/>
    </row>
    <row r="301" spans="2:96" ht="75" x14ac:dyDescent="0.25">
      <c r="B301" s="341" t="s">
        <v>864</v>
      </c>
      <c r="C301" s="246">
        <f>_xlfn.XLOOKUP(FMS_Ranking4[[#This Row],[FMS ID]],FMS_Input[FMS_ID],FMS_Input[RFPG_NUM])</f>
        <v>9</v>
      </c>
      <c r="D301" s="309" t="str">
        <f>_xlfn.XLOOKUP(FMS_Ranking4[[#This Row],[FMS ID]],FMS_Input[FMS_ID],FMS_Input[FMS_NAME])</f>
        <v>Sterling TADD Program</v>
      </c>
      <c r="E301" s="308" t="str">
        <f>_xlfn.XLOOKUP(FMS_Ranking4[[#This Row],[FMS ID]],FMS_Input[FMS_ID],FMS_Input[SPONSOR])</f>
        <v>09000149</v>
      </c>
      <c r="F301" s="309" t="str">
        <f>_xlfn.XLOOKUP(FMS_Ranking4[[#This Row],[FMS ID]],Sponsor[FMS_ID],Sponsor[SPONSOR NAME])</f>
        <v>Sterling</v>
      </c>
      <c r="G301" s="309" t="str">
        <f>_xlfn.XLOOKUP(FMS_Ranking4[[#This Row],[FMS ID]],FMS_Input[FMS_ID],FMS_Input[FMS_DESCR])</f>
        <v>Establish public awareness program regarding dangers of driving across low water crossings through Turn Around Don’t Drown.</v>
      </c>
      <c r="H301" s="248" t="str">
        <f>_xlfn.XLOOKUP(FMS_Ranking4[[#This Row],[FMS ID]],FMS_Input[FMS_ID],FMS_Input[FMS_TYPE])</f>
        <v>Other</v>
      </c>
      <c r="I301" s="249">
        <f>_xlfn.XLOOKUP(FMS_Ranking4[[#This Row],[FMS ID]],FMS_Input[FMS_ID],FMS_Input[NRNC_COST])</f>
        <v>5000</v>
      </c>
      <c r="J301" s="250">
        <f>_xlfn.XLOOKUP(FMS_Ranking4[[#This Row],[FMS ID]],FMS_Input[FMS_ID],FMS_Input[FMS_COST])</f>
        <v>30000</v>
      </c>
      <c r="K301" s="251" t="str">
        <f>_xlfn.XLOOKUP(FMS_Ranking4[[#This Row],[FMS ID]],FMS_Input[FMS_ID],FMS_Input[EMER_NEED])</f>
        <v>No</v>
      </c>
      <c r="L301" s="252">
        <f t="shared" si="4"/>
        <v>0</v>
      </c>
      <c r="M301" s="253">
        <f>_xlfn.XLOOKUP(FMS_Ranking4[[#This Row],[FMS ID]],FMS_Input[FMS_ID],FMS_Input[STRUCT_100])</f>
        <v>132</v>
      </c>
      <c r="N301" s="255">
        <f>(ASINH(FMS_Ranking4[[#This Row],[Structure at Risk Raw]]))*(10)/(ASINH(M$4))</f>
        <v>4.3835374973774615</v>
      </c>
      <c r="O301" s="256">
        <f>FMS_Ranking4[[#This Row],[Structures at risk, ArcSinh (0-10)]]*M$5*10</f>
        <v>4.3835374973774615</v>
      </c>
      <c r="P301" s="253">
        <f>_xlfn.XLOOKUP(FMS_Ranking4[[#This Row],[FMS ID]],FMS_Input[FMS_ID],FMS_Input[RES_STRUCT100])</f>
        <v>90</v>
      </c>
      <c r="Q301" s="257">
        <f>ASINH(FMS_Ranking4[[#This Row],[Res Structure Raw]])/Q$4*P$5*100</f>
        <v>0</v>
      </c>
      <c r="R301" s="253">
        <f>_xlfn.XLOOKUP(FMS_Ranking4[[#This Row],[FMS ID]],FMS_Input[FMS_ID],FMS_Input[POP100])</f>
        <v>156</v>
      </c>
      <c r="S301" s="255">
        <f>(ASINH(FMS_Ranking4[[#This Row],[Pop at Risk Raw]]))*(10)/(ASINH(R$4))</f>
        <v>3.9647365381444706</v>
      </c>
      <c r="T301" s="256">
        <f>FMS_Ranking4[[#This Row],[Population at risk, ArcSinh (0-10)]]*R$5*10</f>
        <v>3.964736538144471</v>
      </c>
      <c r="U301" s="253">
        <f>_xlfn.XLOOKUP(FMS_Ranking4[[#This Row],[FMS ID]],FMS_Input[FMS_ID],FMS_Input[CRITFAC100])</f>
        <v>0</v>
      </c>
      <c r="V301" s="255">
        <f>(ASINH(FMS_Ranking4[[#This Row],[Critical Facilities Raw]]))*(10)/(ASINH(U$4))</f>
        <v>0</v>
      </c>
      <c r="W301" s="256">
        <f>FMS_Ranking4[[#This Row],[Critical facilities at risk, ArcSinh (0-10)]]*U$5*10</f>
        <v>0</v>
      </c>
      <c r="X301" s="253">
        <f>_xlfn.XLOOKUP(FMS_Ranking4[[#This Row],[FMS ID]],FMS_Input[FMS_ID],FMS_Input[LWC])</f>
        <v>7</v>
      </c>
      <c r="Y301" s="255">
        <f>(ASINH(FMS_Ranking4[[#This Row],[LWC Raw]]))*(10)/(ASINH(X$4))</f>
        <v>3.5820902845593281</v>
      </c>
      <c r="Z301" s="256">
        <f>FMS_Ranking4[[#This Row],[LWC, ArcSInh (0-10)]]*X$5*10</f>
        <v>3.5820902845593281</v>
      </c>
      <c r="AA301" s="253">
        <f>_xlfn.XLOOKUP(FMS_Ranking4[[#This Row],[FMS ID]],FMS_Input[FMS_ID],FMS_Input[ROADCLS])</f>
        <v>0</v>
      </c>
      <c r="AB301" s="255">
        <f>(ASINH(FMS_Ranking4[[#This Row],[Road Closures Raw]]))*(10)/(ASINH(AA$4))</f>
        <v>0</v>
      </c>
      <c r="AC301" s="256">
        <f>FMS_Ranking4[[#This Row],[Road closures, ArcSinh (0-10)]]*AA$5*10</f>
        <v>0</v>
      </c>
      <c r="AD301" s="253">
        <f>_xlfn.XLOOKUP(FMS_Ranking4[[#This Row],[FMS ID]],FMS_Input[FMS_ID],FMS_Input[ROAD_MILES100])</f>
        <v>5</v>
      </c>
      <c r="AE301" s="255">
        <f>(ASINH(FMS_Ranking4[[#This Row],[Road Miles Raw]]))*(10)/(ASINH(AD$4))</f>
        <v>2.4644230639487872</v>
      </c>
      <c r="AF301" s="256">
        <f>FMS_Ranking4[[#This Row],[Length of roads at risk, ArcSinh (0-10)]]*AD$5*10</f>
        <v>2.4644230639487876</v>
      </c>
      <c r="AG301" s="253">
        <f>_xlfn.XLOOKUP(FMS_Ranking4[[#This Row],[FMS ID]],FMS_Input[FMS_ID],FMS_Input[FARMACRE100])</f>
        <v>1.5922608375549321</v>
      </c>
      <c r="AH301" s="255">
        <f>(ASINH(FMS_Ranking4[[#This Row],[Ag Land Raw]]))*(10)/(ASINH(AG$4))</f>
        <v>0.80864736341814181</v>
      </c>
      <c r="AI301" s="260">
        <f>FMS_Ranking4[[#This Row],[Farm &amp; ranch land, ArcSinh (0-10)]]*AG$5*10</f>
        <v>0.4043236817090709</v>
      </c>
      <c r="AJ301" s="258">
        <f>_xlfn.XLOOKUP(FMS_Ranking4[[#This Row],[FMS ID]],FMS_Input[FMS_ID],FMS_Input[REDSTRUCT100])</f>
        <v>33</v>
      </c>
      <c r="AK301" s="253">
        <f>_xlfn.XLOOKUP(FMS_Ranking4[[#This Row],[FMS ID]],FMS_Input[FMS_ID],FMS_Input[REMSTRC100])</f>
        <v>33</v>
      </c>
      <c r="AL301" s="255">
        <f>(ASINH(FMS_Ranking4[[#This Row],[Structures Removed Raw]]))*(10)/(ASINH(AK$4))</f>
        <v>4.7704822740537018</v>
      </c>
      <c r="AM301" s="262">
        <f>FMS_Ranking4[[#This Row],[Structures removed, ArcSinh (0-10)]]*AK$5*10</f>
        <v>4.7704822740537018</v>
      </c>
      <c r="AN301" s="253">
        <f>_xlfn.XLOOKUP(FMS_Ranking4[[#This Row],[FMS ID]],FMS_Input[FMS_ID],FMS_Input[REMRESSTRC100])</f>
        <v>22</v>
      </c>
      <c r="AO301" s="261">
        <f>FMS_Ranking4[[#This Row],[ArcSinh Res struct removed 0-10]]*AN$5*10</f>
        <v>2.2198300989646338</v>
      </c>
      <c r="AP301" s="260">
        <f>ASINH(FMS_Ranking4[[#This Row],[Residential Structures Removed Raw]])/AP$4*AN$5*100</f>
        <v>2.2198300989646342</v>
      </c>
      <c r="AQ301" s="258">
        <f>(ASINH(FMS_Ranking4[[#This Row],[Residential Structures Removed Raw]]))*(10)/(ASINH(AN$4))</f>
        <v>4.4396601979292676</v>
      </c>
      <c r="AR301" s="253">
        <f>_xlfn.XLOOKUP(FMS_Ranking4[[#This Row],[FMS ID]],FMS_Input[FMS_ID],FMS_Input[REMPOP100])</f>
        <v>57</v>
      </c>
      <c r="AS301" s="255">
        <f>(ASINH(FMS_Ranking4[[#This Row],[Removed Pop Raw]]))*(10)/(ASINH(AR$4))</f>
        <v>4.6492247418898813</v>
      </c>
      <c r="AT301" s="262">
        <f>FMS_Ranking4[[#This Row],[Removed population, ArcSinh (0-10)]]*AR$5*10</f>
        <v>4.6492247418898813</v>
      </c>
      <c r="AU301" s="264">
        <f>_xlfn.XLOOKUP(FMS_Ranking4[[#This Row],[FMS ID]],FMS_Input[FMS_ID],FMS_Input[REMCRITFAC100])</f>
        <v>0</v>
      </c>
      <c r="AV301" s="264">
        <f>_xlfn.XLOOKUP(FMS_Ranking4[[#This Row],[FMS ID]],FMS_Input[FMS_ID],FMS_Input[REMLWC100])</f>
        <v>1</v>
      </c>
      <c r="AW301" s="264">
        <f>_xlfn.XLOOKUP(FMS_Ranking4[[#This Row],[FMS ID]],FMS_Input[FMS_ID],FMS_Input[REMROADCLS])</f>
        <v>0</v>
      </c>
      <c r="AX301" s="264">
        <f>_xlfn.XLOOKUP(FMS_Ranking4[[#This Row],[FMS ID]],FMS_Input[FMS_ID],FMS_Input[REMFRMACRE100])</f>
        <v>0.39806520938873291</v>
      </c>
      <c r="AY301" s="258">
        <f>_xlfn.XLOOKUP(FMS_Ranking4[[#This Row],[FMS ID]],FMS_Input[FMS_ID],FMS_Input[COSTSTRUCT])</f>
        <v>25000</v>
      </c>
      <c r="AZ301" s="253">
        <f>_xlfn.XLOOKUP(FMS_Ranking4[[#This Row],[FMS ID]],FMS_Input[FMS_ID],FMS_Input[NATURE])</f>
        <v>0</v>
      </c>
      <c r="BA301" s="262">
        <f>(((FMS_Ranking4[[#This Row],[% NBS Raw]]/AZ$4)*100)*AZ$5)</f>
        <v>0</v>
      </c>
      <c r="BB301" s="251" t="str">
        <f>_xlfn.XLOOKUP(FMS_Ranking4[[#This Row],[FMS ID]],FMS_Input[FMS_ID],FMS_Input[WATER_SUP])</f>
        <v>No</v>
      </c>
      <c r="BC301" s="265">
        <f>IF(FMS_Ranking4[[#This Row],[Water Supply Raw]]="Yes",10,0)</f>
        <v>0</v>
      </c>
      <c r="BD301" s="266">
        <f>_xlfn.XLOOKUP(FMS_Ranking4[[#This Row],[FMS Type]],FMS_TYPE[FMS_Type],FMS_TYPE[Score])</f>
        <v>2</v>
      </c>
      <c r="BE301" s="267">
        <f>FMS_Ranking4[[#This Row],[FMS_Type Score]]*$BD$5*10</f>
        <v>0.5</v>
      </c>
      <c r="BF30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0.10507880454401139</v>
      </c>
      <c r="BG301" s="321">
        <f>_xlfn.RANK.EQ(BF301,$BF$8:$BF$870,0)+COUNTIF($BF$8:BF301,BF301)-1</f>
        <v>491</v>
      </c>
      <c r="BH301" s="294">
        <f>(((FMS_Ranking4[[#This Row],[Structures Removed Raw]]/AK$4)*100)*AK$5)+(((FMS_Ranking4[[#This Row],[Removed Pop Raw]]/AR$4)*100)*AR$5)</f>
        <v>0.14411440709753584</v>
      </c>
      <c r="BI30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0.74919321164154717</v>
      </c>
      <c r="BJ301" s="251">
        <f>_xlfn.RANK.EQ(FMS_Ranking4[[#This Row],[Total Score 
(with linear
normalization)]],FMS_Ranking4[Total Score 
(with linear
normalization)],0)</f>
        <v>783</v>
      </c>
      <c r="BK301" s="251" t="e">
        <f>_xlfn.XLOOKUP(FMS_Ranking4[[#This Row],[FMS ID]],#REF!,#REF!)</f>
        <v>#REF!</v>
      </c>
      <c r="BL30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26.438648180647334</v>
      </c>
      <c r="BM301" s="324">
        <f>FMS_Ranking4[[#This Row],[ArcSinh Score Based on Normalized Reported Factors]]+FMS_Ranking4[[#This Row],[% NBS Score (Normalized)]]+(FMS_Ranking4[[#This Row],[Water Supply Score (Normalized)]]*10*$BB$5)+FMS_Ranking4[[#This Row],[FMS_Type Score Weighted]]</f>
        <v>26.938648180647334</v>
      </c>
      <c r="BN301" s="251">
        <f>_xlfn.RANK.EQ(FMS_Ranking4[[#This Row],[Total Score (with ArcSinh normalization of select criteria)]],FMS_Ranking4[Total Score (with ArcSinh normalization of select criteria)],0)</f>
        <v>293</v>
      </c>
      <c r="BO301" s="270" t="str">
        <f>_xlfn.XLOOKUP(FMS_Ranking4[[#This Row],[FMS ID]],FMS_Input[FMS_ID],FMS_Input[FMS_RANK_YEAR])</f>
        <v>2023 Amended Plan</v>
      </c>
      <c r="BP301" s="204">
        <f>_xlfn.XLOOKUP(FMS_Ranking4[[#This Row],[FMS ID]],Prev_Rank[FMS ID],Prev_Rank[Prev Rank])</f>
        <v>291</v>
      </c>
      <c r="BQ301" s="251" t="e">
        <f>_xlfn.XLOOKUP(FMS_Ranking4[[#This Row],[FMS ID]],#REF!,#REF!)</f>
        <v>#REF!</v>
      </c>
      <c r="BR301" s="199" t="e">
        <f>SUM(#REF!,#REF!,#REF!,#REF!,#REF!,#REF!,#REF!,#REF!,#REF!,FMS_Ranking4[[#This Row],[ArcSinh Res struct removed 0-10]],#REF!)</f>
        <v>#REF!</v>
      </c>
      <c r="BS301" s="199" t="e">
        <f>FMS_Ranking4[[#This Row],[Log Score Based on Normalized Reported Factors]]+FMS_Ranking4[[#This Row],[% NBS Score (Normalized)]]+(FMS_Ranking4[[#This Row],[Water Supply Score (Normalized)]]*10*$BB$5)+(FMS_Ranking4[[#This Row],[FMS_Type Score Weighted]])</f>
        <v>#REF!</v>
      </c>
      <c r="BT301" s="200" t="e">
        <f>_xlfn.RANK.EQ(FMS_Ranking4[[#This Row],[Log Total Score]],FMS_Ranking4[Log Total Score],0)</f>
        <v>#REF!</v>
      </c>
      <c r="BU301" s="200" t="e">
        <f>_xlfn.XLOOKUP(FMS_Ranking4[[#This Row],[FMS ID]],#REF!,#REF!)</f>
        <v>#REF!</v>
      </c>
      <c r="BV301" s="200">
        <f>FMS_Ranking4[[#This Row],[Region Number]]</f>
        <v>9</v>
      </c>
      <c r="BW301" s="200">
        <f>FMS_Ranking4[[#This Row],[Rank (with ArcSinh normalization of select criteria)]]-FMS_Ranking4[[#This Row],[Rank
(with linear
normalization)]]</f>
        <v>-490</v>
      </c>
      <c r="BX301" s="200" t="e">
        <f>FMS_Ranking4[[#This Row],[Log Rank]]-FMS_Ranking4[[#This Row],[Rank
(with linear
normalization)]]</f>
        <v>#REF!</v>
      </c>
      <c r="BY301" s="200" t="str">
        <f>IF(FMS_Ranking4[[#This Row],[FMS Type]]="Flood Measurement and Warning",FMS_Ranking4[[#This Row],[Rank (with ArcSinh normalization of select criteria)]],"")</f>
        <v/>
      </c>
      <c r="BZ301" s="200" t="str">
        <f>IF(FMS_Ranking4[[#This Row],[FMS Type]]="Regulatory and Guidance",FMS_Ranking4[[#This Row],[Rank (with ArcSinh normalization of select criteria)]],"")</f>
        <v/>
      </c>
      <c r="CA301" s="200" t="str">
        <f>IF(FMS_Ranking4[[#This Row],[FMS Type]]="Education and Outreach",FMS_Ranking4[[#This Row],[Rank (with ArcSinh normalization of select criteria)]],"")</f>
        <v/>
      </c>
      <c r="CB301" s="200" t="str">
        <f>IF(FMS_Ranking4[[#This Row],[FMS Type]]="Property Acquisition and Structural Elevation",FMS_Ranking4[[#This Row],[Rank (with ArcSinh normalization of select criteria)]],"")</f>
        <v/>
      </c>
      <c r="CC301" s="200" t="str">
        <f>IF(FMS_Ranking4[[#This Row],[FMS Type]]="Infrastructure Projects",FMS_Ranking4[[#This Row],[Rank (with ArcSinh normalization of select criteria)]],"")</f>
        <v/>
      </c>
      <c r="CD301" s="200">
        <f>IF(FMS_Ranking4[[#This Row],[FMS Type]]="Other",FMS_Ranking4[[#This Row],[Rank (with ArcSinh normalization of select criteria)]],"")</f>
        <v>293</v>
      </c>
      <c r="CE301" s="201"/>
      <c r="CF301" s="206"/>
      <c r="CG301" s="206"/>
      <c r="CH301" s="206"/>
      <c r="CI301" s="206"/>
      <c r="CJ301" s="206"/>
      <c r="CK301" s="206"/>
      <c r="CL301" s="206"/>
      <c r="CM301" s="206"/>
      <c r="CN301" s="206"/>
      <c r="CO301" s="206"/>
      <c r="CP301" s="206"/>
      <c r="CQ301" s="206"/>
      <c r="CR301" s="206"/>
    </row>
    <row r="302" spans="2:96" ht="60" x14ac:dyDescent="0.25">
      <c r="B302" s="341" t="s">
        <v>2061</v>
      </c>
      <c r="C302" s="246">
        <f>_xlfn.XLOOKUP(FMS_Ranking4[[#This Row],[FMS ID]],FMS_Input[FMS_ID],FMS_Input[RFPG_NUM])</f>
        <v>3</v>
      </c>
      <c r="D302" s="309" t="str">
        <f>_xlfn.XLOOKUP(FMS_Ranking4[[#This Row],[FMS ID]],FMS_Input[FMS_ID],FMS_Input[FMS_NAME])</f>
        <v>Houston County Stream and Rain Gauge Installation</v>
      </c>
      <c r="E302" s="308" t="str">
        <f>_xlfn.XLOOKUP(FMS_Ranking4[[#This Row],[FMS ID]],FMS_Input[FMS_ID],FMS_Input[SPONSOR])</f>
        <v>Houston County</v>
      </c>
      <c r="F302" s="309" t="str">
        <f>_xlfn.XLOOKUP(FMS_Ranking4[[#This Row],[FMS ID]],Sponsor[FMS_ID],Sponsor[SPONSOR NAME])</f>
        <v>Houston County</v>
      </c>
      <c r="G302" s="309" t="str">
        <f>_xlfn.XLOOKUP(FMS_Ranking4[[#This Row],[FMS ID]],FMS_Input[FMS_ID],FMS_Input[FMS_DESCR])</f>
        <v>Install stream and rain gauges in flood prone areas and waterways as part of new alert notification system</v>
      </c>
      <c r="H302" s="248" t="str">
        <f>_xlfn.XLOOKUP(FMS_Ranking4[[#This Row],[FMS ID]],FMS_Input[FMS_ID],FMS_Input[FMS_TYPE])</f>
        <v>Flood Measurement and Warning</v>
      </c>
      <c r="I302" s="249">
        <f>_xlfn.XLOOKUP(FMS_Ranking4[[#This Row],[FMS ID]],FMS_Input[FMS_ID],FMS_Input[NRNC_COST])</f>
        <v>25000</v>
      </c>
      <c r="J302" s="250">
        <f>_xlfn.XLOOKUP(FMS_Ranking4[[#This Row],[FMS ID]],FMS_Input[FMS_ID],FMS_Input[FMS_COST])</f>
        <v>250000</v>
      </c>
      <c r="K302" s="251" t="str">
        <f>_xlfn.XLOOKUP(FMS_Ranking4[[#This Row],[FMS ID]],FMS_Input[FMS_ID],FMS_Input[EMER_NEED])</f>
        <v>No</v>
      </c>
      <c r="L302" s="252">
        <f t="shared" si="4"/>
        <v>0</v>
      </c>
      <c r="M302" s="253">
        <f>_xlfn.XLOOKUP(FMS_Ranking4[[#This Row],[FMS ID]],FMS_Input[FMS_ID],FMS_Input[STRUCT_100])</f>
        <v>142</v>
      </c>
      <c r="N302" s="255">
        <f>(ASINH(FMS_Ranking4[[#This Row],[Structure at Risk Raw]]))*(10)/(ASINH(M$4))</f>
        <v>4.4409445937840806</v>
      </c>
      <c r="O302" s="256">
        <f>FMS_Ranking4[[#This Row],[Structures at risk, ArcSinh (0-10)]]*M$5*10</f>
        <v>4.4409445937840806</v>
      </c>
      <c r="P302" s="253">
        <f>_xlfn.XLOOKUP(FMS_Ranking4[[#This Row],[FMS ID]],FMS_Input[FMS_ID],FMS_Input[RES_STRUCT100])</f>
        <v>82</v>
      </c>
      <c r="Q302" s="257">
        <f>ASINH(FMS_Ranking4[[#This Row],[Res Structure Raw]])/Q$4*P$5*100</f>
        <v>0</v>
      </c>
      <c r="R302" s="253">
        <f>_xlfn.XLOOKUP(FMS_Ranking4[[#This Row],[FMS ID]],FMS_Input[FMS_ID],FMS_Input[POP100])</f>
        <v>105</v>
      </c>
      <c r="S302" s="259">
        <f>(ASINH(FMS_Ranking4[[#This Row],[Pop at Risk Raw]]))*(10)/(ASINH(R$4))</f>
        <v>3.6914352798416998</v>
      </c>
      <c r="T302" s="256">
        <f>FMS_Ranking4[[#This Row],[Population at risk, ArcSinh (0-10)]]*R$5*10</f>
        <v>3.6914352798416998</v>
      </c>
      <c r="U302" s="253">
        <f>_xlfn.XLOOKUP(FMS_Ranking4[[#This Row],[FMS ID]],FMS_Input[FMS_ID],FMS_Input[CRITFAC100])</f>
        <v>5</v>
      </c>
      <c r="V302" s="259">
        <f>(ASINH(FMS_Ranking4[[#This Row],[Critical Facilities Raw]]))*(10)/(ASINH(U$4))</f>
        <v>2.7373815814321909</v>
      </c>
      <c r="W302" s="256">
        <f>FMS_Ranking4[[#This Row],[Critical facilities at risk, ArcSinh (0-10)]]*U$5*10</f>
        <v>2.7373815814321913</v>
      </c>
      <c r="X302" s="253">
        <f>_xlfn.XLOOKUP(FMS_Ranking4[[#This Row],[FMS ID]],FMS_Input[FMS_ID],FMS_Input[LWC])</f>
        <v>18</v>
      </c>
      <c r="Y302" s="259">
        <f>(ASINH(FMS_Ranking4[[#This Row],[LWC Raw]]))*(10)/(ASINH(X$4))</f>
        <v>4.8557725986155553</v>
      </c>
      <c r="Z302" s="256">
        <f>FMS_Ranking4[[#This Row],[LWC, ArcSInh (0-10)]]*X$5*10</f>
        <v>4.8557725986155553</v>
      </c>
      <c r="AA302" s="253">
        <f>_xlfn.XLOOKUP(FMS_Ranking4[[#This Row],[FMS ID]],FMS_Input[FMS_ID],FMS_Input[ROADCLS])</f>
        <v>0</v>
      </c>
      <c r="AB302" s="255">
        <f>(ASINH(FMS_Ranking4[[#This Row],[Road Closures Raw]]))*(10)/(ASINH(AA$4))</f>
        <v>0</v>
      </c>
      <c r="AC302" s="256">
        <f>FMS_Ranking4[[#This Row],[Road closures, ArcSinh (0-10)]]*AA$5*10</f>
        <v>0</v>
      </c>
      <c r="AD302" s="253">
        <f>_xlfn.XLOOKUP(FMS_Ranking4[[#This Row],[FMS ID]],FMS_Input[FMS_ID],FMS_Input[ROAD_MILES100])</f>
        <v>110</v>
      </c>
      <c r="AE302" s="259">
        <f>(ASINH(FMS_Ranking4[[#This Row],[Road Miles Raw]]))*(10)/(ASINH(AD$4))</f>
        <v>5.7481450651429009</v>
      </c>
      <c r="AF302" s="256">
        <f>FMS_Ranking4[[#This Row],[Length of roads at risk, ArcSinh (0-10)]]*AD$5*10</f>
        <v>5.7481450651429009</v>
      </c>
      <c r="AG302" s="253">
        <f>_xlfn.XLOOKUP(FMS_Ranking4[[#This Row],[FMS ID]],FMS_Input[FMS_ID],FMS_Input[FARMACRE100])</f>
        <v>4592.9580078125</v>
      </c>
      <c r="AH302" s="255">
        <f>(ASINH(FMS_Ranking4[[#This Row],[Ag Land Raw]]))*(10)/(ASINH(AG$4))</f>
        <v>5.9277081060319121</v>
      </c>
      <c r="AI302" s="260">
        <f>FMS_Ranking4[[#This Row],[Farm &amp; ranch land, ArcSinh (0-10)]]*AG$5*10</f>
        <v>2.9638540530159565</v>
      </c>
      <c r="AJ302" s="258">
        <f>_xlfn.XLOOKUP(FMS_Ranking4[[#This Row],[FMS ID]],FMS_Input[FMS_ID],FMS_Input[REDSTRUCT100])</f>
        <v>0</v>
      </c>
      <c r="AK302" s="253">
        <f>_xlfn.XLOOKUP(FMS_Ranking4[[#This Row],[FMS ID]],FMS_Input[FMS_ID],FMS_Input[REMSTRC100])</f>
        <v>0</v>
      </c>
      <c r="AL302" s="259">
        <f>(ASINH(FMS_Ranking4[[#This Row],[Structures Removed Raw]]))*(10)/(ASINH(AK$4))</f>
        <v>0</v>
      </c>
      <c r="AM302" s="262">
        <f>FMS_Ranking4[[#This Row],[Structures removed, ArcSinh (0-10)]]*AK$5*10</f>
        <v>0</v>
      </c>
      <c r="AN302" s="253">
        <f>_xlfn.XLOOKUP(FMS_Ranking4[[#This Row],[FMS ID]],FMS_Input[FMS_ID],FMS_Input[REMRESSTRC100])</f>
        <v>0</v>
      </c>
      <c r="AO302" s="261">
        <f>FMS_Ranking4[[#This Row],[ArcSinh Res struct removed 0-10]]*AN$5*10</f>
        <v>0</v>
      </c>
      <c r="AP302" s="260">
        <f>ASINH(FMS_Ranking4[[#This Row],[Residential Structures Removed Raw]])/AP$4*AN$5*100</f>
        <v>0</v>
      </c>
      <c r="AQ302" s="254">
        <f>(ASINH(FMS_Ranking4[[#This Row],[Residential Structures Removed Raw]]))*(10)/(ASINH(AN$4))</f>
        <v>0</v>
      </c>
      <c r="AR302" s="253">
        <f>_xlfn.XLOOKUP(FMS_Ranking4[[#This Row],[FMS ID]],FMS_Input[FMS_ID],FMS_Input[REMPOP100])</f>
        <v>0</v>
      </c>
      <c r="AS302" s="259">
        <f>(ASINH(FMS_Ranking4[[#This Row],[Removed Pop Raw]]))*(10)/(ASINH(AR$4))</f>
        <v>0</v>
      </c>
      <c r="AT302" s="262">
        <f>FMS_Ranking4[[#This Row],[Removed population, ArcSinh (0-10)]]*AR$5*10</f>
        <v>0</v>
      </c>
      <c r="AU302" s="264">
        <f>_xlfn.XLOOKUP(FMS_Ranking4[[#This Row],[FMS ID]],FMS_Input[FMS_ID],FMS_Input[REMCRITFAC100])</f>
        <v>0</v>
      </c>
      <c r="AV302" s="264">
        <f>_xlfn.XLOOKUP(FMS_Ranking4[[#This Row],[FMS ID]],FMS_Input[FMS_ID],FMS_Input[REMLWC100])</f>
        <v>0</v>
      </c>
      <c r="AW302" s="264">
        <f>_xlfn.XLOOKUP(FMS_Ranking4[[#This Row],[FMS ID]],FMS_Input[FMS_ID],FMS_Input[REMROADCLS])</f>
        <v>0</v>
      </c>
      <c r="AX302" s="264">
        <f>_xlfn.XLOOKUP(FMS_Ranking4[[#This Row],[FMS ID]],FMS_Input[FMS_ID],FMS_Input[REMFRMACRE100])</f>
        <v>0</v>
      </c>
      <c r="AY302" s="258">
        <f>_xlfn.XLOOKUP(FMS_Ranking4[[#This Row],[FMS ID]],FMS_Input[FMS_ID],FMS_Input[COSTSTRUCT])</f>
        <v>0</v>
      </c>
      <c r="AZ302" s="253">
        <f>_xlfn.XLOOKUP(FMS_Ranking4[[#This Row],[FMS ID]],FMS_Input[FMS_ID],FMS_Input[NATURE])</f>
        <v>0</v>
      </c>
      <c r="BA302" s="262">
        <f>(((FMS_Ranking4[[#This Row],[% NBS Raw]]/AZ$4)*100)*AZ$5)</f>
        <v>0</v>
      </c>
      <c r="BB302" s="251" t="str">
        <f>_xlfn.XLOOKUP(FMS_Ranking4[[#This Row],[FMS ID]],FMS_Input[FMS_ID],FMS_Input[WATER_SUP])</f>
        <v>No</v>
      </c>
      <c r="BC302" s="265">
        <f>IF(FMS_Ranking4[[#This Row],[Water Supply Raw]]="Yes",10,0)</f>
        <v>0</v>
      </c>
      <c r="BD302" s="266">
        <f>_xlfn.XLOOKUP(FMS_Ranking4[[#This Row],[FMS Type]],FMS_TYPE[FMS_Type],FMS_TYPE[Score])</f>
        <v>10</v>
      </c>
      <c r="BE302" s="267">
        <f>FMS_Ranking4[[#This Row],[FMS_Type Score]]*$BD$5*10</f>
        <v>2.5</v>
      </c>
      <c r="BF30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0.44969693206852407</v>
      </c>
      <c r="BG302" s="269">
        <f>_xlfn.RANK.EQ(BF302,$BF$8:$BF$870,0)+COUNTIF($BF$8:BF302,BF302)-1</f>
        <v>241</v>
      </c>
      <c r="BH302" s="268">
        <f>(((FMS_Ranking4[[#This Row],[Structures Removed Raw]]/AK$4)*100)*AK$5)+(((FMS_Ranking4[[#This Row],[Removed Pop Raw]]/AR$4)*100)*AR$5)</f>
        <v>0</v>
      </c>
      <c r="BI30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2.949696932068524</v>
      </c>
      <c r="BJ302" s="204">
        <f>_xlfn.RANK.EQ(FMS_Ranking4[[#This Row],[Total Score 
(with linear
normalization)]],FMS_Ranking4[Total Score 
(with linear
normalization)],0)</f>
        <v>181</v>
      </c>
      <c r="BK302" s="204" t="e">
        <f>_xlfn.XLOOKUP(FMS_Ranking4[[#This Row],[FMS ID]],#REF!,#REF!)</f>
        <v>#REF!</v>
      </c>
      <c r="BL302"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24.437533171832385</v>
      </c>
      <c r="BM302" s="270">
        <f>FMS_Ranking4[[#This Row],[ArcSinh Score Based on Normalized Reported Factors]]+FMS_Ranking4[[#This Row],[% NBS Score (Normalized)]]+(FMS_Ranking4[[#This Row],[Water Supply Score (Normalized)]]*10*$BB$5)+FMS_Ranking4[[#This Row],[FMS_Type Score Weighted]]</f>
        <v>26.937533171832385</v>
      </c>
      <c r="BN302" s="204">
        <f>_xlfn.RANK.EQ(FMS_Ranking4[[#This Row],[Total Score (with ArcSinh normalization of select criteria)]],FMS_Ranking4[Total Score (with ArcSinh normalization of select criteria)],0)</f>
        <v>295</v>
      </c>
      <c r="BO302" s="270" t="str">
        <f>_xlfn.XLOOKUP(FMS_Ranking4[[#This Row],[FMS ID]],FMS_Input[FMS_ID],FMS_Input[FMS_RANK_YEAR])</f>
        <v>2023 Amended Plan</v>
      </c>
      <c r="BP302" s="204">
        <f>_xlfn.XLOOKUP(FMS_Ranking4[[#This Row],[FMS ID]],Prev_Rank[FMS ID],Prev_Rank[Prev Rank])</f>
        <v>262</v>
      </c>
      <c r="BQ302" s="204" t="e">
        <f>_xlfn.XLOOKUP(FMS_Ranking4[[#This Row],[FMS ID]],#REF!,#REF!)</f>
        <v>#REF!</v>
      </c>
      <c r="BR302" s="199" t="e">
        <f>SUM(#REF!,#REF!,#REF!,#REF!,#REF!,#REF!,#REF!,#REF!,#REF!,FMS_Ranking4[[#This Row],[ArcSinh Res struct removed 0-10]],#REF!)</f>
        <v>#REF!</v>
      </c>
      <c r="BS302" s="199" t="e">
        <f>FMS_Ranking4[[#This Row],[Log Score Based on Normalized Reported Factors]]+FMS_Ranking4[[#This Row],[% NBS Score (Normalized)]]+(FMS_Ranking4[[#This Row],[Water Supply Score (Normalized)]]*10*$BB$5)+(FMS_Ranking4[[#This Row],[FMS_Type Score Weighted]])</f>
        <v>#REF!</v>
      </c>
      <c r="BT302" s="200" t="e">
        <f>_xlfn.RANK.EQ(FMS_Ranking4[[#This Row],[Log Total Score]],FMS_Ranking4[Log Total Score],0)</f>
        <v>#REF!</v>
      </c>
      <c r="BU302" s="200" t="e">
        <f>_xlfn.XLOOKUP(FMS_Ranking4[[#This Row],[FMS ID]],#REF!,#REF!)</f>
        <v>#REF!</v>
      </c>
      <c r="BV302" s="200">
        <f>FMS_Ranking4[[#This Row],[Region Number]]</f>
        <v>3</v>
      </c>
      <c r="BW302" s="200">
        <f>FMS_Ranking4[[#This Row],[Rank (with ArcSinh normalization of select criteria)]]-FMS_Ranking4[[#This Row],[Rank
(with linear
normalization)]]</f>
        <v>114</v>
      </c>
      <c r="BX302" s="200" t="e">
        <f>FMS_Ranking4[[#This Row],[Log Rank]]-FMS_Ranking4[[#This Row],[Rank
(with linear
normalization)]]</f>
        <v>#REF!</v>
      </c>
      <c r="BY302" s="200">
        <f>IF(FMS_Ranking4[[#This Row],[FMS Type]]="Flood Measurement and Warning",FMS_Ranking4[[#This Row],[Rank (with ArcSinh normalization of select criteria)]],"")</f>
        <v>295</v>
      </c>
      <c r="BZ302" s="200" t="str">
        <f>IF(FMS_Ranking4[[#This Row],[FMS Type]]="Regulatory and Guidance",FMS_Ranking4[[#This Row],[Rank (with ArcSinh normalization of select criteria)]],"")</f>
        <v/>
      </c>
      <c r="CA302" s="200" t="str">
        <f>IF(FMS_Ranking4[[#This Row],[FMS Type]]="Education and Outreach",FMS_Ranking4[[#This Row],[Rank (with ArcSinh normalization of select criteria)]],"")</f>
        <v/>
      </c>
      <c r="CB302" s="200" t="str">
        <f>IF(FMS_Ranking4[[#This Row],[FMS Type]]="Property Acquisition and Structural Elevation",FMS_Ranking4[[#This Row],[Rank (with ArcSinh normalization of select criteria)]],"")</f>
        <v/>
      </c>
      <c r="CC302" s="200" t="str">
        <f>IF(FMS_Ranking4[[#This Row],[FMS Type]]="Infrastructure Projects",FMS_Ranking4[[#This Row],[Rank (with ArcSinh normalization of select criteria)]],"")</f>
        <v/>
      </c>
      <c r="CD302" s="200" t="str">
        <f>IF(FMS_Ranking4[[#This Row],[FMS Type]]="Other",FMS_Ranking4[[#This Row],[Rank (with ArcSinh normalization of select criteria)]],"")</f>
        <v/>
      </c>
      <c r="CE302" s="201"/>
      <c r="CF302" s="206"/>
      <c r="CG302" s="206"/>
      <c r="CH302" s="206"/>
      <c r="CI302" s="206"/>
      <c r="CJ302" s="206"/>
      <c r="CK302" s="206"/>
      <c r="CL302" s="206"/>
      <c r="CM302" s="206"/>
      <c r="CN302" s="206"/>
      <c r="CO302" s="206"/>
      <c r="CP302" s="206"/>
      <c r="CQ302" s="206"/>
      <c r="CR302" s="206"/>
    </row>
    <row r="303" spans="2:96" ht="45" x14ac:dyDescent="0.25">
      <c r="B303" s="341" t="s">
        <v>2097</v>
      </c>
      <c r="C303" s="246">
        <f>_xlfn.XLOOKUP(FMS_Ranking4[[#This Row],[FMS ID]],FMS_Input[FMS_ID],FMS_Input[RFPG_NUM])</f>
        <v>3</v>
      </c>
      <c r="D303" s="309" t="str">
        <f>_xlfn.XLOOKUP(FMS_Ranking4[[#This Row],[FMS ID]],FMS_Input[FMS_ID],FMS_Input[FMS_NAME])</f>
        <v>Creek Level Monitoring Systems and Weather Stations Installation</v>
      </c>
      <c r="E303" s="308" t="str">
        <f>_xlfn.XLOOKUP(FMS_Ranking4[[#This Row],[FMS ID]],FMS_Input[FMS_ID],FMS_Input[SPONSOR])</f>
        <v>Mansfield</v>
      </c>
      <c r="F303" s="309" t="str">
        <f>_xlfn.XLOOKUP(FMS_Ranking4[[#This Row],[FMS ID]],Sponsor[FMS_ID],Sponsor[SPONSOR NAME])</f>
        <v>Mansfield</v>
      </c>
      <c r="G303" s="309" t="str">
        <f>_xlfn.XLOOKUP(FMS_Ranking4[[#This Row],[FMS ID]],FMS_Input[FMS_ID],FMS_Input[FMS_DESCR])</f>
        <v>Install creek level monitoring systems and weather stations</v>
      </c>
      <c r="H303" s="248" t="str">
        <f>_xlfn.XLOOKUP(FMS_Ranking4[[#This Row],[FMS ID]],FMS_Input[FMS_ID],FMS_Input[FMS_TYPE])</f>
        <v>Flood Measurement and Warning</v>
      </c>
      <c r="I303" s="249">
        <f>_xlfn.XLOOKUP(FMS_Ranking4[[#This Row],[FMS ID]],FMS_Input[FMS_ID],FMS_Input[NRNC_COST])</f>
        <v>25000</v>
      </c>
      <c r="J303" s="250">
        <f>_xlfn.XLOOKUP(FMS_Ranking4[[#This Row],[FMS ID]],FMS_Input[FMS_ID],FMS_Input[FMS_COST])</f>
        <v>250000</v>
      </c>
      <c r="K303" s="251" t="str">
        <f>_xlfn.XLOOKUP(FMS_Ranking4[[#This Row],[FMS ID]],FMS_Input[FMS_ID],FMS_Input[EMER_NEED])</f>
        <v>No</v>
      </c>
      <c r="L303" s="252">
        <f t="shared" si="4"/>
        <v>0</v>
      </c>
      <c r="M303" s="253">
        <f>_xlfn.XLOOKUP(FMS_Ranking4[[#This Row],[FMS ID]],FMS_Input[FMS_ID],FMS_Input[STRUCT_100])</f>
        <v>422</v>
      </c>
      <c r="N303" s="255">
        <f>(ASINH(FMS_Ranking4[[#This Row],[Structure at Risk Raw]]))*(10)/(ASINH(M$4))</f>
        <v>5.2971922318237095</v>
      </c>
      <c r="O303" s="256">
        <f>FMS_Ranking4[[#This Row],[Structures at risk, ArcSinh (0-10)]]*M$5*10</f>
        <v>5.2971922318237095</v>
      </c>
      <c r="P303" s="253">
        <f>_xlfn.XLOOKUP(FMS_Ranking4[[#This Row],[FMS ID]],FMS_Input[FMS_ID],FMS_Input[RES_STRUCT100])</f>
        <v>385</v>
      </c>
      <c r="Q303" s="257">
        <f>ASINH(FMS_Ranking4[[#This Row],[Res Structure Raw]])/Q$4*P$5*100</f>
        <v>0</v>
      </c>
      <c r="R303" s="253">
        <f>_xlfn.XLOOKUP(FMS_Ranking4[[#This Row],[FMS ID]],FMS_Input[FMS_ID],FMS_Input[POP100])</f>
        <v>1562</v>
      </c>
      <c r="S303" s="259">
        <f>(ASINH(FMS_Ranking4[[#This Row],[Pop at Risk Raw]]))*(10)/(ASINH(R$4))</f>
        <v>5.555222566249145</v>
      </c>
      <c r="T303" s="256">
        <f>FMS_Ranking4[[#This Row],[Population at risk, ArcSinh (0-10)]]*R$5*10</f>
        <v>5.555222566249145</v>
      </c>
      <c r="U303" s="253">
        <f>_xlfn.XLOOKUP(FMS_Ranking4[[#This Row],[FMS ID]],FMS_Input[FMS_ID],FMS_Input[CRITFAC100])</f>
        <v>4</v>
      </c>
      <c r="V303" s="259">
        <f>(ASINH(FMS_Ranking4[[#This Row],[Critical Facilities Raw]]))*(10)/(ASINH(U$4))</f>
        <v>2.4796455944038147</v>
      </c>
      <c r="W303" s="256">
        <f>FMS_Ranking4[[#This Row],[Critical facilities at risk, ArcSinh (0-10)]]*U$5*10</f>
        <v>2.4796455944038147</v>
      </c>
      <c r="X303" s="253">
        <f>_xlfn.XLOOKUP(FMS_Ranking4[[#This Row],[FMS ID]],FMS_Input[FMS_ID],FMS_Input[LWC])</f>
        <v>12</v>
      </c>
      <c r="Y303" s="259">
        <f>(ASINH(FMS_Ranking4[[#This Row],[LWC Raw]]))*(10)/(ASINH(X$4))</f>
        <v>4.3077754583370957</v>
      </c>
      <c r="Z303" s="256">
        <f>FMS_Ranking4[[#This Row],[LWC, ArcSInh (0-10)]]*X$5*10</f>
        <v>4.3077754583370957</v>
      </c>
      <c r="AA303" s="253">
        <f>_xlfn.XLOOKUP(FMS_Ranking4[[#This Row],[FMS ID]],FMS_Input[FMS_ID],FMS_Input[ROADCLS])</f>
        <v>0</v>
      </c>
      <c r="AB303" s="255">
        <f>(ASINH(FMS_Ranking4[[#This Row],[Road Closures Raw]]))*(10)/(ASINH(AA$4))</f>
        <v>0</v>
      </c>
      <c r="AC303" s="256">
        <f>FMS_Ranking4[[#This Row],[Road closures, ArcSinh (0-10)]]*AA$5*10</f>
        <v>0</v>
      </c>
      <c r="AD303" s="253">
        <f>_xlfn.XLOOKUP(FMS_Ranking4[[#This Row],[FMS ID]],FMS_Input[FMS_ID],FMS_Input[ROAD_MILES100])</f>
        <v>30</v>
      </c>
      <c r="AE303" s="259">
        <f>(ASINH(FMS_Ranking4[[#This Row],[Road Miles Raw]]))*(10)/(ASINH(AD$4))</f>
        <v>4.3637407612967882</v>
      </c>
      <c r="AF303" s="256">
        <f>FMS_Ranking4[[#This Row],[Length of roads at risk, ArcSinh (0-10)]]*AD$5*10</f>
        <v>4.3637407612967882</v>
      </c>
      <c r="AG303" s="253">
        <f>_xlfn.XLOOKUP(FMS_Ranking4[[#This Row],[FMS ID]],FMS_Input[FMS_ID],FMS_Input[FARMACRE100])</f>
        <v>778.51727294921875</v>
      </c>
      <c r="AH303" s="255">
        <f>(ASINH(FMS_Ranking4[[#This Row],[Ag Land Raw]]))*(10)/(ASINH(AG$4))</f>
        <v>4.7747737754791055</v>
      </c>
      <c r="AI303" s="260">
        <f>FMS_Ranking4[[#This Row],[Farm &amp; ranch land, ArcSinh (0-10)]]*AG$5*10</f>
        <v>2.3873868877395528</v>
      </c>
      <c r="AJ303" s="258">
        <f>_xlfn.XLOOKUP(FMS_Ranking4[[#This Row],[FMS ID]],FMS_Input[FMS_ID],FMS_Input[REDSTRUCT100])</f>
        <v>0</v>
      </c>
      <c r="AK303" s="253">
        <f>_xlfn.XLOOKUP(FMS_Ranking4[[#This Row],[FMS ID]],FMS_Input[FMS_ID],FMS_Input[REMSTRC100])</f>
        <v>0</v>
      </c>
      <c r="AL303" s="259">
        <f>(ASINH(FMS_Ranking4[[#This Row],[Structures Removed Raw]]))*(10)/(ASINH(AK$4))</f>
        <v>0</v>
      </c>
      <c r="AM303" s="262">
        <f>FMS_Ranking4[[#This Row],[Structures removed, ArcSinh (0-10)]]*AK$5*10</f>
        <v>0</v>
      </c>
      <c r="AN303" s="253">
        <f>_xlfn.XLOOKUP(FMS_Ranking4[[#This Row],[FMS ID]],FMS_Input[FMS_ID],FMS_Input[REMRESSTRC100])</f>
        <v>0</v>
      </c>
      <c r="AO303" s="261">
        <f>FMS_Ranking4[[#This Row],[ArcSinh Res struct removed 0-10]]*AN$5*10</f>
        <v>0</v>
      </c>
      <c r="AP303" s="260">
        <f>ASINH(FMS_Ranking4[[#This Row],[Residential Structures Removed Raw]])/AP$4*AN$5*100</f>
        <v>0</v>
      </c>
      <c r="AQ303" s="254">
        <f>(ASINH(FMS_Ranking4[[#This Row],[Residential Structures Removed Raw]]))*(10)/(ASINH(AN$4))</f>
        <v>0</v>
      </c>
      <c r="AR303" s="253">
        <f>_xlfn.XLOOKUP(FMS_Ranking4[[#This Row],[FMS ID]],FMS_Input[FMS_ID],FMS_Input[REMPOP100])</f>
        <v>0</v>
      </c>
      <c r="AS303" s="259">
        <f>(ASINH(FMS_Ranking4[[#This Row],[Removed Pop Raw]]))*(10)/(ASINH(AR$4))</f>
        <v>0</v>
      </c>
      <c r="AT303" s="262">
        <f>FMS_Ranking4[[#This Row],[Removed population, ArcSinh (0-10)]]*AR$5*10</f>
        <v>0</v>
      </c>
      <c r="AU303" s="264">
        <f>_xlfn.XLOOKUP(FMS_Ranking4[[#This Row],[FMS ID]],FMS_Input[FMS_ID],FMS_Input[REMCRITFAC100])</f>
        <v>0</v>
      </c>
      <c r="AV303" s="264">
        <f>_xlfn.XLOOKUP(FMS_Ranking4[[#This Row],[FMS ID]],FMS_Input[FMS_ID],FMS_Input[REMLWC100])</f>
        <v>0</v>
      </c>
      <c r="AW303" s="264">
        <f>_xlfn.XLOOKUP(FMS_Ranking4[[#This Row],[FMS ID]],FMS_Input[FMS_ID],FMS_Input[REMROADCLS])</f>
        <v>0</v>
      </c>
      <c r="AX303" s="264">
        <f>_xlfn.XLOOKUP(FMS_Ranking4[[#This Row],[FMS ID]],FMS_Input[FMS_ID],FMS_Input[REMFRMACRE100])</f>
        <v>0</v>
      </c>
      <c r="AY303" s="258">
        <f>_xlfn.XLOOKUP(FMS_Ranking4[[#This Row],[FMS ID]],FMS_Input[FMS_ID],FMS_Input[COSTSTRUCT])</f>
        <v>0</v>
      </c>
      <c r="AZ303" s="253">
        <f>_xlfn.XLOOKUP(FMS_Ranking4[[#This Row],[FMS ID]],FMS_Input[FMS_ID],FMS_Input[NATURE])</f>
        <v>0</v>
      </c>
      <c r="BA303" s="262">
        <f>(((FMS_Ranking4[[#This Row],[% NBS Raw]]/AZ$4)*100)*AZ$5)</f>
        <v>0</v>
      </c>
      <c r="BB303" s="251" t="str">
        <f>_xlfn.XLOOKUP(FMS_Ranking4[[#This Row],[FMS ID]],FMS_Input[FMS_ID],FMS_Input[WATER_SUP])</f>
        <v>No</v>
      </c>
      <c r="BC303" s="265">
        <f>IF(FMS_Ranking4[[#This Row],[Water Supply Raw]]="Yes",10,0)</f>
        <v>0</v>
      </c>
      <c r="BD303" s="266">
        <f>_xlfn.XLOOKUP(FMS_Ranking4[[#This Row],[FMS Type]],FMS_TYPE[FMS_Type],FMS_TYPE[Score])</f>
        <v>10</v>
      </c>
      <c r="BE303" s="267">
        <f>FMS_Ranking4[[#This Row],[FMS_Type Score]]*$BD$5*10</f>
        <v>2.5</v>
      </c>
      <c r="BF30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0.25989426912321761</v>
      </c>
      <c r="BG303" s="269">
        <f>_xlfn.RANK.EQ(BF303,$BF$8:$BF$870,0)+COUNTIF($BF$8:BF303,BF303)-1</f>
        <v>323</v>
      </c>
      <c r="BH303" s="268">
        <f>(((FMS_Ranking4[[#This Row],[Structures Removed Raw]]/AK$4)*100)*AK$5)+(((FMS_Ranking4[[#This Row],[Removed Pop Raw]]/AR$4)*100)*AR$5)</f>
        <v>0</v>
      </c>
      <c r="BI30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2.7598942691232176</v>
      </c>
      <c r="BJ303" s="204">
        <f>_xlfn.RANK.EQ(FMS_Ranking4[[#This Row],[Total Score 
(with linear
normalization)]],FMS_Ranking4[Total Score 
(with linear
normalization)],0)</f>
        <v>199</v>
      </c>
      <c r="BK303" s="204" t="e">
        <f>_xlfn.XLOOKUP(FMS_Ranking4[[#This Row],[FMS ID]],#REF!,#REF!)</f>
        <v>#REF!</v>
      </c>
      <c r="BL303"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24.390963499850105</v>
      </c>
      <c r="BM303" s="270">
        <f>FMS_Ranking4[[#This Row],[ArcSinh Score Based on Normalized Reported Factors]]+FMS_Ranking4[[#This Row],[% NBS Score (Normalized)]]+(FMS_Ranking4[[#This Row],[Water Supply Score (Normalized)]]*10*$BB$5)+FMS_Ranking4[[#This Row],[FMS_Type Score Weighted]]</f>
        <v>26.890963499850105</v>
      </c>
      <c r="BN303" s="204">
        <f>_xlfn.RANK.EQ(FMS_Ranking4[[#This Row],[Total Score (with ArcSinh normalization of select criteria)]],FMS_Ranking4[Total Score (with ArcSinh normalization of select criteria)],0)</f>
        <v>296</v>
      </c>
      <c r="BO303" s="270" t="str">
        <f>_xlfn.XLOOKUP(FMS_Ranking4[[#This Row],[FMS ID]],FMS_Input[FMS_ID],FMS_Input[FMS_RANK_YEAR])</f>
        <v>2023 Amended Plan</v>
      </c>
      <c r="BP303" s="204">
        <f>_xlfn.XLOOKUP(FMS_Ranking4[[#This Row],[FMS ID]],Prev_Rank[FMS ID],Prev_Rank[Prev Rank])</f>
        <v>248</v>
      </c>
      <c r="BQ303" s="204" t="e">
        <f>_xlfn.XLOOKUP(FMS_Ranking4[[#This Row],[FMS ID]],#REF!,#REF!)</f>
        <v>#REF!</v>
      </c>
      <c r="BR303" s="199" t="e">
        <f>SUM(#REF!,#REF!,#REF!,#REF!,#REF!,#REF!,#REF!,#REF!,#REF!,FMS_Ranking4[[#This Row],[ArcSinh Res struct removed 0-10]],#REF!)</f>
        <v>#REF!</v>
      </c>
      <c r="BS303" s="199" t="e">
        <f>FMS_Ranking4[[#This Row],[Log Score Based on Normalized Reported Factors]]+FMS_Ranking4[[#This Row],[% NBS Score (Normalized)]]+(FMS_Ranking4[[#This Row],[Water Supply Score (Normalized)]]*10*$BB$5)+(FMS_Ranking4[[#This Row],[FMS_Type Score Weighted]])</f>
        <v>#REF!</v>
      </c>
      <c r="BT303" s="200" t="e">
        <f>_xlfn.RANK.EQ(FMS_Ranking4[[#This Row],[Log Total Score]],FMS_Ranking4[Log Total Score],0)</f>
        <v>#REF!</v>
      </c>
      <c r="BU303" s="200" t="e">
        <f>_xlfn.XLOOKUP(FMS_Ranking4[[#This Row],[FMS ID]],#REF!,#REF!)</f>
        <v>#REF!</v>
      </c>
      <c r="BV303" s="200">
        <f>FMS_Ranking4[[#This Row],[Region Number]]</f>
        <v>3</v>
      </c>
      <c r="BW303" s="200">
        <f>FMS_Ranking4[[#This Row],[Rank (with ArcSinh normalization of select criteria)]]-FMS_Ranking4[[#This Row],[Rank
(with linear
normalization)]]</f>
        <v>97</v>
      </c>
      <c r="BX303" s="200" t="e">
        <f>FMS_Ranking4[[#This Row],[Log Rank]]-FMS_Ranking4[[#This Row],[Rank
(with linear
normalization)]]</f>
        <v>#REF!</v>
      </c>
      <c r="BY303" s="200">
        <f>IF(FMS_Ranking4[[#This Row],[FMS Type]]="Flood Measurement and Warning",FMS_Ranking4[[#This Row],[Rank (with ArcSinh normalization of select criteria)]],"")</f>
        <v>296</v>
      </c>
      <c r="BZ303" s="200" t="str">
        <f>IF(FMS_Ranking4[[#This Row],[FMS Type]]="Regulatory and Guidance",FMS_Ranking4[[#This Row],[Rank (with ArcSinh normalization of select criteria)]],"")</f>
        <v/>
      </c>
      <c r="CA303" s="200" t="str">
        <f>IF(FMS_Ranking4[[#This Row],[FMS Type]]="Education and Outreach",FMS_Ranking4[[#This Row],[Rank (with ArcSinh normalization of select criteria)]],"")</f>
        <v/>
      </c>
      <c r="CB303" s="200" t="str">
        <f>IF(FMS_Ranking4[[#This Row],[FMS Type]]="Property Acquisition and Structural Elevation",FMS_Ranking4[[#This Row],[Rank (with ArcSinh normalization of select criteria)]],"")</f>
        <v/>
      </c>
      <c r="CC303" s="200" t="str">
        <f>IF(FMS_Ranking4[[#This Row],[FMS Type]]="Infrastructure Projects",FMS_Ranking4[[#This Row],[Rank (with ArcSinh normalization of select criteria)]],"")</f>
        <v/>
      </c>
      <c r="CD303" s="200" t="str">
        <f>IF(FMS_Ranking4[[#This Row],[FMS Type]]="Other",FMS_Ranking4[[#This Row],[Rank (with ArcSinh normalization of select criteria)]],"")</f>
        <v/>
      </c>
      <c r="CE303" s="201"/>
      <c r="CF303" s="206"/>
      <c r="CG303" s="206"/>
      <c r="CH303" s="206"/>
      <c r="CI303" s="206"/>
      <c r="CJ303" s="206"/>
      <c r="CK303" s="206"/>
      <c r="CL303" s="206"/>
      <c r="CM303" s="206"/>
      <c r="CN303" s="206"/>
      <c r="CO303" s="206"/>
      <c r="CP303" s="206"/>
      <c r="CQ303" s="206"/>
      <c r="CR303" s="206"/>
    </row>
    <row r="304" spans="2:96" ht="45" x14ac:dyDescent="0.25">
      <c r="B304" s="341" t="s">
        <v>543</v>
      </c>
      <c r="C304" s="246">
        <f>_xlfn.XLOOKUP(FMS_Ranking4[[#This Row],[FMS ID]],FMS_Input[FMS_ID],FMS_Input[RFPG_NUM])</f>
        <v>9</v>
      </c>
      <c r="D304" s="309" t="str">
        <f>_xlfn.XLOOKUP(FMS_Ranking4[[#This Row],[FMS ID]],FMS_Input[FMS_ID],FMS_Input[FMS_NAME])</f>
        <v>City of Seminole DCM</v>
      </c>
      <c r="E304" s="308" t="str">
        <f>_xlfn.XLOOKUP(FMS_Ranking4[[#This Row],[FMS ID]],FMS_Input[FMS_ID],FMS_Input[SPONSOR])</f>
        <v>09000118</v>
      </c>
      <c r="F304" s="309" t="str">
        <f>_xlfn.XLOOKUP(FMS_Ranking4[[#This Row],[FMS ID]],Sponsor[FMS_ID],Sponsor[SPONSOR NAME])</f>
        <v>Gaines</v>
      </c>
      <c r="G304" s="309" t="str">
        <f>_xlfn.XLOOKUP(FMS_Ranking4[[#This Row],[FMS ID]],FMS_Input[FMS_ID],FMS_Input[FMS_DESCR])</f>
        <v>Outreach Program: Discuss Stormwater Criteria Design Manual</v>
      </c>
      <c r="H304" s="248" t="str">
        <f>_xlfn.XLOOKUP(FMS_Ranking4[[#This Row],[FMS ID]],FMS_Input[FMS_ID],FMS_Input[FMS_TYPE])</f>
        <v>Other</v>
      </c>
      <c r="I304" s="249">
        <f>_xlfn.XLOOKUP(FMS_Ranking4[[#This Row],[FMS ID]],FMS_Input[FMS_ID],FMS_Input[NRNC_COST])</f>
        <v>75000</v>
      </c>
      <c r="J304" s="250">
        <f>_xlfn.XLOOKUP(FMS_Ranking4[[#This Row],[FMS ID]],FMS_Input[FMS_ID],FMS_Input[FMS_COST])</f>
        <v>100000</v>
      </c>
      <c r="K304" s="251" t="str">
        <f>_xlfn.XLOOKUP(FMS_Ranking4[[#This Row],[FMS ID]],FMS_Input[FMS_ID],FMS_Input[EMER_NEED])</f>
        <v>No</v>
      </c>
      <c r="L304" s="252">
        <f t="shared" si="4"/>
        <v>0</v>
      </c>
      <c r="M304" s="253">
        <f>_xlfn.XLOOKUP(FMS_Ranking4[[#This Row],[FMS ID]],FMS_Input[FMS_ID],FMS_Input[STRUCT_100])</f>
        <v>108</v>
      </c>
      <c r="N304" s="255">
        <f>(ASINH(FMS_Ranking4[[#This Row],[Structure at Risk Raw]]))*(10)/(ASINH(M$4))</f>
        <v>4.2257860220874015</v>
      </c>
      <c r="O304" s="256">
        <f>FMS_Ranking4[[#This Row],[Structures at risk, ArcSinh (0-10)]]*M$5*10</f>
        <v>4.2257860220874015</v>
      </c>
      <c r="P304" s="253">
        <f>_xlfn.XLOOKUP(FMS_Ranking4[[#This Row],[FMS ID]],FMS_Input[FMS_ID],FMS_Input[RES_STRUCT100])</f>
        <v>75</v>
      </c>
      <c r="Q304" s="257">
        <f>ASINH(FMS_Ranking4[[#This Row],[Res Structure Raw]])/Q$4*P$5*100</f>
        <v>0</v>
      </c>
      <c r="R304" s="253">
        <f>_xlfn.XLOOKUP(FMS_Ranking4[[#This Row],[FMS ID]],FMS_Input[FMS_ID],FMS_Input[POP100])</f>
        <v>332</v>
      </c>
      <c r="S304" s="259">
        <f>(ASINH(FMS_Ranking4[[#This Row],[Pop at Risk Raw]]))*(10)/(ASINH(R$4))</f>
        <v>4.4861440501289493</v>
      </c>
      <c r="T304" s="256">
        <f>FMS_Ranking4[[#This Row],[Population at risk, ArcSinh (0-10)]]*R$5*10</f>
        <v>4.4861440501289493</v>
      </c>
      <c r="U304" s="253">
        <f>_xlfn.XLOOKUP(FMS_Ranking4[[#This Row],[FMS ID]],FMS_Input[FMS_ID],FMS_Input[CRITFAC100])</f>
        <v>0</v>
      </c>
      <c r="V304" s="259">
        <f>(ASINH(FMS_Ranking4[[#This Row],[Critical Facilities Raw]]))*(10)/(ASINH(U$4))</f>
        <v>0</v>
      </c>
      <c r="W304" s="256">
        <f>FMS_Ranking4[[#This Row],[Critical facilities at risk, ArcSinh (0-10)]]*U$5*10</f>
        <v>0</v>
      </c>
      <c r="X304" s="253">
        <f>_xlfn.XLOOKUP(FMS_Ranking4[[#This Row],[FMS ID]],FMS_Input[FMS_ID],FMS_Input[LWC])</f>
        <v>1</v>
      </c>
      <c r="Y304" s="259">
        <f>(ASINH(FMS_Ranking4[[#This Row],[LWC Raw]]))*(10)/(ASINH(X$4))</f>
        <v>1.1940300948531093</v>
      </c>
      <c r="Z304" s="256">
        <f>FMS_Ranking4[[#This Row],[LWC, ArcSInh (0-10)]]*X$5*10</f>
        <v>1.1940300948531093</v>
      </c>
      <c r="AA304" s="253">
        <f>_xlfn.XLOOKUP(FMS_Ranking4[[#This Row],[FMS ID]],FMS_Input[FMS_ID],FMS_Input[ROADCLS])</f>
        <v>0</v>
      </c>
      <c r="AB304" s="255">
        <f>(ASINH(FMS_Ranking4[[#This Row],[Road Closures Raw]]))*(10)/(ASINH(AA$4))</f>
        <v>0</v>
      </c>
      <c r="AC304" s="256">
        <f>FMS_Ranking4[[#This Row],[Road closures, ArcSinh (0-10)]]*AA$5*10</f>
        <v>0</v>
      </c>
      <c r="AD304" s="253">
        <f>_xlfn.XLOOKUP(FMS_Ranking4[[#This Row],[FMS ID]],FMS_Input[FMS_ID],FMS_Input[ROAD_MILES100])</f>
        <v>12</v>
      </c>
      <c r="AE304" s="259">
        <f>(ASINH(FMS_Ranking4[[#This Row],[Road Miles Raw]]))*(10)/(ASINH(AD$4))</f>
        <v>3.3887764405268412</v>
      </c>
      <c r="AF304" s="256">
        <f>FMS_Ranking4[[#This Row],[Length of roads at risk, ArcSinh (0-10)]]*AD$5*10</f>
        <v>3.3887764405268417</v>
      </c>
      <c r="AG304" s="253">
        <f>_xlfn.XLOOKUP(FMS_Ranking4[[#This Row],[FMS ID]],FMS_Input[FMS_ID],FMS_Input[FARMACRE100])</f>
        <v>13.805018424987789</v>
      </c>
      <c r="AH304" s="255">
        <f>(ASINH(FMS_Ranking4[[#This Row],[Ag Land Raw]]))*(10)/(ASINH(AG$4))</f>
        <v>2.1562782705105685</v>
      </c>
      <c r="AI304" s="260">
        <f>FMS_Ranking4[[#This Row],[Farm &amp; ranch land, ArcSinh (0-10)]]*AG$5*10</f>
        <v>1.0781391352552845</v>
      </c>
      <c r="AJ304" s="258">
        <f>_xlfn.XLOOKUP(FMS_Ranking4[[#This Row],[FMS ID]],FMS_Input[FMS_ID],FMS_Input[REDSTRUCT100])</f>
        <v>27</v>
      </c>
      <c r="AK304" s="253">
        <f>_xlfn.XLOOKUP(FMS_Ranking4[[#This Row],[FMS ID]],FMS_Input[FMS_ID],FMS_Input[REMSTRC100])</f>
        <v>27</v>
      </c>
      <c r="AL304" s="259">
        <f>(ASINH(FMS_Ranking4[[#This Row],[Structures Removed Raw]]))*(10)/(ASINH(AK$4))</f>
        <v>4.542133329085801</v>
      </c>
      <c r="AM304" s="262">
        <f>FMS_Ranking4[[#This Row],[Structures removed, ArcSinh (0-10)]]*AK$5*10</f>
        <v>4.542133329085801</v>
      </c>
      <c r="AN304" s="253">
        <f>_xlfn.XLOOKUP(FMS_Ranking4[[#This Row],[FMS ID]],FMS_Input[FMS_ID],FMS_Input[REMRESSTRC100])</f>
        <v>18</v>
      </c>
      <c r="AO304" s="261">
        <f>FMS_Ranking4[[#This Row],[ArcSinh Res struct removed 0-10]]*AN$5*10</f>
        <v>2.1022807453579606</v>
      </c>
      <c r="AP304" s="260">
        <f>ASINH(FMS_Ranking4[[#This Row],[Residential Structures Removed Raw]])/AP$4*AN$5*100</f>
        <v>2.1022807453579611</v>
      </c>
      <c r="AQ304" s="254">
        <f>(ASINH(FMS_Ranking4[[#This Row],[Residential Structures Removed Raw]]))*(10)/(ASINH(AN$4))</f>
        <v>4.2045614907159212</v>
      </c>
      <c r="AR304" s="253">
        <f>_xlfn.XLOOKUP(FMS_Ranking4[[#This Row],[FMS ID]],FMS_Input[FMS_ID],FMS_Input[REMPOP100])</f>
        <v>118</v>
      </c>
      <c r="AS304" s="259">
        <f>(ASINH(FMS_Ranking4[[#This Row],[Removed Pop Raw]]))*(10)/(ASINH(AR$4))</f>
        <v>5.3634266199712082</v>
      </c>
      <c r="AT304" s="262">
        <f>FMS_Ranking4[[#This Row],[Removed population, ArcSinh (0-10)]]*AR$5*10</f>
        <v>5.3634266199712091</v>
      </c>
      <c r="AU304" s="264">
        <f>_xlfn.XLOOKUP(FMS_Ranking4[[#This Row],[FMS ID]],FMS_Input[FMS_ID],FMS_Input[REMCRITFAC100])</f>
        <v>0</v>
      </c>
      <c r="AV304" s="264">
        <f>_xlfn.XLOOKUP(FMS_Ranking4[[#This Row],[FMS ID]],FMS_Input[FMS_ID],FMS_Input[REMLWC100])</f>
        <v>0</v>
      </c>
      <c r="AW304" s="264">
        <f>_xlfn.XLOOKUP(FMS_Ranking4[[#This Row],[FMS ID]],FMS_Input[FMS_ID],FMS_Input[REMROADCLS])</f>
        <v>0</v>
      </c>
      <c r="AX304" s="264">
        <f>_xlfn.XLOOKUP(FMS_Ranking4[[#This Row],[FMS ID]],FMS_Input[FMS_ID],FMS_Input[REMFRMACRE100])</f>
        <v>3.4512546062469478</v>
      </c>
      <c r="AY304" s="258">
        <f>_xlfn.XLOOKUP(FMS_Ranking4[[#This Row],[FMS ID]],FMS_Input[FMS_ID],FMS_Input[COSTSTRUCT])</f>
        <v>25000</v>
      </c>
      <c r="AZ304" s="253">
        <f>_xlfn.XLOOKUP(FMS_Ranking4[[#This Row],[FMS ID]],FMS_Input[FMS_ID],FMS_Input[NATURE])</f>
        <v>0</v>
      </c>
      <c r="BA304" s="262">
        <f>(((FMS_Ranking4[[#This Row],[% NBS Raw]]/AZ$4)*100)*AZ$5)</f>
        <v>0</v>
      </c>
      <c r="BB304" s="251" t="str">
        <f>_xlfn.XLOOKUP(FMS_Ranking4[[#This Row],[FMS ID]],FMS_Input[FMS_ID],FMS_Input[WATER_SUP])</f>
        <v>No</v>
      </c>
      <c r="BC304" s="265">
        <f>IF(FMS_Ranking4[[#This Row],[Water Supply Raw]]="Yes",10,0)</f>
        <v>0</v>
      </c>
      <c r="BD304" s="266">
        <f>_xlfn.XLOOKUP(FMS_Ranking4[[#This Row],[FMS Type]],FMS_TYPE[FMS_Type],FMS_TYPE[Score])</f>
        <v>2</v>
      </c>
      <c r="BE304" s="267">
        <f>FMS_Ranking4[[#This Row],[FMS_Type Score]]*$BD$5*10</f>
        <v>0.5</v>
      </c>
      <c r="BF30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4.2527277772711716E-2</v>
      </c>
      <c r="BG304" s="271">
        <f>_xlfn.RANK.EQ(BF304,$BF$8:$BF$870,0)+COUNTIF($BF$8:BF304,BF304)-1</f>
        <v>572</v>
      </c>
      <c r="BH304" s="268">
        <f>(((FMS_Ranking4[[#This Row],[Structures Removed Raw]]/AK$4)*100)*AK$5)+(((FMS_Ranking4[[#This Row],[Removed Pop Raw]]/AR$4)*100)*AR$5)</f>
        <v>0.17164541940271039</v>
      </c>
      <c r="BI30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0.71417269717542209</v>
      </c>
      <c r="BJ304" s="205">
        <f>_xlfn.RANK.EQ(FMS_Ranking4[[#This Row],[Total Score 
(with linear
normalization)]],FMS_Ranking4[Total Score 
(with linear
normalization)],0)</f>
        <v>799</v>
      </c>
      <c r="BK304" s="205" t="e">
        <f>_xlfn.XLOOKUP(FMS_Ranking4[[#This Row],[FMS ID]],#REF!,#REF!)</f>
        <v>#REF!</v>
      </c>
      <c r="BL30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26.380716437266557</v>
      </c>
      <c r="BM304" s="272">
        <f>FMS_Ranking4[[#This Row],[ArcSinh Score Based on Normalized Reported Factors]]+FMS_Ranking4[[#This Row],[% NBS Score (Normalized)]]+(FMS_Ranking4[[#This Row],[Water Supply Score (Normalized)]]*10*$BB$5)+FMS_Ranking4[[#This Row],[FMS_Type Score Weighted]]</f>
        <v>26.880716437266557</v>
      </c>
      <c r="BN304" s="205">
        <f>_xlfn.RANK.EQ(FMS_Ranking4[[#This Row],[Total Score (with ArcSinh normalization of select criteria)]],FMS_Ranking4[Total Score (with ArcSinh normalization of select criteria)],0)</f>
        <v>297</v>
      </c>
      <c r="BO304" s="270" t="str">
        <f>_xlfn.XLOOKUP(FMS_Ranking4[[#This Row],[FMS ID]],FMS_Input[FMS_ID],FMS_Input[FMS_RANK_YEAR])</f>
        <v>2023 Amended Plan</v>
      </c>
      <c r="BP304" s="204">
        <f>_xlfn.XLOOKUP(FMS_Ranking4[[#This Row],[FMS ID]],Prev_Rank[FMS ID],Prev_Rank[Prev Rank])</f>
        <v>296</v>
      </c>
      <c r="BQ304" s="205" t="e">
        <f>_xlfn.XLOOKUP(FMS_Ranking4[[#This Row],[FMS ID]],#REF!,#REF!)</f>
        <v>#REF!</v>
      </c>
      <c r="BR304" s="199" t="e">
        <f>SUM(#REF!,#REF!,#REF!,#REF!,#REF!,#REF!,#REF!,#REF!,#REF!,FMS_Ranking4[[#This Row],[ArcSinh Res struct removed 0-10]],#REF!)</f>
        <v>#REF!</v>
      </c>
      <c r="BS304" s="199" t="e">
        <f>FMS_Ranking4[[#This Row],[Log Score Based on Normalized Reported Factors]]+FMS_Ranking4[[#This Row],[% NBS Score (Normalized)]]+(FMS_Ranking4[[#This Row],[Water Supply Score (Normalized)]]*10*$BB$5)+(FMS_Ranking4[[#This Row],[FMS_Type Score Weighted]])</f>
        <v>#REF!</v>
      </c>
      <c r="BT304" s="200" t="e">
        <f>_xlfn.RANK.EQ(FMS_Ranking4[[#This Row],[Log Total Score]],FMS_Ranking4[Log Total Score],0)</f>
        <v>#REF!</v>
      </c>
      <c r="BU304" s="200" t="e">
        <f>_xlfn.XLOOKUP(FMS_Ranking4[[#This Row],[FMS ID]],#REF!,#REF!)</f>
        <v>#REF!</v>
      </c>
      <c r="BV304" s="200">
        <f>FMS_Ranking4[[#This Row],[Region Number]]</f>
        <v>9</v>
      </c>
      <c r="BW304" s="200">
        <f>FMS_Ranking4[[#This Row],[Rank (with ArcSinh normalization of select criteria)]]-FMS_Ranking4[[#This Row],[Rank
(with linear
normalization)]]</f>
        <v>-502</v>
      </c>
      <c r="BX304" s="200" t="e">
        <f>FMS_Ranking4[[#This Row],[Log Rank]]-FMS_Ranking4[[#This Row],[Rank
(with linear
normalization)]]</f>
        <v>#REF!</v>
      </c>
      <c r="BY304" s="200" t="str">
        <f>IF(FMS_Ranking4[[#This Row],[FMS Type]]="Flood Measurement and Warning",FMS_Ranking4[[#This Row],[Rank (with ArcSinh normalization of select criteria)]],"")</f>
        <v/>
      </c>
      <c r="BZ304" s="200" t="str">
        <f>IF(FMS_Ranking4[[#This Row],[FMS Type]]="Regulatory and Guidance",FMS_Ranking4[[#This Row],[Rank (with ArcSinh normalization of select criteria)]],"")</f>
        <v/>
      </c>
      <c r="CA304" s="200" t="str">
        <f>IF(FMS_Ranking4[[#This Row],[FMS Type]]="Education and Outreach",FMS_Ranking4[[#This Row],[Rank (with ArcSinh normalization of select criteria)]],"")</f>
        <v/>
      </c>
      <c r="CB304" s="200" t="str">
        <f>IF(FMS_Ranking4[[#This Row],[FMS Type]]="Property Acquisition and Structural Elevation",FMS_Ranking4[[#This Row],[Rank (with ArcSinh normalization of select criteria)]],"")</f>
        <v/>
      </c>
      <c r="CC304" s="200" t="str">
        <f>IF(FMS_Ranking4[[#This Row],[FMS Type]]="Infrastructure Projects",FMS_Ranking4[[#This Row],[Rank (with ArcSinh normalization of select criteria)]],"")</f>
        <v/>
      </c>
      <c r="CD304" s="200">
        <f>IF(FMS_Ranking4[[#This Row],[FMS Type]]="Other",FMS_Ranking4[[#This Row],[Rank (with ArcSinh normalization of select criteria)]],"")</f>
        <v>297</v>
      </c>
      <c r="CE304" s="201"/>
      <c r="CF304" s="206"/>
      <c r="CG304" s="206"/>
      <c r="CH304" s="206"/>
      <c r="CI304" s="206"/>
      <c r="CJ304" s="206"/>
      <c r="CK304" s="206"/>
      <c r="CL304" s="206"/>
      <c r="CM304" s="206"/>
      <c r="CN304" s="206"/>
      <c r="CO304" s="206"/>
      <c r="CP304" s="206"/>
      <c r="CQ304" s="206"/>
      <c r="CR304" s="206"/>
    </row>
    <row r="305" spans="2:96" ht="60" x14ac:dyDescent="0.25">
      <c r="B305" s="341" t="s">
        <v>2485</v>
      </c>
      <c r="C305" s="246">
        <f>_xlfn.XLOOKUP(FMS_Ranking4[[#This Row],[FMS ID]],FMS_Input[FMS_ID],FMS_Input[RFPG_NUM])</f>
        <v>3</v>
      </c>
      <c r="D305" s="309" t="str">
        <f>_xlfn.XLOOKUP(FMS_Ranking4[[#This Row],[FMS ID]],FMS_Input[FMS_ID],FMS_Input[FMS_NAME])</f>
        <v xml:space="preserve">Rockwall County Flood Prevention Ordinance </v>
      </c>
      <c r="E305" s="308" t="str">
        <f>_xlfn.XLOOKUP(FMS_Ranking4[[#This Row],[FMS ID]],FMS_Input[FMS_ID],FMS_Input[SPONSOR])</f>
        <v>Rockwall County</v>
      </c>
      <c r="F305" s="309" t="str">
        <f>_xlfn.XLOOKUP(FMS_Ranking4[[#This Row],[FMS ID]],Sponsor[FMS_ID],Sponsor[SPONSOR NAME])</f>
        <v>Rockwall County</v>
      </c>
      <c r="G305" s="309" t="str">
        <f>_xlfn.XLOOKUP(FMS_Ranking4[[#This Row],[FMS ID]],FMS_Input[FMS_ID],FMS_Input[FMS_DESCR])</f>
        <v>Update Flood Prevention ordinance, adopting a “no-rise” in Base Flood Elevation in the 100-year floodplain</v>
      </c>
      <c r="H305" s="248" t="str">
        <f>_xlfn.XLOOKUP(FMS_Ranking4[[#This Row],[FMS ID]],FMS_Input[FMS_ID],FMS_Input[FMS_TYPE])</f>
        <v>Regulatory and Guidance</v>
      </c>
      <c r="I305" s="249">
        <f>_xlfn.XLOOKUP(FMS_Ranking4[[#This Row],[FMS ID]],FMS_Input[FMS_ID],FMS_Input[NRNC_COST])</f>
        <v>100000</v>
      </c>
      <c r="J305" s="250">
        <f>_xlfn.XLOOKUP(FMS_Ranking4[[#This Row],[FMS ID]],FMS_Input[FMS_ID],FMS_Input[FMS_COST])</f>
        <v>100000</v>
      </c>
      <c r="K305" s="251" t="str">
        <f>_xlfn.XLOOKUP(FMS_Ranking4[[#This Row],[FMS ID]],FMS_Input[FMS_ID],FMS_Input[EMER_NEED])</f>
        <v>No</v>
      </c>
      <c r="L305" s="252">
        <f t="shared" si="4"/>
        <v>0</v>
      </c>
      <c r="M305" s="253">
        <f>_xlfn.XLOOKUP(FMS_Ranking4[[#This Row],[FMS ID]],FMS_Input[FMS_ID],FMS_Input[STRUCT_100])</f>
        <v>411</v>
      </c>
      <c r="N305" s="255">
        <f>(ASINH(FMS_Ranking4[[#This Row],[Structure at Risk Raw]]))*(10)/(ASINH(M$4))</f>
        <v>5.2764284488590265</v>
      </c>
      <c r="O305" s="256">
        <f>FMS_Ranking4[[#This Row],[Structures at risk, ArcSinh (0-10)]]*M$5*10</f>
        <v>5.2764284488590265</v>
      </c>
      <c r="P305" s="253">
        <f>_xlfn.XLOOKUP(FMS_Ranking4[[#This Row],[FMS ID]],FMS_Input[FMS_ID],FMS_Input[RES_STRUCT100])</f>
        <v>371</v>
      </c>
      <c r="Q305" s="257">
        <f>ASINH(FMS_Ranking4[[#This Row],[Res Structure Raw]])/Q$4*P$5*100</f>
        <v>0</v>
      </c>
      <c r="R305" s="253">
        <f>_xlfn.XLOOKUP(FMS_Ranking4[[#This Row],[FMS ID]],FMS_Input[FMS_ID],FMS_Input[POP100])</f>
        <v>1183</v>
      </c>
      <c r="S305" s="255">
        <f>(ASINH(FMS_Ranking4[[#This Row],[Pop at Risk Raw]]))*(10)/(ASINH(R$4))</f>
        <v>5.3633627734167808</v>
      </c>
      <c r="T305" s="256">
        <f>FMS_Ranking4[[#This Row],[Population at risk, ArcSinh (0-10)]]*R$5*10</f>
        <v>5.3633627734167808</v>
      </c>
      <c r="U305" s="253">
        <f>_xlfn.XLOOKUP(FMS_Ranking4[[#This Row],[FMS ID]],FMS_Input[FMS_ID],FMS_Input[CRITFAC100])</f>
        <v>3</v>
      </c>
      <c r="V305" s="255">
        <f>(ASINH(FMS_Ranking4[[#This Row],[Critical Facilities Raw]]))*(10)/(ASINH(U$4))</f>
        <v>2.152611706646717</v>
      </c>
      <c r="W305" s="256">
        <f>FMS_Ranking4[[#This Row],[Critical facilities at risk, ArcSinh (0-10)]]*U$5*10</f>
        <v>2.152611706646717</v>
      </c>
      <c r="X305" s="253">
        <f>_xlfn.XLOOKUP(FMS_Ranking4[[#This Row],[FMS ID]],FMS_Input[FMS_ID],FMS_Input[LWC])</f>
        <v>15</v>
      </c>
      <c r="Y305" s="255">
        <f>(ASINH(FMS_Ranking4[[#This Row],[LWC Raw]]))*(10)/(ASINH(X$4))</f>
        <v>4.6092333449203755</v>
      </c>
      <c r="Z305" s="256">
        <f>FMS_Ranking4[[#This Row],[LWC, ArcSInh (0-10)]]*X$5*10</f>
        <v>4.6092333449203764</v>
      </c>
      <c r="AA305" s="253">
        <f>_xlfn.XLOOKUP(FMS_Ranking4[[#This Row],[FMS ID]],FMS_Input[FMS_ID],FMS_Input[ROADCLS])</f>
        <v>0</v>
      </c>
      <c r="AB305" s="255">
        <f>(ASINH(FMS_Ranking4[[#This Row],[Road Closures Raw]]))*(10)/(ASINH(AA$4))</f>
        <v>0</v>
      </c>
      <c r="AC305" s="256">
        <f>FMS_Ranking4[[#This Row],[Road closures, ArcSinh (0-10)]]*AA$5*10</f>
        <v>0</v>
      </c>
      <c r="AD305" s="253">
        <f>_xlfn.XLOOKUP(FMS_Ranking4[[#This Row],[FMS ID]],FMS_Input[FMS_ID],FMS_Input[ROAD_MILES100])</f>
        <v>34</v>
      </c>
      <c r="AE305" s="255">
        <f>(ASINH(FMS_Ranking4[[#This Row],[Road Miles Raw]]))*(10)/(ASINH(AD$4))</f>
        <v>4.4970647269582971</v>
      </c>
      <c r="AF305" s="256">
        <f>FMS_Ranking4[[#This Row],[Length of roads at risk, ArcSinh (0-10)]]*AD$5*10</f>
        <v>4.497064726958298</v>
      </c>
      <c r="AG305" s="253">
        <f>_xlfn.XLOOKUP(FMS_Ranking4[[#This Row],[FMS ID]],FMS_Input[FMS_ID],FMS_Input[FARMACRE100])</f>
        <v>4484.98876953125</v>
      </c>
      <c r="AH305" s="255">
        <f>(ASINH(FMS_Ranking4[[#This Row],[Ag Land Raw]]))*(10)/(ASINH(AG$4))</f>
        <v>5.9122556862799467</v>
      </c>
      <c r="AI305" s="260">
        <f>FMS_Ranking4[[#This Row],[Farm &amp; ranch land, ArcSinh (0-10)]]*AG$5*10</f>
        <v>2.9561278431399733</v>
      </c>
      <c r="AJ305" s="258">
        <f>_xlfn.XLOOKUP(FMS_Ranking4[[#This Row],[FMS ID]],FMS_Input[FMS_ID],FMS_Input[REDSTRUCT100])</f>
        <v>0</v>
      </c>
      <c r="AK305" s="253">
        <f>_xlfn.XLOOKUP(FMS_Ranking4[[#This Row],[FMS ID]],FMS_Input[FMS_ID],FMS_Input[REMSTRC100])</f>
        <v>0</v>
      </c>
      <c r="AL305" s="255">
        <f>(ASINH(FMS_Ranking4[[#This Row],[Structures Removed Raw]]))*(10)/(ASINH(AK$4))</f>
        <v>0</v>
      </c>
      <c r="AM305" s="262">
        <f>FMS_Ranking4[[#This Row],[Structures removed, ArcSinh (0-10)]]*AK$5*10</f>
        <v>0</v>
      </c>
      <c r="AN305" s="253">
        <f>_xlfn.XLOOKUP(FMS_Ranking4[[#This Row],[FMS ID]],FMS_Input[FMS_ID],FMS_Input[REMRESSTRC100])</f>
        <v>0</v>
      </c>
      <c r="AO305" s="261">
        <f>FMS_Ranking4[[#This Row],[ArcSinh Res struct removed 0-10]]*AN$5*10</f>
        <v>0</v>
      </c>
      <c r="AP305" s="260">
        <f>ASINH(FMS_Ranking4[[#This Row],[Residential Structures Removed Raw]])/AP$4*AN$5*100</f>
        <v>0</v>
      </c>
      <c r="AQ305" s="258">
        <f>(ASINH(FMS_Ranking4[[#This Row],[Residential Structures Removed Raw]]))*(10)/(ASINH(AN$4))</f>
        <v>0</v>
      </c>
      <c r="AR305" s="253">
        <f>_xlfn.XLOOKUP(FMS_Ranking4[[#This Row],[FMS ID]],FMS_Input[FMS_ID],FMS_Input[REMPOP100])</f>
        <v>0</v>
      </c>
      <c r="AS305" s="255">
        <f>(ASINH(FMS_Ranking4[[#This Row],[Removed Pop Raw]]))*(10)/(ASINH(AR$4))</f>
        <v>0</v>
      </c>
      <c r="AT305" s="262">
        <f>FMS_Ranking4[[#This Row],[Removed population, ArcSinh (0-10)]]*AR$5*10</f>
        <v>0</v>
      </c>
      <c r="AU305" s="264">
        <f>_xlfn.XLOOKUP(FMS_Ranking4[[#This Row],[FMS ID]],FMS_Input[FMS_ID],FMS_Input[REMCRITFAC100])</f>
        <v>0</v>
      </c>
      <c r="AV305" s="264">
        <f>_xlfn.XLOOKUP(FMS_Ranking4[[#This Row],[FMS ID]],FMS_Input[FMS_ID],FMS_Input[REMLWC100])</f>
        <v>0</v>
      </c>
      <c r="AW305" s="264">
        <f>_xlfn.XLOOKUP(FMS_Ranking4[[#This Row],[FMS ID]],FMS_Input[FMS_ID],FMS_Input[REMROADCLS])</f>
        <v>0</v>
      </c>
      <c r="AX305" s="264">
        <f>_xlfn.XLOOKUP(FMS_Ranking4[[#This Row],[FMS ID]],FMS_Input[FMS_ID],FMS_Input[REMFRMACRE100])</f>
        <v>0</v>
      </c>
      <c r="AY305" s="258">
        <f>_xlfn.XLOOKUP(FMS_Ranking4[[#This Row],[FMS ID]],FMS_Input[FMS_ID],FMS_Input[COSTSTRUCT])</f>
        <v>0</v>
      </c>
      <c r="AZ305" s="253">
        <f>_xlfn.XLOOKUP(FMS_Ranking4[[#This Row],[FMS ID]],FMS_Input[FMS_ID],FMS_Input[NATURE])</f>
        <v>0</v>
      </c>
      <c r="BA305" s="262">
        <f>(((FMS_Ranking4[[#This Row],[% NBS Raw]]/AZ$4)*100)*AZ$5)</f>
        <v>0</v>
      </c>
      <c r="BB305" s="251" t="str">
        <f>_xlfn.XLOOKUP(FMS_Ranking4[[#This Row],[FMS ID]],FMS_Input[FMS_ID],FMS_Input[WATER_SUP])</f>
        <v>No</v>
      </c>
      <c r="BC305" s="265">
        <f>IF(FMS_Ranking4[[#This Row],[Water Supply Raw]]="Yes",10,0)</f>
        <v>0</v>
      </c>
      <c r="BD305" s="266">
        <f>_xlfn.XLOOKUP(FMS_Ranking4[[#This Row],[FMS Type]],FMS_TYPE[FMS_Type],FMS_TYPE[Score])</f>
        <v>8</v>
      </c>
      <c r="BE305" s="267">
        <f>FMS_Ranking4[[#This Row],[FMS_Type Score]]*$BD$5*10</f>
        <v>2</v>
      </c>
      <c r="BF30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0.30279976851558754</v>
      </c>
      <c r="BG305" s="321">
        <f>_xlfn.RANK.EQ(BF305,$BF$8:$BF$870,0)+COUNTIF($BF$8:BF305,BF305)-1</f>
        <v>296</v>
      </c>
      <c r="BH305" s="294">
        <f>(((FMS_Ranking4[[#This Row],[Structures Removed Raw]]/AK$4)*100)*AK$5)+(((FMS_Ranking4[[#This Row],[Removed Pop Raw]]/AR$4)*100)*AR$5)</f>
        <v>0</v>
      </c>
      <c r="BI30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2.3027997685155874</v>
      </c>
      <c r="BJ305" s="251">
        <f>_xlfn.RANK.EQ(FMS_Ranking4[[#This Row],[Total Score 
(with linear
normalization)]],FMS_Ranking4[Total Score 
(with linear
normalization)],0)</f>
        <v>296</v>
      </c>
      <c r="BK305" s="251" t="e">
        <f>_xlfn.XLOOKUP(FMS_Ranking4[[#This Row],[FMS ID]],#REF!,#REF!)</f>
        <v>#REF!</v>
      </c>
      <c r="BL30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24.854828843941171</v>
      </c>
      <c r="BM305" s="324">
        <f>FMS_Ranking4[[#This Row],[ArcSinh Score Based on Normalized Reported Factors]]+FMS_Ranking4[[#This Row],[% NBS Score (Normalized)]]+(FMS_Ranking4[[#This Row],[Water Supply Score (Normalized)]]*10*$BB$5)+FMS_Ranking4[[#This Row],[FMS_Type Score Weighted]]</f>
        <v>26.854828843941171</v>
      </c>
      <c r="BN305" s="251">
        <f>_xlfn.RANK.EQ(FMS_Ranking4[[#This Row],[Total Score (with ArcSinh normalization of select criteria)]],FMS_Ranking4[Total Score (with ArcSinh normalization of select criteria)],0)</f>
        <v>298</v>
      </c>
      <c r="BO305" s="270" t="str">
        <f>_xlfn.XLOOKUP(FMS_Ranking4[[#This Row],[FMS ID]],FMS_Input[FMS_ID],FMS_Input[FMS_RANK_YEAR])</f>
        <v>2023 Amended Plan</v>
      </c>
      <c r="BP305" s="204">
        <f>_xlfn.XLOOKUP(FMS_Ranking4[[#This Row],[FMS ID]],Prev_Rank[FMS ID],Prev_Rank[Prev Rank])</f>
        <v>258</v>
      </c>
      <c r="BQ305" s="251" t="e">
        <f>_xlfn.XLOOKUP(FMS_Ranking4[[#This Row],[FMS ID]],#REF!,#REF!)</f>
        <v>#REF!</v>
      </c>
      <c r="BR305" s="199" t="e">
        <f>SUM(#REF!,#REF!,#REF!,#REF!,#REF!,#REF!,#REF!,#REF!,#REF!,FMS_Ranking4[[#This Row],[ArcSinh Res struct removed 0-10]],#REF!)</f>
        <v>#REF!</v>
      </c>
      <c r="BS305" s="199" t="e">
        <f>FMS_Ranking4[[#This Row],[Log Score Based on Normalized Reported Factors]]+FMS_Ranking4[[#This Row],[% NBS Score (Normalized)]]+(FMS_Ranking4[[#This Row],[Water Supply Score (Normalized)]]*10*$BB$5)+(FMS_Ranking4[[#This Row],[FMS_Type Score Weighted]])</f>
        <v>#REF!</v>
      </c>
      <c r="BT305" s="200" t="e">
        <f>_xlfn.RANK.EQ(FMS_Ranking4[[#This Row],[Log Total Score]],FMS_Ranking4[Log Total Score],0)</f>
        <v>#REF!</v>
      </c>
      <c r="BU305" s="200" t="e">
        <f>_xlfn.XLOOKUP(FMS_Ranking4[[#This Row],[FMS ID]],#REF!,#REF!)</f>
        <v>#REF!</v>
      </c>
      <c r="BV305" s="200">
        <f>FMS_Ranking4[[#This Row],[Region Number]]</f>
        <v>3</v>
      </c>
      <c r="BW305" s="200">
        <f>FMS_Ranking4[[#This Row],[Rank (with ArcSinh normalization of select criteria)]]-FMS_Ranking4[[#This Row],[Rank
(with linear
normalization)]]</f>
        <v>2</v>
      </c>
      <c r="BX305" s="200" t="e">
        <f>FMS_Ranking4[[#This Row],[Log Rank]]-FMS_Ranking4[[#This Row],[Rank
(with linear
normalization)]]</f>
        <v>#REF!</v>
      </c>
      <c r="BY305" s="200" t="str">
        <f>IF(FMS_Ranking4[[#This Row],[FMS Type]]="Flood Measurement and Warning",FMS_Ranking4[[#This Row],[Rank (with ArcSinh normalization of select criteria)]],"")</f>
        <v/>
      </c>
      <c r="BZ305" s="200">
        <f>IF(FMS_Ranking4[[#This Row],[FMS Type]]="Regulatory and Guidance",FMS_Ranking4[[#This Row],[Rank (with ArcSinh normalization of select criteria)]],"")</f>
        <v>298</v>
      </c>
      <c r="CA305" s="200" t="str">
        <f>IF(FMS_Ranking4[[#This Row],[FMS Type]]="Education and Outreach",FMS_Ranking4[[#This Row],[Rank (with ArcSinh normalization of select criteria)]],"")</f>
        <v/>
      </c>
      <c r="CB305" s="200" t="str">
        <f>IF(FMS_Ranking4[[#This Row],[FMS Type]]="Property Acquisition and Structural Elevation",FMS_Ranking4[[#This Row],[Rank (with ArcSinh normalization of select criteria)]],"")</f>
        <v/>
      </c>
      <c r="CC305" s="200" t="str">
        <f>IF(FMS_Ranking4[[#This Row],[FMS Type]]="Infrastructure Projects",FMS_Ranking4[[#This Row],[Rank (with ArcSinh normalization of select criteria)]],"")</f>
        <v/>
      </c>
      <c r="CD305" s="200" t="str">
        <f>IF(FMS_Ranking4[[#This Row],[FMS Type]]="Other",FMS_Ranking4[[#This Row],[Rank (with ArcSinh normalization of select criteria)]],"")</f>
        <v/>
      </c>
      <c r="CE305" s="201"/>
      <c r="CF305" s="206"/>
      <c r="CG305" s="206"/>
      <c r="CH305" s="206"/>
      <c r="CI305" s="206"/>
      <c r="CJ305" s="206"/>
      <c r="CK305" s="206"/>
      <c r="CL305" s="206"/>
      <c r="CM305" s="206"/>
      <c r="CN305" s="206"/>
      <c r="CO305" s="206"/>
      <c r="CP305" s="206"/>
      <c r="CQ305" s="206"/>
      <c r="CR305" s="206"/>
    </row>
    <row r="306" spans="2:96" ht="90" x14ac:dyDescent="0.25">
      <c r="B306" s="341" t="s">
        <v>281</v>
      </c>
      <c r="C306" s="246">
        <f>_xlfn.XLOOKUP(FMS_Ranking4[[#This Row],[FMS ID]],FMS_Input[FMS_ID],FMS_Input[RFPG_NUM])</f>
        <v>6</v>
      </c>
      <c r="D306" s="309" t="str">
        <f>_xlfn.XLOOKUP(FMS_Ranking4[[#This Row],[FMS ID]],FMS_Input[FMS_ID],FMS_Input[FMS_NAME])</f>
        <v xml:space="preserve">City of Pearland SRL and RL Property Acquisition </v>
      </c>
      <c r="E306" s="308" t="str">
        <f>_xlfn.XLOOKUP(FMS_Ranking4[[#This Row],[FMS ID]],FMS_Input[FMS_ID],FMS_Input[SPONSOR])</f>
        <v>06002790</v>
      </c>
      <c r="F306" s="309" t="str">
        <f>_xlfn.XLOOKUP(FMS_Ranking4[[#This Row],[FMS ID]],Sponsor[FMS_ID],Sponsor[SPONSOR NAME])</f>
        <v>Pearland</v>
      </c>
      <c r="G306" s="309" t="str">
        <f>_xlfn.XLOOKUP(FMS_Ranking4[[#This Row],[FMS ID]],FMS_Input[FMS_ID],FMS_Input[FMS_DESCR])</f>
        <v xml:space="preserve">Continue working with County and State officials to identify repetitive loss and severe repetitive loss properties, and pursue mitigation projects to reduce risk. </v>
      </c>
      <c r="H306" s="248" t="str">
        <f>_xlfn.XLOOKUP(FMS_Ranking4[[#This Row],[FMS ID]],FMS_Input[FMS_ID],FMS_Input[FMS_TYPE])</f>
        <v>Property Acquisition and Structural Elevation</v>
      </c>
      <c r="I306" s="249">
        <f>_xlfn.XLOOKUP(FMS_Ranking4[[#This Row],[FMS ID]],FMS_Input[FMS_ID],FMS_Input[NRNC_COST])</f>
        <v>10000</v>
      </c>
      <c r="J306" s="250">
        <f>_xlfn.XLOOKUP(FMS_Ranking4[[#This Row],[FMS ID]],FMS_Input[FMS_ID],FMS_Input[FMS_COST])</f>
        <v>100000</v>
      </c>
      <c r="K306" s="251" t="str">
        <f>_xlfn.XLOOKUP(FMS_Ranking4[[#This Row],[FMS ID]],FMS_Input[FMS_ID],FMS_Input[EMER_NEED])</f>
        <v>Yes</v>
      </c>
      <c r="L306" s="252">
        <f t="shared" si="4"/>
        <v>1</v>
      </c>
      <c r="M306" s="253">
        <f>_xlfn.XLOOKUP(FMS_Ranking4[[#This Row],[FMS ID]],FMS_Input[FMS_ID],FMS_Input[STRUCT_100])</f>
        <v>4791</v>
      </c>
      <c r="N306" s="255">
        <f>(ASINH(FMS_Ranking4[[#This Row],[Structure at Risk Raw]]))*(10)/(ASINH(M$4))</f>
        <v>7.2071313225881459</v>
      </c>
      <c r="O306" s="256">
        <f>FMS_Ranking4[[#This Row],[Structures at risk, ArcSinh (0-10)]]*M$5*10</f>
        <v>7.2071313225881459</v>
      </c>
      <c r="P306" s="253">
        <f>_xlfn.XLOOKUP(FMS_Ranking4[[#This Row],[FMS ID]],FMS_Input[FMS_ID],FMS_Input[RES_STRUCT100])</f>
        <v>3666</v>
      </c>
      <c r="Q306" s="257">
        <f>ASINH(FMS_Ranking4[[#This Row],[Res Structure Raw]])/Q$4*P$5*100</f>
        <v>0</v>
      </c>
      <c r="R306" s="253">
        <f>_xlfn.XLOOKUP(FMS_Ranking4[[#This Row],[FMS ID]],FMS_Input[FMS_ID],FMS_Input[POP100])</f>
        <v>11939</v>
      </c>
      <c r="S306" s="259">
        <f>(ASINH(FMS_Ranking4[[#This Row],[Pop at Risk Raw]]))*(10)/(ASINH(R$4))</f>
        <v>6.9593029335143113</v>
      </c>
      <c r="T306" s="256">
        <f>FMS_Ranking4[[#This Row],[Population at risk, ArcSinh (0-10)]]*R$5*10</f>
        <v>6.9593029335143122</v>
      </c>
      <c r="U306" s="253">
        <f>_xlfn.XLOOKUP(FMS_Ranking4[[#This Row],[FMS ID]],FMS_Input[FMS_ID],FMS_Input[CRITFAC100])</f>
        <v>22</v>
      </c>
      <c r="V306" s="259">
        <f>(ASINH(FMS_Ranking4[[#This Row],[Critical Facilities Raw]]))*(10)/(ASINH(U$4))</f>
        <v>4.4801989580169597</v>
      </c>
      <c r="W306" s="256">
        <f>FMS_Ranking4[[#This Row],[Critical facilities at risk, ArcSinh (0-10)]]*U$5*10</f>
        <v>4.4801989580169597</v>
      </c>
      <c r="X306" s="253">
        <f>_xlfn.XLOOKUP(FMS_Ranking4[[#This Row],[FMS ID]],FMS_Input[FMS_ID],FMS_Input[LWC])</f>
        <v>0</v>
      </c>
      <c r="Y306" s="259">
        <f>(ASINH(FMS_Ranking4[[#This Row],[LWC Raw]]))*(10)/(ASINH(X$4))</f>
        <v>0</v>
      </c>
      <c r="Z306" s="256">
        <f>FMS_Ranking4[[#This Row],[LWC, ArcSInh (0-10)]]*X$5*10</f>
        <v>0</v>
      </c>
      <c r="AA306" s="253">
        <f>_xlfn.XLOOKUP(FMS_Ranking4[[#This Row],[FMS ID]],FMS_Input[FMS_ID],FMS_Input[ROADCLS])</f>
        <v>0</v>
      </c>
      <c r="AB306" s="255">
        <f>(ASINH(FMS_Ranking4[[#This Row],[Road Closures Raw]]))*(10)/(ASINH(AA$4))</f>
        <v>0</v>
      </c>
      <c r="AC306" s="256">
        <f>FMS_Ranking4[[#This Row],[Road closures, ArcSinh (0-10)]]*AA$5*10</f>
        <v>0</v>
      </c>
      <c r="AD306" s="253">
        <f>_xlfn.XLOOKUP(FMS_Ranking4[[#This Row],[FMS ID]],FMS_Input[FMS_ID],FMS_Input[ROAD_MILES100])</f>
        <v>76</v>
      </c>
      <c r="AE306" s="259">
        <f>(ASINH(FMS_Ranking4[[#This Row],[Road Miles Raw]]))*(10)/(ASINH(AD$4))</f>
        <v>5.3541205681913837</v>
      </c>
      <c r="AF306" s="256">
        <f>FMS_Ranking4[[#This Row],[Length of roads at risk, ArcSinh (0-10)]]*AD$5*10</f>
        <v>5.3541205681913837</v>
      </c>
      <c r="AG306" s="253">
        <f>_xlfn.XLOOKUP(FMS_Ranking4[[#This Row],[FMS ID]],FMS_Input[FMS_ID],FMS_Input[FARMACRE100])</f>
        <v>137.4742126464844</v>
      </c>
      <c r="AH306" s="255">
        <f>(ASINH(FMS_Ranking4[[#This Row],[Ag Land Raw]]))*(10)/(ASINH(AG$4))</f>
        <v>3.648437178204885</v>
      </c>
      <c r="AI306" s="260">
        <f>FMS_Ranking4[[#This Row],[Farm &amp; ranch land, ArcSinh (0-10)]]*AG$5*10</f>
        <v>1.8242185891024425</v>
      </c>
      <c r="AJ306" s="258">
        <f>_xlfn.XLOOKUP(FMS_Ranking4[[#This Row],[FMS ID]],FMS_Input[FMS_ID],FMS_Input[REDSTRUCT100])</f>
        <v>0</v>
      </c>
      <c r="AK306" s="253">
        <f>_xlfn.XLOOKUP(FMS_Ranking4[[#This Row],[FMS ID]],FMS_Input[FMS_ID],FMS_Input[REMSTRC100])</f>
        <v>0</v>
      </c>
      <c r="AL306" s="259">
        <f>(ASINH(FMS_Ranking4[[#This Row],[Structures Removed Raw]]))*(10)/(ASINH(AK$4))</f>
        <v>0</v>
      </c>
      <c r="AM306" s="262">
        <f>FMS_Ranking4[[#This Row],[Structures removed, ArcSinh (0-10)]]*AK$5*10</f>
        <v>0</v>
      </c>
      <c r="AN306" s="253">
        <f>_xlfn.XLOOKUP(FMS_Ranking4[[#This Row],[FMS ID]],FMS_Input[FMS_ID],FMS_Input[REMRESSTRC100])</f>
        <v>0</v>
      </c>
      <c r="AO306" s="261">
        <f>FMS_Ranking4[[#This Row],[ArcSinh Res struct removed 0-10]]*AN$5*10</f>
        <v>0</v>
      </c>
      <c r="AP306" s="260">
        <f>ASINH(FMS_Ranking4[[#This Row],[Residential Structures Removed Raw]])/AP$4*AN$5*100</f>
        <v>0</v>
      </c>
      <c r="AQ306" s="254">
        <f>(ASINH(FMS_Ranking4[[#This Row],[Residential Structures Removed Raw]]))*(10)/(ASINH(AN$4))</f>
        <v>0</v>
      </c>
      <c r="AR306" s="253">
        <f>_xlfn.XLOOKUP(FMS_Ranking4[[#This Row],[FMS ID]],FMS_Input[FMS_ID],FMS_Input[REMPOP100])</f>
        <v>0</v>
      </c>
      <c r="AS306" s="259">
        <f>(ASINH(FMS_Ranking4[[#This Row],[Removed Pop Raw]]))*(10)/(ASINH(AR$4))</f>
        <v>0</v>
      </c>
      <c r="AT306" s="262">
        <f>FMS_Ranking4[[#This Row],[Removed population, ArcSinh (0-10)]]*AR$5*10</f>
        <v>0</v>
      </c>
      <c r="AU306" s="264">
        <f>_xlfn.XLOOKUP(FMS_Ranking4[[#This Row],[FMS ID]],FMS_Input[FMS_ID],FMS_Input[REMCRITFAC100])</f>
        <v>0</v>
      </c>
      <c r="AV306" s="264">
        <f>_xlfn.XLOOKUP(FMS_Ranking4[[#This Row],[FMS ID]],FMS_Input[FMS_ID],FMS_Input[REMLWC100])</f>
        <v>0</v>
      </c>
      <c r="AW306" s="264">
        <f>_xlfn.XLOOKUP(FMS_Ranking4[[#This Row],[FMS ID]],FMS_Input[FMS_ID],FMS_Input[REMROADCLS])</f>
        <v>0</v>
      </c>
      <c r="AX306" s="264">
        <f>_xlfn.XLOOKUP(FMS_Ranking4[[#This Row],[FMS ID]],FMS_Input[FMS_ID],FMS_Input[REMFRMACRE100])</f>
        <v>0</v>
      </c>
      <c r="AY306" s="258">
        <f>_xlfn.XLOOKUP(FMS_Ranking4[[#This Row],[FMS ID]],FMS_Input[FMS_ID],FMS_Input[COSTSTRUCT])</f>
        <v>0</v>
      </c>
      <c r="AZ306" s="253">
        <f>_xlfn.XLOOKUP(FMS_Ranking4[[#This Row],[FMS ID]],FMS_Input[FMS_ID],FMS_Input[NATURE])</f>
        <v>0</v>
      </c>
      <c r="BA306" s="262">
        <f>(((FMS_Ranking4[[#This Row],[% NBS Raw]]/AZ$4)*100)*AZ$5)</f>
        <v>0</v>
      </c>
      <c r="BB306" s="251" t="str">
        <f>_xlfn.XLOOKUP(FMS_Ranking4[[#This Row],[FMS ID]],FMS_Input[FMS_ID],FMS_Input[WATER_SUP])</f>
        <v>No</v>
      </c>
      <c r="BC306" s="265">
        <f>IF(FMS_Ranking4[[#This Row],[Water Supply Raw]]="Yes",10,0)</f>
        <v>0</v>
      </c>
      <c r="BD306" s="266">
        <f>_xlfn.XLOOKUP(FMS_Ranking4[[#This Row],[FMS Type]],FMS_TYPE[FMS_Type],FMS_TYPE[Score])</f>
        <v>4</v>
      </c>
      <c r="BE306" s="267">
        <f>FMS_Ranking4[[#This Row],[FMS_Type Score]]*$BD$5*10</f>
        <v>1</v>
      </c>
      <c r="BF30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0.63120465698369332</v>
      </c>
      <c r="BG306" s="271">
        <f>_xlfn.RANK.EQ(BF306,$BF$8:$BF$870,0)+COUNTIF($BF$8:BF306,BF306)-1</f>
        <v>191</v>
      </c>
      <c r="BH306" s="268">
        <f>(((FMS_Ranking4[[#This Row],[Structures Removed Raw]]/AK$4)*100)*AK$5)+(((FMS_Ranking4[[#This Row],[Removed Pop Raw]]/AR$4)*100)*AR$5)</f>
        <v>0</v>
      </c>
      <c r="BI30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1.6312046569836933</v>
      </c>
      <c r="BJ306" s="205">
        <f>_xlfn.RANK.EQ(FMS_Ranking4[[#This Row],[Total Score 
(with linear
normalization)]],FMS_Ranking4[Total Score 
(with linear
normalization)],0)</f>
        <v>561</v>
      </c>
      <c r="BK306" s="205" t="e">
        <f>_xlfn.XLOOKUP(FMS_Ranking4[[#This Row],[FMS ID]],#REF!,#REF!)</f>
        <v>#REF!</v>
      </c>
      <c r="BL30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25.824972371413246</v>
      </c>
      <c r="BM306" s="272">
        <f>FMS_Ranking4[[#This Row],[ArcSinh Score Based on Normalized Reported Factors]]+FMS_Ranking4[[#This Row],[% NBS Score (Normalized)]]+(FMS_Ranking4[[#This Row],[Water Supply Score (Normalized)]]*10*$BB$5)+FMS_Ranking4[[#This Row],[FMS_Type Score Weighted]]</f>
        <v>26.824972371413246</v>
      </c>
      <c r="BN306" s="205">
        <f>_xlfn.RANK.EQ(FMS_Ranking4[[#This Row],[Total Score (with ArcSinh normalization of select criteria)]],FMS_Ranking4[Total Score (with ArcSinh normalization of select criteria)],0)</f>
        <v>299</v>
      </c>
      <c r="BO306" s="270" t="str">
        <f>_xlfn.XLOOKUP(FMS_Ranking4[[#This Row],[FMS ID]],FMS_Input[FMS_ID],FMS_Input[FMS_RANK_YEAR])</f>
        <v>2023 Amended Plan</v>
      </c>
      <c r="BP306" s="204">
        <f>_xlfn.XLOOKUP(FMS_Ranking4[[#This Row],[FMS ID]],Prev_Rank[FMS ID],Prev_Rank[Prev Rank])</f>
        <v>261</v>
      </c>
      <c r="BQ306" s="205" t="e">
        <f>_xlfn.XLOOKUP(FMS_Ranking4[[#This Row],[FMS ID]],#REF!,#REF!)</f>
        <v>#REF!</v>
      </c>
      <c r="BR306" s="199" t="e">
        <f>SUM(#REF!,#REF!,#REF!,#REF!,#REF!,#REF!,#REF!,#REF!,#REF!,FMS_Ranking4[[#This Row],[ArcSinh Res struct removed 0-10]],#REF!)</f>
        <v>#REF!</v>
      </c>
      <c r="BS306" s="199" t="e">
        <f>FMS_Ranking4[[#This Row],[Log Score Based on Normalized Reported Factors]]+FMS_Ranking4[[#This Row],[% NBS Score (Normalized)]]+(FMS_Ranking4[[#This Row],[Water Supply Score (Normalized)]]*10*$BB$5)+(FMS_Ranking4[[#This Row],[FMS_Type Score Weighted]])</f>
        <v>#REF!</v>
      </c>
      <c r="BT306" s="200" t="e">
        <f>_xlfn.RANK.EQ(FMS_Ranking4[[#This Row],[Log Total Score]],FMS_Ranking4[Log Total Score],0)</f>
        <v>#REF!</v>
      </c>
      <c r="BU306" s="200" t="e">
        <f>_xlfn.XLOOKUP(FMS_Ranking4[[#This Row],[FMS ID]],#REF!,#REF!)</f>
        <v>#REF!</v>
      </c>
      <c r="BV306" s="200">
        <f>FMS_Ranking4[[#This Row],[Region Number]]</f>
        <v>6</v>
      </c>
      <c r="BW306" s="200">
        <f>FMS_Ranking4[[#This Row],[Rank (with ArcSinh normalization of select criteria)]]-FMS_Ranking4[[#This Row],[Rank
(with linear
normalization)]]</f>
        <v>-262</v>
      </c>
      <c r="BX306" s="200" t="e">
        <f>FMS_Ranking4[[#This Row],[Log Rank]]-FMS_Ranking4[[#This Row],[Rank
(with linear
normalization)]]</f>
        <v>#REF!</v>
      </c>
      <c r="BY306" s="200" t="str">
        <f>IF(FMS_Ranking4[[#This Row],[FMS Type]]="Flood Measurement and Warning",FMS_Ranking4[[#This Row],[Rank (with ArcSinh normalization of select criteria)]],"")</f>
        <v/>
      </c>
      <c r="BZ306" s="200" t="str">
        <f>IF(FMS_Ranking4[[#This Row],[FMS Type]]="Regulatory and Guidance",FMS_Ranking4[[#This Row],[Rank (with ArcSinh normalization of select criteria)]],"")</f>
        <v/>
      </c>
      <c r="CA306" s="200" t="str">
        <f>IF(FMS_Ranking4[[#This Row],[FMS Type]]="Education and Outreach",FMS_Ranking4[[#This Row],[Rank (with ArcSinh normalization of select criteria)]],"")</f>
        <v/>
      </c>
      <c r="CB306" s="200">
        <f>IF(FMS_Ranking4[[#This Row],[FMS Type]]="Property Acquisition and Structural Elevation",FMS_Ranking4[[#This Row],[Rank (with ArcSinh normalization of select criteria)]],"")</f>
        <v>299</v>
      </c>
      <c r="CC306" s="200" t="str">
        <f>IF(FMS_Ranking4[[#This Row],[FMS Type]]="Infrastructure Projects",FMS_Ranking4[[#This Row],[Rank (with ArcSinh normalization of select criteria)]],"")</f>
        <v/>
      </c>
      <c r="CD306" s="200" t="str">
        <f>IF(FMS_Ranking4[[#This Row],[FMS Type]]="Other",FMS_Ranking4[[#This Row],[Rank (with ArcSinh normalization of select criteria)]],"")</f>
        <v/>
      </c>
      <c r="CE306" s="201"/>
      <c r="CF306" s="206"/>
      <c r="CG306" s="206"/>
      <c r="CH306" s="206"/>
      <c r="CI306" s="206"/>
      <c r="CJ306" s="206"/>
      <c r="CK306" s="206"/>
      <c r="CL306" s="206"/>
      <c r="CM306" s="206"/>
      <c r="CN306" s="206"/>
      <c r="CO306" s="206"/>
      <c r="CP306" s="206"/>
      <c r="CQ306" s="206"/>
      <c r="CR306" s="206"/>
    </row>
    <row r="307" spans="2:96" ht="135" x14ac:dyDescent="0.25">
      <c r="B307" s="341" t="s">
        <v>3571</v>
      </c>
      <c r="C307" s="246">
        <f>_xlfn.XLOOKUP(FMS_Ranking4[[#This Row],[FMS ID]],FMS_Input[FMS_ID],FMS_Input[RFPG_NUM])</f>
        <v>13</v>
      </c>
      <c r="D307" s="309" t="str">
        <f>_xlfn.XLOOKUP(FMS_Ranking4[[#This Row],[FMS ID]],FMS_Input[FMS_ID],FMS_Input[FMS_NAME])</f>
        <v>Education and Outreach</v>
      </c>
      <c r="E307" s="308" t="str">
        <f>_xlfn.XLOOKUP(FMS_Ranking4[[#This Row],[FMS ID]],FMS_Input[FMS_ID],FMS_Input[SPONSOR])</f>
        <v>13002953</v>
      </c>
      <c r="F307" s="309" t="str">
        <f>_xlfn.XLOOKUP(FMS_Ranking4[[#This Row],[FMS ID]],Sponsor[FMS_ID],Sponsor[SPONSOR NAME])</f>
        <v>Hondo</v>
      </c>
      <c r="G307" s="309" t="str">
        <f>_xlfn.XLOOKUP(FMS_Ranking4[[#This Row],[FMS ID]],FMS_Input[FMS_ID],FMS_Input[FMS_DESCR])</f>
        <v>Create a public outreach program to educate the community on the benefits of building code enforcement and flood hazard mitigation strategies. Also, coordinate regionally regarding flood early warning systems currently implemented in our region.</v>
      </c>
      <c r="H307" s="248" t="str">
        <f>_xlfn.XLOOKUP(FMS_Ranking4[[#This Row],[FMS ID]],FMS_Input[FMS_ID],FMS_Input[FMS_TYPE])</f>
        <v>Education and Outreach</v>
      </c>
      <c r="I307" s="249">
        <f>_xlfn.XLOOKUP(FMS_Ranking4[[#This Row],[FMS ID]],FMS_Input[FMS_ID],FMS_Input[NRNC_COST])</f>
        <v>375000</v>
      </c>
      <c r="J307" s="250">
        <f>_xlfn.XLOOKUP(FMS_Ranking4[[#This Row],[FMS ID]],FMS_Input[FMS_ID],FMS_Input[FMS_COST])</f>
        <v>375000</v>
      </c>
      <c r="K307" s="251" t="str">
        <f>_xlfn.XLOOKUP(FMS_Ranking4[[#This Row],[FMS ID]],FMS_Input[FMS_ID],FMS_Input[EMER_NEED])</f>
        <v>Yes</v>
      </c>
      <c r="L307" s="252">
        <f t="shared" si="4"/>
        <v>1</v>
      </c>
      <c r="M307" s="253">
        <f>_xlfn.XLOOKUP(FMS_Ranking4[[#This Row],[FMS ID]],FMS_Input[FMS_ID],FMS_Input[STRUCT_100])</f>
        <v>592</v>
      </c>
      <c r="N307" s="255">
        <f>(ASINH(FMS_Ranking4[[#This Row],[Structure at Risk Raw]]))*(10)/(ASINH(M$4))</f>
        <v>5.5633041278462478</v>
      </c>
      <c r="O307" s="256">
        <f>FMS_Ranking4[[#This Row],[Structures at risk, ArcSinh (0-10)]]*M$5*10</f>
        <v>5.5633041278462478</v>
      </c>
      <c r="P307" s="253">
        <f>_xlfn.XLOOKUP(FMS_Ranking4[[#This Row],[FMS ID]],FMS_Input[FMS_ID],FMS_Input[RES_STRUCT100])</f>
        <v>425</v>
      </c>
      <c r="Q307" s="257">
        <f>ASINH(FMS_Ranking4[[#This Row],[Res Structure Raw]])/Q$4*P$5*100</f>
        <v>0</v>
      </c>
      <c r="R307" s="253">
        <f>_xlfn.XLOOKUP(FMS_Ranking4[[#This Row],[FMS ID]],FMS_Input[FMS_ID],FMS_Input[POP100])</f>
        <v>2211</v>
      </c>
      <c r="S307" s="255">
        <f>(ASINH(FMS_Ranking4[[#This Row],[Pop at Risk Raw]]))*(10)/(ASINH(R$4))</f>
        <v>5.7951067204289046</v>
      </c>
      <c r="T307" s="256">
        <f>FMS_Ranking4[[#This Row],[Population at risk, ArcSinh (0-10)]]*R$5*10</f>
        <v>5.7951067204289055</v>
      </c>
      <c r="U307" s="253">
        <f>_xlfn.XLOOKUP(FMS_Ranking4[[#This Row],[FMS ID]],FMS_Input[FMS_ID],FMS_Input[CRITFAC100])</f>
        <v>3</v>
      </c>
      <c r="V307" s="255">
        <f>(ASINH(FMS_Ranking4[[#This Row],[Critical Facilities Raw]]))*(10)/(ASINH(U$4))</f>
        <v>2.152611706646717</v>
      </c>
      <c r="W307" s="256">
        <f>FMS_Ranking4[[#This Row],[Critical facilities at risk, ArcSinh (0-10)]]*U$5*10</f>
        <v>2.152611706646717</v>
      </c>
      <c r="X307" s="253">
        <f>_xlfn.XLOOKUP(FMS_Ranking4[[#This Row],[FMS ID]],FMS_Input[FMS_ID],FMS_Input[LWC])</f>
        <v>5</v>
      </c>
      <c r="Y307" s="255">
        <f>(ASINH(FMS_Ranking4[[#This Row],[LWC Raw]]))*(10)/(ASINH(X$4))</f>
        <v>3.1327475801820781</v>
      </c>
      <c r="Z307" s="256">
        <f>FMS_Ranking4[[#This Row],[LWC, ArcSInh (0-10)]]*X$5*10</f>
        <v>3.1327475801820781</v>
      </c>
      <c r="AA307" s="253">
        <f>_xlfn.XLOOKUP(FMS_Ranking4[[#This Row],[FMS ID]],FMS_Input[FMS_ID],FMS_Input[ROADCLS])</f>
        <v>67</v>
      </c>
      <c r="AB307" s="255">
        <f>(ASINH(FMS_Ranking4[[#This Row],[Road Closures Raw]]))*(10)/(ASINH(AA$4))</f>
        <v>5.1007086055887703</v>
      </c>
      <c r="AC307" s="256">
        <f>FMS_Ranking4[[#This Row],[Road closures, ArcSinh (0-10)]]*AA$5*10</f>
        <v>2.5503543027943856</v>
      </c>
      <c r="AD307" s="253">
        <f>_xlfn.XLOOKUP(FMS_Ranking4[[#This Row],[FMS ID]],FMS_Input[FMS_ID],FMS_Input[ROAD_MILES100])</f>
        <v>15</v>
      </c>
      <c r="AE307" s="255">
        <f>(ASINH(FMS_Ranking4[[#This Row],[Road Miles Raw]]))*(10)/(ASINH(AD$4))</f>
        <v>3.625922827042257</v>
      </c>
      <c r="AF307" s="256">
        <f>FMS_Ranking4[[#This Row],[Length of roads at risk, ArcSinh (0-10)]]*AD$5*10</f>
        <v>3.625922827042257</v>
      </c>
      <c r="AG307" s="253">
        <f>_xlfn.XLOOKUP(FMS_Ranking4[[#This Row],[FMS ID]],FMS_Input[FMS_ID],FMS_Input[FARMACRE100])</f>
        <v>1095.853271484375</v>
      </c>
      <c r="AH307" s="255">
        <f>(ASINH(FMS_Ranking4[[#This Row],[Ag Land Raw]]))*(10)/(ASINH(AG$4))</f>
        <v>4.9968638605927849</v>
      </c>
      <c r="AI307" s="260">
        <f>FMS_Ranking4[[#This Row],[Farm &amp; ranch land, ArcSinh (0-10)]]*AG$5*10</f>
        <v>2.4984319302963924</v>
      </c>
      <c r="AJ307" s="258">
        <f>_xlfn.XLOOKUP(FMS_Ranking4[[#This Row],[FMS ID]],FMS_Input[FMS_ID],FMS_Input[REDSTRUCT100])</f>
        <v>0</v>
      </c>
      <c r="AK307" s="253">
        <f>_xlfn.XLOOKUP(FMS_Ranking4[[#This Row],[FMS ID]],FMS_Input[FMS_ID],FMS_Input[REMSTRC100])</f>
        <v>0</v>
      </c>
      <c r="AL307" s="255">
        <f>(ASINH(FMS_Ranking4[[#This Row],[Structures Removed Raw]]))*(10)/(ASINH(AK$4))</f>
        <v>0</v>
      </c>
      <c r="AM307" s="262">
        <f>FMS_Ranking4[[#This Row],[Structures removed, ArcSinh (0-10)]]*AK$5*10</f>
        <v>0</v>
      </c>
      <c r="AN307" s="253">
        <f>_xlfn.XLOOKUP(FMS_Ranking4[[#This Row],[FMS ID]],FMS_Input[FMS_ID],FMS_Input[REMRESSTRC100])</f>
        <v>0</v>
      </c>
      <c r="AO307" s="261">
        <f>FMS_Ranking4[[#This Row],[ArcSinh Res struct removed 0-10]]*AN$5*10</f>
        <v>0</v>
      </c>
      <c r="AP307" s="260">
        <f>ASINH(FMS_Ranking4[[#This Row],[Residential Structures Removed Raw]])/AP$4*AN$5*100</f>
        <v>0</v>
      </c>
      <c r="AQ307" s="258">
        <f>(ASINH(FMS_Ranking4[[#This Row],[Residential Structures Removed Raw]]))*(10)/(ASINH(AN$4))</f>
        <v>0</v>
      </c>
      <c r="AR307" s="253">
        <f>_xlfn.XLOOKUP(FMS_Ranking4[[#This Row],[FMS ID]],FMS_Input[FMS_ID],FMS_Input[REMPOP100])</f>
        <v>0</v>
      </c>
      <c r="AS307" s="255">
        <f>(ASINH(FMS_Ranking4[[#This Row],[Removed Pop Raw]]))*(10)/(ASINH(AR$4))</f>
        <v>0</v>
      </c>
      <c r="AT307" s="262">
        <f>FMS_Ranking4[[#This Row],[Removed population, ArcSinh (0-10)]]*AR$5*10</f>
        <v>0</v>
      </c>
      <c r="AU307" s="264">
        <f>_xlfn.XLOOKUP(FMS_Ranking4[[#This Row],[FMS ID]],FMS_Input[FMS_ID],FMS_Input[REMCRITFAC100])</f>
        <v>0</v>
      </c>
      <c r="AV307" s="264">
        <f>_xlfn.XLOOKUP(FMS_Ranking4[[#This Row],[FMS ID]],FMS_Input[FMS_ID],FMS_Input[REMLWC100])</f>
        <v>0</v>
      </c>
      <c r="AW307" s="264">
        <f>_xlfn.XLOOKUP(FMS_Ranking4[[#This Row],[FMS ID]],FMS_Input[FMS_ID],FMS_Input[REMROADCLS])</f>
        <v>0</v>
      </c>
      <c r="AX307" s="264">
        <f>_xlfn.XLOOKUP(FMS_Ranking4[[#This Row],[FMS ID]],FMS_Input[FMS_ID],FMS_Input[REMFRMACRE100])</f>
        <v>0</v>
      </c>
      <c r="AY307" s="258">
        <f>_xlfn.XLOOKUP(FMS_Ranking4[[#This Row],[FMS ID]],FMS_Input[FMS_ID],FMS_Input[COSTSTRUCT])</f>
        <v>0</v>
      </c>
      <c r="AZ307" s="253">
        <f>_xlfn.XLOOKUP(FMS_Ranking4[[#This Row],[FMS ID]],FMS_Input[FMS_ID],FMS_Input[NATURE])</f>
        <v>0</v>
      </c>
      <c r="BA307" s="262">
        <f>(((FMS_Ranking4[[#This Row],[% NBS Raw]]/AZ$4)*100)*AZ$5)</f>
        <v>0</v>
      </c>
      <c r="BB307" s="251" t="str">
        <f>_xlfn.XLOOKUP(FMS_Ranking4[[#This Row],[FMS ID]],FMS_Input[FMS_ID],FMS_Input[WATER_SUP])</f>
        <v>No</v>
      </c>
      <c r="BC307" s="265">
        <f>IF(FMS_Ranking4[[#This Row],[Water Supply Raw]]="Yes",10,0)</f>
        <v>0</v>
      </c>
      <c r="BD307" s="266">
        <f>_xlfn.XLOOKUP(FMS_Ranking4[[#This Row],[FMS Type]],FMS_TYPE[FMS_Type],FMS_TYPE[Score])</f>
        <v>6</v>
      </c>
      <c r="BE307" s="267">
        <f>FMS_Ranking4[[#This Row],[FMS_Type Score]]*$BD$5*10</f>
        <v>1.5000000000000002</v>
      </c>
      <c r="BF30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0.2059318405751917</v>
      </c>
      <c r="BG307" s="321">
        <f>_xlfn.RANK.EQ(BF307,$BF$8:$BF$870,0)+COUNTIF($BF$8:BF307,BF307)-1</f>
        <v>367</v>
      </c>
      <c r="BH307" s="294">
        <f>(((FMS_Ranking4[[#This Row],[Structures Removed Raw]]/AK$4)*100)*AK$5)+(((FMS_Ranking4[[#This Row],[Removed Pop Raw]]/AR$4)*100)*AR$5)</f>
        <v>0</v>
      </c>
      <c r="BI30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1.705931840575192</v>
      </c>
      <c r="BJ307" s="251">
        <f>_xlfn.RANK.EQ(FMS_Ranking4[[#This Row],[Total Score 
(with linear
normalization)]],FMS_Ranking4[Total Score 
(with linear
normalization)],0)</f>
        <v>548</v>
      </c>
      <c r="BK307" s="251" t="e">
        <f>_xlfn.XLOOKUP(FMS_Ranking4[[#This Row],[FMS ID]],#REF!,#REF!)</f>
        <v>#REF!</v>
      </c>
      <c r="BL30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25.318479195236979</v>
      </c>
      <c r="BM307" s="324">
        <f>FMS_Ranking4[[#This Row],[ArcSinh Score Based on Normalized Reported Factors]]+FMS_Ranking4[[#This Row],[% NBS Score (Normalized)]]+(FMS_Ranking4[[#This Row],[Water Supply Score (Normalized)]]*10*$BB$5)+FMS_Ranking4[[#This Row],[FMS_Type Score Weighted]]</f>
        <v>26.818479195236979</v>
      </c>
      <c r="BN307" s="251">
        <f>_xlfn.RANK.EQ(FMS_Ranking4[[#This Row],[Total Score (with ArcSinh normalization of select criteria)]],FMS_Ranking4[Total Score (with ArcSinh normalization of select criteria)],0)</f>
        <v>300</v>
      </c>
      <c r="BO307" s="270" t="str">
        <f>_xlfn.XLOOKUP(FMS_Ranking4[[#This Row],[FMS ID]],FMS_Input[FMS_ID],FMS_Input[FMS_RANK_YEAR])</f>
        <v>2023 Amended Plan</v>
      </c>
      <c r="BP307" s="204">
        <f>_xlfn.XLOOKUP(FMS_Ranking4[[#This Row],[FMS ID]],Prev_Rank[FMS ID],Prev_Rank[Prev Rank])</f>
        <v>263</v>
      </c>
      <c r="BQ307" s="251" t="e">
        <f>_xlfn.XLOOKUP(FMS_Ranking4[[#This Row],[FMS ID]],#REF!,#REF!)</f>
        <v>#REF!</v>
      </c>
      <c r="BR307" s="199" t="e">
        <f>SUM(#REF!,#REF!,#REF!,#REF!,#REF!,#REF!,#REF!,#REF!,#REF!,FMS_Ranking4[[#This Row],[ArcSinh Res struct removed 0-10]],#REF!)</f>
        <v>#REF!</v>
      </c>
      <c r="BS307" s="199" t="e">
        <f>FMS_Ranking4[[#This Row],[Log Score Based on Normalized Reported Factors]]+FMS_Ranking4[[#This Row],[% NBS Score (Normalized)]]+(FMS_Ranking4[[#This Row],[Water Supply Score (Normalized)]]*10*$BB$5)+(FMS_Ranking4[[#This Row],[FMS_Type Score Weighted]])</f>
        <v>#REF!</v>
      </c>
      <c r="BT307" s="200" t="e">
        <f>_xlfn.RANK.EQ(FMS_Ranking4[[#This Row],[Log Total Score]],FMS_Ranking4[Log Total Score],0)</f>
        <v>#REF!</v>
      </c>
      <c r="BU307" s="200" t="e">
        <f>_xlfn.XLOOKUP(FMS_Ranking4[[#This Row],[FMS ID]],#REF!,#REF!)</f>
        <v>#REF!</v>
      </c>
      <c r="BV307" s="200">
        <f>FMS_Ranking4[[#This Row],[Region Number]]</f>
        <v>13</v>
      </c>
      <c r="BW307" s="200">
        <f>FMS_Ranking4[[#This Row],[Rank (with ArcSinh normalization of select criteria)]]-FMS_Ranking4[[#This Row],[Rank
(with linear
normalization)]]</f>
        <v>-248</v>
      </c>
      <c r="BX307" s="200" t="e">
        <f>FMS_Ranking4[[#This Row],[Log Rank]]-FMS_Ranking4[[#This Row],[Rank
(with linear
normalization)]]</f>
        <v>#REF!</v>
      </c>
      <c r="BY307" s="200" t="str">
        <f>IF(FMS_Ranking4[[#This Row],[FMS Type]]="Flood Measurement and Warning",FMS_Ranking4[[#This Row],[Rank (with ArcSinh normalization of select criteria)]],"")</f>
        <v/>
      </c>
      <c r="BZ307" s="200" t="str">
        <f>IF(FMS_Ranking4[[#This Row],[FMS Type]]="Regulatory and Guidance",FMS_Ranking4[[#This Row],[Rank (with ArcSinh normalization of select criteria)]],"")</f>
        <v/>
      </c>
      <c r="CA307" s="200">
        <f>IF(FMS_Ranking4[[#This Row],[FMS Type]]="Education and Outreach",FMS_Ranking4[[#This Row],[Rank (with ArcSinh normalization of select criteria)]],"")</f>
        <v>300</v>
      </c>
      <c r="CB307" s="200" t="str">
        <f>IF(FMS_Ranking4[[#This Row],[FMS Type]]="Property Acquisition and Structural Elevation",FMS_Ranking4[[#This Row],[Rank (with ArcSinh normalization of select criteria)]],"")</f>
        <v/>
      </c>
      <c r="CC307" s="200" t="str">
        <f>IF(FMS_Ranking4[[#This Row],[FMS Type]]="Infrastructure Projects",FMS_Ranking4[[#This Row],[Rank (with ArcSinh normalization of select criteria)]],"")</f>
        <v/>
      </c>
      <c r="CD307" s="200" t="str">
        <f>IF(FMS_Ranking4[[#This Row],[FMS Type]]="Other",FMS_Ranking4[[#This Row],[Rank (with ArcSinh normalization of select criteria)]],"")</f>
        <v/>
      </c>
      <c r="CE307" s="201"/>
      <c r="CF307" s="206"/>
      <c r="CG307" s="206"/>
      <c r="CH307" s="206"/>
      <c r="CI307" s="206"/>
      <c r="CJ307" s="206"/>
      <c r="CK307" s="206"/>
      <c r="CL307" s="206"/>
      <c r="CM307" s="206"/>
      <c r="CN307" s="206"/>
      <c r="CO307" s="206"/>
      <c r="CP307" s="206"/>
      <c r="CQ307" s="206"/>
      <c r="CR307" s="206"/>
    </row>
    <row r="308" spans="2:96" ht="60" x14ac:dyDescent="0.25">
      <c r="B308" s="341" t="s">
        <v>1965</v>
      </c>
      <c r="C308" s="246">
        <f>_xlfn.XLOOKUP(FMS_Ranking4[[#This Row],[FMS ID]],FMS_Input[FMS_ID],FMS_Input[RFPG_NUM])</f>
        <v>3</v>
      </c>
      <c r="D308" s="309" t="str">
        <f>_xlfn.XLOOKUP(FMS_Ranking4[[#This Row],[FMS ID]],FMS_Input[FMS_ID],FMS_Input[FMS_NAME])</f>
        <v xml:space="preserve">Navarro County Waterways Clearing </v>
      </c>
      <c r="E308" s="308" t="str">
        <f>_xlfn.XLOOKUP(FMS_Ranking4[[#This Row],[FMS ID]],FMS_Input[FMS_ID],FMS_Input[SPONSOR])</f>
        <v>Corsicana</v>
      </c>
      <c r="F308" s="309" t="str">
        <f>_xlfn.XLOOKUP(FMS_Ranking4[[#This Row],[FMS ID]],Sponsor[FMS_ID],Sponsor[SPONSOR NAME])</f>
        <v>Corsicana</v>
      </c>
      <c r="G308" s="309" t="str">
        <f>_xlfn.XLOOKUP(FMS_Ranking4[[#This Row],[FMS ID]],FMS_Input[FMS_ID],FMS_Input[FMS_DESCR])</f>
        <v>Develop a maintenance program to clear waterways of debris and prevent further collection of debris in waterways</v>
      </c>
      <c r="H308" s="248" t="str">
        <f>_xlfn.XLOOKUP(FMS_Ranking4[[#This Row],[FMS ID]],FMS_Input[FMS_ID],FMS_Input[FMS_TYPE])</f>
        <v>Other</v>
      </c>
      <c r="I308" s="249">
        <f>_xlfn.XLOOKUP(FMS_Ranking4[[#This Row],[FMS ID]],FMS_Input[FMS_ID],FMS_Input[NRNC_COST])</f>
        <v>75000</v>
      </c>
      <c r="J308" s="250">
        <f>_xlfn.XLOOKUP(FMS_Ranking4[[#This Row],[FMS ID]],FMS_Input[FMS_ID],FMS_Input[FMS_COST])</f>
        <v>75000</v>
      </c>
      <c r="K308" s="251" t="str">
        <f>_xlfn.XLOOKUP(FMS_Ranking4[[#This Row],[FMS ID]],FMS_Input[FMS_ID],FMS_Input[EMER_NEED])</f>
        <v>No</v>
      </c>
      <c r="L308" s="252">
        <f t="shared" si="4"/>
        <v>0</v>
      </c>
      <c r="M308" s="253">
        <f>_xlfn.XLOOKUP(FMS_Ranking4[[#This Row],[FMS ID]],FMS_Input[FMS_ID],FMS_Input[STRUCT_100])</f>
        <v>487</v>
      </c>
      <c r="N308" s="255">
        <f>(ASINH(FMS_Ranking4[[#This Row],[Structure at Risk Raw]]))*(10)/(ASINH(M$4))</f>
        <v>5.4098147111073125</v>
      </c>
      <c r="O308" s="256">
        <f>FMS_Ranking4[[#This Row],[Structures at risk, ArcSinh (0-10)]]*M$5*10</f>
        <v>5.4098147111073125</v>
      </c>
      <c r="P308" s="253">
        <f>_xlfn.XLOOKUP(FMS_Ranking4[[#This Row],[FMS ID]],FMS_Input[FMS_ID],FMS_Input[RES_STRUCT100])</f>
        <v>471</v>
      </c>
      <c r="Q308" s="257">
        <f>ASINH(FMS_Ranking4[[#This Row],[Res Structure Raw]])/Q$4*P$5*100</f>
        <v>0</v>
      </c>
      <c r="R308" s="253">
        <f>_xlfn.XLOOKUP(FMS_Ranking4[[#This Row],[FMS ID]],FMS_Input[FMS_ID],FMS_Input[POP100])</f>
        <v>1449</v>
      </c>
      <c r="S308" s="259">
        <f>(ASINH(FMS_Ranking4[[#This Row],[Pop at Risk Raw]]))*(10)/(ASINH(R$4))</f>
        <v>5.5033812401397135</v>
      </c>
      <c r="T308" s="256">
        <f>FMS_Ranking4[[#This Row],[Population at risk, ArcSinh (0-10)]]*R$5*10</f>
        <v>5.5033812401397144</v>
      </c>
      <c r="U308" s="253">
        <f>_xlfn.XLOOKUP(FMS_Ranking4[[#This Row],[FMS ID]],FMS_Input[FMS_ID],FMS_Input[CRITFAC100])</f>
        <v>6</v>
      </c>
      <c r="V308" s="259">
        <f>(ASINH(FMS_Ranking4[[#This Row],[Critical Facilities Raw]]))*(10)/(ASINH(U$4))</f>
        <v>2.9496796311809068</v>
      </c>
      <c r="W308" s="256">
        <f>FMS_Ranking4[[#This Row],[Critical facilities at risk, ArcSinh (0-10)]]*U$5*10</f>
        <v>2.9496796311809073</v>
      </c>
      <c r="X308" s="253">
        <f>_xlfn.XLOOKUP(FMS_Ranking4[[#This Row],[FMS ID]],FMS_Input[FMS_ID],FMS_Input[LWC])</f>
        <v>33</v>
      </c>
      <c r="Y308" s="259">
        <f>(ASINH(FMS_Ranking4[[#This Row],[LWC Raw]]))*(10)/(ASINH(X$4))</f>
        <v>5.6761944536939772</v>
      </c>
      <c r="Z308" s="256">
        <f>FMS_Ranking4[[#This Row],[LWC, ArcSInh (0-10)]]*X$5*10</f>
        <v>5.6761944536939781</v>
      </c>
      <c r="AA308" s="253">
        <f>_xlfn.XLOOKUP(FMS_Ranking4[[#This Row],[FMS ID]],FMS_Input[FMS_ID],FMS_Input[ROADCLS])</f>
        <v>0</v>
      </c>
      <c r="AB308" s="255">
        <f>(ASINH(FMS_Ranking4[[#This Row],[Road Closures Raw]]))*(10)/(ASINH(AA$4))</f>
        <v>0</v>
      </c>
      <c r="AC308" s="256">
        <f>FMS_Ranking4[[#This Row],[Road closures, ArcSinh (0-10)]]*AA$5*10</f>
        <v>0</v>
      </c>
      <c r="AD308" s="253">
        <f>_xlfn.XLOOKUP(FMS_Ranking4[[#This Row],[FMS ID]],FMS_Input[FMS_ID],FMS_Input[ROAD_MILES100])</f>
        <v>27</v>
      </c>
      <c r="AE308" s="259">
        <f>(ASINH(FMS_Ranking4[[#This Row],[Road Miles Raw]]))*(10)/(ASINH(AD$4))</f>
        <v>4.2515248144863813</v>
      </c>
      <c r="AF308" s="256">
        <f>FMS_Ranking4[[#This Row],[Length of roads at risk, ArcSinh (0-10)]]*AD$5*10</f>
        <v>4.2515248144863813</v>
      </c>
      <c r="AG308" s="253">
        <f>_xlfn.XLOOKUP(FMS_Ranking4[[#This Row],[FMS ID]],FMS_Input[FMS_ID],FMS_Input[FARMACRE100])</f>
        <v>797.4921875</v>
      </c>
      <c r="AH308" s="255">
        <f>(ASINH(FMS_Ranking4[[#This Row],[Ag Land Raw]]))*(10)/(ASINH(AG$4))</f>
        <v>4.7904162432172006</v>
      </c>
      <c r="AI308" s="260">
        <f>FMS_Ranking4[[#This Row],[Farm &amp; ranch land, ArcSinh (0-10)]]*AG$5*10</f>
        <v>2.3952081216086003</v>
      </c>
      <c r="AJ308" s="258">
        <f>_xlfn.XLOOKUP(FMS_Ranking4[[#This Row],[FMS ID]],FMS_Input[FMS_ID],FMS_Input[REDSTRUCT100])</f>
        <v>0</v>
      </c>
      <c r="AK308" s="253">
        <f>_xlfn.XLOOKUP(FMS_Ranking4[[#This Row],[FMS ID]],FMS_Input[FMS_ID],FMS_Input[REMSTRC100])</f>
        <v>0</v>
      </c>
      <c r="AL308" s="259">
        <f>(ASINH(FMS_Ranking4[[#This Row],[Structures Removed Raw]]))*(10)/(ASINH(AK$4))</f>
        <v>0</v>
      </c>
      <c r="AM308" s="262">
        <f>FMS_Ranking4[[#This Row],[Structures removed, ArcSinh (0-10)]]*AK$5*10</f>
        <v>0</v>
      </c>
      <c r="AN308" s="253">
        <f>_xlfn.XLOOKUP(FMS_Ranking4[[#This Row],[FMS ID]],FMS_Input[FMS_ID],FMS_Input[REMRESSTRC100])</f>
        <v>0</v>
      </c>
      <c r="AO308" s="261">
        <f>FMS_Ranking4[[#This Row],[ArcSinh Res struct removed 0-10]]*AN$5*10</f>
        <v>0</v>
      </c>
      <c r="AP308" s="260">
        <f>ASINH(FMS_Ranking4[[#This Row],[Residential Structures Removed Raw]])/AP$4*AN$5*100</f>
        <v>0</v>
      </c>
      <c r="AQ308" s="254">
        <f>(ASINH(FMS_Ranking4[[#This Row],[Residential Structures Removed Raw]]))*(10)/(ASINH(AN$4))</f>
        <v>0</v>
      </c>
      <c r="AR308" s="253">
        <f>_xlfn.XLOOKUP(FMS_Ranking4[[#This Row],[FMS ID]],FMS_Input[FMS_ID],FMS_Input[REMPOP100])</f>
        <v>0</v>
      </c>
      <c r="AS308" s="259">
        <f>(ASINH(FMS_Ranking4[[#This Row],[Removed Pop Raw]]))*(10)/(ASINH(AR$4))</f>
        <v>0</v>
      </c>
      <c r="AT308" s="262">
        <f>FMS_Ranking4[[#This Row],[Removed population, ArcSinh (0-10)]]*AR$5*10</f>
        <v>0</v>
      </c>
      <c r="AU308" s="264">
        <f>_xlfn.XLOOKUP(FMS_Ranking4[[#This Row],[FMS ID]],FMS_Input[FMS_ID],FMS_Input[REMCRITFAC100])</f>
        <v>0</v>
      </c>
      <c r="AV308" s="264">
        <f>_xlfn.XLOOKUP(FMS_Ranking4[[#This Row],[FMS ID]],FMS_Input[FMS_ID],FMS_Input[REMLWC100])</f>
        <v>0</v>
      </c>
      <c r="AW308" s="264">
        <f>_xlfn.XLOOKUP(FMS_Ranking4[[#This Row],[FMS ID]],FMS_Input[FMS_ID],FMS_Input[REMROADCLS])</f>
        <v>0</v>
      </c>
      <c r="AX308" s="264">
        <f>_xlfn.XLOOKUP(FMS_Ranking4[[#This Row],[FMS ID]],FMS_Input[FMS_ID],FMS_Input[REMFRMACRE100])</f>
        <v>0</v>
      </c>
      <c r="AY308" s="258">
        <f>_xlfn.XLOOKUP(FMS_Ranking4[[#This Row],[FMS ID]],FMS_Input[FMS_ID],FMS_Input[COSTSTRUCT])</f>
        <v>0</v>
      </c>
      <c r="AZ308" s="253">
        <f>_xlfn.XLOOKUP(FMS_Ranking4[[#This Row],[FMS ID]],FMS_Input[FMS_ID],FMS_Input[NATURE])</f>
        <v>0</v>
      </c>
      <c r="BA308" s="262">
        <f>(((FMS_Ranking4[[#This Row],[% NBS Raw]]/AZ$4)*100)*AZ$5)</f>
        <v>0</v>
      </c>
      <c r="BB308" s="251" t="str">
        <f>_xlfn.XLOOKUP(FMS_Ranking4[[#This Row],[FMS ID]],FMS_Input[FMS_ID],FMS_Input[WATER_SUP])</f>
        <v>No</v>
      </c>
      <c r="BC308" s="265">
        <f>IF(FMS_Ranking4[[#This Row],[Water Supply Raw]]="Yes",10,0)</f>
        <v>0</v>
      </c>
      <c r="BD308" s="266">
        <f>_xlfn.XLOOKUP(FMS_Ranking4[[#This Row],[FMS Type]],FMS_TYPE[FMS_Type],FMS_TYPE[Score])</f>
        <v>2</v>
      </c>
      <c r="BE308" s="267">
        <f>FMS_Ranking4[[#This Row],[FMS_Type Score]]*$BD$5*10</f>
        <v>0.5</v>
      </c>
      <c r="BF30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0.52771213682372764</v>
      </c>
      <c r="BG308" s="271">
        <f>_xlfn.RANK.EQ(BF308,$BF$8:$BF$870,0)+COUNTIF($BF$8:BF308,BF308)-1</f>
        <v>212</v>
      </c>
      <c r="BH308" s="268">
        <f>(((FMS_Ranking4[[#This Row],[Structures Removed Raw]]/AK$4)*100)*AK$5)+(((FMS_Ranking4[[#This Row],[Removed Pop Raw]]/AR$4)*100)*AR$5)</f>
        <v>0</v>
      </c>
      <c r="BI30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1.0277121368237276</v>
      </c>
      <c r="BJ308" s="205">
        <f>_xlfn.RANK.EQ(FMS_Ranking4[[#This Row],[Total Score 
(with linear
normalization)]],FMS_Ranking4[Total Score 
(with linear
normalization)],0)</f>
        <v>713</v>
      </c>
      <c r="BK308" s="205" t="e">
        <f>_xlfn.XLOOKUP(FMS_Ranking4[[#This Row],[FMS ID]],#REF!,#REF!)</f>
        <v>#REF!</v>
      </c>
      <c r="BL30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26.185802972216891</v>
      </c>
      <c r="BM308" s="272">
        <f>FMS_Ranking4[[#This Row],[ArcSinh Score Based on Normalized Reported Factors]]+FMS_Ranking4[[#This Row],[% NBS Score (Normalized)]]+(FMS_Ranking4[[#This Row],[Water Supply Score (Normalized)]]*10*$BB$5)+FMS_Ranking4[[#This Row],[FMS_Type Score Weighted]]</f>
        <v>26.685802972216891</v>
      </c>
      <c r="BN308" s="205">
        <f>_xlfn.RANK.EQ(FMS_Ranking4[[#This Row],[Total Score (with ArcSinh normalization of select criteria)]],FMS_Ranking4[Total Score (with ArcSinh normalization of select criteria)],0)</f>
        <v>301</v>
      </c>
      <c r="BO308" s="270" t="str">
        <f>_xlfn.XLOOKUP(FMS_Ranking4[[#This Row],[FMS ID]],FMS_Input[FMS_ID],FMS_Input[FMS_RANK_YEAR])</f>
        <v>2023 Amended Plan</v>
      </c>
      <c r="BP308" s="204">
        <f>_xlfn.XLOOKUP(FMS_Ranking4[[#This Row],[FMS ID]],Prev_Rank[FMS ID],Prev_Rank[Prev Rank])</f>
        <v>266</v>
      </c>
      <c r="BQ308" s="205" t="e">
        <f>_xlfn.XLOOKUP(FMS_Ranking4[[#This Row],[FMS ID]],#REF!,#REF!)</f>
        <v>#REF!</v>
      </c>
      <c r="BR308" s="199" t="e">
        <f>SUM(#REF!,#REF!,#REF!,#REF!,#REF!,#REF!,#REF!,#REF!,#REF!,FMS_Ranking4[[#This Row],[ArcSinh Res struct removed 0-10]],#REF!)</f>
        <v>#REF!</v>
      </c>
      <c r="BS308" s="199" t="e">
        <f>FMS_Ranking4[[#This Row],[Log Score Based on Normalized Reported Factors]]+FMS_Ranking4[[#This Row],[% NBS Score (Normalized)]]+(FMS_Ranking4[[#This Row],[Water Supply Score (Normalized)]]*10*$BB$5)+(FMS_Ranking4[[#This Row],[FMS_Type Score Weighted]])</f>
        <v>#REF!</v>
      </c>
      <c r="BT308" s="200" t="e">
        <f>_xlfn.RANK.EQ(FMS_Ranking4[[#This Row],[Log Total Score]],FMS_Ranking4[Log Total Score],0)</f>
        <v>#REF!</v>
      </c>
      <c r="BU308" s="200" t="e">
        <f>_xlfn.XLOOKUP(FMS_Ranking4[[#This Row],[FMS ID]],#REF!,#REF!)</f>
        <v>#REF!</v>
      </c>
      <c r="BV308" s="200">
        <f>FMS_Ranking4[[#This Row],[Region Number]]</f>
        <v>3</v>
      </c>
      <c r="BW308" s="200">
        <f>FMS_Ranking4[[#This Row],[Rank (with ArcSinh normalization of select criteria)]]-FMS_Ranking4[[#This Row],[Rank
(with linear
normalization)]]</f>
        <v>-412</v>
      </c>
      <c r="BX308" s="200" t="e">
        <f>FMS_Ranking4[[#This Row],[Log Rank]]-FMS_Ranking4[[#This Row],[Rank
(with linear
normalization)]]</f>
        <v>#REF!</v>
      </c>
      <c r="BY308" s="200" t="str">
        <f>IF(FMS_Ranking4[[#This Row],[FMS Type]]="Flood Measurement and Warning",FMS_Ranking4[[#This Row],[Rank (with ArcSinh normalization of select criteria)]],"")</f>
        <v/>
      </c>
      <c r="BZ308" s="200" t="str">
        <f>IF(FMS_Ranking4[[#This Row],[FMS Type]]="Regulatory and Guidance",FMS_Ranking4[[#This Row],[Rank (with ArcSinh normalization of select criteria)]],"")</f>
        <v/>
      </c>
      <c r="CA308" s="200" t="str">
        <f>IF(FMS_Ranking4[[#This Row],[FMS Type]]="Education and Outreach",FMS_Ranking4[[#This Row],[Rank (with ArcSinh normalization of select criteria)]],"")</f>
        <v/>
      </c>
      <c r="CB308" s="200" t="str">
        <f>IF(FMS_Ranking4[[#This Row],[FMS Type]]="Property Acquisition and Structural Elevation",FMS_Ranking4[[#This Row],[Rank (with ArcSinh normalization of select criteria)]],"")</f>
        <v/>
      </c>
      <c r="CC308" s="200" t="str">
        <f>IF(FMS_Ranking4[[#This Row],[FMS Type]]="Infrastructure Projects",FMS_Ranking4[[#This Row],[Rank (with ArcSinh normalization of select criteria)]],"")</f>
        <v/>
      </c>
      <c r="CD308" s="200">
        <f>IF(FMS_Ranking4[[#This Row],[FMS Type]]="Other",FMS_Ranking4[[#This Row],[Rank (with ArcSinh normalization of select criteria)]],"")</f>
        <v>301</v>
      </c>
      <c r="CE308" s="201"/>
      <c r="CF308" s="206"/>
      <c r="CG308" s="206"/>
      <c r="CH308" s="206"/>
      <c r="CI308" s="206"/>
      <c r="CJ308" s="206"/>
      <c r="CK308" s="206"/>
      <c r="CL308" s="206"/>
      <c r="CM308" s="206"/>
      <c r="CN308" s="206"/>
      <c r="CO308" s="206"/>
      <c r="CP308" s="206"/>
      <c r="CQ308" s="206"/>
      <c r="CR308" s="206"/>
    </row>
    <row r="309" spans="2:96" ht="75" x14ac:dyDescent="0.25">
      <c r="B309" s="341" t="s">
        <v>1840</v>
      </c>
      <c r="C309" s="246">
        <f>_xlfn.XLOOKUP(FMS_Ranking4[[#This Row],[FMS ID]],FMS_Input[FMS_ID],FMS_Input[RFPG_NUM])</f>
        <v>3</v>
      </c>
      <c r="D309" s="309" t="str">
        <f>_xlfn.XLOOKUP(FMS_Ranking4[[#This Row],[FMS ID]],FMS_Input[FMS_ID],FMS_Input[FMS_NAME])</f>
        <v>Kaufman County Flood Education Program</v>
      </c>
      <c r="E309" s="308" t="str">
        <f>_xlfn.XLOOKUP(FMS_Ranking4[[#This Row],[FMS ID]],FMS_Input[FMS_ID],FMS_Input[SPONSOR])</f>
        <v>Kaufman County</v>
      </c>
      <c r="F309" s="309" t="str">
        <f>_xlfn.XLOOKUP(FMS_Ranking4[[#This Row],[FMS ID]],Sponsor[FMS_ID],Sponsor[SPONSOR NAME])</f>
        <v>Kaufman County</v>
      </c>
      <c r="G309" s="309" t="str">
        <f>_xlfn.XLOOKUP(FMS_Ranking4[[#This Row],[FMS ID]],FMS_Input[FMS_ID],FMS_Input[FMS_DESCR])</f>
        <v>Conduct countywide outreach to educate residents on flood hazards, mitigation techniques and promote availability of NFIP flood insurance.</v>
      </c>
      <c r="H309" s="248" t="str">
        <f>_xlfn.XLOOKUP(FMS_Ranking4[[#This Row],[FMS ID]],FMS_Input[FMS_ID],FMS_Input[FMS_TYPE])</f>
        <v>Education and Outreach</v>
      </c>
      <c r="I309" s="249">
        <f>_xlfn.XLOOKUP(FMS_Ranking4[[#This Row],[FMS ID]],FMS_Input[FMS_ID],FMS_Input[NRNC_COST])</f>
        <v>50000</v>
      </c>
      <c r="J309" s="250">
        <f>_xlfn.XLOOKUP(FMS_Ranking4[[#This Row],[FMS ID]],FMS_Input[FMS_ID],FMS_Input[FMS_COST])</f>
        <v>50000</v>
      </c>
      <c r="K309" s="251" t="str">
        <f>_xlfn.XLOOKUP(FMS_Ranking4[[#This Row],[FMS ID]],FMS_Input[FMS_ID],FMS_Input[EMER_NEED])</f>
        <v>No</v>
      </c>
      <c r="L309" s="252">
        <f t="shared" si="4"/>
        <v>0</v>
      </c>
      <c r="M309" s="253">
        <f>_xlfn.XLOOKUP(FMS_Ranking4[[#This Row],[FMS ID]],FMS_Input[FMS_ID],FMS_Input[STRUCT_100])</f>
        <v>2086</v>
      </c>
      <c r="N309" s="255">
        <f>(ASINH(FMS_Ranking4[[#This Row],[Structure at Risk Raw]]))*(10)/(ASINH(M$4))</f>
        <v>6.5534557857347613</v>
      </c>
      <c r="O309" s="256">
        <f>FMS_Ranking4[[#This Row],[Structures at risk, ArcSinh (0-10)]]*M$5*10</f>
        <v>6.5534557857347622</v>
      </c>
      <c r="P309" s="253">
        <f>_xlfn.XLOOKUP(FMS_Ranking4[[#This Row],[FMS ID]],FMS_Input[FMS_ID],FMS_Input[RES_STRUCT100])</f>
        <v>1672</v>
      </c>
      <c r="Q309" s="257">
        <f>ASINH(FMS_Ranking4[[#This Row],[Res Structure Raw]])/Q$4*P$5*100</f>
        <v>0</v>
      </c>
      <c r="R309" s="253">
        <f>_xlfn.XLOOKUP(FMS_Ranking4[[#This Row],[FMS ID]],FMS_Input[FMS_ID],FMS_Input[POP100])</f>
        <v>3820</v>
      </c>
      <c r="S309" s="259">
        <f>(ASINH(FMS_Ranking4[[#This Row],[Pop at Risk Raw]]))*(10)/(ASINH(R$4))</f>
        <v>6.1725983818064165</v>
      </c>
      <c r="T309" s="256">
        <f>FMS_Ranking4[[#This Row],[Population at risk, ArcSinh (0-10)]]*R$5*10</f>
        <v>6.1725983818064165</v>
      </c>
      <c r="U309" s="253">
        <f>_xlfn.XLOOKUP(FMS_Ranking4[[#This Row],[FMS ID]],FMS_Input[FMS_ID],FMS_Input[CRITFAC100])</f>
        <v>0</v>
      </c>
      <c r="V309" s="259">
        <f>(ASINH(FMS_Ranking4[[#This Row],[Critical Facilities Raw]]))*(10)/(ASINH(U$4))</f>
        <v>0</v>
      </c>
      <c r="W309" s="256">
        <f>FMS_Ranking4[[#This Row],[Critical facilities at risk, ArcSinh (0-10)]]*U$5*10</f>
        <v>0</v>
      </c>
      <c r="X309" s="253">
        <f>_xlfn.XLOOKUP(FMS_Ranking4[[#This Row],[FMS ID]],FMS_Input[FMS_ID],FMS_Input[LWC])</f>
        <v>3</v>
      </c>
      <c r="Y309" s="259">
        <f>(ASINH(FMS_Ranking4[[#This Row],[LWC Raw]]))*(10)/(ASINH(X$4))</f>
        <v>2.4635181155638843</v>
      </c>
      <c r="Z309" s="256">
        <f>FMS_Ranking4[[#This Row],[LWC, ArcSInh (0-10)]]*X$5*10</f>
        <v>2.4635181155638843</v>
      </c>
      <c r="AA309" s="253">
        <f>_xlfn.XLOOKUP(FMS_Ranking4[[#This Row],[FMS ID]],FMS_Input[FMS_ID],FMS_Input[ROADCLS])</f>
        <v>0</v>
      </c>
      <c r="AB309" s="255">
        <f>(ASINH(FMS_Ranking4[[#This Row],[Road Closures Raw]]))*(10)/(ASINH(AA$4))</f>
        <v>0</v>
      </c>
      <c r="AC309" s="256">
        <f>FMS_Ranking4[[#This Row],[Road closures, ArcSinh (0-10)]]*AA$5*10</f>
        <v>0</v>
      </c>
      <c r="AD309" s="253">
        <f>_xlfn.XLOOKUP(FMS_Ranking4[[#This Row],[FMS ID]],FMS_Input[FMS_ID],FMS_Input[ROAD_MILES100])</f>
        <v>148</v>
      </c>
      <c r="AE309" s="259">
        <f>(ASINH(FMS_Ranking4[[#This Row],[Road Miles Raw]]))*(10)/(ASINH(AD$4))</f>
        <v>6.0643697858517598</v>
      </c>
      <c r="AF309" s="256">
        <f>FMS_Ranking4[[#This Row],[Length of roads at risk, ArcSinh (0-10)]]*AD$5*10</f>
        <v>6.0643697858517598</v>
      </c>
      <c r="AG309" s="253">
        <f>_xlfn.XLOOKUP(FMS_Ranking4[[#This Row],[FMS ID]],FMS_Input[FMS_ID],FMS_Input[FARMACRE100])</f>
        <v>88117.9765625</v>
      </c>
      <c r="AH309" s="255">
        <f>(ASINH(FMS_Ranking4[[#This Row],[Ag Land Raw]]))*(10)/(ASINH(AG$4))</f>
        <v>7.8466706878409394</v>
      </c>
      <c r="AI309" s="260">
        <f>FMS_Ranking4[[#This Row],[Farm &amp; ranch land, ArcSinh (0-10)]]*AG$5*10</f>
        <v>3.9233353439204697</v>
      </c>
      <c r="AJ309" s="258">
        <f>_xlfn.XLOOKUP(FMS_Ranking4[[#This Row],[FMS ID]],FMS_Input[FMS_ID],FMS_Input[REDSTRUCT100])</f>
        <v>0</v>
      </c>
      <c r="AK309" s="253">
        <f>_xlfn.XLOOKUP(FMS_Ranking4[[#This Row],[FMS ID]],FMS_Input[FMS_ID],FMS_Input[REMSTRC100])</f>
        <v>0</v>
      </c>
      <c r="AL309" s="259">
        <f>(ASINH(FMS_Ranking4[[#This Row],[Structures Removed Raw]]))*(10)/(ASINH(AK$4))</f>
        <v>0</v>
      </c>
      <c r="AM309" s="262">
        <f>FMS_Ranking4[[#This Row],[Structures removed, ArcSinh (0-10)]]*AK$5*10</f>
        <v>0</v>
      </c>
      <c r="AN309" s="253">
        <f>_xlfn.XLOOKUP(FMS_Ranking4[[#This Row],[FMS ID]],FMS_Input[FMS_ID],FMS_Input[REMRESSTRC100])</f>
        <v>0</v>
      </c>
      <c r="AO309" s="261">
        <f>FMS_Ranking4[[#This Row],[ArcSinh Res struct removed 0-10]]*AN$5*10</f>
        <v>0</v>
      </c>
      <c r="AP309" s="260">
        <f>ASINH(FMS_Ranking4[[#This Row],[Residential Structures Removed Raw]])/AP$4*AN$5*100</f>
        <v>0</v>
      </c>
      <c r="AQ309" s="254">
        <f>(ASINH(FMS_Ranking4[[#This Row],[Residential Structures Removed Raw]]))*(10)/(ASINH(AN$4))</f>
        <v>0</v>
      </c>
      <c r="AR309" s="253">
        <f>_xlfn.XLOOKUP(FMS_Ranking4[[#This Row],[FMS ID]],FMS_Input[FMS_ID],FMS_Input[REMPOP100])</f>
        <v>0</v>
      </c>
      <c r="AS309" s="259">
        <f>(ASINH(FMS_Ranking4[[#This Row],[Removed Pop Raw]]))*(10)/(ASINH(AR$4))</f>
        <v>0</v>
      </c>
      <c r="AT309" s="262">
        <f>FMS_Ranking4[[#This Row],[Removed population, ArcSinh (0-10)]]*AR$5*10</f>
        <v>0</v>
      </c>
      <c r="AU309" s="264">
        <f>_xlfn.XLOOKUP(FMS_Ranking4[[#This Row],[FMS ID]],FMS_Input[FMS_ID],FMS_Input[REMCRITFAC100])</f>
        <v>0</v>
      </c>
      <c r="AV309" s="264">
        <f>_xlfn.XLOOKUP(FMS_Ranking4[[#This Row],[FMS ID]],FMS_Input[FMS_ID],FMS_Input[REMLWC100])</f>
        <v>0</v>
      </c>
      <c r="AW309" s="264">
        <f>_xlfn.XLOOKUP(FMS_Ranking4[[#This Row],[FMS ID]],FMS_Input[FMS_ID],FMS_Input[REMROADCLS])</f>
        <v>0</v>
      </c>
      <c r="AX309" s="264">
        <f>_xlfn.XLOOKUP(FMS_Ranking4[[#This Row],[FMS ID]],FMS_Input[FMS_ID],FMS_Input[REMFRMACRE100])</f>
        <v>0</v>
      </c>
      <c r="AY309" s="258">
        <f>_xlfn.XLOOKUP(FMS_Ranking4[[#This Row],[FMS ID]],FMS_Input[FMS_ID],FMS_Input[COSTSTRUCT])</f>
        <v>0</v>
      </c>
      <c r="AZ309" s="253">
        <f>_xlfn.XLOOKUP(FMS_Ranking4[[#This Row],[FMS ID]],FMS_Input[FMS_ID],FMS_Input[NATURE])</f>
        <v>0</v>
      </c>
      <c r="BA309" s="262">
        <f>(((FMS_Ranking4[[#This Row],[% NBS Raw]]/AZ$4)*100)*AZ$5)</f>
        <v>0</v>
      </c>
      <c r="BB309" s="251" t="str">
        <f>_xlfn.XLOOKUP(FMS_Ranking4[[#This Row],[FMS ID]],FMS_Input[FMS_ID],FMS_Input[WATER_SUP])</f>
        <v>No</v>
      </c>
      <c r="BC309" s="265">
        <f>IF(FMS_Ranking4[[#This Row],[Water Supply Raw]]="Yes",10,0)</f>
        <v>0</v>
      </c>
      <c r="BD309" s="266">
        <f>_xlfn.XLOOKUP(FMS_Ranking4[[#This Row],[FMS Type]],FMS_TYPE[FMS_Type],FMS_TYPE[Score])</f>
        <v>6</v>
      </c>
      <c r="BE309" s="267">
        <f>FMS_Ranking4[[#This Row],[FMS_Type Score]]*$BD$5*10</f>
        <v>1.5000000000000002</v>
      </c>
      <c r="BF30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0.63187825110215612</v>
      </c>
      <c r="BG309" s="269">
        <f>_xlfn.RANK.EQ(BF309,$BF$8:$BF$870,0)+COUNTIF($BF$8:BF309,BF309)-1</f>
        <v>190</v>
      </c>
      <c r="BH309" s="268">
        <f>(((FMS_Ranking4[[#This Row],[Structures Removed Raw]]/AK$4)*100)*AK$5)+(((FMS_Ranking4[[#This Row],[Removed Pop Raw]]/AR$4)*100)*AR$5)</f>
        <v>0</v>
      </c>
      <c r="BI30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2.1318782511021563</v>
      </c>
      <c r="BJ309" s="204">
        <f>_xlfn.RANK.EQ(FMS_Ranking4[[#This Row],[Total Score 
(with linear
normalization)]],FMS_Ranking4[Total Score 
(with linear
normalization)],0)</f>
        <v>351</v>
      </c>
      <c r="BK309" s="204" t="e">
        <f>_xlfn.XLOOKUP(FMS_Ranking4[[#This Row],[FMS ID]],#REF!,#REF!)</f>
        <v>#REF!</v>
      </c>
      <c r="BL309"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25.177277412877295</v>
      </c>
      <c r="BM309" s="270">
        <f>FMS_Ranking4[[#This Row],[ArcSinh Score Based on Normalized Reported Factors]]+FMS_Ranking4[[#This Row],[% NBS Score (Normalized)]]+(FMS_Ranking4[[#This Row],[Water Supply Score (Normalized)]]*10*$BB$5)+FMS_Ranking4[[#This Row],[FMS_Type Score Weighted]]</f>
        <v>26.677277412877295</v>
      </c>
      <c r="BN309" s="204">
        <f>_xlfn.RANK.EQ(FMS_Ranking4[[#This Row],[Total Score (with ArcSinh normalization of select criteria)]],FMS_Ranking4[Total Score (with ArcSinh normalization of select criteria)],0)</f>
        <v>302</v>
      </c>
      <c r="BO309" s="270" t="str">
        <f>_xlfn.XLOOKUP(FMS_Ranking4[[#This Row],[FMS ID]],FMS_Input[FMS_ID],FMS_Input[FMS_RANK_YEAR])</f>
        <v>2023 Amended Plan</v>
      </c>
      <c r="BP309" s="204">
        <f>_xlfn.XLOOKUP(FMS_Ranking4[[#This Row],[FMS ID]],Prev_Rank[FMS ID],Prev_Rank[Prev Rank])</f>
        <v>264</v>
      </c>
      <c r="BQ309" s="204" t="e">
        <f>_xlfn.XLOOKUP(FMS_Ranking4[[#This Row],[FMS ID]],#REF!,#REF!)</f>
        <v>#REF!</v>
      </c>
      <c r="BR309" s="199" t="e">
        <f>SUM(#REF!,#REF!,#REF!,#REF!,#REF!,#REF!,#REF!,#REF!,#REF!,FMS_Ranking4[[#This Row],[ArcSinh Res struct removed 0-10]],#REF!)</f>
        <v>#REF!</v>
      </c>
      <c r="BS309" s="199" t="e">
        <f>FMS_Ranking4[[#This Row],[Log Score Based on Normalized Reported Factors]]+FMS_Ranking4[[#This Row],[% NBS Score (Normalized)]]+(FMS_Ranking4[[#This Row],[Water Supply Score (Normalized)]]*10*$BB$5)+(FMS_Ranking4[[#This Row],[FMS_Type Score Weighted]])</f>
        <v>#REF!</v>
      </c>
      <c r="BT309" s="200" t="e">
        <f>_xlfn.RANK.EQ(FMS_Ranking4[[#This Row],[Log Total Score]],FMS_Ranking4[Log Total Score],0)</f>
        <v>#REF!</v>
      </c>
      <c r="BU309" s="200" t="e">
        <f>_xlfn.XLOOKUP(FMS_Ranking4[[#This Row],[FMS ID]],#REF!,#REF!)</f>
        <v>#REF!</v>
      </c>
      <c r="BV309" s="200">
        <f>FMS_Ranking4[[#This Row],[Region Number]]</f>
        <v>3</v>
      </c>
      <c r="BW309" s="200">
        <f>FMS_Ranking4[[#This Row],[Rank (with ArcSinh normalization of select criteria)]]-FMS_Ranking4[[#This Row],[Rank
(with linear
normalization)]]</f>
        <v>-49</v>
      </c>
      <c r="BX309" s="200" t="e">
        <f>FMS_Ranking4[[#This Row],[Log Rank]]-FMS_Ranking4[[#This Row],[Rank
(with linear
normalization)]]</f>
        <v>#REF!</v>
      </c>
      <c r="BY309" s="200" t="str">
        <f>IF(FMS_Ranking4[[#This Row],[FMS Type]]="Flood Measurement and Warning",FMS_Ranking4[[#This Row],[Rank (with ArcSinh normalization of select criteria)]],"")</f>
        <v/>
      </c>
      <c r="BZ309" s="200" t="str">
        <f>IF(FMS_Ranking4[[#This Row],[FMS Type]]="Regulatory and Guidance",FMS_Ranking4[[#This Row],[Rank (with ArcSinh normalization of select criteria)]],"")</f>
        <v/>
      </c>
      <c r="CA309" s="200">
        <f>IF(FMS_Ranking4[[#This Row],[FMS Type]]="Education and Outreach",FMS_Ranking4[[#This Row],[Rank (with ArcSinh normalization of select criteria)]],"")</f>
        <v>302</v>
      </c>
      <c r="CB309" s="200" t="str">
        <f>IF(FMS_Ranking4[[#This Row],[FMS Type]]="Property Acquisition and Structural Elevation",FMS_Ranking4[[#This Row],[Rank (with ArcSinh normalization of select criteria)]],"")</f>
        <v/>
      </c>
      <c r="CC309" s="200" t="str">
        <f>IF(FMS_Ranking4[[#This Row],[FMS Type]]="Infrastructure Projects",FMS_Ranking4[[#This Row],[Rank (with ArcSinh normalization of select criteria)]],"")</f>
        <v/>
      </c>
      <c r="CD309" s="200" t="str">
        <f>IF(FMS_Ranking4[[#This Row],[FMS Type]]="Other",FMS_Ranking4[[#This Row],[Rank (with ArcSinh normalization of select criteria)]],"")</f>
        <v/>
      </c>
      <c r="CE309" s="201"/>
      <c r="CF309" s="206"/>
      <c r="CG309" s="206"/>
      <c r="CH309" s="206"/>
      <c r="CI309" s="206"/>
      <c r="CJ309" s="206"/>
      <c r="CK309" s="206"/>
      <c r="CL309" s="206"/>
      <c r="CM309" s="206"/>
      <c r="CN309" s="206"/>
      <c r="CO309" s="206"/>
      <c r="CP309" s="206"/>
      <c r="CQ309" s="206"/>
      <c r="CR309" s="206"/>
    </row>
    <row r="310" spans="2:96" ht="30" x14ac:dyDescent="0.25">
      <c r="B310" s="341" t="s">
        <v>1439</v>
      </c>
      <c r="C310" s="246">
        <f>_xlfn.XLOOKUP(FMS_Ranking4[[#This Row],[FMS ID]],FMS_Input[FMS_ID],FMS_Input[RFPG_NUM])</f>
        <v>1</v>
      </c>
      <c r="D310" s="309" t="str">
        <f>_xlfn.XLOOKUP(FMS_Ranking4[[#This Row],[FMS ID]],FMS_Input[FMS_ID],FMS_Input[FMS_NAME])</f>
        <v>Deaf Smith County NFIP Involvement</v>
      </c>
      <c r="E310" s="308" t="str">
        <f>_xlfn.XLOOKUP(FMS_Ranking4[[#This Row],[FMS ID]],FMS_Input[FMS_ID],FMS_Input[SPONSOR])</f>
        <v>01000244</v>
      </c>
      <c r="F310" s="309" t="str">
        <f>_xlfn.XLOOKUP(FMS_Ranking4[[#This Row],[FMS ID]],Sponsor[FMS_ID],Sponsor[SPONSOR NAME])</f>
        <v>Deaf Smith</v>
      </c>
      <c r="G310" s="309" t="str">
        <f>_xlfn.XLOOKUP(FMS_Ranking4[[#This Row],[FMS ID]],FMS_Input[FMS_ID],FMS_Input[FMS_DESCR])</f>
        <v>Application to join NFIP or adopt equivalent standards</v>
      </c>
      <c r="H310" s="248" t="str">
        <f>_xlfn.XLOOKUP(FMS_Ranking4[[#This Row],[FMS ID]],FMS_Input[FMS_ID],FMS_Input[FMS_TYPE])</f>
        <v>Regulatory and Guidance</v>
      </c>
      <c r="I310" s="249">
        <f>_xlfn.XLOOKUP(FMS_Ranking4[[#This Row],[FMS ID]],FMS_Input[FMS_ID],FMS_Input[NRNC_COST])</f>
        <v>100000</v>
      </c>
      <c r="J310" s="250">
        <f>_xlfn.XLOOKUP(FMS_Ranking4[[#This Row],[FMS ID]],FMS_Input[FMS_ID],FMS_Input[FMS_COST])</f>
        <v>100000</v>
      </c>
      <c r="K310" s="251" t="str">
        <f>_xlfn.XLOOKUP(FMS_Ranking4[[#This Row],[FMS ID]],FMS_Input[FMS_ID],FMS_Input[EMER_NEED])</f>
        <v>No</v>
      </c>
      <c r="L310" s="252">
        <f t="shared" si="4"/>
        <v>0</v>
      </c>
      <c r="M310" s="253">
        <f>_xlfn.XLOOKUP(FMS_Ranking4[[#This Row],[FMS ID]],FMS_Input[FMS_ID],FMS_Input[STRUCT_100])</f>
        <v>120</v>
      </c>
      <c r="N310" s="255">
        <f>(ASINH(FMS_Ranking4[[#This Row],[Structure at Risk Raw]]))*(10)/(ASINH(M$4))</f>
        <v>4.3086118736012287</v>
      </c>
      <c r="O310" s="256">
        <f>FMS_Ranking4[[#This Row],[Structures at risk, ArcSinh (0-10)]]*M$5*10</f>
        <v>4.3086118736012295</v>
      </c>
      <c r="P310" s="253">
        <f>_xlfn.XLOOKUP(FMS_Ranking4[[#This Row],[FMS ID]],FMS_Input[FMS_ID],FMS_Input[RES_STRUCT100])</f>
        <v>45</v>
      </c>
      <c r="Q310" s="257">
        <f>ASINH(FMS_Ranking4[[#This Row],[Res Structure Raw]])/Q$4*P$5*100</f>
        <v>0</v>
      </c>
      <c r="R310" s="253">
        <f>_xlfn.XLOOKUP(FMS_Ranking4[[#This Row],[FMS ID]],FMS_Input[FMS_ID],FMS_Input[POP100])</f>
        <v>271</v>
      </c>
      <c r="S310" s="259">
        <f>(ASINH(FMS_Ranking4[[#This Row],[Pop at Risk Raw]]))*(10)/(ASINH(R$4))</f>
        <v>4.3459909681885733</v>
      </c>
      <c r="T310" s="256">
        <f>FMS_Ranking4[[#This Row],[Population at risk, ArcSinh (0-10)]]*R$5*10</f>
        <v>4.3459909681885733</v>
      </c>
      <c r="U310" s="253">
        <f>_xlfn.XLOOKUP(FMS_Ranking4[[#This Row],[FMS ID]],FMS_Input[FMS_ID],FMS_Input[CRITFAC100])</f>
        <v>0</v>
      </c>
      <c r="V310" s="259">
        <f>(ASINH(FMS_Ranking4[[#This Row],[Critical Facilities Raw]]))*(10)/(ASINH(U$4))</f>
        <v>0</v>
      </c>
      <c r="W310" s="256">
        <f>FMS_Ranking4[[#This Row],[Critical facilities at risk, ArcSinh (0-10)]]*U$5*10</f>
        <v>0</v>
      </c>
      <c r="X310" s="253">
        <f>_xlfn.XLOOKUP(FMS_Ranking4[[#This Row],[FMS ID]],FMS_Input[FMS_ID],FMS_Input[LWC])</f>
        <v>18</v>
      </c>
      <c r="Y310" s="259">
        <f>(ASINH(FMS_Ranking4[[#This Row],[LWC Raw]]))*(10)/(ASINH(X$4))</f>
        <v>4.8557725986155553</v>
      </c>
      <c r="Z310" s="256">
        <f>FMS_Ranking4[[#This Row],[LWC, ArcSInh (0-10)]]*X$5*10</f>
        <v>4.8557725986155553</v>
      </c>
      <c r="AA310" s="253">
        <f>_xlfn.XLOOKUP(FMS_Ranking4[[#This Row],[FMS ID]],FMS_Input[FMS_ID],FMS_Input[ROADCLS])</f>
        <v>25</v>
      </c>
      <c r="AB310" s="255">
        <f>(ASINH(FMS_Ranking4[[#This Row],[Road Closures Raw]]))*(10)/(ASINH(AA$4))</f>
        <v>4.0744292160615396</v>
      </c>
      <c r="AC310" s="256">
        <f>FMS_Ranking4[[#This Row],[Road closures, ArcSinh (0-10)]]*AA$5*10</f>
        <v>2.0372146080307698</v>
      </c>
      <c r="AD310" s="253">
        <f>_xlfn.XLOOKUP(FMS_Ranking4[[#This Row],[FMS ID]],FMS_Input[FMS_ID],FMS_Input[ROAD_MILES100])</f>
        <v>76</v>
      </c>
      <c r="AE310" s="259">
        <f>(ASINH(FMS_Ranking4[[#This Row],[Road Miles Raw]]))*(10)/(ASINH(AD$4))</f>
        <v>5.3541205681913837</v>
      </c>
      <c r="AF310" s="256">
        <f>FMS_Ranking4[[#This Row],[Length of roads at risk, ArcSinh (0-10)]]*AD$5*10</f>
        <v>5.3541205681913837</v>
      </c>
      <c r="AG310" s="253">
        <f>_xlfn.XLOOKUP(FMS_Ranking4[[#This Row],[FMS ID]],FMS_Input[FMS_ID],FMS_Input[FARMACRE100])</f>
        <v>54135.296875</v>
      </c>
      <c r="AH310" s="255">
        <f>(ASINH(FMS_Ranking4[[#This Row],[Ag Land Raw]]))*(10)/(ASINH(AG$4))</f>
        <v>7.5302009952782569</v>
      </c>
      <c r="AI310" s="260">
        <f>FMS_Ranking4[[#This Row],[Farm &amp; ranch land, ArcSinh (0-10)]]*AG$5*10</f>
        <v>3.7651004976391289</v>
      </c>
      <c r="AJ310" s="258">
        <f>_xlfn.XLOOKUP(FMS_Ranking4[[#This Row],[FMS ID]],FMS_Input[FMS_ID],FMS_Input[REDSTRUCT100])</f>
        <v>0</v>
      </c>
      <c r="AK310" s="253">
        <f>_xlfn.XLOOKUP(FMS_Ranking4[[#This Row],[FMS ID]],FMS_Input[FMS_ID],FMS_Input[REMSTRC100])</f>
        <v>0</v>
      </c>
      <c r="AL310" s="259">
        <f>(ASINH(FMS_Ranking4[[#This Row],[Structures Removed Raw]]))*(10)/(ASINH(AK$4))</f>
        <v>0</v>
      </c>
      <c r="AM310" s="262">
        <f>FMS_Ranking4[[#This Row],[Structures removed, ArcSinh (0-10)]]*AK$5*10</f>
        <v>0</v>
      </c>
      <c r="AN310" s="253">
        <f>_xlfn.XLOOKUP(FMS_Ranking4[[#This Row],[FMS ID]],FMS_Input[FMS_ID],FMS_Input[REMRESSTRC100])</f>
        <v>0</v>
      </c>
      <c r="AO310" s="261">
        <f>FMS_Ranking4[[#This Row],[ArcSinh Res struct removed 0-10]]*AN$5*10</f>
        <v>0</v>
      </c>
      <c r="AP310" s="260">
        <f>ASINH(FMS_Ranking4[[#This Row],[Residential Structures Removed Raw]])/AP$4*AN$5*100</f>
        <v>0</v>
      </c>
      <c r="AQ310" s="254">
        <f>(ASINH(FMS_Ranking4[[#This Row],[Residential Structures Removed Raw]]))*(10)/(ASINH(AN$4))</f>
        <v>0</v>
      </c>
      <c r="AR310" s="253">
        <f>_xlfn.XLOOKUP(FMS_Ranking4[[#This Row],[FMS ID]],FMS_Input[FMS_ID],FMS_Input[REMPOP100])</f>
        <v>0</v>
      </c>
      <c r="AS310" s="259">
        <f>(ASINH(FMS_Ranking4[[#This Row],[Removed Pop Raw]]))*(10)/(ASINH(AR$4))</f>
        <v>0</v>
      </c>
      <c r="AT310" s="262">
        <f>FMS_Ranking4[[#This Row],[Removed population, ArcSinh (0-10)]]*AR$5*10</f>
        <v>0</v>
      </c>
      <c r="AU310" s="264">
        <f>_xlfn.XLOOKUP(FMS_Ranking4[[#This Row],[FMS ID]],FMS_Input[FMS_ID],FMS_Input[REMCRITFAC100])</f>
        <v>0</v>
      </c>
      <c r="AV310" s="264">
        <f>_xlfn.XLOOKUP(FMS_Ranking4[[#This Row],[FMS ID]],FMS_Input[FMS_ID],FMS_Input[REMLWC100])</f>
        <v>0</v>
      </c>
      <c r="AW310" s="264">
        <f>_xlfn.XLOOKUP(FMS_Ranking4[[#This Row],[FMS ID]],FMS_Input[FMS_ID],FMS_Input[REMROADCLS])</f>
        <v>0</v>
      </c>
      <c r="AX310" s="264">
        <f>_xlfn.XLOOKUP(FMS_Ranking4[[#This Row],[FMS ID]],FMS_Input[FMS_ID],FMS_Input[REMFRMACRE100])</f>
        <v>0</v>
      </c>
      <c r="AY310" s="258">
        <f>_xlfn.XLOOKUP(FMS_Ranking4[[#This Row],[FMS ID]],FMS_Input[FMS_ID],FMS_Input[COSTSTRUCT])</f>
        <v>0</v>
      </c>
      <c r="AZ310" s="253">
        <f>_xlfn.XLOOKUP(FMS_Ranking4[[#This Row],[FMS ID]],FMS_Input[FMS_ID],FMS_Input[NATURE])</f>
        <v>0</v>
      </c>
      <c r="BA310" s="262">
        <f>(((FMS_Ranking4[[#This Row],[% NBS Raw]]/AZ$4)*100)*AZ$5)</f>
        <v>0</v>
      </c>
      <c r="BB310" s="251" t="str">
        <f>_xlfn.XLOOKUP(FMS_Ranking4[[#This Row],[FMS ID]],FMS_Input[FMS_ID],FMS_Input[WATER_SUP])</f>
        <v>No</v>
      </c>
      <c r="BC310" s="265">
        <f>IF(FMS_Ranking4[[#This Row],[Water Supply Raw]]="Yes",10,0)</f>
        <v>0</v>
      </c>
      <c r="BD310" s="266">
        <f>_xlfn.XLOOKUP(FMS_Ranking4[[#This Row],[FMS Type]],FMS_TYPE[FMS_Type],FMS_TYPE[Score])</f>
        <v>8</v>
      </c>
      <c r="BE310" s="267">
        <f>FMS_Ranking4[[#This Row],[FMS_Type Score]]*$BD$5*10</f>
        <v>2</v>
      </c>
      <c r="BF31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0.49047641875792686</v>
      </c>
      <c r="BG310" s="269">
        <f>_xlfn.RANK.EQ(BF310,$BF$8:$BF$870,0)+COUNTIF($BF$8:BF310,BF310)-1</f>
        <v>229</v>
      </c>
      <c r="BH310" s="268">
        <f>(((FMS_Ranking4[[#This Row],[Structures Removed Raw]]/AK$4)*100)*AK$5)+(((FMS_Ranking4[[#This Row],[Removed Pop Raw]]/AR$4)*100)*AR$5)</f>
        <v>0</v>
      </c>
      <c r="BI31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2.4904764187579267</v>
      </c>
      <c r="BJ310" s="204">
        <f>_xlfn.RANK.EQ(FMS_Ranking4[[#This Row],[Total Score 
(with linear
normalization)]],FMS_Ranking4[Total Score 
(with linear
normalization)],0)</f>
        <v>265</v>
      </c>
      <c r="BK310" s="204" t="e">
        <f>_xlfn.XLOOKUP(FMS_Ranking4[[#This Row],[FMS ID]],#REF!,#REF!)</f>
        <v>#REF!</v>
      </c>
      <c r="BL310"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24.66681111426664</v>
      </c>
      <c r="BM310" s="270">
        <f>FMS_Ranking4[[#This Row],[ArcSinh Score Based on Normalized Reported Factors]]+FMS_Ranking4[[#This Row],[% NBS Score (Normalized)]]+(FMS_Ranking4[[#This Row],[Water Supply Score (Normalized)]]*10*$BB$5)+FMS_Ranking4[[#This Row],[FMS_Type Score Weighted]]</f>
        <v>26.66681111426664</v>
      </c>
      <c r="BN310" s="204">
        <f>_xlfn.RANK.EQ(FMS_Ranking4[[#This Row],[Total Score (with ArcSinh normalization of select criteria)]],FMS_Ranking4[Total Score (with ArcSinh normalization of select criteria)],0)</f>
        <v>303</v>
      </c>
      <c r="BO310" s="270" t="str">
        <f>_xlfn.XLOOKUP(FMS_Ranking4[[#This Row],[FMS ID]],FMS_Input[FMS_ID],FMS_Input[FMS_RANK_YEAR])</f>
        <v>2023 Amended Plan</v>
      </c>
      <c r="BP310" s="204">
        <f>_xlfn.XLOOKUP(FMS_Ranking4[[#This Row],[FMS ID]],Prev_Rank[FMS ID],Prev_Rank[Prev Rank])</f>
        <v>272</v>
      </c>
      <c r="BQ310" s="204" t="e">
        <f>_xlfn.XLOOKUP(FMS_Ranking4[[#This Row],[FMS ID]],#REF!,#REF!)</f>
        <v>#REF!</v>
      </c>
      <c r="BR310" s="199" t="e">
        <f>SUM(#REF!,#REF!,#REF!,#REF!,#REF!,#REF!,#REF!,#REF!,#REF!,FMS_Ranking4[[#This Row],[ArcSinh Res struct removed 0-10]],#REF!)</f>
        <v>#REF!</v>
      </c>
      <c r="BS310" s="199" t="e">
        <f>FMS_Ranking4[[#This Row],[Log Score Based on Normalized Reported Factors]]+FMS_Ranking4[[#This Row],[% NBS Score (Normalized)]]+(FMS_Ranking4[[#This Row],[Water Supply Score (Normalized)]]*10*$BB$5)+(FMS_Ranking4[[#This Row],[FMS_Type Score Weighted]])</f>
        <v>#REF!</v>
      </c>
      <c r="BT310" s="200" t="e">
        <f>_xlfn.RANK.EQ(FMS_Ranking4[[#This Row],[Log Total Score]],FMS_Ranking4[Log Total Score],0)</f>
        <v>#REF!</v>
      </c>
      <c r="BU310" s="200" t="e">
        <f>_xlfn.XLOOKUP(FMS_Ranking4[[#This Row],[FMS ID]],#REF!,#REF!)</f>
        <v>#REF!</v>
      </c>
      <c r="BV310" s="200">
        <f>FMS_Ranking4[[#This Row],[Region Number]]</f>
        <v>1</v>
      </c>
      <c r="BW310" s="200">
        <f>FMS_Ranking4[[#This Row],[Rank (with ArcSinh normalization of select criteria)]]-FMS_Ranking4[[#This Row],[Rank
(with linear
normalization)]]</f>
        <v>38</v>
      </c>
      <c r="BX310" s="200" t="e">
        <f>FMS_Ranking4[[#This Row],[Log Rank]]-FMS_Ranking4[[#This Row],[Rank
(with linear
normalization)]]</f>
        <v>#REF!</v>
      </c>
      <c r="BY310" s="200" t="str">
        <f>IF(FMS_Ranking4[[#This Row],[FMS Type]]="Flood Measurement and Warning",FMS_Ranking4[[#This Row],[Rank (with ArcSinh normalization of select criteria)]],"")</f>
        <v/>
      </c>
      <c r="BZ310" s="200">
        <f>IF(FMS_Ranking4[[#This Row],[FMS Type]]="Regulatory and Guidance",FMS_Ranking4[[#This Row],[Rank (with ArcSinh normalization of select criteria)]],"")</f>
        <v>303</v>
      </c>
      <c r="CA310" s="200" t="str">
        <f>IF(FMS_Ranking4[[#This Row],[FMS Type]]="Education and Outreach",FMS_Ranking4[[#This Row],[Rank (with ArcSinh normalization of select criteria)]],"")</f>
        <v/>
      </c>
      <c r="CB310" s="200" t="str">
        <f>IF(FMS_Ranking4[[#This Row],[FMS Type]]="Property Acquisition and Structural Elevation",FMS_Ranking4[[#This Row],[Rank (with ArcSinh normalization of select criteria)]],"")</f>
        <v/>
      </c>
      <c r="CC310" s="200" t="str">
        <f>IF(FMS_Ranking4[[#This Row],[FMS Type]]="Infrastructure Projects",FMS_Ranking4[[#This Row],[Rank (with ArcSinh normalization of select criteria)]],"")</f>
        <v/>
      </c>
      <c r="CD310" s="200" t="str">
        <f>IF(FMS_Ranking4[[#This Row],[FMS Type]]="Other",FMS_Ranking4[[#This Row],[Rank (with ArcSinh normalization of select criteria)]],"")</f>
        <v/>
      </c>
      <c r="CE310" s="201"/>
      <c r="CF310" s="206"/>
      <c r="CG310" s="206"/>
      <c r="CH310" s="206"/>
      <c r="CI310" s="206"/>
      <c r="CJ310" s="206"/>
      <c r="CK310" s="206"/>
      <c r="CL310" s="206"/>
      <c r="CM310" s="206"/>
      <c r="CN310" s="206"/>
      <c r="CO310" s="206"/>
      <c r="CP310" s="206"/>
      <c r="CQ310" s="206"/>
      <c r="CR310" s="206"/>
    </row>
    <row r="311" spans="2:96" ht="60" x14ac:dyDescent="0.25">
      <c r="B311" s="341" t="s">
        <v>2219</v>
      </c>
      <c r="C311" s="246">
        <f>_xlfn.XLOOKUP(FMS_Ranking4[[#This Row],[FMS ID]],FMS_Input[FMS_ID],FMS_Input[RFPG_NUM])</f>
        <v>3</v>
      </c>
      <c r="D311" s="309" t="str">
        <f>_xlfn.XLOOKUP(FMS_Ranking4[[#This Row],[FMS ID]],FMS_Input[FMS_ID],FMS_Input[FMS_NAME])</f>
        <v>Leon County Property Acquisition Program</v>
      </c>
      <c r="E311" s="308" t="str">
        <f>_xlfn.XLOOKUP(FMS_Ranking4[[#This Row],[FMS ID]],FMS_Input[FMS_ID],FMS_Input[SPONSOR])</f>
        <v>Leon County</v>
      </c>
      <c r="F311" s="309" t="str">
        <f>_xlfn.XLOOKUP(FMS_Ranking4[[#This Row],[FMS ID]],Sponsor[FMS_ID],Sponsor[SPONSOR NAME])</f>
        <v>Leon County</v>
      </c>
      <c r="G311" s="309" t="str">
        <f>_xlfn.XLOOKUP(FMS_Ranking4[[#This Row],[FMS ID]],FMS_Input[FMS_ID],FMS_Input[FMS_DESCR])</f>
        <v>Acquire any repetitive loss structures located below the high hazard dams and homes located in the floodplain.</v>
      </c>
      <c r="H311" s="248" t="str">
        <f>_xlfn.XLOOKUP(FMS_Ranking4[[#This Row],[FMS ID]],FMS_Input[FMS_ID],FMS_Input[FMS_TYPE])</f>
        <v>Property Acquisition and Structural Elevation</v>
      </c>
      <c r="I311" s="249">
        <f>_xlfn.XLOOKUP(FMS_Ranking4[[#This Row],[FMS ID]],FMS_Input[FMS_ID],FMS_Input[NRNC_COST])</f>
        <v>500000</v>
      </c>
      <c r="J311" s="250">
        <f>_xlfn.XLOOKUP(FMS_Ranking4[[#This Row],[FMS ID]],FMS_Input[FMS_ID],FMS_Input[FMS_COST])</f>
        <v>5000000</v>
      </c>
      <c r="K311" s="251" t="str">
        <f>_xlfn.XLOOKUP(FMS_Ranking4[[#This Row],[FMS ID]],FMS_Input[FMS_ID],FMS_Input[EMER_NEED])</f>
        <v>No</v>
      </c>
      <c r="L311" s="252">
        <f t="shared" si="4"/>
        <v>0</v>
      </c>
      <c r="M311" s="253">
        <f>_xlfn.XLOOKUP(FMS_Ranking4[[#This Row],[FMS ID]],FMS_Input[FMS_ID],FMS_Input[STRUCT_100])</f>
        <v>428</v>
      </c>
      <c r="N311" s="255">
        <f>(ASINH(FMS_Ranking4[[#This Row],[Structure at Risk Raw]]))*(10)/(ASINH(M$4))</f>
        <v>5.3082909580545872</v>
      </c>
      <c r="O311" s="256">
        <f>FMS_Ranking4[[#This Row],[Structures at risk, ArcSinh (0-10)]]*M$5*10</f>
        <v>5.3082909580545881</v>
      </c>
      <c r="P311" s="253">
        <f>_xlfn.XLOOKUP(FMS_Ranking4[[#This Row],[FMS ID]],FMS_Input[FMS_ID],FMS_Input[RES_STRUCT100])</f>
        <v>292</v>
      </c>
      <c r="Q311" s="257">
        <f>ASINH(FMS_Ranking4[[#This Row],[Res Structure Raw]])/Q$4*P$5*100</f>
        <v>0</v>
      </c>
      <c r="R311" s="253">
        <f>_xlfn.XLOOKUP(FMS_Ranking4[[#This Row],[FMS ID]],FMS_Input[FMS_ID],FMS_Input[POP100])</f>
        <v>540</v>
      </c>
      <c r="S311" s="259">
        <f>(ASINH(FMS_Ranking4[[#This Row],[Pop at Risk Raw]]))*(10)/(ASINH(R$4))</f>
        <v>4.8219569033821692</v>
      </c>
      <c r="T311" s="256">
        <f>FMS_Ranking4[[#This Row],[Population at risk, ArcSinh (0-10)]]*R$5*10</f>
        <v>4.8219569033821692</v>
      </c>
      <c r="U311" s="253">
        <f>_xlfn.XLOOKUP(FMS_Ranking4[[#This Row],[FMS ID]],FMS_Input[FMS_ID],FMS_Input[CRITFAC100])</f>
        <v>6</v>
      </c>
      <c r="V311" s="259">
        <f>(ASINH(FMS_Ranking4[[#This Row],[Critical Facilities Raw]]))*(10)/(ASINH(U$4))</f>
        <v>2.9496796311809068</v>
      </c>
      <c r="W311" s="256">
        <f>FMS_Ranking4[[#This Row],[Critical facilities at risk, ArcSinh (0-10)]]*U$5*10</f>
        <v>2.9496796311809073</v>
      </c>
      <c r="X311" s="253">
        <f>_xlfn.XLOOKUP(FMS_Ranking4[[#This Row],[FMS ID]],FMS_Input[FMS_ID],FMS_Input[LWC])</f>
        <v>5</v>
      </c>
      <c r="Y311" s="259">
        <f>(ASINH(FMS_Ranking4[[#This Row],[LWC Raw]]))*(10)/(ASINH(X$4))</f>
        <v>3.1327475801820781</v>
      </c>
      <c r="Z311" s="256">
        <f>FMS_Ranking4[[#This Row],[LWC, ArcSInh (0-10)]]*X$5*10</f>
        <v>3.1327475801820781</v>
      </c>
      <c r="AA311" s="253">
        <f>_xlfn.XLOOKUP(FMS_Ranking4[[#This Row],[FMS ID]],FMS_Input[FMS_ID],FMS_Input[ROADCLS])</f>
        <v>0</v>
      </c>
      <c r="AB311" s="255">
        <f>(ASINH(FMS_Ranking4[[#This Row],[Road Closures Raw]]))*(10)/(ASINH(AA$4))</f>
        <v>0</v>
      </c>
      <c r="AC311" s="256">
        <f>FMS_Ranking4[[#This Row],[Road closures, ArcSinh (0-10)]]*AA$5*10</f>
        <v>0</v>
      </c>
      <c r="AD311" s="253">
        <f>_xlfn.XLOOKUP(FMS_Ranking4[[#This Row],[FMS ID]],FMS_Input[FMS_ID],FMS_Input[ROAD_MILES100])</f>
        <v>100</v>
      </c>
      <c r="AE311" s="259">
        <f>(ASINH(FMS_Ranking4[[#This Row],[Road Miles Raw]]))*(10)/(ASINH(AD$4))</f>
        <v>5.6465752593087606</v>
      </c>
      <c r="AF311" s="256">
        <f>FMS_Ranking4[[#This Row],[Length of roads at risk, ArcSinh (0-10)]]*AD$5*10</f>
        <v>5.6465752593087606</v>
      </c>
      <c r="AG311" s="253">
        <f>_xlfn.XLOOKUP(FMS_Ranking4[[#This Row],[FMS ID]],FMS_Input[FMS_ID],FMS_Input[FARMACRE100])</f>
        <v>54925.91015625</v>
      </c>
      <c r="AH311" s="255">
        <f>(ASINH(FMS_Ranking4[[#This Row],[Ag Land Raw]]))*(10)/(ASINH(AG$4))</f>
        <v>7.5396191329896469</v>
      </c>
      <c r="AI311" s="260">
        <f>FMS_Ranking4[[#This Row],[Farm &amp; ranch land, ArcSinh (0-10)]]*AG$5*10</f>
        <v>3.7698095664948239</v>
      </c>
      <c r="AJ311" s="258">
        <f>_xlfn.XLOOKUP(FMS_Ranking4[[#This Row],[FMS ID]],FMS_Input[FMS_ID],FMS_Input[REDSTRUCT100])</f>
        <v>0</v>
      </c>
      <c r="AK311" s="253">
        <f>_xlfn.XLOOKUP(FMS_Ranking4[[#This Row],[FMS ID]],FMS_Input[FMS_ID],FMS_Input[REMSTRC100])</f>
        <v>0</v>
      </c>
      <c r="AL311" s="259">
        <f>(ASINH(FMS_Ranking4[[#This Row],[Structures Removed Raw]]))*(10)/(ASINH(AK$4))</f>
        <v>0</v>
      </c>
      <c r="AM311" s="262">
        <f>FMS_Ranking4[[#This Row],[Structures removed, ArcSinh (0-10)]]*AK$5*10</f>
        <v>0</v>
      </c>
      <c r="AN311" s="253">
        <f>_xlfn.XLOOKUP(FMS_Ranking4[[#This Row],[FMS ID]],FMS_Input[FMS_ID],FMS_Input[REMRESSTRC100])</f>
        <v>0</v>
      </c>
      <c r="AO311" s="261">
        <f>FMS_Ranking4[[#This Row],[ArcSinh Res struct removed 0-10]]*AN$5*10</f>
        <v>0</v>
      </c>
      <c r="AP311" s="260">
        <f>ASINH(FMS_Ranking4[[#This Row],[Residential Structures Removed Raw]])/AP$4*AN$5*100</f>
        <v>0</v>
      </c>
      <c r="AQ311" s="254">
        <f>(ASINH(FMS_Ranking4[[#This Row],[Residential Structures Removed Raw]]))*(10)/(ASINH(AN$4))</f>
        <v>0</v>
      </c>
      <c r="AR311" s="253">
        <f>_xlfn.XLOOKUP(FMS_Ranking4[[#This Row],[FMS ID]],FMS_Input[FMS_ID],FMS_Input[REMPOP100])</f>
        <v>0</v>
      </c>
      <c r="AS311" s="259">
        <f>(ASINH(FMS_Ranking4[[#This Row],[Removed Pop Raw]]))*(10)/(ASINH(AR$4))</f>
        <v>0</v>
      </c>
      <c r="AT311" s="262">
        <f>FMS_Ranking4[[#This Row],[Removed population, ArcSinh (0-10)]]*AR$5*10</f>
        <v>0</v>
      </c>
      <c r="AU311" s="264">
        <f>_xlfn.XLOOKUP(FMS_Ranking4[[#This Row],[FMS ID]],FMS_Input[FMS_ID],FMS_Input[REMCRITFAC100])</f>
        <v>0</v>
      </c>
      <c r="AV311" s="264">
        <f>_xlfn.XLOOKUP(FMS_Ranking4[[#This Row],[FMS ID]],FMS_Input[FMS_ID],FMS_Input[REMLWC100])</f>
        <v>0</v>
      </c>
      <c r="AW311" s="264">
        <f>_xlfn.XLOOKUP(FMS_Ranking4[[#This Row],[FMS ID]],FMS_Input[FMS_ID],FMS_Input[REMROADCLS])</f>
        <v>0</v>
      </c>
      <c r="AX311" s="264">
        <f>_xlfn.XLOOKUP(FMS_Ranking4[[#This Row],[FMS ID]],FMS_Input[FMS_ID],FMS_Input[REMFRMACRE100])</f>
        <v>0</v>
      </c>
      <c r="AY311" s="258">
        <f>_xlfn.XLOOKUP(FMS_Ranking4[[#This Row],[FMS ID]],FMS_Input[FMS_ID],FMS_Input[COSTSTRUCT])</f>
        <v>0</v>
      </c>
      <c r="AZ311" s="253">
        <f>_xlfn.XLOOKUP(FMS_Ranking4[[#This Row],[FMS ID]],FMS_Input[FMS_ID],FMS_Input[NATURE])</f>
        <v>0</v>
      </c>
      <c r="BA311" s="262">
        <f>(((FMS_Ranking4[[#This Row],[% NBS Raw]]/AZ$4)*100)*AZ$5)</f>
        <v>0</v>
      </c>
      <c r="BB311" s="251" t="str">
        <f>_xlfn.XLOOKUP(FMS_Ranking4[[#This Row],[FMS ID]],FMS_Input[FMS_ID],FMS_Input[WATER_SUP])</f>
        <v>No</v>
      </c>
      <c r="BC311" s="265">
        <f>IF(FMS_Ranking4[[#This Row],[Water Supply Raw]]="Yes",10,0)</f>
        <v>0</v>
      </c>
      <c r="BD311" s="266">
        <f>_xlfn.XLOOKUP(FMS_Ranking4[[#This Row],[FMS Type]],FMS_TYPE[FMS_Type],FMS_TYPE[Score])</f>
        <v>4</v>
      </c>
      <c r="BE311" s="267">
        <f>FMS_Ranking4[[#This Row],[FMS_Type Score]]*$BD$5*10</f>
        <v>1</v>
      </c>
      <c r="BF31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0.40059969524774536</v>
      </c>
      <c r="BG311" s="271">
        <f>_xlfn.RANK.EQ(BF311,$BF$8:$BF$870,0)+COUNTIF($BF$8:BF311,BF311)-1</f>
        <v>259</v>
      </c>
      <c r="BH311" s="268">
        <f>(((FMS_Ranking4[[#This Row],[Structures Removed Raw]]/AK$4)*100)*AK$5)+(((FMS_Ranking4[[#This Row],[Removed Pop Raw]]/AR$4)*100)*AR$5)</f>
        <v>0</v>
      </c>
      <c r="BI31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1.4005996952477453</v>
      </c>
      <c r="BJ311" s="205">
        <f>_xlfn.RANK.EQ(FMS_Ranking4[[#This Row],[Total Score 
(with linear
normalization)]],FMS_Ranking4[Total Score 
(with linear
normalization)],0)</f>
        <v>621</v>
      </c>
      <c r="BK311" s="205" t="e">
        <f>_xlfn.XLOOKUP(FMS_Ranking4[[#This Row],[FMS ID]],#REF!,#REF!)</f>
        <v>#REF!</v>
      </c>
      <c r="BL31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25.629059898603327</v>
      </c>
      <c r="BM311" s="272">
        <f>FMS_Ranking4[[#This Row],[ArcSinh Score Based on Normalized Reported Factors]]+FMS_Ranking4[[#This Row],[% NBS Score (Normalized)]]+(FMS_Ranking4[[#This Row],[Water Supply Score (Normalized)]]*10*$BB$5)+FMS_Ranking4[[#This Row],[FMS_Type Score Weighted]]</f>
        <v>26.629059898603327</v>
      </c>
      <c r="BN311" s="205">
        <f>_xlfn.RANK.EQ(FMS_Ranking4[[#This Row],[Total Score (with ArcSinh normalization of select criteria)]],FMS_Ranking4[Total Score (with ArcSinh normalization of select criteria)],0)</f>
        <v>304</v>
      </c>
      <c r="BO311" s="270" t="str">
        <f>_xlfn.XLOOKUP(FMS_Ranking4[[#This Row],[FMS ID]],FMS_Input[FMS_ID],FMS_Input[FMS_RANK_YEAR])</f>
        <v>2023 Amended Plan</v>
      </c>
      <c r="BP311" s="204">
        <f>_xlfn.XLOOKUP(FMS_Ranking4[[#This Row],[FMS ID]],Prev_Rank[FMS ID],Prev_Rank[Prev Rank])</f>
        <v>265</v>
      </c>
      <c r="BQ311" s="205" t="e">
        <f>_xlfn.XLOOKUP(FMS_Ranking4[[#This Row],[FMS ID]],#REF!,#REF!)</f>
        <v>#REF!</v>
      </c>
      <c r="BR311" s="199" t="e">
        <f>SUM(#REF!,#REF!,#REF!,#REF!,#REF!,#REF!,#REF!,#REF!,#REF!,FMS_Ranking4[[#This Row],[ArcSinh Res struct removed 0-10]],#REF!)</f>
        <v>#REF!</v>
      </c>
      <c r="BS311" s="199" t="e">
        <f>FMS_Ranking4[[#This Row],[Log Score Based on Normalized Reported Factors]]+FMS_Ranking4[[#This Row],[% NBS Score (Normalized)]]+(FMS_Ranking4[[#This Row],[Water Supply Score (Normalized)]]*10*$BB$5)+(FMS_Ranking4[[#This Row],[FMS_Type Score Weighted]])</f>
        <v>#REF!</v>
      </c>
      <c r="BT311" s="200" t="e">
        <f>_xlfn.RANK.EQ(FMS_Ranking4[[#This Row],[Log Total Score]],FMS_Ranking4[Log Total Score],0)</f>
        <v>#REF!</v>
      </c>
      <c r="BU311" s="200" t="e">
        <f>_xlfn.XLOOKUP(FMS_Ranking4[[#This Row],[FMS ID]],#REF!,#REF!)</f>
        <v>#REF!</v>
      </c>
      <c r="BV311" s="200">
        <f>FMS_Ranking4[[#This Row],[Region Number]]</f>
        <v>3</v>
      </c>
      <c r="BW311" s="200">
        <f>FMS_Ranking4[[#This Row],[Rank (with ArcSinh normalization of select criteria)]]-FMS_Ranking4[[#This Row],[Rank
(with linear
normalization)]]</f>
        <v>-317</v>
      </c>
      <c r="BX311" s="200" t="e">
        <f>FMS_Ranking4[[#This Row],[Log Rank]]-FMS_Ranking4[[#This Row],[Rank
(with linear
normalization)]]</f>
        <v>#REF!</v>
      </c>
      <c r="BY311" s="200" t="str">
        <f>IF(FMS_Ranking4[[#This Row],[FMS Type]]="Flood Measurement and Warning",FMS_Ranking4[[#This Row],[Rank (with ArcSinh normalization of select criteria)]],"")</f>
        <v/>
      </c>
      <c r="BZ311" s="200" t="str">
        <f>IF(FMS_Ranking4[[#This Row],[FMS Type]]="Regulatory and Guidance",FMS_Ranking4[[#This Row],[Rank (with ArcSinh normalization of select criteria)]],"")</f>
        <v/>
      </c>
      <c r="CA311" s="200" t="str">
        <f>IF(FMS_Ranking4[[#This Row],[FMS Type]]="Education and Outreach",FMS_Ranking4[[#This Row],[Rank (with ArcSinh normalization of select criteria)]],"")</f>
        <v/>
      </c>
      <c r="CB311" s="200">
        <f>IF(FMS_Ranking4[[#This Row],[FMS Type]]="Property Acquisition and Structural Elevation",FMS_Ranking4[[#This Row],[Rank (with ArcSinh normalization of select criteria)]],"")</f>
        <v>304</v>
      </c>
      <c r="CC311" s="200" t="str">
        <f>IF(FMS_Ranking4[[#This Row],[FMS Type]]="Infrastructure Projects",FMS_Ranking4[[#This Row],[Rank (with ArcSinh normalization of select criteria)]],"")</f>
        <v/>
      </c>
      <c r="CD311" s="200" t="str">
        <f>IF(FMS_Ranking4[[#This Row],[FMS Type]]="Other",FMS_Ranking4[[#This Row],[Rank (with ArcSinh normalization of select criteria)]],"")</f>
        <v/>
      </c>
      <c r="CE311" s="201"/>
      <c r="CF311" s="206"/>
      <c r="CG311" s="206"/>
      <c r="CH311" s="206"/>
      <c r="CI311" s="206"/>
      <c r="CJ311" s="206"/>
      <c r="CK311" s="206"/>
      <c r="CL311" s="206"/>
      <c r="CM311" s="206"/>
      <c r="CN311" s="206"/>
      <c r="CO311" s="206"/>
      <c r="CP311" s="206"/>
      <c r="CQ311" s="206"/>
      <c r="CR311" s="206"/>
    </row>
    <row r="312" spans="2:96" ht="45" x14ac:dyDescent="0.25">
      <c r="B312" s="341" t="s">
        <v>12798</v>
      </c>
      <c r="C312" s="246">
        <f>_xlfn.XLOOKUP(FMS_Ranking4[[#This Row],[FMS ID]],FMS_Input[FMS_ID],FMS_Input[RFPG_NUM])</f>
        <v>3</v>
      </c>
      <c r="D312" s="309" t="str">
        <f>_xlfn.XLOOKUP(FMS_Ranking4[[#This Row],[FMS ID]],FMS_Input[FMS_ID],FMS_Input[FMS_NAME])</f>
        <v>SE Texas R.A.I.N. Gage Network Improvements</v>
      </c>
      <c r="E312" s="308" t="str">
        <f>_xlfn.XLOOKUP(FMS_Ranking4[[#This Row],[FMS ID]],FMS_Input[FMS_ID],FMS_Input[SPONSOR])</f>
        <v>00000013</v>
      </c>
      <c r="F312" s="309" t="str">
        <f>_xlfn.XLOOKUP(FMS_Ranking4[[#This Row],[FMS ID]],Sponsor[FMS_ID],Sponsor[SPONSOR NAME])</f>
        <v>Chambers</v>
      </c>
      <c r="G312" s="309" t="str">
        <f>_xlfn.XLOOKUP(FMS_Ranking4[[#This Row],[FMS ID]],FMS_Input[FMS_ID],FMS_Input[FMS_DESCR])</f>
        <v>Re-location and installation of rain and stream gages throughout jurisdiction.</v>
      </c>
      <c r="H312" s="248" t="str">
        <f>_xlfn.XLOOKUP(FMS_Ranking4[[#This Row],[FMS ID]],FMS_Input[FMS_ID],FMS_Input[FMS_TYPE])</f>
        <v>Flood Measurement and Warning</v>
      </c>
      <c r="I312" s="249">
        <f>_xlfn.XLOOKUP(FMS_Ranking4[[#This Row],[FMS ID]],FMS_Input[FMS_ID],FMS_Input[NRNC_COST])</f>
        <v>244000</v>
      </c>
      <c r="J312" s="250">
        <f>_xlfn.XLOOKUP(FMS_Ranking4[[#This Row],[FMS ID]],FMS_Input[FMS_ID],FMS_Input[FMS_COST])</f>
        <v>243000</v>
      </c>
      <c r="K312" s="251" t="str">
        <f>_xlfn.XLOOKUP(FMS_Ranking4[[#This Row],[FMS ID]],FMS_Input[FMS_ID],FMS_Input[EMER_NEED])</f>
        <v>No</v>
      </c>
      <c r="L312" s="252">
        <f t="shared" si="4"/>
        <v>0</v>
      </c>
      <c r="M312" s="253">
        <f>_xlfn.XLOOKUP(FMS_Ranking4[[#This Row],[FMS ID]],FMS_Input[FMS_ID],FMS_Input[STRUCT_100])</f>
        <v>5919</v>
      </c>
      <c r="N312" s="255">
        <f>(ASINH(FMS_Ranking4[[#This Row],[Structure at Risk Raw]]))*(10)/(ASINH(M$4))</f>
        <v>7.3733454891913883</v>
      </c>
      <c r="O312" s="256">
        <f>FMS_Ranking4[[#This Row],[Structures at risk, ArcSinh (0-10)]]*M$5*10</f>
        <v>7.3733454891913883</v>
      </c>
      <c r="P312" s="253">
        <f>_xlfn.XLOOKUP(FMS_Ranking4[[#This Row],[FMS ID]],FMS_Input[FMS_ID],FMS_Input[RES_STRUCT100])</f>
        <v>3672</v>
      </c>
      <c r="Q312" s="257">
        <f>ASINH(FMS_Ranking4[[#This Row],[Res Structure Raw]])/Q$4*P$5*100</f>
        <v>0</v>
      </c>
      <c r="R312" s="253">
        <f>_xlfn.XLOOKUP(FMS_Ranking4[[#This Row],[FMS ID]],FMS_Input[FMS_ID],FMS_Input[POP100])</f>
        <v>0</v>
      </c>
      <c r="S312" s="259">
        <f>(ASINH(FMS_Ranking4[[#This Row],[Pop at Risk Raw]]))*(10)/(ASINH(R$4))</f>
        <v>0</v>
      </c>
      <c r="T312" s="256">
        <f>FMS_Ranking4[[#This Row],[Population at risk, ArcSinh (0-10)]]*R$5*10</f>
        <v>0</v>
      </c>
      <c r="U312" s="253">
        <f>_xlfn.XLOOKUP(FMS_Ranking4[[#This Row],[FMS ID]],FMS_Input[FMS_ID],FMS_Input[CRITFAC100])</f>
        <v>12</v>
      </c>
      <c r="V312" s="259">
        <f>(ASINH(FMS_Ranking4[[#This Row],[Critical Facilities Raw]]))*(10)/(ASINH(U$4))</f>
        <v>3.7641159700176727</v>
      </c>
      <c r="W312" s="256">
        <f>FMS_Ranking4[[#This Row],[Critical facilities at risk, ArcSinh (0-10)]]*U$5*10</f>
        <v>3.7641159700176727</v>
      </c>
      <c r="X312" s="253">
        <f>_xlfn.XLOOKUP(FMS_Ranking4[[#This Row],[FMS ID]],FMS_Input[FMS_ID],FMS_Input[LWC])</f>
        <v>3</v>
      </c>
      <c r="Y312" s="259">
        <f>(ASINH(FMS_Ranking4[[#This Row],[LWC Raw]]))*(10)/(ASINH(X$4))</f>
        <v>2.4635181155638843</v>
      </c>
      <c r="Z312" s="256">
        <f>FMS_Ranking4[[#This Row],[LWC, ArcSInh (0-10)]]*X$5*10</f>
        <v>2.4635181155638843</v>
      </c>
      <c r="AA312" s="253">
        <f>_xlfn.XLOOKUP(FMS_Ranking4[[#This Row],[FMS ID]],FMS_Input[FMS_ID],FMS_Input[ROADCLS])</f>
        <v>3</v>
      </c>
      <c r="AB312" s="255">
        <f>(ASINH(FMS_Ranking4[[#This Row],[Road Closures Raw]]))*(10)/(ASINH(AA$4))</f>
        <v>1.8937450846072912</v>
      </c>
      <c r="AC312" s="256">
        <f>FMS_Ranking4[[#This Row],[Road closures, ArcSinh (0-10)]]*AA$5*10</f>
        <v>0.94687254230364559</v>
      </c>
      <c r="AD312" s="253">
        <f>_xlfn.XLOOKUP(FMS_Ranking4[[#This Row],[FMS ID]],FMS_Input[FMS_ID],FMS_Input[ROAD_MILES100])</f>
        <v>124</v>
      </c>
      <c r="AE312" s="259">
        <f>(ASINH(FMS_Ranking4[[#This Row],[Road Miles Raw]]))*(10)/(ASINH(AD$4))</f>
        <v>5.8758154928123059</v>
      </c>
      <c r="AF312" s="256">
        <f>FMS_Ranking4[[#This Row],[Length of roads at risk, ArcSinh (0-10)]]*AD$5*10</f>
        <v>5.8758154928123059</v>
      </c>
      <c r="AG312" s="253">
        <f>_xlfn.XLOOKUP(FMS_Ranking4[[#This Row],[FMS ID]],FMS_Input[FMS_ID],FMS_Input[FARMACRE100])</f>
        <v>42295.55859375</v>
      </c>
      <c r="AH312" s="255">
        <f>(ASINH(FMS_Ranking4[[#This Row],[Ag Land Raw]]))*(10)/(ASINH(AG$4))</f>
        <v>7.3698814773192902</v>
      </c>
      <c r="AI312" s="260">
        <f>FMS_Ranking4[[#This Row],[Farm &amp; ranch land, ArcSinh (0-10)]]*AG$5*10</f>
        <v>3.6849407386596456</v>
      </c>
      <c r="AJ312" s="258">
        <f>_xlfn.XLOOKUP(FMS_Ranking4[[#This Row],[FMS ID]],FMS_Input[FMS_ID],FMS_Input[REDSTRUCT100])</f>
        <v>0</v>
      </c>
      <c r="AK312" s="253">
        <f>_xlfn.XLOOKUP(FMS_Ranking4[[#This Row],[FMS ID]],FMS_Input[FMS_ID],FMS_Input[REMSTRC100])</f>
        <v>0</v>
      </c>
      <c r="AL312" s="259">
        <f>(ASINH(FMS_Ranking4[[#This Row],[Structures Removed Raw]]))*(10)/(ASINH(AK$4))</f>
        <v>0</v>
      </c>
      <c r="AM312" s="262">
        <f>FMS_Ranking4[[#This Row],[Structures removed, ArcSinh (0-10)]]*AK$5*10</f>
        <v>0</v>
      </c>
      <c r="AN312" s="253">
        <f>_xlfn.XLOOKUP(FMS_Ranking4[[#This Row],[FMS ID]],FMS_Input[FMS_ID],FMS_Input[REMRESSTRC100])</f>
        <v>0</v>
      </c>
      <c r="AO312" s="261">
        <f>FMS_Ranking4[[#This Row],[ArcSinh Res struct removed 0-10]]*AN$5*10</f>
        <v>0</v>
      </c>
      <c r="AP312" s="260">
        <f>ASINH(FMS_Ranking4[[#This Row],[Residential Structures Removed Raw]])/AP$4*AN$5*100</f>
        <v>0</v>
      </c>
      <c r="AQ312" s="254">
        <f>(ASINH(FMS_Ranking4[[#This Row],[Residential Structures Removed Raw]]))*(10)/(ASINH(AN$4))</f>
        <v>0</v>
      </c>
      <c r="AR312" s="253">
        <f>_xlfn.XLOOKUP(FMS_Ranking4[[#This Row],[FMS ID]],FMS_Input[FMS_ID],FMS_Input[REMPOP100])</f>
        <v>0</v>
      </c>
      <c r="AS312" s="259">
        <f>(ASINH(FMS_Ranking4[[#This Row],[Removed Pop Raw]]))*(10)/(ASINH(AR$4))</f>
        <v>0</v>
      </c>
      <c r="AT312" s="262">
        <f>FMS_Ranking4[[#This Row],[Removed population, ArcSinh (0-10)]]*AR$5*10</f>
        <v>0</v>
      </c>
      <c r="AU312" s="264">
        <f>_xlfn.XLOOKUP(FMS_Ranking4[[#This Row],[FMS ID]],FMS_Input[FMS_ID],FMS_Input[REMCRITFAC100])</f>
        <v>0</v>
      </c>
      <c r="AV312" s="264">
        <f>_xlfn.XLOOKUP(FMS_Ranking4[[#This Row],[FMS ID]],FMS_Input[FMS_ID],FMS_Input[REMLWC100])</f>
        <v>0</v>
      </c>
      <c r="AW312" s="264">
        <f>_xlfn.XLOOKUP(FMS_Ranking4[[#This Row],[FMS ID]],FMS_Input[FMS_ID],FMS_Input[REMROADCLS])</f>
        <v>0</v>
      </c>
      <c r="AX312" s="264">
        <f>_xlfn.XLOOKUP(FMS_Ranking4[[#This Row],[FMS ID]],FMS_Input[FMS_ID],FMS_Input[REMFRMACRE100])</f>
        <v>0</v>
      </c>
      <c r="AY312" s="258">
        <f>_xlfn.XLOOKUP(FMS_Ranking4[[#This Row],[FMS ID]],FMS_Input[FMS_ID],FMS_Input[COSTSTRUCT])</f>
        <v>0</v>
      </c>
      <c r="AZ312" s="253">
        <f>_xlfn.XLOOKUP(FMS_Ranking4[[#This Row],[FMS ID]],FMS_Input[FMS_ID],FMS_Input[NATURE])</f>
        <v>0</v>
      </c>
      <c r="BA312" s="262">
        <f>(((FMS_Ranking4[[#This Row],[% NBS Raw]]/AZ$4)*100)*AZ$5)</f>
        <v>0</v>
      </c>
      <c r="BB312" s="251" t="str">
        <f>_xlfn.XLOOKUP(FMS_Ranking4[[#This Row],[FMS ID]],FMS_Input[FMS_ID],FMS_Input[WATER_SUP])</f>
        <v>No</v>
      </c>
      <c r="BC312" s="265">
        <f>IF(FMS_Ranking4[[#This Row],[Water Supply Raw]]="Yes",10,0)</f>
        <v>0</v>
      </c>
      <c r="BD312" s="266">
        <f>_xlfn.XLOOKUP(FMS_Ranking4[[#This Row],[FMS Type]],FMS_TYPE[FMS_Type],FMS_TYPE[Score])</f>
        <v>10</v>
      </c>
      <c r="BE312" s="352">
        <f>FMS_Ranking4[[#This Row],[FMS_Type Score]]*$BD$5*10</f>
        <v>2.5</v>
      </c>
      <c r="BF31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0.74061897642427532</v>
      </c>
      <c r="BG312" s="269">
        <f>_xlfn.RANK.EQ(BF312,$BF$8:$BF$870,0)+COUNTIF($BF$8:BF312,BF312)-1</f>
        <v>180</v>
      </c>
      <c r="BH312" s="268">
        <f>(((FMS_Ranking4[[#This Row],[Structures Removed Raw]]/AK$4)*100)*AK$5)+(((FMS_Ranking4[[#This Row],[Removed Pop Raw]]/AR$4)*100)*AR$5)</f>
        <v>0</v>
      </c>
      <c r="BI31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3.2406189764242752</v>
      </c>
      <c r="BJ312" s="204">
        <f>_xlfn.RANK.EQ(FMS_Ranking4[[#This Row],[Total Score 
(with linear
normalization)]],FMS_Ranking4[Total Score 
(with linear
normalization)],0)</f>
        <v>159</v>
      </c>
      <c r="BK312" s="204" t="e">
        <f>_xlfn.XLOOKUP(FMS_Ranking4[[#This Row],[FMS ID]],#REF!,#REF!)</f>
        <v>#REF!</v>
      </c>
      <c r="BL312"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24.10860834854854</v>
      </c>
      <c r="BM312" s="270">
        <f>FMS_Ranking4[[#This Row],[ArcSinh Score Based on Normalized Reported Factors]]+FMS_Ranking4[[#This Row],[% NBS Score (Normalized)]]+(FMS_Ranking4[[#This Row],[Water Supply Score (Normalized)]]*10*$BB$5)+FMS_Ranking4[[#This Row],[FMS_Type Score Weighted]]</f>
        <v>26.60860834854854</v>
      </c>
      <c r="BN312" s="204">
        <f>_xlfn.RANK.EQ(FMS_Ranking4[[#This Row],[Total Score (with ArcSinh normalization of select criteria)]],FMS_Ranking4[Total Score (with ArcSinh normalization of select criteria)],0)</f>
        <v>305</v>
      </c>
      <c r="BO312" s="270" t="str">
        <f>_xlfn.XLOOKUP(FMS_Ranking4[[#This Row],[FMS ID]],FMS_Input[FMS_ID],FMS_Input[FMS_RANK_YEAR])</f>
        <v>2025 Amended Plan</v>
      </c>
      <c r="BP312" s="204" t="e">
        <f>_xlfn.XLOOKUP(FMS_Ranking4[[#This Row],[FMS ID]],Prev_Rank[FMS ID],Prev_Rank[Prev Rank])</f>
        <v>#N/A</v>
      </c>
      <c r="BQ312" s="204" t="e">
        <f>_xlfn.XLOOKUP(FMS_Ranking4[[#This Row],[FMS ID]],#REF!,#REF!)</f>
        <v>#REF!</v>
      </c>
      <c r="BR312" s="199" t="e">
        <f>SUM(#REF!,#REF!,#REF!,#REF!,#REF!,#REF!,#REF!,#REF!,#REF!,FMS_Ranking4[[#This Row],[ArcSinh Res struct removed 0-10]],#REF!)</f>
        <v>#REF!</v>
      </c>
      <c r="BS312" s="199" t="e">
        <f>FMS_Ranking4[[#This Row],[Log Score Based on Normalized Reported Factors]]+FMS_Ranking4[[#This Row],[% NBS Score (Normalized)]]+(FMS_Ranking4[[#This Row],[Water Supply Score (Normalized)]]*10*$BB$5)+(FMS_Ranking4[[#This Row],[FMS_Type Score Weighted]])</f>
        <v>#REF!</v>
      </c>
      <c r="BT312" s="200" t="e">
        <f>_xlfn.RANK.EQ(FMS_Ranking4[[#This Row],[Log Total Score]],FMS_Ranking4[Log Total Score],0)</f>
        <v>#REF!</v>
      </c>
      <c r="BU312" s="200" t="e">
        <f>_xlfn.XLOOKUP(FMS_Ranking4[[#This Row],[FMS ID]],#REF!,#REF!)</f>
        <v>#REF!</v>
      </c>
      <c r="BV312" s="200">
        <f>FMS_Ranking4[[#This Row],[Region Number]]</f>
        <v>3</v>
      </c>
      <c r="BW312" s="200">
        <f>FMS_Ranking4[[#This Row],[Rank (with ArcSinh normalization of select criteria)]]-FMS_Ranking4[[#This Row],[Rank
(with linear
normalization)]]</f>
        <v>146</v>
      </c>
      <c r="BX312" s="200" t="e">
        <f>FMS_Ranking4[[#This Row],[Log Rank]]-FMS_Ranking4[[#This Row],[Rank
(with linear
normalization)]]</f>
        <v>#REF!</v>
      </c>
      <c r="BY312" s="200">
        <f>IF(FMS_Ranking4[[#This Row],[FMS Type]]="Flood Measurement and Warning",FMS_Ranking4[[#This Row],[Rank (with ArcSinh normalization of select criteria)]],"")</f>
        <v>305</v>
      </c>
      <c r="BZ312" s="200" t="str">
        <f>IF(FMS_Ranking4[[#This Row],[FMS Type]]="Regulatory and Guidance",FMS_Ranking4[[#This Row],[Rank (with ArcSinh normalization of select criteria)]],"")</f>
        <v/>
      </c>
      <c r="CA312" s="200" t="str">
        <f>IF(FMS_Ranking4[[#This Row],[FMS Type]]="Education and Outreach",FMS_Ranking4[[#This Row],[Rank (with ArcSinh normalization of select criteria)]],"")</f>
        <v/>
      </c>
      <c r="CB312" s="200" t="str">
        <f>IF(FMS_Ranking4[[#This Row],[FMS Type]]="Property Acquisition and Structural Elevation",FMS_Ranking4[[#This Row],[Rank (with ArcSinh normalization of select criteria)]],"")</f>
        <v/>
      </c>
      <c r="CC312" s="200" t="str">
        <f>IF(FMS_Ranking4[[#This Row],[FMS Type]]="Infrastructure Projects",FMS_Ranking4[[#This Row],[Rank (with ArcSinh normalization of select criteria)]],"")</f>
        <v/>
      </c>
      <c r="CD312" s="200" t="str">
        <f>IF(FMS_Ranking4[[#This Row],[FMS Type]]="Other",FMS_Ranking4[[#This Row],[Rank (with ArcSinh normalization of select criteria)]],"")</f>
        <v/>
      </c>
      <c r="CE312" s="201"/>
      <c r="CF312" s="206"/>
      <c r="CG312" s="206"/>
      <c r="CH312" s="206"/>
      <c r="CI312" s="206"/>
      <c r="CJ312" s="206"/>
      <c r="CK312" s="206"/>
      <c r="CL312" s="206"/>
      <c r="CM312" s="206"/>
      <c r="CN312" s="206"/>
      <c r="CO312" s="206"/>
      <c r="CP312" s="206"/>
      <c r="CQ312" s="206"/>
      <c r="CR312" s="206"/>
    </row>
    <row r="313" spans="2:96" ht="30" x14ac:dyDescent="0.25">
      <c r="B313" s="341" t="s">
        <v>1342</v>
      </c>
      <c r="C313" s="246">
        <f>_xlfn.XLOOKUP(FMS_Ranking4[[#This Row],[FMS ID]],FMS_Input[FMS_ID],FMS_Input[RFPG_NUM])</f>
        <v>1</v>
      </c>
      <c r="D313" s="309" t="str">
        <f>_xlfn.XLOOKUP(FMS_Ranking4[[#This Row],[FMS ID]],FMS_Input[FMS_ID],FMS_Input[FMS_NAME])</f>
        <v>Carson County NFIP Involvement</v>
      </c>
      <c r="E313" s="308" t="str">
        <f>_xlfn.XLOOKUP(FMS_Ranking4[[#This Row],[FMS ID]],FMS_Input[FMS_ID],FMS_Input[SPONSOR])</f>
        <v>01000226</v>
      </c>
      <c r="F313" s="309" t="str">
        <f>_xlfn.XLOOKUP(FMS_Ranking4[[#This Row],[FMS ID]],Sponsor[FMS_ID],Sponsor[SPONSOR NAME])</f>
        <v>Carson</v>
      </c>
      <c r="G313" s="309" t="str">
        <f>_xlfn.XLOOKUP(FMS_Ranking4[[#This Row],[FMS ID]],FMS_Input[FMS_ID],FMS_Input[FMS_DESCR])</f>
        <v>Application to join NFIP or adopt equivalent standards</v>
      </c>
      <c r="H313" s="248" t="str">
        <f>_xlfn.XLOOKUP(FMS_Ranking4[[#This Row],[FMS ID]],FMS_Input[FMS_ID],FMS_Input[FMS_TYPE])</f>
        <v>Regulatory and Guidance</v>
      </c>
      <c r="I313" s="249">
        <f>_xlfn.XLOOKUP(FMS_Ranking4[[#This Row],[FMS ID]],FMS_Input[FMS_ID],FMS_Input[NRNC_COST])</f>
        <v>100000</v>
      </c>
      <c r="J313" s="250">
        <f>_xlfn.XLOOKUP(FMS_Ranking4[[#This Row],[FMS ID]],FMS_Input[FMS_ID],FMS_Input[FMS_COST])</f>
        <v>100000</v>
      </c>
      <c r="K313" s="251" t="str">
        <f>_xlfn.XLOOKUP(FMS_Ranking4[[#This Row],[FMS ID]],FMS_Input[FMS_ID],FMS_Input[EMER_NEED])</f>
        <v>No</v>
      </c>
      <c r="L313" s="252">
        <f t="shared" si="4"/>
        <v>0</v>
      </c>
      <c r="M313" s="253">
        <f>_xlfn.XLOOKUP(FMS_Ranking4[[#This Row],[FMS ID]],FMS_Input[FMS_ID],FMS_Input[STRUCT_100])</f>
        <v>87</v>
      </c>
      <c r="N313" s="255">
        <f>(ASINH(FMS_Ranking4[[#This Row],[Structure at Risk Raw]]))*(10)/(ASINH(M$4))</f>
        <v>4.0558115800352503</v>
      </c>
      <c r="O313" s="256">
        <f>FMS_Ranking4[[#This Row],[Structures at risk, ArcSinh (0-10)]]*M$5*10</f>
        <v>4.0558115800352503</v>
      </c>
      <c r="P313" s="253">
        <f>_xlfn.XLOOKUP(FMS_Ranking4[[#This Row],[FMS ID]],FMS_Input[FMS_ID],FMS_Input[RES_STRUCT100])</f>
        <v>43</v>
      </c>
      <c r="Q313" s="257">
        <f>ASINH(FMS_Ranking4[[#This Row],[Res Structure Raw]])/Q$4*P$5*100</f>
        <v>0</v>
      </c>
      <c r="R313" s="253">
        <f>_xlfn.XLOOKUP(FMS_Ranking4[[#This Row],[FMS ID]],FMS_Input[FMS_ID],FMS_Input[POP100])</f>
        <v>190</v>
      </c>
      <c r="S313" s="259">
        <f>(ASINH(FMS_Ranking4[[#This Row],[Pop at Risk Raw]]))*(10)/(ASINH(R$4))</f>
        <v>4.1008508210588275</v>
      </c>
      <c r="T313" s="256">
        <f>FMS_Ranking4[[#This Row],[Population at risk, ArcSinh (0-10)]]*R$5*10</f>
        <v>4.1008508210588275</v>
      </c>
      <c r="U313" s="253">
        <f>_xlfn.XLOOKUP(FMS_Ranking4[[#This Row],[FMS ID]],FMS_Input[FMS_ID],FMS_Input[CRITFAC100])</f>
        <v>4</v>
      </c>
      <c r="V313" s="259">
        <f>(ASINH(FMS_Ranking4[[#This Row],[Critical Facilities Raw]]))*(10)/(ASINH(U$4))</f>
        <v>2.4796455944038147</v>
      </c>
      <c r="W313" s="256">
        <f>FMS_Ranking4[[#This Row],[Critical facilities at risk, ArcSinh (0-10)]]*U$5*10</f>
        <v>2.4796455944038147</v>
      </c>
      <c r="X313" s="253">
        <f>_xlfn.XLOOKUP(FMS_Ranking4[[#This Row],[FMS ID]],FMS_Input[FMS_ID],FMS_Input[LWC])</f>
        <v>10</v>
      </c>
      <c r="Y313" s="259">
        <f>(ASINH(FMS_Ranking4[[#This Row],[LWC Raw]]))*(10)/(ASINH(X$4))</f>
        <v>4.06180589758889</v>
      </c>
      <c r="Z313" s="256">
        <f>FMS_Ranking4[[#This Row],[LWC, ArcSInh (0-10)]]*X$5*10</f>
        <v>4.06180589758889</v>
      </c>
      <c r="AA313" s="253">
        <f>_xlfn.XLOOKUP(FMS_Ranking4[[#This Row],[FMS ID]],FMS_Input[FMS_ID],FMS_Input[ROADCLS])</f>
        <v>12</v>
      </c>
      <c r="AB313" s="255">
        <f>(ASINH(FMS_Ranking4[[#This Row],[Road Closures Raw]]))*(10)/(ASINH(AA$4))</f>
        <v>3.3114546827476929</v>
      </c>
      <c r="AC313" s="256">
        <f>FMS_Ranking4[[#This Row],[Road closures, ArcSinh (0-10)]]*AA$5*10</f>
        <v>1.6557273413738467</v>
      </c>
      <c r="AD313" s="253">
        <f>_xlfn.XLOOKUP(FMS_Ranking4[[#This Row],[FMS ID]],FMS_Input[FMS_ID],FMS_Input[ROAD_MILES100])</f>
        <v>36</v>
      </c>
      <c r="AE313" s="259">
        <f>(ASINH(FMS_Ranking4[[#This Row],[Road Miles Raw]]))*(10)/(ASINH(AD$4))</f>
        <v>4.5579549885277313</v>
      </c>
      <c r="AF313" s="256">
        <f>FMS_Ranking4[[#This Row],[Length of roads at risk, ArcSinh (0-10)]]*AD$5*10</f>
        <v>4.5579549885277313</v>
      </c>
      <c r="AG313" s="253">
        <f>_xlfn.XLOOKUP(FMS_Ranking4[[#This Row],[FMS ID]],FMS_Input[FMS_ID],FMS_Input[FARMACRE100])</f>
        <v>43317.89453125</v>
      </c>
      <c r="AH313" s="255">
        <f>(ASINH(FMS_Ranking4[[#This Row],[Ag Land Raw]]))*(10)/(ASINH(AG$4))</f>
        <v>7.3853959093143358</v>
      </c>
      <c r="AI313" s="260">
        <f>FMS_Ranking4[[#This Row],[Farm &amp; ranch land, ArcSinh (0-10)]]*AG$5*10</f>
        <v>3.6926979546571683</v>
      </c>
      <c r="AJ313" s="258">
        <f>_xlfn.XLOOKUP(FMS_Ranking4[[#This Row],[FMS ID]],FMS_Input[FMS_ID],FMS_Input[REDSTRUCT100])</f>
        <v>0</v>
      </c>
      <c r="AK313" s="253">
        <f>_xlfn.XLOOKUP(FMS_Ranking4[[#This Row],[FMS ID]],FMS_Input[FMS_ID],FMS_Input[REMSTRC100])</f>
        <v>0</v>
      </c>
      <c r="AL313" s="259">
        <f>(ASINH(FMS_Ranking4[[#This Row],[Structures Removed Raw]]))*(10)/(ASINH(AK$4))</f>
        <v>0</v>
      </c>
      <c r="AM313" s="262">
        <f>FMS_Ranking4[[#This Row],[Structures removed, ArcSinh (0-10)]]*AK$5*10</f>
        <v>0</v>
      </c>
      <c r="AN313" s="253">
        <f>_xlfn.XLOOKUP(FMS_Ranking4[[#This Row],[FMS ID]],FMS_Input[FMS_ID],FMS_Input[REMRESSTRC100])</f>
        <v>0</v>
      </c>
      <c r="AO313" s="261">
        <f>FMS_Ranking4[[#This Row],[ArcSinh Res struct removed 0-10]]*AN$5*10</f>
        <v>0</v>
      </c>
      <c r="AP313" s="260">
        <f>ASINH(FMS_Ranking4[[#This Row],[Residential Structures Removed Raw]])/AP$4*AN$5*100</f>
        <v>0</v>
      </c>
      <c r="AQ313" s="254">
        <f>(ASINH(FMS_Ranking4[[#This Row],[Residential Structures Removed Raw]]))*(10)/(ASINH(AN$4))</f>
        <v>0</v>
      </c>
      <c r="AR313" s="253">
        <f>_xlfn.XLOOKUP(FMS_Ranking4[[#This Row],[FMS ID]],FMS_Input[FMS_ID],FMS_Input[REMPOP100])</f>
        <v>0</v>
      </c>
      <c r="AS313" s="259">
        <f>(ASINH(FMS_Ranking4[[#This Row],[Removed Pop Raw]]))*(10)/(ASINH(AR$4))</f>
        <v>0</v>
      </c>
      <c r="AT313" s="262">
        <f>FMS_Ranking4[[#This Row],[Removed population, ArcSinh (0-10)]]*AR$5*10</f>
        <v>0</v>
      </c>
      <c r="AU313" s="264">
        <f>_xlfn.XLOOKUP(FMS_Ranking4[[#This Row],[FMS ID]],FMS_Input[FMS_ID],FMS_Input[REMCRITFAC100])</f>
        <v>0</v>
      </c>
      <c r="AV313" s="264">
        <f>_xlfn.XLOOKUP(FMS_Ranking4[[#This Row],[FMS ID]],FMS_Input[FMS_ID],FMS_Input[REMLWC100])</f>
        <v>0</v>
      </c>
      <c r="AW313" s="264">
        <f>_xlfn.XLOOKUP(FMS_Ranking4[[#This Row],[FMS ID]],FMS_Input[FMS_ID],FMS_Input[REMROADCLS])</f>
        <v>0</v>
      </c>
      <c r="AX313" s="264">
        <f>_xlfn.XLOOKUP(FMS_Ranking4[[#This Row],[FMS ID]],FMS_Input[FMS_ID],FMS_Input[REMFRMACRE100])</f>
        <v>0</v>
      </c>
      <c r="AY313" s="258">
        <f>_xlfn.XLOOKUP(FMS_Ranking4[[#This Row],[FMS ID]],FMS_Input[FMS_ID],FMS_Input[COSTSTRUCT])</f>
        <v>0</v>
      </c>
      <c r="AZ313" s="253">
        <f>_xlfn.XLOOKUP(FMS_Ranking4[[#This Row],[FMS ID]],FMS_Input[FMS_ID],FMS_Input[NATURE])</f>
        <v>0</v>
      </c>
      <c r="BA313" s="262">
        <f>(((FMS_Ranking4[[#This Row],[% NBS Raw]]/AZ$4)*100)*AZ$5)</f>
        <v>0</v>
      </c>
      <c r="BB313" s="251" t="str">
        <f>_xlfn.XLOOKUP(FMS_Ranking4[[#This Row],[FMS ID]],FMS_Input[FMS_ID],FMS_Input[WATER_SUP])</f>
        <v>No</v>
      </c>
      <c r="BC313" s="265">
        <f>IF(FMS_Ranking4[[#This Row],[Water Supply Raw]]="Yes",10,0)</f>
        <v>0</v>
      </c>
      <c r="BD313" s="266">
        <f>_xlfn.XLOOKUP(FMS_Ranking4[[#This Row],[FMS Type]],FMS_TYPE[FMS_Type],FMS_TYPE[Score])</f>
        <v>8</v>
      </c>
      <c r="BE313" s="267">
        <f>FMS_Ranking4[[#This Row],[FMS_Type Score]]*$BD$5*10</f>
        <v>2</v>
      </c>
      <c r="BF31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0.30681848067515222</v>
      </c>
      <c r="BG313" s="271">
        <f>_xlfn.RANK.EQ(BF313,$BF$8:$BF$870,0)+COUNTIF($BF$8:BF313,BF313)-1</f>
        <v>293</v>
      </c>
      <c r="BH313" s="268">
        <f>(((FMS_Ranking4[[#This Row],[Structures Removed Raw]]/AK$4)*100)*AK$5)+(((FMS_Ranking4[[#This Row],[Removed Pop Raw]]/AR$4)*100)*AR$5)</f>
        <v>0</v>
      </c>
      <c r="BI31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2.3068184806751524</v>
      </c>
      <c r="BJ313" s="205">
        <f>_xlfn.RANK.EQ(FMS_Ranking4[[#This Row],[Total Score 
(with linear
normalization)]],FMS_Ranking4[Total Score 
(with linear
normalization)],0)</f>
        <v>294</v>
      </c>
      <c r="BK313" s="205" t="e">
        <f>_xlfn.XLOOKUP(FMS_Ranking4[[#This Row],[FMS ID]],#REF!,#REF!)</f>
        <v>#REF!</v>
      </c>
      <c r="BL31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24.604494177645527</v>
      </c>
      <c r="BM313" s="272">
        <f>FMS_Ranking4[[#This Row],[ArcSinh Score Based on Normalized Reported Factors]]+FMS_Ranking4[[#This Row],[% NBS Score (Normalized)]]+(FMS_Ranking4[[#This Row],[Water Supply Score (Normalized)]]*10*$BB$5)+FMS_Ranking4[[#This Row],[FMS_Type Score Weighted]]</f>
        <v>26.604494177645527</v>
      </c>
      <c r="BN313" s="205">
        <f>_xlfn.RANK.EQ(FMS_Ranking4[[#This Row],[Total Score (with ArcSinh normalization of select criteria)]],FMS_Ranking4[Total Score (with ArcSinh normalization of select criteria)],0)</f>
        <v>306</v>
      </c>
      <c r="BO313" s="270" t="str">
        <f>_xlfn.XLOOKUP(FMS_Ranking4[[#This Row],[FMS ID]],FMS_Input[FMS_ID],FMS_Input[FMS_RANK_YEAR])</f>
        <v>2023 Amended Plan</v>
      </c>
      <c r="BP313" s="204">
        <f>_xlfn.XLOOKUP(FMS_Ranking4[[#This Row],[FMS ID]],Prev_Rank[FMS ID],Prev_Rank[Prev Rank])</f>
        <v>273</v>
      </c>
      <c r="BQ313" s="205" t="e">
        <f>_xlfn.XLOOKUP(FMS_Ranking4[[#This Row],[FMS ID]],#REF!,#REF!)</f>
        <v>#REF!</v>
      </c>
      <c r="BR313" s="199" t="e">
        <f>SUM(#REF!,#REF!,#REF!,#REF!,#REF!,#REF!,#REF!,#REF!,#REF!,FMS_Ranking4[[#This Row],[ArcSinh Res struct removed 0-10]],#REF!)</f>
        <v>#REF!</v>
      </c>
      <c r="BS313" s="199" t="e">
        <f>FMS_Ranking4[[#This Row],[Log Score Based on Normalized Reported Factors]]+FMS_Ranking4[[#This Row],[% NBS Score (Normalized)]]+(FMS_Ranking4[[#This Row],[Water Supply Score (Normalized)]]*10*$BB$5)+(FMS_Ranking4[[#This Row],[FMS_Type Score Weighted]])</f>
        <v>#REF!</v>
      </c>
      <c r="BT313" s="200" t="e">
        <f>_xlfn.RANK.EQ(FMS_Ranking4[[#This Row],[Log Total Score]],FMS_Ranking4[Log Total Score],0)</f>
        <v>#REF!</v>
      </c>
      <c r="BU313" s="200" t="e">
        <f>_xlfn.XLOOKUP(FMS_Ranking4[[#This Row],[FMS ID]],#REF!,#REF!)</f>
        <v>#REF!</v>
      </c>
      <c r="BV313" s="200">
        <f>FMS_Ranking4[[#This Row],[Region Number]]</f>
        <v>1</v>
      </c>
      <c r="BW313" s="200">
        <f>FMS_Ranking4[[#This Row],[Rank (with ArcSinh normalization of select criteria)]]-FMS_Ranking4[[#This Row],[Rank
(with linear
normalization)]]</f>
        <v>12</v>
      </c>
      <c r="BX313" s="200" t="e">
        <f>FMS_Ranking4[[#This Row],[Log Rank]]-FMS_Ranking4[[#This Row],[Rank
(with linear
normalization)]]</f>
        <v>#REF!</v>
      </c>
      <c r="BY313" s="200" t="str">
        <f>IF(FMS_Ranking4[[#This Row],[FMS Type]]="Flood Measurement and Warning",FMS_Ranking4[[#This Row],[Rank (with ArcSinh normalization of select criteria)]],"")</f>
        <v/>
      </c>
      <c r="BZ313" s="200">
        <f>IF(FMS_Ranking4[[#This Row],[FMS Type]]="Regulatory and Guidance",FMS_Ranking4[[#This Row],[Rank (with ArcSinh normalization of select criteria)]],"")</f>
        <v>306</v>
      </c>
      <c r="CA313" s="200" t="str">
        <f>IF(FMS_Ranking4[[#This Row],[FMS Type]]="Education and Outreach",FMS_Ranking4[[#This Row],[Rank (with ArcSinh normalization of select criteria)]],"")</f>
        <v/>
      </c>
      <c r="CB313" s="200" t="str">
        <f>IF(FMS_Ranking4[[#This Row],[FMS Type]]="Property Acquisition and Structural Elevation",FMS_Ranking4[[#This Row],[Rank (with ArcSinh normalization of select criteria)]],"")</f>
        <v/>
      </c>
      <c r="CC313" s="200" t="str">
        <f>IF(FMS_Ranking4[[#This Row],[FMS Type]]="Infrastructure Projects",FMS_Ranking4[[#This Row],[Rank (with ArcSinh normalization of select criteria)]],"")</f>
        <v/>
      </c>
      <c r="CD313" s="200" t="str">
        <f>IF(FMS_Ranking4[[#This Row],[FMS Type]]="Other",FMS_Ranking4[[#This Row],[Rank (with ArcSinh normalization of select criteria)]],"")</f>
        <v/>
      </c>
      <c r="CE313" s="201"/>
      <c r="CF313" s="206"/>
      <c r="CG313" s="206"/>
      <c r="CH313" s="206"/>
      <c r="CI313" s="206"/>
      <c r="CJ313" s="206"/>
      <c r="CK313" s="206"/>
      <c r="CL313" s="206"/>
      <c r="CM313" s="206"/>
      <c r="CN313" s="206"/>
      <c r="CO313" s="206"/>
      <c r="CP313" s="206"/>
      <c r="CQ313" s="206"/>
      <c r="CR313" s="206"/>
    </row>
    <row r="314" spans="2:96" ht="135" x14ac:dyDescent="0.25">
      <c r="B314" s="341" t="s">
        <v>1</v>
      </c>
      <c r="C314" s="246">
        <f>_xlfn.XLOOKUP(FMS_Ranking4[[#This Row],[FMS ID]],FMS_Input[FMS_ID],FMS_Input[RFPG_NUM])</f>
        <v>6</v>
      </c>
      <c r="D314" s="309" t="str">
        <f>_xlfn.XLOOKUP(FMS_Ranking4[[#This Row],[FMS ID]],FMS_Input[FMS_ID],FMS_Input[FMS_NAME])</f>
        <v xml:space="preserve">City of Bellaire Roadway and Drainage Improvements_x000D_
</v>
      </c>
      <c r="E314" s="308" t="str">
        <f>_xlfn.XLOOKUP(FMS_Ranking4[[#This Row],[FMS ID]],FMS_Input[FMS_ID],FMS_Input[SPONSOR])</f>
        <v>06002854</v>
      </c>
      <c r="F314" s="309" t="str">
        <f>_xlfn.XLOOKUP(FMS_Ranking4[[#This Row],[FMS ID]],Sponsor[FMS_ID],Sponsor[SPONSOR NAME])</f>
        <v>Bellaire</v>
      </c>
      <c r="G314" s="309" t="str">
        <f>_xlfn.XLOOKUP(FMS_Ranking4[[#This Row],[FMS ID]],FMS_Input[FMS_ID],FMS_Input[FMS_DESCR])</f>
        <v>Perform engineering services in support of the local drainage asset management planning, to repair or reconstruct antiquated local drainage and associated road infrastructure. Including design of storm sewers, roadways, and overland storage/conveyance.</v>
      </c>
      <c r="H314" s="248" t="str">
        <f>_xlfn.XLOOKUP(FMS_Ranking4[[#This Row],[FMS ID]],FMS_Input[FMS_ID],FMS_Input[FMS_TYPE])</f>
        <v>Other</v>
      </c>
      <c r="I314" s="249">
        <f>_xlfn.XLOOKUP(FMS_Ranking4[[#This Row],[FMS ID]],FMS_Input[FMS_ID],FMS_Input[NRNC_COST])</f>
        <v>150000</v>
      </c>
      <c r="J314" s="250">
        <f>_xlfn.XLOOKUP(FMS_Ranking4[[#This Row],[FMS ID]],FMS_Input[FMS_ID],FMS_Input[FMS_COST])</f>
        <v>3000000</v>
      </c>
      <c r="K314" s="251" t="str">
        <f>_xlfn.XLOOKUP(FMS_Ranking4[[#This Row],[FMS ID]],FMS_Input[FMS_ID],FMS_Input[EMER_NEED])</f>
        <v>No</v>
      </c>
      <c r="L314" s="252">
        <f t="shared" si="4"/>
        <v>0</v>
      </c>
      <c r="M314" s="253">
        <f>_xlfn.XLOOKUP(FMS_Ranking4[[#This Row],[FMS ID]],FMS_Input[FMS_ID],FMS_Input[STRUCT_100])</f>
        <v>5879</v>
      </c>
      <c r="N314" s="255">
        <f>(ASINH(FMS_Ranking4[[#This Row],[Structure at Risk Raw]]))*(10)/(ASINH(M$4))</f>
        <v>7.368014742322452</v>
      </c>
      <c r="O314" s="256">
        <f>FMS_Ranking4[[#This Row],[Structures at risk, ArcSinh (0-10)]]*M$5*10</f>
        <v>7.3680147423224529</v>
      </c>
      <c r="P314" s="253">
        <f>_xlfn.XLOOKUP(FMS_Ranking4[[#This Row],[FMS ID]],FMS_Input[FMS_ID],FMS_Input[RES_STRUCT100])</f>
        <v>5539</v>
      </c>
      <c r="Q314" s="257">
        <f>ASINH(FMS_Ranking4[[#This Row],[Res Structure Raw]])/Q$4*P$5*100</f>
        <v>0</v>
      </c>
      <c r="R314" s="253">
        <f>_xlfn.XLOOKUP(FMS_Ranking4[[#This Row],[FMS ID]],FMS_Input[FMS_ID],FMS_Input[POP100])</f>
        <v>25741</v>
      </c>
      <c r="S314" s="255">
        <f>(ASINH(FMS_Ranking4[[#This Row],[Pop at Risk Raw]]))*(10)/(ASINH(R$4))</f>
        <v>7.4896876847086586</v>
      </c>
      <c r="T314" s="256">
        <f>FMS_Ranking4[[#This Row],[Population at risk, ArcSinh (0-10)]]*R$5*10</f>
        <v>7.4896876847086595</v>
      </c>
      <c r="U314" s="253">
        <f>_xlfn.XLOOKUP(FMS_Ranking4[[#This Row],[FMS ID]],FMS_Input[FMS_ID],FMS_Input[CRITFAC100])</f>
        <v>71</v>
      </c>
      <c r="V314" s="255">
        <f>(ASINH(FMS_Ranking4[[#This Row],[Critical Facilities Raw]]))*(10)/(ASINH(U$4))</f>
        <v>5.8665890510003154</v>
      </c>
      <c r="W314" s="256">
        <f>FMS_Ranking4[[#This Row],[Critical facilities at risk, ArcSinh (0-10)]]*U$5*10</f>
        <v>5.8665890510003162</v>
      </c>
      <c r="X314" s="253">
        <f>_xlfn.XLOOKUP(FMS_Ranking4[[#This Row],[FMS ID]],FMS_Input[FMS_ID],FMS_Input[LWC])</f>
        <v>0</v>
      </c>
      <c r="Y314" s="255">
        <f>(ASINH(FMS_Ranking4[[#This Row],[LWC Raw]]))*(10)/(ASINH(X$4))</f>
        <v>0</v>
      </c>
      <c r="Z314" s="256">
        <f>FMS_Ranking4[[#This Row],[LWC, ArcSInh (0-10)]]*X$5*10</f>
        <v>0</v>
      </c>
      <c r="AA314" s="253">
        <f>_xlfn.XLOOKUP(FMS_Ranking4[[#This Row],[FMS ID]],FMS_Input[FMS_ID],FMS_Input[ROADCLS])</f>
        <v>0</v>
      </c>
      <c r="AB314" s="255">
        <f>(ASINH(FMS_Ranking4[[#This Row],[Road Closures Raw]]))*(10)/(ASINH(AA$4))</f>
        <v>0</v>
      </c>
      <c r="AC314" s="256">
        <f>FMS_Ranking4[[#This Row],[Road closures, ArcSinh (0-10)]]*AA$5*10</f>
        <v>0</v>
      </c>
      <c r="AD314" s="253">
        <f>_xlfn.XLOOKUP(FMS_Ranking4[[#This Row],[FMS ID]],FMS_Input[FMS_ID],FMS_Input[ROAD_MILES100])</f>
        <v>71</v>
      </c>
      <c r="AE314" s="255">
        <f>(ASINH(FMS_Ranking4[[#This Row],[Road Miles Raw]]))*(10)/(ASINH(AD$4))</f>
        <v>5.2816010241547486</v>
      </c>
      <c r="AF314" s="256">
        <f>FMS_Ranking4[[#This Row],[Length of roads at risk, ArcSinh (0-10)]]*AD$5*10</f>
        <v>5.2816010241547486</v>
      </c>
      <c r="AG314" s="253">
        <f>_xlfn.XLOOKUP(FMS_Ranking4[[#This Row],[FMS ID]],FMS_Input[FMS_ID],FMS_Input[FARMACRE100])</f>
        <v>0.1517360061407089</v>
      </c>
      <c r="AH314" s="255">
        <f>(ASINH(FMS_Ranking4[[#This Row],[Ag Land Raw]]))*(10)/(ASINH(AG$4))</f>
        <v>9.8190540267440299E-2</v>
      </c>
      <c r="AI314" s="260">
        <f>FMS_Ranking4[[#This Row],[Farm &amp; ranch land, ArcSinh (0-10)]]*AG$5*10</f>
        <v>4.9095270133720156E-2</v>
      </c>
      <c r="AJ314" s="258">
        <f>_xlfn.XLOOKUP(FMS_Ranking4[[#This Row],[FMS ID]],FMS_Input[FMS_ID],FMS_Input[REDSTRUCT100])</f>
        <v>0</v>
      </c>
      <c r="AK314" s="253">
        <f>_xlfn.XLOOKUP(FMS_Ranking4[[#This Row],[FMS ID]],FMS_Input[FMS_ID],FMS_Input[REMSTRC100])</f>
        <v>0</v>
      </c>
      <c r="AL314" s="255">
        <f>(ASINH(FMS_Ranking4[[#This Row],[Structures Removed Raw]]))*(10)/(ASINH(AK$4))</f>
        <v>0</v>
      </c>
      <c r="AM314" s="262">
        <f>FMS_Ranking4[[#This Row],[Structures removed, ArcSinh (0-10)]]*AK$5*10</f>
        <v>0</v>
      </c>
      <c r="AN314" s="253">
        <f>_xlfn.XLOOKUP(FMS_Ranking4[[#This Row],[FMS ID]],FMS_Input[FMS_ID],FMS_Input[REMRESSTRC100])</f>
        <v>0</v>
      </c>
      <c r="AO314" s="261">
        <f>FMS_Ranking4[[#This Row],[ArcSinh Res struct removed 0-10]]*AN$5*10</f>
        <v>0</v>
      </c>
      <c r="AP314" s="260">
        <f>ASINH(FMS_Ranking4[[#This Row],[Residential Structures Removed Raw]])/AP$4*AN$5*100</f>
        <v>0</v>
      </c>
      <c r="AQ314" s="258">
        <f>(ASINH(FMS_Ranking4[[#This Row],[Residential Structures Removed Raw]]))*(10)/(ASINH(AN$4))</f>
        <v>0</v>
      </c>
      <c r="AR314" s="253">
        <f>_xlfn.XLOOKUP(FMS_Ranking4[[#This Row],[FMS ID]],FMS_Input[FMS_ID],FMS_Input[REMPOP100])</f>
        <v>0</v>
      </c>
      <c r="AS314" s="255">
        <f>(ASINH(FMS_Ranking4[[#This Row],[Removed Pop Raw]]))*(10)/(ASINH(AR$4))</f>
        <v>0</v>
      </c>
      <c r="AT314" s="262">
        <f>FMS_Ranking4[[#This Row],[Removed population, ArcSinh (0-10)]]*AR$5*10</f>
        <v>0</v>
      </c>
      <c r="AU314" s="264">
        <f>_xlfn.XLOOKUP(FMS_Ranking4[[#This Row],[FMS ID]],FMS_Input[FMS_ID],FMS_Input[REMCRITFAC100])</f>
        <v>0</v>
      </c>
      <c r="AV314" s="264">
        <f>_xlfn.XLOOKUP(FMS_Ranking4[[#This Row],[FMS ID]],FMS_Input[FMS_ID],FMS_Input[REMLWC100])</f>
        <v>0</v>
      </c>
      <c r="AW314" s="264">
        <f>_xlfn.XLOOKUP(FMS_Ranking4[[#This Row],[FMS ID]],FMS_Input[FMS_ID],FMS_Input[REMROADCLS])</f>
        <v>0</v>
      </c>
      <c r="AX314" s="264">
        <f>_xlfn.XLOOKUP(FMS_Ranking4[[#This Row],[FMS ID]],FMS_Input[FMS_ID],FMS_Input[REMFRMACRE100])</f>
        <v>0</v>
      </c>
      <c r="AY314" s="258">
        <f>_xlfn.XLOOKUP(FMS_Ranking4[[#This Row],[FMS ID]],FMS_Input[FMS_ID],FMS_Input[COSTSTRUCT])</f>
        <v>0</v>
      </c>
      <c r="AZ314" s="253">
        <f>_xlfn.XLOOKUP(FMS_Ranking4[[#This Row],[FMS ID]],FMS_Input[FMS_ID],FMS_Input[NATURE])</f>
        <v>0</v>
      </c>
      <c r="BA314" s="262">
        <f>(((FMS_Ranking4[[#This Row],[% NBS Raw]]/AZ$4)*100)*AZ$5)</f>
        <v>0</v>
      </c>
      <c r="BB314" s="251" t="str">
        <f>_xlfn.XLOOKUP(FMS_Ranking4[[#This Row],[FMS ID]],FMS_Input[FMS_ID],FMS_Input[WATER_SUP])</f>
        <v>No</v>
      </c>
      <c r="BC314" s="265">
        <f>IF(FMS_Ranking4[[#This Row],[Water Supply Raw]]="Yes",10,0)</f>
        <v>0</v>
      </c>
      <c r="BD314" s="266">
        <f>_xlfn.XLOOKUP(FMS_Ranking4[[#This Row],[FMS Type]],FMS_TYPE[FMS_Type],FMS_TYPE[Score])</f>
        <v>2</v>
      </c>
      <c r="BE314" s="267">
        <f>FMS_Ranking4[[#This Row],[FMS_Type Score]]*$BD$5*10</f>
        <v>0.5</v>
      </c>
      <c r="BF31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1.0389833579804335</v>
      </c>
      <c r="BG314" s="321">
        <f>_xlfn.RANK.EQ(BF314,$BF$8:$BF$870,0)+COUNTIF($BF$8:BF314,BF314)-1</f>
        <v>142</v>
      </c>
      <c r="BH314" s="294">
        <f>(((FMS_Ranking4[[#This Row],[Structures Removed Raw]]/AK$4)*100)*AK$5)+(((FMS_Ranking4[[#This Row],[Removed Pop Raw]]/AR$4)*100)*AR$5)</f>
        <v>0</v>
      </c>
      <c r="BI31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1.5389833579804335</v>
      </c>
      <c r="BJ314" s="251">
        <f>_xlfn.RANK.EQ(FMS_Ranking4[[#This Row],[Total Score 
(with linear
normalization)]],FMS_Ranking4[Total Score 
(with linear
normalization)],0)</f>
        <v>581</v>
      </c>
      <c r="BK314" s="251" t="e">
        <f>_xlfn.XLOOKUP(FMS_Ranking4[[#This Row],[FMS ID]],#REF!,#REF!)</f>
        <v>#REF!</v>
      </c>
      <c r="BL31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26.054987772319897</v>
      </c>
      <c r="BM314" s="324">
        <f>FMS_Ranking4[[#This Row],[ArcSinh Score Based on Normalized Reported Factors]]+FMS_Ranking4[[#This Row],[% NBS Score (Normalized)]]+(FMS_Ranking4[[#This Row],[Water Supply Score (Normalized)]]*10*$BB$5)+FMS_Ranking4[[#This Row],[FMS_Type Score Weighted]]</f>
        <v>26.554987772319897</v>
      </c>
      <c r="BN314" s="251">
        <f>_xlfn.RANK.EQ(FMS_Ranking4[[#This Row],[Total Score (with ArcSinh normalization of select criteria)]],FMS_Ranking4[Total Score (with ArcSinh normalization of select criteria)],0)</f>
        <v>307</v>
      </c>
      <c r="BO314" s="270" t="str">
        <f>_xlfn.XLOOKUP(FMS_Ranking4[[#This Row],[FMS ID]],FMS_Input[FMS_ID],FMS_Input[FMS_RANK_YEAR])</f>
        <v>2023 Amended Plan</v>
      </c>
      <c r="BP314" s="204">
        <f>_xlfn.XLOOKUP(FMS_Ranking4[[#This Row],[FMS ID]],Prev_Rank[FMS ID],Prev_Rank[Prev Rank])</f>
        <v>267</v>
      </c>
      <c r="BQ314" s="251" t="e">
        <f>_xlfn.XLOOKUP(FMS_Ranking4[[#This Row],[FMS ID]],#REF!,#REF!)</f>
        <v>#REF!</v>
      </c>
      <c r="BR314" s="199" t="e">
        <f>SUM(#REF!,#REF!,#REF!,#REF!,#REF!,#REF!,#REF!,#REF!,#REF!,FMS_Ranking4[[#This Row],[ArcSinh Res struct removed 0-10]],#REF!)</f>
        <v>#REF!</v>
      </c>
      <c r="BS314" s="199" t="e">
        <f>FMS_Ranking4[[#This Row],[Log Score Based on Normalized Reported Factors]]+FMS_Ranking4[[#This Row],[% NBS Score (Normalized)]]+(FMS_Ranking4[[#This Row],[Water Supply Score (Normalized)]]*10*$BB$5)+(FMS_Ranking4[[#This Row],[FMS_Type Score Weighted]])</f>
        <v>#REF!</v>
      </c>
      <c r="BT314" s="200" t="e">
        <f>_xlfn.RANK.EQ(FMS_Ranking4[[#This Row],[Log Total Score]],FMS_Ranking4[Log Total Score],0)</f>
        <v>#REF!</v>
      </c>
      <c r="BU314" s="200" t="e">
        <f>_xlfn.XLOOKUP(FMS_Ranking4[[#This Row],[FMS ID]],#REF!,#REF!)</f>
        <v>#REF!</v>
      </c>
      <c r="BV314" s="200">
        <f>FMS_Ranking4[[#This Row],[Region Number]]</f>
        <v>6</v>
      </c>
      <c r="BW314" s="200">
        <f>FMS_Ranking4[[#This Row],[Rank (with ArcSinh normalization of select criteria)]]-FMS_Ranking4[[#This Row],[Rank
(with linear
normalization)]]</f>
        <v>-274</v>
      </c>
      <c r="BX314" s="200" t="e">
        <f>FMS_Ranking4[[#This Row],[Log Rank]]-FMS_Ranking4[[#This Row],[Rank
(with linear
normalization)]]</f>
        <v>#REF!</v>
      </c>
      <c r="BY314" s="200" t="str">
        <f>IF(FMS_Ranking4[[#This Row],[FMS Type]]="Flood Measurement and Warning",FMS_Ranking4[[#This Row],[Rank (with ArcSinh normalization of select criteria)]],"")</f>
        <v/>
      </c>
      <c r="BZ314" s="200" t="str">
        <f>IF(FMS_Ranking4[[#This Row],[FMS Type]]="Regulatory and Guidance",FMS_Ranking4[[#This Row],[Rank (with ArcSinh normalization of select criteria)]],"")</f>
        <v/>
      </c>
      <c r="CA314" s="200" t="str">
        <f>IF(FMS_Ranking4[[#This Row],[FMS Type]]="Education and Outreach",FMS_Ranking4[[#This Row],[Rank (with ArcSinh normalization of select criteria)]],"")</f>
        <v/>
      </c>
      <c r="CB314" s="200" t="str">
        <f>IF(FMS_Ranking4[[#This Row],[FMS Type]]="Property Acquisition and Structural Elevation",FMS_Ranking4[[#This Row],[Rank (with ArcSinh normalization of select criteria)]],"")</f>
        <v/>
      </c>
      <c r="CC314" s="200" t="str">
        <f>IF(FMS_Ranking4[[#This Row],[FMS Type]]="Infrastructure Projects",FMS_Ranking4[[#This Row],[Rank (with ArcSinh normalization of select criteria)]],"")</f>
        <v/>
      </c>
      <c r="CD314" s="200">
        <f>IF(FMS_Ranking4[[#This Row],[FMS Type]]="Other",FMS_Ranking4[[#This Row],[Rank (with ArcSinh normalization of select criteria)]],"")</f>
        <v>307</v>
      </c>
      <c r="CE314" s="201"/>
      <c r="CF314" s="206"/>
      <c r="CG314" s="206"/>
      <c r="CH314" s="206"/>
      <c r="CI314" s="206"/>
      <c r="CJ314" s="206"/>
      <c r="CK314" s="206"/>
      <c r="CL314" s="206"/>
      <c r="CM314" s="206"/>
      <c r="CN314" s="206"/>
      <c r="CO314" s="206"/>
      <c r="CP314" s="206"/>
      <c r="CQ314" s="206"/>
      <c r="CR314" s="206"/>
    </row>
    <row r="315" spans="2:96" ht="105" x14ac:dyDescent="0.25">
      <c r="B315" s="341" t="s">
        <v>10</v>
      </c>
      <c r="C315" s="246">
        <f>_xlfn.XLOOKUP(FMS_Ranking4[[#This Row],[FMS ID]],FMS_Input[FMS_ID],FMS_Input[RFPG_NUM])</f>
        <v>6</v>
      </c>
      <c r="D315" s="309" t="str">
        <f>_xlfn.XLOOKUP(FMS_Ranking4[[#This Row],[FMS ID]],FMS_Input[FMS_ID],FMS_Input[FMS_NAME])</f>
        <v xml:space="preserve">City of Bellaire Surrounding Area Drainage Improvements_x000D_
</v>
      </c>
      <c r="E315" s="308" t="str">
        <f>_xlfn.XLOOKUP(FMS_Ranking4[[#This Row],[FMS ID]],FMS_Input[FMS_ID],FMS_Input[SPONSOR])</f>
        <v>06002854</v>
      </c>
      <c r="F315" s="309" t="str">
        <f>_xlfn.XLOOKUP(FMS_Ranking4[[#This Row],[FMS ID]],Sponsor[FMS_ID],Sponsor[SPONSOR NAME])</f>
        <v>Bellaire</v>
      </c>
      <c r="G315" s="309" t="str">
        <f>_xlfn.XLOOKUP(FMS_Ranking4[[#This Row],[FMS ID]],FMS_Input[FMS_ID],FMS_Input[FMS_DESCR])</f>
        <v xml:space="preserve">Partner with surrounding municipalities/governmental agencies to identify drainage improvements (conveyance or detention) which could minimize extreme event sheet flow entering into Bellaire. </v>
      </c>
      <c r="H315" s="248" t="str">
        <f>_xlfn.XLOOKUP(FMS_Ranking4[[#This Row],[FMS ID]],FMS_Input[FMS_ID],FMS_Input[FMS_TYPE])</f>
        <v>Other</v>
      </c>
      <c r="I315" s="249">
        <f>_xlfn.XLOOKUP(FMS_Ranking4[[#This Row],[FMS ID]],FMS_Input[FMS_ID],FMS_Input[NRNC_COST])</f>
        <v>5000</v>
      </c>
      <c r="J315" s="250">
        <f>_xlfn.XLOOKUP(FMS_Ranking4[[#This Row],[FMS ID]],FMS_Input[FMS_ID],FMS_Input[FMS_COST])</f>
        <v>100000</v>
      </c>
      <c r="K315" s="251" t="str">
        <f>_xlfn.XLOOKUP(FMS_Ranking4[[#This Row],[FMS ID]],FMS_Input[FMS_ID],FMS_Input[EMER_NEED])</f>
        <v>No</v>
      </c>
      <c r="L315" s="252">
        <f t="shared" si="4"/>
        <v>0</v>
      </c>
      <c r="M315" s="253">
        <f>_xlfn.XLOOKUP(FMS_Ranking4[[#This Row],[FMS ID]],FMS_Input[FMS_ID],FMS_Input[STRUCT_100])</f>
        <v>5879</v>
      </c>
      <c r="N315" s="255">
        <f>(ASINH(FMS_Ranking4[[#This Row],[Structure at Risk Raw]]))*(10)/(ASINH(M$4))</f>
        <v>7.368014742322452</v>
      </c>
      <c r="O315" s="256">
        <f>FMS_Ranking4[[#This Row],[Structures at risk, ArcSinh (0-10)]]*M$5*10</f>
        <v>7.3680147423224529</v>
      </c>
      <c r="P315" s="253">
        <f>_xlfn.XLOOKUP(FMS_Ranking4[[#This Row],[FMS ID]],FMS_Input[FMS_ID],FMS_Input[RES_STRUCT100])</f>
        <v>5539</v>
      </c>
      <c r="Q315" s="257">
        <f>ASINH(FMS_Ranking4[[#This Row],[Res Structure Raw]])/Q$4*P$5*100</f>
        <v>0</v>
      </c>
      <c r="R315" s="253">
        <f>_xlfn.XLOOKUP(FMS_Ranking4[[#This Row],[FMS ID]],FMS_Input[FMS_ID],FMS_Input[POP100])</f>
        <v>25741</v>
      </c>
      <c r="S315" s="255">
        <f>(ASINH(FMS_Ranking4[[#This Row],[Pop at Risk Raw]]))*(10)/(ASINH(R$4))</f>
        <v>7.4896876847086586</v>
      </c>
      <c r="T315" s="256">
        <f>FMS_Ranking4[[#This Row],[Population at risk, ArcSinh (0-10)]]*R$5*10</f>
        <v>7.4896876847086595</v>
      </c>
      <c r="U315" s="253">
        <f>_xlfn.XLOOKUP(FMS_Ranking4[[#This Row],[FMS ID]],FMS_Input[FMS_ID],FMS_Input[CRITFAC100])</f>
        <v>71</v>
      </c>
      <c r="V315" s="255">
        <f>(ASINH(FMS_Ranking4[[#This Row],[Critical Facilities Raw]]))*(10)/(ASINH(U$4))</f>
        <v>5.8665890510003154</v>
      </c>
      <c r="W315" s="256">
        <f>FMS_Ranking4[[#This Row],[Critical facilities at risk, ArcSinh (0-10)]]*U$5*10</f>
        <v>5.8665890510003162</v>
      </c>
      <c r="X315" s="253">
        <f>_xlfn.XLOOKUP(FMS_Ranking4[[#This Row],[FMS ID]],FMS_Input[FMS_ID],FMS_Input[LWC])</f>
        <v>0</v>
      </c>
      <c r="Y315" s="255">
        <f>(ASINH(FMS_Ranking4[[#This Row],[LWC Raw]]))*(10)/(ASINH(X$4))</f>
        <v>0</v>
      </c>
      <c r="Z315" s="256">
        <f>FMS_Ranking4[[#This Row],[LWC, ArcSInh (0-10)]]*X$5*10</f>
        <v>0</v>
      </c>
      <c r="AA315" s="253">
        <f>_xlfn.XLOOKUP(FMS_Ranking4[[#This Row],[FMS ID]],FMS_Input[FMS_ID],FMS_Input[ROADCLS])</f>
        <v>0</v>
      </c>
      <c r="AB315" s="255">
        <f>(ASINH(FMS_Ranking4[[#This Row],[Road Closures Raw]]))*(10)/(ASINH(AA$4))</f>
        <v>0</v>
      </c>
      <c r="AC315" s="256">
        <f>FMS_Ranking4[[#This Row],[Road closures, ArcSinh (0-10)]]*AA$5*10</f>
        <v>0</v>
      </c>
      <c r="AD315" s="253">
        <f>_xlfn.XLOOKUP(FMS_Ranking4[[#This Row],[FMS ID]],FMS_Input[FMS_ID],FMS_Input[ROAD_MILES100])</f>
        <v>71</v>
      </c>
      <c r="AE315" s="255">
        <f>(ASINH(FMS_Ranking4[[#This Row],[Road Miles Raw]]))*(10)/(ASINH(AD$4))</f>
        <v>5.2816010241547486</v>
      </c>
      <c r="AF315" s="256">
        <f>FMS_Ranking4[[#This Row],[Length of roads at risk, ArcSinh (0-10)]]*AD$5*10</f>
        <v>5.2816010241547486</v>
      </c>
      <c r="AG315" s="253">
        <f>_xlfn.XLOOKUP(FMS_Ranking4[[#This Row],[FMS ID]],FMS_Input[FMS_ID],FMS_Input[FARMACRE100])</f>
        <v>0.1517360061407089</v>
      </c>
      <c r="AH315" s="255">
        <f>(ASINH(FMS_Ranking4[[#This Row],[Ag Land Raw]]))*(10)/(ASINH(AG$4))</f>
        <v>9.8190540267440299E-2</v>
      </c>
      <c r="AI315" s="260">
        <f>FMS_Ranking4[[#This Row],[Farm &amp; ranch land, ArcSinh (0-10)]]*AG$5*10</f>
        <v>4.9095270133720156E-2</v>
      </c>
      <c r="AJ315" s="258">
        <f>_xlfn.XLOOKUP(FMS_Ranking4[[#This Row],[FMS ID]],FMS_Input[FMS_ID],FMS_Input[REDSTRUCT100])</f>
        <v>0</v>
      </c>
      <c r="AK315" s="253">
        <f>_xlfn.XLOOKUP(FMS_Ranking4[[#This Row],[FMS ID]],FMS_Input[FMS_ID],FMS_Input[REMSTRC100])</f>
        <v>0</v>
      </c>
      <c r="AL315" s="255">
        <f>(ASINH(FMS_Ranking4[[#This Row],[Structures Removed Raw]]))*(10)/(ASINH(AK$4))</f>
        <v>0</v>
      </c>
      <c r="AM315" s="262">
        <f>FMS_Ranking4[[#This Row],[Structures removed, ArcSinh (0-10)]]*AK$5*10</f>
        <v>0</v>
      </c>
      <c r="AN315" s="253">
        <f>_xlfn.XLOOKUP(FMS_Ranking4[[#This Row],[FMS ID]],FMS_Input[FMS_ID],FMS_Input[REMRESSTRC100])</f>
        <v>0</v>
      </c>
      <c r="AO315" s="261">
        <f>FMS_Ranking4[[#This Row],[ArcSinh Res struct removed 0-10]]*AN$5*10</f>
        <v>0</v>
      </c>
      <c r="AP315" s="260">
        <f>ASINH(FMS_Ranking4[[#This Row],[Residential Structures Removed Raw]])/AP$4*AN$5*100</f>
        <v>0</v>
      </c>
      <c r="AQ315" s="258">
        <f>(ASINH(FMS_Ranking4[[#This Row],[Residential Structures Removed Raw]]))*(10)/(ASINH(AN$4))</f>
        <v>0</v>
      </c>
      <c r="AR315" s="253">
        <f>_xlfn.XLOOKUP(FMS_Ranking4[[#This Row],[FMS ID]],FMS_Input[FMS_ID],FMS_Input[REMPOP100])</f>
        <v>0</v>
      </c>
      <c r="AS315" s="255">
        <f>(ASINH(FMS_Ranking4[[#This Row],[Removed Pop Raw]]))*(10)/(ASINH(AR$4))</f>
        <v>0</v>
      </c>
      <c r="AT315" s="262">
        <f>FMS_Ranking4[[#This Row],[Removed population, ArcSinh (0-10)]]*AR$5*10</f>
        <v>0</v>
      </c>
      <c r="AU315" s="264">
        <f>_xlfn.XLOOKUP(FMS_Ranking4[[#This Row],[FMS ID]],FMS_Input[FMS_ID],FMS_Input[REMCRITFAC100])</f>
        <v>0</v>
      </c>
      <c r="AV315" s="264">
        <f>_xlfn.XLOOKUP(FMS_Ranking4[[#This Row],[FMS ID]],FMS_Input[FMS_ID],FMS_Input[REMLWC100])</f>
        <v>0</v>
      </c>
      <c r="AW315" s="264">
        <f>_xlfn.XLOOKUP(FMS_Ranking4[[#This Row],[FMS ID]],FMS_Input[FMS_ID],FMS_Input[REMROADCLS])</f>
        <v>0</v>
      </c>
      <c r="AX315" s="264">
        <f>_xlfn.XLOOKUP(FMS_Ranking4[[#This Row],[FMS ID]],FMS_Input[FMS_ID],FMS_Input[REMFRMACRE100])</f>
        <v>0</v>
      </c>
      <c r="AY315" s="258">
        <f>_xlfn.XLOOKUP(FMS_Ranking4[[#This Row],[FMS ID]],FMS_Input[FMS_ID],FMS_Input[COSTSTRUCT])</f>
        <v>0</v>
      </c>
      <c r="AZ315" s="253">
        <f>_xlfn.XLOOKUP(FMS_Ranking4[[#This Row],[FMS ID]],FMS_Input[FMS_ID],FMS_Input[NATURE])</f>
        <v>0</v>
      </c>
      <c r="BA315" s="262">
        <f>(((FMS_Ranking4[[#This Row],[% NBS Raw]]/AZ$4)*100)*AZ$5)</f>
        <v>0</v>
      </c>
      <c r="BB315" s="251" t="str">
        <f>_xlfn.XLOOKUP(FMS_Ranking4[[#This Row],[FMS ID]],FMS_Input[FMS_ID],FMS_Input[WATER_SUP])</f>
        <v>No</v>
      </c>
      <c r="BC315" s="265">
        <f>IF(FMS_Ranking4[[#This Row],[Water Supply Raw]]="Yes",10,0)</f>
        <v>0</v>
      </c>
      <c r="BD315" s="266">
        <f>_xlfn.XLOOKUP(FMS_Ranking4[[#This Row],[FMS Type]],FMS_TYPE[FMS_Type],FMS_TYPE[Score])</f>
        <v>2</v>
      </c>
      <c r="BE315" s="267">
        <f>FMS_Ranking4[[#This Row],[FMS_Type Score]]*$BD$5*10</f>
        <v>0.5</v>
      </c>
      <c r="BF31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1.0389833579804335</v>
      </c>
      <c r="BG315" s="321">
        <f>_xlfn.RANK.EQ(BF315,$BF$8:$BF$870,0)+COUNTIF($BF$8:BF315,BF315)-1</f>
        <v>143</v>
      </c>
      <c r="BH315" s="294">
        <f>(((FMS_Ranking4[[#This Row],[Structures Removed Raw]]/AK$4)*100)*AK$5)+(((FMS_Ranking4[[#This Row],[Removed Pop Raw]]/AR$4)*100)*AR$5)</f>
        <v>0</v>
      </c>
      <c r="BI31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1.5389833579804335</v>
      </c>
      <c r="BJ315" s="251">
        <f>_xlfn.RANK.EQ(FMS_Ranking4[[#This Row],[Total Score 
(with linear
normalization)]],FMS_Ranking4[Total Score 
(with linear
normalization)],0)</f>
        <v>581</v>
      </c>
      <c r="BK315" s="251" t="e">
        <f>_xlfn.XLOOKUP(FMS_Ranking4[[#This Row],[FMS ID]],#REF!,#REF!)</f>
        <v>#REF!</v>
      </c>
      <c r="BL31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26.054987772319897</v>
      </c>
      <c r="BM315" s="324">
        <f>FMS_Ranking4[[#This Row],[ArcSinh Score Based on Normalized Reported Factors]]+FMS_Ranking4[[#This Row],[% NBS Score (Normalized)]]+(FMS_Ranking4[[#This Row],[Water Supply Score (Normalized)]]*10*$BB$5)+FMS_Ranking4[[#This Row],[FMS_Type Score Weighted]]</f>
        <v>26.554987772319897</v>
      </c>
      <c r="BN315" s="251">
        <f>_xlfn.RANK.EQ(FMS_Ranking4[[#This Row],[Total Score (with ArcSinh normalization of select criteria)]],FMS_Ranking4[Total Score (with ArcSinh normalization of select criteria)],0)</f>
        <v>307</v>
      </c>
      <c r="BO315" s="270" t="str">
        <f>_xlfn.XLOOKUP(FMS_Ranking4[[#This Row],[FMS ID]],FMS_Input[FMS_ID],FMS_Input[FMS_RANK_YEAR])</f>
        <v>2023 Amended Plan</v>
      </c>
      <c r="BP315" s="204">
        <f>_xlfn.XLOOKUP(FMS_Ranking4[[#This Row],[FMS ID]],Prev_Rank[FMS ID],Prev_Rank[Prev Rank])</f>
        <v>267</v>
      </c>
      <c r="BQ315" s="251" t="e">
        <f>_xlfn.XLOOKUP(FMS_Ranking4[[#This Row],[FMS ID]],#REF!,#REF!)</f>
        <v>#REF!</v>
      </c>
      <c r="BR315" s="199" t="e">
        <f>SUM(#REF!,#REF!,#REF!,#REF!,#REF!,#REF!,#REF!,#REF!,#REF!,FMS_Ranking4[[#This Row],[ArcSinh Res struct removed 0-10]],#REF!)</f>
        <v>#REF!</v>
      </c>
      <c r="BS315" s="199" t="e">
        <f>FMS_Ranking4[[#This Row],[Log Score Based on Normalized Reported Factors]]+FMS_Ranking4[[#This Row],[% NBS Score (Normalized)]]+(FMS_Ranking4[[#This Row],[Water Supply Score (Normalized)]]*10*$BB$5)+(FMS_Ranking4[[#This Row],[FMS_Type Score Weighted]])</f>
        <v>#REF!</v>
      </c>
      <c r="BT315" s="200" t="e">
        <f>_xlfn.RANK.EQ(FMS_Ranking4[[#This Row],[Log Total Score]],FMS_Ranking4[Log Total Score],0)</f>
        <v>#REF!</v>
      </c>
      <c r="BU315" s="200" t="e">
        <f>_xlfn.XLOOKUP(FMS_Ranking4[[#This Row],[FMS ID]],#REF!,#REF!)</f>
        <v>#REF!</v>
      </c>
      <c r="BV315" s="200">
        <f>FMS_Ranking4[[#This Row],[Region Number]]</f>
        <v>6</v>
      </c>
      <c r="BW315" s="200">
        <f>FMS_Ranking4[[#This Row],[Rank (with ArcSinh normalization of select criteria)]]-FMS_Ranking4[[#This Row],[Rank
(with linear
normalization)]]</f>
        <v>-274</v>
      </c>
      <c r="BX315" s="200" t="e">
        <f>FMS_Ranking4[[#This Row],[Log Rank]]-FMS_Ranking4[[#This Row],[Rank
(with linear
normalization)]]</f>
        <v>#REF!</v>
      </c>
      <c r="BY315" s="200" t="str">
        <f>IF(FMS_Ranking4[[#This Row],[FMS Type]]="Flood Measurement and Warning",FMS_Ranking4[[#This Row],[Rank (with ArcSinh normalization of select criteria)]],"")</f>
        <v/>
      </c>
      <c r="BZ315" s="200" t="str">
        <f>IF(FMS_Ranking4[[#This Row],[FMS Type]]="Regulatory and Guidance",FMS_Ranking4[[#This Row],[Rank (with ArcSinh normalization of select criteria)]],"")</f>
        <v/>
      </c>
      <c r="CA315" s="200" t="str">
        <f>IF(FMS_Ranking4[[#This Row],[FMS Type]]="Education and Outreach",FMS_Ranking4[[#This Row],[Rank (with ArcSinh normalization of select criteria)]],"")</f>
        <v/>
      </c>
      <c r="CB315" s="200" t="str">
        <f>IF(FMS_Ranking4[[#This Row],[FMS Type]]="Property Acquisition and Structural Elevation",FMS_Ranking4[[#This Row],[Rank (with ArcSinh normalization of select criteria)]],"")</f>
        <v/>
      </c>
      <c r="CC315" s="200" t="str">
        <f>IF(FMS_Ranking4[[#This Row],[FMS Type]]="Infrastructure Projects",FMS_Ranking4[[#This Row],[Rank (with ArcSinh normalization of select criteria)]],"")</f>
        <v/>
      </c>
      <c r="CD315" s="200">
        <f>IF(FMS_Ranking4[[#This Row],[FMS Type]]="Other",FMS_Ranking4[[#This Row],[Rank (with ArcSinh normalization of select criteria)]],"")</f>
        <v>307</v>
      </c>
      <c r="CE315" s="201"/>
      <c r="CF315" s="206"/>
      <c r="CG315" s="206"/>
      <c r="CH315" s="206"/>
      <c r="CI315" s="206"/>
      <c r="CJ315" s="206"/>
      <c r="CK315" s="206"/>
      <c r="CL315" s="206"/>
      <c r="CM315" s="206"/>
      <c r="CN315" s="206"/>
      <c r="CO315" s="206"/>
      <c r="CP315" s="206"/>
      <c r="CQ315" s="206"/>
      <c r="CR315" s="206"/>
    </row>
    <row r="316" spans="2:96" ht="120" x14ac:dyDescent="0.25">
      <c r="B316" s="341" t="s">
        <v>8</v>
      </c>
      <c r="C316" s="246">
        <f>_xlfn.XLOOKUP(FMS_Ranking4[[#This Row],[FMS ID]],FMS_Input[FMS_ID],FMS_Input[RFPG_NUM])</f>
        <v>6</v>
      </c>
      <c r="D316" s="309" t="str">
        <f>_xlfn.XLOOKUP(FMS_Ranking4[[#This Row],[FMS ID]],FMS_Input[FMS_ID],FMS_Input[FMS_NAME])</f>
        <v xml:space="preserve">City of Bellaire Non-Structural Flood Risk Reduction Strategies_x000D_
</v>
      </c>
      <c r="E316" s="308" t="str">
        <f>_xlfn.XLOOKUP(FMS_Ranking4[[#This Row],[FMS ID]],FMS_Input[FMS_ID],FMS_Input[SPONSOR])</f>
        <v>06002854</v>
      </c>
      <c r="F316" s="309" t="str">
        <f>_xlfn.XLOOKUP(FMS_Ranking4[[#This Row],[FMS ID]],Sponsor[FMS_ID],Sponsor[SPONSOR NAME])</f>
        <v>Bellaire</v>
      </c>
      <c r="G316" s="309" t="str">
        <f>_xlfn.XLOOKUP(FMS_Ranking4[[#This Row],[FMS ID]],FMS_Input[FMS_ID],FMS_Input[FMS_DESCR])</f>
        <v xml:space="preserve">Conduct planning and outreach efforts to identify residents interested in buy-out, home elevation, or flood proofing programs, and develop plans or grant applications to support interested parties._x000D_
</v>
      </c>
      <c r="H316" s="248" t="str">
        <f>_xlfn.XLOOKUP(FMS_Ranking4[[#This Row],[FMS ID]],FMS_Input[FMS_ID],FMS_Input[FMS_TYPE])</f>
        <v>Other</v>
      </c>
      <c r="I316" s="249">
        <f>_xlfn.XLOOKUP(FMS_Ranking4[[#This Row],[FMS ID]],FMS_Input[FMS_ID],FMS_Input[NRNC_COST])</f>
        <v>2500</v>
      </c>
      <c r="J316" s="250">
        <f>_xlfn.XLOOKUP(FMS_Ranking4[[#This Row],[FMS ID]],FMS_Input[FMS_ID],FMS_Input[FMS_COST])</f>
        <v>50000</v>
      </c>
      <c r="K316" s="251" t="str">
        <f>_xlfn.XLOOKUP(FMS_Ranking4[[#This Row],[FMS ID]],FMS_Input[FMS_ID],FMS_Input[EMER_NEED])</f>
        <v>No</v>
      </c>
      <c r="L316" s="252">
        <f t="shared" si="4"/>
        <v>0</v>
      </c>
      <c r="M316" s="253">
        <f>_xlfn.XLOOKUP(FMS_Ranking4[[#This Row],[FMS ID]],FMS_Input[FMS_ID],FMS_Input[STRUCT_100])</f>
        <v>5879</v>
      </c>
      <c r="N316" s="255">
        <f>(ASINH(FMS_Ranking4[[#This Row],[Structure at Risk Raw]]))*(10)/(ASINH(M$4))</f>
        <v>7.368014742322452</v>
      </c>
      <c r="O316" s="256">
        <f>FMS_Ranking4[[#This Row],[Structures at risk, ArcSinh (0-10)]]*M$5*10</f>
        <v>7.3680147423224529</v>
      </c>
      <c r="P316" s="253">
        <f>_xlfn.XLOOKUP(FMS_Ranking4[[#This Row],[FMS ID]],FMS_Input[FMS_ID],FMS_Input[RES_STRUCT100])</f>
        <v>5539</v>
      </c>
      <c r="Q316" s="257">
        <f>ASINH(FMS_Ranking4[[#This Row],[Res Structure Raw]])/Q$4*P$5*100</f>
        <v>0</v>
      </c>
      <c r="R316" s="253">
        <f>_xlfn.XLOOKUP(FMS_Ranking4[[#This Row],[FMS ID]],FMS_Input[FMS_ID],FMS_Input[POP100])</f>
        <v>25741</v>
      </c>
      <c r="S316" s="259">
        <f>(ASINH(FMS_Ranking4[[#This Row],[Pop at Risk Raw]]))*(10)/(ASINH(R$4))</f>
        <v>7.4896876847086586</v>
      </c>
      <c r="T316" s="256">
        <f>FMS_Ranking4[[#This Row],[Population at risk, ArcSinh (0-10)]]*R$5*10</f>
        <v>7.4896876847086595</v>
      </c>
      <c r="U316" s="253">
        <f>_xlfn.XLOOKUP(FMS_Ranking4[[#This Row],[FMS ID]],FMS_Input[FMS_ID],FMS_Input[CRITFAC100])</f>
        <v>71</v>
      </c>
      <c r="V316" s="259">
        <f>(ASINH(FMS_Ranking4[[#This Row],[Critical Facilities Raw]]))*(10)/(ASINH(U$4))</f>
        <v>5.8665890510003154</v>
      </c>
      <c r="W316" s="256">
        <f>FMS_Ranking4[[#This Row],[Critical facilities at risk, ArcSinh (0-10)]]*U$5*10</f>
        <v>5.8665890510003162</v>
      </c>
      <c r="X316" s="253">
        <f>_xlfn.XLOOKUP(FMS_Ranking4[[#This Row],[FMS ID]],FMS_Input[FMS_ID],FMS_Input[LWC])</f>
        <v>0</v>
      </c>
      <c r="Y316" s="259">
        <f>(ASINH(FMS_Ranking4[[#This Row],[LWC Raw]]))*(10)/(ASINH(X$4))</f>
        <v>0</v>
      </c>
      <c r="Z316" s="256">
        <f>FMS_Ranking4[[#This Row],[LWC, ArcSInh (0-10)]]*X$5*10</f>
        <v>0</v>
      </c>
      <c r="AA316" s="253">
        <f>_xlfn.XLOOKUP(FMS_Ranking4[[#This Row],[FMS ID]],FMS_Input[FMS_ID],FMS_Input[ROADCLS])</f>
        <v>0</v>
      </c>
      <c r="AB316" s="255">
        <f>(ASINH(FMS_Ranking4[[#This Row],[Road Closures Raw]]))*(10)/(ASINH(AA$4))</f>
        <v>0</v>
      </c>
      <c r="AC316" s="256">
        <f>FMS_Ranking4[[#This Row],[Road closures, ArcSinh (0-10)]]*AA$5*10</f>
        <v>0</v>
      </c>
      <c r="AD316" s="253">
        <f>_xlfn.XLOOKUP(FMS_Ranking4[[#This Row],[FMS ID]],FMS_Input[FMS_ID],FMS_Input[ROAD_MILES100])</f>
        <v>71</v>
      </c>
      <c r="AE316" s="259">
        <f>(ASINH(FMS_Ranking4[[#This Row],[Road Miles Raw]]))*(10)/(ASINH(AD$4))</f>
        <v>5.2816010241547486</v>
      </c>
      <c r="AF316" s="256">
        <f>FMS_Ranking4[[#This Row],[Length of roads at risk, ArcSinh (0-10)]]*AD$5*10</f>
        <v>5.2816010241547486</v>
      </c>
      <c r="AG316" s="253">
        <f>_xlfn.XLOOKUP(FMS_Ranking4[[#This Row],[FMS ID]],FMS_Input[FMS_ID],FMS_Input[FARMACRE100])</f>
        <v>0.1517360061407089</v>
      </c>
      <c r="AH316" s="255">
        <f>(ASINH(FMS_Ranking4[[#This Row],[Ag Land Raw]]))*(10)/(ASINH(AG$4))</f>
        <v>9.8190540267440299E-2</v>
      </c>
      <c r="AI316" s="260">
        <f>FMS_Ranking4[[#This Row],[Farm &amp; ranch land, ArcSinh (0-10)]]*AG$5*10</f>
        <v>4.9095270133720156E-2</v>
      </c>
      <c r="AJ316" s="258">
        <f>_xlfn.XLOOKUP(FMS_Ranking4[[#This Row],[FMS ID]],FMS_Input[FMS_ID],FMS_Input[REDSTRUCT100])</f>
        <v>0</v>
      </c>
      <c r="AK316" s="253">
        <f>_xlfn.XLOOKUP(FMS_Ranking4[[#This Row],[FMS ID]],FMS_Input[FMS_ID],FMS_Input[REMSTRC100])</f>
        <v>0</v>
      </c>
      <c r="AL316" s="259">
        <f>(ASINH(FMS_Ranking4[[#This Row],[Structures Removed Raw]]))*(10)/(ASINH(AK$4))</f>
        <v>0</v>
      </c>
      <c r="AM316" s="262">
        <f>FMS_Ranking4[[#This Row],[Structures removed, ArcSinh (0-10)]]*AK$5*10</f>
        <v>0</v>
      </c>
      <c r="AN316" s="253">
        <f>_xlfn.XLOOKUP(FMS_Ranking4[[#This Row],[FMS ID]],FMS_Input[FMS_ID],FMS_Input[REMRESSTRC100])</f>
        <v>0</v>
      </c>
      <c r="AO316" s="261">
        <f>FMS_Ranking4[[#This Row],[ArcSinh Res struct removed 0-10]]*AN$5*10</f>
        <v>0</v>
      </c>
      <c r="AP316" s="260">
        <f>ASINH(FMS_Ranking4[[#This Row],[Residential Structures Removed Raw]])/AP$4*AN$5*100</f>
        <v>0</v>
      </c>
      <c r="AQ316" s="254">
        <f>(ASINH(FMS_Ranking4[[#This Row],[Residential Structures Removed Raw]]))*(10)/(ASINH(AN$4))</f>
        <v>0</v>
      </c>
      <c r="AR316" s="253">
        <f>_xlfn.XLOOKUP(FMS_Ranking4[[#This Row],[FMS ID]],FMS_Input[FMS_ID],FMS_Input[REMPOP100])</f>
        <v>0</v>
      </c>
      <c r="AS316" s="259">
        <f>(ASINH(FMS_Ranking4[[#This Row],[Removed Pop Raw]]))*(10)/(ASINH(AR$4))</f>
        <v>0</v>
      </c>
      <c r="AT316" s="262">
        <f>FMS_Ranking4[[#This Row],[Removed population, ArcSinh (0-10)]]*AR$5*10</f>
        <v>0</v>
      </c>
      <c r="AU316" s="264">
        <f>_xlfn.XLOOKUP(FMS_Ranking4[[#This Row],[FMS ID]],FMS_Input[FMS_ID],FMS_Input[REMCRITFAC100])</f>
        <v>0</v>
      </c>
      <c r="AV316" s="264">
        <f>_xlfn.XLOOKUP(FMS_Ranking4[[#This Row],[FMS ID]],FMS_Input[FMS_ID],FMS_Input[REMLWC100])</f>
        <v>0</v>
      </c>
      <c r="AW316" s="264">
        <f>_xlfn.XLOOKUP(FMS_Ranking4[[#This Row],[FMS ID]],FMS_Input[FMS_ID],FMS_Input[REMROADCLS])</f>
        <v>0</v>
      </c>
      <c r="AX316" s="264">
        <f>_xlfn.XLOOKUP(FMS_Ranking4[[#This Row],[FMS ID]],FMS_Input[FMS_ID],FMS_Input[REMFRMACRE100])</f>
        <v>0</v>
      </c>
      <c r="AY316" s="258">
        <f>_xlfn.XLOOKUP(FMS_Ranking4[[#This Row],[FMS ID]],FMS_Input[FMS_ID],FMS_Input[COSTSTRUCT])</f>
        <v>0</v>
      </c>
      <c r="AZ316" s="253">
        <f>_xlfn.XLOOKUP(FMS_Ranking4[[#This Row],[FMS ID]],FMS_Input[FMS_ID],FMS_Input[NATURE])</f>
        <v>0</v>
      </c>
      <c r="BA316" s="262">
        <f>(((FMS_Ranking4[[#This Row],[% NBS Raw]]/AZ$4)*100)*AZ$5)</f>
        <v>0</v>
      </c>
      <c r="BB316" s="251" t="str">
        <f>_xlfn.XLOOKUP(FMS_Ranking4[[#This Row],[FMS ID]],FMS_Input[FMS_ID],FMS_Input[WATER_SUP])</f>
        <v>No</v>
      </c>
      <c r="BC316" s="265">
        <f>IF(FMS_Ranking4[[#This Row],[Water Supply Raw]]="Yes",10,0)</f>
        <v>0</v>
      </c>
      <c r="BD316" s="266">
        <f>_xlfn.XLOOKUP(FMS_Ranking4[[#This Row],[FMS Type]],FMS_TYPE[FMS_Type],FMS_TYPE[Score])</f>
        <v>2</v>
      </c>
      <c r="BE316" s="267">
        <f>FMS_Ranking4[[#This Row],[FMS_Type Score]]*$BD$5*10</f>
        <v>0.5</v>
      </c>
      <c r="BF31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1.0389833579804335</v>
      </c>
      <c r="BG316" s="271">
        <f>_xlfn.RANK.EQ(BF316,$BF$8:$BF$870,0)+COUNTIF($BF$8:BF316,BF316)-1</f>
        <v>144</v>
      </c>
      <c r="BH316" s="268">
        <f>(((FMS_Ranking4[[#This Row],[Structures Removed Raw]]/AK$4)*100)*AK$5)+(((FMS_Ranking4[[#This Row],[Removed Pop Raw]]/AR$4)*100)*AR$5)</f>
        <v>0</v>
      </c>
      <c r="BI31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1.5389833579804335</v>
      </c>
      <c r="BJ316" s="205">
        <f>_xlfn.RANK.EQ(FMS_Ranking4[[#This Row],[Total Score 
(with linear
normalization)]],FMS_Ranking4[Total Score 
(with linear
normalization)],0)</f>
        <v>581</v>
      </c>
      <c r="BK316" s="205" t="e">
        <f>_xlfn.XLOOKUP(FMS_Ranking4[[#This Row],[FMS ID]],#REF!,#REF!)</f>
        <v>#REF!</v>
      </c>
      <c r="BL31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26.054987772319897</v>
      </c>
      <c r="BM316" s="272">
        <f>FMS_Ranking4[[#This Row],[ArcSinh Score Based on Normalized Reported Factors]]+FMS_Ranking4[[#This Row],[% NBS Score (Normalized)]]+(FMS_Ranking4[[#This Row],[Water Supply Score (Normalized)]]*10*$BB$5)+FMS_Ranking4[[#This Row],[FMS_Type Score Weighted]]</f>
        <v>26.554987772319897</v>
      </c>
      <c r="BN316" s="205">
        <f>_xlfn.RANK.EQ(FMS_Ranking4[[#This Row],[Total Score (with ArcSinh normalization of select criteria)]],FMS_Ranking4[Total Score (with ArcSinh normalization of select criteria)],0)</f>
        <v>307</v>
      </c>
      <c r="BO316" s="270" t="str">
        <f>_xlfn.XLOOKUP(FMS_Ranking4[[#This Row],[FMS ID]],FMS_Input[FMS_ID],FMS_Input[FMS_RANK_YEAR])</f>
        <v>2023 Amended Plan</v>
      </c>
      <c r="BP316" s="204">
        <f>_xlfn.XLOOKUP(FMS_Ranking4[[#This Row],[FMS ID]],Prev_Rank[FMS ID],Prev_Rank[Prev Rank])</f>
        <v>267</v>
      </c>
      <c r="BQ316" s="205" t="e">
        <f>_xlfn.XLOOKUP(FMS_Ranking4[[#This Row],[FMS ID]],#REF!,#REF!)</f>
        <v>#REF!</v>
      </c>
      <c r="BR316" s="199" t="e">
        <f>SUM(#REF!,#REF!,#REF!,#REF!,#REF!,#REF!,#REF!,#REF!,#REF!,FMS_Ranking4[[#This Row],[ArcSinh Res struct removed 0-10]],#REF!)</f>
        <v>#REF!</v>
      </c>
      <c r="BS316" s="199" t="e">
        <f>FMS_Ranking4[[#This Row],[Log Score Based on Normalized Reported Factors]]+FMS_Ranking4[[#This Row],[% NBS Score (Normalized)]]+(FMS_Ranking4[[#This Row],[Water Supply Score (Normalized)]]*10*$BB$5)+(FMS_Ranking4[[#This Row],[FMS_Type Score Weighted]])</f>
        <v>#REF!</v>
      </c>
      <c r="BT316" s="200" t="e">
        <f>_xlfn.RANK.EQ(FMS_Ranking4[[#This Row],[Log Total Score]],FMS_Ranking4[Log Total Score],0)</f>
        <v>#REF!</v>
      </c>
      <c r="BU316" s="200" t="e">
        <f>_xlfn.XLOOKUP(FMS_Ranking4[[#This Row],[FMS ID]],#REF!,#REF!)</f>
        <v>#REF!</v>
      </c>
      <c r="BV316" s="200">
        <f>FMS_Ranking4[[#This Row],[Region Number]]</f>
        <v>6</v>
      </c>
      <c r="BW316" s="200">
        <f>FMS_Ranking4[[#This Row],[Rank (with ArcSinh normalization of select criteria)]]-FMS_Ranking4[[#This Row],[Rank
(with linear
normalization)]]</f>
        <v>-274</v>
      </c>
      <c r="BX316" s="200" t="e">
        <f>FMS_Ranking4[[#This Row],[Log Rank]]-FMS_Ranking4[[#This Row],[Rank
(with linear
normalization)]]</f>
        <v>#REF!</v>
      </c>
      <c r="BY316" s="200" t="str">
        <f>IF(FMS_Ranking4[[#This Row],[FMS Type]]="Flood Measurement and Warning",FMS_Ranking4[[#This Row],[Rank (with ArcSinh normalization of select criteria)]],"")</f>
        <v/>
      </c>
      <c r="BZ316" s="200" t="str">
        <f>IF(FMS_Ranking4[[#This Row],[FMS Type]]="Regulatory and Guidance",FMS_Ranking4[[#This Row],[Rank (with ArcSinh normalization of select criteria)]],"")</f>
        <v/>
      </c>
      <c r="CA316" s="200" t="str">
        <f>IF(FMS_Ranking4[[#This Row],[FMS Type]]="Education and Outreach",FMS_Ranking4[[#This Row],[Rank (with ArcSinh normalization of select criteria)]],"")</f>
        <v/>
      </c>
      <c r="CB316" s="200" t="str">
        <f>IF(FMS_Ranking4[[#This Row],[FMS Type]]="Property Acquisition and Structural Elevation",FMS_Ranking4[[#This Row],[Rank (with ArcSinh normalization of select criteria)]],"")</f>
        <v/>
      </c>
      <c r="CC316" s="200" t="str">
        <f>IF(FMS_Ranking4[[#This Row],[FMS Type]]="Infrastructure Projects",FMS_Ranking4[[#This Row],[Rank (with ArcSinh normalization of select criteria)]],"")</f>
        <v/>
      </c>
      <c r="CD316" s="200">
        <f>IF(FMS_Ranking4[[#This Row],[FMS Type]]="Other",FMS_Ranking4[[#This Row],[Rank (with ArcSinh normalization of select criteria)]],"")</f>
        <v>307</v>
      </c>
      <c r="CE316" s="201"/>
      <c r="CF316" s="206"/>
      <c r="CG316" s="206"/>
      <c r="CH316" s="206"/>
      <c r="CI316" s="206"/>
      <c r="CJ316" s="206"/>
      <c r="CK316" s="206"/>
      <c r="CL316" s="206"/>
      <c r="CM316" s="206"/>
      <c r="CN316" s="206"/>
      <c r="CO316" s="206"/>
      <c r="CP316" s="206"/>
      <c r="CQ316" s="206"/>
      <c r="CR316" s="206"/>
    </row>
    <row r="317" spans="2:96" ht="120" x14ac:dyDescent="0.25">
      <c r="B317" s="341" t="s">
        <v>9</v>
      </c>
      <c r="C317" s="246">
        <f>_xlfn.XLOOKUP(FMS_Ranking4[[#This Row],[FMS ID]],FMS_Input[FMS_ID],FMS_Input[RFPG_NUM])</f>
        <v>6</v>
      </c>
      <c r="D317" s="309" t="str">
        <f>_xlfn.XLOOKUP(FMS_Ranking4[[#This Row],[FMS ID]],FMS_Input[FMS_ID],FMS_Input[FMS_NAME])</f>
        <v xml:space="preserve">City of Bellaire Drainage Requirements and Flood Damage Prevention Ordinance _x000D_
</v>
      </c>
      <c r="E317" s="308" t="str">
        <f>_xlfn.XLOOKUP(FMS_Ranking4[[#This Row],[FMS ID]],FMS_Input[FMS_ID],FMS_Input[SPONSOR])</f>
        <v>06002854</v>
      </c>
      <c r="F317" s="309" t="str">
        <f>_xlfn.XLOOKUP(FMS_Ranking4[[#This Row],[FMS ID]],Sponsor[FMS_ID],Sponsor[SPONSOR NAME])</f>
        <v>Bellaire</v>
      </c>
      <c r="G317" s="309" t="str">
        <f>_xlfn.XLOOKUP(FMS_Ranking4[[#This Row],[FMS ID]],FMS_Input[FMS_ID],FMS_Input[FMS_DESCR])</f>
        <v>Develop updates to Bellaire's residential and non-residential drainage requirements and the City's flood damage prevention ordinance, in alignment with Bellaire's broader flood risk management goals and objectives.</v>
      </c>
      <c r="H317" s="248" t="str">
        <f>_xlfn.XLOOKUP(FMS_Ranking4[[#This Row],[FMS ID]],FMS_Input[FMS_ID],FMS_Input[FMS_TYPE])</f>
        <v>Other</v>
      </c>
      <c r="I317" s="249">
        <f>_xlfn.XLOOKUP(FMS_Ranking4[[#This Row],[FMS ID]],FMS_Input[FMS_ID],FMS_Input[NRNC_COST])</f>
        <v>2500</v>
      </c>
      <c r="J317" s="250">
        <f>_xlfn.XLOOKUP(FMS_Ranking4[[#This Row],[FMS ID]],FMS_Input[FMS_ID],FMS_Input[FMS_COST])</f>
        <v>50000</v>
      </c>
      <c r="K317" s="251" t="str">
        <f>_xlfn.XLOOKUP(FMS_Ranking4[[#This Row],[FMS ID]],FMS_Input[FMS_ID],FMS_Input[EMER_NEED])</f>
        <v>No</v>
      </c>
      <c r="L317" s="252">
        <f t="shared" si="4"/>
        <v>0</v>
      </c>
      <c r="M317" s="253">
        <f>_xlfn.XLOOKUP(FMS_Ranking4[[#This Row],[FMS ID]],FMS_Input[FMS_ID],FMS_Input[STRUCT_100])</f>
        <v>5879</v>
      </c>
      <c r="N317" s="255">
        <f>(ASINH(FMS_Ranking4[[#This Row],[Structure at Risk Raw]]))*(10)/(ASINH(M$4))</f>
        <v>7.368014742322452</v>
      </c>
      <c r="O317" s="256">
        <f>FMS_Ranking4[[#This Row],[Structures at risk, ArcSinh (0-10)]]*M$5*10</f>
        <v>7.3680147423224529</v>
      </c>
      <c r="P317" s="253">
        <f>_xlfn.XLOOKUP(FMS_Ranking4[[#This Row],[FMS ID]],FMS_Input[FMS_ID],FMS_Input[RES_STRUCT100])</f>
        <v>5539</v>
      </c>
      <c r="Q317" s="257">
        <f>ASINH(FMS_Ranking4[[#This Row],[Res Structure Raw]])/Q$4*P$5*100</f>
        <v>0</v>
      </c>
      <c r="R317" s="253">
        <f>_xlfn.XLOOKUP(FMS_Ranking4[[#This Row],[FMS ID]],FMS_Input[FMS_ID],FMS_Input[POP100])</f>
        <v>25741</v>
      </c>
      <c r="S317" s="255">
        <f>(ASINH(FMS_Ranking4[[#This Row],[Pop at Risk Raw]]))*(10)/(ASINH(R$4))</f>
        <v>7.4896876847086586</v>
      </c>
      <c r="T317" s="256">
        <f>FMS_Ranking4[[#This Row],[Population at risk, ArcSinh (0-10)]]*R$5*10</f>
        <v>7.4896876847086595</v>
      </c>
      <c r="U317" s="253">
        <f>_xlfn.XLOOKUP(FMS_Ranking4[[#This Row],[FMS ID]],FMS_Input[FMS_ID],FMS_Input[CRITFAC100])</f>
        <v>71</v>
      </c>
      <c r="V317" s="255">
        <f>(ASINH(FMS_Ranking4[[#This Row],[Critical Facilities Raw]]))*(10)/(ASINH(U$4))</f>
        <v>5.8665890510003154</v>
      </c>
      <c r="W317" s="256">
        <f>FMS_Ranking4[[#This Row],[Critical facilities at risk, ArcSinh (0-10)]]*U$5*10</f>
        <v>5.8665890510003162</v>
      </c>
      <c r="X317" s="253">
        <f>_xlfn.XLOOKUP(FMS_Ranking4[[#This Row],[FMS ID]],FMS_Input[FMS_ID],FMS_Input[LWC])</f>
        <v>0</v>
      </c>
      <c r="Y317" s="255">
        <f>(ASINH(FMS_Ranking4[[#This Row],[LWC Raw]]))*(10)/(ASINH(X$4))</f>
        <v>0</v>
      </c>
      <c r="Z317" s="256">
        <f>FMS_Ranking4[[#This Row],[LWC, ArcSInh (0-10)]]*X$5*10</f>
        <v>0</v>
      </c>
      <c r="AA317" s="253">
        <f>_xlfn.XLOOKUP(FMS_Ranking4[[#This Row],[FMS ID]],FMS_Input[FMS_ID],FMS_Input[ROADCLS])</f>
        <v>0</v>
      </c>
      <c r="AB317" s="255">
        <f>(ASINH(FMS_Ranking4[[#This Row],[Road Closures Raw]]))*(10)/(ASINH(AA$4))</f>
        <v>0</v>
      </c>
      <c r="AC317" s="256">
        <f>FMS_Ranking4[[#This Row],[Road closures, ArcSinh (0-10)]]*AA$5*10</f>
        <v>0</v>
      </c>
      <c r="AD317" s="253">
        <f>_xlfn.XLOOKUP(FMS_Ranking4[[#This Row],[FMS ID]],FMS_Input[FMS_ID],FMS_Input[ROAD_MILES100])</f>
        <v>71</v>
      </c>
      <c r="AE317" s="255">
        <f>(ASINH(FMS_Ranking4[[#This Row],[Road Miles Raw]]))*(10)/(ASINH(AD$4))</f>
        <v>5.2816010241547486</v>
      </c>
      <c r="AF317" s="256">
        <f>FMS_Ranking4[[#This Row],[Length of roads at risk, ArcSinh (0-10)]]*AD$5*10</f>
        <v>5.2816010241547486</v>
      </c>
      <c r="AG317" s="253">
        <f>_xlfn.XLOOKUP(FMS_Ranking4[[#This Row],[FMS ID]],FMS_Input[FMS_ID],FMS_Input[FARMACRE100])</f>
        <v>0.1517360061407089</v>
      </c>
      <c r="AH317" s="255">
        <f>(ASINH(FMS_Ranking4[[#This Row],[Ag Land Raw]]))*(10)/(ASINH(AG$4))</f>
        <v>9.8190540267440299E-2</v>
      </c>
      <c r="AI317" s="260">
        <f>FMS_Ranking4[[#This Row],[Farm &amp; ranch land, ArcSinh (0-10)]]*AG$5*10</f>
        <v>4.9095270133720156E-2</v>
      </c>
      <c r="AJ317" s="258">
        <f>_xlfn.XLOOKUP(FMS_Ranking4[[#This Row],[FMS ID]],FMS_Input[FMS_ID],FMS_Input[REDSTRUCT100])</f>
        <v>0</v>
      </c>
      <c r="AK317" s="253">
        <f>_xlfn.XLOOKUP(FMS_Ranking4[[#This Row],[FMS ID]],FMS_Input[FMS_ID],FMS_Input[REMSTRC100])</f>
        <v>0</v>
      </c>
      <c r="AL317" s="255">
        <f>(ASINH(FMS_Ranking4[[#This Row],[Structures Removed Raw]]))*(10)/(ASINH(AK$4))</f>
        <v>0</v>
      </c>
      <c r="AM317" s="262">
        <f>FMS_Ranking4[[#This Row],[Structures removed, ArcSinh (0-10)]]*AK$5*10</f>
        <v>0</v>
      </c>
      <c r="AN317" s="253">
        <f>_xlfn.XLOOKUP(FMS_Ranking4[[#This Row],[FMS ID]],FMS_Input[FMS_ID],FMS_Input[REMRESSTRC100])</f>
        <v>0</v>
      </c>
      <c r="AO317" s="261">
        <f>FMS_Ranking4[[#This Row],[ArcSinh Res struct removed 0-10]]*AN$5*10</f>
        <v>0</v>
      </c>
      <c r="AP317" s="260">
        <f>ASINH(FMS_Ranking4[[#This Row],[Residential Structures Removed Raw]])/AP$4*AN$5*100</f>
        <v>0</v>
      </c>
      <c r="AQ317" s="258">
        <f>(ASINH(FMS_Ranking4[[#This Row],[Residential Structures Removed Raw]]))*(10)/(ASINH(AN$4))</f>
        <v>0</v>
      </c>
      <c r="AR317" s="253">
        <f>_xlfn.XLOOKUP(FMS_Ranking4[[#This Row],[FMS ID]],FMS_Input[FMS_ID],FMS_Input[REMPOP100])</f>
        <v>0</v>
      </c>
      <c r="AS317" s="255">
        <f>(ASINH(FMS_Ranking4[[#This Row],[Removed Pop Raw]]))*(10)/(ASINH(AR$4))</f>
        <v>0</v>
      </c>
      <c r="AT317" s="262">
        <f>FMS_Ranking4[[#This Row],[Removed population, ArcSinh (0-10)]]*AR$5*10</f>
        <v>0</v>
      </c>
      <c r="AU317" s="264">
        <f>_xlfn.XLOOKUP(FMS_Ranking4[[#This Row],[FMS ID]],FMS_Input[FMS_ID],FMS_Input[REMCRITFAC100])</f>
        <v>0</v>
      </c>
      <c r="AV317" s="264">
        <f>_xlfn.XLOOKUP(FMS_Ranking4[[#This Row],[FMS ID]],FMS_Input[FMS_ID],FMS_Input[REMLWC100])</f>
        <v>0</v>
      </c>
      <c r="AW317" s="264">
        <f>_xlfn.XLOOKUP(FMS_Ranking4[[#This Row],[FMS ID]],FMS_Input[FMS_ID],FMS_Input[REMROADCLS])</f>
        <v>0</v>
      </c>
      <c r="AX317" s="264">
        <f>_xlfn.XLOOKUP(FMS_Ranking4[[#This Row],[FMS ID]],FMS_Input[FMS_ID],FMS_Input[REMFRMACRE100])</f>
        <v>0</v>
      </c>
      <c r="AY317" s="258">
        <f>_xlfn.XLOOKUP(FMS_Ranking4[[#This Row],[FMS ID]],FMS_Input[FMS_ID],FMS_Input[COSTSTRUCT])</f>
        <v>0</v>
      </c>
      <c r="AZ317" s="253">
        <f>_xlfn.XLOOKUP(FMS_Ranking4[[#This Row],[FMS ID]],FMS_Input[FMS_ID],FMS_Input[NATURE])</f>
        <v>0</v>
      </c>
      <c r="BA317" s="262">
        <f>(((FMS_Ranking4[[#This Row],[% NBS Raw]]/AZ$4)*100)*AZ$5)</f>
        <v>0</v>
      </c>
      <c r="BB317" s="251" t="str">
        <f>_xlfn.XLOOKUP(FMS_Ranking4[[#This Row],[FMS ID]],FMS_Input[FMS_ID],FMS_Input[WATER_SUP])</f>
        <v>No</v>
      </c>
      <c r="BC317" s="265">
        <f>IF(FMS_Ranking4[[#This Row],[Water Supply Raw]]="Yes",10,0)</f>
        <v>0</v>
      </c>
      <c r="BD317" s="266">
        <f>_xlfn.XLOOKUP(FMS_Ranking4[[#This Row],[FMS Type]],FMS_TYPE[FMS_Type],FMS_TYPE[Score])</f>
        <v>2</v>
      </c>
      <c r="BE317" s="267">
        <f>FMS_Ranking4[[#This Row],[FMS_Type Score]]*$BD$5*10</f>
        <v>0.5</v>
      </c>
      <c r="BF31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1.0389833579804335</v>
      </c>
      <c r="BG317" s="321">
        <f>_xlfn.RANK.EQ(BF317,$BF$8:$BF$870,0)+COUNTIF($BF$8:BF317,BF317)-1</f>
        <v>145</v>
      </c>
      <c r="BH317" s="294">
        <f>(((FMS_Ranking4[[#This Row],[Structures Removed Raw]]/AK$4)*100)*AK$5)+(((FMS_Ranking4[[#This Row],[Removed Pop Raw]]/AR$4)*100)*AR$5)</f>
        <v>0</v>
      </c>
      <c r="BI31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1.5389833579804335</v>
      </c>
      <c r="BJ317" s="251">
        <f>_xlfn.RANK.EQ(FMS_Ranking4[[#This Row],[Total Score 
(with linear
normalization)]],FMS_Ranking4[Total Score 
(with linear
normalization)],0)</f>
        <v>581</v>
      </c>
      <c r="BK317" s="251" t="e">
        <f>_xlfn.XLOOKUP(FMS_Ranking4[[#This Row],[FMS ID]],#REF!,#REF!)</f>
        <v>#REF!</v>
      </c>
      <c r="BL31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26.054987772319897</v>
      </c>
      <c r="BM317" s="324">
        <f>FMS_Ranking4[[#This Row],[ArcSinh Score Based on Normalized Reported Factors]]+FMS_Ranking4[[#This Row],[% NBS Score (Normalized)]]+(FMS_Ranking4[[#This Row],[Water Supply Score (Normalized)]]*10*$BB$5)+FMS_Ranking4[[#This Row],[FMS_Type Score Weighted]]</f>
        <v>26.554987772319897</v>
      </c>
      <c r="BN317" s="251">
        <f>_xlfn.RANK.EQ(FMS_Ranking4[[#This Row],[Total Score (with ArcSinh normalization of select criteria)]],FMS_Ranking4[Total Score (with ArcSinh normalization of select criteria)],0)</f>
        <v>307</v>
      </c>
      <c r="BO317" s="270" t="str">
        <f>_xlfn.XLOOKUP(FMS_Ranking4[[#This Row],[FMS ID]],FMS_Input[FMS_ID],FMS_Input[FMS_RANK_YEAR])</f>
        <v>2023 Amended Plan</v>
      </c>
      <c r="BP317" s="204">
        <f>_xlfn.XLOOKUP(FMS_Ranking4[[#This Row],[FMS ID]],Prev_Rank[FMS ID],Prev_Rank[Prev Rank])</f>
        <v>267</v>
      </c>
      <c r="BQ317" s="251" t="e">
        <f>_xlfn.XLOOKUP(FMS_Ranking4[[#This Row],[FMS ID]],#REF!,#REF!)</f>
        <v>#REF!</v>
      </c>
      <c r="BR317" s="199" t="e">
        <f>SUM(#REF!,#REF!,#REF!,#REF!,#REF!,#REF!,#REF!,#REF!,#REF!,FMS_Ranking4[[#This Row],[ArcSinh Res struct removed 0-10]],#REF!)</f>
        <v>#REF!</v>
      </c>
      <c r="BS317" s="199" t="e">
        <f>FMS_Ranking4[[#This Row],[Log Score Based on Normalized Reported Factors]]+FMS_Ranking4[[#This Row],[% NBS Score (Normalized)]]+(FMS_Ranking4[[#This Row],[Water Supply Score (Normalized)]]*10*$BB$5)+(FMS_Ranking4[[#This Row],[FMS_Type Score Weighted]])</f>
        <v>#REF!</v>
      </c>
      <c r="BT317" s="200" t="e">
        <f>_xlfn.RANK.EQ(FMS_Ranking4[[#This Row],[Log Total Score]],FMS_Ranking4[Log Total Score],0)</f>
        <v>#REF!</v>
      </c>
      <c r="BU317" s="200" t="e">
        <f>_xlfn.XLOOKUP(FMS_Ranking4[[#This Row],[FMS ID]],#REF!,#REF!)</f>
        <v>#REF!</v>
      </c>
      <c r="BV317" s="200">
        <f>FMS_Ranking4[[#This Row],[Region Number]]</f>
        <v>6</v>
      </c>
      <c r="BW317" s="200">
        <f>FMS_Ranking4[[#This Row],[Rank (with ArcSinh normalization of select criteria)]]-FMS_Ranking4[[#This Row],[Rank
(with linear
normalization)]]</f>
        <v>-274</v>
      </c>
      <c r="BX317" s="200" t="e">
        <f>FMS_Ranking4[[#This Row],[Log Rank]]-FMS_Ranking4[[#This Row],[Rank
(with linear
normalization)]]</f>
        <v>#REF!</v>
      </c>
      <c r="BY317" s="200" t="str">
        <f>IF(FMS_Ranking4[[#This Row],[FMS Type]]="Flood Measurement and Warning",FMS_Ranking4[[#This Row],[Rank (with ArcSinh normalization of select criteria)]],"")</f>
        <v/>
      </c>
      <c r="BZ317" s="200" t="str">
        <f>IF(FMS_Ranking4[[#This Row],[FMS Type]]="Regulatory and Guidance",FMS_Ranking4[[#This Row],[Rank (with ArcSinh normalization of select criteria)]],"")</f>
        <v/>
      </c>
      <c r="CA317" s="200" t="str">
        <f>IF(FMS_Ranking4[[#This Row],[FMS Type]]="Education and Outreach",FMS_Ranking4[[#This Row],[Rank (with ArcSinh normalization of select criteria)]],"")</f>
        <v/>
      </c>
      <c r="CB317" s="200" t="str">
        <f>IF(FMS_Ranking4[[#This Row],[FMS Type]]="Property Acquisition and Structural Elevation",FMS_Ranking4[[#This Row],[Rank (with ArcSinh normalization of select criteria)]],"")</f>
        <v/>
      </c>
      <c r="CC317" s="200" t="str">
        <f>IF(FMS_Ranking4[[#This Row],[FMS Type]]="Infrastructure Projects",FMS_Ranking4[[#This Row],[Rank (with ArcSinh normalization of select criteria)]],"")</f>
        <v/>
      </c>
      <c r="CD317" s="200">
        <f>IF(FMS_Ranking4[[#This Row],[FMS Type]]="Other",FMS_Ranking4[[#This Row],[Rank (with ArcSinh normalization of select criteria)]],"")</f>
        <v>307</v>
      </c>
      <c r="CE317" s="201"/>
      <c r="CF317" s="206"/>
      <c r="CG317" s="206"/>
      <c r="CH317" s="206"/>
      <c r="CI317" s="206"/>
      <c r="CJ317" s="206"/>
      <c r="CK317" s="206"/>
      <c r="CL317" s="206"/>
      <c r="CM317" s="206"/>
      <c r="CN317" s="206"/>
      <c r="CO317" s="206"/>
      <c r="CP317" s="206"/>
      <c r="CQ317" s="206"/>
      <c r="CR317" s="206"/>
    </row>
    <row r="318" spans="2:96" ht="60" x14ac:dyDescent="0.25">
      <c r="B318" s="341" t="s">
        <v>3861</v>
      </c>
      <c r="C318" s="246">
        <f>_xlfn.XLOOKUP(FMS_Ranking4[[#This Row],[FMS ID]],FMS_Input[FMS_ID],FMS_Input[RFPG_NUM])</f>
        <v>15</v>
      </c>
      <c r="D318" s="309" t="str">
        <f>_xlfn.XLOOKUP(FMS_Ranking4[[#This Row],[FMS ID]],FMS_Input[FMS_ID],FMS_Input[FMS_NAME])</f>
        <v>Alamo # 4-1.1</v>
      </c>
      <c r="E318" s="308" t="str">
        <f>_xlfn.XLOOKUP(FMS_Ranking4[[#This Row],[FMS ID]],FMS_Input[FMS_ID],FMS_Input[SPONSOR])</f>
        <v>15000055</v>
      </c>
      <c r="F318" s="309" t="str">
        <f>_xlfn.XLOOKUP(FMS_Ranking4[[#This Row],[FMS ID]],Sponsor[FMS_ID],Sponsor[SPONSOR NAME])</f>
        <v>Alamo</v>
      </c>
      <c r="G318" s="309" t="str">
        <f>_xlfn.XLOOKUP(FMS_Ranking4[[#This Row],[FMS ID]],FMS_Input[FMS_ID],FMS_Input[FMS_DESCR])</f>
        <v>Develop plan to create A Working Evacuation List For Emergency Situations.  Prioritize Flood Prone Areas</v>
      </c>
      <c r="H318" s="248" t="str">
        <f>_xlfn.XLOOKUP(FMS_Ranking4[[#This Row],[FMS ID]],FMS_Input[FMS_ID],FMS_Input[FMS_TYPE])</f>
        <v>Regulatory and Guidance</v>
      </c>
      <c r="I318" s="249">
        <f>_xlfn.XLOOKUP(FMS_Ranking4[[#This Row],[FMS ID]],FMS_Input[FMS_ID],FMS_Input[NRNC_COST])</f>
        <v>1000</v>
      </c>
      <c r="J318" s="250">
        <f>_xlfn.XLOOKUP(FMS_Ranking4[[#This Row],[FMS ID]],FMS_Input[FMS_ID],FMS_Input[FMS_COST])</f>
        <v>1000</v>
      </c>
      <c r="K318" s="251" t="str">
        <f>_xlfn.XLOOKUP(FMS_Ranking4[[#This Row],[FMS ID]],FMS_Input[FMS_ID],FMS_Input[EMER_NEED])</f>
        <v>Yes</v>
      </c>
      <c r="L318" s="252">
        <f t="shared" si="4"/>
        <v>1</v>
      </c>
      <c r="M318" s="253">
        <f>_xlfn.XLOOKUP(FMS_Ranking4[[#This Row],[FMS ID]],FMS_Input[FMS_ID],FMS_Input[STRUCT_100])</f>
        <v>4822</v>
      </c>
      <c r="N318" s="255">
        <f>(ASINH(FMS_Ranking4[[#This Row],[Structure at Risk Raw]]))*(10)/(ASINH(M$4))</f>
        <v>7.2122016855658932</v>
      </c>
      <c r="O318" s="256">
        <f>FMS_Ranking4[[#This Row],[Structures at risk, ArcSinh (0-10)]]*M$5*10</f>
        <v>7.2122016855658932</v>
      </c>
      <c r="P318" s="253">
        <f>_xlfn.XLOOKUP(FMS_Ranking4[[#This Row],[FMS ID]],FMS_Input[FMS_ID],FMS_Input[RES_STRUCT100])</f>
        <v>3640</v>
      </c>
      <c r="Q318" s="257">
        <f>ASINH(FMS_Ranking4[[#This Row],[Res Structure Raw]])/Q$4*P$5*100</f>
        <v>0</v>
      </c>
      <c r="R318" s="253">
        <f>_xlfn.XLOOKUP(FMS_Ranking4[[#This Row],[FMS ID]],FMS_Input[FMS_ID],FMS_Input[POP100])</f>
        <v>14357</v>
      </c>
      <c r="S318" s="259">
        <f>(ASINH(FMS_Ranking4[[#This Row],[Pop at Risk Raw]]))*(10)/(ASINH(R$4))</f>
        <v>7.0866238185877908</v>
      </c>
      <c r="T318" s="256">
        <f>FMS_Ranking4[[#This Row],[Population at risk, ArcSinh (0-10)]]*R$5*10</f>
        <v>7.0866238185877917</v>
      </c>
      <c r="U318" s="253">
        <f>_xlfn.XLOOKUP(FMS_Ranking4[[#This Row],[FMS ID]],FMS_Input[FMS_ID],FMS_Input[CRITFAC100])</f>
        <v>4</v>
      </c>
      <c r="V318" s="259">
        <f>(ASINH(FMS_Ranking4[[#This Row],[Critical Facilities Raw]]))*(10)/(ASINH(U$4))</f>
        <v>2.4796455944038147</v>
      </c>
      <c r="W318" s="256">
        <f>FMS_Ranking4[[#This Row],[Critical facilities at risk, ArcSinh (0-10)]]*U$5*10</f>
        <v>2.4796455944038147</v>
      </c>
      <c r="X318" s="253">
        <f>_xlfn.XLOOKUP(FMS_Ranking4[[#This Row],[FMS ID]],FMS_Input[FMS_ID],FMS_Input[LWC])</f>
        <v>0</v>
      </c>
      <c r="Y318" s="259">
        <f>(ASINH(FMS_Ranking4[[#This Row],[LWC Raw]]))*(10)/(ASINH(X$4))</f>
        <v>0</v>
      </c>
      <c r="Z318" s="256">
        <f>FMS_Ranking4[[#This Row],[LWC, ArcSInh (0-10)]]*X$5*10</f>
        <v>0</v>
      </c>
      <c r="AA318" s="253">
        <f>_xlfn.XLOOKUP(FMS_Ranking4[[#This Row],[FMS ID]],FMS_Input[FMS_ID],FMS_Input[ROADCLS])</f>
        <v>0</v>
      </c>
      <c r="AB318" s="255">
        <f>(ASINH(FMS_Ranking4[[#This Row],[Road Closures Raw]]))*(10)/(ASINH(AA$4))</f>
        <v>0</v>
      </c>
      <c r="AC318" s="256">
        <f>FMS_Ranking4[[#This Row],[Road closures, ArcSinh (0-10)]]*AA$5*10</f>
        <v>0</v>
      </c>
      <c r="AD318" s="253">
        <f>_xlfn.XLOOKUP(FMS_Ranking4[[#This Row],[FMS ID]],FMS_Input[FMS_ID],FMS_Input[ROAD_MILES100])</f>
        <v>71</v>
      </c>
      <c r="AE318" s="259">
        <f>(ASINH(FMS_Ranking4[[#This Row],[Road Miles Raw]]))*(10)/(ASINH(AD$4))</f>
        <v>5.2816010241547486</v>
      </c>
      <c r="AF318" s="256">
        <f>FMS_Ranking4[[#This Row],[Length of roads at risk, ArcSinh (0-10)]]*AD$5*10</f>
        <v>5.2816010241547486</v>
      </c>
      <c r="AG318" s="253">
        <f>_xlfn.XLOOKUP(FMS_Ranking4[[#This Row],[FMS ID]],FMS_Input[FMS_ID],FMS_Input[FARMACRE100])</f>
        <v>936.8443603515625</v>
      </c>
      <c r="AH318" s="255">
        <f>(ASINH(FMS_Ranking4[[#This Row],[Ag Land Raw]]))*(10)/(ASINH(AG$4))</f>
        <v>4.895028102383618</v>
      </c>
      <c r="AI318" s="260">
        <f>FMS_Ranking4[[#This Row],[Farm &amp; ranch land, ArcSinh (0-10)]]*AG$5*10</f>
        <v>2.447514051191809</v>
      </c>
      <c r="AJ318" s="258">
        <f>_xlfn.XLOOKUP(FMS_Ranking4[[#This Row],[FMS ID]],FMS_Input[FMS_ID],FMS_Input[REDSTRUCT100])</f>
        <v>0</v>
      </c>
      <c r="AK318" s="253">
        <f>_xlfn.XLOOKUP(FMS_Ranking4[[#This Row],[FMS ID]],FMS_Input[FMS_ID],FMS_Input[REMSTRC100])</f>
        <v>0</v>
      </c>
      <c r="AL318" s="259">
        <f>(ASINH(FMS_Ranking4[[#This Row],[Structures Removed Raw]]))*(10)/(ASINH(AK$4))</f>
        <v>0</v>
      </c>
      <c r="AM318" s="262">
        <f>FMS_Ranking4[[#This Row],[Structures removed, ArcSinh (0-10)]]*AK$5*10</f>
        <v>0</v>
      </c>
      <c r="AN318" s="253">
        <f>_xlfn.XLOOKUP(FMS_Ranking4[[#This Row],[FMS ID]],FMS_Input[FMS_ID],FMS_Input[REMRESSTRC100])</f>
        <v>0</v>
      </c>
      <c r="AO318" s="261">
        <f>FMS_Ranking4[[#This Row],[ArcSinh Res struct removed 0-10]]*AN$5*10</f>
        <v>0</v>
      </c>
      <c r="AP318" s="260">
        <f>ASINH(FMS_Ranking4[[#This Row],[Residential Structures Removed Raw]])/AP$4*AN$5*100</f>
        <v>0</v>
      </c>
      <c r="AQ318" s="254">
        <f>(ASINH(FMS_Ranking4[[#This Row],[Residential Structures Removed Raw]]))*(10)/(ASINH(AN$4))</f>
        <v>0</v>
      </c>
      <c r="AR318" s="253">
        <f>_xlfn.XLOOKUP(FMS_Ranking4[[#This Row],[FMS ID]],FMS_Input[FMS_ID],FMS_Input[REMPOP100])</f>
        <v>0</v>
      </c>
      <c r="AS318" s="259">
        <f>(ASINH(FMS_Ranking4[[#This Row],[Removed Pop Raw]]))*(10)/(ASINH(AR$4))</f>
        <v>0</v>
      </c>
      <c r="AT318" s="262">
        <f>FMS_Ranking4[[#This Row],[Removed population, ArcSinh (0-10)]]*AR$5*10</f>
        <v>0</v>
      </c>
      <c r="AU318" s="264">
        <f>_xlfn.XLOOKUP(FMS_Ranking4[[#This Row],[FMS ID]],FMS_Input[FMS_ID],FMS_Input[REMCRITFAC100])</f>
        <v>0</v>
      </c>
      <c r="AV318" s="264">
        <f>_xlfn.XLOOKUP(FMS_Ranking4[[#This Row],[FMS ID]],FMS_Input[FMS_ID],FMS_Input[REMLWC100])</f>
        <v>0</v>
      </c>
      <c r="AW318" s="264">
        <f>_xlfn.XLOOKUP(FMS_Ranking4[[#This Row],[FMS ID]],FMS_Input[FMS_ID],FMS_Input[REMROADCLS])</f>
        <v>0</v>
      </c>
      <c r="AX318" s="264">
        <f>_xlfn.XLOOKUP(FMS_Ranking4[[#This Row],[FMS ID]],FMS_Input[FMS_ID],FMS_Input[REMFRMACRE100])</f>
        <v>0</v>
      </c>
      <c r="AY318" s="258">
        <f>_xlfn.XLOOKUP(FMS_Ranking4[[#This Row],[FMS ID]],FMS_Input[FMS_ID],FMS_Input[COSTSTRUCT])</f>
        <v>0</v>
      </c>
      <c r="AZ318" s="253">
        <f>_xlfn.XLOOKUP(FMS_Ranking4[[#This Row],[FMS ID]],FMS_Input[FMS_ID],FMS_Input[NATURE])</f>
        <v>0</v>
      </c>
      <c r="BA318" s="262">
        <f>(((FMS_Ranking4[[#This Row],[% NBS Raw]]/AZ$4)*100)*AZ$5)</f>
        <v>0</v>
      </c>
      <c r="BB318" s="251" t="str">
        <f>_xlfn.XLOOKUP(FMS_Ranking4[[#This Row],[FMS ID]],FMS_Input[FMS_ID],FMS_Input[WATER_SUP])</f>
        <v>No</v>
      </c>
      <c r="BC318" s="265">
        <f>IF(FMS_Ranking4[[#This Row],[Water Supply Raw]]="Yes",10,0)</f>
        <v>0</v>
      </c>
      <c r="BD318" s="266">
        <f>_xlfn.XLOOKUP(FMS_Ranking4[[#This Row],[FMS Type]],FMS_TYPE[FMS_Type],FMS_TYPE[Score])</f>
        <v>8</v>
      </c>
      <c r="BE318" s="267">
        <f>FMS_Ranking4[[#This Row],[FMS_Type Score]]*$BD$5*10</f>
        <v>2</v>
      </c>
      <c r="BF31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0.57386085572988599</v>
      </c>
      <c r="BG318" s="271">
        <f>_xlfn.RANK.EQ(BF318,$BF$8:$BF$870,0)+COUNTIF($BF$8:BF318,BF318)-1</f>
        <v>201</v>
      </c>
      <c r="BH318" s="268">
        <f>(((FMS_Ranking4[[#This Row],[Structures Removed Raw]]/AK$4)*100)*AK$5)+(((FMS_Ranking4[[#This Row],[Removed Pop Raw]]/AR$4)*100)*AR$5)</f>
        <v>0</v>
      </c>
      <c r="BI31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2.5738608557298859</v>
      </c>
      <c r="BJ318" s="205">
        <f>_xlfn.RANK.EQ(FMS_Ranking4[[#This Row],[Total Score 
(with linear
normalization)]],FMS_Ranking4[Total Score 
(with linear
normalization)],0)</f>
        <v>228</v>
      </c>
      <c r="BK318" s="205" t="e">
        <f>_xlfn.XLOOKUP(FMS_Ranking4[[#This Row],[FMS ID]],#REF!,#REF!)</f>
        <v>#REF!</v>
      </c>
      <c r="BL31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24.507586173904059</v>
      </c>
      <c r="BM318" s="272">
        <f>FMS_Ranking4[[#This Row],[ArcSinh Score Based on Normalized Reported Factors]]+FMS_Ranking4[[#This Row],[% NBS Score (Normalized)]]+(FMS_Ranking4[[#This Row],[Water Supply Score (Normalized)]]*10*$BB$5)+FMS_Ranking4[[#This Row],[FMS_Type Score Weighted]]</f>
        <v>26.507586173904059</v>
      </c>
      <c r="BN318" s="205">
        <f>_xlfn.RANK.EQ(FMS_Ranking4[[#This Row],[Total Score (with ArcSinh normalization of select criteria)]],FMS_Ranking4[Total Score (with ArcSinh normalization of select criteria)],0)</f>
        <v>311</v>
      </c>
      <c r="BO318" s="270" t="str">
        <f>_xlfn.XLOOKUP(FMS_Ranking4[[#This Row],[FMS ID]],FMS_Input[FMS_ID],FMS_Input[FMS_RANK_YEAR])</f>
        <v>2023 Amended Plan</v>
      </c>
      <c r="BP318" s="204">
        <f>_xlfn.XLOOKUP(FMS_Ranking4[[#This Row],[FMS ID]],Prev_Rank[FMS ID],Prev_Rank[Prev Rank])</f>
        <v>271</v>
      </c>
      <c r="BQ318" s="205" t="e">
        <f>_xlfn.XLOOKUP(FMS_Ranking4[[#This Row],[FMS ID]],#REF!,#REF!)</f>
        <v>#REF!</v>
      </c>
      <c r="BR318" s="199" t="e">
        <f>SUM(#REF!,#REF!,#REF!,#REF!,#REF!,#REF!,#REF!,#REF!,#REF!,FMS_Ranking4[[#This Row],[ArcSinh Res struct removed 0-10]],#REF!)</f>
        <v>#REF!</v>
      </c>
      <c r="BS318" s="199" t="e">
        <f>FMS_Ranking4[[#This Row],[Log Score Based on Normalized Reported Factors]]+FMS_Ranking4[[#This Row],[% NBS Score (Normalized)]]+(FMS_Ranking4[[#This Row],[Water Supply Score (Normalized)]]*10*$BB$5)+(FMS_Ranking4[[#This Row],[FMS_Type Score Weighted]])</f>
        <v>#REF!</v>
      </c>
      <c r="BT318" s="200" t="e">
        <f>_xlfn.RANK.EQ(FMS_Ranking4[[#This Row],[Log Total Score]],FMS_Ranking4[Log Total Score],0)</f>
        <v>#REF!</v>
      </c>
      <c r="BU318" s="200" t="e">
        <f>_xlfn.XLOOKUP(FMS_Ranking4[[#This Row],[FMS ID]],#REF!,#REF!)</f>
        <v>#REF!</v>
      </c>
      <c r="BV318" s="200">
        <f>FMS_Ranking4[[#This Row],[Region Number]]</f>
        <v>15</v>
      </c>
      <c r="BW318" s="200">
        <f>FMS_Ranking4[[#This Row],[Rank (with ArcSinh normalization of select criteria)]]-FMS_Ranking4[[#This Row],[Rank
(with linear
normalization)]]</f>
        <v>83</v>
      </c>
      <c r="BX318" s="200" t="e">
        <f>FMS_Ranking4[[#This Row],[Log Rank]]-FMS_Ranking4[[#This Row],[Rank
(with linear
normalization)]]</f>
        <v>#REF!</v>
      </c>
      <c r="BY318" s="200" t="str">
        <f>IF(FMS_Ranking4[[#This Row],[FMS Type]]="Flood Measurement and Warning",FMS_Ranking4[[#This Row],[Rank (with ArcSinh normalization of select criteria)]],"")</f>
        <v/>
      </c>
      <c r="BZ318" s="200">
        <f>IF(FMS_Ranking4[[#This Row],[FMS Type]]="Regulatory and Guidance",FMS_Ranking4[[#This Row],[Rank (with ArcSinh normalization of select criteria)]],"")</f>
        <v>311</v>
      </c>
      <c r="CA318" s="200" t="str">
        <f>IF(FMS_Ranking4[[#This Row],[FMS Type]]="Education and Outreach",FMS_Ranking4[[#This Row],[Rank (with ArcSinh normalization of select criteria)]],"")</f>
        <v/>
      </c>
      <c r="CB318" s="200" t="str">
        <f>IF(FMS_Ranking4[[#This Row],[FMS Type]]="Property Acquisition and Structural Elevation",FMS_Ranking4[[#This Row],[Rank (with ArcSinh normalization of select criteria)]],"")</f>
        <v/>
      </c>
      <c r="CC318" s="200" t="str">
        <f>IF(FMS_Ranking4[[#This Row],[FMS Type]]="Infrastructure Projects",FMS_Ranking4[[#This Row],[Rank (with ArcSinh normalization of select criteria)]],"")</f>
        <v/>
      </c>
      <c r="CD318" s="200" t="str">
        <f>IF(FMS_Ranking4[[#This Row],[FMS Type]]="Other",FMS_Ranking4[[#This Row],[Rank (with ArcSinh normalization of select criteria)]],"")</f>
        <v/>
      </c>
      <c r="CE318" s="201"/>
      <c r="CF318" s="206"/>
      <c r="CG318" s="206"/>
      <c r="CH318" s="206"/>
      <c r="CI318" s="206"/>
      <c r="CJ318" s="206"/>
      <c r="CK318" s="206"/>
      <c r="CL318" s="206"/>
      <c r="CM318" s="206"/>
      <c r="CN318" s="206"/>
      <c r="CO318" s="206"/>
      <c r="CP318" s="206"/>
      <c r="CQ318" s="206"/>
      <c r="CR318" s="206"/>
    </row>
    <row r="319" spans="2:96" ht="60" x14ac:dyDescent="0.25">
      <c r="B319" s="341" t="s">
        <v>4136</v>
      </c>
      <c r="C319" s="246">
        <f>_xlfn.XLOOKUP(FMS_Ranking4[[#This Row],[FMS ID]],FMS_Input[FMS_ID],FMS_Input[RFPG_NUM])</f>
        <v>15</v>
      </c>
      <c r="D319" s="309" t="str">
        <f>_xlfn.XLOOKUP(FMS_Ranking4[[#This Row],[FMS ID]],FMS_Input[FMS_ID],FMS_Input[FMS_NAME])</f>
        <v>Willacy County Drainage District No.1 -  WCDD1 pump station improvements</v>
      </c>
      <c r="E319" s="308" t="str">
        <f>_xlfn.XLOOKUP(FMS_Ranking4[[#This Row],[FMS ID]],FMS_Input[FMS_ID],FMS_Input[SPONSOR])</f>
        <v>15000021</v>
      </c>
      <c r="F319" s="309" t="str">
        <f>_xlfn.XLOOKUP(FMS_Ranking4[[#This Row],[FMS ID]],Sponsor[FMS_ID],Sponsor[SPONSOR NAME])</f>
        <v>Willacy County Drainage District 1</v>
      </c>
      <c r="G319" s="309" t="str">
        <f>_xlfn.XLOOKUP(FMS_Ranking4[[#This Row],[FMS ID]],FMS_Input[FMS_ID],FMS_Input[FMS_DESCR])</f>
        <v>Perform assessment of pump station to make it flood proof and resilient.</v>
      </c>
      <c r="H319" s="248" t="str">
        <f>_xlfn.XLOOKUP(FMS_Ranking4[[#This Row],[FMS ID]],FMS_Input[FMS_ID],FMS_Input[FMS_TYPE])</f>
        <v>Infrastructure Projects</v>
      </c>
      <c r="I319" s="249">
        <f>_xlfn.XLOOKUP(FMS_Ranking4[[#This Row],[FMS ID]],FMS_Input[FMS_ID],FMS_Input[NRNC_COST])</f>
        <v>80000</v>
      </c>
      <c r="J319" s="250">
        <f>_xlfn.XLOOKUP(FMS_Ranking4[[#This Row],[FMS ID]],FMS_Input[FMS_ID],FMS_Input[FMS_COST])</f>
        <v>500000</v>
      </c>
      <c r="K319" s="251" t="str">
        <f>_xlfn.XLOOKUP(FMS_Ranking4[[#This Row],[FMS ID]],FMS_Input[FMS_ID],FMS_Input[EMER_NEED])</f>
        <v>Yes</v>
      </c>
      <c r="L319" s="252">
        <f t="shared" si="4"/>
        <v>1</v>
      </c>
      <c r="M319" s="253">
        <f>_xlfn.XLOOKUP(FMS_Ranking4[[#This Row],[FMS ID]],FMS_Input[FMS_ID],FMS_Input[STRUCT_100])</f>
        <v>808</v>
      </c>
      <c r="N319" s="255">
        <f>(ASINH(FMS_Ranking4[[#This Row],[Structure at Risk Raw]]))*(10)/(ASINH(M$4))</f>
        <v>5.8078397452191011</v>
      </c>
      <c r="O319" s="256">
        <f>FMS_Ranking4[[#This Row],[Structures at risk, ArcSinh (0-10)]]*M$5*10</f>
        <v>5.8078397452191011</v>
      </c>
      <c r="P319" s="253">
        <f>_xlfn.XLOOKUP(FMS_Ranking4[[#This Row],[FMS ID]],FMS_Input[FMS_ID],FMS_Input[RES_STRUCT100])</f>
        <v>513</v>
      </c>
      <c r="Q319" s="257">
        <f>ASINH(FMS_Ranking4[[#This Row],[Res Structure Raw]])/Q$4*P$5*100</f>
        <v>0</v>
      </c>
      <c r="R319" s="253">
        <f>_xlfn.XLOOKUP(FMS_Ranking4[[#This Row],[FMS ID]],FMS_Input[FMS_ID],FMS_Input[POP100])</f>
        <v>2189</v>
      </c>
      <c r="S319" s="259">
        <f>(ASINH(FMS_Ranking4[[#This Row],[Pop at Risk Raw]]))*(10)/(ASINH(R$4))</f>
        <v>5.7882030814320933</v>
      </c>
      <c r="T319" s="256">
        <f>FMS_Ranking4[[#This Row],[Population at risk, ArcSinh (0-10)]]*R$5*10</f>
        <v>5.7882030814320942</v>
      </c>
      <c r="U319" s="253">
        <f>_xlfn.XLOOKUP(FMS_Ranking4[[#This Row],[FMS ID]],FMS_Input[FMS_ID],FMS_Input[CRITFAC100])</f>
        <v>0</v>
      </c>
      <c r="V319" s="259">
        <f>(ASINH(FMS_Ranking4[[#This Row],[Critical Facilities Raw]]))*(10)/(ASINH(U$4))</f>
        <v>0</v>
      </c>
      <c r="W319" s="256">
        <f>FMS_Ranking4[[#This Row],[Critical facilities at risk, ArcSinh (0-10)]]*U$5*10</f>
        <v>0</v>
      </c>
      <c r="X319" s="253">
        <f>_xlfn.XLOOKUP(FMS_Ranking4[[#This Row],[FMS ID]],FMS_Input[FMS_ID],FMS_Input[LWC])</f>
        <v>99</v>
      </c>
      <c r="Y319" s="259">
        <f>(ASINH(FMS_Ranking4[[#This Row],[LWC Raw]]))*(10)/(ASINH(X$4))</f>
        <v>7.1642496813409249</v>
      </c>
      <c r="Z319" s="256">
        <f>FMS_Ranking4[[#This Row],[LWC, ArcSInh (0-10)]]*X$5*10</f>
        <v>7.1642496813409249</v>
      </c>
      <c r="AA319" s="253">
        <f>_xlfn.XLOOKUP(FMS_Ranking4[[#This Row],[FMS ID]],FMS_Input[FMS_ID],FMS_Input[ROADCLS])</f>
        <v>0</v>
      </c>
      <c r="AB319" s="255">
        <f>(ASINH(FMS_Ranking4[[#This Row],[Road Closures Raw]]))*(10)/(ASINH(AA$4))</f>
        <v>0</v>
      </c>
      <c r="AC319" s="256">
        <f>FMS_Ranking4[[#This Row],[Road closures, ArcSinh (0-10)]]*AA$5*10</f>
        <v>0</v>
      </c>
      <c r="AD319" s="253">
        <f>_xlfn.XLOOKUP(FMS_Ranking4[[#This Row],[FMS ID]],FMS_Input[FMS_ID],FMS_Input[ROAD_MILES100])</f>
        <v>22</v>
      </c>
      <c r="AE319" s="259">
        <f>(ASINH(FMS_Ranking4[[#This Row],[Road Miles Raw]]))*(10)/(ASINH(AD$4))</f>
        <v>4.0334550791562069</v>
      </c>
      <c r="AF319" s="256">
        <f>FMS_Ranking4[[#This Row],[Length of roads at risk, ArcSinh (0-10)]]*AD$5*10</f>
        <v>4.0334550791562069</v>
      </c>
      <c r="AG319" s="253">
        <f>_xlfn.XLOOKUP(FMS_Ranking4[[#This Row],[FMS ID]],FMS_Input[FMS_ID],FMS_Input[FARMACRE100])</f>
        <v>1987.4921875</v>
      </c>
      <c r="AH319" s="255">
        <f>(ASINH(FMS_Ranking4[[#This Row],[Ag Land Raw]]))*(10)/(ASINH(AG$4))</f>
        <v>5.383585815079444</v>
      </c>
      <c r="AI319" s="260">
        <f>FMS_Ranking4[[#This Row],[Farm &amp; ranch land, ArcSinh (0-10)]]*AG$5*10</f>
        <v>2.6917929075397224</v>
      </c>
      <c r="AJ319" s="258">
        <f>_xlfn.XLOOKUP(FMS_Ranking4[[#This Row],[FMS ID]],FMS_Input[FMS_ID],FMS_Input[REDSTRUCT100])</f>
        <v>0</v>
      </c>
      <c r="AK319" s="253">
        <f>_xlfn.XLOOKUP(FMS_Ranking4[[#This Row],[FMS ID]],FMS_Input[FMS_ID],FMS_Input[REMSTRC100])</f>
        <v>0</v>
      </c>
      <c r="AL319" s="259">
        <f>(ASINH(FMS_Ranking4[[#This Row],[Structures Removed Raw]]))*(10)/(ASINH(AK$4))</f>
        <v>0</v>
      </c>
      <c r="AM319" s="262">
        <f>FMS_Ranking4[[#This Row],[Structures removed, ArcSinh (0-10)]]*AK$5*10</f>
        <v>0</v>
      </c>
      <c r="AN319" s="253">
        <f>_xlfn.XLOOKUP(FMS_Ranking4[[#This Row],[FMS ID]],FMS_Input[FMS_ID],FMS_Input[REMRESSTRC100])</f>
        <v>0</v>
      </c>
      <c r="AO319" s="261">
        <f>FMS_Ranking4[[#This Row],[ArcSinh Res struct removed 0-10]]*AN$5*10</f>
        <v>0</v>
      </c>
      <c r="AP319" s="260">
        <f>ASINH(FMS_Ranking4[[#This Row],[Residential Structures Removed Raw]])/AP$4*AN$5*100</f>
        <v>0</v>
      </c>
      <c r="AQ319" s="254">
        <f>(ASINH(FMS_Ranking4[[#This Row],[Residential Structures Removed Raw]]))*(10)/(ASINH(AN$4))</f>
        <v>0</v>
      </c>
      <c r="AR319" s="253">
        <f>_xlfn.XLOOKUP(FMS_Ranking4[[#This Row],[FMS ID]],FMS_Input[FMS_ID],FMS_Input[REMPOP100])</f>
        <v>0</v>
      </c>
      <c r="AS319" s="259">
        <f>(ASINH(FMS_Ranking4[[#This Row],[Removed Pop Raw]]))*(10)/(ASINH(AR$4))</f>
        <v>0</v>
      </c>
      <c r="AT319" s="262">
        <f>FMS_Ranking4[[#This Row],[Removed population, ArcSinh (0-10)]]*AR$5*10</f>
        <v>0</v>
      </c>
      <c r="AU319" s="264">
        <f>_xlfn.XLOOKUP(FMS_Ranking4[[#This Row],[FMS ID]],FMS_Input[FMS_ID],FMS_Input[REMCRITFAC100])</f>
        <v>0</v>
      </c>
      <c r="AV319" s="264">
        <f>_xlfn.XLOOKUP(FMS_Ranking4[[#This Row],[FMS ID]],FMS_Input[FMS_ID],FMS_Input[REMLWC100])</f>
        <v>0</v>
      </c>
      <c r="AW319" s="264">
        <f>_xlfn.XLOOKUP(FMS_Ranking4[[#This Row],[FMS ID]],FMS_Input[FMS_ID],FMS_Input[REMROADCLS])</f>
        <v>0</v>
      </c>
      <c r="AX319" s="264">
        <f>_xlfn.XLOOKUP(FMS_Ranking4[[#This Row],[FMS ID]],FMS_Input[FMS_ID],FMS_Input[REMFRMACRE100])</f>
        <v>0</v>
      </c>
      <c r="AY319" s="258">
        <f>_xlfn.XLOOKUP(FMS_Ranking4[[#This Row],[FMS ID]],FMS_Input[FMS_ID],FMS_Input[COSTSTRUCT])</f>
        <v>0</v>
      </c>
      <c r="AZ319" s="253">
        <f>_xlfn.XLOOKUP(FMS_Ranking4[[#This Row],[FMS ID]],FMS_Input[FMS_ID],FMS_Input[NATURE])</f>
        <v>0</v>
      </c>
      <c r="BA319" s="262">
        <f>(((FMS_Ranking4[[#This Row],[% NBS Raw]]/AZ$4)*100)*AZ$5)</f>
        <v>0</v>
      </c>
      <c r="BB319" s="251" t="str">
        <f>_xlfn.XLOOKUP(FMS_Ranking4[[#This Row],[FMS ID]],FMS_Input[FMS_ID],FMS_Input[WATER_SUP])</f>
        <v>No</v>
      </c>
      <c r="BC319" s="265">
        <f>IF(FMS_Ranking4[[#This Row],[Water Supply Raw]]="Yes",10,0)</f>
        <v>0</v>
      </c>
      <c r="BD319" s="266">
        <f>_xlfn.XLOOKUP(FMS_Ranking4[[#This Row],[FMS Type]],FMS_TYPE[FMS_Type],FMS_TYPE[Score])</f>
        <v>4</v>
      </c>
      <c r="BE319" s="267">
        <f>FMS_Ranking4[[#This Row],[FMS_Type Score]]*$BD$5*10</f>
        <v>1</v>
      </c>
      <c r="BF31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1.3447138213565588</v>
      </c>
      <c r="BG319" s="271">
        <f>_xlfn.RANK.EQ(BF319,$BF$8:$BF$870,0)+COUNTIF($BF$8:BF319,BF319)-1</f>
        <v>116</v>
      </c>
      <c r="BH319" s="268">
        <f>(((FMS_Ranking4[[#This Row],[Structures Removed Raw]]/AK$4)*100)*AK$5)+(((FMS_Ranking4[[#This Row],[Removed Pop Raw]]/AR$4)*100)*AR$5)</f>
        <v>0</v>
      </c>
      <c r="BI31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2.3447138213565588</v>
      </c>
      <c r="BJ319" s="205">
        <f>_xlfn.RANK.EQ(FMS_Ranking4[[#This Row],[Total Score 
(with linear
normalization)]],FMS_Ranking4[Total Score 
(with linear
normalization)],0)</f>
        <v>286</v>
      </c>
      <c r="BK319" s="205" t="e">
        <f>_xlfn.XLOOKUP(FMS_Ranking4[[#This Row],[FMS ID]],#REF!,#REF!)</f>
        <v>#REF!</v>
      </c>
      <c r="BL31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25.485540494688045</v>
      </c>
      <c r="BM319" s="272">
        <f>FMS_Ranking4[[#This Row],[ArcSinh Score Based on Normalized Reported Factors]]+FMS_Ranking4[[#This Row],[% NBS Score (Normalized)]]+(FMS_Ranking4[[#This Row],[Water Supply Score (Normalized)]]*10*$BB$5)+FMS_Ranking4[[#This Row],[FMS_Type Score Weighted]]</f>
        <v>26.485540494688045</v>
      </c>
      <c r="BN319" s="205">
        <f>_xlfn.RANK.EQ(FMS_Ranking4[[#This Row],[Total Score (with ArcSinh normalization of select criteria)]],FMS_Ranking4[Total Score (with ArcSinh normalization of select criteria)],0)</f>
        <v>312</v>
      </c>
      <c r="BO319" s="270" t="str">
        <f>_xlfn.XLOOKUP(FMS_Ranking4[[#This Row],[FMS ID]],FMS_Input[FMS_ID],FMS_Input[FMS_RANK_YEAR])</f>
        <v>2023 Amended Plan</v>
      </c>
      <c r="BP319" s="204">
        <f>_xlfn.XLOOKUP(FMS_Ranking4[[#This Row],[FMS ID]],Prev_Rank[FMS ID],Prev_Rank[Prev Rank])</f>
        <v>282</v>
      </c>
      <c r="BQ319" s="205" t="e">
        <f>_xlfn.XLOOKUP(FMS_Ranking4[[#This Row],[FMS ID]],#REF!,#REF!)</f>
        <v>#REF!</v>
      </c>
      <c r="BR319" s="199" t="e">
        <f>SUM(#REF!,#REF!,#REF!,#REF!,#REF!,#REF!,#REF!,#REF!,#REF!,FMS_Ranking4[[#This Row],[ArcSinh Res struct removed 0-10]],#REF!)</f>
        <v>#REF!</v>
      </c>
      <c r="BS319" s="199" t="e">
        <f>FMS_Ranking4[[#This Row],[Log Score Based on Normalized Reported Factors]]+FMS_Ranking4[[#This Row],[% NBS Score (Normalized)]]+(FMS_Ranking4[[#This Row],[Water Supply Score (Normalized)]]*10*$BB$5)+(FMS_Ranking4[[#This Row],[FMS_Type Score Weighted]])</f>
        <v>#REF!</v>
      </c>
      <c r="BT319" s="200" t="e">
        <f>_xlfn.RANK.EQ(FMS_Ranking4[[#This Row],[Log Total Score]],FMS_Ranking4[Log Total Score],0)</f>
        <v>#REF!</v>
      </c>
      <c r="BU319" s="200" t="e">
        <f>_xlfn.XLOOKUP(FMS_Ranking4[[#This Row],[FMS ID]],#REF!,#REF!)</f>
        <v>#REF!</v>
      </c>
      <c r="BV319" s="200">
        <f>FMS_Ranking4[[#This Row],[Region Number]]</f>
        <v>15</v>
      </c>
      <c r="BW319" s="200">
        <f>FMS_Ranking4[[#This Row],[Rank (with ArcSinh normalization of select criteria)]]-FMS_Ranking4[[#This Row],[Rank
(with linear
normalization)]]</f>
        <v>26</v>
      </c>
      <c r="BX319" s="200" t="e">
        <f>FMS_Ranking4[[#This Row],[Log Rank]]-FMS_Ranking4[[#This Row],[Rank
(with linear
normalization)]]</f>
        <v>#REF!</v>
      </c>
      <c r="BY319" s="200" t="str">
        <f>IF(FMS_Ranking4[[#This Row],[FMS Type]]="Flood Measurement and Warning",FMS_Ranking4[[#This Row],[Rank (with ArcSinh normalization of select criteria)]],"")</f>
        <v/>
      </c>
      <c r="BZ319" s="200" t="str">
        <f>IF(FMS_Ranking4[[#This Row],[FMS Type]]="Regulatory and Guidance",FMS_Ranking4[[#This Row],[Rank (with ArcSinh normalization of select criteria)]],"")</f>
        <v/>
      </c>
      <c r="CA319" s="200" t="str">
        <f>IF(FMS_Ranking4[[#This Row],[FMS Type]]="Education and Outreach",FMS_Ranking4[[#This Row],[Rank (with ArcSinh normalization of select criteria)]],"")</f>
        <v/>
      </c>
      <c r="CB319" s="200" t="str">
        <f>IF(FMS_Ranking4[[#This Row],[FMS Type]]="Property Acquisition and Structural Elevation",FMS_Ranking4[[#This Row],[Rank (with ArcSinh normalization of select criteria)]],"")</f>
        <v/>
      </c>
      <c r="CC319" s="200">
        <f>IF(FMS_Ranking4[[#This Row],[FMS Type]]="Infrastructure Projects",FMS_Ranking4[[#This Row],[Rank (with ArcSinh normalization of select criteria)]],"")</f>
        <v>312</v>
      </c>
      <c r="CD319" s="200" t="str">
        <f>IF(FMS_Ranking4[[#This Row],[FMS Type]]="Other",FMS_Ranking4[[#This Row],[Rank (with ArcSinh normalization of select criteria)]],"")</f>
        <v/>
      </c>
      <c r="CE319" s="201"/>
      <c r="CF319" s="206"/>
      <c r="CG319" s="206"/>
      <c r="CH319" s="206"/>
      <c r="CI319" s="206"/>
      <c r="CJ319" s="206"/>
      <c r="CK319" s="206"/>
      <c r="CL319" s="206"/>
      <c r="CM319" s="206"/>
      <c r="CN319" s="206"/>
      <c r="CO319" s="206"/>
      <c r="CP319" s="206"/>
      <c r="CQ319" s="206"/>
      <c r="CR319" s="206"/>
    </row>
    <row r="320" spans="2:96" ht="60" x14ac:dyDescent="0.25">
      <c r="B320" s="341" t="s">
        <v>12380</v>
      </c>
      <c r="C320" s="246">
        <f>_xlfn.XLOOKUP(FMS_Ranking4[[#This Row],[FMS ID]],FMS_Input[FMS_ID],FMS_Input[RFPG_NUM])</f>
        <v>5</v>
      </c>
      <c r="D320" s="309" t="str">
        <f>_xlfn.XLOOKUP(FMS_Ranking4[[#This Row],[FMS ID]],FMS_Input[FMS_ID],FMS_Input[FMS_NAME])</f>
        <v>Chambers County Property Acquisition</v>
      </c>
      <c r="E320" s="308" t="str">
        <f>_xlfn.XLOOKUP(FMS_Ranking4[[#This Row],[FMS ID]],FMS_Input[FMS_ID],FMS_Input[SPONSOR])</f>
        <v>00000013</v>
      </c>
      <c r="F320" s="309" t="str">
        <f>_xlfn.XLOOKUP(FMS_Ranking4[[#This Row],[FMS ID]],Sponsor[FMS_ID],Sponsor[SPONSOR NAME])</f>
        <v>Chambers</v>
      </c>
      <c r="G320" s="309" t="str">
        <f>_xlfn.XLOOKUP(FMS_Ranking4[[#This Row],[FMS ID]],FMS_Input[FMS_ID],FMS_Input[FMS_DESCR])</f>
        <v>Develop and implement a web-based system to manage flood models and mapping and regulate future development.</v>
      </c>
      <c r="H320" s="248" t="str">
        <f>_xlfn.XLOOKUP(FMS_Ranking4[[#This Row],[FMS ID]],FMS_Input[FMS_ID],FMS_Input[FMS_TYPE])</f>
        <v>Property Acquisition and Structural Elevation</v>
      </c>
      <c r="I320" s="249">
        <f>_xlfn.XLOOKUP(FMS_Ranking4[[#This Row],[FMS ID]],FMS_Input[FMS_ID],FMS_Input[NRNC_COST])</f>
        <v>500000</v>
      </c>
      <c r="J320" s="250">
        <f>_xlfn.XLOOKUP(FMS_Ranking4[[#This Row],[FMS ID]],FMS_Input[FMS_ID],FMS_Input[FMS_COST])</f>
        <v>3451110</v>
      </c>
      <c r="K320" s="251" t="str">
        <f>_xlfn.XLOOKUP(FMS_Ranking4[[#This Row],[FMS ID]],FMS_Input[FMS_ID],FMS_Input[EMER_NEED])</f>
        <v>No</v>
      </c>
      <c r="L320" s="252">
        <f t="shared" si="4"/>
        <v>0</v>
      </c>
      <c r="M320" s="253">
        <f>_xlfn.XLOOKUP(FMS_Ranking4[[#This Row],[FMS ID]],FMS_Input[FMS_ID],FMS_Input[STRUCT_100])</f>
        <v>2245</v>
      </c>
      <c r="N320" s="255">
        <f>(ASINH(FMS_Ranking4[[#This Row],[Structure at Risk Raw]]))*(10)/(ASINH(M$4))</f>
        <v>6.6112040482495562</v>
      </c>
      <c r="O320" s="256">
        <f>FMS_Ranking4[[#This Row],[Structures at risk, ArcSinh (0-10)]]*M$5*10</f>
        <v>6.6112040482495571</v>
      </c>
      <c r="P320" s="253">
        <f>_xlfn.XLOOKUP(FMS_Ranking4[[#This Row],[FMS ID]],FMS_Input[FMS_ID],FMS_Input[RES_STRUCT100])</f>
        <v>1180</v>
      </c>
      <c r="Q320" s="257">
        <f>ASINH(FMS_Ranking4[[#This Row],[Res Structure Raw]])/Q$4*P$5*100</f>
        <v>0</v>
      </c>
      <c r="R320" s="253">
        <f>_xlfn.XLOOKUP(FMS_Ranking4[[#This Row],[FMS ID]],FMS_Input[FMS_ID],FMS_Input[POP100])</f>
        <v>4352</v>
      </c>
      <c r="S320" s="259">
        <f>(ASINH(FMS_Ranking4[[#This Row],[Pop at Risk Raw]]))*(10)/(ASINH(R$4))</f>
        <v>6.262610795352904</v>
      </c>
      <c r="T320" s="256">
        <f>FMS_Ranking4[[#This Row],[Population at risk, ArcSinh (0-10)]]*R$5*10</f>
        <v>6.262610795352904</v>
      </c>
      <c r="U320" s="253">
        <f>_xlfn.XLOOKUP(FMS_Ranking4[[#This Row],[FMS ID]],FMS_Input[FMS_ID],FMS_Input[CRITFAC100])</f>
        <v>7</v>
      </c>
      <c r="V320" s="259">
        <f>(ASINH(FMS_Ranking4[[#This Row],[Critical Facilities Raw]]))*(10)/(ASINH(U$4))</f>
        <v>3.1300153354232236</v>
      </c>
      <c r="W320" s="256">
        <f>FMS_Ranking4[[#This Row],[Critical facilities at risk, ArcSinh (0-10)]]*U$5*10</f>
        <v>3.1300153354232241</v>
      </c>
      <c r="X320" s="253">
        <f>_xlfn.XLOOKUP(FMS_Ranking4[[#This Row],[FMS ID]],FMS_Input[FMS_ID],FMS_Input[LWC])</f>
        <v>0</v>
      </c>
      <c r="Y320" s="259">
        <f>(ASINH(FMS_Ranking4[[#This Row],[LWC Raw]]))*(10)/(ASINH(X$4))</f>
        <v>0</v>
      </c>
      <c r="Z320" s="256">
        <f>FMS_Ranking4[[#This Row],[LWC, ArcSInh (0-10)]]*X$5*10</f>
        <v>0</v>
      </c>
      <c r="AA320" s="253">
        <f>_xlfn.XLOOKUP(FMS_Ranking4[[#This Row],[FMS ID]],FMS_Input[FMS_ID],FMS_Input[ROADCLS])</f>
        <v>0</v>
      </c>
      <c r="AB320" s="255">
        <f>(ASINH(FMS_Ranking4[[#This Row],[Road Closures Raw]]))*(10)/(ASINH(AA$4))</f>
        <v>0</v>
      </c>
      <c r="AC320" s="256">
        <f>FMS_Ranking4[[#This Row],[Road closures, ArcSinh (0-10)]]*AA$5*10</f>
        <v>0</v>
      </c>
      <c r="AD320" s="253">
        <f>_xlfn.XLOOKUP(FMS_Ranking4[[#This Row],[FMS ID]],FMS_Input[FMS_ID],FMS_Input[ROAD_MILES100])</f>
        <v>100</v>
      </c>
      <c r="AE320" s="259">
        <f>(ASINH(FMS_Ranking4[[#This Row],[Road Miles Raw]]))*(10)/(ASINH(AD$4))</f>
        <v>5.6465752593087606</v>
      </c>
      <c r="AF320" s="256">
        <f>FMS_Ranking4[[#This Row],[Length of roads at risk, ArcSinh (0-10)]]*AD$5*10</f>
        <v>5.6465752593087606</v>
      </c>
      <c r="AG320" s="253">
        <f>_xlfn.XLOOKUP(FMS_Ranking4[[#This Row],[FMS ID]],FMS_Input[FMS_ID],FMS_Input[FARMACRE100])</f>
        <v>58715</v>
      </c>
      <c r="AH320" s="255">
        <f>(ASINH(FMS_Ranking4[[#This Row],[Ag Land Raw]]))*(10)/(ASINH(AG$4))</f>
        <v>7.5829527399479657</v>
      </c>
      <c r="AI320" s="260">
        <f>FMS_Ranking4[[#This Row],[Farm &amp; ranch land, ArcSinh (0-10)]]*AG$5*10</f>
        <v>3.7914763699739829</v>
      </c>
      <c r="AJ320" s="258">
        <f>_xlfn.XLOOKUP(FMS_Ranking4[[#This Row],[FMS ID]],FMS_Input[FMS_ID],FMS_Input[REDSTRUCT100])</f>
        <v>0</v>
      </c>
      <c r="AK320" s="253">
        <f>_xlfn.XLOOKUP(FMS_Ranking4[[#This Row],[FMS ID]],FMS_Input[FMS_ID],FMS_Input[REMSTRC100])</f>
        <v>0</v>
      </c>
      <c r="AL320" s="259">
        <f>(ASINH(FMS_Ranking4[[#This Row],[Structures Removed Raw]]))*(10)/(ASINH(AK$4))</f>
        <v>0</v>
      </c>
      <c r="AM320" s="262">
        <f>FMS_Ranking4[[#This Row],[Structures removed, ArcSinh (0-10)]]*AK$5*10</f>
        <v>0</v>
      </c>
      <c r="AN320" s="253">
        <f>_xlfn.XLOOKUP(FMS_Ranking4[[#This Row],[FMS ID]],FMS_Input[FMS_ID],FMS_Input[REMRESSTRC100])</f>
        <v>0</v>
      </c>
      <c r="AO320" s="261">
        <f>FMS_Ranking4[[#This Row],[ArcSinh Res struct removed 0-10]]*AN$5*10</f>
        <v>0</v>
      </c>
      <c r="AP320" s="260">
        <f>ASINH(FMS_Ranking4[[#This Row],[Residential Structures Removed Raw]])/AP$4*AN$5*100</f>
        <v>0</v>
      </c>
      <c r="AQ320" s="254">
        <f>(ASINH(FMS_Ranking4[[#This Row],[Residential Structures Removed Raw]]))*(10)/(ASINH(AN$4))</f>
        <v>0</v>
      </c>
      <c r="AR320" s="253">
        <f>_xlfn.XLOOKUP(FMS_Ranking4[[#This Row],[FMS ID]],FMS_Input[FMS_ID],FMS_Input[REMPOP100])</f>
        <v>0</v>
      </c>
      <c r="AS320" s="259">
        <f>(ASINH(FMS_Ranking4[[#This Row],[Removed Pop Raw]]))*(10)/(ASINH(AR$4))</f>
        <v>0</v>
      </c>
      <c r="AT320" s="262">
        <f>FMS_Ranking4[[#This Row],[Removed population, ArcSinh (0-10)]]*AR$5*10</f>
        <v>0</v>
      </c>
      <c r="AU320" s="264">
        <f>_xlfn.XLOOKUP(FMS_Ranking4[[#This Row],[FMS ID]],FMS_Input[FMS_ID],FMS_Input[REMCRITFAC100])</f>
        <v>0</v>
      </c>
      <c r="AV320" s="264">
        <f>_xlfn.XLOOKUP(FMS_Ranking4[[#This Row],[FMS ID]],FMS_Input[FMS_ID],FMS_Input[REMLWC100])</f>
        <v>0</v>
      </c>
      <c r="AW320" s="264">
        <f>_xlfn.XLOOKUP(FMS_Ranking4[[#This Row],[FMS ID]],FMS_Input[FMS_ID],FMS_Input[REMROADCLS])</f>
        <v>0</v>
      </c>
      <c r="AX320" s="264">
        <f>_xlfn.XLOOKUP(FMS_Ranking4[[#This Row],[FMS ID]],FMS_Input[FMS_ID],FMS_Input[REMFRMACRE100])</f>
        <v>0</v>
      </c>
      <c r="AY320" s="258">
        <f>_xlfn.XLOOKUP(FMS_Ranking4[[#This Row],[FMS ID]],FMS_Input[FMS_ID],FMS_Input[COSTSTRUCT])</f>
        <v>0</v>
      </c>
      <c r="AZ320" s="253">
        <f>_xlfn.XLOOKUP(FMS_Ranking4[[#This Row],[FMS ID]],FMS_Input[FMS_ID],FMS_Input[NATURE])</f>
        <v>0</v>
      </c>
      <c r="BA320" s="262">
        <f>(((FMS_Ranking4[[#This Row],[% NBS Raw]]/AZ$4)*100)*AZ$5)</f>
        <v>0</v>
      </c>
      <c r="BB320" s="251" t="str">
        <f>_xlfn.XLOOKUP(FMS_Ranking4[[#This Row],[FMS ID]],FMS_Input[FMS_ID],FMS_Input[WATER_SUP])</f>
        <v>No</v>
      </c>
      <c r="BC320" s="265">
        <f>IF(FMS_Ranking4[[#This Row],[Water Supply Raw]]="Yes",10,0)</f>
        <v>0</v>
      </c>
      <c r="BD320" s="266">
        <f>_xlfn.XLOOKUP(FMS_Ranking4[[#This Row],[FMS Type]],FMS_TYPE[FMS_Type],FMS_TYPE[Score])</f>
        <v>4</v>
      </c>
      <c r="BE320" s="267">
        <f>FMS_Ranking4[[#This Row],[FMS_Type Score]]*$BD$5*10</f>
        <v>1</v>
      </c>
      <c r="BF32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0.49811373801996212</v>
      </c>
      <c r="BG320" s="271">
        <f>_xlfn.RANK.EQ(BF320,$BF$8:$BF$870,0)+COUNTIF($BF$8:BF320,BF320)-1</f>
        <v>227</v>
      </c>
      <c r="BH320" s="268">
        <f>(((FMS_Ranking4[[#This Row],[Structures Removed Raw]]/AK$4)*100)*AK$5)+(((FMS_Ranking4[[#This Row],[Removed Pop Raw]]/AR$4)*100)*AR$5)</f>
        <v>0</v>
      </c>
      <c r="BI32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1.4981137380199621</v>
      </c>
      <c r="BJ320" s="205">
        <f>_xlfn.RANK.EQ(FMS_Ranking4[[#This Row],[Total Score 
(with linear
normalization)]],FMS_Ranking4[Total Score 
(with linear
normalization)],0)</f>
        <v>613</v>
      </c>
      <c r="BK320" s="205" t="e">
        <f>_xlfn.XLOOKUP(FMS_Ranking4[[#This Row],[FMS ID]],#REF!,#REF!)</f>
        <v>#REF!</v>
      </c>
      <c r="BL32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25.441881808308427</v>
      </c>
      <c r="BM320" s="272">
        <f>FMS_Ranking4[[#This Row],[ArcSinh Score Based on Normalized Reported Factors]]+FMS_Ranking4[[#This Row],[% NBS Score (Normalized)]]+(FMS_Ranking4[[#This Row],[Water Supply Score (Normalized)]]*10*$BB$5)+FMS_Ranking4[[#This Row],[FMS_Type Score Weighted]]</f>
        <v>26.441881808308427</v>
      </c>
      <c r="BN320" s="205">
        <f>_xlfn.RANK.EQ(FMS_Ranking4[[#This Row],[Total Score (with ArcSinh normalization of select criteria)]],FMS_Ranking4[Total Score (with ArcSinh normalization of select criteria)],0)</f>
        <v>313</v>
      </c>
      <c r="BO320" s="270" t="str">
        <f>_xlfn.XLOOKUP(FMS_Ranking4[[#This Row],[FMS ID]],FMS_Input[FMS_ID],FMS_Input[FMS_RANK_YEAR])</f>
        <v>2025 Amended Plan</v>
      </c>
      <c r="BP320" s="204" t="e">
        <f>_xlfn.XLOOKUP(FMS_Ranking4[[#This Row],[FMS ID]],Prev_Rank[FMS ID],Prev_Rank[Prev Rank])</f>
        <v>#N/A</v>
      </c>
      <c r="BQ320" s="205" t="e">
        <f>_xlfn.XLOOKUP(FMS_Ranking4[[#This Row],[FMS ID]],#REF!,#REF!)</f>
        <v>#REF!</v>
      </c>
      <c r="BR320" s="199" t="e">
        <f>SUM(#REF!,#REF!,#REF!,#REF!,#REF!,#REF!,#REF!,#REF!,#REF!,FMS_Ranking4[[#This Row],[ArcSinh Res struct removed 0-10]],#REF!)</f>
        <v>#REF!</v>
      </c>
      <c r="BS320" s="199" t="e">
        <f>FMS_Ranking4[[#This Row],[Log Score Based on Normalized Reported Factors]]+FMS_Ranking4[[#This Row],[% NBS Score (Normalized)]]+(FMS_Ranking4[[#This Row],[Water Supply Score (Normalized)]]*10*$BB$5)+(FMS_Ranking4[[#This Row],[FMS_Type Score Weighted]])</f>
        <v>#REF!</v>
      </c>
      <c r="BT320" s="200" t="e">
        <f>_xlfn.RANK.EQ(FMS_Ranking4[[#This Row],[Log Total Score]],FMS_Ranking4[Log Total Score],0)</f>
        <v>#REF!</v>
      </c>
      <c r="BU320" s="200" t="e">
        <f>_xlfn.XLOOKUP(FMS_Ranking4[[#This Row],[FMS ID]],#REF!,#REF!)</f>
        <v>#REF!</v>
      </c>
      <c r="BV320" s="200">
        <f>FMS_Ranking4[[#This Row],[Region Number]]</f>
        <v>5</v>
      </c>
      <c r="BW320" s="200">
        <f>FMS_Ranking4[[#This Row],[Rank (with ArcSinh normalization of select criteria)]]-FMS_Ranking4[[#This Row],[Rank
(with linear
normalization)]]</f>
        <v>-300</v>
      </c>
      <c r="BX320" s="200" t="e">
        <f>FMS_Ranking4[[#This Row],[Log Rank]]-FMS_Ranking4[[#This Row],[Rank
(with linear
normalization)]]</f>
        <v>#REF!</v>
      </c>
      <c r="BY320" s="200" t="str">
        <f>IF(FMS_Ranking4[[#This Row],[FMS Type]]="Flood Measurement and Warning",FMS_Ranking4[[#This Row],[Rank (with ArcSinh normalization of select criteria)]],"")</f>
        <v/>
      </c>
      <c r="BZ320" s="200" t="str">
        <f>IF(FMS_Ranking4[[#This Row],[FMS Type]]="Regulatory and Guidance",FMS_Ranking4[[#This Row],[Rank (with ArcSinh normalization of select criteria)]],"")</f>
        <v/>
      </c>
      <c r="CA320" s="200" t="str">
        <f>IF(FMS_Ranking4[[#This Row],[FMS Type]]="Education and Outreach",FMS_Ranking4[[#This Row],[Rank (with ArcSinh normalization of select criteria)]],"")</f>
        <v/>
      </c>
      <c r="CB320" s="200">
        <f>IF(FMS_Ranking4[[#This Row],[FMS Type]]="Property Acquisition and Structural Elevation",FMS_Ranking4[[#This Row],[Rank (with ArcSinh normalization of select criteria)]],"")</f>
        <v>313</v>
      </c>
      <c r="CC320" s="200" t="str">
        <f>IF(FMS_Ranking4[[#This Row],[FMS Type]]="Infrastructure Projects",FMS_Ranking4[[#This Row],[Rank (with ArcSinh normalization of select criteria)]],"")</f>
        <v/>
      </c>
      <c r="CD320" s="200" t="str">
        <f>IF(FMS_Ranking4[[#This Row],[FMS Type]]="Other",FMS_Ranking4[[#This Row],[Rank (with ArcSinh normalization of select criteria)]],"")</f>
        <v/>
      </c>
      <c r="CE320" s="201"/>
      <c r="CF320" s="206"/>
      <c r="CG320" s="206"/>
      <c r="CH320" s="206"/>
      <c r="CI320" s="206"/>
      <c r="CJ320" s="206"/>
      <c r="CK320" s="206"/>
      <c r="CL320" s="206"/>
      <c r="CM320" s="206"/>
      <c r="CN320" s="206"/>
      <c r="CO320" s="206"/>
      <c r="CP320" s="206"/>
      <c r="CQ320" s="206"/>
      <c r="CR320" s="206"/>
    </row>
    <row r="321" spans="2:96" ht="90" x14ac:dyDescent="0.25">
      <c r="B321" s="341" t="s">
        <v>1998</v>
      </c>
      <c r="C321" s="246">
        <f>_xlfn.XLOOKUP(FMS_Ranking4[[#This Row],[FMS ID]],FMS_Input[FMS_ID],FMS_Input[RFPG_NUM])</f>
        <v>3</v>
      </c>
      <c r="D321" s="309" t="str">
        <f>_xlfn.XLOOKUP(FMS_Ranking4[[#This Row],[FMS ID]],FMS_Input[FMS_ID],FMS_Input[FMS_NAME])</f>
        <v>Walker County Voluntary Buyout Program</v>
      </c>
      <c r="E321" s="308" t="str">
        <f>_xlfn.XLOOKUP(FMS_Ranking4[[#This Row],[FMS ID]],FMS_Input[FMS_ID],FMS_Input[SPONSOR])</f>
        <v>Walker County, New Waverly, Riverside</v>
      </c>
      <c r="F321" s="309" t="str">
        <f>_xlfn.XLOOKUP(FMS_Ranking4[[#This Row],[FMS ID]],Sponsor[FMS_ID],Sponsor[SPONSOR NAME])</f>
        <v>Walker County, New Waverly, Riverside</v>
      </c>
      <c r="G321" s="309" t="str">
        <f>_xlfn.XLOOKUP(FMS_Ranking4[[#This Row],[FMS ID]],FMS_Input[FMS_ID],FMS_Input[FMS_DESCR])</f>
        <v>The county and partnering jurisdictions will begin a voluntary buyout program for insured severe repetitive loss properties that are in the floodplain</v>
      </c>
      <c r="H321" s="248" t="str">
        <f>_xlfn.XLOOKUP(FMS_Ranking4[[#This Row],[FMS ID]],FMS_Input[FMS_ID],FMS_Input[FMS_TYPE])</f>
        <v>Regulatory and Guidance</v>
      </c>
      <c r="I321" s="249">
        <f>_xlfn.XLOOKUP(FMS_Ranking4[[#This Row],[FMS ID]],FMS_Input[FMS_ID],FMS_Input[NRNC_COST])</f>
        <v>500000</v>
      </c>
      <c r="J321" s="250">
        <f>_xlfn.XLOOKUP(FMS_Ranking4[[#This Row],[FMS ID]],FMS_Input[FMS_ID],FMS_Input[FMS_COST])</f>
        <v>5000000</v>
      </c>
      <c r="K321" s="251" t="str">
        <f>_xlfn.XLOOKUP(FMS_Ranking4[[#This Row],[FMS ID]],FMS_Input[FMS_ID],FMS_Input[EMER_NEED])</f>
        <v>No</v>
      </c>
      <c r="L321" s="252">
        <f t="shared" si="4"/>
        <v>0</v>
      </c>
      <c r="M321" s="253">
        <f>_xlfn.XLOOKUP(FMS_Ranking4[[#This Row],[FMS ID]],FMS_Input[FMS_ID],FMS_Input[STRUCT_100])</f>
        <v>100</v>
      </c>
      <c r="N321" s="255">
        <f>(ASINH(FMS_Ranking4[[#This Row],[Structure at Risk Raw]]))*(10)/(ASINH(M$4))</f>
        <v>4.1652859883796367</v>
      </c>
      <c r="O321" s="256">
        <f>FMS_Ranking4[[#This Row],[Structures at risk, ArcSinh (0-10)]]*M$5*10</f>
        <v>4.1652859883796367</v>
      </c>
      <c r="P321" s="253">
        <f>_xlfn.XLOOKUP(FMS_Ranking4[[#This Row],[FMS ID]],FMS_Input[FMS_ID],FMS_Input[RES_STRUCT100])</f>
        <v>65</v>
      </c>
      <c r="Q321" s="257">
        <f>ASINH(FMS_Ranking4[[#This Row],[Res Structure Raw]])/Q$4*P$5*100</f>
        <v>0</v>
      </c>
      <c r="R321" s="253">
        <f>_xlfn.XLOOKUP(FMS_Ranking4[[#This Row],[FMS ID]],FMS_Input[FMS_ID],FMS_Input[POP100])</f>
        <v>57</v>
      </c>
      <c r="S321" s="255">
        <f>(ASINH(FMS_Ranking4[[#This Row],[Pop at Risk Raw]]))*(10)/(ASINH(R$4))</f>
        <v>3.2697266352952918</v>
      </c>
      <c r="T321" s="256">
        <f>FMS_Ranking4[[#This Row],[Population at risk, ArcSinh (0-10)]]*R$5*10</f>
        <v>3.2697266352952918</v>
      </c>
      <c r="U321" s="253">
        <f>_xlfn.XLOOKUP(FMS_Ranking4[[#This Row],[FMS ID]],FMS_Input[FMS_ID],FMS_Input[CRITFAC100])</f>
        <v>11</v>
      </c>
      <c r="V321" s="255">
        <f>(ASINH(FMS_Ranking4[[#This Row],[Critical Facilities Raw]]))*(10)/(ASINH(U$4))</f>
        <v>3.661503455940549</v>
      </c>
      <c r="W321" s="256">
        <f>FMS_Ranking4[[#This Row],[Critical facilities at risk, ArcSinh (0-10)]]*U$5*10</f>
        <v>3.661503455940549</v>
      </c>
      <c r="X321" s="253">
        <f>_xlfn.XLOOKUP(FMS_Ranking4[[#This Row],[FMS ID]],FMS_Input[FMS_ID],FMS_Input[LWC])</f>
        <v>16</v>
      </c>
      <c r="Y321" s="255">
        <f>(ASINH(FMS_Ranking4[[#This Row],[LWC Raw]]))*(10)/(ASINH(X$4))</f>
        <v>4.6964844083783914</v>
      </c>
      <c r="Z321" s="256">
        <f>FMS_Ranking4[[#This Row],[LWC, ArcSInh (0-10)]]*X$5*10</f>
        <v>4.6964844083783923</v>
      </c>
      <c r="AA321" s="253">
        <f>_xlfn.XLOOKUP(FMS_Ranking4[[#This Row],[FMS ID]],FMS_Input[FMS_ID],FMS_Input[ROADCLS])</f>
        <v>0</v>
      </c>
      <c r="AB321" s="255">
        <f>(ASINH(FMS_Ranking4[[#This Row],[Road Closures Raw]]))*(10)/(ASINH(AA$4))</f>
        <v>0</v>
      </c>
      <c r="AC321" s="256">
        <f>FMS_Ranking4[[#This Row],[Road closures, ArcSinh (0-10)]]*AA$5*10</f>
        <v>0</v>
      </c>
      <c r="AD321" s="253">
        <f>_xlfn.XLOOKUP(FMS_Ranking4[[#This Row],[FMS ID]],FMS_Input[FMS_ID],FMS_Input[ROAD_MILES100])</f>
        <v>59</v>
      </c>
      <c r="AE321" s="255">
        <f>(ASINH(FMS_Ranking4[[#This Row],[Road Miles Raw]]))*(10)/(ASINH(AD$4))</f>
        <v>5.0843138091420288</v>
      </c>
      <c r="AF321" s="256">
        <f>FMS_Ranking4[[#This Row],[Length of roads at risk, ArcSinh (0-10)]]*AD$5*10</f>
        <v>5.0843138091420297</v>
      </c>
      <c r="AG321" s="253">
        <f>_xlfn.XLOOKUP(FMS_Ranking4[[#This Row],[FMS ID]],FMS_Input[FMS_ID],FMS_Input[FARMACRE100])</f>
        <v>24889.44921875</v>
      </c>
      <c r="AH321" s="255">
        <f>(ASINH(FMS_Ranking4[[#This Row],[Ag Land Raw]]))*(10)/(ASINH(AG$4))</f>
        <v>7.0254486364994921</v>
      </c>
      <c r="AI321" s="260">
        <f>FMS_Ranking4[[#This Row],[Farm &amp; ranch land, ArcSinh (0-10)]]*AG$5*10</f>
        <v>3.5127243182497465</v>
      </c>
      <c r="AJ321" s="258">
        <f>_xlfn.XLOOKUP(FMS_Ranking4[[#This Row],[FMS ID]],FMS_Input[FMS_ID],FMS_Input[REDSTRUCT100])</f>
        <v>0</v>
      </c>
      <c r="AK321" s="253">
        <f>_xlfn.XLOOKUP(FMS_Ranking4[[#This Row],[FMS ID]],FMS_Input[FMS_ID],FMS_Input[REMSTRC100])</f>
        <v>0</v>
      </c>
      <c r="AL321" s="255">
        <f>(ASINH(FMS_Ranking4[[#This Row],[Structures Removed Raw]]))*(10)/(ASINH(AK$4))</f>
        <v>0</v>
      </c>
      <c r="AM321" s="262">
        <f>FMS_Ranking4[[#This Row],[Structures removed, ArcSinh (0-10)]]*AK$5*10</f>
        <v>0</v>
      </c>
      <c r="AN321" s="253">
        <f>_xlfn.XLOOKUP(FMS_Ranking4[[#This Row],[FMS ID]],FMS_Input[FMS_ID],FMS_Input[REMRESSTRC100])</f>
        <v>0</v>
      </c>
      <c r="AO321" s="261">
        <f>FMS_Ranking4[[#This Row],[ArcSinh Res struct removed 0-10]]*AN$5*10</f>
        <v>0</v>
      </c>
      <c r="AP321" s="260">
        <f>ASINH(FMS_Ranking4[[#This Row],[Residential Structures Removed Raw]])/AP$4*AN$5*100</f>
        <v>0</v>
      </c>
      <c r="AQ321" s="258">
        <f>(ASINH(FMS_Ranking4[[#This Row],[Residential Structures Removed Raw]]))*(10)/(ASINH(AN$4))</f>
        <v>0</v>
      </c>
      <c r="AR321" s="253">
        <f>_xlfn.XLOOKUP(FMS_Ranking4[[#This Row],[FMS ID]],FMS_Input[FMS_ID],FMS_Input[REMPOP100])</f>
        <v>0</v>
      </c>
      <c r="AS321" s="255">
        <f>(ASINH(FMS_Ranking4[[#This Row],[Removed Pop Raw]]))*(10)/(ASINH(AR$4))</f>
        <v>0</v>
      </c>
      <c r="AT321" s="262">
        <f>FMS_Ranking4[[#This Row],[Removed population, ArcSinh (0-10)]]*AR$5*10</f>
        <v>0</v>
      </c>
      <c r="AU321" s="264">
        <f>_xlfn.XLOOKUP(FMS_Ranking4[[#This Row],[FMS ID]],FMS_Input[FMS_ID],FMS_Input[REMCRITFAC100])</f>
        <v>0</v>
      </c>
      <c r="AV321" s="264">
        <f>_xlfn.XLOOKUP(FMS_Ranking4[[#This Row],[FMS ID]],FMS_Input[FMS_ID],FMS_Input[REMLWC100])</f>
        <v>0</v>
      </c>
      <c r="AW321" s="264">
        <f>_xlfn.XLOOKUP(FMS_Ranking4[[#This Row],[FMS ID]],FMS_Input[FMS_ID],FMS_Input[REMROADCLS])</f>
        <v>0</v>
      </c>
      <c r="AX321" s="264">
        <f>_xlfn.XLOOKUP(FMS_Ranking4[[#This Row],[FMS ID]],FMS_Input[FMS_ID],FMS_Input[REMFRMACRE100])</f>
        <v>0</v>
      </c>
      <c r="AY321" s="258">
        <f>_xlfn.XLOOKUP(FMS_Ranking4[[#This Row],[FMS ID]],FMS_Input[FMS_ID],FMS_Input[COSTSTRUCT])</f>
        <v>0</v>
      </c>
      <c r="AZ321" s="253">
        <f>_xlfn.XLOOKUP(FMS_Ranking4[[#This Row],[FMS ID]],FMS_Input[FMS_ID],FMS_Input[NATURE])</f>
        <v>0</v>
      </c>
      <c r="BA321" s="262">
        <f>(((FMS_Ranking4[[#This Row],[% NBS Raw]]/AZ$4)*100)*AZ$5)</f>
        <v>0</v>
      </c>
      <c r="BB321" s="251" t="str">
        <f>_xlfn.XLOOKUP(FMS_Ranking4[[#This Row],[FMS ID]],FMS_Input[FMS_ID],FMS_Input[WATER_SUP])</f>
        <v>No</v>
      </c>
      <c r="BC321" s="265">
        <f>IF(FMS_Ranking4[[#This Row],[Water Supply Raw]]="Yes",10,0)</f>
        <v>0</v>
      </c>
      <c r="BD321" s="266">
        <f>_xlfn.XLOOKUP(FMS_Ranking4[[#This Row],[FMS Type]],FMS_TYPE[FMS_Type],FMS_TYPE[Score])</f>
        <v>8</v>
      </c>
      <c r="BE321" s="267">
        <f>FMS_Ranking4[[#This Row],[FMS_Type Score]]*$BD$5*10</f>
        <v>2</v>
      </c>
      <c r="BF32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0.40356235673593727</v>
      </c>
      <c r="BG321" s="321">
        <f>_xlfn.RANK.EQ(BF321,$BF$8:$BF$870,0)+COUNTIF($BF$8:BF321,BF321)-1</f>
        <v>257</v>
      </c>
      <c r="BH321" s="294">
        <f>(((FMS_Ranking4[[#This Row],[Structures Removed Raw]]/AK$4)*100)*AK$5)+(((FMS_Ranking4[[#This Row],[Removed Pop Raw]]/AR$4)*100)*AR$5)</f>
        <v>0</v>
      </c>
      <c r="BI32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2.4035623567359372</v>
      </c>
      <c r="BJ321" s="251">
        <f>_xlfn.RANK.EQ(FMS_Ranking4[[#This Row],[Total Score 
(with linear
normalization)]],FMS_Ranking4[Total Score 
(with linear
normalization)],0)</f>
        <v>276</v>
      </c>
      <c r="BK321" s="251" t="e">
        <f>_xlfn.XLOOKUP(FMS_Ranking4[[#This Row],[FMS ID]],#REF!,#REF!)</f>
        <v>#REF!</v>
      </c>
      <c r="BL32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24.390038615385645</v>
      </c>
      <c r="BM321" s="324">
        <f>FMS_Ranking4[[#This Row],[ArcSinh Score Based on Normalized Reported Factors]]+FMS_Ranking4[[#This Row],[% NBS Score (Normalized)]]+(FMS_Ranking4[[#This Row],[Water Supply Score (Normalized)]]*10*$BB$5)+FMS_Ranking4[[#This Row],[FMS_Type Score Weighted]]</f>
        <v>26.390038615385645</v>
      </c>
      <c r="BN321" s="251">
        <f>_xlfn.RANK.EQ(FMS_Ranking4[[#This Row],[Total Score (with ArcSinh normalization of select criteria)]],FMS_Ranking4[Total Score (with ArcSinh normalization of select criteria)],0)</f>
        <v>314</v>
      </c>
      <c r="BO321" s="270" t="str">
        <f>_xlfn.XLOOKUP(FMS_Ranking4[[#This Row],[FMS ID]],FMS_Input[FMS_ID],FMS_Input[FMS_RANK_YEAR])</f>
        <v>2023 Amended Plan</v>
      </c>
      <c r="BP321" s="204">
        <f>_xlfn.XLOOKUP(FMS_Ranking4[[#This Row],[FMS ID]],Prev_Rank[FMS ID],Prev_Rank[Prev Rank])</f>
        <v>280</v>
      </c>
      <c r="BQ321" s="251" t="e">
        <f>_xlfn.XLOOKUP(FMS_Ranking4[[#This Row],[FMS ID]],#REF!,#REF!)</f>
        <v>#REF!</v>
      </c>
      <c r="BR321" s="199" t="e">
        <f>SUM(#REF!,#REF!,#REF!,#REF!,#REF!,#REF!,#REF!,#REF!,#REF!,FMS_Ranking4[[#This Row],[ArcSinh Res struct removed 0-10]],#REF!)</f>
        <v>#REF!</v>
      </c>
      <c r="BS321" s="199" t="e">
        <f>FMS_Ranking4[[#This Row],[Log Score Based on Normalized Reported Factors]]+FMS_Ranking4[[#This Row],[% NBS Score (Normalized)]]+(FMS_Ranking4[[#This Row],[Water Supply Score (Normalized)]]*10*$BB$5)+(FMS_Ranking4[[#This Row],[FMS_Type Score Weighted]])</f>
        <v>#REF!</v>
      </c>
      <c r="BT321" s="200" t="e">
        <f>_xlfn.RANK.EQ(FMS_Ranking4[[#This Row],[Log Total Score]],FMS_Ranking4[Log Total Score],0)</f>
        <v>#REF!</v>
      </c>
      <c r="BU321" s="200" t="e">
        <f>_xlfn.XLOOKUP(FMS_Ranking4[[#This Row],[FMS ID]],#REF!,#REF!)</f>
        <v>#REF!</v>
      </c>
      <c r="BV321" s="200">
        <f>FMS_Ranking4[[#This Row],[Region Number]]</f>
        <v>3</v>
      </c>
      <c r="BW321" s="200">
        <f>FMS_Ranking4[[#This Row],[Rank (with ArcSinh normalization of select criteria)]]-FMS_Ranking4[[#This Row],[Rank
(with linear
normalization)]]</f>
        <v>38</v>
      </c>
      <c r="BX321" s="200" t="e">
        <f>FMS_Ranking4[[#This Row],[Log Rank]]-FMS_Ranking4[[#This Row],[Rank
(with linear
normalization)]]</f>
        <v>#REF!</v>
      </c>
      <c r="BY321" s="200" t="str">
        <f>IF(FMS_Ranking4[[#This Row],[FMS Type]]="Flood Measurement and Warning",FMS_Ranking4[[#This Row],[Rank (with ArcSinh normalization of select criteria)]],"")</f>
        <v/>
      </c>
      <c r="BZ321" s="200">
        <f>IF(FMS_Ranking4[[#This Row],[FMS Type]]="Regulatory and Guidance",FMS_Ranking4[[#This Row],[Rank (with ArcSinh normalization of select criteria)]],"")</f>
        <v>314</v>
      </c>
      <c r="CA321" s="200" t="str">
        <f>IF(FMS_Ranking4[[#This Row],[FMS Type]]="Education and Outreach",FMS_Ranking4[[#This Row],[Rank (with ArcSinh normalization of select criteria)]],"")</f>
        <v/>
      </c>
      <c r="CB321" s="200" t="str">
        <f>IF(FMS_Ranking4[[#This Row],[FMS Type]]="Property Acquisition and Structural Elevation",FMS_Ranking4[[#This Row],[Rank (with ArcSinh normalization of select criteria)]],"")</f>
        <v/>
      </c>
      <c r="CC321" s="200" t="str">
        <f>IF(FMS_Ranking4[[#This Row],[FMS Type]]="Infrastructure Projects",FMS_Ranking4[[#This Row],[Rank (with ArcSinh normalization of select criteria)]],"")</f>
        <v/>
      </c>
      <c r="CD321" s="200" t="str">
        <f>IF(FMS_Ranking4[[#This Row],[FMS Type]]="Other",FMS_Ranking4[[#This Row],[Rank (with ArcSinh normalization of select criteria)]],"")</f>
        <v/>
      </c>
      <c r="CE321" s="201"/>
      <c r="CF321" s="206"/>
      <c r="CG321" s="206"/>
      <c r="CH321" s="206"/>
      <c r="CI321" s="206"/>
      <c r="CJ321" s="206"/>
      <c r="CK321" s="206"/>
      <c r="CL321" s="206"/>
      <c r="CM321" s="206"/>
      <c r="CN321" s="206"/>
      <c r="CO321" s="206"/>
      <c r="CP321" s="206"/>
      <c r="CQ321" s="206"/>
      <c r="CR321" s="206"/>
    </row>
    <row r="322" spans="2:96" ht="30" x14ac:dyDescent="0.25">
      <c r="B322" s="341" t="s">
        <v>1367</v>
      </c>
      <c r="C322" s="246">
        <f>_xlfn.XLOOKUP(FMS_Ranking4[[#This Row],[FMS ID]],FMS_Input[FMS_ID],FMS_Input[RFPG_NUM])</f>
        <v>1</v>
      </c>
      <c r="D322" s="309" t="str">
        <f>_xlfn.XLOOKUP(FMS_Ranking4[[#This Row],[FMS ID]],FMS_Input[FMS_ID],FMS_Input[FMS_NAME])</f>
        <v>Moore County NFIP Involvement</v>
      </c>
      <c r="E322" s="308" t="str">
        <f>_xlfn.XLOOKUP(FMS_Ranking4[[#This Row],[FMS ID]],FMS_Input[FMS_ID],FMS_Input[SPONSOR])</f>
        <v>01000232</v>
      </c>
      <c r="F322" s="309" t="str">
        <f>_xlfn.XLOOKUP(FMS_Ranking4[[#This Row],[FMS ID]],Sponsor[FMS_ID],Sponsor[SPONSOR NAME])</f>
        <v>Moore</v>
      </c>
      <c r="G322" s="309" t="str">
        <f>_xlfn.XLOOKUP(FMS_Ranking4[[#This Row],[FMS ID]],FMS_Input[FMS_ID],FMS_Input[FMS_DESCR])</f>
        <v>Application to join NFIP or adopt equivalent standards</v>
      </c>
      <c r="H322" s="248" t="str">
        <f>_xlfn.XLOOKUP(FMS_Ranking4[[#This Row],[FMS ID]],FMS_Input[FMS_ID],FMS_Input[FMS_TYPE])</f>
        <v>Regulatory and Guidance</v>
      </c>
      <c r="I322" s="249">
        <f>_xlfn.XLOOKUP(FMS_Ranking4[[#This Row],[FMS ID]],FMS_Input[FMS_ID],FMS_Input[NRNC_COST])</f>
        <v>100000</v>
      </c>
      <c r="J322" s="250">
        <f>_xlfn.XLOOKUP(FMS_Ranking4[[#This Row],[FMS ID]],FMS_Input[FMS_ID],FMS_Input[FMS_COST])</f>
        <v>100000</v>
      </c>
      <c r="K322" s="251" t="str">
        <f>_xlfn.XLOOKUP(FMS_Ranking4[[#This Row],[FMS ID]],FMS_Input[FMS_ID],FMS_Input[EMER_NEED])</f>
        <v>No</v>
      </c>
      <c r="L322" s="252">
        <f t="shared" si="4"/>
        <v>0</v>
      </c>
      <c r="M322" s="253">
        <f>_xlfn.XLOOKUP(FMS_Ranking4[[#This Row],[FMS ID]],FMS_Input[FMS_ID],FMS_Input[STRUCT_100])</f>
        <v>75</v>
      </c>
      <c r="N322" s="255">
        <f>(ASINH(FMS_Ranking4[[#This Row],[Structure at Risk Raw]]))*(10)/(ASINH(M$4))</f>
        <v>3.9391403300635446</v>
      </c>
      <c r="O322" s="256">
        <f>FMS_Ranking4[[#This Row],[Structures at risk, ArcSinh (0-10)]]*M$5*10</f>
        <v>3.9391403300635446</v>
      </c>
      <c r="P322" s="253">
        <f>_xlfn.XLOOKUP(FMS_Ranking4[[#This Row],[FMS ID]],FMS_Input[FMS_ID],FMS_Input[RES_STRUCT100])</f>
        <v>27</v>
      </c>
      <c r="Q322" s="257">
        <f>ASINH(FMS_Ranking4[[#This Row],[Res Structure Raw]])/Q$4*P$5*100</f>
        <v>0</v>
      </c>
      <c r="R322" s="253">
        <f>_xlfn.XLOOKUP(FMS_Ranking4[[#This Row],[FMS ID]],FMS_Input[FMS_ID],FMS_Input[POP100])</f>
        <v>228</v>
      </c>
      <c r="S322" s="259">
        <f>(ASINH(FMS_Ranking4[[#This Row],[Pop at Risk Raw]]))*(10)/(ASINH(R$4))</f>
        <v>4.2267165453006248</v>
      </c>
      <c r="T322" s="256">
        <f>FMS_Ranking4[[#This Row],[Population at risk, ArcSinh (0-10)]]*R$5*10</f>
        <v>4.2267165453006248</v>
      </c>
      <c r="U322" s="253">
        <f>_xlfn.XLOOKUP(FMS_Ranking4[[#This Row],[FMS ID]],FMS_Input[FMS_ID],FMS_Input[CRITFAC100])</f>
        <v>4</v>
      </c>
      <c r="V322" s="259">
        <f>(ASINH(FMS_Ranking4[[#This Row],[Critical Facilities Raw]]))*(10)/(ASINH(U$4))</f>
        <v>2.4796455944038147</v>
      </c>
      <c r="W322" s="256">
        <f>FMS_Ranking4[[#This Row],[Critical facilities at risk, ArcSinh (0-10)]]*U$5*10</f>
        <v>2.4796455944038147</v>
      </c>
      <c r="X322" s="253">
        <f>_xlfn.XLOOKUP(FMS_Ranking4[[#This Row],[FMS ID]],FMS_Input[FMS_ID],FMS_Input[LWC])</f>
        <v>10</v>
      </c>
      <c r="Y322" s="259">
        <f>(ASINH(FMS_Ranking4[[#This Row],[LWC Raw]]))*(10)/(ASINH(X$4))</f>
        <v>4.06180589758889</v>
      </c>
      <c r="Z322" s="256">
        <f>FMS_Ranking4[[#This Row],[LWC, ArcSInh (0-10)]]*X$5*10</f>
        <v>4.06180589758889</v>
      </c>
      <c r="AA322" s="253">
        <f>_xlfn.XLOOKUP(FMS_Ranking4[[#This Row],[FMS ID]],FMS_Input[FMS_ID],FMS_Input[ROADCLS])</f>
        <v>13</v>
      </c>
      <c r="AB322" s="255">
        <f>(ASINH(FMS_Ranking4[[#This Row],[Road Closures Raw]]))*(10)/(ASINH(AA$4))</f>
        <v>3.3945456436207171</v>
      </c>
      <c r="AC322" s="256">
        <f>FMS_Ranking4[[#This Row],[Road closures, ArcSinh (0-10)]]*AA$5*10</f>
        <v>1.6972728218103585</v>
      </c>
      <c r="AD322" s="253">
        <f>_xlfn.XLOOKUP(FMS_Ranking4[[#This Row],[FMS ID]],FMS_Input[FMS_ID],FMS_Input[ROAD_MILES100])</f>
        <v>29</v>
      </c>
      <c r="AE322" s="259">
        <f>(ASINH(FMS_Ranking4[[#This Row],[Road Miles Raw]]))*(10)/(ASINH(AD$4))</f>
        <v>4.3276317846410652</v>
      </c>
      <c r="AF322" s="256">
        <f>FMS_Ranking4[[#This Row],[Length of roads at risk, ArcSinh (0-10)]]*AD$5*10</f>
        <v>4.3276317846410652</v>
      </c>
      <c r="AG322" s="253">
        <f>_xlfn.XLOOKUP(FMS_Ranking4[[#This Row],[FMS ID]],FMS_Input[FMS_ID],FMS_Input[FARMACRE100])</f>
        <v>38661.18359375</v>
      </c>
      <c r="AH322" s="255">
        <f>(ASINH(FMS_Ranking4[[#This Row],[Ag Land Raw]]))*(10)/(ASINH(AG$4))</f>
        <v>7.3115191845538154</v>
      </c>
      <c r="AI322" s="260">
        <f>FMS_Ranking4[[#This Row],[Farm &amp; ranch land, ArcSinh (0-10)]]*AG$5*10</f>
        <v>3.6557595922769082</v>
      </c>
      <c r="AJ322" s="258">
        <f>_xlfn.XLOOKUP(FMS_Ranking4[[#This Row],[FMS ID]],FMS_Input[FMS_ID],FMS_Input[REDSTRUCT100])</f>
        <v>0</v>
      </c>
      <c r="AK322" s="253">
        <f>_xlfn.XLOOKUP(FMS_Ranking4[[#This Row],[FMS ID]],FMS_Input[FMS_ID],FMS_Input[REMSTRC100])</f>
        <v>0</v>
      </c>
      <c r="AL322" s="259">
        <f>(ASINH(FMS_Ranking4[[#This Row],[Structures Removed Raw]]))*(10)/(ASINH(AK$4))</f>
        <v>0</v>
      </c>
      <c r="AM322" s="262">
        <f>FMS_Ranking4[[#This Row],[Structures removed, ArcSinh (0-10)]]*AK$5*10</f>
        <v>0</v>
      </c>
      <c r="AN322" s="253">
        <f>_xlfn.XLOOKUP(FMS_Ranking4[[#This Row],[FMS ID]],FMS_Input[FMS_ID],FMS_Input[REMRESSTRC100])</f>
        <v>0</v>
      </c>
      <c r="AO322" s="261">
        <f>FMS_Ranking4[[#This Row],[ArcSinh Res struct removed 0-10]]*AN$5*10</f>
        <v>0</v>
      </c>
      <c r="AP322" s="260">
        <f>ASINH(FMS_Ranking4[[#This Row],[Residential Structures Removed Raw]])/AP$4*AN$5*100</f>
        <v>0</v>
      </c>
      <c r="AQ322" s="254">
        <f>(ASINH(FMS_Ranking4[[#This Row],[Residential Structures Removed Raw]]))*(10)/(ASINH(AN$4))</f>
        <v>0</v>
      </c>
      <c r="AR322" s="253">
        <f>_xlfn.XLOOKUP(FMS_Ranking4[[#This Row],[FMS ID]],FMS_Input[FMS_ID],FMS_Input[REMPOP100])</f>
        <v>0</v>
      </c>
      <c r="AS322" s="259">
        <f>(ASINH(FMS_Ranking4[[#This Row],[Removed Pop Raw]]))*(10)/(ASINH(AR$4))</f>
        <v>0</v>
      </c>
      <c r="AT322" s="262">
        <f>FMS_Ranking4[[#This Row],[Removed population, ArcSinh (0-10)]]*AR$5*10</f>
        <v>0</v>
      </c>
      <c r="AU322" s="264">
        <f>_xlfn.XLOOKUP(FMS_Ranking4[[#This Row],[FMS ID]],FMS_Input[FMS_ID],FMS_Input[REMCRITFAC100])</f>
        <v>0</v>
      </c>
      <c r="AV322" s="264">
        <f>_xlfn.XLOOKUP(FMS_Ranking4[[#This Row],[FMS ID]],FMS_Input[FMS_ID],FMS_Input[REMLWC100])</f>
        <v>0</v>
      </c>
      <c r="AW322" s="264">
        <f>_xlfn.XLOOKUP(FMS_Ranking4[[#This Row],[FMS ID]],FMS_Input[FMS_ID],FMS_Input[REMROADCLS])</f>
        <v>0</v>
      </c>
      <c r="AX322" s="264">
        <f>_xlfn.XLOOKUP(FMS_Ranking4[[#This Row],[FMS ID]],FMS_Input[FMS_ID],FMS_Input[REMFRMACRE100])</f>
        <v>0</v>
      </c>
      <c r="AY322" s="258">
        <f>_xlfn.XLOOKUP(FMS_Ranking4[[#This Row],[FMS ID]],FMS_Input[FMS_ID],FMS_Input[COSTSTRUCT])</f>
        <v>0</v>
      </c>
      <c r="AZ322" s="253">
        <f>_xlfn.XLOOKUP(FMS_Ranking4[[#This Row],[FMS ID]],FMS_Input[FMS_ID],FMS_Input[NATURE])</f>
        <v>0</v>
      </c>
      <c r="BA322" s="262">
        <f>(((FMS_Ranking4[[#This Row],[% NBS Raw]]/AZ$4)*100)*AZ$5)</f>
        <v>0</v>
      </c>
      <c r="BB322" s="251" t="str">
        <f>_xlfn.XLOOKUP(FMS_Ranking4[[#This Row],[FMS ID]],FMS_Input[FMS_ID],FMS_Input[WATER_SUP])</f>
        <v>No</v>
      </c>
      <c r="BC322" s="265">
        <f>IF(FMS_Ranking4[[#This Row],[Water Supply Raw]]="Yes",10,0)</f>
        <v>0</v>
      </c>
      <c r="BD322" s="266">
        <f>_xlfn.XLOOKUP(FMS_Ranking4[[#This Row],[FMS Type]],FMS_TYPE[FMS_Type],FMS_TYPE[Score])</f>
        <v>8</v>
      </c>
      <c r="BE322" s="267">
        <f>FMS_Ranking4[[#This Row],[FMS_Type Score]]*$BD$5*10</f>
        <v>2</v>
      </c>
      <c r="BF32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0.28578788518902865</v>
      </c>
      <c r="BG322" s="271">
        <f>_xlfn.RANK.EQ(BF322,$BF$8:$BF$870,0)+COUNTIF($BF$8:BF322,BF322)-1</f>
        <v>310</v>
      </c>
      <c r="BH322" s="268">
        <f>(((FMS_Ranking4[[#This Row],[Structures Removed Raw]]/AK$4)*100)*AK$5)+(((FMS_Ranking4[[#This Row],[Removed Pop Raw]]/AR$4)*100)*AR$5)</f>
        <v>0</v>
      </c>
      <c r="BI32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2.2857878851890288</v>
      </c>
      <c r="BJ322" s="205">
        <f>_xlfn.RANK.EQ(FMS_Ranking4[[#This Row],[Total Score 
(with linear
normalization)]],FMS_Ranking4[Total Score 
(with linear
normalization)],0)</f>
        <v>303</v>
      </c>
      <c r="BK322" s="205" t="e">
        <f>_xlfn.XLOOKUP(FMS_Ranking4[[#This Row],[FMS ID]],#REF!,#REF!)</f>
        <v>#REF!</v>
      </c>
      <c r="BL32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24.38797256608521</v>
      </c>
      <c r="BM322" s="272">
        <f>FMS_Ranking4[[#This Row],[ArcSinh Score Based on Normalized Reported Factors]]+FMS_Ranking4[[#This Row],[% NBS Score (Normalized)]]+(FMS_Ranking4[[#This Row],[Water Supply Score (Normalized)]]*10*$BB$5)+FMS_Ranking4[[#This Row],[FMS_Type Score Weighted]]</f>
        <v>26.38797256608521</v>
      </c>
      <c r="BN322" s="205">
        <f>_xlfn.RANK.EQ(FMS_Ranking4[[#This Row],[Total Score (with ArcSinh normalization of select criteria)]],FMS_Ranking4[Total Score (with ArcSinh normalization of select criteria)],0)</f>
        <v>315</v>
      </c>
      <c r="BO322" s="270" t="str">
        <f>_xlfn.XLOOKUP(FMS_Ranking4[[#This Row],[FMS ID]],FMS_Input[FMS_ID],FMS_Input[FMS_RANK_YEAR])</f>
        <v>2023 Amended Plan</v>
      </c>
      <c r="BP322" s="204">
        <f>_xlfn.XLOOKUP(FMS_Ranking4[[#This Row],[FMS ID]],Prev_Rank[FMS ID],Prev_Rank[Prev Rank])</f>
        <v>285</v>
      </c>
      <c r="BQ322" s="205" t="e">
        <f>_xlfn.XLOOKUP(FMS_Ranking4[[#This Row],[FMS ID]],#REF!,#REF!)</f>
        <v>#REF!</v>
      </c>
      <c r="BR322" s="199" t="e">
        <f>SUM(#REF!,#REF!,#REF!,#REF!,#REF!,#REF!,#REF!,#REF!,#REF!,FMS_Ranking4[[#This Row],[ArcSinh Res struct removed 0-10]],#REF!)</f>
        <v>#REF!</v>
      </c>
      <c r="BS322" s="199" t="e">
        <f>FMS_Ranking4[[#This Row],[Log Score Based on Normalized Reported Factors]]+FMS_Ranking4[[#This Row],[% NBS Score (Normalized)]]+(FMS_Ranking4[[#This Row],[Water Supply Score (Normalized)]]*10*$BB$5)+(FMS_Ranking4[[#This Row],[FMS_Type Score Weighted]])</f>
        <v>#REF!</v>
      </c>
      <c r="BT322" s="200" t="e">
        <f>_xlfn.RANK.EQ(FMS_Ranking4[[#This Row],[Log Total Score]],FMS_Ranking4[Log Total Score],0)</f>
        <v>#REF!</v>
      </c>
      <c r="BU322" s="200" t="e">
        <f>_xlfn.XLOOKUP(FMS_Ranking4[[#This Row],[FMS ID]],#REF!,#REF!)</f>
        <v>#REF!</v>
      </c>
      <c r="BV322" s="200">
        <f>FMS_Ranking4[[#This Row],[Region Number]]</f>
        <v>1</v>
      </c>
      <c r="BW322" s="200">
        <f>FMS_Ranking4[[#This Row],[Rank (with ArcSinh normalization of select criteria)]]-FMS_Ranking4[[#This Row],[Rank
(with linear
normalization)]]</f>
        <v>12</v>
      </c>
      <c r="BX322" s="200" t="e">
        <f>FMS_Ranking4[[#This Row],[Log Rank]]-FMS_Ranking4[[#This Row],[Rank
(with linear
normalization)]]</f>
        <v>#REF!</v>
      </c>
      <c r="BY322" s="200" t="str">
        <f>IF(FMS_Ranking4[[#This Row],[FMS Type]]="Flood Measurement and Warning",FMS_Ranking4[[#This Row],[Rank (with ArcSinh normalization of select criteria)]],"")</f>
        <v/>
      </c>
      <c r="BZ322" s="200">
        <f>IF(FMS_Ranking4[[#This Row],[FMS Type]]="Regulatory and Guidance",FMS_Ranking4[[#This Row],[Rank (with ArcSinh normalization of select criteria)]],"")</f>
        <v>315</v>
      </c>
      <c r="CA322" s="200" t="str">
        <f>IF(FMS_Ranking4[[#This Row],[FMS Type]]="Education and Outreach",FMS_Ranking4[[#This Row],[Rank (with ArcSinh normalization of select criteria)]],"")</f>
        <v/>
      </c>
      <c r="CB322" s="200" t="str">
        <f>IF(FMS_Ranking4[[#This Row],[FMS Type]]="Property Acquisition and Structural Elevation",FMS_Ranking4[[#This Row],[Rank (with ArcSinh normalization of select criteria)]],"")</f>
        <v/>
      </c>
      <c r="CC322" s="200" t="str">
        <f>IF(FMS_Ranking4[[#This Row],[FMS Type]]="Infrastructure Projects",FMS_Ranking4[[#This Row],[Rank (with ArcSinh normalization of select criteria)]],"")</f>
        <v/>
      </c>
      <c r="CD322" s="200" t="str">
        <f>IF(FMS_Ranking4[[#This Row],[FMS Type]]="Other",FMS_Ranking4[[#This Row],[Rank (with ArcSinh normalization of select criteria)]],"")</f>
        <v/>
      </c>
      <c r="CE322" s="201"/>
      <c r="CF322" s="206"/>
      <c r="CG322" s="206"/>
      <c r="CH322" s="206"/>
      <c r="CI322" s="206"/>
      <c r="CJ322" s="206"/>
      <c r="CK322" s="206"/>
      <c r="CL322" s="206"/>
      <c r="CM322" s="206"/>
      <c r="CN322" s="206"/>
      <c r="CO322" s="206"/>
      <c r="CP322" s="206"/>
      <c r="CQ322" s="206"/>
      <c r="CR322" s="206"/>
    </row>
    <row r="323" spans="2:96" ht="120" x14ac:dyDescent="0.25">
      <c r="B323" s="341" t="s">
        <v>1696</v>
      </c>
      <c r="C323" s="246">
        <f>_xlfn.XLOOKUP(FMS_Ranking4[[#This Row],[FMS ID]],FMS_Input[FMS_ID],FMS_Input[RFPG_NUM])</f>
        <v>2</v>
      </c>
      <c r="D323" s="309" t="str">
        <f>_xlfn.XLOOKUP(FMS_Ranking4[[#This Row],[FMS ID]],FMS_Input[FMS_ID],FMS_Input[FMS_NAME])</f>
        <v>City of Sherman Emergency Alerts</v>
      </c>
      <c r="E323" s="308" t="str">
        <f>_xlfn.XLOOKUP(FMS_Ranking4[[#This Row],[FMS ID]],FMS_Input[FMS_ID],FMS_Input[SPONSOR])</f>
        <v>City of Sherman</v>
      </c>
      <c r="F323" s="309" t="str">
        <f>_xlfn.XLOOKUP(FMS_Ranking4[[#This Row],[FMS ID]],Sponsor[FMS_ID],Sponsor[SPONSOR NAME])</f>
        <v>City of Sherman</v>
      </c>
      <c r="G323" s="309" t="str">
        <f>_xlfn.XLOOKUP(FMS_Ranking4[[#This Row],[FMS ID]],FMS_Input[FMS_ID],FMS_Input[FMS_DESCR])</f>
        <v>Maintain and Operate Early Alert System - an outdoor warning system composed of nine sirens throughout the City. Public announcements through the reverse telephonic system and through broadcasting local cable channels.</v>
      </c>
      <c r="H323" s="248" t="str">
        <f>_xlfn.XLOOKUP(FMS_Ranking4[[#This Row],[FMS ID]],FMS_Input[FMS_ID],FMS_Input[FMS_TYPE])</f>
        <v>Flood Measurement and Warning</v>
      </c>
      <c r="I323" s="249">
        <f>_xlfn.XLOOKUP(FMS_Ranking4[[#This Row],[FMS ID]],FMS_Input[FMS_ID],FMS_Input[NRNC_COST])</f>
        <v>250000</v>
      </c>
      <c r="J323" s="250">
        <f>_xlfn.XLOOKUP(FMS_Ranking4[[#This Row],[FMS ID]],FMS_Input[FMS_ID],FMS_Input[FMS_COST])</f>
        <v>250000</v>
      </c>
      <c r="K323" s="251" t="str">
        <f>_xlfn.XLOOKUP(FMS_Ranking4[[#This Row],[FMS ID]],FMS_Input[FMS_ID],FMS_Input[EMER_NEED])</f>
        <v>No</v>
      </c>
      <c r="L323" s="252">
        <f t="shared" si="4"/>
        <v>0</v>
      </c>
      <c r="M323" s="253">
        <f>_xlfn.XLOOKUP(FMS_Ranking4[[#This Row],[FMS ID]],FMS_Input[FMS_ID],FMS_Input[STRUCT_100])</f>
        <v>772</v>
      </c>
      <c r="N323" s="255">
        <f>(ASINH(FMS_Ranking4[[#This Row],[Structure at Risk Raw]]))*(10)/(ASINH(M$4))</f>
        <v>5.7720090660746264</v>
      </c>
      <c r="O323" s="256">
        <f>FMS_Ranking4[[#This Row],[Structures at risk, ArcSinh (0-10)]]*M$5*10</f>
        <v>5.7720090660746273</v>
      </c>
      <c r="P323" s="253">
        <f>_xlfn.XLOOKUP(FMS_Ranking4[[#This Row],[FMS ID]],FMS_Input[FMS_ID],FMS_Input[RES_STRUCT100])</f>
        <v>553</v>
      </c>
      <c r="Q323" s="257">
        <f>ASINH(FMS_Ranking4[[#This Row],[Res Structure Raw]])/Q$4*P$5*100</f>
        <v>0</v>
      </c>
      <c r="R323" s="253">
        <f>_xlfn.XLOOKUP(FMS_Ranking4[[#This Row],[FMS ID]],FMS_Input[FMS_ID],FMS_Input[POP100])</f>
        <v>7004</v>
      </c>
      <c r="S323" s="259">
        <f>(ASINH(FMS_Ranking4[[#This Row],[Pop at Risk Raw]]))*(10)/(ASINH(R$4))</f>
        <v>6.5911149206545376</v>
      </c>
      <c r="T323" s="256">
        <f>FMS_Ranking4[[#This Row],[Population at risk, ArcSinh (0-10)]]*R$5*10</f>
        <v>6.5911149206545385</v>
      </c>
      <c r="U323" s="253">
        <f>_xlfn.XLOOKUP(FMS_Ranking4[[#This Row],[FMS ID]],FMS_Input[FMS_ID],FMS_Input[CRITFAC100])</f>
        <v>5</v>
      </c>
      <c r="V323" s="259">
        <f>(ASINH(FMS_Ranking4[[#This Row],[Critical Facilities Raw]]))*(10)/(ASINH(U$4))</f>
        <v>2.7373815814321909</v>
      </c>
      <c r="W323" s="256">
        <f>FMS_Ranking4[[#This Row],[Critical facilities at risk, ArcSinh (0-10)]]*U$5*10</f>
        <v>2.7373815814321913</v>
      </c>
      <c r="X323" s="253">
        <f>_xlfn.XLOOKUP(FMS_Ranking4[[#This Row],[FMS ID]],FMS_Input[FMS_ID],FMS_Input[LWC])</f>
        <v>2</v>
      </c>
      <c r="Y323" s="259">
        <f>(ASINH(FMS_Ranking4[[#This Row],[LWC Raw]]))*(10)/(ASINH(X$4))</f>
        <v>1.9557475158633808</v>
      </c>
      <c r="Z323" s="256">
        <f>FMS_Ranking4[[#This Row],[LWC, ArcSInh (0-10)]]*X$5*10</f>
        <v>1.9557475158633808</v>
      </c>
      <c r="AA323" s="253">
        <f>_xlfn.XLOOKUP(FMS_Ranking4[[#This Row],[FMS ID]],FMS_Input[FMS_ID],FMS_Input[ROADCLS])</f>
        <v>0</v>
      </c>
      <c r="AB323" s="255">
        <f>(ASINH(FMS_Ranking4[[#This Row],[Road Closures Raw]]))*(10)/(ASINH(AA$4))</f>
        <v>0</v>
      </c>
      <c r="AC323" s="256">
        <f>FMS_Ranking4[[#This Row],[Road closures, ArcSinh (0-10)]]*AA$5*10</f>
        <v>0</v>
      </c>
      <c r="AD323" s="253">
        <f>_xlfn.XLOOKUP(FMS_Ranking4[[#This Row],[FMS ID]],FMS_Input[FMS_ID],FMS_Input[ROAD_MILES100])</f>
        <v>39</v>
      </c>
      <c r="AE323" s="259">
        <f>(ASINH(FMS_Ranking4[[#This Row],[Road Miles Raw]]))*(10)/(ASINH(AD$4))</f>
        <v>4.6432280983160377</v>
      </c>
      <c r="AF323" s="256">
        <f>FMS_Ranking4[[#This Row],[Length of roads at risk, ArcSinh (0-10)]]*AD$5*10</f>
        <v>4.6432280983160377</v>
      </c>
      <c r="AG323" s="253">
        <f>_xlfn.XLOOKUP(FMS_Ranking4[[#This Row],[FMS ID]],FMS_Input[FMS_ID],FMS_Input[FARMACRE100])</f>
        <v>380.56082153320313</v>
      </c>
      <c r="AH323" s="255">
        <f>(ASINH(FMS_Ranking4[[#This Row],[Ag Land Raw]]))*(10)/(ASINH(AG$4))</f>
        <v>4.3098398311996338</v>
      </c>
      <c r="AI323" s="260">
        <f>FMS_Ranking4[[#This Row],[Farm &amp; ranch land, ArcSinh (0-10)]]*AG$5*10</f>
        <v>2.1549199155998169</v>
      </c>
      <c r="AJ323" s="258">
        <f>_xlfn.XLOOKUP(FMS_Ranking4[[#This Row],[FMS ID]],FMS_Input[FMS_ID],FMS_Input[REDSTRUCT100])</f>
        <v>0</v>
      </c>
      <c r="AK323" s="253">
        <f>_xlfn.XLOOKUP(FMS_Ranking4[[#This Row],[FMS ID]],FMS_Input[FMS_ID],FMS_Input[REMSTRC100])</f>
        <v>0</v>
      </c>
      <c r="AL323" s="259">
        <f>(ASINH(FMS_Ranking4[[#This Row],[Structures Removed Raw]]))*(10)/(ASINH(AK$4))</f>
        <v>0</v>
      </c>
      <c r="AM323" s="262">
        <f>FMS_Ranking4[[#This Row],[Structures removed, ArcSinh (0-10)]]*AK$5*10</f>
        <v>0</v>
      </c>
      <c r="AN323" s="253">
        <f>_xlfn.XLOOKUP(FMS_Ranking4[[#This Row],[FMS ID]],FMS_Input[FMS_ID],FMS_Input[REMRESSTRC100])</f>
        <v>0</v>
      </c>
      <c r="AO323" s="261">
        <f>FMS_Ranking4[[#This Row],[ArcSinh Res struct removed 0-10]]*AN$5*10</f>
        <v>0</v>
      </c>
      <c r="AP323" s="260">
        <f>ASINH(FMS_Ranking4[[#This Row],[Residential Structures Removed Raw]])/AP$4*AN$5*100</f>
        <v>0</v>
      </c>
      <c r="AQ323" s="254">
        <f>(ASINH(FMS_Ranking4[[#This Row],[Residential Structures Removed Raw]]))*(10)/(ASINH(AN$4))</f>
        <v>0</v>
      </c>
      <c r="AR323" s="253">
        <f>_xlfn.XLOOKUP(FMS_Ranking4[[#This Row],[FMS ID]],FMS_Input[FMS_ID],FMS_Input[REMPOP100])</f>
        <v>0</v>
      </c>
      <c r="AS323" s="259">
        <f>(ASINH(FMS_Ranking4[[#This Row],[Removed Pop Raw]]))*(10)/(ASINH(AR$4))</f>
        <v>0</v>
      </c>
      <c r="AT323" s="262">
        <f>FMS_Ranking4[[#This Row],[Removed population, ArcSinh (0-10)]]*AR$5*10</f>
        <v>0</v>
      </c>
      <c r="AU323" s="264">
        <f>_xlfn.XLOOKUP(FMS_Ranking4[[#This Row],[FMS ID]],FMS_Input[FMS_ID],FMS_Input[REMCRITFAC100])</f>
        <v>0</v>
      </c>
      <c r="AV323" s="264">
        <f>_xlfn.XLOOKUP(FMS_Ranking4[[#This Row],[FMS ID]],FMS_Input[FMS_ID],FMS_Input[REMLWC100])</f>
        <v>0</v>
      </c>
      <c r="AW323" s="264">
        <f>_xlfn.XLOOKUP(FMS_Ranking4[[#This Row],[FMS ID]],FMS_Input[FMS_ID],FMS_Input[REMROADCLS])</f>
        <v>0</v>
      </c>
      <c r="AX323" s="264">
        <f>_xlfn.XLOOKUP(FMS_Ranking4[[#This Row],[FMS ID]],FMS_Input[FMS_ID],FMS_Input[REMFRMACRE100])</f>
        <v>0</v>
      </c>
      <c r="AY323" s="258">
        <f>_xlfn.XLOOKUP(FMS_Ranking4[[#This Row],[FMS ID]],FMS_Input[FMS_ID],FMS_Input[COSTSTRUCT])</f>
        <v>0</v>
      </c>
      <c r="AZ323" s="253">
        <f>_xlfn.XLOOKUP(FMS_Ranking4[[#This Row],[FMS ID]],FMS_Input[FMS_ID],FMS_Input[NATURE])</f>
        <v>0</v>
      </c>
      <c r="BA323" s="262">
        <f>(((FMS_Ranking4[[#This Row],[% NBS Raw]]/AZ$4)*100)*AZ$5)</f>
        <v>0</v>
      </c>
      <c r="BB323" s="251" t="str">
        <f>_xlfn.XLOOKUP(FMS_Ranking4[[#This Row],[FMS ID]],FMS_Input[FMS_ID],FMS_Input[WATER_SUP])</f>
        <v>No</v>
      </c>
      <c r="BC323" s="265">
        <f>IF(FMS_Ranking4[[#This Row],[Water Supply Raw]]="Yes",10,0)</f>
        <v>0</v>
      </c>
      <c r="BD323" s="266">
        <f>_xlfn.XLOOKUP(FMS_Ranking4[[#This Row],[FMS Type]],FMS_TYPE[FMS_Type],FMS_TYPE[Score])</f>
        <v>10</v>
      </c>
      <c r="BE323" s="267">
        <f>FMS_Ranking4[[#This Row],[FMS_Type Score]]*$BD$5*10</f>
        <v>2.5</v>
      </c>
      <c r="BF32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0.2306100575673504</v>
      </c>
      <c r="BG323" s="271">
        <f>_xlfn.RANK.EQ(BF323,$BF$8:$BF$870,0)+COUNTIF($BF$8:BF323,BF323)-1</f>
        <v>341</v>
      </c>
      <c r="BH323" s="268">
        <f>(((FMS_Ranking4[[#This Row],[Structures Removed Raw]]/AK$4)*100)*AK$5)+(((FMS_Ranking4[[#This Row],[Removed Pop Raw]]/AR$4)*100)*AR$5)</f>
        <v>0</v>
      </c>
      <c r="BI32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2.7306100575673504</v>
      </c>
      <c r="BJ323" s="205">
        <f>_xlfn.RANK.EQ(FMS_Ranking4[[#This Row],[Total Score 
(with linear
normalization)]],FMS_Ranking4[Total Score 
(with linear
normalization)],0)</f>
        <v>202</v>
      </c>
      <c r="BK323" s="205" t="e">
        <f>_xlfn.XLOOKUP(FMS_Ranking4[[#This Row],[FMS ID]],#REF!,#REF!)</f>
        <v>#REF!</v>
      </c>
      <c r="BL32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23.854401097940588</v>
      </c>
      <c r="BM323" s="272">
        <f>FMS_Ranking4[[#This Row],[ArcSinh Score Based on Normalized Reported Factors]]+FMS_Ranking4[[#This Row],[% NBS Score (Normalized)]]+(FMS_Ranking4[[#This Row],[Water Supply Score (Normalized)]]*10*$BB$5)+FMS_Ranking4[[#This Row],[FMS_Type Score Weighted]]</f>
        <v>26.354401097940588</v>
      </c>
      <c r="BN323" s="205">
        <f>_xlfn.RANK.EQ(FMS_Ranking4[[#This Row],[Total Score (with ArcSinh normalization of select criteria)]],FMS_Ranking4[Total Score (with ArcSinh normalization of select criteria)],0)</f>
        <v>316</v>
      </c>
      <c r="BO323" s="270" t="str">
        <f>_xlfn.XLOOKUP(FMS_Ranking4[[#This Row],[FMS ID]],FMS_Input[FMS_ID],FMS_Input[FMS_RANK_YEAR])</f>
        <v>2023 Amended Plan</v>
      </c>
      <c r="BP323" s="204">
        <f>_xlfn.XLOOKUP(FMS_Ranking4[[#This Row],[FMS ID]],Prev_Rank[FMS ID],Prev_Rank[Prev Rank])</f>
        <v>279</v>
      </c>
      <c r="BQ323" s="205" t="e">
        <f>_xlfn.XLOOKUP(FMS_Ranking4[[#This Row],[FMS ID]],#REF!,#REF!)</f>
        <v>#REF!</v>
      </c>
      <c r="BR323" s="199" t="e">
        <f>SUM(#REF!,#REF!,#REF!,#REF!,#REF!,#REF!,#REF!,#REF!,#REF!,FMS_Ranking4[[#This Row],[ArcSinh Res struct removed 0-10]],#REF!)</f>
        <v>#REF!</v>
      </c>
      <c r="BS323" s="199" t="e">
        <f>FMS_Ranking4[[#This Row],[Log Score Based on Normalized Reported Factors]]+FMS_Ranking4[[#This Row],[% NBS Score (Normalized)]]+(FMS_Ranking4[[#This Row],[Water Supply Score (Normalized)]]*10*$BB$5)+(FMS_Ranking4[[#This Row],[FMS_Type Score Weighted]])</f>
        <v>#REF!</v>
      </c>
      <c r="BT323" s="200" t="e">
        <f>_xlfn.RANK.EQ(FMS_Ranking4[[#This Row],[Log Total Score]],FMS_Ranking4[Log Total Score],0)</f>
        <v>#REF!</v>
      </c>
      <c r="BU323" s="200" t="e">
        <f>_xlfn.XLOOKUP(FMS_Ranking4[[#This Row],[FMS ID]],#REF!,#REF!)</f>
        <v>#REF!</v>
      </c>
      <c r="BV323" s="200">
        <f>FMS_Ranking4[[#This Row],[Region Number]]</f>
        <v>2</v>
      </c>
      <c r="BW323" s="200">
        <f>FMS_Ranking4[[#This Row],[Rank (with ArcSinh normalization of select criteria)]]-FMS_Ranking4[[#This Row],[Rank
(with linear
normalization)]]</f>
        <v>114</v>
      </c>
      <c r="BX323" s="200" t="e">
        <f>FMS_Ranking4[[#This Row],[Log Rank]]-FMS_Ranking4[[#This Row],[Rank
(with linear
normalization)]]</f>
        <v>#REF!</v>
      </c>
      <c r="BY323" s="200">
        <f>IF(FMS_Ranking4[[#This Row],[FMS Type]]="Flood Measurement and Warning",FMS_Ranking4[[#This Row],[Rank (with ArcSinh normalization of select criteria)]],"")</f>
        <v>316</v>
      </c>
      <c r="BZ323" s="200" t="str">
        <f>IF(FMS_Ranking4[[#This Row],[FMS Type]]="Regulatory and Guidance",FMS_Ranking4[[#This Row],[Rank (with ArcSinh normalization of select criteria)]],"")</f>
        <v/>
      </c>
      <c r="CA323" s="200" t="str">
        <f>IF(FMS_Ranking4[[#This Row],[FMS Type]]="Education and Outreach",FMS_Ranking4[[#This Row],[Rank (with ArcSinh normalization of select criteria)]],"")</f>
        <v/>
      </c>
      <c r="CB323" s="200" t="str">
        <f>IF(FMS_Ranking4[[#This Row],[FMS Type]]="Property Acquisition and Structural Elevation",FMS_Ranking4[[#This Row],[Rank (with ArcSinh normalization of select criteria)]],"")</f>
        <v/>
      </c>
      <c r="CC323" s="200" t="str">
        <f>IF(FMS_Ranking4[[#This Row],[FMS Type]]="Infrastructure Projects",FMS_Ranking4[[#This Row],[Rank (with ArcSinh normalization of select criteria)]],"")</f>
        <v/>
      </c>
      <c r="CD323" s="200" t="str">
        <f>IF(FMS_Ranking4[[#This Row],[FMS Type]]="Other",FMS_Ranking4[[#This Row],[Rank (with ArcSinh normalization of select criteria)]],"")</f>
        <v/>
      </c>
      <c r="CE323" s="201"/>
      <c r="CF323" s="206"/>
      <c r="CG323" s="206"/>
      <c r="CH323" s="206"/>
      <c r="CI323" s="206"/>
      <c r="CJ323" s="206"/>
      <c r="CK323" s="206"/>
      <c r="CL323" s="206"/>
      <c r="CM323" s="206"/>
      <c r="CN323" s="206"/>
      <c r="CO323" s="206"/>
      <c r="CP323" s="206"/>
      <c r="CQ323" s="206"/>
      <c r="CR323" s="206"/>
    </row>
    <row r="324" spans="2:96" ht="45" x14ac:dyDescent="0.25">
      <c r="B324" s="341" t="s">
        <v>2488</v>
      </c>
      <c r="C324" s="246">
        <f>_xlfn.XLOOKUP(FMS_Ranking4[[#This Row],[FMS ID]],FMS_Input[FMS_ID],FMS_Input[RFPG_NUM])</f>
        <v>3</v>
      </c>
      <c r="D324" s="309" t="str">
        <f>_xlfn.XLOOKUP(FMS_Ranking4[[#This Row],[FMS ID]],FMS_Input[FMS_ID],FMS_Input[FMS_NAME])</f>
        <v>Van Zandt County Flood Safety Improvements and Education</v>
      </c>
      <c r="E324" s="308" t="str">
        <f>_xlfn.XLOOKUP(FMS_Ranking4[[#This Row],[FMS ID]],FMS_Input[FMS_ID],FMS_Input[SPONSOR])</f>
        <v>Van Zandt County</v>
      </c>
      <c r="F324" s="309" t="str">
        <f>_xlfn.XLOOKUP(FMS_Ranking4[[#This Row],[FMS ID]],Sponsor[FMS_ID],Sponsor[SPONSOR NAME])</f>
        <v>Van Zandt County</v>
      </c>
      <c r="G324" s="309" t="str">
        <f>_xlfn.XLOOKUP(FMS_Ranking4[[#This Row],[FMS ID]],FMS_Input[FMS_ID],FMS_Input[FMS_DESCR])</f>
        <v>Educate community on the dangers of low water crossings</v>
      </c>
      <c r="H324" s="248" t="str">
        <f>_xlfn.XLOOKUP(FMS_Ranking4[[#This Row],[FMS ID]],FMS_Input[FMS_ID],FMS_Input[FMS_TYPE])</f>
        <v>Education and Outreach</v>
      </c>
      <c r="I324" s="249">
        <f>_xlfn.XLOOKUP(FMS_Ranking4[[#This Row],[FMS ID]],FMS_Input[FMS_ID],FMS_Input[NRNC_COST])</f>
        <v>50000</v>
      </c>
      <c r="J324" s="250">
        <f>_xlfn.XLOOKUP(FMS_Ranking4[[#This Row],[FMS ID]],FMS_Input[FMS_ID],FMS_Input[FMS_COST])</f>
        <v>50000</v>
      </c>
      <c r="K324" s="251" t="str">
        <f>_xlfn.XLOOKUP(FMS_Ranking4[[#This Row],[FMS ID]],FMS_Input[FMS_ID],FMS_Input[EMER_NEED])</f>
        <v>No</v>
      </c>
      <c r="L324" s="252">
        <f t="shared" si="4"/>
        <v>0</v>
      </c>
      <c r="M324" s="253">
        <f>_xlfn.XLOOKUP(FMS_Ranking4[[#This Row],[FMS ID]],FMS_Input[FMS_ID],FMS_Input[STRUCT_100])</f>
        <v>506</v>
      </c>
      <c r="N324" s="255">
        <f>(ASINH(FMS_Ranking4[[#This Row],[Structure at Risk Raw]]))*(10)/(ASINH(M$4))</f>
        <v>5.4399025698953585</v>
      </c>
      <c r="O324" s="256">
        <f>FMS_Ranking4[[#This Row],[Structures at risk, ArcSinh (0-10)]]*M$5*10</f>
        <v>5.4399025698953585</v>
      </c>
      <c r="P324" s="253">
        <f>_xlfn.XLOOKUP(FMS_Ranking4[[#This Row],[FMS ID]],FMS_Input[FMS_ID],FMS_Input[RES_STRUCT100])</f>
        <v>261</v>
      </c>
      <c r="Q324" s="257">
        <f>ASINH(FMS_Ranking4[[#This Row],[Res Structure Raw]])/Q$4*P$5*100</f>
        <v>0</v>
      </c>
      <c r="R324" s="253">
        <f>_xlfn.XLOOKUP(FMS_Ranking4[[#This Row],[FMS ID]],FMS_Input[FMS_ID],FMS_Input[POP100])</f>
        <v>384</v>
      </c>
      <c r="S324" s="255">
        <f>(ASINH(FMS_Ranking4[[#This Row],[Pop at Risk Raw]]))*(10)/(ASINH(R$4))</f>
        <v>4.5865960109304833</v>
      </c>
      <c r="T324" s="256">
        <f>FMS_Ranking4[[#This Row],[Population at risk, ArcSinh (0-10)]]*R$5*10</f>
        <v>4.5865960109304833</v>
      </c>
      <c r="U324" s="253">
        <f>_xlfn.XLOOKUP(FMS_Ranking4[[#This Row],[FMS ID]],FMS_Input[FMS_ID],FMS_Input[CRITFAC100])</f>
        <v>11</v>
      </c>
      <c r="V324" s="255">
        <f>(ASINH(FMS_Ranking4[[#This Row],[Critical Facilities Raw]]))*(10)/(ASINH(U$4))</f>
        <v>3.661503455940549</v>
      </c>
      <c r="W324" s="256">
        <f>FMS_Ranking4[[#This Row],[Critical facilities at risk, ArcSinh (0-10)]]*U$5*10</f>
        <v>3.661503455940549</v>
      </c>
      <c r="X324" s="253">
        <f>_xlfn.XLOOKUP(FMS_Ranking4[[#This Row],[FMS ID]],FMS_Input[FMS_ID],FMS_Input[LWC])</f>
        <v>5</v>
      </c>
      <c r="Y324" s="255">
        <f>(ASINH(FMS_Ranking4[[#This Row],[LWC Raw]]))*(10)/(ASINH(X$4))</f>
        <v>3.1327475801820781</v>
      </c>
      <c r="Z324" s="256">
        <f>FMS_Ranking4[[#This Row],[LWC, ArcSInh (0-10)]]*X$5*10</f>
        <v>3.1327475801820781</v>
      </c>
      <c r="AA324" s="253">
        <f>_xlfn.XLOOKUP(FMS_Ranking4[[#This Row],[FMS ID]],FMS_Input[FMS_ID],FMS_Input[ROADCLS])</f>
        <v>0</v>
      </c>
      <c r="AB324" s="255">
        <f>(ASINH(FMS_Ranking4[[#This Row],[Road Closures Raw]]))*(10)/(ASINH(AA$4))</f>
        <v>0</v>
      </c>
      <c r="AC324" s="256">
        <f>FMS_Ranking4[[#This Row],[Road closures, ArcSinh (0-10)]]*AA$5*10</f>
        <v>0</v>
      </c>
      <c r="AD324" s="253">
        <f>_xlfn.XLOOKUP(FMS_Ranking4[[#This Row],[FMS ID]],FMS_Input[FMS_ID],FMS_Input[ROAD_MILES100])</f>
        <v>37</v>
      </c>
      <c r="AE324" s="255">
        <f>(ASINH(FMS_Ranking4[[#This Row],[Road Miles Raw]]))*(10)/(ASINH(AD$4))</f>
        <v>4.5871438008156646</v>
      </c>
      <c r="AF324" s="256">
        <f>FMS_Ranking4[[#This Row],[Length of roads at risk, ArcSinh (0-10)]]*AD$5*10</f>
        <v>4.5871438008156655</v>
      </c>
      <c r="AG324" s="253">
        <f>_xlfn.XLOOKUP(FMS_Ranking4[[#This Row],[FMS ID]],FMS_Input[FMS_ID],FMS_Input[FARMACRE100])</f>
        <v>18020.580078125</v>
      </c>
      <c r="AH324" s="255">
        <f>(ASINH(FMS_Ranking4[[#This Row],[Ag Land Raw]]))*(10)/(ASINH(AG$4))</f>
        <v>6.8156795883708625</v>
      </c>
      <c r="AI324" s="260">
        <f>FMS_Ranking4[[#This Row],[Farm &amp; ranch land, ArcSinh (0-10)]]*AG$5*10</f>
        <v>3.4078397941854317</v>
      </c>
      <c r="AJ324" s="258">
        <f>_xlfn.XLOOKUP(FMS_Ranking4[[#This Row],[FMS ID]],FMS_Input[FMS_ID],FMS_Input[REDSTRUCT100])</f>
        <v>0</v>
      </c>
      <c r="AK324" s="253">
        <f>_xlfn.XLOOKUP(FMS_Ranking4[[#This Row],[FMS ID]],FMS_Input[FMS_ID],FMS_Input[REMSTRC100])</f>
        <v>0</v>
      </c>
      <c r="AL324" s="255">
        <f>(ASINH(FMS_Ranking4[[#This Row],[Structures Removed Raw]]))*(10)/(ASINH(AK$4))</f>
        <v>0</v>
      </c>
      <c r="AM324" s="262">
        <f>FMS_Ranking4[[#This Row],[Structures removed, ArcSinh (0-10)]]*AK$5*10</f>
        <v>0</v>
      </c>
      <c r="AN324" s="253">
        <f>_xlfn.XLOOKUP(FMS_Ranking4[[#This Row],[FMS ID]],FMS_Input[FMS_ID],FMS_Input[REMRESSTRC100])</f>
        <v>0</v>
      </c>
      <c r="AO324" s="261">
        <f>FMS_Ranking4[[#This Row],[ArcSinh Res struct removed 0-10]]*AN$5*10</f>
        <v>0</v>
      </c>
      <c r="AP324" s="260">
        <f>ASINH(FMS_Ranking4[[#This Row],[Residential Structures Removed Raw]])/AP$4*AN$5*100</f>
        <v>0</v>
      </c>
      <c r="AQ324" s="258">
        <f>(ASINH(FMS_Ranking4[[#This Row],[Residential Structures Removed Raw]]))*(10)/(ASINH(AN$4))</f>
        <v>0</v>
      </c>
      <c r="AR324" s="253">
        <f>_xlfn.XLOOKUP(FMS_Ranking4[[#This Row],[FMS ID]],FMS_Input[FMS_ID],FMS_Input[REMPOP100])</f>
        <v>0</v>
      </c>
      <c r="AS324" s="255">
        <f>(ASINH(FMS_Ranking4[[#This Row],[Removed Pop Raw]]))*(10)/(ASINH(AR$4))</f>
        <v>0</v>
      </c>
      <c r="AT324" s="262">
        <f>FMS_Ranking4[[#This Row],[Removed population, ArcSinh (0-10)]]*AR$5*10</f>
        <v>0</v>
      </c>
      <c r="AU324" s="264">
        <f>_xlfn.XLOOKUP(FMS_Ranking4[[#This Row],[FMS ID]],FMS_Input[FMS_ID],FMS_Input[REMCRITFAC100])</f>
        <v>0</v>
      </c>
      <c r="AV324" s="264">
        <f>_xlfn.XLOOKUP(FMS_Ranking4[[#This Row],[FMS ID]],FMS_Input[FMS_ID],FMS_Input[REMLWC100])</f>
        <v>0</v>
      </c>
      <c r="AW324" s="264">
        <f>_xlfn.XLOOKUP(FMS_Ranking4[[#This Row],[FMS ID]],FMS_Input[FMS_ID],FMS_Input[REMROADCLS])</f>
        <v>0</v>
      </c>
      <c r="AX324" s="264">
        <f>_xlfn.XLOOKUP(FMS_Ranking4[[#This Row],[FMS ID]],FMS_Input[FMS_ID],FMS_Input[REMFRMACRE100])</f>
        <v>0</v>
      </c>
      <c r="AY324" s="258">
        <f>_xlfn.XLOOKUP(FMS_Ranking4[[#This Row],[FMS ID]],FMS_Input[FMS_ID],FMS_Input[COSTSTRUCT])</f>
        <v>0</v>
      </c>
      <c r="AZ324" s="253">
        <f>_xlfn.XLOOKUP(FMS_Ranking4[[#This Row],[FMS ID]],FMS_Input[FMS_ID],FMS_Input[NATURE])</f>
        <v>0</v>
      </c>
      <c r="BA324" s="262">
        <f>(((FMS_Ranking4[[#This Row],[% NBS Raw]]/AZ$4)*100)*AZ$5)</f>
        <v>0</v>
      </c>
      <c r="BB324" s="251" t="str">
        <f>_xlfn.XLOOKUP(FMS_Ranking4[[#This Row],[FMS ID]],FMS_Input[FMS_ID],FMS_Input[WATER_SUP])</f>
        <v>No</v>
      </c>
      <c r="BC324" s="265">
        <f>IF(FMS_Ranking4[[#This Row],[Water Supply Raw]]="Yes",10,0)</f>
        <v>0</v>
      </c>
      <c r="BD324" s="266">
        <f>_xlfn.XLOOKUP(FMS_Ranking4[[#This Row],[FMS Type]],FMS_TYPE[FMS_Type],FMS_TYPE[Score])</f>
        <v>6</v>
      </c>
      <c r="BE324" s="267">
        <f>FMS_Ranking4[[#This Row],[FMS_Type Score]]*$BD$5*10</f>
        <v>1.5000000000000002</v>
      </c>
      <c r="BF32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0.24302818457394082</v>
      </c>
      <c r="BG324" s="321">
        <f>_xlfn.RANK.EQ(BF324,$BF$8:$BF$870,0)+COUNTIF($BF$8:BF324,BF324)-1</f>
        <v>336</v>
      </c>
      <c r="BH324" s="294">
        <f>(((FMS_Ranking4[[#This Row],[Structures Removed Raw]]/AK$4)*100)*AK$5)+(((FMS_Ranking4[[#This Row],[Removed Pop Raw]]/AR$4)*100)*AR$5)</f>
        <v>0</v>
      </c>
      <c r="BI32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1.743028184573941</v>
      </c>
      <c r="BJ324" s="251">
        <f>_xlfn.RANK.EQ(FMS_Ranking4[[#This Row],[Total Score 
(with linear
normalization)]],FMS_Ranking4[Total Score 
(with linear
normalization)],0)</f>
        <v>545</v>
      </c>
      <c r="BK324" s="251" t="e">
        <f>_xlfn.XLOOKUP(FMS_Ranking4[[#This Row],[FMS ID]],#REF!,#REF!)</f>
        <v>#REF!</v>
      </c>
      <c r="BL32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24.815733211949567</v>
      </c>
      <c r="BM324" s="324">
        <f>FMS_Ranking4[[#This Row],[ArcSinh Score Based on Normalized Reported Factors]]+FMS_Ranking4[[#This Row],[% NBS Score (Normalized)]]+(FMS_Ranking4[[#This Row],[Water Supply Score (Normalized)]]*10*$BB$5)+FMS_Ranking4[[#This Row],[FMS_Type Score Weighted]]</f>
        <v>26.315733211949567</v>
      </c>
      <c r="BN324" s="251">
        <f>_xlfn.RANK.EQ(FMS_Ranking4[[#This Row],[Total Score (with ArcSinh normalization of select criteria)]],FMS_Ranking4[Total Score (with ArcSinh normalization of select criteria)],0)</f>
        <v>317</v>
      </c>
      <c r="BO324" s="270" t="str">
        <f>_xlfn.XLOOKUP(FMS_Ranking4[[#This Row],[FMS ID]],FMS_Input[FMS_ID],FMS_Input[FMS_RANK_YEAR])</f>
        <v>2023 Amended Plan</v>
      </c>
      <c r="BP324" s="204">
        <f>_xlfn.XLOOKUP(FMS_Ranking4[[#This Row],[FMS ID]],Prev_Rank[FMS ID],Prev_Rank[Prev Rank])</f>
        <v>281</v>
      </c>
      <c r="BQ324" s="251" t="e">
        <f>_xlfn.XLOOKUP(FMS_Ranking4[[#This Row],[FMS ID]],#REF!,#REF!)</f>
        <v>#REF!</v>
      </c>
      <c r="BR324" s="199" t="e">
        <f>SUM(#REF!,#REF!,#REF!,#REF!,#REF!,#REF!,#REF!,#REF!,#REF!,FMS_Ranking4[[#This Row],[ArcSinh Res struct removed 0-10]],#REF!)</f>
        <v>#REF!</v>
      </c>
      <c r="BS324" s="199" t="e">
        <f>FMS_Ranking4[[#This Row],[Log Score Based on Normalized Reported Factors]]+FMS_Ranking4[[#This Row],[% NBS Score (Normalized)]]+(FMS_Ranking4[[#This Row],[Water Supply Score (Normalized)]]*10*$BB$5)+(FMS_Ranking4[[#This Row],[FMS_Type Score Weighted]])</f>
        <v>#REF!</v>
      </c>
      <c r="BT324" s="200" t="e">
        <f>_xlfn.RANK.EQ(FMS_Ranking4[[#This Row],[Log Total Score]],FMS_Ranking4[Log Total Score],0)</f>
        <v>#REF!</v>
      </c>
      <c r="BU324" s="200" t="e">
        <f>_xlfn.XLOOKUP(FMS_Ranking4[[#This Row],[FMS ID]],#REF!,#REF!)</f>
        <v>#REF!</v>
      </c>
      <c r="BV324" s="200">
        <f>FMS_Ranking4[[#This Row],[Region Number]]</f>
        <v>3</v>
      </c>
      <c r="BW324" s="200">
        <f>FMS_Ranking4[[#This Row],[Rank (with ArcSinh normalization of select criteria)]]-FMS_Ranking4[[#This Row],[Rank
(with linear
normalization)]]</f>
        <v>-228</v>
      </c>
      <c r="BX324" s="200" t="e">
        <f>FMS_Ranking4[[#This Row],[Log Rank]]-FMS_Ranking4[[#This Row],[Rank
(with linear
normalization)]]</f>
        <v>#REF!</v>
      </c>
      <c r="BY324" s="200" t="str">
        <f>IF(FMS_Ranking4[[#This Row],[FMS Type]]="Flood Measurement and Warning",FMS_Ranking4[[#This Row],[Rank (with ArcSinh normalization of select criteria)]],"")</f>
        <v/>
      </c>
      <c r="BZ324" s="200" t="str">
        <f>IF(FMS_Ranking4[[#This Row],[FMS Type]]="Regulatory and Guidance",FMS_Ranking4[[#This Row],[Rank (with ArcSinh normalization of select criteria)]],"")</f>
        <v/>
      </c>
      <c r="CA324" s="200">
        <f>IF(FMS_Ranking4[[#This Row],[FMS Type]]="Education and Outreach",FMS_Ranking4[[#This Row],[Rank (with ArcSinh normalization of select criteria)]],"")</f>
        <v>317</v>
      </c>
      <c r="CB324" s="200" t="str">
        <f>IF(FMS_Ranking4[[#This Row],[FMS Type]]="Property Acquisition and Structural Elevation",FMS_Ranking4[[#This Row],[Rank (with ArcSinh normalization of select criteria)]],"")</f>
        <v/>
      </c>
      <c r="CC324" s="200" t="str">
        <f>IF(FMS_Ranking4[[#This Row],[FMS Type]]="Infrastructure Projects",FMS_Ranking4[[#This Row],[Rank (with ArcSinh normalization of select criteria)]],"")</f>
        <v/>
      </c>
      <c r="CD324" s="200" t="str">
        <f>IF(FMS_Ranking4[[#This Row],[FMS Type]]="Other",FMS_Ranking4[[#This Row],[Rank (with ArcSinh normalization of select criteria)]],"")</f>
        <v/>
      </c>
      <c r="CE324" s="201"/>
      <c r="CF324" s="206"/>
      <c r="CG324" s="206"/>
      <c r="CH324" s="206"/>
      <c r="CI324" s="206"/>
      <c r="CJ324" s="206"/>
      <c r="CK324" s="206"/>
      <c r="CL324" s="206"/>
      <c r="CM324" s="206"/>
      <c r="CN324" s="206"/>
      <c r="CO324" s="206"/>
      <c r="CP324" s="206"/>
      <c r="CQ324" s="206"/>
      <c r="CR324" s="206"/>
    </row>
    <row r="325" spans="2:96" ht="30" x14ac:dyDescent="0.25">
      <c r="B325" s="341" t="s">
        <v>1398</v>
      </c>
      <c r="C325" s="246">
        <f>_xlfn.XLOOKUP(FMS_Ranking4[[#This Row],[FMS ID]],FMS_Input[FMS_ID],FMS_Input[RFPG_NUM])</f>
        <v>1</v>
      </c>
      <c r="D325" s="309" t="str">
        <f>_xlfn.XLOOKUP(FMS_Ranking4[[#This Row],[FMS ID]],FMS_Input[FMS_ID],FMS_Input[FMS_NAME])</f>
        <v>Wheeler County NFIP Involvement</v>
      </c>
      <c r="E325" s="308" t="str">
        <f>_xlfn.XLOOKUP(FMS_Ranking4[[#This Row],[FMS ID]],FMS_Input[FMS_ID],FMS_Input[SPONSOR])</f>
        <v>01000245</v>
      </c>
      <c r="F325" s="309" t="str">
        <f>_xlfn.XLOOKUP(FMS_Ranking4[[#This Row],[FMS ID]],Sponsor[FMS_ID],Sponsor[SPONSOR NAME])</f>
        <v>Wheeler</v>
      </c>
      <c r="G325" s="309" t="str">
        <f>_xlfn.XLOOKUP(FMS_Ranking4[[#This Row],[FMS ID]],FMS_Input[FMS_ID],FMS_Input[FMS_DESCR])</f>
        <v>Application to join NFIP or adopt equivalent standards</v>
      </c>
      <c r="H325" s="248" t="str">
        <f>_xlfn.XLOOKUP(FMS_Ranking4[[#This Row],[FMS ID]],FMS_Input[FMS_ID],FMS_Input[FMS_TYPE])</f>
        <v>Regulatory and Guidance</v>
      </c>
      <c r="I325" s="249">
        <f>_xlfn.XLOOKUP(FMS_Ranking4[[#This Row],[FMS ID]],FMS_Input[FMS_ID],FMS_Input[NRNC_COST])</f>
        <v>100000</v>
      </c>
      <c r="J325" s="250">
        <f>_xlfn.XLOOKUP(FMS_Ranking4[[#This Row],[FMS ID]],FMS_Input[FMS_ID],FMS_Input[FMS_COST])</f>
        <v>100000</v>
      </c>
      <c r="K325" s="251" t="str">
        <f>_xlfn.XLOOKUP(FMS_Ranking4[[#This Row],[FMS ID]],FMS_Input[FMS_ID],FMS_Input[EMER_NEED])</f>
        <v>No</v>
      </c>
      <c r="L325" s="252">
        <f t="shared" si="4"/>
        <v>0</v>
      </c>
      <c r="M325" s="253">
        <f>_xlfn.XLOOKUP(FMS_Ranking4[[#This Row],[FMS ID]],FMS_Input[FMS_ID],FMS_Input[STRUCT_100])</f>
        <v>191</v>
      </c>
      <c r="N325" s="255">
        <f>(ASINH(FMS_Ranking4[[#This Row],[Structure at Risk Raw]]))*(10)/(ASINH(M$4))</f>
        <v>4.6739912204823941</v>
      </c>
      <c r="O325" s="256">
        <f>FMS_Ranking4[[#This Row],[Structures at risk, ArcSinh (0-10)]]*M$5*10</f>
        <v>4.6739912204823941</v>
      </c>
      <c r="P325" s="253">
        <f>_xlfn.XLOOKUP(FMS_Ranking4[[#This Row],[FMS ID]],FMS_Input[FMS_ID],FMS_Input[RES_STRUCT100])</f>
        <v>71</v>
      </c>
      <c r="Q325" s="257">
        <f>ASINH(FMS_Ranking4[[#This Row],[Res Structure Raw]])/Q$4*P$5*100</f>
        <v>0</v>
      </c>
      <c r="R325" s="253">
        <f>_xlfn.XLOOKUP(FMS_Ranking4[[#This Row],[FMS ID]],FMS_Input[FMS_ID],FMS_Input[POP100])</f>
        <v>210</v>
      </c>
      <c r="S325" s="259">
        <f>(ASINH(FMS_Ranking4[[#This Row],[Pop at Risk Raw]]))*(10)/(ASINH(R$4))</f>
        <v>4.1699433918902589</v>
      </c>
      <c r="T325" s="256">
        <f>FMS_Ranking4[[#This Row],[Population at risk, ArcSinh (0-10)]]*R$5*10</f>
        <v>4.1699433918902589</v>
      </c>
      <c r="U325" s="253">
        <f>_xlfn.XLOOKUP(FMS_Ranking4[[#This Row],[FMS ID]],FMS_Input[FMS_ID],FMS_Input[CRITFAC100])</f>
        <v>4</v>
      </c>
      <c r="V325" s="259">
        <f>(ASINH(FMS_Ranking4[[#This Row],[Critical Facilities Raw]]))*(10)/(ASINH(U$4))</f>
        <v>2.4796455944038147</v>
      </c>
      <c r="W325" s="256">
        <f>FMS_Ranking4[[#This Row],[Critical facilities at risk, ArcSinh (0-10)]]*U$5*10</f>
        <v>2.4796455944038147</v>
      </c>
      <c r="X325" s="253">
        <f>_xlfn.XLOOKUP(FMS_Ranking4[[#This Row],[FMS ID]],FMS_Input[FMS_ID],FMS_Input[LWC])</f>
        <v>4</v>
      </c>
      <c r="Y325" s="259">
        <f>(ASINH(FMS_Ranking4[[#This Row],[LWC Raw]]))*(10)/(ASINH(X$4))</f>
        <v>2.8377862217928165</v>
      </c>
      <c r="Z325" s="256">
        <f>FMS_Ranking4[[#This Row],[LWC, ArcSInh (0-10)]]*X$5*10</f>
        <v>2.8377862217928169</v>
      </c>
      <c r="AA325" s="253">
        <f>_xlfn.XLOOKUP(FMS_Ranking4[[#This Row],[FMS ID]],FMS_Input[FMS_ID],FMS_Input[ROADCLS])</f>
        <v>4</v>
      </c>
      <c r="AB325" s="255">
        <f>(ASINH(FMS_Ranking4[[#This Row],[Road Closures Raw]]))*(10)/(ASINH(AA$4))</f>
        <v>2.1814508587270351</v>
      </c>
      <c r="AC325" s="256">
        <f>FMS_Ranking4[[#This Row],[Road closures, ArcSinh (0-10)]]*AA$5*10</f>
        <v>1.0907254293635176</v>
      </c>
      <c r="AD325" s="253">
        <f>_xlfn.XLOOKUP(FMS_Ranking4[[#This Row],[FMS ID]],FMS_Input[FMS_ID],FMS_Input[ROAD_MILES100])</f>
        <v>65</v>
      </c>
      <c r="AE325" s="259">
        <f>(ASINH(FMS_Ranking4[[#This Row],[Road Miles Raw]]))*(10)/(ASINH(AD$4))</f>
        <v>5.1875156025022031</v>
      </c>
      <c r="AF325" s="256">
        <f>FMS_Ranking4[[#This Row],[Length of roads at risk, ArcSinh (0-10)]]*AD$5*10</f>
        <v>5.1875156025022031</v>
      </c>
      <c r="AG325" s="253">
        <f>_xlfn.XLOOKUP(FMS_Ranking4[[#This Row],[FMS ID]],FMS_Input[FMS_ID],FMS_Input[FARMACRE100])</f>
        <v>70021.9609375</v>
      </c>
      <c r="AH325" s="255">
        <f>(ASINH(FMS_Ranking4[[#This Row],[Ag Land Raw]]))*(10)/(ASINH(AG$4))</f>
        <v>7.6973529292614895</v>
      </c>
      <c r="AI325" s="260">
        <f>FMS_Ranking4[[#This Row],[Farm &amp; ranch land, ArcSinh (0-10)]]*AG$5*10</f>
        <v>3.8486764646307448</v>
      </c>
      <c r="AJ325" s="258">
        <f>_xlfn.XLOOKUP(FMS_Ranking4[[#This Row],[FMS ID]],FMS_Input[FMS_ID],FMS_Input[REDSTRUCT100])</f>
        <v>0</v>
      </c>
      <c r="AK325" s="253">
        <f>_xlfn.XLOOKUP(FMS_Ranking4[[#This Row],[FMS ID]],FMS_Input[FMS_ID],FMS_Input[REMSTRC100])</f>
        <v>0</v>
      </c>
      <c r="AL325" s="259">
        <f>(ASINH(FMS_Ranking4[[#This Row],[Structures Removed Raw]]))*(10)/(ASINH(AK$4))</f>
        <v>0</v>
      </c>
      <c r="AM325" s="262">
        <f>FMS_Ranking4[[#This Row],[Structures removed, ArcSinh (0-10)]]*AK$5*10</f>
        <v>0</v>
      </c>
      <c r="AN325" s="253">
        <f>_xlfn.XLOOKUP(FMS_Ranking4[[#This Row],[FMS ID]],FMS_Input[FMS_ID],FMS_Input[REMRESSTRC100])</f>
        <v>0</v>
      </c>
      <c r="AO325" s="261">
        <f>FMS_Ranking4[[#This Row],[ArcSinh Res struct removed 0-10]]*AN$5*10</f>
        <v>0</v>
      </c>
      <c r="AP325" s="260">
        <f>ASINH(FMS_Ranking4[[#This Row],[Residential Structures Removed Raw]])/AP$4*AN$5*100</f>
        <v>0</v>
      </c>
      <c r="AQ325" s="254">
        <f>(ASINH(FMS_Ranking4[[#This Row],[Residential Structures Removed Raw]]))*(10)/(ASINH(AN$4))</f>
        <v>0</v>
      </c>
      <c r="AR325" s="253">
        <f>_xlfn.XLOOKUP(FMS_Ranking4[[#This Row],[FMS ID]],FMS_Input[FMS_ID],FMS_Input[REMPOP100])</f>
        <v>0</v>
      </c>
      <c r="AS325" s="259">
        <f>(ASINH(FMS_Ranking4[[#This Row],[Removed Pop Raw]]))*(10)/(ASINH(AR$4))</f>
        <v>0</v>
      </c>
      <c r="AT325" s="262">
        <f>FMS_Ranking4[[#This Row],[Removed population, ArcSinh (0-10)]]*AR$5*10</f>
        <v>0</v>
      </c>
      <c r="AU325" s="264">
        <f>_xlfn.XLOOKUP(FMS_Ranking4[[#This Row],[FMS ID]],FMS_Input[FMS_ID],FMS_Input[REMCRITFAC100])</f>
        <v>0</v>
      </c>
      <c r="AV325" s="264">
        <f>_xlfn.XLOOKUP(FMS_Ranking4[[#This Row],[FMS ID]],FMS_Input[FMS_ID],FMS_Input[REMLWC100])</f>
        <v>0</v>
      </c>
      <c r="AW325" s="264">
        <f>_xlfn.XLOOKUP(FMS_Ranking4[[#This Row],[FMS ID]],FMS_Input[FMS_ID],FMS_Input[REMROADCLS])</f>
        <v>0</v>
      </c>
      <c r="AX325" s="264">
        <f>_xlfn.XLOOKUP(FMS_Ranking4[[#This Row],[FMS ID]],FMS_Input[FMS_ID],FMS_Input[REMFRMACRE100])</f>
        <v>0</v>
      </c>
      <c r="AY325" s="258">
        <f>_xlfn.XLOOKUP(FMS_Ranking4[[#This Row],[FMS ID]],FMS_Input[FMS_ID],FMS_Input[COSTSTRUCT])</f>
        <v>0</v>
      </c>
      <c r="AZ325" s="253">
        <f>_xlfn.XLOOKUP(FMS_Ranking4[[#This Row],[FMS ID]],FMS_Input[FMS_ID],FMS_Input[NATURE])</f>
        <v>0</v>
      </c>
      <c r="BA325" s="262">
        <f>(((FMS_Ranking4[[#This Row],[% NBS Raw]]/AZ$4)*100)*AZ$5)</f>
        <v>0</v>
      </c>
      <c r="BB325" s="251" t="str">
        <f>_xlfn.XLOOKUP(FMS_Ranking4[[#This Row],[FMS ID]],FMS_Input[FMS_ID],FMS_Input[WATER_SUP])</f>
        <v>No</v>
      </c>
      <c r="BC325" s="265">
        <f>IF(FMS_Ranking4[[#This Row],[Water Supply Raw]]="Yes",10,0)</f>
        <v>0</v>
      </c>
      <c r="BD325" s="266">
        <f>_xlfn.XLOOKUP(FMS_Ranking4[[#This Row],[FMS Type]],FMS_TYPE[FMS_Type],FMS_TYPE[Score])</f>
        <v>8</v>
      </c>
      <c r="BE325" s="267">
        <f>FMS_Ranking4[[#This Row],[FMS_Type Score]]*$BD$5*10</f>
        <v>2</v>
      </c>
      <c r="BF32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0.33696372002050412</v>
      </c>
      <c r="BG325" s="271">
        <f>_xlfn.RANK.EQ(BF325,$BF$8:$BF$870,0)+COUNTIF($BF$8:BF325,BF325)-1</f>
        <v>280</v>
      </c>
      <c r="BH325" s="268">
        <f>(((FMS_Ranking4[[#This Row],[Structures Removed Raw]]/AK$4)*100)*AK$5)+(((FMS_Ranking4[[#This Row],[Removed Pop Raw]]/AR$4)*100)*AR$5)</f>
        <v>0</v>
      </c>
      <c r="BI32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2.336963720020504</v>
      </c>
      <c r="BJ325" s="205">
        <f>_xlfn.RANK.EQ(FMS_Ranking4[[#This Row],[Total Score 
(with linear
normalization)]],FMS_Ranking4[Total Score 
(with linear
normalization)],0)</f>
        <v>287</v>
      </c>
      <c r="BK325" s="205" t="e">
        <f>_xlfn.XLOOKUP(FMS_Ranking4[[#This Row],[FMS ID]],#REF!,#REF!)</f>
        <v>#REF!</v>
      </c>
      <c r="BL32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24.288283925065752</v>
      </c>
      <c r="BM325" s="272">
        <f>FMS_Ranking4[[#This Row],[ArcSinh Score Based on Normalized Reported Factors]]+FMS_Ranking4[[#This Row],[% NBS Score (Normalized)]]+(FMS_Ranking4[[#This Row],[Water Supply Score (Normalized)]]*10*$BB$5)+FMS_Ranking4[[#This Row],[FMS_Type Score Weighted]]</f>
        <v>26.288283925065752</v>
      </c>
      <c r="BN325" s="205">
        <f>_xlfn.RANK.EQ(FMS_Ranking4[[#This Row],[Total Score (with ArcSinh normalization of select criteria)]],FMS_Ranking4[Total Score (with ArcSinh normalization of select criteria)],0)</f>
        <v>318</v>
      </c>
      <c r="BO325" s="270" t="str">
        <f>_xlfn.XLOOKUP(FMS_Ranking4[[#This Row],[FMS ID]],FMS_Input[FMS_ID],FMS_Input[FMS_RANK_YEAR])</f>
        <v>2023 Amended Plan</v>
      </c>
      <c r="BP325" s="204">
        <f>_xlfn.XLOOKUP(FMS_Ranking4[[#This Row],[FMS ID]],Prev_Rank[FMS ID],Prev_Rank[Prev Rank])</f>
        <v>286</v>
      </c>
      <c r="BQ325" s="205" t="e">
        <f>_xlfn.XLOOKUP(FMS_Ranking4[[#This Row],[FMS ID]],#REF!,#REF!)</f>
        <v>#REF!</v>
      </c>
      <c r="BR325" s="199" t="e">
        <f>SUM(#REF!,#REF!,#REF!,#REF!,#REF!,#REF!,#REF!,#REF!,#REF!,FMS_Ranking4[[#This Row],[ArcSinh Res struct removed 0-10]],#REF!)</f>
        <v>#REF!</v>
      </c>
      <c r="BS325" s="199" t="e">
        <f>FMS_Ranking4[[#This Row],[Log Score Based on Normalized Reported Factors]]+FMS_Ranking4[[#This Row],[% NBS Score (Normalized)]]+(FMS_Ranking4[[#This Row],[Water Supply Score (Normalized)]]*10*$BB$5)+(FMS_Ranking4[[#This Row],[FMS_Type Score Weighted]])</f>
        <v>#REF!</v>
      </c>
      <c r="BT325" s="200" t="e">
        <f>_xlfn.RANK.EQ(FMS_Ranking4[[#This Row],[Log Total Score]],FMS_Ranking4[Log Total Score],0)</f>
        <v>#REF!</v>
      </c>
      <c r="BU325" s="200" t="e">
        <f>_xlfn.XLOOKUP(FMS_Ranking4[[#This Row],[FMS ID]],#REF!,#REF!)</f>
        <v>#REF!</v>
      </c>
      <c r="BV325" s="200">
        <f>FMS_Ranking4[[#This Row],[Region Number]]</f>
        <v>1</v>
      </c>
      <c r="BW325" s="200">
        <f>FMS_Ranking4[[#This Row],[Rank (with ArcSinh normalization of select criteria)]]-FMS_Ranking4[[#This Row],[Rank
(with linear
normalization)]]</f>
        <v>31</v>
      </c>
      <c r="BX325" s="200" t="e">
        <f>FMS_Ranking4[[#This Row],[Log Rank]]-FMS_Ranking4[[#This Row],[Rank
(with linear
normalization)]]</f>
        <v>#REF!</v>
      </c>
      <c r="BY325" s="200" t="str">
        <f>IF(FMS_Ranking4[[#This Row],[FMS Type]]="Flood Measurement and Warning",FMS_Ranking4[[#This Row],[Rank (with ArcSinh normalization of select criteria)]],"")</f>
        <v/>
      </c>
      <c r="BZ325" s="200">
        <f>IF(FMS_Ranking4[[#This Row],[FMS Type]]="Regulatory and Guidance",FMS_Ranking4[[#This Row],[Rank (with ArcSinh normalization of select criteria)]],"")</f>
        <v>318</v>
      </c>
      <c r="CA325" s="200" t="str">
        <f>IF(FMS_Ranking4[[#This Row],[FMS Type]]="Education and Outreach",FMS_Ranking4[[#This Row],[Rank (with ArcSinh normalization of select criteria)]],"")</f>
        <v/>
      </c>
      <c r="CB325" s="200" t="str">
        <f>IF(FMS_Ranking4[[#This Row],[FMS Type]]="Property Acquisition and Structural Elevation",FMS_Ranking4[[#This Row],[Rank (with ArcSinh normalization of select criteria)]],"")</f>
        <v/>
      </c>
      <c r="CC325" s="200" t="str">
        <f>IF(FMS_Ranking4[[#This Row],[FMS Type]]="Infrastructure Projects",FMS_Ranking4[[#This Row],[Rank (with ArcSinh normalization of select criteria)]],"")</f>
        <v/>
      </c>
      <c r="CD325" s="200" t="str">
        <f>IF(FMS_Ranking4[[#This Row],[FMS Type]]="Other",FMS_Ranking4[[#This Row],[Rank (with ArcSinh normalization of select criteria)]],"")</f>
        <v/>
      </c>
      <c r="CE325" s="201"/>
      <c r="CF325" s="206"/>
      <c r="CG325" s="206"/>
      <c r="CH325" s="206"/>
      <c r="CI325" s="206"/>
      <c r="CJ325" s="206"/>
      <c r="CK325" s="206"/>
      <c r="CL325" s="206"/>
      <c r="CM325" s="206"/>
      <c r="CN325" s="206"/>
      <c r="CO325" s="206"/>
      <c r="CP325" s="206"/>
      <c r="CQ325" s="206"/>
      <c r="CR325" s="206"/>
    </row>
    <row r="326" spans="2:96" ht="45" x14ac:dyDescent="0.25">
      <c r="B326" s="341" t="s">
        <v>4274</v>
      </c>
      <c r="C326" s="246">
        <f>_xlfn.XLOOKUP(FMS_Ranking4[[#This Row],[FMS ID]],FMS_Input[FMS_ID],FMS_Input[RFPG_NUM])</f>
        <v>15</v>
      </c>
      <c r="D326" s="309" t="str">
        <f>_xlfn.XLOOKUP(FMS_Ranking4[[#This Row],[FMS ID]],FMS_Input[FMS_ID],FMS_Input[FMS_NAME])</f>
        <v>City of Palmview - Planning, operation &amp; maintenance</v>
      </c>
      <c r="E326" s="308" t="str">
        <f>_xlfn.XLOOKUP(FMS_Ranking4[[#This Row],[FMS ID]],FMS_Input[FMS_ID],FMS_Input[SPONSOR])</f>
        <v>15000064</v>
      </c>
      <c r="F326" s="309" t="str">
        <f>_xlfn.XLOOKUP(FMS_Ranking4[[#This Row],[FMS ID]],Sponsor[FMS_ID],Sponsor[SPONSOR NAME])</f>
        <v>Palmview</v>
      </c>
      <c r="G326" s="309" t="str">
        <f>_xlfn.XLOOKUP(FMS_Ranking4[[#This Row],[FMS ID]],FMS_Input[FMS_ID],FMS_Input[FMS_DESCR])</f>
        <v>Develop and Implement a planning, operation &amp; Maintenance plan</v>
      </c>
      <c r="H326" s="248" t="str">
        <f>_xlfn.XLOOKUP(FMS_Ranking4[[#This Row],[FMS ID]],FMS_Input[FMS_ID],FMS_Input[FMS_TYPE])</f>
        <v>Flood Measurement and Warning</v>
      </c>
      <c r="I326" s="249">
        <f>_xlfn.XLOOKUP(FMS_Ranking4[[#This Row],[FMS ID]],FMS_Input[FMS_ID],FMS_Input[NRNC_COST])</f>
        <v>600000</v>
      </c>
      <c r="J326" s="250">
        <f>_xlfn.XLOOKUP(FMS_Ranking4[[#This Row],[FMS ID]],FMS_Input[FMS_ID],FMS_Input[FMS_COST])</f>
        <v>5000000</v>
      </c>
      <c r="K326" s="251" t="str">
        <f>_xlfn.XLOOKUP(FMS_Ranking4[[#This Row],[FMS ID]],FMS_Input[FMS_ID],FMS_Input[EMER_NEED])</f>
        <v>Yes</v>
      </c>
      <c r="L326" s="252">
        <f t="shared" si="4"/>
        <v>1</v>
      </c>
      <c r="M326" s="253">
        <f>_xlfn.XLOOKUP(FMS_Ranking4[[#This Row],[FMS ID]],FMS_Input[FMS_ID],FMS_Input[STRUCT_100])</f>
        <v>3778</v>
      </c>
      <c r="N326" s="255">
        <f>(ASINH(FMS_Ranking4[[#This Row],[Structure at Risk Raw]]))*(10)/(ASINH(M$4))</f>
        <v>7.020386069353969</v>
      </c>
      <c r="O326" s="256">
        <f>FMS_Ranking4[[#This Row],[Structures at risk, ArcSinh (0-10)]]*M$5*10</f>
        <v>7.0203860693539699</v>
      </c>
      <c r="P326" s="253">
        <f>_xlfn.XLOOKUP(FMS_Ranking4[[#This Row],[FMS ID]],FMS_Input[FMS_ID],FMS_Input[RES_STRUCT100])</f>
        <v>3068</v>
      </c>
      <c r="Q326" s="257">
        <f>ASINH(FMS_Ranking4[[#This Row],[Res Structure Raw]])/Q$4*P$5*100</f>
        <v>0</v>
      </c>
      <c r="R326" s="253">
        <f>_xlfn.XLOOKUP(FMS_Ranking4[[#This Row],[FMS ID]],FMS_Input[FMS_ID],FMS_Input[POP100])</f>
        <v>11495</v>
      </c>
      <c r="S326" s="255">
        <f>(ASINH(FMS_Ranking4[[#This Row],[Pop at Risk Raw]]))*(10)/(ASINH(R$4))</f>
        <v>6.9331396038347561</v>
      </c>
      <c r="T326" s="256">
        <f>FMS_Ranking4[[#This Row],[Population at risk, ArcSinh (0-10)]]*R$5*10</f>
        <v>6.933139603834757</v>
      </c>
      <c r="U326" s="253">
        <f>_xlfn.XLOOKUP(FMS_Ranking4[[#This Row],[FMS ID]],FMS_Input[FMS_ID],FMS_Input[CRITFAC100])</f>
        <v>4</v>
      </c>
      <c r="V326" s="255">
        <f>(ASINH(FMS_Ranking4[[#This Row],[Critical Facilities Raw]]))*(10)/(ASINH(U$4))</f>
        <v>2.4796455944038147</v>
      </c>
      <c r="W326" s="256">
        <f>FMS_Ranking4[[#This Row],[Critical facilities at risk, ArcSinh (0-10)]]*U$5*10</f>
        <v>2.4796455944038147</v>
      </c>
      <c r="X326" s="253">
        <f>_xlfn.XLOOKUP(FMS_Ranking4[[#This Row],[FMS ID]],FMS_Input[FMS_ID],FMS_Input[LWC])</f>
        <v>0</v>
      </c>
      <c r="Y326" s="255">
        <f>(ASINH(FMS_Ranking4[[#This Row],[LWC Raw]]))*(10)/(ASINH(X$4))</f>
        <v>0</v>
      </c>
      <c r="Z326" s="256">
        <f>FMS_Ranking4[[#This Row],[LWC, ArcSInh (0-10)]]*X$5*10</f>
        <v>0</v>
      </c>
      <c r="AA326" s="253">
        <f>_xlfn.XLOOKUP(FMS_Ranking4[[#This Row],[FMS ID]],FMS_Input[FMS_ID],FMS_Input[ROADCLS])</f>
        <v>0</v>
      </c>
      <c r="AB326" s="255">
        <f>(ASINH(FMS_Ranking4[[#This Row],[Road Closures Raw]]))*(10)/(ASINH(AA$4))</f>
        <v>0</v>
      </c>
      <c r="AC326" s="256">
        <f>FMS_Ranking4[[#This Row],[Road closures, ArcSinh (0-10)]]*AA$5*10</f>
        <v>0</v>
      </c>
      <c r="AD326" s="253">
        <f>_xlfn.XLOOKUP(FMS_Ranking4[[#This Row],[FMS ID]],FMS_Input[FMS_ID],FMS_Input[ROAD_MILES100])</f>
        <v>55</v>
      </c>
      <c r="AE326" s="255">
        <f>(ASINH(FMS_Ranking4[[#This Row],[Road Miles Raw]]))*(10)/(ASINH(AD$4))</f>
        <v>5.0095069193521171</v>
      </c>
      <c r="AF326" s="256">
        <f>FMS_Ranking4[[#This Row],[Length of roads at risk, ArcSinh (0-10)]]*AD$5*10</f>
        <v>5.0095069193521171</v>
      </c>
      <c r="AG326" s="253">
        <f>_xlfn.XLOOKUP(FMS_Ranking4[[#This Row],[FMS ID]],FMS_Input[FMS_ID],FMS_Input[FARMACRE100])</f>
        <v>506.50286865234381</v>
      </c>
      <c r="AH326" s="255">
        <f>(ASINH(FMS_Ranking4[[#This Row],[Ag Land Raw]]))*(10)/(ASINH(AG$4))</f>
        <v>4.4955442763964992</v>
      </c>
      <c r="AI326" s="260">
        <f>FMS_Ranking4[[#This Row],[Farm &amp; ranch land, ArcSinh (0-10)]]*AG$5*10</f>
        <v>2.2477721381982496</v>
      </c>
      <c r="AJ326" s="258">
        <f>_xlfn.XLOOKUP(FMS_Ranking4[[#This Row],[FMS ID]],FMS_Input[FMS_ID],FMS_Input[REDSTRUCT100])</f>
        <v>0</v>
      </c>
      <c r="AK326" s="253">
        <f>_xlfn.XLOOKUP(FMS_Ranking4[[#This Row],[FMS ID]],FMS_Input[FMS_ID],FMS_Input[REMSTRC100])</f>
        <v>0</v>
      </c>
      <c r="AL326" s="255">
        <f>(ASINH(FMS_Ranking4[[#This Row],[Structures Removed Raw]]))*(10)/(ASINH(AK$4))</f>
        <v>0</v>
      </c>
      <c r="AM326" s="262">
        <f>FMS_Ranking4[[#This Row],[Structures removed, ArcSinh (0-10)]]*AK$5*10</f>
        <v>0</v>
      </c>
      <c r="AN326" s="253">
        <f>_xlfn.XLOOKUP(FMS_Ranking4[[#This Row],[FMS ID]],FMS_Input[FMS_ID],FMS_Input[REMRESSTRC100])</f>
        <v>0</v>
      </c>
      <c r="AO326" s="261">
        <f>FMS_Ranking4[[#This Row],[ArcSinh Res struct removed 0-10]]*AN$5*10</f>
        <v>0</v>
      </c>
      <c r="AP326" s="260">
        <f>ASINH(FMS_Ranking4[[#This Row],[Residential Structures Removed Raw]])/AP$4*AN$5*100</f>
        <v>0</v>
      </c>
      <c r="AQ326" s="258">
        <f>(ASINH(FMS_Ranking4[[#This Row],[Residential Structures Removed Raw]]))*(10)/(ASINH(AN$4))</f>
        <v>0</v>
      </c>
      <c r="AR326" s="253">
        <f>_xlfn.XLOOKUP(FMS_Ranking4[[#This Row],[FMS ID]],FMS_Input[FMS_ID],FMS_Input[REMPOP100])</f>
        <v>0</v>
      </c>
      <c r="AS326" s="255">
        <f>(ASINH(FMS_Ranking4[[#This Row],[Removed Pop Raw]]))*(10)/(ASINH(AR$4))</f>
        <v>0</v>
      </c>
      <c r="AT326" s="262">
        <f>FMS_Ranking4[[#This Row],[Removed population, ArcSinh (0-10)]]*AR$5*10</f>
        <v>0</v>
      </c>
      <c r="AU326" s="264">
        <f>_xlfn.XLOOKUP(FMS_Ranking4[[#This Row],[FMS ID]],FMS_Input[FMS_ID],FMS_Input[REMCRITFAC100])</f>
        <v>0</v>
      </c>
      <c r="AV326" s="264">
        <f>_xlfn.XLOOKUP(FMS_Ranking4[[#This Row],[FMS ID]],FMS_Input[FMS_ID],FMS_Input[REMLWC100])</f>
        <v>0</v>
      </c>
      <c r="AW326" s="264">
        <f>_xlfn.XLOOKUP(FMS_Ranking4[[#This Row],[FMS ID]],FMS_Input[FMS_ID],FMS_Input[REMROADCLS])</f>
        <v>0</v>
      </c>
      <c r="AX326" s="264">
        <f>_xlfn.XLOOKUP(FMS_Ranking4[[#This Row],[FMS ID]],FMS_Input[FMS_ID],FMS_Input[REMFRMACRE100])</f>
        <v>0</v>
      </c>
      <c r="AY326" s="258">
        <f>_xlfn.XLOOKUP(FMS_Ranking4[[#This Row],[FMS ID]],FMS_Input[FMS_ID],FMS_Input[COSTSTRUCT])</f>
        <v>0</v>
      </c>
      <c r="AZ326" s="253">
        <f>_xlfn.XLOOKUP(FMS_Ranking4[[#This Row],[FMS ID]],FMS_Input[FMS_ID],FMS_Input[NATURE])</f>
        <v>0</v>
      </c>
      <c r="BA326" s="262">
        <f>(((FMS_Ranking4[[#This Row],[% NBS Raw]]/AZ$4)*100)*AZ$5)</f>
        <v>0</v>
      </c>
      <c r="BB326" s="251" t="str">
        <f>_xlfn.XLOOKUP(FMS_Ranking4[[#This Row],[FMS ID]],FMS_Input[FMS_ID],FMS_Input[WATER_SUP])</f>
        <v>No</v>
      </c>
      <c r="BC326" s="265">
        <f>IF(FMS_Ranking4[[#This Row],[Water Supply Raw]]="Yes",10,0)</f>
        <v>0</v>
      </c>
      <c r="BD326" s="266">
        <f>_xlfn.XLOOKUP(FMS_Ranking4[[#This Row],[FMS Type]],FMS_TYPE[FMS_Type],FMS_TYPE[Score])</f>
        <v>10</v>
      </c>
      <c r="BE326" s="267">
        <f>FMS_Ranking4[[#This Row],[FMS_Type Score]]*$BD$5*10</f>
        <v>2.5</v>
      </c>
      <c r="BF32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0.45432614294537099</v>
      </c>
      <c r="BG326" s="321">
        <f>_xlfn.RANK.EQ(BF326,$BF$8:$BF$870,0)+COUNTIF($BF$8:BF326,BF326)-1</f>
        <v>238</v>
      </c>
      <c r="BH326" s="294">
        <f>(((FMS_Ranking4[[#This Row],[Structures Removed Raw]]/AK$4)*100)*AK$5)+(((FMS_Ranking4[[#This Row],[Removed Pop Raw]]/AR$4)*100)*AR$5)</f>
        <v>0</v>
      </c>
      <c r="BI32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2.9543261429453711</v>
      </c>
      <c r="BJ326" s="251">
        <f>_xlfn.RANK.EQ(FMS_Ranking4[[#This Row],[Total Score 
(with linear
normalization)]],FMS_Ranking4[Total Score 
(with linear
normalization)],0)</f>
        <v>179</v>
      </c>
      <c r="BK326" s="251" t="e">
        <f>_xlfn.XLOOKUP(FMS_Ranking4[[#This Row],[FMS ID]],#REF!,#REF!)</f>
        <v>#REF!</v>
      </c>
      <c r="BL32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23.690450325142908</v>
      </c>
      <c r="BM326" s="324">
        <f>FMS_Ranking4[[#This Row],[ArcSinh Score Based on Normalized Reported Factors]]+FMS_Ranking4[[#This Row],[% NBS Score (Normalized)]]+(FMS_Ranking4[[#This Row],[Water Supply Score (Normalized)]]*10*$BB$5)+FMS_Ranking4[[#This Row],[FMS_Type Score Weighted]]</f>
        <v>26.190450325142908</v>
      </c>
      <c r="BN326" s="251">
        <f>_xlfn.RANK.EQ(FMS_Ranking4[[#This Row],[Total Score (with ArcSinh normalization of select criteria)]],FMS_Ranking4[Total Score (with ArcSinh normalization of select criteria)],0)</f>
        <v>319</v>
      </c>
      <c r="BO326" s="270" t="str">
        <f>_xlfn.XLOOKUP(FMS_Ranking4[[#This Row],[FMS ID]],FMS_Input[FMS_ID],FMS_Input[FMS_RANK_YEAR])</f>
        <v>2023 Amended Plan</v>
      </c>
      <c r="BP326" s="204">
        <f>_xlfn.XLOOKUP(FMS_Ranking4[[#This Row],[FMS ID]],Prev_Rank[FMS ID],Prev_Rank[Prev Rank])</f>
        <v>283</v>
      </c>
      <c r="BQ326" s="251" t="e">
        <f>_xlfn.XLOOKUP(FMS_Ranking4[[#This Row],[FMS ID]],#REF!,#REF!)</f>
        <v>#REF!</v>
      </c>
      <c r="BR326" s="199" t="e">
        <f>SUM(#REF!,#REF!,#REF!,#REF!,#REF!,#REF!,#REF!,#REF!,#REF!,FMS_Ranking4[[#This Row],[ArcSinh Res struct removed 0-10]],#REF!)</f>
        <v>#REF!</v>
      </c>
      <c r="BS326" s="199" t="e">
        <f>FMS_Ranking4[[#This Row],[Log Score Based on Normalized Reported Factors]]+FMS_Ranking4[[#This Row],[% NBS Score (Normalized)]]+(FMS_Ranking4[[#This Row],[Water Supply Score (Normalized)]]*10*$BB$5)+(FMS_Ranking4[[#This Row],[FMS_Type Score Weighted]])</f>
        <v>#REF!</v>
      </c>
      <c r="BT326" s="200" t="e">
        <f>_xlfn.RANK.EQ(FMS_Ranking4[[#This Row],[Log Total Score]],FMS_Ranking4[Log Total Score],0)</f>
        <v>#REF!</v>
      </c>
      <c r="BU326" s="200" t="e">
        <f>_xlfn.XLOOKUP(FMS_Ranking4[[#This Row],[FMS ID]],#REF!,#REF!)</f>
        <v>#REF!</v>
      </c>
      <c r="BV326" s="200">
        <f>FMS_Ranking4[[#This Row],[Region Number]]</f>
        <v>15</v>
      </c>
      <c r="BW326" s="200">
        <f>FMS_Ranking4[[#This Row],[Rank (with ArcSinh normalization of select criteria)]]-FMS_Ranking4[[#This Row],[Rank
(with linear
normalization)]]</f>
        <v>140</v>
      </c>
      <c r="BX326" s="200" t="e">
        <f>FMS_Ranking4[[#This Row],[Log Rank]]-FMS_Ranking4[[#This Row],[Rank
(with linear
normalization)]]</f>
        <v>#REF!</v>
      </c>
      <c r="BY326" s="200">
        <f>IF(FMS_Ranking4[[#This Row],[FMS Type]]="Flood Measurement and Warning",FMS_Ranking4[[#This Row],[Rank (with ArcSinh normalization of select criteria)]],"")</f>
        <v>319</v>
      </c>
      <c r="BZ326" s="200" t="str">
        <f>IF(FMS_Ranking4[[#This Row],[FMS Type]]="Regulatory and Guidance",FMS_Ranking4[[#This Row],[Rank (with ArcSinh normalization of select criteria)]],"")</f>
        <v/>
      </c>
      <c r="CA326" s="200" t="str">
        <f>IF(FMS_Ranking4[[#This Row],[FMS Type]]="Education and Outreach",FMS_Ranking4[[#This Row],[Rank (with ArcSinh normalization of select criteria)]],"")</f>
        <v/>
      </c>
      <c r="CB326" s="200" t="str">
        <f>IF(FMS_Ranking4[[#This Row],[FMS Type]]="Property Acquisition and Structural Elevation",FMS_Ranking4[[#This Row],[Rank (with ArcSinh normalization of select criteria)]],"")</f>
        <v/>
      </c>
      <c r="CC326" s="200" t="str">
        <f>IF(FMS_Ranking4[[#This Row],[FMS Type]]="Infrastructure Projects",FMS_Ranking4[[#This Row],[Rank (with ArcSinh normalization of select criteria)]],"")</f>
        <v/>
      </c>
      <c r="CD326" s="200" t="str">
        <f>IF(FMS_Ranking4[[#This Row],[FMS Type]]="Other",FMS_Ranking4[[#This Row],[Rank (with ArcSinh normalization of select criteria)]],"")</f>
        <v/>
      </c>
      <c r="CE326" s="201"/>
      <c r="CF326" s="206"/>
      <c r="CG326" s="206"/>
      <c r="CH326" s="206"/>
      <c r="CI326" s="206"/>
      <c r="CJ326" s="206"/>
      <c r="CK326" s="206"/>
      <c r="CL326" s="206"/>
      <c r="CM326" s="206"/>
      <c r="CN326" s="206"/>
      <c r="CO326" s="206"/>
      <c r="CP326" s="206"/>
      <c r="CQ326" s="206"/>
      <c r="CR326" s="206"/>
    </row>
    <row r="327" spans="2:96" ht="60" x14ac:dyDescent="0.25">
      <c r="B327" s="346" t="s">
        <v>3946</v>
      </c>
      <c r="C327" s="246">
        <f>_xlfn.XLOOKUP(FMS_Ranking4[[#This Row],[FMS ID]],FMS_Input[FMS_ID],FMS_Input[RFPG_NUM])</f>
        <v>15</v>
      </c>
      <c r="D327" s="309" t="str">
        <f>_xlfn.XLOOKUP(FMS_Ranking4[[#This Row],[FMS ID]],FMS_Input[FMS_ID],FMS_Input[FMS_NAME])</f>
        <v>Palmview #7-1.1</v>
      </c>
      <c r="E327" s="308" t="str">
        <f>_xlfn.XLOOKUP(FMS_Ranking4[[#This Row],[FMS ID]],FMS_Input[FMS_ID],FMS_Input[SPONSOR])</f>
        <v>15000064</v>
      </c>
      <c r="F327" s="309" t="str">
        <f>_xlfn.XLOOKUP(FMS_Ranking4[[#This Row],[FMS ID]],Sponsor[FMS_ID],Sponsor[SPONSOR NAME])</f>
        <v>Palmview</v>
      </c>
      <c r="G327" s="309" t="str">
        <f>_xlfn.XLOOKUP(FMS_Ranking4[[#This Row],[FMS ID]],FMS_Input[FMS_ID],FMS_Input[FMS_DESCR])</f>
        <v>Develop Procedures For Mass Notifications To Citizens And Merchants During Natural Hazard Incident.</v>
      </c>
      <c r="H327" s="248" t="str">
        <f>_xlfn.XLOOKUP(FMS_Ranking4[[#This Row],[FMS ID]],FMS_Input[FMS_ID],FMS_Input[FMS_TYPE])</f>
        <v>Flood Measurement and Warning</v>
      </c>
      <c r="I327" s="249">
        <f>_xlfn.XLOOKUP(FMS_Ranking4[[#This Row],[FMS ID]],FMS_Input[FMS_ID],FMS_Input[NRNC_COST])</f>
        <v>1000</v>
      </c>
      <c r="J327" s="250">
        <f>_xlfn.XLOOKUP(FMS_Ranking4[[#This Row],[FMS ID]],FMS_Input[FMS_ID],FMS_Input[FMS_COST])</f>
        <v>31000</v>
      </c>
      <c r="K327" s="251" t="str">
        <f>_xlfn.XLOOKUP(FMS_Ranking4[[#This Row],[FMS ID]],FMS_Input[FMS_ID],FMS_Input[EMER_NEED])</f>
        <v>Yes</v>
      </c>
      <c r="L327" s="252">
        <f t="shared" si="4"/>
        <v>1</v>
      </c>
      <c r="M327" s="253">
        <f>_xlfn.XLOOKUP(FMS_Ranking4[[#This Row],[FMS ID]],FMS_Input[FMS_ID],FMS_Input[STRUCT_100])</f>
        <v>3774</v>
      </c>
      <c r="N327" s="255">
        <f>(ASINH(FMS_Ranking4[[#This Row],[Structure at Risk Raw]]))*(10)/(ASINH(M$4))</f>
        <v>7.0195532844604331</v>
      </c>
      <c r="O327" s="256">
        <f>FMS_Ranking4[[#This Row],[Structures at risk, ArcSinh (0-10)]]*M$5*10</f>
        <v>7.019553284460434</v>
      </c>
      <c r="P327" s="253">
        <f>_xlfn.XLOOKUP(FMS_Ranking4[[#This Row],[FMS ID]],FMS_Input[FMS_ID],FMS_Input[RES_STRUCT100])</f>
        <v>3069</v>
      </c>
      <c r="Q327" s="257">
        <f>ASINH(FMS_Ranking4[[#This Row],[Res Structure Raw]])/Q$4*P$5*100</f>
        <v>0</v>
      </c>
      <c r="R327" s="253">
        <f>_xlfn.XLOOKUP(FMS_Ranking4[[#This Row],[FMS ID]],FMS_Input[FMS_ID],FMS_Input[POP100])</f>
        <v>11496</v>
      </c>
      <c r="S327" s="255">
        <f>(ASINH(FMS_Ranking4[[#This Row],[Pop at Risk Raw]]))*(10)/(ASINH(R$4))</f>
        <v>6.9331996584835975</v>
      </c>
      <c r="T327" s="256">
        <f>FMS_Ranking4[[#This Row],[Population at risk, ArcSinh (0-10)]]*R$5*10</f>
        <v>6.9331996584835975</v>
      </c>
      <c r="U327" s="253">
        <f>_xlfn.XLOOKUP(FMS_Ranking4[[#This Row],[FMS ID]],FMS_Input[FMS_ID],FMS_Input[CRITFAC100])</f>
        <v>4</v>
      </c>
      <c r="V327" s="255">
        <f>(ASINH(FMS_Ranking4[[#This Row],[Critical Facilities Raw]]))*(10)/(ASINH(U$4))</f>
        <v>2.4796455944038147</v>
      </c>
      <c r="W327" s="256">
        <f>FMS_Ranking4[[#This Row],[Critical facilities at risk, ArcSinh (0-10)]]*U$5*10</f>
        <v>2.4796455944038147</v>
      </c>
      <c r="X327" s="253">
        <f>_xlfn.XLOOKUP(FMS_Ranking4[[#This Row],[FMS ID]],FMS_Input[FMS_ID],FMS_Input[LWC])</f>
        <v>0</v>
      </c>
      <c r="Y327" s="255">
        <f>(ASINH(FMS_Ranking4[[#This Row],[LWC Raw]]))*(10)/(ASINH(X$4))</f>
        <v>0</v>
      </c>
      <c r="Z327" s="256">
        <f>FMS_Ranking4[[#This Row],[LWC, ArcSInh (0-10)]]*X$5*10</f>
        <v>0</v>
      </c>
      <c r="AA327" s="253">
        <f>_xlfn.XLOOKUP(FMS_Ranking4[[#This Row],[FMS ID]],FMS_Input[FMS_ID],FMS_Input[ROADCLS])</f>
        <v>0</v>
      </c>
      <c r="AB327" s="255">
        <f>(ASINH(FMS_Ranking4[[#This Row],[Road Closures Raw]]))*(10)/(ASINH(AA$4))</f>
        <v>0</v>
      </c>
      <c r="AC327" s="256">
        <f>FMS_Ranking4[[#This Row],[Road closures, ArcSinh (0-10)]]*AA$5*10</f>
        <v>0</v>
      </c>
      <c r="AD327" s="253">
        <f>_xlfn.XLOOKUP(FMS_Ranking4[[#This Row],[FMS ID]],FMS_Input[FMS_ID],FMS_Input[ROAD_MILES100])</f>
        <v>55</v>
      </c>
      <c r="AE327" s="255">
        <f>(ASINH(FMS_Ranking4[[#This Row],[Road Miles Raw]]))*(10)/(ASINH(AD$4))</f>
        <v>5.0095069193521171</v>
      </c>
      <c r="AF327" s="256">
        <f>FMS_Ranking4[[#This Row],[Length of roads at risk, ArcSinh (0-10)]]*AD$5*10</f>
        <v>5.0095069193521171</v>
      </c>
      <c r="AG327" s="253">
        <f>_xlfn.XLOOKUP(FMS_Ranking4[[#This Row],[FMS ID]],FMS_Input[FMS_ID],FMS_Input[FARMACRE100])</f>
        <v>506.71859741210938</v>
      </c>
      <c r="AH327" s="255">
        <f>(ASINH(FMS_Ranking4[[#This Row],[Ag Land Raw]]))*(10)/(ASINH(AG$4))</f>
        <v>4.4958208854865225</v>
      </c>
      <c r="AI327" s="260">
        <f>FMS_Ranking4[[#This Row],[Farm &amp; ranch land, ArcSinh (0-10)]]*AG$5*10</f>
        <v>2.2479104427432612</v>
      </c>
      <c r="AJ327" s="258">
        <f>_xlfn.XLOOKUP(FMS_Ranking4[[#This Row],[FMS ID]],FMS_Input[FMS_ID],FMS_Input[REDSTRUCT100])</f>
        <v>0</v>
      </c>
      <c r="AK327" s="253">
        <f>_xlfn.XLOOKUP(FMS_Ranking4[[#This Row],[FMS ID]],FMS_Input[FMS_ID],FMS_Input[REMSTRC100])</f>
        <v>0</v>
      </c>
      <c r="AL327" s="255">
        <f>(ASINH(FMS_Ranking4[[#This Row],[Structures Removed Raw]]))*(10)/(ASINH(AK$4))</f>
        <v>0</v>
      </c>
      <c r="AM327" s="262">
        <f>FMS_Ranking4[[#This Row],[Structures removed, ArcSinh (0-10)]]*AK$5*10</f>
        <v>0</v>
      </c>
      <c r="AN327" s="253">
        <f>_xlfn.XLOOKUP(FMS_Ranking4[[#This Row],[FMS ID]],FMS_Input[FMS_ID],FMS_Input[REMRESSTRC100])</f>
        <v>0</v>
      </c>
      <c r="AO327" s="261">
        <f>FMS_Ranking4[[#This Row],[ArcSinh Res struct removed 0-10]]*AN$5*10</f>
        <v>0</v>
      </c>
      <c r="AP327" s="260">
        <f>ASINH(FMS_Ranking4[[#This Row],[Residential Structures Removed Raw]])/AP$4*AN$5*100</f>
        <v>0</v>
      </c>
      <c r="AQ327" s="258">
        <f>(ASINH(FMS_Ranking4[[#This Row],[Residential Structures Removed Raw]]))*(10)/(ASINH(AN$4))</f>
        <v>0</v>
      </c>
      <c r="AR327" s="253">
        <f>_xlfn.XLOOKUP(FMS_Ranking4[[#This Row],[FMS ID]],FMS_Input[FMS_ID],FMS_Input[REMPOP100])</f>
        <v>0</v>
      </c>
      <c r="AS327" s="255">
        <f>(ASINH(FMS_Ranking4[[#This Row],[Removed Pop Raw]]))*(10)/(ASINH(AR$4))</f>
        <v>0</v>
      </c>
      <c r="AT327" s="262">
        <f>FMS_Ranking4[[#This Row],[Removed population, ArcSinh (0-10)]]*AR$5*10</f>
        <v>0</v>
      </c>
      <c r="AU327" s="264">
        <f>_xlfn.XLOOKUP(FMS_Ranking4[[#This Row],[FMS ID]],FMS_Input[FMS_ID],FMS_Input[REMCRITFAC100])</f>
        <v>0</v>
      </c>
      <c r="AV327" s="264">
        <f>_xlfn.XLOOKUP(FMS_Ranking4[[#This Row],[FMS ID]],FMS_Input[FMS_ID],FMS_Input[REMLWC100])</f>
        <v>0</v>
      </c>
      <c r="AW327" s="264">
        <f>_xlfn.XLOOKUP(FMS_Ranking4[[#This Row],[FMS ID]],FMS_Input[FMS_ID],FMS_Input[REMROADCLS])</f>
        <v>0</v>
      </c>
      <c r="AX327" s="264">
        <f>_xlfn.XLOOKUP(FMS_Ranking4[[#This Row],[FMS ID]],FMS_Input[FMS_ID],FMS_Input[REMFRMACRE100])</f>
        <v>0</v>
      </c>
      <c r="AY327" s="258">
        <f>_xlfn.XLOOKUP(FMS_Ranking4[[#This Row],[FMS ID]],FMS_Input[FMS_ID],FMS_Input[COSTSTRUCT])</f>
        <v>0</v>
      </c>
      <c r="AZ327" s="253">
        <f>_xlfn.XLOOKUP(FMS_Ranking4[[#This Row],[FMS ID]],FMS_Input[FMS_ID],FMS_Input[NATURE])</f>
        <v>0</v>
      </c>
      <c r="BA327" s="262">
        <f>(((FMS_Ranking4[[#This Row],[% NBS Raw]]/AZ$4)*100)*AZ$5)</f>
        <v>0</v>
      </c>
      <c r="BB327" s="251" t="str">
        <f>_xlfn.XLOOKUP(FMS_Ranking4[[#This Row],[FMS ID]],FMS_Input[FMS_ID],FMS_Input[WATER_SUP])</f>
        <v>No</v>
      </c>
      <c r="BC327" s="265">
        <f>IF(FMS_Ranking4[[#This Row],[Water Supply Raw]]="Yes",10,0)</f>
        <v>0</v>
      </c>
      <c r="BD327" s="266">
        <f>_xlfn.XLOOKUP(FMS_Ranking4[[#This Row],[FMS Type]],FMS_TYPE[FMS_Type],FMS_TYPE[Score])</f>
        <v>10</v>
      </c>
      <c r="BE327" s="267">
        <f>FMS_Ranking4[[#This Row],[FMS_Type Score]]*$BD$5*10</f>
        <v>2.5</v>
      </c>
      <c r="BF32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0.45409762462216252</v>
      </c>
      <c r="BG327" s="293">
        <f>_xlfn.RANK.EQ(BF327,$BF$8:$BF$870,0)+COUNTIF($BF$8:BF327,BF327)-1</f>
        <v>239</v>
      </c>
      <c r="BH327" s="294">
        <f>(((FMS_Ranking4[[#This Row],[Structures Removed Raw]]/AK$4)*100)*AK$5)+(((FMS_Ranking4[[#This Row],[Removed Pop Raw]]/AR$4)*100)*AR$5)</f>
        <v>0</v>
      </c>
      <c r="BI32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2.9540976246221624</v>
      </c>
      <c r="BJ327" s="251">
        <f>_xlfn.RANK.EQ(FMS_Ranking4[[#This Row],[Total Score 
(with linear
normalization)]],FMS_Ranking4[Total Score 
(with linear
normalization)],0)</f>
        <v>180</v>
      </c>
      <c r="BK327" s="251" t="e">
        <f>_xlfn.XLOOKUP(FMS_Ranking4[[#This Row],[FMS ID]],#REF!,#REF!)</f>
        <v>#REF!</v>
      </c>
      <c r="BL32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23.689815899443222</v>
      </c>
      <c r="BM327" s="324">
        <f>FMS_Ranking4[[#This Row],[ArcSinh Score Based on Normalized Reported Factors]]+FMS_Ranking4[[#This Row],[% NBS Score (Normalized)]]+(FMS_Ranking4[[#This Row],[Water Supply Score (Normalized)]]*10*$BB$5)+FMS_Ranking4[[#This Row],[FMS_Type Score Weighted]]</f>
        <v>26.189815899443222</v>
      </c>
      <c r="BN327" s="251">
        <f>_xlfn.RANK.EQ(FMS_Ranking4[[#This Row],[Total Score (with ArcSinh normalization of select criteria)]],FMS_Ranking4[Total Score (with ArcSinh normalization of select criteria)],0)</f>
        <v>320</v>
      </c>
      <c r="BO327" s="270" t="str">
        <f>_xlfn.XLOOKUP(FMS_Ranking4[[#This Row],[FMS ID]],FMS_Input[FMS_ID],FMS_Input[FMS_RANK_YEAR])</f>
        <v>2023 Amended Plan</v>
      </c>
      <c r="BP327" s="324">
        <f>_xlfn.XLOOKUP(FMS_Ranking4[[#This Row],[FMS ID]],Prev_Rank[FMS ID],Prev_Rank[Prev Rank])</f>
        <v>284</v>
      </c>
      <c r="BQ327" s="251" t="e">
        <f>_xlfn.XLOOKUP(FMS_Ranking4[[#This Row],[FMS ID]],#REF!,#REF!)</f>
        <v>#REF!</v>
      </c>
      <c r="BR327" s="199" t="e">
        <f>SUM(#REF!,#REF!,#REF!,#REF!,#REF!,#REF!,#REF!,#REF!,#REF!,FMS_Ranking4[[#This Row],[ArcSinh Res struct removed 0-10]],#REF!)</f>
        <v>#REF!</v>
      </c>
      <c r="BS327" s="199" t="e">
        <f>FMS_Ranking4[[#This Row],[Log Score Based on Normalized Reported Factors]]+FMS_Ranking4[[#This Row],[% NBS Score (Normalized)]]+(FMS_Ranking4[[#This Row],[Water Supply Score (Normalized)]]*10*$BB$5)+(FMS_Ranking4[[#This Row],[FMS_Type Score Weighted]])</f>
        <v>#REF!</v>
      </c>
      <c r="BT327" s="200" t="e">
        <f>_xlfn.RANK.EQ(FMS_Ranking4[[#This Row],[Log Total Score]],FMS_Ranking4[Log Total Score],0)</f>
        <v>#REF!</v>
      </c>
      <c r="BU327" s="200" t="e">
        <f>_xlfn.XLOOKUP(FMS_Ranking4[[#This Row],[FMS ID]],#REF!,#REF!)</f>
        <v>#REF!</v>
      </c>
      <c r="BV327" s="200">
        <f>FMS_Ranking4[[#This Row],[Region Number]]</f>
        <v>15</v>
      </c>
      <c r="BW327" s="200">
        <f>FMS_Ranking4[[#This Row],[Rank (with ArcSinh normalization of select criteria)]]-FMS_Ranking4[[#This Row],[Rank
(with linear
normalization)]]</f>
        <v>140</v>
      </c>
      <c r="BX327" s="200" t="e">
        <f>FMS_Ranking4[[#This Row],[Log Rank]]-FMS_Ranking4[[#This Row],[Rank
(with linear
normalization)]]</f>
        <v>#REF!</v>
      </c>
      <c r="BY327" s="200">
        <f>IF(FMS_Ranking4[[#This Row],[FMS Type]]="Flood Measurement and Warning",FMS_Ranking4[[#This Row],[Rank (with ArcSinh normalization of select criteria)]],"")</f>
        <v>320</v>
      </c>
      <c r="BZ327" s="200" t="str">
        <f>IF(FMS_Ranking4[[#This Row],[FMS Type]]="Regulatory and Guidance",FMS_Ranking4[[#This Row],[Rank (with ArcSinh normalization of select criteria)]],"")</f>
        <v/>
      </c>
      <c r="CA327" s="200" t="str">
        <f>IF(FMS_Ranking4[[#This Row],[FMS Type]]="Education and Outreach",FMS_Ranking4[[#This Row],[Rank (with ArcSinh normalization of select criteria)]],"")</f>
        <v/>
      </c>
      <c r="CB327" s="200" t="str">
        <f>IF(FMS_Ranking4[[#This Row],[FMS Type]]="Property Acquisition and Structural Elevation",FMS_Ranking4[[#This Row],[Rank (with ArcSinh normalization of select criteria)]],"")</f>
        <v/>
      </c>
      <c r="CC327" s="200" t="str">
        <f>IF(FMS_Ranking4[[#This Row],[FMS Type]]="Infrastructure Projects",FMS_Ranking4[[#This Row],[Rank (with ArcSinh normalization of select criteria)]],"")</f>
        <v/>
      </c>
      <c r="CD327" s="200" t="str">
        <f>IF(FMS_Ranking4[[#This Row],[FMS Type]]="Other",FMS_Ranking4[[#This Row],[Rank (with ArcSinh normalization of select criteria)]],"")</f>
        <v/>
      </c>
      <c r="CE327" s="201"/>
      <c r="CF327" s="206"/>
      <c r="CG327" s="206"/>
      <c r="CH327" s="206"/>
      <c r="CI327" s="206"/>
      <c r="CJ327" s="206"/>
      <c r="CK327" s="206"/>
      <c r="CL327" s="206"/>
      <c r="CM327" s="206"/>
      <c r="CN327" s="206"/>
      <c r="CO327" s="206"/>
      <c r="CP327" s="206"/>
      <c r="CQ327" s="206"/>
      <c r="CR327" s="206"/>
    </row>
    <row r="328" spans="2:96" ht="90" x14ac:dyDescent="0.25">
      <c r="B328" s="341" t="s">
        <v>684</v>
      </c>
      <c r="C328" s="246">
        <f>_xlfn.XLOOKUP(FMS_Ranking4[[#This Row],[FMS ID]],FMS_Input[FMS_ID],FMS_Input[RFPG_NUM])</f>
        <v>9</v>
      </c>
      <c r="D328" s="309" t="str">
        <f>_xlfn.XLOOKUP(FMS_Ranking4[[#This Row],[FMS ID]],FMS_Input[FMS_ID],FMS_Input[FMS_NAME])</f>
        <v>Nolan County</v>
      </c>
      <c r="E328" s="308" t="str">
        <f>_xlfn.XLOOKUP(FMS_Ranking4[[#This Row],[FMS ID]],FMS_Input[FMS_ID],FMS_Input[SPONSOR])</f>
        <v>00000116</v>
      </c>
      <c r="F328" s="309" t="str">
        <f>_xlfn.XLOOKUP(FMS_Ranking4[[#This Row],[FMS ID]],Sponsor[FMS_ID],Sponsor[SPONSOR NAME])</f>
        <v>Scurry</v>
      </c>
      <c r="G328" s="309" t="str">
        <f>_xlfn.XLOOKUP(FMS_Ranking4[[#This Row],[FMS ID]],FMS_Input[FMS_ID],FMS_Input[FMS_DESCR])</f>
        <v xml:space="preserve">Implement a program for clearing debris from drains, culverts and watershed streams for the purposes of flood reduction and to enhance water run-off throughout the County. </v>
      </c>
      <c r="H328" s="248" t="str">
        <f>_xlfn.XLOOKUP(FMS_Ranking4[[#This Row],[FMS ID]],FMS_Input[FMS_ID],FMS_Input[FMS_TYPE])</f>
        <v>Other</v>
      </c>
      <c r="I328" s="249">
        <f>_xlfn.XLOOKUP(FMS_Ranking4[[#This Row],[FMS ID]],FMS_Input[FMS_ID],FMS_Input[NRNC_COST])</f>
        <v>5000</v>
      </c>
      <c r="J328" s="250">
        <f>_xlfn.XLOOKUP(FMS_Ranking4[[#This Row],[FMS ID]],FMS_Input[FMS_ID],FMS_Input[FMS_COST])</f>
        <v>30000</v>
      </c>
      <c r="K328" s="251" t="str">
        <f>_xlfn.XLOOKUP(FMS_Ranking4[[#This Row],[FMS ID]],FMS_Input[FMS_ID],FMS_Input[EMER_NEED])</f>
        <v>No</v>
      </c>
      <c r="L328" s="252">
        <f t="shared" ref="L328:L391" si="5">IF(K328="Yes",1,0)</f>
        <v>0</v>
      </c>
      <c r="M328" s="253">
        <f>_xlfn.XLOOKUP(FMS_Ranking4[[#This Row],[FMS ID]],FMS_Input[FMS_ID],FMS_Input[STRUCT_100])</f>
        <v>90</v>
      </c>
      <c r="N328" s="255">
        <f>(ASINH(FMS_Ranking4[[#This Row],[Structure at Risk Raw]]))*(10)/(ASINH(M$4))</f>
        <v>4.0824615453173889</v>
      </c>
      <c r="O328" s="256">
        <f>FMS_Ranking4[[#This Row],[Structures at risk, ArcSinh (0-10)]]*M$5*10</f>
        <v>4.0824615453173889</v>
      </c>
      <c r="P328" s="253">
        <f>_xlfn.XLOOKUP(FMS_Ranking4[[#This Row],[FMS ID]],FMS_Input[FMS_ID],FMS_Input[RES_STRUCT100])</f>
        <v>16</v>
      </c>
      <c r="Q328" s="257">
        <f>ASINH(FMS_Ranking4[[#This Row],[Res Structure Raw]])/Q$4*P$5*100</f>
        <v>0</v>
      </c>
      <c r="R328" s="253">
        <f>_xlfn.XLOOKUP(FMS_Ranking4[[#This Row],[FMS ID]],FMS_Input[FMS_ID],FMS_Input[POP100])</f>
        <v>23</v>
      </c>
      <c r="S328" s="259">
        <f>(ASINH(FMS_Ranking4[[#This Row],[Pop at Risk Raw]]))*(10)/(ASINH(R$4))</f>
        <v>2.6434600767891396</v>
      </c>
      <c r="T328" s="256">
        <f>FMS_Ranking4[[#This Row],[Population at risk, ArcSinh (0-10)]]*R$5*10</f>
        <v>2.6434600767891396</v>
      </c>
      <c r="U328" s="253">
        <f>_xlfn.XLOOKUP(FMS_Ranking4[[#This Row],[FMS ID]],FMS_Input[FMS_ID],FMS_Input[CRITFAC100])</f>
        <v>0</v>
      </c>
      <c r="V328" s="259">
        <f>(ASINH(FMS_Ranking4[[#This Row],[Critical Facilities Raw]]))*(10)/(ASINH(U$4))</f>
        <v>0</v>
      </c>
      <c r="W328" s="256">
        <f>FMS_Ranking4[[#This Row],[Critical facilities at risk, ArcSinh (0-10)]]*U$5*10</f>
        <v>0</v>
      </c>
      <c r="X328" s="253">
        <f>_xlfn.XLOOKUP(FMS_Ranking4[[#This Row],[FMS ID]],FMS_Input[FMS_ID],FMS_Input[LWC])</f>
        <v>5</v>
      </c>
      <c r="Y328" s="259">
        <f>(ASINH(FMS_Ranking4[[#This Row],[LWC Raw]]))*(10)/(ASINH(X$4))</f>
        <v>3.1327475801820781</v>
      </c>
      <c r="Z328" s="256">
        <f>FMS_Ranking4[[#This Row],[LWC, ArcSInh (0-10)]]*X$5*10</f>
        <v>3.1327475801820781</v>
      </c>
      <c r="AA328" s="253">
        <f>_xlfn.XLOOKUP(FMS_Ranking4[[#This Row],[FMS ID]],FMS_Input[FMS_ID],FMS_Input[ROADCLS])</f>
        <v>0</v>
      </c>
      <c r="AB328" s="255">
        <f>(ASINH(FMS_Ranking4[[#This Row],[Road Closures Raw]]))*(10)/(ASINH(AA$4))</f>
        <v>0</v>
      </c>
      <c r="AC328" s="256">
        <f>FMS_Ranking4[[#This Row],[Road closures, ArcSinh (0-10)]]*AA$5*10</f>
        <v>0</v>
      </c>
      <c r="AD328" s="253">
        <f>_xlfn.XLOOKUP(FMS_Ranking4[[#This Row],[FMS ID]],FMS_Input[FMS_ID],FMS_Input[ROAD_MILES100])</f>
        <v>21</v>
      </c>
      <c r="AE328" s="259">
        <f>(ASINH(FMS_Ranking4[[#This Row],[Road Miles Raw]]))*(10)/(ASINH(AD$4))</f>
        <v>3.9839311289010819</v>
      </c>
      <c r="AF328" s="256">
        <f>FMS_Ranking4[[#This Row],[Length of roads at risk, ArcSinh (0-10)]]*AD$5*10</f>
        <v>3.9839311289010819</v>
      </c>
      <c r="AG328" s="253">
        <f>_xlfn.XLOOKUP(FMS_Ranking4[[#This Row],[FMS ID]],FMS_Input[FMS_ID],FMS_Input[FARMACRE100])</f>
        <v>3888.306884765625</v>
      </c>
      <c r="AH328" s="255">
        <f>(ASINH(FMS_Ranking4[[#This Row],[Ag Land Raw]]))*(10)/(ASINH(AG$4))</f>
        <v>5.8195200244112248</v>
      </c>
      <c r="AI328" s="260">
        <f>FMS_Ranking4[[#This Row],[Farm &amp; ranch land, ArcSinh (0-10)]]*AG$5*10</f>
        <v>2.9097600122056129</v>
      </c>
      <c r="AJ328" s="258">
        <f>_xlfn.XLOOKUP(FMS_Ranking4[[#This Row],[FMS ID]],FMS_Input[FMS_ID],FMS_Input[REDSTRUCT100])</f>
        <v>23</v>
      </c>
      <c r="AK328" s="253">
        <f>_xlfn.XLOOKUP(FMS_Ranking4[[#This Row],[FMS ID]],FMS_Input[FMS_ID],FMS_Input[REMSTRC100])</f>
        <v>23</v>
      </c>
      <c r="AL328" s="259">
        <f>(ASINH(FMS_Ranking4[[#This Row],[Structures Removed Raw]]))*(10)/(ASINH(AK$4))</f>
        <v>4.3597192169147574</v>
      </c>
      <c r="AM328" s="262">
        <f>FMS_Ranking4[[#This Row],[Structures removed, ArcSinh (0-10)]]*AK$5*10</f>
        <v>4.3597192169147574</v>
      </c>
      <c r="AN328" s="253">
        <f>_xlfn.XLOOKUP(FMS_Ranking4[[#This Row],[FMS ID]],FMS_Input[FMS_ID],FMS_Input[REMRESSTRC100])</f>
        <v>4</v>
      </c>
      <c r="AO328" s="261">
        <f>FMS_Ranking4[[#This Row],[ArcSinh Res struct removed 0-10]]*AN$5*10</f>
        <v>1.2286043492271628</v>
      </c>
      <c r="AP328" s="260">
        <f>ASINH(FMS_Ranking4[[#This Row],[Residential Structures Removed Raw]])/AP$4*AN$5*100</f>
        <v>1.2286043492271628</v>
      </c>
      <c r="AQ328" s="254">
        <f>(ASINH(FMS_Ranking4[[#This Row],[Residential Structures Removed Raw]]))*(10)/(ASINH(AN$4))</f>
        <v>2.4572086984543255</v>
      </c>
      <c r="AR328" s="253">
        <f>_xlfn.XLOOKUP(FMS_Ranking4[[#This Row],[FMS ID]],FMS_Input[FMS_ID],FMS_Input[REMPOP100])</f>
        <v>7</v>
      </c>
      <c r="AS328" s="259">
        <f>(ASINH(FMS_Ranking4[[#This Row],[Removed Pop Raw]]))*(10)/(ASINH(AR$4))</f>
        <v>2.5955229922865324</v>
      </c>
      <c r="AT328" s="262">
        <f>FMS_Ranking4[[#This Row],[Removed population, ArcSinh (0-10)]]*AR$5*10</f>
        <v>2.5955229922865324</v>
      </c>
      <c r="AU328" s="264">
        <f>_xlfn.XLOOKUP(FMS_Ranking4[[#This Row],[FMS ID]],FMS_Input[FMS_ID],FMS_Input[REMCRITFAC100])</f>
        <v>0</v>
      </c>
      <c r="AV328" s="264">
        <f>_xlfn.XLOOKUP(FMS_Ranking4[[#This Row],[FMS ID]],FMS_Input[FMS_ID],FMS_Input[REMLWC100])</f>
        <v>1</v>
      </c>
      <c r="AW328" s="264">
        <f>_xlfn.XLOOKUP(FMS_Ranking4[[#This Row],[FMS ID]],FMS_Input[FMS_ID],FMS_Input[REMROADCLS])</f>
        <v>0</v>
      </c>
      <c r="AX328" s="264">
        <f>_xlfn.XLOOKUP(FMS_Ranking4[[#This Row],[FMS ID]],FMS_Input[FMS_ID],FMS_Input[REMFRMACRE100])</f>
        <v>972.07672119140625</v>
      </c>
      <c r="AY328" s="258">
        <f>_xlfn.XLOOKUP(FMS_Ranking4[[#This Row],[FMS ID]],FMS_Input[FMS_ID],FMS_Input[COSTSTRUCT])</f>
        <v>25000</v>
      </c>
      <c r="AZ328" s="253">
        <f>_xlfn.XLOOKUP(FMS_Ranking4[[#This Row],[FMS ID]],FMS_Input[FMS_ID],FMS_Input[NATURE])</f>
        <v>10</v>
      </c>
      <c r="BA328" s="262">
        <f>(((FMS_Ranking4[[#This Row],[% NBS Raw]]/AZ$4)*100)*AZ$5)</f>
        <v>0.75</v>
      </c>
      <c r="BB328" s="251" t="str">
        <f>_xlfn.XLOOKUP(FMS_Ranking4[[#This Row],[FMS ID]],FMS_Input[FMS_ID],FMS_Input[WATER_SUP])</f>
        <v>No</v>
      </c>
      <c r="BC328" s="265">
        <f>IF(FMS_Ranking4[[#This Row],[Water Supply Raw]]="Yes",10,0)</f>
        <v>0</v>
      </c>
      <c r="BD328" s="266">
        <f>_xlfn.XLOOKUP(FMS_Ranking4[[#This Row],[FMS Type]],FMS_TYPE[FMS_Type],FMS_TYPE[Score])</f>
        <v>2</v>
      </c>
      <c r="BE328" s="267">
        <f>FMS_Ranking4[[#This Row],[FMS_Type Score]]*$BD$5*10</f>
        <v>0.5</v>
      </c>
      <c r="BF32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0.11123051714673428</v>
      </c>
      <c r="BG328" s="271">
        <f>_xlfn.RANK.EQ(BF328,$BF$8:$BF$870,0)+COUNTIF($BF$8:BF328,BF328)-1</f>
        <v>471</v>
      </c>
      <c r="BH328" s="268">
        <f>(((FMS_Ranking4[[#This Row],[Structures Removed Raw]]/AK$4)*100)*AK$5)+(((FMS_Ranking4[[#This Row],[Removed Pop Raw]]/AR$4)*100)*AR$5)</f>
        <v>7.5801199561083138E-2</v>
      </c>
      <c r="BI32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1.4370317167078175</v>
      </c>
      <c r="BJ328" s="205">
        <f>_xlfn.RANK.EQ(FMS_Ranking4[[#This Row],[Total Score 
(with linear
normalization)]],FMS_Ranking4[Total Score 
(with linear
normalization)],0)</f>
        <v>617</v>
      </c>
      <c r="BK328" s="205" t="e">
        <f>_xlfn.XLOOKUP(FMS_Ranking4[[#This Row],[FMS ID]],#REF!,#REF!)</f>
        <v>#REF!</v>
      </c>
      <c r="BL32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24.936206901823756</v>
      </c>
      <c r="BM328" s="272">
        <f>FMS_Ranking4[[#This Row],[ArcSinh Score Based on Normalized Reported Factors]]+FMS_Ranking4[[#This Row],[% NBS Score (Normalized)]]+(FMS_Ranking4[[#This Row],[Water Supply Score (Normalized)]]*10*$BB$5)+FMS_Ranking4[[#This Row],[FMS_Type Score Weighted]]</f>
        <v>26.186206901823756</v>
      </c>
      <c r="BN328" s="205">
        <f>_xlfn.RANK.EQ(FMS_Ranking4[[#This Row],[Total Score (with ArcSinh normalization of select criteria)]],FMS_Ranking4[Total Score (with ArcSinh normalization of select criteria)],0)</f>
        <v>321</v>
      </c>
      <c r="BO328" s="270" t="str">
        <f>_xlfn.XLOOKUP(FMS_Ranking4[[#This Row],[FMS ID]],FMS_Input[FMS_ID],FMS_Input[FMS_RANK_YEAR])</f>
        <v>2023 Amended Plan</v>
      </c>
      <c r="BP328" s="204">
        <f>_xlfn.XLOOKUP(FMS_Ranking4[[#This Row],[FMS ID]],Prev_Rank[FMS ID],Prev_Rank[Prev Rank])</f>
        <v>304</v>
      </c>
      <c r="BQ328" s="205" t="e">
        <f>_xlfn.XLOOKUP(FMS_Ranking4[[#This Row],[FMS ID]],#REF!,#REF!)</f>
        <v>#REF!</v>
      </c>
      <c r="BR328" s="199" t="e">
        <f>SUM(#REF!,#REF!,#REF!,#REF!,#REF!,#REF!,#REF!,#REF!,#REF!,FMS_Ranking4[[#This Row],[ArcSinh Res struct removed 0-10]],#REF!)</f>
        <v>#REF!</v>
      </c>
      <c r="BS328" s="199" t="e">
        <f>FMS_Ranking4[[#This Row],[Log Score Based on Normalized Reported Factors]]+FMS_Ranking4[[#This Row],[% NBS Score (Normalized)]]+(FMS_Ranking4[[#This Row],[Water Supply Score (Normalized)]]*10*$BB$5)+(FMS_Ranking4[[#This Row],[FMS_Type Score Weighted]])</f>
        <v>#REF!</v>
      </c>
      <c r="BT328" s="200" t="e">
        <f>_xlfn.RANK.EQ(FMS_Ranking4[[#This Row],[Log Total Score]],FMS_Ranking4[Log Total Score],0)</f>
        <v>#REF!</v>
      </c>
      <c r="BU328" s="200" t="e">
        <f>_xlfn.XLOOKUP(FMS_Ranking4[[#This Row],[FMS ID]],#REF!,#REF!)</f>
        <v>#REF!</v>
      </c>
      <c r="BV328" s="200">
        <f>FMS_Ranking4[[#This Row],[Region Number]]</f>
        <v>9</v>
      </c>
      <c r="BW328" s="200">
        <f>FMS_Ranking4[[#This Row],[Rank (with ArcSinh normalization of select criteria)]]-FMS_Ranking4[[#This Row],[Rank
(with linear
normalization)]]</f>
        <v>-296</v>
      </c>
      <c r="BX328" s="200" t="e">
        <f>FMS_Ranking4[[#This Row],[Log Rank]]-FMS_Ranking4[[#This Row],[Rank
(with linear
normalization)]]</f>
        <v>#REF!</v>
      </c>
      <c r="BY328" s="200" t="str">
        <f>IF(FMS_Ranking4[[#This Row],[FMS Type]]="Flood Measurement and Warning",FMS_Ranking4[[#This Row],[Rank (with ArcSinh normalization of select criteria)]],"")</f>
        <v/>
      </c>
      <c r="BZ328" s="200" t="str">
        <f>IF(FMS_Ranking4[[#This Row],[FMS Type]]="Regulatory and Guidance",FMS_Ranking4[[#This Row],[Rank (with ArcSinh normalization of select criteria)]],"")</f>
        <v/>
      </c>
      <c r="CA328" s="200" t="str">
        <f>IF(FMS_Ranking4[[#This Row],[FMS Type]]="Education and Outreach",FMS_Ranking4[[#This Row],[Rank (with ArcSinh normalization of select criteria)]],"")</f>
        <v/>
      </c>
      <c r="CB328" s="200" t="str">
        <f>IF(FMS_Ranking4[[#This Row],[FMS Type]]="Property Acquisition and Structural Elevation",FMS_Ranking4[[#This Row],[Rank (with ArcSinh normalization of select criteria)]],"")</f>
        <v/>
      </c>
      <c r="CC328" s="200" t="str">
        <f>IF(FMS_Ranking4[[#This Row],[FMS Type]]="Infrastructure Projects",FMS_Ranking4[[#This Row],[Rank (with ArcSinh normalization of select criteria)]],"")</f>
        <v/>
      </c>
      <c r="CD328" s="200">
        <f>IF(FMS_Ranking4[[#This Row],[FMS Type]]="Other",FMS_Ranking4[[#This Row],[Rank (with ArcSinh normalization of select criteria)]],"")</f>
        <v>321</v>
      </c>
      <c r="CE328" s="201"/>
      <c r="CF328" s="206"/>
      <c r="CG328" s="206"/>
      <c r="CH328" s="206"/>
      <c r="CI328" s="206"/>
      <c r="CJ328" s="206"/>
      <c r="CK328" s="206"/>
      <c r="CL328" s="206"/>
      <c r="CM328" s="206"/>
      <c r="CN328" s="206"/>
      <c r="CO328" s="206"/>
      <c r="CP328" s="206"/>
      <c r="CQ328" s="206"/>
      <c r="CR328" s="206"/>
    </row>
    <row r="329" spans="2:96" ht="105" x14ac:dyDescent="0.25">
      <c r="B329" s="341" t="s">
        <v>12024</v>
      </c>
      <c r="C329" s="246">
        <f>_xlfn.XLOOKUP(FMS_Ranking4[[#This Row],[FMS ID]],FMS_Input[FMS_ID],FMS_Input[RFPG_NUM])</f>
        <v>15</v>
      </c>
      <c r="D329" s="309" t="str">
        <f>_xlfn.XLOOKUP(FMS_Ranking4[[#This Row],[FMS ID]],FMS_Input[FMS_ID],FMS_Input[FMS_NAME])</f>
        <v>City of Donna</v>
      </c>
      <c r="E329" s="308" t="str">
        <f>_xlfn.XLOOKUP(FMS_Ranking4[[#This Row],[FMS ID]],FMS_Input[FMS_ID],FMS_Input[SPONSOR])</f>
        <v>15000069</v>
      </c>
      <c r="F329" s="309" t="str">
        <f>_xlfn.XLOOKUP(FMS_Ranking4[[#This Row],[FMS ID]],Sponsor[FMS_ID],Sponsor[SPONSOR NAME])</f>
        <v>Donna</v>
      </c>
      <c r="G329" s="309" t="str">
        <f>_xlfn.XLOOKUP(FMS_Ranking4[[#This Row],[FMS ID]],FMS_Input[FMS_ID],FMS_Input[FMS_DESCR])</f>
        <v>FMS 2 - Assessment, development, and updating of the City's ordinances, orders, policies, engineering specifications, guidance documents and other flood management tools.</v>
      </c>
      <c r="H329" s="248" t="str">
        <f>_xlfn.XLOOKUP(FMS_Ranking4[[#This Row],[FMS ID]],FMS_Input[FMS_ID],FMS_Input[FMS_TYPE])</f>
        <v>Regulatory and Guidance</v>
      </c>
      <c r="I329" s="249">
        <f>_xlfn.XLOOKUP(FMS_Ranking4[[#This Row],[FMS ID]],FMS_Input[FMS_ID],FMS_Input[NRNC_COST])</f>
        <v>500000</v>
      </c>
      <c r="J329" s="250">
        <f>_xlfn.XLOOKUP(FMS_Ranking4[[#This Row],[FMS ID]],FMS_Input[FMS_ID],FMS_Input[FMS_COST])</f>
        <v>500000</v>
      </c>
      <c r="K329" s="251" t="str">
        <f>_xlfn.XLOOKUP(FMS_Ranking4[[#This Row],[FMS ID]],FMS_Input[FMS_ID],FMS_Input[EMER_NEED])</f>
        <v>Yes</v>
      </c>
      <c r="L329" s="252">
        <f t="shared" si="5"/>
        <v>1</v>
      </c>
      <c r="M329" s="253">
        <f>_xlfn.XLOOKUP(FMS_Ranking4[[#This Row],[FMS ID]],FMS_Input[FMS_ID],FMS_Input[STRUCT_100])</f>
        <v>3107</v>
      </c>
      <c r="N329" s="255">
        <f>(ASINH(FMS_Ranking4[[#This Row],[Structure at Risk Raw]]))*(10)/(ASINH(M$4))</f>
        <v>6.8666647707313411</v>
      </c>
      <c r="O329" s="256">
        <f>FMS_Ranking4[[#This Row],[Structures at risk, ArcSinh (0-10)]]*M$5*10</f>
        <v>6.8666647707313411</v>
      </c>
      <c r="P329" s="253">
        <f>_xlfn.XLOOKUP(FMS_Ranking4[[#This Row],[FMS ID]],FMS_Input[FMS_ID],FMS_Input[RES_STRUCT100])</f>
        <v>2065</v>
      </c>
      <c r="Q329" s="257">
        <f>ASINH(FMS_Ranking4[[#This Row],[Res Structure Raw]])/Q$4*P$5*100</f>
        <v>0</v>
      </c>
      <c r="R329" s="253">
        <f>_xlfn.XLOOKUP(FMS_Ranking4[[#This Row],[FMS ID]],FMS_Input[FMS_ID],FMS_Input[POP100])</f>
        <v>9715</v>
      </c>
      <c r="S329" s="259">
        <f>(ASINH(FMS_Ranking4[[#This Row],[Pop at Risk Raw]]))*(10)/(ASINH(R$4))</f>
        <v>6.8169929953711046</v>
      </c>
      <c r="T329" s="256">
        <f>FMS_Ranking4[[#This Row],[Population at risk, ArcSinh (0-10)]]*R$5*10</f>
        <v>6.8169929953711055</v>
      </c>
      <c r="U329" s="253">
        <f>_xlfn.XLOOKUP(FMS_Ranking4[[#This Row],[FMS ID]],FMS_Input[FMS_ID],FMS_Input[CRITFAC100])</f>
        <v>23</v>
      </c>
      <c r="V329" s="259">
        <f>(ASINH(FMS_Ranking4[[#This Row],[Critical Facilities Raw]]))*(10)/(ASINH(U$4))</f>
        <v>4.532767423925546</v>
      </c>
      <c r="W329" s="256">
        <f>FMS_Ranking4[[#This Row],[Critical facilities at risk, ArcSinh (0-10)]]*U$5*10</f>
        <v>4.532767423925546</v>
      </c>
      <c r="X329" s="253">
        <f>_xlfn.XLOOKUP(FMS_Ranking4[[#This Row],[FMS ID]],FMS_Input[FMS_ID],FMS_Input[LWC])</f>
        <v>0</v>
      </c>
      <c r="Y329" s="259">
        <f>(ASINH(FMS_Ranking4[[#This Row],[LWC Raw]]))*(10)/(ASINH(X$4))</f>
        <v>0</v>
      </c>
      <c r="Z329" s="256">
        <f>FMS_Ranking4[[#This Row],[LWC, ArcSInh (0-10)]]*X$5*10</f>
        <v>0</v>
      </c>
      <c r="AA329" s="253">
        <f>_xlfn.XLOOKUP(FMS_Ranking4[[#This Row],[FMS ID]],FMS_Input[FMS_ID],FMS_Input[ROADCLS])</f>
        <v>0</v>
      </c>
      <c r="AB329" s="255">
        <f>(ASINH(FMS_Ranking4[[#This Row],[Road Closures Raw]]))*(10)/(ASINH(AA$4))</f>
        <v>0</v>
      </c>
      <c r="AC329" s="256">
        <f>FMS_Ranking4[[#This Row],[Road closures, ArcSinh (0-10)]]*AA$5*10</f>
        <v>0</v>
      </c>
      <c r="AD329" s="253">
        <f>_xlfn.XLOOKUP(FMS_Ranking4[[#This Row],[FMS ID]],FMS_Input[FMS_ID],FMS_Input[ROAD_MILES100])</f>
        <v>60</v>
      </c>
      <c r="AE329" s="259">
        <f>(ASINH(FMS_Ranking4[[#This Row],[Road Miles Raw]]))*(10)/(ASINH(AD$4))</f>
        <v>5.1022230437282703</v>
      </c>
      <c r="AF329" s="256">
        <f>FMS_Ranking4[[#This Row],[Length of roads at risk, ArcSinh (0-10)]]*AD$5*10</f>
        <v>5.1022230437282703</v>
      </c>
      <c r="AG329" s="253">
        <f>_xlfn.XLOOKUP(FMS_Ranking4[[#This Row],[FMS ID]],FMS_Input[FMS_ID],FMS_Input[FARMACRE100])</f>
        <v>6.3570661544799796</v>
      </c>
      <c r="AH329" s="255">
        <f>(ASINH(FMS_Ranking4[[#This Row],[Ag Land Raw]]))*(10)/(ASINH(AG$4))</f>
        <v>1.6556816773907517</v>
      </c>
      <c r="AI329" s="260">
        <f>FMS_Ranking4[[#This Row],[Farm &amp; ranch land, ArcSinh (0-10)]]*AG$5*10</f>
        <v>0.82784083869537595</v>
      </c>
      <c r="AJ329" s="258">
        <f>_xlfn.XLOOKUP(FMS_Ranking4[[#This Row],[FMS ID]],FMS_Input[FMS_ID],FMS_Input[REDSTRUCT100])</f>
        <v>0</v>
      </c>
      <c r="AK329" s="253">
        <f>_xlfn.XLOOKUP(FMS_Ranking4[[#This Row],[FMS ID]],FMS_Input[FMS_ID],FMS_Input[REMSTRC100])</f>
        <v>0</v>
      </c>
      <c r="AL329" s="259">
        <f>(ASINH(FMS_Ranking4[[#This Row],[Structures Removed Raw]]))*(10)/(ASINH(AK$4))</f>
        <v>0</v>
      </c>
      <c r="AM329" s="262">
        <f>FMS_Ranking4[[#This Row],[Structures removed, ArcSinh (0-10)]]*AK$5*10</f>
        <v>0</v>
      </c>
      <c r="AN329" s="253">
        <f>_xlfn.XLOOKUP(FMS_Ranking4[[#This Row],[FMS ID]],FMS_Input[FMS_ID],FMS_Input[REMRESSTRC100])</f>
        <v>0</v>
      </c>
      <c r="AO329" s="261">
        <f>FMS_Ranking4[[#This Row],[ArcSinh Res struct removed 0-10]]*AN$5*10</f>
        <v>0</v>
      </c>
      <c r="AP329" s="260">
        <f>ASINH(FMS_Ranking4[[#This Row],[Residential Structures Removed Raw]])/AP$4*AN$5*100</f>
        <v>0</v>
      </c>
      <c r="AQ329" s="254">
        <f>(ASINH(FMS_Ranking4[[#This Row],[Residential Structures Removed Raw]]))*(10)/(ASINH(AN$4))</f>
        <v>0</v>
      </c>
      <c r="AR329" s="253">
        <f>_xlfn.XLOOKUP(FMS_Ranking4[[#This Row],[FMS ID]],FMS_Input[FMS_ID],FMS_Input[REMPOP100])</f>
        <v>0</v>
      </c>
      <c r="AS329" s="259">
        <f>(ASINH(FMS_Ranking4[[#This Row],[Removed Pop Raw]]))*(10)/(ASINH(AR$4))</f>
        <v>0</v>
      </c>
      <c r="AT329" s="262">
        <f>FMS_Ranking4[[#This Row],[Removed population, ArcSinh (0-10)]]*AR$5*10</f>
        <v>0</v>
      </c>
      <c r="AU329" s="264">
        <f>_xlfn.XLOOKUP(FMS_Ranking4[[#This Row],[FMS ID]],FMS_Input[FMS_ID],FMS_Input[REMCRITFAC100])</f>
        <v>0</v>
      </c>
      <c r="AV329" s="264">
        <f>_xlfn.XLOOKUP(FMS_Ranking4[[#This Row],[FMS ID]],FMS_Input[FMS_ID],FMS_Input[REMLWC100])</f>
        <v>0</v>
      </c>
      <c r="AW329" s="264">
        <f>_xlfn.XLOOKUP(FMS_Ranking4[[#This Row],[FMS ID]],FMS_Input[FMS_ID],FMS_Input[REMROADCLS])</f>
        <v>0</v>
      </c>
      <c r="AX329" s="264">
        <f>_xlfn.XLOOKUP(FMS_Ranking4[[#This Row],[FMS ID]],FMS_Input[FMS_ID],FMS_Input[REMFRMACRE100])</f>
        <v>0</v>
      </c>
      <c r="AY329" s="258">
        <f>_xlfn.XLOOKUP(FMS_Ranking4[[#This Row],[FMS ID]],FMS_Input[FMS_ID],FMS_Input[COSTSTRUCT])</f>
        <v>0</v>
      </c>
      <c r="AZ329" s="253">
        <f>_xlfn.XLOOKUP(FMS_Ranking4[[#This Row],[FMS ID]],FMS_Input[FMS_ID],FMS_Input[NATURE])</f>
        <v>0</v>
      </c>
      <c r="BA329" s="262">
        <f>(((FMS_Ranking4[[#This Row],[% NBS Raw]]/AZ$4)*100)*AZ$5)</f>
        <v>0</v>
      </c>
      <c r="BB329" s="251" t="str">
        <f>_xlfn.XLOOKUP(FMS_Ranking4[[#This Row],[FMS ID]],FMS_Input[FMS_ID],FMS_Input[WATER_SUP])</f>
        <v>No</v>
      </c>
      <c r="BC329" s="265">
        <f>IF(FMS_Ranking4[[#This Row],[Water Supply Raw]]="Yes",10,0)</f>
        <v>0</v>
      </c>
      <c r="BD329" s="266">
        <f>_xlfn.XLOOKUP(FMS_Ranking4[[#This Row],[FMS Type]],FMS_TYPE[FMS_Type],FMS_TYPE[Score])</f>
        <v>8</v>
      </c>
      <c r="BE329" s="267">
        <f>FMS_Ranking4[[#This Row],[FMS_Type Score]]*$BD$5*10</f>
        <v>2</v>
      </c>
      <c r="BF32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0.48483423470752773</v>
      </c>
      <c r="BG329" s="271">
        <f>_xlfn.RANK.EQ(BF329,$BF$8:$BF$870,0)+COUNTIF($BF$8:BF329,BF329)-1</f>
        <v>230</v>
      </c>
      <c r="BH329" s="268">
        <f>(((FMS_Ranking4[[#This Row],[Structures Removed Raw]]/AK$4)*100)*AK$5)+(((FMS_Ranking4[[#This Row],[Removed Pop Raw]]/AR$4)*100)*AR$5)</f>
        <v>0</v>
      </c>
      <c r="BI32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2.4848342347075278</v>
      </c>
      <c r="BJ329" s="205">
        <f>_xlfn.RANK.EQ(FMS_Ranking4[[#This Row],[Total Score 
(with linear
normalization)]],FMS_Ranking4[Total Score 
(with linear
normalization)],0)</f>
        <v>266</v>
      </c>
      <c r="BK329" s="205" t="e">
        <f>_xlfn.XLOOKUP(FMS_Ranking4[[#This Row],[FMS ID]],#REF!,#REF!)</f>
        <v>#REF!</v>
      </c>
      <c r="BL32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24.146489072451637</v>
      </c>
      <c r="BM329" s="272">
        <f>FMS_Ranking4[[#This Row],[ArcSinh Score Based on Normalized Reported Factors]]+FMS_Ranking4[[#This Row],[% NBS Score (Normalized)]]+(FMS_Ranking4[[#This Row],[Water Supply Score (Normalized)]]*10*$BB$5)+FMS_Ranking4[[#This Row],[FMS_Type Score Weighted]]</f>
        <v>26.146489072451637</v>
      </c>
      <c r="BN329" s="205">
        <f>_xlfn.RANK.EQ(FMS_Ranking4[[#This Row],[Total Score (with ArcSinh normalization of select criteria)]],FMS_Ranking4[Total Score (with ArcSinh normalization of select criteria)],0)</f>
        <v>322</v>
      </c>
      <c r="BO329" s="270" t="str">
        <f>_xlfn.XLOOKUP(FMS_Ranking4[[#This Row],[FMS ID]],FMS_Input[FMS_ID],FMS_Input[FMS_RANK_YEAR])</f>
        <v>2025 Amended Plan</v>
      </c>
      <c r="BP329" s="204" t="e">
        <f>_xlfn.XLOOKUP(FMS_Ranking4[[#This Row],[FMS ID]],Prev_Rank[FMS ID],Prev_Rank[Prev Rank])</f>
        <v>#N/A</v>
      </c>
      <c r="BQ329" s="205" t="e">
        <f>_xlfn.XLOOKUP(FMS_Ranking4[[#This Row],[FMS ID]],#REF!,#REF!)</f>
        <v>#REF!</v>
      </c>
      <c r="BR329" s="199" t="e">
        <f>SUM(#REF!,#REF!,#REF!,#REF!,#REF!,#REF!,#REF!,#REF!,#REF!,FMS_Ranking4[[#This Row],[ArcSinh Res struct removed 0-10]],#REF!)</f>
        <v>#REF!</v>
      </c>
      <c r="BS329" s="199" t="e">
        <f>FMS_Ranking4[[#This Row],[Log Score Based on Normalized Reported Factors]]+FMS_Ranking4[[#This Row],[% NBS Score (Normalized)]]+(FMS_Ranking4[[#This Row],[Water Supply Score (Normalized)]]*10*$BB$5)+(FMS_Ranking4[[#This Row],[FMS_Type Score Weighted]])</f>
        <v>#REF!</v>
      </c>
      <c r="BT329" s="200" t="e">
        <f>_xlfn.RANK.EQ(FMS_Ranking4[[#This Row],[Log Total Score]],FMS_Ranking4[Log Total Score],0)</f>
        <v>#REF!</v>
      </c>
      <c r="BU329" s="200" t="e">
        <f>_xlfn.XLOOKUP(FMS_Ranking4[[#This Row],[FMS ID]],#REF!,#REF!)</f>
        <v>#REF!</v>
      </c>
      <c r="BV329" s="200">
        <f>FMS_Ranking4[[#This Row],[Region Number]]</f>
        <v>15</v>
      </c>
      <c r="BW329" s="200">
        <f>FMS_Ranking4[[#This Row],[Rank (with ArcSinh normalization of select criteria)]]-FMS_Ranking4[[#This Row],[Rank
(with linear
normalization)]]</f>
        <v>56</v>
      </c>
      <c r="BX329" s="200" t="e">
        <f>FMS_Ranking4[[#This Row],[Log Rank]]-FMS_Ranking4[[#This Row],[Rank
(with linear
normalization)]]</f>
        <v>#REF!</v>
      </c>
      <c r="BY329" s="200" t="str">
        <f>IF(FMS_Ranking4[[#This Row],[FMS Type]]="Flood Measurement and Warning",FMS_Ranking4[[#This Row],[Rank (with ArcSinh normalization of select criteria)]],"")</f>
        <v/>
      </c>
      <c r="BZ329" s="200">
        <f>IF(FMS_Ranking4[[#This Row],[FMS Type]]="Regulatory and Guidance",FMS_Ranking4[[#This Row],[Rank (with ArcSinh normalization of select criteria)]],"")</f>
        <v>322</v>
      </c>
      <c r="CA329" s="200" t="str">
        <f>IF(FMS_Ranking4[[#This Row],[FMS Type]]="Education and Outreach",FMS_Ranking4[[#This Row],[Rank (with ArcSinh normalization of select criteria)]],"")</f>
        <v/>
      </c>
      <c r="CB329" s="200" t="str">
        <f>IF(FMS_Ranking4[[#This Row],[FMS Type]]="Property Acquisition and Structural Elevation",FMS_Ranking4[[#This Row],[Rank (with ArcSinh normalization of select criteria)]],"")</f>
        <v/>
      </c>
      <c r="CC329" s="200" t="str">
        <f>IF(FMS_Ranking4[[#This Row],[FMS Type]]="Infrastructure Projects",FMS_Ranking4[[#This Row],[Rank (with ArcSinh normalization of select criteria)]],"")</f>
        <v/>
      </c>
      <c r="CD329" s="200" t="str">
        <f>IF(FMS_Ranking4[[#This Row],[FMS Type]]="Other",FMS_Ranking4[[#This Row],[Rank (with ArcSinh normalization of select criteria)]],"")</f>
        <v/>
      </c>
      <c r="CE329" s="201"/>
      <c r="CF329" s="206"/>
      <c r="CG329" s="206"/>
      <c r="CH329" s="206"/>
      <c r="CI329" s="206"/>
      <c r="CJ329" s="206"/>
      <c r="CK329" s="206"/>
      <c r="CL329" s="206"/>
      <c r="CM329" s="206"/>
      <c r="CN329" s="206"/>
      <c r="CO329" s="206"/>
      <c r="CP329" s="206"/>
      <c r="CQ329" s="206"/>
      <c r="CR329" s="206"/>
    </row>
    <row r="330" spans="2:96" ht="45" x14ac:dyDescent="0.25">
      <c r="B330" s="341" t="s">
        <v>2801</v>
      </c>
      <c r="C330" s="246">
        <f>_xlfn.XLOOKUP(FMS_Ranking4[[#This Row],[FMS ID]],FMS_Input[FMS_ID],FMS_Input[RFPG_NUM])</f>
        <v>5</v>
      </c>
      <c r="D330" s="309" t="str">
        <f>_xlfn.XLOOKUP(FMS_Ranking4[[#This Row],[FMS ID]],FMS_Input[FMS_ID],FMS_Input[FMS_NAME])</f>
        <v>Cherokee County Culvert Upgrades</v>
      </c>
      <c r="E330" s="308" t="str">
        <f>_xlfn.XLOOKUP(FMS_Ranking4[[#This Row],[FMS ID]],FMS_Input[FMS_ID],FMS_Input[SPONSOR])</f>
        <v>05000159</v>
      </c>
      <c r="F330" s="309" t="str">
        <f>_xlfn.XLOOKUP(FMS_Ranking4[[#This Row],[FMS ID]],Sponsor[FMS_ID],Sponsor[SPONSOR NAME])</f>
        <v>Cherokee</v>
      </c>
      <c r="G330" s="309" t="str">
        <f>_xlfn.XLOOKUP(FMS_Ranking4[[#This Row],[FMS ID]],FMS_Input[FMS_ID],FMS_Input[FMS_DESCR])</f>
        <v>Develop plan to upgrade major culvert areas which are prone to flooding.</v>
      </c>
      <c r="H330" s="248" t="str">
        <f>_xlfn.XLOOKUP(FMS_Ranking4[[#This Row],[FMS ID]],FMS_Input[FMS_ID],FMS_Input[FMS_TYPE])</f>
        <v>Infrastructure Projects</v>
      </c>
      <c r="I330" s="249">
        <f>_xlfn.XLOOKUP(FMS_Ranking4[[#This Row],[FMS ID]],FMS_Input[FMS_ID],FMS_Input[NRNC_COST])</f>
        <v>80000</v>
      </c>
      <c r="J330" s="250">
        <f>_xlfn.XLOOKUP(FMS_Ranking4[[#This Row],[FMS ID]],FMS_Input[FMS_ID],FMS_Input[FMS_COST])</f>
        <v>2000000</v>
      </c>
      <c r="K330" s="251" t="str">
        <f>_xlfn.XLOOKUP(FMS_Ranking4[[#This Row],[FMS ID]],FMS_Input[FMS_ID],FMS_Input[EMER_NEED])</f>
        <v>Yes</v>
      </c>
      <c r="L330" s="252">
        <f t="shared" si="5"/>
        <v>1</v>
      </c>
      <c r="M330" s="253">
        <f>_xlfn.XLOOKUP(FMS_Ranking4[[#This Row],[FMS ID]],FMS_Input[FMS_ID],FMS_Input[STRUCT_100])</f>
        <v>672</v>
      </c>
      <c r="N330" s="255">
        <f>(ASINH(FMS_Ranking4[[#This Row],[Structure at Risk Raw]]))*(10)/(ASINH(M$4))</f>
        <v>5.6629497154163584</v>
      </c>
      <c r="O330" s="256">
        <f>FMS_Ranking4[[#This Row],[Structures at risk, ArcSinh (0-10)]]*M$5*10</f>
        <v>5.6629497154163584</v>
      </c>
      <c r="P330" s="253">
        <f>_xlfn.XLOOKUP(FMS_Ranking4[[#This Row],[FMS ID]],FMS_Input[FMS_ID],FMS_Input[RES_STRUCT100])</f>
        <v>302</v>
      </c>
      <c r="Q330" s="257">
        <f>ASINH(FMS_Ranking4[[#This Row],[Res Structure Raw]])/Q$4*P$5*100</f>
        <v>0</v>
      </c>
      <c r="R330" s="253">
        <f>_xlfn.XLOOKUP(FMS_Ranking4[[#This Row],[FMS ID]],FMS_Input[FMS_ID],FMS_Input[POP100])</f>
        <v>1382</v>
      </c>
      <c r="S330" s="259">
        <f>(ASINH(FMS_Ranking4[[#This Row],[Pop at Risk Raw]]))*(10)/(ASINH(R$4))</f>
        <v>5.4706983523569042</v>
      </c>
      <c r="T330" s="256">
        <f>FMS_Ranking4[[#This Row],[Population at risk, ArcSinh (0-10)]]*R$5*10</f>
        <v>5.4706983523569042</v>
      </c>
      <c r="U330" s="253">
        <f>_xlfn.XLOOKUP(FMS_Ranking4[[#This Row],[FMS ID]],FMS_Input[FMS_ID],FMS_Input[CRITFAC100])</f>
        <v>1</v>
      </c>
      <c r="V330" s="259">
        <f>(ASINH(FMS_Ranking4[[#This Row],[Critical Facilities Raw]]))*(10)/(ASINH(U$4))</f>
        <v>1.0433384451410745</v>
      </c>
      <c r="W330" s="256">
        <f>FMS_Ranking4[[#This Row],[Critical facilities at risk, ArcSinh (0-10)]]*U$5*10</f>
        <v>1.0433384451410745</v>
      </c>
      <c r="X330" s="253">
        <f>_xlfn.XLOOKUP(FMS_Ranking4[[#This Row],[FMS ID]],FMS_Input[FMS_ID],FMS_Input[LWC])</f>
        <v>10</v>
      </c>
      <c r="Y330" s="259">
        <f>(ASINH(FMS_Ranking4[[#This Row],[LWC Raw]]))*(10)/(ASINH(X$4))</f>
        <v>4.06180589758889</v>
      </c>
      <c r="Z330" s="256">
        <f>FMS_Ranking4[[#This Row],[LWC, ArcSInh (0-10)]]*X$5*10</f>
        <v>4.06180589758889</v>
      </c>
      <c r="AA330" s="253">
        <f>_xlfn.XLOOKUP(FMS_Ranking4[[#This Row],[FMS ID]],FMS_Input[FMS_ID],FMS_Input[ROADCLS])</f>
        <v>10</v>
      </c>
      <c r="AB330" s="255">
        <f>(ASINH(FMS_Ranking4[[#This Row],[Road Closures Raw]]))*(10)/(ASINH(AA$4))</f>
        <v>3.1223740164895069</v>
      </c>
      <c r="AC330" s="256">
        <f>FMS_Ranking4[[#This Row],[Road closures, ArcSinh (0-10)]]*AA$5*10</f>
        <v>1.5611870082447534</v>
      </c>
      <c r="AD330" s="253">
        <f>_xlfn.XLOOKUP(FMS_Ranking4[[#This Row],[FMS ID]],FMS_Input[FMS_ID],FMS_Input[ROAD_MILES100])</f>
        <v>49</v>
      </c>
      <c r="AE330" s="259">
        <f>(ASINH(FMS_Ranking4[[#This Row],[Road Miles Raw]]))*(10)/(ASINH(AD$4))</f>
        <v>4.8864248460008062</v>
      </c>
      <c r="AF330" s="256">
        <f>FMS_Ranking4[[#This Row],[Length of roads at risk, ArcSinh (0-10)]]*AD$5*10</f>
        <v>4.8864248460008062</v>
      </c>
      <c r="AG330" s="253">
        <f>_xlfn.XLOOKUP(FMS_Ranking4[[#This Row],[FMS ID]],FMS_Input[FMS_ID],FMS_Input[FARMACRE100])</f>
        <v>919.81884765625</v>
      </c>
      <c r="AH330" s="255">
        <f>(ASINH(FMS_Ranking4[[#This Row],[Ag Land Raw]]))*(10)/(ASINH(AG$4))</f>
        <v>4.8831145134331324</v>
      </c>
      <c r="AI330" s="260">
        <f>FMS_Ranking4[[#This Row],[Farm &amp; ranch land, ArcSinh (0-10)]]*AG$5*10</f>
        <v>2.4415572567165662</v>
      </c>
      <c r="AJ330" s="258">
        <f>_xlfn.XLOOKUP(FMS_Ranking4[[#This Row],[FMS ID]],FMS_Input[FMS_ID],FMS_Input[REDSTRUCT100])</f>
        <v>0</v>
      </c>
      <c r="AK330" s="253">
        <f>_xlfn.XLOOKUP(FMS_Ranking4[[#This Row],[FMS ID]],FMS_Input[FMS_ID],FMS_Input[REMSTRC100])</f>
        <v>0</v>
      </c>
      <c r="AL330" s="259">
        <f>(ASINH(FMS_Ranking4[[#This Row],[Structures Removed Raw]]))*(10)/(ASINH(AK$4))</f>
        <v>0</v>
      </c>
      <c r="AM330" s="262">
        <f>FMS_Ranking4[[#This Row],[Structures removed, ArcSinh (0-10)]]*AK$5*10</f>
        <v>0</v>
      </c>
      <c r="AN330" s="253">
        <f>_xlfn.XLOOKUP(FMS_Ranking4[[#This Row],[FMS ID]],FMS_Input[FMS_ID],FMS_Input[REMRESSTRC100])</f>
        <v>0</v>
      </c>
      <c r="AO330" s="261">
        <f>FMS_Ranking4[[#This Row],[ArcSinh Res struct removed 0-10]]*AN$5*10</f>
        <v>0</v>
      </c>
      <c r="AP330" s="260">
        <f>ASINH(FMS_Ranking4[[#This Row],[Residential Structures Removed Raw]])/AP$4*AN$5*100</f>
        <v>0</v>
      </c>
      <c r="AQ330" s="254">
        <f>(ASINH(FMS_Ranking4[[#This Row],[Residential Structures Removed Raw]]))*(10)/(ASINH(AN$4))</f>
        <v>0</v>
      </c>
      <c r="AR330" s="253">
        <f>_xlfn.XLOOKUP(FMS_Ranking4[[#This Row],[FMS ID]],FMS_Input[FMS_ID],FMS_Input[REMPOP100])</f>
        <v>0</v>
      </c>
      <c r="AS330" s="259">
        <f>(ASINH(FMS_Ranking4[[#This Row],[Removed Pop Raw]]))*(10)/(ASINH(AR$4))</f>
        <v>0</v>
      </c>
      <c r="AT330" s="262">
        <f>FMS_Ranking4[[#This Row],[Removed population, ArcSinh (0-10)]]*AR$5*10</f>
        <v>0</v>
      </c>
      <c r="AU330" s="264">
        <f>_xlfn.XLOOKUP(FMS_Ranking4[[#This Row],[FMS ID]],FMS_Input[FMS_ID],FMS_Input[REMCRITFAC100])</f>
        <v>0</v>
      </c>
      <c r="AV330" s="264">
        <f>_xlfn.XLOOKUP(FMS_Ranking4[[#This Row],[FMS ID]],FMS_Input[FMS_ID],FMS_Input[REMLWC100])</f>
        <v>0</v>
      </c>
      <c r="AW330" s="264">
        <f>_xlfn.XLOOKUP(FMS_Ranking4[[#This Row],[FMS ID]],FMS_Input[FMS_ID],FMS_Input[REMROADCLS])</f>
        <v>0</v>
      </c>
      <c r="AX330" s="264">
        <f>_xlfn.XLOOKUP(FMS_Ranking4[[#This Row],[FMS ID]],FMS_Input[FMS_ID],FMS_Input[REMFRMACRE100])</f>
        <v>0</v>
      </c>
      <c r="AY330" s="258">
        <f>_xlfn.XLOOKUP(FMS_Ranking4[[#This Row],[FMS ID]],FMS_Input[FMS_ID],FMS_Input[COSTSTRUCT])</f>
        <v>0</v>
      </c>
      <c r="AZ330" s="253">
        <f>_xlfn.XLOOKUP(FMS_Ranking4[[#This Row],[FMS ID]],FMS_Input[FMS_ID],FMS_Input[NATURE])</f>
        <v>0</v>
      </c>
      <c r="BA330" s="262">
        <f>(((FMS_Ranking4[[#This Row],[% NBS Raw]]/AZ$4)*100)*AZ$5)</f>
        <v>0</v>
      </c>
      <c r="BB330" s="251" t="str">
        <f>_xlfn.XLOOKUP(FMS_Ranking4[[#This Row],[FMS ID]],FMS_Input[FMS_ID],FMS_Input[WATER_SUP])</f>
        <v>No</v>
      </c>
      <c r="BC330" s="265">
        <f>IF(FMS_Ranking4[[#This Row],[Water Supply Raw]]="Yes",10,0)</f>
        <v>0</v>
      </c>
      <c r="BD330" s="266">
        <f>_xlfn.XLOOKUP(FMS_Ranking4[[#This Row],[FMS Type]],FMS_TYPE[FMS_Type],FMS_TYPE[Score])</f>
        <v>4</v>
      </c>
      <c r="BE330" s="267">
        <f>FMS_Ranking4[[#This Row],[FMS_Type Score]]*$BD$5*10</f>
        <v>1</v>
      </c>
      <c r="BF33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0.27424361646572709</v>
      </c>
      <c r="BG330" s="271">
        <f>_xlfn.RANK.EQ(BF330,$BF$8:$BF$870,0)+COUNTIF($BF$8:BF330,BF330)-1</f>
        <v>318</v>
      </c>
      <c r="BH330" s="268">
        <f>(((FMS_Ranking4[[#This Row],[Structures Removed Raw]]/AK$4)*100)*AK$5)+(((FMS_Ranking4[[#This Row],[Removed Pop Raw]]/AR$4)*100)*AR$5)</f>
        <v>0</v>
      </c>
      <c r="BI33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1.2742436164657271</v>
      </c>
      <c r="BJ330" s="205">
        <f>_xlfn.RANK.EQ(FMS_Ranking4[[#This Row],[Total Score 
(with linear
normalization)]],FMS_Ranking4[Total Score 
(with linear
normalization)],0)</f>
        <v>635</v>
      </c>
      <c r="BK330" s="205" t="e">
        <f>_xlfn.XLOOKUP(FMS_Ranking4[[#This Row],[FMS ID]],#REF!,#REF!)</f>
        <v>#REF!</v>
      </c>
      <c r="BL33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25.127961521465355</v>
      </c>
      <c r="BM330" s="272">
        <f>FMS_Ranking4[[#This Row],[ArcSinh Score Based on Normalized Reported Factors]]+FMS_Ranking4[[#This Row],[% NBS Score (Normalized)]]+(FMS_Ranking4[[#This Row],[Water Supply Score (Normalized)]]*10*$BB$5)+FMS_Ranking4[[#This Row],[FMS_Type Score Weighted]]</f>
        <v>26.127961521465355</v>
      </c>
      <c r="BN330" s="205">
        <f>_xlfn.RANK.EQ(FMS_Ranking4[[#This Row],[Total Score (with ArcSinh normalization of select criteria)]],FMS_Ranking4[Total Score (with ArcSinh normalization of select criteria)],0)</f>
        <v>323</v>
      </c>
      <c r="BO330" s="270" t="str">
        <f>_xlfn.XLOOKUP(FMS_Ranking4[[#This Row],[FMS ID]],FMS_Input[FMS_ID],FMS_Input[FMS_RANK_YEAR])</f>
        <v>2023 Amended Plan</v>
      </c>
      <c r="BP330" s="204">
        <f>_xlfn.XLOOKUP(FMS_Ranking4[[#This Row],[FMS ID]],Prev_Rank[FMS ID],Prev_Rank[Prev Rank])</f>
        <v>287</v>
      </c>
      <c r="BQ330" s="205" t="e">
        <f>_xlfn.XLOOKUP(FMS_Ranking4[[#This Row],[FMS ID]],#REF!,#REF!)</f>
        <v>#REF!</v>
      </c>
      <c r="BR330" s="199" t="e">
        <f>SUM(#REF!,#REF!,#REF!,#REF!,#REF!,#REF!,#REF!,#REF!,#REF!,FMS_Ranking4[[#This Row],[ArcSinh Res struct removed 0-10]],#REF!)</f>
        <v>#REF!</v>
      </c>
      <c r="BS330" s="199" t="e">
        <f>FMS_Ranking4[[#This Row],[Log Score Based on Normalized Reported Factors]]+FMS_Ranking4[[#This Row],[% NBS Score (Normalized)]]+(FMS_Ranking4[[#This Row],[Water Supply Score (Normalized)]]*10*$BB$5)+(FMS_Ranking4[[#This Row],[FMS_Type Score Weighted]])</f>
        <v>#REF!</v>
      </c>
      <c r="BT330" s="200" t="e">
        <f>_xlfn.RANK.EQ(FMS_Ranking4[[#This Row],[Log Total Score]],FMS_Ranking4[Log Total Score],0)</f>
        <v>#REF!</v>
      </c>
      <c r="BU330" s="200" t="e">
        <f>_xlfn.XLOOKUP(FMS_Ranking4[[#This Row],[FMS ID]],#REF!,#REF!)</f>
        <v>#REF!</v>
      </c>
      <c r="BV330" s="200">
        <f>FMS_Ranking4[[#This Row],[Region Number]]</f>
        <v>5</v>
      </c>
      <c r="BW330" s="200">
        <f>FMS_Ranking4[[#This Row],[Rank (with ArcSinh normalization of select criteria)]]-FMS_Ranking4[[#This Row],[Rank
(with linear
normalization)]]</f>
        <v>-312</v>
      </c>
      <c r="BX330" s="200" t="e">
        <f>FMS_Ranking4[[#This Row],[Log Rank]]-FMS_Ranking4[[#This Row],[Rank
(with linear
normalization)]]</f>
        <v>#REF!</v>
      </c>
      <c r="BY330" s="200" t="str">
        <f>IF(FMS_Ranking4[[#This Row],[FMS Type]]="Flood Measurement and Warning",FMS_Ranking4[[#This Row],[Rank (with ArcSinh normalization of select criteria)]],"")</f>
        <v/>
      </c>
      <c r="BZ330" s="200" t="str">
        <f>IF(FMS_Ranking4[[#This Row],[FMS Type]]="Regulatory and Guidance",FMS_Ranking4[[#This Row],[Rank (with ArcSinh normalization of select criteria)]],"")</f>
        <v/>
      </c>
      <c r="CA330" s="200" t="str">
        <f>IF(FMS_Ranking4[[#This Row],[FMS Type]]="Education and Outreach",FMS_Ranking4[[#This Row],[Rank (with ArcSinh normalization of select criteria)]],"")</f>
        <v/>
      </c>
      <c r="CB330" s="200" t="str">
        <f>IF(FMS_Ranking4[[#This Row],[FMS Type]]="Property Acquisition and Structural Elevation",FMS_Ranking4[[#This Row],[Rank (with ArcSinh normalization of select criteria)]],"")</f>
        <v/>
      </c>
      <c r="CC330" s="200">
        <f>IF(FMS_Ranking4[[#This Row],[FMS Type]]="Infrastructure Projects",FMS_Ranking4[[#This Row],[Rank (with ArcSinh normalization of select criteria)]],"")</f>
        <v>323</v>
      </c>
      <c r="CD330" s="200" t="str">
        <f>IF(FMS_Ranking4[[#This Row],[FMS Type]]="Other",FMS_Ranking4[[#This Row],[Rank (with ArcSinh normalization of select criteria)]],"")</f>
        <v/>
      </c>
      <c r="CE330" s="201"/>
      <c r="CF330" s="206"/>
      <c r="CG330" s="206"/>
      <c r="CH330" s="206"/>
      <c r="CI330" s="206"/>
      <c r="CJ330" s="206"/>
      <c r="CK330" s="206"/>
      <c r="CL330" s="206"/>
      <c r="CM330" s="206"/>
      <c r="CN330" s="206"/>
      <c r="CO330" s="206"/>
      <c r="CP330" s="206"/>
      <c r="CQ330" s="206"/>
      <c r="CR330" s="206"/>
    </row>
    <row r="331" spans="2:96" ht="135" x14ac:dyDescent="0.25">
      <c r="B331" s="341" t="s">
        <v>3130</v>
      </c>
      <c r="C331" s="246">
        <f>_xlfn.XLOOKUP(FMS_Ranking4[[#This Row],[FMS ID]],FMS_Input[FMS_ID],FMS_Input[RFPG_NUM])</f>
        <v>7</v>
      </c>
      <c r="D331" s="309" t="str">
        <f>_xlfn.XLOOKUP(FMS_Ranking4[[#This Row],[FMS ID]],FMS_Input[FMS_ID],FMS_Input[FMS_NAME])</f>
        <v>Nolan County Warning System</v>
      </c>
      <c r="E331" s="308" t="str">
        <f>_xlfn.XLOOKUP(FMS_Ranking4[[#This Row],[FMS ID]],FMS_Input[FMS_ID],FMS_Input[SPONSOR])</f>
        <v>00000170</v>
      </c>
      <c r="F331" s="309" t="str">
        <f>_xlfn.XLOOKUP(FMS_Ranking4[[#This Row],[FMS ID]],Sponsor[FMS_ID],Sponsor[SPONSOR NAME])</f>
        <v>Nolan</v>
      </c>
      <c r="G331" s="309" t="str">
        <f>_xlfn.XLOOKUP(FMS_Ranking4[[#This Row],[FMS ID]],FMS_Input[FMS_ID],FMS_Input[FMS_DESCR])</f>
        <v>Install county-wide outdoor warning sirens for any emergency of natural and/or man-made hazardous events.  The warning sirens would be strategically placed in the following locations within the County: Cities of Sweetwater, Roscoe, Blackwell, Nolan, Mary</v>
      </c>
      <c r="H331" s="248" t="str">
        <f>_xlfn.XLOOKUP(FMS_Ranking4[[#This Row],[FMS ID]],FMS_Input[FMS_ID],FMS_Input[FMS_TYPE])</f>
        <v>Flood Measurement and Warning</v>
      </c>
      <c r="I331" s="249">
        <f>_xlfn.XLOOKUP(FMS_Ranking4[[#This Row],[FMS ID]],FMS_Input[FMS_ID],FMS_Input[NRNC_COST])</f>
        <v>375000</v>
      </c>
      <c r="J331" s="250">
        <f>_xlfn.XLOOKUP(FMS_Ranking4[[#This Row],[FMS ID]],FMS_Input[FMS_ID],FMS_Input[FMS_COST])</f>
        <v>375000</v>
      </c>
      <c r="K331" s="251" t="str">
        <f>_xlfn.XLOOKUP(FMS_Ranking4[[#This Row],[FMS ID]],FMS_Input[FMS_ID],FMS_Input[EMER_NEED])</f>
        <v>No</v>
      </c>
      <c r="L331" s="252">
        <f t="shared" si="5"/>
        <v>0</v>
      </c>
      <c r="M331" s="253">
        <f>_xlfn.XLOOKUP(FMS_Ranking4[[#This Row],[FMS ID]],FMS_Input[FMS_ID],FMS_Input[STRUCT_100])</f>
        <v>264</v>
      </c>
      <c r="N331" s="255">
        <f>(ASINH(FMS_Ranking4[[#This Row],[Structure at Risk Raw]]))*(10)/(ASINH(M$4))</f>
        <v>4.9284459269068996</v>
      </c>
      <c r="O331" s="256">
        <f>FMS_Ranking4[[#This Row],[Structures at risk, ArcSinh (0-10)]]*M$5*10</f>
        <v>4.9284459269068996</v>
      </c>
      <c r="P331" s="253">
        <f>_xlfn.XLOOKUP(FMS_Ranking4[[#This Row],[FMS ID]],FMS_Input[FMS_ID],FMS_Input[RES_STRUCT100])</f>
        <v>172</v>
      </c>
      <c r="Q331" s="257">
        <f>ASINH(FMS_Ranking4[[#This Row],[Res Structure Raw]])/Q$4*P$5*100</f>
        <v>0</v>
      </c>
      <c r="R331" s="253">
        <f>_xlfn.XLOOKUP(FMS_Ranking4[[#This Row],[FMS ID]],FMS_Input[FMS_ID],FMS_Input[POP100])</f>
        <v>412</v>
      </c>
      <c r="S331" s="259">
        <f>(ASINH(FMS_Ranking4[[#This Row],[Pop at Risk Raw]]))*(10)/(ASINH(R$4))</f>
        <v>4.6351838186762446</v>
      </c>
      <c r="T331" s="256">
        <f>FMS_Ranking4[[#This Row],[Population at risk, ArcSinh (0-10)]]*R$5*10</f>
        <v>4.6351838186762446</v>
      </c>
      <c r="U331" s="253">
        <f>_xlfn.XLOOKUP(FMS_Ranking4[[#This Row],[FMS ID]],FMS_Input[FMS_ID],FMS_Input[CRITFAC100])</f>
        <v>1</v>
      </c>
      <c r="V331" s="259">
        <f>(ASINH(FMS_Ranking4[[#This Row],[Critical Facilities Raw]]))*(10)/(ASINH(U$4))</f>
        <v>1.0433384451410745</v>
      </c>
      <c r="W331" s="256">
        <f>FMS_Ranking4[[#This Row],[Critical facilities at risk, ArcSinh (0-10)]]*U$5*10</f>
        <v>1.0433384451410745</v>
      </c>
      <c r="X331" s="253">
        <f>_xlfn.XLOOKUP(FMS_Ranking4[[#This Row],[FMS ID]],FMS_Input[FMS_ID],FMS_Input[LWC])</f>
        <v>21</v>
      </c>
      <c r="Y331" s="259">
        <f>(ASINH(FMS_Ranking4[[#This Row],[LWC Raw]]))*(10)/(ASINH(X$4))</f>
        <v>5.0643295732182274</v>
      </c>
      <c r="Z331" s="256">
        <f>FMS_Ranking4[[#This Row],[LWC, ArcSInh (0-10)]]*X$5*10</f>
        <v>5.0643295732182283</v>
      </c>
      <c r="AA331" s="253">
        <f>_xlfn.XLOOKUP(FMS_Ranking4[[#This Row],[FMS ID]],FMS_Input[FMS_ID],FMS_Input[ROADCLS])</f>
        <v>0</v>
      </c>
      <c r="AB331" s="255">
        <f>(ASINH(FMS_Ranking4[[#This Row],[Road Closures Raw]]))*(10)/(ASINH(AA$4))</f>
        <v>0</v>
      </c>
      <c r="AC331" s="256">
        <f>FMS_Ranking4[[#This Row],[Road closures, ArcSinh (0-10)]]*AA$5*10</f>
        <v>0</v>
      </c>
      <c r="AD331" s="253">
        <f>_xlfn.XLOOKUP(FMS_Ranking4[[#This Row],[FMS ID]],FMS_Input[FMS_ID],FMS_Input[ROAD_MILES100])</f>
        <v>41</v>
      </c>
      <c r="AE331" s="259">
        <f>(ASINH(FMS_Ranking4[[#This Row],[Road Miles Raw]]))*(10)/(ASINH(AD$4))</f>
        <v>4.6965087826098246</v>
      </c>
      <c r="AF331" s="256">
        <f>FMS_Ranking4[[#This Row],[Length of roads at risk, ArcSinh (0-10)]]*AD$5*10</f>
        <v>4.6965087826098255</v>
      </c>
      <c r="AG331" s="253">
        <f>_xlfn.XLOOKUP(FMS_Ranking4[[#This Row],[FMS ID]],FMS_Input[FMS_ID],FMS_Input[FARMACRE100])</f>
        <v>9929.294921875</v>
      </c>
      <c r="AH331" s="255">
        <f>(ASINH(FMS_Ranking4[[#This Row],[Ag Land Raw]]))*(10)/(ASINH(AG$4))</f>
        <v>6.4285128126086271</v>
      </c>
      <c r="AI331" s="260">
        <f>FMS_Ranking4[[#This Row],[Farm &amp; ranch land, ArcSinh (0-10)]]*AG$5*10</f>
        <v>3.214256406304314</v>
      </c>
      <c r="AJ331" s="258">
        <f>_xlfn.XLOOKUP(FMS_Ranking4[[#This Row],[FMS ID]],FMS_Input[FMS_ID],FMS_Input[REDSTRUCT100])</f>
        <v>0</v>
      </c>
      <c r="AK331" s="253">
        <f>_xlfn.XLOOKUP(FMS_Ranking4[[#This Row],[FMS ID]],FMS_Input[FMS_ID],FMS_Input[REMSTRC100])</f>
        <v>0</v>
      </c>
      <c r="AL331" s="259">
        <f>(ASINH(FMS_Ranking4[[#This Row],[Structures Removed Raw]]))*(10)/(ASINH(AK$4))</f>
        <v>0</v>
      </c>
      <c r="AM331" s="262">
        <f>FMS_Ranking4[[#This Row],[Structures removed, ArcSinh (0-10)]]*AK$5*10</f>
        <v>0</v>
      </c>
      <c r="AN331" s="253">
        <f>_xlfn.XLOOKUP(FMS_Ranking4[[#This Row],[FMS ID]],FMS_Input[FMS_ID],FMS_Input[REMRESSTRC100])</f>
        <v>0</v>
      </c>
      <c r="AO331" s="261">
        <f>FMS_Ranking4[[#This Row],[ArcSinh Res struct removed 0-10]]*AN$5*10</f>
        <v>0</v>
      </c>
      <c r="AP331" s="260">
        <f>ASINH(FMS_Ranking4[[#This Row],[Residential Structures Removed Raw]])/AP$4*AN$5*100</f>
        <v>0</v>
      </c>
      <c r="AQ331" s="254">
        <f>(ASINH(FMS_Ranking4[[#This Row],[Residential Structures Removed Raw]]))*(10)/(ASINH(AN$4))</f>
        <v>0</v>
      </c>
      <c r="AR331" s="253">
        <f>_xlfn.XLOOKUP(FMS_Ranking4[[#This Row],[FMS ID]],FMS_Input[FMS_ID],FMS_Input[REMPOP100])</f>
        <v>0</v>
      </c>
      <c r="AS331" s="259">
        <f>(ASINH(FMS_Ranking4[[#This Row],[Removed Pop Raw]]))*(10)/(ASINH(AR$4))</f>
        <v>0</v>
      </c>
      <c r="AT331" s="262">
        <f>FMS_Ranking4[[#This Row],[Removed population, ArcSinh (0-10)]]*AR$5*10</f>
        <v>0</v>
      </c>
      <c r="AU331" s="264">
        <f>_xlfn.XLOOKUP(FMS_Ranking4[[#This Row],[FMS ID]],FMS_Input[FMS_ID],FMS_Input[REMCRITFAC100])</f>
        <v>0</v>
      </c>
      <c r="AV331" s="264">
        <f>_xlfn.XLOOKUP(FMS_Ranking4[[#This Row],[FMS ID]],FMS_Input[FMS_ID],FMS_Input[REMLWC100])</f>
        <v>0</v>
      </c>
      <c r="AW331" s="264">
        <f>_xlfn.XLOOKUP(FMS_Ranking4[[#This Row],[FMS ID]],FMS_Input[FMS_ID],FMS_Input[REMROADCLS])</f>
        <v>0</v>
      </c>
      <c r="AX331" s="264">
        <f>_xlfn.XLOOKUP(FMS_Ranking4[[#This Row],[FMS ID]],FMS_Input[FMS_ID],FMS_Input[REMFRMACRE100])</f>
        <v>0</v>
      </c>
      <c r="AY331" s="258">
        <f>_xlfn.XLOOKUP(FMS_Ranking4[[#This Row],[FMS ID]],FMS_Input[FMS_ID],FMS_Input[COSTSTRUCT])</f>
        <v>0</v>
      </c>
      <c r="AZ331" s="253">
        <f>_xlfn.XLOOKUP(FMS_Ranking4[[#This Row],[FMS ID]],FMS_Input[FMS_ID],FMS_Input[NATURE])</f>
        <v>0</v>
      </c>
      <c r="BA331" s="262">
        <f>(((FMS_Ranking4[[#This Row],[% NBS Raw]]/AZ$4)*100)*AZ$5)</f>
        <v>0</v>
      </c>
      <c r="BB331" s="251" t="str">
        <f>_xlfn.XLOOKUP(FMS_Ranking4[[#This Row],[FMS ID]],FMS_Input[FMS_ID],FMS_Input[WATER_SUP])</f>
        <v>No</v>
      </c>
      <c r="BC331" s="265">
        <f>IF(FMS_Ranking4[[#This Row],[Water Supply Raw]]="Yes",10,0)</f>
        <v>0</v>
      </c>
      <c r="BD331" s="266">
        <f>_xlfn.XLOOKUP(FMS_Ranking4[[#This Row],[FMS Type]],FMS_TYPE[FMS_Type],FMS_TYPE[Score])</f>
        <v>10</v>
      </c>
      <c r="BE331" s="267">
        <f>FMS_Ranking4[[#This Row],[FMS_Type Score]]*$BD$5*10</f>
        <v>2.5</v>
      </c>
      <c r="BF33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0.37526142530834661</v>
      </c>
      <c r="BG331" s="269">
        <f>_xlfn.RANK.EQ(BF331,$BF$8:$BF$870,0)+COUNTIF($BF$8:BF331,BF331)-1</f>
        <v>268</v>
      </c>
      <c r="BH331" s="268">
        <f>(((FMS_Ranking4[[#This Row],[Structures Removed Raw]]/AK$4)*100)*AK$5)+(((FMS_Ranking4[[#This Row],[Removed Pop Raw]]/AR$4)*100)*AR$5)</f>
        <v>0</v>
      </c>
      <c r="BI33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2.8752614253083468</v>
      </c>
      <c r="BJ331" s="204">
        <f>_xlfn.RANK.EQ(FMS_Ranking4[[#This Row],[Total Score 
(with linear
normalization)]],FMS_Ranking4[Total Score 
(with linear
normalization)],0)</f>
        <v>187</v>
      </c>
      <c r="BK331" s="204" t="e">
        <f>_xlfn.XLOOKUP(FMS_Ranking4[[#This Row],[FMS ID]],#REF!,#REF!)</f>
        <v>#REF!</v>
      </c>
      <c r="BL331"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23.582062952856589</v>
      </c>
      <c r="BM331" s="270">
        <f>FMS_Ranking4[[#This Row],[ArcSinh Score Based on Normalized Reported Factors]]+FMS_Ranking4[[#This Row],[% NBS Score (Normalized)]]+(FMS_Ranking4[[#This Row],[Water Supply Score (Normalized)]]*10*$BB$5)+FMS_Ranking4[[#This Row],[FMS_Type Score Weighted]]</f>
        <v>26.082062952856589</v>
      </c>
      <c r="BN331" s="204">
        <f>_xlfn.RANK.EQ(FMS_Ranking4[[#This Row],[Total Score (with ArcSinh normalization of select criteria)]],FMS_Ranking4[Total Score (with ArcSinh normalization of select criteria)],0)</f>
        <v>324</v>
      </c>
      <c r="BO331" s="270" t="str">
        <f>_xlfn.XLOOKUP(FMS_Ranking4[[#This Row],[FMS ID]],FMS_Input[FMS_ID],FMS_Input[FMS_RANK_YEAR])</f>
        <v>2023 Amended Plan</v>
      </c>
      <c r="BP331" s="204">
        <f>_xlfn.XLOOKUP(FMS_Ranking4[[#This Row],[FMS ID]],Prev_Rank[FMS ID],Prev_Rank[Prev Rank])</f>
        <v>288</v>
      </c>
      <c r="BQ331" s="204" t="e">
        <f>_xlfn.XLOOKUP(FMS_Ranking4[[#This Row],[FMS ID]],#REF!,#REF!)</f>
        <v>#REF!</v>
      </c>
      <c r="BR331" s="199" t="e">
        <f>SUM(#REF!,#REF!,#REF!,#REF!,#REF!,#REF!,#REF!,#REF!,#REF!,FMS_Ranking4[[#This Row],[ArcSinh Res struct removed 0-10]],#REF!)</f>
        <v>#REF!</v>
      </c>
      <c r="BS331" s="199" t="e">
        <f>FMS_Ranking4[[#This Row],[Log Score Based on Normalized Reported Factors]]+FMS_Ranking4[[#This Row],[% NBS Score (Normalized)]]+(FMS_Ranking4[[#This Row],[Water Supply Score (Normalized)]]*10*$BB$5)+(FMS_Ranking4[[#This Row],[FMS_Type Score Weighted]])</f>
        <v>#REF!</v>
      </c>
      <c r="BT331" s="200" t="e">
        <f>_xlfn.RANK.EQ(FMS_Ranking4[[#This Row],[Log Total Score]],FMS_Ranking4[Log Total Score],0)</f>
        <v>#REF!</v>
      </c>
      <c r="BU331" s="200" t="e">
        <f>_xlfn.XLOOKUP(FMS_Ranking4[[#This Row],[FMS ID]],#REF!,#REF!)</f>
        <v>#REF!</v>
      </c>
      <c r="BV331" s="200">
        <f>FMS_Ranking4[[#This Row],[Region Number]]</f>
        <v>7</v>
      </c>
      <c r="BW331" s="200">
        <f>FMS_Ranking4[[#This Row],[Rank (with ArcSinh normalization of select criteria)]]-FMS_Ranking4[[#This Row],[Rank
(with linear
normalization)]]</f>
        <v>137</v>
      </c>
      <c r="BX331" s="200" t="e">
        <f>FMS_Ranking4[[#This Row],[Log Rank]]-FMS_Ranking4[[#This Row],[Rank
(with linear
normalization)]]</f>
        <v>#REF!</v>
      </c>
      <c r="BY331" s="200">
        <f>IF(FMS_Ranking4[[#This Row],[FMS Type]]="Flood Measurement and Warning",FMS_Ranking4[[#This Row],[Rank (with ArcSinh normalization of select criteria)]],"")</f>
        <v>324</v>
      </c>
      <c r="BZ331" s="200" t="str">
        <f>IF(FMS_Ranking4[[#This Row],[FMS Type]]="Regulatory and Guidance",FMS_Ranking4[[#This Row],[Rank (with ArcSinh normalization of select criteria)]],"")</f>
        <v/>
      </c>
      <c r="CA331" s="200" t="str">
        <f>IF(FMS_Ranking4[[#This Row],[FMS Type]]="Education and Outreach",FMS_Ranking4[[#This Row],[Rank (with ArcSinh normalization of select criteria)]],"")</f>
        <v/>
      </c>
      <c r="CB331" s="200" t="str">
        <f>IF(FMS_Ranking4[[#This Row],[FMS Type]]="Property Acquisition and Structural Elevation",FMS_Ranking4[[#This Row],[Rank (with ArcSinh normalization of select criteria)]],"")</f>
        <v/>
      </c>
      <c r="CC331" s="200" t="str">
        <f>IF(FMS_Ranking4[[#This Row],[FMS Type]]="Infrastructure Projects",FMS_Ranking4[[#This Row],[Rank (with ArcSinh normalization of select criteria)]],"")</f>
        <v/>
      </c>
      <c r="CD331" s="200" t="str">
        <f>IF(FMS_Ranking4[[#This Row],[FMS Type]]="Other",FMS_Ranking4[[#This Row],[Rank (with ArcSinh normalization of select criteria)]],"")</f>
        <v/>
      </c>
      <c r="CE331" s="201"/>
      <c r="CF331" s="206"/>
      <c r="CG331" s="206"/>
      <c r="CH331" s="206"/>
      <c r="CI331" s="206"/>
      <c r="CJ331" s="206"/>
      <c r="CK331" s="206"/>
      <c r="CL331" s="206"/>
      <c r="CM331" s="206"/>
      <c r="CN331" s="206"/>
      <c r="CO331" s="206"/>
      <c r="CP331" s="206"/>
      <c r="CQ331" s="206"/>
      <c r="CR331" s="206"/>
    </row>
    <row r="332" spans="2:96" ht="75" x14ac:dyDescent="0.25">
      <c r="B332" s="341" t="s">
        <v>1833</v>
      </c>
      <c r="C332" s="246">
        <f>_xlfn.XLOOKUP(FMS_Ranking4[[#This Row],[FMS ID]],FMS_Input[FMS_ID],FMS_Input[RFPG_NUM])</f>
        <v>3</v>
      </c>
      <c r="D332" s="309" t="str">
        <f>_xlfn.XLOOKUP(FMS_Ranking4[[#This Row],[FMS ID]],FMS_Input[FMS_ID],FMS_Input[FMS_NAME])</f>
        <v>Jack County Flood Education</v>
      </c>
      <c r="E332" s="308" t="str">
        <f>_xlfn.XLOOKUP(FMS_Ranking4[[#This Row],[FMS ID]],FMS_Input[FMS_ID],FMS_Input[SPONSOR])</f>
        <v>Jack County</v>
      </c>
      <c r="F332" s="309" t="str">
        <f>_xlfn.XLOOKUP(FMS_Ranking4[[#This Row],[FMS ID]],Sponsor[FMS_ID],Sponsor[SPONSOR NAME])</f>
        <v>Jack County</v>
      </c>
      <c r="G332" s="309" t="str">
        <f>_xlfn.XLOOKUP(FMS_Ranking4[[#This Row],[FMS ID]],FMS_Input[FMS_ID],FMS_Input[FMS_DESCR])</f>
        <v>Implement a flood awareness program by providing FEMA / NFIP materials to mortgage lenders, real estate agents and insurance agents</v>
      </c>
      <c r="H332" s="248" t="str">
        <f>_xlfn.XLOOKUP(FMS_Ranking4[[#This Row],[FMS ID]],FMS_Input[FMS_ID],FMS_Input[FMS_TYPE])</f>
        <v>Education and Outreach</v>
      </c>
      <c r="I332" s="249">
        <f>_xlfn.XLOOKUP(FMS_Ranking4[[#This Row],[FMS ID]],FMS_Input[FMS_ID],FMS_Input[NRNC_COST])</f>
        <v>50000</v>
      </c>
      <c r="J332" s="250">
        <f>_xlfn.XLOOKUP(FMS_Ranking4[[#This Row],[FMS ID]],FMS_Input[FMS_ID],FMS_Input[FMS_COST])</f>
        <v>50000</v>
      </c>
      <c r="K332" s="251" t="str">
        <f>_xlfn.XLOOKUP(FMS_Ranking4[[#This Row],[FMS ID]],FMS_Input[FMS_ID],FMS_Input[EMER_NEED])</f>
        <v>No</v>
      </c>
      <c r="L332" s="252">
        <f t="shared" si="5"/>
        <v>0</v>
      </c>
      <c r="M332" s="253">
        <f>_xlfn.XLOOKUP(FMS_Ranking4[[#This Row],[FMS ID]],FMS_Input[FMS_ID],FMS_Input[STRUCT_100])</f>
        <v>116</v>
      </c>
      <c r="N332" s="255">
        <f>(ASINH(FMS_Ranking4[[#This Row],[Structure at Risk Raw]]))*(10)/(ASINH(M$4))</f>
        <v>4.2819611637091359</v>
      </c>
      <c r="O332" s="256">
        <f>FMS_Ranking4[[#This Row],[Structures at risk, ArcSinh (0-10)]]*M$5*10</f>
        <v>4.2819611637091359</v>
      </c>
      <c r="P332" s="253">
        <f>_xlfn.XLOOKUP(FMS_Ranking4[[#This Row],[FMS ID]],FMS_Input[FMS_ID],FMS_Input[RES_STRUCT100])</f>
        <v>60</v>
      </c>
      <c r="Q332" s="257">
        <f>ASINH(FMS_Ranking4[[#This Row],[Res Structure Raw]])/Q$4*P$5*100</f>
        <v>0</v>
      </c>
      <c r="R332" s="253">
        <f>_xlfn.XLOOKUP(FMS_Ranking4[[#This Row],[FMS ID]],FMS_Input[FMS_ID],FMS_Input[POP100])</f>
        <v>108</v>
      </c>
      <c r="S332" s="259">
        <f>(ASINH(FMS_Ranking4[[#This Row],[Pop at Risk Raw]]))*(10)/(ASINH(R$4))</f>
        <v>3.7108824187098715</v>
      </c>
      <c r="T332" s="256">
        <f>FMS_Ranking4[[#This Row],[Population at risk, ArcSinh (0-10)]]*R$5*10</f>
        <v>3.7108824187098715</v>
      </c>
      <c r="U332" s="253">
        <f>_xlfn.XLOOKUP(FMS_Ranking4[[#This Row],[FMS ID]],FMS_Input[FMS_ID],FMS_Input[CRITFAC100])</f>
        <v>13</v>
      </c>
      <c r="V332" s="259">
        <f>(ASINH(FMS_Ranking4[[#This Row],[Critical Facilities Raw]]))*(10)/(ASINH(U$4))</f>
        <v>3.8585650997055194</v>
      </c>
      <c r="W332" s="256">
        <f>FMS_Ranking4[[#This Row],[Critical facilities at risk, ArcSinh (0-10)]]*U$5*10</f>
        <v>3.8585650997055199</v>
      </c>
      <c r="X332" s="253">
        <f>_xlfn.XLOOKUP(FMS_Ranking4[[#This Row],[FMS ID]],FMS_Input[FMS_ID],FMS_Input[LWC])</f>
        <v>16</v>
      </c>
      <c r="Y332" s="259">
        <f>(ASINH(FMS_Ranking4[[#This Row],[LWC Raw]]))*(10)/(ASINH(X$4))</f>
        <v>4.6964844083783914</v>
      </c>
      <c r="Z332" s="256">
        <f>FMS_Ranking4[[#This Row],[LWC, ArcSInh (0-10)]]*X$5*10</f>
        <v>4.6964844083783923</v>
      </c>
      <c r="AA332" s="253">
        <f>_xlfn.XLOOKUP(FMS_Ranking4[[#This Row],[FMS ID]],FMS_Input[FMS_ID],FMS_Input[ROADCLS])</f>
        <v>0</v>
      </c>
      <c r="AB332" s="255">
        <f>(ASINH(FMS_Ranking4[[#This Row],[Road Closures Raw]]))*(10)/(ASINH(AA$4))</f>
        <v>0</v>
      </c>
      <c r="AC332" s="256">
        <f>FMS_Ranking4[[#This Row],[Road closures, ArcSinh (0-10)]]*AA$5*10</f>
        <v>0</v>
      </c>
      <c r="AD332" s="253">
        <f>_xlfn.XLOOKUP(FMS_Ranking4[[#This Row],[FMS ID]],FMS_Input[FMS_ID],FMS_Input[ROAD_MILES100])</f>
        <v>55</v>
      </c>
      <c r="AE332" s="259">
        <f>(ASINH(FMS_Ranking4[[#This Row],[Road Miles Raw]]))*(10)/(ASINH(AD$4))</f>
        <v>5.0095069193521171</v>
      </c>
      <c r="AF332" s="256">
        <f>FMS_Ranking4[[#This Row],[Length of roads at risk, ArcSinh (0-10)]]*AD$5*10</f>
        <v>5.0095069193521171</v>
      </c>
      <c r="AG332" s="253">
        <f>_xlfn.XLOOKUP(FMS_Ranking4[[#This Row],[FMS ID]],FMS_Input[FMS_ID],FMS_Input[FARMACRE100])</f>
        <v>5105.55517578125</v>
      </c>
      <c r="AH332" s="255">
        <f>(ASINH(FMS_Ranking4[[#This Row],[Ag Land Raw]]))*(10)/(ASINH(AG$4))</f>
        <v>5.9964370293304299</v>
      </c>
      <c r="AI332" s="260">
        <f>FMS_Ranking4[[#This Row],[Farm &amp; ranch land, ArcSinh (0-10)]]*AG$5*10</f>
        <v>2.9982185146652149</v>
      </c>
      <c r="AJ332" s="258">
        <f>_xlfn.XLOOKUP(FMS_Ranking4[[#This Row],[FMS ID]],FMS_Input[FMS_ID],FMS_Input[REDSTRUCT100])</f>
        <v>0</v>
      </c>
      <c r="AK332" s="253">
        <f>_xlfn.XLOOKUP(FMS_Ranking4[[#This Row],[FMS ID]],FMS_Input[FMS_ID],FMS_Input[REMSTRC100])</f>
        <v>0</v>
      </c>
      <c r="AL332" s="259">
        <f>(ASINH(FMS_Ranking4[[#This Row],[Structures Removed Raw]]))*(10)/(ASINH(AK$4))</f>
        <v>0</v>
      </c>
      <c r="AM332" s="262">
        <f>FMS_Ranking4[[#This Row],[Structures removed, ArcSinh (0-10)]]*AK$5*10</f>
        <v>0</v>
      </c>
      <c r="AN332" s="253">
        <f>_xlfn.XLOOKUP(FMS_Ranking4[[#This Row],[FMS ID]],FMS_Input[FMS_ID],FMS_Input[REMRESSTRC100])</f>
        <v>0</v>
      </c>
      <c r="AO332" s="261">
        <f>FMS_Ranking4[[#This Row],[ArcSinh Res struct removed 0-10]]*AN$5*10</f>
        <v>0</v>
      </c>
      <c r="AP332" s="260">
        <f>ASINH(FMS_Ranking4[[#This Row],[Residential Structures Removed Raw]])/AP$4*AN$5*100</f>
        <v>0</v>
      </c>
      <c r="AQ332" s="254">
        <f>(ASINH(FMS_Ranking4[[#This Row],[Residential Structures Removed Raw]]))*(10)/(ASINH(AN$4))</f>
        <v>0</v>
      </c>
      <c r="AR332" s="253">
        <f>_xlfn.XLOOKUP(FMS_Ranking4[[#This Row],[FMS ID]],FMS_Input[FMS_ID],FMS_Input[REMPOP100])</f>
        <v>0</v>
      </c>
      <c r="AS332" s="259">
        <f>(ASINH(FMS_Ranking4[[#This Row],[Removed Pop Raw]]))*(10)/(ASINH(AR$4))</f>
        <v>0</v>
      </c>
      <c r="AT332" s="262">
        <f>FMS_Ranking4[[#This Row],[Removed population, ArcSinh (0-10)]]*AR$5*10</f>
        <v>0</v>
      </c>
      <c r="AU332" s="264">
        <f>_xlfn.XLOOKUP(FMS_Ranking4[[#This Row],[FMS ID]],FMS_Input[FMS_ID],FMS_Input[REMCRITFAC100])</f>
        <v>0</v>
      </c>
      <c r="AV332" s="264">
        <f>_xlfn.XLOOKUP(FMS_Ranking4[[#This Row],[FMS ID]],FMS_Input[FMS_ID],FMS_Input[REMLWC100])</f>
        <v>0</v>
      </c>
      <c r="AW332" s="264">
        <f>_xlfn.XLOOKUP(FMS_Ranking4[[#This Row],[FMS ID]],FMS_Input[FMS_ID],FMS_Input[REMROADCLS])</f>
        <v>0</v>
      </c>
      <c r="AX332" s="264">
        <f>_xlfn.XLOOKUP(FMS_Ranking4[[#This Row],[FMS ID]],FMS_Input[FMS_ID],FMS_Input[REMFRMACRE100])</f>
        <v>0</v>
      </c>
      <c r="AY332" s="258">
        <f>_xlfn.XLOOKUP(FMS_Ranking4[[#This Row],[FMS ID]],FMS_Input[FMS_ID],FMS_Input[COSTSTRUCT])</f>
        <v>0</v>
      </c>
      <c r="AZ332" s="253">
        <f>_xlfn.XLOOKUP(FMS_Ranking4[[#This Row],[FMS ID]],FMS_Input[FMS_ID],FMS_Input[NATURE])</f>
        <v>0</v>
      </c>
      <c r="BA332" s="262">
        <f>(((FMS_Ranking4[[#This Row],[% NBS Raw]]/AZ$4)*100)*AZ$5)</f>
        <v>0</v>
      </c>
      <c r="BB332" s="251" t="str">
        <f>_xlfn.XLOOKUP(FMS_Ranking4[[#This Row],[FMS ID]],FMS_Input[FMS_ID],FMS_Input[WATER_SUP])</f>
        <v>No</v>
      </c>
      <c r="BC332" s="265">
        <f>IF(FMS_Ranking4[[#This Row],[Water Supply Raw]]="Yes",10,0)</f>
        <v>0</v>
      </c>
      <c r="BD332" s="266">
        <f>_xlfn.XLOOKUP(FMS_Ranking4[[#This Row],[FMS Type]],FMS_TYPE[FMS_Type],FMS_TYPE[Score])</f>
        <v>6</v>
      </c>
      <c r="BE332" s="267">
        <f>FMS_Ranking4[[#This Row],[FMS_Type Score]]*$BD$5*10</f>
        <v>1.5000000000000002</v>
      </c>
      <c r="BF33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0.36609813740915198</v>
      </c>
      <c r="BG332" s="269">
        <f>_xlfn.RANK.EQ(BF332,$BF$8:$BF$870,0)+COUNTIF($BF$8:BF332,BF332)-1</f>
        <v>270</v>
      </c>
      <c r="BH332" s="268">
        <f>(((FMS_Ranking4[[#This Row],[Structures Removed Raw]]/AK$4)*100)*AK$5)+(((FMS_Ranking4[[#This Row],[Removed Pop Raw]]/AR$4)*100)*AR$5)</f>
        <v>0</v>
      </c>
      <c r="BI33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1.8660981374091521</v>
      </c>
      <c r="BJ332" s="204">
        <f>_xlfn.RANK.EQ(FMS_Ranking4[[#This Row],[Total Score 
(with linear
normalization)]],FMS_Ranking4[Total Score 
(with linear
normalization)],0)</f>
        <v>531</v>
      </c>
      <c r="BK332" s="204" t="e">
        <f>_xlfn.XLOOKUP(FMS_Ranking4[[#This Row],[FMS ID]],#REF!,#REF!)</f>
        <v>#REF!</v>
      </c>
      <c r="BL332"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24.555618524520252</v>
      </c>
      <c r="BM332" s="270">
        <f>FMS_Ranking4[[#This Row],[ArcSinh Score Based on Normalized Reported Factors]]+FMS_Ranking4[[#This Row],[% NBS Score (Normalized)]]+(FMS_Ranking4[[#This Row],[Water Supply Score (Normalized)]]*10*$BB$5)+FMS_Ranking4[[#This Row],[FMS_Type Score Weighted]]</f>
        <v>26.055618524520252</v>
      </c>
      <c r="BN332" s="204">
        <f>_xlfn.RANK.EQ(FMS_Ranking4[[#This Row],[Total Score (with ArcSinh normalization of select criteria)]],FMS_Ranking4[Total Score (with ArcSinh normalization of select criteria)],0)</f>
        <v>325</v>
      </c>
      <c r="BO332" s="270" t="str">
        <f>_xlfn.XLOOKUP(FMS_Ranking4[[#This Row],[FMS ID]],FMS_Input[FMS_ID],FMS_Input[FMS_RANK_YEAR])</f>
        <v>2023 Amended Plan</v>
      </c>
      <c r="BP332" s="204">
        <f>_xlfn.XLOOKUP(FMS_Ranking4[[#This Row],[FMS ID]],Prev_Rank[FMS ID],Prev_Rank[Prev Rank])</f>
        <v>290</v>
      </c>
      <c r="BQ332" s="204" t="e">
        <f>_xlfn.XLOOKUP(FMS_Ranking4[[#This Row],[FMS ID]],#REF!,#REF!)</f>
        <v>#REF!</v>
      </c>
      <c r="BR332" s="199" t="e">
        <f>SUM(#REF!,#REF!,#REF!,#REF!,#REF!,#REF!,#REF!,#REF!,#REF!,FMS_Ranking4[[#This Row],[ArcSinh Res struct removed 0-10]],#REF!)</f>
        <v>#REF!</v>
      </c>
      <c r="BS332" s="199" t="e">
        <f>FMS_Ranking4[[#This Row],[Log Score Based on Normalized Reported Factors]]+FMS_Ranking4[[#This Row],[% NBS Score (Normalized)]]+(FMS_Ranking4[[#This Row],[Water Supply Score (Normalized)]]*10*$BB$5)+(FMS_Ranking4[[#This Row],[FMS_Type Score Weighted]])</f>
        <v>#REF!</v>
      </c>
      <c r="BT332" s="200" t="e">
        <f>_xlfn.RANK.EQ(FMS_Ranking4[[#This Row],[Log Total Score]],FMS_Ranking4[Log Total Score],0)</f>
        <v>#REF!</v>
      </c>
      <c r="BU332" s="200" t="e">
        <f>_xlfn.XLOOKUP(FMS_Ranking4[[#This Row],[FMS ID]],#REF!,#REF!)</f>
        <v>#REF!</v>
      </c>
      <c r="BV332" s="200">
        <f>FMS_Ranking4[[#This Row],[Region Number]]</f>
        <v>3</v>
      </c>
      <c r="BW332" s="200">
        <f>FMS_Ranking4[[#This Row],[Rank (with ArcSinh normalization of select criteria)]]-FMS_Ranking4[[#This Row],[Rank
(with linear
normalization)]]</f>
        <v>-206</v>
      </c>
      <c r="BX332" s="200" t="e">
        <f>FMS_Ranking4[[#This Row],[Log Rank]]-FMS_Ranking4[[#This Row],[Rank
(with linear
normalization)]]</f>
        <v>#REF!</v>
      </c>
      <c r="BY332" s="200" t="str">
        <f>IF(FMS_Ranking4[[#This Row],[FMS Type]]="Flood Measurement and Warning",FMS_Ranking4[[#This Row],[Rank (with ArcSinh normalization of select criteria)]],"")</f>
        <v/>
      </c>
      <c r="BZ332" s="200" t="str">
        <f>IF(FMS_Ranking4[[#This Row],[FMS Type]]="Regulatory and Guidance",FMS_Ranking4[[#This Row],[Rank (with ArcSinh normalization of select criteria)]],"")</f>
        <v/>
      </c>
      <c r="CA332" s="200">
        <f>IF(FMS_Ranking4[[#This Row],[FMS Type]]="Education and Outreach",FMS_Ranking4[[#This Row],[Rank (with ArcSinh normalization of select criteria)]],"")</f>
        <v>325</v>
      </c>
      <c r="CB332" s="200" t="str">
        <f>IF(FMS_Ranking4[[#This Row],[FMS Type]]="Property Acquisition and Structural Elevation",FMS_Ranking4[[#This Row],[Rank (with ArcSinh normalization of select criteria)]],"")</f>
        <v/>
      </c>
      <c r="CC332" s="200" t="str">
        <f>IF(FMS_Ranking4[[#This Row],[FMS Type]]="Infrastructure Projects",FMS_Ranking4[[#This Row],[Rank (with ArcSinh normalization of select criteria)]],"")</f>
        <v/>
      </c>
      <c r="CD332" s="200" t="str">
        <f>IF(FMS_Ranking4[[#This Row],[FMS Type]]="Other",FMS_Ranking4[[#This Row],[Rank (with ArcSinh normalization of select criteria)]],"")</f>
        <v/>
      </c>
      <c r="CE332" s="201"/>
      <c r="CF332" s="206"/>
      <c r="CG332" s="206"/>
      <c r="CH332" s="206"/>
      <c r="CI332" s="206"/>
      <c r="CJ332" s="206"/>
      <c r="CK332" s="206"/>
      <c r="CL332" s="206"/>
      <c r="CM332" s="206"/>
      <c r="CN332" s="206"/>
      <c r="CO332" s="206"/>
      <c r="CP332" s="206"/>
      <c r="CQ332" s="206"/>
      <c r="CR332" s="206"/>
    </row>
    <row r="333" spans="2:96" ht="60" x14ac:dyDescent="0.25">
      <c r="B333" s="341" t="s">
        <v>2021</v>
      </c>
      <c r="C333" s="246">
        <f>_xlfn.XLOOKUP(FMS_Ranking4[[#This Row],[FMS ID]],FMS_Input[FMS_ID],FMS_Input[RFPG_NUM])</f>
        <v>3</v>
      </c>
      <c r="D333" s="309" t="str">
        <f>_xlfn.XLOOKUP(FMS_Ranking4[[#This Row],[FMS ID]],FMS_Input[FMS_ID],FMS_Input[FMS_NAME])</f>
        <v>Parker County Flood and Dam Education</v>
      </c>
      <c r="E333" s="308" t="str">
        <f>_xlfn.XLOOKUP(FMS_Ranking4[[#This Row],[FMS ID]],FMS_Input[FMS_ID],FMS_Input[SPONSOR])</f>
        <v>Weatherford, Hudson Oaks, Aledo, Parker County</v>
      </c>
      <c r="F333" s="309" t="str">
        <f>_xlfn.XLOOKUP(FMS_Ranking4[[#This Row],[FMS ID]],Sponsor[FMS_ID],Sponsor[SPONSOR NAME])</f>
        <v>Weatherford, Hudson Oaks, Aledo, Parker County</v>
      </c>
      <c r="G333" s="309" t="str">
        <f>_xlfn.XLOOKUP(FMS_Ranking4[[#This Row],[FMS ID]],FMS_Input[FMS_ID],FMS_Input[FMS_DESCR])</f>
        <v>Create and implement a community-wide educational campaign to educate residents about the NFIP and dam safety</v>
      </c>
      <c r="H333" s="248" t="str">
        <f>_xlfn.XLOOKUP(FMS_Ranking4[[#This Row],[FMS ID]],FMS_Input[FMS_ID],FMS_Input[FMS_TYPE])</f>
        <v>Education and Outreach</v>
      </c>
      <c r="I333" s="249">
        <f>_xlfn.XLOOKUP(FMS_Ranking4[[#This Row],[FMS ID]],FMS_Input[FMS_ID],FMS_Input[NRNC_COST])</f>
        <v>50000</v>
      </c>
      <c r="J333" s="250">
        <f>_xlfn.XLOOKUP(FMS_Ranking4[[#This Row],[FMS ID]],FMS_Input[FMS_ID],FMS_Input[FMS_COST])</f>
        <v>50000</v>
      </c>
      <c r="K333" s="251" t="str">
        <f>_xlfn.XLOOKUP(FMS_Ranking4[[#This Row],[FMS ID]],FMS_Input[FMS_ID],FMS_Input[EMER_NEED])</f>
        <v>No</v>
      </c>
      <c r="L333" s="252">
        <f t="shared" si="5"/>
        <v>0</v>
      </c>
      <c r="M333" s="253">
        <f>_xlfn.XLOOKUP(FMS_Ranking4[[#This Row],[FMS ID]],FMS_Input[FMS_ID],FMS_Input[STRUCT_100])</f>
        <v>1953</v>
      </c>
      <c r="N333" s="255">
        <f>(ASINH(FMS_Ranking4[[#This Row],[Structure at Risk Raw]]))*(10)/(ASINH(M$4))</f>
        <v>6.501662962853314</v>
      </c>
      <c r="O333" s="256">
        <f>FMS_Ranking4[[#This Row],[Structures at risk, ArcSinh (0-10)]]*M$5*10</f>
        <v>6.501662962853314</v>
      </c>
      <c r="P333" s="253">
        <f>_xlfn.XLOOKUP(FMS_Ranking4[[#This Row],[FMS ID]],FMS_Input[FMS_ID],FMS_Input[RES_STRUCT100])</f>
        <v>1485</v>
      </c>
      <c r="Q333" s="257">
        <f>ASINH(FMS_Ranking4[[#This Row],[Res Structure Raw]])/Q$4*P$5*100</f>
        <v>0</v>
      </c>
      <c r="R333" s="253">
        <f>_xlfn.XLOOKUP(FMS_Ranking4[[#This Row],[FMS ID]],FMS_Input[FMS_ID],FMS_Input[POP100])</f>
        <v>4344</v>
      </c>
      <c r="S333" s="259">
        <f>(ASINH(FMS_Ranking4[[#This Row],[Pop at Risk Raw]]))*(10)/(ASINH(R$4))</f>
        <v>6.2613405867154981</v>
      </c>
      <c r="T333" s="256">
        <f>FMS_Ranking4[[#This Row],[Population at risk, ArcSinh (0-10)]]*R$5*10</f>
        <v>6.2613405867154981</v>
      </c>
      <c r="U333" s="253">
        <f>_xlfn.XLOOKUP(FMS_Ranking4[[#This Row],[FMS ID]],FMS_Input[FMS_ID],FMS_Input[CRITFAC100])</f>
        <v>7</v>
      </c>
      <c r="V333" s="259">
        <f>(ASINH(FMS_Ranking4[[#This Row],[Critical Facilities Raw]]))*(10)/(ASINH(U$4))</f>
        <v>3.1300153354232236</v>
      </c>
      <c r="W333" s="256">
        <f>FMS_Ranking4[[#This Row],[Critical facilities at risk, ArcSinh (0-10)]]*U$5*10</f>
        <v>3.1300153354232241</v>
      </c>
      <c r="X333" s="253">
        <f>_xlfn.XLOOKUP(FMS_Ranking4[[#This Row],[FMS ID]],FMS_Input[FMS_ID],FMS_Input[LWC])</f>
        <v>0</v>
      </c>
      <c r="Y333" s="259">
        <f>(ASINH(FMS_Ranking4[[#This Row],[LWC Raw]]))*(10)/(ASINH(X$4))</f>
        <v>0</v>
      </c>
      <c r="Z333" s="256">
        <f>FMS_Ranking4[[#This Row],[LWC, ArcSInh (0-10)]]*X$5*10</f>
        <v>0</v>
      </c>
      <c r="AA333" s="253">
        <f>_xlfn.XLOOKUP(FMS_Ranking4[[#This Row],[FMS ID]],FMS_Input[FMS_ID],FMS_Input[ROADCLS])</f>
        <v>0</v>
      </c>
      <c r="AB333" s="255">
        <f>(ASINH(FMS_Ranking4[[#This Row],[Road Closures Raw]]))*(10)/(ASINH(AA$4))</f>
        <v>0</v>
      </c>
      <c r="AC333" s="256">
        <f>FMS_Ranking4[[#This Row],[Road closures, ArcSinh (0-10)]]*AA$5*10</f>
        <v>0</v>
      </c>
      <c r="AD333" s="253">
        <f>_xlfn.XLOOKUP(FMS_Ranking4[[#This Row],[FMS ID]],FMS_Input[FMS_ID],FMS_Input[ROAD_MILES100])</f>
        <v>61</v>
      </c>
      <c r="AE333" s="259">
        <f>(ASINH(FMS_Ranking4[[#This Row],[Road Miles Raw]]))*(10)/(ASINH(AD$4))</f>
        <v>5.1198363258653155</v>
      </c>
      <c r="AF333" s="256">
        <f>FMS_Ranking4[[#This Row],[Length of roads at risk, ArcSinh (0-10)]]*AD$5*10</f>
        <v>5.1198363258653155</v>
      </c>
      <c r="AG333" s="253">
        <f>_xlfn.XLOOKUP(FMS_Ranking4[[#This Row],[FMS ID]],FMS_Input[FMS_ID],FMS_Input[FARMACRE100])</f>
        <v>25501.05078125</v>
      </c>
      <c r="AH333" s="255">
        <f>(ASINH(FMS_Ranking4[[#This Row],[Ag Land Raw]]))*(10)/(ASINH(AG$4))</f>
        <v>7.0412176624618219</v>
      </c>
      <c r="AI333" s="260">
        <f>FMS_Ranking4[[#This Row],[Farm &amp; ranch land, ArcSinh (0-10)]]*AG$5*10</f>
        <v>3.5206088312309114</v>
      </c>
      <c r="AJ333" s="258">
        <f>_xlfn.XLOOKUP(FMS_Ranking4[[#This Row],[FMS ID]],FMS_Input[FMS_ID],FMS_Input[REDSTRUCT100])</f>
        <v>0</v>
      </c>
      <c r="AK333" s="253">
        <f>_xlfn.XLOOKUP(FMS_Ranking4[[#This Row],[FMS ID]],FMS_Input[FMS_ID],FMS_Input[REMSTRC100])</f>
        <v>0</v>
      </c>
      <c r="AL333" s="259">
        <f>(ASINH(FMS_Ranking4[[#This Row],[Structures Removed Raw]]))*(10)/(ASINH(AK$4))</f>
        <v>0</v>
      </c>
      <c r="AM333" s="262">
        <f>FMS_Ranking4[[#This Row],[Structures removed, ArcSinh (0-10)]]*AK$5*10</f>
        <v>0</v>
      </c>
      <c r="AN333" s="253">
        <f>_xlfn.XLOOKUP(FMS_Ranking4[[#This Row],[FMS ID]],FMS_Input[FMS_ID],FMS_Input[REMRESSTRC100])</f>
        <v>0</v>
      </c>
      <c r="AO333" s="261">
        <f>FMS_Ranking4[[#This Row],[ArcSinh Res struct removed 0-10]]*AN$5*10</f>
        <v>0</v>
      </c>
      <c r="AP333" s="260">
        <f>ASINH(FMS_Ranking4[[#This Row],[Residential Structures Removed Raw]])/AP$4*AN$5*100</f>
        <v>0</v>
      </c>
      <c r="AQ333" s="254">
        <f>(ASINH(FMS_Ranking4[[#This Row],[Residential Structures Removed Raw]]))*(10)/(ASINH(AN$4))</f>
        <v>0</v>
      </c>
      <c r="AR333" s="253">
        <f>_xlfn.XLOOKUP(FMS_Ranking4[[#This Row],[FMS ID]],FMS_Input[FMS_ID],FMS_Input[REMPOP100])</f>
        <v>0</v>
      </c>
      <c r="AS333" s="259">
        <f>(ASINH(FMS_Ranking4[[#This Row],[Removed Pop Raw]]))*(10)/(ASINH(AR$4))</f>
        <v>0</v>
      </c>
      <c r="AT333" s="262">
        <f>FMS_Ranking4[[#This Row],[Removed population, ArcSinh (0-10)]]*AR$5*10</f>
        <v>0</v>
      </c>
      <c r="AU333" s="264">
        <f>_xlfn.XLOOKUP(FMS_Ranking4[[#This Row],[FMS ID]],FMS_Input[FMS_ID],FMS_Input[REMCRITFAC100])</f>
        <v>0</v>
      </c>
      <c r="AV333" s="264">
        <f>_xlfn.XLOOKUP(FMS_Ranking4[[#This Row],[FMS ID]],FMS_Input[FMS_ID],FMS_Input[REMLWC100])</f>
        <v>0</v>
      </c>
      <c r="AW333" s="264">
        <f>_xlfn.XLOOKUP(FMS_Ranking4[[#This Row],[FMS ID]],FMS_Input[FMS_ID],FMS_Input[REMROADCLS])</f>
        <v>0</v>
      </c>
      <c r="AX333" s="264">
        <f>_xlfn.XLOOKUP(FMS_Ranking4[[#This Row],[FMS ID]],FMS_Input[FMS_ID],FMS_Input[REMFRMACRE100])</f>
        <v>0</v>
      </c>
      <c r="AY333" s="258">
        <f>_xlfn.XLOOKUP(FMS_Ranking4[[#This Row],[FMS ID]],FMS_Input[FMS_ID],FMS_Input[COSTSTRUCT])</f>
        <v>0</v>
      </c>
      <c r="AZ333" s="253">
        <f>_xlfn.XLOOKUP(FMS_Ranking4[[#This Row],[FMS ID]],FMS_Input[FMS_ID],FMS_Input[NATURE])</f>
        <v>0</v>
      </c>
      <c r="BA333" s="262">
        <f>(((FMS_Ranking4[[#This Row],[% NBS Raw]]/AZ$4)*100)*AZ$5)</f>
        <v>0</v>
      </c>
      <c r="BB333" s="251" t="str">
        <f>_xlfn.XLOOKUP(FMS_Ranking4[[#This Row],[FMS ID]],FMS_Input[FMS_ID],FMS_Input[WATER_SUP])</f>
        <v>No</v>
      </c>
      <c r="BC333" s="265">
        <f>IF(FMS_Ranking4[[#This Row],[Water Supply Raw]]="Yes",10,0)</f>
        <v>0</v>
      </c>
      <c r="BD333" s="266">
        <f>_xlfn.XLOOKUP(FMS_Ranking4[[#This Row],[FMS Type]],FMS_TYPE[FMS_Type],FMS_TYPE[Score])</f>
        <v>6</v>
      </c>
      <c r="BE333" s="267">
        <f>FMS_Ranking4[[#This Row],[FMS_Type Score]]*$BD$5*10</f>
        <v>1.5000000000000002</v>
      </c>
      <c r="BF33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0.34647812217592899</v>
      </c>
      <c r="BG333" s="271">
        <f>_xlfn.RANK.EQ(BF333,$BF$8:$BF$870,0)+COUNTIF($BF$8:BF333,BF333)-1</f>
        <v>276</v>
      </c>
      <c r="BH333" s="268">
        <f>(((FMS_Ranking4[[#This Row],[Structures Removed Raw]]/AK$4)*100)*AK$5)+(((FMS_Ranking4[[#This Row],[Removed Pop Raw]]/AR$4)*100)*AR$5)</f>
        <v>0</v>
      </c>
      <c r="BI33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1.8464781221759292</v>
      </c>
      <c r="BJ333" s="205">
        <f>_xlfn.RANK.EQ(FMS_Ranking4[[#This Row],[Total Score 
(with linear
normalization)]],FMS_Ranking4[Total Score 
(with linear
normalization)],0)</f>
        <v>534</v>
      </c>
      <c r="BK333" s="205" t="e">
        <f>_xlfn.XLOOKUP(FMS_Ranking4[[#This Row],[FMS ID]],#REF!,#REF!)</f>
        <v>#REF!</v>
      </c>
      <c r="BL33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24.533464042088262</v>
      </c>
      <c r="BM333" s="272">
        <f>FMS_Ranking4[[#This Row],[ArcSinh Score Based on Normalized Reported Factors]]+FMS_Ranking4[[#This Row],[% NBS Score (Normalized)]]+(FMS_Ranking4[[#This Row],[Water Supply Score (Normalized)]]*10*$BB$5)+FMS_Ranking4[[#This Row],[FMS_Type Score Weighted]]</f>
        <v>26.033464042088262</v>
      </c>
      <c r="BN333" s="205">
        <f>_xlfn.RANK.EQ(FMS_Ranking4[[#This Row],[Total Score (with ArcSinh normalization of select criteria)]],FMS_Ranking4[Total Score (with ArcSinh normalization of select criteria)],0)</f>
        <v>326</v>
      </c>
      <c r="BO333" s="270" t="str">
        <f>_xlfn.XLOOKUP(FMS_Ranking4[[#This Row],[FMS ID]],FMS_Input[FMS_ID],FMS_Input[FMS_RANK_YEAR])</f>
        <v>2023 Amended Plan</v>
      </c>
      <c r="BP333" s="204">
        <f>_xlfn.XLOOKUP(FMS_Ranking4[[#This Row],[FMS ID]],Prev_Rank[FMS ID],Prev_Rank[Prev Rank])</f>
        <v>274</v>
      </c>
      <c r="BQ333" s="205" t="e">
        <f>_xlfn.XLOOKUP(FMS_Ranking4[[#This Row],[FMS ID]],#REF!,#REF!)</f>
        <v>#REF!</v>
      </c>
      <c r="BR333" s="199" t="e">
        <f>SUM(#REF!,#REF!,#REF!,#REF!,#REF!,#REF!,#REF!,#REF!,#REF!,FMS_Ranking4[[#This Row],[ArcSinh Res struct removed 0-10]],#REF!)</f>
        <v>#REF!</v>
      </c>
      <c r="BS333" s="199" t="e">
        <f>FMS_Ranking4[[#This Row],[Log Score Based on Normalized Reported Factors]]+FMS_Ranking4[[#This Row],[% NBS Score (Normalized)]]+(FMS_Ranking4[[#This Row],[Water Supply Score (Normalized)]]*10*$BB$5)+(FMS_Ranking4[[#This Row],[FMS_Type Score Weighted]])</f>
        <v>#REF!</v>
      </c>
      <c r="BT333" s="200" t="e">
        <f>_xlfn.RANK.EQ(FMS_Ranking4[[#This Row],[Log Total Score]],FMS_Ranking4[Log Total Score],0)</f>
        <v>#REF!</v>
      </c>
      <c r="BU333" s="200" t="e">
        <f>_xlfn.XLOOKUP(FMS_Ranking4[[#This Row],[FMS ID]],#REF!,#REF!)</f>
        <v>#REF!</v>
      </c>
      <c r="BV333" s="200">
        <f>FMS_Ranking4[[#This Row],[Region Number]]</f>
        <v>3</v>
      </c>
      <c r="BW333" s="200">
        <f>FMS_Ranking4[[#This Row],[Rank (with ArcSinh normalization of select criteria)]]-FMS_Ranking4[[#This Row],[Rank
(with linear
normalization)]]</f>
        <v>-208</v>
      </c>
      <c r="BX333" s="200" t="e">
        <f>FMS_Ranking4[[#This Row],[Log Rank]]-FMS_Ranking4[[#This Row],[Rank
(with linear
normalization)]]</f>
        <v>#REF!</v>
      </c>
      <c r="BY333" s="200" t="str">
        <f>IF(FMS_Ranking4[[#This Row],[FMS Type]]="Flood Measurement and Warning",FMS_Ranking4[[#This Row],[Rank (with ArcSinh normalization of select criteria)]],"")</f>
        <v/>
      </c>
      <c r="BZ333" s="200" t="str">
        <f>IF(FMS_Ranking4[[#This Row],[FMS Type]]="Regulatory and Guidance",FMS_Ranking4[[#This Row],[Rank (with ArcSinh normalization of select criteria)]],"")</f>
        <v/>
      </c>
      <c r="CA333" s="200">
        <f>IF(FMS_Ranking4[[#This Row],[FMS Type]]="Education and Outreach",FMS_Ranking4[[#This Row],[Rank (with ArcSinh normalization of select criteria)]],"")</f>
        <v>326</v>
      </c>
      <c r="CB333" s="200" t="str">
        <f>IF(FMS_Ranking4[[#This Row],[FMS Type]]="Property Acquisition and Structural Elevation",FMS_Ranking4[[#This Row],[Rank (with ArcSinh normalization of select criteria)]],"")</f>
        <v/>
      </c>
      <c r="CC333" s="200" t="str">
        <f>IF(FMS_Ranking4[[#This Row],[FMS Type]]="Infrastructure Projects",FMS_Ranking4[[#This Row],[Rank (with ArcSinh normalization of select criteria)]],"")</f>
        <v/>
      </c>
      <c r="CD333" s="200" t="str">
        <f>IF(FMS_Ranking4[[#This Row],[FMS Type]]="Other",FMS_Ranking4[[#This Row],[Rank (with ArcSinh normalization of select criteria)]],"")</f>
        <v/>
      </c>
      <c r="CE333" s="201"/>
      <c r="CF333" s="206"/>
      <c r="CG333" s="206"/>
      <c r="CH333" s="206"/>
      <c r="CI333" s="206"/>
      <c r="CJ333" s="206"/>
      <c r="CK333" s="206"/>
      <c r="CL333" s="206"/>
      <c r="CM333" s="206"/>
      <c r="CN333" s="206"/>
      <c r="CO333" s="206"/>
      <c r="CP333" s="206"/>
      <c r="CQ333" s="206"/>
      <c r="CR333" s="206"/>
    </row>
    <row r="334" spans="2:96" ht="45" x14ac:dyDescent="0.25">
      <c r="B334" s="341" t="s">
        <v>2104</v>
      </c>
      <c r="C334" s="246">
        <f>_xlfn.XLOOKUP(FMS_Ranking4[[#This Row],[FMS ID]],FMS_Input[FMS_ID],FMS_Input[RFPG_NUM])</f>
        <v>3</v>
      </c>
      <c r="D334" s="309" t="str">
        <f>_xlfn.XLOOKUP(FMS_Ranking4[[#This Row],[FMS ID]],FMS_Input[FMS_ID],FMS_Input[FMS_NAME])</f>
        <v>Flood Protection Ordinance Updates</v>
      </c>
      <c r="E334" s="308" t="str">
        <f>_xlfn.XLOOKUP(FMS_Ranking4[[#This Row],[FMS ID]],FMS_Input[FMS_ID],FMS_Input[SPONSOR])</f>
        <v>Corinth, Hickory Creek, Lake Dallas, Little Elm, Shady Shores, The Colony</v>
      </c>
      <c r="F334" s="309" t="str">
        <f>_xlfn.XLOOKUP(FMS_Ranking4[[#This Row],[FMS ID]],Sponsor[FMS_ID],Sponsor[SPONSOR NAME])</f>
        <v>Corinth, Hickory Creek, Lake Dallas, Little Elm, Shady Shores, The Colony</v>
      </c>
      <c r="G334" s="309" t="str">
        <f>_xlfn.XLOOKUP(FMS_Ranking4[[#This Row],[FMS ID]],FMS_Input[FMS_ID],FMS_Input[FMS_DESCR])</f>
        <v>Develop and Implement a City and Town flood protection ordinance</v>
      </c>
      <c r="H334" s="248" t="str">
        <f>_xlfn.XLOOKUP(FMS_Ranking4[[#This Row],[FMS ID]],FMS_Input[FMS_ID],FMS_Input[FMS_TYPE])</f>
        <v>Regulatory and Guidance</v>
      </c>
      <c r="I334" s="249">
        <f>_xlfn.XLOOKUP(FMS_Ranking4[[#This Row],[FMS ID]],FMS_Input[FMS_ID],FMS_Input[NRNC_COST])</f>
        <v>100000</v>
      </c>
      <c r="J334" s="250">
        <f>_xlfn.XLOOKUP(FMS_Ranking4[[#This Row],[FMS ID]],FMS_Input[FMS_ID],FMS_Input[FMS_COST])</f>
        <v>100000</v>
      </c>
      <c r="K334" s="251" t="str">
        <f>_xlfn.XLOOKUP(FMS_Ranking4[[#This Row],[FMS ID]],FMS_Input[FMS_ID],FMS_Input[EMER_NEED])</f>
        <v>No</v>
      </c>
      <c r="L334" s="252">
        <f t="shared" si="5"/>
        <v>0</v>
      </c>
      <c r="M334" s="253">
        <f>_xlfn.XLOOKUP(FMS_Ranking4[[#This Row],[FMS ID]],FMS_Input[FMS_ID],FMS_Input[STRUCT_100])</f>
        <v>381</v>
      </c>
      <c r="N334" s="255">
        <f>(ASINH(FMS_Ranking4[[#This Row],[Structure at Risk Raw]]))*(10)/(ASINH(M$4))</f>
        <v>5.216843396339538</v>
      </c>
      <c r="O334" s="256">
        <f>FMS_Ranking4[[#This Row],[Structures at risk, ArcSinh (0-10)]]*M$5*10</f>
        <v>5.216843396339538</v>
      </c>
      <c r="P334" s="253">
        <f>_xlfn.XLOOKUP(FMS_Ranking4[[#This Row],[FMS ID]],FMS_Input[FMS_ID],FMS_Input[RES_STRUCT100])</f>
        <v>289</v>
      </c>
      <c r="Q334" s="257">
        <f>ASINH(FMS_Ranking4[[#This Row],[Res Structure Raw]])/Q$4*P$5*100</f>
        <v>0</v>
      </c>
      <c r="R334" s="253">
        <f>_xlfn.XLOOKUP(FMS_Ranking4[[#This Row],[FMS ID]],FMS_Input[FMS_ID],FMS_Input[POP100])</f>
        <v>939</v>
      </c>
      <c r="S334" s="259">
        <f>(ASINH(FMS_Ranking4[[#This Row],[Pop at Risk Raw]]))*(10)/(ASINH(R$4))</f>
        <v>5.2038946643713437</v>
      </c>
      <c r="T334" s="256">
        <f>FMS_Ranking4[[#This Row],[Population at risk, ArcSinh (0-10)]]*R$5*10</f>
        <v>5.2038946643713437</v>
      </c>
      <c r="U334" s="253">
        <f>_xlfn.XLOOKUP(FMS_Ranking4[[#This Row],[FMS ID]],FMS_Input[FMS_ID],FMS_Input[CRITFAC100])</f>
        <v>22</v>
      </c>
      <c r="V334" s="259">
        <f>(ASINH(FMS_Ranking4[[#This Row],[Critical Facilities Raw]]))*(10)/(ASINH(U$4))</f>
        <v>4.4801989580169597</v>
      </c>
      <c r="W334" s="256">
        <f>FMS_Ranking4[[#This Row],[Critical facilities at risk, ArcSinh (0-10)]]*U$5*10</f>
        <v>4.4801989580169597</v>
      </c>
      <c r="X334" s="253">
        <f>_xlfn.XLOOKUP(FMS_Ranking4[[#This Row],[FMS ID]],FMS_Input[FMS_ID],FMS_Input[LWC])</f>
        <v>2</v>
      </c>
      <c r="Y334" s="259">
        <f>(ASINH(FMS_Ranking4[[#This Row],[LWC Raw]]))*(10)/(ASINH(X$4))</f>
        <v>1.9557475158633808</v>
      </c>
      <c r="Z334" s="256">
        <f>FMS_Ranking4[[#This Row],[LWC, ArcSInh (0-10)]]*X$5*10</f>
        <v>1.9557475158633808</v>
      </c>
      <c r="AA334" s="253">
        <f>_xlfn.XLOOKUP(FMS_Ranking4[[#This Row],[FMS ID]],FMS_Input[FMS_ID],FMS_Input[ROADCLS])</f>
        <v>0</v>
      </c>
      <c r="AB334" s="255">
        <f>(ASINH(FMS_Ranking4[[#This Row],[Road Closures Raw]]))*(10)/(ASINH(AA$4))</f>
        <v>0</v>
      </c>
      <c r="AC334" s="256">
        <f>FMS_Ranking4[[#This Row],[Road closures, ArcSinh (0-10)]]*AA$5*10</f>
        <v>0</v>
      </c>
      <c r="AD334" s="253">
        <f>_xlfn.XLOOKUP(FMS_Ranking4[[#This Row],[FMS ID]],FMS_Input[FMS_ID],FMS_Input[ROAD_MILES100])</f>
        <v>31</v>
      </c>
      <c r="AE334" s="259">
        <f>(ASINH(FMS_Ranking4[[#This Row],[Road Miles Raw]]))*(10)/(ASINH(AD$4))</f>
        <v>4.3986669153359532</v>
      </c>
      <c r="AF334" s="256">
        <f>FMS_Ranking4[[#This Row],[Length of roads at risk, ArcSinh (0-10)]]*AD$5*10</f>
        <v>4.3986669153359532</v>
      </c>
      <c r="AG334" s="253">
        <f>_xlfn.XLOOKUP(FMS_Ranking4[[#This Row],[FMS ID]],FMS_Input[FMS_ID],FMS_Input[FARMACRE100])</f>
        <v>1613.81396484375</v>
      </c>
      <c r="AH334" s="255">
        <f>(ASINH(FMS_Ranking4[[#This Row],[Ag Land Raw]]))*(10)/(ASINH(AG$4))</f>
        <v>5.2482953360972902</v>
      </c>
      <c r="AI334" s="260">
        <f>FMS_Ranking4[[#This Row],[Farm &amp; ranch land, ArcSinh (0-10)]]*AG$5*10</f>
        <v>2.6241476680486455</v>
      </c>
      <c r="AJ334" s="258">
        <f>_xlfn.XLOOKUP(FMS_Ranking4[[#This Row],[FMS ID]],FMS_Input[FMS_ID],FMS_Input[REDSTRUCT100])</f>
        <v>0</v>
      </c>
      <c r="AK334" s="253">
        <f>_xlfn.XLOOKUP(FMS_Ranking4[[#This Row],[FMS ID]],FMS_Input[FMS_ID],FMS_Input[REMSTRC100])</f>
        <v>0</v>
      </c>
      <c r="AL334" s="259">
        <f>(ASINH(FMS_Ranking4[[#This Row],[Structures Removed Raw]]))*(10)/(ASINH(AK$4))</f>
        <v>0</v>
      </c>
      <c r="AM334" s="262">
        <f>FMS_Ranking4[[#This Row],[Structures removed, ArcSinh (0-10)]]*AK$5*10</f>
        <v>0</v>
      </c>
      <c r="AN334" s="253">
        <f>_xlfn.XLOOKUP(FMS_Ranking4[[#This Row],[FMS ID]],FMS_Input[FMS_ID],FMS_Input[REMRESSTRC100])</f>
        <v>0</v>
      </c>
      <c r="AO334" s="261">
        <f>FMS_Ranking4[[#This Row],[ArcSinh Res struct removed 0-10]]*AN$5*10</f>
        <v>0</v>
      </c>
      <c r="AP334" s="260">
        <f>ASINH(FMS_Ranking4[[#This Row],[Residential Structures Removed Raw]])/AP$4*AN$5*100</f>
        <v>0</v>
      </c>
      <c r="AQ334" s="254">
        <f>(ASINH(FMS_Ranking4[[#This Row],[Residential Structures Removed Raw]]))*(10)/(ASINH(AN$4))</f>
        <v>0</v>
      </c>
      <c r="AR334" s="253">
        <f>_xlfn.XLOOKUP(FMS_Ranking4[[#This Row],[FMS ID]],FMS_Input[FMS_ID],FMS_Input[REMPOP100])</f>
        <v>0</v>
      </c>
      <c r="AS334" s="259">
        <f>(ASINH(FMS_Ranking4[[#This Row],[Removed Pop Raw]]))*(10)/(ASINH(AR$4))</f>
        <v>0</v>
      </c>
      <c r="AT334" s="262">
        <f>FMS_Ranking4[[#This Row],[Removed population, ArcSinh (0-10)]]*AR$5*10</f>
        <v>0</v>
      </c>
      <c r="AU334" s="264">
        <f>_xlfn.XLOOKUP(FMS_Ranking4[[#This Row],[FMS ID]],FMS_Input[FMS_ID],FMS_Input[REMCRITFAC100])</f>
        <v>0</v>
      </c>
      <c r="AV334" s="264">
        <f>_xlfn.XLOOKUP(FMS_Ranking4[[#This Row],[FMS ID]],FMS_Input[FMS_ID],FMS_Input[REMLWC100])</f>
        <v>0</v>
      </c>
      <c r="AW334" s="264">
        <f>_xlfn.XLOOKUP(FMS_Ranking4[[#This Row],[FMS ID]],FMS_Input[FMS_ID],FMS_Input[REMROADCLS])</f>
        <v>0</v>
      </c>
      <c r="AX334" s="264">
        <f>_xlfn.XLOOKUP(FMS_Ranking4[[#This Row],[FMS ID]],FMS_Input[FMS_ID],FMS_Input[REMFRMACRE100])</f>
        <v>0</v>
      </c>
      <c r="AY334" s="258">
        <f>_xlfn.XLOOKUP(FMS_Ranking4[[#This Row],[FMS ID]],FMS_Input[FMS_ID],FMS_Input[COSTSTRUCT])</f>
        <v>0</v>
      </c>
      <c r="AZ334" s="253">
        <f>_xlfn.XLOOKUP(FMS_Ranking4[[#This Row],[FMS ID]],FMS_Input[FMS_ID],FMS_Input[NATURE])</f>
        <v>0</v>
      </c>
      <c r="BA334" s="262">
        <f>(((FMS_Ranking4[[#This Row],[% NBS Raw]]/AZ$4)*100)*AZ$5)</f>
        <v>0</v>
      </c>
      <c r="BB334" s="251" t="str">
        <f>_xlfn.XLOOKUP(FMS_Ranking4[[#This Row],[FMS ID]],FMS_Input[FMS_ID],FMS_Input[WATER_SUP])</f>
        <v>No</v>
      </c>
      <c r="BC334" s="265">
        <f>IF(FMS_Ranking4[[#This Row],[Water Supply Raw]]="Yes",10,0)</f>
        <v>0</v>
      </c>
      <c r="BD334" s="266">
        <f>_xlfn.XLOOKUP(FMS_Ranking4[[#This Row],[FMS Type]],FMS_TYPE[FMS_Type],FMS_TYPE[Score])</f>
        <v>8</v>
      </c>
      <c r="BE334" s="267">
        <f>FMS_Ranking4[[#This Row],[FMS_Type Score]]*$BD$5*10</f>
        <v>2</v>
      </c>
      <c r="BF33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0.20712333879426054</v>
      </c>
      <c r="BG334" s="271">
        <f>_xlfn.RANK.EQ(BF334,$BF$8:$BF$870,0)+COUNTIF($BF$8:BF334,BF334)-1</f>
        <v>362</v>
      </c>
      <c r="BH334" s="268">
        <f>(((FMS_Ranking4[[#This Row],[Structures Removed Raw]]/AK$4)*100)*AK$5)+(((FMS_Ranking4[[#This Row],[Removed Pop Raw]]/AR$4)*100)*AR$5)</f>
        <v>0</v>
      </c>
      <c r="BI33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2.2071233387942604</v>
      </c>
      <c r="BJ334" s="205">
        <f>_xlfn.RANK.EQ(FMS_Ranking4[[#This Row],[Total Score 
(with linear
normalization)]],FMS_Ranking4[Total Score 
(with linear
normalization)],0)</f>
        <v>325</v>
      </c>
      <c r="BK334" s="205" t="e">
        <f>_xlfn.XLOOKUP(FMS_Ranking4[[#This Row],[FMS ID]],#REF!,#REF!)</f>
        <v>#REF!</v>
      </c>
      <c r="BL33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23.879499117975822</v>
      </c>
      <c r="BM334" s="272">
        <f>FMS_Ranking4[[#This Row],[ArcSinh Score Based on Normalized Reported Factors]]+FMS_Ranking4[[#This Row],[% NBS Score (Normalized)]]+(FMS_Ranking4[[#This Row],[Water Supply Score (Normalized)]]*10*$BB$5)+FMS_Ranking4[[#This Row],[FMS_Type Score Weighted]]</f>
        <v>25.879499117975822</v>
      </c>
      <c r="BN334" s="205">
        <f>_xlfn.RANK.EQ(FMS_Ranking4[[#This Row],[Total Score (with ArcSinh normalization of select criteria)]],FMS_Ranking4[Total Score (with ArcSinh normalization of select criteria)],0)</f>
        <v>327</v>
      </c>
      <c r="BO334" s="270" t="str">
        <f>_xlfn.XLOOKUP(FMS_Ranking4[[#This Row],[FMS ID]],FMS_Input[FMS_ID],FMS_Input[FMS_RANK_YEAR])</f>
        <v>2023 Amended Plan</v>
      </c>
      <c r="BP334" s="204">
        <f>_xlfn.XLOOKUP(FMS_Ranking4[[#This Row],[FMS ID]],Prev_Rank[FMS ID],Prev_Rank[Prev Rank])</f>
        <v>293</v>
      </c>
      <c r="BQ334" s="205" t="e">
        <f>_xlfn.XLOOKUP(FMS_Ranking4[[#This Row],[FMS ID]],#REF!,#REF!)</f>
        <v>#REF!</v>
      </c>
      <c r="BR334" s="199" t="e">
        <f>SUM(#REF!,#REF!,#REF!,#REF!,#REF!,#REF!,#REF!,#REF!,#REF!,FMS_Ranking4[[#This Row],[ArcSinh Res struct removed 0-10]],#REF!)</f>
        <v>#REF!</v>
      </c>
      <c r="BS334" s="199" t="e">
        <f>FMS_Ranking4[[#This Row],[Log Score Based on Normalized Reported Factors]]+FMS_Ranking4[[#This Row],[% NBS Score (Normalized)]]+(FMS_Ranking4[[#This Row],[Water Supply Score (Normalized)]]*10*$BB$5)+(FMS_Ranking4[[#This Row],[FMS_Type Score Weighted]])</f>
        <v>#REF!</v>
      </c>
      <c r="BT334" s="200" t="e">
        <f>_xlfn.RANK.EQ(FMS_Ranking4[[#This Row],[Log Total Score]],FMS_Ranking4[Log Total Score],0)</f>
        <v>#REF!</v>
      </c>
      <c r="BU334" s="200" t="e">
        <f>_xlfn.XLOOKUP(FMS_Ranking4[[#This Row],[FMS ID]],#REF!,#REF!)</f>
        <v>#REF!</v>
      </c>
      <c r="BV334" s="200">
        <f>FMS_Ranking4[[#This Row],[Region Number]]</f>
        <v>3</v>
      </c>
      <c r="BW334" s="200">
        <f>FMS_Ranking4[[#This Row],[Rank (with ArcSinh normalization of select criteria)]]-FMS_Ranking4[[#This Row],[Rank
(with linear
normalization)]]</f>
        <v>2</v>
      </c>
      <c r="BX334" s="200" t="e">
        <f>FMS_Ranking4[[#This Row],[Log Rank]]-FMS_Ranking4[[#This Row],[Rank
(with linear
normalization)]]</f>
        <v>#REF!</v>
      </c>
      <c r="BY334" s="200" t="str">
        <f>IF(FMS_Ranking4[[#This Row],[FMS Type]]="Flood Measurement and Warning",FMS_Ranking4[[#This Row],[Rank (with ArcSinh normalization of select criteria)]],"")</f>
        <v/>
      </c>
      <c r="BZ334" s="200">
        <f>IF(FMS_Ranking4[[#This Row],[FMS Type]]="Regulatory and Guidance",FMS_Ranking4[[#This Row],[Rank (with ArcSinh normalization of select criteria)]],"")</f>
        <v>327</v>
      </c>
      <c r="CA334" s="200" t="str">
        <f>IF(FMS_Ranking4[[#This Row],[FMS Type]]="Education and Outreach",FMS_Ranking4[[#This Row],[Rank (with ArcSinh normalization of select criteria)]],"")</f>
        <v/>
      </c>
      <c r="CB334" s="200" t="str">
        <f>IF(FMS_Ranking4[[#This Row],[FMS Type]]="Property Acquisition and Structural Elevation",FMS_Ranking4[[#This Row],[Rank (with ArcSinh normalization of select criteria)]],"")</f>
        <v/>
      </c>
      <c r="CC334" s="200" t="str">
        <f>IF(FMS_Ranking4[[#This Row],[FMS Type]]="Infrastructure Projects",FMS_Ranking4[[#This Row],[Rank (with ArcSinh normalization of select criteria)]],"")</f>
        <v/>
      </c>
      <c r="CD334" s="200" t="str">
        <f>IF(FMS_Ranking4[[#This Row],[FMS Type]]="Other",FMS_Ranking4[[#This Row],[Rank (with ArcSinh normalization of select criteria)]],"")</f>
        <v/>
      </c>
      <c r="CE334" s="201"/>
      <c r="CF334" s="206"/>
      <c r="CG334" s="206"/>
      <c r="CH334" s="206"/>
      <c r="CI334" s="206"/>
      <c r="CJ334" s="206"/>
      <c r="CK334" s="206"/>
      <c r="CL334" s="206"/>
      <c r="CM334" s="206"/>
      <c r="CN334" s="206"/>
      <c r="CO334" s="206"/>
      <c r="CP334" s="206"/>
      <c r="CQ334" s="206"/>
      <c r="CR334" s="206"/>
    </row>
    <row r="335" spans="2:96" ht="45" x14ac:dyDescent="0.25">
      <c r="B335" s="341" t="s">
        <v>1566</v>
      </c>
      <c r="C335" s="246">
        <f>_xlfn.XLOOKUP(FMS_Ranking4[[#This Row],[FMS ID]],FMS_Input[FMS_ID],FMS_Input[RFPG_NUM])</f>
        <v>2</v>
      </c>
      <c r="D335" s="309" t="str">
        <f>_xlfn.XLOOKUP(FMS_Ranking4[[#This Row],[FMS ID]],FMS_Input[FMS_ID],FMS_Input[FMS_NAME])</f>
        <v>City of Sherman NFIP Involvement</v>
      </c>
      <c r="E335" s="308" t="str">
        <f>_xlfn.XLOOKUP(FMS_Ranking4[[#This Row],[FMS ID]],FMS_Input[FMS_ID],FMS_Input[SPONSOR])</f>
        <v>City of Sherman</v>
      </c>
      <c r="F335" s="309" t="str">
        <f>_xlfn.XLOOKUP(FMS_Ranking4[[#This Row],[FMS ID]],Sponsor[FMS_ID],Sponsor[SPONSOR NAME])</f>
        <v>City of Sherman</v>
      </c>
      <c r="G335" s="309" t="str">
        <f>_xlfn.XLOOKUP(FMS_Ranking4[[#This Row],[FMS ID]],FMS_Input[FMS_ID],FMS_Input[FMS_DESCR])</f>
        <v xml:space="preserve">Application to join NFIP or adoption of equivalent standards </v>
      </c>
      <c r="H335" s="248" t="str">
        <f>_xlfn.XLOOKUP(FMS_Ranking4[[#This Row],[FMS ID]],FMS_Input[FMS_ID],FMS_Input[FMS_TYPE])</f>
        <v>Regulatory and Guidance</v>
      </c>
      <c r="I335" s="249">
        <f>_xlfn.XLOOKUP(FMS_Ranking4[[#This Row],[FMS ID]],FMS_Input[FMS_ID],FMS_Input[NRNC_COST])</f>
        <v>100000</v>
      </c>
      <c r="J335" s="250">
        <f>_xlfn.XLOOKUP(FMS_Ranking4[[#This Row],[FMS ID]],FMS_Input[FMS_ID],FMS_Input[FMS_COST])</f>
        <v>100000</v>
      </c>
      <c r="K335" s="251" t="str">
        <f>_xlfn.XLOOKUP(FMS_Ranking4[[#This Row],[FMS ID]],FMS_Input[FMS_ID],FMS_Input[EMER_NEED])</f>
        <v>No</v>
      </c>
      <c r="L335" s="252">
        <f t="shared" si="5"/>
        <v>0</v>
      </c>
      <c r="M335" s="253">
        <f>_xlfn.XLOOKUP(FMS_Ranking4[[#This Row],[FMS ID]],FMS_Input[FMS_ID],FMS_Input[STRUCT_100])</f>
        <v>772</v>
      </c>
      <c r="N335" s="255">
        <f>(ASINH(FMS_Ranking4[[#This Row],[Structure at Risk Raw]]))*(10)/(ASINH(M$4))</f>
        <v>5.7720090660746264</v>
      </c>
      <c r="O335" s="256">
        <f>FMS_Ranking4[[#This Row],[Structures at risk, ArcSinh (0-10)]]*M$5*10</f>
        <v>5.7720090660746273</v>
      </c>
      <c r="P335" s="253">
        <f>_xlfn.XLOOKUP(FMS_Ranking4[[#This Row],[FMS ID]],FMS_Input[FMS_ID],FMS_Input[RES_STRUCT100])</f>
        <v>553</v>
      </c>
      <c r="Q335" s="257">
        <f>ASINH(FMS_Ranking4[[#This Row],[Res Structure Raw]])/Q$4*P$5*100</f>
        <v>0</v>
      </c>
      <c r="R335" s="253">
        <f>_xlfn.XLOOKUP(FMS_Ranking4[[#This Row],[FMS ID]],FMS_Input[FMS_ID],FMS_Input[POP100])</f>
        <v>7004</v>
      </c>
      <c r="S335" s="259">
        <f>(ASINH(FMS_Ranking4[[#This Row],[Pop at Risk Raw]]))*(10)/(ASINH(R$4))</f>
        <v>6.5911149206545376</v>
      </c>
      <c r="T335" s="256">
        <f>FMS_Ranking4[[#This Row],[Population at risk, ArcSinh (0-10)]]*R$5*10</f>
        <v>6.5911149206545385</v>
      </c>
      <c r="U335" s="253">
        <f>_xlfn.XLOOKUP(FMS_Ranking4[[#This Row],[FMS ID]],FMS_Input[FMS_ID],FMS_Input[CRITFAC100])</f>
        <v>5</v>
      </c>
      <c r="V335" s="259">
        <f>(ASINH(FMS_Ranking4[[#This Row],[Critical Facilities Raw]]))*(10)/(ASINH(U$4))</f>
        <v>2.7373815814321909</v>
      </c>
      <c r="W335" s="256">
        <f>FMS_Ranking4[[#This Row],[Critical facilities at risk, ArcSinh (0-10)]]*U$5*10</f>
        <v>2.7373815814321913</v>
      </c>
      <c r="X335" s="253">
        <f>_xlfn.XLOOKUP(FMS_Ranking4[[#This Row],[FMS ID]],FMS_Input[FMS_ID],FMS_Input[LWC])</f>
        <v>2</v>
      </c>
      <c r="Y335" s="259">
        <f>(ASINH(FMS_Ranking4[[#This Row],[LWC Raw]]))*(10)/(ASINH(X$4))</f>
        <v>1.9557475158633808</v>
      </c>
      <c r="Z335" s="256">
        <f>FMS_Ranking4[[#This Row],[LWC, ArcSInh (0-10)]]*X$5*10</f>
        <v>1.9557475158633808</v>
      </c>
      <c r="AA335" s="253">
        <f>_xlfn.XLOOKUP(FMS_Ranking4[[#This Row],[FMS ID]],FMS_Input[FMS_ID],FMS_Input[ROADCLS])</f>
        <v>0</v>
      </c>
      <c r="AB335" s="255">
        <f>(ASINH(FMS_Ranking4[[#This Row],[Road Closures Raw]]))*(10)/(ASINH(AA$4))</f>
        <v>0</v>
      </c>
      <c r="AC335" s="256">
        <f>FMS_Ranking4[[#This Row],[Road closures, ArcSinh (0-10)]]*AA$5*10</f>
        <v>0</v>
      </c>
      <c r="AD335" s="253">
        <f>_xlfn.XLOOKUP(FMS_Ranking4[[#This Row],[FMS ID]],FMS_Input[FMS_ID],FMS_Input[ROAD_MILES100])</f>
        <v>39</v>
      </c>
      <c r="AE335" s="259">
        <f>(ASINH(FMS_Ranking4[[#This Row],[Road Miles Raw]]))*(10)/(ASINH(AD$4))</f>
        <v>4.6432280983160377</v>
      </c>
      <c r="AF335" s="256">
        <f>FMS_Ranking4[[#This Row],[Length of roads at risk, ArcSinh (0-10)]]*AD$5*10</f>
        <v>4.6432280983160377</v>
      </c>
      <c r="AG335" s="253">
        <f>_xlfn.XLOOKUP(FMS_Ranking4[[#This Row],[FMS ID]],FMS_Input[FMS_ID],FMS_Input[FARMACRE100])</f>
        <v>380.56082153320313</v>
      </c>
      <c r="AH335" s="255">
        <f>(ASINH(FMS_Ranking4[[#This Row],[Ag Land Raw]]))*(10)/(ASINH(AG$4))</f>
        <v>4.3098398311996338</v>
      </c>
      <c r="AI335" s="260">
        <f>FMS_Ranking4[[#This Row],[Farm &amp; ranch land, ArcSinh (0-10)]]*AG$5*10</f>
        <v>2.1549199155998169</v>
      </c>
      <c r="AJ335" s="258">
        <f>_xlfn.XLOOKUP(FMS_Ranking4[[#This Row],[FMS ID]],FMS_Input[FMS_ID],FMS_Input[REDSTRUCT100])</f>
        <v>0</v>
      </c>
      <c r="AK335" s="253">
        <f>_xlfn.XLOOKUP(FMS_Ranking4[[#This Row],[FMS ID]],FMS_Input[FMS_ID],FMS_Input[REMSTRC100])</f>
        <v>0</v>
      </c>
      <c r="AL335" s="259">
        <f>(ASINH(FMS_Ranking4[[#This Row],[Structures Removed Raw]]))*(10)/(ASINH(AK$4))</f>
        <v>0</v>
      </c>
      <c r="AM335" s="262">
        <f>FMS_Ranking4[[#This Row],[Structures removed, ArcSinh (0-10)]]*AK$5*10</f>
        <v>0</v>
      </c>
      <c r="AN335" s="253">
        <f>_xlfn.XLOOKUP(FMS_Ranking4[[#This Row],[FMS ID]],FMS_Input[FMS_ID],FMS_Input[REMRESSTRC100])</f>
        <v>0</v>
      </c>
      <c r="AO335" s="261">
        <f>FMS_Ranking4[[#This Row],[ArcSinh Res struct removed 0-10]]*AN$5*10</f>
        <v>0</v>
      </c>
      <c r="AP335" s="260">
        <f>ASINH(FMS_Ranking4[[#This Row],[Residential Structures Removed Raw]])/AP$4*AN$5*100</f>
        <v>0</v>
      </c>
      <c r="AQ335" s="254">
        <f>(ASINH(FMS_Ranking4[[#This Row],[Residential Structures Removed Raw]]))*(10)/(ASINH(AN$4))</f>
        <v>0</v>
      </c>
      <c r="AR335" s="253">
        <f>_xlfn.XLOOKUP(FMS_Ranking4[[#This Row],[FMS ID]],FMS_Input[FMS_ID],FMS_Input[REMPOP100])</f>
        <v>0</v>
      </c>
      <c r="AS335" s="259">
        <f>(ASINH(FMS_Ranking4[[#This Row],[Removed Pop Raw]]))*(10)/(ASINH(AR$4))</f>
        <v>0</v>
      </c>
      <c r="AT335" s="262">
        <f>FMS_Ranking4[[#This Row],[Removed population, ArcSinh (0-10)]]*AR$5*10</f>
        <v>0</v>
      </c>
      <c r="AU335" s="264">
        <f>_xlfn.XLOOKUP(FMS_Ranking4[[#This Row],[FMS ID]],FMS_Input[FMS_ID],FMS_Input[REMCRITFAC100])</f>
        <v>0</v>
      </c>
      <c r="AV335" s="264">
        <f>_xlfn.XLOOKUP(FMS_Ranking4[[#This Row],[FMS ID]],FMS_Input[FMS_ID],FMS_Input[REMLWC100])</f>
        <v>0</v>
      </c>
      <c r="AW335" s="264">
        <f>_xlfn.XLOOKUP(FMS_Ranking4[[#This Row],[FMS ID]],FMS_Input[FMS_ID],FMS_Input[REMROADCLS])</f>
        <v>0</v>
      </c>
      <c r="AX335" s="264">
        <f>_xlfn.XLOOKUP(FMS_Ranking4[[#This Row],[FMS ID]],FMS_Input[FMS_ID],FMS_Input[REMFRMACRE100])</f>
        <v>0</v>
      </c>
      <c r="AY335" s="258">
        <f>_xlfn.XLOOKUP(FMS_Ranking4[[#This Row],[FMS ID]],FMS_Input[FMS_ID],FMS_Input[COSTSTRUCT])</f>
        <v>0</v>
      </c>
      <c r="AZ335" s="253">
        <f>_xlfn.XLOOKUP(FMS_Ranking4[[#This Row],[FMS ID]],FMS_Input[FMS_ID],FMS_Input[NATURE])</f>
        <v>0</v>
      </c>
      <c r="BA335" s="262">
        <f>(((FMS_Ranking4[[#This Row],[% NBS Raw]]/AZ$4)*100)*AZ$5)</f>
        <v>0</v>
      </c>
      <c r="BB335" s="251" t="str">
        <f>_xlfn.XLOOKUP(FMS_Ranking4[[#This Row],[FMS ID]],FMS_Input[FMS_ID],FMS_Input[WATER_SUP])</f>
        <v>No</v>
      </c>
      <c r="BC335" s="265">
        <f>IF(FMS_Ranking4[[#This Row],[Water Supply Raw]]="Yes",10,0)</f>
        <v>0</v>
      </c>
      <c r="BD335" s="266">
        <f>_xlfn.XLOOKUP(FMS_Ranking4[[#This Row],[FMS Type]],FMS_TYPE[FMS_Type],FMS_TYPE[Score])</f>
        <v>8</v>
      </c>
      <c r="BE335" s="267">
        <f>FMS_Ranking4[[#This Row],[FMS_Type Score]]*$BD$5*10</f>
        <v>2</v>
      </c>
      <c r="BF33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0.2306100575673504</v>
      </c>
      <c r="BG335" s="271">
        <f>_xlfn.RANK.EQ(BF335,$BF$8:$BF$870,0)+COUNTIF($BF$8:BF335,BF335)-1</f>
        <v>342</v>
      </c>
      <c r="BH335" s="268">
        <f>(((FMS_Ranking4[[#This Row],[Structures Removed Raw]]/AK$4)*100)*AK$5)+(((FMS_Ranking4[[#This Row],[Removed Pop Raw]]/AR$4)*100)*AR$5)</f>
        <v>0</v>
      </c>
      <c r="BI33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2.2306100575673504</v>
      </c>
      <c r="BJ335" s="205">
        <f>_xlfn.RANK.EQ(FMS_Ranking4[[#This Row],[Total Score 
(with linear
normalization)]],FMS_Ranking4[Total Score 
(with linear
normalization)],0)</f>
        <v>317</v>
      </c>
      <c r="BK335" s="205" t="e">
        <f>_xlfn.XLOOKUP(FMS_Ranking4[[#This Row],[FMS ID]],#REF!,#REF!)</f>
        <v>#REF!</v>
      </c>
      <c r="BL33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23.854401097940588</v>
      </c>
      <c r="BM335" s="272">
        <f>FMS_Ranking4[[#This Row],[ArcSinh Score Based on Normalized Reported Factors]]+FMS_Ranking4[[#This Row],[% NBS Score (Normalized)]]+(FMS_Ranking4[[#This Row],[Water Supply Score (Normalized)]]*10*$BB$5)+FMS_Ranking4[[#This Row],[FMS_Type Score Weighted]]</f>
        <v>25.854401097940588</v>
      </c>
      <c r="BN335" s="205">
        <f>_xlfn.RANK.EQ(FMS_Ranking4[[#This Row],[Total Score (with ArcSinh normalization of select criteria)]],FMS_Ranking4[Total Score (with ArcSinh normalization of select criteria)],0)</f>
        <v>328</v>
      </c>
      <c r="BO335" s="270" t="str">
        <f>_xlfn.XLOOKUP(FMS_Ranking4[[#This Row],[FMS ID]],FMS_Input[FMS_ID],FMS_Input[FMS_RANK_YEAR])</f>
        <v>2023 Amended Plan</v>
      </c>
      <c r="BP335" s="204">
        <f>_xlfn.XLOOKUP(FMS_Ranking4[[#This Row],[FMS ID]],Prev_Rank[FMS ID],Prev_Rank[Prev Rank])</f>
        <v>297</v>
      </c>
      <c r="BQ335" s="205" t="e">
        <f>_xlfn.XLOOKUP(FMS_Ranking4[[#This Row],[FMS ID]],#REF!,#REF!)</f>
        <v>#REF!</v>
      </c>
      <c r="BR335" s="199" t="e">
        <f>SUM(#REF!,#REF!,#REF!,#REF!,#REF!,#REF!,#REF!,#REF!,#REF!,FMS_Ranking4[[#This Row],[ArcSinh Res struct removed 0-10]],#REF!)</f>
        <v>#REF!</v>
      </c>
      <c r="BS335" s="199" t="e">
        <f>FMS_Ranking4[[#This Row],[Log Score Based on Normalized Reported Factors]]+FMS_Ranking4[[#This Row],[% NBS Score (Normalized)]]+(FMS_Ranking4[[#This Row],[Water Supply Score (Normalized)]]*10*$BB$5)+(FMS_Ranking4[[#This Row],[FMS_Type Score Weighted]])</f>
        <v>#REF!</v>
      </c>
      <c r="BT335" s="200" t="e">
        <f>_xlfn.RANK.EQ(FMS_Ranking4[[#This Row],[Log Total Score]],FMS_Ranking4[Log Total Score],0)</f>
        <v>#REF!</v>
      </c>
      <c r="BU335" s="200" t="e">
        <f>_xlfn.XLOOKUP(FMS_Ranking4[[#This Row],[FMS ID]],#REF!,#REF!)</f>
        <v>#REF!</v>
      </c>
      <c r="BV335" s="200">
        <f>FMS_Ranking4[[#This Row],[Region Number]]</f>
        <v>2</v>
      </c>
      <c r="BW335" s="200">
        <f>FMS_Ranking4[[#This Row],[Rank (with ArcSinh normalization of select criteria)]]-FMS_Ranking4[[#This Row],[Rank
(with linear
normalization)]]</f>
        <v>11</v>
      </c>
      <c r="BX335" s="200" t="e">
        <f>FMS_Ranking4[[#This Row],[Log Rank]]-FMS_Ranking4[[#This Row],[Rank
(with linear
normalization)]]</f>
        <v>#REF!</v>
      </c>
      <c r="BY335" s="200" t="str">
        <f>IF(FMS_Ranking4[[#This Row],[FMS Type]]="Flood Measurement and Warning",FMS_Ranking4[[#This Row],[Rank (with ArcSinh normalization of select criteria)]],"")</f>
        <v/>
      </c>
      <c r="BZ335" s="200">
        <f>IF(FMS_Ranking4[[#This Row],[FMS Type]]="Regulatory and Guidance",FMS_Ranking4[[#This Row],[Rank (with ArcSinh normalization of select criteria)]],"")</f>
        <v>328</v>
      </c>
      <c r="CA335" s="200" t="str">
        <f>IF(FMS_Ranking4[[#This Row],[FMS Type]]="Education and Outreach",FMS_Ranking4[[#This Row],[Rank (with ArcSinh normalization of select criteria)]],"")</f>
        <v/>
      </c>
      <c r="CB335" s="200" t="str">
        <f>IF(FMS_Ranking4[[#This Row],[FMS Type]]="Property Acquisition and Structural Elevation",FMS_Ranking4[[#This Row],[Rank (with ArcSinh normalization of select criteria)]],"")</f>
        <v/>
      </c>
      <c r="CC335" s="200" t="str">
        <f>IF(FMS_Ranking4[[#This Row],[FMS Type]]="Infrastructure Projects",FMS_Ranking4[[#This Row],[Rank (with ArcSinh normalization of select criteria)]],"")</f>
        <v/>
      </c>
      <c r="CD335" s="200" t="str">
        <f>IF(FMS_Ranking4[[#This Row],[FMS Type]]="Other",FMS_Ranking4[[#This Row],[Rank (with ArcSinh normalization of select criteria)]],"")</f>
        <v/>
      </c>
      <c r="CE335" s="201"/>
      <c r="CF335" s="206"/>
      <c r="CG335" s="206"/>
      <c r="CH335" s="206"/>
      <c r="CI335" s="206"/>
      <c r="CJ335" s="206"/>
      <c r="CK335" s="206"/>
      <c r="CL335" s="206"/>
      <c r="CM335" s="206"/>
      <c r="CN335" s="206"/>
      <c r="CO335" s="206"/>
      <c r="CP335" s="206"/>
      <c r="CQ335" s="206"/>
      <c r="CR335" s="206"/>
    </row>
    <row r="336" spans="2:96" ht="45" x14ac:dyDescent="0.25">
      <c r="B336" s="341" t="s">
        <v>4268</v>
      </c>
      <c r="C336" s="246">
        <f>_xlfn.XLOOKUP(FMS_Ranking4[[#This Row],[FMS ID]],FMS_Input[FMS_ID],FMS_Input[RFPG_NUM])</f>
        <v>15</v>
      </c>
      <c r="D336" s="309" t="str">
        <f>_xlfn.XLOOKUP(FMS_Ranking4[[#This Row],[FMS ID]],FMS_Input[FMS_ID],FMS_Input[FMS_NAME])</f>
        <v>City of Mercedes - Planning, operation &amp; maintenance</v>
      </c>
      <c r="E336" s="308" t="str">
        <f>_xlfn.XLOOKUP(FMS_Ranking4[[#This Row],[FMS ID]],FMS_Input[FMS_ID],FMS_Input[SPONSOR])</f>
        <v>15000063</v>
      </c>
      <c r="F336" s="309" t="str">
        <f>_xlfn.XLOOKUP(FMS_Ranking4[[#This Row],[FMS ID]],Sponsor[FMS_ID],Sponsor[SPONSOR NAME])</f>
        <v>Mercedes</v>
      </c>
      <c r="G336" s="309" t="str">
        <f>_xlfn.XLOOKUP(FMS_Ranking4[[#This Row],[FMS ID]],FMS_Input[FMS_ID],FMS_Input[FMS_DESCR])</f>
        <v>Develop and Implement a planning, operation &amp; Maintenance plan</v>
      </c>
      <c r="H336" s="248" t="str">
        <f>_xlfn.XLOOKUP(FMS_Ranking4[[#This Row],[FMS ID]],FMS_Input[FMS_ID],FMS_Input[FMS_TYPE])</f>
        <v>Flood Measurement and Warning</v>
      </c>
      <c r="I336" s="249">
        <f>_xlfn.XLOOKUP(FMS_Ranking4[[#This Row],[FMS ID]],FMS_Input[FMS_ID],FMS_Input[NRNC_COST])</f>
        <v>600000</v>
      </c>
      <c r="J336" s="250">
        <f>_xlfn.XLOOKUP(FMS_Ranking4[[#This Row],[FMS ID]],FMS_Input[FMS_ID],FMS_Input[FMS_COST])</f>
        <v>5000000</v>
      </c>
      <c r="K336" s="251" t="str">
        <f>_xlfn.XLOOKUP(FMS_Ranking4[[#This Row],[FMS ID]],FMS_Input[FMS_ID],FMS_Input[EMER_NEED])</f>
        <v>Yes</v>
      </c>
      <c r="L336" s="252">
        <f t="shared" si="5"/>
        <v>1</v>
      </c>
      <c r="M336" s="253">
        <f>_xlfn.XLOOKUP(FMS_Ranking4[[#This Row],[FMS ID]],FMS_Input[FMS_ID],FMS_Input[STRUCT_100])</f>
        <v>4021</v>
      </c>
      <c r="N336" s="255">
        <f>(ASINH(FMS_Ranking4[[#This Row],[Structure at Risk Raw]]))*(10)/(ASINH(M$4))</f>
        <v>7.0693913341923276</v>
      </c>
      <c r="O336" s="256">
        <f>FMS_Ranking4[[#This Row],[Structures at risk, ArcSinh (0-10)]]*M$5*10</f>
        <v>7.0693913341923276</v>
      </c>
      <c r="P336" s="253">
        <f>_xlfn.XLOOKUP(FMS_Ranking4[[#This Row],[FMS ID]],FMS_Input[FMS_ID],FMS_Input[RES_STRUCT100])</f>
        <v>2869</v>
      </c>
      <c r="Q336" s="257">
        <f>ASINH(FMS_Ranking4[[#This Row],[Res Structure Raw]])/Q$4*P$5*100</f>
        <v>0</v>
      </c>
      <c r="R336" s="253">
        <f>_xlfn.XLOOKUP(FMS_Ranking4[[#This Row],[FMS ID]],FMS_Input[FMS_ID],FMS_Input[POP100])</f>
        <v>13568</v>
      </c>
      <c r="S336" s="255">
        <f>(ASINH(FMS_Ranking4[[#This Row],[Pop at Risk Raw]]))*(10)/(ASINH(R$4))</f>
        <v>7.0476023220629331</v>
      </c>
      <c r="T336" s="256">
        <f>FMS_Ranking4[[#This Row],[Population at risk, ArcSinh (0-10)]]*R$5*10</f>
        <v>7.047602322062934</v>
      </c>
      <c r="U336" s="253">
        <f>_xlfn.XLOOKUP(FMS_Ranking4[[#This Row],[FMS ID]],FMS_Input[FMS_ID],FMS_Input[CRITFAC100])</f>
        <v>1</v>
      </c>
      <c r="V336" s="255">
        <f>(ASINH(FMS_Ranking4[[#This Row],[Critical Facilities Raw]]))*(10)/(ASINH(U$4))</f>
        <v>1.0433384451410745</v>
      </c>
      <c r="W336" s="256">
        <f>FMS_Ranking4[[#This Row],[Critical facilities at risk, ArcSinh (0-10)]]*U$5*10</f>
        <v>1.0433384451410745</v>
      </c>
      <c r="X336" s="253">
        <f>_xlfn.XLOOKUP(FMS_Ranking4[[#This Row],[FMS ID]],FMS_Input[FMS_ID],FMS_Input[LWC])</f>
        <v>0</v>
      </c>
      <c r="Y336" s="255">
        <f>(ASINH(FMS_Ranking4[[#This Row],[LWC Raw]]))*(10)/(ASINH(X$4))</f>
        <v>0</v>
      </c>
      <c r="Z336" s="256">
        <f>FMS_Ranking4[[#This Row],[LWC, ArcSInh (0-10)]]*X$5*10</f>
        <v>0</v>
      </c>
      <c r="AA336" s="253">
        <f>_xlfn.XLOOKUP(FMS_Ranking4[[#This Row],[FMS ID]],FMS_Input[FMS_ID],FMS_Input[ROADCLS])</f>
        <v>0</v>
      </c>
      <c r="AB336" s="255">
        <f>(ASINH(FMS_Ranking4[[#This Row],[Road Closures Raw]]))*(10)/(ASINH(AA$4))</f>
        <v>0</v>
      </c>
      <c r="AC336" s="256">
        <f>FMS_Ranking4[[#This Row],[Road closures, ArcSinh (0-10)]]*AA$5*10</f>
        <v>0</v>
      </c>
      <c r="AD336" s="253">
        <f>_xlfn.XLOOKUP(FMS_Ranking4[[#This Row],[FMS ID]],FMS_Input[FMS_ID],FMS_Input[ROAD_MILES100])</f>
        <v>77</v>
      </c>
      <c r="AE336" s="255">
        <f>(ASINH(FMS_Ranking4[[#This Row],[Road Miles Raw]]))*(10)/(ASINH(AD$4))</f>
        <v>5.3680506205167342</v>
      </c>
      <c r="AF336" s="256">
        <f>FMS_Ranking4[[#This Row],[Length of roads at risk, ArcSinh (0-10)]]*AD$5*10</f>
        <v>5.3680506205167342</v>
      </c>
      <c r="AG336" s="253">
        <f>_xlfn.XLOOKUP(FMS_Ranking4[[#This Row],[FMS ID]],FMS_Input[FMS_ID],FMS_Input[FARMACRE100])</f>
        <v>2751.163330078125</v>
      </c>
      <c r="AH336" s="255">
        <f>(ASINH(FMS_Ranking4[[#This Row],[Ag Land Raw]]))*(10)/(ASINH(AG$4))</f>
        <v>5.5947973495880756</v>
      </c>
      <c r="AI336" s="260">
        <f>FMS_Ranking4[[#This Row],[Farm &amp; ranch land, ArcSinh (0-10)]]*AG$5*10</f>
        <v>2.7973986747940378</v>
      </c>
      <c r="AJ336" s="258">
        <f>_xlfn.XLOOKUP(FMS_Ranking4[[#This Row],[FMS ID]],FMS_Input[FMS_ID],FMS_Input[REDSTRUCT100])</f>
        <v>0</v>
      </c>
      <c r="AK336" s="253">
        <f>_xlfn.XLOOKUP(FMS_Ranking4[[#This Row],[FMS ID]],FMS_Input[FMS_ID],FMS_Input[REMSTRC100])</f>
        <v>0</v>
      </c>
      <c r="AL336" s="255">
        <f>(ASINH(FMS_Ranking4[[#This Row],[Structures Removed Raw]]))*(10)/(ASINH(AK$4))</f>
        <v>0</v>
      </c>
      <c r="AM336" s="262">
        <f>FMS_Ranking4[[#This Row],[Structures removed, ArcSinh (0-10)]]*AK$5*10</f>
        <v>0</v>
      </c>
      <c r="AN336" s="253">
        <f>_xlfn.XLOOKUP(FMS_Ranking4[[#This Row],[FMS ID]],FMS_Input[FMS_ID],FMS_Input[REMRESSTRC100])</f>
        <v>0</v>
      </c>
      <c r="AO336" s="261">
        <f>FMS_Ranking4[[#This Row],[ArcSinh Res struct removed 0-10]]*AN$5*10</f>
        <v>0</v>
      </c>
      <c r="AP336" s="260">
        <f>ASINH(FMS_Ranking4[[#This Row],[Residential Structures Removed Raw]])/AP$4*AN$5*100</f>
        <v>0</v>
      </c>
      <c r="AQ336" s="258">
        <f>(ASINH(FMS_Ranking4[[#This Row],[Residential Structures Removed Raw]]))*(10)/(ASINH(AN$4))</f>
        <v>0</v>
      </c>
      <c r="AR336" s="253">
        <f>_xlfn.XLOOKUP(FMS_Ranking4[[#This Row],[FMS ID]],FMS_Input[FMS_ID],FMS_Input[REMPOP100])</f>
        <v>0</v>
      </c>
      <c r="AS336" s="255">
        <f>(ASINH(FMS_Ranking4[[#This Row],[Removed Pop Raw]]))*(10)/(ASINH(AR$4))</f>
        <v>0</v>
      </c>
      <c r="AT336" s="262">
        <f>FMS_Ranking4[[#This Row],[Removed population, ArcSinh (0-10)]]*AR$5*10</f>
        <v>0</v>
      </c>
      <c r="AU336" s="264">
        <f>_xlfn.XLOOKUP(FMS_Ranking4[[#This Row],[FMS ID]],FMS_Input[FMS_ID],FMS_Input[REMCRITFAC100])</f>
        <v>0</v>
      </c>
      <c r="AV336" s="264">
        <f>_xlfn.XLOOKUP(FMS_Ranking4[[#This Row],[FMS ID]],FMS_Input[FMS_ID],FMS_Input[REMLWC100])</f>
        <v>0</v>
      </c>
      <c r="AW336" s="264">
        <f>_xlfn.XLOOKUP(FMS_Ranking4[[#This Row],[FMS ID]],FMS_Input[FMS_ID],FMS_Input[REMROADCLS])</f>
        <v>0</v>
      </c>
      <c r="AX336" s="264">
        <f>_xlfn.XLOOKUP(FMS_Ranking4[[#This Row],[FMS ID]],FMS_Input[FMS_ID],FMS_Input[REMFRMACRE100])</f>
        <v>0</v>
      </c>
      <c r="AY336" s="258">
        <f>_xlfn.XLOOKUP(FMS_Ranking4[[#This Row],[FMS ID]],FMS_Input[FMS_ID],FMS_Input[COSTSTRUCT])</f>
        <v>0</v>
      </c>
      <c r="AZ336" s="253">
        <f>_xlfn.XLOOKUP(FMS_Ranking4[[#This Row],[FMS ID]],FMS_Input[FMS_ID],FMS_Input[NATURE])</f>
        <v>0</v>
      </c>
      <c r="BA336" s="262">
        <f>(((FMS_Ranking4[[#This Row],[% NBS Raw]]/AZ$4)*100)*AZ$5)</f>
        <v>0</v>
      </c>
      <c r="BB336" s="251" t="str">
        <f>_xlfn.XLOOKUP(FMS_Ranking4[[#This Row],[FMS ID]],FMS_Input[FMS_ID],FMS_Input[WATER_SUP])</f>
        <v>No</v>
      </c>
      <c r="BC336" s="265">
        <f>IF(FMS_Ranking4[[#This Row],[Water Supply Raw]]="Yes",10,0)</f>
        <v>0</v>
      </c>
      <c r="BD336" s="266">
        <f>_xlfn.XLOOKUP(FMS_Ranking4[[#This Row],[FMS Type]],FMS_TYPE[FMS_Type],FMS_TYPE[Score])</f>
        <v>10</v>
      </c>
      <c r="BE336" s="267">
        <f>FMS_Ranking4[[#This Row],[FMS_Type Score]]*$BD$5*10</f>
        <v>2.5</v>
      </c>
      <c r="BF33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0.51885447234482895</v>
      </c>
      <c r="BG336" s="321">
        <f>_xlfn.RANK.EQ(BF336,$BF$8:$BF$870,0)+COUNTIF($BF$8:BF336,BF336)-1</f>
        <v>219</v>
      </c>
      <c r="BH336" s="294">
        <f>(((FMS_Ranking4[[#This Row],[Structures Removed Raw]]/AK$4)*100)*AK$5)+(((FMS_Ranking4[[#This Row],[Removed Pop Raw]]/AR$4)*100)*AR$5)</f>
        <v>0</v>
      </c>
      <c r="BI33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3.0188544723448292</v>
      </c>
      <c r="BJ336" s="251">
        <f>_xlfn.RANK.EQ(FMS_Ranking4[[#This Row],[Total Score 
(with linear
normalization)]],FMS_Ranking4[Total Score 
(with linear
normalization)],0)</f>
        <v>172</v>
      </c>
      <c r="BK336" s="251" t="e">
        <f>_xlfn.XLOOKUP(FMS_Ranking4[[#This Row],[FMS ID]],#REF!,#REF!)</f>
        <v>#REF!</v>
      </c>
      <c r="BL33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23.325781396707107</v>
      </c>
      <c r="BM336" s="324">
        <f>FMS_Ranking4[[#This Row],[ArcSinh Score Based on Normalized Reported Factors]]+FMS_Ranking4[[#This Row],[% NBS Score (Normalized)]]+(FMS_Ranking4[[#This Row],[Water Supply Score (Normalized)]]*10*$BB$5)+FMS_Ranking4[[#This Row],[FMS_Type Score Weighted]]</f>
        <v>25.825781396707107</v>
      </c>
      <c r="BN336" s="251">
        <f>_xlfn.RANK.EQ(FMS_Ranking4[[#This Row],[Total Score (with ArcSinh normalization of select criteria)]],FMS_Ranking4[Total Score (with ArcSinh normalization of select criteria)],0)</f>
        <v>329</v>
      </c>
      <c r="BO336" s="270" t="str">
        <f>_xlfn.XLOOKUP(FMS_Ranking4[[#This Row],[FMS ID]],FMS_Input[FMS_ID],FMS_Input[FMS_RANK_YEAR])</f>
        <v>2023 Amended Plan</v>
      </c>
      <c r="BP336" s="204">
        <f>_xlfn.XLOOKUP(FMS_Ranking4[[#This Row],[FMS ID]],Prev_Rank[FMS ID],Prev_Rank[Prev Rank])</f>
        <v>294</v>
      </c>
      <c r="BQ336" s="251" t="e">
        <f>_xlfn.XLOOKUP(FMS_Ranking4[[#This Row],[FMS ID]],#REF!,#REF!)</f>
        <v>#REF!</v>
      </c>
      <c r="BR336" s="199" t="e">
        <f>SUM(#REF!,#REF!,#REF!,#REF!,#REF!,#REF!,#REF!,#REF!,#REF!,FMS_Ranking4[[#This Row],[ArcSinh Res struct removed 0-10]],#REF!)</f>
        <v>#REF!</v>
      </c>
      <c r="BS336" s="199" t="e">
        <f>FMS_Ranking4[[#This Row],[Log Score Based on Normalized Reported Factors]]+FMS_Ranking4[[#This Row],[% NBS Score (Normalized)]]+(FMS_Ranking4[[#This Row],[Water Supply Score (Normalized)]]*10*$BB$5)+(FMS_Ranking4[[#This Row],[FMS_Type Score Weighted]])</f>
        <v>#REF!</v>
      </c>
      <c r="BT336" s="200" t="e">
        <f>_xlfn.RANK.EQ(FMS_Ranking4[[#This Row],[Log Total Score]],FMS_Ranking4[Log Total Score],0)</f>
        <v>#REF!</v>
      </c>
      <c r="BU336" s="200" t="e">
        <f>_xlfn.XLOOKUP(FMS_Ranking4[[#This Row],[FMS ID]],#REF!,#REF!)</f>
        <v>#REF!</v>
      </c>
      <c r="BV336" s="200">
        <f>FMS_Ranking4[[#This Row],[Region Number]]</f>
        <v>15</v>
      </c>
      <c r="BW336" s="200">
        <f>FMS_Ranking4[[#This Row],[Rank (with ArcSinh normalization of select criteria)]]-FMS_Ranking4[[#This Row],[Rank
(with linear
normalization)]]</f>
        <v>157</v>
      </c>
      <c r="BX336" s="200" t="e">
        <f>FMS_Ranking4[[#This Row],[Log Rank]]-FMS_Ranking4[[#This Row],[Rank
(with linear
normalization)]]</f>
        <v>#REF!</v>
      </c>
      <c r="BY336" s="200">
        <f>IF(FMS_Ranking4[[#This Row],[FMS Type]]="Flood Measurement and Warning",FMS_Ranking4[[#This Row],[Rank (with ArcSinh normalization of select criteria)]],"")</f>
        <v>329</v>
      </c>
      <c r="BZ336" s="200" t="str">
        <f>IF(FMS_Ranking4[[#This Row],[FMS Type]]="Regulatory and Guidance",FMS_Ranking4[[#This Row],[Rank (with ArcSinh normalization of select criteria)]],"")</f>
        <v/>
      </c>
      <c r="CA336" s="200" t="str">
        <f>IF(FMS_Ranking4[[#This Row],[FMS Type]]="Education and Outreach",FMS_Ranking4[[#This Row],[Rank (with ArcSinh normalization of select criteria)]],"")</f>
        <v/>
      </c>
      <c r="CB336" s="200" t="str">
        <f>IF(FMS_Ranking4[[#This Row],[FMS Type]]="Property Acquisition and Structural Elevation",FMS_Ranking4[[#This Row],[Rank (with ArcSinh normalization of select criteria)]],"")</f>
        <v/>
      </c>
      <c r="CC336" s="200" t="str">
        <f>IF(FMS_Ranking4[[#This Row],[FMS Type]]="Infrastructure Projects",FMS_Ranking4[[#This Row],[Rank (with ArcSinh normalization of select criteria)]],"")</f>
        <v/>
      </c>
      <c r="CD336" s="200" t="str">
        <f>IF(FMS_Ranking4[[#This Row],[FMS Type]]="Other",FMS_Ranking4[[#This Row],[Rank (with ArcSinh normalization of select criteria)]],"")</f>
        <v/>
      </c>
      <c r="CE336" s="201"/>
      <c r="CF336" s="206"/>
      <c r="CG336" s="206"/>
      <c r="CH336" s="206"/>
      <c r="CI336" s="206"/>
      <c r="CJ336" s="206"/>
      <c r="CK336" s="206"/>
      <c r="CL336" s="206"/>
      <c r="CM336" s="206"/>
      <c r="CN336" s="206"/>
      <c r="CO336" s="206"/>
      <c r="CP336" s="206"/>
      <c r="CQ336" s="206"/>
      <c r="CR336" s="206"/>
    </row>
    <row r="337" spans="2:96" ht="60" x14ac:dyDescent="0.25">
      <c r="B337" s="346" t="s">
        <v>3934</v>
      </c>
      <c r="C337" s="246">
        <f>_xlfn.XLOOKUP(FMS_Ranking4[[#This Row],[FMS ID]],FMS_Input[FMS_ID],FMS_Input[RFPG_NUM])</f>
        <v>15</v>
      </c>
      <c r="D337" s="309" t="str">
        <f>_xlfn.XLOOKUP(FMS_Ranking4[[#This Row],[FMS ID]],FMS_Input[FMS_ID],FMS_Input[FMS_NAME])</f>
        <v>Mercedes #11-1.1</v>
      </c>
      <c r="E337" s="308" t="str">
        <f>_xlfn.XLOOKUP(FMS_Ranking4[[#This Row],[FMS ID]],FMS_Input[FMS_ID],FMS_Input[SPONSOR])</f>
        <v>15000063</v>
      </c>
      <c r="F337" s="309" t="str">
        <f>_xlfn.XLOOKUP(FMS_Ranking4[[#This Row],[FMS ID]],Sponsor[FMS_ID],Sponsor[SPONSOR NAME])</f>
        <v>Mercedes</v>
      </c>
      <c r="G337" s="309" t="str">
        <f>_xlfn.XLOOKUP(FMS_Ranking4[[#This Row],[FMS ID]],FMS_Input[FMS_ID],FMS_Input[FMS_DESCR])</f>
        <v>Develop Procedures For Mass Notifications To Citizens And Merchants During Natural Hazard Incident.</v>
      </c>
      <c r="H337" s="248" t="str">
        <f>_xlfn.XLOOKUP(FMS_Ranking4[[#This Row],[FMS ID]],FMS_Input[FMS_ID],FMS_Input[FMS_TYPE])</f>
        <v>Flood Measurement and Warning</v>
      </c>
      <c r="I337" s="249">
        <f>_xlfn.XLOOKUP(FMS_Ranking4[[#This Row],[FMS ID]],FMS_Input[FMS_ID],FMS_Input[NRNC_COST])</f>
        <v>1000</v>
      </c>
      <c r="J337" s="250">
        <f>_xlfn.XLOOKUP(FMS_Ranking4[[#This Row],[FMS ID]],FMS_Input[FMS_ID],FMS_Input[FMS_COST])</f>
        <v>25000</v>
      </c>
      <c r="K337" s="251" t="str">
        <f>_xlfn.XLOOKUP(FMS_Ranking4[[#This Row],[FMS ID]],FMS_Input[FMS_ID],FMS_Input[EMER_NEED])</f>
        <v>Yes</v>
      </c>
      <c r="L337" s="252">
        <f t="shared" si="5"/>
        <v>1</v>
      </c>
      <c r="M337" s="253">
        <f>_xlfn.XLOOKUP(FMS_Ranking4[[#This Row],[FMS ID]],FMS_Input[FMS_ID],FMS_Input[STRUCT_100])</f>
        <v>4021</v>
      </c>
      <c r="N337" s="255">
        <f>(ASINH(FMS_Ranking4[[#This Row],[Structure at Risk Raw]]))*(10)/(ASINH(M$4))</f>
        <v>7.0693913341923276</v>
      </c>
      <c r="O337" s="256">
        <f>FMS_Ranking4[[#This Row],[Structures at risk, ArcSinh (0-10)]]*M$5*10</f>
        <v>7.0693913341923276</v>
      </c>
      <c r="P337" s="253">
        <f>_xlfn.XLOOKUP(FMS_Ranking4[[#This Row],[FMS ID]],FMS_Input[FMS_ID],FMS_Input[RES_STRUCT100])</f>
        <v>2866</v>
      </c>
      <c r="Q337" s="257">
        <f>ASINH(FMS_Ranking4[[#This Row],[Res Structure Raw]])/Q$4*P$5*100</f>
        <v>0</v>
      </c>
      <c r="R337" s="253">
        <f>_xlfn.XLOOKUP(FMS_Ranking4[[#This Row],[FMS ID]],FMS_Input[FMS_ID],FMS_Input[POP100])</f>
        <v>13565</v>
      </c>
      <c r="S337" s="255">
        <f>(ASINH(FMS_Ranking4[[#This Row],[Pop at Risk Raw]]))*(10)/(ASINH(R$4))</f>
        <v>7.0474496611218944</v>
      </c>
      <c r="T337" s="256">
        <f>FMS_Ranking4[[#This Row],[Population at risk, ArcSinh (0-10)]]*R$5*10</f>
        <v>7.0474496611218953</v>
      </c>
      <c r="U337" s="253">
        <f>_xlfn.XLOOKUP(FMS_Ranking4[[#This Row],[FMS ID]],FMS_Input[FMS_ID],FMS_Input[CRITFAC100])</f>
        <v>1</v>
      </c>
      <c r="V337" s="255">
        <f>(ASINH(FMS_Ranking4[[#This Row],[Critical Facilities Raw]]))*(10)/(ASINH(U$4))</f>
        <v>1.0433384451410745</v>
      </c>
      <c r="W337" s="256">
        <f>FMS_Ranking4[[#This Row],[Critical facilities at risk, ArcSinh (0-10)]]*U$5*10</f>
        <v>1.0433384451410745</v>
      </c>
      <c r="X337" s="253">
        <f>_xlfn.XLOOKUP(FMS_Ranking4[[#This Row],[FMS ID]],FMS_Input[FMS_ID],FMS_Input[LWC])</f>
        <v>0</v>
      </c>
      <c r="Y337" s="255">
        <f>(ASINH(FMS_Ranking4[[#This Row],[LWC Raw]]))*(10)/(ASINH(X$4))</f>
        <v>0</v>
      </c>
      <c r="Z337" s="256">
        <f>FMS_Ranking4[[#This Row],[LWC, ArcSInh (0-10)]]*X$5*10</f>
        <v>0</v>
      </c>
      <c r="AA337" s="253">
        <f>_xlfn.XLOOKUP(FMS_Ranking4[[#This Row],[FMS ID]],FMS_Input[FMS_ID],FMS_Input[ROADCLS])</f>
        <v>0</v>
      </c>
      <c r="AB337" s="255">
        <f>(ASINH(FMS_Ranking4[[#This Row],[Road Closures Raw]]))*(10)/(ASINH(AA$4))</f>
        <v>0</v>
      </c>
      <c r="AC337" s="256">
        <f>FMS_Ranking4[[#This Row],[Road closures, ArcSinh (0-10)]]*AA$5*10</f>
        <v>0</v>
      </c>
      <c r="AD337" s="253">
        <f>_xlfn.XLOOKUP(FMS_Ranking4[[#This Row],[FMS ID]],FMS_Input[FMS_ID],FMS_Input[ROAD_MILES100])</f>
        <v>77</v>
      </c>
      <c r="AE337" s="255">
        <f>(ASINH(FMS_Ranking4[[#This Row],[Road Miles Raw]]))*(10)/(ASINH(AD$4))</f>
        <v>5.3680506205167342</v>
      </c>
      <c r="AF337" s="256">
        <f>FMS_Ranking4[[#This Row],[Length of roads at risk, ArcSinh (0-10)]]*AD$5*10</f>
        <v>5.3680506205167342</v>
      </c>
      <c r="AG337" s="253">
        <f>_xlfn.XLOOKUP(FMS_Ranking4[[#This Row],[FMS ID]],FMS_Input[FMS_ID],FMS_Input[FARMACRE100])</f>
        <v>2751.86962890625</v>
      </c>
      <c r="AH337" s="255">
        <f>(ASINH(FMS_Ranking4[[#This Row],[Ag Land Raw]]))*(10)/(ASINH(AG$4))</f>
        <v>5.5949640934931875</v>
      </c>
      <c r="AI337" s="260">
        <f>FMS_Ranking4[[#This Row],[Farm &amp; ranch land, ArcSinh (0-10)]]*AG$5*10</f>
        <v>2.7974820467465937</v>
      </c>
      <c r="AJ337" s="258">
        <f>_xlfn.XLOOKUP(FMS_Ranking4[[#This Row],[FMS ID]],FMS_Input[FMS_ID],FMS_Input[REDSTRUCT100])</f>
        <v>0</v>
      </c>
      <c r="AK337" s="253">
        <f>_xlfn.XLOOKUP(FMS_Ranking4[[#This Row],[FMS ID]],FMS_Input[FMS_ID],FMS_Input[REMSTRC100])</f>
        <v>0</v>
      </c>
      <c r="AL337" s="255">
        <f>(ASINH(FMS_Ranking4[[#This Row],[Structures Removed Raw]]))*(10)/(ASINH(AK$4))</f>
        <v>0</v>
      </c>
      <c r="AM337" s="262">
        <f>FMS_Ranking4[[#This Row],[Structures removed, ArcSinh (0-10)]]*AK$5*10</f>
        <v>0</v>
      </c>
      <c r="AN337" s="253">
        <f>_xlfn.XLOOKUP(FMS_Ranking4[[#This Row],[FMS ID]],FMS_Input[FMS_ID],FMS_Input[REMRESSTRC100])</f>
        <v>0</v>
      </c>
      <c r="AO337" s="261">
        <f>FMS_Ranking4[[#This Row],[ArcSinh Res struct removed 0-10]]*AN$5*10</f>
        <v>0</v>
      </c>
      <c r="AP337" s="260">
        <f>ASINH(FMS_Ranking4[[#This Row],[Residential Structures Removed Raw]])/AP$4*AN$5*100</f>
        <v>0</v>
      </c>
      <c r="AQ337" s="258">
        <f>(ASINH(FMS_Ranking4[[#This Row],[Residential Structures Removed Raw]]))*(10)/(ASINH(AN$4))</f>
        <v>0</v>
      </c>
      <c r="AR337" s="253">
        <f>_xlfn.XLOOKUP(FMS_Ranking4[[#This Row],[FMS ID]],FMS_Input[FMS_ID],FMS_Input[REMPOP100])</f>
        <v>0</v>
      </c>
      <c r="AS337" s="255">
        <f>(ASINH(FMS_Ranking4[[#This Row],[Removed Pop Raw]]))*(10)/(ASINH(AR$4))</f>
        <v>0</v>
      </c>
      <c r="AT337" s="262">
        <f>FMS_Ranking4[[#This Row],[Removed population, ArcSinh (0-10)]]*AR$5*10</f>
        <v>0</v>
      </c>
      <c r="AU337" s="264">
        <f>_xlfn.XLOOKUP(FMS_Ranking4[[#This Row],[FMS ID]],FMS_Input[FMS_ID],FMS_Input[REMCRITFAC100])</f>
        <v>0</v>
      </c>
      <c r="AV337" s="264">
        <f>_xlfn.XLOOKUP(FMS_Ranking4[[#This Row],[FMS ID]],FMS_Input[FMS_ID],FMS_Input[REMLWC100])</f>
        <v>0</v>
      </c>
      <c r="AW337" s="264">
        <f>_xlfn.XLOOKUP(FMS_Ranking4[[#This Row],[FMS ID]],FMS_Input[FMS_ID],FMS_Input[REMROADCLS])</f>
        <v>0</v>
      </c>
      <c r="AX337" s="264">
        <f>_xlfn.XLOOKUP(FMS_Ranking4[[#This Row],[FMS ID]],FMS_Input[FMS_ID],FMS_Input[REMFRMACRE100])</f>
        <v>0</v>
      </c>
      <c r="AY337" s="258">
        <f>_xlfn.XLOOKUP(FMS_Ranking4[[#This Row],[FMS ID]],FMS_Input[FMS_ID],FMS_Input[COSTSTRUCT])</f>
        <v>0</v>
      </c>
      <c r="AZ337" s="253">
        <f>_xlfn.XLOOKUP(FMS_Ranking4[[#This Row],[FMS ID]],FMS_Input[FMS_ID],FMS_Input[NATURE])</f>
        <v>0</v>
      </c>
      <c r="BA337" s="262">
        <f>(((FMS_Ranking4[[#This Row],[% NBS Raw]]/AZ$4)*100)*AZ$5)</f>
        <v>0</v>
      </c>
      <c r="BB337" s="251" t="str">
        <f>_xlfn.XLOOKUP(FMS_Ranking4[[#This Row],[FMS ID]],FMS_Input[FMS_ID],FMS_Input[WATER_SUP])</f>
        <v>No</v>
      </c>
      <c r="BC337" s="265">
        <f>IF(FMS_Ranking4[[#This Row],[Water Supply Raw]]="Yes",10,0)</f>
        <v>0</v>
      </c>
      <c r="BD337" s="266">
        <f>_xlfn.XLOOKUP(FMS_Ranking4[[#This Row],[FMS Type]],FMS_TYPE[FMS_Type],FMS_TYPE[Score])</f>
        <v>10</v>
      </c>
      <c r="BE337" s="267">
        <f>FMS_Ranking4[[#This Row],[FMS_Type Score]]*$BD$5*10</f>
        <v>2.5</v>
      </c>
      <c r="BF33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0.51882521755335365</v>
      </c>
      <c r="BG337" s="293">
        <f>_xlfn.RANK.EQ(BF337,$BF$8:$BF$870,0)+COUNTIF($BF$8:BF337,BF337)-1</f>
        <v>220</v>
      </c>
      <c r="BH337" s="294">
        <f>(((FMS_Ranking4[[#This Row],[Structures Removed Raw]]/AK$4)*100)*AK$5)+(((FMS_Ranking4[[#This Row],[Removed Pop Raw]]/AR$4)*100)*AR$5)</f>
        <v>0</v>
      </c>
      <c r="BI33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3.0188252175533536</v>
      </c>
      <c r="BJ337" s="251">
        <f>_xlfn.RANK.EQ(FMS_Ranking4[[#This Row],[Total Score 
(with linear
normalization)]],FMS_Ranking4[Total Score 
(with linear
normalization)],0)</f>
        <v>173</v>
      </c>
      <c r="BK337" s="251" t="e">
        <f>_xlfn.XLOOKUP(FMS_Ranking4[[#This Row],[FMS ID]],#REF!,#REF!)</f>
        <v>#REF!</v>
      </c>
      <c r="BL33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23.325712107718626</v>
      </c>
      <c r="BM337" s="324">
        <f>FMS_Ranking4[[#This Row],[ArcSinh Score Based on Normalized Reported Factors]]+FMS_Ranking4[[#This Row],[% NBS Score (Normalized)]]+(FMS_Ranking4[[#This Row],[Water Supply Score (Normalized)]]*10*$BB$5)+FMS_Ranking4[[#This Row],[FMS_Type Score Weighted]]</f>
        <v>25.825712107718626</v>
      </c>
      <c r="BN337" s="251">
        <f>_xlfn.RANK.EQ(FMS_Ranking4[[#This Row],[Total Score (with ArcSinh normalization of select criteria)]],FMS_Ranking4[Total Score (with ArcSinh normalization of select criteria)],0)</f>
        <v>330</v>
      </c>
      <c r="BO337" s="270" t="str">
        <f>_xlfn.XLOOKUP(FMS_Ranking4[[#This Row],[FMS ID]],FMS_Input[FMS_ID],FMS_Input[FMS_RANK_YEAR])</f>
        <v>2023 Amended Plan</v>
      </c>
      <c r="BP337" s="324">
        <f>_xlfn.XLOOKUP(FMS_Ranking4[[#This Row],[FMS ID]],Prev_Rank[FMS ID],Prev_Rank[Prev Rank])</f>
        <v>295</v>
      </c>
      <c r="BQ337" s="251" t="e">
        <f>_xlfn.XLOOKUP(FMS_Ranking4[[#This Row],[FMS ID]],#REF!,#REF!)</f>
        <v>#REF!</v>
      </c>
      <c r="BR337" s="199" t="e">
        <f>SUM(#REF!,#REF!,#REF!,#REF!,#REF!,#REF!,#REF!,#REF!,#REF!,FMS_Ranking4[[#This Row],[ArcSinh Res struct removed 0-10]],#REF!)</f>
        <v>#REF!</v>
      </c>
      <c r="BS337" s="199" t="e">
        <f>FMS_Ranking4[[#This Row],[Log Score Based on Normalized Reported Factors]]+FMS_Ranking4[[#This Row],[% NBS Score (Normalized)]]+(FMS_Ranking4[[#This Row],[Water Supply Score (Normalized)]]*10*$BB$5)+(FMS_Ranking4[[#This Row],[FMS_Type Score Weighted]])</f>
        <v>#REF!</v>
      </c>
      <c r="BT337" s="200" t="e">
        <f>_xlfn.RANK.EQ(FMS_Ranking4[[#This Row],[Log Total Score]],FMS_Ranking4[Log Total Score],0)</f>
        <v>#REF!</v>
      </c>
      <c r="BU337" s="200" t="e">
        <f>_xlfn.XLOOKUP(FMS_Ranking4[[#This Row],[FMS ID]],#REF!,#REF!)</f>
        <v>#REF!</v>
      </c>
      <c r="BV337" s="200">
        <f>FMS_Ranking4[[#This Row],[Region Number]]</f>
        <v>15</v>
      </c>
      <c r="BW337" s="200">
        <f>FMS_Ranking4[[#This Row],[Rank (with ArcSinh normalization of select criteria)]]-FMS_Ranking4[[#This Row],[Rank
(with linear
normalization)]]</f>
        <v>157</v>
      </c>
      <c r="BX337" s="200" t="e">
        <f>FMS_Ranking4[[#This Row],[Log Rank]]-FMS_Ranking4[[#This Row],[Rank
(with linear
normalization)]]</f>
        <v>#REF!</v>
      </c>
      <c r="BY337" s="200">
        <f>IF(FMS_Ranking4[[#This Row],[FMS Type]]="Flood Measurement and Warning",FMS_Ranking4[[#This Row],[Rank (with ArcSinh normalization of select criteria)]],"")</f>
        <v>330</v>
      </c>
      <c r="BZ337" s="200" t="str">
        <f>IF(FMS_Ranking4[[#This Row],[FMS Type]]="Regulatory and Guidance",FMS_Ranking4[[#This Row],[Rank (with ArcSinh normalization of select criteria)]],"")</f>
        <v/>
      </c>
      <c r="CA337" s="200" t="str">
        <f>IF(FMS_Ranking4[[#This Row],[FMS Type]]="Education and Outreach",FMS_Ranking4[[#This Row],[Rank (with ArcSinh normalization of select criteria)]],"")</f>
        <v/>
      </c>
      <c r="CB337" s="200" t="str">
        <f>IF(FMS_Ranking4[[#This Row],[FMS Type]]="Property Acquisition and Structural Elevation",FMS_Ranking4[[#This Row],[Rank (with ArcSinh normalization of select criteria)]],"")</f>
        <v/>
      </c>
      <c r="CC337" s="200" t="str">
        <f>IF(FMS_Ranking4[[#This Row],[FMS Type]]="Infrastructure Projects",FMS_Ranking4[[#This Row],[Rank (with ArcSinh normalization of select criteria)]],"")</f>
        <v/>
      </c>
      <c r="CD337" s="200" t="str">
        <f>IF(FMS_Ranking4[[#This Row],[FMS Type]]="Other",FMS_Ranking4[[#This Row],[Rank (with ArcSinh normalization of select criteria)]],"")</f>
        <v/>
      </c>
      <c r="CE337" s="201"/>
      <c r="CF337" s="206"/>
      <c r="CG337" s="206"/>
      <c r="CH337" s="206"/>
      <c r="CI337" s="206"/>
      <c r="CJ337" s="206"/>
      <c r="CK337" s="206"/>
      <c r="CL337" s="206"/>
      <c r="CM337" s="206"/>
      <c r="CN337" s="206"/>
      <c r="CO337" s="206"/>
      <c r="CP337" s="206"/>
      <c r="CQ337" s="206"/>
      <c r="CR337" s="206"/>
    </row>
    <row r="338" spans="2:96" ht="135" x14ac:dyDescent="0.25">
      <c r="B338" s="341" t="s">
        <v>35</v>
      </c>
      <c r="C338" s="246">
        <f>_xlfn.XLOOKUP(FMS_Ranking4[[#This Row],[FMS ID]],FMS_Input[FMS_ID],FMS_Input[RFPG_NUM])</f>
        <v>6</v>
      </c>
      <c r="D338" s="309" t="str">
        <f>_xlfn.XLOOKUP(FMS_Ranking4[[#This Row],[FMS ID]],FMS_Input[FMS_ID],FMS_Input[FMS_NAME])</f>
        <v xml:space="preserve">City of Alvin CRS Application </v>
      </c>
      <c r="E338" s="308" t="str">
        <f>_xlfn.XLOOKUP(FMS_Ranking4[[#This Row],[FMS ID]],FMS_Input[FMS_ID],FMS_Input[SPONSOR])</f>
        <v>00003020</v>
      </c>
      <c r="F338" s="309" t="str">
        <f>_xlfn.XLOOKUP(FMS_Ranking4[[#This Row],[FMS ID]],Sponsor[FMS_ID],Sponsor[SPONSOR NAME])</f>
        <v>Alvin</v>
      </c>
      <c r="G338" s="309" t="str">
        <f>_xlfn.XLOOKUP(FMS_Ranking4[[#This Row],[FMS ID]],FMS_Input[FMS_ID],FMS_Input[FMS_DESCR])</f>
        <v xml:space="preserve">Apply and once accepted maintain and/or improve CRS status. Cost is time, data and preparation of a CRS application.  Benefit, if approved homeowner with flood insurance could receive a discount based on the City's CRS score. </v>
      </c>
      <c r="H338" s="248" t="str">
        <f>_xlfn.XLOOKUP(FMS_Ranking4[[#This Row],[FMS ID]],FMS_Input[FMS_ID],FMS_Input[FMS_TYPE])</f>
        <v>Other</v>
      </c>
      <c r="I338" s="249">
        <f>_xlfn.XLOOKUP(FMS_Ranking4[[#This Row],[FMS ID]],FMS_Input[FMS_ID],FMS_Input[NRNC_COST])</f>
        <v>1250</v>
      </c>
      <c r="J338" s="250">
        <f>_xlfn.XLOOKUP(FMS_Ranking4[[#This Row],[FMS ID]],FMS_Input[FMS_ID],FMS_Input[FMS_COST])</f>
        <v>25000</v>
      </c>
      <c r="K338" s="251" t="str">
        <f>_xlfn.XLOOKUP(FMS_Ranking4[[#This Row],[FMS ID]],FMS_Input[FMS_ID],FMS_Input[EMER_NEED])</f>
        <v>No</v>
      </c>
      <c r="L338" s="252">
        <f t="shared" si="5"/>
        <v>0</v>
      </c>
      <c r="M338" s="253">
        <f>_xlfn.XLOOKUP(FMS_Ranking4[[#This Row],[FMS ID]],FMS_Input[FMS_ID],FMS_Input[STRUCT_100])</f>
        <v>3428</v>
      </c>
      <c r="N338" s="255">
        <f>(ASINH(FMS_Ranking4[[#This Row],[Structure at Risk Raw]]))*(10)/(ASINH(M$4))</f>
        <v>6.9439584312922973</v>
      </c>
      <c r="O338" s="256">
        <f>FMS_Ranking4[[#This Row],[Structures at risk, ArcSinh (0-10)]]*M$5*10</f>
        <v>6.9439584312922973</v>
      </c>
      <c r="P338" s="253">
        <f>_xlfn.XLOOKUP(FMS_Ranking4[[#This Row],[FMS ID]],FMS_Input[FMS_ID],FMS_Input[RES_STRUCT100])</f>
        <v>2588</v>
      </c>
      <c r="Q338" s="257">
        <f>ASINH(FMS_Ranking4[[#This Row],[Res Structure Raw]])/Q$4*P$5*100</f>
        <v>0</v>
      </c>
      <c r="R338" s="253">
        <f>_xlfn.XLOOKUP(FMS_Ranking4[[#This Row],[FMS ID]],FMS_Input[FMS_ID],FMS_Input[POP100])</f>
        <v>15209</v>
      </c>
      <c r="S338" s="259">
        <f>(ASINH(FMS_Ranking4[[#This Row],[Pop at Risk Raw]]))*(10)/(ASINH(R$4))</f>
        <v>7.1264227831873574</v>
      </c>
      <c r="T338" s="256">
        <f>FMS_Ranking4[[#This Row],[Population at risk, ArcSinh (0-10)]]*R$5*10</f>
        <v>7.1264227831873583</v>
      </c>
      <c r="U338" s="253">
        <f>_xlfn.XLOOKUP(FMS_Ranking4[[#This Row],[FMS ID]],FMS_Input[FMS_ID],FMS_Input[CRITFAC100])</f>
        <v>18</v>
      </c>
      <c r="V338" s="259">
        <f>(ASINH(FMS_Ranking4[[#This Row],[Critical Facilities Raw]]))*(10)/(ASINH(U$4))</f>
        <v>4.2429535527087694</v>
      </c>
      <c r="W338" s="256">
        <f>FMS_Ranking4[[#This Row],[Critical facilities at risk, ArcSinh (0-10)]]*U$5*10</f>
        <v>4.2429535527087694</v>
      </c>
      <c r="X338" s="253">
        <f>_xlfn.XLOOKUP(FMS_Ranking4[[#This Row],[FMS ID]],FMS_Input[FMS_ID],FMS_Input[LWC])</f>
        <v>0</v>
      </c>
      <c r="Y338" s="259">
        <f>(ASINH(FMS_Ranking4[[#This Row],[LWC Raw]]))*(10)/(ASINH(X$4))</f>
        <v>0</v>
      </c>
      <c r="Z338" s="256">
        <f>FMS_Ranking4[[#This Row],[LWC, ArcSInh (0-10)]]*X$5*10</f>
        <v>0</v>
      </c>
      <c r="AA338" s="253">
        <f>_xlfn.XLOOKUP(FMS_Ranking4[[#This Row],[FMS ID]],FMS_Input[FMS_ID],FMS_Input[ROADCLS])</f>
        <v>0</v>
      </c>
      <c r="AB338" s="255">
        <f>(ASINH(FMS_Ranking4[[#This Row],[Road Closures Raw]]))*(10)/(ASINH(AA$4))</f>
        <v>0</v>
      </c>
      <c r="AC338" s="256">
        <f>FMS_Ranking4[[#This Row],[Road closures, ArcSinh (0-10)]]*AA$5*10</f>
        <v>0</v>
      </c>
      <c r="AD338" s="253">
        <f>_xlfn.XLOOKUP(FMS_Ranking4[[#This Row],[FMS ID]],FMS_Input[FMS_ID],FMS_Input[ROAD_MILES100])</f>
        <v>52</v>
      </c>
      <c r="AE338" s="259">
        <f>(ASINH(FMS_Ranking4[[#This Row],[Road Miles Raw]]))*(10)/(ASINH(AD$4))</f>
        <v>4.9497414325482429</v>
      </c>
      <c r="AF338" s="256">
        <f>FMS_Ranking4[[#This Row],[Length of roads at risk, ArcSinh (0-10)]]*AD$5*10</f>
        <v>4.9497414325482429</v>
      </c>
      <c r="AG338" s="253">
        <f>_xlfn.XLOOKUP(FMS_Ranking4[[#This Row],[FMS ID]],FMS_Input[FMS_ID],FMS_Input[FARMACRE100])</f>
        <v>176.133544921875</v>
      </c>
      <c r="AH338" s="255">
        <f>(ASINH(FMS_Ranking4[[#This Row],[Ag Land Raw]]))*(10)/(ASINH(AG$4))</f>
        <v>3.8094040903814408</v>
      </c>
      <c r="AI338" s="260">
        <f>FMS_Ranking4[[#This Row],[Farm &amp; ranch land, ArcSinh (0-10)]]*AG$5*10</f>
        <v>1.9047020451907204</v>
      </c>
      <c r="AJ338" s="258">
        <f>_xlfn.XLOOKUP(FMS_Ranking4[[#This Row],[FMS ID]],FMS_Input[FMS_ID],FMS_Input[REDSTRUCT100])</f>
        <v>0</v>
      </c>
      <c r="AK338" s="253">
        <f>_xlfn.XLOOKUP(FMS_Ranking4[[#This Row],[FMS ID]],FMS_Input[FMS_ID],FMS_Input[REMSTRC100])</f>
        <v>0</v>
      </c>
      <c r="AL338" s="259">
        <f>(ASINH(FMS_Ranking4[[#This Row],[Structures Removed Raw]]))*(10)/(ASINH(AK$4))</f>
        <v>0</v>
      </c>
      <c r="AM338" s="262">
        <f>FMS_Ranking4[[#This Row],[Structures removed, ArcSinh (0-10)]]*AK$5*10</f>
        <v>0</v>
      </c>
      <c r="AN338" s="253">
        <f>_xlfn.XLOOKUP(FMS_Ranking4[[#This Row],[FMS ID]],FMS_Input[FMS_ID],FMS_Input[REMRESSTRC100])</f>
        <v>0</v>
      </c>
      <c r="AO338" s="261">
        <f>FMS_Ranking4[[#This Row],[ArcSinh Res struct removed 0-10]]*AN$5*10</f>
        <v>0</v>
      </c>
      <c r="AP338" s="260">
        <f>ASINH(FMS_Ranking4[[#This Row],[Residential Structures Removed Raw]])/AP$4*AN$5*100</f>
        <v>0</v>
      </c>
      <c r="AQ338" s="254">
        <f>(ASINH(FMS_Ranking4[[#This Row],[Residential Structures Removed Raw]]))*(10)/(ASINH(AN$4))</f>
        <v>0</v>
      </c>
      <c r="AR338" s="253">
        <f>_xlfn.XLOOKUP(FMS_Ranking4[[#This Row],[FMS ID]],FMS_Input[FMS_ID],FMS_Input[REMPOP100])</f>
        <v>0</v>
      </c>
      <c r="AS338" s="259">
        <f>(ASINH(FMS_Ranking4[[#This Row],[Removed Pop Raw]]))*(10)/(ASINH(AR$4))</f>
        <v>0</v>
      </c>
      <c r="AT338" s="262">
        <f>FMS_Ranking4[[#This Row],[Removed population, ArcSinh (0-10)]]*AR$5*10</f>
        <v>0</v>
      </c>
      <c r="AU338" s="264">
        <f>_xlfn.XLOOKUP(FMS_Ranking4[[#This Row],[FMS ID]],FMS_Input[FMS_ID],FMS_Input[REMCRITFAC100])</f>
        <v>0</v>
      </c>
      <c r="AV338" s="264">
        <f>_xlfn.XLOOKUP(FMS_Ranking4[[#This Row],[FMS ID]],FMS_Input[FMS_ID],FMS_Input[REMLWC100])</f>
        <v>0</v>
      </c>
      <c r="AW338" s="264">
        <f>_xlfn.XLOOKUP(FMS_Ranking4[[#This Row],[FMS ID]],FMS_Input[FMS_ID],FMS_Input[REMROADCLS])</f>
        <v>0</v>
      </c>
      <c r="AX338" s="264">
        <f>_xlfn.XLOOKUP(FMS_Ranking4[[#This Row],[FMS ID]],FMS_Input[FMS_ID],FMS_Input[REMFRMACRE100])</f>
        <v>0</v>
      </c>
      <c r="AY338" s="258">
        <f>_xlfn.XLOOKUP(FMS_Ranking4[[#This Row],[FMS ID]],FMS_Input[FMS_ID],FMS_Input[COSTSTRUCT])</f>
        <v>0</v>
      </c>
      <c r="AZ338" s="253">
        <f>_xlfn.XLOOKUP(FMS_Ranking4[[#This Row],[FMS ID]],FMS_Input[FMS_ID],FMS_Input[NATURE])</f>
        <v>0</v>
      </c>
      <c r="BA338" s="262">
        <f>(((FMS_Ranking4[[#This Row],[% NBS Raw]]/AZ$4)*100)*AZ$5)</f>
        <v>0</v>
      </c>
      <c r="BB338" s="251" t="str">
        <f>_xlfn.XLOOKUP(FMS_Ranking4[[#This Row],[FMS ID]],FMS_Input[FMS_ID],FMS_Input[WATER_SUP])</f>
        <v>No</v>
      </c>
      <c r="BC338" s="265">
        <f>IF(FMS_Ranking4[[#This Row],[Water Supply Raw]]="Yes",10,0)</f>
        <v>0</v>
      </c>
      <c r="BD338" s="266">
        <f>_xlfn.XLOOKUP(FMS_Ranking4[[#This Row],[FMS Type]],FMS_TYPE[FMS_Type],FMS_TYPE[Score])</f>
        <v>2</v>
      </c>
      <c r="BE338" s="267">
        <f>FMS_Ranking4[[#This Row],[FMS_Type Score]]*$BD$5*10</f>
        <v>0.5</v>
      </c>
      <c r="BF33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0.5257224289954463</v>
      </c>
      <c r="BG338" s="271">
        <f>_xlfn.RANK.EQ(BF338,$BF$8:$BF$870,0)+COUNTIF($BF$8:BF338,BF338)-1</f>
        <v>217</v>
      </c>
      <c r="BH338" s="268">
        <f>(((FMS_Ranking4[[#This Row],[Structures Removed Raw]]/AK$4)*100)*AK$5)+(((FMS_Ranking4[[#This Row],[Removed Pop Raw]]/AR$4)*100)*AR$5)</f>
        <v>0</v>
      </c>
      <c r="BI33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1.0257224289954463</v>
      </c>
      <c r="BJ338" s="205">
        <f>_xlfn.RANK.EQ(FMS_Ranking4[[#This Row],[Total Score 
(with linear
normalization)]],FMS_Ranking4[Total Score 
(with linear
normalization)],0)</f>
        <v>715</v>
      </c>
      <c r="BK338" s="205" t="e">
        <f>_xlfn.XLOOKUP(FMS_Ranking4[[#This Row],[FMS ID]],#REF!,#REF!)</f>
        <v>#REF!</v>
      </c>
      <c r="BL33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25.167778244927391</v>
      </c>
      <c r="BM338" s="272">
        <f>FMS_Ranking4[[#This Row],[ArcSinh Score Based on Normalized Reported Factors]]+FMS_Ranking4[[#This Row],[% NBS Score (Normalized)]]+(FMS_Ranking4[[#This Row],[Water Supply Score (Normalized)]]*10*$BB$5)+FMS_Ranking4[[#This Row],[FMS_Type Score Weighted]]</f>
        <v>25.667778244927391</v>
      </c>
      <c r="BN338" s="205">
        <f>_xlfn.RANK.EQ(FMS_Ranking4[[#This Row],[Total Score (with ArcSinh normalization of select criteria)]],FMS_Ranking4[Total Score (with ArcSinh normalization of select criteria)],0)</f>
        <v>331</v>
      </c>
      <c r="BO338" s="270" t="str">
        <f>_xlfn.XLOOKUP(FMS_Ranking4[[#This Row],[FMS ID]],FMS_Input[FMS_ID],FMS_Input[FMS_RANK_YEAR])</f>
        <v>2023 Amended Plan</v>
      </c>
      <c r="BP338" s="204">
        <f>_xlfn.XLOOKUP(FMS_Ranking4[[#This Row],[FMS ID]],Prev_Rank[FMS ID],Prev_Rank[Prev Rank])</f>
        <v>298</v>
      </c>
      <c r="BQ338" s="205" t="e">
        <f>_xlfn.XLOOKUP(FMS_Ranking4[[#This Row],[FMS ID]],#REF!,#REF!)</f>
        <v>#REF!</v>
      </c>
      <c r="BR338" s="199" t="e">
        <f>SUM(#REF!,#REF!,#REF!,#REF!,#REF!,#REF!,#REF!,#REF!,#REF!,FMS_Ranking4[[#This Row],[ArcSinh Res struct removed 0-10]],#REF!)</f>
        <v>#REF!</v>
      </c>
      <c r="BS338" s="199" t="e">
        <f>FMS_Ranking4[[#This Row],[Log Score Based on Normalized Reported Factors]]+FMS_Ranking4[[#This Row],[% NBS Score (Normalized)]]+(FMS_Ranking4[[#This Row],[Water Supply Score (Normalized)]]*10*$BB$5)+(FMS_Ranking4[[#This Row],[FMS_Type Score Weighted]])</f>
        <v>#REF!</v>
      </c>
      <c r="BT338" s="200" t="e">
        <f>_xlfn.RANK.EQ(FMS_Ranking4[[#This Row],[Log Total Score]],FMS_Ranking4[Log Total Score],0)</f>
        <v>#REF!</v>
      </c>
      <c r="BU338" s="200" t="e">
        <f>_xlfn.XLOOKUP(FMS_Ranking4[[#This Row],[FMS ID]],#REF!,#REF!)</f>
        <v>#REF!</v>
      </c>
      <c r="BV338" s="200">
        <f>FMS_Ranking4[[#This Row],[Region Number]]</f>
        <v>6</v>
      </c>
      <c r="BW338" s="200">
        <f>FMS_Ranking4[[#This Row],[Rank (with ArcSinh normalization of select criteria)]]-FMS_Ranking4[[#This Row],[Rank
(with linear
normalization)]]</f>
        <v>-384</v>
      </c>
      <c r="BX338" s="200" t="e">
        <f>FMS_Ranking4[[#This Row],[Log Rank]]-FMS_Ranking4[[#This Row],[Rank
(with linear
normalization)]]</f>
        <v>#REF!</v>
      </c>
      <c r="BY338" s="200" t="str">
        <f>IF(FMS_Ranking4[[#This Row],[FMS Type]]="Flood Measurement and Warning",FMS_Ranking4[[#This Row],[Rank (with ArcSinh normalization of select criteria)]],"")</f>
        <v/>
      </c>
      <c r="BZ338" s="200" t="str">
        <f>IF(FMS_Ranking4[[#This Row],[FMS Type]]="Regulatory and Guidance",FMS_Ranking4[[#This Row],[Rank (with ArcSinh normalization of select criteria)]],"")</f>
        <v/>
      </c>
      <c r="CA338" s="200" t="str">
        <f>IF(FMS_Ranking4[[#This Row],[FMS Type]]="Education and Outreach",FMS_Ranking4[[#This Row],[Rank (with ArcSinh normalization of select criteria)]],"")</f>
        <v/>
      </c>
      <c r="CB338" s="200" t="str">
        <f>IF(FMS_Ranking4[[#This Row],[FMS Type]]="Property Acquisition and Structural Elevation",FMS_Ranking4[[#This Row],[Rank (with ArcSinh normalization of select criteria)]],"")</f>
        <v/>
      </c>
      <c r="CC338" s="200" t="str">
        <f>IF(FMS_Ranking4[[#This Row],[FMS Type]]="Infrastructure Projects",FMS_Ranking4[[#This Row],[Rank (with ArcSinh normalization of select criteria)]],"")</f>
        <v/>
      </c>
      <c r="CD338" s="200">
        <f>IF(FMS_Ranking4[[#This Row],[FMS Type]]="Other",FMS_Ranking4[[#This Row],[Rank (with ArcSinh normalization of select criteria)]],"")</f>
        <v>331</v>
      </c>
      <c r="CE338" s="201"/>
      <c r="CF338" s="206"/>
      <c r="CG338" s="206"/>
      <c r="CH338" s="206"/>
      <c r="CI338" s="206"/>
      <c r="CJ338" s="206"/>
      <c r="CK338" s="206"/>
      <c r="CL338" s="206"/>
      <c r="CM338" s="206"/>
      <c r="CN338" s="206"/>
      <c r="CO338" s="206"/>
      <c r="CP338" s="206"/>
      <c r="CQ338" s="206"/>
      <c r="CR338" s="206"/>
    </row>
    <row r="339" spans="2:96" ht="60" x14ac:dyDescent="0.25">
      <c r="B339" s="341" t="s">
        <v>4129</v>
      </c>
      <c r="C339" s="246">
        <f>_xlfn.XLOOKUP(FMS_Ranking4[[#This Row],[FMS ID]],FMS_Input[FMS_ID],FMS_Input[RFPG_NUM])</f>
        <v>15</v>
      </c>
      <c r="D339" s="309" t="str">
        <f>_xlfn.XLOOKUP(FMS_Ranking4[[#This Row],[FMS ID]],FMS_Input[FMS_ID],FMS_Input[FMS_NAME])</f>
        <v>City of South Padre Island - SPI Sand Dune restoration/protection program</v>
      </c>
      <c r="E339" s="308" t="str">
        <f>_xlfn.XLOOKUP(FMS_Ranking4[[#This Row],[FMS ID]],FMS_Input[FMS_ID],FMS_Input[SPONSOR])</f>
        <v>15000045</v>
      </c>
      <c r="F339" s="309" t="str">
        <f>_xlfn.XLOOKUP(FMS_Ranking4[[#This Row],[FMS ID]],Sponsor[FMS_ID],Sponsor[SPONSOR NAME])</f>
        <v>South Padre Island</v>
      </c>
      <c r="G339" s="309" t="str">
        <f>_xlfn.XLOOKUP(FMS_Ranking4[[#This Row],[FMS ID]],FMS_Input[FMS_ID],FMS_Input[FMS_DESCR])</f>
        <v>Establish Beach Protection/replenishing program. Build up dunes to protect against tidal surge</v>
      </c>
      <c r="H339" s="248" t="str">
        <f>_xlfn.XLOOKUP(FMS_Ranking4[[#This Row],[FMS ID]],FMS_Input[FMS_ID],FMS_Input[FMS_TYPE])</f>
        <v>Infrastructure Projects</v>
      </c>
      <c r="I339" s="249">
        <f>_xlfn.XLOOKUP(FMS_Ranking4[[#This Row],[FMS ID]],FMS_Input[FMS_ID],FMS_Input[NRNC_COST])</f>
        <v>120000</v>
      </c>
      <c r="J339" s="250">
        <f>_xlfn.XLOOKUP(FMS_Ranking4[[#This Row],[FMS ID]],FMS_Input[FMS_ID],FMS_Input[FMS_COST])</f>
        <v>720000</v>
      </c>
      <c r="K339" s="251" t="str">
        <f>_xlfn.XLOOKUP(FMS_Ranking4[[#This Row],[FMS ID]],FMS_Input[FMS_ID],FMS_Input[EMER_NEED])</f>
        <v>Yes</v>
      </c>
      <c r="L339" s="252">
        <f t="shared" si="5"/>
        <v>1</v>
      </c>
      <c r="M339" s="253">
        <f>_xlfn.XLOOKUP(FMS_Ranking4[[#This Row],[FMS ID]],FMS_Input[FMS_ID],FMS_Input[STRUCT_100])</f>
        <v>1189</v>
      </c>
      <c r="N339" s="255">
        <f>(ASINH(FMS_Ranking4[[#This Row],[Structure at Risk Raw]]))*(10)/(ASINH(M$4))</f>
        <v>6.1115334904513494</v>
      </c>
      <c r="O339" s="256">
        <f>FMS_Ranking4[[#This Row],[Structures at risk, ArcSinh (0-10)]]*M$5*10</f>
        <v>6.1115334904513494</v>
      </c>
      <c r="P339" s="253">
        <f>_xlfn.XLOOKUP(FMS_Ranking4[[#This Row],[FMS ID]],FMS_Input[FMS_ID],FMS_Input[RES_STRUCT100])</f>
        <v>979</v>
      </c>
      <c r="Q339" s="257">
        <f>ASINH(FMS_Ranking4[[#This Row],[Res Structure Raw]])/Q$4*P$5*100</f>
        <v>0</v>
      </c>
      <c r="R339" s="253">
        <f>_xlfn.XLOOKUP(FMS_Ranking4[[#This Row],[FMS ID]],FMS_Input[FMS_ID],FMS_Input[POP100])</f>
        <v>3379</v>
      </c>
      <c r="S339" s="255">
        <f>(ASINH(FMS_Ranking4[[#This Row],[Pop at Risk Raw]]))*(10)/(ASINH(R$4))</f>
        <v>6.0879117180096438</v>
      </c>
      <c r="T339" s="256">
        <f>FMS_Ranking4[[#This Row],[Population at risk, ArcSinh (0-10)]]*R$5*10</f>
        <v>6.0879117180096447</v>
      </c>
      <c r="U339" s="253">
        <f>_xlfn.XLOOKUP(FMS_Ranking4[[#This Row],[FMS ID]],FMS_Input[FMS_ID],FMS_Input[CRITFAC100])</f>
        <v>0</v>
      </c>
      <c r="V339" s="255">
        <f>(ASINH(FMS_Ranking4[[#This Row],[Critical Facilities Raw]]))*(10)/(ASINH(U$4))</f>
        <v>0</v>
      </c>
      <c r="W339" s="256">
        <f>FMS_Ranking4[[#This Row],[Critical facilities at risk, ArcSinh (0-10)]]*U$5*10</f>
        <v>0</v>
      </c>
      <c r="X339" s="253">
        <f>_xlfn.XLOOKUP(FMS_Ranking4[[#This Row],[FMS ID]],FMS_Input[FMS_ID],FMS_Input[LWC])</f>
        <v>126</v>
      </c>
      <c r="Y339" s="255">
        <f>(ASINH(FMS_Ranking4[[#This Row],[LWC Raw]]))*(10)/(ASINH(X$4))</f>
        <v>7.4909478081437424</v>
      </c>
      <c r="Z339" s="256">
        <f>FMS_Ranking4[[#This Row],[LWC, ArcSInh (0-10)]]*X$5*10</f>
        <v>7.4909478081437433</v>
      </c>
      <c r="AA339" s="253">
        <f>_xlfn.XLOOKUP(FMS_Ranking4[[#This Row],[FMS ID]],FMS_Input[FMS_ID],FMS_Input[ROADCLS])</f>
        <v>0</v>
      </c>
      <c r="AB339" s="255">
        <f>(ASINH(FMS_Ranking4[[#This Row],[Road Closures Raw]]))*(10)/(ASINH(AA$4))</f>
        <v>0</v>
      </c>
      <c r="AC339" s="256">
        <f>FMS_Ranking4[[#This Row],[Road closures, ArcSinh (0-10)]]*AA$5*10</f>
        <v>0</v>
      </c>
      <c r="AD339" s="253">
        <f>_xlfn.XLOOKUP(FMS_Ranking4[[#This Row],[FMS ID]],FMS_Input[FMS_ID],FMS_Input[ROAD_MILES100])</f>
        <v>18</v>
      </c>
      <c r="AE339" s="255">
        <f>(ASINH(FMS_Ranking4[[#This Row],[Road Miles Raw]]))*(10)/(ASINH(AD$4))</f>
        <v>3.8198666439072628</v>
      </c>
      <c r="AF339" s="256">
        <f>FMS_Ranking4[[#This Row],[Length of roads at risk, ArcSinh (0-10)]]*AD$5*10</f>
        <v>3.8198666439072633</v>
      </c>
      <c r="AG339" s="253">
        <f>_xlfn.XLOOKUP(FMS_Ranking4[[#This Row],[FMS ID]],FMS_Input[FMS_ID],FMS_Input[FARMACRE100])</f>
        <v>16.590072631835941</v>
      </c>
      <c r="AH339" s="255">
        <f>(ASINH(FMS_Ranking4[[#This Row],[Ag Land Raw]]))*(10)/(ASINH(AG$4))</f>
        <v>2.2753921383267421</v>
      </c>
      <c r="AI339" s="260">
        <f>FMS_Ranking4[[#This Row],[Farm &amp; ranch land, ArcSinh (0-10)]]*AG$5*10</f>
        <v>1.1376960691633711</v>
      </c>
      <c r="AJ339" s="258">
        <f>_xlfn.XLOOKUP(FMS_Ranking4[[#This Row],[FMS ID]],FMS_Input[FMS_ID],FMS_Input[REDSTRUCT100])</f>
        <v>0</v>
      </c>
      <c r="AK339" s="253">
        <f>_xlfn.XLOOKUP(FMS_Ranking4[[#This Row],[FMS ID]],FMS_Input[FMS_ID],FMS_Input[REMSTRC100])</f>
        <v>0</v>
      </c>
      <c r="AL339" s="255">
        <f>(ASINH(FMS_Ranking4[[#This Row],[Structures Removed Raw]]))*(10)/(ASINH(AK$4))</f>
        <v>0</v>
      </c>
      <c r="AM339" s="262">
        <f>FMS_Ranking4[[#This Row],[Structures removed, ArcSinh (0-10)]]*AK$5*10</f>
        <v>0</v>
      </c>
      <c r="AN339" s="253">
        <f>_xlfn.XLOOKUP(FMS_Ranking4[[#This Row],[FMS ID]],FMS_Input[FMS_ID],FMS_Input[REMRESSTRC100])</f>
        <v>0</v>
      </c>
      <c r="AO339" s="261">
        <f>FMS_Ranking4[[#This Row],[ArcSinh Res struct removed 0-10]]*AN$5*10</f>
        <v>0</v>
      </c>
      <c r="AP339" s="260">
        <f>ASINH(FMS_Ranking4[[#This Row],[Residential Structures Removed Raw]])/AP$4*AN$5*100</f>
        <v>0</v>
      </c>
      <c r="AQ339" s="258">
        <f>(ASINH(FMS_Ranking4[[#This Row],[Residential Structures Removed Raw]]))*(10)/(ASINH(AN$4))</f>
        <v>0</v>
      </c>
      <c r="AR339" s="253">
        <f>_xlfn.XLOOKUP(FMS_Ranking4[[#This Row],[FMS ID]],FMS_Input[FMS_ID],FMS_Input[REMPOP100])</f>
        <v>0</v>
      </c>
      <c r="AS339" s="255">
        <f>(ASINH(FMS_Ranking4[[#This Row],[Removed Pop Raw]]))*(10)/(ASINH(AR$4))</f>
        <v>0</v>
      </c>
      <c r="AT339" s="262">
        <f>FMS_Ranking4[[#This Row],[Removed population, ArcSinh (0-10)]]*AR$5*10</f>
        <v>0</v>
      </c>
      <c r="AU339" s="264">
        <f>_xlfn.XLOOKUP(FMS_Ranking4[[#This Row],[FMS ID]],FMS_Input[FMS_ID],FMS_Input[REMCRITFAC100])</f>
        <v>0</v>
      </c>
      <c r="AV339" s="264">
        <f>_xlfn.XLOOKUP(FMS_Ranking4[[#This Row],[FMS ID]],FMS_Input[FMS_ID],FMS_Input[REMLWC100])</f>
        <v>0</v>
      </c>
      <c r="AW339" s="264">
        <f>_xlfn.XLOOKUP(FMS_Ranking4[[#This Row],[FMS ID]],FMS_Input[FMS_ID],FMS_Input[REMROADCLS])</f>
        <v>0</v>
      </c>
      <c r="AX339" s="264">
        <f>_xlfn.XLOOKUP(FMS_Ranking4[[#This Row],[FMS ID]],FMS_Input[FMS_ID],FMS_Input[REMFRMACRE100])</f>
        <v>0</v>
      </c>
      <c r="AY339" s="258">
        <f>_xlfn.XLOOKUP(FMS_Ranking4[[#This Row],[FMS ID]],FMS_Input[FMS_ID],FMS_Input[COSTSTRUCT])</f>
        <v>0</v>
      </c>
      <c r="AZ339" s="253">
        <f>_xlfn.XLOOKUP(FMS_Ranking4[[#This Row],[FMS ID]],FMS_Input[FMS_ID],FMS_Input[NATURE])</f>
        <v>0</v>
      </c>
      <c r="BA339" s="262">
        <f>(((FMS_Ranking4[[#This Row],[% NBS Raw]]/AZ$4)*100)*AZ$5)</f>
        <v>0</v>
      </c>
      <c r="BB339" s="251" t="str">
        <f>_xlfn.XLOOKUP(FMS_Ranking4[[#This Row],[FMS ID]],FMS_Input[FMS_ID],FMS_Input[WATER_SUP])</f>
        <v>No</v>
      </c>
      <c r="BC339" s="265">
        <f>IF(FMS_Ranking4[[#This Row],[Water Supply Raw]]="Yes",10,0)</f>
        <v>0</v>
      </c>
      <c r="BD339" s="266">
        <f>_xlfn.XLOOKUP(FMS_Ranking4[[#This Row],[FMS Type]],FMS_TYPE[FMS_Type],FMS_TYPE[Score])</f>
        <v>4</v>
      </c>
      <c r="BE339" s="267">
        <f>FMS_Ranking4[[#This Row],[FMS_Type Score]]*$BD$5*10</f>
        <v>1</v>
      </c>
      <c r="BF33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1.7051257400875721</v>
      </c>
      <c r="BG339" s="321">
        <f>_xlfn.RANK.EQ(BF339,$BF$8:$BF$870,0)+COUNTIF($BF$8:BF339,BF339)-1</f>
        <v>106</v>
      </c>
      <c r="BH339" s="294">
        <f>(((FMS_Ranking4[[#This Row],[Structures Removed Raw]]/AK$4)*100)*AK$5)+(((FMS_Ranking4[[#This Row],[Removed Pop Raw]]/AR$4)*100)*AR$5)</f>
        <v>0</v>
      </c>
      <c r="BI33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2.7051257400875723</v>
      </c>
      <c r="BJ339" s="251">
        <f>_xlfn.RANK.EQ(FMS_Ranking4[[#This Row],[Total Score 
(with linear
normalization)]],FMS_Ranking4[Total Score 
(with linear
normalization)],0)</f>
        <v>207</v>
      </c>
      <c r="BK339" s="251" t="e">
        <f>_xlfn.XLOOKUP(FMS_Ranking4[[#This Row],[FMS ID]],#REF!,#REF!)</f>
        <v>#REF!</v>
      </c>
      <c r="BL33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24.647955729675374</v>
      </c>
      <c r="BM339" s="324">
        <f>FMS_Ranking4[[#This Row],[ArcSinh Score Based on Normalized Reported Factors]]+FMS_Ranking4[[#This Row],[% NBS Score (Normalized)]]+(FMS_Ranking4[[#This Row],[Water Supply Score (Normalized)]]*10*$BB$5)+FMS_Ranking4[[#This Row],[FMS_Type Score Weighted]]</f>
        <v>25.647955729675374</v>
      </c>
      <c r="BN339" s="251">
        <f>_xlfn.RANK.EQ(FMS_Ranking4[[#This Row],[Total Score (with ArcSinh normalization of select criteria)]],FMS_Ranking4[Total Score (with ArcSinh normalization of select criteria)],0)</f>
        <v>332</v>
      </c>
      <c r="BO339" s="270" t="str">
        <f>_xlfn.XLOOKUP(FMS_Ranking4[[#This Row],[FMS ID]],FMS_Input[FMS_ID],FMS_Input[FMS_RANK_YEAR])</f>
        <v>2023 Amended Plan</v>
      </c>
      <c r="BP339" s="204">
        <f>_xlfn.XLOOKUP(FMS_Ranking4[[#This Row],[FMS ID]],Prev_Rank[FMS ID],Prev_Rank[Prev Rank])</f>
        <v>300</v>
      </c>
      <c r="BQ339" s="251" t="e">
        <f>_xlfn.XLOOKUP(FMS_Ranking4[[#This Row],[FMS ID]],#REF!,#REF!)</f>
        <v>#REF!</v>
      </c>
      <c r="BR339" s="199" t="e">
        <f>SUM(#REF!,#REF!,#REF!,#REF!,#REF!,#REF!,#REF!,#REF!,#REF!,FMS_Ranking4[[#This Row],[ArcSinh Res struct removed 0-10]],#REF!)</f>
        <v>#REF!</v>
      </c>
      <c r="BS339" s="199" t="e">
        <f>FMS_Ranking4[[#This Row],[Log Score Based on Normalized Reported Factors]]+FMS_Ranking4[[#This Row],[% NBS Score (Normalized)]]+(FMS_Ranking4[[#This Row],[Water Supply Score (Normalized)]]*10*$BB$5)+(FMS_Ranking4[[#This Row],[FMS_Type Score Weighted]])</f>
        <v>#REF!</v>
      </c>
      <c r="BT339" s="200" t="e">
        <f>_xlfn.RANK.EQ(FMS_Ranking4[[#This Row],[Log Total Score]],FMS_Ranking4[Log Total Score],0)</f>
        <v>#REF!</v>
      </c>
      <c r="BU339" s="200" t="e">
        <f>_xlfn.XLOOKUP(FMS_Ranking4[[#This Row],[FMS ID]],#REF!,#REF!)</f>
        <v>#REF!</v>
      </c>
      <c r="BV339" s="200">
        <f>FMS_Ranking4[[#This Row],[Region Number]]</f>
        <v>15</v>
      </c>
      <c r="BW339" s="200">
        <f>FMS_Ranking4[[#This Row],[Rank (with ArcSinh normalization of select criteria)]]-FMS_Ranking4[[#This Row],[Rank
(with linear
normalization)]]</f>
        <v>125</v>
      </c>
      <c r="BX339" s="200" t="e">
        <f>FMS_Ranking4[[#This Row],[Log Rank]]-FMS_Ranking4[[#This Row],[Rank
(with linear
normalization)]]</f>
        <v>#REF!</v>
      </c>
      <c r="BY339" s="200" t="str">
        <f>IF(FMS_Ranking4[[#This Row],[FMS Type]]="Flood Measurement and Warning",FMS_Ranking4[[#This Row],[Rank (with ArcSinh normalization of select criteria)]],"")</f>
        <v/>
      </c>
      <c r="BZ339" s="200" t="str">
        <f>IF(FMS_Ranking4[[#This Row],[FMS Type]]="Regulatory and Guidance",FMS_Ranking4[[#This Row],[Rank (with ArcSinh normalization of select criteria)]],"")</f>
        <v/>
      </c>
      <c r="CA339" s="200" t="str">
        <f>IF(FMS_Ranking4[[#This Row],[FMS Type]]="Education and Outreach",FMS_Ranking4[[#This Row],[Rank (with ArcSinh normalization of select criteria)]],"")</f>
        <v/>
      </c>
      <c r="CB339" s="200" t="str">
        <f>IF(FMS_Ranking4[[#This Row],[FMS Type]]="Property Acquisition and Structural Elevation",FMS_Ranking4[[#This Row],[Rank (with ArcSinh normalization of select criteria)]],"")</f>
        <v/>
      </c>
      <c r="CC339" s="200">
        <f>IF(FMS_Ranking4[[#This Row],[FMS Type]]="Infrastructure Projects",FMS_Ranking4[[#This Row],[Rank (with ArcSinh normalization of select criteria)]],"")</f>
        <v>332</v>
      </c>
      <c r="CD339" s="200" t="str">
        <f>IF(FMS_Ranking4[[#This Row],[FMS Type]]="Other",FMS_Ranking4[[#This Row],[Rank (with ArcSinh normalization of select criteria)]],"")</f>
        <v/>
      </c>
      <c r="CE339" s="201"/>
      <c r="CF339" s="206"/>
      <c r="CG339" s="206"/>
      <c r="CH339" s="206"/>
      <c r="CI339" s="206"/>
      <c r="CJ339" s="206"/>
      <c r="CK339" s="206"/>
      <c r="CL339" s="206"/>
      <c r="CM339" s="206"/>
      <c r="CN339" s="206"/>
      <c r="CO339" s="206"/>
      <c r="CP339" s="206"/>
      <c r="CQ339" s="206"/>
      <c r="CR339" s="206"/>
    </row>
    <row r="340" spans="2:96" ht="45" x14ac:dyDescent="0.25">
      <c r="B340" s="341" t="s">
        <v>2495</v>
      </c>
      <c r="C340" s="246">
        <f>_xlfn.XLOOKUP(FMS_Ranking4[[#This Row],[FMS ID]],FMS_Input[FMS_ID],FMS_Input[RFPG_NUM])</f>
        <v>3</v>
      </c>
      <c r="D340" s="309" t="str">
        <f>_xlfn.XLOOKUP(FMS_Ranking4[[#This Row],[FMS ID]],FMS_Input[FMS_ID],FMS_Input[FMS_NAME])</f>
        <v>City of Grand Prairie CIP Program</v>
      </c>
      <c r="E340" s="308" t="str">
        <f>_xlfn.XLOOKUP(FMS_Ranking4[[#This Row],[FMS ID]],FMS_Input[FMS_ID],FMS_Input[SPONSOR])</f>
        <v xml:space="preserve"> Grand Prairie</v>
      </c>
      <c r="F340" s="309" t="str">
        <f>_xlfn.XLOOKUP(FMS_Ranking4[[#This Row],[FMS ID]],Sponsor[FMS_ID],Sponsor[SPONSOR NAME])</f>
        <v xml:space="preserve"> Grand Prairie</v>
      </c>
      <c r="G340" s="309" t="str">
        <f>_xlfn.XLOOKUP(FMS_Ranking4[[#This Row],[FMS ID]],FMS_Input[FMS_ID],FMS_Input[FMS_DESCR])</f>
        <v>Improvement projects throughout the City of Grand Prairie</v>
      </c>
      <c r="H340" s="248" t="str">
        <f>_xlfn.XLOOKUP(FMS_Ranking4[[#This Row],[FMS ID]],FMS_Input[FMS_ID],FMS_Input[FMS_TYPE])</f>
        <v>Infrastructure Projects</v>
      </c>
      <c r="I340" s="249">
        <f>_xlfn.XLOOKUP(FMS_Ranking4[[#This Row],[FMS ID]],FMS_Input[FMS_ID],FMS_Input[NRNC_COST])</f>
        <v>48600000</v>
      </c>
      <c r="J340" s="250">
        <f>_xlfn.XLOOKUP(FMS_Ranking4[[#This Row],[FMS ID]],FMS_Input[FMS_ID],FMS_Input[FMS_COST])</f>
        <v>243000000</v>
      </c>
      <c r="K340" s="251" t="str">
        <f>_xlfn.XLOOKUP(FMS_Ranking4[[#This Row],[FMS ID]],FMS_Input[FMS_ID],FMS_Input[EMER_NEED])</f>
        <v>No</v>
      </c>
      <c r="L340" s="252">
        <f t="shared" si="5"/>
        <v>0</v>
      </c>
      <c r="M340" s="253">
        <f>_xlfn.XLOOKUP(FMS_Ranking4[[#This Row],[FMS ID]],FMS_Input[FMS_ID],FMS_Input[STRUCT_100])</f>
        <v>442</v>
      </c>
      <c r="N340" s="255">
        <f>(ASINH(FMS_Ranking4[[#This Row],[Structure at Risk Raw]]))*(10)/(ASINH(M$4))</f>
        <v>5.3335944191408622</v>
      </c>
      <c r="O340" s="256">
        <f>FMS_Ranking4[[#This Row],[Structures at risk, ArcSinh (0-10)]]*M$5*10</f>
        <v>5.3335944191408622</v>
      </c>
      <c r="P340" s="253">
        <f>_xlfn.XLOOKUP(FMS_Ranking4[[#This Row],[FMS ID]],FMS_Input[FMS_ID],FMS_Input[RES_STRUCT100])</f>
        <v>338</v>
      </c>
      <c r="Q340" s="257">
        <f>ASINH(FMS_Ranking4[[#This Row],[Res Structure Raw]])/Q$4*P$5*100</f>
        <v>0</v>
      </c>
      <c r="R340" s="253">
        <f>_xlfn.XLOOKUP(FMS_Ranking4[[#This Row],[FMS ID]],FMS_Input[FMS_ID],FMS_Input[POP100])</f>
        <v>2010</v>
      </c>
      <c r="S340" s="259">
        <f>(ASINH(FMS_Ranking4[[#This Row],[Pop at Risk Raw]]))*(10)/(ASINH(R$4))</f>
        <v>5.7293085619625481</v>
      </c>
      <c r="T340" s="256">
        <f>FMS_Ranking4[[#This Row],[Population at risk, ArcSinh (0-10)]]*R$5*10</f>
        <v>5.7293085619625481</v>
      </c>
      <c r="U340" s="253">
        <f>_xlfn.XLOOKUP(FMS_Ranking4[[#This Row],[FMS ID]],FMS_Input[FMS_ID],FMS_Input[CRITFAC100])</f>
        <v>3</v>
      </c>
      <c r="V340" s="259">
        <f>(ASINH(FMS_Ranking4[[#This Row],[Critical Facilities Raw]]))*(10)/(ASINH(U$4))</f>
        <v>2.152611706646717</v>
      </c>
      <c r="W340" s="256">
        <f>FMS_Ranking4[[#This Row],[Critical facilities at risk, ArcSinh (0-10)]]*U$5*10</f>
        <v>2.152611706646717</v>
      </c>
      <c r="X340" s="253">
        <f>_xlfn.XLOOKUP(FMS_Ranking4[[#This Row],[FMS ID]],FMS_Input[FMS_ID],FMS_Input[LWC])</f>
        <v>10</v>
      </c>
      <c r="Y340" s="259">
        <f>(ASINH(FMS_Ranking4[[#This Row],[LWC Raw]]))*(10)/(ASINH(X$4))</f>
        <v>4.06180589758889</v>
      </c>
      <c r="Z340" s="256">
        <f>FMS_Ranking4[[#This Row],[LWC, ArcSInh (0-10)]]*X$5*10</f>
        <v>4.06180589758889</v>
      </c>
      <c r="AA340" s="253">
        <f>_xlfn.XLOOKUP(FMS_Ranking4[[#This Row],[FMS ID]],FMS_Input[FMS_ID],FMS_Input[ROADCLS])</f>
        <v>0</v>
      </c>
      <c r="AB340" s="255">
        <f>(ASINH(FMS_Ranking4[[#This Row],[Road Closures Raw]]))*(10)/(ASINH(AA$4))</f>
        <v>0</v>
      </c>
      <c r="AC340" s="256">
        <f>FMS_Ranking4[[#This Row],[Road closures, ArcSinh (0-10)]]*AA$5*10</f>
        <v>0</v>
      </c>
      <c r="AD340" s="253">
        <f>_xlfn.XLOOKUP(FMS_Ranking4[[#This Row],[FMS ID]],FMS_Input[FMS_ID],FMS_Input[ROAD_MILES100])</f>
        <v>40</v>
      </c>
      <c r="AE340" s="259">
        <f>(ASINH(FMS_Ranking4[[#This Row],[Road Miles Raw]]))*(10)/(ASINH(AD$4))</f>
        <v>4.6702012712993621</v>
      </c>
      <c r="AF340" s="256">
        <f>FMS_Ranking4[[#This Row],[Length of roads at risk, ArcSinh (0-10)]]*AD$5*10</f>
        <v>4.6702012712993621</v>
      </c>
      <c r="AG340" s="253">
        <f>_xlfn.XLOOKUP(FMS_Ranking4[[#This Row],[FMS ID]],FMS_Input[FMS_ID],FMS_Input[FARMACRE100])</f>
        <v>1927.255004882812</v>
      </c>
      <c r="AH340" s="255">
        <f>(ASINH(FMS_Ranking4[[#This Row],[Ag Land Raw]]))*(10)/(ASINH(AG$4))</f>
        <v>5.3635936985251726</v>
      </c>
      <c r="AI340" s="260">
        <f>FMS_Ranking4[[#This Row],[Farm &amp; ranch land, ArcSinh (0-10)]]*AG$5*10</f>
        <v>2.6817968492625868</v>
      </c>
      <c r="AJ340" s="258">
        <f>_xlfn.XLOOKUP(FMS_Ranking4[[#This Row],[FMS ID]],FMS_Input[FMS_ID],FMS_Input[REDSTRUCT100])</f>
        <v>0</v>
      </c>
      <c r="AK340" s="253">
        <f>_xlfn.XLOOKUP(FMS_Ranking4[[#This Row],[FMS ID]],FMS_Input[FMS_ID],FMS_Input[REMSTRC100])</f>
        <v>0</v>
      </c>
      <c r="AL340" s="259">
        <f>(ASINH(FMS_Ranking4[[#This Row],[Structures Removed Raw]]))*(10)/(ASINH(AK$4))</f>
        <v>0</v>
      </c>
      <c r="AM340" s="262">
        <f>FMS_Ranking4[[#This Row],[Structures removed, ArcSinh (0-10)]]*AK$5*10</f>
        <v>0</v>
      </c>
      <c r="AN340" s="253">
        <f>_xlfn.XLOOKUP(FMS_Ranking4[[#This Row],[FMS ID]],FMS_Input[FMS_ID],FMS_Input[REMRESSTRC100])</f>
        <v>0</v>
      </c>
      <c r="AO340" s="261">
        <f>FMS_Ranking4[[#This Row],[ArcSinh Res struct removed 0-10]]*AN$5*10</f>
        <v>0</v>
      </c>
      <c r="AP340" s="260">
        <f>ASINH(FMS_Ranking4[[#This Row],[Residential Structures Removed Raw]])/AP$4*AN$5*100</f>
        <v>0</v>
      </c>
      <c r="AQ340" s="254">
        <f>(ASINH(FMS_Ranking4[[#This Row],[Residential Structures Removed Raw]]))*(10)/(ASINH(AN$4))</f>
        <v>0</v>
      </c>
      <c r="AR340" s="253">
        <f>_xlfn.XLOOKUP(FMS_Ranking4[[#This Row],[FMS ID]],FMS_Input[FMS_ID],FMS_Input[REMPOP100])</f>
        <v>0</v>
      </c>
      <c r="AS340" s="259">
        <f>(ASINH(FMS_Ranking4[[#This Row],[Removed Pop Raw]]))*(10)/(ASINH(AR$4))</f>
        <v>0</v>
      </c>
      <c r="AT340" s="262">
        <f>FMS_Ranking4[[#This Row],[Removed population, ArcSinh (0-10)]]*AR$5*10</f>
        <v>0</v>
      </c>
      <c r="AU340" s="264">
        <f>_xlfn.XLOOKUP(FMS_Ranking4[[#This Row],[FMS ID]],FMS_Input[FMS_ID],FMS_Input[REMCRITFAC100])</f>
        <v>0</v>
      </c>
      <c r="AV340" s="264">
        <f>_xlfn.XLOOKUP(FMS_Ranking4[[#This Row],[FMS ID]],FMS_Input[FMS_ID],FMS_Input[REMLWC100])</f>
        <v>0</v>
      </c>
      <c r="AW340" s="264">
        <f>_xlfn.XLOOKUP(FMS_Ranking4[[#This Row],[FMS ID]],FMS_Input[FMS_ID],FMS_Input[REMROADCLS])</f>
        <v>0</v>
      </c>
      <c r="AX340" s="264">
        <f>_xlfn.XLOOKUP(FMS_Ranking4[[#This Row],[FMS ID]],FMS_Input[FMS_ID],FMS_Input[REMFRMACRE100])</f>
        <v>0</v>
      </c>
      <c r="AY340" s="258">
        <f>_xlfn.XLOOKUP(FMS_Ranking4[[#This Row],[FMS ID]],FMS_Input[FMS_ID],FMS_Input[COSTSTRUCT])</f>
        <v>0</v>
      </c>
      <c r="AZ340" s="253">
        <f>_xlfn.XLOOKUP(FMS_Ranking4[[#This Row],[FMS ID]],FMS_Input[FMS_ID],FMS_Input[NATURE])</f>
        <v>0</v>
      </c>
      <c r="BA340" s="262">
        <f>(((FMS_Ranking4[[#This Row],[% NBS Raw]]/AZ$4)*100)*AZ$5)</f>
        <v>0</v>
      </c>
      <c r="BB340" s="251" t="str">
        <f>_xlfn.XLOOKUP(FMS_Ranking4[[#This Row],[FMS ID]],FMS_Input[FMS_ID],FMS_Input[WATER_SUP])</f>
        <v>No</v>
      </c>
      <c r="BC340" s="265">
        <f>IF(FMS_Ranking4[[#This Row],[Water Supply Raw]]="Yes",10,0)</f>
        <v>0</v>
      </c>
      <c r="BD340" s="266">
        <f>_xlfn.XLOOKUP(FMS_Ranking4[[#This Row],[FMS Type]],FMS_TYPE[FMS_Type],FMS_TYPE[Score])</f>
        <v>4</v>
      </c>
      <c r="BE340" s="267">
        <f>FMS_Ranking4[[#This Row],[FMS_Type Score]]*$BD$5*10</f>
        <v>1</v>
      </c>
      <c r="BF34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0.25567381184320864</v>
      </c>
      <c r="BG340" s="271">
        <f>_xlfn.RANK.EQ(BF340,$BF$8:$BF$870,0)+COUNTIF($BF$8:BF340,BF340)-1</f>
        <v>328</v>
      </c>
      <c r="BH340" s="268">
        <f>(((FMS_Ranking4[[#This Row],[Structures Removed Raw]]/AK$4)*100)*AK$5)+(((FMS_Ranking4[[#This Row],[Removed Pop Raw]]/AR$4)*100)*AR$5)</f>
        <v>0</v>
      </c>
      <c r="BI34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1.2556738118432087</v>
      </c>
      <c r="BJ340" s="205">
        <f>_xlfn.RANK.EQ(FMS_Ranking4[[#This Row],[Total Score 
(with linear
normalization)]],FMS_Ranking4[Total Score 
(with linear
normalization)],0)</f>
        <v>638</v>
      </c>
      <c r="BK340" s="205" t="e">
        <f>_xlfn.XLOOKUP(FMS_Ranking4[[#This Row],[FMS ID]],#REF!,#REF!)</f>
        <v>#REF!</v>
      </c>
      <c r="BL34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24.629318705900964</v>
      </c>
      <c r="BM340" s="272">
        <f>FMS_Ranking4[[#This Row],[ArcSinh Score Based on Normalized Reported Factors]]+FMS_Ranking4[[#This Row],[% NBS Score (Normalized)]]+(FMS_Ranking4[[#This Row],[Water Supply Score (Normalized)]]*10*$BB$5)+FMS_Ranking4[[#This Row],[FMS_Type Score Weighted]]</f>
        <v>25.629318705900964</v>
      </c>
      <c r="BN340" s="205">
        <f>_xlfn.RANK.EQ(FMS_Ranking4[[#This Row],[Total Score (with ArcSinh normalization of select criteria)]],FMS_Ranking4[Total Score (with ArcSinh normalization of select criteria)],0)</f>
        <v>333</v>
      </c>
      <c r="BO340" s="270" t="str">
        <f>_xlfn.XLOOKUP(FMS_Ranking4[[#This Row],[FMS ID]],FMS_Input[FMS_ID],FMS_Input[FMS_RANK_YEAR])</f>
        <v>2023 Amended Plan</v>
      </c>
      <c r="BP340" s="204">
        <f>_xlfn.XLOOKUP(FMS_Ranking4[[#This Row],[FMS ID]],Prev_Rank[FMS ID],Prev_Rank[Prev Rank])</f>
        <v>289</v>
      </c>
      <c r="BQ340" s="205" t="e">
        <f>_xlfn.XLOOKUP(FMS_Ranking4[[#This Row],[FMS ID]],#REF!,#REF!)</f>
        <v>#REF!</v>
      </c>
      <c r="BR340" s="199" t="e">
        <f>SUM(#REF!,#REF!,#REF!,#REF!,#REF!,#REF!,#REF!,#REF!,#REF!,FMS_Ranking4[[#This Row],[ArcSinh Res struct removed 0-10]],#REF!)</f>
        <v>#REF!</v>
      </c>
      <c r="BS340" s="199" t="e">
        <f>FMS_Ranking4[[#This Row],[Log Score Based on Normalized Reported Factors]]+FMS_Ranking4[[#This Row],[% NBS Score (Normalized)]]+(FMS_Ranking4[[#This Row],[Water Supply Score (Normalized)]]*10*$BB$5)+(FMS_Ranking4[[#This Row],[FMS_Type Score Weighted]])</f>
        <v>#REF!</v>
      </c>
      <c r="BT340" s="200" t="e">
        <f>_xlfn.RANK.EQ(FMS_Ranking4[[#This Row],[Log Total Score]],FMS_Ranking4[Log Total Score],0)</f>
        <v>#REF!</v>
      </c>
      <c r="BU340" s="200" t="e">
        <f>_xlfn.XLOOKUP(FMS_Ranking4[[#This Row],[FMS ID]],#REF!,#REF!)</f>
        <v>#REF!</v>
      </c>
      <c r="BV340" s="200">
        <f>FMS_Ranking4[[#This Row],[Region Number]]</f>
        <v>3</v>
      </c>
      <c r="BW340" s="200">
        <f>FMS_Ranking4[[#This Row],[Rank (with ArcSinh normalization of select criteria)]]-FMS_Ranking4[[#This Row],[Rank
(with linear
normalization)]]</f>
        <v>-305</v>
      </c>
      <c r="BX340" s="200" t="e">
        <f>FMS_Ranking4[[#This Row],[Log Rank]]-FMS_Ranking4[[#This Row],[Rank
(with linear
normalization)]]</f>
        <v>#REF!</v>
      </c>
      <c r="BY340" s="200" t="str">
        <f>IF(FMS_Ranking4[[#This Row],[FMS Type]]="Flood Measurement and Warning",FMS_Ranking4[[#This Row],[Rank (with ArcSinh normalization of select criteria)]],"")</f>
        <v/>
      </c>
      <c r="BZ340" s="200" t="str">
        <f>IF(FMS_Ranking4[[#This Row],[FMS Type]]="Regulatory and Guidance",FMS_Ranking4[[#This Row],[Rank (with ArcSinh normalization of select criteria)]],"")</f>
        <v/>
      </c>
      <c r="CA340" s="200" t="str">
        <f>IF(FMS_Ranking4[[#This Row],[FMS Type]]="Education and Outreach",FMS_Ranking4[[#This Row],[Rank (with ArcSinh normalization of select criteria)]],"")</f>
        <v/>
      </c>
      <c r="CB340" s="200" t="str">
        <f>IF(FMS_Ranking4[[#This Row],[FMS Type]]="Property Acquisition and Structural Elevation",FMS_Ranking4[[#This Row],[Rank (with ArcSinh normalization of select criteria)]],"")</f>
        <v/>
      </c>
      <c r="CC340" s="200">
        <f>IF(FMS_Ranking4[[#This Row],[FMS Type]]="Infrastructure Projects",FMS_Ranking4[[#This Row],[Rank (with ArcSinh normalization of select criteria)]],"")</f>
        <v>333</v>
      </c>
      <c r="CD340" s="200" t="str">
        <f>IF(FMS_Ranking4[[#This Row],[FMS Type]]="Other",FMS_Ranking4[[#This Row],[Rank (with ArcSinh normalization of select criteria)]],"")</f>
        <v/>
      </c>
      <c r="CE340" s="201"/>
      <c r="CF340" s="206"/>
      <c r="CG340" s="206"/>
      <c r="CH340" s="206"/>
      <c r="CI340" s="206"/>
      <c r="CJ340" s="206"/>
      <c r="CK340" s="206"/>
      <c r="CL340" s="206"/>
      <c r="CM340" s="206"/>
      <c r="CN340" s="206"/>
      <c r="CO340" s="206"/>
      <c r="CP340" s="206"/>
      <c r="CQ340" s="206"/>
      <c r="CR340" s="206"/>
    </row>
    <row r="341" spans="2:96" ht="75" x14ac:dyDescent="0.25">
      <c r="B341" s="341" t="s">
        <v>2715</v>
      </c>
      <c r="C341" s="246">
        <f>_xlfn.XLOOKUP(FMS_Ranking4[[#This Row],[FMS ID]],FMS_Input[FMS_ID],FMS_Input[RFPG_NUM])</f>
        <v>5</v>
      </c>
      <c r="D341" s="309" t="str">
        <f>_xlfn.XLOOKUP(FMS_Ranking4[[#This Row],[FMS ID]],FMS_Input[FMS_ID],FMS_Input[FMS_NAME])</f>
        <v>City of Nacogdoches Study and Ranking of Repetitive Loss Structures</v>
      </c>
      <c r="E341" s="308" t="str">
        <f>_xlfn.XLOOKUP(FMS_Ranking4[[#This Row],[FMS ID]],FMS_Input[FMS_ID],FMS_Input[SPONSOR])</f>
        <v>05002929</v>
      </c>
      <c r="F341" s="309" t="str">
        <f>_xlfn.XLOOKUP(FMS_Ranking4[[#This Row],[FMS ID]],Sponsor[FMS_ID],Sponsor[SPONSOR NAME])</f>
        <v>Nacogdoches</v>
      </c>
      <c r="G341" s="309" t="str">
        <f>_xlfn.XLOOKUP(FMS_Ranking4[[#This Row],[FMS ID]],FMS_Input[FMS_ID],FMS_Input[FMS_DESCR])</f>
        <v xml:space="preserve">Analyze flood-prone properties in the City of Nacogdoches and identify appropriate mitigation options for each repetitive loss structure. </v>
      </c>
      <c r="H341" s="248" t="str">
        <f>_xlfn.XLOOKUP(FMS_Ranking4[[#This Row],[FMS ID]],FMS_Input[FMS_ID],FMS_Input[FMS_TYPE])</f>
        <v>Property Acquisition and Structural Elevation</v>
      </c>
      <c r="I341" s="249">
        <f>_xlfn.XLOOKUP(FMS_Ranking4[[#This Row],[FMS ID]],FMS_Input[FMS_ID],FMS_Input[NRNC_COST])</f>
        <v>100000</v>
      </c>
      <c r="J341" s="250">
        <f>_xlfn.XLOOKUP(FMS_Ranking4[[#This Row],[FMS ID]],FMS_Input[FMS_ID],FMS_Input[FMS_COST])</f>
        <v>327000</v>
      </c>
      <c r="K341" s="251" t="str">
        <f>_xlfn.XLOOKUP(FMS_Ranking4[[#This Row],[FMS ID]],FMS_Input[FMS_ID],FMS_Input[EMER_NEED])</f>
        <v>Yes</v>
      </c>
      <c r="L341" s="252">
        <f t="shared" si="5"/>
        <v>1</v>
      </c>
      <c r="M341" s="253">
        <f>_xlfn.XLOOKUP(FMS_Ranking4[[#This Row],[FMS ID]],FMS_Input[FMS_ID],FMS_Input[STRUCT_100])</f>
        <v>446</v>
      </c>
      <c r="N341" s="255">
        <f>(ASINH(FMS_Ranking4[[#This Row],[Structure at Risk Raw]]))*(10)/(ASINH(M$4))</f>
        <v>5.3406768715440256</v>
      </c>
      <c r="O341" s="256">
        <f>FMS_Ranking4[[#This Row],[Structures at risk, ArcSinh (0-10)]]*M$5*10</f>
        <v>5.3406768715440256</v>
      </c>
      <c r="P341" s="253">
        <f>_xlfn.XLOOKUP(FMS_Ranking4[[#This Row],[FMS ID]],FMS_Input[FMS_ID],FMS_Input[RES_STRUCT100])</f>
        <v>185</v>
      </c>
      <c r="Q341" s="257">
        <f>ASINH(FMS_Ranking4[[#This Row],[Res Structure Raw]])/Q$4*P$5*100</f>
        <v>0</v>
      </c>
      <c r="R341" s="253">
        <f>_xlfn.XLOOKUP(FMS_Ranking4[[#This Row],[FMS ID]],FMS_Input[FMS_ID],FMS_Input[POP100])</f>
        <v>5331</v>
      </c>
      <c r="S341" s="259">
        <f>(ASINH(FMS_Ranking4[[#This Row],[Pop at Risk Raw]]))*(10)/(ASINH(R$4))</f>
        <v>6.4026867724418519</v>
      </c>
      <c r="T341" s="256">
        <f>FMS_Ranking4[[#This Row],[Population at risk, ArcSinh (0-10)]]*R$5*10</f>
        <v>6.4026867724418519</v>
      </c>
      <c r="U341" s="253">
        <f>_xlfn.XLOOKUP(FMS_Ranking4[[#This Row],[FMS ID]],FMS_Input[FMS_ID],FMS_Input[CRITFAC100])</f>
        <v>1</v>
      </c>
      <c r="V341" s="259">
        <f>(ASINH(FMS_Ranking4[[#This Row],[Critical Facilities Raw]]))*(10)/(ASINH(U$4))</f>
        <v>1.0433384451410745</v>
      </c>
      <c r="W341" s="256">
        <f>FMS_Ranking4[[#This Row],[Critical facilities at risk, ArcSinh (0-10)]]*U$5*10</f>
        <v>1.0433384451410745</v>
      </c>
      <c r="X341" s="253">
        <f>_xlfn.XLOOKUP(FMS_Ranking4[[#This Row],[FMS ID]],FMS_Input[FMS_ID],FMS_Input[LWC])</f>
        <v>0</v>
      </c>
      <c r="Y341" s="259">
        <f>(ASINH(FMS_Ranking4[[#This Row],[LWC Raw]]))*(10)/(ASINH(X$4))</f>
        <v>0</v>
      </c>
      <c r="Z341" s="256">
        <f>FMS_Ranking4[[#This Row],[LWC, ArcSInh (0-10)]]*X$5*10</f>
        <v>0</v>
      </c>
      <c r="AA341" s="253">
        <f>_xlfn.XLOOKUP(FMS_Ranking4[[#This Row],[FMS ID]],FMS_Input[FMS_ID],FMS_Input[ROADCLS])</f>
        <v>0</v>
      </c>
      <c r="AB341" s="255">
        <f>(ASINH(FMS_Ranking4[[#This Row],[Road Closures Raw]]))*(10)/(ASINH(AA$4))</f>
        <v>0</v>
      </c>
      <c r="AC341" s="256">
        <f>FMS_Ranking4[[#This Row],[Road closures, ArcSinh (0-10)]]*AA$5*10</f>
        <v>0</v>
      </c>
      <c r="AD341" s="253">
        <f>_xlfn.XLOOKUP(FMS_Ranking4[[#This Row],[FMS ID]],FMS_Input[FMS_ID],FMS_Input[ROAD_MILES100])</f>
        <v>14</v>
      </c>
      <c r="AE341" s="259">
        <f>(ASINH(FMS_Ranking4[[#This Row],[Road Miles Raw]]))*(10)/(ASINH(AD$4))</f>
        <v>3.552569987120918</v>
      </c>
      <c r="AF341" s="256">
        <f>FMS_Ranking4[[#This Row],[Length of roads at risk, ArcSinh (0-10)]]*AD$5*10</f>
        <v>3.5525699871209184</v>
      </c>
      <c r="AG341" s="253">
        <f>_xlfn.XLOOKUP(FMS_Ranking4[[#This Row],[FMS ID]],FMS_Input[FMS_ID],FMS_Input[FARMACRE100])</f>
        <v>4.4304699897766113</v>
      </c>
      <c r="AH341" s="255">
        <f>(ASINH(FMS_Ranking4[[#This Row],[Ag Land Raw]]))*(10)/(ASINH(AG$4))</f>
        <v>1.4252807496080862</v>
      </c>
      <c r="AI341" s="260">
        <f>FMS_Ranking4[[#This Row],[Farm &amp; ranch land, ArcSinh (0-10)]]*AG$5*10</f>
        <v>0.71264037480404319</v>
      </c>
      <c r="AJ341" s="258">
        <f>_xlfn.XLOOKUP(FMS_Ranking4[[#This Row],[FMS ID]],FMS_Input[FMS_ID],FMS_Input[REDSTRUCT100])</f>
        <v>0</v>
      </c>
      <c r="AK341" s="253">
        <f>_xlfn.XLOOKUP(FMS_Ranking4[[#This Row],[FMS ID]],FMS_Input[FMS_ID],FMS_Input[REMSTRC100])</f>
        <v>0</v>
      </c>
      <c r="AL341" s="259">
        <f>(ASINH(FMS_Ranking4[[#This Row],[Structures Removed Raw]]))*(10)/(ASINH(AK$4))</f>
        <v>0</v>
      </c>
      <c r="AM341" s="262">
        <f>FMS_Ranking4[[#This Row],[Structures removed, ArcSinh (0-10)]]*AK$5*10</f>
        <v>0</v>
      </c>
      <c r="AN341" s="253">
        <f>_xlfn.XLOOKUP(FMS_Ranking4[[#This Row],[FMS ID]],FMS_Input[FMS_ID],FMS_Input[REMRESSTRC100])</f>
        <v>0</v>
      </c>
      <c r="AO341" s="261">
        <f>FMS_Ranking4[[#This Row],[ArcSinh Res struct removed 0-10]]*AN$5*10</f>
        <v>0</v>
      </c>
      <c r="AP341" s="260">
        <f>ASINH(FMS_Ranking4[[#This Row],[Residential Structures Removed Raw]])/AP$4*AN$5*100</f>
        <v>0</v>
      </c>
      <c r="AQ341" s="254">
        <f>(ASINH(FMS_Ranking4[[#This Row],[Residential Structures Removed Raw]]))*(10)/(ASINH(AN$4))</f>
        <v>0</v>
      </c>
      <c r="AR341" s="253">
        <f>_xlfn.XLOOKUP(FMS_Ranking4[[#This Row],[FMS ID]],FMS_Input[FMS_ID],FMS_Input[REMPOP100])</f>
        <v>0</v>
      </c>
      <c r="AS341" s="259">
        <f>(ASINH(FMS_Ranking4[[#This Row],[Removed Pop Raw]]))*(10)/(ASINH(AR$4))</f>
        <v>0</v>
      </c>
      <c r="AT341" s="262">
        <f>FMS_Ranking4[[#This Row],[Removed population, ArcSinh (0-10)]]*AR$5*10</f>
        <v>0</v>
      </c>
      <c r="AU341" s="264">
        <f>_xlfn.XLOOKUP(FMS_Ranking4[[#This Row],[FMS ID]],FMS_Input[FMS_ID],FMS_Input[REMCRITFAC100])</f>
        <v>0</v>
      </c>
      <c r="AV341" s="264">
        <f>_xlfn.XLOOKUP(FMS_Ranking4[[#This Row],[FMS ID]],FMS_Input[FMS_ID],FMS_Input[REMLWC100])</f>
        <v>0</v>
      </c>
      <c r="AW341" s="264">
        <f>_xlfn.XLOOKUP(FMS_Ranking4[[#This Row],[FMS ID]],FMS_Input[FMS_ID],FMS_Input[REMROADCLS])</f>
        <v>0</v>
      </c>
      <c r="AX341" s="264">
        <f>_xlfn.XLOOKUP(FMS_Ranking4[[#This Row],[FMS ID]],FMS_Input[FMS_ID],FMS_Input[REMFRMACRE100])</f>
        <v>0</v>
      </c>
      <c r="AY341" s="258">
        <f>_xlfn.XLOOKUP(FMS_Ranking4[[#This Row],[FMS ID]],FMS_Input[FMS_ID],FMS_Input[COSTSTRUCT])</f>
        <v>0</v>
      </c>
      <c r="AZ341" s="253">
        <f>_xlfn.XLOOKUP(FMS_Ranking4[[#This Row],[FMS ID]],FMS_Input[FMS_ID],FMS_Input[NATURE])</f>
        <v>100</v>
      </c>
      <c r="BA341" s="262">
        <f>(((FMS_Ranking4[[#This Row],[% NBS Raw]]/AZ$4)*100)*AZ$5)</f>
        <v>7.5</v>
      </c>
      <c r="BB341" s="251" t="str">
        <f>_xlfn.XLOOKUP(FMS_Ranking4[[#This Row],[FMS ID]],FMS_Input[FMS_ID],FMS_Input[WATER_SUP])</f>
        <v>No</v>
      </c>
      <c r="BC341" s="265">
        <f>IF(FMS_Ranking4[[#This Row],[Water Supply Raw]]="Yes",10,0)</f>
        <v>0</v>
      </c>
      <c r="BD341" s="266">
        <f>_xlfn.XLOOKUP(FMS_Ranking4[[#This Row],[FMS Type]],FMS_TYPE[FMS_Type],FMS_TYPE[Score])</f>
        <v>4</v>
      </c>
      <c r="BE341" s="267">
        <f>FMS_Ranking4[[#This Row],[FMS_Type Score]]*$BD$5*10</f>
        <v>1</v>
      </c>
      <c r="BF34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0.10909476029069501</v>
      </c>
      <c r="BG341" s="271">
        <f>_xlfn.RANK.EQ(BF341,$BF$8:$BF$870,0)+COUNTIF($BF$8:BF341,BF341)-1</f>
        <v>474</v>
      </c>
      <c r="BH341" s="268">
        <f>(((FMS_Ranking4[[#This Row],[Structures Removed Raw]]/AK$4)*100)*AK$5)+(((FMS_Ranking4[[#This Row],[Removed Pop Raw]]/AR$4)*100)*AR$5)</f>
        <v>0</v>
      </c>
      <c r="BI34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8.6090947602906951</v>
      </c>
      <c r="BJ341" s="205">
        <f>_xlfn.RANK.EQ(FMS_Ranking4[[#This Row],[Total Score 
(with linear
normalization)]],FMS_Ranking4[Total Score 
(with linear
normalization)],0)</f>
        <v>68</v>
      </c>
      <c r="BK341" s="205" t="e">
        <f>_xlfn.XLOOKUP(FMS_Ranking4[[#This Row],[FMS ID]],#REF!,#REF!)</f>
        <v>#REF!</v>
      </c>
      <c r="BL34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17.051912451051912</v>
      </c>
      <c r="BM341" s="272">
        <f>FMS_Ranking4[[#This Row],[ArcSinh Score Based on Normalized Reported Factors]]+FMS_Ranking4[[#This Row],[% NBS Score (Normalized)]]+(FMS_Ranking4[[#This Row],[Water Supply Score (Normalized)]]*10*$BB$5)+FMS_Ranking4[[#This Row],[FMS_Type Score Weighted]]</f>
        <v>25.551912451051912</v>
      </c>
      <c r="BN341" s="205">
        <f>_xlfn.RANK.EQ(FMS_Ranking4[[#This Row],[Total Score (with ArcSinh normalization of select criteria)]],FMS_Ranking4[Total Score (with ArcSinh normalization of select criteria)],0)</f>
        <v>334</v>
      </c>
      <c r="BO341" s="270" t="str">
        <f>_xlfn.XLOOKUP(FMS_Ranking4[[#This Row],[FMS ID]],FMS_Input[FMS_ID],FMS_Input[FMS_RANK_YEAR])</f>
        <v>2023 Amended Plan</v>
      </c>
      <c r="BP341" s="204">
        <f>_xlfn.XLOOKUP(FMS_Ranking4[[#This Row],[FMS ID]],Prev_Rank[FMS ID],Prev_Rank[Prev Rank])</f>
        <v>299</v>
      </c>
      <c r="BQ341" s="205" t="e">
        <f>_xlfn.XLOOKUP(FMS_Ranking4[[#This Row],[FMS ID]],#REF!,#REF!)</f>
        <v>#REF!</v>
      </c>
      <c r="BR341" s="199" t="e">
        <f>SUM(#REF!,#REF!,#REF!,#REF!,#REF!,#REF!,#REF!,#REF!,#REF!,FMS_Ranking4[[#This Row],[ArcSinh Res struct removed 0-10]],#REF!)</f>
        <v>#REF!</v>
      </c>
      <c r="BS341" s="199" t="e">
        <f>FMS_Ranking4[[#This Row],[Log Score Based on Normalized Reported Factors]]+FMS_Ranking4[[#This Row],[% NBS Score (Normalized)]]+(FMS_Ranking4[[#This Row],[Water Supply Score (Normalized)]]*10*$BB$5)+(FMS_Ranking4[[#This Row],[FMS_Type Score Weighted]])</f>
        <v>#REF!</v>
      </c>
      <c r="BT341" s="200" t="e">
        <f>_xlfn.RANK.EQ(FMS_Ranking4[[#This Row],[Log Total Score]],FMS_Ranking4[Log Total Score],0)</f>
        <v>#REF!</v>
      </c>
      <c r="BU341" s="200" t="e">
        <f>_xlfn.XLOOKUP(FMS_Ranking4[[#This Row],[FMS ID]],#REF!,#REF!)</f>
        <v>#REF!</v>
      </c>
      <c r="BV341" s="200">
        <f>FMS_Ranking4[[#This Row],[Region Number]]</f>
        <v>5</v>
      </c>
      <c r="BW341" s="200">
        <f>FMS_Ranking4[[#This Row],[Rank (with ArcSinh normalization of select criteria)]]-FMS_Ranking4[[#This Row],[Rank
(with linear
normalization)]]</f>
        <v>266</v>
      </c>
      <c r="BX341" s="200" t="e">
        <f>FMS_Ranking4[[#This Row],[Log Rank]]-FMS_Ranking4[[#This Row],[Rank
(with linear
normalization)]]</f>
        <v>#REF!</v>
      </c>
      <c r="BY341" s="200" t="str">
        <f>IF(FMS_Ranking4[[#This Row],[FMS Type]]="Flood Measurement and Warning",FMS_Ranking4[[#This Row],[Rank (with ArcSinh normalization of select criteria)]],"")</f>
        <v/>
      </c>
      <c r="BZ341" s="200" t="str">
        <f>IF(FMS_Ranking4[[#This Row],[FMS Type]]="Regulatory and Guidance",FMS_Ranking4[[#This Row],[Rank (with ArcSinh normalization of select criteria)]],"")</f>
        <v/>
      </c>
      <c r="CA341" s="200" t="str">
        <f>IF(FMS_Ranking4[[#This Row],[FMS Type]]="Education and Outreach",FMS_Ranking4[[#This Row],[Rank (with ArcSinh normalization of select criteria)]],"")</f>
        <v/>
      </c>
      <c r="CB341" s="200">
        <f>IF(FMS_Ranking4[[#This Row],[FMS Type]]="Property Acquisition and Structural Elevation",FMS_Ranking4[[#This Row],[Rank (with ArcSinh normalization of select criteria)]],"")</f>
        <v>334</v>
      </c>
      <c r="CC341" s="200" t="str">
        <f>IF(FMS_Ranking4[[#This Row],[FMS Type]]="Infrastructure Projects",FMS_Ranking4[[#This Row],[Rank (with ArcSinh normalization of select criteria)]],"")</f>
        <v/>
      </c>
      <c r="CD341" s="200" t="str">
        <f>IF(FMS_Ranking4[[#This Row],[FMS Type]]="Other",FMS_Ranking4[[#This Row],[Rank (with ArcSinh normalization of select criteria)]],"")</f>
        <v/>
      </c>
      <c r="CE341" s="201"/>
      <c r="CF341" s="206"/>
      <c r="CG341" s="206"/>
      <c r="CH341" s="206"/>
      <c r="CI341" s="206"/>
      <c r="CJ341" s="206"/>
      <c r="CK341" s="206"/>
      <c r="CL341" s="206"/>
      <c r="CM341" s="206"/>
      <c r="CN341" s="206"/>
      <c r="CO341" s="206"/>
      <c r="CP341" s="206"/>
      <c r="CQ341" s="206"/>
      <c r="CR341" s="206"/>
    </row>
    <row r="342" spans="2:96" ht="105" x14ac:dyDescent="0.25">
      <c r="B342" s="341" t="s">
        <v>12021</v>
      </c>
      <c r="C342" s="246">
        <f>_xlfn.XLOOKUP(FMS_Ranking4[[#This Row],[FMS ID]],FMS_Input[FMS_ID],FMS_Input[RFPG_NUM])</f>
        <v>15</v>
      </c>
      <c r="D342" s="309" t="str">
        <f>_xlfn.XLOOKUP(FMS_Ranking4[[#This Row],[FMS ID]],FMS_Input[FMS_ID],FMS_Input[FMS_NAME])</f>
        <v>City of San Juan</v>
      </c>
      <c r="E342" s="308" t="str">
        <f>_xlfn.XLOOKUP(FMS_Ranking4[[#This Row],[FMS ID]],FMS_Input[FMS_ID],FMS_Input[SPONSOR])</f>
        <v>15000087</v>
      </c>
      <c r="F342" s="309" t="str">
        <f>_xlfn.XLOOKUP(FMS_Ranking4[[#This Row],[FMS ID]],Sponsor[FMS_ID],Sponsor[SPONSOR NAME])</f>
        <v>San Juan</v>
      </c>
      <c r="G342" s="309" t="str">
        <f>_xlfn.XLOOKUP(FMS_Ranking4[[#This Row],[FMS ID]],FMS_Input[FMS_ID],FMS_Input[FMS_DESCR])</f>
        <v>FMS 2 - Assessment, development, and updating of the City's ordinances, orders, policies, engineering specifications, guidance documents and other flood management tools.</v>
      </c>
      <c r="H342" s="248" t="str">
        <f>_xlfn.XLOOKUP(FMS_Ranking4[[#This Row],[FMS ID]],FMS_Input[FMS_ID],FMS_Input[FMS_TYPE])</f>
        <v>Regulatory and Guidance</v>
      </c>
      <c r="I342" s="249">
        <f>_xlfn.XLOOKUP(FMS_Ranking4[[#This Row],[FMS ID]],FMS_Input[FMS_ID],FMS_Input[NRNC_COST])</f>
        <v>500000</v>
      </c>
      <c r="J342" s="250">
        <f>_xlfn.XLOOKUP(FMS_Ranking4[[#This Row],[FMS ID]],FMS_Input[FMS_ID],FMS_Input[FMS_COST])</f>
        <v>500000</v>
      </c>
      <c r="K342" s="251" t="str">
        <f>_xlfn.XLOOKUP(FMS_Ranking4[[#This Row],[FMS ID]],FMS_Input[FMS_ID],FMS_Input[EMER_NEED])</f>
        <v>Yes</v>
      </c>
      <c r="L342" s="252">
        <f t="shared" si="5"/>
        <v>1</v>
      </c>
      <c r="M342" s="253">
        <f>_xlfn.XLOOKUP(FMS_Ranking4[[#This Row],[FMS ID]],FMS_Input[FMS_ID],FMS_Input[STRUCT_100])</f>
        <v>2591</v>
      </c>
      <c r="N342" s="255">
        <f>(ASINH(FMS_Ranking4[[#This Row],[Structure at Risk Raw]]))*(10)/(ASINH(M$4))</f>
        <v>6.7238893476738184</v>
      </c>
      <c r="O342" s="256">
        <f>FMS_Ranking4[[#This Row],[Structures at risk, ArcSinh (0-10)]]*M$5*10</f>
        <v>6.7238893476738193</v>
      </c>
      <c r="P342" s="253">
        <f>_xlfn.XLOOKUP(FMS_Ranking4[[#This Row],[FMS ID]],FMS_Input[FMS_ID],FMS_Input[RES_STRUCT100])</f>
        <v>2383</v>
      </c>
      <c r="Q342" s="257">
        <f>ASINH(FMS_Ranking4[[#This Row],[Res Structure Raw]])/Q$4*P$5*100</f>
        <v>0</v>
      </c>
      <c r="R342" s="253">
        <f>_xlfn.XLOOKUP(FMS_Ranking4[[#This Row],[FMS ID]],FMS_Input[FMS_ID],FMS_Input[POP100])</f>
        <v>9696</v>
      </c>
      <c r="S342" s="259">
        <f>(ASINH(FMS_Ranking4[[#This Row],[Pop at Risk Raw]]))*(10)/(ASINH(R$4))</f>
        <v>6.8156415131950032</v>
      </c>
      <c r="T342" s="256">
        <f>FMS_Ranking4[[#This Row],[Population at risk, ArcSinh (0-10)]]*R$5*10</f>
        <v>6.8156415131950032</v>
      </c>
      <c r="U342" s="253">
        <f>_xlfn.XLOOKUP(FMS_Ranking4[[#This Row],[FMS ID]],FMS_Input[FMS_ID],FMS_Input[CRITFAC100])</f>
        <v>19</v>
      </c>
      <c r="V342" s="259">
        <f>(ASINH(FMS_Ranking4[[#This Row],[Critical Facilities Raw]]))*(10)/(ASINH(U$4))</f>
        <v>4.3068629784334975</v>
      </c>
      <c r="W342" s="256">
        <f>FMS_Ranking4[[#This Row],[Critical facilities at risk, ArcSinh (0-10)]]*U$5*10</f>
        <v>4.3068629784334975</v>
      </c>
      <c r="X342" s="253">
        <f>_xlfn.XLOOKUP(FMS_Ranking4[[#This Row],[FMS ID]],FMS_Input[FMS_ID],FMS_Input[LWC])</f>
        <v>0</v>
      </c>
      <c r="Y342" s="259">
        <f>(ASINH(FMS_Ranking4[[#This Row],[LWC Raw]]))*(10)/(ASINH(X$4))</f>
        <v>0</v>
      </c>
      <c r="Z342" s="256">
        <f>FMS_Ranking4[[#This Row],[LWC, ArcSInh (0-10)]]*X$5*10</f>
        <v>0</v>
      </c>
      <c r="AA342" s="253">
        <f>_xlfn.XLOOKUP(FMS_Ranking4[[#This Row],[FMS ID]],FMS_Input[FMS_ID],FMS_Input[ROADCLS])</f>
        <v>0</v>
      </c>
      <c r="AB342" s="255">
        <f>(ASINH(FMS_Ranking4[[#This Row],[Road Closures Raw]]))*(10)/(ASINH(AA$4))</f>
        <v>0</v>
      </c>
      <c r="AC342" s="256">
        <f>FMS_Ranking4[[#This Row],[Road closures, ArcSinh (0-10)]]*AA$5*10</f>
        <v>0</v>
      </c>
      <c r="AD342" s="253">
        <f>_xlfn.XLOOKUP(FMS_Ranking4[[#This Row],[FMS ID]],FMS_Input[FMS_ID],FMS_Input[ROAD_MILES100])</f>
        <v>62</v>
      </c>
      <c r="AE342" s="259">
        <f>(ASINH(FMS_Ranking4[[#This Row],[Road Miles Raw]]))*(10)/(ASINH(AD$4))</f>
        <v>5.1371632767889395</v>
      </c>
      <c r="AF342" s="256">
        <f>FMS_Ranking4[[#This Row],[Length of roads at risk, ArcSinh (0-10)]]*AD$5*10</f>
        <v>5.1371632767889395</v>
      </c>
      <c r="AG342" s="253">
        <f>_xlfn.XLOOKUP(FMS_Ranking4[[#This Row],[FMS ID]],FMS_Input[FMS_ID],FMS_Input[FARMACRE100])</f>
        <v>2.6906390190124512</v>
      </c>
      <c r="AH342" s="255">
        <f>(ASINH(FMS_Ranking4[[#This Row],[Ag Land Raw]]))*(10)/(ASINH(AG$4))</f>
        <v>1.114549080531146</v>
      </c>
      <c r="AI342" s="260">
        <f>FMS_Ranking4[[#This Row],[Farm &amp; ranch land, ArcSinh (0-10)]]*AG$5*10</f>
        <v>0.55727454026557299</v>
      </c>
      <c r="AJ342" s="258">
        <f>_xlfn.XLOOKUP(FMS_Ranking4[[#This Row],[FMS ID]],FMS_Input[FMS_ID],FMS_Input[REDSTRUCT100])</f>
        <v>0</v>
      </c>
      <c r="AK342" s="253">
        <f>_xlfn.XLOOKUP(FMS_Ranking4[[#This Row],[FMS ID]],FMS_Input[FMS_ID],FMS_Input[REMSTRC100])</f>
        <v>0</v>
      </c>
      <c r="AL342" s="259">
        <f>(ASINH(FMS_Ranking4[[#This Row],[Structures Removed Raw]]))*(10)/(ASINH(AK$4))</f>
        <v>0</v>
      </c>
      <c r="AM342" s="262">
        <f>FMS_Ranking4[[#This Row],[Structures removed, ArcSinh (0-10)]]*AK$5*10</f>
        <v>0</v>
      </c>
      <c r="AN342" s="253">
        <f>_xlfn.XLOOKUP(FMS_Ranking4[[#This Row],[FMS ID]],FMS_Input[FMS_ID],FMS_Input[REMRESSTRC100])</f>
        <v>0</v>
      </c>
      <c r="AO342" s="261">
        <f>FMS_Ranking4[[#This Row],[ArcSinh Res struct removed 0-10]]*AN$5*10</f>
        <v>0</v>
      </c>
      <c r="AP342" s="260">
        <f>ASINH(FMS_Ranking4[[#This Row],[Residential Structures Removed Raw]])/AP$4*AN$5*100</f>
        <v>0</v>
      </c>
      <c r="AQ342" s="254">
        <f>(ASINH(FMS_Ranking4[[#This Row],[Residential Structures Removed Raw]]))*(10)/(ASINH(AN$4))</f>
        <v>0</v>
      </c>
      <c r="AR342" s="253">
        <f>_xlfn.XLOOKUP(FMS_Ranking4[[#This Row],[FMS ID]],FMS_Input[FMS_ID],FMS_Input[REMPOP100])</f>
        <v>0</v>
      </c>
      <c r="AS342" s="259">
        <f>(ASINH(FMS_Ranking4[[#This Row],[Removed Pop Raw]]))*(10)/(ASINH(AR$4))</f>
        <v>0</v>
      </c>
      <c r="AT342" s="262">
        <f>FMS_Ranking4[[#This Row],[Removed population, ArcSinh (0-10)]]*AR$5*10</f>
        <v>0</v>
      </c>
      <c r="AU342" s="264">
        <f>_xlfn.XLOOKUP(FMS_Ranking4[[#This Row],[FMS ID]],FMS_Input[FMS_ID],FMS_Input[REMCRITFAC100])</f>
        <v>0</v>
      </c>
      <c r="AV342" s="264">
        <f>_xlfn.XLOOKUP(FMS_Ranking4[[#This Row],[FMS ID]],FMS_Input[FMS_ID],FMS_Input[REMLWC100])</f>
        <v>0</v>
      </c>
      <c r="AW342" s="264">
        <f>_xlfn.XLOOKUP(FMS_Ranking4[[#This Row],[FMS ID]],FMS_Input[FMS_ID],FMS_Input[REMROADCLS])</f>
        <v>0</v>
      </c>
      <c r="AX342" s="264">
        <f>_xlfn.XLOOKUP(FMS_Ranking4[[#This Row],[FMS ID]],FMS_Input[FMS_ID],FMS_Input[REMFRMACRE100])</f>
        <v>0</v>
      </c>
      <c r="AY342" s="258">
        <f>_xlfn.XLOOKUP(FMS_Ranking4[[#This Row],[FMS ID]],FMS_Input[FMS_ID],FMS_Input[COSTSTRUCT])</f>
        <v>0</v>
      </c>
      <c r="AZ342" s="253">
        <f>_xlfn.XLOOKUP(FMS_Ranking4[[#This Row],[FMS ID]],FMS_Input[FMS_ID],FMS_Input[NATURE])</f>
        <v>0</v>
      </c>
      <c r="BA342" s="262">
        <f>(((FMS_Ranking4[[#This Row],[% NBS Raw]]/AZ$4)*100)*AZ$5)</f>
        <v>0</v>
      </c>
      <c r="BB342" s="251" t="str">
        <f>_xlfn.XLOOKUP(FMS_Ranking4[[#This Row],[FMS ID]],FMS_Input[FMS_ID],FMS_Input[WATER_SUP])</f>
        <v>No</v>
      </c>
      <c r="BC342" s="265">
        <f>IF(FMS_Ranking4[[#This Row],[Water Supply Raw]]="Yes",10,0)</f>
        <v>0</v>
      </c>
      <c r="BD342" s="266">
        <f>_xlfn.XLOOKUP(FMS_Ranking4[[#This Row],[FMS Type]],FMS_TYPE[FMS_Type],FMS_TYPE[Score])</f>
        <v>8</v>
      </c>
      <c r="BE342" s="267">
        <f>FMS_Ranking4[[#This Row],[FMS_Type Score]]*$BD$5*10</f>
        <v>2</v>
      </c>
      <c r="BF34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0.43998743629590159</v>
      </c>
      <c r="BG342" s="271">
        <f>_xlfn.RANK.EQ(BF342,$BF$8:$BF$870,0)+COUNTIF($BF$8:BF342,BF342)-1</f>
        <v>244</v>
      </c>
      <c r="BH342" s="268">
        <f>(((FMS_Ranking4[[#This Row],[Structures Removed Raw]]/AK$4)*100)*AK$5)+(((FMS_Ranking4[[#This Row],[Removed Pop Raw]]/AR$4)*100)*AR$5)</f>
        <v>0</v>
      </c>
      <c r="BI34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2.4399874362959015</v>
      </c>
      <c r="BJ342" s="205">
        <f>_xlfn.RANK.EQ(FMS_Ranking4[[#This Row],[Total Score 
(with linear
normalization)]],FMS_Ranking4[Total Score 
(with linear
normalization)],0)</f>
        <v>271</v>
      </c>
      <c r="BK342" s="205" t="e">
        <f>_xlfn.XLOOKUP(FMS_Ranking4[[#This Row],[FMS ID]],#REF!,#REF!)</f>
        <v>#REF!</v>
      </c>
      <c r="BL34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23.540831656356833</v>
      </c>
      <c r="BM342" s="272">
        <f>FMS_Ranking4[[#This Row],[ArcSinh Score Based on Normalized Reported Factors]]+FMS_Ranking4[[#This Row],[% NBS Score (Normalized)]]+(FMS_Ranking4[[#This Row],[Water Supply Score (Normalized)]]*10*$BB$5)+FMS_Ranking4[[#This Row],[FMS_Type Score Weighted]]</f>
        <v>25.540831656356833</v>
      </c>
      <c r="BN342" s="205">
        <f>_xlfn.RANK.EQ(FMS_Ranking4[[#This Row],[Total Score (with ArcSinh normalization of select criteria)]],FMS_Ranking4[Total Score (with ArcSinh normalization of select criteria)],0)</f>
        <v>335</v>
      </c>
      <c r="BO342" s="270" t="str">
        <f>_xlfn.XLOOKUP(FMS_Ranking4[[#This Row],[FMS ID]],FMS_Input[FMS_ID],FMS_Input[FMS_RANK_YEAR])</f>
        <v>2025 Amended Plan</v>
      </c>
      <c r="BP342" s="204" t="e">
        <f>_xlfn.XLOOKUP(FMS_Ranking4[[#This Row],[FMS ID]],Prev_Rank[FMS ID],Prev_Rank[Prev Rank])</f>
        <v>#N/A</v>
      </c>
      <c r="BQ342" s="205" t="e">
        <f>_xlfn.XLOOKUP(FMS_Ranking4[[#This Row],[FMS ID]],#REF!,#REF!)</f>
        <v>#REF!</v>
      </c>
      <c r="BR342" s="199" t="e">
        <f>SUM(#REF!,#REF!,#REF!,#REF!,#REF!,#REF!,#REF!,#REF!,#REF!,FMS_Ranking4[[#This Row],[ArcSinh Res struct removed 0-10]],#REF!)</f>
        <v>#REF!</v>
      </c>
      <c r="BS342" s="199" t="e">
        <f>FMS_Ranking4[[#This Row],[Log Score Based on Normalized Reported Factors]]+FMS_Ranking4[[#This Row],[% NBS Score (Normalized)]]+(FMS_Ranking4[[#This Row],[Water Supply Score (Normalized)]]*10*$BB$5)+(FMS_Ranking4[[#This Row],[FMS_Type Score Weighted]])</f>
        <v>#REF!</v>
      </c>
      <c r="BT342" s="200" t="e">
        <f>_xlfn.RANK.EQ(FMS_Ranking4[[#This Row],[Log Total Score]],FMS_Ranking4[Log Total Score],0)</f>
        <v>#REF!</v>
      </c>
      <c r="BU342" s="200" t="e">
        <f>_xlfn.XLOOKUP(FMS_Ranking4[[#This Row],[FMS ID]],#REF!,#REF!)</f>
        <v>#REF!</v>
      </c>
      <c r="BV342" s="200">
        <f>FMS_Ranking4[[#This Row],[Region Number]]</f>
        <v>15</v>
      </c>
      <c r="BW342" s="200">
        <f>FMS_Ranking4[[#This Row],[Rank (with ArcSinh normalization of select criteria)]]-FMS_Ranking4[[#This Row],[Rank
(with linear
normalization)]]</f>
        <v>64</v>
      </c>
      <c r="BX342" s="200" t="e">
        <f>FMS_Ranking4[[#This Row],[Log Rank]]-FMS_Ranking4[[#This Row],[Rank
(with linear
normalization)]]</f>
        <v>#REF!</v>
      </c>
      <c r="BY342" s="200" t="str">
        <f>IF(FMS_Ranking4[[#This Row],[FMS Type]]="Flood Measurement and Warning",FMS_Ranking4[[#This Row],[Rank (with ArcSinh normalization of select criteria)]],"")</f>
        <v/>
      </c>
      <c r="BZ342" s="200">
        <f>IF(FMS_Ranking4[[#This Row],[FMS Type]]="Regulatory and Guidance",FMS_Ranking4[[#This Row],[Rank (with ArcSinh normalization of select criteria)]],"")</f>
        <v>335</v>
      </c>
      <c r="CA342" s="200" t="str">
        <f>IF(FMS_Ranking4[[#This Row],[FMS Type]]="Education and Outreach",FMS_Ranking4[[#This Row],[Rank (with ArcSinh normalization of select criteria)]],"")</f>
        <v/>
      </c>
      <c r="CB342" s="200" t="str">
        <f>IF(FMS_Ranking4[[#This Row],[FMS Type]]="Property Acquisition and Structural Elevation",FMS_Ranking4[[#This Row],[Rank (with ArcSinh normalization of select criteria)]],"")</f>
        <v/>
      </c>
      <c r="CC342" s="200" t="str">
        <f>IF(FMS_Ranking4[[#This Row],[FMS Type]]="Infrastructure Projects",FMS_Ranking4[[#This Row],[Rank (with ArcSinh normalization of select criteria)]],"")</f>
        <v/>
      </c>
      <c r="CD342" s="200" t="str">
        <f>IF(FMS_Ranking4[[#This Row],[FMS Type]]="Other",FMS_Ranking4[[#This Row],[Rank (with ArcSinh normalization of select criteria)]],"")</f>
        <v/>
      </c>
      <c r="CE342" s="201"/>
      <c r="CF342" s="206"/>
      <c r="CG342" s="206"/>
      <c r="CH342" s="206"/>
      <c r="CI342" s="206"/>
      <c r="CJ342" s="206"/>
      <c r="CK342" s="206"/>
      <c r="CL342" s="206"/>
      <c r="CM342" s="206"/>
      <c r="CN342" s="206"/>
      <c r="CO342" s="206"/>
      <c r="CP342" s="206"/>
      <c r="CQ342" s="206"/>
      <c r="CR342" s="206"/>
    </row>
    <row r="343" spans="2:96" ht="75" x14ac:dyDescent="0.25">
      <c r="B343" s="341" t="s">
        <v>147</v>
      </c>
      <c r="C343" s="246">
        <f>_xlfn.XLOOKUP(FMS_Ranking4[[#This Row],[FMS ID]],FMS_Input[FMS_ID],FMS_Input[RFPG_NUM])</f>
        <v>6</v>
      </c>
      <c r="D343" s="309" t="str">
        <f>_xlfn.XLOOKUP(FMS_Ranking4[[#This Row],[FMS ID]],FMS_Input[FMS_ID],FMS_Input[FMS_NAME])</f>
        <v>Maintain Drainage Systems and Culverts in City of Friendswood</v>
      </c>
      <c r="E343" s="308" t="str">
        <f>_xlfn.XLOOKUP(FMS_Ranking4[[#This Row],[FMS ID]],FMS_Input[FMS_ID],FMS_Input[SPONSOR])</f>
        <v>06002833</v>
      </c>
      <c r="F343" s="309" t="str">
        <f>_xlfn.XLOOKUP(FMS_Ranking4[[#This Row],[FMS ID]],Sponsor[FMS_ID],Sponsor[SPONSOR NAME])</f>
        <v>Friendswood</v>
      </c>
      <c r="G343" s="309" t="str">
        <f>_xlfn.XLOOKUP(FMS_Ranking4[[#This Row],[FMS ID]],FMS_Input[FMS_ID],FMS_Input[FMS_DESCR])</f>
        <v>Clean &amp; recut drainage ditches, complete work orders related to conveyance systems. Pursue sub-regional drainage improvements.</v>
      </c>
      <c r="H343" s="248" t="str">
        <f>_xlfn.XLOOKUP(FMS_Ranking4[[#This Row],[FMS ID]],FMS_Input[FMS_ID],FMS_Input[FMS_TYPE])</f>
        <v>Infrastructure Projects</v>
      </c>
      <c r="I343" s="249">
        <f>_xlfn.XLOOKUP(FMS_Ranking4[[#This Row],[FMS ID]],FMS_Input[FMS_ID],FMS_Input[NRNC_COST])</f>
        <v>70000</v>
      </c>
      <c r="J343" s="250">
        <f>_xlfn.XLOOKUP(FMS_Ranking4[[#This Row],[FMS ID]],FMS_Input[FMS_ID],FMS_Input[FMS_COST])</f>
        <v>1400000</v>
      </c>
      <c r="K343" s="251" t="str">
        <f>_xlfn.XLOOKUP(FMS_Ranking4[[#This Row],[FMS ID]],FMS_Input[FMS_ID],FMS_Input[EMER_NEED])</f>
        <v>No</v>
      </c>
      <c r="L343" s="252">
        <f t="shared" si="5"/>
        <v>0</v>
      </c>
      <c r="M343" s="253">
        <f>_xlfn.XLOOKUP(FMS_Ranking4[[#This Row],[FMS ID]],FMS_Input[FMS_ID],FMS_Input[STRUCT_100])</f>
        <v>1680</v>
      </c>
      <c r="N343" s="255">
        <f>(ASINH(FMS_Ranking4[[#This Row],[Structure at Risk Raw]]))*(10)/(ASINH(M$4))</f>
        <v>6.3832902948680648</v>
      </c>
      <c r="O343" s="256">
        <f>FMS_Ranking4[[#This Row],[Structures at risk, ArcSinh (0-10)]]*M$5*10</f>
        <v>6.3832902948680648</v>
      </c>
      <c r="P343" s="253">
        <f>_xlfn.XLOOKUP(FMS_Ranking4[[#This Row],[FMS ID]],FMS_Input[FMS_ID],FMS_Input[RES_STRUCT100])</f>
        <v>1601</v>
      </c>
      <c r="Q343" s="257">
        <f>ASINH(FMS_Ranking4[[#This Row],[Res Structure Raw]])/Q$4*P$5*100</f>
        <v>0</v>
      </c>
      <c r="R343" s="253">
        <f>_xlfn.XLOOKUP(FMS_Ranking4[[#This Row],[FMS ID]],FMS_Input[FMS_ID],FMS_Input[POP100])</f>
        <v>4640</v>
      </c>
      <c r="S343" s="259">
        <f>(ASINH(FMS_Ranking4[[#This Row],[Pop at Risk Raw]]))*(10)/(ASINH(R$4))</f>
        <v>6.3068481595646038</v>
      </c>
      <c r="T343" s="256">
        <f>FMS_Ranking4[[#This Row],[Population at risk, ArcSinh (0-10)]]*R$5*10</f>
        <v>6.3068481595646038</v>
      </c>
      <c r="U343" s="253">
        <f>_xlfn.XLOOKUP(FMS_Ranking4[[#This Row],[FMS ID]],FMS_Input[FMS_ID],FMS_Input[CRITFAC100])</f>
        <v>2</v>
      </c>
      <c r="V343" s="259">
        <f>(ASINH(FMS_Ranking4[[#This Row],[Critical Facilities Raw]]))*(10)/(ASINH(U$4))</f>
        <v>1.7089239049208753</v>
      </c>
      <c r="W343" s="256">
        <f>FMS_Ranking4[[#This Row],[Critical facilities at risk, ArcSinh (0-10)]]*U$5*10</f>
        <v>1.7089239049208755</v>
      </c>
      <c r="X343" s="253">
        <f>_xlfn.XLOOKUP(FMS_Ranking4[[#This Row],[FMS ID]],FMS_Input[FMS_ID],FMS_Input[LWC])</f>
        <v>5</v>
      </c>
      <c r="Y343" s="259">
        <f>(ASINH(FMS_Ranking4[[#This Row],[LWC Raw]]))*(10)/(ASINH(X$4))</f>
        <v>3.1327475801820781</v>
      </c>
      <c r="Z343" s="256">
        <f>FMS_Ranking4[[#This Row],[LWC, ArcSInh (0-10)]]*X$5*10</f>
        <v>3.1327475801820781</v>
      </c>
      <c r="AA343" s="253">
        <f>_xlfn.XLOOKUP(FMS_Ranking4[[#This Row],[FMS ID]],FMS_Input[FMS_ID],FMS_Input[ROADCLS])</f>
        <v>5</v>
      </c>
      <c r="AB343" s="255">
        <f>(ASINH(FMS_Ranking4[[#This Row],[Road Closures Raw]]))*(10)/(ASINH(AA$4))</f>
        <v>2.4081922896382904</v>
      </c>
      <c r="AC343" s="256">
        <f>FMS_Ranking4[[#This Row],[Road closures, ArcSinh (0-10)]]*AA$5*10</f>
        <v>1.2040961448191452</v>
      </c>
      <c r="AD343" s="253">
        <f>_xlfn.XLOOKUP(FMS_Ranking4[[#This Row],[FMS ID]],FMS_Input[FMS_ID],FMS_Input[ROAD_MILES100])</f>
        <v>38</v>
      </c>
      <c r="AE343" s="259">
        <f>(ASINH(FMS_Ranking4[[#This Row],[Road Miles Raw]]))*(10)/(ASINH(AD$4))</f>
        <v>4.6155547122703053</v>
      </c>
      <c r="AF343" s="256">
        <f>FMS_Ranking4[[#This Row],[Length of roads at risk, ArcSinh (0-10)]]*AD$5*10</f>
        <v>4.6155547122703053</v>
      </c>
      <c r="AG343" s="253">
        <f>_xlfn.XLOOKUP(FMS_Ranking4[[#This Row],[FMS ID]],FMS_Input[FMS_ID],FMS_Input[FARMACRE100])</f>
        <v>18.37308311462402</v>
      </c>
      <c r="AH343" s="255">
        <f>(ASINH(FMS_Ranking4[[#This Row],[Ag Land Raw]]))*(10)/(ASINH(AG$4))</f>
        <v>2.341594174060718</v>
      </c>
      <c r="AI343" s="260">
        <f>FMS_Ranking4[[#This Row],[Farm &amp; ranch land, ArcSinh (0-10)]]*AG$5*10</f>
        <v>1.1707970870303592</v>
      </c>
      <c r="AJ343" s="258">
        <f>_xlfn.XLOOKUP(FMS_Ranking4[[#This Row],[FMS ID]],FMS_Input[FMS_ID],FMS_Input[REDSTRUCT100])</f>
        <v>0</v>
      </c>
      <c r="AK343" s="253">
        <f>_xlfn.XLOOKUP(FMS_Ranking4[[#This Row],[FMS ID]],FMS_Input[FMS_ID],FMS_Input[REMSTRC100])</f>
        <v>0</v>
      </c>
      <c r="AL343" s="259">
        <f>(ASINH(FMS_Ranking4[[#This Row],[Structures Removed Raw]]))*(10)/(ASINH(AK$4))</f>
        <v>0</v>
      </c>
      <c r="AM343" s="262">
        <f>FMS_Ranking4[[#This Row],[Structures removed, ArcSinh (0-10)]]*AK$5*10</f>
        <v>0</v>
      </c>
      <c r="AN343" s="253">
        <f>_xlfn.XLOOKUP(FMS_Ranking4[[#This Row],[FMS ID]],FMS_Input[FMS_ID],FMS_Input[REMRESSTRC100])</f>
        <v>0</v>
      </c>
      <c r="AO343" s="261">
        <f>FMS_Ranking4[[#This Row],[ArcSinh Res struct removed 0-10]]*AN$5*10</f>
        <v>0</v>
      </c>
      <c r="AP343" s="260">
        <f>ASINH(FMS_Ranking4[[#This Row],[Residential Structures Removed Raw]])/AP$4*AN$5*100</f>
        <v>0</v>
      </c>
      <c r="AQ343" s="254">
        <f>(ASINH(FMS_Ranking4[[#This Row],[Residential Structures Removed Raw]]))*(10)/(ASINH(AN$4))</f>
        <v>0</v>
      </c>
      <c r="AR343" s="253">
        <f>_xlfn.XLOOKUP(FMS_Ranking4[[#This Row],[FMS ID]],FMS_Input[FMS_ID],FMS_Input[REMPOP100])</f>
        <v>0</v>
      </c>
      <c r="AS343" s="259">
        <f>(ASINH(FMS_Ranking4[[#This Row],[Removed Pop Raw]]))*(10)/(ASINH(AR$4))</f>
        <v>0</v>
      </c>
      <c r="AT343" s="262">
        <f>FMS_Ranking4[[#This Row],[Removed population, ArcSinh (0-10)]]*AR$5*10</f>
        <v>0</v>
      </c>
      <c r="AU343" s="264">
        <f>_xlfn.XLOOKUP(FMS_Ranking4[[#This Row],[FMS ID]],FMS_Input[FMS_ID],FMS_Input[REMCRITFAC100])</f>
        <v>0</v>
      </c>
      <c r="AV343" s="264">
        <f>_xlfn.XLOOKUP(FMS_Ranking4[[#This Row],[FMS ID]],FMS_Input[FMS_ID],FMS_Input[REMLWC100])</f>
        <v>0</v>
      </c>
      <c r="AW343" s="264">
        <f>_xlfn.XLOOKUP(FMS_Ranking4[[#This Row],[FMS ID]],FMS_Input[FMS_ID],FMS_Input[REMROADCLS])</f>
        <v>0</v>
      </c>
      <c r="AX343" s="264">
        <f>_xlfn.XLOOKUP(FMS_Ranking4[[#This Row],[FMS ID]],FMS_Input[FMS_ID],FMS_Input[REMFRMACRE100])</f>
        <v>0</v>
      </c>
      <c r="AY343" s="258">
        <f>_xlfn.XLOOKUP(FMS_Ranking4[[#This Row],[FMS ID]],FMS_Input[FMS_ID],FMS_Input[COSTSTRUCT])</f>
        <v>0</v>
      </c>
      <c r="AZ343" s="253">
        <f>_xlfn.XLOOKUP(FMS_Ranking4[[#This Row],[FMS ID]],FMS_Input[FMS_ID],FMS_Input[NATURE])</f>
        <v>0</v>
      </c>
      <c r="BA343" s="262">
        <f>(((FMS_Ranking4[[#This Row],[% NBS Raw]]/AZ$4)*100)*AZ$5)</f>
        <v>0</v>
      </c>
      <c r="BB343" s="251" t="str">
        <f>_xlfn.XLOOKUP(FMS_Ranking4[[#This Row],[FMS ID]],FMS_Input[FMS_ID],FMS_Input[WATER_SUP])</f>
        <v>No</v>
      </c>
      <c r="BC343" s="265">
        <f>IF(FMS_Ranking4[[#This Row],[Water Supply Raw]]="Yes",10,0)</f>
        <v>0</v>
      </c>
      <c r="BD343" s="266">
        <f>_xlfn.XLOOKUP(FMS_Ranking4[[#This Row],[FMS Type]],FMS_TYPE[FMS_Type],FMS_TYPE[Score])</f>
        <v>4</v>
      </c>
      <c r="BE343" s="267">
        <f>FMS_Ranking4[[#This Row],[FMS_Type Score]]*$BD$5*10</f>
        <v>1</v>
      </c>
      <c r="BF34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0.28615286456260536</v>
      </c>
      <c r="BG343" s="269">
        <f>_xlfn.RANK.EQ(BF343,$BF$8:$BF$870,0)+COUNTIF($BF$8:BF343,BF343)-1</f>
        <v>309</v>
      </c>
      <c r="BH343" s="268">
        <f>(((FMS_Ranking4[[#This Row],[Structures Removed Raw]]/AK$4)*100)*AK$5)+(((FMS_Ranking4[[#This Row],[Removed Pop Raw]]/AR$4)*100)*AR$5)</f>
        <v>0</v>
      </c>
      <c r="BI34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1.2861528645626055</v>
      </c>
      <c r="BJ343" s="204">
        <f>_xlfn.RANK.EQ(FMS_Ranking4[[#This Row],[Total Score 
(with linear
normalization)]],FMS_Ranking4[Total Score 
(with linear
normalization)],0)</f>
        <v>634</v>
      </c>
      <c r="BK343" s="204" t="e">
        <f>_xlfn.XLOOKUP(FMS_Ranking4[[#This Row],[FMS ID]],#REF!,#REF!)</f>
        <v>#REF!</v>
      </c>
      <c r="BL343"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24.522257883655431</v>
      </c>
      <c r="BM343" s="270">
        <f>FMS_Ranking4[[#This Row],[ArcSinh Score Based on Normalized Reported Factors]]+FMS_Ranking4[[#This Row],[% NBS Score (Normalized)]]+(FMS_Ranking4[[#This Row],[Water Supply Score (Normalized)]]*10*$BB$5)+FMS_Ranking4[[#This Row],[FMS_Type Score Weighted]]</f>
        <v>25.522257883655431</v>
      </c>
      <c r="BN343" s="204">
        <f>_xlfn.RANK.EQ(FMS_Ranking4[[#This Row],[Total Score (with ArcSinh normalization of select criteria)]],FMS_Ranking4[Total Score (with ArcSinh normalization of select criteria)],0)</f>
        <v>336</v>
      </c>
      <c r="BO343" s="270" t="str">
        <f>_xlfn.XLOOKUP(FMS_Ranking4[[#This Row],[FMS ID]],FMS_Input[FMS_ID],FMS_Input[FMS_RANK_YEAR])</f>
        <v>2023 Amended Plan</v>
      </c>
      <c r="BP343" s="204">
        <f>_xlfn.XLOOKUP(FMS_Ranking4[[#This Row],[FMS ID]],Prev_Rank[FMS ID],Prev_Rank[Prev Rank])</f>
        <v>301</v>
      </c>
      <c r="BQ343" s="204" t="e">
        <f>_xlfn.XLOOKUP(FMS_Ranking4[[#This Row],[FMS ID]],#REF!,#REF!)</f>
        <v>#REF!</v>
      </c>
      <c r="BR343" s="199" t="e">
        <f>SUM(#REF!,#REF!,#REF!,#REF!,#REF!,#REF!,#REF!,#REF!,#REF!,FMS_Ranking4[[#This Row],[ArcSinh Res struct removed 0-10]],#REF!)</f>
        <v>#REF!</v>
      </c>
      <c r="BS343" s="199" t="e">
        <f>FMS_Ranking4[[#This Row],[Log Score Based on Normalized Reported Factors]]+FMS_Ranking4[[#This Row],[% NBS Score (Normalized)]]+(FMS_Ranking4[[#This Row],[Water Supply Score (Normalized)]]*10*$BB$5)+(FMS_Ranking4[[#This Row],[FMS_Type Score Weighted]])</f>
        <v>#REF!</v>
      </c>
      <c r="BT343" s="200" t="e">
        <f>_xlfn.RANK.EQ(FMS_Ranking4[[#This Row],[Log Total Score]],FMS_Ranking4[Log Total Score],0)</f>
        <v>#REF!</v>
      </c>
      <c r="BU343" s="200" t="e">
        <f>_xlfn.XLOOKUP(FMS_Ranking4[[#This Row],[FMS ID]],#REF!,#REF!)</f>
        <v>#REF!</v>
      </c>
      <c r="BV343" s="200">
        <f>FMS_Ranking4[[#This Row],[Region Number]]</f>
        <v>6</v>
      </c>
      <c r="BW343" s="200">
        <f>FMS_Ranking4[[#This Row],[Rank (with ArcSinh normalization of select criteria)]]-FMS_Ranking4[[#This Row],[Rank
(with linear
normalization)]]</f>
        <v>-298</v>
      </c>
      <c r="BX343" s="200" t="e">
        <f>FMS_Ranking4[[#This Row],[Log Rank]]-FMS_Ranking4[[#This Row],[Rank
(with linear
normalization)]]</f>
        <v>#REF!</v>
      </c>
      <c r="BY343" s="200" t="str">
        <f>IF(FMS_Ranking4[[#This Row],[FMS Type]]="Flood Measurement and Warning",FMS_Ranking4[[#This Row],[Rank (with ArcSinh normalization of select criteria)]],"")</f>
        <v/>
      </c>
      <c r="BZ343" s="200" t="str">
        <f>IF(FMS_Ranking4[[#This Row],[FMS Type]]="Regulatory and Guidance",FMS_Ranking4[[#This Row],[Rank (with ArcSinh normalization of select criteria)]],"")</f>
        <v/>
      </c>
      <c r="CA343" s="200" t="str">
        <f>IF(FMS_Ranking4[[#This Row],[FMS Type]]="Education and Outreach",FMS_Ranking4[[#This Row],[Rank (with ArcSinh normalization of select criteria)]],"")</f>
        <v/>
      </c>
      <c r="CB343" s="200" t="str">
        <f>IF(FMS_Ranking4[[#This Row],[FMS Type]]="Property Acquisition and Structural Elevation",FMS_Ranking4[[#This Row],[Rank (with ArcSinh normalization of select criteria)]],"")</f>
        <v/>
      </c>
      <c r="CC343" s="200">
        <f>IF(FMS_Ranking4[[#This Row],[FMS Type]]="Infrastructure Projects",FMS_Ranking4[[#This Row],[Rank (with ArcSinh normalization of select criteria)]],"")</f>
        <v>336</v>
      </c>
      <c r="CD343" s="200" t="str">
        <f>IF(FMS_Ranking4[[#This Row],[FMS Type]]="Other",FMS_Ranking4[[#This Row],[Rank (with ArcSinh normalization of select criteria)]],"")</f>
        <v/>
      </c>
      <c r="CE343" s="201"/>
      <c r="CF343" s="206"/>
      <c r="CG343" s="206"/>
      <c r="CH343" s="206"/>
      <c r="CI343" s="206"/>
      <c r="CJ343" s="206"/>
      <c r="CK343" s="206"/>
      <c r="CL343" s="206"/>
      <c r="CM343" s="206"/>
      <c r="CN343" s="206"/>
      <c r="CO343" s="206"/>
      <c r="CP343" s="206"/>
      <c r="CQ343" s="206"/>
      <c r="CR343" s="206"/>
    </row>
    <row r="344" spans="2:96" ht="135" x14ac:dyDescent="0.25">
      <c r="B344" s="341" t="s">
        <v>986</v>
      </c>
      <c r="C344" s="246">
        <f>_xlfn.XLOOKUP(FMS_Ranking4[[#This Row],[FMS ID]],FMS_Input[FMS_ID],FMS_Input[RFPG_NUM])</f>
        <v>9</v>
      </c>
      <c r="D344" s="309" t="str">
        <f>_xlfn.XLOOKUP(FMS_Ranking4[[#This Row],[FMS ID]],FMS_Input[FMS_ID],FMS_Input[FMS_NAME])</f>
        <v>Nolan County Warning Siren Program</v>
      </c>
      <c r="E344" s="308" t="str">
        <f>_xlfn.XLOOKUP(FMS_Ranking4[[#This Row],[FMS ID]],FMS_Input[FMS_ID],FMS_Input[SPONSOR])</f>
        <v>00000170</v>
      </c>
      <c r="F344" s="309" t="str">
        <f>_xlfn.XLOOKUP(FMS_Ranking4[[#This Row],[FMS ID]],Sponsor[FMS_ID],Sponsor[SPONSOR NAME])</f>
        <v>Nolan</v>
      </c>
      <c r="G344" s="309" t="str">
        <f>_xlfn.XLOOKUP(FMS_Ranking4[[#This Row],[FMS ID]],FMS_Input[FMS_ID],FMS_Input[FMS_DESCR])</f>
        <v>Install county-wide outdoor warning sirens for any emergency of natural and/or man-made hazardous events.  The warning sirens would be strategically placed in the following locations within the County: Cities of Sweetwater, Roscoe, Blackwell, Nolan, Maryn</v>
      </c>
      <c r="H344" s="248" t="str">
        <f>_xlfn.XLOOKUP(FMS_Ranking4[[#This Row],[FMS ID]],FMS_Input[FMS_ID],FMS_Input[FMS_TYPE])</f>
        <v>Other</v>
      </c>
      <c r="I344" s="249">
        <f>_xlfn.XLOOKUP(FMS_Ranking4[[#This Row],[FMS ID]],FMS_Input[FMS_ID],FMS_Input[NRNC_COST])</f>
        <v>342972</v>
      </c>
      <c r="J344" s="250">
        <f>_xlfn.XLOOKUP(FMS_Ranking4[[#This Row],[FMS ID]],FMS_Input[FMS_ID],FMS_Input[FMS_COST])</f>
        <v>367972</v>
      </c>
      <c r="K344" s="251" t="str">
        <f>_xlfn.XLOOKUP(FMS_Ranking4[[#This Row],[FMS ID]],FMS_Input[FMS_ID],FMS_Input[EMER_NEED])</f>
        <v>No</v>
      </c>
      <c r="L344" s="252">
        <f t="shared" si="5"/>
        <v>0</v>
      </c>
      <c r="M344" s="253">
        <f>_xlfn.XLOOKUP(FMS_Ranking4[[#This Row],[FMS ID]],FMS_Input[FMS_ID],FMS_Input[STRUCT_100])</f>
        <v>90</v>
      </c>
      <c r="N344" s="255">
        <f>(ASINH(FMS_Ranking4[[#This Row],[Structure at Risk Raw]]))*(10)/(ASINH(M$4))</f>
        <v>4.0824615453173889</v>
      </c>
      <c r="O344" s="256">
        <f>FMS_Ranking4[[#This Row],[Structures at risk, ArcSinh (0-10)]]*M$5*10</f>
        <v>4.0824615453173889</v>
      </c>
      <c r="P344" s="253">
        <f>_xlfn.XLOOKUP(FMS_Ranking4[[#This Row],[FMS ID]],FMS_Input[FMS_ID],FMS_Input[RES_STRUCT100])</f>
        <v>16</v>
      </c>
      <c r="Q344" s="257">
        <f>ASINH(FMS_Ranking4[[#This Row],[Res Structure Raw]])/Q$4*P$5*100</f>
        <v>0</v>
      </c>
      <c r="R344" s="253">
        <f>_xlfn.XLOOKUP(FMS_Ranking4[[#This Row],[FMS ID]],FMS_Input[FMS_ID],FMS_Input[POP100])</f>
        <v>23</v>
      </c>
      <c r="S344" s="259">
        <f>(ASINH(FMS_Ranking4[[#This Row],[Pop at Risk Raw]]))*(10)/(ASINH(R$4))</f>
        <v>2.6434600767891396</v>
      </c>
      <c r="T344" s="256">
        <f>FMS_Ranking4[[#This Row],[Population at risk, ArcSinh (0-10)]]*R$5*10</f>
        <v>2.6434600767891396</v>
      </c>
      <c r="U344" s="253">
        <f>_xlfn.XLOOKUP(FMS_Ranking4[[#This Row],[FMS ID]],FMS_Input[FMS_ID],FMS_Input[CRITFAC100])</f>
        <v>0</v>
      </c>
      <c r="V344" s="259">
        <f>(ASINH(FMS_Ranking4[[#This Row],[Critical Facilities Raw]]))*(10)/(ASINH(U$4))</f>
        <v>0</v>
      </c>
      <c r="W344" s="256">
        <f>FMS_Ranking4[[#This Row],[Critical facilities at risk, ArcSinh (0-10)]]*U$5*10</f>
        <v>0</v>
      </c>
      <c r="X344" s="253">
        <f>_xlfn.XLOOKUP(FMS_Ranking4[[#This Row],[FMS ID]],FMS_Input[FMS_ID],FMS_Input[LWC])</f>
        <v>5</v>
      </c>
      <c r="Y344" s="259">
        <f>(ASINH(FMS_Ranking4[[#This Row],[LWC Raw]]))*(10)/(ASINH(X$4))</f>
        <v>3.1327475801820781</v>
      </c>
      <c r="Z344" s="256">
        <f>FMS_Ranking4[[#This Row],[LWC, ArcSInh (0-10)]]*X$5*10</f>
        <v>3.1327475801820781</v>
      </c>
      <c r="AA344" s="253">
        <f>_xlfn.XLOOKUP(FMS_Ranking4[[#This Row],[FMS ID]],FMS_Input[FMS_ID],FMS_Input[ROADCLS])</f>
        <v>0</v>
      </c>
      <c r="AB344" s="255">
        <f>(ASINH(FMS_Ranking4[[#This Row],[Road Closures Raw]]))*(10)/(ASINH(AA$4))</f>
        <v>0</v>
      </c>
      <c r="AC344" s="256">
        <f>FMS_Ranking4[[#This Row],[Road closures, ArcSinh (0-10)]]*AA$5*10</f>
        <v>0</v>
      </c>
      <c r="AD344" s="253">
        <f>_xlfn.XLOOKUP(FMS_Ranking4[[#This Row],[FMS ID]],FMS_Input[FMS_ID],FMS_Input[ROAD_MILES100])</f>
        <v>21</v>
      </c>
      <c r="AE344" s="259">
        <f>(ASINH(FMS_Ranking4[[#This Row],[Road Miles Raw]]))*(10)/(ASINH(AD$4))</f>
        <v>3.9839311289010819</v>
      </c>
      <c r="AF344" s="256">
        <f>FMS_Ranking4[[#This Row],[Length of roads at risk, ArcSinh (0-10)]]*AD$5*10</f>
        <v>3.9839311289010819</v>
      </c>
      <c r="AG344" s="253">
        <f>_xlfn.XLOOKUP(FMS_Ranking4[[#This Row],[FMS ID]],FMS_Input[FMS_ID],FMS_Input[FARMACRE100])</f>
        <v>3888.37744140625</v>
      </c>
      <c r="AH344" s="255">
        <f>(ASINH(FMS_Ranking4[[#This Row],[Ag Land Raw]]))*(10)/(ASINH(AG$4))</f>
        <v>5.8195318115129897</v>
      </c>
      <c r="AI344" s="260">
        <f>FMS_Ranking4[[#This Row],[Farm &amp; ranch land, ArcSinh (0-10)]]*AG$5*10</f>
        <v>2.9097659057564949</v>
      </c>
      <c r="AJ344" s="258">
        <f>_xlfn.XLOOKUP(FMS_Ranking4[[#This Row],[FMS ID]],FMS_Input[FMS_ID],FMS_Input[REDSTRUCT100])</f>
        <v>23</v>
      </c>
      <c r="AK344" s="253">
        <f>_xlfn.XLOOKUP(FMS_Ranking4[[#This Row],[FMS ID]],FMS_Input[FMS_ID],FMS_Input[REMSTRC100])</f>
        <v>23</v>
      </c>
      <c r="AL344" s="259">
        <f>(ASINH(FMS_Ranking4[[#This Row],[Structures Removed Raw]]))*(10)/(ASINH(AK$4))</f>
        <v>4.3597192169147574</v>
      </c>
      <c r="AM344" s="262">
        <f>FMS_Ranking4[[#This Row],[Structures removed, ArcSinh (0-10)]]*AK$5*10</f>
        <v>4.3597192169147574</v>
      </c>
      <c r="AN344" s="253">
        <f>_xlfn.XLOOKUP(FMS_Ranking4[[#This Row],[FMS ID]],FMS_Input[FMS_ID],FMS_Input[REMRESSTRC100])</f>
        <v>4</v>
      </c>
      <c r="AO344" s="261">
        <f>FMS_Ranking4[[#This Row],[ArcSinh Res struct removed 0-10]]*AN$5*10</f>
        <v>1.2286043492271628</v>
      </c>
      <c r="AP344" s="260">
        <f>ASINH(FMS_Ranking4[[#This Row],[Residential Structures Removed Raw]])/AP$4*AN$5*100</f>
        <v>1.2286043492271628</v>
      </c>
      <c r="AQ344" s="254">
        <f>(ASINH(FMS_Ranking4[[#This Row],[Residential Structures Removed Raw]]))*(10)/(ASINH(AN$4))</f>
        <v>2.4572086984543255</v>
      </c>
      <c r="AR344" s="253">
        <f>_xlfn.XLOOKUP(FMS_Ranking4[[#This Row],[FMS ID]],FMS_Input[FMS_ID],FMS_Input[REMPOP100])</f>
        <v>7</v>
      </c>
      <c r="AS344" s="259">
        <f>(ASINH(FMS_Ranking4[[#This Row],[Removed Pop Raw]]))*(10)/(ASINH(AR$4))</f>
        <v>2.5955229922865324</v>
      </c>
      <c r="AT344" s="262">
        <f>FMS_Ranking4[[#This Row],[Removed population, ArcSinh (0-10)]]*AR$5*10</f>
        <v>2.5955229922865324</v>
      </c>
      <c r="AU344" s="264">
        <f>_xlfn.XLOOKUP(FMS_Ranking4[[#This Row],[FMS ID]],FMS_Input[FMS_ID],FMS_Input[REMCRITFAC100])</f>
        <v>0</v>
      </c>
      <c r="AV344" s="264">
        <f>_xlfn.XLOOKUP(FMS_Ranking4[[#This Row],[FMS ID]],FMS_Input[FMS_ID],FMS_Input[REMLWC100])</f>
        <v>1</v>
      </c>
      <c r="AW344" s="264">
        <f>_xlfn.XLOOKUP(FMS_Ranking4[[#This Row],[FMS ID]],FMS_Input[FMS_ID],FMS_Input[REMROADCLS])</f>
        <v>0</v>
      </c>
      <c r="AX344" s="264">
        <f>_xlfn.XLOOKUP(FMS_Ranking4[[#This Row],[FMS ID]],FMS_Input[FMS_ID],FMS_Input[REMFRMACRE100])</f>
        <v>972.0943603515625</v>
      </c>
      <c r="AY344" s="258">
        <f>_xlfn.XLOOKUP(FMS_Ranking4[[#This Row],[FMS ID]],FMS_Input[FMS_ID],FMS_Input[COSTSTRUCT])</f>
        <v>25000</v>
      </c>
      <c r="AZ344" s="253">
        <f>_xlfn.XLOOKUP(FMS_Ranking4[[#This Row],[FMS ID]],FMS_Input[FMS_ID],FMS_Input[NATURE])</f>
        <v>0</v>
      </c>
      <c r="BA344" s="262">
        <f>(((FMS_Ranking4[[#This Row],[% NBS Raw]]/AZ$4)*100)*AZ$5)</f>
        <v>0</v>
      </c>
      <c r="BB344" s="251" t="str">
        <f>_xlfn.XLOOKUP(FMS_Ranking4[[#This Row],[FMS ID]],FMS_Input[FMS_ID],FMS_Input[WATER_SUP])</f>
        <v>No</v>
      </c>
      <c r="BC344" s="265">
        <f>IF(FMS_Ranking4[[#This Row],[Water Supply Raw]]="Yes",10,0)</f>
        <v>0</v>
      </c>
      <c r="BD344" s="266">
        <f>_xlfn.XLOOKUP(FMS_Ranking4[[#This Row],[FMS Type]],FMS_TYPE[FMS_Type],FMS_TYPE[Score])</f>
        <v>2</v>
      </c>
      <c r="BE344" s="267">
        <f>FMS_Ranking4[[#This Row],[FMS_Type Score]]*$BD$5*10</f>
        <v>0.5</v>
      </c>
      <c r="BF34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0.11123066261873489</v>
      </c>
      <c r="BG344" s="271">
        <f>_xlfn.RANK.EQ(BF344,$BF$8:$BF$870,0)+COUNTIF($BF$8:BF344,BF344)-1</f>
        <v>469</v>
      </c>
      <c r="BH344" s="268">
        <f>(((FMS_Ranking4[[#This Row],[Structures Removed Raw]]/AK$4)*100)*AK$5)+(((FMS_Ranking4[[#This Row],[Removed Pop Raw]]/AR$4)*100)*AR$5)</f>
        <v>7.5801199561083138E-2</v>
      </c>
      <c r="BI34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0.68703186217981804</v>
      </c>
      <c r="BJ344" s="205">
        <f>_xlfn.RANK.EQ(FMS_Ranking4[[#This Row],[Total Score 
(with linear
normalization)]],FMS_Ranking4[Total Score 
(with linear
normalization)],0)</f>
        <v>805</v>
      </c>
      <c r="BK344" s="205" t="e">
        <f>_xlfn.XLOOKUP(FMS_Ranking4[[#This Row],[FMS ID]],#REF!,#REF!)</f>
        <v>#REF!</v>
      </c>
      <c r="BL34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24.936212795374637</v>
      </c>
      <c r="BM344" s="272">
        <f>FMS_Ranking4[[#This Row],[ArcSinh Score Based on Normalized Reported Factors]]+FMS_Ranking4[[#This Row],[% NBS Score (Normalized)]]+(FMS_Ranking4[[#This Row],[Water Supply Score (Normalized)]]*10*$BB$5)+FMS_Ranking4[[#This Row],[FMS_Type Score Weighted]]</f>
        <v>25.436212795374637</v>
      </c>
      <c r="BN344" s="205">
        <f>_xlfn.RANK.EQ(FMS_Ranking4[[#This Row],[Total Score (with ArcSinh normalization of select criteria)]],FMS_Ranking4[Total Score (with ArcSinh normalization of select criteria)],0)</f>
        <v>337</v>
      </c>
      <c r="BO344" s="270" t="str">
        <f>_xlfn.XLOOKUP(FMS_Ranking4[[#This Row],[FMS ID]],FMS_Input[FMS_ID],FMS_Input[FMS_RANK_YEAR])</f>
        <v>2023 Amended Plan</v>
      </c>
      <c r="BP344" s="204">
        <f>_xlfn.XLOOKUP(FMS_Ranking4[[#This Row],[FMS ID]],Prev_Rank[FMS ID],Prev_Rank[Prev Rank])</f>
        <v>318</v>
      </c>
      <c r="BQ344" s="205" t="e">
        <f>_xlfn.XLOOKUP(FMS_Ranking4[[#This Row],[FMS ID]],#REF!,#REF!)</f>
        <v>#REF!</v>
      </c>
      <c r="BR344" s="199" t="e">
        <f>SUM(#REF!,#REF!,#REF!,#REF!,#REF!,#REF!,#REF!,#REF!,#REF!,FMS_Ranking4[[#This Row],[ArcSinh Res struct removed 0-10]],#REF!)</f>
        <v>#REF!</v>
      </c>
      <c r="BS344" s="199" t="e">
        <f>FMS_Ranking4[[#This Row],[Log Score Based on Normalized Reported Factors]]+FMS_Ranking4[[#This Row],[% NBS Score (Normalized)]]+(FMS_Ranking4[[#This Row],[Water Supply Score (Normalized)]]*10*$BB$5)+(FMS_Ranking4[[#This Row],[FMS_Type Score Weighted]])</f>
        <v>#REF!</v>
      </c>
      <c r="BT344" s="200" t="e">
        <f>_xlfn.RANK.EQ(FMS_Ranking4[[#This Row],[Log Total Score]],FMS_Ranking4[Log Total Score],0)</f>
        <v>#REF!</v>
      </c>
      <c r="BU344" s="200" t="e">
        <f>_xlfn.XLOOKUP(FMS_Ranking4[[#This Row],[FMS ID]],#REF!,#REF!)</f>
        <v>#REF!</v>
      </c>
      <c r="BV344" s="200">
        <f>FMS_Ranking4[[#This Row],[Region Number]]</f>
        <v>9</v>
      </c>
      <c r="BW344" s="200">
        <f>FMS_Ranking4[[#This Row],[Rank (with ArcSinh normalization of select criteria)]]-FMS_Ranking4[[#This Row],[Rank
(with linear
normalization)]]</f>
        <v>-468</v>
      </c>
      <c r="BX344" s="200" t="e">
        <f>FMS_Ranking4[[#This Row],[Log Rank]]-FMS_Ranking4[[#This Row],[Rank
(with linear
normalization)]]</f>
        <v>#REF!</v>
      </c>
      <c r="BY344" s="200" t="str">
        <f>IF(FMS_Ranking4[[#This Row],[FMS Type]]="Flood Measurement and Warning",FMS_Ranking4[[#This Row],[Rank (with ArcSinh normalization of select criteria)]],"")</f>
        <v/>
      </c>
      <c r="BZ344" s="200" t="str">
        <f>IF(FMS_Ranking4[[#This Row],[FMS Type]]="Regulatory and Guidance",FMS_Ranking4[[#This Row],[Rank (with ArcSinh normalization of select criteria)]],"")</f>
        <v/>
      </c>
      <c r="CA344" s="200" t="str">
        <f>IF(FMS_Ranking4[[#This Row],[FMS Type]]="Education and Outreach",FMS_Ranking4[[#This Row],[Rank (with ArcSinh normalization of select criteria)]],"")</f>
        <v/>
      </c>
      <c r="CB344" s="200" t="str">
        <f>IF(FMS_Ranking4[[#This Row],[FMS Type]]="Property Acquisition and Structural Elevation",FMS_Ranking4[[#This Row],[Rank (with ArcSinh normalization of select criteria)]],"")</f>
        <v/>
      </c>
      <c r="CC344" s="200" t="str">
        <f>IF(FMS_Ranking4[[#This Row],[FMS Type]]="Infrastructure Projects",FMS_Ranking4[[#This Row],[Rank (with ArcSinh normalization of select criteria)]],"")</f>
        <v/>
      </c>
      <c r="CD344" s="200">
        <f>IF(FMS_Ranking4[[#This Row],[FMS Type]]="Other",FMS_Ranking4[[#This Row],[Rank (with ArcSinh normalization of select criteria)]],"")</f>
        <v>337</v>
      </c>
      <c r="CE344" s="201"/>
      <c r="CF344" s="206"/>
      <c r="CG344" s="206"/>
      <c r="CH344" s="206"/>
      <c r="CI344" s="206"/>
      <c r="CJ344" s="206"/>
      <c r="CK344" s="206"/>
      <c r="CL344" s="206"/>
      <c r="CM344" s="206"/>
      <c r="CN344" s="206"/>
      <c r="CO344" s="206"/>
      <c r="CP344" s="206"/>
      <c r="CQ344" s="206"/>
      <c r="CR344" s="206"/>
    </row>
    <row r="345" spans="2:96" ht="120" x14ac:dyDescent="0.25">
      <c r="B345" s="341" t="s">
        <v>602</v>
      </c>
      <c r="C345" s="246">
        <f>_xlfn.XLOOKUP(FMS_Ranking4[[#This Row],[FMS ID]],FMS_Input[FMS_ID],FMS_Input[RFPG_NUM])</f>
        <v>9</v>
      </c>
      <c r="D345" s="309" t="str">
        <f>_xlfn.XLOOKUP(FMS_Ranking4[[#This Row],[FMS ID]],FMS_Input[FMS_ID],FMS_Input[FMS_NAME])</f>
        <v>Nolan County Ordinance Update SFHA</v>
      </c>
      <c r="E345" s="308" t="str">
        <f>_xlfn.XLOOKUP(FMS_Ranking4[[#This Row],[FMS ID]],FMS_Input[FMS_ID],FMS_Input[SPONSOR])</f>
        <v>00000116</v>
      </c>
      <c r="F345" s="309" t="str">
        <f>_xlfn.XLOOKUP(FMS_Ranking4[[#This Row],[FMS ID]],Sponsor[FMS_ID],Sponsor[SPONSOR NAME])</f>
        <v>Scurry</v>
      </c>
      <c r="G345" s="309" t="str">
        <f>_xlfn.XLOOKUP(FMS_Ranking4[[#This Row],[FMS ID]],FMS_Input[FMS_ID],FMS_Input[FMS_DESCR])</f>
        <v>Adopt higher standards for new construction, increase freeboard requirements for structures in the SFHA; adopt a “no-rise” in BFE in the 100-year floodplain.  Update local flood ordinance to prohibit granting of variance in SFHA; Include “cumulative</v>
      </c>
      <c r="H345" s="248" t="str">
        <f>_xlfn.XLOOKUP(FMS_Ranking4[[#This Row],[FMS ID]],FMS_Input[FMS_ID],FMS_Input[FMS_TYPE])</f>
        <v>Other</v>
      </c>
      <c r="I345" s="249">
        <f>_xlfn.XLOOKUP(FMS_Ranking4[[#This Row],[FMS ID]],FMS_Input[FMS_ID],FMS_Input[NRNC_COST])</f>
        <v>75000</v>
      </c>
      <c r="J345" s="250">
        <f>_xlfn.XLOOKUP(FMS_Ranking4[[#This Row],[FMS ID]],FMS_Input[FMS_ID],FMS_Input[FMS_COST])</f>
        <v>100000</v>
      </c>
      <c r="K345" s="251" t="str">
        <f>_xlfn.XLOOKUP(FMS_Ranking4[[#This Row],[FMS ID]],FMS_Input[FMS_ID],FMS_Input[EMER_NEED])</f>
        <v>No</v>
      </c>
      <c r="L345" s="252">
        <f t="shared" si="5"/>
        <v>0</v>
      </c>
      <c r="M345" s="253">
        <f>_xlfn.XLOOKUP(FMS_Ranking4[[#This Row],[FMS ID]],FMS_Input[FMS_ID],FMS_Input[STRUCT_100])</f>
        <v>90</v>
      </c>
      <c r="N345" s="255">
        <f>(ASINH(FMS_Ranking4[[#This Row],[Structure at Risk Raw]]))*(10)/(ASINH(M$4))</f>
        <v>4.0824615453173889</v>
      </c>
      <c r="O345" s="256">
        <f>FMS_Ranking4[[#This Row],[Structures at risk, ArcSinh (0-10)]]*M$5*10</f>
        <v>4.0824615453173889</v>
      </c>
      <c r="P345" s="253">
        <f>_xlfn.XLOOKUP(FMS_Ranking4[[#This Row],[FMS ID]],FMS_Input[FMS_ID],FMS_Input[RES_STRUCT100])</f>
        <v>16</v>
      </c>
      <c r="Q345" s="257">
        <f>ASINH(FMS_Ranking4[[#This Row],[Res Structure Raw]])/Q$4*P$5*100</f>
        <v>0</v>
      </c>
      <c r="R345" s="253">
        <f>_xlfn.XLOOKUP(FMS_Ranking4[[#This Row],[FMS ID]],FMS_Input[FMS_ID],FMS_Input[POP100])</f>
        <v>23</v>
      </c>
      <c r="S345" s="259">
        <f>(ASINH(FMS_Ranking4[[#This Row],[Pop at Risk Raw]]))*(10)/(ASINH(R$4))</f>
        <v>2.6434600767891396</v>
      </c>
      <c r="T345" s="256">
        <f>FMS_Ranking4[[#This Row],[Population at risk, ArcSinh (0-10)]]*R$5*10</f>
        <v>2.6434600767891396</v>
      </c>
      <c r="U345" s="253">
        <f>_xlfn.XLOOKUP(FMS_Ranking4[[#This Row],[FMS ID]],FMS_Input[FMS_ID],FMS_Input[CRITFAC100])</f>
        <v>0</v>
      </c>
      <c r="V345" s="259">
        <f>(ASINH(FMS_Ranking4[[#This Row],[Critical Facilities Raw]]))*(10)/(ASINH(U$4))</f>
        <v>0</v>
      </c>
      <c r="W345" s="256">
        <f>FMS_Ranking4[[#This Row],[Critical facilities at risk, ArcSinh (0-10)]]*U$5*10</f>
        <v>0</v>
      </c>
      <c r="X345" s="253">
        <f>_xlfn.XLOOKUP(FMS_Ranking4[[#This Row],[FMS ID]],FMS_Input[FMS_ID],FMS_Input[LWC])</f>
        <v>5</v>
      </c>
      <c r="Y345" s="259">
        <f>(ASINH(FMS_Ranking4[[#This Row],[LWC Raw]]))*(10)/(ASINH(X$4))</f>
        <v>3.1327475801820781</v>
      </c>
      <c r="Z345" s="256">
        <f>FMS_Ranking4[[#This Row],[LWC, ArcSInh (0-10)]]*X$5*10</f>
        <v>3.1327475801820781</v>
      </c>
      <c r="AA345" s="253">
        <f>_xlfn.XLOOKUP(FMS_Ranking4[[#This Row],[FMS ID]],FMS_Input[FMS_ID],FMS_Input[ROADCLS])</f>
        <v>0</v>
      </c>
      <c r="AB345" s="255">
        <f>(ASINH(FMS_Ranking4[[#This Row],[Road Closures Raw]]))*(10)/(ASINH(AA$4))</f>
        <v>0</v>
      </c>
      <c r="AC345" s="256">
        <f>FMS_Ranking4[[#This Row],[Road closures, ArcSinh (0-10)]]*AA$5*10</f>
        <v>0</v>
      </c>
      <c r="AD345" s="253">
        <f>_xlfn.XLOOKUP(FMS_Ranking4[[#This Row],[FMS ID]],FMS_Input[FMS_ID],FMS_Input[ROAD_MILES100])</f>
        <v>21</v>
      </c>
      <c r="AE345" s="259">
        <f>(ASINH(FMS_Ranking4[[#This Row],[Road Miles Raw]]))*(10)/(ASINH(AD$4))</f>
        <v>3.9839311289010819</v>
      </c>
      <c r="AF345" s="256">
        <f>FMS_Ranking4[[#This Row],[Length of roads at risk, ArcSinh (0-10)]]*AD$5*10</f>
        <v>3.9839311289010819</v>
      </c>
      <c r="AG345" s="253">
        <f>_xlfn.XLOOKUP(FMS_Ranking4[[#This Row],[FMS ID]],FMS_Input[FMS_ID],FMS_Input[FARMACRE100])</f>
        <v>3888.37744140625</v>
      </c>
      <c r="AH345" s="255">
        <f>(ASINH(FMS_Ranking4[[#This Row],[Ag Land Raw]]))*(10)/(ASINH(AG$4))</f>
        <v>5.8195318115129897</v>
      </c>
      <c r="AI345" s="260">
        <f>FMS_Ranking4[[#This Row],[Farm &amp; ranch land, ArcSinh (0-10)]]*AG$5*10</f>
        <v>2.9097659057564949</v>
      </c>
      <c r="AJ345" s="258">
        <f>_xlfn.XLOOKUP(FMS_Ranking4[[#This Row],[FMS ID]],FMS_Input[FMS_ID],FMS_Input[REDSTRUCT100])</f>
        <v>23</v>
      </c>
      <c r="AK345" s="253">
        <f>_xlfn.XLOOKUP(FMS_Ranking4[[#This Row],[FMS ID]],FMS_Input[FMS_ID],FMS_Input[REMSTRC100])</f>
        <v>23</v>
      </c>
      <c r="AL345" s="259">
        <f>(ASINH(FMS_Ranking4[[#This Row],[Structures Removed Raw]]))*(10)/(ASINH(AK$4))</f>
        <v>4.3597192169147574</v>
      </c>
      <c r="AM345" s="262">
        <f>FMS_Ranking4[[#This Row],[Structures removed, ArcSinh (0-10)]]*AK$5*10</f>
        <v>4.3597192169147574</v>
      </c>
      <c r="AN345" s="253">
        <f>_xlfn.XLOOKUP(FMS_Ranking4[[#This Row],[FMS ID]],FMS_Input[FMS_ID],FMS_Input[REMRESSTRC100])</f>
        <v>4</v>
      </c>
      <c r="AO345" s="261">
        <f>FMS_Ranking4[[#This Row],[ArcSinh Res struct removed 0-10]]*AN$5*10</f>
        <v>1.2286043492271628</v>
      </c>
      <c r="AP345" s="260">
        <f>ASINH(FMS_Ranking4[[#This Row],[Residential Structures Removed Raw]])/AP$4*AN$5*100</f>
        <v>1.2286043492271628</v>
      </c>
      <c r="AQ345" s="254">
        <f>(ASINH(FMS_Ranking4[[#This Row],[Residential Structures Removed Raw]]))*(10)/(ASINH(AN$4))</f>
        <v>2.4572086984543255</v>
      </c>
      <c r="AR345" s="253">
        <f>_xlfn.XLOOKUP(FMS_Ranking4[[#This Row],[FMS ID]],FMS_Input[FMS_ID],FMS_Input[REMPOP100])</f>
        <v>7</v>
      </c>
      <c r="AS345" s="259">
        <f>(ASINH(FMS_Ranking4[[#This Row],[Removed Pop Raw]]))*(10)/(ASINH(AR$4))</f>
        <v>2.5955229922865324</v>
      </c>
      <c r="AT345" s="262">
        <f>FMS_Ranking4[[#This Row],[Removed population, ArcSinh (0-10)]]*AR$5*10</f>
        <v>2.5955229922865324</v>
      </c>
      <c r="AU345" s="264">
        <f>_xlfn.XLOOKUP(FMS_Ranking4[[#This Row],[FMS ID]],FMS_Input[FMS_ID],FMS_Input[REMCRITFAC100])</f>
        <v>0</v>
      </c>
      <c r="AV345" s="264">
        <f>_xlfn.XLOOKUP(FMS_Ranking4[[#This Row],[FMS ID]],FMS_Input[FMS_ID],FMS_Input[REMLWC100])</f>
        <v>1</v>
      </c>
      <c r="AW345" s="264">
        <f>_xlfn.XLOOKUP(FMS_Ranking4[[#This Row],[FMS ID]],FMS_Input[FMS_ID],FMS_Input[REMROADCLS])</f>
        <v>0</v>
      </c>
      <c r="AX345" s="264">
        <f>_xlfn.XLOOKUP(FMS_Ranking4[[#This Row],[FMS ID]],FMS_Input[FMS_ID],FMS_Input[REMFRMACRE100])</f>
        <v>972.0943603515625</v>
      </c>
      <c r="AY345" s="258">
        <f>_xlfn.XLOOKUP(FMS_Ranking4[[#This Row],[FMS ID]],FMS_Input[FMS_ID],FMS_Input[COSTSTRUCT])</f>
        <v>25000</v>
      </c>
      <c r="AZ345" s="253">
        <f>_xlfn.XLOOKUP(FMS_Ranking4[[#This Row],[FMS ID]],FMS_Input[FMS_ID],FMS_Input[NATURE])</f>
        <v>0</v>
      </c>
      <c r="BA345" s="262">
        <f>(((FMS_Ranking4[[#This Row],[% NBS Raw]]/AZ$4)*100)*AZ$5)</f>
        <v>0</v>
      </c>
      <c r="BB345" s="251" t="str">
        <f>_xlfn.XLOOKUP(FMS_Ranking4[[#This Row],[FMS ID]],FMS_Input[FMS_ID],FMS_Input[WATER_SUP])</f>
        <v>No</v>
      </c>
      <c r="BC345" s="265">
        <f>IF(FMS_Ranking4[[#This Row],[Water Supply Raw]]="Yes",10,0)</f>
        <v>0</v>
      </c>
      <c r="BD345" s="266">
        <f>_xlfn.XLOOKUP(FMS_Ranking4[[#This Row],[FMS Type]],FMS_TYPE[FMS_Type],FMS_TYPE[Score])</f>
        <v>2</v>
      </c>
      <c r="BE345" s="267">
        <f>FMS_Ranking4[[#This Row],[FMS_Type Score]]*$BD$5*10</f>
        <v>0.5</v>
      </c>
      <c r="BF34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0.11123066261873489</v>
      </c>
      <c r="BG345" s="271">
        <f>_xlfn.RANK.EQ(BF345,$BF$8:$BF$870,0)+COUNTIF($BF$8:BF345,BF345)-1</f>
        <v>470</v>
      </c>
      <c r="BH345" s="268">
        <f>(((FMS_Ranking4[[#This Row],[Structures Removed Raw]]/AK$4)*100)*AK$5)+(((FMS_Ranking4[[#This Row],[Removed Pop Raw]]/AR$4)*100)*AR$5)</f>
        <v>7.5801199561083138E-2</v>
      </c>
      <c r="BI34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0.68703186217981804</v>
      </c>
      <c r="BJ345" s="205">
        <f>_xlfn.RANK.EQ(FMS_Ranking4[[#This Row],[Total Score 
(with linear
normalization)]],FMS_Ranking4[Total Score 
(with linear
normalization)],0)</f>
        <v>805</v>
      </c>
      <c r="BK345" s="205" t="e">
        <f>_xlfn.XLOOKUP(FMS_Ranking4[[#This Row],[FMS ID]],#REF!,#REF!)</f>
        <v>#REF!</v>
      </c>
      <c r="BL34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24.936212795374637</v>
      </c>
      <c r="BM345" s="272">
        <f>FMS_Ranking4[[#This Row],[ArcSinh Score Based on Normalized Reported Factors]]+FMS_Ranking4[[#This Row],[% NBS Score (Normalized)]]+(FMS_Ranking4[[#This Row],[Water Supply Score (Normalized)]]*10*$BB$5)+FMS_Ranking4[[#This Row],[FMS_Type Score Weighted]]</f>
        <v>25.436212795374637</v>
      </c>
      <c r="BN345" s="205">
        <f>_xlfn.RANK.EQ(FMS_Ranking4[[#This Row],[Total Score (with ArcSinh normalization of select criteria)]],FMS_Ranking4[Total Score (with ArcSinh normalization of select criteria)],0)</f>
        <v>337</v>
      </c>
      <c r="BO345" s="270" t="str">
        <f>_xlfn.XLOOKUP(FMS_Ranking4[[#This Row],[FMS ID]],FMS_Input[FMS_ID],FMS_Input[FMS_RANK_YEAR])</f>
        <v>2023 Amended Plan</v>
      </c>
      <c r="BP345" s="204">
        <f>_xlfn.XLOOKUP(FMS_Ranking4[[#This Row],[FMS ID]],Prev_Rank[FMS ID],Prev_Rank[Prev Rank])</f>
        <v>318</v>
      </c>
      <c r="BQ345" s="205" t="e">
        <f>_xlfn.XLOOKUP(FMS_Ranking4[[#This Row],[FMS ID]],#REF!,#REF!)</f>
        <v>#REF!</v>
      </c>
      <c r="BR345" s="199" t="e">
        <f>SUM(#REF!,#REF!,#REF!,#REF!,#REF!,#REF!,#REF!,#REF!,#REF!,FMS_Ranking4[[#This Row],[ArcSinh Res struct removed 0-10]],#REF!)</f>
        <v>#REF!</v>
      </c>
      <c r="BS345" s="199" t="e">
        <f>FMS_Ranking4[[#This Row],[Log Score Based on Normalized Reported Factors]]+FMS_Ranking4[[#This Row],[% NBS Score (Normalized)]]+(FMS_Ranking4[[#This Row],[Water Supply Score (Normalized)]]*10*$BB$5)+(FMS_Ranking4[[#This Row],[FMS_Type Score Weighted]])</f>
        <v>#REF!</v>
      </c>
      <c r="BT345" s="200" t="e">
        <f>_xlfn.RANK.EQ(FMS_Ranking4[[#This Row],[Log Total Score]],FMS_Ranking4[Log Total Score],0)</f>
        <v>#REF!</v>
      </c>
      <c r="BU345" s="200" t="e">
        <f>_xlfn.XLOOKUP(FMS_Ranking4[[#This Row],[FMS ID]],#REF!,#REF!)</f>
        <v>#REF!</v>
      </c>
      <c r="BV345" s="200">
        <f>FMS_Ranking4[[#This Row],[Region Number]]</f>
        <v>9</v>
      </c>
      <c r="BW345" s="200">
        <f>FMS_Ranking4[[#This Row],[Rank (with ArcSinh normalization of select criteria)]]-FMS_Ranking4[[#This Row],[Rank
(with linear
normalization)]]</f>
        <v>-468</v>
      </c>
      <c r="BX345" s="200" t="e">
        <f>FMS_Ranking4[[#This Row],[Log Rank]]-FMS_Ranking4[[#This Row],[Rank
(with linear
normalization)]]</f>
        <v>#REF!</v>
      </c>
      <c r="BY345" s="200" t="str">
        <f>IF(FMS_Ranking4[[#This Row],[FMS Type]]="Flood Measurement and Warning",FMS_Ranking4[[#This Row],[Rank (with ArcSinh normalization of select criteria)]],"")</f>
        <v/>
      </c>
      <c r="BZ345" s="200" t="str">
        <f>IF(FMS_Ranking4[[#This Row],[FMS Type]]="Regulatory and Guidance",FMS_Ranking4[[#This Row],[Rank (with ArcSinh normalization of select criteria)]],"")</f>
        <v/>
      </c>
      <c r="CA345" s="200" t="str">
        <f>IF(FMS_Ranking4[[#This Row],[FMS Type]]="Education and Outreach",FMS_Ranking4[[#This Row],[Rank (with ArcSinh normalization of select criteria)]],"")</f>
        <v/>
      </c>
      <c r="CB345" s="200" t="str">
        <f>IF(FMS_Ranking4[[#This Row],[FMS Type]]="Property Acquisition and Structural Elevation",FMS_Ranking4[[#This Row],[Rank (with ArcSinh normalization of select criteria)]],"")</f>
        <v/>
      </c>
      <c r="CC345" s="200" t="str">
        <f>IF(FMS_Ranking4[[#This Row],[FMS Type]]="Infrastructure Projects",FMS_Ranking4[[#This Row],[Rank (with ArcSinh normalization of select criteria)]],"")</f>
        <v/>
      </c>
      <c r="CD345" s="200">
        <f>IF(FMS_Ranking4[[#This Row],[FMS Type]]="Other",FMS_Ranking4[[#This Row],[Rank (with ArcSinh normalization of select criteria)]],"")</f>
        <v>337</v>
      </c>
      <c r="CE345" s="201"/>
      <c r="CF345" s="206"/>
      <c r="CG345" s="206"/>
      <c r="CH345" s="206"/>
      <c r="CI345" s="206"/>
      <c r="CJ345" s="206"/>
      <c r="CK345" s="206"/>
      <c r="CL345" s="206"/>
      <c r="CM345" s="206"/>
      <c r="CN345" s="206"/>
      <c r="CO345" s="206"/>
      <c r="CP345" s="206"/>
      <c r="CQ345" s="206"/>
      <c r="CR345" s="206"/>
    </row>
    <row r="346" spans="2:96" ht="120" x14ac:dyDescent="0.25">
      <c r="B346" s="341" t="s">
        <v>775</v>
      </c>
      <c r="C346" s="246">
        <f>_xlfn.XLOOKUP(FMS_Ranking4[[#This Row],[FMS ID]],FMS_Input[FMS_ID],FMS_Input[RFPG_NUM])</f>
        <v>9</v>
      </c>
      <c r="D346" s="309" t="str">
        <f>_xlfn.XLOOKUP(FMS_Ranking4[[#This Row],[FMS ID]],FMS_Input[FMS_ID],FMS_Input[FMS_NAME])</f>
        <v>Nolan County Flood Awareness Program</v>
      </c>
      <c r="E346" s="308" t="str">
        <f>_xlfn.XLOOKUP(FMS_Ranking4[[#This Row],[FMS ID]],FMS_Input[FMS_ID],FMS_Input[SPONSOR])</f>
        <v>00000116</v>
      </c>
      <c r="F346" s="309" t="str">
        <f>_xlfn.XLOOKUP(FMS_Ranking4[[#This Row],[FMS ID]],Sponsor[FMS_ID],Sponsor[SPONSOR NAME])</f>
        <v>Scurry</v>
      </c>
      <c r="G346" s="309" t="str">
        <f>_xlfn.XLOOKUP(FMS_Ranking4[[#This Row],[FMS ID]],FMS_Input[FMS_ID],FMS_Input[FMS_DESCR])</f>
        <v>Implement education and awareness program utilizing media, social media, bulletins, flyers, etc. to educate citizens of hazards that can threaten the area and mitigation measures to reduce injuries, fatalities, and property damages.</v>
      </c>
      <c r="H346" s="248" t="str">
        <f>_xlfn.XLOOKUP(FMS_Ranking4[[#This Row],[FMS ID]],FMS_Input[FMS_ID],FMS_Input[FMS_TYPE])</f>
        <v>Other</v>
      </c>
      <c r="I346" s="249">
        <f>_xlfn.XLOOKUP(FMS_Ranking4[[#This Row],[FMS ID]],FMS_Input[FMS_ID],FMS_Input[NRNC_COST])</f>
        <v>5000</v>
      </c>
      <c r="J346" s="250">
        <f>_xlfn.XLOOKUP(FMS_Ranking4[[#This Row],[FMS ID]],FMS_Input[FMS_ID],FMS_Input[FMS_COST])</f>
        <v>30000</v>
      </c>
      <c r="K346" s="251" t="str">
        <f>_xlfn.XLOOKUP(FMS_Ranking4[[#This Row],[FMS ID]],FMS_Input[FMS_ID],FMS_Input[EMER_NEED])</f>
        <v>No</v>
      </c>
      <c r="L346" s="252">
        <f t="shared" si="5"/>
        <v>0</v>
      </c>
      <c r="M346" s="253">
        <f>_xlfn.XLOOKUP(FMS_Ranking4[[#This Row],[FMS ID]],FMS_Input[FMS_ID],FMS_Input[STRUCT_100])</f>
        <v>90</v>
      </c>
      <c r="N346" s="255">
        <f>(ASINH(FMS_Ranking4[[#This Row],[Structure at Risk Raw]]))*(10)/(ASINH(M$4))</f>
        <v>4.0824615453173889</v>
      </c>
      <c r="O346" s="256">
        <f>FMS_Ranking4[[#This Row],[Structures at risk, ArcSinh (0-10)]]*M$5*10</f>
        <v>4.0824615453173889</v>
      </c>
      <c r="P346" s="253">
        <f>_xlfn.XLOOKUP(FMS_Ranking4[[#This Row],[FMS ID]],FMS_Input[FMS_ID],FMS_Input[RES_STRUCT100])</f>
        <v>16</v>
      </c>
      <c r="Q346" s="257">
        <f>ASINH(FMS_Ranking4[[#This Row],[Res Structure Raw]])/Q$4*P$5*100</f>
        <v>0</v>
      </c>
      <c r="R346" s="253">
        <f>_xlfn.XLOOKUP(FMS_Ranking4[[#This Row],[FMS ID]],FMS_Input[FMS_ID],FMS_Input[POP100])</f>
        <v>23</v>
      </c>
      <c r="S346" s="259">
        <f>(ASINH(FMS_Ranking4[[#This Row],[Pop at Risk Raw]]))*(10)/(ASINH(R$4))</f>
        <v>2.6434600767891396</v>
      </c>
      <c r="T346" s="256">
        <f>FMS_Ranking4[[#This Row],[Population at risk, ArcSinh (0-10)]]*R$5*10</f>
        <v>2.6434600767891396</v>
      </c>
      <c r="U346" s="253">
        <f>_xlfn.XLOOKUP(FMS_Ranking4[[#This Row],[FMS ID]],FMS_Input[FMS_ID],FMS_Input[CRITFAC100])</f>
        <v>0</v>
      </c>
      <c r="V346" s="259">
        <f>(ASINH(FMS_Ranking4[[#This Row],[Critical Facilities Raw]]))*(10)/(ASINH(U$4))</f>
        <v>0</v>
      </c>
      <c r="W346" s="256">
        <f>FMS_Ranking4[[#This Row],[Critical facilities at risk, ArcSinh (0-10)]]*U$5*10</f>
        <v>0</v>
      </c>
      <c r="X346" s="253">
        <f>_xlfn.XLOOKUP(FMS_Ranking4[[#This Row],[FMS ID]],FMS_Input[FMS_ID],FMS_Input[LWC])</f>
        <v>5</v>
      </c>
      <c r="Y346" s="259">
        <f>(ASINH(FMS_Ranking4[[#This Row],[LWC Raw]]))*(10)/(ASINH(X$4))</f>
        <v>3.1327475801820781</v>
      </c>
      <c r="Z346" s="256">
        <f>FMS_Ranking4[[#This Row],[LWC, ArcSInh (0-10)]]*X$5*10</f>
        <v>3.1327475801820781</v>
      </c>
      <c r="AA346" s="253">
        <f>_xlfn.XLOOKUP(FMS_Ranking4[[#This Row],[FMS ID]],FMS_Input[FMS_ID],FMS_Input[ROADCLS])</f>
        <v>0</v>
      </c>
      <c r="AB346" s="255">
        <f>(ASINH(FMS_Ranking4[[#This Row],[Road Closures Raw]]))*(10)/(ASINH(AA$4))</f>
        <v>0</v>
      </c>
      <c r="AC346" s="256">
        <f>FMS_Ranking4[[#This Row],[Road closures, ArcSinh (0-10)]]*AA$5*10</f>
        <v>0</v>
      </c>
      <c r="AD346" s="253">
        <f>_xlfn.XLOOKUP(FMS_Ranking4[[#This Row],[FMS ID]],FMS_Input[FMS_ID],FMS_Input[ROAD_MILES100])</f>
        <v>21</v>
      </c>
      <c r="AE346" s="259">
        <f>(ASINH(FMS_Ranking4[[#This Row],[Road Miles Raw]]))*(10)/(ASINH(AD$4))</f>
        <v>3.9839311289010819</v>
      </c>
      <c r="AF346" s="256">
        <f>FMS_Ranking4[[#This Row],[Length of roads at risk, ArcSinh (0-10)]]*AD$5*10</f>
        <v>3.9839311289010819</v>
      </c>
      <c r="AG346" s="253">
        <f>_xlfn.XLOOKUP(FMS_Ranking4[[#This Row],[FMS ID]],FMS_Input[FMS_ID],FMS_Input[FARMACRE100])</f>
        <v>3888.306884765625</v>
      </c>
      <c r="AH346" s="255">
        <f>(ASINH(FMS_Ranking4[[#This Row],[Ag Land Raw]]))*(10)/(ASINH(AG$4))</f>
        <v>5.8195200244112248</v>
      </c>
      <c r="AI346" s="260">
        <f>FMS_Ranking4[[#This Row],[Farm &amp; ranch land, ArcSinh (0-10)]]*AG$5*10</f>
        <v>2.9097600122056129</v>
      </c>
      <c r="AJ346" s="258">
        <f>_xlfn.XLOOKUP(FMS_Ranking4[[#This Row],[FMS ID]],FMS_Input[FMS_ID],FMS_Input[REDSTRUCT100])</f>
        <v>23</v>
      </c>
      <c r="AK346" s="253">
        <f>_xlfn.XLOOKUP(FMS_Ranking4[[#This Row],[FMS ID]],FMS_Input[FMS_ID],FMS_Input[REMSTRC100])</f>
        <v>23</v>
      </c>
      <c r="AL346" s="259">
        <f>(ASINH(FMS_Ranking4[[#This Row],[Structures Removed Raw]]))*(10)/(ASINH(AK$4))</f>
        <v>4.3597192169147574</v>
      </c>
      <c r="AM346" s="262">
        <f>FMS_Ranking4[[#This Row],[Structures removed, ArcSinh (0-10)]]*AK$5*10</f>
        <v>4.3597192169147574</v>
      </c>
      <c r="AN346" s="253">
        <f>_xlfn.XLOOKUP(FMS_Ranking4[[#This Row],[FMS ID]],FMS_Input[FMS_ID],FMS_Input[REMRESSTRC100])</f>
        <v>4</v>
      </c>
      <c r="AO346" s="261">
        <f>FMS_Ranking4[[#This Row],[ArcSinh Res struct removed 0-10]]*AN$5*10</f>
        <v>1.2286043492271628</v>
      </c>
      <c r="AP346" s="260">
        <f>ASINH(FMS_Ranking4[[#This Row],[Residential Structures Removed Raw]])/AP$4*AN$5*100</f>
        <v>1.2286043492271628</v>
      </c>
      <c r="AQ346" s="254">
        <f>(ASINH(FMS_Ranking4[[#This Row],[Residential Structures Removed Raw]]))*(10)/(ASINH(AN$4))</f>
        <v>2.4572086984543255</v>
      </c>
      <c r="AR346" s="253">
        <f>_xlfn.XLOOKUP(FMS_Ranking4[[#This Row],[FMS ID]],FMS_Input[FMS_ID],FMS_Input[REMPOP100])</f>
        <v>7</v>
      </c>
      <c r="AS346" s="259">
        <f>(ASINH(FMS_Ranking4[[#This Row],[Removed Pop Raw]]))*(10)/(ASINH(AR$4))</f>
        <v>2.5955229922865324</v>
      </c>
      <c r="AT346" s="262">
        <f>FMS_Ranking4[[#This Row],[Removed population, ArcSinh (0-10)]]*AR$5*10</f>
        <v>2.5955229922865324</v>
      </c>
      <c r="AU346" s="264">
        <f>_xlfn.XLOOKUP(FMS_Ranking4[[#This Row],[FMS ID]],FMS_Input[FMS_ID],FMS_Input[REMCRITFAC100])</f>
        <v>0</v>
      </c>
      <c r="AV346" s="264">
        <f>_xlfn.XLOOKUP(FMS_Ranking4[[#This Row],[FMS ID]],FMS_Input[FMS_ID],FMS_Input[REMLWC100])</f>
        <v>1</v>
      </c>
      <c r="AW346" s="264">
        <f>_xlfn.XLOOKUP(FMS_Ranking4[[#This Row],[FMS ID]],FMS_Input[FMS_ID],FMS_Input[REMROADCLS])</f>
        <v>0</v>
      </c>
      <c r="AX346" s="264">
        <f>_xlfn.XLOOKUP(FMS_Ranking4[[#This Row],[FMS ID]],FMS_Input[FMS_ID],FMS_Input[REMFRMACRE100])</f>
        <v>972.07672119140625</v>
      </c>
      <c r="AY346" s="258">
        <f>_xlfn.XLOOKUP(FMS_Ranking4[[#This Row],[FMS ID]],FMS_Input[FMS_ID],FMS_Input[COSTSTRUCT])</f>
        <v>25000</v>
      </c>
      <c r="AZ346" s="253">
        <f>_xlfn.XLOOKUP(FMS_Ranking4[[#This Row],[FMS ID]],FMS_Input[FMS_ID],FMS_Input[NATURE])</f>
        <v>0</v>
      </c>
      <c r="BA346" s="262">
        <f>(((FMS_Ranking4[[#This Row],[% NBS Raw]]/AZ$4)*100)*AZ$5)</f>
        <v>0</v>
      </c>
      <c r="BB346" s="251" t="str">
        <f>_xlfn.XLOOKUP(FMS_Ranking4[[#This Row],[FMS ID]],FMS_Input[FMS_ID],FMS_Input[WATER_SUP])</f>
        <v>No</v>
      </c>
      <c r="BC346" s="265">
        <f>IF(FMS_Ranking4[[#This Row],[Water Supply Raw]]="Yes",10,0)</f>
        <v>0</v>
      </c>
      <c r="BD346" s="266">
        <f>_xlfn.XLOOKUP(FMS_Ranking4[[#This Row],[FMS Type]],FMS_TYPE[FMS_Type],FMS_TYPE[Score])</f>
        <v>2</v>
      </c>
      <c r="BE346" s="267">
        <f>FMS_Ranking4[[#This Row],[FMS_Type Score]]*$BD$5*10</f>
        <v>0.5</v>
      </c>
      <c r="BF34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0.11123051714673428</v>
      </c>
      <c r="BG346" s="271">
        <f>_xlfn.RANK.EQ(BF346,$BF$8:$BF$870,0)+COUNTIF($BF$8:BF346,BF346)-1</f>
        <v>472</v>
      </c>
      <c r="BH346" s="268">
        <f>(((FMS_Ranking4[[#This Row],[Structures Removed Raw]]/AK$4)*100)*AK$5)+(((FMS_Ranking4[[#This Row],[Removed Pop Raw]]/AR$4)*100)*AR$5)</f>
        <v>7.5801199561083138E-2</v>
      </c>
      <c r="BI34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0.68703171670781749</v>
      </c>
      <c r="BJ346" s="205">
        <f>_xlfn.RANK.EQ(FMS_Ranking4[[#This Row],[Total Score 
(with linear
normalization)]],FMS_Ranking4[Total Score 
(with linear
normalization)],0)</f>
        <v>807</v>
      </c>
      <c r="BK346" s="205" t="e">
        <f>_xlfn.XLOOKUP(FMS_Ranking4[[#This Row],[FMS ID]],#REF!,#REF!)</f>
        <v>#REF!</v>
      </c>
      <c r="BL34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24.936206901823756</v>
      </c>
      <c r="BM346" s="272">
        <f>FMS_Ranking4[[#This Row],[ArcSinh Score Based on Normalized Reported Factors]]+FMS_Ranking4[[#This Row],[% NBS Score (Normalized)]]+(FMS_Ranking4[[#This Row],[Water Supply Score (Normalized)]]*10*$BB$5)+FMS_Ranking4[[#This Row],[FMS_Type Score Weighted]]</f>
        <v>25.436206901823756</v>
      </c>
      <c r="BN346" s="205">
        <f>_xlfn.RANK.EQ(FMS_Ranking4[[#This Row],[Total Score (with ArcSinh normalization of select criteria)]],FMS_Ranking4[Total Score (with ArcSinh normalization of select criteria)],0)</f>
        <v>339</v>
      </c>
      <c r="BO346" s="270" t="str">
        <f>_xlfn.XLOOKUP(FMS_Ranking4[[#This Row],[FMS ID]],FMS_Input[FMS_ID],FMS_Input[FMS_RANK_YEAR])</f>
        <v>2023 Amended Plan</v>
      </c>
      <c r="BP346" s="204">
        <f>_xlfn.XLOOKUP(FMS_Ranking4[[#This Row],[FMS ID]],Prev_Rank[FMS ID],Prev_Rank[Prev Rank])</f>
        <v>320</v>
      </c>
      <c r="BQ346" s="205" t="e">
        <f>_xlfn.XLOOKUP(FMS_Ranking4[[#This Row],[FMS ID]],#REF!,#REF!)</f>
        <v>#REF!</v>
      </c>
      <c r="BR346" s="199" t="e">
        <f>SUM(#REF!,#REF!,#REF!,#REF!,#REF!,#REF!,#REF!,#REF!,#REF!,FMS_Ranking4[[#This Row],[ArcSinh Res struct removed 0-10]],#REF!)</f>
        <v>#REF!</v>
      </c>
      <c r="BS346" s="199" t="e">
        <f>FMS_Ranking4[[#This Row],[Log Score Based on Normalized Reported Factors]]+FMS_Ranking4[[#This Row],[% NBS Score (Normalized)]]+(FMS_Ranking4[[#This Row],[Water Supply Score (Normalized)]]*10*$BB$5)+(FMS_Ranking4[[#This Row],[FMS_Type Score Weighted]])</f>
        <v>#REF!</v>
      </c>
      <c r="BT346" s="200" t="e">
        <f>_xlfn.RANK.EQ(FMS_Ranking4[[#This Row],[Log Total Score]],FMS_Ranking4[Log Total Score],0)</f>
        <v>#REF!</v>
      </c>
      <c r="BU346" s="200" t="e">
        <f>_xlfn.XLOOKUP(FMS_Ranking4[[#This Row],[FMS ID]],#REF!,#REF!)</f>
        <v>#REF!</v>
      </c>
      <c r="BV346" s="200">
        <f>FMS_Ranking4[[#This Row],[Region Number]]</f>
        <v>9</v>
      </c>
      <c r="BW346" s="200">
        <f>FMS_Ranking4[[#This Row],[Rank (with ArcSinh normalization of select criteria)]]-FMS_Ranking4[[#This Row],[Rank
(with linear
normalization)]]</f>
        <v>-468</v>
      </c>
      <c r="BX346" s="200" t="e">
        <f>FMS_Ranking4[[#This Row],[Log Rank]]-FMS_Ranking4[[#This Row],[Rank
(with linear
normalization)]]</f>
        <v>#REF!</v>
      </c>
      <c r="BY346" s="200" t="str">
        <f>IF(FMS_Ranking4[[#This Row],[FMS Type]]="Flood Measurement and Warning",FMS_Ranking4[[#This Row],[Rank (with ArcSinh normalization of select criteria)]],"")</f>
        <v/>
      </c>
      <c r="BZ346" s="200" t="str">
        <f>IF(FMS_Ranking4[[#This Row],[FMS Type]]="Regulatory and Guidance",FMS_Ranking4[[#This Row],[Rank (with ArcSinh normalization of select criteria)]],"")</f>
        <v/>
      </c>
      <c r="CA346" s="200" t="str">
        <f>IF(FMS_Ranking4[[#This Row],[FMS Type]]="Education and Outreach",FMS_Ranking4[[#This Row],[Rank (with ArcSinh normalization of select criteria)]],"")</f>
        <v/>
      </c>
      <c r="CB346" s="200" t="str">
        <f>IF(FMS_Ranking4[[#This Row],[FMS Type]]="Property Acquisition and Structural Elevation",FMS_Ranking4[[#This Row],[Rank (with ArcSinh normalization of select criteria)]],"")</f>
        <v/>
      </c>
      <c r="CC346" s="200" t="str">
        <f>IF(FMS_Ranking4[[#This Row],[FMS Type]]="Infrastructure Projects",FMS_Ranking4[[#This Row],[Rank (with ArcSinh normalization of select criteria)]],"")</f>
        <v/>
      </c>
      <c r="CD346" s="200">
        <f>IF(FMS_Ranking4[[#This Row],[FMS Type]]="Other",FMS_Ranking4[[#This Row],[Rank (with ArcSinh normalization of select criteria)]],"")</f>
        <v>339</v>
      </c>
      <c r="CE346" s="201"/>
      <c r="CF346" s="206"/>
      <c r="CG346" s="206"/>
      <c r="CH346" s="206"/>
      <c r="CI346" s="206"/>
      <c r="CJ346" s="206"/>
      <c r="CK346" s="206"/>
      <c r="CL346" s="206"/>
      <c r="CM346" s="206"/>
      <c r="CN346" s="206"/>
      <c r="CO346" s="206"/>
      <c r="CP346" s="206"/>
      <c r="CQ346" s="206"/>
      <c r="CR346" s="206"/>
    </row>
    <row r="347" spans="2:96" ht="60" x14ac:dyDescent="0.25">
      <c r="B347" s="341" t="s">
        <v>4238</v>
      </c>
      <c r="C347" s="246">
        <f>_xlfn.XLOOKUP(FMS_Ranking4[[#This Row],[FMS ID]],FMS_Input[FMS_ID],FMS_Input[RFPG_NUM])</f>
        <v>15</v>
      </c>
      <c r="D347" s="309" t="str">
        <f>_xlfn.XLOOKUP(FMS_Ranking4[[#This Row],[FMS ID]],FMS_Input[FMS_ID],FMS_Input[FMS_NAME])</f>
        <v>City of Los Fresnos - Flood Warning System, planning, operation &amp; maintenance</v>
      </c>
      <c r="E347" s="308" t="str">
        <f>_xlfn.XLOOKUP(FMS_Ranking4[[#This Row],[FMS ID]],FMS_Input[FMS_ID],FMS_Input[SPONSOR])</f>
        <v>15000049</v>
      </c>
      <c r="F347" s="309" t="str">
        <f>_xlfn.XLOOKUP(FMS_Ranking4[[#This Row],[FMS ID]],Sponsor[FMS_ID],Sponsor[SPONSOR NAME])</f>
        <v>Los Fresnos</v>
      </c>
      <c r="G347" s="309" t="str">
        <f>_xlfn.XLOOKUP(FMS_Ranking4[[#This Row],[FMS ID]],FMS_Input[FMS_ID],FMS_Input[FMS_DESCR])</f>
        <v>Develop and Implement a Flood Warning System, planning, operation &amp; Maintenance plan</v>
      </c>
      <c r="H347" s="248" t="str">
        <f>_xlfn.XLOOKUP(FMS_Ranking4[[#This Row],[FMS ID]],FMS_Input[FMS_ID],FMS_Input[FMS_TYPE])</f>
        <v>Flood Measurement and Warning</v>
      </c>
      <c r="I347" s="249">
        <f>_xlfn.XLOOKUP(FMS_Ranking4[[#This Row],[FMS ID]],FMS_Input[FMS_ID],FMS_Input[NRNC_COST])</f>
        <v>600000</v>
      </c>
      <c r="J347" s="250">
        <f>_xlfn.XLOOKUP(FMS_Ranking4[[#This Row],[FMS ID]],FMS_Input[FMS_ID],FMS_Input[FMS_COST])</f>
        <v>5000000</v>
      </c>
      <c r="K347" s="251" t="str">
        <f>_xlfn.XLOOKUP(FMS_Ranking4[[#This Row],[FMS ID]],FMS_Input[FMS_ID],FMS_Input[EMER_NEED])</f>
        <v>Yes</v>
      </c>
      <c r="L347" s="252">
        <f t="shared" si="5"/>
        <v>1</v>
      </c>
      <c r="M347" s="253">
        <f>_xlfn.XLOOKUP(FMS_Ranking4[[#This Row],[FMS ID]],FMS_Input[FMS_ID],FMS_Input[STRUCT_100])</f>
        <v>1659</v>
      </c>
      <c r="N347" s="255">
        <f>(ASINH(FMS_Ranking4[[#This Row],[Structure at Risk Raw]]))*(10)/(ASINH(M$4))</f>
        <v>6.3734015009279839</v>
      </c>
      <c r="O347" s="256">
        <f>FMS_Ranking4[[#This Row],[Structures at risk, ArcSinh (0-10)]]*M$5*10</f>
        <v>6.3734015009279847</v>
      </c>
      <c r="P347" s="253">
        <f>_xlfn.XLOOKUP(FMS_Ranking4[[#This Row],[FMS ID]],FMS_Input[FMS_ID],FMS_Input[RES_STRUCT100])</f>
        <v>1311</v>
      </c>
      <c r="Q347" s="257">
        <f>ASINH(FMS_Ranking4[[#This Row],[Res Structure Raw]])/Q$4*P$5*100</f>
        <v>0</v>
      </c>
      <c r="R347" s="253">
        <f>_xlfn.XLOOKUP(FMS_Ranking4[[#This Row],[FMS ID]],FMS_Input[FMS_ID],FMS_Input[POP100])</f>
        <v>7463</v>
      </c>
      <c r="S347" s="255">
        <f>(ASINH(FMS_Ranking4[[#This Row],[Pop at Risk Raw]]))*(10)/(ASINH(R$4))</f>
        <v>6.6349361424700071</v>
      </c>
      <c r="T347" s="256">
        <f>FMS_Ranking4[[#This Row],[Population at risk, ArcSinh (0-10)]]*R$5*10</f>
        <v>6.6349361424700071</v>
      </c>
      <c r="U347" s="253">
        <f>_xlfn.XLOOKUP(FMS_Ranking4[[#This Row],[FMS ID]],FMS_Input[FMS_ID],FMS_Input[CRITFAC100])</f>
        <v>3</v>
      </c>
      <c r="V347" s="255">
        <f>(ASINH(FMS_Ranking4[[#This Row],[Critical Facilities Raw]]))*(10)/(ASINH(U$4))</f>
        <v>2.152611706646717</v>
      </c>
      <c r="W347" s="256">
        <f>FMS_Ranking4[[#This Row],[Critical facilities at risk, ArcSinh (0-10)]]*U$5*10</f>
        <v>2.152611706646717</v>
      </c>
      <c r="X347" s="253">
        <f>_xlfn.XLOOKUP(FMS_Ranking4[[#This Row],[FMS ID]],FMS_Input[FMS_ID],FMS_Input[LWC])</f>
        <v>0</v>
      </c>
      <c r="Y347" s="255">
        <f>(ASINH(FMS_Ranking4[[#This Row],[LWC Raw]]))*(10)/(ASINH(X$4))</f>
        <v>0</v>
      </c>
      <c r="Z347" s="256">
        <f>FMS_Ranking4[[#This Row],[LWC, ArcSInh (0-10)]]*X$5*10</f>
        <v>0</v>
      </c>
      <c r="AA347" s="253">
        <f>_xlfn.XLOOKUP(FMS_Ranking4[[#This Row],[FMS ID]],FMS_Input[FMS_ID],FMS_Input[ROADCLS])</f>
        <v>4</v>
      </c>
      <c r="AB347" s="255">
        <f>(ASINH(FMS_Ranking4[[#This Row],[Road Closures Raw]]))*(10)/(ASINH(AA$4))</f>
        <v>2.1814508587270351</v>
      </c>
      <c r="AC347" s="256">
        <f>FMS_Ranking4[[#This Row],[Road closures, ArcSinh (0-10)]]*AA$5*10</f>
        <v>1.0907254293635176</v>
      </c>
      <c r="AD347" s="253">
        <f>_xlfn.XLOOKUP(FMS_Ranking4[[#This Row],[FMS ID]],FMS_Input[FMS_ID],FMS_Input[ROAD_MILES100])</f>
        <v>27</v>
      </c>
      <c r="AE347" s="255">
        <f>(ASINH(FMS_Ranking4[[#This Row],[Road Miles Raw]]))*(10)/(ASINH(AD$4))</f>
        <v>4.2515248144863813</v>
      </c>
      <c r="AF347" s="256">
        <f>FMS_Ranking4[[#This Row],[Length of roads at risk, ArcSinh (0-10)]]*AD$5*10</f>
        <v>4.2515248144863813</v>
      </c>
      <c r="AG347" s="253">
        <f>_xlfn.XLOOKUP(FMS_Ranking4[[#This Row],[FMS ID]],FMS_Input[FMS_ID],FMS_Input[FARMACRE100])</f>
        <v>566.6146240234375</v>
      </c>
      <c r="AH347" s="255">
        <f>(ASINH(FMS_Ranking4[[#This Row],[Ag Land Raw]]))*(10)/(ASINH(AG$4))</f>
        <v>4.568394327643853</v>
      </c>
      <c r="AI347" s="260">
        <f>FMS_Ranking4[[#This Row],[Farm &amp; ranch land, ArcSinh (0-10)]]*AG$5*10</f>
        <v>2.2841971638219265</v>
      </c>
      <c r="AJ347" s="258">
        <f>_xlfn.XLOOKUP(FMS_Ranking4[[#This Row],[FMS ID]],FMS_Input[FMS_ID],FMS_Input[REDSTRUCT100])</f>
        <v>0</v>
      </c>
      <c r="AK347" s="253">
        <f>_xlfn.XLOOKUP(FMS_Ranking4[[#This Row],[FMS ID]],FMS_Input[FMS_ID],FMS_Input[REMSTRC100])</f>
        <v>0</v>
      </c>
      <c r="AL347" s="255">
        <f>(ASINH(FMS_Ranking4[[#This Row],[Structures Removed Raw]]))*(10)/(ASINH(AK$4))</f>
        <v>0</v>
      </c>
      <c r="AM347" s="262">
        <f>FMS_Ranking4[[#This Row],[Structures removed, ArcSinh (0-10)]]*AK$5*10</f>
        <v>0</v>
      </c>
      <c r="AN347" s="253">
        <f>_xlfn.XLOOKUP(FMS_Ranking4[[#This Row],[FMS ID]],FMS_Input[FMS_ID],FMS_Input[REMRESSTRC100])</f>
        <v>0</v>
      </c>
      <c r="AO347" s="261">
        <f>FMS_Ranking4[[#This Row],[ArcSinh Res struct removed 0-10]]*AN$5*10</f>
        <v>0</v>
      </c>
      <c r="AP347" s="260">
        <f>ASINH(FMS_Ranking4[[#This Row],[Residential Structures Removed Raw]])/AP$4*AN$5*100</f>
        <v>0</v>
      </c>
      <c r="AQ347" s="258">
        <f>(ASINH(FMS_Ranking4[[#This Row],[Residential Structures Removed Raw]]))*(10)/(ASINH(AN$4))</f>
        <v>0</v>
      </c>
      <c r="AR347" s="253">
        <f>_xlfn.XLOOKUP(FMS_Ranking4[[#This Row],[FMS ID]],FMS_Input[FMS_ID],FMS_Input[REMPOP100])</f>
        <v>0</v>
      </c>
      <c r="AS347" s="255">
        <f>(ASINH(FMS_Ranking4[[#This Row],[Removed Pop Raw]]))*(10)/(ASINH(AR$4))</f>
        <v>0</v>
      </c>
      <c r="AT347" s="262">
        <f>FMS_Ranking4[[#This Row],[Removed population, ArcSinh (0-10)]]*AR$5*10</f>
        <v>0</v>
      </c>
      <c r="AU347" s="264">
        <f>_xlfn.XLOOKUP(FMS_Ranking4[[#This Row],[FMS ID]],FMS_Input[FMS_ID],FMS_Input[REMCRITFAC100])</f>
        <v>0</v>
      </c>
      <c r="AV347" s="264">
        <f>_xlfn.XLOOKUP(FMS_Ranking4[[#This Row],[FMS ID]],FMS_Input[FMS_ID],FMS_Input[REMLWC100])</f>
        <v>0</v>
      </c>
      <c r="AW347" s="264">
        <f>_xlfn.XLOOKUP(FMS_Ranking4[[#This Row],[FMS ID]],FMS_Input[FMS_ID],FMS_Input[REMROADCLS])</f>
        <v>0</v>
      </c>
      <c r="AX347" s="264">
        <f>_xlfn.XLOOKUP(FMS_Ranking4[[#This Row],[FMS ID]],FMS_Input[FMS_ID],FMS_Input[REMFRMACRE100])</f>
        <v>0</v>
      </c>
      <c r="AY347" s="258">
        <f>_xlfn.XLOOKUP(FMS_Ranking4[[#This Row],[FMS ID]],FMS_Input[FMS_ID],FMS_Input[COSTSTRUCT])</f>
        <v>0</v>
      </c>
      <c r="AZ347" s="253">
        <f>_xlfn.XLOOKUP(FMS_Ranking4[[#This Row],[FMS ID]],FMS_Input[FMS_ID],FMS_Input[NATURE])</f>
        <v>0</v>
      </c>
      <c r="BA347" s="262">
        <f>(((FMS_Ranking4[[#This Row],[% NBS Raw]]/AZ$4)*100)*AZ$5)</f>
        <v>0</v>
      </c>
      <c r="BB347" s="251" t="str">
        <f>_xlfn.XLOOKUP(FMS_Ranking4[[#This Row],[FMS ID]],FMS_Input[FMS_ID],FMS_Input[WATER_SUP])</f>
        <v>No</v>
      </c>
      <c r="BC347" s="265">
        <f>IF(FMS_Ranking4[[#This Row],[Water Supply Raw]]="Yes",10,0)</f>
        <v>0</v>
      </c>
      <c r="BD347" s="266">
        <f>_xlfn.XLOOKUP(FMS_Ranking4[[#This Row],[FMS Type]],FMS_TYPE[FMS_Type],FMS_TYPE[Score])</f>
        <v>10</v>
      </c>
      <c r="BE347" s="267">
        <f>FMS_Ranking4[[#This Row],[FMS_Type Score]]*$BD$5*10</f>
        <v>2.5</v>
      </c>
      <c r="BF34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0.23776641844521035</v>
      </c>
      <c r="BG347" s="321">
        <f>_xlfn.RANK.EQ(BF347,$BF$8:$BF$870,0)+COUNTIF($BF$8:BF347,BF347)-1</f>
        <v>339</v>
      </c>
      <c r="BH347" s="294">
        <f>(((FMS_Ranking4[[#This Row],[Structures Removed Raw]]/AK$4)*100)*AK$5)+(((FMS_Ranking4[[#This Row],[Removed Pop Raw]]/AR$4)*100)*AR$5)</f>
        <v>0</v>
      </c>
      <c r="BI34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2.7377664184452102</v>
      </c>
      <c r="BJ347" s="251">
        <f>_xlfn.RANK.EQ(FMS_Ranking4[[#This Row],[Total Score 
(with linear
normalization)]],FMS_Ranking4[Total Score 
(with linear
normalization)],0)</f>
        <v>201</v>
      </c>
      <c r="BK347" s="251" t="e">
        <f>_xlfn.XLOOKUP(FMS_Ranking4[[#This Row],[FMS ID]],#REF!,#REF!)</f>
        <v>#REF!</v>
      </c>
      <c r="BL34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22.787396757716532</v>
      </c>
      <c r="BM347" s="324">
        <f>FMS_Ranking4[[#This Row],[ArcSinh Score Based on Normalized Reported Factors]]+FMS_Ranking4[[#This Row],[% NBS Score (Normalized)]]+(FMS_Ranking4[[#This Row],[Water Supply Score (Normalized)]]*10*$BB$5)+FMS_Ranking4[[#This Row],[FMS_Type Score Weighted]]</f>
        <v>25.287396757716532</v>
      </c>
      <c r="BN347" s="251">
        <f>_xlfn.RANK.EQ(FMS_Ranking4[[#This Row],[Total Score (with ArcSinh normalization of select criteria)]],FMS_Ranking4[Total Score (with ArcSinh normalization of select criteria)],0)</f>
        <v>340</v>
      </c>
      <c r="BO347" s="270" t="str">
        <f>_xlfn.XLOOKUP(FMS_Ranking4[[#This Row],[FMS ID]],FMS_Input[FMS_ID],FMS_Input[FMS_RANK_YEAR])</f>
        <v>2023 Amended Plan</v>
      </c>
      <c r="BP347" s="204">
        <f>_xlfn.XLOOKUP(FMS_Ranking4[[#This Row],[FMS ID]],Prev_Rank[FMS ID],Prev_Rank[Prev Rank])</f>
        <v>303</v>
      </c>
      <c r="BQ347" s="251" t="e">
        <f>_xlfn.XLOOKUP(FMS_Ranking4[[#This Row],[FMS ID]],#REF!,#REF!)</f>
        <v>#REF!</v>
      </c>
      <c r="BR347" s="199" t="e">
        <f>SUM(#REF!,#REF!,#REF!,#REF!,#REF!,#REF!,#REF!,#REF!,#REF!,FMS_Ranking4[[#This Row],[ArcSinh Res struct removed 0-10]],#REF!)</f>
        <v>#REF!</v>
      </c>
      <c r="BS347" s="199" t="e">
        <f>FMS_Ranking4[[#This Row],[Log Score Based on Normalized Reported Factors]]+FMS_Ranking4[[#This Row],[% NBS Score (Normalized)]]+(FMS_Ranking4[[#This Row],[Water Supply Score (Normalized)]]*10*$BB$5)+(FMS_Ranking4[[#This Row],[FMS_Type Score Weighted]])</f>
        <v>#REF!</v>
      </c>
      <c r="BT347" s="200" t="e">
        <f>_xlfn.RANK.EQ(FMS_Ranking4[[#This Row],[Log Total Score]],FMS_Ranking4[Log Total Score],0)</f>
        <v>#REF!</v>
      </c>
      <c r="BU347" s="200" t="e">
        <f>_xlfn.XLOOKUP(FMS_Ranking4[[#This Row],[FMS ID]],#REF!,#REF!)</f>
        <v>#REF!</v>
      </c>
      <c r="BV347" s="200">
        <f>FMS_Ranking4[[#This Row],[Region Number]]</f>
        <v>15</v>
      </c>
      <c r="BW347" s="200">
        <f>FMS_Ranking4[[#This Row],[Rank (with ArcSinh normalization of select criteria)]]-FMS_Ranking4[[#This Row],[Rank
(with linear
normalization)]]</f>
        <v>139</v>
      </c>
      <c r="BX347" s="200" t="e">
        <f>FMS_Ranking4[[#This Row],[Log Rank]]-FMS_Ranking4[[#This Row],[Rank
(with linear
normalization)]]</f>
        <v>#REF!</v>
      </c>
      <c r="BY347" s="200">
        <f>IF(FMS_Ranking4[[#This Row],[FMS Type]]="Flood Measurement and Warning",FMS_Ranking4[[#This Row],[Rank (with ArcSinh normalization of select criteria)]],"")</f>
        <v>340</v>
      </c>
      <c r="BZ347" s="200" t="str">
        <f>IF(FMS_Ranking4[[#This Row],[FMS Type]]="Regulatory and Guidance",FMS_Ranking4[[#This Row],[Rank (with ArcSinh normalization of select criteria)]],"")</f>
        <v/>
      </c>
      <c r="CA347" s="200" t="str">
        <f>IF(FMS_Ranking4[[#This Row],[FMS Type]]="Education and Outreach",FMS_Ranking4[[#This Row],[Rank (with ArcSinh normalization of select criteria)]],"")</f>
        <v/>
      </c>
      <c r="CB347" s="200" t="str">
        <f>IF(FMS_Ranking4[[#This Row],[FMS Type]]="Property Acquisition and Structural Elevation",FMS_Ranking4[[#This Row],[Rank (with ArcSinh normalization of select criteria)]],"")</f>
        <v/>
      </c>
      <c r="CC347" s="200" t="str">
        <f>IF(FMS_Ranking4[[#This Row],[FMS Type]]="Infrastructure Projects",FMS_Ranking4[[#This Row],[Rank (with ArcSinh normalization of select criteria)]],"")</f>
        <v/>
      </c>
      <c r="CD347" s="200" t="str">
        <f>IF(FMS_Ranking4[[#This Row],[FMS Type]]="Other",FMS_Ranking4[[#This Row],[Rank (with ArcSinh normalization of select criteria)]],"")</f>
        <v/>
      </c>
      <c r="CE347" s="201"/>
      <c r="CF347" s="206"/>
      <c r="CG347" s="206"/>
      <c r="CH347" s="206"/>
      <c r="CI347" s="206"/>
      <c r="CJ347" s="206"/>
      <c r="CK347" s="206"/>
      <c r="CL347" s="206"/>
      <c r="CM347" s="206"/>
      <c r="CN347" s="206"/>
      <c r="CO347" s="206"/>
      <c r="CP347" s="206"/>
      <c r="CQ347" s="206"/>
      <c r="CR347" s="206"/>
    </row>
    <row r="348" spans="2:96" ht="105" x14ac:dyDescent="0.25">
      <c r="B348" s="341" t="s">
        <v>4775</v>
      </c>
      <c r="C348" s="246">
        <f>_xlfn.XLOOKUP(FMS_Ranking4[[#This Row],[FMS ID]],FMS_Input[FMS_ID],FMS_Input[RFPG_NUM])</f>
        <v>4</v>
      </c>
      <c r="D348" s="309" t="str">
        <f>_xlfn.XLOOKUP(FMS_Ranking4[[#This Row],[FMS ID]],FMS_Input[FMS_ID],FMS_Input[FMS_NAME])</f>
        <v>City of Greenville NFIP Participation</v>
      </c>
      <c r="E348" s="308" t="str">
        <f>_xlfn.XLOOKUP(FMS_Ranking4[[#This Row],[FMS ID]],FMS_Input[FMS_ID],FMS_Input[SPONSOR])</f>
        <v>04002514</v>
      </c>
      <c r="F348" s="309" t="str">
        <f>_xlfn.XLOOKUP(FMS_Ranking4[[#This Row],[FMS ID]],Sponsor[FMS_ID],Sponsor[SPONSOR NAME])</f>
        <v>Greenville</v>
      </c>
      <c r="G348" s="309" t="str">
        <f>_xlfn.XLOOKUP(FMS_Ranking4[[#This Row],[FMS ID]],FMS_Input[FMS_ID],FMS_Input[FMS_DESCR])</f>
        <v xml:space="preserve">Increase NFIP Participation.  Greenville participates in the NFIP program and needs to strongly encourage through education additional residents and businesses to purchase and maintain flood insurance.   </v>
      </c>
      <c r="H348" s="248" t="str">
        <f>_xlfn.XLOOKUP(FMS_Ranking4[[#This Row],[FMS ID]],FMS_Input[FMS_ID],FMS_Input[FMS_TYPE])</f>
        <v>Regulatory and Guidance</v>
      </c>
      <c r="I348" s="249">
        <f>_xlfn.XLOOKUP(FMS_Ranking4[[#This Row],[FMS ID]],FMS_Input[FMS_ID],FMS_Input[NRNC_COST])</f>
        <v>10000</v>
      </c>
      <c r="J348" s="250">
        <f>_xlfn.XLOOKUP(FMS_Ranking4[[#This Row],[FMS ID]],FMS_Input[FMS_ID],FMS_Input[FMS_COST])</f>
        <v>10000</v>
      </c>
      <c r="K348" s="251" t="str">
        <f>_xlfn.XLOOKUP(FMS_Ranking4[[#This Row],[FMS ID]],FMS_Input[FMS_ID],FMS_Input[EMER_NEED])</f>
        <v>No</v>
      </c>
      <c r="L348" s="252">
        <f t="shared" si="5"/>
        <v>0</v>
      </c>
      <c r="M348" s="253">
        <f>_xlfn.XLOOKUP(FMS_Ranking4[[#This Row],[FMS ID]],FMS_Input[FMS_ID],FMS_Input[STRUCT_100])</f>
        <v>429</v>
      </c>
      <c r="N348" s="255">
        <f>(ASINH(FMS_Ranking4[[#This Row],[Structure at Risk Raw]]))*(10)/(ASINH(M$4))</f>
        <v>5.3101256070850802</v>
      </c>
      <c r="O348" s="256">
        <f>FMS_Ranking4[[#This Row],[Structures at risk, ArcSinh (0-10)]]*M$5*10</f>
        <v>5.3101256070850802</v>
      </c>
      <c r="P348" s="253">
        <f>_xlfn.XLOOKUP(FMS_Ranking4[[#This Row],[FMS ID]],FMS_Input[FMS_ID],FMS_Input[RES_STRUCT100])</f>
        <v>254</v>
      </c>
      <c r="Q348" s="257">
        <f>ASINH(FMS_Ranking4[[#This Row],[Res Structure Raw]])/Q$4*P$5*100</f>
        <v>0</v>
      </c>
      <c r="R348" s="253">
        <f>_xlfn.XLOOKUP(FMS_Ranking4[[#This Row],[FMS ID]],FMS_Input[FMS_ID],FMS_Input[POP100])</f>
        <v>5509</v>
      </c>
      <c r="S348" s="255">
        <f>(ASINH(FMS_Ranking4[[#This Row],[Pop at Risk Raw]]))*(10)/(ASINH(R$4))</f>
        <v>6.4253610911144881</v>
      </c>
      <c r="T348" s="256">
        <f>FMS_Ranking4[[#This Row],[Population at risk, ArcSinh (0-10)]]*R$5*10</f>
        <v>6.4253610911144889</v>
      </c>
      <c r="U348" s="253">
        <f>_xlfn.XLOOKUP(FMS_Ranking4[[#This Row],[FMS ID]],FMS_Input[FMS_ID],FMS_Input[CRITFAC100])</f>
        <v>28</v>
      </c>
      <c r="V348" s="255">
        <f>(ASINH(FMS_Ranking4[[#This Row],[Critical Facilities Raw]]))*(10)/(ASINH(U$4))</f>
        <v>4.7654442726690336</v>
      </c>
      <c r="W348" s="256">
        <f>FMS_Ranking4[[#This Row],[Critical facilities at risk, ArcSinh (0-10)]]*U$5*10</f>
        <v>4.7654442726690336</v>
      </c>
      <c r="X348" s="253">
        <f>_xlfn.XLOOKUP(FMS_Ranking4[[#This Row],[FMS ID]],FMS_Input[FMS_ID],FMS_Input[LWC])</f>
        <v>0</v>
      </c>
      <c r="Y348" s="255">
        <f>(ASINH(FMS_Ranking4[[#This Row],[LWC Raw]]))*(10)/(ASINH(X$4))</f>
        <v>0</v>
      </c>
      <c r="Z348" s="256">
        <f>FMS_Ranking4[[#This Row],[LWC, ArcSInh (0-10)]]*X$5*10</f>
        <v>0</v>
      </c>
      <c r="AA348" s="253">
        <f>_xlfn.XLOOKUP(FMS_Ranking4[[#This Row],[FMS ID]],FMS_Input[FMS_ID],FMS_Input[ROADCLS])</f>
        <v>0</v>
      </c>
      <c r="AB348" s="255">
        <f>(ASINH(FMS_Ranking4[[#This Row],[Road Closures Raw]]))*(10)/(ASINH(AA$4))</f>
        <v>0</v>
      </c>
      <c r="AC348" s="256">
        <f>FMS_Ranking4[[#This Row],[Road closures, ArcSinh (0-10)]]*AA$5*10</f>
        <v>0</v>
      </c>
      <c r="AD348" s="253">
        <f>_xlfn.XLOOKUP(FMS_Ranking4[[#This Row],[FMS ID]],FMS_Input[FMS_ID],FMS_Input[ROAD_MILES100])</f>
        <v>26</v>
      </c>
      <c r="AE348" s="255">
        <f>(ASINH(FMS_Ranking4[[#This Row],[Road Miles Raw]]))*(10)/(ASINH(AD$4))</f>
        <v>4.2113326316360364</v>
      </c>
      <c r="AF348" s="256">
        <f>FMS_Ranking4[[#This Row],[Length of roads at risk, ArcSinh (0-10)]]*AD$5*10</f>
        <v>4.2113326316360364</v>
      </c>
      <c r="AG348" s="253">
        <f>_xlfn.XLOOKUP(FMS_Ranking4[[#This Row],[FMS ID]],FMS_Input[FMS_ID],FMS_Input[FARMACRE100])</f>
        <v>1338.850463867188</v>
      </c>
      <c r="AH348" s="255">
        <f>(ASINH(FMS_Ranking4[[#This Row],[Ag Land Raw]]))*(10)/(ASINH(AG$4))</f>
        <v>5.1269607453223944</v>
      </c>
      <c r="AI348" s="260">
        <f>FMS_Ranking4[[#This Row],[Farm &amp; ranch land, ArcSinh (0-10)]]*AG$5*10</f>
        <v>2.5634803726611972</v>
      </c>
      <c r="AJ348" s="258">
        <f>_xlfn.XLOOKUP(FMS_Ranking4[[#This Row],[FMS ID]],FMS_Input[FMS_ID],FMS_Input[REDSTRUCT100])</f>
        <v>0</v>
      </c>
      <c r="AK348" s="253">
        <f>_xlfn.XLOOKUP(FMS_Ranking4[[#This Row],[FMS ID]],FMS_Input[FMS_ID],FMS_Input[REMSTRC100])</f>
        <v>0</v>
      </c>
      <c r="AL348" s="255">
        <f>(ASINH(FMS_Ranking4[[#This Row],[Structures Removed Raw]]))*(10)/(ASINH(AK$4))</f>
        <v>0</v>
      </c>
      <c r="AM348" s="262">
        <f>FMS_Ranking4[[#This Row],[Structures removed, ArcSinh (0-10)]]*AK$5*10</f>
        <v>0</v>
      </c>
      <c r="AN348" s="253">
        <f>_xlfn.XLOOKUP(FMS_Ranking4[[#This Row],[FMS ID]],FMS_Input[FMS_ID],FMS_Input[REMRESSTRC100])</f>
        <v>0</v>
      </c>
      <c r="AO348" s="261">
        <f>FMS_Ranking4[[#This Row],[ArcSinh Res struct removed 0-10]]*AN$5*10</f>
        <v>0</v>
      </c>
      <c r="AP348" s="260">
        <f>ASINH(FMS_Ranking4[[#This Row],[Residential Structures Removed Raw]])/AP$4*AN$5*100</f>
        <v>0</v>
      </c>
      <c r="AQ348" s="258">
        <f>(ASINH(FMS_Ranking4[[#This Row],[Residential Structures Removed Raw]]))*(10)/(ASINH(AN$4))</f>
        <v>0</v>
      </c>
      <c r="AR348" s="253">
        <f>_xlfn.XLOOKUP(FMS_Ranking4[[#This Row],[FMS ID]],FMS_Input[FMS_ID],FMS_Input[REMPOP100])</f>
        <v>0</v>
      </c>
      <c r="AS348" s="255">
        <f>(ASINH(FMS_Ranking4[[#This Row],[Removed Pop Raw]]))*(10)/(ASINH(AR$4))</f>
        <v>0</v>
      </c>
      <c r="AT348" s="262">
        <f>FMS_Ranking4[[#This Row],[Removed population, ArcSinh (0-10)]]*AR$5*10</f>
        <v>0</v>
      </c>
      <c r="AU348" s="264">
        <f>_xlfn.XLOOKUP(FMS_Ranking4[[#This Row],[FMS ID]],FMS_Input[FMS_ID],FMS_Input[REMCRITFAC100])</f>
        <v>0</v>
      </c>
      <c r="AV348" s="264">
        <f>_xlfn.XLOOKUP(FMS_Ranking4[[#This Row],[FMS ID]],FMS_Input[FMS_ID],FMS_Input[REMLWC100])</f>
        <v>0</v>
      </c>
      <c r="AW348" s="264">
        <f>_xlfn.XLOOKUP(FMS_Ranking4[[#This Row],[FMS ID]],FMS_Input[FMS_ID],FMS_Input[REMROADCLS])</f>
        <v>0</v>
      </c>
      <c r="AX348" s="264">
        <f>_xlfn.XLOOKUP(FMS_Ranking4[[#This Row],[FMS ID]],FMS_Input[FMS_ID],FMS_Input[REMFRMACRE100])</f>
        <v>0</v>
      </c>
      <c r="AY348" s="258">
        <f>_xlfn.XLOOKUP(FMS_Ranking4[[#This Row],[FMS ID]],FMS_Input[FMS_ID],FMS_Input[COSTSTRUCT])</f>
        <v>0</v>
      </c>
      <c r="AZ348" s="253">
        <f>_xlfn.XLOOKUP(FMS_Ranking4[[#This Row],[FMS ID]],FMS_Input[FMS_ID],FMS_Input[NATURE])</f>
        <v>0</v>
      </c>
      <c r="BA348" s="262">
        <f>(((FMS_Ranking4[[#This Row],[% NBS Raw]]/AZ$4)*100)*AZ$5)</f>
        <v>0</v>
      </c>
      <c r="BB348" s="251" t="str">
        <f>_xlfn.XLOOKUP(FMS_Ranking4[[#This Row],[FMS ID]],FMS_Input[FMS_ID],FMS_Input[WATER_SUP])</f>
        <v>No</v>
      </c>
      <c r="BC348" s="265">
        <f>IF(FMS_Ranking4[[#This Row],[Water Supply Raw]]="Yes",10,0)</f>
        <v>0</v>
      </c>
      <c r="BD348" s="266">
        <f>_xlfn.XLOOKUP(FMS_Ranking4[[#This Row],[FMS Type]],FMS_TYPE[FMS_Type],FMS_TYPE[Score])</f>
        <v>8</v>
      </c>
      <c r="BE348" s="267">
        <f>FMS_Ranking4[[#This Row],[FMS_Type Score]]*$BD$5*10</f>
        <v>2</v>
      </c>
      <c r="BF34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0.24862049370515663</v>
      </c>
      <c r="BG348" s="321">
        <f>_xlfn.RANK.EQ(BF348,$BF$8:$BF$870,0)+COUNTIF($BF$8:BF348,BF348)-1</f>
        <v>332</v>
      </c>
      <c r="BH348" s="294">
        <f>(((FMS_Ranking4[[#This Row],[Structures Removed Raw]]/AK$4)*100)*AK$5)+(((FMS_Ranking4[[#This Row],[Removed Pop Raw]]/AR$4)*100)*AR$5)</f>
        <v>0</v>
      </c>
      <c r="BI34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2.2486204937051566</v>
      </c>
      <c r="BJ348" s="251">
        <f>_xlfn.RANK.EQ(FMS_Ranking4[[#This Row],[Total Score 
(with linear
normalization)]],FMS_Ranking4[Total Score 
(with linear
normalization)],0)</f>
        <v>313</v>
      </c>
      <c r="BK348" s="251" t="e">
        <f>_xlfn.XLOOKUP(FMS_Ranking4[[#This Row],[FMS ID]],#REF!,#REF!)</f>
        <v>#REF!</v>
      </c>
      <c r="BL34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23.275743975165835</v>
      </c>
      <c r="BM348" s="324">
        <f>FMS_Ranking4[[#This Row],[ArcSinh Score Based on Normalized Reported Factors]]+FMS_Ranking4[[#This Row],[% NBS Score (Normalized)]]+(FMS_Ranking4[[#This Row],[Water Supply Score (Normalized)]]*10*$BB$5)+FMS_Ranking4[[#This Row],[FMS_Type Score Weighted]]</f>
        <v>25.275743975165835</v>
      </c>
      <c r="BN348" s="251">
        <f>_xlfn.RANK.EQ(FMS_Ranking4[[#This Row],[Total Score (with ArcSinh normalization of select criteria)]],FMS_Ranking4[Total Score (with ArcSinh normalization of select criteria)],0)</f>
        <v>341</v>
      </c>
      <c r="BO348" s="270" t="str">
        <f>_xlfn.XLOOKUP(FMS_Ranking4[[#This Row],[FMS ID]],FMS_Input[FMS_ID],FMS_Input[FMS_RANK_YEAR])</f>
        <v>2023 Amended Plan</v>
      </c>
      <c r="BP348" s="204">
        <f>_xlfn.XLOOKUP(FMS_Ranking4[[#This Row],[FMS ID]],Prev_Rank[FMS ID],Prev_Rank[Prev Rank])</f>
        <v>307</v>
      </c>
      <c r="BQ348" s="251" t="e">
        <f>_xlfn.XLOOKUP(FMS_Ranking4[[#This Row],[FMS ID]],#REF!,#REF!)</f>
        <v>#REF!</v>
      </c>
      <c r="BR348" s="199" t="e">
        <f>SUM(#REF!,#REF!,#REF!,#REF!,#REF!,#REF!,#REF!,#REF!,#REF!,FMS_Ranking4[[#This Row],[ArcSinh Res struct removed 0-10]],#REF!)</f>
        <v>#REF!</v>
      </c>
      <c r="BS348" s="199" t="e">
        <f>FMS_Ranking4[[#This Row],[Log Score Based on Normalized Reported Factors]]+FMS_Ranking4[[#This Row],[% NBS Score (Normalized)]]+(FMS_Ranking4[[#This Row],[Water Supply Score (Normalized)]]*10*$BB$5)+(FMS_Ranking4[[#This Row],[FMS_Type Score Weighted]])</f>
        <v>#REF!</v>
      </c>
      <c r="BT348" s="200" t="e">
        <f>_xlfn.RANK.EQ(FMS_Ranking4[[#This Row],[Log Total Score]],FMS_Ranking4[Log Total Score],0)</f>
        <v>#REF!</v>
      </c>
      <c r="BU348" s="200" t="e">
        <f>_xlfn.XLOOKUP(FMS_Ranking4[[#This Row],[FMS ID]],#REF!,#REF!)</f>
        <v>#REF!</v>
      </c>
      <c r="BV348" s="200">
        <f>FMS_Ranking4[[#This Row],[Region Number]]</f>
        <v>4</v>
      </c>
      <c r="BW348" s="200">
        <f>FMS_Ranking4[[#This Row],[Rank (with ArcSinh normalization of select criteria)]]-FMS_Ranking4[[#This Row],[Rank
(with linear
normalization)]]</f>
        <v>28</v>
      </c>
      <c r="BX348" s="200" t="e">
        <f>FMS_Ranking4[[#This Row],[Log Rank]]-FMS_Ranking4[[#This Row],[Rank
(with linear
normalization)]]</f>
        <v>#REF!</v>
      </c>
      <c r="BY348" s="200" t="str">
        <f>IF(FMS_Ranking4[[#This Row],[FMS Type]]="Flood Measurement and Warning",FMS_Ranking4[[#This Row],[Rank (with ArcSinh normalization of select criteria)]],"")</f>
        <v/>
      </c>
      <c r="BZ348" s="200">
        <f>IF(FMS_Ranking4[[#This Row],[FMS Type]]="Regulatory and Guidance",FMS_Ranking4[[#This Row],[Rank (with ArcSinh normalization of select criteria)]],"")</f>
        <v>341</v>
      </c>
      <c r="CA348" s="200" t="str">
        <f>IF(FMS_Ranking4[[#This Row],[FMS Type]]="Education and Outreach",FMS_Ranking4[[#This Row],[Rank (with ArcSinh normalization of select criteria)]],"")</f>
        <v/>
      </c>
      <c r="CB348" s="200" t="str">
        <f>IF(FMS_Ranking4[[#This Row],[FMS Type]]="Property Acquisition and Structural Elevation",FMS_Ranking4[[#This Row],[Rank (with ArcSinh normalization of select criteria)]],"")</f>
        <v/>
      </c>
      <c r="CC348" s="200" t="str">
        <f>IF(FMS_Ranking4[[#This Row],[FMS Type]]="Infrastructure Projects",FMS_Ranking4[[#This Row],[Rank (with ArcSinh normalization of select criteria)]],"")</f>
        <v/>
      </c>
      <c r="CD348" s="200" t="str">
        <f>IF(FMS_Ranking4[[#This Row],[FMS Type]]="Other",FMS_Ranking4[[#This Row],[Rank (with ArcSinh normalization of select criteria)]],"")</f>
        <v/>
      </c>
      <c r="CE348" s="201"/>
      <c r="CF348" s="206"/>
      <c r="CG348" s="206"/>
      <c r="CH348" s="206"/>
      <c r="CI348" s="206"/>
      <c r="CJ348" s="206"/>
      <c r="CK348" s="206"/>
      <c r="CL348" s="206"/>
      <c r="CM348" s="206"/>
      <c r="CN348" s="206"/>
      <c r="CO348" s="206"/>
      <c r="CP348" s="206"/>
      <c r="CQ348" s="206"/>
      <c r="CR348" s="206"/>
    </row>
    <row r="349" spans="2:96" ht="45" x14ac:dyDescent="0.25">
      <c r="B349" s="341" t="s">
        <v>12079</v>
      </c>
      <c r="C349" s="246">
        <f>_xlfn.XLOOKUP(FMS_Ranking4[[#This Row],[FMS ID]],FMS_Input[FMS_ID],FMS_Input[RFPG_NUM])</f>
        <v>4</v>
      </c>
      <c r="D349" s="309" t="str">
        <f>_xlfn.XLOOKUP(FMS_Ranking4[[#This Row],[FMS ID]],FMS_Input[FMS_ID],FMS_Input[FMS_NAME])</f>
        <v>City of Longview Regulatory Flood Hazard Map Program</v>
      </c>
      <c r="E349" s="308" t="str">
        <f>_xlfn.XLOOKUP(FMS_Ranking4[[#This Row],[FMS ID]],FMS_Input[FMS_ID],FMS_Input[SPONSOR])</f>
        <v>00003055</v>
      </c>
      <c r="F349" s="309" t="str">
        <f>_xlfn.XLOOKUP(FMS_Ranking4[[#This Row],[FMS ID]],Sponsor[FMS_ID],Sponsor[SPONSOR NAME])</f>
        <v>Longview</v>
      </c>
      <c r="G349" s="309" t="str">
        <f>_xlfn.XLOOKUP(FMS_Ranking4[[#This Row],[FMS ID]],FMS_Input[FMS_ID],FMS_Input[FMS_DESCR])</f>
        <v xml:space="preserve">Work with state and federal agencies to maintain current flood maps. </v>
      </c>
      <c r="H349" s="248" t="str">
        <f>_xlfn.XLOOKUP(FMS_Ranking4[[#This Row],[FMS ID]],FMS_Input[FMS_ID],FMS_Input[FMS_TYPE])</f>
        <v>Regulatory and Guidance</v>
      </c>
      <c r="I349" s="249">
        <f>_xlfn.XLOOKUP(FMS_Ranking4[[#This Row],[FMS ID]],FMS_Input[FMS_ID],FMS_Input[NRNC_COST])</f>
        <v>100000</v>
      </c>
      <c r="J349" s="250">
        <f>_xlfn.XLOOKUP(FMS_Ranking4[[#This Row],[FMS ID]],FMS_Input[FMS_ID],FMS_Input[FMS_COST])</f>
        <v>100000</v>
      </c>
      <c r="K349" s="251" t="str">
        <f>_xlfn.XLOOKUP(FMS_Ranking4[[#This Row],[FMS ID]],FMS_Input[FMS_ID],FMS_Input[EMER_NEED])</f>
        <v>No</v>
      </c>
      <c r="L349" s="252">
        <f t="shared" si="5"/>
        <v>0</v>
      </c>
      <c r="M349" s="253">
        <f>_xlfn.XLOOKUP(FMS_Ranking4[[#This Row],[FMS ID]],FMS_Input[FMS_ID],FMS_Input[STRUCT_100])</f>
        <v>1379</v>
      </c>
      <c r="N349" s="255">
        <f>(ASINH(FMS_Ranking4[[#This Row],[Structure at Risk Raw]]))*(10)/(ASINH(M$4))</f>
        <v>6.2280768687986656</v>
      </c>
      <c r="O349" s="256">
        <f>FMS_Ranking4[[#This Row],[Structures at risk, ArcSinh (0-10)]]*M$5*10</f>
        <v>6.2280768687986665</v>
      </c>
      <c r="P349" s="253">
        <f>_xlfn.XLOOKUP(FMS_Ranking4[[#This Row],[FMS ID]],FMS_Input[FMS_ID],FMS_Input[RES_STRUCT100])</f>
        <v>1024</v>
      </c>
      <c r="Q349" s="257">
        <f>ASINH(FMS_Ranking4[[#This Row],[Res Structure Raw]])/Q$4*P$5*100</f>
        <v>0</v>
      </c>
      <c r="R349" s="253">
        <f>_xlfn.XLOOKUP(FMS_Ranking4[[#This Row],[FMS ID]],FMS_Input[FMS_ID],FMS_Input[POP100])</f>
        <v>10126</v>
      </c>
      <c r="S349" s="259">
        <f>(ASINH(FMS_Ranking4[[#This Row],[Pop at Risk Raw]]))*(10)/(ASINH(R$4))</f>
        <v>6.8455981886854298</v>
      </c>
      <c r="T349" s="256">
        <f>FMS_Ranking4[[#This Row],[Population at risk, ArcSinh (0-10)]]*R$5*10</f>
        <v>6.8455981886854298</v>
      </c>
      <c r="U349" s="253">
        <f>_xlfn.XLOOKUP(FMS_Ranking4[[#This Row],[FMS ID]],FMS_Input[FMS_ID],FMS_Input[CRITFAC100])</f>
        <v>9</v>
      </c>
      <c r="V349" s="259">
        <f>(ASINH(FMS_Ranking4[[#This Row],[Critical Facilities Raw]]))*(10)/(ASINH(U$4))</f>
        <v>3.4251552279272253</v>
      </c>
      <c r="W349" s="256">
        <f>FMS_Ranking4[[#This Row],[Critical facilities at risk, ArcSinh (0-10)]]*U$5*10</f>
        <v>3.4251552279272257</v>
      </c>
      <c r="X349" s="253">
        <f>_xlfn.XLOOKUP(FMS_Ranking4[[#This Row],[FMS ID]],FMS_Input[FMS_ID],FMS_Input[LWC])</f>
        <v>0</v>
      </c>
      <c r="Y349" s="259">
        <f>(ASINH(FMS_Ranking4[[#This Row],[LWC Raw]]))*(10)/(ASINH(X$4))</f>
        <v>0</v>
      </c>
      <c r="Z349" s="256">
        <f>FMS_Ranking4[[#This Row],[LWC, ArcSInh (0-10)]]*X$5*10</f>
        <v>0</v>
      </c>
      <c r="AA349" s="253">
        <f>_xlfn.XLOOKUP(FMS_Ranking4[[#This Row],[FMS ID]],FMS_Input[FMS_ID],FMS_Input[ROADCLS])</f>
        <v>0</v>
      </c>
      <c r="AB349" s="255">
        <f>(ASINH(FMS_Ranking4[[#This Row],[Road Closures Raw]]))*(10)/(ASINH(AA$4))</f>
        <v>0</v>
      </c>
      <c r="AC349" s="256">
        <f>FMS_Ranking4[[#This Row],[Road closures, ArcSinh (0-10)]]*AA$5*10</f>
        <v>0</v>
      </c>
      <c r="AD349" s="253">
        <f>_xlfn.XLOOKUP(FMS_Ranking4[[#This Row],[FMS ID]],FMS_Input[FMS_ID],FMS_Input[ROAD_MILES100])</f>
        <v>41</v>
      </c>
      <c r="AE349" s="259">
        <f>(ASINH(FMS_Ranking4[[#This Row],[Road Miles Raw]]))*(10)/(ASINH(AD$4))</f>
        <v>4.6965087826098246</v>
      </c>
      <c r="AF349" s="256">
        <f>FMS_Ranking4[[#This Row],[Length of roads at risk, ArcSinh (0-10)]]*AD$5*10</f>
        <v>4.6965087826098255</v>
      </c>
      <c r="AG349" s="253">
        <f>_xlfn.XLOOKUP(FMS_Ranking4[[#This Row],[FMS ID]],FMS_Input[FMS_ID],FMS_Input[FARMACRE100])</f>
        <v>294.66531372070313</v>
      </c>
      <c r="AH349" s="255">
        <f>(ASINH(FMS_Ranking4[[#This Row],[Ag Land Raw]]))*(10)/(ASINH(AG$4))</f>
        <v>4.1436738543604141</v>
      </c>
      <c r="AI349" s="260">
        <f>FMS_Ranking4[[#This Row],[Farm &amp; ranch land, ArcSinh (0-10)]]*AG$5*10</f>
        <v>2.0718369271802075</v>
      </c>
      <c r="AJ349" s="258">
        <f>_xlfn.XLOOKUP(FMS_Ranking4[[#This Row],[FMS ID]],FMS_Input[FMS_ID],FMS_Input[REDSTRUCT100])</f>
        <v>0</v>
      </c>
      <c r="AK349" s="253">
        <f>_xlfn.XLOOKUP(FMS_Ranking4[[#This Row],[FMS ID]],FMS_Input[FMS_ID],FMS_Input[REMSTRC100])</f>
        <v>0</v>
      </c>
      <c r="AL349" s="259">
        <f>(ASINH(FMS_Ranking4[[#This Row],[Structures Removed Raw]]))*(10)/(ASINH(AK$4))</f>
        <v>0</v>
      </c>
      <c r="AM349" s="262">
        <f>FMS_Ranking4[[#This Row],[Structures removed, ArcSinh (0-10)]]*AK$5*10</f>
        <v>0</v>
      </c>
      <c r="AN349" s="253">
        <f>_xlfn.XLOOKUP(FMS_Ranking4[[#This Row],[FMS ID]],FMS_Input[FMS_ID],FMS_Input[REMRESSTRC100])</f>
        <v>0</v>
      </c>
      <c r="AO349" s="261">
        <f>FMS_Ranking4[[#This Row],[ArcSinh Res struct removed 0-10]]*AN$5*10</f>
        <v>0</v>
      </c>
      <c r="AP349" s="260">
        <f>ASINH(FMS_Ranking4[[#This Row],[Residential Structures Removed Raw]])/AP$4*AN$5*100</f>
        <v>0</v>
      </c>
      <c r="AQ349" s="254">
        <f>(ASINH(FMS_Ranking4[[#This Row],[Residential Structures Removed Raw]]))*(10)/(ASINH(AN$4))</f>
        <v>0</v>
      </c>
      <c r="AR349" s="253">
        <f>_xlfn.XLOOKUP(FMS_Ranking4[[#This Row],[FMS ID]],FMS_Input[FMS_ID],FMS_Input[REMPOP100])</f>
        <v>0</v>
      </c>
      <c r="AS349" s="259">
        <f>(ASINH(FMS_Ranking4[[#This Row],[Removed Pop Raw]]))*(10)/(ASINH(AR$4))</f>
        <v>0</v>
      </c>
      <c r="AT349" s="262">
        <f>FMS_Ranking4[[#This Row],[Removed population, ArcSinh (0-10)]]*AR$5*10</f>
        <v>0</v>
      </c>
      <c r="AU349" s="264">
        <f>_xlfn.XLOOKUP(FMS_Ranking4[[#This Row],[FMS ID]],FMS_Input[FMS_ID],FMS_Input[REMCRITFAC100])</f>
        <v>0</v>
      </c>
      <c r="AV349" s="264">
        <f>_xlfn.XLOOKUP(FMS_Ranking4[[#This Row],[FMS ID]],FMS_Input[FMS_ID],FMS_Input[REMLWC100])</f>
        <v>0</v>
      </c>
      <c r="AW349" s="264">
        <f>_xlfn.XLOOKUP(FMS_Ranking4[[#This Row],[FMS ID]],FMS_Input[FMS_ID],FMS_Input[REMROADCLS])</f>
        <v>0</v>
      </c>
      <c r="AX349" s="264">
        <f>_xlfn.XLOOKUP(FMS_Ranking4[[#This Row],[FMS ID]],FMS_Input[FMS_ID],FMS_Input[REMFRMACRE100])</f>
        <v>0</v>
      </c>
      <c r="AY349" s="258">
        <f>_xlfn.XLOOKUP(FMS_Ranking4[[#This Row],[FMS ID]],FMS_Input[FMS_ID],FMS_Input[COSTSTRUCT])</f>
        <v>0</v>
      </c>
      <c r="AZ349" s="253">
        <f>_xlfn.XLOOKUP(FMS_Ranking4[[#This Row],[FMS ID]],FMS_Input[FMS_ID],FMS_Input[NATURE])</f>
        <v>0</v>
      </c>
      <c r="BA349" s="262">
        <f>(((FMS_Ranking4[[#This Row],[% NBS Raw]]/AZ$4)*100)*AZ$5)</f>
        <v>0</v>
      </c>
      <c r="BB349" s="251" t="str">
        <f>_xlfn.XLOOKUP(FMS_Ranking4[[#This Row],[FMS ID]],FMS_Input[FMS_ID],FMS_Input[WATER_SUP])</f>
        <v>No</v>
      </c>
      <c r="BC349" s="265">
        <f>IF(FMS_Ranking4[[#This Row],[Water Supply Raw]]="Yes",10,0)</f>
        <v>0</v>
      </c>
      <c r="BD349" s="266">
        <f>_xlfn.XLOOKUP(FMS_Ranking4[[#This Row],[FMS Type]],FMS_TYPE[FMS_Type],FMS_TYPE[Score])</f>
        <v>8</v>
      </c>
      <c r="BE349" s="267">
        <f>FMS_Ranking4[[#This Row],[FMS_Type Score]]*$BD$5*10</f>
        <v>2</v>
      </c>
      <c r="BF34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0.2943023100913123</v>
      </c>
      <c r="BG349" s="271">
        <f>_xlfn.RANK.EQ(BF349,$BF$8:$BF$870,0)+COUNTIF($BF$8:BF349,BF349)-1</f>
        <v>299</v>
      </c>
      <c r="BH349" s="268">
        <f>(((FMS_Ranking4[[#This Row],[Structures Removed Raw]]/AK$4)*100)*AK$5)+(((FMS_Ranking4[[#This Row],[Removed Pop Raw]]/AR$4)*100)*AR$5)</f>
        <v>0</v>
      </c>
      <c r="BI34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2.2943023100913122</v>
      </c>
      <c r="BJ349" s="205">
        <f>_xlfn.RANK.EQ(FMS_Ranking4[[#This Row],[Total Score 
(with linear
normalization)]],FMS_Ranking4[Total Score 
(with linear
normalization)],0)</f>
        <v>299</v>
      </c>
      <c r="BK349" s="205" t="e">
        <f>_xlfn.XLOOKUP(FMS_Ranking4[[#This Row],[FMS ID]],#REF!,#REF!)</f>
        <v>#REF!</v>
      </c>
      <c r="BL34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23.267175995201356</v>
      </c>
      <c r="BM349" s="272">
        <f>FMS_Ranking4[[#This Row],[ArcSinh Score Based on Normalized Reported Factors]]+FMS_Ranking4[[#This Row],[% NBS Score (Normalized)]]+(FMS_Ranking4[[#This Row],[Water Supply Score (Normalized)]]*10*$BB$5)+FMS_Ranking4[[#This Row],[FMS_Type Score Weighted]]</f>
        <v>25.267175995201356</v>
      </c>
      <c r="BN349" s="205">
        <f>_xlfn.RANK.EQ(FMS_Ranking4[[#This Row],[Total Score (with ArcSinh normalization of select criteria)]],FMS_Ranking4[Total Score (with ArcSinh normalization of select criteria)],0)</f>
        <v>342</v>
      </c>
      <c r="BO349" s="270" t="str">
        <f>_xlfn.XLOOKUP(FMS_Ranking4[[#This Row],[FMS ID]],FMS_Input[FMS_ID],FMS_Input[FMS_RANK_YEAR])</f>
        <v>2023 Amended Plan</v>
      </c>
      <c r="BP349" s="204" t="e">
        <f>_xlfn.XLOOKUP(FMS_Ranking4[[#This Row],[FMS ID]],Prev_Rank[FMS ID],Prev_Rank[Prev Rank])</f>
        <v>#N/A</v>
      </c>
      <c r="BQ349" s="205" t="e">
        <f>_xlfn.XLOOKUP(FMS_Ranking4[[#This Row],[FMS ID]],#REF!,#REF!)</f>
        <v>#REF!</v>
      </c>
      <c r="BR349" s="199" t="e">
        <f>SUM(#REF!,#REF!,#REF!,#REF!,#REF!,#REF!,#REF!,#REF!,#REF!,FMS_Ranking4[[#This Row],[ArcSinh Res struct removed 0-10]],#REF!)</f>
        <v>#REF!</v>
      </c>
      <c r="BS349" s="199" t="e">
        <f>FMS_Ranking4[[#This Row],[Log Score Based on Normalized Reported Factors]]+FMS_Ranking4[[#This Row],[% NBS Score (Normalized)]]+(FMS_Ranking4[[#This Row],[Water Supply Score (Normalized)]]*10*$BB$5)+(FMS_Ranking4[[#This Row],[FMS_Type Score Weighted]])</f>
        <v>#REF!</v>
      </c>
      <c r="BT349" s="200" t="e">
        <f>_xlfn.RANK.EQ(FMS_Ranking4[[#This Row],[Log Total Score]],FMS_Ranking4[Log Total Score],0)</f>
        <v>#REF!</v>
      </c>
      <c r="BU349" s="200" t="e">
        <f>_xlfn.XLOOKUP(FMS_Ranking4[[#This Row],[FMS ID]],#REF!,#REF!)</f>
        <v>#REF!</v>
      </c>
      <c r="BV349" s="200">
        <f>FMS_Ranking4[[#This Row],[Region Number]]</f>
        <v>4</v>
      </c>
      <c r="BW349" s="200">
        <f>FMS_Ranking4[[#This Row],[Rank (with ArcSinh normalization of select criteria)]]-FMS_Ranking4[[#This Row],[Rank
(with linear
normalization)]]</f>
        <v>43</v>
      </c>
      <c r="BX349" s="200" t="e">
        <f>FMS_Ranking4[[#This Row],[Log Rank]]-FMS_Ranking4[[#This Row],[Rank
(with linear
normalization)]]</f>
        <v>#REF!</v>
      </c>
      <c r="BY349" s="200" t="str">
        <f>IF(FMS_Ranking4[[#This Row],[FMS Type]]="Flood Measurement and Warning",FMS_Ranking4[[#This Row],[Rank (with ArcSinh normalization of select criteria)]],"")</f>
        <v/>
      </c>
      <c r="BZ349" s="200">
        <f>IF(FMS_Ranking4[[#This Row],[FMS Type]]="Regulatory and Guidance",FMS_Ranking4[[#This Row],[Rank (with ArcSinh normalization of select criteria)]],"")</f>
        <v>342</v>
      </c>
      <c r="CA349" s="200" t="str">
        <f>IF(FMS_Ranking4[[#This Row],[FMS Type]]="Education and Outreach",FMS_Ranking4[[#This Row],[Rank (with ArcSinh normalization of select criteria)]],"")</f>
        <v/>
      </c>
      <c r="CB349" s="200" t="str">
        <f>IF(FMS_Ranking4[[#This Row],[FMS Type]]="Property Acquisition and Structural Elevation",FMS_Ranking4[[#This Row],[Rank (with ArcSinh normalization of select criteria)]],"")</f>
        <v/>
      </c>
      <c r="CC349" s="200" t="str">
        <f>IF(FMS_Ranking4[[#This Row],[FMS Type]]="Infrastructure Projects",FMS_Ranking4[[#This Row],[Rank (with ArcSinh normalization of select criteria)]],"")</f>
        <v/>
      </c>
      <c r="CD349" s="200" t="str">
        <f>IF(FMS_Ranking4[[#This Row],[FMS Type]]="Other",FMS_Ranking4[[#This Row],[Rank (with ArcSinh normalization of select criteria)]],"")</f>
        <v/>
      </c>
      <c r="CE349" s="201"/>
      <c r="CF349" s="206"/>
      <c r="CG349" s="206"/>
      <c r="CH349" s="206"/>
      <c r="CI349" s="206"/>
      <c r="CJ349" s="206"/>
      <c r="CK349" s="206"/>
      <c r="CL349" s="206"/>
      <c r="CM349" s="206"/>
      <c r="CN349" s="206"/>
      <c r="CO349" s="206"/>
      <c r="CP349" s="206"/>
      <c r="CQ349" s="206"/>
      <c r="CR349" s="206"/>
    </row>
    <row r="350" spans="2:96" ht="120" x14ac:dyDescent="0.25">
      <c r="B350" s="341" t="s">
        <v>12073</v>
      </c>
      <c r="C350" s="246">
        <f>_xlfn.XLOOKUP(FMS_Ranking4[[#This Row],[FMS ID]],FMS_Input[FMS_ID],FMS_Input[RFPG_NUM])</f>
        <v>4</v>
      </c>
      <c r="D350" s="309" t="str">
        <f>_xlfn.XLOOKUP(FMS_Ranking4[[#This Row],[FMS ID]],FMS_Input[FMS_ID],FMS_Input[FMS_NAME])</f>
        <v>Longview Flood Mitigation Floodplain Development Regulations</v>
      </c>
      <c r="E350" s="308" t="str">
        <f>_xlfn.XLOOKUP(FMS_Ranking4[[#This Row],[FMS ID]],FMS_Input[FMS_ID],FMS_Input[SPONSOR])</f>
        <v>00003055</v>
      </c>
      <c r="F350" s="309" t="str">
        <f>_xlfn.XLOOKUP(FMS_Ranking4[[#This Row],[FMS ID]],Sponsor[FMS_ID],Sponsor[SPONSOR NAME])</f>
        <v>Longview</v>
      </c>
      <c r="G350" s="309" t="str">
        <f>_xlfn.XLOOKUP(FMS_Ranking4[[#This Row],[FMS ID]],FMS_Input[FMS_ID],FMS_Input[FMS_DESCR])</f>
        <v xml:space="preserve">Improve the long-range management and use of flood-prone areas by the adoption and enforcement of local ordinances to regulate new development within the floodplain. Review and revise ordinances, when needed. </v>
      </c>
      <c r="H350" s="248" t="str">
        <f>_xlfn.XLOOKUP(FMS_Ranking4[[#This Row],[FMS ID]],FMS_Input[FMS_ID],FMS_Input[FMS_TYPE])</f>
        <v>Regulatory and Guidance</v>
      </c>
      <c r="I350" s="249">
        <f>_xlfn.XLOOKUP(FMS_Ranking4[[#This Row],[FMS ID]],FMS_Input[FMS_ID],FMS_Input[NRNC_COST])</f>
        <v>50000</v>
      </c>
      <c r="J350" s="250">
        <f>_xlfn.XLOOKUP(FMS_Ranking4[[#This Row],[FMS ID]],FMS_Input[FMS_ID],FMS_Input[FMS_COST])</f>
        <v>50000</v>
      </c>
      <c r="K350" s="251" t="str">
        <f>_xlfn.XLOOKUP(FMS_Ranking4[[#This Row],[FMS ID]],FMS_Input[FMS_ID],FMS_Input[EMER_NEED])</f>
        <v>No</v>
      </c>
      <c r="L350" s="252">
        <f t="shared" si="5"/>
        <v>0</v>
      </c>
      <c r="M350" s="253">
        <f>_xlfn.XLOOKUP(FMS_Ranking4[[#This Row],[FMS ID]],FMS_Input[FMS_ID],FMS_Input[STRUCT_100])</f>
        <v>1379</v>
      </c>
      <c r="N350" s="255">
        <f>(ASINH(FMS_Ranking4[[#This Row],[Structure at Risk Raw]]))*(10)/(ASINH(M$4))</f>
        <v>6.2280768687986656</v>
      </c>
      <c r="O350" s="256">
        <f>FMS_Ranking4[[#This Row],[Structures at risk, ArcSinh (0-10)]]*M$5*10</f>
        <v>6.2280768687986665</v>
      </c>
      <c r="P350" s="253">
        <f>_xlfn.XLOOKUP(FMS_Ranking4[[#This Row],[FMS ID]],FMS_Input[FMS_ID],FMS_Input[RES_STRUCT100])</f>
        <v>1024</v>
      </c>
      <c r="Q350" s="257">
        <f>ASINH(FMS_Ranking4[[#This Row],[Res Structure Raw]])/Q$4*P$5*100</f>
        <v>0</v>
      </c>
      <c r="R350" s="253">
        <f>_xlfn.XLOOKUP(FMS_Ranking4[[#This Row],[FMS ID]],FMS_Input[FMS_ID],FMS_Input[POP100])</f>
        <v>10126</v>
      </c>
      <c r="S350" s="259">
        <f>(ASINH(FMS_Ranking4[[#This Row],[Pop at Risk Raw]]))*(10)/(ASINH(R$4))</f>
        <v>6.8455981886854298</v>
      </c>
      <c r="T350" s="256">
        <f>FMS_Ranking4[[#This Row],[Population at risk, ArcSinh (0-10)]]*R$5*10</f>
        <v>6.8455981886854298</v>
      </c>
      <c r="U350" s="253">
        <f>_xlfn.XLOOKUP(FMS_Ranking4[[#This Row],[FMS ID]],FMS_Input[FMS_ID],FMS_Input[CRITFAC100])</f>
        <v>9</v>
      </c>
      <c r="V350" s="259">
        <f>(ASINH(FMS_Ranking4[[#This Row],[Critical Facilities Raw]]))*(10)/(ASINH(U$4))</f>
        <v>3.4251552279272253</v>
      </c>
      <c r="W350" s="256">
        <f>FMS_Ranking4[[#This Row],[Critical facilities at risk, ArcSinh (0-10)]]*U$5*10</f>
        <v>3.4251552279272257</v>
      </c>
      <c r="X350" s="253">
        <f>_xlfn.XLOOKUP(FMS_Ranking4[[#This Row],[FMS ID]],FMS_Input[FMS_ID],FMS_Input[LWC])</f>
        <v>0</v>
      </c>
      <c r="Y350" s="259">
        <f>(ASINH(FMS_Ranking4[[#This Row],[LWC Raw]]))*(10)/(ASINH(X$4))</f>
        <v>0</v>
      </c>
      <c r="Z350" s="256">
        <f>FMS_Ranking4[[#This Row],[LWC, ArcSInh (0-10)]]*X$5*10</f>
        <v>0</v>
      </c>
      <c r="AA350" s="253">
        <f>_xlfn.XLOOKUP(FMS_Ranking4[[#This Row],[FMS ID]],FMS_Input[FMS_ID],FMS_Input[ROADCLS])</f>
        <v>0</v>
      </c>
      <c r="AB350" s="255">
        <f>(ASINH(FMS_Ranking4[[#This Row],[Road Closures Raw]]))*(10)/(ASINH(AA$4))</f>
        <v>0</v>
      </c>
      <c r="AC350" s="256">
        <f>FMS_Ranking4[[#This Row],[Road closures, ArcSinh (0-10)]]*AA$5*10</f>
        <v>0</v>
      </c>
      <c r="AD350" s="253">
        <f>_xlfn.XLOOKUP(FMS_Ranking4[[#This Row],[FMS ID]],FMS_Input[FMS_ID],FMS_Input[ROAD_MILES100])</f>
        <v>41</v>
      </c>
      <c r="AE350" s="259">
        <f>(ASINH(FMS_Ranking4[[#This Row],[Road Miles Raw]]))*(10)/(ASINH(AD$4))</f>
        <v>4.6965087826098246</v>
      </c>
      <c r="AF350" s="256">
        <f>FMS_Ranking4[[#This Row],[Length of roads at risk, ArcSinh (0-10)]]*AD$5*10</f>
        <v>4.6965087826098255</v>
      </c>
      <c r="AG350" s="253">
        <f>_xlfn.XLOOKUP(FMS_Ranking4[[#This Row],[FMS ID]],FMS_Input[FMS_ID],FMS_Input[FARMACRE100])</f>
        <v>294.66531372070313</v>
      </c>
      <c r="AH350" s="255">
        <f>(ASINH(FMS_Ranking4[[#This Row],[Ag Land Raw]]))*(10)/(ASINH(AG$4))</f>
        <v>4.1436738543604141</v>
      </c>
      <c r="AI350" s="260">
        <f>FMS_Ranking4[[#This Row],[Farm &amp; ranch land, ArcSinh (0-10)]]*AG$5*10</f>
        <v>2.0718369271802075</v>
      </c>
      <c r="AJ350" s="258">
        <f>_xlfn.XLOOKUP(FMS_Ranking4[[#This Row],[FMS ID]],FMS_Input[FMS_ID],FMS_Input[REDSTRUCT100])</f>
        <v>0</v>
      </c>
      <c r="AK350" s="253">
        <f>_xlfn.XLOOKUP(FMS_Ranking4[[#This Row],[FMS ID]],FMS_Input[FMS_ID],FMS_Input[REMSTRC100])</f>
        <v>0</v>
      </c>
      <c r="AL350" s="259">
        <f>(ASINH(FMS_Ranking4[[#This Row],[Structures Removed Raw]]))*(10)/(ASINH(AK$4))</f>
        <v>0</v>
      </c>
      <c r="AM350" s="262">
        <f>FMS_Ranking4[[#This Row],[Structures removed, ArcSinh (0-10)]]*AK$5*10</f>
        <v>0</v>
      </c>
      <c r="AN350" s="253">
        <f>_xlfn.XLOOKUP(FMS_Ranking4[[#This Row],[FMS ID]],FMS_Input[FMS_ID],FMS_Input[REMRESSTRC100])</f>
        <v>0</v>
      </c>
      <c r="AO350" s="261">
        <f>FMS_Ranking4[[#This Row],[ArcSinh Res struct removed 0-10]]*AN$5*10</f>
        <v>0</v>
      </c>
      <c r="AP350" s="260">
        <f>ASINH(FMS_Ranking4[[#This Row],[Residential Structures Removed Raw]])/AP$4*AN$5*100</f>
        <v>0</v>
      </c>
      <c r="AQ350" s="254">
        <f>(ASINH(FMS_Ranking4[[#This Row],[Residential Structures Removed Raw]]))*(10)/(ASINH(AN$4))</f>
        <v>0</v>
      </c>
      <c r="AR350" s="253">
        <f>_xlfn.XLOOKUP(FMS_Ranking4[[#This Row],[FMS ID]],FMS_Input[FMS_ID],FMS_Input[REMPOP100])</f>
        <v>0</v>
      </c>
      <c r="AS350" s="259">
        <f>(ASINH(FMS_Ranking4[[#This Row],[Removed Pop Raw]]))*(10)/(ASINH(AR$4))</f>
        <v>0</v>
      </c>
      <c r="AT350" s="262">
        <f>FMS_Ranking4[[#This Row],[Removed population, ArcSinh (0-10)]]*AR$5*10</f>
        <v>0</v>
      </c>
      <c r="AU350" s="264">
        <f>_xlfn.XLOOKUP(FMS_Ranking4[[#This Row],[FMS ID]],FMS_Input[FMS_ID],FMS_Input[REMCRITFAC100])</f>
        <v>0</v>
      </c>
      <c r="AV350" s="264">
        <f>_xlfn.XLOOKUP(FMS_Ranking4[[#This Row],[FMS ID]],FMS_Input[FMS_ID],FMS_Input[REMLWC100])</f>
        <v>0</v>
      </c>
      <c r="AW350" s="264">
        <f>_xlfn.XLOOKUP(FMS_Ranking4[[#This Row],[FMS ID]],FMS_Input[FMS_ID],FMS_Input[REMROADCLS])</f>
        <v>0</v>
      </c>
      <c r="AX350" s="264">
        <f>_xlfn.XLOOKUP(FMS_Ranking4[[#This Row],[FMS ID]],FMS_Input[FMS_ID],FMS_Input[REMFRMACRE100])</f>
        <v>0</v>
      </c>
      <c r="AY350" s="258">
        <f>_xlfn.XLOOKUP(FMS_Ranking4[[#This Row],[FMS ID]],FMS_Input[FMS_ID],FMS_Input[COSTSTRUCT])</f>
        <v>0</v>
      </c>
      <c r="AZ350" s="253">
        <f>_xlfn.XLOOKUP(FMS_Ranking4[[#This Row],[FMS ID]],FMS_Input[FMS_ID],FMS_Input[NATURE])</f>
        <v>0</v>
      </c>
      <c r="BA350" s="262">
        <f>(((FMS_Ranking4[[#This Row],[% NBS Raw]]/AZ$4)*100)*AZ$5)</f>
        <v>0</v>
      </c>
      <c r="BB350" s="251" t="str">
        <f>_xlfn.XLOOKUP(FMS_Ranking4[[#This Row],[FMS ID]],FMS_Input[FMS_ID],FMS_Input[WATER_SUP])</f>
        <v>No</v>
      </c>
      <c r="BC350" s="265">
        <f>IF(FMS_Ranking4[[#This Row],[Water Supply Raw]]="Yes",10,0)</f>
        <v>0</v>
      </c>
      <c r="BD350" s="266">
        <f>_xlfn.XLOOKUP(FMS_Ranking4[[#This Row],[FMS Type]],FMS_TYPE[FMS_Type],FMS_TYPE[Score])</f>
        <v>8</v>
      </c>
      <c r="BE350" s="267">
        <f>FMS_Ranking4[[#This Row],[FMS_Type Score]]*$BD$5*10</f>
        <v>2</v>
      </c>
      <c r="BF35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0.2943023100913123</v>
      </c>
      <c r="BG350" s="271">
        <f>_xlfn.RANK.EQ(BF350,$BF$8:$BF$870,0)+COUNTIF($BF$8:BF350,BF350)-1</f>
        <v>300</v>
      </c>
      <c r="BH350" s="268">
        <f>(((FMS_Ranking4[[#This Row],[Structures Removed Raw]]/AK$4)*100)*AK$5)+(((FMS_Ranking4[[#This Row],[Removed Pop Raw]]/AR$4)*100)*AR$5)</f>
        <v>0</v>
      </c>
      <c r="BI35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2.2943023100913122</v>
      </c>
      <c r="BJ350" s="205">
        <f>_xlfn.RANK.EQ(FMS_Ranking4[[#This Row],[Total Score 
(with linear
normalization)]],FMS_Ranking4[Total Score 
(with linear
normalization)],0)</f>
        <v>299</v>
      </c>
      <c r="BK350" s="205" t="e">
        <f>_xlfn.XLOOKUP(FMS_Ranking4[[#This Row],[FMS ID]],#REF!,#REF!)</f>
        <v>#REF!</v>
      </c>
      <c r="BL35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23.267175995201356</v>
      </c>
      <c r="BM350" s="272">
        <f>FMS_Ranking4[[#This Row],[ArcSinh Score Based on Normalized Reported Factors]]+FMS_Ranking4[[#This Row],[% NBS Score (Normalized)]]+(FMS_Ranking4[[#This Row],[Water Supply Score (Normalized)]]*10*$BB$5)+FMS_Ranking4[[#This Row],[FMS_Type Score Weighted]]</f>
        <v>25.267175995201356</v>
      </c>
      <c r="BN350" s="205">
        <f>_xlfn.RANK.EQ(FMS_Ranking4[[#This Row],[Total Score (with ArcSinh normalization of select criteria)]],FMS_Ranking4[Total Score (with ArcSinh normalization of select criteria)],0)</f>
        <v>342</v>
      </c>
      <c r="BO350" s="270" t="str">
        <f>_xlfn.XLOOKUP(FMS_Ranking4[[#This Row],[FMS ID]],FMS_Input[FMS_ID],FMS_Input[FMS_RANK_YEAR])</f>
        <v>2023 Amended Plan</v>
      </c>
      <c r="BP350" s="204" t="e">
        <f>_xlfn.XLOOKUP(FMS_Ranking4[[#This Row],[FMS ID]],Prev_Rank[FMS ID],Prev_Rank[Prev Rank])</f>
        <v>#N/A</v>
      </c>
      <c r="BQ350" s="205" t="e">
        <f>_xlfn.XLOOKUP(FMS_Ranking4[[#This Row],[FMS ID]],#REF!,#REF!)</f>
        <v>#REF!</v>
      </c>
      <c r="BR350" s="199" t="e">
        <f>SUM(#REF!,#REF!,#REF!,#REF!,#REF!,#REF!,#REF!,#REF!,#REF!,FMS_Ranking4[[#This Row],[ArcSinh Res struct removed 0-10]],#REF!)</f>
        <v>#REF!</v>
      </c>
      <c r="BS350" s="199" t="e">
        <f>FMS_Ranking4[[#This Row],[Log Score Based on Normalized Reported Factors]]+FMS_Ranking4[[#This Row],[% NBS Score (Normalized)]]+(FMS_Ranking4[[#This Row],[Water Supply Score (Normalized)]]*10*$BB$5)+(FMS_Ranking4[[#This Row],[FMS_Type Score Weighted]])</f>
        <v>#REF!</v>
      </c>
      <c r="BT350" s="200" t="e">
        <f>_xlfn.RANK.EQ(FMS_Ranking4[[#This Row],[Log Total Score]],FMS_Ranking4[Log Total Score],0)</f>
        <v>#REF!</v>
      </c>
      <c r="BU350" s="200" t="e">
        <f>_xlfn.XLOOKUP(FMS_Ranking4[[#This Row],[FMS ID]],#REF!,#REF!)</f>
        <v>#REF!</v>
      </c>
      <c r="BV350" s="200">
        <f>FMS_Ranking4[[#This Row],[Region Number]]</f>
        <v>4</v>
      </c>
      <c r="BW350" s="200">
        <f>FMS_Ranking4[[#This Row],[Rank (with ArcSinh normalization of select criteria)]]-FMS_Ranking4[[#This Row],[Rank
(with linear
normalization)]]</f>
        <v>43</v>
      </c>
      <c r="BX350" s="200" t="e">
        <f>FMS_Ranking4[[#This Row],[Log Rank]]-FMS_Ranking4[[#This Row],[Rank
(with linear
normalization)]]</f>
        <v>#REF!</v>
      </c>
      <c r="BY350" s="200" t="str">
        <f>IF(FMS_Ranking4[[#This Row],[FMS Type]]="Flood Measurement and Warning",FMS_Ranking4[[#This Row],[Rank (with ArcSinh normalization of select criteria)]],"")</f>
        <v/>
      </c>
      <c r="BZ350" s="200">
        <f>IF(FMS_Ranking4[[#This Row],[FMS Type]]="Regulatory and Guidance",FMS_Ranking4[[#This Row],[Rank (with ArcSinh normalization of select criteria)]],"")</f>
        <v>342</v>
      </c>
      <c r="CA350" s="200" t="str">
        <f>IF(FMS_Ranking4[[#This Row],[FMS Type]]="Education and Outreach",FMS_Ranking4[[#This Row],[Rank (with ArcSinh normalization of select criteria)]],"")</f>
        <v/>
      </c>
      <c r="CB350" s="200" t="str">
        <f>IF(FMS_Ranking4[[#This Row],[FMS Type]]="Property Acquisition and Structural Elevation",FMS_Ranking4[[#This Row],[Rank (with ArcSinh normalization of select criteria)]],"")</f>
        <v/>
      </c>
      <c r="CC350" s="200" t="str">
        <f>IF(FMS_Ranking4[[#This Row],[FMS Type]]="Infrastructure Projects",FMS_Ranking4[[#This Row],[Rank (with ArcSinh normalization of select criteria)]],"")</f>
        <v/>
      </c>
      <c r="CD350" s="200" t="str">
        <f>IF(FMS_Ranking4[[#This Row],[FMS Type]]="Other",FMS_Ranking4[[#This Row],[Rank (with ArcSinh normalization of select criteria)]],"")</f>
        <v/>
      </c>
      <c r="CE350" s="201"/>
      <c r="CF350" s="206"/>
      <c r="CG350" s="206"/>
      <c r="CH350" s="206"/>
      <c r="CI350" s="206"/>
      <c r="CJ350" s="206"/>
      <c r="CK350" s="206"/>
      <c r="CL350" s="206"/>
      <c r="CM350" s="206"/>
      <c r="CN350" s="206"/>
      <c r="CO350" s="206"/>
      <c r="CP350" s="206"/>
      <c r="CQ350" s="206"/>
      <c r="CR350" s="206"/>
    </row>
    <row r="351" spans="2:96" ht="45" x14ac:dyDescent="0.25">
      <c r="B351" s="341" t="s">
        <v>4833</v>
      </c>
      <c r="C351" s="246">
        <f>_xlfn.XLOOKUP(FMS_Ranking4[[#This Row],[FMS ID]],FMS_Input[FMS_ID],FMS_Input[RFPG_NUM])</f>
        <v>4</v>
      </c>
      <c r="D351" s="309" t="str">
        <f>_xlfn.XLOOKUP(FMS_Ranking4[[#This Row],[FMS ID]],FMS_Input[FMS_ID],FMS_Input[FMS_NAME])</f>
        <v>City of Longview Dam Development</v>
      </c>
      <c r="E351" s="308" t="str">
        <f>_xlfn.XLOOKUP(FMS_Ranking4[[#This Row],[FMS ID]],FMS_Input[FMS_ID],FMS_Input[SPONSOR])</f>
        <v>00003055</v>
      </c>
      <c r="F351" s="309" t="str">
        <f>_xlfn.XLOOKUP(FMS_Ranking4[[#This Row],[FMS ID]],Sponsor[FMS_ID],Sponsor[SPONSOR NAME])</f>
        <v>Longview</v>
      </c>
      <c r="G351" s="309" t="str">
        <f>_xlfn.XLOOKUP(FMS_Ranking4[[#This Row],[FMS ID]],FMS_Input[FMS_ID],FMS_Input[FMS_DESCR])</f>
        <v>Promote FEMA-recommended construction methods for any new dam</v>
      </c>
      <c r="H351" s="248" t="str">
        <f>_xlfn.XLOOKUP(FMS_Ranking4[[#This Row],[FMS ID]],FMS_Input[FMS_ID],FMS_Input[FMS_TYPE])</f>
        <v>Regulatory and Guidance</v>
      </c>
      <c r="I351" s="249">
        <f>_xlfn.XLOOKUP(FMS_Ranking4[[#This Row],[FMS ID]],FMS_Input[FMS_ID],FMS_Input[NRNC_COST])</f>
        <v>10000</v>
      </c>
      <c r="J351" s="250">
        <f>_xlfn.XLOOKUP(FMS_Ranking4[[#This Row],[FMS ID]],FMS_Input[FMS_ID],FMS_Input[FMS_COST])</f>
        <v>10000</v>
      </c>
      <c r="K351" s="251" t="str">
        <f>_xlfn.XLOOKUP(FMS_Ranking4[[#This Row],[FMS ID]],FMS_Input[FMS_ID],FMS_Input[EMER_NEED])</f>
        <v>No</v>
      </c>
      <c r="L351" s="252">
        <f t="shared" si="5"/>
        <v>0</v>
      </c>
      <c r="M351" s="253">
        <f>_xlfn.XLOOKUP(FMS_Ranking4[[#This Row],[FMS ID]],FMS_Input[FMS_ID],FMS_Input[STRUCT_100])</f>
        <v>1379</v>
      </c>
      <c r="N351" s="255">
        <f>(ASINH(FMS_Ranking4[[#This Row],[Structure at Risk Raw]]))*(10)/(ASINH(M$4))</f>
        <v>6.2280768687986656</v>
      </c>
      <c r="O351" s="256">
        <f>FMS_Ranking4[[#This Row],[Structures at risk, ArcSinh (0-10)]]*M$5*10</f>
        <v>6.2280768687986665</v>
      </c>
      <c r="P351" s="253">
        <f>_xlfn.XLOOKUP(FMS_Ranking4[[#This Row],[FMS ID]],FMS_Input[FMS_ID],FMS_Input[RES_STRUCT100])</f>
        <v>1024</v>
      </c>
      <c r="Q351" s="257">
        <f>ASINH(FMS_Ranking4[[#This Row],[Res Structure Raw]])/Q$4*P$5*100</f>
        <v>0</v>
      </c>
      <c r="R351" s="253">
        <f>_xlfn.XLOOKUP(FMS_Ranking4[[#This Row],[FMS ID]],FMS_Input[FMS_ID],FMS_Input[POP100])</f>
        <v>10126</v>
      </c>
      <c r="S351" s="259">
        <f>(ASINH(FMS_Ranking4[[#This Row],[Pop at Risk Raw]]))*(10)/(ASINH(R$4))</f>
        <v>6.8455981886854298</v>
      </c>
      <c r="T351" s="256">
        <f>FMS_Ranking4[[#This Row],[Population at risk, ArcSinh (0-10)]]*R$5*10</f>
        <v>6.8455981886854298</v>
      </c>
      <c r="U351" s="253">
        <f>_xlfn.XLOOKUP(FMS_Ranking4[[#This Row],[FMS ID]],FMS_Input[FMS_ID],FMS_Input[CRITFAC100])</f>
        <v>9</v>
      </c>
      <c r="V351" s="259">
        <f>(ASINH(FMS_Ranking4[[#This Row],[Critical Facilities Raw]]))*(10)/(ASINH(U$4))</f>
        <v>3.4251552279272253</v>
      </c>
      <c r="W351" s="256">
        <f>FMS_Ranking4[[#This Row],[Critical facilities at risk, ArcSinh (0-10)]]*U$5*10</f>
        <v>3.4251552279272257</v>
      </c>
      <c r="X351" s="253">
        <f>_xlfn.XLOOKUP(FMS_Ranking4[[#This Row],[FMS ID]],FMS_Input[FMS_ID],FMS_Input[LWC])</f>
        <v>0</v>
      </c>
      <c r="Y351" s="259">
        <f>(ASINH(FMS_Ranking4[[#This Row],[LWC Raw]]))*(10)/(ASINH(X$4))</f>
        <v>0</v>
      </c>
      <c r="Z351" s="256">
        <f>FMS_Ranking4[[#This Row],[LWC, ArcSInh (0-10)]]*X$5*10</f>
        <v>0</v>
      </c>
      <c r="AA351" s="253">
        <f>_xlfn.XLOOKUP(FMS_Ranking4[[#This Row],[FMS ID]],FMS_Input[FMS_ID],FMS_Input[ROADCLS])</f>
        <v>0</v>
      </c>
      <c r="AB351" s="255">
        <f>(ASINH(FMS_Ranking4[[#This Row],[Road Closures Raw]]))*(10)/(ASINH(AA$4))</f>
        <v>0</v>
      </c>
      <c r="AC351" s="256">
        <f>FMS_Ranking4[[#This Row],[Road closures, ArcSinh (0-10)]]*AA$5*10</f>
        <v>0</v>
      </c>
      <c r="AD351" s="253">
        <f>_xlfn.XLOOKUP(FMS_Ranking4[[#This Row],[FMS ID]],FMS_Input[FMS_ID],FMS_Input[ROAD_MILES100])</f>
        <v>41</v>
      </c>
      <c r="AE351" s="259">
        <f>(ASINH(FMS_Ranking4[[#This Row],[Road Miles Raw]]))*(10)/(ASINH(AD$4))</f>
        <v>4.6965087826098246</v>
      </c>
      <c r="AF351" s="256">
        <f>FMS_Ranking4[[#This Row],[Length of roads at risk, ArcSinh (0-10)]]*AD$5*10</f>
        <v>4.6965087826098255</v>
      </c>
      <c r="AG351" s="253">
        <f>_xlfn.XLOOKUP(FMS_Ranking4[[#This Row],[FMS ID]],FMS_Input[FMS_ID],FMS_Input[FARMACRE100])</f>
        <v>294.66531372070313</v>
      </c>
      <c r="AH351" s="255">
        <f>(ASINH(FMS_Ranking4[[#This Row],[Ag Land Raw]]))*(10)/(ASINH(AG$4))</f>
        <v>4.1436738543604141</v>
      </c>
      <c r="AI351" s="260">
        <f>FMS_Ranking4[[#This Row],[Farm &amp; ranch land, ArcSinh (0-10)]]*AG$5*10</f>
        <v>2.0718369271802075</v>
      </c>
      <c r="AJ351" s="258">
        <f>_xlfn.XLOOKUP(FMS_Ranking4[[#This Row],[FMS ID]],FMS_Input[FMS_ID],FMS_Input[REDSTRUCT100])</f>
        <v>0</v>
      </c>
      <c r="AK351" s="253">
        <f>_xlfn.XLOOKUP(FMS_Ranking4[[#This Row],[FMS ID]],FMS_Input[FMS_ID],FMS_Input[REMSTRC100])</f>
        <v>0</v>
      </c>
      <c r="AL351" s="259">
        <f>(ASINH(FMS_Ranking4[[#This Row],[Structures Removed Raw]]))*(10)/(ASINH(AK$4))</f>
        <v>0</v>
      </c>
      <c r="AM351" s="262">
        <f>FMS_Ranking4[[#This Row],[Structures removed, ArcSinh (0-10)]]*AK$5*10</f>
        <v>0</v>
      </c>
      <c r="AN351" s="253">
        <f>_xlfn.XLOOKUP(FMS_Ranking4[[#This Row],[FMS ID]],FMS_Input[FMS_ID],FMS_Input[REMRESSTRC100])</f>
        <v>0</v>
      </c>
      <c r="AO351" s="261">
        <f>FMS_Ranking4[[#This Row],[ArcSinh Res struct removed 0-10]]*AN$5*10</f>
        <v>0</v>
      </c>
      <c r="AP351" s="260">
        <f>ASINH(FMS_Ranking4[[#This Row],[Residential Structures Removed Raw]])/AP$4*AN$5*100</f>
        <v>0</v>
      </c>
      <c r="AQ351" s="254">
        <f>(ASINH(FMS_Ranking4[[#This Row],[Residential Structures Removed Raw]]))*(10)/(ASINH(AN$4))</f>
        <v>0</v>
      </c>
      <c r="AR351" s="253">
        <f>_xlfn.XLOOKUP(FMS_Ranking4[[#This Row],[FMS ID]],FMS_Input[FMS_ID],FMS_Input[REMPOP100])</f>
        <v>0</v>
      </c>
      <c r="AS351" s="259">
        <f>(ASINH(FMS_Ranking4[[#This Row],[Removed Pop Raw]]))*(10)/(ASINH(AR$4))</f>
        <v>0</v>
      </c>
      <c r="AT351" s="262">
        <f>FMS_Ranking4[[#This Row],[Removed population, ArcSinh (0-10)]]*AR$5*10</f>
        <v>0</v>
      </c>
      <c r="AU351" s="264">
        <f>_xlfn.XLOOKUP(FMS_Ranking4[[#This Row],[FMS ID]],FMS_Input[FMS_ID],FMS_Input[REMCRITFAC100])</f>
        <v>0</v>
      </c>
      <c r="AV351" s="264">
        <f>_xlfn.XLOOKUP(FMS_Ranking4[[#This Row],[FMS ID]],FMS_Input[FMS_ID],FMS_Input[REMLWC100])</f>
        <v>0</v>
      </c>
      <c r="AW351" s="264">
        <f>_xlfn.XLOOKUP(FMS_Ranking4[[#This Row],[FMS ID]],FMS_Input[FMS_ID],FMS_Input[REMROADCLS])</f>
        <v>0</v>
      </c>
      <c r="AX351" s="264">
        <f>_xlfn.XLOOKUP(FMS_Ranking4[[#This Row],[FMS ID]],FMS_Input[FMS_ID],FMS_Input[REMFRMACRE100])</f>
        <v>0</v>
      </c>
      <c r="AY351" s="258">
        <f>_xlfn.XLOOKUP(FMS_Ranking4[[#This Row],[FMS ID]],FMS_Input[FMS_ID],FMS_Input[COSTSTRUCT])</f>
        <v>0</v>
      </c>
      <c r="AZ351" s="253">
        <f>_xlfn.XLOOKUP(FMS_Ranking4[[#This Row],[FMS ID]],FMS_Input[FMS_ID],FMS_Input[NATURE])</f>
        <v>0</v>
      </c>
      <c r="BA351" s="262">
        <f>(((FMS_Ranking4[[#This Row],[% NBS Raw]]/AZ$4)*100)*AZ$5)</f>
        <v>0</v>
      </c>
      <c r="BB351" s="251" t="str">
        <f>_xlfn.XLOOKUP(FMS_Ranking4[[#This Row],[FMS ID]],FMS_Input[FMS_ID],FMS_Input[WATER_SUP])</f>
        <v>No</v>
      </c>
      <c r="BC351" s="265">
        <f>IF(FMS_Ranking4[[#This Row],[Water Supply Raw]]="Yes",10,0)</f>
        <v>0</v>
      </c>
      <c r="BD351" s="266">
        <f>_xlfn.XLOOKUP(FMS_Ranking4[[#This Row],[FMS Type]],FMS_TYPE[FMS_Type],FMS_TYPE[Score])</f>
        <v>8</v>
      </c>
      <c r="BE351" s="267">
        <f>FMS_Ranking4[[#This Row],[FMS_Type Score]]*$BD$5*10</f>
        <v>2</v>
      </c>
      <c r="BF35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0.2943023100913123</v>
      </c>
      <c r="BG351" s="271">
        <f>_xlfn.RANK.EQ(BF351,$BF$8:$BF$870,0)+COUNTIF($BF$8:BF351,BF351)-1</f>
        <v>301</v>
      </c>
      <c r="BH351" s="268">
        <f>(((FMS_Ranking4[[#This Row],[Structures Removed Raw]]/AK$4)*100)*AK$5)+(((FMS_Ranking4[[#This Row],[Removed Pop Raw]]/AR$4)*100)*AR$5)</f>
        <v>0</v>
      </c>
      <c r="BI35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2.2943023100913122</v>
      </c>
      <c r="BJ351" s="205">
        <f>_xlfn.RANK.EQ(FMS_Ranking4[[#This Row],[Total Score 
(with linear
normalization)]],FMS_Ranking4[Total Score 
(with linear
normalization)],0)</f>
        <v>299</v>
      </c>
      <c r="BK351" s="205" t="e">
        <f>_xlfn.XLOOKUP(FMS_Ranking4[[#This Row],[FMS ID]],#REF!,#REF!)</f>
        <v>#REF!</v>
      </c>
      <c r="BL35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23.267175995201356</v>
      </c>
      <c r="BM351" s="272">
        <f>FMS_Ranking4[[#This Row],[ArcSinh Score Based on Normalized Reported Factors]]+FMS_Ranking4[[#This Row],[% NBS Score (Normalized)]]+(FMS_Ranking4[[#This Row],[Water Supply Score (Normalized)]]*10*$BB$5)+FMS_Ranking4[[#This Row],[FMS_Type Score Weighted]]</f>
        <v>25.267175995201356</v>
      </c>
      <c r="BN351" s="205">
        <f>_xlfn.RANK.EQ(FMS_Ranking4[[#This Row],[Total Score (with ArcSinh normalization of select criteria)]],FMS_Ranking4[Total Score (with ArcSinh normalization of select criteria)],0)</f>
        <v>342</v>
      </c>
      <c r="BO351" s="270" t="str">
        <f>_xlfn.XLOOKUP(FMS_Ranking4[[#This Row],[FMS ID]],FMS_Input[FMS_ID],FMS_Input[FMS_RANK_YEAR])</f>
        <v>2023 Amended Plan</v>
      </c>
      <c r="BP351" s="204">
        <f>_xlfn.XLOOKUP(FMS_Ranking4[[#This Row],[FMS ID]],Prev_Rank[FMS ID],Prev_Rank[Prev Rank])</f>
        <v>305</v>
      </c>
      <c r="BQ351" s="205" t="e">
        <f>_xlfn.XLOOKUP(FMS_Ranking4[[#This Row],[FMS ID]],#REF!,#REF!)</f>
        <v>#REF!</v>
      </c>
      <c r="BR351" s="199" t="e">
        <f>SUM(#REF!,#REF!,#REF!,#REF!,#REF!,#REF!,#REF!,#REF!,#REF!,FMS_Ranking4[[#This Row],[ArcSinh Res struct removed 0-10]],#REF!)</f>
        <v>#REF!</v>
      </c>
      <c r="BS351" s="199" t="e">
        <f>FMS_Ranking4[[#This Row],[Log Score Based on Normalized Reported Factors]]+FMS_Ranking4[[#This Row],[% NBS Score (Normalized)]]+(FMS_Ranking4[[#This Row],[Water Supply Score (Normalized)]]*10*$BB$5)+(FMS_Ranking4[[#This Row],[FMS_Type Score Weighted]])</f>
        <v>#REF!</v>
      </c>
      <c r="BT351" s="200" t="e">
        <f>_xlfn.RANK.EQ(FMS_Ranking4[[#This Row],[Log Total Score]],FMS_Ranking4[Log Total Score],0)</f>
        <v>#REF!</v>
      </c>
      <c r="BU351" s="200" t="e">
        <f>_xlfn.XLOOKUP(FMS_Ranking4[[#This Row],[FMS ID]],#REF!,#REF!)</f>
        <v>#REF!</v>
      </c>
      <c r="BV351" s="200">
        <f>FMS_Ranking4[[#This Row],[Region Number]]</f>
        <v>4</v>
      </c>
      <c r="BW351" s="200">
        <f>FMS_Ranking4[[#This Row],[Rank (with ArcSinh normalization of select criteria)]]-FMS_Ranking4[[#This Row],[Rank
(with linear
normalization)]]</f>
        <v>43</v>
      </c>
      <c r="BX351" s="200" t="e">
        <f>FMS_Ranking4[[#This Row],[Log Rank]]-FMS_Ranking4[[#This Row],[Rank
(with linear
normalization)]]</f>
        <v>#REF!</v>
      </c>
      <c r="BY351" s="200" t="str">
        <f>IF(FMS_Ranking4[[#This Row],[FMS Type]]="Flood Measurement and Warning",FMS_Ranking4[[#This Row],[Rank (with ArcSinh normalization of select criteria)]],"")</f>
        <v/>
      </c>
      <c r="BZ351" s="200">
        <f>IF(FMS_Ranking4[[#This Row],[FMS Type]]="Regulatory and Guidance",FMS_Ranking4[[#This Row],[Rank (with ArcSinh normalization of select criteria)]],"")</f>
        <v>342</v>
      </c>
      <c r="CA351" s="200" t="str">
        <f>IF(FMS_Ranking4[[#This Row],[FMS Type]]="Education and Outreach",FMS_Ranking4[[#This Row],[Rank (with ArcSinh normalization of select criteria)]],"")</f>
        <v/>
      </c>
      <c r="CB351" s="200" t="str">
        <f>IF(FMS_Ranking4[[#This Row],[FMS Type]]="Property Acquisition and Structural Elevation",FMS_Ranking4[[#This Row],[Rank (with ArcSinh normalization of select criteria)]],"")</f>
        <v/>
      </c>
      <c r="CC351" s="200" t="str">
        <f>IF(FMS_Ranking4[[#This Row],[FMS Type]]="Infrastructure Projects",FMS_Ranking4[[#This Row],[Rank (with ArcSinh normalization of select criteria)]],"")</f>
        <v/>
      </c>
      <c r="CD351" s="200" t="str">
        <f>IF(FMS_Ranking4[[#This Row],[FMS Type]]="Other",FMS_Ranking4[[#This Row],[Rank (with ArcSinh normalization of select criteria)]],"")</f>
        <v/>
      </c>
      <c r="CE351" s="201"/>
      <c r="CF351" s="206"/>
      <c r="CG351" s="206"/>
      <c r="CH351" s="206"/>
      <c r="CI351" s="206"/>
      <c r="CJ351" s="206"/>
      <c r="CK351" s="206"/>
      <c r="CL351" s="206"/>
      <c r="CM351" s="206"/>
      <c r="CN351" s="206"/>
      <c r="CO351" s="206"/>
      <c r="CP351" s="206"/>
      <c r="CQ351" s="206"/>
      <c r="CR351" s="206"/>
    </row>
    <row r="352" spans="2:96" ht="45" x14ac:dyDescent="0.25">
      <c r="B352" s="341" t="s">
        <v>4827</v>
      </c>
      <c r="C352" s="246">
        <f>_xlfn.XLOOKUP(FMS_Ranking4[[#This Row],[FMS ID]],FMS_Input[FMS_ID],FMS_Input[RFPG_NUM])</f>
        <v>4</v>
      </c>
      <c r="D352" s="309" t="str">
        <f>_xlfn.XLOOKUP(FMS_Ranking4[[#This Row],[FMS ID]],FMS_Input[FMS_ID],FMS_Input[FMS_NAME])</f>
        <v>City of Longview Flood Mitigation Training Program</v>
      </c>
      <c r="E352" s="308" t="str">
        <f>_xlfn.XLOOKUP(FMS_Ranking4[[#This Row],[FMS ID]],FMS_Input[FMS_ID],FMS_Input[SPONSOR])</f>
        <v>00003055</v>
      </c>
      <c r="F352" s="309" t="str">
        <f>_xlfn.XLOOKUP(FMS_Ranking4[[#This Row],[FMS ID]],Sponsor[FMS_ID],Sponsor[SPONSOR NAME])</f>
        <v>Longview</v>
      </c>
      <c r="G352" s="309" t="str">
        <f>_xlfn.XLOOKUP(FMS_Ranking4[[#This Row],[FMS ID]],FMS_Input[FMS_ID],FMS_Input[FMS_DESCR])</f>
        <v xml:space="preserve">Seek state and FEMA sponsored training in flood mitigation for key personnel. </v>
      </c>
      <c r="H352" s="248" t="str">
        <f>_xlfn.XLOOKUP(FMS_Ranking4[[#This Row],[FMS ID]],FMS_Input[FMS_ID],FMS_Input[FMS_TYPE])</f>
        <v>Regulatory and Guidance</v>
      </c>
      <c r="I352" s="249">
        <f>_xlfn.XLOOKUP(FMS_Ranking4[[#This Row],[FMS ID]],FMS_Input[FMS_ID],FMS_Input[NRNC_COST])</f>
        <v>2000</v>
      </c>
      <c r="J352" s="250">
        <f>_xlfn.XLOOKUP(FMS_Ranking4[[#This Row],[FMS ID]],FMS_Input[FMS_ID],FMS_Input[FMS_COST])</f>
        <v>2000</v>
      </c>
      <c r="K352" s="251" t="str">
        <f>_xlfn.XLOOKUP(FMS_Ranking4[[#This Row],[FMS ID]],FMS_Input[FMS_ID],FMS_Input[EMER_NEED])</f>
        <v>No</v>
      </c>
      <c r="L352" s="252">
        <f t="shared" si="5"/>
        <v>0</v>
      </c>
      <c r="M352" s="253">
        <f>_xlfn.XLOOKUP(FMS_Ranking4[[#This Row],[FMS ID]],FMS_Input[FMS_ID],FMS_Input[STRUCT_100])</f>
        <v>1379</v>
      </c>
      <c r="N352" s="255">
        <f>(ASINH(FMS_Ranking4[[#This Row],[Structure at Risk Raw]]))*(10)/(ASINH(M$4))</f>
        <v>6.2280768687986656</v>
      </c>
      <c r="O352" s="256">
        <f>FMS_Ranking4[[#This Row],[Structures at risk, ArcSinh (0-10)]]*M$5*10</f>
        <v>6.2280768687986665</v>
      </c>
      <c r="P352" s="253">
        <f>_xlfn.XLOOKUP(FMS_Ranking4[[#This Row],[FMS ID]],FMS_Input[FMS_ID],FMS_Input[RES_STRUCT100])</f>
        <v>1024</v>
      </c>
      <c r="Q352" s="257">
        <f>ASINH(FMS_Ranking4[[#This Row],[Res Structure Raw]])/Q$4*P$5*100</f>
        <v>0</v>
      </c>
      <c r="R352" s="253">
        <f>_xlfn.XLOOKUP(FMS_Ranking4[[#This Row],[FMS ID]],FMS_Input[FMS_ID],FMS_Input[POP100])</f>
        <v>10126</v>
      </c>
      <c r="S352" s="255">
        <f>(ASINH(FMS_Ranking4[[#This Row],[Pop at Risk Raw]]))*(10)/(ASINH(R$4))</f>
        <v>6.8455981886854298</v>
      </c>
      <c r="T352" s="256">
        <f>FMS_Ranking4[[#This Row],[Population at risk, ArcSinh (0-10)]]*R$5*10</f>
        <v>6.8455981886854298</v>
      </c>
      <c r="U352" s="253">
        <f>_xlfn.XLOOKUP(FMS_Ranking4[[#This Row],[FMS ID]],FMS_Input[FMS_ID],FMS_Input[CRITFAC100])</f>
        <v>9</v>
      </c>
      <c r="V352" s="255">
        <f>(ASINH(FMS_Ranking4[[#This Row],[Critical Facilities Raw]]))*(10)/(ASINH(U$4))</f>
        <v>3.4251552279272253</v>
      </c>
      <c r="W352" s="256">
        <f>FMS_Ranking4[[#This Row],[Critical facilities at risk, ArcSinh (0-10)]]*U$5*10</f>
        <v>3.4251552279272257</v>
      </c>
      <c r="X352" s="253">
        <f>_xlfn.XLOOKUP(FMS_Ranking4[[#This Row],[FMS ID]],FMS_Input[FMS_ID],FMS_Input[LWC])</f>
        <v>0</v>
      </c>
      <c r="Y352" s="255">
        <f>(ASINH(FMS_Ranking4[[#This Row],[LWC Raw]]))*(10)/(ASINH(X$4))</f>
        <v>0</v>
      </c>
      <c r="Z352" s="256">
        <f>FMS_Ranking4[[#This Row],[LWC, ArcSInh (0-10)]]*X$5*10</f>
        <v>0</v>
      </c>
      <c r="AA352" s="253">
        <f>_xlfn.XLOOKUP(FMS_Ranking4[[#This Row],[FMS ID]],FMS_Input[FMS_ID],FMS_Input[ROADCLS])</f>
        <v>0</v>
      </c>
      <c r="AB352" s="255">
        <f>(ASINH(FMS_Ranking4[[#This Row],[Road Closures Raw]]))*(10)/(ASINH(AA$4))</f>
        <v>0</v>
      </c>
      <c r="AC352" s="256">
        <f>FMS_Ranking4[[#This Row],[Road closures, ArcSinh (0-10)]]*AA$5*10</f>
        <v>0</v>
      </c>
      <c r="AD352" s="253">
        <f>_xlfn.XLOOKUP(FMS_Ranking4[[#This Row],[FMS ID]],FMS_Input[FMS_ID],FMS_Input[ROAD_MILES100])</f>
        <v>41</v>
      </c>
      <c r="AE352" s="255">
        <f>(ASINH(FMS_Ranking4[[#This Row],[Road Miles Raw]]))*(10)/(ASINH(AD$4))</f>
        <v>4.6965087826098246</v>
      </c>
      <c r="AF352" s="256">
        <f>FMS_Ranking4[[#This Row],[Length of roads at risk, ArcSinh (0-10)]]*AD$5*10</f>
        <v>4.6965087826098255</v>
      </c>
      <c r="AG352" s="253">
        <f>_xlfn.XLOOKUP(FMS_Ranking4[[#This Row],[FMS ID]],FMS_Input[FMS_ID],FMS_Input[FARMACRE100])</f>
        <v>294.66531372070313</v>
      </c>
      <c r="AH352" s="255">
        <f>(ASINH(FMS_Ranking4[[#This Row],[Ag Land Raw]]))*(10)/(ASINH(AG$4))</f>
        <v>4.1436738543604141</v>
      </c>
      <c r="AI352" s="260">
        <f>FMS_Ranking4[[#This Row],[Farm &amp; ranch land, ArcSinh (0-10)]]*AG$5*10</f>
        <v>2.0718369271802075</v>
      </c>
      <c r="AJ352" s="258">
        <f>_xlfn.XLOOKUP(FMS_Ranking4[[#This Row],[FMS ID]],FMS_Input[FMS_ID],FMS_Input[REDSTRUCT100])</f>
        <v>0</v>
      </c>
      <c r="AK352" s="253">
        <f>_xlfn.XLOOKUP(FMS_Ranking4[[#This Row],[FMS ID]],FMS_Input[FMS_ID],FMS_Input[REMSTRC100])</f>
        <v>0</v>
      </c>
      <c r="AL352" s="255">
        <f>(ASINH(FMS_Ranking4[[#This Row],[Structures Removed Raw]]))*(10)/(ASINH(AK$4))</f>
        <v>0</v>
      </c>
      <c r="AM352" s="262">
        <f>FMS_Ranking4[[#This Row],[Structures removed, ArcSinh (0-10)]]*AK$5*10</f>
        <v>0</v>
      </c>
      <c r="AN352" s="253">
        <f>_xlfn.XLOOKUP(FMS_Ranking4[[#This Row],[FMS ID]],FMS_Input[FMS_ID],FMS_Input[REMRESSTRC100])</f>
        <v>0</v>
      </c>
      <c r="AO352" s="261">
        <f>FMS_Ranking4[[#This Row],[ArcSinh Res struct removed 0-10]]*AN$5*10</f>
        <v>0</v>
      </c>
      <c r="AP352" s="260">
        <f>ASINH(FMS_Ranking4[[#This Row],[Residential Structures Removed Raw]])/AP$4*AN$5*100</f>
        <v>0</v>
      </c>
      <c r="AQ352" s="258">
        <f>(ASINH(FMS_Ranking4[[#This Row],[Residential Structures Removed Raw]]))*(10)/(ASINH(AN$4))</f>
        <v>0</v>
      </c>
      <c r="AR352" s="253">
        <f>_xlfn.XLOOKUP(FMS_Ranking4[[#This Row],[FMS ID]],FMS_Input[FMS_ID],FMS_Input[REMPOP100])</f>
        <v>0</v>
      </c>
      <c r="AS352" s="255">
        <f>(ASINH(FMS_Ranking4[[#This Row],[Removed Pop Raw]]))*(10)/(ASINH(AR$4))</f>
        <v>0</v>
      </c>
      <c r="AT352" s="262">
        <f>FMS_Ranking4[[#This Row],[Removed population, ArcSinh (0-10)]]*AR$5*10</f>
        <v>0</v>
      </c>
      <c r="AU352" s="264">
        <f>_xlfn.XLOOKUP(FMS_Ranking4[[#This Row],[FMS ID]],FMS_Input[FMS_ID],FMS_Input[REMCRITFAC100])</f>
        <v>0</v>
      </c>
      <c r="AV352" s="264">
        <f>_xlfn.XLOOKUP(FMS_Ranking4[[#This Row],[FMS ID]],FMS_Input[FMS_ID],FMS_Input[REMLWC100])</f>
        <v>0</v>
      </c>
      <c r="AW352" s="264">
        <f>_xlfn.XLOOKUP(FMS_Ranking4[[#This Row],[FMS ID]],FMS_Input[FMS_ID],FMS_Input[REMROADCLS])</f>
        <v>0</v>
      </c>
      <c r="AX352" s="264">
        <f>_xlfn.XLOOKUP(FMS_Ranking4[[#This Row],[FMS ID]],FMS_Input[FMS_ID],FMS_Input[REMFRMACRE100])</f>
        <v>0</v>
      </c>
      <c r="AY352" s="258">
        <f>_xlfn.XLOOKUP(FMS_Ranking4[[#This Row],[FMS ID]],FMS_Input[FMS_ID],FMS_Input[COSTSTRUCT])</f>
        <v>0</v>
      </c>
      <c r="AZ352" s="253">
        <f>_xlfn.XLOOKUP(FMS_Ranking4[[#This Row],[FMS ID]],FMS_Input[FMS_ID],FMS_Input[NATURE])</f>
        <v>0</v>
      </c>
      <c r="BA352" s="262">
        <f>(((FMS_Ranking4[[#This Row],[% NBS Raw]]/AZ$4)*100)*AZ$5)</f>
        <v>0</v>
      </c>
      <c r="BB352" s="251" t="str">
        <f>_xlfn.XLOOKUP(FMS_Ranking4[[#This Row],[FMS ID]],FMS_Input[FMS_ID],FMS_Input[WATER_SUP])</f>
        <v>No</v>
      </c>
      <c r="BC352" s="265">
        <f>IF(FMS_Ranking4[[#This Row],[Water Supply Raw]]="Yes",10,0)</f>
        <v>0</v>
      </c>
      <c r="BD352" s="266">
        <f>_xlfn.XLOOKUP(FMS_Ranking4[[#This Row],[FMS Type]],FMS_TYPE[FMS_Type],FMS_TYPE[Score])</f>
        <v>8</v>
      </c>
      <c r="BE352" s="267">
        <f>FMS_Ranking4[[#This Row],[FMS_Type Score]]*$BD$5*10</f>
        <v>2</v>
      </c>
      <c r="BF35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0.2943023100913123</v>
      </c>
      <c r="BG352" s="321">
        <f>_xlfn.RANK.EQ(BF352,$BF$8:$BF$870,0)+COUNTIF($BF$8:BF352,BF352)-1</f>
        <v>302</v>
      </c>
      <c r="BH352" s="294">
        <f>(((FMS_Ranking4[[#This Row],[Structures Removed Raw]]/AK$4)*100)*AK$5)+(((FMS_Ranking4[[#This Row],[Removed Pop Raw]]/AR$4)*100)*AR$5)</f>
        <v>0</v>
      </c>
      <c r="BI35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2.2943023100913122</v>
      </c>
      <c r="BJ352" s="251">
        <f>_xlfn.RANK.EQ(FMS_Ranking4[[#This Row],[Total Score 
(with linear
normalization)]],FMS_Ranking4[Total Score 
(with linear
normalization)],0)</f>
        <v>299</v>
      </c>
      <c r="BK352" s="251" t="e">
        <f>_xlfn.XLOOKUP(FMS_Ranking4[[#This Row],[FMS ID]],#REF!,#REF!)</f>
        <v>#REF!</v>
      </c>
      <c r="BL35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23.267175995201356</v>
      </c>
      <c r="BM352" s="324">
        <f>FMS_Ranking4[[#This Row],[ArcSinh Score Based on Normalized Reported Factors]]+FMS_Ranking4[[#This Row],[% NBS Score (Normalized)]]+(FMS_Ranking4[[#This Row],[Water Supply Score (Normalized)]]*10*$BB$5)+FMS_Ranking4[[#This Row],[FMS_Type Score Weighted]]</f>
        <v>25.267175995201356</v>
      </c>
      <c r="BN352" s="251">
        <f>_xlfn.RANK.EQ(FMS_Ranking4[[#This Row],[Total Score (with ArcSinh normalization of select criteria)]],FMS_Ranking4[Total Score (with ArcSinh normalization of select criteria)],0)</f>
        <v>342</v>
      </c>
      <c r="BO352" s="270" t="str">
        <f>_xlfn.XLOOKUP(FMS_Ranking4[[#This Row],[FMS ID]],FMS_Input[FMS_ID],FMS_Input[FMS_RANK_YEAR])</f>
        <v>2023 Amended Plan</v>
      </c>
      <c r="BP352" s="204">
        <f>_xlfn.XLOOKUP(FMS_Ranking4[[#This Row],[FMS ID]],Prev_Rank[FMS ID],Prev_Rank[Prev Rank])</f>
        <v>305</v>
      </c>
      <c r="BQ352" s="251" t="e">
        <f>_xlfn.XLOOKUP(FMS_Ranking4[[#This Row],[FMS ID]],#REF!,#REF!)</f>
        <v>#REF!</v>
      </c>
      <c r="BR352" s="199" t="e">
        <f>SUM(#REF!,#REF!,#REF!,#REF!,#REF!,#REF!,#REF!,#REF!,#REF!,FMS_Ranking4[[#This Row],[ArcSinh Res struct removed 0-10]],#REF!)</f>
        <v>#REF!</v>
      </c>
      <c r="BS352" s="199" t="e">
        <f>FMS_Ranking4[[#This Row],[Log Score Based on Normalized Reported Factors]]+FMS_Ranking4[[#This Row],[% NBS Score (Normalized)]]+(FMS_Ranking4[[#This Row],[Water Supply Score (Normalized)]]*10*$BB$5)+(FMS_Ranking4[[#This Row],[FMS_Type Score Weighted]])</f>
        <v>#REF!</v>
      </c>
      <c r="BT352" s="200" t="e">
        <f>_xlfn.RANK.EQ(FMS_Ranking4[[#This Row],[Log Total Score]],FMS_Ranking4[Log Total Score],0)</f>
        <v>#REF!</v>
      </c>
      <c r="BU352" s="200" t="e">
        <f>_xlfn.XLOOKUP(FMS_Ranking4[[#This Row],[FMS ID]],#REF!,#REF!)</f>
        <v>#REF!</v>
      </c>
      <c r="BV352" s="200">
        <f>FMS_Ranking4[[#This Row],[Region Number]]</f>
        <v>4</v>
      </c>
      <c r="BW352" s="200">
        <f>FMS_Ranking4[[#This Row],[Rank (with ArcSinh normalization of select criteria)]]-FMS_Ranking4[[#This Row],[Rank
(with linear
normalization)]]</f>
        <v>43</v>
      </c>
      <c r="BX352" s="200" t="e">
        <f>FMS_Ranking4[[#This Row],[Log Rank]]-FMS_Ranking4[[#This Row],[Rank
(with linear
normalization)]]</f>
        <v>#REF!</v>
      </c>
      <c r="BY352" s="200" t="str">
        <f>IF(FMS_Ranking4[[#This Row],[FMS Type]]="Flood Measurement and Warning",FMS_Ranking4[[#This Row],[Rank (with ArcSinh normalization of select criteria)]],"")</f>
        <v/>
      </c>
      <c r="BZ352" s="200">
        <f>IF(FMS_Ranking4[[#This Row],[FMS Type]]="Regulatory and Guidance",FMS_Ranking4[[#This Row],[Rank (with ArcSinh normalization of select criteria)]],"")</f>
        <v>342</v>
      </c>
      <c r="CA352" s="200" t="str">
        <f>IF(FMS_Ranking4[[#This Row],[FMS Type]]="Education and Outreach",FMS_Ranking4[[#This Row],[Rank (with ArcSinh normalization of select criteria)]],"")</f>
        <v/>
      </c>
      <c r="CB352" s="200" t="str">
        <f>IF(FMS_Ranking4[[#This Row],[FMS Type]]="Property Acquisition and Structural Elevation",FMS_Ranking4[[#This Row],[Rank (with ArcSinh normalization of select criteria)]],"")</f>
        <v/>
      </c>
      <c r="CC352" s="200" t="str">
        <f>IF(FMS_Ranking4[[#This Row],[FMS Type]]="Infrastructure Projects",FMS_Ranking4[[#This Row],[Rank (with ArcSinh normalization of select criteria)]],"")</f>
        <v/>
      </c>
      <c r="CD352" s="200" t="str">
        <f>IF(FMS_Ranking4[[#This Row],[FMS Type]]="Other",FMS_Ranking4[[#This Row],[Rank (with ArcSinh normalization of select criteria)]],"")</f>
        <v/>
      </c>
      <c r="CE352" s="201"/>
      <c r="CF352" s="206"/>
      <c r="CG352" s="206"/>
      <c r="CH352" s="206"/>
      <c r="CI352" s="206"/>
      <c r="CJ352" s="206"/>
      <c r="CK352" s="206"/>
      <c r="CL352" s="206"/>
      <c r="CM352" s="206"/>
      <c r="CN352" s="206"/>
      <c r="CO352" s="206"/>
      <c r="CP352" s="206"/>
      <c r="CQ352" s="206"/>
      <c r="CR352" s="206"/>
    </row>
    <row r="353" spans="2:96" ht="75" x14ac:dyDescent="0.25">
      <c r="B353" s="346" t="s">
        <v>3943</v>
      </c>
      <c r="C353" s="246">
        <f>_xlfn.XLOOKUP(FMS_Ranking4[[#This Row],[FMS ID]],FMS_Input[FMS_ID],FMS_Input[RFPG_NUM])</f>
        <v>15</v>
      </c>
      <c r="D353" s="309" t="str">
        <f>_xlfn.XLOOKUP(FMS_Ranking4[[#This Row],[FMS ID]],FMS_Input[FMS_ID],FMS_Input[FMS_NAME])</f>
        <v>Palmview #5-1.1</v>
      </c>
      <c r="E353" s="308" t="str">
        <f>_xlfn.XLOOKUP(FMS_Ranking4[[#This Row],[FMS ID]],FMS_Input[FMS_ID],FMS_Input[SPONSOR])</f>
        <v>15000064</v>
      </c>
      <c r="F353" s="309" t="str">
        <f>_xlfn.XLOOKUP(FMS_Ranking4[[#This Row],[FMS ID]],Sponsor[FMS_ID],Sponsor[SPONSOR NAME])</f>
        <v>Palmview</v>
      </c>
      <c r="G353" s="309" t="str">
        <f>_xlfn.XLOOKUP(FMS_Ranking4[[#This Row],[FMS ID]],FMS_Input[FMS_ID],FMS_Input[FMS_DESCR])</f>
        <v>Develop a Program To Provide Links To Weather Alerts And Departmental Phone Listings With Contact Personnel For Residents.</v>
      </c>
      <c r="H353" s="248" t="str">
        <f>_xlfn.XLOOKUP(FMS_Ranking4[[#This Row],[FMS ID]],FMS_Input[FMS_ID],FMS_Input[FMS_TYPE])</f>
        <v>Education and Outreach</v>
      </c>
      <c r="I353" s="249">
        <f>_xlfn.XLOOKUP(FMS_Ranking4[[#This Row],[FMS ID]],FMS_Input[FMS_ID],FMS_Input[NRNC_COST])</f>
        <v>1000</v>
      </c>
      <c r="J353" s="250">
        <f>_xlfn.XLOOKUP(FMS_Ranking4[[#This Row],[FMS ID]],FMS_Input[FMS_ID],FMS_Input[FMS_COST])</f>
        <v>1000</v>
      </c>
      <c r="K353" s="251" t="str">
        <f>_xlfn.XLOOKUP(FMS_Ranking4[[#This Row],[FMS ID]],FMS_Input[FMS_ID],FMS_Input[EMER_NEED])</f>
        <v>Yes</v>
      </c>
      <c r="L353" s="252">
        <f t="shared" si="5"/>
        <v>1</v>
      </c>
      <c r="M353" s="253">
        <f>_xlfn.XLOOKUP(FMS_Ranking4[[#This Row],[FMS ID]],FMS_Input[FMS_ID],FMS_Input[STRUCT_100])</f>
        <v>3774</v>
      </c>
      <c r="N353" s="255">
        <f>(ASINH(FMS_Ranking4[[#This Row],[Structure at Risk Raw]]))*(10)/(ASINH(M$4))</f>
        <v>7.0195532844604331</v>
      </c>
      <c r="O353" s="256">
        <f>FMS_Ranking4[[#This Row],[Structures at risk, ArcSinh (0-10)]]*M$5*10</f>
        <v>7.019553284460434</v>
      </c>
      <c r="P353" s="253">
        <f>_xlfn.XLOOKUP(FMS_Ranking4[[#This Row],[FMS ID]],FMS_Input[FMS_ID],FMS_Input[RES_STRUCT100])</f>
        <v>3069</v>
      </c>
      <c r="Q353" s="257">
        <f>ASINH(FMS_Ranking4[[#This Row],[Res Structure Raw]])/Q$4*P$5*100</f>
        <v>0</v>
      </c>
      <c r="R353" s="253">
        <f>_xlfn.XLOOKUP(FMS_Ranking4[[#This Row],[FMS ID]],FMS_Input[FMS_ID],FMS_Input[POP100])</f>
        <v>11496</v>
      </c>
      <c r="S353" s="255">
        <f>(ASINH(FMS_Ranking4[[#This Row],[Pop at Risk Raw]]))*(10)/(ASINH(R$4))</f>
        <v>6.9331996584835975</v>
      </c>
      <c r="T353" s="256">
        <f>FMS_Ranking4[[#This Row],[Population at risk, ArcSinh (0-10)]]*R$5*10</f>
        <v>6.9331996584835975</v>
      </c>
      <c r="U353" s="253">
        <f>_xlfn.XLOOKUP(FMS_Ranking4[[#This Row],[FMS ID]],FMS_Input[FMS_ID],FMS_Input[CRITFAC100])</f>
        <v>4</v>
      </c>
      <c r="V353" s="255">
        <f>(ASINH(FMS_Ranking4[[#This Row],[Critical Facilities Raw]]))*(10)/(ASINH(U$4))</f>
        <v>2.4796455944038147</v>
      </c>
      <c r="W353" s="256">
        <f>FMS_Ranking4[[#This Row],[Critical facilities at risk, ArcSinh (0-10)]]*U$5*10</f>
        <v>2.4796455944038147</v>
      </c>
      <c r="X353" s="253">
        <f>_xlfn.XLOOKUP(FMS_Ranking4[[#This Row],[FMS ID]],FMS_Input[FMS_ID],FMS_Input[LWC])</f>
        <v>0</v>
      </c>
      <c r="Y353" s="255">
        <f>(ASINH(FMS_Ranking4[[#This Row],[LWC Raw]]))*(10)/(ASINH(X$4))</f>
        <v>0</v>
      </c>
      <c r="Z353" s="256">
        <f>FMS_Ranking4[[#This Row],[LWC, ArcSInh (0-10)]]*X$5*10</f>
        <v>0</v>
      </c>
      <c r="AA353" s="253">
        <f>_xlfn.XLOOKUP(FMS_Ranking4[[#This Row],[FMS ID]],FMS_Input[FMS_ID],FMS_Input[ROADCLS])</f>
        <v>0</v>
      </c>
      <c r="AB353" s="255">
        <f>(ASINH(FMS_Ranking4[[#This Row],[Road Closures Raw]]))*(10)/(ASINH(AA$4))</f>
        <v>0</v>
      </c>
      <c r="AC353" s="256">
        <f>FMS_Ranking4[[#This Row],[Road closures, ArcSinh (0-10)]]*AA$5*10</f>
        <v>0</v>
      </c>
      <c r="AD353" s="253">
        <f>_xlfn.XLOOKUP(FMS_Ranking4[[#This Row],[FMS ID]],FMS_Input[FMS_ID],FMS_Input[ROAD_MILES100])</f>
        <v>55</v>
      </c>
      <c r="AE353" s="255">
        <f>(ASINH(FMS_Ranking4[[#This Row],[Road Miles Raw]]))*(10)/(ASINH(AD$4))</f>
        <v>5.0095069193521171</v>
      </c>
      <c r="AF353" s="256">
        <f>FMS_Ranking4[[#This Row],[Length of roads at risk, ArcSinh (0-10)]]*AD$5*10</f>
        <v>5.0095069193521171</v>
      </c>
      <c r="AG353" s="253">
        <f>_xlfn.XLOOKUP(FMS_Ranking4[[#This Row],[FMS ID]],FMS_Input[FMS_ID],FMS_Input[FARMACRE100])</f>
        <v>506.71859741210938</v>
      </c>
      <c r="AH353" s="255">
        <f>(ASINH(FMS_Ranking4[[#This Row],[Ag Land Raw]]))*(10)/(ASINH(AG$4))</f>
        <v>4.4958208854865225</v>
      </c>
      <c r="AI353" s="260">
        <f>FMS_Ranking4[[#This Row],[Farm &amp; ranch land, ArcSinh (0-10)]]*AG$5*10</f>
        <v>2.2479104427432612</v>
      </c>
      <c r="AJ353" s="258">
        <f>_xlfn.XLOOKUP(FMS_Ranking4[[#This Row],[FMS ID]],FMS_Input[FMS_ID],FMS_Input[REDSTRUCT100])</f>
        <v>0</v>
      </c>
      <c r="AK353" s="253">
        <f>_xlfn.XLOOKUP(FMS_Ranking4[[#This Row],[FMS ID]],FMS_Input[FMS_ID],FMS_Input[REMSTRC100])</f>
        <v>0</v>
      </c>
      <c r="AL353" s="255">
        <f>(ASINH(FMS_Ranking4[[#This Row],[Structures Removed Raw]]))*(10)/(ASINH(AK$4))</f>
        <v>0</v>
      </c>
      <c r="AM353" s="262">
        <f>FMS_Ranking4[[#This Row],[Structures removed, ArcSinh (0-10)]]*AK$5*10</f>
        <v>0</v>
      </c>
      <c r="AN353" s="253">
        <f>_xlfn.XLOOKUP(FMS_Ranking4[[#This Row],[FMS ID]],FMS_Input[FMS_ID],FMS_Input[REMRESSTRC100])</f>
        <v>0</v>
      </c>
      <c r="AO353" s="261">
        <f>FMS_Ranking4[[#This Row],[ArcSinh Res struct removed 0-10]]*AN$5*10</f>
        <v>0</v>
      </c>
      <c r="AP353" s="260">
        <f>ASINH(FMS_Ranking4[[#This Row],[Residential Structures Removed Raw]])/AP$4*AN$5*100</f>
        <v>0</v>
      </c>
      <c r="AQ353" s="258">
        <f>(ASINH(FMS_Ranking4[[#This Row],[Residential Structures Removed Raw]]))*(10)/(ASINH(AN$4))</f>
        <v>0</v>
      </c>
      <c r="AR353" s="253">
        <f>_xlfn.XLOOKUP(FMS_Ranking4[[#This Row],[FMS ID]],FMS_Input[FMS_ID],FMS_Input[REMPOP100])</f>
        <v>0</v>
      </c>
      <c r="AS353" s="255">
        <f>(ASINH(FMS_Ranking4[[#This Row],[Removed Pop Raw]]))*(10)/(ASINH(AR$4))</f>
        <v>0</v>
      </c>
      <c r="AT353" s="262">
        <f>FMS_Ranking4[[#This Row],[Removed population, ArcSinh (0-10)]]*AR$5*10</f>
        <v>0</v>
      </c>
      <c r="AU353" s="264">
        <f>_xlfn.XLOOKUP(FMS_Ranking4[[#This Row],[FMS ID]],FMS_Input[FMS_ID],FMS_Input[REMCRITFAC100])</f>
        <v>0</v>
      </c>
      <c r="AV353" s="264">
        <f>_xlfn.XLOOKUP(FMS_Ranking4[[#This Row],[FMS ID]],FMS_Input[FMS_ID],FMS_Input[REMLWC100])</f>
        <v>0</v>
      </c>
      <c r="AW353" s="264">
        <f>_xlfn.XLOOKUP(FMS_Ranking4[[#This Row],[FMS ID]],FMS_Input[FMS_ID],FMS_Input[REMROADCLS])</f>
        <v>0</v>
      </c>
      <c r="AX353" s="264">
        <f>_xlfn.XLOOKUP(FMS_Ranking4[[#This Row],[FMS ID]],FMS_Input[FMS_ID],FMS_Input[REMFRMACRE100])</f>
        <v>0</v>
      </c>
      <c r="AY353" s="258">
        <f>_xlfn.XLOOKUP(FMS_Ranking4[[#This Row],[FMS ID]],FMS_Input[FMS_ID],FMS_Input[COSTSTRUCT])</f>
        <v>0</v>
      </c>
      <c r="AZ353" s="253">
        <f>_xlfn.XLOOKUP(FMS_Ranking4[[#This Row],[FMS ID]],FMS_Input[FMS_ID],FMS_Input[NATURE])</f>
        <v>0</v>
      </c>
      <c r="BA353" s="262">
        <f>(((FMS_Ranking4[[#This Row],[% NBS Raw]]/AZ$4)*100)*AZ$5)</f>
        <v>0</v>
      </c>
      <c r="BB353" s="251" t="str">
        <f>_xlfn.XLOOKUP(FMS_Ranking4[[#This Row],[FMS ID]],FMS_Input[FMS_ID],FMS_Input[WATER_SUP])</f>
        <v>No</v>
      </c>
      <c r="BC353" s="265">
        <f>IF(FMS_Ranking4[[#This Row],[Water Supply Raw]]="Yes",10,0)</f>
        <v>0</v>
      </c>
      <c r="BD353" s="266">
        <f>_xlfn.XLOOKUP(FMS_Ranking4[[#This Row],[FMS Type]],FMS_TYPE[FMS_Type],FMS_TYPE[Score])</f>
        <v>6</v>
      </c>
      <c r="BE353" s="267">
        <f>FMS_Ranking4[[#This Row],[FMS_Type Score]]*$BD$5*10</f>
        <v>1.5000000000000002</v>
      </c>
      <c r="BF35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0.45409762462216252</v>
      </c>
      <c r="BG353" s="293">
        <f>_xlfn.RANK.EQ(BF353,$BF$8:$BF$870,0)+COUNTIF($BF$8:BF353,BF353)-1</f>
        <v>240</v>
      </c>
      <c r="BH353" s="294">
        <f>(((FMS_Ranking4[[#This Row],[Structures Removed Raw]]/AK$4)*100)*AK$5)+(((FMS_Ranking4[[#This Row],[Removed Pop Raw]]/AR$4)*100)*AR$5)</f>
        <v>0</v>
      </c>
      <c r="BI35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1.9540976246221629</v>
      </c>
      <c r="BJ353" s="251">
        <f>_xlfn.RANK.EQ(FMS_Ranking4[[#This Row],[Total Score 
(with linear
normalization)]],FMS_Ranking4[Total Score 
(with linear
normalization)],0)</f>
        <v>524</v>
      </c>
      <c r="BK353" s="251" t="e">
        <f>_xlfn.XLOOKUP(FMS_Ranking4[[#This Row],[FMS ID]],#REF!,#REF!)</f>
        <v>#REF!</v>
      </c>
      <c r="BL35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23.689815899443222</v>
      </c>
      <c r="BM353" s="324">
        <f>FMS_Ranking4[[#This Row],[ArcSinh Score Based on Normalized Reported Factors]]+FMS_Ranking4[[#This Row],[% NBS Score (Normalized)]]+(FMS_Ranking4[[#This Row],[Water Supply Score (Normalized)]]*10*$BB$5)+FMS_Ranking4[[#This Row],[FMS_Type Score Weighted]]</f>
        <v>25.189815899443222</v>
      </c>
      <c r="BN353" s="251">
        <f>_xlfn.RANK.EQ(FMS_Ranking4[[#This Row],[Total Score (with ArcSinh normalization of select criteria)]],FMS_Ranking4[Total Score (with ArcSinh normalization of select criteria)],0)</f>
        <v>346</v>
      </c>
      <c r="BO353" s="270" t="str">
        <f>_xlfn.XLOOKUP(FMS_Ranking4[[#This Row],[FMS ID]],FMS_Input[FMS_ID],FMS_Input[FMS_RANK_YEAR])</f>
        <v>2023 Amended Plan</v>
      </c>
      <c r="BP353" s="324">
        <f>_xlfn.XLOOKUP(FMS_Ranking4[[#This Row],[FMS ID]],Prev_Rank[FMS ID],Prev_Rank[Prev Rank])</f>
        <v>308</v>
      </c>
      <c r="BQ353" s="251" t="e">
        <f>_xlfn.XLOOKUP(FMS_Ranking4[[#This Row],[FMS ID]],#REF!,#REF!)</f>
        <v>#REF!</v>
      </c>
      <c r="BR353" s="199" t="e">
        <f>SUM(#REF!,#REF!,#REF!,#REF!,#REF!,#REF!,#REF!,#REF!,#REF!,FMS_Ranking4[[#This Row],[ArcSinh Res struct removed 0-10]],#REF!)</f>
        <v>#REF!</v>
      </c>
      <c r="BS353" s="199" t="e">
        <f>FMS_Ranking4[[#This Row],[Log Score Based on Normalized Reported Factors]]+FMS_Ranking4[[#This Row],[% NBS Score (Normalized)]]+(FMS_Ranking4[[#This Row],[Water Supply Score (Normalized)]]*10*$BB$5)+(FMS_Ranking4[[#This Row],[FMS_Type Score Weighted]])</f>
        <v>#REF!</v>
      </c>
      <c r="BT353" s="200" t="e">
        <f>_xlfn.RANK.EQ(FMS_Ranking4[[#This Row],[Log Total Score]],FMS_Ranking4[Log Total Score],0)</f>
        <v>#REF!</v>
      </c>
      <c r="BU353" s="200" t="e">
        <f>_xlfn.XLOOKUP(FMS_Ranking4[[#This Row],[FMS ID]],#REF!,#REF!)</f>
        <v>#REF!</v>
      </c>
      <c r="BV353" s="200">
        <f>FMS_Ranking4[[#This Row],[Region Number]]</f>
        <v>15</v>
      </c>
      <c r="BW353" s="200">
        <f>FMS_Ranking4[[#This Row],[Rank (with ArcSinh normalization of select criteria)]]-FMS_Ranking4[[#This Row],[Rank
(with linear
normalization)]]</f>
        <v>-178</v>
      </c>
      <c r="BX353" s="200" t="e">
        <f>FMS_Ranking4[[#This Row],[Log Rank]]-FMS_Ranking4[[#This Row],[Rank
(with linear
normalization)]]</f>
        <v>#REF!</v>
      </c>
      <c r="BY353" s="200" t="str">
        <f>IF(FMS_Ranking4[[#This Row],[FMS Type]]="Flood Measurement and Warning",FMS_Ranking4[[#This Row],[Rank (with ArcSinh normalization of select criteria)]],"")</f>
        <v/>
      </c>
      <c r="BZ353" s="200" t="str">
        <f>IF(FMS_Ranking4[[#This Row],[FMS Type]]="Regulatory and Guidance",FMS_Ranking4[[#This Row],[Rank (with ArcSinh normalization of select criteria)]],"")</f>
        <v/>
      </c>
      <c r="CA353" s="200">
        <f>IF(FMS_Ranking4[[#This Row],[FMS Type]]="Education and Outreach",FMS_Ranking4[[#This Row],[Rank (with ArcSinh normalization of select criteria)]],"")</f>
        <v>346</v>
      </c>
      <c r="CB353" s="200" t="str">
        <f>IF(FMS_Ranking4[[#This Row],[FMS Type]]="Property Acquisition and Structural Elevation",FMS_Ranking4[[#This Row],[Rank (with ArcSinh normalization of select criteria)]],"")</f>
        <v/>
      </c>
      <c r="CC353" s="200" t="str">
        <f>IF(FMS_Ranking4[[#This Row],[FMS Type]]="Infrastructure Projects",FMS_Ranking4[[#This Row],[Rank (with ArcSinh normalization of select criteria)]],"")</f>
        <v/>
      </c>
      <c r="CD353" s="200" t="str">
        <f>IF(FMS_Ranking4[[#This Row],[FMS Type]]="Other",FMS_Ranking4[[#This Row],[Rank (with ArcSinh normalization of select criteria)]],"")</f>
        <v/>
      </c>
      <c r="CE353" s="201"/>
      <c r="CF353" s="206"/>
      <c r="CG353" s="206"/>
      <c r="CH353" s="206"/>
      <c r="CI353" s="206"/>
      <c r="CJ353" s="206"/>
      <c r="CK353" s="206"/>
      <c r="CL353" s="206"/>
      <c r="CM353" s="206"/>
      <c r="CN353" s="206"/>
      <c r="CO353" s="206"/>
      <c r="CP353" s="206"/>
      <c r="CQ353" s="206"/>
      <c r="CR353" s="206"/>
    </row>
    <row r="354" spans="2:96" ht="45" x14ac:dyDescent="0.25">
      <c r="B354" s="341" t="s">
        <v>1827</v>
      </c>
      <c r="C354" s="246">
        <f>_xlfn.XLOOKUP(FMS_Ranking4[[#This Row],[FMS ID]],FMS_Input[FMS_ID],FMS_Input[RFPG_NUM])</f>
        <v>3</v>
      </c>
      <c r="D354" s="309" t="str">
        <f>_xlfn.XLOOKUP(FMS_Ranking4[[#This Row],[FMS ID]],FMS_Input[FMS_ID],FMS_Input[FMS_NAME])</f>
        <v>Freestone County Flood Damage Prevention Ordinance</v>
      </c>
      <c r="E354" s="308" t="str">
        <f>_xlfn.XLOOKUP(FMS_Ranking4[[#This Row],[FMS ID]],FMS_Input[FMS_ID],FMS_Input[SPONSOR])</f>
        <v>Freestone County</v>
      </c>
      <c r="F354" s="309" t="str">
        <f>_xlfn.XLOOKUP(FMS_Ranking4[[#This Row],[FMS ID]],Sponsor[FMS_ID],Sponsor[SPONSOR NAME])</f>
        <v>Freestone County</v>
      </c>
      <c r="G354" s="309" t="str">
        <f>_xlfn.XLOOKUP(FMS_Ranking4[[#This Row],[FMS ID]],FMS_Input[FMS_ID],FMS_Input[FMS_DESCR])</f>
        <v>Develop and Implement a Flood Damage Prevention Ordinance </v>
      </c>
      <c r="H354" s="248" t="str">
        <f>_xlfn.XLOOKUP(FMS_Ranking4[[#This Row],[FMS ID]],FMS_Input[FMS_ID],FMS_Input[FMS_TYPE])</f>
        <v>Regulatory and Guidance</v>
      </c>
      <c r="I354" s="249">
        <f>_xlfn.XLOOKUP(FMS_Ranking4[[#This Row],[FMS ID]],FMS_Input[FMS_ID],FMS_Input[NRNC_COST])</f>
        <v>100000</v>
      </c>
      <c r="J354" s="250">
        <f>_xlfn.XLOOKUP(FMS_Ranking4[[#This Row],[FMS ID]],FMS_Input[FMS_ID],FMS_Input[FMS_COST])</f>
        <v>100000</v>
      </c>
      <c r="K354" s="251" t="str">
        <f>_xlfn.XLOOKUP(FMS_Ranking4[[#This Row],[FMS ID]],FMS_Input[FMS_ID],FMS_Input[EMER_NEED])</f>
        <v>No</v>
      </c>
      <c r="L354" s="252">
        <f t="shared" si="5"/>
        <v>0</v>
      </c>
      <c r="M354" s="253">
        <f>_xlfn.XLOOKUP(FMS_Ranking4[[#This Row],[FMS ID]],FMS_Input[FMS_ID],FMS_Input[STRUCT_100])</f>
        <v>557</v>
      </c>
      <c r="N354" s="255">
        <f>(ASINH(FMS_Ranking4[[#This Row],[Structure at Risk Raw]]))*(10)/(ASINH(M$4))</f>
        <v>5.5153951903201346</v>
      </c>
      <c r="O354" s="256">
        <f>FMS_Ranking4[[#This Row],[Structures at risk, ArcSinh (0-10)]]*M$5*10</f>
        <v>5.5153951903201346</v>
      </c>
      <c r="P354" s="253">
        <f>_xlfn.XLOOKUP(FMS_Ranking4[[#This Row],[FMS ID]],FMS_Input[FMS_ID],FMS_Input[RES_STRUCT100])</f>
        <v>237</v>
      </c>
      <c r="Q354" s="257">
        <f>ASINH(FMS_Ranking4[[#This Row],[Res Structure Raw]])/Q$4*P$5*100</f>
        <v>0</v>
      </c>
      <c r="R354" s="253">
        <f>_xlfn.XLOOKUP(FMS_Ranking4[[#This Row],[FMS ID]],FMS_Input[FMS_ID],FMS_Input[POP100])</f>
        <v>360</v>
      </c>
      <c r="S354" s="259">
        <f>(ASINH(FMS_Ranking4[[#This Row],[Pop at Risk Raw]]))*(10)/(ASINH(R$4))</f>
        <v>4.5420414737508565</v>
      </c>
      <c r="T354" s="256">
        <f>FMS_Ranking4[[#This Row],[Population at risk, ArcSinh (0-10)]]*R$5*10</f>
        <v>4.5420414737508565</v>
      </c>
      <c r="U354" s="253">
        <f>_xlfn.XLOOKUP(FMS_Ranking4[[#This Row],[FMS ID]],FMS_Input[FMS_ID],FMS_Input[CRITFAC100])</f>
        <v>3</v>
      </c>
      <c r="V354" s="259">
        <f>(ASINH(FMS_Ranking4[[#This Row],[Critical Facilities Raw]]))*(10)/(ASINH(U$4))</f>
        <v>2.152611706646717</v>
      </c>
      <c r="W354" s="256">
        <f>FMS_Ranking4[[#This Row],[Critical facilities at risk, ArcSinh (0-10)]]*U$5*10</f>
        <v>2.152611706646717</v>
      </c>
      <c r="X354" s="253">
        <f>_xlfn.XLOOKUP(FMS_Ranking4[[#This Row],[FMS ID]],FMS_Input[FMS_ID],FMS_Input[LWC])</f>
        <v>2</v>
      </c>
      <c r="Y354" s="259">
        <f>(ASINH(FMS_Ranking4[[#This Row],[LWC Raw]]))*(10)/(ASINH(X$4))</f>
        <v>1.9557475158633808</v>
      </c>
      <c r="Z354" s="256">
        <f>FMS_Ranking4[[#This Row],[LWC, ArcSInh (0-10)]]*X$5*10</f>
        <v>1.9557475158633808</v>
      </c>
      <c r="AA354" s="253">
        <f>_xlfn.XLOOKUP(FMS_Ranking4[[#This Row],[FMS ID]],FMS_Input[FMS_ID],FMS_Input[ROADCLS])</f>
        <v>0</v>
      </c>
      <c r="AB354" s="255">
        <f>(ASINH(FMS_Ranking4[[#This Row],[Road Closures Raw]]))*(10)/(ASINH(AA$4))</f>
        <v>0</v>
      </c>
      <c r="AC354" s="256">
        <f>FMS_Ranking4[[#This Row],[Road closures, ArcSinh (0-10)]]*AA$5*10</f>
        <v>0</v>
      </c>
      <c r="AD354" s="253">
        <f>_xlfn.XLOOKUP(FMS_Ranking4[[#This Row],[FMS ID]],FMS_Input[FMS_ID],FMS_Input[ROAD_MILES100])</f>
        <v>91</v>
      </c>
      <c r="AE354" s="259">
        <f>(ASINH(FMS_Ranking4[[#This Row],[Road Miles Raw]]))*(10)/(ASINH(AD$4))</f>
        <v>5.546071552364725</v>
      </c>
      <c r="AF354" s="256">
        <f>FMS_Ranking4[[#This Row],[Length of roads at risk, ArcSinh (0-10)]]*AD$5*10</f>
        <v>5.546071552364725</v>
      </c>
      <c r="AG354" s="253">
        <f>_xlfn.XLOOKUP(FMS_Ranking4[[#This Row],[FMS ID]],FMS_Input[FMS_ID],FMS_Input[FARMACRE100])</f>
        <v>21752.580078125</v>
      </c>
      <c r="AH354" s="255">
        <f>(ASINH(FMS_Ranking4[[#This Row],[Ag Land Raw]]))*(10)/(ASINH(AG$4))</f>
        <v>6.9379424692445086</v>
      </c>
      <c r="AI354" s="260">
        <f>FMS_Ranking4[[#This Row],[Farm &amp; ranch land, ArcSinh (0-10)]]*AG$5*10</f>
        <v>3.4689712346222548</v>
      </c>
      <c r="AJ354" s="258">
        <f>_xlfn.XLOOKUP(FMS_Ranking4[[#This Row],[FMS ID]],FMS_Input[FMS_ID],FMS_Input[REDSTRUCT100])</f>
        <v>0</v>
      </c>
      <c r="AK354" s="253">
        <f>_xlfn.XLOOKUP(FMS_Ranking4[[#This Row],[FMS ID]],FMS_Input[FMS_ID],FMS_Input[REMSTRC100])</f>
        <v>0</v>
      </c>
      <c r="AL354" s="259">
        <f>(ASINH(FMS_Ranking4[[#This Row],[Structures Removed Raw]]))*(10)/(ASINH(AK$4))</f>
        <v>0</v>
      </c>
      <c r="AM354" s="262">
        <f>FMS_Ranking4[[#This Row],[Structures removed, ArcSinh (0-10)]]*AK$5*10</f>
        <v>0</v>
      </c>
      <c r="AN354" s="253">
        <f>_xlfn.XLOOKUP(FMS_Ranking4[[#This Row],[FMS ID]],FMS_Input[FMS_ID],FMS_Input[REMRESSTRC100])</f>
        <v>0</v>
      </c>
      <c r="AO354" s="261">
        <f>FMS_Ranking4[[#This Row],[ArcSinh Res struct removed 0-10]]*AN$5*10</f>
        <v>0</v>
      </c>
      <c r="AP354" s="260">
        <f>ASINH(FMS_Ranking4[[#This Row],[Residential Structures Removed Raw]])/AP$4*AN$5*100</f>
        <v>0</v>
      </c>
      <c r="AQ354" s="254">
        <f>(ASINH(FMS_Ranking4[[#This Row],[Residential Structures Removed Raw]]))*(10)/(ASINH(AN$4))</f>
        <v>0</v>
      </c>
      <c r="AR354" s="253">
        <f>_xlfn.XLOOKUP(FMS_Ranking4[[#This Row],[FMS ID]],FMS_Input[FMS_ID],FMS_Input[REMPOP100])</f>
        <v>0</v>
      </c>
      <c r="AS354" s="259">
        <f>(ASINH(FMS_Ranking4[[#This Row],[Removed Pop Raw]]))*(10)/(ASINH(AR$4))</f>
        <v>0</v>
      </c>
      <c r="AT354" s="262">
        <f>FMS_Ranking4[[#This Row],[Removed population, ArcSinh (0-10)]]*AR$5*10</f>
        <v>0</v>
      </c>
      <c r="AU354" s="264">
        <f>_xlfn.XLOOKUP(FMS_Ranking4[[#This Row],[FMS ID]],FMS_Input[FMS_ID],FMS_Input[REMCRITFAC100])</f>
        <v>0</v>
      </c>
      <c r="AV354" s="264">
        <f>_xlfn.XLOOKUP(FMS_Ranking4[[#This Row],[FMS ID]],FMS_Input[FMS_ID],FMS_Input[REMLWC100])</f>
        <v>0</v>
      </c>
      <c r="AW354" s="264">
        <f>_xlfn.XLOOKUP(FMS_Ranking4[[#This Row],[FMS ID]],FMS_Input[FMS_ID],FMS_Input[REMROADCLS])</f>
        <v>0</v>
      </c>
      <c r="AX354" s="264">
        <f>_xlfn.XLOOKUP(FMS_Ranking4[[#This Row],[FMS ID]],FMS_Input[FMS_ID],FMS_Input[REMFRMACRE100])</f>
        <v>0</v>
      </c>
      <c r="AY354" s="258">
        <f>_xlfn.XLOOKUP(FMS_Ranking4[[#This Row],[FMS ID]],FMS_Input[FMS_ID],FMS_Input[COSTSTRUCT])</f>
        <v>0</v>
      </c>
      <c r="AZ354" s="253">
        <f>_xlfn.XLOOKUP(FMS_Ranking4[[#This Row],[FMS ID]],FMS_Input[FMS_ID],FMS_Input[NATURE])</f>
        <v>0</v>
      </c>
      <c r="BA354" s="262">
        <f>(((FMS_Ranking4[[#This Row],[% NBS Raw]]/AZ$4)*100)*AZ$5)</f>
        <v>0</v>
      </c>
      <c r="BB354" s="251" t="str">
        <f>_xlfn.XLOOKUP(FMS_Ranking4[[#This Row],[FMS ID]],FMS_Input[FMS_ID],FMS_Input[WATER_SUP])</f>
        <v>No</v>
      </c>
      <c r="BC354" s="265">
        <f>IF(FMS_Ranking4[[#This Row],[Water Supply Raw]]="Yes",10,0)</f>
        <v>0</v>
      </c>
      <c r="BD354" s="266">
        <f>_xlfn.XLOOKUP(FMS_Ranking4[[#This Row],[FMS Type]],FMS_TYPE[FMS_Type],FMS_TYPE[Score])</f>
        <v>8</v>
      </c>
      <c r="BE354" s="267">
        <f>FMS_Ranking4[[#This Row],[FMS_Type Score]]*$BD$5*10</f>
        <v>2</v>
      </c>
      <c r="BF35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0.27270954271462011</v>
      </c>
      <c r="BG354" s="271">
        <f>_xlfn.RANK.EQ(BF354,$BF$8:$BF$870,0)+COUNTIF($BF$8:BF354,BF354)-1</f>
        <v>319</v>
      </c>
      <c r="BH354" s="268">
        <f>(((FMS_Ranking4[[#This Row],[Structures Removed Raw]]/AK$4)*100)*AK$5)+(((FMS_Ranking4[[#This Row],[Removed Pop Raw]]/AR$4)*100)*AR$5)</f>
        <v>0</v>
      </c>
      <c r="BI35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2.2727095427146202</v>
      </c>
      <c r="BJ354" s="205">
        <f>_xlfn.RANK.EQ(FMS_Ranking4[[#This Row],[Total Score 
(with linear
normalization)]],FMS_Ranking4[Total Score 
(with linear
normalization)],0)</f>
        <v>306</v>
      </c>
      <c r="BK354" s="205" t="e">
        <f>_xlfn.XLOOKUP(FMS_Ranking4[[#This Row],[FMS ID]],#REF!,#REF!)</f>
        <v>#REF!</v>
      </c>
      <c r="BL35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23.180838673568068</v>
      </c>
      <c r="BM354" s="272">
        <f>FMS_Ranking4[[#This Row],[ArcSinh Score Based on Normalized Reported Factors]]+FMS_Ranking4[[#This Row],[% NBS Score (Normalized)]]+(FMS_Ranking4[[#This Row],[Water Supply Score (Normalized)]]*10*$BB$5)+FMS_Ranking4[[#This Row],[FMS_Type Score Weighted]]</f>
        <v>25.180838673568068</v>
      </c>
      <c r="BN354" s="205">
        <f>_xlfn.RANK.EQ(FMS_Ranking4[[#This Row],[Total Score (with ArcSinh normalization of select criteria)]],FMS_Ranking4[Total Score (with ArcSinh normalization of select criteria)],0)</f>
        <v>347</v>
      </c>
      <c r="BO354" s="270" t="str">
        <f>_xlfn.XLOOKUP(FMS_Ranking4[[#This Row],[FMS ID]],FMS_Input[FMS_ID],FMS_Input[FMS_RANK_YEAR])</f>
        <v>2023 Amended Plan</v>
      </c>
      <c r="BP354" s="204">
        <f>_xlfn.XLOOKUP(FMS_Ranking4[[#This Row],[FMS ID]],Prev_Rank[FMS ID],Prev_Rank[Prev Rank])</f>
        <v>309</v>
      </c>
      <c r="BQ354" s="205" t="e">
        <f>_xlfn.XLOOKUP(FMS_Ranking4[[#This Row],[FMS ID]],#REF!,#REF!)</f>
        <v>#REF!</v>
      </c>
      <c r="BR354" s="199" t="e">
        <f>SUM(#REF!,#REF!,#REF!,#REF!,#REF!,#REF!,#REF!,#REF!,#REF!,FMS_Ranking4[[#This Row],[ArcSinh Res struct removed 0-10]],#REF!)</f>
        <v>#REF!</v>
      </c>
      <c r="BS354" s="199" t="e">
        <f>FMS_Ranking4[[#This Row],[Log Score Based on Normalized Reported Factors]]+FMS_Ranking4[[#This Row],[% NBS Score (Normalized)]]+(FMS_Ranking4[[#This Row],[Water Supply Score (Normalized)]]*10*$BB$5)+(FMS_Ranking4[[#This Row],[FMS_Type Score Weighted]])</f>
        <v>#REF!</v>
      </c>
      <c r="BT354" s="200" t="e">
        <f>_xlfn.RANK.EQ(FMS_Ranking4[[#This Row],[Log Total Score]],FMS_Ranking4[Log Total Score],0)</f>
        <v>#REF!</v>
      </c>
      <c r="BU354" s="200" t="e">
        <f>_xlfn.XLOOKUP(FMS_Ranking4[[#This Row],[FMS ID]],#REF!,#REF!)</f>
        <v>#REF!</v>
      </c>
      <c r="BV354" s="200">
        <f>FMS_Ranking4[[#This Row],[Region Number]]</f>
        <v>3</v>
      </c>
      <c r="BW354" s="200">
        <f>FMS_Ranking4[[#This Row],[Rank (with ArcSinh normalization of select criteria)]]-FMS_Ranking4[[#This Row],[Rank
(with linear
normalization)]]</f>
        <v>41</v>
      </c>
      <c r="BX354" s="200" t="e">
        <f>FMS_Ranking4[[#This Row],[Log Rank]]-FMS_Ranking4[[#This Row],[Rank
(with linear
normalization)]]</f>
        <v>#REF!</v>
      </c>
      <c r="BY354" s="200" t="str">
        <f>IF(FMS_Ranking4[[#This Row],[FMS Type]]="Flood Measurement and Warning",FMS_Ranking4[[#This Row],[Rank (with ArcSinh normalization of select criteria)]],"")</f>
        <v/>
      </c>
      <c r="BZ354" s="200">
        <f>IF(FMS_Ranking4[[#This Row],[FMS Type]]="Regulatory and Guidance",FMS_Ranking4[[#This Row],[Rank (with ArcSinh normalization of select criteria)]],"")</f>
        <v>347</v>
      </c>
      <c r="CA354" s="200" t="str">
        <f>IF(FMS_Ranking4[[#This Row],[FMS Type]]="Education and Outreach",FMS_Ranking4[[#This Row],[Rank (with ArcSinh normalization of select criteria)]],"")</f>
        <v/>
      </c>
      <c r="CB354" s="200" t="str">
        <f>IF(FMS_Ranking4[[#This Row],[FMS Type]]="Property Acquisition and Structural Elevation",FMS_Ranking4[[#This Row],[Rank (with ArcSinh normalization of select criteria)]],"")</f>
        <v/>
      </c>
      <c r="CC354" s="200" t="str">
        <f>IF(FMS_Ranking4[[#This Row],[FMS Type]]="Infrastructure Projects",FMS_Ranking4[[#This Row],[Rank (with ArcSinh normalization of select criteria)]],"")</f>
        <v/>
      </c>
      <c r="CD354" s="200" t="str">
        <f>IF(FMS_Ranking4[[#This Row],[FMS Type]]="Other",FMS_Ranking4[[#This Row],[Rank (with ArcSinh normalization of select criteria)]],"")</f>
        <v/>
      </c>
      <c r="CE354" s="201"/>
      <c r="CF354" s="206"/>
      <c r="CG354" s="206"/>
      <c r="CH354" s="206"/>
      <c r="CI354" s="206"/>
      <c r="CJ354" s="206"/>
      <c r="CK354" s="206"/>
      <c r="CL354" s="206"/>
      <c r="CM354" s="206"/>
      <c r="CN354" s="206"/>
      <c r="CO354" s="206"/>
      <c r="CP354" s="206"/>
      <c r="CQ354" s="206"/>
      <c r="CR354" s="206"/>
    </row>
    <row r="355" spans="2:96" ht="60" x14ac:dyDescent="0.25">
      <c r="B355" s="341" t="s">
        <v>2500</v>
      </c>
      <c r="C355" s="246">
        <f>_xlfn.XLOOKUP(FMS_Ranking4[[#This Row],[FMS ID]],FMS_Input[FMS_ID],FMS_Input[RFPG_NUM])</f>
        <v>3</v>
      </c>
      <c r="D355" s="309" t="str">
        <f>_xlfn.XLOOKUP(FMS_Ranking4[[#This Row],[FMS ID]],FMS_Input[FMS_ID],FMS_Input[FMS_NAME])</f>
        <v xml:space="preserve">Drainage improvement projects throughout the City of Hurst. </v>
      </c>
      <c r="E355" s="308" t="str">
        <f>_xlfn.XLOOKUP(FMS_Ranking4[[#This Row],[FMS ID]],FMS_Input[FMS_ID],FMS_Input[SPONSOR])</f>
        <v xml:space="preserve"> Hurst</v>
      </c>
      <c r="F355" s="309" t="str">
        <f>_xlfn.XLOOKUP(FMS_Ranking4[[#This Row],[FMS ID]],Sponsor[FMS_ID],Sponsor[SPONSOR NAME])</f>
        <v xml:space="preserve"> Hurst</v>
      </c>
      <c r="G355" s="309" t="str">
        <f>_xlfn.XLOOKUP(FMS_Ranking4[[#This Row],[FMS ID]],FMS_Input[FMS_ID],FMS_Input[FMS_DESCR])</f>
        <v>Drainage improvement projects throughout the City of Hurst. One improvement includes a detention pond.</v>
      </c>
      <c r="H355" s="248" t="str">
        <f>_xlfn.XLOOKUP(FMS_Ranking4[[#This Row],[FMS ID]],FMS_Input[FMS_ID],FMS_Input[FMS_TYPE])</f>
        <v>Infrastructure Projects</v>
      </c>
      <c r="I355" s="249">
        <f>_xlfn.XLOOKUP(FMS_Ranking4[[#This Row],[FMS ID]],FMS_Input[FMS_ID],FMS_Input[NRNC_COST])</f>
        <v>3600000</v>
      </c>
      <c r="J355" s="250">
        <f>_xlfn.XLOOKUP(FMS_Ranking4[[#This Row],[FMS ID]],FMS_Input[FMS_ID],FMS_Input[FMS_COST])</f>
        <v>18000000</v>
      </c>
      <c r="K355" s="251" t="str">
        <f>_xlfn.XLOOKUP(FMS_Ranking4[[#This Row],[FMS ID]],FMS_Input[FMS_ID],FMS_Input[EMER_NEED])</f>
        <v>No</v>
      </c>
      <c r="L355" s="252">
        <f t="shared" si="5"/>
        <v>0</v>
      </c>
      <c r="M355" s="253">
        <f>_xlfn.XLOOKUP(FMS_Ranking4[[#This Row],[FMS ID]],FMS_Input[FMS_ID],FMS_Input[STRUCT_100])</f>
        <v>289</v>
      </c>
      <c r="N355" s="255">
        <f>(ASINH(FMS_Ranking4[[#This Row],[Structure at Risk Raw]]))*(10)/(ASINH(M$4))</f>
        <v>4.9995743134500517</v>
      </c>
      <c r="O355" s="256">
        <f>FMS_Ranking4[[#This Row],[Structures at risk, ArcSinh (0-10)]]*M$5*10</f>
        <v>4.9995743134500517</v>
      </c>
      <c r="P355" s="253">
        <f>_xlfn.XLOOKUP(FMS_Ranking4[[#This Row],[FMS ID]],FMS_Input[FMS_ID],FMS_Input[RES_STRUCT100])</f>
        <v>280</v>
      </c>
      <c r="Q355" s="257">
        <f>ASINH(FMS_Ranking4[[#This Row],[Res Structure Raw]])/Q$4*P$5*100</f>
        <v>0</v>
      </c>
      <c r="R355" s="253">
        <f>_xlfn.XLOOKUP(FMS_Ranking4[[#This Row],[FMS ID]],FMS_Input[FMS_ID],FMS_Input[POP100])</f>
        <v>1231</v>
      </c>
      <c r="S355" s="255">
        <f>(ASINH(FMS_Ranking4[[#This Row],[Pop at Risk Raw]]))*(10)/(ASINH(R$4))</f>
        <v>5.3908205624047705</v>
      </c>
      <c r="T355" s="256">
        <f>FMS_Ranking4[[#This Row],[Population at risk, ArcSinh (0-10)]]*R$5*10</f>
        <v>5.3908205624047714</v>
      </c>
      <c r="U355" s="253">
        <f>_xlfn.XLOOKUP(FMS_Ranking4[[#This Row],[FMS ID]],FMS_Input[FMS_ID],FMS_Input[CRITFAC100])</f>
        <v>10</v>
      </c>
      <c r="V355" s="255">
        <f>(ASINH(FMS_Ranking4[[#This Row],[Critical Facilities Raw]]))*(10)/(ASINH(U$4))</f>
        <v>3.5491888084919516</v>
      </c>
      <c r="W355" s="256">
        <f>FMS_Ranking4[[#This Row],[Critical facilities at risk, ArcSinh (0-10)]]*U$5*10</f>
        <v>3.5491888084919521</v>
      </c>
      <c r="X355" s="253">
        <f>_xlfn.XLOOKUP(FMS_Ranking4[[#This Row],[FMS ID]],FMS_Input[FMS_ID],FMS_Input[LWC])</f>
        <v>39</v>
      </c>
      <c r="Y355" s="255">
        <f>(ASINH(FMS_Ranking4[[#This Row],[LWC Raw]]))*(10)/(ASINH(X$4))</f>
        <v>5.902420652534226</v>
      </c>
      <c r="Z355" s="256">
        <f>FMS_Ranking4[[#This Row],[LWC, ArcSInh (0-10)]]*X$5*10</f>
        <v>5.902420652534226</v>
      </c>
      <c r="AA355" s="253">
        <f>_xlfn.XLOOKUP(FMS_Ranking4[[#This Row],[FMS ID]],FMS_Input[FMS_ID],FMS_Input[ROADCLS])</f>
        <v>0</v>
      </c>
      <c r="AB355" s="255">
        <f>(ASINH(FMS_Ranking4[[#This Row],[Road Closures Raw]]))*(10)/(ASINH(AA$4))</f>
        <v>0</v>
      </c>
      <c r="AC355" s="256">
        <f>FMS_Ranking4[[#This Row],[Road closures, ArcSinh (0-10)]]*AA$5*10</f>
        <v>0</v>
      </c>
      <c r="AD355" s="253">
        <f>_xlfn.XLOOKUP(FMS_Ranking4[[#This Row],[FMS ID]],FMS_Input[FMS_ID],FMS_Input[ROAD_MILES100])</f>
        <v>9</v>
      </c>
      <c r="AE355" s="255">
        <f>(ASINH(FMS_Ranking4[[#This Row],[Road Miles Raw]]))*(10)/(ASINH(AD$4))</f>
        <v>3.0836152323682597</v>
      </c>
      <c r="AF355" s="256">
        <f>FMS_Ranking4[[#This Row],[Length of roads at risk, ArcSinh (0-10)]]*AD$5*10</f>
        <v>3.0836152323682597</v>
      </c>
      <c r="AG355" s="253">
        <f>_xlfn.XLOOKUP(FMS_Ranking4[[#This Row],[FMS ID]],FMS_Input[FMS_ID],FMS_Input[FARMACRE100])</f>
        <v>18.0932502746582</v>
      </c>
      <c r="AH355" s="255">
        <f>(ASINH(FMS_Ranking4[[#This Row],[Ag Land Raw]]))*(10)/(ASINH(AG$4))</f>
        <v>2.3316395131644669</v>
      </c>
      <c r="AI355" s="260">
        <f>FMS_Ranking4[[#This Row],[Farm &amp; ranch land, ArcSinh (0-10)]]*AG$5*10</f>
        <v>1.1658197565822335</v>
      </c>
      <c r="AJ355" s="258">
        <f>_xlfn.XLOOKUP(FMS_Ranking4[[#This Row],[FMS ID]],FMS_Input[FMS_ID],FMS_Input[REDSTRUCT100])</f>
        <v>0</v>
      </c>
      <c r="AK355" s="253">
        <f>_xlfn.XLOOKUP(FMS_Ranking4[[#This Row],[FMS ID]],FMS_Input[FMS_ID],FMS_Input[REMSTRC100])</f>
        <v>0</v>
      </c>
      <c r="AL355" s="255">
        <f>(ASINH(FMS_Ranking4[[#This Row],[Structures Removed Raw]]))*(10)/(ASINH(AK$4))</f>
        <v>0</v>
      </c>
      <c r="AM355" s="262">
        <f>FMS_Ranking4[[#This Row],[Structures removed, ArcSinh (0-10)]]*AK$5*10</f>
        <v>0</v>
      </c>
      <c r="AN355" s="253">
        <f>_xlfn.XLOOKUP(FMS_Ranking4[[#This Row],[FMS ID]],FMS_Input[FMS_ID],FMS_Input[REMRESSTRC100])</f>
        <v>0</v>
      </c>
      <c r="AO355" s="261">
        <f>FMS_Ranking4[[#This Row],[ArcSinh Res struct removed 0-10]]*AN$5*10</f>
        <v>0</v>
      </c>
      <c r="AP355" s="260">
        <f>ASINH(FMS_Ranking4[[#This Row],[Residential Structures Removed Raw]])/AP$4*AN$5*100</f>
        <v>0</v>
      </c>
      <c r="AQ355" s="258">
        <f>(ASINH(FMS_Ranking4[[#This Row],[Residential Structures Removed Raw]]))*(10)/(ASINH(AN$4))</f>
        <v>0</v>
      </c>
      <c r="AR355" s="253">
        <f>_xlfn.XLOOKUP(FMS_Ranking4[[#This Row],[FMS ID]],FMS_Input[FMS_ID],FMS_Input[REMPOP100])</f>
        <v>0</v>
      </c>
      <c r="AS355" s="255">
        <f>(ASINH(FMS_Ranking4[[#This Row],[Removed Pop Raw]]))*(10)/(ASINH(AR$4))</f>
        <v>0</v>
      </c>
      <c r="AT355" s="262">
        <f>FMS_Ranking4[[#This Row],[Removed population, ArcSinh (0-10)]]*AR$5*10</f>
        <v>0</v>
      </c>
      <c r="AU355" s="264">
        <f>_xlfn.XLOOKUP(FMS_Ranking4[[#This Row],[FMS ID]],FMS_Input[FMS_ID],FMS_Input[REMCRITFAC100])</f>
        <v>0</v>
      </c>
      <c r="AV355" s="264">
        <f>_xlfn.XLOOKUP(FMS_Ranking4[[#This Row],[FMS ID]],FMS_Input[FMS_ID],FMS_Input[REMLWC100])</f>
        <v>0</v>
      </c>
      <c r="AW355" s="264">
        <f>_xlfn.XLOOKUP(FMS_Ranking4[[#This Row],[FMS ID]],FMS_Input[FMS_ID],FMS_Input[REMROADCLS])</f>
        <v>0</v>
      </c>
      <c r="AX355" s="264">
        <f>_xlfn.XLOOKUP(FMS_Ranking4[[#This Row],[FMS ID]],FMS_Input[FMS_ID],FMS_Input[REMFRMACRE100])</f>
        <v>0</v>
      </c>
      <c r="AY355" s="258">
        <f>_xlfn.XLOOKUP(FMS_Ranking4[[#This Row],[FMS ID]],FMS_Input[FMS_ID],FMS_Input[COSTSTRUCT])</f>
        <v>0</v>
      </c>
      <c r="AZ355" s="253">
        <f>_xlfn.XLOOKUP(FMS_Ranking4[[#This Row],[FMS ID]],FMS_Input[FMS_ID],FMS_Input[NATURE])</f>
        <v>0</v>
      </c>
      <c r="BA355" s="262">
        <f>(((FMS_Ranking4[[#This Row],[% NBS Raw]]/AZ$4)*100)*AZ$5)</f>
        <v>0</v>
      </c>
      <c r="BB355" s="251" t="str">
        <f>_xlfn.XLOOKUP(FMS_Ranking4[[#This Row],[FMS ID]],FMS_Input[FMS_ID],FMS_Input[WATER_SUP])</f>
        <v>No</v>
      </c>
      <c r="BC355" s="265">
        <f>IF(FMS_Ranking4[[#This Row],[Water Supply Raw]]="Yes",10,0)</f>
        <v>0</v>
      </c>
      <c r="BD355" s="266">
        <f>_xlfn.XLOOKUP(FMS_Ranking4[[#This Row],[FMS Type]],FMS_TYPE[FMS_Type],FMS_TYPE[Score])</f>
        <v>4</v>
      </c>
      <c r="BE355" s="267">
        <f>FMS_Ranking4[[#This Row],[FMS_Type Score]]*$BD$5*10</f>
        <v>1</v>
      </c>
      <c r="BF35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0.57362293886841298</v>
      </c>
      <c r="BG355" s="321">
        <f>_xlfn.RANK.EQ(BF355,$BF$8:$BF$870,0)+COUNTIF($BF$8:BF355,BF355)-1</f>
        <v>202</v>
      </c>
      <c r="BH355" s="294">
        <f>(((FMS_Ranking4[[#This Row],[Structures Removed Raw]]/AK$4)*100)*AK$5)+(((FMS_Ranking4[[#This Row],[Removed Pop Raw]]/AR$4)*100)*AR$5)</f>
        <v>0</v>
      </c>
      <c r="BI35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1.5736229388684131</v>
      </c>
      <c r="BJ355" s="251">
        <f>_xlfn.RANK.EQ(FMS_Ranking4[[#This Row],[Total Score 
(with linear
normalization)]],FMS_Ranking4[Total Score 
(with linear
normalization)],0)</f>
        <v>572</v>
      </c>
      <c r="BK355" s="251" t="e">
        <f>_xlfn.XLOOKUP(FMS_Ranking4[[#This Row],[FMS ID]],#REF!,#REF!)</f>
        <v>#REF!</v>
      </c>
      <c r="BL35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24.091439325831495</v>
      </c>
      <c r="BM355" s="324">
        <f>FMS_Ranking4[[#This Row],[ArcSinh Score Based on Normalized Reported Factors]]+FMS_Ranking4[[#This Row],[% NBS Score (Normalized)]]+(FMS_Ranking4[[#This Row],[Water Supply Score (Normalized)]]*10*$BB$5)+FMS_Ranking4[[#This Row],[FMS_Type Score Weighted]]</f>
        <v>25.091439325831495</v>
      </c>
      <c r="BN355" s="251">
        <f>_xlfn.RANK.EQ(FMS_Ranking4[[#This Row],[Total Score (with ArcSinh normalization of select criteria)]],FMS_Ranking4[Total Score (with ArcSinh normalization of select criteria)],0)</f>
        <v>348</v>
      </c>
      <c r="BO355" s="270" t="str">
        <f>_xlfn.XLOOKUP(FMS_Ranking4[[#This Row],[FMS ID]],FMS_Input[FMS_ID],FMS_Input[FMS_RANK_YEAR])</f>
        <v>2023 Amended Plan</v>
      </c>
      <c r="BP355" s="204">
        <f>_xlfn.XLOOKUP(FMS_Ranking4[[#This Row],[FMS ID]],Prev_Rank[FMS ID],Prev_Rank[Prev Rank])</f>
        <v>311</v>
      </c>
      <c r="BQ355" s="251" t="e">
        <f>_xlfn.XLOOKUP(FMS_Ranking4[[#This Row],[FMS ID]],#REF!,#REF!)</f>
        <v>#REF!</v>
      </c>
      <c r="BR355" s="199" t="e">
        <f>SUM(#REF!,#REF!,#REF!,#REF!,#REF!,#REF!,#REF!,#REF!,#REF!,FMS_Ranking4[[#This Row],[ArcSinh Res struct removed 0-10]],#REF!)</f>
        <v>#REF!</v>
      </c>
      <c r="BS355" s="199" t="e">
        <f>FMS_Ranking4[[#This Row],[Log Score Based on Normalized Reported Factors]]+FMS_Ranking4[[#This Row],[% NBS Score (Normalized)]]+(FMS_Ranking4[[#This Row],[Water Supply Score (Normalized)]]*10*$BB$5)+(FMS_Ranking4[[#This Row],[FMS_Type Score Weighted]])</f>
        <v>#REF!</v>
      </c>
      <c r="BT355" s="200" t="e">
        <f>_xlfn.RANK.EQ(FMS_Ranking4[[#This Row],[Log Total Score]],FMS_Ranking4[Log Total Score],0)</f>
        <v>#REF!</v>
      </c>
      <c r="BU355" s="200" t="e">
        <f>_xlfn.XLOOKUP(FMS_Ranking4[[#This Row],[FMS ID]],#REF!,#REF!)</f>
        <v>#REF!</v>
      </c>
      <c r="BV355" s="200">
        <f>FMS_Ranking4[[#This Row],[Region Number]]</f>
        <v>3</v>
      </c>
      <c r="BW355" s="200">
        <f>FMS_Ranking4[[#This Row],[Rank (with ArcSinh normalization of select criteria)]]-FMS_Ranking4[[#This Row],[Rank
(with linear
normalization)]]</f>
        <v>-224</v>
      </c>
      <c r="BX355" s="200" t="e">
        <f>FMS_Ranking4[[#This Row],[Log Rank]]-FMS_Ranking4[[#This Row],[Rank
(with linear
normalization)]]</f>
        <v>#REF!</v>
      </c>
      <c r="BY355" s="200" t="str">
        <f>IF(FMS_Ranking4[[#This Row],[FMS Type]]="Flood Measurement and Warning",FMS_Ranking4[[#This Row],[Rank (with ArcSinh normalization of select criteria)]],"")</f>
        <v/>
      </c>
      <c r="BZ355" s="200" t="str">
        <f>IF(FMS_Ranking4[[#This Row],[FMS Type]]="Regulatory and Guidance",FMS_Ranking4[[#This Row],[Rank (with ArcSinh normalization of select criteria)]],"")</f>
        <v/>
      </c>
      <c r="CA355" s="200" t="str">
        <f>IF(FMS_Ranking4[[#This Row],[FMS Type]]="Education and Outreach",FMS_Ranking4[[#This Row],[Rank (with ArcSinh normalization of select criteria)]],"")</f>
        <v/>
      </c>
      <c r="CB355" s="200" t="str">
        <f>IF(FMS_Ranking4[[#This Row],[FMS Type]]="Property Acquisition and Structural Elevation",FMS_Ranking4[[#This Row],[Rank (with ArcSinh normalization of select criteria)]],"")</f>
        <v/>
      </c>
      <c r="CC355" s="200">
        <f>IF(FMS_Ranking4[[#This Row],[FMS Type]]="Infrastructure Projects",FMS_Ranking4[[#This Row],[Rank (with ArcSinh normalization of select criteria)]],"")</f>
        <v>348</v>
      </c>
      <c r="CD355" s="200" t="str">
        <f>IF(FMS_Ranking4[[#This Row],[FMS Type]]="Other",FMS_Ranking4[[#This Row],[Rank (with ArcSinh normalization of select criteria)]],"")</f>
        <v/>
      </c>
      <c r="CE355" s="201"/>
      <c r="CF355" s="206"/>
      <c r="CG355" s="206"/>
      <c r="CH355" s="206"/>
      <c r="CI355" s="206"/>
      <c r="CJ355" s="206"/>
      <c r="CK355" s="206"/>
      <c r="CL355" s="206"/>
      <c r="CM355" s="206"/>
      <c r="CN355" s="206"/>
      <c r="CO355" s="206"/>
      <c r="CP355" s="206"/>
      <c r="CQ355" s="206"/>
      <c r="CR355" s="206"/>
    </row>
    <row r="356" spans="2:96" ht="105" x14ac:dyDescent="0.25">
      <c r="B356" s="341" t="s">
        <v>12035</v>
      </c>
      <c r="C356" s="246">
        <f>_xlfn.XLOOKUP(FMS_Ranking4[[#This Row],[FMS ID]],FMS_Input[FMS_ID],FMS_Input[RFPG_NUM])</f>
        <v>15</v>
      </c>
      <c r="D356" s="309" t="str">
        <f>_xlfn.XLOOKUP(FMS_Ranking4[[#This Row],[FMS ID]],FMS_Input[FMS_ID],FMS_Input[FMS_NAME])</f>
        <v>City of Alamo</v>
      </c>
      <c r="E356" s="308" t="str">
        <f>_xlfn.XLOOKUP(FMS_Ranking4[[#This Row],[FMS ID]],FMS_Input[FMS_ID],FMS_Input[SPONSOR])</f>
        <v>15000055</v>
      </c>
      <c r="F356" s="309" t="str">
        <f>_xlfn.XLOOKUP(FMS_Ranking4[[#This Row],[FMS ID]],Sponsor[FMS_ID],Sponsor[SPONSOR NAME])</f>
        <v>Alamo</v>
      </c>
      <c r="G356" s="309" t="str">
        <f>_xlfn.XLOOKUP(FMS_Ranking4[[#This Row],[FMS ID]],FMS_Input[FMS_ID],FMS_Input[FMS_DESCR])</f>
        <v>FMS 2 - Assessment, development, and updating of the City's ordinances, orders, policies, engineering specifications, guidance documents and other flood management tools.</v>
      </c>
      <c r="H356" s="248" t="str">
        <f>_xlfn.XLOOKUP(FMS_Ranking4[[#This Row],[FMS ID]],FMS_Input[FMS_ID],FMS_Input[FMS_TYPE])</f>
        <v>Regulatory and Guidance</v>
      </c>
      <c r="I356" s="249">
        <f>_xlfn.XLOOKUP(FMS_Ranking4[[#This Row],[FMS ID]],FMS_Input[FMS_ID],FMS_Input[NRNC_COST])</f>
        <v>500000</v>
      </c>
      <c r="J356" s="250">
        <f>_xlfn.XLOOKUP(FMS_Ranking4[[#This Row],[FMS ID]],FMS_Input[FMS_ID],FMS_Input[FMS_COST])</f>
        <v>500000</v>
      </c>
      <c r="K356" s="251" t="str">
        <f>_xlfn.XLOOKUP(FMS_Ranking4[[#This Row],[FMS ID]],FMS_Input[FMS_ID],FMS_Input[EMER_NEED])</f>
        <v>Yes</v>
      </c>
      <c r="L356" s="252">
        <f t="shared" si="5"/>
        <v>1</v>
      </c>
      <c r="M356" s="253">
        <f>_xlfn.XLOOKUP(FMS_Ranking4[[#This Row],[FMS ID]],FMS_Input[FMS_ID],FMS_Input[STRUCT_100])</f>
        <v>3056</v>
      </c>
      <c r="N356" s="255">
        <f>(ASINH(FMS_Ranking4[[#This Row],[Structure at Risk Raw]]))*(10)/(ASINH(M$4))</f>
        <v>6.8536534104574311</v>
      </c>
      <c r="O356" s="256">
        <f>FMS_Ranking4[[#This Row],[Structures at risk, ArcSinh (0-10)]]*M$5*10</f>
        <v>6.853653410457432</v>
      </c>
      <c r="P356" s="253">
        <f>_xlfn.XLOOKUP(FMS_Ranking4[[#This Row],[FMS ID]],FMS_Input[FMS_ID],FMS_Input[RES_STRUCT100])</f>
        <v>2411</v>
      </c>
      <c r="Q356" s="257">
        <f>ASINH(FMS_Ranking4[[#This Row],[Res Structure Raw]])/Q$4*P$5*100</f>
        <v>0</v>
      </c>
      <c r="R356" s="253">
        <f>_xlfn.XLOOKUP(FMS_Ranking4[[#This Row],[FMS ID]],FMS_Input[FMS_ID],FMS_Input[POP100])</f>
        <v>9335</v>
      </c>
      <c r="S356" s="259">
        <f>(ASINH(FMS_Ranking4[[#This Row],[Pop at Risk Raw]]))*(10)/(ASINH(R$4))</f>
        <v>6.7894474914913552</v>
      </c>
      <c r="T356" s="256">
        <f>FMS_Ranking4[[#This Row],[Population at risk, ArcSinh (0-10)]]*R$5*10</f>
        <v>6.7894474914913561</v>
      </c>
      <c r="U356" s="253">
        <f>_xlfn.XLOOKUP(FMS_Ranking4[[#This Row],[FMS ID]],FMS_Input[FMS_ID],FMS_Input[CRITFAC100])</f>
        <v>14</v>
      </c>
      <c r="V356" s="259">
        <f>(ASINH(FMS_Ranking4[[#This Row],[Critical Facilities Raw]]))*(10)/(ASINH(U$4))</f>
        <v>3.9460512246267809</v>
      </c>
      <c r="W356" s="256">
        <f>FMS_Ranking4[[#This Row],[Critical facilities at risk, ArcSinh (0-10)]]*U$5*10</f>
        <v>3.9460512246267809</v>
      </c>
      <c r="X356" s="253">
        <f>_xlfn.XLOOKUP(FMS_Ranking4[[#This Row],[FMS ID]],FMS_Input[FMS_ID],FMS_Input[LWC])</f>
        <v>0</v>
      </c>
      <c r="Y356" s="259">
        <f>(ASINH(FMS_Ranking4[[#This Row],[LWC Raw]]))*(10)/(ASINH(X$4))</f>
        <v>0</v>
      </c>
      <c r="Z356" s="256">
        <f>FMS_Ranking4[[#This Row],[LWC, ArcSInh (0-10)]]*X$5*10</f>
        <v>0</v>
      </c>
      <c r="AA356" s="253">
        <f>_xlfn.XLOOKUP(FMS_Ranking4[[#This Row],[FMS ID]],FMS_Input[FMS_ID],FMS_Input[ROADCLS])</f>
        <v>0</v>
      </c>
      <c r="AB356" s="255">
        <f>(ASINH(FMS_Ranking4[[#This Row],[Road Closures Raw]]))*(10)/(ASINH(AA$4))</f>
        <v>0</v>
      </c>
      <c r="AC356" s="256">
        <f>FMS_Ranking4[[#This Row],[Road closures, ArcSinh (0-10)]]*AA$5*10</f>
        <v>0</v>
      </c>
      <c r="AD356" s="253">
        <f>_xlfn.XLOOKUP(FMS_Ranking4[[#This Row],[FMS ID]],FMS_Input[FMS_ID],FMS_Input[ROAD_MILES100])</f>
        <v>58</v>
      </c>
      <c r="AE356" s="259">
        <f>(ASINH(FMS_Ranking4[[#This Row],[Road Miles Raw]]))*(10)/(ASINH(AD$4))</f>
        <v>5.0660985077085225</v>
      </c>
      <c r="AF356" s="256">
        <f>FMS_Ranking4[[#This Row],[Length of roads at risk, ArcSinh (0-10)]]*AD$5*10</f>
        <v>5.0660985077085225</v>
      </c>
      <c r="AG356" s="253">
        <f>_xlfn.XLOOKUP(FMS_Ranking4[[#This Row],[FMS ID]],FMS_Input[FMS_ID],FMS_Input[FARMACRE100])</f>
        <v>1.482052803039551</v>
      </c>
      <c r="AH356" s="255">
        <f>(ASINH(FMS_Ranking4[[#This Row],[Ag Land Raw]]))*(10)/(ASINH(AG$4))</f>
        <v>0.76960236030466889</v>
      </c>
      <c r="AI356" s="260">
        <f>FMS_Ranking4[[#This Row],[Farm &amp; ranch land, ArcSinh (0-10)]]*AG$5*10</f>
        <v>0.38480118015233444</v>
      </c>
      <c r="AJ356" s="258">
        <f>_xlfn.XLOOKUP(FMS_Ranking4[[#This Row],[FMS ID]],FMS_Input[FMS_ID],FMS_Input[REDSTRUCT100])</f>
        <v>0</v>
      </c>
      <c r="AK356" s="253">
        <f>_xlfn.XLOOKUP(FMS_Ranking4[[#This Row],[FMS ID]],FMS_Input[FMS_ID],FMS_Input[REMSTRC100])</f>
        <v>0</v>
      </c>
      <c r="AL356" s="259">
        <f>(ASINH(FMS_Ranking4[[#This Row],[Structures Removed Raw]]))*(10)/(ASINH(AK$4))</f>
        <v>0</v>
      </c>
      <c r="AM356" s="262">
        <f>FMS_Ranking4[[#This Row],[Structures removed, ArcSinh (0-10)]]*AK$5*10</f>
        <v>0</v>
      </c>
      <c r="AN356" s="253">
        <f>_xlfn.XLOOKUP(FMS_Ranking4[[#This Row],[FMS ID]],FMS_Input[FMS_ID],FMS_Input[REMRESSTRC100])</f>
        <v>0</v>
      </c>
      <c r="AO356" s="261">
        <f>FMS_Ranking4[[#This Row],[ArcSinh Res struct removed 0-10]]*AN$5*10</f>
        <v>0</v>
      </c>
      <c r="AP356" s="260">
        <f>ASINH(FMS_Ranking4[[#This Row],[Residential Structures Removed Raw]])/AP$4*AN$5*100</f>
        <v>0</v>
      </c>
      <c r="AQ356" s="254">
        <f>(ASINH(FMS_Ranking4[[#This Row],[Residential Structures Removed Raw]]))*(10)/(ASINH(AN$4))</f>
        <v>0</v>
      </c>
      <c r="AR356" s="253">
        <f>_xlfn.XLOOKUP(FMS_Ranking4[[#This Row],[FMS ID]],FMS_Input[FMS_ID],FMS_Input[REMPOP100])</f>
        <v>0</v>
      </c>
      <c r="AS356" s="259">
        <f>(ASINH(FMS_Ranking4[[#This Row],[Removed Pop Raw]]))*(10)/(ASINH(AR$4))</f>
        <v>0</v>
      </c>
      <c r="AT356" s="262">
        <f>FMS_Ranking4[[#This Row],[Removed population, ArcSinh (0-10)]]*AR$5*10</f>
        <v>0</v>
      </c>
      <c r="AU356" s="264">
        <f>_xlfn.XLOOKUP(FMS_Ranking4[[#This Row],[FMS ID]],FMS_Input[FMS_ID],FMS_Input[REMCRITFAC100])</f>
        <v>0</v>
      </c>
      <c r="AV356" s="264">
        <f>_xlfn.XLOOKUP(FMS_Ranking4[[#This Row],[FMS ID]],FMS_Input[FMS_ID],FMS_Input[REMLWC100])</f>
        <v>0</v>
      </c>
      <c r="AW356" s="264">
        <f>_xlfn.XLOOKUP(FMS_Ranking4[[#This Row],[FMS ID]],FMS_Input[FMS_ID],FMS_Input[REMROADCLS])</f>
        <v>0</v>
      </c>
      <c r="AX356" s="264">
        <f>_xlfn.XLOOKUP(FMS_Ranking4[[#This Row],[FMS ID]],FMS_Input[FMS_ID],FMS_Input[REMFRMACRE100])</f>
        <v>0</v>
      </c>
      <c r="AY356" s="258">
        <f>_xlfn.XLOOKUP(FMS_Ranking4[[#This Row],[FMS ID]],FMS_Input[FMS_ID],FMS_Input[COSTSTRUCT])</f>
        <v>0</v>
      </c>
      <c r="AZ356" s="253">
        <f>_xlfn.XLOOKUP(FMS_Ranking4[[#This Row],[FMS ID]],FMS_Input[FMS_ID],FMS_Input[NATURE])</f>
        <v>0</v>
      </c>
      <c r="BA356" s="262">
        <f>(((FMS_Ranking4[[#This Row],[% NBS Raw]]/AZ$4)*100)*AZ$5)</f>
        <v>0</v>
      </c>
      <c r="BB356" s="251" t="str">
        <f>_xlfn.XLOOKUP(FMS_Ranking4[[#This Row],[FMS ID]],FMS_Input[FMS_ID],FMS_Input[WATER_SUP])</f>
        <v>No</v>
      </c>
      <c r="BC356" s="265">
        <f>IF(FMS_Ranking4[[#This Row],[Water Supply Raw]]="Yes",10,0)</f>
        <v>0</v>
      </c>
      <c r="BD356" s="266">
        <f>_xlfn.XLOOKUP(FMS_Ranking4[[#This Row],[FMS Type]],FMS_TYPE[FMS_Type],FMS_TYPE[Score])</f>
        <v>8</v>
      </c>
      <c r="BE356" s="267">
        <f>FMS_Ranking4[[#This Row],[FMS_Type Score]]*$BD$5*10</f>
        <v>2</v>
      </c>
      <c r="BF35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0.43592609978468366</v>
      </c>
      <c r="BG356" s="271">
        <f>_xlfn.RANK.EQ(BF356,$BF$8:$BF$870,0)+COUNTIF($BF$8:BF356,BF356)-1</f>
        <v>247</v>
      </c>
      <c r="BH356" s="268">
        <f>(((FMS_Ranking4[[#This Row],[Structures Removed Raw]]/AK$4)*100)*AK$5)+(((FMS_Ranking4[[#This Row],[Removed Pop Raw]]/AR$4)*100)*AR$5)</f>
        <v>0</v>
      </c>
      <c r="BI35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2.4359260997846839</v>
      </c>
      <c r="BJ356" s="205">
        <f>_xlfn.RANK.EQ(FMS_Ranking4[[#This Row],[Total Score 
(with linear
normalization)]],FMS_Ranking4[Total Score 
(with linear
normalization)],0)</f>
        <v>273</v>
      </c>
      <c r="BK356" s="205" t="e">
        <f>_xlfn.XLOOKUP(FMS_Ranking4[[#This Row],[FMS ID]],#REF!,#REF!)</f>
        <v>#REF!</v>
      </c>
      <c r="BL35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23.040051814436428</v>
      </c>
      <c r="BM356" s="272">
        <f>FMS_Ranking4[[#This Row],[ArcSinh Score Based on Normalized Reported Factors]]+FMS_Ranking4[[#This Row],[% NBS Score (Normalized)]]+(FMS_Ranking4[[#This Row],[Water Supply Score (Normalized)]]*10*$BB$5)+FMS_Ranking4[[#This Row],[FMS_Type Score Weighted]]</f>
        <v>25.040051814436428</v>
      </c>
      <c r="BN356" s="205">
        <f>_xlfn.RANK.EQ(FMS_Ranking4[[#This Row],[Total Score (with ArcSinh normalization of select criteria)]],FMS_Ranking4[Total Score (with ArcSinh normalization of select criteria)],0)</f>
        <v>349</v>
      </c>
      <c r="BO356" s="270" t="str">
        <f>_xlfn.XLOOKUP(FMS_Ranking4[[#This Row],[FMS ID]],FMS_Input[FMS_ID],FMS_Input[FMS_RANK_YEAR])</f>
        <v>2025 Amended Plan</v>
      </c>
      <c r="BP356" s="204" t="e">
        <f>_xlfn.XLOOKUP(FMS_Ranking4[[#This Row],[FMS ID]],Prev_Rank[FMS ID],Prev_Rank[Prev Rank])</f>
        <v>#N/A</v>
      </c>
      <c r="BQ356" s="205" t="e">
        <f>_xlfn.XLOOKUP(FMS_Ranking4[[#This Row],[FMS ID]],#REF!,#REF!)</f>
        <v>#REF!</v>
      </c>
      <c r="BR356" s="199" t="e">
        <f>SUM(#REF!,#REF!,#REF!,#REF!,#REF!,#REF!,#REF!,#REF!,#REF!,FMS_Ranking4[[#This Row],[ArcSinh Res struct removed 0-10]],#REF!)</f>
        <v>#REF!</v>
      </c>
      <c r="BS356" s="199" t="e">
        <f>FMS_Ranking4[[#This Row],[Log Score Based on Normalized Reported Factors]]+FMS_Ranking4[[#This Row],[% NBS Score (Normalized)]]+(FMS_Ranking4[[#This Row],[Water Supply Score (Normalized)]]*10*$BB$5)+(FMS_Ranking4[[#This Row],[FMS_Type Score Weighted]])</f>
        <v>#REF!</v>
      </c>
      <c r="BT356" s="200" t="e">
        <f>_xlfn.RANK.EQ(FMS_Ranking4[[#This Row],[Log Total Score]],FMS_Ranking4[Log Total Score],0)</f>
        <v>#REF!</v>
      </c>
      <c r="BU356" s="200" t="e">
        <f>_xlfn.XLOOKUP(FMS_Ranking4[[#This Row],[FMS ID]],#REF!,#REF!)</f>
        <v>#REF!</v>
      </c>
      <c r="BV356" s="200">
        <f>FMS_Ranking4[[#This Row],[Region Number]]</f>
        <v>15</v>
      </c>
      <c r="BW356" s="200">
        <f>FMS_Ranking4[[#This Row],[Rank (with ArcSinh normalization of select criteria)]]-FMS_Ranking4[[#This Row],[Rank
(with linear
normalization)]]</f>
        <v>76</v>
      </c>
      <c r="BX356" s="200" t="e">
        <f>FMS_Ranking4[[#This Row],[Log Rank]]-FMS_Ranking4[[#This Row],[Rank
(with linear
normalization)]]</f>
        <v>#REF!</v>
      </c>
      <c r="BY356" s="200" t="str">
        <f>IF(FMS_Ranking4[[#This Row],[FMS Type]]="Flood Measurement and Warning",FMS_Ranking4[[#This Row],[Rank (with ArcSinh normalization of select criteria)]],"")</f>
        <v/>
      </c>
      <c r="BZ356" s="200">
        <f>IF(FMS_Ranking4[[#This Row],[FMS Type]]="Regulatory and Guidance",FMS_Ranking4[[#This Row],[Rank (with ArcSinh normalization of select criteria)]],"")</f>
        <v>349</v>
      </c>
      <c r="CA356" s="200" t="str">
        <f>IF(FMS_Ranking4[[#This Row],[FMS Type]]="Education and Outreach",FMS_Ranking4[[#This Row],[Rank (with ArcSinh normalization of select criteria)]],"")</f>
        <v/>
      </c>
      <c r="CB356" s="200" t="str">
        <f>IF(FMS_Ranking4[[#This Row],[FMS Type]]="Property Acquisition and Structural Elevation",FMS_Ranking4[[#This Row],[Rank (with ArcSinh normalization of select criteria)]],"")</f>
        <v/>
      </c>
      <c r="CC356" s="200" t="str">
        <f>IF(FMS_Ranking4[[#This Row],[FMS Type]]="Infrastructure Projects",FMS_Ranking4[[#This Row],[Rank (with ArcSinh normalization of select criteria)]],"")</f>
        <v/>
      </c>
      <c r="CD356" s="200" t="str">
        <f>IF(FMS_Ranking4[[#This Row],[FMS Type]]="Other",FMS_Ranking4[[#This Row],[Rank (with ArcSinh normalization of select criteria)]],"")</f>
        <v/>
      </c>
      <c r="CE356" s="201"/>
      <c r="CF356" s="206"/>
      <c r="CG356" s="206"/>
      <c r="CH356" s="206"/>
      <c r="CI356" s="206"/>
      <c r="CJ356" s="206"/>
      <c r="CK356" s="206"/>
      <c r="CL356" s="206"/>
      <c r="CM356" s="206"/>
      <c r="CN356" s="206"/>
      <c r="CO356" s="206"/>
      <c r="CP356" s="206"/>
      <c r="CQ356" s="206"/>
      <c r="CR356" s="206"/>
    </row>
    <row r="357" spans="2:96" ht="75" x14ac:dyDescent="0.25">
      <c r="B357" s="346" t="s">
        <v>3895</v>
      </c>
      <c r="C357" s="246">
        <f>_xlfn.XLOOKUP(FMS_Ranking4[[#This Row],[FMS ID]],FMS_Input[FMS_ID],FMS_Input[RFPG_NUM])</f>
        <v>15</v>
      </c>
      <c r="D357" s="309" t="str">
        <f>_xlfn.XLOOKUP(FMS_Ranking4[[#This Row],[FMS ID]],FMS_Input[FMS_ID],FMS_Input[FMS_NAME])</f>
        <v>Hidalgo #5-1.1</v>
      </c>
      <c r="E357" s="308" t="str">
        <f>_xlfn.XLOOKUP(FMS_Ranking4[[#This Row],[FMS ID]],FMS_Input[FMS_ID],FMS_Input[SPONSOR])</f>
        <v>15000061</v>
      </c>
      <c r="F357" s="309" t="str">
        <f>_xlfn.XLOOKUP(FMS_Ranking4[[#This Row],[FMS ID]],Sponsor[FMS_ID],Sponsor[SPONSOR NAME])</f>
        <v>Hidalgo</v>
      </c>
      <c r="G357" s="309" t="str">
        <f>_xlfn.XLOOKUP(FMS_Ranking4[[#This Row],[FMS ID]],FMS_Input[FMS_ID],FMS_Input[FMS_DESCR])</f>
        <v>Develop a Program To Provide Links To Weather Alerts And Departmental Phone Listings With Contact Personnel For Residents.</v>
      </c>
      <c r="H357" s="248" t="str">
        <f>_xlfn.XLOOKUP(FMS_Ranking4[[#This Row],[FMS ID]],FMS_Input[FMS_ID],FMS_Input[FMS_TYPE])</f>
        <v>Education and Outreach</v>
      </c>
      <c r="I357" s="249">
        <f>_xlfn.XLOOKUP(FMS_Ranking4[[#This Row],[FMS ID]],FMS_Input[FMS_ID],FMS_Input[NRNC_COST])</f>
        <v>1000</v>
      </c>
      <c r="J357" s="250">
        <f>_xlfn.XLOOKUP(FMS_Ranking4[[#This Row],[FMS ID]],FMS_Input[FMS_ID],FMS_Input[FMS_COST])</f>
        <v>5000</v>
      </c>
      <c r="K357" s="251" t="str">
        <f>_xlfn.XLOOKUP(FMS_Ranking4[[#This Row],[FMS ID]],FMS_Input[FMS_ID],FMS_Input[EMER_NEED])</f>
        <v>Yes</v>
      </c>
      <c r="L357" s="252">
        <f t="shared" si="5"/>
        <v>1</v>
      </c>
      <c r="M357" s="253">
        <f>_xlfn.XLOOKUP(FMS_Ranking4[[#This Row],[FMS ID]],FMS_Input[FMS_ID],FMS_Input[STRUCT_100])</f>
        <v>3776</v>
      </c>
      <c r="N357" s="255">
        <f>(ASINH(FMS_Ranking4[[#This Row],[Structure at Risk Raw]]))*(10)/(ASINH(M$4))</f>
        <v>7.0199697871806217</v>
      </c>
      <c r="O357" s="256">
        <f>FMS_Ranking4[[#This Row],[Structures at risk, ArcSinh (0-10)]]*M$5*10</f>
        <v>7.0199697871806226</v>
      </c>
      <c r="P357" s="253">
        <f>_xlfn.XLOOKUP(FMS_Ranking4[[#This Row],[FMS ID]],FMS_Input[FMS_ID],FMS_Input[RES_STRUCT100])</f>
        <v>3144</v>
      </c>
      <c r="Q357" s="257">
        <f>ASINH(FMS_Ranking4[[#This Row],[Res Structure Raw]])/Q$4*P$5*100</f>
        <v>0</v>
      </c>
      <c r="R357" s="253">
        <f>_xlfn.XLOOKUP(FMS_Ranking4[[#This Row],[FMS ID]],FMS_Input[FMS_ID],FMS_Input[POP100])</f>
        <v>14338</v>
      </c>
      <c r="S357" s="255">
        <f>(ASINH(FMS_Ranking4[[#This Row],[Pop at Risk Raw]]))*(10)/(ASINH(R$4))</f>
        <v>7.0857095960385141</v>
      </c>
      <c r="T357" s="256">
        <f>FMS_Ranking4[[#This Row],[Population at risk, ArcSinh (0-10)]]*R$5*10</f>
        <v>7.0857095960385141</v>
      </c>
      <c r="U357" s="253">
        <f>_xlfn.XLOOKUP(FMS_Ranking4[[#This Row],[FMS ID]],FMS_Input[FMS_ID],FMS_Input[CRITFAC100])</f>
        <v>2</v>
      </c>
      <c r="V357" s="255">
        <f>(ASINH(FMS_Ranking4[[#This Row],[Critical Facilities Raw]]))*(10)/(ASINH(U$4))</f>
        <v>1.7089239049208753</v>
      </c>
      <c r="W357" s="256">
        <f>FMS_Ranking4[[#This Row],[Critical facilities at risk, ArcSinh (0-10)]]*U$5*10</f>
        <v>1.7089239049208755</v>
      </c>
      <c r="X357" s="253">
        <f>_xlfn.XLOOKUP(FMS_Ranking4[[#This Row],[FMS ID]],FMS_Input[FMS_ID],FMS_Input[LWC])</f>
        <v>0</v>
      </c>
      <c r="Y357" s="255">
        <f>(ASINH(FMS_Ranking4[[#This Row],[LWC Raw]]))*(10)/(ASINH(X$4))</f>
        <v>0</v>
      </c>
      <c r="Z357" s="256">
        <f>FMS_Ranking4[[#This Row],[LWC, ArcSInh (0-10)]]*X$5*10</f>
        <v>0</v>
      </c>
      <c r="AA357" s="253">
        <f>_xlfn.XLOOKUP(FMS_Ranking4[[#This Row],[FMS ID]],FMS_Input[FMS_ID],FMS_Input[ROADCLS])</f>
        <v>0</v>
      </c>
      <c r="AB357" s="255">
        <f>(ASINH(FMS_Ranking4[[#This Row],[Road Closures Raw]]))*(10)/(ASINH(AA$4))</f>
        <v>0</v>
      </c>
      <c r="AC357" s="256">
        <f>FMS_Ranking4[[#This Row],[Road closures, ArcSinh (0-10)]]*AA$5*10</f>
        <v>0</v>
      </c>
      <c r="AD357" s="253">
        <f>_xlfn.XLOOKUP(FMS_Ranking4[[#This Row],[FMS ID]],FMS_Input[FMS_ID],FMS_Input[ROAD_MILES100])</f>
        <v>54</v>
      </c>
      <c r="AE357" s="255">
        <f>(ASINH(FMS_Ranking4[[#This Row],[Road Miles Raw]]))*(10)/(ASINH(AD$4))</f>
        <v>4.9899550772881724</v>
      </c>
      <c r="AF357" s="256">
        <f>FMS_Ranking4[[#This Row],[Length of roads at risk, ArcSinh (0-10)]]*AD$5*10</f>
        <v>4.9899550772881724</v>
      </c>
      <c r="AG357" s="253">
        <f>_xlfn.XLOOKUP(FMS_Ranking4[[#This Row],[FMS ID]],FMS_Input[FMS_ID],FMS_Input[FARMACRE100])</f>
        <v>1875.234985351562</v>
      </c>
      <c r="AH357" s="255">
        <f>(ASINH(FMS_Ranking4[[#This Row],[Ag Land Raw]]))*(10)/(ASINH(AG$4))</f>
        <v>5.3458193746206684</v>
      </c>
      <c r="AI357" s="260">
        <f>FMS_Ranking4[[#This Row],[Farm &amp; ranch land, ArcSinh (0-10)]]*AG$5*10</f>
        <v>2.6729096873103342</v>
      </c>
      <c r="AJ357" s="258">
        <f>_xlfn.XLOOKUP(FMS_Ranking4[[#This Row],[FMS ID]],FMS_Input[FMS_ID],FMS_Input[REDSTRUCT100])</f>
        <v>0</v>
      </c>
      <c r="AK357" s="253">
        <f>_xlfn.XLOOKUP(FMS_Ranking4[[#This Row],[FMS ID]],FMS_Input[FMS_ID],FMS_Input[REMSTRC100])</f>
        <v>0</v>
      </c>
      <c r="AL357" s="255">
        <f>(ASINH(FMS_Ranking4[[#This Row],[Structures Removed Raw]]))*(10)/(ASINH(AK$4))</f>
        <v>0</v>
      </c>
      <c r="AM357" s="262">
        <f>FMS_Ranking4[[#This Row],[Structures removed, ArcSinh (0-10)]]*AK$5*10</f>
        <v>0</v>
      </c>
      <c r="AN357" s="253">
        <f>_xlfn.XLOOKUP(FMS_Ranking4[[#This Row],[FMS ID]],FMS_Input[FMS_ID],FMS_Input[REMRESSTRC100])</f>
        <v>0</v>
      </c>
      <c r="AO357" s="261">
        <f>FMS_Ranking4[[#This Row],[ArcSinh Res struct removed 0-10]]*AN$5*10</f>
        <v>0</v>
      </c>
      <c r="AP357" s="260">
        <f>ASINH(FMS_Ranking4[[#This Row],[Residential Structures Removed Raw]])/AP$4*AN$5*100</f>
        <v>0</v>
      </c>
      <c r="AQ357" s="258">
        <f>(ASINH(FMS_Ranking4[[#This Row],[Residential Structures Removed Raw]]))*(10)/(ASINH(AN$4))</f>
        <v>0</v>
      </c>
      <c r="AR357" s="253">
        <f>_xlfn.XLOOKUP(FMS_Ranking4[[#This Row],[FMS ID]],FMS_Input[FMS_ID],FMS_Input[REMPOP100])</f>
        <v>0</v>
      </c>
      <c r="AS357" s="255">
        <f>(ASINH(FMS_Ranking4[[#This Row],[Removed Pop Raw]]))*(10)/(ASINH(AR$4))</f>
        <v>0</v>
      </c>
      <c r="AT357" s="262">
        <f>FMS_Ranking4[[#This Row],[Removed population, ArcSinh (0-10)]]*AR$5*10</f>
        <v>0</v>
      </c>
      <c r="AU357" s="264">
        <f>_xlfn.XLOOKUP(FMS_Ranking4[[#This Row],[FMS ID]],FMS_Input[FMS_ID],FMS_Input[REMCRITFAC100])</f>
        <v>0</v>
      </c>
      <c r="AV357" s="264">
        <f>_xlfn.XLOOKUP(FMS_Ranking4[[#This Row],[FMS ID]],FMS_Input[FMS_ID],FMS_Input[REMLWC100])</f>
        <v>0</v>
      </c>
      <c r="AW357" s="264">
        <f>_xlfn.XLOOKUP(FMS_Ranking4[[#This Row],[FMS ID]],FMS_Input[FMS_ID],FMS_Input[REMROADCLS])</f>
        <v>0</v>
      </c>
      <c r="AX357" s="264">
        <f>_xlfn.XLOOKUP(FMS_Ranking4[[#This Row],[FMS ID]],FMS_Input[FMS_ID],FMS_Input[REMFRMACRE100])</f>
        <v>0</v>
      </c>
      <c r="AY357" s="258">
        <f>_xlfn.XLOOKUP(FMS_Ranking4[[#This Row],[FMS ID]],FMS_Input[FMS_ID],FMS_Input[COSTSTRUCT])</f>
        <v>0</v>
      </c>
      <c r="AZ357" s="253">
        <f>_xlfn.XLOOKUP(FMS_Ranking4[[#This Row],[FMS ID]],FMS_Input[FMS_ID],FMS_Input[NATURE])</f>
        <v>0</v>
      </c>
      <c r="BA357" s="262">
        <f>(((FMS_Ranking4[[#This Row],[% NBS Raw]]/AZ$4)*100)*AZ$5)</f>
        <v>0</v>
      </c>
      <c r="BB357" s="251" t="str">
        <f>_xlfn.XLOOKUP(FMS_Ranking4[[#This Row],[FMS ID]],FMS_Input[FMS_ID],FMS_Input[WATER_SUP])</f>
        <v>No</v>
      </c>
      <c r="BC357" s="265">
        <f>IF(FMS_Ranking4[[#This Row],[Water Supply Raw]]="Yes",10,0)</f>
        <v>0</v>
      </c>
      <c r="BD357" s="266">
        <f>_xlfn.XLOOKUP(FMS_Ranking4[[#This Row],[FMS Type]],FMS_TYPE[FMS_Type],FMS_TYPE[Score])</f>
        <v>6</v>
      </c>
      <c r="BE357" s="267">
        <f>FMS_Ranking4[[#This Row],[FMS_Type Score]]*$BD$5*10</f>
        <v>1.5000000000000002</v>
      </c>
      <c r="BF35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0.47587367549211357</v>
      </c>
      <c r="BG357" s="293">
        <f>_xlfn.RANK.EQ(BF357,$BF$8:$BF$870,0)+COUNTIF($BF$8:BF357,BF357)-1</f>
        <v>231</v>
      </c>
      <c r="BH357" s="294">
        <f>(((FMS_Ranking4[[#This Row],[Structures Removed Raw]]/AK$4)*100)*AK$5)+(((FMS_Ranking4[[#This Row],[Removed Pop Raw]]/AR$4)*100)*AR$5)</f>
        <v>0</v>
      </c>
      <c r="BI35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1.9758736754921138</v>
      </c>
      <c r="BJ357" s="251">
        <f>_xlfn.RANK.EQ(FMS_Ranking4[[#This Row],[Total Score 
(with linear
normalization)]],FMS_Ranking4[Total Score 
(with linear
normalization)],0)</f>
        <v>523</v>
      </c>
      <c r="BK357" s="251" t="e">
        <f>_xlfn.XLOOKUP(FMS_Ranking4[[#This Row],[FMS ID]],#REF!,#REF!)</f>
        <v>#REF!</v>
      </c>
      <c r="BL35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23.477468052738519</v>
      </c>
      <c r="BM357" s="324">
        <f>FMS_Ranking4[[#This Row],[ArcSinh Score Based on Normalized Reported Factors]]+FMS_Ranking4[[#This Row],[% NBS Score (Normalized)]]+(FMS_Ranking4[[#This Row],[Water Supply Score (Normalized)]]*10*$BB$5)+FMS_Ranking4[[#This Row],[FMS_Type Score Weighted]]</f>
        <v>24.977468052738519</v>
      </c>
      <c r="BN357" s="251">
        <f>_xlfn.RANK.EQ(FMS_Ranking4[[#This Row],[Total Score (with ArcSinh normalization of select criteria)]],FMS_Ranking4[Total Score (with ArcSinh normalization of select criteria)],0)</f>
        <v>350</v>
      </c>
      <c r="BO357" s="270" t="str">
        <f>_xlfn.XLOOKUP(FMS_Ranking4[[#This Row],[FMS ID]],FMS_Input[FMS_ID],FMS_Input[FMS_RANK_YEAR])</f>
        <v>2023 Amended Plan</v>
      </c>
      <c r="BP357" s="324">
        <f>_xlfn.XLOOKUP(FMS_Ranking4[[#This Row],[FMS ID]],Prev_Rank[FMS ID],Prev_Rank[Prev Rank])</f>
        <v>310</v>
      </c>
      <c r="BQ357" s="251" t="e">
        <f>_xlfn.XLOOKUP(FMS_Ranking4[[#This Row],[FMS ID]],#REF!,#REF!)</f>
        <v>#REF!</v>
      </c>
      <c r="BR357" s="199" t="e">
        <f>SUM(#REF!,#REF!,#REF!,#REF!,#REF!,#REF!,#REF!,#REF!,#REF!,FMS_Ranking4[[#This Row],[ArcSinh Res struct removed 0-10]],#REF!)</f>
        <v>#REF!</v>
      </c>
      <c r="BS357" s="199" t="e">
        <f>FMS_Ranking4[[#This Row],[Log Score Based on Normalized Reported Factors]]+FMS_Ranking4[[#This Row],[% NBS Score (Normalized)]]+(FMS_Ranking4[[#This Row],[Water Supply Score (Normalized)]]*10*$BB$5)+(FMS_Ranking4[[#This Row],[FMS_Type Score Weighted]])</f>
        <v>#REF!</v>
      </c>
      <c r="BT357" s="200" t="e">
        <f>_xlfn.RANK.EQ(FMS_Ranking4[[#This Row],[Log Total Score]],FMS_Ranking4[Log Total Score],0)</f>
        <v>#REF!</v>
      </c>
      <c r="BU357" s="200" t="e">
        <f>_xlfn.XLOOKUP(FMS_Ranking4[[#This Row],[FMS ID]],#REF!,#REF!)</f>
        <v>#REF!</v>
      </c>
      <c r="BV357" s="200">
        <f>FMS_Ranking4[[#This Row],[Region Number]]</f>
        <v>15</v>
      </c>
      <c r="BW357" s="200">
        <f>FMS_Ranking4[[#This Row],[Rank (with ArcSinh normalization of select criteria)]]-FMS_Ranking4[[#This Row],[Rank
(with linear
normalization)]]</f>
        <v>-173</v>
      </c>
      <c r="BX357" s="200" t="e">
        <f>FMS_Ranking4[[#This Row],[Log Rank]]-FMS_Ranking4[[#This Row],[Rank
(with linear
normalization)]]</f>
        <v>#REF!</v>
      </c>
      <c r="BY357" s="200" t="str">
        <f>IF(FMS_Ranking4[[#This Row],[FMS Type]]="Flood Measurement and Warning",FMS_Ranking4[[#This Row],[Rank (with ArcSinh normalization of select criteria)]],"")</f>
        <v/>
      </c>
      <c r="BZ357" s="200" t="str">
        <f>IF(FMS_Ranking4[[#This Row],[FMS Type]]="Regulatory and Guidance",FMS_Ranking4[[#This Row],[Rank (with ArcSinh normalization of select criteria)]],"")</f>
        <v/>
      </c>
      <c r="CA357" s="200">
        <f>IF(FMS_Ranking4[[#This Row],[FMS Type]]="Education and Outreach",FMS_Ranking4[[#This Row],[Rank (with ArcSinh normalization of select criteria)]],"")</f>
        <v>350</v>
      </c>
      <c r="CB357" s="200" t="str">
        <f>IF(FMS_Ranking4[[#This Row],[FMS Type]]="Property Acquisition and Structural Elevation",FMS_Ranking4[[#This Row],[Rank (with ArcSinh normalization of select criteria)]],"")</f>
        <v/>
      </c>
      <c r="CC357" s="200" t="str">
        <f>IF(FMS_Ranking4[[#This Row],[FMS Type]]="Infrastructure Projects",FMS_Ranking4[[#This Row],[Rank (with ArcSinh normalization of select criteria)]],"")</f>
        <v/>
      </c>
      <c r="CD357" s="200" t="str">
        <f>IF(FMS_Ranking4[[#This Row],[FMS Type]]="Other",FMS_Ranking4[[#This Row],[Rank (with ArcSinh normalization of select criteria)]],"")</f>
        <v/>
      </c>
      <c r="CE357" s="201"/>
      <c r="CF357" s="206"/>
      <c r="CG357" s="206"/>
      <c r="CH357" s="206"/>
      <c r="CI357" s="206"/>
      <c r="CJ357" s="206"/>
      <c r="CK357" s="206"/>
      <c r="CL357" s="206"/>
      <c r="CM357" s="206"/>
      <c r="CN357" s="206"/>
      <c r="CO357" s="206"/>
      <c r="CP357" s="206"/>
      <c r="CQ357" s="206"/>
      <c r="CR357" s="206"/>
    </row>
    <row r="358" spans="2:96" ht="150" x14ac:dyDescent="0.25">
      <c r="B358" s="341" t="s">
        <v>2462</v>
      </c>
      <c r="C358" s="246">
        <f>_xlfn.XLOOKUP(FMS_Ranking4[[#This Row],[FMS ID]],FMS_Input[FMS_ID],FMS_Input[RFPG_NUM])</f>
        <v>3</v>
      </c>
      <c r="D358" s="309" t="str">
        <f>_xlfn.XLOOKUP(FMS_Ranking4[[#This Row],[FMS ID]],FMS_Input[FMS_ID],FMS_Input[FMS_NAME])</f>
        <v>City of Fort Worth HROM Program</v>
      </c>
      <c r="E358" s="308" t="str">
        <f>_xlfn.XLOOKUP(FMS_Ranking4[[#This Row],[FMS ID]],FMS_Input[FMS_ID],FMS_Input[SPONSOR])</f>
        <v>Fort Worth</v>
      </c>
      <c r="F358" s="309" t="str">
        <f>_xlfn.XLOOKUP(FMS_Ranking4[[#This Row],[FMS ID]],Sponsor[FMS_ID],Sponsor[SPONSOR NAME])</f>
        <v>Fort Worth</v>
      </c>
      <c r="G358" s="309" t="str">
        <f>_xlfn.XLOOKUP(FMS_Ranking4[[#This Row],[FMS ID]],FMS_Input[FMS_ID],FMS_Input[FMS_DESCR])</f>
        <v>Implement a Hazardous Roadway Overtopping Mitigation (HROM) Program to prioritize hazardous roadway overtopping and identify acceptable, affordable, and effective solutions for construction to maximize impact of available funding and reduce risks.</v>
      </c>
      <c r="H358" s="248" t="str">
        <f>_xlfn.XLOOKUP(FMS_Ranking4[[#This Row],[FMS ID]],FMS_Input[FMS_ID],FMS_Input[FMS_TYPE])</f>
        <v>Infrastructure Projects</v>
      </c>
      <c r="I358" s="249">
        <f>_xlfn.XLOOKUP(FMS_Ranking4[[#This Row],[FMS ID]],FMS_Input[FMS_ID],FMS_Input[NRNC_COST])</f>
        <v>3500000</v>
      </c>
      <c r="J358" s="250">
        <f>_xlfn.XLOOKUP(FMS_Ranking4[[#This Row],[FMS ID]],FMS_Input[FMS_ID],FMS_Input[FMS_COST])</f>
        <v>35000000</v>
      </c>
      <c r="K358" s="251" t="str">
        <f>_xlfn.XLOOKUP(FMS_Ranking4[[#This Row],[FMS ID]],FMS_Input[FMS_ID],FMS_Input[EMER_NEED])</f>
        <v>No</v>
      </c>
      <c r="L358" s="252">
        <f t="shared" si="5"/>
        <v>0</v>
      </c>
      <c r="M358" s="253">
        <f>_xlfn.XLOOKUP(FMS_Ranking4[[#This Row],[FMS ID]],FMS_Input[FMS_ID],FMS_Input[STRUCT_100])</f>
        <v>5921</v>
      </c>
      <c r="N358" s="255">
        <f>(ASINH(FMS_Ranking4[[#This Row],[Structure at Risk Raw]]))*(10)/(ASINH(M$4))</f>
        <v>7.3736110800325401</v>
      </c>
      <c r="O358" s="256">
        <f>FMS_Ranking4[[#This Row],[Structures at risk, ArcSinh (0-10)]]*M$5*10</f>
        <v>7.373611080032541</v>
      </c>
      <c r="P358" s="253">
        <f>_xlfn.XLOOKUP(FMS_Ranking4[[#This Row],[FMS ID]],FMS_Input[FMS_ID],FMS_Input[RES_STRUCT100])</f>
        <v>5086</v>
      </c>
      <c r="Q358" s="257">
        <f>ASINH(FMS_Ranking4[[#This Row],[Res Structure Raw]])/Q$4*P$5*100</f>
        <v>0</v>
      </c>
      <c r="R358" s="253">
        <f>_xlfn.XLOOKUP(FMS_Ranking4[[#This Row],[FMS ID]],FMS_Input[FMS_ID],FMS_Input[POP100])</f>
        <v>15932</v>
      </c>
      <c r="S358" s="255">
        <f>(ASINH(FMS_Ranking4[[#This Row],[Pop at Risk Raw]]))*(10)/(ASINH(R$4))</f>
        <v>7.1584846117145871</v>
      </c>
      <c r="T358" s="256">
        <f>FMS_Ranking4[[#This Row],[Population at risk, ArcSinh (0-10)]]*R$5*10</f>
        <v>7.1584846117145871</v>
      </c>
      <c r="U358" s="253">
        <f>_xlfn.XLOOKUP(FMS_Ranking4[[#This Row],[FMS ID]],FMS_Input[FMS_ID],FMS_Input[CRITFAC100])</f>
        <v>0</v>
      </c>
      <c r="V358" s="255">
        <f>(ASINH(FMS_Ranking4[[#This Row],[Critical Facilities Raw]]))*(10)/(ASINH(U$4))</f>
        <v>0</v>
      </c>
      <c r="W358" s="256">
        <f>FMS_Ranking4[[#This Row],[Critical facilities at risk, ArcSinh (0-10)]]*U$5*10</f>
        <v>0</v>
      </c>
      <c r="X358" s="253">
        <f>_xlfn.XLOOKUP(FMS_Ranking4[[#This Row],[FMS ID]],FMS_Input[FMS_ID],FMS_Input[LWC])</f>
        <v>0</v>
      </c>
      <c r="Y358" s="255">
        <f>(ASINH(FMS_Ranking4[[#This Row],[LWC Raw]]))*(10)/(ASINH(X$4))</f>
        <v>0</v>
      </c>
      <c r="Z358" s="256">
        <f>FMS_Ranking4[[#This Row],[LWC, ArcSInh (0-10)]]*X$5*10</f>
        <v>0</v>
      </c>
      <c r="AA358" s="253">
        <f>_xlfn.XLOOKUP(FMS_Ranking4[[#This Row],[FMS ID]],FMS_Input[FMS_ID],FMS_Input[ROADCLS])</f>
        <v>0</v>
      </c>
      <c r="AB358" s="255">
        <f>(ASINH(FMS_Ranking4[[#This Row],[Road Closures Raw]]))*(10)/(ASINH(AA$4))</f>
        <v>0</v>
      </c>
      <c r="AC358" s="256">
        <f>FMS_Ranking4[[#This Row],[Road closures, ArcSinh (0-10)]]*AA$5*10</f>
        <v>0</v>
      </c>
      <c r="AD358" s="253">
        <f>_xlfn.XLOOKUP(FMS_Ranking4[[#This Row],[FMS ID]],FMS_Input[FMS_ID],FMS_Input[ROAD_MILES100])</f>
        <v>185</v>
      </c>
      <c r="AE358" s="255">
        <f>(ASINH(FMS_Ranking4[[#This Row],[Road Miles Raw]]))*(10)/(ASINH(AD$4))</f>
        <v>6.302175040583557</v>
      </c>
      <c r="AF358" s="256">
        <f>FMS_Ranking4[[#This Row],[Length of roads at risk, ArcSinh (0-10)]]*AD$5*10</f>
        <v>6.3021750405835579</v>
      </c>
      <c r="AG358" s="253">
        <f>_xlfn.XLOOKUP(FMS_Ranking4[[#This Row],[FMS ID]],FMS_Input[FMS_ID],FMS_Input[FARMACRE100])</f>
        <v>7266.1318359375</v>
      </c>
      <c r="AH358" s="255">
        <f>(ASINH(FMS_Ranking4[[#This Row],[Ag Land Raw]]))*(10)/(ASINH(AG$4))</f>
        <v>6.2256710013461438</v>
      </c>
      <c r="AI358" s="260">
        <f>FMS_Ranking4[[#This Row],[Farm &amp; ranch land, ArcSinh (0-10)]]*AG$5*10</f>
        <v>3.1128355006730724</v>
      </c>
      <c r="AJ358" s="258">
        <f>_xlfn.XLOOKUP(FMS_Ranking4[[#This Row],[FMS ID]],FMS_Input[FMS_ID],FMS_Input[REDSTRUCT100])</f>
        <v>0</v>
      </c>
      <c r="AK358" s="253">
        <f>_xlfn.XLOOKUP(FMS_Ranking4[[#This Row],[FMS ID]],FMS_Input[FMS_ID],FMS_Input[REMSTRC100])</f>
        <v>0</v>
      </c>
      <c r="AL358" s="255">
        <f>(ASINH(FMS_Ranking4[[#This Row],[Structures Removed Raw]]))*(10)/(ASINH(AK$4))</f>
        <v>0</v>
      </c>
      <c r="AM358" s="262">
        <f>FMS_Ranking4[[#This Row],[Structures removed, ArcSinh (0-10)]]*AK$5*10</f>
        <v>0</v>
      </c>
      <c r="AN358" s="253">
        <f>_xlfn.XLOOKUP(FMS_Ranking4[[#This Row],[FMS ID]],FMS_Input[FMS_ID],FMS_Input[REMRESSTRC100])</f>
        <v>0</v>
      </c>
      <c r="AO358" s="261">
        <f>FMS_Ranking4[[#This Row],[ArcSinh Res struct removed 0-10]]*AN$5*10</f>
        <v>0</v>
      </c>
      <c r="AP358" s="260">
        <f>ASINH(FMS_Ranking4[[#This Row],[Residential Structures Removed Raw]])/AP$4*AN$5*100</f>
        <v>0</v>
      </c>
      <c r="AQ358" s="258">
        <f>(ASINH(FMS_Ranking4[[#This Row],[Residential Structures Removed Raw]]))*(10)/(ASINH(AN$4))</f>
        <v>0</v>
      </c>
      <c r="AR358" s="253">
        <f>_xlfn.XLOOKUP(FMS_Ranking4[[#This Row],[FMS ID]],FMS_Input[FMS_ID],FMS_Input[REMPOP100])</f>
        <v>0</v>
      </c>
      <c r="AS358" s="255">
        <f>(ASINH(FMS_Ranking4[[#This Row],[Removed Pop Raw]]))*(10)/(ASINH(AR$4))</f>
        <v>0</v>
      </c>
      <c r="AT358" s="262">
        <f>FMS_Ranking4[[#This Row],[Removed population, ArcSinh (0-10)]]*AR$5*10</f>
        <v>0</v>
      </c>
      <c r="AU358" s="264">
        <f>_xlfn.XLOOKUP(FMS_Ranking4[[#This Row],[FMS ID]],FMS_Input[FMS_ID],FMS_Input[REMCRITFAC100])</f>
        <v>0</v>
      </c>
      <c r="AV358" s="264">
        <f>_xlfn.XLOOKUP(FMS_Ranking4[[#This Row],[FMS ID]],FMS_Input[FMS_ID],FMS_Input[REMLWC100])</f>
        <v>0</v>
      </c>
      <c r="AW358" s="264">
        <f>_xlfn.XLOOKUP(FMS_Ranking4[[#This Row],[FMS ID]],FMS_Input[FMS_ID],FMS_Input[REMROADCLS])</f>
        <v>0</v>
      </c>
      <c r="AX358" s="264">
        <f>_xlfn.XLOOKUP(FMS_Ranking4[[#This Row],[FMS ID]],FMS_Input[FMS_ID],FMS_Input[REMFRMACRE100])</f>
        <v>0</v>
      </c>
      <c r="AY358" s="258">
        <f>_xlfn.XLOOKUP(FMS_Ranking4[[#This Row],[FMS ID]],FMS_Input[FMS_ID],FMS_Input[COSTSTRUCT])</f>
        <v>0</v>
      </c>
      <c r="AZ358" s="253">
        <f>_xlfn.XLOOKUP(FMS_Ranking4[[#This Row],[FMS ID]],FMS_Input[FMS_ID],FMS_Input[NATURE])</f>
        <v>0</v>
      </c>
      <c r="BA358" s="262">
        <f>(((FMS_Ranking4[[#This Row],[% NBS Raw]]/AZ$4)*100)*AZ$5)</f>
        <v>0</v>
      </c>
      <c r="BB358" s="251" t="str">
        <f>_xlfn.XLOOKUP(FMS_Ranking4[[#This Row],[FMS ID]],FMS_Input[FMS_ID],FMS_Input[WATER_SUP])</f>
        <v>No</v>
      </c>
      <c r="BC358" s="265">
        <f>IF(FMS_Ranking4[[#This Row],[Water Supply Raw]]="Yes",10,0)</f>
        <v>0</v>
      </c>
      <c r="BD358" s="266">
        <f>_xlfn.XLOOKUP(FMS_Ranking4[[#This Row],[FMS Type]],FMS_TYPE[FMS_Type],FMS_TYPE[Score])</f>
        <v>4</v>
      </c>
      <c r="BE358" s="267">
        <f>FMS_Ranking4[[#This Row],[FMS_Type Score]]*$BD$5*10</f>
        <v>1</v>
      </c>
      <c r="BF35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0.84339132943607298</v>
      </c>
      <c r="BG358" s="321">
        <f>_xlfn.RANK.EQ(BF358,$BF$8:$BF$870,0)+COUNTIF($BF$8:BF358,BF358)-1</f>
        <v>160</v>
      </c>
      <c r="BH358" s="294">
        <f>(((FMS_Ranking4[[#This Row],[Structures Removed Raw]]/AK$4)*100)*AK$5)+(((FMS_Ranking4[[#This Row],[Removed Pop Raw]]/AR$4)*100)*AR$5)</f>
        <v>0</v>
      </c>
      <c r="BI35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1.8433913294360731</v>
      </c>
      <c r="BJ358" s="251">
        <f>_xlfn.RANK.EQ(FMS_Ranking4[[#This Row],[Total Score 
(with linear
normalization)]],FMS_Ranking4[Total Score 
(with linear
normalization)],0)</f>
        <v>536</v>
      </c>
      <c r="BK358" s="251" t="e">
        <f>_xlfn.XLOOKUP(FMS_Ranking4[[#This Row],[FMS ID]],#REF!,#REF!)</f>
        <v>#REF!</v>
      </c>
      <c r="BL35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23.947106233003758</v>
      </c>
      <c r="BM358" s="324">
        <f>FMS_Ranking4[[#This Row],[ArcSinh Score Based on Normalized Reported Factors]]+FMS_Ranking4[[#This Row],[% NBS Score (Normalized)]]+(FMS_Ranking4[[#This Row],[Water Supply Score (Normalized)]]*10*$BB$5)+FMS_Ranking4[[#This Row],[FMS_Type Score Weighted]]</f>
        <v>24.947106233003758</v>
      </c>
      <c r="BN358" s="251">
        <f>_xlfn.RANK.EQ(FMS_Ranking4[[#This Row],[Total Score (with ArcSinh normalization of select criteria)]],FMS_Ranking4[Total Score (with ArcSinh normalization of select criteria)],0)</f>
        <v>351</v>
      </c>
      <c r="BO358" s="270" t="str">
        <f>_xlfn.XLOOKUP(FMS_Ranking4[[#This Row],[FMS ID]],FMS_Input[FMS_ID],FMS_Input[FMS_RANK_YEAR])</f>
        <v>2023 Amended Plan</v>
      </c>
      <c r="BP358" s="204">
        <f>_xlfn.XLOOKUP(FMS_Ranking4[[#This Row],[FMS ID]],Prev_Rank[FMS ID],Prev_Rank[Prev Rank])</f>
        <v>302</v>
      </c>
      <c r="BQ358" s="251" t="e">
        <f>_xlfn.XLOOKUP(FMS_Ranking4[[#This Row],[FMS ID]],#REF!,#REF!)</f>
        <v>#REF!</v>
      </c>
      <c r="BR358" s="199" t="e">
        <f>SUM(#REF!,#REF!,#REF!,#REF!,#REF!,#REF!,#REF!,#REF!,#REF!,FMS_Ranking4[[#This Row],[ArcSinh Res struct removed 0-10]],#REF!)</f>
        <v>#REF!</v>
      </c>
      <c r="BS358" s="199" t="e">
        <f>FMS_Ranking4[[#This Row],[Log Score Based on Normalized Reported Factors]]+FMS_Ranking4[[#This Row],[% NBS Score (Normalized)]]+(FMS_Ranking4[[#This Row],[Water Supply Score (Normalized)]]*10*$BB$5)+(FMS_Ranking4[[#This Row],[FMS_Type Score Weighted]])</f>
        <v>#REF!</v>
      </c>
      <c r="BT358" s="200" t="e">
        <f>_xlfn.RANK.EQ(FMS_Ranking4[[#This Row],[Log Total Score]],FMS_Ranking4[Log Total Score],0)</f>
        <v>#REF!</v>
      </c>
      <c r="BU358" s="200" t="e">
        <f>_xlfn.XLOOKUP(FMS_Ranking4[[#This Row],[FMS ID]],#REF!,#REF!)</f>
        <v>#REF!</v>
      </c>
      <c r="BV358" s="200">
        <f>FMS_Ranking4[[#This Row],[Region Number]]</f>
        <v>3</v>
      </c>
      <c r="BW358" s="200">
        <f>FMS_Ranking4[[#This Row],[Rank (with ArcSinh normalization of select criteria)]]-FMS_Ranking4[[#This Row],[Rank
(with linear
normalization)]]</f>
        <v>-185</v>
      </c>
      <c r="BX358" s="200" t="e">
        <f>FMS_Ranking4[[#This Row],[Log Rank]]-FMS_Ranking4[[#This Row],[Rank
(with linear
normalization)]]</f>
        <v>#REF!</v>
      </c>
      <c r="BY358" s="200" t="str">
        <f>IF(FMS_Ranking4[[#This Row],[FMS Type]]="Flood Measurement and Warning",FMS_Ranking4[[#This Row],[Rank (with ArcSinh normalization of select criteria)]],"")</f>
        <v/>
      </c>
      <c r="BZ358" s="200" t="str">
        <f>IF(FMS_Ranking4[[#This Row],[FMS Type]]="Regulatory and Guidance",FMS_Ranking4[[#This Row],[Rank (with ArcSinh normalization of select criteria)]],"")</f>
        <v/>
      </c>
      <c r="CA358" s="200" t="str">
        <f>IF(FMS_Ranking4[[#This Row],[FMS Type]]="Education and Outreach",FMS_Ranking4[[#This Row],[Rank (with ArcSinh normalization of select criteria)]],"")</f>
        <v/>
      </c>
      <c r="CB358" s="200" t="str">
        <f>IF(FMS_Ranking4[[#This Row],[FMS Type]]="Property Acquisition and Structural Elevation",FMS_Ranking4[[#This Row],[Rank (with ArcSinh normalization of select criteria)]],"")</f>
        <v/>
      </c>
      <c r="CC358" s="200">
        <f>IF(FMS_Ranking4[[#This Row],[FMS Type]]="Infrastructure Projects",FMS_Ranking4[[#This Row],[Rank (with ArcSinh normalization of select criteria)]],"")</f>
        <v>351</v>
      </c>
      <c r="CD358" s="200" t="str">
        <f>IF(FMS_Ranking4[[#This Row],[FMS Type]]="Other",FMS_Ranking4[[#This Row],[Rank (with ArcSinh normalization of select criteria)]],"")</f>
        <v/>
      </c>
      <c r="CE358" s="201"/>
      <c r="CF358" s="206"/>
      <c r="CG358" s="206"/>
      <c r="CH358" s="206"/>
      <c r="CI358" s="206"/>
      <c r="CJ358" s="206"/>
      <c r="CK358" s="206"/>
      <c r="CL358" s="206"/>
      <c r="CM358" s="206"/>
      <c r="CN358" s="206"/>
      <c r="CO358" s="206"/>
      <c r="CP358" s="206"/>
      <c r="CQ358" s="206"/>
      <c r="CR358" s="206"/>
    </row>
    <row r="359" spans="2:96" ht="45" x14ac:dyDescent="0.25">
      <c r="B359" s="341" t="s">
        <v>943</v>
      </c>
      <c r="C359" s="246">
        <f>_xlfn.XLOOKUP(FMS_Ranking4[[#This Row],[FMS ID]],FMS_Input[FMS_ID],FMS_Input[RFPG_NUM])</f>
        <v>9</v>
      </c>
      <c r="D359" s="309" t="str">
        <f>_xlfn.XLOOKUP(FMS_Ranking4[[#This Row],[FMS ID]],FMS_Input[FMS_ID],FMS_Input[FMS_NAME])</f>
        <v>Glasscock County DCM</v>
      </c>
      <c r="E359" s="308" t="str">
        <f>_xlfn.XLOOKUP(FMS_Ranking4[[#This Row],[FMS ID]],FMS_Input[FMS_ID],FMS_Input[SPONSOR])</f>
        <v>09000150</v>
      </c>
      <c r="F359" s="309" t="str">
        <f>_xlfn.XLOOKUP(FMS_Ranking4[[#This Row],[FMS ID]],Sponsor[FMS_ID],Sponsor[SPONSOR NAME])</f>
        <v>Glasscock</v>
      </c>
      <c r="G359" s="309" t="str">
        <f>_xlfn.XLOOKUP(FMS_Ranking4[[#This Row],[FMS ID]],FMS_Input[FMS_ID],FMS_Input[FMS_DESCR])</f>
        <v>Outreach Program: Discuss Stormwater Criteria Design Manual</v>
      </c>
      <c r="H359" s="248" t="str">
        <f>_xlfn.XLOOKUP(FMS_Ranking4[[#This Row],[FMS ID]],FMS_Input[FMS_ID],FMS_Input[FMS_TYPE])</f>
        <v>Other</v>
      </c>
      <c r="I359" s="249">
        <f>_xlfn.XLOOKUP(FMS_Ranking4[[#This Row],[FMS ID]],FMS_Input[FMS_ID],FMS_Input[NRNC_COST])</f>
        <v>75000</v>
      </c>
      <c r="J359" s="250">
        <f>_xlfn.XLOOKUP(FMS_Ranking4[[#This Row],[FMS ID]],FMS_Input[FMS_ID],FMS_Input[FMS_COST])</f>
        <v>100000</v>
      </c>
      <c r="K359" s="251" t="str">
        <f>_xlfn.XLOOKUP(FMS_Ranking4[[#This Row],[FMS ID]],FMS_Input[FMS_ID],FMS_Input[EMER_NEED])</f>
        <v>No</v>
      </c>
      <c r="L359" s="252">
        <f t="shared" si="5"/>
        <v>0</v>
      </c>
      <c r="M359" s="253">
        <f>_xlfn.XLOOKUP(FMS_Ranking4[[#This Row],[FMS ID]],FMS_Input[FMS_ID],FMS_Input[STRUCT_100])</f>
        <v>141</v>
      </c>
      <c r="N359" s="255">
        <f>(ASINH(FMS_Ranking4[[#This Row],[Structure at Risk Raw]]))*(10)/(ASINH(M$4))</f>
        <v>4.4353888868305882</v>
      </c>
      <c r="O359" s="256">
        <f>FMS_Ranking4[[#This Row],[Structures at risk, ArcSinh (0-10)]]*M$5*10</f>
        <v>4.4353888868305882</v>
      </c>
      <c r="P359" s="253">
        <f>_xlfn.XLOOKUP(FMS_Ranking4[[#This Row],[FMS ID]],FMS_Input[FMS_ID],FMS_Input[RES_STRUCT100])</f>
        <v>3</v>
      </c>
      <c r="Q359" s="257">
        <f>ASINH(FMS_Ranking4[[#This Row],[Res Structure Raw]])/Q$4*P$5*100</f>
        <v>0</v>
      </c>
      <c r="R359" s="253">
        <f>_xlfn.XLOOKUP(FMS_Ranking4[[#This Row],[FMS ID]],FMS_Input[FMS_ID],FMS_Input[POP100])</f>
        <v>74</v>
      </c>
      <c r="S359" s="259">
        <f>(ASINH(FMS_Ranking4[[#This Row],[Pop at Risk Raw]]))*(10)/(ASINH(R$4))</f>
        <v>3.4498980752314394</v>
      </c>
      <c r="T359" s="256">
        <f>FMS_Ranking4[[#This Row],[Population at risk, ArcSinh (0-10)]]*R$5*10</f>
        <v>3.4498980752314394</v>
      </c>
      <c r="U359" s="253">
        <f>_xlfn.XLOOKUP(FMS_Ranking4[[#This Row],[FMS ID]],FMS_Input[FMS_ID],FMS_Input[CRITFAC100])</f>
        <v>0</v>
      </c>
      <c r="V359" s="259">
        <f>(ASINH(FMS_Ranking4[[#This Row],[Critical Facilities Raw]]))*(10)/(ASINH(U$4))</f>
        <v>0</v>
      </c>
      <c r="W359" s="256">
        <f>FMS_Ranking4[[#This Row],[Critical facilities at risk, ArcSinh (0-10)]]*U$5*10</f>
        <v>0</v>
      </c>
      <c r="X359" s="253">
        <f>_xlfn.XLOOKUP(FMS_Ranking4[[#This Row],[FMS ID]],FMS_Input[FMS_ID],FMS_Input[LWC])</f>
        <v>0</v>
      </c>
      <c r="Y359" s="259">
        <f>(ASINH(FMS_Ranking4[[#This Row],[LWC Raw]]))*(10)/(ASINH(X$4))</f>
        <v>0</v>
      </c>
      <c r="Z359" s="256">
        <f>FMS_Ranking4[[#This Row],[LWC, ArcSInh (0-10)]]*X$5*10</f>
        <v>0</v>
      </c>
      <c r="AA359" s="253">
        <f>_xlfn.XLOOKUP(FMS_Ranking4[[#This Row],[FMS ID]],FMS_Input[FMS_ID],FMS_Input[ROADCLS])</f>
        <v>0</v>
      </c>
      <c r="AB359" s="255">
        <f>(ASINH(FMS_Ranking4[[#This Row],[Road Closures Raw]]))*(10)/(ASINH(AA$4))</f>
        <v>0</v>
      </c>
      <c r="AC359" s="256">
        <f>FMS_Ranking4[[#This Row],[Road closures, ArcSinh (0-10)]]*AA$5*10</f>
        <v>0</v>
      </c>
      <c r="AD359" s="253">
        <f>_xlfn.XLOOKUP(FMS_Ranking4[[#This Row],[FMS ID]],FMS_Input[FMS_ID],FMS_Input[ROAD_MILES100])</f>
        <v>34</v>
      </c>
      <c r="AE359" s="259">
        <f>(ASINH(FMS_Ranking4[[#This Row],[Road Miles Raw]]))*(10)/(ASINH(AD$4))</f>
        <v>4.4970647269582971</v>
      </c>
      <c r="AF359" s="256">
        <f>FMS_Ranking4[[#This Row],[Length of roads at risk, ArcSinh (0-10)]]*AD$5*10</f>
        <v>4.497064726958298</v>
      </c>
      <c r="AG359" s="253">
        <f>_xlfn.XLOOKUP(FMS_Ranking4[[#This Row],[FMS ID]],FMS_Input[FMS_ID],FMS_Input[FARMACRE100])</f>
        <v>25211.564453125</v>
      </c>
      <c r="AH359" s="255">
        <f>(ASINH(FMS_Ranking4[[#This Row],[Ag Land Raw]]))*(10)/(ASINH(AG$4))</f>
        <v>7.0338014802788926</v>
      </c>
      <c r="AI359" s="260">
        <f>FMS_Ranking4[[#This Row],[Farm &amp; ranch land, ArcSinh (0-10)]]*AG$5*10</f>
        <v>3.5169007401394463</v>
      </c>
      <c r="AJ359" s="258">
        <f>_xlfn.XLOOKUP(FMS_Ranking4[[#This Row],[FMS ID]],FMS_Input[FMS_ID],FMS_Input[REDSTRUCT100])</f>
        <v>36</v>
      </c>
      <c r="AK359" s="253">
        <f>_xlfn.XLOOKUP(FMS_Ranking4[[#This Row],[FMS ID]],FMS_Input[FMS_ID],FMS_Input[REMSTRC100])</f>
        <v>36</v>
      </c>
      <c r="AL359" s="259">
        <f>(ASINH(FMS_Ranking4[[#This Row],[Structures Removed Raw]]))*(10)/(ASINH(AK$4))</f>
        <v>4.8695092159225162</v>
      </c>
      <c r="AM359" s="262">
        <f>FMS_Ranking4[[#This Row],[Structures removed, ArcSinh (0-10)]]*AK$5*10</f>
        <v>4.8695092159225162</v>
      </c>
      <c r="AN359" s="253">
        <f>_xlfn.XLOOKUP(FMS_Ranking4[[#This Row],[FMS ID]],FMS_Input[FMS_ID],FMS_Input[REMRESSTRC100])</f>
        <v>0</v>
      </c>
      <c r="AO359" s="261">
        <f>FMS_Ranking4[[#This Row],[ArcSinh Res struct removed 0-10]]*AN$5*10</f>
        <v>0</v>
      </c>
      <c r="AP359" s="260">
        <f>ASINH(FMS_Ranking4[[#This Row],[Residential Structures Removed Raw]])/AP$4*AN$5*100</f>
        <v>0</v>
      </c>
      <c r="AQ359" s="254">
        <f>(ASINH(FMS_Ranking4[[#This Row],[Residential Structures Removed Raw]]))*(10)/(ASINH(AN$4))</f>
        <v>0</v>
      </c>
      <c r="AR359" s="253">
        <f>_xlfn.XLOOKUP(FMS_Ranking4[[#This Row],[FMS ID]],FMS_Input[FMS_ID],FMS_Input[REMPOP100])</f>
        <v>21</v>
      </c>
      <c r="AS359" s="259">
        <f>(ASINH(FMS_Ranking4[[#This Row],[Removed Pop Raw]]))*(10)/(ASINH(AR$4))</f>
        <v>3.6695289073155259</v>
      </c>
      <c r="AT359" s="262">
        <f>FMS_Ranking4[[#This Row],[Removed population, ArcSinh (0-10)]]*AR$5*10</f>
        <v>3.6695289073155264</v>
      </c>
      <c r="AU359" s="264">
        <f>_xlfn.XLOOKUP(FMS_Ranking4[[#This Row],[FMS ID]],FMS_Input[FMS_ID],FMS_Input[REMCRITFAC100])</f>
        <v>0</v>
      </c>
      <c r="AV359" s="264">
        <f>_xlfn.XLOOKUP(FMS_Ranking4[[#This Row],[FMS ID]],FMS_Input[FMS_ID],FMS_Input[REMLWC100])</f>
        <v>0</v>
      </c>
      <c r="AW359" s="264">
        <f>_xlfn.XLOOKUP(FMS_Ranking4[[#This Row],[FMS ID]],FMS_Input[FMS_ID],FMS_Input[REMROADCLS])</f>
        <v>0</v>
      </c>
      <c r="AX359" s="264">
        <f>_xlfn.XLOOKUP(FMS_Ranking4[[#This Row],[FMS ID]],FMS_Input[FMS_ID],FMS_Input[REMFRMACRE100])</f>
        <v>6302.89111328125</v>
      </c>
      <c r="AY359" s="258">
        <f>_xlfn.XLOOKUP(FMS_Ranking4[[#This Row],[FMS ID]],FMS_Input[FMS_ID],FMS_Input[COSTSTRUCT])</f>
        <v>25000</v>
      </c>
      <c r="AZ359" s="253">
        <f>_xlfn.XLOOKUP(FMS_Ranking4[[#This Row],[FMS ID]],FMS_Input[FMS_ID],FMS_Input[NATURE])</f>
        <v>0</v>
      </c>
      <c r="BA359" s="262">
        <f>(((FMS_Ranking4[[#This Row],[% NBS Raw]]/AZ$4)*100)*AZ$5)</f>
        <v>0</v>
      </c>
      <c r="BB359" s="251" t="str">
        <f>_xlfn.XLOOKUP(FMS_Ranking4[[#This Row],[FMS ID]],FMS_Input[FMS_ID],FMS_Input[WATER_SUP])</f>
        <v>No</v>
      </c>
      <c r="BC359" s="265">
        <f>IF(FMS_Ranking4[[#This Row],[Water Supply Raw]]="Yes",10,0)</f>
        <v>0</v>
      </c>
      <c r="BD359" s="266">
        <f>_xlfn.XLOOKUP(FMS_Ranking4[[#This Row],[FMS Type]],FMS_TYPE[FMS_Type],FMS_TYPE[Score])</f>
        <v>2</v>
      </c>
      <c r="BE359" s="267">
        <f>FMS_Ranking4[[#This Row],[FMS_Type Score]]*$BD$5*10</f>
        <v>0.5</v>
      </c>
      <c r="BF35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0.11837048385664828</v>
      </c>
      <c r="BG359" s="271">
        <f>_xlfn.RANK.EQ(BF359,$BF$8:$BF$870,0)+COUNTIF($BF$8:BF359,BF359)-1</f>
        <v>464</v>
      </c>
      <c r="BH359" s="268">
        <f>(((FMS_Ranking4[[#This Row],[Structures Removed Raw]]/AK$4)*100)*AK$5)+(((FMS_Ranking4[[#This Row],[Removed Pop Raw]]/AR$4)*100)*AR$5)</f>
        <v>0.1262076465213359</v>
      </c>
      <c r="BI35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0.74457813037798415</v>
      </c>
      <c r="BJ359" s="205">
        <f>_xlfn.RANK.EQ(FMS_Ranking4[[#This Row],[Total Score 
(with linear
normalization)]],FMS_Ranking4[Total Score 
(with linear
normalization)],0)</f>
        <v>786</v>
      </c>
      <c r="BK359" s="205" t="e">
        <f>_xlfn.XLOOKUP(FMS_Ranking4[[#This Row],[FMS ID]],#REF!,#REF!)</f>
        <v>#REF!</v>
      </c>
      <c r="BL35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24.438290552397813</v>
      </c>
      <c r="BM359" s="272">
        <f>FMS_Ranking4[[#This Row],[ArcSinh Score Based on Normalized Reported Factors]]+FMS_Ranking4[[#This Row],[% NBS Score (Normalized)]]+(FMS_Ranking4[[#This Row],[Water Supply Score (Normalized)]]*10*$BB$5)+FMS_Ranking4[[#This Row],[FMS_Type Score Weighted]]</f>
        <v>24.938290552397813</v>
      </c>
      <c r="BN359" s="205">
        <f>_xlfn.RANK.EQ(FMS_Ranking4[[#This Row],[Total Score (with ArcSinh normalization of select criteria)]],FMS_Ranking4[Total Score (with ArcSinh normalization of select criteria)],0)</f>
        <v>352</v>
      </c>
      <c r="BO359" s="270" t="str">
        <f>_xlfn.XLOOKUP(FMS_Ranking4[[#This Row],[FMS ID]],FMS_Input[FMS_ID],FMS_Input[FMS_RANK_YEAR])</f>
        <v>2023 Amended Plan</v>
      </c>
      <c r="BP359" s="204">
        <f>_xlfn.XLOOKUP(FMS_Ranking4[[#This Row],[FMS ID]],Prev_Rank[FMS ID],Prev_Rank[Prev Rank])</f>
        <v>325</v>
      </c>
      <c r="BQ359" s="205" t="e">
        <f>_xlfn.XLOOKUP(FMS_Ranking4[[#This Row],[FMS ID]],#REF!,#REF!)</f>
        <v>#REF!</v>
      </c>
      <c r="BR359" s="199" t="e">
        <f>SUM(#REF!,#REF!,#REF!,#REF!,#REF!,#REF!,#REF!,#REF!,#REF!,FMS_Ranking4[[#This Row],[ArcSinh Res struct removed 0-10]],#REF!)</f>
        <v>#REF!</v>
      </c>
      <c r="BS359" s="199" t="e">
        <f>FMS_Ranking4[[#This Row],[Log Score Based on Normalized Reported Factors]]+FMS_Ranking4[[#This Row],[% NBS Score (Normalized)]]+(FMS_Ranking4[[#This Row],[Water Supply Score (Normalized)]]*10*$BB$5)+(FMS_Ranking4[[#This Row],[FMS_Type Score Weighted]])</f>
        <v>#REF!</v>
      </c>
      <c r="BT359" s="200" t="e">
        <f>_xlfn.RANK.EQ(FMS_Ranking4[[#This Row],[Log Total Score]],FMS_Ranking4[Log Total Score],0)</f>
        <v>#REF!</v>
      </c>
      <c r="BU359" s="200" t="e">
        <f>_xlfn.XLOOKUP(FMS_Ranking4[[#This Row],[FMS ID]],#REF!,#REF!)</f>
        <v>#REF!</v>
      </c>
      <c r="BV359" s="200">
        <f>FMS_Ranking4[[#This Row],[Region Number]]</f>
        <v>9</v>
      </c>
      <c r="BW359" s="200">
        <f>FMS_Ranking4[[#This Row],[Rank (with ArcSinh normalization of select criteria)]]-FMS_Ranking4[[#This Row],[Rank
(with linear
normalization)]]</f>
        <v>-434</v>
      </c>
      <c r="BX359" s="200" t="e">
        <f>FMS_Ranking4[[#This Row],[Log Rank]]-FMS_Ranking4[[#This Row],[Rank
(with linear
normalization)]]</f>
        <v>#REF!</v>
      </c>
      <c r="BY359" s="200" t="str">
        <f>IF(FMS_Ranking4[[#This Row],[FMS Type]]="Flood Measurement and Warning",FMS_Ranking4[[#This Row],[Rank (with ArcSinh normalization of select criteria)]],"")</f>
        <v/>
      </c>
      <c r="BZ359" s="200" t="str">
        <f>IF(FMS_Ranking4[[#This Row],[FMS Type]]="Regulatory and Guidance",FMS_Ranking4[[#This Row],[Rank (with ArcSinh normalization of select criteria)]],"")</f>
        <v/>
      </c>
      <c r="CA359" s="200" t="str">
        <f>IF(FMS_Ranking4[[#This Row],[FMS Type]]="Education and Outreach",FMS_Ranking4[[#This Row],[Rank (with ArcSinh normalization of select criteria)]],"")</f>
        <v/>
      </c>
      <c r="CB359" s="200" t="str">
        <f>IF(FMS_Ranking4[[#This Row],[FMS Type]]="Property Acquisition and Structural Elevation",FMS_Ranking4[[#This Row],[Rank (with ArcSinh normalization of select criteria)]],"")</f>
        <v/>
      </c>
      <c r="CC359" s="200" t="str">
        <f>IF(FMS_Ranking4[[#This Row],[FMS Type]]="Infrastructure Projects",FMS_Ranking4[[#This Row],[Rank (with ArcSinh normalization of select criteria)]],"")</f>
        <v/>
      </c>
      <c r="CD359" s="200">
        <f>IF(FMS_Ranking4[[#This Row],[FMS Type]]="Other",FMS_Ranking4[[#This Row],[Rank (with ArcSinh normalization of select criteria)]],"")</f>
        <v>352</v>
      </c>
      <c r="CE359" s="201"/>
      <c r="CF359" s="206"/>
      <c r="CG359" s="206"/>
      <c r="CH359" s="206"/>
      <c r="CI359" s="206"/>
      <c r="CJ359" s="206"/>
      <c r="CK359" s="206"/>
      <c r="CL359" s="206"/>
      <c r="CM359" s="206"/>
      <c r="CN359" s="206"/>
      <c r="CO359" s="206"/>
      <c r="CP359" s="206"/>
      <c r="CQ359" s="206"/>
      <c r="CR359" s="206"/>
    </row>
    <row r="360" spans="2:96" ht="30" x14ac:dyDescent="0.25">
      <c r="B360" s="341" t="s">
        <v>948</v>
      </c>
      <c r="C360" s="246">
        <f>_xlfn.XLOOKUP(FMS_Ranking4[[#This Row],[FMS ID]],FMS_Input[FMS_ID],FMS_Input[RFPG_NUM])</f>
        <v>9</v>
      </c>
      <c r="D360" s="309" t="str">
        <f>_xlfn.XLOOKUP(FMS_Ranking4[[#This Row],[FMS ID]],FMS_Input[FMS_ID],FMS_Input[FMS_NAME])</f>
        <v>Glasscock County NFIP Application</v>
      </c>
      <c r="E360" s="308" t="str">
        <f>_xlfn.XLOOKUP(FMS_Ranking4[[#This Row],[FMS ID]],FMS_Input[FMS_ID],FMS_Input[SPONSOR])</f>
        <v>09000150</v>
      </c>
      <c r="F360" s="309" t="str">
        <f>_xlfn.XLOOKUP(FMS_Ranking4[[#This Row],[FMS ID]],Sponsor[FMS_ID],Sponsor[SPONSOR NAME])</f>
        <v>Glasscock</v>
      </c>
      <c r="G360" s="309" t="str">
        <f>_xlfn.XLOOKUP(FMS_Ranking4[[#This Row],[FMS ID]],FMS_Input[FMS_ID],FMS_Input[FMS_DESCR])</f>
        <v xml:space="preserve">Join the National Flood Insurance Program (NFIP). </v>
      </c>
      <c r="H360" s="248" t="str">
        <f>_xlfn.XLOOKUP(FMS_Ranking4[[#This Row],[FMS ID]],FMS_Input[FMS_ID],FMS_Input[FMS_TYPE])</f>
        <v>Other</v>
      </c>
      <c r="I360" s="249">
        <f>_xlfn.XLOOKUP(FMS_Ranking4[[#This Row],[FMS ID]],FMS_Input[FMS_ID],FMS_Input[NRNC_COST])</f>
        <v>5000</v>
      </c>
      <c r="J360" s="250">
        <f>_xlfn.XLOOKUP(FMS_Ranking4[[#This Row],[FMS ID]],FMS_Input[FMS_ID],FMS_Input[FMS_COST])</f>
        <v>30000</v>
      </c>
      <c r="K360" s="251" t="str">
        <f>_xlfn.XLOOKUP(FMS_Ranking4[[#This Row],[FMS ID]],FMS_Input[FMS_ID],FMS_Input[EMER_NEED])</f>
        <v>No</v>
      </c>
      <c r="L360" s="252">
        <f t="shared" si="5"/>
        <v>0</v>
      </c>
      <c r="M360" s="253">
        <f>_xlfn.XLOOKUP(FMS_Ranking4[[#This Row],[FMS ID]],FMS_Input[FMS_ID],FMS_Input[STRUCT_100])</f>
        <v>141</v>
      </c>
      <c r="N360" s="255">
        <f>(ASINH(FMS_Ranking4[[#This Row],[Structure at Risk Raw]]))*(10)/(ASINH(M$4))</f>
        <v>4.4353888868305882</v>
      </c>
      <c r="O360" s="256">
        <f>FMS_Ranking4[[#This Row],[Structures at risk, ArcSinh (0-10)]]*M$5*10</f>
        <v>4.4353888868305882</v>
      </c>
      <c r="P360" s="253">
        <f>_xlfn.XLOOKUP(FMS_Ranking4[[#This Row],[FMS ID]],FMS_Input[FMS_ID],FMS_Input[RES_STRUCT100])</f>
        <v>3</v>
      </c>
      <c r="Q360" s="257">
        <f>ASINH(FMS_Ranking4[[#This Row],[Res Structure Raw]])/Q$4*P$5*100</f>
        <v>0</v>
      </c>
      <c r="R360" s="253">
        <f>_xlfn.XLOOKUP(FMS_Ranking4[[#This Row],[FMS ID]],FMS_Input[FMS_ID],FMS_Input[POP100])</f>
        <v>74</v>
      </c>
      <c r="S360" s="255">
        <f>(ASINH(FMS_Ranking4[[#This Row],[Pop at Risk Raw]]))*(10)/(ASINH(R$4))</f>
        <v>3.4498980752314394</v>
      </c>
      <c r="T360" s="256">
        <f>FMS_Ranking4[[#This Row],[Population at risk, ArcSinh (0-10)]]*R$5*10</f>
        <v>3.4498980752314394</v>
      </c>
      <c r="U360" s="253">
        <f>_xlfn.XLOOKUP(FMS_Ranking4[[#This Row],[FMS ID]],FMS_Input[FMS_ID],FMS_Input[CRITFAC100])</f>
        <v>0</v>
      </c>
      <c r="V360" s="255">
        <f>(ASINH(FMS_Ranking4[[#This Row],[Critical Facilities Raw]]))*(10)/(ASINH(U$4))</f>
        <v>0</v>
      </c>
      <c r="W360" s="256">
        <f>FMS_Ranking4[[#This Row],[Critical facilities at risk, ArcSinh (0-10)]]*U$5*10</f>
        <v>0</v>
      </c>
      <c r="X360" s="253">
        <f>_xlfn.XLOOKUP(FMS_Ranking4[[#This Row],[FMS ID]],FMS_Input[FMS_ID],FMS_Input[LWC])</f>
        <v>0</v>
      </c>
      <c r="Y360" s="255">
        <f>(ASINH(FMS_Ranking4[[#This Row],[LWC Raw]]))*(10)/(ASINH(X$4))</f>
        <v>0</v>
      </c>
      <c r="Z360" s="256">
        <f>FMS_Ranking4[[#This Row],[LWC, ArcSInh (0-10)]]*X$5*10</f>
        <v>0</v>
      </c>
      <c r="AA360" s="253">
        <f>_xlfn.XLOOKUP(FMS_Ranking4[[#This Row],[FMS ID]],FMS_Input[FMS_ID],FMS_Input[ROADCLS])</f>
        <v>0</v>
      </c>
      <c r="AB360" s="255">
        <f>(ASINH(FMS_Ranking4[[#This Row],[Road Closures Raw]]))*(10)/(ASINH(AA$4))</f>
        <v>0</v>
      </c>
      <c r="AC360" s="256">
        <f>FMS_Ranking4[[#This Row],[Road closures, ArcSinh (0-10)]]*AA$5*10</f>
        <v>0</v>
      </c>
      <c r="AD360" s="253">
        <f>_xlfn.XLOOKUP(FMS_Ranking4[[#This Row],[FMS ID]],FMS_Input[FMS_ID],FMS_Input[ROAD_MILES100])</f>
        <v>34</v>
      </c>
      <c r="AE360" s="255">
        <f>(ASINH(FMS_Ranking4[[#This Row],[Road Miles Raw]]))*(10)/(ASINH(AD$4))</f>
        <v>4.4970647269582971</v>
      </c>
      <c r="AF360" s="256">
        <f>FMS_Ranking4[[#This Row],[Length of roads at risk, ArcSinh (0-10)]]*AD$5*10</f>
        <v>4.497064726958298</v>
      </c>
      <c r="AG360" s="253">
        <f>_xlfn.XLOOKUP(FMS_Ranking4[[#This Row],[FMS ID]],FMS_Input[FMS_ID],FMS_Input[FARMACRE100])</f>
        <v>25211.564453125</v>
      </c>
      <c r="AH360" s="255">
        <f>(ASINH(FMS_Ranking4[[#This Row],[Ag Land Raw]]))*(10)/(ASINH(AG$4))</f>
        <v>7.0338014802788926</v>
      </c>
      <c r="AI360" s="260">
        <f>FMS_Ranking4[[#This Row],[Farm &amp; ranch land, ArcSinh (0-10)]]*AG$5*10</f>
        <v>3.5169007401394463</v>
      </c>
      <c r="AJ360" s="258">
        <f>_xlfn.XLOOKUP(FMS_Ranking4[[#This Row],[FMS ID]],FMS_Input[FMS_ID],FMS_Input[REDSTRUCT100])</f>
        <v>36</v>
      </c>
      <c r="AK360" s="253">
        <f>_xlfn.XLOOKUP(FMS_Ranking4[[#This Row],[FMS ID]],FMS_Input[FMS_ID],FMS_Input[REMSTRC100])</f>
        <v>36</v>
      </c>
      <c r="AL360" s="255">
        <f>(ASINH(FMS_Ranking4[[#This Row],[Structures Removed Raw]]))*(10)/(ASINH(AK$4))</f>
        <v>4.8695092159225162</v>
      </c>
      <c r="AM360" s="262">
        <f>FMS_Ranking4[[#This Row],[Structures removed, ArcSinh (0-10)]]*AK$5*10</f>
        <v>4.8695092159225162</v>
      </c>
      <c r="AN360" s="253">
        <f>_xlfn.XLOOKUP(FMS_Ranking4[[#This Row],[FMS ID]],FMS_Input[FMS_ID],FMS_Input[REMRESSTRC100])</f>
        <v>0</v>
      </c>
      <c r="AO360" s="261">
        <f>FMS_Ranking4[[#This Row],[ArcSinh Res struct removed 0-10]]*AN$5*10</f>
        <v>0</v>
      </c>
      <c r="AP360" s="260">
        <f>ASINH(FMS_Ranking4[[#This Row],[Residential Structures Removed Raw]])/AP$4*AN$5*100</f>
        <v>0</v>
      </c>
      <c r="AQ360" s="258">
        <f>(ASINH(FMS_Ranking4[[#This Row],[Residential Structures Removed Raw]]))*(10)/(ASINH(AN$4))</f>
        <v>0</v>
      </c>
      <c r="AR360" s="253">
        <f>_xlfn.XLOOKUP(FMS_Ranking4[[#This Row],[FMS ID]],FMS_Input[FMS_ID],FMS_Input[REMPOP100])</f>
        <v>21</v>
      </c>
      <c r="AS360" s="255">
        <f>(ASINH(FMS_Ranking4[[#This Row],[Removed Pop Raw]]))*(10)/(ASINH(AR$4))</f>
        <v>3.6695289073155259</v>
      </c>
      <c r="AT360" s="262">
        <f>FMS_Ranking4[[#This Row],[Removed population, ArcSinh (0-10)]]*AR$5*10</f>
        <v>3.6695289073155264</v>
      </c>
      <c r="AU360" s="264">
        <f>_xlfn.XLOOKUP(FMS_Ranking4[[#This Row],[FMS ID]],FMS_Input[FMS_ID],FMS_Input[REMCRITFAC100])</f>
        <v>0</v>
      </c>
      <c r="AV360" s="264">
        <f>_xlfn.XLOOKUP(FMS_Ranking4[[#This Row],[FMS ID]],FMS_Input[FMS_ID],FMS_Input[REMLWC100])</f>
        <v>0</v>
      </c>
      <c r="AW360" s="264">
        <f>_xlfn.XLOOKUP(FMS_Ranking4[[#This Row],[FMS ID]],FMS_Input[FMS_ID],FMS_Input[REMROADCLS])</f>
        <v>0</v>
      </c>
      <c r="AX360" s="264">
        <f>_xlfn.XLOOKUP(FMS_Ranking4[[#This Row],[FMS ID]],FMS_Input[FMS_ID],FMS_Input[REMFRMACRE100])</f>
        <v>6302.89111328125</v>
      </c>
      <c r="AY360" s="258">
        <f>_xlfn.XLOOKUP(FMS_Ranking4[[#This Row],[FMS ID]],FMS_Input[FMS_ID],FMS_Input[COSTSTRUCT])</f>
        <v>25000</v>
      </c>
      <c r="AZ360" s="253">
        <f>_xlfn.XLOOKUP(FMS_Ranking4[[#This Row],[FMS ID]],FMS_Input[FMS_ID],FMS_Input[NATURE])</f>
        <v>0</v>
      </c>
      <c r="BA360" s="262">
        <f>(((FMS_Ranking4[[#This Row],[% NBS Raw]]/AZ$4)*100)*AZ$5)</f>
        <v>0</v>
      </c>
      <c r="BB360" s="251" t="str">
        <f>_xlfn.XLOOKUP(FMS_Ranking4[[#This Row],[FMS ID]],FMS_Input[FMS_ID],FMS_Input[WATER_SUP])</f>
        <v>No</v>
      </c>
      <c r="BC360" s="265">
        <f>IF(FMS_Ranking4[[#This Row],[Water Supply Raw]]="Yes",10,0)</f>
        <v>0</v>
      </c>
      <c r="BD360" s="266">
        <f>_xlfn.XLOOKUP(FMS_Ranking4[[#This Row],[FMS Type]],FMS_TYPE[FMS_Type],FMS_TYPE[Score])</f>
        <v>2</v>
      </c>
      <c r="BE360" s="267">
        <f>FMS_Ranking4[[#This Row],[FMS_Type Score]]*$BD$5*10</f>
        <v>0.5</v>
      </c>
      <c r="BF36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0.11837048385664828</v>
      </c>
      <c r="BG360" s="321">
        <f>_xlfn.RANK.EQ(BF360,$BF$8:$BF$870,0)+COUNTIF($BF$8:BF360,BF360)-1</f>
        <v>465</v>
      </c>
      <c r="BH360" s="294">
        <f>(((FMS_Ranking4[[#This Row],[Structures Removed Raw]]/AK$4)*100)*AK$5)+(((FMS_Ranking4[[#This Row],[Removed Pop Raw]]/AR$4)*100)*AR$5)</f>
        <v>0.1262076465213359</v>
      </c>
      <c r="BI36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0.74457813037798415</v>
      </c>
      <c r="BJ360" s="251">
        <f>_xlfn.RANK.EQ(FMS_Ranking4[[#This Row],[Total Score 
(with linear
normalization)]],FMS_Ranking4[Total Score 
(with linear
normalization)],0)</f>
        <v>786</v>
      </c>
      <c r="BK360" s="251" t="e">
        <f>_xlfn.XLOOKUP(FMS_Ranking4[[#This Row],[FMS ID]],#REF!,#REF!)</f>
        <v>#REF!</v>
      </c>
      <c r="BL36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24.438290552397813</v>
      </c>
      <c r="BM360" s="324">
        <f>FMS_Ranking4[[#This Row],[ArcSinh Score Based on Normalized Reported Factors]]+FMS_Ranking4[[#This Row],[% NBS Score (Normalized)]]+(FMS_Ranking4[[#This Row],[Water Supply Score (Normalized)]]*10*$BB$5)+FMS_Ranking4[[#This Row],[FMS_Type Score Weighted]]</f>
        <v>24.938290552397813</v>
      </c>
      <c r="BN360" s="251">
        <f>_xlfn.RANK.EQ(FMS_Ranking4[[#This Row],[Total Score (with ArcSinh normalization of select criteria)]],FMS_Ranking4[Total Score (with ArcSinh normalization of select criteria)],0)</f>
        <v>352</v>
      </c>
      <c r="BO360" s="270" t="str">
        <f>_xlfn.XLOOKUP(FMS_Ranking4[[#This Row],[FMS ID]],FMS_Input[FMS_ID],FMS_Input[FMS_RANK_YEAR])</f>
        <v>2023 Amended Plan</v>
      </c>
      <c r="BP360" s="204">
        <f>_xlfn.XLOOKUP(FMS_Ranking4[[#This Row],[FMS ID]],Prev_Rank[FMS ID],Prev_Rank[Prev Rank])</f>
        <v>325</v>
      </c>
      <c r="BQ360" s="251" t="e">
        <f>_xlfn.XLOOKUP(FMS_Ranking4[[#This Row],[FMS ID]],#REF!,#REF!)</f>
        <v>#REF!</v>
      </c>
      <c r="BR360" s="199" t="e">
        <f>SUM(#REF!,#REF!,#REF!,#REF!,#REF!,#REF!,#REF!,#REF!,#REF!,FMS_Ranking4[[#This Row],[ArcSinh Res struct removed 0-10]],#REF!)</f>
        <v>#REF!</v>
      </c>
      <c r="BS360" s="199" t="e">
        <f>FMS_Ranking4[[#This Row],[Log Score Based on Normalized Reported Factors]]+FMS_Ranking4[[#This Row],[% NBS Score (Normalized)]]+(FMS_Ranking4[[#This Row],[Water Supply Score (Normalized)]]*10*$BB$5)+(FMS_Ranking4[[#This Row],[FMS_Type Score Weighted]])</f>
        <v>#REF!</v>
      </c>
      <c r="BT360" s="200" t="e">
        <f>_xlfn.RANK.EQ(FMS_Ranking4[[#This Row],[Log Total Score]],FMS_Ranking4[Log Total Score],0)</f>
        <v>#REF!</v>
      </c>
      <c r="BU360" s="200" t="e">
        <f>_xlfn.XLOOKUP(FMS_Ranking4[[#This Row],[FMS ID]],#REF!,#REF!)</f>
        <v>#REF!</v>
      </c>
      <c r="BV360" s="200">
        <f>FMS_Ranking4[[#This Row],[Region Number]]</f>
        <v>9</v>
      </c>
      <c r="BW360" s="200">
        <f>FMS_Ranking4[[#This Row],[Rank (with ArcSinh normalization of select criteria)]]-FMS_Ranking4[[#This Row],[Rank
(with linear
normalization)]]</f>
        <v>-434</v>
      </c>
      <c r="BX360" s="200" t="e">
        <f>FMS_Ranking4[[#This Row],[Log Rank]]-FMS_Ranking4[[#This Row],[Rank
(with linear
normalization)]]</f>
        <v>#REF!</v>
      </c>
      <c r="BY360" s="200" t="str">
        <f>IF(FMS_Ranking4[[#This Row],[FMS Type]]="Flood Measurement and Warning",FMS_Ranking4[[#This Row],[Rank (with ArcSinh normalization of select criteria)]],"")</f>
        <v/>
      </c>
      <c r="BZ360" s="200" t="str">
        <f>IF(FMS_Ranking4[[#This Row],[FMS Type]]="Regulatory and Guidance",FMS_Ranking4[[#This Row],[Rank (with ArcSinh normalization of select criteria)]],"")</f>
        <v/>
      </c>
      <c r="CA360" s="200" t="str">
        <f>IF(FMS_Ranking4[[#This Row],[FMS Type]]="Education and Outreach",FMS_Ranking4[[#This Row],[Rank (with ArcSinh normalization of select criteria)]],"")</f>
        <v/>
      </c>
      <c r="CB360" s="200" t="str">
        <f>IF(FMS_Ranking4[[#This Row],[FMS Type]]="Property Acquisition and Structural Elevation",FMS_Ranking4[[#This Row],[Rank (with ArcSinh normalization of select criteria)]],"")</f>
        <v/>
      </c>
      <c r="CC360" s="200" t="str">
        <f>IF(FMS_Ranking4[[#This Row],[FMS Type]]="Infrastructure Projects",FMS_Ranking4[[#This Row],[Rank (with ArcSinh normalization of select criteria)]],"")</f>
        <v/>
      </c>
      <c r="CD360" s="200">
        <f>IF(FMS_Ranking4[[#This Row],[FMS Type]]="Other",FMS_Ranking4[[#This Row],[Rank (with ArcSinh normalization of select criteria)]],"")</f>
        <v>352</v>
      </c>
      <c r="CE360" s="201"/>
      <c r="CF360" s="206"/>
      <c r="CG360" s="206"/>
      <c r="CH360" s="206"/>
      <c r="CI360" s="206"/>
      <c r="CJ360" s="206"/>
      <c r="CK360" s="206"/>
      <c r="CL360" s="206"/>
      <c r="CM360" s="206"/>
      <c r="CN360" s="206"/>
      <c r="CO360" s="206"/>
      <c r="CP360" s="206"/>
      <c r="CQ360" s="206"/>
      <c r="CR360" s="206"/>
    </row>
    <row r="361" spans="2:96" ht="45" x14ac:dyDescent="0.25">
      <c r="B361" s="341" t="s">
        <v>4821</v>
      </c>
      <c r="C361" s="246">
        <f>_xlfn.XLOOKUP(FMS_Ranking4[[#This Row],[FMS ID]],FMS_Input[FMS_ID],FMS_Input[RFPG_NUM])</f>
        <v>4</v>
      </c>
      <c r="D361" s="309" t="str">
        <f>_xlfn.XLOOKUP(FMS_Ranking4[[#This Row],[FMS ID]],FMS_Input[FMS_ID],FMS_Input[FMS_NAME])</f>
        <v>City of Longview Flood Awareness Program</v>
      </c>
      <c r="E361" s="308" t="str">
        <f>_xlfn.XLOOKUP(FMS_Ranking4[[#This Row],[FMS ID]],FMS_Input[FMS_ID],FMS_Input[SPONSOR])</f>
        <v>00003055</v>
      </c>
      <c r="F361" s="309" t="str">
        <f>_xlfn.XLOOKUP(FMS_Ranking4[[#This Row],[FMS ID]],Sponsor[FMS_ID],Sponsor[SPONSOR NAME])</f>
        <v>Longview</v>
      </c>
      <c r="G361" s="309" t="str">
        <f>_xlfn.XLOOKUP(FMS_Ranking4[[#This Row],[FMS ID]],FMS_Input[FMS_ID],FMS_Input[FMS_DESCR])</f>
        <v xml:space="preserve">Promote the “Turn Around Don’t Drown” campaign, in partnership with DPS. </v>
      </c>
      <c r="H361" s="248" t="str">
        <f>_xlfn.XLOOKUP(FMS_Ranking4[[#This Row],[FMS ID]],FMS_Input[FMS_ID],FMS_Input[FMS_TYPE])</f>
        <v>Education and Outreach</v>
      </c>
      <c r="I361" s="249">
        <f>_xlfn.XLOOKUP(FMS_Ranking4[[#This Row],[FMS ID]],FMS_Input[FMS_ID],FMS_Input[NRNC_COST])</f>
        <v>10000</v>
      </c>
      <c r="J361" s="250">
        <f>_xlfn.XLOOKUP(FMS_Ranking4[[#This Row],[FMS ID]],FMS_Input[FMS_ID],FMS_Input[FMS_COST])</f>
        <v>10000</v>
      </c>
      <c r="K361" s="251" t="str">
        <f>_xlfn.XLOOKUP(FMS_Ranking4[[#This Row],[FMS ID]],FMS_Input[FMS_ID],FMS_Input[EMER_NEED])</f>
        <v>No</v>
      </c>
      <c r="L361" s="252">
        <f t="shared" si="5"/>
        <v>0</v>
      </c>
      <c r="M361" s="253">
        <f>_xlfn.XLOOKUP(FMS_Ranking4[[#This Row],[FMS ID]],FMS_Input[FMS_ID],FMS_Input[STRUCT_100])</f>
        <v>1379</v>
      </c>
      <c r="N361" s="255">
        <f>(ASINH(FMS_Ranking4[[#This Row],[Structure at Risk Raw]]))*(10)/(ASINH(M$4))</f>
        <v>6.2280768687986656</v>
      </c>
      <c r="O361" s="256">
        <f>FMS_Ranking4[[#This Row],[Structures at risk, ArcSinh (0-10)]]*M$5*10</f>
        <v>6.2280768687986665</v>
      </c>
      <c r="P361" s="253">
        <f>_xlfn.XLOOKUP(FMS_Ranking4[[#This Row],[FMS ID]],FMS_Input[FMS_ID],FMS_Input[RES_STRUCT100])</f>
        <v>1024</v>
      </c>
      <c r="Q361" s="257">
        <f>ASINH(FMS_Ranking4[[#This Row],[Res Structure Raw]])/Q$4*P$5*100</f>
        <v>0</v>
      </c>
      <c r="R361" s="253">
        <f>_xlfn.XLOOKUP(FMS_Ranking4[[#This Row],[FMS ID]],FMS_Input[FMS_ID],FMS_Input[POP100])</f>
        <v>10126</v>
      </c>
      <c r="S361" s="259">
        <f>(ASINH(FMS_Ranking4[[#This Row],[Pop at Risk Raw]]))*(10)/(ASINH(R$4))</f>
        <v>6.8455981886854298</v>
      </c>
      <c r="T361" s="256">
        <f>FMS_Ranking4[[#This Row],[Population at risk, ArcSinh (0-10)]]*R$5*10</f>
        <v>6.8455981886854298</v>
      </c>
      <c r="U361" s="253">
        <f>_xlfn.XLOOKUP(FMS_Ranking4[[#This Row],[FMS ID]],FMS_Input[FMS_ID],FMS_Input[CRITFAC100])</f>
        <v>9</v>
      </c>
      <c r="V361" s="259">
        <f>(ASINH(FMS_Ranking4[[#This Row],[Critical Facilities Raw]]))*(10)/(ASINH(U$4))</f>
        <v>3.4251552279272253</v>
      </c>
      <c r="W361" s="256">
        <f>FMS_Ranking4[[#This Row],[Critical facilities at risk, ArcSinh (0-10)]]*U$5*10</f>
        <v>3.4251552279272257</v>
      </c>
      <c r="X361" s="253">
        <f>_xlfn.XLOOKUP(FMS_Ranking4[[#This Row],[FMS ID]],FMS_Input[FMS_ID],FMS_Input[LWC])</f>
        <v>0</v>
      </c>
      <c r="Y361" s="259">
        <f>(ASINH(FMS_Ranking4[[#This Row],[LWC Raw]]))*(10)/(ASINH(X$4))</f>
        <v>0</v>
      </c>
      <c r="Z361" s="256">
        <f>FMS_Ranking4[[#This Row],[LWC, ArcSInh (0-10)]]*X$5*10</f>
        <v>0</v>
      </c>
      <c r="AA361" s="253">
        <f>_xlfn.XLOOKUP(FMS_Ranking4[[#This Row],[FMS ID]],FMS_Input[FMS_ID],FMS_Input[ROADCLS])</f>
        <v>0</v>
      </c>
      <c r="AB361" s="255">
        <f>(ASINH(FMS_Ranking4[[#This Row],[Road Closures Raw]]))*(10)/(ASINH(AA$4))</f>
        <v>0</v>
      </c>
      <c r="AC361" s="256">
        <f>FMS_Ranking4[[#This Row],[Road closures, ArcSinh (0-10)]]*AA$5*10</f>
        <v>0</v>
      </c>
      <c r="AD361" s="253">
        <f>_xlfn.XLOOKUP(FMS_Ranking4[[#This Row],[FMS ID]],FMS_Input[FMS_ID],FMS_Input[ROAD_MILES100])</f>
        <v>41</v>
      </c>
      <c r="AE361" s="259">
        <f>(ASINH(FMS_Ranking4[[#This Row],[Road Miles Raw]]))*(10)/(ASINH(AD$4))</f>
        <v>4.6965087826098246</v>
      </c>
      <c r="AF361" s="256">
        <f>FMS_Ranking4[[#This Row],[Length of roads at risk, ArcSinh (0-10)]]*AD$5*10</f>
        <v>4.6965087826098255</v>
      </c>
      <c r="AG361" s="253">
        <f>_xlfn.XLOOKUP(FMS_Ranking4[[#This Row],[FMS ID]],FMS_Input[FMS_ID],FMS_Input[FARMACRE100])</f>
        <v>294.66531372070313</v>
      </c>
      <c r="AH361" s="255">
        <f>(ASINH(FMS_Ranking4[[#This Row],[Ag Land Raw]]))*(10)/(ASINH(AG$4))</f>
        <v>4.1436738543604141</v>
      </c>
      <c r="AI361" s="260">
        <f>FMS_Ranking4[[#This Row],[Farm &amp; ranch land, ArcSinh (0-10)]]*AG$5*10</f>
        <v>2.0718369271802075</v>
      </c>
      <c r="AJ361" s="258">
        <f>_xlfn.XLOOKUP(FMS_Ranking4[[#This Row],[FMS ID]],FMS_Input[FMS_ID],FMS_Input[REDSTRUCT100])</f>
        <v>0</v>
      </c>
      <c r="AK361" s="253">
        <f>_xlfn.XLOOKUP(FMS_Ranking4[[#This Row],[FMS ID]],FMS_Input[FMS_ID],FMS_Input[REMSTRC100])</f>
        <v>0</v>
      </c>
      <c r="AL361" s="259">
        <f>(ASINH(FMS_Ranking4[[#This Row],[Structures Removed Raw]]))*(10)/(ASINH(AK$4))</f>
        <v>0</v>
      </c>
      <c r="AM361" s="262">
        <f>FMS_Ranking4[[#This Row],[Structures removed, ArcSinh (0-10)]]*AK$5*10</f>
        <v>0</v>
      </c>
      <c r="AN361" s="253">
        <f>_xlfn.XLOOKUP(FMS_Ranking4[[#This Row],[FMS ID]],FMS_Input[FMS_ID],FMS_Input[REMRESSTRC100])</f>
        <v>0</v>
      </c>
      <c r="AO361" s="261">
        <f>FMS_Ranking4[[#This Row],[ArcSinh Res struct removed 0-10]]*AN$5*10</f>
        <v>0</v>
      </c>
      <c r="AP361" s="260">
        <f>ASINH(FMS_Ranking4[[#This Row],[Residential Structures Removed Raw]])/AP$4*AN$5*100</f>
        <v>0</v>
      </c>
      <c r="AQ361" s="254">
        <f>(ASINH(FMS_Ranking4[[#This Row],[Residential Structures Removed Raw]]))*(10)/(ASINH(AN$4))</f>
        <v>0</v>
      </c>
      <c r="AR361" s="253">
        <f>_xlfn.XLOOKUP(FMS_Ranking4[[#This Row],[FMS ID]],FMS_Input[FMS_ID],FMS_Input[REMPOP100])</f>
        <v>0</v>
      </c>
      <c r="AS361" s="259">
        <f>(ASINH(FMS_Ranking4[[#This Row],[Removed Pop Raw]]))*(10)/(ASINH(AR$4))</f>
        <v>0</v>
      </c>
      <c r="AT361" s="262">
        <f>FMS_Ranking4[[#This Row],[Removed population, ArcSinh (0-10)]]*AR$5*10</f>
        <v>0</v>
      </c>
      <c r="AU361" s="264">
        <f>_xlfn.XLOOKUP(FMS_Ranking4[[#This Row],[FMS ID]],FMS_Input[FMS_ID],FMS_Input[REMCRITFAC100])</f>
        <v>0</v>
      </c>
      <c r="AV361" s="264">
        <f>_xlfn.XLOOKUP(FMS_Ranking4[[#This Row],[FMS ID]],FMS_Input[FMS_ID],FMS_Input[REMLWC100])</f>
        <v>0</v>
      </c>
      <c r="AW361" s="264">
        <f>_xlfn.XLOOKUP(FMS_Ranking4[[#This Row],[FMS ID]],FMS_Input[FMS_ID],FMS_Input[REMROADCLS])</f>
        <v>0</v>
      </c>
      <c r="AX361" s="264">
        <f>_xlfn.XLOOKUP(FMS_Ranking4[[#This Row],[FMS ID]],FMS_Input[FMS_ID],FMS_Input[REMFRMACRE100])</f>
        <v>0</v>
      </c>
      <c r="AY361" s="258">
        <f>_xlfn.XLOOKUP(FMS_Ranking4[[#This Row],[FMS ID]],FMS_Input[FMS_ID],FMS_Input[COSTSTRUCT])</f>
        <v>0</v>
      </c>
      <c r="AZ361" s="253">
        <f>_xlfn.XLOOKUP(FMS_Ranking4[[#This Row],[FMS ID]],FMS_Input[FMS_ID],FMS_Input[NATURE])</f>
        <v>0</v>
      </c>
      <c r="BA361" s="262">
        <f>(((FMS_Ranking4[[#This Row],[% NBS Raw]]/AZ$4)*100)*AZ$5)</f>
        <v>0</v>
      </c>
      <c r="BB361" s="251" t="str">
        <f>_xlfn.XLOOKUP(FMS_Ranking4[[#This Row],[FMS ID]],FMS_Input[FMS_ID],FMS_Input[WATER_SUP])</f>
        <v>No</v>
      </c>
      <c r="BC361" s="265">
        <f>IF(FMS_Ranking4[[#This Row],[Water Supply Raw]]="Yes",10,0)</f>
        <v>0</v>
      </c>
      <c r="BD361" s="266">
        <f>_xlfn.XLOOKUP(FMS_Ranking4[[#This Row],[FMS Type]],FMS_TYPE[FMS_Type],FMS_TYPE[Score])</f>
        <v>6</v>
      </c>
      <c r="BE361" s="267">
        <f>FMS_Ranking4[[#This Row],[FMS_Type Score]]*$BD$5*10</f>
        <v>1.5000000000000002</v>
      </c>
      <c r="BF36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0.2943023100913123</v>
      </c>
      <c r="BG361" s="271">
        <f>_xlfn.RANK.EQ(BF361,$BF$8:$BF$870,0)+COUNTIF($BF$8:BF361,BF361)-1</f>
        <v>303</v>
      </c>
      <c r="BH361" s="268">
        <f>(((FMS_Ranking4[[#This Row],[Structures Removed Raw]]/AK$4)*100)*AK$5)+(((FMS_Ranking4[[#This Row],[Removed Pop Raw]]/AR$4)*100)*AR$5)</f>
        <v>0</v>
      </c>
      <c r="BI36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1.7943023100913125</v>
      </c>
      <c r="BJ361" s="205">
        <f>_xlfn.RANK.EQ(FMS_Ranking4[[#This Row],[Total Score 
(with linear
normalization)]],FMS_Ranking4[Total Score 
(with linear
normalization)],0)</f>
        <v>541</v>
      </c>
      <c r="BK361" s="205" t="e">
        <f>_xlfn.XLOOKUP(FMS_Ranking4[[#This Row],[FMS ID]],#REF!,#REF!)</f>
        <v>#REF!</v>
      </c>
      <c r="BL36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23.267175995201356</v>
      </c>
      <c r="BM361" s="272">
        <f>FMS_Ranking4[[#This Row],[ArcSinh Score Based on Normalized Reported Factors]]+FMS_Ranking4[[#This Row],[% NBS Score (Normalized)]]+(FMS_Ranking4[[#This Row],[Water Supply Score (Normalized)]]*10*$BB$5)+FMS_Ranking4[[#This Row],[FMS_Type Score Weighted]]</f>
        <v>24.767175995201356</v>
      </c>
      <c r="BN361" s="205">
        <f>_xlfn.RANK.EQ(FMS_Ranking4[[#This Row],[Total Score (with ArcSinh normalization of select criteria)]],FMS_Ranking4[Total Score (with ArcSinh normalization of select criteria)],0)</f>
        <v>354</v>
      </c>
      <c r="BO361" s="270" t="str">
        <f>_xlfn.XLOOKUP(FMS_Ranking4[[#This Row],[FMS ID]],FMS_Input[FMS_ID],FMS_Input[FMS_RANK_YEAR])</f>
        <v>2023 Amended Plan</v>
      </c>
      <c r="BP361" s="204">
        <f>_xlfn.XLOOKUP(FMS_Ranking4[[#This Row],[FMS ID]],Prev_Rank[FMS ID],Prev_Rank[Prev Rank])</f>
        <v>312</v>
      </c>
      <c r="BQ361" s="205" t="e">
        <f>_xlfn.XLOOKUP(FMS_Ranking4[[#This Row],[FMS ID]],#REF!,#REF!)</f>
        <v>#REF!</v>
      </c>
      <c r="BR361" s="199" t="e">
        <f>SUM(#REF!,#REF!,#REF!,#REF!,#REF!,#REF!,#REF!,#REF!,#REF!,FMS_Ranking4[[#This Row],[ArcSinh Res struct removed 0-10]],#REF!)</f>
        <v>#REF!</v>
      </c>
      <c r="BS361" s="199" t="e">
        <f>FMS_Ranking4[[#This Row],[Log Score Based on Normalized Reported Factors]]+FMS_Ranking4[[#This Row],[% NBS Score (Normalized)]]+(FMS_Ranking4[[#This Row],[Water Supply Score (Normalized)]]*10*$BB$5)+(FMS_Ranking4[[#This Row],[FMS_Type Score Weighted]])</f>
        <v>#REF!</v>
      </c>
      <c r="BT361" s="200" t="e">
        <f>_xlfn.RANK.EQ(FMS_Ranking4[[#This Row],[Log Total Score]],FMS_Ranking4[Log Total Score],0)</f>
        <v>#REF!</v>
      </c>
      <c r="BU361" s="200" t="e">
        <f>_xlfn.XLOOKUP(FMS_Ranking4[[#This Row],[FMS ID]],#REF!,#REF!)</f>
        <v>#REF!</v>
      </c>
      <c r="BV361" s="200">
        <f>FMS_Ranking4[[#This Row],[Region Number]]</f>
        <v>4</v>
      </c>
      <c r="BW361" s="200">
        <f>FMS_Ranking4[[#This Row],[Rank (with ArcSinh normalization of select criteria)]]-FMS_Ranking4[[#This Row],[Rank
(with linear
normalization)]]</f>
        <v>-187</v>
      </c>
      <c r="BX361" s="200" t="e">
        <f>FMS_Ranking4[[#This Row],[Log Rank]]-FMS_Ranking4[[#This Row],[Rank
(with linear
normalization)]]</f>
        <v>#REF!</v>
      </c>
      <c r="BY361" s="200" t="str">
        <f>IF(FMS_Ranking4[[#This Row],[FMS Type]]="Flood Measurement and Warning",FMS_Ranking4[[#This Row],[Rank (with ArcSinh normalization of select criteria)]],"")</f>
        <v/>
      </c>
      <c r="BZ361" s="200" t="str">
        <f>IF(FMS_Ranking4[[#This Row],[FMS Type]]="Regulatory and Guidance",FMS_Ranking4[[#This Row],[Rank (with ArcSinh normalization of select criteria)]],"")</f>
        <v/>
      </c>
      <c r="CA361" s="200">
        <f>IF(FMS_Ranking4[[#This Row],[FMS Type]]="Education and Outreach",FMS_Ranking4[[#This Row],[Rank (with ArcSinh normalization of select criteria)]],"")</f>
        <v>354</v>
      </c>
      <c r="CB361" s="200" t="str">
        <f>IF(FMS_Ranking4[[#This Row],[FMS Type]]="Property Acquisition and Structural Elevation",FMS_Ranking4[[#This Row],[Rank (with ArcSinh normalization of select criteria)]],"")</f>
        <v/>
      </c>
      <c r="CC361" s="200" t="str">
        <f>IF(FMS_Ranking4[[#This Row],[FMS Type]]="Infrastructure Projects",FMS_Ranking4[[#This Row],[Rank (with ArcSinh normalization of select criteria)]],"")</f>
        <v/>
      </c>
      <c r="CD361" s="200" t="str">
        <f>IF(FMS_Ranking4[[#This Row],[FMS Type]]="Other",FMS_Ranking4[[#This Row],[Rank (with ArcSinh normalization of select criteria)]],"")</f>
        <v/>
      </c>
      <c r="CE361" s="201"/>
      <c r="CF361" s="206"/>
      <c r="CG361" s="206"/>
      <c r="CH361" s="206"/>
      <c r="CI361" s="206"/>
      <c r="CJ361" s="206"/>
      <c r="CK361" s="206"/>
      <c r="CL361" s="206"/>
      <c r="CM361" s="206"/>
      <c r="CN361" s="206"/>
      <c r="CO361" s="206"/>
      <c r="CP361" s="206"/>
      <c r="CQ361" s="206"/>
      <c r="CR361" s="206"/>
    </row>
    <row r="362" spans="2:96" ht="90" x14ac:dyDescent="0.25">
      <c r="B362" s="341" t="s">
        <v>12076</v>
      </c>
      <c r="C362" s="246">
        <f>_xlfn.XLOOKUP(FMS_Ranking4[[#This Row],[FMS ID]],FMS_Input[FMS_ID],FMS_Input[RFPG_NUM])</f>
        <v>4</v>
      </c>
      <c r="D362" s="309" t="str">
        <f>_xlfn.XLOOKUP(FMS_Ranking4[[#This Row],[FMS ID]],FMS_Input[FMS_ID],FMS_Input[FMS_NAME])</f>
        <v>City of Longview Online Flood Awareness Program</v>
      </c>
      <c r="E362" s="308" t="str">
        <f>_xlfn.XLOOKUP(FMS_Ranking4[[#This Row],[FMS ID]],FMS_Input[FMS_ID],FMS_Input[SPONSOR])</f>
        <v>00003055</v>
      </c>
      <c r="F362" s="309" t="str">
        <f>_xlfn.XLOOKUP(FMS_Ranking4[[#This Row],[FMS ID]],Sponsor[FMS_ID],Sponsor[SPONSOR NAME])</f>
        <v>Longview</v>
      </c>
      <c r="G362" s="309" t="str">
        <f>_xlfn.XLOOKUP(FMS_Ranking4[[#This Row],[FMS ID]],FMS_Input[FMS_ID],FMS_Input[FMS_DESCR])</f>
        <v xml:space="preserve">Place links on local websites to free FEMA training for independent study via the internet, such as 15-271 “Anticipating Hazardous Weather and Community Risk.” </v>
      </c>
      <c r="H362" s="248" t="str">
        <f>_xlfn.XLOOKUP(FMS_Ranking4[[#This Row],[FMS ID]],FMS_Input[FMS_ID],FMS_Input[FMS_TYPE])</f>
        <v>Education and Outreach</v>
      </c>
      <c r="I362" s="249">
        <f>_xlfn.XLOOKUP(FMS_Ranking4[[#This Row],[FMS ID]],FMS_Input[FMS_ID],FMS_Input[NRNC_COST])</f>
        <v>10000</v>
      </c>
      <c r="J362" s="250">
        <f>_xlfn.XLOOKUP(FMS_Ranking4[[#This Row],[FMS ID]],FMS_Input[FMS_ID],FMS_Input[FMS_COST])</f>
        <v>10000</v>
      </c>
      <c r="K362" s="251" t="str">
        <f>_xlfn.XLOOKUP(FMS_Ranking4[[#This Row],[FMS ID]],FMS_Input[FMS_ID],FMS_Input[EMER_NEED])</f>
        <v>No</v>
      </c>
      <c r="L362" s="252">
        <f t="shared" si="5"/>
        <v>0</v>
      </c>
      <c r="M362" s="253">
        <f>_xlfn.XLOOKUP(FMS_Ranking4[[#This Row],[FMS ID]],FMS_Input[FMS_ID],FMS_Input[STRUCT_100])</f>
        <v>1379</v>
      </c>
      <c r="N362" s="255">
        <f>(ASINH(FMS_Ranking4[[#This Row],[Structure at Risk Raw]]))*(10)/(ASINH(M$4))</f>
        <v>6.2280768687986656</v>
      </c>
      <c r="O362" s="256">
        <f>FMS_Ranking4[[#This Row],[Structures at risk, ArcSinh (0-10)]]*M$5*10</f>
        <v>6.2280768687986665</v>
      </c>
      <c r="P362" s="253">
        <f>_xlfn.XLOOKUP(FMS_Ranking4[[#This Row],[FMS ID]],FMS_Input[FMS_ID],FMS_Input[RES_STRUCT100])</f>
        <v>1024</v>
      </c>
      <c r="Q362" s="257">
        <f>ASINH(FMS_Ranking4[[#This Row],[Res Structure Raw]])/Q$4*P$5*100</f>
        <v>0</v>
      </c>
      <c r="R362" s="253">
        <f>_xlfn.XLOOKUP(FMS_Ranking4[[#This Row],[FMS ID]],FMS_Input[FMS_ID],FMS_Input[POP100])</f>
        <v>10126</v>
      </c>
      <c r="S362" s="259">
        <f>(ASINH(FMS_Ranking4[[#This Row],[Pop at Risk Raw]]))*(10)/(ASINH(R$4))</f>
        <v>6.8455981886854298</v>
      </c>
      <c r="T362" s="256">
        <f>FMS_Ranking4[[#This Row],[Population at risk, ArcSinh (0-10)]]*R$5*10</f>
        <v>6.8455981886854298</v>
      </c>
      <c r="U362" s="253">
        <f>_xlfn.XLOOKUP(FMS_Ranking4[[#This Row],[FMS ID]],FMS_Input[FMS_ID],FMS_Input[CRITFAC100])</f>
        <v>9</v>
      </c>
      <c r="V362" s="259">
        <f>(ASINH(FMS_Ranking4[[#This Row],[Critical Facilities Raw]]))*(10)/(ASINH(U$4))</f>
        <v>3.4251552279272253</v>
      </c>
      <c r="W362" s="256">
        <f>FMS_Ranking4[[#This Row],[Critical facilities at risk, ArcSinh (0-10)]]*U$5*10</f>
        <v>3.4251552279272257</v>
      </c>
      <c r="X362" s="253">
        <f>_xlfn.XLOOKUP(FMS_Ranking4[[#This Row],[FMS ID]],FMS_Input[FMS_ID],FMS_Input[LWC])</f>
        <v>0</v>
      </c>
      <c r="Y362" s="259">
        <f>(ASINH(FMS_Ranking4[[#This Row],[LWC Raw]]))*(10)/(ASINH(X$4))</f>
        <v>0</v>
      </c>
      <c r="Z362" s="256">
        <f>FMS_Ranking4[[#This Row],[LWC, ArcSInh (0-10)]]*X$5*10</f>
        <v>0</v>
      </c>
      <c r="AA362" s="253">
        <f>_xlfn.XLOOKUP(FMS_Ranking4[[#This Row],[FMS ID]],FMS_Input[FMS_ID],FMS_Input[ROADCLS])</f>
        <v>0</v>
      </c>
      <c r="AB362" s="255">
        <f>(ASINH(FMS_Ranking4[[#This Row],[Road Closures Raw]]))*(10)/(ASINH(AA$4))</f>
        <v>0</v>
      </c>
      <c r="AC362" s="256">
        <f>FMS_Ranking4[[#This Row],[Road closures, ArcSinh (0-10)]]*AA$5*10</f>
        <v>0</v>
      </c>
      <c r="AD362" s="253">
        <f>_xlfn.XLOOKUP(FMS_Ranking4[[#This Row],[FMS ID]],FMS_Input[FMS_ID],FMS_Input[ROAD_MILES100])</f>
        <v>41</v>
      </c>
      <c r="AE362" s="259">
        <f>(ASINH(FMS_Ranking4[[#This Row],[Road Miles Raw]]))*(10)/(ASINH(AD$4))</f>
        <v>4.6965087826098246</v>
      </c>
      <c r="AF362" s="256">
        <f>FMS_Ranking4[[#This Row],[Length of roads at risk, ArcSinh (0-10)]]*AD$5*10</f>
        <v>4.6965087826098255</v>
      </c>
      <c r="AG362" s="253">
        <f>_xlfn.XLOOKUP(FMS_Ranking4[[#This Row],[FMS ID]],FMS_Input[FMS_ID],FMS_Input[FARMACRE100])</f>
        <v>294.66531372070313</v>
      </c>
      <c r="AH362" s="255">
        <f>(ASINH(FMS_Ranking4[[#This Row],[Ag Land Raw]]))*(10)/(ASINH(AG$4))</f>
        <v>4.1436738543604141</v>
      </c>
      <c r="AI362" s="260">
        <f>FMS_Ranking4[[#This Row],[Farm &amp; ranch land, ArcSinh (0-10)]]*AG$5*10</f>
        <v>2.0718369271802075</v>
      </c>
      <c r="AJ362" s="258">
        <f>_xlfn.XLOOKUP(FMS_Ranking4[[#This Row],[FMS ID]],FMS_Input[FMS_ID],FMS_Input[REDSTRUCT100])</f>
        <v>0</v>
      </c>
      <c r="AK362" s="253">
        <f>_xlfn.XLOOKUP(FMS_Ranking4[[#This Row],[FMS ID]],FMS_Input[FMS_ID],FMS_Input[REMSTRC100])</f>
        <v>0</v>
      </c>
      <c r="AL362" s="259">
        <f>(ASINH(FMS_Ranking4[[#This Row],[Structures Removed Raw]]))*(10)/(ASINH(AK$4))</f>
        <v>0</v>
      </c>
      <c r="AM362" s="262">
        <f>FMS_Ranking4[[#This Row],[Structures removed, ArcSinh (0-10)]]*AK$5*10</f>
        <v>0</v>
      </c>
      <c r="AN362" s="253">
        <f>_xlfn.XLOOKUP(FMS_Ranking4[[#This Row],[FMS ID]],FMS_Input[FMS_ID],FMS_Input[REMRESSTRC100])</f>
        <v>0</v>
      </c>
      <c r="AO362" s="261">
        <f>FMS_Ranking4[[#This Row],[ArcSinh Res struct removed 0-10]]*AN$5*10</f>
        <v>0</v>
      </c>
      <c r="AP362" s="260">
        <f>ASINH(FMS_Ranking4[[#This Row],[Residential Structures Removed Raw]])/AP$4*AN$5*100</f>
        <v>0</v>
      </c>
      <c r="AQ362" s="254">
        <f>(ASINH(FMS_Ranking4[[#This Row],[Residential Structures Removed Raw]]))*(10)/(ASINH(AN$4))</f>
        <v>0</v>
      </c>
      <c r="AR362" s="253">
        <f>_xlfn.XLOOKUP(FMS_Ranking4[[#This Row],[FMS ID]],FMS_Input[FMS_ID],FMS_Input[REMPOP100])</f>
        <v>0</v>
      </c>
      <c r="AS362" s="259">
        <f>(ASINH(FMS_Ranking4[[#This Row],[Removed Pop Raw]]))*(10)/(ASINH(AR$4))</f>
        <v>0</v>
      </c>
      <c r="AT362" s="262">
        <f>FMS_Ranking4[[#This Row],[Removed population, ArcSinh (0-10)]]*AR$5*10</f>
        <v>0</v>
      </c>
      <c r="AU362" s="264">
        <f>_xlfn.XLOOKUP(FMS_Ranking4[[#This Row],[FMS ID]],FMS_Input[FMS_ID],FMS_Input[REMCRITFAC100])</f>
        <v>0</v>
      </c>
      <c r="AV362" s="264">
        <f>_xlfn.XLOOKUP(FMS_Ranking4[[#This Row],[FMS ID]],FMS_Input[FMS_ID],FMS_Input[REMLWC100])</f>
        <v>0</v>
      </c>
      <c r="AW362" s="264">
        <f>_xlfn.XLOOKUP(FMS_Ranking4[[#This Row],[FMS ID]],FMS_Input[FMS_ID],FMS_Input[REMROADCLS])</f>
        <v>0</v>
      </c>
      <c r="AX362" s="264">
        <f>_xlfn.XLOOKUP(FMS_Ranking4[[#This Row],[FMS ID]],FMS_Input[FMS_ID],FMS_Input[REMFRMACRE100])</f>
        <v>0</v>
      </c>
      <c r="AY362" s="258">
        <f>_xlfn.XLOOKUP(FMS_Ranking4[[#This Row],[FMS ID]],FMS_Input[FMS_ID],FMS_Input[COSTSTRUCT])</f>
        <v>0</v>
      </c>
      <c r="AZ362" s="253">
        <f>_xlfn.XLOOKUP(FMS_Ranking4[[#This Row],[FMS ID]],FMS_Input[FMS_ID],FMS_Input[NATURE])</f>
        <v>0</v>
      </c>
      <c r="BA362" s="262">
        <f>(((FMS_Ranking4[[#This Row],[% NBS Raw]]/AZ$4)*100)*AZ$5)</f>
        <v>0</v>
      </c>
      <c r="BB362" s="251" t="str">
        <f>_xlfn.XLOOKUP(FMS_Ranking4[[#This Row],[FMS ID]],FMS_Input[FMS_ID],FMS_Input[WATER_SUP])</f>
        <v>No</v>
      </c>
      <c r="BC362" s="265">
        <f>IF(FMS_Ranking4[[#This Row],[Water Supply Raw]]="Yes",10,0)</f>
        <v>0</v>
      </c>
      <c r="BD362" s="266">
        <f>_xlfn.XLOOKUP(FMS_Ranking4[[#This Row],[FMS Type]],FMS_TYPE[FMS_Type],FMS_TYPE[Score])</f>
        <v>6</v>
      </c>
      <c r="BE362" s="267">
        <f>FMS_Ranking4[[#This Row],[FMS_Type Score]]*$BD$5*10</f>
        <v>1.5000000000000002</v>
      </c>
      <c r="BF36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0.2943023100913123</v>
      </c>
      <c r="BG362" s="271">
        <f>_xlfn.RANK.EQ(BF362,$BF$8:$BF$870,0)+COUNTIF($BF$8:BF362,BF362)-1</f>
        <v>304</v>
      </c>
      <c r="BH362" s="268">
        <f>(((FMS_Ranking4[[#This Row],[Structures Removed Raw]]/AK$4)*100)*AK$5)+(((FMS_Ranking4[[#This Row],[Removed Pop Raw]]/AR$4)*100)*AR$5)</f>
        <v>0</v>
      </c>
      <c r="BI36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1.7943023100913125</v>
      </c>
      <c r="BJ362" s="205">
        <f>_xlfn.RANK.EQ(FMS_Ranking4[[#This Row],[Total Score 
(with linear
normalization)]],FMS_Ranking4[Total Score 
(with linear
normalization)],0)</f>
        <v>541</v>
      </c>
      <c r="BK362" s="205" t="e">
        <f>_xlfn.XLOOKUP(FMS_Ranking4[[#This Row],[FMS ID]],#REF!,#REF!)</f>
        <v>#REF!</v>
      </c>
      <c r="BL36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23.267175995201356</v>
      </c>
      <c r="BM362" s="272">
        <f>FMS_Ranking4[[#This Row],[ArcSinh Score Based on Normalized Reported Factors]]+FMS_Ranking4[[#This Row],[% NBS Score (Normalized)]]+(FMS_Ranking4[[#This Row],[Water Supply Score (Normalized)]]*10*$BB$5)+FMS_Ranking4[[#This Row],[FMS_Type Score Weighted]]</f>
        <v>24.767175995201356</v>
      </c>
      <c r="BN362" s="205">
        <f>_xlfn.RANK.EQ(FMS_Ranking4[[#This Row],[Total Score (with ArcSinh normalization of select criteria)]],FMS_Ranking4[Total Score (with ArcSinh normalization of select criteria)],0)</f>
        <v>354</v>
      </c>
      <c r="BO362" s="270" t="str">
        <f>_xlfn.XLOOKUP(FMS_Ranking4[[#This Row],[FMS ID]],FMS_Input[FMS_ID],FMS_Input[FMS_RANK_YEAR])</f>
        <v>2023 Amended Plan</v>
      </c>
      <c r="BP362" s="204" t="e">
        <f>_xlfn.XLOOKUP(FMS_Ranking4[[#This Row],[FMS ID]],Prev_Rank[FMS ID],Prev_Rank[Prev Rank])</f>
        <v>#N/A</v>
      </c>
      <c r="BQ362" s="205" t="e">
        <f>_xlfn.XLOOKUP(FMS_Ranking4[[#This Row],[FMS ID]],#REF!,#REF!)</f>
        <v>#REF!</v>
      </c>
      <c r="BR362" s="199" t="e">
        <f>SUM(#REF!,#REF!,#REF!,#REF!,#REF!,#REF!,#REF!,#REF!,#REF!,FMS_Ranking4[[#This Row],[ArcSinh Res struct removed 0-10]],#REF!)</f>
        <v>#REF!</v>
      </c>
      <c r="BS362" s="199" t="e">
        <f>FMS_Ranking4[[#This Row],[Log Score Based on Normalized Reported Factors]]+FMS_Ranking4[[#This Row],[% NBS Score (Normalized)]]+(FMS_Ranking4[[#This Row],[Water Supply Score (Normalized)]]*10*$BB$5)+(FMS_Ranking4[[#This Row],[FMS_Type Score Weighted]])</f>
        <v>#REF!</v>
      </c>
      <c r="BT362" s="200" t="e">
        <f>_xlfn.RANK.EQ(FMS_Ranking4[[#This Row],[Log Total Score]],FMS_Ranking4[Log Total Score],0)</f>
        <v>#REF!</v>
      </c>
      <c r="BU362" s="200" t="e">
        <f>_xlfn.XLOOKUP(FMS_Ranking4[[#This Row],[FMS ID]],#REF!,#REF!)</f>
        <v>#REF!</v>
      </c>
      <c r="BV362" s="200">
        <f>FMS_Ranking4[[#This Row],[Region Number]]</f>
        <v>4</v>
      </c>
      <c r="BW362" s="200">
        <f>FMS_Ranking4[[#This Row],[Rank (with ArcSinh normalization of select criteria)]]-FMS_Ranking4[[#This Row],[Rank
(with linear
normalization)]]</f>
        <v>-187</v>
      </c>
      <c r="BX362" s="200" t="e">
        <f>FMS_Ranking4[[#This Row],[Log Rank]]-FMS_Ranking4[[#This Row],[Rank
(with linear
normalization)]]</f>
        <v>#REF!</v>
      </c>
      <c r="BY362" s="200" t="str">
        <f>IF(FMS_Ranking4[[#This Row],[FMS Type]]="Flood Measurement and Warning",FMS_Ranking4[[#This Row],[Rank (with ArcSinh normalization of select criteria)]],"")</f>
        <v/>
      </c>
      <c r="BZ362" s="200" t="str">
        <f>IF(FMS_Ranking4[[#This Row],[FMS Type]]="Regulatory and Guidance",FMS_Ranking4[[#This Row],[Rank (with ArcSinh normalization of select criteria)]],"")</f>
        <v/>
      </c>
      <c r="CA362" s="200">
        <f>IF(FMS_Ranking4[[#This Row],[FMS Type]]="Education and Outreach",FMS_Ranking4[[#This Row],[Rank (with ArcSinh normalization of select criteria)]],"")</f>
        <v>354</v>
      </c>
      <c r="CB362" s="200" t="str">
        <f>IF(FMS_Ranking4[[#This Row],[FMS Type]]="Property Acquisition and Structural Elevation",FMS_Ranking4[[#This Row],[Rank (with ArcSinh normalization of select criteria)]],"")</f>
        <v/>
      </c>
      <c r="CC362" s="200" t="str">
        <f>IF(FMS_Ranking4[[#This Row],[FMS Type]]="Infrastructure Projects",FMS_Ranking4[[#This Row],[Rank (with ArcSinh normalization of select criteria)]],"")</f>
        <v/>
      </c>
      <c r="CD362" s="200" t="str">
        <f>IF(FMS_Ranking4[[#This Row],[FMS Type]]="Other",FMS_Ranking4[[#This Row],[Rank (with ArcSinh normalization of select criteria)]],"")</f>
        <v/>
      </c>
      <c r="CE362" s="201"/>
      <c r="CF362" s="206"/>
      <c r="CG362" s="206"/>
      <c r="CH362" s="206"/>
      <c r="CI362" s="206"/>
      <c r="CJ362" s="206"/>
      <c r="CK362" s="206"/>
      <c r="CL362" s="206"/>
      <c r="CM362" s="206"/>
      <c r="CN362" s="206"/>
      <c r="CO362" s="206"/>
      <c r="CP362" s="206"/>
      <c r="CQ362" s="206"/>
      <c r="CR362" s="206"/>
    </row>
    <row r="363" spans="2:96" ht="60" x14ac:dyDescent="0.25">
      <c r="B363" s="341" t="s">
        <v>2100</v>
      </c>
      <c r="C363" s="246">
        <f>_xlfn.XLOOKUP(FMS_Ranking4[[#This Row],[FMS ID]],FMS_Input[FMS_ID],FMS_Input[RFPG_NUM])</f>
        <v>3</v>
      </c>
      <c r="D363" s="309" t="str">
        <f>_xlfn.XLOOKUP(FMS_Ranking4[[#This Row],[FMS ID]],FMS_Input[FMS_ID],FMS_Input[FMS_NAME])</f>
        <v>Grayson County Flood Warning and Public Safety Improvements</v>
      </c>
      <c r="E363" s="308" t="str">
        <f>_xlfn.XLOOKUP(FMS_Ranking4[[#This Row],[FMS ID]],FMS_Input[FMS_ID],FMS_Input[SPONSOR])</f>
        <v>Grayson County</v>
      </c>
      <c r="F363" s="309" t="str">
        <f>_xlfn.XLOOKUP(FMS_Ranking4[[#This Row],[FMS ID]],Sponsor[FMS_ID],Sponsor[SPONSOR NAME])</f>
        <v>Grayson County</v>
      </c>
      <c r="G363" s="309" t="str">
        <f>_xlfn.XLOOKUP(FMS_Ranking4[[#This Row],[FMS ID]],FMS_Input[FMS_ID],FMS_Input[FMS_DESCR])</f>
        <v>Create improved gauge notification system. Increased Public Awareness prior to occurrences and during flooding.</v>
      </c>
      <c r="H363" s="248" t="str">
        <f>_xlfn.XLOOKUP(FMS_Ranking4[[#This Row],[FMS ID]],FMS_Input[FMS_ID],FMS_Input[FMS_TYPE])</f>
        <v>Flood Measurement and Warning</v>
      </c>
      <c r="I363" s="249">
        <f>_xlfn.XLOOKUP(FMS_Ranking4[[#This Row],[FMS ID]],FMS_Input[FMS_ID],FMS_Input[NRNC_COST])</f>
        <v>25000</v>
      </c>
      <c r="J363" s="250">
        <f>_xlfn.XLOOKUP(FMS_Ranking4[[#This Row],[FMS ID]],FMS_Input[FMS_ID],FMS_Input[FMS_COST])</f>
        <v>250000</v>
      </c>
      <c r="K363" s="251" t="str">
        <f>_xlfn.XLOOKUP(FMS_Ranking4[[#This Row],[FMS ID]],FMS_Input[FMS_ID],FMS_Input[EMER_NEED])</f>
        <v>No</v>
      </c>
      <c r="L363" s="252">
        <f t="shared" si="5"/>
        <v>0</v>
      </c>
      <c r="M363" s="253">
        <f>_xlfn.XLOOKUP(FMS_Ranking4[[#This Row],[FMS ID]],FMS_Input[FMS_ID],FMS_Input[STRUCT_100])</f>
        <v>436</v>
      </c>
      <c r="N363" s="255">
        <f>(ASINH(FMS_Ranking4[[#This Row],[Structure at Risk Raw]]))*(10)/(ASINH(M$4))</f>
        <v>5.3228496479554925</v>
      </c>
      <c r="O363" s="256">
        <f>FMS_Ranking4[[#This Row],[Structures at risk, ArcSinh (0-10)]]*M$5*10</f>
        <v>5.3228496479554934</v>
      </c>
      <c r="P363" s="253">
        <f>_xlfn.XLOOKUP(FMS_Ranking4[[#This Row],[FMS ID]],FMS_Input[FMS_ID],FMS_Input[RES_STRUCT100])</f>
        <v>376</v>
      </c>
      <c r="Q363" s="257">
        <f>ASINH(FMS_Ranking4[[#This Row],[Res Structure Raw]])/Q$4*P$5*100</f>
        <v>0</v>
      </c>
      <c r="R363" s="253">
        <f>_xlfn.XLOOKUP(FMS_Ranking4[[#This Row],[FMS ID]],FMS_Input[FMS_ID],FMS_Input[POP100])</f>
        <v>514</v>
      </c>
      <c r="S363" s="259">
        <f>(ASINH(FMS_Ranking4[[#This Row],[Pop at Risk Raw]]))*(10)/(ASINH(R$4))</f>
        <v>4.7878906350663044</v>
      </c>
      <c r="T363" s="256">
        <f>FMS_Ranking4[[#This Row],[Population at risk, ArcSinh (0-10)]]*R$5*10</f>
        <v>4.7878906350663044</v>
      </c>
      <c r="U363" s="253">
        <f>_xlfn.XLOOKUP(FMS_Ranking4[[#This Row],[FMS ID]],FMS_Input[FMS_ID],FMS_Input[CRITFAC100])</f>
        <v>5</v>
      </c>
      <c r="V363" s="259">
        <f>(ASINH(FMS_Ranking4[[#This Row],[Critical Facilities Raw]]))*(10)/(ASINH(U$4))</f>
        <v>2.7373815814321909</v>
      </c>
      <c r="W363" s="256">
        <f>FMS_Ranking4[[#This Row],[Critical facilities at risk, ArcSinh (0-10)]]*U$5*10</f>
        <v>2.7373815814321913</v>
      </c>
      <c r="X363" s="253">
        <f>_xlfn.XLOOKUP(FMS_Ranking4[[#This Row],[FMS ID]],FMS_Input[FMS_ID],FMS_Input[LWC])</f>
        <v>1</v>
      </c>
      <c r="Y363" s="259">
        <f>(ASINH(FMS_Ranking4[[#This Row],[LWC Raw]]))*(10)/(ASINH(X$4))</f>
        <v>1.1940300948531093</v>
      </c>
      <c r="Z363" s="256">
        <f>FMS_Ranking4[[#This Row],[LWC, ArcSInh (0-10)]]*X$5*10</f>
        <v>1.1940300948531093</v>
      </c>
      <c r="AA363" s="253">
        <f>_xlfn.XLOOKUP(FMS_Ranking4[[#This Row],[FMS ID]],FMS_Input[FMS_ID],FMS_Input[ROADCLS])</f>
        <v>0</v>
      </c>
      <c r="AB363" s="255">
        <f>(ASINH(FMS_Ranking4[[#This Row],[Road Closures Raw]]))*(10)/(ASINH(AA$4))</f>
        <v>0</v>
      </c>
      <c r="AC363" s="256">
        <f>FMS_Ranking4[[#This Row],[Road closures, ArcSinh (0-10)]]*AA$5*10</f>
        <v>0</v>
      </c>
      <c r="AD363" s="253">
        <f>_xlfn.XLOOKUP(FMS_Ranking4[[#This Row],[FMS ID]],FMS_Input[FMS_ID],FMS_Input[ROAD_MILES100])</f>
        <v>43</v>
      </c>
      <c r="AE363" s="259">
        <f>(ASINH(FMS_Ranking4[[#This Row],[Road Miles Raw]]))*(10)/(ASINH(AD$4))</f>
        <v>4.7472527844273538</v>
      </c>
      <c r="AF363" s="256">
        <f>FMS_Ranking4[[#This Row],[Length of roads at risk, ArcSinh (0-10)]]*AD$5*10</f>
        <v>4.7472527844273538</v>
      </c>
      <c r="AG363" s="253">
        <f>_xlfn.XLOOKUP(FMS_Ranking4[[#This Row],[FMS ID]],FMS_Input[FMS_ID],FMS_Input[FARMACRE100])</f>
        <v>21311.439453125</v>
      </c>
      <c r="AH363" s="255">
        <f>(ASINH(FMS_Ranking4[[#This Row],[Ag Land Raw]]))*(10)/(ASINH(AG$4))</f>
        <v>6.9246335955170482</v>
      </c>
      <c r="AI363" s="260">
        <f>FMS_Ranking4[[#This Row],[Farm &amp; ranch land, ArcSinh (0-10)]]*AG$5*10</f>
        <v>3.4623167977585245</v>
      </c>
      <c r="AJ363" s="258">
        <f>_xlfn.XLOOKUP(FMS_Ranking4[[#This Row],[FMS ID]],FMS_Input[FMS_ID],FMS_Input[REDSTRUCT100])</f>
        <v>0</v>
      </c>
      <c r="AK363" s="253">
        <f>_xlfn.XLOOKUP(FMS_Ranking4[[#This Row],[FMS ID]],FMS_Input[FMS_ID],FMS_Input[REMSTRC100])</f>
        <v>0</v>
      </c>
      <c r="AL363" s="259">
        <f>(ASINH(FMS_Ranking4[[#This Row],[Structures Removed Raw]]))*(10)/(ASINH(AK$4))</f>
        <v>0</v>
      </c>
      <c r="AM363" s="262">
        <f>FMS_Ranking4[[#This Row],[Structures removed, ArcSinh (0-10)]]*AK$5*10</f>
        <v>0</v>
      </c>
      <c r="AN363" s="253">
        <f>_xlfn.XLOOKUP(FMS_Ranking4[[#This Row],[FMS ID]],FMS_Input[FMS_ID],FMS_Input[REMRESSTRC100])</f>
        <v>0</v>
      </c>
      <c r="AO363" s="261">
        <f>FMS_Ranking4[[#This Row],[ArcSinh Res struct removed 0-10]]*AN$5*10</f>
        <v>0</v>
      </c>
      <c r="AP363" s="260">
        <f>ASINH(FMS_Ranking4[[#This Row],[Residential Structures Removed Raw]])/AP$4*AN$5*100</f>
        <v>0</v>
      </c>
      <c r="AQ363" s="254">
        <f>(ASINH(FMS_Ranking4[[#This Row],[Residential Structures Removed Raw]]))*(10)/(ASINH(AN$4))</f>
        <v>0</v>
      </c>
      <c r="AR363" s="253">
        <f>_xlfn.XLOOKUP(FMS_Ranking4[[#This Row],[FMS ID]],FMS_Input[FMS_ID],FMS_Input[REMPOP100])</f>
        <v>0</v>
      </c>
      <c r="AS363" s="259">
        <f>(ASINH(FMS_Ranking4[[#This Row],[Removed Pop Raw]]))*(10)/(ASINH(AR$4))</f>
        <v>0</v>
      </c>
      <c r="AT363" s="262">
        <f>FMS_Ranking4[[#This Row],[Removed population, ArcSinh (0-10)]]*AR$5*10</f>
        <v>0</v>
      </c>
      <c r="AU363" s="264">
        <f>_xlfn.XLOOKUP(FMS_Ranking4[[#This Row],[FMS ID]],FMS_Input[FMS_ID],FMS_Input[REMCRITFAC100])</f>
        <v>0</v>
      </c>
      <c r="AV363" s="264">
        <f>_xlfn.XLOOKUP(FMS_Ranking4[[#This Row],[FMS ID]],FMS_Input[FMS_ID],FMS_Input[REMLWC100])</f>
        <v>0</v>
      </c>
      <c r="AW363" s="264">
        <f>_xlfn.XLOOKUP(FMS_Ranking4[[#This Row],[FMS ID]],FMS_Input[FMS_ID],FMS_Input[REMROADCLS])</f>
        <v>0</v>
      </c>
      <c r="AX363" s="264">
        <f>_xlfn.XLOOKUP(FMS_Ranking4[[#This Row],[FMS ID]],FMS_Input[FMS_ID],FMS_Input[REMFRMACRE100])</f>
        <v>0</v>
      </c>
      <c r="AY363" s="258">
        <f>_xlfn.XLOOKUP(FMS_Ranking4[[#This Row],[FMS ID]],FMS_Input[FMS_ID],FMS_Input[COSTSTRUCT])</f>
        <v>0</v>
      </c>
      <c r="AZ363" s="253">
        <f>_xlfn.XLOOKUP(FMS_Ranking4[[#This Row],[FMS ID]],FMS_Input[FMS_ID],FMS_Input[NATURE])</f>
        <v>0</v>
      </c>
      <c r="BA363" s="262">
        <f>(((FMS_Ranking4[[#This Row],[% NBS Raw]]/AZ$4)*100)*AZ$5)</f>
        <v>0</v>
      </c>
      <c r="BB363" s="251" t="str">
        <f>_xlfn.XLOOKUP(FMS_Ranking4[[#This Row],[FMS ID]],FMS_Input[FMS_ID],FMS_Input[WATER_SUP])</f>
        <v>No</v>
      </c>
      <c r="BC363" s="265">
        <f>IF(FMS_Ranking4[[#This Row],[Water Supply Raw]]="Yes",10,0)</f>
        <v>0</v>
      </c>
      <c r="BD363" s="266">
        <f>_xlfn.XLOOKUP(FMS_Ranking4[[#This Row],[FMS Type]],FMS_TYPE[FMS_Type],FMS_TYPE[Score])</f>
        <v>10</v>
      </c>
      <c r="BE363" s="267">
        <f>FMS_Ranking4[[#This Row],[FMS_Type Score]]*$BD$5*10</f>
        <v>2.5</v>
      </c>
      <c r="BF36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0.181510033113607</v>
      </c>
      <c r="BG363" s="271">
        <f>_xlfn.RANK.EQ(BF363,$BF$8:$BF$870,0)+COUNTIF($BF$8:BF363,BF363)-1</f>
        <v>376</v>
      </c>
      <c r="BH363" s="268">
        <f>(((FMS_Ranking4[[#This Row],[Structures Removed Raw]]/AK$4)*100)*AK$5)+(((FMS_Ranking4[[#This Row],[Removed Pop Raw]]/AR$4)*100)*AR$5)</f>
        <v>0</v>
      </c>
      <c r="BI36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2.6815100331136068</v>
      </c>
      <c r="BJ363" s="205">
        <f>_xlfn.RANK.EQ(FMS_Ranking4[[#This Row],[Total Score 
(with linear
normalization)]],FMS_Ranking4[Total Score 
(with linear
normalization)],0)</f>
        <v>209</v>
      </c>
      <c r="BK363" s="205" t="e">
        <f>_xlfn.XLOOKUP(FMS_Ranking4[[#This Row],[FMS ID]],#REF!,#REF!)</f>
        <v>#REF!</v>
      </c>
      <c r="BL36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22.25172154149298</v>
      </c>
      <c r="BM363" s="272">
        <f>FMS_Ranking4[[#This Row],[ArcSinh Score Based on Normalized Reported Factors]]+FMS_Ranking4[[#This Row],[% NBS Score (Normalized)]]+(FMS_Ranking4[[#This Row],[Water Supply Score (Normalized)]]*10*$BB$5)+FMS_Ranking4[[#This Row],[FMS_Type Score Weighted]]</f>
        <v>24.75172154149298</v>
      </c>
      <c r="BN363" s="205">
        <f>_xlfn.RANK.EQ(FMS_Ranking4[[#This Row],[Total Score (with ArcSinh normalization of select criteria)]],FMS_Ranking4[Total Score (with ArcSinh normalization of select criteria)],0)</f>
        <v>356</v>
      </c>
      <c r="BO363" s="270" t="str">
        <f>_xlfn.XLOOKUP(FMS_Ranking4[[#This Row],[FMS ID]],FMS_Input[FMS_ID],FMS_Input[FMS_RANK_YEAR])</f>
        <v>2023 Amended Plan</v>
      </c>
      <c r="BP363" s="204">
        <f>_xlfn.XLOOKUP(FMS_Ranking4[[#This Row],[FMS ID]],Prev_Rank[FMS ID],Prev_Rank[Prev Rank])</f>
        <v>314</v>
      </c>
      <c r="BQ363" s="205" t="e">
        <f>_xlfn.XLOOKUP(FMS_Ranking4[[#This Row],[FMS ID]],#REF!,#REF!)</f>
        <v>#REF!</v>
      </c>
      <c r="BR363" s="199" t="e">
        <f>SUM(#REF!,#REF!,#REF!,#REF!,#REF!,#REF!,#REF!,#REF!,#REF!,FMS_Ranking4[[#This Row],[ArcSinh Res struct removed 0-10]],#REF!)</f>
        <v>#REF!</v>
      </c>
      <c r="BS363" s="199" t="e">
        <f>FMS_Ranking4[[#This Row],[Log Score Based on Normalized Reported Factors]]+FMS_Ranking4[[#This Row],[% NBS Score (Normalized)]]+(FMS_Ranking4[[#This Row],[Water Supply Score (Normalized)]]*10*$BB$5)+(FMS_Ranking4[[#This Row],[FMS_Type Score Weighted]])</f>
        <v>#REF!</v>
      </c>
      <c r="BT363" s="200" t="e">
        <f>_xlfn.RANK.EQ(FMS_Ranking4[[#This Row],[Log Total Score]],FMS_Ranking4[Log Total Score],0)</f>
        <v>#REF!</v>
      </c>
      <c r="BU363" s="200" t="e">
        <f>_xlfn.XLOOKUP(FMS_Ranking4[[#This Row],[FMS ID]],#REF!,#REF!)</f>
        <v>#REF!</v>
      </c>
      <c r="BV363" s="200">
        <f>FMS_Ranking4[[#This Row],[Region Number]]</f>
        <v>3</v>
      </c>
      <c r="BW363" s="200">
        <f>FMS_Ranking4[[#This Row],[Rank (with ArcSinh normalization of select criteria)]]-FMS_Ranking4[[#This Row],[Rank
(with linear
normalization)]]</f>
        <v>147</v>
      </c>
      <c r="BX363" s="200" t="e">
        <f>FMS_Ranking4[[#This Row],[Log Rank]]-FMS_Ranking4[[#This Row],[Rank
(with linear
normalization)]]</f>
        <v>#REF!</v>
      </c>
      <c r="BY363" s="200">
        <f>IF(FMS_Ranking4[[#This Row],[FMS Type]]="Flood Measurement and Warning",FMS_Ranking4[[#This Row],[Rank (with ArcSinh normalization of select criteria)]],"")</f>
        <v>356</v>
      </c>
      <c r="BZ363" s="200" t="str">
        <f>IF(FMS_Ranking4[[#This Row],[FMS Type]]="Regulatory and Guidance",FMS_Ranking4[[#This Row],[Rank (with ArcSinh normalization of select criteria)]],"")</f>
        <v/>
      </c>
      <c r="CA363" s="200" t="str">
        <f>IF(FMS_Ranking4[[#This Row],[FMS Type]]="Education and Outreach",FMS_Ranking4[[#This Row],[Rank (with ArcSinh normalization of select criteria)]],"")</f>
        <v/>
      </c>
      <c r="CB363" s="200" t="str">
        <f>IF(FMS_Ranking4[[#This Row],[FMS Type]]="Property Acquisition and Structural Elevation",FMS_Ranking4[[#This Row],[Rank (with ArcSinh normalization of select criteria)]],"")</f>
        <v/>
      </c>
      <c r="CC363" s="200" t="str">
        <f>IF(FMS_Ranking4[[#This Row],[FMS Type]]="Infrastructure Projects",FMS_Ranking4[[#This Row],[Rank (with ArcSinh normalization of select criteria)]],"")</f>
        <v/>
      </c>
      <c r="CD363" s="200" t="str">
        <f>IF(FMS_Ranking4[[#This Row],[FMS Type]]="Other",FMS_Ranking4[[#This Row],[Rank (with ArcSinh normalization of select criteria)]],"")</f>
        <v/>
      </c>
      <c r="CE363" s="201"/>
      <c r="CF363" s="206"/>
      <c r="CG363" s="206"/>
      <c r="CH363" s="206"/>
      <c r="CI363" s="206"/>
      <c r="CJ363" s="206"/>
      <c r="CK363" s="206"/>
      <c r="CL363" s="206"/>
      <c r="CM363" s="206"/>
      <c r="CN363" s="206"/>
      <c r="CO363" s="206"/>
      <c r="CP363" s="206"/>
      <c r="CQ363" s="206"/>
      <c r="CR363" s="206"/>
    </row>
    <row r="364" spans="2:96" ht="105" x14ac:dyDescent="0.25">
      <c r="B364" s="341" t="s">
        <v>1951</v>
      </c>
      <c r="C364" s="246">
        <f>_xlfn.XLOOKUP(FMS_Ranking4[[#This Row],[FMS ID]],FMS_Input[FMS_ID],FMS_Input[RFPG_NUM])</f>
        <v>3</v>
      </c>
      <c r="D364" s="309" t="str">
        <f>_xlfn.XLOOKUP(FMS_Ranking4[[#This Row],[FMS ID]],FMS_Input[FMS_ID],FMS_Input[FMS_NAME])</f>
        <v>Hill County Flooding Education and Outreach Program</v>
      </c>
      <c r="E364" s="308" t="str">
        <f>_xlfn.XLOOKUP(FMS_Ranking4[[#This Row],[FMS ID]],FMS_Input[FMS_ID],FMS_Input[SPONSOR])</f>
        <v>Hill County</v>
      </c>
      <c r="F364" s="309" t="str">
        <f>_xlfn.XLOOKUP(FMS_Ranking4[[#This Row],[FMS ID]],Sponsor[FMS_ID],Sponsor[SPONSOR NAME])</f>
        <v>Hill County</v>
      </c>
      <c r="G364" s="309" t="str">
        <f>_xlfn.XLOOKUP(FMS_Ranking4[[#This Row],[FMS ID]],FMS_Input[FMS_ID],FMS_Input[FMS_DESCR])</f>
        <v>Develop a coordinated education, outreach, and training program to inform and educate the public about the dangers of flooding and how to prevent flood damages to property.</v>
      </c>
      <c r="H364" s="248" t="str">
        <f>_xlfn.XLOOKUP(FMS_Ranking4[[#This Row],[FMS ID]],FMS_Input[FMS_ID],FMS_Input[FMS_TYPE])</f>
        <v>Education and Outreach</v>
      </c>
      <c r="I364" s="249">
        <f>_xlfn.XLOOKUP(FMS_Ranking4[[#This Row],[FMS ID]],FMS_Input[FMS_ID],FMS_Input[NRNC_COST])</f>
        <v>50000</v>
      </c>
      <c r="J364" s="250">
        <f>_xlfn.XLOOKUP(FMS_Ranking4[[#This Row],[FMS ID]],FMS_Input[FMS_ID],FMS_Input[FMS_COST])</f>
        <v>50000</v>
      </c>
      <c r="K364" s="251" t="str">
        <f>_xlfn.XLOOKUP(FMS_Ranking4[[#This Row],[FMS ID]],FMS_Input[FMS_ID],FMS_Input[EMER_NEED])</f>
        <v>No</v>
      </c>
      <c r="L364" s="252">
        <f t="shared" si="5"/>
        <v>0</v>
      </c>
      <c r="M364" s="253">
        <f>_xlfn.XLOOKUP(FMS_Ranking4[[#This Row],[FMS ID]],FMS_Input[FMS_ID],FMS_Input[STRUCT_100])</f>
        <v>127</v>
      </c>
      <c r="N364" s="255">
        <f>(ASINH(FMS_Ranking4[[#This Row],[Structure at Risk Raw]]))*(10)/(ASINH(M$4))</f>
        <v>4.3531813922880875</v>
      </c>
      <c r="O364" s="256">
        <f>FMS_Ranking4[[#This Row],[Structures at risk, ArcSinh (0-10)]]*M$5*10</f>
        <v>4.3531813922880875</v>
      </c>
      <c r="P364" s="253">
        <f>_xlfn.XLOOKUP(FMS_Ranking4[[#This Row],[FMS ID]],FMS_Input[FMS_ID],FMS_Input[RES_STRUCT100])</f>
        <v>83</v>
      </c>
      <c r="Q364" s="257">
        <f>ASINH(FMS_Ranking4[[#This Row],[Res Structure Raw]])/Q$4*P$5*100</f>
        <v>0</v>
      </c>
      <c r="R364" s="253">
        <f>_xlfn.XLOOKUP(FMS_Ranking4[[#This Row],[FMS ID]],FMS_Input[FMS_ID],FMS_Input[POP100])</f>
        <v>93</v>
      </c>
      <c r="S364" s="259">
        <f>(ASINH(FMS_Ranking4[[#This Row],[Pop at Risk Raw]]))*(10)/(ASINH(R$4))</f>
        <v>3.6076571150161345</v>
      </c>
      <c r="T364" s="256">
        <f>FMS_Ranking4[[#This Row],[Population at risk, ArcSinh (0-10)]]*R$5*10</f>
        <v>3.6076571150161345</v>
      </c>
      <c r="U364" s="253">
        <f>_xlfn.XLOOKUP(FMS_Ranking4[[#This Row],[FMS ID]],FMS_Input[FMS_ID],FMS_Input[CRITFAC100])</f>
        <v>5</v>
      </c>
      <c r="V364" s="259">
        <f>(ASINH(FMS_Ranking4[[#This Row],[Critical Facilities Raw]]))*(10)/(ASINH(U$4))</f>
        <v>2.7373815814321909</v>
      </c>
      <c r="W364" s="256">
        <f>FMS_Ranking4[[#This Row],[Critical facilities at risk, ArcSinh (0-10)]]*U$5*10</f>
        <v>2.7373815814321913</v>
      </c>
      <c r="X364" s="253">
        <f>_xlfn.XLOOKUP(FMS_Ranking4[[#This Row],[FMS ID]],FMS_Input[FMS_ID],FMS_Input[LWC])</f>
        <v>18</v>
      </c>
      <c r="Y364" s="259">
        <f>(ASINH(FMS_Ranking4[[#This Row],[LWC Raw]]))*(10)/(ASINH(X$4))</f>
        <v>4.8557725986155553</v>
      </c>
      <c r="Z364" s="256">
        <f>FMS_Ranking4[[#This Row],[LWC, ArcSInh (0-10)]]*X$5*10</f>
        <v>4.8557725986155553</v>
      </c>
      <c r="AA364" s="253">
        <f>_xlfn.XLOOKUP(FMS_Ranking4[[#This Row],[FMS ID]],FMS_Input[FMS_ID],FMS_Input[ROADCLS])</f>
        <v>0</v>
      </c>
      <c r="AB364" s="255">
        <f>(ASINH(FMS_Ranking4[[#This Row],[Road Closures Raw]]))*(10)/(ASINH(AA$4))</f>
        <v>0</v>
      </c>
      <c r="AC364" s="256">
        <f>FMS_Ranking4[[#This Row],[Road closures, ArcSinh (0-10)]]*AA$5*10</f>
        <v>0</v>
      </c>
      <c r="AD364" s="253">
        <f>_xlfn.XLOOKUP(FMS_Ranking4[[#This Row],[FMS ID]],FMS_Input[FMS_ID],FMS_Input[ROAD_MILES100])</f>
        <v>24</v>
      </c>
      <c r="AE364" s="259">
        <f>(ASINH(FMS_Ranking4[[#This Row],[Road Miles Raw]]))*(10)/(ASINH(AD$4))</f>
        <v>4.1260974697280659</v>
      </c>
      <c r="AF364" s="256">
        <f>FMS_Ranking4[[#This Row],[Length of roads at risk, ArcSinh (0-10)]]*AD$5*10</f>
        <v>4.1260974697280659</v>
      </c>
      <c r="AG364" s="253">
        <f>_xlfn.XLOOKUP(FMS_Ranking4[[#This Row],[FMS ID]],FMS_Input[FMS_ID],FMS_Input[FARMACRE100])</f>
        <v>24901.609375</v>
      </c>
      <c r="AH364" s="255">
        <f>(ASINH(FMS_Ranking4[[#This Row],[Ag Land Raw]]))*(10)/(ASINH(AG$4))</f>
        <v>7.0257659228773175</v>
      </c>
      <c r="AI364" s="260">
        <f>FMS_Ranking4[[#This Row],[Farm &amp; ranch land, ArcSinh (0-10)]]*AG$5*10</f>
        <v>3.5128829614386592</v>
      </c>
      <c r="AJ364" s="258">
        <f>_xlfn.XLOOKUP(FMS_Ranking4[[#This Row],[FMS ID]],FMS_Input[FMS_ID],FMS_Input[REDSTRUCT100])</f>
        <v>0</v>
      </c>
      <c r="AK364" s="253">
        <f>_xlfn.XLOOKUP(FMS_Ranking4[[#This Row],[FMS ID]],FMS_Input[FMS_ID],FMS_Input[REMSTRC100])</f>
        <v>0</v>
      </c>
      <c r="AL364" s="259">
        <f>(ASINH(FMS_Ranking4[[#This Row],[Structures Removed Raw]]))*(10)/(ASINH(AK$4))</f>
        <v>0</v>
      </c>
      <c r="AM364" s="262">
        <f>FMS_Ranking4[[#This Row],[Structures removed, ArcSinh (0-10)]]*AK$5*10</f>
        <v>0</v>
      </c>
      <c r="AN364" s="253">
        <f>_xlfn.XLOOKUP(FMS_Ranking4[[#This Row],[FMS ID]],FMS_Input[FMS_ID],FMS_Input[REMRESSTRC100])</f>
        <v>0</v>
      </c>
      <c r="AO364" s="261">
        <f>FMS_Ranking4[[#This Row],[ArcSinh Res struct removed 0-10]]*AN$5*10</f>
        <v>0</v>
      </c>
      <c r="AP364" s="260">
        <f>ASINH(FMS_Ranking4[[#This Row],[Residential Structures Removed Raw]])/AP$4*AN$5*100</f>
        <v>0</v>
      </c>
      <c r="AQ364" s="254">
        <f>(ASINH(FMS_Ranking4[[#This Row],[Residential Structures Removed Raw]]))*(10)/(ASINH(AN$4))</f>
        <v>0</v>
      </c>
      <c r="AR364" s="253">
        <f>_xlfn.XLOOKUP(FMS_Ranking4[[#This Row],[FMS ID]],FMS_Input[FMS_ID],FMS_Input[REMPOP100])</f>
        <v>0</v>
      </c>
      <c r="AS364" s="259">
        <f>(ASINH(FMS_Ranking4[[#This Row],[Removed Pop Raw]]))*(10)/(ASINH(AR$4))</f>
        <v>0</v>
      </c>
      <c r="AT364" s="262">
        <f>FMS_Ranking4[[#This Row],[Removed population, ArcSinh (0-10)]]*AR$5*10</f>
        <v>0</v>
      </c>
      <c r="AU364" s="264">
        <f>_xlfn.XLOOKUP(FMS_Ranking4[[#This Row],[FMS ID]],FMS_Input[FMS_ID],FMS_Input[REMCRITFAC100])</f>
        <v>0</v>
      </c>
      <c r="AV364" s="264">
        <f>_xlfn.XLOOKUP(FMS_Ranking4[[#This Row],[FMS ID]],FMS_Input[FMS_ID],FMS_Input[REMLWC100])</f>
        <v>0</v>
      </c>
      <c r="AW364" s="264">
        <f>_xlfn.XLOOKUP(FMS_Ranking4[[#This Row],[FMS ID]],FMS_Input[FMS_ID],FMS_Input[REMROADCLS])</f>
        <v>0</v>
      </c>
      <c r="AX364" s="264">
        <f>_xlfn.XLOOKUP(FMS_Ranking4[[#This Row],[FMS ID]],FMS_Input[FMS_ID],FMS_Input[REMFRMACRE100])</f>
        <v>0</v>
      </c>
      <c r="AY364" s="258">
        <f>_xlfn.XLOOKUP(FMS_Ranking4[[#This Row],[FMS ID]],FMS_Input[FMS_ID],FMS_Input[COSTSTRUCT])</f>
        <v>0</v>
      </c>
      <c r="AZ364" s="253">
        <f>_xlfn.XLOOKUP(FMS_Ranking4[[#This Row],[FMS ID]],FMS_Input[FMS_ID],FMS_Input[NATURE])</f>
        <v>0</v>
      </c>
      <c r="BA364" s="262">
        <f>(((FMS_Ranking4[[#This Row],[% NBS Raw]]/AZ$4)*100)*AZ$5)</f>
        <v>0</v>
      </c>
      <c r="BB364" s="251" t="str">
        <f>_xlfn.XLOOKUP(FMS_Ranking4[[#This Row],[FMS ID]],FMS_Input[FMS_ID],FMS_Input[WATER_SUP])</f>
        <v>No</v>
      </c>
      <c r="BC364" s="265">
        <f>IF(FMS_Ranking4[[#This Row],[Water Supply Raw]]="Yes",10,0)</f>
        <v>0</v>
      </c>
      <c r="BD364" s="266">
        <f>_xlfn.XLOOKUP(FMS_Ranking4[[#This Row],[FMS Type]],FMS_TYPE[FMS_Type],FMS_TYPE[Score])</f>
        <v>6</v>
      </c>
      <c r="BE364" s="267">
        <f>FMS_Ranking4[[#This Row],[FMS_Type Score]]*$BD$5*10</f>
        <v>1.5000000000000002</v>
      </c>
      <c r="BF36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0.34586526641292442</v>
      </c>
      <c r="BG364" s="271">
        <f>_xlfn.RANK.EQ(BF364,$BF$8:$BF$870,0)+COUNTIF($BF$8:BF364,BF364)-1</f>
        <v>277</v>
      </c>
      <c r="BH364" s="268">
        <f>(((FMS_Ranking4[[#This Row],[Structures Removed Raw]]/AK$4)*100)*AK$5)+(((FMS_Ranking4[[#This Row],[Removed Pop Raw]]/AR$4)*100)*AR$5)</f>
        <v>0</v>
      </c>
      <c r="BI36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1.8458652664129247</v>
      </c>
      <c r="BJ364" s="205">
        <f>_xlfn.RANK.EQ(FMS_Ranking4[[#This Row],[Total Score 
(with linear
normalization)]],FMS_Ranking4[Total Score 
(with linear
normalization)],0)</f>
        <v>535</v>
      </c>
      <c r="BK364" s="205" t="e">
        <f>_xlfn.XLOOKUP(FMS_Ranking4[[#This Row],[FMS ID]],#REF!,#REF!)</f>
        <v>#REF!</v>
      </c>
      <c r="BL36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23.192973118518694</v>
      </c>
      <c r="BM364" s="272">
        <f>FMS_Ranking4[[#This Row],[ArcSinh Score Based on Normalized Reported Factors]]+FMS_Ranking4[[#This Row],[% NBS Score (Normalized)]]+(FMS_Ranking4[[#This Row],[Water Supply Score (Normalized)]]*10*$BB$5)+FMS_Ranking4[[#This Row],[FMS_Type Score Weighted]]</f>
        <v>24.692973118518694</v>
      </c>
      <c r="BN364" s="205">
        <f>_xlfn.RANK.EQ(FMS_Ranking4[[#This Row],[Total Score (with ArcSinh normalization of select criteria)]],FMS_Ranking4[Total Score (with ArcSinh normalization of select criteria)],0)</f>
        <v>357</v>
      </c>
      <c r="BO364" s="270" t="str">
        <f>_xlfn.XLOOKUP(FMS_Ranking4[[#This Row],[FMS ID]],FMS_Input[FMS_ID],FMS_Input[FMS_RANK_YEAR])</f>
        <v>2023 Amended Plan</v>
      </c>
      <c r="BP364" s="204">
        <f>_xlfn.XLOOKUP(FMS_Ranking4[[#This Row],[FMS ID]],Prev_Rank[FMS ID],Prev_Rank[Prev Rank])</f>
        <v>317</v>
      </c>
      <c r="BQ364" s="205" t="e">
        <f>_xlfn.XLOOKUP(FMS_Ranking4[[#This Row],[FMS ID]],#REF!,#REF!)</f>
        <v>#REF!</v>
      </c>
      <c r="BR364" s="199" t="e">
        <f>SUM(#REF!,#REF!,#REF!,#REF!,#REF!,#REF!,#REF!,#REF!,#REF!,FMS_Ranking4[[#This Row],[ArcSinh Res struct removed 0-10]],#REF!)</f>
        <v>#REF!</v>
      </c>
      <c r="BS364" s="199" t="e">
        <f>FMS_Ranking4[[#This Row],[Log Score Based on Normalized Reported Factors]]+FMS_Ranking4[[#This Row],[% NBS Score (Normalized)]]+(FMS_Ranking4[[#This Row],[Water Supply Score (Normalized)]]*10*$BB$5)+(FMS_Ranking4[[#This Row],[FMS_Type Score Weighted]])</f>
        <v>#REF!</v>
      </c>
      <c r="BT364" s="200" t="e">
        <f>_xlfn.RANK.EQ(FMS_Ranking4[[#This Row],[Log Total Score]],FMS_Ranking4[Log Total Score],0)</f>
        <v>#REF!</v>
      </c>
      <c r="BU364" s="200" t="e">
        <f>_xlfn.XLOOKUP(FMS_Ranking4[[#This Row],[FMS ID]],#REF!,#REF!)</f>
        <v>#REF!</v>
      </c>
      <c r="BV364" s="200">
        <f>FMS_Ranking4[[#This Row],[Region Number]]</f>
        <v>3</v>
      </c>
      <c r="BW364" s="200">
        <f>FMS_Ranking4[[#This Row],[Rank (with ArcSinh normalization of select criteria)]]-FMS_Ranking4[[#This Row],[Rank
(with linear
normalization)]]</f>
        <v>-178</v>
      </c>
      <c r="BX364" s="200" t="e">
        <f>FMS_Ranking4[[#This Row],[Log Rank]]-FMS_Ranking4[[#This Row],[Rank
(with linear
normalization)]]</f>
        <v>#REF!</v>
      </c>
      <c r="BY364" s="200" t="str">
        <f>IF(FMS_Ranking4[[#This Row],[FMS Type]]="Flood Measurement and Warning",FMS_Ranking4[[#This Row],[Rank (with ArcSinh normalization of select criteria)]],"")</f>
        <v/>
      </c>
      <c r="BZ364" s="200" t="str">
        <f>IF(FMS_Ranking4[[#This Row],[FMS Type]]="Regulatory and Guidance",FMS_Ranking4[[#This Row],[Rank (with ArcSinh normalization of select criteria)]],"")</f>
        <v/>
      </c>
      <c r="CA364" s="200">
        <f>IF(FMS_Ranking4[[#This Row],[FMS Type]]="Education and Outreach",FMS_Ranking4[[#This Row],[Rank (with ArcSinh normalization of select criteria)]],"")</f>
        <v>357</v>
      </c>
      <c r="CB364" s="200" t="str">
        <f>IF(FMS_Ranking4[[#This Row],[FMS Type]]="Property Acquisition and Structural Elevation",FMS_Ranking4[[#This Row],[Rank (with ArcSinh normalization of select criteria)]],"")</f>
        <v/>
      </c>
      <c r="CC364" s="200" t="str">
        <f>IF(FMS_Ranking4[[#This Row],[FMS Type]]="Infrastructure Projects",FMS_Ranking4[[#This Row],[Rank (with ArcSinh normalization of select criteria)]],"")</f>
        <v/>
      </c>
      <c r="CD364" s="200" t="str">
        <f>IF(FMS_Ranking4[[#This Row],[FMS Type]]="Other",FMS_Ranking4[[#This Row],[Rank (with ArcSinh normalization of select criteria)]],"")</f>
        <v/>
      </c>
      <c r="CE364" s="201"/>
      <c r="CF364" s="206"/>
      <c r="CG364" s="206"/>
      <c r="CH364" s="206"/>
      <c r="CI364" s="206"/>
      <c r="CJ364" s="206"/>
      <c r="CK364" s="206"/>
      <c r="CL364" s="206"/>
      <c r="CM364" s="206"/>
      <c r="CN364" s="206"/>
      <c r="CO364" s="206"/>
      <c r="CP364" s="206"/>
      <c r="CQ364" s="206"/>
      <c r="CR364" s="206"/>
    </row>
    <row r="365" spans="2:96" ht="45" x14ac:dyDescent="0.25">
      <c r="B365" s="341" t="s">
        <v>1614</v>
      </c>
      <c r="C365" s="246">
        <f>_xlfn.XLOOKUP(FMS_Ranking4[[#This Row],[FMS ID]],FMS_Input[FMS_ID],FMS_Input[RFPG_NUM])</f>
        <v>2</v>
      </c>
      <c r="D365" s="309" t="str">
        <f>_xlfn.XLOOKUP(FMS_Ranking4[[#This Row],[FMS ID]],FMS_Input[FMS_ID],FMS_Input[FMS_NAME])</f>
        <v>Franklin County NFIP Involvement</v>
      </c>
      <c r="E365" s="308" t="str">
        <f>_xlfn.XLOOKUP(FMS_Ranking4[[#This Row],[FMS ID]],FMS_Input[FMS_ID],FMS_Input[SPONSOR])</f>
        <v>Franklin County</v>
      </c>
      <c r="F365" s="309" t="str">
        <f>_xlfn.XLOOKUP(FMS_Ranking4[[#This Row],[FMS ID]],Sponsor[FMS_ID],Sponsor[SPONSOR NAME])</f>
        <v>Franklin County</v>
      </c>
      <c r="G365" s="309" t="str">
        <f>_xlfn.XLOOKUP(FMS_Ranking4[[#This Row],[FMS ID]],FMS_Input[FMS_ID],FMS_Input[FMS_DESCR])</f>
        <v xml:space="preserve">Application to join NFIP or adoption of equivalent standards </v>
      </c>
      <c r="H365" s="248" t="str">
        <f>_xlfn.XLOOKUP(FMS_Ranking4[[#This Row],[FMS ID]],FMS_Input[FMS_ID],FMS_Input[FMS_TYPE])</f>
        <v>Regulatory and Guidance</v>
      </c>
      <c r="I365" s="249">
        <f>_xlfn.XLOOKUP(FMS_Ranking4[[#This Row],[FMS ID]],FMS_Input[FMS_ID],FMS_Input[NRNC_COST])</f>
        <v>100000</v>
      </c>
      <c r="J365" s="250">
        <f>_xlfn.XLOOKUP(FMS_Ranking4[[#This Row],[FMS ID]],FMS_Input[FMS_ID],FMS_Input[FMS_COST])</f>
        <v>100000</v>
      </c>
      <c r="K365" s="251" t="str">
        <f>_xlfn.XLOOKUP(FMS_Ranking4[[#This Row],[FMS ID]],FMS_Input[FMS_ID],FMS_Input[EMER_NEED])</f>
        <v>No</v>
      </c>
      <c r="L365" s="252">
        <f t="shared" si="5"/>
        <v>0</v>
      </c>
      <c r="M365" s="253">
        <f>_xlfn.XLOOKUP(FMS_Ranking4[[#This Row],[FMS ID]],FMS_Input[FMS_ID],FMS_Input[STRUCT_100])</f>
        <v>455</v>
      </c>
      <c r="N365" s="255">
        <f>(ASINH(FMS_Ranking4[[#This Row],[Structure at Risk Raw]]))*(10)/(ASINH(M$4))</f>
        <v>5.3563828825159616</v>
      </c>
      <c r="O365" s="256">
        <f>FMS_Ranking4[[#This Row],[Structures at risk, ArcSinh (0-10)]]*M$5*10</f>
        <v>5.3563828825159625</v>
      </c>
      <c r="P365" s="253">
        <f>_xlfn.XLOOKUP(FMS_Ranking4[[#This Row],[FMS ID]],FMS_Input[FMS_ID],FMS_Input[RES_STRUCT100])</f>
        <v>341</v>
      </c>
      <c r="Q365" s="257">
        <f>ASINH(FMS_Ranking4[[#This Row],[Res Structure Raw]])/Q$4*P$5*100</f>
        <v>0</v>
      </c>
      <c r="R365" s="253">
        <f>_xlfn.XLOOKUP(FMS_Ranking4[[#This Row],[FMS ID]],FMS_Input[FMS_ID],FMS_Input[POP100])</f>
        <v>2507</v>
      </c>
      <c r="S365" s="259">
        <f>(ASINH(FMS_Ranking4[[#This Row],[Pop at Risk Raw]]))*(10)/(ASINH(R$4))</f>
        <v>5.8818446427094511</v>
      </c>
      <c r="T365" s="256">
        <f>FMS_Ranking4[[#This Row],[Population at risk, ArcSinh (0-10)]]*R$5*10</f>
        <v>5.881844642709452</v>
      </c>
      <c r="U365" s="253">
        <f>_xlfn.XLOOKUP(FMS_Ranking4[[#This Row],[FMS ID]],FMS_Input[FMS_ID],FMS_Input[CRITFAC100])</f>
        <v>1</v>
      </c>
      <c r="V365" s="259">
        <f>(ASINH(FMS_Ranking4[[#This Row],[Critical Facilities Raw]]))*(10)/(ASINH(U$4))</f>
        <v>1.0433384451410745</v>
      </c>
      <c r="W365" s="256">
        <f>FMS_Ranking4[[#This Row],[Critical facilities at risk, ArcSinh (0-10)]]*U$5*10</f>
        <v>1.0433384451410745</v>
      </c>
      <c r="X365" s="253">
        <f>_xlfn.XLOOKUP(FMS_Ranking4[[#This Row],[FMS ID]],FMS_Input[FMS_ID],FMS_Input[LWC])</f>
        <v>5</v>
      </c>
      <c r="Y365" s="259">
        <f>(ASINH(FMS_Ranking4[[#This Row],[LWC Raw]]))*(10)/(ASINH(X$4))</f>
        <v>3.1327475801820781</v>
      </c>
      <c r="Z365" s="256">
        <f>FMS_Ranking4[[#This Row],[LWC, ArcSInh (0-10)]]*X$5*10</f>
        <v>3.1327475801820781</v>
      </c>
      <c r="AA365" s="253">
        <f>_xlfn.XLOOKUP(FMS_Ranking4[[#This Row],[FMS ID]],FMS_Input[FMS_ID],FMS_Input[ROADCLS])</f>
        <v>0</v>
      </c>
      <c r="AB365" s="255">
        <f>(ASINH(FMS_Ranking4[[#This Row],[Road Closures Raw]]))*(10)/(ASINH(AA$4))</f>
        <v>0</v>
      </c>
      <c r="AC365" s="256">
        <f>FMS_Ranking4[[#This Row],[Road closures, ArcSinh (0-10)]]*AA$5*10</f>
        <v>0</v>
      </c>
      <c r="AD365" s="253">
        <f>_xlfn.XLOOKUP(FMS_Ranking4[[#This Row],[FMS ID]],FMS_Input[FMS_ID],FMS_Input[ROAD_MILES100])</f>
        <v>39</v>
      </c>
      <c r="AE365" s="259">
        <f>(ASINH(FMS_Ranking4[[#This Row],[Road Miles Raw]]))*(10)/(ASINH(AD$4))</f>
        <v>4.6432280983160377</v>
      </c>
      <c r="AF365" s="256">
        <f>FMS_Ranking4[[#This Row],[Length of roads at risk, ArcSinh (0-10)]]*AD$5*10</f>
        <v>4.6432280983160377</v>
      </c>
      <c r="AG365" s="253">
        <f>_xlfn.XLOOKUP(FMS_Ranking4[[#This Row],[FMS ID]],FMS_Input[FMS_ID],FMS_Input[FARMACRE100])</f>
        <v>1573.327270507812</v>
      </c>
      <c r="AH365" s="255">
        <f>(ASINH(FMS_Ranking4[[#This Row],[Ag Land Raw]]))*(10)/(ASINH(AG$4))</f>
        <v>5.2317910056945793</v>
      </c>
      <c r="AI365" s="260">
        <f>FMS_Ranking4[[#This Row],[Farm &amp; ranch land, ArcSinh (0-10)]]*AG$5*10</f>
        <v>2.6158955028472897</v>
      </c>
      <c r="AJ365" s="258">
        <f>_xlfn.XLOOKUP(FMS_Ranking4[[#This Row],[FMS ID]],FMS_Input[FMS_ID],FMS_Input[REDSTRUCT100])</f>
        <v>0</v>
      </c>
      <c r="AK365" s="253">
        <f>_xlfn.XLOOKUP(FMS_Ranking4[[#This Row],[FMS ID]],FMS_Input[FMS_ID],FMS_Input[REMSTRC100])</f>
        <v>0</v>
      </c>
      <c r="AL365" s="259">
        <f>(ASINH(FMS_Ranking4[[#This Row],[Structures Removed Raw]]))*(10)/(ASINH(AK$4))</f>
        <v>0</v>
      </c>
      <c r="AM365" s="262">
        <f>FMS_Ranking4[[#This Row],[Structures removed, ArcSinh (0-10)]]*AK$5*10</f>
        <v>0</v>
      </c>
      <c r="AN365" s="253">
        <f>_xlfn.XLOOKUP(FMS_Ranking4[[#This Row],[FMS ID]],FMS_Input[FMS_ID],FMS_Input[REMRESSTRC100])</f>
        <v>0</v>
      </c>
      <c r="AO365" s="261">
        <f>FMS_Ranking4[[#This Row],[ArcSinh Res struct removed 0-10]]*AN$5*10</f>
        <v>0</v>
      </c>
      <c r="AP365" s="260">
        <f>ASINH(FMS_Ranking4[[#This Row],[Residential Structures Removed Raw]])/AP$4*AN$5*100</f>
        <v>0</v>
      </c>
      <c r="AQ365" s="254">
        <f>(ASINH(FMS_Ranking4[[#This Row],[Residential Structures Removed Raw]]))*(10)/(ASINH(AN$4))</f>
        <v>0</v>
      </c>
      <c r="AR365" s="253">
        <f>_xlfn.XLOOKUP(FMS_Ranking4[[#This Row],[FMS ID]],FMS_Input[FMS_ID],FMS_Input[REMPOP100])</f>
        <v>0</v>
      </c>
      <c r="AS365" s="259">
        <f>(ASINH(FMS_Ranking4[[#This Row],[Removed Pop Raw]]))*(10)/(ASINH(AR$4))</f>
        <v>0</v>
      </c>
      <c r="AT365" s="262">
        <f>FMS_Ranking4[[#This Row],[Removed population, ArcSinh (0-10)]]*AR$5*10</f>
        <v>0</v>
      </c>
      <c r="AU365" s="264">
        <f>_xlfn.XLOOKUP(FMS_Ranking4[[#This Row],[FMS ID]],FMS_Input[FMS_ID],FMS_Input[REMCRITFAC100])</f>
        <v>0</v>
      </c>
      <c r="AV365" s="264">
        <f>_xlfn.XLOOKUP(FMS_Ranking4[[#This Row],[FMS ID]],FMS_Input[FMS_ID],FMS_Input[REMLWC100])</f>
        <v>0</v>
      </c>
      <c r="AW365" s="264">
        <f>_xlfn.XLOOKUP(FMS_Ranking4[[#This Row],[FMS ID]],FMS_Input[FMS_ID],FMS_Input[REMROADCLS])</f>
        <v>0</v>
      </c>
      <c r="AX365" s="264">
        <f>_xlfn.XLOOKUP(FMS_Ranking4[[#This Row],[FMS ID]],FMS_Input[FMS_ID],FMS_Input[REMFRMACRE100])</f>
        <v>0</v>
      </c>
      <c r="AY365" s="258">
        <f>_xlfn.XLOOKUP(FMS_Ranking4[[#This Row],[FMS ID]],FMS_Input[FMS_ID],FMS_Input[COSTSTRUCT])</f>
        <v>0</v>
      </c>
      <c r="AZ365" s="253">
        <f>_xlfn.XLOOKUP(FMS_Ranking4[[#This Row],[FMS ID]],FMS_Input[FMS_ID],FMS_Input[NATURE])</f>
        <v>0</v>
      </c>
      <c r="BA365" s="262">
        <f>(((FMS_Ranking4[[#This Row],[% NBS Raw]]/AZ$4)*100)*AZ$5)</f>
        <v>0</v>
      </c>
      <c r="BB365" s="251" t="str">
        <f>_xlfn.XLOOKUP(FMS_Ranking4[[#This Row],[FMS ID]],FMS_Input[FMS_ID],FMS_Input[WATER_SUP])</f>
        <v>No</v>
      </c>
      <c r="BC365" s="265">
        <f>IF(FMS_Ranking4[[#This Row],[Water Supply Raw]]="Yes",10,0)</f>
        <v>0</v>
      </c>
      <c r="BD365" s="266">
        <f>_xlfn.XLOOKUP(FMS_Ranking4[[#This Row],[FMS Type]],FMS_TYPE[FMS_Type],FMS_TYPE[Score])</f>
        <v>8</v>
      </c>
      <c r="BE365" s="267">
        <f>FMS_Ranking4[[#This Row],[FMS_Type Score]]*$BD$5*10</f>
        <v>2</v>
      </c>
      <c r="BF36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0.18828408629073867</v>
      </c>
      <c r="BG365" s="271">
        <f>_xlfn.RANK.EQ(BF365,$BF$8:$BF$870,0)+COUNTIF($BF$8:BF365,BF365)-1</f>
        <v>374</v>
      </c>
      <c r="BH365" s="268">
        <f>(((FMS_Ranking4[[#This Row],[Structures Removed Raw]]/AK$4)*100)*AK$5)+(((FMS_Ranking4[[#This Row],[Removed Pop Raw]]/AR$4)*100)*AR$5)</f>
        <v>0</v>
      </c>
      <c r="BI36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2.1882840862907385</v>
      </c>
      <c r="BJ365" s="205">
        <f>_xlfn.RANK.EQ(FMS_Ranking4[[#This Row],[Total Score 
(with linear
normalization)]],FMS_Ranking4[Total Score 
(with linear
normalization)],0)</f>
        <v>333</v>
      </c>
      <c r="BK365" s="205" t="e">
        <f>_xlfn.XLOOKUP(FMS_Ranking4[[#This Row],[FMS ID]],#REF!,#REF!)</f>
        <v>#REF!</v>
      </c>
      <c r="BL36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22.673437151711898</v>
      </c>
      <c r="BM365" s="272">
        <f>FMS_Ranking4[[#This Row],[ArcSinh Score Based on Normalized Reported Factors]]+FMS_Ranking4[[#This Row],[% NBS Score (Normalized)]]+(FMS_Ranking4[[#This Row],[Water Supply Score (Normalized)]]*10*$BB$5)+FMS_Ranking4[[#This Row],[FMS_Type Score Weighted]]</f>
        <v>24.673437151711898</v>
      </c>
      <c r="BN365" s="205">
        <f>_xlfn.RANK.EQ(FMS_Ranking4[[#This Row],[Total Score (with ArcSinh normalization of select criteria)]],FMS_Ranking4[Total Score (with ArcSinh normalization of select criteria)],0)</f>
        <v>358</v>
      </c>
      <c r="BO365" s="270" t="str">
        <f>_xlfn.XLOOKUP(FMS_Ranking4[[#This Row],[FMS ID]],FMS_Input[FMS_ID],FMS_Input[FMS_RANK_YEAR])</f>
        <v>2023 Amended Plan</v>
      </c>
      <c r="BP365" s="204">
        <f>_xlfn.XLOOKUP(FMS_Ranking4[[#This Row],[FMS ID]],Prev_Rank[FMS ID],Prev_Rank[Prev Rank])</f>
        <v>315</v>
      </c>
      <c r="BQ365" s="205" t="e">
        <f>_xlfn.XLOOKUP(FMS_Ranking4[[#This Row],[FMS ID]],#REF!,#REF!)</f>
        <v>#REF!</v>
      </c>
      <c r="BR365" s="199" t="e">
        <f>SUM(#REF!,#REF!,#REF!,#REF!,#REF!,#REF!,#REF!,#REF!,#REF!,FMS_Ranking4[[#This Row],[ArcSinh Res struct removed 0-10]],#REF!)</f>
        <v>#REF!</v>
      </c>
      <c r="BS365" s="199" t="e">
        <f>FMS_Ranking4[[#This Row],[Log Score Based on Normalized Reported Factors]]+FMS_Ranking4[[#This Row],[% NBS Score (Normalized)]]+(FMS_Ranking4[[#This Row],[Water Supply Score (Normalized)]]*10*$BB$5)+(FMS_Ranking4[[#This Row],[FMS_Type Score Weighted]])</f>
        <v>#REF!</v>
      </c>
      <c r="BT365" s="200" t="e">
        <f>_xlfn.RANK.EQ(FMS_Ranking4[[#This Row],[Log Total Score]],FMS_Ranking4[Log Total Score],0)</f>
        <v>#REF!</v>
      </c>
      <c r="BU365" s="200" t="e">
        <f>_xlfn.XLOOKUP(FMS_Ranking4[[#This Row],[FMS ID]],#REF!,#REF!)</f>
        <v>#REF!</v>
      </c>
      <c r="BV365" s="200">
        <f>FMS_Ranking4[[#This Row],[Region Number]]</f>
        <v>2</v>
      </c>
      <c r="BW365" s="200">
        <f>FMS_Ranking4[[#This Row],[Rank (with ArcSinh normalization of select criteria)]]-FMS_Ranking4[[#This Row],[Rank
(with linear
normalization)]]</f>
        <v>25</v>
      </c>
      <c r="BX365" s="200" t="e">
        <f>FMS_Ranking4[[#This Row],[Log Rank]]-FMS_Ranking4[[#This Row],[Rank
(with linear
normalization)]]</f>
        <v>#REF!</v>
      </c>
      <c r="BY365" s="200" t="str">
        <f>IF(FMS_Ranking4[[#This Row],[FMS Type]]="Flood Measurement and Warning",FMS_Ranking4[[#This Row],[Rank (with ArcSinh normalization of select criteria)]],"")</f>
        <v/>
      </c>
      <c r="BZ365" s="200">
        <f>IF(FMS_Ranking4[[#This Row],[FMS Type]]="Regulatory and Guidance",FMS_Ranking4[[#This Row],[Rank (with ArcSinh normalization of select criteria)]],"")</f>
        <v>358</v>
      </c>
      <c r="CA365" s="200" t="str">
        <f>IF(FMS_Ranking4[[#This Row],[FMS Type]]="Education and Outreach",FMS_Ranking4[[#This Row],[Rank (with ArcSinh normalization of select criteria)]],"")</f>
        <v/>
      </c>
      <c r="CB365" s="200" t="str">
        <f>IF(FMS_Ranking4[[#This Row],[FMS Type]]="Property Acquisition and Structural Elevation",FMS_Ranking4[[#This Row],[Rank (with ArcSinh normalization of select criteria)]],"")</f>
        <v/>
      </c>
      <c r="CC365" s="200" t="str">
        <f>IF(FMS_Ranking4[[#This Row],[FMS Type]]="Infrastructure Projects",FMS_Ranking4[[#This Row],[Rank (with ArcSinh normalization of select criteria)]],"")</f>
        <v/>
      </c>
      <c r="CD365" s="200" t="str">
        <f>IF(FMS_Ranking4[[#This Row],[FMS Type]]="Other",FMS_Ranking4[[#This Row],[Rank (with ArcSinh normalization of select criteria)]],"")</f>
        <v/>
      </c>
      <c r="CE365" s="201"/>
      <c r="CF365" s="206"/>
      <c r="CG365" s="206"/>
      <c r="CH365" s="206"/>
      <c r="CI365" s="206"/>
      <c r="CJ365" s="206"/>
      <c r="CK365" s="206"/>
      <c r="CL365" s="206"/>
      <c r="CM365" s="206"/>
      <c r="CN365" s="206"/>
      <c r="CO365" s="206"/>
      <c r="CP365" s="206"/>
      <c r="CQ365" s="206"/>
      <c r="CR365" s="206"/>
    </row>
    <row r="366" spans="2:96" ht="60" x14ac:dyDescent="0.25">
      <c r="B366" s="341" t="s">
        <v>2926</v>
      </c>
      <c r="C366" s="246">
        <f>_xlfn.XLOOKUP(FMS_Ranking4[[#This Row],[FMS ID]],FMS_Input[FMS_ID],FMS_Input[RFPG_NUM])</f>
        <v>5</v>
      </c>
      <c r="D366" s="309" t="str">
        <f>_xlfn.XLOOKUP(FMS_Ranking4[[#This Row],[FMS ID]],FMS_Input[FMS_ID],FMS_Input[FMS_NAME])</f>
        <v>City of Silsbee Voluntary Flood Buyout</v>
      </c>
      <c r="E366" s="308" t="str">
        <f>_xlfn.XLOOKUP(FMS_Ranking4[[#This Row],[FMS ID]],FMS_Input[FMS_ID],FMS_Input[SPONSOR])</f>
        <v>05002932</v>
      </c>
      <c r="F366" s="309" t="str">
        <f>_xlfn.XLOOKUP(FMS_Ranking4[[#This Row],[FMS ID]],Sponsor[FMS_ID],Sponsor[SPONSOR NAME])</f>
        <v>Silsbee</v>
      </c>
      <c r="G366" s="309" t="str">
        <f>_xlfn.XLOOKUP(FMS_Ranking4[[#This Row],[FMS ID]],FMS_Input[FMS_ID],FMS_Input[FMS_DESCR])</f>
        <v>Voluntary flood buyouts.</v>
      </c>
      <c r="H366" s="248" t="str">
        <f>_xlfn.XLOOKUP(FMS_Ranking4[[#This Row],[FMS ID]],FMS_Input[FMS_ID],FMS_Input[FMS_TYPE])</f>
        <v>Property Acquisition and Structural Elevation</v>
      </c>
      <c r="I366" s="249">
        <f>_xlfn.XLOOKUP(FMS_Ranking4[[#This Row],[FMS ID]],FMS_Input[FMS_ID],FMS_Input[NRNC_COST])</f>
        <v>40000</v>
      </c>
      <c r="J366" s="250">
        <f>_xlfn.XLOOKUP(FMS_Ranking4[[#This Row],[FMS ID]],FMS_Input[FMS_ID],FMS_Input[FMS_COST])</f>
        <v>6000000</v>
      </c>
      <c r="K366" s="251" t="str">
        <f>_xlfn.XLOOKUP(FMS_Ranking4[[#This Row],[FMS ID]],FMS_Input[FMS_ID],FMS_Input[EMER_NEED])</f>
        <v>Yes</v>
      </c>
      <c r="L366" s="252">
        <f t="shared" si="5"/>
        <v>1</v>
      </c>
      <c r="M366" s="253">
        <f>_xlfn.XLOOKUP(FMS_Ranking4[[#This Row],[FMS ID]],FMS_Input[FMS_ID],FMS_Input[STRUCT_100])</f>
        <v>87</v>
      </c>
      <c r="N366" s="255">
        <f>(ASINH(FMS_Ranking4[[#This Row],[Structure at Risk Raw]]))*(10)/(ASINH(M$4))</f>
        <v>4.0558115800352503</v>
      </c>
      <c r="O366" s="256">
        <f>FMS_Ranking4[[#This Row],[Structures at risk, ArcSinh (0-10)]]*M$5*10</f>
        <v>4.0558115800352503</v>
      </c>
      <c r="P366" s="253">
        <f>_xlfn.XLOOKUP(FMS_Ranking4[[#This Row],[FMS ID]],FMS_Input[FMS_ID],FMS_Input[RES_STRUCT100])</f>
        <v>69</v>
      </c>
      <c r="Q366" s="257">
        <f>ASINH(FMS_Ranking4[[#This Row],[Res Structure Raw]])/Q$4*P$5*100</f>
        <v>0</v>
      </c>
      <c r="R366" s="253">
        <f>_xlfn.XLOOKUP(FMS_Ranking4[[#This Row],[FMS ID]],FMS_Input[FMS_ID],FMS_Input[POP100])</f>
        <v>780</v>
      </c>
      <c r="S366" s="259">
        <f>(ASINH(FMS_Ranking4[[#This Row],[Pop at Risk Raw]]))*(10)/(ASINH(R$4))</f>
        <v>5.075818419086092</v>
      </c>
      <c r="T366" s="256">
        <f>FMS_Ranking4[[#This Row],[Population at risk, ArcSinh (0-10)]]*R$5*10</f>
        <v>5.075818419086092</v>
      </c>
      <c r="U366" s="253">
        <f>_xlfn.XLOOKUP(FMS_Ranking4[[#This Row],[FMS ID]],FMS_Input[FMS_ID],FMS_Input[CRITFAC100])</f>
        <v>2</v>
      </c>
      <c r="V366" s="259">
        <f>(ASINH(FMS_Ranking4[[#This Row],[Critical Facilities Raw]]))*(10)/(ASINH(U$4))</f>
        <v>1.7089239049208753</v>
      </c>
      <c r="W366" s="256">
        <f>FMS_Ranking4[[#This Row],[Critical facilities at risk, ArcSinh (0-10)]]*U$5*10</f>
        <v>1.7089239049208755</v>
      </c>
      <c r="X366" s="253">
        <f>_xlfn.XLOOKUP(FMS_Ranking4[[#This Row],[FMS ID]],FMS_Input[FMS_ID],FMS_Input[LWC])</f>
        <v>3</v>
      </c>
      <c r="Y366" s="259">
        <f>(ASINH(FMS_Ranking4[[#This Row],[LWC Raw]]))*(10)/(ASINH(X$4))</f>
        <v>2.4635181155638843</v>
      </c>
      <c r="Z366" s="256">
        <f>FMS_Ranking4[[#This Row],[LWC, ArcSInh (0-10)]]*X$5*10</f>
        <v>2.4635181155638843</v>
      </c>
      <c r="AA366" s="253">
        <f>_xlfn.XLOOKUP(FMS_Ranking4[[#This Row],[FMS ID]],FMS_Input[FMS_ID],FMS_Input[ROADCLS])</f>
        <v>3</v>
      </c>
      <c r="AB366" s="255">
        <f>(ASINH(FMS_Ranking4[[#This Row],[Road Closures Raw]]))*(10)/(ASINH(AA$4))</f>
        <v>1.8937450846072912</v>
      </c>
      <c r="AC366" s="256">
        <f>FMS_Ranking4[[#This Row],[Road closures, ArcSinh (0-10)]]*AA$5*10</f>
        <v>0.94687254230364559</v>
      </c>
      <c r="AD366" s="253">
        <f>_xlfn.XLOOKUP(FMS_Ranking4[[#This Row],[FMS ID]],FMS_Input[FMS_ID],FMS_Input[ROAD_MILES100])</f>
        <v>2</v>
      </c>
      <c r="AE366" s="259">
        <f>(ASINH(FMS_Ranking4[[#This Row],[Road Miles Raw]]))*(10)/(ASINH(AD$4))</f>
        <v>1.5385182374234352</v>
      </c>
      <c r="AF366" s="256">
        <f>FMS_Ranking4[[#This Row],[Length of roads at risk, ArcSinh (0-10)]]*AD$5*10</f>
        <v>1.5385182374234352</v>
      </c>
      <c r="AG366" s="253">
        <f>_xlfn.XLOOKUP(FMS_Ranking4[[#This Row],[FMS ID]],FMS_Input[FMS_ID],FMS_Input[FARMACRE100])</f>
        <v>1.197979331016541</v>
      </c>
      <c r="AH366" s="255">
        <f>(ASINH(FMS_Ranking4[[#This Row],[Ag Land Raw]]))*(10)/(ASINH(AG$4))</f>
        <v>0.65911660448975218</v>
      </c>
      <c r="AI366" s="260">
        <f>FMS_Ranking4[[#This Row],[Farm &amp; ranch land, ArcSinh (0-10)]]*AG$5*10</f>
        <v>0.32955830224487609</v>
      </c>
      <c r="AJ366" s="258">
        <f>_xlfn.XLOOKUP(FMS_Ranking4[[#This Row],[FMS ID]],FMS_Input[FMS_ID],FMS_Input[REDSTRUCT100])</f>
        <v>0</v>
      </c>
      <c r="AK366" s="253">
        <f>_xlfn.XLOOKUP(FMS_Ranking4[[#This Row],[FMS ID]],FMS_Input[FMS_ID],FMS_Input[REMSTRC100])</f>
        <v>0</v>
      </c>
      <c r="AL366" s="259">
        <f>(ASINH(FMS_Ranking4[[#This Row],[Structures Removed Raw]]))*(10)/(ASINH(AK$4))</f>
        <v>0</v>
      </c>
      <c r="AM366" s="262">
        <f>FMS_Ranking4[[#This Row],[Structures removed, ArcSinh (0-10)]]*AK$5*10</f>
        <v>0</v>
      </c>
      <c r="AN366" s="253">
        <f>_xlfn.XLOOKUP(FMS_Ranking4[[#This Row],[FMS ID]],FMS_Input[FMS_ID],FMS_Input[REMRESSTRC100])</f>
        <v>0</v>
      </c>
      <c r="AO366" s="261">
        <f>FMS_Ranking4[[#This Row],[ArcSinh Res struct removed 0-10]]*AN$5*10</f>
        <v>0</v>
      </c>
      <c r="AP366" s="260">
        <f>ASINH(FMS_Ranking4[[#This Row],[Residential Structures Removed Raw]])/AP$4*AN$5*100</f>
        <v>0</v>
      </c>
      <c r="AQ366" s="254">
        <f>(ASINH(FMS_Ranking4[[#This Row],[Residential Structures Removed Raw]]))*(10)/(ASINH(AN$4))</f>
        <v>0</v>
      </c>
      <c r="AR366" s="253">
        <f>_xlfn.XLOOKUP(FMS_Ranking4[[#This Row],[FMS ID]],FMS_Input[FMS_ID],FMS_Input[REMPOP100])</f>
        <v>0</v>
      </c>
      <c r="AS366" s="259">
        <f>(ASINH(FMS_Ranking4[[#This Row],[Removed Pop Raw]]))*(10)/(ASINH(AR$4))</f>
        <v>0</v>
      </c>
      <c r="AT366" s="262">
        <f>FMS_Ranking4[[#This Row],[Removed population, ArcSinh (0-10)]]*AR$5*10</f>
        <v>0</v>
      </c>
      <c r="AU366" s="264">
        <f>_xlfn.XLOOKUP(FMS_Ranking4[[#This Row],[FMS ID]],FMS_Input[FMS_ID],FMS_Input[REMCRITFAC100])</f>
        <v>0</v>
      </c>
      <c r="AV366" s="264">
        <f>_xlfn.XLOOKUP(FMS_Ranking4[[#This Row],[FMS ID]],FMS_Input[FMS_ID],FMS_Input[REMLWC100])</f>
        <v>0</v>
      </c>
      <c r="AW366" s="264">
        <f>_xlfn.XLOOKUP(FMS_Ranking4[[#This Row],[FMS ID]],FMS_Input[FMS_ID],FMS_Input[REMROADCLS])</f>
        <v>0</v>
      </c>
      <c r="AX366" s="264">
        <f>_xlfn.XLOOKUP(FMS_Ranking4[[#This Row],[FMS ID]],FMS_Input[FMS_ID],FMS_Input[REMFRMACRE100])</f>
        <v>0</v>
      </c>
      <c r="AY366" s="258">
        <f>_xlfn.XLOOKUP(FMS_Ranking4[[#This Row],[FMS ID]],FMS_Input[FMS_ID],FMS_Input[COSTSTRUCT])</f>
        <v>0</v>
      </c>
      <c r="AZ366" s="253">
        <f>_xlfn.XLOOKUP(FMS_Ranking4[[#This Row],[FMS ID]],FMS_Input[FMS_ID],FMS_Input[NATURE])</f>
        <v>100</v>
      </c>
      <c r="BA366" s="262">
        <f>(((FMS_Ranking4[[#This Row],[% NBS Raw]]/AZ$4)*100)*AZ$5)</f>
        <v>7.5</v>
      </c>
      <c r="BB366" s="251" t="str">
        <f>_xlfn.XLOOKUP(FMS_Ranking4[[#This Row],[FMS ID]],FMS_Input[FMS_ID],FMS_Input[WATER_SUP])</f>
        <v>No</v>
      </c>
      <c r="BC366" s="265">
        <f>IF(FMS_Ranking4[[#This Row],[Water Supply Raw]]="Yes",10,0)</f>
        <v>0</v>
      </c>
      <c r="BD366" s="266">
        <f>_xlfn.XLOOKUP(FMS_Ranking4[[#This Row],[FMS Type]],FMS_TYPE[FMS_Type],FMS_TYPE[Score])</f>
        <v>4</v>
      </c>
      <c r="BE366" s="267">
        <f>FMS_Ranking4[[#This Row],[FMS_Type Score]]*$BD$5*10</f>
        <v>1</v>
      </c>
      <c r="BF36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6.4517932353204827E-2</v>
      </c>
      <c r="BG366" s="271">
        <f>_xlfn.RANK.EQ(BF366,$BF$8:$BF$870,0)+COUNTIF($BF$8:BF366,BF366)-1</f>
        <v>524</v>
      </c>
      <c r="BH366" s="268">
        <f>(((FMS_Ranking4[[#This Row],[Structures Removed Raw]]/AK$4)*100)*AK$5)+(((FMS_Ranking4[[#This Row],[Removed Pop Raw]]/AR$4)*100)*AR$5)</f>
        <v>0</v>
      </c>
      <c r="BI36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8.5645179323532048</v>
      </c>
      <c r="BJ366" s="205">
        <f>_xlfn.RANK.EQ(FMS_Ranking4[[#This Row],[Total Score 
(with linear
normalization)]],FMS_Ranking4[Total Score 
(with linear
normalization)],0)</f>
        <v>73</v>
      </c>
      <c r="BK366" s="205" t="e">
        <f>_xlfn.XLOOKUP(FMS_Ranking4[[#This Row],[FMS ID]],#REF!,#REF!)</f>
        <v>#REF!</v>
      </c>
      <c r="BL36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16.11902110157806</v>
      </c>
      <c r="BM366" s="272">
        <f>FMS_Ranking4[[#This Row],[ArcSinh Score Based on Normalized Reported Factors]]+FMS_Ranking4[[#This Row],[% NBS Score (Normalized)]]+(FMS_Ranking4[[#This Row],[Water Supply Score (Normalized)]]*10*$BB$5)+FMS_Ranking4[[#This Row],[FMS_Type Score Weighted]]</f>
        <v>24.61902110157806</v>
      </c>
      <c r="BN366" s="205">
        <f>_xlfn.RANK.EQ(FMS_Ranking4[[#This Row],[Total Score (with ArcSinh normalization of select criteria)]],FMS_Ranking4[Total Score (with ArcSinh normalization of select criteria)],0)</f>
        <v>359</v>
      </c>
      <c r="BO366" s="270" t="str">
        <f>_xlfn.XLOOKUP(FMS_Ranking4[[#This Row],[FMS ID]],FMS_Input[FMS_ID],FMS_Input[FMS_RANK_YEAR])</f>
        <v>2023 Amended Plan</v>
      </c>
      <c r="BP366" s="204">
        <f>_xlfn.XLOOKUP(FMS_Ranking4[[#This Row],[FMS ID]],Prev_Rank[FMS ID],Prev_Rank[Prev Rank])</f>
        <v>322</v>
      </c>
      <c r="BQ366" s="205" t="e">
        <f>_xlfn.XLOOKUP(FMS_Ranking4[[#This Row],[FMS ID]],#REF!,#REF!)</f>
        <v>#REF!</v>
      </c>
      <c r="BR366" s="199" t="e">
        <f>SUM(#REF!,#REF!,#REF!,#REF!,#REF!,#REF!,#REF!,#REF!,#REF!,FMS_Ranking4[[#This Row],[ArcSinh Res struct removed 0-10]],#REF!)</f>
        <v>#REF!</v>
      </c>
      <c r="BS366" s="199" t="e">
        <f>FMS_Ranking4[[#This Row],[Log Score Based on Normalized Reported Factors]]+FMS_Ranking4[[#This Row],[% NBS Score (Normalized)]]+(FMS_Ranking4[[#This Row],[Water Supply Score (Normalized)]]*10*$BB$5)+(FMS_Ranking4[[#This Row],[FMS_Type Score Weighted]])</f>
        <v>#REF!</v>
      </c>
      <c r="BT366" s="200" t="e">
        <f>_xlfn.RANK.EQ(FMS_Ranking4[[#This Row],[Log Total Score]],FMS_Ranking4[Log Total Score],0)</f>
        <v>#REF!</v>
      </c>
      <c r="BU366" s="200" t="e">
        <f>_xlfn.XLOOKUP(FMS_Ranking4[[#This Row],[FMS ID]],#REF!,#REF!)</f>
        <v>#REF!</v>
      </c>
      <c r="BV366" s="200">
        <f>FMS_Ranking4[[#This Row],[Region Number]]</f>
        <v>5</v>
      </c>
      <c r="BW366" s="200">
        <f>FMS_Ranking4[[#This Row],[Rank (with ArcSinh normalization of select criteria)]]-FMS_Ranking4[[#This Row],[Rank
(with linear
normalization)]]</f>
        <v>286</v>
      </c>
      <c r="BX366" s="200" t="e">
        <f>FMS_Ranking4[[#This Row],[Log Rank]]-FMS_Ranking4[[#This Row],[Rank
(with linear
normalization)]]</f>
        <v>#REF!</v>
      </c>
      <c r="BY366" s="200" t="str">
        <f>IF(FMS_Ranking4[[#This Row],[FMS Type]]="Flood Measurement and Warning",FMS_Ranking4[[#This Row],[Rank (with ArcSinh normalization of select criteria)]],"")</f>
        <v/>
      </c>
      <c r="BZ366" s="200" t="str">
        <f>IF(FMS_Ranking4[[#This Row],[FMS Type]]="Regulatory and Guidance",FMS_Ranking4[[#This Row],[Rank (with ArcSinh normalization of select criteria)]],"")</f>
        <v/>
      </c>
      <c r="CA366" s="200" t="str">
        <f>IF(FMS_Ranking4[[#This Row],[FMS Type]]="Education and Outreach",FMS_Ranking4[[#This Row],[Rank (with ArcSinh normalization of select criteria)]],"")</f>
        <v/>
      </c>
      <c r="CB366" s="200">
        <f>IF(FMS_Ranking4[[#This Row],[FMS Type]]="Property Acquisition and Structural Elevation",FMS_Ranking4[[#This Row],[Rank (with ArcSinh normalization of select criteria)]],"")</f>
        <v>359</v>
      </c>
      <c r="CC366" s="200" t="str">
        <f>IF(FMS_Ranking4[[#This Row],[FMS Type]]="Infrastructure Projects",FMS_Ranking4[[#This Row],[Rank (with ArcSinh normalization of select criteria)]],"")</f>
        <v/>
      </c>
      <c r="CD366" s="200" t="str">
        <f>IF(FMS_Ranking4[[#This Row],[FMS Type]]="Other",FMS_Ranking4[[#This Row],[Rank (with ArcSinh normalization of select criteria)]],"")</f>
        <v/>
      </c>
      <c r="CE366" s="201"/>
      <c r="CF366" s="206"/>
      <c r="CG366" s="206"/>
      <c r="CH366" s="206"/>
      <c r="CI366" s="206"/>
      <c r="CJ366" s="206"/>
      <c r="CK366" s="206"/>
      <c r="CL366" s="206"/>
      <c r="CM366" s="206"/>
      <c r="CN366" s="206"/>
      <c r="CO366" s="206"/>
      <c r="CP366" s="206"/>
      <c r="CQ366" s="206"/>
      <c r="CR366" s="206"/>
    </row>
    <row r="367" spans="2:96" ht="45" x14ac:dyDescent="0.25">
      <c r="B367" s="341" t="s">
        <v>2232</v>
      </c>
      <c r="C367" s="246">
        <f>_xlfn.XLOOKUP(FMS_Ranking4[[#This Row],[FMS ID]],FMS_Input[FMS_ID],FMS_Input[RFPG_NUM])</f>
        <v>3</v>
      </c>
      <c r="D367" s="309" t="str">
        <f>_xlfn.XLOOKUP(FMS_Ranking4[[#This Row],[FMS ID]],FMS_Input[FMS_ID],FMS_Input[FMS_NAME])</f>
        <v>Town Creek Warren Park Extension (Property Acquisition Program)</v>
      </c>
      <c r="E367" s="308" t="str">
        <f>_xlfn.XLOOKUP(FMS_Ranking4[[#This Row],[FMS ID]],FMS_Input[FMS_ID],FMS_Input[SPONSOR])</f>
        <v xml:space="preserve"> Burleson</v>
      </c>
      <c r="F367" s="309" t="str">
        <f>_xlfn.XLOOKUP(FMS_Ranking4[[#This Row],[FMS ID]],Sponsor[FMS_ID],Sponsor[SPONSOR NAME])</f>
        <v xml:space="preserve"> Burleson</v>
      </c>
      <c r="G367" s="309" t="str">
        <f>_xlfn.XLOOKUP(FMS_Ranking4[[#This Row],[FMS ID]],FMS_Input[FMS_ID],FMS_Input[FMS_DESCR])</f>
        <v>Create a buyout program</v>
      </c>
      <c r="H367" s="248" t="str">
        <f>_xlfn.XLOOKUP(FMS_Ranking4[[#This Row],[FMS ID]],FMS_Input[FMS_ID],FMS_Input[FMS_TYPE])</f>
        <v>Regulatory and Guidance</v>
      </c>
      <c r="I367" s="249">
        <f>_xlfn.XLOOKUP(FMS_Ranking4[[#This Row],[FMS ID]],FMS_Input[FMS_ID],FMS_Input[NRNC_COST])</f>
        <v>500000</v>
      </c>
      <c r="J367" s="250">
        <f>_xlfn.XLOOKUP(FMS_Ranking4[[#This Row],[FMS ID]],FMS_Input[FMS_ID],FMS_Input[FMS_COST])</f>
        <v>5000000</v>
      </c>
      <c r="K367" s="251" t="str">
        <f>_xlfn.XLOOKUP(FMS_Ranking4[[#This Row],[FMS ID]],FMS_Input[FMS_ID],FMS_Input[EMER_NEED])</f>
        <v>No</v>
      </c>
      <c r="L367" s="252">
        <f t="shared" si="5"/>
        <v>0</v>
      </c>
      <c r="M367" s="253">
        <f>_xlfn.XLOOKUP(FMS_Ranking4[[#This Row],[FMS ID]],FMS_Input[FMS_ID],FMS_Input[STRUCT_100])</f>
        <v>269</v>
      </c>
      <c r="N367" s="255">
        <f>(ASINH(FMS_Ranking4[[#This Row],[Structure at Risk Raw]]))*(10)/(ASINH(M$4))</f>
        <v>4.9431957659284782</v>
      </c>
      <c r="O367" s="256">
        <f>FMS_Ranking4[[#This Row],[Structures at risk, ArcSinh (0-10)]]*M$5*10</f>
        <v>4.9431957659284791</v>
      </c>
      <c r="P367" s="253">
        <f>_xlfn.XLOOKUP(FMS_Ranking4[[#This Row],[FMS ID]],FMS_Input[FMS_ID],FMS_Input[RES_STRUCT100])</f>
        <v>224</v>
      </c>
      <c r="Q367" s="257">
        <f>ASINH(FMS_Ranking4[[#This Row],[Res Structure Raw]])/Q$4*P$5*100</f>
        <v>0</v>
      </c>
      <c r="R367" s="253">
        <f>_xlfn.XLOOKUP(FMS_Ranking4[[#This Row],[FMS ID]],FMS_Input[FMS_ID],FMS_Input[POP100])</f>
        <v>832</v>
      </c>
      <c r="S367" s="259">
        <f>(ASINH(FMS_Ranking4[[#This Row],[Pop at Risk Raw]]))*(10)/(ASINH(R$4))</f>
        <v>5.1203730831749779</v>
      </c>
      <c r="T367" s="256">
        <f>FMS_Ranking4[[#This Row],[Population at risk, ArcSinh (0-10)]]*R$5*10</f>
        <v>5.1203730831749787</v>
      </c>
      <c r="U367" s="253">
        <f>_xlfn.XLOOKUP(FMS_Ranking4[[#This Row],[FMS ID]],FMS_Input[FMS_ID],FMS_Input[CRITFAC100])</f>
        <v>3</v>
      </c>
      <c r="V367" s="259">
        <f>(ASINH(FMS_Ranking4[[#This Row],[Critical Facilities Raw]]))*(10)/(ASINH(U$4))</f>
        <v>2.152611706646717</v>
      </c>
      <c r="W367" s="256">
        <f>FMS_Ranking4[[#This Row],[Critical facilities at risk, ArcSinh (0-10)]]*U$5*10</f>
        <v>2.152611706646717</v>
      </c>
      <c r="X367" s="253">
        <f>_xlfn.XLOOKUP(FMS_Ranking4[[#This Row],[FMS ID]],FMS_Input[FMS_ID],FMS_Input[LWC])</f>
        <v>10</v>
      </c>
      <c r="Y367" s="259">
        <f>(ASINH(FMS_Ranking4[[#This Row],[LWC Raw]]))*(10)/(ASINH(X$4))</f>
        <v>4.06180589758889</v>
      </c>
      <c r="Z367" s="256">
        <f>FMS_Ranking4[[#This Row],[LWC, ArcSInh (0-10)]]*X$5*10</f>
        <v>4.06180589758889</v>
      </c>
      <c r="AA367" s="253">
        <f>_xlfn.XLOOKUP(FMS_Ranking4[[#This Row],[FMS ID]],FMS_Input[FMS_ID],FMS_Input[ROADCLS])</f>
        <v>0</v>
      </c>
      <c r="AB367" s="255">
        <f>(ASINH(FMS_Ranking4[[#This Row],[Road Closures Raw]]))*(10)/(ASINH(AA$4))</f>
        <v>0</v>
      </c>
      <c r="AC367" s="256">
        <f>FMS_Ranking4[[#This Row],[Road closures, ArcSinh (0-10)]]*AA$5*10</f>
        <v>0</v>
      </c>
      <c r="AD367" s="253">
        <f>_xlfn.XLOOKUP(FMS_Ranking4[[#This Row],[FMS ID]],FMS_Input[FMS_ID],FMS_Input[ROAD_MILES100])</f>
        <v>18</v>
      </c>
      <c r="AE367" s="259">
        <f>(ASINH(FMS_Ranking4[[#This Row],[Road Miles Raw]]))*(10)/(ASINH(AD$4))</f>
        <v>3.8198666439072628</v>
      </c>
      <c r="AF367" s="256">
        <f>FMS_Ranking4[[#This Row],[Length of roads at risk, ArcSinh (0-10)]]*AD$5*10</f>
        <v>3.8198666439072633</v>
      </c>
      <c r="AG367" s="253">
        <f>_xlfn.XLOOKUP(FMS_Ranking4[[#This Row],[FMS ID]],FMS_Input[FMS_ID],FMS_Input[FARMACRE100])</f>
        <v>1045.640014648438</v>
      </c>
      <c r="AH367" s="255">
        <f>(ASINH(FMS_Ranking4[[#This Row],[Ag Land Raw]]))*(10)/(ASINH(AG$4))</f>
        <v>4.9663958065503566</v>
      </c>
      <c r="AI367" s="260">
        <f>FMS_Ranking4[[#This Row],[Farm &amp; ranch land, ArcSinh (0-10)]]*AG$5*10</f>
        <v>2.4831979032751783</v>
      </c>
      <c r="AJ367" s="258">
        <f>_xlfn.XLOOKUP(FMS_Ranking4[[#This Row],[FMS ID]],FMS_Input[FMS_ID],FMS_Input[REDSTRUCT100])</f>
        <v>0</v>
      </c>
      <c r="AK367" s="253">
        <f>_xlfn.XLOOKUP(FMS_Ranking4[[#This Row],[FMS ID]],FMS_Input[FMS_ID],FMS_Input[REMSTRC100])</f>
        <v>0</v>
      </c>
      <c r="AL367" s="259">
        <f>(ASINH(FMS_Ranking4[[#This Row],[Structures Removed Raw]]))*(10)/(ASINH(AK$4))</f>
        <v>0</v>
      </c>
      <c r="AM367" s="262">
        <f>FMS_Ranking4[[#This Row],[Structures removed, ArcSinh (0-10)]]*AK$5*10</f>
        <v>0</v>
      </c>
      <c r="AN367" s="253">
        <f>_xlfn.XLOOKUP(FMS_Ranking4[[#This Row],[FMS ID]],FMS_Input[FMS_ID],FMS_Input[REMRESSTRC100])</f>
        <v>0</v>
      </c>
      <c r="AO367" s="261">
        <f>FMS_Ranking4[[#This Row],[ArcSinh Res struct removed 0-10]]*AN$5*10</f>
        <v>0</v>
      </c>
      <c r="AP367" s="260">
        <f>ASINH(FMS_Ranking4[[#This Row],[Residential Structures Removed Raw]])/AP$4*AN$5*100</f>
        <v>0</v>
      </c>
      <c r="AQ367" s="254">
        <f>(ASINH(FMS_Ranking4[[#This Row],[Residential Structures Removed Raw]]))*(10)/(ASINH(AN$4))</f>
        <v>0</v>
      </c>
      <c r="AR367" s="253">
        <f>_xlfn.XLOOKUP(FMS_Ranking4[[#This Row],[FMS ID]],FMS_Input[FMS_ID],FMS_Input[REMPOP100])</f>
        <v>0</v>
      </c>
      <c r="AS367" s="259">
        <f>(ASINH(FMS_Ranking4[[#This Row],[Removed Pop Raw]]))*(10)/(ASINH(AR$4))</f>
        <v>0</v>
      </c>
      <c r="AT367" s="262">
        <f>FMS_Ranking4[[#This Row],[Removed population, ArcSinh (0-10)]]*AR$5*10</f>
        <v>0</v>
      </c>
      <c r="AU367" s="264">
        <f>_xlfn.XLOOKUP(FMS_Ranking4[[#This Row],[FMS ID]],FMS_Input[FMS_ID],FMS_Input[REMCRITFAC100])</f>
        <v>0</v>
      </c>
      <c r="AV367" s="264">
        <f>_xlfn.XLOOKUP(FMS_Ranking4[[#This Row],[FMS ID]],FMS_Input[FMS_ID],FMS_Input[REMLWC100])</f>
        <v>0</v>
      </c>
      <c r="AW367" s="264">
        <f>_xlfn.XLOOKUP(FMS_Ranking4[[#This Row],[FMS ID]],FMS_Input[FMS_ID],FMS_Input[REMROADCLS])</f>
        <v>0</v>
      </c>
      <c r="AX367" s="264">
        <f>_xlfn.XLOOKUP(FMS_Ranking4[[#This Row],[FMS ID]],FMS_Input[FMS_ID],FMS_Input[REMFRMACRE100])</f>
        <v>0</v>
      </c>
      <c r="AY367" s="258">
        <f>_xlfn.XLOOKUP(FMS_Ranking4[[#This Row],[FMS ID]],FMS_Input[FMS_ID],FMS_Input[COSTSTRUCT])</f>
        <v>0</v>
      </c>
      <c r="AZ367" s="253">
        <f>_xlfn.XLOOKUP(FMS_Ranking4[[#This Row],[FMS ID]],FMS_Input[FMS_ID],FMS_Input[NATURE])</f>
        <v>0</v>
      </c>
      <c r="BA367" s="262">
        <f>(((FMS_Ranking4[[#This Row],[% NBS Raw]]/AZ$4)*100)*AZ$5)</f>
        <v>0</v>
      </c>
      <c r="BB367" s="251" t="str">
        <f>_xlfn.XLOOKUP(FMS_Ranking4[[#This Row],[FMS ID]],FMS_Input[FMS_ID],FMS_Input[WATER_SUP])</f>
        <v>No</v>
      </c>
      <c r="BC367" s="265">
        <f>IF(FMS_Ranking4[[#This Row],[Water Supply Raw]]="Yes",10,0)</f>
        <v>0</v>
      </c>
      <c r="BD367" s="266">
        <f>_xlfn.XLOOKUP(FMS_Ranking4[[#This Row],[FMS Type]],FMS_TYPE[FMS_Type],FMS_TYPE[Score])</f>
        <v>8</v>
      </c>
      <c r="BE367" s="267">
        <f>FMS_Ranking4[[#This Row],[FMS_Type Score]]*$BD$5*10</f>
        <v>2</v>
      </c>
      <c r="BF36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0.19443940656962891</v>
      </c>
      <c r="BG367" s="271">
        <f>_xlfn.RANK.EQ(BF367,$BF$8:$BF$870,0)+COUNTIF($BF$8:BF367,BF367)-1</f>
        <v>372</v>
      </c>
      <c r="BH367" s="268">
        <f>(((FMS_Ranking4[[#This Row],[Structures Removed Raw]]/AK$4)*100)*AK$5)+(((FMS_Ranking4[[#This Row],[Removed Pop Raw]]/AR$4)*100)*AR$5)</f>
        <v>0</v>
      </c>
      <c r="BI36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2.1944394065696291</v>
      </c>
      <c r="BJ367" s="205">
        <f>_xlfn.RANK.EQ(FMS_Ranking4[[#This Row],[Total Score 
(with linear
normalization)]],FMS_Ranking4[Total Score 
(with linear
normalization)],0)</f>
        <v>332</v>
      </c>
      <c r="BK367" s="205" t="e">
        <f>_xlfn.XLOOKUP(FMS_Ranking4[[#This Row],[FMS ID]],#REF!,#REF!)</f>
        <v>#REF!</v>
      </c>
      <c r="BL36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22.581051000521509</v>
      </c>
      <c r="BM367" s="272">
        <f>FMS_Ranking4[[#This Row],[ArcSinh Score Based on Normalized Reported Factors]]+FMS_Ranking4[[#This Row],[% NBS Score (Normalized)]]+(FMS_Ranking4[[#This Row],[Water Supply Score (Normalized)]]*10*$BB$5)+FMS_Ranking4[[#This Row],[FMS_Type Score Weighted]]</f>
        <v>24.581051000521509</v>
      </c>
      <c r="BN367" s="205">
        <f>_xlfn.RANK.EQ(FMS_Ranking4[[#This Row],[Total Score (with ArcSinh normalization of select criteria)]],FMS_Ranking4[Total Score (with ArcSinh normalization of select criteria)],0)</f>
        <v>360</v>
      </c>
      <c r="BO367" s="270" t="str">
        <f>_xlfn.XLOOKUP(FMS_Ranking4[[#This Row],[FMS ID]],FMS_Input[FMS_ID],FMS_Input[FMS_RANK_YEAR])</f>
        <v>2023 Amended Plan</v>
      </c>
      <c r="BP367" s="204">
        <f>_xlfn.XLOOKUP(FMS_Ranking4[[#This Row],[FMS ID]],Prev_Rank[FMS ID],Prev_Rank[Prev Rank])</f>
        <v>313</v>
      </c>
      <c r="BQ367" s="205" t="e">
        <f>_xlfn.XLOOKUP(FMS_Ranking4[[#This Row],[FMS ID]],#REF!,#REF!)</f>
        <v>#REF!</v>
      </c>
      <c r="BR367" s="199" t="e">
        <f>SUM(#REF!,#REF!,#REF!,#REF!,#REF!,#REF!,#REF!,#REF!,#REF!,FMS_Ranking4[[#This Row],[ArcSinh Res struct removed 0-10]],#REF!)</f>
        <v>#REF!</v>
      </c>
      <c r="BS367" s="199" t="e">
        <f>FMS_Ranking4[[#This Row],[Log Score Based on Normalized Reported Factors]]+FMS_Ranking4[[#This Row],[% NBS Score (Normalized)]]+(FMS_Ranking4[[#This Row],[Water Supply Score (Normalized)]]*10*$BB$5)+(FMS_Ranking4[[#This Row],[FMS_Type Score Weighted]])</f>
        <v>#REF!</v>
      </c>
      <c r="BT367" s="200" t="e">
        <f>_xlfn.RANK.EQ(FMS_Ranking4[[#This Row],[Log Total Score]],FMS_Ranking4[Log Total Score],0)</f>
        <v>#REF!</v>
      </c>
      <c r="BU367" s="200" t="e">
        <f>_xlfn.XLOOKUP(FMS_Ranking4[[#This Row],[FMS ID]],#REF!,#REF!)</f>
        <v>#REF!</v>
      </c>
      <c r="BV367" s="200">
        <f>FMS_Ranking4[[#This Row],[Region Number]]</f>
        <v>3</v>
      </c>
      <c r="BW367" s="200">
        <f>FMS_Ranking4[[#This Row],[Rank (with ArcSinh normalization of select criteria)]]-FMS_Ranking4[[#This Row],[Rank
(with linear
normalization)]]</f>
        <v>28</v>
      </c>
      <c r="BX367" s="200" t="e">
        <f>FMS_Ranking4[[#This Row],[Log Rank]]-FMS_Ranking4[[#This Row],[Rank
(with linear
normalization)]]</f>
        <v>#REF!</v>
      </c>
      <c r="BY367" s="200" t="str">
        <f>IF(FMS_Ranking4[[#This Row],[FMS Type]]="Flood Measurement and Warning",FMS_Ranking4[[#This Row],[Rank (with ArcSinh normalization of select criteria)]],"")</f>
        <v/>
      </c>
      <c r="BZ367" s="200">
        <f>IF(FMS_Ranking4[[#This Row],[FMS Type]]="Regulatory and Guidance",FMS_Ranking4[[#This Row],[Rank (with ArcSinh normalization of select criteria)]],"")</f>
        <v>360</v>
      </c>
      <c r="CA367" s="200" t="str">
        <f>IF(FMS_Ranking4[[#This Row],[FMS Type]]="Education and Outreach",FMS_Ranking4[[#This Row],[Rank (with ArcSinh normalization of select criteria)]],"")</f>
        <v/>
      </c>
      <c r="CB367" s="200" t="str">
        <f>IF(FMS_Ranking4[[#This Row],[FMS Type]]="Property Acquisition and Structural Elevation",FMS_Ranking4[[#This Row],[Rank (with ArcSinh normalization of select criteria)]],"")</f>
        <v/>
      </c>
      <c r="CC367" s="200" t="str">
        <f>IF(FMS_Ranking4[[#This Row],[FMS Type]]="Infrastructure Projects",FMS_Ranking4[[#This Row],[Rank (with ArcSinh normalization of select criteria)]],"")</f>
        <v/>
      </c>
      <c r="CD367" s="200" t="str">
        <f>IF(FMS_Ranking4[[#This Row],[FMS Type]]="Other",FMS_Ranking4[[#This Row],[Rank (with ArcSinh normalization of select criteria)]],"")</f>
        <v/>
      </c>
      <c r="CE367" s="201"/>
      <c r="CF367" s="206"/>
      <c r="CG367" s="206"/>
      <c r="CH367" s="206"/>
      <c r="CI367" s="206"/>
      <c r="CJ367" s="206"/>
      <c r="CK367" s="206"/>
      <c r="CL367" s="206"/>
      <c r="CM367" s="206"/>
      <c r="CN367" s="206"/>
      <c r="CO367" s="206"/>
      <c r="CP367" s="206"/>
      <c r="CQ367" s="206"/>
      <c r="CR367" s="206"/>
    </row>
    <row r="368" spans="2:96" ht="45" x14ac:dyDescent="0.25">
      <c r="B368" s="341" t="s">
        <v>1993</v>
      </c>
      <c r="C368" s="246">
        <f>_xlfn.XLOOKUP(FMS_Ranking4[[#This Row],[FMS ID]],FMS_Input[FMS_ID],FMS_Input[RFPG_NUM])</f>
        <v>3</v>
      </c>
      <c r="D368" s="309" t="str">
        <f>_xlfn.XLOOKUP(FMS_Ranking4[[#This Row],[FMS ID]],FMS_Input[FMS_ID],FMS_Input[FMS_NAME])</f>
        <v>Wise County Repetitive Flood Loss Buyout Program</v>
      </c>
      <c r="E368" s="308" t="str">
        <f>_xlfn.XLOOKUP(FMS_Ranking4[[#This Row],[FMS ID]],FMS_Input[FMS_ID],FMS_Input[SPONSOR])</f>
        <v>Wise County</v>
      </c>
      <c r="F368" s="309" t="str">
        <f>_xlfn.XLOOKUP(FMS_Ranking4[[#This Row],[FMS ID]],Sponsor[FMS_ID],Sponsor[SPONSOR NAME])</f>
        <v>Wise County</v>
      </c>
      <c r="G368" s="309" t="str">
        <f>_xlfn.XLOOKUP(FMS_Ranking4[[#This Row],[FMS ID]],FMS_Input[FMS_ID],FMS_Input[FMS_DESCR])</f>
        <v>Develop a buyout program for repetitive flood loss areas within the county</v>
      </c>
      <c r="H368" s="248" t="str">
        <f>_xlfn.XLOOKUP(FMS_Ranking4[[#This Row],[FMS ID]],FMS_Input[FMS_ID],FMS_Input[FMS_TYPE])</f>
        <v>Regulatory and Guidance</v>
      </c>
      <c r="I368" s="249">
        <f>_xlfn.XLOOKUP(FMS_Ranking4[[#This Row],[FMS ID]],FMS_Input[FMS_ID],FMS_Input[NRNC_COST])</f>
        <v>500000</v>
      </c>
      <c r="J368" s="250">
        <f>_xlfn.XLOOKUP(FMS_Ranking4[[#This Row],[FMS ID]],FMS_Input[FMS_ID],FMS_Input[FMS_COST])</f>
        <v>5000000</v>
      </c>
      <c r="K368" s="251" t="str">
        <f>_xlfn.XLOOKUP(FMS_Ranking4[[#This Row],[FMS ID]],FMS_Input[FMS_ID],FMS_Input[EMER_NEED])</f>
        <v>No</v>
      </c>
      <c r="L368" s="252">
        <f t="shared" si="5"/>
        <v>0</v>
      </c>
      <c r="M368" s="253">
        <f>_xlfn.XLOOKUP(FMS_Ranking4[[#This Row],[FMS ID]],FMS_Input[FMS_ID],FMS_Input[STRUCT_100])</f>
        <v>1118</v>
      </c>
      <c r="N368" s="255">
        <f>(ASINH(FMS_Ranking4[[#This Row],[Structure at Risk Raw]]))*(10)/(ASINH(M$4))</f>
        <v>6.0631293441295124</v>
      </c>
      <c r="O368" s="256">
        <f>FMS_Ranking4[[#This Row],[Structures at risk, ArcSinh (0-10)]]*M$5*10</f>
        <v>6.0631293441295133</v>
      </c>
      <c r="P368" s="253">
        <f>_xlfn.XLOOKUP(FMS_Ranking4[[#This Row],[FMS ID]],FMS_Input[FMS_ID],FMS_Input[RES_STRUCT100])</f>
        <v>888</v>
      </c>
      <c r="Q368" s="257">
        <f>ASINH(FMS_Ranking4[[#This Row],[Res Structure Raw]])/Q$4*P$5*100</f>
        <v>0</v>
      </c>
      <c r="R368" s="253">
        <f>_xlfn.XLOOKUP(FMS_Ranking4[[#This Row],[FMS ID]],FMS_Input[FMS_ID],FMS_Input[POP100])</f>
        <v>1493</v>
      </c>
      <c r="S368" s="255">
        <f>(ASINH(FMS_Ranking4[[#This Row],[Pop at Risk Raw]]))*(10)/(ASINH(R$4))</f>
        <v>5.5240325111461352</v>
      </c>
      <c r="T368" s="256">
        <f>FMS_Ranking4[[#This Row],[Population at risk, ArcSinh (0-10)]]*R$5*10</f>
        <v>5.5240325111461352</v>
      </c>
      <c r="U368" s="253">
        <f>_xlfn.XLOOKUP(FMS_Ranking4[[#This Row],[FMS ID]],FMS_Input[FMS_ID],FMS_Input[CRITFAC100])</f>
        <v>2</v>
      </c>
      <c r="V368" s="255">
        <f>(ASINH(FMS_Ranking4[[#This Row],[Critical Facilities Raw]]))*(10)/(ASINH(U$4))</f>
        <v>1.7089239049208753</v>
      </c>
      <c r="W368" s="256">
        <f>FMS_Ranking4[[#This Row],[Critical facilities at risk, ArcSinh (0-10)]]*U$5*10</f>
        <v>1.7089239049208755</v>
      </c>
      <c r="X368" s="253">
        <f>_xlfn.XLOOKUP(FMS_Ranking4[[#This Row],[FMS ID]],FMS_Input[FMS_ID],FMS_Input[LWC])</f>
        <v>0</v>
      </c>
      <c r="Y368" s="255">
        <f>(ASINH(FMS_Ranking4[[#This Row],[LWC Raw]]))*(10)/(ASINH(X$4))</f>
        <v>0</v>
      </c>
      <c r="Z368" s="256">
        <f>FMS_Ranking4[[#This Row],[LWC, ArcSInh (0-10)]]*X$5*10</f>
        <v>0</v>
      </c>
      <c r="AA368" s="253">
        <f>_xlfn.XLOOKUP(FMS_Ranking4[[#This Row],[FMS ID]],FMS_Input[FMS_ID],FMS_Input[ROADCLS])</f>
        <v>0</v>
      </c>
      <c r="AB368" s="255">
        <f>(ASINH(FMS_Ranking4[[#This Row],[Road Closures Raw]]))*(10)/(ASINH(AA$4))</f>
        <v>0</v>
      </c>
      <c r="AC368" s="256">
        <f>FMS_Ranking4[[#This Row],[Road closures, ArcSinh (0-10)]]*AA$5*10</f>
        <v>0</v>
      </c>
      <c r="AD368" s="253">
        <f>_xlfn.XLOOKUP(FMS_Ranking4[[#This Row],[FMS ID]],FMS_Input[FMS_ID],FMS_Input[ROAD_MILES100])</f>
        <v>100</v>
      </c>
      <c r="AE368" s="255">
        <f>(ASINH(FMS_Ranking4[[#This Row],[Road Miles Raw]]))*(10)/(ASINH(AD$4))</f>
        <v>5.6465752593087606</v>
      </c>
      <c r="AF368" s="256">
        <f>FMS_Ranking4[[#This Row],[Length of roads at risk, ArcSinh (0-10)]]*AD$5*10</f>
        <v>5.6465752593087606</v>
      </c>
      <c r="AG368" s="253">
        <f>_xlfn.XLOOKUP(FMS_Ranking4[[#This Row],[FMS ID]],FMS_Input[FMS_ID],FMS_Input[FARMACRE100])</f>
        <v>35896.37109375</v>
      </c>
      <c r="AH368" s="255">
        <f>(ASINH(FMS_Ranking4[[#This Row],[Ag Land Raw]]))*(10)/(ASINH(AG$4))</f>
        <v>7.2633203161155322</v>
      </c>
      <c r="AI368" s="260">
        <f>FMS_Ranking4[[#This Row],[Farm &amp; ranch land, ArcSinh (0-10)]]*AG$5*10</f>
        <v>3.6316601580577661</v>
      </c>
      <c r="AJ368" s="258">
        <f>_xlfn.XLOOKUP(FMS_Ranking4[[#This Row],[FMS ID]],FMS_Input[FMS_ID],FMS_Input[REDSTRUCT100])</f>
        <v>0</v>
      </c>
      <c r="AK368" s="253">
        <f>_xlfn.XLOOKUP(FMS_Ranking4[[#This Row],[FMS ID]],FMS_Input[FMS_ID],FMS_Input[REMSTRC100])</f>
        <v>0</v>
      </c>
      <c r="AL368" s="255">
        <f>(ASINH(FMS_Ranking4[[#This Row],[Structures Removed Raw]]))*(10)/(ASINH(AK$4))</f>
        <v>0</v>
      </c>
      <c r="AM368" s="262">
        <f>FMS_Ranking4[[#This Row],[Structures removed, ArcSinh (0-10)]]*AK$5*10</f>
        <v>0</v>
      </c>
      <c r="AN368" s="253">
        <f>_xlfn.XLOOKUP(FMS_Ranking4[[#This Row],[FMS ID]],FMS_Input[FMS_ID],FMS_Input[REMRESSTRC100])</f>
        <v>0</v>
      </c>
      <c r="AO368" s="261">
        <f>FMS_Ranking4[[#This Row],[ArcSinh Res struct removed 0-10]]*AN$5*10</f>
        <v>0</v>
      </c>
      <c r="AP368" s="260">
        <f>ASINH(FMS_Ranking4[[#This Row],[Residential Structures Removed Raw]])/AP$4*AN$5*100</f>
        <v>0</v>
      </c>
      <c r="AQ368" s="258">
        <f>(ASINH(FMS_Ranking4[[#This Row],[Residential Structures Removed Raw]]))*(10)/(ASINH(AN$4))</f>
        <v>0</v>
      </c>
      <c r="AR368" s="253">
        <f>_xlfn.XLOOKUP(FMS_Ranking4[[#This Row],[FMS ID]],FMS_Input[FMS_ID],FMS_Input[REMPOP100])</f>
        <v>0</v>
      </c>
      <c r="AS368" s="255">
        <f>(ASINH(FMS_Ranking4[[#This Row],[Removed Pop Raw]]))*(10)/(ASINH(AR$4))</f>
        <v>0</v>
      </c>
      <c r="AT368" s="262">
        <f>FMS_Ranking4[[#This Row],[Removed population, ArcSinh (0-10)]]*AR$5*10</f>
        <v>0</v>
      </c>
      <c r="AU368" s="264">
        <f>_xlfn.XLOOKUP(FMS_Ranking4[[#This Row],[FMS ID]],FMS_Input[FMS_ID],FMS_Input[REMCRITFAC100])</f>
        <v>0</v>
      </c>
      <c r="AV368" s="264">
        <f>_xlfn.XLOOKUP(FMS_Ranking4[[#This Row],[FMS ID]],FMS_Input[FMS_ID],FMS_Input[REMLWC100])</f>
        <v>0</v>
      </c>
      <c r="AW368" s="264">
        <f>_xlfn.XLOOKUP(FMS_Ranking4[[#This Row],[FMS ID]],FMS_Input[FMS_ID],FMS_Input[REMROADCLS])</f>
        <v>0</v>
      </c>
      <c r="AX368" s="264">
        <f>_xlfn.XLOOKUP(FMS_Ranking4[[#This Row],[FMS ID]],FMS_Input[FMS_ID],FMS_Input[REMFRMACRE100])</f>
        <v>0</v>
      </c>
      <c r="AY368" s="258">
        <f>_xlfn.XLOOKUP(FMS_Ranking4[[#This Row],[FMS ID]],FMS_Input[FMS_ID],FMS_Input[COSTSTRUCT])</f>
        <v>0</v>
      </c>
      <c r="AZ368" s="253">
        <f>_xlfn.XLOOKUP(FMS_Ranking4[[#This Row],[FMS ID]],FMS_Input[FMS_ID],FMS_Input[NATURE])</f>
        <v>0</v>
      </c>
      <c r="BA368" s="262">
        <f>(((FMS_Ranking4[[#This Row],[% NBS Raw]]/AZ$4)*100)*AZ$5)</f>
        <v>0</v>
      </c>
      <c r="BB368" s="251" t="str">
        <f>_xlfn.XLOOKUP(FMS_Ranking4[[#This Row],[FMS ID]],FMS_Input[FMS_ID],FMS_Input[WATER_SUP])</f>
        <v>No</v>
      </c>
      <c r="BC368" s="265">
        <f>IF(FMS_Ranking4[[#This Row],[Water Supply Raw]]="Yes",10,0)</f>
        <v>0</v>
      </c>
      <c r="BD368" s="266">
        <f>_xlfn.XLOOKUP(FMS_Ranking4[[#This Row],[FMS Type]],FMS_TYPE[FMS_Type],FMS_TYPE[Score])</f>
        <v>8</v>
      </c>
      <c r="BE368" s="267">
        <f>FMS_Ranking4[[#This Row],[FMS_Type Score]]*$BD$5*10</f>
        <v>2</v>
      </c>
      <c r="BF36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0.33296377336449495</v>
      </c>
      <c r="BG368" s="321">
        <f>_xlfn.RANK.EQ(BF368,$BF$8:$BF$870,0)+COUNTIF($BF$8:BF368,BF368)-1</f>
        <v>287</v>
      </c>
      <c r="BH368" s="294">
        <f>(((FMS_Ranking4[[#This Row],[Structures Removed Raw]]/AK$4)*100)*AK$5)+(((FMS_Ranking4[[#This Row],[Removed Pop Raw]]/AR$4)*100)*AR$5)</f>
        <v>0</v>
      </c>
      <c r="BI36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2.332963773364495</v>
      </c>
      <c r="BJ368" s="251">
        <f>_xlfn.RANK.EQ(FMS_Ranking4[[#This Row],[Total Score 
(with linear
normalization)]],FMS_Ranking4[Total Score 
(with linear
normalization)],0)</f>
        <v>289</v>
      </c>
      <c r="BK368" s="251" t="e">
        <f>_xlfn.XLOOKUP(FMS_Ranking4[[#This Row],[FMS ID]],#REF!,#REF!)</f>
        <v>#REF!</v>
      </c>
      <c r="BL36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22.574321177563053</v>
      </c>
      <c r="BM368" s="324">
        <f>FMS_Ranking4[[#This Row],[ArcSinh Score Based on Normalized Reported Factors]]+FMS_Ranking4[[#This Row],[% NBS Score (Normalized)]]+(FMS_Ranking4[[#This Row],[Water Supply Score (Normalized)]]*10*$BB$5)+FMS_Ranking4[[#This Row],[FMS_Type Score Weighted]]</f>
        <v>24.574321177563053</v>
      </c>
      <c r="BN368" s="251">
        <f>_xlfn.RANK.EQ(FMS_Ranking4[[#This Row],[Total Score (with ArcSinh normalization of select criteria)]],FMS_Ranking4[Total Score (with ArcSinh normalization of select criteria)],0)</f>
        <v>361</v>
      </c>
      <c r="BO368" s="270" t="str">
        <f>_xlfn.XLOOKUP(FMS_Ranking4[[#This Row],[FMS ID]],FMS_Input[FMS_ID],FMS_Input[FMS_RANK_YEAR])</f>
        <v>2023 Amended Plan</v>
      </c>
      <c r="BP368" s="204">
        <f>_xlfn.XLOOKUP(FMS_Ranking4[[#This Row],[FMS ID]],Prev_Rank[FMS ID],Prev_Rank[Prev Rank])</f>
        <v>316</v>
      </c>
      <c r="BQ368" s="251" t="e">
        <f>_xlfn.XLOOKUP(FMS_Ranking4[[#This Row],[FMS ID]],#REF!,#REF!)</f>
        <v>#REF!</v>
      </c>
      <c r="BR368" s="199" t="e">
        <f>SUM(#REF!,#REF!,#REF!,#REF!,#REF!,#REF!,#REF!,#REF!,#REF!,FMS_Ranking4[[#This Row],[ArcSinh Res struct removed 0-10]],#REF!)</f>
        <v>#REF!</v>
      </c>
      <c r="BS368" s="199" t="e">
        <f>FMS_Ranking4[[#This Row],[Log Score Based on Normalized Reported Factors]]+FMS_Ranking4[[#This Row],[% NBS Score (Normalized)]]+(FMS_Ranking4[[#This Row],[Water Supply Score (Normalized)]]*10*$BB$5)+(FMS_Ranking4[[#This Row],[FMS_Type Score Weighted]])</f>
        <v>#REF!</v>
      </c>
      <c r="BT368" s="200" t="e">
        <f>_xlfn.RANK.EQ(FMS_Ranking4[[#This Row],[Log Total Score]],FMS_Ranking4[Log Total Score],0)</f>
        <v>#REF!</v>
      </c>
      <c r="BU368" s="200" t="e">
        <f>_xlfn.XLOOKUP(FMS_Ranking4[[#This Row],[FMS ID]],#REF!,#REF!)</f>
        <v>#REF!</v>
      </c>
      <c r="BV368" s="200">
        <f>FMS_Ranking4[[#This Row],[Region Number]]</f>
        <v>3</v>
      </c>
      <c r="BW368" s="200">
        <f>FMS_Ranking4[[#This Row],[Rank (with ArcSinh normalization of select criteria)]]-FMS_Ranking4[[#This Row],[Rank
(with linear
normalization)]]</f>
        <v>72</v>
      </c>
      <c r="BX368" s="200" t="e">
        <f>FMS_Ranking4[[#This Row],[Log Rank]]-FMS_Ranking4[[#This Row],[Rank
(with linear
normalization)]]</f>
        <v>#REF!</v>
      </c>
      <c r="BY368" s="200" t="str">
        <f>IF(FMS_Ranking4[[#This Row],[FMS Type]]="Flood Measurement and Warning",FMS_Ranking4[[#This Row],[Rank (with ArcSinh normalization of select criteria)]],"")</f>
        <v/>
      </c>
      <c r="BZ368" s="200">
        <f>IF(FMS_Ranking4[[#This Row],[FMS Type]]="Regulatory and Guidance",FMS_Ranking4[[#This Row],[Rank (with ArcSinh normalization of select criteria)]],"")</f>
        <v>361</v>
      </c>
      <c r="CA368" s="200" t="str">
        <f>IF(FMS_Ranking4[[#This Row],[FMS Type]]="Education and Outreach",FMS_Ranking4[[#This Row],[Rank (with ArcSinh normalization of select criteria)]],"")</f>
        <v/>
      </c>
      <c r="CB368" s="200" t="str">
        <f>IF(FMS_Ranking4[[#This Row],[FMS Type]]="Property Acquisition and Structural Elevation",FMS_Ranking4[[#This Row],[Rank (with ArcSinh normalization of select criteria)]],"")</f>
        <v/>
      </c>
      <c r="CC368" s="200" t="str">
        <f>IF(FMS_Ranking4[[#This Row],[FMS Type]]="Infrastructure Projects",FMS_Ranking4[[#This Row],[Rank (with ArcSinh normalization of select criteria)]],"")</f>
        <v/>
      </c>
      <c r="CD368" s="200" t="str">
        <f>IF(FMS_Ranking4[[#This Row],[FMS Type]]="Other",FMS_Ranking4[[#This Row],[Rank (with ArcSinh normalization of select criteria)]],"")</f>
        <v/>
      </c>
      <c r="CE368" s="201"/>
      <c r="CF368" s="206"/>
      <c r="CG368" s="206"/>
      <c r="CH368" s="206"/>
      <c r="CI368" s="206"/>
      <c r="CJ368" s="206"/>
      <c r="CK368" s="206"/>
      <c r="CL368" s="206"/>
      <c r="CM368" s="206"/>
      <c r="CN368" s="206"/>
      <c r="CO368" s="206"/>
      <c r="CP368" s="206"/>
      <c r="CQ368" s="206"/>
      <c r="CR368" s="206"/>
    </row>
    <row r="369" spans="2:96" ht="120" x14ac:dyDescent="0.25">
      <c r="B369" s="341" t="s">
        <v>1979</v>
      </c>
      <c r="C369" s="246">
        <f>_xlfn.XLOOKUP(FMS_Ranking4[[#This Row],[FMS ID]],FMS_Input[FMS_ID],FMS_Input[RFPG_NUM])</f>
        <v>3</v>
      </c>
      <c r="D369" s="309" t="str">
        <f>_xlfn.XLOOKUP(FMS_Ranking4[[#This Row],[FMS ID]],FMS_Input[FMS_ID],FMS_Input[FMS_NAME])</f>
        <v>Ten Mile Creek Comprehensive Loss Reduction Program</v>
      </c>
      <c r="E369" s="308" t="str">
        <f>_xlfn.XLOOKUP(FMS_Ranking4[[#This Row],[FMS ID]],FMS_Input[FMS_ID],FMS_Input[SPONSOR])</f>
        <v>Lancaster</v>
      </c>
      <c r="F369" s="309" t="str">
        <f>_xlfn.XLOOKUP(FMS_Ranking4[[#This Row],[FMS ID]],Sponsor[FMS_ID],Sponsor[SPONSOR NAME])</f>
        <v>Lancaster</v>
      </c>
      <c r="G369" s="309" t="str">
        <f>_xlfn.XLOOKUP(FMS_Ranking4[[#This Row],[FMS ID]],FMS_Input[FMS_ID],FMS_Input[FMS_DESCR])</f>
        <v>Develop a comprehensive loss reduction program, involving buy outs and relocation in areas along Ten Mile Creek to reduce losses and repetitive damages. Buyout structures that are in the floodplain. Land Acquisition for repetitive loss structures</v>
      </c>
      <c r="H369" s="248" t="str">
        <f>_xlfn.XLOOKUP(FMS_Ranking4[[#This Row],[FMS ID]],FMS_Input[FMS_ID],FMS_Input[FMS_TYPE])</f>
        <v>Property Acquisition and Structural Elevation</v>
      </c>
      <c r="I369" s="249">
        <f>_xlfn.XLOOKUP(FMS_Ranking4[[#This Row],[FMS ID]],FMS_Input[FMS_ID],FMS_Input[NRNC_COST])</f>
        <v>500000</v>
      </c>
      <c r="J369" s="250">
        <f>_xlfn.XLOOKUP(FMS_Ranking4[[#This Row],[FMS ID]],FMS_Input[FMS_ID],FMS_Input[FMS_COST])</f>
        <v>5000000</v>
      </c>
      <c r="K369" s="251" t="str">
        <f>_xlfn.XLOOKUP(FMS_Ranking4[[#This Row],[FMS ID]],FMS_Input[FMS_ID],FMS_Input[EMER_NEED])</f>
        <v>No</v>
      </c>
      <c r="L369" s="252">
        <f t="shared" si="5"/>
        <v>0</v>
      </c>
      <c r="M369" s="253">
        <f>_xlfn.XLOOKUP(FMS_Ranking4[[#This Row],[FMS ID]],FMS_Input[FMS_ID],FMS_Input[STRUCT_100])</f>
        <v>316</v>
      </c>
      <c r="N369" s="255">
        <f>(ASINH(FMS_Ranking4[[#This Row],[Structure at Risk Raw]]))*(10)/(ASINH(M$4))</f>
        <v>5.0697892300409801</v>
      </c>
      <c r="O369" s="256">
        <f>FMS_Ranking4[[#This Row],[Structures at risk, ArcSinh (0-10)]]*M$5*10</f>
        <v>5.069789230040981</v>
      </c>
      <c r="P369" s="253">
        <f>_xlfn.XLOOKUP(FMS_Ranking4[[#This Row],[FMS ID]],FMS_Input[FMS_ID],FMS_Input[RES_STRUCT100])</f>
        <v>266</v>
      </c>
      <c r="Q369" s="257">
        <f>ASINH(FMS_Ranking4[[#This Row],[Res Structure Raw]])/Q$4*P$5*100</f>
        <v>0</v>
      </c>
      <c r="R369" s="253">
        <f>_xlfn.XLOOKUP(FMS_Ranking4[[#This Row],[FMS ID]],FMS_Input[FMS_ID],FMS_Input[POP100])</f>
        <v>2991</v>
      </c>
      <c r="S369" s="259">
        <f>(ASINH(FMS_Ranking4[[#This Row],[Pop at Risk Raw]]))*(10)/(ASINH(R$4))</f>
        <v>6.003707330240033</v>
      </c>
      <c r="T369" s="256">
        <f>FMS_Ranking4[[#This Row],[Population at risk, ArcSinh (0-10)]]*R$5*10</f>
        <v>6.003707330240033</v>
      </c>
      <c r="U369" s="253">
        <f>_xlfn.XLOOKUP(FMS_Ranking4[[#This Row],[FMS ID]],FMS_Input[FMS_ID],FMS_Input[CRITFAC100])</f>
        <v>3</v>
      </c>
      <c r="V369" s="259">
        <f>(ASINH(FMS_Ranking4[[#This Row],[Critical Facilities Raw]]))*(10)/(ASINH(U$4))</f>
        <v>2.152611706646717</v>
      </c>
      <c r="W369" s="256">
        <f>FMS_Ranking4[[#This Row],[Critical facilities at risk, ArcSinh (0-10)]]*U$5*10</f>
        <v>2.152611706646717</v>
      </c>
      <c r="X369" s="253">
        <f>_xlfn.XLOOKUP(FMS_Ranking4[[#This Row],[FMS ID]],FMS_Input[FMS_ID],FMS_Input[LWC])</f>
        <v>14</v>
      </c>
      <c r="Y369" s="259">
        <f>(ASINH(FMS_Ranking4[[#This Row],[LWC Raw]]))*(10)/(ASINH(X$4))</f>
        <v>4.515988019016449</v>
      </c>
      <c r="Z369" s="256">
        <f>FMS_Ranking4[[#This Row],[LWC, ArcSInh (0-10)]]*X$5*10</f>
        <v>4.515988019016449</v>
      </c>
      <c r="AA369" s="253">
        <f>_xlfn.XLOOKUP(FMS_Ranking4[[#This Row],[FMS ID]],FMS_Input[FMS_ID],FMS_Input[ROADCLS])</f>
        <v>0</v>
      </c>
      <c r="AB369" s="255">
        <f>(ASINH(FMS_Ranking4[[#This Row],[Road Closures Raw]]))*(10)/(ASINH(AA$4))</f>
        <v>0</v>
      </c>
      <c r="AC369" s="256">
        <f>FMS_Ranking4[[#This Row],[Road closures, ArcSinh (0-10)]]*AA$5*10</f>
        <v>0</v>
      </c>
      <c r="AD369" s="253">
        <f>_xlfn.XLOOKUP(FMS_Ranking4[[#This Row],[FMS ID]],FMS_Input[FMS_ID],FMS_Input[ROAD_MILES100])</f>
        <v>13</v>
      </c>
      <c r="AE369" s="259">
        <f>(ASINH(FMS_Ranking4[[#This Row],[Road Miles Raw]]))*(10)/(ASINH(AD$4))</f>
        <v>3.473807557544454</v>
      </c>
      <c r="AF369" s="256">
        <f>FMS_Ranking4[[#This Row],[Length of roads at risk, ArcSinh (0-10)]]*AD$5*10</f>
        <v>3.4738075575444545</v>
      </c>
      <c r="AG369" s="253">
        <f>_xlfn.XLOOKUP(FMS_Ranking4[[#This Row],[FMS ID]],FMS_Input[FMS_ID],FMS_Input[FARMACRE100])</f>
        <v>561.8311767578125</v>
      </c>
      <c r="AH369" s="255">
        <f>(ASINH(FMS_Ranking4[[#This Row],[Ag Land Raw]]))*(10)/(ASINH(AG$4))</f>
        <v>4.5628871913117379</v>
      </c>
      <c r="AI369" s="260">
        <f>FMS_Ranking4[[#This Row],[Farm &amp; ranch land, ArcSinh (0-10)]]*AG$5*10</f>
        <v>2.281443595655869</v>
      </c>
      <c r="AJ369" s="258">
        <f>_xlfn.XLOOKUP(FMS_Ranking4[[#This Row],[FMS ID]],FMS_Input[FMS_ID],FMS_Input[REDSTRUCT100])</f>
        <v>0</v>
      </c>
      <c r="AK369" s="253">
        <f>_xlfn.XLOOKUP(FMS_Ranking4[[#This Row],[FMS ID]],FMS_Input[FMS_ID],FMS_Input[REMSTRC100])</f>
        <v>0</v>
      </c>
      <c r="AL369" s="259">
        <f>(ASINH(FMS_Ranking4[[#This Row],[Structures Removed Raw]]))*(10)/(ASINH(AK$4))</f>
        <v>0</v>
      </c>
      <c r="AM369" s="262">
        <f>FMS_Ranking4[[#This Row],[Structures removed, ArcSinh (0-10)]]*AK$5*10</f>
        <v>0</v>
      </c>
      <c r="AN369" s="253">
        <f>_xlfn.XLOOKUP(FMS_Ranking4[[#This Row],[FMS ID]],FMS_Input[FMS_ID],FMS_Input[REMRESSTRC100])</f>
        <v>0</v>
      </c>
      <c r="AO369" s="261">
        <f>FMS_Ranking4[[#This Row],[ArcSinh Res struct removed 0-10]]*AN$5*10</f>
        <v>0</v>
      </c>
      <c r="AP369" s="260">
        <f>ASINH(FMS_Ranking4[[#This Row],[Residential Structures Removed Raw]])/AP$4*AN$5*100</f>
        <v>0</v>
      </c>
      <c r="AQ369" s="254">
        <f>(ASINH(FMS_Ranking4[[#This Row],[Residential Structures Removed Raw]]))*(10)/(ASINH(AN$4))</f>
        <v>0</v>
      </c>
      <c r="AR369" s="253">
        <f>_xlfn.XLOOKUP(FMS_Ranking4[[#This Row],[FMS ID]],FMS_Input[FMS_ID],FMS_Input[REMPOP100])</f>
        <v>0</v>
      </c>
      <c r="AS369" s="259">
        <f>(ASINH(FMS_Ranking4[[#This Row],[Removed Pop Raw]]))*(10)/(ASINH(AR$4))</f>
        <v>0</v>
      </c>
      <c r="AT369" s="262">
        <f>FMS_Ranking4[[#This Row],[Removed population, ArcSinh (0-10)]]*AR$5*10</f>
        <v>0</v>
      </c>
      <c r="AU369" s="264">
        <f>_xlfn.XLOOKUP(FMS_Ranking4[[#This Row],[FMS ID]],FMS_Input[FMS_ID],FMS_Input[REMCRITFAC100])</f>
        <v>0</v>
      </c>
      <c r="AV369" s="264">
        <f>_xlfn.XLOOKUP(FMS_Ranking4[[#This Row],[FMS ID]],FMS_Input[FMS_ID],FMS_Input[REMLWC100])</f>
        <v>0</v>
      </c>
      <c r="AW369" s="264">
        <f>_xlfn.XLOOKUP(FMS_Ranking4[[#This Row],[FMS ID]],FMS_Input[FMS_ID],FMS_Input[REMROADCLS])</f>
        <v>0</v>
      </c>
      <c r="AX369" s="264">
        <f>_xlfn.XLOOKUP(FMS_Ranking4[[#This Row],[FMS ID]],FMS_Input[FMS_ID],FMS_Input[REMFRMACRE100])</f>
        <v>0</v>
      </c>
      <c r="AY369" s="258">
        <f>_xlfn.XLOOKUP(FMS_Ranking4[[#This Row],[FMS ID]],FMS_Input[FMS_ID],FMS_Input[COSTSTRUCT])</f>
        <v>0</v>
      </c>
      <c r="AZ369" s="253">
        <f>_xlfn.XLOOKUP(FMS_Ranking4[[#This Row],[FMS ID]],FMS_Input[FMS_ID],FMS_Input[NATURE])</f>
        <v>0</v>
      </c>
      <c r="BA369" s="262">
        <f>(((FMS_Ranking4[[#This Row],[% NBS Raw]]/AZ$4)*100)*AZ$5)</f>
        <v>0</v>
      </c>
      <c r="BB369" s="251" t="str">
        <f>_xlfn.XLOOKUP(FMS_Ranking4[[#This Row],[FMS ID]],FMS_Input[FMS_ID],FMS_Input[WATER_SUP])</f>
        <v>No</v>
      </c>
      <c r="BC369" s="265">
        <f>IF(FMS_Ranking4[[#This Row],[Water Supply Raw]]="Yes",10,0)</f>
        <v>0</v>
      </c>
      <c r="BD369" s="266">
        <f>_xlfn.XLOOKUP(FMS_Ranking4[[#This Row],[FMS Type]],FMS_TYPE[FMS_Type],FMS_TYPE[Score])</f>
        <v>4</v>
      </c>
      <c r="BE369" s="267">
        <f>FMS_Ranking4[[#This Row],[FMS_Type Score]]*$BD$5*10</f>
        <v>1</v>
      </c>
      <c r="BF36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0.25975555752977686</v>
      </c>
      <c r="BG369" s="271">
        <f>_xlfn.RANK.EQ(BF369,$BF$8:$BF$870,0)+COUNTIF($BF$8:BF369,BF369)-1</f>
        <v>324</v>
      </c>
      <c r="BH369" s="268">
        <f>(((FMS_Ranking4[[#This Row],[Structures Removed Raw]]/AK$4)*100)*AK$5)+(((FMS_Ranking4[[#This Row],[Removed Pop Raw]]/AR$4)*100)*AR$5)</f>
        <v>0</v>
      </c>
      <c r="BI36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1.2597555575297767</v>
      </c>
      <c r="BJ369" s="205">
        <f>_xlfn.RANK.EQ(FMS_Ranking4[[#This Row],[Total Score 
(with linear
normalization)]],FMS_Ranking4[Total Score 
(with linear
normalization)],0)</f>
        <v>637</v>
      </c>
      <c r="BK369" s="205" t="e">
        <f>_xlfn.XLOOKUP(FMS_Ranking4[[#This Row],[FMS ID]],#REF!,#REF!)</f>
        <v>#REF!</v>
      </c>
      <c r="BL36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23.497347439144502</v>
      </c>
      <c r="BM369" s="272">
        <f>FMS_Ranking4[[#This Row],[ArcSinh Score Based on Normalized Reported Factors]]+FMS_Ranking4[[#This Row],[% NBS Score (Normalized)]]+(FMS_Ranking4[[#This Row],[Water Supply Score (Normalized)]]*10*$BB$5)+FMS_Ranking4[[#This Row],[FMS_Type Score Weighted]]</f>
        <v>24.497347439144502</v>
      </c>
      <c r="BN369" s="205">
        <f>_xlfn.RANK.EQ(FMS_Ranking4[[#This Row],[Total Score (with ArcSinh normalization of select criteria)]],FMS_Ranking4[Total Score (with ArcSinh normalization of select criteria)],0)</f>
        <v>362</v>
      </c>
      <c r="BO369" s="270" t="str">
        <f>_xlfn.XLOOKUP(FMS_Ranking4[[#This Row],[FMS ID]],FMS_Input[FMS_ID],FMS_Input[FMS_RANK_YEAR])</f>
        <v>2023 Amended Plan</v>
      </c>
      <c r="BP369" s="204">
        <f>_xlfn.XLOOKUP(FMS_Ranking4[[#This Row],[FMS ID]],Prev_Rank[FMS ID],Prev_Rank[Prev Rank])</f>
        <v>321</v>
      </c>
      <c r="BQ369" s="205" t="e">
        <f>_xlfn.XLOOKUP(FMS_Ranking4[[#This Row],[FMS ID]],#REF!,#REF!)</f>
        <v>#REF!</v>
      </c>
      <c r="BR369" s="199" t="e">
        <f>SUM(#REF!,#REF!,#REF!,#REF!,#REF!,#REF!,#REF!,#REF!,#REF!,FMS_Ranking4[[#This Row],[ArcSinh Res struct removed 0-10]],#REF!)</f>
        <v>#REF!</v>
      </c>
      <c r="BS369" s="199" t="e">
        <f>FMS_Ranking4[[#This Row],[Log Score Based on Normalized Reported Factors]]+FMS_Ranking4[[#This Row],[% NBS Score (Normalized)]]+(FMS_Ranking4[[#This Row],[Water Supply Score (Normalized)]]*10*$BB$5)+(FMS_Ranking4[[#This Row],[FMS_Type Score Weighted]])</f>
        <v>#REF!</v>
      </c>
      <c r="BT369" s="200" t="e">
        <f>_xlfn.RANK.EQ(FMS_Ranking4[[#This Row],[Log Total Score]],FMS_Ranking4[Log Total Score],0)</f>
        <v>#REF!</v>
      </c>
      <c r="BU369" s="200" t="e">
        <f>_xlfn.XLOOKUP(FMS_Ranking4[[#This Row],[FMS ID]],#REF!,#REF!)</f>
        <v>#REF!</v>
      </c>
      <c r="BV369" s="200">
        <f>FMS_Ranking4[[#This Row],[Region Number]]</f>
        <v>3</v>
      </c>
      <c r="BW369" s="200">
        <f>FMS_Ranking4[[#This Row],[Rank (with ArcSinh normalization of select criteria)]]-FMS_Ranking4[[#This Row],[Rank
(with linear
normalization)]]</f>
        <v>-275</v>
      </c>
      <c r="BX369" s="200" t="e">
        <f>FMS_Ranking4[[#This Row],[Log Rank]]-FMS_Ranking4[[#This Row],[Rank
(with linear
normalization)]]</f>
        <v>#REF!</v>
      </c>
      <c r="BY369" s="200" t="str">
        <f>IF(FMS_Ranking4[[#This Row],[FMS Type]]="Flood Measurement and Warning",FMS_Ranking4[[#This Row],[Rank (with ArcSinh normalization of select criteria)]],"")</f>
        <v/>
      </c>
      <c r="BZ369" s="200" t="str">
        <f>IF(FMS_Ranking4[[#This Row],[FMS Type]]="Regulatory and Guidance",FMS_Ranking4[[#This Row],[Rank (with ArcSinh normalization of select criteria)]],"")</f>
        <v/>
      </c>
      <c r="CA369" s="200" t="str">
        <f>IF(FMS_Ranking4[[#This Row],[FMS Type]]="Education and Outreach",FMS_Ranking4[[#This Row],[Rank (with ArcSinh normalization of select criteria)]],"")</f>
        <v/>
      </c>
      <c r="CB369" s="200">
        <f>IF(FMS_Ranking4[[#This Row],[FMS Type]]="Property Acquisition and Structural Elevation",FMS_Ranking4[[#This Row],[Rank (with ArcSinh normalization of select criteria)]],"")</f>
        <v>362</v>
      </c>
      <c r="CC369" s="200" t="str">
        <f>IF(FMS_Ranking4[[#This Row],[FMS Type]]="Infrastructure Projects",FMS_Ranking4[[#This Row],[Rank (with ArcSinh normalization of select criteria)]],"")</f>
        <v/>
      </c>
      <c r="CD369" s="200" t="str">
        <f>IF(FMS_Ranking4[[#This Row],[FMS Type]]="Other",FMS_Ranking4[[#This Row],[Rank (with ArcSinh normalization of select criteria)]],"")</f>
        <v/>
      </c>
      <c r="CE369" s="201"/>
      <c r="CF369" s="206"/>
      <c r="CG369" s="206"/>
      <c r="CH369" s="206"/>
      <c r="CI369" s="206"/>
      <c r="CJ369" s="206"/>
      <c r="CK369" s="206"/>
      <c r="CL369" s="206"/>
      <c r="CM369" s="206"/>
      <c r="CN369" s="206"/>
      <c r="CO369" s="206"/>
      <c r="CP369" s="206"/>
      <c r="CQ369" s="206"/>
      <c r="CR369" s="206"/>
    </row>
    <row r="370" spans="2:96" ht="60" x14ac:dyDescent="0.25">
      <c r="B370" s="341" t="s">
        <v>4568</v>
      </c>
      <c r="C370" s="246">
        <f>_xlfn.XLOOKUP(FMS_Ranking4[[#This Row],[FMS ID]],FMS_Input[FMS_ID],FMS_Input[RFPG_NUM])</f>
        <v>4</v>
      </c>
      <c r="D370" s="309" t="str">
        <f>_xlfn.XLOOKUP(FMS_Ranking4[[#This Row],[FMS ID]],FMS_Input[FMS_ID],FMS_Input[FMS_NAME])</f>
        <v>Rockwall County Warning Signs and Flood Control Gates</v>
      </c>
      <c r="E370" s="308" t="str">
        <f>_xlfn.XLOOKUP(FMS_Ranking4[[#This Row],[FMS ID]],FMS_Input[FMS_ID],FMS_Input[SPONSOR])</f>
        <v>00000175</v>
      </c>
      <c r="F370" s="309" t="str">
        <f>_xlfn.XLOOKUP(FMS_Ranking4[[#This Row],[FMS ID]],Sponsor[FMS_ID],Sponsor[SPONSOR NAME])</f>
        <v>Rockwall</v>
      </c>
      <c r="G370" s="309" t="str">
        <f>_xlfn.XLOOKUP(FMS_Ranking4[[#This Row],[FMS ID]],FMS_Input[FMS_ID],FMS_Input[FMS_DESCR])</f>
        <v>Install automatic flood warning gates to prevent access into flooded areas. Install warning signs and flood control</v>
      </c>
      <c r="H370" s="248" t="str">
        <f>_xlfn.XLOOKUP(FMS_Ranking4[[#This Row],[FMS ID]],FMS_Input[FMS_ID],FMS_Input[FMS_TYPE])</f>
        <v>Flood Measurement and Warning</v>
      </c>
      <c r="I370" s="249">
        <f>_xlfn.XLOOKUP(FMS_Ranking4[[#This Row],[FMS ID]],FMS_Input[FMS_ID],FMS_Input[NRNC_COST])</f>
        <v>250000</v>
      </c>
      <c r="J370" s="250">
        <f>_xlfn.XLOOKUP(FMS_Ranking4[[#This Row],[FMS ID]],FMS_Input[FMS_ID],FMS_Input[FMS_COST])</f>
        <v>250000</v>
      </c>
      <c r="K370" s="251" t="str">
        <f>_xlfn.XLOOKUP(FMS_Ranking4[[#This Row],[FMS ID]],FMS_Input[FMS_ID],FMS_Input[EMER_NEED])</f>
        <v>No</v>
      </c>
      <c r="L370" s="252">
        <f t="shared" si="5"/>
        <v>0</v>
      </c>
      <c r="M370" s="253">
        <f>_xlfn.XLOOKUP(FMS_Ranking4[[#This Row],[FMS ID]],FMS_Input[FMS_ID],FMS_Input[STRUCT_100])</f>
        <v>191</v>
      </c>
      <c r="N370" s="255">
        <f>(ASINH(FMS_Ranking4[[#This Row],[Structure at Risk Raw]]))*(10)/(ASINH(M$4))</f>
        <v>4.6739912204823941</v>
      </c>
      <c r="O370" s="256">
        <f>FMS_Ranking4[[#This Row],[Structures at risk, ArcSinh (0-10)]]*M$5*10</f>
        <v>4.6739912204823941</v>
      </c>
      <c r="P370" s="253">
        <f>_xlfn.XLOOKUP(FMS_Ranking4[[#This Row],[FMS ID]],FMS_Input[FMS_ID],FMS_Input[RES_STRUCT100])</f>
        <v>149</v>
      </c>
      <c r="Q370" s="257">
        <f>ASINH(FMS_Ranking4[[#This Row],[Res Structure Raw]])/Q$4*P$5*100</f>
        <v>0</v>
      </c>
      <c r="R370" s="253">
        <f>_xlfn.XLOOKUP(FMS_Ranking4[[#This Row],[FMS ID]],FMS_Input[FMS_ID],FMS_Input[POP100])</f>
        <v>786</v>
      </c>
      <c r="S370" s="259">
        <f>(ASINH(FMS_Ranking4[[#This Row],[Pop at Risk Raw]]))*(10)/(ASINH(R$4))</f>
        <v>5.081108541944535</v>
      </c>
      <c r="T370" s="256">
        <f>FMS_Ranking4[[#This Row],[Population at risk, ArcSinh (0-10)]]*R$5*10</f>
        <v>5.0811085419445359</v>
      </c>
      <c r="U370" s="253">
        <f>_xlfn.XLOOKUP(FMS_Ranking4[[#This Row],[FMS ID]],FMS_Input[FMS_ID],FMS_Input[CRITFAC100])</f>
        <v>0</v>
      </c>
      <c r="V370" s="259">
        <f>(ASINH(FMS_Ranking4[[#This Row],[Critical Facilities Raw]]))*(10)/(ASINH(U$4))</f>
        <v>0</v>
      </c>
      <c r="W370" s="256">
        <f>FMS_Ranking4[[#This Row],[Critical facilities at risk, ArcSinh (0-10)]]*U$5*10</f>
        <v>0</v>
      </c>
      <c r="X370" s="253">
        <f>_xlfn.XLOOKUP(FMS_Ranking4[[#This Row],[FMS ID]],FMS_Input[FMS_ID],FMS_Input[LWC])</f>
        <v>11</v>
      </c>
      <c r="Y370" s="259">
        <f>(ASINH(FMS_Ranking4[[#This Row],[LWC Raw]]))*(10)/(ASINH(X$4))</f>
        <v>4.1903423948022258</v>
      </c>
      <c r="Z370" s="256">
        <f>FMS_Ranking4[[#This Row],[LWC, ArcSInh (0-10)]]*X$5*10</f>
        <v>4.1903423948022258</v>
      </c>
      <c r="AA370" s="253">
        <f>_xlfn.XLOOKUP(FMS_Ranking4[[#This Row],[FMS ID]],FMS_Input[FMS_ID],FMS_Input[ROADCLS])</f>
        <v>11</v>
      </c>
      <c r="AB370" s="255">
        <f>(ASINH(FMS_Ranking4[[#This Row],[Road Closures Raw]]))*(10)/(ASINH(AA$4))</f>
        <v>3.2211820415868493</v>
      </c>
      <c r="AC370" s="256">
        <f>FMS_Ranking4[[#This Row],[Road closures, ArcSinh (0-10)]]*AA$5*10</f>
        <v>1.6105910207934249</v>
      </c>
      <c r="AD370" s="253">
        <f>_xlfn.XLOOKUP(FMS_Ranking4[[#This Row],[FMS ID]],FMS_Input[FMS_ID],FMS_Input[ROAD_MILES100])</f>
        <v>15</v>
      </c>
      <c r="AE370" s="259">
        <f>(ASINH(FMS_Ranking4[[#This Row],[Road Miles Raw]]))*(10)/(ASINH(AD$4))</f>
        <v>3.625922827042257</v>
      </c>
      <c r="AF370" s="256">
        <f>FMS_Ranking4[[#This Row],[Length of roads at risk, ArcSinh (0-10)]]*AD$5*10</f>
        <v>3.625922827042257</v>
      </c>
      <c r="AG370" s="253">
        <f>_xlfn.XLOOKUP(FMS_Ranking4[[#This Row],[FMS ID]],FMS_Input[FMS_ID],FMS_Input[FARMACRE100])</f>
        <v>2828.889892578125</v>
      </c>
      <c r="AH370" s="255">
        <f>(ASINH(FMS_Ranking4[[#This Row],[Ag Land Raw]]))*(10)/(ASINH(AG$4))</f>
        <v>5.6128950254533292</v>
      </c>
      <c r="AI370" s="260">
        <f>FMS_Ranking4[[#This Row],[Farm &amp; ranch land, ArcSinh (0-10)]]*AG$5*10</f>
        <v>2.8064475127266646</v>
      </c>
      <c r="AJ370" s="258">
        <f>_xlfn.XLOOKUP(FMS_Ranking4[[#This Row],[FMS ID]],FMS_Input[FMS_ID],FMS_Input[REDSTRUCT100])</f>
        <v>0</v>
      </c>
      <c r="AK370" s="253">
        <f>_xlfn.XLOOKUP(FMS_Ranking4[[#This Row],[FMS ID]],FMS_Input[FMS_ID],FMS_Input[REMSTRC100])</f>
        <v>0</v>
      </c>
      <c r="AL370" s="259">
        <f>(ASINH(FMS_Ranking4[[#This Row],[Structures Removed Raw]]))*(10)/(ASINH(AK$4))</f>
        <v>0</v>
      </c>
      <c r="AM370" s="262">
        <f>FMS_Ranking4[[#This Row],[Structures removed, ArcSinh (0-10)]]*AK$5*10</f>
        <v>0</v>
      </c>
      <c r="AN370" s="253">
        <f>_xlfn.XLOOKUP(FMS_Ranking4[[#This Row],[FMS ID]],FMS_Input[FMS_ID],FMS_Input[REMRESSTRC100])</f>
        <v>0</v>
      </c>
      <c r="AO370" s="261">
        <f>FMS_Ranking4[[#This Row],[ArcSinh Res struct removed 0-10]]*AN$5*10</f>
        <v>0</v>
      </c>
      <c r="AP370" s="261">
        <f>ASINH(FMS_Ranking4[[#This Row],[Residential Structures Removed Raw]])/AP$4*AN$5*100</f>
        <v>0</v>
      </c>
      <c r="AQ370" s="254">
        <f>(ASINH(FMS_Ranking4[[#This Row],[Residential Structures Removed Raw]]))*(10)/(ASINH(AN$4))</f>
        <v>0</v>
      </c>
      <c r="AR370" s="253">
        <f>_xlfn.XLOOKUP(FMS_Ranking4[[#This Row],[FMS ID]],FMS_Input[FMS_ID],FMS_Input[REMPOP100])</f>
        <v>0</v>
      </c>
      <c r="AS370" s="259">
        <f>(ASINH(FMS_Ranking4[[#This Row],[Removed Pop Raw]]))*(10)/(ASINH(AR$4))</f>
        <v>0</v>
      </c>
      <c r="AT370" s="262">
        <f>FMS_Ranking4[[#This Row],[Removed population, ArcSinh (0-10)]]*AR$5*10</f>
        <v>0</v>
      </c>
      <c r="AU370" s="264">
        <f>_xlfn.XLOOKUP(FMS_Ranking4[[#This Row],[FMS ID]],FMS_Input[FMS_ID],FMS_Input[REMCRITFAC100])</f>
        <v>0</v>
      </c>
      <c r="AV370" s="264">
        <f>_xlfn.XLOOKUP(FMS_Ranking4[[#This Row],[FMS ID]],FMS_Input[FMS_ID],FMS_Input[REMLWC100])</f>
        <v>0</v>
      </c>
      <c r="AW370" s="264">
        <f>_xlfn.XLOOKUP(FMS_Ranking4[[#This Row],[FMS ID]],FMS_Input[FMS_ID],FMS_Input[REMROADCLS])</f>
        <v>0</v>
      </c>
      <c r="AX370" s="264">
        <f>_xlfn.XLOOKUP(FMS_Ranking4[[#This Row],[FMS ID]],FMS_Input[FMS_ID],FMS_Input[REMFRMACRE100])</f>
        <v>0</v>
      </c>
      <c r="AY370" s="258">
        <f>_xlfn.XLOOKUP(FMS_Ranking4[[#This Row],[FMS ID]],FMS_Input[FMS_ID],FMS_Input[COSTSTRUCT])</f>
        <v>0</v>
      </c>
      <c r="AZ370" s="253">
        <f>_xlfn.XLOOKUP(FMS_Ranking4[[#This Row],[FMS ID]],FMS_Input[FMS_ID],FMS_Input[NATURE])</f>
        <v>0</v>
      </c>
      <c r="BA370" s="262">
        <f>(((FMS_Ranking4[[#This Row],[% NBS Raw]]/AZ$4)*100)*AZ$5)</f>
        <v>0</v>
      </c>
      <c r="BB370" s="251" t="str">
        <f>_xlfn.XLOOKUP(FMS_Ranking4[[#This Row],[FMS ID]],FMS_Input[FMS_ID],FMS_Input[WATER_SUP])</f>
        <v>No</v>
      </c>
      <c r="BC370" s="265">
        <f>IF(FMS_Ranking4[[#This Row],[Water Supply Raw]]="Yes",10,0)</f>
        <v>0</v>
      </c>
      <c r="BD370" s="266">
        <f>_xlfn.XLOOKUP(FMS_Ranking4[[#This Row],[FMS Type]],FMS_TYPE[FMS_Type],FMS_TYPE[Score])</f>
        <v>10</v>
      </c>
      <c r="BE370" s="267">
        <f>FMS_Ranking4[[#This Row],[FMS_Type Score]]*$BD$5*10</f>
        <v>2.5</v>
      </c>
      <c r="BF37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0.19495489634670154</v>
      </c>
      <c r="BG370" s="269">
        <f>_xlfn.RANK.EQ(BF370,$BF$8:$BF$870,0)+COUNTIF($BF$8:BF370,BF370)-1</f>
        <v>370</v>
      </c>
      <c r="BH370" s="268">
        <f>(((FMS_Ranking4[[#This Row],[Structures Removed Raw]]/AK$4)*100)*AK$5)+(((FMS_Ranking4[[#This Row],[Removed Pop Raw]]/AR$4)*100)*AR$5)</f>
        <v>0</v>
      </c>
      <c r="BI37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2.6949548963467014</v>
      </c>
      <c r="BJ370" s="204">
        <f>_xlfn.RANK.EQ(FMS_Ranking4[[#This Row],[Total Score 
(with linear
normalization)]],FMS_Ranking4[Total Score 
(with linear
normalization)],0)</f>
        <v>208</v>
      </c>
      <c r="BK370" s="204" t="e">
        <f>_xlfn.XLOOKUP(FMS_Ranking4[[#This Row],[FMS ID]],#REF!,#REF!)</f>
        <v>#REF!</v>
      </c>
      <c r="BL370"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21.9884035177915</v>
      </c>
      <c r="BM370" s="270">
        <f>FMS_Ranking4[[#This Row],[ArcSinh Score Based on Normalized Reported Factors]]+FMS_Ranking4[[#This Row],[% NBS Score (Normalized)]]+(FMS_Ranking4[[#This Row],[Water Supply Score (Normalized)]]*10*$BB$5)+FMS_Ranking4[[#This Row],[FMS_Type Score Weighted]]</f>
        <v>24.4884035177915</v>
      </c>
      <c r="BN370" s="204">
        <f>_xlfn.RANK.EQ(FMS_Ranking4[[#This Row],[Total Score (with ArcSinh normalization of select criteria)]],FMS_Ranking4[Total Score (with ArcSinh normalization of select criteria)],0)</f>
        <v>363</v>
      </c>
      <c r="BO370" s="270" t="str">
        <f>_xlfn.XLOOKUP(FMS_Ranking4[[#This Row],[FMS ID]],FMS_Input[FMS_ID],FMS_Input[FMS_RANK_YEAR])</f>
        <v>2023 Amended Plan</v>
      </c>
      <c r="BP370" s="204">
        <f>_xlfn.XLOOKUP(FMS_Ranking4[[#This Row],[FMS ID]],Prev_Rank[FMS ID],Prev_Rank[Prev Rank])</f>
        <v>323</v>
      </c>
      <c r="BQ370" s="204" t="e">
        <f>_xlfn.XLOOKUP(FMS_Ranking4[[#This Row],[FMS ID]],#REF!,#REF!)</f>
        <v>#REF!</v>
      </c>
      <c r="BR370" s="199" t="e">
        <f>SUM(#REF!,#REF!,#REF!,#REF!,#REF!,#REF!,#REF!,#REF!,#REF!,FMS_Ranking4[[#This Row],[ArcSinh Res struct removed 0-10]],#REF!)</f>
        <v>#REF!</v>
      </c>
      <c r="BS370" s="199" t="e">
        <f>FMS_Ranking4[[#This Row],[Log Score Based on Normalized Reported Factors]]+FMS_Ranking4[[#This Row],[% NBS Score (Normalized)]]+(FMS_Ranking4[[#This Row],[Water Supply Score (Normalized)]]*10*$BB$5)+(FMS_Ranking4[[#This Row],[FMS_Type Score Weighted]])</f>
        <v>#REF!</v>
      </c>
      <c r="BT370" s="200" t="e">
        <f>_xlfn.RANK.EQ(FMS_Ranking4[[#This Row],[Log Total Score]],FMS_Ranking4[Log Total Score],0)</f>
        <v>#REF!</v>
      </c>
      <c r="BU370" s="200" t="e">
        <f>_xlfn.XLOOKUP(FMS_Ranking4[[#This Row],[FMS ID]],#REF!,#REF!)</f>
        <v>#REF!</v>
      </c>
      <c r="BV370" s="200">
        <f>FMS_Ranking4[[#This Row],[Region Number]]</f>
        <v>4</v>
      </c>
      <c r="BW370" s="200">
        <f>FMS_Ranking4[[#This Row],[Rank (with ArcSinh normalization of select criteria)]]-FMS_Ranking4[[#This Row],[Rank
(with linear
normalization)]]</f>
        <v>155</v>
      </c>
      <c r="BX370" s="200" t="e">
        <f>FMS_Ranking4[[#This Row],[Log Rank]]-FMS_Ranking4[[#This Row],[Rank
(with linear
normalization)]]</f>
        <v>#REF!</v>
      </c>
      <c r="BY370" s="200">
        <f>IF(FMS_Ranking4[[#This Row],[FMS Type]]="Flood Measurement and Warning",FMS_Ranking4[[#This Row],[Rank (with ArcSinh normalization of select criteria)]],"")</f>
        <v>363</v>
      </c>
      <c r="BZ370" s="200" t="str">
        <f>IF(FMS_Ranking4[[#This Row],[FMS Type]]="Regulatory and Guidance",FMS_Ranking4[[#This Row],[Rank (with ArcSinh normalization of select criteria)]],"")</f>
        <v/>
      </c>
      <c r="CA370" s="200" t="str">
        <f>IF(FMS_Ranking4[[#This Row],[FMS Type]]="Education and Outreach",FMS_Ranking4[[#This Row],[Rank (with ArcSinh normalization of select criteria)]],"")</f>
        <v/>
      </c>
      <c r="CB370" s="200" t="str">
        <f>IF(FMS_Ranking4[[#This Row],[FMS Type]]="Property Acquisition and Structural Elevation",FMS_Ranking4[[#This Row],[Rank (with ArcSinh normalization of select criteria)]],"")</f>
        <v/>
      </c>
      <c r="CC370" s="200" t="str">
        <f>IF(FMS_Ranking4[[#This Row],[FMS Type]]="Infrastructure Projects",FMS_Ranking4[[#This Row],[Rank (with ArcSinh normalization of select criteria)]],"")</f>
        <v/>
      </c>
      <c r="CD370" s="200" t="str">
        <f>IF(FMS_Ranking4[[#This Row],[FMS Type]]="Other",FMS_Ranking4[[#This Row],[Rank (with ArcSinh normalization of select criteria)]],"")</f>
        <v/>
      </c>
      <c r="CE370" s="201"/>
      <c r="CF370" s="206"/>
      <c r="CG370" s="206"/>
      <c r="CH370" s="206"/>
      <c r="CI370" s="206"/>
      <c r="CJ370" s="206"/>
      <c r="CK370" s="206"/>
      <c r="CL370" s="206"/>
      <c r="CM370" s="206"/>
      <c r="CN370" s="206"/>
      <c r="CO370" s="206"/>
      <c r="CP370" s="206"/>
      <c r="CQ370" s="206"/>
      <c r="CR370" s="206"/>
    </row>
    <row r="371" spans="2:96" ht="60" x14ac:dyDescent="0.25">
      <c r="B371" s="341" t="s">
        <v>4556</v>
      </c>
      <c r="C371" s="246">
        <f>_xlfn.XLOOKUP(FMS_Ranking4[[#This Row],[FMS ID]],FMS_Input[FMS_ID],FMS_Input[RFPG_NUM])</f>
        <v>3</v>
      </c>
      <c r="D371" s="309" t="str">
        <f>_xlfn.XLOOKUP(FMS_Ranking4[[#This Row],[FMS ID]],FMS_Input[FMS_ID],FMS_Input[FMS_NAME])</f>
        <v>City of Fate Floodplain Acquisition and Preservation Program</v>
      </c>
      <c r="E371" s="308" t="str">
        <f>_xlfn.XLOOKUP(FMS_Ranking4[[#This Row],[FMS ID]],FMS_Input[FMS_ID],FMS_Input[SPONSOR])</f>
        <v>Fate</v>
      </c>
      <c r="F371" s="309" t="str">
        <f>_xlfn.XLOOKUP(FMS_Ranking4[[#This Row],[FMS ID]],Sponsor[FMS_ID],Sponsor[SPONSOR NAME])</f>
        <v>Fate</v>
      </c>
      <c r="G371" s="309" t="str">
        <f>_xlfn.XLOOKUP(FMS_Ranking4[[#This Row],[FMS ID]],FMS_Input[FMS_ID],FMS_Input[FMS_DESCR])</f>
        <v>Acquire, reuse, and preserve open spaces adjacent to floodplain areas to reduce the impacts of flooding</v>
      </c>
      <c r="H371" s="248" t="str">
        <f>_xlfn.XLOOKUP(FMS_Ranking4[[#This Row],[FMS ID]],FMS_Input[FMS_ID],FMS_Input[FMS_TYPE])</f>
        <v>Property Acquisition and Structural Elevation</v>
      </c>
      <c r="I371" s="249">
        <f>_xlfn.XLOOKUP(FMS_Ranking4[[#This Row],[FMS ID]],FMS_Input[FMS_ID],FMS_Input[NRNC_COST])</f>
        <v>500000</v>
      </c>
      <c r="J371" s="250">
        <f>_xlfn.XLOOKUP(FMS_Ranking4[[#This Row],[FMS ID]],FMS_Input[FMS_ID],FMS_Input[FMS_COST])</f>
        <v>5000000</v>
      </c>
      <c r="K371" s="251" t="str">
        <f>_xlfn.XLOOKUP(FMS_Ranking4[[#This Row],[FMS ID]],FMS_Input[FMS_ID],FMS_Input[EMER_NEED])</f>
        <v>No</v>
      </c>
      <c r="L371" s="252">
        <f t="shared" si="5"/>
        <v>0</v>
      </c>
      <c r="M371" s="253">
        <f>_xlfn.XLOOKUP(FMS_Ranking4[[#This Row],[FMS ID]],FMS_Input[FMS_ID],FMS_Input[STRUCT_100])</f>
        <v>13</v>
      </c>
      <c r="N371" s="255">
        <f>(ASINH(FMS_Ranking4[[#This Row],[Structure at Risk Raw]]))*(10)/(ASINH(M$4))</f>
        <v>2.5625093585555985</v>
      </c>
      <c r="O371" s="256">
        <f>FMS_Ranking4[[#This Row],[Structures at risk, ArcSinh (0-10)]]*M$5*10</f>
        <v>2.5625093585555985</v>
      </c>
      <c r="P371" s="253">
        <f>_xlfn.XLOOKUP(FMS_Ranking4[[#This Row],[FMS ID]],FMS_Input[FMS_ID],FMS_Input[RES_STRUCT100])</f>
        <v>11</v>
      </c>
      <c r="Q371" s="257">
        <f>ASINH(FMS_Ranking4[[#This Row],[Res Structure Raw]])/Q$4*P$5*100</f>
        <v>0</v>
      </c>
      <c r="R371" s="253">
        <f>_xlfn.XLOOKUP(FMS_Ranking4[[#This Row],[FMS ID]],FMS_Input[FMS_ID],FMS_Input[POP100])</f>
        <v>3956</v>
      </c>
      <c r="S371" s="259">
        <f>(ASINH(FMS_Ranking4[[#This Row],[Pop at Risk Raw]]))*(10)/(ASINH(R$4))</f>
        <v>6.1967491764298712</v>
      </c>
      <c r="T371" s="256">
        <f>FMS_Ranking4[[#This Row],[Population at risk, ArcSinh (0-10)]]*R$5*10</f>
        <v>6.1967491764298721</v>
      </c>
      <c r="U371" s="253">
        <f>_xlfn.XLOOKUP(FMS_Ranking4[[#This Row],[FMS ID]],FMS_Input[FMS_ID],FMS_Input[CRITFAC100])</f>
        <v>2</v>
      </c>
      <c r="V371" s="259">
        <f>(ASINH(FMS_Ranking4[[#This Row],[Critical Facilities Raw]]))*(10)/(ASINH(U$4))</f>
        <v>1.7089239049208753</v>
      </c>
      <c r="W371" s="256">
        <f>FMS_Ranking4[[#This Row],[Critical facilities at risk, ArcSinh (0-10)]]*U$5*10</f>
        <v>1.7089239049208755</v>
      </c>
      <c r="X371" s="253">
        <f>_xlfn.XLOOKUP(FMS_Ranking4[[#This Row],[FMS ID]],FMS_Input[FMS_ID],FMS_Input[LWC])</f>
        <v>2</v>
      </c>
      <c r="Y371" s="259">
        <f>(ASINH(FMS_Ranking4[[#This Row],[LWC Raw]]))*(10)/(ASINH(X$4))</f>
        <v>1.9557475158633808</v>
      </c>
      <c r="Z371" s="256">
        <f>FMS_Ranking4[[#This Row],[LWC, ArcSInh (0-10)]]*X$5*10</f>
        <v>1.9557475158633808</v>
      </c>
      <c r="AA371" s="253">
        <f>_xlfn.XLOOKUP(FMS_Ranking4[[#This Row],[FMS ID]],FMS_Input[FMS_ID],FMS_Input[ROADCLS])</f>
        <v>0</v>
      </c>
      <c r="AB371" s="255">
        <f>(ASINH(FMS_Ranking4[[#This Row],[Road Closures Raw]]))*(10)/(ASINH(AA$4))</f>
        <v>0</v>
      </c>
      <c r="AC371" s="256">
        <f>FMS_Ranking4[[#This Row],[Road closures, ArcSinh (0-10)]]*AA$5*10</f>
        <v>0</v>
      </c>
      <c r="AD371" s="253">
        <f>_xlfn.XLOOKUP(FMS_Ranking4[[#This Row],[FMS ID]],FMS_Input[FMS_ID],FMS_Input[ROAD_MILES100])</f>
        <v>2</v>
      </c>
      <c r="AE371" s="259">
        <f>(ASINH(FMS_Ranking4[[#This Row],[Road Miles Raw]]))*(10)/(ASINH(AD$4))</f>
        <v>1.5385182374234352</v>
      </c>
      <c r="AF371" s="256">
        <f>FMS_Ranking4[[#This Row],[Length of roads at risk, ArcSinh (0-10)]]*AD$5*10</f>
        <v>1.5385182374234352</v>
      </c>
      <c r="AG371" s="253">
        <f>_xlfn.XLOOKUP(FMS_Ranking4[[#This Row],[FMS ID]],FMS_Input[FMS_ID],FMS_Input[FARMACRE100])</f>
        <v>230.52290344238281</v>
      </c>
      <c r="AH371" s="255">
        <f>(ASINH(FMS_Ranking4[[#This Row],[Ag Land Raw]]))*(10)/(ASINH(AG$4))</f>
        <v>3.9842093105096481</v>
      </c>
      <c r="AI371" s="260">
        <f>FMS_Ranking4[[#This Row],[Farm &amp; ranch land, ArcSinh (0-10)]]*AG$5*10</f>
        <v>1.9921046552548241</v>
      </c>
      <c r="AJ371" s="258">
        <f>_xlfn.XLOOKUP(FMS_Ranking4[[#This Row],[FMS ID]],FMS_Input[FMS_ID],FMS_Input[REDSTRUCT100])</f>
        <v>0</v>
      </c>
      <c r="AK371" s="253">
        <f>_xlfn.XLOOKUP(FMS_Ranking4[[#This Row],[FMS ID]],FMS_Input[FMS_ID],FMS_Input[REMSTRC100])</f>
        <v>0</v>
      </c>
      <c r="AL371" s="259">
        <f>(ASINH(FMS_Ranking4[[#This Row],[Structures Removed Raw]]))*(10)/(ASINH(AK$4))</f>
        <v>0</v>
      </c>
      <c r="AM371" s="262">
        <f>FMS_Ranking4[[#This Row],[Structures removed, ArcSinh (0-10)]]*AK$5*10</f>
        <v>0</v>
      </c>
      <c r="AN371" s="253">
        <f>_xlfn.XLOOKUP(FMS_Ranking4[[#This Row],[FMS ID]],FMS_Input[FMS_ID],FMS_Input[REMRESSTRC100])</f>
        <v>0</v>
      </c>
      <c r="AO371" s="261">
        <f>FMS_Ranking4[[#This Row],[ArcSinh Res struct removed 0-10]]*AN$5*10</f>
        <v>0</v>
      </c>
      <c r="AP371" s="260">
        <f>ASINH(FMS_Ranking4[[#This Row],[Residential Structures Removed Raw]])/AP$4*AN$5*100</f>
        <v>0</v>
      </c>
      <c r="AQ371" s="254">
        <f>(ASINH(FMS_Ranking4[[#This Row],[Residential Structures Removed Raw]]))*(10)/(ASINH(AN$4))</f>
        <v>0</v>
      </c>
      <c r="AR371" s="253">
        <f>_xlfn.XLOOKUP(FMS_Ranking4[[#This Row],[FMS ID]],FMS_Input[FMS_ID],FMS_Input[REMPOP100])</f>
        <v>0</v>
      </c>
      <c r="AS371" s="259">
        <f>(ASINH(FMS_Ranking4[[#This Row],[Removed Pop Raw]]))*(10)/(ASINH(AR$4))</f>
        <v>0</v>
      </c>
      <c r="AT371" s="262">
        <f>FMS_Ranking4[[#This Row],[Removed population, ArcSinh (0-10)]]*AR$5*10</f>
        <v>0</v>
      </c>
      <c r="AU371" s="264">
        <f>_xlfn.XLOOKUP(FMS_Ranking4[[#This Row],[FMS ID]],FMS_Input[FMS_ID],FMS_Input[REMCRITFAC100])</f>
        <v>0</v>
      </c>
      <c r="AV371" s="264">
        <f>_xlfn.XLOOKUP(FMS_Ranking4[[#This Row],[FMS ID]],FMS_Input[FMS_ID],FMS_Input[REMLWC100])</f>
        <v>0</v>
      </c>
      <c r="AW371" s="264">
        <f>_xlfn.XLOOKUP(FMS_Ranking4[[#This Row],[FMS ID]],FMS_Input[FMS_ID],FMS_Input[REMROADCLS])</f>
        <v>0</v>
      </c>
      <c r="AX371" s="264">
        <f>_xlfn.XLOOKUP(FMS_Ranking4[[#This Row],[FMS ID]],FMS_Input[FMS_ID],FMS_Input[REMFRMACRE100])</f>
        <v>0</v>
      </c>
      <c r="AY371" s="258">
        <f>_xlfn.XLOOKUP(FMS_Ranking4[[#This Row],[FMS ID]],FMS_Input[FMS_ID],FMS_Input[COSTSTRUCT])</f>
        <v>0</v>
      </c>
      <c r="AZ371" s="253">
        <f>_xlfn.XLOOKUP(FMS_Ranking4[[#This Row],[FMS ID]],FMS_Input[FMS_ID],FMS_Input[NATURE])</f>
        <v>100</v>
      </c>
      <c r="BA371" s="262">
        <f>(((FMS_Ranking4[[#This Row],[% NBS Raw]]/AZ$4)*100)*AZ$5)</f>
        <v>7.5</v>
      </c>
      <c r="BB371" s="251" t="str">
        <f>_xlfn.XLOOKUP(FMS_Ranking4[[#This Row],[FMS ID]],FMS_Input[FMS_ID],FMS_Input[WATER_SUP])</f>
        <v>No</v>
      </c>
      <c r="BC371" s="265">
        <f>IF(FMS_Ranking4[[#This Row],[Water Supply Raw]]="Yes",10,0)</f>
        <v>0</v>
      </c>
      <c r="BD371" s="266">
        <f>_xlfn.XLOOKUP(FMS_Ranking4[[#This Row],[FMS Type]],FMS_TYPE[FMS_Type],FMS_TYPE[Score])</f>
        <v>4</v>
      </c>
      <c r="BE371" s="267">
        <f>FMS_Ranking4[[#This Row],[FMS_Type Score]]*$BD$5*10</f>
        <v>1</v>
      </c>
      <c r="BF37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7.8597954579316925E-2</v>
      </c>
      <c r="BG371" s="271">
        <f>_xlfn.RANK.EQ(BF371,$BF$8:$BF$870,0)+COUNTIF($BF$8:BF371,BF371)-1</f>
        <v>510</v>
      </c>
      <c r="BH371" s="268">
        <f>(((FMS_Ranking4[[#This Row],[Structures Removed Raw]]/AK$4)*100)*AK$5)+(((FMS_Ranking4[[#This Row],[Removed Pop Raw]]/AR$4)*100)*AR$5)</f>
        <v>0</v>
      </c>
      <c r="BI37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8.5785979545793172</v>
      </c>
      <c r="BJ371" s="205">
        <f>_xlfn.RANK.EQ(FMS_Ranking4[[#This Row],[Total Score 
(with linear
normalization)]],FMS_Ranking4[Total Score 
(with linear
normalization)],0)</f>
        <v>70</v>
      </c>
      <c r="BK371" s="205" t="e">
        <f>_xlfn.XLOOKUP(FMS_Ranking4[[#This Row],[FMS ID]],#REF!,#REF!)</f>
        <v>#REF!</v>
      </c>
      <c r="BL37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15.954552848447987</v>
      </c>
      <c r="BM371" s="272">
        <f>FMS_Ranking4[[#This Row],[ArcSinh Score Based on Normalized Reported Factors]]+FMS_Ranking4[[#This Row],[% NBS Score (Normalized)]]+(FMS_Ranking4[[#This Row],[Water Supply Score (Normalized)]]*10*$BB$5)+FMS_Ranking4[[#This Row],[FMS_Type Score Weighted]]</f>
        <v>24.454552848447989</v>
      </c>
      <c r="BN371" s="205">
        <f>_xlfn.RANK.EQ(FMS_Ranking4[[#This Row],[Total Score (with ArcSinh normalization of select criteria)]],FMS_Ranking4[Total Score (with ArcSinh normalization of select criteria)],0)</f>
        <v>364</v>
      </c>
      <c r="BO371" s="270" t="str">
        <f>_xlfn.XLOOKUP(FMS_Ranking4[[#This Row],[FMS ID]],FMS_Input[FMS_ID],FMS_Input[FMS_RANK_YEAR])</f>
        <v>2023 Amended Plan</v>
      </c>
      <c r="BP371" s="204">
        <f>_xlfn.XLOOKUP(FMS_Ranking4[[#This Row],[FMS ID]],Prev_Rank[FMS ID],Prev_Rank[Prev Rank])</f>
        <v>411</v>
      </c>
      <c r="BQ371" s="205" t="e">
        <f>_xlfn.XLOOKUP(FMS_Ranking4[[#This Row],[FMS ID]],#REF!,#REF!)</f>
        <v>#REF!</v>
      </c>
      <c r="BR371" s="199" t="e">
        <f>SUM(#REF!,#REF!,#REF!,#REF!,#REF!,#REF!,#REF!,#REF!,#REF!,FMS_Ranking4[[#This Row],[ArcSinh Res struct removed 0-10]],#REF!)</f>
        <v>#REF!</v>
      </c>
      <c r="BS371" s="199" t="e">
        <f>FMS_Ranking4[[#This Row],[Log Score Based on Normalized Reported Factors]]+FMS_Ranking4[[#This Row],[% NBS Score (Normalized)]]+(FMS_Ranking4[[#This Row],[Water Supply Score (Normalized)]]*10*$BB$5)+(FMS_Ranking4[[#This Row],[FMS_Type Score Weighted]])</f>
        <v>#REF!</v>
      </c>
      <c r="BT371" s="200" t="e">
        <f>_xlfn.RANK.EQ(FMS_Ranking4[[#This Row],[Log Total Score]],FMS_Ranking4[Log Total Score],0)</f>
        <v>#REF!</v>
      </c>
      <c r="BU371" s="200" t="e">
        <f>_xlfn.XLOOKUP(FMS_Ranking4[[#This Row],[FMS ID]],#REF!,#REF!)</f>
        <v>#REF!</v>
      </c>
      <c r="BV371" s="200">
        <f>FMS_Ranking4[[#This Row],[Region Number]]</f>
        <v>3</v>
      </c>
      <c r="BW371" s="200">
        <f>FMS_Ranking4[[#This Row],[Rank (with ArcSinh normalization of select criteria)]]-FMS_Ranking4[[#This Row],[Rank
(with linear
normalization)]]</f>
        <v>294</v>
      </c>
      <c r="BX371" s="200" t="e">
        <f>FMS_Ranking4[[#This Row],[Log Rank]]-FMS_Ranking4[[#This Row],[Rank
(with linear
normalization)]]</f>
        <v>#REF!</v>
      </c>
      <c r="BY371" s="200" t="str">
        <f>IF(FMS_Ranking4[[#This Row],[FMS Type]]="Flood Measurement and Warning",FMS_Ranking4[[#This Row],[Rank (with ArcSinh normalization of select criteria)]],"")</f>
        <v/>
      </c>
      <c r="BZ371" s="200" t="str">
        <f>IF(FMS_Ranking4[[#This Row],[FMS Type]]="Regulatory and Guidance",FMS_Ranking4[[#This Row],[Rank (with ArcSinh normalization of select criteria)]],"")</f>
        <v/>
      </c>
      <c r="CA371" s="200" t="str">
        <f>IF(FMS_Ranking4[[#This Row],[FMS Type]]="Education and Outreach",FMS_Ranking4[[#This Row],[Rank (with ArcSinh normalization of select criteria)]],"")</f>
        <v/>
      </c>
      <c r="CB371" s="200">
        <f>IF(FMS_Ranking4[[#This Row],[FMS Type]]="Property Acquisition and Structural Elevation",FMS_Ranking4[[#This Row],[Rank (with ArcSinh normalization of select criteria)]],"")</f>
        <v>364</v>
      </c>
      <c r="CC371" s="200" t="str">
        <f>IF(FMS_Ranking4[[#This Row],[FMS Type]]="Infrastructure Projects",FMS_Ranking4[[#This Row],[Rank (with ArcSinh normalization of select criteria)]],"")</f>
        <v/>
      </c>
      <c r="CD371" s="200" t="str">
        <f>IF(FMS_Ranking4[[#This Row],[FMS Type]]="Other",FMS_Ranking4[[#This Row],[Rank (with ArcSinh normalization of select criteria)]],"")</f>
        <v/>
      </c>
      <c r="CE371" s="201"/>
      <c r="CF371" s="206"/>
      <c r="CG371" s="206"/>
      <c r="CH371" s="206"/>
      <c r="CI371" s="206"/>
      <c r="CJ371" s="206"/>
      <c r="CK371" s="206"/>
      <c r="CL371" s="206"/>
      <c r="CM371" s="206"/>
      <c r="CN371" s="206"/>
      <c r="CO371" s="206"/>
      <c r="CP371" s="206"/>
      <c r="CQ371" s="206"/>
      <c r="CR371" s="206"/>
    </row>
    <row r="372" spans="2:96" ht="60" x14ac:dyDescent="0.25">
      <c r="B372" s="341" t="s">
        <v>2074</v>
      </c>
      <c r="C372" s="246">
        <f>_xlfn.XLOOKUP(FMS_Ranking4[[#This Row],[FMS ID]],FMS_Input[FMS_ID],FMS_Input[RFPG_NUM])</f>
        <v>3</v>
      </c>
      <c r="D372" s="309" t="str">
        <f>_xlfn.XLOOKUP(FMS_Ranking4[[#This Row],[FMS ID]],FMS_Input[FMS_ID],FMS_Input[FMS_NAME])</f>
        <v>Leon County Local Flood Warning System</v>
      </c>
      <c r="E372" s="308" t="str">
        <f>_xlfn.XLOOKUP(FMS_Ranking4[[#This Row],[FMS ID]],FMS_Input[FMS_ID],FMS_Input[SPONSOR])</f>
        <v>Leon County</v>
      </c>
      <c r="F372" s="309" t="str">
        <f>_xlfn.XLOOKUP(FMS_Ranking4[[#This Row],[FMS ID]],Sponsor[FMS_ID],Sponsor[SPONSOR NAME])</f>
        <v>Leon County</v>
      </c>
      <c r="G372" s="309" t="str">
        <f>_xlfn.XLOOKUP(FMS_Ranking4[[#This Row],[FMS ID]],FMS_Input[FMS_ID],FMS_Input[FMS_DESCR])</f>
        <v>This action proposes a local flood warning system to reduce the potential impacts of future flood events</v>
      </c>
      <c r="H372" s="248" t="str">
        <f>_xlfn.XLOOKUP(FMS_Ranking4[[#This Row],[FMS ID]],FMS_Input[FMS_ID],FMS_Input[FMS_TYPE])</f>
        <v>Flood Measurement and Warning</v>
      </c>
      <c r="I372" s="249">
        <f>_xlfn.XLOOKUP(FMS_Ranking4[[#This Row],[FMS ID]],FMS_Input[FMS_ID],FMS_Input[NRNC_COST])</f>
        <v>25000</v>
      </c>
      <c r="J372" s="250">
        <f>_xlfn.XLOOKUP(FMS_Ranking4[[#This Row],[FMS ID]],FMS_Input[FMS_ID],FMS_Input[FMS_COST])</f>
        <v>250000</v>
      </c>
      <c r="K372" s="251" t="str">
        <f>_xlfn.XLOOKUP(FMS_Ranking4[[#This Row],[FMS ID]],FMS_Input[FMS_ID],FMS_Input[EMER_NEED])</f>
        <v>No</v>
      </c>
      <c r="L372" s="252">
        <f t="shared" si="5"/>
        <v>0</v>
      </c>
      <c r="M372" s="253">
        <f>_xlfn.XLOOKUP(FMS_Ranking4[[#This Row],[FMS ID]],FMS_Input[FMS_ID],FMS_Input[STRUCT_100])</f>
        <v>77</v>
      </c>
      <c r="N372" s="255">
        <f>(ASINH(FMS_Ranking4[[#This Row],[Structure at Risk Raw]]))*(10)/(ASINH(M$4))</f>
        <v>3.9598278616210565</v>
      </c>
      <c r="O372" s="256">
        <f>FMS_Ranking4[[#This Row],[Structures at risk, ArcSinh (0-10)]]*M$5*10</f>
        <v>3.9598278616210569</v>
      </c>
      <c r="P372" s="253">
        <f>_xlfn.XLOOKUP(FMS_Ranking4[[#This Row],[FMS ID]],FMS_Input[FMS_ID],FMS_Input[RES_STRUCT100])</f>
        <v>69</v>
      </c>
      <c r="Q372" s="257">
        <f>ASINH(FMS_Ranking4[[#This Row],[Res Structure Raw]])/Q$4*P$5*100</f>
        <v>0</v>
      </c>
      <c r="R372" s="253">
        <f>_xlfn.XLOOKUP(FMS_Ranking4[[#This Row],[FMS ID]],FMS_Input[FMS_ID],FMS_Input[POP100])</f>
        <v>50</v>
      </c>
      <c r="S372" s="259">
        <f>(ASINH(FMS_Ranking4[[#This Row],[Pop at Risk Raw]]))*(10)/(ASINH(R$4))</f>
        <v>3.1792861083374944</v>
      </c>
      <c r="T372" s="256">
        <f>FMS_Ranking4[[#This Row],[Population at risk, ArcSinh (0-10)]]*R$5*10</f>
        <v>3.1792861083374948</v>
      </c>
      <c r="U372" s="253">
        <f>_xlfn.XLOOKUP(FMS_Ranking4[[#This Row],[FMS ID]],FMS_Input[FMS_ID],FMS_Input[CRITFAC100])</f>
        <v>6</v>
      </c>
      <c r="V372" s="259">
        <f>(ASINH(FMS_Ranking4[[#This Row],[Critical Facilities Raw]]))*(10)/(ASINH(U$4))</f>
        <v>2.9496796311809068</v>
      </c>
      <c r="W372" s="256">
        <f>FMS_Ranking4[[#This Row],[Critical facilities at risk, ArcSinh (0-10)]]*U$5*10</f>
        <v>2.9496796311809073</v>
      </c>
      <c r="X372" s="253">
        <f>_xlfn.XLOOKUP(FMS_Ranking4[[#This Row],[FMS ID]],FMS_Input[FMS_ID],FMS_Input[LWC])</f>
        <v>5</v>
      </c>
      <c r="Y372" s="259">
        <f>(ASINH(FMS_Ranking4[[#This Row],[LWC Raw]]))*(10)/(ASINH(X$4))</f>
        <v>3.1327475801820781</v>
      </c>
      <c r="Z372" s="256">
        <f>FMS_Ranking4[[#This Row],[LWC, ArcSInh (0-10)]]*X$5*10</f>
        <v>3.1327475801820781</v>
      </c>
      <c r="AA372" s="253">
        <f>_xlfn.XLOOKUP(FMS_Ranking4[[#This Row],[FMS ID]],FMS_Input[FMS_ID],FMS_Input[ROADCLS])</f>
        <v>0</v>
      </c>
      <c r="AB372" s="255">
        <f>(ASINH(FMS_Ranking4[[#This Row],[Road Closures Raw]]))*(10)/(ASINH(AA$4))</f>
        <v>0</v>
      </c>
      <c r="AC372" s="256">
        <f>FMS_Ranking4[[#This Row],[Road closures, ArcSinh (0-10)]]*AA$5*10</f>
        <v>0</v>
      </c>
      <c r="AD372" s="253">
        <f>_xlfn.XLOOKUP(FMS_Ranking4[[#This Row],[FMS ID]],FMS_Input[FMS_ID],FMS_Input[ROAD_MILES100])</f>
        <v>100</v>
      </c>
      <c r="AE372" s="259">
        <f>(ASINH(FMS_Ranking4[[#This Row],[Road Miles Raw]]))*(10)/(ASINH(AD$4))</f>
        <v>5.6465752593087606</v>
      </c>
      <c r="AF372" s="256">
        <f>FMS_Ranking4[[#This Row],[Length of roads at risk, ArcSinh (0-10)]]*AD$5*10</f>
        <v>5.6465752593087606</v>
      </c>
      <c r="AG372" s="253">
        <f>_xlfn.XLOOKUP(FMS_Ranking4[[#This Row],[FMS ID]],FMS_Input[FMS_ID],FMS_Input[FARMACRE100])</f>
        <v>5218.7099609375</v>
      </c>
      <c r="AH372" s="255">
        <f>(ASINH(FMS_Ranking4[[#This Row],[Ag Land Raw]]))*(10)/(ASINH(AG$4))</f>
        <v>6.0106765306632921</v>
      </c>
      <c r="AI372" s="260">
        <f>FMS_Ranking4[[#This Row],[Farm &amp; ranch land, ArcSinh (0-10)]]*AG$5*10</f>
        <v>3.0053382653316465</v>
      </c>
      <c r="AJ372" s="258">
        <f>_xlfn.XLOOKUP(FMS_Ranking4[[#This Row],[FMS ID]],FMS_Input[FMS_ID],FMS_Input[REDSTRUCT100])</f>
        <v>0</v>
      </c>
      <c r="AK372" s="253">
        <f>_xlfn.XLOOKUP(FMS_Ranking4[[#This Row],[FMS ID]],FMS_Input[FMS_ID],FMS_Input[REMSTRC100])</f>
        <v>0</v>
      </c>
      <c r="AL372" s="259">
        <f>(ASINH(FMS_Ranking4[[#This Row],[Structures Removed Raw]]))*(10)/(ASINH(AK$4))</f>
        <v>0</v>
      </c>
      <c r="AM372" s="262">
        <f>FMS_Ranking4[[#This Row],[Structures removed, ArcSinh (0-10)]]*AK$5*10</f>
        <v>0</v>
      </c>
      <c r="AN372" s="253">
        <f>_xlfn.XLOOKUP(FMS_Ranking4[[#This Row],[FMS ID]],FMS_Input[FMS_ID],FMS_Input[REMRESSTRC100])</f>
        <v>0</v>
      </c>
      <c r="AO372" s="261">
        <f>FMS_Ranking4[[#This Row],[ArcSinh Res struct removed 0-10]]*AN$5*10</f>
        <v>0</v>
      </c>
      <c r="AP372" s="260">
        <f>ASINH(FMS_Ranking4[[#This Row],[Residential Structures Removed Raw]])/AP$4*AN$5*100</f>
        <v>0</v>
      </c>
      <c r="AQ372" s="254">
        <f>(ASINH(FMS_Ranking4[[#This Row],[Residential Structures Removed Raw]]))*(10)/(ASINH(AN$4))</f>
        <v>0</v>
      </c>
      <c r="AR372" s="253">
        <f>_xlfn.XLOOKUP(FMS_Ranking4[[#This Row],[FMS ID]],FMS_Input[FMS_ID],FMS_Input[REMPOP100])</f>
        <v>0</v>
      </c>
      <c r="AS372" s="259">
        <f>(ASINH(FMS_Ranking4[[#This Row],[Removed Pop Raw]]))*(10)/(ASINH(AR$4))</f>
        <v>0</v>
      </c>
      <c r="AT372" s="262">
        <f>FMS_Ranking4[[#This Row],[Removed population, ArcSinh (0-10)]]*AR$5*10</f>
        <v>0</v>
      </c>
      <c r="AU372" s="264">
        <f>_xlfn.XLOOKUP(FMS_Ranking4[[#This Row],[FMS ID]],FMS_Input[FMS_ID],FMS_Input[REMCRITFAC100])</f>
        <v>0</v>
      </c>
      <c r="AV372" s="264">
        <f>_xlfn.XLOOKUP(FMS_Ranking4[[#This Row],[FMS ID]],FMS_Input[FMS_ID],FMS_Input[REMLWC100])</f>
        <v>0</v>
      </c>
      <c r="AW372" s="264">
        <f>_xlfn.XLOOKUP(FMS_Ranking4[[#This Row],[FMS ID]],FMS_Input[FMS_ID],FMS_Input[REMROADCLS])</f>
        <v>0</v>
      </c>
      <c r="AX372" s="264">
        <f>_xlfn.XLOOKUP(FMS_Ranking4[[#This Row],[FMS ID]],FMS_Input[FMS_ID],FMS_Input[REMFRMACRE100])</f>
        <v>0</v>
      </c>
      <c r="AY372" s="258">
        <f>_xlfn.XLOOKUP(FMS_Ranking4[[#This Row],[FMS ID]],FMS_Input[FMS_ID],FMS_Input[COSTSTRUCT])</f>
        <v>0</v>
      </c>
      <c r="AZ372" s="253">
        <f>_xlfn.XLOOKUP(FMS_Ranking4[[#This Row],[FMS ID]],FMS_Input[FMS_ID],FMS_Input[NATURE])</f>
        <v>0</v>
      </c>
      <c r="BA372" s="262">
        <f>(((FMS_Ranking4[[#This Row],[% NBS Raw]]/AZ$4)*100)*AZ$5)</f>
        <v>0</v>
      </c>
      <c r="BB372" s="251" t="str">
        <f>_xlfn.XLOOKUP(FMS_Ranking4[[#This Row],[FMS ID]],FMS_Input[FMS_ID],FMS_Input[WATER_SUP])</f>
        <v>No</v>
      </c>
      <c r="BC372" s="265">
        <f>IF(FMS_Ranking4[[#This Row],[Water Supply Raw]]="Yes",10,0)</f>
        <v>0</v>
      </c>
      <c r="BD372" s="266">
        <f>_xlfn.XLOOKUP(FMS_Ranking4[[#This Row],[FMS Type]],FMS_TYPE[FMS_Type],FMS_TYPE[Score])</f>
        <v>10</v>
      </c>
      <c r="BE372" s="267">
        <f>FMS_Ranking4[[#This Row],[FMS_Type Score]]*$BD$5*10</f>
        <v>2.5</v>
      </c>
      <c r="BF37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0.27210863056982332</v>
      </c>
      <c r="BG372" s="271">
        <f>_xlfn.RANK.EQ(BF372,$BF$8:$BF$870,0)+COUNTIF($BF$8:BF372,BF372)-1</f>
        <v>320</v>
      </c>
      <c r="BH372" s="268">
        <f>(((FMS_Ranking4[[#This Row],[Structures Removed Raw]]/AK$4)*100)*AK$5)+(((FMS_Ranking4[[#This Row],[Removed Pop Raw]]/AR$4)*100)*AR$5)</f>
        <v>0</v>
      </c>
      <c r="BI37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2.7721086305698233</v>
      </c>
      <c r="BJ372" s="205">
        <f>_xlfn.RANK.EQ(FMS_Ranking4[[#This Row],[Total Score 
(with linear
normalization)]],FMS_Ranking4[Total Score 
(with linear
normalization)],0)</f>
        <v>198</v>
      </c>
      <c r="BK372" s="205" t="e">
        <f>_xlfn.XLOOKUP(FMS_Ranking4[[#This Row],[FMS ID]],#REF!,#REF!)</f>
        <v>#REF!</v>
      </c>
      <c r="BL37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21.873454705961947</v>
      </c>
      <c r="BM372" s="272">
        <f>FMS_Ranking4[[#This Row],[ArcSinh Score Based on Normalized Reported Factors]]+FMS_Ranking4[[#This Row],[% NBS Score (Normalized)]]+(FMS_Ranking4[[#This Row],[Water Supply Score (Normalized)]]*10*$BB$5)+FMS_Ranking4[[#This Row],[FMS_Type Score Weighted]]</f>
        <v>24.373454705961947</v>
      </c>
      <c r="BN372" s="205">
        <f>_xlfn.RANK.EQ(FMS_Ranking4[[#This Row],[Total Score (with ArcSinh normalization of select criteria)]],FMS_Ranking4[Total Score (with ArcSinh normalization of select criteria)],0)</f>
        <v>365</v>
      </c>
      <c r="BO372" s="270" t="str">
        <f>_xlfn.XLOOKUP(FMS_Ranking4[[#This Row],[FMS ID]],FMS_Input[FMS_ID],FMS_Input[FMS_RANK_YEAR])</f>
        <v>2023 Amended Plan</v>
      </c>
      <c r="BP372" s="204">
        <f>_xlfn.XLOOKUP(FMS_Ranking4[[#This Row],[FMS ID]],Prev_Rank[FMS ID],Prev_Rank[Prev Rank])</f>
        <v>324</v>
      </c>
      <c r="BQ372" s="205" t="e">
        <f>_xlfn.XLOOKUP(FMS_Ranking4[[#This Row],[FMS ID]],#REF!,#REF!)</f>
        <v>#REF!</v>
      </c>
      <c r="BR372" s="199" t="e">
        <f>SUM(#REF!,#REF!,#REF!,#REF!,#REF!,#REF!,#REF!,#REF!,#REF!,FMS_Ranking4[[#This Row],[ArcSinh Res struct removed 0-10]],#REF!)</f>
        <v>#REF!</v>
      </c>
      <c r="BS372" s="199" t="e">
        <f>FMS_Ranking4[[#This Row],[Log Score Based on Normalized Reported Factors]]+FMS_Ranking4[[#This Row],[% NBS Score (Normalized)]]+(FMS_Ranking4[[#This Row],[Water Supply Score (Normalized)]]*10*$BB$5)+(FMS_Ranking4[[#This Row],[FMS_Type Score Weighted]])</f>
        <v>#REF!</v>
      </c>
      <c r="BT372" s="200" t="e">
        <f>_xlfn.RANK.EQ(FMS_Ranking4[[#This Row],[Log Total Score]],FMS_Ranking4[Log Total Score],0)</f>
        <v>#REF!</v>
      </c>
      <c r="BU372" s="200" t="e">
        <f>_xlfn.XLOOKUP(FMS_Ranking4[[#This Row],[FMS ID]],#REF!,#REF!)</f>
        <v>#REF!</v>
      </c>
      <c r="BV372" s="200">
        <f>FMS_Ranking4[[#This Row],[Region Number]]</f>
        <v>3</v>
      </c>
      <c r="BW372" s="200">
        <f>FMS_Ranking4[[#This Row],[Rank (with ArcSinh normalization of select criteria)]]-FMS_Ranking4[[#This Row],[Rank
(with linear
normalization)]]</f>
        <v>167</v>
      </c>
      <c r="BX372" s="200" t="e">
        <f>FMS_Ranking4[[#This Row],[Log Rank]]-FMS_Ranking4[[#This Row],[Rank
(with linear
normalization)]]</f>
        <v>#REF!</v>
      </c>
      <c r="BY372" s="200">
        <f>IF(FMS_Ranking4[[#This Row],[FMS Type]]="Flood Measurement and Warning",FMS_Ranking4[[#This Row],[Rank (with ArcSinh normalization of select criteria)]],"")</f>
        <v>365</v>
      </c>
      <c r="BZ372" s="200" t="str">
        <f>IF(FMS_Ranking4[[#This Row],[FMS Type]]="Regulatory and Guidance",FMS_Ranking4[[#This Row],[Rank (with ArcSinh normalization of select criteria)]],"")</f>
        <v/>
      </c>
      <c r="CA372" s="200" t="str">
        <f>IF(FMS_Ranking4[[#This Row],[FMS Type]]="Education and Outreach",FMS_Ranking4[[#This Row],[Rank (with ArcSinh normalization of select criteria)]],"")</f>
        <v/>
      </c>
      <c r="CB372" s="200" t="str">
        <f>IF(FMS_Ranking4[[#This Row],[FMS Type]]="Property Acquisition and Structural Elevation",FMS_Ranking4[[#This Row],[Rank (with ArcSinh normalization of select criteria)]],"")</f>
        <v/>
      </c>
      <c r="CC372" s="200" t="str">
        <f>IF(FMS_Ranking4[[#This Row],[FMS Type]]="Infrastructure Projects",FMS_Ranking4[[#This Row],[Rank (with ArcSinh normalization of select criteria)]],"")</f>
        <v/>
      </c>
      <c r="CD372" s="200" t="str">
        <f>IF(FMS_Ranking4[[#This Row],[FMS Type]]="Other",FMS_Ranking4[[#This Row],[Rank (with ArcSinh normalization of select criteria)]],"")</f>
        <v/>
      </c>
      <c r="CE372" s="201"/>
      <c r="CF372" s="206"/>
      <c r="CG372" s="206"/>
      <c r="CH372" s="206"/>
      <c r="CI372" s="206"/>
      <c r="CJ372" s="206"/>
      <c r="CK372" s="206"/>
      <c r="CL372" s="206"/>
      <c r="CM372" s="206"/>
      <c r="CN372" s="206"/>
      <c r="CO372" s="206"/>
      <c r="CP372" s="206"/>
      <c r="CQ372" s="206"/>
      <c r="CR372" s="206"/>
    </row>
    <row r="373" spans="2:96" ht="75" x14ac:dyDescent="0.25">
      <c r="B373" s="341" t="s">
        <v>4830</v>
      </c>
      <c r="C373" s="246">
        <f>_xlfn.XLOOKUP(FMS_Ranking4[[#This Row],[FMS ID]],FMS_Input[FMS_ID],FMS_Input[RFPG_NUM])</f>
        <v>4</v>
      </c>
      <c r="D373" s="309" t="str">
        <f>_xlfn.XLOOKUP(FMS_Ranking4[[#This Row],[FMS ID]],FMS_Input[FMS_ID],FMS_Input[FMS_NAME])</f>
        <v>City of Longview Property Acquisition Program</v>
      </c>
      <c r="E373" s="308" t="str">
        <f>_xlfn.XLOOKUP(FMS_Ranking4[[#This Row],[FMS ID]],FMS_Input[FMS_ID],FMS_Input[SPONSOR])</f>
        <v>00003055</v>
      </c>
      <c r="F373" s="309" t="str">
        <f>_xlfn.XLOOKUP(FMS_Ranking4[[#This Row],[FMS ID]],Sponsor[FMS_ID],Sponsor[SPONSOR NAME])</f>
        <v>Longview</v>
      </c>
      <c r="G373" s="309" t="str">
        <f>_xlfn.XLOOKUP(FMS_Ranking4[[#This Row],[FMS ID]],FMS_Input[FMS_ID],FMS_Input[FMS_DESCR])</f>
        <v xml:space="preserve">Implementation of program to purchase properties and severe loss-repetitive loss homes in floodplain areas to reserve them from development. </v>
      </c>
      <c r="H373" s="248" t="str">
        <f>_xlfn.XLOOKUP(FMS_Ranking4[[#This Row],[FMS ID]],FMS_Input[FMS_ID],FMS_Input[FMS_TYPE])</f>
        <v>Property Acquisition and Structural Elevation</v>
      </c>
      <c r="I373" s="249">
        <f>_xlfn.XLOOKUP(FMS_Ranking4[[#This Row],[FMS ID]],FMS_Input[FMS_ID],FMS_Input[NRNC_COST])</f>
        <v>100000</v>
      </c>
      <c r="J373" s="250">
        <f>_xlfn.XLOOKUP(FMS_Ranking4[[#This Row],[FMS ID]],FMS_Input[FMS_ID],FMS_Input[FMS_COST])</f>
        <v>100000</v>
      </c>
      <c r="K373" s="251" t="str">
        <f>_xlfn.XLOOKUP(FMS_Ranking4[[#This Row],[FMS ID]],FMS_Input[FMS_ID],FMS_Input[EMER_NEED])</f>
        <v>No</v>
      </c>
      <c r="L373" s="252">
        <f t="shared" si="5"/>
        <v>0</v>
      </c>
      <c r="M373" s="253">
        <f>_xlfn.XLOOKUP(FMS_Ranking4[[#This Row],[FMS ID]],FMS_Input[FMS_ID],FMS_Input[STRUCT_100])</f>
        <v>1379</v>
      </c>
      <c r="N373" s="255">
        <f>(ASINH(FMS_Ranking4[[#This Row],[Structure at Risk Raw]]))*(10)/(ASINH(M$4))</f>
        <v>6.2280768687986656</v>
      </c>
      <c r="O373" s="256">
        <f>FMS_Ranking4[[#This Row],[Structures at risk, ArcSinh (0-10)]]*M$5*10</f>
        <v>6.2280768687986665</v>
      </c>
      <c r="P373" s="253">
        <f>_xlfn.XLOOKUP(FMS_Ranking4[[#This Row],[FMS ID]],FMS_Input[FMS_ID],FMS_Input[RES_STRUCT100])</f>
        <v>1024</v>
      </c>
      <c r="Q373" s="257">
        <f>ASINH(FMS_Ranking4[[#This Row],[Res Structure Raw]])/Q$4*P$5*100</f>
        <v>0</v>
      </c>
      <c r="R373" s="253">
        <f>_xlfn.XLOOKUP(FMS_Ranking4[[#This Row],[FMS ID]],FMS_Input[FMS_ID],FMS_Input[POP100])</f>
        <v>10126</v>
      </c>
      <c r="S373" s="255">
        <f>(ASINH(FMS_Ranking4[[#This Row],[Pop at Risk Raw]]))*(10)/(ASINH(R$4))</f>
        <v>6.8455981886854298</v>
      </c>
      <c r="T373" s="256">
        <f>FMS_Ranking4[[#This Row],[Population at risk, ArcSinh (0-10)]]*R$5*10</f>
        <v>6.8455981886854298</v>
      </c>
      <c r="U373" s="253">
        <f>_xlfn.XLOOKUP(FMS_Ranking4[[#This Row],[FMS ID]],FMS_Input[FMS_ID],FMS_Input[CRITFAC100])</f>
        <v>9</v>
      </c>
      <c r="V373" s="255">
        <f>(ASINH(FMS_Ranking4[[#This Row],[Critical Facilities Raw]]))*(10)/(ASINH(U$4))</f>
        <v>3.4251552279272253</v>
      </c>
      <c r="W373" s="256">
        <f>FMS_Ranking4[[#This Row],[Critical facilities at risk, ArcSinh (0-10)]]*U$5*10</f>
        <v>3.4251552279272257</v>
      </c>
      <c r="X373" s="253">
        <f>_xlfn.XLOOKUP(FMS_Ranking4[[#This Row],[FMS ID]],FMS_Input[FMS_ID],FMS_Input[LWC])</f>
        <v>0</v>
      </c>
      <c r="Y373" s="255">
        <f>(ASINH(FMS_Ranking4[[#This Row],[LWC Raw]]))*(10)/(ASINH(X$4))</f>
        <v>0</v>
      </c>
      <c r="Z373" s="256">
        <f>FMS_Ranking4[[#This Row],[LWC, ArcSInh (0-10)]]*X$5*10</f>
        <v>0</v>
      </c>
      <c r="AA373" s="253">
        <f>_xlfn.XLOOKUP(FMS_Ranking4[[#This Row],[FMS ID]],FMS_Input[FMS_ID],FMS_Input[ROADCLS])</f>
        <v>0</v>
      </c>
      <c r="AB373" s="255">
        <f>(ASINH(FMS_Ranking4[[#This Row],[Road Closures Raw]]))*(10)/(ASINH(AA$4))</f>
        <v>0</v>
      </c>
      <c r="AC373" s="256">
        <f>FMS_Ranking4[[#This Row],[Road closures, ArcSinh (0-10)]]*AA$5*10</f>
        <v>0</v>
      </c>
      <c r="AD373" s="253">
        <f>_xlfn.XLOOKUP(FMS_Ranking4[[#This Row],[FMS ID]],FMS_Input[FMS_ID],FMS_Input[ROAD_MILES100])</f>
        <v>41</v>
      </c>
      <c r="AE373" s="255">
        <f>(ASINH(FMS_Ranking4[[#This Row],[Road Miles Raw]]))*(10)/(ASINH(AD$4))</f>
        <v>4.6965087826098246</v>
      </c>
      <c r="AF373" s="256">
        <f>FMS_Ranking4[[#This Row],[Length of roads at risk, ArcSinh (0-10)]]*AD$5*10</f>
        <v>4.6965087826098255</v>
      </c>
      <c r="AG373" s="253">
        <f>_xlfn.XLOOKUP(FMS_Ranking4[[#This Row],[FMS ID]],FMS_Input[FMS_ID],FMS_Input[FARMACRE100])</f>
        <v>294.66531372070313</v>
      </c>
      <c r="AH373" s="255">
        <f>(ASINH(FMS_Ranking4[[#This Row],[Ag Land Raw]]))*(10)/(ASINH(AG$4))</f>
        <v>4.1436738543604141</v>
      </c>
      <c r="AI373" s="260">
        <f>FMS_Ranking4[[#This Row],[Farm &amp; ranch land, ArcSinh (0-10)]]*AG$5*10</f>
        <v>2.0718369271802075</v>
      </c>
      <c r="AJ373" s="258">
        <f>_xlfn.XLOOKUP(FMS_Ranking4[[#This Row],[FMS ID]],FMS_Input[FMS_ID],FMS_Input[REDSTRUCT100])</f>
        <v>0</v>
      </c>
      <c r="AK373" s="253">
        <f>_xlfn.XLOOKUP(FMS_Ranking4[[#This Row],[FMS ID]],FMS_Input[FMS_ID],FMS_Input[REMSTRC100])</f>
        <v>0</v>
      </c>
      <c r="AL373" s="255">
        <f>(ASINH(FMS_Ranking4[[#This Row],[Structures Removed Raw]]))*(10)/(ASINH(AK$4))</f>
        <v>0</v>
      </c>
      <c r="AM373" s="262">
        <f>FMS_Ranking4[[#This Row],[Structures removed, ArcSinh (0-10)]]*AK$5*10</f>
        <v>0</v>
      </c>
      <c r="AN373" s="253">
        <f>_xlfn.XLOOKUP(FMS_Ranking4[[#This Row],[FMS ID]],FMS_Input[FMS_ID],FMS_Input[REMRESSTRC100])</f>
        <v>0</v>
      </c>
      <c r="AO373" s="261">
        <f>FMS_Ranking4[[#This Row],[ArcSinh Res struct removed 0-10]]*AN$5*10</f>
        <v>0</v>
      </c>
      <c r="AP373" s="260">
        <f>ASINH(FMS_Ranking4[[#This Row],[Residential Structures Removed Raw]])/AP$4*AN$5*100</f>
        <v>0</v>
      </c>
      <c r="AQ373" s="258">
        <f>(ASINH(FMS_Ranking4[[#This Row],[Residential Structures Removed Raw]]))*(10)/(ASINH(AN$4))</f>
        <v>0</v>
      </c>
      <c r="AR373" s="253">
        <f>_xlfn.XLOOKUP(FMS_Ranking4[[#This Row],[FMS ID]],FMS_Input[FMS_ID],FMS_Input[REMPOP100])</f>
        <v>0</v>
      </c>
      <c r="AS373" s="255">
        <f>(ASINH(FMS_Ranking4[[#This Row],[Removed Pop Raw]]))*(10)/(ASINH(AR$4))</f>
        <v>0</v>
      </c>
      <c r="AT373" s="262">
        <f>FMS_Ranking4[[#This Row],[Removed population, ArcSinh (0-10)]]*AR$5*10</f>
        <v>0</v>
      </c>
      <c r="AU373" s="264">
        <f>_xlfn.XLOOKUP(FMS_Ranking4[[#This Row],[FMS ID]],FMS_Input[FMS_ID],FMS_Input[REMCRITFAC100])</f>
        <v>0</v>
      </c>
      <c r="AV373" s="264">
        <f>_xlfn.XLOOKUP(FMS_Ranking4[[#This Row],[FMS ID]],FMS_Input[FMS_ID],FMS_Input[REMLWC100])</f>
        <v>0</v>
      </c>
      <c r="AW373" s="264">
        <f>_xlfn.XLOOKUP(FMS_Ranking4[[#This Row],[FMS ID]],FMS_Input[FMS_ID],FMS_Input[REMROADCLS])</f>
        <v>0</v>
      </c>
      <c r="AX373" s="264">
        <f>_xlfn.XLOOKUP(FMS_Ranking4[[#This Row],[FMS ID]],FMS_Input[FMS_ID],FMS_Input[REMFRMACRE100])</f>
        <v>0</v>
      </c>
      <c r="AY373" s="258">
        <f>_xlfn.XLOOKUP(FMS_Ranking4[[#This Row],[FMS ID]],FMS_Input[FMS_ID],FMS_Input[COSTSTRUCT])</f>
        <v>0</v>
      </c>
      <c r="AZ373" s="253">
        <f>_xlfn.XLOOKUP(FMS_Ranking4[[#This Row],[FMS ID]],FMS_Input[FMS_ID],FMS_Input[NATURE])</f>
        <v>0</v>
      </c>
      <c r="BA373" s="262">
        <f>(((FMS_Ranking4[[#This Row],[% NBS Raw]]/AZ$4)*100)*AZ$5)</f>
        <v>0</v>
      </c>
      <c r="BB373" s="251" t="str">
        <f>_xlfn.XLOOKUP(FMS_Ranking4[[#This Row],[FMS ID]],FMS_Input[FMS_ID],FMS_Input[WATER_SUP])</f>
        <v>No</v>
      </c>
      <c r="BC373" s="265">
        <f>IF(FMS_Ranking4[[#This Row],[Water Supply Raw]]="Yes",10,0)</f>
        <v>0</v>
      </c>
      <c r="BD373" s="266">
        <f>_xlfn.XLOOKUP(FMS_Ranking4[[#This Row],[FMS Type]],FMS_TYPE[FMS_Type],FMS_TYPE[Score])</f>
        <v>4</v>
      </c>
      <c r="BE373" s="267">
        <f>FMS_Ranking4[[#This Row],[FMS_Type Score]]*$BD$5*10</f>
        <v>1</v>
      </c>
      <c r="BF37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0.2943023100913123</v>
      </c>
      <c r="BG373" s="321">
        <f>_xlfn.RANK.EQ(BF373,$BF$8:$BF$870,0)+COUNTIF($BF$8:BF373,BF373)-1</f>
        <v>305</v>
      </c>
      <c r="BH373" s="294">
        <f>(((FMS_Ranking4[[#This Row],[Structures Removed Raw]]/AK$4)*100)*AK$5)+(((FMS_Ranking4[[#This Row],[Removed Pop Raw]]/AR$4)*100)*AR$5)</f>
        <v>0</v>
      </c>
      <c r="BI37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1.2943023100913122</v>
      </c>
      <c r="BJ373" s="251">
        <f>_xlfn.RANK.EQ(FMS_Ranking4[[#This Row],[Total Score 
(with linear
normalization)]],FMS_Ranking4[Total Score 
(with linear
normalization)],0)</f>
        <v>633</v>
      </c>
      <c r="BK373" s="251" t="e">
        <f>_xlfn.XLOOKUP(FMS_Ranking4[[#This Row],[FMS ID]],#REF!,#REF!)</f>
        <v>#REF!</v>
      </c>
      <c r="BL37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23.267175995201356</v>
      </c>
      <c r="BM373" s="324">
        <f>FMS_Ranking4[[#This Row],[ArcSinh Score Based on Normalized Reported Factors]]+FMS_Ranking4[[#This Row],[% NBS Score (Normalized)]]+(FMS_Ranking4[[#This Row],[Water Supply Score (Normalized)]]*10*$BB$5)+FMS_Ranking4[[#This Row],[FMS_Type Score Weighted]]</f>
        <v>24.267175995201356</v>
      </c>
      <c r="BN373" s="251">
        <f>_xlfn.RANK.EQ(FMS_Ranking4[[#This Row],[Total Score (with ArcSinh normalization of select criteria)]],FMS_Ranking4[Total Score (with ArcSinh normalization of select criteria)],0)</f>
        <v>366</v>
      </c>
      <c r="BO373" s="270" t="str">
        <f>_xlfn.XLOOKUP(FMS_Ranking4[[#This Row],[FMS ID]],FMS_Input[FMS_ID],FMS_Input[FMS_RANK_YEAR])</f>
        <v>2023 Amended Plan</v>
      </c>
      <c r="BP373" s="204">
        <f>_xlfn.XLOOKUP(FMS_Ranking4[[#This Row],[FMS ID]],Prev_Rank[FMS ID],Prev_Rank[Prev Rank])</f>
        <v>157</v>
      </c>
      <c r="BQ373" s="251" t="e">
        <f>_xlfn.XLOOKUP(FMS_Ranking4[[#This Row],[FMS ID]],#REF!,#REF!)</f>
        <v>#REF!</v>
      </c>
      <c r="BR373" s="199" t="e">
        <f>SUM(#REF!,#REF!,#REF!,#REF!,#REF!,#REF!,#REF!,#REF!,#REF!,FMS_Ranking4[[#This Row],[ArcSinh Res struct removed 0-10]],#REF!)</f>
        <v>#REF!</v>
      </c>
      <c r="BS373" s="199" t="e">
        <f>FMS_Ranking4[[#This Row],[Log Score Based on Normalized Reported Factors]]+FMS_Ranking4[[#This Row],[% NBS Score (Normalized)]]+(FMS_Ranking4[[#This Row],[Water Supply Score (Normalized)]]*10*$BB$5)+(FMS_Ranking4[[#This Row],[FMS_Type Score Weighted]])</f>
        <v>#REF!</v>
      </c>
      <c r="BT373" s="200" t="e">
        <f>_xlfn.RANK.EQ(FMS_Ranking4[[#This Row],[Log Total Score]],FMS_Ranking4[Log Total Score],0)</f>
        <v>#REF!</v>
      </c>
      <c r="BU373" s="200" t="e">
        <f>_xlfn.XLOOKUP(FMS_Ranking4[[#This Row],[FMS ID]],#REF!,#REF!)</f>
        <v>#REF!</v>
      </c>
      <c r="BV373" s="200">
        <f>FMS_Ranking4[[#This Row],[Region Number]]</f>
        <v>4</v>
      </c>
      <c r="BW373" s="200">
        <f>FMS_Ranking4[[#This Row],[Rank (with ArcSinh normalization of select criteria)]]-FMS_Ranking4[[#This Row],[Rank
(with linear
normalization)]]</f>
        <v>-267</v>
      </c>
      <c r="BX373" s="200" t="e">
        <f>FMS_Ranking4[[#This Row],[Log Rank]]-FMS_Ranking4[[#This Row],[Rank
(with linear
normalization)]]</f>
        <v>#REF!</v>
      </c>
      <c r="BY373" s="200" t="str">
        <f>IF(FMS_Ranking4[[#This Row],[FMS Type]]="Flood Measurement and Warning",FMS_Ranking4[[#This Row],[Rank (with ArcSinh normalization of select criteria)]],"")</f>
        <v/>
      </c>
      <c r="BZ373" s="200" t="str">
        <f>IF(FMS_Ranking4[[#This Row],[FMS Type]]="Regulatory and Guidance",FMS_Ranking4[[#This Row],[Rank (with ArcSinh normalization of select criteria)]],"")</f>
        <v/>
      </c>
      <c r="CA373" s="200" t="str">
        <f>IF(FMS_Ranking4[[#This Row],[FMS Type]]="Education and Outreach",FMS_Ranking4[[#This Row],[Rank (with ArcSinh normalization of select criteria)]],"")</f>
        <v/>
      </c>
      <c r="CB373" s="200">
        <f>IF(FMS_Ranking4[[#This Row],[FMS Type]]="Property Acquisition and Structural Elevation",FMS_Ranking4[[#This Row],[Rank (with ArcSinh normalization of select criteria)]],"")</f>
        <v>366</v>
      </c>
      <c r="CC373" s="200" t="str">
        <f>IF(FMS_Ranking4[[#This Row],[FMS Type]]="Infrastructure Projects",FMS_Ranking4[[#This Row],[Rank (with ArcSinh normalization of select criteria)]],"")</f>
        <v/>
      </c>
      <c r="CD373" s="200" t="str">
        <f>IF(FMS_Ranking4[[#This Row],[FMS Type]]="Other",FMS_Ranking4[[#This Row],[Rank (with ArcSinh normalization of select criteria)]],"")</f>
        <v/>
      </c>
      <c r="CE373" s="201"/>
      <c r="CF373" s="206"/>
      <c r="CG373" s="206"/>
      <c r="CH373" s="206"/>
      <c r="CI373" s="206"/>
      <c r="CJ373" s="206"/>
      <c r="CK373" s="206"/>
      <c r="CL373" s="206"/>
      <c r="CM373" s="206"/>
      <c r="CN373" s="206"/>
      <c r="CO373" s="206"/>
      <c r="CP373" s="206"/>
      <c r="CQ373" s="206"/>
      <c r="CR373" s="206"/>
    </row>
    <row r="374" spans="2:96" ht="30" x14ac:dyDescent="0.25">
      <c r="B374" s="341" t="s">
        <v>1404</v>
      </c>
      <c r="C374" s="246">
        <f>_xlfn.XLOOKUP(FMS_Ranking4[[#This Row],[FMS ID]],FMS_Input[FMS_ID],FMS_Input[RFPG_NUM])</f>
        <v>1</v>
      </c>
      <c r="D374" s="309" t="str">
        <f>_xlfn.XLOOKUP(FMS_Ranking4[[#This Row],[FMS ID]],FMS_Input[FMS_ID],FMS_Input[FMS_NAME])</f>
        <v>Sherman County NFIP Involvement</v>
      </c>
      <c r="E374" s="308" t="str">
        <f>_xlfn.XLOOKUP(FMS_Ranking4[[#This Row],[FMS ID]],FMS_Input[FMS_ID],FMS_Input[SPONSOR])</f>
        <v>01000247</v>
      </c>
      <c r="F374" s="309" t="str">
        <f>_xlfn.XLOOKUP(FMS_Ranking4[[#This Row],[FMS ID]],Sponsor[FMS_ID],Sponsor[SPONSOR NAME])</f>
        <v>Sherman</v>
      </c>
      <c r="G374" s="309" t="str">
        <f>_xlfn.XLOOKUP(FMS_Ranking4[[#This Row],[FMS ID]],FMS_Input[FMS_ID],FMS_Input[FMS_DESCR])</f>
        <v>Application to join NFIP or adopt equivalent standards</v>
      </c>
      <c r="H374" s="248" t="str">
        <f>_xlfn.XLOOKUP(FMS_Ranking4[[#This Row],[FMS ID]],FMS_Input[FMS_ID],FMS_Input[FMS_TYPE])</f>
        <v>Regulatory and Guidance</v>
      </c>
      <c r="I374" s="249">
        <f>_xlfn.XLOOKUP(FMS_Ranking4[[#This Row],[FMS ID]],FMS_Input[FMS_ID],FMS_Input[NRNC_COST])</f>
        <v>100000</v>
      </c>
      <c r="J374" s="250">
        <f>_xlfn.XLOOKUP(FMS_Ranking4[[#This Row],[FMS ID]],FMS_Input[FMS_ID],FMS_Input[FMS_COST])</f>
        <v>100000</v>
      </c>
      <c r="K374" s="251" t="str">
        <f>_xlfn.XLOOKUP(FMS_Ranking4[[#This Row],[FMS ID]],FMS_Input[FMS_ID],FMS_Input[EMER_NEED])</f>
        <v>No</v>
      </c>
      <c r="L374" s="252">
        <f t="shared" si="5"/>
        <v>0</v>
      </c>
      <c r="M374" s="253">
        <f>_xlfn.XLOOKUP(FMS_Ranking4[[#This Row],[FMS ID]],FMS_Input[FMS_ID],FMS_Input[STRUCT_100])</f>
        <v>21</v>
      </c>
      <c r="N374" s="255">
        <f>(ASINH(FMS_Ranking4[[#This Row],[Structure at Risk Raw]]))*(10)/(ASINH(M$4))</f>
        <v>2.9388101190229365</v>
      </c>
      <c r="O374" s="256">
        <f>FMS_Ranking4[[#This Row],[Structures at risk, ArcSinh (0-10)]]*M$5*10</f>
        <v>2.9388101190229365</v>
      </c>
      <c r="P374" s="253">
        <f>_xlfn.XLOOKUP(FMS_Ranking4[[#This Row],[FMS ID]],FMS_Input[FMS_ID],FMS_Input[RES_STRUCT100])</f>
        <v>0</v>
      </c>
      <c r="Q374" s="257">
        <f>ASINH(FMS_Ranking4[[#This Row],[Res Structure Raw]])/Q$4*P$5*100</f>
        <v>0</v>
      </c>
      <c r="R374" s="253">
        <f>_xlfn.XLOOKUP(FMS_Ranking4[[#This Row],[FMS ID]],FMS_Input[FMS_ID],FMS_Input[POP100])</f>
        <v>26</v>
      </c>
      <c r="S374" s="259">
        <f>(ASINH(FMS_Ranking4[[#This Row],[Pop at Risk Raw]]))*(10)/(ASINH(R$4))</f>
        <v>2.7280287406509007</v>
      </c>
      <c r="T374" s="256">
        <f>FMS_Ranking4[[#This Row],[Population at risk, ArcSinh (0-10)]]*R$5*10</f>
        <v>2.7280287406509007</v>
      </c>
      <c r="U374" s="253">
        <f>_xlfn.XLOOKUP(FMS_Ranking4[[#This Row],[FMS ID]],FMS_Input[FMS_ID],FMS_Input[CRITFAC100])</f>
        <v>3</v>
      </c>
      <c r="V374" s="259">
        <f>(ASINH(FMS_Ranking4[[#This Row],[Critical Facilities Raw]]))*(10)/(ASINH(U$4))</f>
        <v>2.152611706646717</v>
      </c>
      <c r="W374" s="256">
        <f>FMS_Ranking4[[#This Row],[Critical facilities at risk, ArcSinh (0-10)]]*U$5*10</f>
        <v>2.152611706646717</v>
      </c>
      <c r="X374" s="253">
        <f>_xlfn.XLOOKUP(FMS_Ranking4[[#This Row],[FMS ID]],FMS_Input[FMS_ID],FMS_Input[LWC])</f>
        <v>9</v>
      </c>
      <c r="Y374" s="259">
        <f>(ASINH(FMS_Ranking4[[#This Row],[LWC Raw]]))*(10)/(ASINH(X$4))</f>
        <v>3.919857876161724</v>
      </c>
      <c r="Z374" s="256">
        <f>FMS_Ranking4[[#This Row],[LWC, ArcSInh (0-10)]]*X$5*10</f>
        <v>3.919857876161724</v>
      </c>
      <c r="AA374" s="253">
        <f>_xlfn.XLOOKUP(FMS_Ranking4[[#This Row],[FMS ID]],FMS_Input[FMS_ID],FMS_Input[ROADCLS])</f>
        <v>10</v>
      </c>
      <c r="AB374" s="255">
        <f>(ASINH(FMS_Ranking4[[#This Row],[Road Closures Raw]]))*(10)/(ASINH(AA$4))</f>
        <v>3.1223740164895069</v>
      </c>
      <c r="AC374" s="256">
        <f>FMS_Ranking4[[#This Row],[Road closures, ArcSinh (0-10)]]*AA$5*10</f>
        <v>1.5611870082447534</v>
      </c>
      <c r="AD374" s="253">
        <f>_xlfn.XLOOKUP(FMS_Ranking4[[#This Row],[FMS ID]],FMS_Input[FMS_ID],FMS_Input[ROAD_MILES100])</f>
        <v>57</v>
      </c>
      <c r="AE374" s="259">
        <f>(ASINH(FMS_Ranking4[[#This Row],[Road Miles Raw]]))*(10)/(ASINH(AD$4))</f>
        <v>5.0475664975813634</v>
      </c>
      <c r="AF374" s="256">
        <f>FMS_Ranking4[[#This Row],[Length of roads at risk, ArcSinh (0-10)]]*AD$5*10</f>
        <v>5.0475664975813643</v>
      </c>
      <c r="AG374" s="253">
        <f>_xlfn.XLOOKUP(FMS_Ranking4[[#This Row],[FMS ID]],FMS_Input[FMS_ID],FMS_Input[FARMACRE100])</f>
        <v>44312.84375</v>
      </c>
      <c r="AH374" s="255">
        <f>(ASINH(FMS_Ranking4[[#This Row],[Ag Land Raw]]))*(10)/(ASINH(AG$4))</f>
        <v>7.4001470882213756</v>
      </c>
      <c r="AI374" s="260">
        <f>FMS_Ranking4[[#This Row],[Farm &amp; ranch land, ArcSinh (0-10)]]*AG$5*10</f>
        <v>3.7000735441106878</v>
      </c>
      <c r="AJ374" s="258">
        <f>_xlfn.XLOOKUP(FMS_Ranking4[[#This Row],[FMS ID]],FMS_Input[FMS_ID],FMS_Input[REDSTRUCT100])</f>
        <v>0</v>
      </c>
      <c r="AK374" s="253">
        <f>_xlfn.XLOOKUP(FMS_Ranking4[[#This Row],[FMS ID]],FMS_Input[FMS_ID],FMS_Input[REMSTRC100])</f>
        <v>0</v>
      </c>
      <c r="AL374" s="259">
        <f>(ASINH(FMS_Ranking4[[#This Row],[Structures Removed Raw]]))*(10)/(ASINH(AK$4))</f>
        <v>0</v>
      </c>
      <c r="AM374" s="262">
        <f>FMS_Ranking4[[#This Row],[Structures removed, ArcSinh (0-10)]]*AK$5*10</f>
        <v>0</v>
      </c>
      <c r="AN374" s="253">
        <f>_xlfn.XLOOKUP(FMS_Ranking4[[#This Row],[FMS ID]],FMS_Input[FMS_ID],FMS_Input[REMRESSTRC100])</f>
        <v>0</v>
      </c>
      <c r="AO374" s="261">
        <f>FMS_Ranking4[[#This Row],[ArcSinh Res struct removed 0-10]]*AN$5*10</f>
        <v>0</v>
      </c>
      <c r="AP374" s="260">
        <f>ASINH(FMS_Ranking4[[#This Row],[Residential Structures Removed Raw]])/AP$4*AN$5*100</f>
        <v>0</v>
      </c>
      <c r="AQ374" s="254">
        <f>(ASINH(FMS_Ranking4[[#This Row],[Residential Structures Removed Raw]]))*(10)/(ASINH(AN$4))</f>
        <v>0</v>
      </c>
      <c r="AR374" s="253">
        <f>_xlfn.XLOOKUP(FMS_Ranking4[[#This Row],[FMS ID]],FMS_Input[FMS_ID],FMS_Input[REMPOP100])</f>
        <v>0</v>
      </c>
      <c r="AS374" s="259">
        <f>(ASINH(FMS_Ranking4[[#This Row],[Removed Pop Raw]]))*(10)/(ASINH(AR$4))</f>
        <v>0</v>
      </c>
      <c r="AT374" s="262">
        <f>FMS_Ranking4[[#This Row],[Removed population, ArcSinh (0-10)]]*AR$5*10</f>
        <v>0</v>
      </c>
      <c r="AU374" s="264">
        <f>_xlfn.XLOOKUP(FMS_Ranking4[[#This Row],[FMS ID]],FMS_Input[FMS_ID],FMS_Input[REMCRITFAC100])</f>
        <v>0</v>
      </c>
      <c r="AV374" s="264">
        <f>_xlfn.XLOOKUP(FMS_Ranking4[[#This Row],[FMS ID]],FMS_Input[FMS_ID],FMS_Input[REMLWC100])</f>
        <v>0</v>
      </c>
      <c r="AW374" s="264">
        <f>_xlfn.XLOOKUP(FMS_Ranking4[[#This Row],[FMS ID]],FMS_Input[FMS_ID],FMS_Input[REMROADCLS])</f>
        <v>0</v>
      </c>
      <c r="AX374" s="264">
        <f>_xlfn.XLOOKUP(FMS_Ranking4[[#This Row],[FMS ID]],FMS_Input[FMS_ID],FMS_Input[REMFRMACRE100])</f>
        <v>0</v>
      </c>
      <c r="AY374" s="258">
        <f>_xlfn.XLOOKUP(FMS_Ranking4[[#This Row],[FMS ID]],FMS_Input[FMS_ID],FMS_Input[COSTSTRUCT])</f>
        <v>0</v>
      </c>
      <c r="AZ374" s="253">
        <f>_xlfn.XLOOKUP(FMS_Ranking4[[#This Row],[FMS ID]],FMS_Input[FMS_ID],FMS_Input[NATURE])</f>
        <v>0</v>
      </c>
      <c r="BA374" s="262">
        <f>(((FMS_Ranking4[[#This Row],[% NBS Raw]]/AZ$4)*100)*AZ$5)</f>
        <v>0</v>
      </c>
      <c r="BB374" s="251" t="str">
        <f>_xlfn.XLOOKUP(FMS_Ranking4[[#This Row],[FMS ID]],FMS_Input[FMS_ID],FMS_Input[WATER_SUP])</f>
        <v>No</v>
      </c>
      <c r="BC374" s="265">
        <f>IF(FMS_Ranking4[[#This Row],[Water Supply Raw]]="Yes",10,0)</f>
        <v>0</v>
      </c>
      <c r="BD374" s="266">
        <f>_xlfn.XLOOKUP(FMS_Ranking4[[#This Row],[FMS Type]],FMS_TYPE[FMS_Type],FMS_TYPE[Score])</f>
        <v>8</v>
      </c>
      <c r="BE374" s="267">
        <f>FMS_Ranking4[[#This Row],[FMS_Type Score]]*$BD$5*10</f>
        <v>2</v>
      </c>
      <c r="BF37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0.32048110033435828</v>
      </c>
      <c r="BG374" s="271">
        <f>_xlfn.RANK.EQ(BF374,$BF$8:$BF$870,0)+COUNTIF($BF$8:BF374,BF374)-1</f>
        <v>292</v>
      </c>
      <c r="BH374" s="268">
        <f>(((FMS_Ranking4[[#This Row],[Structures Removed Raw]]/AK$4)*100)*AK$5)+(((FMS_Ranking4[[#This Row],[Removed Pop Raw]]/AR$4)*100)*AR$5)</f>
        <v>0</v>
      </c>
      <c r="BI37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2.3204811003343582</v>
      </c>
      <c r="BJ374" s="205">
        <f>_xlfn.RANK.EQ(FMS_Ranking4[[#This Row],[Total Score 
(with linear
normalization)]],FMS_Ranking4[Total Score 
(with linear
normalization)],0)</f>
        <v>291</v>
      </c>
      <c r="BK374" s="205" t="e">
        <f>_xlfn.XLOOKUP(FMS_Ranking4[[#This Row],[FMS ID]],#REF!,#REF!)</f>
        <v>#REF!</v>
      </c>
      <c r="BL37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22.048135492419085</v>
      </c>
      <c r="BM374" s="272">
        <f>FMS_Ranking4[[#This Row],[ArcSinh Score Based on Normalized Reported Factors]]+FMS_Ranking4[[#This Row],[% NBS Score (Normalized)]]+(FMS_Ranking4[[#This Row],[Water Supply Score (Normalized)]]*10*$BB$5)+FMS_Ranking4[[#This Row],[FMS_Type Score Weighted]]</f>
        <v>24.048135492419085</v>
      </c>
      <c r="BN374" s="205">
        <f>_xlfn.RANK.EQ(FMS_Ranking4[[#This Row],[Total Score (with ArcSinh normalization of select criteria)]],FMS_Ranking4[Total Score (with ArcSinh normalization of select criteria)],0)</f>
        <v>367</v>
      </c>
      <c r="BO374" s="270" t="str">
        <f>_xlfn.XLOOKUP(FMS_Ranking4[[#This Row],[FMS ID]],FMS_Input[FMS_ID],FMS_Input[FMS_RANK_YEAR])</f>
        <v>2023 Amended Plan</v>
      </c>
      <c r="BP374" s="204">
        <f>_xlfn.XLOOKUP(FMS_Ranking4[[#This Row],[FMS ID]],Prev_Rank[FMS ID],Prev_Rank[Prev Rank])</f>
        <v>332</v>
      </c>
      <c r="BQ374" s="205" t="e">
        <f>_xlfn.XLOOKUP(FMS_Ranking4[[#This Row],[FMS ID]],#REF!,#REF!)</f>
        <v>#REF!</v>
      </c>
      <c r="BR374" s="199" t="e">
        <f>SUM(#REF!,#REF!,#REF!,#REF!,#REF!,#REF!,#REF!,#REF!,#REF!,FMS_Ranking4[[#This Row],[ArcSinh Res struct removed 0-10]],#REF!)</f>
        <v>#REF!</v>
      </c>
      <c r="BS374" s="199" t="e">
        <f>FMS_Ranking4[[#This Row],[Log Score Based on Normalized Reported Factors]]+FMS_Ranking4[[#This Row],[% NBS Score (Normalized)]]+(FMS_Ranking4[[#This Row],[Water Supply Score (Normalized)]]*10*$BB$5)+(FMS_Ranking4[[#This Row],[FMS_Type Score Weighted]])</f>
        <v>#REF!</v>
      </c>
      <c r="BT374" s="200" t="e">
        <f>_xlfn.RANK.EQ(FMS_Ranking4[[#This Row],[Log Total Score]],FMS_Ranking4[Log Total Score],0)</f>
        <v>#REF!</v>
      </c>
      <c r="BU374" s="200" t="e">
        <f>_xlfn.XLOOKUP(FMS_Ranking4[[#This Row],[FMS ID]],#REF!,#REF!)</f>
        <v>#REF!</v>
      </c>
      <c r="BV374" s="200">
        <f>FMS_Ranking4[[#This Row],[Region Number]]</f>
        <v>1</v>
      </c>
      <c r="BW374" s="200">
        <f>FMS_Ranking4[[#This Row],[Rank (with ArcSinh normalization of select criteria)]]-FMS_Ranking4[[#This Row],[Rank
(with linear
normalization)]]</f>
        <v>76</v>
      </c>
      <c r="BX374" s="200" t="e">
        <f>FMS_Ranking4[[#This Row],[Log Rank]]-FMS_Ranking4[[#This Row],[Rank
(with linear
normalization)]]</f>
        <v>#REF!</v>
      </c>
      <c r="BY374" s="200" t="str">
        <f>IF(FMS_Ranking4[[#This Row],[FMS Type]]="Flood Measurement and Warning",FMS_Ranking4[[#This Row],[Rank (with ArcSinh normalization of select criteria)]],"")</f>
        <v/>
      </c>
      <c r="BZ374" s="200">
        <f>IF(FMS_Ranking4[[#This Row],[FMS Type]]="Regulatory and Guidance",FMS_Ranking4[[#This Row],[Rank (with ArcSinh normalization of select criteria)]],"")</f>
        <v>367</v>
      </c>
      <c r="CA374" s="200" t="str">
        <f>IF(FMS_Ranking4[[#This Row],[FMS Type]]="Education and Outreach",FMS_Ranking4[[#This Row],[Rank (with ArcSinh normalization of select criteria)]],"")</f>
        <v/>
      </c>
      <c r="CB374" s="200" t="str">
        <f>IF(FMS_Ranking4[[#This Row],[FMS Type]]="Property Acquisition and Structural Elevation",FMS_Ranking4[[#This Row],[Rank (with ArcSinh normalization of select criteria)]],"")</f>
        <v/>
      </c>
      <c r="CC374" s="200" t="str">
        <f>IF(FMS_Ranking4[[#This Row],[FMS Type]]="Infrastructure Projects",FMS_Ranking4[[#This Row],[Rank (with ArcSinh normalization of select criteria)]],"")</f>
        <v/>
      </c>
      <c r="CD374" s="200" t="str">
        <f>IF(FMS_Ranking4[[#This Row],[FMS Type]]="Other",FMS_Ranking4[[#This Row],[Rank (with ArcSinh normalization of select criteria)]],"")</f>
        <v/>
      </c>
      <c r="CE374" s="201"/>
      <c r="CF374" s="206"/>
      <c r="CG374" s="206"/>
      <c r="CH374" s="206"/>
      <c r="CI374" s="206"/>
      <c r="CJ374" s="206"/>
      <c r="CK374" s="206"/>
      <c r="CL374" s="206"/>
      <c r="CM374" s="206"/>
      <c r="CN374" s="206"/>
      <c r="CO374" s="206"/>
      <c r="CP374" s="206"/>
      <c r="CQ374" s="206"/>
      <c r="CR374" s="206"/>
    </row>
    <row r="375" spans="2:96" ht="45" x14ac:dyDescent="0.25">
      <c r="B375" s="341" t="s">
        <v>3173</v>
      </c>
      <c r="C375" s="246">
        <f>_xlfn.XLOOKUP(FMS_Ranking4[[#This Row],[FMS ID]],FMS_Input[FMS_ID],FMS_Input[RFPG_NUM])</f>
        <v>7</v>
      </c>
      <c r="D375" s="309" t="str">
        <f>_xlfn.XLOOKUP(FMS_Ranking4[[#This Row],[FMS ID]],FMS_Input[FMS_ID],FMS_Input[FMS_NAME])</f>
        <v>Garza County NFIP Participation</v>
      </c>
      <c r="E375" s="308" t="str">
        <f>_xlfn.XLOOKUP(FMS_Ranking4[[#This Row],[FMS ID]],FMS_Input[FMS_ID],FMS_Input[SPONSOR])</f>
        <v>00000183</v>
      </c>
      <c r="F375" s="309" t="str">
        <f>_xlfn.XLOOKUP(FMS_Ranking4[[#This Row],[FMS ID]],Sponsor[FMS_ID],Sponsor[SPONSOR NAME])</f>
        <v>Garza</v>
      </c>
      <c r="G375" s="309" t="str">
        <f>_xlfn.XLOOKUP(FMS_Ranking4[[#This Row],[FMS ID]],FMS_Input[FMS_ID],FMS_Input[FMS_DESCR])</f>
        <v>Application to join NFIP or adoption of equivalent standards.</v>
      </c>
      <c r="H375" s="248" t="str">
        <f>_xlfn.XLOOKUP(FMS_Ranking4[[#This Row],[FMS ID]],FMS_Input[FMS_ID],FMS_Input[FMS_TYPE])</f>
        <v>Regulatory and Guidance</v>
      </c>
      <c r="I375" s="249">
        <f>_xlfn.XLOOKUP(FMS_Ranking4[[#This Row],[FMS ID]],FMS_Input[FMS_ID],FMS_Input[NRNC_COST])</f>
        <v>50000</v>
      </c>
      <c r="J375" s="250">
        <f>_xlfn.XLOOKUP(FMS_Ranking4[[#This Row],[FMS ID]],FMS_Input[FMS_ID],FMS_Input[FMS_COST])</f>
        <v>50000</v>
      </c>
      <c r="K375" s="251" t="str">
        <f>_xlfn.XLOOKUP(FMS_Ranking4[[#This Row],[FMS ID]],FMS_Input[FMS_ID],FMS_Input[EMER_NEED])</f>
        <v>No</v>
      </c>
      <c r="L375" s="252">
        <f t="shared" si="5"/>
        <v>0</v>
      </c>
      <c r="M375" s="253">
        <f>_xlfn.XLOOKUP(FMS_Ranking4[[#This Row],[FMS ID]],FMS_Input[FMS_ID],FMS_Input[STRUCT_100])</f>
        <v>158</v>
      </c>
      <c r="N375" s="255">
        <f>(ASINH(FMS_Ranking4[[#This Row],[Structure at Risk Raw]]))*(10)/(ASINH(M$4))</f>
        <v>4.5248782454842065</v>
      </c>
      <c r="O375" s="256">
        <f>FMS_Ranking4[[#This Row],[Structures at risk, ArcSinh (0-10)]]*M$5*10</f>
        <v>4.5248782454842065</v>
      </c>
      <c r="P375" s="253">
        <f>_xlfn.XLOOKUP(FMS_Ranking4[[#This Row],[FMS ID]],FMS_Input[FMS_ID],FMS_Input[RES_STRUCT100])</f>
        <v>34</v>
      </c>
      <c r="Q375" s="257">
        <f>ASINH(FMS_Ranking4[[#This Row],[Res Structure Raw]])/Q$4*P$5*100</f>
        <v>0</v>
      </c>
      <c r="R375" s="253">
        <f>_xlfn.XLOOKUP(FMS_Ranking4[[#This Row],[FMS ID]],FMS_Input[FMS_ID],FMS_Input[POP100])</f>
        <v>315</v>
      </c>
      <c r="S375" s="259">
        <f>(ASINH(FMS_Ranking4[[#This Row],[Pop at Risk Raw]]))*(10)/(ASINH(R$4))</f>
        <v>4.449857387164176</v>
      </c>
      <c r="T375" s="256">
        <f>FMS_Ranking4[[#This Row],[Population at risk, ArcSinh (0-10)]]*R$5*10</f>
        <v>4.449857387164176</v>
      </c>
      <c r="U375" s="253">
        <f>_xlfn.XLOOKUP(FMS_Ranking4[[#This Row],[FMS ID]],FMS_Input[FMS_ID],FMS_Input[CRITFAC100])</f>
        <v>0</v>
      </c>
      <c r="V375" s="259">
        <f>(ASINH(FMS_Ranking4[[#This Row],[Critical Facilities Raw]]))*(10)/(ASINH(U$4))</f>
        <v>0</v>
      </c>
      <c r="W375" s="256">
        <f>FMS_Ranking4[[#This Row],[Critical facilities at risk, ArcSinh (0-10)]]*U$5*10</f>
        <v>0</v>
      </c>
      <c r="X375" s="253">
        <f>_xlfn.XLOOKUP(FMS_Ranking4[[#This Row],[FMS ID]],FMS_Input[FMS_ID],FMS_Input[LWC])</f>
        <v>11</v>
      </c>
      <c r="Y375" s="259">
        <f>(ASINH(FMS_Ranking4[[#This Row],[LWC Raw]]))*(10)/(ASINH(X$4))</f>
        <v>4.1903423948022258</v>
      </c>
      <c r="Z375" s="256">
        <f>FMS_Ranking4[[#This Row],[LWC, ArcSInh (0-10)]]*X$5*10</f>
        <v>4.1903423948022258</v>
      </c>
      <c r="AA375" s="253">
        <f>_xlfn.XLOOKUP(FMS_Ranking4[[#This Row],[FMS ID]],FMS_Input[FMS_ID],FMS_Input[ROADCLS])</f>
        <v>0</v>
      </c>
      <c r="AB375" s="255">
        <f>(ASINH(FMS_Ranking4[[#This Row],[Road Closures Raw]]))*(10)/(ASINH(AA$4))</f>
        <v>0</v>
      </c>
      <c r="AC375" s="256">
        <f>FMS_Ranking4[[#This Row],[Road closures, ArcSinh (0-10)]]*AA$5*10</f>
        <v>0</v>
      </c>
      <c r="AD375" s="253">
        <f>_xlfn.XLOOKUP(FMS_Ranking4[[#This Row],[FMS ID]],FMS_Input[FMS_ID],FMS_Input[ROAD_MILES100])</f>
        <v>98</v>
      </c>
      <c r="AE375" s="259">
        <f>(ASINH(FMS_Ranking4[[#This Row],[Road Miles Raw]]))*(10)/(ASINH(AD$4))</f>
        <v>5.6250458300497961</v>
      </c>
      <c r="AF375" s="256">
        <f>FMS_Ranking4[[#This Row],[Length of roads at risk, ArcSinh (0-10)]]*AD$5*10</f>
        <v>5.6250458300497961</v>
      </c>
      <c r="AG375" s="253">
        <f>_xlfn.XLOOKUP(FMS_Ranking4[[#This Row],[FMS ID]],FMS_Input[FMS_ID],FMS_Input[FARMACRE100])</f>
        <v>10113.4794921875</v>
      </c>
      <c r="AH375" s="255">
        <f>(ASINH(FMS_Ranking4[[#This Row],[Ag Land Raw]]))*(10)/(ASINH(AG$4))</f>
        <v>6.4404519033543082</v>
      </c>
      <c r="AI375" s="260">
        <f>FMS_Ranking4[[#This Row],[Farm &amp; ranch land, ArcSinh (0-10)]]*AG$5*10</f>
        <v>3.2202259516771541</v>
      </c>
      <c r="AJ375" s="258">
        <f>_xlfn.XLOOKUP(FMS_Ranking4[[#This Row],[FMS ID]],FMS_Input[FMS_ID],FMS_Input[REDSTRUCT100])</f>
        <v>0</v>
      </c>
      <c r="AK375" s="253">
        <f>_xlfn.XLOOKUP(FMS_Ranking4[[#This Row],[FMS ID]],FMS_Input[FMS_ID],FMS_Input[REMSTRC100])</f>
        <v>0</v>
      </c>
      <c r="AL375" s="259">
        <f>(ASINH(FMS_Ranking4[[#This Row],[Structures Removed Raw]]))*(10)/(ASINH(AK$4))</f>
        <v>0</v>
      </c>
      <c r="AM375" s="262">
        <f>FMS_Ranking4[[#This Row],[Structures removed, ArcSinh (0-10)]]*AK$5*10</f>
        <v>0</v>
      </c>
      <c r="AN375" s="253">
        <f>_xlfn.XLOOKUP(FMS_Ranking4[[#This Row],[FMS ID]],FMS_Input[FMS_ID],FMS_Input[REMRESSTRC100])</f>
        <v>0</v>
      </c>
      <c r="AO375" s="261">
        <f>FMS_Ranking4[[#This Row],[ArcSinh Res struct removed 0-10]]*AN$5*10</f>
        <v>0</v>
      </c>
      <c r="AP375" s="260">
        <f>ASINH(FMS_Ranking4[[#This Row],[Residential Structures Removed Raw]])/AP$4*AN$5*100</f>
        <v>0</v>
      </c>
      <c r="AQ375" s="254">
        <f>(ASINH(FMS_Ranking4[[#This Row],[Residential Structures Removed Raw]]))*(10)/(ASINH(AN$4))</f>
        <v>0</v>
      </c>
      <c r="AR375" s="253">
        <f>_xlfn.XLOOKUP(FMS_Ranking4[[#This Row],[FMS ID]],FMS_Input[FMS_ID],FMS_Input[REMPOP100])</f>
        <v>0</v>
      </c>
      <c r="AS375" s="259">
        <f>(ASINH(FMS_Ranking4[[#This Row],[Removed Pop Raw]]))*(10)/(ASINH(AR$4))</f>
        <v>0</v>
      </c>
      <c r="AT375" s="262">
        <f>FMS_Ranking4[[#This Row],[Removed population, ArcSinh (0-10)]]*AR$5*10</f>
        <v>0</v>
      </c>
      <c r="AU375" s="264">
        <f>_xlfn.XLOOKUP(FMS_Ranking4[[#This Row],[FMS ID]],FMS_Input[FMS_ID],FMS_Input[REMCRITFAC100])</f>
        <v>0</v>
      </c>
      <c r="AV375" s="264">
        <f>_xlfn.XLOOKUP(FMS_Ranking4[[#This Row],[FMS ID]],FMS_Input[FMS_ID],FMS_Input[REMLWC100])</f>
        <v>0</v>
      </c>
      <c r="AW375" s="264">
        <f>_xlfn.XLOOKUP(FMS_Ranking4[[#This Row],[FMS ID]],FMS_Input[FMS_ID],FMS_Input[REMROADCLS])</f>
        <v>0</v>
      </c>
      <c r="AX375" s="264">
        <f>_xlfn.XLOOKUP(FMS_Ranking4[[#This Row],[FMS ID]],FMS_Input[FMS_ID],FMS_Input[REMFRMACRE100])</f>
        <v>0</v>
      </c>
      <c r="AY375" s="258">
        <f>_xlfn.XLOOKUP(FMS_Ranking4[[#This Row],[FMS ID]],FMS_Input[FMS_ID],FMS_Input[COSTSTRUCT])</f>
        <v>0</v>
      </c>
      <c r="AZ375" s="253">
        <f>_xlfn.XLOOKUP(FMS_Ranking4[[#This Row],[FMS ID]],FMS_Input[FMS_ID],FMS_Input[NATURE])</f>
        <v>0</v>
      </c>
      <c r="BA375" s="262">
        <f>(((FMS_Ranking4[[#This Row],[% NBS Raw]]/AZ$4)*100)*AZ$5)</f>
        <v>0</v>
      </c>
      <c r="BB375" s="251" t="str">
        <f>_xlfn.XLOOKUP(FMS_Ranking4[[#This Row],[FMS ID]],FMS_Input[FMS_ID],FMS_Input[WATER_SUP])</f>
        <v>No</v>
      </c>
      <c r="BC375" s="265">
        <f>IF(FMS_Ranking4[[#This Row],[Water Supply Raw]]="Yes",10,0)</f>
        <v>0</v>
      </c>
      <c r="BD375" s="266">
        <f>_xlfn.XLOOKUP(FMS_Ranking4[[#This Row],[FMS Type]],FMS_TYPE[FMS_Type],FMS_TYPE[Score])</f>
        <v>8</v>
      </c>
      <c r="BE375" s="267">
        <f>FMS_Ranking4[[#This Row],[FMS_Type Score]]*$BD$5*10</f>
        <v>2</v>
      </c>
      <c r="BF37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0.33538323420465621</v>
      </c>
      <c r="BG375" s="271">
        <f>_xlfn.RANK.EQ(BF375,$BF$8:$BF$870,0)+COUNTIF($BF$8:BF375,BF375)-1</f>
        <v>281</v>
      </c>
      <c r="BH375" s="268">
        <f>(((FMS_Ranking4[[#This Row],[Structures Removed Raw]]/AK$4)*100)*AK$5)+(((FMS_Ranking4[[#This Row],[Removed Pop Raw]]/AR$4)*100)*AR$5)</f>
        <v>0</v>
      </c>
      <c r="BI37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2.3353832342046563</v>
      </c>
      <c r="BJ375" s="205">
        <f>_xlfn.RANK.EQ(FMS_Ranking4[[#This Row],[Total Score 
(with linear
normalization)]],FMS_Ranking4[Total Score 
(with linear
normalization)],0)</f>
        <v>288</v>
      </c>
      <c r="BK375" s="205" t="e">
        <f>_xlfn.XLOOKUP(FMS_Ranking4[[#This Row],[FMS ID]],#REF!,#REF!)</f>
        <v>#REF!</v>
      </c>
      <c r="BL37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22.010349809177558</v>
      </c>
      <c r="BM375" s="272">
        <f>FMS_Ranking4[[#This Row],[ArcSinh Score Based on Normalized Reported Factors]]+FMS_Ranking4[[#This Row],[% NBS Score (Normalized)]]+(FMS_Ranking4[[#This Row],[Water Supply Score (Normalized)]]*10*$BB$5)+FMS_Ranking4[[#This Row],[FMS_Type Score Weighted]]</f>
        <v>24.010349809177558</v>
      </c>
      <c r="BN375" s="205">
        <f>_xlfn.RANK.EQ(FMS_Ranking4[[#This Row],[Total Score (with ArcSinh normalization of select criteria)]],FMS_Ranking4[Total Score (with ArcSinh normalization of select criteria)],0)</f>
        <v>368</v>
      </c>
      <c r="BO375" s="270" t="str">
        <f>_xlfn.XLOOKUP(FMS_Ranking4[[#This Row],[FMS ID]],FMS_Input[FMS_ID],FMS_Input[FMS_RANK_YEAR])</f>
        <v>2023 Amended Plan</v>
      </c>
      <c r="BP375" s="204">
        <f>_xlfn.XLOOKUP(FMS_Ranking4[[#This Row],[FMS ID]],Prev_Rank[FMS ID],Prev_Rank[Prev Rank])</f>
        <v>331</v>
      </c>
      <c r="BQ375" s="205" t="e">
        <f>_xlfn.XLOOKUP(FMS_Ranking4[[#This Row],[FMS ID]],#REF!,#REF!)</f>
        <v>#REF!</v>
      </c>
      <c r="BR375" s="199" t="e">
        <f>SUM(#REF!,#REF!,#REF!,#REF!,#REF!,#REF!,#REF!,#REF!,#REF!,FMS_Ranking4[[#This Row],[ArcSinh Res struct removed 0-10]],#REF!)</f>
        <v>#REF!</v>
      </c>
      <c r="BS375" s="199" t="e">
        <f>FMS_Ranking4[[#This Row],[Log Score Based on Normalized Reported Factors]]+FMS_Ranking4[[#This Row],[% NBS Score (Normalized)]]+(FMS_Ranking4[[#This Row],[Water Supply Score (Normalized)]]*10*$BB$5)+(FMS_Ranking4[[#This Row],[FMS_Type Score Weighted]])</f>
        <v>#REF!</v>
      </c>
      <c r="BT375" s="200" t="e">
        <f>_xlfn.RANK.EQ(FMS_Ranking4[[#This Row],[Log Total Score]],FMS_Ranking4[Log Total Score],0)</f>
        <v>#REF!</v>
      </c>
      <c r="BU375" s="200" t="e">
        <f>_xlfn.XLOOKUP(FMS_Ranking4[[#This Row],[FMS ID]],#REF!,#REF!)</f>
        <v>#REF!</v>
      </c>
      <c r="BV375" s="200">
        <f>FMS_Ranking4[[#This Row],[Region Number]]</f>
        <v>7</v>
      </c>
      <c r="BW375" s="200">
        <f>FMS_Ranking4[[#This Row],[Rank (with ArcSinh normalization of select criteria)]]-FMS_Ranking4[[#This Row],[Rank
(with linear
normalization)]]</f>
        <v>80</v>
      </c>
      <c r="BX375" s="200" t="e">
        <f>FMS_Ranking4[[#This Row],[Log Rank]]-FMS_Ranking4[[#This Row],[Rank
(with linear
normalization)]]</f>
        <v>#REF!</v>
      </c>
      <c r="BY375" s="200" t="str">
        <f>IF(FMS_Ranking4[[#This Row],[FMS Type]]="Flood Measurement and Warning",FMS_Ranking4[[#This Row],[Rank (with ArcSinh normalization of select criteria)]],"")</f>
        <v/>
      </c>
      <c r="BZ375" s="200">
        <f>IF(FMS_Ranking4[[#This Row],[FMS Type]]="Regulatory and Guidance",FMS_Ranking4[[#This Row],[Rank (with ArcSinh normalization of select criteria)]],"")</f>
        <v>368</v>
      </c>
      <c r="CA375" s="200" t="str">
        <f>IF(FMS_Ranking4[[#This Row],[FMS Type]]="Education and Outreach",FMS_Ranking4[[#This Row],[Rank (with ArcSinh normalization of select criteria)]],"")</f>
        <v/>
      </c>
      <c r="CB375" s="200" t="str">
        <f>IF(FMS_Ranking4[[#This Row],[FMS Type]]="Property Acquisition and Structural Elevation",FMS_Ranking4[[#This Row],[Rank (with ArcSinh normalization of select criteria)]],"")</f>
        <v/>
      </c>
      <c r="CC375" s="200" t="str">
        <f>IF(FMS_Ranking4[[#This Row],[FMS Type]]="Infrastructure Projects",FMS_Ranking4[[#This Row],[Rank (with ArcSinh normalization of select criteria)]],"")</f>
        <v/>
      </c>
      <c r="CD375" s="200" t="str">
        <f>IF(FMS_Ranking4[[#This Row],[FMS Type]]="Other",FMS_Ranking4[[#This Row],[Rank (with ArcSinh normalization of select criteria)]],"")</f>
        <v/>
      </c>
      <c r="CE375" s="201"/>
      <c r="CF375" s="206"/>
      <c r="CG375" s="206"/>
      <c r="CH375" s="206"/>
      <c r="CI375" s="206"/>
      <c r="CJ375" s="206"/>
      <c r="CK375" s="206"/>
      <c r="CL375" s="206"/>
      <c r="CM375" s="206"/>
      <c r="CN375" s="206"/>
      <c r="CO375" s="206"/>
      <c r="CP375" s="206"/>
      <c r="CQ375" s="206"/>
      <c r="CR375" s="206"/>
    </row>
    <row r="376" spans="2:96" ht="60" x14ac:dyDescent="0.25">
      <c r="B376" s="341" t="s">
        <v>4573</v>
      </c>
      <c r="C376" s="246">
        <f>_xlfn.XLOOKUP(FMS_Ranking4[[#This Row],[FMS ID]],FMS_Input[FMS_ID],FMS_Input[RFPG_NUM])</f>
        <v>4</v>
      </c>
      <c r="D376" s="309" t="str">
        <f>_xlfn.XLOOKUP(FMS_Ranking4[[#This Row],[FMS ID]],FMS_Input[FMS_ID],FMS_Input[FMS_NAME])</f>
        <v>Rockwall County Flood Prevention Ordinance</v>
      </c>
      <c r="E376" s="308" t="str">
        <f>_xlfn.XLOOKUP(FMS_Ranking4[[#This Row],[FMS ID]],FMS_Input[FMS_ID],FMS_Input[SPONSOR])</f>
        <v>00000175</v>
      </c>
      <c r="F376" s="309" t="str">
        <f>_xlfn.XLOOKUP(FMS_Ranking4[[#This Row],[FMS ID]],Sponsor[FMS_ID],Sponsor[SPONSOR NAME])</f>
        <v>Rockwall</v>
      </c>
      <c r="G376" s="309" t="str">
        <f>_xlfn.XLOOKUP(FMS_Ranking4[[#This Row],[FMS ID]],FMS_Input[FMS_ID],FMS_Input[FMS_DESCR])</f>
        <v>Update Flood Prevention ordinance, adopting a “no-rise” in Base Flood Elevation in the 100-year floodplain</v>
      </c>
      <c r="H376" s="248" t="str">
        <f>_xlfn.XLOOKUP(FMS_Ranking4[[#This Row],[FMS ID]],FMS_Input[FMS_ID],FMS_Input[FMS_TYPE])</f>
        <v>Regulatory and Guidance</v>
      </c>
      <c r="I376" s="249">
        <f>_xlfn.XLOOKUP(FMS_Ranking4[[#This Row],[FMS ID]],FMS_Input[FMS_ID],FMS_Input[NRNC_COST])</f>
        <v>100000</v>
      </c>
      <c r="J376" s="250">
        <f>_xlfn.XLOOKUP(FMS_Ranking4[[#This Row],[FMS ID]],FMS_Input[FMS_ID],FMS_Input[FMS_COST])</f>
        <v>100000</v>
      </c>
      <c r="K376" s="251" t="str">
        <f>_xlfn.XLOOKUP(FMS_Ranking4[[#This Row],[FMS ID]],FMS_Input[FMS_ID],FMS_Input[EMER_NEED])</f>
        <v>No</v>
      </c>
      <c r="L376" s="252">
        <f t="shared" si="5"/>
        <v>0</v>
      </c>
      <c r="M376" s="253">
        <f>_xlfn.XLOOKUP(FMS_Ranking4[[#This Row],[FMS ID]],FMS_Input[FMS_ID],FMS_Input[STRUCT_100])</f>
        <v>191</v>
      </c>
      <c r="N376" s="255">
        <f>(ASINH(FMS_Ranking4[[#This Row],[Structure at Risk Raw]]))*(10)/(ASINH(M$4))</f>
        <v>4.6739912204823941</v>
      </c>
      <c r="O376" s="256">
        <f>FMS_Ranking4[[#This Row],[Structures at risk, ArcSinh (0-10)]]*M$5*10</f>
        <v>4.6739912204823941</v>
      </c>
      <c r="P376" s="253">
        <f>_xlfn.XLOOKUP(FMS_Ranking4[[#This Row],[FMS ID]],FMS_Input[FMS_ID],FMS_Input[RES_STRUCT100])</f>
        <v>149</v>
      </c>
      <c r="Q376" s="257">
        <f>ASINH(FMS_Ranking4[[#This Row],[Res Structure Raw]])/Q$4*P$5*100</f>
        <v>0</v>
      </c>
      <c r="R376" s="253">
        <f>_xlfn.XLOOKUP(FMS_Ranking4[[#This Row],[FMS ID]],FMS_Input[FMS_ID],FMS_Input[POP100])</f>
        <v>786</v>
      </c>
      <c r="S376" s="259">
        <f>(ASINH(FMS_Ranking4[[#This Row],[Pop at Risk Raw]]))*(10)/(ASINH(R$4))</f>
        <v>5.081108541944535</v>
      </c>
      <c r="T376" s="256">
        <f>FMS_Ranking4[[#This Row],[Population at risk, ArcSinh (0-10)]]*R$5*10</f>
        <v>5.0811085419445359</v>
      </c>
      <c r="U376" s="253">
        <f>_xlfn.XLOOKUP(FMS_Ranking4[[#This Row],[FMS ID]],FMS_Input[FMS_ID],FMS_Input[CRITFAC100])</f>
        <v>0</v>
      </c>
      <c r="V376" s="259">
        <f>(ASINH(FMS_Ranking4[[#This Row],[Critical Facilities Raw]]))*(10)/(ASINH(U$4))</f>
        <v>0</v>
      </c>
      <c r="W376" s="256">
        <f>FMS_Ranking4[[#This Row],[Critical facilities at risk, ArcSinh (0-10)]]*U$5*10</f>
        <v>0</v>
      </c>
      <c r="X376" s="253">
        <f>_xlfn.XLOOKUP(FMS_Ranking4[[#This Row],[FMS ID]],FMS_Input[FMS_ID],FMS_Input[LWC])</f>
        <v>11</v>
      </c>
      <c r="Y376" s="259">
        <f>(ASINH(FMS_Ranking4[[#This Row],[LWC Raw]]))*(10)/(ASINH(X$4))</f>
        <v>4.1903423948022258</v>
      </c>
      <c r="Z376" s="256">
        <f>FMS_Ranking4[[#This Row],[LWC, ArcSInh (0-10)]]*X$5*10</f>
        <v>4.1903423948022258</v>
      </c>
      <c r="AA376" s="253">
        <f>_xlfn.XLOOKUP(FMS_Ranking4[[#This Row],[FMS ID]],FMS_Input[FMS_ID],FMS_Input[ROADCLS])</f>
        <v>11</v>
      </c>
      <c r="AB376" s="255">
        <f>(ASINH(FMS_Ranking4[[#This Row],[Road Closures Raw]]))*(10)/(ASINH(AA$4))</f>
        <v>3.2211820415868493</v>
      </c>
      <c r="AC376" s="256">
        <f>FMS_Ranking4[[#This Row],[Road closures, ArcSinh (0-10)]]*AA$5*10</f>
        <v>1.6105910207934249</v>
      </c>
      <c r="AD376" s="253">
        <f>_xlfn.XLOOKUP(FMS_Ranking4[[#This Row],[FMS ID]],FMS_Input[FMS_ID],FMS_Input[ROAD_MILES100])</f>
        <v>15</v>
      </c>
      <c r="AE376" s="259">
        <f>(ASINH(FMS_Ranking4[[#This Row],[Road Miles Raw]]))*(10)/(ASINH(AD$4))</f>
        <v>3.625922827042257</v>
      </c>
      <c r="AF376" s="256">
        <f>FMS_Ranking4[[#This Row],[Length of roads at risk, ArcSinh (0-10)]]*AD$5*10</f>
        <v>3.625922827042257</v>
      </c>
      <c r="AG376" s="253">
        <f>_xlfn.XLOOKUP(FMS_Ranking4[[#This Row],[FMS ID]],FMS_Input[FMS_ID],FMS_Input[FARMACRE100])</f>
        <v>2828.889892578125</v>
      </c>
      <c r="AH376" s="255">
        <f>(ASINH(FMS_Ranking4[[#This Row],[Ag Land Raw]]))*(10)/(ASINH(AG$4))</f>
        <v>5.6128950254533292</v>
      </c>
      <c r="AI376" s="260">
        <f>FMS_Ranking4[[#This Row],[Farm &amp; ranch land, ArcSinh (0-10)]]*AG$5*10</f>
        <v>2.8064475127266646</v>
      </c>
      <c r="AJ376" s="258">
        <f>_xlfn.XLOOKUP(FMS_Ranking4[[#This Row],[FMS ID]],FMS_Input[FMS_ID],FMS_Input[REDSTRUCT100])</f>
        <v>0</v>
      </c>
      <c r="AK376" s="253">
        <f>_xlfn.XLOOKUP(FMS_Ranking4[[#This Row],[FMS ID]],FMS_Input[FMS_ID],FMS_Input[REMSTRC100])</f>
        <v>0</v>
      </c>
      <c r="AL376" s="259">
        <f>(ASINH(FMS_Ranking4[[#This Row],[Structures Removed Raw]]))*(10)/(ASINH(AK$4))</f>
        <v>0</v>
      </c>
      <c r="AM376" s="262">
        <f>FMS_Ranking4[[#This Row],[Structures removed, ArcSinh (0-10)]]*AK$5*10</f>
        <v>0</v>
      </c>
      <c r="AN376" s="253">
        <f>_xlfn.XLOOKUP(FMS_Ranking4[[#This Row],[FMS ID]],FMS_Input[FMS_ID],FMS_Input[REMRESSTRC100])</f>
        <v>0</v>
      </c>
      <c r="AO376" s="261">
        <f>FMS_Ranking4[[#This Row],[ArcSinh Res struct removed 0-10]]*AN$5*10</f>
        <v>0</v>
      </c>
      <c r="AP376" s="260">
        <f>ASINH(FMS_Ranking4[[#This Row],[Residential Structures Removed Raw]])/AP$4*AN$5*100</f>
        <v>0</v>
      </c>
      <c r="AQ376" s="254">
        <f>(ASINH(FMS_Ranking4[[#This Row],[Residential Structures Removed Raw]]))*(10)/(ASINH(AN$4))</f>
        <v>0</v>
      </c>
      <c r="AR376" s="253">
        <f>_xlfn.XLOOKUP(FMS_Ranking4[[#This Row],[FMS ID]],FMS_Input[FMS_ID],FMS_Input[REMPOP100])</f>
        <v>0</v>
      </c>
      <c r="AS376" s="259">
        <f>(ASINH(FMS_Ranking4[[#This Row],[Removed Pop Raw]]))*(10)/(ASINH(AR$4))</f>
        <v>0</v>
      </c>
      <c r="AT376" s="262">
        <f>FMS_Ranking4[[#This Row],[Removed population, ArcSinh (0-10)]]*AR$5*10</f>
        <v>0</v>
      </c>
      <c r="AU376" s="264">
        <f>_xlfn.XLOOKUP(FMS_Ranking4[[#This Row],[FMS ID]],FMS_Input[FMS_ID],FMS_Input[REMCRITFAC100])</f>
        <v>0</v>
      </c>
      <c r="AV376" s="264">
        <f>_xlfn.XLOOKUP(FMS_Ranking4[[#This Row],[FMS ID]],FMS_Input[FMS_ID],FMS_Input[REMLWC100])</f>
        <v>0</v>
      </c>
      <c r="AW376" s="264">
        <f>_xlfn.XLOOKUP(FMS_Ranking4[[#This Row],[FMS ID]],FMS_Input[FMS_ID],FMS_Input[REMROADCLS])</f>
        <v>0</v>
      </c>
      <c r="AX376" s="264">
        <f>_xlfn.XLOOKUP(FMS_Ranking4[[#This Row],[FMS ID]],FMS_Input[FMS_ID],FMS_Input[REMFRMACRE100])</f>
        <v>0</v>
      </c>
      <c r="AY376" s="258">
        <f>_xlfn.XLOOKUP(FMS_Ranking4[[#This Row],[FMS ID]],FMS_Input[FMS_ID],FMS_Input[COSTSTRUCT])</f>
        <v>0</v>
      </c>
      <c r="AZ376" s="253">
        <f>_xlfn.XLOOKUP(FMS_Ranking4[[#This Row],[FMS ID]],FMS_Input[FMS_ID],FMS_Input[NATURE])</f>
        <v>0</v>
      </c>
      <c r="BA376" s="262">
        <f>(((FMS_Ranking4[[#This Row],[% NBS Raw]]/AZ$4)*100)*AZ$5)</f>
        <v>0</v>
      </c>
      <c r="BB376" s="251" t="str">
        <f>_xlfn.XLOOKUP(FMS_Ranking4[[#This Row],[FMS ID]],FMS_Input[FMS_ID],FMS_Input[WATER_SUP])</f>
        <v>No</v>
      </c>
      <c r="BC376" s="265">
        <f>IF(FMS_Ranking4[[#This Row],[Water Supply Raw]]="Yes",10,0)</f>
        <v>0</v>
      </c>
      <c r="BD376" s="266">
        <f>_xlfn.XLOOKUP(FMS_Ranking4[[#This Row],[FMS Type]],FMS_TYPE[FMS_Type],FMS_TYPE[Score])</f>
        <v>8</v>
      </c>
      <c r="BE376" s="267">
        <f>FMS_Ranking4[[#This Row],[FMS_Type Score]]*$BD$5*10</f>
        <v>2</v>
      </c>
      <c r="BF37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0.19495489634670154</v>
      </c>
      <c r="BG376" s="271">
        <f>_xlfn.RANK.EQ(BF376,$BF$8:$BF$870,0)+COUNTIF($BF$8:BF376,BF376)-1</f>
        <v>371</v>
      </c>
      <c r="BH376" s="268">
        <f>(((FMS_Ranking4[[#This Row],[Structures Removed Raw]]/AK$4)*100)*AK$5)+(((FMS_Ranking4[[#This Row],[Removed Pop Raw]]/AR$4)*100)*AR$5)</f>
        <v>0</v>
      </c>
      <c r="BI37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2.1949548963467014</v>
      </c>
      <c r="BJ376" s="205">
        <f>_xlfn.RANK.EQ(FMS_Ranking4[[#This Row],[Total Score 
(with linear
normalization)]],FMS_Ranking4[Total Score 
(with linear
normalization)],0)</f>
        <v>331</v>
      </c>
      <c r="BK376" s="205" t="e">
        <f>_xlfn.XLOOKUP(FMS_Ranking4[[#This Row],[FMS ID]],#REF!,#REF!)</f>
        <v>#REF!</v>
      </c>
      <c r="BL37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21.9884035177915</v>
      </c>
      <c r="BM376" s="272">
        <f>FMS_Ranking4[[#This Row],[ArcSinh Score Based on Normalized Reported Factors]]+FMS_Ranking4[[#This Row],[% NBS Score (Normalized)]]+(FMS_Ranking4[[#This Row],[Water Supply Score (Normalized)]]*10*$BB$5)+FMS_Ranking4[[#This Row],[FMS_Type Score Weighted]]</f>
        <v>23.9884035177915</v>
      </c>
      <c r="BN376" s="205">
        <f>_xlfn.RANK.EQ(FMS_Ranking4[[#This Row],[Total Score (with ArcSinh normalization of select criteria)]],FMS_Ranking4[Total Score (with ArcSinh normalization of select criteria)],0)</f>
        <v>369</v>
      </c>
      <c r="BO376" s="270" t="str">
        <f>_xlfn.XLOOKUP(FMS_Ranking4[[#This Row],[FMS ID]],FMS_Input[FMS_ID],FMS_Input[FMS_RANK_YEAR])</f>
        <v>2023 Amended Plan</v>
      </c>
      <c r="BP376" s="204">
        <f>_xlfn.XLOOKUP(FMS_Ranking4[[#This Row],[FMS ID]],Prev_Rank[FMS ID],Prev_Rank[Prev Rank])</f>
        <v>334</v>
      </c>
      <c r="BQ376" s="205" t="e">
        <f>_xlfn.XLOOKUP(FMS_Ranking4[[#This Row],[FMS ID]],#REF!,#REF!)</f>
        <v>#REF!</v>
      </c>
      <c r="BR376" s="199" t="e">
        <f>SUM(#REF!,#REF!,#REF!,#REF!,#REF!,#REF!,#REF!,#REF!,#REF!,FMS_Ranking4[[#This Row],[ArcSinh Res struct removed 0-10]],#REF!)</f>
        <v>#REF!</v>
      </c>
      <c r="BS376" s="199" t="e">
        <f>FMS_Ranking4[[#This Row],[Log Score Based on Normalized Reported Factors]]+FMS_Ranking4[[#This Row],[% NBS Score (Normalized)]]+(FMS_Ranking4[[#This Row],[Water Supply Score (Normalized)]]*10*$BB$5)+(FMS_Ranking4[[#This Row],[FMS_Type Score Weighted]])</f>
        <v>#REF!</v>
      </c>
      <c r="BT376" s="200" t="e">
        <f>_xlfn.RANK.EQ(FMS_Ranking4[[#This Row],[Log Total Score]],FMS_Ranking4[Log Total Score],0)</f>
        <v>#REF!</v>
      </c>
      <c r="BU376" s="200" t="e">
        <f>_xlfn.XLOOKUP(FMS_Ranking4[[#This Row],[FMS ID]],#REF!,#REF!)</f>
        <v>#REF!</v>
      </c>
      <c r="BV376" s="200">
        <f>FMS_Ranking4[[#This Row],[Region Number]]</f>
        <v>4</v>
      </c>
      <c r="BW376" s="200">
        <f>FMS_Ranking4[[#This Row],[Rank (with ArcSinh normalization of select criteria)]]-FMS_Ranking4[[#This Row],[Rank
(with linear
normalization)]]</f>
        <v>38</v>
      </c>
      <c r="BX376" s="200" t="e">
        <f>FMS_Ranking4[[#This Row],[Log Rank]]-FMS_Ranking4[[#This Row],[Rank
(with linear
normalization)]]</f>
        <v>#REF!</v>
      </c>
      <c r="BY376" s="200" t="str">
        <f>IF(FMS_Ranking4[[#This Row],[FMS Type]]="Flood Measurement and Warning",FMS_Ranking4[[#This Row],[Rank (with ArcSinh normalization of select criteria)]],"")</f>
        <v/>
      </c>
      <c r="BZ376" s="200">
        <f>IF(FMS_Ranking4[[#This Row],[FMS Type]]="Regulatory and Guidance",FMS_Ranking4[[#This Row],[Rank (with ArcSinh normalization of select criteria)]],"")</f>
        <v>369</v>
      </c>
      <c r="CA376" s="200" t="str">
        <f>IF(FMS_Ranking4[[#This Row],[FMS Type]]="Education and Outreach",FMS_Ranking4[[#This Row],[Rank (with ArcSinh normalization of select criteria)]],"")</f>
        <v/>
      </c>
      <c r="CB376" s="200" t="str">
        <f>IF(FMS_Ranking4[[#This Row],[FMS Type]]="Property Acquisition and Structural Elevation",FMS_Ranking4[[#This Row],[Rank (with ArcSinh normalization of select criteria)]],"")</f>
        <v/>
      </c>
      <c r="CC376" s="200" t="str">
        <f>IF(FMS_Ranking4[[#This Row],[FMS Type]]="Infrastructure Projects",FMS_Ranking4[[#This Row],[Rank (with ArcSinh normalization of select criteria)]],"")</f>
        <v/>
      </c>
      <c r="CD376" s="200" t="str">
        <f>IF(FMS_Ranking4[[#This Row],[FMS Type]]="Other",FMS_Ranking4[[#This Row],[Rank (with ArcSinh normalization of select criteria)]],"")</f>
        <v/>
      </c>
      <c r="CE376" s="201"/>
      <c r="CF376" s="206"/>
      <c r="CG376" s="206"/>
      <c r="CH376" s="206"/>
      <c r="CI376" s="206"/>
      <c r="CJ376" s="206"/>
      <c r="CK376" s="206"/>
      <c r="CL376" s="206"/>
      <c r="CM376" s="206"/>
      <c r="CN376" s="206"/>
      <c r="CO376" s="206"/>
      <c r="CP376" s="206"/>
      <c r="CQ376" s="206"/>
      <c r="CR376" s="206"/>
    </row>
    <row r="377" spans="2:96" ht="75" x14ac:dyDescent="0.25">
      <c r="B377" s="341" t="s">
        <v>3211</v>
      </c>
      <c r="C377" s="246">
        <f>_xlfn.XLOOKUP(FMS_Ranking4[[#This Row],[FMS ID]],FMS_Input[FMS_ID],FMS_Input[RFPG_NUM])</f>
        <v>7</v>
      </c>
      <c r="D377" s="309" t="str">
        <f>_xlfn.XLOOKUP(FMS_Ranking4[[#This Row],[FMS ID]],FMS_Input[FMS_ID],FMS_Input[FMS_NAME])</f>
        <v>City of Levelland Turn Around, Don't Drown</v>
      </c>
      <c r="E377" s="308" t="str">
        <f>_xlfn.XLOOKUP(FMS_Ranking4[[#This Row],[FMS ID]],FMS_Input[FMS_ID],FMS_Input[SPONSOR])</f>
        <v>07003166</v>
      </c>
      <c r="F377" s="309" t="str">
        <f>_xlfn.XLOOKUP(FMS_Ranking4[[#This Row],[FMS ID]],Sponsor[FMS_ID],Sponsor[SPONSOR NAME])</f>
        <v>Levelland</v>
      </c>
      <c r="G377" s="309" t="str">
        <f>_xlfn.XLOOKUP(FMS_Ranking4[[#This Row],[FMS ID]],FMS_Input[FMS_ID],FMS_Input[FMS_DESCR])</f>
        <v>Encourage annual public outreach and education activities to improve awareness of flood hazards using Turn Around, Don't Drown program</v>
      </c>
      <c r="H377" s="248" t="str">
        <f>_xlfn.XLOOKUP(FMS_Ranking4[[#This Row],[FMS ID]],FMS_Input[FMS_ID],FMS_Input[FMS_TYPE])</f>
        <v>Education and Outreach</v>
      </c>
      <c r="I377" s="249">
        <f>_xlfn.XLOOKUP(FMS_Ranking4[[#This Row],[FMS ID]],FMS_Input[FMS_ID],FMS_Input[NRNC_COST])</f>
        <v>50000</v>
      </c>
      <c r="J377" s="250">
        <f>_xlfn.XLOOKUP(FMS_Ranking4[[#This Row],[FMS ID]],FMS_Input[FMS_ID],FMS_Input[FMS_COST])</f>
        <v>50000</v>
      </c>
      <c r="K377" s="251" t="str">
        <f>_xlfn.XLOOKUP(FMS_Ranking4[[#This Row],[FMS ID]],FMS_Input[FMS_ID],FMS_Input[EMER_NEED])</f>
        <v>No</v>
      </c>
      <c r="L377" s="252">
        <f t="shared" si="5"/>
        <v>0</v>
      </c>
      <c r="M377" s="253">
        <f>_xlfn.XLOOKUP(FMS_Ranking4[[#This Row],[FMS ID]],FMS_Input[FMS_ID],FMS_Input[STRUCT_100])</f>
        <v>1277</v>
      </c>
      <c r="N377" s="255">
        <f>(ASINH(FMS_Ranking4[[#This Row],[Structure at Risk Raw]]))*(10)/(ASINH(M$4))</f>
        <v>6.1676652571362265</v>
      </c>
      <c r="O377" s="256">
        <f>FMS_Ranking4[[#This Row],[Structures at risk, ArcSinh (0-10)]]*M$5*10</f>
        <v>6.1676652571362265</v>
      </c>
      <c r="P377" s="253">
        <f>_xlfn.XLOOKUP(FMS_Ranking4[[#This Row],[FMS ID]],FMS_Input[FMS_ID],FMS_Input[RES_STRUCT100])</f>
        <v>1018</v>
      </c>
      <c r="Q377" s="257">
        <f>ASINH(FMS_Ranking4[[#This Row],[Res Structure Raw]])/Q$4*P$5*100</f>
        <v>0</v>
      </c>
      <c r="R377" s="253">
        <f>_xlfn.XLOOKUP(FMS_Ranking4[[#This Row],[FMS ID]],FMS_Input[FMS_ID],FMS_Input[POP100])</f>
        <v>4738</v>
      </c>
      <c r="S377" s="259">
        <f>(ASINH(FMS_Ranking4[[#This Row],[Pop at Risk Raw]]))*(10)/(ASINH(R$4))</f>
        <v>6.3212771565099954</v>
      </c>
      <c r="T377" s="256">
        <f>FMS_Ranking4[[#This Row],[Population at risk, ArcSinh (0-10)]]*R$5*10</f>
        <v>6.3212771565099954</v>
      </c>
      <c r="U377" s="253">
        <f>_xlfn.XLOOKUP(FMS_Ranking4[[#This Row],[FMS ID]],FMS_Input[FMS_ID],FMS_Input[CRITFAC100])</f>
        <v>5</v>
      </c>
      <c r="V377" s="259">
        <f>(ASINH(FMS_Ranking4[[#This Row],[Critical Facilities Raw]]))*(10)/(ASINH(U$4))</f>
        <v>2.7373815814321909</v>
      </c>
      <c r="W377" s="256">
        <f>FMS_Ranking4[[#This Row],[Critical facilities at risk, ArcSinh (0-10)]]*U$5*10</f>
        <v>2.7373815814321913</v>
      </c>
      <c r="X377" s="253">
        <f>_xlfn.XLOOKUP(FMS_Ranking4[[#This Row],[FMS ID]],FMS_Input[FMS_ID],FMS_Input[LWC])</f>
        <v>0</v>
      </c>
      <c r="Y377" s="259">
        <f>(ASINH(FMS_Ranking4[[#This Row],[LWC Raw]]))*(10)/(ASINH(X$4))</f>
        <v>0</v>
      </c>
      <c r="Z377" s="256">
        <f>FMS_Ranking4[[#This Row],[LWC, ArcSInh (0-10)]]*X$5*10</f>
        <v>0</v>
      </c>
      <c r="AA377" s="253">
        <f>_xlfn.XLOOKUP(FMS_Ranking4[[#This Row],[FMS ID]],FMS_Input[FMS_ID],FMS_Input[ROADCLS])</f>
        <v>0</v>
      </c>
      <c r="AB377" s="255">
        <f>(ASINH(FMS_Ranking4[[#This Row],[Road Closures Raw]]))*(10)/(ASINH(AA$4))</f>
        <v>0</v>
      </c>
      <c r="AC377" s="256">
        <f>FMS_Ranking4[[#This Row],[Road closures, ArcSinh (0-10)]]*AA$5*10</f>
        <v>0</v>
      </c>
      <c r="AD377" s="253">
        <f>_xlfn.XLOOKUP(FMS_Ranking4[[#This Row],[FMS ID]],FMS_Input[FMS_ID],FMS_Input[ROAD_MILES100])</f>
        <v>46</v>
      </c>
      <c r="AE377" s="259">
        <f>(ASINH(FMS_Ranking4[[#This Row],[Road Miles Raw]]))*(10)/(ASINH(AD$4))</f>
        <v>4.8191084598411456</v>
      </c>
      <c r="AF377" s="256">
        <f>FMS_Ranking4[[#This Row],[Length of roads at risk, ArcSinh (0-10)]]*AD$5*10</f>
        <v>4.8191084598411464</v>
      </c>
      <c r="AG377" s="253">
        <f>_xlfn.XLOOKUP(FMS_Ranking4[[#This Row],[FMS ID]],FMS_Input[FMS_ID],FMS_Input[FARMACRE100])</f>
        <v>718.18170166015625</v>
      </c>
      <c r="AH377" s="255">
        <f>(ASINH(FMS_Ranking4[[#This Row],[Ag Land Raw]]))*(10)/(ASINH(AG$4))</f>
        <v>4.7223730108547342</v>
      </c>
      <c r="AI377" s="260">
        <f>FMS_Ranking4[[#This Row],[Farm &amp; ranch land, ArcSinh (0-10)]]*AG$5*10</f>
        <v>2.3611865054273675</v>
      </c>
      <c r="AJ377" s="258">
        <f>_xlfn.XLOOKUP(FMS_Ranking4[[#This Row],[FMS ID]],FMS_Input[FMS_ID],FMS_Input[REDSTRUCT100])</f>
        <v>0</v>
      </c>
      <c r="AK377" s="253">
        <f>_xlfn.XLOOKUP(FMS_Ranking4[[#This Row],[FMS ID]],FMS_Input[FMS_ID],FMS_Input[REMSTRC100])</f>
        <v>0</v>
      </c>
      <c r="AL377" s="259">
        <f>(ASINH(FMS_Ranking4[[#This Row],[Structures Removed Raw]]))*(10)/(ASINH(AK$4))</f>
        <v>0</v>
      </c>
      <c r="AM377" s="262">
        <f>FMS_Ranking4[[#This Row],[Structures removed, ArcSinh (0-10)]]*AK$5*10</f>
        <v>0</v>
      </c>
      <c r="AN377" s="253">
        <f>_xlfn.XLOOKUP(FMS_Ranking4[[#This Row],[FMS ID]],FMS_Input[FMS_ID],FMS_Input[REMRESSTRC100])</f>
        <v>0</v>
      </c>
      <c r="AO377" s="261">
        <f>FMS_Ranking4[[#This Row],[ArcSinh Res struct removed 0-10]]*AN$5*10</f>
        <v>0</v>
      </c>
      <c r="AP377" s="260">
        <f>ASINH(FMS_Ranking4[[#This Row],[Residential Structures Removed Raw]])/AP$4*AN$5*100</f>
        <v>0</v>
      </c>
      <c r="AQ377" s="254">
        <f>(ASINH(FMS_Ranking4[[#This Row],[Residential Structures Removed Raw]]))*(10)/(ASINH(AN$4))</f>
        <v>0</v>
      </c>
      <c r="AR377" s="253">
        <f>_xlfn.XLOOKUP(FMS_Ranking4[[#This Row],[FMS ID]],FMS_Input[FMS_ID],FMS_Input[REMPOP100])</f>
        <v>0</v>
      </c>
      <c r="AS377" s="259">
        <f>(ASINH(FMS_Ranking4[[#This Row],[Removed Pop Raw]]))*(10)/(ASINH(AR$4))</f>
        <v>0</v>
      </c>
      <c r="AT377" s="262">
        <f>FMS_Ranking4[[#This Row],[Removed population, ArcSinh (0-10)]]*AR$5*10</f>
        <v>0</v>
      </c>
      <c r="AU377" s="264">
        <f>_xlfn.XLOOKUP(FMS_Ranking4[[#This Row],[FMS ID]],FMS_Input[FMS_ID],FMS_Input[REMCRITFAC100])</f>
        <v>0</v>
      </c>
      <c r="AV377" s="264">
        <f>_xlfn.XLOOKUP(FMS_Ranking4[[#This Row],[FMS ID]],FMS_Input[FMS_ID],FMS_Input[REMLWC100])</f>
        <v>0</v>
      </c>
      <c r="AW377" s="264">
        <f>_xlfn.XLOOKUP(FMS_Ranking4[[#This Row],[FMS ID]],FMS_Input[FMS_ID],FMS_Input[REMROADCLS])</f>
        <v>0</v>
      </c>
      <c r="AX377" s="264">
        <f>_xlfn.XLOOKUP(FMS_Ranking4[[#This Row],[FMS ID]],FMS_Input[FMS_ID],FMS_Input[REMFRMACRE100])</f>
        <v>0</v>
      </c>
      <c r="AY377" s="258">
        <f>_xlfn.XLOOKUP(FMS_Ranking4[[#This Row],[FMS ID]],FMS_Input[FMS_ID],FMS_Input[COSTSTRUCT])</f>
        <v>0</v>
      </c>
      <c r="AZ377" s="253">
        <f>_xlfn.XLOOKUP(FMS_Ranking4[[#This Row],[FMS ID]],FMS_Input[FMS_ID],FMS_Input[NATURE])</f>
        <v>0</v>
      </c>
      <c r="BA377" s="262">
        <f>(((FMS_Ranking4[[#This Row],[% NBS Raw]]/AZ$4)*100)*AZ$5)</f>
        <v>0</v>
      </c>
      <c r="BB377" s="251" t="str">
        <f>_xlfn.XLOOKUP(FMS_Ranking4[[#This Row],[FMS ID]],FMS_Input[FMS_ID],FMS_Input[WATER_SUP])</f>
        <v>No</v>
      </c>
      <c r="BC377" s="265">
        <f>IF(FMS_Ranking4[[#This Row],[Water Supply Raw]]="Yes",10,0)</f>
        <v>0</v>
      </c>
      <c r="BD377" s="266">
        <f>_xlfn.XLOOKUP(FMS_Ranking4[[#This Row],[FMS Type]],FMS_TYPE[FMS_Type],FMS_TYPE[Score])</f>
        <v>6</v>
      </c>
      <c r="BE377" s="267">
        <f>FMS_Ranking4[[#This Row],[FMS_Type Score]]*$BD$5*10</f>
        <v>1.5000000000000002</v>
      </c>
      <c r="BF37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0.22517809363361233</v>
      </c>
      <c r="BG377" s="271">
        <f>_xlfn.RANK.EQ(BF377,$BF$8:$BF$870,0)+COUNTIF($BF$8:BF377,BF377)-1</f>
        <v>343</v>
      </c>
      <c r="BH377" s="268">
        <f>(((FMS_Ranking4[[#This Row],[Structures Removed Raw]]/AK$4)*100)*AK$5)+(((FMS_Ranking4[[#This Row],[Removed Pop Raw]]/AR$4)*100)*AR$5)</f>
        <v>0</v>
      </c>
      <c r="BI37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1.7251780936336125</v>
      </c>
      <c r="BJ377" s="205">
        <f>_xlfn.RANK.EQ(FMS_Ranking4[[#This Row],[Total Score 
(with linear
normalization)]],FMS_Ranking4[Total Score 
(with linear
normalization)],0)</f>
        <v>546</v>
      </c>
      <c r="BK377" s="205" t="e">
        <f>_xlfn.XLOOKUP(FMS_Ranking4[[#This Row],[FMS ID]],#REF!,#REF!)</f>
        <v>#REF!</v>
      </c>
      <c r="BL37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22.406618960346925</v>
      </c>
      <c r="BM377" s="272">
        <f>FMS_Ranking4[[#This Row],[ArcSinh Score Based on Normalized Reported Factors]]+FMS_Ranking4[[#This Row],[% NBS Score (Normalized)]]+(FMS_Ranking4[[#This Row],[Water Supply Score (Normalized)]]*10*$BB$5)+FMS_Ranking4[[#This Row],[FMS_Type Score Weighted]]</f>
        <v>23.906618960346925</v>
      </c>
      <c r="BN377" s="205">
        <f>_xlfn.RANK.EQ(FMS_Ranking4[[#This Row],[Total Score (with ArcSinh normalization of select criteria)]],FMS_Ranking4[Total Score (with ArcSinh normalization of select criteria)],0)</f>
        <v>370</v>
      </c>
      <c r="BO377" s="270" t="str">
        <f>_xlfn.XLOOKUP(FMS_Ranking4[[#This Row],[FMS ID]],FMS_Input[FMS_ID],FMS_Input[FMS_RANK_YEAR])</f>
        <v>2023 Amended Plan</v>
      </c>
      <c r="BP377" s="204">
        <f>_xlfn.XLOOKUP(FMS_Ranking4[[#This Row],[FMS ID]],Prev_Rank[FMS ID],Prev_Rank[Prev Rank])</f>
        <v>328</v>
      </c>
      <c r="BQ377" s="205" t="e">
        <f>_xlfn.XLOOKUP(FMS_Ranking4[[#This Row],[FMS ID]],#REF!,#REF!)</f>
        <v>#REF!</v>
      </c>
      <c r="BR377" s="199" t="e">
        <f>SUM(#REF!,#REF!,#REF!,#REF!,#REF!,#REF!,#REF!,#REF!,#REF!,FMS_Ranking4[[#This Row],[ArcSinh Res struct removed 0-10]],#REF!)</f>
        <v>#REF!</v>
      </c>
      <c r="BS377" s="199" t="e">
        <f>FMS_Ranking4[[#This Row],[Log Score Based on Normalized Reported Factors]]+FMS_Ranking4[[#This Row],[% NBS Score (Normalized)]]+(FMS_Ranking4[[#This Row],[Water Supply Score (Normalized)]]*10*$BB$5)+(FMS_Ranking4[[#This Row],[FMS_Type Score Weighted]])</f>
        <v>#REF!</v>
      </c>
      <c r="BT377" s="200" t="e">
        <f>_xlfn.RANK.EQ(FMS_Ranking4[[#This Row],[Log Total Score]],FMS_Ranking4[Log Total Score],0)</f>
        <v>#REF!</v>
      </c>
      <c r="BU377" s="200" t="e">
        <f>_xlfn.XLOOKUP(FMS_Ranking4[[#This Row],[FMS ID]],#REF!,#REF!)</f>
        <v>#REF!</v>
      </c>
      <c r="BV377" s="200">
        <f>FMS_Ranking4[[#This Row],[Region Number]]</f>
        <v>7</v>
      </c>
      <c r="BW377" s="200">
        <f>FMS_Ranking4[[#This Row],[Rank (with ArcSinh normalization of select criteria)]]-FMS_Ranking4[[#This Row],[Rank
(with linear
normalization)]]</f>
        <v>-176</v>
      </c>
      <c r="BX377" s="200" t="e">
        <f>FMS_Ranking4[[#This Row],[Log Rank]]-FMS_Ranking4[[#This Row],[Rank
(with linear
normalization)]]</f>
        <v>#REF!</v>
      </c>
      <c r="BY377" s="200" t="str">
        <f>IF(FMS_Ranking4[[#This Row],[FMS Type]]="Flood Measurement and Warning",FMS_Ranking4[[#This Row],[Rank (with ArcSinh normalization of select criteria)]],"")</f>
        <v/>
      </c>
      <c r="BZ377" s="200" t="str">
        <f>IF(FMS_Ranking4[[#This Row],[FMS Type]]="Regulatory and Guidance",FMS_Ranking4[[#This Row],[Rank (with ArcSinh normalization of select criteria)]],"")</f>
        <v/>
      </c>
      <c r="CA377" s="200">
        <f>IF(FMS_Ranking4[[#This Row],[FMS Type]]="Education and Outreach",FMS_Ranking4[[#This Row],[Rank (with ArcSinh normalization of select criteria)]],"")</f>
        <v>370</v>
      </c>
      <c r="CB377" s="200" t="str">
        <f>IF(FMS_Ranking4[[#This Row],[FMS Type]]="Property Acquisition and Structural Elevation",FMS_Ranking4[[#This Row],[Rank (with ArcSinh normalization of select criteria)]],"")</f>
        <v/>
      </c>
      <c r="CC377" s="200" t="str">
        <f>IF(FMS_Ranking4[[#This Row],[FMS Type]]="Infrastructure Projects",FMS_Ranking4[[#This Row],[Rank (with ArcSinh normalization of select criteria)]],"")</f>
        <v/>
      </c>
      <c r="CD377" s="200" t="str">
        <f>IF(FMS_Ranking4[[#This Row],[FMS Type]]="Other",FMS_Ranking4[[#This Row],[Rank (with ArcSinh normalization of select criteria)]],"")</f>
        <v/>
      </c>
      <c r="CE377" s="201"/>
      <c r="CF377" s="206"/>
      <c r="CG377" s="206"/>
      <c r="CH377" s="206"/>
      <c r="CI377" s="206"/>
      <c r="CJ377" s="206"/>
      <c r="CK377" s="206"/>
      <c r="CL377" s="206"/>
      <c r="CM377" s="206"/>
      <c r="CN377" s="206"/>
      <c r="CO377" s="206"/>
      <c r="CP377" s="206"/>
      <c r="CQ377" s="206"/>
      <c r="CR377" s="206"/>
    </row>
    <row r="378" spans="2:96" ht="90" x14ac:dyDescent="0.25">
      <c r="B378" s="341" t="s">
        <v>2699</v>
      </c>
      <c r="C378" s="246">
        <f>_xlfn.XLOOKUP(FMS_Ranking4[[#This Row],[FMS ID]],FMS_Input[FMS_ID],FMS_Input[RFPG_NUM])</f>
        <v>5</v>
      </c>
      <c r="D378" s="309" t="str">
        <f>_xlfn.XLOOKUP(FMS_Ranking4[[#This Row],[FMS ID]],FMS_Input[FMS_ID],FMS_Input[FMS_NAME])</f>
        <v>San Augustine County Acquisition and Conversion of Flood Prone Properties</v>
      </c>
      <c r="E378" s="308" t="str">
        <f>_xlfn.XLOOKUP(FMS_Ranking4[[#This Row],[FMS ID]],FMS_Input[FMS_ID],FMS_Input[SPONSOR])</f>
        <v>00000136</v>
      </c>
      <c r="F378" s="309" t="str">
        <f>_xlfn.XLOOKUP(FMS_Ranking4[[#This Row],[FMS ID]],Sponsor[FMS_ID],Sponsor[SPONSOR NAME])</f>
        <v>San Augustine</v>
      </c>
      <c r="G378" s="309" t="str">
        <f>_xlfn.XLOOKUP(FMS_Ranking4[[#This Row],[FMS ID]],FMS_Input[FMS_ID],FMS_Input[FMS_DESCR])</f>
        <v>Acquire flood prone/repetitive loss properties and convert to open space, parks, boating access, trails, agricultural projects, and/or as a general community asset.</v>
      </c>
      <c r="H378" s="248" t="str">
        <f>_xlfn.XLOOKUP(FMS_Ranking4[[#This Row],[FMS ID]],FMS_Input[FMS_ID],FMS_Input[FMS_TYPE])</f>
        <v>Property Acquisition and Structural Elevation</v>
      </c>
      <c r="I378" s="249">
        <f>_xlfn.XLOOKUP(FMS_Ranking4[[#This Row],[FMS ID]],FMS_Input[FMS_ID],FMS_Input[NRNC_COST])</f>
        <v>100000</v>
      </c>
      <c r="J378" s="250">
        <f>_xlfn.XLOOKUP(FMS_Ranking4[[#This Row],[FMS ID]],FMS_Input[FMS_ID],FMS_Input[FMS_COST])</f>
        <v>530000</v>
      </c>
      <c r="K378" s="251" t="str">
        <f>_xlfn.XLOOKUP(FMS_Ranking4[[#This Row],[FMS ID]],FMS_Input[FMS_ID],FMS_Input[EMER_NEED])</f>
        <v>Yes</v>
      </c>
      <c r="L378" s="252">
        <f t="shared" si="5"/>
        <v>1</v>
      </c>
      <c r="M378" s="253">
        <f>_xlfn.XLOOKUP(FMS_Ranking4[[#This Row],[FMS ID]],FMS_Input[FMS_ID],FMS_Input[STRUCT_100])</f>
        <v>64</v>
      </c>
      <c r="N378" s="255">
        <f>(ASINH(FMS_Ranking4[[#This Row],[Structure at Risk Raw]]))*(10)/(ASINH(M$4))</f>
        <v>3.8144662017850184</v>
      </c>
      <c r="O378" s="256">
        <f>FMS_Ranking4[[#This Row],[Structures at risk, ArcSinh (0-10)]]*M$5*10</f>
        <v>3.8144662017850184</v>
      </c>
      <c r="P378" s="253">
        <f>_xlfn.XLOOKUP(FMS_Ranking4[[#This Row],[FMS ID]],FMS_Input[FMS_ID],FMS_Input[RES_STRUCT100])</f>
        <v>28</v>
      </c>
      <c r="Q378" s="257">
        <f>ASINH(FMS_Ranking4[[#This Row],[Res Structure Raw]])/Q$4*P$5*100</f>
        <v>0</v>
      </c>
      <c r="R378" s="253">
        <f>_xlfn.XLOOKUP(FMS_Ranking4[[#This Row],[FMS ID]],FMS_Input[FMS_ID],FMS_Input[POP100])</f>
        <v>146</v>
      </c>
      <c r="S378" s="255">
        <f>(ASINH(FMS_Ranking4[[#This Row],[Pop at Risk Raw]]))*(10)/(ASINH(R$4))</f>
        <v>3.9190017351397799</v>
      </c>
      <c r="T378" s="256">
        <f>FMS_Ranking4[[#This Row],[Population at risk, ArcSinh (0-10)]]*R$5*10</f>
        <v>3.9190017351397799</v>
      </c>
      <c r="U378" s="253">
        <f>_xlfn.XLOOKUP(FMS_Ranking4[[#This Row],[FMS ID]],FMS_Input[FMS_ID],FMS_Input[CRITFAC100])</f>
        <v>0</v>
      </c>
      <c r="V378" s="255">
        <f>(ASINH(FMS_Ranking4[[#This Row],[Critical Facilities Raw]]))*(10)/(ASINH(U$4))</f>
        <v>0</v>
      </c>
      <c r="W378" s="256">
        <f>FMS_Ranking4[[#This Row],[Critical facilities at risk, ArcSinh (0-10)]]*U$5*10</f>
        <v>0</v>
      </c>
      <c r="X378" s="253">
        <f>_xlfn.XLOOKUP(FMS_Ranking4[[#This Row],[FMS ID]],FMS_Input[FMS_ID],FMS_Input[LWC])</f>
        <v>2</v>
      </c>
      <c r="Y378" s="255">
        <f>(ASINH(FMS_Ranking4[[#This Row],[LWC Raw]]))*(10)/(ASINH(X$4))</f>
        <v>1.9557475158633808</v>
      </c>
      <c r="Z378" s="256">
        <f>FMS_Ranking4[[#This Row],[LWC, ArcSInh (0-10)]]*X$5*10</f>
        <v>1.9557475158633808</v>
      </c>
      <c r="AA378" s="253">
        <f>_xlfn.XLOOKUP(FMS_Ranking4[[#This Row],[FMS ID]],FMS_Input[FMS_ID],FMS_Input[ROADCLS])</f>
        <v>2</v>
      </c>
      <c r="AB378" s="255">
        <f>(ASINH(FMS_Ranking4[[#This Row],[Road Closures Raw]]))*(10)/(ASINH(AA$4))</f>
        <v>1.5034138460359754</v>
      </c>
      <c r="AC378" s="256">
        <f>FMS_Ranking4[[#This Row],[Road closures, ArcSinh (0-10)]]*AA$5*10</f>
        <v>0.7517069230179878</v>
      </c>
      <c r="AD378" s="253">
        <f>_xlfn.XLOOKUP(FMS_Ranking4[[#This Row],[FMS ID]],FMS_Input[FMS_ID],FMS_Input[ROAD_MILES100])</f>
        <v>13</v>
      </c>
      <c r="AE378" s="255">
        <f>(ASINH(FMS_Ranking4[[#This Row],[Road Miles Raw]]))*(10)/(ASINH(AD$4))</f>
        <v>3.473807557544454</v>
      </c>
      <c r="AF378" s="256">
        <f>FMS_Ranking4[[#This Row],[Length of roads at risk, ArcSinh (0-10)]]*AD$5*10</f>
        <v>3.4738075575444545</v>
      </c>
      <c r="AG378" s="253">
        <f>_xlfn.XLOOKUP(FMS_Ranking4[[#This Row],[FMS ID]],FMS_Input[FMS_ID],FMS_Input[FARMACRE100])</f>
        <v>41.607803344726563</v>
      </c>
      <c r="AH378" s="255">
        <f>(ASINH(FMS_Ranking4[[#This Row],[Ag Land Raw]]))*(10)/(ASINH(AG$4))</f>
        <v>2.8721759700058862</v>
      </c>
      <c r="AI378" s="260">
        <f>FMS_Ranking4[[#This Row],[Farm &amp; ranch land, ArcSinh (0-10)]]*AG$5*10</f>
        <v>1.4360879850029431</v>
      </c>
      <c r="AJ378" s="258">
        <f>_xlfn.XLOOKUP(FMS_Ranking4[[#This Row],[FMS ID]],FMS_Input[FMS_ID],FMS_Input[REDSTRUCT100])</f>
        <v>0</v>
      </c>
      <c r="AK378" s="253">
        <f>_xlfn.XLOOKUP(FMS_Ranking4[[#This Row],[FMS ID]],FMS_Input[FMS_ID],FMS_Input[REMSTRC100])</f>
        <v>0</v>
      </c>
      <c r="AL378" s="255">
        <f>(ASINH(FMS_Ranking4[[#This Row],[Structures Removed Raw]]))*(10)/(ASINH(AK$4))</f>
        <v>0</v>
      </c>
      <c r="AM378" s="262">
        <f>FMS_Ranking4[[#This Row],[Structures removed, ArcSinh (0-10)]]*AK$5*10</f>
        <v>0</v>
      </c>
      <c r="AN378" s="253">
        <f>_xlfn.XLOOKUP(FMS_Ranking4[[#This Row],[FMS ID]],FMS_Input[FMS_ID],FMS_Input[REMRESSTRC100])</f>
        <v>0</v>
      </c>
      <c r="AO378" s="261">
        <f>FMS_Ranking4[[#This Row],[ArcSinh Res struct removed 0-10]]*AN$5*10</f>
        <v>0</v>
      </c>
      <c r="AP378" s="260">
        <f>ASINH(FMS_Ranking4[[#This Row],[Residential Structures Removed Raw]])/AP$4*AN$5*100</f>
        <v>0</v>
      </c>
      <c r="AQ378" s="258">
        <f>(ASINH(FMS_Ranking4[[#This Row],[Residential Structures Removed Raw]]))*(10)/(ASINH(AN$4))</f>
        <v>0</v>
      </c>
      <c r="AR378" s="253">
        <f>_xlfn.XLOOKUP(FMS_Ranking4[[#This Row],[FMS ID]],FMS_Input[FMS_ID],FMS_Input[REMPOP100])</f>
        <v>0</v>
      </c>
      <c r="AS378" s="255">
        <f>(ASINH(FMS_Ranking4[[#This Row],[Removed Pop Raw]]))*(10)/(ASINH(AR$4))</f>
        <v>0</v>
      </c>
      <c r="AT378" s="262">
        <f>FMS_Ranking4[[#This Row],[Removed population, ArcSinh (0-10)]]*AR$5*10</f>
        <v>0</v>
      </c>
      <c r="AU378" s="264">
        <f>_xlfn.XLOOKUP(FMS_Ranking4[[#This Row],[FMS ID]],FMS_Input[FMS_ID],FMS_Input[REMCRITFAC100])</f>
        <v>0</v>
      </c>
      <c r="AV378" s="264">
        <f>_xlfn.XLOOKUP(FMS_Ranking4[[#This Row],[FMS ID]],FMS_Input[FMS_ID],FMS_Input[REMLWC100])</f>
        <v>0</v>
      </c>
      <c r="AW378" s="264">
        <f>_xlfn.XLOOKUP(FMS_Ranking4[[#This Row],[FMS ID]],FMS_Input[FMS_ID],FMS_Input[REMROADCLS])</f>
        <v>0</v>
      </c>
      <c r="AX378" s="264">
        <f>_xlfn.XLOOKUP(FMS_Ranking4[[#This Row],[FMS ID]],FMS_Input[FMS_ID],FMS_Input[REMFRMACRE100])</f>
        <v>0</v>
      </c>
      <c r="AY378" s="258">
        <f>_xlfn.XLOOKUP(FMS_Ranking4[[#This Row],[FMS ID]],FMS_Input[FMS_ID],FMS_Input[COSTSTRUCT])</f>
        <v>0</v>
      </c>
      <c r="AZ378" s="253">
        <f>_xlfn.XLOOKUP(FMS_Ranking4[[#This Row],[FMS ID]],FMS_Input[FMS_ID],FMS_Input[NATURE])</f>
        <v>100</v>
      </c>
      <c r="BA378" s="262">
        <f>(((FMS_Ranking4[[#This Row],[% NBS Raw]]/AZ$4)*100)*AZ$5)</f>
        <v>7.5</v>
      </c>
      <c r="BB378" s="251" t="str">
        <f>_xlfn.XLOOKUP(FMS_Ranking4[[#This Row],[FMS ID]],FMS_Input[FMS_ID],FMS_Input[WATER_SUP])</f>
        <v>No</v>
      </c>
      <c r="BC378" s="265">
        <f>IF(FMS_Ranking4[[#This Row],[Water Supply Raw]]="Yes",10,0)</f>
        <v>0</v>
      </c>
      <c r="BD378" s="266">
        <f>_xlfn.XLOOKUP(FMS_Ranking4[[#This Row],[FMS Type]],FMS_TYPE[FMS_Type],FMS_TYPE[Score])</f>
        <v>4</v>
      </c>
      <c r="BE378" s="267">
        <f>FMS_Ranking4[[#This Row],[FMS_Type Score]]*$BD$5*10</f>
        <v>1</v>
      </c>
      <c r="BF37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5.3536336542967897E-2</v>
      </c>
      <c r="BG378" s="321">
        <f>_xlfn.RANK.EQ(BF378,$BF$8:$BF$870,0)+COUNTIF($BF$8:BF378,BF378)-1</f>
        <v>550</v>
      </c>
      <c r="BH378" s="294">
        <f>(((FMS_Ranking4[[#This Row],[Structures Removed Raw]]/AK$4)*100)*AK$5)+(((FMS_Ranking4[[#This Row],[Removed Pop Raw]]/AR$4)*100)*AR$5)</f>
        <v>0</v>
      </c>
      <c r="BI37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8.5535363365429689</v>
      </c>
      <c r="BJ378" s="251">
        <f>_xlfn.RANK.EQ(FMS_Ranking4[[#This Row],[Total Score 
(with linear
normalization)]],FMS_Ranking4[Total Score 
(with linear
normalization)],0)</f>
        <v>75</v>
      </c>
      <c r="BK378" s="251" t="e">
        <f>_xlfn.XLOOKUP(FMS_Ranking4[[#This Row],[FMS ID]],#REF!,#REF!)</f>
        <v>#REF!</v>
      </c>
      <c r="BL37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15.350817918353565</v>
      </c>
      <c r="BM378" s="324">
        <f>FMS_Ranking4[[#This Row],[ArcSinh Score Based on Normalized Reported Factors]]+FMS_Ranking4[[#This Row],[% NBS Score (Normalized)]]+(FMS_Ranking4[[#This Row],[Water Supply Score (Normalized)]]*10*$BB$5)+FMS_Ranking4[[#This Row],[FMS_Type Score Weighted]]</f>
        <v>23.850817918353563</v>
      </c>
      <c r="BN378" s="251">
        <f>_xlfn.RANK.EQ(FMS_Ranking4[[#This Row],[Total Score (with ArcSinh normalization of select criteria)]],FMS_Ranking4[Total Score (with ArcSinh normalization of select criteria)],0)</f>
        <v>371</v>
      </c>
      <c r="BO378" s="270" t="str">
        <f>_xlfn.XLOOKUP(FMS_Ranking4[[#This Row],[FMS ID]],FMS_Input[FMS_ID],FMS_Input[FMS_RANK_YEAR])</f>
        <v>2023 Amended Plan</v>
      </c>
      <c r="BP378" s="204">
        <f>_xlfn.XLOOKUP(FMS_Ranking4[[#This Row],[FMS ID]],Prev_Rank[FMS ID],Prev_Rank[Prev Rank])</f>
        <v>333</v>
      </c>
      <c r="BQ378" s="251" t="e">
        <f>_xlfn.XLOOKUP(FMS_Ranking4[[#This Row],[FMS ID]],#REF!,#REF!)</f>
        <v>#REF!</v>
      </c>
      <c r="BR378" s="199" t="e">
        <f>SUM(#REF!,#REF!,#REF!,#REF!,#REF!,#REF!,#REF!,#REF!,#REF!,FMS_Ranking4[[#This Row],[ArcSinh Res struct removed 0-10]],#REF!)</f>
        <v>#REF!</v>
      </c>
      <c r="BS378" s="199" t="e">
        <f>FMS_Ranking4[[#This Row],[Log Score Based on Normalized Reported Factors]]+FMS_Ranking4[[#This Row],[% NBS Score (Normalized)]]+(FMS_Ranking4[[#This Row],[Water Supply Score (Normalized)]]*10*$BB$5)+(FMS_Ranking4[[#This Row],[FMS_Type Score Weighted]])</f>
        <v>#REF!</v>
      </c>
      <c r="BT378" s="200" t="e">
        <f>_xlfn.RANK.EQ(FMS_Ranking4[[#This Row],[Log Total Score]],FMS_Ranking4[Log Total Score],0)</f>
        <v>#REF!</v>
      </c>
      <c r="BU378" s="200" t="e">
        <f>_xlfn.XLOOKUP(FMS_Ranking4[[#This Row],[FMS ID]],#REF!,#REF!)</f>
        <v>#REF!</v>
      </c>
      <c r="BV378" s="200">
        <f>FMS_Ranking4[[#This Row],[Region Number]]</f>
        <v>5</v>
      </c>
      <c r="BW378" s="200">
        <f>FMS_Ranking4[[#This Row],[Rank (with ArcSinh normalization of select criteria)]]-FMS_Ranking4[[#This Row],[Rank
(with linear
normalization)]]</f>
        <v>296</v>
      </c>
      <c r="BX378" s="200" t="e">
        <f>FMS_Ranking4[[#This Row],[Log Rank]]-FMS_Ranking4[[#This Row],[Rank
(with linear
normalization)]]</f>
        <v>#REF!</v>
      </c>
      <c r="BY378" s="200" t="str">
        <f>IF(FMS_Ranking4[[#This Row],[FMS Type]]="Flood Measurement and Warning",FMS_Ranking4[[#This Row],[Rank (with ArcSinh normalization of select criteria)]],"")</f>
        <v/>
      </c>
      <c r="BZ378" s="200" t="str">
        <f>IF(FMS_Ranking4[[#This Row],[FMS Type]]="Regulatory and Guidance",FMS_Ranking4[[#This Row],[Rank (with ArcSinh normalization of select criteria)]],"")</f>
        <v/>
      </c>
      <c r="CA378" s="200" t="str">
        <f>IF(FMS_Ranking4[[#This Row],[FMS Type]]="Education and Outreach",FMS_Ranking4[[#This Row],[Rank (with ArcSinh normalization of select criteria)]],"")</f>
        <v/>
      </c>
      <c r="CB378" s="200">
        <f>IF(FMS_Ranking4[[#This Row],[FMS Type]]="Property Acquisition and Structural Elevation",FMS_Ranking4[[#This Row],[Rank (with ArcSinh normalization of select criteria)]],"")</f>
        <v>371</v>
      </c>
      <c r="CC378" s="200" t="str">
        <f>IF(FMS_Ranking4[[#This Row],[FMS Type]]="Infrastructure Projects",FMS_Ranking4[[#This Row],[Rank (with ArcSinh normalization of select criteria)]],"")</f>
        <v/>
      </c>
      <c r="CD378" s="200" t="str">
        <f>IF(FMS_Ranking4[[#This Row],[FMS Type]]="Other",FMS_Ranking4[[#This Row],[Rank (with ArcSinh normalization of select criteria)]],"")</f>
        <v/>
      </c>
      <c r="CE378" s="201"/>
      <c r="CF378" s="206"/>
      <c r="CG378" s="206"/>
      <c r="CH378" s="206"/>
      <c r="CI378" s="206"/>
      <c r="CJ378" s="206"/>
      <c r="CK378" s="206"/>
      <c r="CL378" s="206"/>
      <c r="CM378" s="206"/>
      <c r="CN378" s="206"/>
      <c r="CO378" s="206"/>
      <c r="CP378" s="206"/>
      <c r="CQ378" s="206"/>
      <c r="CR378" s="206"/>
    </row>
    <row r="379" spans="2:96" ht="75" x14ac:dyDescent="0.25">
      <c r="B379" s="346" t="s">
        <v>3937</v>
      </c>
      <c r="C379" s="246">
        <f>_xlfn.XLOOKUP(FMS_Ranking4[[#This Row],[FMS ID]],FMS_Input[FMS_ID],FMS_Input[RFPG_NUM])</f>
        <v>15</v>
      </c>
      <c r="D379" s="309" t="str">
        <f>_xlfn.XLOOKUP(FMS_Ranking4[[#This Row],[FMS ID]],FMS_Input[FMS_ID],FMS_Input[FMS_NAME])</f>
        <v>Mercedes #9-1.1</v>
      </c>
      <c r="E379" s="308" t="str">
        <f>_xlfn.XLOOKUP(FMS_Ranking4[[#This Row],[FMS ID]],FMS_Input[FMS_ID],FMS_Input[SPONSOR])</f>
        <v>15000063</v>
      </c>
      <c r="F379" s="309" t="str">
        <f>_xlfn.XLOOKUP(FMS_Ranking4[[#This Row],[FMS ID]],Sponsor[FMS_ID],Sponsor[SPONSOR NAME])</f>
        <v>Mercedes</v>
      </c>
      <c r="G379" s="309" t="str">
        <f>_xlfn.XLOOKUP(FMS_Ranking4[[#This Row],[FMS ID]],FMS_Input[FMS_ID],FMS_Input[FMS_DESCR])</f>
        <v>Develop a Program To Provide Links To Weather Alerts And Departmental Phone Listings With Contact Personnel For Residents.</v>
      </c>
      <c r="H379" s="248" t="str">
        <f>_xlfn.XLOOKUP(FMS_Ranking4[[#This Row],[FMS ID]],FMS_Input[FMS_ID],FMS_Input[FMS_TYPE])</f>
        <v>Other</v>
      </c>
      <c r="I379" s="249">
        <f>_xlfn.XLOOKUP(FMS_Ranking4[[#This Row],[FMS ID]],FMS_Input[FMS_ID],FMS_Input[NRNC_COST])</f>
        <v>1000</v>
      </c>
      <c r="J379" s="250">
        <f>_xlfn.XLOOKUP(FMS_Ranking4[[#This Row],[FMS ID]],FMS_Input[FMS_ID],FMS_Input[FMS_COST])</f>
        <v>1000</v>
      </c>
      <c r="K379" s="251" t="str">
        <f>_xlfn.XLOOKUP(FMS_Ranking4[[#This Row],[FMS ID]],FMS_Input[FMS_ID],FMS_Input[EMER_NEED])</f>
        <v>Yes</v>
      </c>
      <c r="L379" s="252">
        <f t="shared" si="5"/>
        <v>1</v>
      </c>
      <c r="M379" s="253">
        <f>_xlfn.XLOOKUP(FMS_Ranking4[[#This Row],[FMS ID]],FMS_Input[FMS_ID],FMS_Input[STRUCT_100])</f>
        <v>4021</v>
      </c>
      <c r="N379" s="255">
        <f>(ASINH(FMS_Ranking4[[#This Row],[Structure at Risk Raw]]))*(10)/(ASINH(M$4))</f>
        <v>7.0693913341923276</v>
      </c>
      <c r="O379" s="256">
        <f>FMS_Ranking4[[#This Row],[Structures at risk, ArcSinh (0-10)]]*M$5*10</f>
        <v>7.0693913341923276</v>
      </c>
      <c r="P379" s="253">
        <f>_xlfn.XLOOKUP(FMS_Ranking4[[#This Row],[FMS ID]],FMS_Input[FMS_ID],FMS_Input[RES_STRUCT100])</f>
        <v>2866</v>
      </c>
      <c r="Q379" s="257">
        <f>ASINH(FMS_Ranking4[[#This Row],[Res Structure Raw]])/Q$4*P$5*100</f>
        <v>0</v>
      </c>
      <c r="R379" s="253">
        <f>_xlfn.XLOOKUP(FMS_Ranking4[[#This Row],[FMS ID]],FMS_Input[FMS_ID],FMS_Input[POP100])</f>
        <v>13565</v>
      </c>
      <c r="S379" s="255">
        <f>(ASINH(FMS_Ranking4[[#This Row],[Pop at Risk Raw]]))*(10)/(ASINH(R$4))</f>
        <v>7.0474496611218944</v>
      </c>
      <c r="T379" s="256">
        <f>FMS_Ranking4[[#This Row],[Population at risk, ArcSinh (0-10)]]*R$5*10</f>
        <v>7.0474496611218953</v>
      </c>
      <c r="U379" s="253">
        <f>_xlfn.XLOOKUP(FMS_Ranking4[[#This Row],[FMS ID]],FMS_Input[FMS_ID],FMS_Input[CRITFAC100])</f>
        <v>1</v>
      </c>
      <c r="V379" s="255">
        <f>(ASINH(FMS_Ranking4[[#This Row],[Critical Facilities Raw]]))*(10)/(ASINH(U$4))</f>
        <v>1.0433384451410745</v>
      </c>
      <c r="W379" s="256">
        <f>FMS_Ranking4[[#This Row],[Critical facilities at risk, ArcSinh (0-10)]]*U$5*10</f>
        <v>1.0433384451410745</v>
      </c>
      <c r="X379" s="253">
        <f>_xlfn.XLOOKUP(FMS_Ranking4[[#This Row],[FMS ID]],FMS_Input[FMS_ID],FMS_Input[LWC])</f>
        <v>0</v>
      </c>
      <c r="Y379" s="255">
        <f>(ASINH(FMS_Ranking4[[#This Row],[LWC Raw]]))*(10)/(ASINH(X$4))</f>
        <v>0</v>
      </c>
      <c r="Z379" s="256">
        <f>FMS_Ranking4[[#This Row],[LWC, ArcSInh (0-10)]]*X$5*10</f>
        <v>0</v>
      </c>
      <c r="AA379" s="253">
        <f>_xlfn.XLOOKUP(FMS_Ranking4[[#This Row],[FMS ID]],FMS_Input[FMS_ID],FMS_Input[ROADCLS])</f>
        <v>0</v>
      </c>
      <c r="AB379" s="255">
        <f>(ASINH(FMS_Ranking4[[#This Row],[Road Closures Raw]]))*(10)/(ASINH(AA$4))</f>
        <v>0</v>
      </c>
      <c r="AC379" s="256">
        <f>FMS_Ranking4[[#This Row],[Road closures, ArcSinh (0-10)]]*AA$5*10</f>
        <v>0</v>
      </c>
      <c r="AD379" s="253">
        <f>_xlfn.XLOOKUP(FMS_Ranking4[[#This Row],[FMS ID]],FMS_Input[FMS_ID],FMS_Input[ROAD_MILES100])</f>
        <v>77</v>
      </c>
      <c r="AE379" s="255">
        <f>(ASINH(FMS_Ranking4[[#This Row],[Road Miles Raw]]))*(10)/(ASINH(AD$4))</f>
        <v>5.3680506205167342</v>
      </c>
      <c r="AF379" s="256">
        <f>FMS_Ranking4[[#This Row],[Length of roads at risk, ArcSinh (0-10)]]*AD$5*10</f>
        <v>5.3680506205167342</v>
      </c>
      <c r="AG379" s="253">
        <f>_xlfn.XLOOKUP(FMS_Ranking4[[#This Row],[FMS ID]],FMS_Input[FMS_ID],FMS_Input[FARMACRE100])</f>
        <v>2751.86962890625</v>
      </c>
      <c r="AH379" s="255">
        <f>(ASINH(FMS_Ranking4[[#This Row],[Ag Land Raw]]))*(10)/(ASINH(AG$4))</f>
        <v>5.5949640934931875</v>
      </c>
      <c r="AI379" s="260">
        <f>FMS_Ranking4[[#This Row],[Farm &amp; ranch land, ArcSinh (0-10)]]*AG$5*10</f>
        <v>2.7974820467465937</v>
      </c>
      <c r="AJ379" s="258">
        <f>_xlfn.XLOOKUP(FMS_Ranking4[[#This Row],[FMS ID]],FMS_Input[FMS_ID],FMS_Input[REDSTRUCT100])</f>
        <v>0</v>
      </c>
      <c r="AK379" s="253">
        <f>_xlfn.XLOOKUP(FMS_Ranking4[[#This Row],[FMS ID]],FMS_Input[FMS_ID],FMS_Input[REMSTRC100])</f>
        <v>0</v>
      </c>
      <c r="AL379" s="255">
        <f>(ASINH(FMS_Ranking4[[#This Row],[Structures Removed Raw]]))*(10)/(ASINH(AK$4))</f>
        <v>0</v>
      </c>
      <c r="AM379" s="262">
        <f>FMS_Ranking4[[#This Row],[Structures removed, ArcSinh (0-10)]]*AK$5*10</f>
        <v>0</v>
      </c>
      <c r="AN379" s="253">
        <f>_xlfn.XLOOKUP(FMS_Ranking4[[#This Row],[FMS ID]],FMS_Input[FMS_ID],FMS_Input[REMRESSTRC100])</f>
        <v>0</v>
      </c>
      <c r="AO379" s="261">
        <f>FMS_Ranking4[[#This Row],[ArcSinh Res struct removed 0-10]]*AN$5*10</f>
        <v>0</v>
      </c>
      <c r="AP379" s="260">
        <f>ASINH(FMS_Ranking4[[#This Row],[Residential Structures Removed Raw]])/AP$4*AN$5*100</f>
        <v>0</v>
      </c>
      <c r="AQ379" s="258">
        <f>(ASINH(FMS_Ranking4[[#This Row],[Residential Structures Removed Raw]]))*(10)/(ASINH(AN$4))</f>
        <v>0</v>
      </c>
      <c r="AR379" s="253">
        <f>_xlfn.XLOOKUP(FMS_Ranking4[[#This Row],[FMS ID]],FMS_Input[FMS_ID],FMS_Input[REMPOP100])</f>
        <v>0</v>
      </c>
      <c r="AS379" s="255">
        <f>(ASINH(FMS_Ranking4[[#This Row],[Removed Pop Raw]]))*(10)/(ASINH(AR$4))</f>
        <v>0</v>
      </c>
      <c r="AT379" s="262">
        <f>FMS_Ranking4[[#This Row],[Removed population, ArcSinh (0-10)]]*AR$5*10</f>
        <v>0</v>
      </c>
      <c r="AU379" s="264">
        <f>_xlfn.XLOOKUP(FMS_Ranking4[[#This Row],[FMS ID]],FMS_Input[FMS_ID],FMS_Input[REMCRITFAC100])</f>
        <v>0</v>
      </c>
      <c r="AV379" s="264">
        <f>_xlfn.XLOOKUP(FMS_Ranking4[[#This Row],[FMS ID]],FMS_Input[FMS_ID],FMS_Input[REMLWC100])</f>
        <v>0</v>
      </c>
      <c r="AW379" s="264">
        <f>_xlfn.XLOOKUP(FMS_Ranking4[[#This Row],[FMS ID]],FMS_Input[FMS_ID],FMS_Input[REMROADCLS])</f>
        <v>0</v>
      </c>
      <c r="AX379" s="264">
        <f>_xlfn.XLOOKUP(FMS_Ranking4[[#This Row],[FMS ID]],FMS_Input[FMS_ID],FMS_Input[REMFRMACRE100])</f>
        <v>0</v>
      </c>
      <c r="AY379" s="258">
        <f>_xlfn.XLOOKUP(FMS_Ranking4[[#This Row],[FMS ID]],FMS_Input[FMS_ID],FMS_Input[COSTSTRUCT])</f>
        <v>0</v>
      </c>
      <c r="AZ379" s="253">
        <f>_xlfn.XLOOKUP(FMS_Ranking4[[#This Row],[FMS ID]],FMS_Input[FMS_ID],FMS_Input[NATURE])</f>
        <v>0</v>
      </c>
      <c r="BA379" s="262">
        <f>(((FMS_Ranking4[[#This Row],[% NBS Raw]]/AZ$4)*100)*AZ$5)</f>
        <v>0</v>
      </c>
      <c r="BB379" s="251" t="str">
        <f>_xlfn.XLOOKUP(FMS_Ranking4[[#This Row],[FMS ID]],FMS_Input[FMS_ID],FMS_Input[WATER_SUP])</f>
        <v>No</v>
      </c>
      <c r="BC379" s="265">
        <f>IF(FMS_Ranking4[[#This Row],[Water Supply Raw]]="Yes",10,0)</f>
        <v>0</v>
      </c>
      <c r="BD379" s="266">
        <f>_xlfn.XLOOKUP(FMS_Ranking4[[#This Row],[FMS Type]],FMS_TYPE[FMS_Type],FMS_TYPE[Score])</f>
        <v>2</v>
      </c>
      <c r="BE379" s="267">
        <f>FMS_Ranking4[[#This Row],[FMS_Type Score]]*$BD$5*10</f>
        <v>0.5</v>
      </c>
      <c r="BF37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0.51882521755335365</v>
      </c>
      <c r="BG379" s="293">
        <f>_xlfn.RANK.EQ(BF379,$BF$8:$BF$870,0)+COUNTIF($BF$8:BF379,BF379)-1</f>
        <v>221</v>
      </c>
      <c r="BH379" s="294">
        <f>(((FMS_Ranking4[[#This Row],[Structures Removed Raw]]/AK$4)*100)*AK$5)+(((FMS_Ranking4[[#This Row],[Removed Pop Raw]]/AR$4)*100)*AR$5)</f>
        <v>0</v>
      </c>
      <c r="BI37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1.0188252175533536</v>
      </c>
      <c r="BJ379" s="251">
        <f>_xlfn.RANK.EQ(FMS_Ranking4[[#This Row],[Total Score 
(with linear
normalization)]],FMS_Ranking4[Total Score 
(with linear
normalization)],0)</f>
        <v>720</v>
      </c>
      <c r="BK379" s="251" t="e">
        <f>_xlfn.XLOOKUP(FMS_Ranking4[[#This Row],[FMS ID]],#REF!,#REF!)</f>
        <v>#REF!</v>
      </c>
      <c r="BL37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23.325712107718626</v>
      </c>
      <c r="BM379" s="324">
        <f>FMS_Ranking4[[#This Row],[ArcSinh Score Based on Normalized Reported Factors]]+FMS_Ranking4[[#This Row],[% NBS Score (Normalized)]]+(FMS_Ranking4[[#This Row],[Water Supply Score (Normalized)]]*10*$BB$5)+FMS_Ranking4[[#This Row],[FMS_Type Score Weighted]]</f>
        <v>23.825712107718626</v>
      </c>
      <c r="BN379" s="251">
        <f>_xlfn.RANK.EQ(FMS_Ranking4[[#This Row],[Total Score (with ArcSinh normalization of select criteria)]],FMS_Ranking4[Total Score (with ArcSinh normalization of select criteria)],0)</f>
        <v>372</v>
      </c>
      <c r="BO379" s="270" t="str">
        <f>_xlfn.XLOOKUP(FMS_Ranking4[[#This Row],[FMS ID]],FMS_Input[FMS_ID],FMS_Input[FMS_RANK_YEAR])</f>
        <v>2023 Amended Plan</v>
      </c>
      <c r="BP379" s="324">
        <f>_xlfn.XLOOKUP(FMS_Ranking4[[#This Row],[FMS ID]],Prev_Rank[FMS ID],Prev_Rank[Prev Rank])</f>
        <v>330</v>
      </c>
      <c r="BQ379" s="251" t="e">
        <f>_xlfn.XLOOKUP(FMS_Ranking4[[#This Row],[FMS ID]],#REF!,#REF!)</f>
        <v>#REF!</v>
      </c>
      <c r="BR379" s="199" t="e">
        <f>SUM(#REF!,#REF!,#REF!,#REF!,#REF!,#REF!,#REF!,#REF!,#REF!,FMS_Ranking4[[#This Row],[ArcSinh Res struct removed 0-10]],#REF!)</f>
        <v>#REF!</v>
      </c>
      <c r="BS379" s="199" t="e">
        <f>FMS_Ranking4[[#This Row],[Log Score Based on Normalized Reported Factors]]+FMS_Ranking4[[#This Row],[% NBS Score (Normalized)]]+(FMS_Ranking4[[#This Row],[Water Supply Score (Normalized)]]*10*$BB$5)+(FMS_Ranking4[[#This Row],[FMS_Type Score Weighted]])</f>
        <v>#REF!</v>
      </c>
      <c r="BT379" s="200" t="e">
        <f>_xlfn.RANK.EQ(FMS_Ranking4[[#This Row],[Log Total Score]],FMS_Ranking4[Log Total Score],0)</f>
        <v>#REF!</v>
      </c>
      <c r="BU379" s="200" t="e">
        <f>_xlfn.XLOOKUP(FMS_Ranking4[[#This Row],[FMS ID]],#REF!,#REF!)</f>
        <v>#REF!</v>
      </c>
      <c r="BV379" s="200">
        <f>FMS_Ranking4[[#This Row],[Region Number]]</f>
        <v>15</v>
      </c>
      <c r="BW379" s="200">
        <f>FMS_Ranking4[[#This Row],[Rank (with ArcSinh normalization of select criteria)]]-FMS_Ranking4[[#This Row],[Rank
(with linear
normalization)]]</f>
        <v>-348</v>
      </c>
      <c r="BX379" s="200" t="e">
        <f>FMS_Ranking4[[#This Row],[Log Rank]]-FMS_Ranking4[[#This Row],[Rank
(with linear
normalization)]]</f>
        <v>#REF!</v>
      </c>
      <c r="BY379" s="200" t="str">
        <f>IF(FMS_Ranking4[[#This Row],[FMS Type]]="Flood Measurement and Warning",FMS_Ranking4[[#This Row],[Rank (with ArcSinh normalization of select criteria)]],"")</f>
        <v/>
      </c>
      <c r="BZ379" s="200" t="str">
        <f>IF(FMS_Ranking4[[#This Row],[FMS Type]]="Regulatory and Guidance",FMS_Ranking4[[#This Row],[Rank (with ArcSinh normalization of select criteria)]],"")</f>
        <v/>
      </c>
      <c r="CA379" s="200" t="str">
        <f>IF(FMS_Ranking4[[#This Row],[FMS Type]]="Education and Outreach",FMS_Ranking4[[#This Row],[Rank (with ArcSinh normalization of select criteria)]],"")</f>
        <v/>
      </c>
      <c r="CB379" s="200" t="str">
        <f>IF(FMS_Ranking4[[#This Row],[FMS Type]]="Property Acquisition and Structural Elevation",FMS_Ranking4[[#This Row],[Rank (with ArcSinh normalization of select criteria)]],"")</f>
        <v/>
      </c>
      <c r="CC379" s="200" t="str">
        <f>IF(FMS_Ranking4[[#This Row],[FMS Type]]="Infrastructure Projects",FMS_Ranking4[[#This Row],[Rank (with ArcSinh normalization of select criteria)]],"")</f>
        <v/>
      </c>
      <c r="CD379" s="200">
        <f>IF(FMS_Ranking4[[#This Row],[FMS Type]]="Other",FMS_Ranking4[[#This Row],[Rank (with ArcSinh normalization of select criteria)]],"")</f>
        <v>372</v>
      </c>
      <c r="CE379" s="201"/>
      <c r="CF379" s="206"/>
      <c r="CG379" s="206"/>
      <c r="CH379" s="206"/>
      <c r="CI379" s="206"/>
      <c r="CJ379" s="206"/>
      <c r="CK379" s="206"/>
      <c r="CL379" s="206"/>
      <c r="CM379" s="206"/>
      <c r="CN379" s="206"/>
      <c r="CO379" s="206"/>
      <c r="CP379" s="206"/>
      <c r="CQ379" s="206"/>
      <c r="CR379" s="206"/>
    </row>
    <row r="380" spans="2:96" ht="120" x14ac:dyDescent="0.25">
      <c r="B380" s="341" t="s">
        <v>2481</v>
      </c>
      <c r="C380" s="246">
        <f>_xlfn.XLOOKUP(FMS_Ranking4[[#This Row],[FMS ID]],FMS_Input[FMS_ID],FMS_Input[RFPG_NUM])</f>
        <v>3</v>
      </c>
      <c r="D380" s="309" t="str">
        <f>_xlfn.XLOOKUP(FMS_Ranking4[[#This Row],[FMS ID]],FMS_Input[FMS_ID],FMS_Input[FMS_NAME])</f>
        <v>City of Burleson Flood Warning and Safety Improvements</v>
      </c>
      <c r="E380" s="308" t="str">
        <f>_xlfn.XLOOKUP(FMS_Ranking4[[#This Row],[FMS ID]],FMS_Input[FMS_ID],FMS_Input[SPONSOR])</f>
        <v xml:space="preserve"> Burleson</v>
      </c>
      <c r="F380" s="309" t="str">
        <f>_xlfn.XLOOKUP(FMS_Ranking4[[#This Row],[FMS ID]],Sponsor[FMS_ID],Sponsor[SPONSOR NAME])</f>
        <v xml:space="preserve"> Burleson</v>
      </c>
      <c r="G380" s="309" t="str">
        <f>_xlfn.XLOOKUP(FMS_Ranking4[[#This Row],[FMS ID]],FMS_Input[FMS_ID],FMS_Input[FMS_DESCR])</f>
        <v>Safety improvements at SE Tarrant Ave, N Warren St, SW Johnson Ave, and SE Newton Dr. Safety improvements may include, but are not limited to, high-water warning flashers, staff gauges, flood hazard signs, and additional light fixtures.</v>
      </c>
      <c r="H380" s="248" t="str">
        <f>_xlfn.XLOOKUP(FMS_Ranking4[[#This Row],[FMS ID]],FMS_Input[FMS_ID],FMS_Input[FMS_TYPE])</f>
        <v>Flood Measurement and Warning</v>
      </c>
      <c r="I380" s="249">
        <f>_xlfn.XLOOKUP(FMS_Ranking4[[#This Row],[FMS ID]],FMS_Input[FMS_ID],FMS_Input[NRNC_COST])</f>
        <v>50000</v>
      </c>
      <c r="J380" s="250">
        <f>_xlfn.XLOOKUP(FMS_Ranking4[[#This Row],[FMS ID]],FMS_Input[FMS_ID],FMS_Input[FMS_COST])</f>
        <v>500000</v>
      </c>
      <c r="K380" s="251" t="str">
        <f>_xlfn.XLOOKUP(FMS_Ranking4[[#This Row],[FMS ID]],FMS_Input[FMS_ID],FMS_Input[EMER_NEED])</f>
        <v>No</v>
      </c>
      <c r="L380" s="252">
        <f t="shared" si="5"/>
        <v>0</v>
      </c>
      <c r="M380" s="253">
        <f>_xlfn.XLOOKUP(FMS_Ranking4[[#This Row],[FMS ID]],FMS_Input[FMS_ID],FMS_Input[STRUCT_100])</f>
        <v>113</v>
      </c>
      <c r="N380" s="255">
        <f>(ASINH(FMS_Ranking4[[#This Row],[Structure at Risk Raw]]))*(10)/(ASINH(M$4))</f>
        <v>4.2613629834283344</v>
      </c>
      <c r="O380" s="256">
        <f>FMS_Ranking4[[#This Row],[Structures at risk, ArcSinh (0-10)]]*M$5*10</f>
        <v>4.2613629834283344</v>
      </c>
      <c r="P380" s="253">
        <f>_xlfn.XLOOKUP(FMS_Ranking4[[#This Row],[FMS ID]],FMS_Input[FMS_ID],FMS_Input[RES_STRUCT100])</f>
        <v>97</v>
      </c>
      <c r="Q380" s="257">
        <f>ASINH(FMS_Ranking4[[#This Row],[Res Structure Raw]])/Q$4*P$5*100</f>
        <v>0</v>
      </c>
      <c r="R380" s="253">
        <f>_xlfn.XLOOKUP(FMS_Ranking4[[#This Row],[FMS ID]],FMS_Input[FMS_ID],FMS_Input[POP100])</f>
        <v>317</v>
      </c>
      <c r="S380" s="259">
        <f>(ASINH(FMS_Ranking4[[#This Row],[Pop at Risk Raw]]))*(10)/(ASINH(R$4))</f>
        <v>4.4542267356809209</v>
      </c>
      <c r="T380" s="256">
        <f>FMS_Ranking4[[#This Row],[Population at risk, ArcSinh (0-10)]]*R$5*10</f>
        <v>4.4542267356809209</v>
      </c>
      <c r="U380" s="253">
        <f>_xlfn.XLOOKUP(FMS_Ranking4[[#This Row],[FMS ID]],FMS_Input[FMS_ID],FMS_Input[CRITFAC100])</f>
        <v>8</v>
      </c>
      <c r="V380" s="259">
        <f>(ASINH(FMS_Ranking4[[#This Row],[Critical Facilities Raw]]))*(10)/(ASINH(U$4))</f>
        <v>3.286688318109702</v>
      </c>
      <c r="W380" s="256">
        <f>FMS_Ranking4[[#This Row],[Critical facilities at risk, ArcSinh (0-10)]]*U$5*10</f>
        <v>3.2866883181097024</v>
      </c>
      <c r="X380" s="253">
        <f>_xlfn.XLOOKUP(FMS_Ranking4[[#This Row],[FMS ID]],FMS_Input[FMS_ID],FMS_Input[LWC])</f>
        <v>19</v>
      </c>
      <c r="Y380" s="259">
        <f>(ASINH(FMS_Ranking4[[#This Row],[LWC Raw]]))*(10)/(ASINH(X$4))</f>
        <v>4.9289126022409242</v>
      </c>
      <c r="Z380" s="256">
        <f>FMS_Ranking4[[#This Row],[LWC, ArcSInh (0-10)]]*X$5*10</f>
        <v>4.9289126022409242</v>
      </c>
      <c r="AA380" s="253">
        <f>_xlfn.XLOOKUP(FMS_Ranking4[[#This Row],[FMS ID]],FMS_Input[FMS_ID],FMS_Input[ROADCLS])</f>
        <v>0</v>
      </c>
      <c r="AB380" s="255">
        <f>(ASINH(FMS_Ranking4[[#This Row],[Road Closures Raw]]))*(10)/(ASINH(AA$4))</f>
        <v>0</v>
      </c>
      <c r="AC380" s="256">
        <f>FMS_Ranking4[[#This Row],[Road closures, ArcSinh (0-10)]]*AA$5*10</f>
        <v>0</v>
      </c>
      <c r="AD380" s="253">
        <f>_xlfn.XLOOKUP(FMS_Ranking4[[#This Row],[FMS ID]],FMS_Input[FMS_ID],FMS_Input[ROAD_MILES100])</f>
        <v>4</v>
      </c>
      <c r="AE380" s="259">
        <f>(ASINH(FMS_Ranking4[[#This Row],[Road Miles Raw]]))*(10)/(ASINH(AD$4))</f>
        <v>2.2323872691766113</v>
      </c>
      <c r="AF380" s="256">
        <f>FMS_Ranking4[[#This Row],[Length of roads at risk, ArcSinh (0-10)]]*AD$5*10</f>
        <v>2.2323872691766113</v>
      </c>
      <c r="AG380" s="253">
        <f>_xlfn.XLOOKUP(FMS_Ranking4[[#This Row],[FMS ID]],FMS_Input[FMS_ID],FMS_Input[FARMACRE100])</f>
        <v>372.21371459960938</v>
      </c>
      <c r="AH380" s="255">
        <f>(ASINH(FMS_Ranking4[[#This Row],[Ag Land Raw]]))*(10)/(ASINH(AG$4))</f>
        <v>4.2954335811874351</v>
      </c>
      <c r="AI380" s="260">
        <f>FMS_Ranking4[[#This Row],[Farm &amp; ranch land, ArcSinh (0-10)]]*AG$5*10</f>
        <v>2.1477167905937176</v>
      </c>
      <c r="AJ380" s="258">
        <f>_xlfn.XLOOKUP(FMS_Ranking4[[#This Row],[FMS ID]],FMS_Input[FMS_ID],FMS_Input[REDSTRUCT100])</f>
        <v>0</v>
      </c>
      <c r="AK380" s="253">
        <f>_xlfn.XLOOKUP(FMS_Ranking4[[#This Row],[FMS ID]],FMS_Input[FMS_ID],FMS_Input[REMSTRC100])</f>
        <v>0</v>
      </c>
      <c r="AL380" s="259">
        <f>(ASINH(FMS_Ranking4[[#This Row],[Structures Removed Raw]]))*(10)/(ASINH(AK$4))</f>
        <v>0</v>
      </c>
      <c r="AM380" s="262">
        <f>FMS_Ranking4[[#This Row],[Structures removed, ArcSinh (0-10)]]*AK$5*10</f>
        <v>0</v>
      </c>
      <c r="AN380" s="253">
        <f>_xlfn.XLOOKUP(FMS_Ranking4[[#This Row],[FMS ID]],FMS_Input[FMS_ID],FMS_Input[REMRESSTRC100])</f>
        <v>0</v>
      </c>
      <c r="AO380" s="261">
        <f>FMS_Ranking4[[#This Row],[ArcSinh Res struct removed 0-10]]*AN$5*10</f>
        <v>0</v>
      </c>
      <c r="AP380" s="260">
        <f>ASINH(FMS_Ranking4[[#This Row],[Residential Structures Removed Raw]])/AP$4*AN$5*100</f>
        <v>0</v>
      </c>
      <c r="AQ380" s="254">
        <f>(ASINH(FMS_Ranking4[[#This Row],[Residential Structures Removed Raw]]))*(10)/(ASINH(AN$4))</f>
        <v>0</v>
      </c>
      <c r="AR380" s="253">
        <f>_xlfn.XLOOKUP(FMS_Ranking4[[#This Row],[FMS ID]],FMS_Input[FMS_ID],FMS_Input[REMPOP100])</f>
        <v>0</v>
      </c>
      <c r="AS380" s="259">
        <f>(ASINH(FMS_Ranking4[[#This Row],[Removed Pop Raw]]))*(10)/(ASINH(AR$4))</f>
        <v>0</v>
      </c>
      <c r="AT380" s="262">
        <f>FMS_Ranking4[[#This Row],[Removed population, ArcSinh (0-10)]]*AR$5*10</f>
        <v>0</v>
      </c>
      <c r="AU380" s="264">
        <f>_xlfn.XLOOKUP(FMS_Ranking4[[#This Row],[FMS ID]],FMS_Input[FMS_ID],FMS_Input[REMCRITFAC100])</f>
        <v>0</v>
      </c>
      <c r="AV380" s="264">
        <f>_xlfn.XLOOKUP(FMS_Ranking4[[#This Row],[FMS ID]],FMS_Input[FMS_ID],FMS_Input[REMLWC100])</f>
        <v>0</v>
      </c>
      <c r="AW380" s="264">
        <f>_xlfn.XLOOKUP(FMS_Ranking4[[#This Row],[FMS ID]],FMS_Input[FMS_ID],FMS_Input[REMROADCLS])</f>
        <v>0</v>
      </c>
      <c r="AX380" s="264">
        <f>_xlfn.XLOOKUP(FMS_Ranking4[[#This Row],[FMS ID]],FMS_Input[FMS_ID],FMS_Input[REMFRMACRE100])</f>
        <v>0</v>
      </c>
      <c r="AY380" s="258">
        <f>_xlfn.XLOOKUP(FMS_Ranking4[[#This Row],[FMS ID]],FMS_Input[FMS_ID],FMS_Input[COSTSTRUCT])</f>
        <v>0</v>
      </c>
      <c r="AZ380" s="253">
        <f>_xlfn.XLOOKUP(FMS_Ranking4[[#This Row],[FMS ID]],FMS_Input[FMS_ID],FMS_Input[NATURE])</f>
        <v>0</v>
      </c>
      <c r="BA380" s="262">
        <f>(((FMS_Ranking4[[#This Row],[% NBS Raw]]/AZ$4)*100)*AZ$5)</f>
        <v>0</v>
      </c>
      <c r="BB380" s="251" t="str">
        <f>_xlfn.XLOOKUP(FMS_Ranking4[[#This Row],[FMS ID]],FMS_Input[FMS_ID],FMS_Input[WATER_SUP])</f>
        <v>No</v>
      </c>
      <c r="BC380" s="265">
        <f>IF(FMS_Ranking4[[#This Row],[Water Supply Raw]]="Yes",10,0)</f>
        <v>0</v>
      </c>
      <c r="BD380" s="266">
        <f>_xlfn.XLOOKUP(FMS_Ranking4[[#This Row],[FMS Type]],FMS_TYPE[FMS_Type],FMS_TYPE[Score])</f>
        <v>10</v>
      </c>
      <c r="BE380" s="267">
        <f>FMS_Ranking4[[#This Row],[FMS_Type Score]]*$BD$5*10</f>
        <v>2.5</v>
      </c>
      <c r="BF38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0.28841745068288926</v>
      </c>
      <c r="BG380" s="271">
        <f>_xlfn.RANK.EQ(BF380,$BF$8:$BF$870,0)+COUNTIF($BF$8:BF380,BF380)-1</f>
        <v>308</v>
      </c>
      <c r="BH380" s="268">
        <f>(((FMS_Ranking4[[#This Row],[Structures Removed Raw]]/AK$4)*100)*AK$5)+(((FMS_Ranking4[[#This Row],[Removed Pop Raw]]/AR$4)*100)*AR$5)</f>
        <v>0</v>
      </c>
      <c r="BI38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2.7884174506828892</v>
      </c>
      <c r="BJ380" s="205">
        <f>_xlfn.RANK.EQ(FMS_Ranking4[[#This Row],[Total Score 
(with linear
normalization)]],FMS_Ranking4[Total Score 
(with linear
normalization)],0)</f>
        <v>196</v>
      </c>
      <c r="BK380" s="205" t="e">
        <f>_xlfn.XLOOKUP(FMS_Ranking4[[#This Row],[FMS ID]],#REF!,#REF!)</f>
        <v>#REF!</v>
      </c>
      <c r="BL38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21.31129469923021</v>
      </c>
      <c r="BM380" s="272">
        <f>FMS_Ranking4[[#This Row],[ArcSinh Score Based on Normalized Reported Factors]]+FMS_Ranking4[[#This Row],[% NBS Score (Normalized)]]+(FMS_Ranking4[[#This Row],[Water Supply Score (Normalized)]]*10*$BB$5)+FMS_Ranking4[[#This Row],[FMS_Type Score Weighted]]</f>
        <v>23.81129469923021</v>
      </c>
      <c r="BN380" s="205">
        <f>_xlfn.RANK.EQ(FMS_Ranking4[[#This Row],[Total Score (with ArcSinh normalization of select criteria)]],FMS_Ranking4[Total Score (with ArcSinh normalization of select criteria)],0)</f>
        <v>373</v>
      </c>
      <c r="BO380" s="270" t="str">
        <f>_xlfn.XLOOKUP(FMS_Ranking4[[#This Row],[FMS ID]],FMS_Input[FMS_ID],FMS_Input[FMS_RANK_YEAR])</f>
        <v>2023 Amended Plan</v>
      </c>
      <c r="BP380" s="204">
        <f>_xlfn.XLOOKUP(FMS_Ranking4[[#This Row],[FMS ID]],Prev_Rank[FMS ID],Prev_Rank[Prev Rank])</f>
        <v>329</v>
      </c>
      <c r="BQ380" s="205" t="e">
        <f>_xlfn.XLOOKUP(FMS_Ranking4[[#This Row],[FMS ID]],#REF!,#REF!)</f>
        <v>#REF!</v>
      </c>
      <c r="BR380" s="199" t="e">
        <f>SUM(#REF!,#REF!,#REF!,#REF!,#REF!,#REF!,#REF!,#REF!,#REF!,FMS_Ranking4[[#This Row],[ArcSinh Res struct removed 0-10]],#REF!)</f>
        <v>#REF!</v>
      </c>
      <c r="BS380" s="199" t="e">
        <f>FMS_Ranking4[[#This Row],[Log Score Based on Normalized Reported Factors]]+FMS_Ranking4[[#This Row],[% NBS Score (Normalized)]]+(FMS_Ranking4[[#This Row],[Water Supply Score (Normalized)]]*10*$BB$5)+(FMS_Ranking4[[#This Row],[FMS_Type Score Weighted]])</f>
        <v>#REF!</v>
      </c>
      <c r="BT380" s="200" t="e">
        <f>_xlfn.RANK.EQ(FMS_Ranking4[[#This Row],[Log Total Score]],FMS_Ranking4[Log Total Score],0)</f>
        <v>#REF!</v>
      </c>
      <c r="BU380" s="200" t="e">
        <f>_xlfn.XLOOKUP(FMS_Ranking4[[#This Row],[FMS ID]],#REF!,#REF!)</f>
        <v>#REF!</v>
      </c>
      <c r="BV380" s="200">
        <f>FMS_Ranking4[[#This Row],[Region Number]]</f>
        <v>3</v>
      </c>
      <c r="BW380" s="200">
        <f>FMS_Ranking4[[#This Row],[Rank (with ArcSinh normalization of select criteria)]]-FMS_Ranking4[[#This Row],[Rank
(with linear
normalization)]]</f>
        <v>177</v>
      </c>
      <c r="BX380" s="200" t="e">
        <f>FMS_Ranking4[[#This Row],[Log Rank]]-FMS_Ranking4[[#This Row],[Rank
(with linear
normalization)]]</f>
        <v>#REF!</v>
      </c>
      <c r="BY380" s="200">
        <f>IF(FMS_Ranking4[[#This Row],[FMS Type]]="Flood Measurement and Warning",FMS_Ranking4[[#This Row],[Rank (with ArcSinh normalization of select criteria)]],"")</f>
        <v>373</v>
      </c>
      <c r="BZ380" s="200" t="str">
        <f>IF(FMS_Ranking4[[#This Row],[FMS Type]]="Regulatory and Guidance",FMS_Ranking4[[#This Row],[Rank (with ArcSinh normalization of select criteria)]],"")</f>
        <v/>
      </c>
      <c r="CA380" s="200" t="str">
        <f>IF(FMS_Ranking4[[#This Row],[FMS Type]]="Education and Outreach",FMS_Ranking4[[#This Row],[Rank (with ArcSinh normalization of select criteria)]],"")</f>
        <v/>
      </c>
      <c r="CB380" s="200" t="str">
        <f>IF(FMS_Ranking4[[#This Row],[FMS Type]]="Property Acquisition and Structural Elevation",FMS_Ranking4[[#This Row],[Rank (with ArcSinh normalization of select criteria)]],"")</f>
        <v/>
      </c>
      <c r="CC380" s="200" t="str">
        <f>IF(FMS_Ranking4[[#This Row],[FMS Type]]="Infrastructure Projects",FMS_Ranking4[[#This Row],[Rank (with ArcSinh normalization of select criteria)]],"")</f>
        <v/>
      </c>
      <c r="CD380" s="200" t="str">
        <f>IF(FMS_Ranking4[[#This Row],[FMS Type]]="Other",FMS_Ranking4[[#This Row],[Rank (with ArcSinh normalization of select criteria)]],"")</f>
        <v/>
      </c>
      <c r="CE380" s="201"/>
      <c r="CF380" s="206"/>
      <c r="CG380" s="206"/>
      <c r="CH380" s="206"/>
      <c r="CI380" s="206"/>
      <c r="CJ380" s="206"/>
      <c r="CK380" s="206"/>
      <c r="CL380" s="206"/>
      <c r="CM380" s="206"/>
      <c r="CN380" s="206"/>
      <c r="CO380" s="206"/>
      <c r="CP380" s="206"/>
      <c r="CQ380" s="206"/>
      <c r="CR380" s="206"/>
    </row>
    <row r="381" spans="2:96" ht="45" x14ac:dyDescent="0.25">
      <c r="B381" s="341" t="s">
        <v>2142</v>
      </c>
      <c r="C381" s="246">
        <f>_xlfn.XLOOKUP(FMS_Ranking4[[#This Row],[FMS ID]],FMS_Input[FMS_ID],FMS_Input[RFPG_NUM])</f>
        <v>3</v>
      </c>
      <c r="D381" s="309" t="str">
        <f>_xlfn.XLOOKUP(FMS_Ranking4[[#This Row],[FMS ID]],FMS_Input[FMS_ID],FMS_Input[FMS_NAME])</f>
        <v>City of Sachse Parks Construction Along Low Lying Areas</v>
      </c>
      <c r="E381" s="308" t="str">
        <f>_xlfn.XLOOKUP(FMS_Ranking4[[#This Row],[FMS ID]],FMS_Input[FMS_ID],FMS_Input[SPONSOR])</f>
        <v>Sachse</v>
      </c>
      <c r="F381" s="309" t="str">
        <f>_xlfn.XLOOKUP(FMS_Ranking4[[#This Row],[FMS ID]],Sponsor[FMS_ID],Sponsor[SPONSOR NAME])</f>
        <v>Sachse</v>
      </c>
      <c r="G381" s="309" t="str">
        <f>_xlfn.XLOOKUP(FMS_Ranking4[[#This Row],[FMS ID]],FMS_Input[FMS_ID],FMS_Input[FMS_DESCR])</f>
        <v>Establish city parks along low-lying areas</v>
      </c>
      <c r="H381" s="248" t="str">
        <f>_xlfn.XLOOKUP(FMS_Ranking4[[#This Row],[FMS ID]],FMS_Input[FMS_ID],FMS_Input[FMS_TYPE])</f>
        <v>Other</v>
      </c>
      <c r="I381" s="249">
        <f>_xlfn.XLOOKUP(FMS_Ranking4[[#This Row],[FMS ID]],FMS_Input[FMS_ID],FMS_Input[NRNC_COST])</f>
        <v>100000</v>
      </c>
      <c r="J381" s="250">
        <f>_xlfn.XLOOKUP(FMS_Ranking4[[#This Row],[FMS ID]],FMS_Input[FMS_ID],FMS_Input[FMS_COST])</f>
        <v>1000000</v>
      </c>
      <c r="K381" s="251" t="str">
        <f>_xlfn.XLOOKUP(FMS_Ranking4[[#This Row],[FMS ID]],FMS_Input[FMS_ID],FMS_Input[EMER_NEED])</f>
        <v>No</v>
      </c>
      <c r="L381" s="252">
        <f t="shared" si="5"/>
        <v>0</v>
      </c>
      <c r="M381" s="253">
        <f>_xlfn.XLOOKUP(FMS_Ranking4[[#This Row],[FMS ID]],FMS_Input[FMS_ID],FMS_Input[STRUCT_100])</f>
        <v>71</v>
      </c>
      <c r="N381" s="255">
        <f>(ASINH(FMS_Ranking4[[#This Row],[Structure at Risk Raw]]))*(10)/(ASINH(M$4))</f>
        <v>3.8960569428089808</v>
      </c>
      <c r="O381" s="256">
        <f>FMS_Ranking4[[#This Row],[Structures at risk, ArcSinh (0-10)]]*M$5*10</f>
        <v>3.8960569428089808</v>
      </c>
      <c r="P381" s="253">
        <f>_xlfn.XLOOKUP(FMS_Ranking4[[#This Row],[FMS ID]],FMS_Input[FMS_ID],FMS_Input[RES_STRUCT100])</f>
        <v>61</v>
      </c>
      <c r="Q381" s="257">
        <f>ASINH(FMS_Ranking4[[#This Row],[Res Structure Raw]])/Q$4*P$5*100</f>
        <v>0</v>
      </c>
      <c r="R381" s="253">
        <f>_xlfn.XLOOKUP(FMS_Ranking4[[#This Row],[FMS ID]],FMS_Input[FMS_ID],FMS_Input[POP100])</f>
        <v>239</v>
      </c>
      <c r="S381" s="259">
        <f>(ASINH(FMS_Ranking4[[#This Row],[Pop at Risk Raw]]))*(10)/(ASINH(R$4))</f>
        <v>4.259244492065279</v>
      </c>
      <c r="T381" s="256">
        <f>FMS_Ranking4[[#This Row],[Population at risk, ArcSinh (0-10)]]*R$5*10</f>
        <v>4.2592444920652799</v>
      </c>
      <c r="U381" s="253">
        <f>_xlfn.XLOOKUP(FMS_Ranking4[[#This Row],[FMS ID]],FMS_Input[FMS_ID],FMS_Input[CRITFAC100])</f>
        <v>0</v>
      </c>
      <c r="V381" s="259">
        <f>(ASINH(FMS_Ranking4[[#This Row],[Critical Facilities Raw]]))*(10)/(ASINH(U$4))</f>
        <v>0</v>
      </c>
      <c r="W381" s="256">
        <f>FMS_Ranking4[[#This Row],[Critical facilities at risk, ArcSinh (0-10)]]*U$5*10</f>
        <v>0</v>
      </c>
      <c r="X381" s="253">
        <f>_xlfn.XLOOKUP(FMS_Ranking4[[#This Row],[FMS ID]],FMS_Input[FMS_ID],FMS_Input[LWC])</f>
        <v>6</v>
      </c>
      <c r="Y381" s="259">
        <f>(ASINH(FMS_Ranking4[[#This Row],[LWC Raw]]))*(10)/(ASINH(X$4))</f>
        <v>3.375708300798784</v>
      </c>
      <c r="Z381" s="256">
        <f>FMS_Ranking4[[#This Row],[LWC, ArcSInh (0-10)]]*X$5*10</f>
        <v>3.3757083007987845</v>
      </c>
      <c r="AA381" s="253">
        <f>_xlfn.XLOOKUP(FMS_Ranking4[[#This Row],[FMS ID]],FMS_Input[FMS_ID],FMS_Input[ROADCLS])</f>
        <v>0</v>
      </c>
      <c r="AB381" s="255">
        <f>(ASINH(FMS_Ranking4[[#This Row],[Road Closures Raw]]))*(10)/(ASINH(AA$4))</f>
        <v>0</v>
      </c>
      <c r="AC381" s="256">
        <f>FMS_Ranking4[[#This Row],[Road closures, ArcSinh (0-10)]]*AA$5*10</f>
        <v>0</v>
      </c>
      <c r="AD381" s="253">
        <f>_xlfn.XLOOKUP(FMS_Ranking4[[#This Row],[FMS ID]],FMS_Input[FMS_ID],FMS_Input[ROAD_MILES100])</f>
        <v>4</v>
      </c>
      <c r="AE381" s="259">
        <f>(ASINH(FMS_Ranking4[[#This Row],[Road Miles Raw]]))*(10)/(ASINH(AD$4))</f>
        <v>2.2323872691766113</v>
      </c>
      <c r="AF381" s="256">
        <f>FMS_Ranking4[[#This Row],[Length of roads at risk, ArcSinh (0-10)]]*AD$5*10</f>
        <v>2.2323872691766113</v>
      </c>
      <c r="AG381" s="253">
        <f>_xlfn.XLOOKUP(FMS_Ranking4[[#This Row],[FMS ID]],FMS_Input[FMS_ID],FMS_Input[FARMACRE100])</f>
        <v>253.77830505371091</v>
      </c>
      <c r="AH381" s="255">
        <f>(ASINH(FMS_Ranking4[[#This Row],[Ag Land Raw]]))*(10)/(ASINH(AG$4))</f>
        <v>4.0466406029202666</v>
      </c>
      <c r="AI381" s="260">
        <f>FMS_Ranking4[[#This Row],[Farm &amp; ranch land, ArcSinh (0-10)]]*AG$5*10</f>
        <v>2.0233203014601333</v>
      </c>
      <c r="AJ381" s="258">
        <f>_xlfn.XLOOKUP(FMS_Ranking4[[#This Row],[FMS ID]],FMS_Input[FMS_ID],FMS_Input[REDSTRUCT100])</f>
        <v>0</v>
      </c>
      <c r="AK381" s="253">
        <f>_xlfn.XLOOKUP(FMS_Ranking4[[#This Row],[FMS ID]],FMS_Input[FMS_ID],FMS_Input[REMSTRC100])</f>
        <v>0</v>
      </c>
      <c r="AL381" s="259">
        <f>(ASINH(FMS_Ranking4[[#This Row],[Structures Removed Raw]]))*(10)/(ASINH(AK$4))</f>
        <v>0</v>
      </c>
      <c r="AM381" s="262">
        <f>FMS_Ranking4[[#This Row],[Structures removed, ArcSinh (0-10)]]*AK$5*10</f>
        <v>0</v>
      </c>
      <c r="AN381" s="253">
        <f>_xlfn.XLOOKUP(FMS_Ranking4[[#This Row],[FMS ID]],FMS_Input[FMS_ID],FMS_Input[REMRESSTRC100])</f>
        <v>0</v>
      </c>
      <c r="AO381" s="261">
        <f>FMS_Ranking4[[#This Row],[ArcSinh Res struct removed 0-10]]*AN$5*10</f>
        <v>0</v>
      </c>
      <c r="AP381" s="260">
        <f>ASINH(FMS_Ranking4[[#This Row],[Residential Structures Removed Raw]])/AP$4*AN$5*100</f>
        <v>0</v>
      </c>
      <c r="AQ381" s="254">
        <f>(ASINH(FMS_Ranking4[[#This Row],[Residential Structures Removed Raw]]))*(10)/(ASINH(AN$4))</f>
        <v>0</v>
      </c>
      <c r="AR381" s="253">
        <f>_xlfn.XLOOKUP(FMS_Ranking4[[#This Row],[FMS ID]],FMS_Input[FMS_ID],FMS_Input[REMPOP100])</f>
        <v>0</v>
      </c>
      <c r="AS381" s="259">
        <f>(ASINH(FMS_Ranking4[[#This Row],[Removed Pop Raw]]))*(10)/(ASINH(AR$4))</f>
        <v>0</v>
      </c>
      <c r="AT381" s="262">
        <f>FMS_Ranking4[[#This Row],[Removed population, ArcSinh (0-10)]]*AR$5*10</f>
        <v>0</v>
      </c>
      <c r="AU381" s="264">
        <f>_xlfn.XLOOKUP(FMS_Ranking4[[#This Row],[FMS ID]],FMS_Input[FMS_ID],FMS_Input[REMCRITFAC100])</f>
        <v>0</v>
      </c>
      <c r="AV381" s="264">
        <f>_xlfn.XLOOKUP(FMS_Ranking4[[#This Row],[FMS ID]],FMS_Input[FMS_ID],FMS_Input[REMLWC100])</f>
        <v>0</v>
      </c>
      <c r="AW381" s="264">
        <f>_xlfn.XLOOKUP(FMS_Ranking4[[#This Row],[FMS ID]],FMS_Input[FMS_ID],FMS_Input[REMROADCLS])</f>
        <v>0</v>
      </c>
      <c r="AX381" s="264">
        <f>_xlfn.XLOOKUP(FMS_Ranking4[[#This Row],[FMS ID]],FMS_Input[FMS_ID],FMS_Input[REMFRMACRE100])</f>
        <v>0</v>
      </c>
      <c r="AY381" s="258">
        <f>_xlfn.XLOOKUP(FMS_Ranking4[[#This Row],[FMS ID]],FMS_Input[FMS_ID],FMS_Input[COSTSTRUCT])</f>
        <v>0</v>
      </c>
      <c r="AZ381" s="253">
        <f>_xlfn.XLOOKUP(FMS_Ranking4[[#This Row],[FMS ID]],FMS_Input[FMS_ID],FMS_Input[NATURE])</f>
        <v>100</v>
      </c>
      <c r="BA381" s="262">
        <f>(((FMS_Ranking4[[#This Row],[% NBS Raw]]/AZ$4)*100)*AZ$5)</f>
        <v>7.5</v>
      </c>
      <c r="BB381" s="251" t="str">
        <f>_xlfn.XLOOKUP(FMS_Ranking4[[#This Row],[FMS ID]],FMS_Input[FMS_ID],FMS_Input[WATER_SUP])</f>
        <v>No</v>
      </c>
      <c r="BC381" s="265">
        <f>IF(FMS_Ranking4[[#This Row],[Water Supply Raw]]="Yes",10,0)</f>
        <v>0</v>
      </c>
      <c r="BD381" s="266">
        <f>_xlfn.XLOOKUP(FMS_Ranking4[[#This Row],[FMS Type]],FMS_TYPE[FMS_Type],FMS_TYPE[Score])</f>
        <v>2</v>
      </c>
      <c r="BE381" s="267">
        <f>FMS_Ranking4[[#This Row],[FMS_Type Score]]*$BD$5*10</f>
        <v>0.5</v>
      </c>
      <c r="BF38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8.8664956667693168E-2</v>
      </c>
      <c r="BG381" s="271">
        <f>_xlfn.RANK.EQ(BF381,$BF$8:$BF$870,0)+COUNTIF($BF$8:BF381,BF381)-1</f>
        <v>500</v>
      </c>
      <c r="BH381" s="268">
        <f>(((FMS_Ranking4[[#This Row],[Structures Removed Raw]]/AK$4)*100)*AK$5)+(((FMS_Ranking4[[#This Row],[Removed Pop Raw]]/AR$4)*100)*AR$5)</f>
        <v>0</v>
      </c>
      <c r="BI38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8.0886649566676923</v>
      </c>
      <c r="BJ381" s="205">
        <f>_xlfn.RANK.EQ(FMS_Ranking4[[#This Row],[Total Score 
(with linear
normalization)]],FMS_Ranking4[Total Score 
(with linear
normalization)],0)</f>
        <v>87</v>
      </c>
      <c r="BK381" s="205" t="e">
        <f>_xlfn.XLOOKUP(FMS_Ranking4[[#This Row],[FMS ID]],#REF!,#REF!)</f>
        <v>#REF!</v>
      </c>
      <c r="BL38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15.786717306309789</v>
      </c>
      <c r="BM381" s="272">
        <f>FMS_Ranking4[[#This Row],[ArcSinh Score Based on Normalized Reported Factors]]+FMS_Ranking4[[#This Row],[% NBS Score (Normalized)]]+(FMS_Ranking4[[#This Row],[Water Supply Score (Normalized)]]*10*$BB$5)+FMS_Ranking4[[#This Row],[FMS_Type Score Weighted]]</f>
        <v>23.786717306309789</v>
      </c>
      <c r="BN381" s="205">
        <f>_xlfn.RANK.EQ(FMS_Ranking4[[#This Row],[Total Score (with ArcSinh normalization of select criteria)]],FMS_Ranking4[Total Score (with ArcSinh normalization of select criteria)],0)</f>
        <v>374</v>
      </c>
      <c r="BO381" s="270" t="str">
        <f>_xlfn.XLOOKUP(FMS_Ranking4[[#This Row],[FMS ID]],FMS_Input[FMS_ID],FMS_Input[FMS_RANK_YEAR])</f>
        <v>2023 Amended Plan</v>
      </c>
      <c r="BP381" s="204">
        <f>_xlfn.XLOOKUP(FMS_Ranking4[[#This Row],[FMS ID]],Prev_Rank[FMS ID],Prev_Rank[Prev Rank])</f>
        <v>338</v>
      </c>
      <c r="BQ381" s="205" t="e">
        <f>_xlfn.XLOOKUP(FMS_Ranking4[[#This Row],[FMS ID]],#REF!,#REF!)</f>
        <v>#REF!</v>
      </c>
      <c r="BR381" s="199" t="e">
        <f>SUM(#REF!,#REF!,#REF!,#REF!,#REF!,#REF!,#REF!,#REF!,#REF!,FMS_Ranking4[[#This Row],[ArcSinh Res struct removed 0-10]],#REF!)</f>
        <v>#REF!</v>
      </c>
      <c r="BS381" s="199" t="e">
        <f>FMS_Ranking4[[#This Row],[Log Score Based on Normalized Reported Factors]]+FMS_Ranking4[[#This Row],[% NBS Score (Normalized)]]+(FMS_Ranking4[[#This Row],[Water Supply Score (Normalized)]]*10*$BB$5)+(FMS_Ranking4[[#This Row],[FMS_Type Score Weighted]])</f>
        <v>#REF!</v>
      </c>
      <c r="BT381" s="200" t="e">
        <f>_xlfn.RANK.EQ(FMS_Ranking4[[#This Row],[Log Total Score]],FMS_Ranking4[Log Total Score],0)</f>
        <v>#REF!</v>
      </c>
      <c r="BU381" s="200" t="e">
        <f>_xlfn.XLOOKUP(FMS_Ranking4[[#This Row],[FMS ID]],#REF!,#REF!)</f>
        <v>#REF!</v>
      </c>
      <c r="BV381" s="200">
        <f>FMS_Ranking4[[#This Row],[Region Number]]</f>
        <v>3</v>
      </c>
      <c r="BW381" s="200">
        <f>FMS_Ranking4[[#This Row],[Rank (with ArcSinh normalization of select criteria)]]-FMS_Ranking4[[#This Row],[Rank
(with linear
normalization)]]</f>
        <v>287</v>
      </c>
      <c r="BX381" s="200" t="e">
        <f>FMS_Ranking4[[#This Row],[Log Rank]]-FMS_Ranking4[[#This Row],[Rank
(with linear
normalization)]]</f>
        <v>#REF!</v>
      </c>
      <c r="BY381" s="200" t="str">
        <f>IF(FMS_Ranking4[[#This Row],[FMS Type]]="Flood Measurement and Warning",FMS_Ranking4[[#This Row],[Rank (with ArcSinh normalization of select criteria)]],"")</f>
        <v/>
      </c>
      <c r="BZ381" s="200" t="str">
        <f>IF(FMS_Ranking4[[#This Row],[FMS Type]]="Regulatory and Guidance",FMS_Ranking4[[#This Row],[Rank (with ArcSinh normalization of select criteria)]],"")</f>
        <v/>
      </c>
      <c r="CA381" s="200" t="str">
        <f>IF(FMS_Ranking4[[#This Row],[FMS Type]]="Education and Outreach",FMS_Ranking4[[#This Row],[Rank (with ArcSinh normalization of select criteria)]],"")</f>
        <v/>
      </c>
      <c r="CB381" s="200" t="str">
        <f>IF(FMS_Ranking4[[#This Row],[FMS Type]]="Property Acquisition and Structural Elevation",FMS_Ranking4[[#This Row],[Rank (with ArcSinh normalization of select criteria)]],"")</f>
        <v/>
      </c>
      <c r="CC381" s="200" t="str">
        <f>IF(FMS_Ranking4[[#This Row],[FMS Type]]="Infrastructure Projects",FMS_Ranking4[[#This Row],[Rank (with ArcSinh normalization of select criteria)]],"")</f>
        <v/>
      </c>
      <c r="CD381" s="200">
        <f>IF(FMS_Ranking4[[#This Row],[FMS Type]]="Other",FMS_Ranking4[[#This Row],[Rank (with ArcSinh normalization of select criteria)]],"")</f>
        <v>374</v>
      </c>
      <c r="CE381" s="201"/>
      <c r="CF381" s="206"/>
      <c r="CG381" s="206"/>
      <c r="CH381" s="206"/>
      <c r="CI381" s="206"/>
      <c r="CJ381" s="206"/>
      <c r="CK381" s="206"/>
      <c r="CL381" s="206"/>
      <c r="CM381" s="206"/>
      <c r="CN381" s="206"/>
      <c r="CO381" s="206"/>
      <c r="CP381" s="206"/>
      <c r="CQ381" s="206"/>
      <c r="CR381" s="206"/>
    </row>
    <row r="382" spans="2:96" ht="60" x14ac:dyDescent="0.25">
      <c r="B382" s="341" t="s">
        <v>2182</v>
      </c>
      <c r="C382" s="246">
        <f>_xlfn.XLOOKUP(FMS_Ranking4[[#This Row],[FMS ID]],FMS_Input[FMS_ID],FMS_Input[RFPG_NUM])</f>
        <v>3</v>
      </c>
      <c r="D382" s="309" t="str">
        <f>_xlfn.XLOOKUP(FMS_Ranking4[[#This Row],[FMS ID]],FMS_Input[FMS_ID],FMS_Input[FMS_NAME])</f>
        <v>Weatherford Biannual Dam Inspection Program</v>
      </c>
      <c r="E382" s="308" t="str">
        <f>_xlfn.XLOOKUP(FMS_Ranking4[[#This Row],[FMS ID]],FMS_Input[FMS_ID],FMS_Input[SPONSOR])</f>
        <v>Weatherford</v>
      </c>
      <c r="F382" s="309" t="str">
        <f>_xlfn.XLOOKUP(FMS_Ranking4[[#This Row],[FMS ID]],Sponsor[FMS_ID],Sponsor[SPONSOR NAME])</f>
        <v>Weatherford</v>
      </c>
      <c r="G382" s="309" t="str">
        <f>_xlfn.XLOOKUP(FMS_Ranking4[[#This Row],[FMS ID]],FMS_Input[FMS_ID],FMS_Input[FMS_DESCR])</f>
        <v>Create and implement a biannual inspection program to inspect the city-owned dams to help prevent dam failure</v>
      </c>
      <c r="H382" s="248" t="str">
        <f>_xlfn.XLOOKUP(FMS_Ranking4[[#This Row],[FMS ID]],FMS_Input[FMS_ID],FMS_Input[FMS_TYPE])</f>
        <v>Other</v>
      </c>
      <c r="I382" s="249">
        <f>_xlfn.XLOOKUP(FMS_Ranking4[[#This Row],[FMS ID]],FMS_Input[FMS_ID],FMS_Input[NRNC_COST])</f>
        <v>50000</v>
      </c>
      <c r="J382" s="250">
        <f>_xlfn.XLOOKUP(FMS_Ranking4[[#This Row],[FMS ID]],FMS_Input[FMS_ID],FMS_Input[FMS_COST])</f>
        <v>50000</v>
      </c>
      <c r="K382" s="251" t="str">
        <f>_xlfn.XLOOKUP(FMS_Ranking4[[#This Row],[FMS ID]],FMS_Input[FMS_ID],FMS_Input[EMER_NEED])</f>
        <v>No</v>
      </c>
      <c r="L382" s="252">
        <f t="shared" si="5"/>
        <v>0</v>
      </c>
      <c r="M382" s="253">
        <f>_xlfn.XLOOKUP(FMS_Ranking4[[#This Row],[FMS ID]],FMS_Input[FMS_ID],FMS_Input[STRUCT_100])</f>
        <v>520</v>
      </c>
      <c r="N382" s="255">
        <f>(ASINH(FMS_Ranking4[[#This Row],[Structure at Risk Raw]]))*(10)/(ASINH(M$4))</f>
        <v>5.4613582165810914</v>
      </c>
      <c r="O382" s="256">
        <f>FMS_Ranking4[[#This Row],[Structures at risk, ArcSinh (0-10)]]*M$5*10</f>
        <v>5.4613582165810914</v>
      </c>
      <c r="P382" s="253">
        <f>_xlfn.XLOOKUP(FMS_Ranking4[[#This Row],[FMS ID]],FMS_Input[FMS_ID],FMS_Input[RES_STRUCT100])</f>
        <v>468</v>
      </c>
      <c r="Q382" s="257">
        <f>ASINH(FMS_Ranking4[[#This Row],[Res Structure Raw]])/Q$4*P$5*100</f>
        <v>0</v>
      </c>
      <c r="R382" s="253">
        <f>_xlfn.XLOOKUP(FMS_Ranking4[[#This Row],[FMS ID]],FMS_Input[FMS_ID],FMS_Input[POP100])</f>
        <v>1442</v>
      </c>
      <c r="S382" s="255">
        <f>(ASINH(FMS_Ranking4[[#This Row],[Pop at Risk Raw]]))*(10)/(ASINH(R$4))</f>
        <v>5.500038095336504</v>
      </c>
      <c r="T382" s="256">
        <f>FMS_Ranking4[[#This Row],[Population at risk, ArcSinh (0-10)]]*R$5*10</f>
        <v>5.5000380953365049</v>
      </c>
      <c r="U382" s="253">
        <f>_xlfn.XLOOKUP(FMS_Ranking4[[#This Row],[FMS ID]],FMS_Input[FMS_ID],FMS_Input[CRITFAC100])</f>
        <v>5</v>
      </c>
      <c r="V382" s="255">
        <f>(ASINH(FMS_Ranking4[[#This Row],[Critical Facilities Raw]]))*(10)/(ASINH(U$4))</f>
        <v>2.7373815814321909</v>
      </c>
      <c r="W382" s="256">
        <f>FMS_Ranking4[[#This Row],[Critical facilities at risk, ArcSinh (0-10)]]*U$5*10</f>
        <v>2.7373815814321913</v>
      </c>
      <c r="X382" s="253">
        <f>_xlfn.XLOOKUP(FMS_Ranking4[[#This Row],[FMS ID]],FMS_Input[FMS_ID],FMS_Input[LWC])</f>
        <v>6</v>
      </c>
      <c r="Y382" s="255">
        <f>(ASINH(FMS_Ranking4[[#This Row],[LWC Raw]]))*(10)/(ASINH(X$4))</f>
        <v>3.375708300798784</v>
      </c>
      <c r="Z382" s="256">
        <f>FMS_Ranking4[[#This Row],[LWC, ArcSInh (0-10)]]*X$5*10</f>
        <v>3.3757083007987845</v>
      </c>
      <c r="AA382" s="253">
        <f>_xlfn.XLOOKUP(FMS_Ranking4[[#This Row],[FMS ID]],FMS_Input[FMS_ID],FMS_Input[ROADCLS])</f>
        <v>0</v>
      </c>
      <c r="AB382" s="255">
        <f>(ASINH(FMS_Ranking4[[#This Row],[Road Closures Raw]]))*(10)/(ASINH(AA$4))</f>
        <v>0</v>
      </c>
      <c r="AC382" s="256">
        <f>FMS_Ranking4[[#This Row],[Road closures, ArcSinh (0-10)]]*AA$5*10</f>
        <v>0</v>
      </c>
      <c r="AD382" s="253">
        <f>_xlfn.XLOOKUP(FMS_Ranking4[[#This Row],[FMS ID]],FMS_Input[FMS_ID],FMS_Input[ROAD_MILES100])</f>
        <v>18</v>
      </c>
      <c r="AE382" s="255">
        <f>(ASINH(FMS_Ranking4[[#This Row],[Road Miles Raw]]))*(10)/(ASINH(AD$4))</f>
        <v>3.8198666439072628</v>
      </c>
      <c r="AF382" s="256">
        <f>FMS_Ranking4[[#This Row],[Length of roads at risk, ArcSinh (0-10)]]*AD$5*10</f>
        <v>3.8198666439072633</v>
      </c>
      <c r="AG382" s="253">
        <f>_xlfn.XLOOKUP(FMS_Ranking4[[#This Row],[FMS ID]],FMS_Input[FMS_ID],FMS_Input[FARMACRE100])</f>
        <v>759.00537109375</v>
      </c>
      <c r="AH382" s="255">
        <f>(ASINH(FMS_Ranking4[[#This Row],[Ag Land Raw]]))*(10)/(ASINH(AG$4))</f>
        <v>4.7582859017287582</v>
      </c>
      <c r="AI382" s="260">
        <f>FMS_Ranking4[[#This Row],[Farm &amp; ranch land, ArcSinh (0-10)]]*AG$5*10</f>
        <v>2.3791429508643791</v>
      </c>
      <c r="AJ382" s="258">
        <f>_xlfn.XLOOKUP(FMS_Ranking4[[#This Row],[FMS ID]],FMS_Input[FMS_ID],FMS_Input[REDSTRUCT100])</f>
        <v>0</v>
      </c>
      <c r="AK382" s="253">
        <f>_xlfn.XLOOKUP(FMS_Ranking4[[#This Row],[FMS ID]],FMS_Input[FMS_ID],FMS_Input[REMSTRC100])</f>
        <v>0</v>
      </c>
      <c r="AL382" s="255">
        <f>(ASINH(FMS_Ranking4[[#This Row],[Structures Removed Raw]]))*(10)/(ASINH(AK$4))</f>
        <v>0</v>
      </c>
      <c r="AM382" s="262">
        <f>FMS_Ranking4[[#This Row],[Structures removed, ArcSinh (0-10)]]*AK$5*10</f>
        <v>0</v>
      </c>
      <c r="AN382" s="253">
        <f>_xlfn.XLOOKUP(FMS_Ranking4[[#This Row],[FMS ID]],FMS_Input[FMS_ID],FMS_Input[REMRESSTRC100])</f>
        <v>0</v>
      </c>
      <c r="AO382" s="261">
        <f>FMS_Ranking4[[#This Row],[ArcSinh Res struct removed 0-10]]*AN$5*10</f>
        <v>0</v>
      </c>
      <c r="AP382" s="260">
        <f>ASINH(FMS_Ranking4[[#This Row],[Residential Structures Removed Raw]])/AP$4*AN$5*100</f>
        <v>0</v>
      </c>
      <c r="AQ382" s="258">
        <f>(ASINH(FMS_Ranking4[[#This Row],[Residential Structures Removed Raw]]))*(10)/(ASINH(AN$4))</f>
        <v>0</v>
      </c>
      <c r="AR382" s="253">
        <f>_xlfn.XLOOKUP(FMS_Ranking4[[#This Row],[FMS ID]],FMS_Input[FMS_ID],FMS_Input[REMPOP100])</f>
        <v>0</v>
      </c>
      <c r="AS382" s="255">
        <f>(ASINH(FMS_Ranking4[[#This Row],[Removed Pop Raw]]))*(10)/(ASINH(AR$4))</f>
        <v>0</v>
      </c>
      <c r="AT382" s="262">
        <f>FMS_Ranking4[[#This Row],[Removed population, ArcSinh (0-10)]]*AR$5*10</f>
        <v>0</v>
      </c>
      <c r="AU382" s="264">
        <f>_xlfn.XLOOKUP(FMS_Ranking4[[#This Row],[FMS ID]],FMS_Input[FMS_ID],FMS_Input[REMCRITFAC100])</f>
        <v>0</v>
      </c>
      <c r="AV382" s="264">
        <f>_xlfn.XLOOKUP(FMS_Ranking4[[#This Row],[FMS ID]],FMS_Input[FMS_ID],FMS_Input[REMLWC100])</f>
        <v>0</v>
      </c>
      <c r="AW382" s="264">
        <f>_xlfn.XLOOKUP(FMS_Ranking4[[#This Row],[FMS ID]],FMS_Input[FMS_ID],FMS_Input[REMROADCLS])</f>
        <v>0</v>
      </c>
      <c r="AX382" s="264">
        <f>_xlfn.XLOOKUP(FMS_Ranking4[[#This Row],[FMS ID]],FMS_Input[FMS_ID],FMS_Input[REMFRMACRE100])</f>
        <v>0</v>
      </c>
      <c r="AY382" s="258">
        <f>_xlfn.XLOOKUP(FMS_Ranking4[[#This Row],[FMS ID]],FMS_Input[FMS_ID],FMS_Input[COSTSTRUCT])</f>
        <v>0</v>
      </c>
      <c r="AZ382" s="253">
        <f>_xlfn.XLOOKUP(FMS_Ranking4[[#This Row],[FMS ID]],FMS_Input[FMS_ID],FMS_Input[NATURE])</f>
        <v>0</v>
      </c>
      <c r="BA382" s="262">
        <f>(((FMS_Ranking4[[#This Row],[% NBS Raw]]/AZ$4)*100)*AZ$5)</f>
        <v>0</v>
      </c>
      <c r="BB382" s="251" t="str">
        <f>_xlfn.XLOOKUP(FMS_Ranking4[[#This Row],[FMS ID]],FMS_Input[FMS_ID],FMS_Input[WATER_SUP])</f>
        <v>No</v>
      </c>
      <c r="BC382" s="265">
        <f>IF(FMS_Ranking4[[#This Row],[Water Supply Raw]]="Yes",10,0)</f>
        <v>0</v>
      </c>
      <c r="BD382" s="266">
        <f>_xlfn.XLOOKUP(FMS_Ranking4[[#This Row],[FMS Type]],FMS_TYPE[FMS_Type],FMS_TYPE[Score])</f>
        <v>2</v>
      </c>
      <c r="BE382" s="267">
        <f>FMS_Ranking4[[#This Row],[FMS_Type Score]]*$BD$5*10</f>
        <v>0.5</v>
      </c>
      <c r="BF38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0.17386594051448195</v>
      </c>
      <c r="BG382" s="269">
        <f>_xlfn.RANK.EQ(BF382,$BF$8:$BF$870,0)+COUNTIF($BF$8:BF382,BF382)-1</f>
        <v>379</v>
      </c>
      <c r="BH382" s="268">
        <f>(((FMS_Ranking4[[#This Row],[Structures Removed Raw]]/AK$4)*100)*AK$5)+(((FMS_Ranking4[[#This Row],[Removed Pop Raw]]/AR$4)*100)*AR$5)</f>
        <v>0</v>
      </c>
      <c r="BI38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0.67386594051448201</v>
      </c>
      <c r="BJ382" s="251">
        <f>_xlfn.RANK.EQ(FMS_Ranking4[[#This Row],[Total Score 
(with linear
normalization)]],FMS_Ranking4[Total Score 
(with linear
normalization)],0)</f>
        <v>808</v>
      </c>
      <c r="BK382" s="251" t="e">
        <f>_xlfn.XLOOKUP(FMS_Ranking4[[#This Row],[FMS ID]],#REF!,#REF!)</f>
        <v>#REF!</v>
      </c>
      <c r="BL38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23.273495788920215</v>
      </c>
      <c r="BM382" s="324">
        <f>FMS_Ranking4[[#This Row],[ArcSinh Score Based on Normalized Reported Factors]]+FMS_Ranking4[[#This Row],[% NBS Score (Normalized)]]+(FMS_Ranking4[[#This Row],[Water Supply Score (Normalized)]]*10*$BB$5)+FMS_Ranking4[[#This Row],[FMS_Type Score Weighted]]</f>
        <v>23.773495788920215</v>
      </c>
      <c r="BN382" s="251">
        <f>_xlfn.RANK.EQ(FMS_Ranking4[[#This Row],[Total Score (with ArcSinh normalization of select criteria)]],FMS_Ranking4[Total Score (with ArcSinh normalization of select criteria)],0)</f>
        <v>375</v>
      </c>
      <c r="BO382" s="270" t="str">
        <f>_xlfn.XLOOKUP(FMS_Ranking4[[#This Row],[FMS ID]],FMS_Input[FMS_ID],FMS_Input[FMS_RANK_YEAR])</f>
        <v>2023 Amended Plan</v>
      </c>
      <c r="BP382" s="204">
        <f>_xlfn.XLOOKUP(FMS_Ranking4[[#This Row],[FMS ID]],Prev_Rank[FMS ID],Prev_Rank[Prev Rank])</f>
        <v>327</v>
      </c>
      <c r="BQ382" s="251" t="e">
        <f>_xlfn.XLOOKUP(FMS_Ranking4[[#This Row],[FMS ID]],#REF!,#REF!)</f>
        <v>#REF!</v>
      </c>
      <c r="BR382" s="199" t="e">
        <f>SUM(#REF!,#REF!,#REF!,#REF!,#REF!,#REF!,#REF!,#REF!,#REF!,FMS_Ranking4[[#This Row],[ArcSinh Res struct removed 0-10]],#REF!)</f>
        <v>#REF!</v>
      </c>
      <c r="BS382" s="199" t="e">
        <f>FMS_Ranking4[[#This Row],[Log Score Based on Normalized Reported Factors]]+FMS_Ranking4[[#This Row],[% NBS Score (Normalized)]]+(FMS_Ranking4[[#This Row],[Water Supply Score (Normalized)]]*10*$BB$5)+(FMS_Ranking4[[#This Row],[FMS_Type Score Weighted]])</f>
        <v>#REF!</v>
      </c>
      <c r="BT382" s="200" t="e">
        <f>_xlfn.RANK.EQ(FMS_Ranking4[[#This Row],[Log Total Score]],FMS_Ranking4[Log Total Score],0)</f>
        <v>#REF!</v>
      </c>
      <c r="BU382" s="200" t="e">
        <f>_xlfn.XLOOKUP(FMS_Ranking4[[#This Row],[FMS ID]],#REF!,#REF!)</f>
        <v>#REF!</v>
      </c>
      <c r="BV382" s="200">
        <f>FMS_Ranking4[[#This Row],[Region Number]]</f>
        <v>3</v>
      </c>
      <c r="BW382" s="200">
        <f>FMS_Ranking4[[#This Row],[Rank (with ArcSinh normalization of select criteria)]]-FMS_Ranking4[[#This Row],[Rank
(with linear
normalization)]]</f>
        <v>-433</v>
      </c>
      <c r="BX382" s="200" t="e">
        <f>FMS_Ranking4[[#This Row],[Log Rank]]-FMS_Ranking4[[#This Row],[Rank
(with linear
normalization)]]</f>
        <v>#REF!</v>
      </c>
      <c r="BY382" s="200" t="str">
        <f>IF(FMS_Ranking4[[#This Row],[FMS Type]]="Flood Measurement and Warning",FMS_Ranking4[[#This Row],[Rank (with ArcSinh normalization of select criteria)]],"")</f>
        <v/>
      </c>
      <c r="BZ382" s="200" t="str">
        <f>IF(FMS_Ranking4[[#This Row],[FMS Type]]="Regulatory and Guidance",FMS_Ranking4[[#This Row],[Rank (with ArcSinh normalization of select criteria)]],"")</f>
        <v/>
      </c>
      <c r="CA382" s="200" t="str">
        <f>IF(FMS_Ranking4[[#This Row],[FMS Type]]="Education and Outreach",FMS_Ranking4[[#This Row],[Rank (with ArcSinh normalization of select criteria)]],"")</f>
        <v/>
      </c>
      <c r="CB382" s="200" t="str">
        <f>IF(FMS_Ranking4[[#This Row],[FMS Type]]="Property Acquisition and Structural Elevation",FMS_Ranking4[[#This Row],[Rank (with ArcSinh normalization of select criteria)]],"")</f>
        <v/>
      </c>
      <c r="CC382" s="200" t="str">
        <f>IF(FMS_Ranking4[[#This Row],[FMS Type]]="Infrastructure Projects",FMS_Ranking4[[#This Row],[Rank (with ArcSinh normalization of select criteria)]],"")</f>
        <v/>
      </c>
      <c r="CD382" s="200">
        <f>IF(FMS_Ranking4[[#This Row],[FMS Type]]="Other",FMS_Ranking4[[#This Row],[Rank (with ArcSinh normalization of select criteria)]],"")</f>
        <v>375</v>
      </c>
      <c r="CE382" s="201"/>
      <c r="CF382" s="206"/>
      <c r="CG382" s="206"/>
      <c r="CH382" s="206"/>
      <c r="CI382" s="206"/>
      <c r="CJ382" s="206"/>
      <c r="CK382" s="206"/>
      <c r="CL382" s="206"/>
      <c r="CM382" s="206"/>
      <c r="CN382" s="206"/>
      <c r="CO382" s="206"/>
      <c r="CP382" s="206"/>
      <c r="CQ382" s="206"/>
      <c r="CR382" s="206"/>
    </row>
    <row r="383" spans="2:96" ht="135" x14ac:dyDescent="0.25">
      <c r="B383" s="341" t="s">
        <v>2257</v>
      </c>
      <c r="C383" s="246">
        <f>_xlfn.XLOOKUP(FMS_Ranking4[[#This Row],[FMS ID]],FMS_Input[FMS_ID],FMS_Input[RFPG_NUM])</f>
        <v>3</v>
      </c>
      <c r="D383" s="309" t="str">
        <f>_xlfn.XLOOKUP(FMS_Ranking4[[#This Row],[FMS ID]],FMS_Input[FMS_ID],FMS_Input[FMS_NAME])</f>
        <v>Grayson County Flood Insurance and Flood Safety Education Program</v>
      </c>
      <c r="E383" s="308" t="str">
        <f>_xlfn.XLOOKUP(FMS_Ranking4[[#This Row],[FMS ID]],FMS_Input[FMS_ID],FMS_Input[SPONSOR])</f>
        <v>Grayson County</v>
      </c>
      <c r="F383" s="309" t="str">
        <f>_xlfn.XLOOKUP(FMS_Ranking4[[#This Row],[FMS ID]],Sponsor[FMS_ID],Sponsor[SPONSOR NAME])</f>
        <v>Grayson County</v>
      </c>
      <c r="G383" s="309" t="str">
        <f>_xlfn.XLOOKUP(FMS_Ranking4[[#This Row],[FMS ID]],FMS_Input[FMS_ID],FMS_Input[FMS_DESCR])</f>
        <v>Educate residents on NFIP program and importance of purchasing flood insurance. Turn Around Don’t Drown Campaign. Educate property owners near high hazard dams of potential dam failure. Better inform residents of mitigation activities to implement in h</v>
      </c>
      <c r="H383" s="248" t="str">
        <f>_xlfn.XLOOKUP(FMS_Ranking4[[#This Row],[FMS ID]],FMS_Input[FMS_ID],FMS_Input[FMS_TYPE])</f>
        <v>Education and Outreach</v>
      </c>
      <c r="I383" s="249">
        <f>_xlfn.XLOOKUP(FMS_Ranking4[[#This Row],[FMS ID]],FMS_Input[FMS_ID],FMS_Input[NRNC_COST])</f>
        <v>50000</v>
      </c>
      <c r="J383" s="250">
        <f>_xlfn.XLOOKUP(FMS_Ranking4[[#This Row],[FMS ID]],FMS_Input[FMS_ID],FMS_Input[FMS_COST])</f>
        <v>50000</v>
      </c>
      <c r="K383" s="251" t="str">
        <f>_xlfn.XLOOKUP(FMS_Ranking4[[#This Row],[FMS ID]],FMS_Input[FMS_ID],FMS_Input[EMER_NEED])</f>
        <v>No</v>
      </c>
      <c r="L383" s="252">
        <f t="shared" si="5"/>
        <v>0</v>
      </c>
      <c r="M383" s="253">
        <f>_xlfn.XLOOKUP(FMS_Ranking4[[#This Row],[FMS ID]],FMS_Input[FMS_ID],FMS_Input[STRUCT_100])</f>
        <v>436</v>
      </c>
      <c r="N383" s="255">
        <f>(ASINH(FMS_Ranking4[[#This Row],[Structure at Risk Raw]]))*(10)/(ASINH(M$4))</f>
        <v>5.3228496479554925</v>
      </c>
      <c r="O383" s="256">
        <f>FMS_Ranking4[[#This Row],[Structures at risk, ArcSinh (0-10)]]*M$5*10</f>
        <v>5.3228496479554934</v>
      </c>
      <c r="P383" s="253">
        <f>_xlfn.XLOOKUP(FMS_Ranking4[[#This Row],[FMS ID]],FMS_Input[FMS_ID],FMS_Input[RES_STRUCT100])</f>
        <v>376</v>
      </c>
      <c r="Q383" s="257">
        <f>ASINH(FMS_Ranking4[[#This Row],[Res Structure Raw]])/Q$4*P$5*100</f>
        <v>0</v>
      </c>
      <c r="R383" s="253">
        <f>_xlfn.XLOOKUP(FMS_Ranking4[[#This Row],[FMS ID]],FMS_Input[FMS_ID],FMS_Input[POP100])</f>
        <v>514</v>
      </c>
      <c r="S383" s="259">
        <f>(ASINH(FMS_Ranking4[[#This Row],[Pop at Risk Raw]]))*(10)/(ASINH(R$4))</f>
        <v>4.7878906350663044</v>
      </c>
      <c r="T383" s="256">
        <f>FMS_Ranking4[[#This Row],[Population at risk, ArcSinh (0-10)]]*R$5*10</f>
        <v>4.7878906350663044</v>
      </c>
      <c r="U383" s="253">
        <f>_xlfn.XLOOKUP(FMS_Ranking4[[#This Row],[FMS ID]],FMS_Input[FMS_ID],FMS_Input[CRITFAC100])</f>
        <v>5</v>
      </c>
      <c r="V383" s="259">
        <f>(ASINH(FMS_Ranking4[[#This Row],[Critical Facilities Raw]]))*(10)/(ASINH(U$4))</f>
        <v>2.7373815814321909</v>
      </c>
      <c r="W383" s="256">
        <f>FMS_Ranking4[[#This Row],[Critical facilities at risk, ArcSinh (0-10)]]*U$5*10</f>
        <v>2.7373815814321913</v>
      </c>
      <c r="X383" s="253">
        <f>_xlfn.XLOOKUP(FMS_Ranking4[[#This Row],[FMS ID]],FMS_Input[FMS_ID],FMS_Input[LWC])</f>
        <v>1</v>
      </c>
      <c r="Y383" s="259">
        <f>(ASINH(FMS_Ranking4[[#This Row],[LWC Raw]]))*(10)/(ASINH(X$4))</f>
        <v>1.1940300948531093</v>
      </c>
      <c r="Z383" s="256">
        <f>FMS_Ranking4[[#This Row],[LWC, ArcSInh (0-10)]]*X$5*10</f>
        <v>1.1940300948531093</v>
      </c>
      <c r="AA383" s="253">
        <f>_xlfn.XLOOKUP(FMS_Ranking4[[#This Row],[FMS ID]],FMS_Input[FMS_ID],FMS_Input[ROADCLS])</f>
        <v>0</v>
      </c>
      <c r="AB383" s="255">
        <f>(ASINH(FMS_Ranking4[[#This Row],[Road Closures Raw]]))*(10)/(ASINH(AA$4))</f>
        <v>0</v>
      </c>
      <c r="AC383" s="256">
        <f>FMS_Ranking4[[#This Row],[Road closures, ArcSinh (0-10)]]*AA$5*10</f>
        <v>0</v>
      </c>
      <c r="AD383" s="253">
        <f>_xlfn.XLOOKUP(FMS_Ranking4[[#This Row],[FMS ID]],FMS_Input[FMS_ID],FMS_Input[ROAD_MILES100])</f>
        <v>43</v>
      </c>
      <c r="AE383" s="259">
        <f>(ASINH(FMS_Ranking4[[#This Row],[Road Miles Raw]]))*(10)/(ASINH(AD$4))</f>
        <v>4.7472527844273538</v>
      </c>
      <c r="AF383" s="256">
        <f>FMS_Ranking4[[#This Row],[Length of roads at risk, ArcSinh (0-10)]]*AD$5*10</f>
        <v>4.7472527844273538</v>
      </c>
      <c r="AG383" s="253">
        <f>_xlfn.XLOOKUP(FMS_Ranking4[[#This Row],[FMS ID]],FMS_Input[FMS_ID],FMS_Input[FARMACRE100])</f>
        <v>21311.439453125</v>
      </c>
      <c r="AH383" s="255">
        <f>(ASINH(FMS_Ranking4[[#This Row],[Ag Land Raw]]))*(10)/(ASINH(AG$4))</f>
        <v>6.9246335955170482</v>
      </c>
      <c r="AI383" s="260">
        <f>FMS_Ranking4[[#This Row],[Farm &amp; ranch land, ArcSinh (0-10)]]*AG$5*10</f>
        <v>3.4623167977585245</v>
      </c>
      <c r="AJ383" s="258">
        <f>_xlfn.XLOOKUP(FMS_Ranking4[[#This Row],[FMS ID]],FMS_Input[FMS_ID],FMS_Input[REDSTRUCT100])</f>
        <v>0</v>
      </c>
      <c r="AK383" s="253">
        <f>_xlfn.XLOOKUP(FMS_Ranking4[[#This Row],[FMS ID]],FMS_Input[FMS_ID],FMS_Input[REMSTRC100])</f>
        <v>0</v>
      </c>
      <c r="AL383" s="259">
        <f>(ASINH(FMS_Ranking4[[#This Row],[Structures Removed Raw]]))*(10)/(ASINH(AK$4))</f>
        <v>0</v>
      </c>
      <c r="AM383" s="262">
        <f>FMS_Ranking4[[#This Row],[Structures removed, ArcSinh (0-10)]]*AK$5*10</f>
        <v>0</v>
      </c>
      <c r="AN383" s="253">
        <f>_xlfn.XLOOKUP(FMS_Ranking4[[#This Row],[FMS ID]],FMS_Input[FMS_ID],FMS_Input[REMRESSTRC100])</f>
        <v>0</v>
      </c>
      <c r="AO383" s="261">
        <f>FMS_Ranking4[[#This Row],[ArcSinh Res struct removed 0-10]]*AN$5*10</f>
        <v>0</v>
      </c>
      <c r="AP383" s="260">
        <f>ASINH(FMS_Ranking4[[#This Row],[Residential Structures Removed Raw]])/AP$4*AN$5*100</f>
        <v>0</v>
      </c>
      <c r="AQ383" s="254">
        <f>(ASINH(FMS_Ranking4[[#This Row],[Residential Structures Removed Raw]]))*(10)/(ASINH(AN$4))</f>
        <v>0</v>
      </c>
      <c r="AR383" s="253">
        <f>_xlfn.XLOOKUP(FMS_Ranking4[[#This Row],[FMS ID]],FMS_Input[FMS_ID],FMS_Input[REMPOP100])</f>
        <v>0</v>
      </c>
      <c r="AS383" s="259">
        <f>(ASINH(FMS_Ranking4[[#This Row],[Removed Pop Raw]]))*(10)/(ASINH(AR$4))</f>
        <v>0</v>
      </c>
      <c r="AT383" s="262">
        <f>FMS_Ranking4[[#This Row],[Removed population, ArcSinh (0-10)]]*AR$5*10</f>
        <v>0</v>
      </c>
      <c r="AU383" s="264">
        <f>_xlfn.XLOOKUP(FMS_Ranking4[[#This Row],[FMS ID]],FMS_Input[FMS_ID],FMS_Input[REMCRITFAC100])</f>
        <v>0</v>
      </c>
      <c r="AV383" s="264">
        <f>_xlfn.XLOOKUP(FMS_Ranking4[[#This Row],[FMS ID]],FMS_Input[FMS_ID],FMS_Input[REMLWC100])</f>
        <v>0</v>
      </c>
      <c r="AW383" s="264">
        <f>_xlfn.XLOOKUP(FMS_Ranking4[[#This Row],[FMS ID]],FMS_Input[FMS_ID],FMS_Input[REMROADCLS])</f>
        <v>0</v>
      </c>
      <c r="AX383" s="264">
        <f>_xlfn.XLOOKUP(FMS_Ranking4[[#This Row],[FMS ID]],FMS_Input[FMS_ID],FMS_Input[REMFRMACRE100])</f>
        <v>0</v>
      </c>
      <c r="AY383" s="258">
        <f>_xlfn.XLOOKUP(FMS_Ranking4[[#This Row],[FMS ID]],FMS_Input[FMS_ID],FMS_Input[COSTSTRUCT])</f>
        <v>0</v>
      </c>
      <c r="AZ383" s="253">
        <f>_xlfn.XLOOKUP(FMS_Ranking4[[#This Row],[FMS ID]],FMS_Input[FMS_ID],FMS_Input[NATURE])</f>
        <v>0</v>
      </c>
      <c r="BA383" s="262">
        <f>(((FMS_Ranking4[[#This Row],[% NBS Raw]]/AZ$4)*100)*AZ$5)</f>
        <v>0</v>
      </c>
      <c r="BB383" s="251" t="str">
        <f>_xlfn.XLOOKUP(FMS_Ranking4[[#This Row],[FMS ID]],FMS_Input[FMS_ID],FMS_Input[WATER_SUP])</f>
        <v>No</v>
      </c>
      <c r="BC383" s="265">
        <f>IF(FMS_Ranking4[[#This Row],[Water Supply Raw]]="Yes",10,0)</f>
        <v>0</v>
      </c>
      <c r="BD383" s="266">
        <f>_xlfn.XLOOKUP(FMS_Ranking4[[#This Row],[FMS Type]],FMS_TYPE[FMS_Type],FMS_TYPE[Score])</f>
        <v>6</v>
      </c>
      <c r="BE383" s="267">
        <f>FMS_Ranking4[[#This Row],[FMS_Type Score]]*$BD$5*10</f>
        <v>1.5000000000000002</v>
      </c>
      <c r="BF38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0.181510033113607</v>
      </c>
      <c r="BG383" s="271">
        <f>_xlfn.RANK.EQ(BF383,$BF$8:$BF$870,0)+COUNTIF($BF$8:BF383,BF383)-1</f>
        <v>377</v>
      </c>
      <c r="BH383" s="268">
        <f>(((FMS_Ranking4[[#This Row],[Structures Removed Raw]]/AK$4)*100)*AK$5)+(((FMS_Ranking4[[#This Row],[Removed Pop Raw]]/AR$4)*100)*AR$5)</f>
        <v>0</v>
      </c>
      <c r="BI38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1.6815100331136072</v>
      </c>
      <c r="BJ383" s="205">
        <f>_xlfn.RANK.EQ(FMS_Ranking4[[#This Row],[Total Score 
(with linear
normalization)]],FMS_Ranking4[Total Score 
(with linear
normalization)],0)</f>
        <v>554</v>
      </c>
      <c r="BK383" s="205" t="e">
        <f>_xlfn.XLOOKUP(FMS_Ranking4[[#This Row],[FMS ID]],#REF!,#REF!)</f>
        <v>#REF!</v>
      </c>
      <c r="BL38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22.25172154149298</v>
      </c>
      <c r="BM383" s="272">
        <f>FMS_Ranking4[[#This Row],[ArcSinh Score Based on Normalized Reported Factors]]+FMS_Ranking4[[#This Row],[% NBS Score (Normalized)]]+(FMS_Ranking4[[#This Row],[Water Supply Score (Normalized)]]*10*$BB$5)+FMS_Ranking4[[#This Row],[FMS_Type Score Weighted]]</f>
        <v>23.75172154149298</v>
      </c>
      <c r="BN383" s="205">
        <f>_xlfn.RANK.EQ(FMS_Ranking4[[#This Row],[Total Score (with ArcSinh normalization of select criteria)]],FMS_Ranking4[Total Score (with ArcSinh normalization of select criteria)],0)</f>
        <v>376</v>
      </c>
      <c r="BO383" s="270" t="str">
        <f>_xlfn.XLOOKUP(FMS_Ranking4[[#This Row],[FMS ID]],FMS_Input[FMS_ID],FMS_Input[FMS_RANK_YEAR])</f>
        <v>2023 Amended Plan</v>
      </c>
      <c r="BP383" s="204">
        <f>_xlfn.XLOOKUP(FMS_Ranking4[[#This Row],[FMS ID]],Prev_Rank[FMS ID],Prev_Rank[Prev Rank])</f>
        <v>335</v>
      </c>
      <c r="BQ383" s="205" t="e">
        <f>_xlfn.XLOOKUP(FMS_Ranking4[[#This Row],[FMS ID]],#REF!,#REF!)</f>
        <v>#REF!</v>
      </c>
      <c r="BR383" s="199" t="e">
        <f>SUM(#REF!,#REF!,#REF!,#REF!,#REF!,#REF!,#REF!,#REF!,#REF!,FMS_Ranking4[[#This Row],[ArcSinh Res struct removed 0-10]],#REF!)</f>
        <v>#REF!</v>
      </c>
      <c r="BS383" s="199" t="e">
        <f>FMS_Ranking4[[#This Row],[Log Score Based on Normalized Reported Factors]]+FMS_Ranking4[[#This Row],[% NBS Score (Normalized)]]+(FMS_Ranking4[[#This Row],[Water Supply Score (Normalized)]]*10*$BB$5)+(FMS_Ranking4[[#This Row],[FMS_Type Score Weighted]])</f>
        <v>#REF!</v>
      </c>
      <c r="BT383" s="200" t="e">
        <f>_xlfn.RANK.EQ(FMS_Ranking4[[#This Row],[Log Total Score]],FMS_Ranking4[Log Total Score],0)</f>
        <v>#REF!</v>
      </c>
      <c r="BU383" s="200" t="e">
        <f>_xlfn.XLOOKUP(FMS_Ranking4[[#This Row],[FMS ID]],#REF!,#REF!)</f>
        <v>#REF!</v>
      </c>
      <c r="BV383" s="200">
        <f>FMS_Ranking4[[#This Row],[Region Number]]</f>
        <v>3</v>
      </c>
      <c r="BW383" s="200">
        <f>FMS_Ranking4[[#This Row],[Rank (with ArcSinh normalization of select criteria)]]-FMS_Ranking4[[#This Row],[Rank
(with linear
normalization)]]</f>
        <v>-178</v>
      </c>
      <c r="BX383" s="200" t="e">
        <f>FMS_Ranking4[[#This Row],[Log Rank]]-FMS_Ranking4[[#This Row],[Rank
(with linear
normalization)]]</f>
        <v>#REF!</v>
      </c>
      <c r="BY383" s="200" t="str">
        <f>IF(FMS_Ranking4[[#This Row],[FMS Type]]="Flood Measurement and Warning",FMS_Ranking4[[#This Row],[Rank (with ArcSinh normalization of select criteria)]],"")</f>
        <v/>
      </c>
      <c r="BZ383" s="200" t="str">
        <f>IF(FMS_Ranking4[[#This Row],[FMS Type]]="Regulatory and Guidance",FMS_Ranking4[[#This Row],[Rank (with ArcSinh normalization of select criteria)]],"")</f>
        <v/>
      </c>
      <c r="CA383" s="200">
        <f>IF(FMS_Ranking4[[#This Row],[FMS Type]]="Education and Outreach",FMS_Ranking4[[#This Row],[Rank (with ArcSinh normalization of select criteria)]],"")</f>
        <v>376</v>
      </c>
      <c r="CB383" s="200" t="str">
        <f>IF(FMS_Ranking4[[#This Row],[FMS Type]]="Property Acquisition and Structural Elevation",FMS_Ranking4[[#This Row],[Rank (with ArcSinh normalization of select criteria)]],"")</f>
        <v/>
      </c>
      <c r="CC383" s="200" t="str">
        <f>IF(FMS_Ranking4[[#This Row],[FMS Type]]="Infrastructure Projects",FMS_Ranking4[[#This Row],[Rank (with ArcSinh normalization of select criteria)]],"")</f>
        <v/>
      </c>
      <c r="CD383" s="200" t="str">
        <f>IF(FMS_Ranking4[[#This Row],[FMS Type]]="Other",FMS_Ranking4[[#This Row],[Rank (with ArcSinh normalization of select criteria)]],"")</f>
        <v/>
      </c>
      <c r="CE383" s="201"/>
      <c r="CF383" s="206"/>
      <c r="CG383" s="206"/>
      <c r="CH383" s="206"/>
      <c r="CI383" s="206"/>
      <c r="CJ383" s="206"/>
      <c r="CK383" s="206"/>
      <c r="CL383" s="206"/>
      <c r="CM383" s="206"/>
      <c r="CN383" s="206"/>
      <c r="CO383" s="206"/>
      <c r="CP383" s="206"/>
      <c r="CQ383" s="206"/>
      <c r="CR383" s="206"/>
    </row>
    <row r="384" spans="2:96" ht="75" x14ac:dyDescent="0.25">
      <c r="B384" s="341" t="s">
        <v>1705</v>
      </c>
      <c r="C384" s="246">
        <f>_xlfn.XLOOKUP(FMS_Ranking4[[#This Row],[FMS ID]],FMS_Input[FMS_ID],FMS_Input[RFPG_NUM])</f>
        <v>2</v>
      </c>
      <c r="D384" s="309" t="str">
        <f>_xlfn.XLOOKUP(FMS_Ranking4[[#This Row],[FMS ID]],FMS_Input[FMS_ID],FMS_Input[FMS_NAME])</f>
        <v>City of Bonham Floodplain Manager</v>
      </c>
      <c r="E384" s="308" t="str">
        <f>_xlfn.XLOOKUP(FMS_Ranking4[[#This Row],[FMS ID]],FMS_Input[FMS_ID],FMS_Input[SPONSOR])</f>
        <v>City of Bonham</v>
      </c>
      <c r="F384" s="309" t="str">
        <f>_xlfn.XLOOKUP(FMS_Ranking4[[#This Row],[FMS ID]],Sponsor[FMS_ID],Sponsor[SPONSOR NAME])</f>
        <v>City of Bonham</v>
      </c>
      <c r="G384" s="309" t="str">
        <f>_xlfn.XLOOKUP(FMS_Ranking4[[#This Row],[FMS ID]],FMS_Input[FMS_ID],FMS_Input[FMS_DESCR])</f>
        <v>Establish a floodplain manager for the city to regulate floodplain development and provide public information concerning flood areas.</v>
      </c>
      <c r="H384" s="248" t="str">
        <f>_xlfn.XLOOKUP(FMS_Ranking4[[#This Row],[FMS ID]],FMS_Input[FMS_ID],FMS_Input[FMS_TYPE])</f>
        <v>Regulatory and Guidance</v>
      </c>
      <c r="I384" s="249">
        <f>_xlfn.XLOOKUP(FMS_Ranking4[[#This Row],[FMS ID]],FMS_Input[FMS_ID],FMS_Input[NRNC_COST])</f>
        <v>75000</v>
      </c>
      <c r="J384" s="250">
        <f>_xlfn.XLOOKUP(FMS_Ranking4[[#This Row],[FMS ID]],FMS_Input[FMS_ID],FMS_Input[FMS_COST])</f>
        <v>75000</v>
      </c>
      <c r="K384" s="251" t="str">
        <f>_xlfn.XLOOKUP(FMS_Ranking4[[#This Row],[FMS ID]],FMS_Input[FMS_ID],FMS_Input[EMER_NEED])</f>
        <v>No</v>
      </c>
      <c r="L384" s="252">
        <f t="shared" si="5"/>
        <v>0</v>
      </c>
      <c r="M384" s="253">
        <f>_xlfn.XLOOKUP(FMS_Ranking4[[#This Row],[FMS ID]],FMS_Input[FMS_ID],FMS_Input[STRUCT_100])</f>
        <v>151</v>
      </c>
      <c r="N384" s="255">
        <f>(ASINH(FMS_Ranking4[[#This Row],[Structure at Risk Raw]]))*(10)/(ASINH(M$4))</f>
        <v>4.4892545009473537</v>
      </c>
      <c r="O384" s="256">
        <f>FMS_Ranking4[[#This Row],[Structures at risk, ArcSinh (0-10)]]*M$5*10</f>
        <v>4.4892545009473537</v>
      </c>
      <c r="P384" s="253">
        <f>_xlfn.XLOOKUP(FMS_Ranking4[[#This Row],[FMS ID]],FMS_Input[FMS_ID],FMS_Input[RES_STRUCT100])</f>
        <v>87</v>
      </c>
      <c r="Q384" s="257">
        <f>ASINH(FMS_Ranking4[[#This Row],[Res Structure Raw]])/Q$4*P$5*100</f>
        <v>0</v>
      </c>
      <c r="R384" s="253">
        <f>_xlfn.XLOOKUP(FMS_Ranking4[[#This Row],[FMS ID]],FMS_Input[FMS_ID],FMS_Input[POP100])</f>
        <v>1898</v>
      </c>
      <c r="S384" s="259">
        <f>(ASINH(FMS_Ranking4[[#This Row],[Pop at Risk Raw]]))*(10)/(ASINH(R$4))</f>
        <v>5.689727553978817</v>
      </c>
      <c r="T384" s="256">
        <f>FMS_Ranking4[[#This Row],[Population at risk, ArcSinh (0-10)]]*R$5*10</f>
        <v>5.689727553978817</v>
      </c>
      <c r="U384" s="253">
        <f>_xlfn.XLOOKUP(FMS_Ranking4[[#This Row],[FMS ID]],FMS_Input[FMS_ID],FMS_Input[CRITFAC100])</f>
        <v>3</v>
      </c>
      <c r="V384" s="259">
        <f>(ASINH(FMS_Ranking4[[#This Row],[Critical Facilities Raw]]))*(10)/(ASINH(U$4))</f>
        <v>2.152611706646717</v>
      </c>
      <c r="W384" s="256">
        <f>FMS_Ranking4[[#This Row],[Critical facilities at risk, ArcSinh (0-10)]]*U$5*10</f>
        <v>2.152611706646717</v>
      </c>
      <c r="X384" s="253">
        <f>_xlfn.XLOOKUP(FMS_Ranking4[[#This Row],[FMS ID]],FMS_Input[FMS_ID],FMS_Input[LWC])</f>
        <v>16</v>
      </c>
      <c r="Y384" s="259">
        <f>(ASINH(FMS_Ranking4[[#This Row],[LWC Raw]]))*(10)/(ASINH(X$4))</f>
        <v>4.6964844083783914</v>
      </c>
      <c r="Z384" s="256">
        <f>FMS_Ranking4[[#This Row],[LWC, ArcSInh (0-10)]]*X$5*10</f>
        <v>4.6964844083783923</v>
      </c>
      <c r="AA384" s="253">
        <f>_xlfn.XLOOKUP(FMS_Ranking4[[#This Row],[FMS ID]],FMS_Input[FMS_ID],FMS_Input[ROADCLS])</f>
        <v>0</v>
      </c>
      <c r="AB384" s="255">
        <f>(ASINH(FMS_Ranking4[[#This Row],[Road Closures Raw]]))*(10)/(ASINH(AA$4))</f>
        <v>0</v>
      </c>
      <c r="AC384" s="256">
        <f>FMS_Ranking4[[#This Row],[Road closures, ArcSinh (0-10)]]*AA$5*10</f>
        <v>0</v>
      </c>
      <c r="AD384" s="253">
        <f>_xlfn.XLOOKUP(FMS_Ranking4[[#This Row],[FMS ID]],FMS_Input[FMS_ID],FMS_Input[ROAD_MILES100])</f>
        <v>8</v>
      </c>
      <c r="AE384" s="259">
        <f>(ASINH(FMS_Ranking4[[#This Row],[Road Miles Raw]]))*(10)/(ASINH(AD$4))</f>
        <v>2.9589555764172308</v>
      </c>
      <c r="AF384" s="256">
        <f>FMS_Ranking4[[#This Row],[Length of roads at risk, ArcSinh (0-10)]]*AD$5*10</f>
        <v>2.9589555764172308</v>
      </c>
      <c r="AG384" s="253">
        <f>_xlfn.XLOOKUP(FMS_Ranking4[[#This Row],[FMS ID]],FMS_Input[FMS_ID],FMS_Input[FARMACRE100])</f>
        <v>91.232894897460938</v>
      </c>
      <c r="AH384" s="255">
        <f>(ASINH(FMS_Ranking4[[#This Row],[Ag Land Raw]]))*(10)/(ASINH(AG$4))</f>
        <v>3.3821061599506623</v>
      </c>
      <c r="AI384" s="260">
        <f>FMS_Ranking4[[#This Row],[Farm &amp; ranch land, ArcSinh (0-10)]]*AG$5*10</f>
        <v>1.6910530799753312</v>
      </c>
      <c r="AJ384" s="258">
        <f>_xlfn.XLOOKUP(FMS_Ranking4[[#This Row],[FMS ID]],FMS_Input[FMS_ID],FMS_Input[REDSTRUCT100])</f>
        <v>0</v>
      </c>
      <c r="AK384" s="253">
        <f>_xlfn.XLOOKUP(FMS_Ranking4[[#This Row],[FMS ID]],FMS_Input[FMS_ID],FMS_Input[REMSTRC100])</f>
        <v>0</v>
      </c>
      <c r="AL384" s="259">
        <f>(ASINH(FMS_Ranking4[[#This Row],[Structures Removed Raw]]))*(10)/(ASINH(AK$4))</f>
        <v>0</v>
      </c>
      <c r="AM384" s="262">
        <f>FMS_Ranking4[[#This Row],[Structures removed, ArcSinh (0-10)]]*AK$5*10</f>
        <v>0</v>
      </c>
      <c r="AN384" s="253">
        <f>_xlfn.XLOOKUP(FMS_Ranking4[[#This Row],[FMS ID]],FMS_Input[FMS_ID],FMS_Input[REMRESSTRC100])</f>
        <v>0</v>
      </c>
      <c r="AO384" s="261">
        <f>FMS_Ranking4[[#This Row],[ArcSinh Res struct removed 0-10]]*AN$5*10</f>
        <v>0</v>
      </c>
      <c r="AP384" s="260">
        <f>ASINH(FMS_Ranking4[[#This Row],[Residential Structures Removed Raw]])/AP$4*AN$5*100</f>
        <v>0</v>
      </c>
      <c r="AQ384" s="254">
        <f>(ASINH(FMS_Ranking4[[#This Row],[Residential Structures Removed Raw]]))*(10)/(ASINH(AN$4))</f>
        <v>0</v>
      </c>
      <c r="AR384" s="253">
        <f>_xlfn.XLOOKUP(FMS_Ranking4[[#This Row],[FMS ID]],FMS_Input[FMS_ID],FMS_Input[REMPOP100])</f>
        <v>0</v>
      </c>
      <c r="AS384" s="259">
        <f>(ASINH(FMS_Ranking4[[#This Row],[Removed Pop Raw]]))*(10)/(ASINH(AR$4))</f>
        <v>0</v>
      </c>
      <c r="AT384" s="262">
        <f>FMS_Ranking4[[#This Row],[Removed population, ArcSinh (0-10)]]*AR$5*10</f>
        <v>0</v>
      </c>
      <c r="AU384" s="264">
        <f>_xlfn.XLOOKUP(FMS_Ranking4[[#This Row],[FMS ID]],FMS_Input[FMS_ID],FMS_Input[REMCRITFAC100])</f>
        <v>0</v>
      </c>
      <c r="AV384" s="264">
        <f>_xlfn.XLOOKUP(FMS_Ranking4[[#This Row],[FMS ID]],FMS_Input[FMS_ID],FMS_Input[REMLWC100])</f>
        <v>0</v>
      </c>
      <c r="AW384" s="264">
        <f>_xlfn.XLOOKUP(FMS_Ranking4[[#This Row],[FMS ID]],FMS_Input[FMS_ID],FMS_Input[REMROADCLS])</f>
        <v>0</v>
      </c>
      <c r="AX384" s="264">
        <f>_xlfn.XLOOKUP(FMS_Ranking4[[#This Row],[FMS ID]],FMS_Input[FMS_ID],FMS_Input[REMFRMACRE100])</f>
        <v>0</v>
      </c>
      <c r="AY384" s="258">
        <f>_xlfn.XLOOKUP(FMS_Ranking4[[#This Row],[FMS ID]],FMS_Input[FMS_ID],FMS_Input[COSTSTRUCT])</f>
        <v>0</v>
      </c>
      <c r="AZ384" s="253">
        <f>_xlfn.XLOOKUP(FMS_Ranking4[[#This Row],[FMS ID]],FMS_Input[FMS_ID],FMS_Input[NATURE])</f>
        <v>0</v>
      </c>
      <c r="BA384" s="262">
        <f>(((FMS_Ranking4[[#This Row],[% NBS Raw]]/AZ$4)*100)*AZ$5)</f>
        <v>0</v>
      </c>
      <c r="BB384" s="251" t="str">
        <f>_xlfn.XLOOKUP(FMS_Ranking4[[#This Row],[FMS ID]],FMS_Input[FMS_ID],FMS_Input[WATER_SUP])</f>
        <v>No</v>
      </c>
      <c r="BC384" s="265">
        <f>IF(FMS_Ranking4[[#This Row],[Water Supply Raw]]="Yes",10,0)</f>
        <v>0</v>
      </c>
      <c r="BD384" s="266">
        <f>_xlfn.XLOOKUP(FMS_Ranking4[[#This Row],[FMS Type]],FMS_TYPE[FMS_Type],FMS_TYPE[Score])</f>
        <v>8</v>
      </c>
      <c r="BE384" s="267">
        <f>FMS_Ranking4[[#This Row],[FMS_Type Score]]*$BD$5*10</f>
        <v>2</v>
      </c>
      <c r="BF38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0.25422399198186624</v>
      </c>
      <c r="BG384" s="271">
        <f>_xlfn.RANK.EQ(BF384,$BF$8:$BF$870,0)+COUNTIF($BF$8:BF384,BF384)-1</f>
        <v>330</v>
      </c>
      <c r="BH384" s="268">
        <f>(((FMS_Ranking4[[#This Row],[Structures Removed Raw]]/AK$4)*100)*AK$5)+(((FMS_Ranking4[[#This Row],[Removed Pop Raw]]/AR$4)*100)*AR$5)</f>
        <v>0</v>
      </c>
      <c r="BI38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2.2542239919818661</v>
      </c>
      <c r="BJ384" s="205">
        <f>_xlfn.RANK.EQ(FMS_Ranking4[[#This Row],[Total Score 
(with linear
normalization)]],FMS_Ranking4[Total Score 
(with linear
normalization)],0)</f>
        <v>312</v>
      </c>
      <c r="BK384" s="205" t="e">
        <f>_xlfn.XLOOKUP(FMS_Ranking4[[#This Row],[FMS ID]],#REF!,#REF!)</f>
        <v>#REF!</v>
      </c>
      <c r="BL38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21.67808682634384</v>
      </c>
      <c r="BM384" s="272">
        <f>FMS_Ranking4[[#This Row],[ArcSinh Score Based on Normalized Reported Factors]]+FMS_Ranking4[[#This Row],[% NBS Score (Normalized)]]+(FMS_Ranking4[[#This Row],[Water Supply Score (Normalized)]]*10*$BB$5)+FMS_Ranking4[[#This Row],[FMS_Type Score Weighted]]</f>
        <v>23.67808682634384</v>
      </c>
      <c r="BN384" s="205">
        <f>_xlfn.RANK.EQ(FMS_Ranking4[[#This Row],[Total Score (with ArcSinh normalization of select criteria)]],FMS_Ranking4[Total Score (with ArcSinh normalization of select criteria)],0)</f>
        <v>377</v>
      </c>
      <c r="BO384" s="270" t="str">
        <f>_xlfn.XLOOKUP(FMS_Ranking4[[#This Row],[FMS ID]],FMS_Input[FMS_ID],FMS_Input[FMS_RANK_YEAR])</f>
        <v>2023 Amended Plan</v>
      </c>
      <c r="BP384" s="204">
        <f>_xlfn.XLOOKUP(FMS_Ranking4[[#This Row],[FMS ID]],Prev_Rank[FMS ID],Prev_Rank[Prev Rank])</f>
        <v>340</v>
      </c>
      <c r="BQ384" s="205" t="e">
        <f>_xlfn.XLOOKUP(FMS_Ranking4[[#This Row],[FMS ID]],#REF!,#REF!)</f>
        <v>#REF!</v>
      </c>
      <c r="BR384" s="199" t="e">
        <f>SUM(#REF!,#REF!,#REF!,#REF!,#REF!,#REF!,#REF!,#REF!,#REF!,FMS_Ranking4[[#This Row],[ArcSinh Res struct removed 0-10]],#REF!)</f>
        <v>#REF!</v>
      </c>
      <c r="BS384" s="199" t="e">
        <f>FMS_Ranking4[[#This Row],[Log Score Based on Normalized Reported Factors]]+FMS_Ranking4[[#This Row],[% NBS Score (Normalized)]]+(FMS_Ranking4[[#This Row],[Water Supply Score (Normalized)]]*10*$BB$5)+(FMS_Ranking4[[#This Row],[FMS_Type Score Weighted]])</f>
        <v>#REF!</v>
      </c>
      <c r="BT384" s="200" t="e">
        <f>_xlfn.RANK.EQ(FMS_Ranking4[[#This Row],[Log Total Score]],FMS_Ranking4[Log Total Score],0)</f>
        <v>#REF!</v>
      </c>
      <c r="BU384" s="200" t="e">
        <f>_xlfn.XLOOKUP(FMS_Ranking4[[#This Row],[FMS ID]],#REF!,#REF!)</f>
        <v>#REF!</v>
      </c>
      <c r="BV384" s="200">
        <f>FMS_Ranking4[[#This Row],[Region Number]]</f>
        <v>2</v>
      </c>
      <c r="BW384" s="200">
        <f>FMS_Ranking4[[#This Row],[Rank (with ArcSinh normalization of select criteria)]]-FMS_Ranking4[[#This Row],[Rank
(with linear
normalization)]]</f>
        <v>65</v>
      </c>
      <c r="BX384" s="200" t="e">
        <f>FMS_Ranking4[[#This Row],[Log Rank]]-FMS_Ranking4[[#This Row],[Rank
(with linear
normalization)]]</f>
        <v>#REF!</v>
      </c>
      <c r="BY384" s="200" t="str">
        <f>IF(FMS_Ranking4[[#This Row],[FMS Type]]="Flood Measurement and Warning",FMS_Ranking4[[#This Row],[Rank (with ArcSinh normalization of select criteria)]],"")</f>
        <v/>
      </c>
      <c r="BZ384" s="200">
        <f>IF(FMS_Ranking4[[#This Row],[FMS Type]]="Regulatory and Guidance",FMS_Ranking4[[#This Row],[Rank (with ArcSinh normalization of select criteria)]],"")</f>
        <v>377</v>
      </c>
      <c r="CA384" s="200" t="str">
        <f>IF(FMS_Ranking4[[#This Row],[FMS Type]]="Education and Outreach",FMS_Ranking4[[#This Row],[Rank (with ArcSinh normalization of select criteria)]],"")</f>
        <v/>
      </c>
      <c r="CB384" s="200" t="str">
        <f>IF(FMS_Ranking4[[#This Row],[FMS Type]]="Property Acquisition and Structural Elevation",FMS_Ranking4[[#This Row],[Rank (with ArcSinh normalization of select criteria)]],"")</f>
        <v/>
      </c>
      <c r="CC384" s="200" t="str">
        <f>IF(FMS_Ranking4[[#This Row],[FMS Type]]="Infrastructure Projects",FMS_Ranking4[[#This Row],[Rank (with ArcSinh normalization of select criteria)]],"")</f>
        <v/>
      </c>
      <c r="CD384" s="200" t="str">
        <f>IF(FMS_Ranking4[[#This Row],[FMS Type]]="Other",FMS_Ranking4[[#This Row],[Rank (with ArcSinh normalization of select criteria)]],"")</f>
        <v/>
      </c>
      <c r="CE384" s="201"/>
      <c r="CF384" s="206"/>
      <c r="CG384" s="206"/>
      <c r="CH384" s="206"/>
      <c r="CI384" s="206"/>
      <c r="CJ384" s="206"/>
      <c r="CK384" s="206"/>
      <c r="CL384" s="206"/>
      <c r="CM384" s="206"/>
      <c r="CN384" s="206"/>
      <c r="CO384" s="206"/>
      <c r="CP384" s="206"/>
      <c r="CQ384" s="206"/>
      <c r="CR384" s="206"/>
    </row>
    <row r="385" spans="2:96" ht="60" x14ac:dyDescent="0.25">
      <c r="B385" s="341" t="s">
        <v>4306</v>
      </c>
      <c r="C385" s="246">
        <f>_xlfn.XLOOKUP(FMS_Ranking4[[#This Row],[FMS ID]],FMS_Input[FMS_ID],FMS_Input[RFPG_NUM])</f>
        <v>15</v>
      </c>
      <c r="D385" s="309" t="str">
        <f>_xlfn.XLOOKUP(FMS_Ranking4[[#This Row],[FMS ID]],FMS_Input[FMS_ID],FMS_Input[FMS_NAME])</f>
        <v>City of Combes - Flood Warning System, planning, operation &amp; maintenance</v>
      </c>
      <c r="E385" s="308" t="str">
        <f>_xlfn.XLOOKUP(FMS_Ranking4[[#This Row],[FMS ID]],FMS_Input[FMS_ID],FMS_Input[SPONSOR])</f>
        <v>15000075</v>
      </c>
      <c r="F385" s="309" t="str">
        <f>_xlfn.XLOOKUP(FMS_Ranking4[[#This Row],[FMS ID]],Sponsor[FMS_ID],Sponsor[SPONSOR NAME])</f>
        <v>Combes</v>
      </c>
      <c r="G385" s="309" t="str">
        <f>_xlfn.XLOOKUP(FMS_Ranking4[[#This Row],[FMS ID]],FMS_Input[FMS_ID],FMS_Input[FMS_DESCR])</f>
        <v>Develop and Implement a Flood Warning System, planning, operation &amp; Maintenance plan</v>
      </c>
      <c r="H385" s="248" t="str">
        <f>_xlfn.XLOOKUP(FMS_Ranking4[[#This Row],[FMS ID]],FMS_Input[FMS_ID],FMS_Input[FMS_TYPE])</f>
        <v>Flood Measurement and Warning</v>
      </c>
      <c r="I385" s="249">
        <f>_xlfn.XLOOKUP(FMS_Ranking4[[#This Row],[FMS ID]],FMS_Input[FMS_ID],FMS_Input[NRNC_COST])</f>
        <v>600000</v>
      </c>
      <c r="J385" s="250">
        <f>_xlfn.XLOOKUP(FMS_Ranking4[[#This Row],[FMS ID]],FMS_Input[FMS_ID],FMS_Input[FMS_COST])</f>
        <v>5000000</v>
      </c>
      <c r="K385" s="251" t="str">
        <f>_xlfn.XLOOKUP(FMS_Ranking4[[#This Row],[FMS ID]],FMS_Input[FMS_ID],FMS_Input[EMER_NEED])</f>
        <v>Yes</v>
      </c>
      <c r="L385" s="252">
        <f t="shared" si="5"/>
        <v>1</v>
      </c>
      <c r="M385" s="253">
        <f>_xlfn.XLOOKUP(FMS_Ranking4[[#This Row],[FMS ID]],FMS_Input[FMS_ID],FMS_Input[STRUCT_100])</f>
        <v>928</v>
      </c>
      <c r="N385" s="255">
        <f>(ASINH(FMS_Ranking4[[#This Row],[Structure at Risk Raw]]))*(10)/(ASINH(M$4))</f>
        <v>5.9166974536119881</v>
      </c>
      <c r="O385" s="256">
        <f>FMS_Ranking4[[#This Row],[Structures at risk, ArcSinh (0-10)]]*M$5*10</f>
        <v>5.916697453611989</v>
      </c>
      <c r="P385" s="253">
        <f>_xlfn.XLOOKUP(FMS_Ranking4[[#This Row],[FMS ID]],FMS_Input[FMS_ID],FMS_Input[RES_STRUCT100])</f>
        <v>736</v>
      </c>
      <c r="Q385" s="257">
        <f>ASINH(FMS_Ranking4[[#This Row],[Res Structure Raw]])/Q$4*P$5*100</f>
        <v>0</v>
      </c>
      <c r="R385" s="253">
        <f>_xlfn.XLOOKUP(FMS_Ranking4[[#This Row],[FMS ID]],FMS_Input[FMS_ID],FMS_Input[POP100])</f>
        <v>2347</v>
      </c>
      <c r="S385" s="259">
        <f>(ASINH(FMS_Ranking4[[#This Row],[Pop at Risk Raw]]))*(10)/(ASINH(R$4))</f>
        <v>5.8363162799097621</v>
      </c>
      <c r="T385" s="256">
        <f>FMS_Ranking4[[#This Row],[Population at risk, ArcSinh (0-10)]]*R$5*10</f>
        <v>5.8363162799097621</v>
      </c>
      <c r="U385" s="253">
        <f>_xlfn.XLOOKUP(FMS_Ranking4[[#This Row],[FMS ID]],FMS_Input[FMS_ID],FMS_Input[CRITFAC100])</f>
        <v>2</v>
      </c>
      <c r="V385" s="259">
        <f>(ASINH(FMS_Ranking4[[#This Row],[Critical Facilities Raw]]))*(10)/(ASINH(U$4))</f>
        <v>1.7089239049208753</v>
      </c>
      <c r="W385" s="256">
        <f>FMS_Ranking4[[#This Row],[Critical facilities at risk, ArcSinh (0-10)]]*U$5*10</f>
        <v>1.7089239049208755</v>
      </c>
      <c r="X385" s="253">
        <f>_xlfn.XLOOKUP(FMS_Ranking4[[#This Row],[FMS ID]],FMS_Input[FMS_ID],FMS_Input[LWC])</f>
        <v>0</v>
      </c>
      <c r="Y385" s="259">
        <f>(ASINH(FMS_Ranking4[[#This Row],[LWC Raw]]))*(10)/(ASINH(X$4))</f>
        <v>0</v>
      </c>
      <c r="Z385" s="256">
        <f>FMS_Ranking4[[#This Row],[LWC, ArcSInh (0-10)]]*X$5*10</f>
        <v>0</v>
      </c>
      <c r="AA385" s="253">
        <f>_xlfn.XLOOKUP(FMS_Ranking4[[#This Row],[FMS ID]],FMS_Input[FMS_ID],FMS_Input[ROADCLS])</f>
        <v>14</v>
      </c>
      <c r="AB385" s="255">
        <f>(ASINH(FMS_Ranking4[[#This Row],[Road Closures Raw]]))*(10)/(ASINH(AA$4))</f>
        <v>3.4715109497785401</v>
      </c>
      <c r="AC385" s="256">
        <f>FMS_Ranking4[[#This Row],[Road closures, ArcSinh (0-10)]]*AA$5*10</f>
        <v>1.7357554748892701</v>
      </c>
      <c r="AD385" s="253">
        <f>_xlfn.XLOOKUP(FMS_Ranking4[[#This Row],[FMS ID]],FMS_Input[FMS_ID],FMS_Input[ROAD_MILES100])</f>
        <v>14</v>
      </c>
      <c r="AE385" s="259">
        <f>(ASINH(FMS_Ranking4[[#This Row],[Road Miles Raw]]))*(10)/(ASINH(AD$4))</f>
        <v>3.552569987120918</v>
      </c>
      <c r="AF385" s="256">
        <f>FMS_Ranking4[[#This Row],[Length of roads at risk, ArcSinh (0-10)]]*AD$5*10</f>
        <v>3.5525699871209184</v>
      </c>
      <c r="AG385" s="253">
        <f>_xlfn.XLOOKUP(FMS_Ranking4[[#This Row],[FMS ID]],FMS_Input[FMS_ID],FMS_Input[FARMACRE100])</f>
        <v>845.447998046875</v>
      </c>
      <c r="AH385" s="255">
        <f>(ASINH(FMS_Ranking4[[#This Row],[Ag Land Raw]]))*(10)/(ASINH(AG$4))</f>
        <v>4.82834828053132</v>
      </c>
      <c r="AI385" s="260">
        <f>FMS_Ranking4[[#This Row],[Farm &amp; ranch land, ArcSinh (0-10)]]*AG$5*10</f>
        <v>2.4141741402656605</v>
      </c>
      <c r="AJ385" s="258">
        <f>_xlfn.XLOOKUP(FMS_Ranking4[[#This Row],[FMS ID]],FMS_Input[FMS_ID],FMS_Input[REDSTRUCT100])</f>
        <v>0</v>
      </c>
      <c r="AK385" s="253">
        <f>_xlfn.XLOOKUP(FMS_Ranking4[[#This Row],[FMS ID]],FMS_Input[FMS_ID],FMS_Input[REMSTRC100])</f>
        <v>0</v>
      </c>
      <c r="AL385" s="259">
        <f>(ASINH(FMS_Ranking4[[#This Row],[Structures Removed Raw]]))*(10)/(ASINH(AK$4))</f>
        <v>0</v>
      </c>
      <c r="AM385" s="262">
        <f>FMS_Ranking4[[#This Row],[Structures removed, ArcSinh (0-10)]]*AK$5*10</f>
        <v>0</v>
      </c>
      <c r="AN385" s="253">
        <f>_xlfn.XLOOKUP(FMS_Ranking4[[#This Row],[FMS ID]],FMS_Input[FMS_ID],FMS_Input[REMRESSTRC100])</f>
        <v>0</v>
      </c>
      <c r="AO385" s="261">
        <f>FMS_Ranking4[[#This Row],[ArcSinh Res struct removed 0-10]]*AN$5*10</f>
        <v>0</v>
      </c>
      <c r="AP385" s="260">
        <f>ASINH(FMS_Ranking4[[#This Row],[Residential Structures Removed Raw]])/AP$4*AN$5*100</f>
        <v>0</v>
      </c>
      <c r="AQ385" s="254">
        <f>(ASINH(FMS_Ranking4[[#This Row],[Residential Structures Removed Raw]]))*(10)/(ASINH(AN$4))</f>
        <v>0</v>
      </c>
      <c r="AR385" s="253">
        <f>_xlfn.XLOOKUP(FMS_Ranking4[[#This Row],[FMS ID]],FMS_Input[FMS_ID],FMS_Input[REMPOP100])</f>
        <v>0</v>
      </c>
      <c r="AS385" s="259">
        <f>(ASINH(FMS_Ranking4[[#This Row],[Removed Pop Raw]]))*(10)/(ASINH(AR$4))</f>
        <v>0</v>
      </c>
      <c r="AT385" s="262">
        <f>FMS_Ranking4[[#This Row],[Removed population, ArcSinh (0-10)]]*AR$5*10</f>
        <v>0</v>
      </c>
      <c r="AU385" s="264">
        <f>_xlfn.XLOOKUP(FMS_Ranking4[[#This Row],[FMS ID]],FMS_Input[FMS_ID],FMS_Input[REMCRITFAC100])</f>
        <v>0</v>
      </c>
      <c r="AV385" s="264">
        <f>_xlfn.XLOOKUP(FMS_Ranking4[[#This Row],[FMS ID]],FMS_Input[FMS_ID],FMS_Input[REMLWC100])</f>
        <v>0</v>
      </c>
      <c r="AW385" s="264">
        <f>_xlfn.XLOOKUP(FMS_Ranking4[[#This Row],[FMS ID]],FMS_Input[FMS_ID],FMS_Input[REMROADCLS])</f>
        <v>0</v>
      </c>
      <c r="AX385" s="264">
        <f>_xlfn.XLOOKUP(FMS_Ranking4[[#This Row],[FMS ID]],FMS_Input[FMS_ID],FMS_Input[REMFRMACRE100])</f>
        <v>0</v>
      </c>
      <c r="AY385" s="258">
        <f>_xlfn.XLOOKUP(FMS_Ranking4[[#This Row],[FMS ID]],FMS_Input[FMS_ID],FMS_Input[COSTSTRUCT])</f>
        <v>0</v>
      </c>
      <c r="AZ385" s="253">
        <f>_xlfn.XLOOKUP(FMS_Ranking4[[#This Row],[FMS ID]],FMS_Input[FMS_ID],FMS_Input[NATURE])</f>
        <v>0</v>
      </c>
      <c r="BA385" s="262">
        <f>(((FMS_Ranking4[[#This Row],[% NBS Raw]]/AZ$4)*100)*AZ$5)</f>
        <v>0</v>
      </c>
      <c r="BB385" s="251" t="str">
        <f>_xlfn.XLOOKUP(FMS_Ranking4[[#This Row],[FMS ID]],FMS_Input[FMS_ID],FMS_Input[WATER_SUP])</f>
        <v>No</v>
      </c>
      <c r="BC385" s="265">
        <f>IF(FMS_Ranking4[[#This Row],[Water Supply Raw]]="Yes",10,0)</f>
        <v>0</v>
      </c>
      <c r="BD385" s="266">
        <f>_xlfn.XLOOKUP(FMS_Ranking4[[#This Row],[FMS Type]],FMS_TYPE[FMS_Type],FMS_TYPE[Score])</f>
        <v>10</v>
      </c>
      <c r="BE385" s="267">
        <f>FMS_Ranking4[[#This Row],[FMS_Type Score]]*$BD$5*10</f>
        <v>2.5</v>
      </c>
      <c r="BF38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0.12285275869658867</v>
      </c>
      <c r="BG385" s="271">
        <f>_xlfn.RANK.EQ(BF385,$BF$8:$BF$870,0)+COUNTIF($BF$8:BF385,BF385)-1</f>
        <v>450</v>
      </c>
      <c r="BH385" s="268">
        <f>(((FMS_Ranking4[[#This Row],[Structures Removed Raw]]/AK$4)*100)*AK$5)+(((FMS_Ranking4[[#This Row],[Removed Pop Raw]]/AR$4)*100)*AR$5)</f>
        <v>0</v>
      </c>
      <c r="BI38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2.6228527586965886</v>
      </c>
      <c r="BJ385" s="205">
        <f>_xlfn.RANK.EQ(FMS_Ranking4[[#This Row],[Total Score 
(with linear
normalization)]],FMS_Ranking4[Total Score 
(with linear
normalization)],0)</f>
        <v>217</v>
      </c>
      <c r="BK385" s="205" t="e">
        <f>_xlfn.XLOOKUP(FMS_Ranking4[[#This Row],[FMS ID]],#REF!,#REF!)</f>
        <v>#REF!</v>
      </c>
      <c r="BL38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21.164437240718478</v>
      </c>
      <c r="BM385" s="272">
        <f>FMS_Ranking4[[#This Row],[ArcSinh Score Based on Normalized Reported Factors]]+FMS_Ranking4[[#This Row],[% NBS Score (Normalized)]]+(FMS_Ranking4[[#This Row],[Water Supply Score (Normalized)]]*10*$BB$5)+FMS_Ranking4[[#This Row],[FMS_Type Score Weighted]]</f>
        <v>23.664437240718478</v>
      </c>
      <c r="BN385" s="205">
        <f>_xlfn.RANK.EQ(FMS_Ranking4[[#This Row],[Total Score (with ArcSinh normalization of select criteria)]],FMS_Ranking4[Total Score (with ArcSinh normalization of select criteria)],0)</f>
        <v>378</v>
      </c>
      <c r="BO385" s="270" t="str">
        <f>_xlfn.XLOOKUP(FMS_Ranking4[[#This Row],[FMS ID]],FMS_Input[FMS_ID],FMS_Input[FMS_RANK_YEAR])</f>
        <v>2023 Amended Plan</v>
      </c>
      <c r="BP385" s="204">
        <f>_xlfn.XLOOKUP(FMS_Ranking4[[#This Row],[FMS ID]],Prev_Rank[FMS ID],Prev_Rank[Prev Rank])</f>
        <v>337</v>
      </c>
      <c r="BQ385" s="205" t="e">
        <f>_xlfn.XLOOKUP(FMS_Ranking4[[#This Row],[FMS ID]],#REF!,#REF!)</f>
        <v>#REF!</v>
      </c>
      <c r="BR385" s="199" t="e">
        <f>SUM(#REF!,#REF!,#REF!,#REF!,#REF!,#REF!,#REF!,#REF!,#REF!,FMS_Ranking4[[#This Row],[ArcSinh Res struct removed 0-10]],#REF!)</f>
        <v>#REF!</v>
      </c>
      <c r="BS385" s="199" t="e">
        <f>FMS_Ranking4[[#This Row],[Log Score Based on Normalized Reported Factors]]+FMS_Ranking4[[#This Row],[% NBS Score (Normalized)]]+(FMS_Ranking4[[#This Row],[Water Supply Score (Normalized)]]*10*$BB$5)+(FMS_Ranking4[[#This Row],[FMS_Type Score Weighted]])</f>
        <v>#REF!</v>
      </c>
      <c r="BT385" s="200" t="e">
        <f>_xlfn.RANK.EQ(FMS_Ranking4[[#This Row],[Log Total Score]],FMS_Ranking4[Log Total Score],0)</f>
        <v>#REF!</v>
      </c>
      <c r="BU385" s="200" t="e">
        <f>_xlfn.XLOOKUP(FMS_Ranking4[[#This Row],[FMS ID]],#REF!,#REF!)</f>
        <v>#REF!</v>
      </c>
      <c r="BV385" s="200">
        <f>FMS_Ranking4[[#This Row],[Region Number]]</f>
        <v>15</v>
      </c>
      <c r="BW385" s="200">
        <f>FMS_Ranking4[[#This Row],[Rank (with ArcSinh normalization of select criteria)]]-FMS_Ranking4[[#This Row],[Rank
(with linear
normalization)]]</f>
        <v>161</v>
      </c>
      <c r="BX385" s="200" t="e">
        <f>FMS_Ranking4[[#This Row],[Log Rank]]-FMS_Ranking4[[#This Row],[Rank
(with linear
normalization)]]</f>
        <v>#REF!</v>
      </c>
      <c r="BY385" s="200">
        <f>IF(FMS_Ranking4[[#This Row],[FMS Type]]="Flood Measurement and Warning",FMS_Ranking4[[#This Row],[Rank (with ArcSinh normalization of select criteria)]],"")</f>
        <v>378</v>
      </c>
      <c r="BZ385" s="200" t="str">
        <f>IF(FMS_Ranking4[[#This Row],[FMS Type]]="Regulatory and Guidance",FMS_Ranking4[[#This Row],[Rank (with ArcSinh normalization of select criteria)]],"")</f>
        <v/>
      </c>
      <c r="CA385" s="200" t="str">
        <f>IF(FMS_Ranking4[[#This Row],[FMS Type]]="Education and Outreach",FMS_Ranking4[[#This Row],[Rank (with ArcSinh normalization of select criteria)]],"")</f>
        <v/>
      </c>
      <c r="CB385" s="200" t="str">
        <f>IF(FMS_Ranking4[[#This Row],[FMS Type]]="Property Acquisition and Structural Elevation",FMS_Ranking4[[#This Row],[Rank (with ArcSinh normalization of select criteria)]],"")</f>
        <v/>
      </c>
      <c r="CC385" s="200" t="str">
        <f>IF(FMS_Ranking4[[#This Row],[FMS Type]]="Infrastructure Projects",FMS_Ranking4[[#This Row],[Rank (with ArcSinh normalization of select criteria)]],"")</f>
        <v/>
      </c>
      <c r="CD385" s="200" t="str">
        <f>IF(FMS_Ranking4[[#This Row],[FMS Type]]="Other",FMS_Ranking4[[#This Row],[Rank (with ArcSinh normalization of select criteria)]],"")</f>
        <v/>
      </c>
      <c r="CE385" s="201"/>
      <c r="CF385" s="206"/>
      <c r="CG385" s="206"/>
      <c r="CH385" s="206"/>
      <c r="CI385" s="206"/>
      <c r="CJ385" s="206"/>
      <c r="CK385" s="206"/>
      <c r="CL385" s="206"/>
      <c r="CM385" s="206"/>
      <c r="CN385" s="206"/>
      <c r="CO385" s="206"/>
      <c r="CP385" s="206"/>
      <c r="CQ385" s="206"/>
      <c r="CR385" s="206"/>
    </row>
    <row r="386" spans="2:96" ht="75" x14ac:dyDescent="0.25">
      <c r="B386" s="341" t="s">
        <v>143</v>
      </c>
      <c r="C386" s="246">
        <f>_xlfn.XLOOKUP(FMS_Ranking4[[#This Row],[FMS ID]],FMS_Input[FMS_ID],FMS_Input[RFPG_NUM])</f>
        <v>6</v>
      </c>
      <c r="D386" s="309" t="str">
        <f>_xlfn.XLOOKUP(FMS_Ranking4[[#This Row],[FMS ID]],FMS_Input[FMS_ID],FMS_Input[FMS_NAME])</f>
        <v xml:space="preserve">City of Manvel Propery Acquisition </v>
      </c>
      <c r="E386" s="308" t="str">
        <f>_xlfn.XLOOKUP(FMS_Ranking4[[#This Row],[FMS ID]],FMS_Input[FMS_ID],FMS_Input[SPONSOR])</f>
        <v>06002985</v>
      </c>
      <c r="F386" s="309" t="str">
        <f>_xlfn.XLOOKUP(FMS_Ranking4[[#This Row],[FMS ID]],Sponsor[FMS_ID],Sponsor[SPONSOR NAME])</f>
        <v>Manvel</v>
      </c>
      <c r="G386" s="309" t="str">
        <f>_xlfn.XLOOKUP(FMS_Ranking4[[#This Row],[FMS ID]],FMS_Input[FMS_ID],FMS_Input[FMS_DESCR])</f>
        <v>Acquire Repetitive Loss (RL) and Severe Repetitive Loss (SRL) properties in the 100-year flood plain, as identified by FEMA and NFIP.</v>
      </c>
      <c r="H386" s="248" t="str">
        <f>_xlfn.XLOOKUP(FMS_Ranking4[[#This Row],[FMS ID]],FMS_Input[FMS_ID],FMS_Input[FMS_TYPE])</f>
        <v>Property Acquisition and Structural Elevation</v>
      </c>
      <c r="I386" s="249">
        <f>_xlfn.XLOOKUP(FMS_Ranking4[[#This Row],[FMS ID]],FMS_Input[FMS_ID],FMS_Input[NRNC_COST])</f>
        <v>170000</v>
      </c>
      <c r="J386" s="250">
        <f>_xlfn.XLOOKUP(FMS_Ranking4[[#This Row],[FMS ID]],FMS_Input[FMS_ID],FMS_Input[FMS_COST])</f>
        <v>1700000</v>
      </c>
      <c r="K386" s="251" t="str">
        <f>_xlfn.XLOOKUP(FMS_Ranking4[[#This Row],[FMS ID]],FMS_Input[FMS_ID],FMS_Input[EMER_NEED])</f>
        <v>Yes</v>
      </c>
      <c r="L386" s="252">
        <f t="shared" si="5"/>
        <v>1</v>
      </c>
      <c r="M386" s="253">
        <f>_xlfn.XLOOKUP(FMS_Ranking4[[#This Row],[FMS ID]],FMS_Input[FMS_ID],FMS_Input[STRUCT_100])</f>
        <v>1250</v>
      </c>
      <c r="N386" s="255">
        <f>(ASINH(FMS_Ranking4[[#This Row],[Structure at Risk Raw]]))*(10)/(ASINH(M$4))</f>
        <v>6.1508652403112984</v>
      </c>
      <c r="O386" s="256">
        <f>FMS_Ranking4[[#This Row],[Structures at risk, ArcSinh (0-10)]]*M$5*10</f>
        <v>6.1508652403112984</v>
      </c>
      <c r="P386" s="253">
        <f>_xlfn.XLOOKUP(FMS_Ranking4[[#This Row],[FMS ID]],FMS_Input[FMS_ID],FMS_Input[RES_STRUCT100])</f>
        <v>966</v>
      </c>
      <c r="Q386" s="257">
        <f>ASINH(FMS_Ranking4[[#This Row],[Res Structure Raw]])/Q$4*P$5*100</f>
        <v>0</v>
      </c>
      <c r="R386" s="253">
        <f>_xlfn.XLOOKUP(FMS_Ranking4[[#This Row],[FMS ID]],FMS_Input[FMS_ID],FMS_Input[POP100])</f>
        <v>6741</v>
      </c>
      <c r="S386" s="259">
        <f>(ASINH(FMS_Ranking4[[#This Row],[Pop at Risk Raw]]))*(10)/(ASINH(R$4))</f>
        <v>6.5646927493509644</v>
      </c>
      <c r="T386" s="256">
        <f>FMS_Ranking4[[#This Row],[Population at risk, ArcSinh (0-10)]]*R$5*10</f>
        <v>6.5646927493509644</v>
      </c>
      <c r="U386" s="253">
        <f>_xlfn.XLOOKUP(FMS_Ranking4[[#This Row],[FMS ID]],FMS_Input[FMS_ID],FMS_Input[CRITFAC100])</f>
        <v>8</v>
      </c>
      <c r="V386" s="259">
        <f>(ASINH(FMS_Ranking4[[#This Row],[Critical Facilities Raw]]))*(10)/(ASINH(U$4))</f>
        <v>3.286688318109702</v>
      </c>
      <c r="W386" s="256">
        <f>FMS_Ranking4[[#This Row],[Critical facilities at risk, ArcSinh (0-10)]]*U$5*10</f>
        <v>3.2866883181097024</v>
      </c>
      <c r="X386" s="253">
        <f>_xlfn.XLOOKUP(FMS_Ranking4[[#This Row],[FMS ID]],FMS_Input[FMS_ID],FMS_Input[LWC])</f>
        <v>0</v>
      </c>
      <c r="Y386" s="259">
        <f>(ASINH(FMS_Ranking4[[#This Row],[LWC Raw]]))*(10)/(ASINH(X$4))</f>
        <v>0</v>
      </c>
      <c r="Z386" s="256">
        <f>FMS_Ranking4[[#This Row],[LWC, ArcSInh (0-10)]]*X$5*10</f>
        <v>0</v>
      </c>
      <c r="AA386" s="253">
        <f>_xlfn.XLOOKUP(FMS_Ranking4[[#This Row],[FMS ID]],FMS_Input[FMS_ID],FMS_Input[ROADCLS])</f>
        <v>0</v>
      </c>
      <c r="AB386" s="255">
        <f>(ASINH(FMS_Ranking4[[#This Row],[Road Closures Raw]]))*(10)/(ASINH(AA$4))</f>
        <v>0</v>
      </c>
      <c r="AC386" s="256">
        <f>FMS_Ranking4[[#This Row],[Road closures, ArcSinh (0-10)]]*AA$5*10</f>
        <v>0</v>
      </c>
      <c r="AD386" s="253">
        <f>_xlfn.XLOOKUP(FMS_Ranking4[[#This Row],[FMS ID]],FMS_Input[FMS_ID],FMS_Input[ROAD_MILES100])</f>
        <v>43</v>
      </c>
      <c r="AE386" s="259">
        <f>(ASINH(FMS_Ranking4[[#This Row],[Road Miles Raw]]))*(10)/(ASINH(AD$4))</f>
        <v>4.7472527844273538</v>
      </c>
      <c r="AF386" s="256">
        <f>FMS_Ranking4[[#This Row],[Length of roads at risk, ArcSinh (0-10)]]*AD$5*10</f>
        <v>4.7472527844273538</v>
      </c>
      <c r="AG386" s="253">
        <f>_xlfn.XLOOKUP(FMS_Ranking4[[#This Row],[FMS ID]],FMS_Input[FMS_ID],FMS_Input[FARMACRE100])</f>
        <v>178.80146789550781</v>
      </c>
      <c r="AH386" s="255">
        <f>(ASINH(FMS_Ranking4[[#This Row],[Ag Land Raw]]))*(10)/(ASINH(AG$4))</f>
        <v>3.8191694749563552</v>
      </c>
      <c r="AI386" s="260">
        <f>FMS_Ranking4[[#This Row],[Farm &amp; ranch land, ArcSinh (0-10)]]*AG$5*10</f>
        <v>1.9095847374781778</v>
      </c>
      <c r="AJ386" s="258">
        <f>_xlfn.XLOOKUP(FMS_Ranking4[[#This Row],[FMS ID]],FMS_Input[FMS_ID],FMS_Input[REDSTRUCT100])</f>
        <v>0</v>
      </c>
      <c r="AK386" s="253">
        <f>_xlfn.XLOOKUP(FMS_Ranking4[[#This Row],[FMS ID]],FMS_Input[FMS_ID],FMS_Input[REMSTRC100])</f>
        <v>0</v>
      </c>
      <c r="AL386" s="259">
        <f>(ASINH(FMS_Ranking4[[#This Row],[Structures Removed Raw]]))*(10)/(ASINH(AK$4))</f>
        <v>0</v>
      </c>
      <c r="AM386" s="262">
        <f>FMS_Ranking4[[#This Row],[Structures removed, ArcSinh (0-10)]]*AK$5*10</f>
        <v>0</v>
      </c>
      <c r="AN386" s="253">
        <f>_xlfn.XLOOKUP(FMS_Ranking4[[#This Row],[FMS ID]],FMS_Input[FMS_ID],FMS_Input[REMRESSTRC100])</f>
        <v>0</v>
      </c>
      <c r="AO386" s="261">
        <f>FMS_Ranking4[[#This Row],[ArcSinh Res struct removed 0-10]]*AN$5*10</f>
        <v>0</v>
      </c>
      <c r="AP386" s="260">
        <f>ASINH(FMS_Ranking4[[#This Row],[Residential Structures Removed Raw]])/AP$4*AN$5*100</f>
        <v>0</v>
      </c>
      <c r="AQ386" s="254">
        <f>(ASINH(FMS_Ranking4[[#This Row],[Residential Structures Removed Raw]]))*(10)/(ASINH(AN$4))</f>
        <v>0</v>
      </c>
      <c r="AR386" s="253">
        <f>_xlfn.XLOOKUP(FMS_Ranking4[[#This Row],[FMS ID]],FMS_Input[FMS_ID],FMS_Input[REMPOP100])</f>
        <v>0</v>
      </c>
      <c r="AS386" s="259">
        <f>(ASINH(FMS_Ranking4[[#This Row],[Removed Pop Raw]]))*(10)/(ASINH(AR$4))</f>
        <v>0</v>
      </c>
      <c r="AT386" s="262">
        <f>FMS_Ranking4[[#This Row],[Removed population, ArcSinh (0-10)]]*AR$5*10</f>
        <v>0</v>
      </c>
      <c r="AU386" s="264">
        <f>_xlfn.XLOOKUP(FMS_Ranking4[[#This Row],[FMS ID]],FMS_Input[FMS_ID],FMS_Input[REMCRITFAC100])</f>
        <v>0</v>
      </c>
      <c r="AV386" s="264">
        <f>_xlfn.XLOOKUP(FMS_Ranking4[[#This Row],[FMS ID]],FMS_Input[FMS_ID],FMS_Input[REMLWC100])</f>
        <v>0</v>
      </c>
      <c r="AW386" s="264">
        <f>_xlfn.XLOOKUP(FMS_Ranking4[[#This Row],[FMS ID]],FMS_Input[FMS_ID],FMS_Input[REMROADCLS])</f>
        <v>0</v>
      </c>
      <c r="AX386" s="264">
        <f>_xlfn.XLOOKUP(FMS_Ranking4[[#This Row],[FMS ID]],FMS_Input[FMS_ID],FMS_Input[REMFRMACRE100])</f>
        <v>0</v>
      </c>
      <c r="AY386" s="258">
        <f>_xlfn.XLOOKUP(FMS_Ranking4[[#This Row],[FMS ID]],FMS_Input[FMS_ID],FMS_Input[COSTSTRUCT])</f>
        <v>0</v>
      </c>
      <c r="AZ386" s="253">
        <f>_xlfn.XLOOKUP(FMS_Ranking4[[#This Row],[FMS ID]],FMS_Input[FMS_ID],FMS_Input[NATURE])</f>
        <v>0</v>
      </c>
      <c r="BA386" s="262">
        <f>(((FMS_Ranking4[[#This Row],[% NBS Raw]]/AZ$4)*100)*AZ$5)</f>
        <v>0</v>
      </c>
      <c r="BB386" s="251" t="str">
        <f>_xlfn.XLOOKUP(FMS_Ranking4[[#This Row],[FMS ID]],FMS_Input[FMS_ID],FMS_Input[WATER_SUP])</f>
        <v>No</v>
      </c>
      <c r="BC386" s="265">
        <f>IF(FMS_Ranking4[[#This Row],[Water Supply Raw]]="Yes",10,0)</f>
        <v>0</v>
      </c>
      <c r="BD386" s="266">
        <f>_xlfn.XLOOKUP(FMS_Ranking4[[#This Row],[FMS Type]],FMS_TYPE[FMS_Type],FMS_TYPE[Score])</f>
        <v>4</v>
      </c>
      <c r="BE386" s="267">
        <f>FMS_Ranking4[[#This Row],[FMS_Type Score]]*$BD$5*10</f>
        <v>1</v>
      </c>
      <c r="BF38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0.2507735246168436</v>
      </c>
      <c r="BG386" s="271">
        <f>_xlfn.RANK.EQ(BF386,$BF$8:$BF$870,0)+COUNTIF($BF$8:BF386,BF386)-1</f>
        <v>331</v>
      </c>
      <c r="BH386" s="268">
        <f>(((FMS_Ranking4[[#This Row],[Structures Removed Raw]]/AK$4)*100)*AK$5)+(((FMS_Ranking4[[#This Row],[Removed Pop Raw]]/AR$4)*100)*AR$5)</f>
        <v>0</v>
      </c>
      <c r="BI38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1.2507735246168437</v>
      </c>
      <c r="BJ386" s="205">
        <f>_xlfn.RANK.EQ(FMS_Ranking4[[#This Row],[Total Score 
(with linear
normalization)]],FMS_Ranking4[Total Score 
(with linear
normalization)],0)</f>
        <v>640</v>
      </c>
      <c r="BK386" s="205" t="e">
        <f>_xlfn.XLOOKUP(FMS_Ranking4[[#This Row],[FMS ID]],#REF!,#REF!)</f>
        <v>#REF!</v>
      </c>
      <c r="BL38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22.659083829677495</v>
      </c>
      <c r="BM386" s="272">
        <f>FMS_Ranking4[[#This Row],[ArcSinh Score Based on Normalized Reported Factors]]+FMS_Ranking4[[#This Row],[% NBS Score (Normalized)]]+(FMS_Ranking4[[#This Row],[Water Supply Score (Normalized)]]*10*$BB$5)+FMS_Ranking4[[#This Row],[FMS_Type Score Weighted]]</f>
        <v>23.659083829677495</v>
      </c>
      <c r="BN386" s="205">
        <f>_xlfn.RANK.EQ(FMS_Ranking4[[#This Row],[Total Score (with ArcSinh normalization of select criteria)]],FMS_Ranking4[Total Score (with ArcSinh normalization of select criteria)],0)</f>
        <v>379</v>
      </c>
      <c r="BO386" s="270" t="str">
        <f>_xlfn.XLOOKUP(FMS_Ranking4[[#This Row],[FMS ID]],FMS_Input[FMS_ID],FMS_Input[FMS_RANK_YEAR])</f>
        <v>2023 Amended Plan</v>
      </c>
      <c r="BP386" s="204">
        <f>_xlfn.XLOOKUP(FMS_Ranking4[[#This Row],[FMS ID]],Prev_Rank[FMS ID],Prev_Rank[Prev Rank])</f>
        <v>336</v>
      </c>
      <c r="BQ386" s="205" t="e">
        <f>_xlfn.XLOOKUP(FMS_Ranking4[[#This Row],[FMS ID]],#REF!,#REF!)</f>
        <v>#REF!</v>
      </c>
      <c r="BR386" s="199" t="e">
        <f>SUM(#REF!,#REF!,#REF!,#REF!,#REF!,#REF!,#REF!,#REF!,#REF!,FMS_Ranking4[[#This Row],[ArcSinh Res struct removed 0-10]],#REF!)</f>
        <v>#REF!</v>
      </c>
      <c r="BS386" s="199" t="e">
        <f>FMS_Ranking4[[#This Row],[Log Score Based on Normalized Reported Factors]]+FMS_Ranking4[[#This Row],[% NBS Score (Normalized)]]+(FMS_Ranking4[[#This Row],[Water Supply Score (Normalized)]]*10*$BB$5)+(FMS_Ranking4[[#This Row],[FMS_Type Score Weighted]])</f>
        <v>#REF!</v>
      </c>
      <c r="BT386" s="200" t="e">
        <f>_xlfn.RANK.EQ(FMS_Ranking4[[#This Row],[Log Total Score]],FMS_Ranking4[Log Total Score],0)</f>
        <v>#REF!</v>
      </c>
      <c r="BU386" s="200" t="e">
        <f>_xlfn.XLOOKUP(FMS_Ranking4[[#This Row],[FMS ID]],#REF!,#REF!)</f>
        <v>#REF!</v>
      </c>
      <c r="BV386" s="200">
        <f>FMS_Ranking4[[#This Row],[Region Number]]</f>
        <v>6</v>
      </c>
      <c r="BW386" s="200">
        <f>FMS_Ranking4[[#This Row],[Rank (with ArcSinh normalization of select criteria)]]-FMS_Ranking4[[#This Row],[Rank
(with linear
normalization)]]</f>
        <v>-261</v>
      </c>
      <c r="BX386" s="200" t="e">
        <f>FMS_Ranking4[[#This Row],[Log Rank]]-FMS_Ranking4[[#This Row],[Rank
(with linear
normalization)]]</f>
        <v>#REF!</v>
      </c>
      <c r="BY386" s="200" t="str">
        <f>IF(FMS_Ranking4[[#This Row],[FMS Type]]="Flood Measurement and Warning",FMS_Ranking4[[#This Row],[Rank (with ArcSinh normalization of select criteria)]],"")</f>
        <v/>
      </c>
      <c r="BZ386" s="200" t="str">
        <f>IF(FMS_Ranking4[[#This Row],[FMS Type]]="Regulatory and Guidance",FMS_Ranking4[[#This Row],[Rank (with ArcSinh normalization of select criteria)]],"")</f>
        <v/>
      </c>
      <c r="CA386" s="200" t="str">
        <f>IF(FMS_Ranking4[[#This Row],[FMS Type]]="Education and Outreach",FMS_Ranking4[[#This Row],[Rank (with ArcSinh normalization of select criteria)]],"")</f>
        <v/>
      </c>
      <c r="CB386" s="200">
        <f>IF(FMS_Ranking4[[#This Row],[FMS Type]]="Property Acquisition and Structural Elevation",FMS_Ranking4[[#This Row],[Rank (with ArcSinh normalization of select criteria)]],"")</f>
        <v>379</v>
      </c>
      <c r="CC386" s="200" t="str">
        <f>IF(FMS_Ranking4[[#This Row],[FMS Type]]="Infrastructure Projects",FMS_Ranking4[[#This Row],[Rank (with ArcSinh normalization of select criteria)]],"")</f>
        <v/>
      </c>
      <c r="CD386" s="200" t="str">
        <f>IF(FMS_Ranking4[[#This Row],[FMS Type]]="Other",FMS_Ranking4[[#This Row],[Rank (with ArcSinh normalization of select criteria)]],"")</f>
        <v/>
      </c>
      <c r="CE386" s="201"/>
      <c r="CF386" s="206"/>
      <c r="CG386" s="206"/>
      <c r="CH386" s="206"/>
      <c r="CI386" s="206"/>
      <c r="CJ386" s="206"/>
      <c r="CK386" s="206"/>
      <c r="CL386" s="206"/>
      <c r="CM386" s="206"/>
      <c r="CN386" s="206"/>
      <c r="CO386" s="206"/>
      <c r="CP386" s="206"/>
      <c r="CQ386" s="206"/>
      <c r="CR386" s="206"/>
    </row>
    <row r="387" spans="2:96" ht="45" x14ac:dyDescent="0.25">
      <c r="B387" s="341" t="s">
        <v>4062</v>
      </c>
      <c r="C387" s="246">
        <f>_xlfn.XLOOKUP(FMS_Ranking4[[#This Row],[FMS ID]],FMS_Input[FMS_ID],FMS_Input[RFPG_NUM])</f>
        <v>15</v>
      </c>
      <c r="D387" s="309" t="str">
        <f>_xlfn.XLOOKUP(FMS_Ranking4[[#This Row],[FMS ID]],FMS_Input[FMS_ID],FMS_Input[FMS_NAME])</f>
        <v>Starr County Hazard Mitigation Plan Action #10</v>
      </c>
      <c r="E387" s="308" t="str">
        <f>_xlfn.XLOOKUP(FMS_Ranking4[[#This Row],[FMS ID]],FMS_Input[FMS_ID],FMS_Input[SPONSOR])</f>
        <v>15000003</v>
      </c>
      <c r="F387" s="309" t="str">
        <f>_xlfn.XLOOKUP(FMS_Ranking4[[#This Row],[FMS ID]],Sponsor[FMS_ID],Sponsor[SPONSOR NAME])</f>
        <v>Starr</v>
      </c>
      <c r="G387" s="309" t="str">
        <f>_xlfn.XLOOKUP(FMS_Ranking4[[#This Row],[FMS ID]],FMS_Input[FMS_ID],FMS_Input[FMS_DESCR])</f>
        <v>Retrofit community center as shelter for flooding events. (Roma)</v>
      </c>
      <c r="H387" s="248" t="str">
        <f>_xlfn.XLOOKUP(FMS_Ranking4[[#This Row],[FMS ID]],FMS_Input[FMS_ID],FMS_Input[FMS_TYPE])</f>
        <v>Infrastructure Projects</v>
      </c>
      <c r="I387" s="249">
        <f>_xlfn.XLOOKUP(FMS_Ranking4[[#This Row],[FMS ID]],FMS_Input[FMS_ID],FMS_Input[NRNC_COST])</f>
        <v>200000</v>
      </c>
      <c r="J387" s="250">
        <f>_xlfn.XLOOKUP(FMS_Ranking4[[#This Row],[FMS ID]],FMS_Input[FMS_ID],FMS_Input[FMS_COST])</f>
        <v>2000000</v>
      </c>
      <c r="K387" s="251" t="str">
        <f>_xlfn.XLOOKUP(FMS_Ranking4[[#This Row],[FMS ID]],FMS_Input[FMS_ID],FMS_Input[EMER_NEED])</f>
        <v>Yes</v>
      </c>
      <c r="L387" s="252">
        <f t="shared" si="5"/>
        <v>1</v>
      </c>
      <c r="M387" s="253">
        <f>_xlfn.XLOOKUP(FMS_Ranking4[[#This Row],[FMS ID]],FMS_Input[FMS_ID],FMS_Input[STRUCT_100])</f>
        <v>629</v>
      </c>
      <c r="N387" s="255">
        <f>(ASINH(FMS_Ranking4[[#This Row],[Structure at Risk Raw]]))*(10)/(ASINH(M$4))</f>
        <v>5.6109640431743069</v>
      </c>
      <c r="O387" s="256">
        <f>FMS_Ranking4[[#This Row],[Structures at risk, ArcSinh (0-10)]]*M$5*10</f>
        <v>5.6109640431743069</v>
      </c>
      <c r="P387" s="253">
        <f>_xlfn.XLOOKUP(FMS_Ranking4[[#This Row],[FMS ID]],FMS_Input[FMS_ID],FMS_Input[RES_STRUCT100])</f>
        <v>463</v>
      </c>
      <c r="Q387" s="257">
        <f>ASINH(FMS_Ranking4[[#This Row],[Res Structure Raw]])/Q$4*P$5*100</f>
        <v>0</v>
      </c>
      <c r="R387" s="253">
        <f>_xlfn.XLOOKUP(FMS_Ranking4[[#This Row],[FMS ID]],FMS_Input[FMS_ID],FMS_Input[POP100])</f>
        <v>2519</v>
      </c>
      <c r="S387" s="259">
        <f>(ASINH(FMS_Ranking4[[#This Row],[Pop at Risk Raw]]))*(10)/(ASINH(R$4))</f>
        <v>5.8851412259569749</v>
      </c>
      <c r="T387" s="256">
        <f>FMS_Ranking4[[#This Row],[Population at risk, ArcSinh (0-10)]]*R$5*10</f>
        <v>5.8851412259569749</v>
      </c>
      <c r="U387" s="253">
        <f>_xlfn.XLOOKUP(FMS_Ranking4[[#This Row],[FMS ID]],FMS_Input[FMS_ID],FMS_Input[CRITFAC100])</f>
        <v>0</v>
      </c>
      <c r="V387" s="259">
        <f>(ASINH(FMS_Ranking4[[#This Row],[Critical Facilities Raw]]))*(10)/(ASINH(U$4))</f>
        <v>0</v>
      </c>
      <c r="W387" s="256">
        <f>FMS_Ranking4[[#This Row],[Critical facilities at risk, ArcSinh (0-10)]]*U$5*10</f>
        <v>0</v>
      </c>
      <c r="X387" s="253">
        <f>_xlfn.XLOOKUP(FMS_Ranking4[[#This Row],[FMS ID]],FMS_Input[FMS_ID],FMS_Input[LWC])</f>
        <v>104</v>
      </c>
      <c r="Y387" s="259">
        <f>(ASINH(FMS_Ranking4[[#This Row],[LWC Raw]]))*(10)/(ASINH(X$4))</f>
        <v>7.230995790197511</v>
      </c>
      <c r="Z387" s="256">
        <f>FMS_Ranking4[[#This Row],[LWC, ArcSInh (0-10)]]*X$5*10</f>
        <v>7.2309957901975119</v>
      </c>
      <c r="AA387" s="253">
        <f>_xlfn.XLOOKUP(FMS_Ranking4[[#This Row],[FMS ID]],FMS_Input[FMS_ID],FMS_Input[ROADCLS])</f>
        <v>0</v>
      </c>
      <c r="AB387" s="255">
        <f>(ASINH(FMS_Ranking4[[#This Row],[Road Closures Raw]]))*(10)/(ASINH(AA$4))</f>
        <v>0</v>
      </c>
      <c r="AC387" s="256">
        <f>FMS_Ranking4[[#This Row],[Road closures, ArcSinh (0-10)]]*AA$5*10</f>
        <v>0</v>
      </c>
      <c r="AD387" s="253">
        <f>_xlfn.XLOOKUP(FMS_Ranking4[[#This Row],[FMS ID]],FMS_Input[FMS_ID],FMS_Input[ROAD_MILES100])</f>
        <v>8</v>
      </c>
      <c r="AE387" s="259">
        <f>(ASINH(FMS_Ranking4[[#This Row],[Road Miles Raw]]))*(10)/(ASINH(AD$4))</f>
        <v>2.9589555764172308</v>
      </c>
      <c r="AF387" s="256">
        <f>FMS_Ranking4[[#This Row],[Length of roads at risk, ArcSinh (0-10)]]*AD$5*10</f>
        <v>2.9589555764172308</v>
      </c>
      <c r="AG387" s="253">
        <f>_xlfn.XLOOKUP(FMS_Ranking4[[#This Row],[FMS ID]],FMS_Input[FMS_ID],FMS_Input[FARMACRE100])</f>
        <v>8.4775123596191406</v>
      </c>
      <c r="AH387" s="255">
        <f>(ASINH(FMS_Ranking4[[#This Row],[Ag Land Raw]]))*(10)/(ASINH(AG$4))</f>
        <v>1.8409300007310589</v>
      </c>
      <c r="AI387" s="260">
        <f>FMS_Ranking4[[#This Row],[Farm &amp; ranch land, ArcSinh (0-10)]]*AG$5*10</f>
        <v>0.92046500036552958</v>
      </c>
      <c r="AJ387" s="258">
        <f>_xlfn.XLOOKUP(FMS_Ranking4[[#This Row],[FMS ID]],FMS_Input[FMS_ID],FMS_Input[REDSTRUCT100])</f>
        <v>0</v>
      </c>
      <c r="AK387" s="253">
        <f>_xlfn.XLOOKUP(FMS_Ranking4[[#This Row],[FMS ID]],FMS_Input[FMS_ID],FMS_Input[REMSTRC100])</f>
        <v>0</v>
      </c>
      <c r="AL387" s="259">
        <f>(ASINH(FMS_Ranking4[[#This Row],[Structures Removed Raw]]))*(10)/(ASINH(AK$4))</f>
        <v>0</v>
      </c>
      <c r="AM387" s="262">
        <f>FMS_Ranking4[[#This Row],[Structures removed, ArcSinh (0-10)]]*AK$5*10</f>
        <v>0</v>
      </c>
      <c r="AN387" s="253">
        <f>_xlfn.XLOOKUP(FMS_Ranking4[[#This Row],[FMS ID]],FMS_Input[FMS_ID],FMS_Input[REMRESSTRC100])</f>
        <v>0</v>
      </c>
      <c r="AO387" s="261">
        <f>FMS_Ranking4[[#This Row],[ArcSinh Res struct removed 0-10]]*AN$5*10</f>
        <v>0</v>
      </c>
      <c r="AP387" s="260">
        <f>ASINH(FMS_Ranking4[[#This Row],[Residential Structures Removed Raw]])/AP$4*AN$5*100</f>
        <v>0</v>
      </c>
      <c r="AQ387" s="254">
        <f>(ASINH(FMS_Ranking4[[#This Row],[Residential Structures Removed Raw]]))*(10)/(ASINH(AN$4))</f>
        <v>0</v>
      </c>
      <c r="AR387" s="253">
        <f>_xlfn.XLOOKUP(FMS_Ranking4[[#This Row],[FMS ID]],FMS_Input[FMS_ID],FMS_Input[REMPOP100])</f>
        <v>0</v>
      </c>
      <c r="AS387" s="259">
        <f>(ASINH(FMS_Ranking4[[#This Row],[Removed Pop Raw]]))*(10)/(ASINH(AR$4))</f>
        <v>0</v>
      </c>
      <c r="AT387" s="262">
        <f>FMS_Ranking4[[#This Row],[Removed population, ArcSinh (0-10)]]*AR$5*10</f>
        <v>0</v>
      </c>
      <c r="AU387" s="264">
        <f>_xlfn.XLOOKUP(FMS_Ranking4[[#This Row],[FMS ID]],FMS_Input[FMS_ID],FMS_Input[REMCRITFAC100])</f>
        <v>0</v>
      </c>
      <c r="AV387" s="264">
        <f>_xlfn.XLOOKUP(FMS_Ranking4[[#This Row],[FMS ID]],FMS_Input[FMS_ID],FMS_Input[REMLWC100])</f>
        <v>0</v>
      </c>
      <c r="AW387" s="264">
        <f>_xlfn.XLOOKUP(FMS_Ranking4[[#This Row],[FMS ID]],FMS_Input[FMS_ID],FMS_Input[REMROADCLS])</f>
        <v>0</v>
      </c>
      <c r="AX387" s="264">
        <f>_xlfn.XLOOKUP(FMS_Ranking4[[#This Row],[FMS ID]],FMS_Input[FMS_ID],FMS_Input[REMFRMACRE100])</f>
        <v>0</v>
      </c>
      <c r="AY387" s="258">
        <f>_xlfn.XLOOKUP(FMS_Ranking4[[#This Row],[FMS ID]],FMS_Input[FMS_ID],FMS_Input[COSTSTRUCT])</f>
        <v>0</v>
      </c>
      <c r="AZ387" s="253">
        <f>_xlfn.XLOOKUP(FMS_Ranking4[[#This Row],[FMS ID]],FMS_Input[FMS_ID],FMS_Input[NATURE])</f>
        <v>0</v>
      </c>
      <c r="BA387" s="262">
        <f>(((FMS_Ranking4[[#This Row],[% NBS Raw]]/AZ$4)*100)*AZ$5)</f>
        <v>0</v>
      </c>
      <c r="BB387" s="251" t="str">
        <f>_xlfn.XLOOKUP(FMS_Ranking4[[#This Row],[FMS ID]],FMS_Input[FMS_ID],FMS_Input[WATER_SUP])</f>
        <v>No</v>
      </c>
      <c r="BC387" s="265">
        <f>IF(FMS_Ranking4[[#This Row],[Water Supply Raw]]="Yes",10,0)</f>
        <v>0</v>
      </c>
      <c r="BD387" s="266">
        <f>_xlfn.XLOOKUP(FMS_Ranking4[[#This Row],[FMS Type]],FMS_TYPE[FMS_Type],FMS_TYPE[Score])</f>
        <v>4</v>
      </c>
      <c r="BE387" s="267">
        <f>FMS_Ranking4[[#This Row],[FMS_Type Score]]*$BD$5*10</f>
        <v>1</v>
      </c>
      <c r="BF38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1.3720208810539491</v>
      </c>
      <c r="BG387" s="271">
        <f>_xlfn.RANK.EQ(BF387,$BF$8:$BF$870,0)+COUNTIF($BF$8:BF387,BF387)-1</f>
        <v>114</v>
      </c>
      <c r="BH387" s="268">
        <f>(((FMS_Ranking4[[#This Row],[Structures Removed Raw]]/AK$4)*100)*AK$5)+(((FMS_Ranking4[[#This Row],[Removed Pop Raw]]/AR$4)*100)*AR$5)</f>
        <v>0</v>
      </c>
      <c r="BI38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2.3720208810539489</v>
      </c>
      <c r="BJ387" s="205">
        <f>_xlfn.RANK.EQ(FMS_Ranking4[[#This Row],[Total Score 
(with linear
normalization)]],FMS_Ranking4[Total Score 
(with linear
normalization)],0)</f>
        <v>281</v>
      </c>
      <c r="BK387" s="205" t="e">
        <f>_xlfn.XLOOKUP(FMS_Ranking4[[#This Row],[FMS ID]],#REF!,#REF!)</f>
        <v>#REF!</v>
      </c>
      <c r="BL38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22.606521636111552</v>
      </c>
      <c r="BM387" s="272">
        <f>FMS_Ranking4[[#This Row],[ArcSinh Score Based on Normalized Reported Factors]]+FMS_Ranking4[[#This Row],[% NBS Score (Normalized)]]+(FMS_Ranking4[[#This Row],[Water Supply Score (Normalized)]]*10*$BB$5)+FMS_Ranking4[[#This Row],[FMS_Type Score Weighted]]</f>
        <v>23.606521636111552</v>
      </c>
      <c r="BN387" s="205">
        <f>_xlfn.RANK.EQ(FMS_Ranking4[[#This Row],[Total Score (with ArcSinh normalization of select criteria)]],FMS_Ranking4[Total Score (with ArcSinh normalization of select criteria)],0)</f>
        <v>380</v>
      </c>
      <c r="BO387" s="270" t="str">
        <f>_xlfn.XLOOKUP(FMS_Ranking4[[#This Row],[FMS ID]],FMS_Input[FMS_ID],FMS_Input[FMS_RANK_YEAR])</f>
        <v>2023 Amended Plan</v>
      </c>
      <c r="BP387" s="204">
        <f>_xlfn.XLOOKUP(FMS_Ranking4[[#This Row],[FMS ID]],Prev_Rank[FMS ID],Prev_Rank[Prev Rank])</f>
        <v>342</v>
      </c>
      <c r="BQ387" s="205" t="e">
        <f>_xlfn.XLOOKUP(FMS_Ranking4[[#This Row],[FMS ID]],#REF!,#REF!)</f>
        <v>#REF!</v>
      </c>
      <c r="BR387" s="199" t="e">
        <f>SUM(#REF!,#REF!,#REF!,#REF!,#REF!,#REF!,#REF!,#REF!,#REF!,FMS_Ranking4[[#This Row],[ArcSinh Res struct removed 0-10]],#REF!)</f>
        <v>#REF!</v>
      </c>
      <c r="BS387" s="199" t="e">
        <f>FMS_Ranking4[[#This Row],[Log Score Based on Normalized Reported Factors]]+FMS_Ranking4[[#This Row],[% NBS Score (Normalized)]]+(FMS_Ranking4[[#This Row],[Water Supply Score (Normalized)]]*10*$BB$5)+(FMS_Ranking4[[#This Row],[FMS_Type Score Weighted]])</f>
        <v>#REF!</v>
      </c>
      <c r="BT387" s="200" t="e">
        <f>_xlfn.RANK.EQ(FMS_Ranking4[[#This Row],[Log Total Score]],FMS_Ranking4[Log Total Score],0)</f>
        <v>#REF!</v>
      </c>
      <c r="BU387" s="200" t="e">
        <f>_xlfn.XLOOKUP(FMS_Ranking4[[#This Row],[FMS ID]],#REF!,#REF!)</f>
        <v>#REF!</v>
      </c>
      <c r="BV387" s="200">
        <f>FMS_Ranking4[[#This Row],[Region Number]]</f>
        <v>15</v>
      </c>
      <c r="BW387" s="200">
        <f>FMS_Ranking4[[#This Row],[Rank (with ArcSinh normalization of select criteria)]]-FMS_Ranking4[[#This Row],[Rank
(with linear
normalization)]]</f>
        <v>99</v>
      </c>
      <c r="BX387" s="200" t="e">
        <f>FMS_Ranking4[[#This Row],[Log Rank]]-FMS_Ranking4[[#This Row],[Rank
(with linear
normalization)]]</f>
        <v>#REF!</v>
      </c>
      <c r="BY387" s="200" t="str">
        <f>IF(FMS_Ranking4[[#This Row],[FMS Type]]="Flood Measurement and Warning",FMS_Ranking4[[#This Row],[Rank (with ArcSinh normalization of select criteria)]],"")</f>
        <v/>
      </c>
      <c r="BZ387" s="200" t="str">
        <f>IF(FMS_Ranking4[[#This Row],[FMS Type]]="Regulatory and Guidance",FMS_Ranking4[[#This Row],[Rank (with ArcSinh normalization of select criteria)]],"")</f>
        <v/>
      </c>
      <c r="CA387" s="200" t="str">
        <f>IF(FMS_Ranking4[[#This Row],[FMS Type]]="Education and Outreach",FMS_Ranking4[[#This Row],[Rank (with ArcSinh normalization of select criteria)]],"")</f>
        <v/>
      </c>
      <c r="CB387" s="200" t="str">
        <f>IF(FMS_Ranking4[[#This Row],[FMS Type]]="Property Acquisition and Structural Elevation",FMS_Ranking4[[#This Row],[Rank (with ArcSinh normalization of select criteria)]],"")</f>
        <v/>
      </c>
      <c r="CC387" s="200">
        <f>IF(FMS_Ranking4[[#This Row],[FMS Type]]="Infrastructure Projects",FMS_Ranking4[[#This Row],[Rank (with ArcSinh normalization of select criteria)]],"")</f>
        <v>380</v>
      </c>
      <c r="CD387" s="200" t="str">
        <f>IF(FMS_Ranking4[[#This Row],[FMS Type]]="Other",FMS_Ranking4[[#This Row],[Rank (with ArcSinh normalization of select criteria)]],"")</f>
        <v/>
      </c>
      <c r="CE387" s="201"/>
      <c r="CF387" s="206"/>
      <c r="CG387" s="206"/>
      <c r="CH387" s="206"/>
      <c r="CI387" s="206"/>
      <c r="CJ387" s="206"/>
      <c r="CK387" s="206"/>
      <c r="CL387" s="206"/>
      <c r="CM387" s="206"/>
      <c r="CN387" s="206"/>
      <c r="CO387" s="206"/>
      <c r="CP387" s="206"/>
      <c r="CQ387" s="206"/>
      <c r="CR387" s="206"/>
    </row>
    <row r="388" spans="2:96" ht="60" x14ac:dyDescent="0.25">
      <c r="B388" s="341" t="s">
        <v>4075</v>
      </c>
      <c r="C388" s="246">
        <f>_xlfn.XLOOKUP(FMS_Ranking4[[#This Row],[FMS ID]],FMS_Input[FMS_ID],FMS_Input[RFPG_NUM])</f>
        <v>15</v>
      </c>
      <c r="D388" s="309" t="str">
        <f>_xlfn.XLOOKUP(FMS_Ranking4[[#This Row],[FMS ID]],FMS_Input[FMS_ID],FMS_Input[FMS_NAME])</f>
        <v>City of Laguna Vista - Laguna Vista Establish/Join Drainage District</v>
      </c>
      <c r="E388" s="308" t="str">
        <f>_xlfn.XLOOKUP(FMS_Ranking4[[#This Row],[FMS ID]],FMS_Input[FMS_ID],FMS_Input[SPONSOR])</f>
        <v>15000048</v>
      </c>
      <c r="F388" s="309" t="str">
        <f>_xlfn.XLOOKUP(FMS_Ranking4[[#This Row],[FMS ID]],Sponsor[FMS_ID],Sponsor[SPONSOR NAME])</f>
        <v>Laguna Vista</v>
      </c>
      <c r="G388" s="309" t="str">
        <f>_xlfn.XLOOKUP(FMS_Ranking4[[#This Row],[FMS ID]],FMS_Input[FMS_ID],FMS_Input[FMS_DESCR])</f>
        <v>Develop strategy to secure funding to become/join drainage district</v>
      </c>
      <c r="H388" s="248" t="str">
        <f>_xlfn.XLOOKUP(FMS_Ranking4[[#This Row],[FMS ID]],FMS_Input[FMS_ID],FMS_Input[FMS_TYPE])</f>
        <v>Other</v>
      </c>
      <c r="I388" s="249">
        <f>_xlfn.XLOOKUP(FMS_Ranking4[[#This Row],[FMS ID]],FMS_Input[FMS_ID],FMS_Input[NRNC_COST])</f>
        <v>50000</v>
      </c>
      <c r="J388" s="250">
        <f>_xlfn.XLOOKUP(FMS_Ranking4[[#This Row],[FMS ID]],FMS_Input[FMS_ID],FMS_Input[FMS_COST])</f>
        <v>100000</v>
      </c>
      <c r="K388" s="251" t="str">
        <f>_xlfn.XLOOKUP(FMS_Ranking4[[#This Row],[FMS ID]],FMS_Input[FMS_ID],FMS_Input[EMER_NEED])</f>
        <v>Yes</v>
      </c>
      <c r="L388" s="252">
        <f t="shared" si="5"/>
        <v>1</v>
      </c>
      <c r="M388" s="253">
        <f>_xlfn.XLOOKUP(FMS_Ranking4[[#This Row],[FMS ID]],FMS_Input[FMS_ID],FMS_Input[STRUCT_100])</f>
        <v>1162</v>
      </c>
      <c r="N388" s="255">
        <f>(ASINH(FMS_Ranking4[[#This Row],[Structure at Risk Raw]]))*(10)/(ASINH(M$4))</f>
        <v>6.0934756889149009</v>
      </c>
      <c r="O388" s="256">
        <f>FMS_Ranking4[[#This Row],[Structures at risk, ArcSinh (0-10)]]*M$5*10</f>
        <v>6.0934756889149009</v>
      </c>
      <c r="P388" s="253">
        <f>_xlfn.XLOOKUP(FMS_Ranking4[[#This Row],[FMS ID]],FMS_Input[FMS_ID],FMS_Input[RES_STRUCT100])</f>
        <v>1099</v>
      </c>
      <c r="Q388" s="257">
        <f>ASINH(FMS_Ranking4[[#This Row],[Res Structure Raw]])/Q$4*P$5*100</f>
        <v>0</v>
      </c>
      <c r="R388" s="253">
        <f>_xlfn.XLOOKUP(FMS_Ranking4[[#This Row],[FMS ID]],FMS_Input[FMS_ID],FMS_Input[POP100])</f>
        <v>2130</v>
      </c>
      <c r="S388" s="259">
        <f>(ASINH(FMS_Ranking4[[#This Row],[Pop at Risk Raw]]))*(10)/(ASINH(R$4))</f>
        <v>5.7693405371389295</v>
      </c>
      <c r="T388" s="256">
        <f>FMS_Ranking4[[#This Row],[Population at risk, ArcSinh (0-10)]]*R$5*10</f>
        <v>5.7693405371389295</v>
      </c>
      <c r="U388" s="253">
        <f>_xlfn.XLOOKUP(FMS_Ranking4[[#This Row],[FMS ID]],FMS_Input[FMS_ID],FMS_Input[CRITFAC100])</f>
        <v>0</v>
      </c>
      <c r="V388" s="259">
        <f>(ASINH(FMS_Ranking4[[#This Row],[Critical Facilities Raw]]))*(10)/(ASINH(U$4))</f>
        <v>0</v>
      </c>
      <c r="W388" s="256">
        <f>FMS_Ranking4[[#This Row],[Critical facilities at risk, ArcSinh (0-10)]]*U$5*10</f>
        <v>0</v>
      </c>
      <c r="X388" s="253">
        <f>_xlfn.XLOOKUP(FMS_Ranking4[[#This Row],[FMS ID]],FMS_Input[FMS_ID],FMS_Input[LWC])</f>
        <v>60</v>
      </c>
      <c r="Y388" s="259">
        <f>(ASINH(FMS_Ranking4[[#This Row],[LWC Raw]]))*(10)/(ASINH(X$4))</f>
        <v>6.4858899949498028</v>
      </c>
      <c r="Z388" s="256">
        <f>FMS_Ranking4[[#This Row],[LWC, ArcSInh (0-10)]]*X$5*10</f>
        <v>6.4858899949498028</v>
      </c>
      <c r="AA388" s="253">
        <f>_xlfn.XLOOKUP(FMS_Ranking4[[#This Row],[FMS ID]],FMS_Input[FMS_ID],FMS_Input[ROADCLS])</f>
        <v>0</v>
      </c>
      <c r="AB388" s="255">
        <f>(ASINH(FMS_Ranking4[[#This Row],[Road Closures Raw]]))*(10)/(ASINH(AA$4))</f>
        <v>0</v>
      </c>
      <c r="AC388" s="256">
        <f>FMS_Ranking4[[#This Row],[Road closures, ArcSinh (0-10)]]*AA$5*10</f>
        <v>0</v>
      </c>
      <c r="AD388" s="253">
        <f>_xlfn.XLOOKUP(FMS_Ranking4[[#This Row],[FMS ID]],FMS_Input[FMS_ID],FMS_Input[ROAD_MILES100])</f>
        <v>14</v>
      </c>
      <c r="AE388" s="259">
        <f>(ASINH(FMS_Ranking4[[#This Row],[Road Miles Raw]]))*(10)/(ASINH(AD$4))</f>
        <v>3.552569987120918</v>
      </c>
      <c r="AF388" s="256">
        <f>FMS_Ranking4[[#This Row],[Length of roads at risk, ArcSinh (0-10)]]*AD$5*10</f>
        <v>3.5525699871209184</v>
      </c>
      <c r="AG388" s="253">
        <f>_xlfn.XLOOKUP(FMS_Ranking4[[#This Row],[FMS ID]],FMS_Input[FMS_ID],FMS_Input[FARMACRE100])</f>
        <v>17.087726593017582</v>
      </c>
      <c r="AH388" s="255">
        <f>(ASINH(FMS_Ranking4[[#This Row],[Ag Land Raw]]))*(10)/(ASINH(AG$4))</f>
        <v>2.2945573776937227</v>
      </c>
      <c r="AI388" s="260">
        <f>FMS_Ranking4[[#This Row],[Farm &amp; ranch land, ArcSinh (0-10)]]*AG$5*10</f>
        <v>1.1472786888468613</v>
      </c>
      <c r="AJ388" s="258">
        <f>_xlfn.XLOOKUP(FMS_Ranking4[[#This Row],[FMS ID]],FMS_Input[FMS_ID],FMS_Input[REDSTRUCT100])</f>
        <v>0</v>
      </c>
      <c r="AK388" s="253">
        <f>_xlfn.XLOOKUP(FMS_Ranking4[[#This Row],[FMS ID]],FMS_Input[FMS_ID],FMS_Input[REMSTRC100])</f>
        <v>0</v>
      </c>
      <c r="AL388" s="259">
        <f>(ASINH(FMS_Ranking4[[#This Row],[Structures Removed Raw]]))*(10)/(ASINH(AK$4))</f>
        <v>0</v>
      </c>
      <c r="AM388" s="262">
        <f>FMS_Ranking4[[#This Row],[Structures removed, ArcSinh (0-10)]]*AK$5*10</f>
        <v>0</v>
      </c>
      <c r="AN388" s="253">
        <f>_xlfn.XLOOKUP(FMS_Ranking4[[#This Row],[FMS ID]],FMS_Input[FMS_ID],FMS_Input[REMRESSTRC100])</f>
        <v>0</v>
      </c>
      <c r="AO388" s="261">
        <f>FMS_Ranking4[[#This Row],[ArcSinh Res struct removed 0-10]]*AN$5*10</f>
        <v>0</v>
      </c>
      <c r="AP388" s="260">
        <f>ASINH(FMS_Ranking4[[#This Row],[Residential Structures Removed Raw]])/AP$4*AN$5*100</f>
        <v>0</v>
      </c>
      <c r="AQ388" s="254">
        <f>(ASINH(FMS_Ranking4[[#This Row],[Residential Structures Removed Raw]]))*(10)/(ASINH(AN$4))</f>
        <v>0</v>
      </c>
      <c r="AR388" s="253">
        <f>_xlfn.XLOOKUP(FMS_Ranking4[[#This Row],[FMS ID]],FMS_Input[FMS_ID],FMS_Input[REMPOP100])</f>
        <v>0</v>
      </c>
      <c r="AS388" s="259">
        <f>(ASINH(FMS_Ranking4[[#This Row],[Removed Pop Raw]]))*(10)/(ASINH(AR$4))</f>
        <v>0</v>
      </c>
      <c r="AT388" s="262">
        <f>FMS_Ranking4[[#This Row],[Removed population, ArcSinh (0-10)]]*AR$5*10</f>
        <v>0</v>
      </c>
      <c r="AU388" s="264">
        <f>_xlfn.XLOOKUP(FMS_Ranking4[[#This Row],[FMS ID]],FMS_Input[FMS_ID],FMS_Input[REMCRITFAC100])</f>
        <v>0</v>
      </c>
      <c r="AV388" s="264">
        <f>_xlfn.XLOOKUP(FMS_Ranking4[[#This Row],[FMS ID]],FMS_Input[FMS_ID],FMS_Input[REMLWC100])</f>
        <v>0</v>
      </c>
      <c r="AW388" s="264">
        <f>_xlfn.XLOOKUP(FMS_Ranking4[[#This Row],[FMS ID]],FMS_Input[FMS_ID],FMS_Input[REMROADCLS])</f>
        <v>0</v>
      </c>
      <c r="AX388" s="264">
        <f>_xlfn.XLOOKUP(FMS_Ranking4[[#This Row],[FMS ID]],FMS_Input[FMS_ID],FMS_Input[REMFRMACRE100])</f>
        <v>0</v>
      </c>
      <c r="AY388" s="258">
        <f>_xlfn.XLOOKUP(FMS_Ranking4[[#This Row],[FMS ID]],FMS_Input[FMS_ID],FMS_Input[COSTSTRUCT])</f>
        <v>0</v>
      </c>
      <c r="AZ388" s="253">
        <f>_xlfn.XLOOKUP(FMS_Ranking4[[#This Row],[FMS ID]],FMS_Input[FMS_ID],FMS_Input[NATURE])</f>
        <v>0</v>
      </c>
      <c r="BA388" s="262">
        <f>(((FMS_Ranking4[[#This Row],[% NBS Raw]]/AZ$4)*100)*AZ$5)</f>
        <v>0</v>
      </c>
      <c r="BB388" s="251" t="str">
        <f>_xlfn.XLOOKUP(FMS_Ranking4[[#This Row],[FMS ID]],FMS_Input[FMS_ID],FMS_Input[WATER_SUP])</f>
        <v>No</v>
      </c>
      <c r="BC388" s="265">
        <f>IF(FMS_Ranking4[[#This Row],[Water Supply Raw]]="Yes",10,0)</f>
        <v>0</v>
      </c>
      <c r="BD388" s="266">
        <f>_xlfn.XLOOKUP(FMS_Ranking4[[#This Row],[FMS Type]],FMS_TYPE[FMS_Type],FMS_TYPE[Score])</f>
        <v>2</v>
      </c>
      <c r="BE388" s="267">
        <f>FMS_Ranking4[[#This Row],[FMS_Type Score]]*$BD$5*10</f>
        <v>0.5</v>
      </c>
      <c r="BF38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0.86207886006262202</v>
      </c>
      <c r="BG388" s="271">
        <f>_xlfn.RANK.EQ(BF388,$BF$8:$BF$870,0)+COUNTIF($BF$8:BF388,BF388)-1</f>
        <v>154</v>
      </c>
      <c r="BH388" s="268">
        <f>(((FMS_Ranking4[[#This Row],[Structures Removed Raw]]/AK$4)*100)*AK$5)+(((FMS_Ranking4[[#This Row],[Removed Pop Raw]]/AR$4)*100)*AR$5)</f>
        <v>0</v>
      </c>
      <c r="BI38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1.3620788600626219</v>
      </c>
      <c r="BJ388" s="205">
        <f>_xlfn.RANK.EQ(FMS_Ranking4[[#This Row],[Total Score 
(with linear
normalization)]],FMS_Ranking4[Total Score 
(with linear
normalization)],0)</f>
        <v>623</v>
      </c>
      <c r="BK388" s="205" t="e">
        <f>_xlfn.XLOOKUP(FMS_Ranking4[[#This Row],[FMS ID]],#REF!,#REF!)</f>
        <v>#REF!</v>
      </c>
      <c r="BL38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23.04855489697141</v>
      </c>
      <c r="BM388" s="272">
        <f>FMS_Ranking4[[#This Row],[ArcSinh Score Based on Normalized Reported Factors]]+FMS_Ranking4[[#This Row],[% NBS Score (Normalized)]]+(FMS_Ranking4[[#This Row],[Water Supply Score (Normalized)]]*10*$BB$5)+FMS_Ranking4[[#This Row],[FMS_Type Score Weighted]]</f>
        <v>23.54855489697141</v>
      </c>
      <c r="BN388" s="205">
        <f>_xlfn.RANK.EQ(FMS_Ranking4[[#This Row],[Total Score (with ArcSinh normalization of select criteria)]],FMS_Ranking4[Total Score (with ArcSinh normalization of select criteria)],0)</f>
        <v>381</v>
      </c>
      <c r="BO388" s="270" t="str">
        <f>_xlfn.XLOOKUP(FMS_Ranking4[[#This Row],[FMS ID]],FMS_Input[FMS_ID],FMS_Input[FMS_RANK_YEAR])</f>
        <v>2023 Amended Plan</v>
      </c>
      <c r="BP388" s="204">
        <f>_xlfn.XLOOKUP(FMS_Ranking4[[#This Row],[FMS ID]],Prev_Rank[FMS ID],Prev_Rank[Prev Rank])</f>
        <v>345</v>
      </c>
      <c r="BQ388" s="205" t="e">
        <f>_xlfn.XLOOKUP(FMS_Ranking4[[#This Row],[FMS ID]],#REF!,#REF!)</f>
        <v>#REF!</v>
      </c>
      <c r="BR388" s="199" t="e">
        <f>SUM(#REF!,#REF!,#REF!,#REF!,#REF!,#REF!,#REF!,#REF!,#REF!,FMS_Ranking4[[#This Row],[ArcSinh Res struct removed 0-10]],#REF!)</f>
        <v>#REF!</v>
      </c>
      <c r="BS388" s="199" t="e">
        <f>FMS_Ranking4[[#This Row],[Log Score Based on Normalized Reported Factors]]+FMS_Ranking4[[#This Row],[% NBS Score (Normalized)]]+(FMS_Ranking4[[#This Row],[Water Supply Score (Normalized)]]*10*$BB$5)+(FMS_Ranking4[[#This Row],[FMS_Type Score Weighted]])</f>
        <v>#REF!</v>
      </c>
      <c r="BT388" s="200" t="e">
        <f>_xlfn.RANK.EQ(FMS_Ranking4[[#This Row],[Log Total Score]],FMS_Ranking4[Log Total Score],0)</f>
        <v>#REF!</v>
      </c>
      <c r="BU388" s="200" t="e">
        <f>_xlfn.XLOOKUP(FMS_Ranking4[[#This Row],[FMS ID]],#REF!,#REF!)</f>
        <v>#REF!</v>
      </c>
      <c r="BV388" s="200">
        <f>FMS_Ranking4[[#This Row],[Region Number]]</f>
        <v>15</v>
      </c>
      <c r="BW388" s="200">
        <f>FMS_Ranking4[[#This Row],[Rank (with ArcSinh normalization of select criteria)]]-FMS_Ranking4[[#This Row],[Rank
(with linear
normalization)]]</f>
        <v>-242</v>
      </c>
      <c r="BX388" s="200" t="e">
        <f>FMS_Ranking4[[#This Row],[Log Rank]]-FMS_Ranking4[[#This Row],[Rank
(with linear
normalization)]]</f>
        <v>#REF!</v>
      </c>
      <c r="BY388" s="200" t="str">
        <f>IF(FMS_Ranking4[[#This Row],[FMS Type]]="Flood Measurement and Warning",FMS_Ranking4[[#This Row],[Rank (with ArcSinh normalization of select criteria)]],"")</f>
        <v/>
      </c>
      <c r="BZ388" s="200" t="str">
        <f>IF(FMS_Ranking4[[#This Row],[FMS Type]]="Regulatory and Guidance",FMS_Ranking4[[#This Row],[Rank (with ArcSinh normalization of select criteria)]],"")</f>
        <v/>
      </c>
      <c r="CA388" s="200" t="str">
        <f>IF(FMS_Ranking4[[#This Row],[FMS Type]]="Education and Outreach",FMS_Ranking4[[#This Row],[Rank (with ArcSinh normalization of select criteria)]],"")</f>
        <v/>
      </c>
      <c r="CB388" s="200" t="str">
        <f>IF(FMS_Ranking4[[#This Row],[FMS Type]]="Property Acquisition and Structural Elevation",FMS_Ranking4[[#This Row],[Rank (with ArcSinh normalization of select criteria)]],"")</f>
        <v/>
      </c>
      <c r="CC388" s="200" t="str">
        <f>IF(FMS_Ranking4[[#This Row],[FMS Type]]="Infrastructure Projects",FMS_Ranking4[[#This Row],[Rank (with ArcSinh normalization of select criteria)]],"")</f>
        <v/>
      </c>
      <c r="CD388" s="200">
        <f>IF(FMS_Ranking4[[#This Row],[FMS Type]]="Other",FMS_Ranking4[[#This Row],[Rank (with ArcSinh normalization of select criteria)]],"")</f>
        <v>381</v>
      </c>
      <c r="CE388" s="201"/>
      <c r="CF388" s="206"/>
      <c r="CG388" s="206"/>
      <c r="CH388" s="206"/>
      <c r="CI388" s="206"/>
      <c r="CJ388" s="206"/>
      <c r="CK388" s="206"/>
      <c r="CL388" s="206"/>
      <c r="CM388" s="206"/>
      <c r="CN388" s="206"/>
      <c r="CO388" s="206"/>
      <c r="CP388" s="206"/>
      <c r="CQ388" s="206"/>
      <c r="CR388" s="206"/>
    </row>
    <row r="389" spans="2:96" ht="45" x14ac:dyDescent="0.25">
      <c r="B389" s="341" t="s">
        <v>497</v>
      </c>
      <c r="C389" s="246">
        <f>_xlfn.XLOOKUP(FMS_Ranking4[[#This Row],[FMS ID]],FMS_Input[FMS_ID],FMS_Input[RFPG_NUM])</f>
        <v>9</v>
      </c>
      <c r="D389" s="309" t="str">
        <f>_xlfn.XLOOKUP(FMS_Ranking4[[#This Row],[FMS ID]],FMS_Input[FMS_ID],FMS_Input[FMS_NAME])</f>
        <v>Borden County DCM</v>
      </c>
      <c r="E389" s="308" t="str">
        <f>_xlfn.XLOOKUP(FMS_Ranking4[[#This Row],[FMS ID]],FMS_Input[FMS_ID],FMS_Input[SPONSOR])</f>
        <v>00000115</v>
      </c>
      <c r="F389" s="309" t="str">
        <f>_xlfn.XLOOKUP(FMS_Ranking4[[#This Row],[FMS ID]],Sponsor[FMS_ID],Sponsor[SPONSOR NAME])</f>
        <v>Borden</v>
      </c>
      <c r="G389" s="309" t="str">
        <f>_xlfn.XLOOKUP(FMS_Ranking4[[#This Row],[FMS ID]],FMS_Input[FMS_ID],FMS_Input[FMS_DESCR])</f>
        <v>Outreach Program: Discuss Stormwater Criteria Design Manual</v>
      </c>
      <c r="H389" s="248" t="str">
        <f>_xlfn.XLOOKUP(FMS_Ranking4[[#This Row],[FMS ID]],FMS_Input[FMS_ID],FMS_Input[FMS_TYPE])</f>
        <v>Other</v>
      </c>
      <c r="I389" s="249">
        <f>_xlfn.XLOOKUP(FMS_Ranking4[[#This Row],[FMS ID]],FMS_Input[FMS_ID],FMS_Input[NRNC_COST])</f>
        <v>75000</v>
      </c>
      <c r="J389" s="250">
        <f>_xlfn.XLOOKUP(FMS_Ranking4[[#This Row],[FMS ID]],FMS_Input[FMS_ID],FMS_Input[FMS_COST])</f>
        <v>100000</v>
      </c>
      <c r="K389" s="251" t="str">
        <f>_xlfn.XLOOKUP(FMS_Ranking4[[#This Row],[FMS ID]],FMS_Input[FMS_ID],FMS_Input[EMER_NEED])</f>
        <v>No</v>
      </c>
      <c r="L389" s="252">
        <f t="shared" si="5"/>
        <v>0</v>
      </c>
      <c r="M389" s="253">
        <f>_xlfn.XLOOKUP(FMS_Ranking4[[#This Row],[FMS ID]],FMS_Input[FMS_ID],FMS_Input[STRUCT_100])</f>
        <v>69</v>
      </c>
      <c r="N389" s="255">
        <f>(ASINH(FMS_Ranking4[[#This Row],[Structure at Risk Raw]]))*(10)/(ASINH(M$4))</f>
        <v>3.8735963102410209</v>
      </c>
      <c r="O389" s="256">
        <f>FMS_Ranking4[[#This Row],[Structures at risk, ArcSinh (0-10)]]*M$5*10</f>
        <v>3.8735963102410209</v>
      </c>
      <c r="P389" s="253">
        <f>_xlfn.XLOOKUP(FMS_Ranking4[[#This Row],[FMS ID]],FMS_Input[FMS_ID],FMS_Input[RES_STRUCT100])</f>
        <v>9</v>
      </c>
      <c r="Q389" s="257">
        <f>ASINH(FMS_Ranking4[[#This Row],[Res Structure Raw]])/Q$4*P$5*100</f>
        <v>0</v>
      </c>
      <c r="R389" s="253">
        <f>_xlfn.XLOOKUP(FMS_Ranking4[[#This Row],[FMS ID]],FMS_Input[FMS_ID],FMS_Input[POP100])</f>
        <v>20</v>
      </c>
      <c r="S389" s="259">
        <f>(ASINH(FMS_Ranking4[[#This Row],[Pop at Risk Raw]]))*(10)/(ASINH(R$4))</f>
        <v>2.5470793160455631</v>
      </c>
      <c r="T389" s="256">
        <f>FMS_Ranking4[[#This Row],[Population at risk, ArcSinh (0-10)]]*R$5*10</f>
        <v>2.5470793160455636</v>
      </c>
      <c r="U389" s="253">
        <f>_xlfn.XLOOKUP(FMS_Ranking4[[#This Row],[FMS ID]],FMS_Input[FMS_ID],FMS_Input[CRITFAC100])</f>
        <v>0</v>
      </c>
      <c r="V389" s="259">
        <f>(ASINH(FMS_Ranking4[[#This Row],[Critical Facilities Raw]]))*(10)/(ASINH(U$4))</f>
        <v>0</v>
      </c>
      <c r="W389" s="256">
        <f>FMS_Ranking4[[#This Row],[Critical facilities at risk, ArcSinh (0-10)]]*U$5*10</f>
        <v>0</v>
      </c>
      <c r="X389" s="253">
        <f>_xlfn.XLOOKUP(FMS_Ranking4[[#This Row],[FMS ID]],FMS_Input[FMS_ID],FMS_Input[LWC])</f>
        <v>2</v>
      </c>
      <c r="Y389" s="259">
        <f>(ASINH(FMS_Ranking4[[#This Row],[LWC Raw]]))*(10)/(ASINH(X$4))</f>
        <v>1.9557475158633808</v>
      </c>
      <c r="Z389" s="256">
        <f>FMS_Ranking4[[#This Row],[LWC, ArcSInh (0-10)]]*X$5*10</f>
        <v>1.9557475158633808</v>
      </c>
      <c r="AA389" s="253">
        <f>_xlfn.XLOOKUP(FMS_Ranking4[[#This Row],[FMS ID]],FMS_Input[FMS_ID],FMS_Input[ROADCLS])</f>
        <v>0</v>
      </c>
      <c r="AB389" s="255">
        <f>(ASINH(FMS_Ranking4[[#This Row],[Road Closures Raw]]))*(10)/(ASINH(AA$4))</f>
        <v>0</v>
      </c>
      <c r="AC389" s="256">
        <f>FMS_Ranking4[[#This Row],[Road closures, ArcSinh (0-10)]]*AA$5*10</f>
        <v>0</v>
      </c>
      <c r="AD389" s="253">
        <f>_xlfn.XLOOKUP(FMS_Ranking4[[#This Row],[FMS ID]],FMS_Input[FMS_ID],FMS_Input[ROAD_MILES100])</f>
        <v>26</v>
      </c>
      <c r="AE389" s="259">
        <f>(ASINH(FMS_Ranking4[[#This Row],[Road Miles Raw]]))*(10)/(ASINH(AD$4))</f>
        <v>4.2113326316360364</v>
      </c>
      <c r="AF389" s="256">
        <f>FMS_Ranking4[[#This Row],[Length of roads at risk, ArcSinh (0-10)]]*AD$5*10</f>
        <v>4.2113326316360364</v>
      </c>
      <c r="AG389" s="253">
        <f>_xlfn.XLOOKUP(FMS_Ranking4[[#This Row],[FMS ID]],FMS_Input[FMS_ID],FMS_Input[FARMACRE100])</f>
        <v>10470.009765625</v>
      </c>
      <c r="AH389" s="255">
        <f>(ASINH(FMS_Ranking4[[#This Row],[Ag Land Raw]]))*(10)/(ASINH(AG$4))</f>
        <v>6.4629571861454496</v>
      </c>
      <c r="AI389" s="260">
        <f>FMS_Ranking4[[#This Row],[Farm &amp; ranch land, ArcSinh (0-10)]]*AG$5*10</f>
        <v>3.2314785930727252</v>
      </c>
      <c r="AJ389" s="258">
        <f>_xlfn.XLOOKUP(FMS_Ranking4[[#This Row],[FMS ID]],FMS_Input[FMS_ID],FMS_Input[REDSTRUCT100])</f>
        <v>18</v>
      </c>
      <c r="AK389" s="253">
        <f>_xlfn.XLOOKUP(FMS_Ranking4[[#This Row],[FMS ID]],FMS_Input[FMS_ID],FMS_Input[REMSTRC100])</f>
        <v>18</v>
      </c>
      <c r="AL389" s="259">
        <f>(ASINH(FMS_Ranking4[[#This Row],[Structures Removed Raw]]))*(10)/(ASINH(AK$4))</f>
        <v>4.0809696174971908</v>
      </c>
      <c r="AM389" s="262">
        <f>FMS_Ranking4[[#This Row],[Structures removed, ArcSinh (0-10)]]*AK$5*10</f>
        <v>4.0809696174971908</v>
      </c>
      <c r="AN389" s="253">
        <f>_xlfn.XLOOKUP(FMS_Ranking4[[#This Row],[FMS ID]],FMS_Input[FMS_ID],FMS_Input[REMRESSTRC100])</f>
        <v>2</v>
      </c>
      <c r="AO389" s="261">
        <f>FMS_Ranking4[[#This Row],[ArcSinh Res struct removed 0-10]]*AN$5*10</f>
        <v>0.84673041454896381</v>
      </c>
      <c r="AP389" s="260">
        <f>ASINH(FMS_Ranking4[[#This Row],[Residential Structures Removed Raw]])/AP$4*AN$5*100</f>
        <v>0.84673041454896381</v>
      </c>
      <c r="AQ389" s="254">
        <f>(ASINH(FMS_Ranking4[[#This Row],[Residential Structures Removed Raw]]))*(10)/(ASINH(AN$4))</f>
        <v>1.6934608290979274</v>
      </c>
      <c r="AR389" s="253">
        <f>_xlfn.XLOOKUP(FMS_Ranking4[[#This Row],[FMS ID]],FMS_Input[FMS_ID],FMS_Input[REMPOP100])</f>
        <v>5</v>
      </c>
      <c r="AS389" s="259">
        <f>(ASINH(FMS_Ranking4[[#This Row],[Removed Pop Raw]]))*(10)/(ASINH(AR$4))</f>
        <v>2.2699367485074089</v>
      </c>
      <c r="AT389" s="262">
        <f>FMS_Ranking4[[#This Row],[Removed population, ArcSinh (0-10)]]*AR$5*10</f>
        <v>2.2699367485074089</v>
      </c>
      <c r="AU389" s="264">
        <f>_xlfn.XLOOKUP(FMS_Ranking4[[#This Row],[FMS ID]],FMS_Input[FMS_ID],FMS_Input[REMCRITFAC100])</f>
        <v>0</v>
      </c>
      <c r="AV389" s="264">
        <f>_xlfn.XLOOKUP(FMS_Ranking4[[#This Row],[FMS ID]],FMS_Input[FMS_ID],FMS_Input[REMLWC100])</f>
        <v>0</v>
      </c>
      <c r="AW389" s="264">
        <f>_xlfn.XLOOKUP(FMS_Ranking4[[#This Row],[FMS ID]],FMS_Input[FMS_ID],FMS_Input[REMROADCLS])</f>
        <v>0</v>
      </c>
      <c r="AX389" s="264">
        <f>_xlfn.XLOOKUP(FMS_Ranking4[[#This Row],[FMS ID]],FMS_Input[FMS_ID],FMS_Input[REMFRMACRE100])</f>
        <v>2617.50244140625</v>
      </c>
      <c r="AY389" s="258">
        <f>_xlfn.XLOOKUP(FMS_Ranking4[[#This Row],[FMS ID]],FMS_Input[FMS_ID],FMS_Input[COSTSTRUCT])</f>
        <v>25000</v>
      </c>
      <c r="AZ389" s="253">
        <f>_xlfn.XLOOKUP(FMS_Ranking4[[#This Row],[FMS ID]],FMS_Input[FMS_ID],FMS_Input[NATURE])</f>
        <v>0</v>
      </c>
      <c r="BA389" s="262">
        <f>(((FMS_Ranking4[[#This Row],[% NBS Raw]]/AZ$4)*100)*AZ$5)</f>
        <v>0</v>
      </c>
      <c r="BB389" s="251" t="str">
        <f>_xlfn.XLOOKUP(FMS_Ranking4[[#This Row],[FMS ID]],FMS_Input[FMS_ID],FMS_Input[WATER_SUP])</f>
        <v>No</v>
      </c>
      <c r="BC389" s="265">
        <f>IF(FMS_Ranking4[[#This Row],[Water Supply Raw]]="Yes",10,0)</f>
        <v>0</v>
      </c>
      <c r="BD389" s="266">
        <f>_xlfn.XLOOKUP(FMS_Ranking4[[#This Row],[FMS Type]],FMS_TYPE[FMS_Type],FMS_TYPE[Score])</f>
        <v>2</v>
      </c>
      <c r="BE389" s="267">
        <f>FMS_Ranking4[[#This Row],[FMS_Type Score]]*$BD$5*10</f>
        <v>0.5</v>
      </c>
      <c r="BF38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9.4565947214427779E-2</v>
      </c>
      <c r="BG389" s="269">
        <f>_xlfn.RANK.EQ(BF389,$BF$8:$BF$870,0)+COUNTIF($BF$8:BF389,BF389)-1</f>
        <v>498</v>
      </c>
      <c r="BH389" s="268">
        <f>(((FMS_Ranking4[[#This Row],[Structures Removed Raw]]/AK$4)*100)*AK$5)+(((FMS_Ranking4[[#This Row],[Removed Pop Raw]]/AR$4)*100)*AR$5)</f>
        <v>5.8962568837055265E-2</v>
      </c>
      <c r="BI38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0.65352851605148299</v>
      </c>
      <c r="BJ389" s="204">
        <f>_xlfn.RANK.EQ(FMS_Ranking4[[#This Row],[Total Score 
(with linear
normalization)]],FMS_Ranking4[Total Score 
(with linear
normalization)],0)</f>
        <v>810</v>
      </c>
      <c r="BK389" s="204" t="e">
        <f>_xlfn.XLOOKUP(FMS_Ranking4[[#This Row],[FMS ID]],#REF!,#REF!)</f>
        <v>#REF!</v>
      </c>
      <c r="BL389"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23.016871147412292</v>
      </c>
      <c r="BM389" s="270">
        <f>FMS_Ranking4[[#This Row],[ArcSinh Score Based on Normalized Reported Factors]]+FMS_Ranking4[[#This Row],[% NBS Score (Normalized)]]+(FMS_Ranking4[[#This Row],[Water Supply Score (Normalized)]]*10*$BB$5)+FMS_Ranking4[[#This Row],[FMS_Type Score Weighted]]</f>
        <v>23.516871147412292</v>
      </c>
      <c r="BN389" s="204">
        <f>_xlfn.RANK.EQ(FMS_Ranking4[[#This Row],[Total Score (with ArcSinh normalization of select criteria)]],FMS_Ranking4[Total Score (with ArcSinh normalization of select criteria)],0)</f>
        <v>382</v>
      </c>
      <c r="BO389" s="270" t="str">
        <f>_xlfn.XLOOKUP(FMS_Ranking4[[#This Row],[FMS ID]],FMS_Input[FMS_ID],FMS_Input[FMS_RANK_YEAR])</f>
        <v>2023 Amended Plan</v>
      </c>
      <c r="BP389" s="204">
        <f>_xlfn.XLOOKUP(FMS_Ranking4[[#This Row],[FMS ID]],Prev_Rank[FMS ID],Prev_Rank[Prev Rank])</f>
        <v>358</v>
      </c>
      <c r="BQ389" s="204" t="e">
        <f>_xlfn.XLOOKUP(FMS_Ranking4[[#This Row],[FMS ID]],#REF!,#REF!)</f>
        <v>#REF!</v>
      </c>
      <c r="BR389" s="199" t="e">
        <f>SUM(#REF!,#REF!,#REF!,#REF!,#REF!,#REF!,#REF!,#REF!,#REF!,FMS_Ranking4[[#This Row],[ArcSinh Res struct removed 0-10]],#REF!)</f>
        <v>#REF!</v>
      </c>
      <c r="BS389" s="199" t="e">
        <f>FMS_Ranking4[[#This Row],[Log Score Based on Normalized Reported Factors]]+FMS_Ranking4[[#This Row],[% NBS Score (Normalized)]]+(FMS_Ranking4[[#This Row],[Water Supply Score (Normalized)]]*10*$BB$5)+(FMS_Ranking4[[#This Row],[FMS_Type Score Weighted]])</f>
        <v>#REF!</v>
      </c>
      <c r="BT389" s="200" t="e">
        <f>_xlfn.RANK.EQ(FMS_Ranking4[[#This Row],[Log Total Score]],FMS_Ranking4[Log Total Score],0)</f>
        <v>#REF!</v>
      </c>
      <c r="BU389" s="200" t="e">
        <f>_xlfn.XLOOKUP(FMS_Ranking4[[#This Row],[FMS ID]],#REF!,#REF!)</f>
        <v>#REF!</v>
      </c>
      <c r="BV389" s="200">
        <f>FMS_Ranking4[[#This Row],[Region Number]]</f>
        <v>9</v>
      </c>
      <c r="BW389" s="200">
        <f>FMS_Ranking4[[#This Row],[Rank (with ArcSinh normalization of select criteria)]]-FMS_Ranking4[[#This Row],[Rank
(with linear
normalization)]]</f>
        <v>-428</v>
      </c>
      <c r="BX389" s="200" t="e">
        <f>FMS_Ranking4[[#This Row],[Log Rank]]-FMS_Ranking4[[#This Row],[Rank
(with linear
normalization)]]</f>
        <v>#REF!</v>
      </c>
      <c r="BY389" s="200" t="str">
        <f>IF(FMS_Ranking4[[#This Row],[FMS Type]]="Flood Measurement and Warning",FMS_Ranking4[[#This Row],[Rank (with ArcSinh normalization of select criteria)]],"")</f>
        <v/>
      </c>
      <c r="BZ389" s="200" t="str">
        <f>IF(FMS_Ranking4[[#This Row],[FMS Type]]="Regulatory and Guidance",FMS_Ranking4[[#This Row],[Rank (with ArcSinh normalization of select criteria)]],"")</f>
        <v/>
      </c>
      <c r="CA389" s="200" t="str">
        <f>IF(FMS_Ranking4[[#This Row],[FMS Type]]="Education and Outreach",FMS_Ranking4[[#This Row],[Rank (with ArcSinh normalization of select criteria)]],"")</f>
        <v/>
      </c>
      <c r="CB389" s="200" t="str">
        <f>IF(FMS_Ranking4[[#This Row],[FMS Type]]="Property Acquisition and Structural Elevation",FMS_Ranking4[[#This Row],[Rank (with ArcSinh normalization of select criteria)]],"")</f>
        <v/>
      </c>
      <c r="CC389" s="200" t="str">
        <f>IF(FMS_Ranking4[[#This Row],[FMS Type]]="Infrastructure Projects",FMS_Ranking4[[#This Row],[Rank (with ArcSinh normalization of select criteria)]],"")</f>
        <v/>
      </c>
      <c r="CD389" s="200">
        <f>IF(FMS_Ranking4[[#This Row],[FMS Type]]="Other",FMS_Ranking4[[#This Row],[Rank (with ArcSinh normalization of select criteria)]],"")</f>
        <v>382</v>
      </c>
      <c r="CE389" s="201"/>
      <c r="CF389" s="206"/>
      <c r="CG389" s="206"/>
      <c r="CH389" s="206"/>
      <c r="CI389" s="206"/>
      <c r="CJ389" s="206"/>
      <c r="CK389" s="206"/>
      <c r="CL389" s="206"/>
      <c r="CM389" s="206"/>
      <c r="CN389" s="206"/>
      <c r="CO389" s="206"/>
      <c r="CP389" s="206"/>
      <c r="CQ389" s="206"/>
      <c r="CR389" s="206"/>
    </row>
    <row r="390" spans="2:96" ht="30" x14ac:dyDescent="0.25">
      <c r="B390" s="341" t="s">
        <v>479</v>
      </c>
      <c r="C390" s="246">
        <f>_xlfn.XLOOKUP(FMS_Ranking4[[#This Row],[FMS ID]],FMS_Input[FMS_ID],FMS_Input[RFPG_NUM])</f>
        <v>9</v>
      </c>
      <c r="D390" s="309" t="str">
        <f>_xlfn.XLOOKUP(FMS_Ranking4[[#This Row],[FMS ID]],FMS_Input[FMS_ID],FMS_Input[FMS_NAME])</f>
        <v>Borden County NFIP Application</v>
      </c>
      <c r="E390" s="308" t="str">
        <f>_xlfn.XLOOKUP(FMS_Ranking4[[#This Row],[FMS ID]],FMS_Input[FMS_ID],FMS_Input[SPONSOR])</f>
        <v>00000115</v>
      </c>
      <c r="F390" s="309" t="str">
        <f>_xlfn.XLOOKUP(FMS_Ranking4[[#This Row],[FMS ID]],Sponsor[FMS_ID],Sponsor[SPONSOR NAME])</f>
        <v>Borden</v>
      </c>
      <c r="G390" s="309" t="str">
        <f>_xlfn.XLOOKUP(FMS_Ranking4[[#This Row],[FMS ID]],FMS_Input[FMS_ID],FMS_Input[FMS_DESCR])</f>
        <v>Application to join NFIP.</v>
      </c>
      <c r="H390" s="248" t="str">
        <f>_xlfn.XLOOKUP(FMS_Ranking4[[#This Row],[FMS ID]],FMS_Input[FMS_ID],FMS_Input[FMS_TYPE])</f>
        <v>Other</v>
      </c>
      <c r="I390" s="249">
        <f>_xlfn.XLOOKUP(FMS_Ranking4[[#This Row],[FMS ID]],FMS_Input[FMS_ID],FMS_Input[NRNC_COST])</f>
        <v>5000</v>
      </c>
      <c r="J390" s="250">
        <f>_xlfn.XLOOKUP(FMS_Ranking4[[#This Row],[FMS ID]],FMS_Input[FMS_ID],FMS_Input[FMS_COST])</f>
        <v>30000</v>
      </c>
      <c r="K390" s="251" t="str">
        <f>_xlfn.XLOOKUP(FMS_Ranking4[[#This Row],[FMS ID]],FMS_Input[FMS_ID],FMS_Input[EMER_NEED])</f>
        <v>No</v>
      </c>
      <c r="L390" s="252">
        <f t="shared" si="5"/>
        <v>0</v>
      </c>
      <c r="M390" s="253">
        <f>_xlfn.XLOOKUP(FMS_Ranking4[[#This Row],[FMS ID]],FMS_Input[FMS_ID],FMS_Input[STRUCT_100])</f>
        <v>69</v>
      </c>
      <c r="N390" s="255">
        <f>(ASINH(FMS_Ranking4[[#This Row],[Structure at Risk Raw]]))*(10)/(ASINH(M$4))</f>
        <v>3.8735963102410209</v>
      </c>
      <c r="O390" s="256">
        <f>FMS_Ranking4[[#This Row],[Structures at risk, ArcSinh (0-10)]]*M$5*10</f>
        <v>3.8735963102410209</v>
      </c>
      <c r="P390" s="253">
        <f>_xlfn.XLOOKUP(FMS_Ranking4[[#This Row],[FMS ID]],FMS_Input[FMS_ID],FMS_Input[RES_STRUCT100])</f>
        <v>9</v>
      </c>
      <c r="Q390" s="257">
        <f>ASINH(FMS_Ranking4[[#This Row],[Res Structure Raw]])/Q$4*P$5*100</f>
        <v>0</v>
      </c>
      <c r="R390" s="253">
        <f>_xlfn.XLOOKUP(FMS_Ranking4[[#This Row],[FMS ID]],FMS_Input[FMS_ID],FMS_Input[POP100])</f>
        <v>20</v>
      </c>
      <c r="S390" s="259">
        <f>(ASINH(FMS_Ranking4[[#This Row],[Pop at Risk Raw]]))*(10)/(ASINH(R$4))</f>
        <v>2.5470793160455631</v>
      </c>
      <c r="T390" s="256">
        <f>FMS_Ranking4[[#This Row],[Population at risk, ArcSinh (0-10)]]*R$5*10</f>
        <v>2.5470793160455636</v>
      </c>
      <c r="U390" s="253">
        <f>_xlfn.XLOOKUP(FMS_Ranking4[[#This Row],[FMS ID]],FMS_Input[FMS_ID],FMS_Input[CRITFAC100])</f>
        <v>0</v>
      </c>
      <c r="V390" s="259">
        <f>(ASINH(FMS_Ranking4[[#This Row],[Critical Facilities Raw]]))*(10)/(ASINH(U$4))</f>
        <v>0</v>
      </c>
      <c r="W390" s="256">
        <f>FMS_Ranking4[[#This Row],[Critical facilities at risk, ArcSinh (0-10)]]*U$5*10</f>
        <v>0</v>
      </c>
      <c r="X390" s="253">
        <f>_xlfn.XLOOKUP(FMS_Ranking4[[#This Row],[FMS ID]],FMS_Input[FMS_ID],FMS_Input[LWC])</f>
        <v>2</v>
      </c>
      <c r="Y390" s="259">
        <f>(ASINH(FMS_Ranking4[[#This Row],[LWC Raw]]))*(10)/(ASINH(X$4))</f>
        <v>1.9557475158633808</v>
      </c>
      <c r="Z390" s="256">
        <f>FMS_Ranking4[[#This Row],[LWC, ArcSInh (0-10)]]*X$5*10</f>
        <v>1.9557475158633808</v>
      </c>
      <c r="AA390" s="253">
        <f>_xlfn.XLOOKUP(FMS_Ranking4[[#This Row],[FMS ID]],FMS_Input[FMS_ID],FMS_Input[ROADCLS])</f>
        <v>0</v>
      </c>
      <c r="AB390" s="255">
        <f>(ASINH(FMS_Ranking4[[#This Row],[Road Closures Raw]]))*(10)/(ASINH(AA$4))</f>
        <v>0</v>
      </c>
      <c r="AC390" s="256">
        <f>FMS_Ranking4[[#This Row],[Road closures, ArcSinh (0-10)]]*AA$5*10</f>
        <v>0</v>
      </c>
      <c r="AD390" s="253">
        <f>_xlfn.XLOOKUP(FMS_Ranking4[[#This Row],[FMS ID]],FMS_Input[FMS_ID],FMS_Input[ROAD_MILES100])</f>
        <v>26</v>
      </c>
      <c r="AE390" s="259">
        <f>(ASINH(FMS_Ranking4[[#This Row],[Road Miles Raw]]))*(10)/(ASINH(AD$4))</f>
        <v>4.2113326316360364</v>
      </c>
      <c r="AF390" s="256">
        <f>FMS_Ranking4[[#This Row],[Length of roads at risk, ArcSinh (0-10)]]*AD$5*10</f>
        <v>4.2113326316360364</v>
      </c>
      <c r="AG390" s="253">
        <f>_xlfn.XLOOKUP(FMS_Ranking4[[#This Row],[FMS ID]],FMS_Input[FMS_ID],FMS_Input[FARMACRE100])</f>
        <v>10470.009765625</v>
      </c>
      <c r="AH390" s="255">
        <f>(ASINH(FMS_Ranking4[[#This Row],[Ag Land Raw]]))*(10)/(ASINH(AG$4))</f>
        <v>6.4629571861454496</v>
      </c>
      <c r="AI390" s="260">
        <f>FMS_Ranking4[[#This Row],[Farm &amp; ranch land, ArcSinh (0-10)]]*AG$5*10</f>
        <v>3.2314785930727252</v>
      </c>
      <c r="AJ390" s="258">
        <f>_xlfn.XLOOKUP(FMS_Ranking4[[#This Row],[FMS ID]],FMS_Input[FMS_ID],FMS_Input[REDSTRUCT100])</f>
        <v>17</v>
      </c>
      <c r="AK390" s="253">
        <f>_xlfn.XLOOKUP(FMS_Ranking4[[#This Row],[FMS ID]],FMS_Input[FMS_ID],FMS_Input[REMSTRC100])</f>
        <v>17</v>
      </c>
      <c r="AL390" s="259">
        <f>(ASINH(FMS_Ranking4[[#This Row],[Structures Removed Raw]]))*(10)/(ASINH(AK$4))</f>
        <v>4.0159968188871185</v>
      </c>
      <c r="AM390" s="262">
        <f>FMS_Ranking4[[#This Row],[Structures removed, ArcSinh (0-10)]]*AK$5*10</f>
        <v>4.0159968188871185</v>
      </c>
      <c r="AN390" s="253">
        <f>_xlfn.XLOOKUP(FMS_Ranking4[[#This Row],[FMS ID]],FMS_Input[FMS_ID],FMS_Input[REMRESSTRC100])</f>
        <v>2</v>
      </c>
      <c r="AO390" s="261">
        <f>FMS_Ranking4[[#This Row],[ArcSinh Res struct removed 0-10]]*AN$5*10</f>
        <v>0.84673041454896381</v>
      </c>
      <c r="AP390" s="260">
        <f>ASINH(FMS_Ranking4[[#This Row],[Residential Structures Removed Raw]])/AP$4*AN$5*100</f>
        <v>0.84673041454896381</v>
      </c>
      <c r="AQ390" s="254">
        <f>(ASINH(FMS_Ranking4[[#This Row],[Residential Structures Removed Raw]]))*(10)/(ASINH(AN$4))</f>
        <v>1.6934608290979274</v>
      </c>
      <c r="AR390" s="253">
        <f>_xlfn.XLOOKUP(FMS_Ranking4[[#This Row],[FMS ID]],FMS_Input[FMS_ID],FMS_Input[REMPOP100])</f>
        <v>5</v>
      </c>
      <c r="AS390" s="259">
        <f>(ASINH(FMS_Ranking4[[#This Row],[Removed Pop Raw]]))*(10)/(ASINH(AR$4))</f>
        <v>2.2699367485074089</v>
      </c>
      <c r="AT390" s="262">
        <f>FMS_Ranking4[[#This Row],[Removed population, ArcSinh (0-10)]]*AR$5*10</f>
        <v>2.2699367485074089</v>
      </c>
      <c r="AU390" s="264">
        <f>_xlfn.XLOOKUP(FMS_Ranking4[[#This Row],[FMS ID]],FMS_Input[FMS_ID],FMS_Input[REMCRITFAC100])</f>
        <v>0</v>
      </c>
      <c r="AV390" s="264">
        <f>_xlfn.XLOOKUP(FMS_Ranking4[[#This Row],[FMS ID]],FMS_Input[FMS_ID],FMS_Input[REMLWC100])</f>
        <v>0</v>
      </c>
      <c r="AW390" s="264">
        <f>_xlfn.XLOOKUP(FMS_Ranking4[[#This Row],[FMS ID]],FMS_Input[FMS_ID],FMS_Input[REMROADCLS])</f>
        <v>0</v>
      </c>
      <c r="AX390" s="264">
        <f>_xlfn.XLOOKUP(FMS_Ranking4[[#This Row],[FMS ID]],FMS_Input[FMS_ID],FMS_Input[REMFRMACRE100])</f>
        <v>2617.50244140625</v>
      </c>
      <c r="AY390" s="258">
        <f>_xlfn.XLOOKUP(FMS_Ranking4[[#This Row],[FMS ID]],FMS_Input[FMS_ID],FMS_Input[COSTSTRUCT])</f>
        <v>25000</v>
      </c>
      <c r="AZ390" s="253">
        <f>_xlfn.XLOOKUP(FMS_Ranking4[[#This Row],[FMS ID]],FMS_Input[FMS_ID],FMS_Input[NATURE])</f>
        <v>0</v>
      </c>
      <c r="BA390" s="262">
        <f>(((FMS_Ranking4[[#This Row],[% NBS Raw]]/AZ$4)*100)*AZ$5)</f>
        <v>0</v>
      </c>
      <c r="BB390" s="251" t="str">
        <f>_xlfn.XLOOKUP(FMS_Ranking4[[#This Row],[FMS ID]],FMS_Input[FMS_ID],FMS_Input[WATER_SUP])</f>
        <v>No</v>
      </c>
      <c r="BC390" s="265">
        <f>IF(FMS_Ranking4[[#This Row],[Water Supply Raw]]="Yes",10,0)</f>
        <v>0</v>
      </c>
      <c r="BD390" s="266">
        <f>_xlfn.XLOOKUP(FMS_Ranking4[[#This Row],[FMS Type]],FMS_TYPE[FMS_Type],FMS_TYPE[Score])</f>
        <v>2</v>
      </c>
      <c r="BE390" s="267">
        <f>FMS_Ranking4[[#This Row],[FMS_Type Score]]*$BD$5*10</f>
        <v>0.5</v>
      </c>
      <c r="BF39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9.4565947214427779E-2</v>
      </c>
      <c r="BG390" s="271">
        <f>_xlfn.RANK.EQ(BF390,$BF$8:$BF$870,0)+COUNTIF($BF$8:BF390,BF390)-1</f>
        <v>499</v>
      </c>
      <c r="BH390" s="268">
        <f>(((FMS_Ranking4[[#This Row],[Structures Removed Raw]]/AK$4)*100)*AK$5)+(((FMS_Ranking4[[#This Row],[Removed Pop Raw]]/AR$4)*100)*AR$5)</f>
        <v>5.5896024832148797E-2</v>
      </c>
      <c r="BI39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0.65046197204657652</v>
      </c>
      <c r="BJ390" s="205">
        <f>_xlfn.RANK.EQ(FMS_Ranking4[[#This Row],[Total Score 
(with linear
normalization)]],FMS_Ranking4[Total Score 
(with linear
normalization)],0)</f>
        <v>813</v>
      </c>
      <c r="BK390" s="205" t="e">
        <f>_xlfn.XLOOKUP(FMS_Ranking4[[#This Row],[FMS ID]],#REF!,#REF!)</f>
        <v>#REF!</v>
      </c>
      <c r="BL39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22.951898348802217</v>
      </c>
      <c r="BM390" s="272">
        <f>FMS_Ranking4[[#This Row],[ArcSinh Score Based on Normalized Reported Factors]]+FMS_Ranking4[[#This Row],[% NBS Score (Normalized)]]+(FMS_Ranking4[[#This Row],[Water Supply Score (Normalized)]]*10*$BB$5)+FMS_Ranking4[[#This Row],[FMS_Type Score Weighted]]</f>
        <v>23.451898348802217</v>
      </c>
      <c r="BN390" s="205">
        <f>_xlfn.RANK.EQ(FMS_Ranking4[[#This Row],[Total Score (with ArcSinh normalization of select criteria)]],FMS_Ranking4[Total Score (with ArcSinh normalization of select criteria)],0)</f>
        <v>383</v>
      </c>
      <c r="BO390" s="270" t="str">
        <f>_xlfn.XLOOKUP(FMS_Ranking4[[#This Row],[FMS ID]],FMS_Input[FMS_ID],FMS_Input[FMS_RANK_YEAR])</f>
        <v>2023 Amended Plan</v>
      </c>
      <c r="BP390" s="204">
        <f>_xlfn.XLOOKUP(FMS_Ranking4[[#This Row],[FMS ID]],Prev_Rank[FMS ID],Prev_Rank[Prev Rank])</f>
        <v>360</v>
      </c>
      <c r="BQ390" s="205" t="e">
        <f>_xlfn.XLOOKUP(FMS_Ranking4[[#This Row],[FMS ID]],#REF!,#REF!)</f>
        <v>#REF!</v>
      </c>
      <c r="BR390" s="199" t="e">
        <f>SUM(#REF!,#REF!,#REF!,#REF!,#REF!,#REF!,#REF!,#REF!,#REF!,FMS_Ranking4[[#This Row],[ArcSinh Res struct removed 0-10]],#REF!)</f>
        <v>#REF!</v>
      </c>
      <c r="BS390" s="199" t="e">
        <f>FMS_Ranking4[[#This Row],[Log Score Based on Normalized Reported Factors]]+FMS_Ranking4[[#This Row],[% NBS Score (Normalized)]]+(FMS_Ranking4[[#This Row],[Water Supply Score (Normalized)]]*10*$BB$5)+(FMS_Ranking4[[#This Row],[FMS_Type Score Weighted]])</f>
        <v>#REF!</v>
      </c>
      <c r="BT390" s="200" t="e">
        <f>_xlfn.RANK.EQ(FMS_Ranking4[[#This Row],[Log Total Score]],FMS_Ranking4[Log Total Score],0)</f>
        <v>#REF!</v>
      </c>
      <c r="BU390" s="200" t="e">
        <f>_xlfn.XLOOKUP(FMS_Ranking4[[#This Row],[FMS ID]],#REF!,#REF!)</f>
        <v>#REF!</v>
      </c>
      <c r="BV390" s="200">
        <f>FMS_Ranking4[[#This Row],[Region Number]]</f>
        <v>9</v>
      </c>
      <c r="BW390" s="200">
        <f>FMS_Ranking4[[#This Row],[Rank (with ArcSinh normalization of select criteria)]]-FMS_Ranking4[[#This Row],[Rank
(with linear
normalization)]]</f>
        <v>-430</v>
      </c>
      <c r="BX390" s="200" t="e">
        <f>FMS_Ranking4[[#This Row],[Log Rank]]-FMS_Ranking4[[#This Row],[Rank
(with linear
normalization)]]</f>
        <v>#REF!</v>
      </c>
      <c r="BY390" s="200" t="str">
        <f>IF(FMS_Ranking4[[#This Row],[FMS Type]]="Flood Measurement and Warning",FMS_Ranking4[[#This Row],[Rank (with ArcSinh normalization of select criteria)]],"")</f>
        <v/>
      </c>
      <c r="BZ390" s="200" t="str">
        <f>IF(FMS_Ranking4[[#This Row],[FMS Type]]="Regulatory and Guidance",FMS_Ranking4[[#This Row],[Rank (with ArcSinh normalization of select criteria)]],"")</f>
        <v/>
      </c>
      <c r="CA390" s="200" t="str">
        <f>IF(FMS_Ranking4[[#This Row],[FMS Type]]="Education and Outreach",FMS_Ranking4[[#This Row],[Rank (with ArcSinh normalization of select criteria)]],"")</f>
        <v/>
      </c>
      <c r="CB390" s="200" t="str">
        <f>IF(FMS_Ranking4[[#This Row],[FMS Type]]="Property Acquisition and Structural Elevation",FMS_Ranking4[[#This Row],[Rank (with ArcSinh normalization of select criteria)]],"")</f>
        <v/>
      </c>
      <c r="CC390" s="200" t="str">
        <f>IF(FMS_Ranking4[[#This Row],[FMS Type]]="Infrastructure Projects",FMS_Ranking4[[#This Row],[Rank (with ArcSinh normalization of select criteria)]],"")</f>
        <v/>
      </c>
      <c r="CD390" s="200">
        <f>IF(FMS_Ranking4[[#This Row],[FMS Type]]="Other",FMS_Ranking4[[#This Row],[Rank (with ArcSinh normalization of select criteria)]],"")</f>
        <v>383</v>
      </c>
      <c r="CE390" s="201"/>
      <c r="CF390" s="206"/>
      <c r="CG390" s="206"/>
      <c r="CH390" s="206"/>
      <c r="CI390" s="206"/>
      <c r="CJ390" s="206"/>
      <c r="CK390" s="206"/>
      <c r="CL390" s="206"/>
      <c r="CM390" s="206"/>
      <c r="CN390" s="206"/>
      <c r="CO390" s="206"/>
      <c r="CP390" s="206"/>
      <c r="CQ390" s="206"/>
      <c r="CR390" s="206"/>
    </row>
    <row r="391" spans="2:96" ht="60" x14ac:dyDescent="0.25">
      <c r="B391" s="341" t="s">
        <v>4329</v>
      </c>
      <c r="C391" s="246">
        <f>_xlfn.XLOOKUP(FMS_Ranking4[[#This Row],[FMS ID]],FMS_Input[FMS_ID],FMS_Input[RFPG_NUM])</f>
        <v>15</v>
      </c>
      <c r="D391" s="309" t="str">
        <f>_xlfn.XLOOKUP(FMS_Ranking4[[#This Row],[FMS ID]],FMS_Input[FMS_ID],FMS_Input[FMS_NAME])</f>
        <v>City of Alton - Flood Warning System, planning, operation &amp; maintenance</v>
      </c>
      <c r="E391" s="308" t="str">
        <f>_xlfn.XLOOKUP(FMS_Ranking4[[#This Row],[FMS ID]],FMS_Input[FMS_ID],FMS_Input[SPONSOR])</f>
        <v>15000088</v>
      </c>
      <c r="F391" s="309" t="str">
        <f>_xlfn.XLOOKUP(FMS_Ranking4[[#This Row],[FMS ID]],Sponsor[FMS_ID],Sponsor[SPONSOR NAME])</f>
        <v>Alton</v>
      </c>
      <c r="G391" s="309" t="str">
        <f>_xlfn.XLOOKUP(FMS_Ranking4[[#This Row],[FMS ID]],FMS_Input[FMS_ID],FMS_Input[FMS_DESCR])</f>
        <v>Develop and Implement a Flood Warning System, planning, operation &amp; Maintenance plan</v>
      </c>
      <c r="H391" s="248" t="str">
        <f>_xlfn.XLOOKUP(FMS_Ranking4[[#This Row],[FMS ID]],FMS_Input[FMS_ID],FMS_Input[FMS_TYPE])</f>
        <v>Flood Measurement and Warning</v>
      </c>
      <c r="I391" s="249">
        <f>_xlfn.XLOOKUP(FMS_Ranking4[[#This Row],[FMS ID]],FMS_Input[FMS_ID],FMS_Input[NRNC_COST])</f>
        <v>600000</v>
      </c>
      <c r="J391" s="250">
        <f>_xlfn.XLOOKUP(FMS_Ranking4[[#This Row],[FMS ID]],FMS_Input[FMS_ID],FMS_Input[FMS_COST])</f>
        <v>5000000</v>
      </c>
      <c r="K391" s="251" t="str">
        <f>_xlfn.XLOOKUP(FMS_Ranking4[[#This Row],[FMS ID]],FMS_Input[FMS_ID],FMS_Input[EMER_NEED])</f>
        <v>Yes</v>
      </c>
      <c r="L391" s="252">
        <f t="shared" si="5"/>
        <v>1</v>
      </c>
      <c r="M391" s="253">
        <f>_xlfn.XLOOKUP(FMS_Ranking4[[#This Row],[FMS ID]],FMS_Input[FMS_ID],FMS_Input[STRUCT_100])</f>
        <v>3163</v>
      </c>
      <c r="N391" s="255">
        <f>(ASINH(FMS_Ranking4[[#This Row],[Structure at Risk Raw]]))*(10)/(ASINH(M$4))</f>
        <v>6.8807079944843608</v>
      </c>
      <c r="O391" s="256">
        <f>FMS_Ranking4[[#This Row],[Structures at risk, ArcSinh (0-10)]]*M$5*10</f>
        <v>6.8807079944843608</v>
      </c>
      <c r="P391" s="253">
        <f>_xlfn.XLOOKUP(FMS_Ranking4[[#This Row],[FMS ID]],FMS_Input[FMS_ID],FMS_Input[RES_STRUCT100])</f>
        <v>2709</v>
      </c>
      <c r="Q391" s="257">
        <f>ASINH(FMS_Ranking4[[#This Row],[Res Structure Raw]])/Q$4*P$5*100</f>
        <v>0</v>
      </c>
      <c r="R391" s="253">
        <f>_xlfn.XLOOKUP(FMS_Ranking4[[#This Row],[FMS ID]],FMS_Input[FMS_ID],FMS_Input[POP100])</f>
        <v>9859</v>
      </c>
      <c r="S391" s="259">
        <f>(ASINH(FMS_Ranking4[[#This Row],[Pop at Risk Raw]]))*(10)/(ASINH(R$4))</f>
        <v>6.8271506919420109</v>
      </c>
      <c r="T391" s="256">
        <f>FMS_Ranking4[[#This Row],[Population at risk, ArcSinh (0-10)]]*R$5*10</f>
        <v>6.8271506919420109</v>
      </c>
      <c r="U391" s="253">
        <f>_xlfn.XLOOKUP(FMS_Ranking4[[#This Row],[FMS ID]],FMS_Input[FMS_ID],FMS_Input[CRITFAC100])</f>
        <v>0</v>
      </c>
      <c r="V391" s="259">
        <f>(ASINH(FMS_Ranking4[[#This Row],[Critical Facilities Raw]]))*(10)/(ASINH(U$4))</f>
        <v>0</v>
      </c>
      <c r="W391" s="256">
        <f>FMS_Ranking4[[#This Row],[Critical facilities at risk, ArcSinh (0-10)]]*U$5*10</f>
        <v>0</v>
      </c>
      <c r="X391" s="253">
        <f>_xlfn.XLOOKUP(FMS_Ranking4[[#This Row],[FMS ID]],FMS_Input[FMS_ID],FMS_Input[LWC])</f>
        <v>0</v>
      </c>
      <c r="Y391" s="259">
        <f>(ASINH(FMS_Ranking4[[#This Row],[LWC Raw]]))*(10)/(ASINH(X$4))</f>
        <v>0</v>
      </c>
      <c r="Z391" s="256">
        <f>FMS_Ranking4[[#This Row],[LWC, ArcSInh (0-10)]]*X$5*10</f>
        <v>0</v>
      </c>
      <c r="AA391" s="253">
        <f>_xlfn.XLOOKUP(FMS_Ranking4[[#This Row],[FMS ID]],FMS_Input[FMS_ID],FMS_Input[ROADCLS])</f>
        <v>0</v>
      </c>
      <c r="AB391" s="255">
        <f>(ASINH(FMS_Ranking4[[#This Row],[Road Closures Raw]]))*(10)/(ASINH(AA$4))</f>
        <v>0</v>
      </c>
      <c r="AC391" s="256">
        <f>FMS_Ranking4[[#This Row],[Road closures, ArcSinh (0-10)]]*AA$5*10</f>
        <v>0</v>
      </c>
      <c r="AD391" s="253">
        <f>_xlfn.XLOOKUP(FMS_Ranking4[[#This Row],[FMS ID]],FMS_Input[FMS_ID],FMS_Input[ROAD_MILES100])</f>
        <v>43</v>
      </c>
      <c r="AE391" s="259">
        <f>(ASINH(FMS_Ranking4[[#This Row],[Road Miles Raw]]))*(10)/(ASINH(AD$4))</f>
        <v>4.7472527844273538</v>
      </c>
      <c r="AF391" s="256">
        <f>FMS_Ranking4[[#This Row],[Length of roads at risk, ArcSinh (0-10)]]*AD$5*10</f>
        <v>4.7472527844273538</v>
      </c>
      <c r="AG391" s="253">
        <f>_xlfn.XLOOKUP(FMS_Ranking4[[#This Row],[FMS ID]],FMS_Input[FMS_ID],FMS_Input[FARMACRE100])</f>
        <v>1060.60595703125</v>
      </c>
      <c r="AH391" s="255">
        <f>(ASINH(FMS_Ranking4[[#This Row],[Ag Land Raw]]))*(10)/(ASINH(AG$4))</f>
        <v>4.9756271671833279</v>
      </c>
      <c r="AI391" s="260">
        <f>FMS_Ranking4[[#This Row],[Farm &amp; ranch land, ArcSinh (0-10)]]*AG$5*10</f>
        <v>2.4878135835916639</v>
      </c>
      <c r="AJ391" s="258">
        <f>_xlfn.XLOOKUP(FMS_Ranking4[[#This Row],[FMS ID]],FMS_Input[FMS_ID],FMS_Input[REDSTRUCT100])</f>
        <v>0</v>
      </c>
      <c r="AK391" s="253">
        <f>_xlfn.XLOOKUP(FMS_Ranking4[[#This Row],[FMS ID]],FMS_Input[FMS_ID],FMS_Input[REMSTRC100])</f>
        <v>0</v>
      </c>
      <c r="AL391" s="259">
        <f>(ASINH(FMS_Ranking4[[#This Row],[Structures Removed Raw]]))*(10)/(ASINH(AK$4))</f>
        <v>0</v>
      </c>
      <c r="AM391" s="262">
        <f>FMS_Ranking4[[#This Row],[Structures removed, ArcSinh (0-10)]]*AK$5*10</f>
        <v>0</v>
      </c>
      <c r="AN391" s="253">
        <f>_xlfn.XLOOKUP(FMS_Ranking4[[#This Row],[FMS ID]],FMS_Input[FMS_ID],FMS_Input[REMRESSTRC100])</f>
        <v>0</v>
      </c>
      <c r="AO391" s="261">
        <f>FMS_Ranking4[[#This Row],[ArcSinh Res struct removed 0-10]]*AN$5*10</f>
        <v>0</v>
      </c>
      <c r="AP391" s="260">
        <f>ASINH(FMS_Ranking4[[#This Row],[Residential Structures Removed Raw]])/AP$4*AN$5*100</f>
        <v>0</v>
      </c>
      <c r="AQ391" s="254">
        <f>(ASINH(FMS_Ranking4[[#This Row],[Residential Structures Removed Raw]]))*(10)/(ASINH(AN$4))</f>
        <v>0</v>
      </c>
      <c r="AR391" s="253">
        <f>_xlfn.XLOOKUP(FMS_Ranking4[[#This Row],[FMS ID]],FMS_Input[FMS_ID],FMS_Input[REMPOP100])</f>
        <v>0</v>
      </c>
      <c r="AS391" s="259">
        <f>(ASINH(FMS_Ranking4[[#This Row],[Removed Pop Raw]]))*(10)/(ASINH(AR$4))</f>
        <v>0</v>
      </c>
      <c r="AT391" s="262">
        <f>FMS_Ranking4[[#This Row],[Removed population, ArcSinh (0-10)]]*AR$5*10</f>
        <v>0</v>
      </c>
      <c r="AU391" s="264">
        <f>_xlfn.XLOOKUP(FMS_Ranking4[[#This Row],[FMS ID]],FMS_Input[FMS_ID],FMS_Input[REMCRITFAC100])</f>
        <v>0</v>
      </c>
      <c r="AV391" s="264">
        <f>_xlfn.XLOOKUP(FMS_Ranking4[[#This Row],[FMS ID]],FMS_Input[FMS_ID],FMS_Input[REMLWC100])</f>
        <v>0</v>
      </c>
      <c r="AW391" s="264">
        <f>_xlfn.XLOOKUP(FMS_Ranking4[[#This Row],[FMS ID]],FMS_Input[FMS_ID],FMS_Input[REMROADCLS])</f>
        <v>0</v>
      </c>
      <c r="AX391" s="264">
        <f>_xlfn.XLOOKUP(FMS_Ranking4[[#This Row],[FMS ID]],FMS_Input[FMS_ID],FMS_Input[REMFRMACRE100])</f>
        <v>0</v>
      </c>
      <c r="AY391" s="258">
        <f>_xlfn.XLOOKUP(FMS_Ranking4[[#This Row],[FMS ID]],FMS_Input[FMS_ID],FMS_Input[COSTSTRUCT])</f>
        <v>0</v>
      </c>
      <c r="AZ391" s="253">
        <f>_xlfn.XLOOKUP(FMS_Ranking4[[#This Row],[FMS ID]],FMS_Input[FMS_ID],FMS_Input[NATURE])</f>
        <v>0</v>
      </c>
      <c r="BA391" s="262">
        <f>(((FMS_Ranking4[[#This Row],[% NBS Raw]]/AZ$4)*100)*AZ$5)</f>
        <v>0</v>
      </c>
      <c r="BB391" s="251" t="str">
        <f>_xlfn.XLOOKUP(FMS_Ranking4[[#This Row],[FMS ID]],FMS_Input[FMS_ID],FMS_Input[WATER_SUP])</f>
        <v>No</v>
      </c>
      <c r="BC391" s="265">
        <f>IF(FMS_Ranking4[[#This Row],[Water Supply Raw]]="Yes",10,0)</f>
        <v>0</v>
      </c>
      <c r="BD391" s="266">
        <f>_xlfn.XLOOKUP(FMS_Ranking4[[#This Row],[FMS Type]],FMS_TYPE[FMS_Type],FMS_TYPE[Score])</f>
        <v>10</v>
      </c>
      <c r="BE391" s="267">
        <f>FMS_Ranking4[[#This Row],[FMS_Type Score]]*$BD$5*10</f>
        <v>2.5</v>
      </c>
      <c r="BF39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0.36460273410987959</v>
      </c>
      <c r="BG391" s="269">
        <f>_xlfn.RANK.EQ(BF391,$BF$8:$BF$870,0)+COUNTIF($BF$8:BF391,BF391)-1</f>
        <v>271</v>
      </c>
      <c r="BH391" s="268">
        <f>(((FMS_Ranking4[[#This Row],[Structures Removed Raw]]/AK$4)*100)*AK$5)+(((FMS_Ranking4[[#This Row],[Removed Pop Raw]]/AR$4)*100)*AR$5)</f>
        <v>0</v>
      </c>
      <c r="BI39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2.8646027341098796</v>
      </c>
      <c r="BJ391" s="204">
        <f>_xlfn.RANK.EQ(FMS_Ranking4[[#This Row],[Total Score 
(with linear
normalization)]],FMS_Ranking4[Total Score 
(with linear
normalization)],0)</f>
        <v>188</v>
      </c>
      <c r="BK391" s="204" t="e">
        <f>_xlfn.XLOOKUP(FMS_Ranking4[[#This Row],[FMS ID]],#REF!,#REF!)</f>
        <v>#REF!</v>
      </c>
      <c r="BL391"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20.942925054445389</v>
      </c>
      <c r="BM391" s="270">
        <f>FMS_Ranking4[[#This Row],[ArcSinh Score Based on Normalized Reported Factors]]+FMS_Ranking4[[#This Row],[% NBS Score (Normalized)]]+(FMS_Ranking4[[#This Row],[Water Supply Score (Normalized)]]*10*$BB$5)+FMS_Ranking4[[#This Row],[FMS_Type Score Weighted]]</f>
        <v>23.442925054445389</v>
      </c>
      <c r="BN391" s="204">
        <f>_xlfn.RANK.EQ(FMS_Ranking4[[#This Row],[Total Score (with ArcSinh normalization of select criteria)]],FMS_Ranking4[Total Score (with ArcSinh normalization of select criteria)],0)</f>
        <v>384</v>
      </c>
      <c r="BO391" s="270" t="str">
        <f>_xlfn.XLOOKUP(FMS_Ranking4[[#This Row],[FMS ID]],FMS_Input[FMS_ID],FMS_Input[FMS_RANK_YEAR])</f>
        <v>2023 Amended Plan</v>
      </c>
      <c r="BP391" s="204">
        <f>_xlfn.XLOOKUP(FMS_Ranking4[[#This Row],[FMS ID]],Prev_Rank[FMS ID],Prev_Rank[Prev Rank])</f>
        <v>341</v>
      </c>
      <c r="BQ391" s="204" t="e">
        <f>_xlfn.XLOOKUP(FMS_Ranking4[[#This Row],[FMS ID]],#REF!,#REF!)</f>
        <v>#REF!</v>
      </c>
      <c r="BR391" s="199" t="e">
        <f>SUM(#REF!,#REF!,#REF!,#REF!,#REF!,#REF!,#REF!,#REF!,#REF!,FMS_Ranking4[[#This Row],[ArcSinh Res struct removed 0-10]],#REF!)</f>
        <v>#REF!</v>
      </c>
      <c r="BS391" s="199" t="e">
        <f>FMS_Ranking4[[#This Row],[Log Score Based on Normalized Reported Factors]]+FMS_Ranking4[[#This Row],[% NBS Score (Normalized)]]+(FMS_Ranking4[[#This Row],[Water Supply Score (Normalized)]]*10*$BB$5)+(FMS_Ranking4[[#This Row],[FMS_Type Score Weighted]])</f>
        <v>#REF!</v>
      </c>
      <c r="BT391" s="200" t="e">
        <f>_xlfn.RANK.EQ(FMS_Ranking4[[#This Row],[Log Total Score]],FMS_Ranking4[Log Total Score],0)</f>
        <v>#REF!</v>
      </c>
      <c r="BU391" s="200" t="e">
        <f>_xlfn.XLOOKUP(FMS_Ranking4[[#This Row],[FMS ID]],#REF!,#REF!)</f>
        <v>#REF!</v>
      </c>
      <c r="BV391" s="200">
        <f>FMS_Ranking4[[#This Row],[Region Number]]</f>
        <v>15</v>
      </c>
      <c r="BW391" s="200">
        <f>FMS_Ranking4[[#This Row],[Rank (with ArcSinh normalization of select criteria)]]-FMS_Ranking4[[#This Row],[Rank
(with linear
normalization)]]</f>
        <v>196</v>
      </c>
      <c r="BX391" s="200" t="e">
        <f>FMS_Ranking4[[#This Row],[Log Rank]]-FMS_Ranking4[[#This Row],[Rank
(with linear
normalization)]]</f>
        <v>#REF!</v>
      </c>
      <c r="BY391" s="200">
        <f>IF(FMS_Ranking4[[#This Row],[FMS Type]]="Flood Measurement and Warning",FMS_Ranking4[[#This Row],[Rank (with ArcSinh normalization of select criteria)]],"")</f>
        <v>384</v>
      </c>
      <c r="BZ391" s="200" t="str">
        <f>IF(FMS_Ranking4[[#This Row],[FMS Type]]="Regulatory and Guidance",FMS_Ranking4[[#This Row],[Rank (with ArcSinh normalization of select criteria)]],"")</f>
        <v/>
      </c>
      <c r="CA391" s="200" t="str">
        <f>IF(FMS_Ranking4[[#This Row],[FMS Type]]="Education and Outreach",FMS_Ranking4[[#This Row],[Rank (with ArcSinh normalization of select criteria)]],"")</f>
        <v/>
      </c>
      <c r="CB391" s="200" t="str">
        <f>IF(FMS_Ranking4[[#This Row],[FMS Type]]="Property Acquisition and Structural Elevation",FMS_Ranking4[[#This Row],[Rank (with ArcSinh normalization of select criteria)]],"")</f>
        <v/>
      </c>
      <c r="CC391" s="200" t="str">
        <f>IF(FMS_Ranking4[[#This Row],[FMS Type]]="Infrastructure Projects",FMS_Ranking4[[#This Row],[Rank (with ArcSinh normalization of select criteria)]],"")</f>
        <v/>
      </c>
      <c r="CD391" s="200" t="str">
        <f>IF(FMS_Ranking4[[#This Row],[FMS Type]]="Other",FMS_Ranking4[[#This Row],[Rank (with ArcSinh normalization of select criteria)]],"")</f>
        <v/>
      </c>
      <c r="CE391" s="201"/>
      <c r="CF391" s="206"/>
      <c r="CG391" s="206"/>
      <c r="CH391" s="206"/>
      <c r="CI391" s="206"/>
      <c r="CJ391" s="206"/>
      <c r="CK391" s="206"/>
      <c r="CL391" s="206"/>
      <c r="CM391" s="206"/>
      <c r="CN391" s="206"/>
      <c r="CO391" s="206"/>
      <c r="CP391" s="206"/>
      <c r="CQ391" s="206"/>
      <c r="CR391" s="206"/>
    </row>
    <row r="392" spans="2:96" ht="60" x14ac:dyDescent="0.25">
      <c r="B392" s="341" t="s">
        <v>2892</v>
      </c>
      <c r="C392" s="246">
        <f>_xlfn.XLOOKUP(FMS_Ranking4[[#This Row],[FMS ID]],FMS_Input[FMS_ID],FMS_Input[RFPG_NUM])</f>
        <v>5</v>
      </c>
      <c r="D392" s="309" t="str">
        <f>_xlfn.XLOOKUP(FMS_Ranking4[[#This Row],[FMS ID]],FMS_Input[FMS_ID],FMS_Input[FMS_NAME])</f>
        <v>City of Lumberton Voluntary Flood Buyout</v>
      </c>
      <c r="E392" s="308" t="str">
        <f>_xlfn.XLOOKUP(FMS_Ranking4[[#This Row],[FMS ID]],FMS_Input[FMS_ID],FMS_Input[SPONSOR])</f>
        <v>05002488</v>
      </c>
      <c r="F392" s="309" t="str">
        <f>_xlfn.XLOOKUP(FMS_Ranking4[[#This Row],[FMS ID]],Sponsor[FMS_ID],Sponsor[SPONSOR NAME])</f>
        <v>Lumberton</v>
      </c>
      <c r="G392" s="309" t="str">
        <f>_xlfn.XLOOKUP(FMS_Ranking4[[#This Row],[FMS ID]],FMS_Input[FMS_ID],FMS_Input[FMS_DESCR])</f>
        <v>Voluntary flood buyouts.</v>
      </c>
      <c r="H392" s="248" t="str">
        <f>_xlfn.XLOOKUP(FMS_Ranking4[[#This Row],[FMS ID]],FMS_Input[FMS_ID],FMS_Input[FMS_TYPE])</f>
        <v>Property Acquisition and Structural Elevation</v>
      </c>
      <c r="I392" s="249">
        <f>_xlfn.XLOOKUP(FMS_Ranking4[[#This Row],[FMS ID]],FMS_Input[FMS_ID],FMS_Input[NRNC_COST])</f>
        <v>90000</v>
      </c>
      <c r="J392" s="250">
        <f>_xlfn.XLOOKUP(FMS_Ranking4[[#This Row],[FMS ID]],FMS_Input[FMS_ID],FMS_Input[FMS_COST])</f>
        <v>6000000</v>
      </c>
      <c r="K392" s="251" t="str">
        <f>_xlfn.XLOOKUP(FMS_Ranking4[[#This Row],[FMS ID]],FMS_Input[FMS_ID],FMS_Input[EMER_NEED])</f>
        <v>Yes</v>
      </c>
      <c r="L392" s="252">
        <f t="shared" ref="L392:L455" si="6">IF(K392="Yes",1,0)</f>
        <v>1</v>
      </c>
      <c r="M392" s="253">
        <f>_xlfn.XLOOKUP(FMS_Ranking4[[#This Row],[FMS ID]],FMS_Input[FMS_ID],FMS_Input[STRUCT_100])</f>
        <v>235</v>
      </c>
      <c r="N392" s="255">
        <f>(ASINH(FMS_Ranking4[[#This Row],[Structure at Risk Raw]]))*(10)/(ASINH(M$4))</f>
        <v>4.8369675590782411</v>
      </c>
      <c r="O392" s="256">
        <f>FMS_Ranking4[[#This Row],[Structures at risk, ArcSinh (0-10)]]*M$5*10</f>
        <v>4.8369675590782411</v>
      </c>
      <c r="P392" s="253">
        <f>_xlfn.XLOOKUP(FMS_Ranking4[[#This Row],[FMS ID]],FMS_Input[FMS_ID],FMS_Input[RES_STRUCT100])</f>
        <v>210</v>
      </c>
      <c r="Q392" s="257">
        <f>ASINH(FMS_Ranking4[[#This Row],[Res Structure Raw]])/Q$4*P$5*100</f>
        <v>0</v>
      </c>
      <c r="R392" s="253">
        <f>_xlfn.XLOOKUP(FMS_Ranking4[[#This Row],[FMS ID]],FMS_Input[FMS_ID],FMS_Input[POP100])</f>
        <v>658</v>
      </c>
      <c r="S392" s="255">
        <f>(ASINH(FMS_Ranking4[[#This Row],[Pop at Risk Raw]]))*(10)/(ASINH(R$4))</f>
        <v>4.9583962031387143</v>
      </c>
      <c r="T392" s="256">
        <f>FMS_Ranking4[[#This Row],[Population at risk, ArcSinh (0-10)]]*R$5*10</f>
        <v>4.9583962031387143</v>
      </c>
      <c r="U392" s="253">
        <f>_xlfn.XLOOKUP(FMS_Ranking4[[#This Row],[FMS ID]],FMS_Input[FMS_ID],FMS_Input[CRITFAC100])</f>
        <v>0</v>
      </c>
      <c r="V392" s="255">
        <f>(ASINH(FMS_Ranking4[[#This Row],[Critical Facilities Raw]]))*(10)/(ASINH(U$4))</f>
        <v>0</v>
      </c>
      <c r="W392" s="256">
        <f>FMS_Ranking4[[#This Row],[Critical facilities at risk, ArcSinh (0-10)]]*U$5*10</f>
        <v>0</v>
      </c>
      <c r="X392" s="253">
        <f>_xlfn.XLOOKUP(FMS_Ranking4[[#This Row],[FMS ID]],FMS_Input[FMS_ID],FMS_Input[LWC])</f>
        <v>1</v>
      </c>
      <c r="Y392" s="255">
        <f>(ASINH(FMS_Ranking4[[#This Row],[LWC Raw]]))*(10)/(ASINH(X$4))</f>
        <v>1.1940300948531093</v>
      </c>
      <c r="Z392" s="256">
        <f>FMS_Ranking4[[#This Row],[LWC, ArcSInh (0-10)]]*X$5*10</f>
        <v>1.1940300948531093</v>
      </c>
      <c r="AA392" s="253">
        <f>_xlfn.XLOOKUP(FMS_Ranking4[[#This Row],[FMS ID]],FMS_Input[FMS_ID],FMS_Input[ROADCLS])</f>
        <v>1</v>
      </c>
      <c r="AB392" s="255">
        <f>(ASINH(FMS_Ranking4[[#This Row],[Road Closures Raw]]))*(10)/(ASINH(AA$4))</f>
        <v>0.91786969566638699</v>
      </c>
      <c r="AC392" s="256">
        <f>FMS_Ranking4[[#This Row],[Road closures, ArcSinh (0-10)]]*AA$5*10</f>
        <v>0.45893484783319349</v>
      </c>
      <c r="AD392" s="253">
        <f>_xlfn.XLOOKUP(FMS_Ranking4[[#This Row],[FMS ID]],FMS_Input[FMS_ID],FMS_Input[ROAD_MILES100])</f>
        <v>4</v>
      </c>
      <c r="AE392" s="255">
        <f>(ASINH(FMS_Ranking4[[#This Row],[Road Miles Raw]]))*(10)/(ASINH(AD$4))</f>
        <v>2.2323872691766113</v>
      </c>
      <c r="AF392" s="256">
        <f>FMS_Ranking4[[#This Row],[Length of roads at risk, ArcSinh (0-10)]]*AD$5*10</f>
        <v>2.2323872691766113</v>
      </c>
      <c r="AG392" s="253">
        <f>_xlfn.XLOOKUP(FMS_Ranking4[[#This Row],[FMS ID]],FMS_Input[FMS_ID],FMS_Input[FARMACRE100])</f>
        <v>22.86903190612793</v>
      </c>
      <c r="AH392" s="255">
        <f>(ASINH(FMS_Ranking4[[#This Row],[Ag Land Raw]]))*(10)/(ASINH(AG$4))</f>
        <v>2.4836153328096158</v>
      </c>
      <c r="AI392" s="260">
        <f>FMS_Ranking4[[#This Row],[Farm &amp; ranch land, ArcSinh (0-10)]]*AG$5*10</f>
        <v>1.2418076664048079</v>
      </c>
      <c r="AJ392" s="258">
        <f>_xlfn.XLOOKUP(FMS_Ranking4[[#This Row],[FMS ID]],FMS_Input[FMS_ID],FMS_Input[REDSTRUCT100])</f>
        <v>0</v>
      </c>
      <c r="AK392" s="253">
        <f>_xlfn.XLOOKUP(FMS_Ranking4[[#This Row],[FMS ID]],FMS_Input[FMS_ID],FMS_Input[REMSTRC100])</f>
        <v>0</v>
      </c>
      <c r="AL392" s="255">
        <f>(ASINH(FMS_Ranking4[[#This Row],[Structures Removed Raw]]))*(10)/(ASINH(AK$4))</f>
        <v>0</v>
      </c>
      <c r="AM392" s="262">
        <f>FMS_Ranking4[[#This Row],[Structures removed, ArcSinh (0-10)]]*AK$5*10</f>
        <v>0</v>
      </c>
      <c r="AN392" s="253">
        <f>_xlfn.XLOOKUP(FMS_Ranking4[[#This Row],[FMS ID]],FMS_Input[FMS_ID],FMS_Input[REMRESSTRC100])</f>
        <v>0</v>
      </c>
      <c r="AO392" s="261">
        <f>FMS_Ranking4[[#This Row],[ArcSinh Res struct removed 0-10]]*AN$5*10</f>
        <v>0</v>
      </c>
      <c r="AP392" s="260">
        <f>ASINH(FMS_Ranking4[[#This Row],[Residential Structures Removed Raw]])/AP$4*AN$5*100</f>
        <v>0</v>
      </c>
      <c r="AQ392" s="258">
        <f>(ASINH(FMS_Ranking4[[#This Row],[Residential Structures Removed Raw]]))*(10)/(ASINH(AN$4))</f>
        <v>0</v>
      </c>
      <c r="AR392" s="253">
        <f>_xlfn.XLOOKUP(FMS_Ranking4[[#This Row],[FMS ID]],FMS_Input[FMS_ID],FMS_Input[REMPOP100])</f>
        <v>0</v>
      </c>
      <c r="AS392" s="255">
        <f>(ASINH(FMS_Ranking4[[#This Row],[Removed Pop Raw]]))*(10)/(ASINH(AR$4))</f>
        <v>0</v>
      </c>
      <c r="AT392" s="262">
        <f>FMS_Ranking4[[#This Row],[Removed population, ArcSinh (0-10)]]*AR$5*10</f>
        <v>0</v>
      </c>
      <c r="AU392" s="264">
        <f>_xlfn.XLOOKUP(FMS_Ranking4[[#This Row],[FMS ID]],FMS_Input[FMS_ID],FMS_Input[REMCRITFAC100])</f>
        <v>0</v>
      </c>
      <c r="AV392" s="264">
        <f>_xlfn.XLOOKUP(FMS_Ranking4[[#This Row],[FMS ID]],FMS_Input[FMS_ID],FMS_Input[REMLWC100])</f>
        <v>0</v>
      </c>
      <c r="AW392" s="264">
        <f>_xlfn.XLOOKUP(FMS_Ranking4[[#This Row],[FMS ID]],FMS_Input[FMS_ID],FMS_Input[REMROADCLS])</f>
        <v>0</v>
      </c>
      <c r="AX392" s="264">
        <f>_xlfn.XLOOKUP(FMS_Ranking4[[#This Row],[FMS ID]],FMS_Input[FMS_ID],FMS_Input[REMFRMACRE100])</f>
        <v>0</v>
      </c>
      <c r="AY392" s="258">
        <f>_xlfn.XLOOKUP(FMS_Ranking4[[#This Row],[FMS ID]],FMS_Input[FMS_ID],FMS_Input[COSTSTRUCT])</f>
        <v>0</v>
      </c>
      <c r="AZ392" s="253">
        <f>_xlfn.XLOOKUP(FMS_Ranking4[[#This Row],[FMS ID]],FMS_Input[FMS_ID],FMS_Input[NATURE])</f>
        <v>100</v>
      </c>
      <c r="BA392" s="262">
        <f>(((FMS_Ranking4[[#This Row],[% NBS Raw]]/AZ$4)*100)*AZ$5)</f>
        <v>7.5</v>
      </c>
      <c r="BB392" s="251" t="str">
        <f>_xlfn.XLOOKUP(FMS_Ranking4[[#This Row],[FMS ID]],FMS_Input[FMS_ID],FMS_Input[WATER_SUP])</f>
        <v>No</v>
      </c>
      <c r="BC392" s="265">
        <f>IF(FMS_Ranking4[[#This Row],[Water Supply Raw]]="Yes",10,0)</f>
        <v>0</v>
      </c>
      <c r="BD392" s="266">
        <f>_xlfn.XLOOKUP(FMS_Ranking4[[#This Row],[FMS Type]],FMS_TYPE[FMS_Type],FMS_TYPE[Score])</f>
        <v>4</v>
      </c>
      <c r="BE392" s="267">
        <f>FMS_Ranking4[[#This Row],[FMS_Type Score]]*$BD$5*10</f>
        <v>1</v>
      </c>
      <c r="BF39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4.0694559203050991E-2</v>
      </c>
      <c r="BG392" s="321">
        <f>_xlfn.RANK.EQ(BF392,$BF$8:$BF$870,0)+COUNTIF($BF$8:BF392,BF392)-1</f>
        <v>578</v>
      </c>
      <c r="BH392" s="294">
        <f>(((FMS_Ranking4[[#This Row],[Structures Removed Raw]]/AK$4)*100)*AK$5)+(((FMS_Ranking4[[#This Row],[Removed Pop Raw]]/AR$4)*100)*AR$5)</f>
        <v>0</v>
      </c>
      <c r="BI39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8.5406945592030503</v>
      </c>
      <c r="BJ392" s="251">
        <f>_xlfn.RANK.EQ(FMS_Ranking4[[#This Row],[Total Score 
(with linear
normalization)]],FMS_Ranking4[Total Score 
(with linear
normalization)],0)</f>
        <v>77</v>
      </c>
      <c r="BK392" s="251" t="e">
        <f>_xlfn.XLOOKUP(FMS_Ranking4[[#This Row],[FMS ID]],#REF!,#REF!)</f>
        <v>#REF!</v>
      </c>
      <c r="BL39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14.922523640484677</v>
      </c>
      <c r="BM392" s="324">
        <f>FMS_Ranking4[[#This Row],[ArcSinh Score Based on Normalized Reported Factors]]+FMS_Ranking4[[#This Row],[% NBS Score (Normalized)]]+(FMS_Ranking4[[#This Row],[Water Supply Score (Normalized)]]*10*$BB$5)+FMS_Ranking4[[#This Row],[FMS_Type Score Weighted]]</f>
        <v>23.422523640484677</v>
      </c>
      <c r="BN392" s="251">
        <f>_xlfn.RANK.EQ(FMS_Ranking4[[#This Row],[Total Score (with ArcSinh normalization of select criteria)]],FMS_Ranking4[Total Score (with ArcSinh normalization of select criteria)],0)</f>
        <v>385</v>
      </c>
      <c r="BO392" s="270" t="str">
        <f>_xlfn.XLOOKUP(FMS_Ranking4[[#This Row],[FMS ID]],FMS_Input[FMS_ID],FMS_Input[FMS_RANK_YEAR])</f>
        <v>2023 Amended Plan</v>
      </c>
      <c r="BP392" s="204">
        <f>_xlfn.XLOOKUP(FMS_Ranking4[[#This Row],[FMS ID]],Prev_Rank[FMS ID],Prev_Rank[Prev Rank])</f>
        <v>344</v>
      </c>
      <c r="BQ392" s="251" t="e">
        <f>_xlfn.XLOOKUP(FMS_Ranking4[[#This Row],[FMS ID]],#REF!,#REF!)</f>
        <v>#REF!</v>
      </c>
      <c r="BR392" s="199" t="e">
        <f>SUM(#REF!,#REF!,#REF!,#REF!,#REF!,#REF!,#REF!,#REF!,#REF!,FMS_Ranking4[[#This Row],[ArcSinh Res struct removed 0-10]],#REF!)</f>
        <v>#REF!</v>
      </c>
      <c r="BS392" s="199" t="e">
        <f>FMS_Ranking4[[#This Row],[Log Score Based on Normalized Reported Factors]]+FMS_Ranking4[[#This Row],[% NBS Score (Normalized)]]+(FMS_Ranking4[[#This Row],[Water Supply Score (Normalized)]]*10*$BB$5)+(FMS_Ranking4[[#This Row],[FMS_Type Score Weighted]])</f>
        <v>#REF!</v>
      </c>
      <c r="BT392" s="200" t="e">
        <f>_xlfn.RANK.EQ(FMS_Ranking4[[#This Row],[Log Total Score]],FMS_Ranking4[Log Total Score],0)</f>
        <v>#REF!</v>
      </c>
      <c r="BU392" s="200" t="e">
        <f>_xlfn.XLOOKUP(FMS_Ranking4[[#This Row],[FMS ID]],#REF!,#REF!)</f>
        <v>#REF!</v>
      </c>
      <c r="BV392" s="200">
        <f>FMS_Ranking4[[#This Row],[Region Number]]</f>
        <v>5</v>
      </c>
      <c r="BW392" s="200">
        <f>FMS_Ranking4[[#This Row],[Rank (with ArcSinh normalization of select criteria)]]-FMS_Ranking4[[#This Row],[Rank
(with linear
normalization)]]</f>
        <v>308</v>
      </c>
      <c r="BX392" s="200" t="e">
        <f>FMS_Ranking4[[#This Row],[Log Rank]]-FMS_Ranking4[[#This Row],[Rank
(with linear
normalization)]]</f>
        <v>#REF!</v>
      </c>
      <c r="BY392" s="200" t="str">
        <f>IF(FMS_Ranking4[[#This Row],[FMS Type]]="Flood Measurement and Warning",FMS_Ranking4[[#This Row],[Rank (with ArcSinh normalization of select criteria)]],"")</f>
        <v/>
      </c>
      <c r="BZ392" s="200" t="str">
        <f>IF(FMS_Ranking4[[#This Row],[FMS Type]]="Regulatory and Guidance",FMS_Ranking4[[#This Row],[Rank (with ArcSinh normalization of select criteria)]],"")</f>
        <v/>
      </c>
      <c r="CA392" s="200" t="str">
        <f>IF(FMS_Ranking4[[#This Row],[FMS Type]]="Education and Outreach",FMS_Ranking4[[#This Row],[Rank (with ArcSinh normalization of select criteria)]],"")</f>
        <v/>
      </c>
      <c r="CB392" s="200">
        <f>IF(FMS_Ranking4[[#This Row],[FMS Type]]="Property Acquisition and Structural Elevation",FMS_Ranking4[[#This Row],[Rank (with ArcSinh normalization of select criteria)]],"")</f>
        <v>385</v>
      </c>
      <c r="CC392" s="200" t="str">
        <f>IF(FMS_Ranking4[[#This Row],[FMS Type]]="Infrastructure Projects",FMS_Ranking4[[#This Row],[Rank (with ArcSinh normalization of select criteria)]],"")</f>
        <v/>
      </c>
      <c r="CD392" s="200" t="str">
        <f>IF(FMS_Ranking4[[#This Row],[FMS Type]]="Other",FMS_Ranking4[[#This Row],[Rank (with ArcSinh normalization of select criteria)]],"")</f>
        <v/>
      </c>
      <c r="CE392" s="201"/>
      <c r="CF392" s="206"/>
      <c r="CG392" s="206"/>
      <c r="CH392" s="206"/>
      <c r="CI392" s="206"/>
      <c r="CJ392" s="206"/>
      <c r="CK392" s="206"/>
      <c r="CL392" s="206"/>
      <c r="CM392" s="206"/>
      <c r="CN392" s="206"/>
      <c r="CO392" s="206"/>
      <c r="CP392" s="206"/>
      <c r="CQ392" s="206"/>
      <c r="CR392" s="206"/>
    </row>
    <row r="393" spans="2:96" ht="120" x14ac:dyDescent="0.25">
      <c r="B393" s="341" t="s">
        <v>4762</v>
      </c>
      <c r="C393" s="246">
        <f>_xlfn.XLOOKUP(FMS_Ranking4[[#This Row],[FMS ID]],FMS_Input[FMS_ID],FMS_Input[RFPG_NUM])</f>
        <v>4</v>
      </c>
      <c r="D393" s="309" t="str">
        <f>_xlfn.XLOOKUP(FMS_Ranking4[[#This Row],[FMS ID]],FMS_Input[FMS_ID],FMS_Input[FMS_NAME])</f>
        <v>Rockwall Countywide Flood Awareness Program</v>
      </c>
      <c r="E393" s="308" t="str">
        <f>_xlfn.XLOOKUP(FMS_Ranking4[[#This Row],[FMS ID]],FMS_Input[FMS_ID],FMS_Input[SPONSOR])</f>
        <v>00000175</v>
      </c>
      <c r="F393" s="309" t="str">
        <f>_xlfn.XLOOKUP(FMS_Ranking4[[#This Row],[FMS ID]],Sponsor[FMS_ID],Sponsor[SPONSOR NAME])</f>
        <v>Rockwall</v>
      </c>
      <c r="G393" s="309" t="str">
        <f>_xlfn.XLOOKUP(FMS_Ranking4[[#This Row],[FMS ID]],FMS_Input[FMS_ID],FMS_Input[FMS_DESCR])</f>
        <v>Develop a public education and awareness website to educate and inform Rockwall County residents/businesses about the natural hazards and the potential ways to mitigate them and the ecological and societal benefits of flooding.</v>
      </c>
      <c r="H393" s="248" t="str">
        <f>_xlfn.XLOOKUP(FMS_Ranking4[[#This Row],[FMS ID]],FMS_Input[FMS_ID],FMS_Input[FMS_TYPE])</f>
        <v>Education and Outreach</v>
      </c>
      <c r="I393" s="249">
        <f>_xlfn.XLOOKUP(FMS_Ranking4[[#This Row],[FMS ID]],FMS_Input[FMS_ID],FMS_Input[NRNC_COST])</f>
        <v>2775</v>
      </c>
      <c r="J393" s="250">
        <f>_xlfn.XLOOKUP(FMS_Ranking4[[#This Row],[FMS ID]],FMS_Input[FMS_ID],FMS_Input[FMS_COST])</f>
        <v>2775</v>
      </c>
      <c r="K393" s="251" t="str">
        <f>_xlfn.XLOOKUP(FMS_Ranking4[[#This Row],[FMS ID]],FMS_Input[FMS_ID],FMS_Input[EMER_NEED])</f>
        <v>No</v>
      </c>
      <c r="L393" s="252">
        <f t="shared" si="6"/>
        <v>0</v>
      </c>
      <c r="M393" s="253">
        <f>_xlfn.XLOOKUP(FMS_Ranking4[[#This Row],[FMS ID]],FMS_Input[FMS_ID],FMS_Input[STRUCT_100])</f>
        <v>191</v>
      </c>
      <c r="N393" s="255">
        <f>(ASINH(FMS_Ranking4[[#This Row],[Structure at Risk Raw]]))*(10)/(ASINH(M$4))</f>
        <v>4.6739912204823941</v>
      </c>
      <c r="O393" s="256">
        <f>FMS_Ranking4[[#This Row],[Structures at risk, ArcSinh (0-10)]]*M$5*10</f>
        <v>4.6739912204823941</v>
      </c>
      <c r="P393" s="253">
        <f>_xlfn.XLOOKUP(FMS_Ranking4[[#This Row],[FMS ID]],FMS_Input[FMS_ID],FMS_Input[RES_STRUCT100])</f>
        <v>149</v>
      </c>
      <c r="Q393" s="257">
        <f>ASINH(FMS_Ranking4[[#This Row],[Res Structure Raw]])/Q$4*P$5*100</f>
        <v>0</v>
      </c>
      <c r="R393" s="253">
        <f>_xlfn.XLOOKUP(FMS_Ranking4[[#This Row],[FMS ID]],FMS_Input[FMS_ID],FMS_Input[POP100])</f>
        <v>673</v>
      </c>
      <c r="S393" s="259">
        <f>(ASINH(FMS_Ranking4[[#This Row],[Pop at Risk Raw]]))*(10)/(ASINH(R$4))</f>
        <v>4.9739571347827729</v>
      </c>
      <c r="T393" s="256">
        <f>FMS_Ranking4[[#This Row],[Population at risk, ArcSinh (0-10)]]*R$5*10</f>
        <v>4.9739571347827729</v>
      </c>
      <c r="U393" s="253">
        <f>_xlfn.XLOOKUP(FMS_Ranking4[[#This Row],[FMS ID]],FMS_Input[FMS_ID],FMS_Input[CRITFAC100])</f>
        <v>0</v>
      </c>
      <c r="V393" s="259">
        <f>(ASINH(FMS_Ranking4[[#This Row],[Critical Facilities Raw]]))*(10)/(ASINH(U$4))</f>
        <v>0</v>
      </c>
      <c r="W393" s="256">
        <f>FMS_Ranking4[[#This Row],[Critical facilities at risk, ArcSinh (0-10)]]*U$5*10</f>
        <v>0</v>
      </c>
      <c r="X393" s="253">
        <f>_xlfn.XLOOKUP(FMS_Ranking4[[#This Row],[FMS ID]],FMS_Input[FMS_ID],FMS_Input[LWC])</f>
        <v>11</v>
      </c>
      <c r="Y393" s="259">
        <f>(ASINH(FMS_Ranking4[[#This Row],[LWC Raw]]))*(10)/(ASINH(X$4))</f>
        <v>4.1903423948022258</v>
      </c>
      <c r="Z393" s="256">
        <f>FMS_Ranking4[[#This Row],[LWC, ArcSInh (0-10)]]*X$5*10</f>
        <v>4.1903423948022258</v>
      </c>
      <c r="AA393" s="253">
        <f>_xlfn.XLOOKUP(FMS_Ranking4[[#This Row],[FMS ID]],FMS_Input[FMS_ID],FMS_Input[ROADCLS])</f>
        <v>11</v>
      </c>
      <c r="AB393" s="255">
        <f>(ASINH(FMS_Ranking4[[#This Row],[Road Closures Raw]]))*(10)/(ASINH(AA$4))</f>
        <v>3.2211820415868493</v>
      </c>
      <c r="AC393" s="256">
        <f>FMS_Ranking4[[#This Row],[Road closures, ArcSinh (0-10)]]*AA$5*10</f>
        <v>1.6105910207934249</v>
      </c>
      <c r="AD393" s="253">
        <f>_xlfn.XLOOKUP(FMS_Ranking4[[#This Row],[FMS ID]],FMS_Input[FMS_ID],FMS_Input[ROAD_MILES100])</f>
        <v>15</v>
      </c>
      <c r="AE393" s="259">
        <f>(ASINH(FMS_Ranking4[[#This Row],[Road Miles Raw]]))*(10)/(ASINH(AD$4))</f>
        <v>3.625922827042257</v>
      </c>
      <c r="AF393" s="256">
        <f>FMS_Ranking4[[#This Row],[Length of roads at risk, ArcSinh (0-10)]]*AD$5*10</f>
        <v>3.625922827042257</v>
      </c>
      <c r="AG393" s="253">
        <f>_xlfn.XLOOKUP(FMS_Ranking4[[#This Row],[FMS ID]],FMS_Input[FMS_ID],FMS_Input[FARMACRE100])</f>
        <v>3040.42626953125</v>
      </c>
      <c r="AH393" s="255">
        <f>(ASINH(FMS_Ranking4[[#This Row],[Ag Land Raw]]))*(10)/(ASINH(AG$4))</f>
        <v>5.6597385219792686</v>
      </c>
      <c r="AI393" s="260">
        <f>FMS_Ranking4[[#This Row],[Farm &amp; ranch land, ArcSinh (0-10)]]*AG$5*10</f>
        <v>2.8298692609896343</v>
      </c>
      <c r="AJ393" s="258">
        <f>_xlfn.XLOOKUP(FMS_Ranking4[[#This Row],[FMS ID]],FMS_Input[FMS_ID],FMS_Input[REDSTRUCT100])</f>
        <v>0</v>
      </c>
      <c r="AK393" s="253">
        <f>_xlfn.XLOOKUP(FMS_Ranking4[[#This Row],[FMS ID]],FMS_Input[FMS_ID],FMS_Input[REMSTRC100])</f>
        <v>0</v>
      </c>
      <c r="AL393" s="259">
        <f>(ASINH(FMS_Ranking4[[#This Row],[Structures Removed Raw]]))*(10)/(ASINH(AK$4))</f>
        <v>0</v>
      </c>
      <c r="AM393" s="262">
        <f>FMS_Ranking4[[#This Row],[Structures removed, ArcSinh (0-10)]]*AK$5*10</f>
        <v>0</v>
      </c>
      <c r="AN393" s="253">
        <f>_xlfn.XLOOKUP(FMS_Ranking4[[#This Row],[FMS ID]],FMS_Input[FMS_ID],FMS_Input[REMRESSTRC100])</f>
        <v>0</v>
      </c>
      <c r="AO393" s="261">
        <f>FMS_Ranking4[[#This Row],[ArcSinh Res struct removed 0-10]]*AN$5*10</f>
        <v>0</v>
      </c>
      <c r="AP393" s="260">
        <f>ASINH(FMS_Ranking4[[#This Row],[Residential Structures Removed Raw]])/AP$4*AN$5*100</f>
        <v>0</v>
      </c>
      <c r="AQ393" s="254">
        <f>(ASINH(FMS_Ranking4[[#This Row],[Residential Structures Removed Raw]]))*(10)/(ASINH(AN$4))</f>
        <v>0</v>
      </c>
      <c r="AR393" s="253">
        <f>_xlfn.XLOOKUP(FMS_Ranking4[[#This Row],[FMS ID]],FMS_Input[FMS_ID],FMS_Input[REMPOP100])</f>
        <v>0</v>
      </c>
      <c r="AS393" s="259">
        <f>(ASINH(FMS_Ranking4[[#This Row],[Removed Pop Raw]]))*(10)/(ASINH(AR$4))</f>
        <v>0</v>
      </c>
      <c r="AT393" s="262">
        <f>FMS_Ranking4[[#This Row],[Removed population, ArcSinh (0-10)]]*AR$5*10</f>
        <v>0</v>
      </c>
      <c r="AU393" s="264">
        <f>_xlfn.XLOOKUP(FMS_Ranking4[[#This Row],[FMS ID]],FMS_Input[FMS_ID],FMS_Input[REMCRITFAC100])</f>
        <v>0</v>
      </c>
      <c r="AV393" s="264">
        <f>_xlfn.XLOOKUP(FMS_Ranking4[[#This Row],[FMS ID]],FMS_Input[FMS_ID],FMS_Input[REMLWC100])</f>
        <v>0</v>
      </c>
      <c r="AW393" s="264">
        <f>_xlfn.XLOOKUP(FMS_Ranking4[[#This Row],[FMS ID]],FMS_Input[FMS_ID],FMS_Input[REMROADCLS])</f>
        <v>0</v>
      </c>
      <c r="AX393" s="264">
        <f>_xlfn.XLOOKUP(FMS_Ranking4[[#This Row],[FMS ID]],FMS_Input[FMS_ID],FMS_Input[REMFRMACRE100])</f>
        <v>0</v>
      </c>
      <c r="AY393" s="258">
        <f>_xlfn.XLOOKUP(FMS_Ranking4[[#This Row],[FMS ID]],FMS_Input[FMS_ID],FMS_Input[COSTSTRUCT])</f>
        <v>0</v>
      </c>
      <c r="AZ393" s="253">
        <f>_xlfn.XLOOKUP(FMS_Ranking4[[#This Row],[FMS ID]],FMS_Input[FMS_ID],FMS_Input[NATURE])</f>
        <v>0</v>
      </c>
      <c r="BA393" s="262">
        <f>(((FMS_Ranking4[[#This Row],[% NBS Raw]]/AZ$4)*100)*AZ$5)</f>
        <v>0</v>
      </c>
      <c r="BB393" s="251" t="str">
        <f>_xlfn.XLOOKUP(FMS_Ranking4[[#This Row],[FMS ID]],FMS_Input[FMS_ID],FMS_Input[WATER_SUP])</f>
        <v>No</v>
      </c>
      <c r="BC393" s="265">
        <f>IF(FMS_Ranking4[[#This Row],[Water Supply Raw]]="Yes",10,0)</f>
        <v>0</v>
      </c>
      <c r="BD393" s="266">
        <f>_xlfn.XLOOKUP(FMS_Ranking4[[#This Row],[FMS Type]],FMS_TYPE[FMS_Type],FMS_TYPE[Score])</f>
        <v>6</v>
      </c>
      <c r="BE393" s="267">
        <f>FMS_Ranking4[[#This Row],[FMS_Type Score]]*$BD$5*10</f>
        <v>1.5000000000000002</v>
      </c>
      <c r="BF39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0.19423425519628673</v>
      </c>
      <c r="BG393" s="271">
        <f>_xlfn.RANK.EQ(BF393,$BF$8:$BF$870,0)+COUNTIF($BF$8:BF393,BF393)-1</f>
        <v>373</v>
      </c>
      <c r="BH393" s="268">
        <f>(((FMS_Ranking4[[#This Row],[Structures Removed Raw]]/AK$4)*100)*AK$5)+(((FMS_Ranking4[[#This Row],[Removed Pop Raw]]/AR$4)*100)*AR$5)</f>
        <v>0</v>
      </c>
      <c r="BI39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1.694234255196287</v>
      </c>
      <c r="BJ393" s="205">
        <f>_xlfn.RANK.EQ(FMS_Ranking4[[#This Row],[Total Score 
(with linear
normalization)]],FMS_Ranking4[Total Score 
(with linear
normalization)],0)</f>
        <v>553</v>
      </c>
      <c r="BK393" s="205" t="e">
        <f>_xlfn.XLOOKUP(FMS_Ranking4[[#This Row],[FMS ID]],#REF!,#REF!)</f>
        <v>#REF!</v>
      </c>
      <c r="BL39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21.904673858892711</v>
      </c>
      <c r="BM393" s="272">
        <f>FMS_Ranking4[[#This Row],[ArcSinh Score Based on Normalized Reported Factors]]+FMS_Ranking4[[#This Row],[% NBS Score (Normalized)]]+(FMS_Ranking4[[#This Row],[Water Supply Score (Normalized)]]*10*$BB$5)+FMS_Ranking4[[#This Row],[FMS_Type Score Weighted]]</f>
        <v>23.404673858892711</v>
      </c>
      <c r="BN393" s="205">
        <f>_xlfn.RANK.EQ(FMS_Ranking4[[#This Row],[Total Score (with ArcSinh normalization of select criteria)]],FMS_Ranking4[Total Score (with ArcSinh normalization of select criteria)],0)</f>
        <v>386</v>
      </c>
      <c r="BO393" s="270" t="str">
        <f>_xlfn.XLOOKUP(FMS_Ranking4[[#This Row],[FMS ID]],FMS_Input[FMS_ID],FMS_Input[FMS_RANK_YEAR])</f>
        <v>2023 Amended Plan</v>
      </c>
      <c r="BP393" s="204">
        <f>_xlfn.XLOOKUP(FMS_Ranking4[[#This Row],[FMS ID]],Prev_Rank[FMS ID],Prev_Rank[Prev Rank])</f>
        <v>346</v>
      </c>
      <c r="BQ393" s="205" t="e">
        <f>_xlfn.XLOOKUP(FMS_Ranking4[[#This Row],[FMS ID]],#REF!,#REF!)</f>
        <v>#REF!</v>
      </c>
      <c r="BR393" s="199" t="e">
        <f>SUM(#REF!,#REF!,#REF!,#REF!,#REF!,#REF!,#REF!,#REF!,#REF!,FMS_Ranking4[[#This Row],[ArcSinh Res struct removed 0-10]],#REF!)</f>
        <v>#REF!</v>
      </c>
      <c r="BS393" s="199" t="e">
        <f>FMS_Ranking4[[#This Row],[Log Score Based on Normalized Reported Factors]]+FMS_Ranking4[[#This Row],[% NBS Score (Normalized)]]+(FMS_Ranking4[[#This Row],[Water Supply Score (Normalized)]]*10*$BB$5)+(FMS_Ranking4[[#This Row],[FMS_Type Score Weighted]])</f>
        <v>#REF!</v>
      </c>
      <c r="BT393" s="200" t="e">
        <f>_xlfn.RANK.EQ(FMS_Ranking4[[#This Row],[Log Total Score]],FMS_Ranking4[Log Total Score],0)</f>
        <v>#REF!</v>
      </c>
      <c r="BU393" s="200" t="e">
        <f>_xlfn.XLOOKUP(FMS_Ranking4[[#This Row],[FMS ID]],#REF!,#REF!)</f>
        <v>#REF!</v>
      </c>
      <c r="BV393" s="200">
        <f>FMS_Ranking4[[#This Row],[Region Number]]</f>
        <v>4</v>
      </c>
      <c r="BW393" s="200">
        <f>FMS_Ranking4[[#This Row],[Rank (with ArcSinh normalization of select criteria)]]-FMS_Ranking4[[#This Row],[Rank
(with linear
normalization)]]</f>
        <v>-167</v>
      </c>
      <c r="BX393" s="200" t="e">
        <f>FMS_Ranking4[[#This Row],[Log Rank]]-FMS_Ranking4[[#This Row],[Rank
(with linear
normalization)]]</f>
        <v>#REF!</v>
      </c>
      <c r="BY393" s="200" t="str">
        <f>IF(FMS_Ranking4[[#This Row],[FMS Type]]="Flood Measurement and Warning",FMS_Ranking4[[#This Row],[Rank (with ArcSinh normalization of select criteria)]],"")</f>
        <v/>
      </c>
      <c r="BZ393" s="200" t="str">
        <f>IF(FMS_Ranking4[[#This Row],[FMS Type]]="Regulatory and Guidance",FMS_Ranking4[[#This Row],[Rank (with ArcSinh normalization of select criteria)]],"")</f>
        <v/>
      </c>
      <c r="CA393" s="200">
        <f>IF(FMS_Ranking4[[#This Row],[FMS Type]]="Education and Outreach",FMS_Ranking4[[#This Row],[Rank (with ArcSinh normalization of select criteria)]],"")</f>
        <v>386</v>
      </c>
      <c r="CB393" s="200" t="str">
        <f>IF(FMS_Ranking4[[#This Row],[FMS Type]]="Property Acquisition and Structural Elevation",FMS_Ranking4[[#This Row],[Rank (with ArcSinh normalization of select criteria)]],"")</f>
        <v/>
      </c>
      <c r="CC393" s="200" t="str">
        <f>IF(FMS_Ranking4[[#This Row],[FMS Type]]="Infrastructure Projects",FMS_Ranking4[[#This Row],[Rank (with ArcSinh normalization of select criteria)]],"")</f>
        <v/>
      </c>
      <c r="CD393" s="200" t="str">
        <f>IF(FMS_Ranking4[[#This Row],[FMS Type]]="Other",FMS_Ranking4[[#This Row],[Rank (with ArcSinh normalization of select criteria)]],"")</f>
        <v/>
      </c>
      <c r="CE393" s="201"/>
      <c r="CF393" s="206"/>
      <c r="CG393" s="206"/>
      <c r="CH393" s="206"/>
      <c r="CI393" s="206"/>
      <c r="CJ393" s="206"/>
      <c r="CK393" s="206"/>
      <c r="CL393" s="206"/>
      <c r="CM393" s="206"/>
      <c r="CN393" s="206"/>
      <c r="CO393" s="206"/>
      <c r="CP393" s="206"/>
      <c r="CQ393" s="206"/>
      <c r="CR393" s="206"/>
    </row>
    <row r="394" spans="2:96" ht="45" x14ac:dyDescent="0.25">
      <c r="B394" s="341" t="s">
        <v>1601</v>
      </c>
      <c r="C394" s="246">
        <f>_xlfn.XLOOKUP(FMS_Ranking4[[#This Row],[FMS ID]],FMS_Input[FMS_ID],FMS_Input[RFPG_NUM])</f>
        <v>2</v>
      </c>
      <c r="D394" s="309" t="str">
        <f>_xlfn.XLOOKUP(FMS_Ranking4[[#This Row],[FMS ID]],FMS_Input[FMS_ID],FMS_Input[FMS_NAME])</f>
        <v>Delta County NFIP Involvement</v>
      </c>
      <c r="E394" s="308" t="str">
        <f>_xlfn.XLOOKUP(FMS_Ranking4[[#This Row],[FMS ID]],FMS_Input[FMS_ID],FMS_Input[SPONSOR])</f>
        <v>Delta County</v>
      </c>
      <c r="F394" s="309" t="str">
        <f>_xlfn.XLOOKUP(FMS_Ranking4[[#This Row],[FMS ID]],Sponsor[FMS_ID],Sponsor[SPONSOR NAME])</f>
        <v>Delta County</v>
      </c>
      <c r="G394" s="309" t="str">
        <f>_xlfn.XLOOKUP(FMS_Ranking4[[#This Row],[FMS ID]],FMS_Input[FMS_ID],FMS_Input[FMS_DESCR])</f>
        <v xml:space="preserve">Application to join NFIP or adoption of equivalent standards </v>
      </c>
      <c r="H394" s="248" t="str">
        <f>_xlfn.XLOOKUP(FMS_Ranking4[[#This Row],[FMS ID]],FMS_Input[FMS_ID],FMS_Input[FMS_TYPE])</f>
        <v>Regulatory and Guidance</v>
      </c>
      <c r="I394" s="249">
        <f>_xlfn.XLOOKUP(FMS_Ranking4[[#This Row],[FMS ID]],FMS_Input[FMS_ID],FMS_Input[NRNC_COST])</f>
        <v>100000</v>
      </c>
      <c r="J394" s="250">
        <f>_xlfn.XLOOKUP(FMS_Ranking4[[#This Row],[FMS ID]],FMS_Input[FMS_ID],FMS_Input[FMS_COST])</f>
        <v>100000</v>
      </c>
      <c r="K394" s="251" t="str">
        <f>_xlfn.XLOOKUP(FMS_Ranking4[[#This Row],[FMS ID]],FMS_Input[FMS_ID],FMS_Input[EMER_NEED])</f>
        <v>No</v>
      </c>
      <c r="L394" s="252">
        <f t="shared" si="6"/>
        <v>0</v>
      </c>
      <c r="M394" s="253">
        <f>_xlfn.XLOOKUP(FMS_Ranking4[[#This Row],[FMS ID]],FMS_Input[FMS_ID],FMS_Input[STRUCT_100])</f>
        <v>121</v>
      </c>
      <c r="N394" s="255">
        <f>(ASINH(FMS_Ranking4[[#This Row],[Structure at Risk Raw]]))*(10)/(ASINH(M$4))</f>
        <v>4.3151357436019193</v>
      </c>
      <c r="O394" s="256">
        <f>FMS_Ranking4[[#This Row],[Structures at risk, ArcSinh (0-10)]]*M$5*10</f>
        <v>4.3151357436019193</v>
      </c>
      <c r="P394" s="253">
        <f>_xlfn.XLOOKUP(FMS_Ranking4[[#This Row],[FMS ID]],FMS_Input[FMS_ID],FMS_Input[RES_STRUCT100])</f>
        <v>59</v>
      </c>
      <c r="Q394" s="257">
        <f>ASINH(FMS_Ranking4[[#This Row],[Res Structure Raw]])/Q$4*P$5*100</f>
        <v>0</v>
      </c>
      <c r="R394" s="253">
        <f>_xlfn.XLOOKUP(FMS_Ranking4[[#This Row],[FMS ID]],FMS_Input[FMS_ID],FMS_Input[POP100])</f>
        <v>85</v>
      </c>
      <c r="S394" s="255">
        <f>(ASINH(FMS_Ranking4[[#This Row],[Pop at Risk Raw]]))*(10)/(ASINH(R$4))</f>
        <v>3.5455645432438727</v>
      </c>
      <c r="T394" s="256">
        <f>FMS_Ranking4[[#This Row],[Population at risk, ArcSinh (0-10)]]*R$5*10</f>
        <v>3.5455645432438732</v>
      </c>
      <c r="U394" s="253">
        <f>_xlfn.XLOOKUP(FMS_Ranking4[[#This Row],[FMS ID]],FMS_Input[FMS_ID],FMS_Input[CRITFAC100])</f>
        <v>2</v>
      </c>
      <c r="V394" s="255">
        <f>(ASINH(FMS_Ranking4[[#This Row],[Critical Facilities Raw]]))*(10)/(ASINH(U$4))</f>
        <v>1.7089239049208753</v>
      </c>
      <c r="W394" s="256">
        <f>FMS_Ranking4[[#This Row],[Critical facilities at risk, ArcSinh (0-10)]]*U$5*10</f>
        <v>1.7089239049208755</v>
      </c>
      <c r="X394" s="253">
        <f>_xlfn.XLOOKUP(FMS_Ranking4[[#This Row],[FMS ID]],FMS_Input[FMS_ID],FMS_Input[LWC])</f>
        <v>8</v>
      </c>
      <c r="Y394" s="255">
        <f>(ASINH(FMS_Ranking4[[#This Row],[LWC Raw]]))*(10)/(ASINH(X$4))</f>
        <v>3.7613918882232862</v>
      </c>
      <c r="Z394" s="256">
        <f>FMS_Ranking4[[#This Row],[LWC, ArcSInh (0-10)]]*X$5*10</f>
        <v>3.7613918882232866</v>
      </c>
      <c r="AA394" s="253">
        <f>_xlfn.XLOOKUP(FMS_Ranking4[[#This Row],[FMS ID]],FMS_Input[FMS_ID],FMS_Input[ROADCLS])</f>
        <v>0</v>
      </c>
      <c r="AB394" s="255">
        <f>(ASINH(FMS_Ranking4[[#This Row],[Road Closures Raw]]))*(10)/(ASINH(AA$4))</f>
        <v>0</v>
      </c>
      <c r="AC394" s="256">
        <f>FMS_Ranking4[[#This Row],[Road closures, ArcSinh (0-10)]]*AA$5*10</f>
        <v>0</v>
      </c>
      <c r="AD394" s="253">
        <f>_xlfn.XLOOKUP(FMS_Ranking4[[#This Row],[FMS ID]],FMS_Input[FMS_ID],FMS_Input[ROAD_MILES100])</f>
        <v>42</v>
      </c>
      <c r="AE394" s="255">
        <f>(ASINH(FMS_Ranking4[[#This Row],[Road Miles Raw]]))*(10)/(ASINH(AD$4))</f>
        <v>4.7221826884572673</v>
      </c>
      <c r="AF394" s="256">
        <f>FMS_Ranking4[[#This Row],[Length of roads at risk, ArcSinh (0-10)]]*AD$5*10</f>
        <v>4.7221826884572673</v>
      </c>
      <c r="AG394" s="253">
        <f>_xlfn.XLOOKUP(FMS_Ranking4[[#This Row],[FMS ID]],FMS_Input[FMS_ID],FMS_Input[FARMACRE100])</f>
        <v>14658.0078125</v>
      </c>
      <c r="AH394" s="255">
        <f>(ASINH(FMS_Ranking4[[#This Row],[Ag Land Raw]]))*(10)/(ASINH(AG$4))</f>
        <v>6.6815230556052265</v>
      </c>
      <c r="AI394" s="260">
        <f>FMS_Ranking4[[#This Row],[Farm &amp; ranch land, ArcSinh (0-10)]]*AG$5*10</f>
        <v>3.3407615278026137</v>
      </c>
      <c r="AJ394" s="258">
        <f>_xlfn.XLOOKUP(FMS_Ranking4[[#This Row],[FMS ID]],FMS_Input[FMS_ID],FMS_Input[REDSTRUCT100])</f>
        <v>0</v>
      </c>
      <c r="AK394" s="253">
        <f>_xlfn.XLOOKUP(FMS_Ranking4[[#This Row],[FMS ID]],FMS_Input[FMS_ID],FMS_Input[REMSTRC100])</f>
        <v>0</v>
      </c>
      <c r="AL394" s="255">
        <f>(ASINH(FMS_Ranking4[[#This Row],[Structures Removed Raw]]))*(10)/(ASINH(AK$4))</f>
        <v>0</v>
      </c>
      <c r="AM394" s="262">
        <f>FMS_Ranking4[[#This Row],[Structures removed, ArcSinh (0-10)]]*AK$5*10</f>
        <v>0</v>
      </c>
      <c r="AN394" s="253">
        <f>_xlfn.XLOOKUP(FMS_Ranking4[[#This Row],[FMS ID]],FMS_Input[FMS_ID],FMS_Input[REMRESSTRC100])</f>
        <v>0</v>
      </c>
      <c r="AO394" s="261">
        <f>FMS_Ranking4[[#This Row],[ArcSinh Res struct removed 0-10]]*AN$5*10</f>
        <v>0</v>
      </c>
      <c r="AP394" s="260">
        <f>ASINH(FMS_Ranking4[[#This Row],[Residential Structures Removed Raw]])/AP$4*AN$5*100</f>
        <v>0</v>
      </c>
      <c r="AQ394" s="258">
        <f>(ASINH(FMS_Ranking4[[#This Row],[Residential Structures Removed Raw]]))*(10)/(ASINH(AN$4))</f>
        <v>0</v>
      </c>
      <c r="AR394" s="253">
        <f>_xlfn.XLOOKUP(FMS_Ranking4[[#This Row],[FMS ID]],FMS_Input[FMS_ID],FMS_Input[REMPOP100])</f>
        <v>0</v>
      </c>
      <c r="AS394" s="255">
        <f>(ASINH(FMS_Ranking4[[#This Row],[Removed Pop Raw]]))*(10)/(ASINH(AR$4))</f>
        <v>0</v>
      </c>
      <c r="AT394" s="262">
        <f>FMS_Ranking4[[#This Row],[Removed population, ArcSinh (0-10)]]*AR$5*10</f>
        <v>0</v>
      </c>
      <c r="AU394" s="264">
        <f>_xlfn.XLOOKUP(FMS_Ranking4[[#This Row],[FMS ID]],FMS_Input[FMS_ID],FMS_Input[REMCRITFAC100])</f>
        <v>0</v>
      </c>
      <c r="AV394" s="264">
        <f>_xlfn.XLOOKUP(FMS_Ranking4[[#This Row],[FMS ID]],FMS_Input[FMS_ID],FMS_Input[REMLWC100])</f>
        <v>0</v>
      </c>
      <c r="AW394" s="264">
        <f>_xlfn.XLOOKUP(FMS_Ranking4[[#This Row],[FMS ID]],FMS_Input[FMS_ID],FMS_Input[REMROADCLS])</f>
        <v>0</v>
      </c>
      <c r="AX394" s="264">
        <f>_xlfn.XLOOKUP(FMS_Ranking4[[#This Row],[FMS ID]],FMS_Input[FMS_ID],FMS_Input[REMFRMACRE100])</f>
        <v>0</v>
      </c>
      <c r="AY394" s="258">
        <f>_xlfn.XLOOKUP(FMS_Ranking4[[#This Row],[FMS ID]],FMS_Input[FMS_ID],FMS_Input[COSTSTRUCT])</f>
        <v>0</v>
      </c>
      <c r="AZ394" s="253">
        <f>_xlfn.XLOOKUP(FMS_Ranking4[[#This Row],[FMS ID]],FMS_Input[FMS_ID],FMS_Input[NATURE])</f>
        <v>0</v>
      </c>
      <c r="BA394" s="262">
        <f>(((FMS_Ranking4[[#This Row],[% NBS Raw]]/AZ$4)*100)*AZ$5)</f>
        <v>0</v>
      </c>
      <c r="BB394" s="251" t="str">
        <f>_xlfn.XLOOKUP(FMS_Ranking4[[#This Row],[FMS ID]],FMS_Input[FMS_ID],FMS_Input[WATER_SUP])</f>
        <v>No</v>
      </c>
      <c r="BC394" s="265">
        <f>IF(FMS_Ranking4[[#This Row],[Water Supply Raw]]="Yes",10,0)</f>
        <v>0</v>
      </c>
      <c r="BD394" s="266">
        <f>_xlfn.XLOOKUP(FMS_Ranking4[[#This Row],[FMS Type]],FMS_TYPE[FMS_Type],FMS_TYPE[Score])</f>
        <v>8</v>
      </c>
      <c r="BE394" s="267">
        <f>FMS_Ranking4[[#This Row],[FMS_Type Score]]*$BD$5*10</f>
        <v>2</v>
      </c>
      <c r="BF39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0.21718969924965098</v>
      </c>
      <c r="BG394" s="321">
        <f>_xlfn.RANK.EQ(BF394,$BF$8:$BF$870,0)+COUNTIF($BF$8:BF394,BF394)-1</f>
        <v>348</v>
      </c>
      <c r="BH394" s="294">
        <f>(((FMS_Ranking4[[#This Row],[Structures Removed Raw]]/AK$4)*100)*AK$5)+(((FMS_Ranking4[[#This Row],[Removed Pop Raw]]/AR$4)*100)*AR$5)</f>
        <v>0</v>
      </c>
      <c r="BI39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2.2171896992496509</v>
      </c>
      <c r="BJ394" s="251">
        <f>_xlfn.RANK.EQ(FMS_Ranking4[[#This Row],[Total Score 
(with linear
normalization)]],FMS_Ranking4[Total Score 
(with linear
normalization)],0)</f>
        <v>322</v>
      </c>
      <c r="BK394" s="251" t="e">
        <f>_xlfn.XLOOKUP(FMS_Ranking4[[#This Row],[FMS ID]],#REF!,#REF!)</f>
        <v>#REF!</v>
      </c>
      <c r="BL39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21.393960296249833</v>
      </c>
      <c r="BM394" s="324">
        <f>FMS_Ranking4[[#This Row],[ArcSinh Score Based on Normalized Reported Factors]]+FMS_Ranking4[[#This Row],[% NBS Score (Normalized)]]+(FMS_Ranking4[[#This Row],[Water Supply Score (Normalized)]]*10*$BB$5)+FMS_Ranking4[[#This Row],[FMS_Type Score Weighted]]</f>
        <v>23.393960296249833</v>
      </c>
      <c r="BN394" s="251">
        <f>_xlfn.RANK.EQ(FMS_Ranking4[[#This Row],[Total Score (with ArcSinh normalization of select criteria)]],FMS_Ranking4[Total Score (with ArcSinh normalization of select criteria)],0)</f>
        <v>387</v>
      </c>
      <c r="BO394" s="270" t="str">
        <f>_xlfn.XLOOKUP(FMS_Ranking4[[#This Row],[FMS ID]],FMS_Input[FMS_ID],FMS_Input[FMS_RANK_YEAR])</f>
        <v>2023 Amended Plan</v>
      </c>
      <c r="BP394" s="204">
        <f>_xlfn.XLOOKUP(FMS_Ranking4[[#This Row],[FMS ID]],Prev_Rank[FMS ID],Prev_Rank[Prev Rank])</f>
        <v>347</v>
      </c>
      <c r="BQ394" s="251" t="e">
        <f>_xlfn.XLOOKUP(FMS_Ranking4[[#This Row],[FMS ID]],#REF!,#REF!)</f>
        <v>#REF!</v>
      </c>
      <c r="BR394" s="199" t="e">
        <f>SUM(#REF!,#REF!,#REF!,#REF!,#REF!,#REF!,#REF!,#REF!,#REF!,FMS_Ranking4[[#This Row],[ArcSinh Res struct removed 0-10]],#REF!)</f>
        <v>#REF!</v>
      </c>
      <c r="BS394" s="199" t="e">
        <f>FMS_Ranking4[[#This Row],[Log Score Based on Normalized Reported Factors]]+FMS_Ranking4[[#This Row],[% NBS Score (Normalized)]]+(FMS_Ranking4[[#This Row],[Water Supply Score (Normalized)]]*10*$BB$5)+(FMS_Ranking4[[#This Row],[FMS_Type Score Weighted]])</f>
        <v>#REF!</v>
      </c>
      <c r="BT394" s="200" t="e">
        <f>_xlfn.RANK.EQ(FMS_Ranking4[[#This Row],[Log Total Score]],FMS_Ranking4[Log Total Score],0)</f>
        <v>#REF!</v>
      </c>
      <c r="BU394" s="200" t="e">
        <f>_xlfn.XLOOKUP(FMS_Ranking4[[#This Row],[FMS ID]],#REF!,#REF!)</f>
        <v>#REF!</v>
      </c>
      <c r="BV394" s="200">
        <f>FMS_Ranking4[[#This Row],[Region Number]]</f>
        <v>2</v>
      </c>
      <c r="BW394" s="200">
        <f>FMS_Ranking4[[#This Row],[Rank (with ArcSinh normalization of select criteria)]]-FMS_Ranking4[[#This Row],[Rank
(with linear
normalization)]]</f>
        <v>65</v>
      </c>
      <c r="BX394" s="200" t="e">
        <f>FMS_Ranking4[[#This Row],[Log Rank]]-FMS_Ranking4[[#This Row],[Rank
(with linear
normalization)]]</f>
        <v>#REF!</v>
      </c>
      <c r="BY394" s="200" t="str">
        <f>IF(FMS_Ranking4[[#This Row],[FMS Type]]="Flood Measurement and Warning",FMS_Ranking4[[#This Row],[Rank (with ArcSinh normalization of select criteria)]],"")</f>
        <v/>
      </c>
      <c r="BZ394" s="200">
        <f>IF(FMS_Ranking4[[#This Row],[FMS Type]]="Regulatory and Guidance",FMS_Ranking4[[#This Row],[Rank (with ArcSinh normalization of select criteria)]],"")</f>
        <v>387</v>
      </c>
      <c r="CA394" s="200" t="str">
        <f>IF(FMS_Ranking4[[#This Row],[FMS Type]]="Education and Outreach",FMS_Ranking4[[#This Row],[Rank (with ArcSinh normalization of select criteria)]],"")</f>
        <v/>
      </c>
      <c r="CB394" s="200" t="str">
        <f>IF(FMS_Ranking4[[#This Row],[FMS Type]]="Property Acquisition and Structural Elevation",FMS_Ranking4[[#This Row],[Rank (with ArcSinh normalization of select criteria)]],"")</f>
        <v/>
      </c>
      <c r="CC394" s="200" t="str">
        <f>IF(FMS_Ranking4[[#This Row],[FMS Type]]="Infrastructure Projects",FMS_Ranking4[[#This Row],[Rank (with ArcSinh normalization of select criteria)]],"")</f>
        <v/>
      </c>
      <c r="CD394" s="200" t="str">
        <f>IF(FMS_Ranking4[[#This Row],[FMS Type]]="Other",FMS_Ranking4[[#This Row],[Rank (with ArcSinh normalization of select criteria)]],"")</f>
        <v/>
      </c>
      <c r="CE394" s="201"/>
      <c r="CF394" s="206"/>
      <c r="CG394" s="206"/>
      <c r="CH394" s="206"/>
      <c r="CI394" s="206"/>
      <c r="CJ394" s="206"/>
      <c r="CK394" s="206"/>
      <c r="CL394" s="206"/>
      <c r="CM394" s="206"/>
      <c r="CN394" s="206"/>
      <c r="CO394" s="206"/>
      <c r="CP394" s="206"/>
      <c r="CQ394" s="206"/>
      <c r="CR394" s="206"/>
    </row>
    <row r="395" spans="2:96" ht="60" x14ac:dyDescent="0.25">
      <c r="B395" s="341" t="s">
        <v>2213</v>
      </c>
      <c r="C395" s="246">
        <f>_xlfn.XLOOKUP(FMS_Ranking4[[#This Row],[FMS ID]],FMS_Input[FMS_ID],FMS_Input[RFPG_NUM])</f>
        <v>3</v>
      </c>
      <c r="D395" s="309" t="str">
        <f>_xlfn.XLOOKUP(FMS_Ranking4[[#This Row],[FMS ID]],FMS_Input[FMS_ID],FMS_Input[FMS_NAME])</f>
        <v>Terrell Property Acquisition Program</v>
      </c>
      <c r="E395" s="308" t="str">
        <f>_xlfn.XLOOKUP(FMS_Ranking4[[#This Row],[FMS ID]],FMS_Input[FMS_ID],FMS_Input[SPONSOR])</f>
        <v>Terrell</v>
      </c>
      <c r="F395" s="309" t="str">
        <f>_xlfn.XLOOKUP(FMS_Ranking4[[#This Row],[FMS ID]],Sponsor[FMS_ID],Sponsor[SPONSOR NAME])</f>
        <v>Terrell</v>
      </c>
      <c r="G395" s="309" t="str">
        <f>_xlfn.XLOOKUP(FMS_Ranking4[[#This Row],[FMS ID]],FMS_Input[FMS_ID],FMS_Input[FMS_DESCR])</f>
        <v>Acquire high risk and repetitive flood-prone structures</v>
      </c>
      <c r="H395" s="248" t="str">
        <f>_xlfn.XLOOKUP(FMS_Ranking4[[#This Row],[FMS ID]],FMS_Input[FMS_ID],FMS_Input[FMS_TYPE])</f>
        <v>Property Acquisition and Structural Elevation</v>
      </c>
      <c r="I395" s="249">
        <f>_xlfn.XLOOKUP(FMS_Ranking4[[#This Row],[FMS ID]],FMS_Input[FMS_ID],FMS_Input[NRNC_COST])</f>
        <v>500000</v>
      </c>
      <c r="J395" s="250">
        <f>_xlfn.XLOOKUP(FMS_Ranking4[[#This Row],[FMS ID]],FMS_Input[FMS_ID],FMS_Input[FMS_COST])</f>
        <v>5000000</v>
      </c>
      <c r="K395" s="251" t="str">
        <f>_xlfn.XLOOKUP(FMS_Ranking4[[#This Row],[FMS ID]],FMS_Input[FMS_ID],FMS_Input[EMER_NEED])</f>
        <v>No</v>
      </c>
      <c r="L395" s="252">
        <f t="shared" si="6"/>
        <v>0</v>
      </c>
      <c r="M395" s="253">
        <f>_xlfn.XLOOKUP(FMS_Ranking4[[#This Row],[FMS ID]],FMS_Input[FMS_ID],FMS_Input[STRUCT_100])</f>
        <v>156</v>
      </c>
      <c r="N395" s="255">
        <f>(ASINH(FMS_Ranking4[[#This Row],[Structure at Risk Raw]]))*(10)/(ASINH(M$4))</f>
        <v>4.5148636776195277</v>
      </c>
      <c r="O395" s="256">
        <f>FMS_Ranking4[[#This Row],[Structures at risk, ArcSinh (0-10)]]*M$5*10</f>
        <v>4.5148636776195277</v>
      </c>
      <c r="P395" s="253">
        <f>_xlfn.XLOOKUP(FMS_Ranking4[[#This Row],[FMS ID]],FMS_Input[FMS_ID],FMS_Input[RES_STRUCT100])</f>
        <v>131</v>
      </c>
      <c r="Q395" s="257">
        <f>ASINH(FMS_Ranking4[[#This Row],[Res Structure Raw]])/Q$4*P$5*100</f>
        <v>0</v>
      </c>
      <c r="R395" s="253">
        <f>_xlfn.XLOOKUP(FMS_Ranking4[[#This Row],[FMS ID]],FMS_Input[FMS_ID],FMS_Input[POP100])</f>
        <v>509</v>
      </c>
      <c r="S395" s="255">
        <f>(ASINH(FMS_Ranking4[[#This Row],[Pop at Risk Raw]]))*(10)/(ASINH(R$4))</f>
        <v>4.7811422245499102</v>
      </c>
      <c r="T395" s="256">
        <f>FMS_Ranking4[[#This Row],[Population at risk, ArcSinh (0-10)]]*R$5*10</f>
        <v>4.7811422245499102</v>
      </c>
      <c r="U395" s="253">
        <f>_xlfn.XLOOKUP(FMS_Ranking4[[#This Row],[FMS ID]],FMS_Input[FMS_ID],FMS_Input[CRITFAC100])</f>
        <v>6</v>
      </c>
      <c r="V395" s="255">
        <f>(ASINH(FMS_Ranking4[[#This Row],[Critical Facilities Raw]]))*(10)/(ASINH(U$4))</f>
        <v>2.9496796311809068</v>
      </c>
      <c r="W395" s="256">
        <f>FMS_Ranking4[[#This Row],[Critical facilities at risk, ArcSinh (0-10)]]*U$5*10</f>
        <v>2.9496796311809073</v>
      </c>
      <c r="X395" s="253">
        <f>_xlfn.XLOOKUP(FMS_Ranking4[[#This Row],[FMS ID]],FMS_Input[FMS_ID],FMS_Input[LWC])</f>
        <v>6</v>
      </c>
      <c r="Y395" s="255">
        <f>(ASINH(FMS_Ranking4[[#This Row],[LWC Raw]]))*(10)/(ASINH(X$4))</f>
        <v>3.375708300798784</v>
      </c>
      <c r="Z395" s="256">
        <f>FMS_Ranking4[[#This Row],[LWC, ArcSInh (0-10)]]*X$5*10</f>
        <v>3.3757083007987845</v>
      </c>
      <c r="AA395" s="253">
        <f>_xlfn.XLOOKUP(FMS_Ranking4[[#This Row],[FMS ID]],FMS_Input[FMS_ID],FMS_Input[ROADCLS])</f>
        <v>0</v>
      </c>
      <c r="AB395" s="255">
        <f>(ASINH(FMS_Ranking4[[#This Row],[Road Closures Raw]]))*(10)/(ASINH(AA$4))</f>
        <v>0</v>
      </c>
      <c r="AC395" s="256">
        <f>FMS_Ranking4[[#This Row],[Road closures, ArcSinh (0-10)]]*AA$5*10</f>
        <v>0</v>
      </c>
      <c r="AD395" s="253">
        <f>_xlfn.XLOOKUP(FMS_Ranking4[[#This Row],[FMS ID]],FMS_Input[FMS_ID],FMS_Input[ROAD_MILES100])</f>
        <v>23</v>
      </c>
      <c r="AE395" s="255">
        <f>(ASINH(FMS_Ranking4[[#This Row],[Road Miles Raw]]))*(10)/(ASINH(AD$4))</f>
        <v>4.0807816706333613</v>
      </c>
      <c r="AF395" s="256">
        <f>FMS_Ranking4[[#This Row],[Length of roads at risk, ArcSinh (0-10)]]*AD$5*10</f>
        <v>4.0807816706333613</v>
      </c>
      <c r="AG395" s="253">
        <f>_xlfn.XLOOKUP(FMS_Ranking4[[#This Row],[FMS ID]],FMS_Input[FMS_ID],FMS_Input[FARMACRE100])</f>
        <v>1654.744995117188</v>
      </c>
      <c r="AH395" s="255">
        <f>(ASINH(FMS_Ranking4[[#This Row],[Ag Land Raw]]))*(10)/(ASINH(AG$4))</f>
        <v>5.2645651504592594</v>
      </c>
      <c r="AI395" s="260">
        <f>FMS_Ranking4[[#This Row],[Farm &amp; ranch land, ArcSinh (0-10)]]*AG$5*10</f>
        <v>2.6322825752296297</v>
      </c>
      <c r="AJ395" s="258">
        <f>_xlfn.XLOOKUP(FMS_Ranking4[[#This Row],[FMS ID]],FMS_Input[FMS_ID],FMS_Input[REDSTRUCT100])</f>
        <v>0</v>
      </c>
      <c r="AK395" s="253">
        <f>_xlfn.XLOOKUP(FMS_Ranking4[[#This Row],[FMS ID]],FMS_Input[FMS_ID],FMS_Input[REMSTRC100])</f>
        <v>0</v>
      </c>
      <c r="AL395" s="255">
        <f>(ASINH(FMS_Ranking4[[#This Row],[Structures Removed Raw]]))*(10)/(ASINH(AK$4))</f>
        <v>0</v>
      </c>
      <c r="AM395" s="262">
        <f>FMS_Ranking4[[#This Row],[Structures removed, ArcSinh (0-10)]]*AK$5*10</f>
        <v>0</v>
      </c>
      <c r="AN395" s="253">
        <f>_xlfn.XLOOKUP(FMS_Ranking4[[#This Row],[FMS ID]],FMS_Input[FMS_ID],FMS_Input[REMRESSTRC100])</f>
        <v>0</v>
      </c>
      <c r="AO395" s="261">
        <f>FMS_Ranking4[[#This Row],[ArcSinh Res struct removed 0-10]]*AN$5*10</f>
        <v>0</v>
      </c>
      <c r="AP395" s="260">
        <f>ASINH(FMS_Ranking4[[#This Row],[Residential Structures Removed Raw]])/AP$4*AN$5*100</f>
        <v>0</v>
      </c>
      <c r="AQ395" s="258">
        <f>(ASINH(FMS_Ranking4[[#This Row],[Residential Structures Removed Raw]]))*(10)/(ASINH(AN$4))</f>
        <v>0</v>
      </c>
      <c r="AR395" s="253">
        <f>_xlfn.XLOOKUP(FMS_Ranking4[[#This Row],[FMS ID]],FMS_Input[FMS_ID],FMS_Input[REMPOP100])</f>
        <v>0</v>
      </c>
      <c r="AS395" s="255">
        <f>(ASINH(FMS_Ranking4[[#This Row],[Removed Pop Raw]]))*(10)/(ASINH(AR$4))</f>
        <v>0</v>
      </c>
      <c r="AT395" s="262">
        <f>FMS_Ranking4[[#This Row],[Removed population, ArcSinh (0-10)]]*AR$5*10</f>
        <v>0</v>
      </c>
      <c r="AU395" s="264">
        <f>_xlfn.XLOOKUP(FMS_Ranking4[[#This Row],[FMS ID]],FMS_Input[FMS_ID],FMS_Input[REMCRITFAC100])</f>
        <v>0</v>
      </c>
      <c r="AV395" s="264">
        <f>_xlfn.XLOOKUP(FMS_Ranking4[[#This Row],[FMS ID]],FMS_Input[FMS_ID],FMS_Input[REMLWC100])</f>
        <v>0</v>
      </c>
      <c r="AW395" s="264">
        <f>_xlfn.XLOOKUP(FMS_Ranking4[[#This Row],[FMS ID]],FMS_Input[FMS_ID],FMS_Input[REMROADCLS])</f>
        <v>0</v>
      </c>
      <c r="AX395" s="264">
        <f>_xlfn.XLOOKUP(FMS_Ranking4[[#This Row],[FMS ID]],FMS_Input[FMS_ID],FMS_Input[REMFRMACRE100])</f>
        <v>0</v>
      </c>
      <c r="AY395" s="258">
        <f>_xlfn.XLOOKUP(FMS_Ranking4[[#This Row],[FMS ID]],FMS_Input[FMS_ID],FMS_Input[COSTSTRUCT])</f>
        <v>0</v>
      </c>
      <c r="AZ395" s="253">
        <f>_xlfn.XLOOKUP(FMS_Ranking4[[#This Row],[FMS ID]],FMS_Input[FMS_ID],FMS_Input[NATURE])</f>
        <v>0</v>
      </c>
      <c r="BA395" s="262">
        <f>(((FMS_Ranking4[[#This Row],[% NBS Raw]]/AZ$4)*100)*AZ$5)</f>
        <v>0</v>
      </c>
      <c r="BB395" s="251" t="str">
        <f>_xlfn.XLOOKUP(FMS_Ranking4[[#This Row],[FMS ID]],FMS_Input[FMS_ID],FMS_Input[WATER_SUP])</f>
        <v>No</v>
      </c>
      <c r="BC395" s="265">
        <f>IF(FMS_Ranking4[[#This Row],[Water Supply Raw]]="Yes",10,0)</f>
        <v>0</v>
      </c>
      <c r="BD395" s="266">
        <f>_xlfn.XLOOKUP(FMS_Ranking4[[#This Row],[FMS Type]],FMS_TYPE[FMS_Type],FMS_TYPE[Score])</f>
        <v>4</v>
      </c>
      <c r="BE395" s="267">
        <f>FMS_Ranking4[[#This Row],[FMS_Type Score]]*$BD$5*10</f>
        <v>1</v>
      </c>
      <c r="BF39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0.15709442551485939</v>
      </c>
      <c r="BG395" s="321">
        <f>_xlfn.RANK.EQ(BF395,$BF$8:$BF$870,0)+COUNTIF($BF$8:BF395,BF395)-1</f>
        <v>400</v>
      </c>
      <c r="BH395" s="294">
        <f>(((FMS_Ranking4[[#This Row],[Structures Removed Raw]]/AK$4)*100)*AK$5)+(((FMS_Ranking4[[#This Row],[Removed Pop Raw]]/AR$4)*100)*AR$5)</f>
        <v>0</v>
      </c>
      <c r="BI39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1.1570944255148594</v>
      </c>
      <c r="BJ395" s="251">
        <f>_xlfn.RANK.EQ(FMS_Ranking4[[#This Row],[Total Score 
(with linear
normalization)]],FMS_Ranking4[Total Score 
(with linear
normalization)],0)</f>
        <v>657</v>
      </c>
      <c r="BK395" s="251" t="e">
        <f>_xlfn.XLOOKUP(FMS_Ranking4[[#This Row],[FMS ID]],#REF!,#REF!)</f>
        <v>#REF!</v>
      </c>
      <c r="BL39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22.334458080012119</v>
      </c>
      <c r="BM395" s="324">
        <f>FMS_Ranking4[[#This Row],[ArcSinh Score Based on Normalized Reported Factors]]+FMS_Ranking4[[#This Row],[% NBS Score (Normalized)]]+(FMS_Ranking4[[#This Row],[Water Supply Score (Normalized)]]*10*$BB$5)+FMS_Ranking4[[#This Row],[FMS_Type Score Weighted]]</f>
        <v>23.334458080012119</v>
      </c>
      <c r="BN395" s="251">
        <f>_xlfn.RANK.EQ(FMS_Ranking4[[#This Row],[Total Score (with ArcSinh normalization of select criteria)]],FMS_Ranking4[Total Score (with ArcSinh normalization of select criteria)],0)</f>
        <v>388</v>
      </c>
      <c r="BO395" s="270" t="str">
        <f>_xlfn.XLOOKUP(FMS_Ranking4[[#This Row],[FMS ID]],FMS_Input[FMS_ID],FMS_Input[FMS_RANK_YEAR])</f>
        <v>2023 Amended Plan</v>
      </c>
      <c r="BP395" s="204">
        <f>_xlfn.XLOOKUP(FMS_Ranking4[[#This Row],[FMS ID]],Prev_Rank[FMS ID],Prev_Rank[Prev Rank])</f>
        <v>339</v>
      </c>
      <c r="BQ395" s="251" t="e">
        <f>_xlfn.XLOOKUP(FMS_Ranking4[[#This Row],[FMS ID]],#REF!,#REF!)</f>
        <v>#REF!</v>
      </c>
      <c r="BR395" s="199" t="e">
        <f>SUM(#REF!,#REF!,#REF!,#REF!,#REF!,#REF!,#REF!,#REF!,#REF!,FMS_Ranking4[[#This Row],[ArcSinh Res struct removed 0-10]],#REF!)</f>
        <v>#REF!</v>
      </c>
      <c r="BS395" s="199" t="e">
        <f>FMS_Ranking4[[#This Row],[Log Score Based on Normalized Reported Factors]]+FMS_Ranking4[[#This Row],[% NBS Score (Normalized)]]+(FMS_Ranking4[[#This Row],[Water Supply Score (Normalized)]]*10*$BB$5)+(FMS_Ranking4[[#This Row],[FMS_Type Score Weighted]])</f>
        <v>#REF!</v>
      </c>
      <c r="BT395" s="200" t="e">
        <f>_xlfn.RANK.EQ(FMS_Ranking4[[#This Row],[Log Total Score]],FMS_Ranking4[Log Total Score],0)</f>
        <v>#REF!</v>
      </c>
      <c r="BU395" s="200" t="e">
        <f>_xlfn.XLOOKUP(FMS_Ranking4[[#This Row],[FMS ID]],#REF!,#REF!)</f>
        <v>#REF!</v>
      </c>
      <c r="BV395" s="200">
        <f>FMS_Ranking4[[#This Row],[Region Number]]</f>
        <v>3</v>
      </c>
      <c r="BW395" s="200">
        <f>FMS_Ranking4[[#This Row],[Rank (with ArcSinh normalization of select criteria)]]-FMS_Ranking4[[#This Row],[Rank
(with linear
normalization)]]</f>
        <v>-269</v>
      </c>
      <c r="BX395" s="200" t="e">
        <f>FMS_Ranking4[[#This Row],[Log Rank]]-FMS_Ranking4[[#This Row],[Rank
(with linear
normalization)]]</f>
        <v>#REF!</v>
      </c>
      <c r="BY395" s="200" t="str">
        <f>IF(FMS_Ranking4[[#This Row],[FMS Type]]="Flood Measurement and Warning",FMS_Ranking4[[#This Row],[Rank (with ArcSinh normalization of select criteria)]],"")</f>
        <v/>
      </c>
      <c r="BZ395" s="200" t="str">
        <f>IF(FMS_Ranking4[[#This Row],[FMS Type]]="Regulatory and Guidance",FMS_Ranking4[[#This Row],[Rank (with ArcSinh normalization of select criteria)]],"")</f>
        <v/>
      </c>
      <c r="CA395" s="200" t="str">
        <f>IF(FMS_Ranking4[[#This Row],[FMS Type]]="Education and Outreach",FMS_Ranking4[[#This Row],[Rank (with ArcSinh normalization of select criteria)]],"")</f>
        <v/>
      </c>
      <c r="CB395" s="200">
        <f>IF(FMS_Ranking4[[#This Row],[FMS Type]]="Property Acquisition and Structural Elevation",FMS_Ranking4[[#This Row],[Rank (with ArcSinh normalization of select criteria)]],"")</f>
        <v>388</v>
      </c>
      <c r="CC395" s="200" t="str">
        <f>IF(FMS_Ranking4[[#This Row],[FMS Type]]="Infrastructure Projects",FMS_Ranking4[[#This Row],[Rank (with ArcSinh normalization of select criteria)]],"")</f>
        <v/>
      </c>
      <c r="CD395" s="200" t="str">
        <f>IF(FMS_Ranking4[[#This Row],[FMS Type]]="Other",FMS_Ranking4[[#This Row],[Rank (with ArcSinh normalization of select criteria)]],"")</f>
        <v/>
      </c>
      <c r="CE395" s="201"/>
      <c r="CF395" s="206"/>
      <c r="CG395" s="206"/>
      <c r="CH395" s="206"/>
      <c r="CI395" s="206"/>
      <c r="CJ395" s="206"/>
      <c r="CK395" s="206"/>
      <c r="CL395" s="206"/>
      <c r="CM395" s="206"/>
      <c r="CN395" s="206"/>
      <c r="CO395" s="206"/>
      <c r="CP395" s="206"/>
      <c r="CQ395" s="206"/>
      <c r="CR395" s="206"/>
    </row>
    <row r="396" spans="2:96" ht="45" x14ac:dyDescent="0.25">
      <c r="B396" s="341" t="s">
        <v>1855</v>
      </c>
      <c r="C396" s="246">
        <f>_xlfn.XLOOKUP(FMS_Ranking4[[#This Row],[FMS ID]],FMS_Input[FMS_ID],FMS_Input[RFPG_NUM])</f>
        <v>3</v>
      </c>
      <c r="D396" s="309" t="str">
        <f>_xlfn.XLOOKUP(FMS_Ranking4[[#This Row],[FMS ID]],FMS_Input[FMS_ID],FMS_Input[FMS_NAME])</f>
        <v>City of Euless Stream Bank Protection Program</v>
      </c>
      <c r="E396" s="308" t="str">
        <f>_xlfn.XLOOKUP(FMS_Ranking4[[#This Row],[FMS ID]],FMS_Input[FMS_ID],FMS_Input[SPONSOR])</f>
        <v>Euless</v>
      </c>
      <c r="F396" s="309" t="str">
        <f>_xlfn.XLOOKUP(FMS_Ranking4[[#This Row],[FMS ID]],Sponsor[FMS_ID],Sponsor[SPONSOR NAME])</f>
        <v>Euless</v>
      </c>
      <c r="G396" s="309" t="str">
        <f>_xlfn.XLOOKUP(FMS_Ranking4[[#This Row],[FMS ID]],FMS_Input[FMS_ID],FMS_Input[FMS_DESCR])</f>
        <v>Develop a plan to reduce stream bank erosion impacts due to flooding along specific creeks</v>
      </c>
      <c r="H396" s="248" t="str">
        <f>_xlfn.XLOOKUP(FMS_Ranking4[[#This Row],[FMS ID]],FMS_Input[FMS_ID],FMS_Input[FMS_TYPE])</f>
        <v>Other</v>
      </c>
      <c r="I396" s="249">
        <f>_xlfn.XLOOKUP(FMS_Ranking4[[#This Row],[FMS ID]],FMS_Input[FMS_ID],FMS_Input[NRNC_COST])</f>
        <v>250000</v>
      </c>
      <c r="J396" s="250">
        <f>_xlfn.XLOOKUP(FMS_Ranking4[[#This Row],[FMS ID]],FMS_Input[FMS_ID],FMS_Input[FMS_COST])</f>
        <v>250000</v>
      </c>
      <c r="K396" s="251" t="str">
        <f>_xlfn.XLOOKUP(FMS_Ranking4[[#This Row],[FMS ID]],FMS_Input[FMS_ID],FMS_Input[EMER_NEED])</f>
        <v>No</v>
      </c>
      <c r="L396" s="252">
        <f t="shared" si="6"/>
        <v>0</v>
      </c>
      <c r="M396" s="253">
        <f>_xlfn.XLOOKUP(FMS_Ranking4[[#This Row],[FMS ID]],FMS_Input[FMS_ID],FMS_Input[STRUCT_100])</f>
        <v>191</v>
      </c>
      <c r="N396" s="255">
        <f>(ASINH(FMS_Ranking4[[#This Row],[Structure at Risk Raw]]))*(10)/(ASINH(M$4))</f>
        <v>4.6739912204823941</v>
      </c>
      <c r="O396" s="256">
        <f>FMS_Ranking4[[#This Row],[Structures at risk, ArcSinh (0-10)]]*M$5*10</f>
        <v>4.6739912204823941</v>
      </c>
      <c r="P396" s="253">
        <f>_xlfn.XLOOKUP(FMS_Ranking4[[#This Row],[FMS ID]],FMS_Input[FMS_ID],FMS_Input[RES_STRUCT100])</f>
        <v>181</v>
      </c>
      <c r="Q396" s="257">
        <f>ASINH(FMS_Ranking4[[#This Row],[Res Structure Raw]])/Q$4*P$5*100</f>
        <v>0</v>
      </c>
      <c r="R396" s="253">
        <f>_xlfn.XLOOKUP(FMS_Ranking4[[#This Row],[FMS ID]],FMS_Input[FMS_ID],FMS_Input[POP100])</f>
        <v>2454</v>
      </c>
      <c r="S396" s="255">
        <f>(ASINH(FMS_Ranking4[[#This Row],[Pop at Risk Raw]]))*(10)/(ASINH(R$4))</f>
        <v>5.867093433404138</v>
      </c>
      <c r="T396" s="256">
        <f>FMS_Ranking4[[#This Row],[Population at risk, ArcSinh (0-10)]]*R$5*10</f>
        <v>5.867093433404138</v>
      </c>
      <c r="U396" s="253">
        <f>_xlfn.XLOOKUP(FMS_Ranking4[[#This Row],[FMS ID]],FMS_Input[FMS_ID],FMS_Input[CRITFAC100])</f>
        <v>18</v>
      </c>
      <c r="V396" s="255">
        <f>(ASINH(FMS_Ranking4[[#This Row],[Critical Facilities Raw]]))*(10)/(ASINH(U$4))</f>
        <v>4.2429535527087694</v>
      </c>
      <c r="W396" s="256">
        <f>FMS_Ranking4[[#This Row],[Critical facilities at risk, ArcSinh (0-10)]]*U$5*10</f>
        <v>4.2429535527087694</v>
      </c>
      <c r="X396" s="253">
        <f>_xlfn.XLOOKUP(FMS_Ranking4[[#This Row],[FMS ID]],FMS_Input[FMS_ID],FMS_Input[LWC])</f>
        <v>7</v>
      </c>
      <c r="Y396" s="255">
        <f>(ASINH(FMS_Ranking4[[#This Row],[LWC Raw]]))*(10)/(ASINH(X$4))</f>
        <v>3.5820902845593281</v>
      </c>
      <c r="Z396" s="256">
        <f>FMS_Ranking4[[#This Row],[LWC, ArcSInh (0-10)]]*X$5*10</f>
        <v>3.5820902845593281</v>
      </c>
      <c r="AA396" s="253">
        <f>_xlfn.XLOOKUP(FMS_Ranking4[[#This Row],[FMS ID]],FMS_Input[FMS_ID],FMS_Input[ROADCLS])</f>
        <v>0</v>
      </c>
      <c r="AB396" s="255">
        <f>(ASINH(FMS_Ranking4[[#This Row],[Road Closures Raw]]))*(10)/(ASINH(AA$4))</f>
        <v>0</v>
      </c>
      <c r="AC396" s="256">
        <f>FMS_Ranking4[[#This Row],[Road closures, ArcSinh (0-10)]]*AA$5*10</f>
        <v>0</v>
      </c>
      <c r="AD396" s="253">
        <f>_xlfn.XLOOKUP(FMS_Ranking4[[#This Row],[FMS ID]],FMS_Input[FMS_ID],FMS_Input[ROAD_MILES100])</f>
        <v>7</v>
      </c>
      <c r="AE396" s="255">
        <f>(ASINH(FMS_Ranking4[[#This Row],[Road Miles Raw]]))*(10)/(ASINH(AD$4))</f>
        <v>2.8179052695658946</v>
      </c>
      <c r="AF396" s="256">
        <f>FMS_Ranking4[[#This Row],[Length of roads at risk, ArcSinh (0-10)]]*AD$5*10</f>
        <v>2.8179052695658946</v>
      </c>
      <c r="AG396" s="253">
        <f>_xlfn.XLOOKUP(FMS_Ranking4[[#This Row],[FMS ID]],FMS_Input[FMS_ID],FMS_Input[FARMACRE100])</f>
        <v>70.749496459960938</v>
      </c>
      <c r="AH396" s="255">
        <f>(ASINH(FMS_Ranking4[[#This Row],[Ag Land Raw]]))*(10)/(ASINH(AG$4))</f>
        <v>3.2169499445249654</v>
      </c>
      <c r="AI396" s="260">
        <f>FMS_Ranking4[[#This Row],[Farm &amp; ranch land, ArcSinh (0-10)]]*AG$5*10</f>
        <v>1.6084749722624827</v>
      </c>
      <c r="AJ396" s="258">
        <f>_xlfn.XLOOKUP(FMS_Ranking4[[#This Row],[FMS ID]],FMS_Input[FMS_ID],FMS_Input[REDSTRUCT100])</f>
        <v>0</v>
      </c>
      <c r="AK396" s="253">
        <f>_xlfn.XLOOKUP(FMS_Ranking4[[#This Row],[FMS ID]],FMS_Input[FMS_ID],FMS_Input[REMSTRC100])</f>
        <v>0</v>
      </c>
      <c r="AL396" s="255">
        <f>(ASINH(FMS_Ranking4[[#This Row],[Structures Removed Raw]]))*(10)/(ASINH(AK$4))</f>
        <v>0</v>
      </c>
      <c r="AM396" s="262">
        <f>FMS_Ranking4[[#This Row],[Structures removed, ArcSinh (0-10)]]*AK$5*10</f>
        <v>0</v>
      </c>
      <c r="AN396" s="253">
        <f>_xlfn.XLOOKUP(FMS_Ranking4[[#This Row],[FMS ID]],FMS_Input[FMS_ID],FMS_Input[REMRESSTRC100])</f>
        <v>0</v>
      </c>
      <c r="AO396" s="261">
        <f>FMS_Ranking4[[#This Row],[ArcSinh Res struct removed 0-10]]*AN$5*10</f>
        <v>0</v>
      </c>
      <c r="AP396" s="260">
        <f>ASINH(FMS_Ranking4[[#This Row],[Residential Structures Removed Raw]])/AP$4*AN$5*100</f>
        <v>0</v>
      </c>
      <c r="AQ396" s="258">
        <f>(ASINH(FMS_Ranking4[[#This Row],[Residential Structures Removed Raw]]))*(10)/(ASINH(AN$4))</f>
        <v>0</v>
      </c>
      <c r="AR396" s="253">
        <f>_xlfn.XLOOKUP(FMS_Ranking4[[#This Row],[FMS ID]],FMS_Input[FMS_ID],FMS_Input[REMPOP100])</f>
        <v>0</v>
      </c>
      <c r="AS396" s="255">
        <f>(ASINH(FMS_Ranking4[[#This Row],[Removed Pop Raw]]))*(10)/(ASINH(AR$4))</f>
        <v>0</v>
      </c>
      <c r="AT396" s="262">
        <f>FMS_Ranking4[[#This Row],[Removed population, ArcSinh (0-10)]]*AR$5*10</f>
        <v>0</v>
      </c>
      <c r="AU396" s="264">
        <f>_xlfn.XLOOKUP(FMS_Ranking4[[#This Row],[FMS ID]],FMS_Input[FMS_ID],FMS_Input[REMCRITFAC100])</f>
        <v>0</v>
      </c>
      <c r="AV396" s="264">
        <f>_xlfn.XLOOKUP(FMS_Ranking4[[#This Row],[FMS ID]],FMS_Input[FMS_ID],FMS_Input[REMLWC100])</f>
        <v>0</v>
      </c>
      <c r="AW396" s="264">
        <f>_xlfn.XLOOKUP(FMS_Ranking4[[#This Row],[FMS ID]],FMS_Input[FMS_ID],FMS_Input[REMROADCLS])</f>
        <v>0</v>
      </c>
      <c r="AX396" s="264">
        <f>_xlfn.XLOOKUP(FMS_Ranking4[[#This Row],[FMS ID]],FMS_Input[FMS_ID],FMS_Input[REMFRMACRE100])</f>
        <v>0</v>
      </c>
      <c r="AY396" s="258">
        <f>_xlfn.XLOOKUP(FMS_Ranking4[[#This Row],[FMS ID]],FMS_Input[FMS_ID],FMS_Input[COSTSTRUCT])</f>
        <v>0</v>
      </c>
      <c r="AZ396" s="253">
        <f>_xlfn.XLOOKUP(FMS_Ranking4[[#This Row],[FMS ID]],FMS_Input[FMS_ID],FMS_Input[NATURE])</f>
        <v>0</v>
      </c>
      <c r="BA396" s="262">
        <f>(((FMS_Ranking4[[#This Row],[% NBS Raw]]/AZ$4)*100)*AZ$5)</f>
        <v>0</v>
      </c>
      <c r="BB396" s="251" t="str">
        <f>_xlfn.XLOOKUP(FMS_Ranking4[[#This Row],[FMS ID]],FMS_Input[FMS_ID],FMS_Input[WATER_SUP])</f>
        <v>No</v>
      </c>
      <c r="BC396" s="265">
        <f>IF(FMS_Ranking4[[#This Row],[Water Supply Raw]]="Yes",10,0)</f>
        <v>0</v>
      </c>
      <c r="BD396" s="266">
        <f>_xlfn.XLOOKUP(FMS_Ranking4[[#This Row],[FMS Type]],FMS_TYPE[FMS_Type],FMS_TYPE[Score])</f>
        <v>2</v>
      </c>
      <c r="BE396" s="267">
        <f>FMS_Ranking4[[#This Row],[FMS_Type Score]]*$BD$5*10</f>
        <v>0.5</v>
      </c>
      <c r="BF39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0.21282593703186739</v>
      </c>
      <c r="BG396" s="321">
        <f>_xlfn.RANK.EQ(BF396,$BF$8:$BF$870,0)+COUNTIF($BF$8:BF396,BF396)-1</f>
        <v>350</v>
      </c>
      <c r="BH396" s="294">
        <f>(((FMS_Ranking4[[#This Row],[Structures Removed Raw]]/AK$4)*100)*AK$5)+(((FMS_Ranking4[[#This Row],[Removed Pop Raw]]/AR$4)*100)*AR$5)</f>
        <v>0</v>
      </c>
      <c r="BI39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0.71282593703186736</v>
      </c>
      <c r="BJ396" s="251">
        <f>_xlfn.RANK.EQ(FMS_Ranking4[[#This Row],[Total Score 
(with linear
normalization)]],FMS_Ranking4[Total Score 
(with linear
normalization)],0)</f>
        <v>800</v>
      </c>
      <c r="BK396" s="251" t="e">
        <f>_xlfn.XLOOKUP(FMS_Ranking4[[#This Row],[FMS ID]],#REF!,#REF!)</f>
        <v>#REF!</v>
      </c>
      <c r="BL39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22.792508732983006</v>
      </c>
      <c r="BM396" s="324">
        <f>FMS_Ranking4[[#This Row],[ArcSinh Score Based on Normalized Reported Factors]]+FMS_Ranking4[[#This Row],[% NBS Score (Normalized)]]+(FMS_Ranking4[[#This Row],[Water Supply Score (Normalized)]]*10*$BB$5)+FMS_Ranking4[[#This Row],[FMS_Type Score Weighted]]</f>
        <v>23.292508732983006</v>
      </c>
      <c r="BN396" s="251">
        <f>_xlfn.RANK.EQ(FMS_Ranking4[[#This Row],[Total Score (with ArcSinh normalization of select criteria)]],FMS_Ranking4[Total Score (with ArcSinh normalization of select criteria)],0)</f>
        <v>389</v>
      </c>
      <c r="BO396" s="270" t="str">
        <f>_xlfn.XLOOKUP(FMS_Ranking4[[#This Row],[FMS ID]],FMS_Input[FMS_ID],FMS_Input[FMS_RANK_YEAR])</f>
        <v>2023 Amended Plan</v>
      </c>
      <c r="BP396" s="204">
        <f>_xlfn.XLOOKUP(FMS_Ranking4[[#This Row],[FMS ID]],Prev_Rank[FMS ID],Prev_Rank[Prev Rank])</f>
        <v>343</v>
      </c>
      <c r="BQ396" s="251" t="e">
        <f>_xlfn.XLOOKUP(FMS_Ranking4[[#This Row],[FMS ID]],#REF!,#REF!)</f>
        <v>#REF!</v>
      </c>
      <c r="BR396" s="199" t="e">
        <f>SUM(#REF!,#REF!,#REF!,#REF!,#REF!,#REF!,#REF!,#REF!,#REF!,FMS_Ranking4[[#This Row],[ArcSinh Res struct removed 0-10]],#REF!)</f>
        <v>#REF!</v>
      </c>
      <c r="BS396" s="199" t="e">
        <f>FMS_Ranking4[[#This Row],[Log Score Based on Normalized Reported Factors]]+FMS_Ranking4[[#This Row],[% NBS Score (Normalized)]]+(FMS_Ranking4[[#This Row],[Water Supply Score (Normalized)]]*10*$BB$5)+(FMS_Ranking4[[#This Row],[FMS_Type Score Weighted]])</f>
        <v>#REF!</v>
      </c>
      <c r="BT396" s="200" t="e">
        <f>_xlfn.RANK.EQ(FMS_Ranking4[[#This Row],[Log Total Score]],FMS_Ranking4[Log Total Score],0)</f>
        <v>#REF!</v>
      </c>
      <c r="BU396" s="200" t="e">
        <f>_xlfn.XLOOKUP(FMS_Ranking4[[#This Row],[FMS ID]],#REF!,#REF!)</f>
        <v>#REF!</v>
      </c>
      <c r="BV396" s="200">
        <f>FMS_Ranking4[[#This Row],[Region Number]]</f>
        <v>3</v>
      </c>
      <c r="BW396" s="200">
        <f>FMS_Ranking4[[#This Row],[Rank (with ArcSinh normalization of select criteria)]]-FMS_Ranking4[[#This Row],[Rank
(with linear
normalization)]]</f>
        <v>-411</v>
      </c>
      <c r="BX396" s="200" t="e">
        <f>FMS_Ranking4[[#This Row],[Log Rank]]-FMS_Ranking4[[#This Row],[Rank
(with linear
normalization)]]</f>
        <v>#REF!</v>
      </c>
      <c r="BY396" s="200" t="str">
        <f>IF(FMS_Ranking4[[#This Row],[FMS Type]]="Flood Measurement and Warning",FMS_Ranking4[[#This Row],[Rank (with ArcSinh normalization of select criteria)]],"")</f>
        <v/>
      </c>
      <c r="BZ396" s="200" t="str">
        <f>IF(FMS_Ranking4[[#This Row],[FMS Type]]="Regulatory and Guidance",FMS_Ranking4[[#This Row],[Rank (with ArcSinh normalization of select criteria)]],"")</f>
        <v/>
      </c>
      <c r="CA396" s="200" t="str">
        <f>IF(FMS_Ranking4[[#This Row],[FMS Type]]="Education and Outreach",FMS_Ranking4[[#This Row],[Rank (with ArcSinh normalization of select criteria)]],"")</f>
        <v/>
      </c>
      <c r="CB396" s="200" t="str">
        <f>IF(FMS_Ranking4[[#This Row],[FMS Type]]="Property Acquisition and Structural Elevation",FMS_Ranking4[[#This Row],[Rank (with ArcSinh normalization of select criteria)]],"")</f>
        <v/>
      </c>
      <c r="CC396" s="200" t="str">
        <f>IF(FMS_Ranking4[[#This Row],[FMS Type]]="Infrastructure Projects",FMS_Ranking4[[#This Row],[Rank (with ArcSinh normalization of select criteria)]],"")</f>
        <v/>
      </c>
      <c r="CD396" s="200">
        <f>IF(FMS_Ranking4[[#This Row],[FMS Type]]="Other",FMS_Ranking4[[#This Row],[Rank (with ArcSinh normalization of select criteria)]],"")</f>
        <v>389</v>
      </c>
      <c r="CE396" s="201"/>
      <c r="CF396" s="206"/>
      <c r="CG396" s="206"/>
      <c r="CH396" s="206"/>
      <c r="CI396" s="206"/>
      <c r="CJ396" s="206"/>
      <c r="CK396" s="206"/>
      <c r="CL396" s="206"/>
      <c r="CM396" s="206"/>
      <c r="CN396" s="206"/>
      <c r="CO396" s="206"/>
      <c r="CP396" s="206"/>
      <c r="CQ396" s="206"/>
      <c r="CR396" s="206"/>
    </row>
    <row r="397" spans="2:96" ht="30" x14ac:dyDescent="0.25">
      <c r="B397" s="341" t="s">
        <v>1355</v>
      </c>
      <c r="C397" s="246">
        <f>_xlfn.XLOOKUP(FMS_Ranking4[[#This Row],[FMS ID]],FMS_Input[FMS_ID],FMS_Input[RFPG_NUM])</f>
        <v>1</v>
      </c>
      <c r="D397" s="309" t="str">
        <f>_xlfn.XLOOKUP(FMS_Ranking4[[#This Row],[FMS ID]],FMS_Input[FMS_ID],FMS_Input[FMS_NAME])</f>
        <v>Roberts County NFIP Involvement</v>
      </c>
      <c r="E397" s="308" t="str">
        <f>_xlfn.XLOOKUP(FMS_Ranking4[[#This Row],[FMS ID]],FMS_Input[FMS_ID],FMS_Input[SPONSOR])</f>
        <v>01000230</v>
      </c>
      <c r="F397" s="309" t="str">
        <f>_xlfn.XLOOKUP(FMS_Ranking4[[#This Row],[FMS ID]],Sponsor[FMS_ID],Sponsor[SPONSOR NAME])</f>
        <v>Roberts</v>
      </c>
      <c r="G397" s="309" t="str">
        <f>_xlfn.XLOOKUP(FMS_Ranking4[[#This Row],[FMS ID]],FMS_Input[FMS_ID],FMS_Input[FMS_DESCR])</f>
        <v>Application to join NFIP or adopt equivalent standards</v>
      </c>
      <c r="H397" s="248" t="str">
        <f>_xlfn.XLOOKUP(FMS_Ranking4[[#This Row],[FMS ID]],FMS_Input[FMS_ID],FMS_Input[FMS_TYPE])</f>
        <v>Regulatory and Guidance</v>
      </c>
      <c r="I397" s="249">
        <f>_xlfn.XLOOKUP(FMS_Ranking4[[#This Row],[FMS ID]],FMS_Input[FMS_ID],FMS_Input[NRNC_COST])</f>
        <v>100000</v>
      </c>
      <c r="J397" s="250">
        <f>_xlfn.XLOOKUP(FMS_Ranking4[[#This Row],[FMS ID]],FMS_Input[FMS_ID],FMS_Input[FMS_COST])</f>
        <v>100000</v>
      </c>
      <c r="K397" s="251" t="str">
        <f>_xlfn.XLOOKUP(FMS_Ranking4[[#This Row],[FMS ID]],FMS_Input[FMS_ID],FMS_Input[EMER_NEED])</f>
        <v>No</v>
      </c>
      <c r="L397" s="252">
        <f t="shared" si="6"/>
        <v>0</v>
      </c>
      <c r="M397" s="253">
        <f>_xlfn.XLOOKUP(FMS_Ranking4[[#This Row],[FMS ID]],FMS_Input[FMS_ID],FMS_Input[STRUCT_100])</f>
        <v>90</v>
      </c>
      <c r="N397" s="255">
        <f>(ASINH(FMS_Ranking4[[#This Row],[Structure at Risk Raw]]))*(10)/(ASINH(M$4))</f>
        <v>4.0824615453173889</v>
      </c>
      <c r="O397" s="256">
        <f>FMS_Ranking4[[#This Row],[Structures at risk, ArcSinh (0-10)]]*M$5*10</f>
        <v>4.0824615453173889</v>
      </c>
      <c r="P397" s="253">
        <f>_xlfn.XLOOKUP(FMS_Ranking4[[#This Row],[FMS ID]],FMS_Input[FMS_ID],FMS_Input[RES_STRUCT100])</f>
        <v>1</v>
      </c>
      <c r="Q397" s="257">
        <f>ASINH(FMS_Ranking4[[#This Row],[Res Structure Raw]])/Q$4*P$5*100</f>
        <v>0</v>
      </c>
      <c r="R397" s="253">
        <f>_xlfn.XLOOKUP(FMS_Ranking4[[#This Row],[FMS ID]],FMS_Input[FMS_ID],FMS_Input[POP100])</f>
        <v>55</v>
      </c>
      <c r="S397" s="259">
        <f>(ASINH(FMS_Ranking4[[#This Row],[Pop at Risk Raw]]))*(10)/(ASINH(R$4))</f>
        <v>3.2450722960758083</v>
      </c>
      <c r="T397" s="256">
        <f>FMS_Ranking4[[#This Row],[Population at risk, ArcSinh (0-10)]]*R$5*10</f>
        <v>3.2450722960758083</v>
      </c>
      <c r="U397" s="253">
        <f>_xlfn.XLOOKUP(FMS_Ranking4[[#This Row],[FMS ID]],FMS_Input[FMS_ID],FMS_Input[CRITFAC100])</f>
        <v>2</v>
      </c>
      <c r="V397" s="259">
        <f>(ASINH(FMS_Ranking4[[#This Row],[Critical Facilities Raw]]))*(10)/(ASINH(U$4))</f>
        <v>1.7089239049208753</v>
      </c>
      <c r="W397" s="256">
        <f>FMS_Ranking4[[#This Row],[Critical facilities at risk, ArcSinh (0-10)]]*U$5*10</f>
        <v>1.7089239049208755</v>
      </c>
      <c r="X397" s="253">
        <f>_xlfn.XLOOKUP(FMS_Ranking4[[#This Row],[FMS ID]],FMS_Input[FMS_ID],FMS_Input[LWC])</f>
        <v>5</v>
      </c>
      <c r="Y397" s="259">
        <f>(ASINH(FMS_Ranking4[[#This Row],[LWC Raw]]))*(10)/(ASINH(X$4))</f>
        <v>3.1327475801820781</v>
      </c>
      <c r="Z397" s="256">
        <f>FMS_Ranking4[[#This Row],[LWC, ArcSInh (0-10)]]*X$5*10</f>
        <v>3.1327475801820781</v>
      </c>
      <c r="AA397" s="253">
        <f>_xlfn.XLOOKUP(FMS_Ranking4[[#This Row],[FMS ID]],FMS_Input[FMS_ID],FMS_Input[ROADCLS])</f>
        <v>5</v>
      </c>
      <c r="AB397" s="255">
        <f>(ASINH(FMS_Ranking4[[#This Row],[Road Closures Raw]]))*(10)/(ASINH(AA$4))</f>
        <v>2.4081922896382904</v>
      </c>
      <c r="AC397" s="256">
        <f>FMS_Ranking4[[#This Row],[Road closures, ArcSinh (0-10)]]*AA$5*10</f>
        <v>1.2040961448191452</v>
      </c>
      <c r="AD397" s="253">
        <f>_xlfn.XLOOKUP(FMS_Ranking4[[#This Row],[FMS ID]],FMS_Input[FMS_ID],FMS_Input[ROAD_MILES100])</f>
        <v>21</v>
      </c>
      <c r="AE397" s="259">
        <f>(ASINH(FMS_Ranking4[[#This Row],[Road Miles Raw]]))*(10)/(ASINH(AD$4))</f>
        <v>3.9839311289010819</v>
      </c>
      <c r="AF397" s="256">
        <f>FMS_Ranking4[[#This Row],[Length of roads at risk, ArcSinh (0-10)]]*AD$5*10</f>
        <v>3.9839311289010819</v>
      </c>
      <c r="AG397" s="253">
        <f>_xlfn.XLOOKUP(FMS_Ranking4[[#This Row],[FMS ID]],FMS_Input[FMS_ID],FMS_Input[FARMACRE100])</f>
        <v>91030.6015625</v>
      </c>
      <c r="AH397" s="255">
        <f>(ASINH(FMS_Ranking4[[#This Row],[Ag Land Raw]]))*(10)/(ASINH(AG$4))</f>
        <v>7.8677945390558035</v>
      </c>
      <c r="AI397" s="260">
        <f>FMS_Ranking4[[#This Row],[Farm &amp; ranch land, ArcSinh (0-10)]]*AG$5*10</f>
        <v>3.9338972695279018</v>
      </c>
      <c r="AJ397" s="258">
        <f>_xlfn.XLOOKUP(FMS_Ranking4[[#This Row],[FMS ID]],FMS_Input[FMS_ID],FMS_Input[REDSTRUCT100])</f>
        <v>0</v>
      </c>
      <c r="AK397" s="253">
        <f>_xlfn.XLOOKUP(FMS_Ranking4[[#This Row],[FMS ID]],FMS_Input[FMS_ID],FMS_Input[REMSTRC100])</f>
        <v>0</v>
      </c>
      <c r="AL397" s="259">
        <f>(ASINH(FMS_Ranking4[[#This Row],[Structures Removed Raw]]))*(10)/(ASINH(AK$4))</f>
        <v>0</v>
      </c>
      <c r="AM397" s="262">
        <f>FMS_Ranking4[[#This Row],[Structures removed, ArcSinh (0-10)]]*AK$5*10</f>
        <v>0</v>
      </c>
      <c r="AN397" s="253">
        <f>_xlfn.XLOOKUP(FMS_Ranking4[[#This Row],[FMS ID]],FMS_Input[FMS_ID],FMS_Input[REMRESSTRC100])</f>
        <v>0</v>
      </c>
      <c r="AO397" s="261">
        <f>FMS_Ranking4[[#This Row],[ArcSinh Res struct removed 0-10]]*AN$5*10</f>
        <v>0</v>
      </c>
      <c r="AP397" s="260">
        <f>ASINH(FMS_Ranking4[[#This Row],[Residential Structures Removed Raw]])/AP$4*AN$5*100</f>
        <v>0</v>
      </c>
      <c r="AQ397" s="254">
        <f>(ASINH(FMS_Ranking4[[#This Row],[Residential Structures Removed Raw]]))*(10)/(ASINH(AN$4))</f>
        <v>0</v>
      </c>
      <c r="AR397" s="253">
        <f>_xlfn.XLOOKUP(FMS_Ranking4[[#This Row],[FMS ID]],FMS_Input[FMS_ID],FMS_Input[REMPOP100])</f>
        <v>0</v>
      </c>
      <c r="AS397" s="259">
        <f>(ASINH(FMS_Ranking4[[#This Row],[Removed Pop Raw]]))*(10)/(ASINH(AR$4))</f>
        <v>0</v>
      </c>
      <c r="AT397" s="262">
        <f>FMS_Ranking4[[#This Row],[Removed population, ArcSinh (0-10)]]*AR$5*10</f>
        <v>0</v>
      </c>
      <c r="AU397" s="264">
        <f>_xlfn.XLOOKUP(FMS_Ranking4[[#This Row],[FMS ID]],FMS_Input[FMS_ID],FMS_Input[REMCRITFAC100])</f>
        <v>0</v>
      </c>
      <c r="AV397" s="264">
        <f>_xlfn.XLOOKUP(FMS_Ranking4[[#This Row],[FMS ID]],FMS_Input[FMS_ID],FMS_Input[REMLWC100])</f>
        <v>0</v>
      </c>
      <c r="AW397" s="264">
        <f>_xlfn.XLOOKUP(FMS_Ranking4[[#This Row],[FMS ID]],FMS_Input[FMS_ID],FMS_Input[REMROADCLS])</f>
        <v>0</v>
      </c>
      <c r="AX397" s="264">
        <f>_xlfn.XLOOKUP(FMS_Ranking4[[#This Row],[FMS ID]],FMS_Input[FMS_ID],FMS_Input[REMFRMACRE100])</f>
        <v>0</v>
      </c>
      <c r="AY397" s="258">
        <f>_xlfn.XLOOKUP(FMS_Ranking4[[#This Row],[FMS ID]],FMS_Input[FMS_ID],FMS_Input[COSTSTRUCT])</f>
        <v>0</v>
      </c>
      <c r="AZ397" s="253">
        <f>_xlfn.XLOOKUP(FMS_Ranking4[[#This Row],[FMS ID]],FMS_Input[FMS_ID],FMS_Input[NATURE])</f>
        <v>0</v>
      </c>
      <c r="BA397" s="262">
        <f>(((FMS_Ranking4[[#This Row],[% NBS Raw]]/AZ$4)*100)*AZ$5)</f>
        <v>0</v>
      </c>
      <c r="BB397" s="251" t="str">
        <f>_xlfn.XLOOKUP(FMS_Ranking4[[#This Row],[FMS ID]],FMS_Input[FMS_ID],FMS_Input[WATER_SUP])</f>
        <v>No</v>
      </c>
      <c r="BC397" s="265">
        <f>IF(FMS_Ranking4[[#This Row],[Water Supply Raw]]="Yes",10,0)</f>
        <v>0</v>
      </c>
      <c r="BD397" s="266">
        <f>_xlfn.XLOOKUP(FMS_Ranking4[[#This Row],[FMS Type]],FMS_TYPE[FMS_Type],FMS_TYPE[Score])</f>
        <v>8</v>
      </c>
      <c r="BE397" s="267">
        <f>FMS_Ranking4[[#This Row],[FMS_Type Score]]*$BD$5*10</f>
        <v>2</v>
      </c>
      <c r="BF39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0.30318071607156083</v>
      </c>
      <c r="BG397" s="271">
        <f>_xlfn.RANK.EQ(BF397,$BF$8:$BF$870,0)+COUNTIF($BF$8:BF397,BF397)-1</f>
        <v>294</v>
      </c>
      <c r="BH397" s="268">
        <f>(((FMS_Ranking4[[#This Row],[Structures Removed Raw]]/AK$4)*100)*AK$5)+(((FMS_Ranking4[[#This Row],[Removed Pop Raw]]/AR$4)*100)*AR$5)</f>
        <v>0</v>
      </c>
      <c r="BI39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2.3031807160715609</v>
      </c>
      <c r="BJ397" s="205">
        <f>_xlfn.RANK.EQ(FMS_Ranking4[[#This Row],[Total Score 
(with linear
normalization)]],FMS_Ranking4[Total Score 
(with linear
normalization)],0)</f>
        <v>295</v>
      </c>
      <c r="BK397" s="205" t="e">
        <f>_xlfn.XLOOKUP(FMS_Ranking4[[#This Row],[FMS ID]],#REF!,#REF!)</f>
        <v>#REF!</v>
      </c>
      <c r="BL39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21.291129869744278</v>
      </c>
      <c r="BM397" s="272">
        <f>FMS_Ranking4[[#This Row],[ArcSinh Score Based on Normalized Reported Factors]]+FMS_Ranking4[[#This Row],[% NBS Score (Normalized)]]+(FMS_Ranking4[[#This Row],[Water Supply Score (Normalized)]]*10*$BB$5)+FMS_Ranking4[[#This Row],[FMS_Type Score Weighted]]</f>
        <v>23.291129869744278</v>
      </c>
      <c r="BN397" s="205">
        <f>_xlfn.RANK.EQ(FMS_Ranking4[[#This Row],[Total Score (with ArcSinh normalization of select criteria)]],FMS_Ranking4[Total Score (with ArcSinh normalization of select criteria)],0)</f>
        <v>390</v>
      </c>
      <c r="BO397" s="270" t="str">
        <f>_xlfn.XLOOKUP(FMS_Ranking4[[#This Row],[FMS ID]],FMS_Input[FMS_ID],FMS_Input[FMS_RANK_YEAR])</f>
        <v>2023 Amended Plan</v>
      </c>
      <c r="BP397" s="204">
        <f>_xlfn.XLOOKUP(FMS_Ranking4[[#This Row],[FMS ID]],Prev_Rank[FMS ID],Prev_Rank[Prev Rank])</f>
        <v>351</v>
      </c>
      <c r="BQ397" s="205" t="e">
        <f>_xlfn.XLOOKUP(FMS_Ranking4[[#This Row],[FMS ID]],#REF!,#REF!)</f>
        <v>#REF!</v>
      </c>
      <c r="BR397" s="199" t="e">
        <f>SUM(#REF!,#REF!,#REF!,#REF!,#REF!,#REF!,#REF!,#REF!,#REF!,FMS_Ranking4[[#This Row],[ArcSinh Res struct removed 0-10]],#REF!)</f>
        <v>#REF!</v>
      </c>
      <c r="BS397" s="199" t="e">
        <f>FMS_Ranking4[[#This Row],[Log Score Based on Normalized Reported Factors]]+FMS_Ranking4[[#This Row],[% NBS Score (Normalized)]]+(FMS_Ranking4[[#This Row],[Water Supply Score (Normalized)]]*10*$BB$5)+(FMS_Ranking4[[#This Row],[FMS_Type Score Weighted]])</f>
        <v>#REF!</v>
      </c>
      <c r="BT397" s="200" t="e">
        <f>_xlfn.RANK.EQ(FMS_Ranking4[[#This Row],[Log Total Score]],FMS_Ranking4[Log Total Score],0)</f>
        <v>#REF!</v>
      </c>
      <c r="BU397" s="200" t="e">
        <f>_xlfn.XLOOKUP(FMS_Ranking4[[#This Row],[FMS ID]],#REF!,#REF!)</f>
        <v>#REF!</v>
      </c>
      <c r="BV397" s="200">
        <f>FMS_Ranking4[[#This Row],[Region Number]]</f>
        <v>1</v>
      </c>
      <c r="BW397" s="200">
        <f>FMS_Ranking4[[#This Row],[Rank (with ArcSinh normalization of select criteria)]]-FMS_Ranking4[[#This Row],[Rank
(with linear
normalization)]]</f>
        <v>95</v>
      </c>
      <c r="BX397" s="200" t="e">
        <f>FMS_Ranking4[[#This Row],[Log Rank]]-FMS_Ranking4[[#This Row],[Rank
(with linear
normalization)]]</f>
        <v>#REF!</v>
      </c>
      <c r="BY397" s="200" t="str">
        <f>IF(FMS_Ranking4[[#This Row],[FMS Type]]="Flood Measurement and Warning",FMS_Ranking4[[#This Row],[Rank (with ArcSinh normalization of select criteria)]],"")</f>
        <v/>
      </c>
      <c r="BZ397" s="200">
        <f>IF(FMS_Ranking4[[#This Row],[FMS Type]]="Regulatory and Guidance",FMS_Ranking4[[#This Row],[Rank (with ArcSinh normalization of select criteria)]],"")</f>
        <v>390</v>
      </c>
      <c r="CA397" s="200" t="str">
        <f>IF(FMS_Ranking4[[#This Row],[FMS Type]]="Education and Outreach",FMS_Ranking4[[#This Row],[Rank (with ArcSinh normalization of select criteria)]],"")</f>
        <v/>
      </c>
      <c r="CB397" s="200" t="str">
        <f>IF(FMS_Ranking4[[#This Row],[FMS Type]]="Property Acquisition and Structural Elevation",FMS_Ranking4[[#This Row],[Rank (with ArcSinh normalization of select criteria)]],"")</f>
        <v/>
      </c>
      <c r="CC397" s="200" t="str">
        <f>IF(FMS_Ranking4[[#This Row],[FMS Type]]="Infrastructure Projects",FMS_Ranking4[[#This Row],[Rank (with ArcSinh normalization of select criteria)]],"")</f>
        <v/>
      </c>
      <c r="CD397" s="200" t="str">
        <f>IF(FMS_Ranking4[[#This Row],[FMS Type]]="Other",FMS_Ranking4[[#This Row],[Rank (with ArcSinh normalization of select criteria)]],"")</f>
        <v/>
      </c>
      <c r="CE397" s="201"/>
      <c r="CF397" s="206"/>
      <c r="CG397" s="206"/>
      <c r="CH397" s="206"/>
      <c r="CI397" s="206"/>
      <c r="CJ397" s="206"/>
      <c r="CK397" s="206"/>
      <c r="CL397" s="206"/>
      <c r="CM397" s="206"/>
      <c r="CN397" s="206"/>
      <c r="CO397" s="206"/>
      <c r="CP397" s="206"/>
      <c r="CQ397" s="206"/>
      <c r="CR397" s="206"/>
    </row>
    <row r="398" spans="2:96" ht="105" x14ac:dyDescent="0.25">
      <c r="B398" s="341" t="s">
        <v>11998</v>
      </c>
      <c r="C398" s="246">
        <f>_xlfn.XLOOKUP(FMS_Ranking4[[#This Row],[FMS ID]],FMS_Input[FMS_ID],FMS_Input[RFPG_NUM])</f>
        <v>15</v>
      </c>
      <c r="D398" s="309" t="str">
        <f>_xlfn.XLOOKUP(FMS_Ranking4[[#This Row],[FMS ID]],FMS_Input[FMS_ID],FMS_Input[FMS_NAME])</f>
        <v>City of Alton</v>
      </c>
      <c r="E398" s="308" t="str">
        <f>_xlfn.XLOOKUP(FMS_Ranking4[[#This Row],[FMS ID]],FMS_Input[FMS_ID],FMS_Input[SPONSOR])</f>
        <v>15000088</v>
      </c>
      <c r="F398" s="309" t="str">
        <f>_xlfn.XLOOKUP(FMS_Ranking4[[#This Row],[FMS ID]],Sponsor[FMS_ID],Sponsor[SPONSOR NAME])</f>
        <v>Alton</v>
      </c>
      <c r="G398" s="309" t="str">
        <f>_xlfn.XLOOKUP(FMS_Ranking4[[#This Row],[FMS ID]],FMS_Input[FMS_ID],FMS_Input[FMS_DESCR])</f>
        <v>FMS 2 - Assessment, development, and updating of the City's ordinances, orders, policies, engineering specifications, guidance documents and other flood management tools.</v>
      </c>
      <c r="H398" s="248" t="str">
        <f>_xlfn.XLOOKUP(FMS_Ranking4[[#This Row],[FMS ID]],FMS_Input[FMS_ID],FMS_Input[FMS_TYPE])</f>
        <v>Regulatory and Guidance</v>
      </c>
      <c r="I398" s="249">
        <f>_xlfn.XLOOKUP(FMS_Ranking4[[#This Row],[FMS ID]],FMS_Input[FMS_ID],FMS_Input[NRNC_COST])</f>
        <v>300000</v>
      </c>
      <c r="J398" s="250">
        <f>_xlfn.XLOOKUP(FMS_Ranking4[[#This Row],[FMS ID]],FMS_Input[FMS_ID],FMS_Input[FMS_COST])</f>
        <v>300000</v>
      </c>
      <c r="K398" s="251" t="str">
        <f>_xlfn.XLOOKUP(FMS_Ranking4[[#This Row],[FMS ID]],FMS_Input[FMS_ID],FMS_Input[EMER_NEED])</f>
        <v>Yes</v>
      </c>
      <c r="L398" s="252">
        <f t="shared" si="6"/>
        <v>1</v>
      </c>
      <c r="M398" s="253">
        <f>_xlfn.XLOOKUP(FMS_Ranking4[[#This Row],[FMS ID]],FMS_Input[FMS_ID],FMS_Input[STRUCT_100])</f>
        <v>1694</v>
      </c>
      <c r="N398" s="255">
        <f>(ASINH(FMS_Ranking4[[#This Row],[Structure at Risk Raw]]))*(10)/(ASINH(M$4))</f>
        <v>6.389814388372403</v>
      </c>
      <c r="O398" s="256">
        <f>FMS_Ranking4[[#This Row],[Structures at risk, ArcSinh (0-10)]]*M$5*10</f>
        <v>6.3898143883724039</v>
      </c>
      <c r="P398" s="253">
        <f>_xlfn.XLOOKUP(FMS_Ranking4[[#This Row],[FMS ID]],FMS_Input[FMS_ID],FMS_Input[RES_STRUCT100])</f>
        <v>1478</v>
      </c>
      <c r="Q398" s="257">
        <f>ASINH(FMS_Ranking4[[#This Row],[Res Structure Raw]])/Q$4*P$5*100</f>
        <v>0</v>
      </c>
      <c r="R398" s="253">
        <f>_xlfn.XLOOKUP(FMS_Ranking4[[#This Row],[FMS ID]],FMS_Input[FMS_ID],FMS_Input[POP100])</f>
        <v>4952</v>
      </c>
      <c r="S398" s="259">
        <f>(ASINH(FMS_Ranking4[[#This Row],[Pop at Risk Raw]]))*(10)/(ASINH(R$4))</f>
        <v>6.351774717104635</v>
      </c>
      <c r="T398" s="256">
        <f>FMS_Ranking4[[#This Row],[Population at risk, ArcSinh (0-10)]]*R$5*10</f>
        <v>6.3517747171046359</v>
      </c>
      <c r="U398" s="253">
        <f>_xlfn.XLOOKUP(FMS_Ranking4[[#This Row],[FMS ID]],FMS_Input[FMS_ID],FMS_Input[CRITFAC100])</f>
        <v>11</v>
      </c>
      <c r="V398" s="259">
        <f>(ASINH(FMS_Ranking4[[#This Row],[Critical Facilities Raw]]))*(10)/(ASINH(U$4))</f>
        <v>3.661503455940549</v>
      </c>
      <c r="W398" s="256">
        <f>FMS_Ranking4[[#This Row],[Critical facilities at risk, ArcSinh (0-10)]]*U$5*10</f>
        <v>3.661503455940549</v>
      </c>
      <c r="X398" s="253">
        <f>_xlfn.XLOOKUP(FMS_Ranking4[[#This Row],[FMS ID]],FMS_Input[FMS_ID],FMS_Input[LWC])</f>
        <v>0</v>
      </c>
      <c r="Y398" s="259">
        <f>(ASINH(FMS_Ranking4[[#This Row],[LWC Raw]]))*(10)/(ASINH(X$4))</f>
        <v>0</v>
      </c>
      <c r="Z398" s="256">
        <f>FMS_Ranking4[[#This Row],[LWC, ArcSInh (0-10)]]*X$5*10</f>
        <v>0</v>
      </c>
      <c r="AA398" s="253">
        <f>_xlfn.XLOOKUP(FMS_Ranking4[[#This Row],[FMS ID]],FMS_Input[FMS_ID],FMS_Input[ROADCLS])</f>
        <v>0</v>
      </c>
      <c r="AB398" s="255">
        <f>(ASINH(FMS_Ranking4[[#This Row],[Road Closures Raw]]))*(10)/(ASINH(AA$4))</f>
        <v>0</v>
      </c>
      <c r="AC398" s="256">
        <f>FMS_Ranking4[[#This Row],[Road closures, ArcSinh (0-10)]]*AA$5*10</f>
        <v>0</v>
      </c>
      <c r="AD398" s="253">
        <f>_xlfn.XLOOKUP(FMS_Ranking4[[#This Row],[FMS ID]],FMS_Input[FMS_ID],FMS_Input[ROAD_MILES100])</f>
        <v>33</v>
      </c>
      <c r="AE398" s="259">
        <f>(ASINH(FMS_Ranking4[[#This Row],[Road Miles Raw]]))*(10)/(ASINH(AD$4))</f>
        <v>4.4652638519725869</v>
      </c>
      <c r="AF398" s="256">
        <f>FMS_Ranking4[[#This Row],[Length of roads at risk, ArcSinh (0-10)]]*AD$5*10</f>
        <v>4.4652638519725869</v>
      </c>
      <c r="AG398" s="253">
        <f>_xlfn.XLOOKUP(FMS_Ranking4[[#This Row],[FMS ID]],FMS_Input[FMS_ID],FMS_Input[FARMACRE100])</f>
        <v>1.6517870426177981</v>
      </c>
      <c r="AH398" s="255">
        <f>(ASINH(FMS_Ranking4[[#This Row],[Ag Land Raw]]))*(10)/(ASINH(AG$4))</f>
        <v>0.82894061869988467</v>
      </c>
      <c r="AI398" s="260">
        <f>FMS_Ranking4[[#This Row],[Farm &amp; ranch land, ArcSinh (0-10)]]*AG$5*10</f>
        <v>0.41447030934994239</v>
      </c>
      <c r="AJ398" s="258">
        <f>_xlfn.XLOOKUP(FMS_Ranking4[[#This Row],[FMS ID]],FMS_Input[FMS_ID],FMS_Input[REDSTRUCT100])</f>
        <v>0</v>
      </c>
      <c r="AK398" s="253">
        <f>_xlfn.XLOOKUP(FMS_Ranking4[[#This Row],[FMS ID]],FMS_Input[FMS_ID],FMS_Input[REMSTRC100])</f>
        <v>0</v>
      </c>
      <c r="AL398" s="259">
        <f>(ASINH(FMS_Ranking4[[#This Row],[Structures Removed Raw]]))*(10)/(ASINH(AK$4))</f>
        <v>0</v>
      </c>
      <c r="AM398" s="262">
        <f>FMS_Ranking4[[#This Row],[Structures removed, ArcSinh (0-10)]]*AK$5*10</f>
        <v>0</v>
      </c>
      <c r="AN398" s="253">
        <f>_xlfn.XLOOKUP(FMS_Ranking4[[#This Row],[FMS ID]],FMS_Input[FMS_ID],FMS_Input[REMRESSTRC100])</f>
        <v>0</v>
      </c>
      <c r="AO398" s="261">
        <f>FMS_Ranking4[[#This Row],[ArcSinh Res struct removed 0-10]]*AN$5*10</f>
        <v>0</v>
      </c>
      <c r="AP398" s="260">
        <f>ASINH(FMS_Ranking4[[#This Row],[Residential Structures Removed Raw]])/AP$4*AN$5*100</f>
        <v>0</v>
      </c>
      <c r="AQ398" s="254">
        <f>(ASINH(FMS_Ranking4[[#This Row],[Residential Structures Removed Raw]]))*(10)/(ASINH(AN$4))</f>
        <v>0</v>
      </c>
      <c r="AR398" s="253">
        <f>_xlfn.XLOOKUP(FMS_Ranking4[[#This Row],[FMS ID]],FMS_Input[FMS_ID],FMS_Input[REMPOP100])</f>
        <v>0</v>
      </c>
      <c r="AS398" s="259">
        <f>(ASINH(FMS_Ranking4[[#This Row],[Removed Pop Raw]]))*(10)/(ASINH(AR$4))</f>
        <v>0</v>
      </c>
      <c r="AT398" s="262">
        <f>FMS_Ranking4[[#This Row],[Removed population, ArcSinh (0-10)]]*AR$5*10</f>
        <v>0</v>
      </c>
      <c r="AU398" s="264">
        <f>_xlfn.XLOOKUP(FMS_Ranking4[[#This Row],[FMS ID]],FMS_Input[FMS_ID],FMS_Input[REMCRITFAC100])</f>
        <v>0</v>
      </c>
      <c r="AV398" s="264">
        <f>_xlfn.XLOOKUP(FMS_Ranking4[[#This Row],[FMS ID]],FMS_Input[FMS_ID],FMS_Input[REMLWC100])</f>
        <v>0</v>
      </c>
      <c r="AW398" s="264">
        <f>_xlfn.XLOOKUP(FMS_Ranking4[[#This Row],[FMS ID]],FMS_Input[FMS_ID],FMS_Input[REMROADCLS])</f>
        <v>0</v>
      </c>
      <c r="AX398" s="264">
        <f>_xlfn.XLOOKUP(FMS_Ranking4[[#This Row],[FMS ID]],FMS_Input[FMS_ID],FMS_Input[REMFRMACRE100])</f>
        <v>0</v>
      </c>
      <c r="AY398" s="258">
        <f>_xlfn.XLOOKUP(FMS_Ranking4[[#This Row],[FMS ID]],FMS_Input[FMS_ID],FMS_Input[COSTSTRUCT])</f>
        <v>0</v>
      </c>
      <c r="AZ398" s="253">
        <f>_xlfn.XLOOKUP(FMS_Ranking4[[#This Row],[FMS ID]],FMS_Input[FMS_ID],FMS_Input[NATURE])</f>
        <v>0</v>
      </c>
      <c r="BA398" s="262">
        <f>(((FMS_Ranking4[[#This Row],[% NBS Raw]]/AZ$4)*100)*AZ$5)</f>
        <v>0</v>
      </c>
      <c r="BB398" s="251" t="str">
        <f>_xlfn.XLOOKUP(FMS_Ranking4[[#This Row],[FMS ID]],FMS_Input[FMS_ID],FMS_Input[WATER_SUP])</f>
        <v>No</v>
      </c>
      <c r="BC398" s="265">
        <f>IF(FMS_Ranking4[[#This Row],[Water Supply Raw]]="Yes",10,0)</f>
        <v>0</v>
      </c>
      <c r="BD398" s="266">
        <f>_xlfn.XLOOKUP(FMS_Ranking4[[#This Row],[FMS Type]],FMS_TYPE[FMS_Type],FMS_TYPE[Score])</f>
        <v>8</v>
      </c>
      <c r="BE398" s="267">
        <f>FMS_Ranking4[[#This Row],[FMS_Type Score]]*$BD$5*10</f>
        <v>2</v>
      </c>
      <c r="BF39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0.25468629475052346</v>
      </c>
      <c r="BG398" s="271">
        <f>_xlfn.RANK.EQ(BF398,$BF$8:$BF$870,0)+COUNTIF($BF$8:BF398,BF398)-1</f>
        <v>329</v>
      </c>
      <c r="BH398" s="268">
        <f>(((FMS_Ranking4[[#This Row],[Structures Removed Raw]]/AK$4)*100)*AK$5)+(((FMS_Ranking4[[#This Row],[Removed Pop Raw]]/AR$4)*100)*AR$5)</f>
        <v>0</v>
      </c>
      <c r="BI39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2.2546862947505235</v>
      </c>
      <c r="BJ398" s="205">
        <f>_xlfn.RANK.EQ(FMS_Ranking4[[#This Row],[Total Score 
(with linear
normalization)]],FMS_Ranking4[Total Score 
(with linear
normalization)],0)</f>
        <v>311</v>
      </c>
      <c r="BK398" s="205" t="e">
        <f>_xlfn.XLOOKUP(FMS_Ranking4[[#This Row],[FMS ID]],#REF!,#REF!)</f>
        <v>#REF!</v>
      </c>
      <c r="BL39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21.282826722740115</v>
      </c>
      <c r="BM398" s="272">
        <f>FMS_Ranking4[[#This Row],[ArcSinh Score Based on Normalized Reported Factors]]+FMS_Ranking4[[#This Row],[% NBS Score (Normalized)]]+(FMS_Ranking4[[#This Row],[Water Supply Score (Normalized)]]*10*$BB$5)+FMS_Ranking4[[#This Row],[FMS_Type Score Weighted]]</f>
        <v>23.282826722740115</v>
      </c>
      <c r="BN398" s="205">
        <f>_xlfn.RANK.EQ(FMS_Ranking4[[#This Row],[Total Score (with ArcSinh normalization of select criteria)]],FMS_Ranking4[Total Score (with ArcSinh normalization of select criteria)],0)</f>
        <v>391</v>
      </c>
      <c r="BO398" s="270" t="str">
        <f>_xlfn.XLOOKUP(FMS_Ranking4[[#This Row],[FMS ID]],FMS_Input[FMS_ID],FMS_Input[FMS_RANK_YEAR])</f>
        <v>2025 Amended Plan</v>
      </c>
      <c r="BP398" s="204" t="e">
        <f>_xlfn.XLOOKUP(FMS_Ranking4[[#This Row],[FMS ID]],Prev_Rank[FMS ID],Prev_Rank[Prev Rank])</f>
        <v>#N/A</v>
      </c>
      <c r="BQ398" s="205" t="e">
        <f>_xlfn.XLOOKUP(FMS_Ranking4[[#This Row],[FMS ID]],#REF!,#REF!)</f>
        <v>#REF!</v>
      </c>
      <c r="BR398" s="199" t="e">
        <f>SUM(#REF!,#REF!,#REF!,#REF!,#REF!,#REF!,#REF!,#REF!,#REF!,FMS_Ranking4[[#This Row],[ArcSinh Res struct removed 0-10]],#REF!)</f>
        <v>#REF!</v>
      </c>
      <c r="BS398" s="199" t="e">
        <f>FMS_Ranking4[[#This Row],[Log Score Based on Normalized Reported Factors]]+FMS_Ranking4[[#This Row],[% NBS Score (Normalized)]]+(FMS_Ranking4[[#This Row],[Water Supply Score (Normalized)]]*10*$BB$5)+(FMS_Ranking4[[#This Row],[FMS_Type Score Weighted]])</f>
        <v>#REF!</v>
      </c>
      <c r="BT398" s="200" t="e">
        <f>_xlfn.RANK.EQ(FMS_Ranking4[[#This Row],[Log Total Score]],FMS_Ranking4[Log Total Score],0)</f>
        <v>#REF!</v>
      </c>
      <c r="BU398" s="200" t="e">
        <f>_xlfn.XLOOKUP(FMS_Ranking4[[#This Row],[FMS ID]],#REF!,#REF!)</f>
        <v>#REF!</v>
      </c>
      <c r="BV398" s="200">
        <f>FMS_Ranking4[[#This Row],[Region Number]]</f>
        <v>15</v>
      </c>
      <c r="BW398" s="200">
        <f>FMS_Ranking4[[#This Row],[Rank (with ArcSinh normalization of select criteria)]]-FMS_Ranking4[[#This Row],[Rank
(with linear
normalization)]]</f>
        <v>80</v>
      </c>
      <c r="BX398" s="200" t="e">
        <f>FMS_Ranking4[[#This Row],[Log Rank]]-FMS_Ranking4[[#This Row],[Rank
(with linear
normalization)]]</f>
        <v>#REF!</v>
      </c>
      <c r="BY398" s="200" t="str">
        <f>IF(FMS_Ranking4[[#This Row],[FMS Type]]="Flood Measurement and Warning",FMS_Ranking4[[#This Row],[Rank (with ArcSinh normalization of select criteria)]],"")</f>
        <v/>
      </c>
      <c r="BZ398" s="200">
        <f>IF(FMS_Ranking4[[#This Row],[FMS Type]]="Regulatory and Guidance",FMS_Ranking4[[#This Row],[Rank (with ArcSinh normalization of select criteria)]],"")</f>
        <v>391</v>
      </c>
      <c r="CA398" s="200" t="str">
        <f>IF(FMS_Ranking4[[#This Row],[FMS Type]]="Education and Outreach",FMS_Ranking4[[#This Row],[Rank (with ArcSinh normalization of select criteria)]],"")</f>
        <v/>
      </c>
      <c r="CB398" s="200" t="str">
        <f>IF(FMS_Ranking4[[#This Row],[FMS Type]]="Property Acquisition and Structural Elevation",FMS_Ranking4[[#This Row],[Rank (with ArcSinh normalization of select criteria)]],"")</f>
        <v/>
      </c>
      <c r="CC398" s="200" t="str">
        <f>IF(FMS_Ranking4[[#This Row],[FMS Type]]="Infrastructure Projects",FMS_Ranking4[[#This Row],[Rank (with ArcSinh normalization of select criteria)]],"")</f>
        <v/>
      </c>
      <c r="CD398" s="200" t="str">
        <f>IF(FMS_Ranking4[[#This Row],[FMS Type]]="Other",FMS_Ranking4[[#This Row],[Rank (with ArcSinh normalization of select criteria)]],"")</f>
        <v/>
      </c>
      <c r="CE398" s="201"/>
      <c r="CF398" s="206"/>
      <c r="CG398" s="206"/>
      <c r="CH398" s="206"/>
      <c r="CI398" s="206"/>
      <c r="CJ398" s="206"/>
      <c r="CK398" s="206"/>
      <c r="CL398" s="206"/>
      <c r="CM398" s="206"/>
      <c r="CN398" s="206"/>
      <c r="CO398" s="206"/>
      <c r="CP398" s="206"/>
      <c r="CQ398" s="206"/>
      <c r="CR398" s="206"/>
    </row>
    <row r="399" spans="2:96" ht="75" x14ac:dyDescent="0.25">
      <c r="B399" s="341" t="s">
        <v>2209</v>
      </c>
      <c r="C399" s="246">
        <f>_xlfn.XLOOKUP(FMS_Ranking4[[#This Row],[FMS ID]],FMS_Input[FMS_ID],FMS_Input[RFPG_NUM])</f>
        <v>3</v>
      </c>
      <c r="D399" s="309" t="str">
        <f>_xlfn.XLOOKUP(FMS_Ranking4[[#This Row],[FMS ID]],FMS_Input[FMS_ID],FMS_Input[FMS_NAME])</f>
        <v>Grayson County Buyout of Repetitive Flood Properties</v>
      </c>
      <c r="E399" s="308" t="str">
        <f>_xlfn.XLOOKUP(FMS_Ranking4[[#This Row],[FMS ID]],FMS_Input[FMS_ID],FMS_Input[SPONSOR])</f>
        <v>Grayson County</v>
      </c>
      <c r="F399" s="309" t="str">
        <f>_xlfn.XLOOKUP(FMS_Ranking4[[#This Row],[FMS ID]],Sponsor[FMS_ID],Sponsor[SPONSOR NAME])</f>
        <v>Grayson County</v>
      </c>
      <c r="G399" s="309" t="str">
        <f>_xlfn.XLOOKUP(FMS_Ranking4[[#This Row],[FMS ID]],FMS_Input[FMS_ID],FMS_Input[FMS_DESCR])</f>
        <v>Buyout of repetitive flood properties, which includes any structures found to be located in flood areas that aren't incorporated in NFIP areas.</v>
      </c>
      <c r="H399" s="248" t="str">
        <f>_xlfn.XLOOKUP(FMS_Ranking4[[#This Row],[FMS ID]],FMS_Input[FMS_ID],FMS_Input[FMS_TYPE])</f>
        <v>Property Acquisition and Structural Elevation</v>
      </c>
      <c r="I399" s="249">
        <f>_xlfn.XLOOKUP(FMS_Ranking4[[#This Row],[FMS ID]],FMS_Input[FMS_ID],FMS_Input[NRNC_COST])</f>
        <v>500000</v>
      </c>
      <c r="J399" s="250">
        <f>_xlfn.XLOOKUP(FMS_Ranking4[[#This Row],[FMS ID]],FMS_Input[FMS_ID],FMS_Input[FMS_COST])</f>
        <v>5000000</v>
      </c>
      <c r="K399" s="251" t="str">
        <f>_xlfn.XLOOKUP(FMS_Ranking4[[#This Row],[FMS ID]],FMS_Input[FMS_ID],FMS_Input[EMER_NEED])</f>
        <v>No</v>
      </c>
      <c r="L399" s="252">
        <f t="shared" si="6"/>
        <v>0</v>
      </c>
      <c r="M399" s="253">
        <f>_xlfn.XLOOKUP(FMS_Ranking4[[#This Row],[FMS ID]],FMS_Input[FMS_ID],FMS_Input[STRUCT_100])</f>
        <v>436</v>
      </c>
      <c r="N399" s="255">
        <f>(ASINH(FMS_Ranking4[[#This Row],[Structure at Risk Raw]]))*(10)/(ASINH(M$4))</f>
        <v>5.3228496479554925</v>
      </c>
      <c r="O399" s="256">
        <f>FMS_Ranking4[[#This Row],[Structures at risk, ArcSinh (0-10)]]*M$5*10</f>
        <v>5.3228496479554934</v>
      </c>
      <c r="P399" s="253">
        <f>_xlfn.XLOOKUP(FMS_Ranking4[[#This Row],[FMS ID]],FMS_Input[FMS_ID],FMS_Input[RES_STRUCT100])</f>
        <v>376</v>
      </c>
      <c r="Q399" s="257">
        <f>ASINH(FMS_Ranking4[[#This Row],[Res Structure Raw]])/Q$4*P$5*100</f>
        <v>0</v>
      </c>
      <c r="R399" s="253">
        <f>_xlfn.XLOOKUP(FMS_Ranking4[[#This Row],[FMS ID]],FMS_Input[FMS_ID],FMS_Input[POP100])</f>
        <v>514</v>
      </c>
      <c r="S399" s="259">
        <f>(ASINH(FMS_Ranking4[[#This Row],[Pop at Risk Raw]]))*(10)/(ASINH(R$4))</f>
        <v>4.7878906350663044</v>
      </c>
      <c r="T399" s="256">
        <f>FMS_Ranking4[[#This Row],[Population at risk, ArcSinh (0-10)]]*R$5*10</f>
        <v>4.7878906350663044</v>
      </c>
      <c r="U399" s="253">
        <f>_xlfn.XLOOKUP(FMS_Ranking4[[#This Row],[FMS ID]],FMS_Input[FMS_ID],FMS_Input[CRITFAC100])</f>
        <v>5</v>
      </c>
      <c r="V399" s="259">
        <f>(ASINH(FMS_Ranking4[[#This Row],[Critical Facilities Raw]]))*(10)/(ASINH(U$4))</f>
        <v>2.7373815814321909</v>
      </c>
      <c r="W399" s="256">
        <f>FMS_Ranking4[[#This Row],[Critical facilities at risk, ArcSinh (0-10)]]*U$5*10</f>
        <v>2.7373815814321913</v>
      </c>
      <c r="X399" s="253">
        <f>_xlfn.XLOOKUP(FMS_Ranking4[[#This Row],[FMS ID]],FMS_Input[FMS_ID],FMS_Input[LWC])</f>
        <v>1</v>
      </c>
      <c r="Y399" s="259">
        <f>(ASINH(FMS_Ranking4[[#This Row],[LWC Raw]]))*(10)/(ASINH(X$4))</f>
        <v>1.1940300948531093</v>
      </c>
      <c r="Z399" s="256">
        <f>FMS_Ranking4[[#This Row],[LWC, ArcSInh (0-10)]]*X$5*10</f>
        <v>1.1940300948531093</v>
      </c>
      <c r="AA399" s="253">
        <f>_xlfn.XLOOKUP(FMS_Ranking4[[#This Row],[FMS ID]],FMS_Input[FMS_ID],FMS_Input[ROADCLS])</f>
        <v>0</v>
      </c>
      <c r="AB399" s="255">
        <f>(ASINH(FMS_Ranking4[[#This Row],[Road Closures Raw]]))*(10)/(ASINH(AA$4))</f>
        <v>0</v>
      </c>
      <c r="AC399" s="256">
        <f>FMS_Ranking4[[#This Row],[Road closures, ArcSinh (0-10)]]*AA$5*10</f>
        <v>0</v>
      </c>
      <c r="AD399" s="253">
        <f>_xlfn.XLOOKUP(FMS_Ranking4[[#This Row],[FMS ID]],FMS_Input[FMS_ID],FMS_Input[ROAD_MILES100])</f>
        <v>43</v>
      </c>
      <c r="AE399" s="259">
        <f>(ASINH(FMS_Ranking4[[#This Row],[Road Miles Raw]]))*(10)/(ASINH(AD$4))</f>
        <v>4.7472527844273538</v>
      </c>
      <c r="AF399" s="256">
        <f>FMS_Ranking4[[#This Row],[Length of roads at risk, ArcSinh (0-10)]]*AD$5*10</f>
        <v>4.7472527844273538</v>
      </c>
      <c r="AG399" s="253">
        <f>_xlfn.XLOOKUP(FMS_Ranking4[[#This Row],[FMS ID]],FMS_Input[FMS_ID],FMS_Input[FARMACRE100])</f>
        <v>21311.439453125</v>
      </c>
      <c r="AH399" s="255">
        <f>(ASINH(FMS_Ranking4[[#This Row],[Ag Land Raw]]))*(10)/(ASINH(AG$4))</f>
        <v>6.9246335955170482</v>
      </c>
      <c r="AI399" s="260">
        <f>FMS_Ranking4[[#This Row],[Farm &amp; ranch land, ArcSinh (0-10)]]*AG$5*10</f>
        <v>3.4623167977585245</v>
      </c>
      <c r="AJ399" s="258">
        <f>_xlfn.XLOOKUP(FMS_Ranking4[[#This Row],[FMS ID]],FMS_Input[FMS_ID],FMS_Input[REDSTRUCT100])</f>
        <v>0</v>
      </c>
      <c r="AK399" s="253">
        <f>_xlfn.XLOOKUP(FMS_Ranking4[[#This Row],[FMS ID]],FMS_Input[FMS_ID],FMS_Input[REMSTRC100])</f>
        <v>0</v>
      </c>
      <c r="AL399" s="259">
        <f>(ASINH(FMS_Ranking4[[#This Row],[Structures Removed Raw]]))*(10)/(ASINH(AK$4))</f>
        <v>0</v>
      </c>
      <c r="AM399" s="262">
        <f>FMS_Ranking4[[#This Row],[Structures removed, ArcSinh (0-10)]]*AK$5*10</f>
        <v>0</v>
      </c>
      <c r="AN399" s="253">
        <f>_xlfn.XLOOKUP(FMS_Ranking4[[#This Row],[FMS ID]],FMS_Input[FMS_ID],FMS_Input[REMRESSTRC100])</f>
        <v>0</v>
      </c>
      <c r="AO399" s="261">
        <f>FMS_Ranking4[[#This Row],[ArcSinh Res struct removed 0-10]]*AN$5*10</f>
        <v>0</v>
      </c>
      <c r="AP399" s="260">
        <f>ASINH(FMS_Ranking4[[#This Row],[Residential Structures Removed Raw]])/AP$4*AN$5*100</f>
        <v>0</v>
      </c>
      <c r="AQ399" s="254">
        <f>(ASINH(FMS_Ranking4[[#This Row],[Residential Structures Removed Raw]]))*(10)/(ASINH(AN$4))</f>
        <v>0</v>
      </c>
      <c r="AR399" s="253">
        <f>_xlfn.XLOOKUP(FMS_Ranking4[[#This Row],[FMS ID]],FMS_Input[FMS_ID],FMS_Input[REMPOP100])</f>
        <v>0</v>
      </c>
      <c r="AS399" s="259">
        <f>(ASINH(FMS_Ranking4[[#This Row],[Removed Pop Raw]]))*(10)/(ASINH(AR$4))</f>
        <v>0</v>
      </c>
      <c r="AT399" s="262">
        <f>FMS_Ranking4[[#This Row],[Removed population, ArcSinh (0-10)]]*AR$5*10</f>
        <v>0</v>
      </c>
      <c r="AU399" s="264">
        <f>_xlfn.XLOOKUP(FMS_Ranking4[[#This Row],[FMS ID]],FMS_Input[FMS_ID],FMS_Input[REMCRITFAC100])</f>
        <v>0</v>
      </c>
      <c r="AV399" s="264">
        <f>_xlfn.XLOOKUP(FMS_Ranking4[[#This Row],[FMS ID]],FMS_Input[FMS_ID],FMS_Input[REMLWC100])</f>
        <v>0</v>
      </c>
      <c r="AW399" s="264">
        <f>_xlfn.XLOOKUP(FMS_Ranking4[[#This Row],[FMS ID]],FMS_Input[FMS_ID],FMS_Input[REMROADCLS])</f>
        <v>0</v>
      </c>
      <c r="AX399" s="264">
        <f>_xlfn.XLOOKUP(FMS_Ranking4[[#This Row],[FMS ID]],FMS_Input[FMS_ID],FMS_Input[REMFRMACRE100])</f>
        <v>0</v>
      </c>
      <c r="AY399" s="258">
        <f>_xlfn.XLOOKUP(FMS_Ranking4[[#This Row],[FMS ID]],FMS_Input[FMS_ID],FMS_Input[COSTSTRUCT])</f>
        <v>0</v>
      </c>
      <c r="AZ399" s="253">
        <f>_xlfn.XLOOKUP(FMS_Ranking4[[#This Row],[FMS ID]],FMS_Input[FMS_ID],FMS_Input[NATURE])</f>
        <v>0</v>
      </c>
      <c r="BA399" s="262">
        <f>(((FMS_Ranking4[[#This Row],[% NBS Raw]]/AZ$4)*100)*AZ$5)</f>
        <v>0</v>
      </c>
      <c r="BB399" s="251" t="str">
        <f>_xlfn.XLOOKUP(FMS_Ranking4[[#This Row],[FMS ID]],FMS_Input[FMS_ID],FMS_Input[WATER_SUP])</f>
        <v>No</v>
      </c>
      <c r="BC399" s="265">
        <f>IF(FMS_Ranking4[[#This Row],[Water Supply Raw]]="Yes",10,0)</f>
        <v>0</v>
      </c>
      <c r="BD399" s="266">
        <f>_xlfn.XLOOKUP(FMS_Ranking4[[#This Row],[FMS Type]],FMS_TYPE[FMS_Type],FMS_TYPE[Score])</f>
        <v>4</v>
      </c>
      <c r="BE399" s="267">
        <f>FMS_Ranking4[[#This Row],[FMS_Type Score]]*$BD$5*10</f>
        <v>1</v>
      </c>
      <c r="BF39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0.181510033113607</v>
      </c>
      <c r="BG399" s="271">
        <f>_xlfn.RANK.EQ(BF399,$BF$8:$BF$870,0)+COUNTIF($BF$8:BF399,BF399)-1</f>
        <v>378</v>
      </c>
      <c r="BH399" s="268">
        <f>(((FMS_Ranking4[[#This Row],[Structures Removed Raw]]/AK$4)*100)*AK$5)+(((FMS_Ranking4[[#This Row],[Removed Pop Raw]]/AR$4)*100)*AR$5)</f>
        <v>0</v>
      </c>
      <c r="BI39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1.181510033113607</v>
      </c>
      <c r="BJ399" s="205">
        <f>_xlfn.RANK.EQ(FMS_Ranking4[[#This Row],[Total Score 
(with linear
normalization)]],FMS_Ranking4[Total Score 
(with linear
normalization)],0)</f>
        <v>652</v>
      </c>
      <c r="BK399" s="205" t="e">
        <f>_xlfn.XLOOKUP(FMS_Ranking4[[#This Row],[FMS ID]],#REF!,#REF!)</f>
        <v>#REF!</v>
      </c>
      <c r="BL39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22.25172154149298</v>
      </c>
      <c r="BM399" s="272">
        <f>FMS_Ranking4[[#This Row],[ArcSinh Score Based on Normalized Reported Factors]]+FMS_Ranking4[[#This Row],[% NBS Score (Normalized)]]+(FMS_Ranking4[[#This Row],[Water Supply Score (Normalized)]]*10*$BB$5)+FMS_Ranking4[[#This Row],[FMS_Type Score Weighted]]</f>
        <v>23.25172154149298</v>
      </c>
      <c r="BN399" s="205">
        <f>_xlfn.RANK.EQ(FMS_Ranking4[[#This Row],[Total Score (with ArcSinh normalization of select criteria)]],FMS_Ranking4[Total Score (with ArcSinh normalization of select criteria)],0)</f>
        <v>392</v>
      </c>
      <c r="BO399" s="270" t="str">
        <f>_xlfn.XLOOKUP(FMS_Ranking4[[#This Row],[FMS ID]],FMS_Input[FMS_ID],FMS_Input[FMS_RANK_YEAR])</f>
        <v>2023 Amended Plan</v>
      </c>
      <c r="BP399" s="204">
        <f>_xlfn.XLOOKUP(FMS_Ranking4[[#This Row],[FMS ID]],Prev_Rank[FMS ID],Prev_Rank[Prev Rank])</f>
        <v>348</v>
      </c>
      <c r="BQ399" s="205" t="e">
        <f>_xlfn.XLOOKUP(FMS_Ranking4[[#This Row],[FMS ID]],#REF!,#REF!)</f>
        <v>#REF!</v>
      </c>
      <c r="BR399" s="199" t="e">
        <f>SUM(#REF!,#REF!,#REF!,#REF!,#REF!,#REF!,#REF!,#REF!,#REF!,FMS_Ranking4[[#This Row],[ArcSinh Res struct removed 0-10]],#REF!)</f>
        <v>#REF!</v>
      </c>
      <c r="BS399" s="199" t="e">
        <f>FMS_Ranking4[[#This Row],[Log Score Based on Normalized Reported Factors]]+FMS_Ranking4[[#This Row],[% NBS Score (Normalized)]]+(FMS_Ranking4[[#This Row],[Water Supply Score (Normalized)]]*10*$BB$5)+(FMS_Ranking4[[#This Row],[FMS_Type Score Weighted]])</f>
        <v>#REF!</v>
      </c>
      <c r="BT399" s="200" t="e">
        <f>_xlfn.RANK.EQ(FMS_Ranking4[[#This Row],[Log Total Score]],FMS_Ranking4[Log Total Score],0)</f>
        <v>#REF!</v>
      </c>
      <c r="BU399" s="200" t="e">
        <f>_xlfn.XLOOKUP(FMS_Ranking4[[#This Row],[FMS ID]],#REF!,#REF!)</f>
        <v>#REF!</v>
      </c>
      <c r="BV399" s="200">
        <f>FMS_Ranking4[[#This Row],[Region Number]]</f>
        <v>3</v>
      </c>
      <c r="BW399" s="200">
        <f>FMS_Ranking4[[#This Row],[Rank (with ArcSinh normalization of select criteria)]]-FMS_Ranking4[[#This Row],[Rank
(with linear
normalization)]]</f>
        <v>-260</v>
      </c>
      <c r="BX399" s="200" t="e">
        <f>FMS_Ranking4[[#This Row],[Log Rank]]-FMS_Ranking4[[#This Row],[Rank
(with linear
normalization)]]</f>
        <v>#REF!</v>
      </c>
      <c r="BY399" s="200" t="str">
        <f>IF(FMS_Ranking4[[#This Row],[FMS Type]]="Flood Measurement and Warning",FMS_Ranking4[[#This Row],[Rank (with ArcSinh normalization of select criteria)]],"")</f>
        <v/>
      </c>
      <c r="BZ399" s="200" t="str">
        <f>IF(FMS_Ranking4[[#This Row],[FMS Type]]="Regulatory and Guidance",FMS_Ranking4[[#This Row],[Rank (with ArcSinh normalization of select criteria)]],"")</f>
        <v/>
      </c>
      <c r="CA399" s="200" t="str">
        <f>IF(FMS_Ranking4[[#This Row],[FMS Type]]="Education and Outreach",FMS_Ranking4[[#This Row],[Rank (with ArcSinh normalization of select criteria)]],"")</f>
        <v/>
      </c>
      <c r="CB399" s="200">
        <f>IF(FMS_Ranking4[[#This Row],[FMS Type]]="Property Acquisition and Structural Elevation",FMS_Ranking4[[#This Row],[Rank (with ArcSinh normalization of select criteria)]],"")</f>
        <v>392</v>
      </c>
      <c r="CC399" s="200" t="str">
        <f>IF(FMS_Ranking4[[#This Row],[FMS Type]]="Infrastructure Projects",FMS_Ranking4[[#This Row],[Rank (with ArcSinh normalization of select criteria)]],"")</f>
        <v/>
      </c>
      <c r="CD399" s="200" t="str">
        <f>IF(FMS_Ranking4[[#This Row],[FMS Type]]="Other",FMS_Ranking4[[#This Row],[Rank (with ArcSinh normalization of select criteria)]],"")</f>
        <v/>
      </c>
      <c r="CE399" s="201"/>
      <c r="CF399" s="206"/>
      <c r="CG399" s="206"/>
      <c r="CH399" s="206"/>
      <c r="CI399" s="206"/>
      <c r="CJ399" s="206"/>
      <c r="CK399" s="206"/>
      <c r="CL399" s="206"/>
      <c r="CM399" s="206"/>
      <c r="CN399" s="206"/>
      <c r="CO399" s="206"/>
      <c r="CP399" s="206"/>
      <c r="CQ399" s="206"/>
      <c r="CR399" s="206"/>
    </row>
    <row r="400" spans="2:96" ht="105" x14ac:dyDescent="0.25">
      <c r="B400" s="341" t="s">
        <v>659</v>
      </c>
      <c r="C400" s="246">
        <f>_xlfn.XLOOKUP(FMS_Ranking4[[#This Row],[FMS ID]],FMS_Input[FMS_ID],FMS_Input[RFPG_NUM])</f>
        <v>9</v>
      </c>
      <c r="D400" s="309" t="str">
        <f>_xlfn.XLOOKUP(FMS_Ranking4[[#This Row],[FMS ID]],FMS_Input[FMS_ID],FMS_Input[FMS_NAME])</f>
        <v>Cochran County DCM</v>
      </c>
      <c r="E400" s="308" t="str">
        <f>_xlfn.XLOOKUP(FMS_Ranking4[[#This Row],[FMS ID]],FMS_Input[FMS_ID],FMS_Input[SPONSOR])</f>
        <v>00000186</v>
      </c>
      <c r="F400" s="309" t="str">
        <f>_xlfn.XLOOKUP(FMS_Ranking4[[#This Row],[FMS ID]],Sponsor[FMS_ID],Sponsor[SPONSOR NAME])</f>
        <v>Hockley</v>
      </c>
      <c r="G400" s="309" t="str">
        <f>_xlfn.XLOOKUP(FMS_Ranking4[[#This Row],[FMS ID]],FMS_Input[FMS_ID],FMS_Input[FMS_DESCR])</f>
        <v xml:space="preserve">Develop, Pass, and Enforce a Commissioners Court Order prohibiting any dumping in ditches and culverts throughout Cochran County to ensure that flood waters don’t accumulate and flood roadways or buildings. </v>
      </c>
      <c r="H400" s="248" t="str">
        <f>_xlfn.XLOOKUP(FMS_Ranking4[[#This Row],[FMS ID]],FMS_Input[FMS_ID],FMS_Input[FMS_TYPE])</f>
        <v>Other</v>
      </c>
      <c r="I400" s="249">
        <f>_xlfn.XLOOKUP(FMS_Ranking4[[#This Row],[FMS ID]],FMS_Input[FMS_ID],FMS_Input[NRNC_COST])</f>
        <v>75000</v>
      </c>
      <c r="J400" s="250">
        <f>_xlfn.XLOOKUP(FMS_Ranking4[[#This Row],[FMS ID]],FMS_Input[FMS_ID],FMS_Input[FMS_COST])</f>
        <v>100000</v>
      </c>
      <c r="K400" s="251" t="str">
        <f>_xlfn.XLOOKUP(FMS_Ranking4[[#This Row],[FMS ID]],FMS_Input[FMS_ID],FMS_Input[EMER_NEED])</f>
        <v>No</v>
      </c>
      <c r="L400" s="252">
        <f t="shared" si="6"/>
        <v>0</v>
      </c>
      <c r="M400" s="253">
        <f>_xlfn.XLOOKUP(FMS_Ranking4[[#This Row],[FMS ID]],FMS_Input[FMS_ID],FMS_Input[STRUCT_100])</f>
        <v>23</v>
      </c>
      <c r="N400" s="255">
        <f>(ASINH(FMS_Ranking4[[#This Row],[Structure at Risk Raw]]))*(10)/(ASINH(M$4))</f>
        <v>3.0102534605031352</v>
      </c>
      <c r="O400" s="256">
        <f>FMS_Ranking4[[#This Row],[Structures at risk, ArcSinh (0-10)]]*M$5*10</f>
        <v>3.0102534605031357</v>
      </c>
      <c r="P400" s="253">
        <f>_xlfn.XLOOKUP(FMS_Ranking4[[#This Row],[FMS ID]],FMS_Input[FMS_ID],FMS_Input[RES_STRUCT100])</f>
        <v>12</v>
      </c>
      <c r="Q400" s="257">
        <f>ASINH(FMS_Ranking4[[#This Row],[Res Structure Raw]])/Q$4*P$5*100</f>
        <v>0</v>
      </c>
      <c r="R400" s="253">
        <f>_xlfn.XLOOKUP(FMS_Ranking4[[#This Row],[FMS ID]],FMS_Input[FMS_ID],FMS_Input[POP100])</f>
        <v>53</v>
      </c>
      <c r="S400" s="259">
        <f>(ASINH(FMS_Ranking4[[#This Row],[Pop at Risk Raw]]))*(10)/(ASINH(R$4))</f>
        <v>3.2195049358768659</v>
      </c>
      <c r="T400" s="256">
        <f>FMS_Ranking4[[#This Row],[Population at risk, ArcSinh (0-10)]]*R$5*10</f>
        <v>3.2195049358768664</v>
      </c>
      <c r="U400" s="253">
        <f>_xlfn.XLOOKUP(FMS_Ranking4[[#This Row],[FMS ID]],FMS_Input[FMS_ID],FMS_Input[CRITFAC100])</f>
        <v>0</v>
      </c>
      <c r="V400" s="259">
        <f>(ASINH(FMS_Ranking4[[#This Row],[Critical Facilities Raw]]))*(10)/(ASINH(U$4))</f>
        <v>0</v>
      </c>
      <c r="W400" s="256">
        <f>FMS_Ranking4[[#This Row],[Critical facilities at risk, ArcSinh (0-10)]]*U$5*10</f>
        <v>0</v>
      </c>
      <c r="X400" s="253">
        <f>_xlfn.XLOOKUP(FMS_Ranking4[[#This Row],[FMS ID]],FMS_Input[FMS_ID],FMS_Input[LWC])</f>
        <v>0</v>
      </c>
      <c r="Y400" s="259">
        <f>(ASINH(FMS_Ranking4[[#This Row],[LWC Raw]]))*(10)/(ASINH(X$4))</f>
        <v>0</v>
      </c>
      <c r="Z400" s="256">
        <f>FMS_Ranking4[[#This Row],[LWC, ArcSInh (0-10)]]*X$5*10</f>
        <v>0</v>
      </c>
      <c r="AA400" s="253">
        <f>_xlfn.XLOOKUP(FMS_Ranking4[[#This Row],[FMS ID]],FMS_Input[FMS_ID],FMS_Input[ROADCLS])</f>
        <v>0</v>
      </c>
      <c r="AB400" s="255">
        <f>(ASINH(FMS_Ranking4[[#This Row],[Road Closures Raw]]))*(10)/(ASINH(AA$4))</f>
        <v>0</v>
      </c>
      <c r="AC400" s="256">
        <f>FMS_Ranking4[[#This Row],[Road closures, ArcSinh (0-10)]]*AA$5*10</f>
        <v>0</v>
      </c>
      <c r="AD400" s="253">
        <f>_xlfn.XLOOKUP(FMS_Ranking4[[#This Row],[FMS ID]],FMS_Input[FMS_ID],FMS_Input[ROAD_MILES100])</f>
        <v>144</v>
      </c>
      <c r="AE400" s="259">
        <f>(ASINH(FMS_Ranking4[[#This Row],[Road Miles Raw]]))*(10)/(ASINH(AD$4))</f>
        <v>6.0351707026054822</v>
      </c>
      <c r="AF400" s="256">
        <f>FMS_Ranking4[[#This Row],[Length of roads at risk, ArcSinh (0-10)]]*AD$5*10</f>
        <v>6.0351707026054822</v>
      </c>
      <c r="AG400" s="253">
        <f>_xlfn.XLOOKUP(FMS_Ranking4[[#This Row],[FMS ID]],FMS_Input[FMS_ID],FMS_Input[FARMACRE100])</f>
        <v>15614.3564453125</v>
      </c>
      <c r="AH400" s="255">
        <f>(ASINH(FMS_Ranking4[[#This Row],[Ag Land Raw]]))*(10)/(ASINH(AG$4))</f>
        <v>6.7225791906977772</v>
      </c>
      <c r="AI400" s="260">
        <f>FMS_Ranking4[[#This Row],[Farm &amp; ranch land, ArcSinh (0-10)]]*AG$5*10</f>
        <v>3.3612895953488886</v>
      </c>
      <c r="AJ400" s="258">
        <f>_xlfn.XLOOKUP(FMS_Ranking4[[#This Row],[FMS ID]],FMS_Input[FMS_ID],FMS_Input[REDSTRUCT100])</f>
        <v>6</v>
      </c>
      <c r="AK400" s="253">
        <f>_xlfn.XLOOKUP(FMS_Ranking4[[#This Row],[FMS ID]],FMS_Input[FMS_ID],FMS_Input[REMSTRC100])</f>
        <v>6</v>
      </c>
      <c r="AL400" s="259">
        <f>(ASINH(FMS_Ranking4[[#This Row],[Structures Removed Raw]]))*(10)/(ASINH(AK$4))</f>
        <v>2.8370692270516686</v>
      </c>
      <c r="AM400" s="262">
        <f>FMS_Ranking4[[#This Row],[Structures removed, ArcSinh (0-10)]]*AK$5*10</f>
        <v>2.8370692270516691</v>
      </c>
      <c r="AN400" s="253">
        <f>_xlfn.XLOOKUP(FMS_Ranking4[[#This Row],[FMS ID]],FMS_Input[FMS_ID],FMS_Input[REMRESSTRC100])</f>
        <v>3</v>
      </c>
      <c r="AO400" s="261">
        <f>FMS_Ranking4[[#This Row],[ArcSinh Res struct removed 0-10]]*AN$5*10</f>
        <v>1.0665669767293229</v>
      </c>
      <c r="AP400" s="260">
        <f>ASINH(FMS_Ranking4[[#This Row],[Residential Structures Removed Raw]])/AP$4*AN$5*100</f>
        <v>1.0665669767293229</v>
      </c>
      <c r="AQ400" s="254">
        <f>(ASINH(FMS_Ranking4[[#This Row],[Residential Structures Removed Raw]]))*(10)/(ASINH(AN$4))</f>
        <v>2.1331339534586458</v>
      </c>
      <c r="AR400" s="253">
        <f>_xlfn.XLOOKUP(FMS_Ranking4[[#This Row],[FMS ID]],FMS_Input[FMS_ID],FMS_Input[REMPOP100])</f>
        <v>13</v>
      </c>
      <c r="AS400" s="259">
        <f>(ASINH(FMS_Ranking4[[#This Row],[Removed Pop Raw]]))*(10)/(ASINH(AR$4))</f>
        <v>3.1996630560169055</v>
      </c>
      <c r="AT400" s="262">
        <f>FMS_Ranking4[[#This Row],[Removed population, ArcSinh (0-10)]]*AR$5*10</f>
        <v>3.1996630560169059</v>
      </c>
      <c r="AU400" s="264">
        <f>_xlfn.XLOOKUP(FMS_Ranking4[[#This Row],[FMS ID]],FMS_Input[FMS_ID],FMS_Input[REMCRITFAC100])</f>
        <v>0</v>
      </c>
      <c r="AV400" s="264">
        <f>_xlfn.XLOOKUP(FMS_Ranking4[[#This Row],[FMS ID]],FMS_Input[FMS_ID],FMS_Input[REMLWC100])</f>
        <v>0</v>
      </c>
      <c r="AW400" s="264">
        <f>_xlfn.XLOOKUP(FMS_Ranking4[[#This Row],[FMS ID]],FMS_Input[FMS_ID],FMS_Input[REMROADCLS])</f>
        <v>0</v>
      </c>
      <c r="AX400" s="264">
        <f>_xlfn.XLOOKUP(FMS_Ranking4[[#This Row],[FMS ID]],FMS_Input[FMS_ID],FMS_Input[REMFRMACRE100])</f>
        <v>3903.589111328125</v>
      </c>
      <c r="AY400" s="258">
        <f>_xlfn.XLOOKUP(FMS_Ranking4[[#This Row],[FMS ID]],FMS_Input[FMS_ID],FMS_Input[COSTSTRUCT])</f>
        <v>25000</v>
      </c>
      <c r="AZ400" s="253">
        <f>_xlfn.XLOOKUP(FMS_Ranking4[[#This Row],[FMS ID]],FMS_Input[FMS_ID],FMS_Input[NATURE])</f>
        <v>0</v>
      </c>
      <c r="BA400" s="262">
        <f>(((FMS_Ranking4[[#This Row],[% NBS Raw]]/AZ$4)*100)*AZ$5)</f>
        <v>0</v>
      </c>
      <c r="BB400" s="251" t="str">
        <f>_xlfn.XLOOKUP(FMS_Ranking4[[#This Row],[FMS ID]],FMS_Input[FMS_ID],FMS_Input[WATER_SUP])</f>
        <v>No</v>
      </c>
      <c r="BC400" s="265">
        <f>IF(FMS_Ranking4[[#This Row],[Water Supply Raw]]="Yes",10,0)</f>
        <v>0</v>
      </c>
      <c r="BD400" s="266">
        <f>_xlfn.XLOOKUP(FMS_Ranking4[[#This Row],[FMS Type]],FMS_TYPE[FMS_Type],FMS_TYPE[Score])</f>
        <v>2</v>
      </c>
      <c r="BE400" s="267">
        <f>FMS_Ranking4[[#This Row],[FMS_Type Score]]*$BD$5*10</f>
        <v>0.5</v>
      </c>
      <c r="BF40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0.27637237377922663</v>
      </c>
      <c r="BG400" s="271">
        <f>_xlfn.RANK.EQ(BF400,$BF$8:$BF$870,0)+COUNTIF($BF$8:BF400,BF400)-1</f>
        <v>313</v>
      </c>
      <c r="BH400" s="268">
        <f>(((FMS_Ranking4[[#This Row],[Structures Removed Raw]]/AK$4)*100)*AK$5)+(((FMS_Ranking4[[#This Row],[Removed Pop Raw]]/AR$4)*100)*AR$5)</f>
        <v>2.8187683576159701E-2</v>
      </c>
      <c r="BI40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0.80456005735538638</v>
      </c>
      <c r="BJ400" s="205">
        <f>_xlfn.RANK.EQ(FMS_Ranking4[[#This Row],[Total Score 
(with linear
normalization)]],FMS_Ranking4[Total Score 
(with linear
normalization)],0)</f>
        <v>774</v>
      </c>
      <c r="BK400" s="205" t="e">
        <f>_xlfn.XLOOKUP(FMS_Ranking4[[#This Row],[FMS ID]],#REF!,#REF!)</f>
        <v>#REF!</v>
      </c>
      <c r="BL40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22.72951795413227</v>
      </c>
      <c r="BM400" s="272">
        <f>FMS_Ranking4[[#This Row],[ArcSinh Score Based on Normalized Reported Factors]]+FMS_Ranking4[[#This Row],[% NBS Score (Normalized)]]+(FMS_Ranking4[[#This Row],[Water Supply Score (Normalized)]]*10*$BB$5)+FMS_Ranking4[[#This Row],[FMS_Type Score Weighted]]</f>
        <v>23.22951795413227</v>
      </c>
      <c r="BN400" s="205">
        <f>_xlfn.RANK.EQ(FMS_Ranking4[[#This Row],[Total Score (with ArcSinh normalization of select criteria)]],FMS_Ranking4[Total Score (with ArcSinh normalization of select criteria)],0)</f>
        <v>393</v>
      </c>
      <c r="BO400" s="270" t="str">
        <f>_xlfn.XLOOKUP(FMS_Ranking4[[#This Row],[FMS ID]],FMS_Input[FMS_ID],FMS_Input[FMS_RANK_YEAR])</f>
        <v>2023 Amended Plan</v>
      </c>
      <c r="BP400" s="204">
        <f>_xlfn.XLOOKUP(FMS_Ranking4[[#This Row],[FMS ID]],Prev_Rank[FMS ID],Prev_Rank[Prev Rank])</f>
        <v>366</v>
      </c>
      <c r="BQ400" s="205" t="e">
        <f>_xlfn.XLOOKUP(FMS_Ranking4[[#This Row],[FMS ID]],#REF!,#REF!)</f>
        <v>#REF!</v>
      </c>
      <c r="BR400" s="199" t="e">
        <f>SUM(#REF!,#REF!,#REF!,#REF!,#REF!,#REF!,#REF!,#REF!,#REF!,FMS_Ranking4[[#This Row],[ArcSinh Res struct removed 0-10]],#REF!)</f>
        <v>#REF!</v>
      </c>
      <c r="BS400" s="199" t="e">
        <f>FMS_Ranking4[[#This Row],[Log Score Based on Normalized Reported Factors]]+FMS_Ranking4[[#This Row],[% NBS Score (Normalized)]]+(FMS_Ranking4[[#This Row],[Water Supply Score (Normalized)]]*10*$BB$5)+(FMS_Ranking4[[#This Row],[FMS_Type Score Weighted]])</f>
        <v>#REF!</v>
      </c>
      <c r="BT400" s="200" t="e">
        <f>_xlfn.RANK.EQ(FMS_Ranking4[[#This Row],[Log Total Score]],FMS_Ranking4[Log Total Score],0)</f>
        <v>#REF!</v>
      </c>
      <c r="BU400" s="200" t="e">
        <f>_xlfn.XLOOKUP(FMS_Ranking4[[#This Row],[FMS ID]],#REF!,#REF!)</f>
        <v>#REF!</v>
      </c>
      <c r="BV400" s="200">
        <f>FMS_Ranking4[[#This Row],[Region Number]]</f>
        <v>9</v>
      </c>
      <c r="BW400" s="200">
        <f>FMS_Ranking4[[#This Row],[Rank (with ArcSinh normalization of select criteria)]]-FMS_Ranking4[[#This Row],[Rank
(with linear
normalization)]]</f>
        <v>-381</v>
      </c>
      <c r="BX400" s="200" t="e">
        <f>FMS_Ranking4[[#This Row],[Log Rank]]-FMS_Ranking4[[#This Row],[Rank
(with linear
normalization)]]</f>
        <v>#REF!</v>
      </c>
      <c r="BY400" s="200" t="str">
        <f>IF(FMS_Ranking4[[#This Row],[FMS Type]]="Flood Measurement and Warning",FMS_Ranking4[[#This Row],[Rank (with ArcSinh normalization of select criteria)]],"")</f>
        <v/>
      </c>
      <c r="BZ400" s="200" t="str">
        <f>IF(FMS_Ranking4[[#This Row],[FMS Type]]="Regulatory and Guidance",FMS_Ranking4[[#This Row],[Rank (with ArcSinh normalization of select criteria)]],"")</f>
        <v/>
      </c>
      <c r="CA400" s="200" t="str">
        <f>IF(FMS_Ranking4[[#This Row],[FMS Type]]="Education and Outreach",FMS_Ranking4[[#This Row],[Rank (with ArcSinh normalization of select criteria)]],"")</f>
        <v/>
      </c>
      <c r="CB400" s="200" t="str">
        <f>IF(FMS_Ranking4[[#This Row],[FMS Type]]="Property Acquisition and Structural Elevation",FMS_Ranking4[[#This Row],[Rank (with ArcSinh normalization of select criteria)]],"")</f>
        <v/>
      </c>
      <c r="CC400" s="200" t="str">
        <f>IF(FMS_Ranking4[[#This Row],[FMS Type]]="Infrastructure Projects",FMS_Ranking4[[#This Row],[Rank (with ArcSinh normalization of select criteria)]],"")</f>
        <v/>
      </c>
      <c r="CD400" s="200">
        <f>IF(FMS_Ranking4[[#This Row],[FMS Type]]="Other",FMS_Ranking4[[#This Row],[Rank (with ArcSinh normalization of select criteria)]],"")</f>
        <v>393</v>
      </c>
      <c r="CE400" s="201"/>
      <c r="CF400" s="206"/>
      <c r="CG400" s="206"/>
      <c r="CH400" s="206"/>
      <c r="CI400" s="206"/>
      <c r="CJ400" s="206"/>
      <c r="CK400" s="206"/>
      <c r="CL400" s="206"/>
      <c r="CM400" s="206"/>
      <c r="CN400" s="206"/>
      <c r="CO400" s="206"/>
      <c r="CP400" s="206"/>
      <c r="CQ400" s="206"/>
      <c r="CR400" s="206"/>
    </row>
    <row r="401" spans="2:96" ht="45" x14ac:dyDescent="0.25">
      <c r="B401" s="341" t="s">
        <v>646</v>
      </c>
      <c r="C401" s="246">
        <f>_xlfn.XLOOKUP(FMS_Ranking4[[#This Row],[FMS ID]],FMS_Input[FMS_ID],FMS_Input[RFPG_NUM])</f>
        <v>9</v>
      </c>
      <c r="D401" s="309" t="str">
        <f>_xlfn.XLOOKUP(FMS_Ranking4[[#This Row],[FMS ID]],FMS_Input[FMS_ID],FMS_Input[FMS_NAME])</f>
        <v xml:space="preserve">Cochran County Drainage Mainace </v>
      </c>
      <c r="E401" s="308" t="str">
        <f>_xlfn.XLOOKUP(FMS_Ranking4[[#This Row],[FMS ID]],FMS_Input[FMS_ID],FMS_Input[SPONSOR])</f>
        <v>00000186</v>
      </c>
      <c r="F401" s="309" t="str">
        <f>_xlfn.XLOOKUP(FMS_Ranking4[[#This Row],[FMS ID]],Sponsor[FMS_ID],Sponsor[SPONSOR NAME])</f>
        <v>Hockley</v>
      </c>
      <c r="G401" s="309" t="str">
        <f>_xlfn.XLOOKUP(FMS_Ranking4[[#This Row],[FMS ID]],FMS_Input[FMS_ID],FMS_Input[FMS_DESCR])</f>
        <v>Create a maintenance program for the ditches and culverts throughout Cochran</v>
      </c>
      <c r="H401" s="248" t="str">
        <f>_xlfn.XLOOKUP(FMS_Ranking4[[#This Row],[FMS ID]],FMS_Input[FMS_ID],FMS_Input[FMS_TYPE])</f>
        <v>Other</v>
      </c>
      <c r="I401" s="249">
        <f>_xlfn.XLOOKUP(FMS_Ranking4[[#This Row],[FMS ID]],FMS_Input[FMS_ID],FMS_Input[NRNC_COST])</f>
        <v>23000</v>
      </c>
      <c r="J401" s="250">
        <f>_xlfn.XLOOKUP(FMS_Ranking4[[#This Row],[FMS ID]],FMS_Input[FMS_ID],FMS_Input[FMS_COST])</f>
        <v>48000</v>
      </c>
      <c r="K401" s="251" t="str">
        <f>_xlfn.XLOOKUP(FMS_Ranking4[[#This Row],[FMS ID]],FMS_Input[FMS_ID],FMS_Input[EMER_NEED])</f>
        <v>No</v>
      </c>
      <c r="L401" s="252">
        <f t="shared" si="6"/>
        <v>0</v>
      </c>
      <c r="M401" s="253">
        <f>_xlfn.XLOOKUP(FMS_Ranking4[[#This Row],[FMS ID]],FMS_Input[FMS_ID],FMS_Input[STRUCT_100])</f>
        <v>23</v>
      </c>
      <c r="N401" s="255">
        <f>(ASINH(FMS_Ranking4[[#This Row],[Structure at Risk Raw]]))*(10)/(ASINH(M$4))</f>
        <v>3.0102534605031352</v>
      </c>
      <c r="O401" s="256">
        <f>FMS_Ranking4[[#This Row],[Structures at risk, ArcSinh (0-10)]]*M$5*10</f>
        <v>3.0102534605031357</v>
      </c>
      <c r="P401" s="253">
        <f>_xlfn.XLOOKUP(FMS_Ranking4[[#This Row],[FMS ID]],FMS_Input[FMS_ID],FMS_Input[RES_STRUCT100])</f>
        <v>12</v>
      </c>
      <c r="Q401" s="257">
        <f>ASINH(FMS_Ranking4[[#This Row],[Res Structure Raw]])/Q$4*P$5*100</f>
        <v>0</v>
      </c>
      <c r="R401" s="253">
        <f>_xlfn.XLOOKUP(FMS_Ranking4[[#This Row],[FMS ID]],FMS_Input[FMS_ID],FMS_Input[POP100])</f>
        <v>53</v>
      </c>
      <c r="S401" s="259">
        <f>(ASINH(FMS_Ranking4[[#This Row],[Pop at Risk Raw]]))*(10)/(ASINH(R$4))</f>
        <v>3.2195049358768659</v>
      </c>
      <c r="T401" s="256">
        <f>FMS_Ranking4[[#This Row],[Population at risk, ArcSinh (0-10)]]*R$5*10</f>
        <v>3.2195049358768664</v>
      </c>
      <c r="U401" s="253">
        <f>_xlfn.XLOOKUP(FMS_Ranking4[[#This Row],[FMS ID]],FMS_Input[FMS_ID],FMS_Input[CRITFAC100])</f>
        <v>0</v>
      </c>
      <c r="V401" s="259">
        <f>(ASINH(FMS_Ranking4[[#This Row],[Critical Facilities Raw]]))*(10)/(ASINH(U$4))</f>
        <v>0</v>
      </c>
      <c r="W401" s="256">
        <f>FMS_Ranking4[[#This Row],[Critical facilities at risk, ArcSinh (0-10)]]*U$5*10</f>
        <v>0</v>
      </c>
      <c r="X401" s="253">
        <f>_xlfn.XLOOKUP(FMS_Ranking4[[#This Row],[FMS ID]],FMS_Input[FMS_ID],FMS_Input[LWC])</f>
        <v>0</v>
      </c>
      <c r="Y401" s="259">
        <f>(ASINH(FMS_Ranking4[[#This Row],[LWC Raw]]))*(10)/(ASINH(X$4))</f>
        <v>0</v>
      </c>
      <c r="Z401" s="256">
        <f>FMS_Ranking4[[#This Row],[LWC, ArcSInh (0-10)]]*X$5*10</f>
        <v>0</v>
      </c>
      <c r="AA401" s="253">
        <f>_xlfn.XLOOKUP(FMS_Ranking4[[#This Row],[FMS ID]],FMS_Input[FMS_ID],FMS_Input[ROADCLS])</f>
        <v>0</v>
      </c>
      <c r="AB401" s="255">
        <f>(ASINH(FMS_Ranking4[[#This Row],[Road Closures Raw]]))*(10)/(ASINH(AA$4))</f>
        <v>0</v>
      </c>
      <c r="AC401" s="256">
        <f>FMS_Ranking4[[#This Row],[Road closures, ArcSinh (0-10)]]*AA$5*10</f>
        <v>0</v>
      </c>
      <c r="AD401" s="253">
        <f>_xlfn.XLOOKUP(FMS_Ranking4[[#This Row],[FMS ID]],FMS_Input[FMS_ID],FMS_Input[ROAD_MILES100])</f>
        <v>144</v>
      </c>
      <c r="AE401" s="259">
        <f>(ASINH(FMS_Ranking4[[#This Row],[Road Miles Raw]]))*(10)/(ASINH(AD$4))</f>
        <v>6.0351707026054822</v>
      </c>
      <c r="AF401" s="256">
        <f>FMS_Ranking4[[#This Row],[Length of roads at risk, ArcSinh (0-10)]]*AD$5*10</f>
        <v>6.0351707026054822</v>
      </c>
      <c r="AG401" s="253">
        <f>_xlfn.XLOOKUP(FMS_Ranking4[[#This Row],[FMS ID]],FMS_Input[FMS_ID],FMS_Input[FARMACRE100])</f>
        <v>15614.3564453125</v>
      </c>
      <c r="AH401" s="255">
        <f>(ASINH(FMS_Ranking4[[#This Row],[Ag Land Raw]]))*(10)/(ASINH(AG$4))</f>
        <v>6.7225791906977772</v>
      </c>
      <c r="AI401" s="260">
        <f>FMS_Ranking4[[#This Row],[Farm &amp; ranch land, ArcSinh (0-10)]]*AG$5*10</f>
        <v>3.3612895953488886</v>
      </c>
      <c r="AJ401" s="258">
        <f>_xlfn.XLOOKUP(FMS_Ranking4[[#This Row],[FMS ID]],FMS_Input[FMS_ID],FMS_Input[REDSTRUCT100])</f>
        <v>6</v>
      </c>
      <c r="AK401" s="253">
        <f>_xlfn.XLOOKUP(FMS_Ranking4[[#This Row],[FMS ID]],FMS_Input[FMS_ID],FMS_Input[REMSTRC100])</f>
        <v>6</v>
      </c>
      <c r="AL401" s="259">
        <f>(ASINH(FMS_Ranking4[[#This Row],[Structures Removed Raw]]))*(10)/(ASINH(AK$4))</f>
        <v>2.8370692270516686</v>
      </c>
      <c r="AM401" s="262">
        <f>FMS_Ranking4[[#This Row],[Structures removed, ArcSinh (0-10)]]*AK$5*10</f>
        <v>2.8370692270516691</v>
      </c>
      <c r="AN401" s="253">
        <f>_xlfn.XLOOKUP(FMS_Ranking4[[#This Row],[FMS ID]],FMS_Input[FMS_ID],FMS_Input[REMRESSTRC100])</f>
        <v>3</v>
      </c>
      <c r="AO401" s="261">
        <f>FMS_Ranking4[[#This Row],[ArcSinh Res struct removed 0-10]]*AN$5*10</f>
        <v>1.0665669767293229</v>
      </c>
      <c r="AP401" s="260">
        <f>ASINH(FMS_Ranking4[[#This Row],[Residential Structures Removed Raw]])/AP$4*AN$5*100</f>
        <v>1.0665669767293229</v>
      </c>
      <c r="AQ401" s="254">
        <f>(ASINH(FMS_Ranking4[[#This Row],[Residential Structures Removed Raw]]))*(10)/(ASINH(AN$4))</f>
        <v>2.1331339534586458</v>
      </c>
      <c r="AR401" s="253">
        <f>_xlfn.XLOOKUP(FMS_Ranking4[[#This Row],[FMS ID]],FMS_Input[FMS_ID],FMS_Input[REMPOP100])</f>
        <v>13</v>
      </c>
      <c r="AS401" s="259">
        <f>(ASINH(FMS_Ranking4[[#This Row],[Removed Pop Raw]]))*(10)/(ASINH(AR$4))</f>
        <v>3.1996630560169055</v>
      </c>
      <c r="AT401" s="262">
        <f>FMS_Ranking4[[#This Row],[Removed population, ArcSinh (0-10)]]*AR$5*10</f>
        <v>3.1996630560169059</v>
      </c>
      <c r="AU401" s="264">
        <f>_xlfn.XLOOKUP(FMS_Ranking4[[#This Row],[FMS ID]],FMS_Input[FMS_ID],FMS_Input[REMCRITFAC100])</f>
        <v>0</v>
      </c>
      <c r="AV401" s="264">
        <f>_xlfn.XLOOKUP(FMS_Ranking4[[#This Row],[FMS ID]],FMS_Input[FMS_ID],FMS_Input[REMLWC100])</f>
        <v>0</v>
      </c>
      <c r="AW401" s="264">
        <f>_xlfn.XLOOKUP(FMS_Ranking4[[#This Row],[FMS ID]],FMS_Input[FMS_ID],FMS_Input[REMROADCLS])</f>
        <v>0</v>
      </c>
      <c r="AX401" s="264">
        <f>_xlfn.XLOOKUP(FMS_Ranking4[[#This Row],[FMS ID]],FMS_Input[FMS_ID],FMS_Input[REMFRMACRE100])</f>
        <v>3903.589111328125</v>
      </c>
      <c r="AY401" s="258">
        <f>_xlfn.XLOOKUP(FMS_Ranking4[[#This Row],[FMS ID]],FMS_Input[FMS_ID],FMS_Input[COSTSTRUCT])</f>
        <v>25000</v>
      </c>
      <c r="AZ401" s="253">
        <f>_xlfn.XLOOKUP(FMS_Ranking4[[#This Row],[FMS ID]],FMS_Input[FMS_ID],FMS_Input[NATURE])</f>
        <v>0</v>
      </c>
      <c r="BA401" s="262">
        <f>(((FMS_Ranking4[[#This Row],[% NBS Raw]]/AZ$4)*100)*AZ$5)</f>
        <v>0</v>
      </c>
      <c r="BB401" s="251" t="str">
        <f>_xlfn.XLOOKUP(FMS_Ranking4[[#This Row],[FMS ID]],FMS_Input[FMS_ID],FMS_Input[WATER_SUP])</f>
        <v>No</v>
      </c>
      <c r="BC401" s="265">
        <f>IF(FMS_Ranking4[[#This Row],[Water Supply Raw]]="Yes",10,0)</f>
        <v>0</v>
      </c>
      <c r="BD401" s="266">
        <f>_xlfn.XLOOKUP(FMS_Ranking4[[#This Row],[FMS Type]],FMS_TYPE[FMS_Type],FMS_TYPE[Score])</f>
        <v>2</v>
      </c>
      <c r="BE401" s="267">
        <f>FMS_Ranking4[[#This Row],[FMS_Type Score]]*$BD$5*10</f>
        <v>0.5</v>
      </c>
      <c r="BF40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0.27637237377922663</v>
      </c>
      <c r="BG401" s="271">
        <f>_xlfn.RANK.EQ(BF401,$BF$8:$BF$870,0)+COUNTIF($BF$8:BF401,BF401)-1</f>
        <v>314</v>
      </c>
      <c r="BH401" s="268">
        <f>(((FMS_Ranking4[[#This Row],[Structures Removed Raw]]/AK$4)*100)*AK$5)+(((FMS_Ranking4[[#This Row],[Removed Pop Raw]]/AR$4)*100)*AR$5)</f>
        <v>2.8187683576159701E-2</v>
      </c>
      <c r="BI40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0.80456005735538638</v>
      </c>
      <c r="BJ401" s="205">
        <f>_xlfn.RANK.EQ(FMS_Ranking4[[#This Row],[Total Score 
(with linear
normalization)]],FMS_Ranking4[Total Score 
(with linear
normalization)],0)</f>
        <v>774</v>
      </c>
      <c r="BK401" s="205" t="e">
        <f>_xlfn.XLOOKUP(FMS_Ranking4[[#This Row],[FMS ID]],#REF!,#REF!)</f>
        <v>#REF!</v>
      </c>
      <c r="BL40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22.72951795413227</v>
      </c>
      <c r="BM401" s="272">
        <f>FMS_Ranking4[[#This Row],[ArcSinh Score Based on Normalized Reported Factors]]+FMS_Ranking4[[#This Row],[% NBS Score (Normalized)]]+(FMS_Ranking4[[#This Row],[Water Supply Score (Normalized)]]*10*$BB$5)+FMS_Ranking4[[#This Row],[FMS_Type Score Weighted]]</f>
        <v>23.22951795413227</v>
      </c>
      <c r="BN401" s="205">
        <f>_xlfn.RANK.EQ(FMS_Ranking4[[#This Row],[Total Score (with ArcSinh normalization of select criteria)]],FMS_Ranking4[Total Score (with ArcSinh normalization of select criteria)],0)</f>
        <v>393</v>
      </c>
      <c r="BO401" s="270" t="str">
        <f>_xlfn.XLOOKUP(FMS_Ranking4[[#This Row],[FMS ID]],FMS_Input[FMS_ID],FMS_Input[FMS_RANK_YEAR])</f>
        <v>2023 Amended Plan</v>
      </c>
      <c r="BP401" s="204">
        <f>_xlfn.XLOOKUP(FMS_Ranking4[[#This Row],[FMS ID]],Prev_Rank[FMS ID],Prev_Rank[Prev Rank])</f>
        <v>366</v>
      </c>
      <c r="BQ401" s="205" t="e">
        <f>_xlfn.XLOOKUP(FMS_Ranking4[[#This Row],[FMS ID]],#REF!,#REF!)</f>
        <v>#REF!</v>
      </c>
      <c r="BR401" s="199" t="e">
        <f>SUM(#REF!,#REF!,#REF!,#REF!,#REF!,#REF!,#REF!,#REF!,#REF!,FMS_Ranking4[[#This Row],[ArcSinh Res struct removed 0-10]],#REF!)</f>
        <v>#REF!</v>
      </c>
      <c r="BS401" s="199" t="e">
        <f>FMS_Ranking4[[#This Row],[Log Score Based on Normalized Reported Factors]]+FMS_Ranking4[[#This Row],[% NBS Score (Normalized)]]+(FMS_Ranking4[[#This Row],[Water Supply Score (Normalized)]]*10*$BB$5)+(FMS_Ranking4[[#This Row],[FMS_Type Score Weighted]])</f>
        <v>#REF!</v>
      </c>
      <c r="BT401" s="200" t="e">
        <f>_xlfn.RANK.EQ(FMS_Ranking4[[#This Row],[Log Total Score]],FMS_Ranking4[Log Total Score],0)</f>
        <v>#REF!</v>
      </c>
      <c r="BU401" s="200" t="e">
        <f>_xlfn.XLOOKUP(FMS_Ranking4[[#This Row],[FMS ID]],#REF!,#REF!)</f>
        <v>#REF!</v>
      </c>
      <c r="BV401" s="200">
        <f>FMS_Ranking4[[#This Row],[Region Number]]</f>
        <v>9</v>
      </c>
      <c r="BW401" s="200">
        <f>FMS_Ranking4[[#This Row],[Rank (with ArcSinh normalization of select criteria)]]-FMS_Ranking4[[#This Row],[Rank
(with linear
normalization)]]</f>
        <v>-381</v>
      </c>
      <c r="BX401" s="200" t="e">
        <f>FMS_Ranking4[[#This Row],[Log Rank]]-FMS_Ranking4[[#This Row],[Rank
(with linear
normalization)]]</f>
        <v>#REF!</v>
      </c>
      <c r="BY401" s="200" t="str">
        <f>IF(FMS_Ranking4[[#This Row],[FMS Type]]="Flood Measurement and Warning",FMS_Ranking4[[#This Row],[Rank (with ArcSinh normalization of select criteria)]],"")</f>
        <v/>
      </c>
      <c r="BZ401" s="200" t="str">
        <f>IF(FMS_Ranking4[[#This Row],[FMS Type]]="Regulatory and Guidance",FMS_Ranking4[[#This Row],[Rank (with ArcSinh normalization of select criteria)]],"")</f>
        <v/>
      </c>
      <c r="CA401" s="200" t="str">
        <f>IF(FMS_Ranking4[[#This Row],[FMS Type]]="Education and Outreach",FMS_Ranking4[[#This Row],[Rank (with ArcSinh normalization of select criteria)]],"")</f>
        <v/>
      </c>
      <c r="CB401" s="200" t="str">
        <f>IF(FMS_Ranking4[[#This Row],[FMS Type]]="Property Acquisition and Structural Elevation",FMS_Ranking4[[#This Row],[Rank (with ArcSinh normalization of select criteria)]],"")</f>
        <v/>
      </c>
      <c r="CC401" s="200" t="str">
        <f>IF(FMS_Ranking4[[#This Row],[FMS Type]]="Infrastructure Projects",FMS_Ranking4[[#This Row],[Rank (with ArcSinh normalization of select criteria)]],"")</f>
        <v/>
      </c>
      <c r="CD401" s="200">
        <f>IF(FMS_Ranking4[[#This Row],[FMS Type]]="Other",FMS_Ranking4[[#This Row],[Rank (with ArcSinh normalization of select criteria)]],"")</f>
        <v>393</v>
      </c>
      <c r="CE401" s="201"/>
      <c r="CF401" s="206"/>
      <c r="CG401" s="206"/>
      <c r="CH401" s="206"/>
      <c r="CI401" s="206"/>
      <c r="CJ401" s="206"/>
      <c r="CK401" s="206"/>
      <c r="CL401" s="206"/>
      <c r="CM401" s="206"/>
      <c r="CN401" s="206"/>
      <c r="CO401" s="206"/>
      <c r="CP401" s="206"/>
      <c r="CQ401" s="206"/>
      <c r="CR401" s="206"/>
    </row>
    <row r="402" spans="2:96" ht="105" x14ac:dyDescent="0.25">
      <c r="B402" s="341" t="s">
        <v>656</v>
      </c>
      <c r="C402" s="246">
        <f>_xlfn.XLOOKUP(FMS_Ranking4[[#This Row],[FMS ID]],FMS_Input[FMS_ID],FMS_Input[RFPG_NUM])</f>
        <v>9</v>
      </c>
      <c r="D402" s="309" t="str">
        <f>_xlfn.XLOOKUP(FMS_Ranking4[[#This Row],[FMS ID]],FMS_Input[FMS_ID],FMS_Input[FMS_NAME])</f>
        <v xml:space="preserve">Cochran County Inundation Awareness </v>
      </c>
      <c r="E402" s="308" t="str">
        <f>_xlfn.XLOOKUP(FMS_Ranking4[[#This Row],[FMS ID]],FMS_Input[FMS_ID],FMS_Input[SPONSOR])</f>
        <v>00000186</v>
      </c>
      <c r="F402" s="309" t="str">
        <f>_xlfn.XLOOKUP(FMS_Ranking4[[#This Row],[FMS ID]],Sponsor[FMS_ID],Sponsor[SPONSOR NAME])</f>
        <v>Hockley</v>
      </c>
      <c r="G402" s="309" t="str">
        <f>_xlfn.XLOOKUP(FMS_Ranking4[[#This Row],[FMS ID]],FMS_Input[FMS_ID],FMS_Input[FMS_DESCR])</f>
        <v>Develop programs for school students, civic groups, and the general public about the dangers of flash flooding in the county; to include printed materials placed throughout the county</v>
      </c>
      <c r="H402" s="248" t="str">
        <f>_xlfn.XLOOKUP(FMS_Ranking4[[#This Row],[FMS ID]],FMS_Input[FMS_ID],FMS_Input[FMS_TYPE])</f>
        <v>Other</v>
      </c>
      <c r="I402" s="249">
        <f>_xlfn.XLOOKUP(FMS_Ranking4[[#This Row],[FMS ID]],FMS_Input[FMS_ID],FMS_Input[NRNC_COST])</f>
        <v>5000</v>
      </c>
      <c r="J402" s="250">
        <f>_xlfn.XLOOKUP(FMS_Ranking4[[#This Row],[FMS ID]],FMS_Input[FMS_ID],FMS_Input[FMS_COST])</f>
        <v>30000</v>
      </c>
      <c r="K402" s="251" t="str">
        <f>_xlfn.XLOOKUP(FMS_Ranking4[[#This Row],[FMS ID]],FMS_Input[FMS_ID],FMS_Input[EMER_NEED])</f>
        <v>No</v>
      </c>
      <c r="L402" s="252">
        <f t="shared" si="6"/>
        <v>0</v>
      </c>
      <c r="M402" s="253">
        <f>_xlfn.XLOOKUP(FMS_Ranking4[[#This Row],[FMS ID]],FMS_Input[FMS_ID],FMS_Input[STRUCT_100])</f>
        <v>23</v>
      </c>
      <c r="N402" s="255">
        <f>(ASINH(FMS_Ranking4[[#This Row],[Structure at Risk Raw]]))*(10)/(ASINH(M$4))</f>
        <v>3.0102534605031352</v>
      </c>
      <c r="O402" s="256">
        <f>FMS_Ranking4[[#This Row],[Structures at risk, ArcSinh (0-10)]]*M$5*10</f>
        <v>3.0102534605031357</v>
      </c>
      <c r="P402" s="253">
        <f>_xlfn.XLOOKUP(FMS_Ranking4[[#This Row],[FMS ID]],FMS_Input[FMS_ID],FMS_Input[RES_STRUCT100])</f>
        <v>12</v>
      </c>
      <c r="Q402" s="257">
        <f>ASINH(FMS_Ranking4[[#This Row],[Res Structure Raw]])/Q$4*P$5*100</f>
        <v>0</v>
      </c>
      <c r="R402" s="253">
        <f>_xlfn.XLOOKUP(FMS_Ranking4[[#This Row],[FMS ID]],FMS_Input[FMS_ID],FMS_Input[POP100])</f>
        <v>53</v>
      </c>
      <c r="S402" s="259">
        <f>(ASINH(FMS_Ranking4[[#This Row],[Pop at Risk Raw]]))*(10)/(ASINH(R$4))</f>
        <v>3.2195049358768659</v>
      </c>
      <c r="T402" s="256">
        <f>FMS_Ranking4[[#This Row],[Population at risk, ArcSinh (0-10)]]*R$5*10</f>
        <v>3.2195049358768664</v>
      </c>
      <c r="U402" s="253">
        <f>_xlfn.XLOOKUP(FMS_Ranking4[[#This Row],[FMS ID]],FMS_Input[FMS_ID],FMS_Input[CRITFAC100])</f>
        <v>0</v>
      </c>
      <c r="V402" s="259">
        <f>(ASINH(FMS_Ranking4[[#This Row],[Critical Facilities Raw]]))*(10)/(ASINH(U$4))</f>
        <v>0</v>
      </c>
      <c r="W402" s="256">
        <f>FMS_Ranking4[[#This Row],[Critical facilities at risk, ArcSinh (0-10)]]*U$5*10</f>
        <v>0</v>
      </c>
      <c r="X402" s="253">
        <f>_xlfn.XLOOKUP(FMS_Ranking4[[#This Row],[FMS ID]],FMS_Input[FMS_ID],FMS_Input[LWC])</f>
        <v>0</v>
      </c>
      <c r="Y402" s="259">
        <f>(ASINH(FMS_Ranking4[[#This Row],[LWC Raw]]))*(10)/(ASINH(X$4))</f>
        <v>0</v>
      </c>
      <c r="Z402" s="256">
        <f>FMS_Ranking4[[#This Row],[LWC, ArcSInh (0-10)]]*X$5*10</f>
        <v>0</v>
      </c>
      <c r="AA402" s="253">
        <f>_xlfn.XLOOKUP(FMS_Ranking4[[#This Row],[FMS ID]],FMS_Input[FMS_ID],FMS_Input[ROADCLS])</f>
        <v>0</v>
      </c>
      <c r="AB402" s="255">
        <f>(ASINH(FMS_Ranking4[[#This Row],[Road Closures Raw]]))*(10)/(ASINH(AA$4))</f>
        <v>0</v>
      </c>
      <c r="AC402" s="256">
        <f>FMS_Ranking4[[#This Row],[Road closures, ArcSinh (0-10)]]*AA$5*10</f>
        <v>0</v>
      </c>
      <c r="AD402" s="253">
        <f>_xlfn.XLOOKUP(FMS_Ranking4[[#This Row],[FMS ID]],FMS_Input[FMS_ID],FMS_Input[ROAD_MILES100])</f>
        <v>144</v>
      </c>
      <c r="AE402" s="259">
        <f>(ASINH(FMS_Ranking4[[#This Row],[Road Miles Raw]]))*(10)/(ASINH(AD$4))</f>
        <v>6.0351707026054822</v>
      </c>
      <c r="AF402" s="256">
        <f>FMS_Ranking4[[#This Row],[Length of roads at risk, ArcSinh (0-10)]]*AD$5*10</f>
        <v>6.0351707026054822</v>
      </c>
      <c r="AG402" s="253">
        <f>_xlfn.XLOOKUP(FMS_Ranking4[[#This Row],[FMS ID]],FMS_Input[FMS_ID],FMS_Input[FARMACRE100])</f>
        <v>15614.3564453125</v>
      </c>
      <c r="AH402" s="255">
        <f>(ASINH(FMS_Ranking4[[#This Row],[Ag Land Raw]]))*(10)/(ASINH(AG$4))</f>
        <v>6.7225791906977772</v>
      </c>
      <c r="AI402" s="260">
        <f>FMS_Ranking4[[#This Row],[Farm &amp; ranch land, ArcSinh (0-10)]]*AG$5*10</f>
        <v>3.3612895953488886</v>
      </c>
      <c r="AJ402" s="258">
        <f>_xlfn.XLOOKUP(FMS_Ranking4[[#This Row],[FMS ID]],FMS_Input[FMS_ID],FMS_Input[REDSTRUCT100])</f>
        <v>6</v>
      </c>
      <c r="AK402" s="253">
        <f>_xlfn.XLOOKUP(FMS_Ranking4[[#This Row],[FMS ID]],FMS_Input[FMS_ID],FMS_Input[REMSTRC100])</f>
        <v>6</v>
      </c>
      <c r="AL402" s="259">
        <f>(ASINH(FMS_Ranking4[[#This Row],[Structures Removed Raw]]))*(10)/(ASINH(AK$4))</f>
        <v>2.8370692270516686</v>
      </c>
      <c r="AM402" s="262">
        <f>FMS_Ranking4[[#This Row],[Structures removed, ArcSinh (0-10)]]*AK$5*10</f>
        <v>2.8370692270516691</v>
      </c>
      <c r="AN402" s="253">
        <f>_xlfn.XLOOKUP(FMS_Ranking4[[#This Row],[FMS ID]],FMS_Input[FMS_ID],FMS_Input[REMRESSTRC100])</f>
        <v>3</v>
      </c>
      <c r="AO402" s="261">
        <f>FMS_Ranking4[[#This Row],[ArcSinh Res struct removed 0-10]]*AN$5*10</f>
        <v>1.0665669767293229</v>
      </c>
      <c r="AP402" s="260">
        <f>ASINH(FMS_Ranking4[[#This Row],[Residential Structures Removed Raw]])/AP$4*AN$5*100</f>
        <v>1.0665669767293229</v>
      </c>
      <c r="AQ402" s="254">
        <f>(ASINH(FMS_Ranking4[[#This Row],[Residential Structures Removed Raw]]))*(10)/(ASINH(AN$4))</f>
        <v>2.1331339534586458</v>
      </c>
      <c r="AR402" s="253">
        <f>_xlfn.XLOOKUP(FMS_Ranking4[[#This Row],[FMS ID]],FMS_Input[FMS_ID],FMS_Input[REMPOP100])</f>
        <v>13</v>
      </c>
      <c r="AS402" s="259">
        <f>(ASINH(FMS_Ranking4[[#This Row],[Removed Pop Raw]]))*(10)/(ASINH(AR$4))</f>
        <v>3.1996630560169055</v>
      </c>
      <c r="AT402" s="262">
        <f>FMS_Ranking4[[#This Row],[Removed population, ArcSinh (0-10)]]*AR$5*10</f>
        <v>3.1996630560169059</v>
      </c>
      <c r="AU402" s="264">
        <f>_xlfn.XLOOKUP(FMS_Ranking4[[#This Row],[FMS ID]],FMS_Input[FMS_ID],FMS_Input[REMCRITFAC100])</f>
        <v>0</v>
      </c>
      <c r="AV402" s="264">
        <f>_xlfn.XLOOKUP(FMS_Ranking4[[#This Row],[FMS ID]],FMS_Input[FMS_ID],FMS_Input[REMLWC100])</f>
        <v>0</v>
      </c>
      <c r="AW402" s="264">
        <f>_xlfn.XLOOKUP(FMS_Ranking4[[#This Row],[FMS ID]],FMS_Input[FMS_ID],FMS_Input[REMROADCLS])</f>
        <v>0</v>
      </c>
      <c r="AX402" s="264">
        <f>_xlfn.XLOOKUP(FMS_Ranking4[[#This Row],[FMS ID]],FMS_Input[FMS_ID],FMS_Input[REMFRMACRE100])</f>
        <v>3903.589111328125</v>
      </c>
      <c r="AY402" s="258">
        <f>_xlfn.XLOOKUP(FMS_Ranking4[[#This Row],[FMS ID]],FMS_Input[FMS_ID],FMS_Input[COSTSTRUCT])</f>
        <v>25000</v>
      </c>
      <c r="AZ402" s="253">
        <f>_xlfn.XLOOKUP(FMS_Ranking4[[#This Row],[FMS ID]],FMS_Input[FMS_ID],FMS_Input[NATURE])</f>
        <v>0</v>
      </c>
      <c r="BA402" s="262">
        <f>(((FMS_Ranking4[[#This Row],[% NBS Raw]]/AZ$4)*100)*AZ$5)</f>
        <v>0</v>
      </c>
      <c r="BB402" s="251" t="str">
        <f>_xlfn.XLOOKUP(FMS_Ranking4[[#This Row],[FMS ID]],FMS_Input[FMS_ID],FMS_Input[WATER_SUP])</f>
        <v>No</v>
      </c>
      <c r="BC402" s="265">
        <f>IF(FMS_Ranking4[[#This Row],[Water Supply Raw]]="Yes",10,0)</f>
        <v>0</v>
      </c>
      <c r="BD402" s="266">
        <f>_xlfn.XLOOKUP(FMS_Ranking4[[#This Row],[FMS Type]],FMS_TYPE[FMS_Type],FMS_TYPE[Score])</f>
        <v>2</v>
      </c>
      <c r="BE402" s="267">
        <f>FMS_Ranking4[[#This Row],[FMS_Type Score]]*$BD$5*10</f>
        <v>0.5</v>
      </c>
      <c r="BF40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0.27637237377922663</v>
      </c>
      <c r="BG402" s="269">
        <f>_xlfn.RANK.EQ(BF402,$BF$8:$BF$870,0)+COUNTIF($BF$8:BF402,BF402)-1</f>
        <v>315</v>
      </c>
      <c r="BH402" s="268">
        <f>(((FMS_Ranking4[[#This Row],[Structures Removed Raw]]/AK$4)*100)*AK$5)+(((FMS_Ranking4[[#This Row],[Removed Pop Raw]]/AR$4)*100)*AR$5)</f>
        <v>2.8187683576159701E-2</v>
      </c>
      <c r="BI40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0.80456005735538638</v>
      </c>
      <c r="BJ402" s="204">
        <f>_xlfn.RANK.EQ(FMS_Ranking4[[#This Row],[Total Score 
(with linear
normalization)]],FMS_Ranking4[Total Score 
(with linear
normalization)],0)</f>
        <v>774</v>
      </c>
      <c r="BK402" s="204" t="e">
        <f>_xlfn.XLOOKUP(FMS_Ranking4[[#This Row],[FMS ID]],#REF!,#REF!)</f>
        <v>#REF!</v>
      </c>
      <c r="BL402"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22.72951795413227</v>
      </c>
      <c r="BM402" s="270">
        <f>FMS_Ranking4[[#This Row],[ArcSinh Score Based on Normalized Reported Factors]]+FMS_Ranking4[[#This Row],[% NBS Score (Normalized)]]+(FMS_Ranking4[[#This Row],[Water Supply Score (Normalized)]]*10*$BB$5)+FMS_Ranking4[[#This Row],[FMS_Type Score Weighted]]</f>
        <v>23.22951795413227</v>
      </c>
      <c r="BN402" s="204">
        <f>_xlfn.RANK.EQ(FMS_Ranking4[[#This Row],[Total Score (with ArcSinh normalization of select criteria)]],FMS_Ranking4[Total Score (with ArcSinh normalization of select criteria)],0)</f>
        <v>393</v>
      </c>
      <c r="BO402" s="270" t="str">
        <f>_xlfn.XLOOKUP(FMS_Ranking4[[#This Row],[FMS ID]],FMS_Input[FMS_ID],FMS_Input[FMS_RANK_YEAR])</f>
        <v>2023 Amended Plan</v>
      </c>
      <c r="BP402" s="204">
        <f>_xlfn.XLOOKUP(FMS_Ranking4[[#This Row],[FMS ID]],Prev_Rank[FMS ID],Prev_Rank[Prev Rank])</f>
        <v>366</v>
      </c>
      <c r="BQ402" s="204" t="e">
        <f>_xlfn.XLOOKUP(FMS_Ranking4[[#This Row],[FMS ID]],#REF!,#REF!)</f>
        <v>#REF!</v>
      </c>
      <c r="BR402" s="199" t="e">
        <f>SUM(#REF!,#REF!,#REF!,#REF!,#REF!,#REF!,#REF!,#REF!,#REF!,FMS_Ranking4[[#This Row],[ArcSinh Res struct removed 0-10]],#REF!)</f>
        <v>#REF!</v>
      </c>
      <c r="BS402" s="199" t="e">
        <f>FMS_Ranking4[[#This Row],[Log Score Based on Normalized Reported Factors]]+FMS_Ranking4[[#This Row],[% NBS Score (Normalized)]]+(FMS_Ranking4[[#This Row],[Water Supply Score (Normalized)]]*10*$BB$5)+(FMS_Ranking4[[#This Row],[FMS_Type Score Weighted]])</f>
        <v>#REF!</v>
      </c>
      <c r="BT402" s="200" t="e">
        <f>_xlfn.RANK.EQ(FMS_Ranking4[[#This Row],[Log Total Score]],FMS_Ranking4[Log Total Score],0)</f>
        <v>#REF!</v>
      </c>
      <c r="BU402" s="200" t="e">
        <f>_xlfn.XLOOKUP(FMS_Ranking4[[#This Row],[FMS ID]],#REF!,#REF!)</f>
        <v>#REF!</v>
      </c>
      <c r="BV402" s="200">
        <f>FMS_Ranking4[[#This Row],[Region Number]]</f>
        <v>9</v>
      </c>
      <c r="BW402" s="200">
        <f>FMS_Ranking4[[#This Row],[Rank (with ArcSinh normalization of select criteria)]]-FMS_Ranking4[[#This Row],[Rank
(with linear
normalization)]]</f>
        <v>-381</v>
      </c>
      <c r="BX402" s="200" t="e">
        <f>FMS_Ranking4[[#This Row],[Log Rank]]-FMS_Ranking4[[#This Row],[Rank
(with linear
normalization)]]</f>
        <v>#REF!</v>
      </c>
      <c r="BY402" s="200" t="str">
        <f>IF(FMS_Ranking4[[#This Row],[FMS Type]]="Flood Measurement and Warning",FMS_Ranking4[[#This Row],[Rank (with ArcSinh normalization of select criteria)]],"")</f>
        <v/>
      </c>
      <c r="BZ402" s="200" t="str">
        <f>IF(FMS_Ranking4[[#This Row],[FMS Type]]="Regulatory and Guidance",FMS_Ranking4[[#This Row],[Rank (with ArcSinh normalization of select criteria)]],"")</f>
        <v/>
      </c>
      <c r="CA402" s="200" t="str">
        <f>IF(FMS_Ranking4[[#This Row],[FMS Type]]="Education and Outreach",FMS_Ranking4[[#This Row],[Rank (with ArcSinh normalization of select criteria)]],"")</f>
        <v/>
      </c>
      <c r="CB402" s="200" t="str">
        <f>IF(FMS_Ranking4[[#This Row],[FMS Type]]="Property Acquisition and Structural Elevation",FMS_Ranking4[[#This Row],[Rank (with ArcSinh normalization of select criteria)]],"")</f>
        <v/>
      </c>
      <c r="CC402" s="200" t="str">
        <f>IF(FMS_Ranking4[[#This Row],[FMS Type]]="Infrastructure Projects",FMS_Ranking4[[#This Row],[Rank (with ArcSinh normalization of select criteria)]],"")</f>
        <v/>
      </c>
      <c r="CD402" s="200">
        <f>IF(FMS_Ranking4[[#This Row],[FMS Type]]="Other",FMS_Ranking4[[#This Row],[Rank (with ArcSinh normalization of select criteria)]],"")</f>
        <v>393</v>
      </c>
      <c r="CE402" s="201"/>
      <c r="CF402" s="206"/>
      <c r="CG402" s="206"/>
      <c r="CH402" s="206"/>
      <c r="CI402" s="206"/>
      <c r="CJ402" s="206"/>
      <c r="CK402" s="206"/>
      <c r="CL402" s="206"/>
      <c r="CM402" s="206"/>
      <c r="CN402" s="206"/>
      <c r="CO402" s="206"/>
      <c r="CP402" s="206"/>
      <c r="CQ402" s="206"/>
      <c r="CR402" s="206"/>
    </row>
    <row r="403" spans="2:96" ht="30" x14ac:dyDescent="0.25">
      <c r="B403" s="341" t="s">
        <v>934</v>
      </c>
      <c r="C403" s="246">
        <f>_xlfn.XLOOKUP(FMS_Ranking4[[#This Row],[FMS ID]],FMS_Input[FMS_ID],FMS_Input[RFPG_NUM])</f>
        <v>9</v>
      </c>
      <c r="D403" s="309" t="str">
        <f>_xlfn.XLOOKUP(FMS_Ranking4[[#This Row],[FMS ID]],FMS_Input[FMS_ID],FMS_Input[FMS_NAME])</f>
        <v>Cochran County NFIP Application</v>
      </c>
      <c r="E403" s="308" t="str">
        <f>_xlfn.XLOOKUP(FMS_Ranking4[[#This Row],[FMS ID]],FMS_Input[FMS_ID],FMS_Input[SPONSOR])</f>
        <v>00000187</v>
      </c>
      <c r="F403" s="309" t="str">
        <f>_xlfn.XLOOKUP(FMS_Ranking4[[#This Row],[FMS ID]],Sponsor[FMS_ID],Sponsor[SPONSOR NAME])</f>
        <v>Cochran</v>
      </c>
      <c r="G403" s="309" t="str">
        <f>_xlfn.XLOOKUP(FMS_Ranking4[[#This Row],[FMS ID]],FMS_Input[FMS_ID],FMS_Input[FMS_DESCR])</f>
        <v xml:space="preserve">Join the National Flood Insurance Program (NFIP). </v>
      </c>
      <c r="H403" s="248" t="str">
        <f>_xlfn.XLOOKUP(FMS_Ranking4[[#This Row],[FMS ID]],FMS_Input[FMS_ID],FMS_Input[FMS_TYPE])</f>
        <v>Other</v>
      </c>
      <c r="I403" s="249">
        <f>_xlfn.XLOOKUP(FMS_Ranking4[[#This Row],[FMS ID]],FMS_Input[FMS_ID],FMS_Input[NRNC_COST])</f>
        <v>5000</v>
      </c>
      <c r="J403" s="250">
        <f>_xlfn.XLOOKUP(FMS_Ranking4[[#This Row],[FMS ID]],FMS_Input[FMS_ID],FMS_Input[FMS_COST])</f>
        <v>30000</v>
      </c>
      <c r="K403" s="251" t="str">
        <f>_xlfn.XLOOKUP(FMS_Ranking4[[#This Row],[FMS ID]],FMS_Input[FMS_ID],FMS_Input[EMER_NEED])</f>
        <v>No</v>
      </c>
      <c r="L403" s="252">
        <f t="shared" si="6"/>
        <v>0</v>
      </c>
      <c r="M403" s="253">
        <f>_xlfn.XLOOKUP(FMS_Ranking4[[#This Row],[FMS ID]],FMS_Input[FMS_ID],FMS_Input[STRUCT_100])</f>
        <v>23</v>
      </c>
      <c r="N403" s="255">
        <f>(ASINH(FMS_Ranking4[[#This Row],[Structure at Risk Raw]]))*(10)/(ASINH(M$4))</f>
        <v>3.0102534605031352</v>
      </c>
      <c r="O403" s="256">
        <f>FMS_Ranking4[[#This Row],[Structures at risk, ArcSinh (0-10)]]*M$5*10</f>
        <v>3.0102534605031357</v>
      </c>
      <c r="P403" s="253">
        <f>_xlfn.XLOOKUP(FMS_Ranking4[[#This Row],[FMS ID]],FMS_Input[FMS_ID],FMS_Input[RES_STRUCT100])</f>
        <v>12</v>
      </c>
      <c r="Q403" s="257">
        <f>ASINH(FMS_Ranking4[[#This Row],[Res Structure Raw]])/Q$4*P$5*100</f>
        <v>0</v>
      </c>
      <c r="R403" s="253">
        <f>_xlfn.XLOOKUP(FMS_Ranking4[[#This Row],[FMS ID]],FMS_Input[FMS_ID],FMS_Input[POP100])</f>
        <v>53</v>
      </c>
      <c r="S403" s="259">
        <f>(ASINH(FMS_Ranking4[[#This Row],[Pop at Risk Raw]]))*(10)/(ASINH(R$4))</f>
        <v>3.2195049358768659</v>
      </c>
      <c r="T403" s="256">
        <f>FMS_Ranking4[[#This Row],[Population at risk, ArcSinh (0-10)]]*R$5*10</f>
        <v>3.2195049358768664</v>
      </c>
      <c r="U403" s="253">
        <f>_xlfn.XLOOKUP(FMS_Ranking4[[#This Row],[FMS ID]],FMS_Input[FMS_ID],FMS_Input[CRITFAC100])</f>
        <v>0</v>
      </c>
      <c r="V403" s="259">
        <f>(ASINH(FMS_Ranking4[[#This Row],[Critical Facilities Raw]]))*(10)/(ASINH(U$4))</f>
        <v>0</v>
      </c>
      <c r="W403" s="256">
        <f>FMS_Ranking4[[#This Row],[Critical facilities at risk, ArcSinh (0-10)]]*U$5*10</f>
        <v>0</v>
      </c>
      <c r="X403" s="253">
        <f>_xlfn.XLOOKUP(FMS_Ranking4[[#This Row],[FMS ID]],FMS_Input[FMS_ID],FMS_Input[LWC])</f>
        <v>0</v>
      </c>
      <c r="Y403" s="259">
        <f>(ASINH(FMS_Ranking4[[#This Row],[LWC Raw]]))*(10)/(ASINH(X$4))</f>
        <v>0</v>
      </c>
      <c r="Z403" s="256">
        <f>FMS_Ranking4[[#This Row],[LWC, ArcSInh (0-10)]]*X$5*10</f>
        <v>0</v>
      </c>
      <c r="AA403" s="253">
        <f>_xlfn.XLOOKUP(FMS_Ranking4[[#This Row],[FMS ID]],FMS_Input[FMS_ID],FMS_Input[ROADCLS])</f>
        <v>0</v>
      </c>
      <c r="AB403" s="255">
        <f>(ASINH(FMS_Ranking4[[#This Row],[Road Closures Raw]]))*(10)/(ASINH(AA$4))</f>
        <v>0</v>
      </c>
      <c r="AC403" s="256">
        <f>FMS_Ranking4[[#This Row],[Road closures, ArcSinh (0-10)]]*AA$5*10</f>
        <v>0</v>
      </c>
      <c r="AD403" s="253">
        <f>_xlfn.XLOOKUP(FMS_Ranking4[[#This Row],[FMS ID]],FMS_Input[FMS_ID],FMS_Input[ROAD_MILES100])</f>
        <v>144</v>
      </c>
      <c r="AE403" s="259">
        <f>(ASINH(FMS_Ranking4[[#This Row],[Road Miles Raw]]))*(10)/(ASINH(AD$4))</f>
        <v>6.0351707026054822</v>
      </c>
      <c r="AF403" s="256">
        <f>FMS_Ranking4[[#This Row],[Length of roads at risk, ArcSinh (0-10)]]*AD$5*10</f>
        <v>6.0351707026054822</v>
      </c>
      <c r="AG403" s="253">
        <f>_xlfn.XLOOKUP(FMS_Ranking4[[#This Row],[FMS ID]],FMS_Input[FMS_ID],FMS_Input[FARMACRE100])</f>
        <v>15614.3564453125</v>
      </c>
      <c r="AH403" s="255">
        <f>(ASINH(FMS_Ranking4[[#This Row],[Ag Land Raw]]))*(10)/(ASINH(AG$4))</f>
        <v>6.7225791906977772</v>
      </c>
      <c r="AI403" s="260">
        <f>FMS_Ranking4[[#This Row],[Farm &amp; ranch land, ArcSinh (0-10)]]*AG$5*10</f>
        <v>3.3612895953488886</v>
      </c>
      <c r="AJ403" s="258">
        <f>_xlfn.XLOOKUP(FMS_Ranking4[[#This Row],[FMS ID]],FMS_Input[FMS_ID],FMS_Input[REDSTRUCT100])</f>
        <v>6</v>
      </c>
      <c r="AK403" s="253">
        <f>_xlfn.XLOOKUP(FMS_Ranking4[[#This Row],[FMS ID]],FMS_Input[FMS_ID],FMS_Input[REMSTRC100])</f>
        <v>6</v>
      </c>
      <c r="AL403" s="259">
        <f>(ASINH(FMS_Ranking4[[#This Row],[Structures Removed Raw]]))*(10)/(ASINH(AK$4))</f>
        <v>2.8370692270516686</v>
      </c>
      <c r="AM403" s="262">
        <f>FMS_Ranking4[[#This Row],[Structures removed, ArcSinh (0-10)]]*AK$5*10</f>
        <v>2.8370692270516691</v>
      </c>
      <c r="AN403" s="253">
        <f>_xlfn.XLOOKUP(FMS_Ranking4[[#This Row],[FMS ID]],FMS_Input[FMS_ID],FMS_Input[REMRESSTRC100])</f>
        <v>3</v>
      </c>
      <c r="AO403" s="261">
        <f>FMS_Ranking4[[#This Row],[ArcSinh Res struct removed 0-10]]*AN$5*10</f>
        <v>1.0665669767293229</v>
      </c>
      <c r="AP403" s="260">
        <f>ASINH(FMS_Ranking4[[#This Row],[Residential Structures Removed Raw]])/AP$4*AN$5*100</f>
        <v>1.0665669767293229</v>
      </c>
      <c r="AQ403" s="254">
        <f>(ASINH(FMS_Ranking4[[#This Row],[Residential Structures Removed Raw]]))*(10)/(ASINH(AN$4))</f>
        <v>2.1331339534586458</v>
      </c>
      <c r="AR403" s="253">
        <f>_xlfn.XLOOKUP(FMS_Ranking4[[#This Row],[FMS ID]],FMS_Input[FMS_ID],FMS_Input[REMPOP100])</f>
        <v>13</v>
      </c>
      <c r="AS403" s="259">
        <f>(ASINH(FMS_Ranking4[[#This Row],[Removed Pop Raw]]))*(10)/(ASINH(AR$4))</f>
        <v>3.1996630560169055</v>
      </c>
      <c r="AT403" s="262">
        <f>FMS_Ranking4[[#This Row],[Removed population, ArcSinh (0-10)]]*AR$5*10</f>
        <v>3.1996630560169059</v>
      </c>
      <c r="AU403" s="264">
        <f>_xlfn.XLOOKUP(FMS_Ranking4[[#This Row],[FMS ID]],FMS_Input[FMS_ID],FMS_Input[REMCRITFAC100])</f>
        <v>0</v>
      </c>
      <c r="AV403" s="264">
        <f>_xlfn.XLOOKUP(FMS_Ranking4[[#This Row],[FMS ID]],FMS_Input[FMS_ID],FMS_Input[REMLWC100])</f>
        <v>0</v>
      </c>
      <c r="AW403" s="264">
        <f>_xlfn.XLOOKUP(FMS_Ranking4[[#This Row],[FMS ID]],FMS_Input[FMS_ID],FMS_Input[REMROADCLS])</f>
        <v>0</v>
      </c>
      <c r="AX403" s="264">
        <f>_xlfn.XLOOKUP(FMS_Ranking4[[#This Row],[FMS ID]],FMS_Input[FMS_ID],FMS_Input[REMFRMACRE100])</f>
        <v>3903.589111328125</v>
      </c>
      <c r="AY403" s="258">
        <f>_xlfn.XLOOKUP(FMS_Ranking4[[#This Row],[FMS ID]],FMS_Input[FMS_ID],FMS_Input[COSTSTRUCT])</f>
        <v>25000</v>
      </c>
      <c r="AZ403" s="253">
        <f>_xlfn.XLOOKUP(FMS_Ranking4[[#This Row],[FMS ID]],FMS_Input[FMS_ID],FMS_Input[NATURE])</f>
        <v>0</v>
      </c>
      <c r="BA403" s="262">
        <f>(((FMS_Ranking4[[#This Row],[% NBS Raw]]/AZ$4)*100)*AZ$5)</f>
        <v>0</v>
      </c>
      <c r="BB403" s="251" t="str">
        <f>_xlfn.XLOOKUP(FMS_Ranking4[[#This Row],[FMS ID]],FMS_Input[FMS_ID],FMS_Input[WATER_SUP])</f>
        <v>No</v>
      </c>
      <c r="BC403" s="265">
        <f>IF(FMS_Ranking4[[#This Row],[Water Supply Raw]]="Yes",10,0)</f>
        <v>0</v>
      </c>
      <c r="BD403" s="266">
        <f>_xlfn.XLOOKUP(FMS_Ranking4[[#This Row],[FMS Type]],FMS_TYPE[FMS_Type],FMS_TYPE[Score])</f>
        <v>2</v>
      </c>
      <c r="BE403" s="267">
        <f>FMS_Ranking4[[#This Row],[FMS_Type Score]]*$BD$5*10</f>
        <v>0.5</v>
      </c>
      <c r="BF40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0.27637237377922663</v>
      </c>
      <c r="BG403" s="271">
        <f>_xlfn.RANK.EQ(BF403,$BF$8:$BF$870,0)+COUNTIF($BF$8:BF403,BF403)-1</f>
        <v>316</v>
      </c>
      <c r="BH403" s="268">
        <f>(((FMS_Ranking4[[#This Row],[Structures Removed Raw]]/AK$4)*100)*AK$5)+(((FMS_Ranking4[[#This Row],[Removed Pop Raw]]/AR$4)*100)*AR$5)</f>
        <v>2.8187683576159701E-2</v>
      </c>
      <c r="BI40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0.80456005735538638</v>
      </c>
      <c r="BJ403" s="205">
        <f>_xlfn.RANK.EQ(FMS_Ranking4[[#This Row],[Total Score 
(with linear
normalization)]],FMS_Ranking4[Total Score 
(with linear
normalization)],0)</f>
        <v>774</v>
      </c>
      <c r="BK403" s="205" t="e">
        <f>_xlfn.XLOOKUP(FMS_Ranking4[[#This Row],[FMS ID]],#REF!,#REF!)</f>
        <v>#REF!</v>
      </c>
      <c r="BL40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22.72951795413227</v>
      </c>
      <c r="BM403" s="272">
        <f>FMS_Ranking4[[#This Row],[ArcSinh Score Based on Normalized Reported Factors]]+FMS_Ranking4[[#This Row],[% NBS Score (Normalized)]]+(FMS_Ranking4[[#This Row],[Water Supply Score (Normalized)]]*10*$BB$5)+FMS_Ranking4[[#This Row],[FMS_Type Score Weighted]]</f>
        <v>23.22951795413227</v>
      </c>
      <c r="BN403" s="205">
        <f>_xlfn.RANK.EQ(FMS_Ranking4[[#This Row],[Total Score (with ArcSinh normalization of select criteria)]],FMS_Ranking4[Total Score (with ArcSinh normalization of select criteria)],0)</f>
        <v>393</v>
      </c>
      <c r="BO403" s="270" t="str">
        <f>_xlfn.XLOOKUP(FMS_Ranking4[[#This Row],[FMS ID]],FMS_Input[FMS_ID],FMS_Input[FMS_RANK_YEAR])</f>
        <v>2023 Amended Plan</v>
      </c>
      <c r="BP403" s="204">
        <f>_xlfn.XLOOKUP(FMS_Ranking4[[#This Row],[FMS ID]],Prev_Rank[FMS ID],Prev_Rank[Prev Rank])</f>
        <v>366</v>
      </c>
      <c r="BQ403" s="205" t="e">
        <f>_xlfn.XLOOKUP(FMS_Ranking4[[#This Row],[FMS ID]],#REF!,#REF!)</f>
        <v>#REF!</v>
      </c>
      <c r="BR403" s="199" t="e">
        <f>SUM(#REF!,#REF!,#REF!,#REF!,#REF!,#REF!,#REF!,#REF!,#REF!,FMS_Ranking4[[#This Row],[ArcSinh Res struct removed 0-10]],#REF!)</f>
        <v>#REF!</v>
      </c>
      <c r="BS403" s="199" t="e">
        <f>FMS_Ranking4[[#This Row],[Log Score Based on Normalized Reported Factors]]+FMS_Ranking4[[#This Row],[% NBS Score (Normalized)]]+(FMS_Ranking4[[#This Row],[Water Supply Score (Normalized)]]*10*$BB$5)+(FMS_Ranking4[[#This Row],[FMS_Type Score Weighted]])</f>
        <v>#REF!</v>
      </c>
      <c r="BT403" s="200" t="e">
        <f>_xlfn.RANK.EQ(FMS_Ranking4[[#This Row],[Log Total Score]],FMS_Ranking4[Log Total Score],0)</f>
        <v>#REF!</v>
      </c>
      <c r="BU403" s="200" t="e">
        <f>_xlfn.XLOOKUP(FMS_Ranking4[[#This Row],[FMS ID]],#REF!,#REF!)</f>
        <v>#REF!</v>
      </c>
      <c r="BV403" s="200">
        <f>FMS_Ranking4[[#This Row],[Region Number]]</f>
        <v>9</v>
      </c>
      <c r="BW403" s="200">
        <f>FMS_Ranking4[[#This Row],[Rank (with ArcSinh normalization of select criteria)]]-FMS_Ranking4[[#This Row],[Rank
(with linear
normalization)]]</f>
        <v>-381</v>
      </c>
      <c r="BX403" s="200" t="e">
        <f>FMS_Ranking4[[#This Row],[Log Rank]]-FMS_Ranking4[[#This Row],[Rank
(with linear
normalization)]]</f>
        <v>#REF!</v>
      </c>
      <c r="BY403" s="200" t="str">
        <f>IF(FMS_Ranking4[[#This Row],[FMS Type]]="Flood Measurement and Warning",FMS_Ranking4[[#This Row],[Rank (with ArcSinh normalization of select criteria)]],"")</f>
        <v/>
      </c>
      <c r="BZ403" s="200" t="str">
        <f>IF(FMS_Ranking4[[#This Row],[FMS Type]]="Regulatory and Guidance",FMS_Ranking4[[#This Row],[Rank (with ArcSinh normalization of select criteria)]],"")</f>
        <v/>
      </c>
      <c r="CA403" s="200" t="str">
        <f>IF(FMS_Ranking4[[#This Row],[FMS Type]]="Education and Outreach",FMS_Ranking4[[#This Row],[Rank (with ArcSinh normalization of select criteria)]],"")</f>
        <v/>
      </c>
      <c r="CB403" s="200" t="str">
        <f>IF(FMS_Ranking4[[#This Row],[FMS Type]]="Property Acquisition and Structural Elevation",FMS_Ranking4[[#This Row],[Rank (with ArcSinh normalization of select criteria)]],"")</f>
        <v/>
      </c>
      <c r="CC403" s="200" t="str">
        <f>IF(FMS_Ranking4[[#This Row],[FMS Type]]="Infrastructure Projects",FMS_Ranking4[[#This Row],[Rank (with ArcSinh normalization of select criteria)]],"")</f>
        <v/>
      </c>
      <c r="CD403" s="200">
        <f>IF(FMS_Ranking4[[#This Row],[FMS Type]]="Other",FMS_Ranking4[[#This Row],[Rank (with ArcSinh normalization of select criteria)]],"")</f>
        <v>393</v>
      </c>
      <c r="CE403" s="201"/>
      <c r="CF403" s="206"/>
      <c r="CG403" s="206"/>
      <c r="CH403" s="206"/>
      <c r="CI403" s="206"/>
      <c r="CJ403" s="206"/>
      <c r="CK403" s="206"/>
      <c r="CL403" s="206"/>
      <c r="CM403" s="206"/>
      <c r="CN403" s="206"/>
      <c r="CO403" s="206"/>
      <c r="CP403" s="206"/>
      <c r="CQ403" s="206"/>
      <c r="CR403" s="206"/>
    </row>
    <row r="404" spans="2:96" ht="120" x14ac:dyDescent="0.25">
      <c r="B404" s="341" t="s">
        <v>713</v>
      </c>
      <c r="C404" s="246">
        <f>_xlfn.XLOOKUP(FMS_Ranking4[[#This Row],[FMS ID]],FMS_Input[FMS_ID],FMS_Input[RFPG_NUM])</f>
        <v>9</v>
      </c>
      <c r="D404" s="309" t="str">
        <f>_xlfn.XLOOKUP(FMS_Ranking4[[#This Row],[FMS ID]],FMS_Input[FMS_ID],FMS_Input[FMS_NAME])</f>
        <v>Cochran County Road Signs Program</v>
      </c>
      <c r="E404" s="308" t="str">
        <f>_xlfn.XLOOKUP(FMS_Ranking4[[#This Row],[FMS ID]],FMS_Input[FMS_ID],FMS_Input[SPONSOR])</f>
        <v>00000187</v>
      </c>
      <c r="F404" s="309" t="str">
        <f>_xlfn.XLOOKUP(FMS_Ranking4[[#This Row],[FMS ID]],Sponsor[FMS_ID],Sponsor[SPONSOR NAME])</f>
        <v>Cochran</v>
      </c>
      <c r="G404" s="309" t="str">
        <f>_xlfn.XLOOKUP(FMS_Ranking4[[#This Row],[FMS ID]],FMS_Input[FMS_ID],FMS_Input[FMS_DESCR])</f>
        <v>Purchase trailer mounted dynamic road signs to warn motorists of a potential hazard or 
dangers on or near the roadway, which could be rapidly positioned by County personnel 
before, during or after an event.</v>
      </c>
      <c r="H404" s="248" t="str">
        <f>_xlfn.XLOOKUP(FMS_Ranking4[[#This Row],[FMS ID]],FMS_Input[FMS_ID],FMS_Input[FMS_TYPE])</f>
        <v>Other</v>
      </c>
      <c r="I404" s="249">
        <f>_xlfn.XLOOKUP(FMS_Ranking4[[#This Row],[FMS ID]],FMS_Input[FMS_ID],FMS_Input[NRNC_COST])</f>
        <v>23000</v>
      </c>
      <c r="J404" s="250">
        <f>_xlfn.XLOOKUP(FMS_Ranking4[[#This Row],[FMS ID]],FMS_Input[FMS_ID],FMS_Input[FMS_COST])</f>
        <v>48000</v>
      </c>
      <c r="K404" s="251" t="str">
        <f>_xlfn.XLOOKUP(FMS_Ranking4[[#This Row],[FMS ID]],FMS_Input[FMS_ID],FMS_Input[EMER_NEED])</f>
        <v>No</v>
      </c>
      <c r="L404" s="252">
        <f t="shared" si="6"/>
        <v>0</v>
      </c>
      <c r="M404" s="253">
        <f>_xlfn.XLOOKUP(FMS_Ranking4[[#This Row],[FMS ID]],FMS_Input[FMS_ID],FMS_Input[STRUCT_100])</f>
        <v>23</v>
      </c>
      <c r="N404" s="255">
        <f>(ASINH(FMS_Ranking4[[#This Row],[Structure at Risk Raw]]))*(10)/(ASINH(M$4))</f>
        <v>3.0102534605031352</v>
      </c>
      <c r="O404" s="256">
        <f>FMS_Ranking4[[#This Row],[Structures at risk, ArcSinh (0-10)]]*M$5*10</f>
        <v>3.0102534605031357</v>
      </c>
      <c r="P404" s="253">
        <f>_xlfn.XLOOKUP(FMS_Ranking4[[#This Row],[FMS ID]],FMS_Input[FMS_ID],FMS_Input[RES_STRUCT100])</f>
        <v>12</v>
      </c>
      <c r="Q404" s="257">
        <f>ASINH(FMS_Ranking4[[#This Row],[Res Structure Raw]])/Q$4*P$5*100</f>
        <v>0</v>
      </c>
      <c r="R404" s="253">
        <f>_xlfn.XLOOKUP(FMS_Ranking4[[#This Row],[FMS ID]],FMS_Input[FMS_ID],FMS_Input[POP100])</f>
        <v>53</v>
      </c>
      <c r="S404" s="259">
        <f>(ASINH(FMS_Ranking4[[#This Row],[Pop at Risk Raw]]))*(10)/(ASINH(R$4))</f>
        <v>3.2195049358768659</v>
      </c>
      <c r="T404" s="256">
        <f>FMS_Ranking4[[#This Row],[Population at risk, ArcSinh (0-10)]]*R$5*10</f>
        <v>3.2195049358768664</v>
      </c>
      <c r="U404" s="253">
        <f>_xlfn.XLOOKUP(FMS_Ranking4[[#This Row],[FMS ID]],FMS_Input[FMS_ID],FMS_Input[CRITFAC100])</f>
        <v>0</v>
      </c>
      <c r="V404" s="259">
        <f>(ASINH(FMS_Ranking4[[#This Row],[Critical Facilities Raw]]))*(10)/(ASINH(U$4))</f>
        <v>0</v>
      </c>
      <c r="W404" s="256">
        <f>FMS_Ranking4[[#This Row],[Critical facilities at risk, ArcSinh (0-10)]]*U$5*10</f>
        <v>0</v>
      </c>
      <c r="X404" s="253">
        <f>_xlfn.XLOOKUP(FMS_Ranking4[[#This Row],[FMS ID]],FMS_Input[FMS_ID],FMS_Input[LWC])</f>
        <v>0</v>
      </c>
      <c r="Y404" s="259">
        <f>(ASINH(FMS_Ranking4[[#This Row],[LWC Raw]]))*(10)/(ASINH(X$4))</f>
        <v>0</v>
      </c>
      <c r="Z404" s="256">
        <f>FMS_Ranking4[[#This Row],[LWC, ArcSInh (0-10)]]*X$5*10</f>
        <v>0</v>
      </c>
      <c r="AA404" s="253">
        <f>_xlfn.XLOOKUP(FMS_Ranking4[[#This Row],[FMS ID]],FMS_Input[FMS_ID],FMS_Input[ROADCLS])</f>
        <v>0</v>
      </c>
      <c r="AB404" s="255">
        <f>(ASINH(FMS_Ranking4[[#This Row],[Road Closures Raw]]))*(10)/(ASINH(AA$4))</f>
        <v>0</v>
      </c>
      <c r="AC404" s="256">
        <f>FMS_Ranking4[[#This Row],[Road closures, ArcSinh (0-10)]]*AA$5*10</f>
        <v>0</v>
      </c>
      <c r="AD404" s="253">
        <f>_xlfn.XLOOKUP(FMS_Ranking4[[#This Row],[FMS ID]],FMS_Input[FMS_ID],FMS_Input[ROAD_MILES100])</f>
        <v>144</v>
      </c>
      <c r="AE404" s="259">
        <f>(ASINH(FMS_Ranking4[[#This Row],[Road Miles Raw]]))*(10)/(ASINH(AD$4))</f>
        <v>6.0351707026054822</v>
      </c>
      <c r="AF404" s="256">
        <f>FMS_Ranking4[[#This Row],[Length of roads at risk, ArcSinh (0-10)]]*AD$5*10</f>
        <v>6.0351707026054822</v>
      </c>
      <c r="AG404" s="253">
        <f>_xlfn.XLOOKUP(FMS_Ranking4[[#This Row],[FMS ID]],FMS_Input[FMS_ID],FMS_Input[FARMACRE100])</f>
        <v>15614.1123046875</v>
      </c>
      <c r="AH404" s="255">
        <f>(ASINH(FMS_Ranking4[[#This Row],[Ag Land Raw]]))*(10)/(ASINH(AG$4))</f>
        <v>6.7225690339893687</v>
      </c>
      <c r="AI404" s="260">
        <f>FMS_Ranking4[[#This Row],[Farm &amp; ranch land, ArcSinh (0-10)]]*AG$5*10</f>
        <v>3.3612845169946848</v>
      </c>
      <c r="AJ404" s="258">
        <f>_xlfn.XLOOKUP(FMS_Ranking4[[#This Row],[FMS ID]],FMS_Input[FMS_ID],FMS_Input[REDSTRUCT100])</f>
        <v>6</v>
      </c>
      <c r="AK404" s="253">
        <f>_xlfn.XLOOKUP(FMS_Ranking4[[#This Row],[FMS ID]],FMS_Input[FMS_ID],FMS_Input[REMSTRC100])</f>
        <v>6</v>
      </c>
      <c r="AL404" s="259">
        <f>(ASINH(FMS_Ranking4[[#This Row],[Structures Removed Raw]]))*(10)/(ASINH(AK$4))</f>
        <v>2.8370692270516686</v>
      </c>
      <c r="AM404" s="262">
        <f>FMS_Ranking4[[#This Row],[Structures removed, ArcSinh (0-10)]]*AK$5*10</f>
        <v>2.8370692270516691</v>
      </c>
      <c r="AN404" s="253">
        <f>_xlfn.XLOOKUP(FMS_Ranking4[[#This Row],[FMS ID]],FMS_Input[FMS_ID],FMS_Input[REMRESSTRC100])</f>
        <v>3</v>
      </c>
      <c r="AO404" s="261">
        <f>FMS_Ranking4[[#This Row],[ArcSinh Res struct removed 0-10]]*AN$5*10</f>
        <v>1.0665669767293229</v>
      </c>
      <c r="AP404" s="260">
        <f>ASINH(FMS_Ranking4[[#This Row],[Residential Structures Removed Raw]])/AP$4*AN$5*100</f>
        <v>1.0665669767293229</v>
      </c>
      <c r="AQ404" s="254">
        <f>(ASINH(FMS_Ranking4[[#This Row],[Residential Structures Removed Raw]]))*(10)/(ASINH(AN$4))</f>
        <v>2.1331339534586458</v>
      </c>
      <c r="AR404" s="253">
        <f>_xlfn.XLOOKUP(FMS_Ranking4[[#This Row],[FMS ID]],FMS_Input[FMS_ID],FMS_Input[REMPOP100])</f>
        <v>13</v>
      </c>
      <c r="AS404" s="259">
        <f>(ASINH(FMS_Ranking4[[#This Row],[Removed Pop Raw]]))*(10)/(ASINH(AR$4))</f>
        <v>3.1996630560169055</v>
      </c>
      <c r="AT404" s="262">
        <f>FMS_Ranking4[[#This Row],[Removed population, ArcSinh (0-10)]]*AR$5*10</f>
        <v>3.1996630560169059</v>
      </c>
      <c r="AU404" s="264">
        <f>_xlfn.XLOOKUP(FMS_Ranking4[[#This Row],[FMS ID]],FMS_Input[FMS_ID],FMS_Input[REMCRITFAC100])</f>
        <v>0</v>
      </c>
      <c r="AV404" s="264">
        <f>_xlfn.XLOOKUP(FMS_Ranking4[[#This Row],[FMS ID]],FMS_Input[FMS_ID],FMS_Input[REMLWC100])</f>
        <v>0</v>
      </c>
      <c r="AW404" s="264">
        <f>_xlfn.XLOOKUP(FMS_Ranking4[[#This Row],[FMS ID]],FMS_Input[FMS_ID],FMS_Input[REMROADCLS])</f>
        <v>0</v>
      </c>
      <c r="AX404" s="264">
        <f>_xlfn.XLOOKUP(FMS_Ranking4[[#This Row],[FMS ID]],FMS_Input[FMS_ID],FMS_Input[REMFRMACRE100])</f>
        <v>3903.528076171875</v>
      </c>
      <c r="AY404" s="258">
        <f>_xlfn.XLOOKUP(FMS_Ranking4[[#This Row],[FMS ID]],FMS_Input[FMS_ID],FMS_Input[COSTSTRUCT])</f>
        <v>25000</v>
      </c>
      <c r="AZ404" s="253">
        <f>_xlfn.XLOOKUP(FMS_Ranking4[[#This Row],[FMS ID]],FMS_Input[FMS_ID],FMS_Input[NATURE])</f>
        <v>0</v>
      </c>
      <c r="BA404" s="262">
        <f>(((FMS_Ranking4[[#This Row],[% NBS Raw]]/AZ$4)*100)*AZ$5)</f>
        <v>0</v>
      </c>
      <c r="BB404" s="251" t="str">
        <f>_xlfn.XLOOKUP(FMS_Ranking4[[#This Row],[FMS ID]],FMS_Input[FMS_ID],FMS_Input[WATER_SUP])</f>
        <v>No</v>
      </c>
      <c r="BC404" s="265">
        <f>IF(FMS_Ranking4[[#This Row],[Water Supply Raw]]="Yes",10,0)</f>
        <v>0</v>
      </c>
      <c r="BD404" s="266">
        <f>_xlfn.XLOOKUP(FMS_Ranking4[[#This Row],[FMS Type]],FMS_TYPE[FMS_Type],FMS_TYPE[Score])</f>
        <v>2</v>
      </c>
      <c r="BE404" s="267">
        <f>FMS_Ranking4[[#This Row],[FMS_Type Score]]*$BD$5*10</f>
        <v>0.5</v>
      </c>
      <c r="BF40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0.27637187041590272</v>
      </c>
      <c r="BG404" s="271">
        <f>_xlfn.RANK.EQ(BF404,$BF$8:$BF$870,0)+COUNTIF($BF$8:BF404,BF404)-1</f>
        <v>317</v>
      </c>
      <c r="BH404" s="268">
        <f>(((FMS_Ranking4[[#This Row],[Structures Removed Raw]]/AK$4)*100)*AK$5)+(((FMS_Ranking4[[#This Row],[Removed Pop Raw]]/AR$4)*100)*AR$5)</f>
        <v>2.8187683576159701E-2</v>
      </c>
      <c r="BI40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0.80455955399206247</v>
      </c>
      <c r="BJ404" s="205">
        <f>_xlfn.RANK.EQ(FMS_Ranking4[[#This Row],[Total Score 
(with linear
normalization)]],FMS_Ranking4[Total Score 
(with linear
normalization)],0)</f>
        <v>778</v>
      </c>
      <c r="BK404" s="205" t="e">
        <f>_xlfn.XLOOKUP(FMS_Ranking4[[#This Row],[FMS ID]],#REF!,#REF!)</f>
        <v>#REF!</v>
      </c>
      <c r="BL40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22.729512875778067</v>
      </c>
      <c r="BM404" s="272">
        <f>FMS_Ranking4[[#This Row],[ArcSinh Score Based on Normalized Reported Factors]]+FMS_Ranking4[[#This Row],[% NBS Score (Normalized)]]+(FMS_Ranking4[[#This Row],[Water Supply Score (Normalized)]]*10*$BB$5)+FMS_Ranking4[[#This Row],[FMS_Type Score Weighted]]</f>
        <v>23.229512875778067</v>
      </c>
      <c r="BN404" s="205">
        <f>_xlfn.RANK.EQ(FMS_Ranking4[[#This Row],[Total Score (with ArcSinh normalization of select criteria)]],FMS_Ranking4[Total Score (with ArcSinh normalization of select criteria)],0)</f>
        <v>397</v>
      </c>
      <c r="BO404" s="270" t="str">
        <f>_xlfn.XLOOKUP(FMS_Ranking4[[#This Row],[FMS ID]],FMS_Input[FMS_ID],FMS_Input[FMS_RANK_YEAR])</f>
        <v>2023 Amended Plan</v>
      </c>
      <c r="BP404" s="204">
        <f>_xlfn.XLOOKUP(FMS_Ranking4[[#This Row],[FMS ID]],Prev_Rank[FMS ID],Prev_Rank[Prev Rank])</f>
        <v>370</v>
      </c>
      <c r="BQ404" s="205" t="e">
        <f>_xlfn.XLOOKUP(FMS_Ranking4[[#This Row],[FMS ID]],#REF!,#REF!)</f>
        <v>#REF!</v>
      </c>
      <c r="BR404" s="199" t="e">
        <f>SUM(#REF!,#REF!,#REF!,#REF!,#REF!,#REF!,#REF!,#REF!,#REF!,FMS_Ranking4[[#This Row],[ArcSinh Res struct removed 0-10]],#REF!)</f>
        <v>#REF!</v>
      </c>
      <c r="BS404" s="199" t="e">
        <f>FMS_Ranking4[[#This Row],[Log Score Based on Normalized Reported Factors]]+FMS_Ranking4[[#This Row],[% NBS Score (Normalized)]]+(FMS_Ranking4[[#This Row],[Water Supply Score (Normalized)]]*10*$BB$5)+(FMS_Ranking4[[#This Row],[FMS_Type Score Weighted]])</f>
        <v>#REF!</v>
      </c>
      <c r="BT404" s="200" t="e">
        <f>_xlfn.RANK.EQ(FMS_Ranking4[[#This Row],[Log Total Score]],FMS_Ranking4[Log Total Score],0)</f>
        <v>#REF!</v>
      </c>
      <c r="BU404" s="200" t="e">
        <f>_xlfn.XLOOKUP(FMS_Ranking4[[#This Row],[FMS ID]],#REF!,#REF!)</f>
        <v>#REF!</v>
      </c>
      <c r="BV404" s="200">
        <f>FMS_Ranking4[[#This Row],[Region Number]]</f>
        <v>9</v>
      </c>
      <c r="BW404" s="200">
        <f>FMS_Ranking4[[#This Row],[Rank (with ArcSinh normalization of select criteria)]]-FMS_Ranking4[[#This Row],[Rank
(with linear
normalization)]]</f>
        <v>-381</v>
      </c>
      <c r="BX404" s="200" t="e">
        <f>FMS_Ranking4[[#This Row],[Log Rank]]-FMS_Ranking4[[#This Row],[Rank
(with linear
normalization)]]</f>
        <v>#REF!</v>
      </c>
      <c r="BY404" s="200" t="str">
        <f>IF(FMS_Ranking4[[#This Row],[FMS Type]]="Flood Measurement and Warning",FMS_Ranking4[[#This Row],[Rank (with ArcSinh normalization of select criteria)]],"")</f>
        <v/>
      </c>
      <c r="BZ404" s="200" t="str">
        <f>IF(FMS_Ranking4[[#This Row],[FMS Type]]="Regulatory and Guidance",FMS_Ranking4[[#This Row],[Rank (with ArcSinh normalization of select criteria)]],"")</f>
        <v/>
      </c>
      <c r="CA404" s="200" t="str">
        <f>IF(FMS_Ranking4[[#This Row],[FMS Type]]="Education and Outreach",FMS_Ranking4[[#This Row],[Rank (with ArcSinh normalization of select criteria)]],"")</f>
        <v/>
      </c>
      <c r="CB404" s="200" t="str">
        <f>IF(FMS_Ranking4[[#This Row],[FMS Type]]="Property Acquisition and Structural Elevation",FMS_Ranking4[[#This Row],[Rank (with ArcSinh normalization of select criteria)]],"")</f>
        <v/>
      </c>
      <c r="CC404" s="200" t="str">
        <f>IF(FMS_Ranking4[[#This Row],[FMS Type]]="Infrastructure Projects",FMS_Ranking4[[#This Row],[Rank (with ArcSinh normalization of select criteria)]],"")</f>
        <v/>
      </c>
      <c r="CD404" s="200">
        <f>IF(FMS_Ranking4[[#This Row],[FMS Type]]="Other",FMS_Ranking4[[#This Row],[Rank (with ArcSinh normalization of select criteria)]],"")</f>
        <v>397</v>
      </c>
      <c r="CE404" s="201"/>
      <c r="CF404" s="206"/>
      <c r="CG404" s="206"/>
      <c r="CH404" s="206"/>
      <c r="CI404" s="206"/>
      <c r="CJ404" s="206"/>
      <c r="CK404" s="206"/>
      <c r="CL404" s="206"/>
      <c r="CM404" s="206"/>
      <c r="CN404" s="206"/>
      <c r="CO404" s="206"/>
      <c r="CP404" s="206"/>
      <c r="CQ404" s="206"/>
      <c r="CR404" s="206"/>
    </row>
    <row r="405" spans="2:96" ht="45" x14ac:dyDescent="0.25">
      <c r="B405" s="341" t="s">
        <v>1652</v>
      </c>
      <c r="C405" s="246">
        <f>_xlfn.XLOOKUP(FMS_Ranking4[[#This Row],[FMS ID]],FMS_Input[FMS_ID],FMS_Input[RFPG_NUM])</f>
        <v>2</v>
      </c>
      <c r="D405" s="309" t="str">
        <f>_xlfn.XLOOKUP(FMS_Ranking4[[#This Row],[FMS ID]],FMS_Input[FMS_ID],FMS_Input[FMS_NAME])</f>
        <v>Morris County NFIP Involvement</v>
      </c>
      <c r="E405" s="308" t="str">
        <f>_xlfn.XLOOKUP(FMS_Ranking4[[#This Row],[FMS ID]],FMS_Input[FMS_ID],FMS_Input[SPONSOR])</f>
        <v>Morris County</v>
      </c>
      <c r="F405" s="309" t="str">
        <f>_xlfn.XLOOKUP(FMS_Ranking4[[#This Row],[FMS ID]],Sponsor[FMS_ID],Sponsor[SPONSOR NAME])</f>
        <v>Morris County</v>
      </c>
      <c r="G405" s="309" t="str">
        <f>_xlfn.XLOOKUP(FMS_Ranking4[[#This Row],[FMS ID]],FMS_Input[FMS_ID],FMS_Input[FMS_DESCR])</f>
        <v xml:space="preserve">Application to join NFIP or adoption of equivalent standards </v>
      </c>
      <c r="H405" s="248" t="str">
        <f>_xlfn.XLOOKUP(FMS_Ranking4[[#This Row],[FMS ID]],FMS_Input[FMS_ID],FMS_Input[FMS_TYPE])</f>
        <v>Regulatory and Guidance</v>
      </c>
      <c r="I405" s="249">
        <f>_xlfn.XLOOKUP(FMS_Ranking4[[#This Row],[FMS ID]],FMS_Input[FMS_ID],FMS_Input[NRNC_COST])</f>
        <v>100000</v>
      </c>
      <c r="J405" s="250">
        <f>_xlfn.XLOOKUP(FMS_Ranking4[[#This Row],[FMS ID]],FMS_Input[FMS_ID],FMS_Input[FMS_COST])</f>
        <v>100000</v>
      </c>
      <c r="K405" s="251" t="str">
        <f>_xlfn.XLOOKUP(FMS_Ranking4[[#This Row],[FMS ID]],FMS_Input[FMS_ID],FMS_Input[EMER_NEED])</f>
        <v>No</v>
      </c>
      <c r="L405" s="252">
        <f t="shared" si="6"/>
        <v>0</v>
      </c>
      <c r="M405" s="253">
        <f>_xlfn.XLOOKUP(FMS_Ranking4[[#This Row],[FMS ID]],FMS_Input[FMS_ID],FMS_Input[STRUCT_100])</f>
        <v>234</v>
      </c>
      <c r="N405" s="255">
        <f>(ASINH(FMS_Ranking4[[#This Row],[Structure at Risk Raw]]))*(10)/(ASINH(M$4))</f>
        <v>4.8336151371726661</v>
      </c>
      <c r="O405" s="256">
        <f>FMS_Ranking4[[#This Row],[Structures at risk, ArcSinh (0-10)]]*M$5*10</f>
        <v>4.8336151371726661</v>
      </c>
      <c r="P405" s="253">
        <f>_xlfn.XLOOKUP(FMS_Ranking4[[#This Row],[FMS ID]],FMS_Input[FMS_ID],FMS_Input[RES_STRUCT100])</f>
        <v>102</v>
      </c>
      <c r="Q405" s="257">
        <f>ASINH(FMS_Ranking4[[#This Row],[Res Structure Raw]])/Q$4*P$5*100</f>
        <v>0</v>
      </c>
      <c r="R405" s="253">
        <f>_xlfn.XLOOKUP(FMS_Ranking4[[#This Row],[FMS ID]],FMS_Input[FMS_ID],FMS_Input[POP100])</f>
        <v>419</v>
      </c>
      <c r="S405" s="259">
        <f>(ASINH(FMS_Ranking4[[#This Row],[Pop at Risk Raw]]))*(10)/(ASINH(R$4))</f>
        <v>4.6468146437841398</v>
      </c>
      <c r="T405" s="256">
        <f>FMS_Ranking4[[#This Row],[Population at risk, ArcSinh (0-10)]]*R$5*10</f>
        <v>4.6468146437841398</v>
      </c>
      <c r="U405" s="253">
        <f>_xlfn.XLOOKUP(FMS_Ranking4[[#This Row],[FMS ID]],FMS_Input[FMS_ID],FMS_Input[CRITFAC100])</f>
        <v>6</v>
      </c>
      <c r="V405" s="259">
        <f>(ASINH(FMS_Ranking4[[#This Row],[Critical Facilities Raw]]))*(10)/(ASINH(U$4))</f>
        <v>2.9496796311809068</v>
      </c>
      <c r="W405" s="256">
        <f>FMS_Ranking4[[#This Row],[Critical facilities at risk, ArcSinh (0-10)]]*U$5*10</f>
        <v>2.9496796311809073</v>
      </c>
      <c r="X405" s="253">
        <f>_xlfn.XLOOKUP(FMS_Ranking4[[#This Row],[FMS ID]],FMS_Input[FMS_ID],FMS_Input[LWC])</f>
        <v>2</v>
      </c>
      <c r="Y405" s="259">
        <f>(ASINH(FMS_Ranking4[[#This Row],[LWC Raw]]))*(10)/(ASINH(X$4))</f>
        <v>1.9557475158633808</v>
      </c>
      <c r="Z405" s="256">
        <f>FMS_Ranking4[[#This Row],[LWC, ArcSInh (0-10)]]*X$5*10</f>
        <v>1.9557475158633808</v>
      </c>
      <c r="AA405" s="253">
        <f>_xlfn.XLOOKUP(FMS_Ranking4[[#This Row],[FMS ID]],FMS_Input[FMS_ID],FMS_Input[ROADCLS])</f>
        <v>0</v>
      </c>
      <c r="AB405" s="255">
        <f>(ASINH(FMS_Ranking4[[#This Row],[Road Closures Raw]]))*(10)/(ASINH(AA$4))</f>
        <v>0</v>
      </c>
      <c r="AC405" s="256">
        <f>FMS_Ranking4[[#This Row],[Road closures, ArcSinh (0-10)]]*AA$5*10</f>
        <v>0</v>
      </c>
      <c r="AD405" s="253">
        <f>_xlfn.XLOOKUP(FMS_Ranking4[[#This Row],[FMS ID]],FMS_Input[FMS_ID],FMS_Input[ROAD_MILES100])</f>
        <v>38</v>
      </c>
      <c r="AE405" s="259">
        <f>(ASINH(FMS_Ranking4[[#This Row],[Road Miles Raw]]))*(10)/(ASINH(AD$4))</f>
        <v>4.6155547122703053</v>
      </c>
      <c r="AF405" s="256">
        <f>FMS_Ranking4[[#This Row],[Length of roads at risk, ArcSinh (0-10)]]*AD$5*10</f>
        <v>4.6155547122703053</v>
      </c>
      <c r="AG405" s="253">
        <f>_xlfn.XLOOKUP(FMS_Ranking4[[#This Row],[FMS ID]],FMS_Input[FMS_ID],FMS_Input[FARMACRE100])</f>
        <v>395.01528930664063</v>
      </c>
      <c r="AH405" s="255">
        <f>(ASINH(FMS_Ranking4[[#This Row],[Ag Land Raw]]))*(10)/(ASINH(AG$4))</f>
        <v>4.3340551477115357</v>
      </c>
      <c r="AI405" s="260">
        <f>FMS_Ranking4[[#This Row],[Farm &amp; ranch land, ArcSinh (0-10)]]*AG$5*10</f>
        <v>2.1670275738557678</v>
      </c>
      <c r="AJ405" s="258">
        <f>_xlfn.XLOOKUP(FMS_Ranking4[[#This Row],[FMS ID]],FMS_Input[FMS_ID],FMS_Input[REDSTRUCT100])</f>
        <v>0</v>
      </c>
      <c r="AK405" s="253">
        <f>_xlfn.XLOOKUP(FMS_Ranking4[[#This Row],[FMS ID]],FMS_Input[FMS_ID],FMS_Input[REMSTRC100])</f>
        <v>0</v>
      </c>
      <c r="AL405" s="259">
        <f>(ASINH(FMS_Ranking4[[#This Row],[Structures Removed Raw]]))*(10)/(ASINH(AK$4))</f>
        <v>0</v>
      </c>
      <c r="AM405" s="262">
        <f>FMS_Ranking4[[#This Row],[Structures removed, ArcSinh (0-10)]]*AK$5*10</f>
        <v>0</v>
      </c>
      <c r="AN405" s="253">
        <f>_xlfn.XLOOKUP(FMS_Ranking4[[#This Row],[FMS ID]],FMS_Input[FMS_ID],FMS_Input[REMRESSTRC100])</f>
        <v>0</v>
      </c>
      <c r="AO405" s="261">
        <f>FMS_Ranking4[[#This Row],[ArcSinh Res struct removed 0-10]]*AN$5*10</f>
        <v>0</v>
      </c>
      <c r="AP405" s="260">
        <f>ASINH(FMS_Ranking4[[#This Row],[Residential Structures Removed Raw]])/AP$4*AN$5*100</f>
        <v>0</v>
      </c>
      <c r="AQ405" s="254">
        <f>(ASINH(FMS_Ranking4[[#This Row],[Residential Structures Removed Raw]]))*(10)/(ASINH(AN$4))</f>
        <v>0</v>
      </c>
      <c r="AR405" s="253">
        <f>_xlfn.XLOOKUP(FMS_Ranking4[[#This Row],[FMS ID]],FMS_Input[FMS_ID],FMS_Input[REMPOP100])</f>
        <v>0</v>
      </c>
      <c r="AS405" s="259">
        <f>(ASINH(FMS_Ranking4[[#This Row],[Removed Pop Raw]]))*(10)/(ASINH(AR$4))</f>
        <v>0</v>
      </c>
      <c r="AT405" s="262">
        <f>FMS_Ranking4[[#This Row],[Removed population, ArcSinh (0-10)]]*AR$5*10</f>
        <v>0</v>
      </c>
      <c r="AU405" s="264">
        <f>_xlfn.XLOOKUP(FMS_Ranking4[[#This Row],[FMS ID]],FMS_Input[FMS_ID],FMS_Input[REMCRITFAC100])</f>
        <v>0</v>
      </c>
      <c r="AV405" s="264">
        <f>_xlfn.XLOOKUP(FMS_Ranking4[[#This Row],[FMS ID]],FMS_Input[FMS_ID],FMS_Input[REMLWC100])</f>
        <v>0</v>
      </c>
      <c r="AW405" s="264">
        <f>_xlfn.XLOOKUP(FMS_Ranking4[[#This Row],[FMS ID]],FMS_Input[FMS_ID],FMS_Input[REMROADCLS])</f>
        <v>0</v>
      </c>
      <c r="AX405" s="264">
        <f>_xlfn.XLOOKUP(FMS_Ranking4[[#This Row],[FMS ID]],FMS_Input[FMS_ID],FMS_Input[REMFRMACRE100])</f>
        <v>0</v>
      </c>
      <c r="AY405" s="258">
        <f>_xlfn.XLOOKUP(FMS_Ranking4[[#This Row],[FMS ID]],FMS_Input[FMS_ID],FMS_Input[COSTSTRUCT])</f>
        <v>0</v>
      </c>
      <c r="AZ405" s="253">
        <f>_xlfn.XLOOKUP(FMS_Ranking4[[#This Row],[FMS ID]],FMS_Input[FMS_ID],FMS_Input[NATURE])</f>
        <v>0</v>
      </c>
      <c r="BA405" s="262">
        <f>(((FMS_Ranking4[[#This Row],[% NBS Raw]]/AZ$4)*100)*AZ$5)</f>
        <v>0</v>
      </c>
      <c r="BB405" s="251" t="str">
        <f>_xlfn.XLOOKUP(FMS_Ranking4[[#This Row],[FMS ID]],FMS_Input[FMS_ID],FMS_Input[WATER_SUP])</f>
        <v>No</v>
      </c>
      <c r="BC405" s="265">
        <f>IF(FMS_Ranking4[[#This Row],[Water Supply Raw]]="Yes",10,0)</f>
        <v>0</v>
      </c>
      <c r="BD405" s="266">
        <f>_xlfn.XLOOKUP(FMS_Ranking4[[#This Row],[FMS Type]],FMS_TYPE[FMS_Type],FMS_TYPE[Score])</f>
        <v>8</v>
      </c>
      <c r="BE405" s="267">
        <f>FMS_Ranking4[[#This Row],[FMS_Type Score]]*$BD$5*10</f>
        <v>2</v>
      </c>
      <c r="BF40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0.13366254754288323</v>
      </c>
      <c r="BG405" s="271">
        <f>_xlfn.RANK.EQ(BF405,$BF$8:$BF$870,0)+COUNTIF($BF$8:BF405,BF405)-1</f>
        <v>430</v>
      </c>
      <c r="BH405" s="268">
        <f>(((FMS_Ranking4[[#This Row],[Structures Removed Raw]]/AK$4)*100)*AK$5)+(((FMS_Ranking4[[#This Row],[Removed Pop Raw]]/AR$4)*100)*AR$5)</f>
        <v>0</v>
      </c>
      <c r="BI40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2.1336625475428832</v>
      </c>
      <c r="BJ405" s="205">
        <f>_xlfn.RANK.EQ(FMS_Ranking4[[#This Row],[Total Score 
(with linear
normalization)]],FMS_Ranking4[Total Score 
(with linear
normalization)],0)</f>
        <v>348</v>
      </c>
      <c r="BK405" s="205" t="e">
        <f>_xlfn.XLOOKUP(FMS_Ranking4[[#This Row],[FMS ID]],#REF!,#REF!)</f>
        <v>#REF!</v>
      </c>
      <c r="BL40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21.168439214127169</v>
      </c>
      <c r="BM405" s="272">
        <f>FMS_Ranking4[[#This Row],[ArcSinh Score Based on Normalized Reported Factors]]+FMS_Ranking4[[#This Row],[% NBS Score (Normalized)]]+(FMS_Ranking4[[#This Row],[Water Supply Score (Normalized)]]*10*$BB$5)+FMS_Ranking4[[#This Row],[FMS_Type Score Weighted]]</f>
        <v>23.168439214127169</v>
      </c>
      <c r="BN405" s="205">
        <f>_xlfn.RANK.EQ(FMS_Ranking4[[#This Row],[Total Score (with ArcSinh normalization of select criteria)]],FMS_Ranking4[Total Score (with ArcSinh normalization of select criteria)],0)</f>
        <v>398</v>
      </c>
      <c r="BO405" s="270" t="str">
        <f>_xlfn.XLOOKUP(FMS_Ranking4[[#This Row],[FMS ID]],FMS_Input[FMS_ID],FMS_Input[FMS_RANK_YEAR])</f>
        <v>2023 Amended Plan</v>
      </c>
      <c r="BP405" s="204">
        <f>_xlfn.XLOOKUP(FMS_Ranking4[[#This Row],[FMS ID]],Prev_Rank[FMS ID],Prev_Rank[Prev Rank])</f>
        <v>353</v>
      </c>
      <c r="BQ405" s="205" t="e">
        <f>_xlfn.XLOOKUP(FMS_Ranking4[[#This Row],[FMS ID]],#REF!,#REF!)</f>
        <v>#REF!</v>
      </c>
      <c r="BR405" s="199" t="e">
        <f>SUM(#REF!,#REF!,#REF!,#REF!,#REF!,#REF!,#REF!,#REF!,#REF!,FMS_Ranking4[[#This Row],[ArcSinh Res struct removed 0-10]],#REF!)</f>
        <v>#REF!</v>
      </c>
      <c r="BS405" s="199" t="e">
        <f>FMS_Ranking4[[#This Row],[Log Score Based on Normalized Reported Factors]]+FMS_Ranking4[[#This Row],[% NBS Score (Normalized)]]+(FMS_Ranking4[[#This Row],[Water Supply Score (Normalized)]]*10*$BB$5)+(FMS_Ranking4[[#This Row],[FMS_Type Score Weighted]])</f>
        <v>#REF!</v>
      </c>
      <c r="BT405" s="200" t="e">
        <f>_xlfn.RANK.EQ(FMS_Ranking4[[#This Row],[Log Total Score]],FMS_Ranking4[Log Total Score],0)</f>
        <v>#REF!</v>
      </c>
      <c r="BU405" s="200" t="e">
        <f>_xlfn.XLOOKUP(FMS_Ranking4[[#This Row],[FMS ID]],#REF!,#REF!)</f>
        <v>#REF!</v>
      </c>
      <c r="BV405" s="200">
        <f>FMS_Ranking4[[#This Row],[Region Number]]</f>
        <v>2</v>
      </c>
      <c r="BW405" s="200">
        <f>FMS_Ranking4[[#This Row],[Rank (with ArcSinh normalization of select criteria)]]-FMS_Ranking4[[#This Row],[Rank
(with linear
normalization)]]</f>
        <v>50</v>
      </c>
      <c r="BX405" s="200" t="e">
        <f>FMS_Ranking4[[#This Row],[Log Rank]]-FMS_Ranking4[[#This Row],[Rank
(with linear
normalization)]]</f>
        <v>#REF!</v>
      </c>
      <c r="BY405" s="200" t="str">
        <f>IF(FMS_Ranking4[[#This Row],[FMS Type]]="Flood Measurement and Warning",FMS_Ranking4[[#This Row],[Rank (with ArcSinh normalization of select criteria)]],"")</f>
        <v/>
      </c>
      <c r="BZ405" s="200">
        <f>IF(FMS_Ranking4[[#This Row],[FMS Type]]="Regulatory and Guidance",FMS_Ranking4[[#This Row],[Rank (with ArcSinh normalization of select criteria)]],"")</f>
        <v>398</v>
      </c>
      <c r="CA405" s="200" t="str">
        <f>IF(FMS_Ranking4[[#This Row],[FMS Type]]="Education and Outreach",FMS_Ranking4[[#This Row],[Rank (with ArcSinh normalization of select criteria)]],"")</f>
        <v/>
      </c>
      <c r="CB405" s="200" t="str">
        <f>IF(FMS_Ranking4[[#This Row],[FMS Type]]="Property Acquisition and Structural Elevation",FMS_Ranking4[[#This Row],[Rank (with ArcSinh normalization of select criteria)]],"")</f>
        <v/>
      </c>
      <c r="CC405" s="200" t="str">
        <f>IF(FMS_Ranking4[[#This Row],[FMS Type]]="Infrastructure Projects",FMS_Ranking4[[#This Row],[Rank (with ArcSinh normalization of select criteria)]],"")</f>
        <v/>
      </c>
      <c r="CD405" s="200" t="str">
        <f>IF(FMS_Ranking4[[#This Row],[FMS Type]]="Other",FMS_Ranking4[[#This Row],[Rank (with ArcSinh normalization of select criteria)]],"")</f>
        <v/>
      </c>
      <c r="CE405" s="201"/>
      <c r="CF405" s="206"/>
      <c r="CG405" s="206"/>
      <c r="CH405" s="206"/>
      <c r="CI405" s="206"/>
      <c r="CJ405" s="206"/>
      <c r="CK405" s="206"/>
      <c r="CL405" s="206"/>
      <c r="CM405" s="206"/>
      <c r="CN405" s="206"/>
      <c r="CO405" s="206"/>
      <c r="CP405" s="206"/>
      <c r="CQ405" s="206"/>
      <c r="CR405" s="206"/>
    </row>
    <row r="406" spans="2:96" ht="120" x14ac:dyDescent="0.25">
      <c r="B406" s="341" t="s">
        <v>3745</v>
      </c>
      <c r="C406" s="246">
        <f>_xlfn.XLOOKUP(FMS_Ranking4[[#This Row],[FMS ID]],FMS_Input[FMS_ID],FMS_Input[RFPG_NUM])</f>
        <v>13</v>
      </c>
      <c r="D406" s="309" t="str">
        <f>_xlfn.XLOOKUP(FMS_Ranking4[[#This Row],[FMS ID]],FMS_Input[FMS_ID],FMS_Input[FMS_NAME])</f>
        <v>Sinton Flood Mitigation Policy</v>
      </c>
      <c r="E406" s="308" t="str">
        <f>_xlfn.XLOOKUP(FMS_Ranking4[[#This Row],[FMS ID]],FMS_Input[FMS_ID],FMS_Input[SPONSOR])</f>
        <v>13002864</v>
      </c>
      <c r="F406" s="309" t="str">
        <f>_xlfn.XLOOKUP(FMS_Ranking4[[#This Row],[FMS ID]],Sponsor[FMS_ID],Sponsor[SPONSOR NAME])</f>
        <v>Sinton</v>
      </c>
      <c r="G406" s="309" t="str">
        <f>_xlfn.XLOOKUP(FMS_Ranking4[[#This Row],[FMS ID]],FMS_Input[FMS_ID],FMS_Input[FMS_DESCR])</f>
        <v>San Patricio County Hazard Mitigation Action Plan - City of Sinton, Action #2: Adopt higher floodplain standards above the minimum requirements to provide additional flood protection to new development. </v>
      </c>
      <c r="H406" s="248" t="str">
        <f>_xlfn.XLOOKUP(FMS_Ranking4[[#This Row],[FMS ID]],FMS_Input[FMS_ID],FMS_Input[FMS_TYPE])</f>
        <v>Regulatory and Guidance</v>
      </c>
      <c r="I406" s="249">
        <f>_xlfn.XLOOKUP(FMS_Ranking4[[#This Row],[FMS ID]],FMS_Input[FMS_ID],FMS_Input[NRNC_COST])</f>
        <v>100000</v>
      </c>
      <c r="J406" s="250">
        <f>_xlfn.XLOOKUP(FMS_Ranking4[[#This Row],[FMS ID]],FMS_Input[FMS_ID],FMS_Input[FMS_COST])</f>
        <v>100000</v>
      </c>
      <c r="K406" s="251" t="str">
        <f>_xlfn.XLOOKUP(FMS_Ranking4[[#This Row],[FMS ID]],FMS_Input[FMS_ID],FMS_Input[EMER_NEED])</f>
        <v>Yes</v>
      </c>
      <c r="L406" s="252">
        <f t="shared" si="6"/>
        <v>1</v>
      </c>
      <c r="M406" s="253">
        <f>_xlfn.XLOOKUP(FMS_Ranking4[[#This Row],[FMS ID]],FMS_Input[FMS_ID],FMS_Input[STRUCT_100])</f>
        <v>762</v>
      </c>
      <c r="N406" s="255">
        <f>(ASINH(FMS_Ranking4[[#This Row],[Structure at Risk Raw]]))*(10)/(ASINH(M$4))</f>
        <v>5.7617592699637257</v>
      </c>
      <c r="O406" s="256">
        <f>FMS_Ranking4[[#This Row],[Structures at risk, ArcSinh (0-10)]]*M$5*10</f>
        <v>5.7617592699637257</v>
      </c>
      <c r="P406" s="253">
        <f>_xlfn.XLOOKUP(FMS_Ranking4[[#This Row],[FMS ID]],FMS_Input[FMS_ID],FMS_Input[RES_STRUCT100])</f>
        <v>612</v>
      </c>
      <c r="Q406" s="257">
        <f>ASINH(FMS_Ranking4[[#This Row],[Res Structure Raw]])/Q$4*P$5*100</f>
        <v>0</v>
      </c>
      <c r="R406" s="253">
        <f>_xlfn.XLOOKUP(FMS_Ranking4[[#This Row],[FMS ID]],FMS_Input[FMS_ID],FMS_Input[POP100])</f>
        <v>2145</v>
      </c>
      <c r="S406" s="255">
        <f>(ASINH(FMS_Ranking4[[#This Row],[Pop at Risk Raw]]))*(10)/(ASINH(R$4))</f>
        <v>5.77418517556357</v>
      </c>
      <c r="T406" s="256">
        <f>FMS_Ranking4[[#This Row],[Population at risk, ArcSinh (0-10)]]*R$5*10</f>
        <v>5.77418517556357</v>
      </c>
      <c r="U406" s="253">
        <f>_xlfn.XLOOKUP(FMS_Ranking4[[#This Row],[FMS ID]],FMS_Input[FMS_ID],FMS_Input[CRITFAC100])</f>
        <v>2</v>
      </c>
      <c r="V406" s="255">
        <f>(ASINH(FMS_Ranking4[[#This Row],[Critical Facilities Raw]]))*(10)/(ASINH(U$4))</f>
        <v>1.7089239049208753</v>
      </c>
      <c r="W406" s="256">
        <f>FMS_Ranking4[[#This Row],[Critical facilities at risk, ArcSinh (0-10)]]*U$5*10</f>
        <v>1.7089239049208755</v>
      </c>
      <c r="X406" s="253">
        <f>_xlfn.XLOOKUP(FMS_Ranking4[[#This Row],[FMS ID]],FMS_Input[FMS_ID],FMS_Input[LWC])</f>
        <v>0</v>
      </c>
      <c r="Y406" s="255">
        <f>(ASINH(FMS_Ranking4[[#This Row],[LWC Raw]]))*(10)/(ASINH(X$4))</f>
        <v>0</v>
      </c>
      <c r="Z406" s="256">
        <f>FMS_Ranking4[[#This Row],[LWC, ArcSInh (0-10)]]*X$5*10</f>
        <v>0</v>
      </c>
      <c r="AA406" s="253">
        <f>_xlfn.XLOOKUP(FMS_Ranking4[[#This Row],[FMS ID]],FMS_Input[FMS_ID],FMS_Input[ROADCLS])</f>
        <v>87</v>
      </c>
      <c r="AB406" s="255">
        <f>(ASINH(FMS_Ranking4[[#This Row],[Road Closures Raw]]))*(10)/(ASINH(AA$4))</f>
        <v>5.3727169754086184</v>
      </c>
      <c r="AC406" s="256">
        <f>FMS_Ranking4[[#This Row],[Road closures, ArcSinh (0-10)]]*AA$5*10</f>
        <v>2.6863584877043096</v>
      </c>
      <c r="AD406" s="253">
        <f>_xlfn.XLOOKUP(FMS_Ranking4[[#This Row],[FMS ID]],FMS_Input[FMS_ID],FMS_Input[ROAD_MILES100])</f>
        <v>15</v>
      </c>
      <c r="AE406" s="255">
        <f>(ASINH(FMS_Ranking4[[#This Row],[Road Miles Raw]]))*(10)/(ASINH(AD$4))</f>
        <v>3.625922827042257</v>
      </c>
      <c r="AF406" s="256">
        <f>FMS_Ranking4[[#This Row],[Length of roads at risk, ArcSinh (0-10)]]*AD$5*10</f>
        <v>3.625922827042257</v>
      </c>
      <c r="AG406" s="253">
        <f>_xlfn.XLOOKUP(FMS_Ranking4[[#This Row],[FMS ID]],FMS_Input[FMS_ID],FMS_Input[FARMACRE100])</f>
        <v>69.114486694335938</v>
      </c>
      <c r="AH406" s="255">
        <f>(ASINH(FMS_Ranking4[[#This Row],[Ag Land Raw]]))*(10)/(ASINH(AG$4))</f>
        <v>3.2017635926588999</v>
      </c>
      <c r="AI406" s="260">
        <f>FMS_Ranking4[[#This Row],[Farm &amp; ranch land, ArcSinh (0-10)]]*AG$5*10</f>
        <v>1.6008817963294499</v>
      </c>
      <c r="AJ406" s="258">
        <f>_xlfn.XLOOKUP(FMS_Ranking4[[#This Row],[FMS ID]],FMS_Input[FMS_ID],FMS_Input[REDSTRUCT100])</f>
        <v>0</v>
      </c>
      <c r="AK406" s="253">
        <f>_xlfn.XLOOKUP(FMS_Ranking4[[#This Row],[FMS ID]],FMS_Input[FMS_ID],FMS_Input[REMSTRC100])</f>
        <v>0</v>
      </c>
      <c r="AL406" s="255">
        <f>(ASINH(FMS_Ranking4[[#This Row],[Structures Removed Raw]]))*(10)/(ASINH(AK$4))</f>
        <v>0</v>
      </c>
      <c r="AM406" s="262">
        <f>FMS_Ranking4[[#This Row],[Structures removed, ArcSinh (0-10)]]*AK$5*10</f>
        <v>0</v>
      </c>
      <c r="AN406" s="253">
        <f>_xlfn.XLOOKUP(FMS_Ranking4[[#This Row],[FMS ID]],FMS_Input[FMS_ID],FMS_Input[REMRESSTRC100])</f>
        <v>0</v>
      </c>
      <c r="AO406" s="261">
        <f>FMS_Ranking4[[#This Row],[ArcSinh Res struct removed 0-10]]*AN$5*10</f>
        <v>0</v>
      </c>
      <c r="AP406" s="260">
        <f>ASINH(FMS_Ranking4[[#This Row],[Residential Structures Removed Raw]])/AP$4*AN$5*100</f>
        <v>0</v>
      </c>
      <c r="AQ406" s="258">
        <f>(ASINH(FMS_Ranking4[[#This Row],[Residential Structures Removed Raw]]))*(10)/(ASINH(AN$4))</f>
        <v>0</v>
      </c>
      <c r="AR406" s="253">
        <f>_xlfn.XLOOKUP(FMS_Ranking4[[#This Row],[FMS ID]],FMS_Input[FMS_ID],FMS_Input[REMPOP100])</f>
        <v>0</v>
      </c>
      <c r="AS406" s="255">
        <f>(ASINH(FMS_Ranking4[[#This Row],[Removed Pop Raw]]))*(10)/(ASINH(AR$4))</f>
        <v>0</v>
      </c>
      <c r="AT406" s="262">
        <f>FMS_Ranking4[[#This Row],[Removed population, ArcSinh (0-10)]]*AR$5*10</f>
        <v>0</v>
      </c>
      <c r="AU406" s="264">
        <f>_xlfn.XLOOKUP(FMS_Ranking4[[#This Row],[FMS ID]],FMS_Input[FMS_ID],FMS_Input[REMCRITFAC100])</f>
        <v>0</v>
      </c>
      <c r="AV406" s="264">
        <f>_xlfn.XLOOKUP(FMS_Ranking4[[#This Row],[FMS ID]],FMS_Input[FMS_ID],FMS_Input[REMLWC100])</f>
        <v>0</v>
      </c>
      <c r="AW406" s="264">
        <f>_xlfn.XLOOKUP(FMS_Ranking4[[#This Row],[FMS ID]],FMS_Input[FMS_ID],FMS_Input[REMROADCLS])</f>
        <v>0</v>
      </c>
      <c r="AX406" s="264">
        <f>_xlfn.XLOOKUP(FMS_Ranking4[[#This Row],[FMS ID]],FMS_Input[FMS_ID],FMS_Input[REMFRMACRE100])</f>
        <v>0</v>
      </c>
      <c r="AY406" s="258">
        <f>_xlfn.XLOOKUP(FMS_Ranking4[[#This Row],[FMS ID]],FMS_Input[FMS_ID],FMS_Input[COSTSTRUCT])</f>
        <v>0</v>
      </c>
      <c r="AZ406" s="253">
        <f>_xlfn.XLOOKUP(FMS_Ranking4[[#This Row],[FMS ID]],FMS_Input[FMS_ID],FMS_Input[NATURE])</f>
        <v>0</v>
      </c>
      <c r="BA406" s="262">
        <f>(((FMS_Ranking4[[#This Row],[% NBS Raw]]/AZ$4)*100)*AZ$5)</f>
        <v>0</v>
      </c>
      <c r="BB406" s="251" t="str">
        <f>_xlfn.XLOOKUP(FMS_Ranking4[[#This Row],[FMS ID]],FMS_Input[FMS_ID],FMS_Input[WATER_SUP])</f>
        <v>No</v>
      </c>
      <c r="BC406" s="265">
        <f>IF(FMS_Ranking4[[#This Row],[Water Supply Raw]]="Yes",10,0)</f>
        <v>0</v>
      </c>
      <c r="BD406" s="266">
        <f>_xlfn.XLOOKUP(FMS_Ranking4[[#This Row],[FMS Type]],FMS_TYPE[FMS_Type],FMS_TYPE[Score])</f>
        <v>8</v>
      </c>
      <c r="BE406" s="267">
        <f>FMS_Ranking4[[#This Row],[FMS_Type Score]]*$BD$5*10</f>
        <v>2</v>
      </c>
      <c r="BF40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0.16026414564138897</v>
      </c>
      <c r="BG406" s="321">
        <f>_xlfn.RANK.EQ(BF406,$BF$8:$BF$870,0)+COUNTIF($BF$8:BF406,BF406)-1</f>
        <v>397</v>
      </c>
      <c r="BH406" s="294">
        <f>(((FMS_Ranking4[[#This Row],[Structures Removed Raw]]/AK$4)*100)*AK$5)+(((FMS_Ranking4[[#This Row],[Removed Pop Raw]]/AR$4)*100)*AR$5)</f>
        <v>0</v>
      </c>
      <c r="BI40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2.1602641456413889</v>
      </c>
      <c r="BJ406" s="251">
        <f>_xlfn.RANK.EQ(FMS_Ranking4[[#This Row],[Total Score 
(with linear
normalization)]],FMS_Ranking4[Total Score 
(with linear
normalization)],0)</f>
        <v>337</v>
      </c>
      <c r="BK406" s="251" t="e">
        <f>_xlfn.XLOOKUP(FMS_Ranking4[[#This Row],[FMS ID]],#REF!,#REF!)</f>
        <v>#REF!</v>
      </c>
      <c r="BL40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21.158031461524189</v>
      </c>
      <c r="BM406" s="324">
        <f>FMS_Ranking4[[#This Row],[ArcSinh Score Based on Normalized Reported Factors]]+FMS_Ranking4[[#This Row],[% NBS Score (Normalized)]]+(FMS_Ranking4[[#This Row],[Water Supply Score (Normalized)]]*10*$BB$5)+FMS_Ranking4[[#This Row],[FMS_Type Score Weighted]]</f>
        <v>23.158031461524189</v>
      </c>
      <c r="BN406" s="251">
        <f>_xlfn.RANK.EQ(FMS_Ranking4[[#This Row],[Total Score (with ArcSinh normalization of select criteria)]],FMS_Ranking4[Total Score (with ArcSinh normalization of select criteria)],0)</f>
        <v>399</v>
      </c>
      <c r="BO406" s="270" t="str">
        <f>_xlfn.XLOOKUP(FMS_Ranking4[[#This Row],[FMS ID]],FMS_Input[FMS_ID],FMS_Input[FMS_RANK_YEAR])</f>
        <v>2023 Amended Plan</v>
      </c>
      <c r="BP406" s="204">
        <f>_xlfn.XLOOKUP(FMS_Ranking4[[#This Row],[FMS ID]],Prev_Rank[FMS ID],Prev_Rank[Prev Rank])</f>
        <v>349</v>
      </c>
      <c r="BQ406" s="251" t="e">
        <f>_xlfn.XLOOKUP(FMS_Ranking4[[#This Row],[FMS ID]],#REF!,#REF!)</f>
        <v>#REF!</v>
      </c>
      <c r="BR406" s="199" t="e">
        <f>SUM(#REF!,#REF!,#REF!,#REF!,#REF!,#REF!,#REF!,#REF!,#REF!,FMS_Ranking4[[#This Row],[ArcSinh Res struct removed 0-10]],#REF!)</f>
        <v>#REF!</v>
      </c>
      <c r="BS406" s="199" t="e">
        <f>FMS_Ranking4[[#This Row],[Log Score Based on Normalized Reported Factors]]+FMS_Ranking4[[#This Row],[% NBS Score (Normalized)]]+(FMS_Ranking4[[#This Row],[Water Supply Score (Normalized)]]*10*$BB$5)+(FMS_Ranking4[[#This Row],[FMS_Type Score Weighted]])</f>
        <v>#REF!</v>
      </c>
      <c r="BT406" s="200" t="e">
        <f>_xlfn.RANK.EQ(FMS_Ranking4[[#This Row],[Log Total Score]],FMS_Ranking4[Log Total Score],0)</f>
        <v>#REF!</v>
      </c>
      <c r="BU406" s="200" t="e">
        <f>_xlfn.XLOOKUP(FMS_Ranking4[[#This Row],[FMS ID]],#REF!,#REF!)</f>
        <v>#REF!</v>
      </c>
      <c r="BV406" s="200">
        <f>FMS_Ranking4[[#This Row],[Region Number]]</f>
        <v>13</v>
      </c>
      <c r="BW406" s="200">
        <f>FMS_Ranking4[[#This Row],[Rank (with ArcSinh normalization of select criteria)]]-FMS_Ranking4[[#This Row],[Rank
(with linear
normalization)]]</f>
        <v>62</v>
      </c>
      <c r="BX406" s="200" t="e">
        <f>FMS_Ranking4[[#This Row],[Log Rank]]-FMS_Ranking4[[#This Row],[Rank
(with linear
normalization)]]</f>
        <v>#REF!</v>
      </c>
      <c r="BY406" s="200" t="str">
        <f>IF(FMS_Ranking4[[#This Row],[FMS Type]]="Flood Measurement and Warning",FMS_Ranking4[[#This Row],[Rank (with ArcSinh normalization of select criteria)]],"")</f>
        <v/>
      </c>
      <c r="BZ406" s="200">
        <f>IF(FMS_Ranking4[[#This Row],[FMS Type]]="Regulatory and Guidance",FMS_Ranking4[[#This Row],[Rank (with ArcSinh normalization of select criteria)]],"")</f>
        <v>399</v>
      </c>
      <c r="CA406" s="200" t="str">
        <f>IF(FMS_Ranking4[[#This Row],[FMS Type]]="Education and Outreach",FMS_Ranking4[[#This Row],[Rank (with ArcSinh normalization of select criteria)]],"")</f>
        <v/>
      </c>
      <c r="CB406" s="200" t="str">
        <f>IF(FMS_Ranking4[[#This Row],[FMS Type]]="Property Acquisition and Structural Elevation",FMS_Ranking4[[#This Row],[Rank (with ArcSinh normalization of select criteria)]],"")</f>
        <v/>
      </c>
      <c r="CC406" s="200" t="str">
        <f>IF(FMS_Ranking4[[#This Row],[FMS Type]]="Infrastructure Projects",FMS_Ranking4[[#This Row],[Rank (with ArcSinh normalization of select criteria)]],"")</f>
        <v/>
      </c>
      <c r="CD406" s="200" t="str">
        <f>IF(FMS_Ranking4[[#This Row],[FMS Type]]="Other",FMS_Ranking4[[#This Row],[Rank (with ArcSinh normalization of select criteria)]],"")</f>
        <v/>
      </c>
      <c r="CE406" s="201"/>
      <c r="CF406" s="206"/>
      <c r="CG406" s="206"/>
      <c r="CH406" s="206"/>
      <c r="CI406" s="206"/>
      <c r="CJ406" s="206"/>
      <c r="CK406" s="206"/>
      <c r="CL406" s="206"/>
      <c r="CM406" s="206"/>
      <c r="CN406" s="206"/>
      <c r="CO406" s="206"/>
      <c r="CP406" s="206"/>
      <c r="CQ406" s="206"/>
      <c r="CR406" s="206"/>
    </row>
    <row r="407" spans="2:96" ht="60" x14ac:dyDescent="0.25">
      <c r="B407" s="341" t="s">
        <v>2657</v>
      </c>
      <c r="C407" s="246">
        <f>_xlfn.XLOOKUP(FMS_Ranking4[[#This Row],[FMS ID]],FMS_Input[FMS_ID],FMS_Input[RFPG_NUM])</f>
        <v>5</v>
      </c>
      <c r="D407" s="309" t="str">
        <f>_xlfn.XLOOKUP(FMS_Ranking4[[#This Row],[FMS ID]],FMS_Input[FMS_ID],FMS_Input[FMS_NAME])</f>
        <v xml:space="preserve">Liberty County Property Acquisition </v>
      </c>
      <c r="E407" s="308" t="str">
        <f>_xlfn.XLOOKUP(FMS_Ranking4[[#This Row],[FMS ID]],FMS_Input[FMS_ID],FMS_Input[SPONSOR])</f>
        <v>00000033</v>
      </c>
      <c r="F407" s="309" t="str">
        <f>_xlfn.XLOOKUP(FMS_Ranking4[[#This Row],[FMS ID]],Sponsor[FMS_ID],Sponsor[SPONSOR NAME])</f>
        <v>Liberty</v>
      </c>
      <c r="G407" s="309" t="str">
        <f>_xlfn.XLOOKUP(FMS_Ranking4[[#This Row],[FMS ID]],FMS_Input[FMS_ID],FMS_Input[FMS_DESCR])</f>
        <v>Acquire property located in the floodplain including properties located in subdivisions along the Trinity River.</v>
      </c>
      <c r="H407" s="248" t="str">
        <f>_xlfn.XLOOKUP(FMS_Ranking4[[#This Row],[FMS ID]],FMS_Input[FMS_ID],FMS_Input[FMS_TYPE])</f>
        <v>Property Acquisition and Structural Elevation</v>
      </c>
      <c r="I407" s="249">
        <f>_xlfn.XLOOKUP(FMS_Ranking4[[#This Row],[FMS ID]],FMS_Input[FMS_ID],FMS_Input[NRNC_COST])</f>
        <v>500000</v>
      </c>
      <c r="J407" s="250">
        <f>_xlfn.XLOOKUP(FMS_Ranking4[[#This Row],[FMS ID]],FMS_Input[FMS_ID],FMS_Input[FMS_COST])</f>
        <v>2140000</v>
      </c>
      <c r="K407" s="251" t="str">
        <f>_xlfn.XLOOKUP(FMS_Ranking4[[#This Row],[FMS ID]],FMS_Input[FMS_ID],FMS_Input[EMER_NEED])</f>
        <v>Yes</v>
      </c>
      <c r="L407" s="252">
        <f t="shared" si="6"/>
        <v>1</v>
      </c>
      <c r="M407" s="253">
        <f>_xlfn.XLOOKUP(FMS_Ranking4[[#This Row],[FMS ID]],FMS_Input[FMS_ID],FMS_Input[STRUCT_100])</f>
        <v>116</v>
      </c>
      <c r="N407" s="255">
        <f>(ASINH(FMS_Ranking4[[#This Row],[Structure at Risk Raw]]))*(10)/(ASINH(M$4))</f>
        <v>4.2819611637091359</v>
      </c>
      <c r="O407" s="256">
        <f>FMS_Ranking4[[#This Row],[Structures at risk, ArcSinh (0-10)]]*M$5*10</f>
        <v>4.2819611637091359</v>
      </c>
      <c r="P407" s="253">
        <f>_xlfn.XLOOKUP(FMS_Ranking4[[#This Row],[FMS ID]],FMS_Input[FMS_ID],FMS_Input[RES_STRUCT100])</f>
        <v>57</v>
      </c>
      <c r="Q407" s="257">
        <f>ASINH(FMS_Ranking4[[#This Row],[Res Structure Raw]])/Q$4*P$5*100</f>
        <v>0</v>
      </c>
      <c r="R407" s="253">
        <f>_xlfn.XLOOKUP(FMS_Ranking4[[#This Row],[FMS ID]],FMS_Input[FMS_ID],FMS_Input[POP100])</f>
        <v>143</v>
      </c>
      <c r="S407" s="259">
        <f>(ASINH(FMS_Ranking4[[#This Row],[Pop at Risk Raw]]))*(10)/(ASINH(R$4))</f>
        <v>3.9046688669961886</v>
      </c>
      <c r="T407" s="256">
        <f>FMS_Ranking4[[#This Row],[Population at risk, ArcSinh (0-10)]]*R$5*10</f>
        <v>3.9046688669961886</v>
      </c>
      <c r="U407" s="253">
        <f>_xlfn.XLOOKUP(FMS_Ranking4[[#This Row],[FMS ID]],FMS_Input[FMS_ID],FMS_Input[CRITFAC100])</f>
        <v>1</v>
      </c>
      <c r="V407" s="259">
        <f>(ASINH(FMS_Ranking4[[#This Row],[Critical Facilities Raw]]))*(10)/(ASINH(U$4))</f>
        <v>1.0433384451410745</v>
      </c>
      <c r="W407" s="256">
        <f>FMS_Ranking4[[#This Row],[Critical facilities at risk, ArcSinh (0-10)]]*U$5*10</f>
        <v>1.0433384451410745</v>
      </c>
      <c r="X407" s="253">
        <f>_xlfn.XLOOKUP(FMS_Ranking4[[#This Row],[FMS ID]],FMS_Input[FMS_ID],FMS_Input[LWC])</f>
        <v>0</v>
      </c>
      <c r="Y407" s="259">
        <f>(ASINH(FMS_Ranking4[[#This Row],[LWC Raw]]))*(10)/(ASINH(X$4))</f>
        <v>0</v>
      </c>
      <c r="Z407" s="256">
        <f>FMS_Ranking4[[#This Row],[LWC, ArcSInh (0-10)]]*X$5*10</f>
        <v>0</v>
      </c>
      <c r="AA407" s="253">
        <f>_xlfn.XLOOKUP(FMS_Ranking4[[#This Row],[FMS ID]],FMS_Input[FMS_ID],FMS_Input[ROADCLS])</f>
        <v>0</v>
      </c>
      <c r="AB407" s="255">
        <f>(ASINH(FMS_Ranking4[[#This Row],[Road Closures Raw]]))*(10)/(ASINH(AA$4))</f>
        <v>0</v>
      </c>
      <c r="AC407" s="256">
        <f>FMS_Ranking4[[#This Row],[Road closures, ArcSinh (0-10)]]*AA$5*10</f>
        <v>0</v>
      </c>
      <c r="AD407" s="253">
        <f>_xlfn.XLOOKUP(FMS_Ranking4[[#This Row],[FMS ID]],FMS_Input[FMS_ID],FMS_Input[ROAD_MILES100])</f>
        <v>7</v>
      </c>
      <c r="AE407" s="259">
        <f>(ASINH(FMS_Ranking4[[#This Row],[Road Miles Raw]]))*(10)/(ASINH(AD$4))</f>
        <v>2.8179052695658946</v>
      </c>
      <c r="AF407" s="256">
        <f>FMS_Ranking4[[#This Row],[Length of roads at risk, ArcSinh (0-10)]]*AD$5*10</f>
        <v>2.8179052695658946</v>
      </c>
      <c r="AG407" s="253">
        <f>_xlfn.XLOOKUP(FMS_Ranking4[[#This Row],[FMS ID]],FMS_Input[FMS_ID],FMS_Input[FARMACRE100])</f>
        <v>1525.707397460938</v>
      </c>
      <c r="AH407" s="255">
        <f>(ASINH(FMS_Ranking4[[#This Row],[Ag Land Raw]]))*(10)/(ASINH(AG$4))</f>
        <v>5.2118264561506509</v>
      </c>
      <c r="AI407" s="260">
        <f>FMS_Ranking4[[#This Row],[Farm &amp; ranch land, ArcSinh (0-10)]]*AG$5*10</f>
        <v>2.6059132280753254</v>
      </c>
      <c r="AJ407" s="258">
        <f>_xlfn.XLOOKUP(FMS_Ranking4[[#This Row],[FMS ID]],FMS_Input[FMS_ID],FMS_Input[REDSTRUCT100])</f>
        <v>0</v>
      </c>
      <c r="AK407" s="253">
        <f>_xlfn.XLOOKUP(FMS_Ranking4[[#This Row],[FMS ID]],FMS_Input[FMS_ID],FMS_Input[REMSTRC100])</f>
        <v>0</v>
      </c>
      <c r="AL407" s="259">
        <f>(ASINH(FMS_Ranking4[[#This Row],[Structures Removed Raw]]))*(10)/(ASINH(AK$4))</f>
        <v>0</v>
      </c>
      <c r="AM407" s="262">
        <f>FMS_Ranking4[[#This Row],[Structures removed, ArcSinh (0-10)]]*AK$5*10</f>
        <v>0</v>
      </c>
      <c r="AN407" s="253">
        <f>_xlfn.XLOOKUP(FMS_Ranking4[[#This Row],[FMS ID]],FMS_Input[FMS_ID],FMS_Input[REMRESSTRC100])</f>
        <v>0</v>
      </c>
      <c r="AO407" s="261">
        <f>FMS_Ranking4[[#This Row],[ArcSinh Res struct removed 0-10]]*AN$5*10</f>
        <v>0</v>
      </c>
      <c r="AP407" s="260">
        <f>ASINH(FMS_Ranking4[[#This Row],[Residential Structures Removed Raw]])/AP$4*AN$5*100</f>
        <v>0</v>
      </c>
      <c r="AQ407" s="254">
        <f>(ASINH(FMS_Ranking4[[#This Row],[Residential Structures Removed Raw]]))*(10)/(ASINH(AN$4))</f>
        <v>0</v>
      </c>
      <c r="AR407" s="253">
        <f>_xlfn.XLOOKUP(FMS_Ranking4[[#This Row],[FMS ID]],FMS_Input[FMS_ID],FMS_Input[REMPOP100])</f>
        <v>0</v>
      </c>
      <c r="AS407" s="259">
        <f>(ASINH(FMS_Ranking4[[#This Row],[Removed Pop Raw]]))*(10)/(ASINH(AR$4))</f>
        <v>0</v>
      </c>
      <c r="AT407" s="262">
        <f>FMS_Ranking4[[#This Row],[Removed population, ArcSinh (0-10)]]*AR$5*10</f>
        <v>0</v>
      </c>
      <c r="AU407" s="264">
        <f>_xlfn.XLOOKUP(FMS_Ranking4[[#This Row],[FMS ID]],FMS_Input[FMS_ID],FMS_Input[REMCRITFAC100])</f>
        <v>0</v>
      </c>
      <c r="AV407" s="264">
        <f>_xlfn.XLOOKUP(FMS_Ranking4[[#This Row],[FMS ID]],FMS_Input[FMS_ID],FMS_Input[REMLWC100])</f>
        <v>0</v>
      </c>
      <c r="AW407" s="264">
        <f>_xlfn.XLOOKUP(FMS_Ranking4[[#This Row],[FMS ID]],FMS_Input[FMS_ID],FMS_Input[REMROADCLS])</f>
        <v>0</v>
      </c>
      <c r="AX407" s="264">
        <f>_xlfn.XLOOKUP(FMS_Ranking4[[#This Row],[FMS ID]],FMS_Input[FMS_ID],FMS_Input[REMFRMACRE100])</f>
        <v>0</v>
      </c>
      <c r="AY407" s="258">
        <f>_xlfn.XLOOKUP(FMS_Ranking4[[#This Row],[FMS ID]],FMS_Input[FMS_ID],FMS_Input[COSTSTRUCT])</f>
        <v>0</v>
      </c>
      <c r="AZ407" s="253">
        <f>_xlfn.XLOOKUP(FMS_Ranking4[[#This Row],[FMS ID]],FMS_Input[FMS_ID],FMS_Input[NATURE])</f>
        <v>100</v>
      </c>
      <c r="BA407" s="262">
        <f>(((FMS_Ranking4[[#This Row],[% NBS Raw]]/AZ$4)*100)*AZ$5)</f>
        <v>7.5</v>
      </c>
      <c r="BB407" s="251" t="str">
        <f>_xlfn.XLOOKUP(FMS_Ranking4[[#This Row],[FMS ID]],FMS_Input[FMS_ID],FMS_Input[WATER_SUP])</f>
        <v>No</v>
      </c>
      <c r="BC407" s="265">
        <f>IF(FMS_Ranking4[[#This Row],[Water Supply Raw]]="Yes",10,0)</f>
        <v>0</v>
      </c>
      <c r="BD407" s="266">
        <f>_xlfn.XLOOKUP(FMS_Ranking4[[#This Row],[FMS Type]],FMS_TYPE[FMS_Type],FMS_TYPE[Score])</f>
        <v>4</v>
      </c>
      <c r="BE407" s="267">
        <f>FMS_Ranking4[[#This Row],[FMS_Type Score]]*$BD$5*10</f>
        <v>1</v>
      </c>
      <c r="BF40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2.7611108611900005E-2</v>
      </c>
      <c r="BG407" s="271">
        <f>_xlfn.RANK.EQ(BF407,$BF$8:$BF$870,0)+COUNTIF($BF$8:BF407,BF407)-1</f>
        <v>609</v>
      </c>
      <c r="BH407" s="268">
        <f>(((FMS_Ranking4[[#This Row],[Structures Removed Raw]]/AK$4)*100)*AK$5)+(((FMS_Ranking4[[#This Row],[Removed Pop Raw]]/AR$4)*100)*AR$5)</f>
        <v>0</v>
      </c>
      <c r="BI40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8.5276111086119002</v>
      </c>
      <c r="BJ407" s="205">
        <f>_xlfn.RANK.EQ(FMS_Ranking4[[#This Row],[Total Score 
(with linear
normalization)]],FMS_Ranking4[Total Score 
(with linear
normalization)],0)</f>
        <v>78</v>
      </c>
      <c r="BK407" s="205" t="e">
        <f>_xlfn.XLOOKUP(FMS_Ranking4[[#This Row],[FMS ID]],#REF!,#REF!)</f>
        <v>#REF!</v>
      </c>
      <c r="BL40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14.653786973487618</v>
      </c>
      <c r="BM407" s="272">
        <f>FMS_Ranking4[[#This Row],[ArcSinh Score Based on Normalized Reported Factors]]+FMS_Ranking4[[#This Row],[% NBS Score (Normalized)]]+(FMS_Ranking4[[#This Row],[Water Supply Score (Normalized)]]*10*$BB$5)+FMS_Ranking4[[#This Row],[FMS_Type Score Weighted]]</f>
        <v>23.15378697348762</v>
      </c>
      <c r="BN407" s="205">
        <f>_xlfn.RANK.EQ(FMS_Ranking4[[#This Row],[Total Score (with ArcSinh normalization of select criteria)]],FMS_Ranking4[Total Score (with ArcSinh normalization of select criteria)],0)</f>
        <v>400</v>
      </c>
      <c r="BO407" s="270" t="str">
        <f>_xlfn.XLOOKUP(FMS_Ranking4[[#This Row],[FMS ID]],FMS_Input[FMS_ID],FMS_Input[FMS_RANK_YEAR])</f>
        <v>2023 Amended Plan</v>
      </c>
      <c r="BP407" s="204">
        <f>_xlfn.XLOOKUP(FMS_Ranking4[[#This Row],[FMS ID]],Prev_Rank[FMS ID],Prev_Rank[Prev Rank])</f>
        <v>352</v>
      </c>
      <c r="BQ407" s="205" t="e">
        <f>_xlfn.XLOOKUP(FMS_Ranking4[[#This Row],[FMS ID]],#REF!,#REF!)</f>
        <v>#REF!</v>
      </c>
      <c r="BR407" s="199" t="e">
        <f>SUM(#REF!,#REF!,#REF!,#REF!,#REF!,#REF!,#REF!,#REF!,#REF!,FMS_Ranking4[[#This Row],[ArcSinh Res struct removed 0-10]],#REF!)</f>
        <v>#REF!</v>
      </c>
      <c r="BS407" s="199" t="e">
        <f>FMS_Ranking4[[#This Row],[Log Score Based on Normalized Reported Factors]]+FMS_Ranking4[[#This Row],[% NBS Score (Normalized)]]+(FMS_Ranking4[[#This Row],[Water Supply Score (Normalized)]]*10*$BB$5)+(FMS_Ranking4[[#This Row],[FMS_Type Score Weighted]])</f>
        <v>#REF!</v>
      </c>
      <c r="BT407" s="200" t="e">
        <f>_xlfn.RANK.EQ(FMS_Ranking4[[#This Row],[Log Total Score]],FMS_Ranking4[Log Total Score],0)</f>
        <v>#REF!</v>
      </c>
      <c r="BU407" s="200" t="e">
        <f>_xlfn.XLOOKUP(FMS_Ranking4[[#This Row],[FMS ID]],#REF!,#REF!)</f>
        <v>#REF!</v>
      </c>
      <c r="BV407" s="200">
        <f>FMS_Ranking4[[#This Row],[Region Number]]</f>
        <v>5</v>
      </c>
      <c r="BW407" s="200">
        <f>FMS_Ranking4[[#This Row],[Rank (with ArcSinh normalization of select criteria)]]-FMS_Ranking4[[#This Row],[Rank
(with linear
normalization)]]</f>
        <v>322</v>
      </c>
      <c r="BX407" s="200" t="e">
        <f>FMS_Ranking4[[#This Row],[Log Rank]]-FMS_Ranking4[[#This Row],[Rank
(with linear
normalization)]]</f>
        <v>#REF!</v>
      </c>
      <c r="BY407" s="200" t="str">
        <f>IF(FMS_Ranking4[[#This Row],[FMS Type]]="Flood Measurement and Warning",FMS_Ranking4[[#This Row],[Rank (with ArcSinh normalization of select criteria)]],"")</f>
        <v/>
      </c>
      <c r="BZ407" s="200" t="str">
        <f>IF(FMS_Ranking4[[#This Row],[FMS Type]]="Regulatory and Guidance",FMS_Ranking4[[#This Row],[Rank (with ArcSinh normalization of select criteria)]],"")</f>
        <v/>
      </c>
      <c r="CA407" s="200" t="str">
        <f>IF(FMS_Ranking4[[#This Row],[FMS Type]]="Education and Outreach",FMS_Ranking4[[#This Row],[Rank (with ArcSinh normalization of select criteria)]],"")</f>
        <v/>
      </c>
      <c r="CB407" s="200">
        <f>IF(FMS_Ranking4[[#This Row],[FMS Type]]="Property Acquisition and Structural Elevation",FMS_Ranking4[[#This Row],[Rank (with ArcSinh normalization of select criteria)]],"")</f>
        <v>400</v>
      </c>
      <c r="CC407" s="200" t="str">
        <f>IF(FMS_Ranking4[[#This Row],[FMS Type]]="Infrastructure Projects",FMS_Ranking4[[#This Row],[Rank (with ArcSinh normalization of select criteria)]],"")</f>
        <v/>
      </c>
      <c r="CD407" s="200" t="str">
        <f>IF(FMS_Ranking4[[#This Row],[FMS Type]]="Other",FMS_Ranking4[[#This Row],[Rank (with ArcSinh normalization of select criteria)]],"")</f>
        <v/>
      </c>
      <c r="CE407" s="201"/>
      <c r="CF407" s="206"/>
      <c r="CG407" s="206"/>
      <c r="CH407" s="206"/>
      <c r="CI407" s="206"/>
      <c r="CJ407" s="206"/>
      <c r="CK407" s="206"/>
      <c r="CL407" s="206"/>
      <c r="CM407" s="206"/>
      <c r="CN407" s="206"/>
      <c r="CO407" s="206"/>
      <c r="CP407" s="206"/>
      <c r="CQ407" s="206"/>
      <c r="CR407" s="206"/>
    </row>
    <row r="408" spans="2:96" ht="90" x14ac:dyDescent="0.25">
      <c r="B408" s="341" t="s">
        <v>1954</v>
      </c>
      <c r="C408" s="246">
        <f>_xlfn.XLOOKUP(FMS_Ranking4[[#This Row],[FMS ID]],FMS_Input[FMS_ID],FMS_Input[RFPG_NUM])</f>
        <v>3</v>
      </c>
      <c r="D408" s="309" t="str">
        <f>_xlfn.XLOOKUP(FMS_Ranking4[[#This Row],[FMS ID]],FMS_Input[FMS_ID],FMS_Input[FMS_NAME])</f>
        <v xml:space="preserve">Chambers Creek Stream Flow Monitoring System </v>
      </c>
      <c r="E408" s="308" t="str">
        <f>_xlfn.XLOOKUP(FMS_Ranking4[[#This Row],[FMS ID]],FMS_Input[FMS_ID],FMS_Input[SPONSOR])</f>
        <v>Everman</v>
      </c>
      <c r="F408" s="309" t="str">
        <f>_xlfn.XLOOKUP(FMS_Ranking4[[#This Row],[FMS ID]],Sponsor[FMS_ID],Sponsor[SPONSOR NAME])</f>
        <v>Everman</v>
      </c>
      <c r="G408" s="309" t="str">
        <f>_xlfn.XLOOKUP(FMS_Ranking4[[#This Row],[FMS ID]],FMS_Input[FMS_ID],FMS_Input[FMS_DESCR])</f>
        <v>Implement a Stream Flow Monitoring system that will allow for historical tracking and constant monitoring of water levels to assist with  early warnings to residents</v>
      </c>
      <c r="H408" s="248" t="str">
        <f>_xlfn.XLOOKUP(FMS_Ranking4[[#This Row],[FMS ID]],FMS_Input[FMS_ID],FMS_Input[FMS_TYPE])</f>
        <v>Flood Measurement and Warning</v>
      </c>
      <c r="I408" s="249">
        <f>_xlfn.XLOOKUP(FMS_Ranking4[[#This Row],[FMS ID]],FMS_Input[FMS_ID],FMS_Input[NRNC_COST])</f>
        <v>25000</v>
      </c>
      <c r="J408" s="250">
        <f>_xlfn.XLOOKUP(FMS_Ranking4[[#This Row],[FMS ID]],FMS_Input[FMS_ID],FMS_Input[FMS_COST])</f>
        <v>250000</v>
      </c>
      <c r="K408" s="251" t="str">
        <f>_xlfn.XLOOKUP(FMS_Ranking4[[#This Row],[FMS ID]],FMS_Input[FMS_ID],FMS_Input[EMER_NEED])</f>
        <v>No</v>
      </c>
      <c r="L408" s="252">
        <f t="shared" si="6"/>
        <v>0</v>
      </c>
      <c r="M408" s="253">
        <f>_xlfn.XLOOKUP(FMS_Ranking4[[#This Row],[FMS ID]],FMS_Input[FMS_ID],FMS_Input[STRUCT_100])</f>
        <v>272</v>
      </c>
      <c r="N408" s="255">
        <f>(ASINH(FMS_Ranking4[[#This Row],[Structure at Risk Raw]]))*(10)/(ASINH(M$4))</f>
        <v>4.9519146374196152</v>
      </c>
      <c r="O408" s="256">
        <f>FMS_Ranking4[[#This Row],[Structures at risk, ArcSinh (0-10)]]*M$5*10</f>
        <v>4.9519146374196152</v>
      </c>
      <c r="P408" s="253">
        <f>_xlfn.XLOOKUP(FMS_Ranking4[[#This Row],[FMS ID]],FMS_Input[FMS_ID],FMS_Input[RES_STRUCT100])</f>
        <v>225</v>
      </c>
      <c r="Q408" s="257">
        <f>ASINH(FMS_Ranking4[[#This Row],[Res Structure Raw]])/Q$4*P$5*100</f>
        <v>0</v>
      </c>
      <c r="R408" s="253">
        <f>_xlfn.XLOOKUP(FMS_Ranking4[[#This Row],[FMS ID]],FMS_Input[FMS_ID],FMS_Input[POP100])</f>
        <v>820</v>
      </c>
      <c r="S408" s="255">
        <f>(ASINH(FMS_Ranking4[[#This Row],[Pop at Risk Raw]]))*(10)/(ASINH(R$4))</f>
        <v>5.1103434969111801</v>
      </c>
      <c r="T408" s="256">
        <f>FMS_Ranking4[[#This Row],[Population at risk, ArcSinh (0-10)]]*R$5*10</f>
        <v>5.1103434969111809</v>
      </c>
      <c r="U408" s="253">
        <f>_xlfn.XLOOKUP(FMS_Ranking4[[#This Row],[FMS ID]],FMS_Input[FMS_ID],FMS_Input[CRITFAC100])</f>
        <v>4</v>
      </c>
      <c r="V408" s="255">
        <f>(ASINH(FMS_Ranking4[[#This Row],[Critical Facilities Raw]]))*(10)/(ASINH(U$4))</f>
        <v>2.4796455944038147</v>
      </c>
      <c r="W408" s="256">
        <f>FMS_Ranking4[[#This Row],[Critical facilities at risk, ArcSinh (0-10)]]*U$5*10</f>
        <v>2.4796455944038147</v>
      </c>
      <c r="X408" s="253">
        <f>_xlfn.XLOOKUP(FMS_Ranking4[[#This Row],[FMS ID]],FMS_Input[FMS_ID],FMS_Input[LWC])</f>
        <v>8</v>
      </c>
      <c r="Y408" s="255">
        <f>(ASINH(FMS_Ranking4[[#This Row],[LWC Raw]]))*(10)/(ASINH(X$4))</f>
        <v>3.7613918882232862</v>
      </c>
      <c r="Z408" s="256">
        <f>FMS_Ranking4[[#This Row],[LWC, ArcSInh (0-10)]]*X$5*10</f>
        <v>3.7613918882232866</v>
      </c>
      <c r="AA408" s="253">
        <f>_xlfn.XLOOKUP(FMS_Ranking4[[#This Row],[FMS ID]],FMS_Input[FMS_ID],FMS_Input[ROADCLS])</f>
        <v>0</v>
      </c>
      <c r="AB408" s="255">
        <f>(ASINH(FMS_Ranking4[[#This Row],[Road Closures Raw]]))*(10)/(ASINH(AA$4))</f>
        <v>0</v>
      </c>
      <c r="AC408" s="256">
        <f>FMS_Ranking4[[#This Row],[Road closures, ArcSinh (0-10)]]*AA$5*10</f>
        <v>0</v>
      </c>
      <c r="AD408" s="253">
        <f>_xlfn.XLOOKUP(FMS_Ranking4[[#This Row],[FMS ID]],FMS_Input[FMS_ID],FMS_Input[ROAD_MILES100])</f>
        <v>6</v>
      </c>
      <c r="AE408" s="255">
        <f>(ASINH(FMS_Ranking4[[#This Row],[Road Miles Raw]]))*(10)/(ASINH(AD$4))</f>
        <v>2.6555517738739667</v>
      </c>
      <c r="AF408" s="256">
        <f>FMS_Ranking4[[#This Row],[Length of roads at risk, ArcSinh (0-10)]]*AD$5*10</f>
        <v>2.6555517738739671</v>
      </c>
      <c r="AG408" s="253">
        <f>_xlfn.XLOOKUP(FMS_Ranking4[[#This Row],[FMS ID]],FMS_Input[FMS_ID],FMS_Input[FARMACRE100])</f>
        <v>86.034027099609375</v>
      </c>
      <c r="AH408" s="255">
        <f>(ASINH(FMS_Ranking4[[#This Row],[Ag Land Raw]]))*(10)/(ASINH(AG$4))</f>
        <v>3.3439959293905379</v>
      </c>
      <c r="AI408" s="260">
        <f>FMS_Ranking4[[#This Row],[Farm &amp; ranch land, ArcSinh (0-10)]]*AG$5*10</f>
        <v>1.671997964695269</v>
      </c>
      <c r="AJ408" s="258">
        <f>_xlfn.XLOOKUP(FMS_Ranking4[[#This Row],[FMS ID]],FMS_Input[FMS_ID],FMS_Input[REDSTRUCT100])</f>
        <v>0</v>
      </c>
      <c r="AK408" s="253">
        <f>_xlfn.XLOOKUP(FMS_Ranking4[[#This Row],[FMS ID]],FMS_Input[FMS_ID],FMS_Input[REMSTRC100])</f>
        <v>0</v>
      </c>
      <c r="AL408" s="255">
        <f>(ASINH(FMS_Ranking4[[#This Row],[Structures Removed Raw]]))*(10)/(ASINH(AK$4))</f>
        <v>0</v>
      </c>
      <c r="AM408" s="262">
        <f>FMS_Ranking4[[#This Row],[Structures removed, ArcSinh (0-10)]]*AK$5*10</f>
        <v>0</v>
      </c>
      <c r="AN408" s="253">
        <f>_xlfn.XLOOKUP(FMS_Ranking4[[#This Row],[FMS ID]],FMS_Input[FMS_ID],FMS_Input[REMRESSTRC100])</f>
        <v>0</v>
      </c>
      <c r="AO408" s="261">
        <f>FMS_Ranking4[[#This Row],[ArcSinh Res struct removed 0-10]]*AN$5*10</f>
        <v>0</v>
      </c>
      <c r="AP408" s="260">
        <f>ASINH(FMS_Ranking4[[#This Row],[Residential Structures Removed Raw]])/AP$4*AN$5*100</f>
        <v>0</v>
      </c>
      <c r="AQ408" s="258">
        <f>(ASINH(FMS_Ranking4[[#This Row],[Residential Structures Removed Raw]]))*(10)/(ASINH(AN$4))</f>
        <v>0</v>
      </c>
      <c r="AR408" s="253">
        <f>_xlfn.XLOOKUP(FMS_Ranking4[[#This Row],[FMS ID]],FMS_Input[FMS_ID],FMS_Input[REMPOP100])</f>
        <v>0</v>
      </c>
      <c r="AS408" s="255">
        <f>(ASINH(FMS_Ranking4[[#This Row],[Removed Pop Raw]]))*(10)/(ASINH(AR$4))</f>
        <v>0</v>
      </c>
      <c r="AT408" s="262">
        <f>FMS_Ranking4[[#This Row],[Removed population, ArcSinh (0-10)]]*AR$5*10</f>
        <v>0</v>
      </c>
      <c r="AU408" s="264">
        <f>_xlfn.XLOOKUP(FMS_Ranking4[[#This Row],[FMS ID]],FMS_Input[FMS_ID],FMS_Input[REMCRITFAC100])</f>
        <v>0</v>
      </c>
      <c r="AV408" s="264">
        <f>_xlfn.XLOOKUP(FMS_Ranking4[[#This Row],[FMS ID]],FMS_Input[FMS_ID],FMS_Input[REMLWC100])</f>
        <v>0</v>
      </c>
      <c r="AW408" s="264">
        <f>_xlfn.XLOOKUP(FMS_Ranking4[[#This Row],[FMS ID]],FMS_Input[FMS_ID],FMS_Input[REMROADCLS])</f>
        <v>0</v>
      </c>
      <c r="AX408" s="264">
        <f>_xlfn.XLOOKUP(FMS_Ranking4[[#This Row],[FMS ID]],FMS_Input[FMS_ID],FMS_Input[REMFRMACRE100])</f>
        <v>0</v>
      </c>
      <c r="AY408" s="258">
        <f>_xlfn.XLOOKUP(FMS_Ranking4[[#This Row],[FMS ID]],FMS_Input[FMS_ID],FMS_Input[COSTSTRUCT])</f>
        <v>0</v>
      </c>
      <c r="AZ408" s="253">
        <f>_xlfn.XLOOKUP(FMS_Ranking4[[#This Row],[FMS ID]],FMS_Input[FMS_ID],FMS_Input[NATURE])</f>
        <v>0</v>
      </c>
      <c r="BA408" s="262">
        <f>(((FMS_Ranking4[[#This Row],[% NBS Raw]]/AZ$4)*100)*AZ$5)</f>
        <v>0</v>
      </c>
      <c r="BB408" s="251" t="str">
        <f>_xlfn.XLOOKUP(FMS_Ranking4[[#This Row],[FMS ID]],FMS_Input[FMS_ID],FMS_Input[WATER_SUP])</f>
        <v>No</v>
      </c>
      <c r="BC408" s="265">
        <f>IF(FMS_Ranking4[[#This Row],[Water Supply Raw]]="Yes",10,0)</f>
        <v>0</v>
      </c>
      <c r="BD408" s="266">
        <f>_xlfn.XLOOKUP(FMS_Ranking4[[#This Row],[FMS Type]],FMS_TYPE[FMS_Type],FMS_TYPE[Score])</f>
        <v>10</v>
      </c>
      <c r="BE408" s="267">
        <f>FMS_Ranking4[[#This Row],[FMS_Type Score]]*$BD$5*10</f>
        <v>2.5</v>
      </c>
      <c r="BF40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0.15171060892074756</v>
      </c>
      <c r="BG408" s="321">
        <f>_xlfn.RANK.EQ(BF408,$BF$8:$BF$870,0)+COUNTIF($BF$8:BF408,BF408)-1</f>
        <v>407</v>
      </c>
      <c r="BH408" s="294">
        <f>(((FMS_Ranking4[[#This Row],[Structures Removed Raw]]/AK$4)*100)*AK$5)+(((FMS_Ranking4[[#This Row],[Removed Pop Raw]]/AR$4)*100)*AR$5)</f>
        <v>0</v>
      </c>
      <c r="BI40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2.6517106089207476</v>
      </c>
      <c r="BJ408" s="251">
        <f>_xlfn.RANK.EQ(FMS_Ranking4[[#This Row],[Total Score 
(with linear
normalization)]],FMS_Ranking4[Total Score 
(with linear
normalization)],0)</f>
        <v>214</v>
      </c>
      <c r="BK408" s="251" t="e">
        <f>_xlfn.XLOOKUP(FMS_Ranking4[[#This Row],[FMS ID]],#REF!,#REF!)</f>
        <v>#REF!</v>
      </c>
      <c r="BL40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20.630845355527132</v>
      </c>
      <c r="BM408" s="324">
        <f>FMS_Ranking4[[#This Row],[ArcSinh Score Based on Normalized Reported Factors]]+FMS_Ranking4[[#This Row],[% NBS Score (Normalized)]]+(FMS_Ranking4[[#This Row],[Water Supply Score (Normalized)]]*10*$BB$5)+FMS_Ranking4[[#This Row],[FMS_Type Score Weighted]]</f>
        <v>23.130845355527132</v>
      </c>
      <c r="BN408" s="251">
        <f>_xlfn.RANK.EQ(FMS_Ranking4[[#This Row],[Total Score (with ArcSinh normalization of select criteria)]],FMS_Ranking4[Total Score (with ArcSinh normalization of select criteria)],0)</f>
        <v>401</v>
      </c>
      <c r="BO408" s="270" t="str">
        <f>_xlfn.XLOOKUP(FMS_Ranking4[[#This Row],[FMS ID]],FMS_Input[FMS_ID],FMS_Input[FMS_RANK_YEAR])</f>
        <v>2023 Amended Plan</v>
      </c>
      <c r="BP408" s="204">
        <f>_xlfn.XLOOKUP(FMS_Ranking4[[#This Row],[FMS ID]],Prev_Rank[FMS ID],Prev_Rank[Prev Rank])</f>
        <v>350</v>
      </c>
      <c r="BQ408" s="251" t="e">
        <f>_xlfn.XLOOKUP(FMS_Ranking4[[#This Row],[FMS ID]],#REF!,#REF!)</f>
        <v>#REF!</v>
      </c>
      <c r="BR408" s="199" t="e">
        <f>SUM(#REF!,#REF!,#REF!,#REF!,#REF!,#REF!,#REF!,#REF!,#REF!,FMS_Ranking4[[#This Row],[ArcSinh Res struct removed 0-10]],#REF!)</f>
        <v>#REF!</v>
      </c>
      <c r="BS408" s="199" t="e">
        <f>FMS_Ranking4[[#This Row],[Log Score Based on Normalized Reported Factors]]+FMS_Ranking4[[#This Row],[% NBS Score (Normalized)]]+(FMS_Ranking4[[#This Row],[Water Supply Score (Normalized)]]*10*$BB$5)+(FMS_Ranking4[[#This Row],[FMS_Type Score Weighted]])</f>
        <v>#REF!</v>
      </c>
      <c r="BT408" s="200" t="e">
        <f>_xlfn.RANK.EQ(FMS_Ranking4[[#This Row],[Log Total Score]],FMS_Ranking4[Log Total Score],0)</f>
        <v>#REF!</v>
      </c>
      <c r="BU408" s="200" t="e">
        <f>_xlfn.XLOOKUP(FMS_Ranking4[[#This Row],[FMS ID]],#REF!,#REF!)</f>
        <v>#REF!</v>
      </c>
      <c r="BV408" s="200">
        <f>FMS_Ranking4[[#This Row],[Region Number]]</f>
        <v>3</v>
      </c>
      <c r="BW408" s="200">
        <f>FMS_Ranking4[[#This Row],[Rank (with ArcSinh normalization of select criteria)]]-FMS_Ranking4[[#This Row],[Rank
(with linear
normalization)]]</f>
        <v>187</v>
      </c>
      <c r="BX408" s="200" t="e">
        <f>FMS_Ranking4[[#This Row],[Log Rank]]-FMS_Ranking4[[#This Row],[Rank
(with linear
normalization)]]</f>
        <v>#REF!</v>
      </c>
      <c r="BY408" s="200">
        <f>IF(FMS_Ranking4[[#This Row],[FMS Type]]="Flood Measurement and Warning",FMS_Ranking4[[#This Row],[Rank (with ArcSinh normalization of select criteria)]],"")</f>
        <v>401</v>
      </c>
      <c r="BZ408" s="200" t="str">
        <f>IF(FMS_Ranking4[[#This Row],[FMS Type]]="Regulatory and Guidance",FMS_Ranking4[[#This Row],[Rank (with ArcSinh normalization of select criteria)]],"")</f>
        <v/>
      </c>
      <c r="CA408" s="200" t="str">
        <f>IF(FMS_Ranking4[[#This Row],[FMS Type]]="Education and Outreach",FMS_Ranking4[[#This Row],[Rank (with ArcSinh normalization of select criteria)]],"")</f>
        <v/>
      </c>
      <c r="CB408" s="200" t="str">
        <f>IF(FMS_Ranking4[[#This Row],[FMS Type]]="Property Acquisition and Structural Elevation",FMS_Ranking4[[#This Row],[Rank (with ArcSinh normalization of select criteria)]],"")</f>
        <v/>
      </c>
      <c r="CC408" s="200" t="str">
        <f>IF(FMS_Ranking4[[#This Row],[FMS Type]]="Infrastructure Projects",FMS_Ranking4[[#This Row],[Rank (with ArcSinh normalization of select criteria)]],"")</f>
        <v/>
      </c>
      <c r="CD408" s="200" t="str">
        <f>IF(FMS_Ranking4[[#This Row],[FMS Type]]="Other",FMS_Ranking4[[#This Row],[Rank (with ArcSinh normalization of select criteria)]],"")</f>
        <v/>
      </c>
      <c r="CE408" s="201"/>
      <c r="CF408" s="206"/>
      <c r="CG408" s="206"/>
      <c r="CH408" s="206"/>
      <c r="CI408" s="206"/>
      <c r="CJ408" s="206"/>
      <c r="CK408" s="206"/>
      <c r="CL408" s="206"/>
      <c r="CM408" s="206"/>
      <c r="CN408" s="206"/>
      <c r="CO408" s="206"/>
      <c r="CP408" s="206"/>
      <c r="CQ408" s="206"/>
      <c r="CR408" s="206"/>
    </row>
    <row r="409" spans="2:96" ht="90" x14ac:dyDescent="0.25">
      <c r="B409" s="341" t="s">
        <v>176</v>
      </c>
      <c r="C409" s="246">
        <f>_xlfn.XLOOKUP(FMS_Ranking4[[#This Row],[FMS ID]],FMS_Input[FMS_ID],FMS_Input[RFPG_NUM])</f>
        <v>6</v>
      </c>
      <c r="D409" s="309" t="str">
        <f>_xlfn.XLOOKUP(FMS_Ranking4[[#This Row],[FMS ID]],FMS_Input[FMS_ID],FMS_Input[FMS_NAME])</f>
        <v>Mitigate Repetitive Flood Claim &amp; Severe Repetititve Loss Properties in Galveston County</v>
      </c>
      <c r="E409" s="308" t="str">
        <f>_xlfn.XLOOKUP(FMS_Ranking4[[#This Row],[FMS ID]],FMS_Input[FMS_ID],FMS_Input[SPONSOR])</f>
        <v>00000006</v>
      </c>
      <c r="F409" s="309" t="str">
        <f>_xlfn.XLOOKUP(FMS_Ranking4[[#This Row],[FMS ID]],Sponsor[FMS_ID],Sponsor[SPONSOR NAME])</f>
        <v>Galveston</v>
      </c>
      <c r="G409" s="309" t="str">
        <f>_xlfn.XLOOKUP(FMS_Ranking4[[#This Row],[FMS ID]],FMS_Input[FMS_ID],FMS_Input[FMS_DESCR])</f>
        <v xml:space="preserve">Grant funding through HMGP may be used to mitigate RFC and SRL properties. Mitigation option will be implemented with property owners as funding and opportunities arise. </v>
      </c>
      <c r="H409" s="248" t="str">
        <f>_xlfn.XLOOKUP(FMS_Ranking4[[#This Row],[FMS ID]],FMS_Input[FMS_ID],FMS_Input[FMS_TYPE])</f>
        <v>Property Acquisition and Structural Elevation</v>
      </c>
      <c r="I409" s="249">
        <f>_xlfn.XLOOKUP(FMS_Ranking4[[#This Row],[FMS ID]],FMS_Input[FMS_ID],FMS_Input[NRNC_COST])</f>
        <v>1500000</v>
      </c>
      <c r="J409" s="250">
        <f>_xlfn.XLOOKUP(FMS_Ranking4[[#This Row],[FMS ID]],FMS_Input[FMS_ID],FMS_Input[FMS_COST])</f>
        <v>30000000</v>
      </c>
      <c r="K409" s="251" t="str">
        <f>_xlfn.XLOOKUP(FMS_Ranking4[[#This Row],[FMS ID]],FMS_Input[FMS_ID],FMS_Input[EMER_NEED])</f>
        <v>No</v>
      </c>
      <c r="L409" s="252">
        <f t="shared" si="6"/>
        <v>0</v>
      </c>
      <c r="M409" s="253">
        <f>_xlfn.XLOOKUP(FMS_Ranking4[[#This Row],[FMS ID]],FMS_Input[FMS_ID],FMS_Input[STRUCT_100])</f>
        <v>829</v>
      </c>
      <c r="N409" s="255">
        <f>(ASINH(FMS_Ranking4[[#This Row],[Structure at Risk Raw]]))*(10)/(ASINH(M$4))</f>
        <v>5.8280108144245224</v>
      </c>
      <c r="O409" s="256">
        <f>FMS_Ranking4[[#This Row],[Structures at risk, ArcSinh (0-10)]]*M$5*10</f>
        <v>5.8280108144245224</v>
      </c>
      <c r="P409" s="253">
        <f>_xlfn.XLOOKUP(FMS_Ranking4[[#This Row],[FMS ID]],FMS_Input[FMS_ID],FMS_Input[RES_STRUCT100])</f>
        <v>767</v>
      </c>
      <c r="Q409" s="257">
        <f>ASINH(FMS_Ranking4[[#This Row],[Res Structure Raw]])/Q$4*P$5*100</f>
        <v>0</v>
      </c>
      <c r="R409" s="253">
        <f>_xlfn.XLOOKUP(FMS_Ranking4[[#This Row],[FMS ID]],FMS_Input[FMS_ID],FMS_Input[POP100])</f>
        <v>1455</v>
      </c>
      <c r="S409" s="259">
        <f>(ASINH(FMS_Ranking4[[#This Row],[Pop at Risk Raw]]))*(10)/(ASINH(R$4))</f>
        <v>5.506233963431244</v>
      </c>
      <c r="T409" s="256">
        <f>FMS_Ranking4[[#This Row],[Population at risk, ArcSinh (0-10)]]*R$5*10</f>
        <v>5.506233963431244</v>
      </c>
      <c r="U409" s="253">
        <f>_xlfn.XLOOKUP(FMS_Ranking4[[#This Row],[FMS ID]],FMS_Input[FMS_ID],FMS_Input[CRITFAC100])</f>
        <v>8</v>
      </c>
      <c r="V409" s="259">
        <f>(ASINH(FMS_Ranking4[[#This Row],[Critical Facilities Raw]]))*(10)/(ASINH(U$4))</f>
        <v>3.286688318109702</v>
      </c>
      <c r="W409" s="256">
        <f>FMS_Ranking4[[#This Row],[Critical facilities at risk, ArcSinh (0-10)]]*U$5*10</f>
        <v>3.2866883181097024</v>
      </c>
      <c r="X409" s="253">
        <f>_xlfn.XLOOKUP(FMS_Ranking4[[#This Row],[FMS ID]],FMS_Input[FMS_ID],FMS_Input[LWC])</f>
        <v>1</v>
      </c>
      <c r="Y409" s="259">
        <f>(ASINH(FMS_Ranking4[[#This Row],[LWC Raw]]))*(10)/(ASINH(X$4))</f>
        <v>1.1940300948531093</v>
      </c>
      <c r="Z409" s="256">
        <f>FMS_Ranking4[[#This Row],[LWC, ArcSInh (0-10)]]*X$5*10</f>
        <v>1.1940300948531093</v>
      </c>
      <c r="AA409" s="253">
        <f>_xlfn.XLOOKUP(FMS_Ranking4[[#This Row],[FMS ID]],FMS_Input[FMS_ID],FMS_Input[ROADCLS])</f>
        <v>1</v>
      </c>
      <c r="AB409" s="255">
        <f>(ASINH(FMS_Ranking4[[#This Row],[Road Closures Raw]]))*(10)/(ASINH(AA$4))</f>
        <v>0.91786969566638699</v>
      </c>
      <c r="AC409" s="256">
        <f>FMS_Ranking4[[#This Row],[Road closures, ArcSinh (0-10)]]*AA$5*10</f>
        <v>0.45893484783319349</v>
      </c>
      <c r="AD409" s="253">
        <f>_xlfn.XLOOKUP(FMS_Ranking4[[#This Row],[FMS ID]],FMS_Input[FMS_ID],FMS_Input[ROAD_MILES100])</f>
        <v>31</v>
      </c>
      <c r="AE409" s="259">
        <f>(ASINH(FMS_Ranking4[[#This Row],[Road Miles Raw]]))*(10)/(ASINH(AD$4))</f>
        <v>4.3986669153359532</v>
      </c>
      <c r="AF409" s="256">
        <f>FMS_Ranking4[[#This Row],[Length of roads at risk, ArcSinh (0-10)]]*AD$5*10</f>
        <v>4.3986669153359532</v>
      </c>
      <c r="AG409" s="253">
        <f>_xlfn.XLOOKUP(FMS_Ranking4[[#This Row],[FMS ID]],FMS_Input[FMS_ID],FMS_Input[FARMACRE100])</f>
        <v>37.849395751953118</v>
      </c>
      <c r="AH409" s="255">
        <f>(ASINH(FMS_Ranking4[[#This Row],[Ag Land Raw]]))*(10)/(ASINH(AG$4))</f>
        <v>2.8106978739458768</v>
      </c>
      <c r="AI409" s="260">
        <f>FMS_Ranking4[[#This Row],[Farm &amp; ranch land, ArcSinh (0-10)]]*AG$5*10</f>
        <v>1.4053489369729386</v>
      </c>
      <c r="AJ409" s="258">
        <f>_xlfn.XLOOKUP(FMS_Ranking4[[#This Row],[FMS ID]],FMS_Input[FMS_ID],FMS_Input[REDSTRUCT100])</f>
        <v>0</v>
      </c>
      <c r="AK409" s="253">
        <f>_xlfn.XLOOKUP(FMS_Ranking4[[#This Row],[FMS ID]],FMS_Input[FMS_ID],FMS_Input[REMSTRC100])</f>
        <v>0</v>
      </c>
      <c r="AL409" s="259">
        <f>(ASINH(FMS_Ranking4[[#This Row],[Structures Removed Raw]]))*(10)/(ASINH(AK$4))</f>
        <v>0</v>
      </c>
      <c r="AM409" s="262">
        <f>FMS_Ranking4[[#This Row],[Structures removed, ArcSinh (0-10)]]*AK$5*10</f>
        <v>0</v>
      </c>
      <c r="AN409" s="253">
        <f>_xlfn.XLOOKUP(FMS_Ranking4[[#This Row],[FMS ID]],FMS_Input[FMS_ID],FMS_Input[REMRESSTRC100])</f>
        <v>0</v>
      </c>
      <c r="AO409" s="261">
        <f>FMS_Ranking4[[#This Row],[ArcSinh Res struct removed 0-10]]*AN$5*10</f>
        <v>0</v>
      </c>
      <c r="AP409" s="260">
        <f>ASINH(FMS_Ranking4[[#This Row],[Residential Structures Removed Raw]])/AP$4*AN$5*100</f>
        <v>0</v>
      </c>
      <c r="AQ409" s="254">
        <f>(ASINH(FMS_Ranking4[[#This Row],[Residential Structures Removed Raw]]))*(10)/(ASINH(AN$4))</f>
        <v>0</v>
      </c>
      <c r="AR409" s="253">
        <f>_xlfn.XLOOKUP(FMS_Ranking4[[#This Row],[FMS ID]],FMS_Input[FMS_ID],FMS_Input[REMPOP100])</f>
        <v>0</v>
      </c>
      <c r="AS409" s="259">
        <f>(ASINH(FMS_Ranking4[[#This Row],[Removed Pop Raw]]))*(10)/(ASINH(AR$4))</f>
        <v>0</v>
      </c>
      <c r="AT409" s="262">
        <f>FMS_Ranking4[[#This Row],[Removed population, ArcSinh (0-10)]]*AR$5*10</f>
        <v>0</v>
      </c>
      <c r="AU409" s="264">
        <f>_xlfn.XLOOKUP(FMS_Ranking4[[#This Row],[FMS ID]],FMS_Input[FMS_ID],FMS_Input[REMCRITFAC100])</f>
        <v>0</v>
      </c>
      <c r="AV409" s="264">
        <f>_xlfn.XLOOKUP(FMS_Ranking4[[#This Row],[FMS ID]],FMS_Input[FMS_ID],FMS_Input[REMLWC100])</f>
        <v>0</v>
      </c>
      <c r="AW409" s="264">
        <f>_xlfn.XLOOKUP(FMS_Ranking4[[#This Row],[FMS ID]],FMS_Input[FMS_ID],FMS_Input[REMROADCLS])</f>
        <v>0</v>
      </c>
      <c r="AX409" s="264">
        <f>_xlfn.XLOOKUP(FMS_Ranking4[[#This Row],[FMS ID]],FMS_Input[FMS_ID],FMS_Input[REMFRMACRE100])</f>
        <v>0</v>
      </c>
      <c r="AY409" s="258">
        <f>_xlfn.XLOOKUP(FMS_Ranking4[[#This Row],[FMS ID]],FMS_Input[FMS_ID],FMS_Input[COSTSTRUCT])</f>
        <v>0</v>
      </c>
      <c r="AZ409" s="253">
        <f>_xlfn.XLOOKUP(FMS_Ranking4[[#This Row],[FMS ID]],FMS_Input[FMS_ID],FMS_Input[NATURE])</f>
        <v>0</v>
      </c>
      <c r="BA409" s="262">
        <f>(((FMS_Ranking4[[#This Row],[% NBS Raw]]/AZ$4)*100)*AZ$5)</f>
        <v>0</v>
      </c>
      <c r="BB409" s="251" t="str">
        <f>_xlfn.XLOOKUP(FMS_Ranking4[[#This Row],[FMS ID]],FMS_Input[FMS_ID],FMS_Input[WATER_SUP])</f>
        <v>No</v>
      </c>
      <c r="BC409" s="265">
        <f>IF(FMS_Ranking4[[#This Row],[Water Supply Raw]]="Yes",10,0)</f>
        <v>0</v>
      </c>
      <c r="BD409" s="266">
        <f>_xlfn.XLOOKUP(FMS_Ranking4[[#This Row],[FMS Type]],FMS_TYPE[FMS_Type],FMS_TYPE[Score])</f>
        <v>4</v>
      </c>
      <c r="BE409" s="267">
        <f>FMS_Ranking4[[#This Row],[FMS_Type Score]]*$BD$5*10</f>
        <v>1</v>
      </c>
      <c r="BF40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0.16413483139685484</v>
      </c>
      <c r="BG409" s="271">
        <f>_xlfn.RANK.EQ(BF409,$BF$8:$BF$870,0)+COUNTIF($BF$8:BF409,BF409)-1</f>
        <v>389</v>
      </c>
      <c r="BH409" s="268">
        <f>(((FMS_Ranking4[[#This Row],[Structures Removed Raw]]/AK$4)*100)*AK$5)+(((FMS_Ranking4[[#This Row],[Removed Pop Raw]]/AR$4)*100)*AR$5)</f>
        <v>0</v>
      </c>
      <c r="BI40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1.1641348313968549</v>
      </c>
      <c r="BJ409" s="205">
        <f>_xlfn.RANK.EQ(FMS_Ranking4[[#This Row],[Total Score 
(with linear
normalization)]],FMS_Ranking4[Total Score 
(with linear
normalization)],0)</f>
        <v>653</v>
      </c>
      <c r="BK409" s="205" t="e">
        <f>_xlfn.XLOOKUP(FMS_Ranking4[[#This Row],[FMS ID]],#REF!,#REF!)</f>
        <v>#REF!</v>
      </c>
      <c r="BL40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22.077913890960662</v>
      </c>
      <c r="BM409" s="272">
        <f>FMS_Ranking4[[#This Row],[ArcSinh Score Based on Normalized Reported Factors]]+FMS_Ranking4[[#This Row],[% NBS Score (Normalized)]]+(FMS_Ranking4[[#This Row],[Water Supply Score (Normalized)]]*10*$BB$5)+FMS_Ranking4[[#This Row],[FMS_Type Score Weighted]]</f>
        <v>23.077913890960662</v>
      </c>
      <c r="BN409" s="205">
        <f>_xlfn.RANK.EQ(FMS_Ranking4[[#This Row],[Total Score (with ArcSinh normalization of select criteria)]],FMS_Ranking4[Total Score (with ArcSinh normalization of select criteria)],0)</f>
        <v>402</v>
      </c>
      <c r="BO409" s="270" t="str">
        <f>_xlfn.XLOOKUP(FMS_Ranking4[[#This Row],[FMS ID]],FMS_Input[FMS_ID],FMS_Input[FMS_RANK_YEAR])</f>
        <v>2023 Amended Plan</v>
      </c>
      <c r="BP409" s="204">
        <f>_xlfn.XLOOKUP(FMS_Ranking4[[#This Row],[FMS ID]],Prev_Rank[FMS ID],Prev_Rank[Prev Rank])</f>
        <v>355</v>
      </c>
      <c r="BQ409" s="205" t="e">
        <f>_xlfn.XLOOKUP(FMS_Ranking4[[#This Row],[FMS ID]],#REF!,#REF!)</f>
        <v>#REF!</v>
      </c>
      <c r="BR409" s="199" t="e">
        <f>SUM(#REF!,#REF!,#REF!,#REF!,#REF!,#REF!,#REF!,#REF!,#REF!,FMS_Ranking4[[#This Row],[ArcSinh Res struct removed 0-10]],#REF!)</f>
        <v>#REF!</v>
      </c>
      <c r="BS409" s="199" t="e">
        <f>FMS_Ranking4[[#This Row],[Log Score Based on Normalized Reported Factors]]+FMS_Ranking4[[#This Row],[% NBS Score (Normalized)]]+(FMS_Ranking4[[#This Row],[Water Supply Score (Normalized)]]*10*$BB$5)+(FMS_Ranking4[[#This Row],[FMS_Type Score Weighted]])</f>
        <v>#REF!</v>
      </c>
      <c r="BT409" s="200" t="e">
        <f>_xlfn.RANK.EQ(FMS_Ranking4[[#This Row],[Log Total Score]],FMS_Ranking4[Log Total Score],0)</f>
        <v>#REF!</v>
      </c>
      <c r="BU409" s="200" t="e">
        <f>_xlfn.XLOOKUP(FMS_Ranking4[[#This Row],[FMS ID]],#REF!,#REF!)</f>
        <v>#REF!</v>
      </c>
      <c r="BV409" s="200">
        <f>FMS_Ranking4[[#This Row],[Region Number]]</f>
        <v>6</v>
      </c>
      <c r="BW409" s="200">
        <f>FMS_Ranking4[[#This Row],[Rank (with ArcSinh normalization of select criteria)]]-FMS_Ranking4[[#This Row],[Rank
(with linear
normalization)]]</f>
        <v>-251</v>
      </c>
      <c r="BX409" s="200" t="e">
        <f>FMS_Ranking4[[#This Row],[Log Rank]]-FMS_Ranking4[[#This Row],[Rank
(with linear
normalization)]]</f>
        <v>#REF!</v>
      </c>
      <c r="BY409" s="200" t="str">
        <f>IF(FMS_Ranking4[[#This Row],[FMS Type]]="Flood Measurement and Warning",FMS_Ranking4[[#This Row],[Rank (with ArcSinh normalization of select criteria)]],"")</f>
        <v/>
      </c>
      <c r="BZ409" s="200" t="str">
        <f>IF(FMS_Ranking4[[#This Row],[FMS Type]]="Regulatory and Guidance",FMS_Ranking4[[#This Row],[Rank (with ArcSinh normalization of select criteria)]],"")</f>
        <v/>
      </c>
      <c r="CA409" s="200" t="str">
        <f>IF(FMS_Ranking4[[#This Row],[FMS Type]]="Education and Outreach",FMS_Ranking4[[#This Row],[Rank (with ArcSinh normalization of select criteria)]],"")</f>
        <v/>
      </c>
      <c r="CB409" s="200">
        <f>IF(FMS_Ranking4[[#This Row],[FMS Type]]="Property Acquisition and Structural Elevation",FMS_Ranking4[[#This Row],[Rank (with ArcSinh normalization of select criteria)]],"")</f>
        <v>402</v>
      </c>
      <c r="CC409" s="200" t="str">
        <f>IF(FMS_Ranking4[[#This Row],[FMS Type]]="Infrastructure Projects",FMS_Ranking4[[#This Row],[Rank (with ArcSinh normalization of select criteria)]],"")</f>
        <v/>
      </c>
      <c r="CD409" s="200" t="str">
        <f>IF(FMS_Ranking4[[#This Row],[FMS Type]]="Other",FMS_Ranking4[[#This Row],[Rank (with ArcSinh normalization of select criteria)]],"")</f>
        <v/>
      </c>
      <c r="CE409" s="201"/>
      <c r="CF409" s="206"/>
      <c r="CG409" s="206"/>
      <c r="CH409" s="206"/>
      <c r="CI409" s="206"/>
      <c r="CJ409" s="206"/>
      <c r="CK409" s="206"/>
      <c r="CL409" s="206"/>
      <c r="CM409" s="206"/>
      <c r="CN409" s="206"/>
      <c r="CO409" s="206"/>
      <c r="CP409" s="206"/>
      <c r="CQ409" s="206"/>
      <c r="CR409" s="206"/>
    </row>
    <row r="410" spans="2:96" ht="45" x14ac:dyDescent="0.25">
      <c r="B410" s="341" t="s">
        <v>3138</v>
      </c>
      <c r="C410" s="246">
        <f>_xlfn.XLOOKUP(FMS_Ranking4[[#This Row],[FMS ID]],FMS_Input[FMS_ID],FMS_Input[RFPG_NUM])</f>
        <v>7</v>
      </c>
      <c r="D410" s="309" t="str">
        <f>_xlfn.XLOOKUP(FMS_Ranking4[[#This Row],[FMS ID]],FMS_Input[FMS_ID],FMS_Input[FMS_NAME])</f>
        <v>Floyd County NFIP Participation</v>
      </c>
      <c r="E410" s="308" t="str">
        <f>_xlfn.XLOOKUP(FMS_Ranking4[[#This Row],[FMS ID]],FMS_Input[FMS_ID],FMS_Input[SPONSOR])</f>
        <v>00000199</v>
      </c>
      <c r="F410" s="309" t="str">
        <f>_xlfn.XLOOKUP(FMS_Ranking4[[#This Row],[FMS ID]],Sponsor[FMS_ID],Sponsor[SPONSOR NAME])</f>
        <v>Floyd</v>
      </c>
      <c r="G410" s="309" t="str">
        <f>_xlfn.XLOOKUP(FMS_Ranking4[[#This Row],[FMS ID]],FMS_Input[FMS_ID],FMS_Input[FMS_DESCR])</f>
        <v>Application to join NFIP or adoption of equivalent standards.</v>
      </c>
      <c r="H410" s="248" t="str">
        <f>_xlfn.XLOOKUP(FMS_Ranking4[[#This Row],[FMS ID]],FMS_Input[FMS_ID],FMS_Input[FMS_TYPE])</f>
        <v>Regulatory and Guidance</v>
      </c>
      <c r="I410" s="249">
        <f>_xlfn.XLOOKUP(FMS_Ranking4[[#This Row],[FMS ID]],FMS_Input[FMS_ID],FMS_Input[NRNC_COST])</f>
        <v>50000</v>
      </c>
      <c r="J410" s="250">
        <f>_xlfn.XLOOKUP(FMS_Ranking4[[#This Row],[FMS ID]],FMS_Input[FMS_ID],FMS_Input[FMS_COST])</f>
        <v>50000</v>
      </c>
      <c r="K410" s="251" t="str">
        <f>_xlfn.XLOOKUP(FMS_Ranking4[[#This Row],[FMS ID]],FMS_Input[FMS_ID],FMS_Input[EMER_NEED])</f>
        <v>No</v>
      </c>
      <c r="L410" s="252">
        <f t="shared" si="6"/>
        <v>0</v>
      </c>
      <c r="M410" s="253">
        <f>_xlfn.XLOOKUP(FMS_Ranking4[[#This Row],[FMS ID]],FMS_Input[FMS_ID],FMS_Input[STRUCT_100])</f>
        <v>116</v>
      </c>
      <c r="N410" s="255">
        <f>(ASINH(FMS_Ranking4[[#This Row],[Structure at Risk Raw]]))*(10)/(ASINH(M$4))</f>
        <v>4.2819611637091359</v>
      </c>
      <c r="O410" s="256">
        <f>FMS_Ranking4[[#This Row],[Structures at risk, ArcSinh (0-10)]]*M$5*10</f>
        <v>4.2819611637091359</v>
      </c>
      <c r="P410" s="253">
        <f>_xlfn.XLOOKUP(FMS_Ranking4[[#This Row],[FMS ID]],FMS_Input[FMS_ID],FMS_Input[RES_STRUCT100])</f>
        <v>14</v>
      </c>
      <c r="Q410" s="257">
        <f>ASINH(FMS_Ranking4[[#This Row],[Res Structure Raw]])/Q$4*P$5*100</f>
        <v>0</v>
      </c>
      <c r="R410" s="253">
        <f>_xlfn.XLOOKUP(FMS_Ranking4[[#This Row],[FMS ID]],FMS_Input[FMS_ID],FMS_Input[POP100])</f>
        <v>99</v>
      </c>
      <c r="S410" s="259">
        <f>(ASINH(FMS_Ranking4[[#This Row],[Pop at Risk Raw]]))*(10)/(ASINH(R$4))</f>
        <v>3.6508162119631926</v>
      </c>
      <c r="T410" s="256">
        <f>FMS_Ranking4[[#This Row],[Population at risk, ArcSinh (0-10)]]*R$5*10</f>
        <v>3.6508162119631926</v>
      </c>
      <c r="U410" s="253">
        <f>_xlfn.XLOOKUP(FMS_Ranking4[[#This Row],[FMS ID]],FMS_Input[FMS_ID],FMS_Input[CRITFAC100])</f>
        <v>0</v>
      </c>
      <c r="V410" s="259">
        <f>(ASINH(FMS_Ranking4[[#This Row],[Critical Facilities Raw]]))*(10)/(ASINH(U$4))</f>
        <v>0</v>
      </c>
      <c r="W410" s="256">
        <f>FMS_Ranking4[[#This Row],[Critical facilities at risk, ArcSinh (0-10)]]*U$5*10</f>
        <v>0</v>
      </c>
      <c r="X410" s="253">
        <f>_xlfn.XLOOKUP(FMS_Ranking4[[#This Row],[FMS ID]],FMS_Input[FMS_ID],FMS_Input[LWC])</f>
        <v>4</v>
      </c>
      <c r="Y410" s="259">
        <f>(ASINH(FMS_Ranking4[[#This Row],[LWC Raw]]))*(10)/(ASINH(X$4))</f>
        <v>2.8377862217928165</v>
      </c>
      <c r="Z410" s="256">
        <f>FMS_Ranking4[[#This Row],[LWC, ArcSInh (0-10)]]*X$5*10</f>
        <v>2.8377862217928169</v>
      </c>
      <c r="AA410" s="253">
        <f>_xlfn.XLOOKUP(FMS_Ranking4[[#This Row],[FMS ID]],FMS_Input[FMS_ID],FMS_Input[ROADCLS])</f>
        <v>0</v>
      </c>
      <c r="AB410" s="255">
        <f>(ASINH(FMS_Ranking4[[#This Row],[Road Closures Raw]]))*(10)/(ASINH(AA$4))</f>
        <v>0</v>
      </c>
      <c r="AC410" s="256">
        <f>FMS_Ranking4[[#This Row],[Road closures, ArcSinh (0-10)]]*AA$5*10</f>
        <v>0</v>
      </c>
      <c r="AD410" s="253">
        <f>_xlfn.XLOOKUP(FMS_Ranking4[[#This Row],[FMS ID]],FMS_Input[FMS_ID],FMS_Input[ROAD_MILES100])</f>
        <v>255</v>
      </c>
      <c r="AE410" s="259">
        <f>(ASINH(FMS_Ranking4[[#This Row],[Road Miles Raw]]))*(10)/(ASINH(AD$4))</f>
        <v>6.6441706934270419</v>
      </c>
      <c r="AF410" s="256">
        <f>FMS_Ranking4[[#This Row],[Length of roads at risk, ArcSinh (0-10)]]*AD$5*10</f>
        <v>6.6441706934270428</v>
      </c>
      <c r="AG410" s="253">
        <f>_xlfn.XLOOKUP(FMS_Ranking4[[#This Row],[FMS ID]],FMS_Input[FMS_ID],FMS_Input[FARMACRE100])</f>
        <v>28586.623046875</v>
      </c>
      <c r="AH410" s="255">
        <f>(ASINH(FMS_Ranking4[[#This Row],[Ag Land Raw]]))*(10)/(ASINH(AG$4))</f>
        <v>7.1154123539888667</v>
      </c>
      <c r="AI410" s="260">
        <f>FMS_Ranking4[[#This Row],[Farm &amp; ranch land, ArcSinh (0-10)]]*AG$5*10</f>
        <v>3.5577061769944334</v>
      </c>
      <c r="AJ410" s="258">
        <f>_xlfn.XLOOKUP(FMS_Ranking4[[#This Row],[FMS ID]],FMS_Input[FMS_ID],FMS_Input[REDSTRUCT100])</f>
        <v>0</v>
      </c>
      <c r="AK410" s="253">
        <f>_xlfn.XLOOKUP(FMS_Ranking4[[#This Row],[FMS ID]],FMS_Input[FMS_ID],FMS_Input[REMSTRC100])</f>
        <v>0</v>
      </c>
      <c r="AL410" s="259">
        <f>(ASINH(FMS_Ranking4[[#This Row],[Structures Removed Raw]]))*(10)/(ASINH(AK$4))</f>
        <v>0</v>
      </c>
      <c r="AM410" s="262">
        <f>FMS_Ranking4[[#This Row],[Structures removed, ArcSinh (0-10)]]*AK$5*10</f>
        <v>0</v>
      </c>
      <c r="AN410" s="253">
        <f>_xlfn.XLOOKUP(FMS_Ranking4[[#This Row],[FMS ID]],FMS_Input[FMS_ID],FMS_Input[REMRESSTRC100])</f>
        <v>0</v>
      </c>
      <c r="AO410" s="261">
        <f>FMS_Ranking4[[#This Row],[ArcSinh Res struct removed 0-10]]*AN$5*10</f>
        <v>0</v>
      </c>
      <c r="AP410" s="260">
        <f>ASINH(FMS_Ranking4[[#This Row],[Residential Structures Removed Raw]])/AP$4*AN$5*100</f>
        <v>0</v>
      </c>
      <c r="AQ410" s="254">
        <f>(ASINH(FMS_Ranking4[[#This Row],[Residential Structures Removed Raw]]))*(10)/(ASINH(AN$4))</f>
        <v>0</v>
      </c>
      <c r="AR410" s="253">
        <f>_xlfn.XLOOKUP(FMS_Ranking4[[#This Row],[FMS ID]],FMS_Input[FMS_ID],FMS_Input[REMPOP100])</f>
        <v>0</v>
      </c>
      <c r="AS410" s="259">
        <f>(ASINH(FMS_Ranking4[[#This Row],[Removed Pop Raw]]))*(10)/(ASINH(AR$4))</f>
        <v>0</v>
      </c>
      <c r="AT410" s="262">
        <f>FMS_Ranking4[[#This Row],[Removed population, ArcSinh (0-10)]]*AR$5*10</f>
        <v>0</v>
      </c>
      <c r="AU410" s="264">
        <f>_xlfn.XLOOKUP(FMS_Ranking4[[#This Row],[FMS ID]],FMS_Input[FMS_ID],FMS_Input[REMCRITFAC100])</f>
        <v>0</v>
      </c>
      <c r="AV410" s="264">
        <f>_xlfn.XLOOKUP(FMS_Ranking4[[#This Row],[FMS ID]],FMS_Input[FMS_ID],FMS_Input[REMLWC100])</f>
        <v>0</v>
      </c>
      <c r="AW410" s="264">
        <f>_xlfn.XLOOKUP(FMS_Ranking4[[#This Row],[FMS ID]],FMS_Input[FMS_ID],FMS_Input[REMROADCLS])</f>
        <v>0</v>
      </c>
      <c r="AX410" s="264">
        <f>_xlfn.XLOOKUP(FMS_Ranking4[[#This Row],[FMS ID]],FMS_Input[FMS_ID],FMS_Input[REMFRMACRE100])</f>
        <v>0</v>
      </c>
      <c r="AY410" s="258">
        <f>_xlfn.XLOOKUP(FMS_Ranking4[[#This Row],[FMS ID]],FMS_Input[FMS_ID],FMS_Input[COSTSTRUCT])</f>
        <v>0</v>
      </c>
      <c r="AZ410" s="253">
        <f>_xlfn.XLOOKUP(FMS_Ranking4[[#This Row],[FMS ID]],FMS_Input[FMS_ID],FMS_Input[NATURE])</f>
        <v>0</v>
      </c>
      <c r="BA410" s="262">
        <f>(((FMS_Ranking4[[#This Row],[% NBS Raw]]/AZ$4)*100)*AZ$5)</f>
        <v>0</v>
      </c>
      <c r="BB410" s="251" t="str">
        <f>_xlfn.XLOOKUP(FMS_Ranking4[[#This Row],[FMS ID]],FMS_Input[FMS_ID],FMS_Input[WATER_SUP])</f>
        <v>No</v>
      </c>
      <c r="BC410" s="265">
        <f>IF(FMS_Ranking4[[#This Row],[Water Supply Raw]]="Yes",10,0)</f>
        <v>0</v>
      </c>
      <c r="BD410" s="266">
        <f>_xlfn.XLOOKUP(FMS_Ranking4[[#This Row],[FMS Type]],FMS_TYPE[FMS_Type],FMS_TYPE[Score])</f>
        <v>8</v>
      </c>
      <c r="BE410" s="267">
        <f>FMS_Ranking4[[#This Row],[FMS_Type Score]]*$BD$5*10</f>
        <v>2</v>
      </c>
      <c r="BF41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0.54570672354119443</v>
      </c>
      <c r="BG410" s="271">
        <f>_xlfn.RANK.EQ(BF410,$BF$8:$BF$870,0)+COUNTIF($BF$8:BF410,BF410)-1</f>
        <v>210</v>
      </c>
      <c r="BH410" s="268">
        <f>(((FMS_Ranking4[[#This Row],[Structures Removed Raw]]/AK$4)*100)*AK$5)+(((FMS_Ranking4[[#This Row],[Removed Pop Raw]]/AR$4)*100)*AR$5)</f>
        <v>0</v>
      </c>
      <c r="BI41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2.5457067235411945</v>
      </c>
      <c r="BJ410" s="205">
        <f>_xlfn.RANK.EQ(FMS_Ranking4[[#This Row],[Total Score 
(with linear
normalization)]],FMS_Ranking4[Total Score 
(with linear
normalization)],0)</f>
        <v>236</v>
      </c>
      <c r="BK410" s="205" t="e">
        <f>_xlfn.XLOOKUP(FMS_Ranking4[[#This Row],[FMS ID]],#REF!,#REF!)</f>
        <v>#REF!</v>
      </c>
      <c r="BL41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20.972440467886621</v>
      </c>
      <c r="BM410" s="272">
        <f>FMS_Ranking4[[#This Row],[ArcSinh Score Based on Normalized Reported Factors]]+FMS_Ranking4[[#This Row],[% NBS Score (Normalized)]]+(FMS_Ranking4[[#This Row],[Water Supply Score (Normalized)]]*10*$BB$5)+FMS_Ranking4[[#This Row],[FMS_Type Score Weighted]]</f>
        <v>22.972440467886621</v>
      </c>
      <c r="BN410" s="205">
        <f>_xlfn.RANK.EQ(FMS_Ranking4[[#This Row],[Total Score (with ArcSinh normalization of select criteria)]],FMS_Ranking4[Total Score (with ArcSinh normalization of select criteria)],0)</f>
        <v>403</v>
      </c>
      <c r="BO410" s="270" t="str">
        <f>_xlfn.XLOOKUP(FMS_Ranking4[[#This Row],[FMS ID]],FMS_Input[FMS_ID],FMS_Input[FMS_RANK_YEAR])</f>
        <v>2023 Amended Plan</v>
      </c>
      <c r="BP410" s="204">
        <f>_xlfn.XLOOKUP(FMS_Ranking4[[#This Row],[FMS ID]],Prev_Rank[FMS ID],Prev_Rank[Prev Rank])</f>
        <v>356</v>
      </c>
      <c r="BQ410" s="205" t="e">
        <f>_xlfn.XLOOKUP(FMS_Ranking4[[#This Row],[FMS ID]],#REF!,#REF!)</f>
        <v>#REF!</v>
      </c>
      <c r="BR410" s="199" t="e">
        <f>SUM(#REF!,#REF!,#REF!,#REF!,#REF!,#REF!,#REF!,#REF!,#REF!,FMS_Ranking4[[#This Row],[ArcSinh Res struct removed 0-10]],#REF!)</f>
        <v>#REF!</v>
      </c>
      <c r="BS410" s="199" t="e">
        <f>FMS_Ranking4[[#This Row],[Log Score Based on Normalized Reported Factors]]+FMS_Ranking4[[#This Row],[% NBS Score (Normalized)]]+(FMS_Ranking4[[#This Row],[Water Supply Score (Normalized)]]*10*$BB$5)+(FMS_Ranking4[[#This Row],[FMS_Type Score Weighted]])</f>
        <v>#REF!</v>
      </c>
      <c r="BT410" s="200" t="e">
        <f>_xlfn.RANK.EQ(FMS_Ranking4[[#This Row],[Log Total Score]],FMS_Ranking4[Log Total Score],0)</f>
        <v>#REF!</v>
      </c>
      <c r="BU410" s="200" t="e">
        <f>_xlfn.XLOOKUP(FMS_Ranking4[[#This Row],[FMS ID]],#REF!,#REF!)</f>
        <v>#REF!</v>
      </c>
      <c r="BV410" s="200">
        <f>FMS_Ranking4[[#This Row],[Region Number]]</f>
        <v>7</v>
      </c>
      <c r="BW410" s="200">
        <f>FMS_Ranking4[[#This Row],[Rank (with ArcSinh normalization of select criteria)]]-FMS_Ranking4[[#This Row],[Rank
(with linear
normalization)]]</f>
        <v>167</v>
      </c>
      <c r="BX410" s="200" t="e">
        <f>FMS_Ranking4[[#This Row],[Log Rank]]-FMS_Ranking4[[#This Row],[Rank
(with linear
normalization)]]</f>
        <v>#REF!</v>
      </c>
      <c r="BY410" s="200" t="str">
        <f>IF(FMS_Ranking4[[#This Row],[FMS Type]]="Flood Measurement and Warning",FMS_Ranking4[[#This Row],[Rank (with ArcSinh normalization of select criteria)]],"")</f>
        <v/>
      </c>
      <c r="BZ410" s="200">
        <f>IF(FMS_Ranking4[[#This Row],[FMS Type]]="Regulatory and Guidance",FMS_Ranking4[[#This Row],[Rank (with ArcSinh normalization of select criteria)]],"")</f>
        <v>403</v>
      </c>
      <c r="CA410" s="200" t="str">
        <f>IF(FMS_Ranking4[[#This Row],[FMS Type]]="Education and Outreach",FMS_Ranking4[[#This Row],[Rank (with ArcSinh normalization of select criteria)]],"")</f>
        <v/>
      </c>
      <c r="CB410" s="200" t="str">
        <f>IF(FMS_Ranking4[[#This Row],[FMS Type]]="Property Acquisition and Structural Elevation",FMS_Ranking4[[#This Row],[Rank (with ArcSinh normalization of select criteria)]],"")</f>
        <v/>
      </c>
      <c r="CC410" s="200" t="str">
        <f>IF(FMS_Ranking4[[#This Row],[FMS Type]]="Infrastructure Projects",FMS_Ranking4[[#This Row],[Rank (with ArcSinh normalization of select criteria)]],"")</f>
        <v/>
      </c>
      <c r="CD410" s="200" t="str">
        <f>IF(FMS_Ranking4[[#This Row],[FMS Type]]="Other",FMS_Ranking4[[#This Row],[Rank (with ArcSinh normalization of select criteria)]],"")</f>
        <v/>
      </c>
      <c r="CE410" s="201"/>
      <c r="CF410" s="206"/>
      <c r="CG410" s="206"/>
      <c r="CH410" s="206"/>
      <c r="CI410" s="206"/>
      <c r="CJ410" s="206"/>
      <c r="CK410" s="206"/>
      <c r="CL410" s="206"/>
      <c r="CM410" s="206"/>
      <c r="CN410" s="206"/>
      <c r="CO410" s="206"/>
      <c r="CP410" s="206"/>
      <c r="CQ410" s="206"/>
      <c r="CR410" s="206"/>
    </row>
    <row r="411" spans="2:96" ht="60" x14ac:dyDescent="0.25">
      <c r="B411" s="341" t="s">
        <v>2503</v>
      </c>
      <c r="C411" s="246">
        <f>_xlfn.XLOOKUP(FMS_Ranking4[[#This Row],[FMS ID]],FMS_Input[FMS_ID],FMS_Input[RFPG_NUM])</f>
        <v>3</v>
      </c>
      <c r="D411" s="309" t="str">
        <f>_xlfn.XLOOKUP(FMS_Ranking4[[#This Row],[FMS ID]],FMS_Input[FMS_ID],FMS_Input[FMS_NAME])</f>
        <v xml:space="preserve">Drainage improvement projects throughout the City of Garland. </v>
      </c>
      <c r="E411" s="308" t="str">
        <f>_xlfn.XLOOKUP(FMS_Ranking4[[#This Row],[FMS ID]],FMS_Input[FMS_ID],FMS_Input[SPONSOR])</f>
        <v xml:space="preserve"> Garland</v>
      </c>
      <c r="F411" s="309" t="str">
        <f>_xlfn.XLOOKUP(FMS_Ranking4[[#This Row],[FMS ID]],Sponsor[FMS_ID],Sponsor[SPONSOR NAME])</f>
        <v xml:space="preserve"> Garland</v>
      </c>
      <c r="G411" s="309" t="str">
        <f>_xlfn.XLOOKUP(FMS_Ranking4[[#This Row],[FMS ID]],FMS_Input[FMS_ID],FMS_Input[FMS_DESCR])</f>
        <v>Drainage improvement projects throughout the City of Garland. Some alternatives include detention ponds.</v>
      </c>
      <c r="H411" s="248" t="str">
        <f>_xlfn.XLOOKUP(FMS_Ranking4[[#This Row],[FMS ID]],FMS_Input[FMS_ID],FMS_Input[FMS_TYPE])</f>
        <v>Infrastructure Projects</v>
      </c>
      <c r="I411" s="249">
        <f>_xlfn.XLOOKUP(FMS_Ranking4[[#This Row],[FMS ID]],FMS_Input[FMS_ID],FMS_Input[NRNC_COST])</f>
        <v>21000000</v>
      </c>
      <c r="J411" s="250">
        <f>_xlfn.XLOOKUP(FMS_Ranking4[[#This Row],[FMS ID]],FMS_Input[FMS_ID],FMS_Input[FMS_COST])</f>
        <v>105000000</v>
      </c>
      <c r="K411" s="251" t="str">
        <f>_xlfn.XLOOKUP(FMS_Ranking4[[#This Row],[FMS ID]],FMS_Input[FMS_ID],FMS_Input[EMER_NEED])</f>
        <v>No</v>
      </c>
      <c r="L411" s="252">
        <f t="shared" si="6"/>
        <v>0</v>
      </c>
      <c r="M411" s="253">
        <f>_xlfn.XLOOKUP(FMS_Ranking4[[#This Row],[FMS ID]],FMS_Input[FMS_ID],FMS_Input[STRUCT_100])</f>
        <v>1005</v>
      </c>
      <c r="N411" s="255">
        <f>(ASINH(FMS_Ranking4[[#This Row],[Structure at Risk Raw]]))*(10)/(ASINH(M$4))</f>
        <v>5.9793622033856435</v>
      </c>
      <c r="O411" s="256">
        <f>FMS_Ranking4[[#This Row],[Structures at risk, ArcSinh (0-10)]]*M$5*10</f>
        <v>5.9793622033856444</v>
      </c>
      <c r="P411" s="253">
        <f>_xlfn.XLOOKUP(FMS_Ranking4[[#This Row],[FMS ID]],FMS_Input[FMS_ID],FMS_Input[RES_STRUCT100])</f>
        <v>944</v>
      </c>
      <c r="Q411" s="257">
        <f>ASINH(FMS_Ranking4[[#This Row],[Res Structure Raw]])/Q$4*P$5*100</f>
        <v>0</v>
      </c>
      <c r="R411" s="253">
        <f>_xlfn.XLOOKUP(FMS_Ranking4[[#This Row],[FMS ID]],FMS_Input[FMS_ID],FMS_Input[POP100])</f>
        <v>6348</v>
      </c>
      <c r="S411" s="259">
        <f>(ASINH(FMS_Ranking4[[#This Row],[Pop at Risk Raw]]))*(10)/(ASINH(R$4))</f>
        <v>6.5232239815765176</v>
      </c>
      <c r="T411" s="256">
        <f>FMS_Ranking4[[#This Row],[Population at risk, ArcSinh (0-10)]]*R$5*10</f>
        <v>6.5232239815765176</v>
      </c>
      <c r="U411" s="253">
        <f>_xlfn.XLOOKUP(FMS_Ranking4[[#This Row],[FMS ID]],FMS_Input[FMS_ID],FMS_Input[CRITFAC100])</f>
        <v>5</v>
      </c>
      <c r="V411" s="259">
        <f>(ASINH(FMS_Ranking4[[#This Row],[Critical Facilities Raw]]))*(10)/(ASINH(U$4))</f>
        <v>2.7373815814321909</v>
      </c>
      <c r="W411" s="256">
        <f>FMS_Ranking4[[#This Row],[Critical facilities at risk, ArcSinh (0-10)]]*U$5*10</f>
        <v>2.7373815814321913</v>
      </c>
      <c r="X411" s="253">
        <f>_xlfn.XLOOKUP(FMS_Ranking4[[#This Row],[FMS ID]],FMS_Input[FMS_ID],FMS_Input[LWC])</f>
        <v>0</v>
      </c>
      <c r="Y411" s="259">
        <f>(ASINH(FMS_Ranking4[[#This Row],[LWC Raw]]))*(10)/(ASINH(X$4))</f>
        <v>0</v>
      </c>
      <c r="Z411" s="256">
        <f>FMS_Ranking4[[#This Row],[LWC, ArcSInh (0-10)]]*X$5*10</f>
        <v>0</v>
      </c>
      <c r="AA411" s="253">
        <f>_xlfn.XLOOKUP(FMS_Ranking4[[#This Row],[FMS ID]],FMS_Input[FMS_ID],FMS_Input[ROADCLS])</f>
        <v>0</v>
      </c>
      <c r="AB411" s="255">
        <f>(ASINH(FMS_Ranking4[[#This Row],[Road Closures Raw]]))*(10)/(ASINH(AA$4))</f>
        <v>0</v>
      </c>
      <c r="AC411" s="256">
        <f>FMS_Ranking4[[#This Row],[Road closures, ArcSinh (0-10)]]*AA$5*10</f>
        <v>0</v>
      </c>
      <c r="AD411" s="253">
        <f>_xlfn.XLOOKUP(FMS_Ranking4[[#This Row],[FMS ID]],FMS_Input[FMS_ID],FMS_Input[ROAD_MILES100])</f>
        <v>30</v>
      </c>
      <c r="AE411" s="259">
        <f>(ASINH(FMS_Ranking4[[#This Row],[Road Miles Raw]]))*(10)/(ASINH(AD$4))</f>
        <v>4.3637407612967882</v>
      </c>
      <c r="AF411" s="256">
        <f>FMS_Ranking4[[#This Row],[Length of roads at risk, ArcSinh (0-10)]]*AD$5*10</f>
        <v>4.3637407612967882</v>
      </c>
      <c r="AG411" s="253">
        <f>_xlfn.XLOOKUP(FMS_Ranking4[[#This Row],[FMS ID]],FMS_Input[FMS_ID],FMS_Input[FARMACRE100])</f>
        <v>627.4970703125</v>
      </c>
      <c r="AH411" s="255">
        <f>(ASINH(FMS_Ranking4[[#This Row],[Ag Land Raw]]))*(10)/(ASINH(AG$4))</f>
        <v>4.6346902624059911</v>
      </c>
      <c r="AI411" s="260">
        <f>FMS_Ranking4[[#This Row],[Farm &amp; ranch land, ArcSinh (0-10)]]*AG$5*10</f>
        <v>2.3173451312029956</v>
      </c>
      <c r="AJ411" s="258">
        <f>_xlfn.XLOOKUP(FMS_Ranking4[[#This Row],[FMS ID]],FMS_Input[FMS_ID],FMS_Input[REDSTRUCT100])</f>
        <v>0</v>
      </c>
      <c r="AK411" s="253">
        <f>_xlfn.XLOOKUP(FMS_Ranking4[[#This Row],[FMS ID]],FMS_Input[FMS_ID],FMS_Input[REMSTRC100])</f>
        <v>0</v>
      </c>
      <c r="AL411" s="259">
        <f>(ASINH(FMS_Ranking4[[#This Row],[Structures Removed Raw]]))*(10)/(ASINH(AK$4))</f>
        <v>0</v>
      </c>
      <c r="AM411" s="262">
        <f>FMS_Ranking4[[#This Row],[Structures removed, ArcSinh (0-10)]]*AK$5*10</f>
        <v>0</v>
      </c>
      <c r="AN411" s="253">
        <f>_xlfn.XLOOKUP(FMS_Ranking4[[#This Row],[FMS ID]],FMS_Input[FMS_ID],FMS_Input[REMRESSTRC100])</f>
        <v>0</v>
      </c>
      <c r="AO411" s="261">
        <f>FMS_Ranking4[[#This Row],[ArcSinh Res struct removed 0-10]]*AN$5*10</f>
        <v>0</v>
      </c>
      <c r="AP411" s="260">
        <f>ASINH(FMS_Ranking4[[#This Row],[Residential Structures Removed Raw]])/AP$4*AN$5*100</f>
        <v>0</v>
      </c>
      <c r="AQ411" s="254">
        <f>(ASINH(FMS_Ranking4[[#This Row],[Residential Structures Removed Raw]]))*(10)/(ASINH(AN$4))</f>
        <v>0</v>
      </c>
      <c r="AR411" s="253">
        <f>_xlfn.XLOOKUP(FMS_Ranking4[[#This Row],[FMS ID]],FMS_Input[FMS_ID],FMS_Input[REMPOP100])</f>
        <v>0</v>
      </c>
      <c r="AS411" s="259">
        <f>(ASINH(FMS_Ranking4[[#This Row],[Removed Pop Raw]]))*(10)/(ASINH(AR$4))</f>
        <v>0</v>
      </c>
      <c r="AT411" s="262">
        <f>FMS_Ranking4[[#This Row],[Removed population, ArcSinh (0-10)]]*AR$5*10</f>
        <v>0</v>
      </c>
      <c r="AU411" s="264">
        <f>_xlfn.XLOOKUP(FMS_Ranking4[[#This Row],[FMS ID]],FMS_Input[FMS_ID],FMS_Input[REMCRITFAC100])</f>
        <v>0</v>
      </c>
      <c r="AV411" s="264">
        <f>_xlfn.XLOOKUP(FMS_Ranking4[[#This Row],[FMS ID]],FMS_Input[FMS_ID],FMS_Input[REMLWC100])</f>
        <v>0</v>
      </c>
      <c r="AW411" s="264">
        <f>_xlfn.XLOOKUP(FMS_Ranking4[[#This Row],[FMS ID]],FMS_Input[FMS_ID],FMS_Input[REMROADCLS])</f>
        <v>0</v>
      </c>
      <c r="AX411" s="264">
        <f>_xlfn.XLOOKUP(FMS_Ranking4[[#This Row],[FMS ID]],FMS_Input[FMS_ID],FMS_Input[REMFRMACRE100])</f>
        <v>0</v>
      </c>
      <c r="AY411" s="258">
        <f>_xlfn.XLOOKUP(FMS_Ranking4[[#This Row],[FMS ID]],FMS_Input[FMS_ID],FMS_Input[COSTSTRUCT])</f>
        <v>0</v>
      </c>
      <c r="AZ411" s="253">
        <f>_xlfn.XLOOKUP(FMS_Ranking4[[#This Row],[FMS ID]],FMS_Input[FMS_ID],FMS_Input[NATURE])</f>
        <v>0</v>
      </c>
      <c r="BA411" s="262">
        <f>(((FMS_Ranking4[[#This Row],[% NBS Raw]]/AZ$4)*100)*AZ$5)</f>
        <v>0</v>
      </c>
      <c r="BB411" s="251" t="str">
        <f>_xlfn.XLOOKUP(FMS_Ranking4[[#This Row],[FMS ID]],FMS_Input[FMS_ID],FMS_Input[WATER_SUP])</f>
        <v>No</v>
      </c>
      <c r="BC411" s="265">
        <f>IF(FMS_Ranking4[[#This Row],[Water Supply Raw]]="Yes",10,0)</f>
        <v>0</v>
      </c>
      <c r="BD411" s="266">
        <f>_xlfn.XLOOKUP(FMS_Ranking4[[#This Row],[FMS Type]],FMS_TYPE[FMS_Type],FMS_TYPE[Score])</f>
        <v>4</v>
      </c>
      <c r="BE411" s="267">
        <f>FMS_Ranking4[[#This Row],[FMS_Type Score]]*$BD$5*10</f>
        <v>1</v>
      </c>
      <c r="BF41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0.19828919558668043</v>
      </c>
      <c r="BG411" s="271">
        <f>_xlfn.RANK.EQ(BF411,$BF$8:$BF$870,0)+COUNTIF($BF$8:BF411,BF411)-1</f>
        <v>368</v>
      </c>
      <c r="BH411" s="268">
        <f>(((FMS_Ranking4[[#This Row],[Structures Removed Raw]]/AK$4)*100)*AK$5)+(((FMS_Ranking4[[#This Row],[Removed Pop Raw]]/AR$4)*100)*AR$5)</f>
        <v>0</v>
      </c>
      <c r="BI41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1.1982891955866803</v>
      </c>
      <c r="BJ411" s="205">
        <f>_xlfn.RANK.EQ(FMS_Ranking4[[#This Row],[Total Score 
(with linear
normalization)]],FMS_Ranking4[Total Score 
(with linear
normalization)],0)</f>
        <v>649</v>
      </c>
      <c r="BK411" s="205" t="e">
        <f>_xlfn.XLOOKUP(FMS_Ranking4[[#This Row],[FMS ID]],#REF!,#REF!)</f>
        <v>#REF!</v>
      </c>
      <c r="BL41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21.921053658894138</v>
      </c>
      <c r="BM411" s="272">
        <f>FMS_Ranking4[[#This Row],[ArcSinh Score Based on Normalized Reported Factors]]+FMS_Ranking4[[#This Row],[% NBS Score (Normalized)]]+(FMS_Ranking4[[#This Row],[Water Supply Score (Normalized)]]*10*$BB$5)+FMS_Ranking4[[#This Row],[FMS_Type Score Weighted]]</f>
        <v>22.921053658894138</v>
      </c>
      <c r="BN411" s="205">
        <f>_xlfn.RANK.EQ(FMS_Ranking4[[#This Row],[Total Score (with ArcSinh normalization of select criteria)]],FMS_Ranking4[Total Score (with ArcSinh normalization of select criteria)],0)</f>
        <v>404</v>
      </c>
      <c r="BO411" s="270" t="str">
        <f>_xlfn.XLOOKUP(FMS_Ranking4[[#This Row],[FMS ID]],FMS_Input[FMS_ID],FMS_Input[FMS_RANK_YEAR])</f>
        <v>2023 Amended Plan</v>
      </c>
      <c r="BP411" s="204">
        <f>_xlfn.XLOOKUP(FMS_Ranking4[[#This Row],[FMS ID]],Prev_Rank[FMS ID],Prev_Rank[Prev Rank])</f>
        <v>354</v>
      </c>
      <c r="BQ411" s="205" t="e">
        <f>_xlfn.XLOOKUP(FMS_Ranking4[[#This Row],[FMS ID]],#REF!,#REF!)</f>
        <v>#REF!</v>
      </c>
      <c r="BR411" s="199" t="e">
        <f>SUM(#REF!,#REF!,#REF!,#REF!,#REF!,#REF!,#REF!,#REF!,#REF!,FMS_Ranking4[[#This Row],[ArcSinh Res struct removed 0-10]],#REF!)</f>
        <v>#REF!</v>
      </c>
      <c r="BS411" s="199" t="e">
        <f>FMS_Ranking4[[#This Row],[Log Score Based on Normalized Reported Factors]]+FMS_Ranking4[[#This Row],[% NBS Score (Normalized)]]+(FMS_Ranking4[[#This Row],[Water Supply Score (Normalized)]]*10*$BB$5)+(FMS_Ranking4[[#This Row],[FMS_Type Score Weighted]])</f>
        <v>#REF!</v>
      </c>
      <c r="BT411" s="200" t="e">
        <f>_xlfn.RANK.EQ(FMS_Ranking4[[#This Row],[Log Total Score]],FMS_Ranking4[Log Total Score],0)</f>
        <v>#REF!</v>
      </c>
      <c r="BU411" s="200" t="e">
        <f>_xlfn.XLOOKUP(FMS_Ranking4[[#This Row],[FMS ID]],#REF!,#REF!)</f>
        <v>#REF!</v>
      </c>
      <c r="BV411" s="200">
        <f>FMS_Ranking4[[#This Row],[Region Number]]</f>
        <v>3</v>
      </c>
      <c r="BW411" s="200">
        <f>FMS_Ranking4[[#This Row],[Rank (with ArcSinh normalization of select criteria)]]-FMS_Ranking4[[#This Row],[Rank
(with linear
normalization)]]</f>
        <v>-245</v>
      </c>
      <c r="BX411" s="200" t="e">
        <f>FMS_Ranking4[[#This Row],[Log Rank]]-FMS_Ranking4[[#This Row],[Rank
(with linear
normalization)]]</f>
        <v>#REF!</v>
      </c>
      <c r="BY411" s="200" t="str">
        <f>IF(FMS_Ranking4[[#This Row],[FMS Type]]="Flood Measurement and Warning",FMS_Ranking4[[#This Row],[Rank (with ArcSinh normalization of select criteria)]],"")</f>
        <v/>
      </c>
      <c r="BZ411" s="200" t="str">
        <f>IF(FMS_Ranking4[[#This Row],[FMS Type]]="Regulatory and Guidance",FMS_Ranking4[[#This Row],[Rank (with ArcSinh normalization of select criteria)]],"")</f>
        <v/>
      </c>
      <c r="CA411" s="200" t="str">
        <f>IF(FMS_Ranking4[[#This Row],[FMS Type]]="Education and Outreach",FMS_Ranking4[[#This Row],[Rank (with ArcSinh normalization of select criteria)]],"")</f>
        <v/>
      </c>
      <c r="CB411" s="200" t="str">
        <f>IF(FMS_Ranking4[[#This Row],[FMS Type]]="Property Acquisition and Structural Elevation",FMS_Ranking4[[#This Row],[Rank (with ArcSinh normalization of select criteria)]],"")</f>
        <v/>
      </c>
      <c r="CC411" s="200">
        <f>IF(FMS_Ranking4[[#This Row],[FMS Type]]="Infrastructure Projects",FMS_Ranking4[[#This Row],[Rank (with ArcSinh normalization of select criteria)]],"")</f>
        <v>404</v>
      </c>
      <c r="CD411" s="200" t="str">
        <f>IF(FMS_Ranking4[[#This Row],[FMS Type]]="Other",FMS_Ranking4[[#This Row],[Rank (with ArcSinh normalization of select criteria)]],"")</f>
        <v/>
      </c>
      <c r="CE411" s="201"/>
      <c r="CF411" s="206"/>
      <c r="CG411" s="206"/>
      <c r="CH411" s="206"/>
      <c r="CI411" s="206"/>
      <c r="CJ411" s="206"/>
      <c r="CK411" s="206"/>
      <c r="CL411" s="206"/>
      <c r="CM411" s="206"/>
      <c r="CN411" s="206"/>
      <c r="CO411" s="206"/>
      <c r="CP411" s="206"/>
      <c r="CQ411" s="206"/>
      <c r="CR411" s="206"/>
    </row>
    <row r="412" spans="2:96" ht="45" x14ac:dyDescent="0.25">
      <c r="B412" s="341" t="s">
        <v>970</v>
      </c>
      <c r="C412" s="246">
        <f>_xlfn.XLOOKUP(FMS_Ranking4[[#This Row],[FMS ID]],FMS_Input[FMS_ID],FMS_Input[RFPG_NUM])</f>
        <v>9</v>
      </c>
      <c r="D412" s="309" t="str">
        <f>_xlfn.XLOOKUP(FMS_Ranking4[[#This Row],[FMS ID]],FMS_Input[FMS_ID],FMS_Input[FMS_NAME])</f>
        <v>Upton County DCM</v>
      </c>
      <c r="E412" s="308" t="str">
        <f>_xlfn.XLOOKUP(FMS_Ranking4[[#This Row],[FMS ID]],FMS_Input[FMS_ID],FMS_Input[SPONSOR])</f>
        <v>00000127</v>
      </c>
      <c r="F412" s="309" t="str">
        <f>_xlfn.XLOOKUP(FMS_Ranking4[[#This Row],[FMS ID]],Sponsor[FMS_ID],Sponsor[SPONSOR NAME])</f>
        <v>Upton</v>
      </c>
      <c r="G412" s="309" t="str">
        <f>_xlfn.XLOOKUP(FMS_Ranking4[[#This Row],[FMS ID]],FMS_Input[FMS_ID],FMS_Input[FMS_DESCR])</f>
        <v>Outreach Program: Discuss Stormwater Criteria Design Manual</v>
      </c>
      <c r="H412" s="248" t="str">
        <f>_xlfn.XLOOKUP(FMS_Ranking4[[#This Row],[FMS ID]],FMS_Input[FMS_ID],FMS_Input[FMS_TYPE])</f>
        <v>Other</v>
      </c>
      <c r="I412" s="249">
        <f>_xlfn.XLOOKUP(FMS_Ranking4[[#This Row],[FMS ID]],FMS_Input[FMS_ID],FMS_Input[NRNC_COST])</f>
        <v>75000</v>
      </c>
      <c r="J412" s="250">
        <f>_xlfn.XLOOKUP(FMS_Ranking4[[#This Row],[FMS ID]],FMS_Input[FMS_ID],FMS_Input[FMS_COST])</f>
        <v>100000</v>
      </c>
      <c r="K412" s="251" t="str">
        <f>_xlfn.XLOOKUP(FMS_Ranking4[[#This Row],[FMS ID]],FMS_Input[FMS_ID],FMS_Input[EMER_NEED])</f>
        <v>No</v>
      </c>
      <c r="L412" s="252">
        <f t="shared" si="6"/>
        <v>0</v>
      </c>
      <c r="M412" s="253">
        <f>_xlfn.XLOOKUP(FMS_Ranking4[[#This Row],[FMS ID]],FMS_Input[FMS_ID],FMS_Input[STRUCT_100])</f>
        <v>41</v>
      </c>
      <c r="N412" s="255">
        <f>(ASINH(FMS_Ranking4[[#This Row],[Structure at Risk Raw]]))*(10)/(ASINH(M$4))</f>
        <v>3.4644543512028521</v>
      </c>
      <c r="O412" s="256">
        <f>FMS_Ranking4[[#This Row],[Structures at risk, ArcSinh (0-10)]]*M$5*10</f>
        <v>3.4644543512028525</v>
      </c>
      <c r="P412" s="253">
        <f>_xlfn.XLOOKUP(FMS_Ranking4[[#This Row],[FMS ID]],FMS_Input[FMS_ID],FMS_Input[RES_STRUCT100])</f>
        <v>16</v>
      </c>
      <c r="Q412" s="257">
        <f>ASINH(FMS_Ranking4[[#This Row],[Res Structure Raw]])/Q$4*P$5*100</f>
        <v>0</v>
      </c>
      <c r="R412" s="253">
        <f>_xlfn.XLOOKUP(FMS_Ranking4[[#This Row],[FMS ID]],FMS_Input[FMS_ID],FMS_Input[POP100])</f>
        <v>23</v>
      </c>
      <c r="S412" s="255">
        <f>(ASINH(FMS_Ranking4[[#This Row],[Pop at Risk Raw]]))*(10)/(ASINH(R$4))</f>
        <v>2.6434600767891396</v>
      </c>
      <c r="T412" s="256">
        <f>FMS_Ranking4[[#This Row],[Population at risk, ArcSinh (0-10)]]*R$5*10</f>
        <v>2.6434600767891396</v>
      </c>
      <c r="U412" s="253">
        <f>_xlfn.XLOOKUP(FMS_Ranking4[[#This Row],[FMS ID]],FMS_Input[FMS_ID],FMS_Input[CRITFAC100])</f>
        <v>0</v>
      </c>
      <c r="V412" s="255">
        <f>(ASINH(FMS_Ranking4[[#This Row],[Critical Facilities Raw]]))*(10)/(ASINH(U$4))</f>
        <v>0</v>
      </c>
      <c r="W412" s="256">
        <f>FMS_Ranking4[[#This Row],[Critical facilities at risk, ArcSinh (0-10)]]*U$5*10</f>
        <v>0</v>
      </c>
      <c r="X412" s="253">
        <f>_xlfn.XLOOKUP(FMS_Ranking4[[#This Row],[FMS ID]],FMS_Input[FMS_ID],FMS_Input[LWC])</f>
        <v>1</v>
      </c>
      <c r="Y412" s="255">
        <f>(ASINH(FMS_Ranking4[[#This Row],[LWC Raw]]))*(10)/(ASINH(X$4))</f>
        <v>1.1940300948531093</v>
      </c>
      <c r="Z412" s="256">
        <f>FMS_Ranking4[[#This Row],[LWC, ArcSInh (0-10)]]*X$5*10</f>
        <v>1.1940300948531093</v>
      </c>
      <c r="AA412" s="253">
        <f>_xlfn.XLOOKUP(FMS_Ranking4[[#This Row],[FMS ID]],FMS_Input[FMS_ID],FMS_Input[ROADCLS])</f>
        <v>0</v>
      </c>
      <c r="AB412" s="255">
        <f>(ASINH(FMS_Ranking4[[#This Row],[Road Closures Raw]]))*(10)/(ASINH(AA$4))</f>
        <v>0</v>
      </c>
      <c r="AC412" s="256">
        <f>FMS_Ranking4[[#This Row],[Road closures, ArcSinh (0-10)]]*AA$5*10</f>
        <v>0</v>
      </c>
      <c r="AD412" s="253">
        <f>_xlfn.XLOOKUP(FMS_Ranking4[[#This Row],[FMS ID]],FMS_Input[FMS_ID],FMS_Input[ROAD_MILES100])</f>
        <v>34</v>
      </c>
      <c r="AE412" s="255">
        <f>(ASINH(FMS_Ranking4[[#This Row],[Road Miles Raw]]))*(10)/(ASINH(AD$4))</f>
        <v>4.4970647269582971</v>
      </c>
      <c r="AF412" s="256">
        <f>FMS_Ranking4[[#This Row],[Length of roads at risk, ArcSinh (0-10)]]*AD$5*10</f>
        <v>4.497064726958298</v>
      </c>
      <c r="AG412" s="253">
        <f>_xlfn.XLOOKUP(FMS_Ranking4[[#This Row],[FMS ID]],FMS_Input[FMS_ID],FMS_Input[FARMACRE100])</f>
        <v>6036.39404296875</v>
      </c>
      <c r="AH412" s="255">
        <f>(ASINH(FMS_Ranking4[[#This Row],[Ag Land Raw]]))*(10)/(ASINH(AG$4))</f>
        <v>6.1052273885216026</v>
      </c>
      <c r="AI412" s="260">
        <f>FMS_Ranking4[[#This Row],[Farm &amp; ranch land, ArcSinh (0-10)]]*AG$5*10</f>
        <v>3.0526136942608018</v>
      </c>
      <c r="AJ412" s="258">
        <f>_xlfn.XLOOKUP(FMS_Ranking4[[#This Row],[FMS ID]],FMS_Input[FMS_ID],FMS_Input[REDSTRUCT100])</f>
        <v>11</v>
      </c>
      <c r="AK412" s="253">
        <f>_xlfn.XLOOKUP(FMS_Ranking4[[#This Row],[FMS ID]],FMS_Input[FMS_ID],FMS_Input[REMSTRC100])</f>
        <v>11</v>
      </c>
      <c r="AL412" s="255">
        <f>(ASINH(FMS_Ranking4[[#This Row],[Structures Removed Raw]]))*(10)/(ASINH(AK$4))</f>
        <v>3.5217176366483729</v>
      </c>
      <c r="AM412" s="262">
        <f>FMS_Ranking4[[#This Row],[Structures removed, ArcSinh (0-10)]]*AK$5*10</f>
        <v>3.5217176366483733</v>
      </c>
      <c r="AN412" s="253">
        <f>_xlfn.XLOOKUP(FMS_Ranking4[[#This Row],[FMS ID]],FMS_Input[FMS_ID],FMS_Input[REMRESSTRC100])</f>
        <v>4</v>
      </c>
      <c r="AO412" s="261">
        <f>FMS_Ranking4[[#This Row],[ArcSinh Res struct removed 0-10]]*AN$5*10</f>
        <v>1.2286043492271628</v>
      </c>
      <c r="AP412" s="260">
        <f>ASINH(FMS_Ranking4[[#This Row],[Residential Structures Removed Raw]])/AP$4*AN$5*100</f>
        <v>1.2286043492271628</v>
      </c>
      <c r="AQ412" s="258">
        <f>(ASINH(FMS_Ranking4[[#This Row],[Residential Structures Removed Raw]]))*(10)/(ASINH(AN$4))</f>
        <v>2.4572086984543255</v>
      </c>
      <c r="AR412" s="253">
        <f>_xlfn.XLOOKUP(FMS_Ranking4[[#This Row],[FMS ID]],FMS_Input[FMS_ID],FMS_Input[REMPOP100])</f>
        <v>8</v>
      </c>
      <c r="AS412" s="255">
        <f>(ASINH(FMS_Ranking4[[#This Row],[Removed Pop Raw]]))*(10)/(ASINH(AR$4))</f>
        <v>2.7254419496254041</v>
      </c>
      <c r="AT412" s="262">
        <f>FMS_Ranking4[[#This Row],[Removed population, ArcSinh (0-10)]]*AR$5*10</f>
        <v>2.7254419496254041</v>
      </c>
      <c r="AU412" s="264">
        <f>_xlfn.XLOOKUP(FMS_Ranking4[[#This Row],[FMS ID]],FMS_Input[FMS_ID],FMS_Input[REMCRITFAC100])</f>
        <v>0</v>
      </c>
      <c r="AV412" s="264">
        <f>_xlfn.XLOOKUP(FMS_Ranking4[[#This Row],[FMS ID]],FMS_Input[FMS_ID],FMS_Input[REMLWC100])</f>
        <v>0</v>
      </c>
      <c r="AW412" s="264">
        <f>_xlfn.XLOOKUP(FMS_Ranking4[[#This Row],[FMS ID]],FMS_Input[FMS_ID],FMS_Input[REMROADCLS])</f>
        <v>0</v>
      </c>
      <c r="AX412" s="264">
        <f>_xlfn.XLOOKUP(FMS_Ranking4[[#This Row],[FMS ID]],FMS_Input[FMS_ID],FMS_Input[REMFRMACRE100])</f>
        <v>1509.098510742188</v>
      </c>
      <c r="AY412" s="258">
        <f>_xlfn.XLOOKUP(FMS_Ranking4[[#This Row],[FMS ID]],FMS_Input[FMS_ID],FMS_Input[COSTSTRUCT])</f>
        <v>25000</v>
      </c>
      <c r="AZ412" s="253">
        <f>_xlfn.XLOOKUP(FMS_Ranking4[[#This Row],[FMS ID]],FMS_Input[FMS_ID],FMS_Input[NATURE])</f>
        <v>0</v>
      </c>
      <c r="BA412" s="262">
        <f>(((FMS_Ranking4[[#This Row],[% NBS Raw]]/AZ$4)*100)*AZ$5)</f>
        <v>0</v>
      </c>
      <c r="BB412" s="251" t="str">
        <f>_xlfn.XLOOKUP(FMS_Ranking4[[#This Row],[FMS ID]],FMS_Input[FMS_ID],FMS_Input[WATER_SUP])</f>
        <v>No</v>
      </c>
      <c r="BC412" s="265">
        <f>IF(FMS_Ranking4[[#This Row],[Water Supply Raw]]="Yes",10,0)</f>
        <v>0</v>
      </c>
      <c r="BD412" s="266">
        <f>_xlfn.XLOOKUP(FMS_Ranking4[[#This Row],[FMS Type]],FMS_TYPE[FMS_Type],FMS_TYPE[Score])</f>
        <v>2</v>
      </c>
      <c r="BE412" s="267">
        <f>FMS_Ranking4[[#This Row],[FMS_Type Score]]*$BD$5*10</f>
        <v>0.5</v>
      </c>
      <c r="BF41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8.4786784244377883E-2</v>
      </c>
      <c r="BG412" s="321">
        <f>_xlfn.RANK.EQ(BF412,$BF$8:$BF$870,0)+COUNTIF($BF$8:BF412,BF412)-1</f>
        <v>505</v>
      </c>
      <c r="BH412" s="294">
        <f>(((FMS_Ranking4[[#This Row],[Structures Removed Raw]]/AK$4)*100)*AK$5)+(((FMS_Ranking4[[#This Row],[Removed Pop Raw]]/AR$4)*100)*AR$5)</f>
        <v>3.9755626851953253E-2</v>
      </c>
      <c r="BI41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0.62454241109633113</v>
      </c>
      <c r="BJ412" s="251">
        <f>_xlfn.RANK.EQ(FMS_Ranking4[[#This Row],[Total Score 
(with linear
normalization)]],FMS_Ranking4[Total Score 
(with linear
normalization)],0)</f>
        <v>816</v>
      </c>
      <c r="BK412" s="251" t="e">
        <f>_xlfn.XLOOKUP(FMS_Ranking4[[#This Row],[FMS ID]],#REF!,#REF!)</f>
        <v>#REF!</v>
      </c>
      <c r="BL41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22.32738687956514</v>
      </c>
      <c r="BM412" s="324">
        <f>FMS_Ranking4[[#This Row],[ArcSinh Score Based on Normalized Reported Factors]]+FMS_Ranking4[[#This Row],[% NBS Score (Normalized)]]+(FMS_Ranking4[[#This Row],[Water Supply Score (Normalized)]]*10*$BB$5)+FMS_Ranking4[[#This Row],[FMS_Type Score Weighted]]</f>
        <v>22.82738687956514</v>
      </c>
      <c r="BN412" s="251">
        <f>_xlfn.RANK.EQ(FMS_Ranking4[[#This Row],[Total Score (with ArcSinh normalization of select criteria)]],FMS_Ranking4[Total Score (with ArcSinh normalization of select criteria)],0)</f>
        <v>405</v>
      </c>
      <c r="BO412" s="270" t="str">
        <f>_xlfn.XLOOKUP(FMS_Ranking4[[#This Row],[FMS ID]],FMS_Input[FMS_ID],FMS_Input[FMS_RANK_YEAR])</f>
        <v>2023 Amended Plan</v>
      </c>
      <c r="BP412" s="204">
        <f>_xlfn.XLOOKUP(FMS_Ranking4[[#This Row],[FMS ID]],Prev_Rank[FMS ID],Prev_Rank[Prev Rank])</f>
        <v>388</v>
      </c>
      <c r="BQ412" s="251" t="e">
        <f>_xlfn.XLOOKUP(FMS_Ranking4[[#This Row],[FMS ID]],#REF!,#REF!)</f>
        <v>#REF!</v>
      </c>
      <c r="BR412" s="199" t="e">
        <f>SUM(#REF!,#REF!,#REF!,#REF!,#REF!,#REF!,#REF!,#REF!,#REF!,FMS_Ranking4[[#This Row],[ArcSinh Res struct removed 0-10]],#REF!)</f>
        <v>#REF!</v>
      </c>
      <c r="BS412" s="199" t="e">
        <f>FMS_Ranking4[[#This Row],[Log Score Based on Normalized Reported Factors]]+FMS_Ranking4[[#This Row],[% NBS Score (Normalized)]]+(FMS_Ranking4[[#This Row],[Water Supply Score (Normalized)]]*10*$BB$5)+(FMS_Ranking4[[#This Row],[FMS_Type Score Weighted]])</f>
        <v>#REF!</v>
      </c>
      <c r="BT412" s="200" t="e">
        <f>_xlfn.RANK.EQ(FMS_Ranking4[[#This Row],[Log Total Score]],FMS_Ranking4[Log Total Score],0)</f>
        <v>#REF!</v>
      </c>
      <c r="BU412" s="200" t="e">
        <f>_xlfn.XLOOKUP(FMS_Ranking4[[#This Row],[FMS ID]],#REF!,#REF!)</f>
        <v>#REF!</v>
      </c>
      <c r="BV412" s="200">
        <f>FMS_Ranking4[[#This Row],[Region Number]]</f>
        <v>9</v>
      </c>
      <c r="BW412" s="200">
        <f>FMS_Ranking4[[#This Row],[Rank (with ArcSinh normalization of select criteria)]]-FMS_Ranking4[[#This Row],[Rank
(with linear
normalization)]]</f>
        <v>-411</v>
      </c>
      <c r="BX412" s="200" t="e">
        <f>FMS_Ranking4[[#This Row],[Log Rank]]-FMS_Ranking4[[#This Row],[Rank
(with linear
normalization)]]</f>
        <v>#REF!</v>
      </c>
      <c r="BY412" s="200" t="str">
        <f>IF(FMS_Ranking4[[#This Row],[FMS Type]]="Flood Measurement and Warning",FMS_Ranking4[[#This Row],[Rank (with ArcSinh normalization of select criteria)]],"")</f>
        <v/>
      </c>
      <c r="BZ412" s="200" t="str">
        <f>IF(FMS_Ranking4[[#This Row],[FMS Type]]="Regulatory and Guidance",FMS_Ranking4[[#This Row],[Rank (with ArcSinh normalization of select criteria)]],"")</f>
        <v/>
      </c>
      <c r="CA412" s="200" t="str">
        <f>IF(FMS_Ranking4[[#This Row],[FMS Type]]="Education and Outreach",FMS_Ranking4[[#This Row],[Rank (with ArcSinh normalization of select criteria)]],"")</f>
        <v/>
      </c>
      <c r="CB412" s="200" t="str">
        <f>IF(FMS_Ranking4[[#This Row],[FMS Type]]="Property Acquisition and Structural Elevation",FMS_Ranking4[[#This Row],[Rank (with ArcSinh normalization of select criteria)]],"")</f>
        <v/>
      </c>
      <c r="CC412" s="200" t="str">
        <f>IF(FMS_Ranking4[[#This Row],[FMS Type]]="Infrastructure Projects",FMS_Ranking4[[#This Row],[Rank (with ArcSinh normalization of select criteria)]],"")</f>
        <v/>
      </c>
      <c r="CD412" s="200">
        <f>IF(FMS_Ranking4[[#This Row],[FMS Type]]="Other",FMS_Ranking4[[#This Row],[Rank (with ArcSinh normalization of select criteria)]],"")</f>
        <v>405</v>
      </c>
      <c r="CE412" s="201"/>
      <c r="CF412" s="206"/>
      <c r="CG412" s="206"/>
      <c r="CH412" s="206"/>
      <c r="CI412" s="206"/>
      <c r="CJ412" s="206"/>
      <c r="CK412" s="206"/>
      <c r="CL412" s="206"/>
      <c r="CM412" s="206"/>
      <c r="CN412" s="206"/>
      <c r="CO412" s="206"/>
      <c r="CP412" s="206"/>
      <c r="CQ412" s="206"/>
      <c r="CR412" s="206"/>
    </row>
    <row r="413" spans="2:96" ht="30" x14ac:dyDescent="0.25">
      <c r="B413" s="341" t="s">
        <v>975</v>
      </c>
      <c r="C413" s="246">
        <f>_xlfn.XLOOKUP(FMS_Ranking4[[#This Row],[FMS ID]],FMS_Input[FMS_ID],FMS_Input[RFPG_NUM])</f>
        <v>9</v>
      </c>
      <c r="D413" s="309" t="str">
        <f>_xlfn.XLOOKUP(FMS_Ranking4[[#This Row],[FMS ID]],FMS_Input[FMS_ID],FMS_Input[FMS_NAME])</f>
        <v>Upton County NFIP Application</v>
      </c>
      <c r="E413" s="308" t="str">
        <f>_xlfn.XLOOKUP(FMS_Ranking4[[#This Row],[FMS ID]],FMS_Input[FMS_ID],FMS_Input[SPONSOR])</f>
        <v>00000127</v>
      </c>
      <c r="F413" s="309" t="str">
        <f>_xlfn.XLOOKUP(FMS_Ranking4[[#This Row],[FMS ID]],Sponsor[FMS_ID],Sponsor[SPONSOR NAME])</f>
        <v>Upton</v>
      </c>
      <c r="G413" s="309" t="str">
        <f>_xlfn.XLOOKUP(FMS_Ranking4[[#This Row],[FMS ID]],FMS_Input[FMS_ID],FMS_Input[FMS_DESCR])</f>
        <v xml:space="preserve">Join the National Flood Insurance Program (NFIP). </v>
      </c>
      <c r="H413" s="248" t="str">
        <f>_xlfn.XLOOKUP(FMS_Ranking4[[#This Row],[FMS ID]],FMS_Input[FMS_ID],FMS_Input[FMS_TYPE])</f>
        <v>Other</v>
      </c>
      <c r="I413" s="249">
        <f>_xlfn.XLOOKUP(FMS_Ranking4[[#This Row],[FMS ID]],FMS_Input[FMS_ID],FMS_Input[NRNC_COST])</f>
        <v>5000</v>
      </c>
      <c r="J413" s="250">
        <f>_xlfn.XLOOKUP(FMS_Ranking4[[#This Row],[FMS ID]],FMS_Input[FMS_ID],FMS_Input[FMS_COST])</f>
        <v>30000</v>
      </c>
      <c r="K413" s="251" t="str">
        <f>_xlfn.XLOOKUP(FMS_Ranking4[[#This Row],[FMS ID]],FMS_Input[FMS_ID],FMS_Input[EMER_NEED])</f>
        <v>No</v>
      </c>
      <c r="L413" s="252">
        <f t="shared" si="6"/>
        <v>0</v>
      </c>
      <c r="M413" s="253">
        <f>_xlfn.XLOOKUP(FMS_Ranking4[[#This Row],[FMS ID]],FMS_Input[FMS_ID],FMS_Input[STRUCT_100])</f>
        <v>41</v>
      </c>
      <c r="N413" s="255">
        <f>(ASINH(FMS_Ranking4[[#This Row],[Structure at Risk Raw]]))*(10)/(ASINH(M$4))</f>
        <v>3.4644543512028521</v>
      </c>
      <c r="O413" s="256">
        <f>FMS_Ranking4[[#This Row],[Structures at risk, ArcSinh (0-10)]]*M$5*10</f>
        <v>3.4644543512028525</v>
      </c>
      <c r="P413" s="253">
        <f>_xlfn.XLOOKUP(FMS_Ranking4[[#This Row],[FMS ID]],FMS_Input[FMS_ID],FMS_Input[RES_STRUCT100])</f>
        <v>16</v>
      </c>
      <c r="Q413" s="257">
        <f>ASINH(FMS_Ranking4[[#This Row],[Res Structure Raw]])/Q$4*P$5*100</f>
        <v>0</v>
      </c>
      <c r="R413" s="253">
        <f>_xlfn.XLOOKUP(FMS_Ranking4[[#This Row],[FMS ID]],FMS_Input[FMS_ID],FMS_Input[POP100])</f>
        <v>23</v>
      </c>
      <c r="S413" s="255">
        <f>(ASINH(FMS_Ranking4[[#This Row],[Pop at Risk Raw]]))*(10)/(ASINH(R$4))</f>
        <v>2.6434600767891396</v>
      </c>
      <c r="T413" s="256">
        <f>FMS_Ranking4[[#This Row],[Population at risk, ArcSinh (0-10)]]*R$5*10</f>
        <v>2.6434600767891396</v>
      </c>
      <c r="U413" s="253">
        <f>_xlfn.XLOOKUP(FMS_Ranking4[[#This Row],[FMS ID]],FMS_Input[FMS_ID],FMS_Input[CRITFAC100])</f>
        <v>0</v>
      </c>
      <c r="V413" s="255">
        <f>(ASINH(FMS_Ranking4[[#This Row],[Critical Facilities Raw]]))*(10)/(ASINH(U$4))</f>
        <v>0</v>
      </c>
      <c r="W413" s="256">
        <f>FMS_Ranking4[[#This Row],[Critical facilities at risk, ArcSinh (0-10)]]*U$5*10</f>
        <v>0</v>
      </c>
      <c r="X413" s="253">
        <f>_xlfn.XLOOKUP(FMS_Ranking4[[#This Row],[FMS ID]],FMS_Input[FMS_ID],FMS_Input[LWC])</f>
        <v>1</v>
      </c>
      <c r="Y413" s="255">
        <f>(ASINH(FMS_Ranking4[[#This Row],[LWC Raw]]))*(10)/(ASINH(X$4))</f>
        <v>1.1940300948531093</v>
      </c>
      <c r="Z413" s="256">
        <f>FMS_Ranking4[[#This Row],[LWC, ArcSInh (0-10)]]*X$5*10</f>
        <v>1.1940300948531093</v>
      </c>
      <c r="AA413" s="253">
        <f>_xlfn.XLOOKUP(FMS_Ranking4[[#This Row],[FMS ID]],FMS_Input[FMS_ID],FMS_Input[ROADCLS])</f>
        <v>0</v>
      </c>
      <c r="AB413" s="255">
        <f>(ASINH(FMS_Ranking4[[#This Row],[Road Closures Raw]]))*(10)/(ASINH(AA$4))</f>
        <v>0</v>
      </c>
      <c r="AC413" s="256">
        <f>FMS_Ranking4[[#This Row],[Road closures, ArcSinh (0-10)]]*AA$5*10</f>
        <v>0</v>
      </c>
      <c r="AD413" s="253">
        <f>_xlfn.XLOOKUP(FMS_Ranking4[[#This Row],[FMS ID]],FMS_Input[FMS_ID],FMS_Input[ROAD_MILES100])</f>
        <v>34</v>
      </c>
      <c r="AE413" s="255">
        <f>(ASINH(FMS_Ranking4[[#This Row],[Road Miles Raw]]))*(10)/(ASINH(AD$4))</f>
        <v>4.4970647269582971</v>
      </c>
      <c r="AF413" s="256">
        <f>FMS_Ranking4[[#This Row],[Length of roads at risk, ArcSinh (0-10)]]*AD$5*10</f>
        <v>4.497064726958298</v>
      </c>
      <c r="AG413" s="253">
        <f>_xlfn.XLOOKUP(FMS_Ranking4[[#This Row],[FMS ID]],FMS_Input[FMS_ID],FMS_Input[FARMACRE100])</f>
        <v>6036.39404296875</v>
      </c>
      <c r="AH413" s="255">
        <f>(ASINH(FMS_Ranking4[[#This Row],[Ag Land Raw]]))*(10)/(ASINH(AG$4))</f>
        <v>6.1052273885216026</v>
      </c>
      <c r="AI413" s="260">
        <f>FMS_Ranking4[[#This Row],[Farm &amp; ranch land, ArcSinh (0-10)]]*AG$5*10</f>
        <v>3.0526136942608018</v>
      </c>
      <c r="AJ413" s="258">
        <f>_xlfn.XLOOKUP(FMS_Ranking4[[#This Row],[FMS ID]],FMS_Input[FMS_ID],FMS_Input[REDSTRUCT100])</f>
        <v>11</v>
      </c>
      <c r="AK413" s="253">
        <f>_xlfn.XLOOKUP(FMS_Ranking4[[#This Row],[FMS ID]],FMS_Input[FMS_ID],FMS_Input[REMSTRC100])</f>
        <v>11</v>
      </c>
      <c r="AL413" s="255">
        <f>(ASINH(FMS_Ranking4[[#This Row],[Structures Removed Raw]]))*(10)/(ASINH(AK$4))</f>
        <v>3.5217176366483729</v>
      </c>
      <c r="AM413" s="262">
        <f>FMS_Ranking4[[#This Row],[Structures removed, ArcSinh (0-10)]]*AK$5*10</f>
        <v>3.5217176366483733</v>
      </c>
      <c r="AN413" s="253">
        <f>_xlfn.XLOOKUP(FMS_Ranking4[[#This Row],[FMS ID]],FMS_Input[FMS_ID],FMS_Input[REMRESSTRC100])</f>
        <v>4</v>
      </c>
      <c r="AO413" s="261">
        <f>FMS_Ranking4[[#This Row],[ArcSinh Res struct removed 0-10]]*AN$5*10</f>
        <v>1.2286043492271628</v>
      </c>
      <c r="AP413" s="260">
        <f>ASINH(FMS_Ranking4[[#This Row],[Residential Structures Removed Raw]])/AP$4*AN$5*100</f>
        <v>1.2286043492271628</v>
      </c>
      <c r="AQ413" s="258">
        <f>(ASINH(FMS_Ranking4[[#This Row],[Residential Structures Removed Raw]]))*(10)/(ASINH(AN$4))</f>
        <v>2.4572086984543255</v>
      </c>
      <c r="AR413" s="253">
        <f>_xlfn.XLOOKUP(FMS_Ranking4[[#This Row],[FMS ID]],FMS_Input[FMS_ID],FMS_Input[REMPOP100])</f>
        <v>8</v>
      </c>
      <c r="AS413" s="255">
        <f>(ASINH(FMS_Ranking4[[#This Row],[Removed Pop Raw]]))*(10)/(ASINH(AR$4))</f>
        <v>2.7254419496254041</v>
      </c>
      <c r="AT413" s="262">
        <f>FMS_Ranking4[[#This Row],[Removed population, ArcSinh (0-10)]]*AR$5*10</f>
        <v>2.7254419496254041</v>
      </c>
      <c r="AU413" s="264">
        <f>_xlfn.XLOOKUP(FMS_Ranking4[[#This Row],[FMS ID]],FMS_Input[FMS_ID],FMS_Input[REMCRITFAC100])</f>
        <v>0</v>
      </c>
      <c r="AV413" s="264">
        <f>_xlfn.XLOOKUP(FMS_Ranking4[[#This Row],[FMS ID]],FMS_Input[FMS_ID],FMS_Input[REMLWC100])</f>
        <v>0</v>
      </c>
      <c r="AW413" s="264">
        <f>_xlfn.XLOOKUP(FMS_Ranking4[[#This Row],[FMS ID]],FMS_Input[FMS_ID],FMS_Input[REMROADCLS])</f>
        <v>0</v>
      </c>
      <c r="AX413" s="264">
        <f>_xlfn.XLOOKUP(FMS_Ranking4[[#This Row],[FMS ID]],FMS_Input[FMS_ID],FMS_Input[REMFRMACRE100])</f>
        <v>1509.098510742188</v>
      </c>
      <c r="AY413" s="258">
        <f>_xlfn.XLOOKUP(FMS_Ranking4[[#This Row],[FMS ID]],FMS_Input[FMS_ID],FMS_Input[COSTSTRUCT])</f>
        <v>25000</v>
      </c>
      <c r="AZ413" s="253">
        <f>_xlfn.XLOOKUP(FMS_Ranking4[[#This Row],[FMS ID]],FMS_Input[FMS_ID],FMS_Input[NATURE])</f>
        <v>0</v>
      </c>
      <c r="BA413" s="262">
        <f>(((FMS_Ranking4[[#This Row],[% NBS Raw]]/AZ$4)*100)*AZ$5)</f>
        <v>0</v>
      </c>
      <c r="BB413" s="251" t="str">
        <f>_xlfn.XLOOKUP(FMS_Ranking4[[#This Row],[FMS ID]],FMS_Input[FMS_ID],FMS_Input[WATER_SUP])</f>
        <v>No</v>
      </c>
      <c r="BC413" s="265">
        <f>IF(FMS_Ranking4[[#This Row],[Water Supply Raw]]="Yes",10,0)</f>
        <v>0</v>
      </c>
      <c r="BD413" s="266">
        <f>_xlfn.XLOOKUP(FMS_Ranking4[[#This Row],[FMS Type]],FMS_TYPE[FMS_Type],FMS_TYPE[Score])</f>
        <v>2</v>
      </c>
      <c r="BE413" s="267">
        <f>FMS_Ranking4[[#This Row],[FMS_Type Score]]*$BD$5*10</f>
        <v>0.5</v>
      </c>
      <c r="BF41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8.4786784244377883E-2</v>
      </c>
      <c r="BG413" s="321">
        <f>_xlfn.RANK.EQ(BF413,$BF$8:$BF$870,0)+COUNTIF($BF$8:BF413,BF413)-1</f>
        <v>506</v>
      </c>
      <c r="BH413" s="294">
        <f>(((FMS_Ranking4[[#This Row],[Structures Removed Raw]]/AK$4)*100)*AK$5)+(((FMS_Ranking4[[#This Row],[Removed Pop Raw]]/AR$4)*100)*AR$5)</f>
        <v>3.9755626851953253E-2</v>
      </c>
      <c r="BI41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0.62454241109633113</v>
      </c>
      <c r="BJ413" s="251">
        <f>_xlfn.RANK.EQ(FMS_Ranking4[[#This Row],[Total Score 
(with linear
normalization)]],FMS_Ranking4[Total Score 
(with linear
normalization)],0)</f>
        <v>816</v>
      </c>
      <c r="BK413" s="251" t="e">
        <f>_xlfn.XLOOKUP(FMS_Ranking4[[#This Row],[FMS ID]],#REF!,#REF!)</f>
        <v>#REF!</v>
      </c>
      <c r="BL41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22.32738687956514</v>
      </c>
      <c r="BM413" s="324">
        <f>FMS_Ranking4[[#This Row],[ArcSinh Score Based on Normalized Reported Factors]]+FMS_Ranking4[[#This Row],[% NBS Score (Normalized)]]+(FMS_Ranking4[[#This Row],[Water Supply Score (Normalized)]]*10*$BB$5)+FMS_Ranking4[[#This Row],[FMS_Type Score Weighted]]</f>
        <v>22.82738687956514</v>
      </c>
      <c r="BN413" s="251">
        <f>_xlfn.RANK.EQ(FMS_Ranking4[[#This Row],[Total Score (with ArcSinh normalization of select criteria)]],FMS_Ranking4[Total Score (with ArcSinh normalization of select criteria)],0)</f>
        <v>405</v>
      </c>
      <c r="BO413" s="270" t="str">
        <f>_xlfn.XLOOKUP(FMS_Ranking4[[#This Row],[FMS ID]],FMS_Input[FMS_ID],FMS_Input[FMS_RANK_YEAR])</f>
        <v>2023 Amended Plan</v>
      </c>
      <c r="BP413" s="204">
        <f>_xlfn.XLOOKUP(FMS_Ranking4[[#This Row],[FMS ID]],Prev_Rank[FMS ID],Prev_Rank[Prev Rank])</f>
        <v>388</v>
      </c>
      <c r="BQ413" s="251" t="e">
        <f>_xlfn.XLOOKUP(FMS_Ranking4[[#This Row],[FMS ID]],#REF!,#REF!)</f>
        <v>#REF!</v>
      </c>
      <c r="BR413" s="199" t="e">
        <f>SUM(#REF!,#REF!,#REF!,#REF!,#REF!,#REF!,#REF!,#REF!,#REF!,FMS_Ranking4[[#This Row],[ArcSinh Res struct removed 0-10]],#REF!)</f>
        <v>#REF!</v>
      </c>
      <c r="BS413" s="199" t="e">
        <f>FMS_Ranking4[[#This Row],[Log Score Based on Normalized Reported Factors]]+FMS_Ranking4[[#This Row],[% NBS Score (Normalized)]]+(FMS_Ranking4[[#This Row],[Water Supply Score (Normalized)]]*10*$BB$5)+(FMS_Ranking4[[#This Row],[FMS_Type Score Weighted]])</f>
        <v>#REF!</v>
      </c>
      <c r="BT413" s="200" t="e">
        <f>_xlfn.RANK.EQ(FMS_Ranking4[[#This Row],[Log Total Score]],FMS_Ranking4[Log Total Score],0)</f>
        <v>#REF!</v>
      </c>
      <c r="BU413" s="200" t="e">
        <f>_xlfn.XLOOKUP(FMS_Ranking4[[#This Row],[FMS ID]],#REF!,#REF!)</f>
        <v>#REF!</v>
      </c>
      <c r="BV413" s="200">
        <f>FMS_Ranking4[[#This Row],[Region Number]]</f>
        <v>9</v>
      </c>
      <c r="BW413" s="200">
        <f>FMS_Ranking4[[#This Row],[Rank (with ArcSinh normalization of select criteria)]]-FMS_Ranking4[[#This Row],[Rank
(with linear
normalization)]]</f>
        <v>-411</v>
      </c>
      <c r="BX413" s="200" t="e">
        <f>FMS_Ranking4[[#This Row],[Log Rank]]-FMS_Ranking4[[#This Row],[Rank
(with linear
normalization)]]</f>
        <v>#REF!</v>
      </c>
      <c r="BY413" s="200" t="str">
        <f>IF(FMS_Ranking4[[#This Row],[FMS Type]]="Flood Measurement and Warning",FMS_Ranking4[[#This Row],[Rank (with ArcSinh normalization of select criteria)]],"")</f>
        <v/>
      </c>
      <c r="BZ413" s="200" t="str">
        <f>IF(FMS_Ranking4[[#This Row],[FMS Type]]="Regulatory and Guidance",FMS_Ranking4[[#This Row],[Rank (with ArcSinh normalization of select criteria)]],"")</f>
        <v/>
      </c>
      <c r="CA413" s="200" t="str">
        <f>IF(FMS_Ranking4[[#This Row],[FMS Type]]="Education and Outreach",FMS_Ranking4[[#This Row],[Rank (with ArcSinh normalization of select criteria)]],"")</f>
        <v/>
      </c>
      <c r="CB413" s="200" t="str">
        <f>IF(FMS_Ranking4[[#This Row],[FMS Type]]="Property Acquisition and Structural Elevation",FMS_Ranking4[[#This Row],[Rank (with ArcSinh normalization of select criteria)]],"")</f>
        <v/>
      </c>
      <c r="CC413" s="200" t="str">
        <f>IF(FMS_Ranking4[[#This Row],[FMS Type]]="Infrastructure Projects",FMS_Ranking4[[#This Row],[Rank (with ArcSinh normalization of select criteria)]],"")</f>
        <v/>
      </c>
      <c r="CD413" s="200">
        <f>IF(FMS_Ranking4[[#This Row],[FMS Type]]="Other",FMS_Ranking4[[#This Row],[Rank (with ArcSinh normalization of select criteria)]],"")</f>
        <v>405</v>
      </c>
      <c r="CE413" s="201"/>
      <c r="CF413" s="206"/>
      <c r="CG413" s="206"/>
      <c r="CH413" s="206"/>
      <c r="CI413" s="206"/>
      <c r="CJ413" s="206"/>
      <c r="CK413" s="206"/>
      <c r="CL413" s="206"/>
      <c r="CM413" s="206"/>
      <c r="CN413" s="206"/>
      <c r="CO413" s="206"/>
      <c r="CP413" s="206"/>
      <c r="CQ413" s="206"/>
      <c r="CR413" s="206"/>
    </row>
    <row r="414" spans="2:96" ht="30" x14ac:dyDescent="0.25">
      <c r="B414" s="341" t="s">
        <v>1424</v>
      </c>
      <c r="C414" s="246">
        <f>_xlfn.XLOOKUP(FMS_Ranking4[[#This Row],[FMS ID]],FMS_Input[FMS_ID],FMS_Input[RFPG_NUM])</f>
        <v>1</v>
      </c>
      <c r="D414" s="309" t="str">
        <f>_xlfn.XLOOKUP(FMS_Ranking4[[#This Row],[FMS ID]],FMS_Input[FMS_ID],FMS_Input[FMS_NAME])</f>
        <v>Ochiltree County NFIP Involvement</v>
      </c>
      <c r="E414" s="308" t="str">
        <f>_xlfn.XLOOKUP(FMS_Ranking4[[#This Row],[FMS ID]],FMS_Input[FMS_ID],FMS_Input[SPONSOR])</f>
        <v>01000251</v>
      </c>
      <c r="F414" s="309" t="str">
        <f>_xlfn.XLOOKUP(FMS_Ranking4[[#This Row],[FMS ID]],Sponsor[FMS_ID],Sponsor[SPONSOR NAME])</f>
        <v>Ochiltree</v>
      </c>
      <c r="G414" s="309" t="str">
        <f>_xlfn.XLOOKUP(FMS_Ranking4[[#This Row],[FMS ID]],FMS_Input[FMS_ID],FMS_Input[FMS_DESCR])</f>
        <v>Application to join NFIP or adopt equivalent standards</v>
      </c>
      <c r="H414" s="248" t="str">
        <f>_xlfn.XLOOKUP(FMS_Ranking4[[#This Row],[FMS ID]],FMS_Input[FMS_ID],FMS_Input[FMS_TYPE])</f>
        <v>Regulatory and Guidance</v>
      </c>
      <c r="I414" s="249">
        <f>_xlfn.XLOOKUP(FMS_Ranking4[[#This Row],[FMS ID]],FMS_Input[FMS_ID],FMS_Input[NRNC_COST])</f>
        <v>100000</v>
      </c>
      <c r="J414" s="250">
        <f>_xlfn.XLOOKUP(FMS_Ranking4[[#This Row],[FMS ID]],FMS_Input[FMS_ID],FMS_Input[FMS_COST])</f>
        <v>100000</v>
      </c>
      <c r="K414" s="251" t="str">
        <f>_xlfn.XLOOKUP(FMS_Ranking4[[#This Row],[FMS ID]],FMS_Input[FMS_ID],FMS_Input[EMER_NEED])</f>
        <v>No</v>
      </c>
      <c r="L414" s="252">
        <f t="shared" si="6"/>
        <v>0</v>
      </c>
      <c r="M414" s="253">
        <f>_xlfn.XLOOKUP(FMS_Ranking4[[#This Row],[FMS ID]],FMS_Input[FMS_ID],FMS_Input[STRUCT_100])</f>
        <v>369</v>
      </c>
      <c r="N414" s="255">
        <f>(ASINH(FMS_Ranking4[[#This Row],[Structure at Risk Raw]]))*(10)/(ASINH(M$4))</f>
        <v>5.19168457419714</v>
      </c>
      <c r="O414" s="256">
        <f>FMS_Ranking4[[#This Row],[Structures at risk, ArcSinh (0-10)]]*M$5*10</f>
        <v>5.1916845741971409</v>
      </c>
      <c r="P414" s="253">
        <f>_xlfn.XLOOKUP(FMS_Ranking4[[#This Row],[FMS ID]],FMS_Input[FMS_ID],FMS_Input[RES_STRUCT100])</f>
        <v>161</v>
      </c>
      <c r="Q414" s="257">
        <f>ASINH(FMS_Ranking4[[#This Row],[Res Structure Raw]])/Q$4*P$5*100</f>
        <v>0</v>
      </c>
      <c r="R414" s="253">
        <f>_xlfn.XLOOKUP(FMS_Ranking4[[#This Row],[FMS ID]],FMS_Input[FMS_ID],FMS_Input[POP100])</f>
        <v>533</v>
      </c>
      <c r="S414" s="259">
        <f>(ASINH(FMS_Ranking4[[#This Row],[Pop at Risk Raw]]))*(10)/(ASINH(R$4))</f>
        <v>4.8129493214841199</v>
      </c>
      <c r="T414" s="256">
        <f>FMS_Ranking4[[#This Row],[Population at risk, ArcSinh (0-10)]]*R$5*10</f>
        <v>4.8129493214841199</v>
      </c>
      <c r="U414" s="253">
        <f>_xlfn.XLOOKUP(FMS_Ranking4[[#This Row],[FMS ID]],FMS_Input[FMS_ID],FMS_Input[CRITFAC100])</f>
        <v>1</v>
      </c>
      <c r="V414" s="259">
        <f>(ASINH(FMS_Ranking4[[#This Row],[Critical Facilities Raw]]))*(10)/(ASINH(U$4))</f>
        <v>1.0433384451410745</v>
      </c>
      <c r="W414" s="256">
        <f>FMS_Ranking4[[#This Row],[Critical facilities at risk, ArcSinh (0-10)]]*U$5*10</f>
        <v>1.0433384451410745</v>
      </c>
      <c r="X414" s="253">
        <f>_xlfn.XLOOKUP(FMS_Ranking4[[#This Row],[FMS ID]],FMS_Input[FMS_ID],FMS_Input[LWC])</f>
        <v>1</v>
      </c>
      <c r="Y414" s="259">
        <f>(ASINH(FMS_Ranking4[[#This Row],[LWC Raw]]))*(10)/(ASINH(X$4))</f>
        <v>1.1940300948531093</v>
      </c>
      <c r="Z414" s="256">
        <f>FMS_Ranking4[[#This Row],[LWC, ArcSInh (0-10)]]*X$5*10</f>
        <v>1.1940300948531093</v>
      </c>
      <c r="AA414" s="253">
        <f>_xlfn.XLOOKUP(FMS_Ranking4[[#This Row],[FMS ID]],FMS_Input[FMS_ID],FMS_Input[ROADCLS])</f>
        <v>1</v>
      </c>
      <c r="AB414" s="255">
        <f>(ASINH(FMS_Ranking4[[#This Row],[Road Closures Raw]]))*(10)/(ASINH(AA$4))</f>
        <v>0.91786969566638699</v>
      </c>
      <c r="AC414" s="256">
        <f>FMS_Ranking4[[#This Row],[Road closures, ArcSinh (0-10)]]*AA$5*10</f>
        <v>0.45893484783319349</v>
      </c>
      <c r="AD414" s="253">
        <f>_xlfn.XLOOKUP(FMS_Ranking4[[#This Row],[FMS ID]],FMS_Input[FMS_ID],FMS_Input[ROAD_MILES100])</f>
        <v>31</v>
      </c>
      <c r="AE414" s="259">
        <f>(ASINH(FMS_Ranking4[[#This Row],[Road Miles Raw]]))*(10)/(ASINH(AD$4))</f>
        <v>4.3986669153359532</v>
      </c>
      <c r="AF414" s="256">
        <f>FMS_Ranking4[[#This Row],[Length of roads at risk, ArcSinh (0-10)]]*AD$5*10</f>
        <v>4.3986669153359532</v>
      </c>
      <c r="AG414" s="253">
        <f>_xlfn.XLOOKUP(FMS_Ranking4[[#This Row],[FMS ID]],FMS_Input[FMS_ID],FMS_Input[FARMACRE100])</f>
        <v>48149.85546875</v>
      </c>
      <c r="AH414" s="255">
        <f>(ASINH(FMS_Ranking4[[#This Row],[Ag Land Raw]]))*(10)/(ASINH(AG$4))</f>
        <v>7.454090655599817</v>
      </c>
      <c r="AI414" s="260">
        <f>FMS_Ranking4[[#This Row],[Farm &amp; ranch land, ArcSinh (0-10)]]*AG$5*10</f>
        <v>3.7270453277999089</v>
      </c>
      <c r="AJ414" s="258">
        <f>_xlfn.XLOOKUP(FMS_Ranking4[[#This Row],[FMS ID]],FMS_Input[FMS_ID],FMS_Input[REDSTRUCT100])</f>
        <v>0</v>
      </c>
      <c r="AK414" s="253">
        <f>_xlfn.XLOOKUP(FMS_Ranking4[[#This Row],[FMS ID]],FMS_Input[FMS_ID],FMS_Input[REMSTRC100])</f>
        <v>0</v>
      </c>
      <c r="AL414" s="259">
        <f>(ASINH(FMS_Ranking4[[#This Row],[Structures Removed Raw]]))*(10)/(ASINH(AK$4))</f>
        <v>0</v>
      </c>
      <c r="AM414" s="262">
        <f>FMS_Ranking4[[#This Row],[Structures removed, ArcSinh (0-10)]]*AK$5*10</f>
        <v>0</v>
      </c>
      <c r="AN414" s="253">
        <f>_xlfn.XLOOKUP(FMS_Ranking4[[#This Row],[FMS ID]],FMS_Input[FMS_ID],FMS_Input[REMRESSTRC100])</f>
        <v>0</v>
      </c>
      <c r="AO414" s="261">
        <f>FMS_Ranking4[[#This Row],[ArcSinh Res struct removed 0-10]]*AN$5*10</f>
        <v>0</v>
      </c>
      <c r="AP414" s="260">
        <f>ASINH(FMS_Ranking4[[#This Row],[Residential Structures Removed Raw]])/AP$4*AN$5*100</f>
        <v>0</v>
      </c>
      <c r="AQ414" s="254">
        <f>(ASINH(FMS_Ranking4[[#This Row],[Residential Structures Removed Raw]]))*(10)/(ASINH(AN$4))</f>
        <v>0</v>
      </c>
      <c r="AR414" s="253">
        <f>_xlfn.XLOOKUP(FMS_Ranking4[[#This Row],[FMS ID]],FMS_Input[FMS_ID],FMS_Input[REMPOP100])</f>
        <v>0</v>
      </c>
      <c r="AS414" s="259">
        <f>(ASINH(FMS_Ranking4[[#This Row],[Removed Pop Raw]]))*(10)/(ASINH(AR$4))</f>
        <v>0</v>
      </c>
      <c r="AT414" s="262">
        <f>FMS_Ranking4[[#This Row],[Removed population, ArcSinh (0-10)]]*AR$5*10</f>
        <v>0</v>
      </c>
      <c r="AU414" s="264">
        <f>_xlfn.XLOOKUP(FMS_Ranking4[[#This Row],[FMS ID]],FMS_Input[FMS_ID],FMS_Input[REMCRITFAC100])</f>
        <v>0</v>
      </c>
      <c r="AV414" s="264">
        <f>_xlfn.XLOOKUP(FMS_Ranking4[[#This Row],[FMS ID]],FMS_Input[FMS_ID],FMS_Input[REMLWC100])</f>
        <v>0</v>
      </c>
      <c r="AW414" s="264">
        <f>_xlfn.XLOOKUP(FMS_Ranking4[[#This Row],[FMS ID]],FMS_Input[FMS_ID],FMS_Input[REMROADCLS])</f>
        <v>0</v>
      </c>
      <c r="AX414" s="264">
        <f>_xlfn.XLOOKUP(FMS_Ranking4[[#This Row],[FMS ID]],FMS_Input[FMS_ID],FMS_Input[REMFRMACRE100])</f>
        <v>0</v>
      </c>
      <c r="AY414" s="258">
        <f>_xlfn.XLOOKUP(FMS_Ranking4[[#This Row],[FMS ID]],FMS_Input[FMS_ID],FMS_Input[COSTSTRUCT])</f>
        <v>0</v>
      </c>
      <c r="AZ414" s="253">
        <f>_xlfn.XLOOKUP(FMS_Ranking4[[#This Row],[FMS ID]],FMS_Input[FMS_ID],FMS_Input[NATURE])</f>
        <v>0</v>
      </c>
      <c r="BA414" s="262">
        <f>(((FMS_Ranking4[[#This Row],[% NBS Raw]]/AZ$4)*100)*AZ$5)</f>
        <v>0</v>
      </c>
      <c r="BB414" s="251" t="str">
        <f>_xlfn.XLOOKUP(FMS_Ranking4[[#This Row],[FMS ID]],FMS_Input[FMS_ID],FMS_Input[WATER_SUP])</f>
        <v>No</v>
      </c>
      <c r="BC414" s="265">
        <f>IF(FMS_Ranking4[[#This Row],[Water Supply Raw]]="Yes",10,0)</f>
        <v>0</v>
      </c>
      <c r="BD414" s="266">
        <f>_xlfn.XLOOKUP(FMS_Ranking4[[#This Row],[FMS Type]],FMS_TYPE[FMS_Type],FMS_TYPE[Score])</f>
        <v>8</v>
      </c>
      <c r="BE414" s="267">
        <f>FMS_Ranking4[[#This Row],[FMS_Type Score]]*$BD$5*10</f>
        <v>2</v>
      </c>
      <c r="BF41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0.19636733274861687</v>
      </c>
      <c r="BG414" s="271">
        <f>_xlfn.RANK.EQ(BF414,$BF$8:$BF$870,0)+COUNTIF($BF$8:BF414,BF414)-1</f>
        <v>369</v>
      </c>
      <c r="BH414" s="268">
        <f>(((FMS_Ranking4[[#This Row],[Structures Removed Raw]]/AK$4)*100)*AK$5)+(((FMS_Ranking4[[#This Row],[Removed Pop Raw]]/AR$4)*100)*AR$5)</f>
        <v>0</v>
      </c>
      <c r="BI41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2.1963673327486171</v>
      </c>
      <c r="BJ414" s="205">
        <f>_xlfn.RANK.EQ(FMS_Ranking4[[#This Row],[Total Score 
(with linear
normalization)]],FMS_Ranking4[Total Score 
(with linear
normalization)],0)</f>
        <v>330</v>
      </c>
      <c r="BK414" s="205" t="e">
        <f>_xlfn.XLOOKUP(FMS_Ranking4[[#This Row],[FMS ID]],#REF!,#REF!)</f>
        <v>#REF!</v>
      </c>
      <c r="BL41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20.826649526644502</v>
      </c>
      <c r="BM414" s="272">
        <f>FMS_Ranking4[[#This Row],[ArcSinh Score Based on Normalized Reported Factors]]+FMS_Ranking4[[#This Row],[% NBS Score (Normalized)]]+(FMS_Ranking4[[#This Row],[Water Supply Score (Normalized)]]*10*$BB$5)+FMS_Ranking4[[#This Row],[FMS_Type Score Weighted]]</f>
        <v>22.826649526644502</v>
      </c>
      <c r="BN414" s="205">
        <f>_xlfn.RANK.EQ(FMS_Ranking4[[#This Row],[Total Score (with ArcSinh normalization of select criteria)]],FMS_Ranking4[Total Score (with ArcSinh normalization of select criteria)],0)</f>
        <v>407</v>
      </c>
      <c r="BO414" s="270" t="str">
        <f>_xlfn.XLOOKUP(FMS_Ranking4[[#This Row],[FMS ID]],FMS_Input[FMS_ID],FMS_Input[FMS_RANK_YEAR])</f>
        <v>2023 Amended Plan</v>
      </c>
      <c r="BP414" s="204">
        <f>_xlfn.XLOOKUP(FMS_Ranking4[[#This Row],[FMS ID]],Prev_Rank[FMS ID],Prev_Rank[Prev Rank])</f>
        <v>357</v>
      </c>
      <c r="BQ414" s="205" t="e">
        <f>_xlfn.XLOOKUP(FMS_Ranking4[[#This Row],[FMS ID]],#REF!,#REF!)</f>
        <v>#REF!</v>
      </c>
      <c r="BR414" s="199" t="e">
        <f>SUM(#REF!,#REF!,#REF!,#REF!,#REF!,#REF!,#REF!,#REF!,#REF!,FMS_Ranking4[[#This Row],[ArcSinh Res struct removed 0-10]],#REF!)</f>
        <v>#REF!</v>
      </c>
      <c r="BS414" s="199" t="e">
        <f>FMS_Ranking4[[#This Row],[Log Score Based on Normalized Reported Factors]]+FMS_Ranking4[[#This Row],[% NBS Score (Normalized)]]+(FMS_Ranking4[[#This Row],[Water Supply Score (Normalized)]]*10*$BB$5)+(FMS_Ranking4[[#This Row],[FMS_Type Score Weighted]])</f>
        <v>#REF!</v>
      </c>
      <c r="BT414" s="200" t="e">
        <f>_xlfn.RANK.EQ(FMS_Ranking4[[#This Row],[Log Total Score]],FMS_Ranking4[Log Total Score],0)</f>
        <v>#REF!</v>
      </c>
      <c r="BU414" s="200" t="e">
        <f>_xlfn.XLOOKUP(FMS_Ranking4[[#This Row],[FMS ID]],#REF!,#REF!)</f>
        <v>#REF!</v>
      </c>
      <c r="BV414" s="200">
        <f>FMS_Ranking4[[#This Row],[Region Number]]</f>
        <v>1</v>
      </c>
      <c r="BW414" s="200">
        <f>FMS_Ranking4[[#This Row],[Rank (with ArcSinh normalization of select criteria)]]-FMS_Ranking4[[#This Row],[Rank
(with linear
normalization)]]</f>
        <v>77</v>
      </c>
      <c r="BX414" s="200" t="e">
        <f>FMS_Ranking4[[#This Row],[Log Rank]]-FMS_Ranking4[[#This Row],[Rank
(with linear
normalization)]]</f>
        <v>#REF!</v>
      </c>
      <c r="BY414" s="200" t="str">
        <f>IF(FMS_Ranking4[[#This Row],[FMS Type]]="Flood Measurement and Warning",FMS_Ranking4[[#This Row],[Rank (with ArcSinh normalization of select criteria)]],"")</f>
        <v/>
      </c>
      <c r="BZ414" s="200">
        <f>IF(FMS_Ranking4[[#This Row],[FMS Type]]="Regulatory and Guidance",FMS_Ranking4[[#This Row],[Rank (with ArcSinh normalization of select criteria)]],"")</f>
        <v>407</v>
      </c>
      <c r="CA414" s="200" t="str">
        <f>IF(FMS_Ranking4[[#This Row],[FMS Type]]="Education and Outreach",FMS_Ranking4[[#This Row],[Rank (with ArcSinh normalization of select criteria)]],"")</f>
        <v/>
      </c>
      <c r="CB414" s="200" t="str">
        <f>IF(FMS_Ranking4[[#This Row],[FMS Type]]="Property Acquisition and Structural Elevation",FMS_Ranking4[[#This Row],[Rank (with ArcSinh normalization of select criteria)]],"")</f>
        <v/>
      </c>
      <c r="CC414" s="200" t="str">
        <f>IF(FMS_Ranking4[[#This Row],[FMS Type]]="Infrastructure Projects",FMS_Ranking4[[#This Row],[Rank (with ArcSinh normalization of select criteria)]],"")</f>
        <v/>
      </c>
      <c r="CD414" s="200" t="str">
        <f>IF(FMS_Ranking4[[#This Row],[FMS Type]]="Other",FMS_Ranking4[[#This Row],[Rank (with ArcSinh normalization of select criteria)]],"")</f>
        <v/>
      </c>
      <c r="CE414" s="201"/>
      <c r="CF414" s="206"/>
      <c r="CG414" s="206"/>
      <c r="CH414" s="206"/>
      <c r="CI414" s="206"/>
      <c r="CJ414" s="206"/>
      <c r="CK414" s="206"/>
      <c r="CL414" s="206"/>
      <c r="CM414" s="206"/>
      <c r="CN414" s="206"/>
      <c r="CO414" s="206"/>
      <c r="CP414" s="206"/>
      <c r="CQ414" s="206"/>
      <c r="CR414" s="206"/>
    </row>
    <row r="415" spans="2:96" ht="30" x14ac:dyDescent="0.25">
      <c r="B415" s="341" t="s">
        <v>1327</v>
      </c>
      <c r="C415" s="246">
        <f>_xlfn.XLOOKUP(FMS_Ranking4[[#This Row],[FMS ID]],FMS_Input[FMS_ID],FMS_Input[RFPG_NUM])</f>
        <v>1</v>
      </c>
      <c r="D415" s="309" t="str">
        <f>_xlfn.XLOOKUP(FMS_Ranking4[[#This Row],[FMS ID]],FMS_Input[FMS_ID],FMS_Input[FMS_NAME])</f>
        <v>Hardeman County NFIP Involvement</v>
      </c>
      <c r="E415" s="308" t="str">
        <f>_xlfn.XLOOKUP(FMS_Ranking4[[#This Row],[FMS ID]],FMS_Input[FMS_ID],FMS_Input[SPONSOR])</f>
        <v>01000204</v>
      </c>
      <c r="F415" s="309" t="str">
        <f>_xlfn.XLOOKUP(FMS_Ranking4[[#This Row],[FMS ID]],Sponsor[FMS_ID],Sponsor[SPONSOR NAME])</f>
        <v>Hardeman</v>
      </c>
      <c r="G415" s="309" t="str">
        <f>_xlfn.XLOOKUP(FMS_Ranking4[[#This Row],[FMS ID]],FMS_Input[FMS_ID],FMS_Input[FMS_DESCR])</f>
        <v>Application to join NFIP or adopt equivalent standards</v>
      </c>
      <c r="H415" s="248" t="str">
        <f>_xlfn.XLOOKUP(FMS_Ranking4[[#This Row],[FMS ID]],FMS_Input[FMS_ID],FMS_Input[FMS_TYPE])</f>
        <v>Regulatory and Guidance</v>
      </c>
      <c r="I415" s="249">
        <f>_xlfn.XLOOKUP(FMS_Ranking4[[#This Row],[FMS ID]],FMS_Input[FMS_ID],FMS_Input[NRNC_COST])</f>
        <v>100000</v>
      </c>
      <c r="J415" s="250">
        <f>_xlfn.XLOOKUP(FMS_Ranking4[[#This Row],[FMS ID]],FMS_Input[FMS_ID],FMS_Input[FMS_COST])</f>
        <v>100000</v>
      </c>
      <c r="K415" s="251" t="str">
        <f>_xlfn.XLOOKUP(FMS_Ranking4[[#This Row],[FMS ID]],FMS_Input[FMS_ID],FMS_Input[EMER_NEED])</f>
        <v>No</v>
      </c>
      <c r="L415" s="252">
        <f t="shared" si="6"/>
        <v>0</v>
      </c>
      <c r="M415" s="253">
        <f>_xlfn.XLOOKUP(FMS_Ranking4[[#This Row],[FMS ID]],FMS_Input[FMS_ID],FMS_Input[STRUCT_100])</f>
        <v>43</v>
      </c>
      <c r="N415" s="255">
        <f>(ASINH(FMS_Ranking4[[#This Row],[Structure at Risk Raw]]))*(10)/(ASINH(M$4))</f>
        <v>3.5018864706838451</v>
      </c>
      <c r="O415" s="256">
        <f>FMS_Ranking4[[#This Row],[Structures at risk, ArcSinh (0-10)]]*M$5*10</f>
        <v>3.5018864706838455</v>
      </c>
      <c r="P415" s="253">
        <f>_xlfn.XLOOKUP(FMS_Ranking4[[#This Row],[FMS ID]],FMS_Input[FMS_ID],FMS_Input[RES_STRUCT100])</f>
        <v>3</v>
      </c>
      <c r="Q415" s="257">
        <f>ASINH(FMS_Ranking4[[#This Row],[Res Structure Raw]])/Q$4*P$5*100</f>
        <v>0</v>
      </c>
      <c r="R415" s="253">
        <f>_xlfn.XLOOKUP(FMS_Ranking4[[#This Row],[FMS ID]],FMS_Input[FMS_ID],FMS_Input[POP100])</f>
        <v>133</v>
      </c>
      <c r="S415" s="259">
        <f>(ASINH(FMS_Ranking4[[#This Row],[Pop at Risk Raw]]))*(10)/(ASINH(R$4))</f>
        <v>3.8546223182351924</v>
      </c>
      <c r="T415" s="256">
        <f>FMS_Ranking4[[#This Row],[Population at risk, ArcSinh (0-10)]]*R$5*10</f>
        <v>3.8546223182351924</v>
      </c>
      <c r="U415" s="253">
        <f>_xlfn.XLOOKUP(FMS_Ranking4[[#This Row],[FMS ID]],FMS_Input[FMS_ID],FMS_Input[CRITFAC100])</f>
        <v>0</v>
      </c>
      <c r="V415" s="259">
        <f>(ASINH(FMS_Ranking4[[#This Row],[Critical Facilities Raw]]))*(10)/(ASINH(U$4))</f>
        <v>0</v>
      </c>
      <c r="W415" s="256">
        <f>FMS_Ranking4[[#This Row],[Critical facilities at risk, ArcSinh (0-10)]]*U$5*10</f>
        <v>0</v>
      </c>
      <c r="X415" s="253">
        <f>_xlfn.XLOOKUP(FMS_Ranking4[[#This Row],[FMS ID]],FMS_Input[FMS_ID],FMS_Input[LWC])</f>
        <v>6</v>
      </c>
      <c r="Y415" s="259">
        <f>(ASINH(FMS_Ranking4[[#This Row],[LWC Raw]]))*(10)/(ASINH(X$4))</f>
        <v>3.375708300798784</v>
      </c>
      <c r="Z415" s="256">
        <f>FMS_Ranking4[[#This Row],[LWC, ArcSInh (0-10)]]*X$5*10</f>
        <v>3.3757083007987845</v>
      </c>
      <c r="AA415" s="253">
        <f>_xlfn.XLOOKUP(FMS_Ranking4[[#This Row],[FMS ID]],FMS_Input[FMS_ID],FMS_Input[ROADCLS])</f>
        <v>6</v>
      </c>
      <c r="AB415" s="255">
        <f>(ASINH(FMS_Ranking4[[#This Row],[Road Closures Raw]]))*(10)/(ASINH(AA$4))</f>
        <v>2.5949600132095934</v>
      </c>
      <c r="AC415" s="256">
        <f>FMS_Ranking4[[#This Row],[Road closures, ArcSinh (0-10)]]*AA$5*10</f>
        <v>1.2974800066047967</v>
      </c>
      <c r="AD415" s="253">
        <f>_xlfn.XLOOKUP(FMS_Ranking4[[#This Row],[FMS ID]],FMS_Input[FMS_ID],FMS_Input[ROAD_MILES100])</f>
        <v>54</v>
      </c>
      <c r="AE415" s="259">
        <f>(ASINH(FMS_Ranking4[[#This Row],[Road Miles Raw]]))*(10)/(ASINH(AD$4))</f>
        <v>4.9899550772881724</v>
      </c>
      <c r="AF415" s="256">
        <f>FMS_Ranking4[[#This Row],[Length of roads at risk, ArcSinh (0-10)]]*AD$5*10</f>
        <v>4.9899550772881724</v>
      </c>
      <c r="AG415" s="253">
        <f>_xlfn.XLOOKUP(FMS_Ranking4[[#This Row],[FMS ID]],FMS_Input[FMS_ID],FMS_Input[FARMACRE100])</f>
        <v>59006.796875</v>
      </c>
      <c r="AH415" s="255">
        <f>(ASINH(FMS_Ranking4[[#This Row],[Ag Land Raw]]))*(10)/(ASINH(AG$4))</f>
        <v>7.5861729801413116</v>
      </c>
      <c r="AI415" s="260">
        <f>FMS_Ranking4[[#This Row],[Farm &amp; ranch land, ArcSinh (0-10)]]*AG$5*10</f>
        <v>3.7930864900706562</v>
      </c>
      <c r="AJ415" s="258">
        <f>_xlfn.XLOOKUP(FMS_Ranking4[[#This Row],[FMS ID]],FMS_Input[FMS_ID],FMS_Input[REDSTRUCT100])</f>
        <v>0</v>
      </c>
      <c r="AK415" s="253">
        <f>_xlfn.XLOOKUP(FMS_Ranking4[[#This Row],[FMS ID]],FMS_Input[FMS_ID],FMS_Input[REMSTRC100])</f>
        <v>0</v>
      </c>
      <c r="AL415" s="259">
        <f>(ASINH(FMS_Ranking4[[#This Row],[Structures Removed Raw]]))*(10)/(ASINH(AK$4))</f>
        <v>0</v>
      </c>
      <c r="AM415" s="262">
        <f>FMS_Ranking4[[#This Row],[Structures removed, ArcSinh (0-10)]]*AK$5*10</f>
        <v>0</v>
      </c>
      <c r="AN415" s="253">
        <f>_xlfn.XLOOKUP(FMS_Ranking4[[#This Row],[FMS ID]],FMS_Input[FMS_ID],FMS_Input[REMRESSTRC100])</f>
        <v>0</v>
      </c>
      <c r="AO415" s="261">
        <f>FMS_Ranking4[[#This Row],[ArcSinh Res struct removed 0-10]]*AN$5*10</f>
        <v>0</v>
      </c>
      <c r="AP415" s="260">
        <f>ASINH(FMS_Ranking4[[#This Row],[Residential Structures Removed Raw]])/AP$4*AN$5*100</f>
        <v>0</v>
      </c>
      <c r="AQ415" s="254">
        <f>(ASINH(FMS_Ranking4[[#This Row],[Residential Structures Removed Raw]]))*(10)/(ASINH(AN$4))</f>
        <v>0</v>
      </c>
      <c r="AR415" s="253">
        <f>_xlfn.XLOOKUP(FMS_Ranking4[[#This Row],[FMS ID]],FMS_Input[FMS_ID],FMS_Input[REMPOP100])</f>
        <v>0</v>
      </c>
      <c r="AS415" s="259">
        <f>(ASINH(FMS_Ranking4[[#This Row],[Removed Pop Raw]]))*(10)/(ASINH(AR$4))</f>
        <v>0</v>
      </c>
      <c r="AT415" s="262">
        <f>FMS_Ranking4[[#This Row],[Removed population, ArcSinh (0-10)]]*AR$5*10</f>
        <v>0</v>
      </c>
      <c r="AU415" s="264">
        <f>_xlfn.XLOOKUP(FMS_Ranking4[[#This Row],[FMS ID]],FMS_Input[FMS_ID],FMS_Input[REMCRITFAC100])</f>
        <v>0</v>
      </c>
      <c r="AV415" s="264">
        <f>_xlfn.XLOOKUP(FMS_Ranking4[[#This Row],[FMS ID]],FMS_Input[FMS_ID],FMS_Input[REMLWC100])</f>
        <v>0</v>
      </c>
      <c r="AW415" s="264">
        <f>_xlfn.XLOOKUP(FMS_Ranking4[[#This Row],[FMS ID]],FMS_Input[FMS_ID],FMS_Input[REMROADCLS])</f>
        <v>0</v>
      </c>
      <c r="AX415" s="264">
        <f>_xlfn.XLOOKUP(FMS_Ranking4[[#This Row],[FMS ID]],FMS_Input[FMS_ID],FMS_Input[REMFRMACRE100])</f>
        <v>0</v>
      </c>
      <c r="AY415" s="258">
        <f>_xlfn.XLOOKUP(FMS_Ranking4[[#This Row],[FMS ID]],FMS_Input[FMS_ID],FMS_Input[COSTSTRUCT])</f>
        <v>0</v>
      </c>
      <c r="AZ415" s="253">
        <f>_xlfn.XLOOKUP(FMS_Ranking4[[#This Row],[FMS ID]],FMS_Input[FMS_ID],FMS_Input[NATURE])</f>
        <v>0</v>
      </c>
      <c r="BA415" s="262">
        <f>(((FMS_Ranking4[[#This Row],[% NBS Raw]]/AZ$4)*100)*AZ$5)</f>
        <v>0</v>
      </c>
      <c r="BB415" s="251" t="str">
        <f>_xlfn.XLOOKUP(FMS_Ranking4[[#This Row],[FMS ID]],FMS_Input[FMS_ID],FMS_Input[WATER_SUP])</f>
        <v>No</v>
      </c>
      <c r="BC415" s="265">
        <f>IF(FMS_Ranking4[[#This Row],[Water Supply Raw]]="Yes",10,0)</f>
        <v>0</v>
      </c>
      <c r="BD415" s="266">
        <f>_xlfn.XLOOKUP(FMS_Ranking4[[#This Row],[FMS Type]],FMS_TYPE[FMS_Type],FMS_TYPE[Score])</f>
        <v>8</v>
      </c>
      <c r="BE415" s="267">
        <f>FMS_Ranking4[[#This Row],[FMS_Type Score]]*$BD$5*10</f>
        <v>2</v>
      </c>
      <c r="BF41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0.29521349980363071</v>
      </c>
      <c r="BG415" s="271">
        <f>_xlfn.RANK.EQ(BF415,$BF$8:$BF$870,0)+COUNTIF($BF$8:BF415,BF415)-1</f>
        <v>298</v>
      </c>
      <c r="BH415" s="268">
        <f>(((FMS_Ranking4[[#This Row],[Structures Removed Raw]]/AK$4)*100)*AK$5)+(((FMS_Ranking4[[#This Row],[Removed Pop Raw]]/AR$4)*100)*AR$5)</f>
        <v>0</v>
      </c>
      <c r="BI41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2.2952134998036309</v>
      </c>
      <c r="BJ415" s="205">
        <f>_xlfn.RANK.EQ(FMS_Ranking4[[#This Row],[Total Score 
(with linear
normalization)]],FMS_Ranking4[Total Score 
(with linear
normalization)],0)</f>
        <v>298</v>
      </c>
      <c r="BK415" s="205" t="e">
        <f>_xlfn.XLOOKUP(FMS_Ranking4[[#This Row],[FMS ID]],#REF!,#REF!)</f>
        <v>#REF!</v>
      </c>
      <c r="BL41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20.812738663681451</v>
      </c>
      <c r="BM415" s="272">
        <f>FMS_Ranking4[[#This Row],[ArcSinh Score Based on Normalized Reported Factors]]+FMS_Ranking4[[#This Row],[% NBS Score (Normalized)]]+(FMS_Ranking4[[#This Row],[Water Supply Score (Normalized)]]*10*$BB$5)+FMS_Ranking4[[#This Row],[FMS_Type Score Weighted]]</f>
        <v>22.812738663681451</v>
      </c>
      <c r="BN415" s="205">
        <f>_xlfn.RANK.EQ(FMS_Ranking4[[#This Row],[Total Score (with ArcSinh normalization of select criteria)]],FMS_Ranking4[Total Score (with ArcSinh normalization of select criteria)],0)</f>
        <v>408</v>
      </c>
      <c r="BO415" s="270" t="str">
        <f>_xlfn.XLOOKUP(FMS_Ranking4[[#This Row],[FMS ID]],FMS_Input[FMS_ID],FMS_Input[FMS_RANK_YEAR])</f>
        <v>2023 Amended Plan</v>
      </c>
      <c r="BP415" s="204">
        <f>_xlfn.XLOOKUP(FMS_Ranking4[[#This Row],[FMS ID]],Prev_Rank[FMS ID],Prev_Rank[Prev Rank])</f>
        <v>361</v>
      </c>
      <c r="BQ415" s="205" t="e">
        <f>_xlfn.XLOOKUP(FMS_Ranking4[[#This Row],[FMS ID]],#REF!,#REF!)</f>
        <v>#REF!</v>
      </c>
      <c r="BR415" s="199" t="e">
        <f>SUM(#REF!,#REF!,#REF!,#REF!,#REF!,#REF!,#REF!,#REF!,#REF!,FMS_Ranking4[[#This Row],[ArcSinh Res struct removed 0-10]],#REF!)</f>
        <v>#REF!</v>
      </c>
      <c r="BS415" s="199" t="e">
        <f>FMS_Ranking4[[#This Row],[Log Score Based on Normalized Reported Factors]]+FMS_Ranking4[[#This Row],[% NBS Score (Normalized)]]+(FMS_Ranking4[[#This Row],[Water Supply Score (Normalized)]]*10*$BB$5)+(FMS_Ranking4[[#This Row],[FMS_Type Score Weighted]])</f>
        <v>#REF!</v>
      </c>
      <c r="BT415" s="200" t="e">
        <f>_xlfn.RANK.EQ(FMS_Ranking4[[#This Row],[Log Total Score]],FMS_Ranking4[Log Total Score],0)</f>
        <v>#REF!</v>
      </c>
      <c r="BU415" s="200" t="e">
        <f>_xlfn.XLOOKUP(FMS_Ranking4[[#This Row],[FMS ID]],#REF!,#REF!)</f>
        <v>#REF!</v>
      </c>
      <c r="BV415" s="200">
        <f>FMS_Ranking4[[#This Row],[Region Number]]</f>
        <v>1</v>
      </c>
      <c r="BW415" s="200">
        <f>FMS_Ranking4[[#This Row],[Rank (with ArcSinh normalization of select criteria)]]-FMS_Ranking4[[#This Row],[Rank
(with linear
normalization)]]</f>
        <v>110</v>
      </c>
      <c r="BX415" s="200" t="e">
        <f>FMS_Ranking4[[#This Row],[Log Rank]]-FMS_Ranking4[[#This Row],[Rank
(with linear
normalization)]]</f>
        <v>#REF!</v>
      </c>
      <c r="BY415" s="200" t="str">
        <f>IF(FMS_Ranking4[[#This Row],[FMS Type]]="Flood Measurement and Warning",FMS_Ranking4[[#This Row],[Rank (with ArcSinh normalization of select criteria)]],"")</f>
        <v/>
      </c>
      <c r="BZ415" s="200">
        <f>IF(FMS_Ranking4[[#This Row],[FMS Type]]="Regulatory and Guidance",FMS_Ranking4[[#This Row],[Rank (with ArcSinh normalization of select criteria)]],"")</f>
        <v>408</v>
      </c>
      <c r="CA415" s="200" t="str">
        <f>IF(FMS_Ranking4[[#This Row],[FMS Type]]="Education and Outreach",FMS_Ranking4[[#This Row],[Rank (with ArcSinh normalization of select criteria)]],"")</f>
        <v/>
      </c>
      <c r="CB415" s="200" t="str">
        <f>IF(FMS_Ranking4[[#This Row],[FMS Type]]="Property Acquisition and Structural Elevation",FMS_Ranking4[[#This Row],[Rank (with ArcSinh normalization of select criteria)]],"")</f>
        <v/>
      </c>
      <c r="CC415" s="200" t="str">
        <f>IF(FMS_Ranking4[[#This Row],[FMS Type]]="Infrastructure Projects",FMS_Ranking4[[#This Row],[Rank (with ArcSinh normalization of select criteria)]],"")</f>
        <v/>
      </c>
      <c r="CD415" s="200" t="str">
        <f>IF(FMS_Ranking4[[#This Row],[FMS Type]]="Other",FMS_Ranking4[[#This Row],[Rank (with ArcSinh normalization of select criteria)]],"")</f>
        <v/>
      </c>
      <c r="CE415" s="201"/>
      <c r="CF415" s="206"/>
      <c r="CG415" s="206"/>
      <c r="CH415" s="206"/>
      <c r="CI415" s="206"/>
      <c r="CJ415" s="206"/>
      <c r="CK415" s="206"/>
      <c r="CL415" s="206"/>
      <c r="CM415" s="206"/>
      <c r="CN415" s="206"/>
      <c r="CO415" s="206"/>
      <c r="CP415" s="206"/>
      <c r="CQ415" s="206"/>
      <c r="CR415" s="206"/>
    </row>
    <row r="416" spans="2:96" ht="30" x14ac:dyDescent="0.25">
      <c r="B416" s="341" t="s">
        <v>927</v>
      </c>
      <c r="C416" s="246">
        <f>_xlfn.XLOOKUP(FMS_Ranking4[[#This Row],[FMS ID]],FMS_Input[FMS_ID],FMS_Input[RFPG_NUM])</f>
        <v>9</v>
      </c>
      <c r="D416" s="309" t="str">
        <f>_xlfn.XLOOKUP(FMS_Ranking4[[#This Row],[FMS ID]],FMS_Input[FMS_ID],FMS_Input[FMS_NAME])</f>
        <v>City of Mertzon NFIP Application</v>
      </c>
      <c r="E416" s="308" t="str">
        <f>_xlfn.XLOOKUP(FMS_Ranking4[[#This Row],[FMS ID]],FMS_Input[FMS_ID],FMS_Input[SPONSOR])</f>
        <v>09002400</v>
      </c>
      <c r="F416" s="309" t="str">
        <f>_xlfn.XLOOKUP(FMS_Ranking4[[#This Row],[FMS ID]],Sponsor[FMS_ID],Sponsor[SPONSOR NAME])</f>
        <v>Mertzon</v>
      </c>
      <c r="G416" s="309" t="str">
        <f>_xlfn.XLOOKUP(FMS_Ranking4[[#This Row],[FMS ID]],FMS_Input[FMS_ID],FMS_Input[FMS_DESCR])</f>
        <v>Join The NFIP.</v>
      </c>
      <c r="H416" s="248" t="str">
        <f>_xlfn.XLOOKUP(FMS_Ranking4[[#This Row],[FMS ID]],FMS_Input[FMS_ID],FMS_Input[FMS_TYPE])</f>
        <v>Other</v>
      </c>
      <c r="I416" s="249">
        <f>_xlfn.XLOOKUP(FMS_Ranking4[[#This Row],[FMS ID]],FMS_Input[FMS_ID],FMS_Input[NRNC_COST])</f>
        <v>5000</v>
      </c>
      <c r="J416" s="250">
        <f>_xlfn.XLOOKUP(FMS_Ranking4[[#This Row],[FMS ID]],FMS_Input[FMS_ID],FMS_Input[FMS_COST])</f>
        <v>30000</v>
      </c>
      <c r="K416" s="251" t="str">
        <f>_xlfn.XLOOKUP(FMS_Ranking4[[#This Row],[FMS ID]],FMS_Input[FMS_ID],FMS_Input[EMER_NEED])</f>
        <v>No</v>
      </c>
      <c r="L416" s="252">
        <f t="shared" si="6"/>
        <v>0</v>
      </c>
      <c r="M416" s="253">
        <f>_xlfn.XLOOKUP(FMS_Ranking4[[#This Row],[FMS ID]],FMS_Input[FMS_ID],FMS_Input[STRUCT_100])</f>
        <v>96</v>
      </c>
      <c r="N416" s="255">
        <f>(ASINH(FMS_Ranking4[[#This Row],[Structure at Risk Raw]]))*(10)/(ASINH(M$4))</f>
        <v>4.1331954943555136</v>
      </c>
      <c r="O416" s="256">
        <f>FMS_Ranking4[[#This Row],[Structures at risk, ArcSinh (0-10)]]*M$5*10</f>
        <v>4.1331954943555136</v>
      </c>
      <c r="P416" s="253">
        <f>_xlfn.XLOOKUP(FMS_Ranking4[[#This Row],[FMS ID]],FMS_Input[FMS_ID],FMS_Input[RES_STRUCT100])</f>
        <v>46</v>
      </c>
      <c r="Q416" s="257">
        <f>ASINH(FMS_Ranking4[[#This Row],[Res Structure Raw]])/Q$4*P$5*100</f>
        <v>0</v>
      </c>
      <c r="R416" s="253">
        <f>_xlfn.XLOOKUP(FMS_Ranking4[[#This Row],[FMS ID]],FMS_Input[FMS_ID],FMS_Input[POP100])</f>
        <v>83</v>
      </c>
      <c r="S416" s="259">
        <f>(ASINH(FMS_Ranking4[[#This Row],[Pop at Risk Raw]]))*(10)/(ASINH(R$4))</f>
        <v>3.5291278312107477</v>
      </c>
      <c r="T416" s="256">
        <f>FMS_Ranking4[[#This Row],[Population at risk, ArcSinh (0-10)]]*R$5*10</f>
        <v>3.5291278312107477</v>
      </c>
      <c r="U416" s="253">
        <f>_xlfn.XLOOKUP(FMS_Ranking4[[#This Row],[FMS ID]],FMS_Input[FMS_ID],FMS_Input[CRITFAC100])</f>
        <v>0</v>
      </c>
      <c r="V416" s="259">
        <f>(ASINH(FMS_Ranking4[[#This Row],[Critical Facilities Raw]]))*(10)/(ASINH(U$4))</f>
        <v>0</v>
      </c>
      <c r="W416" s="256">
        <f>FMS_Ranking4[[#This Row],[Critical facilities at risk, ArcSinh (0-10)]]*U$5*10</f>
        <v>0</v>
      </c>
      <c r="X416" s="253">
        <f>_xlfn.XLOOKUP(FMS_Ranking4[[#This Row],[FMS ID]],FMS_Input[FMS_ID],FMS_Input[LWC])</f>
        <v>4</v>
      </c>
      <c r="Y416" s="259">
        <f>(ASINH(FMS_Ranking4[[#This Row],[LWC Raw]]))*(10)/(ASINH(X$4))</f>
        <v>2.8377862217928165</v>
      </c>
      <c r="Z416" s="256">
        <f>FMS_Ranking4[[#This Row],[LWC, ArcSInh (0-10)]]*X$5*10</f>
        <v>2.8377862217928169</v>
      </c>
      <c r="AA416" s="253">
        <f>_xlfn.XLOOKUP(FMS_Ranking4[[#This Row],[FMS ID]],FMS_Input[FMS_ID],FMS_Input[ROADCLS])</f>
        <v>0</v>
      </c>
      <c r="AB416" s="255">
        <f>(ASINH(FMS_Ranking4[[#This Row],[Road Closures Raw]]))*(10)/(ASINH(AA$4))</f>
        <v>0</v>
      </c>
      <c r="AC416" s="256">
        <f>FMS_Ranking4[[#This Row],[Road closures, ArcSinh (0-10)]]*AA$5*10</f>
        <v>0</v>
      </c>
      <c r="AD416" s="253">
        <f>_xlfn.XLOOKUP(FMS_Ranking4[[#This Row],[FMS ID]],FMS_Input[FMS_ID],FMS_Input[ROAD_MILES100])</f>
        <v>2</v>
      </c>
      <c r="AE416" s="259">
        <f>(ASINH(FMS_Ranking4[[#This Row],[Road Miles Raw]]))*(10)/(ASINH(AD$4))</f>
        <v>1.5385182374234352</v>
      </c>
      <c r="AF416" s="256">
        <f>FMS_Ranking4[[#This Row],[Length of roads at risk, ArcSinh (0-10)]]*AD$5*10</f>
        <v>1.5385182374234352</v>
      </c>
      <c r="AG416" s="253">
        <f>_xlfn.XLOOKUP(FMS_Ranking4[[#This Row],[FMS ID]],FMS_Input[FMS_ID],FMS_Input[FARMACRE100])</f>
        <v>0.68501776456832886</v>
      </c>
      <c r="AH416" s="255">
        <f>(ASINH(FMS_Ranking4[[#This Row],[Ag Land Raw]]))*(10)/(ASINH(AG$4))</f>
        <v>0.41595913732370382</v>
      </c>
      <c r="AI416" s="260">
        <f>FMS_Ranking4[[#This Row],[Farm &amp; ranch land, ArcSinh (0-10)]]*AG$5*10</f>
        <v>0.20797956866185191</v>
      </c>
      <c r="AJ416" s="258">
        <f>_xlfn.XLOOKUP(FMS_Ranking4[[#This Row],[FMS ID]],FMS_Input[FMS_ID],FMS_Input[REDSTRUCT100])</f>
        <v>24</v>
      </c>
      <c r="AK416" s="253">
        <f>_xlfn.XLOOKUP(FMS_Ranking4[[#This Row],[FMS ID]],FMS_Input[FMS_ID],FMS_Input[REMSTRC100])</f>
        <v>24</v>
      </c>
      <c r="AL416" s="259">
        <f>(ASINH(FMS_Ranking4[[#This Row],[Structures Removed Raw]]))*(10)/(ASINH(AK$4))</f>
        <v>4.4081325298750587</v>
      </c>
      <c r="AM416" s="262">
        <f>FMS_Ranking4[[#This Row],[Structures removed, ArcSinh (0-10)]]*AK$5*10</f>
        <v>4.4081325298750587</v>
      </c>
      <c r="AN416" s="253">
        <f>_xlfn.XLOOKUP(FMS_Ranking4[[#This Row],[FMS ID]],FMS_Input[FMS_ID],FMS_Input[REMRESSTRC100])</f>
        <v>11</v>
      </c>
      <c r="AO416" s="261">
        <f>FMS_Ranking4[[#This Row],[ArcSinh Res struct removed 0-10]]*AN$5*10</f>
        <v>1.8141863017970663</v>
      </c>
      <c r="AP416" s="260">
        <f>ASINH(FMS_Ranking4[[#This Row],[Residential Structures Removed Raw]])/AP$4*AN$5*100</f>
        <v>1.8141863017970665</v>
      </c>
      <c r="AQ416" s="254">
        <f>(ASINH(FMS_Ranking4[[#This Row],[Residential Structures Removed Raw]]))*(10)/(ASINH(AN$4))</f>
        <v>3.6283726035941326</v>
      </c>
      <c r="AR416" s="253">
        <f>_xlfn.XLOOKUP(FMS_Ranking4[[#This Row],[FMS ID]],FMS_Input[FMS_ID],FMS_Input[REMPOP100])</f>
        <v>25</v>
      </c>
      <c r="AS416" s="259">
        <f>(ASINH(FMS_Ranking4[[#This Row],[Removed Pop Raw]]))*(10)/(ASINH(AR$4))</f>
        <v>3.8405141676288128</v>
      </c>
      <c r="AT416" s="262">
        <f>FMS_Ranking4[[#This Row],[Removed population, ArcSinh (0-10)]]*AR$5*10</f>
        <v>3.8405141676288128</v>
      </c>
      <c r="AU416" s="264">
        <f>_xlfn.XLOOKUP(FMS_Ranking4[[#This Row],[FMS ID]],FMS_Input[FMS_ID],FMS_Input[REMCRITFAC100])</f>
        <v>0</v>
      </c>
      <c r="AV416" s="264">
        <f>_xlfn.XLOOKUP(FMS_Ranking4[[#This Row],[FMS ID]],FMS_Input[FMS_ID],FMS_Input[REMLWC100])</f>
        <v>1</v>
      </c>
      <c r="AW416" s="264">
        <f>_xlfn.XLOOKUP(FMS_Ranking4[[#This Row],[FMS ID]],FMS_Input[FMS_ID],FMS_Input[REMROADCLS])</f>
        <v>0</v>
      </c>
      <c r="AX416" s="264">
        <f>_xlfn.XLOOKUP(FMS_Ranking4[[#This Row],[FMS ID]],FMS_Input[FMS_ID],FMS_Input[REMFRMACRE100])</f>
        <v>0.17125444114208219</v>
      </c>
      <c r="AY416" s="258">
        <f>_xlfn.XLOOKUP(FMS_Ranking4[[#This Row],[FMS ID]],FMS_Input[FMS_ID],FMS_Input[COSTSTRUCT])</f>
        <v>25000</v>
      </c>
      <c r="AZ416" s="253">
        <f>_xlfn.XLOOKUP(FMS_Ranking4[[#This Row],[FMS ID]],FMS_Input[FMS_ID],FMS_Input[NATURE])</f>
        <v>0</v>
      </c>
      <c r="BA416" s="262">
        <f>(((FMS_Ranking4[[#This Row],[% NBS Raw]]/AZ$4)*100)*AZ$5)</f>
        <v>0</v>
      </c>
      <c r="BB416" s="251" t="str">
        <f>_xlfn.XLOOKUP(FMS_Ranking4[[#This Row],[FMS ID]],FMS_Input[FMS_ID],FMS_Input[WATER_SUP])</f>
        <v>No</v>
      </c>
      <c r="BC416" s="265">
        <f>IF(FMS_Ranking4[[#This Row],[Water Supply Raw]]="Yes",10,0)</f>
        <v>0</v>
      </c>
      <c r="BD416" s="266">
        <f>_xlfn.XLOOKUP(FMS_Ranking4[[#This Row],[FMS Type]],FMS_TYPE[FMS_Type],FMS_TYPE[Score])</f>
        <v>2</v>
      </c>
      <c r="BE416" s="267">
        <f>FMS_Ranking4[[#This Row],[FMS_Type Score]]*$BD$5*10</f>
        <v>0.5</v>
      </c>
      <c r="BF41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5.9769824754304042E-2</v>
      </c>
      <c r="BG416" s="271">
        <f>_xlfn.RANK.EQ(BF416,$BF$8:$BF$870,0)+COUNTIF($BF$8:BF416,BF416)-1</f>
        <v>541</v>
      </c>
      <c r="BH416" s="268">
        <f>(((FMS_Ranking4[[#This Row],[Structures Removed Raw]]/AK$4)*100)*AK$5)+(((FMS_Ranking4[[#This Row],[Removed Pop Raw]]/AR$4)*100)*AR$5)</f>
        <v>9.2420939861449281E-2</v>
      </c>
      <c r="BI41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0.65219076461575332</v>
      </c>
      <c r="BJ416" s="205">
        <f>_xlfn.RANK.EQ(FMS_Ranking4[[#This Row],[Total Score 
(with linear
normalization)]],FMS_Ranking4[Total Score 
(with linear
normalization)],0)</f>
        <v>811</v>
      </c>
      <c r="BK416" s="205" t="e">
        <f>_xlfn.XLOOKUP(FMS_Ranking4[[#This Row],[FMS ID]],#REF!,#REF!)</f>
        <v>#REF!</v>
      </c>
      <c r="BL41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22.309440352745298</v>
      </c>
      <c r="BM416" s="272">
        <f>FMS_Ranking4[[#This Row],[ArcSinh Score Based on Normalized Reported Factors]]+FMS_Ranking4[[#This Row],[% NBS Score (Normalized)]]+(FMS_Ranking4[[#This Row],[Water Supply Score (Normalized)]]*10*$BB$5)+FMS_Ranking4[[#This Row],[FMS_Type Score Weighted]]</f>
        <v>22.809440352745298</v>
      </c>
      <c r="BN416" s="205">
        <f>_xlfn.RANK.EQ(FMS_Ranking4[[#This Row],[Total Score (with ArcSinh normalization of select criteria)]],FMS_Ranking4[Total Score (with ArcSinh normalization of select criteria)],0)</f>
        <v>409</v>
      </c>
      <c r="BO416" s="270" t="str">
        <f>_xlfn.XLOOKUP(FMS_Ranking4[[#This Row],[FMS ID]],FMS_Input[FMS_ID],FMS_Input[FMS_RANK_YEAR])</f>
        <v>2023 Amended Plan</v>
      </c>
      <c r="BP416" s="204">
        <f>_xlfn.XLOOKUP(FMS_Ranking4[[#This Row],[FMS ID]],Prev_Rank[FMS ID],Prev_Rank[Prev Rank])</f>
        <v>395</v>
      </c>
      <c r="BQ416" s="205" t="e">
        <f>_xlfn.XLOOKUP(FMS_Ranking4[[#This Row],[FMS ID]],#REF!,#REF!)</f>
        <v>#REF!</v>
      </c>
      <c r="BR416" s="199" t="e">
        <f>SUM(#REF!,#REF!,#REF!,#REF!,#REF!,#REF!,#REF!,#REF!,#REF!,FMS_Ranking4[[#This Row],[ArcSinh Res struct removed 0-10]],#REF!)</f>
        <v>#REF!</v>
      </c>
      <c r="BS416" s="199" t="e">
        <f>FMS_Ranking4[[#This Row],[Log Score Based on Normalized Reported Factors]]+FMS_Ranking4[[#This Row],[% NBS Score (Normalized)]]+(FMS_Ranking4[[#This Row],[Water Supply Score (Normalized)]]*10*$BB$5)+(FMS_Ranking4[[#This Row],[FMS_Type Score Weighted]])</f>
        <v>#REF!</v>
      </c>
      <c r="BT416" s="200" t="e">
        <f>_xlfn.RANK.EQ(FMS_Ranking4[[#This Row],[Log Total Score]],FMS_Ranking4[Log Total Score],0)</f>
        <v>#REF!</v>
      </c>
      <c r="BU416" s="200" t="e">
        <f>_xlfn.XLOOKUP(FMS_Ranking4[[#This Row],[FMS ID]],#REF!,#REF!)</f>
        <v>#REF!</v>
      </c>
      <c r="BV416" s="200">
        <f>FMS_Ranking4[[#This Row],[Region Number]]</f>
        <v>9</v>
      </c>
      <c r="BW416" s="200">
        <f>FMS_Ranking4[[#This Row],[Rank (with ArcSinh normalization of select criteria)]]-FMS_Ranking4[[#This Row],[Rank
(with linear
normalization)]]</f>
        <v>-402</v>
      </c>
      <c r="BX416" s="200" t="e">
        <f>FMS_Ranking4[[#This Row],[Log Rank]]-FMS_Ranking4[[#This Row],[Rank
(with linear
normalization)]]</f>
        <v>#REF!</v>
      </c>
      <c r="BY416" s="200" t="str">
        <f>IF(FMS_Ranking4[[#This Row],[FMS Type]]="Flood Measurement and Warning",FMS_Ranking4[[#This Row],[Rank (with ArcSinh normalization of select criteria)]],"")</f>
        <v/>
      </c>
      <c r="BZ416" s="200" t="str">
        <f>IF(FMS_Ranking4[[#This Row],[FMS Type]]="Regulatory and Guidance",FMS_Ranking4[[#This Row],[Rank (with ArcSinh normalization of select criteria)]],"")</f>
        <v/>
      </c>
      <c r="CA416" s="200" t="str">
        <f>IF(FMS_Ranking4[[#This Row],[FMS Type]]="Education and Outreach",FMS_Ranking4[[#This Row],[Rank (with ArcSinh normalization of select criteria)]],"")</f>
        <v/>
      </c>
      <c r="CB416" s="200" t="str">
        <f>IF(FMS_Ranking4[[#This Row],[FMS Type]]="Property Acquisition and Structural Elevation",FMS_Ranking4[[#This Row],[Rank (with ArcSinh normalization of select criteria)]],"")</f>
        <v/>
      </c>
      <c r="CC416" s="200" t="str">
        <f>IF(FMS_Ranking4[[#This Row],[FMS Type]]="Infrastructure Projects",FMS_Ranking4[[#This Row],[Rank (with ArcSinh normalization of select criteria)]],"")</f>
        <v/>
      </c>
      <c r="CD416" s="200">
        <f>IF(FMS_Ranking4[[#This Row],[FMS Type]]="Other",FMS_Ranking4[[#This Row],[Rank (with ArcSinh normalization of select criteria)]],"")</f>
        <v>409</v>
      </c>
      <c r="CE416" s="201"/>
      <c r="CF416" s="206"/>
      <c r="CG416" s="206"/>
      <c r="CH416" s="206"/>
      <c r="CI416" s="206"/>
      <c r="CJ416" s="206"/>
      <c r="CK416" s="206"/>
      <c r="CL416" s="206"/>
      <c r="CM416" s="206"/>
      <c r="CN416" s="206"/>
      <c r="CO416" s="206"/>
      <c r="CP416" s="206"/>
      <c r="CQ416" s="206"/>
      <c r="CR416" s="206"/>
    </row>
    <row r="417" spans="2:96" ht="90" x14ac:dyDescent="0.25">
      <c r="B417" s="341" t="s">
        <v>990</v>
      </c>
      <c r="C417" s="246">
        <f>_xlfn.XLOOKUP(FMS_Ranking4[[#This Row],[FMS ID]],FMS_Input[FMS_ID],FMS_Input[RFPG_NUM])</f>
        <v>9</v>
      </c>
      <c r="D417" s="309" t="str">
        <f>_xlfn.XLOOKUP(FMS_Ranking4[[#This Row],[FMS ID]],FMS_Input[FMS_ID],FMS_Input[FMS_NAME])</f>
        <v>City of Mertzon Local Ordinance Evaluation</v>
      </c>
      <c r="E417" s="308" t="str">
        <f>_xlfn.XLOOKUP(FMS_Ranking4[[#This Row],[FMS ID]],FMS_Input[FMS_ID],FMS_Input[SPONSOR])</f>
        <v>09002400</v>
      </c>
      <c r="F417" s="309" t="str">
        <f>_xlfn.XLOOKUP(FMS_Ranking4[[#This Row],[FMS ID]],Sponsor[FMS_ID],Sponsor[SPONSOR NAME])</f>
        <v>Mertzon</v>
      </c>
      <c r="G417" s="309" t="str">
        <f>_xlfn.XLOOKUP(FMS_Ranking4[[#This Row],[FMS ID]],FMS_Input[FMS_ID],FMS_Input[FMS_DESCR])</f>
        <v xml:space="preserve">Examine local flood ordinance to ensure minimum NFIP standards are included for program compliance and to consider possible higher regulatory standards. </v>
      </c>
      <c r="H417" s="248" t="str">
        <f>_xlfn.XLOOKUP(FMS_Ranking4[[#This Row],[FMS ID]],FMS_Input[FMS_ID],FMS_Input[FMS_TYPE])</f>
        <v>Other</v>
      </c>
      <c r="I417" s="249">
        <f>_xlfn.XLOOKUP(FMS_Ranking4[[#This Row],[FMS ID]],FMS_Input[FMS_ID],FMS_Input[NRNC_COST])</f>
        <v>5000</v>
      </c>
      <c r="J417" s="250">
        <f>_xlfn.XLOOKUP(FMS_Ranking4[[#This Row],[FMS ID]],FMS_Input[FMS_ID],FMS_Input[FMS_COST])</f>
        <v>30000</v>
      </c>
      <c r="K417" s="251" t="str">
        <f>_xlfn.XLOOKUP(FMS_Ranking4[[#This Row],[FMS ID]],FMS_Input[FMS_ID],FMS_Input[EMER_NEED])</f>
        <v>No</v>
      </c>
      <c r="L417" s="252">
        <f t="shared" si="6"/>
        <v>0</v>
      </c>
      <c r="M417" s="253">
        <f>_xlfn.XLOOKUP(FMS_Ranking4[[#This Row],[FMS ID]],FMS_Input[FMS_ID],FMS_Input[STRUCT_100])</f>
        <v>96</v>
      </c>
      <c r="N417" s="255">
        <f>(ASINH(FMS_Ranking4[[#This Row],[Structure at Risk Raw]]))*(10)/(ASINH(M$4))</f>
        <v>4.1331954943555136</v>
      </c>
      <c r="O417" s="256">
        <f>FMS_Ranking4[[#This Row],[Structures at risk, ArcSinh (0-10)]]*M$5*10</f>
        <v>4.1331954943555136</v>
      </c>
      <c r="P417" s="253">
        <f>_xlfn.XLOOKUP(FMS_Ranking4[[#This Row],[FMS ID]],FMS_Input[FMS_ID],FMS_Input[RES_STRUCT100])</f>
        <v>46</v>
      </c>
      <c r="Q417" s="257">
        <f>ASINH(FMS_Ranking4[[#This Row],[Res Structure Raw]])/Q$4*P$5*100</f>
        <v>0</v>
      </c>
      <c r="R417" s="253">
        <f>_xlfn.XLOOKUP(FMS_Ranking4[[#This Row],[FMS ID]],FMS_Input[FMS_ID],FMS_Input[POP100])</f>
        <v>83</v>
      </c>
      <c r="S417" s="259">
        <f>(ASINH(FMS_Ranking4[[#This Row],[Pop at Risk Raw]]))*(10)/(ASINH(R$4))</f>
        <v>3.5291278312107477</v>
      </c>
      <c r="T417" s="256">
        <f>FMS_Ranking4[[#This Row],[Population at risk, ArcSinh (0-10)]]*R$5*10</f>
        <v>3.5291278312107477</v>
      </c>
      <c r="U417" s="253">
        <f>_xlfn.XLOOKUP(FMS_Ranking4[[#This Row],[FMS ID]],FMS_Input[FMS_ID],FMS_Input[CRITFAC100])</f>
        <v>0</v>
      </c>
      <c r="V417" s="259">
        <f>(ASINH(FMS_Ranking4[[#This Row],[Critical Facilities Raw]]))*(10)/(ASINH(U$4))</f>
        <v>0</v>
      </c>
      <c r="W417" s="256">
        <f>FMS_Ranking4[[#This Row],[Critical facilities at risk, ArcSinh (0-10)]]*U$5*10</f>
        <v>0</v>
      </c>
      <c r="X417" s="253">
        <f>_xlfn.XLOOKUP(FMS_Ranking4[[#This Row],[FMS ID]],FMS_Input[FMS_ID],FMS_Input[LWC])</f>
        <v>4</v>
      </c>
      <c r="Y417" s="259">
        <f>(ASINH(FMS_Ranking4[[#This Row],[LWC Raw]]))*(10)/(ASINH(X$4))</f>
        <v>2.8377862217928165</v>
      </c>
      <c r="Z417" s="256">
        <f>FMS_Ranking4[[#This Row],[LWC, ArcSInh (0-10)]]*X$5*10</f>
        <v>2.8377862217928169</v>
      </c>
      <c r="AA417" s="253">
        <f>_xlfn.XLOOKUP(FMS_Ranking4[[#This Row],[FMS ID]],FMS_Input[FMS_ID],FMS_Input[ROADCLS])</f>
        <v>0</v>
      </c>
      <c r="AB417" s="255">
        <f>(ASINH(FMS_Ranking4[[#This Row],[Road Closures Raw]]))*(10)/(ASINH(AA$4))</f>
        <v>0</v>
      </c>
      <c r="AC417" s="256">
        <f>FMS_Ranking4[[#This Row],[Road closures, ArcSinh (0-10)]]*AA$5*10</f>
        <v>0</v>
      </c>
      <c r="AD417" s="253">
        <f>_xlfn.XLOOKUP(FMS_Ranking4[[#This Row],[FMS ID]],FMS_Input[FMS_ID],FMS_Input[ROAD_MILES100])</f>
        <v>2</v>
      </c>
      <c r="AE417" s="259">
        <f>(ASINH(FMS_Ranking4[[#This Row],[Road Miles Raw]]))*(10)/(ASINH(AD$4))</f>
        <v>1.5385182374234352</v>
      </c>
      <c r="AF417" s="256">
        <f>FMS_Ranking4[[#This Row],[Length of roads at risk, ArcSinh (0-10)]]*AD$5*10</f>
        <v>1.5385182374234352</v>
      </c>
      <c r="AG417" s="253">
        <f>_xlfn.XLOOKUP(FMS_Ranking4[[#This Row],[FMS ID]],FMS_Input[FMS_ID],FMS_Input[FARMACRE100])</f>
        <v>0.68501776456832886</v>
      </c>
      <c r="AH417" s="255">
        <f>(ASINH(FMS_Ranking4[[#This Row],[Ag Land Raw]]))*(10)/(ASINH(AG$4))</f>
        <v>0.41595913732370382</v>
      </c>
      <c r="AI417" s="260">
        <f>FMS_Ranking4[[#This Row],[Farm &amp; ranch land, ArcSinh (0-10)]]*AG$5*10</f>
        <v>0.20797956866185191</v>
      </c>
      <c r="AJ417" s="258">
        <f>_xlfn.XLOOKUP(FMS_Ranking4[[#This Row],[FMS ID]],FMS_Input[FMS_ID],FMS_Input[REDSTRUCT100])</f>
        <v>24</v>
      </c>
      <c r="AK417" s="253">
        <f>_xlfn.XLOOKUP(FMS_Ranking4[[#This Row],[FMS ID]],FMS_Input[FMS_ID],FMS_Input[REMSTRC100])</f>
        <v>24</v>
      </c>
      <c r="AL417" s="259">
        <f>(ASINH(FMS_Ranking4[[#This Row],[Structures Removed Raw]]))*(10)/(ASINH(AK$4))</f>
        <v>4.4081325298750587</v>
      </c>
      <c r="AM417" s="262">
        <f>FMS_Ranking4[[#This Row],[Structures removed, ArcSinh (0-10)]]*AK$5*10</f>
        <v>4.4081325298750587</v>
      </c>
      <c r="AN417" s="253">
        <f>_xlfn.XLOOKUP(FMS_Ranking4[[#This Row],[FMS ID]],FMS_Input[FMS_ID],FMS_Input[REMRESSTRC100])</f>
        <v>11</v>
      </c>
      <c r="AO417" s="261">
        <f>FMS_Ranking4[[#This Row],[ArcSinh Res struct removed 0-10]]*AN$5*10</f>
        <v>1.8141863017970663</v>
      </c>
      <c r="AP417" s="260">
        <f>ASINH(FMS_Ranking4[[#This Row],[Residential Structures Removed Raw]])/AP$4*AN$5*100</f>
        <v>1.8141863017970665</v>
      </c>
      <c r="AQ417" s="254">
        <f>(ASINH(FMS_Ranking4[[#This Row],[Residential Structures Removed Raw]]))*(10)/(ASINH(AN$4))</f>
        <v>3.6283726035941326</v>
      </c>
      <c r="AR417" s="253">
        <f>_xlfn.XLOOKUP(FMS_Ranking4[[#This Row],[FMS ID]],FMS_Input[FMS_ID],FMS_Input[REMPOP100])</f>
        <v>25</v>
      </c>
      <c r="AS417" s="259">
        <f>(ASINH(FMS_Ranking4[[#This Row],[Removed Pop Raw]]))*(10)/(ASINH(AR$4))</f>
        <v>3.8405141676288128</v>
      </c>
      <c r="AT417" s="262">
        <f>FMS_Ranking4[[#This Row],[Removed population, ArcSinh (0-10)]]*AR$5*10</f>
        <v>3.8405141676288128</v>
      </c>
      <c r="AU417" s="264">
        <f>_xlfn.XLOOKUP(FMS_Ranking4[[#This Row],[FMS ID]],FMS_Input[FMS_ID],FMS_Input[REMCRITFAC100])</f>
        <v>0</v>
      </c>
      <c r="AV417" s="264">
        <f>_xlfn.XLOOKUP(FMS_Ranking4[[#This Row],[FMS ID]],FMS_Input[FMS_ID],FMS_Input[REMLWC100])</f>
        <v>1</v>
      </c>
      <c r="AW417" s="264">
        <f>_xlfn.XLOOKUP(FMS_Ranking4[[#This Row],[FMS ID]],FMS_Input[FMS_ID],FMS_Input[REMROADCLS])</f>
        <v>0</v>
      </c>
      <c r="AX417" s="264">
        <f>_xlfn.XLOOKUP(FMS_Ranking4[[#This Row],[FMS ID]],FMS_Input[FMS_ID],FMS_Input[REMFRMACRE100])</f>
        <v>0.17125444114208219</v>
      </c>
      <c r="AY417" s="258">
        <f>_xlfn.XLOOKUP(FMS_Ranking4[[#This Row],[FMS ID]],FMS_Input[FMS_ID],FMS_Input[COSTSTRUCT])</f>
        <v>25000</v>
      </c>
      <c r="AZ417" s="253">
        <f>_xlfn.XLOOKUP(FMS_Ranking4[[#This Row],[FMS ID]],FMS_Input[FMS_ID],FMS_Input[NATURE])</f>
        <v>0</v>
      </c>
      <c r="BA417" s="262">
        <f>(((FMS_Ranking4[[#This Row],[% NBS Raw]]/AZ$4)*100)*AZ$5)</f>
        <v>0</v>
      </c>
      <c r="BB417" s="251" t="str">
        <f>_xlfn.XLOOKUP(FMS_Ranking4[[#This Row],[FMS ID]],FMS_Input[FMS_ID],FMS_Input[WATER_SUP])</f>
        <v>No</v>
      </c>
      <c r="BC417" s="265">
        <f>IF(FMS_Ranking4[[#This Row],[Water Supply Raw]]="Yes",10,0)</f>
        <v>0</v>
      </c>
      <c r="BD417" s="266">
        <f>_xlfn.XLOOKUP(FMS_Ranking4[[#This Row],[FMS Type]],FMS_TYPE[FMS_Type],FMS_TYPE[Score])</f>
        <v>2</v>
      </c>
      <c r="BE417" s="267">
        <f>FMS_Ranking4[[#This Row],[FMS_Type Score]]*$BD$5*10</f>
        <v>0.5</v>
      </c>
      <c r="BF41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5.9769824754304042E-2</v>
      </c>
      <c r="BG417" s="269">
        <f>_xlfn.RANK.EQ(BF417,$BF$8:$BF$870,0)+COUNTIF($BF$8:BF417,BF417)-1</f>
        <v>542</v>
      </c>
      <c r="BH417" s="268">
        <f>(((FMS_Ranking4[[#This Row],[Structures Removed Raw]]/AK$4)*100)*AK$5)+(((FMS_Ranking4[[#This Row],[Removed Pop Raw]]/AR$4)*100)*AR$5)</f>
        <v>9.2420939861449281E-2</v>
      </c>
      <c r="BI41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0.65219076461575332</v>
      </c>
      <c r="BJ417" s="204">
        <f>_xlfn.RANK.EQ(FMS_Ranking4[[#This Row],[Total Score 
(with linear
normalization)]],FMS_Ranking4[Total Score 
(with linear
normalization)],0)</f>
        <v>811</v>
      </c>
      <c r="BK417" s="204" t="e">
        <f>_xlfn.XLOOKUP(FMS_Ranking4[[#This Row],[FMS ID]],#REF!,#REF!)</f>
        <v>#REF!</v>
      </c>
      <c r="BL417"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22.309440352745298</v>
      </c>
      <c r="BM417" s="270">
        <f>FMS_Ranking4[[#This Row],[ArcSinh Score Based on Normalized Reported Factors]]+FMS_Ranking4[[#This Row],[% NBS Score (Normalized)]]+(FMS_Ranking4[[#This Row],[Water Supply Score (Normalized)]]*10*$BB$5)+FMS_Ranking4[[#This Row],[FMS_Type Score Weighted]]</f>
        <v>22.809440352745298</v>
      </c>
      <c r="BN417" s="204">
        <f>_xlfn.RANK.EQ(FMS_Ranking4[[#This Row],[Total Score (with ArcSinh normalization of select criteria)]],FMS_Ranking4[Total Score (with ArcSinh normalization of select criteria)],0)</f>
        <v>409</v>
      </c>
      <c r="BO417" s="270" t="str">
        <f>_xlfn.XLOOKUP(FMS_Ranking4[[#This Row],[FMS ID]],FMS_Input[FMS_ID],FMS_Input[FMS_RANK_YEAR])</f>
        <v>2023 Amended Plan</v>
      </c>
      <c r="BP417" s="204">
        <f>_xlfn.XLOOKUP(FMS_Ranking4[[#This Row],[FMS ID]],Prev_Rank[FMS ID],Prev_Rank[Prev Rank])</f>
        <v>395</v>
      </c>
      <c r="BQ417" s="204" t="e">
        <f>_xlfn.XLOOKUP(FMS_Ranking4[[#This Row],[FMS ID]],#REF!,#REF!)</f>
        <v>#REF!</v>
      </c>
      <c r="BR417" s="199" t="e">
        <f>SUM(#REF!,#REF!,#REF!,#REF!,#REF!,#REF!,#REF!,#REF!,#REF!,FMS_Ranking4[[#This Row],[ArcSinh Res struct removed 0-10]],#REF!)</f>
        <v>#REF!</v>
      </c>
      <c r="BS417" s="199" t="e">
        <f>FMS_Ranking4[[#This Row],[Log Score Based on Normalized Reported Factors]]+FMS_Ranking4[[#This Row],[% NBS Score (Normalized)]]+(FMS_Ranking4[[#This Row],[Water Supply Score (Normalized)]]*10*$BB$5)+(FMS_Ranking4[[#This Row],[FMS_Type Score Weighted]])</f>
        <v>#REF!</v>
      </c>
      <c r="BT417" s="200" t="e">
        <f>_xlfn.RANK.EQ(FMS_Ranking4[[#This Row],[Log Total Score]],FMS_Ranking4[Log Total Score],0)</f>
        <v>#REF!</v>
      </c>
      <c r="BU417" s="200" t="e">
        <f>_xlfn.XLOOKUP(FMS_Ranking4[[#This Row],[FMS ID]],#REF!,#REF!)</f>
        <v>#REF!</v>
      </c>
      <c r="BV417" s="200">
        <f>FMS_Ranking4[[#This Row],[Region Number]]</f>
        <v>9</v>
      </c>
      <c r="BW417" s="200">
        <f>FMS_Ranking4[[#This Row],[Rank (with ArcSinh normalization of select criteria)]]-FMS_Ranking4[[#This Row],[Rank
(with linear
normalization)]]</f>
        <v>-402</v>
      </c>
      <c r="BX417" s="200" t="e">
        <f>FMS_Ranking4[[#This Row],[Log Rank]]-FMS_Ranking4[[#This Row],[Rank
(with linear
normalization)]]</f>
        <v>#REF!</v>
      </c>
      <c r="BY417" s="200" t="str">
        <f>IF(FMS_Ranking4[[#This Row],[FMS Type]]="Flood Measurement and Warning",FMS_Ranking4[[#This Row],[Rank (with ArcSinh normalization of select criteria)]],"")</f>
        <v/>
      </c>
      <c r="BZ417" s="200" t="str">
        <f>IF(FMS_Ranking4[[#This Row],[FMS Type]]="Regulatory and Guidance",FMS_Ranking4[[#This Row],[Rank (with ArcSinh normalization of select criteria)]],"")</f>
        <v/>
      </c>
      <c r="CA417" s="200" t="str">
        <f>IF(FMS_Ranking4[[#This Row],[FMS Type]]="Education and Outreach",FMS_Ranking4[[#This Row],[Rank (with ArcSinh normalization of select criteria)]],"")</f>
        <v/>
      </c>
      <c r="CB417" s="200" t="str">
        <f>IF(FMS_Ranking4[[#This Row],[FMS Type]]="Property Acquisition and Structural Elevation",FMS_Ranking4[[#This Row],[Rank (with ArcSinh normalization of select criteria)]],"")</f>
        <v/>
      </c>
      <c r="CC417" s="200" t="str">
        <f>IF(FMS_Ranking4[[#This Row],[FMS Type]]="Infrastructure Projects",FMS_Ranking4[[#This Row],[Rank (with ArcSinh normalization of select criteria)]],"")</f>
        <v/>
      </c>
      <c r="CD417" s="200">
        <f>IF(FMS_Ranking4[[#This Row],[FMS Type]]="Other",FMS_Ranking4[[#This Row],[Rank (with ArcSinh normalization of select criteria)]],"")</f>
        <v>409</v>
      </c>
      <c r="CE417" s="201"/>
      <c r="CF417" s="206"/>
      <c r="CG417" s="206"/>
      <c r="CH417" s="206"/>
      <c r="CI417" s="206"/>
      <c r="CJ417" s="206"/>
      <c r="CK417" s="206"/>
      <c r="CL417" s="206"/>
      <c r="CM417" s="206"/>
      <c r="CN417" s="206"/>
      <c r="CO417" s="206"/>
      <c r="CP417" s="206"/>
      <c r="CQ417" s="206"/>
      <c r="CR417" s="206"/>
    </row>
    <row r="418" spans="2:96" ht="45" x14ac:dyDescent="0.25">
      <c r="B418" s="341" t="s">
        <v>1469</v>
      </c>
      <c r="C418" s="246">
        <f>_xlfn.XLOOKUP(FMS_Ranking4[[#This Row],[FMS ID]],FMS_Input[FMS_ID],FMS_Input[RFPG_NUM])</f>
        <v>1</v>
      </c>
      <c r="D418" s="309" t="str">
        <f>_xlfn.XLOOKUP(FMS_Ranking4[[#This Row],[FMS ID]],FMS_Input[FMS_ID],FMS_Input[FMS_NAME])</f>
        <v>City of Canyon Flood Warning Gages </v>
      </c>
      <c r="E418" s="308" t="str">
        <f>_xlfn.XLOOKUP(FMS_Ranking4[[#This Row],[FMS ID]],FMS_Input[FMS_ID],FMS_Input[SPONSOR])</f>
        <v>01003426, 01000243</v>
      </c>
      <c r="F418" s="309" t="str">
        <f>_xlfn.XLOOKUP(FMS_Ranking4[[#This Row],[FMS ID]],Sponsor[FMS_ID],Sponsor[SPONSOR NAME])</f>
        <v>Canyon, Randall</v>
      </c>
      <c r="G418" s="309" t="str">
        <f>_xlfn.XLOOKUP(FMS_Ranking4[[#This Row],[FMS ID]],FMS_Input[FMS_ID],FMS_Input[FMS_DESCR])</f>
        <v>Install flood warning gages to protect Canyon citizens and downstream communities</v>
      </c>
      <c r="H418" s="248" t="str">
        <f>_xlfn.XLOOKUP(FMS_Ranking4[[#This Row],[FMS ID]],FMS_Input[FMS_ID],FMS_Input[FMS_TYPE])</f>
        <v>Flood Measurement and Warning</v>
      </c>
      <c r="I418" s="249">
        <f>_xlfn.XLOOKUP(FMS_Ranking4[[#This Row],[FMS ID]],FMS_Input[FMS_ID],FMS_Input[NRNC_COST])</f>
        <v>50000</v>
      </c>
      <c r="J418" s="250">
        <f>_xlfn.XLOOKUP(FMS_Ranking4[[#This Row],[FMS ID]],FMS_Input[FMS_ID],FMS_Input[FMS_COST])</f>
        <v>250000</v>
      </c>
      <c r="K418" s="251" t="str">
        <f>_xlfn.XLOOKUP(FMS_Ranking4[[#This Row],[FMS ID]],FMS_Input[FMS_ID],FMS_Input[EMER_NEED])</f>
        <v>No</v>
      </c>
      <c r="L418" s="252">
        <f t="shared" si="6"/>
        <v>0</v>
      </c>
      <c r="M418" s="253">
        <f>_xlfn.XLOOKUP(FMS_Ranking4[[#This Row],[FMS ID]],FMS_Input[FMS_ID],FMS_Input[STRUCT_100])</f>
        <v>206</v>
      </c>
      <c r="N418" s="255">
        <f>(ASINH(FMS_Ranking4[[#This Row],[Structure at Risk Raw]]))*(10)/(ASINH(M$4))</f>
        <v>4.7334254754750607</v>
      </c>
      <c r="O418" s="256">
        <f>FMS_Ranking4[[#This Row],[Structures at risk, ArcSinh (0-10)]]*M$5*10</f>
        <v>4.7334254754750607</v>
      </c>
      <c r="P418" s="253">
        <f>_xlfn.XLOOKUP(FMS_Ranking4[[#This Row],[FMS ID]],FMS_Input[FMS_ID],FMS_Input[RES_STRUCT100])</f>
        <v>193</v>
      </c>
      <c r="Q418" s="257">
        <f>ASINH(FMS_Ranking4[[#This Row],[Res Structure Raw]])/Q$4*P$5*100</f>
        <v>0</v>
      </c>
      <c r="R418" s="253">
        <f>_xlfn.XLOOKUP(FMS_Ranking4[[#This Row],[FMS ID]],FMS_Input[FMS_ID],FMS_Input[POP100])</f>
        <v>823</v>
      </c>
      <c r="S418" s="259">
        <f>(ASINH(FMS_Ranking4[[#This Row],[Pop at Risk Raw]]))*(10)/(ASINH(R$4))</f>
        <v>5.1128645868941511</v>
      </c>
      <c r="T418" s="256">
        <f>FMS_Ranking4[[#This Row],[Population at risk, ArcSinh (0-10)]]*R$5*10</f>
        <v>5.1128645868941511</v>
      </c>
      <c r="U418" s="253">
        <f>_xlfn.XLOOKUP(FMS_Ranking4[[#This Row],[FMS ID]],FMS_Input[FMS_ID],FMS_Input[CRITFAC100])</f>
        <v>0</v>
      </c>
      <c r="V418" s="259">
        <f>(ASINH(FMS_Ranking4[[#This Row],[Critical Facilities Raw]]))*(10)/(ASINH(U$4))</f>
        <v>0</v>
      </c>
      <c r="W418" s="256">
        <f>FMS_Ranking4[[#This Row],[Critical facilities at risk, ArcSinh (0-10)]]*U$5*10</f>
        <v>0</v>
      </c>
      <c r="X418" s="253">
        <f>_xlfn.XLOOKUP(FMS_Ranking4[[#This Row],[FMS ID]],FMS_Input[FMS_ID],FMS_Input[LWC])</f>
        <v>7</v>
      </c>
      <c r="Y418" s="259">
        <f>(ASINH(FMS_Ranking4[[#This Row],[LWC Raw]]))*(10)/(ASINH(X$4))</f>
        <v>3.5820902845593281</v>
      </c>
      <c r="Z418" s="256">
        <f>FMS_Ranking4[[#This Row],[LWC, ArcSInh (0-10)]]*X$5*10</f>
        <v>3.5820902845593281</v>
      </c>
      <c r="AA418" s="253">
        <f>_xlfn.XLOOKUP(FMS_Ranking4[[#This Row],[FMS ID]],FMS_Input[FMS_ID],FMS_Input[ROADCLS])</f>
        <v>7</v>
      </c>
      <c r="AB418" s="255">
        <f>(ASINH(FMS_Ranking4[[#This Row],[Road Closures Raw]]))*(10)/(ASINH(AA$4))</f>
        <v>2.7536090869991607</v>
      </c>
      <c r="AC418" s="256">
        <f>FMS_Ranking4[[#This Row],[Road closures, ArcSinh (0-10)]]*AA$5*10</f>
        <v>1.3768045434995804</v>
      </c>
      <c r="AD418" s="253">
        <f>_xlfn.XLOOKUP(FMS_Ranking4[[#This Row],[FMS ID]],FMS_Input[FMS_ID],FMS_Input[ROAD_MILES100])</f>
        <v>15</v>
      </c>
      <c r="AE418" s="259">
        <f>(ASINH(FMS_Ranking4[[#This Row],[Road Miles Raw]]))*(10)/(ASINH(AD$4))</f>
        <v>3.625922827042257</v>
      </c>
      <c r="AF418" s="256">
        <f>FMS_Ranking4[[#This Row],[Length of roads at risk, ArcSinh (0-10)]]*AD$5*10</f>
        <v>3.625922827042257</v>
      </c>
      <c r="AG418" s="253">
        <f>_xlfn.XLOOKUP(FMS_Ranking4[[#This Row],[FMS ID]],FMS_Input[FMS_ID],FMS_Input[FARMACRE100])</f>
        <v>150.2604675292969</v>
      </c>
      <c r="AH418" s="255">
        <f>(ASINH(FMS_Ranking4[[#This Row],[Ag Land Raw]]))*(10)/(ASINH(AG$4))</f>
        <v>3.7062055806677261</v>
      </c>
      <c r="AI418" s="260">
        <f>FMS_Ranking4[[#This Row],[Farm &amp; ranch land, ArcSinh (0-10)]]*AG$5*10</f>
        <v>1.853102790333863</v>
      </c>
      <c r="AJ418" s="258">
        <f>_xlfn.XLOOKUP(FMS_Ranking4[[#This Row],[FMS ID]],FMS_Input[FMS_ID],FMS_Input[REDSTRUCT100])</f>
        <v>0</v>
      </c>
      <c r="AK418" s="253">
        <f>_xlfn.XLOOKUP(FMS_Ranking4[[#This Row],[FMS ID]],FMS_Input[FMS_ID],FMS_Input[REMSTRC100])</f>
        <v>0</v>
      </c>
      <c r="AL418" s="259">
        <f>(ASINH(FMS_Ranking4[[#This Row],[Structures Removed Raw]]))*(10)/(ASINH(AK$4))</f>
        <v>0</v>
      </c>
      <c r="AM418" s="262">
        <f>FMS_Ranking4[[#This Row],[Structures removed, ArcSinh (0-10)]]*AK$5*10</f>
        <v>0</v>
      </c>
      <c r="AN418" s="253">
        <f>_xlfn.XLOOKUP(FMS_Ranking4[[#This Row],[FMS ID]],FMS_Input[FMS_ID],FMS_Input[REMRESSTRC100])</f>
        <v>0</v>
      </c>
      <c r="AO418" s="261">
        <f>FMS_Ranking4[[#This Row],[ArcSinh Res struct removed 0-10]]*AN$5*10</f>
        <v>0</v>
      </c>
      <c r="AP418" s="260">
        <f>ASINH(FMS_Ranking4[[#This Row],[Residential Structures Removed Raw]])/AP$4*AN$5*100</f>
        <v>0</v>
      </c>
      <c r="AQ418" s="254">
        <f>(ASINH(FMS_Ranking4[[#This Row],[Residential Structures Removed Raw]]))*(10)/(ASINH(AN$4))</f>
        <v>0</v>
      </c>
      <c r="AR418" s="253">
        <f>_xlfn.XLOOKUP(FMS_Ranking4[[#This Row],[FMS ID]],FMS_Input[FMS_ID],FMS_Input[REMPOP100])</f>
        <v>0</v>
      </c>
      <c r="AS418" s="259">
        <f>(ASINH(FMS_Ranking4[[#This Row],[Removed Pop Raw]]))*(10)/(ASINH(AR$4))</f>
        <v>0</v>
      </c>
      <c r="AT418" s="262">
        <f>FMS_Ranking4[[#This Row],[Removed population, ArcSinh (0-10)]]*AR$5*10</f>
        <v>0</v>
      </c>
      <c r="AU418" s="264">
        <f>_xlfn.XLOOKUP(FMS_Ranking4[[#This Row],[FMS ID]],FMS_Input[FMS_ID],FMS_Input[REMCRITFAC100])</f>
        <v>0</v>
      </c>
      <c r="AV418" s="264">
        <f>_xlfn.XLOOKUP(FMS_Ranking4[[#This Row],[FMS ID]],FMS_Input[FMS_ID],FMS_Input[REMLWC100])</f>
        <v>0</v>
      </c>
      <c r="AW418" s="264">
        <f>_xlfn.XLOOKUP(FMS_Ranking4[[#This Row],[FMS ID]],FMS_Input[FMS_ID],FMS_Input[REMROADCLS])</f>
        <v>0</v>
      </c>
      <c r="AX418" s="264">
        <f>_xlfn.XLOOKUP(FMS_Ranking4[[#This Row],[FMS ID]],FMS_Input[FMS_ID],FMS_Input[REMFRMACRE100])</f>
        <v>0</v>
      </c>
      <c r="AY418" s="258">
        <f>_xlfn.XLOOKUP(FMS_Ranking4[[#This Row],[FMS ID]],FMS_Input[FMS_ID],FMS_Input[COSTSTRUCT])</f>
        <v>0</v>
      </c>
      <c r="AZ418" s="253">
        <f>_xlfn.XLOOKUP(FMS_Ranking4[[#This Row],[FMS ID]],FMS_Input[FMS_ID],FMS_Input[NATURE])</f>
        <v>0</v>
      </c>
      <c r="BA418" s="262">
        <f>(((FMS_Ranking4[[#This Row],[% NBS Raw]]/AZ$4)*100)*AZ$5)</f>
        <v>0</v>
      </c>
      <c r="BB418" s="251" t="str">
        <f>_xlfn.XLOOKUP(FMS_Ranking4[[#This Row],[FMS ID]],FMS_Input[FMS_ID],FMS_Input[WATER_SUP])</f>
        <v>No</v>
      </c>
      <c r="BC418" s="265">
        <f>IF(FMS_Ranking4[[#This Row],[Water Supply Raw]]="Yes",10,0)</f>
        <v>0</v>
      </c>
      <c r="BD418" s="266">
        <f>_xlfn.XLOOKUP(FMS_Ranking4[[#This Row],[FMS Type]],FMS_TYPE[FMS_Type],FMS_TYPE[Score])</f>
        <v>10</v>
      </c>
      <c r="BE418" s="267">
        <f>FMS_Ranking4[[#This Row],[FMS_Type Score]]*$BD$5*10</f>
        <v>2.5</v>
      </c>
      <c r="BF41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0.13819202851274909</v>
      </c>
      <c r="BG418" s="271">
        <f>_xlfn.RANK.EQ(BF418,$BF$8:$BF$870,0)+COUNTIF($BF$8:BF418,BF418)-1</f>
        <v>414</v>
      </c>
      <c r="BH418" s="268">
        <f>(((FMS_Ranking4[[#This Row],[Structures Removed Raw]]/AK$4)*100)*AK$5)+(((FMS_Ranking4[[#This Row],[Removed Pop Raw]]/AR$4)*100)*AR$5)</f>
        <v>0</v>
      </c>
      <c r="BI41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2.6381920285127491</v>
      </c>
      <c r="BJ418" s="205">
        <f>_xlfn.RANK.EQ(FMS_Ranking4[[#This Row],[Total Score 
(with linear
normalization)]],FMS_Ranking4[Total Score 
(with linear
normalization)],0)</f>
        <v>216</v>
      </c>
      <c r="BK418" s="205" t="e">
        <f>_xlfn.XLOOKUP(FMS_Ranking4[[#This Row],[FMS ID]],#REF!,#REF!)</f>
        <v>#REF!</v>
      </c>
      <c r="BL41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20.284210507804239</v>
      </c>
      <c r="BM418" s="272">
        <f>FMS_Ranking4[[#This Row],[ArcSinh Score Based on Normalized Reported Factors]]+FMS_Ranking4[[#This Row],[% NBS Score (Normalized)]]+(FMS_Ranking4[[#This Row],[Water Supply Score (Normalized)]]*10*$BB$5)+FMS_Ranking4[[#This Row],[FMS_Type Score Weighted]]</f>
        <v>22.784210507804239</v>
      </c>
      <c r="BN418" s="205">
        <f>_xlfn.RANK.EQ(FMS_Ranking4[[#This Row],[Total Score (with ArcSinh normalization of select criteria)]],FMS_Ranking4[Total Score (with ArcSinh normalization of select criteria)],0)</f>
        <v>411</v>
      </c>
      <c r="BO418" s="270" t="str">
        <f>_xlfn.XLOOKUP(FMS_Ranking4[[#This Row],[FMS ID]],FMS_Input[FMS_ID],FMS_Input[FMS_RANK_YEAR])</f>
        <v>2023 Amended Plan</v>
      </c>
      <c r="BP418" s="204">
        <f>_xlfn.XLOOKUP(FMS_Ranking4[[#This Row],[FMS ID]],Prev_Rank[FMS ID],Prev_Rank[Prev Rank])</f>
        <v>359</v>
      </c>
      <c r="BQ418" s="205" t="e">
        <f>_xlfn.XLOOKUP(FMS_Ranking4[[#This Row],[FMS ID]],#REF!,#REF!)</f>
        <v>#REF!</v>
      </c>
      <c r="BR418" s="199" t="e">
        <f>SUM(#REF!,#REF!,#REF!,#REF!,#REF!,#REF!,#REF!,#REF!,#REF!,FMS_Ranking4[[#This Row],[ArcSinh Res struct removed 0-10]],#REF!)</f>
        <v>#REF!</v>
      </c>
      <c r="BS418" s="199" t="e">
        <f>FMS_Ranking4[[#This Row],[Log Score Based on Normalized Reported Factors]]+FMS_Ranking4[[#This Row],[% NBS Score (Normalized)]]+(FMS_Ranking4[[#This Row],[Water Supply Score (Normalized)]]*10*$BB$5)+(FMS_Ranking4[[#This Row],[FMS_Type Score Weighted]])</f>
        <v>#REF!</v>
      </c>
      <c r="BT418" s="200" t="e">
        <f>_xlfn.RANK.EQ(FMS_Ranking4[[#This Row],[Log Total Score]],FMS_Ranking4[Log Total Score],0)</f>
        <v>#REF!</v>
      </c>
      <c r="BU418" s="200" t="e">
        <f>_xlfn.XLOOKUP(FMS_Ranking4[[#This Row],[FMS ID]],#REF!,#REF!)</f>
        <v>#REF!</v>
      </c>
      <c r="BV418" s="200">
        <f>FMS_Ranking4[[#This Row],[Region Number]]</f>
        <v>1</v>
      </c>
      <c r="BW418" s="200">
        <f>FMS_Ranking4[[#This Row],[Rank (with ArcSinh normalization of select criteria)]]-FMS_Ranking4[[#This Row],[Rank
(with linear
normalization)]]</f>
        <v>195</v>
      </c>
      <c r="BX418" s="200" t="e">
        <f>FMS_Ranking4[[#This Row],[Log Rank]]-FMS_Ranking4[[#This Row],[Rank
(with linear
normalization)]]</f>
        <v>#REF!</v>
      </c>
      <c r="BY418" s="200">
        <f>IF(FMS_Ranking4[[#This Row],[FMS Type]]="Flood Measurement and Warning",FMS_Ranking4[[#This Row],[Rank (with ArcSinh normalization of select criteria)]],"")</f>
        <v>411</v>
      </c>
      <c r="BZ418" s="200" t="str">
        <f>IF(FMS_Ranking4[[#This Row],[FMS Type]]="Regulatory and Guidance",FMS_Ranking4[[#This Row],[Rank (with ArcSinh normalization of select criteria)]],"")</f>
        <v/>
      </c>
      <c r="CA418" s="200" t="str">
        <f>IF(FMS_Ranking4[[#This Row],[FMS Type]]="Education and Outreach",FMS_Ranking4[[#This Row],[Rank (with ArcSinh normalization of select criteria)]],"")</f>
        <v/>
      </c>
      <c r="CB418" s="200" t="str">
        <f>IF(FMS_Ranking4[[#This Row],[FMS Type]]="Property Acquisition and Structural Elevation",FMS_Ranking4[[#This Row],[Rank (with ArcSinh normalization of select criteria)]],"")</f>
        <v/>
      </c>
      <c r="CC418" s="200" t="str">
        <f>IF(FMS_Ranking4[[#This Row],[FMS Type]]="Infrastructure Projects",FMS_Ranking4[[#This Row],[Rank (with ArcSinh normalization of select criteria)]],"")</f>
        <v/>
      </c>
      <c r="CD418" s="200" t="str">
        <f>IF(FMS_Ranking4[[#This Row],[FMS Type]]="Other",FMS_Ranking4[[#This Row],[Rank (with ArcSinh normalization of select criteria)]],"")</f>
        <v/>
      </c>
      <c r="CE418" s="201"/>
      <c r="CF418" s="206"/>
      <c r="CG418" s="206"/>
      <c r="CH418" s="206"/>
      <c r="CI418" s="206"/>
      <c r="CJ418" s="206"/>
      <c r="CK418" s="206"/>
      <c r="CL418" s="206"/>
      <c r="CM418" s="206"/>
      <c r="CN418" s="206"/>
      <c r="CO418" s="206"/>
      <c r="CP418" s="206"/>
      <c r="CQ418" s="206"/>
      <c r="CR418" s="206"/>
    </row>
    <row r="419" spans="2:96" ht="60" x14ac:dyDescent="0.25">
      <c r="B419" s="341" t="s">
        <v>4851</v>
      </c>
      <c r="C419" s="246">
        <f>_xlfn.XLOOKUP(FMS_Ranking4[[#This Row],[FMS ID]],FMS_Input[FMS_ID],FMS_Input[RFPG_NUM])</f>
        <v>4</v>
      </c>
      <c r="D419" s="309" t="str">
        <f>_xlfn.XLOOKUP(FMS_Ranking4[[#This Row],[FMS ID]],FMS_Input[FMS_ID],FMS_Input[FMS_NAME])</f>
        <v>City of Royse City Floodplain Management Ordinances</v>
      </c>
      <c r="E419" s="308" t="str">
        <f>_xlfn.XLOOKUP(FMS_Ranking4[[#This Row],[FMS ID]],FMS_Input[FMS_ID],FMS_Input[SPONSOR])</f>
        <v>04003312</v>
      </c>
      <c r="F419" s="309" t="str">
        <f>_xlfn.XLOOKUP(FMS_Ranking4[[#This Row],[FMS ID]],Sponsor[FMS_ID],Sponsor[SPONSOR NAME])</f>
        <v>Royse City</v>
      </c>
      <c r="G419" s="309" t="str">
        <f>_xlfn.XLOOKUP(FMS_Ranking4[[#This Row],[FMS ID]],FMS_Input[FMS_ID],FMS_Input[FMS_DESCR])</f>
        <v xml:space="preserve">Update Flood Prevention ordinance, adopting a “no-rise” in Base Flood Elevation in the 100-year floodplain. </v>
      </c>
      <c r="H419" s="248" t="str">
        <f>_xlfn.XLOOKUP(FMS_Ranking4[[#This Row],[FMS ID]],FMS_Input[FMS_ID],FMS_Input[FMS_TYPE])</f>
        <v>Regulatory and Guidance</v>
      </c>
      <c r="I419" s="249">
        <f>_xlfn.XLOOKUP(FMS_Ranking4[[#This Row],[FMS ID]],FMS_Input[FMS_ID],FMS_Input[NRNC_COST])</f>
        <v>10000</v>
      </c>
      <c r="J419" s="250">
        <f>_xlfn.XLOOKUP(FMS_Ranking4[[#This Row],[FMS ID]],FMS_Input[FMS_ID],FMS_Input[FMS_COST])</f>
        <v>10000</v>
      </c>
      <c r="K419" s="251" t="str">
        <f>_xlfn.XLOOKUP(FMS_Ranking4[[#This Row],[FMS ID]],FMS_Input[FMS_ID],FMS_Input[EMER_NEED])</f>
        <v>No</v>
      </c>
      <c r="L419" s="252">
        <f t="shared" si="6"/>
        <v>0</v>
      </c>
      <c r="M419" s="253">
        <f>_xlfn.XLOOKUP(FMS_Ranking4[[#This Row],[FMS ID]],FMS_Input[FMS_ID],FMS_Input[STRUCT_100])</f>
        <v>131</v>
      </c>
      <c r="N419" s="255">
        <f>(ASINH(FMS_Ranking4[[#This Row],[Structure at Risk Raw]]))*(10)/(ASINH(M$4))</f>
        <v>4.3775593228435854</v>
      </c>
      <c r="O419" s="256">
        <f>FMS_Ranking4[[#This Row],[Structures at risk, ArcSinh (0-10)]]*M$5*10</f>
        <v>4.3775593228435854</v>
      </c>
      <c r="P419" s="253">
        <f>_xlfn.XLOOKUP(FMS_Ranking4[[#This Row],[FMS ID]],FMS_Input[FMS_ID],FMS_Input[RES_STRUCT100])</f>
        <v>92</v>
      </c>
      <c r="Q419" s="257">
        <f>ASINH(FMS_Ranking4[[#This Row],[Res Structure Raw]])/Q$4*P$5*100</f>
        <v>0</v>
      </c>
      <c r="R419" s="253">
        <f>_xlfn.XLOOKUP(FMS_Ranking4[[#This Row],[FMS ID]],FMS_Input[FMS_ID],FMS_Input[POP100])</f>
        <v>424</v>
      </c>
      <c r="S419" s="259">
        <f>(ASINH(FMS_Ranking4[[#This Row],[Pop at Risk Raw]]))*(10)/(ASINH(R$4))</f>
        <v>4.6550040194718569</v>
      </c>
      <c r="T419" s="256">
        <f>FMS_Ranking4[[#This Row],[Population at risk, ArcSinh (0-10)]]*R$5*10</f>
        <v>4.6550040194718569</v>
      </c>
      <c r="U419" s="253">
        <f>_xlfn.XLOOKUP(FMS_Ranking4[[#This Row],[FMS ID]],FMS_Input[FMS_ID],FMS_Input[CRITFAC100])</f>
        <v>0</v>
      </c>
      <c r="V419" s="259">
        <f>(ASINH(FMS_Ranking4[[#This Row],[Critical Facilities Raw]]))*(10)/(ASINH(U$4))</f>
        <v>0</v>
      </c>
      <c r="W419" s="256">
        <f>FMS_Ranking4[[#This Row],[Critical facilities at risk, ArcSinh (0-10)]]*U$5*10</f>
        <v>0</v>
      </c>
      <c r="X419" s="253">
        <f>_xlfn.XLOOKUP(FMS_Ranking4[[#This Row],[FMS ID]],FMS_Input[FMS_ID],FMS_Input[LWC])</f>
        <v>8</v>
      </c>
      <c r="Y419" s="259">
        <f>(ASINH(FMS_Ranking4[[#This Row],[LWC Raw]]))*(10)/(ASINH(X$4))</f>
        <v>3.7613918882232862</v>
      </c>
      <c r="Z419" s="256">
        <f>FMS_Ranking4[[#This Row],[LWC, ArcSInh (0-10)]]*X$5*10</f>
        <v>3.7613918882232866</v>
      </c>
      <c r="AA419" s="253">
        <f>_xlfn.XLOOKUP(FMS_Ranking4[[#This Row],[FMS ID]],FMS_Input[FMS_ID],FMS_Input[ROADCLS])</f>
        <v>8</v>
      </c>
      <c r="AB419" s="255">
        <f>(ASINH(FMS_Ranking4[[#This Row],[Road Closures Raw]]))*(10)/(ASINH(AA$4))</f>
        <v>2.8914410470954248</v>
      </c>
      <c r="AC419" s="256">
        <f>FMS_Ranking4[[#This Row],[Road closures, ArcSinh (0-10)]]*AA$5*10</f>
        <v>1.4457205235477124</v>
      </c>
      <c r="AD419" s="253">
        <f>_xlfn.XLOOKUP(FMS_Ranking4[[#This Row],[FMS ID]],FMS_Input[FMS_ID],FMS_Input[ROAD_MILES100])</f>
        <v>19</v>
      </c>
      <c r="AE419" s="259">
        <f>(ASINH(FMS_Ranking4[[#This Row],[Road Miles Raw]]))*(10)/(ASINH(AD$4))</f>
        <v>3.877403329266758</v>
      </c>
      <c r="AF419" s="256">
        <f>FMS_Ranking4[[#This Row],[Length of roads at risk, ArcSinh (0-10)]]*AD$5*10</f>
        <v>3.877403329266758</v>
      </c>
      <c r="AG419" s="253">
        <f>_xlfn.XLOOKUP(FMS_Ranking4[[#This Row],[FMS ID]],FMS_Input[FMS_ID],FMS_Input[FARMACRE100])</f>
        <v>1450.973022460938</v>
      </c>
      <c r="AH419" s="255">
        <f>(ASINH(FMS_Ranking4[[#This Row],[Ag Land Raw]]))*(10)/(ASINH(AG$4))</f>
        <v>5.1792020212968035</v>
      </c>
      <c r="AI419" s="260">
        <f>FMS_Ranking4[[#This Row],[Farm &amp; ranch land, ArcSinh (0-10)]]*AG$5*10</f>
        <v>2.5896010106484018</v>
      </c>
      <c r="AJ419" s="258">
        <f>_xlfn.XLOOKUP(FMS_Ranking4[[#This Row],[FMS ID]],FMS_Input[FMS_ID],FMS_Input[REDSTRUCT100])</f>
        <v>0</v>
      </c>
      <c r="AK419" s="253">
        <f>_xlfn.XLOOKUP(FMS_Ranking4[[#This Row],[FMS ID]],FMS_Input[FMS_ID],FMS_Input[REMSTRC100])</f>
        <v>0</v>
      </c>
      <c r="AL419" s="259">
        <f>(ASINH(FMS_Ranking4[[#This Row],[Structures Removed Raw]]))*(10)/(ASINH(AK$4))</f>
        <v>0</v>
      </c>
      <c r="AM419" s="262">
        <f>FMS_Ranking4[[#This Row],[Structures removed, ArcSinh (0-10)]]*AK$5*10</f>
        <v>0</v>
      </c>
      <c r="AN419" s="253">
        <f>_xlfn.XLOOKUP(FMS_Ranking4[[#This Row],[FMS ID]],FMS_Input[FMS_ID],FMS_Input[REMRESSTRC100])</f>
        <v>0</v>
      </c>
      <c r="AO419" s="261">
        <f>FMS_Ranking4[[#This Row],[ArcSinh Res struct removed 0-10]]*AN$5*10</f>
        <v>0</v>
      </c>
      <c r="AP419" s="260">
        <f>ASINH(FMS_Ranking4[[#This Row],[Residential Structures Removed Raw]])/AP$4*AN$5*100</f>
        <v>0</v>
      </c>
      <c r="AQ419" s="254">
        <f>(ASINH(FMS_Ranking4[[#This Row],[Residential Structures Removed Raw]]))*(10)/(ASINH(AN$4))</f>
        <v>0</v>
      </c>
      <c r="AR419" s="253">
        <f>_xlfn.XLOOKUP(FMS_Ranking4[[#This Row],[FMS ID]],FMS_Input[FMS_ID],FMS_Input[REMPOP100])</f>
        <v>0</v>
      </c>
      <c r="AS419" s="259">
        <f>(ASINH(FMS_Ranking4[[#This Row],[Removed Pop Raw]]))*(10)/(ASINH(AR$4))</f>
        <v>0</v>
      </c>
      <c r="AT419" s="262">
        <f>FMS_Ranking4[[#This Row],[Removed population, ArcSinh (0-10)]]*AR$5*10</f>
        <v>0</v>
      </c>
      <c r="AU419" s="264">
        <f>_xlfn.XLOOKUP(FMS_Ranking4[[#This Row],[FMS ID]],FMS_Input[FMS_ID],FMS_Input[REMCRITFAC100])</f>
        <v>0</v>
      </c>
      <c r="AV419" s="264">
        <f>_xlfn.XLOOKUP(FMS_Ranking4[[#This Row],[FMS ID]],FMS_Input[FMS_ID],FMS_Input[REMLWC100])</f>
        <v>0</v>
      </c>
      <c r="AW419" s="264">
        <f>_xlfn.XLOOKUP(FMS_Ranking4[[#This Row],[FMS ID]],FMS_Input[FMS_ID],FMS_Input[REMROADCLS])</f>
        <v>0</v>
      </c>
      <c r="AX419" s="264">
        <f>_xlfn.XLOOKUP(FMS_Ranking4[[#This Row],[FMS ID]],FMS_Input[FMS_ID],FMS_Input[REMFRMACRE100])</f>
        <v>0</v>
      </c>
      <c r="AY419" s="258">
        <f>_xlfn.XLOOKUP(FMS_Ranking4[[#This Row],[FMS ID]],FMS_Input[FMS_ID],FMS_Input[COSTSTRUCT])</f>
        <v>0</v>
      </c>
      <c r="AZ419" s="253">
        <f>_xlfn.XLOOKUP(FMS_Ranking4[[#This Row],[FMS ID]],FMS_Input[FMS_ID],FMS_Input[NATURE])</f>
        <v>0</v>
      </c>
      <c r="BA419" s="262">
        <f>(((FMS_Ranking4[[#This Row],[% NBS Raw]]/AZ$4)*100)*AZ$5)</f>
        <v>0</v>
      </c>
      <c r="BB419" s="251" t="str">
        <f>_xlfn.XLOOKUP(FMS_Ranking4[[#This Row],[FMS ID]],FMS_Input[FMS_ID],FMS_Input[WATER_SUP])</f>
        <v>No</v>
      </c>
      <c r="BC419" s="265">
        <f>IF(FMS_Ranking4[[#This Row],[Water Supply Raw]]="Yes",10,0)</f>
        <v>0</v>
      </c>
      <c r="BD419" s="266">
        <f>_xlfn.XLOOKUP(FMS_Ranking4[[#This Row],[FMS Type]],FMS_TYPE[FMS_Type],FMS_TYPE[Score])</f>
        <v>8</v>
      </c>
      <c r="BE419" s="267">
        <f>FMS_Ranking4[[#This Row],[FMS_Type Score]]*$BD$5*10</f>
        <v>2</v>
      </c>
      <c r="BF41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0.15216268954814127</v>
      </c>
      <c r="BG419" s="271">
        <f>_xlfn.RANK.EQ(BF419,$BF$8:$BF$870,0)+COUNTIF($BF$8:BF419,BF419)-1</f>
        <v>405</v>
      </c>
      <c r="BH419" s="268">
        <f>(((FMS_Ranking4[[#This Row],[Structures Removed Raw]]/AK$4)*100)*AK$5)+(((FMS_Ranking4[[#This Row],[Removed Pop Raw]]/AR$4)*100)*AR$5)</f>
        <v>0</v>
      </c>
      <c r="BI41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2.1521626895481414</v>
      </c>
      <c r="BJ419" s="205">
        <f>_xlfn.RANK.EQ(FMS_Ranking4[[#This Row],[Total Score 
(with linear
normalization)]],FMS_Ranking4[Total Score 
(with linear
normalization)],0)</f>
        <v>339</v>
      </c>
      <c r="BK419" s="205" t="e">
        <f>_xlfn.XLOOKUP(FMS_Ranking4[[#This Row],[FMS ID]],#REF!,#REF!)</f>
        <v>#REF!</v>
      </c>
      <c r="BL41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20.706680094001602</v>
      </c>
      <c r="BM419" s="272">
        <f>FMS_Ranking4[[#This Row],[ArcSinh Score Based on Normalized Reported Factors]]+FMS_Ranking4[[#This Row],[% NBS Score (Normalized)]]+(FMS_Ranking4[[#This Row],[Water Supply Score (Normalized)]]*10*$BB$5)+FMS_Ranking4[[#This Row],[FMS_Type Score Weighted]]</f>
        <v>22.706680094001602</v>
      </c>
      <c r="BN419" s="205">
        <f>_xlfn.RANK.EQ(FMS_Ranking4[[#This Row],[Total Score (with ArcSinh normalization of select criteria)]],FMS_Ranking4[Total Score (with ArcSinh normalization of select criteria)],0)</f>
        <v>412</v>
      </c>
      <c r="BO419" s="270" t="str">
        <f>_xlfn.XLOOKUP(FMS_Ranking4[[#This Row],[FMS ID]],FMS_Input[FMS_ID],FMS_Input[FMS_RANK_YEAR])</f>
        <v>2023 Amended Plan</v>
      </c>
      <c r="BP419" s="204">
        <f>_xlfn.XLOOKUP(FMS_Ranking4[[#This Row],[FMS ID]],Prev_Rank[FMS ID],Prev_Rank[Prev Rank])</f>
        <v>364</v>
      </c>
      <c r="BQ419" s="205" t="e">
        <f>_xlfn.XLOOKUP(FMS_Ranking4[[#This Row],[FMS ID]],#REF!,#REF!)</f>
        <v>#REF!</v>
      </c>
      <c r="BR419" s="199" t="e">
        <f>SUM(#REF!,#REF!,#REF!,#REF!,#REF!,#REF!,#REF!,#REF!,#REF!,FMS_Ranking4[[#This Row],[ArcSinh Res struct removed 0-10]],#REF!)</f>
        <v>#REF!</v>
      </c>
      <c r="BS419" s="199" t="e">
        <f>FMS_Ranking4[[#This Row],[Log Score Based on Normalized Reported Factors]]+FMS_Ranking4[[#This Row],[% NBS Score (Normalized)]]+(FMS_Ranking4[[#This Row],[Water Supply Score (Normalized)]]*10*$BB$5)+(FMS_Ranking4[[#This Row],[FMS_Type Score Weighted]])</f>
        <v>#REF!</v>
      </c>
      <c r="BT419" s="200" t="e">
        <f>_xlfn.RANK.EQ(FMS_Ranking4[[#This Row],[Log Total Score]],FMS_Ranking4[Log Total Score],0)</f>
        <v>#REF!</v>
      </c>
      <c r="BU419" s="200" t="e">
        <f>_xlfn.XLOOKUP(FMS_Ranking4[[#This Row],[FMS ID]],#REF!,#REF!)</f>
        <v>#REF!</v>
      </c>
      <c r="BV419" s="200">
        <f>FMS_Ranking4[[#This Row],[Region Number]]</f>
        <v>4</v>
      </c>
      <c r="BW419" s="200">
        <f>FMS_Ranking4[[#This Row],[Rank (with ArcSinh normalization of select criteria)]]-FMS_Ranking4[[#This Row],[Rank
(with linear
normalization)]]</f>
        <v>73</v>
      </c>
      <c r="BX419" s="200" t="e">
        <f>FMS_Ranking4[[#This Row],[Log Rank]]-FMS_Ranking4[[#This Row],[Rank
(with linear
normalization)]]</f>
        <v>#REF!</v>
      </c>
      <c r="BY419" s="200" t="str">
        <f>IF(FMS_Ranking4[[#This Row],[FMS Type]]="Flood Measurement and Warning",FMS_Ranking4[[#This Row],[Rank (with ArcSinh normalization of select criteria)]],"")</f>
        <v/>
      </c>
      <c r="BZ419" s="200">
        <f>IF(FMS_Ranking4[[#This Row],[FMS Type]]="Regulatory and Guidance",FMS_Ranking4[[#This Row],[Rank (with ArcSinh normalization of select criteria)]],"")</f>
        <v>412</v>
      </c>
      <c r="CA419" s="200" t="str">
        <f>IF(FMS_Ranking4[[#This Row],[FMS Type]]="Education and Outreach",FMS_Ranking4[[#This Row],[Rank (with ArcSinh normalization of select criteria)]],"")</f>
        <v/>
      </c>
      <c r="CB419" s="200" t="str">
        <f>IF(FMS_Ranking4[[#This Row],[FMS Type]]="Property Acquisition and Structural Elevation",FMS_Ranking4[[#This Row],[Rank (with ArcSinh normalization of select criteria)]],"")</f>
        <v/>
      </c>
      <c r="CC419" s="200" t="str">
        <f>IF(FMS_Ranking4[[#This Row],[FMS Type]]="Infrastructure Projects",FMS_Ranking4[[#This Row],[Rank (with ArcSinh normalization of select criteria)]],"")</f>
        <v/>
      </c>
      <c r="CD419" s="200" t="str">
        <f>IF(FMS_Ranking4[[#This Row],[FMS Type]]="Other",FMS_Ranking4[[#This Row],[Rank (with ArcSinh normalization of select criteria)]],"")</f>
        <v/>
      </c>
      <c r="CE419" s="201"/>
      <c r="CF419" s="206"/>
      <c r="CG419" s="206"/>
      <c r="CH419" s="206"/>
      <c r="CI419" s="206"/>
      <c r="CJ419" s="206"/>
      <c r="CK419" s="206"/>
      <c r="CL419" s="206"/>
      <c r="CM419" s="206"/>
      <c r="CN419" s="206"/>
      <c r="CO419" s="206"/>
      <c r="CP419" s="206"/>
      <c r="CQ419" s="206"/>
      <c r="CR419" s="206"/>
    </row>
    <row r="420" spans="2:96" ht="45" x14ac:dyDescent="0.25">
      <c r="B420" s="341" t="s">
        <v>4859</v>
      </c>
      <c r="C420" s="246">
        <f>_xlfn.XLOOKUP(FMS_Ranking4[[#This Row],[FMS ID]],FMS_Input[FMS_ID],FMS_Input[RFPG_NUM])</f>
        <v>4</v>
      </c>
      <c r="D420" s="309" t="str">
        <f>_xlfn.XLOOKUP(FMS_Ranking4[[#This Row],[FMS ID]],FMS_Input[FMS_ID],FMS_Input[FMS_NAME])</f>
        <v>City of Royse City "StormReady" Program</v>
      </c>
      <c r="E420" s="308" t="str">
        <f>_xlfn.XLOOKUP(FMS_Ranking4[[#This Row],[FMS ID]],FMS_Input[FMS_ID],FMS_Input[SPONSOR])</f>
        <v>04003312</v>
      </c>
      <c r="F420" s="309" t="str">
        <f>_xlfn.XLOOKUP(FMS_Ranking4[[#This Row],[FMS ID]],Sponsor[FMS_ID],Sponsor[SPONSOR NAME])</f>
        <v>Royse City</v>
      </c>
      <c r="G420" s="309" t="str">
        <f>_xlfn.XLOOKUP(FMS_Ranking4[[#This Row],[FMS ID]],FMS_Input[FMS_ID],FMS_Input[FMS_DESCR])</f>
        <v xml:space="preserve">Achieve certification by the National Weather Service as a “StormReady” Community. </v>
      </c>
      <c r="H420" s="248" t="str">
        <f>_xlfn.XLOOKUP(FMS_Ranking4[[#This Row],[FMS ID]],FMS_Input[FMS_ID],FMS_Input[FMS_TYPE])</f>
        <v>Regulatory and Guidance</v>
      </c>
      <c r="I420" s="249">
        <f>_xlfn.XLOOKUP(FMS_Ranking4[[#This Row],[FMS ID]],FMS_Input[FMS_ID],FMS_Input[NRNC_COST])</f>
        <v>10000</v>
      </c>
      <c r="J420" s="250">
        <f>_xlfn.XLOOKUP(FMS_Ranking4[[#This Row],[FMS ID]],FMS_Input[FMS_ID],FMS_Input[FMS_COST])</f>
        <v>10000</v>
      </c>
      <c r="K420" s="251" t="str">
        <f>_xlfn.XLOOKUP(FMS_Ranking4[[#This Row],[FMS ID]],FMS_Input[FMS_ID],FMS_Input[EMER_NEED])</f>
        <v>No</v>
      </c>
      <c r="L420" s="252">
        <f t="shared" si="6"/>
        <v>0</v>
      </c>
      <c r="M420" s="253">
        <f>_xlfn.XLOOKUP(FMS_Ranking4[[#This Row],[FMS ID]],FMS_Input[FMS_ID],FMS_Input[STRUCT_100])</f>
        <v>131</v>
      </c>
      <c r="N420" s="255">
        <f>(ASINH(FMS_Ranking4[[#This Row],[Structure at Risk Raw]]))*(10)/(ASINH(M$4))</f>
        <v>4.3775593228435854</v>
      </c>
      <c r="O420" s="256">
        <f>FMS_Ranking4[[#This Row],[Structures at risk, ArcSinh (0-10)]]*M$5*10</f>
        <v>4.3775593228435854</v>
      </c>
      <c r="P420" s="253">
        <f>_xlfn.XLOOKUP(FMS_Ranking4[[#This Row],[FMS ID]],FMS_Input[FMS_ID],FMS_Input[RES_STRUCT100])</f>
        <v>92</v>
      </c>
      <c r="Q420" s="257">
        <f>ASINH(FMS_Ranking4[[#This Row],[Res Structure Raw]])/Q$4*P$5*100</f>
        <v>0</v>
      </c>
      <c r="R420" s="253">
        <f>_xlfn.XLOOKUP(FMS_Ranking4[[#This Row],[FMS ID]],FMS_Input[FMS_ID],FMS_Input[POP100])</f>
        <v>424</v>
      </c>
      <c r="S420" s="255">
        <f>(ASINH(FMS_Ranking4[[#This Row],[Pop at Risk Raw]]))*(10)/(ASINH(R$4))</f>
        <v>4.6550040194718569</v>
      </c>
      <c r="T420" s="256">
        <f>FMS_Ranking4[[#This Row],[Population at risk, ArcSinh (0-10)]]*R$5*10</f>
        <v>4.6550040194718569</v>
      </c>
      <c r="U420" s="253">
        <f>_xlfn.XLOOKUP(FMS_Ranking4[[#This Row],[FMS ID]],FMS_Input[FMS_ID],FMS_Input[CRITFAC100])</f>
        <v>0</v>
      </c>
      <c r="V420" s="255">
        <f>(ASINH(FMS_Ranking4[[#This Row],[Critical Facilities Raw]]))*(10)/(ASINH(U$4))</f>
        <v>0</v>
      </c>
      <c r="W420" s="256">
        <f>FMS_Ranking4[[#This Row],[Critical facilities at risk, ArcSinh (0-10)]]*U$5*10</f>
        <v>0</v>
      </c>
      <c r="X420" s="253">
        <f>_xlfn.XLOOKUP(FMS_Ranking4[[#This Row],[FMS ID]],FMS_Input[FMS_ID],FMS_Input[LWC])</f>
        <v>8</v>
      </c>
      <c r="Y420" s="255">
        <f>(ASINH(FMS_Ranking4[[#This Row],[LWC Raw]]))*(10)/(ASINH(X$4))</f>
        <v>3.7613918882232862</v>
      </c>
      <c r="Z420" s="256">
        <f>FMS_Ranking4[[#This Row],[LWC, ArcSInh (0-10)]]*X$5*10</f>
        <v>3.7613918882232866</v>
      </c>
      <c r="AA420" s="253">
        <f>_xlfn.XLOOKUP(FMS_Ranking4[[#This Row],[FMS ID]],FMS_Input[FMS_ID],FMS_Input[ROADCLS])</f>
        <v>8</v>
      </c>
      <c r="AB420" s="255">
        <f>(ASINH(FMS_Ranking4[[#This Row],[Road Closures Raw]]))*(10)/(ASINH(AA$4))</f>
        <v>2.8914410470954248</v>
      </c>
      <c r="AC420" s="256">
        <f>FMS_Ranking4[[#This Row],[Road closures, ArcSinh (0-10)]]*AA$5*10</f>
        <v>1.4457205235477124</v>
      </c>
      <c r="AD420" s="253">
        <f>_xlfn.XLOOKUP(FMS_Ranking4[[#This Row],[FMS ID]],FMS_Input[FMS_ID],FMS_Input[ROAD_MILES100])</f>
        <v>19</v>
      </c>
      <c r="AE420" s="255">
        <f>(ASINH(FMS_Ranking4[[#This Row],[Road Miles Raw]]))*(10)/(ASINH(AD$4))</f>
        <v>3.877403329266758</v>
      </c>
      <c r="AF420" s="256">
        <f>FMS_Ranking4[[#This Row],[Length of roads at risk, ArcSinh (0-10)]]*AD$5*10</f>
        <v>3.877403329266758</v>
      </c>
      <c r="AG420" s="253">
        <f>_xlfn.XLOOKUP(FMS_Ranking4[[#This Row],[FMS ID]],FMS_Input[FMS_ID],FMS_Input[FARMACRE100])</f>
        <v>1450.973022460938</v>
      </c>
      <c r="AH420" s="255">
        <f>(ASINH(FMS_Ranking4[[#This Row],[Ag Land Raw]]))*(10)/(ASINH(AG$4))</f>
        <v>5.1792020212968035</v>
      </c>
      <c r="AI420" s="260">
        <f>FMS_Ranking4[[#This Row],[Farm &amp; ranch land, ArcSinh (0-10)]]*AG$5*10</f>
        <v>2.5896010106484018</v>
      </c>
      <c r="AJ420" s="258">
        <f>_xlfn.XLOOKUP(FMS_Ranking4[[#This Row],[FMS ID]],FMS_Input[FMS_ID],FMS_Input[REDSTRUCT100])</f>
        <v>0</v>
      </c>
      <c r="AK420" s="253">
        <f>_xlfn.XLOOKUP(FMS_Ranking4[[#This Row],[FMS ID]],FMS_Input[FMS_ID],FMS_Input[REMSTRC100])</f>
        <v>0</v>
      </c>
      <c r="AL420" s="255">
        <f>(ASINH(FMS_Ranking4[[#This Row],[Structures Removed Raw]]))*(10)/(ASINH(AK$4))</f>
        <v>0</v>
      </c>
      <c r="AM420" s="262">
        <f>FMS_Ranking4[[#This Row],[Structures removed, ArcSinh (0-10)]]*AK$5*10</f>
        <v>0</v>
      </c>
      <c r="AN420" s="253">
        <f>_xlfn.XLOOKUP(FMS_Ranking4[[#This Row],[FMS ID]],FMS_Input[FMS_ID],FMS_Input[REMRESSTRC100])</f>
        <v>0</v>
      </c>
      <c r="AO420" s="261">
        <f>FMS_Ranking4[[#This Row],[ArcSinh Res struct removed 0-10]]*AN$5*10</f>
        <v>0</v>
      </c>
      <c r="AP420" s="260">
        <f>ASINH(FMS_Ranking4[[#This Row],[Residential Structures Removed Raw]])/AP$4*AN$5*100</f>
        <v>0</v>
      </c>
      <c r="AQ420" s="258">
        <f>(ASINH(FMS_Ranking4[[#This Row],[Residential Structures Removed Raw]]))*(10)/(ASINH(AN$4))</f>
        <v>0</v>
      </c>
      <c r="AR420" s="253">
        <f>_xlfn.XLOOKUP(FMS_Ranking4[[#This Row],[FMS ID]],FMS_Input[FMS_ID],FMS_Input[REMPOP100])</f>
        <v>0</v>
      </c>
      <c r="AS420" s="255">
        <f>(ASINH(FMS_Ranking4[[#This Row],[Removed Pop Raw]]))*(10)/(ASINH(AR$4))</f>
        <v>0</v>
      </c>
      <c r="AT420" s="262">
        <f>FMS_Ranking4[[#This Row],[Removed population, ArcSinh (0-10)]]*AR$5*10</f>
        <v>0</v>
      </c>
      <c r="AU420" s="264">
        <f>_xlfn.XLOOKUP(FMS_Ranking4[[#This Row],[FMS ID]],FMS_Input[FMS_ID],FMS_Input[REMCRITFAC100])</f>
        <v>0</v>
      </c>
      <c r="AV420" s="264">
        <f>_xlfn.XLOOKUP(FMS_Ranking4[[#This Row],[FMS ID]],FMS_Input[FMS_ID],FMS_Input[REMLWC100])</f>
        <v>0</v>
      </c>
      <c r="AW420" s="264">
        <f>_xlfn.XLOOKUP(FMS_Ranking4[[#This Row],[FMS ID]],FMS_Input[FMS_ID],FMS_Input[REMROADCLS])</f>
        <v>0</v>
      </c>
      <c r="AX420" s="264">
        <f>_xlfn.XLOOKUP(FMS_Ranking4[[#This Row],[FMS ID]],FMS_Input[FMS_ID],FMS_Input[REMFRMACRE100])</f>
        <v>0</v>
      </c>
      <c r="AY420" s="258">
        <f>_xlfn.XLOOKUP(FMS_Ranking4[[#This Row],[FMS ID]],FMS_Input[FMS_ID],FMS_Input[COSTSTRUCT])</f>
        <v>0</v>
      </c>
      <c r="AZ420" s="253">
        <f>_xlfn.XLOOKUP(FMS_Ranking4[[#This Row],[FMS ID]],FMS_Input[FMS_ID],FMS_Input[NATURE])</f>
        <v>0</v>
      </c>
      <c r="BA420" s="262">
        <f>(((FMS_Ranking4[[#This Row],[% NBS Raw]]/AZ$4)*100)*AZ$5)</f>
        <v>0</v>
      </c>
      <c r="BB420" s="251" t="str">
        <f>_xlfn.XLOOKUP(FMS_Ranking4[[#This Row],[FMS ID]],FMS_Input[FMS_ID],FMS_Input[WATER_SUP])</f>
        <v>No</v>
      </c>
      <c r="BC420" s="265">
        <f>IF(FMS_Ranking4[[#This Row],[Water Supply Raw]]="Yes",10,0)</f>
        <v>0</v>
      </c>
      <c r="BD420" s="266">
        <f>_xlfn.XLOOKUP(FMS_Ranking4[[#This Row],[FMS Type]],FMS_TYPE[FMS_Type],FMS_TYPE[Score])</f>
        <v>8</v>
      </c>
      <c r="BE420" s="267">
        <f>FMS_Ranking4[[#This Row],[FMS_Type Score]]*$BD$5*10</f>
        <v>2</v>
      </c>
      <c r="BF42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0.15216268954814127</v>
      </c>
      <c r="BG420" s="321">
        <f>_xlfn.RANK.EQ(BF420,$BF$8:$BF$870,0)+COUNTIF($BF$8:BF420,BF420)-1</f>
        <v>406</v>
      </c>
      <c r="BH420" s="294">
        <f>(((FMS_Ranking4[[#This Row],[Structures Removed Raw]]/AK$4)*100)*AK$5)+(((FMS_Ranking4[[#This Row],[Removed Pop Raw]]/AR$4)*100)*AR$5)</f>
        <v>0</v>
      </c>
      <c r="BI42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2.1521626895481414</v>
      </c>
      <c r="BJ420" s="251">
        <f>_xlfn.RANK.EQ(FMS_Ranking4[[#This Row],[Total Score 
(with linear
normalization)]],FMS_Ranking4[Total Score 
(with linear
normalization)],0)</f>
        <v>339</v>
      </c>
      <c r="BK420" s="251" t="e">
        <f>_xlfn.XLOOKUP(FMS_Ranking4[[#This Row],[FMS ID]],#REF!,#REF!)</f>
        <v>#REF!</v>
      </c>
      <c r="BL42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20.706680094001602</v>
      </c>
      <c r="BM420" s="324">
        <f>FMS_Ranking4[[#This Row],[ArcSinh Score Based on Normalized Reported Factors]]+FMS_Ranking4[[#This Row],[% NBS Score (Normalized)]]+(FMS_Ranking4[[#This Row],[Water Supply Score (Normalized)]]*10*$BB$5)+FMS_Ranking4[[#This Row],[FMS_Type Score Weighted]]</f>
        <v>22.706680094001602</v>
      </c>
      <c r="BN420" s="251">
        <f>_xlfn.RANK.EQ(FMS_Ranking4[[#This Row],[Total Score (with ArcSinh normalization of select criteria)]],FMS_Ranking4[Total Score (with ArcSinh normalization of select criteria)],0)</f>
        <v>412</v>
      </c>
      <c r="BO420" s="270" t="str">
        <f>_xlfn.XLOOKUP(FMS_Ranking4[[#This Row],[FMS ID]],FMS_Input[FMS_ID],FMS_Input[FMS_RANK_YEAR])</f>
        <v>2023 Amended Plan</v>
      </c>
      <c r="BP420" s="204">
        <f>_xlfn.XLOOKUP(FMS_Ranking4[[#This Row],[FMS ID]],Prev_Rank[FMS ID],Prev_Rank[Prev Rank])</f>
        <v>364</v>
      </c>
      <c r="BQ420" s="251" t="e">
        <f>_xlfn.XLOOKUP(FMS_Ranking4[[#This Row],[FMS ID]],#REF!,#REF!)</f>
        <v>#REF!</v>
      </c>
      <c r="BR420" s="199" t="e">
        <f>SUM(#REF!,#REF!,#REF!,#REF!,#REF!,#REF!,#REF!,#REF!,#REF!,FMS_Ranking4[[#This Row],[ArcSinh Res struct removed 0-10]],#REF!)</f>
        <v>#REF!</v>
      </c>
      <c r="BS420" s="199" t="e">
        <f>FMS_Ranking4[[#This Row],[Log Score Based on Normalized Reported Factors]]+FMS_Ranking4[[#This Row],[% NBS Score (Normalized)]]+(FMS_Ranking4[[#This Row],[Water Supply Score (Normalized)]]*10*$BB$5)+(FMS_Ranking4[[#This Row],[FMS_Type Score Weighted]])</f>
        <v>#REF!</v>
      </c>
      <c r="BT420" s="200" t="e">
        <f>_xlfn.RANK.EQ(FMS_Ranking4[[#This Row],[Log Total Score]],FMS_Ranking4[Log Total Score],0)</f>
        <v>#REF!</v>
      </c>
      <c r="BU420" s="200" t="e">
        <f>_xlfn.XLOOKUP(FMS_Ranking4[[#This Row],[FMS ID]],#REF!,#REF!)</f>
        <v>#REF!</v>
      </c>
      <c r="BV420" s="200">
        <f>FMS_Ranking4[[#This Row],[Region Number]]</f>
        <v>4</v>
      </c>
      <c r="BW420" s="200">
        <f>FMS_Ranking4[[#This Row],[Rank (with ArcSinh normalization of select criteria)]]-FMS_Ranking4[[#This Row],[Rank
(with linear
normalization)]]</f>
        <v>73</v>
      </c>
      <c r="BX420" s="200" t="e">
        <f>FMS_Ranking4[[#This Row],[Log Rank]]-FMS_Ranking4[[#This Row],[Rank
(with linear
normalization)]]</f>
        <v>#REF!</v>
      </c>
      <c r="BY420" s="200" t="str">
        <f>IF(FMS_Ranking4[[#This Row],[FMS Type]]="Flood Measurement and Warning",FMS_Ranking4[[#This Row],[Rank (with ArcSinh normalization of select criteria)]],"")</f>
        <v/>
      </c>
      <c r="BZ420" s="200">
        <f>IF(FMS_Ranking4[[#This Row],[FMS Type]]="Regulatory and Guidance",FMS_Ranking4[[#This Row],[Rank (with ArcSinh normalization of select criteria)]],"")</f>
        <v>412</v>
      </c>
      <c r="CA420" s="200" t="str">
        <f>IF(FMS_Ranking4[[#This Row],[FMS Type]]="Education and Outreach",FMS_Ranking4[[#This Row],[Rank (with ArcSinh normalization of select criteria)]],"")</f>
        <v/>
      </c>
      <c r="CB420" s="200" t="str">
        <f>IF(FMS_Ranking4[[#This Row],[FMS Type]]="Property Acquisition and Structural Elevation",FMS_Ranking4[[#This Row],[Rank (with ArcSinh normalization of select criteria)]],"")</f>
        <v/>
      </c>
      <c r="CC420" s="200" t="str">
        <f>IF(FMS_Ranking4[[#This Row],[FMS Type]]="Infrastructure Projects",FMS_Ranking4[[#This Row],[Rank (with ArcSinh normalization of select criteria)]],"")</f>
        <v/>
      </c>
      <c r="CD420" s="200" t="str">
        <f>IF(FMS_Ranking4[[#This Row],[FMS Type]]="Other",FMS_Ranking4[[#This Row],[Rank (with ArcSinh normalization of select criteria)]],"")</f>
        <v/>
      </c>
      <c r="CE420" s="201"/>
      <c r="CF420" s="206"/>
      <c r="CG420" s="206"/>
      <c r="CH420" s="206"/>
      <c r="CI420" s="206"/>
      <c r="CJ420" s="206"/>
      <c r="CK420" s="206"/>
      <c r="CL420" s="206"/>
      <c r="CM420" s="206"/>
      <c r="CN420" s="206"/>
      <c r="CO420" s="206"/>
      <c r="CP420" s="206"/>
      <c r="CQ420" s="206"/>
      <c r="CR420" s="206"/>
    </row>
    <row r="421" spans="2:96" ht="90" x14ac:dyDescent="0.25">
      <c r="B421" s="341" t="s">
        <v>3754</v>
      </c>
      <c r="C421" s="246">
        <f>_xlfn.XLOOKUP(FMS_Ranking4[[#This Row],[FMS ID]],FMS_Input[FMS_ID],FMS_Input[RFPG_NUM])</f>
        <v>13</v>
      </c>
      <c r="D421" s="309" t="str">
        <f>_xlfn.XLOOKUP(FMS_Ranking4[[#This Row],[FMS ID]],FMS_Input[FMS_ID],FMS_Input[FMS_NAME])</f>
        <v>Floodplain Management Training</v>
      </c>
      <c r="E421" s="308" t="str">
        <f>_xlfn.XLOOKUP(FMS_Ranking4[[#This Row],[FMS ID]],FMS_Input[FMS_ID],FMS_Input[SPONSOR])</f>
        <v>13002864</v>
      </c>
      <c r="F421" s="309" t="str">
        <f>_xlfn.XLOOKUP(FMS_Ranking4[[#This Row],[FMS ID]],Sponsor[FMS_ID],Sponsor[SPONSOR NAME])</f>
        <v>Sinton</v>
      </c>
      <c r="G421" s="309" t="str">
        <f>_xlfn.XLOOKUP(FMS_Ranking4[[#This Row],[FMS ID]],FMS_Input[FMS_ID],FMS_Input[FMS_DESCR])</f>
        <v>San Patricio County Hazard Mitigation Action Plan - City of Sinton, Action #14: Cross‐train  building  inspectors  in  floodplain management requirements. </v>
      </c>
      <c r="H421" s="248" t="str">
        <f>_xlfn.XLOOKUP(FMS_Ranking4[[#This Row],[FMS ID]],FMS_Input[FMS_ID],FMS_Input[FMS_TYPE])</f>
        <v>Education and Outreach</v>
      </c>
      <c r="I421" s="249">
        <f>_xlfn.XLOOKUP(FMS_Ranking4[[#This Row],[FMS ID]],FMS_Input[FMS_ID],FMS_Input[NRNC_COST])</f>
        <v>75000</v>
      </c>
      <c r="J421" s="250">
        <f>_xlfn.XLOOKUP(FMS_Ranking4[[#This Row],[FMS ID]],FMS_Input[FMS_ID],FMS_Input[FMS_COST])</f>
        <v>75000</v>
      </c>
      <c r="K421" s="251" t="str">
        <f>_xlfn.XLOOKUP(FMS_Ranking4[[#This Row],[FMS ID]],FMS_Input[FMS_ID],FMS_Input[EMER_NEED])</f>
        <v>Yes</v>
      </c>
      <c r="L421" s="252">
        <f t="shared" si="6"/>
        <v>1</v>
      </c>
      <c r="M421" s="253">
        <f>_xlfn.XLOOKUP(FMS_Ranking4[[#This Row],[FMS ID]],FMS_Input[FMS_ID],FMS_Input[STRUCT_100])</f>
        <v>762</v>
      </c>
      <c r="N421" s="255">
        <f>(ASINH(FMS_Ranking4[[#This Row],[Structure at Risk Raw]]))*(10)/(ASINH(M$4))</f>
        <v>5.7617592699637257</v>
      </c>
      <c r="O421" s="256">
        <f>FMS_Ranking4[[#This Row],[Structures at risk, ArcSinh (0-10)]]*M$5*10</f>
        <v>5.7617592699637257</v>
      </c>
      <c r="P421" s="253">
        <f>_xlfn.XLOOKUP(FMS_Ranking4[[#This Row],[FMS ID]],FMS_Input[FMS_ID],FMS_Input[RES_STRUCT100])</f>
        <v>612</v>
      </c>
      <c r="Q421" s="257">
        <f>ASINH(FMS_Ranking4[[#This Row],[Res Structure Raw]])/Q$4*P$5*100</f>
        <v>0</v>
      </c>
      <c r="R421" s="253">
        <f>_xlfn.XLOOKUP(FMS_Ranking4[[#This Row],[FMS ID]],FMS_Input[FMS_ID],FMS_Input[POP100])</f>
        <v>2145</v>
      </c>
      <c r="S421" s="255">
        <f>(ASINH(FMS_Ranking4[[#This Row],[Pop at Risk Raw]]))*(10)/(ASINH(R$4))</f>
        <v>5.77418517556357</v>
      </c>
      <c r="T421" s="256">
        <f>FMS_Ranking4[[#This Row],[Population at risk, ArcSinh (0-10)]]*R$5*10</f>
        <v>5.77418517556357</v>
      </c>
      <c r="U421" s="253">
        <f>_xlfn.XLOOKUP(FMS_Ranking4[[#This Row],[FMS ID]],FMS_Input[FMS_ID],FMS_Input[CRITFAC100])</f>
        <v>2</v>
      </c>
      <c r="V421" s="255">
        <f>(ASINH(FMS_Ranking4[[#This Row],[Critical Facilities Raw]]))*(10)/(ASINH(U$4))</f>
        <v>1.7089239049208753</v>
      </c>
      <c r="W421" s="256">
        <f>FMS_Ranking4[[#This Row],[Critical facilities at risk, ArcSinh (0-10)]]*U$5*10</f>
        <v>1.7089239049208755</v>
      </c>
      <c r="X421" s="253">
        <f>_xlfn.XLOOKUP(FMS_Ranking4[[#This Row],[FMS ID]],FMS_Input[FMS_ID],FMS_Input[LWC])</f>
        <v>0</v>
      </c>
      <c r="Y421" s="255">
        <f>(ASINH(FMS_Ranking4[[#This Row],[LWC Raw]]))*(10)/(ASINH(X$4))</f>
        <v>0</v>
      </c>
      <c r="Z421" s="256">
        <f>FMS_Ranking4[[#This Row],[LWC, ArcSInh (0-10)]]*X$5*10</f>
        <v>0</v>
      </c>
      <c r="AA421" s="253">
        <f>_xlfn.XLOOKUP(FMS_Ranking4[[#This Row],[FMS ID]],FMS_Input[FMS_ID],FMS_Input[ROADCLS])</f>
        <v>87</v>
      </c>
      <c r="AB421" s="255">
        <f>(ASINH(FMS_Ranking4[[#This Row],[Road Closures Raw]]))*(10)/(ASINH(AA$4))</f>
        <v>5.3727169754086184</v>
      </c>
      <c r="AC421" s="256">
        <f>FMS_Ranking4[[#This Row],[Road closures, ArcSinh (0-10)]]*AA$5*10</f>
        <v>2.6863584877043096</v>
      </c>
      <c r="AD421" s="253">
        <f>_xlfn.XLOOKUP(FMS_Ranking4[[#This Row],[FMS ID]],FMS_Input[FMS_ID],FMS_Input[ROAD_MILES100])</f>
        <v>15</v>
      </c>
      <c r="AE421" s="255">
        <f>(ASINH(FMS_Ranking4[[#This Row],[Road Miles Raw]]))*(10)/(ASINH(AD$4))</f>
        <v>3.625922827042257</v>
      </c>
      <c r="AF421" s="256">
        <f>FMS_Ranking4[[#This Row],[Length of roads at risk, ArcSinh (0-10)]]*AD$5*10</f>
        <v>3.625922827042257</v>
      </c>
      <c r="AG421" s="253">
        <f>_xlfn.XLOOKUP(FMS_Ranking4[[#This Row],[FMS ID]],FMS_Input[FMS_ID],FMS_Input[FARMACRE100])</f>
        <v>69.114486694335938</v>
      </c>
      <c r="AH421" s="255">
        <f>(ASINH(FMS_Ranking4[[#This Row],[Ag Land Raw]]))*(10)/(ASINH(AG$4))</f>
        <v>3.2017635926588999</v>
      </c>
      <c r="AI421" s="260">
        <f>FMS_Ranking4[[#This Row],[Farm &amp; ranch land, ArcSinh (0-10)]]*AG$5*10</f>
        <v>1.6008817963294499</v>
      </c>
      <c r="AJ421" s="258">
        <f>_xlfn.XLOOKUP(FMS_Ranking4[[#This Row],[FMS ID]],FMS_Input[FMS_ID],FMS_Input[REDSTRUCT100])</f>
        <v>0</v>
      </c>
      <c r="AK421" s="253">
        <f>_xlfn.XLOOKUP(FMS_Ranking4[[#This Row],[FMS ID]],FMS_Input[FMS_ID],FMS_Input[REMSTRC100])</f>
        <v>0</v>
      </c>
      <c r="AL421" s="255">
        <f>(ASINH(FMS_Ranking4[[#This Row],[Structures Removed Raw]]))*(10)/(ASINH(AK$4))</f>
        <v>0</v>
      </c>
      <c r="AM421" s="262">
        <f>FMS_Ranking4[[#This Row],[Structures removed, ArcSinh (0-10)]]*AK$5*10</f>
        <v>0</v>
      </c>
      <c r="AN421" s="253">
        <f>_xlfn.XLOOKUP(FMS_Ranking4[[#This Row],[FMS ID]],FMS_Input[FMS_ID],FMS_Input[REMRESSTRC100])</f>
        <v>0</v>
      </c>
      <c r="AO421" s="261">
        <f>FMS_Ranking4[[#This Row],[ArcSinh Res struct removed 0-10]]*AN$5*10</f>
        <v>0</v>
      </c>
      <c r="AP421" s="260">
        <f>ASINH(FMS_Ranking4[[#This Row],[Residential Structures Removed Raw]])/AP$4*AN$5*100</f>
        <v>0</v>
      </c>
      <c r="AQ421" s="258">
        <f>(ASINH(FMS_Ranking4[[#This Row],[Residential Structures Removed Raw]]))*(10)/(ASINH(AN$4))</f>
        <v>0</v>
      </c>
      <c r="AR421" s="253">
        <f>_xlfn.XLOOKUP(FMS_Ranking4[[#This Row],[FMS ID]],FMS_Input[FMS_ID],FMS_Input[REMPOP100])</f>
        <v>0</v>
      </c>
      <c r="AS421" s="255">
        <f>(ASINH(FMS_Ranking4[[#This Row],[Removed Pop Raw]]))*(10)/(ASINH(AR$4))</f>
        <v>0</v>
      </c>
      <c r="AT421" s="262">
        <f>FMS_Ranking4[[#This Row],[Removed population, ArcSinh (0-10)]]*AR$5*10</f>
        <v>0</v>
      </c>
      <c r="AU421" s="264">
        <f>_xlfn.XLOOKUP(FMS_Ranking4[[#This Row],[FMS ID]],FMS_Input[FMS_ID],FMS_Input[REMCRITFAC100])</f>
        <v>0</v>
      </c>
      <c r="AV421" s="264">
        <f>_xlfn.XLOOKUP(FMS_Ranking4[[#This Row],[FMS ID]],FMS_Input[FMS_ID],FMS_Input[REMLWC100])</f>
        <v>0</v>
      </c>
      <c r="AW421" s="264">
        <f>_xlfn.XLOOKUP(FMS_Ranking4[[#This Row],[FMS ID]],FMS_Input[FMS_ID],FMS_Input[REMROADCLS])</f>
        <v>0</v>
      </c>
      <c r="AX421" s="264">
        <f>_xlfn.XLOOKUP(FMS_Ranking4[[#This Row],[FMS ID]],FMS_Input[FMS_ID],FMS_Input[REMFRMACRE100])</f>
        <v>0</v>
      </c>
      <c r="AY421" s="258">
        <f>_xlfn.XLOOKUP(FMS_Ranking4[[#This Row],[FMS ID]],FMS_Input[FMS_ID],FMS_Input[COSTSTRUCT])</f>
        <v>0</v>
      </c>
      <c r="AZ421" s="253">
        <f>_xlfn.XLOOKUP(FMS_Ranking4[[#This Row],[FMS ID]],FMS_Input[FMS_ID],FMS_Input[NATURE])</f>
        <v>0</v>
      </c>
      <c r="BA421" s="262">
        <f>(((FMS_Ranking4[[#This Row],[% NBS Raw]]/AZ$4)*100)*AZ$5)</f>
        <v>0</v>
      </c>
      <c r="BB421" s="251" t="str">
        <f>_xlfn.XLOOKUP(FMS_Ranking4[[#This Row],[FMS ID]],FMS_Input[FMS_ID],FMS_Input[WATER_SUP])</f>
        <v>No</v>
      </c>
      <c r="BC421" s="265">
        <f>IF(FMS_Ranking4[[#This Row],[Water Supply Raw]]="Yes",10,0)</f>
        <v>0</v>
      </c>
      <c r="BD421" s="266">
        <f>_xlfn.XLOOKUP(FMS_Ranking4[[#This Row],[FMS Type]],FMS_TYPE[FMS_Type],FMS_TYPE[Score])</f>
        <v>6</v>
      </c>
      <c r="BE421" s="267">
        <f>FMS_Ranking4[[#This Row],[FMS_Type Score]]*$BD$5*10</f>
        <v>1.5000000000000002</v>
      </c>
      <c r="BF42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0.16026414564138897</v>
      </c>
      <c r="BG421" s="321">
        <f>_xlfn.RANK.EQ(BF421,$BF$8:$BF$870,0)+COUNTIF($BF$8:BF421,BF421)-1</f>
        <v>398</v>
      </c>
      <c r="BH421" s="294">
        <f>(((FMS_Ranking4[[#This Row],[Structures Removed Raw]]/AK$4)*100)*AK$5)+(((FMS_Ranking4[[#This Row],[Removed Pop Raw]]/AR$4)*100)*AR$5)</f>
        <v>0</v>
      </c>
      <c r="BI42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1.6602641456413891</v>
      </c>
      <c r="BJ421" s="251">
        <f>_xlfn.RANK.EQ(FMS_Ranking4[[#This Row],[Total Score 
(with linear
normalization)]],FMS_Ranking4[Total Score 
(with linear
normalization)],0)</f>
        <v>556</v>
      </c>
      <c r="BK421" s="251" t="e">
        <f>_xlfn.XLOOKUP(FMS_Ranking4[[#This Row],[FMS ID]],#REF!,#REF!)</f>
        <v>#REF!</v>
      </c>
      <c r="BL42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21.158031461524189</v>
      </c>
      <c r="BM421" s="324">
        <f>FMS_Ranking4[[#This Row],[ArcSinh Score Based on Normalized Reported Factors]]+FMS_Ranking4[[#This Row],[% NBS Score (Normalized)]]+(FMS_Ranking4[[#This Row],[Water Supply Score (Normalized)]]*10*$BB$5)+FMS_Ranking4[[#This Row],[FMS_Type Score Weighted]]</f>
        <v>22.658031461524189</v>
      </c>
      <c r="BN421" s="251">
        <f>_xlfn.RANK.EQ(FMS_Ranking4[[#This Row],[Total Score (with ArcSinh normalization of select criteria)]],FMS_Ranking4[Total Score (with ArcSinh normalization of select criteria)],0)</f>
        <v>414</v>
      </c>
      <c r="BO421" s="270" t="str">
        <f>_xlfn.XLOOKUP(FMS_Ranking4[[#This Row],[FMS ID]],FMS_Input[FMS_ID],FMS_Input[FMS_RANK_YEAR])</f>
        <v>2023 Amended Plan</v>
      </c>
      <c r="BP421" s="204">
        <f>_xlfn.XLOOKUP(FMS_Ranking4[[#This Row],[FMS ID]],Prev_Rank[FMS ID],Prev_Rank[Prev Rank])</f>
        <v>362</v>
      </c>
      <c r="BQ421" s="251" t="e">
        <f>_xlfn.XLOOKUP(FMS_Ranking4[[#This Row],[FMS ID]],#REF!,#REF!)</f>
        <v>#REF!</v>
      </c>
      <c r="BR421" s="199" t="e">
        <f>SUM(#REF!,#REF!,#REF!,#REF!,#REF!,#REF!,#REF!,#REF!,#REF!,FMS_Ranking4[[#This Row],[ArcSinh Res struct removed 0-10]],#REF!)</f>
        <v>#REF!</v>
      </c>
      <c r="BS421" s="199" t="e">
        <f>FMS_Ranking4[[#This Row],[Log Score Based on Normalized Reported Factors]]+FMS_Ranking4[[#This Row],[% NBS Score (Normalized)]]+(FMS_Ranking4[[#This Row],[Water Supply Score (Normalized)]]*10*$BB$5)+(FMS_Ranking4[[#This Row],[FMS_Type Score Weighted]])</f>
        <v>#REF!</v>
      </c>
      <c r="BT421" s="200" t="e">
        <f>_xlfn.RANK.EQ(FMS_Ranking4[[#This Row],[Log Total Score]],FMS_Ranking4[Log Total Score],0)</f>
        <v>#REF!</v>
      </c>
      <c r="BU421" s="200" t="e">
        <f>_xlfn.XLOOKUP(FMS_Ranking4[[#This Row],[FMS ID]],#REF!,#REF!)</f>
        <v>#REF!</v>
      </c>
      <c r="BV421" s="200">
        <f>FMS_Ranking4[[#This Row],[Region Number]]</f>
        <v>13</v>
      </c>
      <c r="BW421" s="200">
        <f>FMS_Ranking4[[#This Row],[Rank (with ArcSinh normalization of select criteria)]]-FMS_Ranking4[[#This Row],[Rank
(with linear
normalization)]]</f>
        <v>-142</v>
      </c>
      <c r="BX421" s="200" t="e">
        <f>FMS_Ranking4[[#This Row],[Log Rank]]-FMS_Ranking4[[#This Row],[Rank
(with linear
normalization)]]</f>
        <v>#REF!</v>
      </c>
      <c r="BY421" s="200" t="str">
        <f>IF(FMS_Ranking4[[#This Row],[FMS Type]]="Flood Measurement and Warning",FMS_Ranking4[[#This Row],[Rank (with ArcSinh normalization of select criteria)]],"")</f>
        <v/>
      </c>
      <c r="BZ421" s="200" t="str">
        <f>IF(FMS_Ranking4[[#This Row],[FMS Type]]="Regulatory and Guidance",FMS_Ranking4[[#This Row],[Rank (with ArcSinh normalization of select criteria)]],"")</f>
        <v/>
      </c>
      <c r="CA421" s="200">
        <f>IF(FMS_Ranking4[[#This Row],[FMS Type]]="Education and Outreach",FMS_Ranking4[[#This Row],[Rank (with ArcSinh normalization of select criteria)]],"")</f>
        <v>414</v>
      </c>
      <c r="CB421" s="200" t="str">
        <f>IF(FMS_Ranking4[[#This Row],[FMS Type]]="Property Acquisition and Structural Elevation",FMS_Ranking4[[#This Row],[Rank (with ArcSinh normalization of select criteria)]],"")</f>
        <v/>
      </c>
      <c r="CC421" s="200" t="str">
        <f>IF(FMS_Ranking4[[#This Row],[FMS Type]]="Infrastructure Projects",FMS_Ranking4[[#This Row],[Rank (with ArcSinh normalization of select criteria)]],"")</f>
        <v/>
      </c>
      <c r="CD421" s="200" t="str">
        <f>IF(FMS_Ranking4[[#This Row],[FMS Type]]="Other",FMS_Ranking4[[#This Row],[Rank (with ArcSinh normalization of select criteria)]],"")</f>
        <v/>
      </c>
      <c r="CE421" s="201"/>
      <c r="CF421" s="206"/>
      <c r="CG421" s="206"/>
      <c r="CH421" s="206"/>
      <c r="CI421" s="206"/>
      <c r="CJ421" s="206"/>
      <c r="CK421" s="206"/>
      <c r="CL421" s="206"/>
      <c r="CM421" s="206"/>
      <c r="CN421" s="206"/>
      <c r="CO421" s="206"/>
      <c r="CP421" s="206"/>
      <c r="CQ421" s="206"/>
      <c r="CR421" s="206"/>
    </row>
    <row r="422" spans="2:96" ht="120" x14ac:dyDescent="0.25">
      <c r="B422" s="341" t="s">
        <v>3737</v>
      </c>
      <c r="C422" s="246">
        <f>_xlfn.XLOOKUP(FMS_Ranking4[[#This Row],[FMS ID]],FMS_Input[FMS_ID],FMS_Input[RFPG_NUM])</f>
        <v>13</v>
      </c>
      <c r="D422" s="309" t="str">
        <f>_xlfn.XLOOKUP(FMS_Ranking4[[#This Row],[FMS ID]],FMS_Input[FMS_ID],FMS_Input[FMS_NAME])</f>
        <v>Portland Flood Mitigation Policy</v>
      </c>
      <c r="E422" s="308" t="str">
        <f>_xlfn.XLOOKUP(FMS_Ranking4[[#This Row],[FMS ID]],FMS_Input[FMS_ID],FMS_Input[SPONSOR])</f>
        <v>13003233</v>
      </c>
      <c r="F422" s="309" t="str">
        <f>_xlfn.XLOOKUP(FMS_Ranking4[[#This Row],[FMS ID]],Sponsor[FMS_ID],Sponsor[SPONSOR NAME])</f>
        <v>Portland</v>
      </c>
      <c r="G422" s="309" t="str">
        <f>_xlfn.XLOOKUP(FMS_Ranking4[[#This Row],[FMS ID]],FMS_Input[FMS_ID],FMS_Input[FMS_DESCR])</f>
        <v>San Patricio County Hazard Mitigation Action Plan - City of Portland, Action #4: Adopt higher floodplain standards above the minimum requirements to provide additional flood protection to new development. </v>
      </c>
      <c r="H422" s="248" t="str">
        <f>_xlfn.XLOOKUP(FMS_Ranking4[[#This Row],[FMS ID]],FMS_Input[FMS_ID],FMS_Input[FMS_TYPE])</f>
        <v>Regulatory and Guidance</v>
      </c>
      <c r="I422" s="249">
        <f>_xlfn.XLOOKUP(FMS_Ranking4[[#This Row],[FMS ID]],FMS_Input[FMS_ID],FMS_Input[NRNC_COST])</f>
        <v>100000</v>
      </c>
      <c r="J422" s="250">
        <f>_xlfn.XLOOKUP(FMS_Ranking4[[#This Row],[FMS ID]],FMS_Input[FMS_ID],FMS_Input[FMS_COST])</f>
        <v>100000</v>
      </c>
      <c r="K422" s="251" t="str">
        <f>_xlfn.XLOOKUP(FMS_Ranking4[[#This Row],[FMS ID]],FMS_Input[FMS_ID],FMS_Input[EMER_NEED])</f>
        <v>Yes</v>
      </c>
      <c r="L422" s="252">
        <f t="shared" si="6"/>
        <v>1</v>
      </c>
      <c r="M422" s="253">
        <f>_xlfn.XLOOKUP(FMS_Ranking4[[#This Row],[FMS ID]],FMS_Input[FMS_ID],FMS_Input[STRUCT_100])</f>
        <v>285</v>
      </c>
      <c r="N422" s="255">
        <f>(ASINH(FMS_Ranking4[[#This Row],[Structure at Risk Raw]]))*(10)/(ASINH(M$4))</f>
        <v>4.988617423595989</v>
      </c>
      <c r="O422" s="256">
        <f>FMS_Ranking4[[#This Row],[Structures at risk, ArcSinh (0-10)]]*M$5*10</f>
        <v>4.988617423595989</v>
      </c>
      <c r="P422" s="253">
        <f>_xlfn.XLOOKUP(FMS_Ranking4[[#This Row],[FMS ID]],FMS_Input[FMS_ID],FMS_Input[RES_STRUCT100])</f>
        <v>251</v>
      </c>
      <c r="Q422" s="257">
        <f>ASINH(FMS_Ranking4[[#This Row],[Res Structure Raw]])/Q$4*P$5*100</f>
        <v>0</v>
      </c>
      <c r="R422" s="253">
        <f>_xlfn.XLOOKUP(FMS_Ranking4[[#This Row],[FMS ID]],FMS_Input[FMS_ID],FMS_Input[POP100])</f>
        <v>600</v>
      </c>
      <c r="S422" s="259">
        <f>(ASINH(FMS_Ranking4[[#This Row],[Pop at Risk Raw]]))*(10)/(ASINH(R$4))</f>
        <v>4.8946932887568133</v>
      </c>
      <c r="T422" s="256">
        <f>FMS_Ranking4[[#This Row],[Population at risk, ArcSinh (0-10)]]*R$5*10</f>
        <v>4.8946932887568133</v>
      </c>
      <c r="U422" s="253">
        <f>_xlfn.XLOOKUP(FMS_Ranking4[[#This Row],[FMS ID]],FMS_Input[FMS_ID],FMS_Input[CRITFAC100])</f>
        <v>3</v>
      </c>
      <c r="V422" s="259">
        <f>(ASINH(FMS_Ranking4[[#This Row],[Critical Facilities Raw]]))*(10)/(ASINH(U$4))</f>
        <v>2.152611706646717</v>
      </c>
      <c r="W422" s="256">
        <f>FMS_Ranking4[[#This Row],[Critical facilities at risk, ArcSinh (0-10)]]*U$5*10</f>
        <v>2.152611706646717</v>
      </c>
      <c r="X422" s="253">
        <f>_xlfn.XLOOKUP(FMS_Ranking4[[#This Row],[FMS ID]],FMS_Input[FMS_ID],FMS_Input[LWC])</f>
        <v>0</v>
      </c>
      <c r="Y422" s="259">
        <f>(ASINH(FMS_Ranking4[[#This Row],[LWC Raw]]))*(10)/(ASINH(X$4))</f>
        <v>0</v>
      </c>
      <c r="Z422" s="256">
        <f>FMS_Ranking4[[#This Row],[LWC, ArcSInh (0-10)]]*X$5*10</f>
        <v>0</v>
      </c>
      <c r="AA422" s="253">
        <f>_xlfn.XLOOKUP(FMS_Ranking4[[#This Row],[FMS ID]],FMS_Input[FMS_ID],FMS_Input[ROADCLS])</f>
        <v>87</v>
      </c>
      <c r="AB422" s="255">
        <f>(ASINH(FMS_Ranking4[[#This Row],[Road Closures Raw]]))*(10)/(ASINH(AA$4))</f>
        <v>5.3727169754086184</v>
      </c>
      <c r="AC422" s="256">
        <f>FMS_Ranking4[[#This Row],[Road closures, ArcSinh (0-10)]]*AA$5*10</f>
        <v>2.6863584877043096</v>
      </c>
      <c r="AD422" s="253">
        <f>_xlfn.XLOOKUP(FMS_Ranking4[[#This Row],[FMS ID]],FMS_Input[FMS_ID],FMS_Input[ROAD_MILES100])</f>
        <v>19</v>
      </c>
      <c r="AE422" s="259">
        <f>(ASINH(FMS_Ranking4[[#This Row],[Road Miles Raw]]))*(10)/(ASINH(AD$4))</f>
        <v>3.877403329266758</v>
      </c>
      <c r="AF422" s="256">
        <f>FMS_Ranking4[[#This Row],[Length of roads at risk, ArcSinh (0-10)]]*AD$5*10</f>
        <v>3.877403329266758</v>
      </c>
      <c r="AG422" s="253">
        <f>_xlfn.XLOOKUP(FMS_Ranking4[[#This Row],[FMS ID]],FMS_Input[FMS_ID],FMS_Input[FARMACRE100])</f>
        <v>267.54840087890619</v>
      </c>
      <c r="AH422" s="255">
        <f>(ASINH(FMS_Ranking4[[#This Row],[Ag Land Raw]]))*(10)/(ASINH(AG$4))</f>
        <v>4.0809638559781485</v>
      </c>
      <c r="AI422" s="260">
        <f>FMS_Ranking4[[#This Row],[Farm &amp; ranch land, ArcSinh (0-10)]]*AG$5*10</f>
        <v>2.0404819279890742</v>
      </c>
      <c r="AJ422" s="258">
        <f>_xlfn.XLOOKUP(FMS_Ranking4[[#This Row],[FMS ID]],FMS_Input[FMS_ID],FMS_Input[REDSTRUCT100])</f>
        <v>0</v>
      </c>
      <c r="AK422" s="253">
        <f>_xlfn.XLOOKUP(FMS_Ranking4[[#This Row],[FMS ID]],FMS_Input[FMS_ID],FMS_Input[REMSTRC100])</f>
        <v>0</v>
      </c>
      <c r="AL422" s="259">
        <f>(ASINH(FMS_Ranking4[[#This Row],[Structures Removed Raw]]))*(10)/(ASINH(AK$4))</f>
        <v>0</v>
      </c>
      <c r="AM422" s="262">
        <f>FMS_Ranking4[[#This Row],[Structures removed, ArcSinh (0-10)]]*AK$5*10</f>
        <v>0</v>
      </c>
      <c r="AN422" s="253">
        <f>_xlfn.XLOOKUP(FMS_Ranking4[[#This Row],[FMS ID]],FMS_Input[FMS_ID],FMS_Input[REMRESSTRC100])</f>
        <v>0</v>
      </c>
      <c r="AO422" s="261">
        <f>FMS_Ranking4[[#This Row],[ArcSinh Res struct removed 0-10]]*AN$5*10</f>
        <v>0</v>
      </c>
      <c r="AP422" s="260">
        <f>ASINH(FMS_Ranking4[[#This Row],[Residential Structures Removed Raw]])/AP$4*AN$5*100</f>
        <v>0</v>
      </c>
      <c r="AQ422" s="254">
        <f>(ASINH(FMS_Ranking4[[#This Row],[Residential Structures Removed Raw]]))*(10)/(ASINH(AN$4))</f>
        <v>0</v>
      </c>
      <c r="AR422" s="253">
        <f>_xlfn.XLOOKUP(FMS_Ranking4[[#This Row],[FMS ID]],FMS_Input[FMS_ID],FMS_Input[REMPOP100])</f>
        <v>0</v>
      </c>
      <c r="AS422" s="259">
        <f>(ASINH(FMS_Ranking4[[#This Row],[Removed Pop Raw]]))*(10)/(ASINH(AR$4))</f>
        <v>0</v>
      </c>
      <c r="AT422" s="262">
        <f>FMS_Ranking4[[#This Row],[Removed population, ArcSinh (0-10)]]*AR$5*10</f>
        <v>0</v>
      </c>
      <c r="AU422" s="264">
        <f>_xlfn.XLOOKUP(FMS_Ranking4[[#This Row],[FMS ID]],FMS_Input[FMS_ID],FMS_Input[REMCRITFAC100])</f>
        <v>0</v>
      </c>
      <c r="AV422" s="264">
        <f>_xlfn.XLOOKUP(FMS_Ranking4[[#This Row],[FMS ID]],FMS_Input[FMS_ID],FMS_Input[REMLWC100])</f>
        <v>0</v>
      </c>
      <c r="AW422" s="264">
        <f>_xlfn.XLOOKUP(FMS_Ranking4[[#This Row],[FMS ID]],FMS_Input[FMS_ID],FMS_Input[REMROADCLS])</f>
        <v>0</v>
      </c>
      <c r="AX422" s="264">
        <f>_xlfn.XLOOKUP(FMS_Ranking4[[#This Row],[FMS ID]],FMS_Input[FMS_ID],FMS_Input[REMFRMACRE100])</f>
        <v>0</v>
      </c>
      <c r="AY422" s="258">
        <f>_xlfn.XLOOKUP(FMS_Ranking4[[#This Row],[FMS ID]],FMS_Input[FMS_ID],FMS_Input[COSTSTRUCT])</f>
        <v>0</v>
      </c>
      <c r="AZ422" s="253">
        <f>_xlfn.XLOOKUP(FMS_Ranking4[[#This Row],[FMS ID]],FMS_Input[FMS_ID],FMS_Input[NATURE])</f>
        <v>0</v>
      </c>
      <c r="BA422" s="262">
        <f>(((FMS_Ranking4[[#This Row],[% NBS Raw]]/AZ$4)*100)*AZ$5)</f>
        <v>0</v>
      </c>
      <c r="BB422" s="251" t="str">
        <f>_xlfn.XLOOKUP(FMS_Ranking4[[#This Row],[FMS ID]],FMS_Input[FMS_ID],FMS_Input[WATER_SUP])</f>
        <v>No</v>
      </c>
      <c r="BC422" s="265">
        <f>IF(FMS_Ranking4[[#This Row],[Water Supply Raw]]="Yes",10,0)</f>
        <v>0</v>
      </c>
      <c r="BD422" s="266">
        <f>_xlfn.XLOOKUP(FMS_Ranking4[[#This Row],[FMS Type]],FMS_TYPE[FMS_Type],FMS_TYPE[Score])</f>
        <v>8</v>
      </c>
      <c r="BE422" s="267">
        <f>FMS_Ranking4[[#This Row],[FMS_Type Score]]*$BD$5*10</f>
        <v>2</v>
      </c>
      <c r="BF42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0.12735012192329873</v>
      </c>
      <c r="BG422" s="269">
        <f>_xlfn.RANK.EQ(BF422,$BF$8:$BF$870,0)+COUNTIF($BF$8:BF422,BF422)-1</f>
        <v>441</v>
      </c>
      <c r="BH422" s="268">
        <f>(((FMS_Ranking4[[#This Row],[Structures Removed Raw]]/AK$4)*100)*AK$5)+(((FMS_Ranking4[[#This Row],[Removed Pop Raw]]/AR$4)*100)*AR$5)</f>
        <v>0</v>
      </c>
      <c r="BI42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2.1273501219232989</v>
      </c>
      <c r="BJ422" s="204">
        <f>_xlfn.RANK.EQ(FMS_Ranking4[[#This Row],[Total Score 
(with linear
normalization)]],FMS_Ranking4[Total Score 
(with linear
normalization)],0)</f>
        <v>353</v>
      </c>
      <c r="BK422" s="204" t="e">
        <f>_xlfn.XLOOKUP(FMS_Ranking4[[#This Row],[FMS ID]],#REF!,#REF!)</f>
        <v>#REF!</v>
      </c>
      <c r="BL422"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20.640166163959659</v>
      </c>
      <c r="BM422" s="270">
        <f>FMS_Ranking4[[#This Row],[ArcSinh Score Based on Normalized Reported Factors]]+FMS_Ranking4[[#This Row],[% NBS Score (Normalized)]]+(FMS_Ranking4[[#This Row],[Water Supply Score (Normalized)]]*10*$BB$5)+FMS_Ranking4[[#This Row],[FMS_Type Score Weighted]]</f>
        <v>22.640166163959659</v>
      </c>
      <c r="BN422" s="204">
        <f>_xlfn.RANK.EQ(FMS_Ranking4[[#This Row],[Total Score (with ArcSinh normalization of select criteria)]],FMS_Ranking4[Total Score (with ArcSinh normalization of select criteria)],0)</f>
        <v>415</v>
      </c>
      <c r="BO422" s="270" t="str">
        <f>_xlfn.XLOOKUP(FMS_Ranking4[[#This Row],[FMS ID]],FMS_Input[FMS_ID],FMS_Input[FMS_RANK_YEAR])</f>
        <v>2023 Amended Plan</v>
      </c>
      <c r="BP422" s="204">
        <f>_xlfn.XLOOKUP(FMS_Ranking4[[#This Row],[FMS ID]],Prev_Rank[FMS ID],Prev_Rank[Prev Rank])</f>
        <v>363</v>
      </c>
      <c r="BQ422" s="204" t="e">
        <f>_xlfn.XLOOKUP(FMS_Ranking4[[#This Row],[FMS ID]],#REF!,#REF!)</f>
        <v>#REF!</v>
      </c>
      <c r="BR422" s="199" t="e">
        <f>SUM(#REF!,#REF!,#REF!,#REF!,#REF!,#REF!,#REF!,#REF!,#REF!,FMS_Ranking4[[#This Row],[ArcSinh Res struct removed 0-10]],#REF!)</f>
        <v>#REF!</v>
      </c>
      <c r="BS422" s="199" t="e">
        <f>FMS_Ranking4[[#This Row],[Log Score Based on Normalized Reported Factors]]+FMS_Ranking4[[#This Row],[% NBS Score (Normalized)]]+(FMS_Ranking4[[#This Row],[Water Supply Score (Normalized)]]*10*$BB$5)+(FMS_Ranking4[[#This Row],[FMS_Type Score Weighted]])</f>
        <v>#REF!</v>
      </c>
      <c r="BT422" s="200" t="e">
        <f>_xlfn.RANK.EQ(FMS_Ranking4[[#This Row],[Log Total Score]],FMS_Ranking4[Log Total Score],0)</f>
        <v>#REF!</v>
      </c>
      <c r="BU422" s="200" t="e">
        <f>_xlfn.XLOOKUP(FMS_Ranking4[[#This Row],[FMS ID]],#REF!,#REF!)</f>
        <v>#REF!</v>
      </c>
      <c r="BV422" s="200">
        <f>FMS_Ranking4[[#This Row],[Region Number]]</f>
        <v>13</v>
      </c>
      <c r="BW422" s="200">
        <f>FMS_Ranking4[[#This Row],[Rank (with ArcSinh normalization of select criteria)]]-FMS_Ranking4[[#This Row],[Rank
(with linear
normalization)]]</f>
        <v>62</v>
      </c>
      <c r="BX422" s="200" t="e">
        <f>FMS_Ranking4[[#This Row],[Log Rank]]-FMS_Ranking4[[#This Row],[Rank
(with linear
normalization)]]</f>
        <v>#REF!</v>
      </c>
      <c r="BY422" s="200" t="str">
        <f>IF(FMS_Ranking4[[#This Row],[FMS Type]]="Flood Measurement and Warning",FMS_Ranking4[[#This Row],[Rank (with ArcSinh normalization of select criteria)]],"")</f>
        <v/>
      </c>
      <c r="BZ422" s="200">
        <f>IF(FMS_Ranking4[[#This Row],[FMS Type]]="Regulatory and Guidance",FMS_Ranking4[[#This Row],[Rank (with ArcSinh normalization of select criteria)]],"")</f>
        <v>415</v>
      </c>
      <c r="CA422" s="200" t="str">
        <f>IF(FMS_Ranking4[[#This Row],[FMS Type]]="Education and Outreach",FMS_Ranking4[[#This Row],[Rank (with ArcSinh normalization of select criteria)]],"")</f>
        <v/>
      </c>
      <c r="CB422" s="200" t="str">
        <f>IF(FMS_Ranking4[[#This Row],[FMS Type]]="Property Acquisition and Structural Elevation",FMS_Ranking4[[#This Row],[Rank (with ArcSinh normalization of select criteria)]],"")</f>
        <v/>
      </c>
      <c r="CC422" s="200" t="str">
        <f>IF(FMS_Ranking4[[#This Row],[FMS Type]]="Infrastructure Projects",FMS_Ranking4[[#This Row],[Rank (with ArcSinh normalization of select criteria)]],"")</f>
        <v/>
      </c>
      <c r="CD422" s="200" t="str">
        <f>IF(FMS_Ranking4[[#This Row],[FMS Type]]="Other",FMS_Ranking4[[#This Row],[Rank (with ArcSinh normalization of select criteria)]],"")</f>
        <v/>
      </c>
      <c r="CE422" s="201"/>
      <c r="CF422" s="206"/>
      <c r="CG422" s="206"/>
      <c r="CH422" s="206"/>
      <c r="CI422" s="206"/>
      <c r="CJ422" s="206"/>
      <c r="CK422" s="206"/>
      <c r="CL422" s="206"/>
      <c r="CM422" s="206"/>
      <c r="CN422" s="206"/>
      <c r="CO422" s="206"/>
      <c r="CP422" s="206"/>
      <c r="CQ422" s="206"/>
      <c r="CR422" s="206"/>
    </row>
    <row r="423" spans="2:96" ht="45" x14ac:dyDescent="0.25">
      <c r="B423" s="341" t="s">
        <v>90</v>
      </c>
      <c r="C423" s="246">
        <f>_xlfn.XLOOKUP(FMS_Ranking4[[#This Row],[FMS ID]],FMS_Input[FMS_ID],FMS_Input[RFPG_NUM])</f>
        <v>6</v>
      </c>
      <c r="D423" s="309" t="str">
        <f>_xlfn.XLOOKUP(FMS_Ranking4[[#This Row],[FMS ID]],FMS_Input[FMS_ID],FMS_Input[FMS_NAME])</f>
        <v>Walker County Public Information and Awareness</v>
      </c>
      <c r="E423" s="308" t="str">
        <f>_xlfn.XLOOKUP(FMS_Ranking4[[#This Row],[FMS ID]],FMS_Input[FMS_ID],FMS_Input[SPONSOR])</f>
        <v>00000053</v>
      </c>
      <c r="F423" s="309" t="str">
        <f>_xlfn.XLOOKUP(FMS_Ranking4[[#This Row],[FMS ID]],Sponsor[FMS_ID],Sponsor[SPONSOR NAME])</f>
        <v>Walker</v>
      </c>
      <c r="G423" s="309" t="str">
        <f>_xlfn.XLOOKUP(FMS_Ranking4[[#This Row],[FMS ID]],FMS_Input[FMS_ID],FMS_Input[FMS_DESCR])</f>
        <v>Purchase high water (flood) indicators for low water river crossing for county roads.</v>
      </c>
      <c r="H423" s="248" t="str">
        <f>_xlfn.XLOOKUP(FMS_Ranking4[[#This Row],[FMS ID]],FMS_Input[FMS_ID],FMS_Input[FMS_TYPE])</f>
        <v>Flood Measurement and Warning</v>
      </c>
      <c r="I423" s="249">
        <f>_xlfn.XLOOKUP(FMS_Ranking4[[#This Row],[FMS ID]],FMS_Input[FMS_ID],FMS_Input[NRNC_COST])</f>
        <v>25000</v>
      </c>
      <c r="J423" s="250">
        <f>_xlfn.XLOOKUP(FMS_Ranking4[[#This Row],[FMS ID]],FMS_Input[FMS_ID],FMS_Input[FMS_COST])</f>
        <v>122720</v>
      </c>
      <c r="K423" s="251" t="str">
        <f>_xlfn.XLOOKUP(FMS_Ranking4[[#This Row],[FMS ID]],FMS_Input[FMS_ID],FMS_Input[EMER_NEED])</f>
        <v>No</v>
      </c>
      <c r="L423" s="252">
        <f t="shared" si="6"/>
        <v>0</v>
      </c>
      <c r="M423" s="253">
        <f>_xlfn.XLOOKUP(FMS_Ranking4[[#This Row],[FMS ID]],FMS_Input[FMS_ID],FMS_Input[STRUCT_100])</f>
        <v>505</v>
      </c>
      <c r="N423" s="255">
        <f>(ASINH(FMS_Ranking4[[#This Row],[Structure at Risk Raw]]))*(10)/(ASINH(M$4))</f>
        <v>5.4383473817417256</v>
      </c>
      <c r="O423" s="256">
        <f>FMS_Ranking4[[#This Row],[Structures at risk, ArcSinh (0-10)]]*M$5*10</f>
        <v>5.4383473817417265</v>
      </c>
      <c r="P423" s="253">
        <f>_xlfn.XLOOKUP(FMS_Ranking4[[#This Row],[FMS ID]],FMS_Input[FMS_ID],FMS_Input[RES_STRUCT100])</f>
        <v>437</v>
      </c>
      <c r="Q423" s="257">
        <f>ASINH(FMS_Ranking4[[#This Row],[Res Structure Raw]])/Q$4*P$5*100</f>
        <v>0</v>
      </c>
      <c r="R423" s="253">
        <f>_xlfn.XLOOKUP(FMS_Ranking4[[#This Row],[FMS ID]],FMS_Input[FMS_ID],FMS_Input[POP100])</f>
        <v>545</v>
      </c>
      <c r="S423" s="259">
        <f>(ASINH(FMS_Ranking4[[#This Row],[Pop at Risk Raw]]))*(10)/(ASINH(R$4))</f>
        <v>4.8283196861655195</v>
      </c>
      <c r="T423" s="256">
        <f>FMS_Ranking4[[#This Row],[Population at risk, ArcSinh (0-10)]]*R$5*10</f>
        <v>4.8283196861655195</v>
      </c>
      <c r="U423" s="253">
        <f>_xlfn.XLOOKUP(FMS_Ranking4[[#This Row],[FMS ID]],FMS_Input[FMS_ID],FMS_Input[CRITFAC100])</f>
        <v>1</v>
      </c>
      <c r="V423" s="259">
        <f>(ASINH(FMS_Ranking4[[#This Row],[Critical Facilities Raw]]))*(10)/(ASINH(U$4))</f>
        <v>1.0433384451410745</v>
      </c>
      <c r="W423" s="256">
        <f>FMS_Ranking4[[#This Row],[Critical facilities at risk, ArcSinh (0-10)]]*U$5*10</f>
        <v>1.0433384451410745</v>
      </c>
      <c r="X423" s="253">
        <f>_xlfn.XLOOKUP(FMS_Ranking4[[#This Row],[FMS ID]],FMS_Input[FMS_ID],FMS_Input[LWC])</f>
        <v>2</v>
      </c>
      <c r="Y423" s="259">
        <f>(ASINH(FMS_Ranking4[[#This Row],[LWC Raw]]))*(10)/(ASINH(X$4))</f>
        <v>1.9557475158633808</v>
      </c>
      <c r="Z423" s="256">
        <f>FMS_Ranking4[[#This Row],[LWC, ArcSInh (0-10)]]*X$5*10</f>
        <v>1.9557475158633808</v>
      </c>
      <c r="AA423" s="253">
        <f>_xlfn.XLOOKUP(FMS_Ranking4[[#This Row],[FMS ID]],FMS_Input[FMS_ID],FMS_Input[ROADCLS])</f>
        <v>2</v>
      </c>
      <c r="AB423" s="255">
        <f>(ASINH(FMS_Ranking4[[#This Row],[Road Closures Raw]]))*(10)/(ASINH(AA$4))</f>
        <v>1.5034138460359754</v>
      </c>
      <c r="AC423" s="256">
        <f>FMS_Ranking4[[#This Row],[Road closures, ArcSinh (0-10)]]*AA$5*10</f>
        <v>0.7517069230179878</v>
      </c>
      <c r="AD423" s="253">
        <f>_xlfn.XLOOKUP(FMS_Ranking4[[#This Row],[FMS ID]],FMS_Input[FMS_ID],FMS_Input[ROAD_MILES100])</f>
        <v>25</v>
      </c>
      <c r="AE423" s="259">
        <f>(ASINH(FMS_Ranking4[[#This Row],[Road Miles Raw]]))*(10)/(ASINH(AD$4))</f>
        <v>4.1695662658221559</v>
      </c>
      <c r="AF423" s="256">
        <f>FMS_Ranking4[[#This Row],[Length of roads at risk, ArcSinh (0-10)]]*AD$5*10</f>
        <v>4.1695662658221559</v>
      </c>
      <c r="AG423" s="253">
        <f>_xlfn.XLOOKUP(FMS_Ranking4[[#This Row],[FMS ID]],FMS_Input[FMS_ID],FMS_Input[FARMACRE100])</f>
        <v>180.46611022949219</v>
      </c>
      <c r="AH423" s="255">
        <f>(ASINH(FMS_Ranking4[[#This Row],[Ag Land Raw]]))*(10)/(ASINH(AG$4))</f>
        <v>3.8251890094862198</v>
      </c>
      <c r="AI423" s="260">
        <f>FMS_Ranking4[[#This Row],[Farm &amp; ranch land, ArcSinh (0-10)]]*AG$5*10</f>
        <v>1.9125945047431101</v>
      </c>
      <c r="AJ423" s="258">
        <f>_xlfn.XLOOKUP(FMS_Ranking4[[#This Row],[FMS ID]],FMS_Input[FMS_ID],FMS_Input[REDSTRUCT100])</f>
        <v>0</v>
      </c>
      <c r="AK423" s="253">
        <f>_xlfn.XLOOKUP(FMS_Ranking4[[#This Row],[FMS ID]],FMS_Input[FMS_ID],FMS_Input[REMSTRC100])</f>
        <v>0</v>
      </c>
      <c r="AL423" s="259">
        <f>(ASINH(FMS_Ranking4[[#This Row],[Structures Removed Raw]]))*(10)/(ASINH(AK$4))</f>
        <v>0</v>
      </c>
      <c r="AM423" s="262">
        <f>FMS_Ranking4[[#This Row],[Structures removed, ArcSinh (0-10)]]*AK$5*10</f>
        <v>0</v>
      </c>
      <c r="AN423" s="253">
        <f>_xlfn.XLOOKUP(FMS_Ranking4[[#This Row],[FMS ID]],FMS_Input[FMS_ID],FMS_Input[REMRESSTRC100])</f>
        <v>0</v>
      </c>
      <c r="AO423" s="261">
        <f>FMS_Ranking4[[#This Row],[ArcSinh Res struct removed 0-10]]*AN$5*10</f>
        <v>0</v>
      </c>
      <c r="AP423" s="260">
        <f>ASINH(FMS_Ranking4[[#This Row],[Residential Structures Removed Raw]])/AP$4*AN$5*100</f>
        <v>0</v>
      </c>
      <c r="AQ423" s="254">
        <f>(ASINH(FMS_Ranking4[[#This Row],[Residential Structures Removed Raw]]))*(10)/(ASINH(AN$4))</f>
        <v>0</v>
      </c>
      <c r="AR423" s="253">
        <f>_xlfn.XLOOKUP(FMS_Ranking4[[#This Row],[FMS ID]],FMS_Input[FMS_ID],FMS_Input[REMPOP100])</f>
        <v>0</v>
      </c>
      <c r="AS423" s="259">
        <f>(ASINH(FMS_Ranking4[[#This Row],[Removed Pop Raw]]))*(10)/(ASINH(AR$4))</f>
        <v>0</v>
      </c>
      <c r="AT423" s="262">
        <f>FMS_Ranking4[[#This Row],[Removed population, ArcSinh (0-10)]]*AR$5*10</f>
        <v>0</v>
      </c>
      <c r="AU423" s="264">
        <f>_xlfn.XLOOKUP(FMS_Ranking4[[#This Row],[FMS ID]],FMS_Input[FMS_ID],FMS_Input[REMCRITFAC100])</f>
        <v>0</v>
      </c>
      <c r="AV423" s="264">
        <f>_xlfn.XLOOKUP(FMS_Ranking4[[#This Row],[FMS ID]],FMS_Input[FMS_ID],FMS_Input[REMLWC100])</f>
        <v>0</v>
      </c>
      <c r="AW423" s="264">
        <f>_xlfn.XLOOKUP(FMS_Ranking4[[#This Row],[FMS ID]],FMS_Input[FMS_ID],FMS_Input[REMROADCLS])</f>
        <v>0</v>
      </c>
      <c r="AX423" s="264">
        <f>_xlfn.XLOOKUP(FMS_Ranking4[[#This Row],[FMS ID]],FMS_Input[FMS_ID],FMS_Input[REMFRMACRE100])</f>
        <v>0</v>
      </c>
      <c r="AY423" s="258">
        <f>_xlfn.XLOOKUP(FMS_Ranking4[[#This Row],[FMS ID]],FMS_Input[FMS_ID],FMS_Input[COSTSTRUCT])</f>
        <v>0</v>
      </c>
      <c r="AZ423" s="253">
        <f>_xlfn.XLOOKUP(FMS_Ranking4[[#This Row],[FMS ID]],FMS_Input[FMS_ID],FMS_Input[NATURE])</f>
        <v>0</v>
      </c>
      <c r="BA423" s="262">
        <f>(((FMS_Ranking4[[#This Row],[% NBS Raw]]/AZ$4)*100)*AZ$5)</f>
        <v>0</v>
      </c>
      <c r="BB423" s="251" t="str">
        <f>_xlfn.XLOOKUP(FMS_Ranking4[[#This Row],[FMS ID]],FMS_Input[FMS_ID],FMS_Input[WATER_SUP])</f>
        <v>No</v>
      </c>
      <c r="BC423" s="265">
        <f>IF(FMS_Ranking4[[#This Row],[Water Supply Raw]]="Yes",10,0)</f>
        <v>0</v>
      </c>
      <c r="BD423" s="266">
        <f>_xlfn.XLOOKUP(FMS_Ranking4[[#This Row],[FMS Type]],FMS_TYPE[FMS_Type],FMS_TYPE[Score])</f>
        <v>10</v>
      </c>
      <c r="BE423" s="267">
        <f>FMS_Ranking4[[#This Row],[FMS_Type Score]]*$BD$5*10</f>
        <v>2.5</v>
      </c>
      <c r="BF42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0.1087555997875968</v>
      </c>
      <c r="BG423" s="271">
        <f>_xlfn.RANK.EQ(BF423,$BF$8:$BF$870,0)+COUNTIF($BF$8:BF423,BF423)-1</f>
        <v>480</v>
      </c>
      <c r="BH423" s="268">
        <f>(((FMS_Ranking4[[#This Row],[Structures Removed Raw]]/AK$4)*100)*AK$5)+(((FMS_Ranking4[[#This Row],[Removed Pop Raw]]/AR$4)*100)*AR$5)</f>
        <v>0</v>
      </c>
      <c r="BI42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2.6087555997875969</v>
      </c>
      <c r="BJ423" s="205">
        <f>_xlfn.RANK.EQ(FMS_Ranking4[[#This Row],[Total Score 
(with linear
normalization)]],FMS_Ranking4[Total Score 
(with linear
normalization)],0)</f>
        <v>223</v>
      </c>
      <c r="BK423" s="205" t="e">
        <f>_xlfn.XLOOKUP(FMS_Ranking4[[#This Row],[FMS ID]],#REF!,#REF!)</f>
        <v>#REF!</v>
      </c>
      <c r="BL42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20.099620722494958</v>
      </c>
      <c r="BM423" s="272">
        <f>FMS_Ranking4[[#This Row],[ArcSinh Score Based on Normalized Reported Factors]]+FMS_Ranking4[[#This Row],[% NBS Score (Normalized)]]+(FMS_Ranking4[[#This Row],[Water Supply Score (Normalized)]]*10*$BB$5)+FMS_Ranking4[[#This Row],[FMS_Type Score Weighted]]</f>
        <v>22.599620722494958</v>
      </c>
      <c r="BN423" s="205">
        <f>_xlfn.RANK.EQ(FMS_Ranking4[[#This Row],[Total Score (with ArcSinh normalization of select criteria)]],FMS_Ranking4[Total Score (with ArcSinh normalization of select criteria)],0)</f>
        <v>416</v>
      </c>
      <c r="BO423" s="270" t="str">
        <f>_xlfn.XLOOKUP(FMS_Ranking4[[#This Row],[FMS ID]],FMS_Input[FMS_ID],FMS_Input[FMS_RANK_YEAR])</f>
        <v>2023 Amended Plan</v>
      </c>
      <c r="BP423" s="204">
        <f>_xlfn.XLOOKUP(FMS_Ranking4[[#This Row],[FMS ID]],Prev_Rank[FMS ID],Prev_Rank[Prev Rank])</f>
        <v>371</v>
      </c>
      <c r="BQ423" s="205" t="e">
        <f>_xlfn.XLOOKUP(FMS_Ranking4[[#This Row],[FMS ID]],#REF!,#REF!)</f>
        <v>#REF!</v>
      </c>
      <c r="BR423" s="199" t="e">
        <f>SUM(#REF!,#REF!,#REF!,#REF!,#REF!,#REF!,#REF!,#REF!,#REF!,FMS_Ranking4[[#This Row],[ArcSinh Res struct removed 0-10]],#REF!)</f>
        <v>#REF!</v>
      </c>
      <c r="BS423" s="199" t="e">
        <f>FMS_Ranking4[[#This Row],[Log Score Based on Normalized Reported Factors]]+FMS_Ranking4[[#This Row],[% NBS Score (Normalized)]]+(FMS_Ranking4[[#This Row],[Water Supply Score (Normalized)]]*10*$BB$5)+(FMS_Ranking4[[#This Row],[FMS_Type Score Weighted]])</f>
        <v>#REF!</v>
      </c>
      <c r="BT423" s="200" t="e">
        <f>_xlfn.RANK.EQ(FMS_Ranking4[[#This Row],[Log Total Score]],FMS_Ranking4[Log Total Score],0)</f>
        <v>#REF!</v>
      </c>
      <c r="BU423" s="200" t="e">
        <f>_xlfn.XLOOKUP(FMS_Ranking4[[#This Row],[FMS ID]],#REF!,#REF!)</f>
        <v>#REF!</v>
      </c>
      <c r="BV423" s="200">
        <f>FMS_Ranking4[[#This Row],[Region Number]]</f>
        <v>6</v>
      </c>
      <c r="BW423" s="200">
        <f>FMS_Ranking4[[#This Row],[Rank (with ArcSinh normalization of select criteria)]]-FMS_Ranking4[[#This Row],[Rank
(with linear
normalization)]]</f>
        <v>193</v>
      </c>
      <c r="BX423" s="200" t="e">
        <f>FMS_Ranking4[[#This Row],[Log Rank]]-FMS_Ranking4[[#This Row],[Rank
(with linear
normalization)]]</f>
        <v>#REF!</v>
      </c>
      <c r="BY423" s="200">
        <f>IF(FMS_Ranking4[[#This Row],[FMS Type]]="Flood Measurement and Warning",FMS_Ranking4[[#This Row],[Rank (with ArcSinh normalization of select criteria)]],"")</f>
        <v>416</v>
      </c>
      <c r="BZ423" s="200" t="str">
        <f>IF(FMS_Ranking4[[#This Row],[FMS Type]]="Regulatory and Guidance",FMS_Ranking4[[#This Row],[Rank (with ArcSinh normalization of select criteria)]],"")</f>
        <v/>
      </c>
      <c r="CA423" s="200" t="str">
        <f>IF(FMS_Ranking4[[#This Row],[FMS Type]]="Education and Outreach",FMS_Ranking4[[#This Row],[Rank (with ArcSinh normalization of select criteria)]],"")</f>
        <v/>
      </c>
      <c r="CB423" s="200" t="str">
        <f>IF(FMS_Ranking4[[#This Row],[FMS Type]]="Property Acquisition and Structural Elevation",FMS_Ranking4[[#This Row],[Rank (with ArcSinh normalization of select criteria)]],"")</f>
        <v/>
      </c>
      <c r="CC423" s="200" t="str">
        <f>IF(FMS_Ranking4[[#This Row],[FMS Type]]="Infrastructure Projects",FMS_Ranking4[[#This Row],[Rank (with ArcSinh normalization of select criteria)]],"")</f>
        <v/>
      </c>
      <c r="CD423" s="200" t="str">
        <f>IF(FMS_Ranking4[[#This Row],[FMS Type]]="Other",FMS_Ranking4[[#This Row],[Rank (with ArcSinh normalization of select criteria)]],"")</f>
        <v/>
      </c>
      <c r="CE423" s="201"/>
      <c r="CF423" s="206"/>
      <c r="CG423" s="206"/>
      <c r="CH423" s="206"/>
      <c r="CI423" s="206"/>
      <c r="CJ423" s="206"/>
      <c r="CK423" s="206"/>
      <c r="CL423" s="206"/>
      <c r="CM423" s="206"/>
      <c r="CN423" s="206"/>
      <c r="CO423" s="206"/>
      <c r="CP423" s="206"/>
      <c r="CQ423" s="206"/>
      <c r="CR423" s="206"/>
    </row>
    <row r="424" spans="2:96" ht="105" x14ac:dyDescent="0.25">
      <c r="B424" s="341" t="s">
        <v>4814</v>
      </c>
      <c r="C424" s="246">
        <f>_xlfn.XLOOKUP(FMS_Ranking4[[#This Row],[FMS ID]],FMS_Input[FMS_ID],FMS_Input[RFPG_NUM])</f>
        <v>4</v>
      </c>
      <c r="D424" s="309" t="str">
        <f>_xlfn.XLOOKUP(FMS_Ranking4[[#This Row],[FMS ID]],FMS_Input[FMS_ID],FMS_Input[FMS_NAME])</f>
        <v>City of Kilgore "StormReady" Program</v>
      </c>
      <c r="E424" s="308" t="str">
        <f>_xlfn.XLOOKUP(FMS_Ranking4[[#This Row],[FMS ID]],FMS_Input[FMS_ID],FMS_Input[SPONSOR])</f>
        <v>04002775</v>
      </c>
      <c r="F424" s="309" t="str">
        <f>_xlfn.XLOOKUP(FMS_Ranking4[[#This Row],[FMS ID]],Sponsor[FMS_ID],Sponsor[SPONSOR NAME])</f>
        <v>Kilgore</v>
      </c>
      <c r="G424" s="309" t="str">
        <f>_xlfn.XLOOKUP(FMS_Ranking4[[#This Row],[FMS ID]],FMS_Input[FMS_ID],FMS_Input[FMS_DESCR])</f>
        <v>Obtain awareness materials from Texas Floodplain Management Association for distribution to the public. Post public awareness content on social media platforms prior to and during flooding.</v>
      </c>
      <c r="H424" s="248" t="str">
        <f>_xlfn.XLOOKUP(FMS_Ranking4[[#This Row],[FMS ID]],FMS_Input[FMS_ID],FMS_Input[FMS_TYPE])</f>
        <v>Education and Outreach</v>
      </c>
      <c r="I424" s="249">
        <f>_xlfn.XLOOKUP(FMS_Ranking4[[#This Row],[FMS ID]],FMS_Input[FMS_ID],FMS_Input[NRNC_COST])</f>
        <v>5000</v>
      </c>
      <c r="J424" s="250">
        <f>_xlfn.XLOOKUP(FMS_Ranking4[[#This Row],[FMS ID]],FMS_Input[FMS_ID],FMS_Input[FMS_COST])</f>
        <v>5000</v>
      </c>
      <c r="K424" s="251" t="str">
        <f>_xlfn.XLOOKUP(FMS_Ranking4[[#This Row],[FMS ID]],FMS_Input[FMS_ID],FMS_Input[EMER_NEED])</f>
        <v>No</v>
      </c>
      <c r="L424" s="252">
        <f t="shared" si="6"/>
        <v>0</v>
      </c>
      <c r="M424" s="253">
        <f>_xlfn.XLOOKUP(FMS_Ranking4[[#This Row],[FMS ID]],FMS_Input[FMS_ID],FMS_Input[STRUCT_100])</f>
        <v>296</v>
      </c>
      <c r="N424" s="255">
        <f>(ASINH(FMS_Ranking4[[#This Row],[Structure at Risk Raw]]))*(10)/(ASINH(M$4))</f>
        <v>5.0183889211464106</v>
      </c>
      <c r="O424" s="256">
        <f>FMS_Ranking4[[#This Row],[Structures at risk, ArcSinh (0-10)]]*M$5*10</f>
        <v>5.0183889211464106</v>
      </c>
      <c r="P424" s="253">
        <f>_xlfn.XLOOKUP(FMS_Ranking4[[#This Row],[FMS ID]],FMS_Input[FMS_ID],FMS_Input[RES_STRUCT100])</f>
        <v>224</v>
      </c>
      <c r="Q424" s="257">
        <f>ASINH(FMS_Ranking4[[#This Row],[Res Structure Raw]])/Q$4*P$5*100</f>
        <v>0</v>
      </c>
      <c r="R424" s="253">
        <f>_xlfn.XLOOKUP(FMS_Ranking4[[#This Row],[FMS ID]],FMS_Input[FMS_ID],FMS_Input[POP100])</f>
        <v>870</v>
      </c>
      <c r="S424" s="259">
        <f>(ASINH(FMS_Ranking4[[#This Row],[Pop at Risk Raw]]))*(10)/(ASINH(R$4))</f>
        <v>5.151204992030296</v>
      </c>
      <c r="T424" s="256">
        <f>FMS_Ranking4[[#This Row],[Population at risk, ArcSinh (0-10)]]*R$5*10</f>
        <v>5.151204992030296</v>
      </c>
      <c r="U424" s="253">
        <f>_xlfn.XLOOKUP(FMS_Ranking4[[#This Row],[FMS ID]],FMS_Input[FMS_ID],FMS_Input[CRITFAC100])</f>
        <v>3</v>
      </c>
      <c r="V424" s="259">
        <f>(ASINH(FMS_Ranking4[[#This Row],[Critical Facilities Raw]]))*(10)/(ASINH(U$4))</f>
        <v>2.152611706646717</v>
      </c>
      <c r="W424" s="256">
        <f>FMS_Ranking4[[#This Row],[Critical facilities at risk, ArcSinh (0-10)]]*U$5*10</f>
        <v>2.152611706646717</v>
      </c>
      <c r="X424" s="253">
        <f>_xlfn.XLOOKUP(FMS_Ranking4[[#This Row],[FMS ID]],FMS_Input[FMS_ID],FMS_Input[LWC])</f>
        <v>3</v>
      </c>
      <c r="Y424" s="259">
        <f>(ASINH(FMS_Ranking4[[#This Row],[LWC Raw]]))*(10)/(ASINH(X$4))</f>
        <v>2.4635181155638843</v>
      </c>
      <c r="Z424" s="256">
        <f>FMS_Ranking4[[#This Row],[LWC, ArcSInh (0-10)]]*X$5*10</f>
        <v>2.4635181155638843</v>
      </c>
      <c r="AA424" s="253">
        <f>_xlfn.XLOOKUP(FMS_Ranking4[[#This Row],[FMS ID]],FMS_Input[FMS_ID],FMS_Input[ROADCLS])</f>
        <v>3</v>
      </c>
      <c r="AB424" s="255">
        <f>(ASINH(FMS_Ranking4[[#This Row],[Road Closures Raw]]))*(10)/(ASINH(AA$4))</f>
        <v>1.8937450846072912</v>
      </c>
      <c r="AC424" s="256">
        <f>FMS_Ranking4[[#This Row],[Road closures, ArcSinh (0-10)]]*AA$5*10</f>
        <v>0.94687254230364559</v>
      </c>
      <c r="AD424" s="253">
        <f>_xlfn.XLOOKUP(FMS_Ranking4[[#This Row],[FMS ID]],FMS_Input[FMS_ID],FMS_Input[ROAD_MILES100])</f>
        <v>15</v>
      </c>
      <c r="AE424" s="259">
        <f>(ASINH(FMS_Ranking4[[#This Row],[Road Miles Raw]]))*(10)/(ASINH(AD$4))</f>
        <v>3.625922827042257</v>
      </c>
      <c r="AF424" s="256">
        <f>FMS_Ranking4[[#This Row],[Length of roads at risk, ArcSinh (0-10)]]*AD$5*10</f>
        <v>3.625922827042257</v>
      </c>
      <c r="AG424" s="253">
        <f>_xlfn.XLOOKUP(FMS_Ranking4[[#This Row],[FMS ID]],FMS_Input[FMS_ID],FMS_Input[FARMACRE100])</f>
        <v>95.777946472167969</v>
      </c>
      <c r="AH424" s="255">
        <f>(ASINH(FMS_Ranking4[[#This Row],[Ag Land Raw]]))*(10)/(ASINH(AG$4))</f>
        <v>3.4136850110494197</v>
      </c>
      <c r="AI424" s="260">
        <f>FMS_Ranking4[[#This Row],[Farm &amp; ranch land, ArcSinh (0-10)]]*AG$5*10</f>
        <v>1.7068425055247101</v>
      </c>
      <c r="AJ424" s="258">
        <f>_xlfn.XLOOKUP(FMS_Ranking4[[#This Row],[FMS ID]],FMS_Input[FMS_ID],FMS_Input[REDSTRUCT100])</f>
        <v>0</v>
      </c>
      <c r="AK424" s="253">
        <f>_xlfn.XLOOKUP(FMS_Ranking4[[#This Row],[FMS ID]],FMS_Input[FMS_ID],FMS_Input[REMSTRC100])</f>
        <v>0</v>
      </c>
      <c r="AL424" s="259">
        <f>(ASINH(FMS_Ranking4[[#This Row],[Structures Removed Raw]]))*(10)/(ASINH(AK$4))</f>
        <v>0</v>
      </c>
      <c r="AM424" s="262">
        <f>FMS_Ranking4[[#This Row],[Structures removed, ArcSinh (0-10)]]*AK$5*10</f>
        <v>0</v>
      </c>
      <c r="AN424" s="253">
        <f>_xlfn.XLOOKUP(FMS_Ranking4[[#This Row],[FMS ID]],FMS_Input[FMS_ID],FMS_Input[REMRESSTRC100])</f>
        <v>0</v>
      </c>
      <c r="AO424" s="261">
        <f>FMS_Ranking4[[#This Row],[ArcSinh Res struct removed 0-10]]*AN$5*10</f>
        <v>0</v>
      </c>
      <c r="AP424" s="260">
        <f>ASINH(FMS_Ranking4[[#This Row],[Residential Structures Removed Raw]])/AP$4*AN$5*100</f>
        <v>0</v>
      </c>
      <c r="AQ424" s="254">
        <f>(ASINH(FMS_Ranking4[[#This Row],[Residential Structures Removed Raw]]))*(10)/(ASINH(AN$4))</f>
        <v>0</v>
      </c>
      <c r="AR424" s="253">
        <f>_xlfn.XLOOKUP(FMS_Ranking4[[#This Row],[FMS ID]],FMS_Input[FMS_ID],FMS_Input[REMPOP100])</f>
        <v>0</v>
      </c>
      <c r="AS424" s="259">
        <f>(ASINH(FMS_Ranking4[[#This Row],[Removed Pop Raw]]))*(10)/(ASINH(AR$4))</f>
        <v>0</v>
      </c>
      <c r="AT424" s="262">
        <f>FMS_Ranking4[[#This Row],[Removed population, ArcSinh (0-10)]]*AR$5*10</f>
        <v>0</v>
      </c>
      <c r="AU424" s="264">
        <f>_xlfn.XLOOKUP(FMS_Ranking4[[#This Row],[FMS ID]],FMS_Input[FMS_ID],FMS_Input[REMCRITFAC100])</f>
        <v>0</v>
      </c>
      <c r="AV424" s="264">
        <f>_xlfn.XLOOKUP(FMS_Ranking4[[#This Row],[FMS ID]],FMS_Input[FMS_ID],FMS_Input[REMLWC100])</f>
        <v>0</v>
      </c>
      <c r="AW424" s="264">
        <f>_xlfn.XLOOKUP(FMS_Ranking4[[#This Row],[FMS ID]],FMS_Input[FMS_ID],FMS_Input[REMROADCLS])</f>
        <v>0</v>
      </c>
      <c r="AX424" s="264">
        <f>_xlfn.XLOOKUP(FMS_Ranking4[[#This Row],[FMS ID]],FMS_Input[FMS_ID],FMS_Input[REMFRMACRE100])</f>
        <v>0</v>
      </c>
      <c r="AY424" s="258">
        <f>_xlfn.XLOOKUP(FMS_Ranking4[[#This Row],[FMS ID]],FMS_Input[FMS_ID],FMS_Input[COSTSTRUCT])</f>
        <v>0</v>
      </c>
      <c r="AZ424" s="253">
        <f>_xlfn.XLOOKUP(FMS_Ranking4[[#This Row],[FMS ID]],FMS_Input[FMS_ID],FMS_Input[NATURE])</f>
        <v>0</v>
      </c>
      <c r="BA424" s="262">
        <f>(((FMS_Ranking4[[#This Row],[% NBS Raw]]/AZ$4)*100)*AZ$5)</f>
        <v>0</v>
      </c>
      <c r="BB424" s="251" t="str">
        <f>_xlfn.XLOOKUP(FMS_Ranking4[[#This Row],[FMS ID]],FMS_Input[FMS_ID],FMS_Input[WATER_SUP])</f>
        <v>No</v>
      </c>
      <c r="BC424" s="265">
        <f>IF(FMS_Ranking4[[#This Row],[Water Supply Raw]]="Yes",10,0)</f>
        <v>0</v>
      </c>
      <c r="BD424" s="266">
        <f>_xlfn.XLOOKUP(FMS_Ranking4[[#This Row],[FMS Type]],FMS_TYPE[FMS_Type],FMS_TYPE[Score])</f>
        <v>6</v>
      </c>
      <c r="BE424" s="267">
        <f>FMS_Ranking4[[#This Row],[FMS_Type Score]]*$BD$5*10</f>
        <v>1.5000000000000002</v>
      </c>
      <c r="BF42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0.10429143046593786</v>
      </c>
      <c r="BG424" s="271">
        <f>_xlfn.RANK.EQ(BF424,$BF$8:$BF$870,0)+COUNTIF($BF$8:BF424,BF424)-1</f>
        <v>492</v>
      </c>
      <c r="BH424" s="268">
        <f>(((FMS_Ranking4[[#This Row],[Structures Removed Raw]]/AK$4)*100)*AK$5)+(((FMS_Ranking4[[#This Row],[Removed Pop Raw]]/AR$4)*100)*AR$5)</f>
        <v>0</v>
      </c>
      <c r="BI42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1.6042914304659381</v>
      </c>
      <c r="BJ424" s="205">
        <f>_xlfn.RANK.EQ(FMS_Ranking4[[#This Row],[Total Score 
(with linear
normalization)]],FMS_Ranking4[Total Score 
(with linear
normalization)],0)</f>
        <v>565</v>
      </c>
      <c r="BK424" s="205" t="e">
        <f>_xlfn.XLOOKUP(FMS_Ranking4[[#This Row],[FMS ID]],#REF!,#REF!)</f>
        <v>#REF!</v>
      </c>
      <c r="BL42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21.065361610257924</v>
      </c>
      <c r="BM424" s="272">
        <f>FMS_Ranking4[[#This Row],[ArcSinh Score Based on Normalized Reported Factors]]+FMS_Ranking4[[#This Row],[% NBS Score (Normalized)]]+(FMS_Ranking4[[#This Row],[Water Supply Score (Normalized)]]*10*$BB$5)+FMS_Ranking4[[#This Row],[FMS_Type Score Weighted]]</f>
        <v>22.565361610257924</v>
      </c>
      <c r="BN424" s="205">
        <f>_xlfn.RANK.EQ(FMS_Ranking4[[#This Row],[Total Score (with ArcSinh normalization of select criteria)]],FMS_Ranking4[Total Score (with ArcSinh normalization of select criteria)],0)</f>
        <v>417</v>
      </c>
      <c r="BO424" s="270" t="str">
        <f>_xlfn.XLOOKUP(FMS_Ranking4[[#This Row],[FMS ID]],FMS_Input[FMS_ID],FMS_Input[FMS_RANK_YEAR])</f>
        <v>2023 Amended Plan</v>
      </c>
      <c r="BP424" s="204">
        <f>_xlfn.XLOOKUP(FMS_Ranking4[[#This Row],[FMS ID]],Prev_Rank[FMS ID],Prev_Rank[Prev Rank])</f>
        <v>373</v>
      </c>
      <c r="BQ424" s="205" t="e">
        <f>_xlfn.XLOOKUP(FMS_Ranking4[[#This Row],[FMS ID]],#REF!,#REF!)</f>
        <v>#REF!</v>
      </c>
      <c r="BR424" s="199" t="e">
        <f>SUM(#REF!,#REF!,#REF!,#REF!,#REF!,#REF!,#REF!,#REF!,#REF!,FMS_Ranking4[[#This Row],[ArcSinh Res struct removed 0-10]],#REF!)</f>
        <v>#REF!</v>
      </c>
      <c r="BS424" s="199" t="e">
        <f>FMS_Ranking4[[#This Row],[Log Score Based on Normalized Reported Factors]]+FMS_Ranking4[[#This Row],[% NBS Score (Normalized)]]+(FMS_Ranking4[[#This Row],[Water Supply Score (Normalized)]]*10*$BB$5)+(FMS_Ranking4[[#This Row],[FMS_Type Score Weighted]])</f>
        <v>#REF!</v>
      </c>
      <c r="BT424" s="200" t="e">
        <f>_xlfn.RANK.EQ(FMS_Ranking4[[#This Row],[Log Total Score]],FMS_Ranking4[Log Total Score],0)</f>
        <v>#REF!</v>
      </c>
      <c r="BU424" s="200" t="e">
        <f>_xlfn.XLOOKUP(FMS_Ranking4[[#This Row],[FMS ID]],#REF!,#REF!)</f>
        <v>#REF!</v>
      </c>
      <c r="BV424" s="200">
        <f>FMS_Ranking4[[#This Row],[Region Number]]</f>
        <v>4</v>
      </c>
      <c r="BW424" s="200">
        <f>FMS_Ranking4[[#This Row],[Rank (with ArcSinh normalization of select criteria)]]-FMS_Ranking4[[#This Row],[Rank
(with linear
normalization)]]</f>
        <v>-148</v>
      </c>
      <c r="BX424" s="200" t="e">
        <f>FMS_Ranking4[[#This Row],[Log Rank]]-FMS_Ranking4[[#This Row],[Rank
(with linear
normalization)]]</f>
        <v>#REF!</v>
      </c>
      <c r="BY424" s="200" t="str">
        <f>IF(FMS_Ranking4[[#This Row],[FMS Type]]="Flood Measurement and Warning",FMS_Ranking4[[#This Row],[Rank (with ArcSinh normalization of select criteria)]],"")</f>
        <v/>
      </c>
      <c r="BZ424" s="200" t="str">
        <f>IF(FMS_Ranking4[[#This Row],[FMS Type]]="Regulatory and Guidance",FMS_Ranking4[[#This Row],[Rank (with ArcSinh normalization of select criteria)]],"")</f>
        <v/>
      </c>
      <c r="CA424" s="200">
        <f>IF(FMS_Ranking4[[#This Row],[FMS Type]]="Education and Outreach",FMS_Ranking4[[#This Row],[Rank (with ArcSinh normalization of select criteria)]],"")</f>
        <v>417</v>
      </c>
      <c r="CB424" s="200" t="str">
        <f>IF(FMS_Ranking4[[#This Row],[FMS Type]]="Property Acquisition and Structural Elevation",FMS_Ranking4[[#This Row],[Rank (with ArcSinh normalization of select criteria)]],"")</f>
        <v/>
      </c>
      <c r="CC424" s="200" t="str">
        <f>IF(FMS_Ranking4[[#This Row],[FMS Type]]="Infrastructure Projects",FMS_Ranking4[[#This Row],[Rank (with ArcSinh normalization of select criteria)]],"")</f>
        <v/>
      </c>
      <c r="CD424" s="200" t="str">
        <f>IF(FMS_Ranking4[[#This Row],[FMS Type]]="Other",FMS_Ranking4[[#This Row],[Rank (with ArcSinh normalization of select criteria)]],"")</f>
        <v/>
      </c>
      <c r="CE424" s="201"/>
      <c r="CF424" s="206"/>
      <c r="CG424" s="206"/>
      <c r="CH424" s="206"/>
      <c r="CI424" s="206"/>
      <c r="CJ424" s="206"/>
      <c r="CK424" s="206"/>
      <c r="CL424" s="206"/>
      <c r="CM424" s="206"/>
      <c r="CN424" s="206"/>
      <c r="CO424" s="206"/>
      <c r="CP424" s="206"/>
      <c r="CQ424" s="206"/>
      <c r="CR424" s="206"/>
    </row>
    <row r="425" spans="2:96" ht="30" x14ac:dyDescent="0.25">
      <c r="B425" s="341" t="s">
        <v>1348</v>
      </c>
      <c r="C425" s="246">
        <f>_xlfn.XLOOKUP(FMS_Ranking4[[#This Row],[FMS ID]],FMS_Input[FMS_ID],FMS_Input[RFPG_NUM])</f>
        <v>1</v>
      </c>
      <c r="D425" s="309" t="str">
        <f>_xlfn.XLOOKUP(FMS_Ranking4[[#This Row],[FMS ID]],FMS_Input[FMS_ID],FMS_Input[FMS_NAME])</f>
        <v>Hemphill County NFIP Involvement</v>
      </c>
      <c r="E425" s="308" t="str">
        <f>_xlfn.XLOOKUP(FMS_Ranking4[[#This Row],[FMS ID]],FMS_Input[FMS_ID],FMS_Input[SPONSOR])</f>
        <v>01000229</v>
      </c>
      <c r="F425" s="309" t="str">
        <f>_xlfn.XLOOKUP(FMS_Ranking4[[#This Row],[FMS ID]],Sponsor[FMS_ID],Sponsor[SPONSOR NAME])</f>
        <v>Hemphill</v>
      </c>
      <c r="G425" s="309" t="str">
        <f>_xlfn.XLOOKUP(FMS_Ranking4[[#This Row],[FMS ID]],FMS_Input[FMS_ID],FMS_Input[FMS_DESCR])</f>
        <v>Application to join NFIP or adopt equivalent standards</v>
      </c>
      <c r="H425" s="248" t="str">
        <f>_xlfn.XLOOKUP(FMS_Ranking4[[#This Row],[FMS ID]],FMS_Input[FMS_ID],FMS_Input[FMS_TYPE])</f>
        <v>Regulatory and Guidance</v>
      </c>
      <c r="I425" s="249">
        <f>_xlfn.XLOOKUP(FMS_Ranking4[[#This Row],[FMS ID]],FMS_Input[FMS_ID],FMS_Input[NRNC_COST])</f>
        <v>100000</v>
      </c>
      <c r="J425" s="250">
        <f>_xlfn.XLOOKUP(FMS_Ranking4[[#This Row],[FMS ID]],FMS_Input[FMS_ID],FMS_Input[FMS_COST])</f>
        <v>100000</v>
      </c>
      <c r="K425" s="251" t="str">
        <f>_xlfn.XLOOKUP(FMS_Ranking4[[#This Row],[FMS ID]],FMS_Input[FMS_ID],FMS_Input[EMER_NEED])</f>
        <v>No</v>
      </c>
      <c r="L425" s="252">
        <f t="shared" si="6"/>
        <v>0</v>
      </c>
      <c r="M425" s="253">
        <f>_xlfn.XLOOKUP(FMS_Ranking4[[#This Row],[FMS ID]],FMS_Input[FMS_ID],FMS_Input[STRUCT_100])</f>
        <v>101</v>
      </c>
      <c r="N425" s="255">
        <f>(ASINH(FMS_Ranking4[[#This Row],[Structure at Risk Raw]]))*(10)/(ASINH(M$4))</f>
        <v>4.1731080427431042</v>
      </c>
      <c r="O425" s="256">
        <f>FMS_Ranking4[[#This Row],[Structures at risk, ArcSinh (0-10)]]*M$5*10</f>
        <v>4.1731080427431042</v>
      </c>
      <c r="P425" s="253">
        <f>_xlfn.XLOOKUP(FMS_Ranking4[[#This Row],[FMS ID]],FMS_Input[FMS_ID],FMS_Input[RES_STRUCT100])</f>
        <v>0</v>
      </c>
      <c r="Q425" s="257">
        <f>ASINH(FMS_Ranking4[[#This Row],[Res Structure Raw]])/Q$4*P$5*100</f>
        <v>0</v>
      </c>
      <c r="R425" s="253">
        <f>_xlfn.XLOOKUP(FMS_Ranking4[[#This Row],[FMS ID]],FMS_Input[FMS_ID],FMS_Input[POP100])</f>
        <v>76</v>
      </c>
      <c r="S425" s="259">
        <f>(ASINH(FMS_Ranking4[[#This Row],[Pop at Risk Raw]]))*(10)/(ASINH(R$4))</f>
        <v>3.468307081994126</v>
      </c>
      <c r="T425" s="256">
        <f>FMS_Ranking4[[#This Row],[Population at risk, ArcSinh (0-10)]]*R$5*10</f>
        <v>3.4683070819941264</v>
      </c>
      <c r="U425" s="253">
        <f>_xlfn.XLOOKUP(FMS_Ranking4[[#This Row],[FMS ID]],FMS_Input[FMS_ID],FMS_Input[CRITFAC100])</f>
        <v>0</v>
      </c>
      <c r="V425" s="259">
        <f>(ASINH(FMS_Ranking4[[#This Row],[Critical Facilities Raw]]))*(10)/(ASINH(U$4))</f>
        <v>0</v>
      </c>
      <c r="W425" s="256">
        <f>FMS_Ranking4[[#This Row],[Critical facilities at risk, ArcSinh (0-10)]]*U$5*10</f>
        <v>0</v>
      </c>
      <c r="X425" s="253">
        <f>_xlfn.XLOOKUP(FMS_Ranking4[[#This Row],[FMS ID]],FMS_Input[FMS_ID],FMS_Input[LWC])</f>
        <v>6</v>
      </c>
      <c r="Y425" s="259">
        <f>(ASINH(FMS_Ranking4[[#This Row],[LWC Raw]]))*(10)/(ASINH(X$4))</f>
        <v>3.375708300798784</v>
      </c>
      <c r="Z425" s="256">
        <f>FMS_Ranking4[[#This Row],[LWC, ArcSInh (0-10)]]*X$5*10</f>
        <v>3.3757083007987845</v>
      </c>
      <c r="AA425" s="253">
        <f>_xlfn.XLOOKUP(FMS_Ranking4[[#This Row],[FMS ID]],FMS_Input[FMS_ID],FMS_Input[ROADCLS])</f>
        <v>6</v>
      </c>
      <c r="AB425" s="255">
        <f>(ASINH(FMS_Ranking4[[#This Row],[Road Closures Raw]]))*(10)/(ASINH(AA$4))</f>
        <v>2.5949600132095934</v>
      </c>
      <c r="AC425" s="256">
        <f>FMS_Ranking4[[#This Row],[Road closures, ArcSinh (0-10)]]*AA$5*10</f>
        <v>1.2974800066047967</v>
      </c>
      <c r="AD425" s="253">
        <f>_xlfn.XLOOKUP(FMS_Ranking4[[#This Row],[FMS ID]],FMS_Input[FMS_ID],FMS_Input[ROAD_MILES100])</f>
        <v>30</v>
      </c>
      <c r="AE425" s="259">
        <f>(ASINH(FMS_Ranking4[[#This Row],[Road Miles Raw]]))*(10)/(ASINH(AD$4))</f>
        <v>4.3637407612967882</v>
      </c>
      <c r="AF425" s="256">
        <f>FMS_Ranking4[[#This Row],[Length of roads at risk, ArcSinh (0-10)]]*AD$5*10</f>
        <v>4.3637407612967882</v>
      </c>
      <c r="AG425" s="253">
        <f>_xlfn.XLOOKUP(FMS_Ranking4[[#This Row],[FMS ID]],FMS_Input[FMS_ID],FMS_Input[FARMACRE100])</f>
        <v>77405.3203125</v>
      </c>
      <c r="AH425" s="255">
        <f>(ASINH(FMS_Ranking4[[#This Row],[Ag Land Raw]]))*(10)/(ASINH(AG$4))</f>
        <v>7.7624712601161026</v>
      </c>
      <c r="AI425" s="260">
        <f>FMS_Ranking4[[#This Row],[Farm &amp; ranch land, ArcSinh (0-10)]]*AG$5*10</f>
        <v>3.8812356300580513</v>
      </c>
      <c r="AJ425" s="258">
        <f>_xlfn.XLOOKUP(FMS_Ranking4[[#This Row],[FMS ID]],FMS_Input[FMS_ID],FMS_Input[REDSTRUCT100])</f>
        <v>0</v>
      </c>
      <c r="AK425" s="253">
        <f>_xlfn.XLOOKUP(FMS_Ranking4[[#This Row],[FMS ID]],FMS_Input[FMS_ID],FMS_Input[REMSTRC100])</f>
        <v>0</v>
      </c>
      <c r="AL425" s="259">
        <f>(ASINH(FMS_Ranking4[[#This Row],[Structures Removed Raw]]))*(10)/(ASINH(AK$4))</f>
        <v>0</v>
      </c>
      <c r="AM425" s="262">
        <f>FMS_Ranking4[[#This Row],[Structures removed, ArcSinh (0-10)]]*AK$5*10</f>
        <v>0</v>
      </c>
      <c r="AN425" s="253">
        <f>_xlfn.XLOOKUP(FMS_Ranking4[[#This Row],[FMS ID]],FMS_Input[FMS_ID],FMS_Input[REMRESSTRC100])</f>
        <v>0</v>
      </c>
      <c r="AO425" s="261">
        <f>FMS_Ranking4[[#This Row],[ArcSinh Res struct removed 0-10]]*AN$5*10</f>
        <v>0</v>
      </c>
      <c r="AP425" s="260">
        <f>ASINH(FMS_Ranking4[[#This Row],[Residential Structures Removed Raw]])/AP$4*AN$5*100</f>
        <v>0</v>
      </c>
      <c r="AQ425" s="254">
        <f>(ASINH(FMS_Ranking4[[#This Row],[Residential Structures Removed Raw]]))*(10)/(ASINH(AN$4))</f>
        <v>0</v>
      </c>
      <c r="AR425" s="253">
        <f>_xlfn.XLOOKUP(FMS_Ranking4[[#This Row],[FMS ID]],FMS_Input[FMS_ID],FMS_Input[REMPOP100])</f>
        <v>0</v>
      </c>
      <c r="AS425" s="259">
        <f>(ASINH(FMS_Ranking4[[#This Row],[Removed Pop Raw]]))*(10)/(ASINH(AR$4))</f>
        <v>0</v>
      </c>
      <c r="AT425" s="262">
        <f>FMS_Ranking4[[#This Row],[Removed population, ArcSinh (0-10)]]*AR$5*10</f>
        <v>0</v>
      </c>
      <c r="AU425" s="264">
        <f>_xlfn.XLOOKUP(FMS_Ranking4[[#This Row],[FMS ID]],FMS_Input[FMS_ID],FMS_Input[REMCRITFAC100])</f>
        <v>0</v>
      </c>
      <c r="AV425" s="264">
        <f>_xlfn.XLOOKUP(FMS_Ranking4[[#This Row],[FMS ID]],FMS_Input[FMS_ID],FMS_Input[REMLWC100])</f>
        <v>0</v>
      </c>
      <c r="AW425" s="264">
        <f>_xlfn.XLOOKUP(FMS_Ranking4[[#This Row],[FMS ID]],FMS_Input[FMS_ID],FMS_Input[REMROADCLS])</f>
        <v>0</v>
      </c>
      <c r="AX425" s="264">
        <f>_xlfn.XLOOKUP(FMS_Ranking4[[#This Row],[FMS ID]],FMS_Input[FMS_ID],FMS_Input[REMFRMACRE100])</f>
        <v>0</v>
      </c>
      <c r="AY425" s="258">
        <f>_xlfn.XLOOKUP(FMS_Ranking4[[#This Row],[FMS ID]],FMS_Input[FMS_ID],FMS_Input[COSTSTRUCT])</f>
        <v>0</v>
      </c>
      <c r="AZ425" s="253">
        <f>_xlfn.XLOOKUP(FMS_Ranking4[[#This Row],[FMS ID]],FMS_Input[FMS_ID],FMS_Input[NATURE])</f>
        <v>0</v>
      </c>
      <c r="BA425" s="262">
        <f>(((FMS_Ranking4[[#This Row],[% NBS Raw]]/AZ$4)*100)*AZ$5)</f>
        <v>0</v>
      </c>
      <c r="BB425" s="251" t="str">
        <f>_xlfn.XLOOKUP(FMS_Ranking4[[#This Row],[FMS ID]],FMS_Input[FMS_ID],FMS_Input[WATER_SUP])</f>
        <v>No</v>
      </c>
      <c r="BC425" s="265">
        <f>IF(FMS_Ranking4[[#This Row],[Water Supply Raw]]="Yes",10,0)</f>
        <v>0</v>
      </c>
      <c r="BD425" s="266">
        <f>_xlfn.XLOOKUP(FMS_Ranking4[[#This Row],[FMS Type]],FMS_TYPE[FMS_Type],FMS_TYPE[Score])</f>
        <v>8</v>
      </c>
      <c r="BE425" s="267">
        <f>FMS_Ranking4[[#This Row],[FMS_Type Score]]*$BD$5*10</f>
        <v>2</v>
      </c>
      <c r="BF42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0.29565517872817637</v>
      </c>
      <c r="BG425" s="271">
        <f>_xlfn.RANK.EQ(BF425,$BF$8:$BF$870,0)+COUNTIF($BF$8:BF425,BF425)-1</f>
        <v>297</v>
      </c>
      <c r="BH425" s="268">
        <f>(((FMS_Ranking4[[#This Row],[Structures Removed Raw]]/AK$4)*100)*AK$5)+(((FMS_Ranking4[[#This Row],[Removed Pop Raw]]/AR$4)*100)*AR$5)</f>
        <v>0</v>
      </c>
      <c r="BI42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2.2956551787281763</v>
      </c>
      <c r="BJ425" s="205">
        <f>_xlfn.RANK.EQ(FMS_Ranking4[[#This Row],[Total Score 
(with linear
normalization)]],FMS_Ranking4[Total Score 
(with linear
normalization)],0)</f>
        <v>297</v>
      </c>
      <c r="BK425" s="205" t="e">
        <f>_xlfn.XLOOKUP(FMS_Ranking4[[#This Row],[FMS ID]],#REF!,#REF!)</f>
        <v>#REF!</v>
      </c>
      <c r="BL42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20.55957982349565</v>
      </c>
      <c r="BM425" s="272">
        <f>FMS_Ranking4[[#This Row],[ArcSinh Score Based on Normalized Reported Factors]]+FMS_Ranking4[[#This Row],[% NBS Score (Normalized)]]+(FMS_Ranking4[[#This Row],[Water Supply Score (Normalized)]]*10*$BB$5)+FMS_Ranking4[[#This Row],[FMS_Type Score Weighted]]</f>
        <v>22.55957982349565</v>
      </c>
      <c r="BN425" s="205">
        <f>_xlfn.RANK.EQ(FMS_Ranking4[[#This Row],[Total Score (with ArcSinh normalization of select criteria)]],FMS_Ranking4[Total Score (with ArcSinh normalization of select criteria)],0)</f>
        <v>418</v>
      </c>
      <c r="BO425" s="270" t="str">
        <f>_xlfn.XLOOKUP(FMS_Ranking4[[#This Row],[FMS ID]],FMS_Input[FMS_ID],FMS_Input[FMS_RANK_YEAR])</f>
        <v>2023 Amended Plan</v>
      </c>
      <c r="BP425" s="204">
        <f>_xlfn.XLOOKUP(FMS_Ranking4[[#This Row],[FMS ID]],Prev_Rank[FMS ID],Prev_Rank[Prev Rank])</f>
        <v>378</v>
      </c>
      <c r="BQ425" s="205" t="e">
        <f>_xlfn.XLOOKUP(FMS_Ranking4[[#This Row],[FMS ID]],#REF!,#REF!)</f>
        <v>#REF!</v>
      </c>
      <c r="BR425" s="199" t="e">
        <f>SUM(#REF!,#REF!,#REF!,#REF!,#REF!,#REF!,#REF!,#REF!,#REF!,FMS_Ranking4[[#This Row],[ArcSinh Res struct removed 0-10]],#REF!)</f>
        <v>#REF!</v>
      </c>
      <c r="BS425" s="199" t="e">
        <f>FMS_Ranking4[[#This Row],[Log Score Based on Normalized Reported Factors]]+FMS_Ranking4[[#This Row],[% NBS Score (Normalized)]]+(FMS_Ranking4[[#This Row],[Water Supply Score (Normalized)]]*10*$BB$5)+(FMS_Ranking4[[#This Row],[FMS_Type Score Weighted]])</f>
        <v>#REF!</v>
      </c>
      <c r="BT425" s="200" t="e">
        <f>_xlfn.RANK.EQ(FMS_Ranking4[[#This Row],[Log Total Score]],FMS_Ranking4[Log Total Score],0)</f>
        <v>#REF!</v>
      </c>
      <c r="BU425" s="200" t="e">
        <f>_xlfn.XLOOKUP(FMS_Ranking4[[#This Row],[FMS ID]],#REF!,#REF!)</f>
        <v>#REF!</v>
      </c>
      <c r="BV425" s="200">
        <f>FMS_Ranking4[[#This Row],[Region Number]]</f>
        <v>1</v>
      </c>
      <c r="BW425" s="200">
        <f>FMS_Ranking4[[#This Row],[Rank (with ArcSinh normalization of select criteria)]]-FMS_Ranking4[[#This Row],[Rank
(with linear
normalization)]]</f>
        <v>121</v>
      </c>
      <c r="BX425" s="200" t="e">
        <f>FMS_Ranking4[[#This Row],[Log Rank]]-FMS_Ranking4[[#This Row],[Rank
(with linear
normalization)]]</f>
        <v>#REF!</v>
      </c>
      <c r="BY425" s="200" t="str">
        <f>IF(FMS_Ranking4[[#This Row],[FMS Type]]="Flood Measurement and Warning",FMS_Ranking4[[#This Row],[Rank (with ArcSinh normalization of select criteria)]],"")</f>
        <v/>
      </c>
      <c r="BZ425" s="200">
        <f>IF(FMS_Ranking4[[#This Row],[FMS Type]]="Regulatory and Guidance",FMS_Ranking4[[#This Row],[Rank (with ArcSinh normalization of select criteria)]],"")</f>
        <v>418</v>
      </c>
      <c r="CA425" s="200" t="str">
        <f>IF(FMS_Ranking4[[#This Row],[FMS Type]]="Education and Outreach",FMS_Ranking4[[#This Row],[Rank (with ArcSinh normalization of select criteria)]],"")</f>
        <v/>
      </c>
      <c r="CB425" s="200" t="str">
        <f>IF(FMS_Ranking4[[#This Row],[FMS Type]]="Property Acquisition and Structural Elevation",FMS_Ranking4[[#This Row],[Rank (with ArcSinh normalization of select criteria)]],"")</f>
        <v/>
      </c>
      <c r="CC425" s="200" t="str">
        <f>IF(FMS_Ranking4[[#This Row],[FMS Type]]="Infrastructure Projects",FMS_Ranking4[[#This Row],[Rank (with ArcSinh normalization of select criteria)]],"")</f>
        <v/>
      </c>
      <c r="CD425" s="200" t="str">
        <f>IF(FMS_Ranking4[[#This Row],[FMS Type]]="Other",FMS_Ranking4[[#This Row],[Rank (with ArcSinh normalization of select criteria)]],"")</f>
        <v/>
      </c>
      <c r="CE425" s="201"/>
      <c r="CF425" s="206"/>
      <c r="CG425" s="206"/>
      <c r="CH425" s="206"/>
      <c r="CI425" s="206"/>
      <c r="CJ425" s="206"/>
      <c r="CK425" s="206"/>
      <c r="CL425" s="206"/>
      <c r="CM425" s="206"/>
      <c r="CN425" s="206"/>
      <c r="CO425" s="206"/>
      <c r="CP425" s="206"/>
      <c r="CQ425" s="206"/>
      <c r="CR425" s="206"/>
    </row>
    <row r="426" spans="2:96" ht="30" x14ac:dyDescent="0.25">
      <c r="B426" s="341" t="s">
        <v>1760</v>
      </c>
      <c r="C426" s="246">
        <f>_xlfn.XLOOKUP(FMS_Ranking4[[#This Row],[FMS ID]],FMS_Input[FMS_ID],FMS_Input[RFPG_NUM])</f>
        <v>2</v>
      </c>
      <c r="D426" s="309" t="str">
        <f>_xlfn.XLOOKUP(FMS_Ranking4[[#This Row],[FMS ID]],FMS_Input[FMS_ID],FMS_Input[FMS_NAME])</f>
        <v>Flood Safety Awareness Education</v>
      </c>
      <c r="E426" s="308" t="str">
        <f>_xlfn.XLOOKUP(FMS_Ranking4[[#This Row],[FMS ID]],FMS_Input[FMS_ID],FMS_Input[SPONSOR])</f>
        <v>City of Denison</v>
      </c>
      <c r="F426" s="309" t="str">
        <f>_xlfn.XLOOKUP(FMS_Ranking4[[#This Row],[FMS ID]],Sponsor[FMS_ID],Sponsor[SPONSOR NAME])</f>
        <v>City of Denison</v>
      </c>
      <c r="G426" s="309" t="str">
        <f>_xlfn.XLOOKUP(FMS_Ranking4[[#This Row],[FMS ID]],FMS_Input[FMS_ID],FMS_Input[FMS_DESCR])</f>
        <v>Educate the public on flood safety </v>
      </c>
      <c r="H426" s="248" t="str">
        <f>_xlfn.XLOOKUP(FMS_Ranking4[[#This Row],[FMS ID]],FMS_Input[FMS_ID],FMS_Input[FMS_TYPE])</f>
        <v>Education and Outreach</v>
      </c>
      <c r="I426" s="249">
        <f>_xlfn.XLOOKUP(FMS_Ranking4[[#This Row],[FMS ID]],FMS_Input[FMS_ID],FMS_Input[NRNC_COST])</f>
        <v>50000</v>
      </c>
      <c r="J426" s="250">
        <f>_xlfn.XLOOKUP(FMS_Ranking4[[#This Row],[FMS ID]],FMS_Input[FMS_ID],FMS_Input[FMS_COST])</f>
        <v>50000</v>
      </c>
      <c r="K426" s="251" t="str">
        <f>_xlfn.XLOOKUP(FMS_Ranking4[[#This Row],[FMS ID]],FMS_Input[FMS_ID],FMS_Input[EMER_NEED])</f>
        <v>No</v>
      </c>
      <c r="L426" s="252">
        <f t="shared" si="6"/>
        <v>0</v>
      </c>
      <c r="M426" s="253">
        <f>_xlfn.XLOOKUP(FMS_Ranking4[[#This Row],[FMS ID]],FMS_Input[FMS_ID],FMS_Input[STRUCT_100])</f>
        <v>355</v>
      </c>
      <c r="N426" s="255">
        <f>(ASINH(FMS_Ranking4[[#This Row],[Structure at Risk Raw]]))*(10)/(ASINH(M$4))</f>
        <v>5.1612773515682067</v>
      </c>
      <c r="O426" s="256">
        <f>FMS_Ranking4[[#This Row],[Structures at risk, ArcSinh (0-10)]]*M$5*10</f>
        <v>5.1612773515682067</v>
      </c>
      <c r="P426" s="253">
        <f>_xlfn.XLOOKUP(FMS_Ranking4[[#This Row],[FMS ID]],FMS_Input[FMS_ID],FMS_Input[RES_STRUCT100])</f>
        <v>245</v>
      </c>
      <c r="Q426" s="257">
        <f>ASINH(FMS_Ranking4[[#This Row],[Res Structure Raw]])/Q$4*P$5*100</f>
        <v>0</v>
      </c>
      <c r="R426" s="253">
        <f>_xlfn.XLOOKUP(FMS_Ranking4[[#This Row],[FMS ID]],FMS_Input[FMS_ID],FMS_Input[POP100])</f>
        <v>3266</v>
      </c>
      <c r="S426" s="259">
        <f>(ASINH(FMS_Ranking4[[#This Row],[Pop at Risk Raw]]))*(10)/(ASINH(R$4))</f>
        <v>6.0644300036190684</v>
      </c>
      <c r="T426" s="256">
        <f>FMS_Ranking4[[#This Row],[Population at risk, ArcSinh (0-10)]]*R$5*10</f>
        <v>6.0644300036190693</v>
      </c>
      <c r="U426" s="253">
        <f>_xlfn.XLOOKUP(FMS_Ranking4[[#This Row],[FMS ID]],FMS_Input[FMS_ID],FMS_Input[CRITFAC100])</f>
        <v>2</v>
      </c>
      <c r="V426" s="259">
        <f>(ASINH(FMS_Ranking4[[#This Row],[Critical Facilities Raw]]))*(10)/(ASINH(U$4))</f>
        <v>1.7089239049208753</v>
      </c>
      <c r="W426" s="256">
        <f>FMS_Ranking4[[#This Row],[Critical facilities at risk, ArcSinh (0-10)]]*U$5*10</f>
        <v>1.7089239049208755</v>
      </c>
      <c r="X426" s="253">
        <f>_xlfn.XLOOKUP(FMS_Ranking4[[#This Row],[FMS ID]],FMS_Input[FMS_ID],FMS_Input[LWC])</f>
        <v>2</v>
      </c>
      <c r="Y426" s="259">
        <f>(ASINH(FMS_Ranking4[[#This Row],[LWC Raw]]))*(10)/(ASINH(X$4))</f>
        <v>1.9557475158633808</v>
      </c>
      <c r="Z426" s="256">
        <f>FMS_Ranking4[[#This Row],[LWC, ArcSInh (0-10)]]*X$5*10</f>
        <v>1.9557475158633808</v>
      </c>
      <c r="AA426" s="253">
        <f>_xlfn.XLOOKUP(FMS_Ranking4[[#This Row],[FMS ID]],FMS_Input[FMS_ID],FMS_Input[ROADCLS])</f>
        <v>0</v>
      </c>
      <c r="AB426" s="255">
        <f>(ASINH(FMS_Ranking4[[#This Row],[Road Closures Raw]]))*(10)/(ASINH(AA$4))</f>
        <v>0</v>
      </c>
      <c r="AC426" s="256">
        <f>FMS_Ranking4[[#This Row],[Road closures, ArcSinh (0-10)]]*AA$5*10</f>
        <v>0</v>
      </c>
      <c r="AD426" s="253">
        <f>_xlfn.XLOOKUP(FMS_Ranking4[[#This Row],[FMS ID]],FMS_Input[FMS_ID],FMS_Input[ROAD_MILES100])</f>
        <v>29</v>
      </c>
      <c r="AE426" s="259">
        <f>(ASINH(FMS_Ranking4[[#This Row],[Road Miles Raw]]))*(10)/(ASINH(AD$4))</f>
        <v>4.3276317846410652</v>
      </c>
      <c r="AF426" s="256">
        <f>FMS_Ranking4[[#This Row],[Length of roads at risk, ArcSinh (0-10)]]*AD$5*10</f>
        <v>4.3276317846410652</v>
      </c>
      <c r="AG426" s="253">
        <f>_xlfn.XLOOKUP(FMS_Ranking4[[#This Row],[FMS ID]],FMS_Input[FMS_ID],FMS_Input[FARMACRE100])</f>
        <v>107.30999755859381</v>
      </c>
      <c r="AH426" s="255">
        <f>(ASINH(FMS_Ranking4[[#This Row],[Ag Land Raw]]))*(10)/(ASINH(AG$4))</f>
        <v>3.4875319153669326</v>
      </c>
      <c r="AI426" s="260">
        <f>FMS_Ranking4[[#This Row],[Farm &amp; ranch land, ArcSinh (0-10)]]*AG$5*10</f>
        <v>1.7437659576834663</v>
      </c>
      <c r="AJ426" s="258">
        <f>_xlfn.XLOOKUP(FMS_Ranking4[[#This Row],[FMS ID]],FMS_Input[FMS_ID],FMS_Input[REDSTRUCT100])</f>
        <v>0</v>
      </c>
      <c r="AK426" s="253">
        <f>_xlfn.XLOOKUP(FMS_Ranking4[[#This Row],[FMS ID]],FMS_Input[FMS_ID],FMS_Input[REMSTRC100])</f>
        <v>0</v>
      </c>
      <c r="AL426" s="259">
        <f>(ASINH(FMS_Ranking4[[#This Row],[Structures Removed Raw]]))*(10)/(ASINH(AK$4))</f>
        <v>0</v>
      </c>
      <c r="AM426" s="262">
        <f>FMS_Ranking4[[#This Row],[Structures removed, ArcSinh (0-10)]]*AK$5*10</f>
        <v>0</v>
      </c>
      <c r="AN426" s="253">
        <f>_xlfn.XLOOKUP(FMS_Ranking4[[#This Row],[FMS ID]],FMS_Input[FMS_ID],FMS_Input[REMRESSTRC100])</f>
        <v>0</v>
      </c>
      <c r="AO426" s="261">
        <f>FMS_Ranking4[[#This Row],[ArcSinh Res struct removed 0-10]]*AN$5*10</f>
        <v>0</v>
      </c>
      <c r="AP426" s="260">
        <f>ASINH(FMS_Ranking4[[#This Row],[Residential Structures Removed Raw]])/AP$4*AN$5*100</f>
        <v>0</v>
      </c>
      <c r="AQ426" s="254">
        <f>(ASINH(FMS_Ranking4[[#This Row],[Residential Structures Removed Raw]]))*(10)/(ASINH(AN$4))</f>
        <v>0</v>
      </c>
      <c r="AR426" s="253">
        <f>_xlfn.XLOOKUP(FMS_Ranking4[[#This Row],[FMS ID]],FMS_Input[FMS_ID],FMS_Input[REMPOP100])</f>
        <v>0</v>
      </c>
      <c r="AS426" s="259">
        <f>(ASINH(FMS_Ranking4[[#This Row],[Removed Pop Raw]]))*(10)/(ASINH(AR$4))</f>
        <v>0</v>
      </c>
      <c r="AT426" s="262">
        <f>FMS_Ranking4[[#This Row],[Removed population, ArcSinh (0-10)]]*AR$5*10</f>
        <v>0</v>
      </c>
      <c r="AU426" s="264">
        <f>_xlfn.XLOOKUP(FMS_Ranking4[[#This Row],[FMS ID]],FMS_Input[FMS_ID],FMS_Input[REMCRITFAC100])</f>
        <v>0</v>
      </c>
      <c r="AV426" s="264">
        <f>_xlfn.XLOOKUP(FMS_Ranking4[[#This Row],[FMS ID]],FMS_Input[FMS_ID],FMS_Input[REMLWC100])</f>
        <v>0</v>
      </c>
      <c r="AW426" s="264">
        <f>_xlfn.XLOOKUP(FMS_Ranking4[[#This Row],[FMS ID]],FMS_Input[FMS_ID],FMS_Input[REMROADCLS])</f>
        <v>0</v>
      </c>
      <c r="AX426" s="264">
        <f>_xlfn.XLOOKUP(FMS_Ranking4[[#This Row],[FMS ID]],FMS_Input[FMS_ID],FMS_Input[REMFRMACRE100])</f>
        <v>0</v>
      </c>
      <c r="AY426" s="258">
        <f>_xlfn.XLOOKUP(FMS_Ranking4[[#This Row],[FMS ID]],FMS_Input[FMS_ID],FMS_Input[COSTSTRUCT])</f>
        <v>0</v>
      </c>
      <c r="AZ426" s="253">
        <f>_xlfn.XLOOKUP(FMS_Ranking4[[#This Row],[FMS ID]],FMS_Input[FMS_ID],FMS_Input[NATURE])</f>
        <v>0</v>
      </c>
      <c r="BA426" s="262">
        <f>(((FMS_Ranking4[[#This Row],[% NBS Raw]]/AZ$4)*100)*AZ$5)</f>
        <v>0</v>
      </c>
      <c r="BB426" s="251" t="str">
        <f>_xlfn.XLOOKUP(FMS_Ranking4[[#This Row],[FMS ID]],FMS_Input[FMS_ID],FMS_Input[WATER_SUP])</f>
        <v>No</v>
      </c>
      <c r="BC426" s="265">
        <f>IF(FMS_Ranking4[[#This Row],[Water Supply Raw]]="Yes",10,0)</f>
        <v>0</v>
      </c>
      <c r="BD426" s="266">
        <f>_xlfn.XLOOKUP(FMS_Ranking4[[#This Row],[FMS Type]],FMS_TYPE[FMS_Type],FMS_TYPE[Score])</f>
        <v>6</v>
      </c>
      <c r="BE426" s="267">
        <f>FMS_Ranking4[[#This Row],[FMS_Type Score]]*$BD$5*10</f>
        <v>1.5000000000000002</v>
      </c>
      <c r="BF42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0.13715594893224106</v>
      </c>
      <c r="BG426" s="271">
        <f>_xlfn.RANK.EQ(BF426,$BF$8:$BF$870,0)+COUNTIF($BF$8:BF426,BF426)-1</f>
        <v>419</v>
      </c>
      <c r="BH426" s="268">
        <f>(((FMS_Ranking4[[#This Row],[Structures Removed Raw]]/AK$4)*100)*AK$5)+(((FMS_Ranking4[[#This Row],[Removed Pop Raw]]/AR$4)*100)*AR$5)</f>
        <v>0</v>
      </c>
      <c r="BI42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1.6371559489322414</v>
      </c>
      <c r="BJ426" s="205">
        <f>_xlfn.RANK.EQ(FMS_Ranking4[[#This Row],[Total Score 
(with linear
normalization)]],FMS_Ranking4[Total Score 
(with linear
normalization)],0)</f>
        <v>558</v>
      </c>
      <c r="BK426" s="205" t="e">
        <f>_xlfn.XLOOKUP(FMS_Ranking4[[#This Row],[FMS ID]],#REF!,#REF!)</f>
        <v>#REF!</v>
      </c>
      <c r="BL42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20.961776518296062</v>
      </c>
      <c r="BM426" s="272">
        <f>FMS_Ranking4[[#This Row],[ArcSinh Score Based on Normalized Reported Factors]]+FMS_Ranking4[[#This Row],[% NBS Score (Normalized)]]+(FMS_Ranking4[[#This Row],[Water Supply Score (Normalized)]]*10*$BB$5)+FMS_Ranking4[[#This Row],[FMS_Type Score Weighted]]</f>
        <v>22.461776518296062</v>
      </c>
      <c r="BN426" s="205">
        <f>_xlfn.RANK.EQ(FMS_Ranking4[[#This Row],[Total Score (with ArcSinh normalization of select criteria)]],FMS_Ranking4[Total Score (with ArcSinh normalization of select criteria)],0)</f>
        <v>419</v>
      </c>
      <c r="BO426" s="270" t="str">
        <f>_xlfn.XLOOKUP(FMS_Ranking4[[#This Row],[FMS ID]],FMS_Input[FMS_ID],FMS_Input[FMS_RANK_YEAR])</f>
        <v>2023 Amended Plan</v>
      </c>
      <c r="BP426" s="204">
        <f>_xlfn.XLOOKUP(FMS_Ranking4[[#This Row],[FMS ID]],Prev_Rank[FMS ID],Prev_Rank[Prev Rank])</f>
        <v>376</v>
      </c>
      <c r="BQ426" s="205" t="e">
        <f>_xlfn.XLOOKUP(FMS_Ranking4[[#This Row],[FMS ID]],#REF!,#REF!)</f>
        <v>#REF!</v>
      </c>
      <c r="BR426" s="199" t="e">
        <f>SUM(#REF!,#REF!,#REF!,#REF!,#REF!,#REF!,#REF!,#REF!,#REF!,FMS_Ranking4[[#This Row],[ArcSinh Res struct removed 0-10]],#REF!)</f>
        <v>#REF!</v>
      </c>
      <c r="BS426" s="199" t="e">
        <f>FMS_Ranking4[[#This Row],[Log Score Based on Normalized Reported Factors]]+FMS_Ranking4[[#This Row],[% NBS Score (Normalized)]]+(FMS_Ranking4[[#This Row],[Water Supply Score (Normalized)]]*10*$BB$5)+(FMS_Ranking4[[#This Row],[FMS_Type Score Weighted]])</f>
        <v>#REF!</v>
      </c>
      <c r="BT426" s="200" t="e">
        <f>_xlfn.RANK.EQ(FMS_Ranking4[[#This Row],[Log Total Score]],FMS_Ranking4[Log Total Score],0)</f>
        <v>#REF!</v>
      </c>
      <c r="BU426" s="200" t="e">
        <f>_xlfn.XLOOKUP(FMS_Ranking4[[#This Row],[FMS ID]],#REF!,#REF!)</f>
        <v>#REF!</v>
      </c>
      <c r="BV426" s="200">
        <f>FMS_Ranking4[[#This Row],[Region Number]]</f>
        <v>2</v>
      </c>
      <c r="BW426" s="200">
        <f>FMS_Ranking4[[#This Row],[Rank (with ArcSinh normalization of select criteria)]]-FMS_Ranking4[[#This Row],[Rank
(with linear
normalization)]]</f>
        <v>-139</v>
      </c>
      <c r="BX426" s="200" t="e">
        <f>FMS_Ranking4[[#This Row],[Log Rank]]-FMS_Ranking4[[#This Row],[Rank
(with linear
normalization)]]</f>
        <v>#REF!</v>
      </c>
      <c r="BY426" s="200" t="str">
        <f>IF(FMS_Ranking4[[#This Row],[FMS Type]]="Flood Measurement and Warning",FMS_Ranking4[[#This Row],[Rank (with ArcSinh normalization of select criteria)]],"")</f>
        <v/>
      </c>
      <c r="BZ426" s="200" t="str">
        <f>IF(FMS_Ranking4[[#This Row],[FMS Type]]="Regulatory and Guidance",FMS_Ranking4[[#This Row],[Rank (with ArcSinh normalization of select criteria)]],"")</f>
        <v/>
      </c>
      <c r="CA426" s="200">
        <f>IF(FMS_Ranking4[[#This Row],[FMS Type]]="Education and Outreach",FMS_Ranking4[[#This Row],[Rank (with ArcSinh normalization of select criteria)]],"")</f>
        <v>419</v>
      </c>
      <c r="CB426" s="200" t="str">
        <f>IF(FMS_Ranking4[[#This Row],[FMS Type]]="Property Acquisition and Structural Elevation",FMS_Ranking4[[#This Row],[Rank (with ArcSinh normalization of select criteria)]],"")</f>
        <v/>
      </c>
      <c r="CC426" s="200" t="str">
        <f>IF(FMS_Ranking4[[#This Row],[FMS Type]]="Infrastructure Projects",FMS_Ranking4[[#This Row],[Rank (with ArcSinh normalization of select criteria)]],"")</f>
        <v/>
      </c>
      <c r="CD426" s="200" t="str">
        <f>IF(FMS_Ranking4[[#This Row],[FMS Type]]="Other",FMS_Ranking4[[#This Row],[Rank (with ArcSinh normalization of select criteria)]],"")</f>
        <v/>
      </c>
      <c r="CE426" s="201"/>
      <c r="CF426" s="206"/>
      <c r="CG426" s="206"/>
      <c r="CH426" s="206"/>
      <c r="CI426" s="206"/>
      <c r="CJ426" s="206"/>
      <c r="CK426" s="206"/>
      <c r="CL426" s="206"/>
      <c r="CM426" s="206"/>
      <c r="CN426" s="206"/>
      <c r="CO426" s="206"/>
      <c r="CP426" s="206"/>
      <c r="CQ426" s="206"/>
      <c r="CR426" s="206"/>
    </row>
    <row r="427" spans="2:96" ht="105" x14ac:dyDescent="0.25">
      <c r="B427" s="341" t="s">
        <v>11979</v>
      </c>
      <c r="C427" s="246">
        <f>_xlfn.XLOOKUP(FMS_Ranking4[[#This Row],[FMS ID]],FMS_Input[FMS_ID],FMS_Input[RFPG_NUM])</f>
        <v>15</v>
      </c>
      <c r="D427" s="309" t="str">
        <f>_xlfn.XLOOKUP(FMS_Ranking4[[#This Row],[FMS ID]],FMS_Input[FMS_ID],FMS_Input[FMS_NAME])</f>
        <v>City of La Feria</v>
      </c>
      <c r="E427" s="308" t="str">
        <f>_xlfn.XLOOKUP(FMS_Ranking4[[#This Row],[FMS ID]],FMS_Input[FMS_ID],FMS_Input[SPONSOR])</f>
        <v>15000047</v>
      </c>
      <c r="F427" s="309" t="str">
        <f>_xlfn.XLOOKUP(FMS_Ranking4[[#This Row],[FMS ID]],Sponsor[FMS_ID],Sponsor[SPONSOR NAME])</f>
        <v>La Feria</v>
      </c>
      <c r="G427" s="309" t="str">
        <f>_xlfn.XLOOKUP(FMS_Ranking4[[#This Row],[FMS ID]],FMS_Input[FMS_ID],FMS_Input[FMS_DESCR])</f>
        <v>FMS 2 - Assessment, development, and updating of the City's ordinances, orders, policies, engineering specifications, guidance documents and other flood management tools.</v>
      </c>
      <c r="H427" s="248" t="str">
        <f>_xlfn.XLOOKUP(FMS_Ranking4[[#This Row],[FMS ID]],FMS_Input[FMS_ID],FMS_Input[FMS_TYPE])</f>
        <v>Regulatory and Guidance</v>
      </c>
      <c r="I427" s="249">
        <f>_xlfn.XLOOKUP(FMS_Ranking4[[#This Row],[FMS ID]],FMS_Input[FMS_ID],FMS_Input[NRNC_COST])</f>
        <v>300000</v>
      </c>
      <c r="J427" s="250">
        <f>_xlfn.XLOOKUP(FMS_Ranking4[[#This Row],[FMS ID]],FMS_Input[FMS_ID],FMS_Input[FMS_COST])</f>
        <v>300000</v>
      </c>
      <c r="K427" s="251" t="str">
        <f>_xlfn.XLOOKUP(FMS_Ranking4[[#This Row],[FMS ID]],FMS_Input[FMS_ID],FMS_Input[EMER_NEED])</f>
        <v>Yes</v>
      </c>
      <c r="L427" s="252">
        <f t="shared" si="6"/>
        <v>1</v>
      </c>
      <c r="M427" s="253">
        <f>_xlfn.XLOOKUP(FMS_Ranking4[[#This Row],[FMS ID]],FMS_Input[FMS_ID],FMS_Input[STRUCT_100])</f>
        <v>684</v>
      </c>
      <c r="N427" s="255">
        <f>(ASINH(FMS_Ranking4[[#This Row],[Structure at Risk Raw]]))*(10)/(ASINH(M$4))</f>
        <v>5.6768642032325669</v>
      </c>
      <c r="O427" s="256">
        <f>FMS_Ranking4[[#This Row],[Structures at risk, ArcSinh (0-10)]]*M$5*10</f>
        <v>5.6768642032325669</v>
      </c>
      <c r="P427" s="253">
        <f>_xlfn.XLOOKUP(FMS_Ranking4[[#This Row],[FMS ID]],FMS_Input[FMS_ID],FMS_Input[RES_STRUCT100])</f>
        <v>584</v>
      </c>
      <c r="Q427" s="257">
        <f>ASINH(FMS_Ranking4[[#This Row],[Res Structure Raw]])/Q$4*P$5*100</f>
        <v>0</v>
      </c>
      <c r="R427" s="253">
        <f>_xlfn.XLOOKUP(FMS_Ranking4[[#This Row],[FMS ID]],FMS_Input[FMS_ID],FMS_Input[POP100])</f>
        <v>1427</v>
      </c>
      <c r="S427" s="259">
        <f>(ASINH(FMS_Ranking4[[#This Row],[Pop at Risk Raw]]))*(10)/(ASINH(R$4))</f>
        <v>5.4928192280590844</v>
      </c>
      <c r="T427" s="256">
        <f>FMS_Ranking4[[#This Row],[Population at risk, ArcSinh (0-10)]]*R$5*10</f>
        <v>5.4928192280590853</v>
      </c>
      <c r="U427" s="253">
        <f>_xlfn.XLOOKUP(FMS_Ranking4[[#This Row],[FMS ID]],FMS_Input[FMS_ID],FMS_Input[CRITFAC100])</f>
        <v>11</v>
      </c>
      <c r="V427" s="259">
        <f>(ASINH(FMS_Ranking4[[#This Row],[Critical Facilities Raw]]))*(10)/(ASINH(U$4))</f>
        <v>3.661503455940549</v>
      </c>
      <c r="W427" s="256">
        <f>FMS_Ranking4[[#This Row],[Critical facilities at risk, ArcSinh (0-10)]]*U$5*10</f>
        <v>3.661503455940549</v>
      </c>
      <c r="X427" s="253">
        <f>_xlfn.XLOOKUP(FMS_Ranking4[[#This Row],[FMS ID]],FMS_Input[FMS_ID],FMS_Input[LWC])</f>
        <v>0</v>
      </c>
      <c r="Y427" s="259">
        <f>(ASINH(FMS_Ranking4[[#This Row],[LWC Raw]]))*(10)/(ASINH(X$4))</f>
        <v>0</v>
      </c>
      <c r="Z427" s="256">
        <f>FMS_Ranking4[[#This Row],[LWC, ArcSInh (0-10)]]*X$5*10</f>
        <v>0</v>
      </c>
      <c r="AA427" s="253">
        <f>_xlfn.XLOOKUP(FMS_Ranking4[[#This Row],[FMS ID]],FMS_Input[FMS_ID],FMS_Input[ROADCLS])</f>
        <v>6</v>
      </c>
      <c r="AB427" s="255">
        <f>(ASINH(FMS_Ranking4[[#This Row],[Road Closures Raw]]))*(10)/(ASINH(AA$4))</f>
        <v>2.5949600132095934</v>
      </c>
      <c r="AC427" s="256">
        <f>FMS_Ranking4[[#This Row],[Road closures, ArcSinh (0-10)]]*AA$5*10</f>
        <v>1.2974800066047967</v>
      </c>
      <c r="AD427" s="253">
        <f>_xlfn.XLOOKUP(FMS_Ranking4[[#This Row],[FMS ID]],FMS_Input[FMS_ID],FMS_Input[ROAD_MILES100])</f>
        <v>21</v>
      </c>
      <c r="AE427" s="259">
        <f>(ASINH(FMS_Ranking4[[#This Row],[Road Miles Raw]]))*(10)/(ASINH(AD$4))</f>
        <v>3.9839311289010819</v>
      </c>
      <c r="AF427" s="256">
        <f>FMS_Ranking4[[#This Row],[Length of roads at risk, ArcSinh (0-10)]]*AD$5*10</f>
        <v>3.9839311289010819</v>
      </c>
      <c r="AG427" s="253">
        <f>_xlfn.XLOOKUP(FMS_Ranking4[[#This Row],[FMS ID]],FMS_Input[FMS_ID],FMS_Input[FARMACRE100])</f>
        <v>1.293864965438843</v>
      </c>
      <c r="AH427" s="255">
        <f>(ASINH(FMS_Ranking4[[#This Row],[Ag Land Raw]]))*(10)/(ASINH(AG$4))</f>
        <v>0.69810839414279358</v>
      </c>
      <c r="AI427" s="260">
        <f>FMS_Ranking4[[#This Row],[Farm &amp; ranch land, ArcSinh (0-10)]]*AG$5*10</f>
        <v>0.34905419707139679</v>
      </c>
      <c r="AJ427" s="258">
        <f>_xlfn.XLOOKUP(FMS_Ranking4[[#This Row],[FMS ID]],FMS_Input[FMS_ID],FMS_Input[REDSTRUCT100])</f>
        <v>0</v>
      </c>
      <c r="AK427" s="253">
        <f>_xlfn.XLOOKUP(FMS_Ranking4[[#This Row],[FMS ID]],FMS_Input[FMS_ID],FMS_Input[REMSTRC100])</f>
        <v>0</v>
      </c>
      <c r="AL427" s="259">
        <f>(ASINH(FMS_Ranking4[[#This Row],[Structures Removed Raw]]))*(10)/(ASINH(AK$4))</f>
        <v>0</v>
      </c>
      <c r="AM427" s="262">
        <f>FMS_Ranking4[[#This Row],[Structures removed, ArcSinh (0-10)]]*AK$5*10</f>
        <v>0</v>
      </c>
      <c r="AN427" s="253">
        <f>_xlfn.XLOOKUP(FMS_Ranking4[[#This Row],[FMS ID]],FMS_Input[FMS_ID],FMS_Input[REMRESSTRC100])</f>
        <v>0</v>
      </c>
      <c r="AO427" s="261">
        <f>FMS_Ranking4[[#This Row],[ArcSinh Res struct removed 0-10]]*AN$5*10</f>
        <v>0</v>
      </c>
      <c r="AP427" s="260">
        <f>ASINH(FMS_Ranking4[[#This Row],[Residential Structures Removed Raw]])/AP$4*AN$5*100</f>
        <v>0</v>
      </c>
      <c r="AQ427" s="254">
        <f>(ASINH(FMS_Ranking4[[#This Row],[Residential Structures Removed Raw]]))*(10)/(ASINH(AN$4))</f>
        <v>0</v>
      </c>
      <c r="AR427" s="253">
        <f>_xlfn.XLOOKUP(FMS_Ranking4[[#This Row],[FMS ID]],FMS_Input[FMS_ID],FMS_Input[REMPOP100])</f>
        <v>0</v>
      </c>
      <c r="AS427" s="259">
        <f>(ASINH(FMS_Ranking4[[#This Row],[Removed Pop Raw]]))*(10)/(ASINH(AR$4))</f>
        <v>0</v>
      </c>
      <c r="AT427" s="262">
        <f>FMS_Ranking4[[#This Row],[Removed population, ArcSinh (0-10)]]*AR$5*10</f>
        <v>0</v>
      </c>
      <c r="AU427" s="264">
        <f>_xlfn.XLOOKUP(FMS_Ranking4[[#This Row],[FMS ID]],FMS_Input[FMS_ID],FMS_Input[REMCRITFAC100])</f>
        <v>0</v>
      </c>
      <c r="AV427" s="264">
        <f>_xlfn.XLOOKUP(FMS_Ranking4[[#This Row],[FMS ID]],FMS_Input[FMS_ID],FMS_Input[REMLWC100])</f>
        <v>0</v>
      </c>
      <c r="AW427" s="264">
        <f>_xlfn.XLOOKUP(FMS_Ranking4[[#This Row],[FMS ID]],FMS_Input[FMS_ID],FMS_Input[REMROADCLS])</f>
        <v>0</v>
      </c>
      <c r="AX427" s="264">
        <f>_xlfn.XLOOKUP(FMS_Ranking4[[#This Row],[FMS ID]],FMS_Input[FMS_ID],FMS_Input[REMFRMACRE100])</f>
        <v>0</v>
      </c>
      <c r="AY427" s="258">
        <f>_xlfn.XLOOKUP(FMS_Ranking4[[#This Row],[FMS ID]],FMS_Input[FMS_ID],FMS_Input[COSTSTRUCT])</f>
        <v>0</v>
      </c>
      <c r="AZ427" s="253">
        <f>_xlfn.XLOOKUP(FMS_Ranking4[[#This Row],[FMS ID]],FMS_Input[FMS_ID],FMS_Input[NATURE])</f>
        <v>0</v>
      </c>
      <c r="BA427" s="262">
        <f>(((FMS_Ranking4[[#This Row],[% NBS Raw]]/AZ$4)*100)*AZ$5)</f>
        <v>0</v>
      </c>
      <c r="BB427" s="251" t="str">
        <f>_xlfn.XLOOKUP(FMS_Ranking4[[#This Row],[FMS ID]],FMS_Input[FMS_ID],FMS_Input[WATER_SUP])</f>
        <v>No</v>
      </c>
      <c r="BC427" s="265">
        <f>IF(FMS_Ranking4[[#This Row],[Water Supply Raw]]="Yes",10,0)</f>
        <v>0</v>
      </c>
      <c r="BD427" s="266">
        <f>_xlfn.XLOOKUP(FMS_Ranking4[[#This Row],[FMS Type]],FMS_TYPE[FMS_Type],FMS_TYPE[Score])</f>
        <v>8</v>
      </c>
      <c r="BE427" s="267">
        <f>FMS_Ranking4[[#This Row],[FMS_Type Score]]*$BD$5*10</f>
        <v>2</v>
      </c>
      <c r="BF42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0.14206770620906572</v>
      </c>
      <c r="BG427" s="271">
        <f>_xlfn.RANK.EQ(BF427,$BF$8:$BF$870,0)+COUNTIF($BF$8:BF427,BF427)-1</f>
        <v>412</v>
      </c>
      <c r="BH427" s="268">
        <f>(((FMS_Ranking4[[#This Row],[Structures Removed Raw]]/AK$4)*100)*AK$5)+(((FMS_Ranking4[[#This Row],[Removed Pop Raw]]/AR$4)*100)*AR$5)</f>
        <v>0</v>
      </c>
      <c r="BI42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2.1420677062090658</v>
      </c>
      <c r="BJ427" s="205">
        <f>_xlfn.RANK.EQ(FMS_Ranking4[[#This Row],[Total Score 
(with linear
normalization)]],FMS_Ranking4[Total Score 
(with linear
normalization)],0)</f>
        <v>341</v>
      </c>
      <c r="BK427" s="205" t="e">
        <f>_xlfn.XLOOKUP(FMS_Ranking4[[#This Row],[FMS ID]],#REF!,#REF!)</f>
        <v>#REF!</v>
      </c>
      <c r="BL42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20.461652219809473</v>
      </c>
      <c r="BM427" s="272">
        <f>FMS_Ranking4[[#This Row],[ArcSinh Score Based on Normalized Reported Factors]]+FMS_Ranking4[[#This Row],[% NBS Score (Normalized)]]+(FMS_Ranking4[[#This Row],[Water Supply Score (Normalized)]]*10*$BB$5)+FMS_Ranking4[[#This Row],[FMS_Type Score Weighted]]</f>
        <v>22.461652219809473</v>
      </c>
      <c r="BN427" s="205">
        <f>_xlfn.RANK.EQ(FMS_Ranking4[[#This Row],[Total Score (with ArcSinh normalization of select criteria)]],FMS_Ranking4[Total Score (with ArcSinh normalization of select criteria)],0)</f>
        <v>420</v>
      </c>
      <c r="BO427" s="270" t="str">
        <f>_xlfn.XLOOKUP(FMS_Ranking4[[#This Row],[FMS ID]],FMS_Input[FMS_ID],FMS_Input[FMS_RANK_YEAR])</f>
        <v>2025 Amended Plan</v>
      </c>
      <c r="BP427" s="204" t="e">
        <f>_xlfn.XLOOKUP(FMS_Ranking4[[#This Row],[FMS ID]],Prev_Rank[FMS ID],Prev_Rank[Prev Rank])</f>
        <v>#N/A</v>
      </c>
      <c r="BQ427" s="205" t="e">
        <f>_xlfn.XLOOKUP(FMS_Ranking4[[#This Row],[FMS ID]],#REF!,#REF!)</f>
        <v>#REF!</v>
      </c>
      <c r="BR427" s="199" t="e">
        <f>SUM(#REF!,#REF!,#REF!,#REF!,#REF!,#REF!,#REF!,#REF!,#REF!,FMS_Ranking4[[#This Row],[ArcSinh Res struct removed 0-10]],#REF!)</f>
        <v>#REF!</v>
      </c>
      <c r="BS427" s="199" t="e">
        <f>FMS_Ranking4[[#This Row],[Log Score Based on Normalized Reported Factors]]+FMS_Ranking4[[#This Row],[% NBS Score (Normalized)]]+(FMS_Ranking4[[#This Row],[Water Supply Score (Normalized)]]*10*$BB$5)+(FMS_Ranking4[[#This Row],[FMS_Type Score Weighted]])</f>
        <v>#REF!</v>
      </c>
      <c r="BT427" s="200" t="e">
        <f>_xlfn.RANK.EQ(FMS_Ranking4[[#This Row],[Log Total Score]],FMS_Ranking4[Log Total Score],0)</f>
        <v>#REF!</v>
      </c>
      <c r="BU427" s="200" t="e">
        <f>_xlfn.XLOOKUP(FMS_Ranking4[[#This Row],[FMS ID]],#REF!,#REF!)</f>
        <v>#REF!</v>
      </c>
      <c r="BV427" s="200">
        <f>FMS_Ranking4[[#This Row],[Region Number]]</f>
        <v>15</v>
      </c>
      <c r="BW427" s="200">
        <f>FMS_Ranking4[[#This Row],[Rank (with ArcSinh normalization of select criteria)]]-FMS_Ranking4[[#This Row],[Rank
(with linear
normalization)]]</f>
        <v>79</v>
      </c>
      <c r="BX427" s="200" t="e">
        <f>FMS_Ranking4[[#This Row],[Log Rank]]-FMS_Ranking4[[#This Row],[Rank
(with linear
normalization)]]</f>
        <v>#REF!</v>
      </c>
      <c r="BY427" s="200" t="str">
        <f>IF(FMS_Ranking4[[#This Row],[FMS Type]]="Flood Measurement and Warning",FMS_Ranking4[[#This Row],[Rank (with ArcSinh normalization of select criteria)]],"")</f>
        <v/>
      </c>
      <c r="BZ427" s="200">
        <f>IF(FMS_Ranking4[[#This Row],[FMS Type]]="Regulatory and Guidance",FMS_Ranking4[[#This Row],[Rank (with ArcSinh normalization of select criteria)]],"")</f>
        <v>420</v>
      </c>
      <c r="CA427" s="200" t="str">
        <f>IF(FMS_Ranking4[[#This Row],[FMS Type]]="Education and Outreach",FMS_Ranking4[[#This Row],[Rank (with ArcSinh normalization of select criteria)]],"")</f>
        <v/>
      </c>
      <c r="CB427" s="200" t="str">
        <f>IF(FMS_Ranking4[[#This Row],[FMS Type]]="Property Acquisition and Structural Elevation",FMS_Ranking4[[#This Row],[Rank (with ArcSinh normalization of select criteria)]],"")</f>
        <v/>
      </c>
      <c r="CC427" s="200" t="str">
        <f>IF(FMS_Ranking4[[#This Row],[FMS Type]]="Infrastructure Projects",FMS_Ranking4[[#This Row],[Rank (with ArcSinh normalization of select criteria)]],"")</f>
        <v/>
      </c>
      <c r="CD427" s="200" t="str">
        <f>IF(FMS_Ranking4[[#This Row],[FMS Type]]="Other",FMS_Ranking4[[#This Row],[Rank (with ArcSinh normalization of select criteria)]],"")</f>
        <v/>
      </c>
      <c r="CE427" s="201"/>
      <c r="CF427" s="206"/>
      <c r="CG427" s="206"/>
      <c r="CH427" s="206"/>
      <c r="CI427" s="206"/>
      <c r="CJ427" s="206"/>
      <c r="CK427" s="206"/>
      <c r="CL427" s="206"/>
      <c r="CM427" s="206"/>
      <c r="CN427" s="206"/>
      <c r="CO427" s="206"/>
      <c r="CP427" s="206"/>
      <c r="CQ427" s="206"/>
      <c r="CR427" s="206"/>
    </row>
    <row r="428" spans="2:96" ht="45" x14ac:dyDescent="0.25">
      <c r="B428" s="341" t="s">
        <v>3988</v>
      </c>
      <c r="C428" s="246">
        <f>_xlfn.XLOOKUP(FMS_Ranking4[[#This Row],[FMS ID]],FMS_Input[FMS_ID],FMS_Input[RFPG_NUM])</f>
        <v>15</v>
      </c>
      <c r="D428" s="309" t="str">
        <f>_xlfn.XLOOKUP(FMS_Ranking4[[#This Row],[FMS ID]],FMS_Input[FMS_ID],FMS_Input[FMS_NAME])</f>
        <v>South Padre Island #13</v>
      </c>
      <c r="E428" s="308" t="str">
        <f>_xlfn.XLOOKUP(FMS_Ranking4[[#This Row],[FMS ID]],FMS_Input[FMS_ID],FMS_Input[SPONSOR])</f>
        <v>15000045</v>
      </c>
      <c r="F428" s="309" t="str">
        <f>_xlfn.XLOOKUP(FMS_Ranking4[[#This Row],[FMS ID]],Sponsor[FMS_ID],Sponsor[SPONSOR NAME])</f>
        <v>South Padre Island</v>
      </c>
      <c r="G428" s="309" t="str">
        <f>_xlfn.XLOOKUP(FMS_Ranking4[[#This Row],[FMS ID]],FMS_Input[FMS_ID],FMS_Input[FMS_DESCR])</f>
        <v>Adopt higher floodplain standards in local floodplain ordinance</v>
      </c>
      <c r="H428" s="248" t="str">
        <f>_xlfn.XLOOKUP(FMS_Ranking4[[#This Row],[FMS ID]],FMS_Input[FMS_ID],FMS_Input[FMS_TYPE])</f>
        <v>Regulatory and Guidance</v>
      </c>
      <c r="I428" s="249">
        <f>_xlfn.XLOOKUP(FMS_Ranking4[[#This Row],[FMS ID]],FMS_Input[FMS_ID],FMS_Input[NRNC_COST])</f>
        <v>1000</v>
      </c>
      <c r="J428" s="250">
        <f>_xlfn.XLOOKUP(FMS_Ranking4[[#This Row],[FMS ID]],FMS_Input[FMS_ID],FMS_Input[FMS_COST])</f>
        <v>5000</v>
      </c>
      <c r="K428" s="251" t="str">
        <f>_xlfn.XLOOKUP(FMS_Ranking4[[#This Row],[FMS ID]],FMS_Input[FMS_ID],FMS_Input[EMER_NEED])</f>
        <v>Yes</v>
      </c>
      <c r="L428" s="252">
        <f t="shared" si="6"/>
        <v>1</v>
      </c>
      <c r="M428" s="253">
        <f>_xlfn.XLOOKUP(FMS_Ranking4[[#This Row],[FMS ID]],FMS_Input[FMS_ID],FMS_Input[STRUCT_100])</f>
        <v>1847</v>
      </c>
      <c r="N428" s="255">
        <f>(ASINH(FMS_Ranking4[[#This Row],[Structure at Risk Raw]]))*(10)/(ASINH(M$4))</f>
        <v>6.4577927548565599</v>
      </c>
      <c r="O428" s="256">
        <f>FMS_Ranking4[[#This Row],[Structures at risk, ArcSinh (0-10)]]*M$5*10</f>
        <v>6.4577927548565608</v>
      </c>
      <c r="P428" s="253">
        <f>_xlfn.XLOOKUP(FMS_Ranking4[[#This Row],[FMS ID]],FMS_Input[FMS_ID],FMS_Input[RES_STRUCT100])</f>
        <v>1442</v>
      </c>
      <c r="Q428" s="257">
        <f>ASINH(FMS_Ranking4[[#This Row],[Res Structure Raw]])/Q$4*P$5*100</f>
        <v>0</v>
      </c>
      <c r="R428" s="253">
        <f>_xlfn.XLOOKUP(FMS_Ranking4[[#This Row],[FMS ID]],FMS_Input[FMS_ID],FMS_Input[POP100])</f>
        <v>5905</v>
      </c>
      <c r="S428" s="259">
        <f>(ASINH(FMS_Ranking4[[#This Row],[Pop at Risk Raw]]))*(10)/(ASINH(R$4))</f>
        <v>6.4732832250514027</v>
      </c>
      <c r="T428" s="256">
        <f>FMS_Ranking4[[#This Row],[Population at risk, ArcSinh (0-10)]]*R$5*10</f>
        <v>6.4732832250514027</v>
      </c>
      <c r="U428" s="253">
        <f>_xlfn.XLOOKUP(FMS_Ranking4[[#This Row],[FMS ID]],FMS_Input[FMS_ID],FMS_Input[CRITFAC100])</f>
        <v>2</v>
      </c>
      <c r="V428" s="259">
        <f>(ASINH(FMS_Ranking4[[#This Row],[Critical Facilities Raw]]))*(10)/(ASINH(U$4))</f>
        <v>1.7089239049208753</v>
      </c>
      <c r="W428" s="256">
        <f>FMS_Ranking4[[#This Row],[Critical facilities at risk, ArcSinh (0-10)]]*U$5*10</f>
        <v>1.7089239049208755</v>
      </c>
      <c r="X428" s="253">
        <f>_xlfn.XLOOKUP(FMS_Ranking4[[#This Row],[FMS ID]],FMS_Input[FMS_ID],FMS_Input[LWC])</f>
        <v>0</v>
      </c>
      <c r="Y428" s="259">
        <f>(ASINH(FMS_Ranking4[[#This Row],[LWC Raw]]))*(10)/(ASINH(X$4))</f>
        <v>0</v>
      </c>
      <c r="Z428" s="256">
        <f>FMS_Ranking4[[#This Row],[LWC, ArcSInh (0-10)]]*X$5*10</f>
        <v>0</v>
      </c>
      <c r="AA428" s="253">
        <f>_xlfn.XLOOKUP(FMS_Ranking4[[#This Row],[FMS ID]],FMS_Input[FMS_ID],FMS_Input[ROADCLS])</f>
        <v>0</v>
      </c>
      <c r="AB428" s="255">
        <f>(ASINH(FMS_Ranking4[[#This Row],[Road Closures Raw]]))*(10)/(ASINH(AA$4))</f>
        <v>0</v>
      </c>
      <c r="AC428" s="256">
        <f>FMS_Ranking4[[#This Row],[Road closures, ArcSinh (0-10)]]*AA$5*10</f>
        <v>0</v>
      </c>
      <c r="AD428" s="253">
        <f>_xlfn.XLOOKUP(FMS_Ranking4[[#This Row],[FMS ID]],FMS_Input[FMS_ID],FMS_Input[ROAD_MILES100])</f>
        <v>35</v>
      </c>
      <c r="AE428" s="259">
        <f>(ASINH(FMS_Ranking4[[#This Row],[Road Miles Raw]]))*(10)/(ASINH(AD$4))</f>
        <v>4.5279444923102723</v>
      </c>
      <c r="AF428" s="256">
        <f>FMS_Ranking4[[#This Row],[Length of roads at risk, ArcSinh (0-10)]]*AD$5*10</f>
        <v>4.5279444923102723</v>
      </c>
      <c r="AG428" s="253">
        <f>_xlfn.XLOOKUP(FMS_Ranking4[[#This Row],[FMS ID]],FMS_Input[FMS_ID],FMS_Input[FARMACRE100])</f>
        <v>23.87187576293945</v>
      </c>
      <c r="AH428" s="255">
        <f>(ASINH(FMS_Ranking4[[#This Row],[Ag Land Raw]]))*(10)/(ASINH(AG$4))</f>
        <v>2.5114681376580714</v>
      </c>
      <c r="AI428" s="260">
        <f>FMS_Ranking4[[#This Row],[Farm &amp; ranch land, ArcSinh (0-10)]]*AG$5*10</f>
        <v>1.2557340688290357</v>
      </c>
      <c r="AJ428" s="258">
        <f>_xlfn.XLOOKUP(FMS_Ranking4[[#This Row],[FMS ID]],FMS_Input[FMS_ID],FMS_Input[REDSTRUCT100])</f>
        <v>0</v>
      </c>
      <c r="AK428" s="253">
        <f>_xlfn.XLOOKUP(FMS_Ranking4[[#This Row],[FMS ID]],FMS_Input[FMS_ID],FMS_Input[REMSTRC100])</f>
        <v>0</v>
      </c>
      <c r="AL428" s="259">
        <f>(ASINH(FMS_Ranking4[[#This Row],[Structures Removed Raw]]))*(10)/(ASINH(AK$4))</f>
        <v>0</v>
      </c>
      <c r="AM428" s="262">
        <f>FMS_Ranking4[[#This Row],[Structures removed, ArcSinh (0-10)]]*AK$5*10</f>
        <v>0</v>
      </c>
      <c r="AN428" s="253">
        <f>_xlfn.XLOOKUP(FMS_Ranking4[[#This Row],[FMS ID]],FMS_Input[FMS_ID],FMS_Input[REMRESSTRC100])</f>
        <v>0</v>
      </c>
      <c r="AO428" s="261">
        <f>FMS_Ranking4[[#This Row],[ArcSinh Res struct removed 0-10]]*AN$5*10</f>
        <v>0</v>
      </c>
      <c r="AP428" s="260">
        <f>ASINH(FMS_Ranking4[[#This Row],[Residential Structures Removed Raw]])/AP$4*AN$5*100</f>
        <v>0</v>
      </c>
      <c r="AQ428" s="254">
        <f>(ASINH(FMS_Ranking4[[#This Row],[Residential Structures Removed Raw]]))*(10)/(ASINH(AN$4))</f>
        <v>0</v>
      </c>
      <c r="AR428" s="253">
        <f>_xlfn.XLOOKUP(FMS_Ranking4[[#This Row],[FMS ID]],FMS_Input[FMS_ID],FMS_Input[REMPOP100])</f>
        <v>0</v>
      </c>
      <c r="AS428" s="259">
        <f>(ASINH(FMS_Ranking4[[#This Row],[Removed Pop Raw]]))*(10)/(ASINH(AR$4))</f>
        <v>0</v>
      </c>
      <c r="AT428" s="262">
        <f>FMS_Ranking4[[#This Row],[Removed population, ArcSinh (0-10)]]*AR$5*10</f>
        <v>0</v>
      </c>
      <c r="AU428" s="264">
        <f>_xlfn.XLOOKUP(FMS_Ranking4[[#This Row],[FMS ID]],FMS_Input[FMS_ID],FMS_Input[REMCRITFAC100])</f>
        <v>0</v>
      </c>
      <c r="AV428" s="264">
        <f>_xlfn.XLOOKUP(FMS_Ranking4[[#This Row],[FMS ID]],FMS_Input[FMS_ID],FMS_Input[REMLWC100])</f>
        <v>0</v>
      </c>
      <c r="AW428" s="264">
        <f>_xlfn.XLOOKUP(FMS_Ranking4[[#This Row],[FMS ID]],FMS_Input[FMS_ID],FMS_Input[REMROADCLS])</f>
        <v>0</v>
      </c>
      <c r="AX428" s="264">
        <f>_xlfn.XLOOKUP(FMS_Ranking4[[#This Row],[FMS ID]],FMS_Input[FMS_ID],FMS_Input[REMFRMACRE100])</f>
        <v>0</v>
      </c>
      <c r="AY428" s="258">
        <f>_xlfn.XLOOKUP(FMS_Ranking4[[#This Row],[FMS ID]],FMS_Input[FMS_ID],FMS_Input[COSTSTRUCT])</f>
        <v>0</v>
      </c>
      <c r="AZ428" s="253">
        <f>_xlfn.XLOOKUP(FMS_Ranking4[[#This Row],[FMS ID]],FMS_Input[FMS_ID],FMS_Input[NATURE])</f>
        <v>0</v>
      </c>
      <c r="BA428" s="262">
        <f>(((FMS_Ranking4[[#This Row],[% NBS Raw]]/AZ$4)*100)*AZ$5)</f>
        <v>0</v>
      </c>
      <c r="BB428" s="251" t="str">
        <f>_xlfn.XLOOKUP(FMS_Ranking4[[#This Row],[FMS ID]],FMS_Input[FMS_ID],FMS_Input[WATER_SUP])</f>
        <v>No</v>
      </c>
      <c r="BC428" s="265">
        <f>IF(FMS_Ranking4[[#This Row],[Water Supply Raw]]="Yes",10,0)</f>
        <v>0</v>
      </c>
      <c r="BD428" s="266">
        <f>_xlfn.XLOOKUP(FMS_Ranking4[[#This Row],[FMS Type]],FMS_TYPE[FMS_Type],FMS_TYPE[Score])</f>
        <v>8</v>
      </c>
      <c r="BE428" s="267">
        <f>FMS_Ranking4[[#This Row],[FMS_Type Score]]*$BD$5*10</f>
        <v>2</v>
      </c>
      <c r="BF42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0.23840863540504764</v>
      </c>
      <c r="BG428" s="269">
        <f>_xlfn.RANK.EQ(BF428,$BF$8:$BF$870,0)+COUNTIF($BF$8:BF428,BF428)-1</f>
        <v>337</v>
      </c>
      <c r="BH428" s="268">
        <f>(((FMS_Ranking4[[#This Row],[Structures Removed Raw]]/AK$4)*100)*AK$5)+(((FMS_Ranking4[[#This Row],[Removed Pop Raw]]/AR$4)*100)*AR$5)</f>
        <v>0</v>
      </c>
      <c r="BI42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2.2384086354050474</v>
      </c>
      <c r="BJ428" s="204">
        <f>_xlfn.RANK.EQ(FMS_Ranking4[[#This Row],[Total Score 
(with linear
normalization)]],FMS_Ranking4[Total Score 
(with linear
normalization)],0)</f>
        <v>314</v>
      </c>
      <c r="BK428" s="204" t="e">
        <f>_xlfn.XLOOKUP(FMS_Ranking4[[#This Row],[FMS ID]],#REF!,#REF!)</f>
        <v>#REF!</v>
      </c>
      <c r="BL428"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20.423678445968147</v>
      </c>
      <c r="BM428" s="270">
        <f>FMS_Ranking4[[#This Row],[ArcSinh Score Based on Normalized Reported Factors]]+FMS_Ranking4[[#This Row],[% NBS Score (Normalized)]]+(FMS_Ranking4[[#This Row],[Water Supply Score (Normalized)]]*10*$BB$5)+FMS_Ranking4[[#This Row],[FMS_Type Score Weighted]]</f>
        <v>22.423678445968147</v>
      </c>
      <c r="BN428" s="204">
        <f>_xlfn.RANK.EQ(FMS_Ranking4[[#This Row],[Total Score (with ArcSinh normalization of select criteria)]],FMS_Ranking4[Total Score (with ArcSinh normalization of select criteria)],0)</f>
        <v>421</v>
      </c>
      <c r="BO428" s="270" t="str">
        <f>_xlfn.XLOOKUP(FMS_Ranking4[[#This Row],[FMS ID]],FMS_Input[FMS_ID],FMS_Input[FMS_RANK_YEAR])</f>
        <v>2023 Amended Plan</v>
      </c>
      <c r="BP428" s="204">
        <f>_xlfn.XLOOKUP(FMS_Ranking4[[#This Row],[FMS ID]],Prev_Rank[FMS ID],Prev_Rank[Prev Rank])</f>
        <v>374</v>
      </c>
      <c r="BQ428" s="204" t="e">
        <f>_xlfn.XLOOKUP(FMS_Ranking4[[#This Row],[FMS ID]],#REF!,#REF!)</f>
        <v>#REF!</v>
      </c>
      <c r="BR428" s="199" t="e">
        <f>SUM(#REF!,#REF!,#REF!,#REF!,#REF!,#REF!,#REF!,#REF!,#REF!,FMS_Ranking4[[#This Row],[ArcSinh Res struct removed 0-10]],#REF!)</f>
        <v>#REF!</v>
      </c>
      <c r="BS428" s="199" t="e">
        <f>FMS_Ranking4[[#This Row],[Log Score Based on Normalized Reported Factors]]+FMS_Ranking4[[#This Row],[% NBS Score (Normalized)]]+(FMS_Ranking4[[#This Row],[Water Supply Score (Normalized)]]*10*$BB$5)+(FMS_Ranking4[[#This Row],[FMS_Type Score Weighted]])</f>
        <v>#REF!</v>
      </c>
      <c r="BT428" s="200" t="e">
        <f>_xlfn.RANK.EQ(FMS_Ranking4[[#This Row],[Log Total Score]],FMS_Ranking4[Log Total Score],0)</f>
        <v>#REF!</v>
      </c>
      <c r="BU428" s="200" t="e">
        <f>_xlfn.XLOOKUP(FMS_Ranking4[[#This Row],[FMS ID]],#REF!,#REF!)</f>
        <v>#REF!</v>
      </c>
      <c r="BV428" s="200">
        <f>FMS_Ranking4[[#This Row],[Region Number]]</f>
        <v>15</v>
      </c>
      <c r="BW428" s="200">
        <f>FMS_Ranking4[[#This Row],[Rank (with ArcSinh normalization of select criteria)]]-FMS_Ranking4[[#This Row],[Rank
(with linear
normalization)]]</f>
        <v>107</v>
      </c>
      <c r="BX428" s="200" t="e">
        <f>FMS_Ranking4[[#This Row],[Log Rank]]-FMS_Ranking4[[#This Row],[Rank
(with linear
normalization)]]</f>
        <v>#REF!</v>
      </c>
      <c r="BY428" s="200" t="str">
        <f>IF(FMS_Ranking4[[#This Row],[FMS Type]]="Flood Measurement and Warning",FMS_Ranking4[[#This Row],[Rank (with ArcSinh normalization of select criteria)]],"")</f>
        <v/>
      </c>
      <c r="BZ428" s="200">
        <f>IF(FMS_Ranking4[[#This Row],[FMS Type]]="Regulatory and Guidance",FMS_Ranking4[[#This Row],[Rank (with ArcSinh normalization of select criteria)]],"")</f>
        <v>421</v>
      </c>
      <c r="CA428" s="200" t="str">
        <f>IF(FMS_Ranking4[[#This Row],[FMS Type]]="Education and Outreach",FMS_Ranking4[[#This Row],[Rank (with ArcSinh normalization of select criteria)]],"")</f>
        <v/>
      </c>
      <c r="CB428" s="200" t="str">
        <f>IF(FMS_Ranking4[[#This Row],[FMS Type]]="Property Acquisition and Structural Elevation",FMS_Ranking4[[#This Row],[Rank (with ArcSinh normalization of select criteria)]],"")</f>
        <v/>
      </c>
      <c r="CC428" s="200" t="str">
        <f>IF(FMS_Ranking4[[#This Row],[FMS Type]]="Infrastructure Projects",FMS_Ranking4[[#This Row],[Rank (with ArcSinh normalization of select criteria)]],"")</f>
        <v/>
      </c>
      <c r="CD428" s="200" t="str">
        <f>IF(FMS_Ranking4[[#This Row],[FMS Type]]="Other",FMS_Ranking4[[#This Row],[Rank (with ArcSinh normalization of select criteria)]],"")</f>
        <v/>
      </c>
      <c r="CE428" s="201"/>
      <c r="CF428" s="206"/>
      <c r="CG428" s="206"/>
      <c r="CH428" s="206"/>
      <c r="CI428" s="206"/>
      <c r="CJ428" s="206"/>
      <c r="CK428" s="206"/>
      <c r="CL428" s="206"/>
      <c r="CM428" s="206"/>
      <c r="CN428" s="206"/>
      <c r="CO428" s="206"/>
      <c r="CP428" s="206"/>
      <c r="CQ428" s="206"/>
      <c r="CR428" s="206"/>
    </row>
    <row r="429" spans="2:96" ht="60" x14ac:dyDescent="0.25">
      <c r="B429" s="341" t="s">
        <v>3992</v>
      </c>
      <c r="C429" s="246">
        <f>_xlfn.XLOOKUP(FMS_Ranking4[[#This Row],[FMS ID]],FMS_Input[FMS_ID],FMS_Input[RFPG_NUM])</f>
        <v>15</v>
      </c>
      <c r="D429" s="309" t="str">
        <f>_xlfn.XLOOKUP(FMS_Ranking4[[#This Row],[FMS ID]],FMS_Input[FMS_ID],FMS_Input[FMS_NAME])</f>
        <v>South Padre Island #3</v>
      </c>
      <c r="E429" s="308" t="str">
        <f>_xlfn.XLOOKUP(FMS_Ranking4[[#This Row],[FMS ID]],FMS_Input[FMS_ID],FMS_Input[SPONSOR])</f>
        <v>15000045</v>
      </c>
      <c r="F429" s="309" t="str">
        <f>_xlfn.XLOOKUP(FMS_Ranking4[[#This Row],[FMS ID]],Sponsor[FMS_ID],Sponsor[SPONSOR NAME])</f>
        <v>South Padre Island</v>
      </c>
      <c r="G429" s="309" t="str">
        <f>_xlfn.XLOOKUP(FMS_Ranking4[[#This Row],[FMS ID]],FMS_Input[FMS_ID],FMS_Input[FMS_DESCR])</f>
        <v>Adoption erosion control ordinance and prohibit development in high-hazard areas</v>
      </c>
      <c r="H429" s="248" t="str">
        <f>_xlfn.XLOOKUP(FMS_Ranking4[[#This Row],[FMS ID]],FMS_Input[FMS_ID],FMS_Input[FMS_TYPE])</f>
        <v>Regulatory and Guidance</v>
      </c>
      <c r="I429" s="249">
        <f>_xlfn.XLOOKUP(FMS_Ranking4[[#This Row],[FMS ID]],FMS_Input[FMS_ID],FMS_Input[NRNC_COST])</f>
        <v>1000</v>
      </c>
      <c r="J429" s="250">
        <f>_xlfn.XLOOKUP(FMS_Ranking4[[#This Row],[FMS ID]],FMS_Input[FMS_ID],FMS_Input[FMS_COST])</f>
        <v>5000</v>
      </c>
      <c r="K429" s="251" t="str">
        <f>_xlfn.XLOOKUP(FMS_Ranking4[[#This Row],[FMS ID]],FMS_Input[FMS_ID],FMS_Input[EMER_NEED])</f>
        <v>Yes</v>
      </c>
      <c r="L429" s="252">
        <f t="shared" si="6"/>
        <v>1</v>
      </c>
      <c r="M429" s="253">
        <f>_xlfn.XLOOKUP(FMS_Ranking4[[#This Row],[FMS ID]],FMS_Input[FMS_ID],FMS_Input[STRUCT_100])</f>
        <v>1847</v>
      </c>
      <c r="N429" s="255">
        <f>(ASINH(FMS_Ranking4[[#This Row],[Structure at Risk Raw]]))*(10)/(ASINH(M$4))</f>
        <v>6.4577927548565599</v>
      </c>
      <c r="O429" s="256">
        <f>FMS_Ranking4[[#This Row],[Structures at risk, ArcSinh (0-10)]]*M$5*10</f>
        <v>6.4577927548565608</v>
      </c>
      <c r="P429" s="253">
        <f>_xlfn.XLOOKUP(FMS_Ranking4[[#This Row],[FMS ID]],FMS_Input[FMS_ID],FMS_Input[RES_STRUCT100])</f>
        <v>1442</v>
      </c>
      <c r="Q429" s="257">
        <f>ASINH(FMS_Ranking4[[#This Row],[Res Structure Raw]])/Q$4*P$5*100</f>
        <v>0</v>
      </c>
      <c r="R429" s="253">
        <f>_xlfn.XLOOKUP(FMS_Ranking4[[#This Row],[FMS ID]],FMS_Input[FMS_ID],FMS_Input[POP100])</f>
        <v>5905</v>
      </c>
      <c r="S429" s="259">
        <f>(ASINH(FMS_Ranking4[[#This Row],[Pop at Risk Raw]]))*(10)/(ASINH(R$4))</f>
        <v>6.4732832250514027</v>
      </c>
      <c r="T429" s="256">
        <f>FMS_Ranking4[[#This Row],[Population at risk, ArcSinh (0-10)]]*R$5*10</f>
        <v>6.4732832250514027</v>
      </c>
      <c r="U429" s="253">
        <f>_xlfn.XLOOKUP(FMS_Ranking4[[#This Row],[FMS ID]],FMS_Input[FMS_ID],FMS_Input[CRITFAC100])</f>
        <v>2</v>
      </c>
      <c r="V429" s="259">
        <f>(ASINH(FMS_Ranking4[[#This Row],[Critical Facilities Raw]]))*(10)/(ASINH(U$4))</f>
        <v>1.7089239049208753</v>
      </c>
      <c r="W429" s="256">
        <f>FMS_Ranking4[[#This Row],[Critical facilities at risk, ArcSinh (0-10)]]*U$5*10</f>
        <v>1.7089239049208755</v>
      </c>
      <c r="X429" s="253">
        <f>_xlfn.XLOOKUP(FMS_Ranking4[[#This Row],[FMS ID]],FMS_Input[FMS_ID],FMS_Input[LWC])</f>
        <v>0</v>
      </c>
      <c r="Y429" s="259">
        <f>(ASINH(FMS_Ranking4[[#This Row],[LWC Raw]]))*(10)/(ASINH(X$4))</f>
        <v>0</v>
      </c>
      <c r="Z429" s="256">
        <f>FMS_Ranking4[[#This Row],[LWC, ArcSInh (0-10)]]*X$5*10</f>
        <v>0</v>
      </c>
      <c r="AA429" s="253">
        <f>_xlfn.XLOOKUP(FMS_Ranking4[[#This Row],[FMS ID]],FMS_Input[FMS_ID],FMS_Input[ROADCLS])</f>
        <v>0</v>
      </c>
      <c r="AB429" s="255">
        <f>(ASINH(FMS_Ranking4[[#This Row],[Road Closures Raw]]))*(10)/(ASINH(AA$4))</f>
        <v>0</v>
      </c>
      <c r="AC429" s="256">
        <f>FMS_Ranking4[[#This Row],[Road closures, ArcSinh (0-10)]]*AA$5*10</f>
        <v>0</v>
      </c>
      <c r="AD429" s="253">
        <f>_xlfn.XLOOKUP(FMS_Ranking4[[#This Row],[FMS ID]],FMS_Input[FMS_ID],FMS_Input[ROAD_MILES100])</f>
        <v>35</v>
      </c>
      <c r="AE429" s="259">
        <f>(ASINH(FMS_Ranking4[[#This Row],[Road Miles Raw]]))*(10)/(ASINH(AD$4))</f>
        <v>4.5279444923102723</v>
      </c>
      <c r="AF429" s="256">
        <f>FMS_Ranking4[[#This Row],[Length of roads at risk, ArcSinh (0-10)]]*AD$5*10</f>
        <v>4.5279444923102723</v>
      </c>
      <c r="AG429" s="253">
        <f>_xlfn.XLOOKUP(FMS_Ranking4[[#This Row],[FMS ID]],FMS_Input[FMS_ID],FMS_Input[FARMACRE100])</f>
        <v>23.87187576293945</v>
      </c>
      <c r="AH429" s="255">
        <f>(ASINH(FMS_Ranking4[[#This Row],[Ag Land Raw]]))*(10)/(ASINH(AG$4))</f>
        <v>2.5114681376580714</v>
      </c>
      <c r="AI429" s="260">
        <f>FMS_Ranking4[[#This Row],[Farm &amp; ranch land, ArcSinh (0-10)]]*AG$5*10</f>
        <v>1.2557340688290357</v>
      </c>
      <c r="AJ429" s="258">
        <f>_xlfn.XLOOKUP(FMS_Ranking4[[#This Row],[FMS ID]],FMS_Input[FMS_ID],FMS_Input[REDSTRUCT100])</f>
        <v>0</v>
      </c>
      <c r="AK429" s="253">
        <f>_xlfn.XLOOKUP(FMS_Ranking4[[#This Row],[FMS ID]],FMS_Input[FMS_ID],FMS_Input[REMSTRC100])</f>
        <v>0</v>
      </c>
      <c r="AL429" s="259">
        <f>(ASINH(FMS_Ranking4[[#This Row],[Structures Removed Raw]]))*(10)/(ASINH(AK$4))</f>
        <v>0</v>
      </c>
      <c r="AM429" s="262">
        <f>FMS_Ranking4[[#This Row],[Structures removed, ArcSinh (0-10)]]*AK$5*10</f>
        <v>0</v>
      </c>
      <c r="AN429" s="253">
        <f>_xlfn.XLOOKUP(FMS_Ranking4[[#This Row],[FMS ID]],FMS_Input[FMS_ID],FMS_Input[REMRESSTRC100])</f>
        <v>0</v>
      </c>
      <c r="AO429" s="261">
        <f>FMS_Ranking4[[#This Row],[ArcSinh Res struct removed 0-10]]*AN$5*10</f>
        <v>0</v>
      </c>
      <c r="AP429" s="260">
        <f>ASINH(FMS_Ranking4[[#This Row],[Residential Structures Removed Raw]])/AP$4*AN$5*100</f>
        <v>0</v>
      </c>
      <c r="AQ429" s="254">
        <f>(ASINH(FMS_Ranking4[[#This Row],[Residential Structures Removed Raw]]))*(10)/(ASINH(AN$4))</f>
        <v>0</v>
      </c>
      <c r="AR429" s="253">
        <f>_xlfn.XLOOKUP(FMS_Ranking4[[#This Row],[FMS ID]],FMS_Input[FMS_ID],FMS_Input[REMPOP100])</f>
        <v>0</v>
      </c>
      <c r="AS429" s="259">
        <f>(ASINH(FMS_Ranking4[[#This Row],[Removed Pop Raw]]))*(10)/(ASINH(AR$4))</f>
        <v>0</v>
      </c>
      <c r="AT429" s="262">
        <f>FMS_Ranking4[[#This Row],[Removed population, ArcSinh (0-10)]]*AR$5*10</f>
        <v>0</v>
      </c>
      <c r="AU429" s="264">
        <f>_xlfn.XLOOKUP(FMS_Ranking4[[#This Row],[FMS ID]],FMS_Input[FMS_ID],FMS_Input[REMCRITFAC100])</f>
        <v>0</v>
      </c>
      <c r="AV429" s="264">
        <f>_xlfn.XLOOKUP(FMS_Ranking4[[#This Row],[FMS ID]],FMS_Input[FMS_ID],FMS_Input[REMLWC100])</f>
        <v>0</v>
      </c>
      <c r="AW429" s="264">
        <f>_xlfn.XLOOKUP(FMS_Ranking4[[#This Row],[FMS ID]],FMS_Input[FMS_ID],FMS_Input[REMROADCLS])</f>
        <v>0</v>
      </c>
      <c r="AX429" s="264">
        <f>_xlfn.XLOOKUP(FMS_Ranking4[[#This Row],[FMS ID]],FMS_Input[FMS_ID],FMS_Input[REMFRMACRE100])</f>
        <v>0</v>
      </c>
      <c r="AY429" s="258">
        <f>_xlfn.XLOOKUP(FMS_Ranking4[[#This Row],[FMS ID]],FMS_Input[FMS_ID],FMS_Input[COSTSTRUCT])</f>
        <v>0</v>
      </c>
      <c r="AZ429" s="253">
        <f>_xlfn.XLOOKUP(FMS_Ranking4[[#This Row],[FMS ID]],FMS_Input[FMS_ID],FMS_Input[NATURE])</f>
        <v>0</v>
      </c>
      <c r="BA429" s="262">
        <f>(((FMS_Ranking4[[#This Row],[% NBS Raw]]/AZ$4)*100)*AZ$5)</f>
        <v>0</v>
      </c>
      <c r="BB429" s="251" t="str">
        <f>_xlfn.XLOOKUP(FMS_Ranking4[[#This Row],[FMS ID]],FMS_Input[FMS_ID],FMS_Input[WATER_SUP])</f>
        <v>No</v>
      </c>
      <c r="BC429" s="265">
        <f>IF(FMS_Ranking4[[#This Row],[Water Supply Raw]]="Yes",10,0)</f>
        <v>0</v>
      </c>
      <c r="BD429" s="266">
        <f>_xlfn.XLOOKUP(FMS_Ranking4[[#This Row],[FMS Type]],FMS_TYPE[FMS_Type],FMS_TYPE[Score])</f>
        <v>8</v>
      </c>
      <c r="BE429" s="267">
        <f>FMS_Ranking4[[#This Row],[FMS_Type Score]]*$BD$5*10</f>
        <v>2</v>
      </c>
      <c r="BF42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0.23840863540504764</v>
      </c>
      <c r="BG429" s="271">
        <f>_xlfn.RANK.EQ(BF429,$BF$8:$BF$870,0)+COUNTIF($BF$8:BF429,BF429)-1</f>
        <v>338</v>
      </c>
      <c r="BH429" s="268">
        <f>(((FMS_Ranking4[[#This Row],[Structures Removed Raw]]/AK$4)*100)*AK$5)+(((FMS_Ranking4[[#This Row],[Removed Pop Raw]]/AR$4)*100)*AR$5)</f>
        <v>0</v>
      </c>
      <c r="BI42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2.2384086354050474</v>
      </c>
      <c r="BJ429" s="205">
        <f>_xlfn.RANK.EQ(FMS_Ranking4[[#This Row],[Total Score 
(with linear
normalization)]],FMS_Ranking4[Total Score 
(with linear
normalization)],0)</f>
        <v>314</v>
      </c>
      <c r="BK429" s="205" t="e">
        <f>_xlfn.XLOOKUP(FMS_Ranking4[[#This Row],[FMS ID]],#REF!,#REF!)</f>
        <v>#REF!</v>
      </c>
      <c r="BL42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20.423678445968147</v>
      </c>
      <c r="BM429" s="272">
        <f>FMS_Ranking4[[#This Row],[ArcSinh Score Based on Normalized Reported Factors]]+FMS_Ranking4[[#This Row],[% NBS Score (Normalized)]]+(FMS_Ranking4[[#This Row],[Water Supply Score (Normalized)]]*10*$BB$5)+FMS_Ranking4[[#This Row],[FMS_Type Score Weighted]]</f>
        <v>22.423678445968147</v>
      </c>
      <c r="BN429" s="205">
        <f>_xlfn.RANK.EQ(FMS_Ranking4[[#This Row],[Total Score (with ArcSinh normalization of select criteria)]],FMS_Ranking4[Total Score (with ArcSinh normalization of select criteria)],0)</f>
        <v>421</v>
      </c>
      <c r="BO429" s="270" t="str">
        <f>_xlfn.XLOOKUP(FMS_Ranking4[[#This Row],[FMS ID]],FMS_Input[FMS_ID],FMS_Input[FMS_RANK_YEAR])</f>
        <v>2023 Amended Plan</v>
      </c>
      <c r="BP429" s="204">
        <f>_xlfn.XLOOKUP(FMS_Ranking4[[#This Row],[FMS ID]],Prev_Rank[FMS ID],Prev_Rank[Prev Rank])</f>
        <v>374</v>
      </c>
      <c r="BQ429" s="205" t="e">
        <f>_xlfn.XLOOKUP(FMS_Ranking4[[#This Row],[FMS ID]],#REF!,#REF!)</f>
        <v>#REF!</v>
      </c>
      <c r="BR429" s="199" t="e">
        <f>SUM(#REF!,#REF!,#REF!,#REF!,#REF!,#REF!,#REF!,#REF!,#REF!,FMS_Ranking4[[#This Row],[ArcSinh Res struct removed 0-10]],#REF!)</f>
        <v>#REF!</v>
      </c>
      <c r="BS429" s="199" t="e">
        <f>FMS_Ranking4[[#This Row],[Log Score Based on Normalized Reported Factors]]+FMS_Ranking4[[#This Row],[% NBS Score (Normalized)]]+(FMS_Ranking4[[#This Row],[Water Supply Score (Normalized)]]*10*$BB$5)+(FMS_Ranking4[[#This Row],[FMS_Type Score Weighted]])</f>
        <v>#REF!</v>
      </c>
      <c r="BT429" s="200" t="e">
        <f>_xlfn.RANK.EQ(FMS_Ranking4[[#This Row],[Log Total Score]],FMS_Ranking4[Log Total Score],0)</f>
        <v>#REF!</v>
      </c>
      <c r="BU429" s="200" t="e">
        <f>_xlfn.XLOOKUP(FMS_Ranking4[[#This Row],[FMS ID]],#REF!,#REF!)</f>
        <v>#REF!</v>
      </c>
      <c r="BV429" s="200">
        <f>FMS_Ranking4[[#This Row],[Region Number]]</f>
        <v>15</v>
      </c>
      <c r="BW429" s="200">
        <f>FMS_Ranking4[[#This Row],[Rank (with ArcSinh normalization of select criteria)]]-FMS_Ranking4[[#This Row],[Rank
(with linear
normalization)]]</f>
        <v>107</v>
      </c>
      <c r="BX429" s="200" t="e">
        <f>FMS_Ranking4[[#This Row],[Log Rank]]-FMS_Ranking4[[#This Row],[Rank
(with linear
normalization)]]</f>
        <v>#REF!</v>
      </c>
      <c r="BY429" s="200" t="str">
        <f>IF(FMS_Ranking4[[#This Row],[FMS Type]]="Flood Measurement and Warning",FMS_Ranking4[[#This Row],[Rank (with ArcSinh normalization of select criteria)]],"")</f>
        <v/>
      </c>
      <c r="BZ429" s="200">
        <f>IF(FMS_Ranking4[[#This Row],[FMS Type]]="Regulatory and Guidance",FMS_Ranking4[[#This Row],[Rank (with ArcSinh normalization of select criteria)]],"")</f>
        <v>421</v>
      </c>
      <c r="CA429" s="200" t="str">
        <f>IF(FMS_Ranking4[[#This Row],[FMS Type]]="Education and Outreach",FMS_Ranking4[[#This Row],[Rank (with ArcSinh normalization of select criteria)]],"")</f>
        <v/>
      </c>
      <c r="CB429" s="200" t="str">
        <f>IF(FMS_Ranking4[[#This Row],[FMS Type]]="Property Acquisition and Structural Elevation",FMS_Ranking4[[#This Row],[Rank (with ArcSinh normalization of select criteria)]],"")</f>
        <v/>
      </c>
      <c r="CC429" s="200" t="str">
        <f>IF(FMS_Ranking4[[#This Row],[FMS Type]]="Infrastructure Projects",FMS_Ranking4[[#This Row],[Rank (with ArcSinh normalization of select criteria)]],"")</f>
        <v/>
      </c>
      <c r="CD429" s="200" t="str">
        <f>IF(FMS_Ranking4[[#This Row],[FMS Type]]="Other",FMS_Ranking4[[#This Row],[Rank (with ArcSinh normalization of select criteria)]],"")</f>
        <v/>
      </c>
      <c r="CE429" s="201"/>
      <c r="CF429" s="206"/>
      <c r="CG429" s="206"/>
      <c r="CH429" s="206"/>
      <c r="CI429" s="206"/>
      <c r="CJ429" s="206"/>
      <c r="CK429" s="206"/>
      <c r="CL429" s="206"/>
      <c r="CM429" s="206"/>
      <c r="CN429" s="206"/>
      <c r="CO429" s="206"/>
      <c r="CP429" s="206"/>
      <c r="CQ429" s="206"/>
      <c r="CR429" s="206"/>
    </row>
    <row r="430" spans="2:96" ht="90" x14ac:dyDescent="0.25">
      <c r="B430" s="341" t="s">
        <v>2728</v>
      </c>
      <c r="C430" s="246">
        <f>_xlfn.XLOOKUP(FMS_Ranking4[[#This Row],[FMS ID]],FMS_Input[FMS_ID],FMS_Input[RFPG_NUM])</f>
        <v>5</v>
      </c>
      <c r="D430" s="309" t="str">
        <f>_xlfn.XLOOKUP(FMS_Ranking4[[#This Row],[FMS ID]],FMS_Input[FMS_ID],FMS_Input[FMS_NAME])</f>
        <v>Chambers County Property Protection</v>
      </c>
      <c r="E430" s="308" t="str">
        <f>_xlfn.XLOOKUP(FMS_Ranking4[[#This Row],[FMS ID]],FMS_Input[FMS_ID],FMS_Input[SPONSOR])</f>
        <v>00000013</v>
      </c>
      <c r="F430" s="309" t="str">
        <f>_xlfn.XLOOKUP(FMS_Ranking4[[#This Row],[FMS ID]],Sponsor[FMS_ID],Sponsor[SPONSOR NAME])</f>
        <v>Chambers</v>
      </c>
      <c r="G430" s="309" t="str">
        <f>_xlfn.XLOOKUP(FMS_Ranking4[[#This Row],[FMS ID]],FMS_Input[FMS_ID],FMS_Input[FMS_DESCR])</f>
        <v>Project will clear obstacles, widen and reshape ditches, and upgrade culverts to restore adequate drainage to mitigate flooding throughout all participating jurisdictions</v>
      </c>
      <c r="H430" s="248" t="str">
        <f>_xlfn.XLOOKUP(FMS_Ranking4[[#This Row],[FMS ID]],FMS_Input[FMS_ID],FMS_Input[FMS_TYPE])</f>
        <v>Infrastructure Projects</v>
      </c>
      <c r="I430" s="249">
        <f>_xlfn.XLOOKUP(FMS_Ranking4[[#This Row],[FMS ID]],FMS_Input[FMS_ID],FMS_Input[NRNC_COST])</f>
        <v>200000</v>
      </c>
      <c r="J430" s="250">
        <f>_xlfn.XLOOKUP(FMS_Ranking4[[#This Row],[FMS ID]],FMS_Input[FMS_ID],FMS_Input[FMS_COST])</f>
        <v>1000000</v>
      </c>
      <c r="K430" s="251" t="str">
        <f>_xlfn.XLOOKUP(FMS_Ranking4[[#This Row],[FMS ID]],FMS_Input[FMS_ID],FMS_Input[EMER_NEED])</f>
        <v>Yes</v>
      </c>
      <c r="L430" s="252">
        <f t="shared" si="6"/>
        <v>1</v>
      </c>
      <c r="M430" s="253">
        <f>_xlfn.XLOOKUP(FMS_Ranking4[[#This Row],[FMS ID]],FMS_Input[FMS_ID],FMS_Input[STRUCT_100])</f>
        <v>1175</v>
      </c>
      <c r="N430" s="255">
        <f>(ASINH(FMS_Ranking4[[#This Row],[Structure at Risk Raw]]))*(10)/(ASINH(M$4))</f>
        <v>6.1022219767102719</v>
      </c>
      <c r="O430" s="256">
        <f>FMS_Ranking4[[#This Row],[Structures at risk, ArcSinh (0-10)]]*M$5*10</f>
        <v>6.1022219767102728</v>
      </c>
      <c r="P430" s="253">
        <f>_xlfn.XLOOKUP(FMS_Ranking4[[#This Row],[FMS ID]],FMS_Input[FMS_ID],FMS_Input[RES_STRUCT100])</f>
        <v>459</v>
      </c>
      <c r="Q430" s="257">
        <f>ASINH(FMS_Ranking4[[#This Row],[Res Structure Raw]])/Q$4*P$5*100</f>
        <v>0</v>
      </c>
      <c r="R430" s="253">
        <f>_xlfn.XLOOKUP(FMS_Ranking4[[#This Row],[FMS ID]],FMS_Input[FMS_ID],FMS_Input[POP100])</f>
        <v>1431</v>
      </c>
      <c r="S430" s="259">
        <f>(ASINH(FMS_Ranking4[[#This Row],[Pop at Risk Raw]]))*(10)/(ASINH(R$4))</f>
        <v>5.4947516521309065</v>
      </c>
      <c r="T430" s="256">
        <f>FMS_Ranking4[[#This Row],[Population at risk, ArcSinh (0-10)]]*R$5*10</f>
        <v>5.4947516521309065</v>
      </c>
      <c r="U430" s="253">
        <f>_xlfn.XLOOKUP(FMS_Ranking4[[#This Row],[FMS ID]],FMS_Input[FMS_ID],FMS_Input[CRITFAC100])</f>
        <v>0</v>
      </c>
      <c r="V430" s="259">
        <f>(ASINH(FMS_Ranking4[[#This Row],[Critical Facilities Raw]]))*(10)/(ASINH(U$4))</f>
        <v>0</v>
      </c>
      <c r="W430" s="256">
        <f>FMS_Ranking4[[#This Row],[Critical facilities at risk, ArcSinh (0-10)]]*U$5*10</f>
        <v>0</v>
      </c>
      <c r="X430" s="253">
        <f>_xlfn.XLOOKUP(FMS_Ranking4[[#This Row],[FMS ID]],FMS_Input[FMS_ID],FMS_Input[LWC])</f>
        <v>0</v>
      </c>
      <c r="Y430" s="259">
        <f>(ASINH(FMS_Ranking4[[#This Row],[LWC Raw]]))*(10)/(ASINH(X$4))</f>
        <v>0</v>
      </c>
      <c r="Z430" s="256">
        <f>FMS_Ranking4[[#This Row],[LWC, ArcSInh (0-10)]]*X$5*10</f>
        <v>0</v>
      </c>
      <c r="AA430" s="253">
        <f>_xlfn.XLOOKUP(FMS_Ranking4[[#This Row],[FMS ID]],FMS_Input[FMS_ID],FMS_Input[ROADCLS])</f>
        <v>0</v>
      </c>
      <c r="AB430" s="255">
        <f>(ASINH(FMS_Ranking4[[#This Row],[Road Closures Raw]]))*(10)/(ASINH(AA$4))</f>
        <v>0</v>
      </c>
      <c r="AC430" s="256">
        <f>FMS_Ranking4[[#This Row],[Road closures, ArcSinh (0-10)]]*AA$5*10</f>
        <v>0</v>
      </c>
      <c r="AD430" s="253">
        <f>_xlfn.XLOOKUP(FMS_Ranking4[[#This Row],[FMS ID]],FMS_Input[FMS_ID],FMS_Input[ROAD_MILES100])</f>
        <v>162</v>
      </c>
      <c r="AE430" s="259">
        <f>(ASINH(FMS_Ranking4[[#This Row],[Road Miles Raw]]))*(10)/(ASINH(AD$4))</f>
        <v>6.1606923170874008</v>
      </c>
      <c r="AF430" s="256">
        <f>FMS_Ranking4[[#This Row],[Length of roads at risk, ArcSinh (0-10)]]*AD$5*10</f>
        <v>6.1606923170874017</v>
      </c>
      <c r="AG430" s="253">
        <f>_xlfn.XLOOKUP(FMS_Ranking4[[#This Row],[FMS ID]],FMS_Input[FMS_ID],FMS_Input[FARMACRE100])</f>
        <v>36932.59375</v>
      </c>
      <c r="AH430" s="255">
        <f>(ASINH(FMS_Ranking4[[#This Row],[Ag Land Raw]]))*(10)/(ASINH(AG$4))</f>
        <v>7.2818062705428499</v>
      </c>
      <c r="AI430" s="260">
        <f>FMS_Ranking4[[#This Row],[Farm &amp; ranch land, ArcSinh (0-10)]]*AG$5*10</f>
        <v>3.640903135271425</v>
      </c>
      <c r="AJ430" s="258">
        <f>_xlfn.XLOOKUP(FMS_Ranking4[[#This Row],[FMS ID]],FMS_Input[FMS_ID],FMS_Input[REDSTRUCT100])</f>
        <v>0</v>
      </c>
      <c r="AK430" s="253">
        <f>_xlfn.XLOOKUP(FMS_Ranking4[[#This Row],[FMS ID]],FMS_Input[FMS_ID],FMS_Input[REMSTRC100])</f>
        <v>0</v>
      </c>
      <c r="AL430" s="259">
        <f>(ASINH(FMS_Ranking4[[#This Row],[Structures Removed Raw]]))*(10)/(ASINH(AK$4))</f>
        <v>0</v>
      </c>
      <c r="AM430" s="262">
        <f>FMS_Ranking4[[#This Row],[Structures removed, ArcSinh (0-10)]]*AK$5*10</f>
        <v>0</v>
      </c>
      <c r="AN430" s="253">
        <f>_xlfn.XLOOKUP(FMS_Ranking4[[#This Row],[FMS ID]],FMS_Input[FMS_ID],FMS_Input[REMRESSTRC100])</f>
        <v>0</v>
      </c>
      <c r="AO430" s="261">
        <f>FMS_Ranking4[[#This Row],[ArcSinh Res struct removed 0-10]]*AN$5*10</f>
        <v>0</v>
      </c>
      <c r="AP430" s="260">
        <f>ASINH(FMS_Ranking4[[#This Row],[Residential Structures Removed Raw]])/AP$4*AN$5*100</f>
        <v>0</v>
      </c>
      <c r="AQ430" s="254">
        <f>(ASINH(FMS_Ranking4[[#This Row],[Residential Structures Removed Raw]]))*(10)/(ASINH(AN$4))</f>
        <v>0</v>
      </c>
      <c r="AR430" s="253">
        <f>_xlfn.XLOOKUP(FMS_Ranking4[[#This Row],[FMS ID]],FMS_Input[FMS_ID],FMS_Input[REMPOP100])</f>
        <v>0</v>
      </c>
      <c r="AS430" s="259">
        <f>(ASINH(FMS_Ranking4[[#This Row],[Removed Pop Raw]]))*(10)/(ASINH(AR$4))</f>
        <v>0</v>
      </c>
      <c r="AT430" s="262">
        <f>FMS_Ranking4[[#This Row],[Removed population, ArcSinh (0-10)]]*AR$5*10</f>
        <v>0</v>
      </c>
      <c r="AU430" s="264">
        <f>_xlfn.XLOOKUP(FMS_Ranking4[[#This Row],[FMS ID]],FMS_Input[FMS_ID],FMS_Input[REMCRITFAC100])</f>
        <v>0</v>
      </c>
      <c r="AV430" s="264">
        <f>_xlfn.XLOOKUP(FMS_Ranking4[[#This Row],[FMS ID]],FMS_Input[FMS_ID],FMS_Input[REMLWC100])</f>
        <v>0</v>
      </c>
      <c r="AW430" s="264">
        <f>_xlfn.XLOOKUP(FMS_Ranking4[[#This Row],[FMS ID]],FMS_Input[FMS_ID],FMS_Input[REMROADCLS])</f>
        <v>0</v>
      </c>
      <c r="AX430" s="264">
        <f>_xlfn.XLOOKUP(FMS_Ranking4[[#This Row],[FMS ID]],FMS_Input[FMS_ID],FMS_Input[REMFRMACRE100])</f>
        <v>0</v>
      </c>
      <c r="AY430" s="258">
        <f>_xlfn.XLOOKUP(FMS_Ranking4[[#This Row],[FMS ID]],FMS_Input[FMS_ID],FMS_Input[COSTSTRUCT])</f>
        <v>0</v>
      </c>
      <c r="AZ430" s="253">
        <f>_xlfn.XLOOKUP(FMS_Ranking4[[#This Row],[FMS ID]],FMS_Input[FMS_ID],FMS_Input[NATURE])</f>
        <v>0</v>
      </c>
      <c r="BA430" s="262">
        <f>(((FMS_Ranking4[[#This Row],[% NBS Raw]]/AZ$4)*100)*AZ$5)</f>
        <v>0</v>
      </c>
      <c r="BB430" s="251" t="str">
        <f>_xlfn.XLOOKUP(FMS_Ranking4[[#This Row],[FMS ID]],FMS_Input[FMS_ID],FMS_Input[WATER_SUP])</f>
        <v>No</v>
      </c>
      <c r="BC430" s="265">
        <f>IF(FMS_Ranking4[[#This Row],[Water Supply Raw]]="Yes",10,0)</f>
        <v>0</v>
      </c>
      <c r="BD430" s="266">
        <f>_xlfn.XLOOKUP(FMS_Ranking4[[#This Row],[FMS Type]],FMS_TYPE[FMS_Type],FMS_TYPE[Score])</f>
        <v>4</v>
      </c>
      <c r="BE430" s="267">
        <f>FMS_Ranking4[[#This Row],[FMS_Type Score]]*$BD$5*10</f>
        <v>1</v>
      </c>
      <c r="BF43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0.4336046744728313</v>
      </c>
      <c r="BG430" s="271">
        <f>_xlfn.RANK.EQ(BF430,$BF$8:$BF$870,0)+COUNTIF($BF$8:BF430,BF430)-1</f>
        <v>248</v>
      </c>
      <c r="BH430" s="268">
        <f>(((FMS_Ranking4[[#This Row],[Structures Removed Raw]]/AK$4)*100)*AK$5)+(((FMS_Ranking4[[#This Row],[Removed Pop Raw]]/AR$4)*100)*AR$5)</f>
        <v>0</v>
      </c>
      <c r="BI43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1.4336046744728312</v>
      </c>
      <c r="BJ430" s="205">
        <f>_xlfn.RANK.EQ(FMS_Ranking4[[#This Row],[Total Score 
(with linear
normalization)]],FMS_Ranking4[Total Score 
(with linear
normalization)],0)</f>
        <v>618</v>
      </c>
      <c r="BK430" s="205" t="e">
        <f>_xlfn.XLOOKUP(FMS_Ranking4[[#This Row],[FMS ID]],#REF!,#REF!)</f>
        <v>#REF!</v>
      </c>
      <c r="BL43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21.398569081200009</v>
      </c>
      <c r="BM430" s="272">
        <f>FMS_Ranking4[[#This Row],[ArcSinh Score Based on Normalized Reported Factors]]+FMS_Ranking4[[#This Row],[% NBS Score (Normalized)]]+(FMS_Ranking4[[#This Row],[Water Supply Score (Normalized)]]*10*$BB$5)+FMS_Ranking4[[#This Row],[FMS_Type Score Weighted]]</f>
        <v>22.398569081200009</v>
      </c>
      <c r="BN430" s="205">
        <f>_xlfn.RANK.EQ(FMS_Ranking4[[#This Row],[Total Score (with ArcSinh normalization of select criteria)]],FMS_Ranking4[Total Score (with ArcSinh normalization of select criteria)],0)</f>
        <v>423</v>
      </c>
      <c r="BO430" s="270" t="str">
        <f>_xlfn.XLOOKUP(FMS_Ranking4[[#This Row],[FMS ID]],FMS_Input[FMS_ID],FMS_Input[FMS_RANK_YEAR])</f>
        <v>2023 Amended Plan</v>
      </c>
      <c r="BP430" s="204">
        <f>_xlfn.XLOOKUP(FMS_Ranking4[[#This Row],[FMS ID]],Prev_Rank[FMS ID],Prev_Rank[Prev Rank])</f>
        <v>377</v>
      </c>
      <c r="BQ430" s="205" t="e">
        <f>_xlfn.XLOOKUP(FMS_Ranking4[[#This Row],[FMS ID]],#REF!,#REF!)</f>
        <v>#REF!</v>
      </c>
      <c r="BR430" s="199" t="e">
        <f>SUM(#REF!,#REF!,#REF!,#REF!,#REF!,#REF!,#REF!,#REF!,#REF!,FMS_Ranking4[[#This Row],[ArcSinh Res struct removed 0-10]],#REF!)</f>
        <v>#REF!</v>
      </c>
      <c r="BS430" s="199" t="e">
        <f>FMS_Ranking4[[#This Row],[Log Score Based on Normalized Reported Factors]]+FMS_Ranking4[[#This Row],[% NBS Score (Normalized)]]+(FMS_Ranking4[[#This Row],[Water Supply Score (Normalized)]]*10*$BB$5)+(FMS_Ranking4[[#This Row],[FMS_Type Score Weighted]])</f>
        <v>#REF!</v>
      </c>
      <c r="BT430" s="200" t="e">
        <f>_xlfn.RANK.EQ(FMS_Ranking4[[#This Row],[Log Total Score]],FMS_Ranking4[Log Total Score],0)</f>
        <v>#REF!</v>
      </c>
      <c r="BU430" s="200" t="e">
        <f>_xlfn.XLOOKUP(FMS_Ranking4[[#This Row],[FMS ID]],#REF!,#REF!)</f>
        <v>#REF!</v>
      </c>
      <c r="BV430" s="200">
        <f>FMS_Ranking4[[#This Row],[Region Number]]</f>
        <v>5</v>
      </c>
      <c r="BW430" s="200">
        <f>FMS_Ranking4[[#This Row],[Rank (with ArcSinh normalization of select criteria)]]-FMS_Ranking4[[#This Row],[Rank
(with linear
normalization)]]</f>
        <v>-195</v>
      </c>
      <c r="BX430" s="200" t="e">
        <f>FMS_Ranking4[[#This Row],[Log Rank]]-FMS_Ranking4[[#This Row],[Rank
(with linear
normalization)]]</f>
        <v>#REF!</v>
      </c>
      <c r="BY430" s="200" t="str">
        <f>IF(FMS_Ranking4[[#This Row],[FMS Type]]="Flood Measurement and Warning",FMS_Ranking4[[#This Row],[Rank (with ArcSinh normalization of select criteria)]],"")</f>
        <v/>
      </c>
      <c r="BZ430" s="200" t="str">
        <f>IF(FMS_Ranking4[[#This Row],[FMS Type]]="Regulatory and Guidance",FMS_Ranking4[[#This Row],[Rank (with ArcSinh normalization of select criteria)]],"")</f>
        <v/>
      </c>
      <c r="CA430" s="200" t="str">
        <f>IF(FMS_Ranking4[[#This Row],[FMS Type]]="Education and Outreach",FMS_Ranking4[[#This Row],[Rank (with ArcSinh normalization of select criteria)]],"")</f>
        <v/>
      </c>
      <c r="CB430" s="200" t="str">
        <f>IF(FMS_Ranking4[[#This Row],[FMS Type]]="Property Acquisition and Structural Elevation",FMS_Ranking4[[#This Row],[Rank (with ArcSinh normalization of select criteria)]],"")</f>
        <v/>
      </c>
      <c r="CC430" s="200">
        <f>IF(FMS_Ranking4[[#This Row],[FMS Type]]="Infrastructure Projects",FMS_Ranking4[[#This Row],[Rank (with ArcSinh normalization of select criteria)]],"")</f>
        <v>423</v>
      </c>
      <c r="CD430" s="200" t="str">
        <f>IF(FMS_Ranking4[[#This Row],[FMS Type]]="Other",FMS_Ranking4[[#This Row],[Rank (with ArcSinh normalization of select criteria)]],"")</f>
        <v/>
      </c>
      <c r="CE430" s="201"/>
      <c r="CF430" s="206"/>
      <c r="CG430" s="206"/>
      <c r="CH430" s="206"/>
      <c r="CI430" s="206"/>
      <c r="CJ430" s="206"/>
      <c r="CK430" s="206"/>
      <c r="CL430" s="206"/>
      <c r="CM430" s="206"/>
      <c r="CN430" s="206"/>
      <c r="CO430" s="206"/>
      <c r="CP430" s="206"/>
      <c r="CQ430" s="206"/>
      <c r="CR430" s="206"/>
    </row>
    <row r="431" spans="2:96" ht="75" x14ac:dyDescent="0.25">
      <c r="B431" s="341" t="s">
        <v>1875</v>
      </c>
      <c r="C431" s="246">
        <f>_xlfn.XLOOKUP(FMS_Ranking4[[#This Row],[FMS ID]],FMS_Input[FMS_ID],FMS_Input[RFPG_NUM])</f>
        <v>3</v>
      </c>
      <c r="D431" s="309" t="str">
        <f>_xlfn.XLOOKUP(FMS_Ranking4[[#This Row],[FMS ID]],FMS_Input[FMS_ID],FMS_Input[FMS_NAME])</f>
        <v xml:space="preserve">Richardson Flood Warning and Public Safety Improvements </v>
      </c>
      <c r="E431" s="308" t="str">
        <f>_xlfn.XLOOKUP(FMS_Ranking4[[#This Row],[FMS ID]],FMS_Input[FMS_ID],FMS_Input[SPONSOR])</f>
        <v>Richardson</v>
      </c>
      <c r="F431" s="309" t="str">
        <f>_xlfn.XLOOKUP(FMS_Ranking4[[#This Row],[FMS ID]],Sponsor[FMS_ID],Sponsor[SPONSOR NAME])</f>
        <v>Richardson</v>
      </c>
      <c r="G431" s="309" t="str">
        <f>_xlfn.XLOOKUP(FMS_Ranking4[[#This Row],[FMS ID]],FMS_Input[FMS_ID],FMS_Input[FMS_DESCR])</f>
        <v>Monitor streams and waterways for potential flooding problems including installation of gauges, sensors, and precipitation measuring sites.</v>
      </c>
      <c r="H431" s="248" t="str">
        <f>_xlfn.XLOOKUP(FMS_Ranking4[[#This Row],[FMS ID]],FMS_Input[FMS_ID],FMS_Input[FMS_TYPE])</f>
        <v>Flood Measurement and Warning</v>
      </c>
      <c r="I431" s="249">
        <f>_xlfn.XLOOKUP(FMS_Ranking4[[#This Row],[FMS ID]],FMS_Input[FMS_ID],FMS_Input[NRNC_COST])</f>
        <v>25000</v>
      </c>
      <c r="J431" s="250">
        <f>_xlfn.XLOOKUP(FMS_Ranking4[[#This Row],[FMS ID]],FMS_Input[FMS_ID],FMS_Input[FMS_COST])</f>
        <v>250000</v>
      </c>
      <c r="K431" s="251" t="str">
        <f>_xlfn.XLOOKUP(FMS_Ranking4[[#This Row],[FMS ID]],FMS_Input[FMS_ID],FMS_Input[EMER_NEED])</f>
        <v>No</v>
      </c>
      <c r="L431" s="252">
        <f t="shared" si="6"/>
        <v>0</v>
      </c>
      <c r="M431" s="253">
        <f>_xlfn.XLOOKUP(FMS_Ranking4[[#This Row],[FMS ID]],FMS_Input[FMS_ID],FMS_Input[STRUCT_100])</f>
        <v>139</v>
      </c>
      <c r="N431" s="255">
        <f>(ASINH(FMS_Ranking4[[#This Row],[Structure at Risk Raw]]))*(10)/(ASINH(M$4))</f>
        <v>4.4241582838628482</v>
      </c>
      <c r="O431" s="256">
        <f>FMS_Ranking4[[#This Row],[Structures at risk, ArcSinh (0-10)]]*M$5*10</f>
        <v>4.4241582838628482</v>
      </c>
      <c r="P431" s="253">
        <f>_xlfn.XLOOKUP(FMS_Ranking4[[#This Row],[FMS ID]],FMS_Input[FMS_ID],FMS_Input[RES_STRUCT100])</f>
        <v>125</v>
      </c>
      <c r="Q431" s="257">
        <f>ASINH(FMS_Ranking4[[#This Row],[Res Structure Raw]])/Q$4*P$5*100</f>
        <v>0</v>
      </c>
      <c r="R431" s="253">
        <f>_xlfn.XLOOKUP(FMS_Ranking4[[#This Row],[FMS ID]],FMS_Input[FMS_ID],FMS_Input[POP100])</f>
        <v>419</v>
      </c>
      <c r="S431" s="255">
        <f>(ASINH(FMS_Ranking4[[#This Row],[Pop at Risk Raw]]))*(10)/(ASINH(R$4))</f>
        <v>4.6468146437841398</v>
      </c>
      <c r="T431" s="256">
        <f>FMS_Ranking4[[#This Row],[Population at risk, ArcSinh (0-10)]]*R$5*10</f>
        <v>4.6468146437841398</v>
      </c>
      <c r="U431" s="253">
        <f>_xlfn.XLOOKUP(FMS_Ranking4[[#This Row],[FMS ID]],FMS_Input[FMS_ID],FMS_Input[CRITFAC100])</f>
        <v>1</v>
      </c>
      <c r="V431" s="255">
        <f>(ASINH(FMS_Ranking4[[#This Row],[Critical Facilities Raw]]))*(10)/(ASINH(U$4))</f>
        <v>1.0433384451410745</v>
      </c>
      <c r="W431" s="256">
        <f>FMS_Ranking4[[#This Row],[Critical facilities at risk, ArcSinh (0-10)]]*U$5*10</f>
        <v>1.0433384451410745</v>
      </c>
      <c r="X431" s="253">
        <f>_xlfn.XLOOKUP(FMS_Ranking4[[#This Row],[FMS ID]],FMS_Input[FMS_ID],FMS_Input[LWC])</f>
        <v>25</v>
      </c>
      <c r="Y431" s="255">
        <f>(ASINH(FMS_Ranking4[[#This Row],[LWC Raw]]))*(10)/(ASINH(X$4))</f>
        <v>5.3003069240609193</v>
      </c>
      <c r="Z431" s="256">
        <f>FMS_Ranking4[[#This Row],[LWC, ArcSInh (0-10)]]*X$5*10</f>
        <v>5.3003069240609193</v>
      </c>
      <c r="AA431" s="253">
        <f>_xlfn.XLOOKUP(FMS_Ranking4[[#This Row],[FMS ID]],FMS_Input[FMS_ID],FMS_Input[ROADCLS])</f>
        <v>0</v>
      </c>
      <c r="AB431" s="255">
        <f>(ASINH(FMS_Ranking4[[#This Row],[Road Closures Raw]]))*(10)/(ASINH(AA$4))</f>
        <v>0</v>
      </c>
      <c r="AC431" s="256">
        <f>FMS_Ranking4[[#This Row],[Road closures, ArcSinh (0-10)]]*AA$5*10</f>
        <v>0</v>
      </c>
      <c r="AD431" s="253">
        <f>_xlfn.XLOOKUP(FMS_Ranking4[[#This Row],[FMS ID]],FMS_Input[FMS_ID],FMS_Input[ROAD_MILES100])</f>
        <v>7</v>
      </c>
      <c r="AE431" s="255">
        <f>(ASINH(FMS_Ranking4[[#This Row],[Road Miles Raw]]))*(10)/(ASINH(AD$4))</f>
        <v>2.8179052695658946</v>
      </c>
      <c r="AF431" s="256">
        <f>FMS_Ranking4[[#This Row],[Length of roads at risk, ArcSinh (0-10)]]*AD$5*10</f>
        <v>2.8179052695658946</v>
      </c>
      <c r="AG431" s="253">
        <f>_xlfn.XLOOKUP(FMS_Ranking4[[#This Row],[FMS ID]],FMS_Input[FMS_ID],FMS_Input[FARMACRE100])</f>
        <v>81.450248718261719</v>
      </c>
      <c r="AH431" s="255">
        <f>(ASINH(FMS_Ranking4[[#This Row],[Ag Land Raw]]))*(10)/(ASINH(AG$4))</f>
        <v>3.3084335621541681</v>
      </c>
      <c r="AI431" s="260">
        <f>FMS_Ranking4[[#This Row],[Farm &amp; ranch land, ArcSinh (0-10)]]*AG$5*10</f>
        <v>1.6542167810770843</v>
      </c>
      <c r="AJ431" s="258">
        <f>_xlfn.XLOOKUP(FMS_Ranking4[[#This Row],[FMS ID]],FMS_Input[FMS_ID],FMS_Input[REDSTRUCT100])</f>
        <v>0</v>
      </c>
      <c r="AK431" s="253">
        <f>_xlfn.XLOOKUP(FMS_Ranking4[[#This Row],[FMS ID]],FMS_Input[FMS_ID],FMS_Input[REMSTRC100])</f>
        <v>0</v>
      </c>
      <c r="AL431" s="255">
        <f>(ASINH(FMS_Ranking4[[#This Row],[Structures Removed Raw]]))*(10)/(ASINH(AK$4))</f>
        <v>0</v>
      </c>
      <c r="AM431" s="262">
        <f>FMS_Ranking4[[#This Row],[Structures removed, ArcSinh (0-10)]]*AK$5*10</f>
        <v>0</v>
      </c>
      <c r="AN431" s="253">
        <f>_xlfn.XLOOKUP(FMS_Ranking4[[#This Row],[FMS ID]],FMS_Input[FMS_ID],FMS_Input[REMRESSTRC100])</f>
        <v>0</v>
      </c>
      <c r="AO431" s="261">
        <f>FMS_Ranking4[[#This Row],[ArcSinh Res struct removed 0-10]]*AN$5*10</f>
        <v>0</v>
      </c>
      <c r="AP431" s="260">
        <f>ASINH(FMS_Ranking4[[#This Row],[Residential Structures Removed Raw]])/AP$4*AN$5*100</f>
        <v>0</v>
      </c>
      <c r="AQ431" s="258">
        <f>(ASINH(FMS_Ranking4[[#This Row],[Residential Structures Removed Raw]]))*(10)/(ASINH(AN$4))</f>
        <v>0</v>
      </c>
      <c r="AR431" s="253">
        <f>_xlfn.XLOOKUP(FMS_Ranking4[[#This Row],[FMS ID]],FMS_Input[FMS_ID],FMS_Input[REMPOP100])</f>
        <v>0</v>
      </c>
      <c r="AS431" s="255">
        <f>(ASINH(FMS_Ranking4[[#This Row],[Removed Pop Raw]]))*(10)/(ASINH(AR$4))</f>
        <v>0</v>
      </c>
      <c r="AT431" s="262">
        <f>FMS_Ranking4[[#This Row],[Removed population, ArcSinh (0-10)]]*AR$5*10</f>
        <v>0</v>
      </c>
      <c r="AU431" s="264">
        <f>_xlfn.XLOOKUP(FMS_Ranking4[[#This Row],[FMS ID]],FMS_Input[FMS_ID],FMS_Input[REMCRITFAC100])</f>
        <v>0</v>
      </c>
      <c r="AV431" s="264">
        <f>_xlfn.XLOOKUP(FMS_Ranking4[[#This Row],[FMS ID]],FMS_Input[FMS_ID],FMS_Input[REMLWC100])</f>
        <v>0</v>
      </c>
      <c r="AW431" s="264">
        <f>_xlfn.XLOOKUP(FMS_Ranking4[[#This Row],[FMS ID]],FMS_Input[FMS_ID],FMS_Input[REMROADCLS])</f>
        <v>0</v>
      </c>
      <c r="AX431" s="264">
        <f>_xlfn.XLOOKUP(FMS_Ranking4[[#This Row],[FMS ID]],FMS_Input[FMS_ID],FMS_Input[REMFRMACRE100])</f>
        <v>0</v>
      </c>
      <c r="AY431" s="258">
        <f>_xlfn.XLOOKUP(FMS_Ranking4[[#This Row],[FMS ID]],FMS_Input[FMS_ID],FMS_Input[COSTSTRUCT])</f>
        <v>0</v>
      </c>
      <c r="AZ431" s="253">
        <f>_xlfn.XLOOKUP(FMS_Ranking4[[#This Row],[FMS ID]],FMS_Input[FMS_ID],FMS_Input[NATURE])</f>
        <v>0</v>
      </c>
      <c r="BA431" s="262">
        <f>(((FMS_Ranking4[[#This Row],[% NBS Raw]]/AZ$4)*100)*AZ$5)</f>
        <v>0</v>
      </c>
      <c r="BB431" s="251" t="str">
        <f>_xlfn.XLOOKUP(FMS_Ranking4[[#This Row],[FMS ID]],FMS_Input[FMS_ID],FMS_Input[WATER_SUP])</f>
        <v>No</v>
      </c>
      <c r="BC431" s="265">
        <f>IF(FMS_Ranking4[[#This Row],[Water Supply Raw]]="Yes",10,0)</f>
        <v>0</v>
      </c>
      <c r="BD431" s="266">
        <f>_xlfn.XLOOKUP(FMS_Ranking4[[#This Row],[FMS Type]],FMS_TYPE[FMS_Type],FMS_TYPE[Score])</f>
        <v>10</v>
      </c>
      <c r="BE431" s="267">
        <f>FMS_Ranking4[[#This Row],[FMS_Type Score]]*$BD$5*10</f>
        <v>2.5</v>
      </c>
      <c r="BF43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0.34016669139040351</v>
      </c>
      <c r="BG431" s="321">
        <f>_xlfn.RANK.EQ(BF431,$BF$8:$BF$870,0)+COUNTIF($BF$8:BF431,BF431)-1</f>
        <v>279</v>
      </c>
      <c r="BH431" s="294">
        <f>(((FMS_Ranking4[[#This Row],[Structures Removed Raw]]/AK$4)*100)*AK$5)+(((FMS_Ranking4[[#This Row],[Removed Pop Raw]]/AR$4)*100)*AR$5)</f>
        <v>0</v>
      </c>
      <c r="BI43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2.8401666913904036</v>
      </c>
      <c r="BJ431" s="251">
        <f>_xlfn.RANK.EQ(FMS_Ranking4[[#This Row],[Total Score 
(with linear
normalization)]],FMS_Ranking4[Total Score 
(with linear
normalization)],0)</f>
        <v>192</v>
      </c>
      <c r="BK431" s="251" t="e">
        <f>_xlfn.XLOOKUP(FMS_Ranking4[[#This Row],[FMS ID]],#REF!,#REF!)</f>
        <v>#REF!</v>
      </c>
      <c r="BL43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19.886740347491962</v>
      </c>
      <c r="BM431" s="324">
        <f>FMS_Ranking4[[#This Row],[ArcSinh Score Based on Normalized Reported Factors]]+FMS_Ranking4[[#This Row],[% NBS Score (Normalized)]]+(FMS_Ranking4[[#This Row],[Water Supply Score (Normalized)]]*10*$BB$5)+FMS_Ranking4[[#This Row],[FMS_Type Score Weighted]]</f>
        <v>22.386740347491962</v>
      </c>
      <c r="BN431" s="251">
        <f>_xlfn.RANK.EQ(FMS_Ranking4[[#This Row],[Total Score (with ArcSinh normalization of select criteria)]],FMS_Ranking4[Total Score (with ArcSinh normalization of select criteria)],0)</f>
        <v>424</v>
      </c>
      <c r="BO431" s="270" t="str">
        <f>_xlfn.XLOOKUP(FMS_Ranking4[[#This Row],[FMS ID]],FMS_Input[FMS_ID],FMS_Input[FMS_RANK_YEAR])</f>
        <v>2023 Amended Plan</v>
      </c>
      <c r="BP431" s="204">
        <f>_xlfn.XLOOKUP(FMS_Ranking4[[#This Row],[FMS ID]],Prev_Rank[FMS ID],Prev_Rank[Prev Rank])</f>
        <v>372</v>
      </c>
      <c r="BQ431" s="251" t="e">
        <f>_xlfn.XLOOKUP(FMS_Ranking4[[#This Row],[FMS ID]],#REF!,#REF!)</f>
        <v>#REF!</v>
      </c>
      <c r="BR431" s="199" t="e">
        <f>SUM(#REF!,#REF!,#REF!,#REF!,#REF!,#REF!,#REF!,#REF!,#REF!,FMS_Ranking4[[#This Row],[ArcSinh Res struct removed 0-10]],#REF!)</f>
        <v>#REF!</v>
      </c>
      <c r="BS431" s="199" t="e">
        <f>FMS_Ranking4[[#This Row],[Log Score Based on Normalized Reported Factors]]+FMS_Ranking4[[#This Row],[% NBS Score (Normalized)]]+(FMS_Ranking4[[#This Row],[Water Supply Score (Normalized)]]*10*$BB$5)+(FMS_Ranking4[[#This Row],[FMS_Type Score Weighted]])</f>
        <v>#REF!</v>
      </c>
      <c r="BT431" s="200" t="e">
        <f>_xlfn.RANK.EQ(FMS_Ranking4[[#This Row],[Log Total Score]],FMS_Ranking4[Log Total Score],0)</f>
        <v>#REF!</v>
      </c>
      <c r="BU431" s="200" t="e">
        <f>_xlfn.XLOOKUP(FMS_Ranking4[[#This Row],[FMS ID]],#REF!,#REF!)</f>
        <v>#REF!</v>
      </c>
      <c r="BV431" s="200">
        <f>FMS_Ranking4[[#This Row],[Region Number]]</f>
        <v>3</v>
      </c>
      <c r="BW431" s="200">
        <f>FMS_Ranking4[[#This Row],[Rank (with ArcSinh normalization of select criteria)]]-FMS_Ranking4[[#This Row],[Rank
(with linear
normalization)]]</f>
        <v>232</v>
      </c>
      <c r="BX431" s="200" t="e">
        <f>FMS_Ranking4[[#This Row],[Log Rank]]-FMS_Ranking4[[#This Row],[Rank
(with linear
normalization)]]</f>
        <v>#REF!</v>
      </c>
      <c r="BY431" s="200">
        <f>IF(FMS_Ranking4[[#This Row],[FMS Type]]="Flood Measurement and Warning",FMS_Ranking4[[#This Row],[Rank (with ArcSinh normalization of select criteria)]],"")</f>
        <v>424</v>
      </c>
      <c r="BZ431" s="200" t="str">
        <f>IF(FMS_Ranking4[[#This Row],[FMS Type]]="Regulatory and Guidance",FMS_Ranking4[[#This Row],[Rank (with ArcSinh normalization of select criteria)]],"")</f>
        <v/>
      </c>
      <c r="CA431" s="200" t="str">
        <f>IF(FMS_Ranking4[[#This Row],[FMS Type]]="Education and Outreach",FMS_Ranking4[[#This Row],[Rank (with ArcSinh normalization of select criteria)]],"")</f>
        <v/>
      </c>
      <c r="CB431" s="200" t="str">
        <f>IF(FMS_Ranking4[[#This Row],[FMS Type]]="Property Acquisition and Structural Elevation",FMS_Ranking4[[#This Row],[Rank (with ArcSinh normalization of select criteria)]],"")</f>
        <v/>
      </c>
      <c r="CC431" s="200" t="str">
        <f>IF(FMS_Ranking4[[#This Row],[FMS Type]]="Infrastructure Projects",FMS_Ranking4[[#This Row],[Rank (with ArcSinh normalization of select criteria)]],"")</f>
        <v/>
      </c>
      <c r="CD431" s="200" t="str">
        <f>IF(FMS_Ranking4[[#This Row],[FMS Type]]="Other",FMS_Ranking4[[#This Row],[Rank (with ArcSinh normalization of select criteria)]],"")</f>
        <v/>
      </c>
      <c r="CE431" s="201"/>
      <c r="CF431" s="206"/>
      <c r="CG431" s="206"/>
      <c r="CH431" s="206"/>
      <c r="CI431" s="206"/>
      <c r="CJ431" s="206"/>
      <c r="CK431" s="206"/>
      <c r="CL431" s="206"/>
      <c r="CM431" s="206"/>
      <c r="CN431" s="206"/>
      <c r="CO431" s="206"/>
      <c r="CP431" s="206"/>
      <c r="CQ431" s="206"/>
      <c r="CR431" s="206"/>
    </row>
    <row r="432" spans="2:96" ht="60" x14ac:dyDescent="0.25">
      <c r="B432" s="341" t="s">
        <v>2935</v>
      </c>
      <c r="C432" s="246">
        <f>_xlfn.XLOOKUP(FMS_Ranking4[[#This Row],[FMS ID]],FMS_Input[FMS_ID],FMS_Input[RFPG_NUM])</f>
        <v>5</v>
      </c>
      <c r="D432" s="309" t="str">
        <f>_xlfn.XLOOKUP(FMS_Ranking4[[#This Row],[FMS ID]],FMS_Input[FMS_ID],FMS_Input[FMS_NAME])</f>
        <v>City of Sour Lake Stormwater Detention</v>
      </c>
      <c r="E432" s="308" t="str">
        <f>_xlfn.XLOOKUP(FMS_Ranking4[[#This Row],[FMS ID]],FMS_Input[FMS_ID],FMS_Input[SPONSOR])</f>
        <v>05002933</v>
      </c>
      <c r="F432" s="309" t="str">
        <f>_xlfn.XLOOKUP(FMS_Ranking4[[#This Row],[FMS ID]],Sponsor[FMS_ID],Sponsor[SPONSOR NAME])</f>
        <v>Sour Lake</v>
      </c>
      <c r="G432" s="309" t="str">
        <f>_xlfn.XLOOKUP(FMS_Ranking4[[#This Row],[FMS ID]],FMS_Input[FMS_ID],FMS_Input[FMS_DESCR])</f>
        <v>Establish criteria and standards to construct water retention ponds to collect stormwater run-off and reduce flooding.</v>
      </c>
      <c r="H432" s="248" t="str">
        <f>_xlfn.XLOOKUP(FMS_Ranking4[[#This Row],[FMS ID]],FMS_Input[FMS_ID],FMS_Input[FMS_TYPE])</f>
        <v>Infrastructure Projects</v>
      </c>
      <c r="I432" s="249">
        <f>_xlfn.XLOOKUP(FMS_Ranking4[[#This Row],[FMS ID]],FMS_Input[FMS_ID],FMS_Input[NRNC_COST])</f>
        <v>100000</v>
      </c>
      <c r="J432" s="250">
        <f>_xlfn.XLOOKUP(FMS_Ranking4[[#This Row],[FMS ID]],FMS_Input[FMS_ID],FMS_Input[FMS_COST])</f>
        <v>7000000</v>
      </c>
      <c r="K432" s="251" t="str">
        <f>_xlfn.XLOOKUP(FMS_Ranking4[[#This Row],[FMS ID]],FMS_Input[FMS_ID],FMS_Input[EMER_NEED])</f>
        <v>Yes</v>
      </c>
      <c r="L432" s="252">
        <f t="shared" si="6"/>
        <v>1</v>
      </c>
      <c r="M432" s="253">
        <f>_xlfn.XLOOKUP(FMS_Ranking4[[#This Row],[FMS ID]],FMS_Input[FMS_ID],FMS_Input[STRUCT_100])</f>
        <v>435</v>
      </c>
      <c r="N432" s="255">
        <f>(ASINH(FMS_Ranking4[[#This Row],[Structure at Risk Raw]]))*(10)/(ASINH(M$4))</f>
        <v>5.3210444879865948</v>
      </c>
      <c r="O432" s="256">
        <f>FMS_Ranking4[[#This Row],[Structures at risk, ArcSinh (0-10)]]*M$5*10</f>
        <v>5.3210444879865948</v>
      </c>
      <c r="P432" s="253">
        <f>_xlfn.XLOOKUP(FMS_Ranking4[[#This Row],[FMS ID]],FMS_Input[FMS_ID],FMS_Input[RES_STRUCT100])</f>
        <v>323</v>
      </c>
      <c r="Q432" s="257">
        <f>ASINH(FMS_Ranking4[[#This Row],[Res Structure Raw]])/Q$4*P$5*100</f>
        <v>0</v>
      </c>
      <c r="R432" s="253">
        <f>_xlfn.XLOOKUP(FMS_Ranking4[[#This Row],[FMS ID]],FMS_Input[FMS_ID],FMS_Input[POP100])</f>
        <v>1687</v>
      </c>
      <c r="S432" s="259">
        <f>(ASINH(FMS_Ranking4[[#This Row],[Pop at Risk Raw]]))*(10)/(ASINH(R$4))</f>
        <v>5.608369612454335</v>
      </c>
      <c r="T432" s="256">
        <f>FMS_Ranking4[[#This Row],[Population at risk, ArcSinh (0-10)]]*R$5*10</f>
        <v>5.608369612454335</v>
      </c>
      <c r="U432" s="253">
        <f>_xlfn.XLOOKUP(FMS_Ranking4[[#This Row],[FMS ID]],FMS_Input[FMS_ID],FMS_Input[CRITFAC100])</f>
        <v>7</v>
      </c>
      <c r="V432" s="259">
        <f>(ASINH(FMS_Ranking4[[#This Row],[Critical Facilities Raw]]))*(10)/(ASINH(U$4))</f>
        <v>3.1300153354232236</v>
      </c>
      <c r="W432" s="256">
        <f>FMS_Ranking4[[#This Row],[Critical facilities at risk, ArcSinh (0-10)]]*U$5*10</f>
        <v>3.1300153354232241</v>
      </c>
      <c r="X432" s="253">
        <f>_xlfn.XLOOKUP(FMS_Ranking4[[#This Row],[FMS ID]],FMS_Input[FMS_ID],FMS_Input[LWC])</f>
        <v>3</v>
      </c>
      <c r="Y432" s="259">
        <f>(ASINH(FMS_Ranking4[[#This Row],[LWC Raw]]))*(10)/(ASINH(X$4))</f>
        <v>2.4635181155638843</v>
      </c>
      <c r="Z432" s="256">
        <f>FMS_Ranking4[[#This Row],[LWC, ArcSInh (0-10)]]*X$5*10</f>
        <v>2.4635181155638843</v>
      </c>
      <c r="AA432" s="253">
        <f>_xlfn.XLOOKUP(FMS_Ranking4[[#This Row],[FMS ID]],FMS_Input[FMS_ID],FMS_Input[ROADCLS])</f>
        <v>3</v>
      </c>
      <c r="AB432" s="255">
        <f>(ASINH(FMS_Ranking4[[#This Row],[Road Closures Raw]]))*(10)/(ASINH(AA$4))</f>
        <v>1.8937450846072912</v>
      </c>
      <c r="AC432" s="256">
        <f>FMS_Ranking4[[#This Row],[Road closures, ArcSinh (0-10)]]*AA$5*10</f>
        <v>0.94687254230364559</v>
      </c>
      <c r="AD432" s="253">
        <f>_xlfn.XLOOKUP(FMS_Ranking4[[#This Row],[FMS ID]],FMS_Input[FMS_ID],FMS_Input[ROAD_MILES100])</f>
        <v>8</v>
      </c>
      <c r="AE432" s="259">
        <f>(ASINH(FMS_Ranking4[[#This Row],[Road Miles Raw]]))*(10)/(ASINH(AD$4))</f>
        <v>2.9589555764172308</v>
      </c>
      <c r="AF432" s="256">
        <f>FMS_Ranking4[[#This Row],[Length of roads at risk, ArcSinh (0-10)]]*AD$5*10</f>
        <v>2.9589555764172308</v>
      </c>
      <c r="AG432" s="253">
        <f>_xlfn.XLOOKUP(FMS_Ranking4[[#This Row],[FMS ID]],FMS_Input[FMS_ID],FMS_Input[FARMACRE100])</f>
        <v>7.4686717987060547</v>
      </c>
      <c r="AH432" s="255">
        <f>(ASINH(FMS_Ranking4[[#This Row],[Ag Land Raw]]))*(10)/(ASINH(AG$4))</f>
        <v>1.7592721035905616</v>
      </c>
      <c r="AI432" s="260">
        <f>FMS_Ranking4[[#This Row],[Farm &amp; ranch land, ArcSinh (0-10)]]*AG$5*10</f>
        <v>0.87963605179528082</v>
      </c>
      <c r="AJ432" s="258">
        <f>_xlfn.XLOOKUP(FMS_Ranking4[[#This Row],[FMS ID]],FMS_Input[FMS_ID],FMS_Input[REDSTRUCT100])</f>
        <v>0</v>
      </c>
      <c r="AK432" s="253">
        <f>_xlfn.XLOOKUP(FMS_Ranking4[[#This Row],[FMS ID]],FMS_Input[FMS_ID],FMS_Input[REMSTRC100])</f>
        <v>0</v>
      </c>
      <c r="AL432" s="259">
        <f>(ASINH(FMS_Ranking4[[#This Row],[Structures Removed Raw]]))*(10)/(ASINH(AK$4))</f>
        <v>0</v>
      </c>
      <c r="AM432" s="262">
        <f>FMS_Ranking4[[#This Row],[Structures removed, ArcSinh (0-10)]]*AK$5*10</f>
        <v>0</v>
      </c>
      <c r="AN432" s="253">
        <f>_xlfn.XLOOKUP(FMS_Ranking4[[#This Row],[FMS ID]],FMS_Input[FMS_ID],FMS_Input[REMRESSTRC100])</f>
        <v>0</v>
      </c>
      <c r="AO432" s="261">
        <f>FMS_Ranking4[[#This Row],[ArcSinh Res struct removed 0-10]]*AN$5*10</f>
        <v>0</v>
      </c>
      <c r="AP432" s="260">
        <f>ASINH(FMS_Ranking4[[#This Row],[Residential Structures Removed Raw]])/AP$4*AN$5*100</f>
        <v>0</v>
      </c>
      <c r="AQ432" s="254">
        <f>(ASINH(FMS_Ranking4[[#This Row],[Residential Structures Removed Raw]]))*(10)/(ASINH(AN$4))</f>
        <v>0</v>
      </c>
      <c r="AR432" s="253">
        <f>_xlfn.XLOOKUP(FMS_Ranking4[[#This Row],[FMS ID]],FMS_Input[FMS_ID],FMS_Input[REMPOP100])</f>
        <v>0</v>
      </c>
      <c r="AS432" s="259">
        <f>(ASINH(FMS_Ranking4[[#This Row],[Removed Pop Raw]]))*(10)/(ASINH(AR$4))</f>
        <v>0</v>
      </c>
      <c r="AT432" s="262">
        <f>FMS_Ranking4[[#This Row],[Removed population, ArcSinh (0-10)]]*AR$5*10</f>
        <v>0</v>
      </c>
      <c r="AU432" s="264">
        <f>_xlfn.XLOOKUP(FMS_Ranking4[[#This Row],[FMS ID]],FMS_Input[FMS_ID],FMS_Input[REMCRITFAC100])</f>
        <v>0</v>
      </c>
      <c r="AV432" s="264">
        <f>_xlfn.XLOOKUP(FMS_Ranking4[[#This Row],[FMS ID]],FMS_Input[FMS_ID],FMS_Input[REMLWC100])</f>
        <v>0</v>
      </c>
      <c r="AW432" s="264">
        <f>_xlfn.XLOOKUP(FMS_Ranking4[[#This Row],[FMS ID]],FMS_Input[FMS_ID],FMS_Input[REMROADCLS])</f>
        <v>0</v>
      </c>
      <c r="AX432" s="264">
        <f>_xlfn.XLOOKUP(FMS_Ranking4[[#This Row],[FMS ID]],FMS_Input[FMS_ID],FMS_Input[REMFRMACRE100])</f>
        <v>0</v>
      </c>
      <c r="AY432" s="258">
        <f>_xlfn.XLOOKUP(FMS_Ranking4[[#This Row],[FMS ID]],FMS_Input[FMS_ID],FMS_Input[COSTSTRUCT])</f>
        <v>0</v>
      </c>
      <c r="AZ432" s="253">
        <f>_xlfn.XLOOKUP(FMS_Ranking4[[#This Row],[FMS ID]],FMS_Input[FMS_ID],FMS_Input[NATURE])</f>
        <v>0</v>
      </c>
      <c r="BA432" s="262">
        <f>(((FMS_Ranking4[[#This Row],[% NBS Raw]]/AZ$4)*100)*AZ$5)</f>
        <v>0</v>
      </c>
      <c r="BB432" s="251" t="str">
        <f>_xlfn.XLOOKUP(FMS_Ranking4[[#This Row],[FMS ID]],FMS_Input[FMS_ID],FMS_Input[WATER_SUP])</f>
        <v>No</v>
      </c>
      <c r="BC432" s="265">
        <f>IF(FMS_Ranking4[[#This Row],[Water Supply Raw]]="Yes",10,0)</f>
        <v>0</v>
      </c>
      <c r="BD432" s="266">
        <f>_xlfn.XLOOKUP(FMS_Ranking4[[#This Row],[FMS Type]],FMS_TYPE[FMS_Type],FMS_TYPE[Score])</f>
        <v>4</v>
      </c>
      <c r="BE432" s="267">
        <f>FMS_Ranking4[[#This Row],[FMS_Type Score]]*$BD$5*10</f>
        <v>1</v>
      </c>
      <c r="BF43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0.12616127260731985</v>
      </c>
      <c r="BG432" s="271">
        <f>_xlfn.RANK.EQ(BF432,$BF$8:$BF$870,0)+COUNTIF($BF$8:BF432,BF432)-1</f>
        <v>447</v>
      </c>
      <c r="BH432" s="268">
        <f>(((FMS_Ranking4[[#This Row],[Structures Removed Raw]]/AK$4)*100)*AK$5)+(((FMS_Ranking4[[#This Row],[Removed Pop Raw]]/AR$4)*100)*AR$5)</f>
        <v>0</v>
      </c>
      <c r="BI43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1.1261612726073198</v>
      </c>
      <c r="BJ432" s="205">
        <f>_xlfn.RANK.EQ(FMS_Ranking4[[#This Row],[Total Score 
(with linear
normalization)]],FMS_Ranking4[Total Score 
(with linear
normalization)],0)</f>
        <v>672</v>
      </c>
      <c r="BK432" s="205" t="e">
        <f>_xlfn.XLOOKUP(FMS_Ranking4[[#This Row],[FMS ID]],#REF!,#REF!)</f>
        <v>#REF!</v>
      </c>
      <c r="BL43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21.308411721944196</v>
      </c>
      <c r="BM432" s="272">
        <f>FMS_Ranking4[[#This Row],[ArcSinh Score Based on Normalized Reported Factors]]+FMS_Ranking4[[#This Row],[% NBS Score (Normalized)]]+(FMS_Ranking4[[#This Row],[Water Supply Score (Normalized)]]*10*$BB$5)+FMS_Ranking4[[#This Row],[FMS_Type Score Weighted]]</f>
        <v>22.308411721944196</v>
      </c>
      <c r="BN432" s="205">
        <f>_xlfn.RANK.EQ(FMS_Ranking4[[#This Row],[Total Score (with ArcSinh normalization of select criteria)]],FMS_Ranking4[Total Score (with ArcSinh normalization of select criteria)],0)</f>
        <v>425</v>
      </c>
      <c r="BO432" s="270" t="str">
        <f>_xlfn.XLOOKUP(FMS_Ranking4[[#This Row],[FMS ID]],FMS_Input[FMS_ID],FMS_Input[FMS_RANK_YEAR])</f>
        <v>2023 Amended Plan</v>
      </c>
      <c r="BP432" s="204">
        <f>_xlfn.XLOOKUP(FMS_Ranking4[[#This Row],[FMS ID]],Prev_Rank[FMS ID],Prev_Rank[Prev Rank])</f>
        <v>381</v>
      </c>
      <c r="BQ432" s="205" t="e">
        <f>_xlfn.XLOOKUP(FMS_Ranking4[[#This Row],[FMS ID]],#REF!,#REF!)</f>
        <v>#REF!</v>
      </c>
      <c r="BR432" s="199" t="e">
        <f>SUM(#REF!,#REF!,#REF!,#REF!,#REF!,#REF!,#REF!,#REF!,#REF!,FMS_Ranking4[[#This Row],[ArcSinh Res struct removed 0-10]],#REF!)</f>
        <v>#REF!</v>
      </c>
      <c r="BS432" s="199" t="e">
        <f>FMS_Ranking4[[#This Row],[Log Score Based on Normalized Reported Factors]]+FMS_Ranking4[[#This Row],[% NBS Score (Normalized)]]+(FMS_Ranking4[[#This Row],[Water Supply Score (Normalized)]]*10*$BB$5)+(FMS_Ranking4[[#This Row],[FMS_Type Score Weighted]])</f>
        <v>#REF!</v>
      </c>
      <c r="BT432" s="200" t="e">
        <f>_xlfn.RANK.EQ(FMS_Ranking4[[#This Row],[Log Total Score]],FMS_Ranking4[Log Total Score],0)</f>
        <v>#REF!</v>
      </c>
      <c r="BU432" s="200" t="e">
        <f>_xlfn.XLOOKUP(FMS_Ranking4[[#This Row],[FMS ID]],#REF!,#REF!)</f>
        <v>#REF!</v>
      </c>
      <c r="BV432" s="200">
        <f>FMS_Ranking4[[#This Row],[Region Number]]</f>
        <v>5</v>
      </c>
      <c r="BW432" s="200">
        <f>FMS_Ranking4[[#This Row],[Rank (with ArcSinh normalization of select criteria)]]-FMS_Ranking4[[#This Row],[Rank
(with linear
normalization)]]</f>
        <v>-247</v>
      </c>
      <c r="BX432" s="200" t="e">
        <f>FMS_Ranking4[[#This Row],[Log Rank]]-FMS_Ranking4[[#This Row],[Rank
(with linear
normalization)]]</f>
        <v>#REF!</v>
      </c>
      <c r="BY432" s="200" t="str">
        <f>IF(FMS_Ranking4[[#This Row],[FMS Type]]="Flood Measurement and Warning",FMS_Ranking4[[#This Row],[Rank (with ArcSinh normalization of select criteria)]],"")</f>
        <v/>
      </c>
      <c r="BZ432" s="200" t="str">
        <f>IF(FMS_Ranking4[[#This Row],[FMS Type]]="Regulatory and Guidance",FMS_Ranking4[[#This Row],[Rank (with ArcSinh normalization of select criteria)]],"")</f>
        <v/>
      </c>
      <c r="CA432" s="200" t="str">
        <f>IF(FMS_Ranking4[[#This Row],[FMS Type]]="Education and Outreach",FMS_Ranking4[[#This Row],[Rank (with ArcSinh normalization of select criteria)]],"")</f>
        <v/>
      </c>
      <c r="CB432" s="200" t="str">
        <f>IF(FMS_Ranking4[[#This Row],[FMS Type]]="Property Acquisition and Structural Elevation",FMS_Ranking4[[#This Row],[Rank (with ArcSinh normalization of select criteria)]],"")</f>
        <v/>
      </c>
      <c r="CC432" s="200">
        <f>IF(FMS_Ranking4[[#This Row],[FMS Type]]="Infrastructure Projects",FMS_Ranking4[[#This Row],[Rank (with ArcSinh normalization of select criteria)]],"")</f>
        <v>425</v>
      </c>
      <c r="CD432" s="200" t="str">
        <f>IF(FMS_Ranking4[[#This Row],[FMS Type]]="Other",FMS_Ranking4[[#This Row],[Rank (with ArcSinh normalization of select criteria)]],"")</f>
        <v/>
      </c>
      <c r="CE432" s="201"/>
      <c r="CF432" s="206"/>
      <c r="CG432" s="206"/>
      <c r="CH432" s="206"/>
      <c r="CI432" s="206"/>
      <c r="CJ432" s="206"/>
      <c r="CK432" s="206"/>
      <c r="CL432" s="206"/>
      <c r="CM432" s="206"/>
      <c r="CN432" s="206"/>
      <c r="CO432" s="206"/>
      <c r="CP432" s="206"/>
      <c r="CQ432" s="206"/>
      <c r="CR432" s="206"/>
    </row>
    <row r="433" spans="2:96" ht="75" x14ac:dyDescent="0.25">
      <c r="B433" s="341" t="s">
        <v>2928</v>
      </c>
      <c r="C433" s="246">
        <f>_xlfn.XLOOKUP(FMS_Ranking4[[#This Row],[FMS ID]],FMS_Input[FMS_ID],FMS_Input[RFPG_NUM])</f>
        <v>5</v>
      </c>
      <c r="D433" s="309" t="str">
        <f>_xlfn.XLOOKUP(FMS_Ranking4[[#This Row],[FMS ID]],FMS_Input[FMS_ID],FMS_Input[FMS_NAME])</f>
        <v>City of Sour Lake Drainage Outfalls</v>
      </c>
      <c r="E433" s="308" t="str">
        <f>_xlfn.XLOOKUP(FMS_Ranking4[[#This Row],[FMS ID]],FMS_Input[FMS_ID],FMS_Input[SPONSOR])</f>
        <v>05002933</v>
      </c>
      <c r="F433" s="309" t="str">
        <f>_xlfn.XLOOKUP(FMS_Ranking4[[#This Row],[FMS ID]],Sponsor[FMS_ID],Sponsor[SPONSOR NAME])</f>
        <v>Sour Lake</v>
      </c>
      <c r="G433" s="309" t="str">
        <f>_xlfn.XLOOKUP(FMS_Ranking4[[#This Row],[FMS ID]],FMS_Input[FMS_ID],FMS_Input[FMS_DESCR])</f>
        <v>Advance a plan to rectify, enlarge, and maintain outfall channels for the City of Sour Lake, including excavating interior roadside ditches.</v>
      </c>
      <c r="H433" s="248" t="str">
        <f>_xlfn.XLOOKUP(FMS_Ranking4[[#This Row],[FMS ID]],FMS_Input[FMS_ID],FMS_Input[FMS_TYPE])</f>
        <v>Infrastructure Projects</v>
      </c>
      <c r="I433" s="249">
        <f>_xlfn.XLOOKUP(FMS_Ranking4[[#This Row],[FMS ID]],FMS_Input[FMS_ID],FMS_Input[NRNC_COST])</f>
        <v>60000</v>
      </c>
      <c r="J433" s="250">
        <f>_xlfn.XLOOKUP(FMS_Ranking4[[#This Row],[FMS ID]],FMS_Input[FMS_ID],FMS_Input[FMS_COST])</f>
        <v>1000000</v>
      </c>
      <c r="K433" s="251" t="str">
        <f>_xlfn.XLOOKUP(FMS_Ranking4[[#This Row],[FMS ID]],FMS_Input[FMS_ID],FMS_Input[EMER_NEED])</f>
        <v>Yes</v>
      </c>
      <c r="L433" s="252">
        <f t="shared" si="6"/>
        <v>1</v>
      </c>
      <c r="M433" s="253">
        <f>_xlfn.XLOOKUP(FMS_Ranking4[[#This Row],[FMS ID]],FMS_Input[FMS_ID],FMS_Input[STRUCT_100])</f>
        <v>435</v>
      </c>
      <c r="N433" s="255">
        <f>(ASINH(FMS_Ranking4[[#This Row],[Structure at Risk Raw]]))*(10)/(ASINH(M$4))</f>
        <v>5.3210444879865948</v>
      </c>
      <c r="O433" s="256">
        <f>FMS_Ranking4[[#This Row],[Structures at risk, ArcSinh (0-10)]]*M$5*10</f>
        <v>5.3210444879865948</v>
      </c>
      <c r="P433" s="253">
        <f>_xlfn.XLOOKUP(FMS_Ranking4[[#This Row],[FMS ID]],FMS_Input[FMS_ID],FMS_Input[RES_STRUCT100])</f>
        <v>323</v>
      </c>
      <c r="Q433" s="257">
        <f>ASINH(FMS_Ranking4[[#This Row],[Res Structure Raw]])/Q$4*P$5*100</f>
        <v>0</v>
      </c>
      <c r="R433" s="253">
        <f>_xlfn.XLOOKUP(FMS_Ranking4[[#This Row],[FMS ID]],FMS_Input[FMS_ID],FMS_Input[POP100])</f>
        <v>1687</v>
      </c>
      <c r="S433" s="259">
        <f>(ASINH(FMS_Ranking4[[#This Row],[Pop at Risk Raw]]))*(10)/(ASINH(R$4))</f>
        <v>5.608369612454335</v>
      </c>
      <c r="T433" s="256">
        <f>FMS_Ranking4[[#This Row],[Population at risk, ArcSinh (0-10)]]*R$5*10</f>
        <v>5.608369612454335</v>
      </c>
      <c r="U433" s="253">
        <f>_xlfn.XLOOKUP(FMS_Ranking4[[#This Row],[FMS ID]],FMS_Input[FMS_ID],FMS_Input[CRITFAC100])</f>
        <v>7</v>
      </c>
      <c r="V433" s="259">
        <f>(ASINH(FMS_Ranking4[[#This Row],[Critical Facilities Raw]]))*(10)/(ASINH(U$4))</f>
        <v>3.1300153354232236</v>
      </c>
      <c r="W433" s="256">
        <f>FMS_Ranking4[[#This Row],[Critical facilities at risk, ArcSinh (0-10)]]*U$5*10</f>
        <v>3.1300153354232241</v>
      </c>
      <c r="X433" s="253">
        <f>_xlfn.XLOOKUP(FMS_Ranking4[[#This Row],[FMS ID]],FMS_Input[FMS_ID],FMS_Input[LWC])</f>
        <v>3</v>
      </c>
      <c r="Y433" s="259">
        <f>(ASINH(FMS_Ranking4[[#This Row],[LWC Raw]]))*(10)/(ASINH(X$4))</f>
        <v>2.4635181155638843</v>
      </c>
      <c r="Z433" s="256">
        <f>FMS_Ranking4[[#This Row],[LWC, ArcSInh (0-10)]]*X$5*10</f>
        <v>2.4635181155638843</v>
      </c>
      <c r="AA433" s="253">
        <f>_xlfn.XLOOKUP(FMS_Ranking4[[#This Row],[FMS ID]],FMS_Input[FMS_ID],FMS_Input[ROADCLS])</f>
        <v>3</v>
      </c>
      <c r="AB433" s="255">
        <f>(ASINH(FMS_Ranking4[[#This Row],[Road Closures Raw]]))*(10)/(ASINH(AA$4))</f>
        <v>1.8937450846072912</v>
      </c>
      <c r="AC433" s="256">
        <f>FMS_Ranking4[[#This Row],[Road closures, ArcSinh (0-10)]]*AA$5*10</f>
        <v>0.94687254230364559</v>
      </c>
      <c r="AD433" s="253">
        <f>_xlfn.XLOOKUP(FMS_Ranking4[[#This Row],[FMS ID]],FMS_Input[FMS_ID],FMS_Input[ROAD_MILES100])</f>
        <v>8</v>
      </c>
      <c r="AE433" s="259">
        <f>(ASINH(FMS_Ranking4[[#This Row],[Road Miles Raw]]))*(10)/(ASINH(AD$4))</f>
        <v>2.9589555764172308</v>
      </c>
      <c r="AF433" s="256">
        <f>FMS_Ranking4[[#This Row],[Length of roads at risk, ArcSinh (0-10)]]*AD$5*10</f>
        <v>2.9589555764172308</v>
      </c>
      <c r="AG433" s="253">
        <f>_xlfn.XLOOKUP(FMS_Ranking4[[#This Row],[FMS ID]],FMS_Input[FMS_ID],FMS_Input[FARMACRE100])</f>
        <v>7.4686717987060547</v>
      </c>
      <c r="AH433" s="255">
        <f>(ASINH(FMS_Ranking4[[#This Row],[Ag Land Raw]]))*(10)/(ASINH(AG$4))</f>
        <v>1.7592721035905616</v>
      </c>
      <c r="AI433" s="260">
        <f>FMS_Ranking4[[#This Row],[Farm &amp; ranch land, ArcSinh (0-10)]]*AG$5*10</f>
        <v>0.87963605179528082</v>
      </c>
      <c r="AJ433" s="258">
        <f>_xlfn.XLOOKUP(FMS_Ranking4[[#This Row],[FMS ID]],FMS_Input[FMS_ID],FMS_Input[REDSTRUCT100])</f>
        <v>0</v>
      </c>
      <c r="AK433" s="253">
        <f>_xlfn.XLOOKUP(FMS_Ranking4[[#This Row],[FMS ID]],FMS_Input[FMS_ID],FMS_Input[REMSTRC100])</f>
        <v>0</v>
      </c>
      <c r="AL433" s="259">
        <f>(ASINH(FMS_Ranking4[[#This Row],[Structures Removed Raw]]))*(10)/(ASINH(AK$4))</f>
        <v>0</v>
      </c>
      <c r="AM433" s="262">
        <f>FMS_Ranking4[[#This Row],[Structures removed, ArcSinh (0-10)]]*AK$5*10</f>
        <v>0</v>
      </c>
      <c r="AN433" s="253">
        <f>_xlfn.XLOOKUP(FMS_Ranking4[[#This Row],[FMS ID]],FMS_Input[FMS_ID],FMS_Input[REMRESSTRC100])</f>
        <v>0</v>
      </c>
      <c r="AO433" s="261">
        <f>FMS_Ranking4[[#This Row],[ArcSinh Res struct removed 0-10]]*AN$5*10</f>
        <v>0</v>
      </c>
      <c r="AP433" s="260">
        <f>ASINH(FMS_Ranking4[[#This Row],[Residential Structures Removed Raw]])/AP$4*AN$5*100</f>
        <v>0</v>
      </c>
      <c r="AQ433" s="254">
        <f>(ASINH(FMS_Ranking4[[#This Row],[Residential Structures Removed Raw]]))*(10)/(ASINH(AN$4))</f>
        <v>0</v>
      </c>
      <c r="AR433" s="253">
        <f>_xlfn.XLOOKUP(FMS_Ranking4[[#This Row],[FMS ID]],FMS_Input[FMS_ID],FMS_Input[REMPOP100])</f>
        <v>0</v>
      </c>
      <c r="AS433" s="259">
        <f>(ASINH(FMS_Ranking4[[#This Row],[Removed Pop Raw]]))*(10)/(ASINH(AR$4))</f>
        <v>0</v>
      </c>
      <c r="AT433" s="262">
        <f>FMS_Ranking4[[#This Row],[Removed population, ArcSinh (0-10)]]*AR$5*10</f>
        <v>0</v>
      </c>
      <c r="AU433" s="264">
        <f>_xlfn.XLOOKUP(FMS_Ranking4[[#This Row],[FMS ID]],FMS_Input[FMS_ID],FMS_Input[REMCRITFAC100])</f>
        <v>0</v>
      </c>
      <c r="AV433" s="264">
        <f>_xlfn.XLOOKUP(FMS_Ranking4[[#This Row],[FMS ID]],FMS_Input[FMS_ID],FMS_Input[REMLWC100])</f>
        <v>0</v>
      </c>
      <c r="AW433" s="264">
        <f>_xlfn.XLOOKUP(FMS_Ranking4[[#This Row],[FMS ID]],FMS_Input[FMS_ID],FMS_Input[REMROADCLS])</f>
        <v>0</v>
      </c>
      <c r="AX433" s="264">
        <f>_xlfn.XLOOKUP(FMS_Ranking4[[#This Row],[FMS ID]],FMS_Input[FMS_ID],FMS_Input[REMFRMACRE100])</f>
        <v>0</v>
      </c>
      <c r="AY433" s="258">
        <f>_xlfn.XLOOKUP(FMS_Ranking4[[#This Row],[FMS ID]],FMS_Input[FMS_ID],FMS_Input[COSTSTRUCT])</f>
        <v>0</v>
      </c>
      <c r="AZ433" s="253">
        <f>_xlfn.XLOOKUP(FMS_Ranking4[[#This Row],[FMS ID]],FMS_Input[FMS_ID],FMS_Input[NATURE])</f>
        <v>0</v>
      </c>
      <c r="BA433" s="262">
        <f>(((FMS_Ranking4[[#This Row],[% NBS Raw]]/AZ$4)*100)*AZ$5)</f>
        <v>0</v>
      </c>
      <c r="BB433" s="251" t="str">
        <f>_xlfn.XLOOKUP(FMS_Ranking4[[#This Row],[FMS ID]],FMS_Input[FMS_ID],FMS_Input[WATER_SUP])</f>
        <v>No</v>
      </c>
      <c r="BC433" s="265">
        <f>IF(FMS_Ranking4[[#This Row],[Water Supply Raw]]="Yes",10,0)</f>
        <v>0</v>
      </c>
      <c r="BD433" s="266">
        <f>_xlfn.XLOOKUP(FMS_Ranking4[[#This Row],[FMS Type]],FMS_TYPE[FMS_Type],FMS_TYPE[Score])</f>
        <v>4</v>
      </c>
      <c r="BE433" s="267">
        <f>FMS_Ranking4[[#This Row],[FMS_Type Score]]*$BD$5*10</f>
        <v>1</v>
      </c>
      <c r="BF43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0.12616127260731985</v>
      </c>
      <c r="BG433" s="271">
        <f>_xlfn.RANK.EQ(BF433,$BF$8:$BF$870,0)+COUNTIF($BF$8:BF433,BF433)-1</f>
        <v>448</v>
      </c>
      <c r="BH433" s="268">
        <f>(((FMS_Ranking4[[#This Row],[Structures Removed Raw]]/AK$4)*100)*AK$5)+(((FMS_Ranking4[[#This Row],[Removed Pop Raw]]/AR$4)*100)*AR$5)</f>
        <v>0</v>
      </c>
      <c r="BI43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1.1261612726073198</v>
      </c>
      <c r="BJ433" s="205">
        <f>_xlfn.RANK.EQ(FMS_Ranking4[[#This Row],[Total Score 
(with linear
normalization)]],FMS_Ranking4[Total Score 
(with linear
normalization)],0)</f>
        <v>672</v>
      </c>
      <c r="BK433" s="205" t="e">
        <f>_xlfn.XLOOKUP(FMS_Ranking4[[#This Row],[FMS ID]],#REF!,#REF!)</f>
        <v>#REF!</v>
      </c>
      <c r="BL43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21.308411721944196</v>
      </c>
      <c r="BM433" s="272">
        <f>FMS_Ranking4[[#This Row],[ArcSinh Score Based on Normalized Reported Factors]]+FMS_Ranking4[[#This Row],[% NBS Score (Normalized)]]+(FMS_Ranking4[[#This Row],[Water Supply Score (Normalized)]]*10*$BB$5)+FMS_Ranking4[[#This Row],[FMS_Type Score Weighted]]</f>
        <v>22.308411721944196</v>
      </c>
      <c r="BN433" s="205">
        <f>_xlfn.RANK.EQ(FMS_Ranking4[[#This Row],[Total Score (with ArcSinh normalization of select criteria)]],FMS_Ranking4[Total Score (with ArcSinh normalization of select criteria)],0)</f>
        <v>425</v>
      </c>
      <c r="BO433" s="270" t="str">
        <f>_xlfn.XLOOKUP(FMS_Ranking4[[#This Row],[FMS ID]],FMS_Input[FMS_ID],FMS_Input[FMS_RANK_YEAR])</f>
        <v>2023 Amended Plan</v>
      </c>
      <c r="BP433" s="204">
        <f>_xlfn.XLOOKUP(FMS_Ranking4[[#This Row],[FMS ID]],Prev_Rank[FMS ID],Prev_Rank[Prev Rank])</f>
        <v>381</v>
      </c>
      <c r="BQ433" s="205" t="e">
        <f>_xlfn.XLOOKUP(FMS_Ranking4[[#This Row],[FMS ID]],#REF!,#REF!)</f>
        <v>#REF!</v>
      </c>
      <c r="BR433" s="199" t="e">
        <f>SUM(#REF!,#REF!,#REF!,#REF!,#REF!,#REF!,#REF!,#REF!,#REF!,FMS_Ranking4[[#This Row],[ArcSinh Res struct removed 0-10]],#REF!)</f>
        <v>#REF!</v>
      </c>
      <c r="BS433" s="199" t="e">
        <f>FMS_Ranking4[[#This Row],[Log Score Based on Normalized Reported Factors]]+FMS_Ranking4[[#This Row],[% NBS Score (Normalized)]]+(FMS_Ranking4[[#This Row],[Water Supply Score (Normalized)]]*10*$BB$5)+(FMS_Ranking4[[#This Row],[FMS_Type Score Weighted]])</f>
        <v>#REF!</v>
      </c>
      <c r="BT433" s="200" t="e">
        <f>_xlfn.RANK.EQ(FMS_Ranking4[[#This Row],[Log Total Score]],FMS_Ranking4[Log Total Score],0)</f>
        <v>#REF!</v>
      </c>
      <c r="BU433" s="200" t="e">
        <f>_xlfn.XLOOKUP(FMS_Ranking4[[#This Row],[FMS ID]],#REF!,#REF!)</f>
        <v>#REF!</v>
      </c>
      <c r="BV433" s="200">
        <f>FMS_Ranking4[[#This Row],[Region Number]]</f>
        <v>5</v>
      </c>
      <c r="BW433" s="200">
        <f>FMS_Ranking4[[#This Row],[Rank (with ArcSinh normalization of select criteria)]]-FMS_Ranking4[[#This Row],[Rank
(with linear
normalization)]]</f>
        <v>-247</v>
      </c>
      <c r="BX433" s="200" t="e">
        <f>FMS_Ranking4[[#This Row],[Log Rank]]-FMS_Ranking4[[#This Row],[Rank
(with linear
normalization)]]</f>
        <v>#REF!</v>
      </c>
      <c r="BY433" s="200" t="str">
        <f>IF(FMS_Ranking4[[#This Row],[FMS Type]]="Flood Measurement and Warning",FMS_Ranking4[[#This Row],[Rank (with ArcSinh normalization of select criteria)]],"")</f>
        <v/>
      </c>
      <c r="BZ433" s="200" t="str">
        <f>IF(FMS_Ranking4[[#This Row],[FMS Type]]="Regulatory and Guidance",FMS_Ranking4[[#This Row],[Rank (with ArcSinh normalization of select criteria)]],"")</f>
        <v/>
      </c>
      <c r="CA433" s="200" t="str">
        <f>IF(FMS_Ranking4[[#This Row],[FMS Type]]="Education and Outreach",FMS_Ranking4[[#This Row],[Rank (with ArcSinh normalization of select criteria)]],"")</f>
        <v/>
      </c>
      <c r="CB433" s="200" t="str">
        <f>IF(FMS_Ranking4[[#This Row],[FMS Type]]="Property Acquisition and Structural Elevation",FMS_Ranking4[[#This Row],[Rank (with ArcSinh normalization of select criteria)]],"")</f>
        <v/>
      </c>
      <c r="CC433" s="200">
        <f>IF(FMS_Ranking4[[#This Row],[FMS Type]]="Infrastructure Projects",FMS_Ranking4[[#This Row],[Rank (with ArcSinh normalization of select criteria)]],"")</f>
        <v>425</v>
      </c>
      <c r="CD433" s="200" t="str">
        <f>IF(FMS_Ranking4[[#This Row],[FMS Type]]="Other",FMS_Ranking4[[#This Row],[Rank (with ArcSinh normalization of select criteria)]],"")</f>
        <v/>
      </c>
      <c r="CE433" s="201"/>
      <c r="CF433" s="206"/>
      <c r="CG433" s="206"/>
      <c r="CH433" s="206"/>
      <c r="CI433" s="206"/>
      <c r="CJ433" s="206"/>
      <c r="CK433" s="206"/>
      <c r="CL433" s="206"/>
      <c r="CM433" s="206"/>
      <c r="CN433" s="206"/>
      <c r="CO433" s="206"/>
      <c r="CP433" s="206"/>
      <c r="CQ433" s="206"/>
      <c r="CR433" s="206"/>
    </row>
    <row r="434" spans="2:96" ht="105" x14ac:dyDescent="0.25">
      <c r="B434" s="341" t="s">
        <v>2938</v>
      </c>
      <c r="C434" s="246">
        <f>_xlfn.XLOOKUP(FMS_Ranking4[[#This Row],[FMS ID]],FMS_Input[FMS_ID],FMS_Input[RFPG_NUM])</f>
        <v>5</v>
      </c>
      <c r="D434" s="309" t="str">
        <f>_xlfn.XLOOKUP(FMS_Ranking4[[#This Row],[FMS ID]],FMS_Input[FMS_ID],FMS_Input[FMS_NAME])</f>
        <v>City of Sour Lake Channel Improvements</v>
      </c>
      <c r="E434" s="308" t="str">
        <f>_xlfn.XLOOKUP(FMS_Ranking4[[#This Row],[FMS ID]],FMS_Input[FMS_ID],FMS_Input[SPONSOR])</f>
        <v>05002933</v>
      </c>
      <c r="F434" s="309" t="str">
        <f>_xlfn.XLOOKUP(FMS_Ranking4[[#This Row],[FMS ID]],Sponsor[FMS_ID],Sponsor[SPONSOR NAME])</f>
        <v>Sour Lake</v>
      </c>
      <c r="G434" s="309" t="str">
        <f>_xlfn.XLOOKUP(FMS_Ranking4[[#This Row],[FMS ID]],FMS_Input[FMS_ID],FMS_Input[FMS_DESCR])</f>
        <v>Establish criteria and standards for installing large concrete channels, box culvert, concrete pipe, and/or mechanisms as needed to mitigate drainage ditch erosion and improve water capacity and conveyance.</v>
      </c>
      <c r="H434" s="248" t="str">
        <f>_xlfn.XLOOKUP(FMS_Ranking4[[#This Row],[FMS ID]],FMS_Input[FMS_ID],FMS_Input[FMS_TYPE])</f>
        <v>Infrastructure Projects</v>
      </c>
      <c r="I434" s="249">
        <f>_xlfn.XLOOKUP(FMS_Ranking4[[#This Row],[FMS ID]],FMS_Input[FMS_ID],FMS_Input[NRNC_COST])</f>
        <v>60000</v>
      </c>
      <c r="J434" s="250">
        <f>_xlfn.XLOOKUP(FMS_Ranking4[[#This Row],[FMS ID]],FMS_Input[FMS_ID],FMS_Input[FMS_COST])</f>
        <v>500000</v>
      </c>
      <c r="K434" s="251" t="str">
        <f>_xlfn.XLOOKUP(FMS_Ranking4[[#This Row],[FMS ID]],FMS_Input[FMS_ID],FMS_Input[EMER_NEED])</f>
        <v>Yes</v>
      </c>
      <c r="L434" s="252">
        <f t="shared" si="6"/>
        <v>1</v>
      </c>
      <c r="M434" s="253">
        <f>_xlfn.XLOOKUP(FMS_Ranking4[[#This Row],[FMS ID]],FMS_Input[FMS_ID],FMS_Input[STRUCT_100])</f>
        <v>435</v>
      </c>
      <c r="N434" s="255">
        <f>(ASINH(FMS_Ranking4[[#This Row],[Structure at Risk Raw]]))*(10)/(ASINH(M$4))</f>
        <v>5.3210444879865948</v>
      </c>
      <c r="O434" s="256">
        <f>FMS_Ranking4[[#This Row],[Structures at risk, ArcSinh (0-10)]]*M$5*10</f>
        <v>5.3210444879865948</v>
      </c>
      <c r="P434" s="253">
        <f>_xlfn.XLOOKUP(FMS_Ranking4[[#This Row],[FMS ID]],FMS_Input[FMS_ID],FMS_Input[RES_STRUCT100])</f>
        <v>323</v>
      </c>
      <c r="Q434" s="257">
        <f>ASINH(FMS_Ranking4[[#This Row],[Res Structure Raw]])/Q$4*P$5*100</f>
        <v>0</v>
      </c>
      <c r="R434" s="253">
        <f>_xlfn.XLOOKUP(FMS_Ranking4[[#This Row],[FMS ID]],FMS_Input[FMS_ID],FMS_Input[POP100])</f>
        <v>1687</v>
      </c>
      <c r="S434" s="259">
        <f>(ASINH(FMS_Ranking4[[#This Row],[Pop at Risk Raw]]))*(10)/(ASINH(R$4))</f>
        <v>5.608369612454335</v>
      </c>
      <c r="T434" s="256">
        <f>FMS_Ranking4[[#This Row],[Population at risk, ArcSinh (0-10)]]*R$5*10</f>
        <v>5.608369612454335</v>
      </c>
      <c r="U434" s="253">
        <f>_xlfn.XLOOKUP(FMS_Ranking4[[#This Row],[FMS ID]],FMS_Input[FMS_ID],FMS_Input[CRITFAC100])</f>
        <v>7</v>
      </c>
      <c r="V434" s="259">
        <f>(ASINH(FMS_Ranking4[[#This Row],[Critical Facilities Raw]]))*(10)/(ASINH(U$4))</f>
        <v>3.1300153354232236</v>
      </c>
      <c r="W434" s="256">
        <f>FMS_Ranking4[[#This Row],[Critical facilities at risk, ArcSinh (0-10)]]*U$5*10</f>
        <v>3.1300153354232241</v>
      </c>
      <c r="X434" s="253">
        <f>_xlfn.XLOOKUP(FMS_Ranking4[[#This Row],[FMS ID]],FMS_Input[FMS_ID],FMS_Input[LWC])</f>
        <v>3</v>
      </c>
      <c r="Y434" s="259">
        <f>(ASINH(FMS_Ranking4[[#This Row],[LWC Raw]]))*(10)/(ASINH(X$4))</f>
        <v>2.4635181155638843</v>
      </c>
      <c r="Z434" s="256">
        <f>FMS_Ranking4[[#This Row],[LWC, ArcSInh (0-10)]]*X$5*10</f>
        <v>2.4635181155638843</v>
      </c>
      <c r="AA434" s="253">
        <f>_xlfn.XLOOKUP(FMS_Ranking4[[#This Row],[FMS ID]],FMS_Input[FMS_ID],FMS_Input[ROADCLS])</f>
        <v>3</v>
      </c>
      <c r="AB434" s="255">
        <f>(ASINH(FMS_Ranking4[[#This Row],[Road Closures Raw]]))*(10)/(ASINH(AA$4))</f>
        <v>1.8937450846072912</v>
      </c>
      <c r="AC434" s="256">
        <f>FMS_Ranking4[[#This Row],[Road closures, ArcSinh (0-10)]]*AA$5*10</f>
        <v>0.94687254230364559</v>
      </c>
      <c r="AD434" s="253">
        <f>_xlfn.XLOOKUP(FMS_Ranking4[[#This Row],[FMS ID]],FMS_Input[FMS_ID],FMS_Input[ROAD_MILES100])</f>
        <v>8</v>
      </c>
      <c r="AE434" s="259">
        <f>(ASINH(FMS_Ranking4[[#This Row],[Road Miles Raw]]))*(10)/(ASINH(AD$4))</f>
        <v>2.9589555764172308</v>
      </c>
      <c r="AF434" s="256">
        <f>FMS_Ranking4[[#This Row],[Length of roads at risk, ArcSinh (0-10)]]*AD$5*10</f>
        <v>2.9589555764172308</v>
      </c>
      <c r="AG434" s="253">
        <f>_xlfn.XLOOKUP(FMS_Ranking4[[#This Row],[FMS ID]],FMS_Input[FMS_ID],FMS_Input[FARMACRE100])</f>
        <v>7.4686717987060547</v>
      </c>
      <c r="AH434" s="255">
        <f>(ASINH(FMS_Ranking4[[#This Row],[Ag Land Raw]]))*(10)/(ASINH(AG$4))</f>
        <v>1.7592721035905616</v>
      </c>
      <c r="AI434" s="260">
        <f>FMS_Ranking4[[#This Row],[Farm &amp; ranch land, ArcSinh (0-10)]]*AG$5*10</f>
        <v>0.87963605179528082</v>
      </c>
      <c r="AJ434" s="258">
        <f>_xlfn.XLOOKUP(FMS_Ranking4[[#This Row],[FMS ID]],FMS_Input[FMS_ID],FMS_Input[REDSTRUCT100])</f>
        <v>0</v>
      </c>
      <c r="AK434" s="253">
        <f>_xlfn.XLOOKUP(FMS_Ranking4[[#This Row],[FMS ID]],FMS_Input[FMS_ID],FMS_Input[REMSTRC100])</f>
        <v>0</v>
      </c>
      <c r="AL434" s="259">
        <f>(ASINH(FMS_Ranking4[[#This Row],[Structures Removed Raw]]))*(10)/(ASINH(AK$4))</f>
        <v>0</v>
      </c>
      <c r="AM434" s="262">
        <f>FMS_Ranking4[[#This Row],[Structures removed, ArcSinh (0-10)]]*AK$5*10</f>
        <v>0</v>
      </c>
      <c r="AN434" s="253">
        <f>_xlfn.XLOOKUP(FMS_Ranking4[[#This Row],[FMS ID]],FMS_Input[FMS_ID],FMS_Input[REMRESSTRC100])</f>
        <v>0</v>
      </c>
      <c r="AO434" s="261">
        <f>FMS_Ranking4[[#This Row],[ArcSinh Res struct removed 0-10]]*AN$5*10</f>
        <v>0</v>
      </c>
      <c r="AP434" s="260">
        <f>ASINH(FMS_Ranking4[[#This Row],[Residential Structures Removed Raw]])/AP$4*AN$5*100</f>
        <v>0</v>
      </c>
      <c r="AQ434" s="254">
        <f>(ASINH(FMS_Ranking4[[#This Row],[Residential Structures Removed Raw]]))*(10)/(ASINH(AN$4))</f>
        <v>0</v>
      </c>
      <c r="AR434" s="253">
        <f>_xlfn.XLOOKUP(FMS_Ranking4[[#This Row],[FMS ID]],FMS_Input[FMS_ID],FMS_Input[REMPOP100])</f>
        <v>0</v>
      </c>
      <c r="AS434" s="259">
        <f>(ASINH(FMS_Ranking4[[#This Row],[Removed Pop Raw]]))*(10)/(ASINH(AR$4))</f>
        <v>0</v>
      </c>
      <c r="AT434" s="262">
        <f>FMS_Ranking4[[#This Row],[Removed population, ArcSinh (0-10)]]*AR$5*10</f>
        <v>0</v>
      </c>
      <c r="AU434" s="264">
        <f>_xlfn.XLOOKUP(FMS_Ranking4[[#This Row],[FMS ID]],FMS_Input[FMS_ID],FMS_Input[REMCRITFAC100])</f>
        <v>0</v>
      </c>
      <c r="AV434" s="264">
        <f>_xlfn.XLOOKUP(FMS_Ranking4[[#This Row],[FMS ID]],FMS_Input[FMS_ID],FMS_Input[REMLWC100])</f>
        <v>0</v>
      </c>
      <c r="AW434" s="264">
        <f>_xlfn.XLOOKUP(FMS_Ranking4[[#This Row],[FMS ID]],FMS_Input[FMS_ID],FMS_Input[REMROADCLS])</f>
        <v>0</v>
      </c>
      <c r="AX434" s="264">
        <f>_xlfn.XLOOKUP(FMS_Ranking4[[#This Row],[FMS ID]],FMS_Input[FMS_ID],FMS_Input[REMFRMACRE100])</f>
        <v>0</v>
      </c>
      <c r="AY434" s="258">
        <f>_xlfn.XLOOKUP(FMS_Ranking4[[#This Row],[FMS ID]],FMS_Input[FMS_ID],FMS_Input[COSTSTRUCT])</f>
        <v>0</v>
      </c>
      <c r="AZ434" s="253">
        <f>_xlfn.XLOOKUP(FMS_Ranking4[[#This Row],[FMS ID]],FMS_Input[FMS_ID],FMS_Input[NATURE])</f>
        <v>0</v>
      </c>
      <c r="BA434" s="262">
        <f>(((FMS_Ranking4[[#This Row],[% NBS Raw]]/AZ$4)*100)*AZ$5)</f>
        <v>0</v>
      </c>
      <c r="BB434" s="251" t="str">
        <f>_xlfn.XLOOKUP(FMS_Ranking4[[#This Row],[FMS ID]],FMS_Input[FMS_ID],FMS_Input[WATER_SUP])</f>
        <v>No</v>
      </c>
      <c r="BC434" s="265">
        <f>IF(FMS_Ranking4[[#This Row],[Water Supply Raw]]="Yes",10,0)</f>
        <v>0</v>
      </c>
      <c r="BD434" s="266">
        <f>_xlfn.XLOOKUP(FMS_Ranking4[[#This Row],[FMS Type]],FMS_TYPE[FMS_Type],FMS_TYPE[Score])</f>
        <v>4</v>
      </c>
      <c r="BE434" s="267">
        <f>FMS_Ranking4[[#This Row],[FMS_Type Score]]*$BD$5*10</f>
        <v>1</v>
      </c>
      <c r="BF43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0.12616127260731985</v>
      </c>
      <c r="BG434" s="271">
        <f>_xlfn.RANK.EQ(BF434,$BF$8:$BF$870,0)+COUNTIF($BF$8:BF434,BF434)-1</f>
        <v>449</v>
      </c>
      <c r="BH434" s="268">
        <f>(((FMS_Ranking4[[#This Row],[Structures Removed Raw]]/AK$4)*100)*AK$5)+(((FMS_Ranking4[[#This Row],[Removed Pop Raw]]/AR$4)*100)*AR$5)</f>
        <v>0</v>
      </c>
      <c r="BI43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1.1261612726073198</v>
      </c>
      <c r="BJ434" s="205">
        <f>_xlfn.RANK.EQ(FMS_Ranking4[[#This Row],[Total Score 
(with linear
normalization)]],FMS_Ranking4[Total Score 
(with linear
normalization)],0)</f>
        <v>672</v>
      </c>
      <c r="BK434" s="205" t="e">
        <f>_xlfn.XLOOKUP(FMS_Ranking4[[#This Row],[FMS ID]],#REF!,#REF!)</f>
        <v>#REF!</v>
      </c>
      <c r="BL43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21.308411721944196</v>
      </c>
      <c r="BM434" s="272">
        <f>FMS_Ranking4[[#This Row],[ArcSinh Score Based on Normalized Reported Factors]]+FMS_Ranking4[[#This Row],[% NBS Score (Normalized)]]+(FMS_Ranking4[[#This Row],[Water Supply Score (Normalized)]]*10*$BB$5)+FMS_Ranking4[[#This Row],[FMS_Type Score Weighted]]</f>
        <v>22.308411721944196</v>
      </c>
      <c r="BN434" s="205">
        <f>_xlfn.RANK.EQ(FMS_Ranking4[[#This Row],[Total Score (with ArcSinh normalization of select criteria)]],FMS_Ranking4[Total Score (with ArcSinh normalization of select criteria)],0)</f>
        <v>425</v>
      </c>
      <c r="BO434" s="270" t="str">
        <f>_xlfn.XLOOKUP(FMS_Ranking4[[#This Row],[FMS ID]],FMS_Input[FMS_ID],FMS_Input[FMS_RANK_YEAR])</f>
        <v>2023 Amended Plan</v>
      </c>
      <c r="BP434" s="204">
        <f>_xlfn.XLOOKUP(FMS_Ranking4[[#This Row],[FMS ID]],Prev_Rank[FMS ID],Prev_Rank[Prev Rank])</f>
        <v>381</v>
      </c>
      <c r="BQ434" s="205" t="e">
        <f>_xlfn.XLOOKUP(FMS_Ranking4[[#This Row],[FMS ID]],#REF!,#REF!)</f>
        <v>#REF!</v>
      </c>
      <c r="BR434" s="199" t="e">
        <f>SUM(#REF!,#REF!,#REF!,#REF!,#REF!,#REF!,#REF!,#REF!,#REF!,FMS_Ranking4[[#This Row],[ArcSinh Res struct removed 0-10]],#REF!)</f>
        <v>#REF!</v>
      </c>
      <c r="BS434" s="199" t="e">
        <f>FMS_Ranking4[[#This Row],[Log Score Based on Normalized Reported Factors]]+FMS_Ranking4[[#This Row],[% NBS Score (Normalized)]]+(FMS_Ranking4[[#This Row],[Water Supply Score (Normalized)]]*10*$BB$5)+(FMS_Ranking4[[#This Row],[FMS_Type Score Weighted]])</f>
        <v>#REF!</v>
      </c>
      <c r="BT434" s="200" t="e">
        <f>_xlfn.RANK.EQ(FMS_Ranking4[[#This Row],[Log Total Score]],FMS_Ranking4[Log Total Score],0)</f>
        <v>#REF!</v>
      </c>
      <c r="BU434" s="200" t="e">
        <f>_xlfn.XLOOKUP(FMS_Ranking4[[#This Row],[FMS ID]],#REF!,#REF!)</f>
        <v>#REF!</v>
      </c>
      <c r="BV434" s="200">
        <f>FMS_Ranking4[[#This Row],[Region Number]]</f>
        <v>5</v>
      </c>
      <c r="BW434" s="200">
        <f>FMS_Ranking4[[#This Row],[Rank (with ArcSinh normalization of select criteria)]]-FMS_Ranking4[[#This Row],[Rank
(with linear
normalization)]]</f>
        <v>-247</v>
      </c>
      <c r="BX434" s="200" t="e">
        <f>FMS_Ranking4[[#This Row],[Log Rank]]-FMS_Ranking4[[#This Row],[Rank
(with linear
normalization)]]</f>
        <v>#REF!</v>
      </c>
      <c r="BY434" s="200" t="str">
        <f>IF(FMS_Ranking4[[#This Row],[FMS Type]]="Flood Measurement and Warning",FMS_Ranking4[[#This Row],[Rank (with ArcSinh normalization of select criteria)]],"")</f>
        <v/>
      </c>
      <c r="BZ434" s="200" t="str">
        <f>IF(FMS_Ranking4[[#This Row],[FMS Type]]="Regulatory and Guidance",FMS_Ranking4[[#This Row],[Rank (with ArcSinh normalization of select criteria)]],"")</f>
        <v/>
      </c>
      <c r="CA434" s="200" t="str">
        <f>IF(FMS_Ranking4[[#This Row],[FMS Type]]="Education and Outreach",FMS_Ranking4[[#This Row],[Rank (with ArcSinh normalization of select criteria)]],"")</f>
        <v/>
      </c>
      <c r="CB434" s="200" t="str">
        <f>IF(FMS_Ranking4[[#This Row],[FMS Type]]="Property Acquisition and Structural Elevation",FMS_Ranking4[[#This Row],[Rank (with ArcSinh normalization of select criteria)]],"")</f>
        <v/>
      </c>
      <c r="CC434" s="200">
        <f>IF(FMS_Ranking4[[#This Row],[FMS Type]]="Infrastructure Projects",FMS_Ranking4[[#This Row],[Rank (with ArcSinh normalization of select criteria)]],"")</f>
        <v>425</v>
      </c>
      <c r="CD434" s="200" t="str">
        <f>IF(FMS_Ranking4[[#This Row],[FMS Type]]="Other",FMS_Ranking4[[#This Row],[Rank (with ArcSinh normalization of select criteria)]],"")</f>
        <v/>
      </c>
      <c r="CE434" s="201"/>
      <c r="CF434" s="206"/>
      <c r="CG434" s="206"/>
      <c r="CH434" s="206"/>
      <c r="CI434" s="206"/>
      <c r="CJ434" s="206"/>
      <c r="CK434" s="206"/>
      <c r="CL434" s="206"/>
      <c r="CM434" s="206"/>
      <c r="CN434" s="206"/>
      <c r="CO434" s="206"/>
      <c r="CP434" s="206"/>
      <c r="CQ434" s="206"/>
      <c r="CR434" s="206"/>
    </row>
    <row r="435" spans="2:96" ht="90" x14ac:dyDescent="0.25">
      <c r="B435" s="341" t="s">
        <v>1454</v>
      </c>
      <c r="C435" s="246">
        <f>_xlfn.XLOOKUP(FMS_Ranking4[[#This Row],[FMS ID]],FMS_Input[FMS_ID],FMS_Input[RFPG_NUM])</f>
        <v>1</v>
      </c>
      <c r="D435" s="309" t="str">
        <f>_xlfn.XLOOKUP(FMS_Ranking4[[#This Row],[FMS ID]],FMS_Input[FMS_ID],FMS_Input[FMS_NAME])</f>
        <v>City of Canyon Establish Stormwater Utility Fee </v>
      </c>
      <c r="E435" s="308" t="str">
        <f>_xlfn.XLOOKUP(FMS_Ranking4[[#This Row],[FMS ID]],FMS_Input[FMS_ID],FMS_Input[SPONSOR])</f>
        <v>01003426, 01000243</v>
      </c>
      <c r="F435" s="309" t="str">
        <f>_xlfn.XLOOKUP(FMS_Ranking4[[#This Row],[FMS ID]],Sponsor[FMS_ID],Sponsor[SPONSOR NAME])</f>
        <v>Canyon, Randall</v>
      </c>
      <c r="G435" s="309" t="str">
        <f>_xlfn.XLOOKUP(FMS_Ranking4[[#This Row],[FMS ID]],FMS_Input[FMS_ID],FMS_Input[FMS_DESCR])</f>
        <v>Perform stormwater utility rate evaluation and implement a stormwater utility fee to create a dedicated funding source for stormwater projects and storm sewer maintenance</v>
      </c>
      <c r="H435" s="248" t="str">
        <f>_xlfn.XLOOKUP(FMS_Ranking4[[#This Row],[FMS ID]],FMS_Input[FMS_ID],FMS_Input[FMS_TYPE])</f>
        <v>Regulatory and Guidance</v>
      </c>
      <c r="I435" s="249">
        <f>_xlfn.XLOOKUP(FMS_Ranking4[[#This Row],[FMS ID]],FMS_Input[FMS_ID],FMS_Input[NRNC_COST])</f>
        <v>200000</v>
      </c>
      <c r="J435" s="250">
        <f>_xlfn.XLOOKUP(FMS_Ranking4[[#This Row],[FMS ID]],FMS_Input[FMS_ID],FMS_Input[FMS_COST])</f>
        <v>200000</v>
      </c>
      <c r="K435" s="251" t="str">
        <f>_xlfn.XLOOKUP(FMS_Ranking4[[#This Row],[FMS ID]],FMS_Input[FMS_ID],FMS_Input[EMER_NEED])</f>
        <v>No</v>
      </c>
      <c r="L435" s="252">
        <f t="shared" si="6"/>
        <v>0</v>
      </c>
      <c r="M435" s="253">
        <f>_xlfn.XLOOKUP(FMS_Ranking4[[#This Row],[FMS ID]],FMS_Input[FMS_ID],FMS_Input[STRUCT_100])</f>
        <v>206</v>
      </c>
      <c r="N435" s="255">
        <f>(ASINH(FMS_Ranking4[[#This Row],[Structure at Risk Raw]]))*(10)/(ASINH(M$4))</f>
        <v>4.7334254754750607</v>
      </c>
      <c r="O435" s="256">
        <f>FMS_Ranking4[[#This Row],[Structures at risk, ArcSinh (0-10)]]*M$5*10</f>
        <v>4.7334254754750607</v>
      </c>
      <c r="P435" s="253">
        <f>_xlfn.XLOOKUP(FMS_Ranking4[[#This Row],[FMS ID]],FMS_Input[FMS_ID],FMS_Input[RES_STRUCT100])</f>
        <v>193</v>
      </c>
      <c r="Q435" s="257">
        <f>ASINH(FMS_Ranking4[[#This Row],[Res Structure Raw]])/Q$4*P$5*100</f>
        <v>0</v>
      </c>
      <c r="R435" s="253">
        <f>_xlfn.XLOOKUP(FMS_Ranking4[[#This Row],[FMS ID]],FMS_Input[FMS_ID],FMS_Input[POP100])</f>
        <v>823</v>
      </c>
      <c r="S435" s="259">
        <f>(ASINH(FMS_Ranking4[[#This Row],[Pop at Risk Raw]]))*(10)/(ASINH(R$4))</f>
        <v>5.1128645868941511</v>
      </c>
      <c r="T435" s="256">
        <f>FMS_Ranking4[[#This Row],[Population at risk, ArcSinh (0-10)]]*R$5*10</f>
        <v>5.1128645868941511</v>
      </c>
      <c r="U435" s="253">
        <f>_xlfn.XLOOKUP(FMS_Ranking4[[#This Row],[FMS ID]],FMS_Input[FMS_ID],FMS_Input[CRITFAC100])</f>
        <v>0</v>
      </c>
      <c r="V435" s="259">
        <f>(ASINH(FMS_Ranking4[[#This Row],[Critical Facilities Raw]]))*(10)/(ASINH(U$4))</f>
        <v>0</v>
      </c>
      <c r="W435" s="256">
        <f>FMS_Ranking4[[#This Row],[Critical facilities at risk, ArcSinh (0-10)]]*U$5*10</f>
        <v>0</v>
      </c>
      <c r="X435" s="253">
        <f>_xlfn.XLOOKUP(FMS_Ranking4[[#This Row],[FMS ID]],FMS_Input[FMS_ID],FMS_Input[LWC])</f>
        <v>7</v>
      </c>
      <c r="Y435" s="259">
        <f>(ASINH(FMS_Ranking4[[#This Row],[LWC Raw]]))*(10)/(ASINH(X$4))</f>
        <v>3.5820902845593281</v>
      </c>
      <c r="Z435" s="256">
        <f>FMS_Ranking4[[#This Row],[LWC, ArcSInh (0-10)]]*X$5*10</f>
        <v>3.5820902845593281</v>
      </c>
      <c r="AA435" s="253">
        <f>_xlfn.XLOOKUP(FMS_Ranking4[[#This Row],[FMS ID]],FMS_Input[FMS_ID],FMS_Input[ROADCLS])</f>
        <v>7</v>
      </c>
      <c r="AB435" s="255">
        <f>(ASINH(FMS_Ranking4[[#This Row],[Road Closures Raw]]))*(10)/(ASINH(AA$4))</f>
        <v>2.7536090869991607</v>
      </c>
      <c r="AC435" s="256">
        <f>FMS_Ranking4[[#This Row],[Road closures, ArcSinh (0-10)]]*AA$5*10</f>
        <v>1.3768045434995804</v>
      </c>
      <c r="AD435" s="253">
        <f>_xlfn.XLOOKUP(FMS_Ranking4[[#This Row],[FMS ID]],FMS_Input[FMS_ID],FMS_Input[ROAD_MILES100])</f>
        <v>15</v>
      </c>
      <c r="AE435" s="259">
        <f>(ASINH(FMS_Ranking4[[#This Row],[Road Miles Raw]]))*(10)/(ASINH(AD$4))</f>
        <v>3.625922827042257</v>
      </c>
      <c r="AF435" s="256">
        <f>FMS_Ranking4[[#This Row],[Length of roads at risk, ArcSinh (0-10)]]*AD$5*10</f>
        <v>3.625922827042257</v>
      </c>
      <c r="AG435" s="253">
        <f>_xlfn.XLOOKUP(FMS_Ranking4[[#This Row],[FMS ID]],FMS_Input[FMS_ID],FMS_Input[FARMACRE100])</f>
        <v>150.2604675292969</v>
      </c>
      <c r="AH435" s="255">
        <f>(ASINH(FMS_Ranking4[[#This Row],[Ag Land Raw]]))*(10)/(ASINH(AG$4))</f>
        <v>3.7062055806677261</v>
      </c>
      <c r="AI435" s="260">
        <f>FMS_Ranking4[[#This Row],[Farm &amp; ranch land, ArcSinh (0-10)]]*AG$5*10</f>
        <v>1.853102790333863</v>
      </c>
      <c r="AJ435" s="258">
        <f>_xlfn.XLOOKUP(FMS_Ranking4[[#This Row],[FMS ID]],FMS_Input[FMS_ID],FMS_Input[REDSTRUCT100])</f>
        <v>0</v>
      </c>
      <c r="AK435" s="253">
        <f>_xlfn.XLOOKUP(FMS_Ranking4[[#This Row],[FMS ID]],FMS_Input[FMS_ID],FMS_Input[REMSTRC100])</f>
        <v>0</v>
      </c>
      <c r="AL435" s="259">
        <f>(ASINH(FMS_Ranking4[[#This Row],[Structures Removed Raw]]))*(10)/(ASINH(AK$4))</f>
        <v>0</v>
      </c>
      <c r="AM435" s="262">
        <f>FMS_Ranking4[[#This Row],[Structures removed, ArcSinh (0-10)]]*AK$5*10</f>
        <v>0</v>
      </c>
      <c r="AN435" s="253">
        <f>_xlfn.XLOOKUP(FMS_Ranking4[[#This Row],[FMS ID]],FMS_Input[FMS_ID],FMS_Input[REMRESSTRC100])</f>
        <v>0</v>
      </c>
      <c r="AO435" s="261">
        <f>FMS_Ranking4[[#This Row],[ArcSinh Res struct removed 0-10]]*AN$5*10</f>
        <v>0</v>
      </c>
      <c r="AP435" s="260">
        <f>ASINH(FMS_Ranking4[[#This Row],[Residential Structures Removed Raw]])/AP$4*AN$5*100</f>
        <v>0</v>
      </c>
      <c r="AQ435" s="254">
        <f>(ASINH(FMS_Ranking4[[#This Row],[Residential Structures Removed Raw]]))*(10)/(ASINH(AN$4))</f>
        <v>0</v>
      </c>
      <c r="AR435" s="253">
        <f>_xlfn.XLOOKUP(FMS_Ranking4[[#This Row],[FMS ID]],FMS_Input[FMS_ID],FMS_Input[REMPOP100])</f>
        <v>0</v>
      </c>
      <c r="AS435" s="259">
        <f>(ASINH(FMS_Ranking4[[#This Row],[Removed Pop Raw]]))*(10)/(ASINH(AR$4))</f>
        <v>0</v>
      </c>
      <c r="AT435" s="262">
        <f>FMS_Ranking4[[#This Row],[Removed population, ArcSinh (0-10)]]*AR$5*10</f>
        <v>0</v>
      </c>
      <c r="AU435" s="264">
        <f>_xlfn.XLOOKUP(FMS_Ranking4[[#This Row],[FMS ID]],FMS_Input[FMS_ID],FMS_Input[REMCRITFAC100])</f>
        <v>0</v>
      </c>
      <c r="AV435" s="264">
        <f>_xlfn.XLOOKUP(FMS_Ranking4[[#This Row],[FMS ID]],FMS_Input[FMS_ID],FMS_Input[REMLWC100])</f>
        <v>0</v>
      </c>
      <c r="AW435" s="264">
        <f>_xlfn.XLOOKUP(FMS_Ranking4[[#This Row],[FMS ID]],FMS_Input[FMS_ID],FMS_Input[REMROADCLS])</f>
        <v>0</v>
      </c>
      <c r="AX435" s="264">
        <f>_xlfn.XLOOKUP(FMS_Ranking4[[#This Row],[FMS ID]],FMS_Input[FMS_ID],FMS_Input[REMFRMACRE100])</f>
        <v>0</v>
      </c>
      <c r="AY435" s="258">
        <f>_xlfn.XLOOKUP(FMS_Ranking4[[#This Row],[FMS ID]],FMS_Input[FMS_ID],FMS_Input[COSTSTRUCT])</f>
        <v>0</v>
      </c>
      <c r="AZ435" s="253">
        <f>_xlfn.XLOOKUP(FMS_Ranking4[[#This Row],[FMS ID]],FMS_Input[FMS_ID],FMS_Input[NATURE])</f>
        <v>0</v>
      </c>
      <c r="BA435" s="262">
        <f>(((FMS_Ranking4[[#This Row],[% NBS Raw]]/AZ$4)*100)*AZ$5)</f>
        <v>0</v>
      </c>
      <c r="BB435" s="251" t="str">
        <f>_xlfn.XLOOKUP(FMS_Ranking4[[#This Row],[FMS ID]],FMS_Input[FMS_ID],FMS_Input[WATER_SUP])</f>
        <v>No</v>
      </c>
      <c r="BC435" s="265">
        <f>IF(FMS_Ranking4[[#This Row],[Water Supply Raw]]="Yes",10,0)</f>
        <v>0</v>
      </c>
      <c r="BD435" s="266">
        <f>_xlfn.XLOOKUP(FMS_Ranking4[[#This Row],[FMS Type]],FMS_TYPE[FMS_Type],FMS_TYPE[Score])</f>
        <v>8</v>
      </c>
      <c r="BE435" s="267">
        <f>FMS_Ranking4[[#This Row],[FMS_Type Score]]*$BD$5*10</f>
        <v>2</v>
      </c>
      <c r="BF43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0.13819202851274909</v>
      </c>
      <c r="BG435" s="269">
        <f>_xlfn.RANK.EQ(BF435,$BF$8:$BF$870,0)+COUNTIF($BF$8:BF435,BF435)-1</f>
        <v>415</v>
      </c>
      <c r="BH435" s="268">
        <f>(((FMS_Ranking4[[#This Row],[Structures Removed Raw]]/AK$4)*100)*AK$5)+(((FMS_Ranking4[[#This Row],[Removed Pop Raw]]/AR$4)*100)*AR$5)</f>
        <v>0</v>
      </c>
      <c r="BI43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2.1381920285127491</v>
      </c>
      <c r="BJ435" s="204">
        <f>_xlfn.RANK.EQ(FMS_Ranking4[[#This Row],[Total Score 
(with linear
normalization)]],FMS_Ranking4[Total Score 
(with linear
normalization)],0)</f>
        <v>342</v>
      </c>
      <c r="BK435" s="204" t="e">
        <f>_xlfn.XLOOKUP(FMS_Ranking4[[#This Row],[FMS ID]],#REF!,#REF!)</f>
        <v>#REF!</v>
      </c>
      <c r="BL435"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20.284210507804239</v>
      </c>
      <c r="BM435" s="270">
        <f>FMS_Ranking4[[#This Row],[ArcSinh Score Based on Normalized Reported Factors]]+FMS_Ranking4[[#This Row],[% NBS Score (Normalized)]]+(FMS_Ranking4[[#This Row],[Water Supply Score (Normalized)]]*10*$BB$5)+FMS_Ranking4[[#This Row],[FMS_Type Score Weighted]]</f>
        <v>22.284210507804239</v>
      </c>
      <c r="BN435" s="204">
        <f>_xlfn.RANK.EQ(FMS_Ranking4[[#This Row],[Total Score (with ArcSinh normalization of select criteria)]],FMS_Ranking4[Total Score (with ArcSinh normalization of select criteria)],0)</f>
        <v>428</v>
      </c>
      <c r="BO435" s="270" t="str">
        <f>_xlfn.XLOOKUP(FMS_Ranking4[[#This Row],[FMS ID]],FMS_Input[FMS_ID],FMS_Input[FMS_RANK_YEAR])</f>
        <v>2023 Amended Plan</v>
      </c>
      <c r="BP435" s="204">
        <f>_xlfn.XLOOKUP(FMS_Ranking4[[#This Row],[FMS ID]],Prev_Rank[FMS ID],Prev_Rank[Prev Rank])</f>
        <v>385</v>
      </c>
      <c r="BQ435" s="204" t="e">
        <f>_xlfn.XLOOKUP(FMS_Ranking4[[#This Row],[FMS ID]],#REF!,#REF!)</f>
        <v>#REF!</v>
      </c>
      <c r="BR435" s="199" t="e">
        <f>SUM(#REF!,#REF!,#REF!,#REF!,#REF!,#REF!,#REF!,#REF!,#REF!,FMS_Ranking4[[#This Row],[ArcSinh Res struct removed 0-10]],#REF!)</f>
        <v>#REF!</v>
      </c>
      <c r="BS435" s="199" t="e">
        <f>FMS_Ranking4[[#This Row],[Log Score Based on Normalized Reported Factors]]+FMS_Ranking4[[#This Row],[% NBS Score (Normalized)]]+(FMS_Ranking4[[#This Row],[Water Supply Score (Normalized)]]*10*$BB$5)+(FMS_Ranking4[[#This Row],[FMS_Type Score Weighted]])</f>
        <v>#REF!</v>
      </c>
      <c r="BT435" s="200" t="e">
        <f>_xlfn.RANK.EQ(FMS_Ranking4[[#This Row],[Log Total Score]],FMS_Ranking4[Log Total Score],0)</f>
        <v>#REF!</v>
      </c>
      <c r="BU435" s="200" t="e">
        <f>_xlfn.XLOOKUP(FMS_Ranking4[[#This Row],[FMS ID]],#REF!,#REF!)</f>
        <v>#REF!</v>
      </c>
      <c r="BV435" s="200">
        <f>FMS_Ranking4[[#This Row],[Region Number]]</f>
        <v>1</v>
      </c>
      <c r="BW435" s="200">
        <f>FMS_Ranking4[[#This Row],[Rank (with ArcSinh normalization of select criteria)]]-FMS_Ranking4[[#This Row],[Rank
(with linear
normalization)]]</f>
        <v>86</v>
      </c>
      <c r="BX435" s="200" t="e">
        <f>FMS_Ranking4[[#This Row],[Log Rank]]-FMS_Ranking4[[#This Row],[Rank
(with linear
normalization)]]</f>
        <v>#REF!</v>
      </c>
      <c r="BY435" s="200" t="str">
        <f>IF(FMS_Ranking4[[#This Row],[FMS Type]]="Flood Measurement and Warning",FMS_Ranking4[[#This Row],[Rank (with ArcSinh normalization of select criteria)]],"")</f>
        <v/>
      </c>
      <c r="BZ435" s="200">
        <f>IF(FMS_Ranking4[[#This Row],[FMS Type]]="Regulatory and Guidance",FMS_Ranking4[[#This Row],[Rank (with ArcSinh normalization of select criteria)]],"")</f>
        <v>428</v>
      </c>
      <c r="CA435" s="200" t="str">
        <f>IF(FMS_Ranking4[[#This Row],[FMS Type]]="Education and Outreach",FMS_Ranking4[[#This Row],[Rank (with ArcSinh normalization of select criteria)]],"")</f>
        <v/>
      </c>
      <c r="CB435" s="200" t="str">
        <f>IF(FMS_Ranking4[[#This Row],[FMS Type]]="Property Acquisition and Structural Elevation",FMS_Ranking4[[#This Row],[Rank (with ArcSinh normalization of select criteria)]],"")</f>
        <v/>
      </c>
      <c r="CC435" s="200" t="str">
        <f>IF(FMS_Ranking4[[#This Row],[FMS Type]]="Infrastructure Projects",FMS_Ranking4[[#This Row],[Rank (with ArcSinh normalization of select criteria)]],"")</f>
        <v/>
      </c>
      <c r="CD435" s="200" t="str">
        <f>IF(FMS_Ranking4[[#This Row],[FMS Type]]="Other",FMS_Ranking4[[#This Row],[Rank (with ArcSinh normalization of select criteria)]],"")</f>
        <v/>
      </c>
      <c r="CE435" s="201"/>
      <c r="CF435" s="206"/>
      <c r="CG435" s="206"/>
      <c r="CH435" s="206"/>
      <c r="CI435" s="206"/>
      <c r="CJ435" s="206"/>
      <c r="CK435" s="206"/>
      <c r="CL435" s="206"/>
      <c r="CM435" s="206"/>
      <c r="CN435" s="206"/>
      <c r="CO435" s="206"/>
      <c r="CP435" s="206"/>
      <c r="CQ435" s="206"/>
      <c r="CR435" s="206"/>
    </row>
    <row r="436" spans="2:96" ht="105" x14ac:dyDescent="0.25">
      <c r="B436" s="341" t="s">
        <v>1475</v>
      </c>
      <c r="C436" s="246">
        <f>_xlfn.XLOOKUP(FMS_Ranking4[[#This Row],[FMS ID]],FMS_Input[FMS_ID],FMS_Input[RFPG_NUM])</f>
        <v>1</v>
      </c>
      <c r="D436" s="309" t="str">
        <f>_xlfn.XLOOKUP(FMS_Ranking4[[#This Row],[FMS ID]],FMS_Input[FMS_ID],FMS_Input[FMS_NAME])</f>
        <v>City of Canyon Floodplain Regulation and Higher Standards (CRS) </v>
      </c>
      <c r="E436" s="308" t="str">
        <f>_xlfn.XLOOKUP(FMS_Ranking4[[#This Row],[FMS ID]],FMS_Input[FMS_ID],FMS_Input[SPONSOR])</f>
        <v>01003426, 01000243</v>
      </c>
      <c r="F436" s="309" t="str">
        <f>_xlfn.XLOOKUP(FMS_Ranking4[[#This Row],[FMS ID]],Sponsor[FMS_ID],Sponsor[SPONSOR NAME])</f>
        <v>Canyon, Randall</v>
      </c>
      <c r="G436" s="309" t="str">
        <f>_xlfn.XLOOKUP(FMS_Ranking4[[#This Row],[FMS ID]],FMS_Input[FMS_ID],FMS_Input[FMS_DESCR])</f>
        <v>Evaluate existing ordinances and development criteria and update as necessary to implement protective floodplain management standards and consider CRS participation</v>
      </c>
      <c r="H436" s="248" t="str">
        <f>_xlfn.XLOOKUP(FMS_Ranking4[[#This Row],[FMS ID]],FMS_Input[FMS_ID],FMS_Input[FMS_TYPE])</f>
        <v>Regulatory and Guidance</v>
      </c>
      <c r="I436" s="249">
        <f>_xlfn.XLOOKUP(FMS_Ranking4[[#This Row],[FMS ID]],FMS_Input[FMS_ID],FMS_Input[NRNC_COST])</f>
        <v>100000</v>
      </c>
      <c r="J436" s="250">
        <f>_xlfn.XLOOKUP(FMS_Ranking4[[#This Row],[FMS ID]],FMS_Input[FMS_ID],FMS_Input[FMS_COST])</f>
        <v>100000</v>
      </c>
      <c r="K436" s="251" t="str">
        <f>_xlfn.XLOOKUP(FMS_Ranking4[[#This Row],[FMS ID]],FMS_Input[FMS_ID],FMS_Input[EMER_NEED])</f>
        <v>No</v>
      </c>
      <c r="L436" s="252">
        <f t="shared" si="6"/>
        <v>0</v>
      </c>
      <c r="M436" s="253">
        <f>_xlfn.XLOOKUP(FMS_Ranking4[[#This Row],[FMS ID]],FMS_Input[FMS_ID],FMS_Input[STRUCT_100])</f>
        <v>206</v>
      </c>
      <c r="N436" s="255">
        <f>(ASINH(FMS_Ranking4[[#This Row],[Structure at Risk Raw]]))*(10)/(ASINH(M$4))</f>
        <v>4.7334254754750607</v>
      </c>
      <c r="O436" s="256">
        <f>FMS_Ranking4[[#This Row],[Structures at risk, ArcSinh (0-10)]]*M$5*10</f>
        <v>4.7334254754750607</v>
      </c>
      <c r="P436" s="253">
        <f>_xlfn.XLOOKUP(FMS_Ranking4[[#This Row],[FMS ID]],FMS_Input[FMS_ID],FMS_Input[RES_STRUCT100])</f>
        <v>193</v>
      </c>
      <c r="Q436" s="257">
        <f>ASINH(FMS_Ranking4[[#This Row],[Res Structure Raw]])/Q$4*P$5*100</f>
        <v>0</v>
      </c>
      <c r="R436" s="253">
        <f>_xlfn.XLOOKUP(FMS_Ranking4[[#This Row],[FMS ID]],FMS_Input[FMS_ID],FMS_Input[POP100])</f>
        <v>823</v>
      </c>
      <c r="S436" s="259">
        <f>(ASINH(FMS_Ranking4[[#This Row],[Pop at Risk Raw]]))*(10)/(ASINH(R$4))</f>
        <v>5.1128645868941511</v>
      </c>
      <c r="T436" s="256">
        <f>FMS_Ranking4[[#This Row],[Population at risk, ArcSinh (0-10)]]*R$5*10</f>
        <v>5.1128645868941511</v>
      </c>
      <c r="U436" s="253">
        <f>_xlfn.XLOOKUP(FMS_Ranking4[[#This Row],[FMS ID]],FMS_Input[FMS_ID],FMS_Input[CRITFAC100])</f>
        <v>0</v>
      </c>
      <c r="V436" s="259">
        <f>(ASINH(FMS_Ranking4[[#This Row],[Critical Facilities Raw]]))*(10)/(ASINH(U$4))</f>
        <v>0</v>
      </c>
      <c r="W436" s="256">
        <f>FMS_Ranking4[[#This Row],[Critical facilities at risk, ArcSinh (0-10)]]*U$5*10</f>
        <v>0</v>
      </c>
      <c r="X436" s="253">
        <f>_xlfn.XLOOKUP(FMS_Ranking4[[#This Row],[FMS ID]],FMS_Input[FMS_ID],FMS_Input[LWC])</f>
        <v>7</v>
      </c>
      <c r="Y436" s="259">
        <f>(ASINH(FMS_Ranking4[[#This Row],[LWC Raw]]))*(10)/(ASINH(X$4))</f>
        <v>3.5820902845593281</v>
      </c>
      <c r="Z436" s="256">
        <f>FMS_Ranking4[[#This Row],[LWC, ArcSInh (0-10)]]*X$5*10</f>
        <v>3.5820902845593281</v>
      </c>
      <c r="AA436" s="253">
        <f>_xlfn.XLOOKUP(FMS_Ranking4[[#This Row],[FMS ID]],FMS_Input[FMS_ID],FMS_Input[ROADCLS])</f>
        <v>7</v>
      </c>
      <c r="AB436" s="255">
        <f>(ASINH(FMS_Ranking4[[#This Row],[Road Closures Raw]]))*(10)/(ASINH(AA$4))</f>
        <v>2.7536090869991607</v>
      </c>
      <c r="AC436" s="256">
        <f>FMS_Ranking4[[#This Row],[Road closures, ArcSinh (0-10)]]*AA$5*10</f>
        <v>1.3768045434995804</v>
      </c>
      <c r="AD436" s="253">
        <f>_xlfn.XLOOKUP(FMS_Ranking4[[#This Row],[FMS ID]],FMS_Input[FMS_ID],FMS_Input[ROAD_MILES100])</f>
        <v>15</v>
      </c>
      <c r="AE436" s="259">
        <f>(ASINH(FMS_Ranking4[[#This Row],[Road Miles Raw]]))*(10)/(ASINH(AD$4))</f>
        <v>3.625922827042257</v>
      </c>
      <c r="AF436" s="256">
        <f>FMS_Ranking4[[#This Row],[Length of roads at risk, ArcSinh (0-10)]]*AD$5*10</f>
        <v>3.625922827042257</v>
      </c>
      <c r="AG436" s="253">
        <f>_xlfn.XLOOKUP(FMS_Ranking4[[#This Row],[FMS ID]],FMS_Input[FMS_ID],FMS_Input[FARMACRE100])</f>
        <v>150.2604675292969</v>
      </c>
      <c r="AH436" s="255">
        <f>(ASINH(FMS_Ranking4[[#This Row],[Ag Land Raw]]))*(10)/(ASINH(AG$4))</f>
        <v>3.7062055806677261</v>
      </c>
      <c r="AI436" s="260">
        <f>FMS_Ranking4[[#This Row],[Farm &amp; ranch land, ArcSinh (0-10)]]*AG$5*10</f>
        <v>1.853102790333863</v>
      </c>
      <c r="AJ436" s="258">
        <f>_xlfn.XLOOKUP(FMS_Ranking4[[#This Row],[FMS ID]],FMS_Input[FMS_ID],FMS_Input[REDSTRUCT100])</f>
        <v>0</v>
      </c>
      <c r="AK436" s="253">
        <f>_xlfn.XLOOKUP(FMS_Ranking4[[#This Row],[FMS ID]],FMS_Input[FMS_ID],FMS_Input[REMSTRC100])</f>
        <v>0</v>
      </c>
      <c r="AL436" s="259">
        <f>(ASINH(FMS_Ranking4[[#This Row],[Structures Removed Raw]]))*(10)/(ASINH(AK$4))</f>
        <v>0</v>
      </c>
      <c r="AM436" s="262">
        <f>FMS_Ranking4[[#This Row],[Structures removed, ArcSinh (0-10)]]*AK$5*10</f>
        <v>0</v>
      </c>
      <c r="AN436" s="253">
        <f>_xlfn.XLOOKUP(FMS_Ranking4[[#This Row],[FMS ID]],FMS_Input[FMS_ID],FMS_Input[REMRESSTRC100])</f>
        <v>0</v>
      </c>
      <c r="AO436" s="261">
        <f>FMS_Ranking4[[#This Row],[ArcSinh Res struct removed 0-10]]*AN$5*10</f>
        <v>0</v>
      </c>
      <c r="AP436" s="260">
        <f>ASINH(FMS_Ranking4[[#This Row],[Residential Structures Removed Raw]])/AP$4*AN$5*100</f>
        <v>0</v>
      </c>
      <c r="AQ436" s="254">
        <f>(ASINH(FMS_Ranking4[[#This Row],[Residential Structures Removed Raw]]))*(10)/(ASINH(AN$4))</f>
        <v>0</v>
      </c>
      <c r="AR436" s="253">
        <f>_xlfn.XLOOKUP(FMS_Ranking4[[#This Row],[FMS ID]],FMS_Input[FMS_ID],FMS_Input[REMPOP100])</f>
        <v>0</v>
      </c>
      <c r="AS436" s="259">
        <f>(ASINH(FMS_Ranking4[[#This Row],[Removed Pop Raw]]))*(10)/(ASINH(AR$4))</f>
        <v>0</v>
      </c>
      <c r="AT436" s="262">
        <f>FMS_Ranking4[[#This Row],[Removed population, ArcSinh (0-10)]]*AR$5*10</f>
        <v>0</v>
      </c>
      <c r="AU436" s="264">
        <f>_xlfn.XLOOKUP(FMS_Ranking4[[#This Row],[FMS ID]],FMS_Input[FMS_ID],FMS_Input[REMCRITFAC100])</f>
        <v>0</v>
      </c>
      <c r="AV436" s="264">
        <f>_xlfn.XLOOKUP(FMS_Ranking4[[#This Row],[FMS ID]],FMS_Input[FMS_ID],FMS_Input[REMLWC100])</f>
        <v>0</v>
      </c>
      <c r="AW436" s="264">
        <f>_xlfn.XLOOKUP(FMS_Ranking4[[#This Row],[FMS ID]],FMS_Input[FMS_ID],FMS_Input[REMROADCLS])</f>
        <v>0</v>
      </c>
      <c r="AX436" s="264">
        <f>_xlfn.XLOOKUP(FMS_Ranking4[[#This Row],[FMS ID]],FMS_Input[FMS_ID],FMS_Input[REMFRMACRE100])</f>
        <v>0</v>
      </c>
      <c r="AY436" s="258">
        <f>_xlfn.XLOOKUP(FMS_Ranking4[[#This Row],[FMS ID]],FMS_Input[FMS_ID],FMS_Input[COSTSTRUCT])</f>
        <v>0</v>
      </c>
      <c r="AZ436" s="253">
        <f>_xlfn.XLOOKUP(FMS_Ranking4[[#This Row],[FMS ID]],FMS_Input[FMS_ID],FMS_Input[NATURE])</f>
        <v>0</v>
      </c>
      <c r="BA436" s="262">
        <f>(((FMS_Ranking4[[#This Row],[% NBS Raw]]/AZ$4)*100)*AZ$5)</f>
        <v>0</v>
      </c>
      <c r="BB436" s="251" t="str">
        <f>_xlfn.XLOOKUP(FMS_Ranking4[[#This Row],[FMS ID]],FMS_Input[FMS_ID],FMS_Input[WATER_SUP])</f>
        <v>No</v>
      </c>
      <c r="BC436" s="265">
        <f>IF(FMS_Ranking4[[#This Row],[Water Supply Raw]]="Yes",10,0)</f>
        <v>0</v>
      </c>
      <c r="BD436" s="266">
        <f>_xlfn.XLOOKUP(FMS_Ranking4[[#This Row],[FMS Type]],FMS_TYPE[FMS_Type],FMS_TYPE[Score])</f>
        <v>8</v>
      </c>
      <c r="BE436" s="267">
        <f>FMS_Ranking4[[#This Row],[FMS_Type Score]]*$BD$5*10</f>
        <v>2</v>
      </c>
      <c r="BF43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0.13819202851274909</v>
      </c>
      <c r="BG436" s="271">
        <f>_xlfn.RANK.EQ(BF436,$BF$8:$BF$870,0)+COUNTIF($BF$8:BF436,BF436)-1</f>
        <v>416</v>
      </c>
      <c r="BH436" s="268">
        <f>(((FMS_Ranking4[[#This Row],[Structures Removed Raw]]/AK$4)*100)*AK$5)+(((FMS_Ranking4[[#This Row],[Removed Pop Raw]]/AR$4)*100)*AR$5)</f>
        <v>0</v>
      </c>
      <c r="BI43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2.1381920285127491</v>
      </c>
      <c r="BJ436" s="205">
        <f>_xlfn.RANK.EQ(FMS_Ranking4[[#This Row],[Total Score 
(with linear
normalization)]],FMS_Ranking4[Total Score 
(with linear
normalization)],0)</f>
        <v>342</v>
      </c>
      <c r="BK436" s="205" t="e">
        <f>_xlfn.XLOOKUP(FMS_Ranking4[[#This Row],[FMS ID]],#REF!,#REF!)</f>
        <v>#REF!</v>
      </c>
      <c r="BL43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20.284210507804239</v>
      </c>
      <c r="BM436" s="272">
        <f>FMS_Ranking4[[#This Row],[ArcSinh Score Based on Normalized Reported Factors]]+FMS_Ranking4[[#This Row],[% NBS Score (Normalized)]]+(FMS_Ranking4[[#This Row],[Water Supply Score (Normalized)]]*10*$BB$5)+FMS_Ranking4[[#This Row],[FMS_Type Score Weighted]]</f>
        <v>22.284210507804239</v>
      </c>
      <c r="BN436" s="205">
        <f>_xlfn.RANK.EQ(FMS_Ranking4[[#This Row],[Total Score (with ArcSinh normalization of select criteria)]],FMS_Ranking4[Total Score (with ArcSinh normalization of select criteria)],0)</f>
        <v>428</v>
      </c>
      <c r="BO436" s="270" t="str">
        <f>_xlfn.XLOOKUP(FMS_Ranking4[[#This Row],[FMS ID]],FMS_Input[FMS_ID],FMS_Input[FMS_RANK_YEAR])</f>
        <v>2023 Amended Plan</v>
      </c>
      <c r="BP436" s="204">
        <f>_xlfn.XLOOKUP(FMS_Ranking4[[#This Row],[FMS ID]],Prev_Rank[FMS ID],Prev_Rank[Prev Rank])</f>
        <v>385</v>
      </c>
      <c r="BQ436" s="205" t="e">
        <f>_xlfn.XLOOKUP(FMS_Ranking4[[#This Row],[FMS ID]],#REF!,#REF!)</f>
        <v>#REF!</v>
      </c>
      <c r="BR436" s="199" t="e">
        <f>SUM(#REF!,#REF!,#REF!,#REF!,#REF!,#REF!,#REF!,#REF!,#REF!,FMS_Ranking4[[#This Row],[ArcSinh Res struct removed 0-10]],#REF!)</f>
        <v>#REF!</v>
      </c>
      <c r="BS436" s="199" t="e">
        <f>FMS_Ranking4[[#This Row],[Log Score Based on Normalized Reported Factors]]+FMS_Ranking4[[#This Row],[% NBS Score (Normalized)]]+(FMS_Ranking4[[#This Row],[Water Supply Score (Normalized)]]*10*$BB$5)+(FMS_Ranking4[[#This Row],[FMS_Type Score Weighted]])</f>
        <v>#REF!</v>
      </c>
      <c r="BT436" s="200" t="e">
        <f>_xlfn.RANK.EQ(FMS_Ranking4[[#This Row],[Log Total Score]],FMS_Ranking4[Log Total Score],0)</f>
        <v>#REF!</v>
      </c>
      <c r="BU436" s="200" t="e">
        <f>_xlfn.XLOOKUP(FMS_Ranking4[[#This Row],[FMS ID]],#REF!,#REF!)</f>
        <v>#REF!</v>
      </c>
      <c r="BV436" s="200">
        <f>FMS_Ranking4[[#This Row],[Region Number]]</f>
        <v>1</v>
      </c>
      <c r="BW436" s="200">
        <f>FMS_Ranking4[[#This Row],[Rank (with ArcSinh normalization of select criteria)]]-FMS_Ranking4[[#This Row],[Rank
(with linear
normalization)]]</f>
        <v>86</v>
      </c>
      <c r="BX436" s="200" t="e">
        <f>FMS_Ranking4[[#This Row],[Log Rank]]-FMS_Ranking4[[#This Row],[Rank
(with linear
normalization)]]</f>
        <v>#REF!</v>
      </c>
      <c r="BY436" s="200" t="str">
        <f>IF(FMS_Ranking4[[#This Row],[FMS Type]]="Flood Measurement and Warning",FMS_Ranking4[[#This Row],[Rank (with ArcSinh normalization of select criteria)]],"")</f>
        <v/>
      </c>
      <c r="BZ436" s="200">
        <f>IF(FMS_Ranking4[[#This Row],[FMS Type]]="Regulatory and Guidance",FMS_Ranking4[[#This Row],[Rank (with ArcSinh normalization of select criteria)]],"")</f>
        <v>428</v>
      </c>
      <c r="CA436" s="200" t="str">
        <f>IF(FMS_Ranking4[[#This Row],[FMS Type]]="Education and Outreach",FMS_Ranking4[[#This Row],[Rank (with ArcSinh normalization of select criteria)]],"")</f>
        <v/>
      </c>
      <c r="CB436" s="200" t="str">
        <f>IF(FMS_Ranking4[[#This Row],[FMS Type]]="Property Acquisition and Structural Elevation",FMS_Ranking4[[#This Row],[Rank (with ArcSinh normalization of select criteria)]],"")</f>
        <v/>
      </c>
      <c r="CC436" s="200" t="str">
        <f>IF(FMS_Ranking4[[#This Row],[FMS Type]]="Infrastructure Projects",FMS_Ranking4[[#This Row],[Rank (with ArcSinh normalization of select criteria)]],"")</f>
        <v/>
      </c>
      <c r="CD436" s="200" t="str">
        <f>IF(FMS_Ranking4[[#This Row],[FMS Type]]="Other",FMS_Ranking4[[#This Row],[Rank (with ArcSinh normalization of select criteria)]],"")</f>
        <v/>
      </c>
      <c r="CE436" s="201"/>
      <c r="CF436" s="206"/>
      <c r="CG436" s="206"/>
      <c r="CH436" s="206"/>
      <c r="CI436" s="206"/>
      <c r="CJ436" s="206"/>
      <c r="CK436" s="206"/>
      <c r="CL436" s="206"/>
      <c r="CM436" s="206"/>
      <c r="CN436" s="206"/>
      <c r="CO436" s="206"/>
      <c r="CP436" s="206"/>
      <c r="CQ436" s="206"/>
      <c r="CR436" s="206"/>
    </row>
    <row r="437" spans="2:96" ht="105" x14ac:dyDescent="0.25">
      <c r="B437" s="341" t="s">
        <v>3961</v>
      </c>
      <c r="C437" s="246">
        <f>_xlfn.XLOOKUP(FMS_Ranking4[[#This Row],[FMS ID]],FMS_Input[FMS_ID],FMS_Input[RFPG_NUM])</f>
        <v>15</v>
      </c>
      <c r="D437" s="309" t="str">
        <f>_xlfn.XLOOKUP(FMS_Ranking4[[#This Row],[FMS ID]],FMS_Input[FMS_ID],FMS_Input[FMS_NAME])</f>
        <v>Port Isabel Action #21</v>
      </c>
      <c r="E437" s="308" t="str">
        <f>_xlfn.XLOOKUP(FMS_Ranking4[[#This Row],[FMS ID]],FMS_Input[FMS_ID],FMS_Input[SPONSOR])</f>
        <v>15000051</v>
      </c>
      <c r="F437" s="309" t="str">
        <f>_xlfn.XLOOKUP(FMS_Ranking4[[#This Row],[FMS ID]],Sponsor[FMS_ID],Sponsor[SPONSOR NAME])</f>
        <v>Port Isabel</v>
      </c>
      <c r="G437" s="309" t="str">
        <f>_xlfn.XLOOKUP(FMS_Ranking4[[#This Row],[FMS ID]],FMS_Input[FMS_ID],FMS_Input[FMS_DESCR])</f>
        <v>Develop a plan to use the internet and social media to warn citizens of disasters and extreme weather on a regular basis as well as how to prepare for such events and mitigate damages</v>
      </c>
      <c r="H437" s="248" t="str">
        <f>_xlfn.XLOOKUP(FMS_Ranking4[[#This Row],[FMS ID]],FMS_Input[FMS_ID],FMS_Input[FMS_TYPE])</f>
        <v>Flood Measurement and Warning</v>
      </c>
      <c r="I437" s="249">
        <f>_xlfn.XLOOKUP(FMS_Ranking4[[#This Row],[FMS ID]],FMS_Input[FMS_ID],FMS_Input[NRNC_COST])</f>
        <v>1000</v>
      </c>
      <c r="J437" s="250">
        <f>_xlfn.XLOOKUP(FMS_Ranking4[[#This Row],[FMS ID]],FMS_Input[FMS_ID],FMS_Input[FMS_COST])</f>
        <v>500</v>
      </c>
      <c r="K437" s="251" t="str">
        <f>_xlfn.XLOOKUP(FMS_Ranking4[[#This Row],[FMS ID]],FMS_Input[FMS_ID],FMS_Input[EMER_NEED])</f>
        <v>Yes</v>
      </c>
      <c r="L437" s="252">
        <f t="shared" si="6"/>
        <v>1</v>
      </c>
      <c r="M437" s="253">
        <f>_xlfn.XLOOKUP(FMS_Ranking4[[#This Row],[FMS ID]],FMS_Input[FMS_ID],FMS_Input[STRUCT_100])</f>
        <v>1736</v>
      </c>
      <c r="N437" s="255">
        <f>(ASINH(FMS_Ranking4[[#This Row],[Structure at Risk Raw]]))*(10)/(ASINH(M$4))</f>
        <v>6.4090679733799893</v>
      </c>
      <c r="O437" s="256">
        <f>FMS_Ranking4[[#This Row],[Structures at risk, ArcSinh (0-10)]]*M$5*10</f>
        <v>6.4090679733799893</v>
      </c>
      <c r="P437" s="253">
        <f>_xlfn.XLOOKUP(FMS_Ranking4[[#This Row],[FMS ID]],FMS_Input[FMS_ID],FMS_Input[RES_STRUCT100])</f>
        <v>1235</v>
      </c>
      <c r="Q437" s="257">
        <f>ASINH(FMS_Ranking4[[#This Row],[Res Structure Raw]])/Q$4*P$5*100</f>
        <v>0</v>
      </c>
      <c r="R437" s="253">
        <f>_xlfn.XLOOKUP(FMS_Ranking4[[#This Row],[FMS ID]],FMS_Input[FMS_ID],FMS_Input[POP100])</f>
        <v>5912</v>
      </c>
      <c r="S437" s="259">
        <f>(ASINH(FMS_Ranking4[[#This Row],[Pop at Risk Raw]]))*(10)/(ASINH(R$4))</f>
        <v>6.4741011158902868</v>
      </c>
      <c r="T437" s="256">
        <f>FMS_Ranking4[[#This Row],[Population at risk, ArcSinh (0-10)]]*R$5*10</f>
        <v>6.4741011158902868</v>
      </c>
      <c r="U437" s="253">
        <f>_xlfn.XLOOKUP(FMS_Ranking4[[#This Row],[FMS ID]],FMS_Input[FMS_ID],FMS_Input[CRITFAC100])</f>
        <v>1</v>
      </c>
      <c r="V437" s="259">
        <f>(ASINH(FMS_Ranking4[[#This Row],[Critical Facilities Raw]]))*(10)/(ASINH(U$4))</f>
        <v>1.0433384451410745</v>
      </c>
      <c r="W437" s="256">
        <f>FMS_Ranking4[[#This Row],[Critical facilities at risk, ArcSinh (0-10)]]*U$5*10</f>
        <v>1.0433384451410745</v>
      </c>
      <c r="X437" s="253">
        <f>_xlfn.XLOOKUP(FMS_Ranking4[[#This Row],[FMS ID]],FMS_Input[FMS_ID],FMS_Input[LWC])</f>
        <v>0</v>
      </c>
      <c r="Y437" s="259">
        <f>(ASINH(FMS_Ranking4[[#This Row],[LWC Raw]]))*(10)/(ASINH(X$4))</f>
        <v>0</v>
      </c>
      <c r="Z437" s="256">
        <f>FMS_Ranking4[[#This Row],[LWC, ArcSInh (0-10)]]*X$5*10</f>
        <v>0</v>
      </c>
      <c r="AA437" s="253">
        <f>_xlfn.XLOOKUP(FMS_Ranking4[[#This Row],[FMS ID]],FMS_Input[FMS_ID],FMS_Input[ROADCLS])</f>
        <v>0</v>
      </c>
      <c r="AB437" s="255">
        <f>(ASINH(FMS_Ranking4[[#This Row],[Road Closures Raw]]))*(10)/(ASINH(AA$4))</f>
        <v>0</v>
      </c>
      <c r="AC437" s="256">
        <f>FMS_Ranking4[[#This Row],[Road closures, ArcSinh (0-10)]]*AA$5*10</f>
        <v>0</v>
      </c>
      <c r="AD437" s="253">
        <f>_xlfn.XLOOKUP(FMS_Ranking4[[#This Row],[FMS ID]],FMS_Input[FMS_ID],FMS_Input[ROAD_MILES100])</f>
        <v>25</v>
      </c>
      <c r="AE437" s="259">
        <f>(ASINH(FMS_Ranking4[[#This Row],[Road Miles Raw]]))*(10)/(ASINH(AD$4))</f>
        <v>4.1695662658221559</v>
      </c>
      <c r="AF437" s="256">
        <f>FMS_Ranking4[[#This Row],[Length of roads at risk, ArcSinh (0-10)]]*AD$5*10</f>
        <v>4.1695662658221559</v>
      </c>
      <c r="AG437" s="253">
        <f>_xlfn.XLOOKUP(FMS_Ranking4[[#This Row],[FMS ID]],FMS_Input[FMS_ID],FMS_Input[FARMACRE100])</f>
        <v>85.986282348632813</v>
      </c>
      <c r="AH437" s="255">
        <f>(ASINH(FMS_Ranking4[[#This Row],[Ag Land Raw]]))*(10)/(ASINH(AG$4))</f>
        <v>3.3436353671939747</v>
      </c>
      <c r="AI437" s="260">
        <f>FMS_Ranking4[[#This Row],[Farm &amp; ranch land, ArcSinh (0-10)]]*AG$5*10</f>
        <v>1.6718176835969876</v>
      </c>
      <c r="AJ437" s="258">
        <f>_xlfn.XLOOKUP(FMS_Ranking4[[#This Row],[FMS ID]],FMS_Input[FMS_ID],FMS_Input[REDSTRUCT100])</f>
        <v>0</v>
      </c>
      <c r="AK437" s="253">
        <f>_xlfn.XLOOKUP(FMS_Ranking4[[#This Row],[FMS ID]],FMS_Input[FMS_ID],FMS_Input[REMSTRC100])</f>
        <v>0</v>
      </c>
      <c r="AL437" s="259">
        <f>(ASINH(FMS_Ranking4[[#This Row],[Structures Removed Raw]]))*(10)/(ASINH(AK$4))</f>
        <v>0</v>
      </c>
      <c r="AM437" s="262">
        <f>FMS_Ranking4[[#This Row],[Structures removed, ArcSinh (0-10)]]*AK$5*10</f>
        <v>0</v>
      </c>
      <c r="AN437" s="253">
        <f>_xlfn.XLOOKUP(FMS_Ranking4[[#This Row],[FMS ID]],FMS_Input[FMS_ID],FMS_Input[REMRESSTRC100])</f>
        <v>0</v>
      </c>
      <c r="AO437" s="261">
        <f>FMS_Ranking4[[#This Row],[ArcSinh Res struct removed 0-10]]*AN$5*10</f>
        <v>0</v>
      </c>
      <c r="AP437" s="260">
        <f>ASINH(FMS_Ranking4[[#This Row],[Residential Structures Removed Raw]])/AP$4*AN$5*100</f>
        <v>0</v>
      </c>
      <c r="AQ437" s="254">
        <f>(ASINH(FMS_Ranking4[[#This Row],[Residential Structures Removed Raw]]))*(10)/(ASINH(AN$4))</f>
        <v>0</v>
      </c>
      <c r="AR437" s="253">
        <f>_xlfn.XLOOKUP(FMS_Ranking4[[#This Row],[FMS ID]],FMS_Input[FMS_ID],FMS_Input[REMPOP100])</f>
        <v>0</v>
      </c>
      <c r="AS437" s="259">
        <f>(ASINH(FMS_Ranking4[[#This Row],[Removed Pop Raw]]))*(10)/(ASINH(AR$4))</f>
        <v>0</v>
      </c>
      <c r="AT437" s="262">
        <f>FMS_Ranking4[[#This Row],[Removed population, ArcSinh (0-10)]]*AR$5*10</f>
        <v>0</v>
      </c>
      <c r="AU437" s="264">
        <f>_xlfn.XLOOKUP(FMS_Ranking4[[#This Row],[FMS ID]],FMS_Input[FMS_ID],FMS_Input[REMCRITFAC100])</f>
        <v>0</v>
      </c>
      <c r="AV437" s="264">
        <f>_xlfn.XLOOKUP(FMS_Ranking4[[#This Row],[FMS ID]],FMS_Input[FMS_ID],FMS_Input[REMLWC100])</f>
        <v>0</v>
      </c>
      <c r="AW437" s="264">
        <f>_xlfn.XLOOKUP(FMS_Ranking4[[#This Row],[FMS ID]],FMS_Input[FMS_ID],FMS_Input[REMROADCLS])</f>
        <v>0</v>
      </c>
      <c r="AX437" s="264">
        <f>_xlfn.XLOOKUP(FMS_Ranking4[[#This Row],[FMS ID]],FMS_Input[FMS_ID],FMS_Input[REMFRMACRE100])</f>
        <v>0</v>
      </c>
      <c r="AY437" s="258">
        <f>_xlfn.XLOOKUP(FMS_Ranking4[[#This Row],[FMS ID]],FMS_Input[FMS_ID],FMS_Input[COSTSTRUCT])</f>
        <v>0</v>
      </c>
      <c r="AZ437" s="253">
        <f>_xlfn.XLOOKUP(FMS_Ranking4[[#This Row],[FMS ID]],FMS_Input[FMS_ID],FMS_Input[NATURE])</f>
        <v>0</v>
      </c>
      <c r="BA437" s="262">
        <f>(((FMS_Ranking4[[#This Row],[% NBS Raw]]/AZ$4)*100)*AZ$5)</f>
        <v>0</v>
      </c>
      <c r="BB437" s="251" t="str">
        <f>_xlfn.XLOOKUP(FMS_Ranking4[[#This Row],[FMS ID]],FMS_Input[FMS_ID],FMS_Input[WATER_SUP])</f>
        <v>No</v>
      </c>
      <c r="BC437" s="265">
        <f>IF(FMS_Ranking4[[#This Row],[Water Supply Raw]]="Yes",10,0)</f>
        <v>0</v>
      </c>
      <c r="BD437" s="266">
        <f>_xlfn.XLOOKUP(FMS_Ranking4[[#This Row],[FMS Type]],FMS_TYPE[FMS_Type],FMS_TYPE[Score])</f>
        <v>10</v>
      </c>
      <c r="BE437" s="267">
        <f>FMS_Ranking4[[#This Row],[FMS_Type Score]]*$BD$5*10</f>
        <v>2.5</v>
      </c>
      <c r="BF43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0.21085870485496813</v>
      </c>
      <c r="BG437" s="271">
        <f>_xlfn.RANK.EQ(BF437,$BF$8:$BF$870,0)+COUNTIF($BF$8:BF437,BF437)-1</f>
        <v>351</v>
      </c>
      <c r="BH437" s="268">
        <f>(((FMS_Ranking4[[#This Row],[Structures Removed Raw]]/AK$4)*100)*AK$5)+(((FMS_Ranking4[[#This Row],[Removed Pop Raw]]/AR$4)*100)*AR$5)</f>
        <v>0</v>
      </c>
      <c r="BI43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2.7108587048549682</v>
      </c>
      <c r="BJ437" s="205">
        <f>_xlfn.RANK.EQ(FMS_Ranking4[[#This Row],[Total Score 
(with linear
normalization)]],FMS_Ranking4[Total Score 
(with linear
normalization)],0)</f>
        <v>205</v>
      </c>
      <c r="BK437" s="205" t="e">
        <f>_xlfn.XLOOKUP(FMS_Ranking4[[#This Row],[FMS ID]],#REF!,#REF!)</f>
        <v>#REF!</v>
      </c>
      <c r="BL43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19.767891483830493</v>
      </c>
      <c r="BM437" s="272">
        <f>FMS_Ranking4[[#This Row],[ArcSinh Score Based on Normalized Reported Factors]]+FMS_Ranking4[[#This Row],[% NBS Score (Normalized)]]+(FMS_Ranking4[[#This Row],[Water Supply Score (Normalized)]]*10*$BB$5)+FMS_Ranking4[[#This Row],[FMS_Type Score Weighted]]</f>
        <v>22.267891483830493</v>
      </c>
      <c r="BN437" s="205">
        <f>_xlfn.RANK.EQ(FMS_Ranking4[[#This Row],[Total Score (with ArcSinh normalization of select criteria)]],FMS_Ranking4[Total Score (with ArcSinh normalization of select criteria)],0)</f>
        <v>430</v>
      </c>
      <c r="BO437" s="270" t="str">
        <f>_xlfn.XLOOKUP(FMS_Ranking4[[#This Row],[FMS ID]],FMS_Input[FMS_ID],FMS_Input[FMS_RANK_YEAR])</f>
        <v>2023 Amended Plan</v>
      </c>
      <c r="BP437" s="204">
        <f>_xlfn.XLOOKUP(FMS_Ranking4[[#This Row],[FMS ID]],Prev_Rank[FMS ID],Prev_Rank[Prev Rank])</f>
        <v>379</v>
      </c>
      <c r="BQ437" s="205" t="e">
        <f>_xlfn.XLOOKUP(FMS_Ranking4[[#This Row],[FMS ID]],#REF!,#REF!)</f>
        <v>#REF!</v>
      </c>
      <c r="BR437" s="199" t="e">
        <f>SUM(#REF!,#REF!,#REF!,#REF!,#REF!,#REF!,#REF!,#REF!,#REF!,FMS_Ranking4[[#This Row],[ArcSinh Res struct removed 0-10]],#REF!)</f>
        <v>#REF!</v>
      </c>
      <c r="BS437" s="199" t="e">
        <f>FMS_Ranking4[[#This Row],[Log Score Based on Normalized Reported Factors]]+FMS_Ranking4[[#This Row],[% NBS Score (Normalized)]]+(FMS_Ranking4[[#This Row],[Water Supply Score (Normalized)]]*10*$BB$5)+(FMS_Ranking4[[#This Row],[FMS_Type Score Weighted]])</f>
        <v>#REF!</v>
      </c>
      <c r="BT437" s="200" t="e">
        <f>_xlfn.RANK.EQ(FMS_Ranking4[[#This Row],[Log Total Score]],FMS_Ranking4[Log Total Score],0)</f>
        <v>#REF!</v>
      </c>
      <c r="BU437" s="200" t="e">
        <f>_xlfn.XLOOKUP(FMS_Ranking4[[#This Row],[FMS ID]],#REF!,#REF!)</f>
        <v>#REF!</v>
      </c>
      <c r="BV437" s="200">
        <f>FMS_Ranking4[[#This Row],[Region Number]]</f>
        <v>15</v>
      </c>
      <c r="BW437" s="200">
        <f>FMS_Ranking4[[#This Row],[Rank (with ArcSinh normalization of select criteria)]]-FMS_Ranking4[[#This Row],[Rank
(with linear
normalization)]]</f>
        <v>225</v>
      </c>
      <c r="BX437" s="200" t="e">
        <f>FMS_Ranking4[[#This Row],[Log Rank]]-FMS_Ranking4[[#This Row],[Rank
(with linear
normalization)]]</f>
        <v>#REF!</v>
      </c>
      <c r="BY437" s="200">
        <f>IF(FMS_Ranking4[[#This Row],[FMS Type]]="Flood Measurement and Warning",FMS_Ranking4[[#This Row],[Rank (with ArcSinh normalization of select criteria)]],"")</f>
        <v>430</v>
      </c>
      <c r="BZ437" s="200" t="str">
        <f>IF(FMS_Ranking4[[#This Row],[FMS Type]]="Regulatory and Guidance",FMS_Ranking4[[#This Row],[Rank (with ArcSinh normalization of select criteria)]],"")</f>
        <v/>
      </c>
      <c r="CA437" s="200" t="str">
        <f>IF(FMS_Ranking4[[#This Row],[FMS Type]]="Education and Outreach",FMS_Ranking4[[#This Row],[Rank (with ArcSinh normalization of select criteria)]],"")</f>
        <v/>
      </c>
      <c r="CB437" s="200" t="str">
        <f>IF(FMS_Ranking4[[#This Row],[FMS Type]]="Property Acquisition and Structural Elevation",FMS_Ranking4[[#This Row],[Rank (with ArcSinh normalization of select criteria)]],"")</f>
        <v/>
      </c>
      <c r="CC437" s="200" t="str">
        <f>IF(FMS_Ranking4[[#This Row],[FMS Type]]="Infrastructure Projects",FMS_Ranking4[[#This Row],[Rank (with ArcSinh normalization of select criteria)]],"")</f>
        <v/>
      </c>
      <c r="CD437" s="200" t="str">
        <f>IF(FMS_Ranking4[[#This Row],[FMS Type]]="Other",FMS_Ranking4[[#This Row],[Rank (with ArcSinh normalization of select criteria)]],"")</f>
        <v/>
      </c>
      <c r="CE437" s="201"/>
      <c r="CF437" s="206"/>
      <c r="CG437" s="206"/>
      <c r="CH437" s="206"/>
      <c r="CI437" s="206"/>
      <c r="CJ437" s="206"/>
      <c r="CK437" s="206"/>
      <c r="CL437" s="206"/>
      <c r="CM437" s="206"/>
      <c r="CN437" s="206"/>
      <c r="CO437" s="206"/>
      <c r="CP437" s="206"/>
      <c r="CQ437" s="206"/>
      <c r="CR437" s="206"/>
    </row>
    <row r="438" spans="2:96" ht="45" x14ac:dyDescent="0.25">
      <c r="B438" s="341" t="s">
        <v>3964</v>
      </c>
      <c r="C438" s="246">
        <f>_xlfn.XLOOKUP(FMS_Ranking4[[#This Row],[FMS ID]],FMS_Input[FMS_ID],FMS_Input[RFPG_NUM])</f>
        <v>15</v>
      </c>
      <c r="D438" s="309" t="str">
        <f>_xlfn.XLOOKUP(FMS_Ranking4[[#This Row],[FMS ID]],FMS_Input[FMS_ID],FMS_Input[FMS_NAME])</f>
        <v>Port Isabel Action #25</v>
      </c>
      <c r="E438" s="308" t="str">
        <f>_xlfn.XLOOKUP(FMS_Ranking4[[#This Row],[FMS ID]],FMS_Input[FMS_ID],FMS_Input[SPONSOR])</f>
        <v>15000051</v>
      </c>
      <c r="F438" s="309" t="str">
        <f>_xlfn.XLOOKUP(FMS_Ranking4[[#This Row],[FMS ID]],Sponsor[FMS_ID],Sponsor[SPONSOR NAME])</f>
        <v>Port Isabel</v>
      </c>
      <c r="G438" s="309" t="str">
        <f>_xlfn.XLOOKUP(FMS_Ranking4[[#This Row],[FMS ID]],FMS_Input[FMS_ID],FMS_Input[FMS_DESCR])</f>
        <v>Develop an early warning system for residents to notify of natural disasters</v>
      </c>
      <c r="H438" s="248" t="str">
        <f>_xlfn.XLOOKUP(FMS_Ranking4[[#This Row],[FMS ID]],FMS_Input[FMS_ID],FMS_Input[FMS_TYPE])</f>
        <v>Flood Measurement and Warning</v>
      </c>
      <c r="I438" s="249">
        <f>_xlfn.XLOOKUP(FMS_Ranking4[[#This Row],[FMS ID]],FMS_Input[FMS_ID],FMS_Input[NRNC_COST])</f>
        <v>1000</v>
      </c>
      <c r="J438" s="250">
        <f>_xlfn.XLOOKUP(FMS_Ranking4[[#This Row],[FMS ID]],FMS_Input[FMS_ID],FMS_Input[FMS_COST])</f>
        <v>100000</v>
      </c>
      <c r="K438" s="251" t="str">
        <f>_xlfn.XLOOKUP(FMS_Ranking4[[#This Row],[FMS ID]],FMS_Input[FMS_ID],FMS_Input[EMER_NEED])</f>
        <v>Yes</v>
      </c>
      <c r="L438" s="252">
        <f t="shared" si="6"/>
        <v>1</v>
      </c>
      <c r="M438" s="253">
        <f>_xlfn.XLOOKUP(FMS_Ranking4[[#This Row],[FMS ID]],FMS_Input[FMS_ID],FMS_Input[STRUCT_100])</f>
        <v>1736</v>
      </c>
      <c r="N438" s="255">
        <f>(ASINH(FMS_Ranking4[[#This Row],[Structure at Risk Raw]]))*(10)/(ASINH(M$4))</f>
        <v>6.4090679733799893</v>
      </c>
      <c r="O438" s="256">
        <f>FMS_Ranking4[[#This Row],[Structures at risk, ArcSinh (0-10)]]*M$5*10</f>
        <v>6.4090679733799893</v>
      </c>
      <c r="P438" s="253">
        <f>_xlfn.XLOOKUP(FMS_Ranking4[[#This Row],[FMS ID]],FMS_Input[FMS_ID],FMS_Input[RES_STRUCT100])</f>
        <v>1235</v>
      </c>
      <c r="Q438" s="257">
        <f>ASINH(FMS_Ranking4[[#This Row],[Res Structure Raw]])/Q$4*P$5*100</f>
        <v>0</v>
      </c>
      <c r="R438" s="253">
        <f>_xlfn.XLOOKUP(FMS_Ranking4[[#This Row],[FMS ID]],FMS_Input[FMS_ID],FMS_Input[POP100])</f>
        <v>5912</v>
      </c>
      <c r="S438" s="259">
        <f>(ASINH(FMS_Ranking4[[#This Row],[Pop at Risk Raw]]))*(10)/(ASINH(R$4))</f>
        <v>6.4741011158902868</v>
      </c>
      <c r="T438" s="256">
        <f>FMS_Ranking4[[#This Row],[Population at risk, ArcSinh (0-10)]]*R$5*10</f>
        <v>6.4741011158902868</v>
      </c>
      <c r="U438" s="253">
        <f>_xlfn.XLOOKUP(FMS_Ranking4[[#This Row],[FMS ID]],FMS_Input[FMS_ID],FMS_Input[CRITFAC100])</f>
        <v>1</v>
      </c>
      <c r="V438" s="259">
        <f>(ASINH(FMS_Ranking4[[#This Row],[Critical Facilities Raw]]))*(10)/(ASINH(U$4))</f>
        <v>1.0433384451410745</v>
      </c>
      <c r="W438" s="256">
        <f>FMS_Ranking4[[#This Row],[Critical facilities at risk, ArcSinh (0-10)]]*U$5*10</f>
        <v>1.0433384451410745</v>
      </c>
      <c r="X438" s="253">
        <f>_xlfn.XLOOKUP(FMS_Ranking4[[#This Row],[FMS ID]],FMS_Input[FMS_ID],FMS_Input[LWC])</f>
        <v>0</v>
      </c>
      <c r="Y438" s="259">
        <f>(ASINH(FMS_Ranking4[[#This Row],[LWC Raw]]))*(10)/(ASINH(X$4))</f>
        <v>0</v>
      </c>
      <c r="Z438" s="256">
        <f>FMS_Ranking4[[#This Row],[LWC, ArcSInh (0-10)]]*X$5*10</f>
        <v>0</v>
      </c>
      <c r="AA438" s="253">
        <f>_xlfn.XLOOKUP(FMS_Ranking4[[#This Row],[FMS ID]],FMS_Input[FMS_ID],FMS_Input[ROADCLS])</f>
        <v>0</v>
      </c>
      <c r="AB438" s="255">
        <f>(ASINH(FMS_Ranking4[[#This Row],[Road Closures Raw]]))*(10)/(ASINH(AA$4))</f>
        <v>0</v>
      </c>
      <c r="AC438" s="256">
        <f>FMS_Ranking4[[#This Row],[Road closures, ArcSinh (0-10)]]*AA$5*10</f>
        <v>0</v>
      </c>
      <c r="AD438" s="253">
        <f>_xlfn.XLOOKUP(FMS_Ranking4[[#This Row],[FMS ID]],FMS_Input[FMS_ID],FMS_Input[ROAD_MILES100])</f>
        <v>25</v>
      </c>
      <c r="AE438" s="259">
        <f>(ASINH(FMS_Ranking4[[#This Row],[Road Miles Raw]]))*(10)/(ASINH(AD$4))</f>
        <v>4.1695662658221559</v>
      </c>
      <c r="AF438" s="256">
        <f>FMS_Ranking4[[#This Row],[Length of roads at risk, ArcSinh (0-10)]]*AD$5*10</f>
        <v>4.1695662658221559</v>
      </c>
      <c r="AG438" s="253">
        <f>_xlfn.XLOOKUP(FMS_Ranking4[[#This Row],[FMS ID]],FMS_Input[FMS_ID],FMS_Input[FARMACRE100])</f>
        <v>85.986282348632813</v>
      </c>
      <c r="AH438" s="255">
        <f>(ASINH(FMS_Ranking4[[#This Row],[Ag Land Raw]]))*(10)/(ASINH(AG$4))</f>
        <v>3.3436353671939747</v>
      </c>
      <c r="AI438" s="260">
        <f>FMS_Ranking4[[#This Row],[Farm &amp; ranch land, ArcSinh (0-10)]]*AG$5*10</f>
        <v>1.6718176835969876</v>
      </c>
      <c r="AJ438" s="258">
        <f>_xlfn.XLOOKUP(FMS_Ranking4[[#This Row],[FMS ID]],FMS_Input[FMS_ID],FMS_Input[REDSTRUCT100])</f>
        <v>0</v>
      </c>
      <c r="AK438" s="253">
        <f>_xlfn.XLOOKUP(FMS_Ranking4[[#This Row],[FMS ID]],FMS_Input[FMS_ID],FMS_Input[REMSTRC100])</f>
        <v>0</v>
      </c>
      <c r="AL438" s="259">
        <f>(ASINH(FMS_Ranking4[[#This Row],[Structures Removed Raw]]))*(10)/(ASINH(AK$4))</f>
        <v>0</v>
      </c>
      <c r="AM438" s="262">
        <f>FMS_Ranking4[[#This Row],[Structures removed, ArcSinh (0-10)]]*AK$5*10</f>
        <v>0</v>
      </c>
      <c r="AN438" s="253">
        <f>_xlfn.XLOOKUP(FMS_Ranking4[[#This Row],[FMS ID]],FMS_Input[FMS_ID],FMS_Input[REMRESSTRC100])</f>
        <v>0</v>
      </c>
      <c r="AO438" s="261">
        <f>FMS_Ranking4[[#This Row],[ArcSinh Res struct removed 0-10]]*AN$5*10</f>
        <v>0</v>
      </c>
      <c r="AP438" s="260">
        <f>ASINH(FMS_Ranking4[[#This Row],[Residential Structures Removed Raw]])/AP$4*AN$5*100</f>
        <v>0</v>
      </c>
      <c r="AQ438" s="254">
        <f>(ASINH(FMS_Ranking4[[#This Row],[Residential Structures Removed Raw]]))*(10)/(ASINH(AN$4))</f>
        <v>0</v>
      </c>
      <c r="AR438" s="253">
        <f>_xlfn.XLOOKUP(FMS_Ranking4[[#This Row],[FMS ID]],FMS_Input[FMS_ID],FMS_Input[REMPOP100])</f>
        <v>0</v>
      </c>
      <c r="AS438" s="259">
        <f>(ASINH(FMS_Ranking4[[#This Row],[Removed Pop Raw]]))*(10)/(ASINH(AR$4))</f>
        <v>0</v>
      </c>
      <c r="AT438" s="262">
        <f>FMS_Ranking4[[#This Row],[Removed population, ArcSinh (0-10)]]*AR$5*10</f>
        <v>0</v>
      </c>
      <c r="AU438" s="264">
        <f>_xlfn.XLOOKUP(FMS_Ranking4[[#This Row],[FMS ID]],FMS_Input[FMS_ID],FMS_Input[REMCRITFAC100])</f>
        <v>0</v>
      </c>
      <c r="AV438" s="264">
        <f>_xlfn.XLOOKUP(FMS_Ranking4[[#This Row],[FMS ID]],FMS_Input[FMS_ID],FMS_Input[REMLWC100])</f>
        <v>0</v>
      </c>
      <c r="AW438" s="264">
        <f>_xlfn.XLOOKUP(FMS_Ranking4[[#This Row],[FMS ID]],FMS_Input[FMS_ID],FMS_Input[REMROADCLS])</f>
        <v>0</v>
      </c>
      <c r="AX438" s="264">
        <f>_xlfn.XLOOKUP(FMS_Ranking4[[#This Row],[FMS ID]],FMS_Input[FMS_ID],FMS_Input[REMFRMACRE100])</f>
        <v>0</v>
      </c>
      <c r="AY438" s="258">
        <f>_xlfn.XLOOKUP(FMS_Ranking4[[#This Row],[FMS ID]],FMS_Input[FMS_ID],FMS_Input[COSTSTRUCT])</f>
        <v>0</v>
      </c>
      <c r="AZ438" s="253">
        <f>_xlfn.XLOOKUP(FMS_Ranking4[[#This Row],[FMS ID]],FMS_Input[FMS_ID],FMS_Input[NATURE])</f>
        <v>0</v>
      </c>
      <c r="BA438" s="262">
        <f>(((FMS_Ranking4[[#This Row],[% NBS Raw]]/AZ$4)*100)*AZ$5)</f>
        <v>0</v>
      </c>
      <c r="BB438" s="251" t="str">
        <f>_xlfn.XLOOKUP(FMS_Ranking4[[#This Row],[FMS ID]],FMS_Input[FMS_ID],FMS_Input[WATER_SUP])</f>
        <v>No</v>
      </c>
      <c r="BC438" s="265">
        <f>IF(FMS_Ranking4[[#This Row],[Water Supply Raw]]="Yes",10,0)</f>
        <v>0</v>
      </c>
      <c r="BD438" s="266">
        <f>_xlfn.XLOOKUP(FMS_Ranking4[[#This Row],[FMS Type]],FMS_TYPE[FMS_Type],FMS_TYPE[Score])</f>
        <v>10</v>
      </c>
      <c r="BE438" s="267">
        <f>FMS_Ranking4[[#This Row],[FMS_Type Score]]*$BD$5*10</f>
        <v>2.5</v>
      </c>
      <c r="BF43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0.21085870485496813</v>
      </c>
      <c r="BG438" s="271">
        <f>_xlfn.RANK.EQ(BF438,$BF$8:$BF$870,0)+COUNTIF($BF$8:BF438,BF438)-1</f>
        <v>352</v>
      </c>
      <c r="BH438" s="268">
        <f>(((FMS_Ranking4[[#This Row],[Structures Removed Raw]]/AK$4)*100)*AK$5)+(((FMS_Ranking4[[#This Row],[Removed Pop Raw]]/AR$4)*100)*AR$5)</f>
        <v>0</v>
      </c>
      <c r="BI43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2.7108587048549682</v>
      </c>
      <c r="BJ438" s="205">
        <f>_xlfn.RANK.EQ(FMS_Ranking4[[#This Row],[Total Score 
(with linear
normalization)]],FMS_Ranking4[Total Score 
(with linear
normalization)],0)</f>
        <v>205</v>
      </c>
      <c r="BK438" s="205" t="e">
        <f>_xlfn.XLOOKUP(FMS_Ranking4[[#This Row],[FMS ID]],#REF!,#REF!)</f>
        <v>#REF!</v>
      </c>
      <c r="BL43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19.767891483830493</v>
      </c>
      <c r="BM438" s="272">
        <f>FMS_Ranking4[[#This Row],[ArcSinh Score Based on Normalized Reported Factors]]+FMS_Ranking4[[#This Row],[% NBS Score (Normalized)]]+(FMS_Ranking4[[#This Row],[Water Supply Score (Normalized)]]*10*$BB$5)+FMS_Ranking4[[#This Row],[FMS_Type Score Weighted]]</f>
        <v>22.267891483830493</v>
      </c>
      <c r="BN438" s="205">
        <f>_xlfn.RANK.EQ(FMS_Ranking4[[#This Row],[Total Score (with ArcSinh normalization of select criteria)]],FMS_Ranking4[Total Score (with ArcSinh normalization of select criteria)],0)</f>
        <v>430</v>
      </c>
      <c r="BO438" s="270" t="str">
        <f>_xlfn.XLOOKUP(FMS_Ranking4[[#This Row],[FMS ID]],FMS_Input[FMS_ID],FMS_Input[FMS_RANK_YEAR])</f>
        <v>2023 Amended Plan</v>
      </c>
      <c r="BP438" s="204">
        <f>_xlfn.XLOOKUP(FMS_Ranking4[[#This Row],[FMS ID]],Prev_Rank[FMS ID],Prev_Rank[Prev Rank])</f>
        <v>379</v>
      </c>
      <c r="BQ438" s="205" t="e">
        <f>_xlfn.XLOOKUP(FMS_Ranking4[[#This Row],[FMS ID]],#REF!,#REF!)</f>
        <v>#REF!</v>
      </c>
      <c r="BR438" s="199" t="e">
        <f>SUM(#REF!,#REF!,#REF!,#REF!,#REF!,#REF!,#REF!,#REF!,#REF!,FMS_Ranking4[[#This Row],[ArcSinh Res struct removed 0-10]],#REF!)</f>
        <v>#REF!</v>
      </c>
      <c r="BS438" s="199" t="e">
        <f>FMS_Ranking4[[#This Row],[Log Score Based on Normalized Reported Factors]]+FMS_Ranking4[[#This Row],[% NBS Score (Normalized)]]+(FMS_Ranking4[[#This Row],[Water Supply Score (Normalized)]]*10*$BB$5)+(FMS_Ranking4[[#This Row],[FMS_Type Score Weighted]])</f>
        <v>#REF!</v>
      </c>
      <c r="BT438" s="200" t="e">
        <f>_xlfn.RANK.EQ(FMS_Ranking4[[#This Row],[Log Total Score]],FMS_Ranking4[Log Total Score],0)</f>
        <v>#REF!</v>
      </c>
      <c r="BU438" s="200" t="e">
        <f>_xlfn.XLOOKUP(FMS_Ranking4[[#This Row],[FMS ID]],#REF!,#REF!)</f>
        <v>#REF!</v>
      </c>
      <c r="BV438" s="200">
        <f>FMS_Ranking4[[#This Row],[Region Number]]</f>
        <v>15</v>
      </c>
      <c r="BW438" s="200">
        <f>FMS_Ranking4[[#This Row],[Rank (with ArcSinh normalization of select criteria)]]-FMS_Ranking4[[#This Row],[Rank
(with linear
normalization)]]</f>
        <v>225</v>
      </c>
      <c r="BX438" s="200" t="e">
        <f>FMS_Ranking4[[#This Row],[Log Rank]]-FMS_Ranking4[[#This Row],[Rank
(with linear
normalization)]]</f>
        <v>#REF!</v>
      </c>
      <c r="BY438" s="200">
        <f>IF(FMS_Ranking4[[#This Row],[FMS Type]]="Flood Measurement and Warning",FMS_Ranking4[[#This Row],[Rank (with ArcSinh normalization of select criteria)]],"")</f>
        <v>430</v>
      </c>
      <c r="BZ438" s="200" t="str">
        <f>IF(FMS_Ranking4[[#This Row],[FMS Type]]="Regulatory and Guidance",FMS_Ranking4[[#This Row],[Rank (with ArcSinh normalization of select criteria)]],"")</f>
        <v/>
      </c>
      <c r="CA438" s="200" t="str">
        <f>IF(FMS_Ranking4[[#This Row],[FMS Type]]="Education and Outreach",FMS_Ranking4[[#This Row],[Rank (with ArcSinh normalization of select criteria)]],"")</f>
        <v/>
      </c>
      <c r="CB438" s="200" t="str">
        <f>IF(FMS_Ranking4[[#This Row],[FMS Type]]="Property Acquisition and Structural Elevation",FMS_Ranking4[[#This Row],[Rank (with ArcSinh normalization of select criteria)]],"")</f>
        <v/>
      </c>
      <c r="CC438" s="200" t="str">
        <f>IF(FMS_Ranking4[[#This Row],[FMS Type]]="Infrastructure Projects",FMS_Ranking4[[#This Row],[Rank (with ArcSinh normalization of select criteria)]],"")</f>
        <v/>
      </c>
      <c r="CD438" s="200" t="str">
        <f>IF(FMS_Ranking4[[#This Row],[FMS Type]]="Other",FMS_Ranking4[[#This Row],[Rank (with ArcSinh normalization of select criteria)]],"")</f>
        <v/>
      </c>
      <c r="CE438" s="201"/>
      <c r="CF438" s="206"/>
      <c r="CG438" s="206"/>
      <c r="CH438" s="206"/>
      <c r="CI438" s="206"/>
      <c r="CJ438" s="206"/>
      <c r="CK438" s="206"/>
      <c r="CL438" s="206"/>
      <c r="CM438" s="206"/>
      <c r="CN438" s="206"/>
      <c r="CO438" s="206"/>
      <c r="CP438" s="206"/>
      <c r="CQ438" s="206"/>
      <c r="CR438" s="206"/>
    </row>
    <row r="439" spans="2:96" ht="60" x14ac:dyDescent="0.25">
      <c r="B439" s="341" t="s">
        <v>2012</v>
      </c>
      <c r="C439" s="246">
        <f>_xlfn.XLOOKUP(FMS_Ranking4[[#This Row],[FMS ID]],FMS_Input[FMS_ID],FMS_Input[RFPG_NUM])</f>
        <v>3</v>
      </c>
      <c r="D439" s="309" t="str">
        <f>_xlfn.XLOOKUP(FMS_Ranking4[[#This Row],[FMS ID]],FMS_Input[FMS_ID],FMS_Input[FMS_NAME])</f>
        <v>City of Kennedale Property Acquisition Program - Village Creek</v>
      </c>
      <c r="E439" s="308" t="str">
        <f>_xlfn.XLOOKUP(FMS_Ranking4[[#This Row],[FMS ID]],FMS_Input[FMS_ID],FMS_Input[SPONSOR])</f>
        <v>Kennedale</v>
      </c>
      <c r="F439" s="309" t="str">
        <f>_xlfn.XLOOKUP(FMS_Ranking4[[#This Row],[FMS ID]],Sponsor[FMS_ID],Sponsor[SPONSOR NAME])</f>
        <v>Kennedale</v>
      </c>
      <c r="G439" s="309" t="str">
        <f>_xlfn.XLOOKUP(FMS_Ranking4[[#This Row],[FMS ID]],FMS_Input[FMS_ID],FMS_Input[FMS_DESCR])</f>
        <v>Acquire all private property located within the Village Creek 100-year floodplain in the City of Kennedale</v>
      </c>
      <c r="H439" s="248" t="str">
        <f>_xlfn.XLOOKUP(FMS_Ranking4[[#This Row],[FMS ID]],FMS_Input[FMS_ID],FMS_Input[FMS_TYPE])</f>
        <v>Property Acquisition and Structural Elevation</v>
      </c>
      <c r="I439" s="249">
        <f>_xlfn.XLOOKUP(FMS_Ranking4[[#This Row],[FMS ID]],FMS_Input[FMS_ID],FMS_Input[NRNC_COST])</f>
        <v>500000</v>
      </c>
      <c r="J439" s="250">
        <f>_xlfn.XLOOKUP(FMS_Ranking4[[#This Row],[FMS ID]],FMS_Input[FMS_ID],FMS_Input[FMS_COST])</f>
        <v>5000000</v>
      </c>
      <c r="K439" s="251" t="str">
        <f>_xlfn.XLOOKUP(FMS_Ranking4[[#This Row],[FMS ID]],FMS_Input[FMS_ID],FMS_Input[EMER_NEED])</f>
        <v>No</v>
      </c>
      <c r="L439" s="252">
        <f t="shared" si="6"/>
        <v>0</v>
      </c>
      <c r="M439" s="253">
        <f>_xlfn.XLOOKUP(FMS_Ranking4[[#This Row],[FMS ID]],FMS_Input[FMS_ID],FMS_Input[STRUCT_100])</f>
        <v>167</v>
      </c>
      <c r="N439" s="255">
        <f>(ASINH(FMS_Ranking4[[#This Row],[Structure at Risk Raw]]))*(10)/(ASINH(M$4))</f>
        <v>4.5684291089266296</v>
      </c>
      <c r="O439" s="256">
        <f>FMS_Ranking4[[#This Row],[Structures at risk, ArcSinh (0-10)]]*M$5*10</f>
        <v>4.5684291089266296</v>
      </c>
      <c r="P439" s="253">
        <f>_xlfn.XLOOKUP(FMS_Ranking4[[#This Row],[FMS ID]],FMS_Input[FMS_ID],FMS_Input[RES_STRUCT100])</f>
        <v>101</v>
      </c>
      <c r="Q439" s="257">
        <f>ASINH(FMS_Ranking4[[#This Row],[Res Structure Raw]])/Q$4*P$5*100</f>
        <v>0</v>
      </c>
      <c r="R439" s="253">
        <f>_xlfn.XLOOKUP(FMS_Ranking4[[#This Row],[FMS ID]],FMS_Input[FMS_ID],FMS_Input[POP100])</f>
        <v>2299</v>
      </c>
      <c r="S439" s="259">
        <f>(ASINH(FMS_Ranking4[[#This Row],[Pop at Risk Raw]]))*(10)/(ASINH(R$4))</f>
        <v>5.8220509460836407</v>
      </c>
      <c r="T439" s="256">
        <f>FMS_Ranking4[[#This Row],[Population at risk, ArcSinh (0-10)]]*R$5*10</f>
        <v>5.8220509460836407</v>
      </c>
      <c r="U439" s="253">
        <f>_xlfn.XLOOKUP(FMS_Ranking4[[#This Row],[FMS ID]],FMS_Input[FMS_ID],FMS_Input[CRITFAC100])</f>
        <v>4</v>
      </c>
      <c r="V439" s="259">
        <f>(ASINH(FMS_Ranking4[[#This Row],[Critical Facilities Raw]]))*(10)/(ASINH(U$4))</f>
        <v>2.4796455944038147</v>
      </c>
      <c r="W439" s="256">
        <f>FMS_Ranking4[[#This Row],[Critical facilities at risk, ArcSinh (0-10)]]*U$5*10</f>
        <v>2.4796455944038147</v>
      </c>
      <c r="X439" s="253">
        <f>_xlfn.XLOOKUP(FMS_Ranking4[[#This Row],[FMS ID]],FMS_Input[FMS_ID],FMS_Input[LWC])</f>
        <v>12</v>
      </c>
      <c r="Y439" s="259">
        <f>(ASINH(FMS_Ranking4[[#This Row],[LWC Raw]]))*(10)/(ASINH(X$4))</f>
        <v>4.3077754583370957</v>
      </c>
      <c r="Z439" s="256">
        <f>FMS_Ranking4[[#This Row],[LWC, ArcSInh (0-10)]]*X$5*10</f>
        <v>4.3077754583370957</v>
      </c>
      <c r="AA439" s="253">
        <f>_xlfn.XLOOKUP(FMS_Ranking4[[#This Row],[FMS ID]],FMS_Input[FMS_ID],FMS_Input[ROADCLS])</f>
        <v>0</v>
      </c>
      <c r="AB439" s="255">
        <f>(ASINH(FMS_Ranking4[[#This Row],[Road Closures Raw]]))*(10)/(ASINH(AA$4))</f>
        <v>0</v>
      </c>
      <c r="AC439" s="256">
        <f>FMS_Ranking4[[#This Row],[Road closures, ArcSinh (0-10)]]*AA$5*10</f>
        <v>0</v>
      </c>
      <c r="AD439" s="253">
        <f>_xlfn.XLOOKUP(FMS_Ranking4[[#This Row],[FMS ID]],FMS_Input[FMS_ID],FMS_Input[ROAD_MILES100])</f>
        <v>4</v>
      </c>
      <c r="AE439" s="259">
        <f>(ASINH(FMS_Ranking4[[#This Row],[Road Miles Raw]]))*(10)/(ASINH(AD$4))</f>
        <v>2.2323872691766113</v>
      </c>
      <c r="AF439" s="256">
        <f>FMS_Ranking4[[#This Row],[Length of roads at risk, ArcSinh (0-10)]]*AD$5*10</f>
        <v>2.2323872691766113</v>
      </c>
      <c r="AG439" s="253">
        <f>_xlfn.XLOOKUP(FMS_Ranking4[[#This Row],[FMS ID]],FMS_Input[FMS_ID],FMS_Input[FARMACRE100])</f>
        <v>146.45930480957031</v>
      </c>
      <c r="AH439" s="255">
        <f>(ASINH(FMS_Ranking4[[#This Row],[Ag Land Raw]]))*(10)/(ASINH(AG$4))</f>
        <v>3.6895619722908308</v>
      </c>
      <c r="AI439" s="260">
        <f>FMS_Ranking4[[#This Row],[Farm &amp; ranch land, ArcSinh (0-10)]]*AG$5*10</f>
        <v>1.8447809861454156</v>
      </c>
      <c r="AJ439" s="258">
        <f>_xlfn.XLOOKUP(FMS_Ranking4[[#This Row],[FMS ID]],FMS_Input[FMS_ID],FMS_Input[REDSTRUCT100])</f>
        <v>0</v>
      </c>
      <c r="AK439" s="253">
        <f>_xlfn.XLOOKUP(FMS_Ranking4[[#This Row],[FMS ID]],FMS_Input[FMS_ID],FMS_Input[REMSTRC100])</f>
        <v>0</v>
      </c>
      <c r="AL439" s="259">
        <f>(ASINH(FMS_Ranking4[[#This Row],[Structures Removed Raw]]))*(10)/(ASINH(AK$4))</f>
        <v>0</v>
      </c>
      <c r="AM439" s="262">
        <f>FMS_Ranking4[[#This Row],[Structures removed, ArcSinh (0-10)]]*AK$5*10</f>
        <v>0</v>
      </c>
      <c r="AN439" s="253">
        <f>_xlfn.XLOOKUP(FMS_Ranking4[[#This Row],[FMS ID]],FMS_Input[FMS_ID],FMS_Input[REMRESSTRC100])</f>
        <v>0</v>
      </c>
      <c r="AO439" s="261">
        <f>FMS_Ranking4[[#This Row],[ArcSinh Res struct removed 0-10]]*AN$5*10</f>
        <v>0</v>
      </c>
      <c r="AP439" s="260">
        <f>ASINH(FMS_Ranking4[[#This Row],[Residential Structures Removed Raw]])/AP$4*AN$5*100</f>
        <v>0</v>
      </c>
      <c r="AQ439" s="254">
        <f>(ASINH(FMS_Ranking4[[#This Row],[Residential Structures Removed Raw]]))*(10)/(ASINH(AN$4))</f>
        <v>0</v>
      </c>
      <c r="AR439" s="253">
        <f>_xlfn.XLOOKUP(FMS_Ranking4[[#This Row],[FMS ID]],FMS_Input[FMS_ID],FMS_Input[REMPOP100])</f>
        <v>0</v>
      </c>
      <c r="AS439" s="259">
        <f>(ASINH(FMS_Ranking4[[#This Row],[Removed Pop Raw]]))*(10)/(ASINH(AR$4))</f>
        <v>0</v>
      </c>
      <c r="AT439" s="262">
        <f>FMS_Ranking4[[#This Row],[Removed population, ArcSinh (0-10)]]*AR$5*10</f>
        <v>0</v>
      </c>
      <c r="AU439" s="264">
        <f>_xlfn.XLOOKUP(FMS_Ranking4[[#This Row],[FMS ID]],FMS_Input[FMS_ID],FMS_Input[REMCRITFAC100])</f>
        <v>0</v>
      </c>
      <c r="AV439" s="264">
        <f>_xlfn.XLOOKUP(FMS_Ranking4[[#This Row],[FMS ID]],FMS_Input[FMS_ID],FMS_Input[REMLWC100])</f>
        <v>0</v>
      </c>
      <c r="AW439" s="264">
        <f>_xlfn.XLOOKUP(FMS_Ranking4[[#This Row],[FMS ID]],FMS_Input[FMS_ID],FMS_Input[REMROADCLS])</f>
        <v>0</v>
      </c>
      <c r="AX439" s="264">
        <f>_xlfn.XLOOKUP(FMS_Ranking4[[#This Row],[FMS ID]],FMS_Input[FMS_ID],FMS_Input[REMFRMACRE100])</f>
        <v>0</v>
      </c>
      <c r="AY439" s="258">
        <f>_xlfn.XLOOKUP(FMS_Ranking4[[#This Row],[FMS ID]],FMS_Input[FMS_ID],FMS_Input[COSTSTRUCT])</f>
        <v>0</v>
      </c>
      <c r="AZ439" s="253">
        <f>_xlfn.XLOOKUP(FMS_Ranking4[[#This Row],[FMS ID]],FMS_Input[FMS_ID],FMS_Input[NATURE])</f>
        <v>0</v>
      </c>
      <c r="BA439" s="262">
        <f>(((FMS_Ranking4[[#This Row],[% NBS Raw]]/AZ$4)*100)*AZ$5)</f>
        <v>0</v>
      </c>
      <c r="BB439" s="251" t="str">
        <f>_xlfn.XLOOKUP(FMS_Ranking4[[#This Row],[FMS ID]],FMS_Input[FMS_ID],FMS_Input[WATER_SUP])</f>
        <v>No</v>
      </c>
      <c r="BC439" s="265">
        <f>IF(FMS_Ranking4[[#This Row],[Water Supply Raw]]="Yes",10,0)</f>
        <v>0</v>
      </c>
      <c r="BD439" s="266">
        <f>_xlfn.XLOOKUP(FMS_Ranking4[[#This Row],[FMS Type]],FMS_TYPE[FMS_Type],FMS_TYPE[Score])</f>
        <v>4</v>
      </c>
      <c r="BE439" s="267">
        <f>FMS_Ranking4[[#This Row],[FMS_Type Score]]*$BD$5*10</f>
        <v>1</v>
      </c>
      <c r="BF43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0.20714518588713687</v>
      </c>
      <c r="BG439" s="271">
        <f>_xlfn.RANK.EQ(BF439,$BF$8:$BF$870,0)+COUNTIF($BF$8:BF439,BF439)-1</f>
        <v>361</v>
      </c>
      <c r="BH439" s="268">
        <f>(((FMS_Ranking4[[#This Row],[Structures Removed Raw]]/AK$4)*100)*AK$5)+(((FMS_Ranking4[[#This Row],[Removed Pop Raw]]/AR$4)*100)*AR$5)</f>
        <v>0</v>
      </c>
      <c r="BI43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1.2071451858871369</v>
      </c>
      <c r="BJ439" s="205">
        <f>_xlfn.RANK.EQ(FMS_Ranking4[[#This Row],[Total Score 
(with linear
normalization)]],FMS_Ranking4[Total Score 
(with linear
normalization)],0)</f>
        <v>643</v>
      </c>
      <c r="BK439" s="205" t="e">
        <f>_xlfn.XLOOKUP(FMS_Ranking4[[#This Row],[FMS ID]],#REF!,#REF!)</f>
        <v>#REF!</v>
      </c>
      <c r="BL43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21.255069363073211</v>
      </c>
      <c r="BM439" s="272">
        <f>FMS_Ranking4[[#This Row],[ArcSinh Score Based on Normalized Reported Factors]]+FMS_Ranking4[[#This Row],[% NBS Score (Normalized)]]+(FMS_Ranking4[[#This Row],[Water Supply Score (Normalized)]]*10*$BB$5)+FMS_Ranking4[[#This Row],[FMS_Type Score Weighted]]</f>
        <v>22.255069363073211</v>
      </c>
      <c r="BN439" s="205">
        <f>_xlfn.RANK.EQ(FMS_Ranking4[[#This Row],[Total Score (with ArcSinh normalization of select criteria)]],FMS_Ranking4[Total Score (with ArcSinh normalization of select criteria)],0)</f>
        <v>432</v>
      </c>
      <c r="BO439" s="270" t="str">
        <f>_xlfn.XLOOKUP(FMS_Ranking4[[#This Row],[FMS ID]],FMS_Input[FMS_ID],FMS_Input[FMS_RANK_YEAR])</f>
        <v>2023 Amended Plan</v>
      </c>
      <c r="BP439" s="204">
        <f>_xlfn.XLOOKUP(FMS_Ranking4[[#This Row],[FMS ID]],Prev_Rank[FMS ID],Prev_Rank[Prev Rank])</f>
        <v>384</v>
      </c>
      <c r="BQ439" s="205" t="e">
        <f>_xlfn.XLOOKUP(FMS_Ranking4[[#This Row],[FMS ID]],#REF!,#REF!)</f>
        <v>#REF!</v>
      </c>
      <c r="BR439" s="199" t="e">
        <f>SUM(#REF!,#REF!,#REF!,#REF!,#REF!,#REF!,#REF!,#REF!,#REF!,FMS_Ranking4[[#This Row],[ArcSinh Res struct removed 0-10]],#REF!)</f>
        <v>#REF!</v>
      </c>
      <c r="BS439" s="199" t="e">
        <f>FMS_Ranking4[[#This Row],[Log Score Based on Normalized Reported Factors]]+FMS_Ranking4[[#This Row],[% NBS Score (Normalized)]]+(FMS_Ranking4[[#This Row],[Water Supply Score (Normalized)]]*10*$BB$5)+(FMS_Ranking4[[#This Row],[FMS_Type Score Weighted]])</f>
        <v>#REF!</v>
      </c>
      <c r="BT439" s="200" t="e">
        <f>_xlfn.RANK.EQ(FMS_Ranking4[[#This Row],[Log Total Score]],FMS_Ranking4[Log Total Score],0)</f>
        <v>#REF!</v>
      </c>
      <c r="BU439" s="200" t="e">
        <f>_xlfn.XLOOKUP(FMS_Ranking4[[#This Row],[FMS ID]],#REF!,#REF!)</f>
        <v>#REF!</v>
      </c>
      <c r="BV439" s="200">
        <f>FMS_Ranking4[[#This Row],[Region Number]]</f>
        <v>3</v>
      </c>
      <c r="BW439" s="200">
        <f>FMS_Ranking4[[#This Row],[Rank (with ArcSinh normalization of select criteria)]]-FMS_Ranking4[[#This Row],[Rank
(with linear
normalization)]]</f>
        <v>-211</v>
      </c>
      <c r="BX439" s="200" t="e">
        <f>FMS_Ranking4[[#This Row],[Log Rank]]-FMS_Ranking4[[#This Row],[Rank
(with linear
normalization)]]</f>
        <v>#REF!</v>
      </c>
      <c r="BY439" s="200" t="str">
        <f>IF(FMS_Ranking4[[#This Row],[FMS Type]]="Flood Measurement and Warning",FMS_Ranking4[[#This Row],[Rank (with ArcSinh normalization of select criteria)]],"")</f>
        <v/>
      </c>
      <c r="BZ439" s="200" t="str">
        <f>IF(FMS_Ranking4[[#This Row],[FMS Type]]="Regulatory and Guidance",FMS_Ranking4[[#This Row],[Rank (with ArcSinh normalization of select criteria)]],"")</f>
        <v/>
      </c>
      <c r="CA439" s="200" t="str">
        <f>IF(FMS_Ranking4[[#This Row],[FMS Type]]="Education and Outreach",FMS_Ranking4[[#This Row],[Rank (with ArcSinh normalization of select criteria)]],"")</f>
        <v/>
      </c>
      <c r="CB439" s="200">
        <f>IF(FMS_Ranking4[[#This Row],[FMS Type]]="Property Acquisition and Structural Elevation",FMS_Ranking4[[#This Row],[Rank (with ArcSinh normalization of select criteria)]],"")</f>
        <v>432</v>
      </c>
      <c r="CC439" s="200" t="str">
        <f>IF(FMS_Ranking4[[#This Row],[FMS Type]]="Infrastructure Projects",FMS_Ranking4[[#This Row],[Rank (with ArcSinh normalization of select criteria)]],"")</f>
        <v/>
      </c>
      <c r="CD439" s="200" t="str">
        <f>IF(FMS_Ranking4[[#This Row],[FMS Type]]="Other",FMS_Ranking4[[#This Row],[Rank (with ArcSinh normalization of select criteria)]],"")</f>
        <v/>
      </c>
      <c r="CE439" s="201"/>
      <c r="CF439" s="206"/>
      <c r="CG439" s="206"/>
      <c r="CH439" s="206"/>
      <c r="CI439" s="206"/>
      <c r="CJ439" s="206"/>
      <c r="CK439" s="206"/>
      <c r="CL439" s="206"/>
      <c r="CM439" s="206"/>
      <c r="CN439" s="206"/>
      <c r="CO439" s="206"/>
      <c r="CP439" s="206"/>
      <c r="CQ439" s="206"/>
      <c r="CR439" s="206"/>
    </row>
    <row r="440" spans="2:96" ht="105" x14ac:dyDescent="0.25">
      <c r="B440" s="341" t="s">
        <v>11972</v>
      </c>
      <c r="C440" s="246">
        <f>_xlfn.XLOOKUP(FMS_Ranking4[[#This Row],[FMS ID]],FMS_Input[FMS_ID],FMS_Input[RFPG_NUM])</f>
        <v>15</v>
      </c>
      <c r="D440" s="309" t="str">
        <f>_xlfn.XLOOKUP(FMS_Ranking4[[#This Row],[FMS ID]],FMS_Input[FMS_ID],FMS_Input[FMS_NAME])</f>
        <v>City of Los Fresnos</v>
      </c>
      <c r="E440" s="308" t="str">
        <f>_xlfn.XLOOKUP(FMS_Ranking4[[#This Row],[FMS ID]],FMS_Input[FMS_ID],FMS_Input[SPONSOR])</f>
        <v>15000049</v>
      </c>
      <c r="F440" s="309" t="str">
        <f>_xlfn.XLOOKUP(FMS_Ranking4[[#This Row],[FMS ID]],Sponsor[FMS_ID],Sponsor[SPONSOR NAME])</f>
        <v>Los Fresnos</v>
      </c>
      <c r="G440" s="309" t="str">
        <f>_xlfn.XLOOKUP(FMS_Ranking4[[#This Row],[FMS ID]],FMS_Input[FMS_ID],FMS_Input[FMS_DESCR])</f>
        <v>FMS 2 - Assessment, development, and updating of the City's ordinances, orders, policies, engineering specifications, guidance documents and other flood management tools.</v>
      </c>
      <c r="H440" s="248" t="str">
        <f>_xlfn.XLOOKUP(FMS_Ranking4[[#This Row],[FMS ID]],FMS_Input[FMS_ID],FMS_Input[FMS_TYPE])</f>
        <v>Regulatory and Guidance</v>
      </c>
      <c r="I440" s="249">
        <f>_xlfn.XLOOKUP(FMS_Ranking4[[#This Row],[FMS ID]],FMS_Input[FMS_ID],FMS_Input[NRNC_COST])</f>
        <v>500000</v>
      </c>
      <c r="J440" s="250">
        <f>_xlfn.XLOOKUP(FMS_Ranking4[[#This Row],[FMS ID]],FMS_Input[FMS_ID],FMS_Input[FMS_COST])</f>
        <v>500000</v>
      </c>
      <c r="K440" s="251" t="str">
        <f>_xlfn.XLOOKUP(FMS_Ranking4[[#This Row],[FMS ID]],FMS_Input[FMS_ID],FMS_Input[EMER_NEED])</f>
        <v>Yes</v>
      </c>
      <c r="L440" s="252">
        <f t="shared" si="6"/>
        <v>1</v>
      </c>
      <c r="M440" s="253">
        <f>_xlfn.XLOOKUP(FMS_Ranking4[[#This Row],[FMS ID]],FMS_Input[FMS_ID],FMS_Input[STRUCT_100])</f>
        <v>489</v>
      </c>
      <c r="N440" s="255">
        <f>(ASINH(FMS_Ranking4[[#This Row],[Structure at Risk Raw]]))*(10)/(ASINH(M$4))</f>
        <v>5.4130366305472863</v>
      </c>
      <c r="O440" s="256">
        <f>FMS_Ranking4[[#This Row],[Structures at risk, ArcSinh (0-10)]]*M$5*10</f>
        <v>5.4130366305472863</v>
      </c>
      <c r="P440" s="253">
        <f>_xlfn.XLOOKUP(FMS_Ranking4[[#This Row],[FMS ID]],FMS_Input[FMS_ID],FMS_Input[RES_STRUCT100])</f>
        <v>418</v>
      </c>
      <c r="Q440" s="257">
        <f>ASINH(FMS_Ranking4[[#This Row],[Res Structure Raw]])/Q$4*P$5*100</f>
        <v>0</v>
      </c>
      <c r="R440" s="253">
        <f>_xlfn.XLOOKUP(FMS_Ranking4[[#This Row],[FMS ID]],FMS_Input[FMS_ID],FMS_Input[POP100])</f>
        <v>1640</v>
      </c>
      <c r="S440" s="259">
        <f>(ASINH(FMS_Ranking4[[#This Row],[Pop at Risk Raw]]))*(10)/(ASINH(R$4))</f>
        <v>5.5888631567390528</v>
      </c>
      <c r="T440" s="256">
        <f>FMS_Ranking4[[#This Row],[Population at risk, ArcSinh (0-10)]]*R$5*10</f>
        <v>5.5888631567390537</v>
      </c>
      <c r="U440" s="253">
        <f>_xlfn.XLOOKUP(FMS_Ranking4[[#This Row],[FMS ID]],FMS_Input[FMS_ID],FMS_Input[CRITFAC100])</f>
        <v>14</v>
      </c>
      <c r="V440" s="259">
        <f>(ASINH(FMS_Ranking4[[#This Row],[Critical Facilities Raw]]))*(10)/(ASINH(U$4))</f>
        <v>3.9460512246267809</v>
      </c>
      <c r="W440" s="256">
        <f>FMS_Ranking4[[#This Row],[Critical facilities at risk, ArcSinh (0-10)]]*U$5*10</f>
        <v>3.9460512246267809</v>
      </c>
      <c r="X440" s="253">
        <f>_xlfn.XLOOKUP(FMS_Ranking4[[#This Row],[FMS ID]],FMS_Input[FMS_ID],FMS_Input[LWC])</f>
        <v>0</v>
      </c>
      <c r="Y440" s="259">
        <f>(ASINH(FMS_Ranking4[[#This Row],[LWC Raw]]))*(10)/(ASINH(X$4))</f>
        <v>0</v>
      </c>
      <c r="Z440" s="256">
        <f>FMS_Ranking4[[#This Row],[LWC, ArcSInh (0-10)]]*X$5*10</f>
        <v>0</v>
      </c>
      <c r="AA440" s="253">
        <f>_xlfn.XLOOKUP(FMS_Ranking4[[#This Row],[FMS ID]],FMS_Input[FMS_ID],FMS_Input[ROADCLS])</f>
        <v>7</v>
      </c>
      <c r="AB440" s="255">
        <f>(ASINH(FMS_Ranking4[[#This Row],[Road Closures Raw]]))*(10)/(ASINH(AA$4))</f>
        <v>2.7536090869991607</v>
      </c>
      <c r="AC440" s="256">
        <f>FMS_Ranking4[[#This Row],[Road closures, ArcSinh (0-10)]]*AA$5*10</f>
        <v>1.3768045434995804</v>
      </c>
      <c r="AD440" s="253">
        <f>_xlfn.XLOOKUP(FMS_Ranking4[[#This Row],[FMS ID]],FMS_Input[FMS_ID],FMS_Input[ROAD_MILES100])</f>
        <v>15</v>
      </c>
      <c r="AE440" s="259">
        <f>(ASINH(FMS_Ranking4[[#This Row],[Road Miles Raw]]))*(10)/(ASINH(AD$4))</f>
        <v>3.625922827042257</v>
      </c>
      <c r="AF440" s="256">
        <f>FMS_Ranking4[[#This Row],[Length of roads at risk, ArcSinh (0-10)]]*AD$5*10</f>
        <v>3.625922827042257</v>
      </c>
      <c r="AG440" s="253">
        <f>_xlfn.XLOOKUP(FMS_Ranking4[[#This Row],[FMS ID]],FMS_Input[FMS_ID],FMS_Input[FARMACRE100])</f>
        <v>0.88514906167984009</v>
      </c>
      <c r="AH440" s="255">
        <f>(ASINH(FMS_Ranking4[[#This Row],[Ag Land Raw]]))*(10)/(ASINH(AG$4))</f>
        <v>0.51822796819011496</v>
      </c>
      <c r="AI440" s="260">
        <f>FMS_Ranking4[[#This Row],[Farm &amp; ranch land, ArcSinh (0-10)]]*AG$5*10</f>
        <v>0.25911398409505748</v>
      </c>
      <c r="AJ440" s="258">
        <f>_xlfn.XLOOKUP(FMS_Ranking4[[#This Row],[FMS ID]],FMS_Input[FMS_ID],FMS_Input[REDSTRUCT100])</f>
        <v>0</v>
      </c>
      <c r="AK440" s="253">
        <f>_xlfn.XLOOKUP(FMS_Ranking4[[#This Row],[FMS ID]],FMS_Input[FMS_ID],FMS_Input[REMSTRC100])</f>
        <v>0</v>
      </c>
      <c r="AL440" s="259">
        <f>(ASINH(FMS_Ranking4[[#This Row],[Structures Removed Raw]]))*(10)/(ASINH(AK$4))</f>
        <v>0</v>
      </c>
      <c r="AM440" s="262">
        <f>FMS_Ranking4[[#This Row],[Structures removed, ArcSinh (0-10)]]*AK$5*10</f>
        <v>0</v>
      </c>
      <c r="AN440" s="253">
        <f>_xlfn.XLOOKUP(FMS_Ranking4[[#This Row],[FMS ID]],FMS_Input[FMS_ID],FMS_Input[REMRESSTRC100])</f>
        <v>0</v>
      </c>
      <c r="AO440" s="261">
        <f>FMS_Ranking4[[#This Row],[ArcSinh Res struct removed 0-10]]*AN$5*10</f>
        <v>0</v>
      </c>
      <c r="AP440" s="260">
        <f>ASINH(FMS_Ranking4[[#This Row],[Residential Structures Removed Raw]])/AP$4*AN$5*100</f>
        <v>0</v>
      </c>
      <c r="AQ440" s="254">
        <f>(ASINH(FMS_Ranking4[[#This Row],[Residential Structures Removed Raw]]))*(10)/(ASINH(AN$4))</f>
        <v>0</v>
      </c>
      <c r="AR440" s="253">
        <f>_xlfn.XLOOKUP(FMS_Ranking4[[#This Row],[FMS ID]],FMS_Input[FMS_ID],FMS_Input[REMPOP100])</f>
        <v>0</v>
      </c>
      <c r="AS440" s="259">
        <f>(ASINH(FMS_Ranking4[[#This Row],[Removed Pop Raw]]))*(10)/(ASINH(AR$4))</f>
        <v>0</v>
      </c>
      <c r="AT440" s="262">
        <f>FMS_Ranking4[[#This Row],[Removed population, ArcSinh (0-10)]]*AR$5*10</f>
        <v>0</v>
      </c>
      <c r="AU440" s="264">
        <f>_xlfn.XLOOKUP(FMS_Ranking4[[#This Row],[FMS ID]],FMS_Input[FMS_ID],FMS_Input[REMCRITFAC100])</f>
        <v>0</v>
      </c>
      <c r="AV440" s="264">
        <f>_xlfn.XLOOKUP(FMS_Ranking4[[#This Row],[FMS ID]],FMS_Input[FMS_ID],FMS_Input[REMLWC100])</f>
        <v>0</v>
      </c>
      <c r="AW440" s="264">
        <f>_xlfn.XLOOKUP(FMS_Ranking4[[#This Row],[FMS ID]],FMS_Input[FMS_ID],FMS_Input[REMROADCLS])</f>
        <v>0</v>
      </c>
      <c r="AX440" s="264">
        <f>_xlfn.XLOOKUP(FMS_Ranking4[[#This Row],[FMS ID]],FMS_Input[FMS_ID],FMS_Input[REMFRMACRE100])</f>
        <v>0</v>
      </c>
      <c r="AY440" s="258">
        <f>_xlfn.XLOOKUP(FMS_Ranking4[[#This Row],[FMS ID]],FMS_Input[FMS_ID],FMS_Input[COSTSTRUCT])</f>
        <v>0</v>
      </c>
      <c r="AZ440" s="253">
        <f>_xlfn.XLOOKUP(FMS_Ranking4[[#This Row],[FMS ID]],FMS_Input[FMS_ID],FMS_Input[NATURE])</f>
        <v>0</v>
      </c>
      <c r="BA440" s="262">
        <f>(((FMS_Ranking4[[#This Row],[% NBS Raw]]/AZ$4)*100)*AZ$5)</f>
        <v>0</v>
      </c>
      <c r="BB440" s="251" t="str">
        <f>_xlfn.XLOOKUP(FMS_Ranking4[[#This Row],[FMS ID]],FMS_Input[FMS_ID],FMS_Input[WATER_SUP])</f>
        <v>No</v>
      </c>
      <c r="BC440" s="265">
        <f>IF(FMS_Ranking4[[#This Row],[Water Supply Raw]]="Yes",10,0)</f>
        <v>0</v>
      </c>
      <c r="BD440" s="266">
        <f>_xlfn.XLOOKUP(FMS_Ranking4[[#This Row],[FMS Type]],FMS_TYPE[FMS_Type],FMS_TYPE[Score])</f>
        <v>8</v>
      </c>
      <c r="BE440" s="267">
        <f>FMS_Ranking4[[#This Row],[FMS_Type Score]]*$BD$5*10</f>
        <v>2</v>
      </c>
      <c r="BF44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0.13603229748347326</v>
      </c>
      <c r="BG440" s="271">
        <f>_xlfn.RANK.EQ(BF440,$BF$8:$BF$870,0)+COUNTIF($BF$8:BF440,BF440)-1</f>
        <v>423</v>
      </c>
      <c r="BH440" s="268">
        <f>(((FMS_Ranking4[[#This Row],[Structures Removed Raw]]/AK$4)*100)*AK$5)+(((FMS_Ranking4[[#This Row],[Removed Pop Raw]]/AR$4)*100)*AR$5)</f>
        <v>0</v>
      </c>
      <c r="BI44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2.1360322974834731</v>
      </c>
      <c r="BJ440" s="205">
        <f>_xlfn.RANK.EQ(FMS_Ranking4[[#This Row],[Total Score 
(with linear
normalization)]],FMS_Ranking4[Total Score 
(with linear
normalization)],0)</f>
        <v>344</v>
      </c>
      <c r="BK440" s="205" t="e">
        <f>_xlfn.XLOOKUP(FMS_Ranking4[[#This Row],[FMS ID]],#REF!,#REF!)</f>
        <v>#REF!</v>
      </c>
      <c r="BL44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20.209792366550019</v>
      </c>
      <c r="BM440" s="272">
        <f>FMS_Ranking4[[#This Row],[ArcSinh Score Based on Normalized Reported Factors]]+FMS_Ranking4[[#This Row],[% NBS Score (Normalized)]]+(FMS_Ranking4[[#This Row],[Water Supply Score (Normalized)]]*10*$BB$5)+FMS_Ranking4[[#This Row],[FMS_Type Score Weighted]]</f>
        <v>22.209792366550019</v>
      </c>
      <c r="BN440" s="205">
        <f>_xlfn.RANK.EQ(FMS_Ranking4[[#This Row],[Total Score (with ArcSinh normalization of select criteria)]],FMS_Ranking4[Total Score (with ArcSinh normalization of select criteria)],0)</f>
        <v>433</v>
      </c>
      <c r="BO440" s="270" t="str">
        <f>_xlfn.XLOOKUP(FMS_Ranking4[[#This Row],[FMS ID]],FMS_Input[FMS_ID],FMS_Input[FMS_RANK_YEAR])</f>
        <v>2025 Amended Plan</v>
      </c>
      <c r="BP440" s="204" t="e">
        <f>_xlfn.XLOOKUP(FMS_Ranking4[[#This Row],[FMS ID]],Prev_Rank[FMS ID],Prev_Rank[Prev Rank])</f>
        <v>#N/A</v>
      </c>
      <c r="BQ440" s="205" t="e">
        <f>_xlfn.XLOOKUP(FMS_Ranking4[[#This Row],[FMS ID]],#REF!,#REF!)</f>
        <v>#REF!</v>
      </c>
      <c r="BR440" s="199" t="e">
        <f>SUM(#REF!,#REF!,#REF!,#REF!,#REF!,#REF!,#REF!,#REF!,#REF!,FMS_Ranking4[[#This Row],[ArcSinh Res struct removed 0-10]],#REF!)</f>
        <v>#REF!</v>
      </c>
      <c r="BS440" s="199" t="e">
        <f>FMS_Ranking4[[#This Row],[Log Score Based on Normalized Reported Factors]]+FMS_Ranking4[[#This Row],[% NBS Score (Normalized)]]+(FMS_Ranking4[[#This Row],[Water Supply Score (Normalized)]]*10*$BB$5)+(FMS_Ranking4[[#This Row],[FMS_Type Score Weighted]])</f>
        <v>#REF!</v>
      </c>
      <c r="BT440" s="200" t="e">
        <f>_xlfn.RANK.EQ(FMS_Ranking4[[#This Row],[Log Total Score]],FMS_Ranking4[Log Total Score],0)</f>
        <v>#REF!</v>
      </c>
      <c r="BU440" s="200" t="e">
        <f>_xlfn.XLOOKUP(FMS_Ranking4[[#This Row],[FMS ID]],#REF!,#REF!)</f>
        <v>#REF!</v>
      </c>
      <c r="BV440" s="200">
        <f>FMS_Ranking4[[#This Row],[Region Number]]</f>
        <v>15</v>
      </c>
      <c r="BW440" s="200">
        <f>FMS_Ranking4[[#This Row],[Rank (with ArcSinh normalization of select criteria)]]-FMS_Ranking4[[#This Row],[Rank
(with linear
normalization)]]</f>
        <v>89</v>
      </c>
      <c r="BX440" s="200" t="e">
        <f>FMS_Ranking4[[#This Row],[Log Rank]]-FMS_Ranking4[[#This Row],[Rank
(with linear
normalization)]]</f>
        <v>#REF!</v>
      </c>
      <c r="BY440" s="200" t="str">
        <f>IF(FMS_Ranking4[[#This Row],[FMS Type]]="Flood Measurement and Warning",FMS_Ranking4[[#This Row],[Rank (with ArcSinh normalization of select criteria)]],"")</f>
        <v/>
      </c>
      <c r="BZ440" s="200">
        <f>IF(FMS_Ranking4[[#This Row],[FMS Type]]="Regulatory and Guidance",FMS_Ranking4[[#This Row],[Rank (with ArcSinh normalization of select criteria)]],"")</f>
        <v>433</v>
      </c>
      <c r="CA440" s="200" t="str">
        <f>IF(FMS_Ranking4[[#This Row],[FMS Type]]="Education and Outreach",FMS_Ranking4[[#This Row],[Rank (with ArcSinh normalization of select criteria)]],"")</f>
        <v/>
      </c>
      <c r="CB440" s="200" t="str">
        <f>IF(FMS_Ranking4[[#This Row],[FMS Type]]="Property Acquisition and Structural Elevation",FMS_Ranking4[[#This Row],[Rank (with ArcSinh normalization of select criteria)]],"")</f>
        <v/>
      </c>
      <c r="CC440" s="200" t="str">
        <f>IF(FMS_Ranking4[[#This Row],[FMS Type]]="Infrastructure Projects",FMS_Ranking4[[#This Row],[Rank (with ArcSinh normalization of select criteria)]],"")</f>
        <v/>
      </c>
      <c r="CD440" s="200" t="str">
        <f>IF(FMS_Ranking4[[#This Row],[FMS Type]]="Other",FMS_Ranking4[[#This Row],[Rank (with ArcSinh normalization of select criteria)]],"")</f>
        <v/>
      </c>
      <c r="CE440" s="201"/>
      <c r="CF440" s="206"/>
      <c r="CG440" s="206"/>
      <c r="CH440" s="206"/>
      <c r="CI440" s="206"/>
      <c r="CJ440" s="206"/>
      <c r="CK440" s="206"/>
      <c r="CL440" s="206"/>
      <c r="CM440" s="206"/>
      <c r="CN440" s="206"/>
      <c r="CO440" s="206"/>
      <c r="CP440" s="206"/>
      <c r="CQ440" s="206"/>
      <c r="CR440" s="206"/>
    </row>
    <row r="441" spans="2:96" ht="75" x14ac:dyDescent="0.25">
      <c r="B441" s="341" t="s">
        <v>3203</v>
      </c>
      <c r="C441" s="246">
        <f>_xlfn.XLOOKUP(FMS_Ranking4[[#This Row],[FMS ID]],FMS_Input[FMS_ID],FMS_Input[RFPG_NUM])</f>
        <v>7</v>
      </c>
      <c r="D441" s="309" t="str">
        <f>_xlfn.XLOOKUP(FMS_Ranking4[[#This Row],[FMS ID]],FMS_Input[FMS_ID],FMS_Input[FMS_NAME])</f>
        <v>City of Plainview Turn Around, Don't Drown</v>
      </c>
      <c r="E441" s="308" t="str">
        <f>_xlfn.XLOOKUP(FMS_Ranking4[[#This Row],[FMS ID]],FMS_Input[FMS_ID],FMS_Input[SPONSOR])</f>
        <v>07003159</v>
      </c>
      <c r="F441" s="309" t="str">
        <f>_xlfn.XLOOKUP(FMS_Ranking4[[#This Row],[FMS ID]],Sponsor[FMS_ID],Sponsor[SPONSOR NAME])</f>
        <v>Plainview</v>
      </c>
      <c r="G441" s="309" t="str">
        <f>_xlfn.XLOOKUP(FMS_Ranking4[[#This Row],[FMS ID]],FMS_Input[FMS_ID],FMS_Input[FMS_DESCR])</f>
        <v>Encourage annual public outreach and education activities to improve awareness of flood hazards using Turn Around, Don't Drown program</v>
      </c>
      <c r="H441" s="248" t="str">
        <f>_xlfn.XLOOKUP(FMS_Ranking4[[#This Row],[FMS ID]],FMS_Input[FMS_ID],FMS_Input[FMS_TYPE])</f>
        <v>Education and Outreach</v>
      </c>
      <c r="I441" s="249">
        <f>_xlfn.XLOOKUP(FMS_Ranking4[[#This Row],[FMS ID]],FMS_Input[FMS_ID],FMS_Input[NRNC_COST])</f>
        <v>50000</v>
      </c>
      <c r="J441" s="250">
        <f>_xlfn.XLOOKUP(FMS_Ranking4[[#This Row],[FMS ID]],FMS_Input[FMS_ID],FMS_Input[FMS_COST])</f>
        <v>50000</v>
      </c>
      <c r="K441" s="251" t="str">
        <f>_xlfn.XLOOKUP(FMS_Ranking4[[#This Row],[FMS ID]],FMS_Input[FMS_ID],FMS_Input[EMER_NEED])</f>
        <v>No</v>
      </c>
      <c r="L441" s="252">
        <f t="shared" si="6"/>
        <v>0</v>
      </c>
      <c r="M441" s="253">
        <f>_xlfn.XLOOKUP(FMS_Ranking4[[#This Row],[FMS ID]],FMS_Input[FMS_ID],FMS_Input[STRUCT_100])</f>
        <v>980</v>
      </c>
      <c r="N441" s="255">
        <f>(ASINH(FMS_Ranking4[[#This Row],[Structure at Risk Raw]]))*(10)/(ASINH(M$4))</f>
        <v>5.9595589271953004</v>
      </c>
      <c r="O441" s="256">
        <f>FMS_Ranking4[[#This Row],[Structures at risk, ArcSinh (0-10)]]*M$5*10</f>
        <v>5.9595589271953013</v>
      </c>
      <c r="P441" s="253">
        <f>_xlfn.XLOOKUP(FMS_Ranking4[[#This Row],[FMS ID]],FMS_Input[FMS_ID],FMS_Input[RES_STRUCT100])</f>
        <v>660</v>
      </c>
      <c r="Q441" s="257">
        <f>ASINH(FMS_Ranking4[[#This Row],[Res Structure Raw]])/Q$4*P$5*100</f>
        <v>0</v>
      </c>
      <c r="R441" s="253">
        <f>_xlfn.XLOOKUP(FMS_Ranking4[[#This Row],[FMS ID]],FMS_Input[FMS_ID],FMS_Input[POP100])</f>
        <v>2836</v>
      </c>
      <c r="S441" s="259">
        <f>(ASINH(FMS_Ranking4[[#This Row],[Pop at Risk Raw]]))*(10)/(ASINH(R$4))</f>
        <v>5.9669711825196758</v>
      </c>
      <c r="T441" s="256">
        <f>FMS_Ranking4[[#This Row],[Population at risk, ArcSinh (0-10)]]*R$5*10</f>
        <v>5.9669711825196758</v>
      </c>
      <c r="U441" s="253">
        <f>_xlfn.XLOOKUP(FMS_Ranking4[[#This Row],[FMS ID]],FMS_Input[FMS_ID],FMS_Input[CRITFAC100])</f>
        <v>0</v>
      </c>
      <c r="V441" s="259">
        <f>(ASINH(FMS_Ranking4[[#This Row],[Critical Facilities Raw]]))*(10)/(ASINH(U$4))</f>
        <v>0</v>
      </c>
      <c r="W441" s="256">
        <f>FMS_Ranking4[[#This Row],[Critical facilities at risk, ArcSinh (0-10)]]*U$5*10</f>
        <v>0</v>
      </c>
      <c r="X441" s="253">
        <f>_xlfn.XLOOKUP(FMS_Ranking4[[#This Row],[FMS ID]],FMS_Input[FMS_ID],FMS_Input[LWC])</f>
        <v>2</v>
      </c>
      <c r="Y441" s="259">
        <f>(ASINH(FMS_Ranking4[[#This Row],[LWC Raw]]))*(10)/(ASINH(X$4))</f>
        <v>1.9557475158633808</v>
      </c>
      <c r="Z441" s="256">
        <f>FMS_Ranking4[[#This Row],[LWC, ArcSInh (0-10)]]*X$5*10</f>
        <v>1.9557475158633808</v>
      </c>
      <c r="AA441" s="253">
        <f>_xlfn.XLOOKUP(FMS_Ranking4[[#This Row],[FMS ID]],FMS_Input[FMS_ID],FMS_Input[ROADCLS])</f>
        <v>0</v>
      </c>
      <c r="AB441" s="255">
        <f>(ASINH(FMS_Ranking4[[#This Row],[Road Closures Raw]]))*(10)/(ASINH(AA$4))</f>
        <v>0</v>
      </c>
      <c r="AC441" s="256">
        <f>FMS_Ranking4[[#This Row],[Road closures, ArcSinh (0-10)]]*AA$5*10</f>
        <v>0</v>
      </c>
      <c r="AD441" s="253">
        <f>_xlfn.XLOOKUP(FMS_Ranking4[[#This Row],[FMS ID]],FMS_Input[FMS_ID],FMS_Input[ROAD_MILES100])</f>
        <v>31</v>
      </c>
      <c r="AE441" s="259">
        <f>(ASINH(FMS_Ranking4[[#This Row],[Road Miles Raw]]))*(10)/(ASINH(AD$4))</f>
        <v>4.3986669153359532</v>
      </c>
      <c r="AF441" s="256">
        <f>FMS_Ranking4[[#This Row],[Length of roads at risk, ArcSinh (0-10)]]*AD$5*10</f>
        <v>4.3986669153359532</v>
      </c>
      <c r="AG441" s="253">
        <f>_xlfn.XLOOKUP(FMS_Ranking4[[#This Row],[FMS ID]],FMS_Input[FMS_ID],FMS_Input[FARMACRE100])</f>
        <v>725.7496337890625</v>
      </c>
      <c r="AH441" s="255">
        <f>(ASINH(FMS_Ranking4[[#This Row],[Ag Land Raw]]))*(10)/(ASINH(AG$4))</f>
        <v>4.7291822387596962</v>
      </c>
      <c r="AI441" s="260">
        <f>FMS_Ranking4[[#This Row],[Farm &amp; ranch land, ArcSinh (0-10)]]*AG$5*10</f>
        <v>2.3645911193798481</v>
      </c>
      <c r="AJ441" s="258">
        <f>_xlfn.XLOOKUP(FMS_Ranking4[[#This Row],[FMS ID]],FMS_Input[FMS_ID],FMS_Input[REDSTRUCT100])</f>
        <v>0</v>
      </c>
      <c r="AK441" s="253">
        <f>_xlfn.XLOOKUP(FMS_Ranking4[[#This Row],[FMS ID]],FMS_Input[FMS_ID],FMS_Input[REMSTRC100])</f>
        <v>0</v>
      </c>
      <c r="AL441" s="259">
        <f>(ASINH(FMS_Ranking4[[#This Row],[Structures Removed Raw]]))*(10)/(ASINH(AK$4))</f>
        <v>0</v>
      </c>
      <c r="AM441" s="262">
        <f>FMS_Ranking4[[#This Row],[Structures removed, ArcSinh (0-10)]]*AK$5*10</f>
        <v>0</v>
      </c>
      <c r="AN441" s="253">
        <f>_xlfn.XLOOKUP(FMS_Ranking4[[#This Row],[FMS ID]],FMS_Input[FMS_ID],FMS_Input[REMRESSTRC100])</f>
        <v>0</v>
      </c>
      <c r="AO441" s="261">
        <f>FMS_Ranking4[[#This Row],[ArcSinh Res struct removed 0-10]]*AN$5*10</f>
        <v>0</v>
      </c>
      <c r="AP441" s="260">
        <f>ASINH(FMS_Ranking4[[#This Row],[Residential Structures Removed Raw]])/AP$4*AN$5*100</f>
        <v>0</v>
      </c>
      <c r="AQ441" s="254">
        <f>(ASINH(FMS_Ranking4[[#This Row],[Residential Structures Removed Raw]]))*(10)/(ASINH(AN$4))</f>
        <v>0</v>
      </c>
      <c r="AR441" s="253">
        <f>_xlfn.XLOOKUP(FMS_Ranking4[[#This Row],[FMS ID]],FMS_Input[FMS_ID],FMS_Input[REMPOP100])</f>
        <v>0</v>
      </c>
      <c r="AS441" s="259">
        <f>(ASINH(FMS_Ranking4[[#This Row],[Removed Pop Raw]]))*(10)/(ASINH(AR$4))</f>
        <v>0</v>
      </c>
      <c r="AT441" s="262">
        <f>FMS_Ranking4[[#This Row],[Removed population, ArcSinh (0-10)]]*AR$5*10</f>
        <v>0</v>
      </c>
      <c r="AU441" s="264">
        <f>_xlfn.XLOOKUP(FMS_Ranking4[[#This Row],[FMS ID]],FMS_Input[FMS_ID],FMS_Input[REMCRITFAC100])</f>
        <v>0</v>
      </c>
      <c r="AV441" s="264">
        <f>_xlfn.XLOOKUP(FMS_Ranking4[[#This Row],[FMS ID]],FMS_Input[FMS_ID],FMS_Input[REMLWC100])</f>
        <v>0</v>
      </c>
      <c r="AW441" s="264">
        <f>_xlfn.XLOOKUP(FMS_Ranking4[[#This Row],[FMS ID]],FMS_Input[FMS_ID],FMS_Input[REMROADCLS])</f>
        <v>0</v>
      </c>
      <c r="AX441" s="264">
        <f>_xlfn.XLOOKUP(FMS_Ranking4[[#This Row],[FMS ID]],FMS_Input[FMS_ID],FMS_Input[REMFRMACRE100])</f>
        <v>0</v>
      </c>
      <c r="AY441" s="258">
        <f>_xlfn.XLOOKUP(FMS_Ranking4[[#This Row],[FMS ID]],FMS_Input[FMS_ID],FMS_Input[COSTSTRUCT])</f>
        <v>0</v>
      </c>
      <c r="AZ441" s="253">
        <f>_xlfn.XLOOKUP(FMS_Ranking4[[#This Row],[FMS ID]],FMS_Input[FMS_ID],FMS_Input[NATURE])</f>
        <v>0</v>
      </c>
      <c r="BA441" s="262">
        <f>(((FMS_Ranking4[[#This Row],[% NBS Raw]]/AZ$4)*100)*AZ$5)</f>
        <v>0</v>
      </c>
      <c r="BB441" s="251" t="str">
        <f>_xlfn.XLOOKUP(FMS_Ranking4[[#This Row],[FMS ID]],FMS_Input[FMS_ID],FMS_Input[WATER_SUP])</f>
        <v>No</v>
      </c>
      <c r="BC441" s="265">
        <f>IF(FMS_Ranking4[[#This Row],[Water Supply Raw]]="Yes",10,0)</f>
        <v>0</v>
      </c>
      <c r="BD441" s="266">
        <f>_xlfn.XLOOKUP(FMS_Ranking4[[#This Row],[FMS Type]],FMS_TYPE[FMS_Type],FMS_TYPE[Score])</f>
        <v>6</v>
      </c>
      <c r="BE441" s="267">
        <f>FMS_Ranking4[[#This Row],[FMS_Type Score]]*$BD$5*10</f>
        <v>1.5000000000000002</v>
      </c>
      <c r="BF44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0.16619254610731224</v>
      </c>
      <c r="BG441" s="271">
        <f>_xlfn.RANK.EQ(BF441,$BF$8:$BF$870,0)+COUNTIF($BF$8:BF441,BF441)-1</f>
        <v>387</v>
      </c>
      <c r="BH441" s="268">
        <f>(((FMS_Ranking4[[#This Row],[Structures Removed Raw]]/AK$4)*100)*AK$5)+(((FMS_Ranking4[[#This Row],[Removed Pop Raw]]/AR$4)*100)*AR$5)</f>
        <v>0</v>
      </c>
      <c r="BI44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1.6661925461073124</v>
      </c>
      <c r="BJ441" s="205">
        <f>_xlfn.RANK.EQ(FMS_Ranking4[[#This Row],[Total Score 
(with linear
normalization)]],FMS_Ranking4[Total Score 
(with linear
normalization)],0)</f>
        <v>555</v>
      </c>
      <c r="BK441" s="205" t="e">
        <f>_xlfn.XLOOKUP(FMS_Ranking4[[#This Row],[FMS ID]],#REF!,#REF!)</f>
        <v>#REF!</v>
      </c>
      <c r="BL44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20.645535660294161</v>
      </c>
      <c r="BM441" s="272">
        <f>FMS_Ranking4[[#This Row],[ArcSinh Score Based on Normalized Reported Factors]]+FMS_Ranking4[[#This Row],[% NBS Score (Normalized)]]+(FMS_Ranking4[[#This Row],[Water Supply Score (Normalized)]]*10*$BB$5)+FMS_Ranking4[[#This Row],[FMS_Type Score Weighted]]</f>
        <v>22.145535660294161</v>
      </c>
      <c r="BN441" s="205">
        <f>_xlfn.RANK.EQ(FMS_Ranking4[[#This Row],[Total Score (with ArcSinh normalization of select criteria)]],FMS_Ranking4[Total Score (with ArcSinh normalization of select criteria)],0)</f>
        <v>434</v>
      </c>
      <c r="BO441" s="270" t="str">
        <f>_xlfn.XLOOKUP(FMS_Ranking4[[#This Row],[FMS ID]],FMS_Input[FMS_ID],FMS_Input[FMS_RANK_YEAR])</f>
        <v>2023 Amended Plan</v>
      </c>
      <c r="BP441" s="204">
        <f>_xlfn.XLOOKUP(FMS_Ranking4[[#This Row],[FMS ID]],Prev_Rank[FMS ID],Prev_Rank[Prev Rank])</f>
        <v>387</v>
      </c>
      <c r="BQ441" s="205" t="e">
        <f>_xlfn.XLOOKUP(FMS_Ranking4[[#This Row],[FMS ID]],#REF!,#REF!)</f>
        <v>#REF!</v>
      </c>
      <c r="BR441" s="199" t="e">
        <f>SUM(#REF!,#REF!,#REF!,#REF!,#REF!,#REF!,#REF!,#REF!,#REF!,FMS_Ranking4[[#This Row],[ArcSinh Res struct removed 0-10]],#REF!)</f>
        <v>#REF!</v>
      </c>
      <c r="BS441" s="199" t="e">
        <f>FMS_Ranking4[[#This Row],[Log Score Based on Normalized Reported Factors]]+FMS_Ranking4[[#This Row],[% NBS Score (Normalized)]]+(FMS_Ranking4[[#This Row],[Water Supply Score (Normalized)]]*10*$BB$5)+(FMS_Ranking4[[#This Row],[FMS_Type Score Weighted]])</f>
        <v>#REF!</v>
      </c>
      <c r="BT441" s="200" t="e">
        <f>_xlfn.RANK.EQ(FMS_Ranking4[[#This Row],[Log Total Score]],FMS_Ranking4[Log Total Score],0)</f>
        <v>#REF!</v>
      </c>
      <c r="BU441" s="200" t="e">
        <f>_xlfn.XLOOKUP(FMS_Ranking4[[#This Row],[FMS ID]],#REF!,#REF!)</f>
        <v>#REF!</v>
      </c>
      <c r="BV441" s="200">
        <f>FMS_Ranking4[[#This Row],[Region Number]]</f>
        <v>7</v>
      </c>
      <c r="BW441" s="200">
        <f>FMS_Ranking4[[#This Row],[Rank (with ArcSinh normalization of select criteria)]]-FMS_Ranking4[[#This Row],[Rank
(with linear
normalization)]]</f>
        <v>-121</v>
      </c>
      <c r="BX441" s="200" t="e">
        <f>FMS_Ranking4[[#This Row],[Log Rank]]-FMS_Ranking4[[#This Row],[Rank
(with linear
normalization)]]</f>
        <v>#REF!</v>
      </c>
      <c r="BY441" s="200" t="str">
        <f>IF(FMS_Ranking4[[#This Row],[FMS Type]]="Flood Measurement and Warning",FMS_Ranking4[[#This Row],[Rank (with ArcSinh normalization of select criteria)]],"")</f>
        <v/>
      </c>
      <c r="BZ441" s="200" t="str">
        <f>IF(FMS_Ranking4[[#This Row],[FMS Type]]="Regulatory and Guidance",FMS_Ranking4[[#This Row],[Rank (with ArcSinh normalization of select criteria)]],"")</f>
        <v/>
      </c>
      <c r="CA441" s="200">
        <f>IF(FMS_Ranking4[[#This Row],[FMS Type]]="Education and Outreach",FMS_Ranking4[[#This Row],[Rank (with ArcSinh normalization of select criteria)]],"")</f>
        <v>434</v>
      </c>
      <c r="CB441" s="200" t="str">
        <f>IF(FMS_Ranking4[[#This Row],[FMS Type]]="Property Acquisition and Structural Elevation",FMS_Ranking4[[#This Row],[Rank (with ArcSinh normalization of select criteria)]],"")</f>
        <v/>
      </c>
      <c r="CC441" s="200" t="str">
        <f>IF(FMS_Ranking4[[#This Row],[FMS Type]]="Infrastructure Projects",FMS_Ranking4[[#This Row],[Rank (with ArcSinh normalization of select criteria)]],"")</f>
        <v/>
      </c>
      <c r="CD441" s="200" t="str">
        <f>IF(FMS_Ranking4[[#This Row],[FMS Type]]="Other",FMS_Ranking4[[#This Row],[Rank (with ArcSinh normalization of select criteria)]],"")</f>
        <v/>
      </c>
      <c r="CE441" s="201"/>
      <c r="CF441" s="206"/>
      <c r="CG441" s="206"/>
      <c r="CH441" s="206"/>
      <c r="CI441" s="206"/>
      <c r="CJ441" s="206"/>
      <c r="CK441" s="206"/>
      <c r="CL441" s="206"/>
      <c r="CM441" s="206"/>
      <c r="CN441" s="206"/>
      <c r="CO441" s="206"/>
      <c r="CP441" s="206"/>
      <c r="CQ441" s="206"/>
      <c r="CR441" s="206"/>
    </row>
    <row r="442" spans="2:96" ht="45" x14ac:dyDescent="0.25">
      <c r="B442" s="341" t="s">
        <v>1645</v>
      </c>
      <c r="C442" s="246">
        <f>_xlfn.XLOOKUP(FMS_Ranking4[[#This Row],[FMS ID]],FMS_Input[FMS_ID],FMS_Input[RFPG_NUM])</f>
        <v>2</v>
      </c>
      <c r="D442" s="309" t="str">
        <f>_xlfn.XLOOKUP(FMS_Ranking4[[#This Row],[FMS ID]],FMS_Input[FMS_ID],FMS_Input[FMS_NAME])</f>
        <v>Marion County NFIP Involvement</v>
      </c>
      <c r="E442" s="308" t="str">
        <f>_xlfn.XLOOKUP(FMS_Ranking4[[#This Row],[FMS ID]],FMS_Input[FMS_ID],FMS_Input[SPONSOR])</f>
        <v>Marion County</v>
      </c>
      <c r="F442" s="309" t="str">
        <f>_xlfn.XLOOKUP(FMS_Ranking4[[#This Row],[FMS ID]],Sponsor[FMS_ID],Sponsor[SPONSOR NAME])</f>
        <v>Marion County</v>
      </c>
      <c r="G442" s="309" t="str">
        <f>_xlfn.XLOOKUP(FMS_Ranking4[[#This Row],[FMS ID]],FMS_Input[FMS_ID],FMS_Input[FMS_DESCR])</f>
        <v xml:space="preserve">Application to join NFIP or adoption of equivalent standards </v>
      </c>
      <c r="H442" s="248" t="str">
        <f>_xlfn.XLOOKUP(FMS_Ranking4[[#This Row],[FMS ID]],FMS_Input[FMS_ID],FMS_Input[FMS_TYPE])</f>
        <v>Regulatory and Guidance</v>
      </c>
      <c r="I442" s="249">
        <f>_xlfn.XLOOKUP(FMS_Ranking4[[#This Row],[FMS ID]],FMS_Input[FMS_ID],FMS_Input[NRNC_COST])</f>
        <v>100000</v>
      </c>
      <c r="J442" s="250">
        <f>_xlfn.XLOOKUP(FMS_Ranking4[[#This Row],[FMS ID]],FMS_Input[FMS_ID],FMS_Input[FMS_COST])</f>
        <v>100000</v>
      </c>
      <c r="K442" s="251" t="str">
        <f>_xlfn.XLOOKUP(FMS_Ranking4[[#This Row],[FMS ID]],FMS_Input[FMS_ID],FMS_Input[EMER_NEED])</f>
        <v>No</v>
      </c>
      <c r="L442" s="252">
        <f t="shared" si="6"/>
        <v>0</v>
      </c>
      <c r="M442" s="253">
        <f>_xlfn.XLOOKUP(FMS_Ranking4[[#This Row],[FMS ID]],FMS_Input[FMS_ID],FMS_Input[STRUCT_100])</f>
        <v>313</v>
      </c>
      <c r="N442" s="255">
        <f>(ASINH(FMS_Ranking4[[#This Row],[Structure at Risk Raw]]))*(10)/(ASINH(M$4))</f>
        <v>5.0622901755369334</v>
      </c>
      <c r="O442" s="256">
        <f>FMS_Ranking4[[#This Row],[Structures at risk, ArcSinh (0-10)]]*M$5*10</f>
        <v>5.0622901755369334</v>
      </c>
      <c r="P442" s="253">
        <f>_xlfn.XLOOKUP(FMS_Ranking4[[#This Row],[FMS ID]],FMS_Input[FMS_ID],FMS_Input[RES_STRUCT100])</f>
        <v>163</v>
      </c>
      <c r="Q442" s="257">
        <f>ASINH(FMS_Ranking4[[#This Row],[Res Structure Raw]])/Q$4*P$5*100</f>
        <v>0</v>
      </c>
      <c r="R442" s="253">
        <f>_xlfn.XLOOKUP(FMS_Ranking4[[#This Row],[FMS ID]],FMS_Input[FMS_ID],FMS_Input[POP100])</f>
        <v>452</v>
      </c>
      <c r="S442" s="259">
        <f>(ASINH(FMS_Ranking4[[#This Row],[Pop at Risk Raw]]))*(10)/(ASINH(R$4))</f>
        <v>4.6991514317691303</v>
      </c>
      <c r="T442" s="256">
        <f>FMS_Ranking4[[#This Row],[Population at risk, ArcSinh (0-10)]]*R$5*10</f>
        <v>4.6991514317691312</v>
      </c>
      <c r="U442" s="253">
        <f>_xlfn.XLOOKUP(FMS_Ranking4[[#This Row],[FMS ID]],FMS_Input[FMS_ID],FMS_Input[CRITFAC100])</f>
        <v>4</v>
      </c>
      <c r="V442" s="259">
        <f>(ASINH(FMS_Ranking4[[#This Row],[Critical Facilities Raw]]))*(10)/(ASINH(U$4))</f>
        <v>2.4796455944038147</v>
      </c>
      <c r="W442" s="256">
        <f>FMS_Ranking4[[#This Row],[Critical facilities at risk, ArcSinh (0-10)]]*U$5*10</f>
        <v>2.4796455944038147</v>
      </c>
      <c r="X442" s="253">
        <f>_xlfn.XLOOKUP(FMS_Ranking4[[#This Row],[FMS ID]],FMS_Input[FMS_ID],FMS_Input[LWC])</f>
        <v>1</v>
      </c>
      <c r="Y442" s="259">
        <f>(ASINH(FMS_Ranking4[[#This Row],[LWC Raw]]))*(10)/(ASINH(X$4))</f>
        <v>1.1940300948531093</v>
      </c>
      <c r="Z442" s="256">
        <f>FMS_Ranking4[[#This Row],[LWC, ArcSInh (0-10)]]*X$5*10</f>
        <v>1.1940300948531093</v>
      </c>
      <c r="AA442" s="253">
        <f>_xlfn.XLOOKUP(FMS_Ranking4[[#This Row],[FMS ID]],FMS_Input[FMS_ID],FMS_Input[ROADCLS])</f>
        <v>0</v>
      </c>
      <c r="AB442" s="255">
        <f>(ASINH(FMS_Ranking4[[#This Row],[Road Closures Raw]]))*(10)/(ASINH(AA$4))</f>
        <v>0</v>
      </c>
      <c r="AC442" s="256">
        <f>FMS_Ranking4[[#This Row],[Road closures, ArcSinh (0-10)]]*AA$5*10</f>
        <v>0</v>
      </c>
      <c r="AD442" s="253">
        <f>_xlfn.XLOOKUP(FMS_Ranking4[[#This Row],[FMS ID]],FMS_Input[FMS_ID],FMS_Input[ROAD_MILES100])</f>
        <v>48</v>
      </c>
      <c r="AE442" s="259">
        <f>(ASINH(FMS_Ranking4[[#This Row],[Road Miles Raw]]))*(10)/(ASINH(AD$4))</f>
        <v>4.8644550289971082</v>
      </c>
      <c r="AF442" s="256">
        <f>FMS_Ranking4[[#This Row],[Length of roads at risk, ArcSinh (0-10)]]*AD$5*10</f>
        <v>4.8644550289971082</v>
      </c>
      <c r="AG442" s="253">
        <f>_xlfn.XLOOKUP(FMS_Ranking4[[#This Row],[FMS ID]],FMS_Input[FMS_ID],FMS_Input[FARMACRE100])</f>
        <v>137.31132507324219</v>
      </c>
      <c r="AH442" s="255">
        <f>(ASINH(FMS_Ranking4[[#This Row],[Ag Land Raw]]))*(10)/(ASINH(AG$4))</f>
        <v>3.6476670797497546</v>
      </c>
      <c r="AI442" s="260">
        <f>FMS_Ranking4[[#This Row],[Farm &amp; ranch land, ArcSinh (0-10)]]*AG$5*10</f>
        <v>1.8238335398748773</v>
      </c>
      <c r="AJ442" s="258">
        <f>_xlfn.XLOOKUP(FMS_Ranking4[[#This Row],[FMS ID]],FMS_Input[FMS_ID],FMS_Input[REDSTRUCT100])</f>
        <v>0</v>
      </c>
      <c r="AK442" s="253">
        <f>_xlfn.XLOOKUP(FMS_Ranking4[[#This Row],[FMS ID]],FMS_Input[FMS_ID],FMS_Input[REMSTRC100])</f>
        <v>0</v>
      </c>
      <c r="AL442" s="259">
        <f>(ASINH(FMS_Ranking4[[#This Row],[Structures Removed Raw]]))*(10)/(ASINH(AK$4))</f>
        <v>0</v>
      </c>
      <c r="AM442" s="262">
        <f>FMS_Ranking4[[#This Row],[Structures removed, ArcSinh (0-10)]]*AK$5*10</f>
        <v>0</v>
      </c>
      <c r="AN442" s="253">
        <f>_xlfn.XLOOKUP(FMS_Ranking4[[#This Row],[FMS ID]],FMS_Input[FMS_ID],FMS_Input[REMRESSTRC100])</f>
        <v>0</v>
      </c>
      <c r="AO442" s="261">
        <f>FMS_Ranking4[[#This Row],[ArcSinh Res struct removed 0-10]]*AN$5*10</f>
        <v>0</v>
      </c>
      <c r="AP442" s="260">
        <f>ASINH(FMS_Ranking4[[#This Row],[Residential Structures Removed Raw]])/AP$4*AN$5*100</f>
        <v>0</v>
      </c>
      <c r="AQ442" s="254">
        <f>(ASINH(FMS_Ranking4[[#This Row],[Residential Structures Removed Raw]]))*(10)/(ASINH(AN$4))</f>
        <v>0</v>
      </c>
      <c r="AR442" s="253">
        <f>_xlfn.XLOOKUP(FMS_Ranking4[[#This Row],[FMS ID]],FMS_Input[FMS_ID],FMS_Input[REMPOP100])</f>
        <v>0</v>
      </c>
      <c r="AS442" s="259">
        <f>(ASINH(FMS_Ranking4[[#This Row],[Removed Pop Raw]]))*(10)/(ASINH(AR$4))</f>
        <v>0</v>
      </c>
      <c r="AT442" s="262">
        <f>FMS_Ranking4[[#This Row],[Removed population, ArcSinh (0-10)]]*AR$5*10</f>
        <v>0</v>
      </c>
      <c r="AU442" s="264">
        <f>_xlfn.XLOOKUP(FMS_Ranking4[[#This Row],[FMS ID]],FMS_Input[FMS_ID],FMS_Input[REMCRITFAC100])</f>
        <v>0</v>
      </c>
      <c r="AV442" s="264">
        <f>_xlfn.XLOOKUP(FMS_Ranking4[[#This Row],[FMS ID]],FMS_Input[FMS_ID],FMS_Input[REMLWC100])</f>
        <v>0</v>
      </c>
      <c r="AW442" s="264">
        <f>_xlfn.XLOOKUP(FMS_Ranking4[[#This Row],[FMS ID]],FMS_Input[FMS_ID],FMS_Input[REMROADCLS])</f>
        <v>0</v>
      </c>
      <c r="AX442" s="264">
        <f>_xlfn.XLOOKUP(FMS_Ranking4[[#This Row],[FMS ID]],FMS_Input[FMS_ID],FMS_Input[REMFRMACRE100])</f>
        <v>0</v>
      </c>
      <c r="AY442" s="258">
        <f>_xlfn.XLOOKUP(FMS_Ranking4[[#This Row],[FMS ID]],FMS_Input[FMS_ID],FMS_Input[COSTSTRUCT])</f>
        <v>0</v>
      </c>
      <c r="AZ442" s="253">
        <f>_xlfn.XLOOKUP(FMS_Ranking4[[#This Row],[FMS ID]],FMS_Input[FMS_ID],FMS_Input[NATURE])</f>
        <v>0</v>
      </c>
      <c r="BA442" s="262">
        <f>(((FMS_Ranking4[[#This Row],[% NBS Raw]]/AZ$4)*100)*AZ$5)</f>
        <v>0</v>
      </c>
      <c r="BB442" s="251" t="str">
        <f>_xlfn.XLOOKUP(FMS_Ranking4[[#This Row],[FMS ID]],FMS_Input[FMS_ID],FMS_Input[WATER_SUP])</f>
        <v>No</v>
      </c>
      <c r="BC442" s="265">
        <f>IF(FMS_Ranking4[[#This Row],[Water Supply Raw]]="Yes",10,0)</f>
        <v>0</v>
      </c>
      <c r="BD442" s="266">
        <f>_xlfn.XLOOKUP(FMS_Ranking4[[#This Row],[FMS Type]],FMS_TYPE[FMS_Type],FMS_TYPE[Score])</f>
        <v>8</v>
      </c>
      <c r="BE442" s="267">
        <f>FMS_Ranking4[[#This Row],[FMS_Type Score]]*$BD$5*10</f>
        <v>2</v>
      </c>
      <c r="BF44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0.13398730145095</v>
      </c>
      <c r="BG442" s="271">
        <f>_xlfn.RANK.EQ(BF442,$BF$8:$BF$870,0)+COUNTIF($BF$8:BF442,BF442)-1</f>
        <v>429</v>
      </c>
      <c r="BH442" s="268">
        <f>(((FMS_Ranking4[[#This Row],[Structures Removed Raw]]/AK$4)*100)*AK$5)+(((FMS_Ranking4[[#This Row],[Removed Pop Raw]]/AR$4)*100)*AR$5)</f>
        <v>0</v>
      </c>
      <c r="BI44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2.1339873014509498</v>
      </c>
      <c r="BJ442" s="205">
        <f>_xlfn.RANK.EQ(FMS_Ranking4[[#This Row],[Total Score 
(with linear
normalization)]],FMS_Ranking4[Total Score 
(with linear
normalization)],0)</f>
        <v>347</v>
      </c>
      <c r="BK442" s="205" t="e">
        <f>_xlfn.XLOOKUP(FMS_Ranking4[[#This Row],[FMS ID]],#REF!,#REF!)</f>
        <v>#REF!</v>
      </c>
      <c r="BL44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20.123405865434975</v>
      </c>
      <c r="BM442" s="272">
        <f>FMS_Ranking4[[#This Row],[ArcSinh Score Based on Normalized Reported Factors]]+FMS_Ranking4[[#This Row],[% NBS Score (Normalized)]]+(FMS_Ranking4[[#This Row],[Water Supply Score (Normalized)]]*10*$BB$5)+FMS_Ranking4[[#This Row],[FMS_Type Score Weighted]]</f>
        <v>22.123405865434975</v>
      </c>
      <c r="BN442" s="205">
        <f>_xlfn.RANK.EQ(FMS_Ranking4[[#This Row],[Total Score (with ArcSinh normalization of select criteria)]],FMS_Ranking4[Total Score (with ArcSinh normalization of select criteria)],0)</f>
        <v>435</v>
      </c>
      <c r="BO442" s="270" t="str">
        <f>_xlfn.XLOOKUP(FMS_Ranking4[[#This Row],[FMS ID]],FMS_Input[FMS_ID],FMS_Input[FMS_RANK_YEAR])</f>
        <v>2023 Amended Plan</v>
      </c>
      <c r="BP442" s="204">
        <f>_xlfn.XLOOKUP(FMS_Ranking4[[#This Row],[FMS ID]],Prev_Rank[FMS ID],Prev_Rank[Prev Rank])</f>
        <v>390</v>
      </c>
      <c r="BQ442" s="205" t="e">
        <f>_xlfn.XLOOKUP(FMS_Ranking4[[#This Row],[FMS ID]],#REF!,#REF!)</f>
        <v>#REF!</v>
      </c>
      <c r="BR442" s="199" t="e">
        <f>SUM(#REF!,#REF!,#REF!,#REF!,#REF!,#REF!,#REF!,#REF!,#REF!,FMS_Ranking4[[#This Row],[ArcSinh Res struct removed 0-10]],#REF!)</f>
        <v>#REF!</v>
      </c>
      <c r="BS442" s="199" t="e">
        <f>FMS_Ranking4[[#This Row],[Log Score Based on Normalized Reported Factors]]+FMS_Ranking4[[#This Row],[% NBS Score (Normalized)]]+(FMS_Ranking4[[#This Row],[Water Supply Score (Normalized)]]*10*$BB$5)+(FMS_Ranking4[[#This Row],[FMS_Type Score Weighted]])</f>
        <v>#REF!</v>
      </c>
      <c r="BT442" s="200" t="e">
        <f>_xlfn.RANK.EQ(FMS_Ranking4[[#This Row],[Log Total Score]],FMS_Ranking4[Log Total Score],0)</f>
        <v>#REF!</v>
      </c>
      <c r="BU442" s="200" t="e">
        <f>_xlfn.XLOOKUP(FMS_Ranking4[[#This Row],[FMS ID]],#REF!,#REF!)</f>
        <v>#REF!</v>
      </c>
      <c r="BV442" s="200">
        <f>FMS_Ranking4[[#This Row],[Region Number]]</f>
        <v>2</v>
      </c>
      <c r="BW442" s="200">
        <f>FMS_Ranking4[[#This Row],[Rank (with ArcSinh normalization of select criteria)]]-FMS_Ranking4[[#This Row],[Rank
(with linear
normalization)]]</f>
        <v>88</v>
      </c>
      <c r="BX442" s="200" t="e">
        <f>FMS_Ranking4[[#This Row],[Log Rank]]-FMS_Ranking4[[#This Row],[Rank
(with linear
normalization)]]</f>
        <v>#REF!</v>
      </c>
      <c r="BY442" s="200" t="str">
        <f>IF(FMS_Ranking4[[#This Row],[FMS Type]]="Flood Measurement and Warning",FMS_Ranking4[[#This Row],[Rank (with ArcSinh normalization of select criteria)]],"")</f>
        <v/>
      </c>
      <c r="BZ442" s="200">
        <f>IF(FMS_Ranking4[[#This Row],[FMS Type]]="Regulatory and Guidance",FMS_Ranking4[[#This Row],[Rank (with ArcSinh normalization of select criteria)]],"")</f>
        <v>435</v>
      </c>
      <c r="CA442" s="200" t="str">
        <f>IF(FMS_Ranking4[[#This Row],[FMS Type]]="Education and Outreach",FMS_Ranking4[[#This Row],[Rank (with ArcSinh normalization of select criteria)]],"")</f>
        <v/>
      </c>
      <c r="CB442" s="200" t="str">
        <f>IF(FMS_Ranking4[[#This Row],[FMS Type]]="Property Acquisition and Structural Elevation",FMS_Ranking4[[#This Row],[Rank (with ArcSinh normalization of select criteria)]],"")</f>
        <v/>
      </c>
      <c r="CC442" s="200" t="str">
        <f>IF(FMS_Ranking4[[#This Row],[FMS Type]]="Infrastructure Projects",FMS_Ranking4[[#This Row],[Rank (with ArcSinh normalization of select criteria)]],"")</f>
        <v/>
      </c>
      <c r="CD442" s="200" t="str">
        <f>IF(FMS_Ranking4[[#This Row],[FMS Type]]="Other",FMS_Ranking4[[#This Row],[Rank (with ArcSinh normalization of select criteria)]],"")</f>
        <v/>
      </c>
      <c r="CE442" s="201"/>
      <c r="CF442" s="206"/>
      <c r="CG442" s="206"/>
      <c r="CH442" s="206"/>
      <c r="CI442" s="206"/>
      <c r="CJ442" s="206"/>
      <c r="CK442" s="206"/>
      <c r="CL442" s="206"/>
      <c r="CM442" s="206"/>
      <c r="CN442" s="206"/>
      <c r="CO442" s="206"/>
      <c r="CP442" s="206"/>
      <c r="CQ442" s="206"/>
      <c r="CR442" s="206"/>
    </row>
    <row r="443" spans="2:96" ht="60" x14ac:dyDescent="0.25">
      <c r="B443" s="341" t="s">
        <v>1943</v>
      </c>
      <c r="C443" s="246">
        <f>_xlfn.XLOOKUP(FMS_Ranking4[[#This Row],[FMS ID]],FMS_Input[FMS_ID],FMS_Input[RFPG_NUM])</f>
        <v>3</v>
      </c>
      <c r="D443" s="309" t="str">
        <f>_xlfn.XLOOKUP(FMS_Ranking4[[#This Row],[FMS ID]],FMS_Input[FMS_ID],FMS_Input[FMS_NAME])</f>
        <v>Tarrant County Flood Education</v>
      </c>
      <c r="E443" s="308" t="str">
        <f>_xlfn.XLOOKUP(FMS_Ranking4[[#This Row],[FMS ID]],FMS_Input[FMS_ID],FMS_Input[SPONSOR])</f>
        <v>River Oaks</v>
      </c>
      <c r="F443" s="309" t="str">
        <f>_xlfn.XLOOKUP(FMS_Ranking4[[#This Row],[FMS ID]],Sponsor[FMS_ID],Sponsor[SPONSOR NAME])</f>
        <v>River Oaks</v>
      </c>
      <c r="G443" s="309" t="str">
        <f>_xlfn.XLOOKUP(FMS_Ranking4[[#This Row],[FMS ID]],FMS_Input[FMS_ID],FMS_Input[FMS_DESCR])</f>
        <v>Provide flood risk and mitigation risk mapping materials for property owners in floodplains. Include mitigation techniques</v>
      </c>
      <c r="H443" s="248" t="str">
        <f>_xlfn.XLOOKUP(FMS_Ranking4[[#This Row],[FMS ID]],FMS_Input[FMS_ID],FMS_Input[FMS_TYPE])</f>
        <v>Education and Outreach</v>
      </c>
      <c r="I443" s="249">
        <f>_xlfn.XLOOKUP(FMS_Ranking4[[#This Row],[FMS ID]],FMS_Input[FMS_ID],FMS_Input[NRNC_COST])</f>
        <v>65000</v>
      </c>
      <c r="J443" s="250">
        <f>_xlfn.XLOOKUP(FMS_Ranking4[[#This Row],[FMS ID]],FMS_Input[FMS_ID],FMS_Input[FMS_COST])</f>
        <v>65000</v>
      </c>
      <c r="K443" s="251" t="str">
        <f>_xlfn.XLOOKUP(FMS_Ranking4[[#This Row],[FMS ID]],FMS_Input[FMS_ID],FMS_Input[EMER_NEED])</f>
        <v>No</v>
      </c>
      <c r="L443" s="252">
        <f t="shared" si="6"/>
        <v>0</v>
      </c>
      <c r="M443" s="253">
        <f>_xlfn.XLOOKUP(FMS_Ranking4[[#This Row],[FMS ID]],FMS_Input[FMS_ID],FMS_Input[STRUCT_100])</f>
        <v>8</v>
      </c>
      <c r="N443" s="255">
        <f>(ASINH(FMS_Ranking4[[#This Row],[Structure at Risk Raw]]))*(10)/(ASINH(M$4))</f>
        <v>2.1827206114662263</v>
      </c>
      <c r="O443" s="256">
        <f>FMS_Ranking4[[#This Row],[Structures at risk, ArcSinh (0-10)]]*M$5*10</f>
        <v>2.1827206114662263</v>
      </c>
      <c r="P443" s="253">
        <f>_xlfn.XLOOKUP(FMS_Ranking4[[#This Row],[FMS ID]],FMS_Input[FMS_ID],FMS_Input[RES_STRUCT100])</f>
        <v>4</v>
      </c>
      <c r="Q443" s="257">
        <f>ASINH(FMS_Ranking4[[#This Row],[Res Structure Raw]])/Q$4*P$5*100</f>
        <v>0</v>
      </c>
      <c r="R443" s="253">
        <f>_xlfn.XLOOKUP(FMS_Ranking4[[#This Row],[FMS ID]],FMS_Input[FMS_ID],FMS_Input[POP100])</f>
        <v>9</v>
      </c>
      <c r="S443" s="259">
        <f>(ASINH(FMS_Ranking4[[#This Row],[Pop at Risk Raw]]))*(10)/(ASINH(R$4))</f>
        <v>1.9975128337800081</v>
      </c>
      <c r="T443" s="256">
        <f>FMS_Ranking4[[#This Row],[Population at risk, ArcSinh (0-10)]]*R$5*10</f>
        <v>1.9975128337800083</v>
      </c>
      <c r="U443" s="253">
        <f>_xlfn.XLOOKUP(FMS_Ranking4[[#This Row],[FMS ID]],FMS_Input[FMS_ID],FMS_Input[CRITFAC100])</f>
        <v>163</v>
      </c>
      <c r="V443" s="259">
        <f>(ASINH(FMS_Ranking4[[#This Row],[Critical Facilities Raw]]))*(10)/(ASINH(U$4))</f>
        <v>6.8503327330221842</v>
      </c>
      <c r="W443" s="256">
        <f>FMS_Ranking4[[#This Row],[Critical facilities at risk, ArcSinh (0-10)]]*U$5*10</f>
        <v>6.8503327330221842</v>
      </c>
      <c r="X443" s="253">
        <f>_xlfn.XLOOKUP(FMS_Ranking4[[#This Row],[FMS ID]],FMS_Input[FMS_ID],FMS_Input[LWC])</f>
        <v>530</v>
      </c>
      <c r="Y443" s="259">
        <f>(ASINH(FMS_Ranking4[[#This Row],[LWC Raw]]))*(10)/(ASINH(X$4))</f>
        <v>9.4371373343368088</v>
      </c>
      <c r="Z443" s="256">
        <f>FMS_Ranking4[[#This Row],[LWC, ArcSInh (0-10)]]*X$5*10</f>
        <v>9.4371373343368088</v>
      </c>
      <c r="AA443" s="253">
        <f>_xlfn.XLOOKUP(FMS_Ranking4[[#This Row],[FMS ID]],FMS_Input[FMS_ID],FMS_Input[ROADCLS])</f>
        <v>0</v>
      </c>
      <c r="AB443" s="255">
        <f>(ASINH(FMS_Ranking4[[#This Row],[Road Closures Raw]]))*(10)/(ASINH(AA$4))</f>
        <v>0</v>
      </c>
      <c r="AC443" s="256">
        <f>FMS_Ranking4[[#This Row],[Road closures, ArcSinh (0-10)]]*AA$5*10</f>
        <v>0</v>
      </c>
      <c r="AD443" s="253">
        <f>_xlfn.XLOOKUP(FMS_Ranking4[[#This Row],[FMS ID]],FMS_Input[FMS_ID],FMS_Input[ROAD_MILES100])</f>
        <v>0</v>
      </c>
      <c r="AE443" s="259">
        <f>(ASINH(FMS_Ranking4[[#This Row],[Road Miles Raw]]))*(10)/(ASINH(AD$4))</f>
        <v>0</v>
      </c>
      <c r="AF443" s="256">
        <f>FMS_Ranking4[[#This Row],[Length of roads at risk, ArcSinh (0-10)]]*AD$5*10</f>
        <v>0</v>
      </c>
      <c r="AG443" s="253">
        <f>_xlfn.XLOOKUP(FMS_Ranking4[[#This Row],[FMS ID]],FMS_Input[FMS_ID],FMS_Input[FARMACRE100])</f>
        <v>0.48076128959655762</v>
      </c>
      <c r="AH443" s="255">
        <f>(ASINH(FMS_Ranking4[[#This Row],[Ag Land Raw]]))*(10)/(ASINH(AG$4))</f>
        <v>0.30136574752492429</v>
      </c>
      <c r="AI443" s="260">
        <f>FMS_Ranking4[[#This Row],[Farm &amp; ranch land, ArcSinh (0-10)]]*AG$5*10</f>
        <v>0.15068287376246214</v>
      </c>
      <c r="AJ443" s="258">
        <f>_xlfn.XLOOKUP(FMS_Ranking4[[#This Row],[FMS ID]],FMS_Input[FMS_ID],FMS_Input[REDSTRUCT100])</f>
        <v>0</v>
      </c>
      <c r="AK443" s="253">
        <f>_xlfn.XLOOKUP(FMS_Ranking4[[#This Row],[FMS ID]],FMS_Input[FMS_ID],FMS_Input[REMSTRC100])</f>
        <v>0</v>
      </c>
      <c r="AL443" s="259">
        <f>(ASINH(FMS_Ranking4[[#This Row],[Structures Removed Raw]]))*(10)/(ASINH(AK$4))</f>
        <v>0</v>
      </c>
      <c r="AM443" s="262">
        <f>FMS_Ranking4[[#This Row],[Structures removed, ArcSinh (0-10)]]*AK$5*10</f>
        <v>0</v>
      </c>
      <c r="AN443" s="253">
        <f>_xlfn.XLOOKUP(FMS_Ranking4[[#This Row],[FMS ID]],FMS_Input[FMS_ID],FMS_Input[REMRESSTRC100])</f>
        <v>0</v>
      </c>
      <c r="AO443" s="261">
        <f>FMS_Ranking4[[#This Row],[ArcSinh Res struct removed 0-10]]*AN$5*10</f>
        <v>0</v>
      </c>
      <c r="AP443" s="260">
        <f>ASINH(FMS_Ranking4[[#This Row],[Residential Structures Removed Raw]])/AP$4*AN$5*100</f>
        <v>0</v>
      </c>
      <c r="AQ443" s="254">
        <f>(ASINH(FMS_Ranking4[[#This Row],[Residential Structures Removed Raw]]))*(10)/(ASINH(AN$4))</f>
        <v>0</v>
      </c>
      <c r="AR443" s="253">
        <f>_xlfn.XLOOKUP(FMS_Ranking4[[#This Row],[FMS ID]],FMS_Input[FMS_ID],FMS_Input[REMPOP100])</f>
        <v>0</v>
      </c>
      <c r="AS443" s="259">
        <f>(ASINH(FMS_Ranking4[[#This Row],[Removed Pop Raw]]))*(10)/(ASINH(AR$4))</f>
        <v>0</v>
      </c>
      <c r="AT443" s="262">
        <f>FMS_Ranking4[[#This Row],[Removed population, ArcSinh (0-10)]]*AR$5*10</f>
        <v>0</v>
      </c>
      <c r="AU443" s="264">
        <f>_xlfn.XLOOKUP(FMS_Ranking4[[#This Row],[FMS ID]],FMS_Input[FMS_ID],FMS_Input[REMCRITFAC100])</f>
        <v>0</v>
      </c>
      <c r="AV443" s="264">
        <f>_xlfn.XLOOKUP(FMS_Ranking4[[#This Row],[FMS ID]],FMS_Input[FMS_ID],FMS_Input[REMLWC100])</f>
        <v>0</v>
      </c>
      <c r="AW443" s="264">
        <f>_xlfn.XLOOKUP(FMS_Ranking4[[#This Row],[FMS ID]],FMS_Input[FMS_ID],FMS_Input[REMROADCLS])</f>
        <v>0</v>
      </c>
      <c r="AX443" s="264">
        <f>_xlfn.XLOOKUP(FMS_Ranking4[[#This Row],[FMS ID]],FMS_Input[FMS_ID],FMS_Input[REMFRMACRE100])</f>
        <v>0</v>
      </c>
      <c r="AY443" s="258">
        <f>_xlfn.XLOOKUP(FMS_Ranking4[[#This Row],[FMS ID]],FMS_Input[FMS_ID],FMS_Input[COSTSTRUCT])</f>
        <v>0</v>
      </c>
      <c r="AZ443" s="253">
        <f>_xlfn.XLOOKUP(FMS_Ranking4[[#This Row],[FMS ID]],FMS_Input[FMS_ID],FMS_Input[NATURE])</f>
        <v>0</v>
      </c>
      <c r="BA443" s="262">
        <f>(((FMS_Ranking4[[#This Row],[% NBS Raw]]/AZ$4)*100)*AZ$5)</f>
        <v>0</v>
      </c>
      <c r="BB443" s="251" t="str">
        <f>_xlfn.XLOOKUP(FMS_Ranking4[[#This Row],[FMS ID]],FMS_Input[FMS_ID],FMS_Input[WATER_SUP])</f>
        <v>No</v>
      </c>
      <c r="BC443" s="265">
        <f>IF(FMS_Ranking4[[#This Row],[Water Supply Raw]]="Yes",10,0)</f>
        <v>0</v>
      </c>
      <c r="BD443" s="266">
        <f>_xlfn.XLOOKUP(FMS_Ranking4[[#This Row],[FMS Type]],FMS_TYPE[FMS_Type],FMS_TYPE[Score])</f>
        <v>6</v>
      </c>
      <c r="BE443" s="267">
        <f>FMS_Ranking4[[#This Row],[FMS_Type Score]]*$BD$5*10</f>
        <v>1.5000000000000002</v>
      </c>
      <c r="BF44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7.2997914309992842</v>
      </c>
      <c r="BG443" s="271">
        <f>_xlfn.RANK.EQ(BF443,$BF$8:$BF$870,0)+COUNTIF($BF$8:BF443,BF443)-1</f>
        <v>50</v>
      </c>
      <c r="BH443" s="268">
        <f>(((FMS_Ranking4[[#This Row],[Structures Removed Raw]]/AK$4)*100)*AK$5)+(((FMS_Ranking4[[#This Row],[Removed Pop Raw]]/AR$4)*100)*AR$5)</f>
        <v>0</v>
      </c>
      <c r="BI44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8.7997914309992851</v>
      </c>
      <c r="BJ443" s="205">
        <f>_xlfn.RANK.EQ(FMS_Ranking4[[#This Row],[Total Score 
(with linear
normalization)]],FMS_Ranking4[Total Score 
(with linear
normalization)],0)</f>
        <v>65</v>
      </c>
      <c r="BK443" s="205" t="e">
        <f>_xlfn.XLOOKUP(FMS_Ranking4[[#This Row],[FMS ID]],#REF!,#REF!)</f>
        <v>#REF!</v>
      </c>
      <c r="BL44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20.618386386367689</v>
      </c>
      <c r="BM443" s="272">
        <f>FMS_Ranking4[[#This Row],[ArcSinh Score Based on Normalized Reported Factors]]+FMS_Ranking4[[#This Row],[% NBS Score (Normalized)]]+(FMS_Ranking4[[#This Row],[Water Supply Score (Normalized)]]*10*$BB$5)+FMS_Ranking4[[#This Row],[FMS_Type Score Weighted]]</f>
        <v>22.118386386367689</v>
      </c>
      <c r="BN443" s="205">
        <f>_xlfn.RANK.EQ(FMS_Ranking4[[#This Row],[Total Score (with ArcSinh normalization of select criteria)]],FMS_Ranking4[Total Score (with ArcSinh normalization of select criteria)],0)</f>
        <v>436</v>
      </c>
      <c r="BO443" s="270" t="str">
        <f>_xlfn.XLOOKUP(FMS_Ranking4[[#This Row],[FMS ID]],FMS_Input[FMS_ID],FMS_Input[FMS_RANK_YEAR])</f>
        <v>2023 Amended Plan</v>
      </c>
      <c r="BP443" s="204">
        <f>_xlfn.XLOOKUP(FMS_Ranking4[[#This Row],[FMS ID]],Prev_Rank[FMS ID],Prev_Rank[Prev Rank])</f>
        <v>399</v>
      </c>
      <c r="BQ443" s="205" t="e">
        <f>_xlfn.XLOOKUP(FMS_Ranking4[[#This Row],[FMS ID]],#REF!,#REF!)</f>
        <v>#REF!</v>
      </c>
      <c r="BR443" s="199" t="e">
        <f>SUM(#REF!,#REF!,#REF!,#REF!,#REF!,#REF!,#REF!,#REF!,#REF!,FMS_Ranking4[[#This Row],[ArcSinh Res struct removed 0-10]],#REF!)</f>
        <v>#REF!</v>
      </c>
      <c r="BS443" s="199" t="e">
        <f>FMS_Ranking4[[#This Row],[Log Score Based on Normalized Reported Factors]]+FMS_Ranking4[[#This Row],[% NBS Score (Normalized)]]+(FMS_Ranking4[[#This Row],[Water Supply Score (Normalized)]]*10*$BB$5)+(FMS_Ranking4[[#This Row],[FMS_Type Score Weighted]])</f>
        <v>#REF!</v>
      </c>
      <c r="BT443" s="200" t="e">
        <f>_xlfn.RANK.EQ(FMS_Ranking4[[#This Row],[Log Total Score]],FMS_Ranking4[Log Total Score],0)</f>
        <v>#REF!</v>
      </c>
      <c r="BU443" s="200" t="e">
        <f>_xlfn.XLOOKUP(FMS_Ranking4[[#This Row],[FMS ID]],#REF!,#REF!)</f>
        <v>#REF!</v>
      </c>
      <c r="BV443" s="200">
        <f>FMS_Ranking4[[#This Row],[Region Number]]</f>
        <v>3</v>
      </c>
      <c r="BW443" s="200">
        <f>FMS_Ranking4[[#This Row],[Rank (with ArcSinh normalization of select criteria)]]-FMS_Ranking4[[#This Row],[Rank
(with linear
normalization)]]</f>
        <v>371</v>
      </c>
      <c r="BX443" s="200" t="e">
        <f>FMS_Ranking4[[#This Row],[Log Rank]]-FMS_Ranking4[[#This Row],[Rank
(with linear
normalization)]]</f>
        <v>#REF!</v>
      </c>
      <c r="BY443" s="200" t="str">
        <f>IF(FMS_Ranking4[[#This Row],[FMS Type]]="Flood Measurement and Warning",FMS_Ranking4[[#This Row],[Rank (with ArcSinh normalization of select criteria)]],"")</f>
        <v/>
      </c>
      <c r="BZ443" s="200" t="str">
        <f>IF(FMS_Ranking4[[#This Row],[FMS Type]]="Regulatory and Guidance",FMS_Ranking4[[#This Row],[Rank (with ArcSinh normalization of select criteria)]],"")</f>
        <v/>
      </c>
      <c r="CA443" s="200">
        <f>IF(FMS_Ranking4[[#This Row],[FMS Type]]="Education and Outreach",FMS_Ranking4[[#This Row],[Rank (with ArcSinh normalization of select criteria)]],"")</f>
        <v>436</v>
      </c>
      <c r="CB443" s="200" t="str">
        <f>IF(FMS_Ranking4[[#This Row],[FMS Type]]="Property Acquisition and Structural Elevation",FMS_Ranking4[[#This Row],[Rank (with ArcSinh normalization of select criteria)]],"")</f>
        <v/>
      </c>
      <c r="CC443" s="200" t="str">
        <f>IF(FMS_Ranking4[[#This Row],[FMS Type]]="Infrastructure Projects",FMS_Ranking4[[#This Row],[Rank (with ArcSinh normalization of select criteria)]],"")</f>
        <v/>
      </c>
      <c r="CD443" s="200" t="str">
        <f>IF(FMS_Ranking4[[#This Row],[FMS Type]]="Other",FMS_Ranking4[[#This Row],[Rank (with ArcSinh normalization of select criteria)]],"")</f>
        <v/>
      </c>
      <c r="CE443" s="201"/>
      <c r="CF443" s="206"/>
      <c r="CG443" s="206"/>
      <c r="CH443" s="206"/>
      <c r="CI443" s="206"/>
      <c r="CJ443" s="206"/>
      <c r="CK443" s="206"/>
      <c r="CL443" s="206"/>
      <c r="CM443" s="206"/>
      <c r="CN443" s="206"/>
      <c r="CO443" s="206"/>
      <c r="CP443" s="206"/>
      <c r="CQ443" s="206"/>
      <c r="CR443" s="206"/>
    </row>
    <row r="444" spans="2:96" ht="60" x14ac:dyDescent="0.25">
      <c r="B444" s="341" t="s">
        <v>51</v>
      </c>
      <c r="C444" s="246">
        <f>_xlfn.XLOOKUP(FMS_Ranking4[[#This Row],[FMS ID]],FMS_Input[FMS_ID],FMS_Input[RFPG_NUM])</f>
        <v>6</v>
      </c>
      <c r="D444" s="309" t="str">
        <f>_xlfn.XLOOKUP(FMS_Ranking4[[#This Row],[FMS ID]],FMS_Input[FMS_ID],FMS_Input[FMS_NAME])</f>
        <v>Waller County Elevation Certificate Requirement</v>
      </c>
      <c r="E444" s="308" t="str">
        <f>_xlfn.XLOOKUP(FMS_Ranking4[[#This Row],[FMS ID]],FMS_Input[FMS_ID],FMS_Input[SPONSOR])</f>
        <v>00000024</v>
      </c>
      <c r="F444" s="309" t="str">
        <f>_xlfn.XLOOKUP(FMS_Ranking4[[#This Row],[FMS ID]],Sponsor[FMS_ID],Sponsor[SPONSOR NAME])</f>
        <v>Waller</v>
      </c>
      <c r="G444" s="309" t="str">
        <f>_xlfn.XLOOKUP(FMS_Ranking4[[#This Row],[FMS ID]],FMS_Input[FMS_ID],FMS_Input[FMS_DESCR])</f>
        <v>Require and maintain FEMA elevation certificates for all new/improved building in the special flood hazard area (SFHA).</v>
      </c>
      <c r="H444" s="248" t="str">
        <f>_xlfn.XLOOKUP(FMS_Ranking4[[#This Row],[FMS ID]],FMS_Input[FMS_ID],FMS_Input[FMS_TYPE])</f>
        <v>Regulatory and Guidance</v>
      </c>
      <c r="I444" s="249">
        <f>_xlfn.XLOOKUP(FMS_Ranking4[[#This Row],[FMS ID]],FMS_Input[FMS_ID],FMS_Input[NRNC_COST])</f>
        <v>2500</v>
      </c>
      <c r="J444" s="250">
        <f>_xlfn.XLOOKUP(FMS_Ranking4[[#This Row],[FMS ID]],FMS_Input[FMS_ID],FMS_Input[FMS_COST])</f>
        <v>50000</v>
      </c>
      <c r="K444" s="251" t="str">
        <f>_xlfn.XLOOKUP(FMS_Ranking4[[#This Row],[FMS ID]],FMS_Input[FMS_ID],FMS_Input[EMER_NEED])</f>
        <v>No</v>
      </c>
      <c r="L444" s="252">
        <f t="shared" si="6"/>
        <v>0</v>
      </c>
      <c r="M444" s="253">
        <f>_xlfn.XLOOKUP(FMS_Ranking4[[#This Row],[FMS ID]],FMS_Input[FMS_ID],FMS_Input[STRUCT_100])</f>
        <v>505</v>
      </c>
      <c r="N444" s="255">
        <f>(ASINH(FMS_Ranking4[[#This Row],[Structure at Risk Raw]]))*(10)/(ASINH(M$4))</f>
        <v>5.4383473817417256</v>
      </c>
      <c r="O444" s="256">
        <f>FMS_Ranking4[[#This Row],[Structures at risk, ArcSinh (0-10)]]*M$5*10</f>
        <v>5.4383473817417265</v>
      </c>
      <c r="P444" s="253">
        <f>_xlfn.XLOOKUP(FMS_Ranking4[[#This Row],[FMS ID]],FMS_Input[FMS_ID],FMS_Input[RES_STRUCT100])</f>
        <v>437</v>
      </c>
      <c r="Q444" s="257">
        <f>ASINH(FMS_Ranking4[[#This Row],[Res Structure Raw]])/Q$4*P$5*100</f>
        <v>0</v>
      </c>
      <c r="R444" s="253">
        <f>_xlfn.XLOOKUP(FMS_Ranking4[[#This Row],[FMS ID]],FMS_Input[FMS_ID],FMS_Input[POP100])</f>
        <v>545</v>
      </c>
      <c r="S444" s="259">
        <f>(ASINH(FMS_Ranking4[[#This Row],[Pop at Risk Raw]]))*(10)/(ASINH(R$4))</f>
        <v>4.8283196861655195</v>
      </c>
      <c r="T444" s="256">
        <f>FMS_Ranking4[[#This Row],[Population at risk, ArcSinh (0-10)]]*R$5*10</f>
        <v>4.8283196861655195</v>
      </c>
      <c r="U444" s="253">
        <f>_xlfn.XLOOKUP(FMS_Ranking4[[#This Row],[FMS ID]],FMS_Input[FMS_ID],FMS_Input[CRITFAC100])</f>
        <v>1</v>
      </c>
      <c r="V444" s="259">
        <f>(ASINH(FMS_Ranking4[[#This Row],[Critical Facilities Raw]]))*(10)/(ASINH(U$4))</f>
        <v>1.0433384451410745</v>
      </c>
      <c r="W444" s="256">
        <f>FMS_Ranking4[[#This Row],[Critical facilities at risk, ArcSinh (0-10)]]*U$5*10</f>
        <v>1.0433384451410745</v>
      </c>
      <c r="X444" s="253">
        <f>_xlfn.XLOOKUP(FMS_Ranking4[[#This Row],[FMS ID]],FMS_Input[FMS_ID],FMS_Input[LWC])</f>
        <v>2</v>
      </c>
      <c r="Y444" s="259">
        <f>(ASINH(FMS_Ranking4[[#This Row],[LWC Raw]]))*(10)/(ASINH(X$4))</f>
        <v>1.9557475158633808</v>
      </c>
      <c r="Z444" s="256">
        <f>FMS_Ranking4[[#This Row],[LWC, ArcSInh (0-10)]]*X$5*10</f>
        <v>1.9557475158633808</v>
      </c>
      <c r="AA444" s="253">
        <f>_xlfn.XLOOKUP(FMS_Ranking4[[#This Row],[FMS ID]],FMS_Input[FMS_ID],FMS_Input[ROADCLS])</f>
        <v>2</v>
      </c>
      <c r="AB444" s="255">
        <f>(ASINH(FMS_Ranking4[[#This Row],[Road Closures Raw]]))*(10)/(ASINH(AA$4))</f>
        <v>1.5034138460359754</v>
      </c>
      <c r="AC444" s="256">
        <f>FMS_Ranking4[[#This Row],[Road closures, ArcSinh (0-10)]]*AA$5*10</f>
        <v>0.7517069230179878</v>
      </c>
      <c r="AD444" s="253">
        <f>_xlfn.XLOOKUP(FMS_Ranking4[[#This Row],[FMS ID]],FMS_Input[FMS_ID],FMS_Input[ROAD_MILES100])</f>
        <v>25</v>
      </c>
      <c r="AE444" s="259">
        <f>(ASINH(FMS_Ranking4[[#This Row],[Road Miles Raw]]))*(10)/(ASINH(AD$4))</f>
        <v>4.1695662658221559</v>
      </c>
      <c r="AF444" s="256">
        <f>FMS_Ranking4[[#This Row],[Length of roads at risk, ArcSinh (0-10)]]*AD$5*10</f>
        <v>4.1695662658221559</v>
      </c>
      <c r="AG444" s="253">
        <f>_xlfn.XLOOKUP(FMS_Ranking4[[#This Row],[FMS ID]],FMS_Input[FMS_ID],FMS_Input[FARMACRE100])</f>
        <v>180.4662780761719</v>
      </c>
      <c r="AH444" s="255">
        <f>(ASINH(FMS_Ranking4[[#This Row],[Ag Land Raw]]))*(10)/(ASINH(AG$4))</f>
        <v>3.825189613634933</v>
      </c>
      <c r="AI444" s="260">
        <f>FMS_Ranking4[[#This Row],[Farm &amp; ranch land, ArcSinh (0-10)]]*AG$5*10</f>
        <v>1.9125948068174667</v>
      </c>
      <c r="AJ444" s="258">
        <f>_xlfn.XLOOKUP(FMS_Ranking4[[#This Row],[FMS ID]],FMS_Input[FMS_ID],FMS_Input[REDSTRUCT100])</f>
        <v>0</v>
      </c>
      <c r="AK444" s="253">
        <f>_xlfn.XLOOKUP(FMS_Ranking4[[#This Row],[FMS ID]],FMS_Input[FMS_ID],FMS_Input[REMSTRC100])</f>
        <v>0</v>
      </c>
      <c r="AL444" s="259">
        <f>(ASINH(FMS_Ranking4[[#This Row],[Structures Removed Raw]]))*(10)/(ASINH(AK$4))</f>
        <v>0</v>
      </c>
      <c r="AM444" s="262">
        <f>FMS_Ranking4[[#This Row],[Structures removed, ArcSinh (0-10)]]*AK$5*10</f>
        <v>0</v>
      </c>
      <c r="AN444" s="253">
        <f>_xlfn.XLOOKUP(FMS_Ranking4[[#This Row],[FMS ID]],FMS_Input[FMS_ID],FMS_Input[REMRESSTRC100])</f>
        <v>0</v>
      </c>
      <c r="AO444" s="261">
        <f>FMS_Ranking4[[#This Row],[ArcSinh Res struct removed 0-10]]*AN$5*10</f>
        <v>0</v>
      </c>
      <c r="AP444" s="260">
        <f>ASINH(FMS_Ranking4[[#This Row],[Residential Structures Removed Raw]])/AP$4*AN$5*100</f>
        <v>0</v>
      </c>
      <c r="AQ444" s="254">
        <f>(ASINH(FMS_Ranking4[[#This Row],[Residential Structures Removed Raw]]))*(10)/(ASINH(AN$4))</f>
        <v>0</v>
      </c>
      <c r="AR444" s="253">
        <f>_xlfn.XLOOKUP(FMS_Ranking4[[#This Row],[FMS ID]],FMS_Input[FMS_ID],FMS_Input[REMPOP100])</f>
        <v>0</v>
      </c>
      <c r="AS444" s="259">
        <f>(ASINH(FMS_Ranking4[[#This Row],[Removed Pop Raw]]))*(10)/(ASINH(AR$4))</f>
        <v>0</v>
      </c>
      <c r="AT444" s="262">
        <f>FMS_Ranking4[[#This Row],[Removed population, ArcSinh (0-10)]]*AR$5*10</f>
        <v>0</v>
      </c>
      <c r="AU444" s="264">
        <f>_xlfn.XLOOKUP(FMS_Ranking4[[#This Row],[FMS ID]],FMS_Input[FMS_ID],FMS_Input[REMCRITFAC100])</f>
        <v>0</v>
      </c>
      <c r="AV444" s="264">
        <f>_xlfn.XLOOKUP(FMS_Ranking4[[#This Row],[FMS ID]],FMS_Input[FMS_ID],FMS_Input[REMLWC100])</f>
        <v>0</v>
      </c>
      <c r="AW444" s="264">
        <f>_xlfn.XLOOKUP(FMS_Ranking4[[#This Row],[FMS ID]],FMS_Input[FMS_ID],FMS_Input[REMROADCLS])</f>
        <v>0</v>
      </c>
      <c r="AX444" s="264">
        <f>_xlfn.XLOOKUP(FMS_Ranking4[[#This Row],[FMS ID]],FMS_Input[FMS_ID],FMS_Input[REMFRMACRE100])</f>
        <v>0</v>
      </c>
      <c r="AY444" s="258">
        <f>_xlfn.XLOOKUP(FMS_Ranking4[[#This Row],[FMS ID]],FMS_Input[FMS_ID],FMS_Input[COSTSTRUCT])</f>
        <v>0</v>
      </c>
      <c r="AZ444" s="253">
        <f>_xlfn.XLOOKUP(FMS_Ranking4[[#This Row],[FMS ID]],FMS_Input[FMS_ID],FMS_Input[NATURE])</f>
        <v>0</v>
      </c>
      <c r="BA444" s="262">
        <f>(((FMS_Ranking4[[#This Row],[% NBS Raw]]/AZ$4)*100)*AZ$5)</f>
        <v>0</v>
      </c>
      <c r="BB444" s="251" t="str">
        <f>_xlfn.XLOOKUP(FMS_Ranking4[[#This Row],[FMS ID]],FMS_Input[FMS_ID],FMS_Input[WATER_SUP])</f>
        <v>No</v>
      </c>
      <c r="BC444" s="265">
        <f>IF(FMS_Ranking4[[#This Row],[Water Supply Raw]]="Yes",10,0)</f>
        <v>0</v>
      </c>
      <c r="BD444" s="266">
        <f>_xlfn.XLOOKUP(FMS_Ranking4[[#This Row],[FMS Type]],FMS_TYPE[FMS_Type],FMS_TYPE[Score])</f>
        <v>8</v>
      </c>
      <c r="BE444" s="267">
        <f>FMS_Ranking4[[#This Row],[FMS_Type Score]]*$BD$5*10</f>
        <v>2</v>
      </c>
      <c r="BF44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0.10875560013365909</v>
      </c>
      <c r="BG444" s="271">
        <f>_xlfn.RANK.EQ(BF444,$BF$8:$BF$870,0)+COUNTIF($BF$8:BF444,BF444)-1</f>
        <v>479</v>
      </c>
      <c r="BH444" s="268">
        <f>(((FMS_Ranking4[[#This Row],[Structures Removed Raw]]/AK$4)*100)*AK$5)+(((FMS_Ranking4[[#This Row],[Removed Pop Raw]]/AR$4)*100)*AR$5)</f>
        <v>0</v>
      </c>
      <c r="BI44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2.1087556001336591</v>
      </c>
      <c r="BJ444" s="205">
        <f>_xlfn.RANK.EQ(FMS_Ranking4[[#This Row],[Total Score 
(with linear
normalization)]],FMS_Ranking4[Total Score 
(with linear
normalization)],0)</f>
        <v>364</v>
      </c>
      <c r="BK444" s="205" t="e">
        <f>_xlfn.XLOOKUP(FMS_Ranking4[[#This Row],[FMS ID]],#REF!,#REF!)</f>
        <v>#REF!</v>
      </c>
      <c r="BL44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20.099621024569313</v>
      </c>
      <c r="BM444" s="272">
        <f>FMS_Ranking4[[#This Row],[ArcSinh Score Based on Normalized Reported Factors]]+FMS_Ranking4[[#This Row],[% NBS Score (Normalized)]]+(FMS_Ranking4[[#This Row],[Water Supply Score (Normalized)]]*10*$BB$5)+FMS_Ranking4[[#This Row],[FMS_Type Score Weighted]]</f>
        <v>22.099621024569313</v>
      </c>
      <c r="BN444" s="205">
        <f>_xlfn.RANK.EQ(FMS_Ranking4[[#This Row],[Total Score (with ArcSinh normalization of select criteria)]],FMS_Ranking4[Total Score (with ArcSinh normalization of select criteria)],0)</f>
        <v>437</v>
      </c>
      <c r="BO444" s="270" t="str">
        <f>_xlfn.XLOOKUP(FMS_Ranking4[[#This Row],[FMS ID]],FMS_Input[FMS_ID],FMS_Input[FMS_RANK_YEAR])</f>
        <v>2023 Amended Plan</v>
      </c>
      <c r="BP444" s="204">
        <f>_xlfn.XLOOKUP(FMS_Ranking4[[#This Row],[FMS ID]],Prev_Rank[FMS ID],Prev_Rank[Prev Rank])</f>
        <v>391</v>
      </c>
      <c r="BQ444" s="205" t="e">
        <f>_xlfn.XLOOKUP(FMS_Ranking4[[#This Row],[FMS ID]],#REF!,#REF!)</f>
        <v>#REF!</v>
      </c>
      <c r="BR444" s="199" t="e">
        <f>SUM(#REF!,#REF!,#REF!,#REF!,#REF!,#REF!,#REF!,#REF!,#REF!,FMS_Ranking4[[#This Row],[ArcSinh Res struct removed 0-10]],#REF!)</f>
        <v>#REF!</v>
      </c>
      <c r="BS444" s="199" t="e">
        <f>FMS_Ranking4[[#This Row],[Log Score Based on Normalized Reported Factors]]+FMS_Ranking4[[#This Row],[% NBS Score (Normalized)]]+(FMS_Ranking4[[#This Row],[Water Supply Score (Normalized)]]*10*$BB$5)+(FMS_Ranking4[[#This Row],[FMS_Type Score Weighted]])</f>
        <v>#REF!</v>
      </c>
      <c r="BT444" s="200" t="e">
        <f>_xlfn.RANK.EQ(FMS_Ranking4[[#This Row],[Log Total Score]],FMS_Ranking4[Log Total Score],0)</f>
        <v>#REF!</v>
      </c>
      <c r="BU444" s="200" t="e">
        <f>_xlfn.XLOOKUP(FMS_Ranking4[[#This Row],[FMS ID]],#REF!,#REF!)</f>
        <v>#REF!</v>
      </c>
      <c r="BV444" s="200">
        <f>FMS_Ranking4[[#This Row],[Region Number]]</f>
        <v>6</v>
      </c>
      <c r="BW444" s="200">
        <f>FMS_Ranking4[[#This Row],[Rank (with ArcSinh normalization of select criteria)]]-FMS_Ranking4[[#This Row],[Rank
(with linear
normalization)]]</f>
        <v>73</v>
      </c>
      <c r="BX444" s="200" t="e">
        <f>FMS_Ranking4[[#This Row],[Log Rank]]-FMS_Ranking4[[#This Row],[Rank
(with linear
normalization)]]</f>
        <v>#REF!</v>
      </c>
      <c r="BY444" s="200" t="str">
        <f>IF(FMS_Ranking4[[#This Row],[FMS Type]]="Flood Measurement and Warning",FMS_Ranking4[[#This Row],[Rank (with ArcSinh normalization of select criteria)]],"")</f>
        <v/>
      </c>
      <c r="BZ444" s="200">
        <f>IF(FMS_Ranking4[[#This Row],[FMS Type]]="Regulatory and Guidance",FMS_Ranking4[[#This Row],[Rank (with ArcSinh normalization of select criteria)]],"")</f>
        <v>437</v>
      </c>
      <c r="CA444" s="200" t="str">
        <f>IF(FMS_Ranking4[[#This Row],[FMS Type]]="Education and Outreach",FMS_Ranking4[[#This Row],[Rank (with ArcSinh normalization of select criteria)]],"")</f>
        <v/>
      </c>
      <c r="CB444" s="200" t="str">
        <f>IF(FMS_Ranking4[[#This Row],[FMS Type]]="Property Acquisition and Structural Elevation",FMS_Ranking4[[#This Row],[Rank (with ArcSinh normalization of select criteria)]],"")</f>
        <v/>
      </c>
      <c r="CC444" s="200" t="str">
        <f>IF(FMS_Ranking4[[#This Row],[FMS Type]]="Infrastructure Projects",FMS_Ranking4[[#This Row],[Rank (with ArcSinh normalization of select criteria)]],"")</f>
        <v/>
      </c>
      <c r="CD444" s="200" t="str">
        <f>IF(FMS_Ranking4[[#This Row],[FMS Type]]="Other",FMS_Ranking4[[#This Row],[Rank (with ArcSinh normalization of select criteria)]],"")</f>
        <v/>
      </c>
      <c r="CE444" s="201"/>
      <c r="CF444" s="206"/>
      <c r="CG444" s="206"/>
      <c r="CH444" s="206"/>
      <c r="CI444" s="206"/>
      <c r="CJ444" s="206"/>
      <c r="CK444" s="206"/>
      <c r="CL444" s="206"/>
      <c r="CM444" s="206"/>
      <c r="CN444" s="206"/>
      <c r="CO444" s="206"/>
      <c r="CP444" s="206"/>
      <c r="CQ444" s="206"/>
      <c r="CR444" s="206"/>
    </row>
    <row r="445" spans="2:96" ht="30" x14ac:dyDescent="0.25">
      <c r="B445" s="341" t="s">
        <v>1417</v>
      </c>
      <c r="C445" s="246">
        <f>_xlfn.XLOOKUP(FMS_Ranking4[[#This Row],[FMS ID]],FMS_Input[FMS_ID],FMS_Input[RFPG_NUM])</f>
        <v>1</v>
      </c>
      <c r="D445" s="309" t="str">
        <f>_xlfn.XLOOKUP(FMS_Ranking4[[#This Row],[FMS ID]],FMS_Input[FMS_ID],FMS_Input[FMS_NAME])</f>
        <v>Lipscomb County NFIP Involvement</v>
      </c>
      <c r="E445" s="308" t="str">
        <f>_xlfn.XLOOKUP(FMS_Ranking4[[#This Row],[FMS ID]],FMS_Input[FMS_ID],FMS_Input[SPONSOR])</f>
        <v>01000250</v>
      </c>
      <c r="F445" s="309" t="str">
        <f>_xlfn.XLOOKUP(FMS_Ranking4[[#This Row],[FMS ID]],Sponsor[FMS_ID],Sponsor[SPONSOR NAME])</f>
        <v>Lipscomb</v>
      </c>
      <c r="G445" s="309" t="str">
        <f>_xlfn.XLOOKUP(FMS_Ranking4[[#This Row],[FMS ID]],FMS_Input[FMS_ID],FMS_Input[FMS_DESCR])</f>
        <v>Application to join NFIP or adopt equivalent standards</v>
      </c>
      <c r="H445" s="248" t="str">
        <f>_xlfn.XLOOKUP(FMS_Ranking4[[#This Row],[FMS ID]],FMS_Input[FMS_ID],FMS_Input[FMS_TYPE])</f>
        <v>Regulatory and Guidance</v>
      </c>
      <c r="I445" s="249">
        <f>_xlfn.XLOOKUP(FMS_Ranking4[[#This Row],[FMS ID]],FMS_Input[FMS_ID],FMS_Input[NRNC_COST])</f>
        <v>100000</v>
      </c>
      <c r="J445" s="250">
        <f>_xlfn.XLOOKUP(FMS_Ranking4[[#This Row],[FMS ID]],FMS_Input[FMS_ID],FMS_Input[FMS_COST])</f>
        <v>100000</v>
      </c>
      <c r="K445" s="251" t="str">
        <f>_xlfn.XLOOKUP(FMS_Ranking4[[#This Row],[FMS ID]],FMS_Input[FMS_ID],FMS_Input[EMER_NEED])</f>
        <v>No</v>
      </c>
      <c r="L445" s="252">
        <f t="shared" si="6"/>
        <v>0</v>
      </c>
      <c r="M445" s="253">
        <f>_xlfn.XLOOKUP(FMS_Ranking4[[#This Row],[FMS ID]],FMS_Input[FMS_ID],FMS_Input[STRUCT_100])</f>
        <v>100</v>
      </c>
      <c r="N445" s="255">
        <f>(ASINH(FMS_Ranking4[[#This Row],[Structure at Risk Raw]]))*(10)/(ASINH(M$4))</f>
        <v>4.1652859883796367</v>
      </c>
      <c r="O445" s="256">
        <f>FMS_Ranking4[[#This Row],[Structures at risk, ArcSinh (0-10)]]*M$5*10</f>
        <v>4.1652859883796367</v>
      </c>
      <c r="P445" s="253">
        <f>_xlfn.XLOOKUP(FMS_Ranking4[[#This Row],[FMS ID]],FMS_Input[FMS_ID],FMS_Input[RES_STRUCT100])</f>
        <v>9</v>
      </c>
      <c r="Q445" s="257">
        <f>ASINH(FMS_Ranking4[[#This Row],[Res Structure Raw]])/Q$4*P$5*100</f>
        <v>0</v>
      </c>
      <c r="R445" s="253">
        <f>_xlfn.XLOOKUP(FMS_Ranking4[[#This Row],[FMS ID]],FMS_Input[FMS_ID],FMS_Input[POP100])</f>
        <v>78</v>
      </c>
      <c r="S445" s="259">
        <f>(ASINH(FMS_Ranking4[[#This Row],[Pop at Risk Raw]]))*(10)/(ASINH(R$4))</f>
        <v>3.4862379600026352</v>
      </c>
      <c r="T445" s="256">
        <f>FMS_Ranking4[[#This Row],[Population at risk, ArcSinh (0-10)]]*R$5*10</f>
        <v>3.4862379600026356</v>
      </c>
      <c r="U445" s="253">
        <f>_xlfn.XLOOKUP(FMS_Ranking4[[#This Row],[FMS ID]],FMS_Input[FMS_ID],FMS_Input[CRITFAC100])</f>
        <v>0</v>
      </c>
      <c r="V445" s="259">
        <f>(ASINH(FMS_Ranking4[[#This Row],[Critical Facilities Raw]]))*(10)/(ASINH(U$4))</f>
        <v>0</v>
      </c>
      <c r="W445" s="256">
        <f>FMS_Ranking4[[#This Row],[Critical facilities at risk, ArcSinh (0-10)]]*U$5*10</f>
        <v>0</v>
      </c>
      <c r="X445" s="253">
        <f>_xlfn.XLOOKUP(FMS_Ranking4[[#This Row],[FMS ID]],FMS_Input[FMS_ID],FMS_Input[LWC])</f>
        <v>6</v>
      </c>
      <c r="Y445" s="259">
        <f>(ASINH(FMS_Ranking4[[#This Row],[LWC Raw]]))*(10)/(ASINH(X$4))</f>
        <v>3.375708300798784</v>
      </c>
      <c r="Z445" s="256">
        <f>FMS_Ranking4[[#This Row],[LWC, ArcSInh (0-10)]]*X$5*10</f>
        <v>3.3757083007987845</v>
      </c>
      <c r="AA445" s="253">
        <f>_xlfn.XLOOKUP(FMS_Ranking4[[#This Row],[FMS ID]],FMS_Input[FMS_ID],FMS_Input[ROADCLS])</f>
        <v>6</v>
      </c>
      <c r="AB445" s="255">
        <f>(ASINH(FMS_Ranking4[[#This Row],[Road Closures Raw]]))*(10)/(ASINH(AA$4))</f>
        <v>2.5949600132095934</v>
      </c>
      <c r="AC445" s="256">
        <f>FMS_Ranking4[[#This Row],[Road closures, ArcSinh (0-10)]]*AA$5*10</f>
        <v>1.2974800066047967</v>
      </c>
      <c r="AD445" s="253">
        <f>_xlfn.XLOOKUP(FMS_Ranking4[[#This Row],[FMS ID]],FMS_Input[FMS_ID],FMS_Input[ROAD_MILES100])</f>
        <v>20</v>
      </c>
      <c r="AE445" s="259">
        <f>(ASINH(FMS_Ranking4[[#This Row],[Road Miles Raw]]))*(10)/(ASINH(AD$4))</f>
        <v>3.9319960523834281</v>
      </c>
      <c r="AF445" s="256">
        <f>FMS_Ranking4[[#This Row],[Length of roads at risk, ArcSinh (0-10)]]*AD$5*10</f>
        <v>3.9319960523834285</v>
      </c>
      <c r="AG445" s="253">
        <f>_xlfn.XLOOKUP(FMS_Ranking4[[#This Row],[FMS ID]],FMS_Input[FMS_ID],FMS_Input[FARMACRE100])</f>
        <v>66275.203125</v>
      </c>
      <c r="AH445" s="255">
        <f>(ASINH(FMS_Ranking4[[#This Row],[Ag Land Raw]]))*(10)/(ASINH(AG$4))</f>
        <v>7.6616304283084036</v>
      </c>
      <c r="AI445" s="260">
        <f>FMS_Ranking4[[#This Row],[Farm &amp; ranch land, ArcSinh (0-10)]]*AG$5*10</f>
        <v>3.8308152141542018</v>
      </c>
      <c r="AJ445" s="258">
        <f>_xlfn.XLOOKUP(FMS_Ranking4[[#This Row],[FMS ID]],FMS_Input[FMS_ID],FMS_Input[REDSTRUCT100])</f>
        <v>0</v>
      </c>
      <c r="AK445" s="253">
        <f>_xlfn.XLOOKUP(FMS_Ranking4[[#This Row],[FMS ID]],FMS_Input[FMS_ID],FMS_Input[REMSTRC100])</f>
        <v>0</v>
      </c>
      <c r="AL445" s="259">
        <f>(ASINH(FMS_Ranking4[[#This Row],[Structures Removed Raw]]))*(10)/(ASINH(AK$4))</f>
        <v>0</v>
      </c>
      <c r="AM445" s="262">
        <f>FMS_Ranking4[[#This Row],[Structures removed, ArcSinh (0-10)]]*AK$5*10</f>
        <v>0</v>
      </c>
      <c r="AN445" s="253">
        <f>_xlfn.XLOOKUP(FMS_Ranking4[[#This Row],[FMS ID]],FMS_Input[FMS_ID],FMS_Input[REMRESSTRC100])</f>
        <v>0</v>
      </c>
      <c r="AO445" s="261">
        <f>FMS_Ranking4[[#This Row],[ArcSinh Res struct removed 0-10]]*AN$5*10</f>
        <v>0</v>
      </c>
      <c r="AP445" s="260">
        <f>ASINH(FMS_Ranking4[[#This Row],[Residential Structures Removed Raw]])/AP$4*AN$5*100</f>
        <v>0</v>
      </c>
      <c r="AQ445" s="254">
        <f>(ASINH(FMS_Ranking4[[#This Row],[Residential Structures Removed Raw]]))*(10)/(ASINH(AN$4))</f>
        <v>0</v>
      </c>
      <c r="AR445" s="253">
        <f>_xlfn.XLOOKUP(FMS_Ranking4[[#This Row],[FMS ID]],FMS_Input[FMS_ID],FMS_Input[REMPOP100])</f>
        <v>0</v>
      </c>
      <c r="AS445" s="259">
        <f>(ASINH(FMS_Ranking4[[#This Row],[Removed Pop Raw]]))*(10)/(ASINH(AR$4))</f>
        <v>0</v>
      </c>
      <c r="AT445" s="262">
        <f>FMS_Ranking4[[#This Row],[Removed population, ArcSinh (0-10)]]*AR$5*10</f>
        <v>0</v>
      </c>
      <c r="AU445" s="264">
        <f>_xlfn.XLOOKUP(FMS_Ranking4[[#This Row],[FMS ID]],FMS_Input[FMS_ID],FMS_Input[REMCRITFAC100])</f>
        <v>0</v>
      </c>
      <c r="AV445" s="264">
        <f>_xlfn.XLOOKUP(FMS_Ranking4[[#This Row],[FMS ID]],FMS_Input[FMS_ID],FMS_Input[REMLWC100])</f>
        <v>0</v>
      </c>
      <c r="AW445" s="264">
        <f>_xlfn.XLOOKUP(FMS_Ranking4[[#This Row],[FMS ID]],FMS_Input[FMS_ID],FMS_Input[REMROADCLS])</f>
        <v>0</v>
      </c>
      <c r="AX445" s="264">
        <f>_xlfn.XLOOKUP(FMS_Ranking4[[#This Row],[FMS ID]],FMS_Input[FMS_ID],FMS_Input[REMFRMACRE100])</f>
        <v>0</v>
      </c>
      <c r="AY445" s="258">
        <f>_xlfn.XLOOKUP(FMS_Ranking4[[#This Row],[FMS ID]],FMS_Input[FMS_ID],FMS_Input[COSTSTRUCT])</f>
        <v>0</v>
      </c>
      <c r="AZ445" s="253">
        <f>_xlfn.XLOOKUP(FMS_Ranking4[[#This Row],[FMS ID]],FMS_Input[FMS_ID],FMS_Input[NATURE])</f>
        <v>0</v>
      </c>
      <c r="BA445" s="262">
        <f>(((FMS_Ranking4[[#This Row],[% NBS Raw]]/AZ$4)*100)*AZ$5)</f>
        <v>0</v>
      </c>
      <c r="BB445" s="251" t="str">
        <f>_xlfn.XLOOKUP(FMS_Ranking4[[#This Row],[FMS ID]],FMS_Input[FMS_ID],FMS_Input[WATER_SUP])</f>
        <v>No</v>
      </c>
      <c r="BC445" s="265">
        <f>IF(FMS_Ranking4[[#This Row],[Water Supply Raw]]="Yes",10,0)</f>
        <v>0</v>
      </c>
      <c r="BD445" s="266">
        <f>_xlfn.XLOOKUP(FMS_Ranking4[[#This Row],[FMS Type]],FMS_TYPE[FMS_Type],FMS_TYPE[Score])</f>
        <v>8</v>
      </c>
      <c r="BE445" s="267">
        <f>FMS_Ranking4[[#This Row],[FMS_Type Score]]*$BD$5*10</f>
        <v>2</v>
      </c>
      <c r="BF44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0.25584435452140564</v>
      </c>
      <c r="BG445" s="271">
        <f>_xlfn.RANK.EQ(BF445,$BF$8:$BF$870,0)+COUNTIF($BF$8:BF445,BF445)-1</f>
        <v>326</v>
      </c>
      <c r="BH445" s="268">
        <f>(((FMS_Ranking4[[#This Row],[Structures Removed Raw]]/AK$4)*100)*AK$5)+(((FMS_Ranking4[[#This Row],[Removed Pop Raw]]/AR$4)*100)*AR$5)</f>
        <v>0</v>
      </c>
      <c r="BI44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2.2558443545214057</v>
      </c>
      <c r="BJ445" s="205">
        <f>_xlfn.RANK.EQ(FMS_Ranking4[[#This Row],[Total Score 
(with linear
normalization)]],FMS_Ranking4[Total Score 
(with linear
normalization)],0)</f>
        <v>309</v>
      </c>
      <c r="BK445" s="205" t="e">
        <f>_xlfn.XLOOKUP(FMS_Ranking4[[#This Row],[FMS ID]],#REF!,#REF!)</f>
        <v>#REF!</v>
      </c>
      <c r="BL44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20.087523522323487</v>
      </c>
      <c r="BM445" s="272">
        <f>FMS_Ranking4[[#This Row],[ArcSinh Score Based on Normalized Reported Factors]]+FMS_Ranking4[[#This Row],[% NBS Score (Normalized)]]+(FMS_Ranking4[[#This Row],[Water Supply Score (Normalized)]]*10*$BB$5)+FMS_Ranking4[[#This Row],[FMS_Type Score Weighted]]</f>
        <v>22.087523522323487</v>
      </c>
      <c r="BN445" s="205">
        <f>_xlfn.RANK.EQ(FMS_Ranking4[[#This Row],[Total Score (with ArcSinh normalization of select criteria)]],FMS_Ranking4[Total Score (with ArcSinh normalization of select criteria)],0)</f>
        <v>438</v>
      </c>
      <c r="BO445" s="270" t="str">
        <f>_xlfn.XLOOKUP(FMS_Ranking4[[#This Row],[FMS ID]],FMS_Input[FMS_ID],FMS_Input[FMS_RANK_YEAR])</f>
        <v>2023 Amended Plan</v>
      </c>
      <c r="BP445" s="204">
        <f>_xlfn.XLOOKUP(FMS_Ranking4[[#This Row],[FMS ID]],Prev_Rank[FMS ID],Prev_Rank[Prev Rank])</f>
        <v>393</v>
      </c>
      <c r="BQ445" s="205" t="e">
        <f>_xlfn.XLOOKUP(FMS_Ranking4[[#This Row],[FMS ID]],#REF!,#REF!)</f>
        <v>#REF!</v>
      </c>
      <c r="BR445" s="199" t="e">
        <f>SUM(#REF!,#REF!,#REF!,#REF!,#REF!,#REF!,#REF!,#REF!,#REF!,FMS_Ranking4[[#This Row],[ArcSinh Res struct removed 0-10]],#REF!)</f>
        <v>#REF!</v>
      </c>
      <c r="BS445" s="199" t="e">
        <f>FMS_Ranking4[[#This Row],[Log Score Based on Normalized Reported Factors]]+FMS_Ranking4[[#This Row],[% NBS Score (Normalized)]]+(FMS_Ranking4[[#This Row],[Water Supply Score (Normalized)]]*10*$BB$5)+(FMS_Ranking4[[#This Row],[FMS_Type Score Weighted]])</f>
        <v>#REF!</v>
      </c>
      <c r="BT445" s="200" t="e">
        <f>_xlfn.RANK.EQ(FMS_Ranking4[[#This Row],[Log Total Score]],FMS_Ranking4[Log Total Score],0)</f>
        <v>#REF!</v>
      </c>
      <c r="BU445" s="200" t="e">
        <f>_xlfn.XLOOKUP(FMS_Ranking4[[#This Row],[FMS ID]],#REF!,#REF!)</f>
        <v>#REF!</v>
      </c>
      <c r="BV445" s="200">
        <f>FMS_Ranking4[[#This Row],[Region Number]]</f>
        <v>1</v>
      </c>
      <c r="BW445" s="200">
        <f>FMS_Ranking4[[#This Row],[Rank (with ArcSinh normalization of select criteria)]]-FMS_Ranking4[[#This Row],[Rank
(with linear
normalization)]]</f>
        <v>129</v>
      </c>
      <c r="BX445" s="200" t="e">
        <f>FMS_Ranking4[[#This Row],[Log Rank]]-FMS_Ranking4[[#This Row],[Rank
(with linear
normalization)]]</f>
        <v>#REF!</v>
      </c>
      <c r="BY445" s="200" t="str">
        <f>IF(FMS_Ranking4[[#This Row],[FMS Type]]="Flood Measurement and Warning",FMS_Ranking4[[#This Row],[Rank (with ArcSinh normalization of select criteria)]],"")</f>
        <v/>
      </c>
      <c r="BZ445" s="200">
        <f>IF(FMS_Ranking4[[#This Row],[FMS Type]]="Regulatory and Guidance",FMS_Ranking4[[#This Row],[Rank (with ArcSinh normalization of select criteria)]],"")</f>
        <v>438</v>
      </c>
      <c r="CA445" s="200" t="str">
        <f>IF(FMS_Ranking4[[#This Row],[FMS Type]]="Education and Outreach",FMS_Ranking4[[#This Row],[Rank (with ArcSinh normalization of select criteria)]],"")</f>
        <v/>
      </c>
      <c r="CB445" s="200" t="str">
        <f>IF(FMS_Ranking4[[#This Row],[FMS Type]]="Property Acquisition and Structural Elevation",FMS_Ranking4[[#This Row],[Rank (with ArcSinh normalization of select criteria)]],"")</f>
        <v/>
      </c>
      <c r="CC445" s="200" t="str">
        <f>IF(FMS_Ranking4[[#This Row],[FMS Type]]="Infrastructure Projects",FMS_Ranking4[[#This Row],[Rank (with ArcSinh normalization of select criteria)]],"")</f>
        <v/>
      </c>
      <c r="CD445" s="200" t="str">
        <f>IF(FMS_Ranking4[[#This Row],[FMS Type]]="Other",FMS_Ranking4[[#This Row],[Rank (with ArcSinh normalization of select criteria)]],"")</f>
        <v/>
      </c>
      <c r="CE445" s="201"/>
      <c r="CF445" s="206"/>
      <c r="CG445" s="206"/>
      <c r="CH445" s="206"/>
      <c r="CI445" s="206"/>
      <c r="CJ445" s="206"/>
      <c r="CK445" s="206"/>
      <c r="CL445" s="206"/>
      <c r="CM445" s="206"/>
      <c r="CN445" s="206"/>
      <c r="CO445" s="206"/>
      <c r="CP445" s="206"/>
      <c r="CQ445" s="206"/>
      <c r="CR445" s="206"/>
    </row>
    <row r="446" spans="2:96" ht="60" x14ac:dyDescent="0.25">
      <c r="B446" s="341" t="s">
        <v>118</v>
      </c>
      <c r="C446" s="246">
        <f>_xlfn.XLOOKUP(FMS_Ranking4[[#This Row],[FMS ID]],FMS_Input[FMS_ID],FMS_Input[RFPG_NUM])</f>
        <v>6</v>
      </c>
      <c r="D446" s="309" t="str">
        <f>_xlfn.XLOOKUP(FMS_Ranking4[[#This Row],[FMS ID]],FMS_Input[FMS_ID],FMS_Input[FMS_NAME])</f>
        <v>City of Santa Fe Stormproof/retrofit New Critical Infrastructure</v>
      </c>
      <c r="E446" s="308" t="str">
        <f>_xlfn.XLOOKUP(FMS_Ranking4[[#This Row],[FMS ID]],FMS_Input[FMS_ID],FMS_Input[SPONSOR])</f>
        <v>06003149</v>
      </c>
      <c r="F446" s="309" t="str">
        <f>_xlfn.XLOOKUP(FMS_Ranking4[[#This Row],[FMS ID]],Sponsor[FMS_ID],Sponsor[SPONSOR NAME])</f>
        <v>Santa Fe</v>
      </c>
      <c r="G446" s="309" t="str">
        <f>_xlfn.XLOOKUP(FMS_Ranking4[[#This Row],[FMS ID]],FMS_Input[FMS_ID],FMS_Input[FMS_DESCR])</f>
        <v>New construction and existing critical facilities and infrastructure should include advanced mitigation techniques.</v>
      </c>
      <c r="H446" s="248" t="str">
        <f>_xlfn.XLOOKUP(FMS_Ranking4[[#This Row],[FMS ID]],FMS_Input[FMS_ID],FMS_Input[FMS_TYPE])</f>
        <v>Regulatory and Guidance</v>
      </c>
      <c r="I446" s="249">
        <f>_xlfn.XLOOKUP(FMS_Ranking4[[#This Row],[FMS ID]],FMS_Input[FMS_ID],FMS_Input[NRNC_COST])</f>
        <v>250000</v>
      </c>
      <c r="J446" s="250">
        <f>_xlfn.XLOOKUP(FMS_Ranking4[[#This Row],[FMS ID]],FMS_Input[FMS_ID],FMS_Input[FMS_COST])</f>
        <v>5000000</v>
      </c>
      <c r="K446" s="251" t="str">
        <f>_xlfn.XLOOKUP(FMS_Ranking4[[#This Row],[FMS ID]],FMS_Input[FMS_ID],FMS_Input[EMER_NEED])</f>
        <v>No</v>
      </c>
      <c r="L446" s="252">
        <f t="shared" si="6"/>
        <v>0</v>
      </c>
      <c r="M446" s="253">
        <f>_xlfn.XLOOKUP(FMS_Ranking4[[#This Row],[FMS ID]],FMS_Input[FMS_ID],FMS_Input[STRUCT_100])</f>
        <v>400</v>
      </c>
      <c r="N446" s="255">
        <f>(ASINH(FMS_Ranking4[[#This Row],[Structure at Risk Raw]]))*(10)/(ASINH(M$4))</f>
        <v>5.2551013418795591</v>
      </c>
      <c r="O446" s="256">
        <f>FMS_Ranking4[[#This Row],[Structures at risk, ArcSinh (0-10)]]*M$5*10</f>
        <v>5.2551013418795591</v>
      </c>
      <c r="P446" s="253">
        <f>_xlfn.XLOOKUP(FMS_Ranking4[[#This Row],[FMS ID]],FMS_Input[FMS_ID],FMS_Input[RES_STRUCT100])</f>
        <v>306</v>
      </c>
      <c r="Q446" s="257">
        <f>ASINH(FMS_Ranking4[[#This Row],[Res Structure Raw]])/Q$4*P$5*100</f>
        <v>0</v>
      </c>
      <c r="R446" s="253">
        <f>_xlfn.XLOOKUP(FMS_Ranking4[[#This Row],[FMS ID]],FMS_Input[FMS_ID],FMS_Input[POP100])</f>
        <v>748</v>
      </c>
      <c r="S446" s="259">
        <f>(ASINH(FMS_Ranking4[[#This Row],[Pop at Risk Raw]]))*(10)/(ASINH(R$4))</f>
        <v>5.0468986880113436</v>
      </c>
      <c r="T446" s="256">
        <f>FMS_Ranking4[[#This Row],[Population at risk, ArcSinh (0-10)]]*R$5*10</f>
        <v>5.0468986880113444</v>
      </c>
      <c r="U446" s="253">
        <f>_xlfn.XLOOKUP(FMS_Ranking4[[#This Row],[FMS ID]],FMS_Input[FMS_ID],FMS_Input[CRITFAC100])</f>
        <v>1</v>
      </c>
      <c r="V446" s="259">
        <f>(ASINH(FMS_Ranking4[[#This Row],[Critical Facilities Raw]]))*(10)/(ASINH(U$4))</f>
        <v>1.0433384451410745</v>
      </c>
      <c r="W446" s="256">
        <f>FMS_Ranking4[[#This Row],[Critical facilities at risk, ArcSinh (0-10)]]*U$5*10</f>
        <v>1.0433384451410745</v>
      </c>
      <c r="X446" s="253">
        <f>_xlfn.XLOOKUP(FMS_Ranking4[[#This Row],[FMS ID]],FMS_Input[FMS_ID],FMS_Input[LWC])</f>
        <v>9</v>
      </c>
      <c r="Y446" s="259">
        <f>(ASINH(FMS_Ranking4[[#This Row],[LWC Raw]]))*(10)/(ASINH(X$4))</f>
        <v>3.919857876161724</v>
      </c>
      <c r="Z446" s="256">
        <f>FMS_Ranking4[[#This Row],[LWC, ArcSInh (0-10)]]*X$5*10</f>
        <v>3.919857876161724</v>
      </c>
      <c r="AA446" s="253">
        <f>_xlfn.XLOOKUP(FMS_Ranking4[[#This Row],[FMS ID]],FMS_Input[FMS_ID],FMS_Input[ROADCLS])</f>
        <v>9</v>
      </c>
      <c r="AB446" s="255">
        <f>(ASINH(FMS_Ranking4[[#This Row],[Road Closures Raw]]))*(10)/(ASINH(AA$4))</f>
        <v>3.013256341994186</v>
      </c>
      <c r="AC446" s="256">
        <f>FMS_Ranking4[[#This Row],[Road closures, ArcSinh (0-10)]]*AA$5*10</f>
        <v>1.506628170997093</v>
      </c>
      <c r="AD446" s="253">
        <f>_xlfn.XLOOKUP(FMS_Ranking4[[#This Row],[FMS ID]],FMS_Input[FMS_ID],FMS_Input[ROAD_MILES100])</f>
        <v>4</v>
      </c>
      <c r="AE446" s="259">
        <f>(ASINH(FMS_Ranking4[[#This Row],[Road Miles Raw]]))*(10)/(ASINH(AD$4))</f>
        <v>2.2323872691766113</v>
      </c>
      <c r="AF446" s="256">
        <f>FMS_Ranking4[[#This Row],[Length of roads at risk, ArcSinh (0-10)]]*AD$5*10</f>
        <v>2.2323872691766113</v>
      </c>
      <c r="AG446" s="253">
        <f>_xlfn.XLOOKUP(FMS_Ranking4[[#This Row],[FMS ID]],FMS_Input[FMS_ID],FMS_Input[FARMACRE100])</f>
        <v>12.12156867980957</v>
      </c>
      <c r="AH446" s="255">
        <f>(ASINH(FMS_Ranking4[[#This Row],[Ag Land Raw]]))*(10)/(ASINH(AG$4))</f>
        <v>2.0720549247539659</v>
      </c>
      <c r="AI446" s="260">
        <f>FMS_Ranking4[[#This Row],[Farm &amp; ranch land, ArcSinh (0-10)]]*AG$5*10</f>
        <v>1.036027462376983</v>
      </c>
      <c r="AJ446" s="258">
        <f>_xlfn.XLOOKUP(FMS_Ranking4[[#This Row],[FMS ID]],FMS_Input[FMS_ID],FMS_Input[REDSTRUCT100])</f>
        <v>0</v>
      </c>
      <c r="AK446" s="253">
        <f>_xlfn.XLOOKUP(FMS_Ranking4[[#This Row],[FMS ID]],FMS_Input[FMS_ID],FMS_Input[REMSTRC100])</f>
        <v>0</v>
      </c>
      <c r="AL446" s="259">
        <f>(ASINH(FMS_Ranking4[[#This Row],[Structures Removed Raw]]))*(10)/(ASINH(AK$4))</f>
        <v>0</v>
      </c>
      <c r="AM446" s="262">
        <f>FMS_Ranking4[[#This Row],[Structures removed, ArcSinh (0-10)]]*AK$5*10</f>
        <v>0</v>
      </c>
      <c r="AN446" s="253">
        <f>_xlfn.XLOOKUP(FMS_Ranking4[[#This Row],[FMS ID]],FMS_Input[FMS_ID],FMS_Input[REMRESSTRC100])</f>
        <v>0</v>
      </c>
      <c r="AO446" s="261">
        <f>FMS_Ranking4[[#This Row],[ArcSinh Res struct removed 0-10]]*AN$5*10</f>
        <v>0</v>
      </c>
      <c r="AP446" s="260">
        <f>ASINH(FMS_Ranking4[[#This Row],[Residential Structures Removed Raw]])/AP$4*AN$5*100</f>
        <v>0</v>
      </c>
      <c r="AQ446" s="254">
        <f>(ASINH(FMS_Ranking4[[#This Row],[Residential Structures Removed Raw]]))*(10)/(ASINH(AN$4))</f>
        <v>0</v>
      </c>
      <c r="AR446" s="253">
        <f>_xlfn.XLOOKUP(FMS_Ranking4[[#This Row],[FMS ID]],FMS_Input[FMS_ID],FMS_Input[REMPOP100])</f>
        <v>0</v>
      </c>
      <c r="AS446" s="259">
        <f>(ASINH(FMS_Ranking4[[#This Row],[Removed Pop Raw]]))*(10)/(ASINH(AR$4))</f>
        <v>0</v>
      </c>
      <c r="AT446" s="262">
        <f>FMS_Ranking4[[#This Row],[Removed population, ArcSinh (0-10)]]*AR$5*10</f>
        <v>0</v>
      </c>
      <c r="AU446" s="264">
        <f>_xlfn.XLOOKUP(FMS_Ranking4[[#This Row],[FMS ID]],FMS_Input[FMS_ID],FMS_Input[REMCRITFAC100])</f>
        <v>0</v>
      </c>
      <c r="AV446" s="264">
        <f>_xlfn.XLOOKUP(FMS_Ranking4[[#This Row],[FMS ID]],FMS_Input[FMS_ID],FMS_Input[REMLWC100])</f>
        <v>0</v>
      </c>
      <c r="AW446" s="264">
        <f>_xlfn.XLOOKUP(FMS_Ranking4[[#This Row],[FMS ID]],FMS_Input[FMS_ID],FMS_Input[REMROADCLS])</f>
        <v>0</v>
      </c>
      <c r="AX446" s="264">
        <f>_xlfn.XLOOKUP(FMS_Ranking4[[#This Row],[FMS ID]],FMS_Input[FMS_ID],FMS_Input[REMFRMACRE100])</f>
        <v>0</v>
      </c>
      <c r="AY446" s="258">
        <f>_xlfn.XLOOKUP(FMS_Ranking4[[#This Row],[FMS ID]],FMS_Input[FMS_ID],FMS_Input[COSTSTRUCT])</f>
        <v>0</v>
      </c>
      <c r="AZ446" s="253">
        <f>_xlfn.XLOOKUP(FMS_Ranking4[[#This Row],[FMS ID]],FMS_Input[FMS_ID],FMS_Input[NATURE])</f>
        <v>0</v>
      </c>
      <c r="BA446" s="262">
        <f>(((FMS_Ranking4[[#This Row],[% NBS Raw]]/AZ$4)*100)*AZ$5)</f>
        <v>0</v>
      </c>
      <c r="BB446" s="251" t="str">
        <f>_xlfn.XLOOKUP(FMS_Ranking4[[#This Row],[FMS ID]],FMS_Input[FMS_ID],FMS_Input[WATER_SUP])</f>
        <v>No</v>
      </c>
      <c r="BC446" s="265">
        <f>IF(FMS_Ranking4[[#This Row],[Water Supply Raw]]="Yes",10,0)</f>
        <v>0</v>
      </c>
      <c r="BD446" s="266">
        <f>_xlfn.XLOOKUP(FMS_Ranking4[[#This Row],[FMS Type]],FMS_TYPE[FMS_Type],FMS_TYPE[Score])</f>
        <v>8</v>
      </c>
      <c r="BE446" s="267">
        <f>FMS_Ranking4[[#This Row],[FMS_Type Score]]*$BD$5*10</f>
        <v>2</v>
      </c>
      <c r="BF44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0.16078070678992876</v>
      </c>
      <c r="BG446" s="271">
        <f>_xlfn.RANK.EQ(BF446,$BF$8:$BF$870,0)+COUNTIF($BF$8:BF446,BF446)-1</f>
        <v>394</v>
      </c>
      <c r="BH446" s="268">
        <f>(((FMS_Ranking4[[#This Row],[Structures Removed Raw]]/AK$4)*100)*AK$5)+(((FMS_Ranking4[[#This Row],[Removed Pop Raw]]/AR$4)*100)*AR$5)</f>
        <v>0</v>
      </c>
      <c r="BI44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2.1607807067899287</v>
      </c>
      <c r="BJ446" s="205">
        <f>_xlfn.RANK.EQ(FMS_Ranking4[[#This Row],[Total Score 
(with linear
normalization)]],FMS_Ranking4[Total Score 
(with linear
normalization)],0)</f>
        <v>336</v>
      </c>
      <c r="BK446" s="205" t="e">
        <f>_xlfn.XLOOKUP(FMS_Ranking4[[#This Row],[FMS ID]],#REF!,#REF!)</f>
        <v>#REF!</v>
      </c>
      <c r="BL44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20.040239253744389</v>
      </c>
      <c r="BM446" s="272">
        <f>FMS_Ranking4[[#This Row],[ArcSinh Score Based on Normalized Reported Factors]]+FMS_Ranking4[[#This Row],[% NBS Score (Normalized)]]+(FMS_Ranking4[[#This Row],[Water Supply Score (Normalized)]]*10*$BB$5)+FMS_Ranking4[[#This Row],[FMS_Type Score Weighted]]</f>
        <v>22.040239253744389</v>
      </c>
      <c r="BN446" s="205">
        <f>_xlfn.RANK.EQ(FMS_Ranking4[[#This Row],[Total Score (with ArcSinh normalization of select criteria)]],FMS_Ranking4[Total Score (with ArcSinh normalization of select criteria)],0)</f>
        <v>439</v>
      </c>
      <c r="BO446" s="270" t="str">
        <f>_xlfn.XLOOKUP(FMS_Ranking4[[#This Row],[FMS ID]],FMS_Input[FMS_ID],FMS_Input[FMS_RANK_YEAR])</f>
        <v>2023 Amended Plan</v>
      </c>
      <c r="BP446" s="204">
        <f>_xlfn.XLOOKUP(FMS_Ranking4[[#This Row],[FMS ID]],Prev_Rank[FMS ID],Prev_Rank[Prev Rank])</f>
        <v>394</v>
      </c>
      <c r="BQ446" s="205" t="e">
        <f>_xlfn.XLOOKUP(FMS_Ranking4[[#This Row],[FMS ID]],#REF!,#REF!)</f>
        <v>#REF!</v>
      </c>
      <c r="BR446" s="199" t="e">
        <f>SUM(#REF!,#REF!,#REF!,#REF!,#REF!,#REF!,#REF!,#REF!,#REF!,FMS_Ranking4[[#This Row],[ArcSinh Res struct removed 0-10]],#REF!)</f>
        <v>#REF!</v>
      </c>
      <c r="BS446" s="199" t="e">
        <f>FMS_Ranking4[[#This Row],[Log Score Based on Normalized Reported Factors]]+FMS_Ranking4[[#This Row],[% NBS Score (Normalized)]]+(FMS_Ranking4[[#This Row],[Water Supply Score (Normalized)]]*10*$BB$5)+(FMS_Ranking4[[#This Row],[FMS_Type Score Weighted]])</f>
        <v>#REF!</v>
      </c>
      <c r="BT446" s="200" t="e">
        <f>_xlfn.RANK.EQ(FMS_Ranking4[[#This Row],[Log Total Score]],FMS_Ranking4[Log Total Score],0)</f>
        <v>#REF!</v>
      </c>
      <c r="BU446" s="200" t="e">
        <f>_xlfn.XLOOKUP(FMS_Ranking4[[#This Row],[FMS ID]],#REF!,#REF!)</f>
        <v>#REF!</v>
      </c>
      <c r="BV446" s="200">
        <f>FMS_Ranking4[[#This Row],[Region Number]]</f>
        <v>6</v>
      </c>
      <c r="BW446" s="200">
        <f>FMS_Ranking4[[#This Row],[Rank (with ArcSinh normalization of select criteria)]]-FMS_Ranking4[[#This Row],[Rank
(with linear
normalization)]]</f>
        <v>103</v>
      </c>
      <c r="BX446" s="200" t="e">
        <f>FMS_Ranking4[[#This Row],[Log Rank]]-FMS_Ranking4[[#This Row],[Rank
(with linear
normalization)]]</f>
        <v>#REF!</v>
      </c>
      <c r="BY446" s="200" t="str">
        <f>IF(FMS_Ranking4[[#This Row],[FMS Type]]="Flood Measurement and Warning",FMS_Ranking4[[#This Row],[Rank (with ArcSinh normalization of select criteria)]],"")</f>
        <v/>
      </c>
      <c r="BZ446" s="200">
        <f>IF(FMS_Ranking4[[#This Row],[FMS Type]]="Regulatory and Guidance",FMS_Ranking4[[#This Row],[Rank (with ArcSinh normalization of select criteria)]],"")</f>
        <v>439</v>
      </c>
      <c r="CA446" s="200" t="str">
        <f>IF(FMS_Ranking4[[#This Row],[FMS Type]]="Education and Outreach",FMS_Ranking4[[#This Row],[Rank (with ArcSinh normalization of select criteria)]],"")</f>
        <v/>
      </c>
      <c r="CB446" s="200" t="str">
        <f>IF(FMS_Ranking4[[#This Row],[FMS Type]]="Property Acquisition and Structural Elevation",FMS_Ranking4[[#This Row],[Rank (with ArcSinh normalization of select criteria)]],"")</f>
        <v/>
      </c>
      <c r="CC446" s="200" t="str">
        <f>IF(FMS_Ranking4[[#This Row],[FMS Type]]="Infrastructure Projects",FMS_Ranking4[[#This Row],[Rank (with ArcSinh normalization of select criteria)]],"")</f>
        <v/>
      </c>
      <c r="CD446" s="200" t="str">
        <f>IF(FMS_Ranking4[[#This Row],[FMS Type]]="Other",FMS_Ranking4[[#This Row],[Rank (with ArcSinh normalization of select criteria)]],"")</f>
        <v/>
      </c>
      <c r="CE446" s="201"/>
      <c r="CF446" s="206"/>
      <c r="CG446" s="206"/>
      <c r="CH446" s="206"/>
      <c r="CI446" s="206"/>
      <c r="CJ446" s="206"/>
      <c r="CK446" s="206"/>
      <c r="CL446" s="206"/>
      <c r="CM446" s="206"/>
      <c r="CN446" s="206"/>
      <c r="CO446" s="206"/>
      <c r="CP446" s="206"/>
      <c r="CQ446" s="206"/>
      <c r="CR446" s="206"/>
    </row>
    <row r="447" spans="2:96" ht="45" x14ac:dyDescent="0.25">
      <c r="B447" s="341" t="s">
        <v>1588</v>
      </c>
      <c r="C447" s="246">
        <f>_xlfn.XLOOKUP(FMS_Ranking4[[#This Row],[FMS ID]],FMS_Input[FMS_ID],FMS_Input[RFPG_NUM])</f>
        <v>2</v>
      </c>
      <c r="D447" s="309" t="str">
        <f>_xlfn.XLOOKUP(FMS_Ranking4[[#This Row],[FMS ID]],FMS_Input[FMS_ID],FMS_Input[FMS_NAME])</f>
        <v>Camp County NFIP Involvement</v>
      </c>
      <c r="E447" s="308" t="str">
        <f>_xlfn.XLOOKUP(FMS_Ranking4[[#This Row],[FMS ID]],FMS_Input[FMS_ID],FMS_Input[SPONSOR])</f>
        <v>Camp County</v>
      </c>
      <c r="F447" s="309" t="str">
        <f>_xlfn.XLOOKUP(FMS_Ranking4[[#This Row],[FMS ID]],Sponsor[FMS_ID],Sponsor[SPONSOR NAME])</f>
        <v>Camp County</v>
      </c>
      <c r="G447" s="309" t="str">
        <f>_xlfn.XLOOKUP(FMS_Ranking4[[#This Row],[FMS ID]],FMS_Input[FMS_ID],FMS_Input[FMS_DESCR])</f>
        <v xml:space="preserve">Application to join NFIP or adoption of equivalent standards </v>
      </c>
      <c r="H447" s="248" t="str">
        <f>_xlfn.XLOOKUP(FMS_Ranking4[[#This Row],[FMS ID]],FMS_Input[FMS_ID],FMS_Input[FMS_TYPE])</f>
        <v>Regulatory and Guidance</v>
      </c>
      <c r="I447" s="249">
        <f>_xlfn.XLOOKUP(FMS_Ranking4[[#This Row],[FMS ID]],FMS_Input[FMS_ID],FMS_Input[NRNC_COST])</f>
        <v>100000</v>
      </c>
      <c r="J447" s="250">
        <f>_xlfn.XLOOKUP(FMS_Ranking4[[#This Row],[FMS ID]],FMS_Input[FMS_ID],FMS_Input[FMS_COST])</f>
        <v>100000</v>
      </c>
      <c r="K447" s="251" t="str">
        <f>_xlfn.XLOOKUP(FMS_Ranking4[[#This Row],[FMS ID]],FMS_Input[FMS_ID],FMS_Input[EMER_NEED])</f>
        <v>No</v>
      </c>
      <c r="L447" s="252">
        <f t="shared" si="6"/>
        <v>0</v>
      </c>
      <c r="M447" s="253">
        <f>_xlfn.XLOOKUP(FMS_Ranking4[[#This Row],[FMS ID]],FMS_Input[FMS_ID],FMS_Input[STRUCT_100])</f>
        <v>256</v>
      </c>
      <c r="N447" s="255">
        <f>(ASINH(FMS_Ranking4[[#This Row],[Structure at Risk Raw]]))*(10)/(ASINH(M$4))</f>
        <v>4.9042550004902115</v>
      </c>
      <c r="O447" s="256">
        <f>FMS_Ranking4[[#This Row],[Structures at risk, ArcSinh (0-10)]]*M$5*10</f>
        <v>4.9042550004902115</v>
      </c>
      <c r="P447" s="253">
        <f>_xlfn.XLOOKUP(FMS_Ranking4[[#This Row],[FMS ID]],FMS_Input[FMS_ID],FMS_Input[RES_STRUCT100])</f>
        <v>124</v>
      </c>
      <c r="Q447" s="257">
        <f>ASINH(FMS_Ranking4[[#This Row],[Res Structure Raw]])/Q$4*P$5*100</f>
        <v>0</v>
      </c>
      <c r="R447" s="253">
        <f>_xlfn.XLOOKUP(FMS_Ranking4[[#This Row],[FMS ID]],FMS_Input[FMS_ID],FMS_Input[POP100])</f>
        <v>619</v>
      </c>
      <c r="S447" s="255">
        <f>(ASINH(FMS_Ranking4[[#This Row],[Pop at Risk Raw]]))*(10)/(ASINH(R$4))</f>
        <v>4.9162156034959876</v>
      </c>
      <c r="T447" s="256">
        <f>FMS_Ranking4[[#This Row],[Population at risk, ArcSinh (0-10)]]*R$5*10</f>
        <v>4.9162156034959885</v>
      </c>
      <c r="U447" s="253">
        <f>_xlfn.XLOOKUP(FMS_Ranking4[[#This Row],[FMS ID]],FMS_Input[FMS_ID],FMS_Input[CRITFAC100])</f>
        <v>4</v>
      </c>
      <c r="V447" s="255">
        <f>(ASINH(FMS_Ranking4[[#This Row],[Critical Facilities Raw]]))*(10)/(ASINH(U$4))</f>
        <v>2.4796455944038147</v>
      </c>
      <c r="W447" s="256">
        <f>FMS_Ranking4[[#This Row],[Critical facilities at risk, ArcSinh (0-10)]]*U$5*10</f>
        <v>2.4796455944038147</v>
      </c>
      <c r="X447" s="253">
        <f>_xlfn.XLOOKUP(FMS_Ranking4[[#This Row],[FMS ID]],FMS_Input[FMS_ID],FMS_Input[LWC])</f>
        <v>1</v>
      </c>
      <c r="Y447" s="255">
        <f>(ASINH(FMS_Ranking4[[#This Row],[LWC Raw]]))*(10)/(ASINH(X$4))</f>
        <v>1.1940300948531093</v>
      </c>
      <c r="Z447" s="256">
        <f>FMS_Ranking4[[#This Row],[LWC, ArcSInh (0-10)]]*X$5*10</f>
        <v>1.1940300948531093</v>
      </c>
      <c r="AA447" s="253">
        <f>_xlfn.XLOOKUP(FMS_Ranking4[[#This Row],[FMS ID]],FMS_Input[FMS_ID],FMS_Input[ROADCLS])</f>
        <v>0</v>
      </c>
      <c r="AB447" s="255">
        <f>(ASINH(FMS_Ranking4[[#This Row],[Road Closures Raw]]))*(10)/(ASINH(AA$4))</f>
        <v>0</v>
      </c>
      <c r="AC447" s="256">
        <f>FMS_Ranking4[[#This Row],[Road closures, ArcSinh (0-10)]]*AA$5*10</f>
        <v>0</v>
      </c>
      <c r="AD447" s="253">
        <f>_xlfn.XLOOKUP(FMS_Ranking4[[#This Row],[FMS ID]],FMS_Input[FMS_ID],FMS_Input[ROAD_MILES100])</f>
        <v>30</v>
      </c>
      <c r="AE447" s="255">
        <f>(ASINH(FMS_Ranking4[[#This Row],[Road Miles Raw]]))*(10)/(ASINH(AD$4))</f>
        <v>4.3637407612967882</v>
      </c>
      <c r="AF447" s="256">
        <f>FMS_Ranking4[[#This Row],[Length of roads at risk, ArcSinh (0-10)]]*AD$5*10</f>
        <v>4.3637407612967882</v>
      </c>
      <c r="AG447" s="253">
        <f>_xlfn.XLOOKUP(FMS_Ranking4[[#This Row],[FMS ID]],FMS_Input[FMS_ID],FMS_Input[FARMACRE100])</f>
        <v>359.04638671875</v>
      </c>
      <c r="AH447" s="255">
        <f>(ASINH(FMS_Ranking4[[#This Row],[Ag Land Raw]]))*(10)/(ASINH(AG$4))</f>
        <v>4.2720379528770431</v>
      </c>
      <c r="AI447" s="260">
        <f>FMS_Ranking4[[#This Row],[Farm &amp; ranch land, ArcSinh (0-10)]]*AG$5*10</f>
        <v>2.136018976438522</v>
      </c>
      <c r="AJ447" s="258">
        <f>_xlfn.XLOOKUP(FMS_Ranking4[[#This Row],[FMS ID]],FMS_Input[FMS_ID],FMS_Input[REDSTRUCT100])</f>
        <v>0</v>
      </c>
      <c r="AK447" s="253">
        <f>_xlfn.XLOOKUP(FMS_Ranking4[[#This Row],[FMS ID]],FMS_Input[FMS_ID],FMS_Input[REMSTRC100])</f>
        <v>0</v>
      </c>
      <c r="AL447" s="255">
        <f>(ASINH(FMS_Ranking4[[#This Row],[Structures Removed Raw]]))*(10)/(ASINH(AK$4))</f>
        <v>0</v>
      </c>
      <c r="AM447" s="262">
        <f>FMS_Ranking4[[#This Row],[Structures removed, ArcSinh (0-10)]]*AK$5*10</f>
        <v>0</v>
      </c>
      <c r="AN447" s="253">
        <f>_xlfn.XLOOKUP(FMS_Ranking4[[#This Row],[FMS ID]],FMS_Input[FMS_ID],FMS_Input[REMRESSTRC100])</f>
        <v>0</v>
      </c>
      <c r="AO447" s="261">
        <f>FMS_Ranking4[[#This Row],[ArcSinh Res struct removed 0-10]]*AN$5*10</f>
        <v>0</v>
      </c>
      <c r="AP447" s="260">
        <f>ASINH(FMS_Ranking4[[#This Row],[Residential Structures Removed Raw]])/AP$4*AN$5*100</f>
        <v>0</v>
      </c>
      <c r="AQ447" s="258">
        <f>(ASINH(FMS_Ranking4[[#This Row],[Residential Structures Removed Raw]]))*(10)/(ASINH(AN$4))</f>
        <v>0</v>
      </c>
      <c r="AR447" s="253">
        <f>_xlfn.XLOOKUP(FMS_Ranking4[[#This Row],[FMS ID]],FMS_Input[FMS_ID],FMS_Input[REMPOP100])</f>
        <v>0</v>
      </c>
      <c r="AS447" s="255">
        <f>(ASINH(FMS_Ranking4[[#This Row],[Removed Pop Raw]]))*(10)/(ASINH(AR$4))</f>
        <v>0</v>
      </c>
      <c r="AT447" s="262">
        <f>FMS_Ranking4[[#This Row],[Removed population, ArcSinh (0-10)]]*AR$5*10</f>
        <v>0</v>
      </c>
      <c r="AU447" s="264">
        <f>_xlfn.XLOOKUP(FMS_Ranking4[[#This Row],[FMS ID]],FMS_Input[FMS_ID],FMS_Input[REMCRITFAC100])</f>
        <v>0</v>
      </c>
      <c r="AV447" s="264">
        <f>_xlfn.XLOOKUP(FMS_Ranking4[[#This Row],[FMS ID]],FMS_Input[FMS_ID],FMS_Input[REMLWC100])</f>
        <v>0</v>
      </c>
      <c r="AW447" s="264">
        <f>_xlfn.XLOOKUP(FMS_Ranking4[[#This Row],[FMS ID]],FMS_Input[FMS_ID],FMS_Input[REMROADCLS])</f>
        <v>0</v>
      </c>
      <c r="AX447" s="264">
        <f>_xlfn.XLOOKUP(FMS_Ranking4[[#This Row],[FMS ID]],FMS_Input[FMS_ID],FMS_Input[REMFRMACRE100])</f>
        <v>0</v>
      </c>
      <c r="AY447" s="258">
        <f>_xlfn.XLOOKUP(FMS_Ranking4[[#This Row],[FMS ID]],FMS_Input[FMS_ID],FMS_Input[COSTSTRUCT])</f>
        <v>0</v>
      </c>
      <c r="AZ447" s="253">
        <f>_xlfn.XLOOKUP(FMS_Ranking4[[#This Row],[FMS ID]],FMS_Input[FMS_ID],FMS_Input[NATURE])</f>
        <v>0</v>
      </c>
      <c r="BA447" s="262">
        <f>(((FMS_Ranking4[[#This Row],[% NBS Raw]]/AZ$4)*100)*AZ$5)</f>
        <v>0</v>
      </c>
      <c r="BB447" s="251" t="str">
        <f>_xlfn.XLOOKUP(FMS_Ranking4[[#This Row],[FMS ID]],FMS_Input[FMS_ID],FMS_Input[WATER_SUP])</f>
        <v>No</v>
      </c>
      <c r="BC447" s="265">
        <f>IF(FMS_Ranking4[[#This Row],[Water Supply Raw]]="Yes",10,0)</f>
        <v>0</v>
      </c>
      <c r="BD447" s="266">
        <f>_xlfn.XLOOKUP(FMS_Ranking4[[#This Row],[FMS Type]],FMS_TYPE[FMS_Type],FMS_TYPE[Score])</f>
        <v>8</v>
      </c>
      <c r="BE447" s="267">
        <f>FMS_Ranking4[[#This Row],[FMS_Type Score]]*$BD$5*10</f>
        <v>2</v>
      </c>
      <c r="BF44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0.10246281012861273</v>
      </c>
      <c r="BG447" s="321">
        <f>_xlfn.RANK.EQ(BF447,$BF$8:$BF$870,0)+COUNTIF($BF$8:BF447,BF447)-1</f>
        <v>495</v>
      </c>
      <c r="BH447" s="294">
        <f>(((FMS_Ranking4[[#This Row],[Structures Removed Raw]]/AK$4)*100)*AK$5)+(((FMS_Ranking4[[#This Row],[Removed Pop Raw]]/AR$4)*100)*AR$5)</f>
        <v>0</v>
      </c>
      <c r="BI44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2.1024628101286127</v>
      </c>
      <c r="BJ447" s="251">
        <f>_xlfn.RANK.EQ(FMS_Ranking4[[#This Row],[Total Score 
(with linear
normalization)]],FMS_Ranking4[Total Score 
(with linear
normalization)],0)</f>
        <v>369</v>
      </c>
      <c r="BK447" s="251" t="e">
        <f>_xlfn.XLOOKUP(FMS_Ranking4[[#This Row],[FMS ID]],#REF!,#REF!)</f>
        <v>#REF!</v>
      </c>
      <c r="BL44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19.993906030978433</v>
      </c>
      <c r="BM447" s="324">
        <f>FMS_Ranking4[[#This Row],[ArcSinh Score Based on Normalized Reported Factors]]+FMS_Ranking4[[#This Row],[% NBS Score (Normalized)]]+(FMS_Ranking4[[#This Row],[Water Supply Score (Normalized)]]*10*$BB$5)+FMS_Ranking4[[#This Row],[FMS_Type Score Weighted]]</f>
        <v>21.993906030978433</v>
      </c>
      <c r="BN447" s="251">
        <f>_xlfn.RANK.EQ(FMS_Ranking4[[#This Row],[Total Score (with ArcSinh normalization of select criteria)]],FMS_Ranking4[Total Score (with ArcSinh normalization of select criteria)],0)</f>
        <v>440</v>
      </c>
      <c r="BO447" s="270" t="str">
        <f>_xlfn.XLOOKUP(FMS_Ranking4[[#This Row],[FMS ID]],FMS_Input[FMS_ID],FMS_Input[FMS_RANK_YEAR])</f>
        <v>2023 Amended Plan</v>
      </c>
      <c r="BP447" s="204">
        <f>_xlfn.XLOOKUP(FMS_Ranking4[[#This Row],[FMS ID]],Prev_Rank[FMS ID],Prev_Rank[Prev Rank])</f>
        <v>392</v>
      </c>
      <c r="BQ447" s="251" t="e">
        <f>_xlfn.XLOOKUP(FMS_Ranking4[[#This Row],[FMS ID]],#REF!,#REF!)</f>
        <v>#REF!</v>
      </c>
      <c r="BR447" s="199" t="e">
        <f>SUM(#REF!,#REF!,#REF!,#REF!,#REF!,#REF!,#REF!,#REF!,#REF!,FMS_Ranking4[[#This Row],[ArcSinh Res struct removed 0-10]],#REF!)</f>
        <v>#REF!</v>
      </c>
      <c r="BS447" s="199" t="e">
        <f>FMS_Ranking4[[#This Row],[Log Score Based on Normalized Reported Factors]]+FMS_Ranking4[[#This Row],[% NBS Score (Normalized)]]+(FMS_Ranking4[[#This Row],[Water Supply Score (Normalized)]]*10*$BB$5)+(FMS_Ranking4[[#This Row],[FMS_Type Score Weighted]])</f>
        <v>#REF!</v>
      </c>
      <c r="BT447" s="200" t="e">
        <f>_xlfn.RANK.EQ(FMS_Ranking4[[#This Row],[Log Total Score]],FMS_Ranking4[Log Total Score],0)</f>
        <v>#REF!</v>
      </c>
      <c r="BU447" s="200" t="e">
        <f>_xlfn.XLOOKUP(FMS_Ranking4[[#This Row],[FMS ID]],#REF!,#REF!)</f>
        <v>#REF!</v>
      </c>
      <c r="BV447" s="200">
        <f>FMS_Ranking4[[#This Row],[Region Number]]</f>
        <v>2</v>
      </c>
      <c r="BW447" s="200">
        <f>FMS_Ranking4[[#This Row],[Rank (with ArcSinh normalization of select criteria)]]-FMS_Ranking4[[#This Row],[Rank
(with linear
normalization)]]</f>
        <v>71</v>
      </c>
      <c r="BX447" s="200" t="e">
        <f>FMS_Ranking4[[#This Row],[Log Rank]]-FMS_Ranking4[[#This Row],[Rank
(with linear
normalization)]]</f>
        <v>#REF!</v>
      </c>
      <c r="BY447" s="200" t="str">
        <f>IF(FMS_Ranking4[[#This Row],[FMS Type]]="Flood Measurement and Warning",FMS_Ranking4[[#This Row],[Rank (with ArcSinh normalization of select criteria)]],"")</f>
        <v/>
      </c>
      <c r="BZ447" s="200">
        <f>IF(FMS_Ranking4[[#This Row],[FMS Type]]="Regulatory and Guidance",FMS_Ranking4[[#This Row],[Rank (with ArcSinh normalization of select criteria)]],"")</f>
        <v>440</v>
      </c>
      <c r="CA447" s="200" t="str">
        <f>IF(FMS_Ranking4[[#This Row],[FMS Type]]="Education and Outreach",FMS_Ranking4[[#This Row],[Rank (with ArcSinh normalization of select criteria)]],"")</f>
        <v/>
      </c>
      <c r="CB447" s="200" t="str">
        <f>IF(FMS_Ranking4[[#This Row],[FMS Type]]="Property Acquisition and Structural Elevation",FMS_Ranking4[[#This Row],[Rank (with ArcSinh normalization of select criteria)]],"")</f>
        <v/>
      </c>
      <c r="CC447" s="200" t="str">
        <f>IF(FMS_Ranking4[[#This Row],[FMS Type]]="Infrastructure Projects",FMS_Ranking4[[#This Row],[Rank (with ArcSinh normalization of select criteria)]],"")</f>
        <v/>
      </c>
      <c r="CD447" s="200" t="str">
        <f>IF(FMS_Ranking4[[#This Row],[FMS Type]]="Other",FMS_Ranking4[[#This Row],[Rank (with ArcSinh normalization of select criteria)]],"")</f>
        <v/>
      </c>
      <c r="CE447" s="201"/>
      <c r="CF447" s="206"/>
      <c r="CG447" s="206"/>
      <c r="CH447" s="206"/>
      <c r="CI447" s="206"/>
      <c r="CJ447" s="206"/>
      <c r="CK447" s="206"/>
      <c r="CL447" s="206"/>
      <c r="CM447" s="206"/>
      <c r="CN447" s="206"/>
      <c r="CO447" s="206"/>
      <c r="CP447" s="206"/>
      <c r="CQ447" s="206"/>
      <c r="CR447" s="206"/>
    </row>
    <row r="448" spans="2:96" ht="90" x14ac:dyDescent="0.25">
      <c r="B448" s="341" t="s">
        <v>781</v>
      </c>
      <c r="C448" s="246">
        <f>_xlfn.XLOOKUP(FMS_Ranking4[[#This Row],[FMS ID]],FMS_Input[FMS_ID],FMS_Input[RFPG_NUM])</f>
        <v>9</v>
      </c>
      <c r="D448" s="309" t="str">
        <f>_xlfn.XLOOKUP(FMS_Ranking4[[#This Row],[FMS ID]],FMS_Input[FMS_ID],FMS_Input[FMS_NAME])</f>
        <v>City of Big Lake Flood Warning System</v>
      </c>
      <c r="E448" s="308" t="str">
        <f>_xlfn.XLOOKUP(FMS_Ranking4[[#This Row],[FMS ID]],FMS_Input[FMS_ID],FMS_Input[SPONSOR])</f>
        <v>00000126</v>
      </c>
      <c r="F448" s="309" t="str">
        <f>_xlfn.XLOOKUP(FMS_Ranking4[[#This Row],[FMS ID]],Sponsor[FMS_ID],Sponsor[SPONSOR NAME])</f>
        <v>Reagan</v>
      </c>
      <c r="G448" s="309" t="str">
        <f>_xlfn.XLOOKUP(FMS_Ranking4[[#This Row],[FMS ID]],FMS_Input[FMS_ID],FMS_Input[FMS_DESCR])</f>
        <v xml:space="preserve">Implement an education program to inform and notify residents of evacuation routes and dangers of driving into flooded roads and low-water crossings  </v>
      </c>
      <c r="H448" s="248" t="str">
        <f>_xlfn.XLOOKUP(FMS_Ranking4[[#This Row],[FMS ID]],FMS_Input[FMS_ID],FMS_Input[FMS_TYPE])</f>
        <v>Other</v>
      </c>
      <c r="I448" s="249">
        <f>_xlfn.XLOOKUP(FMS_Ranking4[[#This Row],[FMS ID]],FMS_Input[FMS_ID],FMS_Input[NRNC_COST])</f>
        <v>5000</v>
      </c>
      <c r="J448" s="250">
        <f>_xlfn.XLOOKUP(FMS_Ranking4[[#This Row],[FMS ID]],FMS_Input[FMS_ID],FMS_Input[FMS_COST])</f>
        <v>30000</v>
      </c>
      <c r="K448" s="251" t="str">
        <f>_xlfn.XLOOKUP(FMS_Ranking4[[#This Row],[FMS ID]],FMS_Input[FMS_ID],FMS_Input[EMER_NEED])</f>
        <v>No</v>
      </c>
      <c r="L448" s="252">
        <f t="shared" si="6"/>
        <v>0</v>
      </c>
      <c r="M448" s="253">
        <f>_xlfn.XLOOKUP(FMS_Ranking4[[#This Row],[FMS ID]],FMS_Input[FMS_ID],FMS_Input[STRUCT_100])</f>
        <v>68</v>
      </c>
      <c r="N448" s="255">
        <f>(ASINH(FMS_Ranking4[[#This Row],[Structure at Risk Raw]]))*(10)/(ASINH(M$4))</f>
        <v>3.862120703097963</v>
      </c>
      <c r="O448" s="256">
        <f>FMS_Ranking4[[#This Row],[Structures at risk, ArcSinh (0-10)]]*M$5*10</f>
        <v>3.862120703097963</v>
      </c>
      <c r="P448" s="253">
        <f>_xlfn.XLOOKUP(FMS_Ranking4[[#This Row],[FMS ID]],FMS_Input[FMS_ID],FMS_Input[RES_STRUCT100])</f>
        <v>49</v>
      </c>
      <c r="Q448" s="257">
        <f>ASINH(FMS_Ranking4[[#This Row],[Res Structure Raw]])/Q$4*P$5*100</f>
        <v>0</v>
      </c>
      <c r="R448" s="253">
        <f>_xlfn.XLOOKUP(FMS_Ranking4[[#This Row],[FMS ID]],FMS_Input[FMS_ID],FMS_Input[POP100])</f>
        <v>138</v>
      </c>
      <c r="S448" s="259">
        <f>(ASINH(FMS_Ranking4[[#This Row],[Pop at Risk Raw]]))*(10)/(ASINH(R$4))</f>
        <v>3.8800989882107069</v>
      </c>
      <c r="T448" s="256">
        <f>FMS_Ranking4[[#This Row],[Population at risk, ArcSinh (0-10)]]*R$5*10</f>
        <v>3.8800989882107073</v>
      </c>
      <c r="U448" s="253">
        <f>_xlfn.XLOOKUP(FMS_Ranking4[[#This Row],[FMS ID]],FMS_Input[FMS_ID],FMS_Input[CRITFAC100])</f>
        <v>0</v>
      </c>
      <c r="V448" s="259">
        <f>(ASINH(FMS_Ranking4[[#This Row],[Critical Facilities Raw]]))*(10)/(ASINH(U$4))</f>
        <v>0</v>
      </c>
      <c r="W448" s="256">
        <f>FMS_Ranking4[[#This Row],[Critical facilities at risk, ArcSinh (0-10)]]*U$5*10</f>
        <v>0</v>
      </c>
      <c r="X448" s="253">
        <f>_xlfn.XLOOKUP(FMS_Ranking4[[#This Row],[FMS ID]],FMS_Input[FMS_ID],FMS_Input[LWC])</f>
        <v>2</v>
      </c>
      <c r="Y448" s="259">
        <f>(ASINH(FMS_Ranking4[[#This Row],[LWC Raw]]))*(10)/(ASINH(X$4))</f>
        <v>1.9557475158633808</v>
      </c>
      <c r="Z448" s="256">
        <f>FMS_Ranking4[[#This Row],[LWC, ArcSInh (0-10)]]*X$5*10</f>
        <v>1.9557475158633808</v>
      </c>
      <c r="AA448" s="253">
        <f>_xlfn.XLOOKUP(FMS_Ranking4[[#This Row],[FMS ID]],FMS_Input[FMS_ID],FMS_Input[ROADCLS])</f>
        <v>0</v>
      </c>
      <c r="AB448" s="255">
        <f>(ASINH(FMS_Ranking4[[#This Row],[Road Closures Raw]]))*(10)/(ASINH(AA$4))</f>
        <v>0</v>
      </c>
      <c r="AC448" s="256">
        <f>FMS_Ranking4[[#This Row],[Road closures, ArcSinh (0-10)]]*AA$5*10</f>
        <v>0</v>
      </c>
      <c r="AD448" s="253">
        <f>_xlfn.XLOOKUP(FMS_Ranking4[[#This Row],[FMS ID]],FMS_Input[FMS_ID],FMS_Input[ROAD_MILES100])</f>
        <v>2</v>
      </c>
      <c r="AE448" s="259">
        <f>(ASINH(FMS_Ranking4[[#This Row],[Road Miles Raw]]))*(10)/(ASINH(AD$4))</f>
        <v>1.5385182374234352</v>
      </c>
      <c r="AF448" s="256">
        <f>FMS_Ranking4[[#This Row],[Length of roads at risk, ArcSinh (0-10)]]*AD$5*10</f>
        <v>1.5385182374234352</v>
      </c>
      <c r="AG448" s="253">
        <f>_xlfn.XLOOKUP(FMS_Ranking4[[#This Row],[FMS ID]],FMS_Input[FMS_ID],FMS_Input[FARMACRE100])</f>
        <v>9.5609575510025024E-2</v>
      </c>
      <c r="AH448" s="255">
        <f>(ASINH(FMS_Ranking4[[#This Row],[Ag Land Raw]]))*(10)/(ASINH(AG$4))</f>
        <v>6.2011974876636233E-2</v>
      </c>
      <c r="AI448" s="260">
        <f>FMS_Ranking4[[#This Row],[Farm &amp; ranch land, ArcSinh (0-10)]]*AG$5*10</f>
        <v>3.1005987438318117E-2</v>
      </c>
      <c r="AJ448" s="258">
        <f>_xlfn.XLOOKUP(FMS_Ranking4[[#This Row],[FMS ID]],FMS_Input[FMS_ID],FMS_Input[REDSTRUCT100])</f>
        <v>17</v>
      </c>
      <c r="AK448" s="253">
        <f>_xlfn.XLOOKUP(FMS_Ranking4[[#This Row],[FMS ID]],FMS_Input[FMS_ID],FMS_Input[REMSTRC100])</f>
        <v>17</v>
      </c>
      <c r="AL448" s="259">
        <f>(ASINH(FMS_Ranking4[[#This Row],[Structures Removed Raw]]))*(10)/(ASINH(AK$4))</f>
        <v>4.0159968188871185</v>
      </c>
      <c r="AM448" s="262">
        <f>FMS_Ranking4[[#This Row],[Structures removed, ArcSinh (0-10)]]*AK$5*10</f>
        <v>4.0159968188871185</v>
      </c>
      <c r="AN448" s="253">
        <f>_xlfn.XLOOKUP(FMS_Ranking4[[#This Row],[FMS ID]],FMS_Input[FMS_ID],FMS_Input[REMRESSTRC100])</f>
        <v>12</v>
      </c>
      <c r="AO448" s="261">
        <f>FMS_Ranking4[[#This Row],[ArcSinh Res struct removed 0-10]]*AN$5*10</f>
        <v>1.8650283178354909</v>
      </c>
      <c r="AP448" s="260">
        <f>ASINH(FMS_Ranking4[[#This Row],[Residential Structures Removed Raw]])/AP$4*AN$5*100</f>
        <v>1.8650283178354912</v>
      </c>
      <c r="AQ448" s="254">
        <f>(ASINH(FMS_Ranking4[[#This Row],[Residential Structures Removed Raw]]))*(10)/(ASINH(AN$4))</f>
        <v>3.7300566356709819</v>
      </c>
      <c r="AR448" s="253">
        <f>_xlfn.XLOOKUP(FMS_Ranking4[[#This Row],[FMS ID]],FMS_Input[FMS_ID],FMS_Input[REMPOP100])</f>
        <v>40</v>
      </c>
      <c r="AS448" s="259">
        <f>(ASINH(FMS_Ranking4[[#This Row],[Removed Pop Raw]]))*(10)/(ASINH(AR$4))</f>
        <v>4.3016402677477705</v>
      </c>
      <c r="AT448" s="262">
        <f>FMS_Ranking4[[#This Row],[Removed population, ArcSinh (0-10)]]*AR$5*10</f>
        <v>4.3016402677477705</v>
      </c>
      <c r="AU448" s="264">
        <f>_xlfn.XLOOKUP(FMS_Ranking4[[#This Row],[FMS ID]],FMS_Input[FMS_ID],FMS_Input[REMCRITFAC100])</f>
        <v>0</v>
      </c>
      <c r="AV448" s="264">
        <f>_xlfn.XLOOKUP(FMS_Ranking4[[#This Row],[FMS ID]],FMS_Input[FMS_ID],FMS_Input[REMLWC100])</f>
        <v>0</v>
      </c>
      <c r="AW448" s="264">
        <f>_xlfn.XLOOKUP(FMS_Ranking4[[#This Row],[FMS ID]],FMS_Input[FMS_ID],FMS_Input[REMROADCLS])</f>
        <v>0</v>
      </c>
      <c r="AX448" s="264">
        <f>_xlfn.XLOOKUP(FMS_Ranking4[[#This Row],[FMS ID]],FMS_Input[FMS_ID],FMS_Input[REMFRMACRE100])</f>
        <v>2.390239387750626E-2</v>
      </c>
      <c r="AY448" s="258">
        <f>_xlfn.XLOOKUP(FMS_Ranking4[[#This Row],[FMS ID]],FMS_Input[FMS_ID],FMS_Input[COSTSTRUCT])</f>
        <v>25000</v>
      </c>
      <c r="AZ448" s="253">
        <f>_xlfn.XLOOKUP(FMS_Ranking4[[#This Row],[FMS ID]],FMS_Input[FMS_ID],FMS_Input[NATURE])</f>
        <v>0</v>
      </c>
      <c r="BA448" s="262">
        <f>(((FMS_Ranking4[[#This Row],[% NBS Raw]]/AZ$4)*100)*AZ$5)</f>
        <v>0</v>
      </c>
      <c r="BB448" s="251" t="str">
        <f>_xlfn.XLOOKUP(FMS_Ranking4[[#This Row],[FMS ID]],FMS_Input[FMS_ID],FMS_Input[WATER_SUP])</f>
        <v>No</v>
      </c>
      <c r="BC448" s="265">
        <f>IF(FMS_Ranking4[[#This Row],[Water Supply Raw]]="Yes",10,0)</f>
        <v>0</v>
      </c>
      <c r="BD448" s="266">
        <f>_xlfn.XLOOKUP(FMS_Ranking4[[#This Row],[FMS Type]],FMS_TYPE[FMS_Type],FMS_TYPE[Score])</f>
        <v>2</v>
      </c>
      <c r="BE448" s="267">
        <f>FMS_Ranking4[[#This Row],[FMS_Type Score]]*$BD$5*10</f>
        <v>0.5</v>
      </c>
      <c r="BF44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3.3750643869240267E-2</v>
      </c>
      <c r="BG448" s="271">
        <f>_xlfn.RANK.EQ(BF448,$BF$8:$BF$870,0)+COUNTIF($BF$8:BF448,BF448)-1</f>
        <v>589</v>
      </c>
      <c r="BH448" s="268">
        <f>(((FMS_Ranking4[[#This Row],[Structures Removed Raw]]/AK$4)*100)*AK$5)+(((FMS_Ranking4[[#This Row],[Removed Pop Raw]]/AR$4)*100)*AR$5)</f>
        <v>8.2249462073320401E-2</v>
      </c>
      <c r="BI44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0.61600010594256061</v>
      </c>
      <c r="BJ448" s="205">
        <f>_xlfn.RANK.EQ(FMS_Ranking4[[#This Row],[Total Score 
(with linear
normalization)]],FMS_Ranking4[Total Score 
(with linear
normalization)],0)</f>
        <v>818</v>
      </c>
      <c r="BK448" s="205" t="e">
        <f>_xlfn.XLOOKUP(FMS_Ranking4[[#This Row],[FMS ID]],#REF!,#REF!)</f>
        <v>#REF!</v>
      </c>
      <c r="BL44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21.450156836504185</v>
      </c>
      <c r="BM448" s="272">
        <f>FMS_Ranking4[[#This Row],[ArcSinh Score Based on Normalized Reported Factors]]+FMS_Ranking4[[#This Row],[% NBS Score (Normalized)]]+(FMS_Ranking4[[#This Row],[Water Supply Score (Normalized)]]*10*$BB$5)+FMS_Ranking4[[#This Row],[FMS_Type Score Weighted]]</f>
        <v>21.950156836504185</v>
      </c>
      <c r="BN448" s="205">
        <f>_xlfn.RANK.EQ(FMS_Ranking4[[#This Row],[Total Score (with ArcSinh normalization of select criteria)]],FMS_Ranking4[Total Score (with ArcSinh normalization of select criteria)],0)</f>
        <v>441</v>
      </c>
      <c r="BO448" s="270" t="str">
        <f>_xlfn.XLOOKUP(FMS_Ranking4[[#This Row],[FMS ID]],FMS_Input[FMS_ID],FMS_Input[FMS_RANK_YEAR])</f>
        <v>2023 Amended Plan</v>
      </c>
      <c r="BP448" s="204">
        <f>_xlfn.XLOOKUP(FMS_Ranking4[[#This Row],[FMS ID]],Prev_Rank[FMS ID],Prev_Rank[Prev Rank])</f>
        <v>417</v>
      </c>
      <c r="BQ448" s="205" t="e">
        <f>_xlfn.XLOOKUP(FMS_Ranking4[[#This Row],[FMS ID]],#REF!,#REF!)</f>
        <v>#REF!</v>
      </c>
      <c r="BR448" s="199" t="e">
        <f>SUM(#REF!,#REF!,#REF!,#REF!,#REF!,#REF!,#REF!,#REF!,#REF!,FMS_Ranking4[[#This Row],[ArcSinh Res struct removed 0-10]],#REF!)</f>
        <v>#REF!</v>
      </c>
      <c r="BS448" s="199" t="e">
        <f>FMS_Ranking4[[#This Row],[Log Score Based on Normalized Reported Factors]]+FMS_Ranking4[[#This Row],[% NBS Score (Normalized)]]+(FMS_Ranking4[[#This Row],[Water Supply Score (Normalized)]]*10*$BB$5)+(FMS_Ranking4[[#This Row],[FMS_Type Score Weighted]])</f>
        <v>#REF!</v>
      </c>
      <c r="BT448" s="200" t="e">
        <f>_xlfn.RANK.EQ(FMS_Ranking4[[#This Row],[Log Total Score]],FMS_Ranking4[Log Total Score],0)</f>
        <v>#REF!</v>
      </c>
      <c r="BU448" s="200" t="e">
        <f>_xlfn.XLOOKUP(FMS_Ranking4[[#This Row],[FMS ID]],#REF!,#REF!)</f>
        <v>#REF!</v>
      </c>
      <c r="BV448" s="200">
        <f>FMS_Ranking4[[#This Row],[Region Number]]</f>
        <v>9</v>
      </c>
      <c r="BW448" s="200">
        <f>FMS_Ranking4[[#This Row],[Rank (with ArcSinh normalization of select criteria)]]-FMS_Ranking4[[#This Row],[Rank
(with linear
normalization)]]</f>
        <v>-377</v>
      </c>
      <c r="BX448" s="200" t="e">
        <f>FMS_Ranking4[[#This Row],[Log Rank]]-FMS_Ranking4[[#This Row],[Rank
(with linear
normalization)]]</f>
        <v>#REF!</v>
      </c>
      <c r="BY448" s="200" t="str">
        <f>IF(FMS_Ranking4[[#This Row],[FMS Type]]="Flood Measurement and Warning",FMS_Ranking4[[#This Row],[Rank (with ArcSinh normalization of select criteria)]],"")</f>
        <v/>
      </c>
      <c r="BZ448" s="200" t="str">
        <f>IF(FMS_Ranking4[[#This Row],[FMS Type]]="Regulatory and Guidance",FMS_Ranking4[[#This Row],[Rank (with ArcSinh normalization of select criteria)]],"")</f>
        <v/>
      </c>
      <c r="CA448" s="200" t="str">
        <f>IF(FMS_Ranking4[[#This Row],[FMS Type]]="Education and Outreach",FMS_Ranking4[[#This Row],[Rank (with ArcSinh normalization of select criteria)]],"")</f>
        <v/>
      </c>
      <c r="CB448" s="200" t="str">
        <f>IF(FMS_Ranking4[[#This Row],[FMS Type]]="Property Acquisition and Structural Elevation",FMS_Ranking4[[#This Row],[Rank (with ArcSinh normalization of select criteria)]],"")</f>
        <v/>
      </c>
      <c r="CC448" s="200" t="str">
        <f>IF(FMS_Ranking4[[#This Row],[FMS Type]]="Infrastructure Projects",FMS_Ranking4[[#This Row],[Rank (with ArcSinh normalization of select criteria)]],"")</f>
        <v/>
      </c>
      <c r="CD448" s="200">
        <f>IF(FMS_Ranking4[[#This Row],[FMS Type]]="Other",FMS_Ranking4[[#This Row],[Rank (with ArcSinh normalization of select criteria)]],"")</f>
        <v>441</v>
      </c>
      <c r="CE448" s="201"/>
      <c r="CF448" s="206"/>
      <c r="CG448" s="206"/>
      <c r="CH448" s="206"/>
      <c r="CI448" s="206"/>
      <c r="CJ448" s="206"/>
      <c r="CK448" s="206"/>
      <c r="CL448" s="206"/>
      <c r="CM448" s="206"/>
      <c r="CN448" s="206"/>
      <c r="CO448" s="206"/>
      <c r="CP448" s="206"/>
      <c r="CQ448" s="206"/>
      <c r="CR448" s="206"/>
    </row>
    <row r="449" spans="2:96" ht="30" x14ac:dyDescent="0.25">
      <c r="B449" s="341" t="s">
        <v>791</v>
      </c>
      <c r="C449" s="246">
        <f>_xlfn.XLOOKUP(FMS_Ranking4[[#This Row],[FMS ID]],FMS_Input[FMS_ID],FMS_Input[RFPG_NUM])</f>
        <v>9</v>
      </c>
      <c r="D449" s="309" t="str">
        <f>_xlfn.XLOOKUP(FMS_Ranking4[[#This Row],[FMS ID]],FMS_Input[FMS_ID],FMS_Input[FMS_NAME])</f>
        <v>City of Big Lake CTP Program</v>
      </c>
      <c r="E449" s="308" t="str">
        <f>_xlfn.XLOOKUP(FMS_Ranking4[[#This Row],[FMS ID]],FMS_Input[FMS_ID],FMS_Input[SPONSOR])</f>
        <v>00000126</v>
      </c>
      <c r="F449" s="309" t="str">
        <f>_xlfn.XLOOKUP(FMS_Ranking4[[#This Row],[FMS ID]],Sponsor[FMS_ID],Sponsor[SPONSOR NAME])</f>
        <v>Reagan</v>
      </c>
      <c r="G449" s="309" t="str">
        <f>_xlfn.XLOOKUP(FMS_Ranking4[[#This Row],[FMS ID]],FMS_Input[FMS_ID],FMS_Input[FMS_DESCR])</f>
        <v>Draft CTP program</v>
      </c>
      <c r="H449" s="248" t="str">
        <f>_xlfn.XLOOKUP(FMS_Ranking4[[#This Row],[FMS ID]],FMS_Input[FMS_ID],FMS_Input[FMS_TYPE])</f>
        <v>Other</v>
      </c>
      <c r="I449" s="249">
        <f>_xlfn.XLOOKUP(FMS_Ranking4[[#This Row],[FMS ID]],FMS_Input[FMS_ID],FMS_Input[NRNC_COST])</f>
        <v>5000</v>
      </c>
      <c r="J449" s="250">
        <f>_xlfn.XLOOKUP(FMS_Ranking4[[#This Row],[FMS ID]],FMS_Input[FMS_ID],FMS_Input[FMS_COST])</f>
        <v>30000</v>
      </c>
      <c r="K449" s="251" t="str">
        <f>_xlfn.XLOOKUP(FMS_Ranking4[[#This Row],[FMS ID]],FMS_Input[FMS_ID],FMS_Input[EMER_NEED])</f>
        <v>No</v>
      </c>
      <c r="L449" s="252">
        <f t="shared" si="6"/>
        <v>0</v>
      </c>
      <c r="M449" s="253">
        <f>_xlfn.XLOOKUP(FMS_Ranking4[[#This Row],[FMS ID]],FMS_Input[FMS_ID],FMS_Input[STRUCT_100])</f>
        <v>68</v>
      </c>
      <c r="N449" s="255">
        <f>(ASINH(FMS_Ranking4[[#This Row],[Structure at Risk Raw]]))*(10)/(ASINH(M$4))</f>
        <v>3.862120703097963</v>
      </c>
      <c r="O449" s="256">
        <f>FMS_Ranking4[[#This Row],[Structures at risk, ArcSinh (0-10)]]*M$5*10</f>
        <v>3.862120703097963</v>
      </c>
      <c r="P449" s="253">
        <f>_xlfn.XLOOKUP(FMS_Ranking4[[#This Row],[FMS ID]],FMS_Input[FMS_ID],FMS_Input[RES_STRUCT100])</f>
        <v>49</v>
      </c>
      <c r="Q449" s="257">
        <f>ASINH(FMS_Ranking4[[#This Row],[Res Structure Raw]])/Q$4*P$5*100</f>
        <v>0</v>
      </c>
      <c r="R449" s="253">
        <f>_xlfn.XLOOKUP(FMS_Ranking4[[#This Row],[FMS ID]],FMS_Input[FMS_ID],FMS_Input[POP100])</f>
        <v>138</v>
      </c>
      <c r="S449" s="259">
        <f>(ASINH(FMS_Ranking4[[#This Row],[Pop at Risk Raw]]))*(10)/(ASINH(R$4))</f>
        <v>3.8800989882107069</v>
      </c>
      <c r="T449" s="256">
        <f>FMS_Ranking4[[#This Row],[Population at risk, ArcSinh (0-10)]]*R$5*10</f>
        <v>3.8800989882107073</v>
      </c>
      <c r="U449" s="253">
        <f>_xlfn.XLOOKUP(FMS_Ranking4[[#This Row],[FMS ID]],FMS_Input[FMS_ID],FMS_Input[CRITFAC100])</f>
        <v>0</v>
      </c>
      <c r="V449" s="259">
        <f>(ASINH(FMS_Ranking4[[#This Row],[Critical Facilities Raw]]))*(10)/(ASINH(U$4))</f>
        <v>0</v>
      </c>
      <c r="W449" s="256">
        <f>FMS_Ranking4[[#This Row],[Critical facilities at risk, ArcSinh (0-10)]]*U$5*10</f>
        <v>0</v>
      </c>
      <c r="X449" s="253">
        <f>_xlfn.XLOOKUP(FMS_Ranking4[[#This Row],[FMS ID]],FMS_Input[FMS_ID],FMS_Input[LWC])</f>
        <v>2</v>
      </c>
      <c r="Y449" s="259">
        <f>(ASINH(FMS_Ranking4[[#This Row],[LWC Raw]]))*(10)/(ASINH(X$4))</f>
        <v>1.9557475158633808</v>
      </c>
      <c r="Z449" s="256">
        <f>FMS_Ranking4[[#This Row],[LWC, ArcSInh (0-10)]]*X$5*10</f>
        <v>1.9557475158633808</v>
      </c>
      <c r="AA449" s="253">
        <f>_xlfn.XLOOKUP(FMS_Ranking4[[#This Row],[FMS ID]],FMS_Input[FMS_ID],FMS_Input[ROADCLS])</f>
        <v>0</v>
      </c>
      <c r="AB449" s="255">
        <f>(ASINH(FMS_Ranking4[[#This Row],[Road Closures Raw]]))*(10)/(ASINH(AA$4))</f>
        <v>0</v>
      </c>
      <c r="AC449" s="256">
        <f>FMS_Ranking4[[#This Row],[Road closures, ArcSinh (0-10)]]*AA$5*10</f>
        <v>0</v>
      </c>
      <c r="AD449" s="253">
        <f>_xlfn.XLOOKUP(FMS_Ranking4[[#This Row],[FMS ID]],FMS_Input[FMS_ID],FMS_Input[ROAD_MILES100])</f>
        <v>2</v>
      </c>
      <c r="AE449" s="259">
        <f>(ASINH(FMS_Ranking4[[#This Row],[Road Miles Raw]]))*(10)/(ASINH(AD$4))</f>
        <v>1.5385182374234352</v>
      </c>
      <c r="AF449" s="256">
        <f>FMS_Ranking4[[#This Row],[Length of roads at risk, ArcSinh (0-10)]]*AD$5*10</f>
        <v>1.5385182374234352</v>
      </c>
      <c r="AG449" s="253">
        <f>_xlfn.XLOOKUP(FMS_Ranking4[[#This Row],[FMS ID]],FMS_Input[FMS_ID],FMS_Input[FARMACRE100])</f>
        <v>9.5609575510025024E-2</v>
      </c>
      <c r="AH449" s="255">
        <f>(ASINH(FMS_Ranking4[[#This Row],[Ag Land Raw]]))*(10)/(ASINH(AG$4))</f>
        <v>6.2011974876636233E-2</v>
      </c>
      <c r="AI449" s="260">
        <f>FMS_Ranking4[[#This Row],[Farm &amp; ranch land, ArcSinh (0-10)]]*AG$5*10</f>
        <v>3.1005987438318117E-2</v>
      </c>
      <c r="AJ449" s="258">
        <f>_xlfn.XLOOKUP(FMS_Ranking4[[#This Row],[FMS ID]],FMS_Input[FMS_ID],FMS_Input[REDSTRUCT100])</f>
        <v>17</v>
      </c>
      <c r="AK449" s="253">
        <f>_xlfn.XLOOKUP(FMS_Ranking4[[#This Row],[FMS ID]],FMS_Input[FMS_ID],FMS_Input[REMSTRC100])</f>
        <v>17</v>
      </c>
      <c r="AL449" s="259">
        <f>(ASINH(FMS_Ranking4[[#This Row],[Structures Removed Raw]]))*(10)/(ASINH(AK$4))</f>
        <v>4.0159968188871185</v>
      </c>
      <c r="AM449" s="262">
        <f>FMS_Ranking4[[#This Row],[Structures removed, ArcSinh (0-10)]]*AK$5*10</f>
        <v>4.0159968188871185</v>
      </c>
      <c r="AN449" s="253">
        <f>_xlfn.XLOOKUP(FMS_Ranking4[[#This Row],[FMS ID]],FMS_Input[FMS_ID],FMS_Input[REMRESSTRC100])</f>
        <v>12</v>
      </c>
      <c r="AO449" s="261">
        <f>FMS_Ranking4[[#This Row],[ArcSinh Res struct removed 0-10]]*AN$5*10</f>
        <v>1.8650283178354909</v>
      </c>
      <c r="AP449" s="260">
        <f>ASINH(FMS_Ranking4[[#This Row],[Residential Structures Removed Raw]])/AP$4*AN$5*100</f>
        <v>1.8650283178354912</v>
      </c>
      <c r="AQ449" s="254">
        <f>(ASINH(FMS_Ranking4[[#This Row],[Residential Structures Removed Raw]]))*(10)/(ASINH(AN$4))</f>
        <v>3.7300566356709819</v>
      </c>
      <c r="AR449" s="253">
        <f>_xlfn.XLOOKUP(FMS_Ranking4[[#This Row],[FMS ID]],FMS_Input[FMS_ID],FMS_Input[REMPOP100])</f>
        <v>40</v>
      </c>
      <c r="AS449" s="259">
        <f>(ASINH(FMS_Ranking4[[#This Row],[Removed Pop Raw]]))*(10)/(ASINH(AR$4))</f>
        <v>4.3016402677477705</v>
      </c>
      <c r="AT449" s="262">
        <f>FMS_Ranking4[[#This Row],[Removed population, ArcSinh (0-10)]]*AR$5*10</f>
        <v>4.3016402677477705</v>
      </c>
      <c r="AU449" s="264">
        <f>_xlfn.XLOOKUP(FMS_Ranking4[[#This Row],[FMS ID]],FMS_Input[FMS_ID],FMS_Input[REMCRITFAC100])</f>
        <v>0</v>
      </c>
      <c r="AV449" s="264">
        <f>_xlfn.XLOOKUP(FMS_Ranking4[[#This Row],[FMS ID]],FMS_Input[FMS_ID],FMS_Input[REMLWC100])</f>
        <v>0</v>
      </c>
      <c r="AW449" s="264">
        <f>_xlfn.XLOOKUP(FMS_Ranking4[[#This Row],[FMS ID]],FMS_Input[FMS_ID],FMS_Input[REMROADCLS])</f>
        <v>0</v>
      </c>
      <c r="AX449" s="264">
        <f>_xlfn.XLOOKUP(FMS_Ranking4[[#This Row],[FMS ID]],FMS_Input[FMS_ID],FMS_Input[REMFRMACRE100])</f>
        <v>2.390239387750626E-2</v>
      </c>
      <c r="AY449" s="258">
        <f>_xlfn.XLOOKUP(FMS_Ranking4[[#This Row],[FMS ID]],FMS_Input[FMS_ID],FMS_Input[COSTSTRUCT])</f>
        <v>25000</v>
      </c>
      <c r="AZ449" s="253">
        <f>_xlfn.XLOOKUP(FMS_Ranking4[[#This Row],[FMS ID]],FMS_Input[FMS_ID],FMS_Input[NATURE])</f>
        <v>0</v>
      </c>
      <c r="BA449" s="262">
        <f>(((FMS_Ranking4[[#This Row],[% NBS Raw]]/AZ$4)*100)*AZ$5)</f>
        <v>0</v>
      </c>
      <c r="BB449" s="251" t="str">
        <f>_xlfn.XLOOKUP(FMS_Ranking4[[#This Row],[FMS ID]],FMS_Input[FMS_ID],FMS_Input[WATER_SUP])</f>
        <v>No</v>
      </c>
      <c r="BC449" s="265">
        <f>IF(FMS_Ranking4[[#This Row],[Water Supply Raw]]="Yes",10,0)</f>
        <v>0</v>
      </c>
      <c r="BD449" s="266">
        <f>_xlfn.XLOOKUP(FMS_Ranking4[[#This Row],[FMS Type]],FMS_TYPE[FMS_Type],FMS_TYPE[Score])</f>
        <v>2</v>
      </c>
      <c r="BE449" s="267">
        <f>FMS_Ranking4[[#This Row],[FMS_Type Score]]*$BD$5*10</f>
        <v>0.5</v>
      </c>
      <c r="BF44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3.3750643869240267E-2</v>
      </c>
      <c r="BG449" s="271">
        <f>_xlfn.RANK.EQ(BF449,$BF$8:$BF$870,0)+COUNTIF($BF$8:BF449,BF449)-1</f>
        <v>590</v>
      </c>
      <c r="BH449" s="268">
        <f>(((FMS_Ranking4[[#This Row],[Structures Removed Raw]]/AK$4)*100)*AK$5)+(((FMS_Ranking4[[#This Row],[Removed Pop Raw]]/AR$4)*100)*AR$5)</f>
        <v>8.2249462073320401E-2</v>
      </c>
      <c r="BI44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0.61600010594256061</v>
      </c>
      <c r="BJ449" s="205">
        <f>_xlfn.RANK.EQ(FMS_Ranking4[[#This Row],[Total Score 
(with linear
normalization)]],FMS_Ranking4[Total Score 
(with linear
normalization)],0)</f>
        <v>818</v>
      </c>
      <c r="BK449" s="205" t="e">
        <f>_xlfn.XLOOKUP(FMS_Ranking4[[#This Row],[FMS ID]],#REF!,#REF!)</f>
        <v>#REF!</v>
      </c>
      <c r="BL44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21.450156836504185</v>
      </c>
      <c r="BM449" s="272">
        <f>FMS_Ranking4[[#This Row],[ArcSinh Score Based on Normalized Reported Factors]]+FMS_Ranking4[[#This Row],[% NBS Score (Normalized)]]+(FMS_Ranking4[[#This Row],[Water Supply Score (Normalized)]]*10*$BB$5)+FMS_Ranking4[[#This Row],[FMS_Type Score Weighted]]</f>
        <v>21.950156836504185</v>
      </c>
      <c r="BN449" s="205">
        <f>_xlfn.RANK.EQ(FMS_Ranking4[[#This Row],[Total Score (with ArcSinh normalization of select criteria)]],FMS_Ranking4[Total Score (with ArcSinh normalization of select criteria)],0)</f>
        <v>441</v>
      </c>
      <c r="BO449" s="270" t="str">
        <f>_xlfn.XLOOKUP(FMS_Ranking4[[#This Row],[FMS ID]],FMS_Input[FMS_ID],FMS_Input[FMS_RANK_YEAR])</f>
        <v>2023 Amended Plan</v>
      </c>
      <c r="BP449" s="204">
        <f>_xlfn.XLOOKUP(FMS_Ranking4[[#This Row],[FMS ID]],Prev_Rank[FMS ID],Prev_Rank[Prev Rank])</f>
        <v>417</v>
      </c>
      <c r="BQ449" s="205" t="e">
        <f>_xlfn.XLOOKUP(FMS_Ranking4[[#This Row],[FMS ID]],#REF!,#REF!)</f>
        <v>#REF!</v>
      </c>
      <c r="BR449" s="199" t="e">
        <f>SUM(#REF!,#REF!,#REF!,#REF!,#REF!,#REF!,#REF!,#REF!,#REF!,FMS_Ranking4[[#This Row],[ArcSinh Res struct removed 0-10]],#REF!)</f>
        <v>#REF!</v>
      </c>
      <c r="BS449" s="199" t="e">
        <f>FMS_Ranking4[[#This Row],[Log Score Based on Normalized Reported Factors]]+FMS_Ranking4[[#This Row],[% NBS Score (Normalized)]]+(FMS_Ranking4[[#This Row],[Water Supply Score (Normalized)]]*10*$BB$5)+(FMS_Ranking4[[#This Row],[FMS_Type Score Weighted]])</f>
        <v>#REF!</v>
      </c>
      <c r="BT449" s="200" t="e">
        <f>_xlfn.RANK.EQ(FMS_Ranking4[[#This Row],[Log Total Score]],FMS_Ranking4[Log Total Score],0)</f>
        <v>#REF!</v>
      </c>
      <c r="BU449" s="200" t="e">
        <f>_xlfn.XLOOKUP(FMS_Ranking4[[#This Row],[FMS ID]],#REF!,#REF!)</f>
        <v>#REF!</v>
      </c>
      <c r="BV449" s="200">
        <f>FMS_Ranking4[[#This Row],[Region Number]]</f>
        <v>9</v>
      </c>
      <c r="BW449" s="200">
        <f>FMS_Ranking4[[#This Row],[Rank (with ArcSinh normalization of select criteria)]]-FMS_Ranking4[[#This Row],[Rank
(with linear
normalization)]]</f>
        <v>-377</v>
      </c>
      <c r="BX449" s="200" t="e">
        <f>FMS_Ranking4[[#This Row],[Log Rank]]-FMS_Ranking4[[#This Row],[Rank
(with linear
normalization)]]</f>
        <v>#REF!</v>
      </c>
      <c r="BY449" s="200" t="str">
        <f>IF(FMS_Ranking4[[#This Row],[FMS Type]]="Flood Measurement and Warning",FMS_Ranking4[[#This Row],[Rank (with ArcSinh normalization of select criteria)]],"")</f>
        <v/>
      </c>
      <c r="BZ449" s="200" t="str">
        <f>IF(FMS_Ranking4[[#This Row],[FMS Type]]="Regulatory and Guidance",FMS_Ranking4[[#This Row],[Rank (with ArcSinh normalization of select criteria)]],"")</f>
        <v/>
      </c>
      <c r="CA449" s="200" t="str">
        <f>IF(FMS_Ranking4[[#This Row],[FMS Type]]="Education and Outreach",FMS_Ranking4[[#This Row],[Rank (with ArcSinh normalization of select criteria)]],"")</f>
        <v/>
      </c>
      <c r="CB449" s="200" t="str">
        <f>IF(FMS_Ranking4[[#This Row],[FMS Type]]="Property Acquisition and Structural Elevation",FMS_Ranking4[[#This Row],[Rank (with ArcSinh normalization of select criteria)]],"")</f>
        <v/>
      </c>
      <c r="CC449" s="200" t="str">
        <f>IF(FMS_Ranking4[[#This Row],[FMS Type]]="Infrastructure Projects",FMS_Ranking4[[#This Row],[Rank (with ArcSinh normalization of select criteria)]],"")</f>
        <v/>
      </c>
      <c r="CD449" s="200">
        <f>IF(FMS_Ranking4[[#This Row],[FMS Type]]="Other",FMS_Ranking4[[#This Row],[Rank (with ArcSinh normalization of select criteria)]],"")</f>
        <v>441</v>
      </c>
      <c r="CE449" s="201"/>
      <c r="CF449" s="206"/>
      <c r="CG449" s="206"/>
      <c r="CH449" s="206"/>
      <c r="CI449" s="206"/>
      <c r="CJ449" s="206"/>
      <c r="CK449" s="206"/>
      <c r="CL449" s="206"/>
      <c r="CM449" s="206"/>
      <c r="CN449" s="206"/>
      <c r="CO449" s="206"/>
      <c r="CP449" s="206"/>
      <c r="CQ449" s="206"/>
      <c r="CR449" s="206"/>
    </row>
    <row r="450" spans="2:96" ht="30" x14ac:dyDescent="0.25">
      <c r="B450" s="341" t="s">
        <v>1393</v>
      </c>
      <c r="C450" s="246">
        <f>_xlfn.XLOOKUP(FMS_Ranking4[[#This Row],[FMS ID]],FMS_Input[FMS_ID],FMS_Input[RFPG_NUM])</f>
        <v>1</v>
      </c>
      <c r="D450" s="309" t="str">
        <f>_xlfn.XLOOKUP(FMS_Ranking4[[#This Row],[FMS ID]],FMS_Input[FMS_ID],FMS_Input[FMS_NAME])</f>
        <v>Armstrong County NFIP Involvement</v>
      </c>
      <c r="E450" s="308" t="str">
        <f>_xlfn.XLOOKUP(FMS_Ranking4[[#This Row],[FMS ID]],FMS_Input[FMS_ID],FMS_Input[SPONSOR])</f>
        <v>01000242</v>
      </c>
      <c r="F450" s="309" t="str">
        <f>_xlfn.XLOOKUP(FMS_Ranking4[[#This Row],[FMS ID]],Sponsor[FMS_ID],Sponsor[SPONSOR NAME])</f>
        <v>Armstrong</v>
      </c>
      <c r="G450" s="309" t="str">
        <f>_xlfn.XLOOKUP(FMS_Ranking4[[#This Row],[FMS ID]],FMS_Input[FMS_ID],FMS_Input[FMS_DESCR])</f>
        <v>Application to join NFIP or adopt equivalent standards</v>
      </c>
      <c r="H450" s="248" t="str">
        <f>_xlfn.XLOOKUP(FMS_Ranking4[[#This Row],[FMS ID]],FMS_Input[FMS_ID],FMS_Input[FMS_TYPE])</f>
        <v>Regulatory and Guidance</v>
      </c>
      <c r="I450" s="249">
        <f>_xlfn.XLOOKUP(FMS_Ranking4[[#This Row],[FMS ID]],FMS_Input[FMS_ID],FMS_Input[NRNC_COST])</f>
        <v>100000</v>
      </c>
      <c r="J450" s="250">
        <f>_xlfn.XLOOKUP(FMS_Ranking4[[#This Row],[FMS ID]],FMS_Input[FMS_ID],FMS_Input[FMS_COST])</f>
        <v>100000</v>
      </c>
      <c r="K450" s="251" t="str">
        <f>_xlfn.XLOOKUP(FMS_Ranking4[[#This Row],[FMS ID]],FMS_Input[FMS_ID],FMS_Input[EMER_NEED])</f>
        <v>No</v>
      </c>
      <c r="L450" s="252">
        <f t="shared" si="6"/>
        <v>0</v>
      </c>
      <c r="M450" s="253">
        <f>_xlfn.XLOOKUP(FMS_Ranking4[[#This Row],[FMS ID]],FMS_Input[FMS_ID],FMS_Input[STRUCT_100])</f>
        <v>24</v>
      </c>
      <c r="N450" s="255">
        <f>(ASINH(FMS_Ranking4[[#This Row],[Structure at Risk Raw]]))*(10)/(ASINH(M$4))</f>
        <v>3.0436813799681648</v>
      </c>
      <c r="O450" s="256">
        <f>FMS_Ranking4[[#This Row],[Structures at risk, ArcSinh (0-10)]]*M$5*10</f>
        <v>3.0436813799681648</v>
      </c>
      <c r="P450" s="253">
        <f>_xlfn.XLOOKUP(FMS_Ranking4[[#This Row],[FMS ID]],FMS_Input[FMS_ID],FMS_Input[RES_STRUCT100])</f>
        <v>0</v>
      </c>
      <c r="Q450" s="257">
        <f>ASINH(FMS_Ranking4[[#This Row],[Res Structure Raw]])/Q$4*P$5*100</f>
        <v>0</v>
      </c>
      <c r="R450" s="253">
        <f>_xlfn.XLOOKUP(FMS_Ranking4[[#This Row],[FMS ID]],FMS_Input[FMS_ID],FMS_Input[POP100])</f>
        <v>13</v>
      </c>
      <c r="S450" s="255">
        <f>(ASINH(FMS_Ranking4[[#This Row],[Pop at Risk Raw]]))*(10)/(ASINH(R$4))</f>
        <v>2.2502727011592172</v>
      </c>
      <c r="T450" s="256">
        <f>FMS_Ranking4[[#This Row],[Population at risk, ArcSinh (0-10)]]*R$5*10</f>
        <v>2.2502727011592172</v>
      </c>
      <c r="U450" s="253">
        <f>_xlfn.XLOOKUP(FMS_Ranking4[[#This Row],[FMS ID]],FMS_Input[FMS_ID],FMS_Input[CRITFAC100])</f>
        <v>0</v>
      </c>
      <c r="V450" s="255">
        <f>(ASINH(FMS_Ranking4[[#This Row],[Critical Facilities Raw]]))*(10)/(ASINH(U$4))</f>
        <v>0</v>
      </c>
      <c r="W450" s="256">
        <f>FMS_Ranking4[[#This Row],[Critical facilities at risk, ArcSinh (0-10)]]*U$5*10</f>
        <v>0</v>
      </c>
      <c r="X450" s="253">
        <f>_xlfn.XLOOKUP(FMS_Ranking4[[#This Row],[FMS ID]],FMS_Input[FMS_ID],FMS_Input[LWC])</f>
        <v>14</v>
      </c>
      <c r="Y450" s="255">
        <f>(ASINH(FMS_Ranking4[[#This Row],[LWC Raw]]))*(10)/(ASINH(X$4))</f>
        <v>4.515988019016449</v>
      </c>
      <c r="Z450" s="256">
        <f>FMS_Ranking4[[#This Row],[LWC, ArcSInh (0-10)]]*X$5*10</f>
        <v>4.515988019016449</v>
      </c>
      <c r="AA450" s="253">
        <f>_xlfn.XLOOKUP(FMS_Ranking4[[#This Row],[FMS ID]],FMS_Input[FMS_ID],FMS_Input[ROADCLS])</f>
        <v>27</v>
      </c>
      <c r="AB450" s="255">
        <f>(ASINH(FMS_Ranking4[[#This Row],[Road Closures Raw]]))*(10)/(ASINH(AA$4))</f>
        <v>4.1545177154147623</v>
      </c>
      <c r="AC450" s="256">
        <f>FMS_Ranking4[[#This Row],[Road closures, ArcSinh (0-10)]]*AA$5*10</f>
        <v>2.0772588577073812</v>
      </c>
      <c r="AD450" s="253">
        <f>_xlfn.XLOOKUP(FMS_Ranking4[[#This Row],[FMS ID]],FMS_Input[FMS_ID],FMS_Input[ROAD_MILES100])</f>
        <v>25</v>
      </c>
      <c r="AE450" s="255">
        <f>(ASINH(FMS_Ranking4[[#This Row],[Road Miles Raw]]))*(10)/(ASINH(AD$4))</f>
        <v>4.1695662658221559</v>
      </c>
      <c r="AF450" s="256">
        <f>FMS_Ranking4[[#This Row],[Length of roads at risk, ArcSinh (0-10)]]*AD$5*10</f>
        <v>4.1695662658221559</v>
      </c>
      <c r="AG450" s="253">
        <f>_xlfn.XLOOKUP(FMS_Ranking4[[#This Row],[FMS ID]],FMS_Input[FMS_ID],FMS_Input[FARMACRE100])</f>
        <v>56990.49609375</v>
      </c>
      <c r="AH450" s="255">
        <f>(ASINH(FMS_Ranking4[[#This Row],[Ag Land Raw]]))*(10)/(ASINH(AG$4))</f>
        <v>7.5635882537954755</v>
      </c>
      <c r="AI450" s="260">
        <f>FMS_Ranking4[[#This Row],[Farm &amp; ranch land, ArcSinh (0-10)]]*AG$5*10</f>
        <v>3.7817941268977378</v>
      </c>
      <c r="AJ450" s="258">
        <f>_xlfn.XLOOKUP(FMS_Ranking4[[#This Row],[FMS ID]],FMS_Input[FMS_ID],FMS_Input[REDSTRUCT100])</f>
        <v>0</v>
      </c>
      <c r="AK450" s="253">
        <f>_xlfn.XLOOKUP(FMS_Ranking4[[#This Row],[FMS ID]],FMS_Input[FMS_ID],FMS_Input[REMSTRC100])</f>
        <v>0</v>
      </c>
      <c r="AL450" s="255">
        <f>(ASINH(FMS_Ranking4[[#This Row],[Structures Removed Raw]]))*(10)/(ASINH(AK$4))</f>
        <v>0</v>
      </c>
      <c r="AM450" s="262">
        <f>FMS_Ranking4[[#This Row],[Structures removed, ArcSinh (0-10)]]*AK$5*10</f>
        <v>0</v>
      </c>
      <c r="AN450" s="253">
        <f>_xlfn.XLOOKUP(FMS_Ranking4[[#This Row],[FMS ID]],FMS_Input[FMS_ID],FMS_Input[REMRESSTRC100])</f>
        <v>0</v>
      </c>
      <c r="AO450" s="261">
        <f>FMS_Ranking4[[#This Row],[ArcSinh Res struct removed 0-10]]*AN$5*10</f>
        <v>0</v>
      </c>
      <c r="AP450" s="260">
        <f>ASINH(FMS_Ranking4[[#This Row],[Residential Structures Removed Raw]])/AP$4*AN$5*100</f>
        <v>0</v>
      </c>
      <c r="AQ450" s="258">
        <f>(ASINH(FMS_Ranking4[[#This Row],[Residential Structures Removed Raw]]))*(10)/(ASINH(AN$4))</f>
        <v>0</v>
      </c>
      <c r="AR450" s="253">
        <f>_xlfn.XLOOKUP(FMS_Ranking4[[#This Row],[FMS ID]],FMS_Input[FMS_ID],FMS_Input[REMPOP100])</f>
        <v>0</v>
      </c>
      <c r="AS450" s="255">
        <f>(ASINH(FMS_Ranking4[[#This Row],[Removed Pop Raw]]))*(10)/(ASINH(AR$4))</f>
        <v>0</v>
      </c>
      <c r="AT450" s="262">
        <f>FMS_Ranking4[[#This Row],[Removed population, ArcSinh (0-10)]]*AR$5*10</f>
        <v>0</v>
      </c>
      <c r="AU450" s="264">
        <f>_xlfn.XLOOKUP(FMS_Ranking4[[#This Row],[FMS ID]],FMS_Input[FMS_ID],FMS_Input[REMCRITFAC100])</f>
        <v>0</v>
      </c>
      <c r="AV450" s="264">
        <f>_xlfn.XLOOKUP(FMS_Ranking4[[#This Row],[FMS ID]],FMS_Input[FMS_ID],FMS_Input[REMLWC100])</f>
        <v>0</v>
      </c>
      <c r="AW450" s="264">
        <f>_xlfn.XLOOKUP(FMS_Ranking4[[#This Row],[FMS ID]],FMS_Input[FMS_ID],FMS_Input[REMROADCLS])</f>
        <v>0</v>
      </c>
      <c r="AX450" s="264">
        <f>_xlfn.XLOOKUP(FMS_Ranking4[[#This Row],[FMS ID]],FMS_Input[FMS_ID],FMS_Input[REMFRMACRE100])</f>
        <v>0</v>
      </c>
      <c r="AY450" s="258">
        <f>_xlfn.XLOOKUP(FMS_Ranking4[[#This Row],[FMS ID]],FMS_Input[FMS_ID],FMS_Input[COSTSTRUCT])</f>
        <v>0</v>
      </c>
      <c r="AZ450" s="253">
        <f>_xlfn.XLOOKUP(FMS_Ranking4[[#This Row],[FMS ID]],FMS_Input[FMS_ID],FMS_Input[NATURE])</f>
        <v>0</v>
      </c>
      <c r="BA450" s="262">
        <f>(((FMS_Ranking4[[#This Row],[% NBS Raw]]/AZ$4)*100)*AZ$5)</f>
        <v>0</v>
      </c>
      <c r="BB450" s="251" t="str">
        <f>_xlfn.XLOOKUP(FMS_Ranking4[[#This Row],[FMS ID]],FMS_Input[FMS_ID],FMS_Input[WATER_SUP])</f>
        <v>No</v>
      </c>
      <c r="BC450" s="265">
        <f>IF(FMS_Ranking4[[#This Row],[Water Supply Raw]]="Yes",10,0)</f>
        <v>0</v>
      </c>
      <c r="BD450" s="266">
        <f>_xlfn.XLOOKUP(FMS_Ranking4[[#This Row],[FMS Type]],FMS_TYPE[FMS_Type],FMS_TYPE[Score])</f>
        <v>8</v>
      </c>
      <c r="BE450" s="267">
        <f>FMS_Ranking4[[#This Row],[FMS_Type Score]]*$BD$5*10</f>
        <v>2</v>
      </c>
      <c r="BF45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0.35371859318697729</v>
      </c>
      <c r="BG450" s="321">
        <f>_xlfn.RANK.EQ(BF450,$BF$8:$BF$870,0)+COUNTIF($BF$8:BF450,BF450)-1</f>
        <v>273</v>
      </c>
      <c r="BH450" s="294">
        <f>(((FMS_Ranking4[[#This Row],[Structures Removed Raw]]/AK$4)*100)*AK$5)+(((FMS_Ranking4[[#This Row],[Removed Pop Raw]]/AR$4)*100)*AR$5)</f>
        <v>0</v>
      </c>
      <c r="BI45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2.3537185931869775</v>
      </c>
      <c r="BJ450" s="251">
        <f>_xlfn.RANK.EQ(FMS_Ranking4[[#This Row],[Total Score 
(with linear
normalization)]],FMS_Ranking4[Total Score 
(with linear
normalization)],0)</f>
        <v>284</v>
      </c>
      <c r="BK450" s="251" t="e">
        <f>_xlfn.XLOOKUP(FMS_Ranking4[[#This Row],[FMS ID]],#REF!,#REF!)</f>
        <v>#REF!</v>
      </c>
      <c r="BL45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19.838561350571105</v>
      </c>
      <c r="BM450" s="324">
        <f>FMS_Ranking4[[#This Row],[ArcSinh Score Based on Normalized Reported Factors]]+FMS_Ranking4[[#This Row],[% NBS Score (Normalized)]]+(FMS_Ranking4[[#This Row],[Water Supply Score (Normalized)]]*10*$BB$5)+FMS_Ranking4[[#This Row],[FMS_Type Score Weighted]]</f>
        <v>21.838561350571105</v>
      </c>
      <c r="BN450" s="251">
        <f>_xlfn.RANK.EQ(FMS_Ranking4[[#This Row],[Total Score (with ArcSinh normalization of select criteria)]],FMS_Ranking4[Total Score (with ArcSinh normalization of select criteria)],0)</f>
        <v>443</v>
      </c>
      <c r="BO450" s="270" t="str">
        <f>_xlfn.XLOOKUP(FMS_Ranking4[[#This Row],[FMS ID]],FMS_Input[FMS_ID],FMS_Input[FMS_RANK_YEAR])</f>
        <v>2023 Amended Plan</v>
      </c>
      <c r="BP450" s="204">
        <f>_xlfn.XLOOKUP(FMS_Ranking4[[#This Row],[FMS ID]],Prev_Rank[FMS ID],Prev_Rank[Prev Rank])</f>
        <v>402</v>
      </c>
      <c r="BQ450" s="251" t="e">
        <f>_xlfn.XLOOKUP(FMS_Ranking4[[#This Row],[FMS ID]],#REF!,#REF!)</f>
        <v>#REF!</v>
      </c>
      <c r="BR450" s="199" t="e">
        <f>SUM(#REF!,#REF!,#REF!,#REF!,#REF!,#REF!,#REF!,#REF!,#REF!,FMS_Ranking4[[#This Row],[ArcSinh Res struct removed 0-10]],#REF!)</f>
        <v>#REF!</v>
      </c>
      <c r="BS450" s="199" t="e">
        <f>FMS_Ranking4[[#This Row],[Log Score Based on Normalized Reported Factors]]+FMS_Ranking4[[#This Row],[% NBS Score (Normalized)]]+(FMS_Ranking4[[#This Row],[Water Supply Score (Normalized)]]*10*$BB$5)+(FMS_Ranking4[[#This Row],[FMS_Type Score Weighted]])</f>
        <v>#REF!</v>
      </c>
      <c r="BT450" s="200" t="e">
        <f>_xlfn.RANK.EQ(FMS_Ranking4[[#This Row],[Log Total Score]],FMS_Ranking4[Log Total Score],0)</f>
        <v>#REF!</v>
      </c>
      <c r="BU450" s="200" t="e">
        <f>_xlfn.XLOOKUP(FMS_Ranking4[[#This Row],[FMS ID]],#REF!,#REF!)</f>
        <v>#REF!</v>
      </c>
      <c r="BV450" s="200">
        <f>FMS_Ranking4[[#This Row],[Region Number]]</f>
        <v>1</v>
      </c>
      <c r="BW450" s="200">
        <f>FMS_Ranking4[[#This Row],[Rank (with ArcSinh normalization of select criteria)]]-FMS_Ranking4[[#This Row],[Rank
(with linear
normalization)]]</f>
        <v>159</v>
      </c>
      <c r="BX450" s="200" t="e">
        <f>FMS_Ranking4[[#This Row],[Log Rank]]-FMS_Ranking4[[#This Row],[Rank
(with linear
normalization)]]</f>
        <v>#REF!</v>
      </c>
      <c r="BY450" s="200" t="str">
        <f>IF(FMS_Ranking4[[#This Row],[FMS Type]]="Flood Measurement and Warning",FMS_Ranking4[[#This Row],[Rank (with ArcSinh normalization of select criteria)]],"")</f>
        <v/>
      </c>
      <c r="BZ450" s="200">
        <f>IF(FMS_Ranking4[[#This Row],[FMS Type]]="Regulatory and Guidance",FMS_Ranking4[[#This Row],[Rank (with ArcSinh normalization of select criteria)]],"")</f>
        <v>443</v>
      </c>
      <c r="CA450" s="200" t="str">
        <f>IF(FMS_Ranking4[[#This Row],[FMS Type]]="Education and Outreach",FMS_Ranking4[[#This Row],[Rank (with ArcSinh normalization of select criteria)]],"")</f>
        <v/>
      </c>
      <c r="CB450" s="200" t="str">
        <f>IF(FMS_Ranking4[[#This Row],[FMS Type]]="Property Acquisition and Structural Elevation",FMS_Ranking4[[#This Row],[Rank (with ArcSinh normalization of select criteria)]],"")</f>
        <v/>
      </c>
      <c r="CC450" s="200" t="str">
        <f>IF(FMS_Ranking4[[#This Row],[FMS Type]]="Infrastructure Projects",FMS_Ranking4[[#This Row],[Rank (with ArcSinh normalization of select criteria)]],"")</f>
        <v/>
      </c>
      <c r="CD450" s="200" t="str">
        <f>IF(FMS_Ranking4[[#This Row],[FMS Type]]="Other",FMS_Ranking4[[#This Row],[Rank (with ArcSinh normalization of select criteria)]],"")</f>
        <v/>
      </c>
      <c r="CE450" s="201"/>
      <c r="CF450" s="206"/>
      <c r="CG450" s="206"/>
      <c r="CH450" s="206"/>
      <c r="CI450" s="206"/>
      <c r="CJ450" s="206"/>
      <c r="CK450" s="206"/>
      <c r="CL450" s="206"/>
      <c r="CM450" s="206"/>
      <c r="CN450" s="206"/>
      <c r="CO450" s="206"/>
      <c r="CP450" s="206"/>
      <c r="CQ450" s="206"/>
      <c r="CR450" s="206"/>
    </row>
    <row r="451" spans="2:96" ht="135" x14ac:dyDescent="0.25">
      <c r="B451" s="341" t="s">
        <v>4093</v>
      </c>
      <c r="C451" s="246">
        <f>_xlfn.XLOOKUP(FMS_Ranking4[[#This Row],[FMS ID]],FMS_Input[FMS_ID],FMS_Input[RFPG_NUM])</f>
        <v>15</v>
      </c>
      <c r="D451" s="309" t="str">
        <f>_xlfn.XLOOKUP(FMS_Ranking4[[#This Row],[FMS ID]],FMS_Input[FMS_ID],FMS_Input[FMS_NAME])</f>
        <v>Cameron County Drainage District No. 5 - Cameron County Levee Certification</v>
      </c>
      <c r="E451" s="308" t="str">
        <f>_xlfn.XLOOKUP(FMS_Ranking4[[#This Row],[FMS ID]],FMS_Input[FMS_ID],FMS_Input[SPONSOR])</f>
        <v>15000030</v>
      </c>
      <c r="F451" s="309" t="str">
        <f>_xlfn.XLOOKUP(FMS_Ranking4[[#This Row],[FMS ID]],Sponsor[FMS_ID],Sponsor[SPONSOR NAME])</f>
        <v>Cameron County Drainage District 5</v>
      </c>
      <c r="G451" s="309" t="str">
        <f>_xlfn.XLOOKUP(FMS_Ranking4[[#This Row],[FMS ID]],FMS_Input[FMS_ID],FMS_Input[FMS_DESCR])</f>
        <v>Coordinate with all on-going FIFs in Cameron County, provide a summary analysis for internal drainage and submit Levee Certifiaction to FEMA. Utlize IBWC data for application. Manage review process and coordinate between County, IBWC, and FEMA.</v>
      </c>
      <c r="H451" s="248" t="str">
        <f>_xlfn.XLOOKUP(FMS_Ranking4[[#This Row],[FMS ID]],FMS_Input[FMS_ID],FMS_Input[FMS_TYPE])</f>
        <v>Other</v>
      </c>
      <c r="I451" s="249">
        <f>_xlfn.XLOOKUP(FMS_Ranking4[[#This Row],[FMS ID]],FMS_Input[FMS_ID],FMS_Input[NRNC_COST])</f>
        <v>250000</v>
      </c>
      <c r="J451" s="250">
        <f>_xlfn.XLOOKUP(FMS_Ranking4[[#This Row],[FMS ID]],FMS_Input[FMS_ID],FMS_Input[FMS_COST])</f>
        <v>250000</v>
      </c>
      <c r="K451" s="251" t="str">
        <f>_xlfn.XLOOKUP(FMS_Ranking4[[#This Row],[FMS ID]],FMS_Input[FMS_ID],FMS_Input[EMER_NEED])</f>
        <v>Yes</v>
      </c>
      <c r="L451" s="252">
        <f t="shared" si="6"/>
        <v>1</v>
      </c>
      <c r="M451" s="253">
        <f>_xlfn.XLOOKUP(FMS_Ranking4[[#This Row],[FMS ID]],FMS_Input[FMS_ID],FMS_Input[STRUCT_100])</f>
        <v>469</v>
      </c>
      <c r="N451" s="255">
        <f>(ASINH(FMS_Ranking4[[#This Row],[Structure at Risk Raw]]))*(10)/(ASINH(M$4))</f>
        <v>5.3802073436594702</v>
      </c>
      <c r="O451" s="256">
        <f>FMS_Ranking4[[#This Row],[Structures at risk, ArcSinh (0-10)]]*M$5*10</f>
        <v>5.3802073436594702</v>
      </c>
      <c r="P451" s="253">
        <f>_xlfn.XLOOKUP(FMS_Ranking4[[#This Row],[FMS ID]],FMS_Input[FMS_ID],FMS_Input[RES_STRUCT100])</f>
        <v>357</v>
      </c>
      <c r="Q451" s="257">
        <f>ASINH(FMS_Ranking4[[#This Row],[Res Structure Raw]])/Q$4*P$5*100</f>
        <v>0</v>
      </c>
      <c r="R451" s="253">
        <f>_xlfn.XLOOKUP(FMS_Ranking4[[#This Row],[FMS ID]],FMS_Input[FMS_ID],FMS_Input[POP100])</f>
        <v>4213</v>
      </c>
      <c r="S451" s="259">
        <f>(ASINH(FMS_Ranking4[[#This Row],[Pop at Risk Raw]]))*(10)/(ASINH(R$4))</f>
        <v>6.2402014046972871</v>
      </c>
      <c r="T451" s="256">
        <f>FMS_Ranking4[[#This Row],[Population at risk, ArcSinh (0-10)]]*R$5*10</f>
        <v>6.240201404697288</v>
      </c>
      <c r="U451" s="253">
        <f>_xlfn.XLOOKUP(FMS_Ranking4[[#This Row],[FMS ID]],FMS_Input[FMS_ID],FMS_Input[CRITFAC100])</f>
        <v>0</v>
      </c>
      <c r="V451" s="259">
        <f>(ASINH(FMS_Ranking4[[#This Row],[Critical Facilities Raw]]))*(10)/(ASINH(U$4))</f>
        <v>0</v>
      </c>
      <c r="W451" s="256">
        <f>FMS_Ranking4[[#This Row],[Critical facilities at risk, ArcSinh (0-10)]]*U$5*10</f>
        <v>0</v>
      </c>
      <c r="X451" s="253">
        <f>_xlfn.XLOOKUP(FMS_Ranking4[[#This Row],[FMS ID]],FMS_Input[FMS_ID],FMS_Input[LWC])</f>
        <v>68</v>
      </c>
      <c r="Y451" s="259">
        <f>(ASINH(FMS_Ranking4[[#This Row],[LWC Raw]]))*(10)/(ASINH(X$4))</f>
        <v>6.6554324028733669</v>
      </c>
      <c r="Z451" s="256">
        <f>FMS_Ranking4[[#This Row],[LWC, ArcSInh (0-10)]]*X$5*10</f>
        <v>6.6554324028733669</v>
      </c>
      <c r="AA451" s="253">
        <f>_xlfn.XLOOKUP(FMS_Ranking4[[#This Row],[FMS ID]],FMS_Input[FMS_ID],FMS_Input[ROADCLS])</f>
        <v>0</v>
      </c>
      <c r="AB451" s="255">
        <f>(ASINH(FMS_Ranking4[[#This Row],[Road Closures Raw]]))*(10)/(ASINH(AA$4))</f>
        <v>0</v>
      </c>
      <c r="AC451" s="256">
        <f>FMS_Ranking4[[#This Row],[Road closures, ArcSinh (0-10)]]*AA$5*10</f>
        <v>0</v>
      </c>
      <c r="AD451" s="253">
        <f>_xlfn.XLOOKUP(FMS_Ranking4[[#This Row],[FMS ID]],FMS_Input[FMS_ID],FMS_Input[ROAD_MILES100])</f>
        <v>7</v>
      </c>
      <c r="AE451" s="259">
        <f>(ASINH(FMS_Ranking4[[#This Row],[Road Miles Raw]]))*(10)/(ASINH(AD$4))</f>
        <v>2.8179052695658946</v>
      </c>
      <c r="AF451" s="256">
        <f>FMS_Ranking4[[#This Row],[Length of roads at risk, ArcSinh (0-10)]]*AD$5*10</f>
        <v>2.8179052695658946</v>
      </c>
      <c r="AG451" s="253">
        <f>_xlfn.XLOOKUP(FMS_Ranking4[[#This Row],[FMS ID]],FMS_Input[FMS_ID],FMS_Input[FARMACRE100])</f>
        <v>0.6199805736541748</v>
      </c>
      <c r="AH451" s="255">
        <f>(ASINH(FMS_Ranking4[[#This Row],[Ag Land Raw]]))*(10)/(ASINH(AG$4))</f>
        <v>0.38057836432341469</v>
      </c>
      <c r="AI451" s="260">
        <f>FMS_Ranking4[[#This Row],[Farm &amp; ranch land, ArcSinh (0-10)]]*AG$5*10</f>
        <v>0.19028918216170737</v>
      </c>
      <c r="AJ451" s="258">
        <f>_xlfn.XLOOKUP(FMS_Ranking4[[#This Row],[FMS ID]],FMS_Input[FMS_ID],FMS_Input[REDSTRUCT100])</f>
        <v>0</v>
      </c>
      <c r="AK451" s="253">
        <f>_xlfn.XLOOKUP(FMS_Ranking4[[#This Row],[FMS ID]],FMS_Input[FMS_ID],FMS_Input[REMSTRC100])</f>
        <v>0</v>
      </c>
      <c r="AL451" s="259">
        <f>(ASINH(FMS_Ranking4[[#This Row],[Structures Removed Raw]]))*(10)/(ASINH(AK$4))</f>
        <v>0</v>
      </c>
      <c r="AM451" s="262">
        <f>FMS_Ranking4[[#This Row],[Structures removed, ArcSinh (0-10)]]*AK$5*10</f>
        <v>0</v>
      </c>
      <c r="AN451" s="253">
        <f>_xlfn.XLOOKUP(FMS_Ranking4[[#This Row],[FMS ID]],FMS_Input[FMS_ID],FMS_Input[REMRESSTRC100])</f>
        <v>0</v>
      </c>
      <c r="AO451" s="261">
        <f>FMS_Ranking4[[#This Row],[ArcSinh Res struct removed 0-10]]*AN$5*10</f>
        <v>0</v>
      </c>
      <c r="AP451" s="260">
        <f>ASINH(FMS_Ranking4[[#This Row],[Residential Structures Removed Raw]])/AP$4*AN$5*100</f>
        <v>0</v>
      </c>
      <c r="AQ451" s="254">
        <f>(ASINH(FMS_Ranking4[[#This Row],[Residential Structures Removed Raw]]))*(10)/(ASINH(AN$4))</f>
        <v>0</v>
      </c>
      <c r="AR451" s="253">
        <f>_xlfn.XLOOKUP(FMS_Ranking4[[#This Row],[FMS ID]],FMS_Input[FMS_ID],FMS_Input[REMPOP100])</f>
        <v>0</v>
      </c>
      <c r="AS451" s="259">
        <f>(ASINH(FMS_Ranking4[[#This Row],[Removed Pop Raw]]))*(10)/(ASINH(AR$4))</f>
        <v>0</v>
      </c>
      <c r="AT451" s="262">
        <f>FMS_Ranking4[[#This Row],[Removed population, ArcSinh (0-10)]]*AR$5*10</f>
        <v>0</v>
      </c>
      <c r="AU451" s="264">
        <f>_xlfn.XLOOKUP(FMS_Ranking4[[#This Row],[FMS ID]],FMS_Input[FMS_ID],FMS_Input[REMCRITFAC100])</f>
        <v>0</v>
      </c>
      <c r="AV451" s="264">
        <f>_xlfn.XLOOKUP(FMS_Ranking4[[#This Row],[FMS ID]],FMS_Input[FMS_ID],FMS_Input[REMLWC100])</f>
        <v>0</v>
      </c>
      <c r="AW451" s="264">
        <f>_xlfn.XLOOKUP(FMS_Ranking4[[#This Row],[FMS ID]],FMS_Input[FMS_ID],FMS_Input[REMROADCLS])</f>
        <v>0</v>
      </c>
      <c r="AX451" s="264">
        <f>_xlfn.XLOOKUP(FMS_Ranking4[[#This Row],[FMS ID]],FMS_Input[FMS_ID],FMS_Input[REMFRMACRE100])</f>
        <v>0</v>
      </c>
      <c r="AY451" s="258">
        <f>_xlfn.XLOOKUP(FMS_Ranking4[[#This Row],[FMS ID]],FMS_Input[FMS_ID],FMS_Input[COSTSTRUCT])</f>
        <v>0</v>
      </c>
      <c r="AZ451" s="253">
        <f>_xlfn.XLOOKUP(FMS_Ranking4[[#This Row],[FMS ID]],FMS_Input[FMS_ID],FMS_Input[NATURE])</f>
        <v>0</v>
      </c>
      <c r="BA451" s="262">
        <f>(((FMS_Ranking4[[#This Row],[% NBS Raw]]/AZ$4)*100)*AZ$5)</f>
        <v>0</v>
      </c>
      <c r="BB451" s="251" t="str">
        <f>_xlfn.XLOOKUP(FMS_Ranking4[[#This Row],[FMS ID]],FMS_Input[FMS_ID],FMS_Input[WATER_SUP])</f>
        <v>No</v>
      </c>
      <c r="BC451" s="265">
        <f>IF(FMS_Ranking4[[#This Row],[Water Supply Raw]]="Yes",10,0)</f>
        <v>0</v>
      </c>
      <c r="BD451" s="266">
        <f>_xlfn.XLOOKUP(FMS_Ranking4[[#This Row],[FMS Type]],FMS_TYPE[FMS_Type],FMS_TYPE[Score])</f>
        <v>2</v>
      </c>
      <c r="BE451" s="267">
        <f>FMS_Ranking4[[#This Row],[FMS_Type Score]]*$BD$5*10</f>
        <v>0.5</v>
      </c>
      <c r="BF45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0.92977699291171723</v>
      </c>
      <c r="BG451" s="271">
        <f>_xlfn.RANK.EQ(BF451,$BF$8:$BF$870,0)+COUNTIF($BF$8:BF451,BF451)-1</f>
        <v>149</v>
      </c>
      <c r="BH451" s="268">
        <f>(((FMS_Ranking4[[#This Row],[Structures Removed Raw]]/AK$4)*100)*AK$5)+(((FMS_Ranking4[[#This Row],[Removed Pop Raw]]/AR$4)*100)*AR$5)</f>
        <v>0</v>
      </c>
      <c r="BI45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1.4297769929117172</v>
      </c>
      <c r="BJ451" s="205">
        <f>_xlfn.RANK.EQ(FMS_Ranking4[[#This Row],[Total Score 
(with linear
normalization)]],FMS_Ranking4[Total Score 
(with linear
normalization)],0)</f>
        <v>620</v>
      </c>
      <c r="BK451" s="205" t="e">
        <f>_xlfn.XLOOKUP(FMS_Ranking4[[#This Row],[FMS ID]],#REF!,#REF!)</f>
        <v>#REF!</v>
      </c>
      <c r="BL45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21.284035602957726</v>
      </c>
      <c r="BM451" s="272">
        <f>FMS_Ranking4[[#This Row],[ArcSinh Score Based on Normalized Reported Factors]]+FMS_Ranking4[[#This Row],[% NBS Score (Normalized)]]+(FMS_Ranking4[[#This Row],[Water Supply Score (Normalized)]]*10*$BB$5)+FMS_Ranking4[[#This Row],[FMS_Type Score Weighted]]</f>
        <v>21.784035602957726</v>
      </c>
      <c r="BN451" s="205">
        <f>_xlfn.RANK.EQ(FMS_Ranking4[[#This Row],[Total Score (with ArcSinh normalization of select criteria)]],FMS_Ranking4[Total Score (with ArcSinh normalization of select criteria)],0)</f>
        <v>444</v>
      </c>
      <c r="BO451" s="270" t="str">
        <f>_xlfn.XLOOKUP(FMS_Ranking4[[#This Row],[FMS ID]],FMS_Input[FMS_ID],FMS_Input[FMS_RANK_YEAR])</f>
        <v>2023 Amended Plan</v>
      </c>
      <c r="BP451" s="204">
        <f>_xlfn.XLOOKUP(FMS_Ranking4[[#This Row],[FMS ID]],Prev_Rank[FMS ID],Prev_Rank[Prev Rank])</f>
        <v>401</v>
      </c>
      <c r="BQ451" s="205" t="e">
        <f>_xlfn.XLOOKUP(FMS_Ranking4[[#This Row],[FMS ID]],#REF!,#REF!)</f>
        <v>#REF!</v>
      </c>
      <c r="BR451" s="199" t="e">
        <f>SUM(#REF!,#REF!,#REF!,#REF!,#REF!,#REF!,#REF!,#REF!,#REF!,FMS_Ranking4[[#This Row],[ArcSinh Res struct removed 0-10]],#REF!)</f>
        <v>#REF!</v>
      </c>
      <c r="BS451" s="199" t="e">
        <f>FMS_Ranking4[[#This Row],[Log Score Based on Normalized Reported Factors]]+FMS_Ranking4[[#This Row],[% NBS Score (Normalized)]]+(FMS_Ranking4[[#This Row],[Water Supply Score (Normalized)]]*10*$BB$5)+(FMS_Ranking4[[#This Row],[FMS_Type Score Weighted]])</f>
        <v>#REF!</v>
      </c>
      <c r="BT451" s="200" t="e">
        <f>_xlfn.RANK.EQ(FMS_Ranking4[[#This Row],[Log Total Score]],FMS_Ranking4[Log Total Score],0)</f>
        <v>#REF!</v>
      </c>
      <c r="BU451" s="200" t="e">
        <f>_xlfn.XLOOKUP(FMS_Ranking4[[#This Row],[FMS ID]],#REF!,#REF!)</f>
        <v>#REF!</v>
      </c>
      <c r="BV451" s="200">
        <f>FMS_Ranking4[[#This Row],[Region Number]]</f>
        <v>15</v>
      </c>
      <c r="BW451" s="200">
        <f>FMS_Ranking4[[#This Row],[Rank (with ArcSinh normalization of select criteria)]]-FMS_Ranking4[[#This Row],[Rank
(with linear
normalization)]]</f>
        <v>-176</v>
      </c>
      <c r="BX451" s="200" t="e">
        <f>FMS_Ranking4[[#This Row],[Log Rank]]-FMS_Ranking4[[#This Row],[Rank
(with linear
normalization)]]</f>
        <v>#REF!</v>
      </c>
      <c r="BY451" s="200" t="str">
        <f>IF(FMS_Ranking4[[#This Row],[FMS Type]]="Flood Measurement and Warning",FMS_Ranking4[[#This Row],[Rank (with ArcSinh normalization of select criteria)]],"")</f>
        <v/>
      </c>
      <c r="BZ451" s="200" t="str">
        <f>IF(FMS_Ranking4[[#This Row],[FMS Type]]="Regulatory and Guidance",FMS_Ranking4[[#This Row],[Rank (with ArcSinh normalization of select criteria)]],"")</f>
        <v/>
      </c>
      <c r="CA451" s="200" t="str">
        <f>IF(FMS_Ranking4[[#This Row],[FMS Type]]="Education and Outreach",FMS_Ranking4[[#This Row],[Rank (with ArcSinh normalization of select criteria)]],"")</f>
        <v/>
      </c>
      <c r="CB451" s="200" t="str">
        <f>IF(FMS_Ranking4[[#This Row],[FMS Type]]="Property Acquisition and Structural Elevation",FMS_Ranking4[[#This Row],[Rank (with ArcSinh normalization of select criteria)]],"")</f>
        <v/>
      </c>
      <c r="CC451" s="200" t="str">
        <f>IF(FMS_Ranking4[[#This Row],[FMS Type]]="Infrastructure Projects",FMS_Ranking4[[#This Row],[Rank (with ArcSinh normalization of select criteria)]],"")</f>
        <v/>
      </c>
      <c r="CD451" s="200">
        <f>IF(FMS_Ranking4[[#This Row],[FMS Type]]="Other",FMS_Ranking4[[#This Row],[Rank (with ArcSinh normalization of select criteria)]],"")</f>
        <v>444</v>
      </c>
      <c r="CE451" s="201"/>
      <c r="CF451" s="206"/>
      <c r="CG451" s="206"/>
      <c r="CH451" s="206"/>
      <c r="CI451" s="206"/>
      <c r="CJ451" s="206"/>
      <c r="CK451" s="206"/>
      <c r="CL451" s="206"/>
      <c r="CM451" s="206"/>
      <c r="CN451" s="206"/>
      <c r="CO451" s="206"/>
      <c r="CP451" s="206"/>
      <c r="CQ451" s="206"/>
      <c r="CR451" s="206"/>
    </row>
    <row r="452" spans="2:96" ht="90" x14ac:dyDescent="0.25">
      <c r="B452" s="341" t="s">
        <v>3955</v>
      </c>
      <c r="C452" s="246">
        <f>_xlfn.XLOOKUP(FMS_Ranking4[[#This Row],[FMS ID]],FMS_Input[FMS_ID],FMS_Input[RFPG_NUM])</f>
        <v>15</v>
      </c>
      <c r="D452" s="309" t="str">
        <f>_xlfn.XLOOKUP(FMS_Ranking4[[#This Row],[FMS ID]],FMS_Input[FMS_ID],FMS_Input[FMS_NAME])</f>
        <v>Port Isabel Action #11</v>
      </c>
      <c r="E452" s="308" t="str">
        <f>_xlfn.XLOOKUP(FMS_Ranking4[[#This Row],[FMS ID]],FMS_Input[FMS_ID],FMS_Input[SPONSOR])</f>
        <v>15000051</v>
      </c>
      <c r="F452" s="309" t="str">
        <f>_xlfn.XLOOKUP(FMS_Ranking4[[#This Row],[FMS ID]],Sponsor[FMS_ID],Sponsor[SPONSOR NAME])</f>
        <v>Port Isabel</v>
      </c>
      <c r="G452" s="309" t="str">
        <f>_xlfn.XLOOKUP(FMS_Ranking4[[#This Row],[FMS ID]],FMS_Input[FMS_ID],FMS_Input[FMS_DESCR])</f>
        <v>Update floodplain management ordinances to include higher standards required to join the CRS program; Join the CRS program upon adoption of ordinance</v>
      </c>
      <c r="H452" s="248" t="str">
        <f>_xlfn.XLOOKUP(FMS_Ranking4[[#This Row],[FMS ID]],FMS_Input[FMS_ID],FMS_Input[FMS_TYPE])</f>
        <v>Regulatory and Guidance</v>
      </c>
      <c r="I452" s="249">
        <f>_xlfn.XLOOKUP(FMS_Ranking4[[#This Row],[FMS ID]],FMS_Input[FMS_ID],FMS_Input[NRNC_COST])</f>
        <v>1000</v>
      </c>
      <c r="J452" s="250">
        <f>_xlfn.XLOOKUP(FMS_Ranking4[[#This Row],[FMS ID]],FMS_Input[FMS_ID],FMS_Input[FMS_COST])</f>
        <v>500</v>
      </c>
      <c r="K452" s="251" t="str">
        <f>_xlfn.XLOOKUP(FMS_Ranking4[[#This Row],[FMS ID]],FMS_Input[FMS_ID],FMS_Input[EMER_NEED])</f>
        <v>Yes</v>
      </c>
      <c r="L452" s="252">
        <f t="shared" si="6"/>
        <v>1</v>
      </c>
      <c r="M452" s="253">
        <f>_xlfn.XLOOKUP(FMS_Ranking4[[#This Row],[FMS ID]],FMS_Input[FMS_ID],FMS_Input[STRUCT_100])</f>
        <v>1736</v>
      </c>
      <c r="N452" s="255">
        <f>(ASINH(FMS_Ranking4[[#This Row],[Structure at Risk Raw]]))*(10)/(ASINH(M$4))</f>
        <v>6.4090679733799893</v>
      </c>
      <c r="O452" s="256">
        <f>FMS_Ranking4[[#This Row],[Structures at risk, ArcSinh (0-10)]]*M$5*10</f>
        <v>6.4090679733799893</v>
      </c>
      <c r="P452" s="253">
        <f>_xlfn.XLOOKUP(FMS_Ranking4[[#This Row],[FMS ID]],FMS_Input[FMS_ID],FMS_Input[RES_STRUCT100])</f>
        <v>1235</v>
      </c>
      <c r="Q452" s="257">
        <f>ASINH(FMS_Ranking4[[#This Row],[Res Structure Raw]])/Q$4*P$5*100</f>
        <v>0</v>
      </c>
      <c r="R452" s="253">
        <f>_xlfn.XLOOKUP(FMS_Ranking4[[#This Row],[FMS ID]],FMS_Input[FMS_ID],FMS_Input[POP100])</f>
        <v>5912</v>
      </c>
      <c r="S452" s="259">
        <f>(ASINH(FMS_Ranking4[[#This Row],[Pop at Risk Raw]]))*(10)/(ASINH(R$4))</f>
        <v>6.4741011158902868</v>
      </c>
      <c r="T452" s="256">
        <f>FMS_Ranking4[[#This Row],[Population at risk, ArcSinh (0-10)]]*R$5*10</f>
        <v>6.4741011158902868</v>
      </c>
      <c r="U452" s="253">
        <f>_xlfn.XLOOKUP(FMS_Ranking4[[#This Row],[FMS ID]],FMS_Input[FMS_ID],FMS_Input[CRITFAC100])</f>
        <v>1</v>
      </c>
      <c r="V452" s="259">
        <f>(ASINH(FMS_Ranking4[[#This Row],[Critical Facilities Raw]]))*(10)/(ASINH(U$4))</f>
        <v>1.0433384451410745</v>
      </c>
      <c r="W452" s="256">
        <f>FMS_Ranking4[[#This Row],[Critical facilities at risk, ArcSinh (0-10)]]*U$5*10</f>
        <v>1.0433384451410745</v>
      </c>
      <c r="X452" s="253">
        <f>_xlfn.XLOOKUP(FMS_Ranking4[[#This Row],[FMS ID]],FMS_Input[FMS_ID],FMS_Input[LWC])</f>
        <v>0</v>
      </c>
      <c r="Y452" s="259">
        <f>(ASINH(FMS_Ranking4[[#This Row],[LWC Raw]]))*(10)/(ASINH(X$4))</f>
        <v>0</v>
      </c>
      <c r="Z452" s="256">
        <f>FMS_Ranking4[[#This Row],[LWC, ArcSInh (0-10)]]*X$5*10</f>
        <v>0</v>
      </c>
      <c r="AA452" s="253">
        <f>_xlfn.XLOOKUP(FMS_Ranking4[[#This Row],[FMS ID]],FMS_Input[FMS_ID],FMS_Input[ROADCLS])</f>
        <v>0</v>
      </c>
      <c r="AB452" s="255">
        <f>(ASINH(FMS_Ranking4[[#This Row],[Road Closures Raw]]))*(10)/(ASINH(AA$4))</f>
        <v>0</v>
      </c>
      <c r="AC452" s="256">
        <f>FMS_Ranking4[[#This Row],[Road closures, ArcSinh (0-10)]]*AA$5*10</f>
        <v>0</v>
      </c>
      <c r="AD452" s="253">
        <f>_xlfn.XLOOKUP(FMS_Ranking4[[#This Row],[FMS ID]],FMS_Input[FMS_ID],FMS_Input[ROAD_MILES100])</f>
        <v>25</v>
      </c>
      <c r="AE452" s="259">
        <f>(ASINH(FMS_Ranking4[[#This Row],[Road Miles Raw]]))*(10)/(ASINH(AD$4))</f>
        <v>4.1695662658221559</v>
      </c>
      <c r="AF452" s="256">
        <f>FMS_Ranking4[[#This Row],[Length of roads at risk, ArcSinh (0-10)]]*AD$5*10</f>
        <v>4.1695662658221559</v>
      </c>
      <c r="AG452" s="253">
        <f>_xlfn.XLOOKUP(FMS_Ranking4[[#This Row],[FMS ID]],FMS_Input[FMS_ID],FMS_Input[FARMACRE100])</f>
        <v>85.986282348632813</v>
      </c>
      <c r="AH452" s="255">
        <f>(ASINH(FMS_Ranking4[[#This Row],[Ag Land Raw]]))*(10)/(ASINH(AG$4))</f>
        <v>3.3436353671939747</v>
      </c>
      <c r="AI452" s="260">
        <f>FMS_Ranking4[[#This Row],[Farm &amp; ranch land, ArcSinh (0-10)]]*AG$5*10</f>
        <v>1.6718176835969876</v>
      </c>
      <c r="AJ452" s="258">
        <f>_xlfn.XLOOKUP(FMS_Ranking4[[#This Row],[FMS ID]],FMS_Input[FMS_ID],FMS_Input[REDSTRUCT100])</f>
        <v>0</v>
      </c>
      <c r="AK452" s="253">
        <f>_xlfn.XLOOKUP(FMS_Ranking4[[#This Row],[FMS ID]],FMS_Input[FMS_ID],FMS_Input[REMSTRC100])</f>
        <v>0</v>
      </c>
      <c r="AL452" s="259">
        <f>(ASINH(FMS_Ranking4[[#This Row],[Structures Removed Raw]]))*(10)/(ASINH(AK$4))</f>
        <v>0</v>
      </c>
      <c r="AM452" s="262">
        <f>FMS_Ranking4[[#This Row],[Structures removed, ArcSinh (0-10)]]*AK$5*10</f>
        <v>0</v>
      </c>
      <c r="AN452" s="253">
        <f>_xlfn.XLOOKUP(FMS_Ranking4[[#This Row],[FMS ID]],FMS_Input[FMS_ID],FMS_Input[REMRESSTRC100])</f>
        <v>0</v>
      </c>
      <c r="AO452" s="261">
        <f>FMS_Ranking4[[#This Row],[ArcSinh Res struct removed 0-10]]*AN$5*10</f>
        <v>0</v>
      </c>
      <c r="AP452" s="260">
        <f>ASINH(FMS_Ranking4[[#This Row],[Residential Structures Removed Raw]])/AP$4*AN$5*100</f>
        <v>0</v>
      </c>
      <c r="AQ452" s="254">
        <f>(ASINH(FMS_Ranking4[[#This Row],[Residential Structures Removed Raw]]))*(10)/(ASINH(AN$4))</f>
        <v>0</v>
      </c>
      <c r="AR452" s="253">
        <f>_xlfn.XLOOKUP(FMS_Ranking4[[#This Row],[FMS ID]],FMS_Input[FMS_ID],FMS_Input[REMPOP100])</f>
        <v>0</v>
      </c>
      <c r="AS452" s="259">
        <f>(ASINH(FMS_Ranking4[[#This Row],[Removed Pop Raw]]))*(10)/(ASINH(AR$4))</f>
        <v>0</v>
      </c>
      <c r="AT452" s="262">
        <f>FMS_Ranking4[[#This Row],[Removed population, ArcSinh (0-10)]]*AR$5*10</f>
        <v>0</v>
      </c>
      <c r="AU452" s="264">
        <f>_xlfn.XLOOKUP(FMS_Ranking4[[#This Row],[FMS ID]],FMS_Input[FMS_ID],FMS_Input[REMCRITFAC100])</f>
        <v>0</v>
      </c>
      <c r="AV452" s="264">
        <f>_xlfn.XLOOKUP(FMS_Ranking4[[#This Row],[FMS ID]],FMS_Input[FMS_ID],FMS_Input[REMLWC100])</f>
        <v>0</v>
      </c>
      <c r="AW452" s="264">
        <f>_xlfn.XLOOKUP(FMS_Ranking4[[#This Row],[FMS ID]],FMS_Input[FMS_ID],FMS_Input[REMROADCLS])</f>
        <v>0</v>
      </c>
      <c r="AX452" s="264">
        <f>_xlfn.XLOOKUP(FMS_Ranking4[[#This Row],[FMS ID]],FMS_Input[FMS_ID],FMS_Input[REMFRMACRE100])</f>
        <v>0</v>
      </c>
      <c r="AY452" s="258">
        <f>_xlfn.XLOOKUP(FMS_Ranking4[[#This Row],[FMS ID]],FMS_Input[FMS_ID],FMS_Input[COSTSTRUCT])</f>
        <v>0</v>
      </c>
      <c r="AZ452" s="253">
        <f>_xlfn.XLOOKUP(FMS_Ranking4[[#This Row],[FMS ID]],FMS_Input[FMS_ID],FMS_Input[NATURE])</f>
        <v>0</v>
      </c>
      <c r="BA452" s="262">
        <f>(((FMS_Ranking4[[#This Row],[% NBS Raw]]/AZ$4)*100)*AZ$5)</f>
        <v>0</v>
      </c>
      <c r="BB452" s="251" t="str">
        <f>_xlfn.XLOOKUP(FMS_Ranking4[[#This Row],[FMS ID]],FMS_Input[FMS_ID],FMS_Input[WATER_SUP])</f>
        <v>No</v>
      </c>
      <c r="BC452" s="265">
        <f>IF(FMS_Ranking4[[#This Row],[Water Supply Raw]]="Yes",10,0)</f>
        <v>0</v>
      </c>
      <c r="BD452" s="266">
        <f>_xlfn.XLOOKUP(FMS_Ranking4[[#This Row],[FMS Type]],FMS_TYPE[FMS_Type],FMS_TYPE[Score])</f>
        <v>8</v>
      </c>
      <c r="BE452" s="267">
        <f>FMS_Ranking4[[#This Row],[FMS_Type Score]]*$BD$5*10</f>
        <v>2</v>
      </c>
      <c r="BF45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0.21085870485496813</v>
      </c>
      <c r="BG452" s="271">
        <f>_xlfn.RANK.EQ(BF452,$BF$8:$BF$870,0)+COUNTIF($BF$8:BF452,BF452)-1</f>
        <v>353</v>
      </c>
      <c r="BH452" s="268">
        <f>(((FMS_Ranking4[[#This Row],[Structures Removed Raw]]/AK$4)*100)*AK$5)+(((FMS_Ranking4[[#This Row],[Removed Pop Raw]]/AR$4)*100)*AR$5)</f>
        <v>0</v>
      </c>
      <c r="BI45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2.2108587048549682</v>
      </c>
      <c r="BJ452" s="205">
        <f>_xlfn.RANK.EQ(FMS_Ranking4[[#This Row],[Total Score 
(with linear
normalization)]],FMS_Ranking4[Total Score 
(with linear
normalization)],0)</f>
        <v>323</v>
      </c>
      <c r="BK452" s="205" t="e">
        <f>_xlfn.XLOOKUP(FMS_Ranking4[[#This Row],[FMS ID]],#REF!,#REF!)</f>
        <v>#REF!</v>
      </c>
      <c r="BL45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19.767891483830493</v>
      </c>
      <c r="BM452" s="272">
        <f>FMS_Ranking4[[#This Row],[ArcSinh Score Based on Normalized Reported Factors]]+FMS_Ranking4[[#This Row],[% NBS Score (Normalized)]]+(FMS_Ranking4[[#This Row],[Water Supply Score (Normalized)]]*10*$BB$5)+FMS_Ranking4[[#This Row],[FMS_Type Score Weighted]]</f>
        <v>21.767891483830493</v>
      </c>
      <c r="BN452" s="205">
        <f>_xlfn.RANK.EQ(FMS_Ranking4[[#This Row],[Total Score (with ArcSinh normalization of select criteria)]],FMS_Ranking4[Total Score (with ArcSinh normalization of select criteria)],0)</f>
        <v>445</v>
      </c>
      <c r="BO452" s="270" t="str">
        <f>_xlfn.XLOOKUP(FMS_Ranking4[[#This Row],[FMS ID]],FMS_Input[FMS_ID],FMS_Input[FMS_RANK_YEAR])</f>
        <v>2023 Amended Plan</v>
      </c>
      <c r="BP452" s="204">
        <f>_xlfn.XLOOKUP(FMS_Ranking4[[#This Row],[FMS ID]],Prev_Rank[FMS ID],Prev_Rank[Prev Rank])</f>
        <v>397</v>
      </c>
      <c r="BQ452" s="205" t="e">
        <f>_xlfn.XLOOKUP(FMS_Ranking4[[#This Row],[FMS ID]],#REF!,#REF!)</f>
        <v>#REF!</v>
      </c>
      <c r="BR452" s="199" t="e">
        <f>SUM(#REF!,#REF!,#REF!,#REF!,#REF!,#REF!,#REF!,#REF!,#REF!,FMS_Ranking4[[#This Row],[ArcSinh Res struct removed 0-10]],#REF!)</f>
        <v>#REF!</v>
      </c>
      <c r="BS452" s="199" t="e">
        <f>FMS_Ranking4[[#This Row],[Log Score Based on Normalized Reported Factors]]+FMS_Ranking4[[#This Row],[% NBS Score (Normalized)]]+(FMS_Ranking4[[#This Row],[Water Supply Score (Normalized)]]*10*$BB$5)+(FMS_Ranking4[[#This Row],[FMS_Type Score Weighted]])</f>
        <v>#REF!</v>
      </c>
      <c r="BT452" s="200" t="e">
        <f>_xlfn.RANK.EQ(FMS_Ranking4[[#This Row],[Log Total Score]],FMS_Ranking4[Log Total Score],0)</f>
        <v>#REF!</v>
      </c>
      <c r="BU452" s="200" t="e">
        <f>_xlfn.XLOOKUP(FMS_Ranking4[[#This Row],[FMS ID]],#REF!,#REF!)</f>
        <v>#REF!</v>
      </c>
      <c r="BV452" s="200">
        <f>FMS_Ranking4[[#This Row],[Region Number]]</f>
        <v>15</v>
      </c>
      <c r="BW452" s="200">
        <f>FMS_Ranking4[[#This Row],[Rank (with ArcSinh normalization of select criteria)]]-FMS_Ranking4[[#This Row],[Rank
(with linear
normalization)]]</f>
        <v>122</v>
      </c>
      <c r="BX452" s="200" t="e">
        <f>FMS_Ranking4[[#This Row],[Log Rank]]-FMS_Ranking4[[#This Row],[Rank
(with linear
normalization)]]</f>
        <v>#REF!</v>
      </c>
      <c r="BY452" s="200" t="str">
        <f>IF(FMS_Ranking4[[#This Row],[FMS Type]]="Flood Measurement and Warning",FMS_Ranking4[[#This Row],[Rank (with ArcSinh normalization of select criteria)]],"")</f>
        <v/>
      </c>
      <c r="BZ452" s="200">
        <f>IF(FMS_Ranking4[[#This Row],[FMS Type]]="Regulatory and Guidance",FMS_Ranking4[[#This Row],[Rank (with ArcSinh normalization of select criteria)]],"")</f>
        <v>445</v>
      </c>
      <c r="CA452" s="200" t="str">
        <f>IF(FMS_Ranking4[[#This Row],[FMS Type]]="Education and Outreach",FMS_Ranking4[[#This Row],[Rank (with ArcSinh normalization of select criteria)]],"")</f>
        <v/>
      </c>
      <c r="CB452" s="200" t="str">
        <f>IF(FMS_Ranking4[[#This Row],[FMS Type]]="Property Acquisition and Structural Elevation",FMS_Ranking4[[#This Row],[Rank (with ArcSinh normalization of select criteria)]],"")</f>
        <v/>
      </c>
      <c r="CC452" s="200" t="str">
        <f>IF(FMS_Ranking4[[#This Row],[FMS Type]]="Infrastructure Projects",FMS_Ranking4[[#This Row],[Rank (with ArcSinh normalization of select criteria)]],"")</f>
        <v/>
      </c>
      <c r="CD452" s="200" t="str">
        <f>IF(FMS_Ranking4[[#This Row],[FMS Type]]="Other",FMS_Ranking4[[#This Row],[Rank (with ArcSinh normalization of select criteria)]],"")</f>
        <v/>
      </c>
      <c r="CE452" s="201"/>
      <c r="CF452" s="206"/>
      <c r="CG452" s="206"/>
      <c r="CH452" s="206"/>
      <c r="CI452" s="206"/>
      <c r="CJ452" s="206"/>
      <c r="CK452" s="206"/>
      <c r="CL452" s="206"/>
      <c r="CM452" s="206"/>
      <c r="CN452" s="206"/>
      <c r="CO452" s="206"/>
      <c r="CP452" s="206"/>
      <c r="CQ452" s="206"/>
      <c r="CR452" s="206"/>
    </row>
    <row r="453" spans="2:96" ht="30" x14ac:dyDescent="0.25">
      <c r="B453" s="341" t="s">
        <v>3958</v>
      </c>
      <c r="C453" s="246">
        <f>_xlfn.XLOOKUP(FMS_Ranking4[[#This Row],[FMS ID]],FMS_Input[FMS_ID],FMS_Input[RFPG_NUM])</f>
        <v>15</v>
      </c>
      <c r="D453" s="309" t="str">
        <f>_xlfn.XLOOKUP(FMS_Ranking4[[#This Row],[FMS ID]],FMS_Input[FMS_ID],FMS_Input[FMS_NAME])</f>
        <v>Port Isabel Action #12</v>
      </c>
      <c r="E453" s="308" t="str">
        <f>_xlfn.XLOOKUP(FMS_Ranking4[[#This Row],[FMS ID]],FMS_Input[FMS_ID],FMS_Input[SPONSOR])</f>
        <v>15000051</v>
      </c>
      <c r="F453" s="309" t="str">
        <f>_xlfn.XLOOKUP(FMS_Ranking4[[#This Row],[FMS ID]],Sponsor[FMS_ID],Sponsor[SPONSOR NAME])</f>
        <v>Port Isabel</v>
      </c>
      <c r="G453" s="309" t="str">
        <f>_xlfn.XLOOKUP(FMS_Ranking4[[#This Row],[FMS ID]],FMS_Input[FMS_ID],FMS_Input[FMS_DESCR])</f>
        <v>Adopt NFIP model ordinance with higher floodplain standards</v>
      </c>
      <c r="H453" s="248" t="str">
        <f>_xlfn.XLOOKUP(FMS_Ranking4[[#This Row],[FMS ID]],FMS_Input[FMS_ID],FMS_Input[FMS_TYPE])</f>
        <v>Regulatory and Guidance</v>
      </c>
      <c r="I453" s="249">
        <f>_xlfn.XLOOKUP(FMS_Ranking4[[#This Row],[FMS ID]],FMS_Input[FMS_ID],FMS_Input[NRNC_COST])</f>
        <v>1000</v>
      </c>
      <c r="J453" s="250">
        <f>_xlfn.XLOOKUP(FMS_Ranking4[[#This Row],[FMS ID]],FMS_Input[FMS_ID],FMS_Input[FMS_COST])</f>
        <v>500</v>
      </c>
      <c r="K453" s="251" t="str">
        <f>_xlfn.XLOOKUP(FMS_Ranking4[[#This Row],[FMS ID]],FMS_Input[FMS_ID],FMS_Input[EMER_NEED])</f>
        <v>Yes</v>
      </c>
      <c r="L453" s="252">
        <f t="shared" si="6"/>
        <v>1</v>
      </c>
      <c r="M453" s="253">
        <f>_xlfn.XLOOKUP(FMS_Ranking4[[#This Row],[FMS ID]],FMS_Input[FMS_ID],FMS_Input[STRUCT_100])</f>
        <v>1736</v>
      </c>
      <c r="N453" s="255">
        <f>(ASINH(FMS_Ranking4[[#This Row],[Structure at Risk Raw]]))*(10)/(ASINH(M$4))</f>
        <v>6.4090679733799893</v>
      </c>
      <c r="O453" s="256">
        <f>FMS_Ranking4[[#This Row],[Structures at risk, ArcSinh (0-10)]]*M$5*10</f>
        <v>6.4090679733799893</v>
      </c>
      <c r="P453" s="253">
        <f>_xlfn.XLOOKUP(FMS_Ranking4[[#This Row],[FMS ID]],FMS_Input[FMS_ID],FMS_Input[RES_STRUCT100])</f>
        <v>1235</v>
      </c>
      <c r="Q453" s="257">
        <f>ASINH(FMS_Ranking4[[#This Row],[Res Structure Raw]])/Q$4*P$5*100</f>
        <v>0</v>
      </c>
      <c r="R453" s="253">
        <f>_xlfn.XLOOKUP(FMS_Ranking4[[#This Row],[FMS ID]],FMS_Input[FMS_ID],FMS_Input[POP100])</f>
        <v>5912</v>
      </c>
      <c r="S453" s="255">
        <f>(ASINH(FMS_Ranking4[[#This Row],[Pop at Risk Raw]]))*(10)/(ASINH(R$4))</f>
        <v>6.4741011158902868</v>
      </c>
      <c r="T453" s="256">
        <f>FMS_Ranking4[[#This Row],[Population at risk, ArcSinh (0-10)]]*R$5*10</f>
        <v>6.4741011158902868</v>
      </c>
      <c r="U453" s="253">
        <f>_xlfn.XLOOKUP(FMS_Ranking4[[#This Row],[FMS ID]],FMS_Input[FMS_ID],FMS_Input[CRITFAC100])</f>
        <v>1</v>
      </c>
      <c r="V453" s="255">
        <f>(ASINH(FMS_Ranking4[[#This Row],[Critical Facilities Raw]]))*(10)/(ASINH(U$4))</f>
        <v>1.0433384451410745</v>
      </c>
      <c r="W453" s="256">
        <f>FMS_Ranking4[[#This Row],[Critical facilities at risk, ArcSinh (0-10)]]*U$5*10</f>
        <v>1.0433384451410745</v>
      </c>
      <c r="X453" s="253">
        <f>_xlfn.XLOOKUP(FMS_Ranking4[[#This Row],[FMS ID]],FMS_Input[FMS_ID],FMS_Input[LWC])</f>
        <v>0</v>
      </c>
      <c r="Y453" s="255">
        <f>(ASINH(FMS_Ranking4[[#This Row],[LWC Raw]]))*(10)/(ASINH(X$4))</f>
        <v>0</v>
      </c>
      <c r="Z453" s="256">
        <f>FMS_Ranking4[[#This Row],[LWC, ArcSInh (0-10)]]*X$5*10</f>
        <v>0</v>
      </c>
      <c r="AA453" s="253">
        <f>_xlfn.XLOOKUP(FMS_Ranking4[[#This Row],[FMS ID]],FMS_Input[FMS_ID],FMS_Input[ROADCLS])</f>
        <v>0</v>
      </c>
      <c r="AB453" s="255">
        <f>(ASINH(FMS_Ranking4[[#This Row],[Road Closures Raw]]))*(10)/(ASINH(AA$4))</f>
        <v>0</v>
      </c>
      <c r="AC453" s="256">
        <f>FMS_Ranking4[[#This Row],[Road closures, ArcSinh (0-10)]]*AA$5*10</f>
        <v>0</v>
      </c>
      <c r="AD453" s="253">
        <f>_xlfn.XLOOKUP(FMS_Ranking4[[#This Row],[FMS ID]],FMS_Input[FMS_ID],FMS_Input[ROAD_MILES100])</f>
        <v>25</v>
      </c>
      <c r="AE453" s="255">
        <f>(ASINH(FMS_Ranking4[[#This Row],[Road Miles Raw]]))*(10)/(ASINH(AD$4))</f>
        <v>4.1695662658221559</v>
      </c>
      <c r="AF453" s="256">
        <f>FMS_Ranking4[[#This Row],[Length of roads at risk, ArcSinh (0-10)]]*AD$5*10</f>
        <v>4.1695662658221559</v>
      </c>
      <c r="AG453" s="253">
        <f>_xlfn.XLOOKUP(FMS_Ranking4[[#This Row],[FMS ID]],FMS_Input[FMS_ID],FMS_Input[FARMACRE100])</f>
        <v>85.986282348632813</v>
      </c>
      <c r="AH453" s="255">
        <f>(ASINH(FMS_Ranking4[[#This Row],[Ag Land Raw]]))*(10)/(ASINH(AG$4))</f>
        <v>3.3436353671939747</v>
      </c>
      <c r="AI453" s="260">
        <f>FMS_Ranking4[[#This Row],[Farm &amp; ranch land, ArcSinh (0-10)]]*AG$5*10</f>
        <v>1.6718176835969876</v>
      </c>
      <c r="AJ453" s="258">
        <f>_xlfn.XLOOKUP(FMS_Ranking4[[#This Row],[FMS ID]],FMS_Input[FMS_ID],FMS_Input[REDSTRUCT100])</f>
        <v>0</v>
      </c>
      <c r="AK453" s="253">
        <f>_xlfn.XLOOKUP(FMS_Ranking4[[#This Row],[FMS ID]],FMS_Input[FMS_ID],FMS_Input[REMSTRC100])</f>
        <v>0</v>
      </c>
      <c r="AL453" s="255">
        <f>(ASINH(FMS_Ranking4[[#This Row],[Structures Removed Raw]]))*(10)/(ASINH(AK$4))</f>
        <v>0</v>
      </c>
      <c r="AM453" s="262">
        <f>FMS_Ranking4[[#This Row],[Structures removed, ArcSinh (0-10)]]*AK$5*10</f>
        <v>0</v>
      </c>
      <c r="AN453" s="253">
        <f>_xlfn.XLOOKUP(FMS_Ranking4[[#This Row],[FMS ID]],FMS_Input[FMS_ID],FMS_Input[REMRESSTRC100])</f>
        <v>0</v>
      </c>
      <c r="AO453" s="261">
        <f>FMS_Ranking4[[#This Row],[ArcSinh Res struct removed 0-10]]*AN$5*10</f>
        <v>0</v>
      </c>
      <c r="AP453" s="260">
        <f>ASINH(FMS_Ranking4[[#This Row],[Residential Structures Removed Raw]])/AP$4*AN$5*100</f>
        <v>0</v>
      </c>
      <c r="AQ453" s="258">
        <f>(ASINH(FMS_Ranking4[[#This Row],[Residential Structures Removed Raw]]))*(10)/(ASINH(AN$4))</f>
        <v>0</v>
      </c>
      <c r="AR453" s="253">
        <f>_xlfn.XLOOKUP(FMS_Ranking4[[#This Row],[FMS ID]],FMS_Input[FMS_ID],FMS_Input[REMPOP100])</f>
        <v>0</v>
      </c>
      <c r="AS453" s="255">
        <f>(ASINH(FMS_Ranking4[[#This Row],[Removed Pop Raw]]))*(10)/(ASINH(AR$4))</f>
        <v>0</v>
      </c>
      <c r="AT453" s="262">
        <f>FMS_Ranking4[[#This Row],[Removed population, ArcSinh (0-10)]]*AR$5*10</f>
        <v>0</v>
      </c>
      <c r="AU453" s="264">
        <f>_xlfn.XLOOKUP(FMS_Ranking4[[#This Row],[FMS ID]],FMS_Input[FMS_ID],FMS_Input[REMCRITFAC100])</f>
        <v>0</v>
      </c>
      <c r="AV453" s="264">
        <f>_xlfn.XLOOKUP(FMS_Ranking4[[#This Row],[FMS ID]],FMS_Input[FMS_ID],FMS_Input[REMLWC100])</f>
        <v>0</v>
      </c>
      <c r="AW453" s="264">
        <f>_xlfn.XLOOKUP(FMS_Ranking4[[#This Row],[FMS ID]],FMS_Input[FMS_ID],FMS_Input[REMROADCLS])</f>
        <v>0</v>
      </c>
      <c r="AX453" s="264">
        <f>_xlfn.XLOOKUP(FMS_Ranking4[[#This Row],[FMS ID]],FMS_Input[FMS_ID],FMS_Input[REMFRMACRE100])</f>
        <v>0</v>
      </c>
      <c r="AY453" s="258">
        <f>_xlfn.XLOOKUP(FMS_Ranking4[[#This Row],[FMS ID]],FMS_Input[FMS_ID],FMS_Input[COSTSTRUCT])</f>
        <v>0</v>
      </c>
      <c r="AZ453" s="253">
        <f>_xlfn.XLOOKUP(FMS_Ranking4[[#This Row],[FMS ID]],FMS_Input[FMS_ID],FMS_Input[NATURE])</f>
        <v>0</v>
      </c>
      <c r="BA453" s="262">
        <f>(((FMS_Ranking4[[#This Row],[% NBS Raw]]/AZ$4)*100)*AZ$5)</f>
        <v>0</v>
      </c>
      <c r="BB453" s="251" t="str">
        <f>_xlfn.XLOOKUP(FMS_Ranking4[[#This Row],[FMS ID]],FMS_Input[FMS_ID],FMS_Input[WATER_SUP])</f>
        <v>No</v>
      </c>
      <c r="BC453" s="265">
        <f>IF(FMS_Ranking4[[#This Row],[Water Supply Raw]]="Yes",10,0)</f>
        <v>0</v>
      </c>
      <c r="BD453" s="266">
        <f>_xlfn.XLOOKUP(FMS_Ranking4[[#This Row],[FMS Type]],FMS_TYPE[FMS_Type],FMS_TYPE[Score])</f>
        <v>8</v>
      </c>
      <c r="BE453" s="267">
        <f>FMS_Ranking4[[#This Row],[FMS_Type Score]]*$BD$5*10</f>
        <v>2</v>
      </c>
      <c r="BF45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0.21085870485496813</v>
      </c>
      <c r="BG453" s="269">
        <f>_xlfn.RANK.EQ(BF453,$BF$8:$BF$870,0)+COUNTIF($BF$8:BF453,BF453)-1</f>
        <v>354</v>
      </c>
      <c r="BH453" s="268">
        <f>(((FMS_Ranking4[[#This Row],[Structures Removed Raw]]/AK$4)*100)*AK$5)+(((FMS_Ranking4[[#This Row],[Removed Pop Raw]]/AR$4)*100)*AR$5)</f>
        <v>0</v>
      </c>
      <c r="BI45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2.2108587048549682</v>
      </c>
      <c r="BJ453" s="251">
        <f>_xlfn.RANK.EQ(FMS_Ranking4[[#This Row],[Total Score 
(with linear
normalization)]],FMS_Ranking4[Total Score 
(with linear
normalization)],0)</f>
        <v>323</v>
      </c>
      <c r="BK453" s="251" t="e">
        <f>_xlfn.XLOOKUP(FMS_Ranking4[[#This Row],[FMS ID]],#REF!,#REF!)</f>
        <v>#REF!</v>
      </c>
      <c r="BL45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19.767891483830493</v>
      </c>
      <c r="BM453" s="324">
        <f>FMS_Ranking4[[#This Row],[ArcSinh Score Based on Normalized Reported Factors]]+FMS_Ranking4[[#This Row],[% NBS Score (Normalized)]]+(FMS_Ranking4[[#This Row],[Water Supply Score (Normalized)]]*10*$BB$5)+FMS_Ranking4[[#This Row],[FMS_Type Score Weighted]]</f>
        <v>21.767891483830493</v>
      </c>
      <c r="BN453" s="251">
        <f>_xlfn.RANK.EQ(FMS_Ranking4[[#This Row],[Total Score (with ArcSinh normalization of select criteria)]],FMS_Ranking4[Total Score (with ArcSinh normalization of select criteria)],0)</f>
        <v>445</v>
      </c>
      <c r="BO453" s="270" t="str">
        <f>_xlfn.XLOOKUP(FMS_Ranking4[[#This Row],[FMS ID]],FMS_Input[FMS_ID],FMS_Input[FMS_RANK_YEAR])</f>
        <v>2023 Amended Plan</v>
      </c>
      <c r="BP453" s="204">
        <f>_xlfn.XLOOKUP(FMS_Ranking4[[#This Row],[FMS ID]],Prev_Rank[FMS ID],Prev_Rank[Prev Rank])</f>
        <v>397</v>
      </c>
      <c r="BQ453" s="251" t="e">
        <f>_xlfn.XLOOKUP(FMS_Ranking4[[#This Row],[FMS ID]],#REF!,#REF!)</f>
        <v>#REF!</v>
      </c>
      <c r="BR453" s="199" t="e">
        <f>SUM(#REF!,#REF!,#REF!,#REF!,#REF!,#REF!,#REF!,#REF!,#REF!,FMS_Ranking4[[#This Row],[ArcSinh Res struct removed 0-10]],#REF!)</f>
        <v>#REF!</v>
      </c>
      <c r="BS453" s="199" t="e">
        <f>FMS_Ranking4[[#This Row],[Log Score Based on Normalized Reported Factors]]+FMS_Ranking4[[#This Row],[% NBS Score (Normalized)]]+(FMS_Ranking4[[#This Row],[Water Supply Score (Normalized)]]*10*$BB$5)+(FMS_Ranking4[[#This Row],[FMS_Type Score Weighted]])</f>
        <v>#REF!</v>
      </c>
      <c r="BT453" s="200" t="e">
        <f>_xlfn.RANK.EQ(FMS_Ranking4[[#This Row],[Log Total Score]],FMS_Ranking4[Log Total Score],0)</f>
        <v>#REF!</v>
      </c>
      <c r="BU453" s="200" t="e">
        <f>_xlfn.XLOOKUP(FMS_Ranking4[[#This Row],[FMS ID]],#REF!,#REF!)</f>
        <v>#REF!</v>
      </c>
      <c r="BV453" s="200">
        <f>FMS_Ranking4[[#This Row],[Region Number]]</f>
        <v>15</v>
      </c>
      <c r="BW453" s="200">
        <f>FMS_Ranking4[[#This Row],[Rank (with ArcSinh normalization of select criteria)]]-FMS_Ranking4[[#This Row],[Rank
(with linear
normalization)]]</f>
        <v>122</v>
      </c>
      <c r="BX453" s="200" t="e">
        <f>FMS_Ranking4[[#This Row],[Log Rank]]-FMS_Ranking4[[#This Row],[Rank
(with linear
normalization)]]</f>
        <v>#REF!</v>
      </c>
      <c r="BY453" s="200" t="str">
        <f>IF(FMS_Ranking4[[#This Row],[FMS Type]]="Flood Measurement and Warning",FMS_Ranking4[[#This Row],[Rank (with ArcSinh normalization of select criteria)]],"")</f>
        <v/>
      </c>
      <c r="BZ453" s="200">
        <f>IF(FMS_Ranking4[[#This Row],[FMS Type]]="Regulatory and Guidance",FMS_Ranking4[[#This Row],[Rank (with ArcSinh normalization of select criteria)]],"")</f>
        <v>445</v>
      </c>
      <c r="CA453" s="200" t="str">
        <f>IF(FMS_Ranking4[[#This Row],[FMS Type]]="Education and Outreach",FMS_Ranking4[[#This Row],[Rank (with ArcSinh normalization of select criteria)]],"")</f>
        <v/>
      </c>
      <c r="CB453" s="200" t="str">
        <f>IF(FMS_Ranking4[[#This Row],[FMS Type]]="Property Acquisition and Structural Elevation",FMS_Ranking4[[#This Row],[Rank (with ArcSinh normalization of select criteria)]],"")</f>
        <v/>
      </c>
      <c r="CC453" s="200" t="str">
        <f>IF(FMS_Ranking4[[#This Row],[FMS Type]]="Infrastructure Projects",FMS_Ranking4[[#This Row],[Rank (with ArcSinh normalization of select criteria)]],"")</f>
        <v/>
      </c>
      <c r="CD453" s="200" t="str">
        <f>IF(FMS_Ranking4[[#This Row],[FMS Type]]="Other",FMS_Ranking4[[#This Row],[Rank (with ArcSinh normalization of select criteria)]],"")</f>
        <v/>
      </c>
      <c r="CE453" s="201"/>
      <c r="CF453" s="206"/>
      <c r="CG453" s="206"/>
      <c r="CH453" s="206"/>
      <c r="CI453" s="206"/>
      <c r="CJ453" s="206"/>
      <c r="CK453" s="206"/>
      <c r="CL453" s="206"/>
      <c r="CM453" s="206"/>
      <c r="CN453" s="206"/>
      <c r="CO453" s="206"/>
      <c r="CP453" s="206"/>
      <c r="CQ453" s="206"/>
      <c r="CR453" s="206"/>
    </row>
    <row r="454" spans="2:96" ht="60" x14ac:dyDescent="0.25">
      <c r="B454" s="341" t="s">
        <v>3804</v>
      </c>
      <c r="C454" s="246">
        <f>_xlfn.XLOOKUP(FMS_Ranking4[[#This Row],[FMS ID]],FMS_Input[FMS_ID],FMS_Input[RFPG_NUM])</f>
        <v>13</v>
      </c>
      <c r="D454" s="309" t="str">
        <f>_xlfn.XLOOKUP(FMS_Ranking4[[#This Row],[FMS ID]],FMS_Input[FMS_ID],FMS_Input[FMS_NAME])</f>
        <v>Aransas Pass Flood Mitigation Policy</v>
      </c>
      <c r="E454" s="308" t="str">
        <f>_xlfn.XLOOKUP(FMS_Ranking4[[#This Row],[FMS ID]],FMS_Input[FMS_ID],FMS_Input[SPONSOR])</f>
        <v>13002735</v>
      </c>
      <c r="F454" s="309" t="str">
        <f>_xlfn.XLOOKUP(FMS_Ranking4[[#This Row],[FMS ID]],Sponsor[FMS_ID],Sponsor[SPONSOR NAME])</f>
        <v>Aransas Pass</v>
      </c>
      <c r="G454" s="309" t="str">
        <f>_xlfn.XLOOKUP(FMS_Ranking4[[#This Row],[FMS ID]],FMS_Input[FMS_ID],FMS_Input[FMS_DESCR])</f>
        <v xml:space="preserve">Incorporate higher floodplain management standards into City of Aransas Pass comprehensive plan update. </v>
      </c>
      <c r="H454" s="248" t="str">
        <f>_xlfn.XLOOKUP(FMS_Ranking4[[#This Row],[FMS ID]],FMS_Input[FMS_ID],FMS_Input[FMS_TYPE])</f>
        <v>Regulatory and Guidance</v>
      </c>
      <c r="I454" s="249">
        <f>_xlfn.XLOOKUP(FMS_Ranking4[[#This Row],[FMS ID]],FMS_Input[FMS_ID],FMS_Input[NRNC_COST])</f>
        <v>81000</v>
      </c>
      <c r="J454" s="250">
        <f>_xlfn.XLOOKUP(FMS_Ranking4[[#This Row],[FMS ID]],FMS_Input[FMS_ID],FMS_Input[FMS_COST])</f>
        <v>81000</v>
      </c>
      <c r="K454" s="251" t="str">
        <f>_xlfn.XLOOKUP(FMS_Ranking4[[#This Row],[FMS ID]],FMS_Input[FMS_ID],FMS_Input[EMER_NEED])</f>
        <v>Yes</v>
      </c>
      <c r="L454" s="252">
        <f t="shared" si="6"/>
        <v>1</v>
      </c>
      <c r="M454" s="253">
        <f>_xlfn.XLOOKUP(FMS_Ranking4[[#This Row],[FMS ID]],FMS_Input[FMS_ID],FMS_Input[STRUCT_100])</f>
        <v>914</v>
      </c>
      <c r="N454" s="255">
        <f>(ASINH(FMS_Ranking4[[#This Row],[Structure at Risk Raw]]))*(10)/(ASINH(M$4))</f>
        <v>5.9047470844949865</v>
      </c>
      <c r="O454" s="256">
        <f>FMS_Ranking4[[#This Row],[Structures at risk, ArcSinh (0-10)]]*M$5*10</f>
        <v>5.9047470844949865</v>
      </c>
      <c r="P454" s="253">
        <f>_xlfn.XLOOKUP(FMS_Ranking4[[#This Row],[FMS ID]],FMS_Input[FMS_ID],FMS_Input[RES_STRUCT100])</f>
        <v>639</v>
      </c>
      <c r="Q454" s="257">
        <f>ASINH(FMS_Ranking4[[#This Row],[Res Structure Raw]])/Q$4*P$5*100</f>
        <v>0</v>
      </c>
      <c r="R454" s="253">
        <f>_xlfn.XLOOKUP(FMS_Ranking4[[#This Row],[FMS ID]],FMS_Input[FMS_ID],FMS_Input[POP100])</f>
        <v>2022</v>
      </c>
      <c r="S454" s="259">
        <f>(ASINH(FMS_Ranking4[[#This Row],[Pop at Risk Raw]]))*(10)/(ASINH(R$4))</f>
        <v>5.7334178486967202</v>
      </c>
      <c r="T454" s="256">
        <f>FMS_Ranking4[[#This Row],[Population at risk, ArcSinh (0-10)]]*R$5*10</f>
        <v>5.7334178486967202</v>
      </c>
      <c r="U454" s="253">
        <f>_xlfn.XLOOKUP(FMS_Ranking4[[#This Row],[FMS ID]],FMS_Input[FMS_ID],FMS_Input[CRITFAC100])</f>
        <v>0</v>
      </c>
      <c r="V454" s="259">
        <f>(ASINH(FMS_Ranking4[[#This Row],[Critical Facilities Raw]]))*(10)/(ASINH(U$4))</f>
        <v>0</v>
      </c>
      <c r="W454" s="256">
        <f>FMS_Ranking4[[#This Row],[Critical facilities at risk, ArcSinh (0-10)]]*U$5*10</f>
        <v>0</v>
      </c>
      <c r="X454" s="253">
        <f>_xlfn.XLOOKUP(FMS_Ranking4[[#This Row],[FMS ID]],FMS_Input[FMS_ID],FMS_Input[LWC])</f>
        <v>0</v>
      </c>
      <c r="Y454" s="259">
        <f>(ASINH(FMS_Ranking4[[#This Row],[LWC Raw]]))*(10)/(ASINH(X$4))</f>
        <v>0</v>
      </c>
      <c r="Z454" s="256">
        <f>FMS_Ranking4[[#This Row],[LWC, ArcSInh (0-10)]]*X$5*10</f>
        <v>0</v>
      </c>
      <c r="AA454" s="253">
        <f>_xlfn.XLOOKUP(FMS_Ranking4[[#This Row],[FMS ID]],FMS_Input[FMS_ID],FMS_Input[ROADCLS])</f>
        <v>138</v>
      </c>
      <c r="AB454" s="255">
        <f>(ASINH(FMS_Ranking4[[#This Row],[Road Closures Raw]]))*(10)/(ASINH(AA$4))</f>
        <v>5.8531453145490948</v>
      </c>
      <c r="AC454" s="256">
        <f>FMS_Ranking4[[#This Row],[Road closures, ArcSinh (0-10)]]*AA$5*10</f>
        <v>2.9265726572745479</v>
      </c>
      <c r="AD454" s="253">
        <f>_xlfn.XLOOKUP(FMS_Ranking4[[#This Row],[FMS ID]],FMS_Input[FMS_ID],FMS_Input[ROAD_MILES100])</f>
        <v>32</v>
      </c>
      <c r="AE454" s="259">
        <f>(ASINH(FMS_Ranking4[[#This Row],[Road Miles Raw]]))*(10)/(ASINH(AD$4))</f>
        <v>4.4324852488073416</v>
      </c>
      <c r="AF454" s="256">
        <f>FMS_Ranking4[[#This Row],[Length of roads at risk, ArcSinh (0-10)]]*AD$5*10</f>
        <v>4.4324852488073416</v>
      </c>
      <c r="AG454" s="253">
        <f>_xlfn.XLOOKUP(FMS_Ranking4[[#This Row],[FMS ID]],FMS_Input[FMS_ID],FMS_Input[FARMACRE100])</f>
        <v>4.7731661796569824</v>
      </c>
      <c r="AH454" s="255">
        <f>(ASINH(FMS_Ranking4[[#This Row],[Ag Land Raw]]))*(10)/(ASINH(AG$4))</f>
        <v>1.4725711431009121</v>
      </c>
      <c r="AI454" s="260">
        <f>FMS_Ranking4[[#This Row],[Farm &amp; ranch land, ArcSinh (0-10)]]*AG$5*10</f>
        <v>0.73628557155045615</v>
      </c>
      <c r="AJ454" s="258">
        <f>_xlfn.XLOOKUP(FMS_Ranking4[[#This Row],[FMS ID]],FMS_Input[FMS_ID],FMS_Input[REDSTRUCT100])</f>
        <v>0</v>
      </c>
      <c r="AK454" s="253">
        <f>_xlfn.XLOOKUP(FMS_Ranking4[[#This Row],[FMS ID]],FMS_Input[FMS_ID],FMS_Input[REMSTRC100])</f>
        <v>0</v>
      </c>
      <c r="AL454" s="259">
        <f>(ASINH(FMS_Ranking4[[#This Row],[Structures Removed Raw]]))*(10)/(ASINH(AK$4))</f>
        <v>0</v>
      </c>
      <c r="AM454" s="262">
        <f>FMS_Ranking4[[#This Row],[Structures removed, ArcSinh (0-10)]]*AK$5*10</f>
        <v>0</v>
      </c>
      <c r="AN454" s="253">
        <f>_xlfn.XLOOKUP(FMS_Ranking4[[#This Row],[FMS ID]],FMS_Input[FMS_ID],FMS_Input[REMRESSTRC100])</f>
        <v>0</v>
      </c>
      <c r="AO454" s="261">
        <f>FMS_Ranking4[[#This Row],[ArcSinh Res struct removed 0-10]]*AN$5*10</f>
        <v>0</v>
      </c>
      <c r="AP454" s="260">
        <f>ASINH(FMS_Ranking4[[#This Row],[Residential Structures Removed Raw]])/AP$4*AN$5*100</f>
        <v>0</v>
      </c>
      <c r="AQ454" s="254">
        <f>(ASINH(FMS_Ranking4[[#This Row],[Residential Structures Removed Raw]]))*(10)/(ASINH(AN$4))</f>
        <v>0</v>
      </c>
      <c r="AR454" s="253">
        <f>_xlfn.XLOOKUP(FMS_Ranking4[[#This Row],[FMS ID]],FMS_Input[FMS_ID],FMS_Input[REMPOP100])</f>
        <v>0</v>
      </c>
      <c r="AS454" s="259">
        <f>(ASINH(FMS_Ranking4[[#This Row],[Removed Pop Raw]]))*(10)/(ASINH(AR$4))</f>
        <v>0</v>
      </c>
      <c r="AT454" s="262">
        <f>FMS_Ranking4[[#This Row],[Removed population, ArcSinh (0-10)]]*AR$5*10</f>
        <v>0</v>
      </c>
      <c r="AU454" s="264">
        <f>_xlfn.XLOOKUP(FMS_Ranking4[[#This Row],[FMS ID]],FMS_Input[FMS_ID],FMS_Input[REMCRITFAC100])</f>
        <v>0</v>
      </c>
      <c r="AV454" s="264">
        <f>_xlfn.XLOOKUP(FMS_Ranking4[[#This Row],[FMS ID]],FMS_Input[FMS_ID],FMS_Input[REMLWC100])</f>
        <v>0</v>
      </c>
      <c r="AW454" s="264">
        <f>_xlfn.XLOOKUP(FMS_Ranking4[[#This Row],[FMS ID]],FMS_Input[FMS_ID],FMS_Input[REMROADCLS])</f>
        <v>0</v>
      </c>
      <c r="AX454" s="264">
        <f>_xlfn.XLOOKUP(FMS_Ranking4[[#This Row],[FMS ID]],FMS_Input[FMS_ID],FMS_Input[REMFRMACRE100])</f>
        <v>0</v>
      </c>
      <c r="AY454" s="258">
        <f>_xlfn.XLOOKUP(FMS_Ranking4[[#This Row],[FMS ID]],FMS_Input[FMS_ID],FMS_Input[COSTSTRUCT])</f>
        <v>0</v>
      </c>
      <c r="AZ454" s="253">
        <f>_xlfn.XLOOKUP(FMS_Ranking4[[#This Row],[FMS ID]],FMS_Input[FMS_ID],FMS_Input[NATURE])</f>
        <v>0</v>
      </c>
      <c r="BA454" s="262">
        <f>(((FMS_Ranking4[[#This Row],[% NBS Raw]]/AZ$4)*100)*AZ$5)</f>
        <v>0</v>
      </c>
      <c r="BB454" s="251" t="str">
        <f>_xlfn.XLOOKUP(FMS_Ranking4[[#This Row],[FMS ID]],FMS_Input[FMS_ID],FMS_Input[WATER_SUP])</f>
        <v>No</v>
      </c>
      <c r="BC454" s="265">
        <f>IF(FMS_Ranking4[[#This Row],[Water Supply Raw]]="Yes",10,0)</f>
        <v>0</v>
      </c>
      <c r="BD454" s="266">
        <f>_xlfn.XLOOKUP(FMS_Ranking4[[#This Row],[FMS Type]],FMS_TYPE[FMS_Type],FMS_TYPE[Score])</f>
        <v>8</v>
      </c>
      <c r="BE454" s="267">
        <f>FMS_Ranking4[[#This Row],[FMS_Type Score]]*$BD$5*10</f>
        <v>2</v>
      </c>
      <c r="BF45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0.22244534002569463</v>
      </c>
      <c r="BG454" s="271">
        <f>_xlfn.RANK.EQ(BF454,$BF$8:$BF$870,0)+COUNTIF($BF$8:BF454,BF454)-1</f>
        <v>344</v>
      </c>
      <c r="BH454" s="268">
        <f>(((FMS_Ranking4[[#This Row],[Structures Removed Raw]]/AK$4)*100)*AK$5)+(((FMS_Ranking4[[#This Row],[Removed Pop Raw]]/AR$4)*100)*AR$5)</f>
        <v>0</v>
      </c>
      <c r="BI45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2.2224453400256947</v>
      </c>
      <c r="BJ454" s="205">
        <f>_xlfn.RANK.EQ(FMS_Ranking4[[#This Row],[Total Score 
(with linear
normalization)]],FMS_Ranking4[Total Score 
(with linear
normalization)],0)</f>
        <v>320</v>
      </c>
      <c r="BK454" s="205" t="e">
        <f>_xlfn.XLOOKUP(FMS_Ranking4[[#This Row],[FMS ID]],#REF!,#REF!)</f>
        <v>#REF!</v>
      </c>
      <c r="BL45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19.733508410824054</v>
      </c>
      <c r="BM454" s="272">
        <f>FMS_Ranking4[[#This Row],[ArcSinh Score Based on Normalized Reported Factors]]+FMS_Ranking4[[#This Row],[% NBS Score (Normalized)]]+(FMS_Ranking4[[#This Row],[Water Supply Score (Normalized)]]*10*$BB$5)+FMS_Ranking4[[#This Row],[FMS_Type Score Weighted]]</f>
        <v>21.733508410824054</v>
      </c>
      <c r="BN454" s="205">
        <f>_xlfn.RANK.EQ(FMS_Ranking4[[#This Row],[Total Score (with ArcSinh normalization of select criteria)]],FMS_Ranking4[Total Score (with ArcSinh normalization of select criteria)],0)</f>
        <v>447</v>
      </c>
      <c r="BO454" s="270" t="str">
        <f>_xlfn.XLOOKUP(FMS_Ranking4[[#This Row],[FMS ID]],FMS_Input[FMS_ID],FMS_Input[FMS_RANK_YEAR])</f>
        <v>2023 Amended Plan</v>
      </c>
      <c r="BP454" s="204">
        <f>_xlfn.XLOOKUP(FMS_Ranking4[[#This Row],[FMS ID]],Prev_Rank[FMS ID],Prev_Rank[Prev Rank])</f>
        <v>400</v>
      </c>
      <c r="BQ454" s="205" t="e">
        <f>_xlfn.XLOOKUP(FMS_Ranking4[[#This Row],[FMS ID]],#REF!,#REF!)</f>
        <v>#REF!</v>
      </c>
      <c r="BR454" s="199" t="e">
        <f>SUM(#REF!,#REF!,#REF!,#REF!,#REF!,#REF!,#REF!,#REF!,#REF!,FMS_Ranking4[[#This Row],[ArcSinh Res struct removed 0-10]],#REF!)</f>
        <v>#REF!</v>
      </c>
      <c r="BS454" s="199" t="e">
        <f>FMS_Ranking4[[#This Row],[Log Score Based on Normalized Reported Factors]]+FMS_Ranking4[[#This Row],[% NBS Score (Normalized)]]+(FMS_Ranking4[[#This Row],[Water Supply Score (Normalized)]]*10*$BB$5)+(FMS_Ranking4[[#This Row],[FMS_Type Score Weighted]])</f>
        <v>#REF!</v>
      </c>
      <c r="BT454" s="200" t="e">
        <f>_xlfn.RANK.EQ(FMS_Ranking4[[#This Row],[Log Total Score]],FMS_Ranking4[Log Total Score],0)</f>
        <v>#REF!</v>
      </c>
      <c r="BU454" s="200" t="e">
        <f>_xlfn.XLOOKUP(FMS_Ranking4[[#This Row],[FMS ID]],#REF!,#REF!)</f>
        <v>#REF!</v>
      </c>
      <c r="BV454" s="200">
        <f>FMS_Ranking4[[#This Row],[Region Number]]</f>
        <v>13</v>
      </c>
      <c r="BW454" s="200">
        <f>FMS_Ranking4[[#This Row],[Rank (with ArcSinh normalization of select criteria)]]-FMS_Ranking4[[#This Row],[Rank
(with linear
normalization)]]</f>
        <v>127</v>
      </c>
      <c r="BX454" s="200" t="e">
        <f>FMS_Ranking4[[#This Row],[Log Rank]]-FMS_Ranking4[[#This Row],[Rank
(with linear
normalization)]]</f>
        <v>#REF!</v>
      </c>
      <c r="BY454" s="200" t="str">
        <f>IF(FMS_Ranking4[[#This Row],[FMS Type]]="Flood Measurement and Warning",FMS_Ranking4[[#This Row],[Rank (with ArcSinh normalization of select criteria)]],"")</f>
        <v/>
      </c>
      <c r="BZ454" s="200">
        <f>IF(FMS_Ranking4[[#This Row],[FMS Type]]="Regulatory and Guidance",FMS_Ranking4[[#This Row],[Rank (with ArcSinh normalization of select criteria)]],"")</f>
        <v>447</v>
      </c>
      <c r="CA454" s="200" t="str">
        <f>IF(FMS_Ranking4[[#This Row],[FMS Type]]="Education and Outreach",FMS_Ranking4[[#This Row],[Rank (with ArcSinh normalization of select criteria)]],"")</f>
        <v/>
      </c>
      <c r="CB454" s="200" t="str">
        <f>IF(FMS_Ranking4[[#This Row],[FMS Type]]="Property Acquisition and Structural Elevation",FMS_Ranking4[[#This Row],[Rank (with ArcSinh normalization of select criteria)]],"")</f>
        <v/>
      </c>
      <c r="CC454" s="200" t="str">
        <f>IF(FMS_Ranking4[[#This Row],[FMS Type]]="Infrastructure Projects",FMS_Ranking4[[#This Row],[Rank (with ArcSinh normalization of select criteria)]],"")</f>
        <v/>
      </c>
      <c r="CD454" s="200" t="str">
        <f>IF(FMS_Ranking4[[#This Row],[FMS Type]]="Other",FMS_Ranking4[[#This Row],[Rank (with ArcSinh normalization of select criteria)]],"")</f>
        <v/>
      </c>
      <c r="CE454" s="201"/>
      <c r="CF454" s="206"/>
      <c r="CG454" s="206"/>
      <c r="CH454" s="206"/>
      <c r="CI454" s="206"/>
      <c r="CJ454" s="206"/>
      <c r="CK454" s="206"/>
      <c r="CL454" s="206"/>
      <c r="CM454" s="206"/>
      <c r="CN454" s="206"/>
      <c r="CO454" s="206"/>
      <c r="CP454" s="206"/>
      <c r="CQ454" s="206"/>
      <c r="CR454" s="206"/>
    </row>
    <row r="455" spans="2:96" ht="90" x14ac:dyDescent="0.25">
      <c r="B455" s="341" t="s">
        <v>3031</v>
      </c>
      <c r="C455" s="246">
        <f>_xlfn.XLOOKUP(FMS_Ranking4[[#This Row],[FMS ID]],FMS_Input[FMS_ID],FMS_Input[RFPG_NUM])</f>
        <v>7</v>
      </c>
      <c r="D455" s="309" t="str">
        <f>_xlfn.XLOOKUP(FMS_Ranking4[[#This Row],[FMS ID]],FMS_Input[FMS_ID],FMS_Input[FMS_NAME])</f>
        <v>Callahan County NFIP Coordination Program</v>
      </c>
      <c r="E455" s="308" t="str">
        <f>_xlfn.XLOOKUP(FMS_Ranking4[[#This Row],[FMS ID]],FMS_Input[FMS_ID],FMS_Input[SPONSOR])</f>
        <v>00000165</v>
      </c>
      <c r="F455" s="309" t="str">
        <f>_xlfn.XLOOKUP(FMS_Ranking4[[#This Row],[FMS ID]],Sponsor[FMS_ID],Sponsor[SPONSOR NAME])</f>
        <v>Callahan</v>
      </c>
      <c r="G455" s="309" t="str">
        <f>_xlfn.XLOOKUP(FMS_Ranking4[[#This Row],[FMS ID]],FMS_Input[FMS_ID],FMS_Input[FMS_DESCR])</f>
        <v>County NFIP Compliance program to coordinate and assist local jurisdictions with reviewing the NFIP components to ensure continued compliance.</v>
      </c>
      <c r="H455" s="248" t="str">
        <f>_xlfn.XLOOKUP(FMS_Ranking4[[#This Row],[FMS ID]],FMS_Input[FMS_ID],FMS_Input[FMS_TYPE])</f>
        <v>Regulatory and Guidance</v>
      </c>
      <c r="I455" s="249">
        <f>_xlfn.XLOOKUP(FMS_Ranking4[[#This Row],[FMS ID]],FMS_Input[FMS_ID],FMS_Input[NRNC_COST])</f>
        <v>25000</v>
      </c>
      <c r="J455" s="250">
        <f>_xlfn.XLOOKUP(FMS_Ranking4[[#This Row],[FMS ID]],FMS_Input[FMS_ID],FMS_Input[FMS_COST])</f>
        <v>25000</v>
      </c>
      <c r="K455" s="251" t="str">
        <f>_xlfn.XLOOKUP(FMS_Ranking4[[#This Row],[FMS ID]],FMS_Input[FMS_ID],FMS_Input[EMER_NEED])</f>
        <v>No</v>
      </c>
      <c r="L455" s="252">
        <f t="shared" si="6"/>
        <v>0</v>
      </c>
      <c r="M455" s="253">
        <f>_xlfn.XLOOKUP(FMS_Ranking4[[#This Row],[FMS ID]],FMS_Input[FMS_ID],FMS_Input[STRUCT_100])</f>
        <v>81</v>
      </c>
      <c r="N455" s="255">
        <f>(ASINH(FMS_Ranking4[[#This Row],[Structure at Risk Raw]]))*(10)/(ASINH(M$4))</f>
        <v>3.9996381834417662</v>
      </c>
      <c r="O455" s="256">
        <f>FMS_Ranking4[[#This Row],[Structures at risk, ArcSinh (0-10)]]*M$5*10</f>
        <v>3.9996381834417667</v>
      </c>
      <c r="P455" s="253">
        <f>_xlfn.XLOOKUP(FMS_Ranking4[[#This Row],[FMS ID]],FMS_Input[FMS_ID],FMS_Input[RES_STRUCT100])</f>
        <v>21</v>
      </c>
      <c r="Q455" s="257">
        <f>ASINH(FMS_Ranking4[[#This Row],[Res Structure Raw]])/Q$4*P$5*100</f>
        <v>0</v>
      </c>
      <c r="R455" s="253">
        <f>_xlfn.XLOOKUP(FMS_Ranking4[[#This Row],[FMS ID]],FMS_Input[FMS_ID],FMS_Input[POP100])</f>
        <v>86</v>
      </c>
      <c r="S455" s="255">
        <f>(ASINH(FMS_Ranking4[[#This Row],[Pop at Risk Raw]]))*(10)/(ASINH(R$4))</f>
        <v>3.5536384481672605</v>
      </c>
      <c r="T455" s="256">
        <f>FMS_Ranking4[[#This Row],[Population at risk, ArcSinh (0-10)]]*R$5*10</f>
        <v>3.5536384481672605</v>
      </c>
      <c r="U455" s="253">
        <f>_xlfn.XLOOKUP(FMS_Ranking4[[#This Row],[FMS ID]],FMS_Input[FMS_ID],FMS_Input[CRITFAC100])</f>
        <v>0</v>
      </c>
      <c r="V455" s="255">
        <f>(ASINH(FMS_Ranking4[[#This Row],[Critical Facilities Raw]]))*(10)/(ASINH(U$4))</f>
        <v>0</v>
      </c>
      <c r="W455" s="256">
        <f>FMS_Ranking4[[#This Row],[Critical facilities at risk, ArcSinh (0-10)]]*U$5*10</f>
        <v>0</v>
      </c>
      <c r="X455" s="253">
        <f>_xlfn.XLOOKUP(FMS_Ranking4[[#This Row],[FMS ID]],FMS_Input[FMS_ID],FMS_Input[LWC])</f>
        <v>12</v>
      </c>
      <c r="Y455" s="255">
        <f>(ASINH(FMS_Ranking4[[#This Row],[LWC Raw]]))*(10)/(ASINH(X$4))</f>
        <v>4.3077754583370957</v>
      </c>
      <c r="Z455" s="256">
        <f>FMS_Ranking4[[#This Row],[LWC, ArcSInh (0-10)]]*X$5*10</f>
        <v>4.3077754583370957</v>
      </c>
      <c r="AA455" s="253">
        <f>_xlfn.XLOOKUP(FMS_Ranking4[[#This Row],[FMS ID]],FMS_Input[FMS_ID],FMS_Input[ROADCLS])</f>
        <v>0</v>
      </c>
      <c r="AB455" s="255">
        <f>(ASINH(FMS_Ranking4[[#This Row],[Road Closures Raw]]))*(10)/(ASINH(AA$4))</f>
        <v>0</v>
      </c>
      <c r="AC455" s="256">
        <f>FMS_Ranking4[[#This Row],[Road closures, ArcSinh (0-10)]]*AA$5*10</f>
        <v>0</v>
      </c>
      <c r="AD455" s="253">
        <f>_xlfn.XLOOKUP(FMS_Ranking4[[#This Row],[FMS ID]],FMS_Input[FMS_ID],FMS_Input[ROAD_MILES100])</f>
        <v>56</v>
      </c>
      <c r="AE455" s="255">
        <f>(ASINH(FMS_Ranking4[[#This Row],[Road Miles Raw]]))*(10)/(ASINH(AD$4))</f>
        <v>5.0287065721479349</v>
      </c>
      <c r="AF455" s="256">
        <f>FMS_Ranking4[[#This Row],[Length of roads at risk, ArcSinh (0-10)]]*AD$5*10</f>
        <v>5.0287065721479349</v>
      </c>
      <c r="AG455" s="253">
        <f>_xlfn.XLOOKUP(FMS_Ranking4[[#This Row],[FMS ID]],FMS_Input[FMS_ID],FMS_Input[FARMACRE100])</f>
        <v>3073.50634765625</v>
      </c>
      <c r="AH455" s="255">
        <f>(ASINH(FMS_Ranking4[[#This Row],[Ag Land Raw]]))*(10)/(ASINH(AG$4))</f>
        <v>5.6667678484829969</v>
      </c>
      <c r="AI455" s="260">
        <f>FMS_Ranking4[[#This Row],[Farm &amp; ranch land, ArcSinh (0-10)]]*AG$5*10</f>
        <v>2.8333839242414989</v>
      </c>
      <c r="AJ455" s="258">
        <f>_xlfn.XLOOKUP(FMS_Ranking4[[#This Row],[FMS ID]],FMS_Input[FMS_ID],FMS_Input[REDSTRUCT100])</f>
        <v>0</v>
      </c>
      <c r="AK455" s="253">
        <f>_xlfn.XLOOKUP(FMS_Ranking4[[#This Row],[FMS ID]],FMS_Input[FMS_ID],FMS_Input[REMSTRC100])</f>
        <v>0</v>
      </c>
      <c r="AL455" s="255">
        <f>(ASINH(FMS_Ranking4[[#This Row],[Structures Removed Raw]]))*(10)/(ASINH(AK$4))</f>
        <v>0</v>
      </c>
      <c r="AM455" s="262">
        <f>FMS_Ranking4[[#This Row],[Structures removed, ArcSinh (0-10)]]*AK$5*10</f>
        <v>0</v>
      </c>
      <c r="AN455" s="253">
        <f>_xlfn.XLOOKUP(FMS_Ranking4[[#This Row],[FMS ID]],FMS_Input[FMS_ID],FMS_Input[REMRESSTRC100])</f>
        <v>0</v>
      </c>
      <c r="AO455" s="261">
        <f>FMS_Ranking4[[#This Row],[ArcSinh Res struct removed 0-10]]*AN$5*10</f>
        <v>0</v>
      </c>
      <c r="AP455" s="260">
        <f>ASINH(FMS_Ranking4[[#This Row],[Residential Structures Removed Raw]])/AP$4*AN$5*100</f>
        <v>0</v>
      </c>
      <c r="AQ455" s="258">
        <f>(ASINH(FMS_Ranking4[[#This Row],[Residential Structures Removed Raw]]))*(10)/(ASINH(AN$4))</f>
        <v>0</v>
      </c>
      <c r="AR455" s="253">
        <f>_xlfn.XLOOKUP(FMS_Ranking4[[#This Row],[FMS ID]],FMS_Input[FMS_ID],FMS_Input[REMPOP100])</f>
        <v>0</v>
      </c>
      <c r="AS455" s="255">
        <f>(ASINH(FMS_Ranking4[[#This Row],[Removed Pop Raw]]))*(10)/(ASINH(AR$4))</f>
        <v>0</v>
      </c>
      <c r="AT455" s="262">
        <f>FMS_Ranking4[[#This Row],[Removed population, ArcSinh (0-10)]]*AR$5*10</f>
        <v>0</v>
      </c>
      <c r="AU455" s="264">
        <f>_xlfn.XLOOKUP(FMS_Ranking4[[#This Row],[FMS ID]],FMS_Input[FMS_ID],FMS_Input[REMCRITFAC100])</f>
        <v>0</v>
      </c>
      <c r="AV455" s="264">
        <f>_xlfn.XLOOKUP(FMS_Ranking4[[#This Row],[FMS ID]],FMS_Input[FMS_ID],FMS_Input[REMLWC100])</f>
        <v>0</v>
      </c>
      <c r="AW455" s="264">
        <f>_xlfn.XLOOKUP(FMS_Ranking4[[#This Row],[FMS ID]],FMS_Input[FMS_ID],FMS_Input[REMROADCLS])</f>
        <v>0</v>
      </c>
      <c r="AX455" s="264">
        <f>_xlfn.XLOOKUP(FMS_Ranking4[[#This Row],[FMS ID]],FMS_Input[FMS_ID],FMS_Input[REMFRMACRE100])</f>
        <v>0</v>
      </c>
      <c r="AY455" s="258">
        <f>_xlfn.XLOOKUP(FMS_Ranking4[[#This Row],[FMS ID]],FMS_Input[FMS_ID],FMS_Input[COSTSTRUCT])</f>
        <v>0</v>
      </c>
      <c r="AZ455" s="253">
        <f>_xlfn.XLOOKUP(FMS_Ranking4[[#This Row],[FMS ID]],FMS_Input[FMS_ID],FMS_Input[NATURE])</f>
        <v>0</v>
      </c>
      <c r="BA455" s="262">
        <f>(((FMS_Ranking4[[#This Row],[% NBS Raw]]/AZ$4)*100)*AZ$5)</f>
        <v>0</v>
      </c>
      <c r="BB455" s="251" t="str">
        <f>_xlfn.XLOOKUP(FMS_Ranking4[[#This Row],[FMS ID]],FMS_Input[FMS_ID],FMS_Input[WATER_SUP])</f>
        <v>No</v>
      </c>
      <c r="BC455" s="265">
        <f>IF(FMS_Ranking4[[#This Row],[Water Supply Raw]]="Yes",10,0)</f>
        <v>0</v>
      </c>
      <c r="BD455" s="266">
        <f>_xlfn.XLOOKUP(FMS_Ranking4[[#This Row],[FMS Type]],FMS_TYPE[FMS_Type],FMS_TYPE[Score])</f>
        <v>8</v>
      </c>
      <c r="BE455" s="267">
        <f>FMS_Ranking4[[#This Row],[FMS_Type Score]]*$BD$5*10</f>
        <v>2</v>
      </c>
      <c r="BF45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0.25571332001173364</v>
      </c>
      <c r="BG455" s="321">
        <f>_xlfn.RANK.EQ(BF455,$BF$8:$BF$870,0)+COUNTIF($BF$8:BF455,BF455)-1</f>
        <v>327</v>
      </c>
      <c r="BH455" s="294">
        <f>(((FMS_Ranking4[[#This Row],[Structures Removed Raw]]/AK$4)*100)*AK$5)+(((FMS_Ranking4[[#This Row],[Removed Pop Raw]]/AR$4)*100)*AR$5)</f>
        <v>0</v>
      </c>
      <c r="BI45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2.2557133200117336</v>
      </c>
      <c r="BJ455" s="251">
        <f>_xlfn.RANK.EQ(FMS_Ranking4[[#This Row],[Total Score 
(with linear
normalization)]],FMS_Ranking4[Total Score 
(with linear
normalization)],0)</f>
        <v>310</v>
      </c>
      <c r="BK455" s="251" t="e">
        <f>_xlfn.XLOOKUP(FMS_Ranking4[[#This Row],[FMS ID]],#REF!,#REF!)</f>
        <v>#REF!</v>
      </c>
      <c r="BL45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19.723142586335555</v>
      </c>
      <c r="BM455" s="324">
        <f>FMS_Ranking4[[#This Row],[ArcSinh Score Based on Normalized Reported Factors]]+FMS_Ranking4[[#This Row],[% NBS Score (Normalized)]]+(FMS_Ranking4[[#This Row],[Water Supply Score (Normalized)]]*10*$BB$5)+FMS_Ranking4[[#This Row],[FMS_Type Score Weighted]]</f>
        <v>21.723142586335555</v>
      </c>
      <c r="BN455" s="251">
        <f>_xlfn.RANK.EQ(FMS_Ranking4[[#This Row],[Total Score (with ArcSinh normalization of select criteria)]],FMS_Ranking4[Total Score (with ArcSinh normalization of select criteria)],0)</f>
        <v>448</v>
      </c>
      <c r="BO455" s="270" t="str">
        <f>_xlfn.XLOOKUP(FMS_Ranking4[[#This Row],[FMS ID]],FMS_Input[FMS_ID],FMS_Input[FMS_RANK_YEAR])</f>
        <v>2023 Amended Plan</v>
      </c>
      <c r="BP455" s="204">
        <f>_xlfn.XLOOKUP(FMS_Ranking4[[#This Row],[FMS ID]],Prev_Rank[FMS ID],Prev_Rank[Prev Rank])</f>
        <v>404</v>
      </c>
      <c r="BQ455" s="251" t="e">
        <f>_xlfn.XLOOKUP(FMS_Ranking4[[#This Row],[FMS ID]],#REF!,#REF!)</f>
        <v>#REF!</v>
      </c>
      <c r="BR455" s="199" t="e">
        <f>SUM(#REF!,#REF!,#REF!,#REF!,#REF!,#REF!,#REF!,#REF!,#REF!,FMS_Ranking4[[#This Row],[ArcSinh Res struct removed 0-10]],#REF!)</f>
        <v>#REF!</v>
      </c>
      <c r="BS455" s="199" t="e">
        <f>FMS_Ranking4[[#This Row],[Log Score Based on Normalized Reported Factors]]+FMS_Ranking4[[#This Row],[% NBS Score (Normalized)]]+(FMS_Ranking4[[#This Row],[Water Supply Score (Normalized)]]*10*$BB$5)+(FMS_Ranking4[[#This Row],[FMS_Type Score Weighted]])</f>
        <v>#REF!</v>
      </c>
      <c r="BT455" s="200" t="e">
        <f>_xlfn.RANK.EQ(FMS_Ranking4[[#This Row],[Log Total Score]],FMS_Ranking4[Log Total Score],0)</f>
        <v>#REF!</v>
      </c>
      <c r="BU455" s="200" t="e">
        <f>_xlfn.XLOOKUP(FMS_Ranking4[[#This Row],[FMS ID]],#REF!,#REF!)</f>
        <v>#REF!</v>
      </c>
      <c r="BV455" s="200">
        <f>FMS_Ranking4[[#This Row],[Region Number]]</f>
        <v>7</v>
      </c>
      <c r="BW455" s="200">
        <f>FMS_Ranking4[[#This Row],[Rank (with ArcSinh normalization of select criteria)]]-FMS_Ranking4[[#This Row],[Rank
(with linear
normalization)]]</f>
        <v>138</v>
      </c>
      <c r="BX455" s="200" t="e">
        <f>FMS_Ranking4[[#This Row],[Log Rank]]-FMS_Ranking4[[#This Row],[Rank
(with linear
normalization)]]</f>
        <v>#REF!</v>
      </c>
      <c r="BY455" s="200" t="str">
        <f>IF(FMS_Ranking4[[#This Row],[FMS Type]]="Flood Measurement and Warning",FMS_Ranking4[[#This Row],[Rank (with ArcSinh normalization of select criteria)]],"")</f>
        <v/>
      </c>
      <c r="BZ455" s="200">
        <f>IF(FMS_Ranking4[[#This Row],[FMS Type]]="Regulatory and Guidance",FMS_Ranking4[[#This Row],[Rank (with ArcSinh normalization of select criteria)]],"")</f>
        <v>448</v>
      </c>
      <c r="CA455" s="200" t="str">
        <f>IF(FMS_Ranking4[[#This Row],[FMS Type]]="Education and Outreach",FMS_Ranking4[[#This Row],[Rank (with ArcSinh normalization of select criteria)]],"")</f>
        <v/>
      </c>
      <c r="CB455" s="200" t="str">
        <f>IF(FMS_Ranking4[[#This Row],[FMS Type]]="Property Acquisition and Structural Elevation",FMS_Ranking4[[#This Row],[Rank (with ArcSinh normalization of select criteria)]],"")</f>
        <v/>
      </c>
      <c r="CC455" s="200" t="str">
        <f>IF(FMS_Ranking4[[#This Row],[FMS Type]]="Infrastructure Projects",FMS_Ranking4[[#This Row],[Rank (with ArcSinh normalization of select criteria)]],"")</f>
        <v/>
      </c>
      <c r="CD455" s="200" t="str">
        <f>IF(FMS_Ranking4[[#This Row],[FMS Type]]="Other",FMS_Ranking4[[#This Row],[Rank (with ArcSinh normalization of select criteria)]],"")</f>
        <v/>
      </c>
      <c r="CE455" s="201"/>
      <c r="CF455" s="206"/>
      <c r="CG455" s="206"/>
      <c r="CH455" s="206"/>
      <c r="CI455" s="206"/>
      <c r="CJ455" s="206"/>
      <c r="CK455" s="206"/>
      <c r="CL455" s="206"/>
      <c r="CM455" s="206"/>
      <c r="CN455" s="206"/>
      <c r="CO455" s="206"/>
      <c r="CP455" s="206"/>
      <c r="CQ455" s="206"/>
      <c r="CR455" s="206"/>
    </row>
    <row r="456" spans="2:96" ht="75" x14ac:dyDescent="0.25">
      <c r="B456" s="341" t="s">
        <v>135</v>
      </c>
      <c r="C456" s="246">
        <f>_xlfn.XLOOKUP(FMS_Ranking4[[#This Row],[FMS ID]],FMS_Input[FMS_ID],FMS_Input[RFPG_NUM])</f>
        <v>6</v>
      </c>
      <c r="D456" s="309" t="str">
        <f>_xlfn.XLOOKUP(FMS_Ranking4[[#This Row],[FMS ID]],FMS_Input[FMS_ID],FMS_Input[FMS_NAME])</f>
        <v>Retrofit and Harden the Emergency Operations Center Serving Walker County</v>
      </c>
      <c r="E456" s="308" t="str">
        <f>_xlfn.XLOOKUP(FMS_Ranking4[[#This Row],[FMS ID]],FMS_Input[FMS_ID],FMS_Input[SPONSOR])</f>
        <v>00000053</v>
      </c>
      <c r="F456" s="309" t="str">
        <f>_xlfn.XLOOKUP(FMS_Ranking4[[#This Row],[FMS ID]],Sponsor[FMS_ID],Sponsor[SPONSOR NAME])</f>
        <v>Walker</v>
      </c>
      <c r="G456" s="309" t="str">
        <f>_xlfn.XLOOKUP(FMS_Ranking4[[#This Row],[FMS ID]],FMS_Input[FMS_ID],FMS_Input[FMS_DESCR])</f>
        <v>Retrofit and harden the Emergency Operations Center serving Walker county including city of Huntsville, New Waverly, and Riverside.</v>
      </c>
      <c r="H456" s="248" t="str">
        <f>_xlfn.XLOOKUP(FMS_Ranking4[[#This Row],[FMS ID]],FMS_Input[FMS_ID],FMS_Input[FMS_TYPE])</f>
        <v>Education and Outreach</v>
      </c>
      <c r="I456" s="249">
        <f>_xlfn.XLOOKUP(FMS_Ranking4[[#This Row],[FMS ID]],FMS_Input[FMS_ID],FMS_Input[NRNC_COST])</f>
        <v>200000</v>
      </c>
      <c r="J456" s="250">
        <f>_xlfn.XLOOKUP(FMS_Ranking4[[#This Row],[FMS ID]],FMS_Input[FMS_ID],FMS_Input[FMS_COST])</f>
        <v>4000000</v>
      </c>
      <c r="K456" s="251" t="str">
        <f>_xlfn.XLOOKUP(FMS_Ranking4[[#This Row],[FMS ID]],FMS_Input[FMS_ID],FMS_Input[EMER_NEED])</f>
        <v>No</v>
      </c>
      <c r="L456" s="252">
        <f t="shared" ref="L456:L519" si="7">IF(K456="Yes",1,0)</f>
        <v>0</v>
      </c>
      <c r="M456" s="253">
        <f>_xlfn.XLOOKUP(FMS_Ranking4[[#This Row],[FMS ID]],FMS_Input[FMS_ID],FMS_Input[STRUCT_100])</f>
        <v>505</v>
      </c>
      <c r="N456" s="255">
        <f>(ASINH(FMS_Ranking4[[#This Row],[Structure at Risk Raw]]))*(10)/(ASINH(M$4))</f>
        <v>5.4383473817417256</v>
      </c>
      <c r="O456" s="256">
        <f>FMS_Ranking4[[#This Row],[Structures at risk, ArcSinh (0-10)]]*M$5*10</f>
        <v>5.4383473817417265</v>
      </c>
      <c r="P456" s="253">
        <f>_xlfn.XLOOKUP(FMS_Ranking4[[#This Row],[FMS ID]],FMS_Input[FMS_ID],FMS_Input[RES_STRUCT100])</f>
        <v>437</v>
      </c>
      <c r="Q456" s="257">
        <f>ASINH(FMS_Ranking4[[#This Row],[Res Structure Raw]])/Q$4*P$5*100</f>
        <v>0</v>
      </c>
      <c r="R456" s="253">
        <f>_xlfn.XLOOKUP(FMS_Ranking4[[#This Row],[FMS ID]],FMS_Input[FMS_ID],FMS_Input[POP100])</f>
        <v>545</v>
      </c>
      <c r="S456" s="255">
        <f>(ASINH(FMS_Ranking4[[#This Row],[Pop at Risk Raw]]))*(10)/(ASINH(R$4))</f>
        <v>4.8283196861655195</v>
      </c>
      <c r="T456" s="256">
        <f>FMS_Ranking4[[#This Row],[Population at risk, ArcSinh (0-10)]]*R$5*10</f>
        <v>4.8283196861655195</v>
      </c>
      <c r="U456" s="253">
        <f>_xlfn.XLOOKUP(FMS_Ranking4[[#This Row],[FMS ID]],FMS_Input[FMS_ID],FMS_Input[CRITFAC100])</f>
        <v>1</v>
      </c>
      <c r="V456" s="255">
        <f>(ASINH(FMS_Ranking4[[#This Row],[Critical Facilities Raw]]))*(10)/(ASINH(U$4))</f>
        <v>1.0433384451410745</v>
      </c>
      <c r="W456" s="256">
        <f>FMS_Ranking4[[#This Row],[Critical facilities at risk, ArcSinh (0-10)]]*U$5*10</f>
        <v>1.0433384451410745</v>
      </c>
      <c r="X456" s="253">
        <f>_xlfn.XLOOKUP(FMS_Ranking4[[#This Row],[FMS ID]],FMS_Input[FMS_ID],FMS_Input[LWC])</f>
        <v>2</v>
      </c>
      <c r="Y456" s="255">
        <f>(ASINH(FMS_Ranking4[[#This Row],[LWC Raw]]))*(10)/(ASINH(X$4))</f>
        <v>1.9557475158633808</v>
      </c>
      <c r="Z456" s="256">
        <f>FMS_Ranking4[[#This Row],[LWC, ArcSInh (0-10)]]*X$5*10</f>
        <v>1.9557475158633808</v>
      </c>
      <c r="AA456" s="253">
        <f>_xlfn.XLOOKUP(FMS_Ranking4[[#This Row],[FMS ID]],FMS_Input[FMS_ID],FMS_Input[ROADCLS])</f>
        <v>2</v>
      </c>
      <c r="AB456" s="255">
        <f>(ASINH(FMS_Ranking4[[#This Row],[Road Closures Raw]]))*(10)/(ASINH(AA$4))</f>
        <v>1.5034138460359754</v>
      </c>
      <c r="AC456" s="256">
        <f>FMS_Ranking4[[#This Row],[Road closures, ArcSinh (0-10)]]*AA$5*10</f>
        <v>0.7517069230179878</v>
      </c>
      <c r="AD456" s="253">
        <f>_xlfn.XLOOKUP(FMS_Ranking4[[#This Row],[FMS ID]],FMS_Input[FMS_ID],FMS_Input[ROAD_MILES100])</f>
        <v>25</v>
      </c>
      <c r="AE456" s="255">
        <f>(ASINH(FMS_Ranking4[[#This Row],[Road Miles Raw]]))*(10)/(ASINH(AD$4))</f>
        <v>4.1695662658221559</v>
      </c>
      <c r="AF456" s="256">
        <f>FMS_Ranking4[[#This Row],[Length of roads at risk, ArcSinh (0-10)]]*AD$5*10</f>
        <v>4.1695662658221559</v>
      </c>
      <c r="AG456" s="253">
        <f>_xlfn.XLOOKUP(FMS_Ranking4[[#This Row],[FMS ID]],FMS_Input[FMS_ID],FMS_Input[FARMACRE100])</f>
        <v>180.46464538574219</v>
      </c>
      <c r="AH456" s="255">
        <f>(ASINH(FMS_Ranking4[[#This Row],[Ag Land Raw]]))*(10)/(ASINH(AG$4))</f>
        <v>3.8251837368917818</v>
      </c>
      <c r="AI456" s="260">
        <f>FMS_Ranking4[[#This Row],[Farm &amp; ranch land, ArcSinh (0-10)]]*AG$5*10</f>
        <v>1.9125918684458909</v>
      </c>
      <c r="AJ456" s="258">
        <f>_xlfn.XLOOKUP(FMS_Ranking4[[#This Row],[FMS ID]],FMS_Input[FMS_ID],FMS_Input[REDSTRUCT100])</f>
        <v>0</v>
      </c>
      <c r="AK456" s="253">
        <f>_xlfn.XLOOKUP(FMS_Ranking4[[#This Row],[FMS ID]],FMS_Input[FMS_ID],FMS_Input[REMSTRC100])</f>
        <v>0</v>
      </c>
      <c r="AL456" s="255">
        <f>(ASINH(FMS_Ranking4[[#This Row],[Structures Removed Raw]]))*(10)/(ASINH(AK$4))</f>
        <v>0</v>
      </c>
      <c r="AM456" s="262">
        <f>FMS_Ranking4[[#This Row],[Structures removed, ArcSinh (0-10)]]*AK$5*10</f>
        <v>0</v>
      </c>
      <c r="AN456" s="253">
        <f>_xlfn.XLOOKUP(FMS_Ranking4[[#This Row],[FMS ID]],FMS_Input[FMS_ID],FMS_Input[REMRESSTRC100])</f>
        <v>0</v>
      </c>
      <c r="AO456" s="261">
        <f>FMS_Ranking4[[#This Row],[ArcSinh Res struct removed 0-10]]*AN$5*10</f>
        <v>0</v>
      </c>
      <c r="AP456" s="260">
        <f>ASINH(FMS_Ranking4[[#This Row],[Residential Structures Removed Raw]])/AP$4*AN$5*100</f>
        <v>0</v>
      </c>
      <c r="AQ456" s="258">
        <f>(ASINH(FMS_Ranking4[[#This Row],[Residential Structures Removed Raw]]))*(10)/(ASINH(AN$4))</f>
        <v>0</v>
      </c>
      <c r="AR456" s="253">
        <f>_xlfn.XLOOKUP(FMS_Ranking4[[#This Row],[FMS ID]],FMS_Input[FMS_ID],FMS_Input[REMPOP100])</f>
        <v>0</v>
      </c>
      <c r="AS456" s="255">
        <f>(ASINH(FMS_Ranking4[[#This Row],[Removed Pop Raw]]))*(10)/(ASINH(AR$4))</f>
        <v>0</v>
      </c>
      <c r="AT456" s="262">
        <f>FMS_Ranking4[[#This Row],[Removed population, ArcSinh (0-10)]]*AR$5*10</f>
        <v>0</v>
      </c>
      <c r="AU456" s="264">
        <f>_xlfn.XLOOKUP(FMS_Ranking4[[#This Row],[FMS ID]],FMS_Input[FMS_ID],FMS_Input[REMCRITFAC100])</f>
        <v>0</v>
      </c>
      <c r="AV456" s="264">
        <f>_xlfn.XLOOKUP(FMS_Ranking4[[#This Row],[FMS ID]],FMS_Input[FMS_ID],FMS_Input[REMLWC100])</f>
        <v>0</v>
      </c>
      <c r="AW456" s="264">
        <f>_xlfn.XLOOKUP(FMS_Ranking4[[#This Row],[FMS ID]],FMS_Input[FMS_ID],FMS_Input[REMROADCLS])</f>
        <v>0</v>
      </c>
      <c r="AX456" s="264">
        <f>_xlfn.XLOOKUP(FMS_Ranking4[[#This Row],[FMS ID]],FMS_Input[FMS_ID],FMS_Input[REMFRMACRE100])</f>
        <v>0</v>
      </c>
      <c r="AY456" s="258">
        <f>_xlfn.XLOOKUP(FMS_Ranking4[[#This Row],[FMS ID]],FMS_Input[FMS_ID],FMS_Input[COSTSTRUCT])</f>
        <v>0</v>
      </c>
      <c r="AZ456" s="253">
        <f>_xlfn.XLOOKUP(FMS_Ranking4[[#This Row],[FMS ID]],FMS_Input[FMS_ID],FMS_Input[NATURE])</f>
        <v>0</v>
      </c>
      <c r="BA456" s="262">
        <f>(((FMS_Ranking4[[#This Row],[% NBS Raw]]/AZ$4)*100)*AZ$5)</f>
        <v>0</v>
      </c>
      <c r="BB456" s="251" t="str">
        <f>_xlfn.XLOOKUP(FMS_Ranking4[[#This Row],[FMS ID]],FMS_Input[FMS_ID],FMS_Input[WATER_SUP])</f>
        <v>No</v>
      </c>
      <c r="BC456" s="265">
        <f>IF(FMS_Ranking4[[#This Row],[Water Supply Raw]]="Yes",10,0)</f>
        <v>0</v>
      </c>
      <c r="BD456" s="266">
        <f>_xlfn.XLOOKUP(FMS_Ranking4[[#This Row],[FMS Type]],FMS_TYPE[FMS_Type],FMS_TYPE[Score])</f>
        <v>6</v>
      </c>
      <c r="BE456" s="267">
        <f>FMS_Ranking4[[#This Row],[FMS_Type Score]]*$BD$5*10</f>
        <v>1.5000000000000002</v>
      </c>
      <c r="BF45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0.10875559676741686</v>
      </c>
      <c r="BG456" s="321">
        <f>_xlfn.RANK.EQ(BF456,$BF$8:$BF$870,0)+COUNTIF($BF$8:BF456,BF456)-1</f>
        <v>481</v>
      </c>
      <c r="BH456" s="294">
        <f>(((FMS_Ranking4[[#This Row],[Structures Removed Raw]]/AK$4)*100)*AK$5)+(((FMS_Ranking4[[#This Row],[Removed Pop Raw]]/AR$4)*100)*AR$5)</f>
        <v>0</v>
      </c>
      <c r="BI45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1.6087555967674172</v>
      </c>
      <c r="BJ456" s="251">
        <f>_xlfn.RANK.EQ(FMS_Ranking4[[#This Row],[Total Score 
(with linear
normalization)]],FMS_Ranking4[Total Score 
(with linear
normalization)],0)</f>
        <v>562</v>
      </c>
      <c r="BK456" s="251" t="e">
        <f>_xlfn.XLOOKUP(FMS_Ranking4[[#This Row],[FMS ID]],#REF!,#REF!)</f>
        <v>#REF!</v>
      </c>
      <c r="BL45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20.099618086197736</v>
      </c>
      <c r="BM456" s="324">
        <f>FMS_Ranking4[[#This Row],[ArcSinh Score Based on Normalized Reported Factors]]+FMS_Ranking4[[#This Row],[% NBS Score (Normalized)]]+(FMS_Ranking4[[#This Row],[Water Supply Score (Normalized)]]*10*$BB$5)+FMS_Ranking4[[#This Row],[FMS_Type Score Weighted]]</f>
        <v>21.599618086197736</v>
      </c>
      <c r="BN456" s="251">
        <f>_xlfn.RANK.EQ(FMS_Ranking4[[#This Row],[Total Score (with ArcSinh normalization of select criteria)]],FMS_Ranking4[Total Score (with ArcSinh normalization of select criteria)],0)</f>
        <v>449</v>
      </c>
      <c r="BO456" s="270" t="str">
        <f>_xlfn.XLOOKUP(FMS_Ranking4[[#This Row],[FMS ID]],FMS_Input[FMS_ID],FMS_Input[FMS_RANK_YEAR])</f>
        <v>2023 Amended Plan</v>
      </c>
      <c r="BP456" s="204">
        <f>_xlfn.XLOOKUP(FMS_Ranking4[[#This Row],[FMS ID]],Prev_Rank[FMS ID],Prev_Rank[Prev Rank])</f>
        <v>406</v>
      </c>
      <c r="BQ456" s="251" t="e">
        <f>_xlfn.XLOOKUP(FMS_Ranking4[[#This Row],[FMS ID]],#REF!,#REF!)</f>
        <v>#REF!</v>
      </c>
      <c r="BR456" s="199" t="e">
        <f>SUM(#REF!,#REF!,#REF!,#REF!,#REF!,#REF!,#REF!,#REF!,#REF!,FMS_Ranking4[[#This Row],[ArcSinh Res struct removed 0-10]],#REF!)</f>
        <v>#REF!</v>
      </c>
      <c r="BS456" s="199" t="e">
        <f>FMS_Ranking4[[#This Row],[Log Score Based on Normalized Reported Factors]]+FMS_Ranking4[[#This Row],[% NBS Score (Normalized)]]+(FMS_Ranking4[[#This Row],[Water Supply Score (Normalized)]]*10*$BB$5)+(FMS_Ranking4[[#This Row],[FMS_Type Score Weighted]])</f>
        <v>#REF!</v>
      </c>
      <c r="BT456" s="200" t="e">
        <f>_xlfn.RANK.EQ(FMS_Ranking4[[#This Row],[Log Total Score]],FMS_Ranking4[Log Total Score],0)</f>
        <v>#REF!</v>
      </c>
      <c r="BU456" s="200" t="e">
        <f>_xlfn.XLOOKUP(FMS_Ranking4[[#This Row],[FMS ID]],#REF!,#REF!)</f>
        <v>#REF!</v>
      </c>
      <c r="BV456" s="200">
        <f>FMS_Ranking4[[#This Row],[Region Number]]</f>
        <v>6</v>
      </c>
      <c r="BW456" s="200">
        <f>FMS_Ranking4[[#This Row],[Rank (with ArcSinh normalization of select criteria)]]-FMS_Ranking4[[#This Row],[Rank
(with linear
normalization)]]</f>
        <v>-113</v>
      </c>
      <c r="BX456" s="200" t="e">
        <f>FMS_Ranking4[[#This Row],[Log Rank]]-FMS_Ranking4[[#This Row],[Rank
(with linear
normalization)]]</f>
        <v>#REF!</v>
      </c>
      <c r="BY456" s="200" t="str">
        <f>IF(FMS_Ranking4[[#This Row],[FMS Type]]="Flood Measurement and Warning",FMS_Ranking4[[#This Row],[Rank (with ArcSinh normalization of select criteria)]],"")</f>
        <v/>
      </c>
      <c r="BZ456" s="200" t="str">
        <f>IF(FMS_Ranking4[[#This Row],[FMS Type]]="Regulatory and Guidance",FMS_Ranking4[[#This Row],[Rank (with ArcSinh normalization of select criteria)]],"")</f>
        <v/>
      </c>
      <c r="CA456" s="200">
        <f>IF(FMS_Ranking4[[#This Row],[FMS Type]]="Education and Outreach",FMS_Ranking4[[#This Row],[Rank (with ArcSinh normalization of select criteria)]],"")</f>
        <v>449</v>
      </c>
      <c r="CB456" s="200" t="str">
        <f>IF(FMS_Ranking4[[#This Row],[FMS Type]]="Property Acquisition and Structural Elevation",FMS_Ranking4[[#This Row],[Rank (with ArcSinh normalization of select criteria)]],"")</f>
        <v/>
      </c>
      <c r="CC456" s="200" t="str">
        <f>IF(FMS_Ranking4[[#This Row],[FMS Type]]="Infrastructure Projects",FMS_Ranking4[[#This Row],[Rank (with ArcSinh normalization of select criteria)]],"")</f>
        <v/>
      </c>
      <c r="CD456" s="200" t="str">
        <f>IF(FMS_Ranking4[[#This Row],[FMS Type]]="Other",FMS_Ranking4[[#This Row],[Rank (with ArcSinh normalization of select criteria)]],"")</f>
        <v/>
      </c>
      <c r="CE456" s="201"/>
      <c r="CF456" s="206"/>
      <c r="CG456" s="206"/>
      <c r="CH456" s="206"/>
      <c r="CI456" s="206"/>
      <c r="CJ456" s="206"/>
      <c r="CK456" s="206"/>
      <c r="CL456" s="206"/>
      <c r="CM456" s="206"/>
      <c r="CN456" s="206"/>
      <c r="CO456" s="206"/>
      <c r="CP456" s="206"/>
      <c r="CQ456" s="206"/>
      <c r="CR456" s="206"/>
    </row>
    <row r="457" spans="2:96" ht="90" x14ac:dyDescent="0.25">
      <c r="B457" s="341" t="s">
        <v>129</v>
      </c>
      <c r="C457" s="246">
        <f>_xlfn.XLOOKUP(FMS_Ranking4[[#This Row],[FMS ID]],FMS_Input[FMS_ID],FMS_Input[RFPG_NUM])</f>
        <v>6</v>
      </c>
      <c r="D457" s="309" t="str">
        <f>_xlfn.XLOOKUP(FMS_Ranking4[[#This Row],[FMS ID]],FMS_Input[FMS_ID],FMS_Input[FMS_NAME])</f>
        <v>Install Outdoor Early warning System in Walker County</v>
      </c>
      <c r="E457" s="308" t="str">
        <f>_xlfn.XLOOKUP(FMS_Ranking4[[#This Row],[FMS ID]],FMS_Input[FMS_ID],FMS_Input[SPONSOR])</f>
        <v>00000053</v>
      </c>
      <c r="F457" s="309" t="str">
        <f>_xlfn.XLOOKUP(FMS_Ranking4[[#This Row],[FMS ID]],Sponsor[FMS_ID],Sponsor[SPONSOR NAME])</f>
        <v>Walker</v>
      </c>
      <c r="G457" s="309" t="str">
        <f>_xlfn.XLOOKUP(FMS_Ranking4[[#This Row],[FMS ID]],FMS_Input[FMS_ID],FMS_Input[FMS_DESCR])</f>
        <v>Install Outdoor Early warning System to provide citizens early warning of an impending disaster, or an event that would affect the life and/or property of the citizens.</v>
      </c>
      <c r="H457" s="248" t="str">
        <f>_xlfn.XLOOKUP(FMS_Ranking4[[#This Row],[FMS ID]],FMS_Input[FMS_ID],FMS_Input[FMS_TYPE])</f>
        <v>Education and Outreach</v>
      </c>
      <c r="I457" s="249">
        <f>_xlfn.XLOOKUP(FMS_Ranking4[[#This Row],[FMS ID]],FMS_Input[FMS_ID],FMS_Input[NRNC_COST])</f>
        <v>42500</v>
      </c>
      <c r="J457" s="250">
        <f>_xlfn.XLOOKUP(FMS_Ranking4[[#This Row],[FMS ID]],FMS_Input[FMS_ID],FMS_Input[FMS_COST])</f>
        <v>850000</v>
      </c>
      <c r="K457" s="251" t="str">
        <f>_xlfn.XLOOKUP(FMS_Ranking4[[#This Row],[FMS ID]],FMS_Input[FMS_ID],FMS_Input[EMER_NEED])</f>
        <v>No</v>
      </c>
      <c r="L457" s="252">
        <f t="shared" si="7"/>
        <v>0</v>
      </c>
      <c r="M457" s="253">
        <f>_xlfn.XLOOKUP(FMS_Ranking4[[#This Row],[FMS ID]],FMS_Input[FMS_ID],FMS_Input[STRUCT_100])</f>
        <v>505</v>
      </c>
      <c r="N457" s="255">
        <f>(ASINH(FMS_Ranking4[[#This Row],[Structure at Risk Raw]]))*(10)/(ASINH(M$4))</f>
        <v>5.4383473817417256</v>
      </c>
      <c r="O457" s="256">
        <f>FMS_Ranking4[[#This Row],[Structures at risk, ArcSinh (0-10)]]*M$5*10</f>
        <v>5.4383473817417265</v>
      </c>
      <c r="P457" s="253">
        <f>_xlfn.XLOOKUP(FMS_Ranking4[[#This Row],[FMS ID]],FMS_Input[FMS_ID],FMS_Input[RES_STRUCT100])</f>
        <v>437</v>
      </c>
      <c r="Q457" s="257">
        <f>ASINH(FMS_Ranking4[[#This Row],[Res Structure Raw]])/Q$4*P$5*100</f>
        <v>0</v>
      </c>
      <c r="R457" s="253">
        <f>_xlfn.XLOOKUP(FMS_Ranking4[[#This Row],[FMS ID]],FMS_Input[FMS_ID],FMS_Input[POP100])</f>
        <v>545</v>
      </c>
      <c r="S457" s="259">
        <f>(ASINH(FMS_Ranking4[[#This Row],[Pop at Risk Raw]]))*(10)/(ASINH(R$4))</f>
        <v>4.8283196861655195</v>
      </c>
      <c r="T457" s="256">
        <f>FMS_Ranking4[[#This Row],[Population at risk, ArcSinh (0-10)]]*R$5*10</f>
        <v>4.8283196861655195</v>
      </c>
      <c r="U457" s="253">
        <f>_xlfn.XLOOKUP(FMS_Ranking4[[#This Row],[FMS ID]],FMS_Input[FMS_ID],FMS_Input[CRITFAC100])</f>
        <v>1</v>
      </c>
      <c r="V457" s="259">
        <f>(ASINH(FMS_Ranking4[[#This Row],[Critical Facilities Raw]]))*(10)/(ASINH(U$4))</f>
        <v>1.0433384451410745</v>
      </c>
      <c r="W457" s="256">
        <f>FMS_Ranking4[[#This Row],[Critical facilities at risk, ArcSinh (0-10)]]*U$5*10</f>
        <v>1.0433384451410745</v>
      </c>
      <c r="X457" s="253">
        <f>_xlfn.XLOOKUP(FMS_Ranking4[[#This Row],[FMS ID]],FMS_Input[FMS_ID],FMS_Input[LWC])</f>
        <v>2</v>
      </c>
      <c r="Y457" s="259">
        <f>(ASINH(FMS_Ranking4[[#This Row],[LWC Raw]]))*(10)/(ASINH(X$4))</f>
        <v>1.9557475158633808</v>
      </c>
      <c r="Z457" s="256">
        <f>FMS_Ranking4[[#This Row],[LWC, ArcSInh (0-10)]]*X$5*10</f>
        <v>1.9557475158633808</v>
      </c>
      <c r="AA457" s="253">
        <f>_xlfn.XLOOKUP(FMS_Ranking4[[#This Row],[FMS ID]],FMS_Input[FMS_ID],FMS_Input[ROADCLS])</f>
        <v>2</v>
      </c>
      <c r="AB457" s="255">
        <f>(ASINH(FMS_Ranking4[[#This Row],[Road Closures Raw]]))*(10)/(ASINH(AA$4))</f>
        <v>1.5034138460359754</v>
      </c>
      <c r="AC457" s="256">
        <f>FMS_Ranking4[[#This Row],[Road closures, ArcSinh (0-10)]]*AA$5*10</f>
        <v>0.7517069230179878</v>
      </c>
      <c r="AD457" s="253">
        <f>_xlfn.XLOOKUP(FMS_Ranking4[[#This Row],[FMS ID]],FMS_Input[FMS_ID],FMS_Input[ROAD_MILES100])</f>
        <v>25</v>
      </c>
      <c r="AE457" s="259">
        <f>(ASINH(FMS_Ranking4[[#This Row],[Road Miles Raw]]))*(10)/(ASINH(AD$4))</f>
        <v>4.1695662658221559</v>
      </c>
      <c r="AF457" s="256">
        <f>FMS_Ranking4[[#This Row],[Length of roads at risk, ArcSinh (0-10)]]*AD$5*10</f>
        <v>4.1695662658221559</v>
      </c>
      <c r="AG457" s="253">
        <f>_xlfn.XLOOKUP(FMS_Ranking4[[#This Row],[FMS ID]],FMS_Input[FMS_ID],FMS_Input[FARMACRE100])</f>
        <v>180.46464538574219</v>
      </c>
      <c r="AH457" s="255">
        <f>(ASINH(FMS_Ranking4[[#This Row],[Ag Land Raw]]))*(10)/(ASINH(AG$4))</f>
        <v>3.8251837368917818</v>
      </c>
      <c r="AI457" s="260">
        <f>FMS_Ranking4[[#This Row],[Farm &amp; ranch land, ArcSinh (0-10)]]*AG$5*10</f>
        <v>1.9125918684458909</v>
      </c>
      <c r="AJ457" s="258">
        <f>_xlfn.XLOOKUP(FMS_Ranking4[[#This Row],[FMS ID]],FMS_Input[FMS_ID],FMS_Input[REDSTRUCT100])</f>
        <v>0</v>
      </c>
      <c r="AK457" s="253">
        <f>_xlfn.XLOOKUP(FMS_Ranking4[[#This Row],[FMS ID]],FMS_Input[FMS_ID],FMS_Input[REMSTRC100])</f>
        <v>0</v>
      </c>
      <c r="AL457" s="259">
        <f>(ASINH(FMS_Ranking4[[#This Row],[Structures Removed Raw]]))*(10)/(ASINH(AK$4))</f>
        <v>0</v>
      </c>
      <c r="AM457" s="262">
        <f>FMS_Ranking4[[#This Row],[Structures removed, ArcSinh (0-10)]]*AK$5*10</f>
        <v>0</v>
      </c>
      <c r="AN457" s="253">
        <f>_xlfn.XLOOKUP(FMS_Ranking4[[#This Row],[FMS ID]],FMS_Input[FMS_ID],FMS_Input[REMRESSTRC100])</f>
        <v>0</v>
      </c>
      <c r="AO457" s="261">
        <f>FMS_Ranking4[[#This Row],[ArcSinh Res struct removed 0-10]]*AN$5*10</f>
        <v>0</v>
      </c>
      <c r="AP457" s="260">
        <f>ASINH(FMS_Ranking4[[#This Row],[Residential Structures Removed Raw]])/AP$4*AN$5*100</f>
        <v>0</v>
      </c>
      <c r="AQ457" s="254">
        <f>(ASINH(FMS_Ranking4[[#This Row],[Residential Structures Removed Raw]]))*(10)/(ASINH(AN$4))</f>
        <v>0</v>
      </c>
      <c r="AR457" s="253">
        <f>_xlfn.XLOOKUP(FMS_Ranking4[[#This Row],[FMS ID]],FMS_Input[FMS_ID],FMS_Input[REMPOP100])</f>
        <v>0</v>
      </c>
      <c r="AS457" s="259">
        <f>(ASINH(FMS_Ranking4[[#This Row],[Removed Pop Raw]]))*(10)/(ASINH(AR$4))</f>
        <v>0</v>
      </c>
      <c r="AT457" s="262">
        <f>FMS_Ranking4[[#This Row],[Removed population, ArcSinh (0-10)]]*AR$5*10</f>
        <v>0</v>
      </c>
      <c r="AU457" s="264">
        <f>_xlfn.XLOOKUP(FMS_Ranking4[[#This Row],[FMS ID]],FMS_Input[FMS_ID],FMS_Input[REMCRITFAC100])</f>
        <v>0</v>
      </c>
      <c r="AV457" s="264">
        <f>_xlfn.XLOOKUP(FMS_Ranking4[[#This Row],[FMS ID]],FMS_Input[FMS_ID],FMS_Input[REMLWC100])</f>
        <v>0</v>
      </c>
      <c r="AW457" s="264">
        <f>_xlfn.XLOOKUP(FMS_Ranking4[[#This Row],[FMS ID]],FMS_Input[FMS_ID],FMS_Input[REMROADCLS])</f>
        <v>0</v>
      </c>
      <c r="AX457" s="264">
        <f>_xlfn.XLOOKUP(FMS_Ranking4[[#This Row],[FMS ID]],FMS_Input[FMS_ID],FMS_Input[REMFRMACRE100])</f>
        <v>0</v>
      </c>
      <c r="AY457" s="258">
        <f>_xlfn.XLOOKUP(FMS_Ranking4[[#This Row],[FMS ID]],FMS_Input[FMS_ID],FMS_Input[COSTSTRUCT])</f>
        <v>0</v>
      </c>
      <c r="AZ457" s="253">
        <f>_xlfn.XLOOKUP(FMS_Ranking4[[#This Row],[FMS ID]],FMS_Input[FMS_ID],FMS_Input[NATURE])</f>
        <v>0</v>
      </c>
      <c r="BA457" s="262">
        <f>(((FMS_Ranking4[[#This Row],[% NBS Raw]]/AZ$4)*100)*AZ$5)</f>
        <v>0</v>
      </c>
      <c r="BB457" s="251" t="str">
        <f>_xlfn.XLOOKUP(FMS_Ranking4[[#This Row],[FMS ID]],FMS_Input[FMS_ID],FMS_Input[WATER_SUP])</f>
        <v>No</v>
      </c>
      <c r="BC457" s="265">
        <f>IF(FMS_Ranking4[[#This Row],[Water Supply Raw]]="Yes",10,0)</f>
        <v>0</v>
      </c>
      <c r="BD457" s="266">
        <f>_xlfn.XLOOKUP(FMS_Ranking4[[#This Row],[FMS Type]],FMS_TYPE[FMS_Type],FMS_TYPE[Score])</f>
        <v>6</v>
      </c>
      <c r="BE457" s="267">
        <f>FMS_Ranking4[[#This Row],[FMS_Type Score]]*$BD$5*10</f>
        <v>1.5000000000000002</v>
      </c>
      <c r="BF45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0.10875559676741686</v>
      </c>
      <c r="BG457" s="271">
        <f>_xlfn.RANK.EQ(BF457,$BF$8:$BF$870,0)+COUNTIF($BF$8:BF457,BF457)-1</f>
        <v>482</v>
      </c>
      <c r="BH457" s="268">
        <f>(((FMS_Ranking4[[#This Row],[Structures Removed Raw]]/AK$4)*100)*AK$5)+(((FMS_Ranking4[[#This Row],[Removed Pop Raw]]/AR$4)*100)*AR$5)</f>
        <v>0</v>
      </c>
      <c r="BI45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1.6087555967674172</v>
      </c>
      <c r="BJ457" s="205">
        <f>_xlfn.RANK.EQ(FMS_Ranking4[[#This Row],[Total Score 
(with linear
normalization)]],FMS_Ranking4[Total Score 
(with linear
normalization)],0)</f>
        <v>562</v>
      </c>
      <c r="BK457" s="205" t="e">
        <f>_xlfn.XLOOKUP(FMS_Ranking4[[#This Row],[FMS ID]],#REF!,#REF!)</f>
        <v>#REF!</v>
      </c>
      <c r="BL45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20.099618086197736</v>
      </c>
      <c r="BM457" s="272">
        <f>FMS_Ranking4[[#This Row],[ArcSinh Score Based on Normalized Reported Factors]]+FMS_Ranking4[[#This Row],[% NBS Score (Normalized)]]+(FMS_Ranking4[[#This Row],[Water Supply Score (Normalized)]]*10*$BB$5)+FMS_Ranking4[[#This Row],[FMS_Type Score Weighted]]</f>
        <v>21.599618086197736</v>
      </c>
      <c r="BN457" s="205">
        <f>_xlfn.RANK.EQ(FMS_Ranking4[[#This Row],[Total Score (with ArcSinh normalization of select criteria)]],FMS_Ranking4[Total Score (with ArcSinh normalization of select criteria)],0)</f>
        <v>449</v>
      </c>
      <c r="BO457" s="270" t="str">
        <f>_xlfn.XLOOKUP(FMS_Ranking4[[#This Row],[FMS ID]],FMS_Input[FMS_ID],FMS_Input[FMS_RANK_YEAR])</f>
        <v>2023 Amended Plan</v>
      </c>
      <c r="BP457" s="204">
        <f>_xlfn.XLOOKUP(FMS_Ranking4[[#This Row],[FMS ID]],Prev_Rank[FMS ID],Prev_Rank[Prev Rank])</f>
        <v>406</v>
      </c>
      <c r="BQ457" s="205" t="e">
        <f>_xlfn.XLOOKUP(FMS_Ranking4[[#This Row],[FMS ID]],#REF!,#REF!)</f>
        <v>#REF!</v>
      </c>
      <c r="BR457" s="199" t="e">
        <f>SUM(#REF!,#REF!,#REF!,#REF!,#REF!,#REF!,#REF!,#REF!,#REF!,FMS_Ranking4[[#This Row],[ArcSinh Res struct removed 0-10]],#REF!)</f>
        <v>#REF!</v>
      </c>
      <c r="BS457" s="199" t="e">
        <f>FMS_Ranking4[[#This Row],[Log Score Based on Normalized Reported Factors]]+FMS_Ranking4[[#This Row],[% NBS Score (Normalized)]]+(FMS_Ranking4[[#This Row],[Water Supply Score (Normalized)]]*10*$BB$5)+(FMS_Ranking4[[#This Row],[FMS_Type Score Weighted]])</f>
        <v>#REF!</v>
      </c>
      <c r="BT457" s="200" t="e">
        <f>_xlfn.RANK.EQ(FMS_Ranking4[[#This Row],[Log Total Score]],FMS_Ranking4[Log Total Score],0)</f>
        <v>#REF!</v>
      </c>
      <c r="BU457" s="200" t="e">
        <f>_xlfn.XLOOKUP(FMS_Ranking4[[#This Row],[FMS ID]],#REF!,#REF!)</f>
        <v>#REF!</v>
      </c>
      <c r="BV457" s="200">
        <f>FMS_Ranking4[[#This Row],[Region Number]]</f>
        <v>6</v>
      </c>
      <c r="BW457" s="200">
        <f>FMS_Ranking4[[#This Row],[Rank (with ArcSinh normalization of select criteria)]]-FMS_Ranking4[[#This Row],[Rank
(with linear
normalization)]]</f>
        <v>-113</v>
      </c>
      <c r="BX457" s="200" t="e">
        <f>FMS_Ranking4[[#This Row],[Log Rank]]-FMS_Ranking4[[#This Row],[Rank
(with linear
normalization)]]</f>
        <v>#REF!</v>
      </c>
      <c r="BY457" s="200" t="str">
        <f>IF(FMS_Ranking4[[#This Row],[FMS Type]]="Flood Measurement and Warning",FMS_Ranking4[[#This Row],[Rank (with ArcSinh normalization of select criteria)]],"")</f>
        <v/>
      </c>
      <c r="BZ457" s="200" t="str">
        <f>IF(FMS_Ranking4[[#This Row],[FMS Type]]="Regulatory and Guidance",FMS_Ranking4[[#This Row],[Rank (with ArcSinh normalization of select criteria)]],"")</f>
        <v/>
      </c>
      <c r="CA457" s="200">
        <f>IF(FMS_Ranking4[[#This Row],[FMS Type]]="Education and Outreach",FMS_Ranking4[[#This Row],[Rank (with ArcSinh normalization of select criteria)]],"")</f>
        <v>449</v>
      </c>
      <c r="CB457" s="200" t="str">
        <f>IF(FMS_Ranking4[[#This Row],[FMS Type]]="Property Acquisition and Structural Elevation",FMS_Ranking4[[#This Row],[Rank (with ArcSinh normalization of select criteria)]],"")</f>
        <v/>
      </c>
      <c r="CC457" s="200" t="str">
        <f>IF(FMS_Ranking4[[#This Row],[FMS Type]]="Infrastructure Projects",FMS_Ranking4[[#This Row],[Rank (with ArcSinh normalization of select criteria)]],"")</f>
        <v/>
      </c>
      <c r="CD457" s="200" t="str">
        <f>IF(FMS_Ranking4[[#This Row],[FMS Type]]="Other",FMS_Ranking4[[#This Row],[Rank (with ArcSinh normalization of select criteria)]],"")</f>
        <v/>
      </c>
      <c r="CE457" s="201"/>
      <c r="CF457" s="206"/>
      <c r="CG457" s="206"/>
      <c r="CH457" s="206"/>
      <c r="CI457" s="206"/>
      <c r="CJ457" s="206"/>
      <c r="CK457" s="206"/>
      <c r="CL457" s="206"/>
      <c r="CM457" s="206"/>
      <c r="CN457" s="206"/>
      <c r="CO457" s="206"/>
      <c r="CP457" s="206"/>
      <c r="CQ457" s="206"/>
      <c r="CR457" s="206"/>
    </row>
    <row r="458" spans="2:96" ht="90" x14ac:dyDescent="0.25">
      <c r="B458" s="346" t="s">
        <v>132</v>
      </c>
      <c r="C458" s="246">
        <f>_xlfn.XLOOKUP(FMS_Ranking4[[#This Row],[FMS ID]],FMS_Input[FMS_ID],FMS_Input[RFPG_NUM])</f>
        <v>6</v>
      </c>
      <c r="D458" s="309" t="str">
        <f>_xlfn.XLOOKUP(FMS_Ranking4[[#This Row],[FMS ID]],FMS_Input[FMS_ID],FMS_Input[FMS_NAME])</f>
        <v xml:space="preserve">Walker County Public Hazard Information and Awareness Campaign </v>
      </c>
      <c r="E458" s="308" t="str">
        <f>_xlfn.XLOOKUP(FMS_Ranking4[[#This Row],[FMS ID]],FMS_Input[FMS_ID],FMS_Input[SPONSOR])</f>
        <v>00000053</v>
      </c>
      <c r="F458" s="309" t="str">
        <f>_xlfn.XLOOKUP(FMS_Ranking4[[#This Row],[FMS ID]],Sponsor[FMS_ID],Sponsor[SPONSOR NAME])</f>
        <v>Walker</v>
      </c>
      <c r="G458" s="309" t="str">
        <f>_xlfn.XLOOKUP(FMS_Ranking4[[#This Row],[FMS ID]],FMS_Input[FMS_ID],FMS_Input[FMS_DESCR])</f>
        <v>The county and participating jurisdiction will create and implement an education campaign to educate the public on mitigation techniques for all hazards.</v>
      </c>
      <c r="H458" s="248" t="str">
        <f>_xlfn.XLOOKUP(FMS_Ranking4[[#This Row],[FMS ID]],FMS_Input[FMS_ID],FMS_Input[FMS_TYPE])</f>
        <v>Education and Outreach</v>
      </c>
      <c r="I458" s="249">
        <f>_xlfn.XLOOKUP(FMS_Ranking4[[#This Row],[FMS ID]],FMS_Input[FMS_ID],FMS_Input[NRNC_COST])</f>
        <v>1000</v>
      </c>
      <c r="J458" s="250">
        <f>_xlfn.XLOOKUP(FMS_Ranking4[[#This Row],[FMS ID]],FMS_Input[FMS_ID],FMS_Input[FMS_COST])</f>
        <v>20000</v>
      </c>
      <c r="K458" s="251" t="str">
        <f>_xlfn.XLOOKUP(FMS_Ranking4[[#This Row],[FMS ID]],FMS_Input[FMS_ID],FMS_Input[EMER_NEED])</f>
        <v>No</v>
      </c>
      <c r="L458" s="252">
        <f t="shared" si="7"/>
        <v>0</v>
      </c>
      <c r="M458" s="253">
        <f>_xlfn.XLOOKUP(FMS_Ranking4[[#This Row],[FMS ID]],FMS_Input[FMS_ID],FMS_Input[STRUCT_100])</f>
        <v>505</v>
      </c>
      <c r="N458" s="255">
        <f>(ASINH(FMS_Ranking4[[#This Row],[Structure at Risk Raw]]))*(10)/(ASINH(M$4))</f>
        <v>5.4383473817417256</v>
      </c>
      <c r="O458" s="256">
        <f>FMS_Ranking4[[#This Row],[Structures at risk, ArcSinh (0-10)]]*M$5*10</f>
        <v>5.4383473817417265</v>
      </c>
      <c r="P458" s="253">
        <f>_xlfn.XLOOKUP(FMS_Ranking4[[#This Row],[FMS ID]],FMS_Input[FMS_ID],FMS_Input[RES_STRUCT100])</f>
        <v>437</v>
      </c>
      <c r="Q458" s="257">
        <f>ASINH(FMS_Ranking4[[#This Row],[Res Structure Raw]])/Q$4*P$5*100</f>
        <v>0</v>
      </c>
      <c r="R458" s="253">
        <f>_xlfn.XLOOKUP(FMS_Ranking4[[#This Row],[FMS ID]],FMS_Input[FMS_ID],FMS_Input[POP100])</f>
        <v>545</v>
      </c>
      <c r="S458" s="255">
        <f>(ASINH(FMS_Ranking4[[#This Row],[Pop at Risk Raw]]))*(10)/(ASINH(R$4))</f>
        <v>4.8283196861655195</v>
      </c>
      <c r="T458" s="256">
        <f>FMS_Ranking4[[#This Row],[Population at risk, ArcSinh (0-10)]]*R$5*10</f>
        <v>4.8283196861655195</v>
      </c>
      <c r="U458" s="253">
        <f>_xlfn.XLOOKUP(FMS_Ranking4[[#This Row],[FMS ID]],FMS_Input[FMS_ID],FMS_Input[CRITFAC100])</f>
        <v>1</v>
      </c>
      <c r="V458" s="255">
        <f>(ASINH(FMS_Ranking4[[#This Row],[Critical Facilities Raw]]))*(10)/(ASINH(U$4))</f>
        <v>1.0433384451410745</v>
      </c>
      <c r="W458" s="256">
        <f>FMS_Ranking4[[#This Row],[Critical facilities at risk, ArcSinh (0-10)]]*U$5*10</f>
        <v>1.0433384451410745</v>
      </c>
      <c r="X458" s="253">
        <f>_xlfn.XLOOKUP(FMS_Ranking4[[#This Row],[FMS ID]],FMS_Input[FMS_ID],FMS_Input[LWC])</f>
        <v>2</v>
      </c>
      <c r="Y458" s="255">
        <f>(ASINH(FMS_Ranking4[[#This Row],[LWC Raw]]))*(10)/(ASINH(X$4))</f>
        <v>1.9557475158633808</v>
      </c>
      <c r="Z458" s="256">
        <f>FMS_Ranking4[[#This Row],[LWC, ArcSInh (0-10)]]*X$5*10</f>
        <v>1.9557475158633808</v>
      </c>
      <c r="AA458" s="253">
        <f>_xlfn.XLOOKUP(FMS_Ranking4[[#This Row],[FMS ID]],FMS_Input[FMS_ID],FMS_Input[ROADCLS])</f>
        <v>2</v>
      </c>
      <c r="AB458" s="255">
        <f>(ASINH(FMS_Ranking4[[#This Row],[Road Closures Raw]]))*(10)/(ASINH(AA$4))</f>
        <v>1.5034138460359754</v>
      </c>
      <c r="AC458" s="256">
        <f>FMS_Ranking4[[#This Row],[Road closures, ArcSinh (0-10)]]*AA$5*10</f>
        <v>0.7517069230179878</v>
      </c>
      <c r="AD458" s="253">
        <f>_xlfn.XLOOKUP(FMS_Ranking4[[#This Row],[FMS ID]],FMS_Input[FMS_ID],FMS_Input[ROAD_MILES100])</f>
        <v>25</v>
      </c>
      <c r="AE458" s="255">
        <f>(ASINH(FMS_Ranking4[[#This Row],[Road Miles Raw]]))*(10)/(ASINH(AD$4))</f>
        <v>4.1695662658221559</v>
      </c>
      <c r="AF458" s="256">
        <f>FMS_Ranking4[[#This Row],[Length of roads at risk, ArcSinh (0-10)]]*AD$5*10</f>
        <v>4.1695662658221559</v>
      </c>
      <c r="AG458" s="253">
        <f>_xlfn.XLOOKUP(FMS_Ranking4[[#This Row],[FMS ID]],FMS_Input[FMS_ID],FMS_Input[FARMACRE100])</f>
        <v>180.46464538574219</v>
      </c>
      <c r="AH458" s="255">
        <f>(ASINH(FMS_Ranking4[[#This Row],[Ag Land Raw]]))*(10)/(ASINH(AG$4))</f>
        <v>3.8251837368917818</v>
      </c>
      <c r="AI458" s="260">
        <f>FMS_Ranking4[[#This Row],[Farm &amp; ranch land, ArcSinh (0-10)]]*AG$5*10</f>
        <v>1.9125918684458909</v>
      </c>
      <c r="AJ458" s="258">
        <f>_xlfn.XLOOKUP(FMS_Ranking4[[#This Row],[FMS ID]],FMS_Input[FMS_ID],FMS_Input[REDSTRUCT100])</f>
        <v>0</v>
      </c>
      <c r="AK458" s="253">
        <f>_xlfn.XLOOKUP(FMS_Ranking4[[#This Row],[FMS ID]],FMS_Input[FMS_ID],FMS_Input[REMSTRC100])</f>
        <v>0</v>
      </c>
      <c r="AL458" s="255">
        <f>(ASINH(FMS_Ranking4[[#This Row],[Structures Removed Raw]]))*(10)/(ASINH(AK$4))</f>
        <v>0</v>
      </c>
      <c r="AM458" s="262">
        <f>FMS_Ranking4[[#This Row],[Structures removed, ArcSinh (0-10)]]*AK$5*10</f>
        <v>0</v>
      </c>
      <c r="AN458" s="253">
        <f>_xlfn.XLOOKUP(FMS_Ranking4[[#This Row],[FMS ID]],FMS_Input[FMS_ID],FMS_Input[REMRESSTRC100])</f>
        <v>0</v>
      </c>
      <c r="AO458" s="261">
        <f>FMS_Ranking4[[#This Row],[ArcSinh Res struct removed 0-10]]*AN$5*10</f>
        <v>0</v>
      </c>
      <c r="AP458" s="260">
        <f>ASINH(FMS_Ranking4[[#This Row],[Residential Structures Removed Raw]])/AP$4*AN$5*100</f>
        <v>0</v>
      </c>
      <c r="AQ458" s="258">
        <f>(ASINH(FMS_Ranking4[[#This Row],[Residential Structures Removed Raw]]))*(10)/(ASINH(AN$4))</f>
        <v>0</v>
      </c>
      <c r="AR458" s="253">
        <f>_xlfn.XLOOKUP(FMS_Ranking4[[#This Row],[FMS ID]],FMS_Input[FMS_ID],FMS_Input[REMPOP100])</f>
        <v>0</v>
      </c>
      <c r="AS458" s="255">
        <f>(ASINH(FMS_Ranking4[[#This Row],[Removed Pop Raw]]))*(10)/(ASINH(AR$4))</f>
        <v>0</v>
      </c>
      <c r="AT458" s="262">
        <f>FMS_Ranking4[[#This Row],[Removed population, ArcSinh (0-10)]]*AR$5*10</f>
        <v>0</v>
      </c>
      <c r="AU458" s="264">
        <f>_xlfn.XLOOKUP(FMS_Ranking4[[#This Row],[FMS ID]],FMS_Input[FMS_ID],FMS_Input[REMCRITFAC100])</f>
        <v>0</v>
      </c>
      <c r="AV458" s="264">
        <f>_xlfn.XLOOKUP(FMS_Ranking4[[#This Row],[FMS ID]],FMS_Input[FMS_ID],FMS_Input[REMLWC100])</f>
        <v>0</v>
      </c>
      <c r="AW458" s="264">
        <f>_xlfn.XLOOKUP(FMS_Ranking4[[#This Row],[FMS ID]],FMS_Input[FMS_ID],FMS_Input[REMROADCLS])</f>
        <v>0</v>
      </c>
      <c r="AX458" s="264">
        <f>_xlfn.XLOOKUP(FMS_Ranking4[[#This Row],[FMS ID]],FMS_Input[FMS_ID],FMS_Input[REMFRMACRE100])</f>
        <v>0</v>
      </c>
      <c r="AY458" s="258">
        <f>_xlfn.XLOOKUP(FMS_Ranking4[[#This Row],[FMS ID]],FMS_Input[FMS_ID],FMS_Input[COSTSTRUCT])</f>
        <v>0</v>
      </c>
      <c r="AZ458" s="253">
        <f>_xlfn.XLOOKUP(FMS_Ranking4[[#This Row],[FMS ID]],FMS_Input[FMS_ID],FMS_Input[NATURE])</f>
        <v>0</v>
      </c>
      <c r="BA458" s="262">
        <f>(((FMS_Ranking4[[#This Row],[% NBS Raw]]/AZ$4)*100)*AZ$5)</f>
        <v>0</v>
      </c>
      <c r="BB458" s="251" t="str">
        <f>_xlfn.XLOOKUP(FMS_Ranking4[[#This Row],[FMS ID]],FMS_Input[FMS_ID],FMS_Input[WATER_SUP])</f>
        <v>No</v>
      </c>
      <c r="BC458" s="265">
        <f>IF(FMS_Ranking4[[#This Row],[Water Supply Raw]]="Yes",10,0)</f>
        <v>0</v>
      </c>
      <c r="BD458" s="266">
        <f>_xlfn.XLOOKUP(FMS_Ranking4[[#This Row],[FMS Type]],FMS_TYPE[FMS_Type],FMS_TYPE[Score])</f>
        <v>6</v>
      </c>
      <c r="BE458" s="267">
        <f>FMS_Ranking4[[#This Row],[FMS_Type Score]]*$BD$5*10</f>
        <v>1.5000000000000002</v>
      </c>
      <c r="BF45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0.10875559676741686</v>
      </c>
      <c r="BG458" s="293">
        <f>_xlfn.RANK.EQ(BF458,$BF$8:$BF$870,0)+COUNTIF($BF$8:BF458,BF458)-1</f>
        <v>483</v>
      </c>
      <c r="BH458" s="294">
        <f>(((FMS_Ranking4[[#This Row],[Structures Removed Raw]]/AK$4)*100)*AK$5)+(((FMS_Ranking4[[#This Row],[Removed Pop Raw]]/AR$4)*100)*AR$5)</f>
        <v>0</v>
      </c>
      <c r="BI45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1.6087555967674172</v>
      </c>
      <c r="BJ458" s="251">
        <f>_xlfn.RANK.EQ(FMS_Ranking4[[#This Row],[Total Score 
(with linear
normalization)]],FMS_Ranking4[Total Score 
(with linear
normalization)],0)</f>
        <v>562</v>
      </c>
      <c r="BK458" s="251" t="e">
        <f>_xlfn.XLOOKUP(FMS_Ranking4[[#This Row],[FMS ID]],#REF!,#REF!)</f>
        <v>#REF!</v>
      </c>
      <c r="BL45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20.099618086197736</v>
      </c>
      <c r="BM458" s="324">
        <f>FMS_Ranking4[[#This Row],[ArcSinh Score Based on Normalized Reported Factors]]+FMS_Ranking4[[#This Row],[% NBS Score (Normalized)]]+(FMS_Ranking4[[#This Row],[Water Supply Score (Normalized)]]*10*$BB$5)+FMS_Ranking4[[#This Row],[FMS_Type Score Weighted]]</f>
        <v>21.599618086197736</v>
      </c>
      <c r="BN458" s="251">
        <f>_xlfn.RANK.EQ(FMS_Ranking4[[#This Row],[Total Score (with ArcSinh normalization of select criteria)]],FMS_Ranking4[Total Score (with ArcSinh normalization of select criteria)],0)</f>
        <v>449</v>
      </c>
      <c r="BO458" s="270" t="str">
        <f>_xlfn.XLOOKUP(FMS_Ranking4[[#This Row],[FMS ID]],FMS_Input[FMS_ID],FMS_Input[FMS_RANK_YEAR])</f>
        <v>2023 Amended Plan</v>
      </c>
      <c r="BP458" s="324">
        <f>_xlfn.XLOOKUP(FMS_Ranking4[[#This Row],[FMS ID]],Prev_Rank[FMS ID],Prev_Rank[Prev Rank])</f>
        <v>406</v>
      </c>
      <c r="BQ458" s="251" t="e">
        <f>_xlfn.XLOOKUP(FMS_Ranking4[[#This Row],[FMS ID]],#REF!,#REF!)</f>
        <v>#REF!</v>
      </c>
      <c r="BR458" s="199" t="e">
        <f>SUM(#REF!,#REF!,#REF!,#REF!,#REF!,#REF!,#REF!,#REF!,#REF!,FMS_Ranking4[[#This Row],[ArcSinh Res struct removed 0-10]],#REF!)</f>
        <v>#REF!</v>
      </c>
      <c r="BS458" s="199" t="e">
        <f>FMS_Ranking4[[#This Row],[Log Score Based on Normalized Reported Factors]]+FMS_Ranking4[[#This Row],[% NBS Score (Normalized)]]+(FMS_Ranking4[[#This Row],[Water Supply Score (Normalized)]]*10*$BB$5)+(FMS_Ranking4[[#This Row],[FMS_Type Score Weighted]])</f>
        <v>#REF!</v>
      </c>
      <c r="BT458" s="200" t="e">
        <f>_xlfn.RANK.EQ(FMS_Ranking4[[#This Row],[Log Total Score]],FMS_Ranking4[Log Total Score],0)</f>
        <v>#REF!</v>
      </c>
      <c r="BU458" s="200" t="e">
        <f>_xlfn.XLOOKUP(FMS_Ranking4[[#This Row],[FMS ID]],#REF!,#REF!)</f>
        <v>#REF!</v>
      </c>
      <c r="BV458" s="200">
        <f>FMS_Ranking4[[#This Row],[Region Number]]</f>
        <v>6</v>
      </c>
      <c r="BW458" s="200">
        <f>FMS_Ranking4[[#This Row],[Rank (with ArcSinh normalization of select criteria)]]-FMS_Ranking4[[#This Row],[Rank
(with linear
normalization)]]</f>
        <v>-113</v>
      </c>
      <c r="BX458" s="200" t="e">
        <f>FMS_Ranking4[[#This Row],[Log Rank]]-FMS_Ranking4[[#This Row],[Rank
(with linear
normalization)]]</f>
        <v>#REF!</v>
      </c>
      <c r="BY458" s="200" t="str">
        <f>IF(FMS_Ranking4[[#This Row],[FMS Type]]="Flood Measurement and Warning",FMS_Ranking4[[#This Row],[Rank (with ArcSinh normalization of select criteria)]],"")</f>
        <v/>
      </c>
      <c r="BZ458" s="200" t="str">
        <f>IF(FMS_Ranking4[[#This Row],[FMS Type]]="Regulatory and Guidance",FMS_Ranking4[[#This Row],[Rank (with ArcSinh normalization of select criteria)]],"")</f>
        <v/>
      </c>
      <c r="CA458" s="200">
        <f>IF(FMS_Ranking4[[#This Row],[FMS Type]]="Education and Outreach",FMS_Ranking4[[#This Row],[Rank (with ArcSinh normalization of select criteria)]],"")</f>
        <v>449</v>
      </c>
      <c r="CB458" s="200" t="str">
        <f>IF(FMS_Ranking4[[#This Row],[FMS Type]]="Property Acquisition and Structural Elevation",FMS_Ranking4[[#This Row],[Rank (with ArcSinh normalization of select criteria)]],"")</f>
        <v/>
      </c>
      <c r="CC458" s="200" t="str">
        <f>IF(FMS_Ranking4[[#This Row],[FMS Type]]="Infrastructure Projects",FMS_Ranking4[[#This Row],[Rank (with ArcSinh normalization of select criteria)]],"")</f>
        <v/>
      </c>
      <c r="CD458" s="200" t="str">
        <f>IF(FMS_Ranking4[[#This Row],[FMS Type]]="Other",FMS_Ranking4[[#This Row],[Rank (with ArcSinh normalization of select criteria)]],"")</f>
        <v/>
      </c>
      <c r="CE458" s="201"/>
      <c r="CF458" s="206"/>
      <c r="CG458" s="206"/>
      <c r="CH458" s="206"/>
      <c r="CI458" s="206"/>
      <c r="CJ458" s="206"/>
      <c r="CK458" s="206"/>
      <c r="CL458" s="206"/>
      <c r="CM458" s="206"/>
      <c r="CN458" s="206"/>
      <c r="CO458" s="206"/>
      <c r="CP458" s="206"/>
      <c r="CQ458" s="206"/>
      <c r="CR458" s="206"/>
    </row>
    <row r="459" spans="2:96" ht="105" x14ac:dyDescent="0.25">
      <c r="B459" s="341" t="s">
        <v>12813</v>
      </c>
      <c r="C459" s="246">
        <f>_xlfn.XLOOKUP(FMS_Ranking4[[#This Row],[FMS ID]],FMS_Input[FMS_ID],FMS_Input[RFPG_NUM])</f>
        <v>3</v>
      </c>
      <c r="D459" s="309" t="str">
        <f>_xlfn.XLOOKUP(FMS_Ranking4[[#This Row],[FMS ID]],FMS_Input[FMS_ID],FMS_Input[FMS_NAME])</f>
        <v>Liberty County WCID #5 Drainage Criteria Manual Update</v>
      </c>
      <c r="E459" s="308" t="str">
        <f>_xlfn.XLOOKUP(FMS_Ranking4[[#This Row],[FMS ID]],FMS_Input[FMS_ID],FMS_Input[SPONSOR])</f>
        <v>03001179</v>
      </c>
      <c r="F459" s="309" t="str">
        <f>_xlfn.XLOOKUP(FMS_Ranking4[[#This Row],[FMS ID]],Sponsor[FMS_ID],Sponsor[SPONSOR NAME])</f>
        <v>Liberty County WCID 1</v>
      </c>
      <c r="G459" s="309" t="str">
        <f>_xlfn.XLOOKUP(FMS_Ranking4[[#This Row],[FMS ID]],FMS_Input[FMS_ID],FMS_Input[FMS_DESCR])</f>
        <v>Update Drainage Criteria Manual for Liberty County WCID #5 to minimize and eliminate the possibility of future development adversely impacting downstream communities.</v>
      </c>
      <c r="H459" s="248" t="str">
        <f>_xlfn.XLOOKUP(FMS_Ranking4[[#This Row],[FMS ID]],FMS_Input[FMS_ID],FMS_Input[FMS_TYPE])</f>
        <v>Regulatory and Guidance</v>
      </c>
      <c r="I459" s="249">
        <f>_xlfn.XLOOKUP(FMS_Ranking4[[#This Row],[FMS ID]],FMS_Input[FMS_ID],FMS_Input[NRNC_COST])</f>
        <v>91000</v>
      </c>
      <c r="J459" s="250">
        <f>_xlfn.XLOOKUP(FMS_Ranking4[[#This Row],[FMS ID]],FMS_Input[FMS_ID],FMS_Input[FMS_COST])</f>
        <v>91000</v>
      </c>
      <c r="K459" s="251" t="str">
        <f>_xlfn.XLOOKUP(FMS_Ranking4[[#This Row],[FMS ID]],FMS_Input[FMS_ID],FMS_Input[EMER_NEED])</f>
        <v>No</v>
      </c>
      <c r="L459" s="252">
        <f t="shared" si="7"/>
        <v>0</v>
      </c>
      <c r="M459" s="253">
        <f>_xlfn.XLOOKUP(FMS_Ranking4[[#This Row],[FMS ID]],FMS_Input[FMS_ID],FMS_Input[STRUCT_100])</f>
        <v>1050</v>
      </c>
      <c r="N459" s="255">
        <f>(ASINH(FMS_Ranking4[[#This Row],[Structure at Risk Raw]]))*(10)/(ASINH(M$4))</f>
        <v>6.0137975704017483</v>
      </c>
      <c r="O459" s="256">
        <f>FMS_Ranking4[[#This Row],[Structures at risk, ArcSinh (0-10)]]*M$5*10</f>
        <v>6.0137975704017492</v>
      </c>
      <c r="P459" s="253">
        <f>_xlfn.XLOOKUP(FMS_Ranking4[[#This Row],[FMS ID]],FMS_Input[FMS_ID],FMS_Input[RES_STRUCT100])</f>
        <v>749</v>
      </c>
      <c r="Q459" s="257">
        <f>ASINH(FMS_Ranking4[[#This Row],[Res Structure Raw]])/Q$4*P$5*100</f>
        <v>0</v>
      </c>
      <c r="R459" s="253">
        <f>_xlfn.XLOOKUP(FMS_Ranking4[[#This Row],[FMS ID]],FMS_Input[FMS_ID],FMS_Input[POP100])</f>
        <v>1</v>
      </c>
      <c r="S459" s="259">
        <f>(ASINH(FMS_Ranking4[[#This Row],[Pop at Risk Raw]]))*(10)/(ASINH(R$4))</f>
        <v>0.60846349886646833</v>
      </c>
      <c r="T459" s="256">
        <f>FMS_Ranking4[[#This Row],[Population at risk, ArcSinh (0-10)]]*R$5*10</f>
        <v>0.60846349886646833</v>
      </c>
      <c r="U459" s="253">
        <f>_xlfn.XLOOKUP(FMS_Ranking4[[#This Row],[FMS ID]],FMS_Input[FMS_ID],FMS_Input[CRITFAC100])</f>
        <v>4</v>
      </c>
      <c r="V459" s="259">
        <f>(ASINH(FMS_Ranking4[[#This Row],[Critical Facilities Raw]]))*(10)/(ASINH(U$4))</f>
        <v>2.4796455944038147</v>
      </c>
      <c r="W459" s="256">
        <f>FMS_Ranking4[[#This Row],[Critical facilities at risk, ArcSinh (0-10)]]*U$5*10</f>
        <v>2.4796455944038147</v>
      </c>
      <c r="X459" s="253">
        <f>_xlfn.XLOOKUP(FMS_Ranking4[[#This Row],[FMS ID]],FMS_Input[FMS_ID],FMS_Input[LWC])</f>
        <v>2</v>
      </c>
      <c r="Y459" s="259">
        <f>(ASINH(FMS_Ranking4[[#This Row],[LWC Raw]]))*(10)/(ASINH(X$4))</f>
        <v>1.9557475158633808</v>
      </c>
      <c r="Z459" s="256">
        <f>FMS_Ranking4[[#This Row],[LWC, ArcSInh (0-10)]]*X$5*10</f>
        <v>1.9557475158633808</v>
      </c>
      <c r="AA459" s="253">
        <f>_xlfn.XLOOKUP(FMS_Ranking4[[#This Row],[FMS ID]],FMS_Input[FMS_ID],FMS_Input[ROADCLS])</f>
        <v>2</v>
      </c>
      <c r="AB459" s="255">
        <f>(ASINH(FMS_Ranking4[[#This Row],[Road Closures Raw]]))*(10)/(ASINH(AA$4))</f>
        <v>1.5034138460359754</v>
      </c>
      <c r="AC459" s="256">
        <f>FMS_Ranking4[[#This Row],[Road closures, ArcSinh (0-10)]]*AA$5*10</f>
        <v>0.7517069230179878</v>
      </c>
      <c r="AD459" s="253">
        <f>_xlfn.XLOOKUP(FMS_Ranking4[[#This Row],[FMS ID]],FMS_Input[FMS_ID],FMS_Input[ROAD_MILES100])</f>
        <v>66</v>
      </c>
      <c r="AE459" s="259">
        <f>(ASINH(FMS_Ranking4[[#This Row],[Road Miles Raw]]))*(10)/(ASINH(AD$4))</f>
        <v>5.2037846312215725</v>
      </c>
      <c r="AF459" s="256">
        <f>FMS_Ranking4[[#This Row],[Length of roads at risk, ArcSinh (0-10)]]*AD$5*10</f>
        <v>5.2037846312215734</v>
      </c>
      <c r="AG459" s="253">
        <f>_xlfn.XLOOKUP(FMS_Ranking4[[#This Row],[FMS ID]],FMS_Input[FMS_ID],FMS_Input[FARMACRE100])</f>
        <v>1332.248046875</v>
      </c>
      <c r="AH459" s="255">
        <f>(ASINH(FMS_Ranking4[[#This Row],[Ag Land Raw]]))*(10)/(ASINH(AG$4))</f>
        <v>5.123749470825457</v>
      </c>
      <c r="AI459" s="260">
        <f>FMS_Ranking4[[#This Row],[Farm &amp; ranch land, ArcSinh (0-10)]]*AG$5*10</f>
        <v>2.5618747354127285</v>
      </c>
      <c r="AJ459" s="258">
        <f>_xlfn.XLOOKUP(FMS_Ranking4[[#This Row],[FMS ID]],FMS_Input[FMS_ID],FMS_Input[REDSTRUCT100])</f>
        <v>0</v>
      </c>
      <c r="AK459" s="253">
        <f>_xlfn.XLOOKUP(FMS_Ranking4[[#This Row],[FMS ID]],FMS_Input[FMS_ID],FMS_Input[REMSTRC100])</f>
        <v>0</v>
      </c>
      <c r="AL459" s="259">
        <f>(ASINH(FMS_Ranking4[[#This Row],[Structures Removed Raw]]))*(10)/(ASINH(AK$4))</f>
        <v>0</v>
      </c>
      <c r="AM459" s="262">
        <f>FMS_Ranking4[[#This Row],[Structures removed, ArcSinh (0-10)]]*AK$5*10</f>
        <v>0</v>
      </c>
      <c r="AN459" s="253">
        <f>_xlfn.XLOOKUP(FMS_Ranking4[[#This Row],[FMS ID]],FMS_Input[FMS_ID],FMS_Input[REMRESSTRC100])</f>
        <v>0</v>
      </c>
      <c r="AO459" s="261">
        <f>FMS_Ranking4[[#This Row],[ArcSinh Res struct removed 0-10]]*AN$5*10</f>
        <v>0</v>
      </c>
      <c r="AP459" s="260">
        <f>ASINH(FMS_Ranking4[[#This Row],[Residential Structures Removed Raw]])/AP$4*AN$5*100</f>
        <v>0</v>
      </c>
      <c r="AQ459" s="254">
        <f>(ASINH(FMS_Ranking4[[#This Row],[Residential Structures Removed Raw]]))*(10)/(ASINH(AN$4))</f>
        <v>0</v>
      </c>
      <c r="AR459" s="253">
        <f>_xlfn.XLOOKUP(FMS_Ranking4[[#This Row],[FMS ID]],FMS_Input[FMS_ID],FMS_Input[REMPOP100])</f>
        <v>0</v>
      </c>
      <c r="AS459" s="259">
        <f>(ASINH(FMS_Ranking4[[#This Row],[Removed Pop Raw]]))*(10)/(ASINH(AR$4))</f>
        <v>0</v>
      </c>
      <c r="AT459" s="262">
        <f>FMS_Ranking4[[#This Row],[Removed population, ArcSinh (0-10)]]*AR$5*10</f>
        <v>0</v>
      </c>
      <c r="AU459" s="264">
        <f>_xlfn.XLOOKUP(FMS_Ranking4[[#This Row],[FMS ID]],FMS_Input[FMS_ID],FMS_Input[REMCRITFAC100])</f>
        <v>0</v>
      </c>
      <c r="AV459" s="264">
        <f>_xlfn.XLOOKUP(FMS_Ranking4[[#This Row],[FMS ID]],FMS_Input[FMS_ID],FMS_Input[REMLWC100])</f>
        <v>0</v>
      </c>
      <c r="AW459" s="264">
        <f>_xlfn.XLOOKUP(FMS_Ranking4[[#This Row],[FMS ID]],FMS_Input[FMS_ID],FMS_Input[REMROADCLS])</f>
        <v>0</v>
      </c>
      <c r="AX459" s="264">
        <f>_xlfn.XLOOKUP(FMS_Ranking4[[#This Row],[FMS ID]],FMS_Input[FMS_ID],FMS_Input[REMFRMACRE100])</f>
        <v>0</v>
      </c>
      <c r="AY459" s="258">
        <f>_xlfn.XLOOKUP(FMS_Ranking4[[#This Row],[FMS ID]],FMS_Input[FMS_ID],FMS_Input[COSTSTRUCT])</f>
        <v>0</v>
      </c>
      <c r="AZ459" s="253">
        <f>_xlfn.XLOOKUP(FMS_Ranking4[[#This Row],[FMS ID]],FMS_Input[FMS_ID],FMS_Input[NATURE])</f>
        <v>0</v>
      </c>
      <c r="BA459" s="262">
        <f>(((FMS_Ranking4[[#This Row],[% NBS Raw]]/AZ$4)*100)*AZ$5)</f>
        <v>0</v>
      </c>
      <c r="BB459" s="251" t="str">
        <f>_xlfn.XLOOKUP(FMS_Ranking4[[#This Row],[FMS ID]],FMS_Input[FMS_ID],FMS_Input[WATER_SUP])</f>
        <v>No</v>
      </c>
      <c r="BC459" s="265">
        <f>IF(FMS_Ranking4[[#This Row],[Water Supply Raw]]="Yes",10,0)</f>
        <v>0</v>
      </c>
      <c r="BD459" s="266">
        <f>_xlfn.XLOOKUP(FMS_Ranking4[[#This Row],[FMS Type]],FMS_TYPE[FMS_Type],FMS_TYPE[Score])</f>
        <v>8</v>
      </c>
      <c r="BE459" s="267">
        <f>FMS_Ranking4[[#This Row],[FMS_Type Score]]*$BD$5*10</f>
        <v>2</v>
      </c>
      <c r="BF45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0.21999401385645145</v>
      </c>
      <c r="BG459" s="271">
        <f>_xlfn.RANK.EQ(BF459,$BF$8:$BF$870,0)+COUNTIF($BF$8:BF459,BF459)-1</f>
        <v>345</v>
      </c>
      <c r="BH459" s="268">
        <f>(((FMS_Ranking4[[#This Row],[Structures Removed Raw]]/AK$4)*100)*AK$5)+(((FMS_Ranking4[[#This Row],[Removed Pop Raw]]/AR$4)*100)*AR$5)</f>
        <v>0</v>
      </c>
      <c r="BI45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2.2199940138564513</v>
      </c>
      <c r="BJ459" s="205">
        <f>_xlfn.RANK.EQ(FMS_Ranking4[[#This Row],[Total Score 
(with linear
normalization)]],FMS_Ranking4[Total Score 
(with linear
normalization)],0)</f>
        <v>321</v>
      </c>
      <c r="BK459" s="205" t="e">
        <f>_xlfn.XLOOKUP(FMS_Ranking4[[#This Row],[FMS ID]],#REF!,#REF!)</f>
        <v>#REF!</v>
      </c>
      <c r="BL45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19.575020469187706</v>
      </c>
      <c r="BM459" s="272">
        <f>FMS_Ranking4[[#This Row],[ArcSinh Score Based on Normalized Reported Factors]]+FMS_Ranking4[[#This Row],[% NBS Score (Normalized)]]+(FMS_Ranking4[[#This Row],[Water Supply Score (Normalized)]]*10*$BB$5)+FMS_Ranking4[[#This Row],[FMS_Type Score Weighted]]</f>
        <v>21.575020469187706</v>
      </c>
      <c r="BN459" s="205">
        <f>_xlfn.RANK.EQ(FMS_Ranking4[[#This Row],[Total Score (with ArcSinh normalization of select criteria)]],FMS_Ranking4[Total Score (with ArcSinh normalization of select criteria)],0)</f>
        <v>452</v>
      </c>
      <c r="BO459" s="270" t="str">
        <f>_xlfn.XLOOKUP(FMS_Ranking4[[#This Row],[FMS ID]],FMS_Input[FMS_ID],FMS_Input[FMS_RANK_YEAR])</f>
        <v>2025 Amended Plan</v>
      </c>
      <c r="BP459" s="204" t="e">
        <f>_xlfn.XLOOKUP(FMS_Ranking4[[#This Row],[FMS ID]],Prev_Rank[FMS ID],Prev_Rank[Prev Rank])</f>
        <v>#N/A</v>
      </c>
      <c r="BQ459" s="205" t="e">
        <f>_xlfn.XLOOKUP(FMS_Ranking4[[#This Row],[FMS ID]],#REF!,#REF!)</f>
        <v>#REF!</v>
      </c>
      <c r="BR459" s="199" t="e">
        <f>SUM(#REF!,#REF!,#REF!,#REF!,#REF!,#REF!,#REF!,#REF!,#REF!,FMS_Ranking4[[#This Row],[ArcSinh Res struct removed 0-10]],#REF!)</f>
        <v>#REF!</v>
      </c>
      <c r="BS459" s="199" t="e">
        <f>FMS_Ranking4[[#This Row],[Log Score Based on Normalized Reported Factors]]+FMS_Ranking4[[#This Row],[% NBS Score (Normalized)]]+(FMS_Ranking4[[#This Row],[Water Supply Score (Normalized)]]*10*$BB$5)+(FMS_Ranking4[[#This Row],[FMS_Type Score Weighted]])</f>
        <v>#REF!</v>
      </c>
      <c r="BT459" s="200" t="e">
        <f>_xlfn.RANK.EQ(FMS_Ranking4[[#This Row],[Log Total Score]],FMS_Ranking4[Log Total Score],0)</f>
        <v>#REF!</v>
      </c>
      <c r="BU459" s="200" t="e">
        <f>_xlfn.XLOOKUP(FMS_Ranking4[[#This Row],[FMS ID]],#REF!,#REF!)</f>
        <v>#REF!</v>
      </c>
      <c r="BV459" s="200">
        <f>FMS_Ranking4[[#This Row],[Region Number]]</f>
        <v>3</v>
      </c>
      <c r="BW459" s="200">
        <f>FMS_Ranking4[[#This Row],[Rank (with ArcSinh normalization of select criteria)]]-FMS_Ranking4[[#This Row],[Rank
(with linear
normalization)]]</f>
        <v>131</v>
      </c>
      <c r="BX459" s="200" t="e">
        <f>FMS_Ranking4[[#This Row],[Log Rank]]-FMS_Ranking4[[#This Row],[Rank
(with linear
normalization)]]</f>
        <v>#REF!</v>
      </c>
      <c r="BY459" s="200" t="str">
        <f>IF(FMS_Ranking4[[#This Row],[FMS Type]]="Flood Measurement and Warning",FMS_Ranking4[[#This Row],[Rank (with ArcSinh normalization of select criteria)]],"")</f>
        <v/>
      </c>
      <c r="BZ459" s="200">
        <f>IF(FMS_Ranking4[[#This Row],[FMS Type]]="Regulatory and Guidance",FMS_Ranking4[[#This Row],[Rank (with ArcSinh normalization of select criteria)]],"")</f>
        <v>452</v>
      </c>
      <c r="CA459" s="200" t="str">
        <f>IF(FMS_Ranking4[[#This Row],[FMS Type]]="Education and Outreach",FMS_Ranking4[[#This Row],[Rank (with ArcSinh normalization of select criteria)]],"")</f>
        <v/>
      </c>
      <c r="CB459" s="200" t="str">
        <f>IF(FMS_Ranking4[[#This Row],[FMS Type]]="Property Acquisition and Structural Elevation",FMS_Ranking4[[#This Row],[Rank (with ArcSinh normalization of select criteria)]],"")</f>
        <v/>
      </c>
      <c r="CC459" s="200" t="str">
        <f>IF(FMS_Ranking4[[#This Row],[FMS Type]]="Infrastructure Projects",FMS_Ranking4[[#This Row],[Rank (with ArcSinh normalization of select criteria)]],"")</f>
        <v/>
      </c>
      <c r="CD459" s="200" t="str">
        <f>IF(FMS_Ranking4[[#This Row],[FMS Type]]="Other",FMS_Ranking4[[#This Row],[Rank (with ArcSinh normalization of select criteria)]],"")</f>
        <v/>
      </c>
      <c r="CE459" s="201"/>
      <c r="CF459" s="206"/>
      <c r="CG459" s="206"/>
      <c r="CH459" s="206"/>
      <c r="CI459" s="206"/>
      <c r="CJ459" s="206"/>
      <c r="CK459" s="206"/>
      <c r="CL459" s="206"/>
      <c r="CM459" s="206"/>
      <c r="CN459" s="206"/>
      <c r="CO459" s="206"/>
      <c r="CP459" s="206"/>
      <c r="CQ459" s="206"/>
      <c r="CR459" s="206"/>
    </row>
    <row r="460" spans="2:96" ht="75" x14ac:dyDescent="0.25">
      <c r="B460" s="341" t="s">
        <v>2588</v>
      </c>
      <c r="C460" s="246">
        <f>_xlfn.XLOOKUP(FMS_Ranking4[[#This Row],[FMS ID]],FMS_Input[FMS_ID],FMS_Input[RFPG_NUM])</f>
        <v>4</v>
      </c>
      <c r="D460" s="309" t="str">
        <f>_xlfn.XLOOKUP(FMS_Ranking4[[#This Row],[FMS ID]],FMS_Input[FMS_ID],FMS_Input[FMS_NAME])</f>
        <v>City of Kilgore Flood Infrastructure Inspection and Maintenance Program</v>
      </c>
      <c r="E460" s="308" t="str">
        <f>_xlfn.XLOOKUP(FMS_Ranking4[[#This Row],[FMS ID]],FMS_Input[FMS_ID],FMS_Input[SPONSOR])</f>
        <v>04002775</v>
      </c>
      <c r="F460" s="309" t="str">
        <f>_xlfn.XLOOKUP(FMS_Ranking4[[#This Row],[FMS ID]],Sponsor[FMS_ID],Sponsor[SPONSOR NAME])</f>
        <v>Kilgore</v>
      </c>
      <c r="G460" s="309" t="str">
        <f>_xlfn.XLOOKUP(FMS_Ranking4[[#This Row],[FMS ID]],FMS_Input[FMS_ID],FMS_Input[FMS_DESCR])</f>
        <v xml:space="preserve">Investigate the current condition of culverts, headwalls, and repairs to culverts and headwalls_x000D_
</v>
      </c>
      <c r="H460" s="248" t="str">
        <f>_xlfn.XLOOKUP(FMS_Ranking4[[#This Row],[FMS ID]],FMS_Input[FMS_ID],FMS_Input[FMS_TYPE])</f>
        <v>Other</v>
      </c>
      <c r="I460" s="249">
        <f>_xlfn.XLOOKUP(FMS_Ranking4[[#This Row],[FMS ID]],FMS_Input[FMS_ID],FMS_Input[NRNC_COST])</f>
        <v>30000</v>
      </c>
      <c r="J460" s="250">
        <f>_xlfn.XLOOKUP(FMS_Ranking4[[#This Row],[FMS ID]],FMS_Input[FMS_ID],FMS_Input[FMS_COST])</f>
        <v>30000</v>
      </c>
      <c r="K460" s="251" t="str">
        <f>_xlfn.XLOOKUP(FMS_Ranking4[[#This Row],[FMS ID]],FMS_Input[FMS_ID],FMS_Input[EMER_NEED])</f>
        <v>No</v>
      </c>
      <c r="L460" s="252">
        <f t="shared" si="7"/>
        <v>0</v>
      </c>
      <c r="M460" s="253">
        <f>_xlfn.XLOOKUP(FMS_Ranking4[[#This Row],[FMS ID]],FMS_Input[FMS_ID],FMS_Input[STRUCT_100])</f>
        <v>296</v>
      </c>
      <c r="N460" s="255">
        <f>(ASINH(FMS_Ranking4[[#This Row],[Structure at Risk Raw]]))*(10)/(ASINH(M$4))</f>
        <v>5.0183889211464106</v>
      </c>
      <c r="O460" s="256">
        <f>FMS_Ranking4[[#This Row],[Structures at risk, ArcSinh (0-10)]]*M$5*10</f>
        <v>5.0183889211464106</v>
      </c>
      <c r="P460" s="253">
        <f>_xlfn.XLOOKUP(FMS_Ranking4[[#This Row],[FMS ID]],FMS_Input[FMS_ID],FMS_Input[RES_STRUCT100])</f>
        <v>224</v>
      </c>
      <c r="Q460" s="257">
        <f>ASINH(FMS_Ranking4[[#This Row],[Res Structure Raw]])/Q$4*P$5*100</f>
        <v>0</v>
      </c>
      <c r="R460" s="253">
        <f>_xlfn.XLOOKUP(FMS_Ranking4[[#This Row],[FMS ID]],FMS_Input[FMS_ID],FMS_Input[POP100])</f>
        <v>870</v>
      </c>
      <c r="S460" s="255">
        <f>(ASINH(FMS_Ranking4[[#This Row],[Pop at Risk Raw]]))*(10)/(ASINH(R$4))</f>
        <v>5.151204992030296</v>
      </c>
      <c r="T460" s="256">
        <f>FMS_Ranking4[[#This Row],[Population at risk, ArcSinh (0-10)]]*R$5*10</f>
        <v>5.151204992030296</v>
      </c>
      <c r="U460" s="253">
        <f>_xlfn.XLOOKUP(FMS_Ranking4[[#This Row],[FMS ID]],FMS_Input[FMS_ID],FMS_Input[CRITFAC100])</f>
        <v>3</v>
      </c>
      <c r="V460" s="255">
        <f>(ASINH(FMS_Ranking4[[#This Row],[Critical Facilities Raw]]))*(10)/(ASINH(U$4))</f>
        <v>2.152611706646717</v>
      </c>
      <c r="W460" s="256">
        <f>FMS_Ranking4[[#This Row],[Critical facilities at risk, ArcSinh (0-10)]]*U$5*10</f>
        <v>2.152611706646717</v>
      </c>
      <c r="X460" s="253">
        <f>_xlfn.XLOOKUP(FMS_Ranking4[[#This Row],[FMS ID]],FMS_Input[FMS_ID],FMS_Input[LWC])</f>
        <v>3</v>
      </c>
      <c r="Y460" s="255">
        <f>(ASINH(FMS_Ranking4[[#This Row],[LWC Raw]]))*(10)/(ASINH(X$4))</f>
        <v>2.4635181155638843</v>
      </c>
      <c r="Z460" s="256">
        <f>FMS_Ranking4[[#This Row],[LWC, ArcSInh (0-10)]]*X$5*10</f>
        <v>2.4635181155638843</v>
      </c>
      <c r="AA460" s="253">
        <f>_xlfn.XLOOKUP(FMS_Ranking4[[#This Row],[FMS ID]],FMS_Input[FMS_ID],FMS_Input[ROADCLS])</f>
        <v>3</v>
      </c>
      <c r="AB460" s="255">
        <f>(ASINH(FMS_Ranking4[[#This Row],[Road Closures Raw]]))*(10)/(ASINH(AA$4))</f>
        <v>1.8937450846072912</v>
      </c>
      <c r="AC460" s="256">
        <f>FMS_Ranking4[[#This Row],[Road closures, ArcSinh (0-10)]]*AA$5*10</f>
        <v>0.94687254230364559</v>
      </c>
      <c r="AD460" s="253">
        <f>_xlfn.XLOOKUP(FMS_Ranking4[[#This Row],[FMS ID]],FMS_Input[FMS_ID],FMS_Input[ROAD_MILES100])</f>
        <v>15</v>
      </c>
      <c r="AE460" s="255">
        <f>(ASINH(FMS_Ranking4[[#This Row],[Road Miles Raw]]))*(10)/(ASINH(AD$4))</f>
        <v>3.625922827042257</v>
      </c>
      <c r="AF460" s="256">
        <f>FMS_Ranking4[[#This Row],[Length of roads at risk, ArcSinh (0-10)]]*AD$5*10</f>
        <v>3.625922827042257</v>
      </c>
      <c r="AG460" s="253">
        <f>_xlfn.XLOOKUP(FMS_Ranking4[[#This Row],[FMS ID]],FMS_Input[FMS_ID],FMS_Input[FARMACRE100])</f>
        <v>95.777946472167969</v>
      </c>
      <c r="AH460" s="255">
        <f>(ASINH(FMS_Ranking4[[#This Row],[Ag Land Raw]]))*(10)/(ASINH(AG$4))</f>
        <v>3.4136850110494197</v>
      </c>
      <c r="AI460" s="260">
        <f>FMS_Ranking4[[#This Row],[Farm &amp; ranch land, ArcSinh (0-10)]]*AG$5*10</f>
        <v>1.7068425055247101</v>
      </c>
      <c r="AJ460" s="258">
        <f>_xlfn.XLOOKUP(FMS_Ranking4[[#This Row],[FMS ID]],FMS_Input[FMS_ID],FMS_Input[REDSTRUCT100])</f>
        <v>0</v>
      </c>
      <c r="AK460" s="253">
        <f>_xlfn.XLOOKUP(FMS_Ranking4[[#This Row],[FMS ID]],FMS_Input[FMS_ID],FMS_Input[REMSTRC100])</f>
        <v>0</v>
      </c>
      <c r="AL460" s="255">
        <f>(ASINH(FMS_Ranking4[[#This Row],[Structures Removed Raw]]))*(10)/(ASINH(AK$4))</f>
        <v>0</v>
      </c>
      <c r="AM460" s="262">
        <f>FMS_Ranking4[[#This Row],[Structures removed, ArcSinh (0-10)]]*AK$5*10</f>
        <v>0</v>
      </c>
      <c r="AN460" s="253">
        <f>_xlfn.XLOOKUP(FMS_Ranking4[[#This Row],[FMS ID]],FMS_Input[FMS_ID],FMS_Input[REMRESSTRC100])</f>
        <v>0</v>
      </c>
      <c r="AO460" s="261">
        <f>FMS_Ranking4[[#This Row],[ArcSinh Res struct removed 0-10]]*AN$5*10</f>
        <v>0</v>
      </c>
      <c r="AP460" s="260">
        <f>ASINH(FMS_Ranking4[[#This Row],[Residential Structures Removed Raw]])/AP$4*AN$5*100</f>
        <v>0</v>
      </c>
      <c r="AQ460" s="258">
        <f>(ASINH(FMS_Ranking4[[#This Row],[Residential Structures Removed Raw]]))*(10)/(ASINH(AN$4))</f>
        <v>0</v>
      </c>
      <c r="AR460" s="253">
        <f>_xlfn.XLOOKUP(FMS_Ranking4[[#This Row],[FMS ID]],FMS_Input[FMS_ID],FMS_Input[REMPOP100])</f>
        <v>0</v>
      </c>
      <c r="AS460" s="255">
        <f>(ASINH(FMS_Ranking4[[#This Row],[Removed Pop Raw]]))*(10)/(ASINH(AR$4))</f>
        <v>0</v>
      </c>
      <c r="AT460" s="262">
        <f>FMS_Ranking4[[#This Row],[Removed population, ArcSinh (0-10)]]*AR$5*10</f>
        <v>0</v>
      </c>
      <c r="AU460" s="264">
        <f>_xlfn.XLOOKUP(FMS_Ranking4[[#This Row],[FMS ID]],FMS_Input[FMS_ID],FMS_Input[REMCRITFAC100])</f>
        <v>0</v>
      </c>
      <c r="AV460" s="264">
        <f>_xlfn.XLOOKUP(FMS_Ranking4[[#This Row],[FMS ID]],FMS_Input[FMS_ID],FMS_Input[REMLWC100])</f>
        <v>0</v>
      </c>
      <c r="AW460" s="264">
        <f>_xlfn.XLOOKUP(FMS_Ranking4[[#This Row],[FMS ID]],FMS_Input[FMS_ID],FMS_Input[REMROADCLS])</f>
        <v>0</v>
      </c>
      <c r="AX460" s="264">
        <f>_xlfn.XLOOKUP(FMS_Ranking4[[#This Row],[FMS ID]],FMS_Input[FMS_ID],FMS_Input[REMFRMACRE100])</f>
        <v>0</v>
      </c>
      <c r="AY460" s="258">
        <f>_xlfn.XLOOKUP(FMS_Ranking4[[#This Row],[FMS ID]],FMS_Input[FMS_ID],FMS_Input[COSTSTRUCT])</f>
        <v>0</v>
      </c>
      <c r="AZ460" s="253">
        <f>_xlfn.XLOOKUP(FMS_Ranking4[[#This Row],[FMS ID]],FMS_Input[FMS_ID],FMS_Input[NATURE])</f>
        <v>0</v>
      </c>
      <c r="BA460" s="262">
        <f>(((FMS_Ranking4[[#This Row],[% NBS Raw]]/AZ$4)*100)*AZ$5)</f>
        <v>0</v>
      </c>
      <c r="BB460" s="251" t="str">
        <f>_xlfn.XLOOKUP(FMS_Ranking4[[#This Row],[FMS ID]],FMS_Input[FMS_ID],FMS_Input[WATER_SUP])</f>
        <v>No</v>
      </c>
      <c r="BC460" s="265">
        <f>IF(FMS_Ranking4[[#This Row],[Water Supply Raw]]="Yes",10,0)</f>
        <v>0</v>
      </c>
      <c r="BD460" s="266">
        <f>_xlfn.XLOOKUP(FMS_Ranking4[[#This Row],[FMS Type]],FMS_TYPE[FMS_Type],FMS_TYPE[Score])</f>
        <v>2</v>
      </c>
      <c r="BE460" s="267">
        <f>FMS_Ranking4[[#This Row],[FMS_Type Score]]*$BD$5*10</f>
        <v>0.5</v>
      </c>
      <c r="BF46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0.10429143046593786</v>
      </c>
      <c r="BG460" s="321">
        <f>_xlfn.RANK.EQ(BF460,$BF$8:$BF$870,0)+COUNTIF($BF$8:BF460,BF460)-1</f>
        <v>493</v>
      </c>
      <c r="BH460" s="294">
        <f>(((FMS_Ranking4[[#This Row],[Structures Removed Raw]]/AK$4)*100)*AK$5)+(((FMS_Ranking4[[#This Row],[Removed Pop Raw]]/AR$4)*100)*AR$5)</f>
        <v>0</v>
      </c>
      <c r="BI46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0.60429143046593792</v>
      </c>
      <c r="BJ460" s="251">
        <f>_xlfn.RANK.EQ(FMS_Ranking4[[#This Row],[Total Score 
(with linear
normalization)]],FMS_Ranking4[Total Score 
(with linear
normalization)],0)</f>
        <v>820</v>
      </c>
      <c r="BK460" s="251" t="e">
        <f>_xlfn.XLOOKUP(FMS_Ranking4[[#This Row],[FMS ID]],#REF!,#REF!)</f>
        <v>#REF!</v>
      </c>
      <c r="BL46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21.065361610257924</v>
      </c>
      <c r="BM460" s="324">
        <f>FMS_Ranking4[[#This Row],[ArcSinh Score Based on Normalized Reported Factors]]+FMS_Ranking4[[#This Row],[% NBS Score (Normalized)]]+(FMS_Ranking4[[#This Row],[Water Supply Score (Normalized)]]*10*$BB$5)+FMS_Ranking4[[#This Row],[FMS_Type Score Weighted]]</f>
        <v>21.565361610257924</v>
      </c>
      <c r="BN460" s="251">
        <f>_xlfn.RANK.EQ(FMS_Ranking4[[#This Row],[Total Score (with ArcSinh normalization of select criteria)]],FMS_Ranking4[Total Score (with ArcSinh normalization of select criteria)],0)</f>
        <v>453</v>
      </c>
      <c r="BO460" s="270" t="str">
        <f>_xlfn.XLOOKUP(FMS_Ranking4[[#This Row],[FMS ID]],FMS_Input[FMS_ID],FMS_Input[FMS_RANK_YEAR])</f>
        <v>2023 Amended Plan</v>
      </c>
      <c r="BP460" s="204">
        <f>_xlfn.XLOOKUP(FMS_Ranking4[[#This Row],[FMS ID]],Prev_Rank[FMS ID],Prev_Rank[Prev Rank])</f>
        <v>409</v>
      </c>
      <c r="BQ460" s="251" t="e">
        <f>_xlfn.XLOOKUP(FMS_Ranking4[[#This Row],[FMS ID]],#REF!,#REF!)</f>
        <v>#REF!</v>
      </c>
      <c r="BR460" s="199" t="e">
        <f>SUM(#REF!,#REF!,#REF!,#REF!,#REF!,#REF!,#REF!,#REF!,#REF!,FMS_Ranking4[[#This Row],[ArcSinh Res struct removed 0-10]],#REF!)</f>
        <v>#REF!</v>
      </c>
      <c r="BS460" s="199" t="e">
        <f>FMS_Ranking4[[#This Row],[Log Score Based on Normalized Reported Factors]]+FMS_Ranking4[[#This Row],[% NBS Score (Normalized)]]+(FMS_Ranking4[[#This Row],[Water Supply Score (Normalized)]]*10*$BB$5)+(FMS_Ranking4[[#This Row],[FMS_Type Score Weighted]])</f>
        <v>#REF!</v>
      </c>
      <c r="BT460" s="200" t="e">
        <f>_xlfn.RANK.EQ(FMS_Ranking4[[#This Row],[Log Total Score]],FMS_Ranking4[Log Total Score],0)</f>
        <v>#REF!</v>
      </c>
      <c r="BU460" s="200" t="e">
        <f>_xlfn.XLOOKUP(FMS_Ranking4[[#This Row],[FMS ID]],#REF!,#REF!)</f>
        <v>#REF!</v>
      </c>
      <c r="BV460" s="200">
        <f>FMS_Ranking4[[#This Row],[Region Number]]</f>
        <v>4</v>
      </c>
      <c r="BW460" s="200">
        <f>FMS_Ranking4[[#This Row],[Rank (with ArcSinh normalization of select criteria)]]-FMS_Ranking4[[#This Row],[Rank
(with linear
normalization)]]</f>
        <v>-367</v>
      </c>
      <c r="BX460" s="200" t="e">
        <f>FMS_Ranking4[[#This Row],[Log Rank]]-FMS_Ranking4[[#This Row],[Rank
(with linear
normalization)]]</f>
        <v>#REF!</v>
      </c>
      <c r="BY460" s="200" t="str">
        <f>IF(FMS_Ranking4[[#This Row],[FMS Type]]="Flood Measurement and Warning",FMS_Ranking4[[#This Row],[Rank (with ArcSinh normalization of select criteria)]],"")</f>
        <v/>
      </c>
      <c r="BZ460" s="200" t="str">
        <f>IF(FMS_Ranking4[[#This Row],[FMS Type]]="Regulatory and Guidance",FMS_Ranking4[[#This Row],[Rank (with ArcSinh normalization of select criteria)]],"")</f>
        <v/>
      </c>
      <c r="CA460" s="200" t="str">
        <f>IF(FMS_Ranking4[[#This Row],[FMS Type]]="Education and Outreach",FMS_Ranking4[[#This Row],[Rank (with ArcSinh normalization of select criteria)]],"")</f>
        <v/>
      </c>
      <c r="CB460" s="200" t="str">
        <f>IF(FMS_Ranking4[[#This Row],[FMS Type]]="Property Acquisition and Structural Elevation",FMS_Ranking4[[#This Row],[Rank (with ArcSinh normalization of select criteria)]],"")</f>
        <v/>
      </c>
      <c r="CC460" s="200" t="str">
        <f>IF(FMS_Ranking4[[#This Row],[FMS Type]]="Infrastructure Projects",FMS_Ranking4[[#This Row],[Rank (with ArcSinh normalization of select criteria)]],"")</f>
        <v/>
      </c>
      <c r="CD460" s="200">
        <f>IF(FMS_Ranking4[[#This Row],[FMS Type]]="Other",FMS_Ranking4[[#This Row],[Rank (with ArcSinh normalization of select criteria)]],"")</f>
        <v>453</v>
      </c>
      <c r="CE460" s="201"/>
      <c r="CF460" s="206"/>
      <c r="CG460" s="206"/>
      <c r="CH460" s="206"/>
      <c r="CI460" s="206"/>
      <c r="CJ460" s="206"/>
      <c r="CK460" s="206"/>
      <c r="CL460" s="206"/>
      <c r="CM460" s="206"/>
      <c r="CN460" s="206"/>
      <c r="CO460" s="206"/>
      <c r="CP460" s="206"/>
      <c r="CQ460" s="206"/>
      <c r="CR460" s="206"/>
    </row>
    <row r="461" spans="2:96" ht="45" x14ac:dyDescent="0.25">
      <c r="B461" s="341" t="s">
        <v>12387</v>
      </c>
      <c r="C461" s="246">
        <f>_xlfn.XLOOKUP(FMS_Ranking4[[#This Row],[FMS ID]],FMS_Input[FMS_ID],FMS_Input[RFPG_NUM])</f>
        <v>5</v>
      </c>
      <c r="D461" s="309" t="str">
        <f>_xlfn.XLOOKUP(FMS_Ranking4[[#This Row],[FMS ID]],FMS_Input[FMS_ID],FMS_Input[FMS_NAME])</f>
        <v>City of Vidor Flood Insurance Education Program</v>
      </c>
      <c r="E461" s="308" t="str">
        <f>_xlfn.XLOOKUP(FMS_Ranking4[[#This Row],[FMS ID]],FMS_Input[FMS_ID],FMS_Input[SPONSOR])</f>
        <v>00000027</v>
      </c>
      <c r="F461" s="309" t="str">
        <f>_xlfn.XLOOKUP(FMS_Ranking4[[#This Row],[FMS ID]],Sponsor[FMS_ID],Sponsor[SPONSOR NAME])</f>
        <v>Orange</v>
      </c>
      <c r="G461" s="309" t="str">
        <f>_xlfn.XLOOKUP(FMS_Ranking4[[#This Row],[FMS ID]],FMS_Input[FMS_ID],FMS_Input[FMS_DESCR])</f>
        <v>Conduct program to educate residents on the details and availability of flood insurance.</v>
      </c>
      <c r="H461" s="248" t="str">
        <f>_xlfn.XLOOKUP(FMS_Ranking4[[#This Row],[FMS ID]],FMS_Input[FMS_ID],FMS_Input[FMS_TYPE])</f>
        <v>Education and Outreach</v>
      </c>
      <c r="I461" s="249">
        <f>_xlfn.XLOOKUP(FMS_Ranking4[[#This Row],[FMS ID]],FMS_Input[FMS_ID],FMS_Input[NRNC_COST])</f>
        <v>50000</v>
      </c>
      <c r="J461" s="250">
        <f>_xlfn.XLOOKUP(FMS_Ranking4[[#This Row],[FMS ID]],FMS_Input[FMS_ID],FMS_Input[FMS_COST])</f>
        <v>50000</v>
      </c>
      <c r="K461" s="251" t="str">
        <f>_xlfn.XLOOKUP(FMS_Ranking4[[#This Row],[FMS ID]],FMS_Input[FMS_ID],FMS_Input[EMER_NEED])</f>
        <v>Yes</v>
      </c>
      <c r="L461" s="252">
        <f t="shared" si="7"/>
        <v>1</v>
      </c>
      <c r="M461" s="253">
        <f>_xlfn.XLOOKUP(FMS_Ranking4[[#This Row],[FMS ID]],FMS_Input[FMS_ID],FMS_Input[STRUCT_100])</f>
        <v>541</v>
      </c>
      <c r="N461" s="255">
        <f>(ASINH(FMS_Ranking4[[#This Row],[Structure at Risk Raw]]))*(10)/(ASINH(M$4))</f>
        <v>5.49248216328927</v>
      </c>
      <c r="O461" s="256">
        <f>FMS_Ranking4[[#This Row],[Structures at risk, ArcSinh (0-10)]]*M$5*10</f>
        <v>5.4924821632892709</v>
      </c>
      <c r="P461" s="253">
        <f>_xlfn.XLOOKUP(FMS_Ranking4[[#This Row],[FMS ID]],FMS_Input[FMS_ID],FMS_Input[RES_STRUCT100])</f>
        <v>416</v>
      </c>
      <c r="Q461" s="257">
        <f>ASINH(FMS_Ranking4[[#This Row],[Res Structure Raw]])/Q$4*P$5*100</f>
        <v>0</v>
      </c>
      <c r="R461" s="253">
        <f>_xlfn.XLOOKUP(FMS_Ranking4[[#This Row],[FMS ID]],FMS_Input[FMS_ID],FMS_Input[POP100])</f>
        <v>1143</v>
      </c>
      <c r="S461" s="259">
        <f>(ASINH(FMS_Ranking4[[#This Row],[Pop at Risk Raw]]))*(10)/(ASINH(R$4))</f>
        <v>5.3396163923788009</v>
      </c>
      <c r="T461" s="256">
        <f>FMS_Ranking4[[#This Row],[Population at risk, ArcSinh (0-10)]]*R$5*10</f>
        <v>5.3396163923788009</v>
      </c>
      <c r="U461" s="253">
        <f>_xlfn.XLOOKUP(FMS_Ranking4[[#This Row],[FMS ID]],FMS_Input[FMS_ID],FMS_Input[CRITFAC100])</f>
        <v>1</v>
      </c>
      <c r="V461" s="259">
        <f>(ASINH(FMS_Ranking4[[#This Row],[Critical Facilities Raw]]))*(10)/(ASINH(U$4))</f>
        <v>1.0433384451410745</v>
      </c>
      <c r="W461" s="256">
        <f>FMS_Ranking4[[#This Row],[Critical facilities at risk, ArcSinh (0-10)]]*U$5*10</f>
        <v>1.0433384451410745</v>
      </c>
      <c r="X461" s="253">
        <f>_xlfn.XLOOKUP(FMS_Ranking4[[#This Row],[FMS ID]],FMS_Input[FMS_ID],FMS_Input[LWC])</f>
        <v>5</v>
      </c>
      <c r="Y461" s="259">
        <f>(ASINH(FMS_Ranking4[[#This Row],[LWC Raw]]))*(10)/(ASINH(X$4))</f>
        <v>3.1327475801820781</v>
      </c>
      <c r="Z461" s="256">
        <f>FMS_Ranking4[[#This Row],[LWC, ArcSInh (0-10)]]*X$5*10</f>
        <v>3.1327475801820781</v>
      </c>
      <c r="AA461" s="253">
        <f>_xlfn.XLOOKUP(FMS_Ranking4[[#This Row],[FMS ID]],FMS_Input[FMS_ID],FMS_Input[ROADCLS])</f>
        <v>5</v>
      </c>
      <c r="AB461" s="255">
        <f>(ASINH(FMS_Ranking4[[#This Row],[Road Closures Raw]]))*(10)/(ASINH(AA$4))</f>
        <v>2.4081922896382904</v>
      </c>
      <c r="AC461" s="256">
        <f>FMS_Ranking4[[#This Row],[Road closures, ArcSinh (0-10)]]*AA$5*10</f>
        <v>1.2040961448191452</v>
      </c>
      <c r="AD461" s="253">
        <f>_xlfn.XLOOKUP(FMS_Ranking4[[#This Row],[FMS ID]],FMS_Input[FMS_ID],FMS_Input[ROAD_MILES100])</f>
        <v>13</v>
      </c>
      <c r="AE461" s="259">
        <f>(ASINH(FMS_Ranking4[[#This Row],[Road Miles Raw]]))*(10)/(ASINH(AD$4))</f>
        <v>3.473807557544454</v>
      </c>
      <c r="AF461" s="256">
        <f>FMS_Ranking4[[#This Row],[Length of roads at risk, ArcSinh (0-10)]]*AD$5*10</f>
        <v>3.4738075575444545</v>
      </c>
      <c r="AG461" s="253">
        <f>_xlfn.XLOOKUP(FMS_Ranking4[[#This Row],[FMS ID]],FMS_Input[FMS_ID],FMS_Input[FARMACRE100])</f>
        <v>1.0961142778396611</v>
      </c>
      <c r="AH461" s="255">
        <f>(ASINH(FMS_Ranking4[[#This Row],[Ag Land Raw]]))*(10)/(ASINH(AG$4))</f>
        <v>0.61562822310861065</v>
      </c>
      <c r="AI461" s="260">
        <f>FMS_Ranking4[[#This Row],[Farm &amp; ranch land, ArcSinh (0-10)]]*AG$5*10</f>
        <v>0.30781411155430533</v>
      </c>
      <c r="AJ461" s="258">
        <f>_xlfn.XLOOKUP(FMS_Ranking4[[#This Row],[FMS ID]],FMS_Input[FMS_ID],FMS_Input[REDSTRUCT100])</f>
        <v>0</v>
      </c>
      <c r="AK461" s="253">
        <f>_xlfn.XLOOKUP(FMS_Ranking4[[#This Row],[FMS ID]],FMS_Input[FMS_ID],FMS_Input[REMSTRC100])</f>
        <v>0</v>
      </c>
      <c r="AL461" s="259">
        <f>(ASINH(FMS_Ranking4[[#This Row],[Structures Removed Raw]]))*(10)/(ASINH(AK$4))</f>
        <v>0</v>
      </c>
      <c r="AM461" s="262">
        <f>FMS_Ranking4[[#This Row],[Structures removed, ArcSinh (0-10)]]*AK$5*10</f>
        <v>0</v>
      </c>
      <c r="AN461" s="253">
        <f>_xlfn.XLOOKUP(FMS_Ranking4[[#This Row],[FMS ID]],FMS_Input[FMS_ID],FMS_Input[REMRESSTRC100])</f>
        <v>0</v>
      </c>
      <c r="AO461" s="261">
        <f>FMS_Ranking4[[#This Row],[ArcSinh Res struct removed 0-10]]*AN$5*10</f>
        <v>0</v>
      </c>
      <c r="AP461" s="260">
        <f>ASINH(FMS_Ranking4[[#This Row],[Residential Structures Removed Raw]])/AP$4*AN$5*100</f>
        <v>0</v>
      </c>
      <c r="AQ461" s="254">
        <f>(ASINH(FMS_Ranking4[[#This Row],[Residential Structures Removed Raw]]))*(10)/(ASINH(AN$4))</f>
        <v>0</v>
      </c>
      <c r="AR461" s="253">
        <f>_xlfn.XLOOKUP(FMS_Ranking4[[#This Row],[FMS ID]],FMS_Input[FMS_ID],FMS_Input[REMPOP100])</f>
        <v>0</v>
      </c>
      <c r="AS461" s="259">
        <f>(ASINH(FMS_Ranking4[[#This Row],[Removed Pop Raw]]))*(10)/(ASINH(AR$4))</f>
        <v>0</v>
      </c>
      <c r="AT461" s="262">
        <f>FMS_Ranking4[[#This Row],[Removed population, ArcSinh (0-10)]]*AR$5*10</f>
        <v>0</v>
      </c>
      <c r="AU461" s="264">
        <f>_xlfn.XLOOKUP(FMS_Ranking4[[#This Row],[FMS ID]],FMS_Input[FMS_ID],FMS_Input[REMCRITFAC100])</f>
        <v>0</v>
      </c>
      <c r="AV461" s="264">
        <f>_xlfn.XLOOKUP(FMS_Ranking4[[#This Row],[FMS ID]],FMS_Input[FMS_ID],FMS_Input[REMLWC100])</f>
        <v>0</v>
      </c>
      <c r="AW461" s="264">
        <f>_xlfn.XLOOKUP(FMS_Ranking4[[#This Row],[FMS ID]],FMS_Input[FMS_ID],FMS_Input[REMROADCLS])</f>
        <v>0</v>
      </c>
      <c r="AX461" s="264">
        <f>_xlfn.XLOOKUP(FMS_Ranking4[[#This Row],[FMS ID]],FMS_Input[FMS_ID],FMS_Input[REMFRMACRE100])</f>
        <v>0</v>
      </c>
      <c r="AY461" s="258">
        <f>_xlfn.XLOOKUP(FMS_Ranking4[[#This Row],[FMS ID]],FMS_Input[FMS_ID],FMS_Input[COSTSTRUCT])</f>
        <v>0</v>
      </c>
      <c r="AZ461" s="253">
        <f>_xlfn.XLOOKUP(FMS_Ranking4[[#This Row],[FMS ID]],FMS_Input[FMS_ID],FMS_Input[NATURE])</f>
        <v>0</v>
      </c>
      <c r="BA461" s="262">
        <f>(((FMS_Ranking4[[#This Row],[% NBS Raw]]/AZ$4)*100)*AZ$5)</f>
        <v>0</v>
      </c>
      <c r="BB461" s="251" t="str">
        <f>_xlfn.XLOOKUP(FMS_Ranking4[[#This Row],[FMS ID]],FMS_Input[FMS_ID],FMS_Input[WATER_SUP])</f>
        <v>No</v>
      </c>
      <c r="BC461" s="265">
        <f>IF(FMS_Ranking4[[#This Row],[Water Supply Raw]]="Yes",10,0)</f>
        <v>0</v>
      </c>
      <c r="BD461" s="266">
        <f>_xlfn.XLOOKUP(FMS_Ranking4[[#This Row],[FMS Type]],FMS_TYPE[FMS_Type],FMS_TYPE[Score])</f>
        <v>6</v>
      </c>
      <c r="BE461" s="267">
        <f>FMS_Ranking4[[#This Row],[FMS_Type Score]]*$BD$5*10</f>
        <v>1.5000000000000002</v>
      </c>
      <c r="BF46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0.13585881243451445</v>
      </c>
      <c r="BG461" s="271">
        <f>_xlfn.RANK.EQ(BF461,$BF$8:$BF$870,0)+COUNTIF($BF$8:BF461,BF461)-1</f>
        <v>424</v>
      </c>
      <c r="BH461" s="268">
        <f>(((FMS_Ranking4[[#This Row],[Structures Removed Raw]]/AK$4)*100)*AK$5)+(((FMS_Ranking4[[#This Row],[Removed Pop Raw]]/AR$4)*100)*AR$5)</f>
        <v>0</v>
      </c>
      <c r="BI46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1.6358588124345146</v>
      </c>
      <c r="BJ461" s="205">
        <f>_xlfn.RANK.EQ(FMS_Ranking4[[#This Row],[Total Score 
(with linear
normalization)]],FMS_Ranking4[Total Score 
(with linear
normalization)],0)</f>
        <v>559</v>
      </c>
      <c r="BK461" s="205" t="e">
        <f>_xlfn.XLOOKUP(FMS_Ranking4[[#This Row],[FMS ID]],#REF!,#REF!)</f>
        <v>#REF!</v>
      </c>
      <c r="BL46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19.993902394909128</v>
      </c>
      <c r="BM461" s="272">
        <f>FMS_Ranking4[[#This Row],[ArcSinh Score Based on Normalized Reported Factors]]+FMS_Ranking4[[#This Row],[% NBS Score (Normalized)]]+(FMS_Ranking4[[#This Row],[Water Supply Score (Normalized)]]*10*$BB$5)+FMS_Ranking4[[#This Row],[FMS_Type Score Weighted]]</f>
        <v>21.493902394909128</v>
      </c>
      <c r="BN461" s="205">
        <f>_xlfn.RANK.EQ(FMS_Ranking4[[#This Row],[Total Score (with ArcSinh normalization of select criteria)]],FMS_Ranking4[Total Score (with ArcSinh normalization of select criteria)],0)</f>
        <v>454</v>
      </c>
      <c r="BO461" s="270" t="str">
        <f>_xlfn.XLOOKUP(FMS_Ranking4[[#This Row],[FMS ID]],FMS_Input[FMS_ID],FMS_Input[FMS_RANK_YEAR])</f>
        <v>2025 Amended Plan</v>
      </c>
      <c r="BP461" s="204" t="e">
        <f>_xlfn.XLOOKUP(FMS_Ranking4[[#This Row],[FMS ID]],Prev_Rank[FMS ID],Prev_Rank[Prev Rank])</f>
        <v>#N/A</v>
      </c>
      <c r="BQ461" s="205" t="e">
        <f>_xlfn.XLOOKUP(FMS_Ranking4[[#This Row],[FMS ID]],#REF!,#REF!)</f>
        <v>#REF!</v>
      </c>
      <c r="BR461" s="199" t="e">
        <f>SUM(#REF!,#REF!,#REF!,#REF!,#REF!,#REF!,#REF!,#REF!,#REF!,FMS_Ranking4[[#This Row],[ArcSinh Res struct removed 0-10]],#REF!)</f>
        <v>#REF!</v>
      </c>
      <c r="BS461" s="199" t="e">
        <f>FMS_Ranking4[[#This Row],[Log Score Based on Normalized Reported Factors]]+FMS_Ranking4[[#This Row],[% NBS Score (Normalized)]]+(FMS_Ranking4[[#This Row],[Water Supply Score (Normalized)]]*10*$BB$5)+(FMS_Ranking4[[#This Row],[FMS_Type Score Weighted]])</f>
        <v>#REF!</v>
      </c>
      <c r="BT461" s="200" t="e">
        <f>_xlfn.RANK.EQ(FMS_Ranking4[[#This Row],[Log Total Score]],FMS_Ranking4[Log Total Score],0)</f>
        <v>#REF!</v>
      </c>
      <c r="BU461" s="200" t="e">
        <f>_xlfn.XLOOKUP(FMS_Ranking4[[#This Row],[FMS ID]],#REF!,#REF!)</f>
        <v>#REF!</v>
      </c>
      <c r="BV461" s="200">
        <f>FMS_Ranking4[[#This Row],[Region Number]]</f>
        <v>5</v>
      </c>
      <c r="BW461" s="200">
        <f>FMS_Ranking4[[#This Row],[Rank (with ArcSinh normalization of select criteria)]]-FMS_Ranking4[[#This Row],[Rank
(with linear
normalization)]]</f>
        <v>-105</v>
      </c>
      <c r="BX461" s="200" t="e">
        <f>FMS_Ranking4[[#This Row],[Log Rank]]-FMS_Ranking4[[#This Row],[Rank
(with linear
normalization)]]</f>
        <v>#REF!</v>
      </c>
      <c r="BY461" s="200" t="str">
        <f>IF(FMS_Ranking4[[#This Row],[FMS Type]]="Flood Measurement and Warning",FMS_Ranking4[[#This Row],[Rank (with ArcSinh normalization of select criteria)]],"")</f>
        <v/>
      </c>
      <c r="BZ461" s="200" t="str">
        <f>IF(FMS_Ranking4[[#This Row],[FMS Type]]="Regulatory and Guidance",FMS_Ranking4[[#This Row],[Rank (with ArcSinh normalization of select criteria)]],"")</f>
        <v/>
      </c>
      <c r="CA461" s="200">
        <f>IF(FMS_Ranking4[[#This Row],[FMS Type]]="Education and Outreach",FMS_Ranking4[[#This Row],[Rank (with ArcSinh normalization of select criteria)]],"")</f>
        <v>454</v>
      </c>
      <c r="CB461" s="200" t="str">
        <f>IF(FMS_Ranking4[[#This Row],[FMS Type]]="Property Acquisition and Structural Elevation",FMS_Ranking4[[#This Row],[Rank (with ArcSinh normalization of select criteria)]],"")</f>
        <v/>
      </c>
      <c r="CC461" s="200" t="str">
        <f>IF(FMS_Ranking4[[#This Row],[FMS Type]]="Infrastructure Projects",FMS_Ranking4[[#This Row],[Rank (with ArcSinh normalization of select criteria)]],"")</f>
        <v/>
      </c>
      <c r="CD461" s="200" t="str">
        <f>IF(FMS_Ranking4[[#This Row],[FMS Type]]="Other",FMS_Ranking4[[#This Row],[Rank (with ArcSinh normalization of select criteria)]],"")</f>
        <v/>
      </c>
      <c r="CE461" s="201"/>
      <c r="CF461" s="206"/>
      <c r="CG461" s="206"/>
      <c r="CH461" s="206"/>
      <c r="CI461" s="206"/>
      <c r="CJ461" s="206"/>
      <c r="CK461" s="206"/>
      <c r="CL461" s="206"/>
      <c r="CM461" s="206"/>
      <c r="CN461" s="206"/>
      <c r="CO461" s="206"/>
      <c r="CP461" s="206"/>
      <c r="CQ461" s="206"/>
      <c r="CR461" s="206"/>
    </row>
    <row r="462" spans="2:96" ht="105" x14ac:dyDescent="0.25">
      <c r="B462" s="341" t="s">
        <v>12394</v>
      </c>
      <c r="C462" s="246">
        <f>_xlfn.XLOOKUP(FMS_Ranking4[[#This Row],[FMS ID]],FMS_Input[FMS_ID],FMS_Input[RFPG_NUM])</f>
        <v>5</v>
      </c>
      <c r="D462" s="309" t="str">
        <f>_xlfn.XLOOKUP(FMS_Ranking4[[#This Row],[FMS ID]],FMS_Input[FMS_ID],FMS_Input[FMS_NAME])</f>
        <v>City of Vidor Flood Preparedness Education Program</v>
      </c>
      <c r="E462" s="308" t="str">
        <f>_xlfn.XLOOKUP(FMS_Ranking4[[#This Row],[FMS ID]],FMS_Input[FMS_ID],FMS_Input[SPONSOR])</f>
        <v>00000027</v>
      </c>
      <c r="F462" s="309" t="str">
        <f>_xlfn.XLOOKUP(FMS_Ranking4[[#This Row],[FMS ID]],Sponsor[FMS_ID],Sponsor[SPONSOR NAME])</f>
        <v>Orange</v>
      </c>
      <c r="G462" s="309" t="str">
        <f>_xlfn.XLOOKUP(FMS_Ranking4[[#This Row],[FMS ID]],FMS_Input[FMS_ID],FMS_Input[FMS_DESCR])</f>
        <v>The City will provide public education on the dangers of flash flooding, and to inform residents of mitigation actions to reduce risk to citizens, public infrastructure, private property owners, businesses and schools.</v>
      </c>
      <c r="H462" s="248" t="str">
        <f>_xlfn.XLOOKUP(FMS_Ranking4[[#This Row],[FMS ID]],FMS_Input[FMS_ID],FMS_Input[FMS_TYPE])</f>
        <v>Education and Outreach</v>
      </c>
      <c r="I462" s="249">
        <f>_xlfn.XLOOKUP(FMS_Ranking4[[#This Row],[FMS ID]],FMS_Input[FMS_ID],FMS_Input[NRNC_COST])</f>
        <v>50000</v>
      </c>
      <c r="J462" s="250">
        <f>_xlfn.XLOOKUP(FMS_Ranking4[[#This Row],[FMS ID]],FMS_Input[FMS_ID],FMS_Input[FMS_COST])</f>
        <v>50000</v>
      </c>
      <c r="K462" s="251" t="str">
        <f>_xlfn.XLOOKUP(FMS_Ranking4[[#This Row],[FMS ID]],FMS_Input[FMS_ID],FMS_Input[EMER_NEED])</f>
        <v>Yes</v>
      </c>
      <c r="L462" s="252">
        <f t="shared" si="7"/>
        <v>1</v>
      </c>
      <c r="M462" s="253">
        <f>_xlfn.XLOOKUP(FMS_Ranking4[[#This Row],[FMS ID]],FMS_Input[FMS_ID],FMS_Input[STRUCT_100])</f>
        <v>541</v>
      </c>
      <c r="N462" s="255">
        <f>(ASINH(FMS_Ranking4[[#This Row],[Structure at Risk Raw]]))*(10)/(ASINH(M$4))</f>
        <v>5.49248216328927</v>
      </c>
      <c r="O462" s="256">
        <f>FMS_Ranking4[[#This Row],[Structures at risk, ArcSinh (0-10)]]*M$5*10</f>
        <v>5.4924821632892709</v>
      </c>
      <c r="P462" s="253">
        <f>_xlfn.XLOOKUP(FMS_Ranking4[[#This Row],[FMS ID]],FMS_Input[FMS_ID],FMS_Input[RES_STRUCT100])</f>
        <v>416</v>
      </c>
      <c r="Q462" s="257">
        <f>ASINH(FMS_Ranking4[[#This Row],[Res Structure Raw]])/Q$4*P$5*100</f>
        <v>0</v>
      </c>
      <c r="R462" s="253">
        <f>_xlfn.XLOOKUP(FMS_Ranking4[[#This Row],[FMS ID]],FMS_Input[FMS_ID],FMS_Input[POP100])</f>
        <v>1143</v>
      </c>
      <c r="S462" s="259">
        <f>(ASINH(FMS_Ranking4[[#This Row],[Pop at Risk Raw]]))*(10)/(ASINH(R$4))</f>
        <v>5.3396163923788009</v>
      </c>
      <c r="T462" s="256">
        <f>FMS_Ranking4[[#This Row],[Population at risk, ArcSinh (0-10)]]*R$5*10</f>
        <v>5.3396163923788009</v>
      </c>
      <c r="U462" s="253">
        <f>_xlfn.XLOOKUP(FMS_Ranking4[[#This Row],[FMS ID]],FMS_Input[FMS_ID],FMS_Input[CRITFAC100])</f>
        <v>1</v>
      </c>
      <c r="V462" s="259">
        <f>(ASINH(FMS_Ranking4[[#This Row],[Critical Facilities Raw]]))*(10)/(ASINH(U$4))</f>
        <v>1.0433384451410745</v>
      </c>
      <c r="W462" s="256">
        <f>FMS_Ranking4[[#This Row],[Critical facilities at risk, ArcSinh (0-10)]]*U$5*10</f>
        <v>1.0433384451410745</v>
      </c>
      <c r="X462" s="253">
        <f>_xlfn.XLOOKUP(FMS_Ranking4[[#This Row],[FMS ID]],FMS_Input[FMS_ID],FMS_Input[LWC])</f>
        <v>5</v>
      </c>
      <c r="Y462" s="259">
        <f>(ASINH(FMS_Ranking4[[#This Row],[LWC Raw]]))*(10)/(ASINH(X$4))</f>
        <v>3.1327475801820781</v>
      </c>
      <c r="Z462" s="256">
        <f>FMS_Ranking4[[#This Row],[LWC, ArcSInh (0-10)]]*X$5*10</f>
        <v>3.1327475801820781</v>
      </c>
      <c r="AA462" s="253">
        <f>_xlfn.XLOOKUP(FMS_Ranking4[[#This Row],[FMS ID]],FMS_Input[FMS_ID],FMS_Input[ROADCLS])</f>
        <v>5</v>
      </c>
      <c r="AB462" s="255">
        <f>(ASINH(FMS_Ranking4[[#This Row],[Road Closures Raw]]))*(10)/(ASINH(AA$4))</f>
        <v>2.4081922896382904</v>
      </c>
      <c r="AC462" s="256">
        <f>FMS_Ranking4[[#This Row],[Road closures, ArcSinh (0-10)]]*AA$5*10</f>
        <v>1.2040961448191452</v>
      </c>
      <c r="AD462" s="253">
        <f>_xlfn.XLOOKUP(FMS_Ranking4[[#This Row],[FMS ID]],FMS_Input[FMS_ID],FMS_Input[ROAD_MILES100])</f>
        <v>13</v>
      </c>
      <c r="AE462" s="259">
        <f>(ASINH(FMS_Ranking4[[#This Row],[Road Miles Raw]]))*(10)/(ASINH(AD$4))</f>
        <v>3.473807557544454</v>
      </c>
      <c r="AF462" s="256">
        <f>FMS_Ranking4[[#This Row],[Length of roads at risk, ArcSinh (0-10)]]*AD$5*10</f>
        <v>3.4738075575444545</v>
      </c>
      <c r="AG462" s="253">
        <f>_xlfn.XLOOKUP(FMS_Ranking4[[#This Row],[FMS ID]],FMS_Input[FMS_ID],FMS_Input[FARMACRE100])</f>
        <v>1.0961142778396611</v>
      </c>
      <c r="AH462" s="255">
        <f>(ASINH(FMS_Ranking4[[#This Row],[Ag Land Raw]]))*(10)/(ASINH(AG$4))</f>
        <v>0.61562822310861065</v>
      </c>
      <c r="AI462" s="260">
        <f>FMS_Ranking4[[#This Row],[Farm &amp; ranch land, ArcSinh (0-10)]]*AG$5*10</f>
        <v>0.30781411155430533</v>
      </c>
      <c r="AJ462" s="258">
        <f>_xlfn.XLOOKUP(FMS_Ranking4[[#This Row],[FMS ID]],FMS_Input[FMS_ID],FMS_Input[REDSTRUCT100])</f>
        <v>0</v>
      </c>
      <c r="AK462" s="253">
        <f>_xlfn.XLOOKUP(FMS_Ranking4[[#This Row],[FMS ID]],FMS_Input[FMS_ID],FMS_Input[REMSTRC100])</f>
        <v>0</v>
      </c>
      <c r="AL462" s="259">
        <f>(ASINH(FMS_Ranking4[[#This Row],[Structures Removed Raw]]))*(10)/(ASINH(AK$4))</f>
        <v>0</v>
      </c>
      <c r="AM462" s="262">
        <f>FMS_Ranking4[[#This Row],[Structures removed, ArcSinh (0-10)]]*AK$5*10</f>
        <v>0</v>
      </c>
      <c r="AN462" s="253">
        <f>_xlfn.XLOOKUP(FMS_Ranking4[[#This Row],[FMS ID]],FMS_Input[FMS_ID],FMS_Input[REMRESSTRC100])</f>
        <v>0</v>
      </c>
      <c r="AO462" s="261">
        <f>FMS_Ranking4[[#This Row],[ArcSinh Res struct removed 0-10]]*AN$5*10</f>
        <v>0</v>
      </c>
      <c r="AP462" s="260">
        <f>ASINH(FMS_Ranking4[[#This Row],[Residential Structures Removed Raw]])/AP$4*AN$5*100</f>
        <v>0</v>
      </c>
      <c r="AQ462" s="254">
        <f>(ASINH(FMS_Ranking4[[#This Row],[Residential Structures Removed Raw]]))*(10)/(ASINH(AN$4))</f>
        <v>0</v>
      </c>
      <c r="AR462" s="253">
        <f>_xlfn.XLOOKUP(FMS_Ranking4[[#This Row],[FMS ID]],FMS_Input[FMS_ID],FMS_Input[REMPOP100])</f>
        <v>0</v>
      </c>
      <c r="AS462" s="259">
        <f>(ASINH(FMS_Ranking4[[#This Row],[Removed Pop Raw]]))*(10)/(ASINH(AR$4))</f>
        <v>0</v>
      </c>
      <c r="AT462" s="262">
        <f>FMS_Ranking4[[#This Row],[Removed population, ArcSinh (0-10)]]*AR$5*10</f>
        <v>0</v>
      </c>
      <c r="AU462" s="264">
        <f>_xlfn.XLOOKUP(FMS_Ranking4[[#This Row],[FMS ID]],FMS_Input[FMS_ID],FMS_Input[REMCRITFAC100])</f>
        <v>0</v>
      </c>
      <c r="AV462" s="264">
        <f>_xlfn.XLOOKUP(FMS_Ranking4[[#This Row],[FMS ID]],FMS_Input[FMS_ID],FMS_Input[REMLWC100])</f>
        <v>0</v>
      </c>
      <c r="AW462" s="264">
        <f>_xlfn.XLOOKUP(FMS_Ranking4[[#This Row],[FMS ID]],FMS_Input[FMS_ID],FMS_Input[REMROADCLS])</f>
        <v>0</v>
      </c>
      <c r="AX462" s="264">
        <f>_xlfn.XLOOKUP(FMS_Ranking4[[#This Row],[FMS ID]],FMS_Input[FMS_ID],FMS_Input[REMFRMACRE100])</f>
        <v>0</v>
      </c>
      <c r="AY462" s="258">
        <f>_xlfn.XLOOKUP(FMS_Ranking4[[#This Row],[FMS ID]],FMS_Input[FMS_ID],FMS_Input[COSTSTRUCT])</f>
        <v>0</v>
      </c>
      <c r="AZ462" s="253">
        <f>_xlfn.XLOOKUP(FMS_Ranking4[[#This Row],[FMS ID]],FMS_Input[FMS_ID],FMS_Input[NATURE])</f>
        <v>0</v>
      </c>
      <c r="BA462" s="262">
        <f>(((FMS_Ranking4[[#This Row],[% NBS Raw]]/AZ$4)*100)*AZ$5)</f>
        <v>0</v>
      </c>
      <c r="BB462" s="251" t="str">
        <f>_xlfn.XLOOKUP(FMS_Ranking4[[#This Row],[FMS ID]],FMS_Input[FMS_ID],FMS_Input[WATER_SUP])</f>
        <v>No</v>
      </c>
      <c r="BC462" s="265">
        <f>IF(FMS_Ranking4[[#This Row],[Water Supply Raw]]="Yes",10,0)</f>
        <v>0</v>
      </c>
      <c r="BD462" s="266">
        <f>_xlfn.XLOOKUP(FMS_Ranking4[[#This Row],[FMS Type]],FMS_TYPE[FMS_Type],FMS_TYPE[Score])</f>
        <v>6</v>
      </c>
      <c r="BE462" s="267">
        <f>FMS_Ranking4[[#This Row],[FMS_Type Score]]*$BD$5*10</f>
        <v>1.5000000000000002</v>
      </c>
      <c r="BF46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0.13585881243451445</v>
      </c>
      <c r="BG462" s="271">
        <f>_xlfn.RANK.EQ(BF462,$BF$8:$BF$870,0)+COUNTIF($BF$8:BF462,BF462)-1</f>
        <v>425</v>
      </c>
      <c r="BH462" s="268">
        <f>(((FMS_Ranking4[[#This Row],[Structures Removed Raw]]/AK$4)*100)*AK$5)+(((FMS_Ranking4[[#This Row],[Removed Pop Raw]]/AR$4)*100)*AR$5)</f>
        <v>0</v>
      </c>
      <c r="BI46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1.6358588124345146</v>
      </c>
      <c r="BJ462" s="205">
        <f>_xlfn.RANK.EQ(FMS_Ranking4[[#This Row],[Total Score 
(with linear
normalization)]],FMS_Ranking4[Total Score 
(with linear
normalization)],0)</f>
        <v>559</v>
      </c>
      <c r="BK462" s="205" t="e">
        <f>_xlfn.XLOOKUP(FMS_Ranking4[[#This Row],[FMS ID]],#REF!,#REF!)</f>
        <v>#REF!</v>
      </c>
      <c r="BL46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19.993902394909128</v>
      </c>
      <c r="BM462" s="272">
        <f>FMS_Ranking4[[#This Row],[ArcSinh Score Based on Normalized Reported Factors]]+FMS_Ranking4[[#This Row],[% NBS Score (Normalized)]]+(FMS_Ranking4[[#This Row],[Water Supply Score (Normalized)]]*10*$BB$5)+FMS_Ranking4[[#This Row],[FMS_Type Score Weighted]]</f>
        <v>21.493902394909128</v>
      </c>
      <c r="BN462" s="205">
        <f>_xlfn.RANK.EQ(FMS_Ranking4[[#This Row],[Total Score (with ArcSinh normalization of select criteria)]],FMS_Ranking4[Total Score (with ArcSinh normalization of select criteria)],0)</f>
        <v>454</v>
      </c>
      <c r="BO462" s="270" t="str">
        <f>_xlfn.XLOOKUP(FMS_Ranking4[[#This Row],[FMS ID]],FMS_Input[FMS_ID],FMS_Input[FMS_RANK_YEAR])</f>
        <v>2025 Amended Plan</v>
      </c>
      <c r="BP462" s="204" t="e">
        <f>_xlfn.XLOOKUP(FMS_Ranking4[[#This Row],[FMS ID]],Prev_Rank[FMS ID],Prev_Rank[Prev Rank])</f>
        <v>#N/A</v>
      </c>
      <c r="BQ462" s="205" t="e">
        <f>_xlfn.XLOOKUP(FMS_Ranking4[[#This Row],[FMS ID]],#REF!,#REF!)</f>
        <v>#REF!</v>
      </c>
      <c r="BR462" s="199" t="e">
        <f>SUM(#REF!,#REF!,#REF!,#REF!,#REF!,#REF!,#REF!,#REF!,#REF!,FMS_Ranking4[[#This Row],[ArcSinh Res struct removed 0-10]],#REF!)</f>
        <v>#REF!</v>
      </c>
      <c r="BS462" s="199" t="e">
        <f>FMS_Ranking4[[#This Row],[Log Score Based on Normalized Reported Factors]]+FMS_Ranking4[[#This Row],[% NBS Score (Normalized)]]+(FMS_Ranking4[[#This Row],[Water Supply Score (Normalized)]]*10*$BB$5)+(FMS_Ranking4[[#This Row],[FMS_Type Score Weighted]])</f>
        <v>#REF!</v>
      </c>
      <c r="BT462" s="200" t="e">
        <f>_xlfn.RANK.EQ(FMS_Ranking4[[#This Row],[Log Total Score]],FMS_Ranking4[Log Total Score],0)</f>
        <v>#REF!</v>
      </c>
      <c r="BU462" s="200" t="e">
        <f>_xlfn.XLOOKUP(FMS_Ranking4[[#This Row],[FMS ID]],#REF!,#REF!)</f>
        <v>#REF!</v>
      </c>
      <c r="BV462" s="200">
        <f>FMS_Ranking4[[#This Row],[Region Number]]</f>
        <v>5</v>
      </c>
      <c r="BW462" s="200">
        <f>FMS_Ranking4[[#This Row],[Rank (with ArcSinh normalization of select criteria)]]-FMS_Ranking4[[#This Row],[Rank
(with linear
normalization)]]</f>
        <v>-105</v>
      </c>
      <c r="BX462" s="200" t="e">
        <f>FMS_Ranking4[[#This Row],[Log Rank]]-FMS_Ranking4[[#This Row],[Rank
(with linear
normalization)]]</f>
        <v>#REF!</v>
      </c>
      <c r="BY462" s="200" t="str">
        <f>IF(FMS_Ranking4[[#This Row],[FMS Type]]="Flood Measurement and Warning",FMS_Ranking4[[#This Row],[Rank (with ArcSinh normalization of select criteria)]],"")</f>
        <v/>
      </c>
      <c r="BZ462" s="200" t="str">
        <f>IF(FMS_Ranking4[[#This Row],[FMS Type]]="Regulatory and Guidance",FMS_Ranking4[[#This Row],[Rank (with ArcSinh normalization of select criteria)]],"")</f>
        <v/>
      </c>
      <c r="CA462" s="200">
        <f>IF(FMS_Ranking4[[#This Row],[FMS Type]]="Education and Outreach",FMS_Ranking4[[#This Row],[Rank (with ArcSinh normalization of select criteria)]],"")</f>
        <v>454</v>
      </c>
      <c r="CB462" s="200" t="str">
        <f>IF(FMS_Ranking4[[#This Row],[FMS Type]]="Property Acquisition and Structural Elevation",FMS_Ranking4[[#This Row],[Rank (with ArcSinh normalization of select criteria)]],"")</f>
        <v/>
      </c>
      <c r="CC462" s="200" t="str">
        <f>IF(FMS_Ranking4[[#This Row],[FMS Type]]="Infrastructure Projects",FMS_Ranking4[[#This Row],[Rank (with ArcSinh normalization of select criteria)]],"")</f>
        <v/>
      </c>
      <c r="CD462" s="200" t="str">
        <f>IF(FMS_Ranking4[[#This Row],[FMS Type]]="Other",FMS_Ranking4[[#This Row],[Rank (with ArcSinh normalization of select criteria)]],"")</f>
        <v/>
      </c>
      <c r="CE462" s="201"/>
      <c r="CF462" s="206"/>
      <c r="CG462" s="206"/>
      <c r="CH462" s="206"/>
      <c r="CI462" s="206"/>
      <c r="CJ462" s="206"/>
      <c r="CK462" s="206"/>
      <c r="CL462" s="206"/>
      <c r="CM462" s="206"/>
      <c r="CN462" s="206"/>
      <c r="CO462" s="206"/>
      <c r="CP462" s="206"/>
      <c r="CQ462" s="206"/>
      <c r="CR462" s="206"/>
    </row>
    <row r="463" spans="2:96" ht="60" x14ac:dyDescent="0.25">
      <c r="B463" s="341" t="s">
        <v>4256</v>
      </c>
      <c r="C463" s="246">
        <f>_xlfn.XLOOKUP(FMS_Ranking4[[#This Row],[FMS ID]],FMS_Input[FMS_ID],FMS_Input[RFPG_NUM])</f>
        <v>15</v>
      </c>
      <c r="D463" s="309" t="str">
        <f>_xlfn.XLOOKUP(FMS_Ranking4[[#This Row],[FMS ID]],FMS_Input[FMS_ID],FMS_Input[FMS_NAME])</f>
        <v>City of Elsa - Flood Warning System, planning, operation &amp; maintenance</v>
      </c>
      <c r="E463" s="308" t="str">
        <f>_xlfn.XLOOKUP(FMS_Ranking4[[#This Row],[FMS ID]],FMS_Input[FMS_ID],FMS_Input[SPONSOR])</f>
        <v>15000057</v>
      </c>
      <c r="F463" s="309" t="str">
        <f>_xlfn.XLOOKUP(FMS_Ranking4[[#This Row],[FMS ID]],Sponsor[FMS_ID],Sponsor[SPONSOR NAME])</f>
        <v>Elsa</v>
      </c>
      <c r="G463" s="309" t="str">
        <f>_xlfn.XLOOKUP(FMS_Ranking4[[#This Row],[FMS ID]],FMS_Input[FMS_ID],FMS_Input[FMS_DESCR])</f>
        <v>Develop and Implement a Flood Warning System, planning, operation &amp; Maintenance plan</v>
      </c>
      <c r="H463" s="248" t="str">
        <f>_xlfn.XLOOKUP(FMS_Ranking4[[#This Row],[FMS ID]],FMS_Input[FMS_ID],FMS_Input[FMS_TYPE])</f>
        <v>Flood Measurement and Warning</v>
      </c>
      <c r="I463" s="249">
        <f>_xlfn.XLOOKUP(FMS_Ranking4[[#This Row],[FMS ID]],FMS_Input[FMS_ID],FMS_Input[NRNC_COST])</f>
        <v>600000</v>
      </c>
      <c r="J463" s="250">
        <f>_xlfn.XLOOKUP(FMS_Ranking4[[#This Row],[FMS ID]],FMS_Input[FMS_ID],FMS_Input[FMS_COST])</f>
        <v>5000000</v>
      </c>
      <c r="K463" s="251" t="str">
        <f>_xlfn.XLOOKUP(FMS_Ranking4[[#This Row],[FMS ID]],FMS_Input[FMS_ID],FMS_Input[EMER_NEED])</f>
        <v>Yes</v>
      </c>
      <c r="L463" s="252">
        <f t="shared" si="7"/>
        <v>1</v>
      </c>
      <c r="M463" s="253">
        <f>_xlfn.XLOOKUP(FMS_Ranking4[[#This Row],[FMS ID]],FMS_Input[FMS_ID],FMS_Input[STRUCT_100])</f>
        <v>1733</v>
      </c>
      <c r="N463" s="255">
        <f>(ASINH(FMS_Ranking4[[#This Row],[Structure at Risk Raw]]))*(10)/(ASINH(M$4))</f>
        <v>6.4077082461521799</v>
      </c>
      <c r="O463" s="256">
        <f>FMS_Ranking4[[#This Row],[Structures at risk, ArcSinh (0-10)]]*M$5*10</f>
        <v>6.4077082461521808</v>
      </c>
      <c r="P463" s="253">
        <f>_xlfn.XLOOKUP(FMS_Ranking4[[#This Row],[FMS ID]],FMS_Input[FMS_ID],FMS_Input[RES_STRUCT100])</f>
        <v>1351</v>
      </c>
      <c r="Q463" s="257">
        <f>ASINH(FMS_Ranking4[[#This Row],[Res Structure Raw]])/Q$4*P$5*100</f>
        <v>0</v>
      </c>
      <c r="R463" s="253">
        <f>_xlfn.XLOOKUP(FMS_Ranking4[[#This Row],[FMS ID]],FMS_Input[FMS_ID],FMS_Input[POP100])</f>
        <v>6973</v>
      </c>
      <c r="S463" s="255">
        <f>(ASINH(FMS_Ranking4[[#This Row],[Pop at Risk Raw]]))*(10)/(ASINH(R$4))</f>
        <v>6.5880525840116171</v>
      </c>
      <c r="T463" s="256">
        <f>FMS_Ranking4[[#This Row],[Population at risk, ArcSinh (0-10)]]*R$5*10</f>
        <v>6.588052584011618</v>
      </c>
      <c r="U463" s="253">
        <f>_xlfn.XLOOKUP(FMS_Ranking4[[#This Row],[FMS ID]],FMS_Input[FMS_ID],FMS_Input[CRITFAC100])</f>
        <v>0</v>
      </c>
      <c r="V463" s="255">
        <f>(ASINH(FMS_Ranking4[[#This Row],[Critical Facilities Raw]]))*(10)/(ASINH(U$4))</f>
        <v>0</v>
      </c>
      <c r="W463" s="256">
        <f>FMS_Ranking4[[#This Row],[Critical facilities at risk, ArcSinh (0-10)]]*U$5*10</f>
        <v>0</v>
      </c>
      <c r="X463" s="253">
        <f>_xlfn.XLOOKUP(FMS_Ranking4[[#This Row],[FMS ID]],FMS_Input[FMS_ID],FMS_Input[LWC])</f>
        <v>0</v>
      </c>
      <c r="Y463" s="255">
        <f>(ASINH(FMS_Ranking4[[#This Row],[LWC Raw]]))*(10)/(ASINH(X$4))</f>
        <v>0</v>
      </c>
      <c r="Z463" s="256">
        <f>FMS_Ranking4[[#This Row],[LWC, ArcSInh (0-10)]]*X$5*10</f>
        <v>0</v>
      </c>
      <c r="AA463" s="253">
        <f>_xlfn.XLOOKUP(FMS_Ranking4[[#This Row],[FMS ID]],FMS_Input[FMS_ID],FMS_Input[ROADCLS])</f>
        <v>0</v>
      </c>
      <c r="AB463" s="255">
        <f>(ASINH(FMS_Ranking4[[#This Row],[Road Closures Raw]]))*(10)/(ASINH(AA$4))</f>
        <v>0</v>
      </c>
      <c r="AC463" s="256">
        <f>FMS_Ranking4[[#This Row],[Road closures, ArcSinh (0-10)]]*AA$5*10</f>
        <v>0</v>
      </c>
      <c r="AD463" s="253">
        <f>_xlfn.XLOOKUP(FMS_Ranking4[[#This Row],[FMS ID]],FMS_Input[FMS_ID],FMS_Input[ROAD_MILES100])</f>
        <v>24</v>
      </c>
      <c r="AE463" s="255">
        <f>(ASINH(FMS_Ranking4[[#This Row],[Road Miles Raw]]))*(10)/(ASINH(AD$4))</f>
        <v>4.1260974697280659</v>
      </c>
      <c r="AF463" s="256">
        <f>FMS_Ranking4[[#This Row],[Length of roads at risk, ArcSinh (0-10)]]*AD$5*10</f>
        <v>4.1260974697280659</v>
      </c>
      <c r="AG463" s="253">
        <f>_xlfn.XLOOKUP(FMS_Ranking4[[#This Row],[FMS ID]],FMS_Input[FMS_ID],FMS_Input[FARMACRE100])</f>
        <v>157.23478698730469</v>
      </c>
      <c r="AH463" s="255">
        <f>(ASINH(FMS_Ranking4[[#This Row],[Ag Land Raw]]))*(10)/(ASINH(AG$4))</f>
        <v>3.7356764085161309</v>
      </c>
      <c r="AI463" s="260">
        <f>FMS_Ranking4[[#This Row],[Farm &amp; ranch land, ArcSinh (0-10)]]*AG$5*10</f>
        <v>1.8678382042580655</v>
      </c>
      <c r="AJ463" s="258">
        <f>_xlfn.XLOOKUP(FMS_Ranking4[[#This Row],[FMS ID]],FMS_Input[FMS_ID],FMS_Input[REDSTRUCT100])</f>
        <v>0</v>
      </c>
      <c r="AK463" s="253">
        <f>_xlfn.XLOOKUP(FMS_Ranking4[[#This Row],[FMS ID]],FMS_Input[FMS_ID],FMS_Input[REMSTRC100])</f>
        <v>0</v>
      </c>
      <c r="AL463" s="255">
        <f>(ASINH(FMS_Ranking4[[#This Row],[Structures Removed Raw]]))*(10)/(ASINH(AK$4))</f>
        <v>0</v>
      </c>
      <c r="AM463" s="262">
        <f>FMS_Ranking4[[#This Row],[Structures removed, ArcSinh (0-10)]]*AK$5*10</f>
        <v>0</v>
      </c>
      <c r="AN463" s="253">
        <f>_xlfn.XLOOKUP(FMS_Ranking4[[#This Row],[FMS ID]],FMS_Input[FMS_ID],FMS_Input[REMRESSTRC100])</f>
        <v>0</v>
      </c>
      <c r="AO463" s="261">
        <f>FMS_Ranking4[[#This Row],[ArcSinh Res struct removed 0-10]]*AN$5*10</f>
        <v>0</v>
      </c>
      <c r="AP463" s="260">
        <f>ASINH(FMS_Ranking4[[#This Row],[Residential Structures Removed Raw]])/AP$4*AN$5*100</f>
        <v>0</v>
      </c>
      <c r="AQ463" s="258">
        <f>(ASINH(FMS_Ranking4[[#This Row],[Residential Structures Removed Raw]]))*(10)/(ASINH(AN$4))</f>
        <v>0</v>
      </c>
      <c r="AR463" s="253">
        <f>_xlfn.XLOOKUP(FMS_Ranking4[[#This Row],[FMS ID]],FMS_Input[FMS_ID],FMS_Input[REMPOP100])</f>
        <v>0</v>
      </c>
      <c r="AS463" s="255">
        <f>(ASINH(FMS_Ranking4[[#This Row],[Removed Pop Raw]]))*(10)/(ASINH(AR$4))</f>
        <v>0</v>
      </c>
      <c r="AT463" s="262">
        <f>FMS_Ranking4[[#This Row],[Removed population, ArcSinh (0-10)]]*AR$5*10</f>
        <v>0</v>
      </c>
      <c r="AU463" s="264">
        <f>_xlfn.XLOOKUP(FMS_Ranking4[[#This Row],[FMS ID]],FMS_Input[FMS_ID],FMS_Input[REMCRITFAC100])</f>
        <v>0</v>
      </c>
      <c r="AV463" s="264">
        <f>_xlfn.XLOOKUP(FMS_Ranking4[[#This Row],[FMS ID]],FMS_Input[FMS_ID],FMS_Input[REMLWC100])</f>
        <v>0</v>
      </c>
      <c r="AW463" s="264">
        <f>_xlfn.XLOOKUP(FMS_Ranking4[[#This Row],[FMS ID]],FMS_Input[FMS_ID],FMS_Input[REMROADCLS])</f>
        <v>0</v>
      </c>
      <c r="AX463" s="264">
        <f>_xlfn.XLOOKUP(FMS_Ranking4[[#This Row],[FMS ID]],FMS_Input[FMS_ID],FMS_Input[REMFRMACRE100])</f>
        <v>0</v>
      </c>
      <c r="AY463" s="258">
        <f>_xlfn.XLOOKUP(FMS_Ranking4[[#This Row],[FMS ID]],FMS_Input[FMS_ID],FMS_Input[COSTSTRUCT])</f>
        <v>0</v>
      </c>
      <c r="AZ463" s="253">
        <f>_xlfn.XLOOKUP(FMS_Ranking4[[#This Row],[FMS ID]],FMS_Input[FMS_ID],FMS_Input[NATURE])</f>
        <v>0</v>
      </c>
      <c r="BA463" s="262">
        <f>(((FMS_Ranking4[[#This Row],[% NBS Raw]]/AZ$4)*100)*AZ$5)</f>
        <v>0</v>
      </c>
      <c r="BB463" s="251" t="str">
        <f>_xlfn.XLOOKUP(FMS_Ranking4[[#This Row],[FMS ID]],FMS_Input[FMS_ID],FMS_Input[WATER_SUP])</f>
        <v>No</v>
      </c>
      <c r="BC463" s="265">
        <f>IF(FMS_Ranking4[[#This Row],[Water Supply Raw]]="Yes",10,0)</f>
        <v>0</v>
      </c>
      <c r="BD463" s="266">
        <f>_xlfn.XLOOKUP(FMS_Ranking4[[#This Row],[FMS Type]],FMS_TYPE[FMS_Type],FMS_TYPE[Score])</f>
        <v>10</v>
      </c>
      <c r="BE463" s="267">
        <f>FMS_Ranking4[[#This Row],[FMS_Type Score]]*$BD$5*10</f>
        <v>2.5</v>
      </c>
      <c r="BF46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0.21571713442654544</v>
      </c>
      <c r="BG463" s="321">
        <f>_xlfn.RANK.EQ(BF463,$BF$8:$BF$870,0)+COUNTIF($BF$8:BF463,BF463)-1</f>
        <v>349</v>
      </c>
      <c r="BH463" s="294">
        <f>(((FMS_Ranking4[[#This Row],[Structures Removed Raw]]/AK$4)*100)*AK$5)+(((FMS_Ranking4[[#This Row],[Removed Pop Raw]]/AR$4)*100)*AR$5)</f>
        <v>0</v>
      </c>
      <c r="BI46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2.7157171344265456</v>
      </c>
      <c r="BJ463" s="251">
        <f>_xlfn.RANK.EQ(FMS_Ranking4[[#This Row],[Total Score 
(with linear
normalization)]],FMS_Ranking4[Total Score 
(with linear
normalization)],0)</f>
        <v>204</v>
      </c>
      <c r="BK463" s="251" t="e">
        <f>_xlfn.XLOOKUP(FMS_Ranking4[[#This Row],[FMS ID]],#REF!,#REF!)</f>
        <v>#REF!</v>
      </c>
      <c r="BL46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18.989696504149933</v>
      </c>
      <c r="BM463" s="324">
        <f>FMS_Ranking4[[#This Row],[ArcSinh Score Based on Normalized Reported Factors]]+FMS_Ranking4[[#This Row],[% NBS Score (Normalized)]]+(FMS_Ranking4[[#This Row],[Water Supply Score (Normalized)]]*10*$BB$5)+FMS_Ranking4[[#This Row],[FMS_Type Score Weighted]]</f>
        <v>21.489696504149933</v>
      </c>
      <c r="BN463" s="251">
        <f>_xlfn.RANK.EQ(FMS_Ranking4[[#This Row],[Total Score (with ArcSinh normalization of select criteria)]],FMS_Ranking4[Total Score (with ArcSinh normalization of select criteria)],0)</f>
        <v>456</v>
      </c>
      <c r="BO463" s="270" t="str">
        <f>_xlfn.XLOOKUP(FMS_Ranking4[[#This Row],[FMS ID]],FMS_Input[FMS_ID],FMS_Input[FMS_RANK_YEAR])</f>
        <v>2023 Amended Plan</v>
      </c>
      <c r="BP463" s="204">
        <f>_xlfn.XLOOKUP(FMS_Ranking4[[#This Row],[FMS ID]],Prev_Rank[FMS ID],Prev_Rank[Prev Rank])</f>
        <v>405</v>
      </c>
      <c r="BQ463" s="251" t="e">
        <f>_xlfn.XLOOKUP(FMS_Ranking4[[#This Row],[FMS ID]],#REF!,#REF!)</f>
        <v>#REF!</v>
      </c>
      <c r="BR463" s="199" t="e">
        <f>SUM(#REF!,#REF!,#REF!,#REF!,#REF!,#REF!,#REF!,#REF!,#REF!,FMS_Ranking4[[#This Row],[ArcSinh Res struct removed 0-10]],#REF!)</f>
        <v>#REF!</v>
      </c>
      <c r="BS463" s="199" t="e">
        <f>FMS_Ranking4[[#This Row],[Log Score Based on Normalized Reported Factors]]+FMS_Ranking4[[#This Row],[% NBS Score (Normalized)]]+(FMS_Ranking4[[#This Row],[Water Supply Score (Normalized)]]*10*$BB$5)+(FMS_Ranking4[[#This Row],[FMS_Type Score Weighted]])</f>
        <v>#REF!</v>
      </c>
      <c r="BT463" s="200" t="e">
        <f>_xlfn.RANK.EQ(FMS_Ranking4[[#This Row],[Log Total Score]],FMS_Ranking4[Log Total Score],0)</f>
        <v>#REF!</v>
      </c>
      <c r="BU463" s="200" t="e">
        <f>_xlfn.XLOOKUP(FMS_Ranking4[[#This Row],[FMS ID]],#REF!,#REF!)</f>
        <v>#REF!</v>
      </c>
      <c r="BV463" s="200">
        <f>FMS_Ranking4[[#This Row],[Region Number]]</f>
        <v>15</v>
      </c>
      <c r="BW463" s="200">
        <f>FMS_Ranking4[[#This Row],[Rank (with ArcSinh normalization of select criteria)]]-FMS_Ranking4[[#This Row],[Rank
(with linear
normalization)]]</f>
        <v>252</v>
      </c>
      <c r="BX463" s="200" t="e">
        <f>FMS_Ranking4[[#This Row],[Log Rank]]-FMS_Ranking4[[#This Row],[Rank
(with linear
normalization)]]</f>
        <v>#REF!</v>
      </c>
      <c r="BY463" s="200">
        <f>IF(FMS_Ranking4[[#This Row],[FMS Type]]="Flood Measurement and Warning",FMS_Ranking4[[#This Row],[Rank (with ArcSinh normalization of select criteria)]],"")</f>
        <v>456</v>
      </c>
      <c r="BZ463" s="200" t="str">
        <f>IF(FMS_Ranking4[[#This Row],[FMS Type]]="Regulatory and Guidance",FMS_Ranking4[[#This Row],[Rank (with ArcSinh normalization of select criteria)]],"")</f>
        <v/>
      </c>
      <c r="CA463" s="200" t="str">
        <f>IF(FMS_Ranking4[[#This Row],[FMS Type]]="Education and Outreach",FMS_Ranking4[[#This Row],[Rank (with ArcSinh normalization of select criteria)]],"")</f>
        <v/>
      </c>
      <c r="CB463" s="200" t="str">
        <f>IF(FMS_Ranking4[[#This Row],[FMS Type]]="Property Acquisition and Structural Elevation",FMS_Ranking4[[#This Row],[Rank (with ArcSinh normalization of select criteria)]],"")</f>
        <v/>
      </c>
      <c r="CC463" s="200" t="str">
        <f>IF(FMS_Ranking4[[#This Row],[FMS Type]]="Infrastructure Projects",FMS_Ranking4[[#This Row],[Rank (with ArcSinh normalization of select criteria)]],"")</f>
        <v/>
      </c>
      <c r="CD463" s="200" t="str">
        <f>IF(FMS_Ranking4[[#This Row],[FMS Type]]="Other",FMS_Ranking4[[#This Row],[Rank (with ArcSinh normalization of select criteria)]],"")</f>
        <v/>
      </c>
      <c r="CE463" s="201"/>
      <c r="CF463" s="206"/>
      <c r="CG463" s="206"/>
      <c r="CH463" s="206"/>
      <c r="CI463" s="206"/>
      <c r="CJ463" s="206"/>
      <c r="CK463" s="206"/>
      <c r="CL463" s="206"/>
      <c r="CM463" s="206"/>
      <c r="CN463" s="206"/>
      <c r="CO463" s="206"/>
      <c r="CP463" s="206"/>
      <c r="CQ463" s="206"/>
      <c r="CR463" s="206"/>
    </row>
    <row r="464" spans="2:96" ht="60" x14ac:dyDescent="0.25">
      <c r="B464" s="341" t="s">
        <v>4233</v>
      </c>
      <c r="C464" s="246">
        <f>_xlfn.XLOOKUP(FMS_Ranking4[[#This Row],[FMS ID]],FMS_Input[FMS_ID],FMS_Input[RFPG_NUM])</f>
        <v>15</v>
      </c>
      <c r="D464" s="309" t="str">
        <f>_xlfn.XLOOKUP(FMS_Ranking4[[#This Row],[FMS ID]],FMS_Input[FMS_ID],FMS_Input[FMS_NAME])</f>
        <v>City of La Feria - Flood Warning System, planning, operation &amp; maintenance</v>
      </c>
      <c r="E464" s="308" t="str">
        <f>_xlfn.XLOOKUP(FMS_Ranking4[[#This Row],[FMS ID]],FMS_Input[FMS_ID],FMS_Input[SPONSOR])</f>
        <v>15000047</v>
      </c>
      <c r="F464" s="309" t="str">
        <f>_xlfn.XLOOKUP(FMS_Ranking4[[#This Row],[FMS ID]],Sponsor[FMS_ID],Sponsor[SPONSOR NAME])</f>
        <v>La Feria</v>
      </c>
      <c r="G464" s="309" t="str">
        <f>_xlfn.XLOOKUP(FMS_Ranking4[[#This Row],[FMS ID]],FMS_Input[FMS_ID],FMS_Input[FMS_DESCR])</f>
        <v>Develop and Implement a Flood Warning System, planning, operation &amp; Maintenance plan</v>
      </c>
      <c r="H464" s="248" t="str">
        <f>_xlfn.XLOOKUP(FMS_Ranking4[[#This Row],[FMS ID]],FMS_Input[FMS_ID],FMS_Input[FMS_TYPE])</f>
        <v>Flood Measurement and Warning</v>
      </c>
      <c r="I464" s="249">
        <f>_xlfn.XLOOKUP(FMS_Ranking4[[#This Row],[FMS ID]],FMS_Input[FMS_ID],FMS_Input[NRNC_COST])</f>
        <v>600000</v>
      </c>
      <c r="J464" s="250">
        <f>_xlfn.XLOOKUP(FMS_Ranking4[[#This Row],[FMS ID]],FMS_Input[FMS_ID],FMS_Input[FMS_COST])</f>
        <v>5000000</v>
      </c>
      <c r="K464" s="251" t="str">
        <f>_xlfn.XLOOKUP(FMS_Ranking4[[#This Row],[FMS ID]],FMS_Input[FMS_ID],FMS_Input[EMER_NEED])</f>
        <v>Yes</v>
      </c>
      <c r="L464" s="252">
        <f t="shared" si="7"/>
        <v>1</v>
      </c>
      <c r="M464" s="253">
        <f>_xlfn.XLOOKUP(FMS_Ranking4[[#This Row],[FMS ID]],FMS_Input[FMS_ID],FMS_Input[STRUCT_100])</f>
        <v>1411</v>
      </c>
      <c r="N464" s="255">
        <f>(ASINH(FMS_Ranking4[[#This Row],[Structure at Risk Raw]]))*(10)/(ASINH(M$4))</f>
        <v>6.246111178003888</v>
      </c>
      <c r="O464" s="256">
        <f>FMS_Ranking4[[#This Row],[Structures at risk, ArcSinh (0-10)]]*M$5*10</f>
        <v>6.246111178003888</v>
      </c>
      <c r="P464" s="253">
        <f>_xlfn.XLOOKUP(FMS_Ranking4[[#This Row],[FMS ID]],FMS_Input[FMS_ID],FMS_Input[RES_STRUCT100])</f>
        <v>1162</v>
      </c>
      <c r="Q464" s="257">
        <f>ASINH(FMS_Ranking4[[#This Row],[Res Structure Raw]])/Q$4*P$5*100</f>
        <v>0</v>
      </c>
      <c r="R464" s="253">
        <f>_xlfn.XLOOKUP(FMS_Ranking4[[#This Row],[FMS ID]],FMS_Input[FMS_ID],FMS_Input[POP100])</f>
        <v>3148</v>
      </c>
      <c r="S464" s="259">
        <f>(ASINH(FMS_Ranking4[[#This Row],[Pop at Risk Raw]]))*(10)/(ASINH(R$4))</f>
        <v>6.03902574475826</v>
      </c>
      <c r="T464" s="256">
        <f>FMS_Ranking4[[#This Row],[Population at risk, ArcSinh (0-10)]]*R$5*10</f>
        <v>6.0390257447582609</v>
      </c>
      <c r="U464" s="253">
        <f>_xlfn.XLOOKUP(FMS_Ranking4[[#This Row],[FMS ID]],FMS_Input[FMS_ID],FMS_Input[CRITFAC100])</f>
        <v>0</v>
      </c>
      <c r="V464" s="259">
        <f>(ASINH(FMS_Ranking4[[#This Row],[Critical Facilities Raw]]))*(10)/(ASINH(U$4))</f>
        <v>0</v>
      </c>
      <c r="W464" s="256">
        <f>FMS_Ranking4[[#This Row],[Critical facilities at risk, ArcSinh (0-10)]]*U$5*10</f>
        <v>0</v>
      </c>
      <c r="X464" s="253">
        <f>_xlfn.XLOOKUP(FMS_Ranking4[[#This Row],[FMS ID]],FMS_Input[FMS_ID],FMS_Input[LWC])</f>
        <v>0</v>
      </c>
      <c r="Y464" s="259">
        <f>(ASINH(FMS_Ranking4[[#This Row],[LWC Raw]]))*(10)/(ASINH(X$4))</f>
        <v>0</v>
      </c>
      <c r="Z464" s="256">
        <f>FMS_Ranking4[[#This Row],[LWC, ArcSInh (0-10)]]*X$5*10</f>
        <v>0</v>
      </c>
      <c r="AA464" s="253">
        <f>_xlfn.XLOOKUP(FMS_Ranking4[[#This Row],[FMS ID]],FMS_Input[FMS_ID],FMS_Input[ROADCLS])</f>
        <v>0</v>
      </c>
      <c r="AB464" s="255">
        <f>(ASINH(FMS_Ranking4[[#This Row],[Road Closures Raw]]))*(10)/(ASINH(AA$4))</f>
        <v>0</v>
      </c>
      <c r="AC464" s="256">
        <f>FMS_Ranking4[[#This Row],[Road closures, ArcSinh (0-10)]]*AA$5*10</f>
        <v>0</v>
      </c>
      <c r="AD464" s="253">
        <f>_xlfn.XLOOKUP(FMS_Ranking4[[#This Row],[FMS ID]],FMS_Input[FMS_ID],FMS_Input[ROAD_MILES100])</f>
        <v>28</v>
      </c>
      <c r="AE464" s="259">
        <f>(ASINH(FMS_Ranking4[[#This Row],[Road Miles Raw]]))*(10)/(ASINH(AD$4))</f>
        <v>4.2902571037917747</v>
      </c>
      <c r="AF464" s="256">
        <f>FMS_Ranking4[[#This Row],[Length of roads at risk, ArcSinh (0-10)]]*AD$5*10</f>
        <v>4.2902571037917747</v>
      </c>
      <c r="AG464" s="253">
        <f>_xlfn.XLOOKUP(FMS_Ranking4[[#This Row],[FMS ID]],FMS_Input[FMS_ID],FMS_Input[FARMACRE100])</f>
        <v>703.150634765625</v>
      </c>
      <c r="AH464" s="255">
        <f>(ASINH(FMS_Ranking4[[#This Row],[Ag Land Raw]]))*(10)/(ASINH(AG$4))</f>
        <v>4.7086334277673396</v>
      </c>
      <c r="AI464" s="260">
        <f>FMS_Ranking4[[#This Row],[Farm &amp; ranch land, ArcSinh (0-10)]]*AG$5*10</f>
        <v>2.3543167138836698</v>
      </c>
      <c r="AJ464" s="258">
        <f>_xlfn.XLOOKUP(FMS_Ranking4[[#This Row],[FMS ID]],FMS_Input[FMS_ID],FMS_Input[REDSTRUCT100])</f>
        <v>0</v>
      </c>
      <c r="AK464" s="253">
        <f>_xlfn.XLOOKUP(FMS_Ranking4[[#This Row],[FMS ID]],FMS_Input[FMS_ID],FMS_Input[REMSTRC100])</f>
        <v>0</v>
      </c>
      <c r="AL464" s="259">
        <f>(ASINH(FMS_Ranking4[[#This Row],[Structures Removed Raw]]))*(10)/(ASINH(AK$4))</f>
        <v>0</v>
      </c>
      <c r="AM464" s="262">
        <f>FMS_Ranking4[[#This Row],[Structures removed, ArcSinh (0-10)]]*AK$5*10</f>
        <v>0</v>
      </c>
      <c r="AN464" s="253">
        <f>_xlfn.XLOOKUP(FMS_Ranking4[[#This Row],[FMS ID]],FMS_Input[FMS_ID],FMS_Input[REMRESSTRC100])</f>
        <v>0</v>
      </c>
      <c r="AO464" s="261">
        <f>FMS_Ranking4[[#This Row],[ArcSinh Res struct removed 0-10]]*AN$5*10</f>
        <v>0</v>
      </c>
      <c r="AP464" s="260">
        <f>ASINH(FMS_Ranking4[[#This Row],[Residential Structures Removed Raw]])/AP$4*AN$5*100</f>
        <v>0</v>
      </c>
      <c r="AQ464" s="254">
        <f>(ASINH(FMS_Ranking4[[#This Row],[Residential Structures Removed Raw]]))*(10)/(ASINH(AN$4))</f>
        <v>0</v>
      </c>
      <c r="AR464" s="253">
        <f>_xlfn.XLOOKUP(FMS_Ranking4[[#This Row],[FMS ID]],FMS_Input[FMS_ID],FMS_Input[REMPOP100])</f>
        <v>0</v>
      </c>
      <c r="AS464" s="259">
        <f>(ASINH(FMS_Ranking4[[#This Row],[Removed Pop Raw]]))*(10)/(ASINH(AR$4))</f>
        <v>0</v>
      </c>
      <c r="AT464" s="262">
        <f>FMS_Ranking4[[#This Row],[Removed population, ArcSinh (0-10)]]*AR$5*10</f>
        <v>0</v>
      </c>
      <c r="AU464" s="264">
        <f>_xlfn.XLOOKUP(FMS_Ranking4[[#This Row],[FMS ID]],FMS_Input[FMS_ID],FMS_Input[REMCRITFAC100])</f>
        <v>0</v>
      </c>
      <c r="AV464" s="264">
        <f>_xlfn.XLOOKUP(FMS_Ranking4[[#This Row],[FMS ID]],FMS_Input[FMS_ID],FMS_Input[REMLWC100])</f>
        <v>0</v>
      </c>
      <c r="AW464" s="264">
        <f>_xlfn.XLOOKUP(FMS_Ranking4[[#This Row],[FMS ID]],FMS_Input[FMS_ID],FMS_Input[REMROADCLS])</f>
        <v>0</v>
      </c>
      <c r="AX464" s="264">
        <f>_xlfn.XLOOKUP(FMS_Ranking4[[#This Row],[FMS ID]],FMS_Input[FMS_ID],FMS_Input[REMFRMACRE100])</f>
        <v>0</v>
      </c>
      <c r="AY464" s="258">
        <f>_xlfn.XLOOKUP(FMS_Ranking4[[#This Row],[FMS ID]],FMS_Input[FMS_ID],FMS_Input[COSTSTRUCT])</f>
        <v>0</v>
      </c>
      <c r="AZ464" s="253">
        <f>_xlfn.XLOOKUP(FMS_Ranking4[[#This Row],[FMS ID]],FMS_Input[FMS_ID],FMS_Input[NATURE])</f>
        <v>0</v>
      </c>
      <c r="BA464" s="262">
        <f>(((FMS_Ranking4[[#This Row],[% NBS Raw]]/AZ$4)*100)*AZ$5)</f>
        <v>0</v>
      </c>
      <c r="BB464" s="251" t="str">
        <f>_xlfn.XLOOKUP(FMS_Ranking4[[#This Row],[FMS ID]],FMS_Input[FMS_ID],FMS_Input[WATER_SUP])</f>
        <v>No</v>
      </c>
      <c r="BC464" s="265">
        <f>IF(FMS_Ranking4[[#This Row],[Water Supply Raw]]="Yes",10,0)</f>
        <v>0</v>
      </c>
      <c r="BD464" s="266">
        <f>_xlfn.XLOOKUP(FMS_Ranking4[[#This Row],[FMS Type]],FMS_TYPE[FMS_Type],FMS_TYPE[Score])</f>
        <v>10</v>
      </c>
      <c r="BE464" s="267">
        <f>FMS_Ranking4[[#This Row],[FMS_Type Score]]*$BD$5*10</f>
        <v>2.5</v>
      </c>
      <c r="BF46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0.16516000406963618</v>
      </c>
      <c r="BG464" s="271">
        <f>_xlfn.RANK.EQ(BF464,$BF$8:$BF$870,0)+COUNTIF($BF$8:BF464,BF464)-1</f>
        <v>388</v>
      </c>
      <c r="BH464" s="268">
        <f>(((FMS_Ranking4[[#This Row],[Structures Removed Raw]]/AK$4)*100)*AK$5)+(((FMS_Ranking4[[#This Row],[Removed Pop Raw]]/AR$4)*100)*AR$5)</f>
        <v>0</v>
      </c>
      <c r="BI46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2.6651600040696364</v>
      </c>
      <c r="BJ464" s="205">
        <f>_xlfn.RANK.EQ(FMS_Ranking4[[#This Row],[Total Score 
(with linear
normalization)]],FMS_Ranking4[Total Score 
(with linear
normalization)],0)</f>
        <v>211</v>
      </c>
      <c r="BK464" s="205" t="e">
        <f>_xlfn.XLOOKUP(FMS_Ranking4[[#This Row],[FMS ID]],#REF!,#REF!)</f>
        <v>#REF!</v>
      </c>
      <c r="BL46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18.929710740437592</v>
      </c>
      <c r="BM464" s="272">
        <f>FMS_Ranking4[[#This Row],[ArcSinh Score Based on Normalized Reported Factors]]+FMS_Ranking4[[#This Row],[% NBS Score (Normalized)]]+(FMS_Ranking4[[#This Row],[Water Supply Score (Normalized)]]*10*$BB$5)+FMS_Ranking4[[#This Row],[FMS_Type Score Weighted]]</f>
        <v>21.429710740437592</v>
      </c>
      <c r="BN464" s="205">
        <f>_xlfn.RANK.EQ(FMS_Ranking4[[#This Row],[Total Score (with ArcSinh normalization of select criteria)]],FMS_Ranking4[Total Score (with ArcSinh normalization of select criteria)],0)</f>
        <v>457</v>
      </c>
      <c r="BO464" s="270" t="str">
        <f>_xlfn.XLOOKUP(FMS_Ranking4[[#This Row],[FMS ID]],FMS_Input[FMS_ID],FMS_Input[FMS_RANK_YEAR])</f>
        <v>2023 Amended Plan</v>
      </c>
      <c r="BP464" s="204">
        <f>_xlfn.XLOOKUP(FMS_Ranking4[[#This Row],[FMS ID]],Prev_Rank[FMS ID],Prev_Rank[Prev Rank])</f>
        <v>410</v>
      </c>
      <c r="BQ464" s="205" t="e">
        <f>_xlfn.XLOOKUP(FMS_Ranking4[[#This Row],[FMS ID]],#REF!,#REF!)</f>
        <v>#REF!</v>
      </c>
      <c r="BR464" s="199" t="e">
        <f>SUM(#REF!,#REF!,#REF!,#REF!,#REF!,#REF!,#REF!,#REF!,#REF!,FMS_Ranking4[[#This Row],[ArcSinh Res struct removed 0-10]],#REF!)</f>
        <v>#REF!</v>
      </c>
      <c r="BS464" s="199" t="e">
        <f>FMS_Ranking4[[#This Row],[Log Score Based on Normalized Reported Factors]]+FMS_Ranking4[[#This Row],[% NBS Score (Normalized)]]+(FMS_Ranking4[[#This Row],[Water Supply Score (Normalized)]]*10*$BB$5)+(FMS_Ranking4[[#This Row],[FMS_Type Score Weighted]])</f>
        <v>#REF!</v>
      </c>
      <c r="BT464" s="200" t="e">
        <f>_xlfn.RANK.EQ(FMS_Ranking4[[#This Row],[Log Total Score]],FMS_Ranking4[Log Total Score],0)</f>
        <v>#REF!</v>
      </c>
      <c r="BU464" s="200" t="e">
        <f>_xlfn.XLOOKUP(FMS_Ranking4[[#This Row],[FMS ID]],#REF!,#REF!)</f>
        <v>#REF!</v>
      </c>
      <c r="BV464" s="200">
        <f>FMS_Ranking4[[#This Row],[Region Number]]</f>
        <v>15</v>
      </c>
      <c r="BW464" s="200">
        <f>FMS_Ranking4[[#This Row],[Rank (with ArcSinh normalization of select criteria)]]-FMS_Ranking4[[#This Row],[Rank
(with linear
normalization)]]</f>
        <v>246</v>
      </c>
      <c r="BX464" s="200" t="e">
        <f>FMS_Ranking4[[#This Row],[Log Rank]]-FMS_Ranking4[[#This Row],[Rank
(with linear
normalization)]]</f>
        <v>#REF!</v>
      </c>
      <c r="BY464" s="200">
        <f>IF(FMS_Ranking4[[#This Row],[FMS Type]]="Flood Measurement and Warning",FMS_Ranking4[[#This Row],[Rank (with ArcSinh normalization of select criteria)]],"")</f>
        <v>457</v>
      </c>
      <c r="BZ464" s="200" t="str">
        <f>IF(FMS_Ranking4[[#This Row],[FMS Type]]="Regulatory and Guidance",FMS_Ranking4[[#This Row],[Rank (with ArcSinh normalization of select criteria)]],"")</f>
        <v/>
      </c>
      <c r="CA464" s="200" t="str">
        <f>IF(FMS_Ranking4[[#This Row],[FMS Type]]="Education and Outreach",FMS_Ranking4[[#This Row],[Rank (with ArcSinh normalization of select criteria)]],"")</f>
        <v/>
      </c>
      <c r="CB464" s="200" t="str">
        <f>IF(FMS_Ranking4[[#This Row],[FMS Type]]="Property Acquisition and Structural Elevation",FMS_Ranking4[[#This Row],[Rank (with ArcSinh normalization of select criteria)]],"")</f>
        <v/>
      </c>
      <c r="CC464" s="200" t="str">
        <f>IF(FMS_Ranking4[[#This Row],[FMS Type]]="Infrastructure Projects",FMS_Ranking4[[#This Row],[Rank (with ArcSinh normalization of select criteria)]],"")</f>
        <v/>
      </c>
      <c r="CD464" s="200" t="str">
        <f>IF(FMS_Ranking4[[#This Row],[FMS Type]]="Other",FMS_Ranking4[[#This Row],[Rank (with ArcSinh normalization of select criteria)]],"")</f>
        <v/>
      </c>
      <c r="CE464" s="201"/>
      <c r="CF464" s="206"/>
      <c r="CG464" s="206"/>
      <c r="CH464" s="206"/>
      <c r="CI464" s="206"/>
      <c r="CJ464" s="206"/>
      <c r="CK464" s="206"/>
      <c r="CL464" s="206"/>
      <c r="CM464" s="206"/>
      <c r="CN464" s="206"/>
      <c r="CO464" s="206"/>
      <c r="CP464" s="206"/>
      <c r="CQ464" s="206"/>
      <c r="CR464" s="206"/>
    </row>
    <row r="465" spans="2:96" ht="120" x14ac:dyDescent="0.25">
      <c r="B465" s="341" t="s">
        <v>1779</v>
      </c>
      <c r="C465" s="246">
        <f>_xlfn.XLOOKUP(FMS_Ranking4[[#This Row],[FMS ID]],FMS_Input[FMS_ID],FMS_Input[RFPG_NUM])</f>
        <v>3</v>
      </c>
      <c r="D465" s="309" t="str">
        <f>_xlfn.XLOOKUP(FMS_Ranking4[[#This Row],[FMS ID]],FMS_Input[FMS_ID],FMS_Input[FMS_NAME])</f>
        <v>Anderson County Flood Education Program</v>
      </c>
      <c r="E465" s="308" t="str">
        <f>_xlfn.XLOOKUP(FMS_Ranking4[[#This Row],[FMS ID]],FMS_Input[FMS_ID],FMS_Input[SPONSOR])</f>
        <v>Anderson County</v>
      </c>
      <c r="F465" s="309" t="str">
        <f>_xlfn.XLOOKUP(FMS_Ranking4[[#This Row],[FMS ID]],Sponsor[FMS_ID],Sponsor[SPONSOR NAME])</f>
        <v>Anderson County</v>
      </c>
      <c r="G465" s="309" t="str">
        <f>_xlfn.XLOOKUP(FMS_Ranking4[[#This Row],[FMS ID]],FMS_Input[FMS_ID],FMS_Input[FMS_DESCR])</f>
        <v>Coordinate and implement a natural hazards public awareness campaign. Educate community on the dangers of low water crossings through the installation of warning signs and promotion of “Turn Around, Don’t Drown” Program.</v>
      </c>
      <c r="H465" s="248" t="str">
        <f>_xlfn.XLOOKUP(FMS_Ranking4[[#This Row],[FMS ID]],FMS_Input[FMS_ID],FMS_Input[FMS_TYPE])</f>
        <v>Education and Outreach</v>
      </c>
      <c r="I465" s="249">
        <f>_xlfn.XLOOKUP(FMS_Ranking4[[#This Row],[FMS ID]],FMS_Input[FMS_ID],FMS_Input[NRNC_COST])</f>
        <v>50000</v>
      </c>
      <c r="J465" s="250">
        <f>_xlfn.XLOOKUP(FMS_Ranking4[[#This Row],[FMS ID]],FMS_Input[FMS_ID],FMS_Input[FMS_COST])</f>
        <v>50000</v>
      </c>
      <c r="K465" s="251" t="str">
        <f>_xlfn.XLOOKUP(FMS_Ranking4[[#This Row],[FMS ID]],FMS_Input[FMS_ID],FMS_Input[EMER_NEED])</f>
        <v>No</v>
      </c>
      <c r="L465" s="252">
        <f t="shared" si="7"/>
        <v>0</v>
      </c>
      <c r="M465" s="253">
        <f>_xlfn.XLOOKUP(FMS_Ranking4[[#This Row],[FMS ID]],FMS_Input[FMS_ID],FMS_Input[STRUCT_100])</f>
        <v>667</v>
      </c>
      <c r="N465" s="255">
        <f>(ASINH(FMS_Ranking4[[#This Row],[Structure at Risk Raw]]))*(10)/(ASINH(M$4))</f>
        <v>5.6570785304233828</v>
      </c>
      <c r="O465" s="256">
        <f>FMS_Ranking4[[#This Row],[Structures at risk, ArcSinh (0-10)]]*M$5*10</f>
        <v>5.6570785304233828</v>
      </c>
      <c r="P465" s="253">
        <f>_xlfn.XLOOKUP(FMS_Ranking4[[#This Row],[FMS ID]],FMS_Input[FMS_ID],FMS_Input[RES_STRUCT100])</f>
        <v>416</v>
      </c>
      <c r="Q465" s="257">
        <f>ASINH(FMS_Ranking4[[#This Row],[Res Structure Raw]])/Q$4*P$5*100</f>
        <v>0</v>
      </c>
      <c r="R465" s="253">
        <f>_xlfn.XLOOKUP(FMS_Ranking4[[#This Row],[FMS ID]],FMS_Input[FMS_ID],FMS_Input[POP100])</f>
        <v>1098</v>
      </c>
      <c r="S465" s="259">
        <f>(ASINH(FMS_Ranking4[[#This Row],[Pop at Risk Raw]]))*(10)/(ASINH(R$4))</f>
        <v>5.3118874464421824</v>
      </c>
      <c r="T465" s="256">
        <f>FMS_Ranking4[[#This Row],[Population at risk, ArcSinh (0-10)]]*R$5*10</f>
        <v>5.3118874464421832</v>
      </c>
      <c r="U465" s="253">
        <f>_xlfn.XLOOKUP(FMS_Ranking4[[#This Row],[FMS ID]],FMS_Input[FMS_ID],FMS_Input[CRITFAC100])</f>
        <v>0</v>
      </c>
      <c r="V465" s="259">
        <f>(ASINH(FMS_Ranking4[[#This Row],[Critical Facilities Raw]]))*(10)/(ASINH(U$4))</f>
        <v>0</v>
      </c>
      <c r="W465" s="256">
        <f>FMS_Ranking4[[#This Row],[Critical facilities at risk, ArcSinh (0-10)]]*U$5*10</f>
        <v>0</v>
      </c>
      <c r="X465" s="253">
        <f>_xlfn.XLOOKUP(FMS_Ranking4[[#This Row],[FMS ID]],FMS_Input[FMS_ID],FMS_Input[LWC])</f>
        <v>0</v>
      </c>
      <c r="Y465" s="259">
        <f>(ASINH(FMS_Ranking4[[#This Row],[LWC Raw]]))*(10)/(ASINH(X$4))</f>
        <v>0</v>
      </c>
      <c r="Z465" s="256">
        <f>FMS_Ranking4[[#This Row],[LWC, ArcSInh (0-10)]]*X$5*10</f>
        <v>0</v>
      </c>
      <c r="AA465" s="253">
        <f>_xlfn.XLOOKUP(FMS_Ranking4[[#This Row],[FMS ID]],FMS_Input[FMS_ID],FMS_Input[ROADCLS])</f>
        <v>0</v>
      </c>
      <c r="AB465" s="255">
        <f>(ASINH(FMS_Ranking4[[#This Row],[Road Closures Raw]]))*(10)/(ASINH(AA$4))</f>
        <v>0</v>
      </c>
      <c r="AC465" s="256">
        <f>FMS_Ranking4[[#This Row],[Road closures, ArcSinh (0-10)]]*AA$5*10</f>
        <v>0</v>
      </c>
      <c r="AD465" s="253">
        <f>_xlfn.XLOOKUP(FMS_Ranking4[[#This Row],[FMS ID]],FMS_Input[FMS_ID],FMS_Input[ROAD_MILES100])</f>
        <v>73</v>
      </c>
      <c r="AE465" s="259">
        <f>(ASINH(FMS_Ranking4[[#This Row],[Road Miles Raw]]))*(10)/(ASINH(AD$4))</f>
        <v>5.311203540700042</v>
      </c>
      <c r="AF465" s="256">
        <f>FMS_Ranking4[[#This Row],[Length of roads at risk, ArcSinh (0-10)]]*AD$5*10</f>
        <v>5.311203540700042</v>
      </c>
      <c r="AG465" s="253">
        <f>_xlfn.XLOOKUP(FMS_Ranking4[[#This Row],[FMS ID]],FMS_Input[FMS_ID],FMS_Input[FARMACRE100])</f>
        <v>36103.83984375</v>
      </c>
      <c r="AH465" s="255">
        <f>(ASINH(FMS_Ranking4[[#This Row],[Ag Land Raw]]))*(10)/(ASINH(AG$4))</f>
        <v>7.2670638670482877</v>
      </c>
      <c r="AI465" s="260">
        <f>FMS_Ranking4[[#This Row],[Farm &amp; ranch land, ArcSinh (0-10)]]*AG$5*10</f>
        <v>3.6335319335241438</v>
      </c>
      <c r="AJ465" s="258">
        <f>_xlfn.XLOOKUP(FMS_Ranking4[[#This Row],[FMS ID]],FMS_Input[FMS_ID],FMS_Input[REDSTRUCT100])</f>
        <v>0</v>
      </c>
      <c r="AK465" s="253">
        <f>_xlfn.XLOOKUP(FMS_Ranking4[[#This Row],[FMS ID]],FMS_Input[FMS_ID],FMS_Input[REMSTRC100])</f>
        <v>0</v>
      </c>
      <c r="AL465" s="259">
        <f>(ASINH(FMS_Ranking4[[#This Row],[Structures Removed Raw]]))*(10)/(ASINH(AK$4))</f>
        <v>0</v>
      </c>
      <c r="AM465" s="262">
        <f>FMS_Ranking4[[#This Row],[Structures removed, ArcSinh (0-10)]]*AK$5*10</f>
        <v>0</v>
      </c>
      <c r="AN465" s="253">
        <f>_xlfn.XLOOKUP(FMS_Ranking4[[#This Row],[FMS ID]],FMS_Input[FMS_ID],FMS_Input[REMRESSTRC100])</f>
        <v>0</v>
      </c>
      <c r="AO465" s="261">
        <f>FMS_Ranking4[[#This Row],[ArcSinh Res struct removed 0-10]]*AN$5*10</f>
        <v>0</v>
      </c>
      <c r="AP465" s="260">
        <f>ASINH(FMS_Ranking4[[#This Row],[Residential Structures Removed Raw]])/AP$4*AN$5*100</f>
        <v>0</v>
      </c>
      <c r="AQ465" s="254">
        <f>(ASINH(FMS_Ranking4[[#This Row],[Residential Structures Removed Raw]]))*(10)/(ASINH(AN$4))</f>
        <v>0</v>
      </c>
      <c r="AR465" s="253">
        <f>_xlfn.XLOOKUP(FMS_Ranking4[[#This Row],[FMS ID]],FMS_Input[FMS_ID],FMS_Input[REMPOP100])</f>
        <v>0</v>
      </c>
      <c r="AS465" s="259">
        <f>(ASINH(FMS_Ranking4[[#This Row],[Removed Pop Raw]]))*(10)/(ASINH(AR$4))</f>
        <v>0</v>
      </c>
      <c r="AT465" s="262">
        <f>FMS_Ranking4[[#This Row],[Removed population, ArcSinh (0-10)]]*AR$5*10</f>
        <v>0</v>
      </c>
      <c r="AU465" s="264">
        <f>_xlfn.XLOOKUP(FMS_Ranking4[[#This Row],[FMS ID]],FMS_Input[FMS_ID],FMS_Input[REMCRITFAC100])</f>
        <v>0</v>
      </c>
      <c r="AV465" s="264">
        <f>_xlfn.XLOOKUP(FMS_Ranking4[[#This Row],[FMS ID]],FMS_Input[FMS_ID],FMS_Input[REMLWC100])</f>
        <v>0</v>
      </c>
      <c r="AW465" s="264">
        <f>_xlfn.XLOOKUP(FMS_Ranking4[[#This Row],[FMS ID]],FMS_Input[FMS_ID],FMS_Input[REMROADCLS])</f>
        <v>0</v>
      </c>
      <c r="AX465" s="264">
        <f>_xlfn.XLOOKUP(FMS_Ranking4[[#This Row],[FMS ID]],FMS_Input[FMS_ID],FMS_Input[REMFRMACRE100])</f>
        <v>0</v>
      </c>
      <c r="AY465" s="258">
        <f>_xlfn.XLOOKUP(FMS_Ranking4[[#This Row],[FMS ID]],FMS_Input[FMS_ID],FMS_Input[COSTSTRUCT])</f>
        <v>0</v>
      </c>
      <c r="AZ465" s="253">
        <f>_xlfn.XLOOKUP(FMS_Ranking4[[#This Row],[FMS ID]],FMS_Input[FMS_ID],FMS_Input[NATURE])</f>
        <v>0</v>
      </c>
      <c r="BA465" s="262">
        <f>(((FMS_Ranking4[[#This Row],[% NBS Raw]]/AZ$4)*100)*AZ$5)</f>
        <v>0</v>
      </c>
      <c r="BB465" s="251" t="str">
        <f>_xlfn.XLOOKUP(FMS_Ranking4[[#This Row],[FMS ID]],FMS_Input[FMS_ID],FMS_Input[WATER_SUP])</f>
        <v>No</v>
      </c>
      <c r="BC465" s="265">
        <f>IF(FMS_Ranking4[[#This Row],[Water Supply Raw]]="Yes",10,0)</f>
        <v>0</v>
      </c>
      <c r="BD465" s="266">
        <f>_xlfn.XLOOKUP(FMS_Ranking4[[#This Row],[FMS Type]],FMS_TYPE[FMS_Type],FMS_TYPE[Score])</f>
        <v>6</v>
      </c>
      <c r="BE465" s="267">
        <f>FMS_Ranking4[[#This Row],[FMS_Type Score]]*$BD$5*10</f>
        <v>1.5000000000000002</v>
      </c>
      <c r="BF46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0.2483778104421106</v>
      </c>
      <c r="BG465" s="271">
        <f>_xlfn.RANK.EQ(BF465,$BF$8:$BF$870,0)+COUNTIF($BF$8:BF465,BF465)-1</f>
        <v>333</v>
      </c>
      <c r="BH465" s="268">
        <f>(((FMS_Ranking4[[#This Row],[Structures Removed Raw]]/AK$4)*100)*AK$5)+(((FMS_Ranking4[[#This Row],[Removed Pop Raw]]/AR$4)*100)*AR$5)</f>
        <v>0</v>
      </c>
      <c r="BI46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1.7483778104421108</v>
      </c>
      <c r="BJ465" s="205">
        <f>_xlfn.RANK.EQ(FMS_Ranking4[[#This Row],[Total Score 
(with linear
normalization)]],FMS_Ranking4[Total Score 
(with linear
normalization)],0)</f>
        <v>544</v>
      </c>
      <c r="BK465" s="205" t="e">
        <f>_xlfn.XLOOKUP(FMS_Ranking4[[#This Row],[FMS ID]],#REF!,#REF!)</f>
        <v>#REF!</v>
      </c>
      <c r="BL46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19.91370145108975</v>
      </c>
      <c r="BM465" s="272">
        <f>FMS_Ranking4[[#This Row],[ArcSinh Score Based on Normalized Reported Factors]]+FMS_Ranking4[[#This Row],[% NBS Score (Normalized)]]+(FMS_Ranking4[[#This Row],[Water Supply Score (Normalized)]]*10*$BB$5)+FMS_Ranking4[[#This Row],[FMS_Type Score Weighted]]</f>
        <v>21.41370145108975</v>
      </c>
      <c r="BN465" s="205">
        <f>_xlfn.RANK.EQ(FMS_Ranking4[[#This Row],[Total Score (with ArcSinh normalization of select criteria)]],FMS_Ranking4[Total Score (with ArcSinh normalization of select criteria)],0)</f>
        <v>458</v>
      </c>
      <c r="BO465" s="270" t="str">
        <f>_xlfn.XLOOKUP(FMS_Ranking4[[#This Row],[FMS ID]],FMS_Input[FMS_ID],FMS_Input[FMS_RANK_YEAR])</f>
        <v>2023 Amended Plan</v>
      </c>
      <c r="BP465" s="204">
        <f>_xlfn.XLOOKUP(FMS_Ranking4[[#This Row],[FMS ID]],Prev_Rank[FMS ID],Prev_Rank[Prev Rank])</f>
        <v>403</v>
      </c>
      <c r="BQ465" s="205" t="e">
        <f>_xlfn.XLOOKUP(FMS_Ranking4[[#This Row],[FMS ID]],#REF!,#REF!)</f>
        <v>#REF!</v>
      </c>
      <c r="BR465" s="199" t="e">
        <f>SUM(#REF!,#REF!,#REF!,#REF!,#REF!,#REF!,#REF!,#REF!,#REF!,FMS_Ranking4[[#This Row],[ArcSinh Res struct removed 0-10]],#REF!)</f>
        <v>#REF!</v>
      </c>
      <c r="BS465" s="199" t="e">
        <f>FMS_Ranking4[[#This Row],[Log Score Based on Normalized Reported Factors]]+FMS_Ranking4[[#This Row],[% NBS Score (Normalized)]]+(FMS_Ranking4[[#This Row],[Water Supply Score (Normalized)]]*10*$BB$5)+(FMS_Ranking4[[#This Row],[FMS_Type Score Weighted]])</f>
        <v>#REF!</v>
      </c>
      <c r="BT465" s="200" t="e">
        <f>_xlfn.RANK.EQ(FMS_Ranking4[[#This Row],[Log Total Score]],FMS_Ranking4[Log Total Score],0)</f>
        <v>#REF!</v>
      </c>
      <c r="BU465" s="200" t="e">
        <f>_xlfn.XLOOKUP(FMS_Ranking4[[#This Row],[FMS ID]],#REF!,#REF!)</f>
        <v>#REF!</v>
      </c>
      <c r="BV465" s="200">
        <f>FMS_Ranking4[[#This Row],[Region Number]]</f>
        <v>3</v>
      </c>
      <c r="BW465" s="200">
        <f>FMS_Ranking4[[#This Row],[Rank (with ArcSinh normalization of select criteria)]]-FMS_Ranking4[[#This Row],[Rank
(with linear
normalization)]]</f>
        <v>-86</v>
      </c>
      <c r="BX465" s="200" t="e">
        <f>FMS_Ranking4[[#This Row],[Log Rank]]-FMS_Ranking4[[#This Row],[Rank
(with linear
normalization)]]</f>
        <v>#REF!</v>
      </c>
      <c r="BY465" s="200" t="str">
        <f>IF(FMS_Ranking4[[#This Row],[FMS Type]]="Flood Measurement and Warning",FMS_Ranking4[[#This Row],[Rank (with ArcSinh normalization of select criteria)]],"")</f>
        <v/>
      </c>
      <c r="BZ465" s="200" t="str">
        <f>IF(FMS_Ranking4[[#This Row],[FMS Type]]="Regulatory and Guidance",FMS_Ranking4[[#This Row],[Rank (with ArcSinh normalization of select criteria)]],"")</f>
        <v/>
      </c>
      <c r="CA465" s="200">
        <f>IF(FMS_Ranking4[[#This Row],[FMS Type]]="Education and Outreach",FMS_Ranking4[[#This Row],[Rank (with ArcSinh normalization of select criteria)]],"")</f>
        <v>458</v>
      </c>
      <c r="CB465" s="200" t="str">
        <f>IF(FMS_Ranking4[[#This Row],[FMS Type]]="Property Acquisition and Structural Elevation",FMS_Ranking4[[#This Row],[Rank (with ArcSinh normalization of select criteria)]],"")</f>
        <v/>
      </c>
      <c r="CC465" s="200" t="str">
        <f>IF(FMS_Ranking4[[#This Row],[FMS Type]]="Infrastructure Projects",FMS_Ranking4[[#This Row],[Rank (with ArcSinh normalization of select criteria)]],"")</f>
        <v/>
      </c>
      <c r="CD465" s="200" t="str">
        <f>IF(FMS_Ranking4[[#This Row],[FMS Type]]="Other",FMS_Ranking4[[#This Row],[Rank (with ArcSinh normalization of select criteria)]],"")</f>
        <v/>
      </c>
      <c r="CE465" s="201"/>
      <c r="CF465" s="206"/>
      <c r="CG465" s="206"/>
      <c r="CH465" s="206"/>
      <c r="CI465" s="206"/>
      <c r="CJ465" s="206"/>
      <c r="CK465" s="206"/>
      <c r="CL465" s="206"/>
      <c r="CM465" s="206"/>
      <c r="CN465" s="206"/>
      <c r="CO465" s="206"/>
      <c r="CP465" s="206"/>
      <c r="CQ465" s="206"/>
      <c r="CR465" s="206"/>
    </row>
    <row r="466" spans="2:96" ht="90" x14ac:dyDescent="0.25">
      <c r="B466" s="341" t="s">
        <v>2669</v>
      </c>
      <c r="C466" s="246">
        <f>_xlfn.XLOOKUP(FMS_Ranking4[[#This Row],[FMS ID]],FMS_Input[FMS_ID],FMS_Input[RFPG_NUM])</f>
        <v>5</v>
      </c>
      <c r="D466" s="309" t="str">
        <f>_xlfn.XLOOKUP(FMS_Ranking4[[#This Row],[FMS ID]],FMS_Input[FMS_ID],FMS_Input[FMS_NAME])</f>
        <v>Trinity County Buyout Program Implementation</v>
      </c>
      <c r="E466" s="308" t="str">
        <f>_xlfn.XLOOKUP(FMS_Ranking4[[#This Row],[FMS ID]],FMS_Input[FMS_ID],FMS_Input[SPONSOR])</f>
        <v>00000065</v>
      </c>
      <c r="F466" s="309" t="str">
        <f>_xlfn.XLOOKUP(FMS_Ranking4[[#This Row],[FMS ID]],Sponsor[FMS_ID],Sponsor[SPONSOR NAME])</f>
        <v>Trinity</v>
      </c>
      <c r="G466" s="309" t="str">
        <f>_xlfn.XLOOKUP(FMS_Ranking4[[#This Row],[FMS ID]],FMS_Input[FMS_ID],FMS_Input[FMS_DESCR])</f>
        <v>Develop and implement a program to buyout repetitive loss properties and convert to open space, parks, boating access, trails, and/or as a general community asset.</v>
      </c>
      <c r="H466" s="248" t="str">
        <f>_xlfn.XLOOKUP(FMS_Ranking4[[#This Row],[FMS ID]],FMS_Input[FMS_ID],FMS_Input[FMS_TYPE])</f>
        <v>Property Acquisition and Structural Elevation</v>
      </c>
      <c r="I466" s="249">
        <f>_xlfn.XLOOKUP(FMS_Ranking4[[#This Row],[FMS ID]],FMS_Input[FMS_ID],FMS_Input[NRNC_COST])</f>
        <v>25000</v>
      </c>
      <c r="J466" s="250">
        <f>_xlfn.XLOOKUP(FMS_Ranking4[[#This Row],[FMS ID]],FMS_Input[FMS_ID],FMS_Input[FMS_COST])</f>
        <v>100000</v>
      </c>
      <c r="K466" s="251" t="str">
        <f>_xlfn.XLOOKUP(FMS_Ranking4[[#This Row],[FMS ID]],FMS_Input[FMS_ID],FMS_Input[EMER_NEED])</f>
        <v>Yes</v>
      </c>
      <c r="L466" s="252">
        <f t="shared" si="7"/>
        <v>1</v>
      </c>
      <c r="M466" s="253">
        <f>_xlfn.XLOOKUP(FMS_Ranking4[[#This Row],[FMS ID]],FMS_Input[FMS_ID],FMS_Input[STRUCT_100])</f>
        <v>32</v>
      </c>
      <c r="N466" s="255">
        <f>(ASINH(FMS_Ranking4[[#This Row],[Structure at Risk Raw]]))*(10)/(ASINH(M$4))</f>
        <v>3.2696931950246935</v>
      </c>
      <c r="O466" s="256">
        <f>FMS_Ranking4[[#This Row],[Structures at risk, ArcSinh (0-10)]]*M$5*10</f>
        <v>3.2696931950246939</v>
      </c>
      <c r="P466" s="253">
        <f>_xlfn.XLOOKUP(FMS_Ranking4[[#This Row],[FMS ID]],FMS_Input[FMS_ID],FMS_Input[RES_STRUCT100])</f>
        <v>15</v>
      </c>
      <c r="Q466" s="257">
        <f>ASINH(FMS_Ranking4[[#This Row],[Res Structure Raw]])/Q$4*P$5*100</f>
        <v>0</v>
      </c>
      <c r="R466" s="253">
        <f>_xlfn.XLOOKUP(FMS_Ranking4[[#This Row],[FMS ID]],FMS_Input[FMS_ID],FMS_Input[POP100])</f>
        <v>15</v>
      </c>
      <c r="S466" s="259">
        <f>(ASINH(FMS_Ranking4[[#This Row],[Pop at Risk Raw]]))*(10)/(ASINH(R$4))</f>
        <v>2.3488103526295672</v>
      </c>
      <c r="T466" s="256">
        <f>FMS_Ranking4[[#This Row],[Population at risk, ArcSinh (0-10)]]*R$5*10</f>
        <v>2.3488103526295672</v>
      </c>
      <c r="U466" s="253">
        <f>_xlfn.XLOOKUP(FMS_Ranking4[[#This Row],[FMS ID]],FMS_Input[FMS_ID],FMS_Input[CRITFAC100])</f>
        <v>0</v>
      </c>
      <c r="V466" s="259">
        <f>(ASINH(FMS_Ranking4[[#This Row],[Critical Facilities Raw]]))*(10)/(ASINH(U$4))</f>
        <v>0</v>
      </c>
      <c r="W466" s="256">
        <f>FMS_Ranking4[[#This Row],[Critical facilities at risk, ArcSinh (0-10)]]*U$5*10</f>
        <v>0</v>
      </c>
      <c r="X466" s="253">
        <f>_xlfn.XLOOKUP(FMS_Ranking4[[#This Row],[FMS ID]],FMS_Input[FMS_ID],FMS_Input[LWC])</f>
        <v>1</v>
      </c>
      <c r="Y466" s="259">
        <f>(ASINH(FMS_Ranking4[[#This Row],[LWC Raw]]))*(10)/(ASINH(X$4))</f>
        <v>1.1940300948531093</v>
      </c>
      <c r="Z466" s="256">
        <f>FMS_Ranking4[[#This Row],[LWC, ArcSInh (0-10)]]*X$5*10</f>
        <v>1.1940300948531093</v>
      </c>
      <c r="AA466" s="253">
        <f>_xlfn.XLOOKUP(FMS_Ranking4[[#This Row],[FMS ID]],FMS_Input[FMS_ID],FMS_Input[ROADCLS])</f>
        <v>1</v>
      </c>
      <c r="AB466" s="255">
        <f>(ASINH(FMS_Ranking4[[#This Row],[Road Closures Raw]]))*(10)/(ASINH(AA$4))</f>
        <v>0.91786969566638699</v>
      </c>
      <c r="AC466" s="256">
        <f>FMS_Ranking4[[#This Row],[Road closures, ArcSinh (0-10)]]*AA$5*10</f>
        <v>0.45893484783319349</v>
      </c>
      <c r="AD466" s="253">
        <f>_xlfn.XLOOKUP(FMS_Ranking4[[#This Row],[FMS ID]],FMS_Input[FMS_ID],FMS_Input[ROAD_MILES100])</f>
        <v>22</v>
      </c>
      <c r="AE466" s="259">
        <f>(ASINH(FMS_Ranking4[[#This Row],[Road Miles Raw]]))*(10)/(ASINH(AD$4))</f>
        <v>4.0334550791562069</v>
      </c>
      <c r="AF466" s="256">
        <f>FMS_Ranking4[[#This Row],[Length of roads at risk, ArcSinh (0-10)]]*AD$5*10</f>
        <v>4.0334550791562069</v>
      </c>
      <c r="AG466" s="253">
        <f>_xlfn.XLOOKUP(FMS_Ranking4[[#This Row],[FMS ID]],FMS_Input[FMS_ID],FMS_Input[FARMACRE100])</f>
        <v>68.388084411621094</v>
      </c>
      <c r="AH466" s="255">
        <f>(ASINH(FMS_Ranking4[[#This Row],[Ag Land Raw]]))*(10)/(ASINH(AG$4))</f>
        <v>3.1949010018073642</v>
      </c>
      <c r="AI466" s="260">
        <f>FMS_Ranking4[[#This Row],[Farm &amp; ranch land, ArcSinh (0-10)]]*AG$5*10</f>
        <v>1.5974505009036821</v>
      </c>
      <c r="AJ466" s="258">
        <f>_xlfn.XLOOKUP(FMS_Ranking4[[#This Row],[FMS ID]],FMS_Input[FMS_ID],FMS_Input[REDSTRUCT100])</f>
        <v>0</v>
      </c>
      <c r="AK466" s="253">
        <f>_xlfn.XLOOKUP(FMS_Ranking4[[#This Row],[FMS ID]],FMS_Input[FMS_ID],FMS_Input[REMSTRC100])</f>
        <v>0</v>
      </c>
      <c r="AL466" s="259">
        <f>(ASINH(FMS_Ranking4[[#This Row],[Structures Removed Raw]]))*(10)/(ASINH(AK$4))</f>
        <v>0</v>
      </c>
      <c r="AM466" s="262">
        <f>FMS_Ranking4[[#This Row],[Structures removed, ArcSinh (0-10)]]*AK$5*10</f>
        <v>0</v>
      </c>
      <c r="AN466" s="253">
        <f>_xlfn.XLOOKUP(FMS_Ranking4[[#This Row],[FMS ID]],FMS_Input[FMS_ID],FMS_Input[REMRESSTRC100])</f>
        <v>0</v>
      </c>
      <c r="AO466" s="261">
        <f>FMS_Ranking4[[#This Row],[ArcSinh Res struct removed 0-10]]*AN$5*10</f>
        <v>0</v>
      </c>
      <c r="AP466" s="260">
        <f>ASINH(FMS_Ranking4[[#This Row],[Residential Structures Removed Raw]])/AP$4*AN$5*100</f>
        <v>0</v>
      </c>
      <c r="AQ466" s="254">
        <f>(ASINH(FMS_Ranking4[[#This Row],[Residential Structures Removed Raw]]))*(10)/(ASINH(AN$4))</f>
        <v>0</v>
      </c>
      <c r="AR466" s="253">
        <f>_xlfn.XLOOKUP(FMS_Ranking4[[#This Row],[FMS ID]],FMS_Input[FMS_ID],FMS_Input[REMPOP100])</f>
        <v>0</v>
      </c>
      <c r="AS466" s="259">
        <f>(ASINH(FMS_Ranking4[[#This Row],[Removed Pop Raw]]))*(10)/(ASINH(AR$4))</f>
        <v>0</v>
      </c>
      <c r="AT466" s="262">
        <f>FMS_Ranking4[[#This Row],[Removed population, ArcSinh (0-10)]]*AR$5*10</f>
        <v>0</v>
      </c>
      <c r="AU466" s="264">
        <f>_xlfn.XLOOKUP(FMS_Ranking4[[#This Row],[FMS ID]],FMS_Input[FMS_ID],FMS_Input[REMCRITFAC100])</f>
        <v>0</v>
      </c>
      <c r="AV466" s="264">
        <f>_xlfn.XLOOKUP(FMS_Ranking4[[#This Row],[FMS ID]],FMS_Input[FMS_ID],FMS_Input[REMLWC100])</f>
        <v>0</v>
      </c>
      <c r="AW466" s="264">
        <f>_xlfn.XLOOKUP(FMS_Ranking4[[#This Row],[FMS ID]],FMS_Input[FMS_ID],FMS_Input[REMROADCLS])</f>
        <v>0</v>
      </c>
      <c r="AX466" s="264">
        <f>_xlfn.XLOOKUP(FMS_Ranking4[[#This Row],[FMS ID]],FMS_Input[FMS_ID],FMS_Input[REMFRMACRE100])</f>
        <v>0</v>
      </c>
      <c r="AY466" s="258">
        <f>_xlfn.XLOOKUP(FMS_Ranking4[[#This Row],[FMS ID]],FMS_Input[FMS_ID],FMS_Input[COSTSTRUCT])</f>
        <v>0</v>
      </c>
      <c r="AZ466" s="253">
        <f>_xlfn.XLOOKUP(FMS_Ranking4[[#This Row],[FMS ID]],FMS_Input[FMS_ID],FMS_Input[NATURE])</f>
        <v>100</v>
      </c>
      <c r="BA466" s="262">
        <f>(((FMS_Ranking4[[#This Row],[% NBS Raw]]/AZ$4)*100)*AZ$5)</f>
        <v>7.5</v>
      </c>
      <c r="BB466" s="251" t="str">
        <f>_xlfn.XLOOKUP(FMS_Ranking4[[#This Row],[FMS ID]],FMS_Input[FMS_ID],FMS_Input[WATER_SUP])</f>
        <v>No</v>
      </c>
      <c r="BC466" s="265">
        <f>IF(FMS_Ranking4[[#This Row],[Water Supply Raw]]="Yes",10,0)</f>
        <v>0</v>
      </c>
      <c r="BD466" s="266">
        <f>_xlfn.XLOOKUP(FMS_Ranking4[[#This Row],[FMS Type]],FMS_TYPE[FMS_Type],FMS_TYPE[Score])</f>
        <v>4</v>
      </c>
      <c r="BE466" s="267">
        <f>FMS_Ranking4[[#This Row],[FMS_Type Score]]*$BD$5*10</f>
        <v>1</v>
      </c>
      <c r="BF46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5.2349245804857079E-2</v>
      </c>
      <c r="BG466" s="271">
        <f>_xlfn.RANK.EQ(BF466,$BF$8:$BF$870,0)+COUNTIF($BF$8:BF466,BF466)-1</f>
        <v>560</v>
      </c>
      <c r="BH466" s="268">
        <f>(((FMS_Ranking4[[#This Row],[Structures Removed Raw]]/AK$4)*100)*AK$5)+(((FMS_Ranking4[[#This Row],[Removed Pop Raw]]/AR$4)*100)*AR$5)</f>
        <v>0</v>
      </c>
      <c r="BI46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8.5523492458048569</v>
      </c>
      <c r="BJ466" s="205">
        <f>_xlfn.RANK.EQ(FMS_Ranking4[[#This Row],[Total Score 
(with linear
normalization)]],FMS_Ranking4[Total Score 
(with linear
normalization)],0)</f>
        <v>76</v>
      </c>
      <c r="BK466" s="205" t="e">
        <f>_xlfn.XLOOKUP(FMS_Ranking4[[#This Row],[FMS ID]],#REF!,#REF!)</f>
        <v>#REF!</v>
      </c>
      <c r="BL46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12.902374070400452</v>
      </c>
      <c r="BM466" s="272">
        <f>FMS_Ranking4[[#This Row],[ArcSinh Score Based on Normalized Reported Factors]]+FMS_Ranking4[[#This Row],[% NBS Score (Normalized)]]+(FMS_Ranking4[[#This Row],[Water Supply Score (Normalized)]]*10*$BB$5)+FMS_Ranking4[[#This Row],[FMS_Type Score Weighted]]</f>
        <v>21.402374070400452</v>
      </c>
      <c r="BN466" s="205">
        <f>_xlfn.RANK.EQ(FMS_Ranking4[[#This Row],[Total Score (with ArcSinh normalization of select criteria)]],FMS_Ranking4[Total Score (with ArcSinh normalization of select criteria)],0)</f>
        <v>459</v>
      </c>
      <c r="BO466" s="270" t="str">
        <f>_xlfn.XLOOKUP(FMS_Ranking4[[#This Row],[FMS ID]],FMS_Input[FMS_ID],FMS_Input[FMS_RANK_YEAR])</f>
        <v>2023 Amended Plan</v>
      </c>
      <c r="BP466" s="204">
        <f>_xlfn.XLOOKUP(FMS_Ranking4[[#This Row],[FMS ID]],Prev_Rank[FMS ID],Prev_Rank[Prev Rank])</f>
        <v>414</v>
      </c>
      <c r="BQ466" s="205" t="e">
        <f>_xlfn.XLOOKUP(FMS_Ranking4[[#This Row],[FMS ID]],#REF!,#REF!)</f>
        <v>#REF!</v>
      </c>
      <c r="BR466" s="199" t="e">
        <f>SUM(#REF!,#REF!,#REF!,#REF!,#REF!,#REF!,#REF!,#REF!,#REF!,FMS_Ranking4[[#This Row],[ArcSinh Res struct removed 0-10]],#REF!)</f>
        <v>#REF!</v>
      </c>
      <c r="BS466" s="199" t="e">
        <f>FMS_Ranking4[[#This Row],[Log Score Based on Normalized Reported Factors]]+FMS_Ranking4[[#This Row],[% NBS Score (Normalized)]]+(FMS_Ranking4[[#This Row],[Water Supply Score (Normalized)]]*10*$BB$5)+(FMS_Ranking4[[#This Row],[FMS_Type Score Weighted]])</f>
        <v>#REF!</v>
      </c>
      <c r="BT466" s="200" t="e">
        <f>_xlfn.RANK.EQ(FMS_Ranking4[[#This Row],[Log Total Score]],FMS_Ranking4[Log Total Score],0)</f>
        <v>#REF!</v>
      </c>
      <c r="BU466" s="200" t="e">
        <f>_xlfn.XLOOKUP(FMS_Ranking4[[#This Row],[FMS ID]],#REF!,#REF!)</f>
        <v>#REF!</v>
      </c>
      <c r="BV466" s="200">
        <f>FMS_Ranking4[[#This Row],[Region Number]]</f>
        <v>5</v>
      </c>
      <c r="BW466" s="200">
        <f>FMS_Ranking4[[#This Row],[Rank (with ArcSinh normalization of select criteria)]]-FMS_Ranking4[[#This Row],[Rank
(with linear
normalization)]]</f>
        <v>383</v>
      </c>
      <c r="BX466" s="200" t="e">
        <f>FMS_Ranking4[[#This Row],[Log Rank]]-FMS_Ranking4[[#This Row],[Rank
(with linear
normalization)]]</f>
        <v>#REF!</v>
      </c>
      <c r="BY466" s="200" t="str">
        <f>IF(FMS_Ranking4[[#This Row],[FMS Type]]="Flood Measurement and Warning",FMS_Ranking4[[#This Row],[Rank (with ArcSinh normalization of select criteria)]],"")</f>
        <v/>
      </c>
      <c r="BZ466" s="200" t="str">
        <f>IF(FMS_Ranking4[[#This Row],[FMS Type]]="Regulatory and Guidance",FMS_Ranking4[[#This Row],[Rank (with ArcSinh normalization of select criteria)]],"")</f>
        <v/>
      </c>
      <c r="CA466" s="200" t="str">
        <f>IF(FMS_Ranking4[[#This Row],[FMS Type]]="Education and Outreach",FMS_Ranking4[[#This Row],[Rank (with ArcSinh normalization of select criteria)]],"")</f>
        <v/>
      </c>
      <c r="CB466" s="200">
        <f>IF(FMS_Ranking4[[#This Row],[FMS Type]]="Property Acquisition and Structural Elevation",FMS_Ranking4[[#This Row],[Rank (with ArcSinh normalization of select criteria)]],"")</f>
        <v>459</v>
      </c>
      <c r="CC466" s="200" t="str">
        <f>IF(FMS_Ranking4[[#This Row],[FMS Type]]="Infrastructure Projects",FMS_Ranking4[[#This Row],[Rank (with ArcSinh normalization of select criteria)]],"")</f>
        <v/>
      </c>
      <c r="CD466" s="200" t="str">
        <f>IF(FMS_Ranking4[[#This Row],[FMS Type]]="Other",FMS_Ranking4[[#This Row],[Rank (with ArcSinh normalization of select criteria)]],"")</f>
        <v/>
      </c>
      <c r="CE466" s="201"/>
      <c r="CF466" s="206"/>
      <c r="CG466" s="206"/>
      <c r="CH466" s="206"/>
      <c r="CI466" s="206"/>
      <c r="CJ466" s="206"/>
      <c r="CK466" s="206"/>
      <c r="CL466" s="206"/>
      <c r="CM466" s="206"/>
      <c r="CN466" s="206"/>
      <c r="CO466" s="206"/>
      <c r="CP466" s="206"/>
      <c r="CQ466" s="206"/>
      <c r="CR466" s="206"/>
    </row>
    <row r="467" spans="2:96" ht="45" x14ac:dyDescent="0.25">
      <c r="B467" s="341" t="s">
        <v>3259</v>
      </c>
      <c r="C467" s="246">
        <f>_xlfn.XLOOKUP(FMS_Ranking4[[#This Row],[FMS ID]],FMS_Input[FMS_ID],FMS_Input[RFPG_NUM])</f>
        <v>7</v>
      </c>
      <c r="D467" s="309" t="str">
        <f>_xlfn.XLOOKUP(FMS_Ranking4[[#This Row],[FMS ID]],FMS_Input[FMS_ID],FMS_Input[FMS_NAME])</f>
        <v>City of Munday NFIP Participation</v>
      </c>
      <c r="E467" s="308" t="str">
        <f>_xlfn.XLOOKUP(FMS_Ranking4[[#This Row],[FMS ID]],FMS_Input[FMS_ID],FMS_Input[SPONSOR])</f>
        <v>07002758</v>
      </c>
      <c r="F467" s="309" t="str">
        <f>_xlfn.XLOOKUP(FMS_Ranking4[[#This Row],[FMS ID]],Sponsor[FMS_ID],Sponsor[SPONSOR NAME])</f>
        <v>Munday</v>
      </c>
      <c r="G467" s="309" t="str">
        <f>_xlfn.XLOOKUP(FMS_Ranking4[[#This Row],[FMS ID]],FMS_Input[FMS_ID],FMS_Input[FMS_DESCR])</f>
        <v>Application to join NFIP or adoption of equivalent standards.</v>
      </c>
      <c r="H467" s="248" t="str">
        <f>_xlfn.XLOOKUP(FMS_Ranking4[[#This Row],[FMS ID]],FMS_Input[FMS_ID],FMS_Input[FMS_TYPE])</f>
        <v>Regulatory and Guidance</v>
      </c>
      <c r="I467" s="249">
        <f>_xlfn.XLOOKUP(FMS_Ranking4[[#This Row],[FMS ID]],FMS_Input[FMS_ID],FMS_Input[NRNC_COST])</f>
        <v>50000</v>
      </c>
      <c r="J467" s="250">
        <f>_xlfn.XLOOKUP(FMS_Ranking4[[#This Row],[FMS ID]],FMS_Input[FMS_ID],FMS_Input[FMS_COST])</f>
        <v>50000</v>
      </c>
      <c r="K467" s="251" t="str">
        <f>_xlfn.XLOOKUP(FMS_Ranking4[[#This Row],[FMS ID]],FMS_Input[FMS_ID],FMS_Input[EMER_NEED])</f>
        <v>No</v>
      </c>
      <c r="L467" s="252">
        <f t="shared" si="7"/>
        <v>0</v>
      </c>
      <c r="M467" s="253">
        <f>_xlfn.XLOOKUP(FMS_Ranking4[[#This Row],[FMS ID]],FMS_Input[FMS_ID],FMS_Input[STRUCT_100])</f>
        <v>690</v>
      </c>
      <c r="N467" s="255">
        <f>(ASINH(FMS_Ranking4[[#This Row],[Structure at Risk Raw]]))*(10)/(ASINH(M$4))</f>
        <v>5.6837301688026578</v>
      </c>
      <c r="O467" s="256">
        <f>FMS_Ranking4[[#This Row],[Structures at risk, ArcSinh (0-10)]]*M$5*10</f>
        <v>5.6837301688026578</v>
      </c>
      <c r="P467" s="253">
        <f>_xlfn.XLOOKUP(FMS_Ranking4[[#This Row],[FMS ID]],FMS_Input[FMS_ID],FMS_Input[RES_STRUCT100])</f>
        <v>417</v>
      </c>
      <c r="Q467" s="257">
        <f>ASINH(FMS_Ranking4[[#This Row],[Res Structure Raw]])/Q$4*P$5*100</f>
        <v>0</v>
      </c>
      <c r="R467" s="253">
        <f>_xlfn.XLOOKUP(FMS_Ranking4[[#This Row],[FMS ID]],FMS_Input[FMS_ID],FMS_Input[POP100])</f>
        <v>1065</v>
      </c>
      <c r="S467" s="255">
        <f>(ASINH(FMS_Ranking4[[#This Row],[Pop at Risk Raw]]))*(10)/(ASINH(R$4))</f>
        <v>5.2908207989273475</v>
      </c>
      <c r="T467" s="256">
        <f>FMS_Ranking4[[#This Row],[Population at risk, ArcSinh (0-10)]]*R$5*10</f>
        <v>5.2908207989273484</v>
      </c>
      <c r="U467" s="253">
        <f>_xlfn.XLOOKUP(FMS_Ranking4[[#This Row],[FMS ID]],FMS_Input[FMS_ID],FMS_Input[CRITFAC100])</f>
        <v>4</v>
      </c>
      <c r="V467" s="255">
        <f>(ASINH(FMS_Ranking4[[#This Row],[Critical Facilities Raw]]))*(10)/(ASINH(U$4))</f>
        <v>2.4796455944038147</v>
      </c>
      <c r="W467" s="256">
        <f>FMS_Ranking4[[#This Row],[Critical facilities at risk, ArcSinh (0-10)]]*U$5*10</f>
        <v>2.4796455944038147</v>
      </c>
      <c r="X467" s="253">
        <f>_xlfn.XLOOKUP(FMS_Ranking4[[#This Row],[FMS ID]],FMS_Input[FMS_ID],FMS_Input[LWC])</f>
        <v>0</v>
      </c>
      <c r="Y467" s="255">
        <f>(ASINH(FMS_Ranking4[[#This Row],[LWC Raw]]))*(10)/(ASINH(X$4))</f>
        <v>0</v>
      </c>
      <c r="Z467" s="256">
        <f>FMS_Ranking4[[#This Row],[LWC, ArcSInh (0-10)]]*X$5*10</f>
        <v>0</v>
      </c>
      <c r="AA467" s="253">
        <f>_xlfn.XLOOKUP(FMS_Ranking4[[#This Row],[FMS ID]],FMS_Input[FMS_ID],FMS_Input[ROADCLS])</f>
        <v>0</v>
      </c>
      <c r="AB467" s="255">
        <f>(ASINH(FMS_Ranking4[[#This Row],[Road Closures Raw]]))*(10)/(ASINH(AA$4))</f>
        <v>0</v>
      </c>
      <c r="AC467" s="256">
        <f>FMS_Ranking4[[#This Row],[Road closures, ArcSinh (0-10)]]*AA$5*10</f>
        <v>0</v>
      </c>
      <c r="AD467" s="253">
        <f>_xlfn.XLOOKUP(FMS_Ranking4[[#This Row],[FMS ID]],FMS_Input[FMS_ID],FMS_Input[ROAD_MILES100])</f>
        <v>20</v>
      </c>
      <c r="AE467" s="255">
        <f>(ASINH(FMS_Ranking4[[#This Row],[Road Miles Raw]]))*(10)/(ASINH(AD$4))</f>
        <v>3.9319960523834281</v>
      </c>
      <c r="AF467" s="256">
        <f>FMS_Ranking4[[#This Row],[Length of roads at risk, ArcSinh (0-10)]]*AD$5*10</f>
        <v>3.9319960523834285</v>
      </c>
      <c r="AG467" s="253">
        <f>_xlfn.XLOOKUP(FMS_Ranking4[[#This Row],[FMS ID]],FMS_Input[FMS_ID],FMS_Input[FARMACRE100])</f>
        <v>182.70198059082031</v>
      </c>
      <c r="AH467" s="255">
        <f>(ASINH(FMS_Ranking4[[#This Row],[Ag Land Raw]]))*(10)/(ASINH(AG$4))</f>
        <v>3.8331873789276494</v>
      </c>
      <c r="AI467" s="260">
        <f>FMS_Ranking4[[#This Row],[Farm &amp; ranch land, ArcSinh (0-10)]]*AG$5*10</f>
        <v>1.9165936894638247</v>
      </c>
      <c r="AJ467" s="258">
        <f>_xlfn.XLOOKUP(FMS_Ranking4[[#This Row],[FMS ID]],FMS_Input[FMS_ID],FMS_Input[REDSTRUCT100])</f>
        <v>0</v>
      </c>
      <c r="AK467" s="253">
        <f>_xlfn.XLOOKUP(FMS_Ranking4[[#This Row],[FMS ID]],FMS_Input[FMS_ID],FMS_Input[REMSTRC100])</f>
        <v>0</v>
      </c>
      <c r="AL467" s="255">
        <f>(ASINH(FMS_Ranking4[[#This Row],[Structures Removed Raw]]))*(10)/(ASINH(AK$4))</f>
        <v>0</v>
      </c>
      <c r="AM467" s="262">
        <f>FMS_Ranking4[[#This Row],[Structures removed, ArcSinh (0-10)]]*AK$5*10</f>
        <v>0</v>
      </c>
      <c r="AN467" s="253">
        <f>_xlfn.XLOOKUP(FMS_Ranking4[[#This Row],[FMS ID]],FMS_Input[FMS_ID],FMS_Input[REMRESSTRC100])</f>
        <v>0</v>
      </c>
      <c r="AO467" s="261">
        <f>FMS_Ranking4[[#This Row],[ArcSinh Res struct removed 0-10]]*AN$5*10</f>
        <v>0</v>
      </c>
      <c r="AP467" s="260">
        <f>ASINH(FMS_Ranking4[[#This Row],[Residential Structures Removed Raw]])/AP$4*AN$5*100</f>
        <v>0</v>
      </c>
      <c r="AQ467" s="258">
        <f>(ASINH(FMS_Ranking4[[#This Row],[Residential Structures Removed Raw]]))*(10)/(ASINH(AN$4))</f>
        <v>0</v>
      </c>
      <c r="AR467" s="253">
        <f>_xlfn.XLOOKUP(FMS_Ranking4[[#This Row],[FMS ID]],FMS_Input[FMS_ID],FMS_Input[REMPOP100])</f>
        <v>0</v>
      </c>
      <c r="AS467" s="255">
        <f>(ASINH(FMS_Ranking4[[#This Row],[Removed Pop Raw]]))*(10)/(ASINH(AR$4))</f>
        <v>0</v>
      </c>
      <c r="AT467" s="262">
        <f>FMS_Ranking4[[#This Row],[Removed population, ArcSinh (0-10)]]*AR$5*10</f>
        <v>0</v>
      </c>
      <c r="AU467" s="264">
        <f>_xlfn.XLOOKUP(FMS_Ranking4[[#This Row],[FMS ID]],FMS_Input[FMS_ID],FMS_Input[REMCRITFAC100])</f>
        <v>0</v>
      </c>
      <c r="AV467" s="264">
        <f>_xlfn.XLOOKUP(FMS_Ranking4[[#This Row],[FMS ID]],FMS_Input[FMS_ID],FMS_Input[REMLWC100])</f>
        <v>0</v>
      </c>
      <c r="AW467" s="264">
        <f>_xlfn.XLOOKUP(FMS_Ranking4[[#This Row],[FMS ID]],FMS_Input[FMS_ID],FMS_Input[REMROADCLS])</f>
        <v>0</v>
      </c>
      <c r="AX467" s="264">
        <f>_xlfn.XLOOKUP(FMS_Ranking4[[#This Row],[FMS ID]],FMS_Input[FMS_ID],FMS_Input[REMFRMACRE100])</f>
        <v>0</v>
      </c>
      <c r="AY467" s="258">
        <f>_xlfn.XLOOKUP(FMS_Ranking4[[#This Row],[FMS ID]],FMS_Input[FMS_ID],FMS_Input[COSTSTRUCT])</f>
        <v>0</v>
      </c>
      <c r="AZ467" s="253">
        <f>_xlfn.XLOOKUP(FMS_Ranking4[[#This Row],[FMS ID]],FMS_Input[FMS_ID],FMS_Input[NATURE])</f>
        <v>0</v>
      </c>
      <c r="BA467" s="262">
        <f>(((FMS_Ranking4[[#This Row],[% NBS Raw]]/AZ$4)*100)*AZ$5)</f>
        <v>0</v>
      </c>
      <c r="BB467" s="251" t="str">
        <f>_xlfn.XLOOKUP(FMS_Ranking4[[#This Row],[FMS ID]],FMS_Input[FMS_ID],FMS_Input[WATER_SUP])</f>
        <v>No</v>
      </c>
      <c r="BC467" s="265">
        <f>IF(FMS_Ranking4[[#This Row],[Water Supply Raw]]="Yes",10,0)</f>
        <v>0</v>
      </c>
      <c r="BD467" s="266">
        <f>_xlfn.XLOOKUP(FMS_Ranking4[[#This Row],[FMS Type]],FMS_TYPE[FMS_Type],FMS_TYPE[Score])</f>
        <v>8</v>
      </c>
      <c r="BE467" s="267">
        <f>FMS_Ranking4[[#This Row],[FMS_Type Score]]*$BD$5*10</f>
        <v>2</v>
      </c>
      <c r="BF46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0.1033411572211012</v>
      </c>
      <c r="BG467" s="321">
        <f>_xlfn.RANK.EQ(BF467,$BF$8:$BF$870,0)+COUNTIF($BF$8:BF467,BF467)-1</f>
        <v>494</v>
      </c>
      <c r="BH467" s="294">
        <f>(((FMS_Ranking4[[#This Row],[Structures Removed Raw]]/AK$4)*100)*AK$5)+(((FMS_Ranking4[[#This Row],[Removed Pop Raw]]/AR$4)*100)*AR$5)</f>
        <v>0</v>
      </c>
      <c r="BI46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2.1033411572211014</v>
      </c>
      <c r="BJ467" s="251">
        <f>_xlfn.RANK.EQ(FMS_Ranking4[[#This Row],[Total Score 
(with linear
normalization)]],FMS_Ranking4[Total Score 
(with linear
normalization)],0)</f>
        <v>368</v>
      </c>
      <c r="BK467" s="251" t="e">
        <f>_xlfn.XLOOKUP(FMS_Ranking4[[#This Row],[FMS ID]],#REF!,#REF!)</f>
        <v>#REF!</v>
      </c>
      <c r="BL46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19.302786303981073</v>
      </c>
      <c r="BM467" s="324">
        <f>FMS_Ranking4[[#This Row],[ArcSinh Score Based on Normalized Reported Factors]]+FMS_Ranking4[[#This Row],[% NBS Score (Normalized)]]+(FMS_Ranking4[[#This Row],[Water Supply Score (Normalized)]]*10*$BB$5)+FMS_Ranking4[[#This Row],[FMS_Type Score Weighted]]</f>
        <v>21.302786303981073</v>
      </c>
      <c r="BN467" s="251">
        <f>_xlfn.RANK.EQ(FMS_Ranking4[[#This Row],[Total Score (with ArcSinh normalization of select criteria)]],FMS_Ranking4[Total Score (with ArcSinh normalization of select criteria)],0)</f>
        <v>460</v>
      </c>
      <c r="BO467" s="270" t="str">
        <f>_xlfn.XLOOKUP(FMS_Ranking4[[#This Row],[FMS ID]],FMS_Input[FMS_ID],FMS_Input[FMS_RANK_YEAR])</f>
        <v>2023 Amended Plan</v>
      </c>
      <c r="BP467" s="204">
        <f>_xlfn.XLOOKUP(FMS_Ranking4[[#This Row],[FMS ID]],Prev_Rank[FMS ID],Prev_Rank[Prev Rank])</f>
        <v>413</v>
      </c>
      <c r="BQ467" s="251" t="e">
        <f>_xlfn.XLOOKUP(FMS_Ranking4[[#This Row],[FMS ID]],#REF!,#REF!)</f>
        <v>#REF!</v>
      </c>
      <c r="BR467" s="199" t="e">
        <f>SUM(#REF!,#REF!,#REF!,#REF!,#REF!,#REF!,#REF!,#REF!,#REF!,FMS_Ranking4[[#This Row],[ArcSinh Res struct removed 0-10]],#REF!)</f>
        <v>#REF!</v>
      </c>
      <c r="BS467" s="199" t="e">
        <f>FMS_Ranking4[[#This Row],[Log Score Based on Normalized Reported Factors]]+FMS_Ranking4[[#This Row],[% NBS Score (Normalized)]]+(FMS_Ranking4[[#This Row],[Water Supply Score (Normalized)]]*10*$BB$5)+(FMS_Ranking4[[#This Row],[FMS_Type Score Weighted]])</f>
        <v>#REF!</v>
      </c>
      <c r="BT467" s="200" t="e">
        <f>_xlfn.RANK.EQ(FMS_Ranking4[[#This Row],[Log Total Score]],FMS_Ranking4[Log Total Score],0)</f>
        <v>#REF!</v>
      </c>
      <c r="BU467" s="200" t="e">
        <f>_xlfn.XLOOKUP(FMS_Ranking4[[#This Row],[FMS ID]],#REF!,#REF!)</f>
        <v>#REF!</v>
      </c>
      <c r="BV467" s="200">
        <f>FMS_Ranking4[[#This Row],[Region Number]]</f>
        <v>7</v>
      </c>
      <c r="BW467" s="200">
        <f>FMS_Ranking4[[#This Row],[Rank (with ArcSinh normalization of select criteria)]]-FMS_Ranking4[[#This Row],[Rank
(with linear
normalization)]]</f>
        <v>92</v>
      </c>
      <c r="BX467" s="200" t="e">
        <f>FMS_Ranking4[[#This Row],[Log Rank]]-FMS_Ranking4[[#This Row],[Rank
(with linear
normalization)]]</f>
        <v>#REF!</v>
      </c>
      <c r="BY467" s="200" t="str">
        <f>IF(FMS_Ranking4[[#This Row],[FMS Type]]="Flood Measurement and Warning",FMS_Ranking4[[#This Row],[Rank (with ArcSinh normalization of select criteria)]],"")</f>
        <v/>
      </c>
      <c r="BZ467" s="200">
        <f>IF(FMS_Ranking4[[#This Row],[FMS Type]]="Regulatory and Guidance",FMS_Ranking4[[#This Row],[Rank (with ArcSinh normalization of select criteria)]],"")</f>
        <v>460</v>
      </c>
      <c r="CA467" s="200" t="str">
        <f>IF(FMS_Ranking4[[#This Row],[FMS Type]]="Education and Outreach",FMS_Ranking4[[#This Row],[Rank (with ArcSinh normalization of select criteria)]],"")</f>
        <v/>
      </c>
      <c r="CB467" s="200" t="str">
        <f>IF(FMS_Ranking4[[#This Row],[FMS Type]]="Property Acquisition and Structural Elevation",FMS_Ranking4[[#This Row],[Rank (with ArcSinh normalization of select criteria)]],"")</f>
        <v/>
      </c>
      <c r="CC467" s="200" t="str">
        <f>IF(FMS_Ranking4[[#This Row],[FMS Type]]="Infrastructure Projects",FMS_Ranking4[[#This Row],[Rank (with ArcSinh normalization of select criteria)]],"")</f>
        <v/>
      </c>
      <c r="CD467" s="200" t="str">
        <f>IF(FMS_Ranking4[[#This Row],[FMS Type]]="Other",FMS_Ranking4[[#This Row],[Rank (with ArcSinh normalization of select criteria)]],"")</f>
        <v/>
      </c>
      <c r="CE467" s="201"/>
      <c r="CF467" s="206"/>
      <c r="CG467" s="206"/>
      <c r="CH467" s="206"/>
      <c r="CI467" s="206"/>
      <c r="CJ467" s="206"/>
      <c r="CK467" s="206"/>
      <c r="CL467" s="206"/>
      <c r="CM467" s="206"/>
      <c r="CN467" s="206"/>
      <c r="CO467" s="206"/>
      <c r="CP467" s="206"/>
      <c r="CQ467" s="206"/>
      <c r="CR467" s="206"/>
    </row>
    <row r="468" spans="2:96" ht="60" x14ac:dyDescent="0.25">
      <c r="B468" s="341" t="s">
        <v>1478</v>
      </c>
      <c r="C468" s="246">
        <f>_xlfn.XLOOKUP(FMS_Ranking4[[#This Row],[FMS ID]],FMS_Input[FMS_ID],FMS_Input[RFPG_NUM])</f>
        <v>1</v>
      </c>
      <c r="D468" s="309" t="str">
        <f>_xlfn.XLOOKUP(FMS_Ranking4[[#This Row],[FMS ID]],FMS_Input[FMS_ID],FMS_Input[FMS_NAME])</f>
        <v>City of Canyon Installation of LWC Gates on Flood-Prone Roadways </v>
      </c>
      <c r="E468" s="308" t="str">
        <f>_xlfn.XLOOKUP(FMS_Ranking4[[#This Row],[FMS ID]],FMS_Input[FMS_ID],FMS_Input[SPONSOR])</f>
        <v>01003426, 01000243</v>
      </c>
      <c r="F468" s="309" t="str">
        <f>_xlfn.XLOOKUP(FMS_Ranking4[[#This Row],[FMS ID]],Sponsor[FMS_ID],Sponsor[SPONSOR NAME])</f>
        <v>Canyon, Randall</v>
      </c>
      <c r="G468" s="309" t="str">
        <f>_xlfn.XLOOKUP(FMS_Ranking4[[#This Row],[FMS ID]],FMS_Input[FMS_ID],FMS_Input[FMS_DESCR])</f>
        <v>Barrier installation keeps the public from entering high-water areas during flooding events. </v>
      </c>
      <c r="H468" s="248" t="str">
        <f>_xlfn.XLOOKUP(FMS_Ranking4[[#This Row],[FMS ID]],FMS_Input[FMS_ID],FMS_Input[FMS_TYPE])</f>
        <v>Infrastructure Projects</v>
      </c>
      <c r="I468" s="249">
        <f>_xlfn.XLOOKUP(FMS_Ranking4[[#This Row],[FMS ID]],FMS_Input[FMS_ID],FMS_Input[NRNC_COST])</f>
        <v>200000</v>
      </c>
      <c r="J468" s="250">
        <f>_xlfn.XLOOKUP(FMS_Ranking4[[#This Row],[FMS ID]],FMS_Input[FMS_ID],FMS_Input[FMS_COST])</f>
        <v>1000000</v>
      </c>
      <c r="K468" s="251" t="str">
        <f>_xlfn.XLOOKUP(FMS_Ranking4[[#This Row],[FMS ID]],FMS_Input[FMS_ID],FMS_Input[EMER_NEED])</f>
        <v>No</v>
      </c>
      <c r="L468" s="252">
        <f t="shared" si="7"/>
        <v>0</v>
      </c>
      <c r="M468" s="253">
        <f>_xlfn.XLOOKUP(FMS_Ranking4[[#This Row],[FMS ID]],FMS_Input[FMS_ID],FMS_Input[STRUCT_100])</f>
        <v>206</v>
      </c>
      <c r="N468" s="255">
        <f>(ASINH(FMS_Ranking4[[#This Row],[Structure at Risk Raw]]))*(10)/(ASINH(M$4))</f>
        <v>4.7334254754750607</v>
      </c>
      <c r="O468" s="256">
        <f>FMS_Ranking4[[#This Row],[Structures at risk, ArcSinh (0-10)]]*M$5*10</f>
        <v>4.7334254754750607</v>
      </c>
      <c r="P468" s="253">
        <f>_xlfn.XLOOKUP(FMS_Ranking4[[#This Row],[FMS ID]],FMS_Input[FMS_ID],FMS_Input[RES_STRUCT100])</f>
        <v>193</v>
      </c>
      <c r="Q468" s="257">
        <f>ASINH(FMS_Ranking4[[#This Row],[Res Structure Raw]])/Q$4*P$5*100</f>
        <v>0</v>
      </c>
      <c r="R468" s="253">
        <f>_xlfn.XLOOKUP(FMS_Ranking4[[#This Row],[FMS ID]],FMS_Input[FMS_ID],FMS_Input[POP100])</f>
        <v>823</v>
      </c>
      <c r="S468" s="255">
        <f>(ASINH(FMS_Ranking4[[#This Row],[Pop at Risk Raw]]))*(10)/(ASINH(R$4))</f>
        <v>5.1128645868941511</v>
      </c>
      <c r="T468" s="256">
        <f>FMS_Ranking4[[#This Row],[Population at risk, ArcSinh (0-10)]]*R$5*10</f>
        <v>5.1128645868941511</v>
      </c>
      <c r="U468" s="253">
        <f>_xlfn.XLOOKUP(FMS_Ranking4[[#This Row],[FMS ID]],FMS_Input[FMS_ID],FMS_Input[CRITFAC100])</f>
        <v>0</v>
      </c>
      <c r="V468" s="255">
        <f>(ASINH(FMS_Ranking4[[#This Row],[Critical Facilities Raw]]))*(10)/(ASINH(U$4))</f>
        <v>0</v>
      </c>
      <c r="W468" s="256">
        <f>FMS_Ranking4[[#This Row],[Critical facilities at risk, ArcSinh (0-10)]]*U$5*10</f>
        <v>0</v>
      </c>
      <c r="X468" s="253">
        <f>_xlfn.XLOOKUP(FMS_Ranking4[[#This Row],[FMS ID]],FMS_Input[FMS_ID],FMS_Input[LWC])</f>
        <v>7</v>
      </c>
      <c r="Y468" s="255">
        <f>(ASINH(FMS_Ranking4[[#This Row],[LWC Raw]]))*(10)/(ASINH(X$4))</f>
        <v>3.5820902845593281</v>
      </c>
      <c r="Z468" s="256">
        <f>FMS_Ranking4[[#This Row],[LWC, ArcSInh (0-10)]]*X$5*10</f>
        <v>3.5820902845593281</v>
      </c>
      <c r="AA468" s="253">
        <f>_xlfn.XLOOKUP(FMS_Ranking4[[#This Row],[FMS ID]],FMS_Input[FMS_ID],FMS_Input[ROADCLS])</f>
        <v>7</v>
      </c>
      <c r="AB468" s="255">
        <f>(ASINH(FMS_Ranking4[[#This Row],[Road Closures Raw]]))*(10)/(ASINH(AA$4))</f>
        <v>2.7536090869991607</v>
      </c>
      <c r="AC468" s="256">
        <f>FMS_Ranking4[[#This Row],[Road closures, ArcSinh (0-10)]]*AA$5*10</f>
        <v>1.3768045434995804</v>
      </c>
      <c r="AD468" s="253">
        <f>_xlfn.XLOOKUP(FMS_Ranking4[[#This Row],[FMS ID]],FMS_Input[FMS_ID],FMS_Input[ROAD_MILES100])</f>
        <v>15</v>
      </c>
      <c r="AE468" s="255">
        <f>(ASINH(FMS_Ranking4[[#This Row],[Road Miles Raw]]))*(10)/(ASINH(AD$4))</f>
        <v>3.625922827042257</v>
      </c>
      <c r="AF468" s="256">
        <f>FMS_Ranking4[[#This Row],[Length of roads at risk, ArcSinh (0-10)]]*AD$5*10</f>
        <v>3.625922827042257</v>
      </c>
      <c r="AG468" s="253">
        <f>_xlfn.XLOOKUP(FMS_Ranking4[[#This Row],[FMS ID]],FMS_Input[FMS_ID],FMS_Input[FARMACRE100])</f>
        <v>150.2604675292969</v>
      </c>
      <c r="AH468" s="255">
        <f>(ASINH(FMS_Ranking4[[#This Row],[Ag Land Raw]]))*(10)/(ASINH(AG$4))</f>
        <v>3.7062055806677261</v>
      </c>
      <c r="AI468" s="260">
        <f>FMS_Ranking4[[#This Row],[Farm &amp; ranch land, ArcSinh (0-10)]]*AG$5*10</f>
        <v>1.853102790333863</v>
      </c>
      <c r="AJ468" s="258">
        <f>_xlfn.XLOOKUP(FMS_Ranking4[[#This Row],[FMS ID]],FMS_Input[FMS_ID],FMS_Input[REDSTRUCT100])</f>
        <v>0</v>
      </c>
      <c r="AK468" s="253">
        <f>_xlfn.XLOOKUP(FMS_Ranking4[[#This Row],[FMS ID]],FMS_Input[FMS_ID],FMS_Input[REMSTRC100])</f>
        <v>0</v>
      </c>
      <c r="AL468" s="255">
        <f>(ASINH(FMS_Ranking4[[#This Row],[Structures Removed Raw]]))*(10)/(ASINH(AK$4))</f>
        <v>0</v>
      </c>
      <c r="AM468" s="262">
        <f>FMS_Ranking4[[#This Row],[Structures removed, ArcSinh (0-10)]]*AK$5*10</f>
        <v>0</v>
      </c>
      <c r="AN468" s="253">
        <f>_xlfn.XLOOKUP(FMS_Ranking4[[#This Row],[FMS ID]],FMS_Input[FMS_ID],FMS_Input[REMRESSTRC100])</f>
        <v>0</v>
      </c>
      <c r="AO468" s="261">
        <f>FMS_Ranking4[[#This Row],[ArcSinh Res struct removed 0-10]]*AN$5*10</f>
        <v>0</v>
      </c>
      <c r="AP468" s="260">
        <f>ASINH(FMS_Ranking4[[#This Row],[Residential Structures Removed Raw]])/AP$4*AN$5*100</f>
        <v>0</v>
      </c>
      <c r="AQ468" s="258">
        <f>(ASINH(FMS_Ranking4[[#This Row],[Residential Structures Removed Raw]]))*(10)/(ASINH(AN$4))</f>
        <v>0</v>
      </c>
      <c r="AR468" s="253">
        <f>_xlfn.XLOOKUP(FMS_Ranking4[[#This Row],[FMS ID]],FMS_Input[FMS_ID],FMS_Input[REMPOP100])</f>
        <v>0</v>
      </c>
      <c r="AS468" s="255">
        <f>(ASINH(FMS_Ranking4[[#This Row],[Removed Pop Raw]]))*(10)/(ASINH(AR$4))</f>
        <v>0</v>
      </c>
      <c r="AT468" s="262">
        <f>FMS_Ranking4[[#This Row],[Removed population, ArcSinh (0-10)]]*AR$5*10</f>
        <v>0</v>
      </c>
      <c r="AU468" s="264">
        <f>_xlfn.XLOOKUP(FMS_Ranking4[[#This Row],[FMS ID]],FMS_Input[FMS_ID],FMS_Input[REMCRITFAC100])</f>
        <v>0</v>
      </c>
      <c r="AV468" s="264">
        <f>_xlfn.XLOOKUP(FMS_Ranking4[[#This Row],[FMS ID]],FMS_Input[FMS_ID],FMS_Input[REMLWC100])</f>
        <v>0</v>
      </c>
      <c r="AW468" s="264">
        <f>_xlfn.XLOOKUP(FMS_Ranking4[[#This Row],[FMS ID]],FMS_Input[FMS_ID],FMS_Input[REMROADCLS])</f>
        <v>0</v>
      </c>
      <c r="AX468" s="264">
        <f>_xlfn.XLOOKUP(FMS_Ranking4[[#This Row],[FMS ID]],FMS_Input[FMS_ID],FMS_Input[REMFRMACRE100])</f>
        <v>0</v>
      </c>
      <c r="AY468" s="258">
        <f>_xlfn.XLOOKUP(FMS_Ranking4[[#This Row],[FMS ID]],FMS_Input[FMS_ID],FMS_Input[COSTSTRUCT])</f>
        <v>0</v>
      </c>
      <c r="AZ468" s="253">
        <f>_xlfn.XLOOKUP(FMS_Ranking4[[#This Row],[FMS ID]],FMS_Input[FMS_ID],FMS_Input[NATURE])</f>
        <v>0</v>
      </c>
      <c r="BA468" s="262">
        <f>(((FMS_Ranking4[[#This Row],[% NBS Raw]]/AZ$4)*100)*AZ$5)</f>
        <v>0</v>
      </c>
      <c r="BB468" s="251" t="str">
        <f>_xlfn.XLOOKUP(FMS_Ranking4[[#This Row],[FMS ID]],FMS_Input[FMS_ID],FMS_Input[WATER_SUP])</f>
        <v>No</v>
      </c>
      <c r="BC468" s="265">
        <f>IF(FMS_Ranking4[[#This Row],[Water Supply Raw]]="Yes",10,0)</f>
        <v>0</v>
      </c>
      <c r="BD468" s="266">
        <f>_xlfn.XLOOKUP(FMS_Ranking4[[#This Row],[FMS Type]],FMS_TYPE[FMS_Type],FMS_TYPE[Score])</f>
        <v>4</v>
      </c>
      <c r="BE468" s="267">
        <f>FMS_Ranking4[[#This Row],[FMS_Type Score]]*$BD$5*10</f>
        <v>1</v>
      </c>
      <c r="BF46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0.13819202851274909</v>
      </c>
      <c r="BG468" s="321">
        <f>_xlfn.RANK.EQ(BF468,$BF$8:$BF$870,0)+COUNTIF($BF$8:BF468,BF468)-1</f>
        <v>417</v>
      </c>
      <c r="BH468" s="294">
        <f>(((FMS_Ranking4[[#This Row],[Structures Removed Raw]]/AK$4)*100)*AK$5)+(((FMS_Ranking4[[#This Row],[Removed Pop Raw]]/AR$4)*100)*AR$5)</f>
        <v>0</v>
      </c>
      <c r="BI46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1.1381920285127491</v>
      </c>
      <c r="BJ468" s="251">
        <f>_xlfn.RANK.EQ(FMS_Ranking4[[#This Row],[Total Score 
(with linear
normalization)]],FMS_Ranking4[Total Score 
(with linear
normalization)],0)</f>
        <v>661</v>
      </c>
      <c r="BK468" s="251" t="e">
        <f>_xlfn.XLOOKUP(FMS_Ranking4[[#This Row],[FMS ID]],#REF!,#REF!)</f>
        <v>#REF!</v>
      </c>
      <c r="BL46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20.284210507804239</v>
      </c>
      <c r="BM468" s="324">
        <f>FMS_Ranking4[[#This Row],[ArcSinh Score Based on Normalized Reported Factors]]+FMS_Ranking4[[#This Row],[% NBS Score (Normalized)]]+(FMS_Ranking4[[#This Row],[Water Supply Score (Normalized)]]*10*$BB$5)+FMS_Ranking4[[#This Row],[FMS_Type Score Weighted]]</f>
        <v>21.284210507804239</v>
      </c>
      <c r="BN468" s="251">
        <f>_xlfn.RANK.EQ(FMS_Ranking4[[#This Row],[Total Score (with ArcSinh normalization of select criteria)]],FMS_Ranking4[Total Score (with ArcSinh normalization of select criteria)],0)</f>
        <v>461</v>
      </c>
      <c r="BO468" s="270" t="str">
        <f>_xlfn.XLOOKUP(FMS_Ranking4[[#This Row],[FMS ID]],FMS_Input[FMS_ID],FMS_Input[FMS_RANK_YEAR])</f>
        <v>2023 Amended Plan</v>
      </c>
      <c r="BP468" s="204">
        <f>_xlfn.XLOOKUP(FMS_Ranking4[[#This Row],[FMS ID]],Prev_Rank[FMS ID],Prev_Rank[Prev Rank])</f>
        <v>415</v>
      </c>
      <c r="BQ468" s="251" t="e">
        <f>_xlfn.XLOOKUP(FMS_Ranking4[[#This Row],[FMS ID]],#REF!,#REF!)</f>
        <v>#REF!</v>
      </c>
      <c r="BR468" s="199" t="e">
        <f>SUM(#REF!,#REF!,#REF!,#REF!,#REF!,#REF!,#REF!,#REF!,#REF!,FMS_Ranking4[[#This Row],[ArcSinh Res struct removed 0-10]],#REF!)</f>
        <v>#REF!</v>
      </c>
      <c r="BS468" s="199" t="e">
        <f>FMS_Ranking4[[#This Row],[Log Score Based on Normalized Reported Factors]]+FMS_Ranking4[[#This Row],[% NBS Score (Normalized)]]+(FMS_Ranking4[[#This Row],[Water Supply Score (Normalized)]]*10*$BB$5)+(FMS_Ranking4[[#This Row],[FMS_Type Score Weighted]])</f>
        <v>#REF!</v>
      </c>
      <c r="BT468" s="200" t="e">
        <f>_xlfn.RANK.EQ(FMS_Ranking4[[#This Row],[Log Total Score]],FMS_Ranking4[Log Total Score],0)</f>
        <v>#REF!</v>
      </c>
      <c r="BU468" s="200" t="e">
        <f>_xlfn.XLOOKUP(FMS_Ranking4[[#This Row],[FMS ID]],#REF!,#REF!)</f>
        <v>#REF!</v>
      </c>
      <c r="BV468" s="200">
        <f>FMS_Ranking4[[#This Row],[Region Number]]</f>
        <v>1</v>
      </c>
      <c r="BW468" s="200">
        <f>FMS_Ranking4[[#This Row],[Rank (with ArcSinh normalization of select criteria)]]-FMS_Ranking4[[#This Row],[Rank
(with linear
normalization)]]</f>
        <v>-200</v>
      </c>
      <c r="BX468" s="200" t="e">
        <f>FMS_Ranking4[[#This Row],[Log Rank]]-FMS_Ranking4[[#This Row],[Rank
(with linear
normalization)]]</f>
        <v>#REF!</v>
      </c>
      <c r="BY468" s="200" t="str">
        <f>IF(FMS_Ranking4[[#This Row],[FMS Type]]="Flood Measurement and Warning",FMS_Ranking4[[#This Row],[Rank (with ArcSinh normalization of select criteria)]],"")</f>
        <v/>
      </c>
      <c r="BZ468" s="200" t="str">
        <f>IF(FMS_Ranking4[[#This Row],[FMS Type]]="Regulatory and Guidance",FMS_Ranking4[[#This Row],[Rank (with ArcSinh normalization of select criteria)]],"")</f>
        <v/>
      </c>
      <c r="CA468" s="200" t="str">
        <f>IF(FMS_Ranking4[[#This Row],[FMS Type]]="Education and Outreach",FMS_Ranking4[[#This Row],[Rank (with ArcSinh normalization of select criteria)]],"")</f>
        <v/>
      </c>
      <c r="CB468" s="200" t="str">
        <f>IF(FMS_Ranking4[[#This Row],[FMS Type]]="Property Acquisition and Structural Elevation",FMS_Ranking4[[#This Row],[Rank (with ArcSinh normalization of select criteria)]],"")</f>
        <v/>
      </c>
      <c r="CC468" s="200">
        <f>IF(FMS_Ranking4[[#This Row],[FMS Type]]="Infrastructure Projects",FMS_Ranking4[[#This Row],[Rank (with ArcSinh normalization of select criteria)]],"")</f>
        <v>461</v>
      </c>
      <c r="CD468" s="200" t="str">
        <f>IF(FMS_Ranking4[[#This Row],[FMS Type]]="Other",FMS_Ranking4[[#This Row],[Rank (with ArcSinh normalization of select criteria)]],"")</f>
        <v/>
      </c>
      <c r="CE468" s="201"/>
      <c r="CF468" s="206"/>
      <c r="CG468" s="206"/>
      <c r="CH468" s="206"/>
      <c r="CI468" s="206"/>
      <c r="CJ468" s="206"/>
      <c r="CK468" s="206"/>
      <c r="CL468" s="206"/>
      <c r="CM468" s="206"/>
      <c r="CN468" s="206"/>
      <c r="CO468" s="206"/>
      <c r="CP468" s="206"/>
      <c r="CQ468" s="206"/>
      <c r="CR468" s="206"/>
    </row>
    <row r="469" spans="2:96" ht="30" x14ac:dyDescent="0.25">
      <c r="B469" s="341" t="s">
        <v>3952</v>
      </c>
      <c r="C469" s="246">
        <f>_xlfn.XLOOKUP(FMS_Ranking4[[#This Row],[FMS ID]],FMS_Input[FMS_ID],FMS_Input[RFPG_NUM])</f>
        <v>15</v>
      </c>
      <c r="D469" s="309" t="str">
        <f>_xlfn.XLOOKUP(FMS_Ranking4[[#This Row],[FMS ID]],FMS_Input[FMS_ID],FMS_Input[FMS_NAME])</f>
        <v>Port Isabel Action #10</v>
      </c>
      <c r="E469" s="308" t="str">
        <f>_xlfn.XLOOKUP(FMS_Ranking4[[#This Row],[FMS ID]],FMS_Input[FMS_ID],FMS_Input[SPONSOR])</f>
        <v>15000051</v>
      </c>
      <c r="F469" s="309" t="str">
        <f>_xlfn.XLOOKUP(FMS_Ranking4[[#This Row],[FMS ID]],Sponsor[FMS_ID],Sponsor[SPONSOR NAME])</f>
        <v>Port Isabel</v>
      </c>
      <c r="G469" s="309" t="str">
        <f>_xlfn.XLOOKUP(FMS_Ranking4[[#This Row],[FMS ID]],FMS_Input[FMS_ID],FMS_Input[FMS_DESCR])</f>
        <v>Prepare local evacuation plan</v>
      </c>
      <c r="H469" s="248" t="str">
        <f>_xlfn.XLOOKUP(FMS_Ranking4[[#This Row],[FMS ID]],FMS_Input[FMS_ID],FMS_Input[FMS_TYPE])</f>
        <v>Education and Outreach</v>
      </c>
      <c r="I469" s="249">
        <f>_xlfn.XLOOKUP(FMS_Ranking4[[#This Row],[FMS ID]],FMS_Input[FMS_ID],FMS_Input[NRNC_COST])</f>
        <v>1000</v>
      </c>
      <c r="J469" s="250">
        <f>_xlfn.XLOOKUP(FMS_Ranking4[[#This Row],[FMS ID]],FMS_Input[FMS_ID],FMS_Input[FMS_COST])</f>
        <v>500</v>
      </c>
      <c r="K469" s="251" t="str">
        <f>_xlfn.XLOOKUP(FMS_Ranking4[[#This Row],[FMS ID]],FMS_Input[FMS_ID],FMS_Input[EMER_NEED])</f>
        <v>Yes</v>
      </c>
      <c r="L469" s="252">
        <f t="shared" si="7"/>
        <v>1</v>
      </c>
      <c r="M469" s="253">
        <f>_xlfn.XLOOKUP(FMS_Ranking4[[#This Row],[FMS ID]],FMS_Input[FMS_ID],FMS_Input[STRUCT_100])</f>
        <v>1736</v>
      </c>
      <c r="N469" s="255">
        <f>(ASINH(FMS_Ranking4[[#This Row],[Structure at Risk Raw]]))*(10)/(ASINH(M$4))</f>
        <v>6.4090679733799893</v>
      </c>
      <c r="O469" s="256">
        <f>FMS_Ranking4[[#This Row],[Structures at risk, ArcSinh (0-10)]]*M$5*10</f>
        <v>6.4090679733799893</v>
      </c>
      <c r="P469" s="253">
        <f>_xlfn.XLOOKUP(FMS_Ranking4[[#This Row],[FMS ID]],FMS_Input[FMS_ID],FMS_Input[RES_STRUCT100])</f>
        <v>1235</v>
      </c>
      <c r="Q469" s="257">
        <f>ASINH(FMS_Ranking4[[#This Row],[Res Structure Raw]])/Q$4*P$5*100</f>
        <v>0</v>
      </c>
      <c r="R469" s="253">
        <f>_xlfn.XLOOKUP(FMS_Ranking4[[#This Row],[FMS ID]],FMS_Input[FMS_ID],FMS_Input[POP100])</f>
        <v>5912</v>
      </c>
      <c r="S469" s="259">
        <f>(ASINH(FMS_Ranking4[[#This Row],[Pop at Risk Raw]]))*(10)/(ASINH(R$4))</f>
        <v>6.4741011158902868</v>
      </c>
      <c r="T469" s="256">
        <f>FMS_Ranking4[[#This Row],[Population at risk, ArcSinh (0-10)]]*R$5*10</f>
        <v>6.4741011158902868</v>
      </c>
      <c r="U469" s="253">
        <f>_xlfn.XLOOKUP(FMS_Ranking4[[#This Row],[FMS ID]],FMS_Input[FMS_ID],FMS_Input[CRITFAC100])</f>
        <v>1</v>
      </c>
      <c r="V469" s="259">
        <f>(ASINH(FMS_Ranking4[[#This Row],[Critical Facilities Raw]]))*(10)/(ASINH(U$4))</f>
        <v>1.0433384451410745</v>
      </c>
      <c r="W469" s="256">
        <f>FMS_Ranking4[[#This Row],[Critical facilities at risk, ArcSinh (0-10)]]*U$5*10</f>
        <v>1.0433384451410745</v>
      </c>
      <c r="X469" s="253">
        <f>_xlfn.XLOOKUP(FMS_Ranking4[[#This Row],[FMS ID]],FMS_Input[FMS_ID],FMS_Input[LWC])</f>
        <v>0</v>
      </c>
      <c r="Y469" s="259">
        <f>(ASINH(FMS_Ranking4[[#This Row],[LWC Raw]]))*(10)/(ASINH(X$4))</f>
        <v>0</v>
      </c>
      <c r="Z469" s="256">
        <f>FMS_Ranking4[[#This Row],[LWC, ArcSInh (0-10)]]*X$5*10</f>
        <v>0</v>
      </c>
      <c r="AA469" s="253">
        <f>_xlfn.XLOOKUP(FMS_Ranking4[[#This Row],[FMS ID]],FMS_Input[FMS_ID],FMS_Input[ROADCLS])</f>
        <v>0</v>
      </c>
      <c r="AB469" s="255">
        <f>(ASINH(FMS_Ranking4[[#This Row],[Road Closures Raw]]))*(10)/(ASINH(AA$4))</f>
        <v>0</v>
      </c>
      <c r="AC469" s="256">
        <f>FMS_Ranking4[[#This Row],[Road closures, ArcSinh (0-10)]]*AA$5*10</f>
        <v>0</v>
      </c>
      <c r="AD469" s="253">
        <f>_xlfn.XLOOKUP(FMS_Ranking4[[#This Row],[FMS ID]],FMS_Input[FMS_ID],FMS_Input[ROAD_MILES100])</f>
        <v>25</v>
      </c>
      <c r="AE469" s="259">
        <f>(ASINH(FMS_Ranking4[[#This Row],[Road Miles Raw]]))*(10)/(ASINH(AD$4))</f>
        <v>4.1695662658221559</v>
      </c>
      <c r="AF469" s="256">
        <f>FMS_Ranking4[[#This Row],[Length of roads at risk, ArcSinh (0-10)]]*AD$5*10</f>
        <v>4.1695662658221559</v>
      </c>
      <c r="AG469" s="253">
        <f>_xlfn.XLOOKUP(FMS_Ranking4[[#This Row],[FMS ID]],FMS_Input[FMS_ID],FMS_Input[FARMACRE100])</f>
        <v>85.986282348632813</v>
      </c>
      <c r="AH469" s="255">
        <f>(ASINH(FMS_Ranking4[[#This Row],[Ag Land Raw]]))*(10)/(ASINH(AG$4))</f>
        <v>3.3436353671939747</v>
      </c>
      <c r="AI469" s="260">
        <f>FMS_Ranking4[[#This Row],[Farm &amp; ranch land, ArcSinh (0-10)]]*AG$5*10</f>
        <v>1.6718176835969876</v>
      </c>
      <c r="AJ469" s="258">
        <f>_xlfn.XLOOKUP(FMS_Ranking4[[#This Row],[FMS ID]],FMS_Input[FMS_ID],FMS_Input[REDSTRUCT100])</f>
        <v>0</v>
      </c>
      <c r="AK469" s="253">
        <f>_xlfn.XLOOKUP(FMS_Ranking4[[#This Row],[FMS ID]],FMS_Input[FMS_ID],FMS_Input[REMSTRC100])</f>
        <v>0</v>
      </c>
      <c r="AL469" s="259">
        <f>(ASINH(FMS_Ranking4[[#This Row],[Structures Removed Raw]]))*(10)/(ASINH(AK$4))</f>
        <v>0</v>
      </c>
      <c r="AM469" s="262">
        <f>FMS_Ranking4[[#This Row],[Structures removed, ArcSinh (0-10)]]*AK$5*10</f>
        <v>0</v>
      </c>
      <c r="AN469" s="253">
        <f>_xlfn.XLOOKUP(FMS_Ranking4[[#This Row],[FMS ID]],FMS_Input[FMS_ID],FMS_Input[REMRESSTRC100])</f>
        <v>0</v>
      </c>
      <c r="AO469" s="261">
        <f>FMS_Ranking4[[#This Row],[ArcSinh Res struct removed 0-10]]*AN$5*10</f>
        <v>0</v>
      </c>
      <c r="AP469" s="260">
        <f>ASINH(FMS_Ranking4[[#This Row],[Residential Structures Removed Raw]])/AP$4*AN$5*100</f>
        <v>0</v>
      </c>
      <c r="AQ469" s="254">
        <f>(ASINH(FMS_Ranking4[[#This Row],[Residential Structures Removed Raw]]))*(10)/(ASINH(AN$4))</f>
        <v>0</v>
      </c>
      <c r="AR469" s="253">
        <f>_xlfn.XLOOKUP(FMS_Ranking4[[#This Row],[FMS ID]],FMS_Input[FMS_ID],FMS_Input[REMPOP100])</f>
        <v>0</v>
      </c>
      <c r="AS469" s="259">
        <f>(ASINH(FMS_Ranking4[[#This Row],[Removed Pop Raw]]))*(10)/(ASINH(AR$4))</f>
        <v>0</v>
      </c>
      <c r="AT469" s="262">
        <f>FMS_Ranking4[[#This Row],[Removed population, ArcSinh (0-10)]]*AR$5*10</f>
        <v>0</v>
      </c>
      <c r="AU469" s="264">
        <f>_xlfn.XLOOKUP(FMS_Ranking4[[#This Row],[FMS ID]],FMS_Input[FMS_ID],FMS_Input[REMCRITFAC100])</f>
        <v>0</v>
      </c>
      <c r="AV469" s="264">
        <f>_xlfn.XLOOKUP(FMS_Ranking4[[#This Row],[FMS ID]],FMS_Input[FMS_ID],FMS_Input[REMLWC100])</f>
        <v>0</v>
      </c>
      <c r="AW469" s="264">
        <f>_xlfn.XLOOKUP(FMS_Ranking4[[#This Row],[FMS ID]],FMS_Input[FMS_ID],FMS_Input[REMROADCLS])</f>
        <v>0</v>
      </c>
      <c r="AX469" s="264">
        <f>_xlfn.XLOOKUP(FMS_Ranking4[[#This Row],[FMS ID]],FMS_Input[FMS_ID],FMS_Input[REMFRMACRE100])</f>
        <v>0</v>
      </c>
      <c r="AY469" s="258">
        <f>_xlfn.XLOOKUP(FMS_Ranking4[[#This Row],[FMS ID]],FMS_Input[FMS_ID],FMS_Input[COSTSTRUCT])</f>
        <v>0</v>
      </c>
      <c r="AZ469" s="253">
        <f>_xlfn.XLOOKUP(FMS_Ranking4[[#This Row],[FMS ID]],FMS_Input[FMS_ID],FMS_Input[NATURE])</f>
        <v>0</v>
      </c>
      <c r="BA469" s="262">
        <f>(((FMS_Ranking4[[#This Row],[% NBS Raw]]/AZ$4)*100)*AZ$5)</f>
        <v>0</v>
      </c>
      <c r="BB469" s="251" t="str">
        <f>_xlfn.XLOOKUP(FMS_Ranking4[[#This Row],[FMS ID]],FMS_Input[FMS_ID],FMS_Input[WATER_SUP])</f>
        <v>No</v>
      </c>
      <c r="BC469" s="265">
        <f>IF(FMS_Ranking4[[#This Row],[Water Supply Raw]]="Yes",10,0)</f>
        <v>0</v>
      </c>
      <c r="BD469" s="266">
        <f>_xlfn.XLOOKUP(FMS_Ranking4[[#This Row],[FMS Type]],FMS_TYPE[FMS_Type],FMS_TYPE[Score])</f>
        <v>6</v>
      </c>
      <c r="BE469" s="267">
        <f>FMS_Ranking4[[#This Row],[FMS_Type Score]]*$BD$5*10</f>
        <v>1.5000000000000002</v>
      </c>
      <c r="BF46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0.21085870485496813</v>
      </c>
      <c r="BG469" s="271">
        <f>_xlfn.RANK.EQ(BF469,$BF$8:$BF$870,0)+COUNTIF($BF$8:BF469,BF469)-1</f>
        <v>355</v>
      </c>
      <c r="BH469" s="268">
        <f>(((FMS_Ranking4[[#This Row],[Structures Removed Raw]]/AK$4)*100)*AK$5)+(((FMS_Ranking4[[#This Row],[Removed Pop Raw]]/AR$4)*100)*AR$5)</f>
        <v>0</v>
      </c>
      <c r="BI46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1.7108587048549684</v>
      </c>
      <c r="BJ469" s="205">
        <f>_xlfn.RANK.EQ(FMS_Ranking4[[#This Row],[Total Score 
(with linear
normalization)]],FMS_Ranking4[Total Score 
(with linear
normalization)],0)</f>
        <v>547</v>
      </c>
      <c r="BK469" s="205" t="e">
        <f>_xlfn.XLOOKUP(FMS_Ranking4[[#This Row],[FMS ID]],#REF!,#REF!)</f>
        <v>#REF!</v>
      </c>
      <c r="BL46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19.767891483830493</v>
      </c>
      <c r="BM469" s="272">
        <f>FMS_Ranking4[[#This Row],[ArcSinh Score Based on Normalized Reported Factors]]+FMS_Ranking4[[#This Row],[% NBS Score (Normalized)]]+(FMS_Ranking4[[#This Row],[Water Supply Score (Normalized)]]*10*$BB$5)+FMS_Ranking4[[#This Row],[FMS_Type Score Weighted]]</f>
        <v>21.267891483830493</v>
      </c>
      <c r="BN469" s="205">
        <f>_xlfn.RANK.EQ(FMS_Ranking4[[#This Row],[Total Score (with ArcSinh normalization of select criteria)]],FMS_Ranking4[Total Score (with ArcSinh normalization of select criteria)],0)</f>
        <v>462</v>
      </c>
      <c r="BO469" s="270" t="str">
        <f>_xlfn.XLOOKUP(FMS_Ranking4[[#This Row],[FMS ID]],FMS_Input[FMS_ID],FMS_Input[FMS_RANK_YEAR])</f>
        <v>2023 Amended Plan</v>
      </c>
      <c r="BP469" s="204">
        <f>_xlfn.XLOOKUP(FMS_Ranking4[[#This Row],[FMS ID]],Prev_Rank[FMS ID],Prev_Rank[Prev Rank])</f>
        <v>412</v>
      </c>
      <c r="BQ469" s="205" t="e">
        <f>_xlfn.XLOOKUP(FMS_Ranking4[[#This Row],[FMS ID]],#REF!,#REF!)</f>
        <v>#REF!</v>
      </c>
      <c r="BR469" s="199" t="e">
        <f>SUM(#REF!,#REF!,#REF!,#REF!,#REF!,#REF!,#REF!,#REF!,#REF!,FMS_Ranking4[[#This Row],[ArcSinh Res struct removed 0-10]],#REF!)</f>
        <v>#REF!</v>
      </c>
      <c r="BS469" s="199" t="e">
        <f>FMS_Ranking4[[#This Row],[Log Score Based on Normalized Reported Factors]]+FMS_Ranking4[[#This Row],[% NBS Score (Normalized)]]+(FMS_Ranking4[[#This Row],[Water Supply Score (Normalized)]]*10*$BB$5)+(FMS_Ranking4[[#This Row],[FMS_Type Score Weighted]])</f>
        <v>#REF!</v>
      </c>
      <c r="BT469" s="200" t="e">
        <f>_xlfn.RANK.EQ(FMS_Ranking4[[#This Row],[Log Total Score]],FMS_Ranking4[Log Total Score],0)</f>
        <v>#REF!</v>
      </c>
      <c r="BU469" s="200" t="e">
        <f>_xlfn.XLOOKUP(FMS_Ranking4[[#This Row],[FMS ID]],#REF!,#REF!)</f>
        <v>#REF!</v>
      </c>
      <c r="BV469" s="200">
        <f>FMS_Ranking4[[#This Row],[Region Number]]</f>
        <v>15</v>
      </c>
      <c r="BW469" s="200">
        <f>FMS_Ranking4[[#This Row],[Rank (with ArcSinh normalization of select criteria)]]-FMS_Ranking4[[#This Row],[Rank
(with linear
normalization)]]</f>
        <v>-85</v>
      </c>
      <c r="BX469" s="200" t="e">
        <f>FMS_Ranking4[[#This Row],[Log Rank]]-FMS_Ranking4[[#This Row],[Rank
(with linear
normalization)]]</f>
        <v>#REF!</v>
      </c>
      <c r="BY469" s="200" t="str">
        <f>IF(FMS_Ranking4[[#This Row],[FMS Type]]="Flood Measurement and Warning",FMS_Ranking4[[#This Row],[Rank (with ArcSinh normalization of select criteria)]],"")</f>
        <v/>
      </c>
      <c r="BZ469" s="200" t="str">
        <f>IF(FMS_Ranking4[[#This Row],[FMS Type]]="Regulatory and Guidance",FMS_Ranking4[[#This Row],[Rank (with ArcSinh normalization of select criteria)]],"")</f>
        <v/>
      </c>
      <c r="CA469" s="200">
        <f>IF(FMS_Ranking4[[#This Row],[FMS Type]]="Education and Outreach",FMS_Ranking4[[#This Row],[Rank (with ArcSinh normalization of select criteria)]],"")</f>
        <v>462</v>
      </c>
      <c r="CB469" s="200" t="str">
        <f>IF(FMS_Ranking4[[#This Row],[FMS Type]]="Property Acquisition and Structural Elevation",FMS_Ranking4[[#This Row],[Rank (with ArcSinh normalization of select criteria)]],"")</f>
        <v/>
      </c>
      <c r="CC469" s="200" t="str">
        <f>IF(FMS_Ranking4[[#This Row],[FMS Type]]="Infrastructure Projects",FMS_Ranking4[[#This Row],[Rank (with ArcSinh normalization of select criteria)]],"")</f>
        <v/>
      </c>
      <c r="CD469" s="200" t="str">
        <f>IF(FMS_Ranking4[[#This Row],[FMS Type]]="Other",FMS_Ranking4[[#This Row],[Rank (with ArcSinh normalization of select criteria)]],"")</f>
        <v/>
      </c>
      <c r="CE469" s="201"/>
      <c r="CF469" s="206"/>
      <c r="CG469" s="206"/>
      <c r="CH469" s="206"/>
      <c r="CI469" s="206"/>
      <c r="CJ469" s="206"/>
      <c r="CK469" s="206"/>
      <c r="CL469" s="206"/>
      <c r="CM469" s="206"/>
      <c r="CN469" s="206"/>
      <c r="CO469" s="206"/>
      <c r="CP469" s="206"/>
      <c r="CQ469" s="206"/>
      <c r="CR469" s="206"/>
    </row>
    <row r="470" spans="2:96" ht="60" x14ac:dyDescent="0.25">
      <c r="B470" s="341" t="s">
        <v>151</v>
      </c>
      <c r="C470" s="246">
        <f>_xlfn.XLOOKUP(FMS_Ranking4[[#This Row],[FMS ID]],FMS_Input[FMS_ID],FMS_Input[RFPG_NUM])</f>
        <v>6</v>
      </c>
      <c r="D470" s="309" t="str">
        <f>_xlfn.XLOOKUP(FMS_Ranking4[[#This Row],[FMS ID]],FMS_Input[FMS_ID],FMS_Input[FMS_NAME])</f>
        <v>City of Santa Fe - Harden Existing Critical Facilites and Infrastructure</v>
      </c>
      <c r="E470" s="308" t="str">
        <f>_xlfn.XLOOKUP(FMS_Ranking4[[#This Row],[FMS ID]],FMS_Input[FMS_ID],FMS_Input[SPONSOR])</f>
        <v>06003149</v>
      </c>
      <c r="F470" s="309" t="str">
        <f>_xlfn.XLOOKUP(FMS_Ranking4[[#This Row],[FMS ID]],Sponsor[FMS_ID],Sponsor[SPONSOR NAME])</f>
        <v>Santa Fe</v>
      </c>
      <c r="G470" s="309" t="str">
        <f>_xlfn.XLOOKUP(FMS_Ranking4[[#This Row],[FMS ID]],FMS_Input[FMS_ID],FMS_Input[FMS_DESCR])</f>
        <v>Harden existing critical facilites and infrastructure. Specifically City Hall, Maintenance Building, Library, and Community Center.</v>
      </c>
      <c r="H470" s="248" t="str">
        <f>_xlfn.XLOOKUP(FMS_Ranking4[[#This Row],[FMS ID]],FMS_Input[FMS_ID],FMS_Input[FMS_TYPE])</f>
        <v>Infrastructure Projects</v>
      </c>
      <c r="I470" s="249">
        <f>_xlfn.XLOOKUP(FMS_Ranking4[[#This Row],[FMS ID]],FMS_Input[FMS_ID],FMS_Input[NRNC_COST])</f>
        <v>100000</v>
      </c>
      <c r="J470" s="250">
        <f>_xlfn.XLOOKUP(FMS_Ranking4[[#This Row],[FMS ID]],FMS_Input[FMS_ID],FMS_Input[FMS_COST])</f>
        <v>2000000</v>
      </c>
      <c r="K470" s="251" t="str">
        <f>_xlfn.XLOOKUP(FMS_Ranking4[[#This Row],[FMS ID]],FMS_Input[FMS_ID],FMS_Input[EMER_NEED])</f>
        <v>Yes</v>
      </c>
      <c r="L470" s="252">
        <f t="shared" si="7"/>
        <v>1</v>
      </c>
      <c r="M470" s="253">
        <f>_xlfn.XLOOKUP(FMS_Ranking4[[#This Row],[FMS ID]],FMS_Input[FMS_ID],FMS_Input[STRUCT_100])</f>
        <v>400</v>
      </c>
      <c r="N470" s="255">
        <f>(ASINH(FMS_Ranking4[[#This Row],[Structure at Risk Raw]]))*(10)/(ASINH(M$4))</f>
        <v>5.2551013418795591</v>
      </c>
      <c r="O470" s="256">
        <f>FMS_Ranking4[[#This Row],[Structures at risk, ArcSinh (0-10)]]*M$5*10</f>
        <v>5.2551013418795591</v>
      </c>
      <c r="P470" s="253">
        <f>_xlfn.XLOOKUP(FMS_Ranking4[[#This Row],[FMS ID]],FMS_Input[FMS_ID],FMS_Input[RES_STRUCT100])</f>
        <v>306</v>
      </c>
      <c r="Q470" s="257">
        <f>ASINH(FMS_Ranking4[[#This Row],[Res Structure Raw]])/Q$4*P$5*100</f>
        <v>0</v>
      </c>
      <c r="R470" s="253">
        <f>_xlfn.XLOOKUP(FMS_Ranking4[[#This Row],[FMS ID]],FMS_Input[FMS_ID],FMS_Input[POP100])</f>
        <v>748</v>
      </c>
      <c r="S470" s="259">
        <f>(ASINH(FMS_Ranking4[[#This Row],[Pop at Risk Raw]]))*(10)/(ASINH(R$4))</f>
        <v>5.0468986880113436</v>
      </c>
      <c r="T470" s="256">
        <f>FMS_Ranking4[[#This Row],[Population at risk, ArcSinh (0-10)]]*R$5*10</f>
        <v>5.0468986880113444</v>
      </c>
      <c r="U470" s="253">
        <f>_xlfn.XLOOKUP(FMS_Ranking4[[#This Row],[FMS ID]],FMS_Input[FMS_ID],FMS_Input[CRITFAC100])</f>
        <v>1</v>
      </c>
      <c r="V470" s="259">
        <f>(ASINH(FMS_Ranking4[[#This Row],[Critical Facilities Raw]]))*(10)/(ASINH(U$4))</f>
        <v>1.0433384451410745</v>
      </c>
      <c r="W470" s="256">
        <f>FMS_Ranking4[[#This Row],[Critical facilities at risk, ArcSinh (0-10)]]*U$5*10</f>
        <v>1.0433384451410745</v>
      </c>
      <c r="X470" s="253">
        <f>_xlfn.XLOOKUP(FMS_Ranking4[[#This Row],[FMS ID]],FMS_Input[FMS_ID],FMS_Input[LWC])</f>
        <v>9</v>
      </c>
      <c r="Y470" s="259">
        <f>(ASINH(FMS_Ranking4[[#This Row],[LWC Raw]]))*(10)/(ASINH(X$4))</f>
        <v>3.919857876161724</v>
      </c>
      <c r="Z470" s="256">
        <f>FMS_Ranking4[[#This Row],[LWC, ArcSInh (0-10)]]*X$5*10</f>
        <v>3.919857876161724</v>
      </c>
      <c r="AA470" s="253">
        <f>_xlfn.XLOOKUP(FMS_Ranking4[[#This Row],[FMS ID]],FMS_Input[FMS_ID],FMS_Input[ROADCLS])</f>
        <v>9</v>
      </c>
      <c r="AB470" s="255">
        <f>(ASINH(FMS_Ranking4[[#This Row],[Road Closures Raw]]))*(10)/(ASINH(AA$4))</f>
        <v>3.013256341994186</v>
      </c>
      <c r="AC470" s="256">
        <f>FMS_Ranking4[[#This Row],[Road closures, ArcSinh (0-10)]]*AA$5*10</f>
        <v>1.506628170997093</v>
      </c>
      <c r="AD470" s="253">
        <f>_xlfn.XLOOKUP(FMS_Ranking4[[#This Row],[FMS ID]],FMS_Input[FMS_ID],FMS_Input[ROAD_MILES100])</f>
        <v>4</v>
      </c>
      <c r="AE470" s="259">
        <f>(ASINH(FMS_Ranking4[[#This Row],[Road Miles Raw]]))*(10)/(ASINH(AD$4))</f>
        <v>2.2323872691766113</v>
      </c>
      <c r="AF470" s="256">
        <f>FMS_Ranking4[[#This Row],[Length of roads at risk, ArcSinh (0-10)]]*AD$5*10</f>
        <v>2.2323872691766113</v>
      </c>
      <c r="AG470" s="253">
        <f>_xlfn.XLOOKUP(FMS_Ranking4[[#This Row],[FMS ID]],FMS_Input[FMS_ID],FMS_Input[FARMACRE100])</f>
        <v>12.12156867980957</v>
      </c>
      <c r="AH470" s="255">
        <f>(ASINH(FMS_Ranking4[[#This Row],[Ag Land Raw]]))*(10)/(ASINH(AG$4))</f>
        <v>2.0720549247539659</v>
      </c>
      <c r="AI470" s="260">
        <f>FMS_Ranking4[[#This Row],[Farm &amp; ranch land, ArcSinh (0-10)]]*AG$5*10</f>
        <v>1.036027462376983</v>
      </c>
      <c r="AJ470" s="258">
        <f>_xlfn.XLOOKUP(FMS_Ranking4[[#This Row],[FMS ID]],FMS_Input[FMS_ID],FMS_Input[REDSTRUCT100])</f>
        <v>0</v>
      </c>
      <c r="AK470" s="253">
        <f>_xlfn.XLOOKUP(FMS_Ranking4[[#This Row],[FMS ID]],FMS_Input[FMS_ID],FMS_Input[REMSTRC100])</f>
        <v>0</v>
      </c>
      <c r="AL470" s="259">
        <f>(ASINH(FMS_Ranking4[[#This Row],[Structures Removed Raw]]))*(10)/(ASINH(AK$4))</f>
        <v>0</v>
      </c>
      <c r="AM470" s="262">
        <f>FMS_Ranking4[[#This Row],[Structures removed, ArcSinh (0-10)]]*AK$5*10</f>
        <v>0</v>
      </c>
      <c r="AN470" s="253">
        <f>_xlfn.XLOOKUP(FMS_Ranking4[[#This Row],[FMS ID]],FMS_Input[FMS_ID],FMS_Input[REMRESSTRC100])</f>
        <v>0</v>
      </c>
      <c r="AO470" s="261">
        <f>FMS_Ranking4[[#This Row],[ArcSinh Res struct removed 0-10]]*AN$5*10</f>
        <v>0</v>
      </c>
      <c r="AP470" s="260">
        <f>ASINH(FMS_Ranking4[[#This Row],[Residential Structures Removed Raw]])/AP$4*AN$5*100</f>
        <v>0</v>
      </c>
      <c r="AQ470" s="254">
        <f>(ASINH(FMS_Ranking4[[#This Row],[Residential Structures Removed Raw]]))*(10)/(ASINH(AN$4))</f>
        <v>0</v>
      </c>
      <c r="AR470" s="253">
        <f>_xlfn.XLOOKUP(FMS_Ranking4[[#This Row],[FMS ID]],FMS_Input[FMS_ID],FMS_Input[REMPOP100])</f>
        <v>0</v>
      </c>
      <c r="AS470" s="259">
        <f>(ASINH(FMS_Ranking4[[#This Row],[Removed Pop Raw]]))*(10)/(ASINH(AR$4))</f>
        <v>0</v>
      </c>
      <c r="AT470" s="262">
        <f>FMS_Ranking4[[#This Row],[Removed population, ArcSinh (0-10)]]*AR$5*10</f>
        <v>0</v>
      </c>
      <c r="AU470" s="264">
        <f>_xlfn.XLOOKUP(FMS_Ranking4[[#This Row],[FMS ID]],FMS_Input[FMS_ID],FMS_Input[REMCRITFAC100])</f>
        <v>0</v>
      </c>
      <c r="AV470" s="264">
        <f>_xlfn.XLOOKUP(FMS_Ranking4[[#This Row],[FMS ID]],FMS_Input[FMS_ID],FMS_Input[REMLWC100])</f>
        <v>0</v>
      </c>
      <c r="AW470" s="264">
        <f>_xlfn.XLOOKUP(FMS_Ranking4[[#This Row],[FMS ID]],FMS_Input[FMS_ID],FMS_Input[REMROADCLS])</f>
        <v>0</v>
      </c>
      <c r="AX470" s="264">
        <f>_xlfn.XLOOKUP(FMS_Ranking4[[#This Row],[FMS ID]],FMS_Input[FMS_ID],FMS_Input[REMFRMACRE100])</f>
        <v>0</v>
      </c>
      <c r="AY470" s="258">
        <f>_xlfn.XLOOKUP(FMS_Ranking4[[#This Row],[FMS ID]],FMS_Input[FMS_ID],FMS_Input[COSTSTRUCT])</f>
        <v>0</v>
      </c>
      <c r="AZ470" s="253">
        <f>_xlfn.XLOOKUP(FMS_Ranking4[[#This Row],[FMS ID]],FMS_Input[FMS_ID],FMS_Input[NATURE])</f>
        <v>0</v>
      </c>
      <c r="BA470" s="262">
        <f>(((FMS_Ranking4[[#This Row],[% NBS Raw]]/AZ$4)*100)*AZ$5)</f>
        <v>0</v>
      </c>
      <c r="BB470" s="251" t="str">
        <f>_xlfn.XLOOKUP(FMS_Ranking4[[#This Row],[FMS ID]],FMS_Input[FMS_ID],FMS_Input[WATER_SUP])</f>
        <v>No</v>
      </c>
      <c r="BC470" s="265">
        <f>IF(FMS_Ranking4[[#This Row],[Water Supply Raw]]="Yes",10,0)</f>
        <v>0</v>
      </c>
      <c r="BD470" s="266">
        <f>_xlfn.XLOOKUP(FMS_Ranking4[[#This Row],[FMS Type]],FMS_TYPE[FMS_Type],FMS_TYPE[Score])</f>
        <v>4</v>
      </c>
      <c r="BE470" s="267">
        <f>FMS_Ranking4[[#This Row],[FMS_Type Score]]*$BD$5*10</f>
        <v>1</v>
      </c>
      <c r="BF47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0.16078070678992876</v>
      </c>
      <c r="BG470" s="271">
        <f>_xlfn.RANK.EQ(BF470,$BF$8:$BF$870,0)+COUNTIF($BF$8:BF470,BF470)-1</f>
        <v>395</v>
      </c>
      <c r="BH470" s="268">
        <f>(((FMS_Ranking4[[#This Row],[Structures Removed Raw]]/AK$4)*100)*AK$5)+(((FMS_Ranking4[[#This Row],[Removed Pop Raw]]/AR$4)*100)*AR$5)</f>
        <v>0</v>
      </c>
      <c r="BI47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1.1607807067899287</v>
      </c>
      <c r="BJ470" s="205">
        <f>_xlfn.RANK.EQ(FMS_Ranking4[[#This Row],[Total Score 
(with linear
normalization)]],FMS_Ranking4[Total Score 
(with linear
normalization)],0)</f>
        <v>655</v>
      </c>
      <c r="BK470" s="205" t="e">
        <f>_xlfn.XLOOKUP(FMS_Ranking4[[#This Row],[FMS ID]],#REF!,#REF!)</f>
        <v>#REF!</v>
      </c>
      <c r="BL47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20.040239253744389</v>
      </c>
      <c r="BM470" s="272">
        <f>FMS_Ranking4[[#This Row],[ArcSinh Score Based on Normalized Reported Factors]]+FMS_Ranking4[[#This Row],[% NBS Score (Normalized)]]+(FMS_Ranking4[[#This Row],[Water Supply Score (Normalized)]]*10*$BB$5)+FMS_Ranking4[[#This Row],[FMS_Type Score Weighted]]</f>
        <v>21.040239253744389</v>
      </c>
      <c r="BN470" s="205">
        <f>_xlfn.RANK.EQ(FMS_Ranking4[[#This Row],[Total Score (with ArcSinh normalization of select criteria)]],FMS_Ranking4[Total Score (with ArcSinh normalization of select criteria)],0)</f>
        <v>463</v>
      </c>
      <c r="BO470" s="270" t="str">
        <f>_xlfn.XLOOKUP(FMS_Ranking4[[#This Row],[FMS ID]],FMS_Input[FMS_ID],FMS_Input[FMS_RANK_YEAR])</f>
        <v>2023 Amended Plan</v>
      </c>
      <c r="BP470" s="204">
        <f>_xlfn.XLOOKUP(FMS_Ranking4[[#This Row],[FMS ID]],Prev_Rank[FMS ID],Prev_Rank[Prev Rank])</f>
        <v>419</v>
      </c>
      <c r="BQ470" s="205" t="e">
        <f>_xlfn.XLOOKUP(FMS_Ranking4[[#This Row],[FMS ID]],#REF!,#REF!)</f>
        <v>#REF!</v>
      </c>
      <c r="BR470" s="199" t="e">
        <f>SUM(#REF!,#REF!,#REF!,#REF!,#REF!,#REF!,#REF!,#REF!,#REF!,FMS_Ranking4[[#This Row],[ArcSinh Res struct removed 0-10]],#REF!)</f>
        <v>#REF!</v>
      </c>
      <c r="BS470" s="199" t="e">
        <f>FMS_Ranking4[[#This Row],[Log Score Based on Normalized Reported Factors]]+FMS_Ranking4[[#This Row],[% NBS Score (Normalized)]]+(FMS_Ranking4[[#This Row],[Water Supply Score (Normalized)]]*10*$BB$5)+(FMS_Ranking4[[#This Row],[FMS_Type Score Weighted]])</f>
        <v>#REF!</v>
      </c>
      <c r="BT470" s="200" t="e">
        <f>_xlfn.RANK.EQ(FMS_Ranking4[[#This Row],[Log Total Score]],FMS_Ranking4[Log Total Score],0)</f>
        <v>#REF!</v>
      </c>
      <c r="BU470" s="200" t="e">
        <f>_xlfn.XLOOKUP(FMS_Ranking4[[#This Row],[FMS ID]],#REF!,#REF!)</f>
        <v>#REF!</v>
      </c>
      <c r="BV470" s="200">
        <f>FMS_Ranking4[[#This Row],[Region Number]]</f>
        <v>6</v>
      </c>
      <c r="BW470" s="200">
        <f>FMS_Ranking4[[#This Row],[Rank (with ArcSinh normalization of select criteria)]]-FMS_Ranking4[[#This Row],[Rank
(with linear
normalization)]]</f>
        <v>-192</v>
      </c>
      <c r="BX470" s="200" t="e">
        <f>FMS_Ranking4[[#This Row],[Log Rank]]-FMS_Ranking4[[#This Row],[Rank
(with linear
normalization)]]</f>
        <v>#REF!</v>
      </c>
      <c r="BY470" s="200" t="str">
        <f>IF(FMS_Ranking4[[#This Row],[FMS Type]]="Flood Measurement and Warning",FMS_Ranking4[[#This Row],[Rank (with ArcSinh normalization of select criteria)]],"")</f>
        <v/>
      </c>
      <c r="BZ470" s="200" t="str">
        <f>IF(FMS_Ranking4[[#This Row],[FMS Type]]="Regulatory and Guidance",FMS_Ranking4[[#This Row],[Rank (with ArcSinh normalization of select criteria)]],"")</f>
        <v/>
      </c>
      <c r="CA470" s="200" t="str">
        <f>IF(FMS_Ranking4[[#This Row],[FMS Type]]="Education and Outreach",FMS_Ranking4[[#This Row],[Rank (with ArcSinh normalization of select criteria)]],"")</f>
        <v/>
      </c>
      <c r="CB470" s="200" t="str">
        <f>IF(FMS_Ranking4[[#This Row],[FMS Type]]="Property Acquisition and Structural Elevation",FMS_Ranking4[[#This Row],[Rank (with ArcSinh normalization of select criteria)]],"")</f>
        <v/>
      </c>
      <c r="CC470" s="200">
        <f>IF(FMS_Ranking4[[#This Row],[FMS Type]]="Infrastructure Projects",FMS_Ranking4[[#This Row],[Rank (with ArcSinh normalization of select criteria)]],"")</f>
        <v>463</v>
      </c>
      <c r="CD470" s="200" t="str">
        <f>IF(FMS_Ranking4[[#This Row],[FMS Type]]="Other",FMS_Ranking4[[#This Row],[Rank (with ArcSinh normalization of select criteria)]],"")</f>
        <v/>
      </c>
      <c r="CE470" s="201"/>
      <c r="CF470" s="206"/>
      <c r="CG470" s="206"/>
      <c r="CH470" s="206"/>
      <c r="CI470" s="206"/>
      <c r="CJ470" s="206"/>
      <c r="CK470" s="206"/>
      <c r="CL470" s="206"/>
      <c r="CM470" s="206"/>
      <c r="CN470" s="206"/>
      <c r="CO470" s="206"/>
      <c r="CP470" s="206"/>
      <c r="CQ470" s="206"/>
      <c r="CR470" s="206"/>
    </row>
    <row r="471" spans="2:96" ht="90" x14ac:dyDescent="0.25">
      <c r="B471" s="346" t="s">
        <v>152</v>
      </c>
      <c r="C471" s="246">
        <f>_xlfn.XLOOKUP(FMS_Ranking4[[#This Row],[FMS ID]],FMS_Input[FMS_ID],FMS_Input[RFPG_NUM])</f>
        <v>6</v>
      </c>
      <c r="D471" s="309" t="str">
        <f>_xlfn.XLOOKUP(FMS_Ranking4[[#This Row],[FMS ID]],FMS_Input[FMS_ID],FMS_Input[FMS_NAME])</f>
        <v xml:space="preserve">City of Santa Fe - Drainge System Maintenance </v>
      </c>
      <c r="E471" s="308" t="str">
        <f>_xlfn.XLOOKUP(FMS_Ranking4[[#This Row],[FMS ID]],FMS_Input[FMS_ID],FMS_Input[SPONSOR])</f>
        <v>06003149</v>
      </c>
      <c r="F471" s="309" t="str">
        <f>_xlfn.XLOOKUP(FMS_Ranking4[[#This Row],[FMS ID]],Sponsor[FMS_ID],Sponsor[SPONSOR NAME])</f>
        <v>Santa Fe</v>
      </c>
      <c r="G471" s="309" t="str">
        <f>_xlfn.XLOOKUP(FMS_Ranking4[[#This Row],[FMS ID]],FMS_Input[FMS_ID],FMS_Input[FMS_DESCR])</f>
        <v>Keep areas of concern free of unnecessary debris as needed. Implement and maintain tree, vegetation trimming/removal near, infrastructure, drainage systems and roadside areas.</v>
      </c>
      <c r="H471" s="248" t="str">
        <f>_xlfn.XLOOKUP(FMS_Ranking4[[#This Row],[FMS ID]],FMS_Input[FMS_ID],FMS_Input[FMS_TYPE])</f>
        <v>Infrastructure Projects</v>
      </c>
      <c r="I471" s="249">
        <f>_xlfn.XLOOKUP(FMS_Ranking4[[#This Row],[FMS ID]],FMS_Input[FMS_ID],FMS_Input[NRNC_COST])</f>
        <v>250</v>
      </c>
      <c r="J471" s="250">
        <f>_xlfn.XLOOKUP(FMS_Ranking4[[#This Row],[FMS ID]],FMS_Input[FMS_ID],FMS_Input[FMS_COST])</f>
        <v>5000</v>
      </c>
      <c r="K471" s="251" t="str">
        <f>_xlfn.XLOOKUP(FMS_Ranking4[[#This Row],[FMS ID]],FMS_Input[FMS_ID],FMS_Input[EMER_NEED])</f>
        <v>No</v>
      </c>
      <c r="L471" s="252">
        <f t="shared" si="7"/>
        <v>0</v>
      </c>
      <c r="M471" s="253">
        <f>_xlfn.XLOOKUP(FMS_Ranking4[[#This Row],[FMS ID]],FMS_Input[FMS_ID],FMS_Input[STRUCT_100])</f>
        <v>400</v>
      </c>
      <c r="N471" s="255">
        <f>(ASINH(FMS_Ranking4[[#This Row],[Structure at Risk Raw]]))*(10)/(ASINH(M$4))</f>
        <v>5.2551013418795591</v>
      </c>
      <c r="O471" s="256">
        <f>FMS_Ranking4[[#This Row],[Structures at risk, ArcSinh (0-10)]]*M$5*10</f>
        <v>5.2551013418795591</v>
      </c>
      <c r="P471" s="253">
        <f>_xlfn.XLOOKUP(FMS_Ranking4[[#This Row],[FMS ID]],FMS_Input[FMS_ID],FMS_Input[RES_STRUCT100])</f>
        <v>306</v>
      </c>
      <c r="Q471" s="257">
        <f>ASINH(FMS_Ranking4[[#This Row],[Res Structure Raw]])/Q$4*P$5*100</f>
        <v>0</v>
      </c>
      <c r="R471" s="253">
        <f>_xlfn.XLOOKUP(FMS_Ranking4[[#This Row],[FMS ID]],FMS_Input[FMS_ID],FMS_Input[POP100])</f>
        <v>748</v>
      </c>
      <c r="S471" s="255">
        <f>(ASINH(FMS_Ranking4[[#This Row],[Pop at Risk Raw]]))*(10)/(ASINH(R$4))</f>
        <v>5.0468986880113436</v>
      </c>
      <c r="T471" s="256">
        <f>FMS_Ranking4[[#This Row],[Population at risk, ArcSinh (0-10)]]*R$5*10</f>
        <v>5.0468986880113444</v>
      </c>
      <c r="U471" s="253">
        <f>_xlfn.XLOOKUP(FMS_Ranking4[[#This Row],[FMS ID]],FMS_Input[FMS_ID],FMS_Input[CRITFAC100])</f>
        <v>1</v>
      </c>
      <c r="V471" s="255">
        <f>(ASINH(FMS_Ranking4[[#This Row],[Critical Facilities Raw]]))*(10)/(ASINH(U$4))</f>
        <v>1.0433384451410745</v>
      </c>
      <c r="W471" s="256">
        <f>FMS_Ranking4[[#This Row],[Critical facilities at risk, ArcSinh (0-10)]]*U$5*10</f>
        <v>1.0433384451410745</v>
      </c>
      <c r="X471" s="253">
        <f>_xlfn.XLOOKUP(FMS_Ranking4[[#This Row],[FMS ID]],FMS_Input[FMS_ID],FMS_Input[LWC])</f>
        <v>9</v>
      </c>
      <c r="Y471" s="255">
        <f>(ASINH(FMS_Ranking4[[#This Row],[LWC Raw]]))*(10)/(ASINH(X$4))</f>
        <v>3.919857876161724</v>
      </c>
      <c r="Z471" s="256">
        <f>FMS_Ranking4[[#This Row],[LWC, ArcSInh (0-10)]]*X$5*10</f>
        <v>3.919857876161724</v>
      </c>
      <c r="AA471" s="253">
        <f>_xlfn.XLOOKUP(FMS_Ranking4[[#This Row],[FMS ID]],FMS_Input[FMS_ID],FMS_Input[ROADCLS])</f>
        <v>9</v>
      </c>
      <c r="AB471" s="255">
        <f>(ASINH(FMS_Ranking4[[#This Row],[Road Closures Raw]]))*(10)/(ASINH(AA$4))</f>
        <v>3.013256341994186</v>
      </c>
      <c r="AC471" s="256">
        <f>FMS_Ranking4[[#This Row],[Road closures, ArcSinh (0-10)]]*AA$5*10</f>
        <v>1.506628170997093</v>
      </c>
      <c r="AD471" s="253">
        <f>_xlfn.XLOOKUP(FMS_Ranking4[[#This Row],[FMS ID]],FMS_Input[FMS_ID],FMS_Input[ROAD_MILES100])</f>
        <v>4</v>
      </c>
      <c r="AE471" s="255">
        <f>(ASINH(FMS_Ranking4[[#This Row],[Road Miles Raw]]))*(10)/(ASINH(AD$4))</f>
        <v>2.2323872691766113</v>
      </c>
      <c r="AF471" s="256">
        <f>FMS_Ranking4[[#This Row],[Length of roads at risk, ArcSinh (0-10)]]*AD$5*10</f>
        <v>2.2323872691766113</v>
      </c>
      <c r="AG471" s="253">
        <f>_xlfn.XLOOKUP(FMS_Ranking4[[#This Row],[FMS ID]],FMS_Input[FMS_ID],FMS_Input[FARMACRE100])</f>
        <v>12.12156867980957</v>
      </c>
      <c r="AH471" s="255">
        <f>(ASINH(FMS_Ranking4[[#This Row],[Ag Land Raw]]))*(10)/(ASINH(AG$4))</f>
        <v>2.0720549247539659</v>
      </c>
      <c r="AI471" s="260">
        <f>FMS_Ranking4[[#This Row],[Farm &amp; ranch land, ArcSinh (0-10)]]*AG$5*10</f>
        <v>1.036027462376983</v>
      </c>
      <c r="AJ471" s="258">
        <f>_xlfn.XLOOKUP(FMS_Ranking4[[#This Row],[FMS ID]],FMS_Input[FMS_ID],FMS_Input[REDSTRUCT100])</f>
        <v>0</v>
      </c>
      <c r="AK471" s="253">
        <f>_xlfn.XLOOKUP(FMS_Ranking4[[#This Row],[FMS ID]],FMS_Input[FMS_ID],FMS_Input[REMSTRC100])</f>
        <v>0</v>
      </c>
      <c r="AL471" s="255">
        <f>(ASINH(FMS_Ranking4[[#This Row],[Structures Removed Raw]]))*(10)/(ASINH(AK$4))</f>
        <v>0</v>
      </c>
      <c r="AM471" s="262">
        <f>FMS_Ranking4[[#This Row],[Structures removed, ArcSinh (0-10)]]*AK$5*10</f>
        <v>0</v>
      </c>
      <c r="AN471" s="253">
        <f>_xlfn.XLOOKUP(FMS_Ranking4[[#This Row],[FMS ID]],FMS_Input[FMS_ID],FMS_Input[REMRESSTRC100])</f>
        <v>0</v>
      </c>
      <c r="AO471" s="261">
        <f>FMS_Ranking4[[#This Row],[ArcSinh Res struct removed 0-10]]*AN$5*10</f>
        <v>0</v>
      </c>
      <c r="AP471" s="260">
        <f>ASINH(FMS_Ranking4[[#This Row],[Residential Structures Removed Raw]])/AP$4*AN$5*100</f>
        <v>0</v>
      </c>
      <c r="AQ471" s="258">
        <f>(ASINH(FMS_Ranking4[[#This Row],[Residential Structures Removed Raw]]))*(10)/(ASINH(AN$4))</f>
        <v>0</v>
      </c>
      <c r="AR471" s="253">
        <f>_xlfn.XLOOKUP(FMS_Ranking4[[#This Row],[FMS ID]],FMS_Input[FMS_ID],FMS_Input[REMPOP100])</f>
        <v>0</v>
      </c>
      <c r="AS471" s="255">
        <f>(ASINH(FMS_Ranking4[[#This Row],[Removed Pop Raw]]))*(10)/(ASINH(AR$4))</f>
        <v>0</v>
      </c>
      <c r="AT471" s="262">
        <f>FMS_Ranking4[[#This Row],[Removed population, ArcSinh (0-10)]]*AR$5*10</f>
        <v>0</v>
      </c>
      <c r="AU471" s="264">
        <f>_xlfn.XLOOKUP(FMS_Ranking4[[#This Row],[FMS ID]],FMS_Input[FMS_ID],FMS_Input[REMCRITFAC100])</f>
        <v>0</v>
      </c>
      <c r="AV471" s="264">
        <f>_xlfn.XLOOKUP(FMS_Ranking4[[#This Row],[FMS ID]],FMS_Input[FMS_ID],FMS_Input[REMLWC100])</f>
        <v>0</v>
      </c>
      <c r="AW471" s="264">
        <f>_xlfn.XLOOKUP(FMS_Ranking4[[#This Row],[FMS ID]],FMS_Input[FMS_ID],FMS_Input[REMROADCLS])</f>
        <v>0</v>
      </c>
      <c r="AX471" s="264">
        <f>_xlfn.XLOOKUP(FMS_Ranking4[[#This Row],[FMS ID]],FMS_Input[FMS_ID],FMS_Input[REMFRMACRE100])</f>
        <v>0</v>
      </c>
      <c r="AY471" s="258">
        <f>_xlfn.XLOOKUP(FMS_Ranking4[[#This Row],[FMS ID]],FMS_Input[FMS_ID],FMS_Input[COSTSTRUCT])</f>
        <v>0</v>
      </c>
      <c r="AZ471" s="253">
        <f>_xlfn.XLOOKUP(FMS_Ranking4[[#This Row],[FMS ID]],FMS_Input[FMS_ID],FMS_Input[NATURE])</f>
        <v>0</v>
      </c>
      <c r="BA471" s="262">
        <f>(((FMS_Ranking4[[#This Row],[% NBS Raw]]/AZ$4)*100)*AZ$5)</f>
        <v>0</v>
      </c>
      <c r="BB471" s="251" t="str">
        <f>_xlfn.XLOOKUP(FMS_Ranking4[[#This Row],[FMS ID]],FMS_Input[FMS_ID],FMS_Input[WATER_SUP])</f>
        <v>No</v>
      </c>
      <c r="BC471" s="265">
        <f>IF(FMS_Ranking4[[#This Row],[Water Supply Raw]]="Yes",10,0)</f>
        <v>0</v>
      </c>
      <c r="BD471" s="266">
        <f>_xlfn.XLOOKUP(FMS_Ranking4[[#This Row],[FMS Type]],FMS_TYPE[FMS_Type],FMS_TYPE[Score])</f>
        <v>4</v>
      </c>
      <c r="BE471" s="267">
        <f>FMS_Ranking4[[#This Row],[FMS_Type Score]]*$BD$5*10</f>
        <v>1</v>
      </c>
      <c r="BF47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0.16078070678992876</v>
      </c>
      <c r="BG471" s="293">
        <f>_xlfn.RANK.EQ(BF471,$BF$8:$BF$870,0)+COUNTIF($BF$8:BF471,BF471)-1</f>
        <v>396</v>
      </c>
      <c r="BH471" s="294">
        <f>(((FMS_Ranking4[[#This Row],[Structures Removed Raw]]/AK$4)*100)*AK$5)+(((FMS_Ranking4[[#This Row],[Removed Pop Raw]]/AR$4)*100)*AR$5)</f>
        <v>0</v>
      </c>
      <c r="BI47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1.1607807067899287</v>
      </c>
      <c r="BJ471" s="251">
        <f>_xlfn.RANK.EQ(FMS_Ranking4[[#This Row],[Total Score 
(with linear
normalization)]],FMS_Ranking4[Total Score 
(with linear
normalization)],0)</f>
        <v>655</v>
      </c>
      <c r="BK471" s="251" t="e">
        <f>_xlfn.XLOOKUP(FMS_Ranking4[[#This Row],[FMS ID]],#REF!,#REF!)</f>
        <v>#REF!</v>
      </c>
      <c r="BL47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20.040239253744389</v>
      </c>
      <c r="BM471" s="324">
        <f>FMS_Ranking4[[#This Row],[ArcSinh Score Based on Normalized Reported Factors]]+FMS_Ranking4[[#This Row],[% NBS Score (Normalized)]]+(FMS_Ranking4[[#This Row],[Water Supply Score (Normalized)]]*10*$BB$5)+FMS_Ranking4[[#This Row],[FMS_Type Score Weighted]]</f>
        <v>21.040239253744389</v>
      </c>
      <c r="BN471" s="251">
        <f>_xlfn.RANK.EQ(FMS_Ranking4[[#This Row],[Total Score (with ArcSinh normalization of select criteria)]],FMS_Ranking4[Total Score (with ArcSinh normalization of select criteria)],0)</f>
        <v>463</v>
      </c>
      <c r="BO471" s="270" t="str">
        <f>_xlfn.XLOOKUP(FMS_Ranking4[[#This Row],[FMS ID]],FMS_Input[FMS_ID],FMS_Input[FMS_RANK_YEAR])</f>
        <v>2023 Amended Plan</v>
      </c>
      <c r="BP471" s="324">
        <f>_xlfn.XLOOKUP(FMS_Ranking4[[#This Row],[FMS ID]],Prev_Rank[FMS ID],Prev_Rank[Prev Rank])</f>
        <v>419</v>
      </c>
      <c r="BQ471" s="251" t="e">
        <f>_xlfn.XLOOKUP(FMS_Ranking4[[#This Row],[FMS ID]],#REF!,#REF!)</f>
        <v>#REF!</v>
      </c>
      <c r="BR471" s="199" t="e">
        <f>SUM(#REF!,#REF!,#REF!,#REF!,#REF!,#REF!,#REF!,#REF!,#REF!,FMS_Ranking4[[#This Row],[ArcSinh Res struct removed 0-10]],#REF!)</f>
        <v>#REF!</v>
      </c>
      <c r="BS471" s="199" t="e">
        <f>FMS_Ranking4[[#This Row],[Log Score Based on Normalized Reported Factors]]+FMS_Ranking4[[#This Row],[% NBS Score (Normalized)]]+(FMS_Ranking4[[#This Row],[Water Supply Score (Normalized)]]*10*$BB$5)+(FMS_Ranking4[[#This Row],[FMS_Type Score Weighted]])</f>
        <v>#REF!</v>
      </c>
      <c r="BT471" s="200" t="e">
        <f>_xlfn.RANK.EQ(FMS_Ranking4[[#This Row],[Log Total Score]],FMS_Ranking4[Log Total Score],0)</f>
        <v>#REF!</v>
      </c>
      <c r="BU471" s="200" t="e">
        <f>_xlfn.XLOOKUP(FMS_Ranking4[[#This Row],[FMS ID]],#REF!,#REF!)</f>
        <v>#REF!</v>
      </c>
      <c r="BV471" s="200">
        <f>FMS_Ranking4[[#This Row],[Region Number]]</f>
        <v>6</v>
      </c>
      <c r="BW471" s="200">
        <f>FMS_Ranking4[[#This Row],[Rank (with ArcSinh normalization of select criteria)]]-FMS_Ranking4[[#This Row],[Rank
(with linear
normalization)]]</f>
        <v>-192</v>
      </c>
      <c r="BX471" s="200" t="e">
        <f>FMS_Ranking4[[#This Row],[Log Rank]]-FMS_Ranking4[[#This Row],[Rank
(with linear
normalization)]]</f>
        <v>#REF!</v>
      </c>
      <c r="BY471" s="200" t="str">
        <f>IF(FMS_Ranking4[[#This Row],[FMS Type]]="Flood Measurement and Warning",FMS_Ranking4[[#This Row],[Rank (with ArcSinh normalization of select criteria)]],"")</f>
        <v/>
      </c>
      <c r="BZ471" s="200" t="str">
        <f>IF(FMS_Ranking4[[#This Row],[FMS Type]]="Regulatory and Guidance",FMS_Ranking4[[#This Row],[Rank (with ArcSinh normalization of select criteria)]],"")</f>
        <v/>
      </c>
      <c r="CA471" s="200" t="str">
        <f>IF(FMS_Ranking4[[#This Row],[FMS Type]]="Education and Outreach",FMS_Ranking4[[#This Row],[Rank (with ArcSinh normalization of select criteria)]],"")</f>
        <v/>
      </c>
      <c r="CB471" s="200" t="str">
        <f>IF(FMS_Ranking4[[#This Row],[FMS Type]]="Property Acquisition and Structural Elevation",FMS_Ranking4[[#This Row],[Rank (with ArcSinh normalization of select criteria)]],"")</f>
        <v/>
      </c>
      <c r="CC471" s="200">
        <f>IF(FMS_Ranking4[[#This Row],[FMS Type]]="Infrastructure Projects",FMS_Ranking4[[#This Row],[Rank (with ArcSinh normalization of select criteria)]],"")</f>
        <v>463</v>
      </c>
      <c r="CD471" s="200" t="str">
        <f>IF(FMS_Ranking4[[#This Row],[FMS Type]]="Other",FMS_Ranking4[[#This Row],[Rank (with ArcSinh normalization of select criteria)]],"")</f>
        <v/>
      </c>
      <c r="CE471" s="201"/>
      <c r="CF471" s="206"/>
      <c r="CG471" s="206"/>
      <c r="CH471" s="206"/>
      <c r="CI471" s="206"/>
      <c r="CJ471" s="206"/>
      <c r="CK471" s="206"/>
      <c r="CL471" s="206"/>
      <c r="CM471" s="206"/>
      <c r="CN471" s="206"/>
      <c r="CO471" s="206"/>
      <c r="CP471" s="206"/>
      <c r="CQ471" s="206"/>
      <c r="CR471" s="206"/>
    </row>
    <row r="472" spans="2:96" ht="90" x14ac:dyDescent="0.25">
      <c r="B472" s="341" t="s">
        <v>2707</v>
      </c>
      <c r="C472" s="246">
        <f>_xlfn.XLOOKUP(FMS_Ranking4[[#This Row],[FMS ID]],FMS_Input[FMS_ID],FMS_Input[RFPG_NUM])</f>
        <v>5</v>
      </c>
      <c r="D472" s="309" t="str">
        <f>_xlfn.XLOOKUP(FMS_Ranking4[[#This Row],[FMS ID]],FMS_Input[FMS_ID],FMS_Input[FMS_NAME])</f>
        <v>Shelby County Property Acquisition</v>
      </c>
      <c r="E472" s="308" t="str">
        <f>_xlfn.XLOOKUP(FMS_Ranking4[[#This Row],[FMS ID]],FMS_Input[FMS_ID],FMS_Input[SPONSOR])</f>
        <v>00000153</v>
      </c>
      <c r="F472" s="309" t="str">
        <f>_xlfn.XLOOKUP(FMS_Ranking4[[#This Row],[FMS ID]],Sponsor[FMS_ID],Sponsor[SPONSOR NAME])</f>
        <v>Shelby</v>
      </c>
      <c r="G472" s="309" t="str">
        <f>_xlfn.XLOOKUP(FMS_Ranking4[[#This Row],[FMS ID]],FMS_Input[FMS_ID],FMS_Input[FMS_DESCR])</f>
        <v>Acquire flood prone/repetitive loss properties and convert to open space, parks, boating access, trails, agricultural projects, and/or as a general community asset</v>
      </c>
      <c r="H472" s="248" t="str">
        <f>_xlfn.XLOOKUP(FMS_Ranking4[[#This Row],[FMS ID]],FMS_Input[FMS_ID],FMS_Input[FMS_TYPE])</f>
        <v>Property Acquisition and Structural Elevation</v>
      </c>
      <c r="I472" s="249">
        <f>_xlfn.XLOOKUP(FMS_Ranking4[[#This Row],[FMS ID]],FMS_Input[FMS_ID],FMS_Input[NRNC_COST])</f>
        <v>25000</v>
      </c>
      <c r="J472" s="250">
        <f>_xlfn.XLOOKUP(FMS_Ranking4[[#This Row],[FMS ID]],FMS_Input[FMS_ID],FMS_Input[FMS_COST])</f>
        <v>100000</v>
      </c>
      <c r="K472" s="251" t="str">
        <f>_xlfn.XLOOKUP(FMS_Ranking4[[#This Row],[FMS ID]],FMS_Input[FMS_ID],FMS_Input[EMER_NEED])</f>
        <v>Yes</v>
      </c>
      <c r="L472" s="252">
        <f t="shared" si="7"/>
        <v>1</v>
      </c>
      <c r="M472" s="253">
        <f>_xlfn.XLOOKUP(FMS_Ranking4[[#This Row],[FMS ID]],FMS_Input[FMS_ID],FMS_Input[STRUCT_100])</f>
        <v>15</v>
      </c>
      <c r="N472" s="255">
        <f>(ASINH(FMS_Ranking4[[#This Row],[Structure at Risk Raw]]))*(10)/(ASINH(M$4))</f>
        <v>2.6747196048660951</v>
      </c>
      <c r="O472" s="256">
        <f>FMS_Ranking4[[#This Row],[Structures at risk, ArcSinh (0-10)]]*M$5*10</f>
        <v>2.6747196048660955</v>
      </c>
      <c r="P472" s="253">
        <f>_xlfn.XLOOKUP(FMS_Ranking4[[#This Row],[FMS ID]],FMS_Input[FMS_ID],FMS_Input[RES_STRUCT100])</f>
        <v>0</v>
      </c>
      <c r="Q472" s="257">
        <f>ASINH(FMS_Ranking4[[#This Row],[Res Structure Raw]])/Q$4*P$5*100</f>
        <v>0</v>
      </c>
      <c r="R472" s="253">
        <f>_xlfn.XLOOKUP(FMS_Ranking4[[#This Row],[FMS ID]],FMS_Input[FMS_ID],FMS_Input[POP100])</f>
        <v>8</v>
      </c>
      <c r="S472" s="259">
        <f>(ASINH(FMS_Ranking4[[#This Row],[Pop at Risk Raw]]))*(10)/(ASINH(R$4))</f>
        <v>1.9167604558558862</v>
      </c>
      <c r="T472" s="256">
        <f>FMS_Ranking4[[#This Row],[Population at risk, ArcSinh (0-10)]]*R$5*10</f>
        <v>1.9167604558558862</v>
      </c>
      <c r="U472" s="253">
        <f>_xlfn.XLOOKUP(FMS_Ranking4[[#This Row],[FMS ID]],FMS_Input[FMS_ID],FMS_Input[CRITFAC100])</f>
        <v>0</v>
      </c>
      <c r="V472" s="259">
        <f>(ASINH(FMS_Ranking4[[#This Row],[Critical Facilities Raw]]))*(10)/(ASINH(U$4))</f>
        <v>0</v>
      </c>
      <c r="W472" s="256">
        <f>FMS_Ranking4[[#This Row],[Critical facilities at risk, ArcSinh (0-10)]]*U$5*10</f>
        <v>0</v>
      </c>
      <c r="X472" s="253">
        <f>_xlfn.XLOOKUP(FMS_Ranking4[[#This Row],[FMS ID]],FMS_Input[FMS_ID],FMS_Input[LWC])</f>
        <v>4</v>
      </c>
      <c r="Y472" s="259">
        <f>(ASINH(FMS_Ranking4[[#This Row],[LWC Raw]]))*(10)/(ASINH(X$4))</f>
        <v>2.8377862217928165</v>
      </c>
      <c r="Z472" s="256">
        <f>FMS_Ranking4[[#This Row],[LWC, ArcSInh (0-10)]]*X$5*10</f>
        <v>2.8377862217928169</v>
      </c>
      <c r="AA472" s="253">
        <f>_xlfn.XLOOKUP(FMS_Ranking4[[#This Row],[FMS ID]],FMS_Input[FMS_ID],FMS_Input[ROADCLS])</f>
        <v>4</v>
      </c>
      <c r="AB472" s="255">
        <f>(ASINH(FMS_Ranking4[[#This Row],[Road Closures Raw]]))*(10)/(ASINH(AA$4))</f>
        <v>2.1814508587270351</v>
      </c>
      <c r="AC472" s="256">
        <f>FMS_Ranking4[[#This Row],[Road closures, ArcSinh (0-10)]]*AA$5*10</f>
        <v>1.0907254293635176</v>
      </c>
      <c r="AD472" s="253">
        <f>_xlfn.XLOOKUP(FMS_Ranking4[[#This Row],[FMS ID]],FMS_Input[FMS_ID],FMS_Input[ROAD_MILES100])</f>
        <v>5</v>
      </c>
      <c r="AE472" s="259">
        <f>(ASINH(FMS_Ranking4[[#This Row],[Road Miles Raw]]))*(10)/(ASINH(AD$4))</f>
        <v>2.4644230639487872</v>
      </c>
      <c r="AF472" s="256">
        <f>FMS_Ranking4[[#This Row],[Length of roads at risk, ArcSinh (0-10)]]*AD$5*10</f>
        <v>2.4644230639487876</v>
      </c>
      <c r="AG472" s="253">
        <f>_xlfn.XLOOKUP(FMS_Ranking4[[#This Row],[FMS ID]],FMS_Input[FMS_ID],FMS_Input[FARMACRE100])</f>
        <v>56.068603515625</v>
      </c>
      <c r="AH472" s="255">
        <f>(ASINH(FMS_Ranking4[[#This Row],[Ag Land Raw]]))*(10)/(ASINH(AG$4))</f>
        <v>3.0658963722487553</v>
      </c>
      <c r="AI472" s="260">
        <f>FMS_Ranking4[[#This Row],[Farm &amp; ranch land, ArcSinh (0-10)]]*AG$5*10</f>
        <v>1.5329481861243777</v>
      </c>
      <c r="AJ472" s="258">
        <f>_xlfn.XLOOKUP(FMS_Ranking4[[#This Row],[FMS ID]],FMS_Input[FMS_ID],FMS_Input[REDSTRUCT100])</f>
        <v>0</v>
      </c>
      <c r="AK472" s="253">
        <f>_xlfn.XLOOKUP(FMS_Ranking4[[#This Row],[FMS ID]],FMS_Input[FMS_ID],FMS_Input[REMSTRC100])</f>
        <v>0</v>
      </c>
      <c r="AL472" s="259">
        <f>(ASINH(FMS_Ranking4[[#This Row],[Structures Removed Raw]]))*(10)/(ASINH(AK$4))</f>
        <v>0</v>
      </c>
      <c r="AM472" s="262">
        <f>FMS_Ranking4[[#This Row],[Structures removed, ArcSinh (0-10)]]*AK$5*10</f>
        <v>0</v>
      </c>
      <c r="AN472" s="253">
        <f>_xlfn.XLOOKUP(FMS_Ranking4[[#This Row],[FMS ID]],FMS_Input[FMS_ID],FMS_Input[REMRESSTRC100])</f>
        <v>0</v>
      </c>
      <c r="AO472" s="261">
        <f>FMS_Ranking4[[#This Row],[ArcSinh Res struct removed 0-10]]*AN$5*10</f>
        <v>0</v>
      </c>
      <c r="AP472" s="260">
        <f>ASINH(FMS_Ranking4[[#This Row],[Residential Structures Removed Raw]])/AP$4*AN$5*100</f>
        <v>0</v>
      </c>
      <c r="AQ472" s="254">
        <f>(ASINH(FMS_Ranking4[[#This Row],[Residential Structures Removed Raw]]))*(10)/(ASINH(AN$4))</f>
        <v>0</v>
      </c>
      <c r="AR472" s="253">
        <f>_xlfn.XLOOKUP(FMS_Ranking4[[#This Row],[FMS ID]],FMS_Input[FMS_ID],FMS_Input[REMPOP100])</f>
        <v>0</v>
      </c>
      <c r="AS472" s="259">
        <f>(ASINH(FMS_Ranking4[[#This Row],[Removed Pop Raw]]))*(10)/(ASINH(AR$4))</f>
        <v>0</v>
      </c>
      <c r="AT472" s="262">
        <f>FMS_Ranking4[[#This Row],[Removed population, ArcSinh (0-10)]]*AR$5*10</f>
        <v>0</v>
      </c>
      <c r="AU472" s="264">
        <f>_xlfn.XLOOKUP(FMS_Ranking4[[#This Row],[FMS ID]],FMS_Input[FMS_ID],FMS_Input[REMCRITFAC100])</f>
        <v>0</v>
      </c>
      <c r="AV472" s="264">
        <f>_xlfn.XLOOKUP(FMS_Ranking4[[#This Row],[FMS ID]],FMS_Input[FMS_ID],FMS_Input[REMLWC100])</f>
        <v>0</v>
      </c>
      <c r="AW472" s="264">
        <f>_xlfn.XLOOKUP(FMS_Ranking4[[#This Row],[FMS ID]],FMS_Input[FMS_ID],FMS_Input[REMROADCLS])</f>
        <v>0</v>
      </c>
      <c r="AX472" s="264">
        <f>_xlfn.XLOOKUP(FMS_Ranking4[[#This Row],[FMS ID]],FMS_Input[FMS_ID],FMS_Input[REMFRMACRE100])</f>
        <v>0</v>
      </c>
      <c r="AY472" s="258">
        <f>_xlfn.XLOOKUP(FMS_Ranking4[[#This Row],[FMS ID]],FMS_Input[FMS_ID],FMS_Input[COSTSTRUCT])</f>
        <v>0</v>
      </c>
      <c r="AZ472" s="253">
        <f>_xlfn.XLOOKUP(FMS_Ranking4[[#This Row],[FMS ID]],FMS_Input[FMS_ID],FMS_Input[NATURE])</f>
        <v>100</v>
      </c>
      <c r="BA472" s="262">
        <f>(((FMS_Ranking4[[#This Row],[% NBS Raw]]/AZ$4)*100)*AZ$5)</f>
        <v>7.5</v>
      </c>
      <c r="BB472" s="251" t="str">
        <f>_xlfn.XLOOKUP(FMS_Ranking4[[#This Row],[FMS ID]],FMS_Input[FMS_ID],FMS_Input[WATER_SUP])</f>
        <v>No</v>
      </c>
      <c r="BC472" s="265">
        <f>IF(FMS_Ranking4[[#This Row],[Water Supply Raw]]="Yes",10,0)</f>
        <v>0</v>
      </c>
      <c r="BD472" s="266">
        <f>_xlfn.XLOOKUP(FMS_Ranking4[[#This Row],[FMS Type]],FMS_TYPE[FMS_Type],FMS_TYPE[Score])</f>
        <v>4</v>
      </c>
      <c r="BE472" s="267">
        <f>FMS_Ranking4[[#This Row],[FMS_Type Score]]*$BD$5*10</f>
        <v>1</v>
      </c>
      <c r="BF47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6.2022244475980065E-2</v>
      </c>
      <c r="BG472" s="271">
        <f>_xlfn.RANK.EQ(BF472,$BF$8:$BF$870,0)+COUNTIF($BF$8:BF472,BF472)-1</f>
        <v>533</v>
      </c>
      <c r="BH472" s="268">
        <f>(((FMS_Ranking4[[#This Row],[Structures Removed Raw]]/AK$4)*100)*AK$5)+(((FMS_Ranking4[[#This Row],[Removed Pop Raw]]/AR$4)*100)*AR$5)</f>
        <v>0</v>
      </c>
      <c r="BI47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8.5620222444759797</v>
      </c>
      <c r="BJ472" s="205">
        <f>_xlfn.RANK.EQ(FMS_Ranking4[[#This Row],[Total Score 
(with linear
normalization)]],FMS_Ranking4[Total Score 
(with linear
normalization)],0)</f>
        <v>74</v>
      </c>
      <c r="BK472" s="205" t="e">
        <f>_xlfn.XLOOKUP(FMS_Ranking4[[#This Row],[FMS ID]],#REF!,#REF!)</f>
        <v>#REF!</v>
      </c>
      <c r="BL47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12.517362961951482</v>
      </c>
      <c r="BM472" s="272">
        <f>FMS_Ranking4[[#This Row],[ArcSinh Score Based on Normalized Reported Factors]]+FMS_Ranking4[[#This Row],[% NBS Score (Normalized)]]+(FMS_Ranking4[[#This Row],[Water Supply Score (Normalized)]]*10*$BB$5)+FMS_Ranking4[[#This Row],[FMS_Type Score Weighted]]</f>
        <v>21.017362961951484</v>
      </c>
      <c r="BN472" s="205">
        <f>_xlfn.RANK.EQ(FMS_Ranking4[[#This Row],[Total Score (with ArcSinh normalization of select criteria)]],FMS_Ranking4[Total Score (with ArcSinh normalization of select criteria)],0)</f>
        <v>465</v>
      </c>
      <c r="BO472" s="270" t="str">
        <f>_xlfn.XLOOKUP(FMS_Ranking4[[#This Row],[FMS ID]],FMS_Input[FMS_ID],FMS_Input[FMS_RANK_YEAR])</f>
        <v>2023 Amended Plan</v>
      </c>
      <c r="BP472" s="204">
        <f>_xlfn.XLOOKUP(FMS_Ranking4[[#This Row],[FMS ID]],Prev_Rank[FMS ID],Prev_Rank[Prev Rank])</f>
        <v>421</v>
      </c>
      <c r="BQ472" s="205" t="e">
        <f>_xlfn.XLOOKUP(FMS_Ranking4[[#This Row],[FMS ID]],#REF!,#REF!)</f>
        <v>#REF!</v>
      </c>
      <c r="BR472" s="199" t="e">
        <f>SUM(#REF!,#REF!,#REF!,#REF!,#REF!,#REF!,#REF!,#REF!,#REF!,FMS_Ranking4[[#This Row],[ArcSinh Res struct removed 0-10]],#REF!)</f>
        <v>#REF!</v>
      </c>
      <c r="BS472" s="199" t="e">
        <f>FMS_Ranking4[[#This Row],[Log Score Based on Normalized Reported Factors]]+FMS_Ranking4[[#This Row],[% NBS Score (Normalized)]]+(FMS_Ranking4[[#This Row],[Water Supply Score (Normalized)]]*10*$BB$5)+(FMS_Ranking4[[#This Row],[FMS_Type Score Weighted]])</f>
        <v>#REF!</v>
      </c>
      <c r="BT472" s="200" t="e">
        <f>_xlfn.RANK.EQ(FMS_Ranking4[[#This Row],[Log Total Score]],FMS_Ranking4[Log Total Score],0)</f>
        <v>#REF!</v>
      </c>
      <c r="BU472" s="200" t="e">
        <f>_xlfn.XLOOKUP(FMS_Ranking4[[#This Row],[FMS ID]],#REF!,#REF!)</f>
        <v>#REF!</v>
      </c>
      <c r="BV472" s="200">
        <f>FMS_Ranking4[[#This Row],[Region Number]]</f>
        <v>5</v>
      </c>
      <c r="BW472" s="200">
        <f>FMS_Ranking4[[#This Row],[Rank (with ArcSinh normalization of select criteria)]]-FMS_Ranking4[[#This Row],[Rank
(with linear
normalization)]]</f>
        <v>391</v>
      </c>
      <c r="BX472" s="200" t="e">
        <f>FMS_Ranking4[[#This Row],[Log Rank]]-FMS_Ranking4[[#This Row],[Rank
(with linear
normalization)]]</f>
        <v>#REF!</v>
      </c>
      <c r="BY472" s="200" t="str">
        <f>IF(FMS_Ranking4[[#This Row],[FMS Type]]="Flood Measurement and Warning",FMS_Ranking4[[#This Row],[Rank (with ArcSinh normalization of select criteria)]],"")</f>
        <v/>
      </c>
      <c r="BZ472" s="200" t="str">
        <f>IF(FMS_Ranking4[[#This Row],[FMS Type]]="Regulatory and Guidance",FMS_Ranking4[[#This Row],[Rank (with ArcSinh normalization of select criteria)]],"")</f>
        <v/>
      </c>
      <c r="CA472" s="200" t="str">
        <f>IF(FMS_Ranking4[[#This Row],[FMS Type]]="Education and Outreach",FMS_Ranking4[[#This Row],[Rank (with ArcSinh normalization of select criteria)]],"")</f>
        <v/>
      </c>
      <c r="CB472" s="200">
        <f>IF(FMS_Ranking4[[#This Row],[FMS Type]]="Property Acquisition and Structural Elevation",FMS_Ranking4[[#This Row],[Rank (with ArcSinh normalization of select criteria)]],"")</f>
        <v>465</v>
      </c>
      <c r="CC472" s="200" t="str">
        <f>IF(FMS_Ranking4[[#This Row],[FMS Type]]="Infrastructure Projects",FMS_Ranking4[[#This Row],[Rank (with ArcSinh normalization of select criteria)]],"")</f>
        <v/>
      </c>
      <c r="CD472" s="200" t="str">
        <f>IF(FMS_Ranking4[[#This Row],[FMS Type]]="Other",FMS_Ranking4[[#This Row],[Rank (with ArcSinh normalization of select criteria)]],"")</f>
        <v/>
      </c>
      <c r="CE472" s="201"/>
      <c r="CF472" s="206"/>
      <c r="CG472" s="206"/>
      <c r="CH472" s="206"/>
      <c r="CI472" s="206"/>
      <c r="CJ472" s="206"/>
      <c r="CK472" s="206"/>
      <c r="CL472" s="206"/>
      <c r="CM472" s="206"/>
      <c r="CN472" s="206"/>
      <c r="CO472" s="206"/>
      <c r="CP472" s="206"/>
      <c r="CQ472" s="206"/>
      <c r="CR472" s="206"/>
    </row>
    <row r="473" spans="2:96" ht="60" x14ac:dyDescent="0.25">
      <c r="B473" s="341" t="s">
        <v>2190</v>
      </c>
      <c r="C473" s="246">
        <f>_xlfn.XLOOKUP(FMS_Ranking4[[#This Row],[FMS ID]],FMS_Input[FMS_ID],FMS_Input[RFPG_NUM])</f>
        <v>3</v>
      </c>
      <c r="D473" s="309" t="str">
        <f>_xlfn.XLOOKUP(FMS_Ranking4[[#This Row],[FMS ID]],FMS_Input[FMS_ID],FMS_Input[FMS_NAME])</f>
        <v>Richland Hills Semi-Annual Levee Inspections</v>
      </c>
      <c r="E473" s="308" t="str">
        <f>_xlfn.XLOOKUP(FMS_Ranking4[[#This Row],[FMS ID]],FMS_Input[FMS_ID],FMS_Input[SPONSOR])</f>
        <v>Richland Hills</v>
      </c>
      <c r="F473" s="309" t="str">
        <f>_xlfn.XLOOKUP(FMS_Ranking4[[#This Row],[FMS ID]],Sponsor[FMS_ID],Sponsor[SPONSOR NAME])</f>
        <v>Richland Hills</v>
      </c>
      <c r="G473" s="309" t="str">
        <f>_xlfn.XLOOKUP(FMS_Ranking4[[#This Row],[FMS ID]],FMS_Input[FMS_ID],FMS_Input[FMS_DESCR])</f>
        <v>Prepare an inspection program of the levee to look for any maintenance problems or levee failure issues</v>
      </c>
      <c r="H473" s="248" t="str">
        <f>_xlfn.XLOOKUP(FMS_Ranking4[[#This Row],[FMS ID]],FMS_Input[FMS_ID],FMS_Input[FMS_TYPE])</f>
        <v>Other</v>
      </c>
      <c r="I473" s="249">
        <f>_xlfn.XLOOKUP(FMS_Ranking4[[#This Row],[FMS ID]],FMS_Input[FMS_ID],FMS_Input[NRNC_COST])</f>
        <v>50000</v>
      </c>
      <c r="J473" s="250">
        <f>_xlfn.XLOOKUP(FMS_Ranking4[[#This Row],[FMS ID]],FMS_Input[FMS_ID],FMS_Input[FMS_COST])</f>
        <v>50000</v>
      </c>
      <c r="K473" s="251" t="str">
        <f>_xlfn.XLOOKUP(FMS_Ranking4[[#This Row],[FMS ID]],FMS_Input[FMS_ID],FMS_Input[EMER_NEED])</f>
        <v>No</v>
      </c>
      <c r="L473" s="252">
        <f t="shared" si="7"/>
        <v>0</v>
      </c>
      <c r="M473" s="253">
        <f>_xlfn.XLOOKUP(FMS_Ranking4[[#This Row],[FMS ID]],FMS_Input[FMS_ID],FMS_Input[STRUCT_100])</f>
        <v>404</v>
      </c>
      <c r="N473" s="255">
        <f>(ASINH(FMS_Ranking4[[#This Row],[Structure at Risk Raw]]))*(10)/(ASINH(M$4))</f>
        <v>5.2629237592668581</v>
      </c>
      <c r="O473" s="256">
        <f>FMS_Ranking4[[#This Row],[Structures at risk, ArcSinh (0-10)]]*M$5*10</f>
        <v>5.262923759266859</v>
      </c>
      <c r="P473" s="253">
        <f>_xlfn.XLOOKUP(FMS_Ranking4[[#This Row],[FMS ID]],FMS_Input[FMS_ID],FMS_Input[RES_STRUCT100])</f>
        <v>397</v>
      </c>
      <c r="Q473" s="257">
        <f>ASINH(FMS_Ranking4[[#This Row],[Res Structure Raw]])/Q$4*P$5*100</f>
        <v>0</v>
      </c>
      <c r="R473" s="253">
        <f>_xlfn.XLOOKUP(FMS_Ranking4[[#This Row],[FMS ID]],FMS_Input[FMS_ID],FMS_Input[POP100])</f>
        <v>1393</v>
      </c>
      <c r="S473" s="259">
        <f>(ASINH(FMS_Ranking4[[#This Row],[Pop at Risk Raw]]))*(10)/(ASINH(R$4))</f>
        <v>5.4761714897982161</v>
      </c>
      <c r="T473" s="256">
        <f>FMS_Ranking4[[#This Row],[Population at risk, ArcSinh (0-10)]]*R$5*10</f>
        <v>5.4761714897982161</v>
      </c>
      <c r="U473" s="253">
        <f>_xlfn.XLOOKUP(FMS_Ranking4[[#This Row],[FMS ID]],FMS_Input[FMS_ID],FMS_Input[CRITFAC100])</f>
        <v>2</v>
      </c>
      <c r="V473" s="259">
        <f>(ASINH(FMS_Ranking4[[#This Row],[Critical Facilities Raw]]))*(10)/(ASINH(U$4))</f>
        <v>1.7089239049208753</v>
      </c>
      <c r="W473" s="256">
        <f>FMS_Ranking4[[#This Row],[Critical facilities at risk, ArcSinh (0-10)]]*U$5*10</f>
        <v>1.7089239049208755</v>
      </c>
      <c r="X473" s="253">
        <f>_xlfn.XLOOKUP(FMS_Ranking4[[#This Row],[FMS ID]],FMS_Input[FMS_ID],FMS_Input[LWC])</f>
        <v>15</v>
      </c>
      <c r="Y473" s="259">
        <f>(ASINH(FMS_Ranking4[[#This Row],[LWC Raw]]))*(10)/(ASINH(X$4))</f>
        <v>4.6092333449203755</v>
      </c>
      <c r="Z473" s="256">
        <f>FMS_Ranking4[[#This Row],[LWC, ArcSInh (0-10)]]*X$5*10</f>
        <v>4.6092333449203764</v>
      </c>
      <c r="AA473" s="253">
        <f>_xlfn.XLOOKUP(FMS_Ranking4[[#This Row],[FMS ID]],FMS_Input[FMS_ID],FMS_Input[ROADCLS])</f>
        <v>0</v>
      </c>
      <c r="AB473" s="255">
        <f>(ASINH(FMS_Ranking4[[#This Row],[Road Closures Raw]]))*(10)/(ASINH(AA$4))</f>
        <v>0</v>
      </c>
      <c r="AC473" s="256">
        <f>FMS_Ranking4[[#This Row],[Road closures, ArcSinh (0-10)]]*AA$5*10</f>
        <v>0</v>
      </c>
      <c r="AD473" s="253">
        <f>_xlfn.XLOOKUP(FMS_Ranking4[[#This Row],[FMS ID]],FMS_Input[FMS_ID],FMS_Input[ROAD_MILES100])</f>
        <v>7</v>
      </c>
      <c r="AE473" s="259">
        <f>(ASINH(FMS_Ranking4[[#This Row],[Road Miles Raw]]))*(10)/(ASINH(AD$4))</f>
        <v>2.8179052695658946</v>
      </c>
      <c r="AF473" s="256">
        <f>FMS_Ranking4[[#This Row],[Length of roads at risk, ArcSinh (0-10)]]*AD$5*10</f>
        <v>2.8179052695658946</v>
      </c>
      <c r="AG473" s="253">
        <f>_xlfn.XLOOKUP(FMS_Ranking4[[#This Row],[FMS ID]],FMS_Input[FMS_ID],FMS_Input[FARMACRE100])</f>
        <v>3.5095570087432861</v>
      </c>
      <c r="AH473" s="255">
        <f>(ASINH(FMS_Ranking4[[#This Row],[Ag Land Raw]]))*(10)/(ASINH(AG$4))</f>
        <v>1.2785989270519857</v>
      </c>
      <c r="AI473" s="260">
        <f>FMS_Ranking4[[#This Row],[Farm &amp; ranch land, ArcSinh (0-10)]]*AG$5*10</f>
        <v>0.63929946352599287</v>
      </c>
      <c r="AJ473" s="258">
        <f>_xlfn.XLOOKUP(FMS_Ranking4[[#This Row],[FMS ID]],FMS_Input[FMS_ID],FMS_Input[REDSTRUCT100])</f>
        <v>0</v>
      </c>
      <c r="AK473" s="253">
        <f>_xlfn.XLOOKUP(FMS_Ranking4[[#This Row],[FMS ID]],FMS_Input[FMS_ID],FMS_Input[REMSTRC100])</f>
        <v>0</v>
      </c>
      <c r="AL473" s="259">
        <f>(ASINH(FMS_Ranking4[[#This Row],[Structures Removed Raw]]))*(10)/(ASINH(AK$4))</f>
        <v>0</v>
      </c>
      <c r="AM473" s="262">
        <f>FMS_Ranking4[[#This Row],[Structures removed, ArcSinh (0-10)]]*AK$5*10</f>
        <v>0</v>
      </c>
      <c r="AN473" s="253">
        <f>_xlfn.XLOOKUP(FMS_Ranking4[[#This Row],[FMS ID]],FMS_Input[FMS_ID],FMS_Input[REMRESSTRC100])</f>
        <v>0</v>
      </c>
      <c r="AO473" s="261">
        <f>FMS_Ranking4[[#This Row],[ArcSinh Res struct removed 0-10]]*AN$5*10</f>
        <v>0</v>
      </c>
      <c r="AP473" s="260">
        <f>ASINH(FMS_Ranking4[[#This Row],[Residential Structures Removed Raw]])/AP$4*AN$5*100</f>
        <v>0</v>
      </c>
      <c r="AQ473" s="254">
        <f>(ASINH(FMS_Ranking4[[#This Row],[Residential Structures Removed Raw]]))*(10)/(ASINH(AN$4))</f>
        <v>0</v>
      </c>
      <c r="AR473" s="253">
        <f>_xlfn.XLOOKUP(FMS_Ranking4[[#This Row],[FMS ID]],FMS_Input[FMS_ID],FMS_Input[REMPOP100])</f>
        <v>0</v>
      </c>
      <c r="AS473" s="259">
        <f>(ASINH(FMS_Ranking4[[#This Row],[Removed Pop Raw]]))*(10)/(ASINH(AR$4))</f>
        <v>0</v>
      </c>
      <c r="AT473" s="262">
        <f>FMS_Ranking4[[#This Row],[Removed population, ArcSinh (0-10)]]*AR$5*10</f>
        <v>0</v>
      </c>
      <c r="AU473" s="264">
        <f>_xlfn.XLOOKUP(FMS_Ranking4[[#This Row],[FMS ID]],FMS_Input[FMS_ID],FMS_Input[REMCRITFAC100])</f>
        <v>0</v>
      </c>
      <c r="AV473" s="264">
        <f>_xlfn.XLOOKUP(FMS_Ranking4[[#This Row],[FMS ID]],FMS_Input[FMS_ID],FMS_Input[REMLWC100])</f>
        <v>0</v>
      </c>
      <c r="AW473" s="264">
        <f>_xlfn.XLOOKUP(FMS_Ranking4[[#This Row],[FMS ID]],FMS_Input[FMS_ID],FMS_Input[REMROADCLS])</f>
        <v>0</v>
      </c>
      <c r="AX473" s="264">
        <f>_xlfn.XLOOKUP(FMS_Ranking4[[#This Row],[FMS ID]],FMS_Input[FMS_ID],FMS_Input[REMFRMACRE100])</f>
        <v>0</v>
      </c>
      <c r="AY473" s="258">
        <f>_xlfn.XLOOKUP(FMS_Ranking4[[#This Row],[FMS ID]],FMS_Input[FMS_ID],FMS_Input[COSTSTRUCT])</f>
        <v>0</v>
      </c>
      <c r="AZ473" s="253">
        <f>_xlfn.XLOOKUP(FMS_Ranking4[[#This Row],[FMS ID]],FMS_Input[FMS_ID],FMS_Input[NATURE])</f>
        <v>0</v>
      </c>
      <c r="BA473" s="262">
        <f>(((FMS_Ranking4[[#This Row],[% NBS Raw]]/AZ$4)*100)*AZ$5)</f>
        <v>0</v>
      </c>
      <c r="BB473" s="251" t="str">
        <f>_xlfn.XLOOKUP(FMS_Ranking4[[#This Row],[FMS ID]],FMS_Input[FMS_ID],FMS_Input[WATER_SUP])</f>
        <v>No</v>
      </c>
      <c r="BC473" s="265">
        <f>IF(FMS_Ranking4[[#This Row],[Water Supply Raw]]="Yes",10,0)</f>
        <v>0</v>
      </c>
      <c r="BD473" s="266">
        <f>_xlfn.XLOOKUP(FMS_Ranking4[[#This Row],[FMS Type]],FMS_TYPE[FMS_Type],FMS_TYPE[Score])</f>
        <v>2</v>
      </c>
      <c r="BE473" s="267">
        <f>FMS_Ranking4[[#This Row],[FMS_Type Score]]*$BD$5*10</f>
        <v>0.5</v>
      </c>
      <c r="BF47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0.24557901115946648</v>
      </c>
      <c r="BG473" s="271">
        <f>_xlfn.RANK.EQ(BF473,$BF$8:$BF$870,0)+COUNTIF($BF$8:BF473,BF473)-1</f>
        <v>334</v>
      </c>
      <c r="BH473" s="268">
        <f>(((FMS_Ranking4[[#This Row],[Structures Removed Raw]]/AK$4)*100)*AK$5)+(((FMS_Ranking4[[#This Row],[Removed Pop Raw]]/AR$4)*100)*AR$5)</f>
        <v>0</v>
      </c>
      <c r="BI47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0.74557901115946645</v>
      </c>
      <c r="BJ473" s="205">
        <f>_xlfn.RANK.EQ(FMS_Ranking4[[#This Row],[Total Score 
(with linear
normalization)]],FMS_Ranking4[Total Score 
(with linear
normalization)],0)</f>
        <v>785</v>
      </c>
      <c r="BK473" s="205" t="e">
        <f>_xlfn.XLOOKUP(FMS_Ranking4[[#This Row],[FMS ID]],#REF!,#REF!)</f>
        <v>#REF!</v>
      </c>
      <c r="BL47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20.514457231998215</v>
      </c>
      <c r="BM473" s="272">
        <f>FMS_Ranking4[[#This Row],[ArcSinh Score Based on Normalized Reported Factors]]+FMS_Ranking4[[#This Row],[% NBS Score (Normalized)]]+(FMS_Ranking4[[#This Row],[Water Supply Score (Normalized)]]*10*$BB$5)+FMS_Ranking4[[#This Row],[FMS_Type Score Weighted]]</f>
        <v>21.014457231998215</v>
      </c>
      <c r="BN473" s="205">
        <f>_xlfn.RANK.EQ(FMS_Ranking4[[#This Row],[Total Score (with ArcSinh normalization of select criteria)]],FMS_Ranking4[Total Score (with ArcSinh normalization of select criteria)],0)</f>
        <v>466</v>
      </c>
      <c r="BO473" s="270" t="str">
        <f>_xlfn.XLOOKUP(FMS_Ranking4[[#This Row],[FMS ID]],FMS_Input[FMS_ID],FMS_Input[FMS_RANK_YEAR])</f>
        <v>2023 Amended Plan</v>
      </c>
      <c r="BP473" s="204">
        <f>_xlfn.XLOOKUP(FMS_Ranking4[[#This Row],[FMS ID]],Prev_Rank[FMS ID],Prev_Rank[Prev Rank])</f>
        <v>416</v>
      </c>
      <c r="BQ473" s="205" t="e">
        <f>_xlfn.XLOOKUP(FMS_Ranking4[[#This Row],[FMS ID]],#REF!,#REF!)</f>
        <v>#REF!</v>
      </c>
      <c r="BR473" s="199" t="e">
        <f>SUM(#REF!,#REF!,#REF!,#REF!,#REF!,#REF!,#REF!,#REF!,#REF!,FMS_Ranking4[[#This Row],[ArcSinh Res struct removed 0-10]],#REF!)</f>
        <v>#REF!</v>
      </c>
      <c r="BS473" s="199" t="e">
        <f>FMS_Ranking4[[#This Row],[Log Score Based on Normalized Reported Factors]]+FMS_Ranking4[[#This Row],[% NBS Score (Normalized)]]+(FMS_Ranking4[[#This Row],[Water Supply Score (Normalized)]]*10*$BB$5)+(FMS_Ranking4[[#This Row],[FMS_Type Score Weighted]])</f>
        <v>#REF!</v>
      </c>
      <c r="BT473" s="200" t="e">
        <f>_xlfn.RANK.EQ(FMS_Ranking4[[#This Row],[Log Total Score]],FMS_Ranking4[Log Total Score],0)</f>
        <v>#REF!</v>
      </c>
      <c r="BU473" s="200" t="e">
        <f>_xlfn.XLOOKUP(FMS_Ranking4[[#This Row],[FMS ID]],#REF!,#REF!)</f>
        <v>#REF!</v>
      </c>
      <c r="BV473" s="200">
        <f>FMS_Ranking4[[#This Row],[Region Number]]</f>
        <v>3</v>
      </c>
      <c r="BW473" s="200">
        <f>FMS_Ranking4[[#This Row],[Rank (with ArcSinh normalization of select criteria)]]-FMS_Ranking4[[#This Row],[Rank
(with linear
normalization)]]</f>
        <v>-319</v>
      </c>
      <c r="BX473" s="200" t="e">
        <f>FMS_Ranking4[[#This Row],[Log Rank]]-FMS_Ranking4[[#This Row],[Rank
(with linear
normalization)]]</f>
        <v>#REF!</v>
      </c>
      <c r="BY473" s="200" t="str">
        <f>IF(FMS_Ranking4[[#This Row],[FMS Type]]="Flood Measurement and Warning",FMS_Ranking4[[#This Row],[Rank (with ArcSinh normalization of select criteria)]],"")</f>
        <v/>
      </c>
      <c r="BZ473" s="200" t="str">
        <f>IF(FMS_Ranking4[[#This Row],[FMS Type]]="Regulatory and Guidance",FMS_Ranking4[[#This Row],[Rank (with ArcSinh normalization of select criteria)]],"")</f>
        <v/>
      </c>
      <c r="CA473" s="200" t="str">
        <f>IF(FMS_Ranking4[[#This Row],[FMS Type]]="Education and Outreach",FMS_Ranking4[[#This Row],[Rank (with ArcSinh normalization of select criteria)]],"")</f>
        <v/>
      </c>
      <c r="CB473" s="200" t="str">
        <f>IF(FMS_Ranking4[[#This Row],[FMS Type]]="Property Acquisition and Structural Elevation",FMS_Ranking4[[#This Row],[Rank (with ArcSinh normalization of select criteria)]],"")</f>
        <v/>
      </c>
      <c r="CC473" s="200" t="str">
        <f>IF(FMS_Ranking4[[#This Row],[FMS Type]]="Infrastructure Projects",FMS_Ranking4[[#This Row],[Rank (with ArcSinh normalization of select criteria)]],"")</f>
        <v/>
      </c>
      <c r="CD473" s="200">
        <f>IF(FMS_Ranking4[[#This Row],[FMS Type]]="Other",FMS_Ranking4[[#This Row],[Rank (with ArcSinh normalization of select criteria)]],"")</f>
        <v>466</v>
      </c>
      <c r="CE473" s="201"/>
      <c r="CF473" s="206"/>
      <c r="CG473" s="206"/>
      <c r="CH473" s="206"/>
      <c r="CI473" s="206"/>
      <c r="CJ473" s="206"/>
      <c r="CK473" s="206"/>
      <c r="CL473" s="206"/>
      <c r="CM473" s="206"/>
      <c r="CN473" s="206"/>
      <c r="CO473" s="206"/>
      <c r="CP473" s="206"/>
      <c r="CQ473" s="206"/>
      <c r="CR473" s="206"/>
    </row>
    <row r="474" spans="2:96" ht="60" x14ac:dyDescent="0.25">
      <c r="B474" s="341" t="s">
        <v>12396</v>
      </c>
      <c r="C474" s="246">
        <f>_xlfn.XLOOKUP(FMS_Ranking4[[#This Row],[FMS ID]],FMS_Input[FMS_ID],FMS_Input[RFPG_NUM])</f>
        <v>5</v>
      </c>
      <c r="D474" s="309" t="str">
        <f>_xlfn.XLOOKUP(FMS_Ranking4[[#This Row],[FMS ID]],FMS_Input[FMS_ID],FMS_Input[FMS_NAME])</f>
        <v>City of Vidor Flood Property Acquisition &amp; Buyout</v>
      </c>
      <c r="E474" s="308" t="str">
        <f>_xlfn.XLOOKUP(FMS_Ranking4[[#This Row],[FMS ID]],FMS_Input[FMS_ID],FMS_Input[SPONSOR])</f>
        <v>00000027</v>
      </c>
      <c r="F474" s="309" t="str">
        <f>_xlfn.XLOOKUP(FMS_Ranking4[[#This Row],[FMS ID]],Sponsor[FMS_ID],Sponsor[SPONSOR NAME])</f>
        <v>Orange</v>
      </c>
      <c r="G474" s="309" t="str">
        <f>_xlfn.XLOOKUP(FMS_Ranking4[[#This Row],[FMS ID]],FMS_Input[FMS_ID],FMS_Input[FMS_DESCR])</f>
        <v>Voluntary acquisition of repetitive and severe repetitive loss properties in Vidor.</v>
      </c>
      <c r="H474" s="248" t="str">
        <f>_xlfn.XLOOKUP(FMS_Ranking4[[#This Row],[FMS ID]],FMS_Input[FMS_ID],FMS_Input[FMS_TYPE])</f>
        <v>Property Acquisition and Structural Elevation</v>
      </c>
      <c r="I474" s="249">
        <f>_xlfn.XLOOKUP(FMS_Ranking4[[#This Row],[FMS ID]],FMS_Input[FMS_ID],FMS_Input[NRNC_COST])</f>
        <v>5000000</v>
      </c>
      <c r="J474" s="250">
        <f>_xlfn.XLOOKUP(FMS_Ranking4[[#This Row],[FMS ID]],FMS_Input[FMS_ID],FMS_Input[FMS_COST])</f>
        <v>5000000</v>
      </c>
      <c r="K474" s="251" t="str">
        <f>_xlfn.XLOOKUP(FMS_Ranking4[[#This Row],[FMS ID]],FMS_Input[FMS_ID],FMS_Input[EMER_NEED])</f>
        <v>Yes</v>
      </c>
      <c r="L474" s="252">
        <f t="shared" si="7"/>
        <v>1</v>
      </c>
      <c r="M474" s="253">
        <f>_xlfn.XLOOKUP(FMS_Ranking4[[#This Row],[FMS ID]],FMS_Input[FMS_ID],FMS_Input[STRUCT_100])</f>
        <v>541</v>
      </c>
      <c r="N474" s="255">
        <f>(ASINH(FMS_Ranking4[[#This Row],[Structure at Risk Raw]]))*(10)/(ASINH(M$4))</f>
        <v>5.49248216328927</v>
      </c>
      <c r="O474" s="256">
        <f>FMS_Ranking4[[#This Row],[Structures at risk, ArcSinh (0-10)]]*M$5*10</f>
        <v>5.4924821632892709</v>
      </c>
      <c r="P474" s="253">
        <f>_xlfn.XLOOKUP(FMS_Ranking4[[#This Row],[FMS ID]],FMS_Input[FMS_ID],FMS_Input[RES_STRUCT100])</f>
        <v>416</v>
      </c>
      <c r="Q474" s="257">
        <f>ASINH(FMS_Ranking4[[#This Row],[Res Structure Raw]])/Q$4*P$5*100</f>
        <v>0</v>
      </c>
      <c r="R474" s="253">
        <f>_xlfn.XLOOKUP(FMS_Ranking4[[#This Row],[FMS ID]],FMS_Input[FMS_ID],FMS_Input[POP100])</f>
        <v>1143</v>
      </c>
      <c r="S474" s="259">
        <f>(ASINH(FMS_Ranking4[[#This Row],[Pop at Risk Raw]]))*(10)/(ASINH(R$4))</f>
        <v>5.3396163923788009</v>
      </c>
      <c r="T474" s="256">
        <f>FMS_Ranking4[[#This Row],[Population at risk, ArcSinh (0-10)]]*R$5*10</f>
        <v>5.3396163923788009</v>
      </c>
      <c r="U474" s="253">
        <f>_xlfn.XLOOKUP(FMS_Ranking4[[#This Row],[FMS ID]],FMS_Input[FMS_ID],FMS_Input[CRITFAC100])</f>
        <v>1</v>
      </c>
      <c r="V474" s="259">
        <f>(ASINH(FMS_Ranking4[[#This Row],[Critical Facilities Raw]]))*(10)/(ASINH(U$4))</f>
        <v>1.0433384451410745</v>
      </c>
      <c r="W474" s="256">
        <f>FMS_Ranking4[[#This Row],[Critical facilities at risk, ArcSinh (0-10)]]*U$5*10</f>
        <v>1.0433384451410745</v>
      </c>
      <c r="X474" s="253">
        <f>_xlfn.XLOOKUP(FMS_Ranking4[[#This Row],[FMS ID]],FMS_Input[FMS_ID],FMS_Input[LWC])</f>
        <v>5</v>
      </c>
      <c r="Y474" s="259">
        <f>(ASINH(FMS_Ranking4[[#This Row],[LWC Raw]]))*(10)/(ASINH(X$4))</f>
        <v>3.1327475801820781</v>
      </c>
      <c r="Z474" s="256">
        <f>FMS_Ranking4[[#This Row],[LWC, ArcSInh (0-10)]]*X$5*10</f>
        <v>3.1327475801820781</v>
      </c>
      <c r="AA474" s="253">
        <f>_xlfn.XLOOKUP(FMS_Ranking4[[#This Row],[FMS ID]],FMS_Input[FMS_ID],FMS_Input[ROADCLS])</f>
        <v>5</v>
      </c>
      <c r="AB474" s="255">
        <f>(ASINH(FMS_Ranking4[[#This Row],[Road Closures Raw]]))*(10)/(ASINH(AA$4))</f>
        <v>2.4081922896382904</v>
      </c>
      <c r="AC474" s="256">
        <f>FMS_Ranking4[[#This Row],[Road closures, ArcSinh (0-10)]]*AA$5*10</f>
        <v>1.2040961448191452</v>
      </c>
      <c r="AD474" s="253">
        <f>_xlfn.XLOOKUP(FMS_Ranking4[[#This Row],[FMS ID]],FMS_Input[FMS_ID],FMS_Input[ROAD_MILES100])</f>
        <v>13</v>
      </c>
      <c r="AE474" s="259">
        <f>(ASINH(FMS_Ranking4[[#This Row],[Road Miles Raw]]))*(10)/(ASINH(AD$4))</f>
        <v>3.473807557544454</v>
      </c>
      <c r="AF474" s="256">
        <f>FMS_Ranking4[[#This Row],[Length of roads at risk, ArcSinh (0-10)]]*AD$5*10</f>
        <v>3.4738075575444545</v>
      </c>
      <c r="AG474" s="253">
        <f>_xlfn.XLOOKUP(FMS_Ranking4[[#This Row],[FMS ID]],FMS_Input[FMS_ID],FMS_Input[FARMACRE100])</f>
        <v>1.0961142778396611</v>
      </c>
      <c r="AH474" s="255">
        <f>(ASINH(FMS_Ranking4[[#This Row],[Ag Land Raw]]))*(10)/(ASINH(AG$4))</f>
        <v>0.61562822310861065</v>
      </c>
      <c r="AI474" s="260">
        <f>FMS_Ranking4[[#This Row],[Farm &amp; ranch land, ArcSinh (0-10)]]*AG$5*10</f>
        <v>0.30781411155430533</v>
      </c>
      <c r="AJ474" s="258">
        <f>_xlfn.XLOOKUP(FMS_Ranking4[[#This Row],[FMS ID]],FMS_Input[FMS_ID],FMS_Input[REDSTRUCT100])</f>
        <v>0</v>
      </c>
      <c r="AK474" s="253">
        <f>_xlfn.XLOOKUP(FMS_Ranking4[[#This Row],[FMS ID]],FMS_Input[FMS_ID],FMS_Input[REMSTRC100])</f>
        <v>0</v>
      </c>
      <c r="AL474" s="259">
        <f>(ASINH(FMS_Ranking4[[#This Row],[Structures Removed Raw]]))*(10)/(ASINH(AK$4))</f>
        <v>0</v>
      </c>
      <c r="AM474" s="262">
        <f>FMS_Ranking4[[#This Row],[Structures removed, ArcSinh (0-10)]]*AK$5*10</f>
        <v>0</v>
      </c>
      <c r="AN474" s="253">
        <f>_xlfn.XLOOKUP(FMS_Ranking4[[#This Row],[FMS ID]],FMS_Input[FMS_ID],FMS_Input[REMRESSTRC100])</f>
        <v>0</v>
      </c>
      <c r="AO474" s="261">
        <f>FMS_Ranking4[[#This Row],[ArcSinh Res struct removed 0-10]]*AN$5*10</f>
        <v>0</v>
      </c>
      <c r="AP474" s="260">
        <f>ASINH(FMS_Ranking4[[#This Row],[Residential Structures Removed Raw]])/AP$4*AN$5*100</f>
        <v>0</v>
      </c>
      <c r="AQ474" s="254">
        <f>(ASINH(FMS_Ranking4[[#This Row],[Residential Structures Removed Raw]]))*(10)/(ASINH(AN$4))</f>
        <v>0</v>
      </c>
      <c r="AR474" s="253">
        <f>_xlfn.XLOOKUP(FMS_Ranking4[[#This Row],[FMS ID]],FMS_Input[FMS_ID],FMS_Input[REMPOP100])</f>
        <v>0</v>
      </c>
      <c r="AS474" s="259">
        <f>(ASINH(FMS_Ranking4[[#This Row],[Removed Pop Raw]]))*(10)/(ASINH(AR$4))</f>
        <v>0</v>
      </c>
      <c r="AT474" s="262">
        <f>FMS_Ranking4[[#This Row],[Removed population, ArcSinh (0-10)]]*AR$5*10</f>
        <v>0</v>
      </c>
      <c r="AU474" s="264">
        <f>_xlfn.XLOOKUP(FMS_Ranking4[[#This Row],[FMS ID]],FMS_Input[FMS_ID],FMS_Input[REMCRITFAC100])</f>
        <v>0</v>
      </c>
      <c r="AV474" s="264">
        <f>_xlfn.XLOOKUP(FMS_Ranking4[[#This Row],[FMS ID]],FMS_Input[FMS_ID],FMS_Input[REMLWC100])</f>
        <v>0</v>
      </c>
      <c r="AW474" s="264">
        <f>_xlfn.XLOOKUP(FMS_Ranking4[[#This Row],[FMS ID]],FMS_Input[FMS_ID],FMS_Input[REMROADCLS])</f>
        <v>0</v>
      </c>
      <c r="AX474" s="264">
        <f>_xlfn.XLOOKUP(FMS_Ranking4[[#This Row],[FMS ID]],FMS_Input[FMS_ID],FMS_Input[REMFRMACRE100])</f>
        <v>0</v>
      </c>
      <c r="AY474" s="258">
        <f>_xlfn.XLOOKUP(FMS_Ranking4[[#This Row],[FMS ID]],FMS_Input[FMS_ID],FMS_Input[COSTSTRUCT])</f>
        <v>0</v>
      </c>
      <c r="AZ474" s="253">
        <f>_xlfn.XLOOKUP(FMS_Ranking4[[#This Row],[FMS ID]],FMS_Input[FMS_ID],FMS_Input[NATURE])</f>
        <v>0</v>
      </c>
      <c r="BA474" s="262">
        <f>(((FMS_Ranking4[[#This Row],[% NBS Raw]]/AZ$4)*100)*AZ$5)</f>
        <v>0</v>
      </c>
      <c r="BB474" s="251" t="str">
        <f>_xlfn.XLOOKUP(FMS_Ranking4[[#This Row],[FMS ID]],FMS_Input[FMS_ID],FMS_Input[WATER_SUP])</f>
        <v>No</v>
      </c>
      <c r="BC474" s="265">
        <f>IF(FMS_Ranking4[[#This Row],[Water Supply Raw]]="Yes",10,0)</f>
        <v>0</v>
      </c>
      <c r="BD474" s="266">
        <f>_xlfn.XLOOKUP(FMS_Ranking4[[#This Row],[FMS Type]],FMS_TYPE[FMS_Type],FMS_TYPE[Score])</f>
        <v>4</v>
      </c>
      <c r="BE474" s="267">
        <f>FMS_Ranking4[[#This Row],[FMS_Type Score]]*$BD$5*10</f>
        <v>1</v>
      </c>
      <c r="BF47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0.13585881243451445</v>
      </c>
      <c r="BG474" s="271">
        <f>_xlfn.RANK.EQ(BF474,$BF$8:$BF$870,0)+COUNTIF($BF$8:BF474,BF474)-1</f>
        <v>426</v>
      </c>
      <c r="BH474" s="268">
        <f>(((FMS_Ranking4[[#This Row],[Structures Removed Raw]]/AK$4)*100)*AK$5)+(((FMS_Ranking4[[#This Row],[Removed Pop Raw]]/AR$4)*100)*AR$5)</f>
        <v>0</v>
      </c>
      <c r="BI47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1.1358588124345144</v>
      </c>
      <c r="BJ474" s="205">
        <f>_xlfn.RANK.EQ(FMS_Ranking4[[#This Row],[Total Score 
(with linear
normalization)]],FMS_Ranking4[Total Score 
(with linear
normalization)],0)</f>
        <v>665</v>
      </c>
      <c r="BK474" s="205" t="e">
        <f>_xlfn.XLOOKUP(FMS_Ranking4[[#This Row],[FMS ID]],#REF!,#REF!)</f>
        <v>#REF!</v>
      </c>
      <c r="BL47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19.993902394909128</v>
      </c>
      <c r="BM474" s="272">
        <f>FMS_Ranking4[[#This Row],[ArcSinh Score Based on Normalized Reported Factors]]+FMS_Ranking4[[#This Row],[% NBS Score (Normalized)]]+(FMS_Ranking4[[#This Row],[Water Supply Score (Normalized)]]*10*$BB$5)+FMS_Ranking4[[#This Row],[FMS_Type Score Weighted]]</f>
        <v>20.993902394909128</v>
      </c>
      <c r="BN474" s="205">
        <f>_xlfn.RANK.EQ(FMS_Ranking4[[#This Row],[Total Score (with ArcSinh normalization of select criteria)]],FMS_Ranking4[Total Score (with ArcSinh normalization of select criteria)],0)</f>
        <v>467</v>
      </c>
      <c r="BO474" s="270" t="str">
        <f>_xlfn.XLOOKUP(FMS_Ranking4[[#This Row],[FMS ID]],FMS_Input[FMS_ID],FMS_Input[FMS_RANK_YEAR])</f>
        <v>2025 Amended Plan</v>
      </c>
      <c r="BP474" s="204" t="e">
        <f>_xlfn.XLOOKUP(FMS_Ranking4[[#This Row],[FMS ID]],Prev_Rank[FMS ID],Prev_Rank[Prev Rank])</f>
        <v>#N/A</v>
      </c>
      <c r="BQ474" s="205" t="e">
        <f>_xlfn.XLOOKUP(FMS_Ranking4[[#This Row],[FMS ID]],#REF!,#REF!)</f>
        <v>#REF!</v>
      </c>
      <c r="BR474" s="199" t="e">
        <f>SUM(#REF!,#REF!,#REF!,#REF!,#REF!,#REF!,#REF!,#REF!,#REF!,FMS_Ranking4[[#This Row],[ArcSinh Res struct removed 0-10]],#REF!)</f>
        <v>#REF!</v>
      </c>
      <c r="BS474" s="199" t="e">
        <f>FMS_Ranking4[[#This Row],[Log Score Based on Normalized Reported Factors]]+FMS_Ranking4[[#This Row],[% NBS Score (Normalized)]]+(FMS_Ranking4[[#This Row],[Water Supply Score (Normalized)]]*10*$BB$5)+(FMS_Ranking4[[#This Row],[FMS_Type Score Weighted]])</f>
        <v>#REF!</v>
      </c>
      <c r="BT474" s="200" t="e">
        <f>_xlfn.RANK.EQ(FMS_Ranking4[[#This Row],[Log Total Score]],FMS_Ranking4[Log Total Score],0)</f>
        <v>#REF!</v>
      </c>
      <c r="BU474" s="200" t="e">
        <f>_xlfn.XLOOKUP(FMS_Ranking4[[#This Row],[FMS ID]],#REF!,#REF!)</f>
        <v>#REF!</v>
      </c>
      <c r="BV474" s="200">
        <f>FMS_Ranking4[[#This Row],[Region Number]]</f>
        <v>5</v>
      </c>
      <c r="BW474" s="200">
        <f>FMS_Ranking4[[#This Row],[Rank (with ArcSinh normalization of select criteria)]]-FMS_Ranking4[[#This Row],[Rank
(with linear
normalization)]]</f>
        <v>-198</v>
      </c>
      <c r="BX474" s="200" t="e">
        <f>FMS_Ranking4[[#This Row],[Log Rank]]-FMS_Ranking4[[#This Row],[Rank
(with linear
normalization)]]</f>
        <v>#REF!</v>
      </c>
      <c r="BY474" s="200" t="str">
        <f>IF(FMS_Ranking4[[#This Row],[FMS Type]]="Flood Measurement and Warning",FMS_Ranking4[[#This Row],[Rank (with ArcSinh normalization of select criteria)]],"")</f>
        <v/>
      </c>
      <c r="BZ474" s="200" t="str">
        <f>IF(FMS_Ranking4[[#This Row],[FMS Type]]="Regulatory and Guidance",FMS_Ranking4[[#This Row],[Rank (with ArcSinh normalization of select criteria)]],"")</f>
        <v/>
      </c>
      <c r="CA474" s="200" t="str">
        <f>IF(FMS_Ranking4[[#This Row],[FMS Type]]="Education and Outreach",FMS_Ranking4[[#This Row],[Rank (with ArcSinh normalization of select criteria)]],"")</f>
        <v/>
      </c>
      <c r="CB474" s="200">
        <f>IF(FMS_Ranking4[[#This Row],[FMS Type]]="Property Acquisition and Structural Elevation",FMS_Ranking4[[#This Row],[Rank (with ArcSinh normalization of select criteria)]],"")</f>
        <v>467</v>
      </c>
      <c r="CC474" s="200" t="str">
        <f>IF(FMS_Ranking4[[#This Row],[FMS Type]]="Infrastructure Projects",FMS_Ranking4[[#This Row],[Rank (with ArcSinh normalization of select criteria)]],"")</f>
        <v/>
      </c>
      <c r="CD474" s="200" t="str">
        <f>IF(FMS_Ranking4[[#This Row],[FMS Type]]="Other",FMS_Ranking4[[#This Row],[Rank (with ArcSinh normalization of select criteria)]],"")</f>
        <v/>
      </c>
      <c r="CE474" s="201"/>
      <c r="CF474" s="206"/>
      <c r="CG474" s="206"/>
      <c r="CH474" s="206"/>
      <c r="CI474" s="206"/>
      <c r="CJ474" s="206"/>
      <c r="CK474" s="206"/>
      <c r="CL474" s="206"/>
      <c r="CM474" s="206"/>
      <c r="CN474" s="206"/>
      <c r="CO474" s="206"/>
      <c r="CP474" s="206"/>
      <c r="CQ474" s="206"/>
      <c r="CR474" s="206"/>
    </row>
    <row r="475" spans="2:96" ht="60" x14ac:dyDescent="0.25">
      <c r="B475" s="341" t="s">
        <v>12399</v>
      </c>
      <c r="C475" s="246">
        <f>_xlfn.XLOOKUP(FMS_Ranking4[[#This Row],[FMS ID]],FMS_Input[FMS_ID],FMS_Input[RFPG_NUM])</f>
        <v>5</v>
      </c>
      <c r="D475" s="309" t="str">
        <f>_xlfn.XLOOKUP(FMS_Ranking4[[#This Row],[FMS ID]],FMS_Input[FMS_ID],FMS_Input[FMS_NAME])</f>
        <v>City of Vidor Flood Property Elevation</v>
      </c>
      <c r="E475" s="308" t="str">
        <f>_xlfn.XLOOKUP(FMS_Ranking4[[#This Row],[FMS ID]],FMS_Input[FMS_ID],FMS_Input[SPONSOR])</f>
        <v>00000027</v>
      </c>
      <c r="F475" s="309" t="str">
        <f>_xlfn.XLOOKUP(FMS_Ranking4[[#This Row],[FMS ID]],Sponsor[FMS_ID],Sponsor[SPONSOR NAME])</f>
        <v>Orange</v>
      </c>
      <c r="G475" s="309" t="str">
        <f>_xlfn.XLOOKUP(FMS_Ranking4[[#This Row],[FMS ID]],FMS_Input[FMS_ID],FMS_Input[FMS_DESCR])</f>
        <v>Voluntary elevation of repetitive and severe repetitive loss properties in Vidor.</v>
      </c>
      <c r="H475" s="248" t="str">
        <f>_xlfn.XLOOKUP(FMS_Ranking4[[#This Row],[FMS ID]],FMS_Input[FMS_ID],FMS_Input[FMS_TYPE])</f>
        <v>Property Acquisition and Structural Elevation</v>
      </c>
      <c r="I475" s="249">
        <f>_xlfn.XLOOKUP(FMS_Ranking4[[#This Row],[FMS ID]],FMS_Input[FMS_ID],FMS_Input[NRNC_COST])</f>
        <v>5000000</v>
      </c>
      <c r="J475" s="250">
        <f>_xlfn.XLOOKUP(FMS_Ranking4[[#This Row],[FMS ID]],FMS_Input[FMS_ID],FMS_Input[FMS_COST])</f>
        <v>5000000</v>
      </c>
      <c r="K475" s="251" t="str">
        <f>_xlfn.XLOOKUP(FMS_Ranking4[[#This Row],[FMS ID]],FMS_Input[FMS_ID],FMS_Input[EMER_NEED])</f>
        <v>Yes</v>
      </c>
      <c r="L475" s="252">
        <f t="shared" si="7"/>
        <v>1</v>
      </c>
      <c r="M475" s="253">
        <f>_xlfn.XLOOKUP(FMS_Ranking4[[#This Row],[FMS ID]],FMS_Input[FMS_ID],FMS_Input[STRUCT_100])</f>
        <v>541</v>
      </c>
      <c r="N475" s="255">
        <f>(ASINH(FMS_Ranking4[[#This Row],[Structure at Risk Raw]]))*(10)/(ASINH(M$4))</f>
        <v>5.49248216328927</v>
      </c>
      <c r="O475" s="256">
        <f>FMS_Ranking4[[#This Row],[Structures at risk, ArcSinh (0-10)]]*M$5*10</f>
        <v>5.4924821632892709</v>
      </c>
      <c r="P475" s="253">
        <f>_xlfn.XLOOKUP(FMS_Ranking4[[#This Row],[FMS ID]],FMS_Input[FMS_ID],FMS_Input[RES_STRUCT100])</f>
        <v>416</v>
      </c>
      <c r="Q475" s="257">
        <f>ASINH(FMS_Ranking4[[#This Row],[Res Structure Raw]])/Q$4*P$5*100</f>
        <v>0</v>
      </c>
      <c r="R475" s="253">
        <f>_xlfn.XLOOKUP(FMS_Ranking4[[#This Row],[FMS ID]],FMS_Input[FMS_ID],FMS_Input[POP100])</f>
        <v>1143</v>
      </c>
      <c r="S475" s="255">
        <f>(ASINH(FMS_Ranking4[[#This Row],[Pop at Risk Raw]]))*(10)/(ASINH(R$4))</f>
        <v>5.3396163923788009</v>
      </c>
      <c r="T475" s="256">
        <f>FMS_Ranking4[[#This Row],[Population at risk, ArcSinh (0-10)]]*R$5*10</f>
        <v>5.3396163923788009</v>
      </c>
      <c r="U475" s="253">
        <f>_xlfn.XLOOKUP(FMS_Ranking4[[#This Row],[FMS ID]],FMS_Input[FMS_ID],FMS_Input[CRITFAC100])</f>
        <v>1</v>
      </c>
      <c r="V475" s="255">
        <f>(ASINH(FMS_Ranking4[[#This Row],[Critical Facilities Raw]]))*(10)/(ASINH(U$4))</f>
        <v>1.0433384451410745</v>
      </c>
      <c r="W475" s="256">
        <f>FMS_Ranking4[[#This Row],[Critical facilities at risk, ArcSinh (0-10)]]*U$5*10</f>
        <v>1.0433384451410745</v>
      </c>
      <c r="X475" s="253">
        <f>_xlfn.XLOOKUP(FMS_Ranking4[[#This Row],[FMS ID]],FMS_Input[FMS_ID],FMS_Input[LWC])</f>
        <v>5</v>
      </c>
      <c r="Y475" s="255">
        <f>(ASINH(FMS_Ranking4[[#This Row],[LWC Raw]]))*(10)/(ASINH(X$4))</f>
        <v>3.1327475801820781</v>
      </c>
      <c r="Z475" s="256">
        <f>FMS_Ranking4[[#This Row],[LWC, ArcSInh (0-10)]]*X$5*10</f>
        <v>3.1327475801820781</v>
      </c>
      <c r="AA475" s="253">
        <f>_xlfn.XLOOKUP(FMS_Ranking4[[#This Row],[FMS ID]],FMS_Input[FMS_ID],FMS_Input[ROADCLS])</f>
        <v>5</v>
      </c>
      <c r="AB475" s="255">
        <f>(ASINH(FMS_Ranking4[[#This Row],[Road Closures Raw]]))*(10)/(ASINH(AA$4))</f>
        <v>2.4081922896382904</v>
      </c>
      <c r="AC475" s="256">
        <f>FMS_Ranking4[[#This Row],[Road closures, ArcSinh (0-10)]]*AA$5*10</f>
        <v>1.2040961448191452</v>
      </c>
      <c r="AD475" s="253">
        <f>_xlfn.XLOOKUP(FMS_Ranking4[[#This Row],[FMS ID]],FMS_Input[FMS_ID],FMS_Input[ROAD_MILES100])</f>
        <v>13</v>
      </c>
      <c r="AE475" s="255">
        <f>(ASINH(FMS_Ranking4[[#This Row],[Road Miles Raw]]))*(10)/(ASINH(AD$4))</f>
        <v>3.473807557544454</v>
      </c>
      <c r="AF475" s="256">
        <f>FMS_Ranking4[[#This Row],[Length of roads at risk, ArcSinh (0-10)]]*AD$5*10</f>
        <v>3.4738075575444545</v>
      </c>
      <c r="AG475" s="253">
        <f>_xlfn.XLOOKUP(FMS_Ranking4[[#This Row],[FMS ID]],FMS_Input[FMS_ID],FMS_Input[FARMACRE100])</f>
        <v>1.0961142778396611</v>
      </c>
      <c r="AH475" s="255">
        <f>(ASINH(FMS_Ranking4[[#This Row],[Ag Land Raw]]))*(10)/(ASINH(AG$4))</f>
        <v>0.61562822310861065</v>
      </c>
      <c r="AI475" s="260">
        <f>FMS_Ranking4[[#This Row],[Farm &amp; ranch land, ArcSinh (0-10)]]*AG$5*10</f>
        <v>0.30781411155430533</v>
      </c>
      <c r="AJ475" s="258">
        <f>_xlfn.XLOOKUP(FMS_Ranking4[[#This Row],[FMS ID]],FMS_Input[FMS_ID],FMS_Input[REDSTRUCT100])</f>
        <v>0</v>
      </c>
      <c r="AK475" s="253">
        <f>_xlfn.XLOOKUP(FMS_Ranking4[[#This Row],[FMS ID]],FMS_Input[FMS_ID],FMS_Input[REMSTRC100])</f>
        <v>0</v>
      </c>
      <c r="AL475" s="255">
        <f>(ASINH(FMS_Ranking4[[#This Row],[Structures Removed Raw]]))*(10)/(ASINH(AK$4))</f>
        <v>0</v>
      </c>
      <c r="AM475" s="262">
        <f>FMS_Ranking4[[#This Row],[Structures removed, ArcSinh (0-10)]]*AK$5*10</f>
        <v>0</v>
      </c>
      <c r="AN475" s="253">
        <f>_xlfn.XLOOKUP(FMS_Ranking4[[#This Row],[FMS ID]],FMS_Input[FMS_ID],FMS_Input[REMRESSTRC100])</f>
        <v>0</v>
      </c>
      <c r="AO475" s="261">
        <f>FMS_Ranking4[[#This Row],[ArcSinh Res struct removed 0-10]]*AN$5*10</f>
        <v>0</v>
      </c>
      <c r="AP475" s="260">
        <f>ASINH(FMS_Ranking4[[#This Row],[Residential Structures Removed Raw]])/AP$4*AN$5*100</f>
        <v>0</v>
      </c>
      <c r="AQ475" s="258">
        <f>(ASINH(FMS_Ranking4[[#This Row],[Residential Structures Removed Raw]]))*(10)/(ASINH(AN$4))</f>
        <v>0</v>
      </c>
      <c r="AR475" s="253">
        <f>_xlfn.XLOOKUP(FMS_Ranking4[[#This Row],[FMS ID]],FMS_Input[FMS_ID],FMS_Input[REMPOP100])</f>
        <v>0</v>
      </c>
      <c r="AS475" s="255">
        <f>(ASINH(FMS_Ranking4[[#This Row],[Removed Pop Raw]]))*(10)/(ASINH(AR$4))</f>
        <v>0</v>
      </c>
      <c r="AT475" s="262">
        <f>FMS_Ranking4[[#This Row],[Removed population, ArcSinh (0-10)]]*AR$5*10</f>
        <v>0</v>
      </c>
      <c r="AU475" s="264">
        <f>_xlfn.XLOOKUP(FMS_Ranking4[[#This Row],[FMS ID]],FMS_Input[FMS_ID],FMS_Input[REMCRITFAC100])</f>
        <v>0</v>
      </c>
      <c r="AV475" s="264">
        <f>_xlfn.XLOOKUP(FMS_Ranking4[[#This Row],[FMS ID]],FMS_Input[FMS_ID],FMS_Input[REMLWC100])</f>
        <v>0</v>
      </c>
      <c r="AW475" s="264">
        <f>_xlfn.XLOOKUP(FMS_Ranking4[[#This Row],[FMS ID]],FMS_Input[FMS_ID],FMS_Input[REMROADCLS])</f>
        <v>0</v>
      </c>
      <c r="AX475" s="264">
        <f>_xlfn.XLOOKUP(FMS_Ranking4[[#This Row],[FMS ID]],FMS_Input[FMS_ID],FMS_Input[REMFRMACRE100])</f>
        <v>0</v>
      </c>
      <c r="AY475" s="258">
        <f>_xlfn.XLOOKUP(FMS_Ranking4[[#This Row],[FMS ID]],FMS_Input[FMS_ID],FMS_Input[COSTSTRUCT])</f>
        <v>0</v>
      </c>
      <c r="AZ475" s="253">
        <f>_xlfn.XLOOKUP(FMS_Ranking4[[#This Row],[FMS ID]],FMS_Input[FMS_ID],FMS_Input[NATURE])</f>
        <v>0</v>
      </c>
      <c r="BA475" s="262">
        <f>(((FMS_Ranking4[[#This Row],[% NBS Raw]]/AZ$4)*100)*AZ$5)</f>
        <v>0</v>
      </c>
      <c r="BB475" s="251" t="str">
        <f>_xlfn.XLOOKUP(FMS_Ranking4[[#This Row],[FMS ID]],FMS_Input[FMS_ID],FMS_Input[WATER_SUP])</f>
        <v>No</v>
      </c>
      <c r="BC475" s="265">
        <f>IF(FMS_Ranking4[[#This Row],[Water Supply Raw]]="Yes",10,0)</f>
        <v>0</v>
      </c>
      <c r="BD475" s="266">
        <f>_xlfn.XLOOKUP(FMS_Ranking4[[#This Row],[FMS Type]],FMS_TYPE[FMS_Type],FMS_TYPE[Score])</f>
        <v>4</v>
      </c>
      <c r="BE475" s="267">
        <f>FMS_Ranking4[[#This Row],[FMS_Type Score]]*$BD$5*10</f>
        <v>1</v>
      </c>
      <c r="BF47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0.13585881243451445</v>
      </c>
      <c r="BG475" s="321">
        <f>_xlfn.RANK.EQ(BF475,$BF$8:$BF$870,0)+COUNTIF($BF$8:BF475,BF475)-1</f>
        <v>427</v>
      </c>
      <c r="BH475" s="294">
        <f>(((FMS_Ranking4[[#This Row],[Structures Removed Raw]]/AK$4)*100)*AK$5)+(((FMS_Ranking4[[#This Row],[Removed Pop Raw]]/AR$4)*100)*AR$5)</f>
        <v>0</v>
      </c>
      <c r="BI47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1.1358588124345144</v>
      </c>
      <c r="BJ475" s="251">
        <f>_xlfn.RANK.EQ(FMS_Ranking4[[#This Row],[Total Score 
(with linear
normalization)]],FMS_Ranking4[Total Score 
(with linear
normalization)],0)</f>
        <v>665</v>
      </c>
      <c r="BK475" s="251" t="e">
        <f>_xlfn.XLOOKUP(FMS_Ranking4[[#This Row],[FMS ID]],#REF!,#REF!)</f>
        <v>#REF!</v>
      </c>
      <c r="BL47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19.993902394909128</v>
      </c>
      <c r="BM475" s="324">
        <f>FMS_Ranking4[[#This Row],[ArcSinh Score Based on Normalized Reported Factors]]+FMS_Ranking4[[#This Row],[% NBS Score (Normalized)]]+(FMS_Ranking4[[#This Row],[Water Supply Score (Normalized)]]*10*$BB$5)+FMS_Ranking4[[#This Row],[FMS_Type Score Weighted]]</f>
        <v>20.993902394909128</v>
      </c>
      <c r="BN475" s="251">
        <f>_xlfn.RANK.EQ(FMS_Ranking4[[#This Row],[Total Score (with ArcSinh normalization of select criteria)]],FMS_Ranking4[Total Score (with ArcSinh normalization of select criteria)],0)</f>
        <v>467</v>
      </c>
      <c r="BO475" s="270" t="str">
        <f>_xlfn.XLOOKUP(FMS_Ranking4[[#This Row],[FMS ID]],FMS_Input[FMS_ID],FMS_Input[FMS_RANK_YEAR])</f>
        <v>2025 Amended Plan</v>
      </c>
      <c r="BP475" s="204" t="e">
        <f>_xlfn.XLOOKUP(FMS_Ranking4[[#This Row],[FMS ID]],Prev_Rank[FMS ID],Prev_Rank[Prev Rank])</f>
        <v>#N/A</v>
      </c>
      <c r="BQ475" s="251" t="e">
        <f>_xlfn.XLOOKUP(FMS_Ranking4[[#This Row],[FMS ID]],#REF!,#REF!)</f>
        <v>#REF!</v>
      </c>
      <c r="BR475" s="199" t="e">
        <f>SUM(#REF!,#REF!,#REF!,#REF!,#REF!,#REF!,#REF!,#REF!,#REF!,FMS_Ranking4[[#This Row],[ArcSinh Res struct removed 0-10]],#REF!)</f>
        <v>#REF!</v>
      </c>
      <c r="BS475" s="199" t="e">
        <f>FMS_Ranking4[[#This Row],[Log Score Based on Normalized Reported Factors]]+FMS_Ranking4[[#This Row],[% NBS Score (Normalized)]]+(FMS_Ranking4[[#This Row],[Water Supply Score (Normalized)]]*10*$BB$5)+(FMS_Ranking4[[#This Row],[FMS_Type Score Weighted]])</f>
        <v>#REF!</v>
      </c>
      <c r="BT475" s="200" t="e">
        <f>_xlfn.RANK.EQ(FMS_Ranking4[[#This Row],[Log Total Score]],FMS_Ranking4[Log Total Score],0)</f>
        <v>#REF!</v>
      </c>
      <c r="BU475" s="200" t="e">
        <f>_xlfn.XLOOKUP(FMS_Ranking4[[#This Row],[FMS ID]],#REF!,#REF!)</f>
        <v>#REF!</v>
      </c>
      <c r="BV475" s="200">
        <f>FMS_Ranking4[[#This Row],[Region Number]]</f>
        <v>5</v>
      </c>
      <c r="BW475" s="200">
        <f>FMS_Ranking4[[#This Row],[Rank (with ArcSinh normalization of select criteria)]]-FMS_Ranking4[[#This Row],[Rank
(with linear
normalization)]]</f>
        <v>-198</v>
      </c>
      <c r="BX475" s="200" t="e">
        <f>FMS_Ranking4[[#This Row],[Log Rank]]-FMS_Ranking4[[#This Row],[Rank
(with linear
normalization)]]</f>
        <v>#REF!</v>
      </c>
      <c r="BY475" s="200" t="str">
        <f>IF(FMS_Ranking4[[#This Row],[FMS Type]]="Flood Measurement and Warning",FMS_Ranking4[[#This Row],[Rank (with ArcSinh normalization of select criteria)]],"")</f>
        <v/>
      </c>
      <c r="BZ475" s="200" t="str">
        <f>IF(FMS_Ranking4[[#This Row],[FMS Type]]="Regulatory and Guidance",FMS_Ranking4[[#This Row],[Rank (with ArcSinh normalization of select criteria)]],"")</f>
        <v/>
      </c>
      <c r="CA475" s="200" t="str">
        <f>IF(FMS_Ranking4[[#This Row],[FMS Type]]="Education and Outreach",FMS_Ranking4[[#This Row],[Rank (with ArcSinh normalization of select criteria)]],"")</f>
        <v/>
      </c>
      <c r="CB475" s="200">
        <f>IF(FMS_Ranking4[[#This Row],[FMS Type]]="Property Acquisition and Structural Elevation",FMS_Ranking4[[#This Row],[Rank (with ArcSinh normalization of select criteria)]],"")</f>
        <v>467</v>
      </c>
      <c r="CC475" s="200" t="str">
        <f>IF(FMS_Ranking4[[#This Row],[FMS Type]]="Infrastructure Projects",FMS_Ranking4[[#This Row],[Rank (with ArcSinh normalization of select criteria)]],"")</f>
        <v/>
      </c>
      <c r="CD475" s="200" t="str">
        <f>IF(FMS_Ranking4[[#This Row],[FMS Type]]="Other",FMS_Ranking4[[#This Row],[Rank (with ArcSinh normalization of select criteria)]],"")</f>
        <v/>
      </c>
      <c r="CE475" s="201"/>
      <c r="CF475" s="206"/>
      <c r="CG475" s="206"/>
      <c r="CH475" s="206"/>
      <c r="CI475" s="206"/>
      <c r="CJ475" s="206"/>
      <c r="CK475" s="206"/>
      <c r="CL475" s="206"/>
      <c r="CM475" s="206"/>
      <c r="CN475" s="206"/>
      <c r="CO475" s="206"/>
      <c r="CP475" s="206"/>
      <c r="CQ475" s="206"/>
      <c r="CR475" s="206"/>
    </row>
    <row r="476" spans="2:96" ht="60" x14ac:dyDescent="0.25">
      <c r="B476" s="341" t="s">
        <v>12402</v>
      </c>
      <c r="C476" s="246">
        <f>_xlfn.XLOOKUP(FMS_Ranking4[[#This Row],[FMS ID]],FMS_Input[FMS_ID],FMS_Input[RFPG_NUM])</f>
        <v>5</v>
      </c>
      <c r="D476" s="309" t="str">
        <f>_xlfn.XLOOKUP(FMS_Ranking4[[#This Row],[FMS ID]],FMS_Input[FMS_ID],FMS_Input[FMS_NAME])</f>
        <v>City of Vidor Demolition and Clearance of Flood Damaged Commerical Structures</v>
      </c>
      <c r="E476" s="308" t="str">
        <f>_xlfn.XLOOKUP(FMS_Ranking4[[#This Row],[FMS ID]],FMS_Input[FMS_ID],FMS_Input[SPONSOR])</f>
        <v>00000027</v>
      </c>
      <c r="F476" s="309" t="str">
        <f>_xlfn.XLOOKUP(FMS_Ranking4[[#This Row],[FMS ID]],Sponsor[FMS_ID],Sponsor[SPONSOR NAME])</f>
        <v>Orange</v>
      </c>
      <c r="G476" s="309" t="str">
        <f>_xlfn.XLOOKUP(FMS_Ranking4[[#This Row],[FMS ID]],FMS_Input[FMS_ID],FMS_Input[FMS_DESCR])</f>
        <v xml:space="preserve">Demolition and clearance of flood damaged commerical structures within the City of Vidor. </v>
      </c>
      <c r="H476" s="248" t="str">
        <f>_xlfn.XLOOKUP(FMS_Ranking4[[#This Row],[FMS ID]],FMS_Input[FMS_ID],FMS_Input[FMS_TYPE])</f>
        <v>Property Acquisition and Structural Elevation</v>
      </c>
      <c r="I476" s="249">
        <f>_xlfn.XLOOKUP(FMS_Ranking4[[#This Row],[FMS ID]],FMS_Input[FMS_ID],FMS_Input[NRNC_COST])</f>
        <v>5000000</v>
      </c>
      <c r="J476" s="250">
        <f>_xlfn.XLOOKUP(FMS_Ranking4[[#This Row],[FMS ID]],FMS_Input[FMS_ID],FMS_Input[FMS_COST])</f>
        <v>5000000</v>
      </c>
      <c r="K476" s="251" t="str">
        <f>_xlfn.XLOOKUP(FMS_Ranking4[[#This Row],[FMS ID]],FMS_Input[FMS_ID],FMS_Input[EMER_NEED])</f>
        <v>Yes</v>
      </c>
      <c r="L476" s="252">
        <f t="shared" si="7"/>
        <v>1</v>
      </c>
      <c r="M476" s="253">
        <f>_xlfn.XLOOKUP(FMS_Ranking4[[#This Row],[FMS ID]],FMS_Input[FMS_ID],FMS_Input[STRUCT_100])</f>
        <v>541</v>
      </c>
      <c r="N476" s="255">
        <f>(ASINH(FMS_Ranking4[[#This Row],[Structure at Risk Raw]]))*(10)/(ASINH(M$4))</f>
        <v>5.49248216328927</v>
      </c>
      <c r="O476" s="256">
        <f>FMS_Ranking4[[#This Row],[Structures at risk, ArcSinh (0-10)]]*M$5*10</f>
        <v>5.4924821632892709</v>
      </c>
      <c r="P476" s="253">
        <f>_xlfn.XLOOKUP(FMS_Ranking4[[#This Row],[FMS ID]],FMS_Input[FMS_ID],FMS_Input[RES_STRUCT100])</f>
        <v>416</v>
      </c>
      <c r="Q476" s="257">
        <f>ASINH(FMS_Ranking4[[#This Row],[Res Structure Raw]])/Q$4*P$5*100</f>
        <v>0</v>
      </c>
      <c r="R476" s="253">
        <f>_xlfn.XLOOKUP(FMS_Ranking4[[#This Row],[FMS ID]],FMS_Input[FMS_ID],FMS_Input[POP100])</f>
        <v>1143</v>
      </c>
      <c r="S476" s="255">
        <f>(ASINH(FMS_Ranking4[[#This Row],[Pop at Risk Raw]]))*(10)/(ASINH(R$4))</f>
        <v>5.3396163923788009</v>
      </c>
      <c r="T476" s="256">
        <f>FMS_Ranking4[[#This Row],[Population at risk, ArcSinh (0-10)]]*R$5*10</f>
        <v>5.3396163923788009</v>
      </c>
      <c r="U476" s="253">
        <f>_xlfn.XLOOKUP(FMS_Ranking4[[#This Row],[FMS ID]],FMS_Input[FMS_ID],FMS_Input[CRITFAC100])</f>
        <v>1</v>
      </c>
      <c r="V476" s="255">
        <f>(ASINH(FMS_Ranking4[[#This Row],[Critical Facilities Raw]]))*(10)/(ASINH(U$4))</f>
        <v>1.0433384451410745</v>
      </c>
      <c r="W476" s="256">
        <f>FMS_Ranking4[[#This Row],[Critical facilities at risk, ArcSinh (0-10)]]*U$5*10</f>
        <v>1.0433384451410745</v>
      </c>
      <c r="X476" s="253">
        <f>_xlfn.XLOOKUP(FMS_Ranking4[[#This Row],[FMS ID]],FMS_Input[FMS_ID],FMS_Input[LWC])</f>
        <v>5</v>
      </c>
      <c r="Y476" s="255">
        <f>(ASINH(FMS_Ranking4[[#This Row],[LWC Raw]]))*(10)/(ASINH(X$4))</f>
        <v>3.1327475801820781</v>
      </c>
      <c r="Z476" s="256">
        <f>FMS_Ranking4[[#This Row],[LWC, ArcSInh (0-10)]]*X$5*10</f>
        <v>3.1327475801820781</v>
      </c>
      <c r="AA476" s="253">
        <f>_xlfn.XLOOKUP(FMS_Ranking4[[#This Row],[FMS ID]],FMS_Input[FMS_ID],FMS_Input[ROADCLS])</f>
        <v>5</v>
      </c>
      <c r="AB476" s="255">
        <f>(ASINH(FMS_Ranking4[[#This Row],[Road Closures Raw]]))*(10)/(ASINH(AA$4))</f>
        <v>2.4081922896382904</v>
      </c>
      <c r="AC476" s="256">
        <f>FMS_Ranking4[[#This Row],[Road closures, ArcSinh (0-10)]]*AA$5*10</f>
        <v>1.2040961448191452</v>
      </c>
      <c r="AD476" s="253">
        <f>_xlfn.XLOOKUP(FMS_Ranking4[[#This Row],[FMS ID]],FMS_Input[FMS_ID],FMS_Input[ROAD_MILES100])</f>
        <v>13</v>
      </c>
      <c r="AE476" s="255">
        <f>(ASINH(FMS_Ranking4[[#This Row],[Road Miles Raw]]))*(10)/(ASINH(AD$4))</f>
        <v>3.473807557544454</v>
      </c>
      <c r="AF476" s="256">
        <f>FMS_Ranking4[[#This Row],[Length of roads at risk, ArcSinh (0-10)]]*AD$5*10</f>
        <v>3.4738075575444545</v>
      </c>
      <c r="AG476" s="253">
        <f>_xlfn.XLOOKUP(FMS_Ranking4[[#This Row],[FMS ID]],FMS_Input[FMS_ID],FMS_Input[FARMACRE100])</f>
        <v>1.0961142778396611</v>
      </c>
      <c r="AH476" s="255">
        <f>(ASINH(FMS_Ranking4[[#This Row],[Ag Land Raw]]))*(10)/(ASINH(AG$4))</f>
        <v>0.61562822310861065</v>
      </c>
      <c r="AI476" s="260">
        <f>FMS_Ranking4[[#This Row],[Farm &amp; ranch land, ArcSinh (0-10)]]*AG$5*10</f>
        <v>0.30781411155430533</v>
      </c>
      <c r="AJ476" s="258">
        <f>_xlfn.XLOOKUP(FMS_Ranking4[[#This Row],[FMS ID]],FMS_Input[FMS_ID],FMS_Input[REDSTRUCT100])</f>
        <v>0</v>
      </c>
      <c r="AK476" s="253">
        <f>_xlfn.XLOOKUP(FMS_Ranking4[[#This Row],[FMS ID]],FMS_Input[FMS_ID],FMS_Input[REMSTRC100])</f>
        <v>0</v>
      </c>
      <c r="AL476" s="255">
        <f>(ASINH(FMS_Ranking4[[#This Row],[Structures Removed Raw]]))*(10)/(ASINH(AK$4))</f>
        <v>0</v>
      </c>
      <c r="AM476" s="262">
        <f>FMS_Ranking4[[#This Row],[Structures removed, ArcSinh (0-10)]]*AK$5*10</f>
        <v>0</v>
      </c>
      <c r="AN476" s="253">
        <f>_xlfn.XLOOKUP(FMS_Ranking4[[#This Row],[FMS ID]],FMS_Input[FMS_ID],FMS_Input[REMRESSTRC100])</f>
        <v>0</v>
      </c>
      <c r="AO476" s="261">
        <f>FMS_Ranking4[[#This Row],[ArcSinh Res struct removed 0-10]]*AN$5*10</f>
        <v>0</v>
      </c>
      <c r="AP476" s="260">
        <f>ASINH(FMS_Ranking4[[#This Row],[Residential Structures Removed Raw]])/AP$4*AN$5*100</f>
        <v>0</v>
      </c>
      <c r="AQ476" s="258">
        <f>(ASINH(FMS_Ranking4[[#This Row],[Residential Structures Removed Raw]]))*(10)/(ASINH(AN$4))</f>
        <v>0</v>
      </c>
      <c r="AR476" s="253">
        <f>_xlfn.XLOOKUP(FMS_Ranking4[[#This Row],[FMS ID]],FMS_Input[FMS_ID],FMS_Input[REMPOP100])</f>
        <v>0</v>
      </c>
      <c r="AS476" s="255">
        <f>(ASINH(FMS_Ranking4[[#This Row],[Removed Pop Raw]]))*(10)/(ASINH(AR$4))</f>
        <v>0</v>
      </c>
      <c r="AT476" s="262">
        <f>FMS_Ranking4[[#This Row],[Removed population, ArcSinh (0-10)]]*AR$5*10</f>
        <v>0</v>
      </c>
      <c r="AU476" s="264">
        <f>_xlfn.XLOOKUP(FMS_Ranking4[[#This Row],[FMS ID]],FMS_Input[FMS_ID],FMS_Input[REMCRITFAC100])</f>
        <v>0</v>
      </c>
      <c r="AV476" s="264">
        <f>_xlfn.XLOOKUP(FMS_Ranking4[[#This Row],[FMS ID]],FMS_Input[FMS_ID],FMS_Input[REMLWC100])</f>
        <v>0</v>
      </c>
      <c r="AW476" s="264">
        <f>_xlfn.XLOOKUP(FMS_Ranking4[[#This Row],[FMS ID]],FMS_Input[FMS_ID],FMS_Input[REMROADCLS])</f>
        <v>0</v>
      </c>
      <c r="AX476" s="264">
        <f>_xlfn.XLOOKUP(FMS_Ranking4[[#This Row],[FMS ID]],FMS_Input[FMS_ID],FMS_Input[REMFRMACRE100])</f>
        <v>0</v>
      </c>
      <c r="AY476" s="258">
        <f>_xlfn.XLOOKUP(FMS_Ranking4[[#This Row],[FMS ID]],FMS_Input[FMS_ID],FMS_Input[COSTSTRUCT])</f>
        <v>0</v>
      </c>
      <c r="AZ476" s="253">
        <f>_xlfn.XLOOKUP(FMS_Ranking4[[#This Row],[FMS ID]],FMS_Input[FMS_ID],FMS_Input[NATURE])</f>
        <v>0</v>
      </c>
      <c r="BA476" s="262">
        <f>(((FMS_Ranking4[[#This Row],[% NBS Raw]]/AZ$4)*100)*AZ$5)</f>
        <v>0</v>
      </c>
      <c r="BB476" s="251" t="str">
        <f>_xlfn.XLOOKUP(FMS_Ranking4[[#This Row],[FMS ID]],FMS_Input[FMS_ID],FMS_Input[WATER_SUP])</f>
        <v>No</v>
      </c>
      <c r="BC476" s="265">
        <f>IF(FMS_Ranking4[[#This Row],[Water Supply Raw]]="Yes",10,0)</f>
        <v>0</v>
      </c>
      <c r="BD476" s="266">
        <f>_xlfn.XLOOKUP(FMS_Ranking4[[#This Row],[FMS Type]],FMS_TYPE[FMS_Type],FMS_TYPE[Score])</f>
        <v>4</v>
      </c>
      <c r="BE476" s="267">
        <f>FMS_Ranking4[[#This Row],[FMS_Type Score]]*$BD$5*10</f>
        <v>1</v>
      </c>
      <c r="BF47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0.13585881243451445</v>
      </c>
      <c r="BG476" s="321">
        <f>_xlfn.RANK.EQ(BF476,$BF$8:$BF$870,0)+COUNTIF($BF$8:BF476,BF476)-1</f>
        <v>428</v>
      </c>
      <c r="BH476" s="294">
        <f>(((FMS_Ranking4[[#This Row],[Structures Removed Raw]]/AK$4)*100)*AK$5)+(((FMS_Ranking4[[#This Row],[Removed Pop Raw]]/AR$4)*100)*AR$5)</f>
        <v>0</v>
      </c>
      <c r="BI47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1.1358588124345144</v>
      </c>
      <c r="BJ476" s="251">
        <f>_xlfn.RANK.EQ(FMS_Ranking4[[#This Row],[Total Score 
(with linear
normalization)]],FMS_Ranking4[Total Score 
(with linear
normalization)],0)</f>
        <v>665</v>
      </c>
      <c r="BK476" s="251" t="e">
        <f>_xlfn.XLOOKUP(FMS_Ranking4[[#This Row],[FMS ID]],#REF!,#REF!)</f>
        <v>#REF!</v>
      </c>
      <c r="BL47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19.993902394909128</v>
      </c>
      <c r="BM476" s="324">
        <f>FMS_Ranking4[[#This Row],[ArcSinh Score Based on Normalized Reported Factors]]+FMS_Ranking4[[#This Row],[% NBS Score (Normalized)]]+(FMS_Ranking4[[#This Row],[Water Supply Score (Normalized)]]*10*$BB$5)+FMS_Ranking4[[#This Row],[FMS_Type Score Weighted]]</f>
        <v>20.993902394909128</v>
      </c>
      <c r="BN476" s="251">
        <f>_xlfn.RANK.EQ(FMS_Ranking4[[#This Row],[Total Score (with ArcSinh normalization of select criteria)]],FMS_Ranking4[Total Score (with ArcSinh normalization of select criteria)],0)</f>
        <v>467</v>
      </c>
      <c r="BO476" s="270" t="str">
        <f>_xlfn.XLOOKUP(FMS_Ranking4[[#This Row],[FMS ID]],FMS_Input[FMS_ID],FMS_Input[FMS_RANK_YEAR])</f>
        <v>2025 Amended Plan</v>
      </c>
      <c r="BP476" s="204" t="e">
        <f>_xlfn.XLOOKUP(FMS_Ranking4[[#This Row],[FMS ID]],Prev_Rank[FMS ID],Prev_Rank[Prev Rank])</f>
        <v>#N/A</v>
      </c>
      <c r="BQ476" s="251" t="e">
        <f>_xlfn.XLOOKUP(FMS_Ranking4[[#This Row],[FMS ID]],#REF!,#REF!)</f>
        <v>#REF!</v>
      </c>
      <c r="BR476" s="199" t="e">
        <f>SUM(#REF!,#REF!,#REF!,#REF!,#REF!,#REF!,#REF!,#REF!,#REF!,FMS_Ranking4[[#This Row],[ArcSinh Res struct removed 0-10]],#REF!)</f>
        <v>#REF!</v>
      </c>
      <c r="BS476" s="199" t="e">
        <f>FMS_Ranking4[[#This Row],[Log Score Based on Normalized Reported Factors]]+FMS_Ranking4[[#This Row],[% NBS Score (Normalized)]]+(FMS_Ranking4[[#This Row],[Water Supply Score (Normalized)]]*10*$BB$5)+(FMS_Ranking4[[#This Row],[FMS_Type Score Weighted]])</f>
        <v>#REF!</v>
      </c>
      <c r="BT476" s="200" t="e">
        <f>_xlfn.RANK.EQ(FMS_Ranking4[[#This Row],[Log Total Score]],FMS_Ranking4[Log Total Score],0)</f>
        <v>#REF!</v>
      </c>
      <c r="BU476" s="200" t="e">
        <f>_xlfn.XLOOKUP(FMS_Ranking4[[#This Row],[FMS ID]],#REF!,#REF!)</f>
        <v>#REF!</v>
      </c>
      <c r="BV476" s="200">
        <f>FMS_Ranking4[[#This Row],[Region Number]]</f>
        <v>5</v>
      </c>
      <c r="BW476" s="200">
        <f>FMS_Ranking4[[#This Row],[Rank (with ArcSinh normalization of select criteria)]]-FMS_Ranking4[[#This Row],[Rank
(with linear
normalization)]]</f>
        <v>-198</v>
      </c>
      <c r="BX476" s="200" t="e">
        <f>FMS_Ranking4[[#This Row],[Log Rank]]-FMS_Ranking4[[#This Row],[Rank
(with linear
normalization)]]</f>
        <v>#REF!</v>
      </c>
      <c r="BY476" s="200" t="str">
        <f>IF(FMS_Ranking4[[#This Row],[FMS Type]]="Flood Measurement and Warning",FMS_Ranking4[[#This Row],[Rank (with ArcSinh normalization of select criteria)]],"")</f>
        <v/>
      </c>
      <c r="BZ476" s="200" t="str">
        <f>IF(FMS_Ranking4[[#This Row],[FMS Type]]="Regulatory and Guidance",FMS_Ranking4[[#This Row],[Rank (with ArcSinh normalization of select criteria)]],"")</f>
        <v/>
      </c>
      <c r="CA476" s="200" t="str">
        <f>IF(FMS_Ranking4[[#This Row],[FMS Type]]="Education and Outreach",FMS_Ranking4[[#This Row],[Rank (with ArcSinh normalization of select criteria)]],"")</f>
        <v/>
      </c>
      <c r="CB476" s="200">
        <f>IF(FMS_Ranking4[[#This Row],[FMS Type]]="Property Acquisition and Structural Elevation",FMS_Ranking4[[#This Row],[Rank (with ArcSinh normalization of select criteria)]],"")</f>
        <v>467</v>
      </c>
      <c r="CC476" s="200" t="str">
        <f>IF(FMS_Ranking4[[#This Row],[FMS Type]]="Infrastructure Projects",FMS_Ranking4[[#This Row],[Rank (with ArcSinh normalization of select criteria)]],"")</f>
        <v/>
      </c>
      <c r="CD476" s="200" t="str">
        <f>IF(FMS_Ranking4[[#This Row],[FMS Type]]="Other",FMS_Ranking4[[#This Row],[Rank (with ArcSinh normalization of select criteria)]],"")</f>
        <v/>
      </c>
      <c r="CE476" s="201"/>
      <c r="CF476" s="206"/>
      <c r="CG476" s="206"/>
      <c r="CH476" s="206"/>
      <c r="CI476" s="206"/>
      <c r="CJ476" s="206"/>
      <c r="CK476" s="206"/>
      <c r="CL476" s="206"/>
      <c r="CM476" s="206"/>
      <c r="CN476" s="206"/>
      <c r="CO476" s="206"/>
      <c r="CP476" s="206"/>
      <c r="CQ476" s="206"/>
      <c r="CR476" s="206"/>
    </row>
    <row r="477" spans="2:96" ht="45" x14ac:dyDescent="0.25">
      <c r="B477" s="341" t="s">
        <v>2446</v>
      </c>
      <c r="C477" s="246">
        <f>_xlfn.XLOOKUP(FMS_Ranking4[[#This Row],[FMS ID]],FMS_Input[FMS_ID],FMS_Input[RFPG_NUM])</f>
        <v>3</v>
      </c>
      <c r="D477" s="309" t="str">
        <f>_xlfn.XLOOKUP(FMS_Ranking4[[#This Row],[FMS ID]],FMS_Input[FMS_ID],FMS_Input[FMS_NAME])</f>
        <v>City of Tehuacana NFIP Floodplain Ordinance</v>
      </c>
      <c r="E477" s="308" t="str">
        <f>_xlfn.XLOOKUP(FMS_Ranking4[[#This Row],[FMS ID]],FMS_Input[FMS_ID],FMS_Input[SPONSOR])</f>
        <v>Tehuacana</v>
      </c>
      <c r="F477" s="309" t="str">
        <f>_xlfn.XLOOKUP(FMS_Ranking4[[#This Row],[FMS ID]],Sponsor[FMS_ID],Sponsor[SPONSOR NAME])</f>
        <v>Tehuacana</v>
      </c>
      <c r="G477" s="309" t="str">
        <f>_xlfn.XLOOKUP(FMS_Ranking4[[#This Row],[FMS ID]],FMS_Input[FMS_ID],FMS_Input[FMS_DESCR])</f>
        <v>Develop a floodplain ordinance that meets or exceeds FEMA's minimum standards</v>
      </c>
      <c r="H477" s="248" t="str">
        <f>_xlfn.XLOOKUP(FMS_Ranking4[[#This Row],[FMS ID]],FMS_Input[FMS_ID],FMS_Input[FMS_TYPE])</f>
        <v>Regulatory and Guidance</v>
      </c>
      <c r="I477" s="249">
        <f>_xlfn.XLOOKUP(FMS_Ranking4[[#This Row],[FMS ID]],FMS_Input[FMS_ID],FMS_Input[NRNC_COST])</f>
        <v>100000</v>
      </c>
      <c r="J477" s="250">
        <f>_xlfn.XLOOKUP(FMS_Ranking4[[#This Row],[FMS ID]],FMS_Input[FMS_ID],FMS_Input[FMS_COST])</f>
        <v>100000</v>
      </c>
      <c r="K477" s="251" t="str">
        <f>_xlfn.XLOOKUP(FMS_Ranking4[[#This Row],[FMS ID]],FMS_Input[FMS_ID],FMS_Input[EMER_NEED])</f>
        <v>No</v>
      </c>
      <c r="L477" s="252">
        <f t="shared" si="7"/>
        <v>0</v>
      </c>
      <c r="M477" s="253">
        <f>_xlfn.XLOOKUP(FMS_Ranking4[[#This Row],[FMS ID]],FMS_Input[FMS_ID],FMS_Input[STRUCT_100])</f>
        <v>3</v>
      </c>
      <c r="N477" s="255">
        <f>(ASINH(FMS_Ranking4[[#This Row],[Structure at Risk Raw]]))*(10)/(ASINH(M$4))</f>
        <v>1.4295696719071895</v>
      </c>
      <c r="O477" s="256">
        <f>FMS_Ranking4[[#This Row],[Structures at risk, ArcSinh (0-10)]]*M$5*10</f>
        <v>1.4295696719071895</v>
      </c>
      <c r="P477" s="253">
        <f>_xlfn.XLOOKUP(FMS_Ranking4[[#This Row],[FMS ID]],FMS_Input[FMS_ID],FMS_Input[RES_STRUCT100])</f>
        <v>1</v>
      </c>
      <c r="Q477" s="257">
        <f>ASINH(FMS_Ranking4[[#This Row],[Res Structure Raw]])/Q$4*P$5*100</f>
        <v>0</v>
      </c>
      <c r="R477" s="253">
        <f>_xlfn.XLOOKUP(FMS_Ranking4[[#This Row],[FMS ID]],FMS_Input[FMS_ID],FMS_Input[POP100])</f>
        <v>2</v>
      </c>
      <c r="S477" s="259">
        <f>(ASINH(FMS_Ranking4[[#This Row],[Pop at Risk Raw]]))*(10)/(ASINH(R$4))</f>
        <v>0.9966256139867492</v>
      </c>
      <c r="T477" s="256">
        <f>FMS_Ranking4[[#This Row],[Population at risk, ArcSinh (0-10)]]*R$5*10</f>
        <v>0.9966256139867492</v>
      </c>
      <c r="U477" s="253">
        <f>_xlfn.XLOOKUP(FMS_Ranking4[[#This Row],[FMS ID]],FMS_Input[FMS_ID],FMS_Input[CRITFAC100])</f>
        <v>277</v>
      </c>
      <c r="V477" s="259">
        <f>(ASINH(FMS_Ranking4[[#This Row],[Critical Facilities Raw]]))*(10)/(ASINH(U$4))</f>
        <v>7.4780368715938819</v>
      </c>
      <c r="W477" s="256">
        <f>FMS_Ranking4[[#This Row],[Critical facilities at risk, ArcSinh (0-10)]]*U$5*10</f>
        <v>7.4780368715938828</v>
      </c>
      <c r="X477" s="253">
        <f>_xlfn.XLOOKUP(FMS_Ranking4[[#This Row],[FMS ID]],FMS_Input[FMS_ID],FMS_Input[LWC])</f>
        <v>145</v>
      </c>
      <c r="Y477" s="259">
        <f>(ASINH(FMS_Ranking4[[#This Row],[LWC Raw]]))*(10)/(ASINH(X$4))</f>
        <v>7.6812179914019136</v>
      </c>
      <c r="Z477" s="256">
        <f>FMS_Ranking4[[#This Row],[LWC, ArcSInh (0-10)]]*X$5*10</f>
        <v>7.6812179914019136</v>
      </c>
      <c r="AA477" s="253">
        <f>_xlfn.XLOOKUP(FMS_Ranking4[[#This Row],[FMS ID]],FMS_Input[FMS_ID],FMS_Input[ROADCLS])</f>
        <v>0</v>
      </c>
      <c r="AB477" s="255">
        <f>(ASINH(FMS_Ranking4[[#This Row],[Road Closures Raw]]))*(10)/(ASINH(AA$4))</f>
        <v>0</v>
      </c>
      <c r="AC477" s="256">
        <f>FMS_Ranking4[[#This Row],[Road closures, ArcSinh (0-10)]]*AA$5*10</f>
        <v>0</v>
      </c>
      <c r="AD477" s="253">
        <f>_xlfn.XLOOKUP(FMS_Ranking4[[#This Row],[FMS ID]],FMS_Input[FMS_ID],FMS_Input[ROAD_MILES100])</f>
        <v>0</v>
      </c>
      <c r="AE477" s="259">
        <f>(ASINH(FMS_Ranking4[[#This Row],[Road Miles Raw]]))*(10)/(ASINH(AD$4))</f>
        <v>0</v>
      </c>
      <c r="AF477" s="256">
        <f>FMS_Ranking4[[#This Row],[Length of roads at risk, ArcSinh (0-10)]]*AD$5*10</f>
        <v>0</v>
      </c>
      <c r="AG477" s="253">
        <f>_xlfn.XLOOKUP(FMS_Ranking4[[#This Row],[FMS ID]],FMS_Input[FMS_ID],FMS_Input[FARMACRE100])</f>
        <v>30.055110931396481</v>
      </c>
      <c r="AH477" s="255">
        <f>(ASINH(FMS_Ranking4[[#This Row],[Ag Land Raw]]))*(10)/(ASINH(AG$4))</f>
        <v>2.6609822667999432</v>
      </c>
      <c r="AI477" s="260">
        <f>FMS_Ranking4[[#This Row],[Farm &amp; ranch land, ArcSinh (0-10)]]*AG$5*10</f>
        <v>1.3304911333999716</v>
      </c>
      <c r="AJ477" s="258">
        <f>_xlfn.XLOOKUP(FMS_Ranking4[[#This Row],[FMS ID]],FMS_Input[FMS_ID],FMS_Input[REDSTRUCT100])</f>
        <v>0</v>
      </c>
      <c r="AK477" s="253">
        <f>_xlfn.XLOOKUP(FMS_Ranking4[[#This Row],[FMS ID]],FMS_Input[FMS_ID],FMS_Input[REMSTRC100])</f>
        <v>0</v>
      </c>
      <c r="AL477" s="259">
        <f>(ASINH(FMS_Ranking4[[#This Row],[Structures Removed Raw]]))*(10)/(ASINH(AK$4))</f>
        <v>0</v>
      </c>
      <c r="AM477" s="262">
        <f>FMS_Ranking4[[#This Row],[Structures removed, ArcSinh (0-10)]]*AK$5*10</f>
        <v>0</v>
      </c>
      <c r="AN477" s="253">
        <f>_xlfn.XLOOKUP(FMS_Ranking4[[#This Row],[FMS ID]],FMS_Input[FMS_ID],FMS_Input[REMRESSTRC100])</f>
        <v>0</v>
      </c>
      <c r="AO477" s="261">
        <f>FMS_Ranking4[[#This Row],[ArcSinh Res struct removed 0-10]]*AN$5*10</f>
        <v>0</v>
      </c>
      <c r="AP477" s="260">
        <f>ASINH(FMS_Ranking4[[#This Row],[Residential Structures Removed Raw]])/AP$4*AN$5*100</f>
        <v>0</v>
      </c>
      <c r="AQ477" s="254">
        <f>(ASINH(FMS_Ranking4[[#This Row],[Residential Structures Removed Raw]]))*(10)/(ASINH(AN$4))</f>
        <v>0</v>
      </c>
      <c r="AR477" s="253">
        <f>_xlfn.XLOOKUP(FMS_Ranking4[[#This Row],[FMS ID]],FMS_Input[FMS_ID],FMS_Input[REMPOP100])</f>
        <v>0</v>
      </c>
      <c r="AS477" s="259">
        <f>(ASINH(FMS_Ranking4[[#This Row],[Removed Pop Raw]]))*(10)/(ASINH(AR$4))</f>
        <v>0</v>
      </c>
      <c r="AT477" s="262">
        <f>FMS_Ranking4[[#This Row],[Removed population, ArcSinh (0-10)]]*AR$5*10</f>
        <v>0</v>
      </c>
      <c r="AU477" s="264">
        <f>_xlfn.XLOOKUP(FMS_Ranking4[[#This Row],[FMS ID]],FMS_Input[FMS_ID],FMS_Input[REMCRITFAC100])</f>
        <v>0</v>
      </c>
      <c r="AV477" s="264">
        <f>_xlfn.XLOOKUP(FMS_Ranking4[[#This Row],[FMS ID]],FMS_Input[FMS_ID],FMS_Input[REMLWC100])</f>
        <v>0</v>
      </c>
      <c r="AW477" s="264">
        <f>_xlfn.XLOOKUP(FMS_Ranking4[[#This Row],[FMS ID]],FMS_Input[FMS_ID],FMS_Input[REMROADCLS])</f>
        <v>0</v>
      </c>
      <c r="AX477" s="264">
        <f>_xlfn.XLOOKUP(FMS_Ranking4[[#This Row],[FMS ID]],FMS_Input[FMS_ID],FMS_Input[REMFRMACRE100])</f>
        <v>0</v>
      </c>
      <c r="AY477" s="258">
        <f>_xlfn.XLOOKUP(FMS_Ranking4[[#This Row],[FMS ID]],FMS_Input[FMS_ID],FMS_Input[COSTSTRUCT])</f>
        <v>0</v>
      </c>
      <c r="AZ477" s="253">
        <f>_xlfn.XLOOKUP(FMS_Ranking4[[#This Row],[FMS ID]],FMS_Input[FMS_ID],FMS_Input[NATURE])</f>
        <v>0</v>
      </c>
      <c r="BA477" s="262">
        <f>(((FMS_Ranking4[[#This Row],[% NBS Raw]]/AZ$4)*100)*AZ$5)</f>
        <v>0</v>
      </c>
      <c r="BB477" s="251" t="str">
        <f>_xlfn.XLOOKUP(FMS_Ranking4[[#This Row],[FMS ID]],FMS_Input[FMS_ID],FMS_Input[WATER_SUP])</f>
        <v>No</v>
      </c>
      <c r="BC477" s="265">
        <f>IF(FMS_Ranking4[[#This Row],[Water Supply Raw]]="Yes",10,0)</f>
        <v>0</v>
      </c>
      <c r="BD477" s="266">
        <f>_xlfn.XLOOKUP(FMS_Ranking4[[#This Row],[FMS Type]],FMS_TYPE[FMS_Type],FMS_TYPE[Score])</f>
        <v>8</v>
      </c>
      <c r="BE477" s="267">
        <f>FMS_Ranking4[[#This Row],[FMS_Type Score]]*$BD$5*10</f>
        <v>2</v>
      </c>
      <c r="BF47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2.9938119714193423</v>
      </c>
      <c r="BG477" s="271">
        <f>_xlfn.RANK.EQ(BF477,$BF$8:$BF$870,0)+COUNTIF($BF$8:BF477,BF477)-1</f>
        <v>87</v>
      </c>
      <c r="BH477" s="268">
        <f>(((FMS_Ranking4[[#This Row],[Structures Removed Raw]]/AK$4)*100)*AK$5)+(((FMS_Ranking4[[#This Row],[Removed Pop Raw]]/AR$4)*100)*AR$5)</f>
        <v>0</v>
      </c>
      <c r="BI47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4.9938119714193423</v>
      </c>
      <c r="BJ477" s="205">
        <f>_xlfn.RANK.EQ(FMS_Ranking4[[#This Row],[Total Score 
(with linear
normalization)]],FMS_Ranking4[Total Score 
(with linear
normalization)],0)</f>
        <v>113</v>
      </c>
      <c r="BK477" s="205" t="e">
        <f>_xlfn.XLOOKUP(FMS_Ranking4[[#This Row],[FMS ID]],#REF!,#REF!)</f>
        <v>#REF!</v>
      </c>
      <c r="BL47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18.915941282289705</v>
      </c>
      <c r="BM477" s="272">
        <f>FMS_Ranking4[[#This Row],[ArcSinh Score Based on Normalized Reported Factors]]+FMS_Ranking4[[#This Row],[% NBS Score (Normalized)]]+(FMS_Ranking4[[#This Row],[Water Supply Score (Normalized)]]*10*$BB$5)+FMS_Ranking4[[#This Row],[FMS_Type Score Weighted]]</f>
        <v>20.915941282289705</v>
      </c>
      <c r="BN477" s="205">
        <f>_xlfn.RANK.EQ(FMS_Ranking4[[#This Row],[Total Score (with ArcSinh normalization of select criteria)]],FMS_Ranking4[Total Score (with ArcSinh normalization of select criteria)],0)</f>
        <v>470</v>
      </c>
      <c r="BO477" s="270" t="str">
        <f>_xlfn.XLOOKUP(FMS_Ranking4[[#This Row],[FMS ID]],FMS_Input[FMS_ID],FMS_Input[FMS_RANK_YEAR])</f>
        <v>2023 Amended Plan</v>
      </c>
      <c r="BP477" s="204">
        <f>_xlfn.XLOOKUP(FMS_Ranking4[[#This Row],[FMS ID]],Prev_Rank[FMS ID],Prev_Rank[Prev Rank])</f>
        <v>424</v>
      </c>
      <c r="BQ477" s="205" t="e">
        <f>_xlfn.XLOOKUP(FMS_Ranking4[[#This Row],[FMS ID]],#REF!,#REF!)</f>
        <v>#REF!</v>
      </c>
      <c r="BR477" s="199" t="e">
        <f>SUM(#REF!,#REF!,#REF!,#REF!,#REF!,#REF!,#REF!,#REF!,#REF!,FMS_Ranking4[[#This Row],[ArcSinh Res struct removed 0-10]],#REF!)</f>
        <v>#REF!</v>
      </c>
      <c r="BS477" s="199" t="e">
        <f>FMS_Ranking4[[#This Row],[Log Score Based on Normalized Reported Factors]]+FMS_Ranking4[[#This Row],[% NBS Score (Normalized)]]+(FMS_Ranking4[[#This Row],[Water Supply Score (Normalized)]]*10*$BB$5)+(FMS_Ranking4[[#This Row],[FMS_Type Score Weighted]])</f>
        <v>#REF!</v>
      </c>
      <c r="BT477" s="200" t="e">
        <f>_xlfn.RANK.EQ(FMS_Ranking4[[#This Row],[Log Total Score]],FMS_Ranking4[Log Total Score],0)</f>
        <v>#REF!</v>
      </c>
      <c r="BU477" s="200" t="e">
        <f>_xlfn.XLOOKUP(FMS_Ranking4[[#This Row],[FMS ID]],#REF!,#REF!)</f>
        <v>#REF!</v>
      </c>
      <c r="BV477" s="200">
        <f>FMS_Ranking4[[#This Row],[Region Number]]</f>
        <v>3</v>
      </c>
      <c r="BW477" s="200">
        <f>FMS_Ranking4[[#This Row],[Rank (with ArcSinh normalization of select criteria)]]-FMS_Ranking4[[#This Row],[Rank
(with linear
normalization)]]</f>
        <v>357</v>
      </c>
      <c r="BX477" s="200" t="e">
        <f>FMS_Ranking4[[#This Row],[Log Rank]]-FMS_Ranking4[[#This Row],[Rank
(with linear
normalization)]]</f>
        <v>#REF!</v>
      </c>
      <c r="BY477" s="200" t="str">
        <f>IF(FMS_Ranking4[[#This Row],[FMS Type]]="Flood Measurement and Warning",FMS_Ranking4[[#This Row],[Rank (with ArcSinh normalization of select criteria)]],"")</f>
        <v/>
      </c>
      <c r="BZ477" s="200">
        <f>IF(FMS_Ranking4[[#This Row],[FMS Type]]="Regulatory and Guidance",FMS_Ranking4[[#This Row],[Rank (with ArcSinh normalization of select criteria)]],"")</f>
        <v>470</v>
      </c>
      <c r="CA477" s="200" t="str">
        <f>IF(FMS_Ranking4[[#This Row],[FMS Type]]="Education and Outreach",FMS_Ranking4[[#This Row],[Rank (with ArcSinh normalization of select criteria)]],"")</f>
        <v/>
      </c>
      <c r="CB477" s="200" t="str">
        <f>IF(FMS_Ranking4[[#This Row],[FMS Type]]="Property Acquisition and Structural Elevation",FMS_Ranking4[[#This Row],[Rank (with ArcSinh normalization of select criteria)]],"")</f>
        <v/>
      </c>
      <c r="CC477" s="200" t="str">
        <f>IF(FMS_Ranking4[[#This Row],[FMS Type]]="Infrastructure Projects",FMS_Ranking4[[#This Row],[Rank (with ArcSinh normalization of select criteria)]],"")</f>
        <v/>
      </c>
      <c r="CD477" s="200" t="str">
        <f>IF(FMS_Ranking4[[#This Row],[FMS Type]]="Other",FMS_Ranking4[[#This Row],[Rank (with ArcSinh normalization of select criteria)]],"")</f>
        <v/>
      </c>
      <c r="CE477" s="201"/>
      <c r="CF477" s="206"/>
      <c r="CG477" s="206"/>
      <c r="CH477" s="206"/>
      <c r="CI477" s="206"/>
      <c r="CJ477" s="206"/>
      <c r="CK477" s="206"/>
      <c r="CL477" s="206"/>
      <c r="CM477" s="206"/>
      <c r="CN477" s="206"/>
      <c r="CO477" s="206"/>
      <c r="CP477" s="206"/>
      <c r="CQ477" s="206"/>
      <c r="CR477" s="206"/>
    </row>
    <row r="478" spans="2:96" ht="30" x14ac:dyDescent="0.25">
      <c r="B478" s="341" t="s">
        <v>1472</v>
      </c>
      <c r="C478" s="246">
        <f>_xlfn.XLOOKUP(FMS_Ranking4[[#This Row],[FMS ID]],FMS_Input[FMS_ID],FMS_Input[RFPG_NUM])</f>
        <v>1</v>
      </c>
      <c r="D478" s="309" t="str">
        <f>_xlfn.XLOOKUP(FMS_Ranking4[[#This Row],[FMS ID]],FMS_Input[FMS_ID],FMS_Input[FMS_NAME])</f>
        <v>City of Canyon Stream and Culvert Maintenance</v>
      </c>
      <c r="E478" s="308" t="str">
        <f>_xlfn.XLOOKUP(FMS_Ranking4[[#This Row],[FMS ID]],FMS_Input[FMS_ID],FMS_Input[SPONSOR])</f>
        <v>01003426, 01000243</v>
      </c>
      <c r="F478" s="309" t="str">
        <f>_xlfn.XLOOKUP(FMS_Ranking4[[#This Row],[FMS ID]],Sponsor[FMS_ID],Sponsor[SPONSOR NAME])</f>
        <v>Canyon, Randall</v>
      </c>
      <c r="G478" s="309" t="str">
        <f>_xlfn.XLOOKUP(FMS_Ranking4[[#This Row],[FMS ID]],FMS_Input[FMS_ID],FMS_Input[FMS_DESCR])</f>
        <v>Perform stream and culvert maintenance</v>
      </c>
      <c r="H478" s="248" t="str">
        <f>_xlfn.XLOOKUP(FMS_Ranking4[[#This Row],[FMS ID]],FMS_Input[FMS_ID],FMS_Input[FMS_TYPE])</f>
        <v>Other</v>
      </c>
      <c r="I478" s="249">
        <f>_xlfn.XLOOKUP(FMS_Ranking4[[#This Row],[FMS ID]],FMS_Input[FMS_ID],FMS_Input[NRNC_COST])</f>
        <v>50000</v>
      </c>
      <c r="J478" s="250">
        <f>_xlfn.XLOOKUP(FMS_Ranking4[[#This Row],[FMS ID]],FMS_Input[FMS_ID],FMS_Input[FMS_COST])</f>
        <v>100000</v>
      </c>
      <c r="K478" s="251" t="str">
        <f>_xlfn.XLOOKUP(FMS_Ranking4[[#This Row],[FMS ID]],FMS_Input[FMS_ID],FMS_Input[EMER_NEED])</f>
        <v>No</v>
      </c>
      <c r="L478" s="252">
        <f t="shared" si="7"/>
        <v>0</v>
      </c>
      <c r="M478" s="253">
        <f>_xlfn.XLOOKUP(FMS_Ranking4[[#This Row],[FMS ID]],FMS_Input[FMS_ID],FMS_Input[STRUCT_100])</f>
        <v>206</v>
      </c>
      <c r="N478" s="255">
        <f>(ASINH(FMS_Ranking4[[#This Row],[Structure at Risk Raw]]))*(10)/(ASINH(M$4))</f>
        <v>4.7334254754750607</v>
      </c>
      <c r="O478" s="256">
        <f>FMS_Ranking4[[#This Row],[Structures at risk, ArcSinh (0-10)]]*M$5*10</f>
        <v>4.7334254754750607</v>
      </c>
      <c r="P478" s="253">
        <f>_xlfn.XLOOKUP(FMS_Ranking4[[#This Row],[FMS ID]],FMS_Input[FMS_ID],FMS_Input[RES_STRUCT100])</f>
        <v>193</v>
      </c>
      <c r="Q478" s="257">
        <f>ASINH(FMS_Ranking4[[#This Row],[Res Structure Raw]])/Q$4*P$5*100</f>
        <v>0</v>
      </c>
      <c r="R478" s="253">
        <f>_xlfn.XLOOKUP(FMS_Ranking4[[#This Row],[FMS ID]],FMS_Input[FMS_ID],FMS_Input[POP100])</f>
        <v>823</v>
      </c>
      <c r="S478" s="259">
        <f>(ASINH(FMS_Ranking4[[#This Row],[Pop at Risk Raw]]))*(10)/(ASINH(R$4))</f>
        <v>5.1128645868941511</v>
      </c>
      <c r="T478" s="256">
        <f>FMS_Ranking4[[#This Row],[Population at risk, ArcSinh (0-10)]]*R$5*10</f>
        <v>5.1128645868941511</v>
      </c>
      <c r="U478" s="253">
        <f>_xlfn.XLOOKUP(FMS_Ranking4[[#This Row],[FMS ID]],FMS_Input[FMS_ID],FMS_Input[CRITFAC100])</f>
        <v>0</v>
      </c>
      <c r="V478" s="259">
        <f>(ASINH(FMS_Ranking4[[#This Row],[Critical Facilities Raw]]))*(10)/(ASINH(U$4))</f>
        <v>0</v>
      </c>
      <c r="W478" s="256">
        <f>FMS_Ranking4[[#This Row],[Critical facilities at risk, ArcSinh (0-10)]]*U$5*10</f>
        <v>0</v>
      </c>
      <c r="X478" s="253">
        <f>_xlfn.XLOOKUP(FMS_Ranking4[[#This Row],[FMS ID]],FMS_Input[FMS_ID],FMS_Input[LWC])</f>
        <v>7</v>
      </c>
      <c r="Y478" s="259">
        <f>(ASINH(FMS_Ranking4[[#This Row],[LWC Raw]]))*(10)/(ASINH(X$4))</f>
        <v>3.5820902845593281</v>
      </c>
      <c r="Z478" s="256">
        <f>FMS_Ranking4[[#This Row],[LWC, ArcSInh (0-10)]]*X$5*10</f>
        <v>3.5820902845593281</v>
      </c>
      <c r="AA478" s="253">
        <f>_xlfn.XLOOKUP(FMS_Ranking4[[#This Row],[FMS ID]],FMS_Input[FMS_ID],FMS_Input[ROADCLS])</f>
        <v>7</v>
      </c>
      <c r="AB478" s="255">
        <f>(ASINH(FMS_Ranking4[[#This Row],[Road Closures Raw]]))*(10)/(ASINH(AA$4))</f>
        <v>2.7536090869991607</v>
      </c>
      <c r="AC478" s="256">
        <f>FMS_Ranking4[[#This Row],[Road closures, ArcSinh (0-10)]]*AA$5*10</f>
        <v>1.3768045434995804</v>
      </c>
      <c r="AD478" s="253">
        <f>_xlfn.XLOOKUP(FMS_Ranking4[[#This Row],[FMS ID]],FMS_Input[FMS_ID],FMS_Input[ROAD_MILES100])</f>
        <v>15</v>
      </c>
      <c r="AE478" s="259">
        <f>(ASINH(FMS_Ranking4[[#This Row],[Road Miles Raw]]))*(10)/(ASINH(AD$4))</f>
        <v>3.625922827042257</v>
      </c>
      <c r="AF478" s="256">
        <f>FMS_Ranking4[[#This Row],[Length of roads at risk, ArcSinh (0-10)]]*AD$5*10</f>
        <v>3.625922827042257</v>
      </c>
      <c r="AG478" s="253">
        <f>_xlfn.XLOOKUP(FMS_Ranking4[[#This Row],[FMS ID]],FMS_Input[FMS_ID],FMS_Input[FARMACRE100])</f>
        <v>150.2604675292969</v>
      </c>
      <c r="AH478" s="255">
        <f>(ASINH(FMS_Ranking4[[#This Row],[Ag Land Raw]]))*(10)/(ASINH(AG$4))</f>
        <v>3.7062055806677261</v>
      </c>
      <c r="AI478" s="260">
        <f>FMS_Ranking4[[#This Row],[Farm &amp; ranch land, ArcSinh (0-10)]]*AG$5*10</f>
        <v>1.853102790333863</v>
      </c>
      <c r="AJ478" s="258">
        <f>_xlfn.XLOOKUP(FMS_Ranking4[[#This Row],[FMS ID]],FMS_Input[FMS_ID],FMS_Input[REDSTRUCT100])</f>
        <v>0</v>
      </c>
      <c r="AK478" s="253">
        <f>_xlfn.XLOOKUP(FMS_Ranking4[[#This Row],[FMS ID]],FMS_Input[FMS_ID],FMS_Input[REMSTRC100])</f>
        <v>0</v>
      </c>
      <c r="AL478" s="259">
        <f>(ASINH(FMS_Ranking4[[#This Row],[Structures Removed Raw]]))*(10)/(ASINH(AK$4))</f>
        <v>0</v>
      </c>
      <c r="AM478" s="262">
        <f>FMS_Ranking4[[#This Row],[Structures removed, ArcSinh (0-10)]]*AK$5*10</f>
        <v>0</v>
      </c>
      <c r="AN478" s="253">
        <f>_xlfn.XLOOKUP(FMS_Ranking4[[#This Row],[FMS ID]],FMS_Input[FMS_ID],FMS_Input[REMRESSTRC100])</f>
        <v>0</v>
      </c>
      <c r="AO478" s="261">
        <f>FMS_Ranking4[[#This Row],[ArcSinh Res struct removed 0-10]]*AN$5*10</f>
        <v>0</v>
      </c>
      <c r="AP478" s="260">
        <f>ASINH(FMS_Ranking4[[#This Row],[Residential Structures Removed Raw]])/AP$4*AN$5*100</f>
        <v>0</v>
      </c>
      <c r="AQ478" s="254">
        <f>(ASINH(FMS_Ranking4[[#This Row],[Residential Structures Removed Raw]]))*(10)/(ASINH(AN$4))</f>
        <v>0</v>
      </c>
      <c r="AR478" s="253">
        <f>_xlfn.XLOOKUP(FMS_Ranking4[[#This Row],[FMS ID]],FMS_Input[FMS_ID],FMS_Input[REMPOP100])</f>
        <v>0</v>
      </c>
      <c r="AS478" s="259">
        <f>(ASINH(FMS_Ranking4[[#This Row],[Removed Pop Raw]]))*(10)/(ASINH(AR$4))</f>
        <v>0</v>
      </c>
      <c r="AT478" s="262">
        <f>FMS_Ranking4[[#This Row],[Removed population, ArcSinh (0-10)]]*AR$5*10</f>
        <v>0</v>
      </c>
      <c r="AU478" s="264">
        <f>_xlfn.XLOOKUP(FMS_Ranking4[[#This Row],[FMS ID]],FMS_Input[FMS_ID],FMS_Input[REMCRITFAC100])</f>
        <v>0</v>
      </c>
      <c r="AV478" s="264">
        <f>_xlfn.XLOOKUP(FMS_Ranking4[[#This Row],[FMS ID]],FMS_Input[FMS_ID],FMS_Input[REMLWC100])</f>
        <v>0</v>
      </c>
      <c r="AW478" s="264">
        <f>_xlfn.XLOOKUP(FMS_Ranking4[[#This Row],[FMS ID]],FMS_Input[FMS_ID],FMS_Input[REMROADCLS])</f>
        <v>0</v>
      </c>
      <c r="AX478" s="264">
        <f>_xlfn.XLOOKUP(FMS_Ranking4[[#This Row],[FMS ID]],FMS_Input[FMS_ID],FMS_Input[REMFRMACRE100])</f>
        <v>0</v>
      </c>
      <c r="AY478" s="258">
        <f>_xlfn.XLOOKUP(FMS_Ranking4[[#This Row],[FMS ID]],FMS_Input[FMS_ID],FMS_Input[COSTSTRUCT])</f>
        <v>0</v>
      </c>
      <c r="AZ478" s="253">
        <f>_xlfn.XLOOKUP(FMS_Ranking4[[#This Row],[FMS ID]],FMS_Input[FMS_ID],FMS_Input[NATURE])</f>
        <v>0</v>
      </c>
      <c r="BA478" s="262">
        <f>(((FMS_Ranking4[[#This Row],[% NBS Raw]]/AZ$4)*100)*AZ$5)</f>
        <v>0</v>
      </c>
      <c r="BB478" s="251" t="str">
        <f>_xlfn.XLOOKUP(FMS_Ranking4[[#This Row],[FMS ID]],FMS_Input[FMS_ID],FMS_Input[WATER_SUP])</f>
        <v>No</v>
      </c>
      <c r="BC478" s="265">
        <f>IF(FMS_Ranking4[[#This Row],[Water Supply Raw]]="Yes",10,0)</f>
        <v>0</v>
      </c>
      <c r="BD478" s="266">
        <f>_xlfn.XLOOKUP(FMS_Ranking4[[#This Row],[FMS Type]],FMS_TYPE[FMS_Type],FMS_TYPE[Score])</f>
        <v>2</v>
      </c>
      <c r="BE478" s="267">
        <f>FMS_Ranking4[[#This Row],[FMS_Type Score]]*$BD$5*10</f>
        <v>0.5</v>
      </c>
      <c r="BF47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0.13819202851274909</v>
      </c>
      <c r="BG478" s="271">
        <f>_xlfn.RANK.EQ(BF478,$BF$8:$BF$870,0)+COUNTIF($BF$8:BF478,BF478)-1</f>
        <v>418</v>
      </c>
      <c r="BH478" s="268">
        <f>(((FMS_Ranking4[[#This Row],[Structures Removed Raw]]/AK$4)*100)*AK$5)+(((FMS_Ranking4[[#This Row],[Removed Pop Raw]]/AR$4)*100)*AR$5)</f>
        <v>0</v>
      </c>
      <c r="BI47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0.63819202851274914</v>
      </c>
      <c r="BJ478" s="205">
        <f>_xlfn.RANK.EQ(FMS_Ranking4[[#This Row],[Total Score 
(with linear
normalization)]],FMS_Ranking4[Total Score 
(with linear
normalization)],0)</f>
        <v>814</v>
      </c>
      <c r="BK478" s="205" t="e">
        <f>_xlfn.XLOOKUP(FMS_Ranking4[[#This Row],[FMS ID]],#REF!,#REF!)</f>
        <v>#REF!</v>
      </c>
      <c r="BL47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20.284210507804239</v>
      </c>
      <c r="BM478" s="272">
        <f>FMS_Ranking4[[#This Row],[ArcSinh Score Based on Normalized Reported Factors]]+FMS_Ranking4[[#This Row],[% NBS Score (Normalized)]]+(FMS_Ranking4[[#This Row],[Water Supply Score (Normalized)]]*10*$BB$5)+FMS_Ranking4[[#This Row],[FMS_Type Score Weighted]]</f>
        <v>20.784210507804239</v>
      </c>
      <c r="BN478" s="205">
        <f>_xlfn.RANK.EQ(FMS_Ranking4[[#This Row],[Total Score (with ArcSinh normalization of select criteria)]],FMS_Ranking4[Total Score (with ArcSinh normalization of select criteria)],0)</f>
        <v>471</v>
      </c>
      <c r="BO478" s="270" t="str">
        <f>_xlfn.XLOOKUP(FMS_Ranking4[[#This Row],[FMS ID]],FMS_Input[FMS_ID],FMS_Input[FMS_RANK_YEAR])</f>
        <v>2023 Amended Plan</v>
      </c>
      <c r="BP478" s="204">
        <f>_xlfn.XLOOKUP(FMS_Ranking4[[#This Row],[FMS ID]],Prev_Rank[FMS ID],Prev_Rank[Prev Rank])</f>
        <v>423</v>
      </c>
      <c r="BQ478" s="205" t="e">
        <f>_xlfn.XLOOKUP(FMS_Ranking4[[#This Row],[FMS ID]],#REF!,#REF!)</f>
        <v>#REF!</v>
      </c>
      <c r="BR478" s="199" t="e">
        <f>SUM(#REF!,#REF!,#REF!,#REF!,#REF!,#REF!,#REF!,#REF!,#REF!,FMS_Ranking4[[#This Row],[ArcSinh Res struct removed 0-10]],#REF!)</f>
        <v>#REF!</v>
      </c>
      <c r="BS478" s="199" t="e">
        <f>FMS_Ranking4[[#This Row],[Log Score Based on Normalized Reported Factors]]+FMS_Ranking4[[#This Row],[% NBS Score (Normalized)]]+(FMS_Ranking4[[#This Row],[Water Supply Score (Normalized)]]*10*$BB$5)+(FMS_Ranking4[[#This Row],[FMS_Type Score Weighted]])</f>
        <v>#REF!</v>
      </c>
      <c r="BT478" s="200" t="e">
        <f>_xlfn.RANK.EQ(FMS_Ranking4[[#This Row],[Log Total Score]],FMS_Ranking4[Log Total Score],0)</f>
        <v>#REF!</v>
      </c>
      <c r="BU478" s="200" t="e">
        <f>_xlfn.XLOOKUP(FMS_Ranking4[[#This Row],[FMS ID]],#REF!,#REF!)</f>
        <v>#REF!</v>
      </c>
      <c r="BV478" s="200">
        <f>FMS_Ranking4[[#This Row],[Region Number]]</f>
        <v>1</v>
      </c>
      <c r="BW478" s="200">
        <f>FMS_Ranking4[[#This Row],[Rank (with ArcSinh normalization of select criteria)]]-FMS_Ranking4[[#This Row],[Rank
(with linear
normalization)]]</f>
        <v>-343</v>
      </c>
      <c r="BX478" s="200" t="e">
        <f>FMS_Ranking4[[#This Row],[Log Rank]]-FMS_Ranking4[[#This Row],[Rank
(with linear
normalization)]]</f>
        <v>#REF!</v>
      </c>
      <c r="BY478" s="200" t="str">
        <f>IF(FMS_Ranking4[[#This Row],[FMS Type]]="Flood Measurement and Warning",FMS_Ranking4[[#This Row],[Rank (with ArcSinh normalization of select criteria)]],"")</f>
        <v/>
      </c>
      <c r="BZ478" s="200" t="str">
        <f>IF(FMS_Ranking4[[#This Row],[FMS Type]]="Regulatory and Guidance",FMS_Ranking4[[#This Row],[Rank (with ArcSinh normalization of select criteria)]],"")</f>
        <v/>
      </c>
      <c r="CA478" s="200" t="str">
        <f>IF(FMS_Ranking4[[#This Row],[FMS Type]]="Education and Outreach",FMS_Ranking4[[#This Row],[Rank (with ArcSinh normalization of select criteria)]],"")</f>
        <v/>
      </c>
      <c r="CB478" s="200" t="str">
        <f>IF(FMS_Ranking4[[#This Row],[FMS Type]]="Property Acquisition and Structural Elevation",FMS_Ranking4[[#This Row],[Rank (with ArcSinh normalization of select criteria)]],"")</f>
        <v/>
      </c>
      <c r="CC478" s="200" t="str">
        <f>IF(FMS_Ranking4[[#This Row],[FMS Type]]="Infrastructure Projects",FMS_Ranking4[[#This Row],[Rank (with ArcSinh normalization of select criteria)]],"")</f>
        <v/>
      </c>
      <c r="CD478" s="200">
        <f>IF(FMS_Ranking4[[#This Row],[FMS Type]]="Other",FMS_Ranking4[[#This Row],[Rank (with ArcSinh normalization of select criteria)]],"")</f>
        <v>471</v>
      </c>
      <c r="CE478" s="201"/>
      <c r="CF478" s="206"/>
      <c r="CG478" s="206"/>
      <c r="CH478" s="206"/>
      <c r="CI478" s="206"/>
      <c r="CJ478" s="206"/>
      <c r="CK478" s="206"/>
      <c r="CL478" s="206"/>
      <c r="CM478" s="206"/>
      <c r="CN478" s="206"/>
      <c r="CO478" s="206"/>
      <c r="CP478" s="206"/>
      <c r="CQ478" s="206"/>
      <c r="CR478" s="206"/>
    </row>
    <row r="479" spans="2:96" ht="60" x14ac:dyDescent="0.25">
      <c r="B479" s="341" t="s">
        <v>1910</v>
      </c>
      <c r="C479" s="246">
        <f>_xlfn.XLOOKUP(FMS_Ranking4[[#This Row],[FMS ID]],FMS_Input[FMS_ID],FMS_Input[RFPG_NUM])</f>
        <v>3</v>
      </c>
      <c r="D479" s="309" t="str">
        <f>_xlfn.XLOOKUP(FMS_Ranking4[[#This Row],[FMS ID]],FMS_Input[FMS_ID],FMS_Input[FMS_NAME])</f>
        <v>Colleyville Flood Warning System</v>
      </c>
      <c r="E479" s="308" t="str">
        <f>_xlfn.XLOOKUP(FMS_Ranking4[[#This Row],[FMS ID]],FMS_Input[FMS_ID],FMS_Input[SPONSOR])</f>
        <v>Colleyville</v>
      </c>
      <c r="F479" s="309" t="str">
        <f>_xlfn.XLOOKUP(FMS_Ranking4[[#This Row],[FMS ID]],Sponsor[FMS_ID],Sponsor[SPONSOR NAME])</f>
        <v>Colleyville</v>
      </c>
      <c r="G479" s="309" t="str">
        <f>_xlfn.XLOOKUP(FMS_Ranking4[[#This Row],[FMS ID]],FMS_Input[FMS_ID],FMS_Input[FMS_DESCR])</f>
        <v>Enhance high water warning system by adding automatic gates on the streets that normally flood</v>
      </c>
      <c r="H479" s="248" t="str">
        <f>_xlfn.XLOOKUP(FMS_Ranking4[[#This Row],[FMS ID]],FMS_Input[FMS_ID],FMS_Input[FMS_TYPE])</f>
        <v>Flood Measurement and Warning</v>
      </c>
      <c r="I479" s="249">
        <f>_xlfn.XLOOKUP(FMS_Ranking4[[#This Row],[FMS ID]],FMS_Input[FMS_ID],FMS_Input[NRNC_COST])</f>
        <v>25000</v>
      </c>
      <c r="J479" s="250">
        <f>_xlfn.XLOOKUP(FMS_Ranking4[[#This Row],[FMS ID]],FMS_Input[FMS_ID],FMS_Input[FMS_COST])</f>
        <v>250000</v>
      </c>
      <c r="K479" s="251" t="str">
        <f>_xlfn.XLOOKUP(FMS_Ranking4[[#This Row],[FMS ID]],FMS_Input[FMS_ID],FMS_Input[EMER_NEED])</f>
        <v>No</v>
      </c>
      <c r="L479" s="252">
        <f t="shared" si="7"/>
        <v>0</v>
      </c>
      <c r="M479" s="253">
        <f>_xlfn.XLOOKUP(FMS_Ranking4[[#This Row],[FMS ID]],FMS_Input[FMS_ID],FMS_Input[STRUCT_100])</f>
        <v>156</v>
      </c>
      <c r="N479" s="255">
        <f>(ASINH(FMS_Ranking4[[#This Row],[Structure at Risk Raw]]))*(10)/(ASINH(M$4))</f>
        <v>4.5148636776195277</v>
      </c>
      <c r="O479" s="256">
        <f>FMS_Ranking4[[#This Row],[Structures at risk, ArcSinh (0-10)]]*M$5*10</f>
        <v>4.5148636776195277</v>
      </c>
      <c r="P479" s="253">
        <f>_xlfn.XLOOKUP(FMS_Ranking4[[#This Row],[FMS ID]],FMS_Input[FMS_ID],FMS_Input[RES_STRUCT100])</f>
        <v>148</v>
      </c>
      <c r="Q479" s="257">
        <f>ASINH(FMS_Ranking4[[#This Row],[Res Structure Raw]])/Q$4*P$5*100</f>
        <v>0</v>
      </c>
      <c r="R479" s="253">
        <f>_xlfn.XLOOKUP(FMS_Ranking4[[#This Row],[FMS ID]],FMS_Input[FMS_ID],FMS_Input[POP100])</f>
        <v>496</v>
      </c>
      <c r="S479" s="259">
        <f>(ASINH(FMS_Ranking4[[#This Row],[Pop at Risk Raw]]))*(10)/(ASINH(R$4))</f>
        <v>4.7632812501009765</v>
      </c>
      <c r="T479" s="256">
        <f>FMS_Ranking4[[#This Row],[Population at risk, ArcSinh (0-10)]]*R$5*10</f>
        <v>4.7632812501009774</v>
      </c>
      <c r="U479" s="253">
        <f>_xlfn.XLOOKUP(FMS_Ranking4[[#This Row],[FMS ID]],FMS_Input[FMS_ID],FMS_Input[CRITFAC100])</f>
        <v>2</v>
      </c>
      <c r="V479" s="259">
        <f>(ASINH(FMS_Ranking4[[#This Row],[Critical Facilities Raw]]))*(10)/(ASINH(U$4))</f>
        <v>1.7089239049208753</v>
      </c>
      <c r="W479" s="256">
        <f>FMS_Ranking4[[#This Row],[Critical facilities at risk, ArcSinh (0-10)]]*U$5*10</f>
        <v>1.7089239049208755</v>
      </c>
      <c r="X479" s="253">
        <f>_xlfn.XLOOKUP(FMS_Ranking4[[#This Row],[FMS ID]],FMS_Input[FMS_ID],FMS_Input[LWC])</f>
        <v>4</v>
      </c>
      <c r="Y479" s="259">
        <f>(ASINH(FMS_Ranking4[[#This Row],[LWC Raw]]))*(10)/(ASINH(X$4))</f>
        <v>2.8377862217928165</v>
      </c>
      <c r="Z479" s="256">
        <f>FMS_Ranking4[[#This Row],[LWC, ArcSInh (0-10)]]*X$5*10</f>
        <v>2.8377862217928169</v>
      </c>
      <c r="AA479" s="253">
        <f>_xlfn.XLOOKUP(FMS_Ranking4[[#This Row],[FMS ID]],FMS_Input[FMS_ID],FMS_Input[ROADCLS])</f>
        <v>0</v>
      </c>
      <c r="AB479" s="255">
        <f>(ASINH(FMS_Ranking4[[#This Row],[Road Closures Raw]]))*(10)/(ASINH(AA$4))</f>
        <v>0</v>
      </c>
      <c r="AC479" s="256">
        <f>FMS_Ranking4[[#This Row],[Road closures, ArcSinh (0-10)]]*AA$5*10</f>
        <v>0</v>
      </c>
      <c r="AD479" s="253">
        <f>_xlfn.XLOOKUP(FMS_Ranking4[[#This Row],[FMS ID]],FMS_Input[FMS_ID],FMS_Input[ROAD_MILES100])</f>
        <v>5</v>
      </c>
      <c r="AE479" s="259">
        <f>(ASINH(FMS_Ranking4[[#This Row],[Road Miles Raw]]))*(10)/(ASINH(AD$4))</f>
        <v>2.4644230639487872</v>
      </c>
      <c r="AF479" s="256">
        <f>FMS_Ranking4[[#This Row],[Length of roads at risk, ArcSinh (0-10)]]*AD$5*10</f>
        <v>2.4644230639487876</v>
      </c>
      <c r="AG479" s="253">
        <f>_xlfn.XLOOKUP(FMS_Ranking4[[#This Row],[FMS ID]],FMS_Input[FMS_ID],FMS_Input[FARMACRE100])</f>
        <v>131.8468017578125</v>
      </c>
      <c r="AH479" s="255">
        <f>(ASINH(FMS_Ranking4[[#This Row],[Ag Land Raw]]))*(10)/(ASINH(AG$4))</f>
        <v>3.6212882155679047</v>
      </c>
      <c r="AI479" s="260">
        <f>FMS_Ranking4[[#This Row],[Farm &amp; ranch land, ArcSinh (0-10)]]*AG$5*10</f>
        <v>1.8106441077839524</v>
      </c>
      <c r="AJ479" s="258">
        <f>_xlfn.XLOOKUP(FMS_Ranking4[[#This Row],[FMS ID]],FMS_Input[FMS_ID],FMS_Input[REDSTRUCT100])</f>
        <v>0</v>
      </c>
      <c r="AK479" s="253">
        <f>_xlfn.XLOOKUP(FMS_Ranking4[[#This Row],[FMS ID]],FMS_Input[FMS_ID],FMS_Input[REMSTRC100])</f>
        <v>0</v>
      </c>
      <c r="AL479" s="259">
        <f>(ASINH(FMS_Ranking4[[#This Row],[Structures Removed Raw]]))*(10)/(ASINH(AK$4))</f>
        <v>0</v>
      </c>
      <c r="AM479" s="262">
        <f>FMS_Ranking4[[#This Row],[Structures removed, ArcSinh (0-10)]]*AK$5*10</f>
        <v>0</v>
      </c>
      <c r="AN479" s="253">
        <f>_xlfn.XLOOKUP(FMS_Ranking4[[#This Row],[FMS ID]],FMS_Input[FMS_ID],FMS_Input[REMRESSTRC100])</f>
        <v>0</v>
      </c>
      <c r="AO479" s="261">
        <f>FMS_Ranking4[[#This Row],[ArcSinh Res struct removed 0-10]]*AN$5*10</f>
        <v>0</v>
      </c>
      <c r="AP479" s="260">
        <f>ASINH(FMS_Ranking4[[#This Row],[Residential Structures Removed Raw]])/AP$4*AN$5*100</f>
        <v>0</v>
      </c>
      <c r="AQ479" s="254">
        <f>(ASINH(FMS_Ranking4[[#This Row],[Residential Structures Removed Raw]]))*(10)/(ASINH(AN$4))</f>
        <v>0</v>
      </c>
      <c r="AR479" s="253">
        <f>_xlfn.XLOOKUP(FMS_Ranking4[[#This Row],[FMS ID]],FMS_Input[FMS_ID],FMS_Input[REMPOP100])</f>
        <v>0</v>
      </c>
      <c r="AS479" s="259">
        <f>(ASINH(FMS_Ranking4[[#This Row],[Removed Pop Raw]]))*(10)/(ASINH(AR$4))</f>
        <v>0</v>
      </c>
      <c r="AT479" s="262">
        <f>FMS_Ranking4[[#This Row],[Removed population, ArcSinh (0-10)]]*AR$5*10</f>
        <v>0</v>
      </c>
      <c r="AU479" s="264">
        <f>_xlfn.XLOOKUP(FMS_Ranking4[[#This Row],[FMS ID]],FMS_Input[FMS_ID],FMS_Input[REMCRITFAC100])</f>
        <v>0</v>
      </c>
      <c r="AV479" s="264">
        <f>_xlfn.XLOOKUP(FMS_Ranking4[[#This Row],[FMS ID]],FMS_Input[FMS_ID],FMS_Input[REMLWC100])</f>
        <v>0</v>
      </c>
      <c r="AW479" s="264">
        <f>_xlfn.XLOOKUP(FMS_Ranking4[[#This Row],[FMS ID]],FMS_Input[FMS_ID],FMS_Input[REMROADCLS])</f>
        <v>0</v>
      </c>
      <c r="AX479" s="264">
        <f>_xlfn.XLOOKUP(FMS_Ranking4[[#This Row],[FMS ID]],FMS_Input[FMS_ID],FMS_Input[REMFRMACRE100])</f>
        <v>0</v>
      </c>
      <c r="AY479" s="258">
        <f>_xlfn.XLOOKUP(FMS_Ranking4[[#This Row],[FMS ID]],FMS_Input[FMS_ID],FMS_Input[COSTSTRUCT])</f>
        <v>0</v>
      </c>
      <c r="AZ479" s="253">
        <f>_xlfn.XLOOKUP(FMS_Ranking4[[#This Row],[FMS ID]],FMS_Input[FMS_ID],FMS_Input[NATURE])</f>
        <v>0</v>
      </c>
      <c r="BA479" s="262">
        <f>(((FMS_Ranking4[[#This Row],[% NBS Raw]]/AZ$4)*100)*AZ$5)</f>
        <v>0</v>
      </c>
      <c r="BB479" s="251" t="str">
        <f>_xlfn.XLOOKUP(FMS_Ranking4[[#This Row],[FMS ID]],FMS_Input[FMS_ID],FMS_Input[WATER_SUP])</f>
        <v>No</v>
      </c>
      <c r="BC479" s="265">
        <f>IF(FMS_Ranking4[[#This Row],[Water Supply Raw]]="Yes",10,0)</f>
        <v>0</v>
      </c>
      <c r="BD479" s="266">
        <f>_xlfn.XLOOKUP(FMS_Ranking4[[#This Row],[FMS Type]],FMS_TYPE[FMS_Type],FMS_TYPE[Score])</f>
        <v>10</v>
      </c>
      <c r="BE479" s="267">
        <f>FMS_Ranking4[[#This Row],[FMS_Type Score]]*$BD$5*10</f>
        <v>2.5</v>
      </c>
      <c r="BF47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8.1479572344247048E-2</v>
      </c>
      <c r="BG479" s="271">
        <f>_xlfn.RANK.EQ(BF479,$BF$8:$BF$870,0)+COUNTIF($BF$8:BF479,BF479)-1</f>
        <v>507</v>
      </c>
      <c r="BH479" s="268">
        <f>(((FMS_Ranking4[[#This Row],[Structures Removed Raw]]/AK$4)*100)*AK$5)+(((FMS_Ranking4[[#This Row],[Removed Pop Raw]]/AR$4)*100)*AR$5)</f>
        <v>0</v>
      </c>
      <c r="BI47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2.581479572344247</v>
      </c>
      <c r="BJ479" s="205">
        <f>_xlfn.RANK.EQ(FMS_Ranking4[[#This Row],[Total Score 
(with linear
normalization)]],FMS_Ranking4[Total Score 
(with linear
normalization)],0)</f>
        <v>227</v>
      </c>
      <c r="BK479" s="205" t="e">
        <f>_xlfn.XLOOKUP(FMS_Ranking4[[#This Row],[FMS ID]],#REF!,#REF!)</f>
        <v>#REF!</v>
      </c>
      <c r="BL47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18.099922226166939</v>
      </c>
      <c r="BM479" s="272">
        <f>FMS_Ranking4[[#This Row],[ArcSinh Score Based on Normalized Reported Factors]]+FMS_Ranking4[[#This Row],[% NBS Score (Normalized)]]+(FMS_Ranking4[[#This Row],[Water Supply Score (Normalized)]]*10*$BB$5)+FMS_Ranking4[[#This Row],[FMS_Type Score Weighted]]</f>
        <v>20.599922226166939</v>
      </c>
      <c r="BN479" s="205">
        <f>_xlfn.RANK.EQ(FMS_Ranking4[[#This Row],[Total Score (with ArcSinh normalization of select criteria)]],FMS_Ranking4[Total Score (with ArcSinh normalization of select criteria)],0)</f>
        <v>472</v>
      </c>
      <c r="BO479" s="270" t="str">
        <f>_xlfn.XLOOKUP(FMS_Ranking4[[#This Row],[FMS ID]],FMS_Input[FMS_ID],FMS_Input[FMS_RANK_YEAR])</f>
        <v>2023 Amended Plan</v>
      </c>
      <c r="BP479" s="204">
        <f>_xlfn.XLOOKUP(FMS_Ranking4[[#This Row],[FMS ID]],Prev_Rank[FMS ID],Prev_Rank[Prev Rank])</f>
        <v>422</v>
      </c>
      <c r="BQ479" s="205" t="e">
        <f>_xlfn.XLOOKUP(FMS_Ranking4[[#This Row],[FMS ID]],#REF!,#REF!)</f>
        <v>#REF!</v>
      </c>
      <c r="BR479" s="199" t="e">
        <f>SUM(#REF!,#REF!,#REF!,#REF!,#REF!,#REF!,#REF!,#REF!,#REF!,FMS_Ranking4[[#This Row],[ArcSinh Res struct removed 0-10]],#REF!)</f>
        <v>#REF!</v>
      </c>
      <c r="BS479" s="199" t="e">
        <f>FMS_Ranking4[[#This Row],[Log Score Based on Normalized Reported Factors]]+FMS_Ranking4[[#This Row],[% NBS Score (Normalized)]]+(FMS_Ranking4[[#This Row],[Water Supply Score (Normalized)]]*10*$BB$5)+(FMS_Ranking4[[#This Row],[FMS_Type Score Weighted]])</f>
        <v>#REF!</v>
      </c>
      <c r="BT479" s="200" t="e">
        <f>_xlfn.RANK.EQ(FMS_Ranking4[[#This Row],[Log Total Score]],FMS_Ranking4[Log Total Score],0)</f>
        <v>#REF!</v>
      </c>
      <c r="BU479" s="200" t="e">
        <f>_xlfn.XLOOKUP(FMS_Ranking4[[#This Row],[FMS ID]],#REF!,#REF!)</f>
        <v>#REF!</v>
      </c>
      <c r="BV479" s="200">
        <f>FMS_Ranking4[[#This Row],[Region Number]]</f>
        <v>3</v>
      </c>
      <c r="BW479" s="200">
        <f>FMS_Ranking4[[#This Row],[Rank (with ArcSinh normalization of select criteria)]]-FMS_Ranking4[[#This Row],[Rank
(with linear
normalization)]]</f>
        <v>245</v>
      </c>
      <c r="BX479" s="200" t="e">
        <f>FMS_Ranking4[[#This Row],[Log Rank]]-FMS_Ranking4[[#This Row],[Rank
(with linear
normalization)]]</f>
        <v>#REF!</v>
      </c>
      <c r="BY479" s="200">
        <f>IF(FMS_Ranking4[[#This Row],[FMS Type]]="Flood Measurement and Warning",FMS_Ranking4[[#This Row],[Rank (with ArcSinh normalization of select criteria)]],"")</f>
        <v>472</v>
      </c>
      <c r="BZ479" s="200" t="str">
        <f>IF(FMS_Ranking4[[#This Row],[FMS Type]]="Regulatory and Guidance",FMS_Ranking4[[#This Row],[Rank (with ArcSinh normalization of select criteria)]],"")</f>
        <v/>
      </c>
      <c r="CA479" s="200" t="str">
        <f>IF(FMS_Ranking4[[#This Row],[FMS Type]]="Education and Outreach",FMS_Ranking4[[#This Row],[Rank (with ArcSinh normalization of select criteria)]],"")</f>
        <v/>
      </c>
      <c r="CB479" s="200" t="str">
        <f>IF(FMS_Ranking4[[#This Row],[FMS Type]]="Property Acquisition and Structural Elevation",FMS_Ranking4[[#This Row],[Rank (with ArcSinh normalization of select criteria)]],"")</f>
        <v/>
      </c>
      <c r="CC479" s="200" t="str">
        <f>IF(FMS_Ranking4[[#This Row],[FMS Type]]="Infrastructure Projects",FMS_Ranking4[[#This Row],[Rank (with ArcSinh normalization of select criteria)]],"")</f>
        <v/>
      </c>
      <c r="CD479" s="200" t="str">
        <f>IF(FMS_Ranking4[[#This Row],[FMS Type]]="Other",FMS_Ranking4[[#This Row],[Rank (with ArcSinh normalization of select criteria)]],"")</f>
        <v/>
      </c>
      <c r="CE479" s="201"/>
      <c r="CF479" s="206"/>
      <c r="CG479" s="206"/>
      <c r="CH479" s="206"/>
      <c r="CI479" s="206"/>
      <c r="CJ479" s="206"/>
      <c r="CK479" s="206"/>
      <c r="CL479" s="206"/>
      <c r="CM479" s="206"/>
      <c r="CN479" s="206"/>
      <c r="CO479" s="206"/>
      <c r="CP479" s="206"/>
      <c r="CQ479" s="206"/>
      <c r="CR479" s="206"/>
    </row>
    <row r="480" spans="2:96" ht="105" x14ac:dyDescent="0.25">
      <c r="B480" s="341" t="s">
        <v>11993</v>
      </c>
      <c r="C480" s="246">
        <f>_xlfn.XLOOKUP(FMS_Ranking4[[#This Row],[FMS ID]],FMS_Input[FMS_ID],FMS_Input[RFPG_NUM])</f>
        <v>15</v>
      </c>
      <c r="D480" s="309" t="str">
        <f>_xlfn.XLOOKUP(FMS_Ranking4[[#This Row],[FMS ID]],FMS_Input[FMS_ID],FMS_Input[FMS_NAME])</f>
        <v>City of Palmview</v>
      </c>
      <c r="E480" s="308" t="str">
        <f>_xlfn.XLOOKUP(FMS_Ranking4[[#This Row],[FMS ID]],FMS_Input[FMS_ID],FMS_Input[SPONSOR])</f>
        <v>15000064</v>
      </c>
      <c r="F480" s="309" t="str">
        <f>_xlfn.XLOOKUP(FMS_Ranking4[[#This Row],[FMS ID]],Sponsor[FMS_ID],Sponsor[SPONSOR NAME])</f>
        <v>Palmview</v>
      </c>
      <c r="G480" s="309" t="str">
        <f>_xlfn.XLOOKUP(FMS_Ranking4[[#This Row],[FMS ID]],FMS_Input[FMS_ID],FMS_Input[FMS_DESCR])</f>
        <v>FMS 2 - Assessment, development, and updating of the City's ordinances, orders, policies, engineering specifications, guidance documents and other flood management tools.</v>
      </c>
      <c r="H480" s="248" t="str">
        <f>_xlfn.XLOOKUP(FMS_Ranking4[[#This Row],[FMS ID]],FMS_Input[FMS_ID],FMS_Input[FMS_TYPE])</f>
        <v>Regulatory and Guidance</v>
      </c>
      <c r="I480" s="249">
        <f>_xlfn.XLOOKUP(FMS_Ranking4[[#This Row],[FMS ID]],FMS_Input[FMS_ID],FMS_Input[NRNC_COST])</f>
        <v>300000</v>
      </c>
      <c r="J480" s="250">
        <f>_xlfn.XLOOKUP(FMS_Ranking4[[#This Row],[FMS ID]],FMS_Input[FMS_ID],FMS_Input[FMS_COST])</f>
        <v>300000</v>
      </c>
      <c r="K480" s="251" t="str">
        <f>_xlfn.XLOOKUP(FMS_Ranking4[[#This Row],[FMS ID]],FMS_Input[FMS_ID],FMS_Input[EMER_NEED])</f>
        <v>Yes</v>
      </c>
      <c r="L480" s="252">
        <f t="shared" si="7"/>
        <v>1</v>
      </c>
      <c r="M480" s="253">
        <f>_xlfn.XLOOKUP(FMS_Ranking4[[#This Row],[FMS ID]],FMS_Input[FMS_ID],FMS_Input[STRUCT_100])</f>
        <v>853</v>
      </c>
      <c r="N480" s="255">
        <f>(ASINH(FMS_Ranking4[[#This Row],[Structure at Risk Raw]]))*(10)/(ASINH(M$4))</f>
        <v>5.8504470102818571</v>
      </c>
      <c r="O480" s="256">
        <f>FMS_Ranking4[[#This Row],[Structures at risk, ArcSinh (0-10)]]*M$5*10</f>
        <v>5.8504470102818571</v>
      </c>
      <c r="P480" s="253">
        <f>_xlfn.XLOOKUP(FMS_Ranking4[[#This Row],[FMS ID]],FMS_Input[FMS_ID],FMS_Input[RES_STRUCT100])</f>
        <v>671</v>
      </c>
      <c r="Q480" s="257">
        <f>ASINH(FMS_Ranking4[[#This Row],[Res Structure Raw]])/Q$4*P$5*100</f>
        <v>0</v>
      </c>
      <c r="R480" s="253">
        <f>_xlfn.XLOOKUP(FMS_Ranking4[[#This Row],[FMS ID]],FMS_Input[FMS_ID],FMS_Input[POP100])</f>
        <v>2703</v>
      </c>
      <c r="S480" s="255">
        <f>(ASINH(FMS_Ranking4[[#This Row],[Pop at Risk Raw]]))*(10)/(ASINH(R$4))</f>
        <v>5.9338116630882523</v>
      </c>
      <c r="T480" s="256">
        <f>FMS_Ranking4[[#This Row],[Population at risk, ArcSinh (0-10)]]*R$5*10</f>
        <v>5.9338116630882523</v>
      </c>
      <c r="U480" s="253">
        <f>_xlfn.XLOOKUP(FMS_Ranking4[[#This Row],[FMS ID]],FMS_Input[FMS_ID],FMS_Input[CRITFAC100])</f>
        <v>6</v>
      </c>
      <c r="V480" s="255">
        <f>(ASINH(FMS_Ranking4[[#This Row],[Critical Facilities Raw]]))*(10)/(ASINH(U$4))</f>
        <v>2.9496796311809068</v>
      </c>
      <c r="W480" s="256">
        <f>FMS_Ranking4[[#This Row],[Critical facilities at risk, ArcSinh (0-10)]]*U$5*10</f>
        <v>2.9496796311809073</v>
      </c>
      <c r="X480" s="253">
        <f>_xlfn.XLOOKUP(FMS_Ranking4[[#This Row],[FMS ID]],FMS_Input[FMS_ID],FMS_Input[LWC])</f>
        <v>0</v>
      </c>
      <c r="Y480" s="255">
        <f>(ASINH(FMS_Ranking4[[#This Row],[LWC Raw]]))*(10)/(ASINH(X$4))</f>
        <v>0</v>
      </c>
      <c r="Z480" s="256">
        <f>FMS_Ranking4[[#This Row],[LWC, ArcSInh (0-10)]]*X$5*10</f>
        <v>0</v>
      </c>
      <c r="AA480" s="253">
        <f>_xlfn.XLOOKUP(FMS_Ranking4[[#This Row],[FMS ID]],FMS_Input[FMS_ID],FMS_Input[ROADCLS])</f>
        <v>0</v>
      </c>
      <c r="AB480" s="255">
        <f>(ASINH(FMS_Ranking4[[#This Row],[Road Closures Raw]]))*(10)/(ASINH(AA$4))</f>
        <v>0</v>
      </c>
      <c r="AC480" s="256">
        <f>FMS_Ranking4[[#This Row],[Road closures, ArcSinh (0-10)]]*AA$5*10</f>
        <v>0</v>
      </c>
      <c r="AD480" s="253">
        <f>_xlfn.XLOOKUP(FMS_Ranking4[[#This Row],[FMS ID]],FMS_Input[FMS_ID],FMS_Input[ROAD_MILES100])</f>
        <v>15</v>
      </c>
      <c r="AE480" s="255">
        <f>(ASINH(FMS_Ranking4[[#This Row],[Road Miles Raw]]))*(10)/(ASINH(AD$4))</f>
        <v>3.625922827042257</v>
      </c>
      <c r="AF480" s="256">
        <f>FMS_Ranking4[[#This Row],[Length of roads at risk, ArcSinh (0-10)]]*AD$5*10</f>
        <v>3.625922827042257</v>
      </c>
      <c r="AG480" s="253">
        <f>_xlfn.XLOOKUP(FMS_Ranking4[[#This Row],[FMS ID]],FMS_Input[FMS_ID],FMS_Input[FARMACRE100])</f>
        <v>0.7827373743057251</v>
      </c>
      <c r="AH480" s="255">
        <f>(ASINH(FMS_Ranking4[[#This Row],[Ag Land Raw]]))*(10)/(ASINH(AG$4))</f>
        <v>0.46713455331694842</v>
      </c>
      <c r="AI480" s="260">
        <f>FMS_Ranking4[[#This Row],[Farm &amp; ranch land, ArcSinh (0-10)]]*AG$5*10</f>
        <v>0.23356727665847424</v>
      </c>
      <c r="AJ480" s="258">
        <f>_xlfn.XLOOKUP(FMS_Ranking4[[#This Row],[FMS ID]],FMS_Input[FMS_ID],FMS_Input[REDSTRUCT100])</f>
        <v>0</v>
      </c>
      <c r="AK480" s="253">
        <f>_xlfn.XLOOKUP(FMS_Ranking4[[#This Row],[FMS ID]],FMS_Input[FMS_ID],FMS_Input[REMSTRC100])</f>
        <v>0</v>
      </c>
      <c r="AL480" s="255">
        <f>(ASINH(FMS_Ranking4[[#This Row],[Structures Removed Raw]]))*(10)/(ASINH(AK$4))</f>
        <v>0</v>
      </c>
      <c r="AM480" s="262">
        <f>FMS_Ranking4[[#This Row],[Structures removed, ArcSinh (0-10)]]*AK$5*10</f>
        <v>0</v>
      </c>
      <c r="AN480" s="253">
        <f>_xlfn.XLOOKUP(FMS_Ranking4[[#This Row],[FMS ID]],FMS_Input[FMS_ID],FMS_Input[REMRESSTRC100])</f>
        <v>0</v>
      </c>
      <c r="AO480" s="261">
        <f>FMS_Ranking4[[#This Row],[ArcSinh Res struct removed 0-10]]*AN$5*10</f>
        <v>0</v>
      </c>
      <c r="AP480" s="260">
        <f>ASINH(FMS_Ranking4[[#This Row],[Residential Structures Removed Raw]])/AP$4*AN$5*100</f>
        <v>0</v>
      </c>
      <c r="AQ480" s="258">
        <f>(ASINH(FMS_Ranking4[[#This Row],[Residential Structures Removed Raw]]))*(10)/(ASINH(AN$4))</f>
        <v>0</v>
      </c>
      <c r="AR480" s="253">
        <f>_xlfn.XLOOKUP(FMS_Ranking4[[#This Row],[FMS ID]],FMS_Input[FMS_ID],FMS_Input[REMPOP100])</f>
        <v>0</v>
      </c>
      <c r="AS480" s="255">
        <f>(ASINH(FMS_Ranking4[[#This Row],[Removed Pop Raw]]))*(10)/(ASINH(AR$4))</f>
        <v>0</v>
      </c>
      <c r="AT480" s="262">
        <f>FMS_Ranking4[[#This Row],[Removed population, ArcSinh (0-10)]]*AR$5*10</f>
        <v>0</v>
      </c>
      <c r="AU480" s="264">
        <f>_xlfn.XLOOKUP(FMS_Ranking4[[#This Row],[FMS ID]],FMS_Input[FMS_ID],FMS_Input[REMCRITFAC100])</f>
        <v>0</v>
      </c>
      <c r="AV480" s="264">
        <f>_xlfn.XLOOKUP(FMS_Ranking4[[#This Row],[FMS ID]],FMS_Input[FMS_ID],FMS_Input[REMLWC100])</f>
        <v>0</v>
      </c>
      <c r="AW480" s="264">
        <f>_xlfn.XLOOKUP(FMS_Ranking4[[#This Row],[FMS ID]],FMS_Input[FMS_ID],FMS_Input[REMROADCLS])</f>
        <v>0</v>
      </c>
      <c r="AX480" s="264">
        <f>_xlfn.XLOOKUP(FMS_Ranking4[[#This Row],[FMS ID]],FMS_Input[FMS_ID],FMS_Input[REMFRMACRE100])</f>
        <v>0</v>
      </c>
      <c r="AY480" s="258">
        <f>_xlfn.XLOOKUP(FMS_Ranking4[[#This Row],[FMS ID]],FMS_Input[FMS_ID],FMS_Input[COSTSTRUCT])</f>
        <v>0</v>
      </c>
      <c r="AZ480" s="253">
        <f>_xlfn.XLOOKUP(FMS_Ranking4[[#This Row],[FMS ID]],FMS_Input[FMS_ID],FMS_Input[NATURE])</f>
        <v>0</v>
      </c>
      <c r="BA480" s="262">
        <f>(((FMS_Ranking4[[#This Row],[% NBS Raw]]/AZ$4)*100)*AZ$5)</f>
        <v>0</v>
      </c>
      <c r="BB480" s="251" t="str">
        <f>_xlfn.XLOOKUP(FMS_Ranking4[[#This Row],[FMS ID]],FMS_Input[FMS_ID],FMS_Input[WATER_SUP])</f>
        <v>No</v>
      </c>
      <c r="BC480" s="265">
        <f>IF(FMS_Ranking4[[#This Row],[Water Supply Raw]]="Yes",10,0)</f>
        <v>0</v>
      </c>
      <c r="BD480" s="266">
        <f>_xlfn.XLOOKUP(FMS_Ranking4[[#This Row],[FMS Type]],FMS_TYPE[FMS_Type],FMS_TYPE[Score])</f>
        <v>8</v>
      </c>
      <c r="BE480" s="267">
        <f>FMS_Ranking4[[#This Row],[FMS_Type Score]]*$BD$5*10</f>
        <v>2</v>
      </c>
      <c r="BF48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0.12964618837131595</v>
      </c>
      <c r="BG480" s="321">
        <f>_xlfn.RANK.EQ(BF480,$BF$8:$BF$870,0)+COUNTIF($BF$8:BF480,BF480)-1</f>
        <v>435</v>
      </c>
      <c r="BH480" s="294">
        <f>(((FMS_Ranking4[[#This Row],[Structures Removed Raw]]/AK$4)*100)*AK$5)+(((FMS_Ranking4[[#This Row],[Removed Pop Raw]]/AR$4)*100)*AR$5)</f>
        <v>0</v>
      </c>
      <c r="BI48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2.129646188371316</v>
      </c>
      <c r="BJ480" s="251">
        <f>_xlfn.RANK.EQ(FMS_Ranking4[[#This Row],[Total Score 
(with linear
normalization)]],FMS_Ranking4[Total Score 
(with linear
normalization)],0)</f>
        <v>352</v>
      </c>
      <c r="BK480" s="251" t="e">
        <f>_xlfn.XLOOKUP(FMS_Ranking4[[#This Row],[FMS ID]],#REF!,#REF!)</f>
        <v>#REF!</v>
      </c>
      <c r="BL48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18.593428408251746</v>
      </c>
      <c r="BM480" s="324">
        <f>FMS_Ranking4[[#This Row],[ArcSinh Score Based on Normalized Reported Factors]]+FMS_Ranking4[[#This Row],[% NBS Score (Normalized)]]+(FMS_Ranking4[[#This Row],[Water Supply Score (Normalized)]]*10*$BB$5)+FMS_Ranking4[[#This Row],[FMS_Type Score Weighted]]</f>
        <v>20.593428408251746</v>
      </c>
      <c r="BN480" s="251">
        <f>_xlfn.RANK.EQ(FMS_Ranking4[[#This Row],[Total Score (with ArcSinh normalization of select criteria)]],FMS_Ranking4[Total Score (with ArcSinh normalization of select criteria)],0)</f>
        <v>473</v>
      </c>
      <c r="BO480" s="270" t="str">
        <f>_xlfn.XLOOKUP(FMS_Ranking4[[#This Row],[FMS ID]],FMS_Input[FMS_ID],FMS_Input[FMS_RANK_YEAR])</f>
        <v>2025 Amended Plan</v>
      </c>
      <c r="BP480" s="204" t="e">
        <f>_xlfn.XLOOKUP(FMS_Ranking4[[#This Row],[FMS ID]],Prev_Rank[FMS ID],Prev_Rank[Prev Rank])</f>
        <v>#N/A</v>
      </c>
      <c r="BQ480" s="251" t="e">
        <f>_xlfn.XLOOKUP(FMS_Ranking4[[#This Row],[FMS ID]],#REF!,#REF!)</f>
        <v>#REF!</v>
      </c>
      <c r="BR480" s="199" t="e">
        <f>SUM(#REF!,#REF!,#REF!,#REF!,#REF!,#REF!,#REF!,#REF!,#REF!,FMS_Ranking4[[#This Row],[ArcSinh Res struct removed 0-10]],#REF!)</f>
        <v>#REF!</v>
      </c>
      <c r="BS480" s="199" t="e">
        <f>FMS_Ranking4[[#This Row],[Log Score Based on Normalized Reported Factors]]+FMS_Ranking4[[#This Row],[% NBS Score (Normalized)]]+(FMS_Ranking4[[#This Row],[Water Supply Score (Normalized)]]*10*$BB$5)+(FMS_Ranking4[[#This Row],[FMS_Type Score Weighted]])</f>
        <v>#REF!</v>
      </c>
      <c r="BT480" s="200" t="e">
        <f>_xlfn.RANK.EQ(FMS_Ranking4[[#This Row],[Log Total Score]],FMS_Ranking4[Log Total Score],0)</f>
        <v>#REF!</v>
      </c>
      <c r="BU480" s="200" t="e">
        <f>_xlfn.XLOOKUP(FMS_Ranking4[[#This Row],[FMS ID]],#REF!,#REF!)</f>
        <v>#REF!</v>
      </c>
      <c r="BV480" s="200">
        <f>FMS_Ranking4[[#This Row],[Region Number]]</f>
        <v>15</v>
      </c>
      <c r="BW480" s="200">
        <f>FMS_Ranking4[[#This Row],[Rank (with ArcSinh normalization of select criteria)]]-FMS_Ranking4[[#This Row],[Rank
(with linear
normalization)]]</f>
        <v>121</v>
      </c>
      <c r="BX480" s="200" t="e">
        <f>FMS_Ranking4[[#This Row],[Log Rank]]-FMS_Ranking4[[#This Row],[Rank
(with linear
normalization)]]</f>
        <v>#REF!</v>
      </c>
      <c r="BY480" s="200" t="str">
        <f>IF(FMS_Ranking4[[#This Row],[FMS Type]]="Flood Measurement and Warning",FMS_Ranking4[[#This Row],[Rank (with ArcSinh normalization of select criteria)]],"")</f>
        <v/>
      </c>
      <c r="BZ480" s="200">
        <f>IF(FMS_Ranking4[[#This Row],[FMS Type]]="Regulatory and Guidance",FMS_Ranking4[[#This Row],[Rank (with ArcSinh normalization of select criteria)]],"")</f>
        <v>473</v>
      </c>
      <c r="CA480" s="200" t="str">
        <f>IF(FMS_Ranking4[[#This Row],[FMS Type]]="Education and Outreach",FMS_Ranking4[[#This Row],[Rank (with ArcSinh normalization of select criteria)]],"")</f>
        <v/>
      </c>
      <c r="CB480" s="200" t="str">
        <f>IF(FMS_Ranking4[[#This Row],[FMS Type]]="Property Acquisition and Structural Elevation",FMS_Ranking4[[#This Row],[Rank (with ArcSinh normalization of select criteria)]],"")</f>
        <v/>
      </c>
      <c r="CC480" s="200" t="str">
        <f>IF(FMS_Ranking4[[#This Row],[FMS Type]]="Infrastructure Projects",FMS_Ranking4[[#This Row],[Rank (with ArcSinh normalization of select criteria)]],"")</f>
        <v/>
      </c>
      <c r="CD480" s="200" t="str">
        <f>IF(FMS_Ranking4[[#This Row],[FMS Type]]="Other",FMS_Ranking4[[#This Row],[Rank (with ArcSinh normalization of select criteria)]],"")</f>
        <v/>
      </c>
      <c r="CE480" s="201"/>
      <c r="CF480" s="206"/>
      <c r="CG480" s="206"/>
      <c r="CH480" s="206"/>
      <c r="CI480" s="206"/>
      <c r="CJ480" s="206"/>
      <c r="CK480" s="206"/>
      <c r="CL480" s="206"/>
      <c r="CM480" s="206"/>
      <c r="CN480" s="206"/>
      <c r="CO480" s="206"/>
      <c r="CP480" s="206"/>
      <c r="CQ480" s="206"/>
      <c r="CR480" s="206"/>
    </row>
    <row r="481" spans="2:96" ht="60" x14ac:dyDescent="0.25">
      <c r="B481" s="341" t="s">
        <v>3568</v>
      </c>
      <c r="C481" s="246">
        <f>_xlfn.XLOOKUP(FMS_Ranking4[[#This Row],[FMS ID]],FMS_Input[FMS_ID],FMS_Input[RFPG_NUM])</f>
        <v>12</v>
      </c>
      <c r="D481" s="309" t="str">
        <f>_xlfn.XLOOKUP(FMS_Ranking4[[#This Row],[FMS ID]],FMS_Input[FMS_ID],FMS_Input[FMS_NAME])</f>
        <v>City of Floresville Floodplain Ordinance and Development Code Update</v>
      </c>
      <c r="E481" s="308" t="str">
        <f>_xlfn.XLOOKUP(FMS_Ranking4[[#This Row],[FMS ID]],FMS_Input[FMS_ID],FMS_Input[SPONSOR])</f>
        <v>12002925</v>
      </c>
      <c r="F481" s="309" t="str">
        <f>_xlfn.XLOOKUP(FMS_Ranking4[[#This Row],[FMS ID]],Sponsor[FMS_ID],Sponsor[SPONSOR NAME])</f>
        <v>Floresville</v>
      </c>
      <c r="G481" s="309" t="str">
        <f>_xlfn.XLOOKUP(FMS_Ranking4[[#This Row],[FMS ID]],FMS_Input[FMS_ID],FMS_Input[FMS_DESCR])</f>
        <v xml:space="preserve">Create a floodplain ordinance and update development code
</v>
      </c>
      <c r="H481" s="248" t="str">
        <f>_xlfn.XLOOKUP(FMS_Ranking4[[#This Row],[FMS ID]],FMS_Input[FMS_ID],FMS_Input[FMS_TYPE])</f>
        <v>Regulatory and Guidance</v>
      </c>
      <c r="I481" s="249">
        <f>_xlfn.XLOOKUP(FMS_Ranking4[[#This Row],[FMS ID]],FMS_Input[FMS_ID],FMS_Input[NRNC_COST])</f>
        <v>100000</v>
      </c>
      <c r="J481" s="250">
        <f>_xlfn.XLOOKUP(FMS_Ranking4[[#This Row],[FMS ID]],FMS_Input[FMS_ID],FMS_Input[FMS_COST])</f>
        <v>100000</v>
      </c>
      <c r="K481" s="251" t="str">
        <f>_xlfn.XLOOKUP(FMS_Ranking4[[#This Row],[FMS ID]],FMS_Input[FMS_ID],FMS_Input[EMER_NEED])</f>
        <v>Yes</v>
      </c>
      <c r="L481" s="252">
        <f t="shared" si="7"/>
        <v>1</v>
      </c>
      <c r="M481" s="253">
        <f>_xlfn.XLOOKUP(FMS_Ranking4[[#This Row],[FMS ID]],FMS_Input[FMS_ID],FMS_Input[STRUCT_100])</f>
        <v>107</v>
      </c>
      <c r="N481" s="255">
        <f>(ASINH(FMS_Ranking4[[#This Row],[Structure at Risk Raw]]))*(10)/(ASINH(M$4))</f>
        <v>4.2184732727911323</v>
      </c>
      <c r="O481" s="256">
        <f>FMS_Ranking4[[#This Row],[Structures at risk, ArcSinh (0-10)]]*M$5*10</f>
        <v>4.2184732727911323</v>
      </c>
      <c r="P481" s="253">
        <f>_xlfn.XLOOKUP(FMS_Ranking4[[#This Row],[FMS ID]],FMS_Input[FMS_ID],FMS_Input[RES_STRUCT100])</f>
        <v>63</v>
      </c>
      <c r="Q481" s="257">
        <f>ASINH(FMS_Ranking4[[#This Row],[Res Structure Raw]])/Q$4*P$5*100</f>
        <v>0</v>
      </c>
      <c r="R481" s="253">
        <f>_xlfn.XLOOKUP(FMS_Ranking4[[#This Row],[FMS ID]],FMS_Input[FMS_ID],FMS_Input[POP100])</f>
        <v>161</v>
      </c>
      <c r="S481" s="255">
        <f>(ASINH(FMS_Ranking4[[#This Row],[Pop at Risk Raw]]))*(10)/(ASINH(R$4))</f>
        <v>3.9865157725284979</v>
      </c>
      <c r="T481" s="256">
        <f>FMS_Ranking4[[#This Row],[Population at risk, ArcSinh (0-10)]]*R$5*10</f>
        <v>3.9865157725284983</v>
      </c>
      <c r="U481" s="253">
        <f>_xlfn.XLOOKUP(FMS_Ranking4[[#This Row],[FMS ID]],FMS_Input[FMS_ID],FMS_Input[CRITFAC100])</f>
        <v>3</v>
      </c>
      <c r="V481" s="255">
        <f>(ASINH(FMS_Ranking4[[#This Row],[Critical Facilities Raw]]))*(10)/(ASINH(U$4))</f>
        <v>2.152611706646717</v>
      </c>
      <c r="W481" s="256">
        <f>FMS_Ranking4[[#This Row],[Critical facilities at risk, ArcSinh (0-10)]]*U$5*10</f>
        <v>2.152611706646717</v>
      </c>
      <c r="X481" s="253">
        <f>_xlfn.XLOOKUP(FMS_Ranking4[[#This Row],[FMS ID]],FMS_Input[FMS_ID],FMS_Input[LWC])</f>
        <v>2</v>
      </c>
      <c r="Y481" s="255">
        <f>(ASINH(FMS_Ranking4[[#This Row],[LWC Raw]]))*(10)/(ASINH(X$4))</f>
        <v>1.9557475158633808</v>
      </c>
      <c r="Z481" s="256">
        <f>FMS_Ranking4[[#This Row],[LWC, ArcSInh (0-10)]]*X$5*10</f>
        <v>1.9557475158633808</v>
      </c>
      <c r="AA481" s="253">
        <f>_xlfn.XLOOKUP(FMS_Ranking4[[#This Row],[FMS ID]],FMS_Input[FMS_ID],FMS_Input[ROADCLS])</f>
        <v>31</v>
      </c>
      <c r="AB481" s="255">
        <f>(ASINH(FMS_Ranking4[[#This Row],[Road Closures Raw]]))*(10)/(ASINH(AA$4))</f>
        <v>4.298302472963389</v>
      </c>
      <c r="AC481" s="256">
        <f>FMS_Ranking4[[#This Row],[Road closures, ArcSinh (0-10)]]*AA$5*10</f>
        <v>2.1491512364816945</v>
      </c>
      <c r="AD481" s="253">
        <f>_xlfn.XLOOKUP(FMS_Ranking4[[#This Row],[FMS ID]],FMS_Input[FMS_ID],FMS_Input[ROAD_MILES100])</f>
        <v>4</v>
      </c>
      <c r="AE481" s="255">
        <f>(ASINH(FMS_Ranking4[[#This Row],[Road Miles Raw]]))*(10)/(ASINH(AD$4))</f>
        <v>2.2323872691766113</v>
      </c>
      <c r="AF481" s="256">
        <f>FMS_Ranking4[[#This Row],[Length of roads at risk, ArcSinh (0-10)]]*AD$5*10</f>
        <v>2.2323872691766113</v>
      </c>
      <c r="AG481" s="253">
        <f>_xlfn.XLOOKUP(FMS_Ranking4[[#This Row],[FMS ID]],FMS_Input[FMS_ID],FMS_Input[FARMACRE100])</f>
        <v>74.569999694824219</v>
      </c>
      <c r="AH481" s="255">
        <f>(ASINH(FMS_Ranking4[[#This Row],[Ag Land Raw]]))*(10)/(ASINH(AG$4))</f>
        <v>3.2511100518115703</v>
      </c>
      <c r="AI481" s="260">
        <f>FMS_Ranking4[[#This Row],[Farm &amp; ranch land, ArcSinh (0-10)]]*AG$5*10</f>
        <v>1.6255550259057852</v>
      </c>
      <c r="AJ481" s="258">
        <f>_xlfn.XLOOKUP(FMS_Ranking4[[#This Row],[FMS ID]],FMS_Input[FMS_ID],FMS_Input[REDSTRUCT100])</f>
        <v>0</v>
      </c>
      <c r="AK481" s="253">
        <f>_xlfn.XLOOKUP(FMS_Ranking4[[#This Row],[FMS ID]],FMS_Input[FMS_ID],FMS_Input[REMSTRC100])</f>
        <v>0</v>
      </c>
      <c r="AL481" s="255">
        <f>(ASINH(FMS_Ranking4[[#This Row],[Structures Removed Raw]]))*(10)/(ASINH(AK$4))</f>
        <v>0</v>
      </c>
      <c r="AM481" s="262">
        <f>FMS_Ranking4[[#This Row],[Structures removed, ArcSinh (0-10)]]*AK$5*10</f>
        <v>0</v>
      </c>
      <c r="AN481" s="253">
        <f>_xlfn.XLOOKUP(FMS_Ranking4[[#This Row],[FMS ID]],FMS_Input[FMS_ID],FMS_Input[REMRESSTRC100])</f>
        <v>0</v>
      </c>
      <c r="AO481" s="261">
        <f>FMS_Ranking4[[#This Row],[ArcSinh Res struct removed 0-10]]*AN$5*10</f>
        <v>0</v>
      </c>
      <c r="AP481" s="260">
        <f>ASINH(FMS_Ranking4[[#This Row],[Residential Structures Removed Raw]])/AP$4*AN$5*100</f>
        <v>0</v>
      </c>
      <c r="AQ481" s="258">
        <f>(ASINH(FMS_Ranking4[[#This Row],[Residential Structures Removed Raw]]))*(10)/(ASINH(AN$4))</f>
        <v>0</v>
      </c>
      <c r="AR481" s="253">
        <f>_xlfn.XLOOKUP(FMS_Ranking4[[#This Row],[FMS ID]],FMS_Input[FMS_ID],FMS_Input[REMPOP100])</f>
        <v>0</v>
      </c>
      <c r="AS481" s="255">
        <f>(ASINH(FMS_Ranking4[[#This Row],[Removed Pop Raw]]))*(10)/(ASINH(AR$4))</f>
        <v>0</v>
      </c>
      <c r="AT481" s="262">
        <f>FMS_Ranking4[[#This Row],[Removed population, ArcSinh (0-10)]]*AR$5*10</f>
        <v>0</v>
      </c>
      <c r="AU481" s="264">
        <f>_xlfn.XLOOKUP(FMS_Ranking4[[#This Row],[FMS ID]],FMS_Input[FMS_ID],FMS_Input[REMCRITFAC100])</f>
        <v>0</v>
      </c>
      <c r="AV481" s="264">
        <f>_xlfn.XLOOKUP(FMS_Ranking4[[#This Row],[FMS ID]],FMS_Input[FMS_ID],FMS_Input[REMLWC100])</f>
        <v>0</v>
      </c>
      <c r="AW481" s="264">
        <f>_xlfn.XLOOKUP(FMS_Ranking4[[#This Row],[FMS ID]],FMS_Input[FMS_ID],FMS_Input[REMROADCLS])</f>
        <v>0</v>
      </c>
      <c r="AX481" s="264">
        <f>_xlfn.XLOOKUP(FMS_Ranking4[[#This Row],[FMS ID]],FMS_Input[FMS_ID],FMS_Input[REMFRMACRE100])</f>
        <v>0</v>
      </c>
      <c r="AY481" s="258">
        <f>_xlfn.XLOOKUP(FMS_Ranking4[[#This Row],[FMS ID]],FMS_Input[FMS_ID],FMS_Input[COSTSTRUCT])</f>
        <v>0</v>
      </c>
      <c r="AZ481" s="253">
        <f>_xlfn.XLOOKUP(FMS_Ranking4[[#This Row],[FMS ID]],FMS_Input[FMS_ID],FMS_Input[NATURE])</f>
        <v>0</v>
      </c>
      <c r="BA481" s="262">
        <f>(((FMS_Ranking4[[#This Row],[% NBS Raw]]/AZ$4)*100)*AZ$5)</f>
        <v>0</v>
      </c>
      <c r="BB481" s="251" t="str">
        <f>_xlfn.XLOOKUP(FMS_Ranking4[[#This Row],[FMS ID]],FMS_Input[FMS_ID],FMS_Input[WATER_SUP])</f>
        <v>No</v>
      </c>
      <c r="BC481" s="265">
        <f>IF(FMS_Ranking4[[#This Row],[Water Supply Raw]]="Yes",10,0)</f>
        <v>0</v>
      </c>
      <c r="BD481" s="266">
        <f>_xlfn.XLOOKUP(FMS_Ranking4[[#This Row],[FMS Type]],FMS_TYPE[FMS_Type],FMS_TYPE[Score])</f>
        <v>8</v>
      </c>
      <c r="BE481" s="267">
        <f>FMS_Ranking4[[#This Row],[FMS_Type Score]]*$BD$5*10</f>
        <v>2</v>
      </c>
      <c r="BF48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7.3647023170246115E-2</v>
      </c>
      <c r="BG481" s="321">
        <f>_xlfn.RANK.EQ(BF481,$BF$8:$BF$870,0)+COUNTIF($BF$8:BF481,BF481)-1</f>
        <v>514</v>
      </c>
      <c r="BH481" s="294">
        <f>(((FMS_Ranking4[[#This Row],[Structures Removed Raw]]/AK$4)*100)*AK$5)+(((FMS_Ranking4[[#This Row],[Removed Pop Raw]]/AR$4)*100)*AR$5)</f>
        <v>0</v>
      </c>
      <c r="BI48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2.073647023170246</v>
      </c>
      <c r="BJ481" s="251">
        <f>_xlfn.RANK.EQ(FMS_Ranking4[[#This Row],[Total Score 
(with linear
normalization)]],FMS_Ranking4[Total Score 
(with linear
normalization)],0)</f>
        <v>375</v>
      </c>
      <c r="BK481" s="251" t="e">
        <f>_xlfn.XLOOKUP(FMS_Ranking4[[#This Row],[FMS ID]],#REF!,#REF!)</f>
        <v>#REF!</v>
      </c>
      <c r="BL48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18.320441799393819</v>
      </c>
      <c r="BM481" s="324">
        <f>FMS_Ranking4[[#This Row],[ArcSinh Score Based on Normalized Reported Factors]]+FMS_Ranking4[[#This Row],[% NBS Score (Normalized)]]+(FMS_Ranking4[[#This Row],[Water Supply Score (Normalized)]]*10*$BB$5)+FMS_Ranking4[[#This Row],[FMS_Type Score Weighted]]</f>
        <v>20.320441799393819</v>
      </c>
      <c r="BN481" s="251">
        <f>_xlfn.RANK.EQ(FMS_Ranking4[[#This Row],[Total Score (with ArcSinh normalization of select criteria)]],FMS_Ranking4[Total Score (with ArcSinh normalization of select criteria)],0)</f>
        <v>474</v>
      </c>
      <c r="BO481" s="270" t="str">
        <f>_xlfn.XLOOKUP(FMS_Ranking4[[#This Row],[FMS ID]],FMS_Input[FMS_ID],FMS_Input[FMS_RANK_YEAR])</f>
        <v>2023 Amended Plan</v>
      </c>
      <c r="BP481" s="204">
        <f>_xlfn.XLOOKUP(FMS_Ranking4[[#This Row],[FMS ID]],Prev_Rank[FMS ID],Prev_Rank[Prev Rank])</f>
        <v>426</v>
      </c>
      <c r="BQ481" s="251" t="e">
        <f>_xlfn.XLOOKUP(FMS_Ranking4[[#This Row],[FMS ID]],#REF!,#REF!)</f>
        <v>#REF!</v>
      </c>
      <c r="BR481" s="199" t="e">
        <f>SUM(#REF!,#REF!,#REF!,#REF!,#REF!,#REF!,#REF!,#REF!,#REF!,FMS_Ranking4[[#This Row],[ArcSinh Res struct removed 0-10]],#REF!)</f>
        <v>#REF!</v>
      </c>
      <c r="BS481" s="199" t="e">
        <f>FMS_Ranking4[[#This Row],[Log Score Based on Normalized Reported Factors]]+FMS_Ranking4[[#This Row],[% NBS Score (Normalized)]]+(FMS_Ranking4[[#This Row],[Water Supply Score (Normalized)]]*10*$BB$5)+(FMS_Ranking4[[#This Row],[FMS_Type Score Weighted]])</f>
        <v>#REF!</v>
      </c>
      <c r="BT481" s="200" t="e">
        <f>_xlfn.RANK.EQ(FMS_Ranking4[[#This Row],[Log Total Score]],FMS_Ranking4[Log Total Score],0)</f>
        <v>#REF!</v>
      </c>
      <c r="BU481" s="200" t="e">
        <f>_xlfn.XLOOKUP(FMS_Ranking4[[#This Row],[FMS ID]],#REF!,#REF!)</f>
        <v>#REF!</v>
      </c>
      <c r="BV481" s="200">
        <f>FMS_Ranking4[[#This Row],[Region Number]]</f>
        <v>12</v>
      </c>
      <c r="BW481" s="200">
        <f>FMS_Ranking4[[#This Row],[Rank (with ArcSinh normalization of select criteria)]]-FMS_Ranking4[[#This Row],[Rank
(with linear
normalization)]]</f>
        <v>99</v>
      </c>
      <c r="BX481" s="200" t="e">
        <f>FMS_Ranking4[[#This Row],[Log Rank]]-FMS_Ranking4[[#This Row],[Rank
(with linear
normalization)]]</f>
        <v>#REF!</v>
      </c>
      <c r="BY481" s="200" t="str">
        <f>IF(FMS_Ranking4[[#This Row],[FMS Type]]="Flood Measurement and Warning",FMS_Ranking4[[#This Row],[Rank (with ArcSinh normalization of select criteria)]],"")</f>
        <v/>
      </c>
      <c r="BZ481" s="200">
        <f>IF(FMS_Ranking4[[#This Row],[FMS Type]]="Regulatory and Guidance",FMS_Ranking4[[#This Row],[Rank (with ArcSinh normalization of select criteria)]],"")</f>
        <v>474</v>
      </c>
      <c r="CA481" s="200" t="str">
        <f>IF(FMS_Ranking4[[#This Row],[FMS Type]]="Education and Outreach",FMS_Ranking4[[#This Row],[Rank (with ArcSinh normalization of select criteria)]],"")</f>
        <v/>
      </c>
      <c r="CB481" s="200" t="str">
        <f>IF(FMS_Ranking4[[#This Row],[FMS Type]]="Property Acquisition and Structural Elevation",FMS_Ranking4[[#This Row],[Rank (with ArcSinh normalization of select criteria)]],"")</f>
        <v/>
      </c>
      <c r="CC481" s="200" t="str">
        <f>IF(FMS_Ranking4[[#This Row],[FMS Type]]="Infrastructure Projects",FMS_Ranking4[[#This Row],[Rank (with ArcSinh normalization of select criteria)]],"")</f>
        <v/>
      </c>
      <c r="CD481" s="200" t="str">
        <f>IF(FMS_Ranking4[[#This Row],[FMS Type]]="Other",FMS_Ranking4[[#This Row],[Rank (with ArcSinh normalization of select criteria)]],"")</f>
        <v/>
      </c>
      <c r="CE481" s="201"/>
      <c r="CF481" s="206"/>
      <c r="CG481" s="206"/>
      <c r="CH481" s="206"/>
      <c r="CI481" s="206"/>
      <c r="CJ481" s="206"/>
      <c r="CK481" s="206"/>
      <c r="CL481" s="206"/>
      <c r="CM481" s="206"/>
      <c r="CN481" s="206"/>
      <c r="CO481" s="206"/>
      <c r="CP481" s="206"/>
      <c r="CQ481" s="206"/>
      <c r="CR481" s="206"/>
    </row>
    <row r="482" spans="2:96" ht="90" x14ac:dyDescent="0.25">
      <c r="B482" s="341" t="s">
        <v>54</v>
      </c>
      <c r="C482" s="246">
        <f>_xlfn.XLOOKUP(FMS_Ranking4[[#This Row],[FMS ID]],FMS_Input[FMS_ID],FMS_Input[RFPG_NUM])</f>
        <v>6</v>
      </c>
      <c r="D482" s="309" t="str">
        <f>_xlfn.XLOOKUP(FMS_Ranking4[[#This Row],[FMS ID]],FMS_Input[FMS_ID],FMS_Input[FMS_NAME])</f>
        <v>Develop Program to Optimize Operation of the Flood Gates at Second Cut Outlet in City of Kemah</v>
      </c>
      <c r="E482" s="308" t="str">
        <f>_xlfn.XLOOKUP(FMS_Ranking4[[#This Row],[FMS ID]],FMS_Input[FMS_ID],FMS_Input[SPONSOR])</f>
        <v>06003396</v>
      </c>
      <c r="F482" s="309" t="str">
        <f>_xlfn.XLOOKUP(FMS_Ranking4[[#This Row],[FMS ID]],Sponsor[FMS_ID],Sponsor[SPONSOR NAME])</f>
        <v>Kemah</v>
      </c>
      <c r="G482" s="309" t="str">
        <f>_xlfn.XLOOKUP(FMS_Ranking4[[#This Row],[FMS ID]],FMS_Input[FMS_ID],FMS_Input[FMS_DESCR])</f>
        <v>Develop program to integrate with the Harris County Flood Control District for the purpose of optimizing the operation of the flood gates at second cut outlet.</v>
      </c>
      <c r="H482" s="248" t="str">
        <f>_xlfn.XLOOKUP(FMS_Ranking4[[#This Row],[FMS ID]],FMS_Input[FMS_ID],FMS_Input[FMS_TYPE])</f>
        <v>Regulatory and Guidance</v>
      </c>
      <c r="I482" s="249">
        <f>_xlfn.XLOOKUP(FMS_Ranking4[[#This Row],[FMS ID]],FMS_Input[FMS_ID],FMS_Input[NRNC_COST])</f>
        <v>5000</v>
      </c>
      <c r="J482" s="250">
        <f>_xlfn.XLOOKUP(FMS_Ranking4[[#This Row],[FMS ID]],FMS_Input[FMS_ID],FMS_Input[FMS_COST])</f>
        <v>100000</v>
      </c>
      <c r="K482" s="251" t="str">
        <f>_xlfn.XLOOKUP(FMS_Ranking4[[#This Row],[FMS ID]],FMS_Input[FMS_ID],FMS_Input[EMER_NEED])</f>
        <v>No</v>
      </c>
      <c r="L482" s="252">
        <f t="shared" si="7"/>
        <v>0</v>
      </c>
      <c r="M482" s="253">
        <f>_xlfn.XLOOKUP(FMS_Ranking4[[#This Row],[FMS ID]],FMS_Input[FMS_ID],FMS_Input[STRUCT_100])</f>
        <v>560</v>
      </c>
      <c r="N482" s="255">
        <f>(ASINH(FMS_Ranking4[[#This Row],[Structure at Risk Raw]]))*(10)/(ASINH(M$4))</f>
        <v>5.5196180167675539</v>
      </c>
      <c r="O482" s="256">
        <f>FMS_Ranking4[[#This Row],[Structures at risk, ArcSinh (0-10)]]*M$5*10</f>
        <v>5.5196180167675548</v>
      </c>
      <c r="P482" s="253">
        <f>_xlfn.XLOOKUP(FMS_Ranking4[[#This Row],[FMS ID]],FMS_Input[FMS_ID],FMS_Input[RES_STRUCT100])</f>
        <v>425</v>
      </c>
      <c r="Q482" s="257">
        <f>ASINH(FMS_Ranking4[[#This Row],[Res Structure Raw]])/Q$4*P$5*100</f>
        <v>0</v>
      </c>
      <c r="R482" s="253">
        <f>_xlfn.XLOOKUP(FMS_Ranking4[[#This Row],[FMS ID]],FMS_Input[FMS_ID],FMS_Input[POP100])</f>
        <v>2792</v>
      </c>
      <c r="S482" s="259">
        <f>(ASINH(FMS_Ranking4[[#This Row],[Pop at Risk Raw]]))*(10)/(ASINH(R$4))</f>
        <v>5.9561764495528466</v>
      </c>
      <c r="T482" s="256">
        <f>FMS_Ranking4[[#This Row],[Population at risk, ArcSinh (0-10)]]*R$5*10</f>
        <v>5.9561764495528466</v>
      </c>
      <c r="U482" s="253">
        <f>_xlfn.XLOOKUP(FMS_Ranking4[[#This Row],[FMS ID]],FMS_Input[FMS_ID],FMS_Input[CRITFAC100])</f>
        <v>7</v>
      </c>
      <c r="V482" s="259">
        <f>(ASINH(FMS_Ranking4[[#This Row],[Critical Facilities Raw]]))*(10)/(ASINH(U$4))</f>
        <v>3.1300153354232236</v>
      </c>
      <c r="W482" s="256">
        <f>FMS_Ranking4[[#This Row],[Critical facilities at risk, ArcSinh (0-10)]]*U$5*10</f>
        <v>3.1300153354232241</v>
      </c>
      <c r="X482" s="253">
        <f>_xlfn.XLOOKUP(FMS_Ranking4[[#This Row],[FMS ID]],FMS_Input[FMS_ID],FMS_Input[LWC])</f>
        <v>0</v>
      </c>
      <c r="Y482" s="259">
        <f>(ASINH(FMS_Ranking4[[#This Row],[LWC Raw]]))*(10)/(ASINH(X$4))</f>
        <v>0</v>
      </c>
      <c r="Z482" s="256">
        <f>FMS_Ranking4[[#This Row],[LWC, ArcSInh (0-10)]]*X$5*10</f>
        <v>0</v>
      </c>
      <c r="AA482" s="253">
        <f>_xlfn.XLOOKUP(FMS_Ranking4[[#This Row],[FMS ID]],FMS_Input[FMS_ID],FMS_Input[ROADCLS])</f>
        <v>0</v>
      </c>
      <c r="AB482" s="255">
        <f>(ASINH(FMS_Ranking4[[#This Row],[Road Closures Raw]]))*(10)/(ASINH(AA$4))</f>
        <v>0</v>
      </c>
      <c r="AC482" s="256">
        <f>FMS_Ranking4[[#This Row],[Road closures, ArcSinh (0-10)]]*AA$5*10</f>
        <v>0</v>
      </c>
      <c r="AD482" s="253">
        <f>_xlfn.XLOOKUP(FMS_Ranking4[[#This Row],[FMS ID]],FMS_Input[FMS_ID],FMS_Input[ROAD_MILES100])</f>
        <v>13</v>
      </c>
      <c r="AE482" s="259">
        <f>(ASINH(FMS_Ranking4[[#This Row],[Road Miles Raw]]))*(10)/(ASINH(AD$4))</f>
        <v>3.473807557544454</v>
      </c>
      <c r="AF482" s="256">
        <f>FMS_Ranking4[[#This Row],[Length of roads at risk, ArcSinh (0-10)]]*AD$5*10</f>
        <v>3.4738075575444545</v>
      </c>
      <c r="AG482" s="253">
        <f>_xlfn.XLOOKUP(FMS_Ranking4[[#This Row],[FMS ID]],FMS_Input[FMS_ID],FMS_Input[FARMACRE100])</f>
        <v>0.59229201078414917</v>
      </c>
      <c r="AH482" s="255">
        <f>(ASINH(FMS_Ranking4[[#This Row],[Ag Land Raw]]))*(10)/(ASINH(AG$4))</f>
        <v>0.36519738122571194</v>
      </c>
      <c r="AI482" s="260">
        <f>FMS_Ranking4[[#This Row],[Farm &amp; ranch land, ArcSinh (0-10)]]*AG$5*10</f>
        <v>0.18259869061285597</v>
      </c>
      <c r="AJ482" s="258">
        <f>_xlfn.XLOOKUP(FMS_Ranking4[[#This Row],[FMS ID]],FMS_Input[FMS_ID],FMS_Input[REDSTRUCT100])</f>
        <v>0</v>
      </c>
      <c r="AK482" s="253">
        <f>_xlfn.XLOOKUP(FMS_Ranking4[[#This Row],[FMS ID]],FMS_Input[FMS_ID],FMS_Input[REMSTRC100])</f>
        <v>0</v>
      </c>
      <c r="AL482" s="259">
        <f>(ASINH(FMS_Ranking4[[#This Row],[Structures Removed Raw]]))*(10)/(ASINH(AK$4))</f>
        <v>0</v>
      </c>
      <c r="AM482" s="262">
        <f>FMS_Ranking4[[#This Row],[Structures removed, ArcSinh (0-10)]]*AK$5*10</f>
        <v>0</v>
      </c>
      <c r="AN482" s="253">
        <f>_xlfn.XLOOKUP(FMS_Ranking4[[#This Row],[FMS ID]],FMS_Input[FMS_ID],FMS_Input[REMRESSTRC100])</f>
        <v>0</v>
      </c>
      <c r="AO482" s="261">
        <f>FMS_Ranking4[[#This Row],[ArcSinh Res struct removed 0-10]]*AN$5*10</f>
        <v>0</v>
      </c>
      <c r="AP482" s="260">
        <f>ASINH(FMS_Ranking4[[#This Row],[Residential Structures Removed Raw]])/AP$4*AN$5*100</f>
        <v>0</v>
      </c>
      <c r="AQ482" s="254">
        <f>(ASINH(FMS_Ranking4[[#This Row],[Residential Structures Removed Raw]]))*(10)/(ASINH(AN$4))</f>
        <v>0</v>
      </c>
      <c r="AR482" s="253">
        <f>_xlfn.XLOOKUP(FMS_Ranking4[[#This Row],[FMS ID]],FMS_Input[FMS_ID],FMS_Input[REMPOP100])</f>
        <v>0</v>
      </c>
      <c r="AS482" s="259">
        <f>(ASINH(FMS_Ranking4[[#This Row],[Removed Pop Raw]]))*(10)/(ASINH(AR$4))</f>
        <v>0</v>
      </c>
      <c r="AT482" s="262">
        <f>FMS_Ranking4[[#This Row],[Removed population, ArcSinh (0-10)]]*AR$5*10</f>
        <v>0</v>
      </c>
      <c r="AU482" s="264">
        <f>_xlfn.XLOOKUP(FMS_Ranking4[[#This Row],[FMS ID]],FMS_Input[FMS_ID],FMS_Input[REMCRITFAC100])</f>
        <v>0</v>
      </c>
      <c r="AV482" s="264">
        <f>_xlfn.XLOOKUP(FMS_Ranking4[[#This Row],[FMS ID]],FMS_Input[FMS_ID],FMS_Input[REMLWC100])</f>
        <v>0</v>
      </c>
      <c r="AW482" s="264">
        <f>_xlfn.XLOOKUP(FMS_Ranking4[[#This Row],[FMS ID]],FMS_Input[FMS_ID],FMS_Input[REMROADCLS])</f>
        <v>0</v>
      </c>
      <c r="AX482" s="264">
        <f>_xlfn.XLOOKUP(FMS_Ranking4[[#This Row],[FMS ID]],FMS_Input[FMS_ID],FMS_Input[REMFRMACRE100])</f>
        <v>0</v>
      </c>
      <c r="AY482" s="258">
        <f>_xlfn.XLOOKUP(FMS_Ranking4[[#This Row],[FMS ID]],FMS_Input[FMS_ID],FMS_Input[COSTSTRUCT])</f>
        <v>0</v>
      </c>
      <c r="AZ482" s="253">
        <f>_xlfn.XLOOKUP(FMS_Ranking4[[#This Row],[FMS ID]],FMS_Input[FMS_ID],FMS_Input[NATURE])</f>
        <v>0</v>
      </c>
      <c r="BA482" s="262">
        <f>(((FMS_Ranking4[[#This Row],[% NBS Raw]]/AZ$4)*100)*AZ$5)</f>
        <v>0</v>
      </c>
      <c r="BB482" s="251" t="str">
        <f>_xlfn.XLOOKUP(FMS_Ranking4[[#This Row],[FMS ID]],FMS_Input[FMS_ID],FMS_Input[WATER_SUP])</f>
        <v>No</v>
      </c>
      <c r="BC482" s="265">
        <f>IF(FMS_Ranking4[[#This Row],[Water Supply Raw]]="Yes",10,0)</f>
        <v>0</v>
      </c>
      <c r="BD482" s="266">
        <f>_xlfn.XLOOKUP(FMS_Ranking4[[#This Row],[FMS Type]],FMS_TYPE[FMS_Type],FMS_TYPE[Score])</f>
        <v>8</v>
      </c>
      <c r="BE482" s="267">
        <f>FMS_Ranking4[[#This Row],[FMS_Type Score]]*$BD$5*10</f>
        <v>2</v>
      </c>
      <c r="BF48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0.11395890806033108</v>
      </c>
      <c r="BG482" s="271">
        <f>_xlfn.RANK.EQ(BF482,$BF$8:$BF$870,0)+COUNTIF($BF$8:BF482,BF482)-1</f>
        <v>467</v>
      </c>
      <c r="BH482" s="268">
        <f>(((FMS_Ranking4[[#This Row],[Structures Removed Raw]]/AK$4)*100)*AK$5)+(((FMS_Ranking4[[#This Row],[Removed Pop Raw]]/AR$4)*100)*AR$5)</f>
        <v>0</v>
      </c>
      <c r="BI48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2.1139589080603312</v>
      </c>
      <c r="BJ482" s="205">
        <f>_xlfn.RANK.EQ(FMS_Ranking4[[#This Row],[Total Score 
(with linear
normalization)]],FMS_Ranking4[Total Score 
(with linear
normalization)],0)</f>
        <v>360</v>
      </c>
      <c r="BK482" s="205" t="e">
        <f>_xlfn.XLOOKUP(FMS_Ranking4[[#This Row],[FMS ID]],#REF!,#REF!)</f>
        <v>#REF!</v>
      </c>
      <c r="BL48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18.262216049900935</v>
      </c>
      <c r="BM482" s="272">
        <f>FMS_Ranking4[[#This Row],[ArcSinh Score Based on Normalized Reported Factors]]+FMS_Ranking4[[#This Row],[% NBS Score (Normalized)]]+(FMS_Ranking4[[#This Row],[Water Supply Score (Normalized)]]*10*$BB$5)+FMS_Ranking4[[#This Row],[FMS_Type Score Weighted]]</f>
        <v>20.262216049900935</v>
      </c>
      <c r="BN482" s="205">
        <f>_xlfn.RANK.EQ(FMS_Ranking4[[#This Row],[Total Score (with ArcSinh normalization of select criteria)]],FMS_Ranking4[Total Score (with ArcSinh normalization of select criteria)],0)</f>
        <v>475</v>
      </c>
      <c r="BO482" s="270" t="str">
        <f>_xlfn.XLOOKUP(FMS_Ranking4[[#This Row],[FMS ID]],FMS_Input[FMS_ID],FMS_Input[FMS_RANK_YEAR])</f>
        <v>2023 Amended Plan</v>
      </c>
      <c r="BP482" s="204">
        <f>_xlfn.XLOOKUP(FMS_Ranking4[[#This Row],[FMS ID]],Prev_Rank[FMS ID],Prev_Rank[Prev Rank])</f>
        <v>425</v>
      </c>
      <c r="BQ482" s="205" t="e">
        <f>_xlfn.XLOOKUP(FMS_Ranking4[[#This Row],[FMS ID]],#REF!,#REF!)</f>
        <v>#REF!</v>
      </c>
      <c r="BR482" s="199" t="e">
        <f>SUM(#REF!,#REF!,#REF!,#REF!,#REF!,#REF!,#REF!,#REF!,#REF!,FMS_Ranking4[[#This Row],[ArcSinh Res struct removed 0-10]],#REF!)</f>
        <v>#REF!</v>
      </c>
      <c r="BS482" s="199" t="e">
        <f>FMS_Ranking4[[#This Row],[Log Score Based on Normalized Reported Factors]]+FMS_Ranking4[[#This Row],[% NBS Score (Normalized)]]+(FMS_Ranking4[[#This Row],[Water Supply Score (Normalized)]]*10*$BB$5)+(FMS_Ranking4[[#This Row],[FMS_Type Score Weighted]])</f>
        <v>#REF!</v>
      </c>
      <c r="BT482" s="200" t="e">
        <f>_xlfn.RANK.EQ(FMS_Ranking4[[#This Row],[Log Total Score]],FMS_Ranking4[Log Total Score],0)</f>
        <v>#REF!</v>
      </c>
      <c r="BU482" s="200" t="e">
        <f>_xlfn.XLOOKUP(FMS_Ranking4[[#This Row],[FMS ID]],#REF!,#REF!)</f>
        <v>#REF!</v>
      </c>
      <c r="BV482" s="200">
        <f>FMS_Ranking4[[#This Row],[Region Number]]</f>
        <v>6</v>
      </c>
      <c r="BW482" s="200">
        <f>FMS_Ranking4[[#This Row],[Rank (with ArcSinh normalization of select criteria)]]-FMS_Ranking4[[#This Row],[Rank
(with linear
normalization)]]</f>
        <v>115</v>
      </c>
      <c r="BX482" s="200" t="e">
        <f>FMS_Ranking4[[#This Row],[Log Rank]]-FMS_Ranking4[[#This Row],[Rank
(with linear
normalization)]]</f>
        <v>#REF!</v>
      </c>
      <c r="BY482" s="200" t="str">
        <f>IF(FMS_Ranking4[[#This Row],[FMS Type]]="Flood Measurement and Warning",FMS_Ranking4[[#This Row],[Rank (with ArcSinh normalization of select criteria)]],"")</f>
        <v/>
      </c>
      <c r="BZ482" s="200">
        <f>IF(FMS_Ranking4[[#This Row],[FMS Type]]="Regulatory and Guidance",FMS_Ranking4[[#This Row],[Rank (with ArcSinh normalization of select criteria)]],"")</f>
        <v>475</v>
      </c>
      <c r="CA482" s="200" t="str">
        <f>IF(FMS_Ranking4[[#This Row],[FMS Type]]="Education and Outreach",FMS_Ranking4[[#This Row],[Rank (with ArcSinh normalization of select criteria)]],"")</f>
        <v/>
      </c>
      <c r="CB482" s="200" t="str">
        <f>IF(FMS_Ranking4[[#This Row],[FMS Type]]="Property Acquisition and Structural Elevation",FMS_Ranking4[[#This Row],[Rank (with ArcSinh normalization of select criteria)]],"")</f>
        <v/>
      </c>
      <c r="CC482" s="200" t="str">
        <f>IF(FMS_Ranking4[[#This Row],[FMS Type]]="Infrastructure Projects",FMS_Ranking4[[#This Row],[Rank (with ArcSinh normalization of select criteria)]],"")</f>
        <v/>
      </c>
      <c r="CD482" s="200" t="str">
        <f>IF(FMS_Ranking4[[#This Row],[FMS Type]]="Other",FMS_Ranking4[[#This Row],[Rank (with ArcSinh normalization of select criteria)]],"")</f>
        <v/>
      </c>
      <c r="CE482" s="201"/>
      <c r="CF482" s="206"/>
      <c r="CG482" s="206"/>
      <c r="CH482" s="206"/>
      <c r="CI482" s="206"/>
      <c r="CJ482" s="206"/>
      <c r="CK482" s="206"/>
      <c r="CL482" s="206"/>
      <c r="CM482" s="206"/>
      <c r="CN482" s="206"/>
      <c r="CO482" s="206"/>
      <c r="CP482" s="206"/>
      <c r="CQ482" s="206"/>
      <c r="CR482" s="206"/>
    </row>
    <row r="483" spans="2:96" ht="75" x14ac:dyDescent="0.25">
      <c r="B483" s="341" t="s">
        <v>4109</v>
      </c>
      <c r="C483" s="246">
        <f>_xlfn.XLOOKUP(FMS_Ranking4[[#This Row],[FMS ID]],FMS_Input[FMS_ID],FMS_Input[RFPG_NUM])</f>
        <v>15</v>
      </c>
      <c r="D483" s="309" t="str">
        <f>_xlfn.XLOOKUP(FMS_Ranking4[[#This Row],[FMS ID]],FMS_Input[FMS_ID],FMS_Input[FMS_NAME])</f>
        <v>City of Progreso - Progreso Storm Ditch improvement Equipment</v>
      </c>
      <c r="E483" s="308" t="str">
        <f>_xlfn.XLOOKUP(FMS_Ranking4[[#This Row],[FMS ID]],FMS_Input[FMS_ID],FMS_Input[SPONSOR])</f>
        <v>15000070</v>
      </c>
      <c r="F483" s="309" t="str">
        <f>_xlfn.XLOOKUP(FMS_Ranking4[[#This Row],[FMS ID]],Sponsor[FMS_ID],Sponsor[SPONSOR NAME])</f>
        <v>Progreso</v>
      </c>
      <c r="G483" s="309" t="str">
        <f>_xlfn.XLOOKUP(FMS_Ranking4[[#This Row],[FMS ID]],FMS_Input[FMS_ID],FMS_Input[FMS_DESCR])</f>
        <v>Develop maintenance plan and identify funding strategy to acquire heavy equipment (dozer, long reach excavator) for ditch cleaning operations</v>
      </c>
      <c r="H483" s="248" t="str">
        <f>_xlfn.XLOOKUP(FMS_Ranking4[[#This Row],[FMS ID]],FMS_Input[FMS_ID],FMS_Input[FMS_TYPE])</f>
        <v>Other</v>
      </c>
      <c r="I483" s="249">
        <f>_xlfn.XLOOKUP(FMS_Ranking4[[#This Row],[FMS ID]],FMS_Input[FMS_ID],FMS_Input[NRNC_COST])</f>
        <v>50000</v>
      </c>
      <c r="J483" s="250">
        <f>_xlfn.XLOOKUP(FMS_Ranking4[[#This Row],[FMS ID]],FMS_Input[FMS_ID],FMS_Input[FMS_COST])</f>
        <v>50000</v>
      </c>
      <c r="K483" s="251" t="str">
        <f>_xlfn.XLOOKUP(FMS_Ranking4[[#This Row],[FMS ID]],FMS_Input[FMS_ID],FMS_Input[EMER_NEED])</f>
        <v>Yes</v>
      </c>
      <c r="L483" s="252">
        <f t="shared" si="7"/>
        <v>1</v>
      </c>
      <c r="M483" s="253">
        <f>_xlfn.XLOOKUP(FMS_Ranking4[[#This Row],[FMS ID]],FMS_Input[FMS_ID],FMS_Input[STRUCT_100])</f>
        <v>248</v>
      </c>
      <c r="N483" s="255">
        <f>(ASINH(FMS_Ranking4[[#This Row],[Structure at Risk Raw]]))*(10)/(ASINH(M$4))</f>
        <v>4.8792959930355293</v>
      </c>
      <c r="O483" s="256">
        <f>FMS_Ranking4[[#This Row],[Structures at risk, ArcSinh (0-10)]]*M$5*10</f>
        <v>4.8792959930355293</v>
      </c>
      <c r="P483" s="253">
        <f>_xlfn.XLOOKUP(FMS_Ranking4[[#This Row],[FMS ID]],FMS_Input[FMS_ID],FMS_Input[RES_STRUCT100])</f>
        <v>202</v>
      </c>
      <c r="Q483" s="257">
        <f>ASINH(FMS_Ranking4[[#This Row],[Res Structure Raw]])/Q$4*P$5*100</f>
        <v>0</v>
      </c>
      <c r="R483" s="253">
        <f>_xlfn.XLOOKUP(FMS_Ranking4[[#This Row],[FMS ID]],FMS_Input[FMS_ID],FMS_Input[POP100])</f>
        <v>811</v>
      </c>
      <c r="S483" s="255">
        <f>(ASINH(FMS_Ranking4[[#This Row],[Pop at Risk Raw]]))*(10)/(ASINH(R$4))</f>
        <v>5.1027245118055014</v>
      </c>
      <c r="T483" s="256">
        <f>FMS_Ranking4[[#This Row],[Population at risk, ArcSinh (0-10)]]*R$5*10</f>
        <v>5.1027245118055022</v>
      </c>
      <c r="U483" s="253">
        <f>_xlfn.XLOOKUP(FMS_Ranking4[[#This Row],[FMS ID]],FMS_Input[FMS_ID],FMS_Input[CRITFAC100])</f>
        <v>0</v>
      </c>
      <c r="V483" s="255">
        <f>(ASINH(FMS_Ranking4[[#This Row],[Critical Facilities Raw]]))*(10)/(ASINH(U$4))</f>
        <v>0</v>
      </c>
      <c r="W483" s="256">
        <f>FMS_Ranking4[[#This Row],[Critical facilities at risk, ArcSinh (0-10)]]*U$5*10</f>
        <v>0</v>
      </c>
      <c r="X483" s="253">
        <f>_xlfn.XLOOKUP(FMS_Ranking4[[#This Row],[FMS ID]],FMS_Input[FMS_ID],FMS_Input[LWC])</f>
        <v>46</v>
      </c>
      <c r="Y483" s="255">
        <f>(ASINH(FMS_Ranking4[[#This Row],[LWC Raw]]))*(10)/(ASINH(X$4))</f>
        <v>6.1259978398400747</v>
      </c>
      <c r="Z483" s="256">
        <f>FMS_Ranking4[[#This Row],[LWC, ArcSInh (0-10)]]*X$5*10</f>
        <v>6.1259978398400747</v>
      </c>
      <c r="AA483" s="253">
        <f>_xlfn.XLOOKUP(FMS_Ranking4[[#This Row],[FMS ID]],FMS_Input[FMS_ID],FMS_Input[ROADCLS])</f>
        <v>0</v>
      </c>
      <c r="AB483" s="255">
        <f>(ASINH(FMS_Ranking4[[#This Row],[Road Closures Raw]]))*(10)/(ASINH(AA$4))</f>
        <v>0</v>
      </c>
      <c r="AC483" s="256">
        <f>FMS_Ranking4[[#This Row],[Road closures, ArcSinh (0-10)]]*AA$5*10</f>
        <v>0</v>
      </c>
      <c r="AD483" s="253">
        <f>_xlfn.XLOOKUP(FMS_Ranking4[[#This Row],[FMS ID]],FMS_Input[FMS_ID],FMS_Input[ROAD_MILES100])</f>
        <v>4</v>
      </c>
      <c r="AE483" s="255">
        <f>(ASINH(FMS_Ranking4[[#This Row],[Road Miles Raw]]))*(10)/(ASINH(AD$4))</f>
        <v>2.2323872691766113</v>
      </c>
      <c r="AF483" s="256">
        <f>FMS_Ranking4[[#This Row],[Length of roads at risk, ArcSinh (0-10)]]*AD$5*10</f>
        <v>2.2323872691766113</v>
      </c>
      <c r="AG483" s="253">
        <f>_xlfn.XLOOKUP(FMS_Ranking4[[#This Row],[FMS ID]],FMS_Input[FMS_ID],FMS_Input[FARMACRE100])</f>
        <v>31.269968032836911</v>
      </c>
      <c r="AH483" s="255">
        <f>(ASINH(FMS_Ranking4[[#This Row],[Ag Land Raw]]))*(10)/(ASINH(AG$4))</f>
        <v>2.6867085197790823</v>
      </c>
      <c r="AI483" s="260">
        <f>FMS_Ranking4[[#This Row],[Farm &amp; ranch land, ArcSinh (0-10)]]*AG$5*10</f>
        <v>1.3433542598895412</v>
      </c>
      <c r="AJ483" s="258">
        <f>_xlfn.XLOOKUP(FMS_Ranking4[[#This Row],[FMS ID]],FMS_Input[FMS_ID],FMS_Input[REDSTRUCT100])</f>
        <v>0</v>
      </c>
      <c r="AK483" s="253">
        <f>_xlfn.XLOOKUP(FMS_Ranking4[[#This Row],[FMS ID]],FMS_Input[FMS_ID],FMS_Input[REMSTRC100])</f>
        <v>0</v>
      </c>
      <c r="AL483" s="255">
        <f>(ASINH(FMS_Ranking4[[#This Row],[Structures Removed Raw]]))*(10)/(ASINH(AK$4))</f>
        <v>0</v>
      </c>
      <c r="AM483" s="262">
        <f>FMS_Ranking4[[#This Row],[Structures removed, ArcSinh (0-10)]]*AK$5*10</f>
        <v>0</v>
      </c>
      <c r="AN483" s="253">
        <f>_xlfn.XLOOKUP(FMS_Ranking4[[#This Row],[FMS ID]],FMS_Input[FMS_ID],FMS_Input[REMRESSTRC100])</f>
        <v>0</v>
      </c>
      <c r="AO483" s="261">
        <f>FMS_Ranking4[[#This Row],[ArcSinh Res struct removed 0-10]]*AN$5*10</f>
        <v>0</v>
      </c>
      <c r="AP483" s="260">
        <f>ASINH(FMS_Ranking4[[#This Row],[Residential Structures Removed Raw]])/AP$4*AN$5*100</f>
        <v>0</v>
      </c>
      <c r="AQ483" s="258">
        <f>(ASINH(FMS_Ranking4[[#This Row],[Residential Structures Removed Raw]]))*(10)/(ASINH(AN$4))</f>
        <v>0</v>
      </c>
      <c r="AR483" s="253">
        <f>_xlfn.XLOOKUP(FMS_Ranking4[[#This Row],[FMS ID]],FMS_Input[FMS_ID],FMS_Input[REMPOP100])</f>
        <v>0</v>
      </c>
      <c r="AS483" s="255">
        <f>(ASINH(FMS_Ranking4[[#This Row],[Removed Pop Raw]]))*(10)/(ASINH(AR$4))</f>
        <v>0</v>
      </c>
      <c r="AT483" s="262">
        <f>FMS_Ranking4[[#This Row],[Removed population, ArcSinh (0-10)]]*AR$5*10</f>
        <v>0</v>
      </c>
      <c r="AU483" s="264">
        <f>_xlfn.XLOOKUP(FMS_Ranking4[[#This Row],[FMS ID]],FMS_Input[FMS_ID],FMS_Input[REMCRITFAC100])</f>
        <v>0</v>
      </c>
      <c r="AV483" s="264">
        <f>_xlfn.XLOOKUP(FMS_Ranking4[[#This Row],[FMS ID]],FMS_Input[FMS_ID],FMS_Input[REMLWC100])</f>
        <v>0</v>
      </c>
      <c r="AW483" s="264">
        <f>_xlfn.XLOOKUP(FMS_Ranking4[[#This Row],[FMS ID]],FMS_Input[FMS_ID],FMS_Input[REMROADCLS])</f>
        <v>0</v>
      </c>
      <c r="AX483" s="264">
        <f>_xlfn.XLOOKUP(FMS_Ranking4[[#This Row],[FMS ID]],FMS_Input[FMS_ID],FMS_Input[REMFRMACRE100])</f>
        <v>0</v>
      </c>
      <c r="AY483" s="258">
        <f>_xlfn.XLOOKUP(FMS_Ranking4[[#This Row],[FMS ID]],FMS_Input[FMS_ID],FMS_Input[COSTSTRUCT])</f>
        <v>0</v>
      </c>
      <c r="AZ483" s="253">
        <f>_xlfn.XLOOKUP(FMS_Ranking4[[#This Row],[FMS ID]],FMS_Input[FMS_ID],FMS_Input[NATURE])</f>
        <v>0</v>
      </c>
      <c r="BA483" s="262">
        <f>(((FMS_Ranking4[[#This Row],[% NBS Raw]]/AZ$4)*100)*AZ$5)</f>
        <v>0</v>
      </c>
      <c r="BB483" s="251" t="str">
        <f>_xlfn.XLOOKUP(FMS_Ranking4[[#This Row],[FMS ID]],FMS_Input[FMS_ID],FMS_Input[WATER_SUP])</f>
        <v>No</v>
      </c>
      <c r="BC483" s="265">
        <f>IF(FMS_Ranking4[[#This Row],[Water Supply Raw]]="Yes",10,0)</f>
        <v>0</v>
      </c>
      <c r="BD483" s="266">
        <f>_xlfn.XLOOKUP(FMS_Ranking4[[#This Row],[FMS Type]],FMS_TYPE[FMS_Type],FMS_TYPE[Score])</f>
        <v>2</v>
      </c>
      <c r="BE483" s="267">
        <f>FMS_Ranking4[[#This Row],[FMS_Type Score]]*$BD$5*10</f>
        <v>0.5</v>
      </c>
      <c r="BF48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0.6027783724546073</v>
      </c>
      <c r="BG483" s="321">
        <f>_xlfn.RANK.EQ(BF483,$BF$8:$BF$870,0)+COUNTIF($BF$8:BF483,BF483)-1</f>
        <v>195</v>
      </c>
      <c r="BH483" s="294">
        <f>(((FMS_Ranking4[[#This Row],[Structures Removed Raw]]/AK$4)*100)*AK$5)+(((FMS_Ranking4[[#This Row],[Removed Pop Raw]]/AR$4)*100)*AR$5)</f>
        <v>0</v>
      </c>
      <c r="BI48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1.1027783724546074</v>
      </c>
      <c r="BJ483" s="251">
        <f>_xlfn.RANK.EQ(FMS_Ranking4[[#This Row],[Total Score 
(with linear
normalization)]],FMS_Ranking4[Total Score 
(with linear
normalization)],0)</f>
        <v>678</v>
      </c>
      <c r="BK483" s="251" t="e">
        <f>_xlfn.XLOOKUP(FMS_Ranking4[[#This Row],[FMS ID]],#REF!,#REF!)</f>
        <v>#REF!</v>
      </c>
      <c r="BL48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19.68375987374726</v>
      </c>
      <c r="BM483" s="324">
        <f>FMS_Ranking4[[#This Row],[ArcSinh Score Based on Normalized Reported Factors]]+FMS_Ranking4[[#This Row],[% NBS Score (Normalized)]]+(FMS_Ranking4[[#This Row],[Water Supply Score (Normalized)]]*10*$BB$5)+FMS_Ranking4[[#This Row],[FMS_Type Score Weighted]]</f>
        <v>20.18375987374726</v>
      </c>
      <c r="BN483" s="251">
        <f>_xlfn.RANK.EQ(FMS_Ranking4[[#This Row],[Total Score (with ArcSinh normalization of select criteria)]],FMS_Ranking4[Total Score (with ArcSinh normalization of select criteria)],0)</f>
        <v>476</v>
      </c>
      <c r="BO483" s="270" t="str">
        <f>_xlfn.XLOOKUP(FMS_Ranking4[[#This Row],[FMS ID]],FMS_Input[FMS_ID],FMS_Input[FMS_RANK_YEAR])</f>
        <v>2023 Amended Plan</v>
      </c>
      <c r="BP483" s="204">
        <f>_xlfn.XLOOKUP(FMS_Ranking4[[#This Row],[FMS ID]],Prev_Rank[FMS ID],Prev_Rank[Prev Rank])</f>
        <v>432</v>
      </c>
      <c r="BQ483" s="251" t="e">
        <f>_xlfn.XLOOKUP(FMS_Ranking4[[#This Row],[FMS ID]],#REF!,#REF!)</f>
        <v>#REF!</v>
      </c>
      <c r="BR483" s="199" t="e">
        <f>SUM(#REF!,#REF!,#REF!,#REF!,#REF!,#REF!,#REF!,#REF!,#REF!,FMS_Ranking4[[#This Row],[ArcSinh Res struct removed 0-10]],#REF!)</f>
        <v>#REF!</v>
      </c>
      <c r="BS483" s="199" t="e">
        <f>FMS_Ranking4[[#This Row],[Log Score Based on Normalized Reported Factors]]+FMS_Ranking4[[#This Row],[% NBS Score (Normalized)]]+(FMS_Ranking4[[#This Row],[Water Supply Score (Normalized)]]*10*$BB$5)+(FMS_Ranking4[[#This Row],[FMS_Type Score Weighted]])</f>
        <v>#REF!</v>
      </c>
      <c r="BT483" s="200" t="e">
        <f>_xlfn.RANK.EQ(FMS_Ranking4[[#This Row],[Log Total Score]],FMS_Ranking4[Log Total Score],0)</f>
        <v>#REF!</v>
      </c>
      <c r="BU483" s="200" t="e">
        <f>_xlfn.XLOOKUP(FMS_Ranking4[[#This Row],[FMS ID]],#REF!,#REF!)</f>
        <v>#REF!</v>
      </c>
      <c r="BV483" s="200">
        <f>FMS_Ranking4[[#This Row],[Region Number]]</f>
        <v>15</v>
      </c>
      <c r="BW483" s="200">
        <f>FMS_Ranking4[[#This Row],[Rank (with ArcSinh normalization of select criteria)]]-FMS_Ranking4[[#This Row],[Rank
(with linear
normalization)]]</f>
        <v>-202</v>
      </c>
      <c r="BX483" s="200" t="e">
        <f>FMS_Ranking4[[#This Row],[Log Rank]]-FMS_Ranking4[[#This Row],[Rank
(with linear
normalization)]]</f>
        <v>#REF!</v>
      </c>
      <c r="BY483" s="200" t="str">
        <f>IF(FMS_Ranking4[[#This Row],[FMS Type]]="Flood Measurement and Warning",FMS_Ranking4[[#This Row],[Rank (with ArcSinh normalization of select criteria)]],"")</f>
        <v/>
      </c>
      <c r="BZ483" s="200" t="str">
        <f>IF(FMS_Ranking4[[#This Row],[FMS Type]]="Regulatory and Guidance",FMS_Ranking4[[#This Row],[Rank (with ArcSinh normalization of select criteria)]],"")</f>
        <v/>
      </c>
      <c r="CA483" s="200" t="str">
        <f>IF(FMS_Ranking4[[#This Row],[FMS Type]]="Education and Outreach",FMS_Ranking4[[#This Row],[Rank (with ArcSinh normalization of select criteria)]],"")</f>
        <v/>
      </c>
      <c r="CB483" s="200" t="str">
        <f>IF(FMS_Ranking4[[#This Row],[FMS Type]]="Property Acquisition and Structural Elevation",FMS_Ranking4[[#This Row],[Rank (with ArcSinh normalization of select criteria)]],"")</f>
        <v/>
      </c>
      <c r="CC483" s="200" t="str">
        <f>IF(FMS_Ranking4[[#This Row],[FMS Type]]="Infrastructure Projects",FMS_Ranking4[[#This Row],[Rank (with ArcSinh normalization of select criteria)]],"")</f>
        <v/>
      </c>
      <c r="CD483" s="200">
        <f>IF(FMS_Ranking4[[#This Row],[FMS Type]]="Other",FMS_Ranking4[[#This Row],[Rank (with ArcSinh normalization of select criteria)]],"")</f>
        <v>476</v>
      </c>
      <c r="CE483" s="201"/>
      <c r="CF483" s="206"/>
      <c r="CG483" s="206"/>
      <c r="CH483" s="206"/>
      <c r="CI483" s="206"/>
      <c r="CJ483" s="206"/>
      <c r="CK483" s="206"/>
      <c r="CL483" s="206"/>
      <c r="CM483" s="206"/>
      <c r="CN483" s="206"/>
      <c r="CO483" s="206"/>
      <c r="CP483" s="206"/>
      <c r="CQ483" s="206"/>
      <c r="CR483" s="206"/>
    </row>
    <row r="484" spans="2:96" ht="75" x14ac:dyDescent="0.25">
      <c r="B484" s="341" t="s">
        <v>3882</v>
      </c>
      <c r="C484" s="246">
        <f>_xlfn.XLOOKUP(FMS_Ranking4[[#This Row],[FMS ID]],FMS_Input[FMS_ID],FMS_Input[RFPG_NUM])</f>
        <v>15</v>
      </c>
      <c r="D484" s="309" t="str">
        <f>_xlfn.XLOOKUP(FMS_Ranking4[[#This Row],[FMS ID]],FMS_Input[FMS_ID],FMS_Input[FMS_NAME])</f>
        <v>Edcouch #5-1.1</v>
      </c>
      <c r="E484" s="308" t="str">
        <f>_xlfn.XLOOKUP(FMS_Ranking4[[#This Row],[FMS ID]],FMS_Input[FMS_ID],FMS_Input[SPONSOR])</f>
        <v>15000056</v>
      </c>
      <c r="F484" s="309" t="str">
        <f>_xlfn.XLOOKUP(FMS_Ranking4[[#This Row],[FMS ID]],Sponsor[FMS_ID],Sponsor[SPONSOR NAME])</f>
        <v>Edcouch</v>
      </c>
      <c r="G484" s="309" t="str">
        <f>_xlfn.XLOOKUP(FMS_Ranking4[[#This Row],[FMS ID]],FMS_Input[FMS_ID],FMS_Input[FMS_DESCR])</f>
        <v>Develop a Program To Provide Links To Weather Alerts And Departmental Phone Listings With Contact Personnel For Residents.</v>
      </c>
      <c r="H484" s="248" t="str">
        <f>_xlfn.XLOOKUP(FMS_Ranking4[[#This Row],[FMS ID]],FMS_Input[FMS_ID],FMS_Input[FMS_TYPE])</f>
        <v>Flood Measurement and Warning</v>
      </c>
      <c r="I484" s="249">
        <f>_xlfn.XLOOKUP(FMS_Ranking4[[#This Row],[FMS ID]],FMS_Input[FMS_ID],FMS_Input[NRNC_COST])</f>
        <v>1000</v>
      </c>
      <c r="J484" s="250">
        <f>_xlfn.XLOOKUP(FMS_Ranking4[[#This Row],[FMS ID]],FMS_Input[FMS_ID],FMS_Input[FMS_COST])</f>
        <v>2000</v>
      </c>
      <c r="K484" s="251" t="str">
        <f>_xlfn.XLOOKUP(FMS_Ranking4[[#This Row],[FMS ID]],FMS_Input[FMS_ID],FMS_Input[EMER_NEED])</f>
        <v>Yes</v>
      </c>
      <c r="L484" s="252">
        <f t="shared" si="7"/>
        <v>1</v>
      </c>
      <c r="M484" s="253">
        <f>_xlfn.XLOOKUP(FMS_Ranking4[[#This Row],[FMS ID]],FMS_Input[FMS_ID],FMS_Input[STRUCT_100])</f>
        <v>953</v>
      </c>
      <c r="N484" s="255">
        <f>(ASINH(FMS_Ranking4[[#This Row],[Structure at Risk Raw]]))*(10)/(ASINH(M$4))</f>
        <v>5.9375957721603756</v>
      </c>
      <c r="O484" s="256">
        <f>FMS_Ranking4[[#This Row],[Structures at risk, ArcSinh (0-10)]]*M$5*10</f>
        <v>5.9375957721603756</v>
      </c>
      <c r="P484" s="253">
        <f>_xlfn.XLOOKUP(FMS_Ranking4[[#This Row],[FMS ID]],FMS_Input[FMS_ID],FMS_Input[RES_STRUCT100])</f>
        <v>815</v>
      </c>
      <c r="Q484" s="257">
        <f>ASINH(FMS_Ranking4[[#This Row],[Res Structure Raw]])/Q$4*P$5*100</f>
        <v>0</v>
      </c>
      <c r="R484" s="253">
        <f>_xlfn.XLOOKUP(FMS_Ranking4[[#This Row],[FMS ID]],FMS_Input[FMS_ID],FMS_Input[POP100])</f>
        <v>3652</v>
      </c>
      <c r="S484" s="259">
        <f>(ASINH(FMS_Ranking4[[#This Row],[Pop at Risk Raw]]))*(10)/(ASINH(R$4))</f>
        <v>6.1415492045822422</v>
      </c>
      <c r="T484" s="256">
        <f>FMS_Ranking4[[#This Row],[Population at risk, ArcSinh (0-10)]]*R$5*10</f>
        <v>6.1415492045822431</v>
      </c>
      <c r="U484" s="253">
        <f>_xlfn.XLOOKUP(FMS_Ranking4[[#This Row],[FMS ID]],FMS_Input[FMS_ID],FMS_Input[CRITFAC100])</f>
        <v>0</v>
      </c>
      <c r="V484" s="259">
        <f>(ASINH(FMS_Ranking4[[#This Row],[Critical Facilities Raw]]))*(10)/(ASINH(U$4))</f>
        <v>0</v>
      </c>
      <c r="W484" s="256">
        <f>FMS_Ranking4[[#This Row],[Critical facilities at risk, ArcSinh (0-10)]]*U$5*10</f>
        <v>0</v>
      </c>
      <c r="X484" s="253">
        <f>_xlfn.XLOOKUP(FMS_Ranking4[[#This Row],[FMS ID]],FMS_Input[FMS_ID],FMS_Input[LWC])</f>
        <v>0</v>
      </c>
      <c r="Y484" s="259">
        <f>(ASINH(FMS_Ranking4[[#This Row],[LWC Raw]]))*(10)/(ASINH(X$4))</f>
        <v>0</v>
      </c>
      <c r="Z484" s="256">
        <f>FMS_Ranking4[[#This Row],[LWC, ArcSInh (0-10)]]*X$5*10</f>
        <v>0</v>
      </c>
      <c r="AA484" s="253">
        <f>_xlfn.XLOOKUP(FMS_Ranking4[[#This Row],[FMS ID]],FMS_Input[FMS_ID],FMS_Input[ROADCLS])</f>
        <v>0</v>
      </c>
      <c r="AB484" s="255">
        <f>(ASINH(FMS_Ranking4[[#This Row],[Road Closures Raw]]))*(10)/(ASINH(AA$4))</f>
        <v>0</v>
      </c>
      <c r="AC484" s="256">
        <f>FMS_Ranking4[[#This Row],[Road closures, ArcSinh (0-10)]]*AA$5*10</f>
        <v>0</v>
      </c>
      <c r="AD484" s="253">
        <f>_xlfn.XLOOKUP(FMS_Ranking4[[#This Row],[FMS ID]],FMS_Input[FMS_ID],FMS_Input[ROAD_MILES100])</f>
        <v>16</v>
      </c>
      <c r="AE484" s="259">
        <f>(ASINH(FMS_Ranking4[[#This Row],[Road Miles Raw]]))*(10)/(ASINH(AD$4))</f>
        <v>3.6945601901353586</v>
      </c>
      <c r="AF484" s="256">
        <f>FMS_Ranking4[[#This Row],[Length of roads at risk, ArcSinh (0-10)]]*AD$5*10</f>
        <v>3.6945601901353586</v>
      </c>
      <c r="AG484" s="253">
        <f>_xlfn.XLOOKUP(FMS_Ranking4[[#This Row],[FMS ID]],FMS_Input[FMS_ID],FMS_Input[FARMACRE100])</f>
        <v>168.09934997558591</v>
      </c>
      <c r="AH484" s="255">
        <f>(ASINH(FMS_Ranking4[[#This Row],[Ag Land Raw]]))*(10)/(ASINH(AG$4))</f>
        <v>3.779077390129129</v>
      </c>
      <c r="AI484" s="260">
        <f>FMS_Ranking4[[#This Row],[Farm &amp; ranch land, ArcSinh (0-10)]]*AG$5*10</f>
        <v>1.8895386950645645</v>
      </c>
      <c r="AJ484" s="258">
        <f>_xlfn.XLOOKUP(FMS_Ranking4[[#This Row],[FMS ID]],FMS_Input[FMS_ID],FMS_Input[REDSTRUCT100])</f>
        <v>0</v>
      </c>
      <c r="AK484" s="253">
        <f>_xlfn.XLOOKUP(FMS_Ranking4[[#This Row],[FMS ID]],FMS_Input[FMS_ID],FMS_Input[REMSTRC100])</f>
        <v>0</v>
      </c>
      <c r="AL484" s="259">
        <f>(ASINH(FMS_Ranking4[[#This Row],[Structures Removed Raw]]))*(10)/(ASINH(AK$4))</f>
        <v>0</v>
      </c>
      <c r="AM484" s="262">
        <f>FMS_Ranking4[[#This Row],[Structures removed, ArcSinh (0-10)]]*AK$5*10</f>
        <v>0</v>
      </c>
      <c r="AN484" s="253">
        <f>_xlfn.XLOOKUP(FMS_Ranking4[[#This Row],[FMS ID]],FMS_Input[FMS_ID],FMS_Input[REMRESSTRC100])</f>
        <v>0</v>
      </c>
      <c r="AO484" s="261">
        <f>FMS_Ranking4[[#This Row],[ArcSinh Res struct removed 0-10]]*AN$5*10</f>
        <v>0</v>
      </c>
      <c r="AP484" s="260">
        <f>ASINH(FMS_Ranking4[[#This Row],[Residential Structures Removed Raw]])/AP$4*AN$5*100</f>
        <v>0</v>
      </c>
      <c r="AQ484" s="254">
        <f>(ASINH(FMS_Ranking4[[#This Row],[Residential Structures Removed Raw]]))*(10)/(ASINH(AN$4))</f>
        <v>0</v>
      </c>
      <c r="AR484" s="253">
        <f>_xlfn.XLOOKUP(FMS_Ranking4[[#This Row],[FMS ID]],FMS_Input[FMS_ID],FMS_Input[REMPOP100])</f>
        <v>0</v>
      </c>
      <c r="AS484" s="259">
        <f>(ASINH(FMS_Ranking4[[#This Row],[Removed Pop Raw]]))*(10)/(ASINH(AR$4))</f>
        <v>0</v>
      </c>
      <c r="AT484" s="262">
        <f>FMS_Ranking4[[#This Row],[Removed population, ArcSinh (0-10)]]*AR$5*10</f>
        <v>0</v>
      </c>
      <c r="AU484" s="264">
        <f>_xlfn.XLOOKUP(FMS_Ranking4[[#This Row],[FMS ID]],FMS_Input[FMS_ID],FMS_Input[REMCRITFAC100])</f>
        <v>0</v>
      </c>
      <c r="AV484" s="264">
        <f>_xlfn.XLOOKUP(FMS_Ranking4[[#This Row],[FMS ID]],FMS_Input[FMS_ID],FMS_Input[REMLWC100])</f>
        <v>0</v>
      </c>
      <c r="AW484" s="264">
        <f>_xlfn.XLOOKUP(FMS_Ranking4[[#This Row],[FMS ID]],FMS_Input[FMS_ID],FMS_Input[REMROADCLS])</f>
        <v>0</v>
      </c>
      <c r="AX484" s="264">
        <f>_xlfn.XLOOKUP(FMS_Ranking4[[#This Row],[FMS ID]],FMS_Input[FMS_ID],FMS_Input[REMFRMACRE100])</f>
        <v>0</v>
      </c>
      <c r="AY484" s="258">
        <f>_xlfn.XLOOKUP(FMS_Ranking4[[#This Row],[FMS ID]],FMS_Input[FMS_ID],FMS_Input[COSTSTRUCT])</f>
        <v>0</v>
      </c>
      <c r="AZ484" s="253">
        <f>_xlfn.XLOOKUP(FMS_Ranking4[[#This Row],[FMS ID]],FMS_Input[FMS_ID],FMS_Input[NATURE])</f>
        <v>0</v>
      </c>
      <c r="BA484" s="262">
        <f>(((FMS_Ranking4[[#This Row],[% NBS Raw]]/AZ$4)*100)*AZ$5)</f>
        <v>0</v>
      </c>
      <c r="BB484" s="251" t="str">
        <f>_xlfn.XLOOKUP(FMS_Ranking4[[#This Row],[FMS ID]],FMS_Input[FMS_ID],FMS_Input[WATER_SUP])</f>
        <v>No</v>
      </c>
      <c r="BC484" s="265">
        <f>IF(FMS_Ranking4[[#This Row],[Water Supply Raw]]="Yes",10,0)</f>
        <v>0</v>
      </c>
      <c r="BD484" s="266">
        <f>_xlfn.XLOOKUP(FMS_Ranking4[[#This Row],[FMS Type]],FMS_TYPE[FMS_Type],FMS_TYPE[Score])</f>
        <v>10</v>
      </c>
      <c r="BE484" s="267">
        <f>FMS_Ranking4[[#This Row],[FMS_Type Score]]*$BD$5*10</f>
        <v>2.5</v>
      </c>
      <c r="BF48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0.12163946125308578</v>
      </c>
      <c r="BG484" s="271">
        <f>_xlfn.RANK.EQ(BF484,$BF$8:$BF$870,0)+COUNTIF($BF$8:BF484,BF484)-1</f>
        <v>456</v>
      </c>
      <c r="BH484" s="268">
        <f>(((FMS_Ranking4[[#This Row],[Structures Removed Raw]]/AK$4)*100)*AK$5)+(((FMS_Ranking4[[#This Row],[Removed Pop Raw]]/AR$4)*100)*AR$5)</f>
        <v>0</v>
      </c>
      <c r="BI48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2.6216394612530856</v>
      </c>
      <c r="BJ484" s="205">
        <f>_xlfn.RANK.EQ(FMS_Ranking4[[#This Row],[Total Score 
(with linear
normalization)]],FMS_Ranking4[Total Score 
(with linear
normalization)],0)</f>
        <v>218</v>
      </c>
      <c r="BK484" s="205" t="e">
        <f>_xlfn.XLOOKUP(FMS_Ranking4[[#This Row],[FMS ID]],#REF!,#REF!)</f>
        <v>#REF!</v>
      </c>
      <c r="BL48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17.663243861942544</v>
      </c>
      <c r="BM484" s="272">
        <f>FMS_Ranking4[[#This Row],[ArcSinh Score Based on Normalized Reported Factors]]+FMS_Ranking4[[#This Row],[% NBS Score (Normalized)]]+(FMS_Ranking4[[#This Row],[Water Supply Score (Normalized)]]*10*$BB$5)+FMS_Ranking4[[#This Row],[FMS_Type Score Weighted]]</f>
        <v>20.163243861942544</v>
      </c>
      <c r="BN484" s="205">
        <f>_xlfn.RANK.EQ(FMS_Ranking4[[#This Row],[Total Score (with ArcSinh normalization of select criteria)]],FMS_Ranking4[Total Score (with ArcSinh normalization of select criteria)],0)</f>
        <v>477</v>
      </c>
      <c r="BO484" s="270" t="str">
        <f>_xlfn.XLOOKUP(FMS_Ranking4[[#This Row],[FMS ID]],FMS_Input[FMS_ID],FMS_Input[FMS_RANK_YEAR])</f>
        <v>2023 Amended Plan</v>
      </c>
      <c r="BP484" s="204">
        <f>_xlfn.XLOOKUP(FMS_Ranking4[[#This Row],[FMS ID]],Prev_Rank[FMS ID],Prev_Rank[Prev Rank])</f>
        <v>427</v>
      </c>
      <c r="BQ484" s="205" t="e">
        <f>_xlfn.XLOOKUP(FMS_Ranking4[[#This Row],[FMS ID]],#REF!,#REF!)</f>
        <v>#REF!</v>
      </c>
      <c r="BR484" s="199" t="e">
        <f>SUM(#REF!,#REF!,#REF!,#REF!,#REF!,#REF!,#REF!,#REF!,#REF!,FMS_Ranking4[[#This Row],[ArcSinh Res struct removed 0-10]],#REF!)</f>
        <v>#REF!</v>
      </c>
      <c r="BS484" s="199" t="e">
        <f>FMS_Ranking4[[#This Row],[Log Score Based on Normalized Reported Factors]]+FMS_Ranking4[[#This Row],[% NBS Score (Normalized)]]+(FMS_Ranking4[[#This Row],[Water Supply Score (Normalized)]]*10*$BB$5)+(FMS_Ranking4[[#This Row],[FMS_Type Score Weighted]])</f>
        <v>#REF!</v>
      </c>
      <c r="BT484" s="200" t="e">
        <f>_xlfn.RANK.EQ(FMS_Ranking4[[#This Row],[Log Total Score]],FMS_Ranking4[Log Total Score],0)</f>
        <v>#REF!</v>
      </c>
      <c r="BU484" s="200" t="e">
        <f>_xlfn.XLOOKUP(FMS_Ranking4[[#This Row],[FMS ID]],#REF!,#REF!)</f>
        <v>#REF!</v>
      </c>
      <c r="BV484" s="200">
        <f>FMS_Ranking4[[#This Row],[Region Number]]</f>
        <v>15</v>
      </c>
      <c r="BW484" s="200">
        <f>FMS_Ranking4[[#This Row],[Rank (with ArcSinh normalization of select criteria)]]-FMS_Ranking4[[#This Row],[Rank
(with linear
normalization)]]</f>
        <v>259</v>
      </c>
      <c r="BX484" s="200" t="e">
        <f>FMS_Ranking4[[#This Row],[Log Rank]]-FMS_Ranking4[[#This Row],[Rank
(with linear
normalization)]]</f>
        <v>#REF!</v>
      </c>
      <c r="BY484" s="200">
        <f>IF(FMS_Ranking4[[#This Row],[FMS Type]]="Flood Measurement and Warning",FMS_Ranking4[[#This Row],[Rank (with ArcSinh normalization of select criteria)]],"")</f>
        <v>477</v>
      </c>
      <c r="BZ484" s="200" t="str">
        <f>IF(FMS_Ranking4[[#This Row],[FMS Type]]="Regulatory and Guidance",FMS_Ranking4[[#This Row],[Rank (with ArcSinh normalization of select criteria)]],"")</f>
        <v/>
      </c>
      <c r="CA484" s="200" t="str">
        <f>IF(FMS_Ranking4[[#This Row],[FMS Type]]="Education and Outreach",FMS_Ranking4[[#This Row],[Rank (with ArcSinh normalization of select criteria)]],"")</f>
        <v/>
      </c>
      <c r="CB484" s="200" t="str">
        <f>IF(FMS_Ranking4[[#This Row],[FMS Type]]="Property Acquisition and Structural Elevation",FMS_Ranking4[[#This Row],[Rank (with ArcSinh normalization of select criteria)]],"")</f>
        <v/>
      </c>
      <c r="CC484" s="200" t="str">
        <f>IF(FMS_Ranking4[[#This Row],[FMS Type]]="Infrastructure Projects",FMS_Ranking4[[#This Row],[Rank (with ArcSinh normalization of select criteria)]],"")</f>
        <v/>
      </c>
      <c r="CD484" s="200" t="str">
        <f>IF(FMS_Ranking4[[#This Row],[FMS Type]]="Other",FMS_Ranking4[[#This Row],[Rank (with ArcSinh normalization of select criteria)]],"")</f>
        <v/>
      </c>
      <c r="CE484" s="201"/>
      <c r="CF484" s="206"/>
      <c r="CG484" s="206"/>
      <c r="CH484" s="206"/>
      <c r="CI484" s="206"/>
      <c r="CJ484" s="206"/>
      <c r="CK484" s="206"/>
      <c r="CL484" s="206"/>
      <c r="CM484" s="206"/>
      <c r="CN484" s="206"/>
      <c r="CO484" s="206"/>
      <c r="CP484" s="206"/>
      <c r="CQ484" s="206"/>
      <c r="CR484" s="206"/>
    </row>
    <row r="485" spans="2:96" ht="60" x14ac:dyDescent="0.25">
      <c r="B485" s="341" t="s">
        <v>3884</v>
      </c>
      <c r="C485" s="246">
        <f>_xlfn.XLOOKUP(FMS_Ranking4[[#This Row],[FMS ID]],FMS_Input[FMS_ID],FMS_Input[RFPG_NUM])</f>
        <v>15</v>
      </c>
      <c r="D485" s="309" t="str">
        <f>_xlfn.XLOOKUP(FMS_Ranking4[[#This Row],[FMS ID]],FMS_Input[FMS_ID],FMS_Input[FMS_NAME])</f>
        <v>Edcouch #7-1.1</v>
      </c>
      <c r="E485" s="308" t="str">
        <f>_xlfn.XLOOKUP(FMS_Ranking4[[#This Row],[FMS ID]],FMS_Input[FMS_ID],FMS_Input[SPONSOR])</f>
        <v>15000056</v>
      </c>
      <c r="F485" s="309" t="str">
        <f>_xlfn.XLOOKUP(FMS_Ranking4[[#This Row],[FMS ID]],Sponsor[FMS_ID],Sponsor[SPONSOR NAME])</f>
        <v>Edcouch</v>
      </c>
      <c r="G485" s="309" t="str">
        <f>_xlfn.XLOOKUP(FMS_Ranking4[[#This Row],[FMS ID]],FMS_Input[FMS_ID],FMS_Input[FMS_DESCR])</f>
        <v>Develop Procedures For Mass Notifications To Citizens And Merchants During Natural Hazard Incident.</v>
      </c>
      <c r="H485" s="248" t="str">
        <f>_xlfn.XLOOKUP(FMS_Ranking4[[#This Row],[FMS ID]],FMS_Input[FMS_ID],FMS_Input[FMS_TYPE])</f>
        <v>Flood Measurement and Warning</v>
      </c>
      <c r="I485" s="249">
        <f>_xlfn.XLOOKUP(FMS_Ranking4[[#This Row],[FMS ID]],FMS_Input[FMS_ID],FMS_Input[NRNC_COST])</f>
        <v>1000</v>
      </c>
      <c r="J485" s="250">
        <f>_xlfn.XLOOKUP(FMS_Ranking4[[#This Row],[FMS ID]],FMS_Input[FMS_ID],FMS_Input[FMS_COST])</f>
        <v>25000</v>
      </c>
      <c r="K485" s="251" t="str">
        <f>_xlfn.XLOOKUP(FMS_Ranking4[[#This Row],[FMS ID]],FMS_Input[FMS_ID],FMS_Input[EMER_NEED])</f>
        <v>Yes</v>
      </c>
      <c r="L485" s="252">
        <f t="shared" si="7"/>
        <v>1</v>
      </c>
      <c r="M485" s="253">
        <f>_xlfn.XLOOKUP(FMS_Ranking4[[#This Row],[FMS ID]],FMS_Input[FMS_ID],FMS_Input[STRUCT_100])</f>
        <v>953</v>
      </c>
      <c r="N485" s="255">
        <f>(ASINH(FMS_Ranking4[[#This Row],[Structure at Risk Raw]]))*(10)/(ASINH(M$4))</f>
        <v>5.9375957721603756</v>
      </c>
      <c r="O485" s="256">
        <f>FMS_Ranking4[[#This Row],[Structures at risk, ArcSinh (0-10)]]*M$5*10</f>
        <v>5.9375957721603756</v>
      </c>
      <c r="P485" s="253">
        <f>_xlfn.XLOOKUP(FMS_Ranking4[[#This Row],[FMS ID]],FMS_Input[FMS_ID],FMS_Input[RES_STRUCT100])</f>
        <v>815</v>
      </c>
      <c r="Q485" s="257">
        <f>ASINH(FMS_Ranking4[[#This Row],[Res Structure Raw]])/Q$4*P$5*100</f>
        <v>0</v>
      </c>
      <c r="R485" s="253">
        <f>_xlfn.XLOOKUP(FMS_Ranking4[[#This Row],[FMS ID]],FMS_Input[FMS_ID],FMS_Input[POP100])</f>
        <v>3652</v>
      </c>
      <c r="S485" s="259">
        <f>(ASINH(FMS_Ranking4[[#This Row],[Pop at Risk Raw]]))*(10)/(ASINH(R$4))</f>
        <v>6.1415492045822422</v>
      </c>
      <c r="T485" s="256">
        <f>FMS_Ranking4[[#This Row],[Population at risk, ArcSinh (0-10)]]*R$5*10</f>
        <v>6.1415492045822431</v>
      </c>
      <c r="U485" s="253">
        <f>_xlfn.XLOOKUP(FMS_Ranking4[[#This Row],[FMS ID]],FMS_Input[FMS_ID],FMS_Input[CRITFAC100])</f>
        <v>0</v>
      </c>
      <c r="V485" s="259">
        <f>(ASINH(FMS_Ranking4[[#This Row],[Critical Facilities Raw]]))*(10)/(ASINH(U$4))</f>
        <v>0</v>
      </c>
      <c r="W485" s="256">
        <f>FMS_Ranking4[[#This Row],[Critical facilities at risk, ArcSinh (0-10)]]*U$5*10</f>
        <v>0</v>
      </c>
      <c r="X485" s="253">
        <f>_xlfn.XLOOKUP(FMS_Ranking4[[#This Row],[FMS ID]],FMS_Input[FMS_ID],FMS_Input[LWC])</f>
        <v>0</v>
      </c>
      <c r="Y485" s="259">
        <f>(ASINH(FMS_Ranking4[[#This Row],[LWC Raw]]))*(10)/(ASINH(X$4))</f>
        <v>0</v>
      </c>
      <c r="Z485" s="256">
        <f>FMS_Ranking4[[#This Row],[LWC, ArcSInh (0-10)]]*X$5*10</f>
        <v>0</v>
      </c>
      <c r="AA485" s="253">
        <f>_xlfn.XLOOKUP(FMS_Ranking4[[#This Row],[FMS ID]],FMS_Input[FMS_ID],FMS_Input[ROADCLS])</f>
        <v>0</v>
      </c>
      <c r="AB485" s="255">
        <f>(ASINH(FMS_Ranking4[[#This Row],[Road Closures Raw]]))*(10)/(ASINH(AA$4))</f>
        <v>0</v>
      </c>
      <c r="AC485" s="256">
        <f>FMS_Ranking4[[#This Row],[Road closures, ArcSinh (0-10)]]*AA$5*10</f>
        <v>0</v>
      </c>
      <c r="AD485" s="253">
        <f>_xlfn.XLOOKUP(FMS_Ranking4[[#This Row],[FMS ID]],FMS_Input[FMS_ID],FMS_Input[ROAD_MILES100])</f>
        <v>16</v>
      </c>
      <c r="AE485" s="259">
        <f>(ASINH(FMS_Ranking4[[#This Row],[Road Miles Raw]]))*(10)/(ASINH(AD$4))</f>
        <v>3.6945601901353586</v>
      </c>
      <c r="AF485" s="256">
        <f>FMS_Ranking4[[#This Row],[Length of roads at risk, ArcSinh (0-10)]]*AD$5*10</f>
        <v>3.6945601901353586</v>
      </c>
      <c r="AG485" s="253">
        <f>_xlfn.XLOOKUP(FMS_Ranking4[[#This Row],[FMS ID]],FMS_Input[FMS_ID],FMS_Input[FARMACRE100])</f>
        <v>168.09934997558591</v>
      </c>
      <c r="AH485" s="255">
        <f>(ASINH(FMS_Ranking4[[#This Row],[Ag Land Raw]]))*(10)/(ASINH(AG$4))</f>
        <v>3.779077390129129</v>
      </c>
      <c r="AI485" s="260">
        <f>FMS_Ranking4[[#This Row],[Farm &amp; ranch land, ArcSinh (0-10)]]*AG$5*10</f>
        <v>1.8895386950645645</v>
      </c>
      <c r="AJ485" s="258">
        <f>_xlfn.XLOOKUP(FMS_Ranking4[[#This Row],[FMS ID]],FMS_Input[FMS_ID],FMS_Input[REDSTRUCT100])</f>
        <v>0</v>
      </c>
      <c r="AK485" s="253">
        <f>_xlfn.XLOOKUP(FMS_Ranking4[[#This Row],[FMS ID]],FMS_Input[FMS_ID],FMS_Input[REMSTRC100])</f>
        <v>0</v>
      </c>
      <c r="AL485" s="259">
        <f>(ASINH(FMS_Ranking4[[#This Row],[Structures Removed Raw]]))*(10)/(ASINH(AK$4))</f>
        <v>0</v>
      </c>
      <c r="AM485" s="262">
        <f>FMS_Ranking4[[#This Row],[Structures removed, ArcSinh (0-10)]]*AK$5*10</f>
        <v>0</v>
      </c>
      <c r="AN485" s="253">
        <f>_xlfn.XLOOKUP(FMS_Ranking4[[#This Row],[FMS ID]],FMS_Input[FMS_ID],FMS_Input[REMRESSTRC100])</f>
        <v>0</v>
      </c>
      <c r="AO485" s="261">
        <f>FMS_Ranking4[[#This Row],[ArcSinh Res struct removed 0-10]]*AN$5*10</f>
        <v>0</v>
      </c>
      <c r="AP485" s="260">
        <f>ASINH(FMS_Ranking4[[#This Row],[Residential Structures Removed Raw]])/AP$4*AN$5*100</f>
        <v>0</v>
      </c>
      <c r="AQ485" s="254">
        <f>(ASINH(FMS_Ranking4[[#This Row],[Residential Structures Removed Raw]]))*(10)/(ASINH(AN$4))</f>
        <v>0</v>
      </c>
      <c r="AR485" s="253">
        <f>_xlfn.XLOOKUP(FMS_Ranking4[[#This Row],[FMS ID]],FMS_Input[FMS_ID],FMS_Input[REMPOP100])</f>
        <v>0</v>
      </c>
      <c r="AS485" s="259">
        <f>(ASINH(FMS_Ranking4[[#This Row],[Removed Pop Raw]]))*(10)/(ASINH(AR$4))</f>
        <v>0</v>
      </c>
      <c r="AT485" s="262">
        <f>FMS_Ranking4[[#This Row],[Removed population, ArcSinh (0-10)]]*AR$5*10</f>
        <v>0</v>
      </c>
      <c r="AU485" s="264">
        <f>_xlfn.XLOOKUP(FMS_Ranking4[[#This Row],[FMS ID]],FMS_Input[FMS_ID],FMS_Input[REMCRITFAC100])</f>
        <v>0</v>
      </c>
      <c r="AV485" s="264">
        <f>_xlfn.XLOOKUP(FMS_Ranking4[[#This Row],[FMS ID]],FMS_Input[FMS_ID],FMS_Input[REMLWC100])</f>
        <v>0</v>
      </c>
      <c r="AW485" s="264">
        <f>_xlfn.XLOOKUP(FMS_Ranking4[[#This Row],[FMS ID]],FMS_Input[FMS_ID],FMS_Input[REMROADCLS])</f>
        <v>0</v>
      </c>
      <c r="AX485" s="264">
        <f>_xlfn.XLOOKUP(FMS_Ranking4[[#This Row],[FMS ID]],FMS_Input[FMS_ID],FMS_Input[REMFRMACRE100])</f>
        <v>0</v>
      </c>
      <c r="AY485" s="258">
        <f>_xlfn.XLOOKUP(FMS_Ranking4[[#This Row],[FMS ID]],FMS_Input[FMS_ID],FMS_Input[COSTSTRUCT])</f>
        <v>0</v>
      </c>
      <c r="AZ485" s="253">
        <f>_xlfn.XLOOKUP(FMS_Ranking4[[#This Row],[FMS ID]],FMS_Input[FMS_ID],FMS_Input[NATURE])</f>
        <v>0</v>
      </c>
      <c r="BA485" s="262">
        <f>(((FMS_Ranking4[[#This Row],[% NBS Raw]]/AZ$4)*100)*AZ$5)</f>
        <v>0</v>
      </c>
      <c r="BB485" s="251" t="str">
        <f>_xlfn.XLOOKUP(FMS_Ranking4[[#This Row],[FMS ID]],FMS_Input[FMS_ID],FMS_Input[WATER_SUP])</f>
        <v>No</v>
      </c>
      <c r="BC485" s="265">
        <f>IF(FMS_Ranking4[[#This Row],[Water Supply Raw]]="Yes",10,0)</f>
        <v>0</v>
      </c>
      <c r="BD485" s="266">
        <f>_xlfn.XLOOKUP(FMS_Ranking4[[#This Row],[FMS Type]],FMS_TYPE[FMS_Type],FMS_TYPE[Score])</f>
        <v>10</v>
      </c>
      <c r="BE485" s="267">
        <f>FMS_Ranking4[[#This Row],[FMS_Type Score]]*$BD$5*10</f>
        <v>2.5</v>
      </c>
      <c r="BF48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0.12163946125308578</v>
      </c>
      <c r="BG485" s="271">
        <f>_xlfn.RANK.EQ(BF485,$BF$8:$BF$870,0)+COUNTIF($BF$8:BF485,BF485)-1</f>
        <v>457</v>
      </c>
      <c r="BH485" s="268">
        <f>(((FMS_Ranking4[[#This Row],[Structures Removed Raw]]/AK$4)*100)*AK$5)+(((FMS_Ranking4[[#This Row],[Removed Pop Raw]]/AR$4)*100)*AR$5)</f>
        <v>0</v>
      </c>
      <c r="BI48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2.6216394612530856</v>
      </c>
      <c r="BJ485" s="205">
        <f>_xlfn.RANK.EQ(FMS_Ranking4[[#This Row],[Total Score 
(with linear
normalization)]],FMS_Ranking4[Total Score 
(with linear
normalization)],0)</f>
        <v>218</v>
      </c>
      <c r="BK485" s="205" t="e">
        <f>_xlfn.XLOOKUP(FMS_Ranking4[[#This Row],[FMS ID]],#REF!,#REF!)</f>
        <v>#REF!</v>
      </c>
      <c r="BL48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17.663243861942544</v>
      </c>
      <c r="BM485" s="272">
        <f>FMS_Ranking4[[#This Row],[ArcSinh Score Based on Normalized Reported Factors]]+FMS_Ranking4[[#This Row],[% NBS Score (Normalized)]]+(FMS_Ranking4[[#This Row],[Water Supply Score (Normalized)]]*10*$BB$5)+FMS_Ranking4[[#This Row],[FMS_Type Score Weighted]]</f>
        <v>20.163243861942544</v>
      </c>
      <c r="BN485" s="205">
        <f>_xlfn.RANK.EQ(FMS_Ranking4[[#This Row],[Total Score (with ArcSinh normalization of select criteria)]],FMS_Ranking4[Total Score (with ArcSinh normalization of select criteria)],0)</f>
        <v>477</v>
      </c>
      <c r="BO485" s="270" t="str">
        <f>_xlfn.XLOOKUP(FMS_Ranking4[[#This Row],[FMS ID]],FMS_Input[FMS_ID],FMS_Input[FMS_RANK_YEAR])</f>
        <v>2023 Amended Plan</v>
      </c>
      <c r="BP485" s="204">
        <f>_xlfn.XLOOKUP(FMS_Ranking4[[#This Row],[FMS ID]],Prev_Rank[FMS ID],Prev_Rank[Prev Rank])</f>
        <v>427</v>
      </c>
      <c r="BQ485" s="205" t="e">
        <f>_xlfn.XLOOKUP(FMS_Ranking4[[#This Row],[FMS ID]],#REF!,#REF!)</f>
        <v>#REF!</v>
      </c>
      <c r="BR485" s="199" t="e">
        <f>SUM(#REF!,#REF!,#REF!,#REF!,#REF!,#REF!,#REF!,#REF!,#REF!,FMS_Ranking4[[#This Row],[ArcSinh Res struct removed 0-10]],#REF!)</f>
        <v>#REF!</v>
      </c>
      <c r="BS485" s="199" t="e">
        <f>FMS_Ranking4[[#This Row],[Log Score Based on Normalized Reported Factors]]+FMS_Ranking4[[#This Row],[% NBS Score (Normalized)]]+(FMS_Ranking4[[#This Row],[Water Supply Score (Normalized)]]*10*$BB$5)+(FMS_Ranking4[[#This Row],[FMS_Type Score Weighted]])</f>
        <v>#REF!</v>
      </c>
      <c r="BT485" s="200" t="e">
        <f>_xlfn.RANK.EQ(FMS_Ranking4[[#This Row],[Log Total Score]],FMS_Ranking4[Log Total Score],0)</f>
        <v>#REF!</v>
      </c>
      <c r="BU485" s="200" t="e">
        <f>_xlfn.XLOOKUP(FMS_Ranking4[[#This Row],[FMS ID]],#REF!,#REF!)</f>
        <v>#REF!</v>
      </c>
      <c r="BV485" s="200">
        <f>FMS_Ranking4[[#This Row],[Region Number]]</f>
        <v>15</v>
      </c>
      <c r="BW485" s="200">
        <f>FMS_Ranking4[[#This Row],[Rank (with ArcSinh normalization of select criteria)]]-FMS_Ranking4[[#This Row],[Rank
(with linear
normalization)]]</f>
        <v>259</v>
      </c>
      <c r="BX485" s="200" t="e">
        <f>FMS_Ranking4[[#This Row],[Log Rank]]-FMS_Ranking4[[#This Row],[Rank
(with linear
normalization)]]</f>
        <v>#REF!</v>
      </c>
      <c r="BY485" s="200">
        <f>IF(FMS_Ranking4[[#This Row],[FMS Type]]="Flood Measurement and Warning",FMS_Ranking4[[#This Row],[Rank (with ArcSinh normalization of select criteria)]],"")</f>
        <v>477</v>
      </c>
      <c r="BZ485" s="200" t="str">
        <f>IF(FMS_Ranking4[[#This Row],[FMS Type]]="Regulatory and Guidance",FMS_Ranking4[[#This Row],[Rank (with ArcSinh normalization of select criteria)]],"")</f>
        <v/>
      </c>
      <c r="CA485" s="200" t="str">
        <f>IF(FMS_Ranking4[[#This Row],[FMS Type]]="Education and Outreach",FMS_Ranking4[[#This Row],[Rank (with ArcSinh normalization of select criteria)]],"")</f>
        <v/>
      </c>
      <c r="CB485" s="200" t="str">
        <f>IF(FMS_Ranking4[[#This Row],[FMS Type]]="Property Acquisition and Structural Elevation",FMS_Ranking4[[#This Row],[Rank (with ArcSinh normalization of select criteria)]],"")</f>
        <v/>
      </c>
      <c r="CC485" s="200" t="str">
        <f>IF(FMS_Ranking4[[#This Row],[FMS Type]]="Infrastructure Projects",FMS_Ranking4[[#This Row],[Rank (with ArcSinh normalization of select criteria)]],"")</f>
        <v/>
      </c>
      <c r="CD485" s="200" t="str">
        <f>IF(FMS_Ranking4[[#This Row],[FMS Type]]="Other",FMS_Ranking4[[#This Row],[Rank (with ArcSinh normalization of select criteria)]],"")</f>
        <v/>
      </c>
      <c r="CE485" s="201"/>
      <c r="CF485" s="206"/>
      <c r="CG485" s="206"/>
      <c r="CH485" s="206"/>
      <c r="CI485" s="206"/>
      <c r="CJ485" s="206"/>
      <c r="CK485" s="206"/>
      <c r="CL485" s="206"/>
      <c r="CM485" s="206"/>
      <c r="CN485" s="206"/>
      <c r="CO485" s="206"/>
      <c r="CP485" s="206"/>
      <c r="CQ485" s="206"/>
      <c r="CR485" s="206"/>
    </row>
    <row r="486" spans="2:96" ht="60" x14ac:dyDescent="0.25">
      <c r="B486" s="341" t="s">
        <v>3973</v>
      </c>
      <c r="C486" s="246">
        <f>_xlfn.XLOOKUP(FMS_Ranking4[[#This Row],[FMS ID]],FMS_Input[FMS_ID],FMS_Input[RFPG_NUM])</f>
        <v>15</v>
      </c>
      <c r="D486" s="309" t="str">
        <f>_xlfn.XLOOKUP(FMS_Ranking4[[#This Row],[FMS ID]],FMS_Input[FMS_ID],FMS_Input[FMS_NAME])</f>
        <v>Primera Action #8</v>
      </c>
      <c r="E486" s="308" t="str">
        <f>_xlfn.XLOOKUP(FMS_Ranking4[[#This Row],[FMS ID]],FMS_Input[FMS_ID],FMS_Input[SPONSOR])</f>
        <v>15000052</v>
      </c>
      <c r="F486" s="309" t="str">
        <f>_xlfn.XLOOKUP(FMS_Ranking4[[#This Row],[FMS ID]],Sponsor[FMS_ID],Sponsor[SPONSOR NAME])</f>
        <v>Primera</v>
      </c>
      <c r="G486" s="309" t="str">
        <f>_xlfn.XLOOKUP(FMS_Ranking4[[#This Row],[FMS ID]],FMS_Input[FMS_ID],FMS_Input[FMS_DESCR])</f>
        <v>Develop an early warning system to new areas of the jurisdiction to alert residents of impending severe weather</v>
      </c>
      <c r="H486" s="248" t="str">
        <f>_xlfn.XLOOKUP(FMS_Ranking4[[#This Row],[FMS ID]],FMS_Input[FMS_ID],FMS_Input[FMS_TYPE])</f>
        <v>Flood Measurement and Warning</v>
      </c>
      <c r="I486" s="249">
        <f>_xlfn.XLOOKUP(FMS_Ranking4[[#This Row],[FMS ID]],FMS_Input[FMS_ID],FMS_Input[NRNC_COST])</f>
        <v>1000</v>
      </c>
      <c r="J486" s="250">
        <f>_xlfn.XLOOKUP(FMS_Ranking4[[#This Row],[FMS ID]],FMS_Input[FMS_ID],FMS_Input[FMS_COST])</f>
        <v>75000</v>
      </c>
      <c r="K486" s="251" t="str">
        <f>_xlfn.XLOOKUP(FMS_Ranking4[[#This Row],[FMS ID]],FMS_Input[FMS_ID],FMS_Input[EMER_NEED])</f>
        <v>Yes</v>
      </c>
      <c r="L486" s="252">
        <f t="shared" si="7"/>
        <v>1</v>
      </c>
      <c r="M486" s="253">
        <f>_xlfn.XLOOKUP(FMS_Ranking4[[#This Row],[FMS ID]],FMS_Input[FMS_ID],FMS_Input[STRUCT_100])</f>
        <v>947</v>
      </c>
      <c r="N486" s="255">
        <f>(ASINH(FMS_Ranking4[[#This Row],[Structure at Risk Raw]]))*(10)/(ASINH(M$4))</f>
        <v>5.9326306074998101</v>
      </c>
      <c r="O486" s="256">
        <f>FMS_Ranking4[[#This Row],[Structures at risk, ArcSinh (0-10)]]*M$5*10</f>
        <v>5.9326306074998101</v>
      </c>
      <c r="P486" s="253">
        <f>_xlfn.XLOOKUP(FMS_Ranking4[[#This Row],[FMS ID]],FMS_Input[FMS_ID],FMS_Input[RES_STRUCT100])</f>
        <v>867</v>
      </c>
      <c r="Q486" s="257">
        <f>ASINH(FMS_Ranking4[[#This Row],[Res Structure Raw]])/Q$4*P$5*100</f>
        <v>0</v>
      </c>
      <c r="R486" s="253">
        <f>_xlfn.XLOOKUP(FMS_Ranking4[[#This Row],[FMS ID]],FMS_Input[FMS_ID],FMS_Input[POP100])</f>
        <v>3020</v>
      </c>
      <c r="S486" s="255">
        <f>(ASINH(FMS_Ranking4[[#This Row],[Pop at Risk Raw]]))*(10)/(ASINH(R$4))</f>
        <v>6.0103686320345409</v>
      </c>
      <c r="T486" s="256">
        <f>FMS_Ranking4[[#This Row],[Population at risk, ArcSinh (0-10)]]*R$5*10</f>
        <v>6.0103686320345417</v>
      </c>
      <c r="U486" s="253">
        <f>_xlfn.XLOOKUP(FMS_Ranking4[[#This Row],[FMS ID]],FMS_Input[FMS_ID],FMS_Input[CRITFAC100])</f>
        <v>0</v>
      </c>
      <c r="V486" s="255">
        <f>(ASINH(FMS_Ranking4[[#This Row],[Critical Facilities Raw]]))*(10)/(ASINH(U$4))</f>
        <v>0</v>
      </c>
      <c r="W486" s="256">
        <f>FMS_Ranking4[[#This Row],[Critical facilities at risk, ArcSinh (0-10)]]*U$5*10</f>
        <v>0</v>
      </c>
      <c r="X486" s="253">
        <f>_xlfn.XLOOKUP(FMS_Ranking4[[#This Row],[FMS ID]],FMS_Input[FMS_ID],FMS_Input[LWC])</f>
        <v>0</v>
      </c>
      <c r="Y486" s="255">
        <f>(ASINH(FMS_Ranking4[[#This Row],[LWC Raw]]))*(10)/(ASINH(X$4))</f>
        <v>0</v>
      </c>
      <c r="Z486" s="256">
        <f>FMS_Ranking4[[#This Row],[LWC, ArcSInh (0-10)]]*X$5*10</f>
        <v>0</v>
      </c>
      <c r="AA486" s="253">
        <f>_xlfn.XLOOKUP(FMS_Ranking4[[#This Row],[FMS ID]],FMS_Input[FMS_ID],FMS_Input[ROADCLS])</f>
        <v>0</v>
      </c>
      <c r="AB486" s="255">
        <f>(ASINH(FMS_Ranking4[[#This Row],[Road Closures Raw]]))*(10)/(ASINH(AA$4))</f>
        <v>0</v>
      </c>
      <c r="AC486" s="256">
        <f>FMS_Ranking4[[#This Row],[Road closures, ArcSinh (0-10)]]*AA$5*10</f>
        <v>0</v>
      </c>
      <c r="AD486" s="253">
        <f>_xlfn.XLOOKUP(FMS_Ranking4[[#This Row],[FMS ID]],FMS_Input[FMS_ID],FMS_Input[ROAD_MILES100])</f>
        <v>12</v>
      </c>
      <c r="AE486" s="255">
        <f>(ASINH(FMS_Ranking4[[#This Row],[Road Miles Raw]]))*(10)/(ASINH(AD$4))</f>
        <v>3.3887764405268412</v>
      </c>
      <c r="AF486" s="256">
        <f>FMS_Ranking4[[#This Row],[Length of roads at risk, ArcSinh (0-10)]]*AD$5*10</f>
        <v>3.3887764405268417</v>
      </c>
      <c r="AG486" s="253">
        <f>_xlfn.XLOOKUP(FMS_Ranking4[[#This Row],[FMS ID]],FMS_Input[FMS_ID],FMS_Input[FARMACRE100])</f>
        <v>605.49029541015625</v>
      </c>
      <c r="AH486" s="255">
        <f>(ASINH(FMS_Ranking4[[#This Row],[Ag Land Raw]]))*(10)/(ASINH(AG$4))</f>
        <v>4.611499931313622</v>
      </c>
      <c r="AI486" s="260">
        <f>FMS_Ranking4[[#This Row],[Farm &amp; ranch land, ArcSinh (0-10)]]*AG$5*10</f>
        <v>2.305749965656811</v>
      </c>
      <c r="AJ486" s="258">
        <f>_xlfn.XLOOKUP(FMS_Ranking4[[#This Row],[FMS ID]],FMS_Input[FMS_ID],FMS_Input[REDSTRUCT100])</f>
        <v>0</v>
      </c>
      <c r="AK486" s="253">
        <f>_xlfn.XLOOKUP(FMS_Ranking4[[#This Row],[FMS ID]],FMS_Input[FMS_ID],FMS_Input[REMSTRC100])</f>
        <v>0</v>
      </c>
      <c r="AL486" s="255">
        <f>(ASINH(FMS_Ranking4[[#This Row],[Structures Removed Raw]]))*(10)/(ASINH(AK$4))</f>
        <v>0</v>
      </c>
      <c r="AM486" s="262">
        <f>FMS_Ranking4[[#This Row],[Structures removed, ArcSinh (0-10)]]*AK$5*10</f>
        <v>0</v>
      </c>
      <c r="AN486" s="253">
        <f>_xlfn.XLOOKUP(FMS_Ranking4[[#This Row],[FMS ID]],FMS_Input[FMS_ID],FMS_Input[REMRESSTRC100])</f>
        <v>0</v>
      </c>
      <c r="AO486" s="261">
        <f>FMS_Ranking4[[#This Row],[ArcSinh Res struct removed 0-10]]*AN$5*10</f>
        <v>0</v>
      </c>
      <c r="AP486" s="260">
        <f>ASINH(FMS_Ranking4[[#This Row],[Residential Structures Removed Raw]])/AP$4*AN$5*100</f>
        <v>0</v>
      </c>
      <c r="AQ486" s="258">
        <f>(ASINH(FMS_Ranking4[[#This Row],[Residential Structures Removed Raw]]))*(10)/(ASINH(AN$4))</f>
        <v>0</v>
      </c>
      <c r="AR486" s="253">
        <f>_xlfn.XLOOKUP(FMS_Ranking4[[#This Row],[FMS ID]],FMS_Input[FMS_ID],FMS_Input[REMPOP100])</f>
        <v>0</v>
      </c>
      <c r="AS486" s="255">
        <f>(ASINH(FMS_Ranking4[[#This Row],[Removed Pop Raw]]))*(10)/(ASINH(AR$4))</f>
        <v>0</v>
      </c>
      <c r="AT486" s="262">
        <f>FMS_Ranking4[[#This Row],[Removed population, ArcSinh (0-10)]]*AR$5*10</f>
        <v>0</v>
      </c>
      <c r="AU486" s="264">
        <f>_xlfn.XLOOKUP(FMS_Ranking4[[#This Row],[FMS ID]],FMS_Input[FMS_ID],FMS_Input[REMCRITFAC100])</f>
        <v>0</v>
      </c>
      <c r="AV486" s="264">
        <f>_xlfn.XLOOKUP(FMS_Ranking4[[#This Row],[FMS ID]],FMS_Input[FMS_ID],FMS_Input[REMLWC100])</f>
        <v>0</v>
      </c>
      <c r="AW486" s="264">
        <f>_xlfn.XLOOKUP(FMS_Ranking4[[#This Row],[FMS ID]],FMS_Input[FMS_ID],FMS_Input[REMROADCLS])</f>
        <v>0</v>
      </c>
      <c r="AX486" s="264">
        <f>_xlfn.XLOOKUP(FMS_Ranking4[[#This Row],[FMS ID]],FMS_Input[FMS_ID],FMS_Input[REMFRMACRE100])</f>
        <v>0</v>
      </c>
      <c r="AY486" s="258">
        <f>_xlfn.XLOOKUP(FMS_Ranking4[[#This Row],[FMS ID]],FMS_Input[FMS_ID],FMS_Input[COSTSTRUCT])</f>
        <v>0</v>
      </c>
      <c r="AZ486" s="253">
        <f>_xlfn.XLOOKUP(FMS_Ranking4[[#This Row],[FMS ID]],FMS_Input[FMS_ID],FMS_Input[NATURE])</f>
        <v>0</v>
      </c>
      <c r="BA486" s="262">
        <f>(((FMS_Ranking4[[#This Row],[% NBS Raw]]/AZ$4)*100)*AZ$5)</f>
        <v>0</v>
      </c>
      <c r="BB486" s="251" t="str">
        <f>_xlfn.XLOOKUP(FMS_Ranking4[[#This Row],[FMS ID]],FMS_Input[FMS_ID],FMS_Input[WATER_SUP])</f>
        <v>No</v>
      </c>
      <c r="BC486" s="265">
        <f>IF(FMS_Ranking4[[#This Row],[Water Supply Raw]]="Yes",10,0)</f>
        <v>0</v>
      </c>
      <c r="BD486" s="266">
        <f>_xlfn.XLOOKUP(FMS_Ranking4[[#This Row],[FMS Type]],FMS_TYPE[FMS_Type],FMS_TYPE[Score])</f>
        <v>10</v>
      </c>
      <c r="BE486" s="267">
        <f>FMS_Ranking4[[#This Row],[FMS_Type Score]]*$BD$5*10</f>
        <v>2.5</v>
      </c>
      <c r="BF48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0.10898319966591713</v>
      </c>
      <c r="BG486" s="321">
        <f>_xlfn.RANK.EQ(BF486,$BF$8:$BF$870,0)+COUNTIF($BF$8:BF486,BF486)-1</f>
        <v>475</v>
      </c>
      <c r="BH486" s="294">
        <f>(((FMS_Ranking4[[#This Row],[Structures Removed Raw]]/AK$4)*100)*AK$5)+(((FMS_Ranking4[[#This Row],[Removed Pop Raw]]/AR$4)*100)*AR$5)</f>
        <v>0</v>
      </c>
      <c r="BI48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2.608983199665917</v>
      </c>
      <c r="BJ486" s="251">
        <f>_xlfn.RANK.EQ(FMS_Ranking4[[#This Row],[Total Score 
(with linear
normalization)]],FMS_Ranking4[Total Score 
(with linear
normalization)],0)</f>
        <v>221</v>
      </c>
      <c r="BK486" s="251" t="e">
        <f>_xlfn.XLOOKUP(FMS_Ranking4[[#This Row],[FMS ID]],#REF!,#REF!)</f>
        <v>#REF!</v>
      </c>
      <c r="BL48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17.637525645718004</v>
      </c>
      <c r="BM486" s="324">
        <f>FMS_Ranking4[[#This Row],[ArcSinh Score Based on Normalized Reported Factors]]+FMS_Ranking4[[#This Row],[% NBS Score (Normalized)]]+(FMS_Ranking4[[#This Row],[Water Supply Score (Normalized)]]*10*$BB$5)+FMS_Ranking4[[#This Row],[FMS_Type Score Weighted]]</f>
        <v>20.137525645718004</v>
      </c>
      <c r="BN486" s="251">
        <f>_xlfn.RANK.EQ(FMS_Ranking4[[#This Row],[Total Score (with ArcSinh normalization of select criteria)]],FMS_Ranking4[Total Score (with ArcSinh normalization of select criteria)],0)</f>
        <v>479</v>
      </c>
      <c r="BO486" s="270" t="str">
        <f>_xlfn.XLOOKUP(FMS_Ranking4[[#This Row],[FMS ID]],FMS_Input[FMS_ID],FMS_Input[FMS_RANK_YEAR])</f>
        <v>2023 Amended Plan</v>
      </c>
      <c r="BP486" s="204">
        <f>_xlfn.XLOOKUP(FMS_Ranking4[[#This Row],[FMS ID]],Prev_Rank[FMS ID],Prev_Rank[Prev Rank])</f>
        <v>429</v>
      </c>
      <c r="BQ486" s="251" t="e">
        <f>_xlfn.XLOOKUP(FMS_Ranking4[[#This Row],[FMS ID]],#REF!,#REF!)</f>
        <v>#REF!</v>
      </c>
      <c r="BR486" s="199" t="e">
        <f>SUM(#REF!,#REF!,#REF!,#REF!,#REF!,#REF!,#REF!,#REF!,#REF!,FMS_Ranking4[[#This Row],[ArcSinh Res struct removed 0-10]],#REF!)</f>
        <v>#REF!</v>
      </c>
      <c r="BS486" s="199" t="e">
        <f>FMS_Ranking4[[#This Row],[Log Score Based on Normalized Reported Factors]]+FMS_Ranking4[[#This Row],[% NBS Score (Normalized)]]+(FMS_Ranking4[[#This Row],[Water Supply Score (Normalized)]]*10*$BB$5)+(FMS_Ranking4[[#This Row],[FMS_Type Score Weighted]])</f>
        <v>#REF!</v>
      </c>
      <c r="BT486" s="200" t="e">
        <f>_xlfn.RANK.EQ(FMS_Ranking4[[#This Row],[Log Total Score]],FMS_Ranking4[Log Total Score],0)</f>
        <v>#REF!</v>
      </c>
      <c r="BU486" s="200" t="e">
        <f>_xlfn.XLOOKUP(FMS_Ranking4[[#This Row],[FMS ID]],#REF!,#REF!)</f>
        <v>#REF!</v>
      </c>
      <c r="BV486" s="200">
        <f>FMS_Ranking4[[#This Row],[Region Number]]</f>
        <v>15</v>
      </c>
      <c r="BW486" s="200">
        <f>FMS_Ranking4[[#This Row],[Rank (with ArcSinh normalization of select criteria)]]-FMS_Ranking4[[#This Row],[Rank
(with linear
normalization)]]</f>
        <v>258</v>
      </c>
      <c r="BX486" s="200" t="e">
        <f>FMS_Ranking4[[#This Row],[Log Rank]]-FMS_Ranking4[[#This Row],[Rank
(with linear
normalization)]]</f>
        <v>#REF!</v>
      </c>
      <c r="BY486" s="200">
        <f>IF(FMS_Ranking4[[#This Row],[FMS Type]]="Flood Measurement and Warning",FMS_Ranking4[[#This Row],[Rank (with ArcSinh normalization of select criteria)]],"")</f>
        <v>479</v>
      </c>
      <c r="BZ486" s="200" t="str">
        <f>IF(FMS_Ranking4[[#This Row],[FMS Type]]="Regulatory and Guidance",FMS_Ranking4[[#This Row],[Rank (with ArcSinh normalization of select criteria)]],"")</f>
        <v/>
      </c>
      <c r="CA486" s="200" t="str">
        <f>IF(FMS_Ranking4[[#This Row],[FMS Type]]="Education and Outreach",FMS_Ranking4[[#This Row],[Rank (with ArcSinh normalization of select criteria)]],"")</f>
        <v/>
      </c>
      <c r="CB486" s="200" t="str">
        <f>IF(FMS_Ranking4[[#This Row],[FMS Type]]="Property Acquisition and Structural Elevation",FMS_Ranking4[[#This Row],[Rank (with ArcSinh normalization of select criteria)]],"")</f>
        <v/>
      </c>
      <c r="CC486" s="200" t="str">
        <f>IF(FMS_Ranking4[[#This Row],[FMS Type]]="Infrastructure Projects",FMS_Ranking4[[#This Row],[Rank (with ArcSinh normalization of select criteria)]],"")</f>
        <v/>
      </c>
      <c r="CD486" s="200" t="str">
        <f>IF(FMS_Ranking4[[#This Row],[FMS Type]]="Other",FMS_Ranking4[[#This Row],[Rank (with ArcSinh normalization of select criteria)]],"")</f>
        <v/>
      </c>
      <c r="CE486" s="201"/>
      <c r="CF486" s="206"/>
      <c r="CG486" s="206"/>
      <c r="CH486" s="206"/>
      <c r="CI486" s="206"/>
      <c r="CJ486" s="206"/>
      <c r="CK486" s="206"/>
      <c r="CL486" s="206"/>
      <c r="CM486" s="206"/>
      <c r="CN486" s="206"/>
      <c r="CO486" s="206"/>
      <c r="CP486" s="206"/>
      <c r="CQ486" s="206"/>
      <c r="CR486" s="206"/>
    </row>
    <row r="487" spans="2:96" ht="45" x14ac:dyDescent="0.25">
      <c r="B487" s="341" t="s">
        <v>4245</v>
      </c>
      <c r="C487" s="246">
        <f>_xlfn.XLOOKUP(FMS_Ranking4[[#This Row],[FMS ID]],FMS_Input[FMS_ID],FMS_Input[RFPG_NUM])</f>
        <v>15</v>
      </c>
      <c r="D487" s="309" t="str">
        <f>_xlfn.XLOOKUP(FMS_Ranking4[[#This Row],[FMS ID]],FMS_Input[FMS_ID],FMS_Input[FMS_NAME])</f>
        <v>City of Primera - planning, operation &amp; maintenance</v>
      </c>
      <c r="E487" s="308" t="str">
        <f>_xlfn.XLOOKUP(FMS_Ranking4[[#This Row],[FMS ID]],FMS_Input[FMS_ID],FMS_Input[SPONSOR])</f>
        <v>15000052</v>
      </c>
      <c r="F487" s="309" t="str">
        <f>_xlfn.XLOOKUP(FMS_Ranking4[[#This Row],[FMS ID]],Sponsor[FMS_ID],Sponsor[SPONSOR NAME])</f>
        <v>Primera</v>
      </c>
      <c r="G487" s="309" t="str">
        <f>_xlfn.XLOOKUP(FMS_Ranking4[[#This Row],[FMS ID]],FMS_Input[FMS_ID],FMS_Input[FMS_DESCR])</f>
        <v>Develop and Implement a planning, operation &amp; Maintenance plan</v>
      </c>
      <c r="H487" s="248" t="str">
        <f>_xlfn.XLOOKUP(FMS_Ranking4[[#This Row],[FMS ID]],FMS_Input[FMS_ID],FMS_Input[FMS_TYPE])</f>
        <v>Flood Measurement and Warning</v>
      </c>
      <c r="I487" s="249">
        <f>_xlfn.XLOOKUP(FMS_Ranking4[[#This Row],[FMS ID]],FMS_Input[FMS_ID],FMS_Input[NRNC_COST])</f>
        <v>600000</v>
      </c>
      <c r="J487" s="250">
        <f>_xlfn.XLOOKUP(FMS_Ranking4[[#This Row],[FMS ID]],FMS_Input[FMS_ID],FMS_Input[FMS_COST])</f>
        <v>5000000</v>
      </c>
      <c r="K487" s="251" t="str">
        <f>_xlfn.XLOOKUP(FMS_Ranking4[[#This Row],[FMS ID]],FMS_Input[FMS_ID],FMS_Input[EMER_NEED])</f>
        <v>Yes</v>
      </c>
      <c r="L487" s="252">
        <f t="shared" si="7"/>
        <v>1</v>
      </c>
      <c r="M487" s="253">
        <f>_xlfn.XLOOKUP(FMS_Ranking4[[#This Row],[FMS ID]],FMS_Input[FMS_ID],FMS_Input[STRUCT_100])</f>
        <v>945</v>
      </c>
      <c r="N487" s="255">
        <f>(ASINH(FMS_Ranking4[[#This Row],[Structure at Risk Raw]]))*(10)/(ASINH(M$4))</f>
        <v>5.930968559408603</v>
      </c>
      <c r="O487" s="256">
        <f>FMS_Ranking4[[#This Row],[Structures at risk, ArcSinh (0-10)]]*M$5*10</f>
        <v>5.9309685594086039</v>
      </c>
      <c r="P487" s="253">
        <f>_xlfn.XLOOKUP(FMS_Ranking4[[#This Row],[FMS ID]],FMS_Input[FMS_ID],FMS_Input[RES_STRUCT100])</f>
        <v>867</v>
      </c>
      <c r="Q487" s="257">
        <f>ASINH(FMS_Ranking4[[#This Row],[Res Structure Raw]])/Q$4*P$5*100</f>
        <v>0</v>
      </c>
      <c r="R487" s="253">
        <f>_xlfn.XLOOKUP(FMS_Ranking4[[#This Row],[FMS ID]],FMS_Input[FMS_ID],FMS_Input[POP100])</f>
        <v>3019</v>
      </c>
      <c r="S487" s="259">
        <f>(ASINH(FMS_Ranking4[[#This Row],[Pop at Risk Raw]]))*(10)/(ASINH(R$4))</f>
        <v>6.0101399987553936</v>
      </c>
      <c r="T487" s="256">
        <f>FMS_Ranking4[[#This Row],[Population at risk, ArcSinh (0-10)]]*R$5*10</f>
        <v>6.0101399987553936</v>
      </c>
      <c r="U487" s="253">
        <f>_xlfn.XLOOKUP(FMS_Ranking4[[#This Row],[FMS ID]],FMS_Input[FMS_ID],FMS_Input[CRITFAC100])</f>
        <v>0</v>
      </c>
      <c r="V487" s="259">
        <f>(ASINH(FMS_Ranking4[[#This Row],[Critical Facilities Raw]]))*(10)/(ASINH(U$4))</f>
        <v>0</v>
      </c>
      <c r="W487" s="256">
        <f>FMS_Ranking4[[#This Row],[Critical facilities at risk, ArcSinh (0-10)]]*U$5*10</f>
        <v>0</v>
      </c>
      <c r="X487" s="253">
        <f>_xlfn.XLOOKUP(FMS_Ranking4[[#This Row],[FMS ID]],FMS_Input[FMS_ID],FMS_Input[LWC])</f>
        <v>0</v>
      </c>
      <c r="Y487" s="259">
        <f>(ASINH(FMS_Ranking4[[#This Row],[LWC Raw]]))*(10)/(ASINH(X$4))</f>
        <v>0</v>
      </c>
      <c r="Z487" s="256">
        <f>FMS_Ranking4[[#This Row],[LWC, ArcSInh (0-10)]]*X$5*10</f>
        <v>0</v>
      </c>
      <c r="AA487" s="253">
        <f>_xlfn.XLOOKUP(FMS_Ranking4[[#This Row],[FMS ID]],FMS_Input[FMS_ID],FMS_Input[ROADCLS])</f>
        <v>0</v>
      </c>
      <c r="AB487" s="255">
        <f>(ASINH(FMS_Ranking4[[#This Row],[Road Closures Raw]]))*(10)/(ASINH(AA$4))</f>
        <v>0</v>
      </c>
      <c r="AC487" s="256">
        <f>FMS_Ranking4[[#This Row],[Road closures, ArcSinh (0-10)]]*AA$5*10</f>
        <v>0</v>
      </c>
      <c r="AD487" s="253">
        <f>_xlfn.XLOOKUP(FMS_Ranking4[[#This Row],[FMS ID]],FMS_Input[FMS_ID],FMS_Input[ROAD_MILES100])</f>
        <v>12</v>
      </c>
      <c r="AE487" s="259">
        <f>(ASINH(FMS_Ranking4[[#This Row],[Road Miles Raw]]))*(10)/(ASINH(AD$4))</f>
        <v>3.3887764405268412</v>
      </c>
      <c r="AF487" s="256">
        <f>FMS_Ranking4[[#This Row],[Length of roads at risk, ArcSinh (0-10)]]*AD$5*10</f>
        <v>3.3887764405268417</v>
      </c>
      <c r="AG487" s="253">
        <f>_xlfn.XLOOKUP(FMS_Ranking4[[#This Row],[FMS ID]],FMS_Input[FMS_ID],FMS_Input[FARMACRE100])</f>
        <v>604.2894287109375</v>
      </c>
      <c r="AH487" s="255">
        <f>(ASINH(FMS_Ranking4[[#This Row],[Ag Land Raw]]))*(10)/(ASINH(AG$4))</f>
        <v>4.61021034126742</v>
      </c>
      <c r="AI487" s="260">
        <f>FMS_Ranking4[[#This Row],[Farm &amp; ranch land, ArcSinh (0-10)]]*AG$5*10</f>
        <v>2.30510517063371</v>
      </c>
      <c r="AJ487" s="258">
        <f>_xlfn.XLOOKUP(FMS_Ranking4[[#This Row],[FMS ID]],FMS_Input[FMS_ID],FMS_Input[REDSTRUCT100])</f>
        <v>0</v>
      </c>
      <c r="AK487" s="253">
        <f>_xlfn.XLOOKUP(FMS_Ranking4[[#This Row],[FMS ID]],FMS_Input[FMS_ID],FMS_Input[REMSTRC100])</f>
        <v>0</v>
      </c>
      <c r="AL487" s="259">
        <f>(ASINH(FMS_Ranking4[[#This Row],[Structures Removed Raw]]))*(10)/(ASINH(AK$4))</f>
        <v>0</v>
      </c>
      <c r="AM487" s="262">
        <f>FMS_Ranking4[[#This Row],[Structures removed, ArcSinh (0-10)]]*AK$5*10</f>
        <v>0</v>
      </c>
      <c r="AN487" s="253">
        <f>_xlfn.XLOOKUP(FMS_Ranking4[[#This Row],[FMS ID]],FMS_Input[FMS_ID],FMS_Input[REMRESSTRC100])</f>
        <v>0</v>
      </c>
      <c r="AO487" s="261">
        <f>FMS_Ranking4[[#This Row],[ArcSinh Res struct removed 0-10]]*AN$5*10</f>
        <v>0</v>
      </c>
      <c r="AP487" s="260">
        <f>ASINH(FMS_Ranking4[[#This Row],[Residential Structures Removed Raw]])/AP$4*AN$5*100</f>
        <v>0</v>
      </c>
      <c r="AQ487" s="254">
        <f>(ASINH(FMS_Ranking4[[#This Row],[Residential Structures Removed Raw]]))*(10)/(ASINH(AN$4))</f>
        <v>0</v>
      </c>
      <c r="AR487" s="253">
        <f>_xlfn.XLOOKUP(FMS_Ranking4[[#This Row],[FMS ID]],FMS_Input[FMS_ID],FMS_Input[REMPOP100])</f>
        <v>0</v>
      </c>
      <c r="AS487" s="259">
        <f>(ASINH(FMS_Ranking4[[#This Row],[Removed Pop Raw]]))*(10)/(ASINH(AR$4))</f>
        <v>0</v>
      </c>
      <c r="AT487" s="262">
        <f>FMS_Ranking4[[#This Row],[Removed population, ArcSinh (0-10)]]*AR$5*10</f>
        <v>0</v>
      </c>
      <c r="AU487" s="264">
        <f>_xlfn.XLOOKUP(FMS_Ranking4[[#This Row],[FMS ID]],FMS_Input[FMS_ID],FMS_Input[REMCRITFAC100])</f>
        <v>0</v>
      </c>
      <c r="AV487" s="264">
        <f>_xlfn.XLOOKUP(FMS_Ranking4[[#This Row],[FMS ID]],FMS_Input[FMS_ID],FMS_Input[REMLWC100])</f>
        <v>0</v>
      </c>
      <c r="AW487" s="264">
        <f>_xlfn.XLOOKUP(FMS_Ranking4[[#This Row],[FMS ID]],FMS_Input[FMS_ID],FMS_Input[REMROADCLS])</f>
        <v>0</v>
      </c>
      <c r="AX487" s="264">
        <f>_xlfn.XLOOKUP(FMS_Ranking4[[#This Row],[FMS ID]],FMS_Input[FMS_ID],FMS_Input[REMFRMACRE100])</f>
        <v>0</v>
      </c>
      <c r="AY487" s="258">
        <f>_xlfn.XLOOKUP(FMS_Ranking4[[#This Row],[FMS ID]],FMS_Input[FMS_ID],FMS_Input[COSTSTRUCT])</f>
        <v>0</v>
      </c>
      <c r="AZ487" s="253">
        <f>_xlfn.XLOOKUP(FMS_Ranking4[[#This Row],[FMS ID]],FMS_Input[FMS_ID],FMS_Input[NATURE])</f>
        <v>0</v>
      </c>
      <c r="BA487" s="262">
        <f>(((FMS_Ranking4[[#This Row],[% NBS Raw]]/AZ$4)*100)*AZ$5)</f>
        <v>0</v>
      </c>
      <c r="BB487" s="251" t="str">
        <f>_xlfn.XLOOKUP(FMS_Ranking4[[#This Row],[FMS ID]],FMS_Input[FMS_ID],FMS_Input[WATER_SUP])</f>
        <v>No</v>
      </c>
      <c r="BC487" s="265">
        <f>IF(FMS_Ranking4[[#This Row],[Water Supply Raw]]="Yes",10,0)</f>
        <v>0</v>
      </c>
      <c r="BD487" s="266">
        <f>_xlfn.XLOOKUP(FMS_Ranking4[[#This Row],[FMS Type]],FMS_TYPE[FMS_Type],FMS_TYPE[Score])</f>
        <v>10</v>
      </c>
      <c r="BE487" s="267">
        <f>FMS_Ranking4[[#This Row],[FMS_Type Score]]*$BD$5*10</f>
        <v>2.5</v>
      </c>
      <c r="BF48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0.10885088668296906</v>
      </c>
      <c r="BG487" s="271">
        <f>_xlfn.RANK.EQ(BF487,$BF$8:$BF$870,0)+COUNTIF($BF$8:BF487,BF487)-1</f>
        <v>478</v>
      </c>
      <c r="BH487" s="268">
        <f>(((FMS_Ranking4[[#This Row],[Structures Removed Raw]]/AK$4)*100)*AK$5)+(((FMS_Ranking4[[#This Row],[Removed Pop Raw]]/AR$4)*100)*AR$5)</f>
        <v>0</v>
      </c>
      <c r="BI48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2.6088508866829692</v>
      </c>
      <c r="BJ487" s="205">
        <f>_xlfn.RANK.EQ(FMS_Ranking4[[#This Row],[Total Score 
(with linear
normalization)]],FMS_Ranking4[Total Score 
(with linear
normalization)],0)</f>
        <v>222</v>
      </c>
      <c r="BK487" s="205" t="e">
        <f>_xlfn.XLOOKUP(FMS_Ranking4[[#This Row],[FMS ID]],#REF!,#REF!)</f>
        <v>#REF!</v>
      </c>
      <c r="BL48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17.634990169324549</v>
      </c>
      <c r="BM487" s="272">
        <f>FMS_Ranking4[[#This Row],[ArcSinh Score Based on Normalized Reported Factors]]+FMS_Ranking4[[#This Row],[% NBS Score (Normalized)]]+(FMS_Ranking4[[#This Row],[Water Supply Score (Normalized)]]*10*$BB$5)+FMS_Ranking4[[#This Row],[FMS_Type Score Weighted]]</f>
        <v>20.134990169324549</v>
      </c>
      <c r="BN487" s="205">
        <f>_xlfn.RANK.EQ(FMS_Ranking4[[#This Row],[Total Score (with ArcSinh normalization of select criteria)]],FMS_Ranking4[Total Score (with ArcSinh normalization of select criteria)],0)</f>
        <v>480</v>
      </c>
      <c r="BO487" s="270" t="str">
        <f>_xlfn.XLOOKUP(FMS_Ranking4[[#This Row],[FMS ID]],FMS_Input[FMS_ID],FMS_Input[FMS_RANK_YEAR])</f>
        <v>2023 Amended Plan</v>
      </c>
      <c r="BP487" s="204">
        <f>_xlfn.XLOOKUP(FMS_Ranking4[[#This Row],[FMS ID]],Prev_Rank[FMS ID],Prev_Rank[Prev Rank])</f>
        <v>430</v>
      </c>
      <c r="BQ487" s="205" t="e">
        <f>_xlfn.XLOOKUP(FMS_Ranking4[[#This Row],[FMS ID]],#REF!,#REF!)</f>
        <v>#REF!</v>
      </c>
      <c r="BR487" s="199" t="e">
        <f>SUM(#REF!,#REF!,#REF!,#REF!,#REF!,#REF!,#REF!,#REF!,#REF!,FMS_Ranking4[[#This Row],[ArcSinh Res struct removed 0-10]],#REF!)</f>
        <v>#REF!</v>
      </c>
      <c r="BS487" s="199" t="e">
        <f>FMS_Ranking4[[#This Row],[Log Score Based on Normalized Reported Factors]]+FMS_Ranking4[[#This Row],[% NBS Score (Normalized)]]+(FMS_Ranking4[[#This Row],[Water Supply Score (Normalized)]]*10*$BB$5)+(FMS_Ranking4[[#This Row],[FMS_Type Score Weighted]])</f>
        <v>#REF!</v>
      </c>
      <c r="BT487" s="200" t="e">
        <f>_xlfn.RANK.EQ(FMS_Ranking4[[#This Row],[Log Total Score]],FMS_Ranking4[Log Total Score],0)</f>
        <v>#REF!</v>
      </c>
      <c r="BU487" s="200" t="e">
        <f>_xlfn.XLOOKUP(FMS_Ranking4[[#This Row],[FMS ID]],#REF!,#REF!)</f>
        <v>#REF!</v>
      </c>
      <c r="BV487" s="200">
        <f>FMS_Ranking4[[#This Row],[Region Number]]</f>
        <v>15</v>
      </c>
      <c r="BW487" s="200">
        <f>FMS_Ranking4[[#This Row],[Rank (with ArcSinh normalization of select criteria)]]-FMS_Ranking4[[#This Row],[Rank
(with linear
normalization)]]</f>
        <v>258</v>
      </c>
      <c r="BX487" s="200" t="e">
        <f>FMS_Ranking4[[#This Row],[Log Rank]]-FMS_Ranking4[[#This Row],[Rank
(with linear
normalization)]]</f>
        <v>#REF!</v>
      </c>
      <c r="BY487" s="200">
        <f>IF(FMS_Ranking4[[#This Row],[FMS Type]]="Flood Measurement and Warning",FMS_Ranking4[[#This Row],[Rank (with ArcSinh normalization of select criteria)]],"")</f>
        <v>480</v>
      </c>
      <c r="BZ487" s="200" t="str">
        <f>IF(FMS_Ranking4[[#This Row],[FMS Type]]="Regulatory and Guidance",FMS_Ranking4[[#This Row],[Rank (with ArcSinh normalization of select criteria)]],"")</f>
        <v/>
      </c>
      <c r="CA487" s="200" t="str">
        <f>IF(FMS_Ranking4[[#This Row],[FMS Type]]="Education and Outreach",FMS_Ranking4[[#This Row],[Rank (with ArcSinh normalization of select criteria)]],"")</f>
        <v/>
      </c>
      <c r="CB487" s="200" t="str">
        <f>IF(FMS_Ranking4[[#This Row],[FMS Type]]="Property Acquisition and Structural Elevation",FMS_Ranking4[[#This Row],[Rank (with ArcSinh normalization of select criteria)]],"")</f>
        <v/>
      </c>
      <c r="CC487" s="200" t="str">
        <f>IF(FMS_Ranking4[[#This Row],[FMS Type]]="Infrastructure Projects",FMS_Ranking4[[#This Row],[Rank (with ArcSinh normalization of select criteria)]],"")</f>
        <v/>
      </c>
      <c r="CD487" s="200" t="str">
        <f>IF(FMS_Ranking4[[#This Row],[FMS Type]]="Other",FMS_Ranking4[[#This Row],[Rank (with ArcSinh normalization of select criteria)]],"")</f>
        <v/>
      </c>
      <c r="CE487" s="201"/>
      <c r="CF487" s="206"/>
      <c r="CG487" s="206"/>
      <c r="CH487" s="206"/>
      <c r="CI487" s="206"/>
      <c r="CJ487" s="206"/>
      <c r="CK487" s="206"/>
      <c r="CL487" s="206"/>
      <c r="CM487" s="206"/>
      <c r="CN487" s="206"/>
      <c r="CO487" s="206"/>
      <c r="CP487" s="206"/>
      <c r="CQ487" s="206"/>
      <c r="CR487" s="206"/>
    </row>
    <row r="488" spans="2:96" ht="120" x14ac:dyDescent="0.25">
      <c r="B488" s="341" t="s">
        <v>2737</v>
      </c>
      <c r="C488" s="246">
        <f>_xlfn.XLOOKUP(FMS_Ranking4[[#This Row],[FMS ID]],FMS_Input[FMS_ID],FMS_Input[RFPG_NUM])</f>
        <v>5</v>
      </c>
      <c r="D488" s="309" t="str">
        <f>_xlfn.XLOOKUP(FMS_Ranking4[[#This Row],[FMS ID]],FMS_Input[FMS_ID],FMS_Input[FMS_NAME])</f>
        <v>Polk County Facilities Hazard Hardening Retrofit</v>
      </c>
      <c r="E488" s="308" t="str">
        <f>_xlfn.XLOOKUP(FMS_Ranking4[[#This Row],[FMS ID]],FMS_Input[FMS_ID],FMS_Input[SPONSOR])</f>
        <v>00000058</v>
      </c>
      <c r="F488" s="309" t="str">
        <f>_xlfn.XLOOKUP(FMS_Ranking4[[#This Row],[FMS ID]],Sponsor[FMS_ID],Sponsor[SPONSOR NAME])</f>
        <v>Polk</v>
      </c>
      <c r="G488" s="309" t="str">
        <f>_xlfn.XLOOKUP(FMS_Ranking4[[#This Row],[FMS ID]],FMS_Input[FMS_ID],FMS_Input[FMS_DESCR])</f>
        <v>Activities may include but are not limited to: flood proofing, impact resistant windows, storm shutters, roof straps, structural bracing, low-flow plumbing fixtures, roll-up door reinforcement, grounding systems, and surge-protection.</v>
      </c>
      <c r="H488" s="248" t="str">
        <f>_xlfn.XLOOKUP(FMS_Ranking4[[#This Row],[FMS ID]],FMS_Input[FMS_ID],FMS_Input[FMS_TYPE])</f>
        <v>Infrastructure Projects</v>
      </c>
      <c r="I488" s="249">
        <f>_xlfn.XLOOKUP(FMS_Ranking4[[#This Row],[FMS ID]],FMS_Input[FMS_ID],FMS_Input[NRNC_COST])</f>
        <v>200000</v>
      </c>
      <c r="J488" s="250">
        <f>_xlfn.XLOOKUP(FMS_Ranking4[[#This Row],[FMS ID]],FMS_Input[FMS_ID],FMS_Input[FMS_COST])</f>
        <v>1500000</v>
      </c>
      <c r="K488" s="251" t="str">
        <f>_xlfn.XLOOKUP(FMS_Ranking4[[#This Row],[FMS ID]],FMS_Input[FMS_ID],FMS_Input[EMER_NEED])</f>
        <v>Yes</v>
      </c>
      <c r="L488" s="252">
        <f t="shared" si="7"/>
        <v>1</v>
      </c>
      <c r="M488" s="253">
        <f>_xlfn.XLOOKUP(FMS_Ranking4[[#This Row],[FMS ID]],FMS_Input[FMS_ID],FMS_Input[STRUCT_100])</f>
        <v>84</v>
      </c>
      <c r="N488" s="255">
        <f>(ASINH(FMS_Ranking4[[#This Row],[Structure at Risk Raw]]))*(10)/(ASINH(M$4))</f>
        <v>4.0282264654381841</v>
      </c>
      <c r="O488" s="256">
        <f>FMS_Ranking4[[#This Row],[Structures at risk, ArcSinh (0-10)]]*M$5*10</f>
        <v>4.0282264654381841</v>
      </c>
      <c r="P488" s="253">
        <f>_xlfn.XLOOKUP(FMS_Ranking4[[#This Row],[FMS ID]],FMS_Input[FMS_ID],FMS_Input[RES_STRUCT100])</f>
        <v>45</v>
      </c>
      <c r="Q488" s="257">
        <f>ASINH(FMS_Ranking4[[#This Row],[Res Structure Raw]])/Q$4*P$5*100</f>
        <v>0</v>
      </c>
      <c r="R488" s="253">
        <f>_xlfn.XLOOKUP(FMS_Ranking4[[#This Row],[FMS ID]],FMS_Input[FMS_ID],FMS_Input[POP100])</f>
        <v>368</v>
      </c>
      <c r="S488" s="255">
        <f>(ASINH(FMS_Ranking4[[#This Row],[Pop at Risk Raw]]))*(10)/(ASINH(R$4))</f>
        <v>4.5572147353545693</v>
      </c>
      <c r="T488" s="256">
        <f>FMS_Ranking4[[#This Row],[Population at risk, ArcSinh (0-10)]]*R$5*10</f>
        <v>4.5572147353545693</v>
      </c>
      <c r="U488" s="253">
        <f>_xlfn.XLOOKUP(FMS_Ranking4[[#This Row],[FMS ID]],FMS_Input[FMS_ID],FMS_Input[CRITFAC100])</f>
        <v>0</v>
      </c>
      <c r="V488" s="255">
        <f>(ASINH(FMS_Ranking4[[#This Row],[Critical Facilities Raw]]))*(10)/(ASINH(U$4))</f>
        <v>0</v>
      </c>
      <c r="W488" s="256">
        <f>FMS_Ranking4[[#This Row],[Critical facilities at risk, ArcSinh (0-10)]]*U$5*10</f>
        <v>0</v>
      </c>
      <c r="X488" s="253">
        <f>_xlfn.XLOOKUP(FMS_Ranking4[[#This Row],[FMS ID]],FMS_Input[FMS_ID],FMS_Input[LWC])</f>
        <v>8</v>
      </c>
      <c r="Y488" s="255">
        <f>(ASINH(FMS_Ranking4[[#This Row],[LWC Raw]]))*(10)/(ASINH(X$4))</f>
        <v>3.7613918882232862</v>
      </c>
      <c r="Z488" s="256">
        <f>FMS_Ranking4[[#This Row],[LWC, ArcSInh (0-10)]]*X$5*10</f>
        <v>3.7613918882232866</v>
      </c>
      <c r="AA488" s="253">
        <f>_xlfn.XLOOKUP(FMS_Ranking4[[#This Row],[FMS ID]],FMS_Input[FMS_ID],FMS_Input[ROADCLS])</f>
        <v>8</v>
      </c>
      <c r="AB488" s="255">
        <f>(ASINH(FMS_Ranking4[[#This Row],[Road Closures Raw]]))*(10)/(ASINH(AA$4))</f>
        <v>2.8914410470954248</v>
      </c>
      <c r="AC488" s="256">
        <f>FMS_Ranking4[[#This Row],[Road closures, ArcSinh (0-10)]]*AA$5*10</f>
        <v>1.4457205235477124</v>
      </c>
      <c r="AD488" s="253">
        <f>_xlfn.XLOOKUP(FMS_Ranking4[[#This Row],[FMS ID]],FMS_Input[FMS_ID],FMS_Input[ROAD_MILES100])</f>
        <v>17</v>
      </c>
      <c r="AE488" s="255">
        <f>(ASINH(FMS_Ranking4[[#This Row],[Road Miles Raw]]))*(10)/(ASINH(AD$4))</f>
        <v>3.7590508453510045</v>
      </c>
      <c r="AF488" s="256">
        <f>FMS_Ranking4[[#This Row],[Length of roads at risk, ArcSinh (0-10)]]*AD$5*10</f>
        <v>3.7590508453510045</v>
      </c>
      <c r="AG488" s="253">
        <f>_xlfn.XLOOKUP(FMS_Ranking4[[#This Row],[FMS ID]],FMS_Input[FMS_ID],FMS_Input[FARMACRE100])</f>
        <v>62.190280914306641</v>
      </c>
      <c r="AH488" s="255">
        <f>(ASINH(FMS_Ranking4[[#This Row],[Ag Land Raw]]))*(10)/(ASINH(AG$4))</f>
        <v>3.1331981092467864</v>
      </c>
      <c r="AI488" s="260">
        <f>FMS_Ranking4[[#This Row],[Farm &amp; ranch land, ArcSinh (0-10)]]*AG$5*10</f>
        <v>1.5665990546233932</v>
      </c>
      <c r="AJ488" s="258">
        <f>_xlfn.XLOOKUP(FMS_Ranking4[[#This Row],[FMS ID]],FMS_Input[FMS_ID],FMS_Input[REDSTRUCT100])</f>
        <v>0</v>
      </c>
      <c r="AK488" s="253">
        <f>_xlfn.XLOOKUP(FMS_Ranking4[[#This Row],[FMS ID]],FMS_Input[FMS_ID],FMS_Input[REMSTRC100])</f>
        <v>0</v>
      </c>
      <c r="AL488" s="255">
        <f>(ASINH(FMS_Ranking4[[#This Row],[Structures Removed Raw]]))*(10)/(ASINH(AK$4))</f>
        <v>0</v>
      </c>
      <c r="AM488" s="262">
        <f>FMS_Ranking4[[#This Row],[Structures removed, ArcSinh (0-10)]]*AK$5*10</f>
        <v>0</v>
      </c>
      <c r="AN488" s="253">
        <f>_xlfn.XLOOKUP(FMS_Ranking4[[#This Row],[FMS ID]],FMS_Input[FMS_ID],FMS_Input[REMRESSTRC100])</f>
        <v>0</v>
      </c>
      <c r="AO488" s="261">
        <f>FMS_Ranking4[[#This Row],[ArcSinh Res struct removed 0-10]]*AN$5*10</f>
        <v>0</v>
      </c>
      <c r="AP488" s="260">
        <f>ASINH(FMS_Ranking4[[#This Row],[Residential Structures Removed Raw]])/AP$4*AN$5*100</f>
        <v>0</v>
      </c>
      <c r="AQ488" s="258">
        <f>(ASINH(FMS_Ranking4[[#This Row],[Residential Structures Removed Raw]]))*(10)/(ASINH(AN$4))</f>
        <v>0</v>
      </c>
      <c r="AR488" s="253">
        <f>_xlfn.XLOOKUP(FMS_Ranking4[[#This Row],[FMS ID]],FMS_Input[FMS_ID],FMS_Input[REMPOP100])</f>
        <v>0</v>
      </c>
      <c r="AS488" s="255">
        <f>(ASINH(FMS_Ranking4[[#This Row],[Removed Pop Raw]]))*(10)/(ASINH(AR$4))</f>
        <v>0</v>
      </c>
      <c r="AT488" s="262">
        <f>FMS_Ranking4[[#This Row],[Removed population, ArcSinh (0-10)]]*AR$5*10</f>
        <v>0</v>
      </c>
      <c r="AU488" s="264">
        <f>_xlfn.XLOOKUP(FMS_Ranking4[[#This Row],[FMS ID]],FMS_Input[FMS_ID],FMS_Input[REMCRITFAC100])</f>
        <v>0</v>
      </c>
      <c r="AV488" s="264">
        <f>_xlfn.XLOOKUP(FMS_Ranking4[[#This Row],[FMS ID]],FMS_Input[FMS_ID],FMS_Input[REMLWC100])</f>
        <v>0</v>
      </c>
      <c r="AW488" s="264">
        <f>_xlfn.XLOOKUP(FMS_Ranking4[[#This Row],[FMS ID]],FMS_Input[FMS_ID],FMS_Input[REMROADCLS])</f>
        <v>0</v>
      </c>
      <c r="AX488" s="264">
        <f>_xlfn.XLOOKUP(FMS_Ranking4[[#This Row],[FMS ID]],FMS_Input[FMS_ID],FMS_Input[REMFRMACRE100])</f>
        <v>0</v>
      </c>
      <c r="AY488" s="258">
        <f>_xlfn.XLOOKUP(FMS_Ranking4[[#This Row],[FMS ID]],FMS_Input[FMS_ID],FMS_Input[COSTSTRUCT])</f>
        <v>0</v>
      </c>
      <c r="AZ488" s="253">
        <f>_xlfn.XLOOKUP(FMS_Ranking4[[#This Row],[FMS ID]],FMS_Input[FMS_ID],FMS_Input[NATURE])</f>
        <v>0</v>
      </c>
      <c r="BA488" s="262">
        <f>(((FMS_Ranking4[[#This Row],[% NBS Raw]]/AZ$4)*100)*AZ$5)</f>
        <v>0</v>
      </c>
      <c r="BB488" s="251" t="str">
        <f>_xlfn.XLOOKUP(FMS_Ranking4[[#This Row],[FMS ID]],FMS_Input[FMS_ID],FMS_Input[WATER_SUP])</f>
        <v>No</v>
      </c>
      <c r="BC488" s="265">
        <f>IF(FMS_Ranking4[[#This Row],[Water Supply Raw]]="Yes",10,0)</f>
        <v>0</v>
      </c>
      <c r="BD488" s="266">
        <f>_xlfn.XLOOKUP(FMS_Ranking4[[#This Row],[FMS Type]],FMS_TYPE[FMS_Type],FMS_TYPE[Score])</f>
        <v>4</v>
      </c>
      <c r="BE488" s="267">
        <f>FMS_Ranking4[[#This Row],[FMS_Type Score]]*$BD$5*10</f>
        <v>1</v>
      </c>
      <c r="BF48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0.14255071907739919</v>
      </c>
      <c r="BG488" s="321">
        <f>_xlfn.RANK.EQ(BF488,$BF$8:$BF$870,0)+COUNTIF($BF$8:BF488,BF488)-1</f>
        <v>410</v>
      </c>
      <c r="BH488" s="294">
        <f>(((FMS_Ranking4[[#This Row],[Structures Removed Raw]]/AK$4)*100)*AK$5)+(((FMS_Ranking4[[#This Row],[Removed Pop Raw]]/AR$4)*100)*AR$5)</f>
        <v>0</v>
      </c>
      <c r="BI48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1.1425507190773991</v>
      </c>
      <c r="BJ488" s="251">
        <f>_xlfn.RANK.EQ(FMS_Ranking4[[#This Row],[Total Score 
(with linear
normalization)]],FMS_Ranking4[Total Score 
(with linear
normalization)],0)</f>
        <v>659</v>
      </c>
      <c r="BK488" s="251" t="e">
        <f>_xlfn.XLOOKUP(FMS_Ranking4[[#This Row],[FMS ID]],#REF!,#REF!)</f>
        <v>#REF!</v>
      </c>
      <c r="BL48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19.118203512538152</v>
      </c>
      <c r="BM488" s="324">
        <f>FMS_Ranking4[[#This Row],[ArcSinh Score Based on Normalized Reported Factors]]+FMS_Ranking4[[#This Row],[% NBS Score (Normalized)]]+(FMS_Ranking4[[#This Row],[Water Supply Score (Normalized)]]*10*$BB$5)+FMS_Ranking4[[#This Row],[FMS_Type Score Weighted]]</f>
        <v>20.118203512538152</v>
      </c>
      <c r="BN488" s="251">
        <f>_xlfn.RANK.EQ(FMS_Ranking4[[#This Row],[Total Score (with ArcSinh normalization of select criteria)]],FMS_Ranking4[Total Score (with ArcSinh normalization of select criteria)],0)</f>
        <v>481</v>
      </c>
      <c r="BO488" s="270" t="str">
        <f>_xlfn.XLOOKUP(FMS_Ranking4[[#This Row],[FMS ID]],FMS_Input[FMS_ID],FMS_Input[FMS_RANK_YEAR])</f>
        <v>2023 Amended Plan</v>
      </c>
      <c r="BP488" s="204">
        <f>_xlfn.XLOOKUP(FMS_Ranking4[[#This Row],[FMS ID]],Prev_Rank[FMS ID],Prev_Rank[Prev Rank])</f>
        <v>433</v>
      </c>
      <c r="BQ488" s="251" t="e">
        <f>_xlfn.XLOOKUP(FMS_Ranking4[[#This Row],[FMS ID]],#REF!,#REF!)</f>
        <v>#REF!</v>
      </c>
      <c r="BR488" s="199" t="e">
        <f>SUM(#REF!,#REF!,#REF!,#REF!,#REF!,#REF!,#REF!,#REF!,#REF!,FMS_Ranking4[[#This Row],[ArcSinh Res struct removed 0-10]],#REF!)</f>
        <v>#REF!</v>
      </c>
      <c r="BS488" s="199" t="e">
        <f>FMS_Ranking4[[#This Row],[Log Score Based on Normalized Reported Factors]]+FMS_Ranking4[[#This Row],[% NBS Score (Normalized)]]+(FMS_Ranking4[[#This Row],[Water Supply Score (Normalized)]]*10*$BB$5)+(FMS_Ranking4[[#This Row],[FMS_Type Score Weighted]])</f>
        <v>#REF!</v>
      </c>
      <c r="BT488" s="200" t="e">
        <f>_xlfn.RANK.EQ(FMS_Ranking4[[#This Row],[Log Total Score]],FMS_Ranking4[Log Total Score],0)</f>
        <v>#REF!</v>
      </c>
      <c r="BU488" s="200" t="e">
        <f>_xlfn.XLOOKUP(FMS_Ranking4[[#This Row],[FMS ID]],#REF!,#REF!)</f>
        <v>#REF!</v>
      </c>
      <c r="BV488" s="200">
        <f>FMS_Ranking4[[#This Row],[Region Number]]</f>
        <v>5</v>
      </c>
      <c r="BW488" s="200">
        <f>FMS_Ranking4[[#This Row],[Rank (with ArcSinh normalization of select criteria)]]-FMS_Ranking4[[#This Row],[Rank
(with linear
normalization)]]</f>
        <v>-178</v>
      </c>
      <c r="BX488" s="200" t="e">
        <f>FMS_Ranking4[[#This Row],[Log Rank]]-FMS_Ranking4[[#This Row],[Rank
(with linear
normalization)]]</f>
        <v>#REF!</v>
      </c>
      <c r="BY488" s="200" t="str">
        <f>IF(FMS_Ranking4[[#This Row],[FMS Type]]="Flood Measurement and Warning",FMS_Ranking4[[#This Row],[Rank (with ArcSinh normalization of select criteria)]],"")</f>
        <v/>
      </c>
      <c r="BZ488" s="200" t="str">
        <f>IF(FMS_Ranking4[[#This Row],[FMS Type]]="Regulatory and Guidance",FMS_Ranking4[[#This Row],[Rank (with ArcSinh normalization of select criteria)]],"")</f>
        <v/>
      </c>
      <c r="CA488" s="200" t="str">
        <f>IF(FMS_Ranking4[[#This Row],[FMS Type]]="Education and Outreach",FMS_Ranking4[[#This Row],[Rank (with ArcSinh normalization of select criteria)]],"")</f>
        <v/>
      </c>
      <c r="CB488" s="200" t="str">
        <f>IF(FMS_Ranking4[[#This Row],[FMS Type]]="Property Acquisition and Structural Elevation",FMS_Ranking4[[#This Row],[Rank (with ArcSinh normalization of select criteria)]],"")</f>
        <v/>
      </c>
      <c r="CC488" s="200">
        <f>IF(FMS_Ranking4[[#This Row],[FMS Type]]="Infrastructure Projects",FMS_Ranking4[[#This Row],[Rank (with ArcSinh normalization of select criteria)]],"")</f>
        <v>481</v>
      </c>
      <c r="CD488" s="200" t="str">
        <f>IF(FMS_Ranking4[[#This Row],[FMS Type]]="Other",FMS_Ranking4[[#This Row],[Rank (with ArcSinh normalization of select criteria)]],"")</f>
        <v/>
      </c>
      <c r="CE488" s="201"/>
      <c r="CF488" s="206"/>
      <c r="CG488" s="206"/>
      <c r="CH488" s="206"/>
      <c r="CI488" s="206"/>
      <c r="CJ488" s="206"/>
      <c r="CK488" s="206"/>
      <c r="CL488" s="206"/>
      <c r="CM488" s="206"/>
      <c r="CN488" s="206"/>
      <c r="CO488" s="206"/>
      <c r="CP488" s="206"/>
      <c r="CQ488" s="206"/>
      <c r="CR488" s="206"/>
    </row>
    <row r="489" spans="2:96" ht="135" x14ac:dyDescent="0.25">
      <c r="B489" s="341" t="s">
        <v>2740</v>
      </c>
      <c r="C489" s="246">
        <f>_xlfn.XLOOKUP(FMS_Ranking4[[#This Row],[FMS ID]],FMS_Input[FMS_ID],FMS_Input[RFPG_NUM])</f>
        <v>5</v>
      </c>
      <c r="D489" s="309" t="str">
        <f>_xlfn.XLOOKUP(FMS_Ranking4[[#This Row],[FMS ID]],FMS_Input[FMS_ID],FMS_Input[FMS_NAME])</f>
        <v>Polk County Flood Infrastructure Improvements</v>
      </c>
      <c r="E489" s="308" t="str">
        <f>_xlfn.XLOOKUP(FMS_Ranking4[[#This Row],[FMS ID]],FMS_Input[FMS_ID],FMS_Input[SPONSOR])</f>
        <v>00000058</v>
      </c>
      <c r="F489" s="309" t="str">
        <f>_xlfn.XLOOKUP(FMS_Ranking4[[#This Row],[FMS ID]],Sponsor[FMS_ID],Sponsor[SPONSOR NAME])</f>
        <v>Polk</v>
      </c>
      <c r="G489" s="309" t="str">
        <f>_xlfn.XLOOKUP(FMS_Ranking4[[#This Row],[FMS ID]],FMS_Input[FMS_ID],FMS_Input[FMS_DESCR])</f>
        <v>Implement program to elevate and reinforce roadways and bridges prone to inundation from flooding. Projects may include general road elevation; upgrading culverts and installing headwalls; upgrades and reinforcement of bridges and bridge footings.</v>
      </c>
      <c r="H489" s="248" t="str">
        <f>_xlfn.XLOOKUP(FMS_Ranking4[[#This Row],[FMS ID]],FMS_Input[FMS_ID],FMS_Input[FMS_TYPE])</f>
        <v>Infrastructure Projects</v>
      </c>
      <c r="I489" s="249">
        <f>_xlfn.XLOOKUP(FMS_Ranking4[[#This Row],[FMS ID]],FMS_Input[FMS_ID],FMS_Input[NRNC_COST])</f>
        <v>200000</v>
      </c>
      <c r="J489" s="250">
        <f>_xlfn.XLOOKUP(FMS_Ranking4[[#This Row],[FMS ID]],FMS_Input[FMS_ID],FMS_Input[FMS_COST])</f>
        <v>2000000</v>
      </c>
      <c r="K489" s="251" t="str">
        <f>_xlfn.XLOOKUP(FMS_Ranking4[[#This Row],[FMS ID]],FMS_Input[FMS_ID],FMS_Input[EMER_NEED])</f>
        <v>Yes</v>
      </c>
      <c r="L489" s="252">
        <f t="shared" si="7"/>
        <v>1</v>
      </c>
      <c r="M489" s="253">
        <f>_xlfn.XLOOKUP(FMS_Ranking4[[#This Row],[FMS ID]],FMS_Input[FMS_ID],FMS_Input[STRUCT_100])</f>
        <v>84</v>
      </c>
      <c r="N489" s="255">
        <f>(ASINH(FMS_Ranking4[[#This Row],[Structure at Risk Raw]]))*(10)/(ASINH(M$4))</f>
        <v>4.0282264654381841</v>
      </c>
      <c r="O489" s="256">
        <f>FMS_Ranking4[[#This Row],[Structures at risk, ArcSinh (0-10)]]*M$5*10</f>
        <v>4.0282264654381841</v>
      </c>
      <c r="P489" s="253">
        <f>_xlfn.XLOOKUP(FMS_Ranking4[[#This Row],[FMS ID]],FMS_Input[FMS_ID],FMS_Input[RES_STRUCT100])</f>
        <v>45</v>
      </c>
      <c r="Q489" s="257">
        <f>ASINH(FMS_Ranking4[[#This Row],[Res Structure Raw]])/Q$4*P$5*100</f>
        <v>0</v>
      </c>
      <c r="R489" s="253">
        <f>_xlfn.XLOOKUP(FMS_Ranking4[[#This Row],[FMS ID]],FMS_Input[FMS_ID],FMS_Input[POP100])</f>
        <v>368</v>
      </c>
      <c r="S489" s="255">
        <f>(ASINH(FMS_Ranking4[[#This Row],[Pop at Risk Raw]]))*(10)/(ASINH(R$4))</f>
        <v>4.5572147353545693</v>
      </c>
      <c r="T489" s="256">
        <f>FMS_Ranking4[[#This Row],[Population at risk, ArcSinh (0-10)]]*R$5*10</f>
        <v>4.5572147353545693</v>
      </c>
      <c r="U489" s="253">
        <f>_xlfn.XLOOKUP(FMS_Ranking4[[#This Row],[FMS ID]],FMS_Input[FMS_ID],FMS_Input[CRITFAC100])</f>
        <v>0</v>
      </c>
      <c r="V489" s="255">
        <f>(ASINH(FMS_Ranking4[[#This Row],[Critical Facilities Raw]]))*(10)/(ASINH(U$4))</f>
        <v>0</v>
      </c>
      <c r="W489" s="256">
        <f>FMS_Ranking4[[#This Row],[Critical facilities at risk, ArcSinh (0-10)]]*U$5*10</f>
        <v>0</v>
      </c>
      <c r="X489" s="253">
        <f>_xlfn.XLOOKUP(FMS_Ranking4[[#This Row],[FMS ID]],FMS_Input[FMS_ID],FMS_Input[LWC])</f>
        <v>8</v>
      </c>
      <c r="Y489" s="255">
        <f>(ASINH(FMS_Ranking4[[#This Row],[LWC Raw]]))*(10)/(ASINH(X$4))</f>
        <v>3.7613918882232862</v>
      </c>
      <c r="Z489" s="256">
        <f>FMS_Ranking4[[#This Row],[LWC, ArcSInh (0-10)]]*X$5*10</f>
        <v>3.7613918882232866</v>
      </c>
      <c r="AA489" s="253">
        <f>_xlfn.XLOOKUP(FMS_Ranking4[[#This Row],[FMS ID]],FMS_Input[FMS_ID],FMS_Input[ROADCLS])</f>
        <v>8</v>
      </c>
      <c r="AB489" s="255">
        <f>(ASINH(FMS_Ranking4[[#This Row],[Road Closures Raw]]))*(10)/(ASINH(AA$4))</f>
        <v>2.8914410470954248</v>
      </c>
      <c r="AC489" s="256">
        <f>FMS_Ranking4[[#This Row],[Road closures, ArcSinh (0-10)]]*AA$5*10</f>
        <v>1.4457205235477124</v>
      </c>
      <c r="AD489" s="253">
        <f>_xlfn.XLOOKUP(FMS_Ranking4[[#This Row],[FMS ID]],FMS_Input[FMS_ID],FMS_Input[ROAD_MILES100])</f>
        <v>17</v>
      </c>
      <c r="AE489" s="255">
        <f>(ASINH(FMS_Ranking4[[#This Row],[Road Miles Raw]]))*(10)/(ASINH(AD$4))</f>
        <v>3.7590508453510045</v>
      </c>
      <c r="AF489" s="256">
        <f>FMS_Ranking4[[#This Row],[Length of roads at risk, ArcSinh (0-10)]]*AD$5*10</f>
        <v>3.7590508453510045</v>
      </c>
      <c r="AG489" s="253">
        <f>_xlfn.XLOOKUP(FMS_Ranking4[[#This Row],[FMS ID]],FMS_Input[FMS_ID],FMS_Input[FARMACRE100])</f>
        <v>62.190280914306641</v>
      </c>
      <c r="AH489" s="255">
        <f>(ASINH(FMS_Ranking4[[#This Row],[Ag Land Raw]]))*(10)/(ASINH(AG$4))</f>
        <v>3.1331981092467864</v>
      </c>
      <c r="AI489" s="260">
        <f>FMS_Ranking4[[#This Row],[Farm &amp; ranch land, ArcSinh (0-10)]]*AG$5*10</f>
        <v>1.5665990546233932</v>
      </c>
      <c r="AJ489" s="258">
        <f>_xlfn.XLOOKUP(FMS_Ranking4[[#This Row],[FMS ID]],FMS_Input[FMS_ID],FMS_Input[REDSTRUCT100])</f>
        <v>0</v>
      </c>
      <c r="AK489" s="253">
        <f>_xlfn.XLOOKUP(FMS_Ranking4[[#This Row],[FMS ID]],FMS_Input[FMS_ID],FMS_Input[REMSTRC100])</f>
        <v>0</v>
      </c>
      <c r="AL489" s="255">
        <f>(ASINH(FMS_Ranking4[[#This Row],[Structures Removed Raw]]))*(10)/(ASINH(AK$4))</f>
        <v>0</v>
      </c>
      <c r="AM489" s="262">
        <f>FMS_Ranking4[[#This Row],[Structures removed, ArcSinh (0-10)]]*AK$5*10</f>
        <v>0</v>
      </c>
      <c r="AN489" s="253">
        <f>_xlfn.XLOOKUP(FMS_Ranking4[[#This Row],[FMS ID]],FMS_Input[FMS_ID],FMS_Input[REMRESSTRC100])</f>
        <v>0</v>
      </c>
      <c r="AO489" s="261">
        <f>FMS_Ranking4[[#This Row],[ArcSinh Res struct removed 0-10]]*AN$5*10</f>
        <v>0</v>
      </c>
      <c r="AP489" s="260">
        <f>ASINH(FMS_Ranking4[[#This Row],[Residential Structures Removed Raw]])/AP$4*AN$5*100</f>
        <v>0</v>
      </c>
      <c r="AQ489" s="258">
        <f>(ASINH(FMS_Ranking4[[#This Row],[Residential Structures Removed Raw]]))*(10)/(ASINH(AN$4))</f>
        <v>0</v>
      </c>
      <c r="AR489" s="253">
        <f>_xlfn.XLOOKUP(FMS_Ranking4[[#This Row],[FMS ID]],FMS_Input[FMS_ID],FMS_Input[REMPOP100])</f>
        <v>0</v>
      </c>
      <c r="AS489" s="255">
        <f>(ASINH(FMS_Ranking4[[#This Row],[Removed Pop Raw]]))*(10)/(ASINH(AR$4))</f>
        <v>0</v>
      </c>
      <c r="AT489" s="262">
        <f>FMS_Ranking4[[#This Row],[Removed population, ArcSinh (0-10)]]*AR$5*10</f>
        <v>0</v>
      </c>
      <c r="AU489" s="264">
        <f>_xlfn.XLOOKUP(FMS_Ranking4[[#This Row],[FMS ID]],FMS_Input[FMS_ID],FMS_Input[REMCRITFAC100])</f>
        <v>0</v>
      </c>
      <c r="AV489" s="264">
        <f>_xlfn.XLOOKUP(FMS_Ranking4[[#This Row],[FMS ID]],FMS_Input[FMS_ID],FMS_Input[REMLWC100])</f>
        <v>0</v>
      </c>
      <c r="AW489" s="264">
        <f>_xlfn.XLOOKUP(FMS_Ranking4[[#This Row],[FMS ID]],FMS_Input[FMS_ID],FMS_Input[REMROADCLS])</f>
        <v>0</v>
      </c>
      <c r="AX489" s="264">
        <f>_xlfn.XLOOKUP(FMS_Ranking4[[#This Row],[FMS ID]],FMS_Input[FMS_ID],FMS_Input[REMFRMACRE100])</f>
        <v>0</v>
      </c>
      <c r="AY489" s="258">
        <f>_xlfn.XLOOKUP(FMS_Ranking4[[#This Row],[FMS ID]],FMS_Input[FMS_ID],FMS_Input[COSTSTRUCT])</f>
        <v>0</v>
      </c>
      <c r="AZ489" s="253">
        <f>_xlfn.XLOOKUP(FMS_Ranking4[[#This Row],[FMS ID]],FMS_Input[FMS_ID],FMS_Input[NATURE])</f>
        <v>0</v>
      </c>
      <c r="BA489" s="262">
        <f>(((FMS_Ranking4[[#This Row],[% NBS Raw]]/AZ$4)*100)*AZ$5)</f>
        <v>0</v>
      </c>
      <c r="BB489" s="251" t="str">
        <f>_xlfn.XLOOKUP(FMS_Ranking4[[#This Row],[FMS ID]],FMS_Input[FMS_ID],FMS_Input[WATER_SUP])</f>
        <v>No</v>
      </c>
      <c r="BC489" s="265">
        <f>IF(FMS_Ranking4[[#This Row],[Water Supply Raw]]="Yes",10,0)</f>
        <v>0</v>
      </c>
      <c r="BD489" s="266">
        <f>_xlfn.XLOOKUP(FMS_Ranking4[[#This Row],[FMS Type]],FMS_TYPE[FMS_Type],FMS_TYPE[Score])</f>
        <v>4</v>
      </c>
      <c r="BE489" s="267">
        <f>FMS_Ranking4[[#This Row],[FMS_Type Score]]*$BD$5*10</f>
        <v>1</v>
      </c>
      <c r="BF48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0.14255071907739919</v>
      </c>
      <c r="BG489" s="321">
        <f>_xlfn.RANK.EQ(BF489,$BF$8:$BF$870,0)+COUNTIF($BF$8:BF489,BF489)-1</f>
        <v>411</v>
      </c>
      <c r="BH489" s="294">
        <f>(((FMS_Ranking4[[#This Row],[Structures Removed Raw]]/AK$4)*100)*AK$5)+(((FMS_Ranking4[[#This Row],[Removed Pop Raw]]/AR$4)*100)*AR$5)</f>
        <v>0</v>
      </c>
      <c r="BI48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1.1425507190773991</v>
      </c>
      <c r="BJ489" s="251">
        <f>_xlfn.RANK.EQ(FMS_Ranking4[[#This Row],[Total Score 
(with linear
normalization)]],FMS_Ranking4[Total Score 
(with linear
normalization)],0)</f>
        <v>659</v>
      </c>
      <c r="BK489" s="251" t="e">
        <f>_xlfn.XLOOKUP(FMS_Ranking4[[#This Row],[FMS ID]],#REF!,#REF!)</f>
        <v>#REF!</v>
      </c>
      <c r="BL48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19.118203512538152</v>
      </c>
      <c r="BM489" s="324">
        <f>FMS_Ranking4[[#This Row],[ArcSinh Score Based on Normalized Reported Factors]]+FMS_Ranking4[[#This Row],[% NBS Score (Normalized)]]+(FMS_Ranking4[[#This Row],[Water Supply Score (Normalized)]]*10*$BB$5)+FMS_Ranking4[[#This Row],[FMS_Type Score Weighted]]</f>
        <v>20.118203512538152</v>
      </c>
      <c r="BN489" s="251">
        <f>_xlfn.RANK.EQ(FMS_Ranking4[[#This Row],[Total Score (with ArcSinh normalization of select criteria)]],FMS_Ranking4[Total Score (with ArcSinh normalization of select criteria)],0)</f>
        <v>481</v>
      </c>
      <c r="BO489" s="270" t="str">
        <f>_xlfn.XLOOKUP(FMS_Ranking4[[#This Row],[FMS ID]],FMS_Input[FMS_ID],FMS_Input[FMS_RANK_YEAR])</f>
        <v>2023 Amended Plan</v>
      </c>
      <c r="BP489" s="204">
        <f>_xlfn.XLOOKUP(FMS_Ranking4[[#This Row],[FMS ID]],Prev_Rank[FMS ID],Prev_Rank[Prev Rank])</f>
        <v>433</v>
      </c>
      <c r="BQ489" s="251" t="e">
        <f>_xlfn.XLOOKUP(FMS_Ranking4[[#This Row],[FMS ID]],#REF!,#REF!)</f>
        <v>#REF!</v>
      </c>
      <c r="BR489" s="199" t="e">
        <f>SUM(#REF!,#REF!,#REF!,#REF!,#REF!,#REF!,#REF!,#REF!,#REF!,FMS_Ranking4[[#This Row],[ArcSinh Res struct removed 0-10]],#REF!)</f>
        <v>#REF!</v>
      </c>
      <c r="BS489" s="199" t="e">
        <f>FMS_Ranking4[[#This Row],[Log Score Based on Normalized Reported Factors]]+FMS_Ranking4[[#This Row],[% NBS Score (Normalized)]]+(FMS_Ranking4[[#This Row],[Water Supply Score (Normalized)]]*10*$BB$5)+(FMS_Ranking4[[#This Row],[FMS_Type Score Weighted]])</f>
        <v>#REF!</v>
      </c>
      <c r="BT489" s="200" t="e">
        <f>_xlfn.RANK.EQ(FMS_Ranking4[[#This Row],[Log Total Score]],FMS_Ranking4[Log Total Score],0)</f>
        <v>#REF!</v>
      </c>
      <c r="BU489" s="200" t="e">
        <f>_xlfn.XLOOKUP(FMS_Ranking4[[#This Row],[FMS ID]],#REF!,#REF!)</f>
        <v>#REF!</v>
      </c>
      <c r="BV489" s="200">
        <f>FMS_Ranking4[[#This Row],[Region Number]]</f>
        <v>5</v>
      </c>
      <c r="BW489" s="200">
        <f>FMS_Ranking4[[#This Row],[Rank (with ArcSinh normalization of select criteria)]]-FMS_Ranking4[[#This Row],[Rank
(with linear
normalization)]]</f>
        <v>-178</v>
      </c>
      <c r="BX489" s="200" t="e">
        <f>FMS_Ranking4[[#This Row],[Log Rank]]-FMS_Ranking4[[#This Row],[Rank
(with linear
normalization)]]</f>
        <v>#REF!</v>
      </c>
      <c r="BY489" s="200" t="str">
        <f>IF(FMS_Ranking4[[#This Row],[FMS Type]]="Flood Measurement and Warning",FMS_Ranking4[[#This Row],[Rank (with ArcSinh normalization of select criteria)]],"")</f>
        <v/>
      </c>
      <c r="BZ489" s="200" t="str">
        <f>IF(FMS_Ranking4[[#This Row],[FMS Type]]="Regulatory and Guidance",FMS_Ranking4[[#This Row],[Rank (with ArcSinh normalization of select criteria)]],"")</f>
        <v/>
      </c>
      <c r="CA489" s="200" t="str">
        <f>IF(FMS_Ranking4[[#This Row],[FMS Type]]="Education and Outreach",FMS_Ranking4[[#This Row],[Rank (with ArcSinh normalization of select criteria)]],"")</f>
        <v/>
      </c>
      <c r="CB489" s="200" t="str">
        <f>IF(FMS_Ranking4[[#This Row],[FMS Type]]="Property Acquisition and Structural Elevation",FMS_Ranking4[[#This Row],[Rank (with ArcSinh normalization of select criteria)]],"")</f>
        <v/>
      </c>
      <c r="CC489" s="200">
        <f>IF(FMS_Ranking4[[#This Row],[FMS Type]]="Infrastructure Projects",FMS_Ranking4[[#This Row],[Rank (with ArcSinh normalization of select criteria)]],"")</f>
        <v>481</v>
      </c>
      <c r="CD489" s="200" t="str">
        <f>IF(FMS_Ranking4[[#This Row],[FMS Type]]="Other",FMS_Ranking4[[#This Row],[Rank (with ArcSinh normalization of select criteria)]],"")</f>
        <v/>
      </c>
      <c r="CE489" s="201"/>
      <c r="CF489" s="206"/>
      <c r="CG489" s="206"/>
      <c r="CH489" s="206"/>
      <c r="CI489" s="206"/>
      <c r="CJ489" s="206"/>
      <c r="CK489" s="206"/>
      <c r="CL489" s="206"/>
      <c r="CM489" s="206"/>
      <c r="CN489" s="206"/>
      <c r="CO489" s="206"/>
      <c r="CP489" s="206"/>
      <c r="CQ489" s="206"/>
      <c r="CR489" s="206"/>
    </row>
    <row r="490" spans="2:96" ht="75" x14ac:dyDescent="0.25">
      <c r="B490" s="341" t="s">
        <v>2281</v>
      </c>
      <c r="C490" s="246">
        <f>_xlfn.XLOOKUP(FMS_Ranking4[[#This Row],[FMS ID]],FMS_Input[FMS_ID],FMS_Input[RFPG_NUM])</f>
        <v>3</v>
      </c>
      <c r="D490" s="309" t="str">
        <f>_xlfn.XLOOKUP(FMS_Ranking4[[#This Row],[FMS ID]],FMS_Input[FMS_ID],FMS_Input[FMS_NAME])</f>
        <v>Lewisville Storm Water Utility Fee</v>
      </c>
      <c r="E490" s="308" t="str">
        <f>_xlfn.XLOOKUP(FMS_Ranking4[[#This Row],[FMS ID]],FMS_Input[FMS_ID],FMS_Input[SPONSOR])</f>
        <v>Lewisville</v>
      </c>
      <c r="F490" s="309" t="str">
        <f>_xlfn.XLOOKUP(FMS_Ranking4[[#This Row],[FMS ID]],Sponsor[FMS_ID],Sponsor[SPONSOR NAME])</f>
        <v>Lewisville</v>
      </c>
      <c r="G490" s="309" t="str">
        <f>_xlfn.XLOOKUP(FMS_Ranking4[[#This Row],[FMS ID]],FMS_Input[FMS_ID],FMS_Input[FMS_DESCR])</f>
        <v>Conduct a study to evaluate the implementation of levying a storm water fee for developers to fund developments to the storm water drainage systems</v>
      </c>
      <c r="H490" s="248" t="str">
        <f>_xlfn.XLOOKUP(FMS_Ranking4[[#This Row],[FMS ID]],FMS_Input[FMS_ID],FMS_Input[FMS_TYPE])</f>
        <v>Regulatory and Guidance</v>
      </c>
      <c r="I490" s="249">
        <f>_xlfn.XLOOKUP(FMS_Ranking4[[#This Row],[FMS ID]],FMS_Input[FMS_ID],FMS_Input[NRNC_COST])</f>
        <v>200000</v>
      </c>
      <c r="J490" s="250">
        <f>_xlfn.XLOOKUP(FMS_Ranking4[[#This Row],[FMS ID]],FMS_Input[FMS_ID],FMS_Input[FMS_COST])</f>
        <v>200000</v>
      </c>
      <c r="K490" s="251" t="str">
        <f>_xlfn.XLOOKUP(FMS_Ranking4[[#This Row],[FMS ID]],FMS_Input[FMS_ID],FMS_Input[EMER_NEED])</f>
        <v>No</v>
      </c>
      <c r="L490" s="252">
        <f t="shared" si="7"/>
        <v>0</v>
      </c>
      <c r="M490" s="253">
        <f>_xlfn.XLOOKUP(FMS_Ranking4[[#This Row],[FMS ID]],FMS_Input[FMS_ID],FMS_Input[STRUCT_100])</f>
        <v>314</v>
      </c>
      <c r="N490" s="255">
        <f>(ASINH(FMS_Ranking4[[#This Row],[Structure at Risk Raw]]))*(10)/(ASINH(M$4))</f>
        <v>5.064797816878853</v>
      </c>
      <c r="O490" s="256">
        <f>FMS_Ranking4[[#This Row],[Structures at risk, ArcSinh (0-10)]]*M$5*10</f>
        <v>5.064797816878853</v>
      </c>
      <c r="P490" s="253">
        <f>_xlfn.XLOOKUP(FMS_Ranking4[[#This Row],[FMS ID]],FMS_Input[FMS_ID],FMS_Input[RES_STRUCT100])</f>
        <v>301</v>
      </c>
      <c r="Q490" s="257">
        <f>ASINH(FMS_Ranking4[[#This Row],[Res Structure Raw]])/Q$4*P$5*100</f>
        <v>0</v>
      </c>
      <c r="R490" s="253">
        <f>_xlfn.XLOOKUP(FMS_Ranking4[[#This Row],[FMS ID]],FMS_Input[FMS_ID],FMS_Input[POP100])</f>
        <v>3245</v>
      </c>
      <c r="S490" s="255">
        <f>(ASINH(FMS_Ranking4[[#This Row],[Pop at Risk Raw]]))*(10)/(ASINH(R$4))</f>
        <v>6.0599767484620433</v>
      </c>
      <c r="T490" s="256">
        <f>FMS_Ranking4[[#This Row],[Population at risk, ArcSinh (0-10)]]*R$5*10</f>
        <v>6.0599767484620433</v>
      </c>
      <c r="U490" s="253">
        <f>_xlfn.XLOOKUP(FMS_Ranking4[[#This Row],[FMS ID]],FMS_Input[FMS_ID],FMS_Input[CRITFAC100])</f>
        <v>0</v>
      </c>
      <c r="V490" s="255">
        <f>(ASINH(FMS_Ranking4[[#This Row],[Critical Facilities Raw]]))*(10)/(ASINH(U$4))</f>
        <v>0</v>
      </c>
      <c r="W490" s="256">
        <f>FMS_Ranking4[[#This Row],[Critical facilities at risk, ArcSinh (0-10)]]*U$5*10</f>
        <v>0</v>
      </c>
      <c r="X490" s="253">
        <f>_xlfn.XLOOKUP(FMS_Ranking4[[#This Row],[FMS ID]],FMS_Input[FMS_ID],FMS_Input[LWC])</f>
        <v>0</v>
      </c>
      <c r="Y490" s="255">
        <f>(ASINH(FMS_Ranking4[[#This Row],[LWC Raw]]))*(10)/(ASINH(X$4))</f>
        <v>0</v>
      </c>
      <c r="Z490" s="256">
        <f>FMS_Ranking4[[#This Row],[LWC, ArcSInh (0-10)]]*X$5*10</f>
        <v>0</v>
      </c>
      <c r="AA490" s="253">
        <f>_xlfn.XLOOKUP(FMS_Ranking4[[#This Row],[FMS ID]],FMS_Input[FMS_ID],FMS_Input[ROADCLS])</f>
        <v>0</v>
      </c>
      <c r="AB490" s="255">
        <f>(ASINH(FMS_Ranking4[[#This Row],[Road Closures Raw]]))*(10)/(ASINH(AA$4))</f>
        <v>0</v>
      </c>
      <c r="AC490" s="256">
        <f>FMS_Ranking4[[#This Row],[Road closures, ArcSinh (0-10)]]*AA$5*10</f>
        <v>0</v>
      </c>
      <c r="AD490" s="253">
        <f>_xlfn.XLOOKUP(FMS_Ranking4[[#This Row],[FMS ID]],FMS_Input[FMS_ID],FMS_Input[ROAD_MILES100])</f>
        <v>32</v>
      </c>
      <c r="AE490" s="255">
        <f>(ASINH(FMS_Ranking4[[#This Row],[Road Miles Raw]]))*(10)/(ASINH(AD$4))</f>
        <v>4.4324852488073416</v>
      </c>
      <c r="AF490" s="256">
        <f>FMS_Ranking4[[#This Row],[Length of roads at risk, ArcSinh (0-10)]]*AD$5*10</f>
        <v>4.4324852488073416</v>
      </c>
      <c r="AG490" s="253">
        <f>_xlfn.XLOOKUP(FMS_Ranking4[[#This Row],[FMS ID]],FMS_Input[FMS_ID],FMS_Input[FARMACRE100])</f>
        <v>868.67181396484375</v>
      </c>
      <c r="AH490" s="255">
        <f>(ASINH(FMS_Ranking4[[#This Row],[Ag Land Raw]]))*(10)/(ASINH(AG$4))</f>
        <v>4.8459511029856053</v>
      </c>
      <c r="AI490" s="260">
        <f>FMS_Ranking4[[#This Row],[Farm &amp; ranch land, ArcSinh (0-10)]]*AG$5*10</f>
        <v>2.4229755514928026</v>
      </c>
      <c r="AJ490" s="258">
        <f>_xlfn.XLOOKUP(FMS_Ranking4[[#This Row],[FMS ID]],FMS_Input[FMS_ID],FMS_Input[REDSTRUCT100])</f>
        <v>0</v>
      </c>
      <c r="AK490" s="253">
        <f>_xlfn.XLOOKUP(FMS_Ranking4[[#This Row],[FMS ID]],FMS_Input[FMS_ID],FMS_Input[REMSTRC100])</f>
        <v>0</v>
      </c>
      <c r="AL490" s="255">
        <f>(ASINH(FMS_Ranking4[[#This Row],[Structures Removed Raw]]))*(10)/(ASINH(AK$4))</f>
        <v>0</v>
      </c>
      <c r="AM490" s="262">
        <f>FMS_Ranking4[[#This Row],[Structures removed, ArcSinh (0-10)]]*AK$5*10</f>
        <v>0</v>
      </c>
      <c r="AN490" s="253">
        <f>_xlfn.XLOOKUP(FMS_Ranking4[[#This Row],[FMS ID]],FMS_Input[FMS_ID],FMS_Input[REMRESSTRC100])</f>
        <v>0</v>
      </c>
      <c r="AO490" s="261">
        <f>FMS_Ranking4[[#This Row],[ArcSinh Res struct removed 0-10]]*AN$5*10</f>
        <v>0</v>
      </c>
      <c r="AP490" s="260">
        <f>ASINH(FMS_Ranking4[[#This Row],[Residential Structures Removed Raw]])/AP$4*AN$5*100</f>
        <v>0</v>
      </c>
      <c r="AQ490" s="258">
        <f>(ASINH(FMS_Ranking4[[#This Row],[Residential Structures Removed Raw]]))*(10)/(ASINH(AN$4))</f>
        <v>0</v>
      </c>
      <c r="AR490" s="253">
        <f>_xlfn.XLOOKUP(FMS_Ranking4[[#This Row],[FMS ID]],FMS_Input[FMS_ID],FMS_Input[REMPOP100])</f>
        <v>0</v>
      </c>
      <c r="AS490" s="255">
        <f>(ASINH(FMS_Ranking4[[#This Row],[Removed Pop Raw]]))*(10)/(ASINH(AR$4))</f>
        <v>0</v>
      </c>
      <c r="AT490" s="262">
        <f>FMS_Ranking4[[#This Row],[Removed population, ArcSinh (0-10)]]*AR$5*10</f>
        <v>0</v>
      </c>
      <c r="AU490" s="264">
        <f>_xlfn.XLOOKUP(FMS_Ranking4[[#This Row],[FMS ID]],FMS_Input[FMS_ID],FMS_Input[REMCRITFAC100])</f>
        <v>0</v>
      </c>
      <c r="AV490" s="264">
        <f>_xlfn.XLOOKUP(FMS_Ranking4[[#This Row],[FMS ID]],FMS_Input[FMS_ID],FMS_Input[REMLWC100])</f>
        <v>0</v>
      </c>
      <c r="AW490" s="264">
        <f>_xlfn.XLOOKUP(FMS_Ranking4[[#This Row],[FMS ID]],FMS_Input[FMS_ID],FMS_Input[REMROADCLS])</f>
        <v>0</v>
      </c>
      <c r="AX490" s="264">
        <f>_xlfn.XLOOKUP(FMS_Ranking4[[#This Row],[FMS ID]],FMS_Input[FMS_ID],FMS_Input[REMFRMACRE100])</f>
        <v>0</v>
      </c>
      <c r="AY490" s="258">
        <f>_xlfn.XLOOKUP(FMS_Ranking4[[#This Row],[FMS ID]],FMS_Input[FMS_ID],FMS_Input[COSTSTRUCT])</f>
        <v>0</v>
      </c>
      <c r="AZ490" s="253">
        <f>_xlfn.XLOOKUP(FMS_Ranking4[[#This Row],[FMS ID]],FMS_Input[FMS_ID],FMS_Input[NATURE])</f>
        <v>0</v>
      </c>
      <c r="BA490" s="262">
        <f>(((FMS_Ranking4[[#This Row],[% NBS Raw]]/AZ$4)*100)*AZ$5)</f>
        <v>0</v>
      </c>
      <c r="BB490" s="251" t="str">
        <f>_xlfn.XLOOKUP(FMS_Ranking4[[#This Row],[FMS ID]],FMS_Input[FMS_ID],FMS_Input[WATER_SUP])</f>
        <v>No</v>
      </c>
      <c r="BC490" s="265">
        <f>IF(FMS_Ranking4[[#This Row],[Water Supply Raw]]="Yes",10,0)</f>
        <v>0</v>
      </c>
      <c r="BD490" s="266">
        <f>_xlfn.XLOOKUP(FMS_Ranking4[[#This Row],[FMS Type]],FMS_TYPE[FMS_Type],FMS_TYPE[Score])</f>
        <v>8</v>
      </c>
      <c r="BE490" s="267">
        <f>FMS_Ranking4[[#This Row],[FMS_Type Score]]*$BD$5*10</f>
        <v>2</v>
      </c>
      <c r="BF49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0.1076231050034515</v>
      </c>
      <c r="BG490" s="321">
        <f>_xlfn.RANK.EQ(BF490,$BF$8:$BF$870,0)+COUNTIF($BF$8:BF490,BF490)-1</f>
        <v>487</v>
      </c>
      <c r="BH490" s="294">
        <f>(((FMS_Ranking4[[#This Row],[Structures Removed Raw]]/AK$4)*100)*AK$5)+(((FMS_Ranking4[[#This Row],[Removed Pop Raw]]/AR$4)*100)*AR$5)</f>
        <v>0</v>
      </c>
      <c r="BI49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2.1076231050034515</v>
      </c>
      <c r="BJ490" s="251">
        <f>_xlfn.RANK.EQ(FMS_Ranking4[[#This Row],[Total Score 
(with linear
normalization)]],FMS_Ranking4[Total Score 
(with linear
normalization)],0)</f>
        <v>366</v>
      </c>
      <c r="BK490" s="251" t="e">
        <f>_xlfn.XLOOKUP(FMS_Ranking4[[#This Row],[FMS ID]],#REF!,#REF!)</f>
        <v>#REF!</v>
      </c>
      <c r="BL49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17.980235365641043</v>
      </c>
      <c r="BM490" s="324">
        <f>FMS_Ranking4[[#This Row],[ArcSinh Score Based on Normalized Reported Factors]]+FMS_Ranking4[[#This Row],[% NBS Score (Normalized)]]+(FMS_Ranking4[[#This Row],[Water Supply Score (Normalized)]]*10*$BB$5)+FMS_Ranking4[[#This Row],[FMS_Type Score Weighted]]</f>
        <v>19.980235365641043</v>
      </c>
      <c r="BN490" s="251">
        <f>_xlfn.RANK.EQ(FMS_Ranking4[[#This Row],[Total Score (with ArcSinh normalization of select criteria)]],FMS_Ranking4[Total Score (with ArcSinh normalization of select criteria)],0)</f>
        <v>483</v>
      </c>
      <c r="BO490" s="270" t="str">
        <f>_xlfn.XLOOKUP(FMS_Ranking4[[#This Row],[FMS ID]],FMS_Input[FMS_ID],FMS_Input[FMS_RANK_YEAR])</f>
        <v>2023 Amended Plan</v>
      </c>
      <c r="BP490" s="204">
        <f>_xlfn.XLOOKUP(FMS_Ranking4[[#This Row],[FMS ID]],Prev_Rank[FMS ID],Prev_Rank[Prev Rank])</f>
        <v>431</v>
      </c>
      <c r="BQ490" s="251" t="e">
        <f>_xlfn.XLOOKUP(FMS_Ranking4[[#This Row],[FMS ID]],#REF!,#REF!)</f>
        <v>#REF!</v>
      </c>
      <c r="BR490" s="199" t="e">
        <f>SUM(#REF!,#REF!,#REF!,#REF!,#REF!,#REF!,#REF!,#REF!,#REF!,FMS_Ranking4[[#This Row],[ArcSinh Res struct removed 0-10]],#REF!)</f>
        <v>#REF!</v>
      </c>
      <c r="BS490" s="199" t="e">
        <f>FMS_Ranking4[[#This Row],[Log Score Based on Normalized Reported Factors]]+FMS_Ranking4[[#This Row],[% NBS Score (Normalized)]]+(FMS_Ranking4[[#This Row],[Water Supply Score (Normalized)]]*10*$BB$5)+(FMS_Ranking4[[#This Row],[FMS_Type Score Weighted]])</f>
        <v>#REF!</v>
      </c>
      <c r="BT490" s="200" t="e">
        <f>_xlfn.RANK.EQ(FMS_Ranking4[[#This Row],[Log Total Score]],FMS_Ranking4[Log Total Score],0)</f>
        <v>#REF!</v>
      </c>
      <c r="BU490" s="200" t="e">
        <f>_xlfn.XLOOKUP(FMS_Ranking4[[#This Row],[FMS ID]],#REF!,#REF!)</f>
        <v>#REF!</v>
      </c>
      <c r="BV490" s="200">
        <f>FMS_Ranking4[[#This Row],[Region Number]]</f>
        <v>3</v>
      </c>
      <c r="BW490" s="200">
        <f>FMS_Ranking4[[#This Row],[Rank (with ArcSinh normalization of select criteria)]]-FMS_Ranking4[[#This Row],[Rank
(with linear
normalization)]]</f>
        <v>117</v>
      </c>
      <c r="BX490" s="200" t="e">
        <f>FMS_Ranking4[[#This Row],[Log Rank]]-FMS_Ranking4[[#This Row],[Rank
(with linear
normalization)]]</f>
        <v>#REF!</v>
      </c>
      <c r="BY490" s="200" t="str">
        <f>IF(FMS_Ranking4[[#This Row],[FMS Type]]="Flood Measurement and Warning",FMS_Ranking4[[#This Row],[Rank (with ArcSinh normalization of select criteria)]],"")</f>
        <v/>
      </c>
      <c r="BZ490" s="200">
        <f>IF(FMS_Ranking4[[#This Row],[FMS Type]]="Regulatory and Guidance",FMS_Ranking4[[#This Row],[Rank (with ArcSinh normalization of select criteria)]],"")</f>
        <v>483</v>
      </c>
      <c r="CA490" s="200" t="str">
        <f>IF(FMS_Ranking4[[#This Row],[FMS Type]]="Education and Outreach",FMS_Ranking4[[#This Row],[Rank (with ArcSinh normalization of select criteria)]],"")</f>
        <v/>
      </c>
      <c r="CB490" s="200" t="str">
        <f>IF(FMS_Ranking4[[#This Row],[FMS Type]]="Property Acquisition and Structural Elevation",FMS_Ranking4[[#This Row],[Rank (with ArcSinh normalization of select criteria)]],"")</f>
        <v/>
      </c>
      <c r="CC490" s="200" t="str">
        <f>IF(FMS_Ranking4[[#This Row],[FMS Type]]="Infrastructure Projects",FMS_Ranking4[[#This Row],[Rank (with ArcSinh normalization of select criteria)]],"")</f>
        <v/>
      </c>
      <c r="CD490" s="200" t="str">
        <f>IF(FMS_Ranking4[[#This Row],[FMS Type]]="Other",FMS_Ranking4[[#This Row],[Rank (with ArcSinh normalization of select criteria)]],"")</f>
        <v/>
      </c>
      <c r="CE490" s="201"/>
      <c r="CF490" s="206"/>
      <c r="CG490" s="206"/>
      <c r="CH490" s="206"/>
      <c r="CI490" s="206"/>
      <c r="CJ490" s="206"/>
      <c r="CK490" s="206"/>
      <c r="CL490" s="206"/>
      <c r="CM490" s="206"/>
      <c r="CN490" s="206"/>
      <c r="CO490" s="206"/>
      <c r="CP490" s="206"/>
      <c r="CQ490" s="206"/>
      <c r="CR490" s="206"/>
    </row>
    <row r="491" spans="2:96" ht="105" x14ac:dyDescent="0.25">
      <c r="B491" s="341" t="s">
        <v>11954</v>
      </c>
      <c r="C491" s="246">
        <f>_xlfn.XLOOKUP(FMS_Ranking4[[#This Row],[FMS ID]],FMS_Input[FMS_ID],FMS_Input[RFPG_NUM])</f>
        <v>15</v>
      </c>
      <c r="D491" s="309" t="str">
        <f>_xlfn.XLOOKUP(FMS_Ranking4[[#This Row],[FMS ID]],FMS_Input[FMS_ID],FMS_Input[FMS_NAME])</f>
        <v>City of Elsa</v>
      </c>
      <c r="E491" s="308" t="str">
        <f>_xlfn.XLOOKUP(FMS_Ranking4[[#This Row],[FMS ID]],FMS_Input[FMS_ID],FMS_Input[SPONSOR])</f>
        <v>15000057</v>
      </c>
      <c r="F491" s="309" t="str">
        <f>_xlfn.XLOOKUP(FMS_Ranking4[[#This Row],[FMS ID]],Sponsor[FMS_ID],Sponsor[SPONSOR NAME])</f>
        <v>Elsa</v>
      </c>
      <c r="G491" s="309" t="str">
        <f>_xlfn.XLOOKUP(FMS_Ranking4[[#This Row],[FMS ID]],FMS_Input[FMS_ID],FMS_Input[FMS_DESCR])</f>
        <v>FMS 2 - Assessment, development, and updating of the City's ordinances, orders, policies, engineering specifications, guidance documents and other flood management tools.</v>
      </c>
      <c r="H491" s="248" t="str">
        <f>_xlfn.XLOOKUP(FMS_Ranking4[[#This Row],[FMS ID]],FMS_Input[FMS_ID],FMS_Input[FMS_TYPE])</f>
        <v>Regulatory and Guidance</v>
      </c>
      <c r="I491" s="249">
        <f>_xlfn.XLOOKUP(FMS_Ranking4[[#This Row],[FMS ID]],FMS_Input[FMS_ID],FMS_Input[NRNC_COST])</f>
        <v>300000</v>
      </c>
      <c r="J491" s="250">
        <f>_xlfn.XLOOKUP(FMS_Ranking4[[#This Row],[FMS ID]],FMS_Input[FMS_ID],FMS_Input[FMS_COST])</f>
        <v>300000</v>
      </c>
      <c r="K491" s="251" t="str">
        <f>_xlfn.XLOOKUP(FMS_Ranking4[[#This Row],[FMS ID]],FMS_Input[FMS_ID],FMS_Input[EMER_NEED])</f>
        <v>Yes</v>
      </c>
      <c r="L491" s="252">
        <f t="shared" si="7"/>
        <v>1</v>
      </c>
      <c r="M491" s="253">
        <f>_xlfn.XLOOKUP(FMS_Ranking4[[#This Row],[FMS ID]],FMS_Input[FMS_ID],FMS_Input[STRUCT_100])</f>
        <v>541</v>
      </c>
      <c r="N491" s="255">
        <f>(ASINH(FMS_Ranking4[[#This Row],[Structure at Risk Raw]]))*(10)/(ASINH(M$4))</f>
        <v>5.49248216328927</v>
      </c>
      <c r="O491" s="256">
        <f>FMS_Ranking4[[#This Row],[Structures at risk, ArcSinh (0-10)]]*M$5*10</f>
        <v>5.4924821632892709</v>
      </c>
      <c r="P491" s="253">
        <f>_xlfn.XLOOKUP(FMS_Ranking4[[#This Row],[FMS ID]],FMS_Input[FMS_ID],FMS_Input[RES_STRUCT100])</f>
        <v>458</v>
      </c>
      <c r="Q491" s="257">
        <f>ASINH(FMS_Ranking4[[#This Row],[Res Structure Raw]])/Q$4*P$5*100</f>
        <v>0</v>
      </c>
      <c r="R491" s="253">
        <f>_xlfn.XLOOKUP(FMS_Ranking4[[#This Row],[FMS ID]],FMS_Input[FMS_ID],FMS_Input[POP100])</f>
        <v>1769</v>
      </c>
      <c r="S491" s="259">
        <f>(ASINH(FMS_Ranking4[[#This Row],[Pop at Risk Raw]]))*(10)/(ASINH(R$4))</f>
        <v>5.6411358109345944</v>
      </c>
      <c r="T491" s="256">
        <f>FMS_Ranking4[[#This Row],[Population at risk, ArcSinh (0-10)]]*R$5*10</f>
        <v>5.6411358109345944</v>
      </c>
      <c r="U491" s="253">
        <f>_xlfn.XLOOKUP(FMS_Ranking4[[#This Row],[FMS ID]],FMS_Input[FMS_ID],FMS_Input[CRITFAC100])</f>
        <v>7</v>
      </c>
      <c r="V491" s="259">
        <f>(ASINH(FMS_Ranking4[[#This Row],[Critical Facilities Raw]]))*(10)/(ASINH(U$4))</f>
        <v>3.1300153354232236</v>
      </c>
      <c r="W491" s="256">
        <f>FMS_Ranking4[[#This Row],[Critical facilities at risk, ArcSinh (0-10)]]*U$5*10</f>
        <v>3.1300153354232241</v>
      </c>
      <c r="X491" s="253">
        <f>_xlfn.XLOOKUP(FMS_Ranking4[[#This Row],[FMS ID]],FMS_Input[FMS_ID],FMS_Input[LWC])</f>
        <v>0</v>
      </c>
      <c r="Y491" s="259">
        <f>(ASINH(FMS_Ranking4[[#This Row],[LWC Raw]]))*(10)/(ASINH(X$4))</f>
        <v>0</v>
      </c>
      <c r="Z491" s="256">
        <f>FMS_Ranking4[[#This Row],[LWC, ArcSInh (0-10)]]*X$5*10</f>
        <v>0</v>
      </c>
      <c r="AA491" s="253">
        <f>_xlfn.XLOOKUP(FMS_Ranking4[[#This Row],[FMS ID]],FMS_Input[FMS_ID],FMS_Input[ROADCLS])</f>
        <v>0</v>
      </c>
      <c r="AB491" s="255">
        <f>(ASINH(FMS_Ranking4[[#This Row],[Road Closures Raw]]))*(10)/(ASINH(AA$4))</f>
        <v>0</v>
      </c>
      <c r="AC491" s="256">
        <f>FMS_Ranking4[[#This Row],[Road closures, ArcSinh (0-10)]]*AA$5*10</f>
        <v>0</v>
      </c>
      <c r="AD491" s="253">
        <f>_xlfn.XLOOKUP(FMS_Ranking4[[#This Row],[FMS ID]],FMS_Input[FMS_ID],FMS_Input[ROAD_MILES100])</f>
        <v>15</v>
      </c>
      <c r="AE491" s="259">
        <f>(ASINH(FMS_Ranking4[[#This Row],[Road Miles Raw]]))*(10)/(ASINH(AD$4))</f>
        <v>3.625922827042257</v>
      </c>
      <c r="AF491" s="256">
        <f>FMS_Ranking4[[#This Row],[Length of roads at risk, ArcSinh (0-10)]]*AD$5*10</f>
        <v>3.625922827042257</v>
      </c>
      <c r="AG491" s="253">
        <f>_xlfn.XLOOKUP(FMS_Ranking4[[#This Row],[FMS ID]],FMS_Input[FMS_ID],FMS_Input[FARMACRE100])</f>
        <v>0.2804533839225769</v>
      </c>
      <c r="AH491" s="255">
        <f>(ASINH(FMS_Ranking4[[#This Row],[Ag Land Raw]]))*(10)/(ASINH(AG$4))</f>
        <v>0.17986992606714619</v>
      </c>
      <c r="AI491" s="260">
        <f>FMS_Ranking4[[#This Row],[Farm &amp; ranch land, ArcSinh (0-10)]]*AG$5*10</f>
        <v>8.9934963033573095E-2</v>
      </c>
      <c r="AJ491" s="258">
        <f>_xlfn.XLOOKUP(FMS_Ranking4[[#This Row],[FMS ID]],FMS_Input[FMS_ID],FMS_Input[REDSTRUCT100])</f>
        <v>0</v>
      </c>
      <c r="AK491" s="253">
        <f>_xlfn.XLOOKUP(FMS_Ranking4[[#This Row],[FMS ID]],FMS_Input[FMS_ID],FMS_Input[REMSTRC100])</f>
        <v>0</v>
      </c>
      <c r="AL491" s="259">
        <f>(ASINH(FMS_Ranking4[[#This Row],[Structures Removed Raw]]))*(10)/(ASINH(AK$4))</f>
        <v>0</v>
      </c>
      <c r="AM491" s="262">
        <f>FMS_Ranking4[[#This Row],[Structures removed, ArcSinh (0-10)]]*AK$5*10</f>
        <v>0</v>
      </c>
      <c r="AN491" s="253">
        <f>_xlfn.XLOOKUP(FMS_Ranking4[[#This Row],[FMS ID]],FMS_Input[FMS_ID],FMS_Input[REMRESSTRC100])</f>
        <v>0</v>
      </c>
      <c r="AO491" s="261">
        <f>FMS_Ranking4[[#This Row],[ArcSinh Res struct removed 0-10]]*AN$5*10</f>
        <v>0</v>
      </c>
      <c r="AP491" s="260">
        <f>ASINH(FMS_Ranking4[[#This Row],[Residential Structures Removed Raw]])/AP$4*AN$5*100</f>
        <v>0</v>
      </c>
      <c r="AQ491" s="254">
        <f>(ASINH(FMS_Ranking4[[#This Row],[Residential Structures Removed Raw]]))*(10)/(ASINH(AN$4))</f>
        <v>0</v>
      </c>
      <c r="AR491" s="253">
        <f>_xlfn.XLOOKUP(FMS_Ranking4[[#This Row],[FMS ID]],FMS_Input[FMS_ID],FMS_Input[REMPOP100])</f>
        <v>0</v>
      </c>
      <c r="AS491" s="259">
        <f>(ASINH(FMS_Ranking4[[#This Row],[Removed Pop Raw]]))*(10)/(ASINH(AR$4))</f>
        <v>0</v>
      </c>
      <c r="AT491" s="262">
        <f>FMS_Ranking4[[#This Row],[Removed population, ArcSinh (0-10)]]*AR$5*10</f>
        <v>0</v>
      </c>
      <c r="AU491" s="264">
        <f>_xlfn.XLOOKUP(FMS_Ranking4[[#This Row],[FMS ID]],FMS_Input[FMS_ID],FMS_Input[REMCRITFAC100])</f>
        <v>0</v>
      </c>
      <c r="AV491" s="264">
        <f>_xlfn.XLOOKUP(FMS_Ranking4[[#This Row],[FMS ID]],FMS_Input[FMS_ID],FMS_Input[REMLWC100])</f>
        <v>0</v>
      </c>
      <c r="AW491" s="264">
        <f>_xlfn.XLOOKUP(FMS_Ranking4[[#This Row],[FMS ID]],FMS_Input[FMS_ID],FMS_Input[REMROADCLS])</f>
        <v>0</v>
      </c>
      <c r="AX491" s="264">
        <f>_xlfn.XLOOKUP(FMS_Ranking4[[#This Row],[FMS ID]],FMS_Input[FMS_ID],FMS_Input[REMFRMACRE100])</f>
        <v>0</v>
      </c>
      <c r="AY491" s="258">
        <f>_xlfn.XLOOKUP(FMS_Ranking4[[#This Row],[FMS ID]],FMS_Input[FMS_ID],FMS_Input[COSTSTRUCT])</f>
        <v>0</v>
      </c>
      <c r="AZ491" s="253">
        <f>_xlfn.XLOOKUP(FMS_Ranking4[[#This Row],[FMS ID]],FMS_Input[FMS_ID],FMS_Input[NATURE])</f>
        <v>0</v>
      </c>
      <c r="BA491" s="262">
        <f>(((FMS_Ranking4[[#This Row],[% NBS Raw]]/AZ$4)*100)*AZ$5)</f>
        <v>0</v>
      </c>
      <c r="BB491" s="251" t="str">
        <f>_xlfn.XLOOKUP(FMS_Ranking4[[#This Row],[FMS ID]],FMS_Input[FMS_ID],FMS_Input[WATER_SUP])</f>
        <v>No</v>
      </c>
      <c r="BC491" s="265">
        <f>IF(FMS_Ranking4[[#This Row],[Water Supply Raw]]="Yes",10,0)</f>
        <v>0</v>
      </c>
      <c r="BD491" s="266">
        <f>_xlfn.XLOOKUP(FMS_Ranking4[[#This Row],[FMS Type]],FMS_TYPE[FMS_Type],FMS_TYPE[Score])</f>
        <v>8</v>
      </c>
      <c r="BE491" s="267">
        <f>FMS_Ranking4[[#This Row],[FMS_Type Score]]*$BD$5*10</f>
        <v>2</v>
      </c>
      <c r="BF49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0.10571434376811986</v>
      </c>
      <c r="BG491" s="271">
        <f>_xlfn.RANK.EQ(BF491,$BF$8:$BF$870,0)+COUNTIF($BF$8:BF491,BF491)-1</f>
        <v>489</v>
      </c>
      <c r="BH491" s="268">
        <f>(((FMS_Ranking4[[#This Row],[Structures Removed Raw]]/AK$4)*100)*AK$5)+(((FMS_Ranking4[[#This Row],[Removed Pop Raw]]/AR$4)*100)*AR$5)</f>
        <v>0</v>
      </c>
      <c r="BI49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2.1057143437681201</v>
      </c>
      <c r="BJ491" s="205">
        <f>_xlfn.RANK.EQ(FMS_Ranking4[[#This Row],[Total Score 
(with linear
normalization)]],FMS_Ranking4[Total Score 
(with linear
normalization)],0)</f>
        <v>367</v>
      </c>
      <c r="BK491" s="205" t="e">
        <f>_xlfn.XLOOKUP(FMS_Ranking4[[#This Row],[FMS ID]],#REF!,#REF!)</f>
        <v>#REF!</v>
      </c>
      <c r="BL49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17.979491099722921</v>
      </c>
      <c r="BM491" s="272">
        <f>FMS_Ranking4[[#This Row],[ArcSinh Score Based on Normalized Reported Factors]]+FMS_Ranking4[[#This Row],[% NBS Score (Normalized)]]+(FMS_Ranking4[[#This Row],[Water Supply Score (Normalized)]]*10*$BB$5)+FMS_Ranking4[[#This Row],[FMS_Type Score Weighted]]</f>
        <v>19.979491099722921</v>
      </c>
      <c r="BN491" s="205">
        <f>_xlfn.RANK.EQ(FMS_Ranking4[[#This Row],[Total Score (with ArcSinh normalization of select criteria)]],FMS_Ranking4[Total Score (with ArcSinh normalization of select criteria)],0)</f>
        <v>484</v>
      </c>
      <c r="BO491" s="270" t="str">
        <f>_xlfn.XLOOKUP(FMS_Ranking4[[#This Row],[FMS ID]],FMS_Input[FMS_ID],FMS_Input[FMS_RANK_YEAR])</f>
        <v>2025 Amended Plan</v>
      </c>
      <c r="BP491" s="204" t="e">
        <f>_xlfn.XLOOKUP(FMS_Ranking4[[#This Row],[FMS ID]],Prev_Rank[FMS ID],Prev_Rank[Prev Rank])</f>
        <v>#N/A</v>
      </c>
      <c r="BQ491" s="205" t="e">
        <f>_xlfn.XLOOKUP(FMS_Ranking4[[#This Row],[FMS ID]],#REF!,#REF!)</f>
        <v>#REF!</v>
      </c>
      <c r="BR491" s="199" t="e">
        <f>SUM(#REF!,#REF!,#REF!,#REF!,#REF!,#REF!,#REF!,#REF!,#REF!,FMS_Ranking4[[#This Row],[ArcSinh Res struct removed 0-10]],#REF!)</f>
        <v>#REF!</v>
      </c>
      <c r="BS491" s="199" t="e">
        <f>FMS_Ranking4[[#This Row],[Log Score Based on Normalized Reported Factors]]+FMS_Ranking4[[#This Row],[% NBS Score (Normalized)]]+(FMS_Ranking4[[#This Row],[Water Supply Score (Normalized)]]*10*$BB$5)+(FMS_Ranking4[[#This Row],[FMS_Type Score Weighted]])</f>
        <v>#REF!</v>
      </c>
      <c r="BT491" s="200" t="e">
        <f>_xlfn.RANK.EQ(FMS_Ranking4[[#This Row],[Log Total Score]],FMS_Ranking4[Log Total Score],0)</f>
        <v>#REF!</v>
      </c>
      <c r="BU491" s="200" t="e">
        <f>_xlfn.XLOOKUP(FMS_Ranking4[[#This Row],[FMS ID]],#REF!,#REF!)</f>
        <v>#REF!</v>
      </c>
      <c r="BV491" s="200">
        <f>FMS_Ranking4[[#This Row],[Region Number]]</f>
        <v>15</v>
      </c>
      <c r="BW491" s="200">
        <f>FMS_Ranking4[[#This Row],[Rank (with ArcSinh normalization of select criteria)]]-FMS_Ranking4[[#This Row],[Rank
(with linear
normalization)]]</f>
        <v>117</v>
      </c>
      <c r="BX491" s="200" t="e">
        <f>FMS_Ranking4[[#This Row],[Log Rank]]-FMS_Ranking4[[#This Row],[Rank
(with linear
normalization)]]</f>
        <v>#REF!</v>
      </c>
      <c r="BY491" s="200" t="str">
        <f>IF(FMS_Ranking4[[#This Row],[FMS Type]]="Flood Measurement and Warning",FMS_Ranking4[[#This Row],[Rank (with ArcSinh normalization of select criteria)]],"")</f>
        <v/>
      </c>
      <c r="BZ491" s="200">
        <f>IF(FMS_Ranking4[[#This Row],[FMS Type]]="Regulatory and Guidance",FMS_Ranking4[[#This Row],[Rank (with ArcSinh normalization of select criteria)]],"")</f>
        <v>484</v>
      </c>
      <c r="CA491" s="200" t="str">
        <f>IF(FMS_Ranking4[[#This Row],[FMS Type]]="Education and Outreach",FMS_Ranking4[[#This Row],[Rank (with ArcSinh normalization of select criteria)]],"")</f>
        <v/>
      </c>
      <c r="CB491" s="200" t="str">
        <f>IF(FMS_Ranking4[[#This Row],[FMS Type]]="Property Acquisition and Structural Elevation",FMS_Ranking4[[#This Row],[Rank (with ArcSinh normalization of select criteria)]],"")</f>
        <v/>
      </c>
      <c r="CC491" s="200" t="str">
        <f>IF(FMS_Ranking4[[#This Row],[FMS Type]]="Infrastructure Projects",FMS_Ranking4[[#This Row],[Rank (with ArcSinh normalization of select criteria)]],"")</f>
        <v/>
      </c>
      <c r="CD491" s="200" t="str">
        <f>IF(FMS_Ranking4[[#This Row],[FMS Type]]="Other",FMS_Ranking4[[#This Row],[Rank (with ArcSinh normalization of select criteria)]],"")</f>
        <v/>
      </c>
      <c r="CE491" s="201"/>
      <c r="CF491" s="206"/>
      <c r="CG491" s="206"/>
      <c r="CH491" s="206"/>
      <c r="CI491" s="206"/>
      <c r="CJ491" s="206"/>
      <c r="CK491" s="206"/>
      <c r="CL491" s="206"/>
      <c r="CM491" s="206"/>
      <c r="CN491" s="206"/>
      <c r="CO491" s="206"/>
      <c r="CP491" s="206"/>
      <c r="CQ491" s="206"/>
      <c r="CR491" s="206"/>
    </row>
    <row r="492" spans="2:96" ht="45" x14ac:dyDescent="0.25">
      <c r="B492" s="341" t="s">
        <v>4333</v>
      </c>
      <c r="C492" s="246">
        <f>_xlfn.XLOOKUP(FMS_Ranking4[[#This Row],[FMS ID]],FMS_Input[FMS_ID],FMS_Input[RFPG_NUM])</f>
        <v>15</v>
      </c>
      <c r="D492" s="309" t="str">
        <f>_xlfn.XLOOKUP(FMS_Ranking4[[#This Row],[FMS ID]],FMS_Input[FMS_ID],FMS_Input[FMS_NAME])</f>
        <v>City of La Villa - planning, operation &amp; maintenance</v>
      </c>
      <c r="E492" s="308" t="str">
        <f>_xlfn.XLOOKUP(FMS_Ranking4[[#This Row],[FMS ID]],FMS_Input[FMS_ID],FMS_Input[SPONSOR])</f>
        <v>15000089</v>
      </c>
      <c r="F492" s="309" t="str">
        <f>_xlfn.XLOOKUP(FMS_Ranking4[[#This Row],[FMS ID]],Sponsor[FMS_ID],Sponsor[SPONSOR NAME])</f>
        <v>La Villa</v>
      </c>
      <c r="G492" s="309" t="str">
        <f>_xlfn.XLOOKUP(FMS_Ranking4[[#This Row],[FMS ID]],FMS_Input[FMS_ID],FMS_Input[FMS_DESCR])</f>
        <v>Develop and Implement a planning, operation &amp; Maintenance plan</v>
      </c>
      <c r="H492" s="248" t="str">
        <f>_xlfn.XLOOKUP(FMS_Ranking4[[#This Row],[FMS ID]],FMS_Input[FMS_ID],FMS_Input[FMS_TYPE])</f>
        <v>Flood Measurement and Warning</v>
      </c>
      <c r="I492" s="249">
        <f>_xlfn.XLOOKUP(FMS_Ranking4[[#This Row],[FMS ID]],FMS_Input[FMS_ID],FMS_Input[NRNC_COST])</f>
        <v>600000</v>
      </c>
      <c r="J492" s="250">
        <f>_xlfn.XLOOKUP(FMS_Ranking4[[#This Row],[FMS ID]],FMS_Input[FMS_ID],FMS_Input[FMS_COST])</f>
        <v>5000000</v>
      </c>
      <c r="K492" s="251" t="str">
        <f>_xlfn.XLOOKUP(FMS_Ranking4[[#This Row],[FMS ID]],FMS_Input[FMS_ID],FMS_Input[EMER_NEED])</f>
        <v>Yes</v>
      </c>
      <c r="L492" s="252">
        <f t="shared" si="7"/>
        <v>1</v>
      </c>
      <c r="M492" s="253">
        <f>_xlfn.XLOOKUP(FMS_Ranking4[[#This Row],[FMS ID]],FMS_Input[FMS_ID],FMS_Input[STRUCT_100])</f>
        <v>508</v>
      </c>
      <c r="N492" s="255">
        <f>(ASINH(FMS_Ranking4[[#This Row],[Structure at Risk Raw]]))*(10)/(ASINH(M$4))</f>
        <v>5.4430037469518435</v>
      </c>
      <c r="O492" s="256">
        <f>FMS_Ranking4[[#This Row],[Structures at risk, ArcSinh (0-10)]]*M$5*10</f>
        <v>5.4430037469518435</v>
      </c>
      <c r="P492" s="253">
        <f>_xlfn.XLOOKUP(FMS_Ranking4[[#This Row],[FMS ID]],FMS_Input[FMS_ID],FMS_Input[RES_STRUCT100])</f>
        <v>423</v>
      </c>
      <c r="Q492" s="257">
        <f>ASINH(FMS_Ranking4[[#This Row],[Res Structure Raw]])/Q$4*P$5*100</f>
        <v>0</v>
      </c>
      <c r="R492" s="253">
        <f>_xlfn.XLOOKUP(FMS_Ranking4[[#This Row],[FMS ID]],FMS_Input[FMS_ID],FMS_Input[POP100])</f>
        <v>1880</v>
      </c>
      <c r="S492" s="255">
        <f>(ASINH(FMS_Ranking4[[#This Row],[Pop at Risk Raw]]))*(10)/(ASINH(R$4))</f>
        <v>5.6831491843607624</v>
      </c>
      <c r="T492" s="256">
        <f>FMS_Ranking4[[#This Row],[Population at risk, ArcSinh (0-10)]]*R$5*10</f>
        <v>5.6831491843607633</v>
      </c>
      <c r="U492" s="253">
        <f>_xlfn.XLOOKUP(FMS_Ranking4[[#This Row],[FMS ID]],FMS_Input[FMS_ID],FMS_Input[CRITFAC100])</f>
        <v>2</v>
      </c>
      <c r="V492" s="255">
        <f>(ASINH(FMS_Ranking4[[#This Row],[Critical Facilities Raw]]))*(10)/(ASINH(U$4))</f>
        <v>1.7089239049208753</v>
      </c>
      <c r="W492" s="256">
        <f>FMS_Ranking4[[#This Row],[Critical facilities at risk, ArcSinh (0-10)]]*U$5*10</f>
        <v>1.7089239049208755</v>
      </c>
      <c r="X492" s="253">
        <f>_xlfn.XLOOKUP(FMS_Ranking4[[#This Row],[FMS ID]],FMS_Input[FMS_ID],FMS_Input[LWC])</f>
        <v>0</v>
      </c>
      <c r="Y492" s="255">
        <f>(ASINH(FMS_Ranking4[[#This Row],[LWC Raw]]))*(10)/(ASINH(X$4))</f>
        <v>0</v>
      </c>
      <c r="Z492" s="256">
        <f>FMS_Ranking4[[#This Row],[LWC, ArcSInh (0-10)]]*X$5*10</f>
        <v>0</v>
      </c>
      <c r="AA492" s="253">
        <f>_xlfn.XLOOKUP(FMS_Ranking4[[#This Row],[FMS ID]],FMS_Input[FMS_ID],FMS_Input[ROADCLS])</f>
        <v>0</v>
      </c>
      <c r="AB492" s="255">
        <f>(ASINH(FMS_Ranking4[[#This Row],[Road Closures Raw]]))*(10)/(ASINH(AA$4))</f>
        <v>0</v>
      </c>
      <c r="AC492" s="256">
        <f>FMS_Ranking4[[#This Row],[Road closures, ArcSinh (0-10)]]*AA$5*10</f>
        <v>0</v>
      </c>
      <c r="AD492" s="253">
        <f>_xlfn.XLOOKUP(FMS_Ranking4[[#This Row],[FMS ID]],FMS_Input[FMS_ID],FMS_Input[ROAD_MILES100])</f>
        <v>7</v>
      </c>
      <c r="AE492" s="255">
        <f>(ASINH(FMS_Ranking4[[#This Row],[Road Miles Raw]]))*(10)/(ASINH(AD$4))</f>
        <v>2.8179052695658946</v>
      </c>
      <c r="AF492" s="256">
        <f>FMS_Ranking4[[#This Row],[Length of roads at risk, ArcSinh (0-10)]]*AD$5*10</f>
        <v>2.8179052695658946</v>
      </c>
      <c r="AG492" s="253">
        <f>_xlfn.XLOOKUP(FMS_Ranking4[[#This Row],[FMS ID]],FMS_Input[FMS_ID],FMS_Input[FARMACRE100])</f>
        <v>118.4224014282227</v>
      </c>
      <c r="AH492" s="255">
        <f>(ASINH(FMS_Ranking4[[#This Row],[Ag Land Raw]]))*(10)/(ASINH(AG$4))</f>
        <v>3.5515366089636737</v>
      </c>
      <c r="AI492" s="260">
        <f>FMS_Ranking4[[#This Row],[Farm &amp; ranch land, ArcSinh (0-10)]]*AG$5*10</f>
        <v>1.7757683044818371</v>
      </c>
      <c r="AJ492" s="258">
        <f>_xlfn.XLOOKUP(FMS_Ranking4[[#This Row],[FMS ID]],FMS_Input[FMS_ID],FMS_Input[REDSTRUCT100])</f>
        <v>0</v>
      </c>
      <c r="AK492" s="253">
        <f>_xlfn.XLOOKUP(FMS_Ranking4[[#This Row],[FMS ID]],FMS_Input[FMS_ID],FMS_Input[REMSTRC100])</f>
        <v>0</v>
      </c>
      <c r="AL492" s="255">
        <f>(ASINH(FMS_Ranking4[[#This Row],[Structures Removed Raw]]))*(10)/(ASINH(AK$4))</f>
        <v>0</v>
      </c>
      <c r="AM492" s="262">
        <f>FMS_Ranking4[[#This Row],[Structures removed, ArcSinh (0-10)]]*AK$5*10</f>
        <v>0</v>
      </c>
      <c r="AN492" s="253">
        <f>_xlfn.XLOOKUP(FMS_Ranking4[[#This Row],[FMS ID]],FMS_Input[FMS_ID],FMS_Input[REMRESSTRC100])</f>
        <v>0</v>
      </c>
      <c r="AO492" s="261">
        <f>FMS_Ranking4[[#This Row],[ArcSinh Res struct removed 0-10]]*AN$5*10</f>
        <v>0</v>
      </c>
      <c r="AP492" s="260">
        <f>ASINH(FMS_Ranking4[[#This Row],[Residential Structures Removed Raw]])/AP$4*AN$5*100</f>
        <v>0</v>
      </c>
      <c r="AQ492" s="258">
        <f>(ASINH(FMS_Ranking4[[#This Row],[Residential Structures Removed Raw]]))*(10)/(ASINH(AN$4))</f>
        <v>0</v>
      </c>
      <c r="AR492" s="253">
        <f>_xlfn.XLOOKUP(FMS_Ranking4[[#This Row],[FMS ID]],FMS_Input[FMS_ID],FMS_Input[REMPOP100])</f>
        <v>0</v>
      </c>
      <c r="AS492" s="255">
        <f>(ASINH(FMS_Ranking4[[#This Row],[Removed Pop Raw]]))*(10)/(ASINH(AR$4))</f>
        <v>0</v>
      </c>
      <c r="AT492" s="262">
        <f>FMS_Ranking4[[#This Row],[Removed population, ArcSinh (0-10)]]*AR$5*10</f>
        <v>0</v>
      </c>
      <c r="AU492" s="264">
        <f>_xlfn.XLOOKUP(FMS_Ranking4[[#This Row],[FMS ID]],FMS_Input[FMS_ID],FMS_Input[REMCRITFAC100])</f>
        <v>0</v>
      </c>
      <c r="AV492" s="264">
        <f>_xlfn.XLOOKUP(FMS_Ranking4[[#This Row],[FMS ID]],FMS_Input[FMS_ID],FMS_Input[REMLWC100])</f>
        <v>0</v>
      </c>
      <c r="AW492" s="264">
        <f>_xlfn.XLOOKUP(FMS_Ranking4[[#This Row],[FMS ID]],FMS_Input[FMS_ID],FMS_Input[REMROADCLS])</f>
        <v>0</v>
      </c>
      <c r="AX492" s="264">
        <f>_xlfn.XLOOKUP(FMS_Ranking4[[#This Row],[FMS ID]],FMS_Input[FMS_ID],FMS_Input[REMFRMACRE100])</f>
        <v>0</v>
      </c>
      <c r="AY492" s="258">
        <f>_xlfn.XLOOKUP(FMS_Ranking4[[#This Row],[FMS ID]],FMS_Input[FMS_ID],FMS_Input[COSTSTRUCT])</f>
        <v>0</v>
      </c>
      <c r="AZ492" s="253">
        <f>_xlfn.XLOOKUP(FMS_Ranking4[[#This Row],[FMS ID]],FMS_Input[FMS_ID],FMS_Input[NATURE])</f>
        <v>0</v>
      </c>
      <c r="BA492" s="262">
        <f>(((FMS_Ranking4[[#This Row],[% NBS Raw]]/AZ$4)*100)*AZ$5)</f>
        <v>0</v>
      </c>
      <c r="BB492" s="251" t="str">
        <f>_xlfn.XLOOKUP(FMS_Ranking4[[#This Row],[FMS ID]],FMS_Input[FMS_ID],FMS_Input[WATER_SUP])</f>
        <v>No</v>
      </c>
      <c r="BC492" s="265">
        <f>IF(FMS_Ranking4[[#This Row],[Water Supply Raw]]="Yes",10,0)</f>
        <v>0</v>
      </c>
      <c r="BD492" s="266">
        <f>_xlfn.XLOOKUP(FMS_Ranking4[[#This Row],[FMS Type]],FMS_TYPE[FMS_Type],FMS_TYPE[Score])</f>
        <v>10</v>
      </c>
      <c r="BE492" s="267">
        <f>FMS_Ranking4[[#This Row],[FMS_Type Score]]*$BD$5*10</f>
        <v>2.5</v>
      </c>
      <c r="BF49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7.0221059343254025E-2</v>
      </c>
      <c r="BG492" s="321">
        <f>_xlfn.RANK.EQ(BF492,$BF$8:$BF$870,0)+COUNTIF($BF$8:BF492,BF492)-1</f>
        <v>519</v>
      </c>
      <c r="BH492" s="294">
        <f>(((FMS_Ranking4[[#This Row],[Structures Removed Raw]]/AK$4)*100)*AK$5)+(((FMS_Ranking4[[#This Row],[Removed Pop Raw]]/AR$4)*100)*AR$5)</f>
        <v>0</v>
      </c>
      <c r="BI49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2.570221059343254</v>
      </c>
      <c r="BJ492" s="251">
        <f>_xlfn.RANK.EQ(FMS_Ranking4[[#This Row],[Total Score 
(with linear
normalization)]],FMS_Ranking4[Total Score 
(with linear
normalization)],0)</f>
        <v>231</v>
      </c>
      <c r="BK492" s="251" t="e">
        <f>_xlfn.XLOOKUP(FMS_Ranking4[[#This Row],[FMS ID]],#REF!,#REF!)</f>
        <v>#REF!</v>
      </c>
      <c r="BL49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17.428750410281214</v>
      </c>
      <c r="BM492" s="324">
        <f>FMS_Ranking4[[#This Row],[ArcSinh Score Based on Normalized Reported Factors]]+FMS_Ranking4[[#This Row],[% NBS Score (Normalized)]]+(FMS_Ranking4[[#This Row],[Water Supply Score (Normalized)]]*10*$BB$5)+FMS_Ranking4[[#This Row],[FMS_Type Score Weighted]]</f>
        <v>19.928750410281214</v>
      </c>
      <c r="BN492" s="251">
        <f>_xlfn.RANK.EQ(FMS_Ranking4[[#This Row],[Total Score (with ArcSinh normalization of select criteria)]],FMS_Ranking4[Total Score (with ArcSinh normalization of select criteria)],0)</f>
        <v>485</v>
      </c>
      <c r="BO492" s="270" t="str">
        <f>_xlfn.XLOOKUP(FMS_Ranking4[[#This Row],[FMS ID]],FMS_Input[FMS_ID],FMS_Input[FMS_RANK_YEAR])</f>
        <v>2023 Amended Plan</v>
      </c>
      <c r="BP492" s="204">
        <f>_xlfn.XLOOKUP(FMS_Ranking4[[#This Row],[FMS ID]],Prev_Rank[FMS ID],Prev_Rank[Prev Rank])</f>
        <v>435</v>
      </c>
      <c r="BQ492" s="251" t="e">
        <f>_xlfn.XLOOKUP(FMS_Ranking4[[#This Row],[FMS ID]],#REF!,#REF!)</f>
        <v>#REF!</v>
      </c>
      <c r="BR492" s="199" t="e">
        <f>SUM(#REF!,#REF!,#REF!,#REF!,#REF!,#REF!,#REF!,#REF!,#REF!,FMS_Ranking4[[#This Row],[ArcSinh Res struct removed 0-10]],#REF!)</f>
        <v>#REF!</v>
      </c>
      <c r="BS492" s="199" t="e">
        <f>FMS_Ranking4[[#This Row],[Log Score Based on Normalized Reported Factors]]+FMS_Ranking4[[#This Row],[% NBS Score (Normalized)]]+(FMS_Ranking4[[#This Row],[Water Supply Score (Normalized)]]*10*$BB$5)+(FMS_Ranking4[[#This Row],[FMS_Type Score Weighted]])</f>
        <v>#REF!</v>
      </c>
      <c r="BT492" s="200" t="e">
        <f>_xlfn.RANK.EQ(FMS_Ranking4[[#This Row],[Log Total Score]],FMS_Ranking4[Log Total Score],0)</f>
        <v>#REF!</v>
      </c>
      <c r="BU492" s="200" t="e">
        <f>_xlfn.XLOOKUP(FMS_Ranking4[[#This Row],[FMS ID]],#REF!,#REF!)</f>
        <v>#REF!</v>
      </c>
      <c r="BV492" s="200">
        <f>FMS_Ranking4[[#This Row],[Region Number]]</f>
        <v>15</v>
      </c>
      <c r="BW492" s="200">
        <f>FMS_Ranking4[[#This Row],[Rank (with ArcSinh normalization of select criteria)]]-FMS_Ranking4[[#This Row],[Rank
(with linear
normalization)]]</f>
        <v>254</v>
      </c>
      <c r="BX492" s="200" t="e">
        <f>FMS_Ranking4[[#This Row],[Log Rank]]-FMS_Ranking4[[#This Row],[Rank
(with linear
normalization)]]</f>
        <v>#REF!</v>
      </c>
      <c r="BY492" s="200">
        <f>IF(FMS_Ranking4[[#This Row],[FMS Type]]="Flood Measurement and Warning",FMS_Ranking4[[#This Row],[Rank (with ArcSinh normalization of select criteria)]],"")</f>
        <v>485</v>
      </c>
      <c r="BZ492" s="200" t="str">
        <f>IF(FMS_Ranking4[[#This Row],[FMS Type]]="Regulatory and Guidance",FMS_Ranking4[[#This Row],[Rank (with ArcSinh normalization of select criteria)]],"")</f>
        <v/>
      </c>
      <c r="CA492" s="200" t="str">
        <f>IF(FMS_Ranking4[[#This Row],[FMS Type]]="Education and Outreach",FMS_Ranking4[[#This Row],[Rank (with ArcSinh normalization of select criteria)]],"")</f>
        <v/>
      </c>
      <c r="CB492" s="200" t="str">
        <f>IF(FMS_Ranking4[[#This Row],[FMS Type]]="Property Acquisition and Structural Elevation",FMS_Ranking4[[#This Row],[Rank (with ArcSinh normalization of select criteria)]],"")</f>
        <v/>
      </c>
      <c r="CC492" s="200" t="str">
        <f>IF(FMS_Ranking4[[#This Row],[FMS Type]]="Infrastructure Projects",FMS_Ranking4[[#This Row],[Rank (with ArcSinh normalization of select criteria)]],"")</f>
        <v/>
      </c>
      <c r="CD492" s="200" t="str">
        <f>IF(FMS_Ranking4[[#This Row],[FMS Type]]="Other",FMS_Ranking4[[#This Row],[Rank (with ArcSinh normalization of select criteria)]],"")</f>
        <v/>
      </c>
      <c r="CE492" s="201"/>
      <c r="CF492" s="206"/>
      <c r="CG492" s="206"/>
      <c r="CH492" s="206"/>
      <c r="CI492" s="206"/>
      <c r="CJ492" s="206"/>
      <c r="CK492" s="206"/>
      <c r="CL492" s="206"/>
      <c r="CM492" s="206"/>
      <c r="CN492" s="206"/>
      <c r="CO492" s="206"/>
      <c r="CP492" s="206"/>
      <c r="CQ492" s="206"/>
      <c r="CR492" s="206"/>
    </row>
    <row r="493" spans="2:96" ht="60" x14ac:dyDescent="0.25">
      <c r="B493" s="346" t="s">
        <v>3925</v>
      </c>
      <c r="C493" s="246">
        <f>_xlfn.XLOOKUP(FMS_Ranking4[[#This Row],[FMS ID]],FMS_Input[FMS_ID],FMS_Input[RFPG_NUM])</f>
        <v>15</v>
      </c>
      <c r="D493" s="309" t="str">
        <f>_xlfn.XLOOKUP(FMS_Ranking4[[#This Row],[FMS ID]],FMS_Input[FMS_ID],FMS_Input[FMS_NAME])</f>
        <v>La Villa #8-1.1</v>
      </c>
      <c r="E493" s="308" t="str">
        <f>_xlfn.XLOOKUP(FMS_Ranking4[[#This Row],[FMS ID]],FMS_Input[FMS_ID],FMS_Input[SPONSOR])</f>
        <v>15000089</v>
      </c>
      <c r="F493" s="309" t="str">
        <f>_xlfn.XLOOKUP(FMS_Ranking4[[#This Row],[FMS ID]],Sponsor[FMS_ID],Sponsor[SPONSOR NAME])</f>
        <v>La Villa</v>
      </c>
      <c r="G493" s="309" t="str">
        <f>_xlfn.XLOOKUP(FMS_Ranking4[[#This Row],[FMS ID]],FMS_Input[FMS_ID],FMS_Input[FMS_DESCR])</f>
        <v>Develop Procedures For Mass Notifications To Citizens And Merchants During Natural Hazard Incident.</v>
      </c>
      <c r="H493" s="248" t="str">
        <f>_xlfn.XLOOKUP(FMS_Ranking4[[#This Row],[FMS ID]],FMS_Input[FMS_ID],FMS_Input[FMS_TYPE])</f>
        <v>Flood Measurement and Warning</v>
      </c>
      <c r="I493" s="249">
        <f>_xlfn.XLOOKUP(FMS_Ranking4[[#This Row],[FMS ID]],FMS_Input[FMS_ID],FMS_Input[NRNC_COST])</f>
        <v>1000</v>
      </c>
      <c r="J493" s="250">
        <f>_xlfn.XLOOKUP(FMS_Ranking4[[#This Row],[FMS ID]],FMS_Input[FMS_ID],FMS_Input[FMS_COST])</f>
        <v>31000</v>
      </c>
      <c r="K493" s="251" t="str">
        <f>_xlfn.XLOOKUP(FMS_Ranking4[[#This Row],[FMS ID]],FMS_Input[FMS_ID],FMS_Input[EMER_NEED])</f>
        <v>Yes</v>
      </c>
      <c r="L493" s="252">
        <f t="shared" si="7"/>
        <v>1</v>
      </c>
      <c r="M493" s="253">
        <f>_xlfn.XLOOKUP(FMS_Ranking4[[#This Row],[FMS ID]],FMS_Input[FMS_ID],FMS_Input[STRUCT_100])</f>
        <v>509</v>
      </c>
      <c r="N493" s="255">
        <f>(ASINH(FMS_Ranking4[[#This Row],[Structure at Risk Raw]]))*(10)/(ASINH(M$4))</f>
        <v>5.4445497599837847</v>
      </c>
      <c r="O493" s="256">
        <f>FMS_Ranking4[[#This Row],[Structures at risk, ArcSinh (0-10)]]*M$5*10</f>
        <v>5.4445497599837847</v>
      </c>
      <c r="P493" s="253">
        <f>_xlfn.XLOOKUP(FMS_Ranking4[[#This Row],[FMS ID]],FMS_Input[FMS_ID],FMS_Input[RES_STRUCT100])</f>
        <v>423</v>
      </c>
      <c r="Q493" s="257">
        <f>ASINH(FMS_Ranking4[[#This Row],[Res Structure Raw]])/Q$4*P$5*100</f>
        <v>0</v>
      </c>
      <c r="R493" s="253">
        <f>_xlfn.XLOOKUP(FMS_Ranking4[[#This Row],[FMS ID]],FMS_Input[FMS_ID],FMS_Input[POP100])</f>
        <v>1881</v>
      </c>
      <c r="S493" s="255">
        <f>(ASINH(FMS_Ranking4[[#This Row],[Pop at Risk Raw]]))*(10)/(ASINH(R$4))</f>
        <v>5.6835162984988052</v>
      </c>
      <c r="T493" s="256">
        <f>FMS_Ranking4[[#This Row],[Population at risk, ArcSinh (0-10)]]*R$5*10</f>
        <v>5.6835162984988052</v>
      </c>
      <c r="U493" s="253">
        <f>_xlfn.XLOOKUP(FMS_Ranking4[[#This Row],[FMS ID]],FMS_Input[FMS_ID],FMS_Input[CRITFAC100])</f>
        <v>2</v>
      </c>
      <c r="V493" s="255">
        <f>(ASINH(FMS_Ranking4[[#This Row],[Critical Facilities Raw]]))*(10)/(ASINH(U$4))</f>
        <v>1.7089239049208753</v>
      </c>
      <c r="W493" s="256">
        <f>FMS_Ranking4[[#This Row],[Critical facilities at risk, ArcSinh (0-10)]]*U$5*10</f>
        <v>1.7089239049208755</v>
      </c>
      <c r="X493" s="253">
        <f>_xlfn.XLOOKUP(FMS_Ranking4[[#This Row],[FMS ID]],FMS_Input[FMS_ID],FMS_Input[LWC])</f>
        <v>0</v>
      </c>
      <c r="Y493" s="255">
        <f>(ASINH(FMS_Ranking4[[#This Row],[LWC Raw]]))*(10)/(ASINH(X$4))</f>
        <v>0</v>
      </c>
      <c r="Z493" s="256">
        <f>FMS_Ranking4[[#This Row],[LWC, ArcSInh (0-10)]]*X$5*10</f>
        <v>0</v>
      </c>
      <c r="AA493" s="253">
        <f>_xlfn.XLOOKUP(FMS_Ranking4[[#This Row],[FMS ID]],FMS_Input[FMS_ID],FMS_Input[ROADCLS])</f>
        <v>0</v>
      </c>
      <c r="AB493" s="255">
        <f>(ASINH(FMS_Ranking4[[#This Row],[Road Closures Raw]]))*(10)/(ASINH(AA$4))</f>
        <v>0</v>
      </c>
      <c r="AC493" s="256">
        <f>FMS_Ranking4[[#This Row],[Road closures, ArcSinh (0-10)]]*AA$5*10</f>
        <v>0</v>
      </c>
      <c r="AD493" s="253">
        <f>_xlfn.XLOOKUP(FMS_Ranking4[[#This Row],[FMS ID]],FMS_Input[FMS_ID],FMS_Input[ROAD_MILES100])</f>
        <v>7</v>
      </c>
      <c r="AE493" s="255">
        <f>(ASINH(FMS_Ranking4[[#This Row],[Road Miles Raw]]))*(10)/(ASINH(AD$4))</f>
        <v>2.8179052695658946</v>
      </c>
      <c r="AF493" s="256">
        <f>FMS_Ranking4[[#This Row],[Length of roads at risk, ArcSinh (0-10)]]*AD$5*10</f>
        <v>2.8179052695658946</v>
      </c>
      <c r="AG493" s="253">
        <f>_xlfn.XLOOKUP(FMS_Ranking4[[#This Row],[FMS ID]],FMS_Input[FMS_ID],FMS_Input[FARMACRE100])</f>
        <v>117.64060211181641</v>
      </c>
      <c r="AH493" s="255">
        <f>(ASINH(FMS_Ranking4[[#This Row],[Ag Land Raw]]))*(10)/(ASINH(AG$4))</f>
        <v>3.5472341475711526</v>
      </c>
      <c r="AI493" s="260">
        <f>FMS_Ranking4[[#This Row],[Farm &amp; ranch land, ArcSinh (0-10)]]*AG$5*10</f>
        <v>1.7736170737855763</v>
      </c>
      <c r="AJ493" s="258">
        <f>_xlfn.XLOOKUP(FMS_Ranking4[[#This Row],[FMS ID]],FMS_Input[FMS_ID],FMS_Input[REDSTRUCT100])</f>
        <v>0</v>
      </c>
      <c r="AK493" s="253">
        <f>_xlfn.XLOOKUP(FMS_Ranking4[[#This Row],[FMS ID]],FMS_Input[FMS_ID],FMS_Input[REMSTRC100])</f>
        <v>0</v>
      </c>
      <c r="AL493" s="255">
        <f>(ASINH(FMS_Ranking4[[#This Row],[Structures Removed Raw]]))*(10)/(ASINH(AK$4))</f>
        <v>0</v>
      </c>
      <c r="AM493" s="262">
        <f>FMS_Ranking4[[#This Row],[Structures removed, ArcSinh (0-10)]]*AK$5*10</f>
        <v>0</v>
      </c>
      <c r="AN493" s="253">
        <f>_xlfn.XLOOKUP(FMS_Ranking4[[#This Row],[FMS ID]],FMS_Input[FMS_ID],FMS_Input[REMRESSTRC100])</f>
        <v>0</v>
      </c>
      <c r="AO493" s="261">
        <f>FMS_Ranking4[[#This Row],[ArcSinh Res struct removed 0-10]]*AN$5*10</f>
        <v>0</v>
      </c>
      <c r="AP493" s="260">
        <f>ASINH(FMS_Ranking4[[#This Row],[Residential Structures Removed Raw]])/AP$4*AN$5*100</f>
        <v>0</v>
      </c>
      <c r="AQ493" s="258">
        <f>(ASINH(FMS_Ranking4[[#This Row],[Residential Structures Removed Raw]]))*(10)/(ASINH(AN$4))</f>
        <v>0</v>
      </c>
      <c r="AR493" s="253">
        <f>_xlfn.XLOOKUP(FMS_Ranking4[[#This Row],[FMS ID]],FMS_Input[FMS_ID],FMS_Input[REMPOP100])</f>
        <v>0</v>
      </c>
      <c r="AS493" s="255">
        <f>(ASINH(FMS_Ranking4[[#This Row],[Removed Pop Raw]]))*(10)/(ASINH(AR$4))</f>
        <v>0</v>
      </c>
      <c r="AT493" s="262">
        <f>FMS_Ranking4[[#This Row],[Removed population, ArcSinh (0-10)]]*AR$5*10</f>
        <v>0</v>
      </c>
      <c r="AU493" s="264">
        <f>_xlfn.XLOOKUP(FMS_Ranking4[[#This Row],[FMS ID]],FMS_Input[FMS_ID],FMS_Input[REMCRITFAC100])</f>
        <v>0</v>
      </c>
      <c r="AV493" s="264">
        <f>_xlfn.XLOOKUP(FMS_Ranking4[[#This Row],[FMS ID]],FMS_Input[FMS_ID],FMS_Input[REMLWC100])</f>
        <v>0</v>
      </c>
      <c r="AW493" s="264">
        <f>_xlfn.XLOOKUP(FMS_Ranking4[[#This Row],[FMS ID]],FMS_Input[FMS_ID],FMS_Input[REMROADCLS])</f>
        <v>0</v>
      </c>
      <c r="AX493" s="264">
        <f>_xlfn.XLOOKUP(FMS_Ranking4[[#This Row],[FMS ID]],FMS_Input[FMS_ID],FMS_Input[REMFRMACRE100])</f>
        <v>0</v>
      </c>
      <c r="AY493" s="258">
        <f>_xlfn.XLOOKUP(FMS_Ranking4[[#This Row],[FMS ID]],FMS_Input[FMS_ID],FMS_Input[COSTSTRUCT])</f>
        <v>0</v>
      </c>
      <c r="AZ493" s="253">
        <f>_xlfn.XLOOKUP(FMS_Ranking4[[#This Row],[FMS ID]],FMS_Input[FMS_ID],FMS_Input[NATURE])</f>
        <v>0</v>
      </c>
      <c r="BA493" s="262">
        <f>(((FMS_Ranking4[[#This Row],[% NBS Raw]]/AZ$4)*100)*AZ$5)</f>
        <v>0</v>
      </c>
      <c r="BB493" s="251" t="str">
        <f>_xlfn.XLOOKUP(FMS_Ranking4[[#This Row],[FMS ID]],FMS_Input[FMS_ID],FMS_Input[WATER_SUP])</f>
        <v>No</v>
      </c>
      <c r="BC493" s="265">
        <f>IF(FMS_Ranking4[[#This Row],[Water Supply Raw]]="Yes",10,0)</f>
        <v>0</v>
      </c>
      <c r="BD493" s="266">
        <f>_xlfn.XLOOKUP(FMS_Ranking4[[#This Row],[FMS Type]],FMS_TYPE[FMS_Type],FMS_TYPE[Score])</f>
        <v>10</v>
      </c>
      <c r="BE493" s="267">
        <f>FMS_Ranking4[[#This Row],[FMS_Type Score]]*$BD$5*10</f>
        <v>2.5</v>
      </c>
      <c r="BF49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7.0289484483944467E-2</v>
      </c>
      <c r="BG493" s="293">
        <f>_xlfn.RANK.EQ(BF493,$BF$8:$BF$870,0)+COUNTIF($BF$8:BF493,BF493)-1</f>
        <v>517</v>
      </c>
      <c r="BH493" s="294">
        <f>(((FMS_Ranking4[[#This Row],[Structures Removed Raw]]/AK$4)*100)*AK$5)+(((FMS_Ranking4[[#This Row],[Removed Pop Raw]]/AR$4)*100)*AR$5)</f>
        <v>0</v>
      </c>
      <c r="BI49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2.5702894844839443</v>
      </c>
      <c r="BJ493" s="251">
        <f>_xlfn.RANK.EQ(FMS_Ranking4[[#This Row],[Total Score 
(with linear
normalization)]],FMS_Ranking4[Total Score 
(with linear
normalization)],0)</f>
        <v>230</v>
      </c>
      <c r="BK493" s="251" t="e">
        <f>_xlfn.XLOOKUP(FMS_Ranking4[[#This Row],[FMS ID]],#REF!,#REF!)</f>
        <v>#REF!</v>
      </c>
      <c r="BL49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17.428512306754936</v>
      </c>
      <c r="BM493" s="324">
        <f>FMS_Ranking4[[#This Row],[ArcSinh Score Based on Normalized Reported Factors]]+FMS_Ranking4[[#This Row],[% NBS Score (Normalized)]]+(FMS_Ranking4[[#This Row],[Water Supply Score (Normalized)]]*10*$BB$5)+FMS_Ranking4[[#This Row],[FMS_Type Score Weighted]]</f>
        <v>19.928512306754936</v>
      </c>
      <c r="BN493" s="251">
        <f>_xlfn.RANK.EQ(FMS_Ranking4[[#This Row],[Total Score (with ArcSinh normalization of select criteria)]],FMS_Ranking4[Total Score (with ArcSinh normalization of select criteria)],0)</f>
        <v>486</v>
      </c>
      <c r="BO493" s="270" t="str">
        <f>_xlfn.XLOOKUP(FMS_Ranking4[[#This Row],[FMS ID]],FMS_Input[FMS_ID],FMS_Input[FMS_RANK_YEAR])</f>
        <v>2023 Amended Plan</v>
      </c>
      <c r="BP493" s="324">
        <f>_xlfn.XLOOKUP(FMS_Ranking4[[#This Row],[FMS ID]],Prev_Rank[FMS ID],Prev_Rank[Prev Rank])</f>
        <v>436</v>
      </c>
      <c r="BQ493" s="251" t="e">
        <f>_xlfn.XLOOKUP(FMS_Ranking4[[#This Row],[FMS ID]],#REF!,#REF!)</f>
        <v>#REF!</v>
      </c>
      <c r="BR493" s="199" t="e">
        <f>SUM(#REF!,#REF!,#REF!,#REF!,#REF!,#REF!,#REF!,#REF!,#REF!,FMS_Ranking4[[#This Row],[ArcSinh Res struct removed 0-10]],#REF!)</f>
        <v>#REF!</v>
      </c>
      <c r="BS493" s="199" t="e">
        <f>FMS_Ranking4[[#This Row],[Log Score Based on Normalized Reported Factors]]+FMS_Ranking4[[#This Row],[% NBS Score (Normalized)]]+(FMS_Ranking4[[#This Row],[Water Supply Score (Normalized)]]*10*$BB$5)+(FMS_Ranking4[[#This Row],[FMS_Type Score Weighted]])</f>
        <v>#REF!</v>
      </c>
      <c r="BT493" s="200" t="e">
        <f>_xlfn.RANK.EQ(FMS_Ranking4[[#This Row],[Log Total Score]],FMS_Ranking4[Log Total Score],0)</f>
        <v>#REF!</v>
      </c>
      <c r="BU493" s="200" t="e">
        <f>_xlfn.XLOOKUP(FMS_Ranking4[[#This Row],[FMS ID]],#REF!,#REF!)</f>
        <v>#REF!</v>
      </c>
      <c r="BV493" s="200">
        <f>FMS_Ranking4[[#This Row],[Region Number]]</f>
        <v>15</v>
      </c>
      <c r="BW493" s="200">
        <f>FMS_Ranking4[[#This Row],[Rank (with ArcSinh normalization of select criteria)]]-FMS_Ranking4[[#This Row],[Rank
(with linear
normalization)]]</f>
        <v>256</v>
      </c>
      <c r="BX493" s="200" t="e">
        <f>FMS_Ranking4[[#This Row],[Log Rank]]-FMS_Ranking4[[#This Row],[Rank
(with linear
normalization)]]</f>
        <v>#REF!</v>
      </c>
      <c r="BY493" s="200">
        <f>IF(FMS_Ranking4[[#This Row],[FMS Type]]="Flood Measurement and Warning",FMS_Ranking4[[#This Row],[Rank (with ArcSinh normalization of select criteria)]],"")</f>
        <v>486</v>
      </c>
      <c r="BZ493" s="200" t="str">
        <f>IF(FMS_Ranking4[[#This Row],[FMS Type]]="Regulatory and Guidance",FMS_Ranking4[[#This Row],[Rank (with ArcSinh normalization of select criteria)]],"")</f>
        <v/>
      </c>
      <c r="CA493" s="200" t="str">
        <f>IF(FMS_Ranking4[[#This Row],[FMS Type]]="Education and Outreach",FMS_Ranking4[[#This Row],[Rank (with ArcSinh normalization of select criteria)]],"")</f>
        <v/>
      </c>
      <c r="CB493" s="200" t="str">
        <f>IF(FMS_Ranking4[[#This Row],[FMS Type]]="Property Acquisition and Structural Elevation",FMS_Ranking4[[#This Row],[Rank (with ArcSinh normalization of select criteria)]],"")</f>
        <v/>
      </c>
      <c r="CC493" s="200" t="str">
        <f>IF(FMS_Ranking4[[#This Row],[FMS Type]]="Infrastructure Projects",FMS_Ranking4[[#This Row],[Rank (with ArcSinh normalization of select criteria)]],"")</f>
        <v/>
      </c>
      <c r="CD493" s="200" t="str">
        <f>IF(FMS_Ranking4[[#This Row],[FMS Type]]="Other",FMS_Ranking4[[#This Row],[Rank (with ArcSinh normalization of select criteria)]],"")</f>
        <v/>
      </c>
      <c r="CE493" s="201"/>
      <c r="CF493" s="206"/>
      <c r="CG493" s="206"/>
      <c r="CH493" s="206"/>
      <c r="CI493" s="206"/>
      <c r="CJ493" s="206"/>
      <c r="CK493" s="206"/>
      <c r="CL493" s="206"/>
      <c r="CM493" s="206"/>
      <c r="CN493" s="206"/>
      <c r="CO493" s="206"/>
      <c r="CP493" s="206"/>
      <c r="CQ493" s="206"/>
      <c r="CR493" s="206"/>
    </row>
    <row r="494" spans="2:96" ht="75" x14ac:dyDescent="0.25">
      <c r="B494" s="341" t="s">
        <v>2273</v>
      </c>
      <c r="C494" s="246">
        <f>_xlfn.XLOOKUP(FMS_Ranking4[[#This Row],[FMS ID]],FMS_Input[FMS_ID],FMS_Input[RFPG_NUM])</f>
        <v>3</v>
      </c>
      <c r="D494" s="309" t="str">
        <f>_xlfn.XLOOKUP(FMS_Ranking4[[#This Row],[FMS ID]],FMS_Input[FMS_ID],FMS_Input[FMS_NAME])</f>
        <v>City of Chico NFIP Education Program</v>
      </c>
      <c r="E494" s="308" t="str">
        <f>_xlfn.XLOOKUP(FMS_Ranking4[[#This Row],[FMS ID]],FMS_Input[FMS_ID],FMS_Input[SPONSOR])</f>
        <v>Chico</v>
      </c>
      <c r="F494" s="309" t="str">
        <f>_xlfn.XLOOKUP(FMS_Ranking4[[#This Row],[FMS ID]],Sponsor[FMS_ID],Sponsor[SPONSOR NAME])</f>
        <v>Chico</v>
      </c>
      <c r="G494" s="309" t="str">
        <f>_xlfn.XLOOKUP(FMS_Ranking4[[#This Row],[FMS ID]],FMS_Input[FMS_ID],FMS_Input[FMS_DESCR])</f>
        <v>Distribute information to downstream property owners educating homeowners about the National Flood Insurance Program.</v>
      </c>
      <c r="H494" s="248" t="str">
        <f>_xlfn.XLOOKUP(FMS_Ranking4[[#This Row],[FMS ID]],FMS_Input[FMS_ID],FMS_Input[FMS_TYPE])</f>
        <v>Education and Outreach</v>
      </c>
      <c r="I494" s="249">
        <f>_xlfn.XLOOKUP(FMS_Ranking4[[#This Row],[FMS ID]],FMS_Input[FMS_ID],FMS_Input[NRNC_COST])</f>
        <v>50000</v>
      </c>
      <c r="J494" s="250">
        <f>_xlfn.XLOOKUP(FMS_Ranking4[[#This Row],[FMS ID]],FMS_Input[FMS_ID],FMS_Input[FMS_COST])</f>
        <v>50000</v>
      </c>
      <c r="K494" s="251" t="str">
        <f>_xlfn.XLOOKUP(FMS_Ranking4[[#This Row],[FMS ID]],FMS_Input[FMS_ID],FMS_Input[EMER_NEED])</f>
        <v>No</v>
      </c>
      <c r="L494" s="252">
        <f t="shared" si="7"/>
        <v>0</v>
      </c>
      <c r="M494" s="253">
        <f>_xlfn.XLOOKUP(FMS_Ranking4[[#This Row],[FMS ID]],FMS_Input[FMS_ID],FMS_Input[STRUCT_100])</f>
        <v>0</v>
      </c>
      <c r="N494" s="255">
        <f>(ASINH(FMS_Ranking4[[#This Row],[Structure at Risk Raw]]))*(10)/(ASINH(M$4))</f>
        <v>0</v>
      </c>
      <c r="O494" s="256">
        <f>FMS_Ranking4[[#This Row],[Structures at risk, ArcSinh (0-10)]]*M$5*10</f>
        <v>0</v>
      </c>
      <c r="P494" s="253">
        <f>_xlfn.XLOOKUP(FMS_Ranking4[[#This Row],[FMS ID]],FMS_Input[FMS_ID],FMS_Input[RES_STRUCT100])</f>
        <v>0</v>
      </c>
      <c r="Q494" s="257">
        <f>ASINH(FMS_Ranking4[[#This Row],[Res Structure Raw]])/Q$4*P$5*100</f>
        <v>0</v>
      </c>
      <c r="R494" s="253">
        <f>_xlfn.XLOOKUP(FMS_Ranking4[[#This Row],[FMS ID]],FMS_Input[FMS_ID],FMS_Input[POP100])</f>
        <v>0</v>
      </c>
      <c r="S494" s="259">
        <f>(ASINH(FMS_Ranking4[[#This Row],[Pop at Risk Raw]]))*(10)/(ASINH(R$4))</f>
        <v>0</v>
      </c>
      <c r="T494" s="256">
        <f>FMS_Ranking4[[#This Row],[Population at risk, ArcSinh (0-10)]]*R$5*10</f>
        <v>0</v>
      </c>
      <c r="U494" s="253">
        <f>_xlfn.XLOOKUP(FMS_Ranking4[[#This Row],[FMS ID]],FMS_Input[FMS_ID],FMS_Input[CRITFAC100])</f>
        <v>369</v>
      </c>
      <c r="V494" s="259">
        <f>(ASINH(FMS_Ranking4[[#This Row],[Critical Facilities Raw]]))*(10)/(ASINH(U$4))</f>
        <v>7.8175140472338498</v>
      </c>
      <c r="W494" s="256">
        <f>FMS_Ranking4[[#This Row],[Critical facilities at risk, ArcSinh (0-10)]]*U$5*10</f>
        <v>7.8175140472338498</v>
      </c>
      <c r="X494" s="253">
        <f>_xlfn.XLOOKUP(FMS_Ranking4[[#This Row],[FMS ID]],FMS_Input[FMS_ID],FMS_Input[LWC])</f>
        <v>387</v>
      </c>
      <c r="Y494" s="259">
        <f>(ASINH(FMS_Ranking4[[#This Row],[LWC Raw]]))*(10)/(ASINH(X$4))</f>
        <v>9.0111379615044935</v>
      </c>
      <c r="Z494" s="256">
        <f>FMS_Ranking4[[#This Row],[LWC, ArcSInh (0-10)]]*X$5*10</f>
        <v>9.0111379615044935</v>
      </c>
      <c r="AA494" s="253">
        <f>_xlfn.XLOOKUP(FMS_Ranking4[[#This Row],[FMS ID]],FMS_Input[FMS_ID],FMS_Input[ROADCLS])</f>
        <v>0</v>
      </c>
      <c r="AB494" s="255">
        <f>(ASINH(FMS_Ranking4[[#This Row],[Road Closures Raw]]))*(10)/(ASINH(AA$4))</f>
        <v>0</v>
      </c>
      <c r="AC494" s="256">
        <f>FMS_Ranking4[[#This Row],[Road closures, ArcSinh (0-10)]]*AA$5*10</f>
        <v>0</v>
      </c>
      <c r="AD494" s="253">
        <f>_xlfn.XLOOKUP(FMS_Ranking4[[#This Row],[FMS ID]],FMS_Input[FMS_ID],FMS_Input[ROAD_MILES100])</f>
        <v>2</v>
      </c>
      <c r="AE494" s="259">
        <f>(ASINH(FMS_Ranking4[[#This Row],[Road Miles Raw]]))*(10)/(ASINH(AD$4))</f>
        <v>1.5385182374234352</v>
      </c>
      <c r="AF494" s="256">
        <f>FMS_Ranking4[[#This Row],[Length of roads at risk, ArcSinh (0-10)]]*AD$5*10</f>
        <v>1.5385182374234352</v>
      </c>
      <c r="AG494" s="253">
        <f>_xlfn.XLOOKUP(FMS_Ranking4[[#This Row],[FMS ID]],FMS_Input[FMS_ID],FMS_Input[FARMACRE100])</f>
        <v>0</v>
      </c>
      <c r="AH494" s="255">
        <f>(ASINH(FMS_Ranking4[[#This Row],[Ag Land Raw]]))*(10)/(ASINH(AG$4))</f>
        <v>0</v>
      </c>
      <c r="AI494" s="260">
        <f>FMS_Ranking4[[#This Row],[Farm &amp; ranch land, ArcSinh (0-10)]]*AG$5*10</f>
        <v>0</v>
      </c>
      <c r="AJ494" s="258">
        <f>_xlfn.XLOOKUP(FMS_Ranking4[[#This Row],[FMS ID]],FMS_Input[FMS_ID],FMS_Input[REDSTRUCT100])</f>
        <v>0</v>
      </c>
      <c r="AK494" s="253">
        <f>_xlfn.XLOOKUP(FMS_Ranking4[[#This Row],[FMS ID]],FMS_Input[FMS_ID],FMS_Input[REMSTRC100])</f>
        <v>0</v>
      </c>
      <c r="AL494" s="259">
        <f>(ASINH(FMS_Ranking4[[#This Row],[Structures Removed Raw]]))*(10)/(ASINH(AK$4))</f>
        <v>0</v>
      </c>
      <c r="AM494" s="262">
        <f>FMS_Ranking4[[#This Row],[Structures removed, ArcSinh (0-10)]]*AK$5*10</f>
        <v>0</v>
      </c>
      <c r="AN494" s="253">
        <f>_xlfn.XLOOKUP(FMS_Ranking4[[#This Row],[FMS ID]],FMS_Input[FMS_ID],FMS_Input[REMRESSTRC100])</f>
        <v>0</v>
      </c>
      <c r="AO494" s="261">
        <f>FMS_Ranking4[[#This Row],[ArcSinh Res struct removed 0-10]]*AN$5*10</f>
        <v>0</v>
      </c>
      <c r="AP494" s="260">
        <f>ASINH(FMS_Ranking4[[#This Row],[Residential Structures Removed Raw]])/AP$4*AN$5*100</f>
        <v>0</v>
      </c>
      <c r="AQ494" s="254">
        <f>(ASINH(FMS_Ranking4[[#This Row],[Residential Structures Removed Raw]]))*(10)/(ASINH(AN$4))</f>
        <v>0</v>
      </c>
      <c r="AR494" s="253">
        <f>_xlfn.XLOOKUP(FMS_Ranking4[[#This Row],[FMS ID]],FMS_Input[FMS_ID],FMS_Input[REMPOP100])</f>
        <v>0</v>
      </c>
      <c r="AS494" s="259">
        <f>(ASINH(FMS_Ranking4[[#This Row],[Removed Pop Raw]]))*(10)/(ASINH(AR$4))</f>
        <v>0</v>
      </c>
      <c r="AT494" s="262">
        <f>FMS_Ranking4[[#This Row],[Removed population, ArcSinh (0-10)]]*AR$5*10</f>
        <v>0</v>
      </c>
      <c r="AU494" s="264">
        <f>_xlfn.XLOOKUP(FMS_Ranking4[[#This Row],[FMS ID]],FMS_Input[FMS_ID],FMS_Input[REMCRITFAC100])</f>
        <v>0</v>
      </c>
      <c r="AV494" s="264">
        <f>_xlfn.XLOOKUP(FMS_Ranking4[[#This Row],[FMS ID]],FMS_Input[FMS_ID],FMS_Input[REMLWC100])</f>
        <v>0</v>
      </c>
      <c r="AW494" s="264">
        <f>_xlfn.XLOOKUP(FMS_Ranking4[[#This Row],[FMS ID]],FMS_Input[FMS_ID],FMS_Input[REMROADCLS])</f>
        <v>0</v>
      </c>
      <c r="AX494" s="264">
        <f>_xlfn.XLOOKUP(FMS_Ranking4[[#This Row],[FMS ID]],FMS_Input[FMS_ID],FMS_Input[REMFRMACRE100])</f>
        <v>0</v>
      </c>
      <c r="AY494" s="258">
        <f>_xlfn.XLOOKUP(FMS_Ranking4[[#This Row],[FMS ID]],FMS_Input[FMS_ID],FMS_Input[COSTSTRUCT])</f>
        <v>0</v>
      </c>
      <c r="AZ494" s="253">
        <f>_xlfn.XLOOKUP(FMS_Ranking4[[#This Row],[FMS ID]],FMS_Input[FMS_ID],FMS_Input[NATURE])</f>
        <v>0</v>
      </c>
      <c r="BA494" s="262">
        <f>(((FMS_Ranking4[[#This Row],[% NBS Raw]]/AZ$4)*100)*AZ$5)</f>
        <v>0</v>
      </c>
      <c r="BB494" s="251" t="str">
        <f>_xlfn.XLOOKUP(FMS_Ranking4[[#This Row],[FMS ID]],FMS_Input[FMS_ID],FMS_Input[WATER_SUP])</f>
        <v>No</v>
      </c>
      <c r="BC494" s="265">
        <f>IF(FMS_Ranking4[[#This Row],[Water Supply Raw]]="Yes",10,0)</f>
        <v>0</v>
      </c>
      <c r="BD494" s="266">
        <f>_xlfn.XLOOKUP(FMS_Ranking4[[#This Row],[FMS Type]],FMS_TYPE[FMS_Type],FMS_TYPE[Score])</f>
        <v>6</v>
      </c>
      <c r="BE494" s="267">
        <f>FMS_Ranking4[[#This Row],[FMS_Type Score]]*$BD$5*10</f>
        <v>1.5000000000000002</v>
      </c>
      <c r="BF49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6.4051246473227872</v>
      </c>
      <c r="BG494" s="271">
        <f>_xlfn.RANK.EQ(BF494,$BF$8:$BF$870,0)+COUNTIF($BF$8:BF494,BF494)-1</f>
        <v>55</v>
      </c>
      <c r="BH494" s="268">
        <f>(((FMS_Ranking4[[#This Row],[Structures Removed Raw]]/AK$4)*100)*AK$5)+(((FMS_Ranking4[[#This Row],[Removed Pop Raw]]/AR$4)*100)*AR$5)</f>
        <v>0</v>
      </c>
      <c r="BI49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7.9051246473227872</v>
      </c>
      <c r="BJ494" s="205">
        <f>_xlfn.RANK.EQ(FMS_Ranking4[[#This Row],[Total Score 
(with linear
normalization)]],FMS_Ranking4[Total Score 
(with linear
normalization)],0)</f>
        <v>91</v>
      </c>
      <c r="BK494" s="205" t="e">
        <f>_xlfn.XLOOKUP(FMS_Ranking4[[#This Row],[FMS ID]],#REF!,#REF!)</f>
        <v>#REF!</v>
      </c>
      <c r="BL49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18.367170246161781</v>
      </c>
      <c r="BM494" s="272">
        <f>FMS_Ranking4[[#This Row],[ArcSinh Score Based on Normalized Reported Factors]]+FMS_Ranking4[[#This Row],[% NBS Score (Normalized)]]+(FMS_Ranking4[[#This Row],[Water Supply Score (Normalized)]]*10*$BB$5)+FMS_Ranking4[[#This Row],[FMS_Type Score Weighted]]</f>
        <v>19.867170246161781</v>
      </c>
      <c r="BN494" s="205">
        <f>_xlfn.RANK.EQ(FMS_Ranking4[[#This Row],[Total Score (with ArcSinh normalization of select criteria)]],FMS_Ranking4[Total Score (with ArcSinh normalization of select criteria)],0)</f>
        <v>487</v>
      </c>
      <c r="BO494" s="270" t="str">
        <f>_xlfn.XLOOKUP(FMS_Ranking4[[#This Row],[FMS ID]],FMS_Input[FMS_ID],FMS_Input[FMS_RANK_YEAR])</f>
        <v>2023 Amended Plan</v>
      </c>
      <c r="BP494" s="204">
        <f>_xlfn.XLOOKUP(FMS_Ranking4[[#This Row],[FMS ID]],Prev_Rank[FMS ID],Prev_Rank[Prev Rank])</f>
        <v>442</v>
      </c>
      <c r="BQ494" s="205" t="e">
        <f>_xlfn.XLOOKUP(FMS_Ranking4[[#This Row],[FMS ID]],#REF!,#REF!)</f>
        <v>#REF!</v>
      </c>
      <c r="BR494" s="199" t="e">
        <f>SUM(#REF!,#REF!,#REF!,#REF!,#REF!,#REF!,#REF!,#REF!,#REF!,FMS_Ranking4[[#This Row],[ArcSinh Res struct removed 0-10]],#REF!)</f>
        <v>#REF!</v>
      </c>
      <c r="BS494" s="199" t="e">
        <f>FMS_Ranking4[[#This Row],[Log Score Based on Normalized Reported Factors]]+FMS_Ranking4[[#This Row],[% NBS Score (Normalized)]]+(FMS_Ranking4[[#This Row],[Water Supply Score (Normalized)]]*10*$BB$5)+(FMS_Ranking4[[#This Row],[FMS_Type Score Weighted]])</f>
        <v>#REF!</v>
      </c>
      <c r="BT494" s="200" t="e">
        <f>_xlfn.RANK.EQ(FMS_Ranking4[[#This Row],[Log Total Score]],FMS_Ranking4[Log Total Score],0)</f>
        <v>#REF!</v>
      </c>
      <c r="BU494" s="200" t="e">
        <f>_xlfn.XLOOKUP(FMS_Ranking4[[#This Row],[FMS ID]],#REF!,#REF!)</f>
        <v>#REF!</v>
      </c>
      <c r="BV494" s="200">
        <f>FMS_Ranking4[[#This Row],[Region Number]]</f>
        <v>3</v>
      </c>
      <c r="BW494" s="200">
        <f>FMS_Ranking4[[#This Row],[Rank (with ArcSinh normalization of select criteria)]]-FMS_Ranking4[[#This Row],[Rank
(with linear
normalization)]]</f>
        <v>396</v>
      </c>
      <c r="BX494" s="200" t="e">
        <f>FMS_Ranking4[[#This Row],[Log Rank]]-FMS_Ranking4[[#This Row],[Rank
(with linear
normalization)]]</f>
        <v>#REF!</v>
      </c>
      <c r="BY494" s="200" t="str">
        <f>IF(FMS_Ranking4[[#This Row],[FMS Type]]="Flood Measurement and Warning",FMS_Ranking4[[#This Row],[Rank (with ArcSinh normalization of select criteria)]],"")</f>
        <v/>
      </c>
      <c r="BZ494" s="200" t="str">
        <f>IF(FMS_Ranking4[[#This Row],[FMS Type]]="Regulatory and Guidance",FMS_Ranking4[[#This Row],[Rank (with ArcSinh normalization of select criteria)]],"")</f>
        <v/>
      </c>
      <c r="CA494" s="200">
        <f>IF(FMS_Ranking4[[#This Row],[FMS Type]]="Education and Outreach",FMS_Ranking4[[#This Row],[Rank (with ArcSinh normalization of select criteria)]],"")</f>
        <v>487</v>
      </c>
      <c r="CB494" s="200" t="str">
        <f>IF(FMS_Ranking4[[#This Row],[FMS Type]]="Property Acquisition and Structural Elevation",FMS_Ranking4[[#This Row],[Rank (with ArcSinh normalization of select criteria)]],"")</f>
        <v/>
      </c>
      <c r="CC494" s="200" t="str">
        <f>IF(FMS_Ranking4[[#This Row],[FMS Type]]="Infrastructure Projects",FMS_Ranking4[[#This Row],[Rank (with ArcSinh normalization of select criteria)]],"")</f>
        <v/>
      </c>
      <c r="CD494" s="200" t="str">
        <f>IF(FMS_Ranking4[[#This Row],[FMS Type]]="Other",FMS_Ranking4[[#This Row],[Rank (with ArcSinh normalization of select criteria)]],"")</f>
        <v/>
      </c>
      <c r="CE494" s="201"/>
      <c r="CF494" s="206"/>
      <c r="CG494" s="206"/>
      <c r="CH494" s="206"/>
      <c r="CI494" s="206"/>
      <c r="CJ494" s="206"/>
      <c r="CK494" s="206"/>
      <c r="CL494" s="206"/>
      <c r="CM494" s="206"/>
      <c r="CN494" s="206"/>
      <c r="CO494" s="206"/>
      <c r="CP494" s="206"/>
      <c r="CQ494" s="206"/>
      <c r="CR494" s="206"/>
    </row>
    <row r="495" spans="2:96" ht="60" x14ac:dyDescent="0.25">
      <c r="B495" s="341" t="s">
        <v>3982</v>
      </c>
      <c r="C495" s="246">
        <f>_xlfn.XLOOKUP(FMS_Ranking4[[#This Row],[FMS ID]],FMS_Input[FMS_ID],FMS_Input[RFPG_NUM])</f>
        <v>15</v>
      </c>
      <c r="D495" s="309" t="str">
        <f>_xlfn.XLOOKUP(FMS_Ranking4[[#This Row],[FMS ID]],FMS_Input[FMS_ID],FMS_Input[FMS_NAME])</f>
        <v>Rio Hondo Action #4</v>
      </c>
      <c r="E495" s="308" t="str">
        <f>_xlfn.XLOOKUP(FMS_Ranking4[[#This Row],[FMS ID]],FMS_Input[FMS_ID],FMS_Input[SPONSOR])</f>
        <v>15000054</v>
      </c>
      <c r="F495" s="309" t="str">
        <f>_xlfn.XLOOKUP(FMS_Ranking4[[#This Row],[FMS ID]],Sponsor[FMS_ID],Sponsor[SPONSOR NAME])</f>
        <v>Rio Hondo</v>
      </c>
      <c r="G495" s="309" t="str">
        <f>_xlfn.XLOOKUP(FMS_Ranking4[[#This Row],[FMS ID]],FMS_Input[FMS_ID],FMS_Input[FMS_DESCR])</f>
        <v>Adopt ASCE24-05 Flood Resistant Design and Construction to reduce flooding caused by Storm Surge</v>
      </c>
      <c r="H495" s="248" t="str">
        <f>_xlfn.XLOOKUP(FMS_Ranking4[[#This Row],[FMS ID]],FMS_Input[FMS_ID],FMS_Input[FMS_TYPE])</f>
        <v>Regulatory and Guidance</v>
      </c>
      <c r="I495" s="249">
        <f>_xlfn.XLOOKUP(FMS_Ranking4[[#This Row],[FMS ID]],FMS_Input[FMS_ID],FMS_Input[NRNC_COST])</f>
        <v>1000</v>
      </c>
      <c r="J495" s="250">
        <f>_xlfn.XLOOKUP(FMS_Ranking4[[#This Row],[FMS ID]],FMS_Input[FMS_ID],FMS_Input[FMS_COST])</f>
        <v>2000000</v>
      </c>
      <c r="K495" s="251" t="str">
        <f>_xlfn.XLOOKUP(FMS_Ranking4[[#This Row],[FMS ID]],FMS_Input[FMS_ID],FMS_Input[EMER_NEED])</f>
        <v>Yes</v>
      </c>
      <c r="L495" s="252">
        <f t="shared" si="7"/>
        <v>1</v>
      </c>
      <c r="M495" s="253">
        <f>_xlfn.XLOOKUP(FMS_Ranking4[[#This Row],[FMS ID]],FMS_Input[FMS_ID],FMS_Input[STRUCT_100])</f>
        <v>874</v>
      </c>
      <c r="N495" s="255">
        <f>(ASINH(FMS_Ranking4[[#This Row],[Structure at Risk Raw]]))*(10)/(ASINH(M$4))</f>
        <v>5.8695667896087782</v>
      </c>
      <c r="O495" s="256">
        <f>FMS_Ranking4[[#This Row],[Structures at risk, ArcSinh (0-10)]]*M$5*10</f>
        <v>5.8695667896087791</v>
      </c>
      <c r="P495" s="253">
        <f>_xlfn.XLOOKUP(FMS_Ranking4[[#This Row],[FMS ID]],FMS_Input[FMS_ID],FMS_Input[RES_STRUCT100])</f>
        <v>661</v>
      </c>
      <c r="Q495" s="257">
        <f>ASINH(FMS_Ranking4[[#This Row],[Res Structure Raw]])/Q$4*P$5*100</f>
        <v>0</v>
      </c>
      <c r="R495" s="253">
        <f>_xlfn.XLOOKUP(FMS_Ranking4[[#This Row],[FMS ID]],FMS_Input[FMS_ID],FMS_Input[POP100])</f>
        <v>3926</v>
      </c>
      <c r="S495" s="259">
        <f>(ASINH(FMS_Ranking4[[#This Row],[Pop at Risk Raw]]))*(10)/(ASINH(R$4))</f>
        <v>6.1914939503750075</v>
      </c>
      <c r="T495" s="256">
        <f>FMS_Ranking4[[#This Row],[Population at risk, ArcSinh (0-10)]]*R$5*10</f>
        <v>6.1914939503750075</v>
      </c>
      <c r="U495" s="253">
        <f>_xlfn.XLOOKUP(FMS_Ranking4[[#This Row],[FMS ID]],FMS_Input[FMS_ID],FMS_Input[CRITFAC100])</f>
        <v>0</v>
      </c>
      <c r="V495" s="259">
        <f>(ASINH(FMS_Ranking4[[#This Row],[Critical Facilities Raw]]))*(10)/(ASINH(U$4))</f>
        <v>0</v>
      </c>
      <c r="W495" s="256">
        <f>FMS_Ranking4[[#This Row],[Critical facilities at risk, ArcSinh (0-10)]]*U$5*10</f>
        <v>0</v>
      </c>
      <c r="X495" s="253">
        <f>_xlfn.XLOOKUP(FMS_Ranking4[[#This Row],[FMS ID]],FMS_Input[FMS_ID],FMS_Input[LWC])</f>
        <v>0</v>
      </c>
      <c r="Y495" s="259">
        <f>(ASINH(FMS_Ranking4[[#This Row],[LWC Raw]]))*(10)/(ASINH(X$4))</f>
        <v>0</v>
      </c>
      <c r="Z495" s="256">
        <f>FMS_Ranking4[[#This Row],[LWC, ArcSInh (0-10)]]*X$5*10</f>
        <v>0</v>
      </c>
      <c r="AA495" s="253">
        <f>_xlfn.XLOOKUP(FMS_Ranking4[[#This Row],[FMS ID]],FMS_Input[FMS_ID],FMS_Input[ROADCLS])</f>
        <v>0</v>
      </c>
      <c r="AB495" s="255">
        <f>(ASINH(FMS_Ranking4[[#This Row],[Road Closures Raw]]))*(10)/(ASINH(AA$4))</f>
        <v>0</v>
      </c>
      <c r="AC495" s="256">
        <f>FMS_Ranking4[[#This Row],[Road closures, ArcSinh (0-10)]]*AA$5*10</f>
        <v>0</v>
      </c>
      <c r="AD495" s="253">
        <f>_xlfn.XLOOKUP(FMS_Ranking4[[#This Row],[FMS ID]],FMS_Input[FMS_ID],FMS_Input[ROAD_MILES100])</f>
        <v>15</v>
      </c>
      <c r="AE495" s="259">
        <f>(ASINH(FMS_Ranking4[[#This Row],[Road Miles Raw]]))*(10)/(ASINH(AD$4))</f>
        <v>3.625922827042257</v>
      </c>
      <c r="AF495" s="256">
        <f>FMS_Ranking4[[#This Row],[Length of roads at risk, ArcSinh (0-10)]]*AD$5*10</f>
        <v>3.625922827042257</v>
      </c>
      <c r="AG495" s="253">
        <f>_xlfn.XLOOKUP(FMS_Ranking4[[#This Row],[FMS ID]],FMS_Input[FMS_ID],FMS_Input[FARMACRE100])</f>
        <v>398.51919555664063</v>
      </c>
      <c r="AH495" s="255">
        <f>(ASINH(FMS_Ranking4[[#This Row],[Ag Land Raw]]))*(10)/(ASINH(AG$4))</f>
        <v>4.339791710335696</v>
      </c>
      <c r="AI495" s="260">
        <f>FMS_Ranking4[[#This Row],[Farm &amp; ranch land, ArcSinh (0-10)]]*AG$5*10</f>
        <v>2.169895855167848</v>
      </c>
      <c r="AJ495" s="258">
        <f>_xlfn.XLOOKUP(FMS_Ranking4[[#This Row],[FMS ID]],FMS_Input[FMS_ID],FMS_Input[REDSTRUCT100])</f>
        <v>0</v>
      </c>
      <c r="AK495" s="253">
        <f>_xlfn.XLOOKUP(FMS_Ranking4[[#This Row],[FMS ID]],FMS_Input[FMS_ID],FMS_Input[REMSTRC100])</f>
        <v>0</v>
      </c>
      <c r="AL495" s="259">
        <f>(ASINH(FMS_Ranking4[[#This Row],[Structures Removed Raw]]))*(10)/(ASINH(AK$4))</f>
        <v>0</v>
      </c>
      <c r="AM495" s="262">
        <f>FMS_Ranking4[[#This Row],[Structures removed, ArcSinh (0-10)]]*AK$5*10</f>
        <v>0</v>
      </c>
      <c r="AN495" s="253">
        <f>_xlfn.XLOOKUP(FMS_Ranking4[[#This Row],[FMS ID]],FMS_Input[FMS_ID],FMS_Input[REMRESSTRC100])</f>
        <v>0</v>
      </c>
      <c r="AO495" s="261">
        <f>FMS_Ranking4[[#This Row],[ArcSinh Res struct removed 0-10]]*AN$5*10</f>
        <v>0</v>
      </c>
      <c r="AP495" s="260">
        <f>ASINH(FMS_Ranking4[[#This Row],[Residential Structures Removed Raw]])/AP$4*AN$5*100</f>
        <v>0</v>
      </c>
      <c r="AQ495" s="254">
        <f>(ASINH(FMS_Ranking4[[#This Row],[Residential Structures Removed Raw]]))*(10)/(ASINH(AN$4))</f>
        <v>0</v>
      </c>
      <c r="AR495" s="253">
        <f>_xlfn.XLOOKUP(FMS_Ranking4[[#This Row],[FMS ID]],FMS_Input[FMS_ID],FMS_Input[REMPOP100])</f>
        <v>0</v>
      </c>
      <c r="AS495" s="259">
        <f>(ASINH(FMS_Ranking4[[#This Row],[Removed Pop Raw]]))*(10)/(ASINH(AR$4))</f>
        <v>0</v>
      </c>
      <c r="AT495" s="262">
        <f>FMS_Ranking4[[#This Row],[Removed population, ArcSinh (0-10)]]*AR$5*10</f>
        <v>0</v>
      </c>
      <c r="AU495" s="264">
        <f>_xlfn.XLOOKUP(FMS_Ranking4[[#This Row],[FMS ID]],FMS_Input[FMS_ID],FMS_Input[REMCRITFAC100])</f>
        <v>0</v>
      </c>
      <c r="AV495" s="264">
        <f>_xlfn.XLOOKUP(FMS_Ranking4[[#This Row],[FMS ID]],FMS_Input[FMS_ID],FMS_Input[REMLWC100])</f>
        <v>0</v>
      </c>
      <c r="AW495" s="264">
        <f>_xlfn.XLOOKUP(FMS_Ranking4[[#This Row],[FMS ID]],FMS_Input[FMS_ID],FMS_Input[REMROADCLS])</f>
        <v>0</v>
      </c>
      <c r="AX495" s="264">
        <f>_xlfn.XLOOKUP(FMS_Ranking4[[#This Row],[FMS ID]],FMS_Input[FMS_ID],FMS_Input[REMFRMACRE100])</f>
        <v>0</v>
      </c>
      <c r="AY495" s="258">
        <f>_xlfn.XLOOKUP(FMS_Ranking4[[#This Row],[FMS ID]],FMS_Input[FMS_ID],FMS_Input[COSTSTRUCT])</f>
        <v>0</v>
      </c>
      <c r="AZ495" s="253">
        <f>_xlfn.XLOOKUP(FMS_Ranking4[[#This Row],[FMS ID]],FMS_Input[FMS_ID],FMS_Input[NATURE])</f>
        <v>0</v>
      </c>
      <c r="BA495" s="262">
        <f>(((FMS_Ranking4[[#This Row],[% NBS Raw]]/AZ$4)*100)*AZ$5)</f>
        <v>0</v>
      </c>
      <c r="BB495" s="251" t="str">
        <f>_xlfn.XLOOKUP(FMS_Ranking4[[#This Row],[FMS ID]],FMS_Input[FMS_ID],FMS_Input[WATER_SUP])</f>
        <v>No</v>
      </c>
      <c r="BC495" s="265">
        <f>IF(FMS_Ranking4[[#This Row],[Water Supply Raw]]="Yes",10,0)</f>
        <v>0</v>
      </c>
      <c r="BD495" s="266">
        <f>_xlfn.XLOOKUP(FMS_Ranking4[[#This Row],[FMS Type]],FMS_TYPE[FMS_Type],FMS_TYPE[Score])</f>
        <v>8</v>
      </c>
      <c r="BE495" s="267">
        <f>FMS_Ranking4[[#This Row],[FMS_Type Score]]*$BD$5*10</f>
        <v>2</v>
      </c>
      <c r="BF49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0.11851290432824668</v>
      </c>
      <c r="BG495" s="271">
        <f>_xlfn.RANK.EQ(BF495,$BF$8:$BF$870,0)+COUNTIF($BF$8:BF495,BF495)-1</f>
        <v>463</v>
      </c>
      <c r="BH495" s="268">
        <f>(((FMS_Ranking4[[#This Row],[Structures Removed Raw]]/AK$4)*100)*AK$5)+(((FMS_Ranking4[[#This Row],[Removed Pop Raw]]/AR$4)*100)*AR$5)</f>
        <v>0</v>
      </c>
      <c r="BI49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2.1185129043282469</v>
      </c>
      <c r="BJ495" s="205">
        <f>_xlfn.RANK.EQ(FMS_Ranking4[[#This Row],[Total Score 
(with linear
normalization)]],FMS_Ranking4[Total Score 
(with linear
normalization)],0)</f>
        <v>358</v>
      </c>
      <c r="BK495" s="205" t="e">
        <f>_xlfn.XLOOKUP(FMS_Ranking4[[#This Row],[FMS ID]],#REF!,#REF!)</f>
        <v>#REF!</v>
      </c>
      <c r="BL49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17.856879422193892</v>
      </c>
      <c r="BM495" s="272">
        <f>FMS_Ranking4[[#This Row],[ArcSinh Score Based on Normalized Reported Factors]]+FMS_Ranking4[[#This Row],[% NBS Score (Normalized)]]+(FMS_Ranking4[[#This Row],[Water Supply Score (Normalized)]]*10*$BB$5)+FMS_Ranking4[[#This Row],[FMS_Type Score Weighted]]</f>
        <v>19.856879422193892</v>
      </c>
      <c r="BN495" s="205">
        <f>_xlfn.RANK.EQ(FMS_Ranking4[[#This Row],[Total Score (with ArcSinh normalization of select criteria)]],FMS_Ranking4[Total Score (with ArcSinh normalization of select criteria)],0)</f>
        <v>488</v>
      </c>
      <c r="BO495" s="270" t="str">
        <f>_xlfn.XLOOKUP(FMS_Ranking4[[#This Row],[FMS ID]],FMS_Input[FMS_ID],FMS_Input[FMS_RANK_YEAR])</f>
        <v>2023 Amended Plan</v>
      </c>
      <c r="BP495" s="204">
        <f>_xlfn.XLOOKUP(FMS_Ranking4[[#This Row],[FMS ID]],Prev_Rank[FMS ID],Prev_Rank[Prev Rank])</f>
        <v>437</v>
      </c>
      <c r="BQ495" s="205" t="e">
        <f>_xlfn.XLOOKUP(FMS_Ranking4[[#This Row],[FMS ID]],#REF!,#REF!)</f>
        <v>#REF!</v>
      </c>
      <c r="BR495" s="199" t="e">
        <f>SUM(#REF!,#REF!,#REF!,#REF!,#REF!,#REF!,#REF!,#REF!,#REF!,FMS_Ranking4[[#This Row],[ArcSinh Res struct removed 0-10]],#REF!)</f>
        <v>#REF!</v>
      </c>
      <c r="BS495" s="199" t="e">
        <f>FMS_Ranking4[[#This Row],[Log Score Based on Normalized Reported Factors]]+FMS_Ranking4[[#This Row],[% NBS Score (Normalized)]]+(FMS_Ranking4[[#This Row],[Water Supply Score (Normalized)]]*10*$BB$5)+(FMS_Ranking4[[#This Row],[FMS_Type Score Weighted]])</f>
        <v>#REF!</v>
      </c>
      <c r="BT495" s="200" t="e">
        <f>_xlfn.RANK.EQ(FMS_Ranking4[[#This Row],[Log Total Score]],FMS_Ranking4[Log Total Score],0)</f>
        <v>#REF!</v>
      </c>
      <c r="BU495" s="200" t="e">
        <f>_xlfn.XLOOKUP(FMS_Ranking4[[#This Row],[FMS ID]],#REF!,#REF!)</f>
        <v>#REF!</v>
      </c>
      <c r="BV495" s="200">
        <f>FMS_Ranking4[[#This Row],[Region Number]]</f>
        <v>15</v>
      </c>
      <c r="BW495" s="200">
        <f>FMS_Ranking4[[#This Row],[Rank (with ArcSinh normalization of select criteria)]]-FMS_Ranking4[[#This Row],[Rank
(with linear
normalization)]]</f>
        <v>130</v>
      </c>
      <c r="BX495" s="200" t="e">
        <f>FMS_Ranking4[[#This Row],[Log Rank]]-FMS_Ranking4[[#This Row],[Rank
(with linear
normalization)]]</f>
        <v>#REF!</v>
      </c>
      <c r="BY495" s="200" t="str">
        <f>IF(FMS_Ranking4[[#This Row],[FMS Type]]="Flood Measurement and Warning",FMS_Ranking4[[#This Row],[Rank (with ArcSinh normalization of select criteria)]],"")</f>
        <v/>
      </c>
      <c r="BZ495" s="200">
        <f>IF(FMS_Ranking4[[#This Row],[FMS Type]]="Regulatory and Guidance",FMS_Ranking4[[#This Row],[Rank (with ArcSinh normalization of select criteria)]],"")</f>
        <v>488</v>
      </c>
      <c r="CA495" s="200" t="str">
        <f>IF(FMS_Ranking4[[#This Row],[FMS Type]]="Education and Outreach",FMS_Ranking4[[#This Row],[Rank (with ArcSinh normalization of select criteria)]],"")</f>
        <v/>
      </c>
      <c r="CB495" s="200" t="str">
        <f>IF(FMS_Ranking4[[#This Row],[FMS Type]]="Property Acquisition and Structural Elevation",FMS_Ranking4[[#This Row],[Rank (with ArcSinh normalization of select criteria)]],"")</f>
        <v/>
      </c>
      <c r="CC495" s="200" t="str">
        <f>IF(FMS_Ranking4[[#This Row],[FMS Type]]="Infrastructure Projects",FMS_Ranking4[[#This Row],[Rank (with ArcSinh normalization of select criteria)]],"")</f>
        <v/>
      </c>
      <c r="CD495" s="200" t="str">
        <f>IF(FMS_Ranking4[[#This Row],[FMS Type]]="Other",FMS_Ranking4[[#This Row],[Rank (with ArcSinh normalization of select criteria)]],"")</f>
        <v/>
      </c>
      <c r="CE495" s="201"/>
      <c r="CF495" s="206"/>
      <c r="CG495" s="206"/>
      <c r="CH495" s="206"/>
      <c r="CI495" s="206"/>
      <c r="CJ495" s="206"/>
      <c r="CK495" s="206"/>
      <c r="CL495" s="206"/>
      <c r="CM495" s="206"/>
      <c r="CN495" s="206"/>
      <c r="CO495" s="206"/>
      <c r="CP495" s="206"/>
      <c r="CQ495" s="206"/>
      <c r="CR495" s="206"/>
    </row>
    <row r="496" spans="2:96" ht="90" x14ac:dyDescent="0.25">
      <c r="B496" s="341" t="s">
        <v>3545</v>
      </c>
      <c r="C496" s="246">
        <f>_xlfn.XLOOKUP(FMS_Ranking4[[#This Row],[FMS ID]],FMS_Input[FMS_ID],FMS_Input[RFPG_NUM])</f>
        <v>12</v>
      </c>
      <c r="D496" s="309" t="str">
        <f>_xlfn.XLOOKUP(FMS_Ranking4[[#This Row],[FMS ID]],FMS_Input[FMS_ID],FMS_Input[FMS_NAME])</f>
        <v>Citizen flood education outreach</v>
      </c>
      <c r="E496" s="308" t="str">
        <f>_xlfn.XLOOKUP(FMS_Ranking4[[#This Row],[FMS ID]],FMS_Input[FMS_ID],FMS_Input[SPONSOR])</f>
        <v>12002925</v>
      </c>
      <c r="F496" s="309" t="str">
        <f>_xlfn.XLOOKUP(FMS_Ranking4[[#This Row],[FMS ID]],Sponsor[FMS_ID],Sponsor[SPONSOR NAME])</f>
        <v>Floresville</v>
      </c>
      <c r="G496" s="309" t="str">
        <f>_xlfn.XLOOKUP(FMS_Ranking4[[#This Row],[FMS ID]],FMS_Input[FMS_ID],FMS_Input[FMS_DESCR])</f>
        <v>Educate citizens about mitigation strategies prior to any flood conditions, including dangers of debris flooding roads and how to best floodproof homes and businesses.</v>
      </c>
      <c r="H496" s="248" t="str">
        <f>_xlfn.XLOOKUP(FMS_Ranking4[[#This Row],[FMS ID]],FMS_Input[FMS_ID],FMS_Input[FMS_TYPE])</f>
        <v>Education and Outreach</v>
      </c>
      <c r="I496" s="249">
        <f>_xlfn.XLOOKUP(FMS_Ranking4[[#This Row],[FMS ID]],FMS_Input[FMS_ID],FMS_Input[NRNC_COST])</f>
        <v>10000</v>
      </c>
      <c r="J496" s="250">
        <f>_xlfn.XLOOKUP(FMS_Ranking4[[#This Row],[FMS ID]],FMS_Input[FMS_ID],FMS_Input[FMS_COST])</f>
        <v>10000</v>
      </c>
      <c r="K496" s="251" t="str">
        <f>_xlfn.XLOOKUP(FMS_Ranking4[[#This Row],[FMS ID]],FMS_Input[FMS_ID],FMS_Input[EMER_NEED])</f>
        <v>No</v>
      </c>
      <c r="L496" s="252">
        <f t="shared" si="7"/>
        <v>0</v>
      </c>
      <c r="M496" s="253">
        <f>_xlfn.XLOOKUP(FMS_Ranking4[[#This Row],[FMS ID]],FMS_Input[FMS_ID],FMS_Input[STRUCT_100])</f>
        <v>107</v>
      </c>
      <c r="N496" s="255">
        <f>(ASINH(FMS_Ranking4[[#This Row],[Structure at Risk Raw]]))*(10)/(ASINH(M$4))</f>
        <v>4.2184732727911323</v>
      </c>
      <c r="O496" s="256">
        <f>FMS_Ranking4[[#This Row],[Structures at risk, ArcSinh (0-10)]]*M$5*10</f>
        <v>4.2184732727911323</v>
      </c>
      <c r="P496" s="253">
        <f>_xlfn.XLOOKUP(FMS_Ranking4[[#This Row],[FMS ID]],FMS_Input[FMS_ID],FMS_Input[RES_STRUCT100])</f>
        <v>63</v>
      </c>
      <c r="Q496" s="257">
        <f>ASINH(FMS_Ranking4[[#This Row],[Res Structure Raw]])/Q$4*P$5*100</f>
        <v>0</v>
      </c>
      <c r="R496" s="253">
        <f>_xlfn.XLOOKUP(FMS_Ranking4[[#This Row],[FMS ID]],FMS_Input[FMS_ID],FMS_Input[POP100])</f>
        <v>161</v>
      </c>
      <c r="S496" s="259">
        <f>(ASINH(FMS_Ranking4[[#This Row],[Pop at Risk Raw]]))*(10)/(ASINH(R$4))</f>
        <v>3.9865157725284979</v>
      </c>
      <c r="T496" s="256">
        <f>FMS_Ranking4[[#This Row],[Population at risk, ArcSinh (0-10)]]*R$5*10</f>
        <v>3.9865157725284983</v>
      </c>
      <c r="U496" s="253">
        <f>_xlfn.XLOOKUP(FMS_Ranking4[[#This Row],[FMS ID]],FMS_Input[FMS_ID],FMS_Input[CRITFAC100])</f>
        <v>3</v>
      </c>
      <c r="V496" s="259">
        <f>(ASINH(FMS_Ranking4[[#This Row],[Critical Facilities Raw]]))*(10)/(ASINH(U$4))</f>
        <v>2.152611706646717</v>
      </c>
      <c r="W496" s="256">
        <f>FMS_Ranking4[[#This Row],[Critical facilities at risk, ArcSinh (0-10)]]*U$5*10</f>
        <v>2.152611706646717</v>
      </c>
      <c r="X496" s="253">
        <f>_xlfn.XLOOKUP(FMS_Ranking4[[#This Row],[FMS ID]],FMS_Input[FMS_ID],FMS_Input[LWC])</f>
        <v>2</v>
      </c>
      <c r="Y496" s="259">
        <f>(ASINH(FMS_Ranking4[[#This Row],[LWC Raw]]))*(10)/(ASINH(X$4))</f>
        <v>1.9557475158633808</v>
      </c>
      <c r="Z496" s="256">
        <f>FMS_Ranking4[[#This Row],[LWC, ArcSInh (0-10)]]*X$5*10</f>
        <v>1.9557475158633808</v>
      </c>
      <c r="AA496" s="253">
        <f>_xlfn.XLOOKUP(FMS_Ranking4[[#This Row],[FMS ID]],FMS_Input[FMS_ID],FMS_Input[ROADCLS])</f>
        <v>31</v>
      </c>
      <c r="AB496" s="255">
        <f>(ASINH(FMS_Ranking4[[#This Row],[Road Closures Raw]]))*(10)/(ASINH(AA$4))</f>
        <v>4.298302472963389</v>
      </c>
      <c r="AC496" s="256">
        <f>FMS_Ranking4[[#This Row],[Road closures, ArcSinh (0-10)]]*AA$5*10</f>
        <v>2.1491512364816945</v>
      </c>
      <c r="AD496" s="253">
        <f>_xlfn.XLOOKUP(FMS_Ranking4[[#This Row],[FMS ID]],FMS_Input[FMS_ID],FMS_Input[ROAD_MILES100])</f>
        <v>4</v>
      </c>
      <c r="AE496" s="259">
        <f>(ASINH(FMS_Ranking4[[#This Row],[Road Miles Raw]]))*(10)/(ASINH(AD$4))</f>
        <v>2.2323872691766113</v>
      </c>
      <c r="AF496" s="256">
        <f>FMS_Ranking4[[#This Row],[Length of roads at risk, ArcSinh (0-10)]]*AD$5*10</f>
        <v>2.2323872691766113</v>
      </c>
      <c r="AG496" s="253">
        <f>_xlfn.XLOOKUP(FMS_Ranking4[[#This Row],[FMS ID]],FMS_Input[FMS_ID],FMS_Input[FARMACRE100])</f>
        <v>74.569999694824219</v>
      </c>
      <c r="AH496" s="255">
        <f>(ASINH(FMS_Ranking4[[#This Row],[Ag Land Raw]]))*(10)/(ASINH(AG$4))</f>
        <v>3.2511100518115703</v>
      </c>
      <c r="AI496" s="260">
        <f>FMS_Ranking4[[#This Row],[Farm &amp; ranch land, ArcSinh (0-10)]]*AG$5*10</f>
        <v>1.6255550259057852</v>
      </c>
      <c r="AJ496" s="258">
        <f>_xlfn.XLOOKUP(FMS_Ranking4[[#This Row],[FMS ID]],FMS_Input[FMS_ID],FMS_Input[REDSTRUCT100])</f>
        <v>0</v>
      </c>
      <c r="AK496" s="253">
        <f>_xlfn.XLOOKUP(FMS_Ranking4[[#This Row],[FMS ID]],FMS_Input[FMS_ID],FMS_Input[REMSTRC100])</f>
        <v>0</v>
      </c>
      <c r="AL496" s="259">
        <f>(ASINH(FMS_Ranking4[[#This Row],[Structures Removed Raw]]))*(10)/(ASINH(AK$4))</f>
        <v>0</v>
      </c>
      <c r="AM496" s="262">
        <f>FMS_Ranking4[[#This Row],[Structures removed, ArcSinh (0-10)]]*AK$5*10</f>
        <v>0</v>
      </c>
      <c r="AN496" s="253">
        <f>_xlfn.XLOOKUP(FMS_Ranking4[[#This Row],[FMS ID]],FMS_Input[FMS_ID],FMS_Input[REMRESSTRC100])</f>
        <v>0</v>
      </c>
      <c r="AO496" s="261">
        <f>FMS_Ranking4[[#This Row],[ArcSinh Res struct removed 0-10]]*AN$5*10</f>
        <v>0</v>
      </c>
      <c r="AP496" s="260">
        <f>ASINH(FMS_Ranking4[[#This Row],[Residential Structures Removed Raw]])/AP$4*AN$5*100</f>
        <v>0</v>
      </c>
      <c r="AQ496" s="254">
        <f>(ASINH(FMS_Ranking4[[#This Row],[Residential Structures Removed Raw]]))*(10)/(ASINH(AN$4))</f>
        <v>0</v>
      </c>
      <c r="AR496" s="253">
        <f>_xlfn.XLOOKUP(FMS_Ranking4[[#This Row],[FMS ID]],FMS_Input[FMS_ID],FMS_Input[REMPOP100])</f>
        <v>0</v>
      </c>
      <c r="AS496" s="259">
        <f>(ASINH(FMS_Ranking4[[#This Row],[Removed Pop Raw]]))*(10)/(ASINH(AR$4))</f>
        <v>0</v>
      </c>
      <c r="AT496" s="262">
        <f>FMS_Ranking4[[#This Row],[Removed population, ArcSinh (0-10)]]*AR$5*10</f>
        <v>0</v>
      </c>
      <c r="AU496" s="264">
        <f>_xlfn.XLOOKUP(FMS_Ranking4[[#This Row],[FMS ID]],FMS_Input[FMS_ID],FMS_Input[REMCRITFAC100])</f>
        <v>0</v>
      </c>
      <c r="AV496" s="264">
        <f>_xlfn.XLOOKUP(FMS_Ranking4[[#This Row],[FMS ID]],FMS_Input[FMS_ID],FMS_Input[REMLWC100])</f>
        <v>0</v>
      </c>
      <c r="AW496" s="264">
        <f>_xlfn.XLOOKUP(FMS_Ranking4[[#This Row],[FMS ID]],FMS_Input[FMS_ID],FMS_Input[REMROADCLS])</f>
        <v>0</v>
      </c>
      <c r="AX496" s="264">
        <f>_xlfn.XLOOKUP(FMS_Ranking4[[#This Row],[FMS ID]],FMS_Input[FMS_ID],FMS_Input[REMFRMACRE100])</f>
        <v>0</v>
      </c>
      <c r="AY496" s="258">
        <f>_xlfn.XLOOKUP(FMS_Ranking4[[#This Row],[FMS ID]],FMS_Input[FMS_ID],FMS_Input[COSTSTRUCT])</f>
        <v>0</v>
      </c>
      <c r="AZ496" s="253">
        <f>_xlfn.XLOOKUP(FMS_Ranking4[[#This Row],[FMS ID]],FMS_Input[FMS_ID],FMS_Input[NATURE])</f>
        <v>0</v>
      </c>
      <c r="BA496" s="262">
        <f>(((FMS_Ranking4[[#This Row],[% NBS Raw]]/AZ$4)*100)*AZ$5)</f>
        <v>0</v>
      </c>
      <c r="BB496" s="251" t="str">
        <f>_xlfn.XLOOKUP(FMS_Ranking4[[#This Row],[FMS ID]],FMS_Input[FMS_ID],FMS_Input[WATER_SUP])</f>
        <v>No</v>
      </c>
      <c r="BC496" s="265">
        <f>IF(FMS_Ranking4[[#This Row],[Water Supply Raw]]="Yes",10,0)</f>
        <v>0</v>
      </c>
      <c r="BD496" s="266">
        <f>_xlfn.XLOOKUP(FMS_Ranking4[[#This Row],[FMS Type]],FMS_TYPE[FMS_Type],FMS_TYPE[Score])</f>
        <v>6</v>
      </c>
      <c r="BE496" s="267">
        <f>FMS_Ranking4[[#This Row],[FMS_Type Score]]*$BD$5*10</f>
        <v>1.5000000000000002</v>
      </c>
      <c r="BF49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7.3647023170246115E-2</v>
      </c>
      <c r="BG496" s="271">
        <f>_xlfn.RANK.EQ(BF496,$BF$8:$BF$870,0)+COUNTIF($BF$8:BF496,BF496)-1</f>
        <v>515</v>
      </c>
      <c r="BH496" s="268">
        <f>(((FMS_Ranking4[[#This Row],[Structures Removed Raw]]/AK$4)*100)*AK$5)+(((FMS_Ranking4[[#This Row],[Removed Pop Raw]]/AR$4)*100)*AR$5)</f>
        <v>0</v>
      </c>
      <c r="BI49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1.5736470231702464</v>
      </c>
      <c r="BJ496" s="205">
        <f>_xlfn.RANK.EQ(FMS_Ranking4[[#This Row],[Total Score 
(with linear
normalization)]],FMS_Ranking4[Total Score 
(with linear
normalization)],0)</f>
        <v>571</v>
      </c>
      <c r="BK496" s="205" t="e">
        <f>_xlfn.XLOOKUP(FMS_Ranking4[[#This Row],[FMS ID]],#REF!,#REF!)</f>
        <v>#REF!</v>
      </c>
      <c r="BL49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18.320441799393819</v>
      </c>
      <c r="BM496" s="272">
        <f>FMS_Ranking4[[#This Row],[ArcSinh Score Based on Normalized Reported Factors]]+FMS_Ranking4[[#This Row],[% NBS Score (Normalized)]]+(FMS_Ranking4[[#This Row],[Water Supply Score (Normalized)]]*10*$BB$5)+FMS_Ranking4[[#This Row],[FMS_Type Score Weighted]]</f>
        <v>19.820441799393819</v>
      </c>
      <c r="BN496" s="205">
        <f>_xlfn.RANK.EQ(FMS_Ranking4[[#This Row],[Total Score (with ArcSinh normalization of select criteria)]],FMS_Ranking4[Total Score (with ArcSinh normalization of select criteria)],0)</f>
        <v>489</v>
      </c>
      <c r="BO496" s="270" t="str">
        <f>_xlfn.XLOOKUP(FMS_Ranking4[[#This Row],[FMS ID]],FMS_Input[FMS_ID],FMS_Input[FMS_RANK_YEAR])</f>
        <v>2023 Amended Plan</v>
      </c>
      <c r="BP496" s="204">
        <f>_xlfn.XLOOKUP(FMS_Ranking4[[#This Row],[FMS ID]],Prev_Rank[FMS ID],Prev_Rank[Prev Rank])</f>
        <v>438</v>
      </c>
      <c r="BQ496" s="205" t="e">
        <f>_xlfn.XLOOKUP(FMS_Ranking4[[#This Row],[FMS ID]],#REF!,#REF!)</f>
        <v>#REF!</v>
      </c>
      <c r="BR496" s="199" t="e">
        <f>SUM(#REF!,#REF!,#REF!,#REF!,#REF!,#REF!,#REF!,#REF!,#REF!,FMS_Ranking4[[#This Row],[ArcSinh Res struct removed 0-10]],#REF!)</f>
        <v>#REF!</v>
      </c>
      <c r="BS496" s="199" t="e">
        <f>FMS_Ranking4[[#This Row],[Log Score Based on Normalized Reported Factors]]+FMS_Ranking4[[#This Row],[% NBS Score (Normalized)]]+(FMS_Ranking4[[#This Row],[Water Supply Score (Normalized)]]*10*$BB$5)+(FMS_Ranking4[[#This Row],[FMS_Type Score Weighted]])</f>
        <v>#REF!</v>
      </c>
      <c r="BT496" s="200" t="e">
        <f>_xlfn.RANK.EQ(FMS_Ranking4[[#This Row],[Log Total Score]],FMS_Ranking4[Log Total Score],0)</f>
        <v>#REF!</v>
      </c>
      <c r="BU496" s="200" t="e">
        <f>_xlfn.XLOOKUP(FMS_Ranking4[[#This Row],[FMS ID]],#REF!,#REF!)</f>
        <v>#REF!</v>
      </c>
      <c r="BV496" s="200">
        <f>FMS_Ranking4[[#This Row],[Region Number]]</f>
        <v>12</v>
      </c>
      <c r="BW496" s="200">
        <f>FMS_Ranking4[[#This Row],[Rank (with ArcSinh normalization of select criteria)]]-FMS_Ranking4[[#This Row],[Rank
(with linear
normalization)]]</f>
        <v>-82</v>
      </c>
      <c r="BX496" s="200" t="e">
        <f>FMS_Ranking4[[#This Row],[Log Rank]]-FMS_Ranking4[[#This Row],[Rank
(with linear
normalization)]]</f>
        <v>#REF!</v>
      </c>
      <c r="BY496" s="200" t="str">
        <f>IF(FMS_Ranking4[[#This Row],[FMS Type]]="Flood Measurement and Warning",FMS_Ranking4[[#This Row],[Rank (with ArcSinh normalization of select criteria)]],"")</f>
        <v/>
      </c>
      <c r="BZ496" s="200" t="str">
        <f>IF(FMS_Ranking4[[#This Row],[FMS Type]]="Regulatory and Guidance",FMS_Ranking4[[#This Row],[Rank (with ArcSinh normalization of select criteria)]],"")</f>
        <v/>
      </c>
      <c r="CA496" s="200">
        <f>IF(FMS_Ranking4[[#This Row],[FMS Type]]="Education and Outreach",FMS_Ranking4[[#This Row],[Rank (with ArcSinh normalization of select criteria)]],"")</f>
        <v>489</v>
      </c>
      <c r="CB496" s="200" t="str">
        <f>IF(FMS_Ranking4[[#This Row],[FMS Type]]="Property Acquisition and Structural Elevation",FMS_Ranking4[[#This Row],[Rank (with ArcSinh normalization of select criteria)]],"")</f>
        <v/>
      </c>
      <c r="CC496" s="200" t="str">
        <f>IF(FMS_Ranking4[[#This Row],[FMS Type]]="Infrastructure Projects",FMS_Ranking4[[#This Row],[Rank (with ArcSinh normalization of select criteria)]],"")</f>
        <v/>
      </c>
      <c r="CD496" s="200" t="str">
        <f>IF(FMS_Ranking4[[#This Row],[FMS Type]]="Other",FMS_Ranking4[[#This Row],[Rank (with ArcSinh normalization of select criteria)]],"")</f>
        <v/>
      </c>
      <c r="CE496" s="201"/>
      <c r="CF496" s="206"/>
      <c r="CG496" s="206"/>
      <c r="CH496" s="206"/>
      <c r="CI496" s="206"/>
      <c r="CJ496" s="206"/>
      <c r="CK496" s="206"/>
      <c r="CL496" s="206"/>
      <c r="CM496" s="206"/>
      <c r="CN496" s="206"/>
      <c r="CO496" s="206"/>
      <c r="CP496" s="206"/>
      <c r="CQ496" s="206"/>
      <c r="CR496" s="206"/>
    </row>
    <row r="497" spans="2:96" ht="45" x14ac:dyDescent="0.25">
      <c r="B497" s="341" t="s">
        <v>3878</v>
      </c>
      <c r="C497" s="246">
        <f>_xlfn.XLOOKUP(FMS_Ranking4[[#This Row],[FMS ID]],FMS_Input[FMS_ID],FMS_Input[RFPG_NUM])</f>
        <v>15</v>
      </c>
      <c r="D497" s="309" t="str">
        <f>_xlfn.XLOOKUP(FMS_Ranking4[[#This Row],[FMS ID]],FMS_Input[FMS_ID],FMS_Input[FMS_NAME])</f>
        <v>Edcouch #3-1.1</v>
      </c>
      <c r="E497" s="308" t="str">
        <f>_xlfn.XLOOKUP(FMS_Ranking4[[#This Row],[FMS ID]],FMS_Input[FMS_ID],FMS_Input[SPONSOR])</f>
        <v>15000056</v>
      </c>
      <c r="F497" s="309" t="str">
        <f>_xlfn.XLOOKUP(FMS_Ranking4[[#This Row],[FMS ID]],Sponsor[FMS_ID],Sponsor[SPONSOR NAME])</f>
        <v>Edcouch</v>
      </c>
      <c r="G497" s="309" t="str">
        <f>_xlfn.XLOOKUP(FMS_Ranking4[[#This Row],[FMS ID]],FMS_Input[FMS_ID],FMS_Input[FMS_DESCR])</f>
        <v>Complete Activities Required To Be A Nfip Participating Community</v>
      </c>
      <c r="H497" s="248" t="str">
        <f>_xlfn.XLOOKUP(FMS_Ranking4[[#This Row],[FMS ID]],FMS_Input[FMS_ID],FMS_Input[FMS_TYPE])</f>
        <v>Regulatory and Guidance</v>
      </c>
      <c r="I497" s="249">
        <f>_xlfn.XLOOKUP(FMS_Ranking4[[#This Row],[FMS ID]],FMS_Input[FMS_ID],FMS_Input[NRNC_COST])</f>
        <v>1000</v>
      </c>
      <c r="J497" s="250">
        <f>_xlfn.XLOOKUP(FMS_Ranking4[[#This Row],[FMS ID]],FMS_Input[FMS_ID],FMS_Input[FMS_COST])</f>
        <v>5000</v>
      </c>
      <c r="K497" s="251" t="str">
        <f>_xlfn.XLOOKUP(FMS_Ranking4[[#This Row],[FMS ID]],FMS_Input[FMS_ID],FMS_Input[EMER_NEED])</f>
        <v>Yes</v>
      </c>
      <c r="L497" s="252">
        <f t="shared" si="7"/>
        <v>1</v>
      </c>
      <c r="M497" s="253">
        <f>_xlfn.XLOOKUP(FMS_Ranking4[[#This Row],[FMS ID]],FMS_Input[FMS_ID],FMS_Input[STRUCT_100])</f>
        <v>953</v>
      </c>
      <c r="N497" s="255">
        <f>(ASINH(FMS_Ranking4[[#This Row],[Structure at Risk Raw]]))*(10)/(ASINH(M$4))</f>
        <v>5.9375957721603756</v>
      </c>
      <c r="O497" s="256">
        <f>FMS_Ranking4[[#This Row],[Structures at risk, ArcSinh (0-10)]]*M$5*10</f>
        <v>5.9375957721603756</v>
      </c>
      <c r="P497" s="253">
        <f>_xlfn.XLOOKUP(FMS_Ranking4[[#This Row],[FMS ID]],FMS_Input[FMS_ID],FMS_Input[RES_STRUCT100])</f>
        <v>815</v>
      </c>
      <c r="Q497" s="257">
        <f>ASINH(FMS_Ranking4[[#This Row],[Res Structure Raw]])/Q$4*P$5*100</f>
        <v>0</v>
      </c>
      <c r="R497" s="253">
        <f>_xlfn.XLOOKUP(FMS_Ranking4[[#This Row],[FMS ID]],FMS_Input[FMS_ID],FMS_Input[POP100])</f>
        <v>3652</v>
      </c>
      <c r="S497" s="259">
        <f>(ASINH(FMS_Ranking4[[#This Row],[Pop at Risk Raw]]))*(10)/(ASINH(R$4))</f>
        <v>6.1415492045822422</v>
      </c>
      <c r="T497" s="256">
        <f>FMS_Ranking4[[#This Row],[Population at risk, ArcSinh (0-10)]]*R$5*10</f>
        <v>6.1415492045822431</v>
      </c>
      <c r="U497" s="253">
        <f>_xlfn.XLOOKUP(FMS_Ranking4[[#This Row],[FMS ID]],FMS_Input[FMS_ID],FMS_Input[CRITFAC100])</f>
        <v>0</v>
      </c>
      <c r="V497" s="259">
        <f>(ASINH(FMS_Ranking4[[#This Row],[Critical Facilities Raw]]))*(10)/(ASINH(U$4))</f>
        <v>0</v>
      </c>
      <c r="W497" s="256">
        <f>FMS_Ranking4[[#This Row],[Critical facilities at risk, ArcSinh (0-10)]]*U$5*10</f>
        <v>0</v>
      </c>
      <c r="X497" s="253">
        <f>_xlfn.XLOOKUP(FMS_Ranking4[[#This Row],[FMS ID]],FMS_Input[FMS_ID],FMS_Input[LWC])</f>
        <v>0</v>
      </c>
      <c r="Y497" s="259">
        <f>(ASINH(FMS_Ranking4[[#This Row],[LWC Raw]]))*(10)/(ASINH(X$4))</f>
        <v>0</v>
      </c>
      <c r="Z497" s="256">
        <f>FMS_Ranking4[[#This Row],[LWC, ArcSInh (0-10)]]*X$5*10</f>
        <v>0</v>
      </c>
      <c r="AA497" s="253">
        <f>_xlfn.XLOOKUP(FMS_Ranking4[[#This Row],[FMS ID]],FMS_Input[FMS_ID],FMS_Input[ROADCLS])</f>
        <v>0</v>
      </c>
      <c r="AB497" s="255">
        <f>(ASINH(FMS_Ranking4[[#This Row],[Road Closures Raw]]))*(10)/(ASINH(AA$4))</f>
        <v>0</v>
      </c>
      <c r="AC497" s="256">
        <f>FMS_Ranking4[[#This Row],[Road closures, ArcSinh (0-10)]]*AA$5*10</f>
        <v>0</v>
      </c>
      <c r="AD497" s="253">
        <f>_xlfn.XLOOKUP(FMS_Ranking4[[#This Row],[FMS ID]],FMS_Input[FMS_ID],FMS_Input[ROAD_MILES100])</f>
        <v>16</v>
      </c>
      <c r="AE497" s="259">
        <f>(ASINH(FMS_Ranking4[[#This Row],[Road Miles Raw]]))*(10)/(ASINH(AD$4))</f>
        <v>3.6945601901353586</v>
      </c>
      <c r="AF497" s="256">
        <f>FMS_Ranking4[[#This Row],[Length of roads at risk, ArcSinh (0-10)]]*AD$5*10</f>
        <v>3.6945601901353586</v>
      </c>
      <c r="AG497" s="253">
        <f>_xlfn.XLOOKUP(FMS_Ranking4[[#This Row],[FMS ID]],FMS_Input[FMS_ID],FMS_Input[FARMACRE100])</f>
        <v>168.09934997558591</v>
      </c>
      <c r="AH497" s="255">
        <f>(ASINH(FMS_Ranking4[[#This Row],[Ag Land Raw]]))*(10)/(ASINH(AG$4))</f>
        <v>3.779077390129129</v>
      </c>
      <c r="AI497" s="260">
        <f>FMS_Ranking4[[#This Row],[Farm &amp; ranch land, ArcSinh (0-10)]]*AG$5*10</f>
        <v>1.8895386950645645</v>
      </c>
      <c r="AJ497" s="258">
        <f>_xlfn.XLOOKUP(FMS_Ranking4[[#This Row],[FMS ID]],FMS_Input[FMS_ID],FMS_Input[REDSTRUCT100])</f>
        <v>0</v>
      </c>
      <c r="AK497" s="253">
        <f>_xlfn.XLOOKUP(FMS_Ranking4[[#This Row],[FMS ID]],FMS_Input[FMS_ID],FMS_Input[REMSTRC100])</f>
        <v>0</v>
      </c>
      <c r="AL497" s="259">
        <f>(ASINH(FMS_Ranking4[[#This Row],[Structures Removed Raw]]))*(10)/(ASINH(AK$4))</f>
        <v>0</v>
      </c>
      <c r="AM497" s="262">
        <f>FMS_Ranking4[[#This Row],[Structures removed, ArcSinh (0-10)]]*AK$5*10</f>
        <v>0</v>
      </c>
      <c r="AN497" s="253">
        <f>_xlfn.XLOOKUP(FMS_Ranking4[[#This Row],[FMS ID]],FMS_Input[FMS_ID],FMS_Input[REMRESSTRC100])</f>
        <v>0</v>
      </c>
      <c r="AO497" s="261">
        <f>FMS_Ranking4[[#This Row],[ArcSinh Res struct removed 0-10]]*AN$5*10</f>
        <v>0</v>
      </c>
      <c r="AP497" s="260">
        <f>ASINH(FMS_Ranking4[[#This Row],[Residential Structures Removed Raw]])/AP$4*AN$5*100</f>
        <v>0</v>
      </c>
      <c r="AQ497" s="254">
        <f>(ASINH(FMS_Ranking4[[#This Row],[Residential Structures Removed Raw]]))*(10)/(ASINH(AN$4))</f>
        <v>0</v>
      </c>
      <c r="AR497" s="253">
        <f>_xlfn.XLOOKUP(FMS_Ranking4[[#This Row],[FMS ID]],FMS_Input[FMS_ID],FMS_Input[REMPOP100])</f>
        <v>0</v>
      </c>
      <c r="AS497" s="259">
        <f>(ASINH(FMS_Ranking4[[#This Row],[Removed Pop Raw]]))*(10)/(ASINH(AR$4))</f>
        <v>0</v>
      </c>
      <c r="AT497" s="262">
        <f>FMS_Ranking4[[#This Row],[Removed population, ArcSinh (0-10)]]*AR$5*10</f>
        <v>0</v>
      </c>
      <c r="AU497" s="264">
        <f>_xlfn.XLOOKUP(FMS_Ranking4[[#This Row],[FMS ID]],FMS_Input[FMS_ID],FMS_Input[REMCRITFAC100])</f>
        <v>0</v>
      </c>
      <c r="AV497" s="264">
        <f>_xlfn.XLOOKUP(FMS_Ranking4[[#This Row],[FMS ID]],FMS_Input[FMS_ID],FMS_Input[REMLWC100])</f>
        <v>0</v>
      </c>
      <c r="AW497" s="264">
        <f>_xlfn.XLOOKUP(FMS_Ranking4[[#This Row],[FMS ID]],FMS_Input[FMS_ID],FMS_Input[REMROADCLS])</f>
        <v>0</v>
      </c>
      <c r="AX497" s="264">
        <f>_xlfn.XLOOKUP(FMS_Ranking4[[#This Row],[FMS ID]],FMS_Input[FMS_ID],FMS_Input[REMFRMACRE100])</f>
        <v>0</v>
      </c>
      <c r="AY497" s="258">
        <f>_xlfn.XLOOKUP(FMS_Ranking4[[#This Row],[FMS ID]],FMS_Input[FMS_ID],FMS_Input[COSTSTRUCT])</f>
        <v>0</v>
      </c>
      <c r="AZ497" s="253">
        <f>_xlfn.XLOOKUP(FMS_Ranking4[[#This Row],[FMS ID]],FMS_Input[FMS_ID],FMS_Input[NATURE])</f>
        <v>0</v>
      </c>
      <c r="BA497" s="262">
        <f>(((FMS_Ranking4[[#This Row],[% NBS Raw]]/AZ$4)*100)*AZ$5)</f>
        <v>0</v>
      </c>
      <c r="BB497" s="251" t="str">
        <f>_xlfn.XLOOKUP(FMS_Ranking4[[#This Row],[FMS ID]],FMS_Input[FMS_ID],FMS_Input[WATER_SUP])</f>
        <v>No</v>
      </c>
      <c r="BC497" s="265">
        <f>IF(FMS_Ranking4[[#This Row],[Water Supply Raw]]="Yes",10,0)</f>
        <v>0</v>
      </c>
      <c r="BD497" s="266">
        <f>_xlfn.XLOOKUP(FMS_Ranking4[[#This Row],[FMS Type]],FMS_TYPE[FMS_Type],FMS_TYPE[Score])</f>
        <v>8</v>
      </c>
      <c r="BE497" s="267">
        <f>FMS_Ranking4[[#This Row],[FMS_Type Score]]*$BD$5*10</f>
        <v>2</v>
      </c>
      <c r="BF49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0.12163946125308578</v>
      </c>
      <c r="BG497" s="271">
        <f>_xlfn.RANK.EQ(BF497,$BF$8:$BF$870,0)+COUNTIF($BF$8:BF497,BF497)-1</f>
        <v>458</v>
      </c>
      <c r="BH497" s="268">
        <f>(((FMS_Ranking4[[#This Row],[Structures Removed Raw]]/AK$4)*100)*AK$5)+(((FMS_Ranking4[[#This Row],[Removed Pop Raw]]/AR$4)*100)*AR$5)</f>
        <v>0</v>
      </c>
      <c r="BI49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2.1216394612530856</v>
      </c>
      <c r="BJ497" s="205">
        <f>_xlfn.RANK.EQ(FMS_Ranking4[[#This Row],[Total Score 
(with linear
normalization)]],FMS_Ranking4[Total Score 
(with linear
normalization)],0)</f>
        <v>355</v>
      </c>
      <c r="BK497" s="205" t="e">
        <f>_xlfn.XLOOKUP(FMS_Ranking4[[#This Row],[FMS ID]],#REF!,#REF!)</f>
        <v>#REF!</v>
      </c>
      <c r="BL49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17.663243861942544</v>
      </c>
      <c r="BM497" s="272">
        <f>FMS_Ranking4[[#This Row],[ArcSinh Score Based on Normalized Reported Factors]]+FMS_Ranking4[[#This Row],[% NBS Score (Normalized)]]+(FMS_Ranking4[[#This Row],[Water Supply Score (Normalized)]]*10*$BB$5)+FMS_Ranking4[[#This Row],[FMS_Type Score Weighted]]</f>
        <v>19.663243861942544</v>
      </c>
      <c r="BN497" s="205">
        <f>_xlfn.RANK.EQ(FMS_Ranking4[[#This Row],[Total Score (with ArcSinh normalization of select criteria)]],FMS_Ranking4[Total Score (with ArcSinh normalization of select criteria)],0)</f>
        <v>490</v>
      </c>
      <c r="BO497" s="270" t="str">
        <f>_xlfn.XLOOKUP(FMS_Ranking4[[#This Row],[FMS ID]],FMS_Input[FMS_ID],FMS_Input[FMS_RANK_YEAR])</f>
        <v>2023 Amended Plan</v>
      </c>
      <c r="BP497" s="204">
        <f>_xlfn.XLOOKUP(FMS_Ranking4[[#This Row],[FMS ID]],Prev_Rank[FMS ID],Prev_Rank[Prev Rank])</f>
        <v>439</v>
      </c>
      <c r="BQ497" s="205" t="e">
        <f>_xlfn.XLOOKUP(FMS_Ranking4[[#This Row],[FMS ID]],#REF!,#REF!)</f>
        <v>#REF!</v>
      </c>
      <c r="BR497" s="199" t="e">
        <f>SUM(#REF!,#REF!,#REF!,#REF!,#REF!,#REF!,#REF!,#REF!,#REF!,FMS_Ranking4[[#This Row],[ArcSinh Res struct removed 0-10]],#REF!)</f>
        <v>#REF!</v>
      </c>
      <c r="BS497" s="199" t="e">
        <f>FMS_Ranking4[[#This Row],[Log Score Based on Normalized Reported Factors]]+FMS_Ranking4[[#This Row],[% NBS Score (Normalized)]]+(FMS_Ranking4[[#This Row],[Water Supply Score (Normalized)]]*10*$BB$5)+(FMS_Ranking4[[#This Row],[FMS_Type Score Weighted]])</f>
        <v>#REF!</v>
      </c>
      <c r="BT497" s="200" t="e">
        <f>_xlfn.RANK.EQ(FMS_Ranking4[[#This Row],[Log Total Score]],FMS_Ranking4[Log Total Score],0)</f>
        <v>#REF!</v>
      </c>
      <c r="BU497" s="200" t="e">
        <f>_xlfn.XLOOKUP(FMS_Ranking4[[#This Row],[FMS ID]],#REF!,#REF!)</f>
        <v>#REF!</v>
      </c>
      <c r="BV497" s="200">
        <f>FMS_Ranking4[[#This Row],[Region Number]]</f>
        <v>15</v>
      </c>
      <c r="BW497" s="200">
        <f>FMS_Ranking4[[#This Row],[Rank (with ArcSinh normalization of select criteria)]]-FMS_Ranking4[[#This Row],[Rank
(with linear
normalization)]]</f>
        <v>135</v>
      </c>
      <c r="BX497" s="200" t="e">
        <f>FMS_Ranking4[[#This Row],[Log Rank]]-FMS_Ranking4[[#This Row],[Rank
(with linear
normalization)]]</f>
        <v>#REF!</v>
      </c>
      <c r="BY497" s="200" t="str">
        <f>IF(FMS_Ranking4[[#This Row],[FMS Type]]="Flood Measurement and Warning",FMS_Ranking4[[#This Row],[Rank (with ArcSinh normalization of select criteria)]],"")</f>
        <v/>
      </c>
      <c r="BZ497" s="200">
        <f>IF(FMS_Ranking4[[#This Row],[FMS Type]]="Regulatory and Guidance",FMS_Ranking4[[#This Row],[Rank (with ArcSinh normalization of select criteria)]],"")</f>
        <v>490</v>
      </c>
      <c r="CA497" s="200" t="str">
        <f>IF(FMS_Ranking4[[#This Row],[FMS Type]]="Education and Outreach",FMS_Ranking4[[#This Row],[Rank (with ArcSinh normalization of select criteria)]],"")</f>
        <v/>
      </c>
      <c r="CB497" s="200" t="str">
        <f>IF(FMS_Ranking4[[#This Row],[FMS Type]]="Property Acquisition and Structural Elevation",FMS_Ranking4[[#This Row],[Rank (with ArcSinh normalization of select criteria)]],"")</f>
        <v/>
      </c>
      <c r="CC497" s="200" t="str">
        <f>IF(FMS_Ranking4[[#This Row],[FMS Type]]="Infrastructure Projects",FMS_Ranking4[[#This Row],[Rank (with ArcSinh normalization of select criteria)]],"")</f>
        <v/>
      </c>
      <c r="CD497" s="200" t="str">
        <f>IF(FMS_Ranking4[[#This Row],[FMS Type]]="Other",FMS_Ranking4[[#This Row],[Rank (with ArcSinh normalization of select criteria)]],"")</f>
        <v/>
      </c>
      <c r="CE497" s="201"/>
      <c r="CF497" s="206"/>
      <c r="CG497" s="206"/>
      <c r="CH497" s="206"/>
      <c r="CI497" s="206"/>
      <c r="CJ497" s="206"/>
      <c r="CK497" s="206"/>
      <c r="CL497" s="206"/>
      <c r="CM497" s="206"/>
      <c r="CN497" s="206"/>
      <c r="CO497" s="206"/>
      <c r="CP497" s="206"/>
      <c r="CQ497" s="206"/>
      <c r="CR497" s="206"/>
    </row>
    <row r="498" spans="2:96" ht="60" x14ac:dyDescent="0.25">
      <c r="B498" s="341" t="s">
        <v>3967</v>
      </c>
      <c r="C498" s="246">
        <f>_xlfn.XLOOKUP(FMS_Ranking4[[#This Row],[FMS ID]],FMS_Input[FMS_ID],FMS_Input[RFPG_NUM])</f>
        <v>15</v>
      </c>
      <c r="D498" s="309" t="str">
        <f>_xlfn.XLOOKUP(FMS_Ranking4[[#This Row],[FMS ID]],FMS_Input[FMS_ID],FMS_Input[FMS_NAME])</f>
        <v>Primera Action #1</v>
      </c>
      <c r="E498" s="308" t="str">
        <f>_xlfn.XLOOKUP(FMS_Ranking4[[#This Row],[FMS ID]],FMS_Input[FMS_ID],FMS_Input[SPONSOR])</f>
        <v>15000052</v>
      </c>
      <c r="F498" s="309" t="str">
        <f>_xlfn.XLOOKUP(FMS_Ranking4[[#This Row],[FMS ID]],Sponsor[FMS_ID],Sponsor[SPONSOR NAME])</f>
        <v>Primera</v>
      </c>
      <c r="G498" s="309" t="str">
        <f>_xlfn.XLOOKUP(FMS_Ranking4[[#This Row],[FMS ID]],FMS_Input[FMS_ID],FMS_Input[FMS_DESCR])</f>
        <v>Amend subdivision ordinances to require retention or detention ponds in any new subdivision</v>
      </c>
      <c r="H498" s="248" t="str">
        <f>_xlfn.XLOOKUP(FMS_Ranking4[[#This Row],[FMS ID]],FMS_Input[FMS_ID],FMS_Input[FMS_TYPE])</f>
        <v>Regulatory and Guidance</v>
      </c>
      <c r="I498" s="249">
        <f>_xlfn.XLOOKUP(FMS_Ranking4[[#This Row],[FMS ID]],FMS_Input[FMS_ID],FMS_Input[NRNC_COST])</f>
        <v>1000</v>
      </c>
      <c r="J498" s="250">
        <f>_xlfn.XLOOKUP(FMS_Ranking4[[#This Row],[FMS ID]],FMS_Input[FMS_ID],FMS_Input[FMS_COST])</f>
        <v>5000</v>
      </c>
      <c r="K498" s="251" t="str">
        <f>_xlfn.XLOOKUP(FMS_Ranking4[[#This Row],[FMS ID]],FMS_Input[FMS_ID],FMS_Input[EMER_NEED])</f>
        <v>Yes</v>
      </c>
      <c r="L498" s="252">
        <f t="shared" si="7"/>
        <v>1</v>
      </c>
      <c r="M498" s="253">
        <f>_xlfn.XLOOKUP(FMS_Ranking4[[#This Row],[FMS ID]],FMS_Input[FMS_ID],FMS_Input[STRUCT_100])</f>
        <v>947</v>
      </c>
      <c r="N498" s="255">
        <f>(ASINH(FMS_Ranking4[[#This Row],[Structure at Risk Raw]]))*(10)/(ASINH(M$4))</f>
        <v>5.9326306074998101</v>
      </c>
      <c r="O498" s="256">
        <f>FMS_Ranking4[[#This Row],[Structures at risk, ArcSinh (0-10)]]*M$5*10</f>
        <v>5.9326306074998101</v>
      </c>
      <c r="P498" s="253">
        <f>_xlfn.XLOOKUP(FMS_Ranking4[[#This Row],[FMS ID]],FMS_Input[FMS_ID],FMS_Input[RES_STRUCT100])</f>
        <v>867</v>
      </c>
      <c r="Q498" s="257">
        <f>ASINH(FMS_Ranking4[[#This Row],[Res Structure Raw]])/Q$4*P$5*100</f>
        <v>0</v>
      </c>
      <c r="R498" s="253">
        <f>_xlfn.XLOOKUP(FMS_Ranking4[[#This Row],[FMS ID]],FMS_Input[FMS_ID],FMS_Input[POP100])</f>
        <v>3020</v>
      </c>
      <c r="S498" s="255">
        <f>(ASINH(FMS_Ranking4[[#This Row],[Pop at Risk Raw]]))*(10)/(ASINH(R$4))</f>
        <v>6.0103686320345409</v>
      </c>
      <c r="T498" s="256">
        <f>FMS_Ranking4[[#This Row],[Population at risk, ArcSinh (0-10)]]*R$5*10</f>
        <v>6.0103686320345417</v>
      </c>
      <c r="U498" s="253">
        <f>_xlfn.XLOOKUP(FMS_Ranking4[[#This Row],[FMS ID]],FMS_Input[FMS_ID],FMS_Input[CRITFAC100])</f>
        <v>0</v>
      </c>
      <c r="V498" s="255">
        <f>(ASINH(FMS_Ranking4[[#This Row],[Critical Facilities Raw]]))*(10)/(ASINH(U$4))</f>
        <v>0</v>
      </c>
      <c r="W498" s="256">
        <f>FMS_Ranking4[[#This Row],[Critical facilities at risk, ArcSinh (0-10)]]*U$5*10</f>
        <v>0</v>
      </c>
      <c r="X498" s="253">
        <f>_xlfn.XLOOKUP(FMS_Ranking4[[#This Row],[FMS ID]],FMS_Input[FMS_ID],FMS_Input[LWC])</f>
        <v>0</v>
      </c>
      <c r="Y498" s="255">
        <f>(ASINH(FMS_Ranking4[[#This Row],[LWC Raw]]))*(10)/(ASINH(X$4))</f>
        <v>0</v>
      </c>
      <c r="Z498" s="256">
        <f>FMS_Ranking4[[#This Row],[LWC, ArcSInh (0-10)]]*X$5*10</f>
        <v>0</v>
      </c>
      <c r="AA498" s="253">
        <f>_xlfn.XLOOKUP(FMS_Ranking4[[#This Row],[FMS ID]],FMS_Input[FMS_ID],FMS_Input[ROADCLS])</f>
        <v>0</v>
      </c>
      <c r="AB498" s="255">
        <f>(ASINH(FMS_Ranking4[[#This Row],[Road Closures Raw]]))*(10)/(ASINH(AA$4))</f>
        <v>0</v>
      </c>
      <c r="AC498" s="256">
        <f>FMS_Ranking4[[#This Row],[Road closures, ArcSinh (0-10)]]*AA$5*10</f>
        <v>0</v>
      </c>
      <c r="AD498" s="253">
        <f>_xlfn.XLOOKUP(FMS_Ranking4[[#This Row],[FMS ID]],FMS_Input[FMS_ID],FMS_Input[ROAD_MILES100])</f>
        <v>12</v>
      </c>
      <c r="AE498" s="255">
        <f>(ASINH(FMS_Ranking4[[#This Row],[Road Miles Raw]]))*(10)/(ASINH(AD$4))</f>
        <v>3.3887764405268412</v>
      </c>
      <c r="AF498" s="256">
        <f>FMS_Ranking4[[#This Row],[Length of roads at risk, ArcSinh (0-10)]]*AD$5*10</f>
        <v>3.3887764405268417</v>
      </c>
      <c r="AG498" s="253">
        <f>_xlfn.XLOOKUP(FMS_Ranking4[[#This Row],[FMS ID]],FMS_Input[FMS_ID],FMS_Input[FARMACRE100])</f>
        <v>605.49029541015625</v>
      </c>
      <c r="AH498" s="255">
        <f>(ASINH(FMS_Ranking4[[#This Row],[Ag Land Raw]]))*(10)/(ASINH(AG$4))</f>
        <v>4.611499931313622</v>
      </c>
      <c r="AI498" s="260">
        <f>FMS_Ranking4[[#This Row],[Farm &amp; ranch land, ArcSinh (0-10)]]*AG$5*10</f>
        <v>2.305749965656811</v>
      </c>
      <c r="AJ498" s="258">
        <f>_xlfn.XLOOKUP(FMS_Ranking4[[#This Row],[FMS ID]],FMS_Input[FMS_ID],FMS_Input[REDSTRUCT100])</f>
        <v>0</v>
      </c>
      <c r="AK498" s="253">
        <f>_xlfn.XLOOKUP(FMS_Ranking4[[#This Row],[FMS ID]],FMS_Input[FMS_ID],FMS_Input[REMSTRC100])</f>
        <v>0</v>
      </c>
      <c r="AL498" s="255">
        <f>(ASINH(FMS_Ranking4[[#This Row],[Structures Removed Raw]]))*(10)/(ASINH(AK$4))</f>
        <v>0</v>
      </c>
      <c r="AM498" s="262">
        <f>FMS_Ranking4[[#This Row],[Structures removed, ArcSinh (0-10)]]*AK$5*10</f>
        <v>0</v>
      </c>
      <c r="AN498" s="253">
        <f>_xlfn.XLOOKUP(FMS_Ranking4[[#This Row],[FMS ID]],FMS_Input[FMS_ID],FMS_Input[REMRESSTRC100])</f>
        <v>0</v>
      </c>
      <c r="AO498" s="261">
        <f>FMS_Ranking4[[#This Row],[ArcSinh Res struct removed 0-10]]*AN$5*10</f>
        <v>0</v>
      </c>
      <c r="AP498" s="260">
        <f>ASINH(FMS_Ranking4[[#This Row],[Residential Structures Removed Raw]])/AP$4*AN$5*100</f>
        <v>0</v>
      </c>
      <c r="AQ498" s="258">
        <f>(ASINH(FMS_Ranking4[[#This Row],[Residential Structures Removed Raw]]))*(10)/(ASINH(AN$4))</f>
        <v>0</v>
      </c>
      <c r="AR498" s="253">
        <f>_xlfn.XLOOKUP(FMS_Ranking4[[#This Row],[FMS ID]],FMS_Input[FMS_ID],FMS_Input[REMPOP100])</f>
        <v>0</v>
      </c>
      <c r="AS498" s="255">
        <f>(ASINH(FMS_Ranking4[[#This Row],[Removed Pop Raw]]))*(10)/(ASINH(AR$4))</f>
        <v>0</v>
      </c>
      <c r="AT498" s="262">
        <f>FMS_Ranking4[[#This Row],[Removed population, ArcSinh (0-10)]]*AR$5*10</f>
        <v>0</v>
      </c>
      <c r="AU498" s="264">
        <f>_xlfn.XLOOKUP(FMS_Ranking4[[#This Row],[FMS ID]],FMS_Input[FMS_ID],FMS_Input[REMCRITFAC100])</f>
        <v>0</v>
      </c>
      <c r="AV498" s="264">
        <f>_xlfn.XLOOKUP(FMS_Ranking4[[#This Row],[FMS ID]],FMS_Input[FMS_ID],FMS_Input[REMLWC100])</f>
        <v>0</v>
      </c>
      <c r="AW498" s="264">
        <f>_xlfn.XLOOKUP(FMS_Ranking4[[#This Row],[FMS ID]],FMS_Input[FMS_ID],FMS_Input[REMROADCLS])</f>
        <v>0</v>
      </c>
      <c r="AX498" s="264">
        <f>_xlfn.XLOOKUP(FMS_Ranking4[[#This Row],[FMS ID]],FMS_Input[FMS_ID],FMS_Input[REMFRMACRE100])</f>
        <v>0</v>
      </c>
      <c r="AY498" s="258">
        <f>_xlfn.XLOOKUP(FMS_Ranking4[[#This Row],[FMS ID]],FMS_Input[FMS_ID],FMS_Input[COSTSTRUCT])</f>
        <v>0</v>
      </c>
      <c r="AZ498" s="253">
        <f>_xlfn.XLOOKUP(FMS_Ranking4[[#This Row],[FMS ID]],FMS_Input[FMS_ID],FMS_Input[NATURE])</f>
        <v>0</v>
      </c>
      <c r="BA498" s="262">
        <f>(((FMS_Ranking4[[#This Row],[% NBS Raw]]/AZ$4)*100)*AZ$5)</f>
        <v>0</v>
      </c>
      <c r="BB498" s="251" t="str">
        <f>_xlfn.XLOOKUP(FMS_Ranking4[[#This Row],[FMS ID]],FMS_Input[FMS_ID],FMS_Input[WATER_SUP])</f>
        <v>No</v>
      </c>
      <c r="BC498" s="265">
        <f>IF(FMS_Ranking4[[#This Row],[Water Supply Raw]]="Yes",10,0)</f>
        <v>0</v>
      </c>
      <c r="BD498" s="266">
        <f>_xlfn.XLOOKUP(FMS_Ranking4[[#This Row],[FMS Type]],FMS_TYPE[FMS_Type],FMS_TYPE[Score])</f>
        <v>8</v>
      </c>
      <c r="BE498" s="267">
        <f>FMS_Ranking4[[#This Row],[FMS_Type Score]]*$BD$5*10</f>
        <v>2</v>
      </c>
      <c r="BF49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0.10898319966591713</v>
      </c>
      <c r="BG498" s="321">
        <f>_xlfn.RANK.EQ(BF498,$BF$8:$BF$870,0)+COUNTIF($BF$8:BF498,BF498)-1</f>
        <v>476</v>
      </c>
      <c r="BH498" s="294">
        <f>(((FMS_Ranking4[[#This Row],[Structures Removed Raw]]/AK$4)*100)*AK$5)+(((FMS_Ranking4[[#This Row],[Removed Pop Raw]]/AR$4)*100)*AR$5)</f>
        <v>0</v>
      </c>
      <c r="BI49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2.108983199665917</v>
      </c>
      <c r="BJ498" s="251">
        <f>_xlfn.RANK.EQ(FMS_Ranking4[[#This Row],[Total Score 
(with linear
normalization)]],FMS_Ranking4[Total Score 
(with linear
normalization)],0)</f>
        <v>362</v>
      </c>
      <c r="BK498" s="251" t="e">
        <f>_xlfn.XLOOKUP(FMS_Ranking4[[#This Row],[FMS ID]],#REF!,#REF!)</f>
        <v>#REF!</v>
      </c>
      <c r="BL49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17.637525645718004</v>
      </c>
      <c r="BM498" s="324">
        <f>FMS_Ranking4[[#This Row],[ArcSinh Score Based on Normalized Reported Factors]]+FMS_Ranking4[[#This Row],[% NBS Score (Normalized)]]+(FMS_Ranking4[[#This Row],[Water Supply Score (Normalized)]]*10*$BB$5)+FMS_Ranking4[[#This Row],[FMS_Type Score Weighted]]</f>
        <v>19.637525645718004</v>
      </c>
      <c r="BN498" s="251">
        <f>_xlfn.RANK.EQ(FMS_Ranking4[[#This Row],[Total Score (with ArcSinh normalization of select criteria)]],FMS_Ranking4[Total Score (with ArcSinh normalization of select criteria)],0)</f>
        <v>491</v>
      </c>
      <c r="BO498" s="270" t="str">
        <f>_xlfn.XLOOKUP(FMS_Ranking4[[#This Row],[FMS ID]],FMS_Input[FMS_ID],FMS_Input[FMS_RANK_YEAR])</f>
        <v>2023 Amended Plan</v>
      </c>
      <c r="BP498" s="204">
        <f>_xlfn.XLOOKUP(FMS_Ranking4[[#This Row],[FMS ID]],Prev_Rank[FMS ID],Prev_Rank[Prev Rank])</f>
        <v>440</v>
      </c>
      <c r="BQ498" s="251" t="e">
        <f>_xlfn.XLOOKUP(FMS_Ranking4[[#This Row],[FMS ID]],#REF!,#REF!)</f>
        <v>#REF!</v>
      </c>
      <c r="BR498" s="199" t="e">
        <f>SUM(#REF!,#REF!,#REF!,#REF!,#REF!,#REF!,#REF!,#REF!,#REF!,FMS_Ranking4[[#This Row],[ArcSinh Res struct removed 0-10]],#REF!)</f>
        <v>#REF!</v>
      </c>
      <c r="BS498" s="199" t="e">
        <f>FMS_Ranking4[[#This Row],[Log Score Based on Normalized Reported Factors]]+FMS_Ranking4[[#This Row],[% NBS Score (Normalized)]]+(FMS_Ranking4[[#This Row],[Water Supply Score (Normalized)]]*10*$BB$5)+(FMS_Ranking4[[#This Row],[FMS_Type Score Weighted]])</f>
        <v>#REF!</v>
      </c>
      <c r="BT498" s="200" t="e">
        <f>_xlfn.RANK.EQ(FMS_Ranking4[[#This Row],[Log Total Score]],FMS_Ranking4[Log Total Score],0)</f>
        <v>#REF!</v>
      </c>
      <c r="BU498" s="200" t="e">
        <f>_xlfn.XLOOKUP(FMS_Ranking4[[#This Row],[FMS ID]],#REF!,#REF!)</f>
        <v>#REF!</v>
      </c>
      <c r="BV498" s="200">
        <f>FMS_Ranking4[[#This Row],[Region Number]]</f>
        <v>15</v>
      </c>
      <c r="BW498" s="200">
        <f>FMS_Ranking4[[#This Row],[Rank (with ArcSinh normalization of select criteria)]]-FMS_Ranking4[[#This Row],[Rank
(with linear
normalization)]]</f>
        <v>129</v>
      </c>
      <c r="BX498" s="200" t="e">
        <f>FMS_Ranking4[[#This Row],[Log Rank]]-FMS_Ranking4[[#This Row],[Rank
(with linear
normalization)]]</f>
        <v>#REF!</v>
      </c>
      <c r="BY498" s="200" t="str">
        <f>IF(FMS_Ranking4[[#This Row],[FMS Type]]="Flood Measurement and Warning",FMS_Ranking4[[#This Row],[Rank (with ArcSinh normalization of select criteria)]],"")</f>
        <v/>
      </c>
      <c r="BZ498" s="200">
        <f>IF(FMS_Ranking4[[#This Row],[FMS Type]]="Regulatory and Guidance",FMS_Ranking4[[#This Row],[Rank (with ArcSinh normalization of select criteria)]],"")</f>
        <v>491</v>
      </c>
      <c r="CA498" s="200" t="str">
        <f>IF(FMS_Ranking4[[#This Row],[FMS Type]]="Education and Outreach",FMS_Ranking4[[#This Row],[Rank (with ArcSinh normalization of select criteria)]],"")</f>
        <v/>
      </c>
      <c r="CB498" s="200" t="str">
        <f>IF(FMS_Ranking4[[#This Row],[FMS Type]]="Property Acquisition and Structural Elevation",FMS_Ranking4[[#This Row],[Rank (with ArcSinh normalization of select criteria)]],"")</f>
        <v/>
      </c>
      <c r="CC498" s="200" t="str">
        <f>IF(FMS_Ranking4[[#This Row],[FMS Type]]="Infrastructure Projects",FMS_Ranking4[[#This Row],[Rank (with ArcSinh normalization of select criteria)]],"")</f>
        <v/>
      </c>
      <c r="CD498" s="200" t="str">
        <f>IF(FMS_Ranking4[[#This Row],[FMS Type]]="Other",FMS_Ranking4[[#This Row],[Rank (with ArcSinh normalization of select criteria)]],"")</f>
        <v/>
      </c>
      <c r="CE498" s="201"/>
      <c r="CF498" s="206"/>
      <c r="CG498" s="206"/>
      <c r="CH498" s="206"/>
      <c r="CI498" s="206"/>
      <c r="CJ498" s="206"/>
      <c r="CK498" s="206"/>
      <c r="CL498" s="206"/>
      <c r="CM498" s="206"/>
      <c r="CN498" s="206"/>
      <c r="CO498" s="206"/>
      <c r="CP498" s="206"/>
      <c r="CQ498" s="206"/>
      <c r="CR498" s="206"/>
    </row>
    <row r="499" spans="2:96" ht="45" x14ac:dyDescent="0.25">
      <c r="B499" s="341" t="s">
        <v>3970</v>
      </c>
      <c r="C499" s="246">
        <f>_xlfn.XLOOKUP(FMS_Ranking4[[#This Row],[FMS ID]],FMS_Input[FMS_ID],FMS_Input[RFPG_NUM])</f>
        <v>15</v>
      </c>
      <c r="D499" s="309" t="str">
        <f>_xlfn.XLOOKUP(FMS_Ranking4[[#This Row],[FMS ID]],FMS_Input[FMS_ID],FMS_Input[FMS_NAME])</f>
        <v>Primera Action #10</v>
      </c>
      <c r="E499" s="308" t="str">
        <f>_xlfn.XLOOKUP(FMS_Ranking4[[#This Row],[FMS ID]],FMS_Input[FMS_ID],FMS_Input[SPONSOR])</f>
        <v>15000052</v>
      </c>
      <c r="F499" s="309" t="str">
        <f>_xlfn.XLOOKUP(FMS_Ranking4[[#This Row],[FMS ID]],Sponsor[FMS_ID],Sponsor[SPONSOR NAME])</f>
        <v>Primera</v>
      </c>
      <c r="G499" s="309" t="str">
        <f>_xlfn.XLOOKUP(FMS_Ranking4[[#This Row],[FMS ID]],FMS_Input[FMS_ID],FMS_Input[FMS_DESCR])</f>
        <v>Adopt higher floodplain standards such as freeboard and cumulative substantial damage</v>
      </c>
      <c r="H499" s="248" t="str">
        <f>_xlfn.XLOOKUP(FMS_Ranking4[[#This Row],[FMS ID]],FMS_Input[FMS_ID],FMS_Input[FMS_TYPE])</f>
        <v>Regulatory and Guidance</v>
      </c>
      <c r="I499" s="249">
        <f>_xlfn.XLOOKUP(FMS_Ranking4[[#This Row],[FMS ID]],FMS_Input[FMS_ID],FMS_Input[NRNC_COST])</f>
        <v>1000</v>
      </c>
      <c r="J499" s="250">
        <f>_xlfn.XLOOKUP(FMS_Ranking4[[#This Row],[FMS ID]],FMS_Input[FMS_ID],FMS_Input[FMS_COST])</f>
        <v>5000</v>
      </c>
      <c r="K499" s="251" t="str">
        <f>_xlfn.XLOOKUP(FMS_Ranking4[[#This Row],[FMS ID]],FMS_Input[FMS_ID],FMS_Input[EMER_NEED])</f>
        <v>Yes</v>
      </c>
      <c r="L499" s="252">
        <f t="shared" si="7"/>
        <v>1</v>
      </c>
      <c r="M499" s="253">
        <f>_xlfn.XLOOKUP(FMS_Ranking4[[#This Row],[FMS ID]],FMS_Input[FMS_ID],FMS_Input[STRUCT_100])</f>
        <v>947</v>
      </c>
      <c r="N499" s="255">
        <f>(ASINH(FMS_Ranking4[[#This Row],[Structure at Risk Raw]]))*(10)/(ASINH(M$4))</f>
        <v>5.9326306074998101</v>
      </c>
      <c r="O499" s="256">
        <f>FMS_Ranking4[[#This Row],[Structures at risk, ArcSinh (0-10)]]*M$5*10</f>
        <v>5.9326306074998101</v>
      </c>
      <c r="P499" s="253">
        <f>_xlfn.XLOOKUP(FMS_Ranking4[[#This Row],[FMS ID]],FMS_Input[FMS_ID],FMS_Input[RES_STRUCT100])</f>
        <v>867</v>
      </c>
      <c r="Q499" s="257">
        <f>ASINH(FMS_Ranking4[[#This Row],[Res Structure Raw]])/Q$4*P$5*100</f>
        <v>0</v>
      </c>
      <c r="R499" s="253">
        <f>_xlfn.XLOOKUP(FMS_Ranking4[[#This Row],[FMS ID]],FMS_Input[FMS_ID],FMS_Input[POP100])</f>
        <v>3020</v>
      </c>
      <c r="S499" s="259">
        <f>(ASINH(FMS_Ranking4[[#This Row],[Pop at Risk Raw]]))*(10)/(ASINH(R$4))</f>
        <v>6.0103686320345409</v>
      </c>
      <c r="T499" s="256">
        <f>FMS_Ranking4[[#This Row],[Population at risk, ArcSinh (0-10)]]*R$5*10</f>
        <v>6.0103686320345417</v>
      </c>
      <c r="U499" s="253">
        <f>_xlfn.XLOOKUP(FMS_Ranking4[[#This Row],[FMS ID]],FMS_Input[FMS_ID],FMS_Input[CRITFAC100])</f>
        <v>0</v>
      </c>
      <c r="V499" s="259">
        <f>(ASINH(FMS_Ranking4[[#This Row],[Critical Facilities Raw]]))*(10)/(ASINH(U$4))</f>
        <v>0</v>
      </c>
      <c r="W499" s="256">
        <f>FMS_Ranking4[[#This Row],[Critical facilities at risk, ArcSinh (0-10)]]*U$5*10</f>
        <v>0</v>
      </c>
      <c r="X499" s="253">
        <f>_xlfn.XLOOKUP(FMS_Ranking4[[#This Row],[FMS ID]],FMS_Input[FMS_ID],FMS_Input[LWC])</f>
        <v>0</v>
      </c>
      <c r="Y499" s="259">
        <f>(ASINH(FMS_Ranking4[[#This Row],[LWC Raw]]))*(10)/(ASINH(X$4))</f>
        <v>0</v>
      </c>
      <c r="Z499" s="256">
        <f>FMS_Ranking4[[#This Row],[LWC, ArcSInh (0-10)]]*X$5*10</f>
        <v>0</v>
      </c>
      <c r="AA499" s="253">
        <f>_xlfn.XLOOKUP(FMS_Ranking4[[#This Row],[FMS ID]],FMS_Input[FMS_ID],FMS_Input[ROADCLS])</f>
        <v>0</v>
      </c>
      <c r="AB499" s="255">
        <f>(ASINH(FMS_Ranking4[[#This Row],[Road Closures Raw]]))*(10)/(ASINH(AA$4))</f>
        <v>0</v>
      </c>
      <c r="AC499" s="256">
        <f>FMS_Ranking4[[#This Row],[Road closures, ArcSinh (0-10)]]*AA$5*10</f>
        <v>0</v>
      </c>
      <c r="AD499" s="253">
        <f>_xlfn.XLOOKUP(FMS_Ranking4[[#This Row],[FMS ID]],FMS_Input[FMS_ID],FMS_Input[ROAD_MILES100])</f>
        <v>12</v>
      </c>
      <c r="AE499" s="259">
        <f>(ASINH(FMS_Ranking4[[#This Row],[Road Miles Raw]]))*(10)/(ASINH(AD$4))</f>
        <v>3.3887764405268412</v>
      </c>
      <c r="AF499" s="256">
        <f>FMS_Ranking4[[#This Row],[Length of roads at risk, ArcSinh (0-10)]]*AD$5*10</f>
        <v>3.3887764405268417</v>
      </c>
      <c r="AG499" s="253">
        <f>_xlfn.XLOOKUP(FMS_Ranking4[[#This Row],[FMS ID]],FMS_Input[FMS_ID],FMS_Input[FARMACRE100])</f>
        <v>605.49029541015625</v>
      </c>
      <c r="AH499" s="255">
        <f>(ASINH(FMS_Ranking4[[#This Row],[Ag Land Raw]]))*(10)/(ASINH(AG$4))</f>
        <v>4.611499931313622</v>
      </c>
      <c r="AI499" s="260">
        <f>FMS_Ranking4[[#This Row],[Farm &amp; ranch land, ArcSinh (0-10)]]*AG$5*10</f>
        <v>2.305749965656811</v>
      </c>
      <c r="AJ499" s="258">
        <f>_xlfn.XLOOKUP(FMS_Ranking4[[#This Row],[FMS ID]],FMS_Input[FMS_ID],FMS_Input[REDSTRUCT100])</f>
        <v>0</v>
      </c>
      <c r="AK499" s="253">
        <f>_xlfn.XLOOKUP(FMS_Ranking4[[#This Row],[FMS ID]],FMS_Input[FMS_ID],FMS_Input[REMSTRC100])</f>
        <v>0</v>
      </c>
      <c r="AL499" s="259">
        <f>(ASINH(FMS_Ranking4[[#This Row],[Structures Removed Raw]]))*(10)/(ASINH(AK$4))</f>
        <v>0</v>
      </c>
      <c r="AM499" s="262">
        <f>FMS_Ranking4[[#This Row],[Structures removed, ArcSinh (0-10)]]*AK$5*10</f>
        <v>0</v>
      </c>
      <c r="AN499" s="253">
        <f>_xlfn.XLOOKUP(FMS_Ranking4[[#This Row],[FMS ID]],FMS_Input[FMS_ID],FMS_Input[REMRESSTRC100])</f>
        <v>0</v>
      </c>
      <c r="AO499" s="261">
        <f>FMS_Ranking4[[#This Row],[ArcSinh Res struct removed 0-10]]*AN$5*10</f>
        <v>0</v>
      </c>
      <c r="AP499" s="260">
        <f>ASINH(FMS_Ranking4[[#This Row],[Residential Structures Removed Raw]])/AP$4*AN$5*100</f>
        <v>0</v>
      </c>
      <c r="AQ499" s="254">
        <f>(ASINH(FMS_Ranking4[[#This Row],[Residential Structures Removed Raw]]))*(10)/(ASINH(AN$4))</f>
        <v>0</v>
      </c>
      <c r="AR499" s="253">
        <f>_xlfn.XLOOKUP(FMS_Ranking4[[#This Row],[FMS ID]],FMS_Input[FMS_ID],FMS_Input[REMPOP100])</f>
        <v>0</v>
      </c>
      <c r="AS499" s="259">
        <f>(ASINH(FMS_Ranking4[[#This Row],[Removed Pop Raw]]))*(10)/(ASINH(AR$4))</f>
        <v>0</v>
      </c>
      <c r="AT499" s="262">
        <f>FMS_Ranking4[[#This Row],[Removed population, ArcSinh (0-10)]]*AR$5*10</f>
        <v>0</v>
      </c>
      <c r="AU499" s="264">
        <f>_xlfn.XLOOKUP(FMS_Ranking4[[#This Row],[FMS ID]],FMS_Input[FMS_ID],FMS_Input[REMCRITFAC100])</f>
        <v>0</v>
      </c>
      <c r="AV499" s="264">
        <f>_xlfn.XLOOKUP(FMS_Ranking4[[#This Row],[FMS ID]],FMS_Input[FMS_ID],FMS_Input[REMLWC100])</f>
        <v>0</v>
      </c>
      <c r="AW499" s="264">
        <f>_xlfn.XLOOKUP(FMS_Ranking4[[#This Row],[FMS ID]],FMS_Input[FMS_ID],FMS_Input[REMROADCLS])</f>
        <v>0</v>
      </c>
      <c r="AX499" s="264">
        <f>_xlfn.XLOOKUP(FMS_Ranking4[[#This Row],[FMS ID]],FMS_Input[FMS_ID],FMS_Input[REMFRMACRE100])</f>
        <v>0</v>
      </c>
      <c r="AY499" s="258">
        <f>_xlfn.XLOOKUP(FMS_Ranking4[[#This Row],[FMS ID]],FMS_Input[FMS_ID],FMS_Input[COSTSTRUCT])</f>
        <v>0</v>
      </c>
      <c r="AZ499" s="253">
        <f>_xlfn.XLOOKUP(FMS_Ranking4[[#This Row],[FMS ID]],FMS_Input[FMS_ID],FMS_Input[NATURE])</f>
        <v>0</v>
      </c>
      <c r="BA499" s="262">
        <f>(((FMS_Ranking4[[#This Row],[% NBS Raw]]/AZ$4)*100)*AZ$5)</f>
        <v>0</v>
      </c>
      <c r="BB499" s="251" t="str">
        <f>_xlfn.XLOOKUP(FMS_Ranking4[[#This Row],[FMS ID]],FMS_Input[FMS_ID],FMS_Input[WATER_SUP])</f>
        <v>No</v>
      </c>
      <c r="BC499" s="265">
        <f>IF(FMS_Ranking4[[#This Row],[Water Supply Raw]]="Yes",10,0)</f>
        <v>0</v>
      </c>
      <c r="BD499" s="266">
        <f>_xlfn.XLOOKUP(FMS_Ranking4[[#This Row],[FMS Type]],FMS_TYPE[FMS_Type],FMS_TYPE[Score])</f>
        <v>8</v>
      </c>
      <c r="BE499" s="267">
        <f>FMS_Ranking4[[#This Row],[FMS_Type Score]]*$BD$5*10</f>
        <v>2</v>
      </c>
      <c r="BF49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0.10898319966591713</v>
      </c>
      <c r="BG499" s="271">
        <f>_xlfn.RANK.EQ(BF499,$BF$8:$BF$870,0)+COUNTIF($BF$8:BF499,BF499)-1</f>
        <v>477</v>
      </c>
      <c r="BH499" s="268">
        <f>(((FMS_Ranking4[[#This Row],[Structures Removed Raw]]/AK$4)*100)*AK$5)+(((FMS_Ranking4[[#This Row],[Removed Pop Raw]]/AR$4)*100)*AR$5)</f>
        <v>0</v>
      </c>
      <c r="BI49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2.108983199665917</v>
      </c>
      <c r="BJ499" s="205">
        <f>_xlfn.RANK.EQ(FMS_Ranking4[[#This Row],[Total Score 
(with linear
normalization)]],FMS_Ranking4[Total Score 
(with linear
normalization)],0)</f>
        <v>362</v>
      </c>
      <c r="BK499" s="205" t="e">
        <f>_xlfn.XLOOKUP(FMS_Ranking4[[#This Row],[FMS ID]],#REF!,#REF!)</f>
        <v>#REF!</v>
      </c>
      <c r="BL49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17.637525645718004</v>
      </c>
      <c r="BM499" s="272">
        <f>FMS_Ranking4[[#This Row],[ArcSinh Score Based on Normalized Reported Factors]]+FMS_Ranking4[[#This Row],[% NBS Score (Normalized)]]+(FMS_Ranking4[[#This Row],[Water Supply Score (Normalized)]]*10*$BB$5)+FMS_Ranking4[[#This Row],[FMS_Type Score Weighted]]</f>
        <v>19.637525645718004</v>
      </c>
      <c r="BN499" s="205">
        <f>_xlfn.RANK.EQ(FMS_Ranking4[[#This Row],[Total Score (with ArcSinh normalization of select criteria)]],FMS_Ranking4[Total Score (with ArcSinh normalization of select criteria)],0)</f>
        <v>491</v>
      </c>
      <c r="BO499" s="270" t="str">
        <f>_xlfn.XLOOKUP(FMS_Ranking4[[#This Row],[FMS ID]],FMS_Input[FMS_ID],FMS_Input[FMS_RANK_YEAR])</f>
        <v>2023 Amended Plan</v>
      </c>
      <c r="BP499" s="204">
        <f>_xlfn.XLOOKUP(FMS_Ranking4[[#This Row],[FMS ID]],Prev_Rank[FMS ID],Prev_Rank[Prev Rank])</f>
        <v>440</v>
      </c>
      <c r="BQ499" s="205" t="e">
        <f>_xlfn.XLOOKUP(FMS_Ranking4[[#This Row],[FMS ID]],#REF!,#REF!)</f>
        <v>#REF!</v>
      </c>
      <c r="BR499" s="199" t="e">
        <f>SUM(#REF!,#REF!,#REF!,#REF!,#REF!,#REF!,#REF!,#REF!,#REF!,FMS_Ranking4[[#This Row],[ArcSinh Res struct removed 0-10]],#REF!)</f>
        <v>#REF!</v>
      </c>
      <c r="BS499" s="199" t="e">
        <f>FMS_Ranking4[[#This Row],[Log Score Based on Normalized Reported Factors]]+FMS_Ranking4[[#This Row],[% NBS Score (Normalized)]]+(FMS_Ranking4[[#This Row],[Water Supply Score (Normalized)]]*10*$BB$5)+(FMS_Ranking4[[#This Row],[FMS_Type Score Weighted]])</f>
        <v>#REF!</v>
      </c>
      <c r="BT499" s="200" t="e">
        <f>_xlfn.RANK.EQ(FMS_Ranking4[[#This Row],[Log Total Score]],FMS_Ranking4[Log Total Score],0)</f>
        <v>#REF!</v>
      </c>
      <c r="BU499" s="200" t="e">
        <f>_xlfn.XLOOKUP(FMS_Ranking4[[#This Row],[FMS ID]],#REF!,#REF!)</f>
        <v>#REF!</v>
      </c>
      <c r="BV499" s="200">
        <f>FMS_Ranking4[[#This Row],[Region Number]]</f>
        <v>15</v>
      </c>
      <c r="BW499" s="200">
        <f>FMS_Ranking4[[#This Row],[Rank (with ArcSinh normalization of select criteria)]]-FMS_Ranking4[[#This Row],[Rank
(with linear
normalization)]]</f>
        <v>129</v>
      </c>
      <c r="BX499" s="200" t="e">
        <f>FMS_Ranking4[[#This Row],[Log Rank]]-FMS_Ranking4[[#This Row],[Rank
(with linear
normalization)]]</f>
        <v>#REF!</v>
      </c>
      <c r="BY499" s="200" t="str">
        <f>IF(FMS_Ranking4[[#This Row],[FMS Type]]="Flood Measurement and Warning",FMS_Ranking4[[#This Row],[Rank (with ArcSinh normalization of select criteria)]],"")</f>
        <v/>
      </c>
      <c r="BZ499" s="200">
        <f>IF(FMS_Ranking4[[#This Row],[FMS Type]]="Regulatory and Guidance",FMS_Ranking4[[#This Row],[Rank (with ArcSinh normalization of select criteria)]],"")</f>
        <v>491</v>
      </c>
      <c r="CA499" s="200" t="str">
        <f>IF(FMS_Ranking4[[#This Row],[FMS Type]]="Education and Outreach",FMS_Ranking4[[#This Row],[Rank (with ArcSinh normalization of select criteria)]],"")</f>
        <v/>
      </c>
      <c r="CB499" s="200" t="str">
        <f>IF(FMS_Ranking4[[#This Row],[FMS Type]]="Property Acquisition and Structural Elevation",FMS_Ranking4[[#This Row],[Rank (with ArcSinh normalization of select criteria)]],"")</f>
        <v/>
      </c>
      <c r="CC499" s="200" t="str">
        <f>IF(FMS_Ranking4[[#This Row],[FMS Type]]="Infrastructure Projects",FMS_Ranking4[[#This Row],[Rank (with ArcSinh normalization of select criteria)]],"")</f>
        <v/>
      </c>
      <c r="CD499" s="200" t="str">
        <f>IF(FMS_Ranking4[[#This Row],[FMS Type]]="Other",FMS_Ranking4[[#This Row],[Rank (with ArcSinh normalization of select criteria)]],"")</f>
        <v/>
      </c>
      <c r="CE499" s="201"/>
      <c r="CF499" s="206"/>
      <c r="CG499" s="206"/>
      <c r="CH499" s="206"/>
      <c r="CI499" s="206"/>
      <c r="CJ499" s="206"/>
      <c r="CK499" s="206"/>
      <c r="CL499" s="206"/>
      <c r="CM499" s="206"/>
      <c r="CN499" s="206"/>
      <c r="CO499" s="206"/>
      <c r="CP499" s="206"/>
      <c r="CQ499" s="206"/>
      <c r="CR499" s="206"/>
    </row>
    <row r="500" spans="2:96" ht="30" x14ac:dyDescent="0.25">
      <c r="B500" s="341" t="s">
        <v>1381</v>
      </c>
      <c r="C500" s="246">
        <f>_xlfn.XLOOKUP(FMS_Ranking4[[#This Row],[FMS ID]],FMS_Input[FMS_ID],FMS_Input[RFPG_NUM])</f>
        <v>1</v>
      </c>
      <c r="D500" s="309" t="str">
        <f>_xlfn.XLOOKUP(FMS_Ranking4[[#This Row],[FMS ID]],FMS_Input[FMS_ID],FMS_Input[FMS_NAME])</f>
        <v>Briscoe County NFIP Involvement</v>
      </c>
      <c r="E500" s="308" t="str">
        <f>_xlfn.XLOOKUP(FMS_Ranking4[[#This Row],[FMS ID]],FMS_Input[FMS_ID],FMS_Input[SPONSOR])</f>
        <v>01000236</v>
      </c>
      <c r="F500" s="309" t="str">
        <f>_xlfn.XLOOKUP(FMS_Ranking4[[#This Row],[FMS ID]],Sponsor[FMS_ID],Sponsor[SPONSOR NAME])</f>
        <v>Briscoe</v>
      </c>
      <c r="G500" s="309" t="str">
        <f>_xlfn.XLOOKUP(FMS_Ranking4[[#This Row],[FMS ID]],FMS_Input[FMS_ID],FMS_Input[FMS_DESCR])</f>
        <v>Application to join NFIP or adopt equivalent standards</v>
      </c>
      <c r="H500" s="248" t="str">
        <f>_xlfn.XLOOKUP(FMS_Ranking4[[#This Row],[FMS ID]],FMS_Input[FMS_ID],FMS_Input[FMS_TYPE])</f>
        <v>Regulatory and Guidance</v>
      </c>
      <c r="I500" s="249">
        <f>_xlfn.XLOOKUP(FMS_Ranking4[[#This Row],[FMS ID]],FMS_Input[FMS_ID],FMS_Input[NRNC_COST])</f>
        <v>100000</v>
      </c>
      <c r="J500" s="250">
        <f>_xlfn.XLOOKUP(FMS_Ranking4[[#This Row],[FMS ID]],FMS_Input[FMS_ID],FMS_Input[FMS_COST])</f>
        <v>100000</v>
      </c>
      <c r="K500" s="251" t="str">
        <f>_xlfn.XLOOKUP(FMS_Ranking4[[#This Row],[FMS ID]],FMS_Input[FMS_ID],FMS_Input[EMER_NEED])</f>
        <v>No</v>
      </c>
      <c r="L500" s="252">
        <f t="shared" si="7"/>
        <v>0</v>
      </c>
      <c r="M500" s="253">
        <f>_xlfn.XLOOKUP(FMS_Ranking4[[#This Row],[FMS ID]],FMS_Input[FMS_ID],FMS_Input[STRUCT_100])</f>
        <v>36</v>
      </c>
      <c r="N500" s="255">
        <f>(ASINH(FMS_Ranking4[[#This Row],[Structure at Risk Raw]]))*(10)/(ASINH(M$4))</f>
        <v>3.3622479427828873</v>
      </c>
      <c r="O500" s="256">
        <f>FMS_Ranking4[[#This Row],[Structures at risk, ArcSinh (0-10)]]*M$5*10</f>
        <v>3.3622479427828877</v>
      </c>
      <c r="P500" s="253">
        <f>_xlfn.XLOOKUP(FMS_Ranking4[[#This Row],[FMS ID]],FMS_Input[FMS_ID],FMS_Input[RES_STRUCT100])</f>
        <v>0</v>
      </c>
      <c r="Q500" s="257">
        <f>ASINH(FMS_Ranking4[[#This Row],[Res Structure Raw]])/Q$4*P$5*100</f>
        <v>0</v>
      </c>
      <c r="R500" s="253">
        <f>_xlfn.XLOOKUP(FMS_Ranking4[[#This Row],[FMS ID]],FMS_Input[FMS_ID],FMS_Input[POP100])</f>
        <v>23</v>
      </c>
      <c r="S500" s="259">
        <f>(ASINH(FMS_Ranking4[[#This Row],[Pop at Risk Raw]]))*(10)/(ASINH(R$4))</f>
        <v>2.6434600767891396</v>
      </c>
      <c r="T500" s="256">
        <f>FMS_Ranking4[[#This Row],[Population at risk, ArcSinh (0-10)]]*R$5*10</f>
        <v>2.6434600767891396</v>
      </c>
      <c r="U500" s="253">
        <f>_xlfn.XLOOKUP(FMS_Ranking4[[#This Row],[FMS ID]],FMS_Input[FMS_ID],FMS_Input[CRITFAC100])</f>
        <v>0</v>
      </c>
      <c r="V500" s="259">
        <f>(ASINH(FMS_Ranking4[[#This Row],[Critical Facilities Raw]]))*(10)/(ASINH(U$4))</f>
        <v>0</v>
      </c>
      <c r="W500" s="256">
        <f>FMS_Ranking4[[#This Row],[Critical facilities at risk, ArcSinh (0-10)]]*U$5*10</f>
        <v>0</v>
      </c>
      <c r="X500" s="253">
        <f>_xlfn.XLOOKUP(FMS_Ranking4[[#This Row],[FMS ID]],FMS_Input[FMS_ID],FMS_Input[LWC])</f>
        <v>2</v>
      </c>
      <c r="Y500" s="259">
        <f>(ASINH(FMS_Ranking4[[#This Row],[LWC Raw]]))*(10)/(ASINH(X$4))</f>
        <v>1.9557475158633808</v>
      </c>
      <c r="Z500" s="256">
        <f>FMS_Ranking4[[#This Row],[LWC, ArcSInh (0-10)]]*X$5*10</f>
        <v>1.9557475158633808</v>
      </c>
      <c r="AA500" s="253">
        <f>_xlfn.XLOOKUP(FMS_Ranking4[[#This Row],[FMS ID]],FMS_Input[FMS_ID],FMS_Input[ROADCLS])</f>
        <v>2</v>
      </c>
      <c r="AB500" s="255">
        <f>(ASINH(FMS_Ranking4[[#This Row],[Road Closures Raw]]))*(10)/(ASINH(AA$4))</f>
        <v>1.5034138460359754</v>
      </c>
      <c r="AC500" s="256">
        <f>FMS_Ranking4[[#This Row],[Road closures, ArcSinh (0-10)]]*AA$5*10</f>
        <v>0.7517069230179878</v>
      </c>
      <c r="AD500" s="253">
        <f>_xlfn.XLOOKUP(FMS_Ranking4[[#This Row],[FMS ID]],FMS_Input[FMS_ID],FMS_Input[ROAD_MILES100])</f>
        <v>45</v>
      </c>
      <c r="AE500" s="259">
        <f>(ASINH(FMS_Ranking4[[#This Row],[Road Miles Raw]]))*(10)/(ASINH(AD$4))</f>
        <v>4.7956906484571835</v>
      </c>
      <c r="AF500" s="256">
        <f>FMS_Ranking4[[#This Row],[Length of roads at risk, ArcSinh (0-10)]]*AD$5*10</f>
        <v>4.7956906484571835</v>
      </c>
      <c r="AG500" s="253">
        <f>_xlfn.XLOOKUP(FMS_Ranking4[[#This Row],[FMS ID]],FMS_Input[FMS_ID],FMS_Input[FARMACRE100])</f>
        <v>64354.15234375</v>
      </c>
      <c r="AH500" s="255">
        <f>(ASINH(FMS_Ranking4[[#This Row],[Ag Land Raw]]))*(10)/(ASINH(AG$4))</f>
        <v>7.6425234066787207</v>
      </c>
      <c r="AI500" s="260">
        <f>FMS_Ranking4[[#This Row],[Farm &amp; ranch land, ArcSinh (0-10)]]*AG$5*10</f>
        <v>3.8212617033393603</v>
      </c>
      <c r="AJ500" s="258">
        <f>_xlfn.XLOOKUP(FMS_Ranking4[[#This Row],[FMS ID]],FMS_Input[FMS_ID],FMS_Input[REDSTRUCT100])</f>
        <v>0</v>
      </c>
      <c r="AK500" s="253">
        <f>_xlfn.XLOOKUP(FMS_Ranking4[[#This Row],[FMS ID]],FMS_Input[FMS_ID],FMS_Input[REMSTRC100])</f>
        <v>0</v>
      </c>
      <c r="AL500" s="259">
        <f>(ASINH(FMS_Ranking4[[#This Row],[Structures Removed Raw]]))*(10)/(ASINH(AK$4))</f>
        <v>0</v>
      </c>
      <c r="AM500" s="262">
        <f>FMS_Ranking4[[#This Row],[Structures removed, ArcSinh (0-10)]]*AK$5*10</f>
        <v>0</v>
      </c>
      <c r="AN500" s="253">
        <f>_xlfn.XLOOKUP(FMS_Ranking4[[#This Row],[FMS ID]],FMS_Input[FMS_ID],FMS_Input[REMRESSTRC100])</f>
        <v>0</v>
      </c>
      <c r="AO500" s="261">
        <f>FMS_Ranking4[[#This Row],[ArcSinh Res struct removed 0-10]]*AN$5*10</f>
        <v>0</v>
      </c>
      <c r="AP500" s="260">
        <f>ASINH(FMS_Ranking4[[#This Row],[Residential Structures Removed Raw]])/AP$4*AN$5*100</f>
        <v>0</v>
      </c>
      <c r="AQ500" s="254">
        <f>(ASINH(FMS_Ranking4[[#This Row],[Residential Structures Removed Raw]]))*(10)/(ASINH(AN$4))</f>
        <v>0</v>
      </c>
      <c r="AR500" s="253">
        <f>_xlfn.XLOOKUP(FMS_Ranking4[[#This Row],[FMS ID]],FMS_Input[FMS_ID],FMS_Input[REMPOP100])</f>
        <v>0</v>
      </c>
      <c r="AS500" s="259">
        <f>(ASINH(FMS_Ranking4[[#This Row],[Removed Pop Raw]]))*(10)/(ASINH(AR$4))</f>
        <v>0</v>
      </c>
      <c r="AT500" s="262">
        <f>FMS_Ranking4[[#This Row],[Removed population, ArcSinh (0-10)]]*AR$5*10</f>
        <v>0</v>
      </c>
      <c r="AU500" s="264">
        <f>_xlfn.XLOOKUP(FMS_Ranking4[[#This Row],[FMS ID]],FMS_Input[FMS_ID],FMS_Input[REMCRITFAC100])</f>
        <v>0</v>
      </c>
      <c r="AV500" s="264">
        <f>_xlfn.XLOOKUP(FMS_Ranking4[[#This Row],[FMS ID]],FMS_Input[FMS_ID],FMS_Input[REMLWC100])</f>
        <v>0</v>
      </c>
      <c r="AW500" s="264">
        <f>_xlfn.XLOOKUP(FMS_Ranking4[[#This Row],[FMS ID]],FMS_Input[FMS_ID],FMS_Input[REMROADCLS])</f>
        <v>0</v>
      </c>
      <c r="AX500" s="264">
        <f>_xlfn.XLOOKUP(FMS_Ranking4[[#This Row],[FMS ID]],FMS_Input[FMS_ID],FMS_Input[REMFRMACRE100])</f>
        <v>0</v>
      </c>
      <c r="AY500" s="258">
        <f>_xlfn.XLOOKUP(FMS_Ranking4[[#This Row],[FMS ID]],FMS_Input[FMS_ID],FMS_Input[COSTSTRUCT])</f>
        <v>0</v>
      </c>
      <c r="AZ500" s="253">
        <f>_xlfn.XLOOKUP(FMS_Ranking4[[#This Row],[FMS ID]],FMS_Input[FMS_ID],FMS_Input[NATURE])</f>
        <v>0</v>
      </c>
      <c r="BA500" s="262">
        <f>(((FMS_Ranking4[[#This Row],[% NBS Raw]]/AZ$4)*100)*AZ$5)</f>
        <v>0</v>
      </c>
      <c r="BB500" s="251" t="str">
        <f>_xlfn.XLOOKUP(FMS_Ranking4[[#This Row],[FMS ID]],FMS_Input[FMS_ID],FMS_Input[WATER_SUP])</f>
        <v>No</v>
      </c>
      <c r="BC500" s="265">
        <f>IF(FMS_Ranking4[[#This Row],[Water Supply Raw]]="Yes",10,0)</f>
        <v>0</v>
      </c>
      <c r="BD500" s="266">
        <f>_xlfn.XLOOKUP(FMS_Ranking4[[#This Row],[FMS Type]],FMS_TYPE[FMS_Type],FMS_TYPE[Score])</f>
        <v>8</v>
      </c>
      <c r="BE500" s="267">
        <f>FMS_Ranking4[[#This Row],[FMS_Type Score]]*$BD$5*10</f>
        <v>2</v>
      </c>
      <c r="BF50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0.2370366567375343</v>
      </c>
      <c r="BG500" s="271">
        <f>_xlfn.RANK.EQ(BF500,$BF$8:$BF$870,0)+COUNTIF($BF$8:BF500,BF500)-1</f>
        <v>340</v>
      </c>
      <c r="BH500" s="268">
        <f>(((FMS_Ranking4[[#This Row],[Structures Removed Raw]]/AK$4)*100)*AK$5)+(((FMS_Ranking4[[#This Row],[Removed Pop Raw]]/AR$4)*100)*AR$5)</f>
        <v>0</v>
      </c>
      <c r="BI50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2.2370366567375344</v>
      </c>
      <c r="BJ500" s="205">
        <f>_xlfn.RANK.EQ(FMS_Ranking4[[#This Row],[Total Score 
(with linear
normalization)]],FMS_Ranking4[Total Score 
(with linear
normalization)],0)</f>
        <v>316</v>
      </c>
      <c r="BK500" s="205" t="e">
        <f>_xlfn.XLOOKUP(FMS_Ranking4[[#This Row],[FMS ID]],#REF!,#REF!)</f>
        <v>#REF!</v>
      </c>
      <c r="BL50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17.330114810249942</v>
      </c>
      <c r="BM500" s="272">
        <f>FMS_Ranking4[[#This Row],[ArcSinh Score Based on Normalized Reported Factors]]+FMS_Ranking4[[#This Row],[% NBS Score (Normalized)]]+(FMS_Ranking4[[#This Row],[Water Supply Score (Normalized)]]*10*$BB$5)+FMS_Ranking4[[#This Row],[FMS_Type Score Weighted]]</f>
        <v>19.330114810249942</v>
      </c>
      <c r="BN500" s="205">
        <f>_xlfn.RANK.EQ(FMS_Ranking4[[#This Row],[Total Score (with ArcSinh normalization of select criteria)]],FMS_Ranking4[Total Score (with ArcSinh normalization of select criteria)],0)</f>
        <v>493</v>
      </c>
      <c r="BO500" s="270" t="str">
        <f>_xlfn.XLOOKUP(FMS_Ranking4[[#This Row],[FMS ID]],FMS_Input[FMS_ID],FMS_Input[FMS_RANK_YEAR])</f>
        <v>2023 Amended Plan</v>
      </c>
      <c r="BP500" s="204">
        <f>_xlfn.XLOOKUP(FMS_Ranking4[[#This Row],[FMS ID]],Prev_Rank[FMS ID],Prev_Rank[Prev Rank])</f>
        <v>444</v>
      </c>
      <c r="BQ500" s="205" t="e">
        <f>_xlfn.XLOOKUP(FMS_Ranking4[[#This Row],[FMS ID]],#REF!,#REF!)</f>
        <v>#REF!</v>
      </c>
      <c r="BR500" s="199" t="e">
        <f>SUM(#REF!,#REF!,#REF!,#REF!,#REF!,#REF!,#REF!,#REF!,#REF!,FMS_Ranking4[[#This Row],[ArcSinh Res struct removed 0-10]],#REF!)</f>
        <v>#REF!</v>
      </c>
      <c r="BS500" s="199" t="e">
        <f>FMS_Ranking4[[#This Row],[Log Score Based on Normalized Reported Factors]]+FMS_Ranking4[[#This Row],[% NBS Score (Normalized)]]+(FMS_Ranking4[[#This Row],[Water Supply Score (Normalized)]]*10*$BB$5)+(FMS_Ranking4[[#This Row],[FMS_Type Score Weighted]])</f>
        <v>#REF!</v>
      </c>
      <c r="BT500" s="200" t="e">
        <f>_xlfn.RANK.EQ(FMS_Ranking4[[#This Row],[Log Total Score]],FMS_Ranking4[Log Total Score],0)</f>
        <v>#REF!</v>
      </c>
      <c r="BU500" s="200" t="e">
        <f>_xlfn.XLOOKUP(FMS_Ranking4[[#This Row],[FMS ID]],#REF!,#REF!)</f>
        <v>#REF!</v>
      </c>
      <c r="BV500" s="200">
        <f>FMS_Ranking4[[#This Row],[Region Number]]</f>
        <v>1</v>
      </c>
      <c r="BW500" s="200">
        <f>FMS_Ranking4[[#This Row],[Rank (with ArcSinh normalization of select criteria)]]-FMS_Ranking4[[#This Row],[Rank
(with linear
normalization)]]</f>
        <v>177</v>
      </c>
      <c r="BX500" s="200" t="e">
        <f>FMS_Ranking4[[#This Row],[Log Rank]]-FMS_Ranking4[[#This Row],[Rank
(with linear
normalization)]]</f>
        <v>#REF!</v>
      </c>
      <c r="BY500" s="200" t="str">
        <f>IF(FMS_Ranking4[[#This Row],[FMS Type]]="Flood Measurement and Warning",FMS_Ranking4[[#This Row],[Rank (with ArcSinh normalization of select criteria)]],"")</f>
        <v/>
      </c>
      <c r="BZ500" s="200">
        <f>IF(FMS_Ranking4[[#This Row],[FMS Type]]="Regulatory and Guidance",FMS_Ranking4[[#This Row],[Rank (with ArcSinh normalization of select criteria)]],"")</f>
        <v>493</v>
      </c>
      <c r="CA500" s="200" t="str">
        <f>IF(FMS_Ranking4[[#This Row],[FMS Type]]="Education and Outreach",FMS_Ranking4[[#This Row],[Rank (with ArcSinh normalization of select criteria)]],"")</f>
        <v/>
      </c>
      <c r="CB500" s="200" t="str">
        <f>IF(FMS_Ranking4[[#This Row],[FMS Type]]="Property Acquisition and Structural Elevation",FMS_Ranking4[[#This Row],[Rank (with ArcSinh normalization of select criteria)]],"")</f>
        <v/>
      </c>
      <c r="CC500" s="200" t="str">
        <f>IF(FMS_Ranking4[[#This Row],[FMS Type]]="Infrastructure Projects",FMS_Ranking4[[#This Row],[Rank (with ArcSinh normalization of select criteria)]],"")</f>
        <v/>
      </c>
      <c r="CD500" s="200" t="str">
        <f>IF(FMS_Ranking4[[#This Row],[FMS Type]]="Other",FMS_Ranking4[[#This Row],[Rank (with ArcSinh normalization of select criteria)]],"")</f>
        <v/>
      </c>
      <c r="CE500" s="201"/>
      <c r="CF500" s="206"/>
      <c r="CG500" s="206"/>
      <c r="CH500" s="206"/>
      <c r="CI500" s="206"/>
      <c r="CJ500" s="206"/>
      <c r="CK500" s="206"/>
      <c r="CL500" s="206"/>
      <c r="CM500" s="206"/>
      <c r="CN500" s="206"/>
      <c r="CO500" s="206"/>
      <c r="CP500" s="206"/>
      <c r="CQ500" s="206"/>
      <c r="CR500" s="206"/>
    </row>
    <row r="501" spans="2:96" ht="60" x14ac:dyDescent="0.25">
      <c r="B501" s="341" t="s">
        <v>983</v>
      </c>
      <c r="C501" s="246">
        <f>_xlfn.XLOOKUP(FMS_Ranking4[[#This Row],[FMS ID]],FMS_Input[FMS_ID],FMS_Input[RFPG_NUM])</f>
        <v>9</v>
      </c>
      <c r="D501" s="309" t="str">
        <f>_xlfn.XLOOKUP(FMS_Ranking4[[#This Row],[FMS ID]],FMS_Input[FMS_ID],FMS_Input[FMS_NAME])</f>
        <v>City of Ballinger DCM</v>
      </c>
      <c r="E501" s="308" t="str">
        <f>_xlfn.XLOOKUP(FMS_Ranking4[[#This Row],[FMS ID]],FMS_Input[FMS_ID],FMS_Input[SPONSOR])</f>
        <v>00000145</v>
      </c>
      <c r="F501" s="309" t="str">
        <f>_xlfn.XLOOKUP(FMS_Ranking4[[#This Row],[FMS ID]],Sponsor[FMS_ID],Sponsor[SPONSOR NAME])</f>
        <v>Runnels</v>
      </c>
      <c r="G501" s="309" t="str">
        <f>_xlfn.XLOOKUP(FMS_Ranking4[[#This Row],[FMS ID]],FMS_Input[FMS_ID],FMS_Input[FMS_DESCR])</f>
        <v>Consider stormwater criteria for infrastructure and floodplain ordinances to avoid new exposure to flood hazards.</v>
      </c>
      <c r="H501" s="248" t="str">
        <f>_xlfn.XLOOKUP(FMS_Ranking4[[#This Row],[FMS ID]],FMS_Input[FMS_ID],FMS_Input[FMS_TYPE])</f>
        <v>Other</v>
      </c>
      <c r="I501" s="249">
        <f>_xlfn.XLOOKUP(FMS_Ranking4[[#This Row],[FMS ID]],FMS_Input[FMS_ID],FMS_Input[NRNC_COST])</f>
        <v>75000</v>
      </c>
      <c r="J501" s="250">
        <f>_xlfn.XLOOKUP(FMS_Ranking4[[#This Row],[FMS ID]],FMS_Input[FMS_ID],FMS_Input[FMS_COST])</f>
        <v>100000</v>
      </c>
      <c r="K501" s="251" t="str">
        <f>_xlfn.XLOOKUP(FMS_Ranking4[[#This Row],[FMS ID]],FMS_Input[FMS_ID],FMS_Input[EMER_NEED])</f>
        <v>No</v>
      </c>
      <c r="L501" s="252">
        <f t="shared" si="7"/>
        <v>0</v>
      </c>
      <c r="M501" s="253">
        <f>_xlfn.XLOOKUP(FMS_Ranking4[[#This Row],[FMS ID]],FMS_Input[FMS_ID],FMS_Input[STRUCT_100])</f>
        <v>13</v>
      </c>
      <c r="N501" s="255">
        <f>(ASINH(FMS_Ranking4[[#This Row],[Structure at Risk Raw]]))*(10)/(ASINH(M$4))</f>
        <v>2.5625093585555985</v>
      </c>
      <c r="O501" s="256">
        <f>FMS_Ranking4[[#This Row],[Structures at risk, ArcSinh (0-10)]]*M$5*10</f>
        <v>2.5625093585555985</v>
      </c>
      <c r="P501" s="253">
        <f>_xlfn.XLOOKUP(FMS_Ranking4[[#This Row],[FMS ID]],FMS_Input[FMS_ID],FMS_Input[RES_STRUCT100])</f>
        <v>7</v>
      </c>
      <c r="Q501" s="257">
        <f>ASINH(FMS_Ranking4[[#This Row],[Res Structure Raw]])/Q$4*P$5*100</f>
        <v>0</v>
      </c>
      <c r="R501" s="253">
        <f>_xlfn.XLOOKUP(FMS_Ranking4[[#This Row],[FMS ID]],FMS_Input[FMS_ID],FMS_Input[POP100])</f>
        <v>127</v>
      </c>
      <c r="S501" s="259">
        <f>(ASINH(FMS_Ranking4[[#This Row],[Pop at Risk Raw]]))*(10)/(ASINH(R$4))</f>
        <v>3.8227549169934543</v>
      </c>
      <c r="T501" s="256">
        <f>FMS_Ranking4[[#This Row],[Population at risk, ArcSinh (0-10)]]*R$5*10</f>
        <v>3.8227549169934543</v>
      </c>
      <c r="U501" s="253">
        <f>_xlfn.XLOOKUP(FMS_Ranking4[[#This Row],[FMS ID]],FMS_Input[FMS_ID],FMS_Input[CRITFAC100])</f>
        <v>0</v>
      </c>
      <c r="V501" s="259">
        <f>(ASINH(FMS_Ranking4[[#This Row],[Critical Facilities Raw]]))*(10)/(ASINH(U$4))</f>
        <v>0</v>
      </c>
      <c r="W501" s="256">
        <f>FMS_Ranking4[[#This Row],[Critical facilities at risk, ArcSinh (0-10)]]*U$5*10</f>
        <v>0</v>
      </c>
      <c r="X501" s="253">
        <f>_xlfn.XLOOKUP(FMS_Ranking4[[#This Row],[FMS ID]],FMS_Input[FMS_ID],FMS_Input[LWC])</f>
        <v>0</v>
      </c>
      <c r="Y501" s="259">
        <f>(ASINH(FMS_Ranking4[[#This Row],[LWC Raw]]))*(10)/(ASINH(X$4))</f>
        <v>0</v>
      </c>
      <c r="Z501" s="256">
        <f>FMS_Ranking4[[#This Row],[LWC, ArcSInh (0-10)]]*X$5*10</f>
        <v>0</v>
      </c>
      <c r="AA501" s="253">
        <f>_xlfn.XLOOKUP(FMS_Ranking4[[#This Row],[FMS ID]],FMS_Input[FMS_ID],FMS_Input[ROADCLS])</f>
        <v>0</v>
      </c>
      <c r="AB501" s="255">
        <f>(ASINH(FMS_Ranking4[[#This Row],[Road Closures Raw]]))*(10)/(ASINH(AA$4))</f>
        <v>0</v>
      </c>
      <c r="AC501" s="256">
        <f>FMS_Ranking4[[#This Row],[Road closures, ArcSinh (0-10)]]*AA$5*10</f>
        <v>0</v>
      </c>
      <c r="AD501" s="253">
        <f>_xlfn.XLOOKUP(FMS_Ranking4[[#This Row],[FMS ID]],FMS_Input[FMS_ID],FMS_Input[ROAD_MILES100])</f>
        <v>15</v>
      </c>
      <c r="AE501" s="259">
        <f>(ASINH(FMS_Ranking4[[#This Row],[Road Miles Raw]]))*(10)/(ASINH(AD$4))</f>
        <v>3.625922827042257</v>
      </c>
      <c r="AF501" s="256">
        <f>FMS_Ranking4[[#This Row],[Length of roads at risk, ArcSinh (0-10)]]*AD$5*10</f>
        <v>3.625922827042257</v>
      </c>
      <c r="AG501" s="253">
        <f>_xlfn.XLOOKUP(FMS_Ranking4[[#This Row],[FMS ID]],FMS_Input[FMS_ID],FMS_Input[FARMACRE100])</f>
        <v>99.603057861328125</v>
      </c>
      <c r="AH501" s="255">
        <f>(ASINH(FMS_Ranking4[[#This Row],[Ag Land Raw]]))*(10)/(ASINH(AG$4))</f>
        <v>3.4391215548129073</v>
      </c>
      <c r="AI501" s="260">
        <f>FMS_Ranking4[[#This Row],[Farm &amp; ranch land, ArcSinh (0-10)]]*AG$5*10</f>
        <v>1.7195607774064536</v>
      </c>
      <c r="AJ501" s="258">
        <f>_xlfn.XLOOKUP(FMS_Ranking4[[#This Row],[FMS ID]],FMS_Input[FMS_ID],FMS_Input[REDSTRUCT100])</f>
        <v>4</v>
      </c>
      <c r="AK501" s="253">
        <f>_xlfn.XLOOKUP(FMS_Ranking4[[#This Row],[FMS ID]],FMS_Input[FMS_ID],FMS_Input[REMSTRC100])</f>
        <v>4</v>
      </c>
      <c r="AL501" s="259">
        <f>(ASINH(FMS_Ranking4[[#This Row],[Structures Removed Raw]]))*(10)/(ASINH(AK$4))</f>
        <v>2.3849797569578319</v>
      </c>
      <c r="AM501" s="262">
        <f>FMS_Ranking4[[#This Row],[Structures removed, ArcSinh (0-10)]]*AK$5*10</f>
        <v>2.3849797569578319</v>
      </c>
      <c r="AN501" s="253">
        <f>_xlfn.XLOOKUP(FMS_Ranking4[[#This Row],[FMS ID]],FMS_Input[FMS_ID],FMS_Input[REMRESSTRC100])</f>
        <v>1</v>
      </c>
      <c r="AO501" s="261">
        <f>FMS_Ranking4[[#This Row],[ArcSinh Res struct removed 0-10]]*AN$5*10</f>
        <v>0.51694893589195634</v>
      </c>
      <c r="AP501" s="260">
        <f>ASINH(FMS_Ranking4[[#This Row],[Residential Structures Removed Raw]])/AP$4*AN$5*100</f>
        <v>0.51694893589195634</v>
      </c>
      <c r="AQ501" s="254">
        <f>(ASINH(FMS_Ranking4[[#This Row],[Residential Structures Removed Raw]]))*(10)/(ASINH(AN$4))</f>
        <v>1.0338978717839127</v>
      </c>
      <c r="AR501" s="253">
        <f>_xlfn.XLOOKUP(FMS_Ranking4[[#This Row],[FMS ID]],FMS_Input[FMS_ID],FMS_Input[REMPOP100])</f>
        <v>32</v>
      </c>
      <c r="AS501" s="259">
        <f>(ASINH(FMS_Ranking4[[#This Row],[Removed Pop Raw]]))*(10)/(ASINH(AR$4))</f>
        <v>4.0826842195524415</v>
      </c>
      <c r="AT501" s="262">
        <f>FMS_Ranking4[[#This Row],[Removed population, ArcSinh (0-10)]]*AR$5*10</f>
        <v>4.0826842195524415</v>
      </c>
      <c r="AU501" s="264">
        <f>_xlfn.XLOOKUP(FMS_Ranking4[[#This Row],[FMS ID]],FMS_Input[FMS_ID],FMS_Input[REMCRITFAC100])</f>
        <v>0</v>
      </c>
      <c r="AV501" s="264">
        <f>_xlfn.XLOOKUP(FMS_Ranking4[[#This Row],[FMS ID]],FMS_Input[FMS_ID],FMS_Input[REMLWC100])</f>
        <v>0</v>
      </c>
      <c r="AW501" s="264">
        <f>_xlfn.XLOOKUP(FMS_Ranking4[[#This Row],[FMS ID]],FMS_Input[FMS_ID],FMS_Input[REMROADCLS])</f>
        <v>0</v>
      </c>
      <c r="AX501" s="264">
        <f>_xlfn.XLOOKUP(FMS_Ranking4[[#This Row],[FMS ID]],FMS_Input[FMS_ID],FMS_Input[REMFRMACRE100])</f>
        <v>24.900764465332031</v>
      </c>
      <c r="AY501" s="258">
        <f>_xlfn.XLOOKUP(FMS_Ranking4[[#This Row],[FMS ID]],FMS_Input[FMS_ID],FMS_Input[COSTSTRUCT])</f>
        <v>25000</v>
      </c>
      <c r="AZ501" s="253">
        <f>_xlfn.XLOOKUP(FMS_Ranking4[[#This Row],[FMS ID]],FMS_Input[FMS_ID],FMS_Input[NATURE])</f>
        <v>0</v>
      </c>
      <c r="BA501" s="262">
        <f>(((FMS_Ranking4[[#This Row],[% NBS Raw]]/AZ$4)*100)*AZ$5)</f>
        <v>0</v>
      </c>
      <c r="BB501" s="251" t="str">
        <f>_xlfn.XLOOKUP(FMS_Ranking4[[#This Row],[FMS ID]],FMS_Input[FMS_ID],FMS_Input[WATER_SUP])</f>
        <v>No</v>
      </c>
      <c r="BC501" s="265">
        <f>IF(FMS_Ranking4[[#This Row],[Water Supply Raw]]="Yes",10,0)</f>
        <v>0</v>
      </c>
      <c r="BD501" s="266">
        <f>_xlfn.XLOOKUP(FMS_Ranking4[[#This Row],[FMS Type]],FMS_TYPE[FMS_Type],FMS_TYPE[Score])</f>
        <v>2</v>
      </c>
      <c r="BE501" s="267">
        <f>FMS_Ranking4[[#This Row],[FMS_Type Score]]*$BD$5*10</f>
        <v>0.5</v>
      </c>
      <c r="BF50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2.7518391126512588E-2</v>
      </c>
      <c r="BG501" s="271">
        <f>_xlfn.RANK.EQ(BF501,$BF$8:$BF$870,0)+COUNTIF($BF$8:BF501,BF501)-1</f>
        <v>611</v>
      </c>
      <c r="BH501" s="268">
        <f>(((FMS_Ranking4[[#This Row],[Structures Removed Raw]]/AK$4)*100)*AK$5)+(((FMS_Ranking4[[#This Row],[Removed Pop Raw]]/AR$4)*100)*AR$5)</f>
        <v>3.6360747211554197E-2</v>
      </c>
      <c r="BI50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0.5638791383380668</v>
      </c>
      <c r="BJ501" s="205">
        <f>_xlfn.RANK.EQ(FMS_Ranking4[[#This Row],[Total Score 
(with linear
normalization)]],FMS_Ranking4[Total Score 
(with linear
normalization)],0)</f>
        <v>823</v>
      </c>
      <c r="BK501" s="205" t="e">
        <f>_xlfn.XLOOKUP(FMS_Ranking4[[#This Row],[FMS ID]],#REF!,#REF!)</f>
        <v>#REF!</v>
      </c>
      <c r="BL50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18.715360792399995</v>
      </c>
      <c r="BM501" s="272">
        <f>FMS_Ranking4[[#This Row],[ArcSinh Score Based on Normalized Reported Factors]]+FMS_Ranking4[[#This Row],[% NBS Score (Normalized)]]+(FMS_Ranking4[[#This Row],[Water Supply Score (Normalized)]]*10*$BB$5)+FMS_Ranking4[[#This Row],[FMS_Type Score Weighted]]</f>
        <v>19.215360792399995</v>
      </c>
      <c r="BN501" s="205">
        <f>_xlfn.RANK.EQ(FMS_Ranking4[[#This Row],[Total Score (with ArcSinh normalization of select criteria)]],FMS_Ranking4[Total Score (with ArcSinh normalization of select criteria)],0)</f>
        <v>494</v>
      </c>
      <c r="BO501" s="270" t="str">
        <f>_xlfn.XLOOKUP(FMS_Ranking4[[#This Row],[FMS ID]],FMS_Input[FMS_ID],FMS_Input[FMS_RANK_YEAR])</f>
        <v>2023 Amended Plan</v>
      </c>
      <c r="BP501" s="204">
        <f>_xlfn.XLOOKUP(FMS_Ranking4[[#This Row],[FMS ID]],Prev_Rank[FMS ID],Prev_Rank[Prev Rank])</f>
        <v>453</v>
      </c>
      <c r="BQ501" s="205" t="e">
        <f>_xlfn.XLOOKUP(FMS_Ranking4[[#This Row],[FMS ID]],#REF!,#REF!)</f>
        <v>#REF!</v>
      </c>
      <c r="BR501" s="199" t="e">
        <f>SUM(#REF!,#REF!,#REF!,#REF!,#REF!,#REF!,#REF!,#REF!,#REF!,FMS_Ranking4[[#This Row],[ArcSinh Res struct removed 0-10]],#REF!)</f>
        <v>#REF!</v>
      </c>
      <c r="BS501" s="199" t="e">
        <f>FMS_Ranking4[[#This Row],[Log Score Based on Normalized Reported Factors]]+FMS_Ranking4[[#This Row],[% NBS Score (Normalized)]]+(FMS_Ranking4[[#This Row],[Water Supply Score (Normalized)]]*10*$BB$5)+(FMS_Ranking4[[#This Row],[FMS_Type Score Weighted]])</f>
        <v>#REF!</v>
      </c>
      <c r="BT501" s="200" t="e">
        <f>_xlfn.RANK.EQ(FMS_Ranking4[[#This Row],[Log Total Score]],FMS_Ranking4[Log Total Score],0)</f>
        <v>#REF!</v>
      </c>
      <c r="BU501" s="200" t="e">
        <f>_xlfn.XLOOKUP(FMS_Ranking4[[#This Row],[FMS ID]],#REF!,#REF!)</f>
        <v>#REF!</v>
      </c>
      <c r="BV501" s="200">
        <f>FMS_Ranking4[[#This Row],[Region Number]]</f>
        <v>9</v>
      </c>
      <c r="BW501" s="200">
        <f>FMS_Ranking4[[#This Row],[Rank (with ArcSinh normalization of select criteria)]]-FMS_Ranking4[[#This Row],[Rank
(with linear
normalization)]]</f>
        <v>-329</v>
      </c>
      <c r="BX501" s="200" t="e">
        <f>FMS_Ranking4[[#This Row],[Log Rank]]-FMS_Ranking4[[#This Row],[Rank
(with linear
normalization)]]</f>
        <v>#REF!</v>
      </c>
      <c r="BY501" s="200" t="str">
        <f>IF(FMS_Ranking4[[#This Row],[FMS Type]]="Flood Measurement and Warning",FMS_Ranking4[[#This Row],[Rank (with ArcSinh normalization of select criteria)]],"")</f>
        <v/>
      </c>
      <c r="BZ501" s="200" t="str">
        <f>IF(FMS_Ranking4[[#This Row],[FMS Type]]="Regulatory and Guidance",FMS_Ranking4[[#This Row],[Rank (with ArcSinh normalization of select criteria)]],"")</f>
        <v/>
      </c>
      <c r="CA501" s="200" t="str">
        <f>IF(FMS_Ranking4[[#This Row],[FMS Type]]="Education and Outreach",FMS_Ranking4[[#This Row],[Rank (with ArcSinh normalization of select criteria)]],"")</f>
        <v/>
      </c>
      <c r="CB501" s="200" t="str">
        <f>IF(FMS_Ranking4[[#This Row],[FMS Type]]="Property Acquisition and Structural Elevation",FMS_Ranking4[[#This Row],[Rank (with ArcSinh normalization of select criteria)]],"")</f>
        <v/>
      </c>
      <c r="CC501" s="200" t="str">
        <f>IF(FMS_Ranking4[[#This Row],[FMS Type]]="Infrastructure Projects",FMS_Ranking4[[#This Row],[Rank (with ArcSinh normalization of select criteria)]],"")</f>
        <v/>
      </c>
      <c r="CD501" s="200">
        <f>IF(FMS_Ranking4[[#This Row],[FMS Type]]="Other",FMS_Ranking4[[#This Row],[Rank (with ArcSinh normalization of select criteria)]],"")</f>
        <v>494</v>
      </c>
      <c r="CE501" s="201"/>
      <c r="CF501" s="206"/>
      <c r="CG501" s="206"/>
      <c r="CH501" s="206"/>
      <c r="CI501" s="206"/>
      <c r="CJ501" s="206"/>
      <c r="CK501" s="206"/>
      <c r="CL501" s="206"/>
      <c r="CM501" s="206"/>
      <c r="CN501" s="206"/>
      <c r="CO501" s="206"/>
      <c r="CP501" s="206"/>
      <c r="CQ501" s="206"/>
      <c r="CR501" s="206"/>
    </row>
    <row r="502" spans="2:96" ht="105" x14ac:dyDescent="0.25">
      <c r="B502" s="341" t="s">
        <v>828</v>
      </c>
      <c r="C502" s="246">
        <f>_xlfn.XLOOKUP(FMS_Ranking4[[#This Row],[FMS ID]],FMS_Input[FMS_ID],FMS_Input[RFPG_NUM])</f>
        <v>9</v>
      </c>
      <c r="D502" s="309" t="str">
        <f>_xlfn.XLOOKUP(FMS_Ranking4[[#This Row],[FMS ID]],FMS_Input[FMS_ID],FMS_Input[FMS_NAME])</f>
        <v>City of Ballinger NFIP Cross-Train Program</v>
      </c>
      <c r="E502" s="308" t="str">
        <f>_xlfn.XLOOKUP(FMS_Ranking4[[#This Row],[FMS ID]],FMS_Input[FMS_ID],FMS_Input[SPONSOR])</f>
        <v>00000145</v>
      </c>
      <c r="F502" s="309" t="str">
        <f>_xlfn.XLOOKUP(FMS_Ranking4[[#This Row],[FMS ID]],Sponsor[FMS_ID],Sponsor[SPONSOR NAME])</f>
        <v>Runnels</v>
      </c>
      <c r="G502" s="309" t="str">
        <f>_xlfn.XLOOKUP(FMS_Ranking4[[#This Row],[FMS ID]],FMS_Input[FMS_ID],FMS_Input[FMS_DESCR])</f>
        <v xml:space="preserve">Establish a hazard mitigation library or hazard information center for use by local residents and schools to educate the public about the top natural hazards affecting the CVCOG region. </v>
      </c>
      <c r="H502" s="248" t="str">
        <f>_xlfn.XLOOKUP(FMS_Ranking4[[#This Row],[FMS ID]],FMS_Input[FMS_ID],FMS_Input[FMS_TYPE])</f>
        <v>Other</v>
      </c>
      <c r="I502" s="249">
        <f>_xlfn.XLOOKUP(FMS_Ranking4[[#This Row],[FMS ID]],FMS_Input[FMS_ID],FMS_Input[NRNC_COST])</f>
        <v>8000</v>
      </c>
      <c r="J502" s="250">
        <f>_xlfn.XLOOKUP(FMS_Ranking4[[#This Row],[FMS ID]],FMS_Input[FMS_ID],FMS_Input[FMS_COST])</f>
        <v>33000</v>
      </c>
      <c r="K502" s="251" t="str">
        <f>_xlfn.XLOOKUP(FMS_Ranking4[[#This Row],[FMS ID]],FMS_Input[FMS_ID],FMS_Input[EMER_NEED])</f>
        <v>No</v>
      </c>
      <c r="L502" s="252">
        <f t="shared" si="7"/>
        <v>0</v>
      </c>
      <c r="M502" s="253">
        <f>_xlfn.XLOOKUP(FMS_Ranking4[[#This Row],[FMS ID]],FMS_Input[FMS_ID],FMS_Input[STRUCT_100])</f>
        <v>13</v>
      </c>
      <c r="N502" s="255">
        <f>(ASINH(FMS_Ranking4[[#This Row],[Structure at Risk Raw]]))*(10)/(ASINH(M$4))</f>
        <v>2.5625093585555985</v>
      </c>
      <c r="O502" s="256">
        <f>FMS_Ranking4[[#This Row],[Structures at risk, ArcSinh (0-10)]]*M$5*10</f>
        <v>2.5625093585555985</v>
      </c>
      <c r="P502" s="253">
        <f>_xlfn.XLOOKUP(FMS_Ranking4[[#This Row],[FMS ID]],FMS_Input[FMS_ID],FMS_Input[RES_STRUCT100])</f>
        <v>7</v>
      </c>
      <c r="Q502" s="257">
        <f>ASINH(FMS_Ranking4[[#This Row],[Res Structure Raw]])/Q$4*P$5*100</f>
        <v>0</v>
      </c>
      <c r="R502" s="253">
        <f>_xlfn.XLOOKUP(FMS_Ranking4[[#This Row],[FMS ID]],FMS_Input[FMS_ID],FMS_Input[POP100])</f>
        <v>127</v>
      </c>
      <c r="S502" s="259">
        <f>(ASINH(FMS_Ranking4[[#This Row],[Pop at Risk Raw]]))*(10)/(ASINH(R$4))</f>
        <v>3.8227549169934543</v>
      </c>
      <c r="T502" s="256">
        <f>FMS_Ranking4[[#This Row],[Population at risk, ArcSinh (0-10)]]*R$5*10</f>
        <v>3.8227549169934543</v>
      </c>
      <c r="U502" s="253">
        <f>_xlfn.XLOOKUP(FMS_Ranking4[[#This Row],[FMS ID]],FMS_Input[FMS_ID],FMS_Input[CRITFAC100])</f>
        <v>0</v>
      </c>
      <c r="V502" s="259">
        <f>(ASINH(FMS_Ranking4[[#This Row],[Critical Facilities Raw]]))*(10)/(ASINH(U$4))</f>
        <v>0</v>
      </c>
      <c r="W502" s="256">
        <f>FMS_Ranking4[[#This Row],[Critical facilities at risk, ArcSinh (0-10)]]*U$5*10</f>
        <v>0</v>
      </c>
      <c r="X502" s="253">
        <f>_xlfn.XLOOKUP(FMS_Ranking4[[#This Row],[FMS ID]],FMS_Input[FMS_ID],FMS_Input[LWC])</f>
        <v>0</v>
      </c>
      <c r="Y502" s="259">
        <f>(ASINH(FMS_Ranking4[[#This Row],[LWC Raw]]))*(10)/(ASINH(X$4))</f>
        <v>0</v>
      </c>
      <c r="Z502" s="256">
        <f>FMS_Ranking4[[#This Row],[LWC, ArcSInh (0-10)]]*X$5*10</f>
        <v>0</v>
      </c>
      <c r="AA502" s="253">
        <f>_xlfn.XLOOKUP(FMS_Ranking4[[#This Row],[FMS ID]],FMS_Input[FMS_ID],FMS_Input[ROADCLS])</f>
        <v>0</v>
      </c>
      <c r="AB502" s="255">
        <f>(ASINH(FMS_Ranking4[[#This Row],[Road Closures Raw]]))*(10)/(ASINH(AA$4))</f>
        <v>0</v>
      </c>
      <c r="AC502" s="256">
        <f>FMS_Ranking4[[#This Row],[Road closures, ArcSinh (0-10)]]*AA$5*10</f>
        <v>0</v>
      </c>
      <c r="AD502" s="253">
        <f>_xlfn.XLOOKUP(FMS_Ranking4[[#This Row],[FMS ID]],FMS_Input[FMS_ID],FMS_Input[ROAD_MILES100])</f>
        <v>15</v>
      </c>
      <c r="AE502" s="259">
        <f>(ASINH(FMS_Ranking4[[#This Row],[Road Miles Raw]]))*(10)/(ASINH(AD$4))</f>
        <v>3.625922827042257</v>
      </c>
      <c r="AF502" s="256">
        <f>FMS_Ranking4[[#This Row],[Length of roads at risk, ArcSinh (0-10)]]*AD$5*10</f>
        <v>3.625922827042257</v>
      </c>
      <c r="AG502" s="253">
        <f>_xlfn.XLOOKUP(FMS_Ranking4[[#This Row],[FMS ID]],FMS_Input[FMS_ID],FMS_Input[FARMACRE100])</f>
        <v>99.603057861328125</v>
      </c>
      <c r="AH502" s="255">
        <f>(ASINH(FMS_Ranking4[[#This Row],[Ag Land Raw]]))*(10)/(ASINH(AG$4))</f>
        <v>3.4391215548129073</v>
      </c>
      <c r="AI502" s="260">
        <f>FMS_Ranking4[[#This Row],[Farm &amp; ranch land, ArcSinh (0-10)]]*AG$5*10</f>
        <v>1.7195607774064536</v>
      </c>
      <c r="AJ502" s="258">
        <f>_xlfn.XLOOKUP(FMS_Ranking4[[#This Row],[FMS ID]],FMS_Input[FMS_ID],FMS_Input[REDSTRUCT100])</f>
        <v>4</v>
      </c>
      <c r="AK502" s="253">
        <f>_xlfn.XLOOKUP(FMS_Ranking4[[#This Row],[FMS ID]],FMS_Input[FMS_ID],FMS_Input[REMSTRC100])</f>
        <v>4</v>
      </c>
      <c r="AL502" s="259">
        <f>(ASINH(FMS_Ranking4[[#This Row],[Structures Removed Raw]]))*(10)/(ASINH(AK$4))</f>
        <v>2.3849797569578319</v>
      </c>
      <c r="AM502" s="262">
        <f>FMS_Ranking4[[#This Row],[Structures removed, ArcSinh (0-10)]]*AK$5*10</f>
        <v>2.3849797569578319</v>
      </c>
      <c r="AN502" s="253">
        <f>_xlfn.XLOOKUP(FMS_Ranking4[[#This Row],[FMS ID]],FMS_Input[FMS_ID],FMS_Input[REMRESSTRC100])</f>
        <v>1</v>
      </c>
      <c r="AO502" s="261">
        <f>FMS_Ranking4[[#This Row],[ArcSinh Res struct removed 0-10]]*AN$5*10</f>
        <v>0.51694893589195634</v>
      </c>
      <c r="AP502" s="260">
        <f>ASINH(FMS_Ranking4[[#This Row],[Residential Structures Removed Raw]])/AP$4*AN$5*100</f>
        <v>0.51694893589195634</v>
      </c>
      <c r="AQ502" s="254">
        <f>(ASINH(FMS_Ranking4[[#This Row],[Residential Structures Removed Raw]]))*(10)/(ASINH(AN$4))</f>
        <v>1.0338978717839127</v>
      </c>
      <c r="AR502" s="253">
        <f>_xlfn.XLOOKUP(FMS_Ranking4[[#This Row],[FMS ID]],FMS_Input[FMS_ID],FMS_Input[REMPOP100])</f>
        <v>32</v>
      </c>
      <c r="AS502" s="259">
        <f>(ASINH(FMS_Ranking4[[#This Row],[Removed Pop Raw]]))*(10)/(ASINH(AR$4))</f>
        <v>4.0826842195524415</v>
      </c>
      <c r="AT502" s="262">
        <f>FMS_Ranking4[[#This Row],[Removed population, ArcSinh (0-10)]]*AR$5*10</f>
        <v>4.0826842195524415</v>
      </c>
      <c r="AU502" s="264">
        <f>_xlfn.XLOOKUP(FMS_Ranking4[[#This Row],[FMS ID]],FMS_Input[FMS_ID],FMS_Input[REMCRITFAC100])</f>
        <v>0</v>
      </c>
      <c r="AV502" s="264">
        <f>_xlfn.XLOOKUP(FMS_Ranking4[[#This Row],[FMS ID]],FMS_Input[FMS_ID],FMS_Input[REMLWC100])</f>
        <v>0</v>
      </c>
      <c r="AW502" s="264">
        <f>_xlfn.XLOOKUP(FMS_Ranking4[[#This Row],[FMS ID]],FMS_Input[FMS_ID],FMS_Input[REMROADCLS])</f>
        <v>0</v>
      </c>
      <c r="AX502" s="264">
        <f>_xlfn.XLOOKUP(FMS_Ranking4[[#This Row],[FMS ID]],FMS_Input[FMS_ID],FMS_Input[REMFRMACRE100])</f>
        <v>24.900764465332031</v>
      </c>
      <c r="AY502" s="258">
        <f>_xlfn.XLOOKUP(FMS_Ranking4[[#This Row],[FMS ID]],FMS_Input[FMS_ID],FMS_Input[COSTSTRUCT])</f>
        <v>25000</v>
      </c>
      <c r="AZ502" s="253">
        <f>_xlfn.XLOOKUP(FMS_Ranking4[[#This Row],[FMS ID]],FMS_Input[FMS_ID],FMS_Input[NATURE])</f>
        <v>0</v>
      </c>
      <c r="BA502" s="262">
        <f>(((FMS_Ranking4[[#This Row],[% NBS Raw]]/AZ$4)*100)*AZ$5)</f>
        <v>0</v>
      </c>
      <c r="BB502" s="251" t="str">
        <f>_xlfn.XLOOKUP(FMS_Ranking4[[#This Row],[FMS ID]],FMS_Input[FMS_ID],FMS_Input[WATER_SUP])</f>
        <v>No</v>
      </c>
      <c r="BC502" s="265">
        <f>IF(FMS_Ranking4[[#This Row],[Water Supply Raw]]="Yes",10,0)</f>
        <v>0</v>
      </c>
      <c r="BD502" s="266">
        <f>_xlfn.XLOOKUP(FMS_Ranking4[[#This Row],[FMS Type]],FMS_TYPE[FMS_Type],FMS_TYPE[Score])</f>
        <v>2</v>
      </c>
      <c r="BE502" s="267">
        <f>FMS_Ranking4[[#This Row],[FMS_Type Score]]*$BD$5*10</f>
        <v>0.5</v>
      </c>
      <c r="BF50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2.7518391126512588E-2</v>
      </c>
      <c r="BG502" s="271">
        <f>_xlfn.RANK.EQ(BF502,$BF$8:$BF$870,0)+COUNTIF($BF$8:BF502,BF502)-1</f>
        <v>612</v>
      </c>
      <c r="BH502" s="268">
        <f>(((FMS_Ranking4[[#This Row],[Structures Removed Raw]]/AK$4)*100)*AK$5)+(((FMS_Ranking4[[#This Row],[Removed Pop Raw]]/AR$4)*100)*AR$5)</f>
        <v>3.6360747211554197E-2</v>
      </c>
      <c r="BI50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0.5638791383380668</v>
      </c>
      <c r="BJ502" s="205">
        <f>_xlfn.RANK.EQ(FMS_Ranking4[[#This Row],[Total Score 
(with linear
normalization)]],FMS_Ranking4[Total Score 
(with linear
normalization)],0)</f>
        <v>823</v>
      </c>
      <c r="BK502" s="205" t="e">
        <f>_xlfn.XLOOKUP(FMS_Ranking4[[#This Row],[FMS ID]],#REF!,#REF!)</f>
        <v>#REF!</v>
      </c>
      <c r="BL50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18.715360792399995</v>
      </c>
      <c r="BM502" s="272">
        <f>FMS_Ranking4[[#This Row],[ArcSinh Score Based on Normalized Reported Factors]]+FMS_Ranking4[[#This Row],[% NBS Score (Normalized)]]+(FMS_Ranking4[[#This Row],[Water Supply Score (Normalized)]]*10*$BB$5)+FMS_Ranking4[[#This Row],[FMS_Type Score Weighted]]</f>
        <v>19.215360792399995</v>
      </c>
      <c r="BN502" s="205">
        <f>_xlfn.RANK.EQ(FMS_Ranking4[[#This Row],[Total Score (with ArcSinh normalization of select criteria)]],FMS_Ranking4[Total Score (with ArcSinh normalization of select criteria)],0)</f>
        <v>494</v>
      </c>
      <c r="BO502" s="270" t="str">
        <f>_xlfn.XLOOKUP(FMS_Ranking4[[#This Row],[FMS ID]],FMS_Input[FMS_ID],FMS_Input[FMS_RANK_YEAR])</f>
        <v>2023 Amended Plan</v>
      </c>
      <c r="BP502" s="204">
        <f>_xlfn.XLOOKUP(FMS_Ranking4[[#This Row],[FMS ID]],Prev_Rank[FMS ID],Prev_Rank[Prev Rank])</f>
        <v>453</v>
      </c>
      <c r="BQ502" s="205" t="e">
        <f>_xlfn.XLOOKUP(FMS_Ranking4[[#This Row],[FMS ID]],#REF!,#REF!)</f>
        <v>#REF!</v>
      </c>
      <c r="BR502" s="199" t="e">
        <f>SUM(#REF!,#REF!,#REF!,#REF!,#REF!,#REF!,#REF!,#REF!,#REF!,FMS_Ranking4[[#This Row],[ArcSinh Res struct removed 0-10]],#REF!)</f>
        <v>#REF!</v>
      </c>
      <c r="BS502" s="199" t="e">
        <f>FMS_Ranking4[[#This Row],[Log Score Based on Normalized Reported Factors]]+FMS_Ranking4[[#This Row],[% NBS Score (Normalized)]]+(FMS_Ranking4[[#This Row],[Water Supply Score (Normalized)]]*10*$BB$5)+(FMS_Ranking4[[#This Row],[FMS_Type Score Weighted]])</f>
        <v>#REF!</v>
      </c>
      <c r="BT502" s="200" t="e">
        <f>_xlfn.RANK.EQ(FMS_Ranking4[[#This Row],[Log Total Score]],FMS_Ranking4[Log Total Score],0)</f>
        <v>#REF!</v>
      </c>
      <c r="BU502" s="200" t="e">
        <f>_xlfn.XLOOKUP(FMS_Ranking4[[#This Row],[FMS ID]],#REF!,#REF!)</f>
        <v>#REF!</v>
      </c>
      <c r="BV502" s="200">
        <f>FMS_Ranking4[[#This Row],[Region Number]]</f>
        <v>9</v>
      </c>
      <c r="BW502" s="200">
        <f>FMS_Ranking4[[#This Row],[Rank (with ArcSinh normalization of select criteria)]]-FMS_Ranking4[[#This Row],[Rank
(with linear
normalization)]]</f>
        <v>-329</v>
      </c>
      <c r="BX502" s="200" t="e">
        <f>FMS_Ranking4[[#This Row],[Log Rank]]-FMS_Ranking4[[#This Row],[Rank
(with linear
normalization)]]</f>
        <v>#REF!</v>
      </c>
      <c r="BY502" s="200" t="str">
        <f>IF(FMS_Ranking4[[#This Row],[FMS Type]]="Flood Measurement and Warning",FMS_Ranking4[[#This Row],[Rank (with ArcSinh normalization of select criteria)]],"")</f>
        <v/>
      </c>
      <c r="BZ502" s="200" t="str">
        <f>IF(FMS_Ranking4[[#This Row],[FMS Type]]="Regulatory and Guidance",FMS_Ranking4[[#This Row],[Rank (with ArcSinh normalization of select criteria)]],"")</f>
        <v/>
      </c>
      <c r="CA502" s="200" t="str">
        <f>IF(FMS_Ranking4[[#This Row],[FMS Type]]="Education and Outreach",FMS_Ranking4[[#This Row],[Rank (with ArcSinh normalization of select criteria)]],"")</f>
        <v/>
      </c>
      <c r="CB502" s="200" t="str">
        <f>IF(FMS_Ranking4[[#This Row],[FMS Type]]="Property Acquisition and Structural Elevation",FMS_Ranking4[[#This Row],[Rank (with ArcSinh normalization of select criteria)]],"")</f>
        <v/>
      </c>
      <c r="CC502" s="200" t="str">
        <f>IF(FMS_Ranking4[[#This Row],[FMS Type]]="Infrastructure Projects",FMS_Ranking4[[#This Row],[Rank (with ArcSinh normalization of select criteria)]],"")</f>
        <v/>
      </c>
      <c r="CD502" s="200">
        <f>IF(FMS_Ranking4[[#This Row],[FMS Type]]="Other",FMS_Ranking4[[#This Row],[Rank (with ArcSinh normalization of select criteria)]],"")</f>
        <v>494</v>
      </c>
      <c r="CE502" s="201"/>
      <c r="CF502" s="206"/>
      <c r="CG502" s="206"/>
      <c r="CH502" s="206"/>
      <c r="CI502" s="206"/>
      <c r="CJ502" s="206"/>
      <c r="CK502" s="206"/>
      <c r="CL502" s="206"/>
      <c r="CM502" s="206"/>
      <c r="CN502" s="206"/>
      <c r="CO502" s="206"/>
      <c r="CP502" s="206"/>
      <c r="CQ502" s="206"/>
      <c r="CR502" s="206"/>
    </row>
    <row r="503" spans="2:96" ht="90" x14ac:dyDescent="0.25">
      <c r="B503" s="341" t="s">
        <v>822</v>
      </c>
      <c r="C503" s="246">
        <f>_xlfn.XLOOKUP(FMS_Ranking4[[#This Row],[FMS ID]],FMS_Input[FMS_ID],FMS_Input[RFPG_NUM])</f>
        <v>9</v>
      </c>
      <c r="D503" s="309" t="str">
        <f>_xlfn.XLOOKUP(FMS_Ranking4[[#This Row],[FMS ID]],FMS_Input[FMS_ID],FMS_Input[FMS_NAME])</f>
        <v>City of Ballinger Flood Awareness Program</v>
      </c>
      <c r="E503" s="308" t="str">
        <f>_xlfn.XLOOKUP(FMS_Ranking4[[#This Row],[FMS ID]],FMS_Input[FMS_ID],FMS_Input[SPONSOR])</f>
        <v>00000145</v>
      </c>
      <c r="F503" s="309" t="str">
        <f>_xlfn.XLOOKUP(FMS_Ranking4[[#This Row],[FMS ID]],Sponsor[FMS_ID],Sponsor[SPONSOR NAME])</f>
        <v>Runnels</v>
      </c>
      <c r="G503" s="309" t="str">
        <f>_xlfn.XLOOKUP(FMS_Ranking4[[#This Row],[FMS ID]],FMS_Input[FMS_ID],FMS_Input[FMS_DESCR])</f>
        <v xml:space="preserve">Implement program to cross-train Building Inspectors and Code Enforcement officer regarding NFIP Compliance regulations pertaining to permitting and inspections. </v>
      </c>
      <c r="H503" s="248" t="str">
        <f>_xlfn.XLOOKUP(FMS_Ranking4[[#This Row],[FMS ID]],FMS_Input[FMS_ID],FMS_Input[FMS_TYPE])</f>
        <v>Other</v>
      </c>
      <c r="I503" s="249">
        <f>_xlfn.XLOOKUP(FMS_Ranking4[[#This Row],[FMS ID]],FMS_Input[FMS_ID],FMS_Input[NRNC_COST])</f>
        <v>5000</v>
      </c>
      <c r="J503" s="250">
        <f>_xlfn.XLOOKUP(FMS_Ranking4[[#This Row],[FMS ID]],FMS_Input[FMS_ID],FMS_Input[FMS_COST])</f>
        <v>30000</v>
      </c>
      <c r="K503" s="251" t="str">
        <f>_xlfn.XLOOKUP(FMS_Ranking4[[#This Row],[FMS ID]],FMS_Input[FMS_ID],FMS_Input[EMER_NEED])</f>
        <v>No</v>
      </c>
      <c r="L503" s="252">
        <f t="shared" si="7"/>
        <v>0</v>
      </c>
      <c r="M503" s="253">
        <f>_xlfn.XLOOKUP(FMS_Ranking4[[#This Row],[FMS ID]],FMS_Input[FMS_ID],FMS_Input[STRUCT_100])</f>
        <v>13</v>
      </c>
      <c r="N503" s="255">
        <f>(ASINH(FMS_Ranking4[[#This Row],[Structure at Risk Raw]]))*(10)/(ASINH(M$4))</f>
        <v>2.5625093585555985</v>
      </c>
      <c r="O503" s="256">
        <f>FMS_Ranking4[[#This Row],[Structures at risk, ArcSinh (0-10)]]*M$5*10</f>
        <v>2.5625093585555985</v>
      </c>
      <c r="P503" s="253">
        <f>_xlfn.XLOOKUP(FMS_Ranking4[[#This Row],[FMS ID]],FMS_Input[FMS_ID],FMS_Input[RES_STRUCT100])</f>
        <v>7</v>
      </c>
      <c r="Q503" s="257">
        <f>ASINH(FMS_Ranking4[[#This Row],[Res Structure Raw]])/Q$4*P$5*100</f>
        <v>0</v>
      </c>
      <c r="R503" s="253">
        <f>_xlfn.XLOOKUP(FMS_Ranking4[[#This Row],[FMS ID]],FMS_Input[FMS_ID],FMS_Input[POP100])</f>
        <v>127</v>
      </c>
      <c r="S503" s="259">
        <f>(ASINH(FMS_Ranking4[[#This Row],[Pop at Risk Raw]]))*(10)/(ASINH(R$4))</f>
        <v>3.8227549169934543</v>
      </c>
      <c r="T503" s="256">
        <f>FMS_Ranking4[[#This Row],[Population at risk, ArcSinh (0-10)]]*R$5*10</f>
        <v>3.8227549169934543</v>
      </c>
      <c r="U503" s="253">
        <f>_xlfn.XLOOKUP(FMS_Ranking4[[#This Row],[FMS ID]],FMS_Input[FMS_ID],FMS_Input[CRITFAC100])</f>
        <v>0</v>
      </c>
      <c r="V503" s="259">
        <f>(ASINH(FMS_Ranking4[[#This Row],[Critical Facilities Raw]]))*(10)/(ASINH(U$4))</f>
        <v>0</v>
      </c>
      <c r="W503" s="256">
        <f>FMS_Ranking4[[#This Row],[Critical facilities at risk, ArcSinh (0-10)]]*U$5*10</f>
        <v>0</v>
      </c>
      <c r="X503" s="253">
        <f>_xlfn.XLOOKUP(FMS_Ranking4[[#This Row],[FMS ID]],FMS_Input[FMS_ID],FMS_Input[LWC])</f>
        <v>0</v>
      </c>
      <c r="Y503" s="259">
        <f>(ASINH(FMS_Ranking4[[#This Row],[LWC Raw]]))*(10)/(ASINH(X$4))</f>
        <v>0</v>
      </c>
      <c r="Z503" s="256">
        <f>FMS_Ranking4[[#This Row],[LWC, ArcSInh (0-10)]]*X$5*10</f>
        <v>0</v>
      </c>
      <c r="AA503" s="253">
        <f>_xlfn.XLOOKUP(FMS_Ranking4[[#This Row],[FMS ID]],FMS_Input[FMS_ID],FMS_Input[ROADCLS])</f>
        <v>0</v>
      </c>
      <c r="AB503" s="255">
        <f>(ASINH(FMS_Ranking4[[#This Row],[Road Closures Raw]]))*(10)/(ASINH(AA$4))</f>
        <v>0</v>
      </c>
      <c r="AC503" s="256">
        <f>FMS_Ranking4[[#This Row],[Road closures, ArcSinh (0-10)]]*AA$5*10</f>
        <v>0</v>
      </c>
      <c r="AD503" s="253">
        <f>_xlfn.XLOOKUP(FMS_Ranking4[[#This Row],[FMS ID]],FMS_Input[FMS_ID],FMS_Input[ROAD_MILES100])</f>
        <v>15</v>
      </c>
      <c r="AE503" s="259">
        <f>(ASINH(FMS_Ranking4[[#This Row],[Road Miles Raw]]))*(10)/(ASINH(AD$4))</f>
        <v>3.625922827042257</v>
      </c>
      <c r="AF503" s="256">
        <f>FMS_Ranking4[[#This Row],[Length of roads at risk, ArcSinh (0-10)]]*AD$5*10</f>
        <v>3.625922827042257</v>
      </c>
      <c r="AG503" s="253">
        <f>_xlfn.XLOOKUP(FMS_Ranking4[[#This Row],[FMS ID]],FMS_Input[FMS_ID],FMS_Input[FARMACRE100])</f>
        <v>99.603057861328125</v>
      </c>
      <c r="AH503" s="255">
        <f>(ASINH(FMS_Ranking4[[#This Row],[Ag Land Raw]]))*(10)/(ASINH(AG$4))</f>
        <v>3.4391215548129073</v>
      </c>
      <c r="AI503" s="260">
        <f>FMS_Ranking4[[#This Row],[Farm &amp; ranch land, ArcSinh (0-10)]]*AG$5*10</f>
        <v>1.7195607774064536</v>
      </c>
      <c r="AJ503" s="258">
        <f>_xlfn.XLOOKUP(FMS_Ranking4[[#This Row],[FMS ID]],FMS_Input[FMS_ID],FMS_Input[REDSTRUCT100])</f>
        <v>4</v>
      </c>
      <c r="AK503" s="253">
        <f>_xlfn.XLOOKUP(FMS_Ranking4[[#This Row],[FMS ID]],FMS_Input[FMS_ID],FMS_Input[REMSTRC100])</f>
        <v>4</v>
      </c>
      <c r="AL503" s="259">
        <f>(ASINH(FMS_Ranking4[[#This Row],[Structures Removed Raw]]))*(10)/(ASINH(AK$4))</f>
        <v>2.3849797569578319</v>
      </c>
      <c r="AM503" s="262">
        <f>FMS_Ranking4[[#This Row],[Structures removed, ArcSinh (0-10)]]*AK$5*10</f>
        <v>2.3849797569578319</v>
      </c>
      <c r="AN503" s="253">
        <f>_xlfn.XLOOKUP(FMS_Ranking4[[#This Row],[FMS ID]],FMS_Input[FMS_ID],FMS_Input[REMRESSTRC100])</f>
        <v>1</v>
      </c>
      <c r="AO503" s="261">
        <f>FMS_Ranking4[[#This Row],[ArcSinh Res struct removed 0-10]]*AN$5*10</f>
        <v>0.51694893589195634</v>
      </c>
      <c r="AP503" s="260">
        <f>ASINH(FMS_Ranking4[[#This Row],[Residential Structures Removed Raw]])/AP$4*AN$5*100</f>
        <v>0.51694893589195634</v>
      </c>
      <c r="AQ503" s="254">
        <f>(ASINH(FMS_Ranking4[[#This Row],[Residential Structures Removed Raw]]))*(10)/(ASINH(AN$4))</f>
        <v>1.0338978717839127</v>
      </c>
      <c r="AR503" s="253">
        <f>_xlfn.XLOOKUP(FMS_Ranking4[[#This Row],[FMS ID]],FMS_Input[FMS_ID],FMS_Input[REMPOP100])</f>
        <v>32</v>
      </c>
      <c r="AS503" s="259">
        <f>(ASINH(FMS_Ranking4[[#This Row],[Removed Pop Raw]]))*(10)/(ASINH(AR$4))</f>
        <v>4.0826842195524415</v>
      </c>
      <c r="AT503" s="262">
        <f>FMS_Ranking4[[#This Row],[Removed population, ArcSinh (0-10)]]*AR$5*10</f>
        <v>4.0826842195524415</v>
      </c>
      <c r="AU503" s="264">
        <f>_xlfn.XLOOKUP(FMS_Ranking4[[#This Row],[FMS ID]],FMS_Input[FMS_ID],FMS_Input[REMCRITFAC100])</f>
        <v>0</v>
      </c>
      <c r="AV503" s="264">
        <f>_xlfn.XLOOKUP(FMS_Ranking4[[#This Row],[FMS ID]],FMS_Input[FMS_ID],FMS_Input[REMLWC100])</f>
        <v>0</v>
      </c>
      <c r="AW503" s="264">
        <f>_xlfn.XLOOKUP(FMS_Ranking4[[#This Row],[FMS ID]],FMS_Input[FMS_ID],FMS_Input[REMROADCLS])</f>
        <v>0</v>
      </c>
      <c r="AX503" s="264">
        <f>_xlfn.XLOOKUP(FMS_Ranking4[[#This Row],[FMS ID]],FMS_Input[FMS_ID],FMS_Input[REMFRMACRE100])</f>
        <v>24.900764465332031</v>
      </c>
      <c r="AY503" s="258">
        <f>_xlfn.XLOOKUP(FMS_Ranking4[[#This Row],[FMS ID]],FMS_Input[FMS_ID],FMS_Input[COSTSTRUCT])</f>
        <v>25000</v>
      </c>
      <c r="AZ503" s="253">
        <f>_xlfn.XLOOKUP(FMS_Ranking4[[#This Row],[FMS ID]],FMS_Input[FMS_ID],FMS_Input[NATURE])</f>
        <v>0</v>
      </c>
      <c r="BA503" s="262">
        <f>(((FMS_Ranking4[[#This Row],[% NBS Raw]]/AZ$4)*100)*AZ$5)</f>
        <v>0</v>
      </c>
      <c r="BB503" s="251" t="str">
        <f>_xlfn.XLOOKUP(FMS_Ranking4[[#This Row],[FMS ID]],FMS_Input[FMS_ID],FMS_Input[WATER_SUP])</f>
        <v>No</v>
      </c>
      <c r="BC503" s="265">
        <f>IF(FMS_Ranking4[[#This Row],[Water Supply Raw]]="Yes",10,0)</f>
        <v>0</v>
      </c>
      <c r="BD503" s="266">
        <f>_xlfn.XLOOKUP(FMS_Ranking4[[#This Row],[FMS Type]],FMS_TYPE[FMS_Type],FMS_TYPE[Score])</f>
        <v>2</v>
      </c>
      <c r="BE503" s="267">
        <f>FMS_Ranking4[[#This Row],[FMS_Type Score]]*$BD$5*10</f>
        <v>0.5</v>
      </c>
      <c r="BF50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2.7518391126512588E-2</v>
      </c>
      <c r="BG503" s="271">
        <f>_xlfn.RANK.EQ(BF503,$BF$8:$BF$870,0)+COUNTIF($BF$8:BF503,BF503)-1</f>
        <v>613</v>
      </c>
      <c r="BH503" s="268">
        <f>(((FMS_Ranking4[[#This Row],[Structures Removed Raw]]/AK$4)*100)*AK$5)+(((FMS_Ranking4[[#This Row],[Removed Pop Raw]]/AR$4)*100)*AR$5)</f>
        <v>3.6360747211554197E-2</v>
      </c>
      <c r="BI50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0.5638791383380668</v>
      </c>
      <c r="BJ503" s="205">
        <f>_xlfn.RANK.EQ(FMS_Ranking4[[#This Row],[Total Score 
(with linear
normalization)]],FMS_Ranking4[Total Score 
(with linear
normalization)],0)</f>
        <v>823</v>
      </c>
      <c r="BK503" s="205" t="e">
        <f>_xlfn.XLOOKUP(FMS_Ranking4[[#This Row],[FMS ID]],#REF!,#REF!)</f>
        <v>#REF!</v>
      </c>
      <c r="BL50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18.715360792399995</v>
      </c>
      <c r="BM503" s="272">
        <f>FMS_Ranking4[[#This Row],[ArcSinh Score Based on Normalized Reported Factors]]+FMS_Ranking4[[#This Row],[% NBS Score (Normalized)]]+(FMS_Ranking4[[#This Row],[Water Supply Score (Normalized)]]*10*$BB$5)+FMS_Ranking4[[#This Row],[FMS_Type Score Weighted]]</f>
        <v>19.215360792399995</v>
      </c>
      <c r="BN503" s="205">
        <f>_xlfn.RANK.EQ(FMS_Ranking4[[#This Row],[Total Score (with ArcSinh normalization of select criteria)]],FMS_Ranking4[Total Score (with ArcSinh normalization of select criteria)],0)</f>
        <v>494</v>
      </c>
      <c r="BO503" s="270" t="str">
        <f>_xlfn.XLOOKUP(FMS_Ranking4[[#This Row],[FMS ID]],FMS_Input[FMS_ID],FMS_Input[FMS_RANK_YEAR])</f>
        <v>2023 Amended Plan</v>
      </c>
      <c r="BP503" s="204">
        <f>_xlfn.XLOOKUP(FMS_Ranking4[[#This Row],[FMS ID]],Prev_Rank[FMS ID],Prev_Rank[Prev Rank])</f>
        <v>453</v>
      </c>
      <c r="BQ503" s="205" t="e">
        <f>_xlfn.XLOOKUP(FMS_Ranking4[[#This Row],[FMS ID]],#REF!,#REF!)</f>
        <v>#REF!</v>
      </c>
      <c r="BR503" s="199" t="e">
        <f>SUM(#REF!,#REF!,#REF!,#REF!,#REF!,#REF!,#REF!,#REF!,#REF!,FMS_Ranking4[[#This Row],[ArcSinh Res struct removed 0-10]],#REF!)</f>
        <v>#REF!</v>
      </c>
      <c r="BS503" s="199" t="e">
        <f>FMS_Ranking4[[#This Row],[Log Score Based on Normalized Reported Factors]]+FMS_Ranking4[[#This Row],[% NBS Score (Normalized)]]+(FMS_Ranking4[[#This Row],[Water Supply Score (Normalized)]]*10*$BB$5)+(FMS_Ranking4[[#This Row],[FMS_Type Score Weighted]])</f>
        <v>#REF!</v>
      </c>
      <c r="BT503" s="200" t="e">
        <f>_xlfn.RANK.EQ(FMS_Ranking4[[#This Row],[Log Total Score]],FMS_Ranking4[Log Total Score],0)</f>
        <v>#REF!</v>
      </c>
      <c r="BU503" s="200" t="e">
        <f>_xlfn.XLOOKUP(FMS_Ranking4[[#This Row],[FMS ID]],#REF!,#REF!)</f>
        <v>#REF!</v>
      </c>
      <c r="BV503" s="200">
        <f>FMS_Ranking4[[#This Row],[Region Number]]</f>
        <v>9</v>
      </c>
      <c r="BW503" s="200">
        <f>FMS_Ranking4[[#This Row],[Rank (with ArcSinh normalization of select criteria)]]-FMS_Ranking4[[#This Row],[Rank
(with linear
normalization)]]</f>
        <v>-329</v>
      </c>
      <c r="BX503" s="200" t="e">
        <f>FMS_Ranking4[[#This Row],[Log Rank]]-FMS_Ranking4[[#This Row],[Rank
(with linear
normalization)]]</f>
        <v>#REF!</v>
      </c>
      <c r="BY503" s="200" t="str">
        <f>IF(FMS_Ranking4[[#This Row],[FMS Type]]="Flood Measurement and Warning",FMS_Ranking4[[#This Row],[Rank (with ArcSinh normalization of select criteria)]],"")</f>
        <v/>
      </c>
      <c r="BZ503" s="200" t="str">
        <f>IF(FMS_Ranking4[[#This Row],[FMS Type]]="Regulatory and Guidance",FMS_Ranking4[[#This Row],[Rank (with ArcSinh normalization of select criteria)]],"")</f>
        <v/>
      </c>
      <c r="CA503" s="200" t="str">
        <f>IF(FMS_Ranking4[[#This Row],[FMS Type]]="Education and Outreach",FMS_Ranking4[[#This Row],[Rank (with ArcSinh normalization of select criteria)]],"")</f>
        <v/>
      </c>
      <c r="CB503" s="200" t="str">
        <f>IF(FMS_Ranking4[[#This Row],[FMS Type]]="Property Acquisition and Structural Elevation",FMS_Ranking4[[#This Row],[Rank (with ArcSinh normalization of select criteria)]],"")</f>
        <v/>
      </c>
      <c r="CC503" s="200" t="str">
        <f>IF(FMS_Ranking4[[#This Row],[FMS Type]]="Infrastructure Projects",FMS_Ranking4[[#This Row],[Rank (with ArcSinh normalization of select criteria)]],"")</f>
        <v/>
      </c>
      <c r="CD503" s="200">
        <f>IF(FMS_Ranking4[[#This Row],[FMS Type]]="Other",FMS_Ranking4[[#This Row],[Rank (with ArcSinh normalization of select criteria)]],"")</f>
        <v>494</v>
      </c>
      <c r="CE503" s="201"/>
      <c r="CF503" s="206"/>
      <c r="CG503" s="206"/>
      <c r="CH503" s="206"/>
      <c r="CI503" s="206"/>
      <c r="CJ503" s="206"/>
      <c r="CK503" s="206"/>
      <c r="CL503" s="206"/>
      <c r="CM503" s="206"/>
      <c r="CN503" s="206"/>
      <c r="CO503" s="206"/>
      <c r="CP503" s="206"/>
      <c r="CQ503" s="206"/>
      <c r="CR503" s="206"/>
    </row>
    <row r="504" spans="2:96" ht="45" x14ac:dyDescent="0.25">
      <c r="B504" s="341" t="s">
        <v>93</v>
      </c>
      <c r="C504" s="246">
        <f>_xlfn.XLOOKUP(FMS_Ranking4[[#This Row],[FMS ID]],FMS_Input[FMS_ID],FMS_Input[RFPG_NUM])</f>
        <v>6</v>
      </c>
      <c r="D504" s="309" t="str">
        <f>_xlfn.XLOOKUP(FMS_Ranking4[[#This Row],[FMS ID]],FMS_Input[FMS_ID],FMS_Input[FMS_NAME])</f>
        <v>City of Bayou Vista Severe Weather Warning Systems</v>
      </c>
      <c r="E504" s="308" t="str">
        <f>_xlfn.XLOOKUP(FMS_Ranking4[[#This Row],[FMS ID]],FMS_Input[FMS_ID],FMS_Input[SPONSOR])</f>
        <v>06002806</v>
      </c>
      <c r="F504" s="309" t="str">
        <f>_xlfn.XLOOKUP(FMS_Ranking4[[#This Row],[FMS ID]],Sponsor[FMS_ID],Sponsor[SPONSOR NAME])</f>
        <v>Bayou Vista</v>
      </c>
      <c r="G504" s="309" t="str">
        <f>_xlfn.XLOOKUP(FMS_Ranking4[[#This Row],[FMS ID]],FMS_Input[FMS_ID],FMS_Input[FMS_DESCR])</f>
        <v>Purchase and install severe weather warning systems</v>
      </c>
      <c r="H504" s="248" t="str">
        <f>_xlfn.XLOOKUP(FMS_Ranking4[[#This Row],[FMS ID]],FMS_Input[FMS_ID],FMS_Input[FMS_TYPE])</f>
        <v>Flood Measurement and Warning</v>
      </c>
      <c r="I504" s="249">
        <f>_xlfn.XLOOKUP(FMS_Ranking4[[#This Row],[FMS ID]],FMS_Input[FMS_ID],FMS_Input[NRNC_COST])</f>
        <v>1750</v>
      </c>
      <c r="J504" s="250">
        <f>_xlfn.XLOOKUP(FMS_Ranking4[[#This Row],[FMS ID]],FMS_Input[FMS_ID],FMS_Input[FMS_COST])</f>
        <v>35000</v>
      </c>
      <c r="K504" s="251" t="str">
        <f>_xlfn.XLOOKUP(FMS_Ranking4[[#This Row],[FMS ID]],FMS_Input[FMS_ID],FMS_Input[EMER_NEED])</f>
        <v>No</v>
      </c>
      <c r="L504" s="252">
        <f t="shared" si="7"/>
        <v>0</v>
      </c>
      <c r="M504" s="253">
        <f>_xlfn.XLOOKUP(FMS_Ranking4[[#This Row],[FMS ID]],FMS_Input[FMS_ID],FMS_Input[STRUCT_100])</f>
        <v>1121</v>
      </c>
      <c r="N504" s="255">
        <f>(ASINH(FMS_Ranking4[[#This Row],[Structure at Risk Raw]]))*(10)/(ASINH(M$4))</f>
        <v>6.0652360410041055</v>
      </c>
      <c r="O504" s="256">
        <f>FMS_Ranking4[[#This Row],[Structures at risk, ArcSinh (0-10)]]*M$5*10</f>
        <v>6.0652360410041064</v>
      </c>
      <c r="P504" s="253">
        <f>_xlfn.XLOOKUP(FMS_Ranking4[[#This Row],[FMS ID]],FMS_Input[FMS_ID],FMS_Input[RES_STRUCT100])</f>
        <v>1095</v>
      </c>
      <c r="Q504" s="257">
        <f>ASINH(FMS_Ranking4[[#This Row],[Res Structure Raw]])/Q$4*P$5*100</f>
        <v>0</v>
      </c>
      <c r="R504" s="253">
        <f>_xlfn.XLOOKUP(FMS_Ranking4[[#This Row],[FMS ID]],FMS_Input[FMS_ID],FMS_Input[POP100])</f>
        <v>1476</v>
      </c>
      <c r="S504" s="259">
        <f>(ASINH(FMS_Ranking4[[#This Row],[Pop at Risk Raw]]))*(10)/(ASINH(R$4))</f>
        <v>5.516126673961236</v>
      </c>
      <c r="T504" s="256">
        <f>FMS_Ranking4[[#This Row],[Population at risk, ArcSinh (0-10)]]*R$5*10</f>
        <v>5.516126673961236</v>
      </c>
      <c r="U504" s="253">
        <f>_xlfn.XLOOKUP(FMS_Ranking4[[#This Row],[FMS ID]],FMS_Input[FMS_ID],FMS_Input[CRITFAC100])</f>
        <v>3</v>
      </c>
      <c r="V504" s="259">
        <f>(ASINH(FMS_Ranking4[[#This Row],[Critical Facilities Raw]]))*(10)/(ASINH(U$4))</f>
        <v>2.152611706646717</v>
      </c>
      <c r="W504" s="256">
        <f>FMS_Ranking4[[#This Row],[Critical facilities at risk, ArcSinh (0-10)]]*U$5*10</f>
        <v>2.152611706646717</v>
      </c>
      <c r="X504" s="253">
        <f>_xlfn.XLOOKUP(FMS_Ranking4[[#This Row],[FMS ID]],FMS_Input[FMS_ID],FMS_Input[LWC])</f>
        <v>0</v>
      </c>
      <c r="Y504" s="259">
        <f>(ASINH(FMS_Ranking4[[#This Row],[LWC Raw]]))*(10)/(ASINH(X$4))</f>
        <v>0</v>
      </c>
      <c r="Z504" s="256">
        <f>FMS_Ranking4[[#This Row],[LWC, ArcSInh (0-10)]]*X$5*10</f>
        <v>0</v>
      </c>
      <c r="AA504" s="253">
        <f>_xlfn.XLOOKUP(FMS_Ranking4[[#This Row],[FMS ID]],FMS_Input[FMS_ID],FMS_Input[ROADCLS])</f>
        <v>0</v>
      </c>
      <c r="AB504" s="255">
        <f>(ASINH(FMS_Ranking4[[#This Row],[Road Closures Raw]]))*(10)/(ASINH(AA$4))</f>
        <v>0</v>
      </c>
      <c r="AC504" s="256">
        <f>FMS_Ranking4[[#This Row],[Road closures, ArcSinh (0-10)]]*AA$5*10</f>
        <v>0</v>
      </c>
      <c r="AD504" s="253">
        <f>_xlfn.XLOOKUP(FMS_Ranking4[[#This Row],[FMS ID]],FMS_Input[FMS_ID],FMS_Input[ROAD_MILES100])</f>
        <v>8</v>
      </c>
      <c r="AE504" s="259">
        <f>(ASINH(FMS_Ranking4[[#This Row],[Road Miles Raw]]))*(10)/(ASINH(AD$4))</f>
        <v>2.9589555764172308</v>
      </c>
      <c r="AF504" s="256">
        <f>FMS_Ranking4[[#This Row],[Length of roads at risk, ArcSinh (0-10)]]*AD$5*10</f>
        <v>2.9589555764172308</v>
      </c>
      <c r="AG504" s="253">
        <f>_xlfn.XLOOKUP(FMS_Ranking4[[#This Row],[FMS ID]],FMS_Input[FMS_ID],FMS_Input[FARMACRE100])</f>
        <v>0</v>
      </c>
      <c r="AH504" s="255">
        <f>(ASINH(FMS_Ranking4[[#This Row],[Ag Land Raw]]))*(10)/(ASINH(AG$4))</f>
        <v>0</v>
      </c>
      <c r="AI504" s="260">
        <f>FMS_Ranking4[[#This Row],[Farm &amp; ranch land, ArcSinh (0-10)]]*AG$5*10</f>
        <v>0</v>
      </c>
      <c r="AJ504" s="258">
        <f>_xlfn.XLOOKUP(FMS_Ranking4[[#This Row],[FMS ID]],FMS_Input[FMS_ID],FMS_Input[REDSTRUCT100])</f>
        <v>0</v>
      </c>
      <c r="AK504" s="253">
        <f>_xlfn.XLOOKUP(FMS_Ranking4[[#This Row],[FMS ID]],FMS_Input[FMS_ID],FMS_Input[REMSTRC100])</f>
        <v>0</v>
      </c>
      <c r="AL504" s="259">
        <f>(ASINH(FMS_Ranking4[[#This Row],[Structures Removed Raw]]))*(10)/(ASINH(AK$4))</f>
        <v>0</v>
      </c>
      <c r="AM504" s="262">
        <f>FMS_Ranking4[[#This Row],[Structures removed, ArcSinh (0-10)]]*AK$5*10</f>
        <v>0</v>
      </c>
      <c r="AN504" s="253">
        <f>_xlfn.XLOOKUP(FMS_Ranking4[[#This Row],[FMS ID]],FMS_Input[FMS_ID],FMS_Input[REMRESSTRC100])</f>
        <v>0</v>
      </c>
      <c r="AO504" s="261">
        <f>FMS_Ranking4[[#This Row],[ArcSinh Res struct removed 0-10]]*AN$5*10</f>
        <v>0</v>
      </c>
      <c r="AP504" s="260">
        <f>ASINH(FMS_Ranking4[[#This Row],[Residential Structures Removed Raw]])/AP$4*AN$5*100</f>
        <v>0</v>
      </c>
      <c r="AQ504" s="254">
        <f>(ASINH(FMS_Ranking4[[#This Row],[Residential Structures Removed Raw]]))*(10)/(ASINH(AN$4))</f>
        <v>0</v>
      </c>
      <c r="AR504" s="253">
        <f>_xlfn.XLOOKUP(FMS_Ranking4[[#This Row],[FMS ID]],FMS_Input[FMS_ID],FMS_Input[REMPOP100])</f>
        <v>0</v>
      </c>
      <c r="AS504" s="259">
        <f>(ASINH(FMS_Ranking4[[#This Row],[Removed Pop Raw]]))*(10)/(ASINH(AR$4))</f>
        <v>0</v>
      </c>
      <c r="AT504" s="262">
        <f>FMS_Ranking4[[#This Row],[Removed population, ArcSinh (0-10)]]*AR$5*10</f>
        <v>0</v>
      </c>
      <c r="AU504" s="264">
        <f>_xlfn.XLOOKUP(FMS_Ranking4[[#This Row],[FMS ID]],FMS_Input[FMS_ID],FMS_Input[REMCRITFAC100])</f>
        <v>0</v>
      </c>
      <c r="AV504" s="264">
        <f>_xlfn.XLOOKUP(FMS_Ranking4[[#This Row],[FMS ID]],FMS_Input[FMS_ID],FMS_Input[REMLWC100])</f>
        <v>0</v>
      </c>
      <c r="AW504" s="264">
        <f>_xlfn.XLOOKUP(FMS_Ranking4[[#This Row],[FMS ID]],FMS_Input[FMS_ID],FMS_Input[REMROADCLS])</f>
        <v>0</v>
      </c>
      <c r="AX504" s="264">
        <f>_xlfn.XLOOKUP(FMS_Ranking4[[#This Row],[FMS ID]],FMS_Input[FMS_ID],FMS_Input[REMFRMACRE100])</f>
        <v>0</v>
      </c>
      <c r="AY504" s="258">
        <f>_xlfn.XLOOKUP(FMS_Ranking4[[#This Row],[FMS ID]],FMS_Input[FMS_ID],FMS_Input[COSTSTRUCT])</f>
        <v>0</v>
      </c>
      <c r="AZ504" s="253">
        <f>_xlfn.XLOOKUP(FMS_Ranking4[[#This Row],[FMS ID]],FMS_Input[FMS_ID],FMS_Input[NATURE])</f>
        <v>0</v>
      </c>
      <c r="BA504" s="262">
        <f>(((FMS_Ranking4[[#This Row],[% NBS Raw]]/AZ$4)*100)*AZ$5)</f>
        <v>0</v>
      </c>
      <c r="BB504" s="251" t="str">
        <f>_xlfn.XLOOKUP(FMS_Ranking4[[#This Row],[FMS ID]],FMS_Input[FMS_ID],FMS_Input[WATER_SUP])</f>
        <v>No</v>
      </c>
      <c r="BC504" s="265">
        <f>IF(FMS_Ranking4[[#This Row],[Water Supply Raw]]="Yes",10,0)</f>
        <v>0</v>
      </c>
      <c r="BD504" s="266">
        <f>_xlfn.XLOOKUP(FMS_Ranking4[[#This Row],[FMS Type]],FMS_TYPE[FMS_Type],FMS_TYPE[Score])</f>
        <v>10</v>
      </c>
      <c r="BE504" s="267">
        <f>FMS_Ranking4[[#This Row],[FMS_Type Score]]*$BD$5*10</f>
        <v>2.5</v>
      </c>
      <c r="BF50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0.10846909898879258</v>
      </c>
      <c r="BG504" s="271">
        <f>_xlfn.RANK.EQ(BF504,$BF$8:$BF$870,0)+COUNTIF($BF$8:BF504,BF504)-1</f>
        <v>485</v>
      </c>
      <c r="BH504" s="268">
        <f>(((FMS_Ranking4[[#This Row],[Structures Removed Raw]]/AK$4)*100)*AK$5)+(((FMS_Ranking4[[#This Row],[Removed Pop Raw]]/AR$4)*100)*AR$5)</f>
        <v>0</v>
      </c>
      <c r="BI50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2.6084690989887926</v>
      </c>
      <c r="BJ504" s="205">
        <f>_xlfn.RANK.EQ(FMS_Ranking4[[#This Row],[Total Score 
(with linear
normalization)]],FMS_Ranking4[Total Score 
(with linear
normalization)],0)</f>
        <v>224</v>
      </c>
      <c r="BK504" s="205" t="e">
        <f>_xlfn.XLOOKUP(FMS_Ranking4[[#This Row],[FMS ID]],#REF!,#REF!)</f>
        <v>#REF!</v>
      </c>
      <c r="BL50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16.692929998029289</v>
      </c>
      <c r="BM504" s="272">
        <f>FMS_Ranking4[[#This Row],[ArcSinh Score Based on Normalized Reported Factors]]+FMS_Ranking4[[#This Row],[% NBS Score (Normalized)]]+(FMS_Ranking4[[#This Row],[Water Supply Score (Normalized)]]*10*$BB$5)+FMS_Ranking4[[#This Row],[FMS_Type Score Weighted]]</f>
        <v>19.192929998029289</v>
      </c>
      <c r="BN504" s="205">
        <f>_xlfn.RANK.EQ(FMS_Ranking4[[#This Row],[Total Score (with ArcSinh normalization of select criteria)]],FMS_Ranking4[Total Score (with ArcSinh normalization of select criteria)],0)</f>
        <v>497</v>
      </c>
      <c r="BO504" s="270" t="str">
        <f>_xlfn.XLOOKUP(FMS_Ranking4[[#This Row],[FMS ID]],FMS_Input[FMS_ID],FMS_Input[FMS_RANK_YEAR])</f>
        <v>2023 Amended Plan</v>
      </c>
      <c r="BP504" s="204">
        <f>_xlfn.XLOOKUP(FMS_Ranking4[[#This Row],[FMS ID]],Prev_Rank[FMS ID],Prev_Rank[Prev Rank])</f>
        <v>443</v>
      </c>
      <c r="BQ504" s="205" t="e">
        <f>_xlfn.XLOOKUP(FMS_Ranking4[[#This Row],[FMS ID]],#REF!,#REF!)</f>
        <v>#REF!</v>
      </c>
      <c r="BR504" s="199" t="e">
        <f>SUM(#REF!,#REF!,#REF!,#REF!,#REF!,#REF!,#REF!,#REF!,#REF!,FMS_Ranking4[[#This Row],[ArcSinh Res struct removed 0-10]],#REF!)</f>
        <v>#REF!</v>
      </c>
      <c r="BS504" s="199" t="e">
        <f>FMS_Ranking4[[#This Row],[Log Score Based on Normalized Reported Factors]]+FMS_Ranking4[[#This Row],[% NBS Score (Normalized)]]+(FMS_Ranking4[[#This Row],[Water Supply Score (Normalized)]]*10*$BB$5)+(FMS_Ranking4[[#This Row],[FMS_Type Score Weighted]])</f>
        <v>#REF!</v>
      </c>
      <c r="BT504" s="200" t="e">
        <f>_xlfn.RANK.EQ(FMS_Ranking4[[#This Row],[Log Total Score]],FMS_Ranking4[Log Total Score],0)</f>
        <v>#REF!</v>
      </c>
      <c r="BU504" s="200" t="e">
        <f>_xlfn.XLOOKUP(FMS_Ranking4[[#This Row],[FMS ID]],#REF!,#REF!)</f>
        <v>#REF!</v>
      </c>
      <c r="BV504" s="200">
        <f>FMS_Ranking4[[#This Row],[Region Number]]</f>
        <v>6</v>
      </c>
      <c r="BW504" s="200">
        <f>FMS_Ranking4[[#This Row],[Rank (with ArcSinh normalization of select criteria)]]-FMS_Ranking4[[#This Row],[Rank
(with linear
normalization)]]</f>
        <v>273</v>
      </c>
      <c r="BX504" s="200" t="e">
        <f>FMS_Ranking4[[#This Row],[Log Rank]]-FMS_Ranking4[[#This Row],[Rank
(with linear
normalization)]]</f>
        <v>#REF!</v>
      </c>
      <c r="BY504" s="200">
        <f>IF(FMS_Ranking4[[#This Row],[FMS Type]]="Flood Measurement and Warning",FMS_Ranking4[[#This Row],[Rank (with ArcSinh normalization of select criteria)]],"")</f>
        <v>497</v>
      </c>
      <c r="BZ504" s="200" t="str">
        <f>IF(FMS_Ranking4[[#This Row],[FMS Type]]="Regulatory and Guidance",FMS_Ranking4[[#This Row],[Rank (with ArcSinh normalization of select criteria)]],"")</f>
        <v/>
      </c>
      <c r="CA504" s="200" t="str">
        <f>IF(FMS_Ranking4[[#This Row],[FMS Type]]="Education and Outreach",FMS_Ranking4[[#This Row],[Rank (with ArcSinh normalization of select criteria)]],"")</f>
        <v/>
      </c>
      <c r="CB504" s="200" t="str">
        <f>IF(FMS_Ranking4[[#This Row],[FMS Type]]="Property Acquisition and Structural Elevation",FMS_Ranking4[[#This Row],[Rank (with ArcSinh normalization of select criteria)]],"")</f>
        <v/>
      </c>
      <c r="CC504" s="200" t="str">
        <f>IF(FMS_Ranking4[[#This Row],[FMS Type]]="Infrastructure Projects",FMS_Ranking4[[#This Row],[Rank (with ArcSinh normalization of select criteria)]],"")</f>
        <v/>
      </c>
      <c r="CD504" s="200" t="str">
        <f>IF(FMS_Ranking4[[#This Row],[FMS Type]]="Other",FMS_Ranking4[[#This Row],[Rank (with ArcSinh normalization of select criteria)]],"")</f>
        <v/>
      </c>
      <c r="CE504" s="201"/>
      <c r="CF504" s="206"/>
      <c r="CG504" s="206"/>
      <c r="CH504" s="206"/>
      <c r="CI504" s="206"/>
      <c r="CJ504" s="206"/>
      <c r="CK504" s="206"/>
      <c r="CL504" s="206"/>
      <c r="CM504" s="206"/>
      <c r="CN504" s="206"/>
      <c r="CO504" s="206"/>
      <c r="CP504" s="206"/>
      <c r="CQ504" s="206"/>
      <c r="CR504" s="206"/>
    </row>
    <row r="505" spans="2:96" ht="75" x14ac:dyDescent="0.25">
      <c r="B505" s="346" t="s">
        <v>3923</v>
      </c>
      <c r="C505" s="246">
        <f>_xlfn.XLOOKUP(FMS_Ranking4[[#This Row],[FMS ID]],FMS_Input[FMS_ID],FMS_Input[RFPG_NUM])</f>
        <v>15</v>
      </c>
      <c r="D505" s="309" t="str">
        <f>_xlfn.XLOOKUP(FMS_Ranking4[[#This Row],[FMS ID]],FMS_Input[FMS_ID],FMS_Input[FMS_NAME])</f>
        <v>La Villa #6-1.1</v>
      </c>
      <c r="E505" s="308" t="str">
        <f>_xlfn.XLOOKUP(FMS_Ranking4[[#This Row],[FMS ID]],FMS_Input[FMS_ID],FMS_Input[SPONSOR])</f>
        <v>15000089</v>
      </c>
      <c r="F505" s="309" t="str">
        <f>_xlfn.XLOOKUP(FMS_Ranking4[[#This Row],[FMS ID]],Sponsor[FMS_ID],Sponsor[SPONSOR NAME])</f>
        <v>La Villa</v>
      </c>
      <c r="G505" s="309" t="str">
        <f>_xlfn.XLOOKUP(FMS_Ranking4[[#This Row],[FMS ID]],FMS_Input[FMS_ID],FMS_Input[FMS_DESCR])</f>
        <v>Develop a Program To Provide Links To Weather Alerts And Departmental Phone Listings With Contact Personnel For Residents.</v>
      </c>
      <c r="H505" s="248" t="str">
        <f>_xlfn.XLOOKUP(FMS_Ranking4[[#This Row],[FMS ID]],FMS_Input[FMS_ID],FMS_Input[FMS_TYPE])</f>
        <v>Education and Outreach</v>
      </c>
      <c r="I505" s="249">
        <f>_xlfn.XLOOKUP(FMS_Ranking4[[#This Row],[FMS ID]],FMS_Input[FMS_ID],FMS_Input[NRNC_COST])</f>
        <v>1000</v>
      </c>
      <c r="J505" s="250">
        <f>_xlfn.XLOOKUP(FMS_Ranking4[[#This Row],[FMS ID]],FMS_Input[FMS_ID],FMS_Input[FMS_COST])</f>
        <v>1000</v>
      </c>
      <c r="K505" s="251" t="str">
        <f>_xlfn.XLOOKUP(FMS_Ranking4[[#This Row],[FMS ID]],FMS_Input[FMS_ID],FMS_Input[EMER_NEED])</f>
        <v>Yes</v>
      </c>
      <c r="L505" s="252">
        <f t="shared" si="7"/>
        <v>1</v>
      </c>
      <c r="M505" s="253">
        <f>_xlfn.XLOOKUP(FMS_Ranking4[[#This Row],[FMS ID]],FMS_Input[FMS_ID],FMS_Input[STRUCT_100])</f>
        <v>509</v>
      </c>
      <c r="N505" s="255">
        <f>(ASINH(FMS_Ranking4[[#This Row],[Structure at Risk Raw]]))*(10)/(ASINH(M$4))</f>
        <v>5.4445497599837847</v>
      </c>
      <c r="O505" s="256">
        <f>FMS_Ranking4[[#This Row],[Structures at risk, ArcSinh (0-10)]]*M$5*10</f>
        <v>5.4445497599837847</v>
      </c>
      <c r="P505" s="253">
        <f>_xlfn.XLOOKUP(FMS_Ranking4[[#This Row],[FMS ID]],FMS_Input[FMS_ID],FMS_Input[RES_STRUCT100])</f>
        <v>423</v>
      </c>
      <c r="Q505" s="257">
        <f>ASINH(FMS_Ranking4[[#This Row],[Res Structure Raw]])/Q$4*P$5*100</f>
        <v>0</v>
      </c>
      <c r="R505" s="253">
        <f>_xlfn.XLOOKUP(FMS_Ranking4[[#This Row],[FMS ID]],FMS_Input[FMS_ID],FMS_Input[POP100])</f>
        <v>1881</v>
      </c>
      <c r="S505" s="255">
        <f>(ASINH(FMS_Ranking4[[#This Row],[Pop at Risk Raw]]))*(10)/(ASINH(R$4))</f>
        <v>5.6835162984988052</v>
      </c>
      <c r="T505" s="256">
        <f>FMS_Ranking4[[#This Row],[Population at risk, ArcSinh (0-10)]]*R$5*10</f>
        <v>5.6835162984988052</v>
      </c>
      <c r="U505" s="253">
        <f>_xlfn.XLOOKUP(FMS_Ranking4[[#This Row],[FMS ID]],FMS_Input[FMS_ID],FMS_Input[CRITFAC100])</f>
        <v>2</v>
      </c>
      <c r="V505" s="255">
        <f>(ASINH(FMS_Ranking4[[#This Row],[Critical Facilities Raw]]))*(10)/(ASINH(U$4))</f>
        <v>1.7089239049208753</v>
      </c>
      <c r="W505" s="256">
        <f>FMS_Ranking4[[#This Row],[Critical facilities at risk, ArcSinh (0-10)]]*U$5*10</f>
        <v>1.7089239049208755</v>
      </c>
      <c r="X505" s="253">
        <f>_xlfn.XLOOKUP(FMS_Ranking4[[#This Row],[FMS ID]],FMS_Input[FMS_ID],FMS_Input[LWC])</f>
        <v>0</v>
      </c>
      <c r="Y505" s="255">
        <f>(ASINH(FMS_Ranking4[[#This Row],[LWC Raw]]))*(10)/(ASINH(X$4))</f>
        <v>0</v>
      </c>
      <c r="Z505" s="256">
        <f>FMS_Ranking4[[#This Row],[LWC, ArcSInh (0-10)]]*X$5*10</f>
        <v>0</v>
      </c>
      <c r="AA505" s="253">
        <f>_xlfn.XLOOKUP(FMS_Ranking4[[#This Row],[FMS ID]],FMS_Input[FMS_ID],FMS_Input[ROADCLS])</f>
        <v>0</v>
      </c>
      <c r="AB505" s="255">
        <f>(ASINH(FMS_Ranking4[[#This Row],[Road Closures Raw]]))*(10)/(ASINH(AA$4))</f>
        <v>0</v>
      </c>
      <c r="AC505" s="256">
        <f>FMS_Ranking4[[#This Row],[Road closures, ArcSinh (0-10)]]*AA$5*10</f>
        <v>0</v>
      </c>
      <c r="AD505" s="253">
        <f>_xlfn.XLOOKUP(FMS_Ranking4[[#This Row],[FMS ID]],FMS_Input[FMS_ID],FMS_Input[ROAD_MILES100])</f>
        <v>7</v>
      </c>
      <c r="AE505" s="255">
        <f>(ASINH(FMS_Ranking4[[#This Row],[Road Miles Raw]]))*(10)/(ASINH(AD$4))</f>
        <v>2.8179052695658946</v>
      </c>
      <c r="AF505" s="256">
        <f>FMS_Ranking4[[#This Row],[Length of roads at risk, ArcSinh (0-10)]]*AD$5*10</f>
        <v>2.8179052695658946</v>
      </c>
      <c r="AG505" s="253">
        <f>_xlfn.XLOOKUP(FMS_Ranking4[[#This Row],[FMS ID]],FMS_Input[FMS_ID],FMS_Input[FARMACRE100])</f>
        <v>117.64060211181641</v>
      </c>
      <c r="AH505" s="255">
        <f>(ASINH(FMS_Ranking4[[#This Row],[Ag Land Raw]]))*(10)/(ASINH(AG$4))</f>
        <v>3.5472341475711526</v>
      </c>
      <c r="AI505" s="260">
        <f>FMS_Ranking4[[#This Row],[Farm &amp; ranch land, ArcSinh (0-10)]]*AG$5*10</f>
        <v>1.7736170737855763</v>
      </c>
      <c r="AJ505" s="258">
        <f>_xlfn.XLOOKUP(FMS_Ranking4[[#This Row],[FMS ID]],FMS_Input[FMS_ID],FMS_Input[REDSTRUCT100])</f>
        <v>0</v>
      </c>
      <c r="AK505" s="253">
        <f>_xlfn.XLOOKUP(FMS_Ranking4[[#This Row],[FMS ID]],FMS_Input[FMS_ID],FMS_Input[REMSTRC100])</f>
        <v>0</v>
      </c>
      <c r="AL505" s="255">
        <f>(ASINH(FMS_Ranking4[[#This Row],[Structures Removed Raw]]))*(10)/(ASINH(AK$4))</f>
        <v>0</v>
      </c>
      <c r="AM505" s="262">
        <f>FMS_Ranking4[[#This Row],[Structures removed, ArcSinh (0-10)]]*AK$5*10</f>
        <v>0</v>
      </c>
      <c r="AN505" s="253">
        <f>_xlfn.XLOOKUP(FMS_Ranking4[[#This Row],[FMS ID]],FMS_Input[FMS_ID],FMS_Input[REMRESSTRC100])</f>
        <v>0</v>
      </c>
      <c r="AO505" s="261">
        <f>FMS_Ranking4[[#This Row],[ArcSinh Res struct removed 0-10]]*AN$5*10</f>
        <v>0</v>
      </c>
      <c r="AP505" s="260">
        <f>ASINH(FMS_Ranking4[[#This Row],[Residential Structures Removed Raw]])/AP$4*AN$5*100</f>
        <v>0</v>
      </c>
      <c r="AQ505" s="258">
        <f>(ASINH(FMS_Ranking4[[#This Row],[Residential Structures Removed Raw]]))*(10)/(ASINH(AN$4))</f>
        <v>0</v>
      </c>
      <c r="AR505" s="253">
        <f>_xlfn.XLOOKUP(FMS_Ranking4[[#This Row],[FMS ID]],FMS_Input[FMS_ID],FMS_Input[REMPOP100])</f>
        <v>0</v>
      </c>
      <c r="AS505" s="255">
        <f>(ASINH(FMS_Ranking4[[#This Row],[Removed Pop Raw]]))*(10)/(ASINH(AR$4))</f>
        <v>0</v>
      </c>
      <c r="AT505" s="262">
        <f>FMS_Ranking4[[#This Row],[Removed population, ArcSinh (0-10)]]*AR$5*10</f>
        <v>0</v>
      </c>
      <c r="AU505" s="264">
        <f>_xlfn.XLOOKUP(FMS_Ranking4[[#This Row],[FMS ID]],FMS_Input[FMS_ID],FMS_Input[REMCRITFAC100])</f>
        <v>0</v>
      </c>
      <c r="AV505" s="264">
        <f>_xlfn.XLOOKUP(FMS_Ranking4[[#This Row],[FMS ID]],FMS_Input[FMS_ID],FMS_Input[REMLWC100])</f>
        <v>0</v>
      </c>
      <c r="AW505" s="264">
        <f>_xlfn.XLOOKUP(FMS_Ranking4[[#This Row],[FMS ID]],FMS_Input[FMS_ID],FMS_Input[REMROADCLS])</f>
        <v>0</v>
      </c>
      <c r="AX505" s="264">
        <f>_xlfn.XLOOKUP(FMS_Ranking4[[#This Row],[FMS ID]],FMS_Input[FMS_ID],FMS_Input[REMFRMACRE100])</f>
        <v>0</v>
      </c>
      <c r="AY505" s="258">
        <f>_xlfn.XLOOKUP(FMS_Ranking4[[#This Row],[FMS ID]],FMS_Input[FMS_ID],FMS_Input[COSTSTRUCT])</f>
        <v>0</v>
      </c>
      <c r="AZ505" s="253">
        <f>_xlfn.XLOOKUP(FMS_Ranking4[[#This Row],[FMS ID]],FMS_Input[FMS_ID],FMS_Input[NATURE])</f>
        <v>0</v>
      </c>
      <c r="BA505" s="262">
        <f>(((FMS_Ranking4[[#This Row],[% NBS Raw]]/AZ$4)*100)*AZ$5)</f>
        <v>0</v>
      </c>
      <c r="BB505" s="251" t="str">
        <f>_xlfn.XLOOKUP(FMS_Ranking4[[#This Row],[FMS ID]],FMS_Input[FMS_ID],FMS_Input[WATER_SUP])</f>
        <v>No</v>
      </c>
      <c r="BC505" s="265">
        <f>IF(FMS_Ranking4[[#This Row],[Water Supply Raw]]="Yes",10,0)</f>
        <v>0</v>
      </c>
      <c r="BD505" s="266">
        <f>_xlfn.XLOOKUP(FMS_Ranking4[[#This Row],[FMS Type]],FMS_TYPE[FMS_Type],FMS_TYPE[Score])</f>
        <v>6</v>
      </c>
      <c r="BE505" s="267">
        <f>FMS_Ranking4[[#This Row],[FMS_Type Score]]*$BD$5*10</f>
        <v>1.5000000000000002</v>
      </c>
      <c r="BF50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7.0289484483944467E-2</v>
      </c>
      <c r="BG505" s="293">
        <f>_xlfn.RANK.EQ(BF505,$BF$8:$BF$870,0)+COUNTIF($BF$8:BF505,BF505)-1</f>
        <v>518</v>
      </c>
      <c r="BH505" s="294">
        <f>(((FMS_Ranking4[[#This Row],[Structures Removed Raw]]/AK$4)*100)*AK$5)+(((FMS_Ranking4[[#This Row],[Removed Pop Raw]]/AR$4)*100)*AR$5)</f>
        <v>0</v>
      </c>
      <c r="BI50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1.5702894844839448</v>
      </c>
      <c r="BJ505" s="251">
        <f>_xlfn.RANK.EQ(FMS_Ranking4[[#This Row],[Total Score 
(with linear
normalization)]],FMS_Ranking4[Total Score 
(with linear
normalization)],0)</f>
        <v>574</v>
      </c>
      <c r="BK505" s="251" t="e">
        <f>_xlfn.XLOOKUP(FMS_Ranking4[[#This Row],[FMS ID]],#REF!,#REF!)</f>
        <v>#REF!</v>
      </c>
      <c r="BL50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17.428512306754936</v>
      </c>
      <c r="BM505" s="324">
        <f>FMS_Ranking4[[#This Row],[ArcSinh Score Based on Normalized Reported Factors]]+FMS_Ranking4[[#This Row],[% NBS Score (Normalized)]]+(FMS_Ranking4[[#This Row],[Water Supply Score (Normalized)]]*10*$BB$5)+FMS_Ranking4[[#This Row],[FMS_Type Score Weighted]]</f>
        <v>18.928512306754936</v>
      </c>
      <c r="BN505" s="251">
        <f>_xlfn.RANK.EQ(FMS_Ranking4[[#This Row],[Total Score (with ArcSinh normalization of select criteria)]],FMS_Ranking4[Total Score (with ArcSinh normalization of select criteria)],0)</f>
        <v>498</v>
      </c>
      <c r="BO505" s="270" t="str">
        <f>_xlfn.XLOOKUP(FMS_Ranking4[[#This Row],[FMS ID]],FMS_Input[FMS_ID],FMS_Input[FMS_RANK_YEAR])</f>
        <v>2023 Amended Plan</v>
      </c>
      <c r="BP505" s="324">
        <f>_xlfn.XLOOKUP(FMS_Ranking4[[#This Row],[FMS ID]],Prev_Rank[FMS ID],Prev_Rank[Prev Rank])</f>
        <v>447</v>
      </c>
      <c r="BQ505" s="251" t="e">
        <f>_xlfn.XLOOKUP(FMS_Ranking4[[#This Row],[FMS ID]],#REF!,#REF!)</f>
        <v>#REF!</v>
      </c>
      <c r="BR505" s="199" t="e">
        <f>SUM(#REF!,#REF!,#REF!,#REF!,#REF!,#REF!,#REF!,#REF!,#REF!,FMS_Ranking4[[#This Row],[ArcSinh Res struct removed 0-10]],#REF!)</f>
        <v>#REF!</v>
      </c>
      <c r="BS505" s="199" t="e">
        <f>FMS_Ranking4[[#This Row],[Log Score Based on Normalized Reported Factors]]+FMS_Ranking4[[#This Row],[% NBS Score (Normalized)]]+(FMS_Ranking4[[#This Row],[Water Supply Score (Normalized)]]*10*$BB$5)+(FMS_Ranking4[[#This Row],[FMS_Type Score Weighted]])</f>
        <v>#REF!</v>
      </c>
      <c r="BT505" s="200" t="e">
        <f>_xlfn.RANK.EQ(FMS_Ranking4[[#This Row],[Log Total Score]],FMS_Ranking4[Log Total Score],0)</f>
        <v>#REF!</v>
      </c>
      <c r="BU505" s="200" t="e">
        <f>_xlfn.XLOOKUP(FMS_Ranking4[[#This Row],[FMS ID]],#REF!,#REF!)</f>
        <v>#REF!</v>
      </c>
      <c r="BV505" s="200">
        <f>FMS_Ranking4[[#This Row],[Region Number]]</f>
        <v>15</v>
      </c>
      <c r="BW505" s="200">
        <f>FMS_Ranking4[[#This Row],[Rank (with ArcSinh normalization of select criteria)]]-FMS_Ranking4[[#This Row],[Rank
(with linear
normalization)]]</f>
        <v>-76</v>
      </c>
      <c r="BX505" s="200" t="e">
        <f>FMS_Ranking4[[#This Row],[Log Rank]]-FMS_Ranking4[[#This Row],[Rank
(with linear
normalization)]]</f>
        <v>#REF!</v>
      </c>
      <c r="BY505" s="200" t="str">
        <f>IF(FMS_Ranking4[[#This Row],[FMS Type]]="Flood Measurement and Warning",FMS_Ranking4[[#This Row],[Rank (with ArcSinh normalization of select criteria)]],"")</f>
        <v/>
      </c>
      <c r="BZ505" s="200" t="str">
        <f>IF(FMS_Ranking4[[#This Row],[FMS Type]]="Regulatory and Guidance",FMS_Ranking4[[#This Row],[Rank (with ArcSinh normalization of select criteria)]],"")</f>
        <v/>
      </c>
      <c r="CA505" s="200">
        <f>IF(FMS_Ranking4[[#This Row],[FMS Type]]="Education and Outreach",FMS_Ranking4[[#This Row],[Rank (with ArcSinh normalization of select criteria)]],"")</f>
        <v>498</v>
      </c>
      <c r="CB505" s="200" t="str">
        <f>IF(FMS_Ranking4[[#This Row],[FMS Type]]="Property Acquisition and Structural Elevation",FMS_Ranking4[[#This Row],[Rank (with ArcSinh normalization of select criteria)]],"")</f>
        <v/>
      </c>
      <c r="CC505" s="200" t="str">
        <f>IF(FMS_Ranking4[[#This Row],[FMS Type]]="Infrastructure Projects",FMS_Ranking4[[#This Row],[Rank (with ArcSinh normalization of select criteria)]],"")</f>
        <v/>
      </c>
      <c r="CD505" s="200" t="str">
        <f>IF(FMS_Ranking4[[#This Row],[FMS Type]]="Other",FMS_Ranking4[[#This Row],[Rank (with ArcSinh normalization of select criteria)]],"")</f>
        <v/>
      </c>
      <c r="CE505" s="201"/>
      <c r="CF505" s="206"/>
      <c r="CG505" s="206"/>
      <c r="CH505" s="206"/>
      <c r="CI505" s="206"/>
      <c r="CJ505" s="206"/>
      <c r="CK505" s="206"/>
      <c r="CL505" s="206"/>
      <c r="CM505" s="206"/>
      <c r="CN505" s="206"/>
      <c r="CO505" s="206"/>
      <c r="CP505" s="206"/>
      <c r="CQ505" s="206"/>
      <c r="CR505" s="206"/>
    </row>
    <row r="506" spans="2:96" ht="45" x14ac:dyDescent="0.25">
      <c r="B506" s="341" t="s">
        <v>3024</v>
      </c>
      <c r="C506" s="246">
        <f>_xlfn.XLOOKUP(FMS_Ranking4[[#This Row],[FMS ID]],FMS_Input[FMS_ID],FMS_Input[RFPG_NUM])</f>
        <v>7</v>
      </c>
      <c r="D506" s="309" t="str">
        <f>_xlfn.XLOOKUP(FMS_Ranking4[[#This Row],[FMS ID]],FMS_Input[FMS_ID],FMS_Input[FMS_NAME])</f>
        <v>Fisher County NFIP Participation</v>
      </c>
      <c r="E506" s="308" t="str">
        <f>_xlfn.XLOOKUP(FMS_Ranking4[[#This Row],[FMS ID]],FMS_Input[FMS_ID],FMS_Input[SPONSOR])</f>
        <v>07000114</v>
      </c>
      <c r="F506" s="309" t="str">
        <f>_xlfn.XLOOKUP(FMS_Ranking4[[#This Row],[FMS ID]],Sponsor[FMS_ID],Sponsor[SPONSOR NAME])</f>
        <v>Fisher</v>
      </c>
      <c r="G506" s="309" t="str">
        <f>_xlfn.XLOOKUP(FMS_Ranking4[[#This Row],[FMS ID]],FMS_Input[FMS_ID],FMS_Input[FMS_DESCR])</f>
        <v>Application to join NFIP or adoption of equivalent standards.</v>
      </c>
      <c r="H506" s="248" t="str">
        <f>_xlfn.XLOOKUP(FMS_Ranking4[[#This Row],[FMS ID]],FMS_Input[FMS_ID],FMS_Input[FMS_TYPE])</f>
        <v>Regulatory and Guidance</v>
      </c>
      <c r="I506" s="249">
        <f>_xlfn.XLOOKUP(FMS_Ranking4[[#This Row],[FMS ID]],FMS_Input[FMS_ID],FMS_Input[NRNC_COST])</f>
        <v>50000</v>
      </c>
      <c r="J506" s="250">
        <f>_xlfn.XLOOKUP(FMS_Ranking4[[#This Row],[FMS ID]],FMS_Input[FMS_ID],FMS_Input[FMS_COST])</f>
        <v>50000</v>
      </c>
      <c r="K506" s="251" t="str">
        <f>_xlfn.XLOOKUP(FMS_Ranking4[[#This Row],[FMS ID]],FMS_Input[FMS_ID],FMS_Input[EMER_NEED])</f>
        <v>No</v>
      </c>
      <c r="L506" s="252">
        <f t="shared" si="7"/>
        <v>0</v>
      </c>
      <c r="M506" s="253">
        <f>_xlfn.XLOOKUP(FMS_Ranking4[[#This Row],[FMS ID]],FMS_Input[FMS_ID],FMS_Input[STRUCT_100])</f>
        <v>120</v>
      </c>
      <c r="N506" s="255">
        <f>(ASINH(FMS_Ranking4[[#This Row],[Structure at Risk Raw]]))*(10)/(ASINH(M$4))</f>
        <v>4.3086118736012287</v>
      </c>
      <c r="O506" s="256">
        <f>FMS_Ranking4[[#This Row],[Structures at risk, ArcSinh (0-10)]]*M$5*10</f>
        <v>4.3086118736012295</v>
      </c>
      <c r="P506" s="253">
        <f>_xlfn.XLOOKUP(FMS_Ranking4[[#This Row],[FMS ID]],FMS_Input[FMS_ID],FMS_Input[RES_STRUCT100])</f>
        <v>24</v>
      </c>
      <c r="Q506" s="257">
        <f>ASINH(FMS_Ranking4[[#This Row],[Res Structure Raw]])/Q$4*P$5*100</f>
        <v>0</v>
      </c>
      <c r="R506" s="253">
        <f>_xlfn.XLOOKUP(FMS_Ranking4[[#This Row],[FMS ID]],FMS_Input[FMS_ID],FMS_Input[POP100])</f>
        <v>89</v>
      </c>
      <c r="S506" s="259">
        <f>(ASINH(FMS_Ranking4[[#This Row],[Pop at Risk Raw]]))*(10)/(ASINH(R$4))</f>
        <v>3.5773086453128395</v>
      </c>
      <c r="T506" s="256">
        <f>FMS_Ranking4[[#This Row],[Population at risk, ArcSinh (0-10)]]*R$5*10</f>
        <v>3.57730864531284</v>
      </c>
      <c r="U506" s="253">
        <f>_xlfn.XLOOKUP(FMS_Ranking4[[#This Row],[FMS ID]],FMS_Input[FMS_ID],FMS_Input[CRITFAC100])</f>
        <v>0</v>
      </c>
      <c r="V506" s="259">
        <f>(ASINH(FMS_Ranking4[[#This Row],[Critical Facilities Raw]]))*(10)/(ASINH(U$4))</f>
        <v>0</v>
      </c>
      <c r="W506" s="256">
        <f>FMS_Ranking4[[#This Row],[Critical facilities at risk, ArcSinh (0-10)]]*U$5*10</f>
        <v>0</v>
      </c>
      <c r="X506" s="253">
        <f>_xlfn.XLOOKUP(FMS_Ranking4[[#This Row],[FMS ID]],FMS_Input[FMS_ID],FMS_Input[LWC])</f>
        <v>0</v>
      </c>
      <c r="Y506" s="259">
        <f>(ASINH(FMS_Ranking4[[#This Row],[LWC Raw]]))*(10)/(ASINH(X$4))</f>
        <v>0</v>
      </c>
      <c r="Z506" s="256">
        <f>FMS_Ranking4[[#This Row],[LWC, ArcSInh (0-10)]]*X$5*10</f>
        <v>0</v>
      </c>
      <c r="AA506" s="253">
        <f>_xlfn.XLOOKUP(FMS_Ranking4[[#This Row],[FMS ID]],FMS_Input[FMS_ID],FMS_Input[ROADCLS])</f>
        <v>0</v>
      </c>
      <c r="AB506" s="255">
        <f>(ASINH(FMS_Ranking4[[#This Row],[Road Closures Raw]]))*(10)/(ASINH(AA$4))</f>
        <v>0</v>
      </c>
      <c r="AC506" s="256">
        <f>FMS_Ranking4[[#This Row],[Road closures, ArcSinh (0-10)]]*AA$5*10</f>
        <v>0</v>
      </c>
      <c r="AD506" s="253">
        <f>_xlfn.XLOOKUP(FMS_Ranking4[[#This Row],[FMS ID]],FMS_Input[FMS_ID],FMS_Input[ROAD_MILES100])</f>
        <v>89</v>
      </c>
      <c r="AE506" s="259">
        <f>(ASINH(FMS_Ranking4[[#This Row],[Road Miles Raw]]))*(10)/(ASINH(AD$4))</f>
        <v>5.5223892648011983</v>
      </c>
      <c r="AF506" s="256">
        <f>FMS_Ranking4[[#This Row],[Length of roads at risk, ArcSinh (0-10)]]*AD$5*10</f>
        <v>5.5223892648011983</v>
      </c>
      <c r="AG506" s="253">
        <f>_xlfn.XLOOKUP(FMS_Ranking4[[#This Row],[FMS ID]],FMS_Input[FMS_ID],FMS_Input[FARMACRE100])</f>
        <v>23747.181640625</v>
      </c>
      <c r="AH506" s="255">
        <f>(ASINH(FMS_Ranking4[[#This Row],[Ag Land Raw]]))*(10)/(ASINH(AG$4))</f>
        <v>6.9949312134542181</v>
      </c>
      <c r="AI506" s="260">
        <f>FMS_Ranking4[[#This Row],[Farm &amp; ranch land, ArcSinh (0-10)]]*AG$5*10</f>
        <v>3.4974656067271095</v>
      </c>
      <c r="AJ506" s="258">
        <f>_xlfn.XLOOKUP(FMS_Ranking4[[#This Row],[FMS ID]],FMS_Input[FMS_ID],FMS_Input[REDSTRUCT100])</f>
        <v>0</v>
      </c>
      <c r="AK506" s="253">
        <f>_xlfn.XLOOKUP(FMS_Ranking4[[#This Row],[FMS ID]],FMS_Input[FMS_ID],FMS_Input[REMSTRC100])</f>
        <v>0</v>
      </c>
      <c r="AL506" s="259">
        <f>(ASINH(FMS_Ranking4[[#This Row],[Structures Removed Raw]]))*(10)/(ASINH(AK$4))</f>
        <v>0</v>
      </c>
      <c r="AM506" s="262">
        <f>FMS_Ranking4[[#This Row],[Structures removed, ArcSinh (0-10)]]*AK$5*10</f>
        <v>0</v>
      </c>
      <c r="AN506" s="253">
        <f>_xlfn.XLOOKUP(FMS_Ranking4[[#This Row],[FMS ID]],FMS_Input[FMS_ID],FMS_Input[REMRESSTRC100])</f>
        <v>0</v>
      </c>
      <c r="AO506" s="261">
        <f>FMS_Ranking4[[#This Row],[ArcSinh Res struct removed 0-10]]*AN$5*10</f>
        <v>0</v>
      </c>
      <c r="AP506" s="260">
        <f>ASINH(FMS_Ranking4[[#This Row],[Residential Structures Removed Raw]])/AP$4*AN$5*100</f>
        <v>0</v>
      </c>
      <c r="AQ506" s="254">
        <f>(ASINH(FMS_Ranking4[[#This Row],[Residential Structures Removed Raw]]))*(10)/(ASINH(AN$4))</f>
        <v>0</v>
      </c>
      <c r="AR506" s="253">
        <f>_xlfn.XLOOKUP(FMS_Ranking4[[#This Row],[FMS ID]],FMS_Input[FMS_ID],FMS_Input[REMPOP100])</f>
        <v>0</v>
      </c>
      <c r="AS506" s="259">
        <f>(ASINH(FMS_Ranking4[[#This Row],[Removed Pop Raw]]))*(10)/(ASINH(AR$4))</f>
        <v>0</v>
      </c>
      <c r="AT506" s="262">
        <f>FMS_Ranking4[[#This Row],[Removed population, ArcSinh (0-10)]]*AR$5*10</f>
        <v>0</v>
      </c>
      <c r="AU506" s="264">
        <f>_xlfn.XLOOKUP(FMS_Ranking4[[#This Row],[FMS ID]],FMS_Input[FMS_ID],FMS_Input[REMCRITFAC100])</f>
        <v>0</v>
      </c>
      <c r="AV506" s="264">
        <f>_xlfn.XLOOKUP(FMS_Ranking4[[#This Row],[FMS ID]],FMS_Input[FMS_ID],FMS_Input[REMLWC100])</f>
        <v>0</v>
      </c>
      <c r="AW506" s="264">
        <f>_xlfn.XLOOKUP(FMS_Ranking4[[#This Row],[FMS ID]],FMS_Input[FMS_ID],FMS_Input[REMROADCLS])</f>
        <v>0</v>
      </c>
      <c r="AX506" s="264">
        <f>_xlfn.XLOOKUP(FMS_Ranking4[[#This Row],[FMS ID]],FMS_Input[FMS_ID],FMS_Input[REMFRMACRE100])</f>
        <v>0</v>
      </c>
      <c r="AY506" s="258">
        <f>_xlfn.XLOOKUP(FMS_Ranking4[[#This Row],[FMS ID]],FMS_Input[FMS_ID],FMS_Input[COSTSTRUCT])</f>
        <v>0</v>
      </c>
      <c r="AZ506" s="253">
        <f>_xlfn.XLOOKUP(FMS_Ranking4[[#This Row],[FMS ID]],FMS_Input[FMS_ID],FMS_Input[NATURE])</f>
        <v>0</v>
      </c>
      <c r="BA506" s="262">
        <f>(((FMS_Ranking4[[#This Row],[% NBS Raw]]/AZ$4)*100)*AZ$5)</f>
        <v>0</v>
      </c>
      <c r="BB506" s="251" t="str">
        <f>_xlfn.XLOOKUP(FMS_Ranking4[[#This Row],[FMS ID]],FMS_Input[FMS_ID],FMS_Input[WATER_SUP])</f>
        <v>No</v>
      </c>
      <c r="BC506" s="265">
        <f>IF(FMS_Ranking4[[#This Row],[Water Supply Raw]]="Yes",10,0)</f>
        <v>0</v>
      </c>
      <c r="BD506" s="266">
        <f>_xlfn.XLOOKUP(FMS_Ranking4[[#This Row],[FMS Type]],FMS_TYPE[FMS_Type],FMS_TYPE[Score])</f>
        <v>8</v>
      </c>
      <c r="BE506" s="267">
        <f>FMS_Ranking4[[#This Row],[FMS_Type Score]]*$BD$5*10</f>
        <v>2</v>
      </c>
      <c r="BF50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0.2067792914060535</v>
      </c>
      <c r="BG506" s="271">
        <f>_xlfn.RANK.EQ(BF506,$BF$8:$BF$870,0)+COUNTIF($BF$8:BF506,BF506)-1</f>
        <v>363</v>
      </c>
      <c r="BH506" s="268">
        <f>(((FMS_Ranking4[[#This Row],[Structures Removed Raw]]/AK$4)*100)*AK$5)+(((FMS_Ranking4[[#This Row],[Removed Pop Raw]]/AR$4)*100)*AR$5)</f>
        <v>0</v>
      </c>
      <c r="BI50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2.2067792914060536</v>
      </c>
      <c r="BJ506" s="205">
        <f>_xlfn.RANK.EQ(FMS_Ranking4[[#This Row],[Total Score 
(with linear
normalization)]],FMS_Ranking4[Total Score 
(with linear
normalization)],0)</f>
        <v>326</v>
      </c>
      <c r="BK506" s="205" t="e">
        <f>_xlfn.XLOOKUP(FMS_Ranking4[[#This Row],[FMS ID]],#REF!,#REF!)</f>
        <v>#REF!</v>
      </c>
      <c r="BL50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16.905775390442379</v>
      </c>
      <c r="BM506" s="272">
        <f>FMS_Ranking4[[#This Row],[ArcSinh Score Based on Normalized Reported Factors]]+FMS_Ranking4[[#This Row],[% NBS Score (Normalized)]]+(FMS_Ranking4[[#This Row],[Water Supply Score (Normalized)]]*10*$BB$5)+FMS_Ranking4[[#This Row],[FMS_Type Score Weighted]]</f>
        <v>18.905775390442379</v>
      </c>
      <c r="BN506" s="205">
        <f>_xlfn.RANK.EQ(FMS_Ranking4[[#This Row],[Total Score (with ArcSinh normalization of select criteria)]],FMS_Ranking4[Total Score (with ArcSinh normalization of select criteria)],0)</f>
        <v>499</v>
      </c>
      <c r="BO506" s="270" t="str">
        <f>_xlfn.XLOOKUP(FMS_Ranking4[[#This Row],[FMS ID]],FMS_Input[FMS_ID],FMS_Input[FMS_RANK_YEAR])</f>
        <v>2023 Amended Plan</v>
      </c>
      <c r="BP506" s="204">
        <f>_xlfn.XLOOKUP(FMS_Ranking4[[#This Row],[FMS ID]],Prev_Rank[FMS ID],Prev_Rank[Prev Rank])</f>
        <v>449</v>
      </c>
      <c r="BQ506" s="205" t="e">
        <f>_xlfn.XLOOKUP(FMS_Ranking4[[#This Row],[FMS ID]],#REF!,#REF!)</f>
        <v>#REF!</v>
      </c>
      <c r="BR506" s="199" t="e">
        <f>SUM(#REF!,#REF!,#REF!,#REF!,#REF!,#REF!,#REF!,#REF!,#REF!,FMS_Ranking4[[#This Row],[ArcSinh Res struct removed 0-10]],#REF!)</f>
        <v>#REF!</v>
      </c>
      <c r="BS506" s="199" t="e">
        <f>FMS_Ranking4[[#This Row],[Log Score Based on Normalized Reported Factors]]+FMS_Ranking4[[#This Row],[% NBS Score (Normalized)]]+(FMS_Ranking4[[#This Row],[Water Supply Score (Normalized)]]*10*$BB$5)+(FMS_Ranking4[[#This Row],[FMS_Type Score Weighted]])</f>
        <v>#REF!</v>
      </c>
      <c r="BT506" s="200" t="e">
        <f>_xlfn.RANK.EQ(FMS_Ranking4[[#This Row],[Log Total Score]],FMS_Ranking4[Log Total Score],0)</f>
        <v>#REF!</v>
      </c>
      <c r="BU506" s="200" t="e">
        <f>_xlfn.XLOOKUP(FMS_Ranking4[[#This Row],[FMS ID]],#REF!,#REF!)</f>
        <v>#REF!</v>
      </c>
      <c r="BV506" s="200">
        <f>FMS_Ranking4[[#This Row],[Region Number]]</f>
        <v>7</v>
      </c>
      <c r="BW506" s="200">
        <f>FMS_Ranking4[[#This Row],[Rank (with ArcSinh normalization of select criteria)]]-FMS_Ranking4[[#This Row],[Rank
(with linear
normalization)]]</f>
        <v>173</v>
      </c>
      <c r="BX506" s="200" t="e">
        <f>FMS_Ranking4[[#This Row],[Log Rank]]-FMS_Ranking4[[#This Row],[Rank
(with linear
normalization)]]</f>
        <v>#REF!</v>
      </c>
      <c r="BY506" s="200" t="str">
        <f>IF(FMS_Ranking4[[#This Row],[FMS Type]]="Flood Measurement and Warning",FMS_Ranking4[[#This Row],[Rank (with ArcSinh normalization of select criteria)]],"")</f>
        <v/>
      </c>
      <c r="BZ506" s="200">
        <f>IF(FMS_Ranking4[[#This Row],[FMS Type]]="Regulatory and Guidance",FMS_Ranking4[[#This Row],[Rank (with ArcSinh normalization of select criteria)]],"")</f>
        <v>499</v>
      </c>
      <c r="CA506" s="200" t="str">
        <f>IF(FMS_Ranking4[[#This Row],[FMS Type]]="Education and Outreach",FMS_Ranking4[[#This Row],[Rank (with ArcSinh normalization of select criteria)]],"")</f>
        <v/>
      </c>
      <c r="CB506" s="200" t="str">
        <f>IF(FMS_Ranking4[[#This Row],[FMS Type]]="Property Acquisition and Structural Elevation",FMS_Ranking4[[#This Row],[Rank (with ArcSinh normalization of select criteria)]],"")</f>
        <v/>
      </c>
      <c r="CC506" s="200" t="str">
        <f>IF(FMS_Ranking4[[#This Row],[FMS Type]]="Infrastructure Projects",FMS_Ranking4[[#This Row],[Rank (with ArcSinh normalization of select criteria)]],"")</f>
        <v/>
      </c>
      <c r="CD506" s="200" t="str">
        <f>IF(FMS_Ranking4[[#This Row],[FMS Type]]="Other",FMS_Ranking4[[#This Row],[Rank (with ArcSinh normalization of select criteria)]],"")</f>
        <v/>
      </c>
      <c r="CE506" s="201"/>
      <c r="CF506" s="206"/>
      <c r="CG506" s="206"/>
      <c r="CH506" s="206"/>
      <c r="CI506" s="206"/>
      <c r="CJ506" s="206"/>
      <c r="CK506" s="206"/>
      <c r="CL506" s="206"/>
      <c r="CM506" s="206"/>
      <c r="CN506" s="206"/>
      <c r="CO506" s="206"/>
      <c r="CP506" s="206"/>
      <c r="CQ506" s="206"/>
      <c r="CR506" s="206"/>
    </row>
    <row r="507" spans="2:96" ht="60" x14ac:dyDescent="0.25">
      <c r="B507" s="341" t="s">
        <v>2121</v>
      </c>
      <c r="C507" s="246">
        <f>_xlfn.XLOOKUP(FMS_Ranking4[[#This Row],[FMS ID]],FMS_Input[FMS_ID],FMS_Input[RFPG_NUM])</f>
        <v>3</v>
      </c>
      <c r="D507" s="309" t="str">
        <f>_xlfn.XLOOKUP(FMS_Ranking4[[#This Row],[FMS ID]],FMS_Input[FMS_ID],FMS_Input[FMS_NAME])</f>
        <v>San Jacinto County Ordinance to Control Location of Development</v>
      </c>
      <c r="E507" s="308" t="str">
        <f>_xlfn.XLOOKUP(FMS_Ranking4[[#This Row],[FMS ID]],FMS_Input[FMS_ID],FMS_Input[SPONSOR])</f>
        <v>San Jacinto County, Shepherd, Coldspring, Point Blank</v>
      </c>
      <c r="F507" s="309" t="str">
        <f>_xlfn.XLOOKUP(FMS_Ranking4[[#This Row],[FMS ID]],Sponsor[FMS_ID],Sponsor[SPONSOR NAME])</f>
        <v>San Jacinto County, Shepherd, Coldspring, Point Blank</v>
      </c>
      <c r="G507" s="309" t="str">
        <f>_xlfn.XLOOKUP(FMS_Ranking4[[#This Row],[FMS ID]],FMS_Input[FMS_ID],FMS_Input[FMS_DESCR])</f>
        <v>Strengthen ordinance(s)/code(s) to control location of development, especially in low lying flood hazard areas</v>
      </c>
      <c r="H507" s="248" t="str">
        <f>_xlfn.XLOOKUP(FMS_Ranking4[[#This Row],[FMS ID]],FMS_Input[FMS_ID],FMS_Input[FMS_TYPE])</f>
        <v>Regulatory and Guidance</v>
      </c>
      <c r="I507" s="249">
        <f>_xlfn.XLOOKUP(FMS_Ranking4[[#This Row],[FMS ID]],FMS_Input[FMS_ID],FMS_Input[NRNC_COST])</f>
        <v>100000</v>
      </c>
      <c r="J507" s="250">
        <f>_xlfn.XLOOKUP(FMS_Ranking4[[#This Row],[FMS ID]],FMS_Input[FMS_ID],FMS_Input[FMS_COST])</f>
        <v>100000</v>
      </c>
      <c r="K507" s="251" t="str">
        <f>_xlfn.XLOOKUP(FMS_Ranking4[[#This Row],[FMS ID]],FMS_Input[FMS_ID],FMS_Input[EMER_NEED])</f>
        <v>No</v>
      </c>
      <c r="L507" s="252">
        <f t="shared" si="7"/>
        <v>0</v>
      </c>
      <c r="M507" s="253">
        <f>_xlfn.XLOOKUP(FMS_Ranking4[[#This Row],[FMS ID]],FMS_Input[FMS_ID],FMS_Input[STRUCT_100])</f>
        <v>270</v>
      </c>
      <c r="N507" s="255">
        <f>(ASINH(FMS_Ranking4[[#This Row],[Structure at Risk Raw]]))*(10)/(ASINH(M$4))</f>
        <v>4.9461128137339587</v>
      </c>
      <c r="O507" s="256">
        <f>FMS_Ranking4[[#This Row],[Structures at risk, ArcSinh (0-10)]]*M$5*10</f>
        <v>4.9461128137339587</v>
      </c>
      <c r="P507" s="253">
        <f>_xlfn.XLOOKUP(FMS_Ranking4[[#This Row],[FMS ID]],FMS_Input[FMS_ID],FMS_Input[RES_STRUCT100])</f>
        <v>257</v>
      </c>
      <c r="Q507" s="257">
        <f>ASINH(FMS_Ranking4[[#This Row],[Res Structure Raw]])/Q$4*P$5*100</f>
        <v>0</v>
      </c>
      <c r="R507" s="253">
        <f>_xlfn.XLOOKUP(FMS_Ranking4[[#This Row],[FMS ID]],FMS_Input[FMS_ID],FMS_Input[POP100])</f>
        <v>705</v>
      </c>
      <c r="S507" s="259">
        <f>(ASINH(FMS_Ranking4[[#This Row],[Pop at Risk Raw]]))*(10)/(ASINH(R$4))</f>
        <v>5.006025947570369</v>
      </c>
      <c r="T507" s="256">
        <f>FMS_Ranking4[[#This Row],[Population at risk, ArcSinh (0-10)]]*R$5*10</f>
        <v>5.0060259475703699</v>
      </c>
      <c r="U507" s="253">
        <f>_xlfn.XLOOKUP(FMS_Ranking4[[#This Row],[FMS ID]],FMS_Input[FMS_ID],FMS_Input[CRITFAC100])</f>
        <v>4</v>
      </c>
      <c r="V507" s="259">
        <f>(ASINH(FMS_Ranking4[[#This Row],[Critical Facilities Raw]]))*(10)/(ASINH(U$4))</f>
        <v>2.4796455944038147</v>
      </c>
      <c r="W507" s="256">
        <f>FMS_Ranking4[[#This Row],[Critical facilities at risk, ArcSinh (0-10)]]*U$5*10</f>
        <v>2.4796455944038147</v>
      </c>
      <c r="X507" s="253">
        <f>_xlfn.XLOOKUP(FMS_Ranking4[[#This Row],[FMS ID]],FMS_Input[FMS_ID],FMS_Input[LWC])</f>
        <v>0</v>
      </c>
      <c r="Y507" s="259">
        <f>(ASINH(FMS_Ranking4[[#This Row],[LWC Raw]]))*(10)/(ASINH(X$4))</f>
        <v>0</v>
      </c>
      <c r="Z507" s="256">
        <f>FMS_Ranking4[[#This Row],[LWC, ArcSInh (0-10)]]*X$5*10</f>
        <v>0</v>
      </c>
      <c r="AA507" s="253">
        <f>_xlfn.XLOOKUP(FMS_Ranking4[[#This Row],[FMS ID]],FMS_Input[FMS_ID],FMS_Input[ROADCLS])</f>
        <v>0</v>
      </c>
      <c r="AB507" s="255">
        <f>(ASINH(FMS_Ranking4[[#This Row],[Road Closures Raw]]))*(10)/(ASINH(AA$4))</f>
        <v>0</v>
      </c>
      <c r="AC507" s="256">
        <f>FMS_Ranking4[[#This Row],[Road closures, ArcSinh (0-10)]]*AA$5*10</f>
        <v>0</v>
      </c>
      <c r="AD507" s="253">
        <f>_xlfn.XLOOKUP(FMS_Ranking4[[#This Row],[FMS ID]],FMS_Input[FMS_ID],FMS_Input[ROAD_MILES100])</f>
        <v>7</v>
      </c>
      <c r="AE507" s="259">
        <f>(ASINH(FMS_Ranking4[[#This Row],[Road Miles Raw]]))*(10)/(ASINH(AD$4))</f>
        <v>2.8179052695658946</v>
      </c>
      <c r="AF507" s="256">
        <f>FMS_Ranking4[[#This Row],[Length of roads at risk, ArcSinh (0-10)]]*AD$5*10</f>
        <v>2.8179052695658946</v>
      </c>
      <c r="AG507" s="253">
        <f>_xlfn.XLOOKUP(FMS_Ranking4[[#This Row],[FMS ID]],FMS_Input[FMS_ID],FMS_Input[FARMACRE100])</f>
        <v>74.03253173828125</v>
      </c>
      <c r="AH507" s="255">
        <f>(ASINH(FMS_Ranking4[[#This Row],[Ag Land Raw]]))*(10)/(ASINH(AG$4))</f>
        <v>3.2464116240357326</v>
      </c>
      <c r="AI507" s="260">
        <f>FMS_Ranking4[[#This Row],[Farm &amp; ranch land, ArcSinh (0-10)]]*AG$5*10</f>
        <v>1.6232058120178663</v>
      </c>
      <c r="AJ507" s="258">
        <f>_xlfn.XLOOKUP(FMS_Ranking4[[#This Row],[FMS ID]],FMS_Input[FMS_ID],FMS_Input[REDSTRUCT100])</f>
        <v>0</v>
      </c>
      <c r="AK507" s="253">
        <f>_xlfn.XLOOKUP(FMS_Ranking4[[#This Row],[FMS ID]],FMS_Input[FMS_ID],FMS_Input[REMSTRC100])</f>
        <v>0</v>
      </c>
      <c r="AL507" s="259">
        <f>(ASINH(FMS_Ranking4[[#This Row],[Structures Removed Raw]]))*(10)/(ASINH(AK$4))</f>
        <v>0</v>
      </c>
      <c r="AM507" s="262">
        <f>FMS_Ranking4[[#This Row],[Structures removed, ArcSinh (0-10)]]*AK$5*10</f>
        <v>0</v>
      </c>
      <c r="AN507" s="253">
        <f>_xlfn.XLOOKUP(FMS_Ranking4[[#This Row],[FMS ID]],FMS_Input[FMS_ID],FMS_Input[REMRESSTRC100])</f>
        <v>0</v>
      </c>
      <c r="AO507" s="261">
        <f>FMS_Ranking4[[#This Row],[ArcSinh Res struct removed 0-10]]*AN$5*10</f>
        <v>0</v>
      </c>
      <c r="AP507" s="260">
        <f>ASINH(FMS_Ranking4[[#This Row],[Residential Structures Removed Raw]])/AP$4*AN$5*100</f>
        <v>0</v>
      </c>
      <c r="AQ507" s="254">
        <f>(ASINH(FMS_Ranking4[[#This Row],[Residential Structures Removed Raw]]))*(10)/(ASINH(AN$4))</f>
        <v>0</v>
      </c>
      <c r="AR507" s="253">
        <f>_xlfn.XLOOKUP(FMS_Ranking4[[#This Row],[FMS ID]],FMS_Input[FMS_ID],FMS_Input[REMPOP100])</f>
        <v>0</v>
      </c>
      <c r="AS507" s="259">
        <f>(ASINH(FMS_Ranking4[[#This Row],[Removed Pop Raw]]))*(10)/(ASINH(AR$4))</f>
        <v>0</v>
      </c>
      <c r="AT507" s="262">
        <f>FMS_Ranking4[[#This Row],[Removed population, ArcSinh (0-10)]]*AR$5*10</f>
        <v>0</v>
      </c>
      <c r="AU507" s="264">
        <f>_xlfn.XLOOKUP(FMS_Ranking4[[#This Row],[FMS ID]],FMS_Input[FMS_ID],FMS_Input[REMCRITFAC100])</f>
        <v>0</v>
      </c>
      <c r="AV507" s="264">
        <f>_xlfn.XLOOKUP(FMS_Ranking4[[#This Row],[FMS ID]],FMS_Input[FMS_ID],FMS_Input[REMLWC100])</f>
        <v>0</v>
      </c>
      <c r="AW507" s="264">
        <f>_xlfn.XLOOKUP(FMS_Ranking4[[#This Row],[FMS ID]],FMS_Input[FMS_ID],FMS_Input[REMROADCLS])</f>
        <v>0</v>
      </c>
      <c r="AX507" s="264">
        <f>_xlfn.XLOOKUP(FMS_Ranking4[[#This Row],[FMS ID]],FMS_Input[FMS_ID],FMS_Input[REMFRMACRE100])</f>
        <v>0</v>
      </c>
      <c r="AY507" s="258">
        <f>_xlfn.XLOOKUP(FMS_Ranking4[[#This Row],[FMS ID]],FMS_Input[FMS_ID],FMS_Input[COSTSTRUCT])</f>
        <v>0</v>
      </c>
      <c r="AZ507" s="253">
        <f>_xlfn.XLOOKUP(FMS_Ranking4[[#This Row],[FMS ID]],FMS_Input[FMS_ID],FMS_Input[NATURE])</f>
        <v>0</v>
      </c>
      <c r="BA507" s="262">
        <f>(((FMS_Ranking4[[#This Row],[% NBS Raw]]/AZ$4)*100)*AZ$5)</f>
        <v>0</v>
      </c>
      <c r="BB507" s="251" t="str">
        <f>_xlfn.XLOOKUP(FMS_Ranking4[[#This Row],[FMS ID]],FMS_Input[FMS_ID],FMS_Input[WATER_SUP])</f>
        <v>No</v>
      </c>
      <c r="BC507" s="265">
        <f>IF(FMS_Ranking4[[#This Row],[Water Supply Raw]]="Yes",10,0)</f>
        <v>0</v>
      </c>
      <c r="BD507" s="266">
        <f>_xlfn.XLOOKUP(FMS_Ranking4[[#This Row],[FMS Type]],FMS_TYPE[FMS_Type],FMS_TYPE[Score])</f>
        <v>8</v>
      </c>
      <c r="BE507" s="267">
        <f>FMS_Ranking4[[#This Row],[FMS_Type Score]]*$BD$5*10</f>
        <v>2</v>
      </c>
      <c r="BF50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5.2444976418208403E-2</v>
      </c>
      <c r="BG507" s="271">
        <f>_xlfn.RANK.EQ(BF507,$BF$8:$BF$870,0)+COUNTIF($BF$8:BF507,BF507)-1</f>
        <v>558</v>
      </c>
      <c r="BH507" s="268">
        <f>(((FMS_Ranking4[[#This Row],[Structures Removed Raw]]/AK$4)*100)*AK$5)+(((FMS_Ranking4[[#This Row],[Removed Pop Raw]]/AR$4)*100)*AR$5)</f>
        <v>0</v>
      </c>
      <c r="BI50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2.0524449764182084</v>
      </c>
      <c r="BJ507" s="205">
        <f>_xlfn.RANK.EQ(FMS_Ranking4[[#This Row],[Total Score 
(with linear
normalization)]],FMS_Ranking4[Total Score 
(with linear
normalization)],0)</f>
        <v>386</v>
      </c>
      <c r="BK507" s="205" t="e">
        <f>_xlfn.XLOOKUP(FMS_Ranking4[[#This Row],[FMS ID]],#REF!,#REF!)</f>
        <v>#REF!</v>
      </c>
      <c r="BL50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16.872895437291906</v>
      </c>
      <c r="BM507" s="272">
        <f>FMS_Ranking4[[#This Row],[ArcSinh Score Based on Normalized Reported Factors]]+FMS_Ranking4[[#This Row],[% NBS Score (Normalized)]]+(FMS_Ranking4[[#This Row],[Water Supply Score (Normalized)]]*10*$BB$5)+FMS_Ranking4[[#This Row],[FMS_Type Score Weighted]]</f>
        <v>18.872895437291906</v>
      </c>
      <c r="BN507" s="205">
        <f>_xlfn.RANK.EQ(FMS_Ranking4[[#This Row],[Total Score (with ArcSinh normalization of select criteria)]],FMS_Ranking4[Total Score (with ArcSinh normalization of select criteria)],0)</f>
        <v>500</v>
      </c>
      <c r="BO507" s="270" t="str">
        <f>_xlfn.XLOOKUP(FMS_Ranking4[[#This Row],[FMS ID]],FMS_Input[FMS_ID],FMS_Input[FMS_RANK_YEAR])</f>
        <v>2023 Amended Plan</v>
      </c>
      <c r="BP507" s="204">
        <f>_xlfn.XLOOKUP(FMS_Ranking4[[#This Row],[FMS ID]],Prev_Rank[FMS ID],Prev_Rank[Prev Rank])</f>
        <v>445</v>
      </c>
      <c r="BQ507" s="205" t="e">
        <f>_xlfn.XLOOKUP(FMS_Ranking4[[#This Row],[FMS ID]],#REF!,#REF!)</f>
        <v>#REF!</v>
      </c>
      <c r="BR507" s="199" t="e">
        <f>SUM(#REF!,#REF!,#REF!,#REF!,#REF!,#REF!,#REF!,#REF!,#REF!,FMS_Ranking4[[#This Row],[ArcSinh Res struct removed 0-10]],#REF!)</f>
        <v>#REF!</v>
      </c>
      <c r="BS507" s="199" t="e">
        <f>FMS_Ranking4[[#This Row],[Log Score Based on Normalized Reported Factors]]+FMS_Ranking4[[#This Row],[% NBS Score (Normalized)]]+(FMS_Ranking4[[#This Row],[Water Supply Score (Normalized)]]*10*$BB$5)+(FMS_Ranking4[[#This Row],[FMS_Type Score Weighted]])</f>
        <v>#REF!</v>
      </c>
      <c r="BT507" s="200" t="e">
        <f>_xlfn.RANK.EQ(FMS_Ranking4[[#This Row],[Log Total Score]],FMS_Ranking4[Log Total Score],0)</f>
        <v>#REF!</v>
      </c>
      <c r="BU507" s="200" t="e">
        <f>_xlfn.XLOOKUP(FMS_Ranking4[[#This Row],[FMS ID]],#REF!,#REF!)</f>
        <v>#REF!</v>
      </c>
      <c r="BV507" s="200">
        <f>FMS_Ranking4[[#This Row],[Region Number]]</f>
        <v>3</v>
      </c>
      <c r="BW507" s="200">
        <f>FMS_Ranking4[[#This Row],[Rank (with ArcSinh normalization of select criteria)]]-FMS_Ranking4[[#This Row],[Rank
(with linear
normalization)]]</f>
        <v>114</v>
      </c>
      <c r="BX507" s="200" t="e">
        <f>FMS_Ranking4[[#This Row],[Log Rank]]-FMS_Ranking4[[#This Row],[Rank
(with linear
normalization)]]</f>
        <v>#REF!</v>
      </c>
      <c r="BY507" s="200" t="str">
        <f>IF(FMS_Ranking4[[#This Row],[FMS Type]]="Flood Measurement and Warning",FMS_Ranking4[[#This Row],[Rank (with ArcSinh normalization of select criteria)]],"")</f>
        <v/>
      </c>
      <c r="BZ507" s="200">
        <f>IF(FMS_Ranking4[[#This Row],[FMS Type]]="Regulatory and Guidance",FMS_Ranking4[[#This Row],[Rank (with ArcSinh normalization of select criteria)]],"")</f>
        <v>500</v>
      </c>
      <c r="CA507" s="200" t="str">
        <f>IF(FMS_Ranking4[[#This Row],[FMS Type]]="Education and Outreach",FMS_Ranking4[[#This Row],[Rank (with ArcSinh normalization of select criteria)]],"")</f>
        <v/>
      </c>
      <c r="CB507" s="200" t="str">
        <f>IF(FMS_Ranking4[[#This Row],[FMS Type]]="Property Acquisition and Structural Elevation",FMS_Ranking4[[#This Row],[Rank (with ArcSinh normalization of select criteria)]],"")</f>
        <v/>
      </c>
      <c r="CC507" s="200" t="str">
        <f>IF(FMS_Ranking4[[#This Row],[FMS Type]]="Infrastructure Projects",FMS_Ranking4[[#This Row],[Rank (with ArcSinh normalization of select criteria)]],"")</f>
        <v/>
      </c>
      <c r="CD507" s="200" t="str">
        <f>IF(FMS_Ranking4[[#This Row],[FMS Type]]="Other",FMS_Ranking4[[#This Row],[Rank (with ArcSinh normalization of select criteria)]],"")</f>
        <v/>
      </c>
      <c r="CE507" s="201"/>
      <c r="CF507" s="206"/>
      <c r="CG507" s="206"/>
      <c r="CH507" s="206"/>
      <c r="CI507" s="206"/>
      <c r="CJ507" s="206"/>
      <c r="CK507" s="206"/>
      <c r="CL507" s="206"/>
      <c r="CM507" s="206"/>
      <c r="CN507" s="206"/>
      <c r="CO507" s="206"/>
      <c r="CP507" s="206"/>
      <c r="CQ507" s="206"/>
      <c r="CR507" s="206"/>
    </row>
    <row r="508" spans="2:96" ht="60" x14ac:dyDescent="0.25">
      <c r="B508" s="341" t="s">
        <v>2897</v>
      </c>
      <c r="C508" s="246">
        <f>_xlfn.XLOOKUP(FMS_Ranking4[[#This Row],[FMS ID]],FMS_Input[FMS_ID],FMS_Input[RFPG_NUM])</f>
        <v>5</v>
      </c>
      <c r="D508" s="309" t="str">
        <f>_xlfn.XLOOKUP(FMS_Ranking4[[#This Row],[FMS ID]],FMS_Input[FMS_ID],FMS_Input[FMS_NAME])</f>
        <v>City of Rose Hill Acres Voluntary Flood Buyout</v>
      </c>
      <c r="E508" s="308" t="str">
        <f>_xlfn.XLOOKUP(FMS_Ranking4[[#This Row],[FMS ID]],FMS_Input[FMS_ID],FMS_Input[SPONSOR])</f>
        <v>05003029</v>
      </c>
      <c r="F508" s="309" t="str">
        <f>_xlfn.XLOOKUP(FMS_Ranking4[[#This Row],[FMS ID]],Sponsor[FMS_ID],Sponsor[SPONSOR NAME])</f>
        <v>Rose Hill Acres</v>
      </c>
      <c r="G508" s="309" t="str">
        <f>_xlfn.XLOOKUP(FMS_Ranking4[[#This Row],[FMS ID]],FMS_Input[FMS_ID],FMS_Input[FMS_DESCR])</f>
        <v>Voluntary flood buyouts.</v>
      </c>
      <c r="H508" s="248" t="str">
        <f>_xlfn.XLOOKUP(FMS_Ranking4[[#This Row],[FMS ID]],FMS_Input[FMS_ID],FMS_Input[FMS_TYPE])</f>
        <v>Property Acquisition and Structural Elevation</v>
      </c>
      <c r="I508" s="249">
        <f>_xlfn.XLOOKUP(FMS_Ranking4[[#This Row],[FMS ID]],FMS_Input[FMS_ID],FMS_Input[NRNC_COST])</f>
        <v>90000</v>
      </c>
      <c r="J508" s="250">
        <f>_xlfn.XLOOKUP(FMS_Ranking4[[#This Row],[FMS ID]],FMS_Input[FMS_ID],FMS_Input[FMS_COST])</f>
        <v>5000000</v>
      </c>
      <c r="K508" s="251" t="str">
        <f>_xlfn.XLOOKUP(FMS_Ranking4[[#This Row],[FMS ID]],FMS_Input[FMS_ID],FMS_Input[EMER_NEED])</f>
        <v>Yes</v>
      </c>
      <c r="L508" s="252">
        <f t="shared" si="7"/>
        <v>1</v>
      </c>
      <c r="M508" s="253">
        <f>_xlfn.XLOOKUP(FMS_Ranking4[[#This Row],[FMS ID]],FMS_Input[FMS_ID],FMS_Input[STRUCT_100])</f>
        <v>134</v>
      </c>
      <c r="N508" s="255">
        <f>(ASINH(FMS_Ranking4[[#This Row],[Structure at Risk Raw]]))*(10)/(ASINH(M$4))</f>
        <v>4.3953591738488607</v>
      </c>
      <c r="O508" s="256">
        <f>FMS_Ranking4[[#This Row],[Structures at risk, ArcSinh (0-10)]]*M$5*10</f>
        <v>4.3953591738488607</v>
      </c>
      <c r="P508" s="253">
        <f>_xlfn.XLOOKUP(FMS_Ranking4[[#This Row],[FMS ID]],FMS_Input[FMS_ID],FMS_Input[RES_STRUCT100])</f>
        <v>123</v>
      </c>
      <c r="Q508" s="257">
        <f>ASINH(FMS_Ranking4[[#This Row],[Res Structure Raw]])/Q$4*P$5*100</f>
        <v>0</v>
      </c>
      <c r="R508" s="253">
        <f>_xlfn.XLOOKUP(FMS_Ranking4[[#This Row],[FMS ID]],FMS_Input[FMS_ID],FMS_Input[POP100])</f>
        <v>278</v>
      </c>
      <c r="S508" s="259">
        <f>(ASINH(FMS_Ranking4[[#This Row],[Pop at Risk Raw]]))*(10)/(ASINH(R$4))</f>
        <v>4.3635965687503218</v>
      </c>
      <c r="T508" s="256">
        <f>FMS_Ranking4[[#This Row],[Population at risk, ArcSinh (0-10)]]*R$5*10</f>
        <v>4.3635965687503218</v>
      </c>
      <c r="U508" s="253">
        <f>_xlfn.XLOOKUP(FMS_Ranking4[[#This Row],[FMS ID]],FMS_Input[FMS_ID],FMS_Input[CRITFAC100])</f>
        <v>0</v>
      </c>
      <c r="V508" s="259">
        <f>(ASINH(FMS_Ranking4[[#This Row],[Critical Facilities Raw]]))*(10)/(ASINH(U$4))</f>
        <v>0</v>
      </c>
      <c r="W508" s="256">
        <f>FMS_Ranking4[[#This Row],[Critical facilities at risk, ArcSinh (0-10)]]*U$5*10</f>
        <v>0</v>
      </c>
      <c r="X508" s="253">
        <f>_xlfn.XLOOKUP(FMS_Ranking4[[#This Row],[FMS ID]],FMS_Input[FMS_ID],FMS_Input[LWC])</f>
        <v>0</v>
      </c>
      <c r="Y508" s="259">
        <f>(ASINH(FMS_Ranking4[[#This Row],[LWC Raw]]))*(10)/(ASINH(X$4))</f>
        <v>0</v>
      </c>
      <c r="Z508" s="256">
        <f>FMS_Ranking4[[#This Row],[LWC, ArcSInh (0-10)]]*X$5*10</f>
        <v>0</v>
      </c>
      <c r="AA508" s="253">
        <f>_xlfn.XLOOKUP(FMS_Ranking4[[#This Row],[FMS ID]],FMS_Input[FMS_ID],FMS_Input[ROADCLS])</f>
        <v>0</v>
      </c>
      <c r="AB508" s="255">
        <f>(ASINH(FMS_Ranking4[[#This Row],[Road Closures Raw]]))*(10)/(ASINH(AA$4))</f>
        <v>0</v>
      </c>
      <c r="AC508" s="256">
        <f>FMS_Ranking4[[#This Row],[Road closures, ArcSinh (0-10)]]*AA$5*10</f>
        <v>0</v>
      </c>
      <c r="AD508" s="253">
        <f>_xlfn.XLOOKUP(FMS_Ranking4[[#This Row],[FMS ID]],FMS_Input[FMS_ID],FMS_Input[ROAD_MILES100])</f>
        <v>2</v>
      </c>
      <c r="AE508" s="259">
        <f>(ASINH(FMS_Ranking4[[#This Row],[Road Miles Raw]]))*(10)/(ASINH(AD$4))</f>
        <v>1.5385182374234352</v>
      </c>
      <c r="AF508" s="256">
        <f>FMS_Ranking4[[#This Row],[Length of roads at risk, ArcSinh (0-10)]]*AD$5*10</f>
        <v>1.5385182374234352</v>
      </c>
      <c r="AG508" s="253">
        <f>_xlfn.XLOOKUP(FMS_Ranking4[[#This Row],[FMS ID]],FMS_Input[FMS_ID],FMS_Input[FARMACRE100])</f>
        <v>0.2223948389291763</v>
      </c>
      <c r="AH508" s="255">
        <f>(ASINH(FMS_Ranking4[[#This Row],[Ag Land Raw]]))*(10)/(ASINH(AG$4))</f>
        <v>0.14329846728042792</v>
      </c>
      <c r="AI508" s="260">
        <f>FMS_Ranking4[[#This Row],[Farm &amp; ranch land, ArcSinh (0-10)]]*AG$5*10</f>
        <v>7.1649233640213972E-2</v>
      </c>
      <c r="AJ508" s="258">
        <f>_xlfn.XLOOKUP(FMS_Ranking4[[#This Row],[FMS ID]],FMS_Input[FMS_ID],FMS_Input[REDSTRUCT100])</f>
        <v>0</v>
      </c>
      <c r="AK508" s="253">
        <f>_xlfn.XLOOKUP(FMS_Ranking4[[#This Row],[FMS ID]],FMS_Input[FMS_ID],FMS_Input[REMSTRC100])</f>
        <v>0</v>
      </c>
      <c r="AL508" s="259">
        <f>(ASINH(FMS_Ranking4[[#This Row],[Structures Removed Raw]]))*(10)/(ASINH(AK$4))</f>
        <v>0</v>
      </c>
      <c r="AM508" s="262">
        <f>FMS_Ranking4[[#This Row],[Structures removed, ArcSinh (0-10)]]*AK$5*10</f>
        <v>0</v>
      </c>
      <c r="AN508" s="253">
        <f>_xlfn.XLOOKUP(FMS_Ranking4[[#This Row],[FMS ID]],FMS_Input[FMS_ID],FMS_Input[REMRESSTRC100])</f>
        <v>0</v>
      </c>
      <c r="AO508" s="261">
        <f>FMS_Ranking4[[#This Row],[ArcSinh Res struct removed 0-10]]*AN$5*10</f>
        <v>0</v>
      </c>
      <c r="AP508" s="260">
        <f>ASINH(FMS_Ranking4[[#This Row],[Residential Structures Removed Raw]])/AP$4*AN$5*100</f>
        <v>0</v>
      </c>
      <c r="AQ508" s="254">
        <f>(ASINH(FMS_Ranking4[[#This Row],[Residential Structures Removed Raw]]))*(10)/(ASINH(AN$4))</f>
        <v>0</v>
      </c>
      <c r="AR508" s="253">
        <f>_xlfn.XLOOKUP(FMS_Ranking4[[#This Row],[FMS ID]],FMS_Input[FMS_ID],FMS_Input[REMPOP100])</f>
        <v>0</v>
      </c>
      <c r="AS508" s="259">
        <f>(ASINH(FMS_Ranking4[[#This Row],[Removed Pop Raw]]))*(10)/(ASINH(AR$4))</f>
        <v>0</v>
      </c>
      <c r="AT508" s="262">
        <f>FMS_Ranking4[[#This Row],[Removed population, ArcSinh (0-10)]]*AR$5*10</f>
        <v>0</v>
      </c>
      <c r="AU508" s="264">
        <f>_xlfn.XLOOKUP(FMS_Ranking4[[#This Row],[FMS ID]],FMS_Input[FMS_ID],FMS_Input[REMCRITFAC100])</f>
        <v>0</v>
      </c>
      <c r="AV508" s="264">
        <f>_xlfn.XLOOKUP(FMS_Ranking4[[#This Row],[FMS ID]],FMS_Input[FMS_ID],FMS_Input[REMLWC100])</f>
        <v>0</v>
      </c>
      <c r="AW508" s="264">
        <f>_xlfn.XLOOKUP(FMS_Ranking4[[#This Row],[FMS ID]],FMS_Input[FMS_ID],FMS_Input[REMROADCLS])</f>
        <v>0</v>
      </c>
      <c r="AX508" s="264">
        <f>_xlfn.XLOOKUP(FMS_Ranking4[[#This Row],[FMS ID]],FMS_Input[FMS_ID],FMS_Input[REMFRMACRE100])</f>
        <v>0</v>
      </c>
      <c r="AY508" s="258">
        <f>_xlfn.XLOOKUP(FMS_Ranking4[[#This Row],[FMS ID]],FMS_Input[FMS_ID],FMS_Input[COSTSTRUCT])</f>
        <v>0</v>
      </c>
      <c r="AZ508" s="253">
        <f>_xlfn.XLOOKUP(FMS_Ranking4[[#This Row],[FMS ID]],FMS_Input[FMS_ID],FMS_Input[NATURE])</f>
        <v>100</v>
      </c>
      <c r="BA508" s="262">
        <f>(((FMS_Ranking4[[#This Row],[% NBS Raw]]/AZ$4)*100)*AZ$5)</f>
        <v>7.5</v>
      </c>
      <c r="BB508" s="251" t="str">
        <f>_xlfn.XLOOKUP(FMS_Ranking4[[#This Row],[FMS ID]],FMS_Input[FMS_ID],FMS_Input[WATER_SUP])</f>
        <v>No</v>
      </c>
      <c r="BC508" s="265">
        <f>IF(FMS_Ranking4[[#This Row],[Water Supply Raw]]="Yes",10,0)</f>
        <v>0</v>
      </c>
      <c r="BD508" s="266">
        <f>_xlfn.XLOOKUP(FMS_Ranking4[[#This Row],[FMS Type]],FMS_TYPE[FMS_Type],FMS_TYPE[Score])</f>
        <v>4</v>
      </c>
      <c r="BE508" s="267">
        <f>FMS_Ranking4[[#This Row],[FMS_Type Score]]*$BD$5*10</f>
        <v>1</v>
      </c>
      <c r="BF50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1.4224287924140948E-2</v>
      </c>
      <c r="BG508" s="271">
        <f>_xlfn.RANK.EQ(BF508,$BF$8:$BF$870,0)+COUNTIF($BF$8:BF508,BF508)-1</f>
        <v>656</v>
      </c>
      <c r="BH508" s="268">
        <f>(((FMS_Ranking4[[#This Row],[Structures Removed Raw]]/AK$4)*100)*AK$5)+(((FMS_Ranking4[[#This Row],[Removed Pop Raw]]/AR$4)*100)*AR$5)</f>
        <v>0</v>
      </c>
      <c r="BI50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8.5142242879241401</v>
      </c>
      <c r="BJ508" s="205">
        <f>_xlfn.RANK.EQ(FMS_Ranking4[[#This Row],[Total Score 
(with linear
normalization)]],FMS_Ranking4[Total Score 
(with linear
normalization)],0)</f>
        <v>80</v>
      </c>
      <c r="BK508" s="205" t="e">
        <f>_xlfn.XLOOKUP(FMS_Ranking4[[#This Row],[FMS ID]],#REF!,#REF!)</f>
        <v>#REF!</v>
      </c>
      <c r="BL50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10.369123213662832</v>
      </c>
      <c r="BM508" s="272">
        <f>FMS_Ranking4[[#This Row],[ArcSinh Score Based on Normalized Reported Factors]]+FMS_Ranking4[[#This Row],[% NBS Score (Normalized)]]+(FMS_Ranking4[[#This Row],[Water Supply Score (Normalized)]]*10*$BB$5)+FMS_Ranking4[[#This Row],[FMS_Type Score Weighted]]</f>
        <v>18.869123213662832</v>
      </c>
      <c r="BN508" s="205">
        <f>_xlfn.RANK.EQ(FMS_Ranking4[[#This Row],[Total Score (with ArcSinh normalization of select criteria)]],FMS_Ranking4[Total Score (with ArcSinh normalization of select criteria)],0)</f>
        <v>501</v>
      </c>
      <c r="BO508" s="270" t="str">
        <f>_xlfn.XLOOKUP(FMS_Ranking4[[#This Row],[FMS ID]],FMS_Input[FMS_ID],FMS_Input[FMS_RANK_YEAR])</f>
        <v>2023 Amended Plan</v>
      </c>
      <c r="BP508" s="204">
        <f>_xlfn.XLOOKUP(FMS_Ranking4[[#This Row],[FMS ID]],Prev_Rank[FMS ID],Prev_Rank[Prev Rank])</f>
        <v>448</v>
      </c>
      <c r="BQ508" s="205" t="e">
        <f>_xlfn.XLOOKUP(FMS_Ranking4[[#This Row],[FMS ID]],#REF!,#REF!)</f>
        <v>#REF!</v>
      </c>
      <c r="BR508" s="199" t="e">
        <f>SUM(#REF!,#REF!,#REF!,#REF!,#REF!,#REF!,#REF!,#REF!,#REF!,FMS_Ranking4[[#This Row],[ArcSinh Res struct removed 0-10]],#REF!)</f>
        <v>#REF!</v>
      </c>
      <c r="BS508" s="199" t="e">
        <f>FMS_Ranking4[[#This Row],[Log Score Based on Normalized Reported Factors]]+FMS_Ranking4[[#This Row],[% NBS Score (Normalized)]]+(FMS_Ranking4[[#This Row],[Water Supply Score (Normalized)]]*10*$BB$5)+(FMS_Ranking4[[#This Row],[FMS_Type Score Weighted]])</f>
        <v>#REF!</v>
      </c>
      <c r="BT508" s="200" t="e">
        <f>_xlfn.RANK.EQ(FMS_Ranking4[[#This Row],[Log Total Score]],FMS_Ranking4[Log Total Score],0)</f>
        <v>#REF!</v>
      </c>
      <c r="BU508" s="200" t="e">
        <f>_xlfn.XLOOKUP(FMS_Ranking4[[#This Row],[FMS ID]],#REF!,#REF!)</f>
        <v>#REF!</v>
      </c>
      <c r="BV508" s="200">
        <f>FMS_Ranking4[[#This Row],[Region Number]]</f>
        <v>5</v>
      </c>
      <c r="BW508" s="200">
        <f>FMS_Ranking4[[#This Row],[Rank (with ArcSinh normalization of select criteria)]]-FMS_Ranking4[[#This Row],[Rank
(with linear
normalization)]]</f>
        <v>421</v>
      </c>
      <c r="BX508" s="200" t="e">
        <f>FMS_Ranking4[[#This Row],[Log Rank]]-FMS_Ranking4[[#This Row],[Rank
(with linear
normalization)]]</f>
        <v>#REF!</v>
      </c>
      <c r="BY508" s="200" t="str">
        <f>IF(FMS_Ranking4[[#This Row],[FMS Type]]="Flood Measurement and Warning",FMS_Ranking4[[#This Row],[Rank (with ArcSinh normalization of select criteria)]],"")</f>
        <v/>
      </c>
      <c r="BZ508" s="200" t="str">
        <f>IF(FMS_Ranking4[[#This Row],[FMS Type]]="Regulatory and Guidance",FMS_Ranking4[[#This Row],[Rank (with ArcSinh normalization of select criteria)]],"")</f>
        <v/>
      </c>
      <c r="CA508" s="200" t="str">
        <f>IF(FMS_Ranking4[[#This Row],[FMS Type]]="Education and Outreach",FMS_Ranking4[[#This Row],[Rank (with ArcSinh normalization of select criteria)]],"")</f>
        <v/>
      </c>
      <c r="CB508" s="200">
        <f>IF(FMS_Ranking4[[#This Row],[FMS Type]]="Property Acquisition and Structural Elevation",FMS_Ranking4[[#This Row],[Rank (with ArcSinh normalization of select criteria)]],"")</f>
        <v>501</v>
      </c>
      <c r="CC508" s="200" t="str">
        <f>IF(FMS_Ranking4[[#This Row],[FMS Type]]="Infrastructure Projects",FMS_Ranking4[[#This Row],[Rank (with ArcSinh normalization of select criteria)]],"")</f>
        <v/>
      </c>
      <c r="CD508" s="200" t="str">
        <f>IF(FMS_Ranking4[[#This Row],[FMS Type]]="Other",FMS_Ranking4[[#This Row],[Rank (with ArcSinh normalization of select criteria)]],"")</f>
        <v/>
      </c>
      <c r="CE508" s="201"/>
      <c r="CF508" s="206"/>
      <c r="CG508" s="206"/>
      <c r="CH508" s="206"/>
      <c r="CI508" s="206"/>
      <c r="CJ508" s="206"/>
      <c r="CK508" s="206"/>
      <c r="CL508" s="206"/>
      <c r="CM508" s="206"/>
      <c r="CN508" s="206"/>
      <c r="CO508" s="206"/>
      <c r="CP508" s="206"/>
      <c r="CQ508" s="206"/>
      <c r="CR508" s="206"/>
    </row>
    <row r="509" spans="2:96" ht="60" x14ac:dyDescent="0.25">
      <c r="B509" s="341" t="s">
        <v>1915</v>
      </c>
      <c r="C509" s="246">
        <f>_xlfn.XLOOKUP(FMS_Ranking4[[#This Row],[FMS ID]],FMS_Input[FMS_ID],FMS_Input[RFPG_NUM])</f>
        <v>3</v>
      </c>
      <c r="D509" s="309" t="str">
        <f>_xlfn.XLOOKUP(FMS_Ranking4[[#This Row],[FMS ID]],FMS_Input[FMS_ID],FMS_Input[FMS_NAME])</f>
        <v>Hill County Flooding Regulations Update</v>
      </c>
      <c r="E509" s="308" t="str">
        <f>_xlfn.XLOOKUP(FMS_Ranking4[[#This Row],[FMS ID]],FMS_Input[FMS_ID],FMS_Input[SPONSOR])</f>
        <v>Hill County</v>
      </c>
      <c r="F509" s="309" t="str">
        <f>_xlfn.XLOOKUP(FMS_Ranking4[[#This Row],[FMS ID]],Sponsor[FMS_ID],Sponsor[SPONSOR NAME])</f>
        <v>Hill County</v>
      </c>
      <c r="G509" s="309" t="str">
        <f>_xlfn.XLOOKUP(FMS_Ranking4[[#This Row],[FMS ID]],FMS_Input[FMS_ID],FMS_Input[FMS_DESCR])</f>
        <v>Catalog, evaluate, and update any floodplain regulations within the City to comply with the latest FEMA regulations.</v>
      </c>
      <c r="H509" s="248" t="str">
        <f>_xlfn.XLOOKUP(FMS_Ranking4[[#This Row],[FMS ID]],FMS_Input[FMS_ID],FMS_Input[FMS_TYPE])</f>
        <v>Regulatory and Guidance</v>
      </c>
      <c r="I509" s="249">
        <f>_xlfn.XLOOKUP(FMS_Ranking4[[#This Row],[FMS ID]],FMS_Input[FMS_ID],FMS_Input[NRNC_COST])</f>
        <v>100000</v>
      </c>
      <c r="J509" s="250">
        <f>_xlfn.XLOOKUP(FMS_Ranking4[[#This Row],[FMS ID]],FMS_Input[FMS_ID],FMS_Input[FMS_COST])</f>
        <v>100000</v>
      </c>
      <c r="K509" s="251" t="str">
        <f>_xlfn.XLOOKUP(FMS_Ranking4[[#This Row],[FMS ID]],FMS_Input[FMS_ID],FMS_Input[EMER_NEED])</f>
        <v>No</v>
      </c>
      <c r="L509" s="252">
        <f t="shared" si="7"/>
        <v>0</v>
      </c>
      <c r="M509" s="253">
        <f>_xlfn.XLOOKUP(FMS_Ranking4[[#This Row],[FMS ID]],FMS_Input[FMS_ID],FMS_Input[STRUCT_100])</f>
        <v>127</v>
      </c>
      <c r="N509" s="255">
        <f>(ASINH(FMS_Ranking4[[#This Row],[Structure at Risk Raw]]))*(10)/(ASINH(M$4))</f>
        <v>4.3531813922880875</v>
      </c>
      <c r="O509" s="256">
        <f>FMS_Ranking4[[#This Row],[Structures at risk, ArcSinh (0-10)]]*M$5*10</f>
        <v>4.3531813922880875</v>
      </c>
      <c r="P509" s="253">
        <f>_xlfn.XLOOKUP(FMS_Ranking4[[#This Row],[FMS ID]],FMS_Input[FMS_ID],FMS_Input[RES_STRUCT100])</f>
        <v>83</v>
      </c>
      <c r="Q509" s="257">
        <f>ASINH(FMS_Ranking4[[#This Row],[Res Structure Raw]])/Q$4*P$5*100</f>
        <v>0</v>
      </c>
      <c r="R509" s="253">
        <f>_xlfn.XLOOKUP(FMS_Ranking4[[#This Row],[FMS ID]],FMS_Input[FMS_ID],FMS_Input[POP100])</f>
        <v>93</v>
      </c>
      <c r="S509" s="259">
        <f>(ASINH(FMS_Ranking4[[#This Row],[Pop at Risk Raw]]))*(10)/(ASINH(R$4))</f>
        <v>3.6076571150161345</v>
      </c>
      <c r="T509" s="256">
        <f>FMS_Ranking4[[#This Row],[Population at risk, ArcSinh (0-10)]]*R$5*10</f>
        <v>3.6076571150161345</v>
      </c>
      <c r="U509" s="253">
        <f>_xlfn.XLOOKUP(FMS_Ranking4[[#This Row],[FMS ID]],FMS_Input[FMS_ID],FMS_Input[CRITFAC100])</f>
        <v>0</v>
      </c>
      <c r="V509" s="259">
        <f>(ASINH(FMS_Ranking4[[#This Row],[Critical Facilities Raw]]))*(10)/(ASINH(U$4))</f>
        <v>0</v>
      </c>
      <c r="W509" s="256">
        <f>FMS_Ranking4[[#This Row],[Critical facilities at risk, ArcSinh (0-10)]]*U$5*10</f>
        <v>0</v>
      </c>
      <c r="X509" s="253">
        <f>_xlfn.XLOOKUP(FMS_Ranking4[[#This Row],[FMS ID]],FMS_Input[FMS_ID],FMS_Input[LWC])</f>
        <v>1</v>
      </c>
      <c r="Y509" s="259">
        <f>(ASINH(FMS_Ranking4[[#This Row],[LWC Raw]]))*(10)/(ASINH(X$4))</f>
        <v>1.1940300948531093</v>
      </c>
      <c r="Z509" s="256">
        <f>FMS_Ranking4[[#This Row],[LWC, ArcSInh (0-10)]]*X$5*10</f>
        <v>1.1940300948531093</v>
      </c>
      <c r="AA509" s="253">
        <f>_xlfn.XLOOKUP(FMS_Ranking4[[#This Row],[FMS ID]],FMS_Input[FMS_ID],FMS_Input[ROADCLS])</f>
        <v>0</v>
      </c>
      <c r="AB509" s="255">
        <f>(ASINH(FMS_Ranking4[[#This Row],[Road Closures Raw]]))*(10)/(ASINH(AA$4))</f>
        <v>0</v>
      </c>
      <c r="AC509" s="256">
        <f>FMS_Ranking4[[#This Row],[Road closures, ArcSinh (0-10)]]*AA$5*10</f>
        <v>0</v>
      </c>
      <c r="AD509" s="253">
        <f>_xlfn.XLOOKUP(FMS_Ranking4[[#This Row],[FMS ID]],FMS_Input[FMS_ID],FMS_Input[ROAD_MILES100])</f>
        <v>24</v>
      </c>
      <c r="AE509" s="259">
        <f>(ASINH(FMS_Ranking4[[#This Row],[Road Miles Raw]]))*(10)/(ASINH(AD$4))</f>
        <v>4.1260974697280659</v>
      </c>
      <c r="AF509" s="256">
        <f>FMS_Ranking4[[#This Row],[Length of roads at risk, ArcSinh (0-10)]]*AD$5*10</f>
        <v>4.1260974697280659</v>
      </c>
      <c r="AG509" s="253">
        <f>_xlfn.XLOOKUP(FMS_Ranking4[[#This Row],[FMS ID]],FMS_Input[FMS_ID],FMS_Input[FARMACRE100])</f>
        <v>24901.609375</v>
      </c>
      <c r="AH509" s="255">
        <f>(ASINH(FMS_Ranking4[[#This Row],[Ag Land Raw]]))*(10)/(ASINH(AG$4))</f>
        <v>7.0257659228773175</v>
      </c>
      <c r="AI509" s="260">
        <f>FMS_Ranking4[[#This Row],[Farm &amp; ranch land, ArcSinh (0-10)]]*AG$5*10</f>
        <v>3.5128829614386592</v>
      </c>
      <c r="AJ509" s="258">
        <f>_xlfn.XLOOKUP(FMS_Ranking4[[#This Row],[FMS ID]],FMS_Input[FMS_ID],FMS_Input[REDSTRUCT100])</f>
        <v>0</v>
      </c>
      <c r="AK509" s="253">
        <f>_xlfn.XLOOKUP(FMS_Ranking4[[#This Row],[FMS ID]],FMS_Input[FMS_ID],FMS_Input[REMSTRC100])</f>
        <v>0</v>
      </c>
      <c r="AL509" s="259">
        <f>(ASINH(FMS_Ranking4[[#This Row],[Structures Removed Raw]]))*(10)/(ASINH(AK$4))</f>
        <v>0</v>
      </c>
      <c r="AM509" s="262">
        <f>FMS_Ranking4[[#This Row],[Structures removed, ArcSinh (0-10)]]*AK$5*10</f>
        <v>0</v>
      </c>
      <c r="AN509" s="253">
        <f>_xlfn.XLOOKUP(FMS_Ranking4[[#This Row],[FMS ID]],FMS_Input[FMS_ID],FMS_Input[REMRESSTRC100])</f>
        <v>0</v>
      </c>
      <c r="AO509" s="261">
        <f>FMS_Ranking4[[#This Row],[ArcSinh Res struct removed 0-10]]*AN$5*10</f>
        <v>0</v>
      </c>
      <c r="AP509" s="260">
        <f>ASINH(FMS_Ranking4[[#This Row],[Residential Structures Removed Raw]])/AP$4*AN$5*100</f>
        <v>0</v>
      </c>
      <c r="AQ509" s="254">
        <f>(ASINH(FMS_Ranking4[[#This Row],[Residential Structures Removed Raw]]))*(10)/(ASINH(AN$4))</f>
        <v>0</v>
      </c>
      <c r="AR509" s="253">
        <f>_xlfn.XLOOKUP(FMS_Ranking4[[#This Row],[FMS ID]],FMS_Input[FMS_ID],FMS_Input[REMPOP100])</f>
        <v>0</v>
      </c>
      <c r="AS509" s="259">
        <f>(ASINH(FMS_Ranking4[[#This Row],[Removed Pop Raw]]))*(10)/(ASINH(AR$4))</f>
        <v>0</v>
      </c>
      <c r="AT509" s="262">
        <f>FMS_Ranking4[[#This Row],[Removed population, ArcSinh (0-10)]]*AR$5*10</f>
        <v>0</v>
      </c>
      <c r="AU509" s="264">
        <f>_xlfn.XLOOKUP(FMS_Ranking4[[#This Row],[FMS ID]],FMS_Input[FMS_ID],FMS_Input[REMCRITFAC100])</f>
        <v>0</v>
      </c>
      <c r="AV509" s="264">
        <f>_xlfn.XLOOKUP(FMS_Ranking4[[#This Row],[FMS ID]],FMS_Input[FMS_ID],FMS_Input[REMLWC100])</f>
        <v>0</v>
      </c>
      <c r="AW509" s="264">
        <f>_xlfn.XLOOKUP(FMS_Ranking4[[#This Row],[FMS ID]],FMS_Input[FMS_ID],FMS_Input[REMROADCLS])</f>
        <v>0</v>
      </c>
      <c r="AX509" s="264">
        <f>_xlfn.XLOOKUP(FMS_Ranking4[[#This Row],[FMS ID]],FMS_Input[FMS_ID],FMS_Input[REMFRMACRE100])</f>
        <v>0</v>
      </c>
      <c r="AY509" s="258">
        <f>_xlfn.XLOOKUP(FMS_Ranking4[[#This Row],[FMS ID]],FMS_Input[FMS_ID],FMS_Input[COSTSTRUCT])</f>
        <v>0</v>
      </c>
      <c r="AZ509" s="253">
        <f>_xlfn.XLOOKUP(FMS_Ranking4[[#This Row],[FMS ID]],FMS_Input[FMS_ID],FMS_Input[NATURE])</f>
        <v>0</v>
      </c>
      <c r="BA509" s="262">
        <f>(((FMS_Ranking4[[#This Row],[% NBS Raw]]/AZ$4)*100)*AZ$5)</f>
        <v>0</v>
      </c>
      <c r="BB509" s="251" t="str">
        <f>_xlfn.XLOOKUP(FMS_Ranking4[[#This Row],[FMS ID]],FMS_Input[FMS_ID],FMS_Input[WATER_SUP])</f>
        <v>No</v>
      </c>
      <c r="BC509" s="265">
        <f>IF(FMS_Ranking4[[#This Row],[Water Supply Raw]]="Yes",10,0)</f>
        <v>0</v>
      </c>
      <c r="BD509" s="266">
        <f>_xlfn.XLOOKUP(FMS_Ranking4[[#This Row],[FMS Type]],FMS_TYPE[FMS_Type],FMS_TYPE[Score])</f>
        <v>8</v>
      </c>
      <c r="BE509" s="267">
        <f>FMS_Ranking4[[#This Row],[FMS_Type Score]]*$BD$5*10</f>
        <v>2</v>
      </c>
      <c r="BF50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0.11271834096824757</v>
      </c>
      <c r="BG509" s="271">
        <f>_xlfn.RANK.EQ(BF509,$BF$8:$BF$870,0)+COUNTIF($BF$8:BF509,BF509)-1</f>
        <v>468</v>
      </c>
      <c r="BH509" s="268">
        <f>(((FMS_Ranking4[[#This Row],[Structures Removed Raw]]/AK$4)*100)*AK$5)+(((FMS_Ranking4[[#This Row],[Removed Pop Raw]]/AR$4)*100)*AR$5)</f>
        <v>0</v>
      </c>
      <c r="BI50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2.1127183409682475</v>
      </c>
      <c r="BJ509" s="205">
        <f>_xlfn.RANK.EQ(FMS_Ranking4[[#This Row],[Total Score 
(with linear
normalization)]],FMS_Ranking4[Total Score 
(with linear
normalization)],0)</f>
        <v>361</v>
      </c>
      <c r="BK509" s="205" t="e">
        <f>_xlfn.XLOOKUP(FMS_Ranking4[[#This Row],[FMS ID]],#REF!,#REF!)</f>
        <v>#REF!</v>
      </c>
      <c r="BL50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16.793849033324058</v>
      </c>
      <c r="BM509" s="272">
        <f>FMS_Ranking4[[#This Row],[ArcSinh Score Based on Normalized Reported Factors]]+FMS_Ranking4[[#This Row],[% NBS Score (Normalized)]]+(FMS_Ranking4[[#This Row],[Water Supply Score (Normalized)]]*10*$BB$5)+FMS_Ranking4[[#This Row],[FMS_Type Score Weighted]]</f>
        <v>18.793849033324058</v>
      </c>
      <c r="BN509" s="205">
        <f>_xlfn.RANK.EQ(FMS_Ranking4[[#This Row],[Total Score (with ArcSinh normalization of select criteria)]],FMS_Ranking4[Total Score (with ArcSinh normalization of select criteria)],0)</f>
        <v>502</v>
      </c>
      <c r="BO509" s="270" t="str">
        <f>_xlfn.XLOOKUP(FMS_Ranking4[[#This Row],[FMS ID]],FMS_Input[FMS_ID],FMS_Input[FMS_RANK_YEAR])</f>
        <v>2023 Amended Plan</v>
      </c>
      <c r="BP509" s="204">
        <f>_xlfn.XLOOKUP(FMS_Ranking4[[#This Row],[FMS ID]],Prev_Rank[FMS ID],Prev_Rank[Prev Rank])</f>
        <v>450</v>
      </c>
      <c r="BQ509" s="205" t="e">
        <f>_xlfn.XLOOKUP(FMS_Ranking4[[#This Row],[FMS ID]],#REF!,#REF!)</f>
        <v>#REF!</v>
      </c>
      <c r="BR509" s="199" t="e">
        <f>SUM(#REF!,#REF!,#REF!,#REF!,#REF!,#REF!,#REF!,#REF!,#REF!,FMS_Ranking4[[#This Row],[ArcSinh Res struct removed 0-10]],#REF!)</f>
        <v>#REF!</v>
      </c>
      <c r="BS509" s="199" t="e">
        <f>FMS_Ranking4[[#This Row],[Log Score Based on Normalized Reported Factors]]+FMS_Ranking4[[#This Row],[% NBS Score (Normalized)]]+(FMS_Ranking4[[#This Row],[Water Supply Score (Normalized)]]*10*$BB$5)+(FMS_Ranking4[[#This Row],[FMS_Type Score Weighted]])</f>
        <v>#REF!</v>
      </c>
      <c r="BT509" s="200" t="e">
        <f>_xlfn.RANK.EQ(FMS_Ranking4[[#This Row],[Log Total Score]],FMS_Ranking4[Log Total Score],0)</f>
        <v>#REF!</v>
      </c>
      <c r="BU509" s="200" t="e">
        <f>_xlfn.XLOOKUP(FMS_Ranking4[[#This Row],[FMS ID]],#REF!,#REF!)</f>
        <v>#REF!</v>
      </c>
      <c r="BV509" s="200">
        <f>FMS_Ranking4[[#This Row],[Region Number]]</f>
        <v>3</v>
      </c>
      <c r="BW509" s="200">
        <f>FMS_Ranking4[[#This Row],[Rank (with ArcSinh normalization of select criteria)]]-FMS_Ranking4[[#This Row],[Rank
(with linear
normalization)]]</f>
        <v>141</v>
      </c>
      <c r="BX509" s="200" t="e">
        <f>FMS_Ranking4[[#This Row],[Log Rank]]-FMS_Ranking4[[#This Row],[Rank
(with linear
normalization)]]</f>
        <v>#REF!</v>
      </c>
      <c r="BY509" s="200" t="str">
        <f>IF(FMS_Ranking4[[#This Row],[FMS Type]]="Flood Measurement and Warning",FMS_Ranking4[[#This Row],[Rank (with ArcSinh normalization of select criteria)]],"")</f>
        <v/>
      </c>
      <c r="BZ509" s="200">
        <f>IF(FMS_Ranking4[[#This Row],[FMS Type]]="Regulatory and Guidance",FMS_Ranking4[[#This Row],[Rank (with ArcSinh normalization of select criteria)]],"")</f>
        <v>502</v>
      </c>
      <c r="CA509" s="200" t="str">
        <f>IF(FMS_Ranking4[[#This Row],[FMS Type]]="Education and Outreach",FMS_Ranking4[[#This Row],[Rank (with ArcSinh normalization of select criteria)]],"")</f>
        <v/>
      </c>
      <c r="CB509" s="200" t="str">
        <f>IF(FMS_Ranking4[[#This Row],[FMS Type]]="Property Acquisition and Structural Elevation",FMS_Ranking4[[#This Row],[Rank (with ArcSinh normalization of select criteria)]],"")</f>
        <v/>
      </c>
      <c r="CC509" s="200" t="str">
        <f>IF(FMS_Ranking4[[#This Row],[FMS Type]]="Infrastructure Projects",FMS_Ranking4[[#This Row],[Rank (with ArcSinh normalization of select criteria)]],"")</f>
        <v/>
      </c>
      <c r="CD509" s="200" t="str">
        <f>IF(FMS_Ranking4[[#This Row],[FMS Type]]="Other",FMS_Ranking4[[#This Row],[Rank (with ArcSinh normalization of select criteria)]],"")</f>
        <v/>
      </c>
      <c r="CE509" s="201"/>
      <c r="CF509" s="206"/>
      <c r="CG509" s="206"/>
      <c r="CH509" s="206"/>
      <c r="CI509" s="206"/>
      <c r="CJ509" s="206"/>
      <c r="CK509" s="206"/>
      <c r="CL509" s="206"/>
      <c r="CM509" s="206"/>
      <c r="CN509" s="206"/>
      <c r="CO509" s="206"/>
      <c r="CP509" s="206"/>
      <c r="CQ509" s="206"/>
      <c r="CR509" s="206"/>
    </row>
    <row r="510" spans="2:96" ht="105" x14ac:dyDescent="0.25">
      <c r="B510" s="341" t="s">
        <v>4584</v>
      </c>
      <c r="C510" s="246">
        <f>_xlfn.XLOOKUP(FMS_Ranking4[[#This Row],[FMS ID]],FMS_Input[FMS_ID],FMS_Input[RFPG_NUM])</f>
        <v>4</v>
      </c>
      <c r="D510" s="309" t="str">
        <f>_xlfn.XLOOKUP(FMS_Ranking4[[#This Row],[FMS ID]],FMS_Input[FMS_ID],FMS_Input[FMS_NAME])</f>
        <v xml:space="preserve">Kaufman County Agreement to Monitor High Hazard Dams </v>
      </c>
      <c r="E510" s="308" t="str">
        <f>_xlfn.XLOOKUP(FMS_Ranking4[[#This Row],[FMS ID]],FMS_Input[FMS_ID],FMS_Input[SPONSOR])</f>
        <v>00000108</v>
      </c>
      <c r="F510" s="309" t="str">
        <f>_xlfn.XLOOKUP(FMS_Ranking4[[#This Row],[FMS ID]],Sponsor[FMS_ID],Sponsor[SPONSOR NAME])</f>
        <v>Kaufman</v>
      </c>
      <c r="G510" s="309" t="str">
        <f>_xlfn.XLOOKUP(FMS_Ranking4[[#This Row],[FMS ID]],FMS_Input[FMS_ID],FMS_Input[FMS_DESCR])</f>
        <v>Develop a mutual aid agreement with the City of Terrell, City of Kemp, City of Kaufman to monitor High hazard dams with automated monitor to minimize potential dam failure of the structure</v>
      </c>
      <c r="H510" s="248" t="str">
        <f>_xlfn.XLOOKUP(FMS_Ranking4[[#This Row],[FMS ID]],FMS_Input[FMS_ID],FMS_Input[FMS_TYPE])</f>
        <v>Flood Measurement and Warning</v>
      </c>
      <c r="I510" s="249">
        <f>_xlfn.XLOOKUP(FMS_Ranking4[[#This Row],[FMS ID]],FMS_Input[FMS_ID],FMS_Input[NRNC_COST])</f>
        <v>300000</v>
      </c>
      <c r="J510" s="250">
        <f>_xlfn.XLOOKUP(FMS_Ranking4[[#This Row],[FMS ID]],FMS_Input[FMS_ID],FMS_Input[FMS_COST])</f>
        <v>300000</v>
      </c>
      <c r="K510" s="251" t="str">
        <f>_xlfn.XLOOKUP(FMS_Ranking4[[#This Row],[FMS ID]],FMS_Input[FMS_ID],FMS_Input[EMER_NEED])</f>
        <v>No</v>
      </c>
      <c r="L510" s="252">
        <f t="shared" si="7"/>
        <v>0</v>
      </c>
      <c r="M510" s="253">
        <f>_xlfn.XLOOKUP(FMS_Ranking4[[#This Row],[FMS ID]],FMS_Input[FMS_ID],FMS_Input[STRUCT_100])</f>
        <v>79</v>
      </c>
      <c r="N510" s="255">
        <f>(ASINH(FMS_Ranking4[[#This Row],[Structure at Risk Raw]]))*(10)/(ASINH(M$4))</f>
        <v>3.9799849731225856</v>
      </c>
      <c r="O510" s="256">
        <f>FMS_Ranking4[[#This Row],[Structures at risk, ArcSinh (0-10)]]*M$5*10</f>
        <v>3.9799849731225856</v>
      </c>
      <c r="P510" s="253">
        <f>_xlfn.XLOOKUP(FMS_Ranking4[[#This Row],[FMS ID]],FMS_Input[FMS_ID],FMS_Input[RES_STRUCT100])</f>
        <v>58</v>
      </c>
      <c r="Q510" s="257">
        <f>ASINH(FMS_Ranking4[[#This Row],[Res Structure Raw]])/Q$4*P$5*100</f>
        <v>0</v>
      </c>
      <c r="R510" s="253">
        <f>_xlfn.XLOOKUP(FMS_Ranking4[[#This Row],[FMS ID]],FMS_Input[FMS_ID],FMS_Input[POP100])</f>
        <v>100</v>
      </c>
      <c r="S510" s="259">
        <f>(ASINH(FMS_Ranking4[[#This Row],[Pop at Risk Raw]]))*(10)/(ASINH(R$4))</f>
        <v>3.657754193512468</v>
      </c>
      <c r="T510" s="256">
        <f>FMS_Ranking4[[#This Row],[Population at risk, ArcSinh (0-10)]]*R$5*10</f>
        <v>3.657754193512468</v>
      </c>
      <c r="U510" s="253">
        <f>_xlfn.XLOOKUP(FMS_Ranking4[[#This Row],[FMS ID]],FMS_Input[FMS_ID],FMS_Input[CRITFAC100])</f>
        <v>0</v>
      </c>
      <c r="V510" s="259">
        <f>(ASINH(FMS_Ranking4[[#This Row],[Critical Facilities Raw]]))*(10)/(ASINH(U$4))</f>
        <v>0</v>
      </c>
      <c r="W510" s="256">
        <f>FMS_Ranking4[[#This Row],[Critical facilities at risk, ArcSinh (0-10)]]*U$5*10</f>
        <v>0</v>
      </c>
      <c r="X510" s="253">
        <f>_xlfn.XLOOKUP(FMS_Ranking4[[#This Row],[FMS ID]],FMS_Input[FMS_ID],FMS_Input[LWC])</f>
        <v>3</v>
      </c>
      <c r="Y510" s="259">
        <f>(ASINH(FMS_Ranking4[[#This Row],[LWC Raw]]))*(10)/(ASINH(X$4))</f>
        <v>2.4635181155638843</v>
      </c>
      <c r="Z510" s="256">
        <f>FMS_Ranking4[[#This Row],[LWC, ArcSInh (0-10)]]*X$5*10</f>
        <v>2.4635181155638843</v>
      </c>
      <c r="AA510" s="253">
        <f>_xlfn.XLOOKUP(FMS_Ranking4[[#This Row],[FMS ID]],FMS_Input[FMS_ID],FMS_Input[ROADCLS])</f>
        <v>3</v>
      </c>
      <c r="AB510" s="255">
        <f>(ASINH(FMS_Ranking4[[#This Row],[Road Closures Raw]]))*(10)/(ASINH(AA$4))</f>
        <v>1.8937450846072912</v>
      </c>
      <c r="AC510" s="256">
        <f>FMS_Ranking4[[#This Row],[Road closures, ArcSinh (0-10)]]*AA$5*10</f>
        <v>0.94687254230364559</v>
      </c>
      <c r="AD510" s="253">
        <f>_xlfn.XLOOKUP(FMS_Ranking4[[#This Row],[FMS ID]],FMS_Input[FMS_ID],FMS_Input[ROAD_MILES100])</f>
        <v>5</v>
      </c>
      <c r="AE510" s="259">
        <f>(ASINH(FMS_Ranking4[[#This Row],[Road Miles Raw]]))*(10)/(ASINH(AD$4))</f>
        <v>2.4644230639487872</v>
      </c>
      <c r="AF510" s="256">
        <f>FMS_Ranking4[[#This Row],[Length of roads at risk, ArcSinh (0-10)]]*AD$5*10</f>
        <v>2.4644230639487876</v>
      </c>
      <c r="AG510" s="253">
        <f>_xlfn.XLOOKUP(FMS_Ranking4[[#This Row],[FMS ID]],FMS_Input[FMS_ID],FMS_Input[FARMACRE100])</f>
        <v>2566.5</v>
      </c>
      <c r="AH510" s="255">
        <f>(ASINH(FMS_Ranking4[[#This Row],[Ag Land Raw]]))*(10)/(ASINH(AG$4))</f>
        <v>5.5496639461986454</v>
      </c>
      <c r="AI510" s="260">
        <f>FMS_Ranking4[[#This Row],[Farm &amp; ranch land, ArcSinh (0-10)]]*AG$5*10</f>
        <v>2.7748319730993227</v>
      </c>
      <c r="AJ510" s="258">
        <f>_xlfn.XLOOKUP(FMS_Ranking4[[#This Row],[FMS ID]],FMS_Input[FMS_ID],FMS_Input[REDSTRUCT100])</f>
        <v>0</v>
      </c>
      <c r="AK510" s="253">
        <f>_xlfn.XLOOKUP(FMS_Ranking4[[#This Row],[FMS ID]],FMS_Input[FMS_ID],FMS_Input[REMSTRC100])</f>
        <v>0</v>
      </c>
      <c r="AL510" s="259">
        <f>(ASINH(FMS_Ranking4[[#This Row],[Structures Removed Raw]]))*(10)/(ASINH(AK$4))</f>
        <v>0</v>
      </c>
      <c r="AM510" s="262">
        <f>FMS_Ranking4[[#This Row],[Structures removed, ArcSinh (0-10)]]*AK$5*10</f>
        <v>0</v>
      </c>
      <c r="AN510" s="253">
        <f>_xlfn.XLOOKUP(FMS_Ranking4[[#This Row],[FMS ID]],FMS_Input[FMS_ID],FMS_Input[REMRESSTRC100])</f>
        <v>0</v>
      </c>
      <c r="AO510" s="261">
        <f>FMS_Ranking4[[#This Row],[ArcSinh Res struct removed 0-10]]*AN$5*10</f>
        <v>0</v>
      </c>
      <c r="AP510" s="260">
        <f>ASINH(FMS_Ranking4[[#This Row],[Residential Structures Removed Raw]])/AP$4*AN$5*100</f>
        <v>0</v>
      </c>
      <c r="AQ510" s="254">
        <f>(ASINH(FMS_Ranking4[[#This Row],[Residential Structures Removed Raw]]))*(10)/(ASINH(AN$4))</f>
        <v>0</v>
      </c>
      <c r="AR510" s="253">
        <f>_xlfn.XLOOKUP(FMS_Ranking4[[#This Row],[FMS ID]],FMS_Input[FMS_ID],FMS_Input[REMPOP100])</f>
        <v>0</v>
      </c>
      <c r="AS510" s="259">
        <f>(ASINH(FMS_Ranking4[[#This Row],[Removed Pop Raw]]))*(10)/(ASINH(AR$4))</f>
        <v>0</v>
      </c>
      <c r="AT510" s="262">
        <f>FMS_Ranking4[[#This Row],[Removed population, ArcSinh (0-10)]]*AR$5*10</f>
        <v>0</v>
      </c>
      <c r="AU510" s="264">
        <f>_xlfn.XLOOKUP(FMS_Ranking4[[#This Row],[FMS ID]],FMS_Input[FMS_ID],FMS_Input[REMCRITFAC100])</f>
        <v>0</v>
      </c>
      <c r="AV510" s="264">
        <f>_xlfn.XLOOKUP(FMS_Ranking4[[#This Row],[FMS ID]],FMS_Input[FMS_ID],FMS_Input[REMLWC100])</f>
        <v>0</v>
      </c>
      <c r="AW510" s="264">
        <f>_xlfn.XLOOKUP(FMS_Ranking4[[#This Row],[FMS ID]],FMS_Input[FMS_ID],FMS_Input[REMROADCLS])</f>
        <v>0</v>
      </c>
      <c r="AX510" s="264">
        <f>_xlfn.XLOOKUP(FMS_Ranking4[[#This Row],[FMS ID]],FMS_Input[FMS_ID],FMS_Input[REMFRMACRE100])</f>
        <v>0</v>
      </c>
      <c r="AY510" s="258">
        <f>_xlfn.XLOOKUP(FMS_Ranking4[[#This Row],[FMS ID]],FMS_Input[FMS_ID],FMS_Input[COSTSTRUCT])</f>
        <v>0</v>
      </c>
      <c r="AZ510" s="253">
        <f>_xlfn.XLOOKUP(FMS_Ranking4[[#This Row],[FMS ID]],FMS_Input[FMS_ID],FMS_Input[NATURE])</f>
        <v>0</v>
      </c>
      <c r="BA510" s="262">
        <f>(((FMS_Ranking4[[#This Row],[% NBS Raw]]/AZ$4)*100)*AZ$5)</f>
        <v>0</v>
      </c>
      <c r="BB510" s="251" t="str">
        <f>_xlfn.XLOOKUP(FMS_Ranking4[[#This Row],[FMS ID]],FMS_Input[FMS_ID],FMS_Input[WATER_SUP])</f>
        <v>No</v>
      </c>
      <c r="BC510" s="265">
        <f>IF(FMS_Ranking4[[#This Row],[Water Supply Raw]]="Yes",10,0)</f>
        <v>0</v>
      </c>
      <c r="BD510" s="266">
        <f>_xlfn.XLOOKUP(FMS_Ranking4[[#This Row],[FMS Type]],FMS_TYPE[FMS_Type],FMS_TYPE[Score])</f>
        <v>10</v>
      </c>
      <c r="BE510" s="267">
        <f>FMS_Ranking4[[#This Row],[FMS_Type Score]]*$BD$5*10</f>
        <v>2.5</v>
      </c>
      <c r="BF51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5.883822281613222E-2</v>
      </c>
      <c r="BG510" s="271">
        <f>_xlfn.RANK.EQ(BF510,$BF$8:$BF$870,0)+COUNTIF($BF$8:BF510,BF510)-1</f>
        <v>544</v>
      </c>
      <c r="BH510" s="268">
        <f>(((FMS_Ranking4[[#This Row],[Structures Removed Raw]]/AK$4)*100)*AK$5)+(((FMS_Ranking4[[#This Row],[Removed Pop Raw]]/AR$4)*100)*AR$5)</f>
        <v>0</v>
      </c>
      <c r="BI51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2.5588382228161324</v>
      </c>
      <c r="BJ510" s="205">
        <f>_xlfn.RANK.EQ(FMS_Ranking4[[#This Row],[Total Score 
(with linear
normalization)]],FMS_Ranking4[Total Score 
(with linear
normalization)],0)</f>
        <v>235</v>
      </c>
      <c r="BK510" s="205" t="e">
        <f>_xlfn.XLOOKUP(FMS_Ranking4[[#This Row],[FMS ID]],#REF!,#REF!)</f>
        <v>#REF!</v>
      </c>
      <c r="BL51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16.287384861550695</v>
      </c>
      <c r="BM510" s="272">
        <f>FMS_Ranking4[[#This Row],[ArcSinh Score Based on Normalized Reported Factors]]+FMS_Ranking4[[#This Row],[% NBS Score (Normalized)]]+(FMS_Ranking4[[#This Row],[Water Supply Score (Normalized)]]*10*$BB$5)+FMS_Ranking4[[#This Row],[FMS_Type Score Weighted]]</f>
        <v>18.787384861550695</v>
      </c>
      <c r="BN510" s="205">
        <f>_xlfn.RANK.EQ(FMS_Ranking4[[#This Row],[Total Score (with ArcSinh normalization of select criteria)]],FMS_Ranking4[Total Score (with ArcSinh normalization of select criteria)],0)</f>
        <v>503</v>
      </c>
      <c r="BO510" s="270" t="str">
        <f>_xlfn.XLOOKUP(FMS_Ranking4[[#This Row],[FMS ID]],FMS_Input[FMS_ID],FMS_Input[FMS_RANK_YEAR])</f>
        <v>2023 Amended Plan</v>
      </c>
      <c r="BP510" s="204">
        <f>_xlfn.XLOOKUP(FMS_Ranking4[[#This Row],[FMS ID]],Prev_Rank[FMS ID],Prev_Rank[Prev Rank])</f>
        <v>452</v>
      </c>
      <c r="BQ510" s="205" t="e">
        <f>_xlfn.XLOOKUP(FMS_Ranking4[[#This Row],[FMS ID]],#REF!,#REF!)</f>
        <v>#REF!</v>
      </c>
      <c r="BR510" s="199" t="e">
        <f>SUM(#REF!,#REF!,#REF!,#REF!,#REF!,#REF!,#REF!,#REF!,#REF!,FMS_Ranking4[[#This Row],[ArcSinh Res struct removed 0-10]],#REF!)</f>
        <v>#REF!</v>
      </c>
      <c r="BS510" s="199" t="e">
        <f>FMS_Ranking4[[#This Row],[Log Score Based on Normalized Reported Factors]]+FMS_Ranking4[[#This Row],[% NBS Score (Normalized)]]+(FMS_Ranking4[[#This Row],[Water Supply Score (Normalized)]]*10*$BB$5)+(FMS_Ranking4[[#This Row],[FMS_Type Score Weighted]])</f>
        <v>#REF!</v>
      </c>
      <c r="BT510" s="200" t="e">
        <f>_xlfn.RANK.EQ(FMS_Ranking4[[#This Row],[Log Total Score]],FMS_Ranking4[Log Total Score],0)</f>
        <v>#REF!</v>
      </c>
      <c r="BU510" s="200" t="e">
        <f>_xlfn.XLOOKUP(FMS_Ranking4[[#This Row],[FMS ID]],#REF!,#REF!)</f>
        <v>#REF!</v>
      </c>
      <c r="BV510" s="200">
        <f>FMS_Ranking4[[#This Row],[Region Number]]</f>
        <v>4</v>
      </c>
      <c r="BW510" s="200">
        <f>FMS_Ranking4[[#This Row],[Rank (with ArcSinh normalization of select criteria)]]-FMS_Ranking4[[#This Row],[Rank
(with linear
normalization)]]</f>
        <v>268</v>
      </c>
      <c r="BX510" s="200" t="e">
        <f>FMS_Ranking4[[#This Row],[Log Rank]]-FMS_Ranking4[[#This Row],[Rank
(with linear
normalization)]]</f>
        <v>#REF!</v>
      </c>
      <c r="BY510" s="200">
        <f>IF(FMS_Ranking4[[#This Row],[FMS Type]]="Flood Measurement and Warning",FMS_Ranking4[[#This Row],[Rank (with ArcSinh normalization of select criteria)]],"")</f>
        <v>503</v>
      </c>
      <c r="BZ510" s="200" t="str">
        <f>IF(FMS_Ranking4[[#This Row],[FMS Type]]="Regulatory and Guidance",FMS_Ranking4[[#This Row],[Rank (with ArcSinh normalization of select criteria)]],"")</f>
        <v/>
      </c>
      <c r="CA510" s="200" t="str">
        <f>IF(FMS_Ranking4[[#This Row],[FMS Type]]="Education and Outreach",FMS_Ranking4[[#This Row],[Rank (with ArcSinh normalization of select criteria)]],"")</f>
        <v/>
      </c>
      <c r="CB510" s="200" t="str">
        <f>IF(FMS_Ranking4[[#This Row],[FMS Type]]="Property Acquisition and Structural Elevation",FMS_Ranking4[[#This Row],[Rank (with ArcSinh normalization of select criteria)]],"")</f>
        <v/>
      </c>
      <c r="CC510" s="200" t="str">
        <f>IF(FMS_Ranking4[[#This Row],[FMS Type]]="Infrastructure Projects",FMS_Ranking4[[#This Row],[Rank (with ArcSinh normalization of select criteria)]],"")</f>
        <v/>
      </c>
      <c r="CD510" s="200" t="str">
        <f>IF(FMS_Ranking4[[#This Row],[FMS Type]]="Other",FMS_Ranking4[[#This Row],[Rank (with ArcSinh normalization of select criteria)]],"")</f>
        <v/>
      </c>
      <c r="CE510" s="201"/>
      <c r="CF510" s="206"/>
      <c r="CG510" s="206"/>
      <c r="CH510" s="206"/>
      <c r="CI510" s="206"/>
      <c r="CJ510" s="206"/>
      <c r="CK510" s="206"/>
      <c r="CL510" s="206"/>
      <c r="CM510" s="206"/>
      <c r="CN510" s="206"/>
      <c r="CO510" s="206"/>
      <c r="CP510" s="206"/>
      <c r="CQ510" s="206"/>
      <c r="CR510" s="206"/>
    </row>
    <row r="511" spans="2:96" ht="75" x14ac:dyDescent="0.25">
      <c r="B511" s="341" t="s">
        <v>12062</v>
      </c>
      <c r="C511" s="246">
        <f>_xlfn.XLOOKUP(FMS_Ranking4[[#This Row],[FMS ID]],FMS_Input[FMS_ID],FMS_Input[RFPG_NUM])</f>
        <v>4</v>
      </c>
      <c r="D511" s="309" t="str">
        <f>_xlfn.XLOOKUP(FMS_Ranking4[[#This Row],[FMS ID]],FMS_Input[FMS_ID],FMS_Input[FMS_NAME])</f>
        <v>City of Bridge City Flood Management Strategy</v>
      </c>
      <c r="E511" s="308" t="str">
        <f>_xlfn.XLOOKUP(FMS_Ranking4[[#This Row],[FMS ID]],FMS_Input[FMS_ID],FMS_Input[SPONSOR])</f>
        <v>00002919</v>
      </c>
      <c r="F511" s="309" t="str">
        <f>_xlfn.XLOOKUP(FMS_Ranking4[[#This Row],[FMS ID]],Sponsor[FMS_ID],Sponsor[SPONSOR NAME])</f>
        <v>Bridge City</v>
      </c>
      <c r="G511" s="309" t="str">
        <f>_xlfn.XLOOKUP(FMS_Ranking4[[#This Row],[FMS ID]],FMS_Input[FMS_ID],FMS_Input[FMS_DESCR])</f>
        <v>Identifying and implementing a set of measures that aim to reduce the overall risk of flooding within City of Bridge City</v>
      </c>
      <c r="H511" s="248" t="str">
        <f>_xlfn.XLOOKUP(FMS_Ranking4[[#This Row],[FMS ID]],FMS_Input[FMS_ID],FMS_Input[FMS_TYPE])</f>
        <v>Regulatory and Guidance</v>
      </c>
      <c r="I511" s="249">
        <f>_xlfn.XLOOKUP(FMS_Ranking4[[#This Row],[FMS ID]],FMS_Input[FMS_ID],FMS_Input[NRNC_COST])</f>
        <v>50000</v>
      </c>
      <c r="J511" s="250">
        <f>_xlfn.XLOOKUP(FMS_Ranking4[[#This Row],[FMS ID]],FMS_Input[FMS_ID],FMS_Input[FMS_COST])</f>
        <v>50000</v>
      </c>
      <c r="K511" s="251" t="str">
        <f>_xlfn.XLOOKUP(FMS_Ranking4[[#This Row],[FMS ID]],FMS_Input[FMS_ID],FMS_Input[EMER_NEED])</f>
        <v>Yes</v>
      </c>
      <c r="L511" s="252">
        <f t="shared" si="7"/>
        <v>1</v>
      </c>
      <c r="M511" s="253">
        <f>_xlfn.XLOOKUP(FMS_Ranking4[[#This Row],[FMS ID]],FMS_Input[FMS_ID],FMS_Input[STRUCT_100])</f>
        <v>957</v>
      </c>
      <c r="N511" s="255">
        <f>(ASINH(FMS_Ranking4[[#This Row],[Structure at Risk Raw]]))*(10)/(ASINH(M$4))</f>
        <v>5.9408885454038041</v>
      </c>
      <c r="O511" s="256">
        <f>FMS_Ranking4[[#This Row],[Structures at risk, ArcSinh (0-10)]]*M$5*10</f>
        <v>5.9408885454038041</v>
      </c>
      <c r="P511" s="253">
        <f>_xlfn.XLOOKUP(FMS_Ranking4[[#This Row],[FMS ID]],FMS_Input[FMS_ID],FMS_Input[RES_STRUCT100])</f>
        <v>799</v>
      </c>
      <c r="Q511" s="257">
        <f>ASINH(FMS_Ranking4[[#This Row],[Res Structure Raw]])/Q$4*P$5*100</f>
        <v>0</v>
      </c>
      <c r="R511" s="253">
        <f>_xlfn.XLOOKUP(FMS_Ranking4[[#This Row],[FMS ID]],FMS_Input[FMS_ID],FMS_Input[POP100])</f>
        <v>3458</v>
      </c>
      <c r="S511" s="259">
        <f>(ASINH(FMS_Ranking4[[#This Row],[Pop at Risk Raw]]))*(10)/(ASINH(R$4))</f>
        <v>6.1038662958258261</v>
      </c>
      <c r="T511" s="256">
        <f>FMS_Ranking4[[#This Row],[Population at risk, ArcSinh (0-10)]]*R$5*10</f>
        <v>6.1038662958258261</v>
      </c>
      <c r="U511" s="253">
        <f>_xlfn.XLOOKUP(FMS_Ranking4[[#This Row],[FMS ID]],FMS_Input[FMS_ID],FMS_Input[CRITFAC100])</f>
        <v>0</v>
      </c>
      <c r="V511" s="259">
        <f>(ASINH(FMS_Ranking4[[#This Row],[Critical Facilities Raw]]))*(10)/(ASINH(U$4))</f>
        <v>0</v>
      </c>
      <c r="W511" s="256">
        <f>FMS_Ranking4[[#This Row],[Critical facilities at risk, ArcSinh (0-10)]]*U$5*10</f>
        <v>0</v>
      </c>
      <c r="X511" s="253">
        <f>_xlfn.XLOOKUP(FMS_Ranking4[[#This Row],[FMS ID]],FMS_Input[FMS_ID],FMS_Input[LWC])</f>
        <v>0</v>
      </c>
      <c r="Y511" s="259">
        <f>(ASINH(FMS_Ranking4[[#This Row],[LWC Raw]]))*(10)/(ASINH(X$4))</f>
        <v>0</v>
      </c>
      <c r="Z511" s="256">
        <f>FMS_Ranking4[[#This Row],[LWC, ArcSInh (0-10)]]*X$5*10</f>
        <v>0</v>
      </c>
      <c r="AA511" s="253">
        <f>_xlfn.XLOOKUP(FMS_Ranking4[[#This Row],[FMS ID]],FMS_Input[FMS_ID],FMS_Input[ROADCLS])</f>
        <v>0</v>
      </c>
      <c r="AB511" s="255">
        <f>(ASINH(FMS_Ranking4[[#This Row],[Road Closures Raw]]))*(10)/(ASINH(AA$4))</f>
        <v>0</v>
      </c>
      <c r="AC511" s="256">
        <f>FMS_Ranking4[[#This Row],[Road closures, ArcSinh (0-10)]]*AA$5*10</f>
        <v>0</v>
      </c>
      <c r="AD511" s="253">
        <f>_xlfn.XLOOKUP(FMS_Ranking4[[#This Row],[FMS ID]],FMS_Input[FMS_ID],FMS_Input[ROAD_MILES100])</f>
        <v>14</v>
      </c>
      <c r="AE511" s="259">
        <f>(ASINH(FMS_Ranking4[[#This Row],[Road Miles Raw]]))*(10)/(ASINH(AD$4))</f>
        <v>3.552569987120918</v>
      </c>
      <c r="AF511" s="256">
        <f>FMS_Ranking4[[#This Row],[Length of roads at risk, ArcSinh (0-10)]]*AD$5*10</f>
        <v>3.5525699871209184</v>
      </c>
      <c r="AG511" s="253">
        <f>_xlfn.XLOOKUP(FMS_Ranking4[[#This Row],[FMS ID]],FMS_Input[FMS_ID],FMS_Input[FARMACRE100])</f>
        <v>16.670000076293949</v>
      </c>
      <c r="AH511" s="255">
        <f>(ASINH(FMS_Ranking4[[#This Row],[Ag Land Raw]]))*(10)/(ASINH(AG$4))</f>
        <v>2.2785085399580334</v>
      </c>
      <c r="AI511" s="260">
        <f>FMS_Ranking4[[#This Row],[Farm &amp; ranch land, ArcSinh (0-10)]]*AG$5*10</f>
        <v>1.1392542699790167</v>
      </c>
      <c r="AJ511" s="258">
        <f>_xlfn.XLOOKUP(FMS_Ranking4[[#This Row],[FMS ID]],FMS_Input[FMS_ID],FMS_Input[REDSTRUCT100])</f>
        <v>0</v>
      </c>
      <c r="AK511" s="253">
        <f>_xlfn.XLOOKUP(FMS_Ranking4[[#This Row],[FMS ID]],FMS_Input[FMS_ID],FMS_Input[REMSTRC100])</f>
        <v>0</v>
      </c>
      <c r="AL511" s="259">
        <f>(ASINH(FMS_Ranking4[[#This Row],[Structures Removed Raw]]))*(10)/(ASINH(AK$4))</f>
        <v>0</v>
      </c>
      <c r="AM511" s="262">
        <f>FMS_Ranking4[[#This Row],[Structures removed, ArcSinh (0-10)]]*AK$5*10</f>
        <v>0</v>
      </c>
      <c r="AN511" s="253">
        <f>_xlfn.XLOOKUP(FMS_Ranking4[[#This Row],[FMS ID]],FMS_Input[FMS_ID],FMS_Input[REMRESSTRC100])</f>
        <v>0</v>
      </c>
      <c r="AO511" s="261">
        <f>FMS_Ranking4[[#This Row],[ArcSinh Res struct removed 0-10]]*AN$5*10</f>
        <v>0</v>
      </c>
      <c r="AP511" s="260">
        <f>ASINH(FMS_Ranking4[[#This Row],[Residential Structures Removed Raw]])/AP$4*AN$5*100</f>
        <v>0</v>
      </c>
      <c r="AQ511" s="254">
        <f>(ASINH(FMS_Ranking4[[#This Row],[Residential Structures Removed Raw]]))*(10)/(ASINH(AN$4))</f>
        <v>0</v>
      </c>
      <c r="AR511" s="253">
        <f>_xlfn.XLOOKUP(FMS_Ranking4[[#This Row],[FMS ID]],FMS_Input[FMS_ID],FMS_Input[REMPOP100])</f>
        <v>0</v>
      </c>
      <c r="AS511" s="259">
        <f>(ASINH(FMS_Ranking4[[#This Row],[Removed Pop Raw]]))*(10)/(ASINH(AR$4))</f>
        <v>0</v>
      </c>
      <c r="AT511" s="262">
        <f>FMS_Ranking4[[#This Row],[Removed population, ArcSinh (0-10)]]*AR$5*10</f>
        <v>0</v>
      </c>
      <c r="AU511" s="264">
        <f>_xlfn.XLOOKUP(FMS_Ranking4[[#This Row],[FMS ID]],FMS_Input[FMS_ID],FMS_Input[REMCRITFAC100])</f>
        <v>0</v>
      </c>
      <c r="AV511" s="264">
        <f>_xlfn.XLOOKUP(FMS_Ranking4[[#This Row],[FMS ID]],FMS_Input[FMS_ID],FMS_Input[REMLWC100])</f>
        <v>0</v>
      </c>
      <c r="AW511" s="264">
        <f>_xlfn.XLOOKUP(FMS_Ranking4[[#This Row],[FMS ID]],FMS_Input[FMS_ID],FMS_Input[REMROADCLS])</f>
        <v>0</v>
      </c>
      <c r="AX511" s="264">
        <f>_xlfn.XLOOKUP(FMS_Ranking4[[#This Row],[FMS ID]],FMS_Input[FMS_ID],FMS_Input[REMFRMACRE100])</f>
        <v>0</v>
      </c>
      <c r="AY511" s="258">
        <f>_xlfn.XLOOKUP(FMS_Ranking4[[#This Row],[FMS ID]],FMS_Input[FMS_ID],FMS_Input[COSTSTRUCT])</f>
        <v>0</v>
      </c>
      <c r="AZ511" s="253">
        <f>_xlfn.XLOOKUP(FMS_Ranking4[[#This Row],[FMS ID]],FMS_Input[FMS_ID],FMS_Input[NATURE])</f>
        <v>0</v>
      </c>
      <c r="BA511" s="262">
        <f>(((FMS_Ranking4[[#This Row],[% NBS Raw]]/AZ$4)*100)*AZ$5)</f>
        <v>0</v>
      </c>
      <c r="BB511" s="251" t="str">
        <f>_xlfn.XLOOKUP(FMS_Ranking4[[#This Row],[FMS ID]],FMS_Input[FMS_ID],FMS_Input[WATER_SUP])</f>
        <v>No</v>
      </c>
      <c r="BC511" s="265">
        <f>IF(FMS_Ranking4[[#This Row],[Water Supply Raw]]="Yes",10,0)</f>
        <v>0</v>
      </c>
      <c r="BD511" s="266">
        <f>_xlfn.XLOOKUP(FMS_Ranking4[[#This Row],[FMS Type]],FMS_TYPE[FMS_Type],FMS_TYPE[Score])</f>
        <v>8</v>
      </c>
      <c r="BE511" s="267">
        <f>FMS_Ranking4[[#This Row],[FMS_Type Score]]*$BD$5*10</f>
        <v>2</v>
      </c>
      <c r="BF51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0.11621573099668871</v>
      </c>
      <c r="BG511" s="271">
        <f>_xlfn.RANK.EQ(BF511,$BF$8:$BF$870,0)+COUNTIF($BF$8:BF511,BF511)-1</f>
        <v>466</v>
      </c>
      <c r="BH511" s="268">
        <f>(((FMS_Ranking4[[#This Row],[Structures Removed Raw]]/AK$4)*100)*AK$5)+(((FMS_Ranking4[[#This Row],[Removed Pop Raw]]/AR$4)*100)*AR$5)</f>
        <v>0</v>
      </c>
      <c r="BI51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2.1162157309966889</v>
      </c>
      <c r="BJ511" s="205">
        <f>_xlfn.RANK.EQ(FMS_Ranking4[[#This Row],[Total Score 
(with linear
normalization)]],FMS_Ranking4[Total Score 
(with linear
normalization)],0)</f>
        <v>359</v>
      </c>
      <c r="BK511" s="205" t="e">
        <f>_xlfn.XLOOKUP(FMS_Ranking4[[#This Row],[FMS ID]],#REF!,#REF!)</f>
        <v>#REF!</v>
      </c>
      <c r="BL51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16.736579098329564</v>
      </c>
      <c r="BM511" s="272">
        <f>FMS_Ranking4[[#This Row],[ArcSinh Score Based on Normalized Reported Factors]]+FMS_Ranking4[[#This Row],[% NBS Score (Normalized)]]+(FMS_Ranking4[[#This Row],[Water Supply Score (Normalized)]]*10*$BB$5)+FMS_Ranking4[[#This Row],[FMS_Type Score Weighted]]</f>
        <v>18.736579098329564</v>
      </c>
      <c r="BN511" s="205">
        <f>_xlfn.RANK.EQ(FMS_Ranking4[[#This Row],[Total Score (with ArcSinh normalization of select criteria)]],FMS_Ranking4[Total Score (with ArcSinh normalization of select criteria)],0)</f>
        <v>504</v>
      </c>
      <c r="BO511" s="270" t="str">
        <f>_xlfn.XLOOKUP(FMS_Ranking4[[#This Row],[FMS ID]],FMS_Input[FMS_ID],FMS_Input[FMS_RANK_YEAR])</f>
        <v>2025 Amended Plan</v>
      </c>
      <c r="BP511" s="204" t="e">
        <f>_xlfn.XLOOKUP(FMS_Ranking4[[#This Row],[FMS ID]],Prev_Rank[FMS ID],Prev_Rank[Prev Rank])</f>
        <v>#N/A</v>
      </c>
      <c r="BQ511" s="205" t="e">
        <f>_xlfn.XLOOKUP(FMS_Ranking4[[#This Row],[FMS ID]],#REF!,#REF!)</f>
        <v>#REF!</v>
      </c>
      <c r="BR511" s="199" t="e">
        <f>SUM(#REF!,#REF!,#REF!,#REF!,#REF!,#REF!,#REF!,#REF!,#REF!,FMS_Ranking4[[#This Row],[ArcSinh Res struct removed 0-10]],#REF!)</f>
        <v>#REF!</v>
      </c>
      <c r="BS511" s="199" t="e">
        <f>FMS_Ranking4[[#This Row],[Log Score Based on Normalized Reported Factors]]+FMS_Ranking4[[#This Row],[% NBS Score (Normalized)]]+(FMS_Ranking4[[#This Row],[Water Supply Score (Normalized)]]*10*$BB$5)+(FMS_Ranking4[[#This Row],[FMS_Type Score Weighted]])</f>
        <v>#REF!</v>
      </c>
      <c r="BT511" s="200" t="e">
        <f>_xlfn.RANK.EQ(FMS_Ranking4[[#This Row],[Log Total Score]],FMS_Ranking4[Log Total Score],0)</f>
        <v>#REF!</v>
      </c>
      <c r="BU511" s="200" t="e">
        <f>_xlfn.XLOOKUP(FMS_Ranking4[[#This Row],[FMS ID]],#REF!,#REF!)</f>
        <v>#REF!</v>
      </c>
      <c r="BV511" s="200">
        <f>FMS_Ranking4[[#This Row],[Region Number]]</f>
        <v>4</v>
      </c>
      <c r="BW511" s="200">
        <f>FMS_Ranking4[[#This Row],[Rank (with ArcSinh normalization of select criteria)]]-FMS_Ranking4[[#This Row],[Rank
(with linear
normalization)]]</f>
        <v>145</v>
      </c>
      <c r="BX511" s="200" t="e">
        <f>FMS_Ranking4[[#This Row],[Log Rank]]-FMS_Ranking4[[#This Row],[Rank
(with linear
normalization)]]</f>
        <v>#REF!</v>
      </c>
      <c r="BY511" s="200" t="str">
        <f>IF(FMS_Ranking4[[#This Row],[FMS Type]]="Flood Measurement and Warning",FMS_Ranking4[[#This Row],[Rank (with ArcSinh normalization of select criteria)]],"")</f>
        <v/>
      </c>
      <c r="BZ511" s="200">
        <f>IF(FMS_Ranking4[[#This Row],[FMS Type]]="Regulatory and Guidance",FMS_Ranking4[[#This Row],[Rank (with ArcSinh normalization of select criteria)]],"")</f>
        <v>504</v>
      </c>
      <c r="CA511" s="200" t="str">
        <f>IF(FMS_Ranking4[[#This Row],[FMS Type]]="Education and Outreach",FMS_Ranking4[[#This Row],[Rank (with ArcSinh normalization of select criteria)]],"")</f>
        <v/>
      </c>
      <c r="CB511" s="200" t="str">
        <f>IF(FMS_Ranking4[[#This Row],[FMS Type]]="Property Acquisition and Structural Elevation",FMS_Ranking4[[#This Row],[Rank (with ArcSinh normalization of select criteria)]],"")</f>
        <v/>
      </c>
      <c r="CC511" s="200" t="str">
        <f>IF(FMS_Ranking4[[#This Row],[FMS Type]]="Infrastructure Projects",FMS_Ranking4[[#This Row],[Rank (with ArcSinh normalization of select criteria)]],"")</f>
        <v/>
      </c>
      <c r="CD511" s="200" t="str">
        <f>IF(FMS_Ranking4[[#This Row],[FMS Type]]="Other",FMS_Ranking4[[#This Row],[Rank (with ArcSinh normalization of select criteria)]],"")</f>
        <v/>
      </c>
      <c r="CE511" s="201"/>
      <c r="CF511" s="206"/>
      <c r="CG511" s="206"/>
      <c r="CH511" s="206"/>
      <c r="CI511" s="206"/>
      <c r="CJ511" s="206"/>
      <c r="CK511" s="206"/>
      <c r="CL511" s="206"/>
      <c r="CM511" s="206"/>
      <c r="CN511" s="206"/>
      <c r="CO511" s="206"/>
      <c r="CP511" s="206"/>
      <c r="CQ511" s="206"/>
      <c r="CR511" s="206"/>
    </row>
    <row r="512" spans="2:96" ht="60" x14ac:dyDescent="0.25">
      <c r="B512" s="341" t="s">
        <v>86</v>
      </c>
      <c r="C512" s="246">
        <f>_xlfn.XLOOKUP(FMS_Ranking4[[#This Row],[FMS ID]],FMS_Input[FMS_ID],FMS_Input[RFPG_NUM])</f>
        <v>6</v>
      </c>
      <c r="D512" s="309" t="str">
        <f>_xlfn.XLOOKUP(FMS_Ranking4[[#This Row],[FMS ID]],FMS_Input[FMS_ID],FMS_Input[FMS_NAME])</f>
        <v>Implement Stormwater Management Plan in City of Bayou Vista</v>
      </c>
      <c r="E512" s="308" t="str">
        <f>_xlfn.XLOOKUP(FMS_Ranking4[[#This Row],[FMS ID]],FMS_Input[FMS_ID],FMS_Input[SPONSOR])</f>
        <v>06002806</v>
      </c>
      <c r="F512" s="309" t="str">
        <f>_xlfn.XLOOKUP(FMS_Ranking4[[#This Row],[FMS ID]],Sponsor[FMS_ID],Sponsor[SPONSOR NAME])</f>
        <v>Bayou Vista</v>
      </c>
      <c r="G512" s="309" t="str">
        <f>_xlfn.XLOOKUP(FMS_Ranking4[[#This Row],[FMS ID]],FMS_Input[FMS_ID],FMS_Input[FMS_DESCR])</f>
        <v>Implement stormwater management plan to improve drainage during flood and other weather events.</v>
      </c>
      <c r="H512" s="248" t="str">
        <f>_xlfn.XLOOKUP(FMS_Ranking4[[#This Row],[FMS ID]],FMS_Input[FMS_ID],FMS_Input[FMS_TYPE])</f>
        <v>Regulatory and Guidance</v>
      </c>
      <c r="I512" s="249">
        <f>_xlfn.XLOOKUP(FMS_Ranking4[[#This Row],[FMS ID]],FMS_Input[FMS_ID],FMS_Input[NRNC_COST])</f>
        <v>1250</v>
      </c>
      <c r="J512" s="250">
        <f>_xlfn.XLOOKUP(FMS_Ranking4[[#This Row],[FMS ID]],FMS_Input[FMS_ID],FMS_Input[FMS_COST])</f>
        <v>25000</v>
      </c>
      <c r="K512" s="251" t="str">
        <f>_xlfn.XLOOKUP(FMS_Ranking4[[#This Row],[FMS ID]],FMS_Input[FMS_ID],FMS_Input[EMER_NEED])</f>
        <v>No</v>
      </c>
      <c r="L512" s="252">
        <f t="shared" si="7"/>
        <v>0</v>
      </c>
      <c r="M512" s="253">
        <f>_xlfn.XLOOKUP(FMS_Ranking4[[#This Row],[FMS ID]],FMS_Input[FMS_ID],FMS_Input[STRUCT_100])</f>
        <v>1121</v>
      </c>
      <c r="N512" s="255">
        <f>(ASINH(FMS_Ranking4[[#This Row],[Structure at Risk Raw]]))*(10)/(ASINH(M$4))</f>
        <v>6.0652360410041055</v>
      </c>
      <c r="O512" s="256">
        <f>FMS_Ranking4[[#This Row],[Structures at risk, ArcSinh (0-10)]]*M$5*10</f>
        <v>6.0652360410041064</v>
      </c>
      <c r="P512" s="253">
        <f>_xlfn.XLOOKUP(FMS_Ranking4[[#This Row],[FMS ID]],FMS_Input[FMS_ID],FMS_Input[RES_STRUCT100])</f>
        <v>1095</v>
      </c>
      <c r="Q512" s="257">
        <f>ASINH(FMS_Ranking4[[#This Row],[Res Structure Raw]])/Q$4*P$5*100</f>
        <v>0</v>
      </c>
      <c r="R512" s="253">
        <f>_xlfn.XLOOKUP(FMS_Ranking4[[#This Row],[FMS ID]],FMS_Input[FMS_ID],FMS_Input[POP100])</f>
        <v>1476</v>
      </c>
      <c r="S512" s="259">
        <f>(ASINH(FMS_Ranking4[[#This Row],[Pop at Risk Raw]]))*(10)/(ASINH(R$4))</f>
        <v>5.516126673961236</v>
      </c>
      <c r="T512" s="256">
        <f>FMS_Ranking4[[#This Row],[Population at risk, ArcSinh (0-10)]]*R$5*10</f>
        <v>5.516126673961236</v>
      </c>
      <c r="U512" s="253">
        <f>_xlfn.XLOOKUP(FMS_Ranking4[[#This Row],[FMS ID]],FMS_Input[FMS_ID],FMS_Input[CRITFAC100])</f>
        <v>3</v>
      </c>
      <c r="V512" s="259">
        <f>(ASINH(FMS_Ranking4[[#This Row],[Critical Facilities Raw]]))*(10)/(ASINH(U$4))</f>
        <v>2.152611706646717</v>
      </c>
      <c r="W512" s="256">
        <f>FMS_Ranking4[[#This Row],[Critical facilities at risk, ArcSinh (0-10)]]*U$5*10</f>
        <v>2.152611706646717</v>
      </c>
      <c r="X512" s="253">
        <f>_xlfn.XLOOKUP(FMS_Ranking4[[#This Row],[FMS ID]],FMS_Input[FMS_ID],FMS_Input[LWC])</f>
        <v>0</v>
      </c>
      <c r="Y512" s="259">
        <f>(ASINH(FMS_Ranking4[[#This Row],[LWC Raw]]))*(10)/(ASINH(X$4))</f>
        <v>0</v>
      </c>
      <c r="Z512" s="256">
        <f>FMS_Ranking4[[#This Row],[LWC, ArcSInh (0-10)]]*X$5*10</f>
        <v>0</v>
      </c>
      <c r="AA512" s="253">
        <f>_xlfn.XLOOKUP(FMS_Ranking4[[#This Row],[FMS ID]],FMS_Input[FMS_ID],FMS_Input[ROADCLS])</f>
        <v>0</v>
      </c>
      <c r="AB512" s="255">
        <f>(ASINH(FMS_Ranking4[[#This Row],[Road Closures Raw]]))*(10)/(ASINH(AA$4))</f>
        <v>0</v>
      </c>
      <c r="AC512" s="256">
        <f>FMS_Ranking4[[#This Row],[Road closures, ArcSinh (0-10)]]*AA$5*10</f>
        <v>0</v>
      </c>
      <c r="AD512" s="253">
        <f>_xlfn.XLOOKUP(FMS_Ranking4[[#This Row],[FMS ID]],FMS_Input[FMS_ID],FMS_Input[ROAD_MILES100])</f>
        <v>8</v>
      </c>
      <c r="AE512" s="259">
        <f>(ASINH(FMS_Ranking4[[#This Row],[Road Miles Raw]]))*(10)/(ASINH(AD$4))</f>
        <v>2.9589555764172308</v>
      </c>
      <c r="AF512" s="256">
        <f>FMS_Ranking4[[#This Row],[Length of roads at risk, ArcSinh (0-10)]]*AD$5*10</f>
        <v>2.9589555764172308</v>
      </c>
      <c r="AG512" s="253">
        <f>_xlfn.XLOOKUP(FMS_Ranking4[[#This Row],[FMS ID]],FMS_Input[FMS_ID],FMS_Input[FARMACRE100])</f>
        <v>0</v>
      </c>
      <c r="AH512" s="255">
        <f>(ASINH(FMS_Ranking4[[#This Row],[Ag Land Raw]]))*(10)/(ASINH(AG$4))</f>
        <v>0</v>
      </c>
      <c r="AI512" s="260">
        <f>FMS_Ranking4[[#This Row],[Farm &amp; ranch land, ArcSinh (0-10)]]*AG$5*10</f>
        <v>0</v>
      </c>
      <c r="AJ512" s="258">
        <f>_xlfn.XLOOKUP(FMS_Ranking4[[#This Row],[FMS ID]],FMS_Input[FMS_ID],FMS_Input[REDSTRUCT100])</f>
        <v>0</v>
      </c>
      <c r="AK512" s="253">
        <f>_xlfn.XLOOKUP(FMS_Ranking4[[#This Row],[FMS ID]],FMS_Input[FMS_ID],FMS_Input[REMSTRC100])</f>
        <v>0</v>
      </c>
      <c r="AL512" s="259">
        <f>(ASINH(FMS_Ranking4[[#This Row],[Structures Removed Raw]]))*(10)/(ASINH(AK$4))</f>
        <v>0</v>
      </c>
      <c r="AM512" s="262">
        <f>FMS_Ranking4[[#This Row],[Structures removed, ArcSinh (0-10)]]*AK$5*10</f>
        <v>0</v>
      </c>
      <c r="AN512" s="253">
        <f>_xlfn.XLOOKUP(FMS_Ranking4[[#This Row],[FMS ID]],FMS_Input[FMS_ID],FMS_Input[REMRESSTRC100])</f>
        <v>0</v>
      </c>
      <c r="AO512" s="261">
        <f>FMS_Ranking4[[#This Row],[ArcSinh Res struct removed 0-10]]*AN$5*10</f>
        <v>0</v>
      </c>
      <c r="AP512" s="260">
        <f>ASINH(FMS_Ranking4[[#This Row],[Residential Structures Removed Raw]])/AP$4*AN$5*100</f>
        <v>0</v>
      </c>
      <c r="AQ512" s="254">
        <f>(ASINH(FMS_Ranking4[[#This Row],[Residential Structures Removed Raw]]))*(10)/(ASINH(AN$4))</f>
        <v>0</v>
      </c>
      <c r="AR512" s="253">
        <f>_xlfn.XLOOKUP(FMS_Ranking4[[#This Row],[FMS ID]],FMS_Input[FMS_ID],FMS_Input[REMPOP100])</f>
        <v>0</v>
      </c>
      <c r="AS512" s="259">
        <f>(ASINH(FMS_Ranking4[[#This Row],[Removed Pop Raw]]))*(10)/(ASINH(AR$4))</f>
        <v>0</v>
      </c>
      <c r="AT512" s="262">
        <f>FMS_Ranking4[[#This Row],[Removed population, ArcSinh (0-10)]]*AR$5*10</f>
        <v>0</v>
      </c>
      <c r="AU512" s="264">
        <f>_xlfn.XLOOKUP(FMS_Ranking4[[#This Row],[FMS ID]],FMS_Input[FMS_ID],FMS_Input[REMCRITFAC100])</f>
        <v>0</v>
      </c>
      <c r="AV512" s="264">
        <f>_xlfn.XLOOKUP(FMS_Ranking4[[#This Row],[FMS ID]],FMS_Input[FMS_ID],FMS_Input[REMLWC100])</f>
        <v>0</v>
      </c>
      <c r="AW512" s="264">
        <f>_xlfn.XLOOKUP(FMS_Ranking4[[#This Row],[FMS ID]],FMS_Input[FMS_ID],FMS_Input[REMROADCLS])</f>
        <v>0</v>
      </c>
      <c r="AX512" s="264">
        <f>_xlfn.XLOOKUP(FMS_Ranking4[[#This Row],[FMS ID]],FMS_Input[FMS_ID],FMS_Input[REMFRMACRE100])</f>
        <v>0</v>
      </c>
      <c r="AY512" s="258">
        <f>_xlfn.XLOOKUP(FMS_Ranking4[[#This Row],[FMS ID]],FMS_Input[FMS_ID],FMS_Input[COSTSTRUCT])</f>
        <v>0</v>
      </c>
      <c r="AZ512" s="253">
        <f>_xlfn.XLOOKUP(FMS_Ranking4[[#This Row],[FMS ID]],FMS_Input[FMS_ID],FMS_Input[NATURE])</f>
        <v>0</v>
      </c>
      <c r="BA512" s="262">
        <f>(((FMS_Ranking4[[#This Row],[% NBS Raw]]/AZ$4)*100)*AZ$5)</f>
        <v>0</v>
      </c>
      <c r="BB512" s="251" t="str">
        <f>_xlfn.XLOOKUP(FMS_Ranking4[[#This Row],[FMS ID]],FMS_Input[FMS_ID],FMS_Input[WATER_SUP])</f>
        <v>No</v>
      </c>
      <c r="BC512" s="265">
        <f>IF(FMS_Ranking4[[#This Row],[Water Supply Raw]]="Yes",10,0)</f>
        <v>0</v>
      </c>
      <c r="BD512" s="266">
        <f>_xlfn.XLOOKUP(FMS_Ranking4[[#This Row],[FMS Type]],FMS_TYPE[FMS_Type],FMS_TYPE[Score])</f>
        <v>8</v>
      </c>
      <c r="BE512" s="267">
        <f>FMS_Ranking4[[#This Row],[FMS_Type Score]]*$BD$5*10</f>
        <v>2</v>
      </c>
      <c r="BF51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0.10846909898879258</v>
      </c>
      <c r="BG512" s="271">
        <f>_xlfn.RANK.EQ(BF512,$BF$8:$BF$870,0)+COUNTIF($BF$8:BF512,BF512)-1</f>
        <v>486</v>
      </c>
      <c r="BH512" s="268">
        <f>(((FMS_Ranking4[[#This Row],[Structures Removed Raw]]/AK$4)*100)*AK$5)+(((FMS_Ranking4[[#This Row],[Removed Pop Raw]]/AR$4)*100)*AR$5)</f>
        <v>0</v>
      </c>
      <c r="BI51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2.1084690989887926</v>
      </c>
      <c r="BJ512" s="205">
        <f>_xlfn.RANK.EQ(FMS_Ranking4[[#This Row],[Total Score 
(with linear
normalization)]],FMS_Ranking4[Total Score 
(with linear
normalization)],0)</f>
        <v>365</v>
      </c>
      <c r="BK512" s="205" t="e">
        <f>_xlfn.XLOOKUP(FMS_Ranking4[[#This Row],[FMS ID]],#REF!,#REF!)</f>
        <v>#REF!</v>
      </c>
      <c r="BL51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16.692929998029289</v>
      </c>
      <c r="BM512" s="272">
        <f>FMS_Ranking4[[#This Row],[ArcSinh Score Based on Normalized Reported Factors]]+FMS_Ranking4[[#This Row],[% NBS Score (Normalized)]]+(FMS_Ranking4[[#This Row],[Water Supply Score (Normalized)]]*10*$BB$5)+FMS_Ranking4[[#This Row],[FMS_Type Score Weighted]]</f>
        <v>18.692929998029289</v>
      </c>
      <c r="BN512" s="205">
        <f>_xlfn.RANK.EQ(FMS_Ranking4[[#This Row],[Total Score (with ArcSinh normalization of select criteria)]],FMS_Ranking4[Total Score (with ArcSinh normalization of select criteria)],0)</f>
        <v>505</v>
      </c>
      <c r="BO512" s="270" t="str">
        <f>_xlfn.XLOOKUP(FMS_Ranking4[[#This Row],[FMS ID]],FMS_Input[FMS_ID],FMS_Input[FMS_RANK_YEAR])</f>
        <v>2023 Amended Plan</v>
      </c>
      <c r="BP512" s="204">
        <f>_xlfn.XLOOKUP(FMS_Ranking4[[#This Row],[FMS ID]],Prev_Rank[FMS ID],Prev_Rank[Prev Rank])</f>
        <v>451</v>
      </c>
      <c r="BQ512" s="205" t="e">
        <f>_xlfn.XLOOKUP(FMS_Ranking4[[#This Row],[FMS ID]],#REF!,#REF!)</f>
        <v>#REF!</v>
      </c>
      <c r="BR512" s="199" t="e">
        <f>SUM(#REF!,#REF!,#REF!,#REF!,#REF!,#REF!,#REF!,#REF!,#REF!,FMS_Ranking4[[#This Row],[ArcSinh Res struct removed 0-10]],#REF!)</f>
        <v>#REF!</v>
      </c>
      <c r="BS512" s="199" t="e">
        <f>FMS_Ranking4[[#This Row],[Log Score Based on Normalized Reported Factors]]+FMS_Ranking4[[#This Row],[% NBS Score (Normalized)]]+(FMS_Ranking4[[#This Row],[Water Supply Score (Normalized)]]*10*$BB$5)+(FMS_Ranking4[[#This Row],[FMS_Type Score Weighted]])</f>
        <v>#REF!</v>
      </c>
      <c r="BT512" s="200" t="e">
        <f>_xlfn.RANK.EQ(FMS_Ranking4[[#This Row],[Log Total Score]],FMS_Ranking4[Log Total Score],0)</f>
        <v>#REF!</v>
      </c>
      <c r="BU512" s="200" t="e">
        <f>_xlfn.XLOOKUP(FMS_Ranking4[[#This Row],[FMS ID]],#REF!,#REF!)</f>
        <v>#REF!</v>
      </c>
      <c r="BV512" s="200">
        <f>FMS_Ranking4[[#This Row],[Region Number]]</f>
        <v>6</v>
      </c>
      <c r="BW512" s="200">
        <f>FMS_Ranking4[[#This Row],[Rank (with ArcSinh normalization of select criteria)]]-FMS_Ranking4[[#This Row],[Rank
(with linear
normalization)]]</f>
        <v>140</v>
      </c>
      <c r="BX512" s="200" t="e">
        <f>FMS_Ranking4[[#This Row],[Log Rank]]-FMS_Ranking4[[#This Row],[Rank
(with linear
normalization)]]</f>
        <v>#REF!</v>
      </c>
      <c r="BY512" s="200" t="str">
        <f>IF(FMS_Ranking4[[#This Row],[FMS Type]]="Flood Measurement and Warning",FMS_Ranking4[[#This Row],[Rank (with ArcSinh normalization of select criteria)]],"")</f>
        <v/>
      </c>
      <c r="BZ512" s="200">
        <f>IF(FMS_Ranking4[[#This Row],[FMS Type]]="Regulatory and Guidance",FMS_Ranking4[[#This Row],[Rank (with ArcSinh normalization of select criteria)]],"")</f>
        <v>505</v>
      </c>
      <c r="CA512" s="200" t="str">
        <f>IF(FMS_Ranking4[[#This Row],[FMS Type]]="Education and Outreach",FMS_Ranking4[[#This Row],[Rank (with ArcSinh normalization of select criteria)]],"")</f>
        <v/>
      </c>
      <c r="CB512" s="200" t="str">
        <f>IF(FMS_Ranking4[[#This Row],[FMS Type]]="Property Acquisition and Structural Elevation",FMS_Ranking4[[#This Row],[Rank (with ArcSinh normalization of select criteria)]],"")</f>
        <v/>
      </c>
      <c r="CC512" s="200" t="str">
        <f>IF(FMS_Ranking4[[#This Row],[FMS Type]]="Infrastructure Projects",FMS_Ranking4[[#This Row],[Rank (with ArcSinh normalization of select criteria)]],"")</f>
        <v/>
      </c>
      <c r="CD512" s="200" t="str">
        <f>IF(FMS_Ranking4[[#This Row],[FMS Type]]="Other",FMS_Ranking4[[#This Row],[Rank (with ArcSinh normalization of select criteria)]],"")</f>
        <v/>
      </c>
      <c r="CE512" s="201"/>
      <c r="CF512" s="206"/>
      <c r="CG512" s="206"/>
      <c r="CH512" s="206"/>
      <c r="CI512" s="206"/>
      <c r="CJ512" s="206"/>
      <c r="CK512" s="206"/>
      <c r="CL512" s="206"/>
      <c r="CM512" s="206"/>
      <c r="CN512" s="206"/>
      <c r="CO512" s="206"/>
      <c r="CP512" s="206"/>
      <c r="CQ512" s="206"/>
      <c r="CR512" s="206"/>
    </row>
    <row r="513" spans="2:96" ht="90" x14ac:dyDescent="0.25">
      <c r="B513" s="341" t="s">
        <v>2239</v>
      </c>
      <c r="C513" s="246">
        <f>_xlfn.XLOOKUP(FMS_Ranking4[[#This Row],[FMS ID]],FMS_Input[FMS_ID],FMS_Input[RFPG_NUM])</f>
        <v>3</v>
      </c>
      <c r="D513" s="309" t="str">
        <f>_xlfn.XLOOKUP(FMS_Ranking4[[#This Row],[FMS ID]],FMS_Input[FMS_ID],FMS_Input[FMS_NAME])</f>
        <v>Glenn Heights-Seagoville-Wilmer Flood Safety Improvements and Education</v>
      </c>
      <c r="E513" s="308" t="str">
        <f>_xlfn.XLOOKUP(FMS_Ranking4[[#This Row],[FMS ID]],FMS_Input[FMS_ID],FMS_Input[SPONSOR])</f>
        <v>Glenn Heights, Seagoville, Wilmer</v>
      </c>
      <c r="F513" s="309" t="str">
        <f>_xlfn.XLOOKUP(FMS_Ranking4[[#This Row],[FMS ID]],Sponsor[FMS_ID],Sponsor[SPONSOR NAME])</f>
        <v>Glenn Heights, Seagoville, Wilmer</v>
      </c>
      <c r="G513" s="309" t="str">
        <f>_xlfn.XLOOKUP(FMS_Ranking4[[#This Row],[FMS ID]],FMS_Input[FMS_ID],FMS_Input[FMS_DESCR])</f>
        <v>Educate community on the dangers of low water crossings through the installation of warning signs and promotion of "Turn Around, Don't Drown" Program</v>
      </c>
      <c r="H513" s="248" t="str">
        <f>_xlfn.XLOOKUP(FMS_Ranking4[[#This Row],[FMS ID]],FMS_Input[FMS_ID],FMS_Input[FMS_TYPE])</f>
        <v>Education and Outreach</v>
      </c>
      <c r="I513" s="249">
        <f>_xlfn.XLOOKUP(FMS_Ranking4[[#This Row],[FMS ID]],FMS_Input[FMS_ID],FMS_Input[NRNC_COST])</f>
        <v>50000</v>
      </c>
      <c r="J513" s="250">
        <f>_xlfn.XLOOKUP(FMS_Ranking4[[#This Row],[FMS ID]],FMS_Input[FMS_ID],FMS_Input[FMS_COST])</f>
        <v>50000</v>
      </c>
      <c r="K513" s="251" t="str">
        <f>_xlfn.XLOOKUP(FMS_Ranking4[[#This Row],[FMS ID]],FMS_Input[FMS_ID],FMS_Input[EMER_NEED])</f>
        <v>No</v>
      </c>
      <c r="L513" s="252">
        <f t="shared" si="7"/>
        <v>0</v>
      </c>
      <c r="M513" s="253">
        <f>_xlfn.XLOOKUP(FMS_Ranking4[[#This Row],[FMS ID]],FMS_Input[FMS_ID],FMS_Input[STRUCT_100])</f>
        <v>440</v>
      </c>
      <c r="N513" s="255">
        <f>(ASINH(FMS_Ranking4[[#This Row],[Structure at Risk Raw]]))*(10)/(ASINH(M$4))</f>
        <v>5.3300291210917594</v>
      </c>
      <c r="O513" s="256">
        <f>FMS_Ranking4[[#This Row],[Structures at risk, ArcSinh (0-10)]]*M$5*10</f>
        <v>5.3300291210917594</v>
      </c>
      <c r="P513" s="253">
        <f>_xlfn.XLOOKUP(FMS_Ranking4[[#This Row],[FMS ID]],FMS_Input[FMS_ID],FMS_Input[RES_STRUCT100])</f>
        <v>427</v>
      </c>
      <c r="Q513" s="257">
        <f>ASINH(FMS_Ranking4[[#This Row],[Res Structure Raw]])/Q$4*P$5*100</f>
        <v>0</v>
      </c>
      <c r="R513" s="253">
        <f>_xlfn.XLOOKUP(FMS_Ranking4[[#This Row],[FMS ID]],FMS_Input[FMS_ID],FMS_Input[POP100])</f>
        <v>1076</v>
      </c>
      <c r="S513" s="259">
        <f>(ASINH(FMS_Ranking4[[#This Row],[Pop at Risk Raw]]))*(10)/(ASINH(R$4))</f>
        <v>5.2979146839376208</v>
      </c>
      <c r="T513" s="256">
        <f>FMS_Ranking4[[#This Row],[Population at risk, ArcSinh (0-10)]]*R$5*10</f>
        <v>5.2979146839376217</v>
      </c>
      <c r="U513" s="253">
        <f>_xlfn.XLOOKUP(FMS_Ranking4[[#This Row],[FMS ID]],FMS_Input[FMS_ID],FMS_Input[CRITFAC100])</f>
        <v>0</v>
      </c>
      <c r="V513" s="259">
        <f>(ASINH(FMS_Ranking4[[#This Row],[Critical Facilities Raw]]))*(10)/(ASINH(U$4))</f>
        <v>0</v>
      </c>
      <c r="W513" s="256">
        <f>FMS_Ranking4[[#This Row],[Critical facilities at risk, ArcSinh (0-10)]]*U$5*10</f>
        <v>0</v>
      </c>
      <c r="X513" s="253">
        <f>_xlfn.XLOOKUP(FMS_Ranking4[[#This Row],[FMS ID]],FMS_Input[FMS_ID],FMS_Input[LWC])</f>
        <v>0</v>
      </c>
      <c r="Y513" s="259">
        <f>(ASINH(FMS_Ranking4[[#This Row],[LWC Raw]]))*(10)/(ASINH(X$4))</f>
        <v>0</v>
      </c>
      <c r="Z513" s="256">
        <f>FMS_Ranking4[[#This Row],[LWC, ArcSInh (0-10)]]*X$5*10</f>
        <v>0</v>
      </c>
      <c r="AA513" s="253">
        <f>_xlfn.XLOOKUP(FMS_Ranking4[[#This Row],[FMS ID]],FMS_Input[FMS_ID],FMS_Input[ROADCLS])</f>
        <v>0</v>
      </c>
      <c r="AB513" s="255">
        <f>(ASINH(FMS_Ranking4[[#This Row],[Road Closures Raw]]))*(10)/(ASINH(AA$4))</f>
        <v>0</v>
      </c>
      <c r="AC513" s="256">
        <f>FMS_Ranking4[[#This Row],[Road closures, ArcSinh (0-10)]]*AA$5*10</f>
        <v>0</v>
      </c>
      <c r="AD513" s="253">
        <f>_xlfn.XLOOKUP(FMS_Ranking4[[#This Row],[FMS ID]],FMS_Input[FMS_ID],FMS_Input[ROAD_MILES100])</f>
        <v>18</v>
      </c>
      <c r="AE513" s="259">
        <f>(ASINH(FMS_Ranking4[[#This Row],[Road Miles Raw]]))*(10)/(ASINH(AD$4))</f>
        <v>3.8198666439072628</v>
      </c>
      <c r="AF513" s="256">
        <f>FMS_Ranking4[[#This Row],[Length of roads at risk, ArcSinh (0-10)]]*AD$5*10</f>
        <v>3.8198666439072633</v>
      </c>
      <c r="AG513" s="253">
        <f>_xlfn.XLOOKUP(FMS_Ranking4[[#This Row],[FMS ID]],FMS_Input[FMS_ID],FMS_Input[FARMACRE100])</f>
        <v>2059.093994140625</v>
      </c>
      <c r="AH513" s="255">
        <f>(ASINH(FMS_Ranking4[[#This Row],[Ag Land Raw]]))*(10)/(ASINH(AG$4))</f>
        <v>5.4065760858809027</v>
      </c>
      <c r="AI513" s="260">
        <f>FMS_Ranking4[[#This Row],[Farm &amp; ranch land, ArcSinh (0-10)]]*AG$5*10</f>
        <v>2.7032880429404518</v>
      </c>
      <c r="AJ513" s="258">
        <f>_xlfn.XLOOKUP(FMS_Ranking4[[#This Row],[FMS ID]],FMS_Input[FMS_ID],FMS_Input[REDSTRUCT100])</f>
        <v>0</v>
      </c>
      <c r="AK513" s="253">
        <f>_xlfn.XLOOKUP(FMS_Ranking4[[#This Row],[FMS ID]],FMS_Input[FMS_ID],FMS_Input[REMSTRC100])</f>
        <v>0</v>
      </c>
      <c r="AL513" s="259">
        <f>(ASINH(FMS_Ranking4[[#This Row],[Structures Removed Raw]]))*(10)/(ASINH(AK$4))</f>
        <v>0</v>
      </c>
      <c r="AM513" s="262">
        <f>FMS_Ranking4[[#This Row],[Structures removed, ArcSinh (0-10)]]*AK$5*10</f>
        <v>0</v>
      </c>
      <c r="AN513" s="253">
        <f>_xlfn.XLOOKUP(FMS_Ranking4[[#This Row],[FMS ID]],FMS_Input[FMS_ID],FMS_Input[REMRESSTRC100])</f>
        <v>0</v>
      </c>
      <c r="AO513" s="261">
        <f>FMS_Ranking4[[#This Row],[ArcSinh Res struct removed 0-10]]*AN$5*10</f>
        <v>0</v>
      </c>
      <c r="AP513" s="260">
        <f>ASINH(FMS_Ranking4[[#This Row],[Residential Structures Removed Raw]])/AP$4*AN$5*100</f>
        <v>0</v>
      </c>
      <c r="AQ513" s="254">
        <f>(ASINH(FMS_Ranking4[[#This Row],[Residential Structures Removed Raw]]))*(10)/(ASINH(AN$4))</f>
        <v>0</v>
      </c>
      <c r="AR513" s="253">
        <f>_xlfn.XLOOKUP(FMS_Ranking4[[#This Row],[FMS ID]],FMS_Input[FMS_ID],FMS_Input[REMPOP100])</f>
        <v>0</v>
      </c>
      <c r="AS513" s="259">
        <f>(ASINH(FMS_Ranking4[[#This Row],[Removed Pop Raw]]))*(10)/(ASINH(AR$4))</f>
        <v>0</v>
      </c>
      <c r="AT513" s="262">
        <f>FMS_Ranking4[[#This Row],[Removed population, ArcSinh (0-10)]]*AR$5*10</f>
        <v>0</v>
      </c>
      <c r="AU513" s="264">
        <f>_xlfn.XLOOKUP(FMS_Ranking4[[#This Row],[FMS ID]],FMS_Input[FMS_ID],FMS_Input[REMCRITFAC100])</f>
        <v>0</v>
      </c>
      <c r="AV513" s="264">
        <f>_xlfn.XLOOKUP(FMS_Ranking4[[#This Row],[FMS ID]],FMS_Input[FMS_ID],FMS_Input[REMLWC100])</f>
        <v>0</v>
      </c>
      <c r="AW513" s="264">
        <f>_xlfn.XLOOKUP(FMS_Ranking4[[#This Row],[FMS ID]],FMS_Input[FMS_ID],FMS_Input[REMROADCLS])</f>
        <v>0</v>
      </c>
      <c r="AX513" s="264">
        <f>_xlfn.XLOOKUP(FMS_Ranking4[[#This Row],[FMS ID]],FMS_Input[FMS_ID],FMS_Input[REMFRMACRE100])</f>
        <v>0</v>
      </c>
      <c r="AY513" s="258">
        <f>_xlfn.XLOOKUP(FMS_Ranking4[[#This Row],[FMS ID]],FMS_Input[FMS_ID],FMS_Input[COSTSTRUCT])</f>
        <v>0</v>
      </c>
      <c r="AZ513" s="253">
        <f>_xlfn.XLOOKUP(FMS_Ranking4[[#This Row],[FMS ID]],FMS_Input[FMS_ID],FMS_Input[NATURE])</f>
        <v>0</v>
      </c>
      <c r="BA513" s="262">
        <f>(((FMS_Ranking4[[#This Row],[% NBS Raw]]/AZ$4)*100)*AZ$5)</f>
        <v>0</v>
      </c>
      <c r="BB513" s="251" t="str">
        <f>_xlfn.XLOOKUP(FMS_Ranking4[[#This Row],[FMS ID]],FMS_Input[FMS_ID],FMS_Input[WATER_SUP])</f>
        <v>No</v>
      </c>
      <c r="BC513" s="265">
        <f>IF(FMS_Ranking4[[#This Row],[Water Supply Raw]]="Yes",10,0)</f>
        <v>0</v>
      </c>
      <c r="BD513" s="266">
        <f>_xlfn.XLOOKUP(FMS_Ranking4[[#This Row],[FMS Type]],FMS_TYPE[FMS_Type],FMS_TYPE[Score])</f>
        <v>6</v>
      </c>
      <c r="BE513" s="267">
        <f>FMS_Ranking4[[#This Row],[FMS_Type Score]]*$BD$5*10</f>
        <v>1.5000000000000002</v>
      </c>
      <c r="BF51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7.1855061259780389E-2</v>
      </c>
      <c r="BG513" s="271">
        <f>_xlfn.RANK.EQ(BF513,$BF$8:$BF$870,0)+COUNTIF($BF$8:BF513,BF513)-1</f>
        <v>516</v>
      </c>
      <c r="BH513" s="268">
        <f>(((FMS_Ranking4[[#This Row],[Structures Removed Raw]]/AK$4)*100)*AK$5)+(((FMS_Ranking4[[#This Row],[Removed Pop Raw]]/AR$4)*100)*AR$5)</f>
        <v>0</v>
      </c>
      <c r="BI51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1.5718550612597806</v>
      </c>
      <c r="BJ513" s="205">
        <f>_xlfn.RANK.EQ(FMS_Ranking4[[#This Row],[Total Score 
(with linear
normalization)]],FMS_Ranking4[Total Score 
(with linear
normalization)],0)</f>
        <v>573</v>
      </c>
      <c r="BK513" s="205" t="e">
        <f>_xlfn.XLOOKUP(FMS_Ranking4[[#This Row],[FMS ID]],#REF!,#REF!)</f>
        <v>#REF!</v>
      </c>
      <c r="BL51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17.151098491877097</v>
      </c>
      <c r="BM513" s="272">
        <f>FMS_Ranking4[[#This Row],[ArcSinh Score Based on Normalized Reported Factors]]+FMS_Ranking4[[#This Row],[% NBS Score (Normalized)]]+(FMS_Ranking4[[#This Row],[Water Supply Score (Normalized)]]*10*$BB$5)+FMS_Ranking4[[#This Row],[FMS_Type Score Weighted]]</f>
        <v>18.651098491877097</v>
      </c>
      <c r="BN513" s="205">
        <f>_xlfn.RANK.EQ(FMS_Ranking4[[#This Row],[Total Score (with ArcSinh normalization of select criteria)]],FMS_Ranking4[Total Score (with ArcSinh normalization of select criteria)],0)</f>
        <v>506</v>
      </c>
      <c r="BO513" s="270" t="str">
        <f>_xlfn.XLOOKUP(FMS_Ranking4[[#This Row],[FMS ID]],FMS_Input[FMS_ID],FMS_Input[FMS_RANK_YEAR])</f>
        <v>2023 Amended Plan</v>
      </c>
      <c r="BP513" s="204">
        <f>_xlfn.XLOOKUP(FMS_Ranking4[[#This Row],[FMS ID]],Prev_Rank[FMS ID],Prev_Rank[Prev Rank])</f>
        <v>446</v>
      </c>
      <c r="BQ513" s="205" t="e">
        <f>_xlfn.XLOOKUP(FMS_Ranking4[[#This Row],[FMS ID]],#REF!,#REF!)</f>
        <v>#REF!</v>
      </c>
      <c r="BR513" s="199" t="e">
        <f>SUM(#REF!,#REF!,#REF!,#REF!,#REF!,#REF!,#REF!,#REF!,#REF!,FMS_Ranking4[[#This Row],[ArcSinh Res struct removed 0-10]],#REF!)</f>
        <v>#REF!</v>
      </c>
      <c r="BS513" s="199" t="e">
        <f>FMS_Ranking4[[#This Row],[Log Score Based on Normalized Reported Factors]]+FMS_Ranking4[[#This Row],[% NBS Score (Normalized)]]+(FMS_Ranking4[[#This Row],[Water Supply Score (Normalized)]]*10*$BB$5)+(FMS_Ranking4[[#This Row],[FMS_Type Score Weighted]])</f>
        <v>#REF!</v>
      </c>
      <c r="BT513" s="200" t="e">
        <f>_xlfn.RANK.EQ(FMS_Ranking4[[#This Row],[Log Total Score]],FMS_Ranking4[Log Total Score],0)</f>
        <v>#REF!</v>
      </c>
      <c r="BU513" s="200" t="e">
        <f>_xlfn.XLOOKUP(FMS_Ranking4[[#This Row],[FMS ID]],#REF!,#REF!)</f>
        <v>#REF!</v>
      </c>
      <c r="BV513" s="200">
        <f>FMS_Ranking4[[#This Row],[Region Number]]</f>
        <v>3</v>
      </c>
      <c r="BW513" s="200">
        <f>FMS_Ranking4[[#This Row],[Rank (with ArcSinh normalization of select criteria)]]-FMS_Ranking4[[#This Row],[Rank
(with linear
normalization)]]</f>
        <v>-67</v>
      </c>
      <c r="BX513" s="200" t="e">
        <f>FMS_Ranking4[[#This Row],[Log Rank]]-FMS_Ranking4[[#This Row],[Rank
(with linear
normalization)]]</f>
        <v>#REF!</v>
      </c>
      <c r="BY513" s="200" t="str">
        <f>IF(FMS_Ranking4[[#This Row],[FMS Type]]="Flood Measurement and Warning",FMS_Ranking4[[#This Row],[Rank (with ArcSinh normalization of select criteria)]],"")</f>
        <v/>
      </c>
      <c r="BZ513" s="200" t="str">
        <f>IF(FMS_Ranking4[[#This Row],[FMS Type]]="Regulatory and Guidance",FMS_Ranking4[[#This Row],[Rank (with ArcSinh normalization of select criteria)]],"")</f>
        <v/>
      </c>
      <c r="CA513" s="200">
        <f>IF(FMS_Ranking4[[#This Row],[FMS Type]]="Education and Outreach",FMS_Ranking4[[#This Row],[Rank (with ArcSinh normalization of select criteria)]],"")</f>
        <v>506</v>
      </c>
      <c r="CB513" s="200" t="str">
        <f>IF(FMS_Ranking4[[#This Row],[FMS Type]]="Property Acquisition and Structural Elevation",FMS_Ranking4[[#This Row],[Rank (with ArcSinh normalization of select criteria)]],"")</f>
        <v/>
      </c>
      <c r="CC513" s="200" t="str">
        <f>IF(FMS_Ranking4[[#This Row],[FMS Type]]="Infrastructure Projects",FMS_Ranking4[[#This Row],[Rank (with ArcSinh normalization of select criteria)]],"")</f>
        <v/>
      </c>
      <c r="CD513" s="200" t="str">
        <f>IF(FMS_Ranking4[[#This Row],[FMS Type]]="Other",FMS_Ranking4[[#This Row],[Rank (with ArcSinh normalization of select criteria)]],"")</f>
        <v/>
      </c>
      <c r="CE513" s="201"/>
      <c r="CF513" s="206"/>
      <c r="CG513" s="206"/>
      <c r="CH513" s="206"/>
      <c r="CI513" s="206"/>
      <c r="CJ513" s="206"/>
      <c r="CK513" s="206"/>
      <c r="CL513" s="206"/>
      <c r="CM513" s="206"/>
      <c r="CN513" s="206"/>
      <c r="CO513" s="206"/>
      <c r="CP513" s="206"/>
      <c r="CQ513" s="206"/>
      <c r="CR513" s="206"/>
    </row>
    <row r="514" spans="2:96" ht="105" x14ac:dyDescent="0.25">
      <c r="B514" s="341" t="s">
        <v>11957</v>
      </c>
      <c r="C514" s="246">
        <f>_xlfn.XLOOKUP(FMS_Ranking4[[#This Row],[FMS ID]],FMS_Input[FMS_ID],FMS_Input[RFPG_NUM])</f>
        <v>15</v>
      </c>
      <c r="D514" s="309" t="str">
        <f>_xlfn.XLOOKUP(FMS_Ranking4[[#This Row],[FMS ID]],FMS_Input[FMS_ID],FMS_Input[FMS_NAME])</f>
        <v>City of Edcouch</v>
      </c>
      <c r="E514" s="308" t="str">
        <f>_xlfn.XLOOKUP(FMS_Ranking4[[#This Row],[FMS ID]],FMS_Input[FMS_ID],FMS_Input[SPONSOR])</f>
        <v>15000056</v>
      </c>
      <c r="F514" s="309" t="str">
        <f>_xlfn.XLOOKUP(FMS_Ranking4[[#This Row],[FMS ID]],Sponsor[FMS_ID],Sponsor[SPONSOR NAME])</f>
        <v>Edcouch</v>
      </c>
      <c r="G514" s="309" t="str">
        <f>_xlfn.XLOOKUP(FMS_Ranking4[[#This Row],[FMS ID]],FMS_Input[FMS_ID],FMS_Input[FMS_DESCR])</f>
        <v>FMS 2 - Assessment, development, and updating of the City's ordinances, orders, policies, engineering specifications, guidance documents and other flood management tools.</v>
      </c>
      <c r="H514" s="248" t="str">
        <f>_xlfn.XLOOKUP(FMS_Ranking4[[#This Row],[FMS ID]],FMS_Input[FMS_ID],FMS_Input[FMS_TYPE])</f>
        <v>Regulatory and Guidance</v>
      </c>
      <c r="I514" s="249">
        <f>_xlfn.XLOOKUP(FMS_Ranking4[[#This Row],[FMS ID]],FMS_Input[FMS_ID],FMS_Input[NRNC_COST])</f>
        <v>300000</v>
      </c>
      <c r="J514" s="250">
        <f>_xlfn.XLOOKUP(FMS_Ranking4[[#This Row],[FMS ID]],FMS_Input[FMS_ID],FMS_Input[FMS_COST])</f>
        <v>300000</v>
      </c>
      <c r="K514" s="251" t="str">
        <f>_xlfn.XLOOKUP(FMS_Ranking4[[#This Row],[FMS ID]],FMS_Input[FMS_ID],FMS_Input[EMER_NEED])</f>
        <v>Yes</v>
      </c>
      <c r="L514" s="252">
        <f t="shared" si="7"/>
        <v>1</v>
      </c>
      <c r="M514" s="253">
        <f>_xlfn.XLOOKUP(FMS_Ranking4[[#This Row],[FMS ID]],FMS_Input[FMS_ID],FMS_Input[STRUCT_100])</f>
        <v>287</v>
      </c>
      <c r="N514" s="255">
        <f>(ASINH(FMS_Ranking4[[#This Row],[Structure at Risk Raw]]))*(10)/(ASINH(M$4))</f>
        <v>4.9941149571040482</v>
      </c>
      <c r="O514" s="256">
        <f>FMS_Ranking4[[#This Row],[Structures at risk, ArcSinh (0-10)]]*M$5*10</f>
        <v>4.9941149571040482</v>
      </c>
      <c r="P514" s="253">
        <f>_xlfn.XLOOKUP(FMS_Ranking4[[#This Row],[FMS ID]],FMS_Input[FMS_ID],FMS_Input[RES_STRUCT100])</f>
        <v>230</v>
      </c>
      <c r="Q514" s="257">
        <f>ASINH(FMS_Ranking4[[#This Row],[Res Structure Raw]])/Q$4*P$5*100</f>
        <v>0</v>
      </c>
      <c r="R514" s="253">
        <f>_xlfn.XLOOKUP(FMS_Ranking4[[#This Row],[FMS ID]],FMS_Input[FMS_ID],FMS_Input[POP100])</f>
        <v>1758</v>
      </c>
      <c r="S514" s="259">
        <f>(ASINH(FMS_Ranking4[[#This Row],[Pop at Risk Raw]]))*(10)/(ASINH(R$4))</f>
        <v>5.6368296222199472</v>
      </c>
      <c r="T514" s="256">
        <f>FMS_Ranking4[[#This Row],[Population at risk, ArcSinh (0-10)]]*R$5*10</f>
        <v>5.6368296222199472</v>
      </c>
      <c r="U514" s="253">
        <f>_xlfn.XLOOKUP(FMS_Ranking4[[#This Row],[FMS ID]],FMS_Input[FMS_ID],FMS_Input[CRITFAC100])</f>
        <v>6</v>
      </c>
      <c r="V514" s="259">
        <f>(ASINH(FMS_Ranking4[[#This Row],[Critical Facilities Raw]]))*(10)/(ASINH(U$4))</f>
        <v>2.9496796311809068</v>
      </c>
      <c r="W514" s="256">
        <f>FMS_Ranking4[[#This Row],[Critical facilities at risk, ArcSinh (0-10)]]*U$5*10</f>
        <v>2.9496796311809073</v>
      </c>
      <c r="X514" s="253">
        <f>_xlfn.XLOOKUP(FMS_Ranking4[[#This Row],[FMS ID]],FMS_Input[FMS_ID],FMS_Input[LWC])</f>
        <v>0</v>
      </c>
      <c r="Y514" s="259">
        <f>(ASINH(FMS_Ranking4[[#This Row],[LWC Raw]]))*(10)/(ASINH(X$4))</f>
        <v>0</v>
      </c>
      <c r="Z514" s="256">
        <f>FMS_Ranking4[[#This Row],[LWC, ArcSInh (0-10)]]*X$5*10</f>
        <v>0</v>
      </c>
      <c r="AA514" s="253">
        <f>_xlfn.XLOOKUP(FMS_Ranking4[[#This Row],[FMS ID]],FMS_Input[FMS_ID],FMS_Input[ROADCLS])</f>
        <v>0</v>
      </c>
      <c r="AB514" s="255">
        <f>(ASINH(FMS_Ranking4[[#This Row],[Road Closures Raw]]))*(10)/(ASINH(AA$4))</f>
        <v>0</v>
      </c>
      <c r="AC514" s="256">
        <f>FMS_Ranking4[[#This Row],[Road closures, ArcSinh (0-10)]]*AA$5*10</f>
        <v>0</v>
      </c>
      <c r="AD514" s="253">
        <f>_xlfn.XLOOKUP(FMS_Ranking4[[#This Row],[FMS ID]],FMS_Input[FMS_ID],FMS_Input[ROAD_MILES100])</f>
        <v>8</v>
      </c>
      <c r="AE514" s="259">
        <f>(ASINH(FMS_Ranking4[[#This Row],[Road Miles Raw]]))*(10)/(ASINH(AD$4))</f>
        <v>2.9589555764172308</v>
      </c>
      <c r="AF514" s="256">
        <f>FMS_Ranking4[[#This Row],[Length of roads at risk, ArcSinh (0-10)]]*AD$5*10</f>
        <v>2.9589555764172308</v>
      </c>
      <c r="AG514" s="253">
        <f>_xlfn.XLOOKUP(FMS_Ranking4[[#This Row],[FMS ID]],FMS_Input[FMS_ID],FMS_Input[FARMACRE100])</f>
        <v>0.27433517575263983</v>
      </c>
      <c r="AH514" s="255">
        <f>(ASINH(FMS_Ranking4[[#This Row],[Ag Land Raw]]))*(10)/(ASINH(AG$4))</f>
        <v>0.17604026712216256</v>
      </c>
      <c r="AI514" s="260">
        <f>FMS_Ranking4[[#This Row],[Farm &amp; ranch land, ArcSinh (0-10)]]*AG$5*10</f>
        <v>8.8020133561081279E-2</v>
      </c>
      <c r="AJ514" s="258">
        <f>_xlfn.XLOOKUP(FMS_Ranking4[[#This Row],[FMS ID]],FMS_Input[FMS_ID],FMS_Input[REDSTRUCT100])</f>
        <v>0</v>
      </c>
      <c r="AK514" s="253">
        <f>_xlfn.XLOOKUP(FMS_Ranking4[[#This Row],[FMS ID]],FMS_Input[FMS_ID],FMS_Input[REMSTRC100])</f>
        <v>0</v>
      </c>
      <c r="AL514" s="259">
        <f>(ASINH(FMS_Ranking4[[#This Row],[Structures Removed Raw]]))*(10)/(ASINH(AK$4))</f>
        <v>0</v>
      </c>
      <c r="AM514" s="262">
        <f>FMS_Ranking4[[#This Row],[Structures removed, ArcSinh (0-10)]]*AK$5*10</f>
        <v>0</v>
      </c>
      <c r="AN514" s="253">
        <f>_xlfn.XLOOKUP(FMS_Ranking4[[#This Row],[FMS ID]],FMS_Input[FMS_ID],FMS_Input[REMRESSTRC100])</f>
        <v>0</v>
      </c>
      <c r="AO514" s="261">
        <f>FMS_Ranking4[[#This Row],[ArcSinh Res struct removed 0-10]]*AN$5*10</f>
        <v>0</v>
      </c>
      <c r="AP514" s="260">
        <f>ASINH(FMS_Ranking4[[#This Row],[Residential Structures Removed Raw]])/AP$4*AN$5*100</f>
        <v>0</v>
      </c>
      <c r="AQ514" s="254">
        <f>(ASINH(FMS_Ranking4[[#This Row],[Residential Structures Removed Raw]]))*(10)/(ASINH(AN$4))</f>
        <v>0</v>
      </c>
      <c r="AR514" s="253">
        <f>_xlfn.XLOOKUP(FMS_Ranking4[[#This Row],[FMS ID]],FMS_Input[FMS_ID],FMS_Input[REMPOP100])</f>
        <v>0</v>
      </c>
      <c r="AS514" s="259">
        <f>(ASINH(FMS_Ranking4[[#This Row],[Removed Pop Raw]]))*(10)/(ASINH(AR$4))</f>
        <v>0</v>
      </c>
      <c r="AT514" s="262">
        <f>FMS_Ranking4[[#This Row],[Removed population, ArcSinh (0-10)]]*AR$5*10</f>
        <v>0</v>
      </c>
      <c r="AU514" s="264">
        <f>_xlfn.XLOOKUP(FMS_Ranking4[[#This Row],[FMS ID]],FMS_Input[FMS_ID],FMS_Input[REMCRITFAC100])</f>
        <v>0</v>
      </c>
      <c r="AV514" s="264">
        <f>_xlfn.XLOOKUP(FMS_Ranking4[[#This Row],[FMS ID]],FMS_Input[FMS_ID],FMS_Input[REMLWC100])</f>
        <v>0</v>
      </c>
      <c r="AW514" s="264">
        <f>_xlfn.XLOOKUP(FMS_Ranking4[[#This Row],[FMS ID]],FMS_Input[FMS_ID],FMS_Input[REMROADCLS])</f>
        <v>0</v>
      </c>
      <c r="AX514" s="264">
        <f>_xlfn.XLOOKUP(FMS_Ranking4[[#This Row],[FMS ID]],FMS_Input[FMS_ID],FMS_Input[REMFRMACRE100])</f>
        <v>0</v>
      </c>
      <c r="AY514" s="258">
        <f>_xlfn.XLOOKUP(FMS_Ranking4[[#This Row],[FMS ID]],FMS_Input[FMS_ID],FMS_Input[COSTSTRUCT])</f>
        <v>0</v>
      </c>
      <c r="AZ514" s="253">
        <f>_xlfn.XLOOKUP(FMS_Ranking4[[#This Row],[FMS ID]],FMS_Input[FMS_ID],FMS_Input[NATURE])</f>
        <v>0</v>
      </c>
      <c r="BA514" s="262">
        <f>(((FMS_Ranking4[[#This Row],[% NBS Raw]]/AZ$4)*100)*AZ$5)</f>
        <v>0</v>
      </c>
      <c r="BB514" s="251" t="str">
        <f>_xlfn.XLOOKUP(FMS_Ranking4[[#This Row],[FMS ID]],FMS_Input[FMS_ID],FMS_Input[WATER_SUP])</f>
        <v>No</v>
      </c>
      <c r="BC514" s="265">
        <f>IF(FMS_Ranking4[[#This Row],[Water Supply Raw]]="Yes",10,0)</f>
        <v>0</v>
      </c>
      <c r="BD514" s="266">
        <f>_xlfn.XLOOKUP(FMS_Ranking4[[#This Row],[FMS Type]],FMS_TYPE[FMS_Type],FMS_TYPE[Score])</f>
        <v>8</v>
      </c>
      <c r="BE514" s="267">
        <f>FMS_Ranking4[[#This Row],[FMS_Type Score]]*$BD$5*10</f>
        <v>2</v>
      </c>
      <c r="BF51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7.4347770691657461E-2</v>
      </c>
      <c r="BG514" s="269">
        <f>_xlfn.RANK.EQ(BF514,$BF$8:$BF$870,0)+COUNTIF($BF$8:BF514,BF514)-1</f>
        <v>513</v>
      </c>
      <c r="BH514" s="268">
        <f>(((FMS_Ranking4[[#This Row],[Structures Removed Raw]]/AK$4)*100)*AK$5)+(((FMS_Ranking4[[#This Row],[Removed Pop Raw]]/AR$4)*100)*AR$5)</f>
        <v>0</v>
      </c>
      <c r="BI51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2.0743477706916575</v>
      </c>
      <c r="BJ514" s="204">
        <f>_xlfn.RANK.EQ(FMS_Ranking4[[#This Row],[Total Score 
(with linear
normalization)]],FMS_Ranking4[Total Score 
(with linear
normalization)],0)</f>
        <v>374</v>
      </c>
      <c r="BK514" s="204" t="e">
        <f>_xlfn.XLOOKUP(FMS_Ranking4[[#This Row],[FMS ID]],#REF!,#REF!)</f>
        <v>#REF!</v>
      </c>
      <c r="BL514"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16.627599920483213</v>
      </c>
      <c r="BM514" s="270">
        <f>FMS_Ranking4[[#This Row],[ArcSinh Score Based on Normalized Reported Factors]]+FMS_Ranking4[[#This Row],[% NBS Score (Normalized)]]+(FMS_Ranking4[[#This Row],[Water Supply Score (Normalized)]]*10*$BB$5)+FMS_Ranking4[[#This Row],[FMS_Type Score Weighted]]</f>
        <v>18.627599920483213</v>
      </c>
      <c r="BN514" s="204">
        <f>_xlfn.RANK.EQ(FMS_Ranking4[[#This Row],[Total Score (with ArcSinh normalization of select criteria)]],FMS_Ranking4[Total Score (with ArcSinh normalization of select criteria)],0)</f>
        <v>507</v>
      </c>
      <c r="BO514" s="270" t="str">
        <f>_xlfn.XLOOKUP(FMS_Ranking4[[#This Row],[FMS ID]],FMS_Input[FMS_ID],FMS_Input[FMS_RANK_YEAR])</f>
        <v>2025 Amended Plan</v>
      </c>
      <c r="BP514" s="204" t="e">
        <f>_xlfn.XLOOKUP(FMS_Ranking4[[#This Row],[FMS ID]],Prev_Rank[FMS ID],Prev_Rank[Prev Rank])</f>
        <v>#N/A</v>
      </c>
      <c r="BQ514" s="204" t="e">
        <f>_xlfn.XLOOKUP(FMS_Ranking4[[#This Row],[FMS ID]],#REF!,#REF!)</f>
        <v>#REF!</v>
      </c>
      <c r="BR514" s="199" t="e">
        <f>SUM(#REF!,#REF!,#REF!,#REF!,#REF!,#REF!,#REF!,#REF!,#REF!,FMS_Ranking4[[#This Row],[ArcSinh Res struct removed 0-10]],#REF!)</f>
        <v>#REF!</v>
      </c>
      <c r="BS514" s="199" t="e">
        <f>FMS_Ranking4[[#This Row],[Log Score Based on Normalized Reported Factors]]+FMS_Ranking4[[#This Row],[% NBS Score (Normalized)]]+(FMS_Ranking4[[#This Row],[Water Supply Score (Normalized)]]*10*$BB$5)+(FMS_Ranking4[[#This Row],[FMS_Type Score Weighted]])</f>
        <v>#REF!</v>
      </c>
      <c r="BT514" s="200" t="e">
        <f>_xlfn.RANK.EQ(FMS_Ranking4[[#This Row],[Log Total Score]],FMS_Ranking4[Log Total Score],0)</f>
        <v>#REF!</v>
      </c>
      <c r="BU514" s="200" t="e">
        <f>_xlfn.XLOOKUP(FMS_Ranking4[[#This Row],[FMS ID]],#REF!,#REF!)</f>
        <v>#REF!</v>
      </c>
      <c r="BV514" s="200">
        <f>FMS_Ranking4[[#This Row],[Region Number]]</f>
        <v>15</v>
      </c>
      <c r="BW514" s="200">
        <f>FMS_Ranking4[[#This Row],[Rank (with ArcSinh normalization of select criteria)]]-FMS_Ranking4[[#This Row],[Rank
(with linear
normalization)]]</f>
        <v>133</v>
      </c>
      <c r="BX514" s="200" t="e">
        <f>FMS_Ranking4[[#This Row],[Log Rank]]-FMS_Ranking4[[#This Row],[Rank
(with linear
normalization)]]</f>
        <v>#REF!</v>
      </c>
      <c r="BY514" s="200" t="str">
        <f>IF(FMS_Ranking4[[#This Row],[FMS Type]]="Flood Measurement and Warning",FMS_Ranking4[[#This Row],[Rank (with ArcSinh normalization of select criteria)]],"")</f>
        <v/>
      </c>
      <c r="BZ514" s="200">
        <f>IF(FMS_Ranking4[[#This Row],[FMS Type]]="Regulatory and Guidance",FMS_Ranking4[[#This Row],[Rank (with ArcSinh normalization of select criteria)]],"")</f>
        <v>507</v>
      </c>
      <c r="CA514" s="200" t="str">
        <f>IF(FMS_Ranking4[[#This Row],[FMS Type]]="Education and Outreach",FMS_Ranking4[[#This Row],[Rank (with ArcSinh normalization of select criteria)]],"")</f>
        <v/>
      </c>
      <c r="CB514" s="200" t="str">
        <f>IF(FMS_Ranking4[[#This Row],[FMS Type]]="Property Acquisition and Structural Elevation",FMS_Ranking4[[#This Row],[Rank (with ArcSinh normalization of select criteria)]],"")</f>
        <v/>
      </c>
      <c r="CC514" s="200" t="str">
        <f>IF(FMS_Ranking4[[#This Row],[FMS Type]]="Infrastructure Projects",FMS_Ranking4[[#This Row],[Rank (with ArcSinh normalization of select criteria)]],"")</f>
        <v/>
      </c>
      <c r="CD514" s="200" t="str">
        <f>IF(FMS_Ranking4[[#This Row],[FMS Type]]="Other",FMS_Ranking4[[#This Row],[Rank (with ArcSinh normalization of select criteria)]],"")</f>
        <v/>
      </c>
      <c r="CE514" s="201"/>
      <c r="CF514" s="206"/>
      <c r="CG514" s="206"/>
      <c r="CH514" s="206"/>
      <c r="CI514" s="206"/>
      <c r="CJ514" s="206"/>
      <c r="CK514" s="206"/>
      <c r="CL514" s="206"/>
      <c r="CM514" s="206"/>
      <c r="CN514" s="206"/>
      <c r="CO514" s="206"/>
      <c r="CP514" s="206"/>
      <c r="CQ514" s="206"/>
      <c r="CR514" s="206"/>
    </row>
    <row r="515" spans="2:96" ht="60" x14ac:dyDescent="0.25">
      <c r="B515" s="341" t="s">
        <v>12046</v>
      </c>
      <c r="C515" s="246">
        <f>_xlfn.XLOOKUP(FMS_Ranking4[[#This Row],[FMS ID]],FMS_Input[FMS_ID],FMS_Input[RFPG_NUM])</f>
        <v>4</v>
      </c>
      <c r="D515" s="309" t="str">
        <f>_xlfn.XLOOKUP(FMS_Ranking4[[#This Row],[FMS ID]],FMS_Input[FMS_ID],FMS_Input[FMS_NAME])</f>
        <v>West Orange Property Acquisition</v>
      </c>
      <c r="E515" s="308" t="str">
        <f>_xlfn.XLOOKUP(FMS_Ranking4[[#This Row],[FMS ID]],FMS_Input[FMS_ID],FMS_Input[SPONSOR])</f>
        <v>04002920</v>
      </c>
      <c r="F515" s="309" t="str">
        <f>_xlfn.XLOOKUP(FMS_Ranking4[[#This Row],[FMS ID]],Sponsor[FMS_ID],Sponsor[SPONSOR NAME])</f>
        <v>West Orange</v>
      </c>
      <c r="G515" s="309" t="str">
        <f>_xlfn.XLOOKUP(FMS_Ranking4[[#This Row],[FMS ID]],FMS_Input[FMS_ID],FMS_Input[FMS_DESCR])</f>
        <v>Acquisition and demolition of structures for flood prevention activities</v>
      </c>
      <c r="H515" s="248" t="str">
        <f>_xlfn.XLOOKUP(FMS_Ranking4[[#This Row],[FMS ID]],FMS_Input[FMS_ID],FMS_Input[FMS_TYPE])</f>
        <v>Property Acquisition and Structural Elevation</v>
      </c>
      <c r="I515" s="249">
        <f>_xlfn.XLOOKUP(FMS_Ranking4[[#This Row],[FMS ID]],FMS_Input[FMS_ID],FMS_Input[NRNC_COST])</f>
        <v>100000</v>
      </c>
      <c r="J515" s="250">
        <f>_xlfn.XLOOKUP(FMS_Ranking4[[#This Row],[FMS ID]],FMS_Input[FMS_ID],FMS_Input[FMS_COST])</f>
        <v>1000000</v>
      </c>
      <c r="K515" s="251" t="str">
        <f>_xlfn.XLOOKUP(FMS_Ranking4[[#This Row],[FMS ID]],FMS_Input[FMS_ID],FMS_Input[EMER_NEED])</f>
        <v>Yes</v>
      </c>
      <c r="L515" s="252">
        <f t="shared" si="7"/>
        <v>1</v>
      </c>
      <c r="M515" s="253">
        <f>_xlfn.XLOOKUP(FMS_Ranking4[[#This Row],[FMS ID]],FMS_Input[FMS_ID],FMS_Input[STRUCT_100])</f>
        <v>1162</v>
      </c>
      <c r="N515" s="255">
        <f>(ASINH(FMS_Ranking4[[#This Row],[Structure at Risk Raw]]))*(10)/(ASINH(M$4))</f>
        <v>6.0934756889149009</v>
      </c>
      <c r="O515" s="256">
        <f>FMS_Ranking4[[#This Row],[Structures at risk, ArcSinh (0-10)]]*M$5*10</f>
        <v>6.0934756889149009</v>
      </c>
      <c r="P515" s="253">
        <f>_xlfn.XLOOKUP(FMS_Ranking4[[#This Row],[FMS ID]],FMS_Input[FMS_ID],FMS_Input[RES_STRUCT100])</f>
        <v>1012</v>
      </c>
      <c r="Q515" s="257">
        <f>ASINH(FMS_Ranking4[[#This Row],[Res Structure Raw]])/Q$4*P$5*100</f>
        <v>0</v>
      </c>
      <c r="R515" s="253">
        <f>_xlfn.XLOOKUP(FMS_Ranking4[[#This Row],[FMS ID]],FMS_Input[FMS_ID],FMS_Input[POP100])</f>
        <v>3039</v>
      </c>
      <c r="S515" s="259">
        <f>(ASINH(FMS_Ranking4[[#This Row],[Pop at Risk Raw]]))*(10)/(ASINH(R$4))</f>
        <v>6.0146983393858413</v>
      </c>
      <c r="T515" s="256">
        <f>FMS_Ranking4[[#This Row],[Population at risk, ArcSinh (0-10)]]*R$5*10</f>
        <v>6.0146983393858422</v>
      </c>
      <c r="U515" s="253">
        <f>_xlfn.XLOOKUP(FMS_Ranking4[[#This Row],[FMS ID]],FMS_Input[FMS_ID],FMS_Input[CRITFAC100])</f>
        <v>0</v>
      </c>
      <c r="V515" s="259">
        <f>(ASINH(FMS_Ranking4[[#This Row],[Critical Facilities Raw]]))*(10)/(ASINH(U$4))</f>
        <v>0</v>
      </c>
      <c r="W515" s="256">
        <f>FMS_Ranking4[[#This Row],[Critical facilities at risk, ArcSinh (0-10)]]*U$5*10</f>
        <v>0</v>
      </c>
      <c r="X515" s="253">
        <f>_xlfn.XLOOKUP(FMS_Ranking4[[#This Row],[FMS ID]],FMS_Input[FMS_ID],FMS_Input[LWC])</f>
        <v>0</v>
      </c>
      <c r="Y515" s="259">
        <f>(ASINH(FMS_Ranking4[[#This Row],[LWC Raw]]))*(10)/(ASINH(X$4))</f>
        <v>0</v>
      </c>
      <c r="Z515" s="256">
        <f>FMS_Ranking4[[#This Row],[LWC, ArcSInh (0-10)]]*X$5*10</f>
        <v>0</v>
      </c>
      <c r="AA515" s="253">
        <f>_xlfn.XLOOKUP(FMS_Ranking4[[#This Row],[FMS ID]],FMS_Input[FMS_ID],FMS_Input[ROADCLS])</f>
        <v>0</v>
      </c>
      <c r="AB515" s="255">
        <f>(ASINH(FMS_Ranking4[[#This Row],[Road Closures Raw]]))*(10)/(ASINH(AA$4))</f>
        <v>0</v>
      </c>
      <c r="AC515" s="256">
        <f>FMS_Ranking4[[#This Row],[Road closures, ArcSinh (0-10)]]*AA$5*10</f>
        <v>0</v>
      </c>
      <c r="AD515" s="253">
        <f>_xlfn.XLOOKUP(FMS_Ranking4[[#This Row],[FMS ID]],FMS_Input[FMS_ID],FMS_Input[ROAD_MILES100])</f>
        <v>21</v>
      </c>
      <c r="AE515" s="259">
        <f>(ASINH(FMS_Ranking4[[#This Row],[Road Miles Raw]]))*(10)/(ASINH(AD$4))</f>
        <v>3.9839311289010819</v>
      </c>
      <c r="AF515" s="256">
        <f>FMS_Ranking4[[#This Row],[Length of roads at risk, ArcSinh (0-10)]]*AD$5*10</f>
        <v>3.9839311289010819</v>
      </c>
      <c r="AG515" s="253">
        <f>_xlfn.XLOOKUP(FMS_Ranking4[[#This Row],[FMS ID]],FMS_Input[FMS_ID],FMS_Input[FARMACRE100])</f>
        <v>55.880001068115227</v>
      </c>
      <c r="AH515" s="255">
        <f>(ASINH(FMS_Ranking4[[#This Row],[Ag Land Raw]]))*(10)/(ASINH(AG$4))</f>
        <v>3.0637079890224479</v>
      </c>
      <c r="AI515" s="260">
        <f>FMS_Ranking4[[#This Row],[Farm &amp; ranch land, ArcSinh (0-10)]]*AG$5*10</f>
        <v>1.5318539945112242</v>
      </c>
      <c r="AJ515" s="258">
        <f>_xlfn.XLOOKUP(FMS_Ranking4[[#This Row],[FMS ID]],FMS_Input[FMS_ID],FMS_Input[REDSTRUCT100])</f>
        <v>0</v>
      </c>
      <c r="AK515" s="253">
        <f>_xlfn.XLOOKUP(FMS_Ranking4[[#This Row],[FMS ID]],FMS_Input[FMS_ID],FMS_Input[REMSTRC100])</f>
        <v>0</v>
      </c>
      <c r="AL515" s="259">
        <f>(ASINH(FMS_Ranking4[[#This Row],[Structures Removed Raw]]))*(10)/(ASINH(AK$4))</f>
        <v>0</v>
      </c>
      <c r="AM515" s="262">
        <f>FMS_Ranking4[[#This Row],[Structures removed, ArcSinh (0-10)]]*AK$5*10</f>
        <v>0</v>
      </c>
      <c r="AN515" s="253">
        <f>_xlfn.XLOOKUP(FMS_Ranking4[[#This Row],[FMS ID]],FMS_Input[FMS_ID],FMS_Input[REMRESSTRC100])</f>
        <v>0</v>
      </c>
      <c r="AO515" s="261">
        <f>FMS_Ranking4[[#This Row],[ArcSinh Res struct removed 0-10]]*AN$5*10</f>
        <v>0</v>
      </c>
      <c r="AP515" s="260">
        <f>ASINH(FMS_Ranking4[[#This Row],[Residential Structures Removed Raw]])/AP$4*AN$5*100</f>
        <v>0</v>
      </c>
      <c r="AQ515" s="254">
        <f>(ASINH(FMS_Ranking4[[#This Row],[Residential Structures Removed Raw]]))*(10)/(ASINH(AN$4))</f>
        <v>0</v>
      </c>
      <c r="AR515" s="253">
        <f>_xlfn.XLOOKUP(FMS_Ranking4[[#This Row],[FMS ID]],FMS_Input[FMS_ID],FMS_Input[REMPOP100])</f>
        <v>0</v>
      </c>
      <c r="AS515" s="259">
        <f>(ASINH(FMS_Ranking4[[#This Row],[Removed Pop Raw]]))*(10)/(ASINH(AR$4))</f>
        <v>0</v>
      </c>
      <c r="AT515" s="262">
        <f>FMS_Ranking4[[#This Row],[Removed population, ArcSinh (0-10)]]*AR$5*10</f>
        <v>0</v>
      </c>
      <c r="AU515" s="264">
        <f>_xlfn.XLOOKUP(FMS_Ranking4[[#This Row],[FMS ID]],FMS_Input[FMS_ID],FMS_Input[REMCRITFAC100])</f>
        <v>0</v>
      </c>
      <c r="AV515" s="264">
        <f>_xlfn.XLOOKUP(FMS_Ranking4[[#This Row],[FMS ID]],FMS_Input[FMS_ID],FMS_Input[REMLWC100])</f>
        <v>0</v>
      </c>
      <c r="AW515" s="264">
        <f>_xlfn.XLOOKUP(FMS_Ranking4[[#This Row],[FMS ID]],FMS_Input[FMS_ID],FMS_Input[REMROADCLS])</f>
        <v>0</v>
      </c>
      <c r="AX515" s="264">
        <f>_xlfn.XLOOKUP(FMS_Ranking4[[#This Row],[FMS ID]],FMS_Input[FMS_ID],FMS_Input[REMFRMACRE100])</f>
        <v>0</v>
      </c>
      <c r="AY515" s="258">
        <f>_xlfn.XLOOKUP(FMS_Ranking4[[#This Row],[FMS ID]],FMS_Input[FMS_ID],FMS_Input[COSTSTRUCT])</f>
        <v>0</v>
      </c>
      <c r="AZ515" s="253">
        <f>_xlfn.XLOOKUP(FMS_Ranking4[[#This Row],[FMS ID]],FMS_Input[FMS_ID],FMS_Input[NATURE])</f>
        <v>0</v>
      </c>
      <c r="BA515" s="262">
        <f>(((FMS_Ranking4[[#This Row],[% NBS Raw]]/AZ$4)*100)*AZ$5)</f>
        <v>0</v>
      </c>
      <c r="BB515" s="251" t="str">
        <f>_xlfn.XLOOKUP(FMS_Ranking4[[#This Row],[FMS ID]],FMS_Input[FMS_ID],FMS_Input[WATER_SUP])</f>
        <v>No</v>
      </c>
      <c r="BC515" s="265">
        <f>IF(FMS_Ranking4[[#This Row],[Water Supply Raw]]="Yes",10,0)</f>
        <v>0</v>
      </c>
      <c r="BD515" s="266">
        <f>_xlfn.XLOOKUP(FMS_Ranking4[[#This Row],[FMS Type]],FMS_TYPE[FMS_Type],FMS_TYPE[Score])</f>
        <v>4</v>
      </c>
      <c r="BE515" s="267">
        <f>FMS_Ranking4[[#This Row],[FMS_Type Score]]*$BD$5*10</f>
        <v>1</v>
      </c>
      <c r="BF51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0.13604285454071111</v>
      </c>
      <c r="BG515" s="271">
        <f>_xlfn.RANK.EQ(BF515,$BF$8:$BF$870,0)+COUNTIF($BF$8:BF515,BF515)-1</f>
        <v>420</v>
      </c>
      <c r="BH515" s="268">
        <f>(((FMS_Ranking4[[#This Row],[Structures Removed Raw]]/AK$4)*100)*AK$5)+(((FMS_Ranking4[[#This Row],[Removed Pop Raw]]/AR$4)*100)*AR$5)</f>
        <v>0</v>
      </c>
      <c r="BI51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1.1360428545407111</v>
      </c>
      <c r="BJ515" s="205">
        <f>_xlfn.RANK.EQ(FMS_Ranking4[[#This Row],[Total Score 
(with linear
normalization)]],FMS_Ranking4[Total Score 
(with linear
normalization)],0)</f>
        <v>662</v>
      </c>
      <c r="BK515" s="205" t="e">
        <f>_xlfn.XLOOKUP(FMS_Ranking4[[#This Row],[FMS ID]],#REF!,#REF!)</f>
        <v>#REF!</v>
      </c>
      <c r="BL51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17.623959151713048</v>
      </c>
      <c r="BM515" s="272">
        <f>FMS_Ranking4[[#This Row],[ArcSinh Score Based on Normalized Reported Factors]]+FMS_Ranking4[[#This Row],[% NBS Score (Normalized)]]+(FMS_Ranking4[[#This Row],[Water Supply Score (Normalized)]]*10*$BB$5)+FMS_Ranking4[[#This Row],[FMS_Type Score Weighted]]</f>
        <v>18.623959151713048</v>
      </c>
      <c r="BN515" s="205">
        <f>_xlfn.RANK.EQ(FMS_Ranking4[[#This Row],[Total Score (with ArcSinh normalization of select criteria)]],FMS_Ranking4[Total Score (with ArcSinh normalization of select criteria)],0)</f>
        <v>508</v>
      </c>
      <c r="BO515" s="270" t="str">
        <f>_xlfn.XLOOKUP(FMS_Ranking4[[#This Row],[FMS ID]],FMS_Input[FMS_ID],FMS_Input[FMS_RANK_YEAR])</f>
        <v>2025 Amended Plan</v>
      </c>
      <c r="BP515" s="204" t="e">
        <f>_xlfn.XLOOKUP(FMS_Ranking4[[#This Row],[FMS ID]],Prev_Rank[FMS ID],Prev_Rank[Prev Rank])</f>
        <v>#N/A</v>
      </c>
      <c r="BQ515" s="205" t="e">
        <f>_xlfn.XLOOKUP(FMS_Ranking4[[#This Row],[FMS ID]],#REF!,#REF!)</f>
        <v>#REF!</v>
      </c>
      <c r="BR515" s="199" t="e">
        <f>SUM(#REF!,#REF!,#REF!,#REF!,#REF!,#REF!,#REF!,#REF!,#REF!,FMS_Ranking4[[#This Row],[ArcSinh Res struct removed 0-10]],#REF!)</f>
        <v>#REF!</v>
      </c>
      <c r="BS515" s="199" t="e">
        <f>FMS_Ranking4[[#This Row],[Log Score Based on Normalized Reported Factors]]+FMS_Ranking4[[#This Row],[% NBS Score (Normalized)]]+(FMS_Ranking4[[#This Row],[Water Supply Score (Normalized)]]*10*$BB$5)+(FMS_Ranking4[[#This Row],[FMS_Type Score Weighted]])</f>
        <v>#REF!</v>
      </c>
      <c r="BT515" s="200" t="e">
        <f>_xlfn.RANK.EQ(FMS_Ranking4[[#This Row],[Log Total Score]],FMS_Ranking4[Log Total Score],0)</f>
        <v>#REF!</v>
      </c>
      <c r="BU515" s="200" t="e">
        <f>_xlfn.XLOOKUP(FMS_Ranking4[[#This Row],[FMS ID]],#REF!,#REF!)</f>
        <v>#REF!</v>
      </c>
      <c r="BV515" s="200">
        <f>FMS_Ranking4[[#This Row],[Region Number]]</f>
        <v>4</v>
      </c>
      <c r="BW515" s="200">
        <f>FMS_Ranking4[[#This Row],[Rank (with ArcSinh normalization of select criteria)]]-FMS_Ranking4[[#This Row],[Rank
(with linear
normalization)]]</f>
        <v>-154</v>
      </c>
      <c r="BX515" s="200" t="e">
        <f>FMS_Ranking4[[#This Row],[Log Rank]]-FMS_Ranking4[[#This Row],[Rank
(with linear
normalization)]]</f>
        <v>#REF!</v>
      </c>
      <c r="BY515" s="200" t="str">
        <f>IF(FMS_Ranking4[[#This Row],[FMS Type]]="Flood Measurement and Warning",FMS_Ranking4[[#This Row],[Rank (with ArcSinh normalization of select criteria)]],"")</f>
        <v/>
      </c>
      <c r="BZ515" s="200" t="str">
        <f>IF(FMS_Ranking4[[#This Row],[FMS Type]]="Regulatory and Guidance",FMS_Ranking4[[#This Row],[Rank (with ArcSinh normalization of select criteria)]],"")</f>
        <v/>
      </c>
      <c r="CA515" s="200" t="str">
        <f>IF(FMS_Ranking4[[#This Row],[FMS Type]]="Education and Outreach",FMS_Ranking4[[#This Row],[Rank (with ArcSinh normalization of select criteria)]],"")</f>
        <v/>
      </c>
      <c r="CB515" s="200">
        <f>IF(FMS_Ranking4[[#This Row],[FMS Type]]="Property Acquisition and Structural Elevation",FMS_Ranking4[[#This Row],[Rank (with ArcSinh normalization of select criteria)]],"")</f>
        <v>508</v>
      </c>
      <c r="CC515" s="200" t="str">
        <f>IF(FMS_Ranking4[[#This Row],[FMS Type]]="Infrastructure Projects",FMS_Ranking4[[#This Row],[Rank (with ArcSinh normalization of select criteria)]],"")</f>
        <v/>
      </c>
      <c r="CD515" s="200" t="str">
        <f>IF(FMS_Ranking4[[#This Row],[FMS Type]]="Other",FMS_Ranking4[[#This Row],[Rank (with ArcSinh normalization of select criteria)]],"")</f>
        <v/>
      </c>
      <c r="CE515" s="201"/>
      <c r="CF515" s="206"/>
      <c r="CG515" s="206"/>
      <c r="CH515" s="206"/>
      <c r="CI515" s="206"/>
      <c r="CJ515" s="206"/>
      <c r="CK515" s="206"/>
      <c r="CL515" s="206"/>
      <c r="CM515" s="206"/>
      <c r="CN515" s="206"/>
      <c r="CO515" s="206"/>
      <c r="CP515" s="206"/>
      <c r="CQ515" s="206"/>
      <c r="CR515" s="206"/>
    </row>
    <row r="516" spans="2:96" ht="60" x14ac:dyDescent="0.25">
      <c r="B516" s="341" t="s">
        <v>12052</v>
      </c>
      <c r="C516" s="246">
        <f>_xlfn.XLOOKUP(FMS_Ranking4[[#This Row],[FMS ID]],FMS_Input[FMS_ID],FMS_Input[RFPG_NUM])</f>
        <v>4</v>
      </c>
      <c r="D516" s="309" t="str">
        <f>_xlfn.XLOOKUP(FMS_Ranking4[[#This Row],[FMS ID]],FMS_Input[FMS_ID],FMS_Input[FMS_NAME])</f>
        <v>West Orange Drainage Improvements</v>
      </c>
      <c r="E516" s="308" t="str">
        <f>_xlfn.XLOOKUP(FMS_Ranking4[[#This Row],[FMS ID]],FMS_Input[FMS_ID],FMS_Input[SPONSOR])</f>
        <v>04002920</v>
      </c>
      <c r="F516" s="309" t="str">
        <f>_xlfn.XLOOKUP(FMS_Ranking4[[#This Row],[FMS ID]],Sponsor[FMS_ID],Sponsor[SPONSOR NAME])</f>
        <v>West Orange</v>
      </c>
      <c r="G516" s="309" t="str">
        <f>_xlfn.XLOOKUP(FMS_Ranking4[[#This Row],[FMS ID]],FMS_Input[FMS_ID],FMS_Input[FMS_DESCR])</f>
        <v>Regrading, reshaping of ditches, replacement of culverts, and concrete lining of channels throughout the city</v>
      </c>
      <c r="H516" s="248" t="str">
        <f>_xlfn.XLOOKUP(FMS_Ranking4[[#This Row],[FMS ID]],FMS_Input[FMS_ID],FMS_Input[FMS_TYPE])</f>
        <v>Infrastructure Projects</v>
      </c>
      <c r="I516" s="249">
        <f>_xlfn.XLOOKUP(FMS_Ranking4[[#This Row],[FMS ID]],FMS_Input[FMS_ID],FMS_Input[NRNC_COST])</f>
        <v>100000</v>
      </c>
      <c r="J516" s="250">
        <f>_xlfn.XLOOKUP(FMS_Ranking4[[#This Row],[FMS ID]],FMS_Input[FMS_ID],FMS_Input[FMS_COST])</f>
        <v>3000000</v>
      </c>
      <c r="K516" s="251" t="str">
        <f>_xlfn.XLOOKUP(FMS_Ranking4[[#This Row],[FMS ID]],FMS_Input[FMS_ID],FMS_Input[EMER_NEED])</f>
        <v>Yes</v>
      </c>
      <c r="L516" s="252">
        <f t="shared" si="7"/>
        <v>1</v>
      </c>
      <c r="M516" s="253">
        <f>_xlfn.XLOOKUP(FMS_Ranking4[[#This Row],[FMS ID]],FMS_Input[FMS_ID],FMS_Input[STRUCT_100])</f>
        <v>1162</v>
      </c>
      <c r="N516" s="255">
        <f>(ASINH(FMS_Ranking4[[#This Row],[Structure at Risk Raw]]))*(10)/(ASINH(M$4))</f>
        <v>6.0934756889149009</v>
      </c>
      <c r="O516" s="256">
        <f>FMS_Ranking4[[#This Row],[Structures at risk, ArcSinh (0-10)]]*M$5*10</f>
        <v>6.0934756889149009</v>
      </c>
      <c r="P516" s="253">
        <f>_xlfn.XLOOKUP(FMS_Ranking4[[#This Row],[FMS ID]],FMS_Input[FMS_ID],FMS_Input[RES_STRUCT100])</f>
        <v>1012</v>
      </c>
      <c r="Q516" s="257">
        <f>ASINH(FMS_Ranking4[[#This Row],[Res Structure Raw]])/Q$4*P$5*100</f>
        <v>0</v>
      </c>
      <c r="R516" s="253">
        <f>_xlfn.XLOOKUP(FMS_Ranking4[[#This Row],[FMS ID]],FMS_Input[FMS_ID],FMS_Input[POP100])</f>
        <v>3039</v>
      </c>
      <c r="S516" s="259">
        <f>(ASINH(FMS_Ranking4[[#This Row],[Pop at Risk Raw]]))*(10)/(ASINH(R$4))</f>
        <v>6.0146983393858413</v>
      </c>
      <c r="T516" s="256">
        <f>FMS_Ranking4[[#This Row],[Population at risk, ArcSinh (0-10)]]*R$5*10</f>
        <v>6.0146983393858422</v>
      </c>
      <c r="U516" s="253">
        <f>_xlfn.XLOOKUP(FMS_Ranking4[[#This Row],[FMS ID]],FMS_Input[FMS_ID],FMS_Input[CRITFAC100])</f>
        <v>0</v>
      </c>
      <c r="V516" s="259">
        <f>(ASINH(FMS_Ranking4[[#This Row],[Critical Facilities Raw]]))*(10)/(ASINH(U$4))</f>
        <v>0</v>
      </c>
      <c r="W516" s="256">
        <f>FMS_Ranking4[[#This Row],[Critical facilities at risk, ArcSinh (0-10)]]*U$5*10</f>
        <v>0</v>
      </c>
      <c r="X516" s="253">
        <f>_xlfn.XLOOKUP(FMS_Ranking4[[#This Row],[FMS ID]],FMS_Input[FMS_ID],FMS_Input[LWC])</f>
        <v>0</v>
      </c>
      <c r="Y516" s="259">
        <f>(ASINH(FMS_Ranking4[[#This Row],[LWC Raw]]))*(10)/(ASINH(X$4))</f>
        <v>0</v>
      </c>
      <c r="Z516" s="256">
        <f>FMS_Ranking4[[#This Row],[LWC, ArcSInh (0-10)]]*X$5*10</f>
        <v>0</v>
      </c>
      <c r="AA516" s="253">
        <f>_xlfn.XLOOKUP(FMS_Ranking4[[#This Row],[FMS ID]],FMS_Input[FMS_ID],FMS_Input[ROADCLS])</f>
        <v>0</v>
      </c>
      <c r="AB516" s="255">
        <f>(ASINH(FMS_Ranking4[[#This Row],[Road Closures Raw]]))*(10)/(ASINH(AA$4))</f>
        <v>0</v>
      </c>
      <c r="AC516" s="256">
        <f>FMS_Ranking4[[#This Row],[Road closures, ArcSinh (0-10)]]*AA$5*10</f>
        <v>0</v>
      </c>
      <c r="AD516" s="253">
        <f>_xlfn.XLOOKUP(FMS_Ranking4[[#This Row],[FMS ID]],FMS_Input[FMS_ID],FMS_Input[ROAD_MILES100])</f>
        <v>21</v>
      </c>
      <c r="AE516" s="259">
        <f>(ASINH(FMS_Ranking4[[#This Row],[Road Miles Raw]]))*(10)/(ASINH(AD$4))</f>
        <v>3.9839311289010819</v>
      </c>
      <c r="AF516" s="256">
        <f>FMS_Ranking4[[#This Row],[Length of roads at risk, ArcSinh (0-10)]]*AD$5*10</f>
        <v>3.9839311289010819</v>
      </c>
      <c r="AG516" s="253">
        <f>_xlfn.XLOOKUP(FMS_Ranking4[[#This Row],[FMS ID]],FMS_Input[FMS_ID],FMS_Input[FARMACRE100])</f>
        <v>55.880001068115227</v>
      </c>
      <c r="AH516" s="255">
        <f>(ASINH(FMS_Ranking4[[#This Row],[Ag Land Raw]]))*(10)/(ASINH(AG$4))</f>
        <v>3.0637079890224479</v>
      </c>
      <c r="AI516" s="260">
        <f>FMS_Ranking4[[#This Row],[Farm &amp; ranch land, ArcSinh (0-10)]]*AG$5*10</f>
        <v>1.5318539945112242</v>
      </c>
      <c r="AJ516" s="258">
        <f>_xlfn.XLOOKUP(FMS_Ranking4[[#This Row],[FMS ID]],FMS_Input[FMS_ID],FMS_Input[REDSTRUCT100])</f>
        <v>0</v>
      </c>
      <c r="AK516" s="253">
        <f>_xlfn.XLOOKUP(FMS_Ranking4[[#This Row],[FMS ID]],FMS_Input[FMS_ID],FMS_Input[REMSTRC100])</f>
        <v>0</v>
      </c>
      <c r="AL516" s="259">
        <f>(ASINH(FMS_Ranking4[[#This Row],[Structures Removed Raw]]))*(10)/(ASINH(AK$4))</f>
        <v>0</v>
      </c>
      <c r="AM516" s="262">
        <f>FMS_Ranking4[[#This Row],[Structures removed, ArcSinh (0-10)]]*AK$5*10</f>
        <v>0</v>
      </c>
      <c r="AN516" s="253">
        <f>_xlfn.XLOOKUP(FMS_Ranking4[[#This Row],[FMS ID]],FMS_Input[FMS_ID],FMS_Input[REMRESSTRC100])</f>
        <v>0</v>
      </c>
      <c r="AO516" s="261">
        <f>FMS_Ranking4[[#This Row],[ArcSinh Res struct removed 0-10]]*AN$5*10</f>
        <v>0</v>
      </c>
      <c r="AP516" s="260">
        <f>ASINH(FMS_Ranking4[[#This Row],[Residential Structures Removed Raw]])/AP$4*AN$5*100</f>
        <v>0</v>
      </c>
      <c r="AQ516" s="254">
        <f>(ASINH(FMS_Ranking4[[#This Row],[Residential Structures Removed Raw]]))*(10)/(ASINH(AN$4))</f>
        <v>0</v>
      </c>
      <c r="AR516" s="253">
        <f>_xlfn.XLOOKUP(FMS_Ranking4[[#This Row],[FMS ID]],FMS_Input[FMS_ID],FMS_Input[REMPOP100])</f>
        <v>0</v>
      </c>
      <c r="AS516" s="259">
        <f>(ASINH(FMS_Ranking4[[#This Row],[Removed Pop Raw]]))*(10)/(ASINH(AR$4))</f>
        <v>0</v>
      </c>
      <c r="AT516" s="262">
        <f>FMS_Ranking4[[#This Row],[Removed population, ArcSinh (0-10)]]*AR$5*10</f>
        <v>0</v>
      </c>
      <c r="AU516" s="264">
        <f>_xlfn.XLOOKUP(FMS_Ranking4[[#This Row],[FMS ID]],FMS_Input[FMS_ID],FMS_Input[REMCRITFAC100])</f>
        <v>0</v>
      </c>
      <c r="AV516" s="264">
        <f>_xlfn.XLOOKUP(FMS_Ranking4[[#This Row],[FMS ID]],FMS_Input[FMS_ID],FMS_Input[REMLWC100])</f>
        <v>0</v>
      </c>
      <c r="AW516" s="264">
        <f>_xlfn.XLOOKUP(FMS_Ranking4[[#This Row],[FMS ID]],FMS_Input[FMS_ID],FMS_Input[REMROADCLS])</f>
        <v>0</v>
      </c>
      <c r="AX516" s="264">
        <f>_xlfn.XLOOKUP(FMS_Ranking4[[#This Row],[FMS ID]],FMS_Input[FMS_ID],FMS_Input[REMFRMACRE100])</f>
        <v>0</v>
      </c>
      <c r="AY516" s="258">
        <f>_xlfn.XLOOKUP(FMS_Ranking4[[#This Row],[FMS ID]],FMS_Input[FMS_ID],FMS_Input[COSTSTRUCT])</f>
        <v>0</v>
      </c>
      <c r="AZ516" s="253">
        <f>_xlfn.XLOOKUP(FMS_Ranking4[[#This Row],[FMS ID]],FMS_Input[FMS_ID],FMS_Input[NATURE])</f>
        <v>0</v>
      </c>
      <c r="BA516" s="262">
        <f>(((FMS_Ranking4[[#This Row],[% NBS Raw]]/AZ$4)*100)*AZ$5)</f>
        <v>0</v>
      </c>
      <c r="BB516" s="251" t="str">
        <f>_xlfn.XLOOKUP(FMS_Ranking4[[#This Row],[FMS ID]],FMS_Input[FMS_ID],FMS_Input[WATER_SUP])</f>
        <v>No</v>
      </c>
      <c r="BC516" s="265">
        <f>IF(FMS_Ranking4[[#This Row],[Water Supply Raw]]="Yes",10,0)</f>
        <v>0</v>
      </c>
      <c r="BD516" s="266">
        <f>_xlfn.XLOOKUP(FMS_Ranking4[[#This Row],[FMS Type]],FMS_TYPE[FMS_Type],FMS_TYPE[Score])</f>
        <v>4</v>
      </c>
      <c r="BE516" s="267">
        <f>FMS_Ranking4[[#This Row],[FMS_Type Score]]*$BD$5*10</f>
        <v>1</v>
      </c>
      <c r="BF51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0.13604285454071111</v>
      </c>
      <c r="BG516" s="271">
        <f>_xlfn.RANK.EQ(BF516,$BF$8:$BF$870,0)+COUNTIF($BF$8:BF516,BF516)-1</f>
        <v>421</v>
      </c>
      <c r="BH516" s="268">
        <f>(((FMS_Ranking4[[#This Row],[Structures Removed Raw]]/AK$4)*100)*AK$5)+(((FMS_Ranking4[[#This Row],[Removed Pop Raw]]/AR$4)*100)*AR$5)</f>
        <v>0</v>
      </c>
      <c r="BI51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1.1360428545407111</v>
      </c>
      <c r="BJ516" s="205">
        <f>_xlfn.RANK.EQ(FMS_Ranking4[[#This Row],[Total Score 
(with linear
normalization)]],FMS_Ranking4[Total Score 
(with linear
normalization)],0)</f>
        <v>662</v>
      </c>
      <c r="BK516" s="205" t="e">
        <f>_xlfn.XLOOKUP(FMS_Ranking4[[#This Row],[FMS ID]],#REF!,#REF!)</f>
        <v>#REF!</v>
      </c>
      <c r="BL51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17.623959151713048</v>
      </c>
      <c r="BM516" s="272">
        <f>FMS_Ranking4[[#This Row],[ArcSinh Score Based on Normalized Reported Factors]]+FMS_Ranking4[[#This Row],[% NBS Score (Normalized)]]+(FMS_Ranking4[[#This Row],[Water Supply Score (Normalized)]]*10*$BB$5)+FMS_Ranking4[[#This Row],[FMS_Type Score Weighted]]</f>
        <v>18.623959151713048</v>
      </c>
      <c r="BN516" s="205">
        <f>_xlfn.RANK.EQ(FMS_Ranking4[[#This Row],[Total Score (with ArcSinh normalization of select criteria)]],FMS_Ranking4[Total Score (with ArcSinh normalization of select criteria)],0)</f>
        <v>508</v>
      </c>
      <c r="BO516" s="270" t="str">
        <f>_xlfn.XLOOKUP(FMS_Ranking4[[#This Row],[FMS ID]],FMS_Input[FMS_ID],FMS_Input[FMS_RANK_YEAR])</f>
        <v>2025 Amended Plan</v>
      </c>
      <c r="BP516" s="204" t="e">
        <f>_xlfn.XLOOKUP(FMS_Ranking4[[#This Row],[FMS ID]],Prev_Rank[FMS ID],Prev_Rank[Prev Rank])</f>
        <v>#N/A</v>
      </c>
      <c r="BQ516" s="205" t="e">
        <f>_xlfn.XLOOKUP(FMS_Ranking4[[#This Row],[FMS ID]],#REF!,#REF!)</f>
        <v>#REF!</v>
      </c>
      <c r="BR516" s="199" t="e">
        <f>SUM(#REF!,#REF!,#REF!,#REF!,#REF!,#REF!,#REF!,#REF!,#REF!,FMS_Ranking4[[#This Row],[ArcSinh Res struct removed 0-10]],#REF!)</f>
        <v>#REF!</v>
      </c>
      <c r="BS516" s="199" t="e">
        <f>FMS_Ranking4[[#This Row],[Log Score Based on Normalized Reported Factors]]+FMS_Ranking4[[#This Row],[% NBS Score (Normalized)]]+(FMS_Ranking4[[#This Row],[Water Supply Score (Normalized)]]*10*$BB$5)+(FMS_Ranking4[[#This Row],[FMS_Type Score Weighted]])</f>
        <v>#REF!</v>
      </c>
      <c r="BT516" s="200" t="e">
        <f>_xlfn.RANK.EQ(FMS_Ranking4[[#This Row],[Log Total Score]],FMS_Ranking4[Log Total Score],0)</f>
        <v>#REF!</v>
      </c>
      <c r="BU516" s="200" t="e">
        <f>_xlfn.XLOOKUP(FMS_Ranking4[[#This Row],[FMS ID]],#REF!,#REF!)</f>
        <v>#REF!</v>
      </c>
      <c r="BV516" s="200">
        <f>FMS_Ranking4[[#This Row],[Region Number]]</f>
        <v>4</v>
      </c>
      <c r="BW516" s="200">
        <f>FMS_Ranking4[[#This Row],[Rank (with ArcSinh normalization of select criteria)]]-FMS_Ranking4[[#This Row],[Rank
(with linear
normalization)]]</f>
        <v>-154</v>
      </c>
      <c r="BX516" s="200" t="e">
        <f>FMS_Ranking4[[#This Row],[Log Rank]]-FMS_Ranking4[[#This Row],[Rank
(with linear
normalization)]]</f>
        <v>#REF!</v>
      </c>
      <c r="BY516" s="200" t="str">
        <f>IF(FMS_Ranking4[[#This Row],[FMS Type]]="Flood Measurement and Warning",FMS_Ranking4[[#This Row],[Rank (with ArcSinh normalization of select criteria)]],"")</f>
        <v/>
      </c>
      <c r="BZ516" s="200" t="str">
        <f>IF(FMS_Ranking4[[#This Row],[FMS Type]]="Regulatory and Guidance",FMS_Ranking4[[#This Row],[Rank (with ArcSinh normalization of select criteria)]],"")</f>
        <v/>
      </c>
      <c r="CA516" s="200" t="str">
        <f>IF(FMS_Ranking4[[#This Row],[FMS Type]]="Education and Outreach",FMS_Ranking4[[#This Row],[Rank (with ArcSinh normalization of select criteria)]],"")</f>
        <v/>
      </c>
      <c r="CB516" s="200" t="str">
        <f>IF(FMS_Ranking4[[#This Row],[FMS Type]]="Property Acquisition and Structural Elevation",FMS_Ranking4[[#This Row],[Rank (with ArcSinh normalization of select criteria)]],"")</f>
        <v/>
      </c>
      <c r="CC516" s="200">
        <f>IF(FMS_Ranking4[[#This Row],[FMS Type]]="Infrastructure Projects",FMS_Ranking4[[#This Row],[Rank (with ArcSinh normalization of select criteria)]],"")</f>
        <v>508</v>
      </c>
      <c r="CD516" s="200" t="str">
        <f>IF(FMS_Ranking4[[#This Row],[FMS Type]]="Other",FMS_Ranking4[[#This Row],[Rank (with ArcSinh normalization of select criteria)]],"")</f>
        <v/>
      </c>
      <c r="CE516" s="201"/>
      <c r="CF516" s="206"/>
      <c r="CG516" s="206"/>
      <c r="CH516" s="206"/>
      <c r="CI516" s="206"/>
      <c r="CJ516" s="206"/>
      <c r="CK516" s="206"/>
      <c r="CL516" s="206"/>
      <c r="CM516" s="206"/>
      <c r="CN516" s="206"/>
      <c r="CO516" s="206"/>
      <c r="CP516" s="206"/>
      <c r="CQ516" s="206"/>
      <c r="CR516" s="206"/>
    </row>
    <row r="517" spans="2:96" ht="60" x14ac:dyDescent="0.25">
      <c r="B517" s="341" t="s">
        <v>12055</v>
      </c>
      <c r="C517" s="246">
        <f>_xlfn.XLOOKUP(FMS_Ranking4[[#This Row],[FMS ID]],FMS_Input[FMS_ID],FMS_Input[RFPG_NUM])</f>
        <v>4</v>
      </c>
      <c r="D517" s="309" t="str">
        <f>_xlfn.XLOOKUP(FMS_Ranking4[[#This Row],[FMS ID]],FMS_Input[FMS_ID],FMS_Input[FMS_NAME])</f>
        <v>West Orange Safe Room</v>
      </c>
      <c r="E517" s="308" t="str">
        <f>_xlfn.XLOOKUP(FMS_Ranking4[[#This Row],[FMS ID]],FMS_Input[FMS_ID],FMS_Input[SPONSOR])</f>
        <v>04002920</v>
      </c>
      <c r="F517" s="309" t="str">
        <f>_xlfn.XLOOKUP(FMS_Ranking4[[#This Row],[FMS ID]],Sponsor[FMS_ID],Sponsor[SPONSOR NAME])</f>
        <v>West Orange</v>
      </c>
      <c r="G517" s="309" t="str">
        <f>_xlfn.XLOOKUP(FMS_Ranking4[[#This Row],[FMS ID]],FMS_Input[FMS_ID],FMS_Input[FMS_DESCR])</f>
        <v>Safe room construction for displaced citizens during flood events</v>
      </c>
      <c r="H517" s="248" t="str">
        <f>_xlfn.XLOOKUP(FMS_Ranking4[[#This Row],[FMS ID]],FMS_Input[FMS_ID],FMS_Input[FMS_TYPE])</f>
        <v>Property Acquisition and Structural Elevation</v>
      </c>
      <c r="I517" s="249">
        <f>_xlfn.XLOOKUP(FMS_Ranking4[[#This Row],[FMS ID]],FMS_Input[FMS_ID],FMS_Input[NRNC_COST])</f>
        <v>100000</v>
      </c>
      <c r="J517" s="250">
        <f>_xlfn.XLOOKUP(FMS_Ranking4[[#This Row],[FMS ID]],FMS_Input[FMS_ID],FMS_Input[FMS_COST])</f>
        <v>2000000</v>
      </c>
      <c r="K517" s="251" t="str">
        <f>_xlfn.XLOOKUP(FMS_Ranking4[[#This Row],[FMS ID]],FMS_Input[FMS_ID],FMS_Input[EMER_NEED])</f>
        <v>Yes</v>
      </c>
      <c r="L517" s="252">
        <f t="shared" si="7"/>
        <v>1</v>
      </c>
      <c r="M517" s="253">
        <f>_xlfn.XLOOKUP(FMS_Ranking4[[#This Row],[FMS ID]],FMS_Input[FMS_ID],FMS_Input[STRUCT_100])</f>
        <v>1162</v>
      </c>
      <c r="N517" s="255">
        <f>(ASINH(FMS_Ranking4[[#This Row],[Structure at Risk Raw]]))*(10)/(ASINH(M$4))</f>
        <v>6.0934756889149009</v>
      </c>
      <c r="O517" s="256">
        <f>FMS_Ranking4[[#This Row],[Structures at risk, ArcSinh (0-10)]]*M$5*10</f>
        <v>6.0934756889149009</v>
      </c>
      <c r="P517" s="253">
        <f>_xlfn.XLOOKUP(FMS_Ranking4[[#This Row],[FMS ID]],FMS_Input[FMS_ID],FMS_Input[RES_STRUCT100])</f>
        <v>1012</v>
      </c>
      <c r="Q517" s="257">
        <f>ASINH(FMS_Ranking4[[#This Row],[Res Structure Raw]])/Q$4*P$5*100</f>
        <v>0</v>
      </c>
      <c r="R517" s="253">
        <f>_xlfn.XLOOKUP(FMS_Ranking4[[#This Row],[FMS ID]],FMS_Input[FMS_ID],FMS_Input[POP100])</f>
        <v>3039</v>
      </c>
      <c r="S517" s="255">
        <f>(ASINH(FMS_Ranking4[[#This Row],[Pop at Risk Raw]]))*(10)/(ASINH(R$4))</f>
        <v>6.0146983393858413</v>
      </c>
      <c r="T517" s="256">
        <f>FMS_Ranking4[[#This Row],[Population at risk, ArcSinh (0-10)]]*R$5*10</f>
        <v>6.0146983393858422</v>
      </c>
      <c r="U517" s="253">
        <f>_xlfn.XLOOKUP(FMS_Ranking4[[#This Row],[FMS ID]],FMS_Input[FMS_ID],FMS_Input[CRITFAC100])</f>
        <v>0</v>
      </c>
      <c r="V517" s="255">
        <f>(ASINH(FMS_Ranking4[[#This Row],[Critical Facilities Raw]]))*(10)/(ASINH(U$4))</f>
        <v>0</v>
      </c>
      <c r="W517" s="256">
        <f>FMS_Ranking4[[#This Row],[Critical facilities at risk, ArcSinh (0-10)]]*U$5*10</f>
        <v>0</v>
      </c>
      <c r="X517" s="253">
        <f>_xlfn.XLOOKUP(FMS_Ranking4[[#This Row],[FMS ID]],FMS_Input[FMS_ID],FMS_Input[LWC])</f>
        <v>0</v>
      </c>
      <c r="Y517" s="255">
        <f>(ASINH(FMS_Ranking4[[#This Row],[LWC Raw]]))*(10)/(ASINH(X$4))</f>
        <v>0</v>
      </c>
      <c r="Z517" s="256">
        <f>FMS_Ranking4[[#This Row],[LWC, ArcSInh (0-10)]]*X$5*10</f>
        <v>0</v>
      </c>
      <c r="AA517" s="253">
        <f>_xlfn.XLOOKUP(FMS_Ranking4[[#This Row],[FMS ID]],FMS_Input[FMS_ID],FMS_Input[ROADCLS])</f>
        <v>0</v>
      </c>
      <c r="AB517" s="255">
        <f>(ASINH(FMS_Ranking4[[#This Row],[Road Closures Raw]]))*(10)/(ASINH(AA$4))</f>
        <v>0</v>
      </c>
      <c r="AC517" s="256">
        <f>FMS_Ranking4[[#This Row],[Road closures, ArcSinh (0-10)]]*AA$5*10</f>
        <v>0</v>
      </c>
      <c r="AD517" s="253">
        <f>_xlfn.XLOOKUP(FMS_Ranking4[[#This Row],[FMS ID]],FMS_Input[FMS_ID],FMS_Input[ROAD_MILES100])</f>
        <v>21</v>
      </c>
      <c r="AE517" s="255">
        <f>(ASINH(FMS_Ranking4[[#This Row],[Road Miles Raw]]))*(10)/(ASINH(AD$4))</f>
        <v>3.9839311289010819</v>
      </c>
      <c r="AF517" s="256">
        <f>FMS_Ranking4[[#This Row],[Length of roads at risk, ArcSinh (0-10)]]*AD$5*10</f>
        <v>3.9839311289010819</v>
      </c>
      <c r="AG517" s="253">
        <f>_xlfn.XLOOKUP(FMS_Ranking4[[#This Row],[FMS ID]],FMS_Input[FMS_ID],FMS_Input[FARMACRE100])</f>
        <v>55.880001068115227</v>
      </c>
      <c r="AH517" s="255">
        <f>(ASINH(FMS_Ranking4[[#This Row],[Ag Land Raw]]))*(10)/(ASINH(AG$4))</f>
        <v>3.0637079890224479</v>
      </c>
      <c r="AI517" s="260">
        <f>FMS_Ranking4[[#This Row],[Farm &amp; ranch land, ArcSinh (0-10)]]*AG$5*10</f>
        <v>1.5318539945112242</v>
      </c>
      <c r="AJ517" s="258">
        <f>_xlfn.XLOOKUP(FMS_Ranking4[[#This Row],[FMS ID]],FMS_Input[FMS_ID],FMS_Input[REDSTRUCT100])</f>
        <v>0</v>
      </c>
      <c r="AK517" s="253">
        <f>_xlfn.XLOOKUP(FMS_Ranking4[[#This Row],[FMS ID]],FMS_Input[FMS_ID],FMS_Input[REMSTRC100])</f>
        <v>0</v>
      </c>
      <c r="AL517" s="255">
        <f>(ASINH(FMS_Ranking4[[#This Row],[Structures Removed Raw]]))*(10)/(ASINH(AK$4))</f>
        <v>0</v>
      </c>
      <c r="AM517" s="262">
        <f>FMS_Ranking4[[#This Row],[Structures removed, ArcSinh (0-10)]]*AK$5*10</f>
        <v>0</v>
      </c>
      <c r="AN517" s="253">
        <f>_xlfn.XLOOKUP(FMS_Ranking4[[#This Row],[FMS ID]],FMS_Input[FMS_ID],FMS_Input[REMRESSTRC100])</f>
        <v>0</v>
      </c>
      <c r="AO517" s="261">
        <f>FMS_Ranking4[[#This Row],[ArcSinh Res struct removed 0-10]]*AN$5*10</f>
        <v>0</v>
      </c>
      <c r="AP517" s="260">
        <f>ASINH(FMS_Ranking4[[#This Row],[Residential Structures Removed Raw]])/AP$4*AN$5*100</f>
        <v>0</v>
      </c>
      <c r="AQ517" s="258">
        <f>(ASINH(FMS_Ranking4[[#This Row],[Residential Structures Removed Raw]]))*(10)/(ASINH(AN$4))</f>
        <v>0</v>
      </c>
      <c r="AR517" s="253">
        <f>_xlfn.XLOOKUP(FMS_Ranking4[[#This Row],[FMS ID]],FMS_Input[FMS_ID],FMS_Input[REMPOP100])</f>
        <v>0</v>
      </c>
      <c r="AS517" s="255">
        <f>(ASINH(FMS_Ranking4[[#This Row],[Removed Pop Raw]]))*(10)/(ASINH(AR$4))</f>
        <v>0</v>
      </c>
      <c r="AT517" s="262">
        <f>FMS_Ranking4[[#This Row],[Removed population, ArcSinh (0-10)]]*AR$5*10</f>
        <v>0</v>
      </c>
      <c r="AU517" s="264">
        <f>_xlfn.XLOOKUP(FMS_Ranking4[[#This Row],[FMS ID]],FMS_Input[FMS_ID],FMS_Input[REMCRITFAC100])</f>
        <v>0</v>
      </c>
      <c r="AV517" s="264">
        <f>_xlfn.XLOOKUP(FMS_Ranking4[[#This Row],[FMS ID]],FMS_Input[FMS_ID],FMS_Input[REMLWC100])</f>
        <v>0</v>
      </c>
      <c r="AW517" s="264">
        <f>_xlfn.XLOOKUP(FMS_Ranking4[[#This Row],[FMS ID]],FMS_Input[FMS_ID],FMS_Input[REMROADCLS])</f>
        <v>0</v>
      </c>
      <c r="AX517" s="264">
        <f>_xlfn.XLOOKUP(FMS_Ranking4[[#This Row],[FMS ID]],FMS_Input[FMS_ID],FMS_Input[REMFRMACRE100])</f>
        <v>0</v>
      </c>
      <c r="AY517" s="258">
        <f>_xlfn.XLOOKUP(FMS_Ranking4[[#This Row],[FMS ID]],FMS_Input[FMS_ID],FMS_Input[COSTSTRUCT])</f>
        <v>0</v>
      </c>
      <c r="AZ517" s="253">
        <f>_xlfn.XLOOKUP(FMS_Ranking4[[#This Row],[FMS ID]],FMS_Input[FMS_ID],FMS_Input[NATURE])</f>
        <v>0</v>
      </c>
      <c r="BA517" s="262">
        <f>(((FMS_Ranking4[[#This Row],[% NBS Raw]]/AZ$4)*100)*AZ$5)</f>
        <v>0</v>
      </c>
      <c r="BB517" s="251" t="str">
        <f>_xlfn.XLOOKUP(FMS_Ranking4[[#This Row],[FMS ID]],FMS_Input[FMS_ID],FMS_Input[WATER_SUP])</f>
        <v>No</v>
      </c>
      <c r="BC517" s="265">
        <f>IF(FMS_Ranking4[[#This Row],[Water Supply Raw]]="Yes",10,0)</f>
        <v>0</v>
      </c>
      <c r="BD517" s="266">
        <f>_xlfn.XLOOKUP(FMS_Ranking4[[#This Row],[FMS Type]],FMS_TYPE[FMS_Type],FMS_TYPE[Score])</f>
        <v>4</v>
      </c>
      <c r="BE517" s="267">
        <f>FMS_Ranking4[[#This Row],[FMS_Type Score]]*$BD$5*10</f>
        <v>1</v>
      </c>
      <c r="BF51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0.13604285454071111</v>
      </c>
      <c r="BG517" s="321">
        <f>_xlfn.RANK.EQ(BF517,$BF$8:$BF$870,0)+COUNTIF($BF$8:BF517,BF517)-1</f>
        <v>422</v>
      </c>
      <c r="BH517" s="294">
        <f>(((FMS_Ranking4[[#This Row],[Structures Removed Raw]]/AK$4)*100)*AK$5)+(((FMS_Ranking4[[#This Row],[Removed Pop Raw]]/AR$4)*100)*AR$5)</f>
        <v>0</v>
      </c>
      <c r="BI51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1.1360428545407111</v>
      </c>
      <c r="BJ517" s="251">
        <f>_xlfn.RANK.EQ(FMS_Ranking4[[#This Row],[Total Score 
(with linear
normalization)]],FMS_Ranking4[Total Score 
(with linear
normalization)],0)</f>
        <v>662</v>
      </c>
      <c r="BK517" s="251" t="e">
        <f>_xlfn.XLOOKUP(FMS_Ranking4[[#This Row],[FMS ID]],#REF!,#REF!)</f>
        <v>#REF!</v>
      </c>
      <c r="BL51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17.623959151713048</v>
      </c>
      <c r="BM517" s="324">
        <f>FMS_Ranking4[[#This Row],[ArcSinh Score Based on Normalized Reported Factors]]+FMS_Ranking4[[#This Row],[% NBS Score (Normalized)]]+(FMS_Ranking4[[#This Row],[Water Supply Score (Normalized)]]*10*$BB$5)+FMS_Ranking4[[#This Row],[FMS_Type Score Weighted]]</f>
        <v>18.623959151713048</v>
      </c>
      <c r="BN517" s="251">
        <f>_xlfn.RANK.EQ(FMS_Ranking4[[#This Row],[Total Score (with ArcSinh normalization of select criteria)]],FMS_Ranking4[Total Score (with ArcSinh normalization of select criteria)],0)</f>
        <v>508</v>
      </c>
      <c r="BO517" s="270" t="str">
        <f>_xlfn.XLOOKUP(FMS_Ranking4[[#This Row],[FMS ID]],FMS_Input[FMS_ID],FMS_Input[FMS_RANK_YEAR])</f>
        <v>2025 Amended Plan</v>
      </c>
      <c r="BP517" s="204" t="e">
        <f>_xlfn.XLOOKUP(FMS_Ranking4[[#This Row],[FMS ID]],Prev_Rank[FMS ID],Prev_Rank[Prev Rank])</f>
        <v>#N/A</v>
      </c>
      <c r="BQ517" s="251" t="e">
        <f>_xlfn.XLOOKUP(FMS_Ranking4[[#This Row],[FMS ID]],#REF!,#REF!)</f>
        <v>#REF!</v>
      </c>
      <c r="BR517" s="199" t="e">
        <f>SUM(#REF!,#REF!,#REF!,#REF!,#REF!,#REF!,#REF!,#REF!,#REF!,FMS_Ranking4[[#This Row],[ArcSinh Res struct removed 0-10]],#REF!)</f>
        <v>#REF!</v>
      </c>
      <c r="BS517" s="199" t="e">
        <f>FMS_Ranking4[[#This Row],[Log Score Based on Normalized Reported Factors]]+FMS_Ranking4[[#This Row],[% NBS Score (Normalized)]]+(FMS_Ranking4[[#This Row],[Water Supply Score (Normalized)]]*10*$BB$5)+(FMS_Ranking4[[#This Row],[FMS_Type Score Weighted]])</f>
        <v>#REF!</v>
      </c>
      <c r="BT517" s="200" t="e">
        <f>_xlfn.RANK.EQ(FMS_Ranking4[[#This Row],[Log Total Score]],FMS_Ranking4[Log Total Score],0)</f>
        <v>#REF!</v>
      </c>
      <c r="BU517" s="200" t="e">
        <f>_xlfn.XLOOKUP(FMS_Ranking4[[#This Row],[FMS ID]],#REF!,#REF!)</f>
        <v>#REF!</v>
      </c>
      <c r="BV517" s="200">
        <f>FMS_Ranking4[[#This Row],[Region Number]]</f>
        <v>4</v>
      </c>
      <c r="BW517" s="200">
        <f>FMS_Ranking4[[#This Row],[Rank (with ArcSinh normalization of select criteria)]]-FMS_Ranking4[[#This Row],[Rank
(with linear
normalization)]]</f>
        <v>-154</v>
      </c>
      <c r="BX517" s="200" t="e">
        <f>FMS_Ranking4[[#This Row],[Log Rank]]-FMS_Ranking4[[#This Row],[Rank
(with linear
normalization)]]</f>
        <v>#REF!</v>
      </c>
      <c r="BY517" s="200" t="str">
        <f>IF(FMS_Ranking4[[#This Row],[FMS Type]]="Flood Measurement and Warning",FMS_Ranking4[[#This Row],[Rank (with ArcSinh normalization of select criteria)]],"")</f>
        <v/>
      </c>
      <c r="BZ517" s="200" t="str">
        <f>IF(FMS_Ranking4[[#This Row],[FMS Type]]="Regulatory and Guidance",FMS_Ranking4[[#This Row],[Rank (with ArcSinh normalization of select criteria)]],"")</f>
        <v/>
      </c>
      <c r="CA517" s="200" t="str">
        <f>IF(FMS_Ranking4[[#This Row],[FMS Type]]="Education and Outreach",FMS_Ranking4[[#This Row],[Rank (with ArcSinh normalization of select criteria)]],"")</f>
        <v/>
      </c>
      <c r="CB517" s="200">
        <f>IF(FMS_Ranking4[[#This Row],[FMS Type]]="Property Acquisition and Structural Elevation",FMS_Ranking4[[#This Row],[Rank (with ArcSinh normalization of select criteria)]],"")</f>
        <v>508</v>
      </c>
      <c r="CC517" s="200" t="str">
        <f>IF(FMS_Ranking4[[#This Row],[FMS Type]]="Infrastructure Projects",FMS_Ranking4[[#This Row],[Rank (with ArcSinh normalization of select criteria)]],"")</f>
        <v/>
      </c>
      <c r="CD517" s="200" t="str">
        <f>IF(FMS_Ranking4[[#This Row],[FMS Type]]="Other",FMS_Ranking4[[#This Row],[Rank (with ArcSinh normalization of select criteria)]],"")</f>
        <v/>
      </c>
      <c r="CE517" s="201"/>
      <c r="CF517" s="206"/>
      <c r="CG517" s="206"/>
      <c r="CH517" s="206"/>
      <c r="CI517" s="206"/>
      <c r="CJ517" s="206"/>
      <c r="CK517" s="206"/>
      <c r="CL517" s="206"/>
      <c r="CM517" s="206"/>
      <c r="CN517" s="206"/>
      <c r="CO517" s="206"/>
      <c r="CP517" s="206"/>
      <c r="CQ517" s="206"/>
      <c r="CR517" s="206"/>
    </row>
    <row r="518" spans="2:96" ht="135" x14ac:dyDescent="0.25">
      <c r="B518" s="341" t="s">
        <v>3976</v>
      </c>
      <c r="C518" s="246">
        <f>_xlfn.XLOOKUP(FMS_Ranking4[[#This Row],[FMS ID]],FMS_Input[FMS_ID],FMS_Input[RFPG_NUM])</f>
        <v>15</v>
      </c>
      <c r="D518" s="309" t="str">
        <f>_xlfn.XLOOKUP(FMS_Ranking4[[#This Row],[FMS ID]],FMS_Input[FMS_ID],FMS_Input[FMS_NAME])</f>
        <v>Rancho Viejo Action #3</v>
      </c>
      <c r="E518" s="308" t="str">
        <f>_xlfn.XLOOKUP(FMS_Ranking4[[#This Row],[FMS ID]],FMS_Input[FMS_ID],FMS_Input[SPONSOR])</f>
        <v>15000053</v>
      </c>
      <c r="F518" s="309" t="str">
        <f>_xlfn.XLOOKUP(FMS_Ranking4[[#This Row],[FMS ID]],Sponsor[FMS_ID],Sponsor[SPONSOR NAME])</f>
        <v>Rancho Viejo</v>
      </c>
      <c r="G518" s="309" t="str">
        <f>_xlfn.XLOOKUP(FMS_Ranking4[[#This Row],[FMS ID]],FMS_Input[FMS_ID],FMS_Input[FMS_DESCR])</f>
        <v>Adopt the International Building Code (IBC) and International Residential Code (IRC); revise and update regulatory floodplain maps; adopt higher standards in floodplain ordinances including freeboard, no-rise in the floodplain, cumulative substantial dam</v>
      </c>
      <c r="H518" s="248" t="str">
        <f>_xlfn.XLOOKUP(FMS_Ranking4[[#This Row],[FMS ID]],FMS_Input[FMS_ID],FMS_Input[FMS_TYPE])</f>
        <v>Regulatory and Guidance</v>
      </c>
      <c r="I518" s="249">
        <f>_xlfn.XLOOKUP(FMS_Ranking4[[#This Row],[FMS ID]],FMS_Input[FMS_ID],FMS_Input[NRNC_COST])</f>
        <v>1000</v>
      </c>
      <c r="J518" s="250">
        <f>_xlfn.XLOOKUP(FMS_Ranking4[[#This Row],[FMS ID]],FMS_Input[FMS_ID],FMS_Input[FMS_COST])</f>
        <v>5000</v>
      </c>
      <c r="K518" s="251" t="str">
        <f>_xlfn.XLOOKUP(FMS_Ranking4[[#This Row],[FMS ID]],FMS_Input[FMS_ID],FMS_Input[EMER_NEED])</f>
        <v>Yes</v>
      </c>
      <c r="L518" s="252">
        <f t="shared" si="7"/>
        <v>1</v>
      </c>
      <c r="M518" s="253">
        <f>_xlfn.XLOOKUP(FMS_Ranking4[[#This Row],[FMS ID]],FMS_Input[FMS_ID],FMS_Input[STRUCT_100])</f>
        <v>633</v>
      </c>
      <c r="N518" s="255">
        <f>(ASINH(FMS_Ranking4[[#This Row],[Structure at Risk Raw]]))*(10)/(ASINH(M$4))</f>
        <v>5.615947564815662</v>
      </c>
      <c r="O518" s="256">
        <f>FMS_Ranking4[[#This Row],[Structures at risk, ArcSinh (0-10)]]*M$5*10</f>
        <v>5.615947564815662</v>
      </c>
      <c r="P518" s="253">
        <f>_xlfn.XLOOKUP(FMS_Ranking4[[#This Row],[FMS ID]],FMS_Input[FMS_ID],FMS_Input[RES_STRUCT100])</f>
        <v>609</v>
      </c>
      <c r="Q518" s="257">
        <f>ASINH(FMS_Ranking4[[#This Row],[Res Structure Raw]])/Q$4*P$5*100</f>
        <v>0</v>
      </c>
      <c r="R518" s="253">
        <f>_xlfn.XLOOKUP(FMS_Ranking4[[#This Row],[FMS ID]],FMS_Input[FMS_ID],FMS_Input[POP100])</f>
        <v>1980</v>
      </c>
      <c r="S518" s="259">
        <f>(ASINH(FMS_Ranking4[[#This Row],[Pop at Risk Raw]]))*(10)/(ASINH(R$4))</f>
        <v>5.7189270410480209</v>
      </c>
      <c r="T518" s="256">
        <f>FMS_Ranking4[[#This Row],[Population at risk, ArcSinh (0-10)]]*R$5*10</f>
        <v>5.7189270410480209</v>
      </c>
      <c r="U518" s="253">
        <f>_xlfn.XLOOKUP(FMS_Ranking4[[#This Row],[FMS ID]],FMS_Input[FMS_ID],FMS_Input[CRITFAC100])</f>
        <v>0</v>
      </c>
      <c r="V518" s="259">
        <f>(ASINH(FMS_Ranking4[[#This Row],[Critical Facilities Raw]]))*(10)/(ASINH(U$4))</f>
        <v>0</v>
      </c>
      <c r="W518" s="256">
        <f>FMS_Ranking4[[#This Row],[Critical facilities at risk, ArcSinh (0-10)]]*U$5*10</f>
        <v>0</v>
      </c>
      <c r="X518" s="253">
        <f>_xlfn.XLOOKUP(FMS_Ranking4[[#This Row],[FMS ID]],FMS_Input[FMS_ID],FMS_Input[LWC])</f>
        <v>0</v>
      </c>
      <c r="Y518" s="259">
        <f>(ASINH(FMS_Ranking4[[#This Row],[LWC Raw]]))*(10)/(ASINH(X$4))</f>
        <v>0</v>
      </c>
      <c r="Z518" s="256">
        <f>FMS_Ranking4[[#This Row],[LWC, ArcSInh (0-10)]]*X$5*10</f>
        <v>0</v>
      </c>
      <c r="AA518" s="253">
        <f>_xlfn.XLOOKUP(FMS_Ranking4[[#This Row],[FMS ID]],FMS_Input[FMS_ID],FMS_Input[ROADCLS])</f>
        <v>0</v>
      </c>
      <c r="AB518" s="255">
        <f>(ASINH(FMS_Ranking4[[#This Row],[Road Closures Raw]]))*(10)/(ASINH(AA$4))</f>
        <v>0</v>
      </c>
      <c r="AC518" s="256">
        <f>FMS_Ranking4[[#This Row],[Road closures, ArcSinh (0-10)]]*AA$5*10</f>
        <v>0</v>
      </c>
      <c r="AD518" s="253">
        <f>_xlfn.XLOOKUP(FMS_Ranking4[[#This Row],[FMS ID]],FMS_Input[FMS_ID],FMS_Input[ROAD_MILES100])</f>
        <v>10</v>
      </c>
      <c r="AE518" s="259">
        <f>(ASINH(FMS_Ranking4[[#This Row],[Road Miles Raw]]))*(10)/(ASINH(AD$4))</f>
        <v>3.1952807811982975</v>
      </c>
      <c r="AF518" s="256">
        <f>FMS_Ranking4[[#This Row],[Length of roads at risk, ArcSinh (0-10)]]*AD$5*10</f>
        <v>3.1952807811982975</v>
      </c>
      <c r="AG518" s="253">
        <f>_xlfn.XLOOKUP(FMS_Ranking4[[#This Row],[FMS ID]],FMS_Input[FMS_ID],FMS_Input[FARMACRE100])</f>
        <v>228.2784423828125</v>
      </c>
      <c r="AH518" s="255">
        <f>(ASINH(FMS_Ranking4[[#This Row],[Ag Land Raw]]))*(10)/(ASINH(AG$4))</f>
        <v>3.9778538012944038</v>
      </c>
      <c r="AI518" s="260">
        <f>FMS_Ranking4[[#This Row],[Farm &amp; ranch land, ArcSinh (0-10)]]*AG$5*10</f>
        <v>1.9889269006472021</v>
      </c>
      <c r="AJ518" s="258">
        <f>_xlfn.XLOOKUP(FMS_Ranking4[[#This Row],[FMS ID]],FMS_Input[FMS_ID],FMS_Input[REDSTRUCT100])</f>
        <v>0</v>
      </c>
      <c r="AK518" s="253">
        <f>_xlfn.XLOOKUP(FMS_Ranking4[[#This Row],[FMS ID]],FMS_Input[FMS_ID],FMS_Input[REMSTRC100])</f>
        <v>0</v>
      </c>
      <c r="AL518" s="259">
        <f>(ASINH(FMS_Ranking4[[#This Row],[Structures Removed Raw]]))*(10)/(ASINH(AK$4))</f>
        <v>0</v>
      </c>
      <c r="AM518" s="262">
        <f>FMS_Ranking4[[#This Row],[Structures removed, ArcSinh (0-10)]]*AK$5*10</f>
        <v>0</v>
      </c>
      <c r="AN518" s="253">
        <f>_xlfn.XLOOKUP(FMS_Ranking4[[#This Row],[FMS ID]],FMS_Input[FMS_ID],FMS_Input[REMRESSTRC100])</f>
        <v>0</v>
      </c>
      <c r="AO518" s="261">
        <f>FMS_Ranking4[[#This Row],[ArcSinh Res struct removed 0-10]]*AN$5*10</f>
        <v>0</v>
      </c>
      <c r="AP518" s="260">
        <f>ASINH(FMS_Ranking4[[#This Row],[Residential Structures Removed Raw]])/AP$4*AN$5*100</f>
        <v>0</v>
      </c>
      <c r="AQ518" s="254">
        <f>(ASINH(FMS_Ranking4[[#This Row],[Residential Structures Removed Raw]]))*(10)/(ASINH(AN$4))</f>
        <v>0</v>
      </c>
      <c r="AR518" s="253">
        <f>_xlfn.XLOOKUP(FMS_Ranking4[[#This Row],[FMS ID]],FMS_Input[FMS_ID],FMS_Input[REMPOP100])</f>
        <v>0</v>
      </c>
      <c r="AS518" s="259">
        <f>(ASINH(FMS_Ranking4[[#This Row],[Removed Pop Raw]]))*(10)/(ASINH(AR$4))</f>
        <v>0</v>
      </c>
      <c r="AT518" s="262">
        <f>FMS_Ranking4[[#This Row],[Removed population, ArcSinh (0-10)]]*AR$5*10</f>
        <v>0</v>
      </c>
      <c r="AU518" s="264">
        <f>_xlfn.XLOOKUP(FMS_Ranking4[[#This Row],[FMS ID]],FMS_Input[FMS_ID],FMS_Input[REMCRITFAC100])</f>
        <v>0</v>
      </c>
      <c r="AV518" s="264">
        <f>_xlfn.XLOOKUP(FMS_Ranking4[[#This Row],[FMS ID]],FMS_Input[FMS_ID],FMS_Input[REMLWC100])</f>
        <v>0</v>
      </c>
      <c r="AW518" s="264">
        <f>_xlfn.XLOOKUP(FMS_Ranking4[[#This Row],[FMS ID]],FMS_Input[FMS_ID],FMS_Input[REMROADCLS])</f>
        <v>0</v>
      </c>
      <c r="AX518" s="264">
        <f>_xlfn.XLOOKUP(FMS_Ranking4[[#This Row],[FMS ID]],FMS_Input[FMS_ID],FMS_Input[REMFRMACRE100])</f>
        <v>0</v>
      </c>
      <c r="AY518" s="258">
        <f>_xlfn.XLOOKUP(FMS_Ranking4[[#This Row],[FMS ID]],FMS_Input[FMS_ID],FMS_Input[COSTSTRUCT])</f>
        <v>0</v>
      </c>
      <c r="AZ518" s="253">
        <f>_xlfn.XLOOKUP(FMS_Ranking4[[#This Row],[FMS ID]],FMS_Input[FMS_ID],FMS_Input[NATURE])</f>
        <v>0</v>
      </c>
      <c r="BA518" s="262">
        <f>(((FMS_Ranking4[[#This Row],[% NBS Raw]]/AZ$4)*100)*AZ$5)</f>
        <v>0</v>
      </c>
      <c r="BB518" s="251" t="str">
        <f>_xlfn.XLOOKUP(FMS_Ranking4[[#This Row],[FMS ID]],FMS_Input[FMS_ID],FMS_Input[WATER_SUP])</f>
        <v>No</v>
      </c>
      <c r="BC518" s="265">
        <f>IF(FMS_Ranking4[[#This Row],[Water Supply Raw]]="Yes",10,0)</f>
        <v>0</v>
      </c>
      <c r="BD518" s="266">
        <f>_xlfn.XLOOKUP(FMS_Ranking4[[#This Row],[FMS Type]],FMS_TYPE[FMS_Type],FMS_TYPE[Score])</f>
        <v>8</v>
      </c>
      <c r="BE518" s="267">
        <f>FMS_Ranking4[[#This Row],[FMS_Type Score]]*$BD$5*10</f>
        <v>2</v>
      </c>
      <c r="BF51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7.5417039212863149E-2</v>
      </c>
      <c r="BG518" s="271">
        <f>_xlfn.RANK.EQ(BF518,$BF$8:$BF$870,0)+COUNTIF($BF$8:BF518,BF518)-1</f>
        <v>511</v>
      </c>
      <c r="BH518" s="268">
        <f>(((FMS_Ranking4[[#This Row],[Structures Removed Raw]]/AK$4)*100)*AK$5)+(((FMS_Ranking4[[#This Row],[Removed Pop Raw]]/AR$4)*100)*AR$5)</f>
        <v>0</v>
      </c>
      <c r="BI51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2.075417039212863</v>
      </c>
      <c r="BJ518" s="205">
        <f>_xlfn.RANK.EQ(FMS_Ranking4[[#This Row],[Total Score 
(with linear
normalization)]],FMS_Ranking4[Total Score 
(with linear
normalization)],0)</f>
        <v>373</v>
      </c>
      <c r="BK518" s="205" t="e">
        <f>_xlfn.XLOOKUP(FMS_Ranking4[[#This Row],[FMS ID]],#REF!,#REF!)</f>
        <v>#REF!</v>
      </c>
      <c r="BL51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16.519082287709182</v>
      </c>
      <c r="BM518" s="272">
        <f>FMS_Ranking4[[#This Row],[ArcSinh Score Based on Normalized Reported Factors]]+FMS_Ranking4[[#This Row],[% NBS Score (Normalized)]]+(FMS_Ranking4[[#This Row],[Water Supply Score (Normalized)]]*10*$BB$5)+FMS_Ranking4[[#This Row],[FMS_Type Score Weighted]]</f>
        <v>18.519082287709182</v>
      </c>
      <c r="BN518" s="205">
        <f>_xlfn.RANK.EQ(FMS_Ranking4[[#This Row],[Total Score (with ArcSinh normalization of select criteria)]],FMS_Ranking4[Total Score (with ArcSinh normalization of select criteria)],0)</f>
        <v>511</v>
      </c>
      <c r="BO518" s="270" t="str">
        <f>_xlfn.XLOOKUP(FMS_Ranking4[[#This Row],[FMS ID]],FMS_Input[FMS_ID],FMS_Input[FMS_RANK_YEAR])</f>
        <v>2023 Amended Plan</v>
      </c>
      <c r="BP518" s="204">
        <f>_xlfn.XLOOKUP(FMS_Ranking4[[#This Row],[FMS ID]],Prev_Rank[FMS ID],Prev_Rank[Prev Rank])</f>
        <v>456</v>
      </c>
      <c r="BQ518" s="205" t="e">
        <f>_xlfn.XLOOKUP(FMS_Ranking4[[#This Row],[FMS ID]],#REF!,#REF!)</f>
        <v>#REF!</v>
      </c>
      <c r="BR518" s="199" t="e">
        <f>SUM(#REF!,#REF!,#REF!,#REF!,#REF!,#REF!,#REF!,#REF!,#REF!,FMS_Ranking4[[#This Row],[ArcSinh Res struct removed 0-10]],#REF!)</f>
        <v>#REF!</v>
      </c>
      <c r="BS518" s="199" t="e">
        <f>FMS_Ranking4[[#This Row],[Log Score Based on Normalized Reported Factors]]+FMS_Ranking4[[#This Row],[% NBS Score (Normalized)]]+(FMS_Ranking4[[#This Row],[Water Supply Score (Normalized)]]*10*$BB$5)+(FMS_Ranking4[[#This Row],[FMS_Type Score Weighted]])</f>
        <v>#REF!</v>
      </c>
      <c r="BT518" s="200" t="e">
        <f>_xlfn.RANK.EQ(FMS_Ranking4[[#This Row],[Log Total Score]],FMS_Ranking4[Log Total Score],0)</f>
        <v>#REF!</v>
      </c>
      <c r="BU518" s="200" t="e">
        <f>_xlfn.XLOOKUP(FMS_Ranking4[[#This Row],[FMS ID]],#REF!,#REF!)</f>
        <v>#REF!</v>
      </c>
      <c r="BV518" s="200">
        <f>FMS_Ranking4[[#This Row],[Region Number]]</f>
        <v>15</v>
      </c>
      <c r="BW518" s="200">
        <f>FMS_Ranking4[[#This Row],[Rank (with ArcSinh normalization of select criteria)]]-FMS_Ranking4[[#This Row],[Rank
(with linear
normalization)]]</f>
        <v>138</v>
      </c>
      <c r="BX518" s="200" t="e">
        <f>FMS_Ranking4[[#This Row],[Log Rank]]-FMS_Ranking4[[#This Row],[Rank
(with linear
normalization)]]</f>
        <v>#REF!</v>
      </c>
      <c r="BY518" s="200" t="str">
        <f>IF(FMS_Ranking4[[#This Row],[FMS Type]]="Flood Measurement and Warning",FMS_Ranking4[[#This Row],[Rank (with ArcSinh normalization of select criteria)]],"")</f>
        <v/>
      </c>
      <c r="BZ518" s="200">
        <f>IF(FMS_Ranking4[[#This Row],[FMS Type]]="Regulatory and Guidance",FMS_Ranking4[[#This Row],[Rank (with ArcSinh normalization of select criteria)]],"")</f>
        <v>511</v>
      </c>
      <c r="CA518" s="200" t="str">
        <f>IF(FMS_Ranking4[[#This Row],[FMS Type]]="Education and Outreach",FMS_Ranking4[[#This Row],[Rank (with ArcSinh normalization of select criteria)]],"")</f>
        <v/>
      </c>
      <c r="CB518" s="200" t="str">
        <f>IF(FMS_Ranking4[[#This Row],[FMS Type]]="Property Acquisition and Structural Elevation",FMS_Ranking4[[#This Row],[Rank (with ArcSinh normalization of select criteria)]],"")</f>
        <v/>
      </c>
      <c r="CC518" s="200" t="str">
        <f>IF(FMS_Ranking4[[#This Row],[FMS Type]]="Infrastructure Projects",FMS_Ranking4[[#This Row],[Rank (with ArcSinh normalization of select criteria)]],"")</f>
        <v/>
      </c>
      <c r="CD518" s="200" t="str">
        <f>IF(FMS_Ranking4[[#This Row],[FMS Type]]="Other",FMS_Ranking4[[#This Row],[Rank (with ArcSinh normalization of select criteria)]],"")</f>
        <v/>
      </c>
      <c r="CE518" s="201"/>
      <c r="CF518" s="206"/>
      <c r="CG518" s="206"/>
      <c r="CH518" s="206"/>
      <c r="CI518" s="206"/>
      <c r="CJ518" s="206"/>
      <c r="CK518" s="206"/>
      <c r="CL518" s="206"/>
      <c r="CM518" s="206"/>
      <c r="CN518" s="206"/>
      <c r="CO518" s="206"/>
      <c r="CP518" s="206"/>
      <c r="CQ518" s="206"/>
      <c r="CR518" s="206"/>
    </row>
    <row r="519" spans="2:96" ht="105" x14ac:dyDescent="0.25">
      <c r="B519" s="341" t="s">
        <v>138</v>
      </c>
      <c r="C519" s="246">
        <f>_xlfn.XLOOKUP(FMS_Ranking4[[#This Row],[FMS ID]],FMS_Input[FMS_ID],FMS_Input[RFPG_NUM])</f>
        <v>6</v>
      </c>
      <c r="D519" s="309" t="str">
        <f>_xlfn.XLOOKUP(FMS_Ranking4[[#This Row],[FMS ID]],FMS_Input[FMS_ID],FMS_Input[FMS_NAME])</f>
        <v>City of Cleveland Drainage Maintenance</v>
      </c>
      <c r="E519" s="308" t="str">
        <f>_xlfn.XLOOKUP(FMS_Ranking4[[#This Row],[FMS ID]],FMS_Input[FMS_ID],FMS_Input[SPONSOR])</f>
        <v>06002530</v>
      </c>
      <c r="F519" s="309" t="str">
        <f>_xlfn.XLOOKUP(FMS_Ranking4[[#This Row],[FMS ID]],Sponsor[FMS_ID],Sponsor[SPONSOR NAME])</f>
        <v>Cleveland</v>
      </c>
      <c r="G519" s="309" t="str">
        <f>_xlfn.XLOOKUP(FMS_Ranking4[[#This Row],[FMS ID]],FMS_Input[FMS_ID],FMS_Input[FMS_DESCR])</f>
        <v>Removal of debris, silt and vegetation obstacles in drainageways. Project will clear obstacles, mow and reshape ditches, and upgrade culverts to restore adequate drainage to mitigate flooding.</v>
      </c>
      <c r="H519" s="248" t="str">
        <f>_xlfn.XLOOKUP(FMS_Ranking4[[#This Row],[FMS ID]],FMS_Input[FMS_ID],FMS_Input[FMS_TYPE])</f>
        <v>Infrastructure Projects</v>
      </c>
      <c r="I519" s="249">
        <f>_xlfn.XLOOKUP(FMS_Ranking4[[#This Row],[FMS ID]],FMS_Input[FMS_ID],FMS_Input[NRNC_COST])</f>
        <v>250000</v>
      </c>
      <c r="J519" s="250">
        <f>_xlfn.XLOOKUP(FMS_Ranking4[[#This Row],[FMS ID]],FMS_Input[FMS_ID],FMS_Input[FMS_COST])</f>
        <v>5000000</v>
      </c>
      <c r="K519" s="251" t="str">
        <f>_xlfn.XLOOKUP(FMS_Ranking4[[#This Row],[FMS ID]],FMS_Input[FMS_ID],FMS_Input[EMER_NEED])</f>
        <v>No</v>
      </c>
      <c r="L519" s="252">
        <f t="shared" si="7"/>
        <v>0</v>
      </c>
      <c r="M519" s="253">
        <f>_xlfn.XLOOKUP(FMS_Ranking4[[#This Row],[FMS ID]],FMS_Input[FMS_ID],FMS_Input[STRUCT_100])</f>
        <v>261</v>
      </c>
      <c r="N519" s="255">
        <f>(ASINH(FMS_Ranking4[[#This Row],[Structure at Risk Raw]]))*(10)/(ASINH(M$4))</f>
        <v>4.9194613355280516</v>
      </c>
      <c r="O519" s="256">
        <f>FMS_Ranking4[[#This Row],[Structures at risk, ArcSinh (0-10)]]*M$5*10</f>
        <v>4.9194613355280516</v>
      </c>
      <c r="P519" s="253">
        <f>_xlfn.XLOOKUP(FMS_Ranking4[[#This Row],[FMS ID]],FMS_Input[FMS_ID],FMS_Input[RES_STRUCT100])</f>
        <v>133</v>
      </c>
      <c r="Q519" s="257">
        <f>ASINH(FMS_Ranking4[[#This Row],[Res Structure Raw]])/Q$4*P$5*100</f>
        <v>0</v>
      </c>
      <c r="R519" s="253">
        <f>_xlfn.XLOOKUP(FMS_Ranking4[[#This Row],[FMS ID]],FMS_Input[FMS_ID],FMS_Input[POP100])</f>
        <v>1037</v>
      </c>
      <c r="S519" s="259">
        <f>(ASINH(FMS_Ranking4[[#This Row],[Pop at Risk Raw]]))*(10)/(ASINH(R$4))</f>
        <v>5.2724276830610908</v>
      </c>
      <c r="T519" s="256">
        <f>FMS_Ranking4[[#This Row],[Population at risk, ArcSinh (0-10)]]*R$5*10</f>
        <v>5.2724276830610908</v>
      </c>
      <c r="U519" s="253">
        <f>_xlfn.XLOOKUP(FMS_Ranking4[[#This Row],[FMS ID]],FMS_Input[FMS_ID],FMS_Input[CRITFAC100])</f>
        <v>0</v>
      </c>
      <c r="V519" s="259">
        <f>(ASINH(FMS_Ranking4[[#This Row],[Critical Facilities Raw]]))*(10)/(ASINH(U$4))</f>
        <v>0</v>
      </c>
      <c r="W519" s="256">
        <f>FMS_Ranking4[[#This Row],[Critical facilities at risk, ArcSinh (0-10)]]*U$5*10</f>
        <v>0</v>
      </c>
      <c r="X519" s="253">
        <f>_xlfn.XLOOKUP(FMS_Ranking4[[#This Row],[FMS ID]],FMS_Input[FMS_ID],FMS_Input[LWC])</f>
        <v>1</v>
      </c>
      <c r="Y519" s="259">
        <f>(ASINH(FMS_Ranking4[[#This Row],[LWC Raw]]))*(10)/(ASINH(X$4))</f>
        <v>1.1940300948531093</v>
      </c>
      <c r="Z519" s="256">
        <f>FMS_Ranking4[[#This Row],[LWC, ArcSInh (0-10)]]*X$5*10</f>
        <v>1.1940300948531093</v>
      </c>
      <c r="AA519" s="253">
        <f>_xlfn.XLOOKUP(FMS_Ranking4[[#This Row],[FMS ID]],FMS_Input[FMS_ID],FMS_Input[ROADCLS])</f>
        <v>1</v>
      </c>
      <c r="AB519" s="255">
        <f>(ASINH(FMS_Ranking4[[#This Row],[Road Closures Raw]]))*(10)/(ASINH(AA$4))</f>
        <v>0.91786969566638699</v>
      </c>
      <c r="AC519" s="256">
        <f>FMS_Ranking4[[#This Row],[Road closures, ArcSinh (0-10)]]*AA$5*10</f>
        <v>0.45893484783319349</v>
      </c>
      <c r="AD519" s="253">
        <f>_xlfn.XLOOKUP(FMS_Ranking4[[#This Row],[FMS ID]],FMS_Input[FMS_ID],FMS_Input[ROAD_MILES100])</f>
        <v>27</v>
      </c>
      <c r="AE519" s="259">
        <f>(ASINH(FMS_Ranking4[[#This Row],[Road Miles Raw]]))*(10)/(ASINH(AD$4))</f>
        <v>4.2515248144863813</v>
      </c>
      <c r="AF519" s="256">
        <f>FMS_Ranking4[[#This Row],[Length of roads at risk, ArcSinh (0-10)]]*AD$5*10</f>
        <v>4.2515248144863813</v>
      </c>
      <c r="AG519" s="253">
        <f>_xlfn.XLOOKUP(FMS_Ranking4[[#This Row],[FMS ID]],FMS_Input[FMS_ID],FMS_Input[FARMACRE100])</f>
        <v>28.87845420837402</v>
      </c>
      <c r="AH519" s="255">
        <f>(ASINH(FMS_Ranking4[[#This Row],[Ag Land Raw]]))*(10)/(ASINH(AG$4))</f>
        <v>2.6350549066940285</v>
      </c>
      <c r="AI519" s="260">
        <f>FMS_Ranking4[[#This Row],[Farm &amp; ranch land, ArcSinh (0-10)]]*AG$5*10</f>
        <v>1.3175274533470143</v>
      </c>
      <c r="AJ519" s="258">
        <f>_xlfn.XLOOKUP(FMS_Ranking4[[#This Row],[FMS ID]],FMS_Input[FMS_ID],FMS_Input[REDSTRUCT100])</f>
        <v>0</v>
      </c>
      <c r="AK519" s="253">
        <f>_xlfn.XLOOKUP(FMS_Ranking4[[#This Row],[FMS ID]],FMS_Input[FMS_ID],FMS_Input[REMSTRC100])</f>
        <v>0</v>
      </c>
      <c r="AL519" s="259">
        <f>(ASINH(FMS_Ranking4[[#This Row],[Structures Removed Raw]]))*(10)/(ASINH(AK$4))</f>
        <v>0</v>
      </c>
      <c r="AM519" s="262">
        <f>FMS_Ranking4[[#This Row],[Structures removed, ArcSinh (0-10)]]*AK$5*10</f>
        <v>0</v>
      </c>
      <c r="AN519" s="253">
        <f>_xlfn.XLOOKUP(FMS_Ranking4[[#This Row],[FMS ID]],FMS_Input[FMS_ID],FMS_Input[REMRESSTRC100])</f>
        <v>0</v>
      </c>
      <c r="AO519" s="261">
        <f>FMS_Ranking4[[#This Row],[ArcSinh Res struct removed 0-10]]*AN$5*10</f>
        <v>0</v>
      </c>
      <c r="AP519" s="260">
        <f>ASINH(FMS_Ranking4[[#This Row],[Residential Structures Removed Raw]])/AP$4*AN$5*100</f>
        <v>0</v>
      </c>
      <c r="AQ519" s="254">
        <f>(ASINH(FMS_Ranking4[[#This Row],[Residential Structures Removed Raw]]))*(10)/(ASINH(AN$4))</f>
        <v>0</v>
      </c>
      <c r="AR519" s="253">
        <f>_xlfn.XLOOKUP(FMS_Ranking4[[#This Row],[FMS ID]],FMS_Input[FMS_ID],FMS_Input[REMPOP100])</f>
        <v>0</v>
      </c>
      <c r="AS519" s="259">
        <f>(ASINH(FMS_Ranking4[[#This Row],[Removed Pop Raw]]))*(10)/(ASINH(AR$4))</f>
        <v>0</v>
      </c>
      <c r="AT519" s="262">
        <f>FMS_Ranking4[[#This Row],[Removed population, ArcSinh (0-10)]]*AR$5*10</f>
        <v>0</v>
      </c>
      <c r="AU519" s="264">
        <f>_xlfn.XLOOKUP(FMS_Ranking4[[#This Row],[FMS ID]],FMS_Input[FMS_ID],FMS_Input[REMCRITFAC100])</f>
        <v>0</v>
      </c>
      <c r="AV519" s="264">
        <f>_xlfn.XLOOKUP(FMS_Ranking4[[#This Row],[FMS ID]],FMS_Input[FMS_ID],FMS_Input[REMLWC100])</f>
        <v>0</v>
      </c>
      <c r="AW519" s="264">
        <f>_xlfn.XLOOKUP(FMS_Ranking4[[#This Row],[FMS ID]],FMS_Input[FMS_ID],FMS_Input[REMROADCLS])</f>
        <v>0</v>
      </c>
      <c r="AX519" s="264">
        <f>_xlfn.XLOOKUP(FMS_Ranking4[[#This Row],[FMS ID]],FMS_Input[FMS_ID],FMS_Input[REMFRMACRE100])</f>
        <v>0</v>
      </c>
      <c r="AY519" s="258">
        <f>_xlfn.XLOOKUP(FMS_Ranking4[[#This Row],[FMS ID]],FMS_Input[FMS_ID],FMS_Input[COSTSTRUCT])</f>
        <v>0</v>
      </c>
      <c r="AZ519" s="253">
        <f>_xlfn.XLOOKUP(FMS_Ranking4[[#This Row],[FMS ID]],FMS_Input[FMS_ID],FMS_Input[NATURE])</f>
        <v>0</v>
      </c>
      <c r="BA519" s="262">
        <f>(((FMS_Ranking4[[#This Row],[% NBS Raw]]/AZ$4)*100)*AZ$5)</f>
        <v>0</v>
      </c>
      <c r="BB519" s="251" t="str">
        <f>_xlfn.XLOOKUP(FMS_Ranking4[[#This Row],[FMS ID]],FMS_Input[FMS_ID],FMS_Input[WATER_SUP])</f>
        <v>No</v>
      </c>
      <c r="BC519" s="265">
        <f>IF(FMS_Ranking4[[#This Row],[Water Supply Raw]]="Yes",10,0)</f>
        <v>0</v>
      </c>
      <c r="BD519" s="266">
        <f>_xlfn.XLOOKUP(FMS_Ranking4[[#This Row],[FMS Type]],FMS_TYPE[FMS_Type],FMS_TYPE[Score])</f>
        <v>4</v>
      </c>
      <c r="BE519" s="267">
        <f>FMS_Ranking4[[#This Row],[FMS_Type Score]]*$BD$5*10</f>
        <v>1</v>
      </c>
      <c r="BF51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8.483605758868934E-2</v>
      </c>
      <c r="BG519" s="271">
        <f>_xlfn.RANK.EQ(BF519,$BF$8:$BF$870,0)+COUNTIF($BF$8:BF519,BF519)-1</f>
        <v>504</v>
      </c>
      <c r="BH519" s="268">
        <f>(((FMS_Ranking4[[#This Row],[Structures Removed Raw]]/AK$4)*100)*AK$5)+(((FMS_Ranking4[[#This Row],[Removed Pop Raw]]/AR$4)*100)*AR$5)</f>
        <v>0</v>
      </c>
      <c r="BI51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1.0848360575886893</v>
      </c>
      <c r="BJ519" s="205">
        <f>_xlfn.RANK.EQ(FMS_Ranking4[[#This Row],[Total Score 
(with linear
normalization)]],FMS_Ranking4[Total Score 
(with linear
normalization)],0)</f>
        <v>679</v>
      </c>
      <c r="BK519" s="205" t="e">
        <f>_xlfn.XLOOKUP(FMS_Ranking4[[#This Row],[FMS ID]],#REF!,#REF!)</f>
        <v>#REF!</v>
      </c>
      <c r="BL51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17.413906229108843</v>
      </c>
      <c r="BM519" s="272">
        <f>FMS_Ranking4[[#This Row],[ArcSinh Score Based on Normalized Reported Factors]]+FMS_Ranking4[[#This Row],[% NBS Score (Normalized)]]+(FMS_Ranking4[[#This Row],[Water Supply Score (Normalized)]]*10*$BB$5)+FMS_Ranking4[[#This Row],[FMS_Type Score Weighted]]</f>
        <v>18.413906229108843</v>
      </c>
      <c r="BN519" s="205">
        <f>_xlfn.RANK.EQ(FMS_Ranking4[[#This Row],[Total Score (with ArcSinh normalization of select criteria)]],FMS_Ranking4[Total Score (with ArcSinh normalization of select criteria)],0)</f>
        <v>512</v>
      </c>
      <c r="BO519" s="270" t="str">
        <f>_xlfn.XLOOKUP(FMS_Ranking4[[#This Row],[FMS ID]],FMS_Input[FMS_ID],FMS_Input[FMS_RANK_YEAR])</f>
        <v>2023 Amended Plan</v>
      </c>
      <c r="BP519" s="204">
        <f>_xlfn.XLOOKUP(FMS_Ranking4[[#This Row],[FMS ID]],Prev_Rank[FMS ID],Prev_Rank[Prev Rank])</f>
        <v>457</v>
      </c>
      <c r="BQ519" s="205" t="e">
        <f>_xlfn.XLOOKUP(FMS_Ranking4[[#This Row],[FMS ID]],#REF!,#REF!)</f>
        <v>#REF!</v>
      </c>
      <c r="BR519" s="199" t="e">
        <f>SUM(#REF!,#REF!,#REF!,#REF!,#REF!,#REF!,#REF!,#REF!,#REF!,FMS_Ranking4[[#This Row],[ArcSinh Res struct removed 0-10]],#REF!)</f>
        <v>#REF!</v>
      </c>
      <c r="BS519" s="199" t="e">
        <f>FMS_Ranking4[[#This Row],[Log Score Based on Normalized Reported Factors]]+FMS_Ranking4[[#This Row],[% NBS Score (Normalized)]]+(FMS_Ranking4[[#This Row],[Water Supply Score (Normalized)]]*10*$BB$5)+(FMS_Ranking4[[#This Row],[FMS_Type Score Weighted]])</f>
        <v>#REF!</v>
      </c>
      <c r="BT519" s="200" t="e">
        <f>_xlfn.RANK.EQ(FMS_Ranking4[[#This Row],[Log Total Score]],FMS_Ranking4[Log Total Score],0)</f>
        <v>#REF!</v>
      </c>
      <c r="BU519" s="200" t="e">
        <f>_xlfn.XLOOKUP(FMS_Ranking4[[#This Row],[FMS ID]],#REF!,#REF!)</f>
        <v>#REF!</v>
      </c>
      <c r="BV519" s="200">
        <f>FMS_Ranking4[[#This Row],[Region Number]]</f>
        <v>6</v>
      </c>
      <c r="BW519" s="200">
        <f>FMS_Ranking4[[#This Row],[Rank (with ArcSinh normalization of select criteria)]]-FMS_Ranking4[[#This Row],[Rank
(with linear
normalization)]]</f>
        <v>-167</v>
      </c>
      <c r="BX519" s="200" t="e">
        <f>FMS_Ranking4[[#This Row],[Log Rank]]-FMS_Ranking4[[#This Row],[Rank
(with linear
normalization)]]</f>
        <v>#REF!</v>
      </c>
      <c r="BY519" s="200" t="str">
        <f>IF(FMS_Ranking4[[#This Row],[FMS Type]]="Flood Measurement and Warning",FMS_Ranking4[[#This Row],[Rank (with ArcSinh normalization of select criteria)]],"")</f>
        <v/>
      </c>
      <c r="BZ519" s="200" t="str">
        <f>IF(FMS_Ranking4[[#This Row],[FMS Type]]="Regulatory and Guidance",FMS_Ranking4[[#This Row],[Rank (with ArcSinh normalization of select criteria)]],"")</f>
        <v/>
      </c>
      <c r="CA519" s="200" t="str">
        <f>IF(FMS_Ranking4[[#This Row],[FMS Type]]="Education and Outreach",FMS_Ranking4[[#This Row],[Rank (with ArcSinh normalization of select criteria)]],"")</f>
        <v/>
      </c>
      <c r="CB519" s="200" t="str">
        <f>IF(FMS_Ranking4[[#This Row],[FMS Type]]="Property Acquisition and Structural Elevation",FMS_Ranking4[[#This Row],[Rank (with ArcSinh normalization of select criteria)]],"")</f>
        <v/>
      </c>
      <c r="CC519" s="200">
        <f>IF(FMS_Ranking4[[#This Row],[FMS Type]]="Infrastructure Projects",FMS_Ranking4[[#This Row],[Rank (with ArcSinh normalization of select criteria)]],"")</f>
        <v>512</v>
      </c>
      <c r="CD519" s="200" t="str">
        <f>IF(FMS_Ranking4[[#This Row],[FMS Type]]="Other",FMS_Ranking4[[#This Row],[Rank (with ArcSinh normalization of select criteria)]],"")</f>
        <v/>
      </c>
      <c r="CE519" s="201"/>
      <c r="CF519" s="206"/>
      <c r="CG519" s="206"/>
      <c r="CH519" s="206"/>
      <c r="CI519" s="206"/>
      <c r="CJ519" s="206"/>
      <c r="CK519" s="206"/>
      <c r="CL519" s="206"/>
      <c r="CM519" s="206"/>
      <c r="CN519" s="206"/>
      <c r="CO519" s="206"/>
      <c r="CP519" s="206"/>
      <c r="CQ519" s="206"/>
      <c r="CR519" s="206"/>
    </row>
    <row r="520" spans="2:96" ht="45" x14ac:dyDescent="0.25">
      <c r="B520" s="341" t="s">
        <v>3387</v>
      </c>
      <c r="C520" s="246">
        <f>_xlfn.XLOOKUP(FMS_Ranking4[[#This Row],[FMS ID]],FMS_Input[FMS_ID],FMS_Input[RFPG_NUM])</f>
        <v>7</v>
      </c>
      <c r="D520" s="309" t="str">
        <f>_xlfn.XLOOKUP(FMS_Ranking4[[#This Row],[FMS ID]],FMS_Input[FMS_ID],FMS_Input[FMS_NAME])</f>
        <v>Buffalo Springs Lake Warning System</v>
      </c>
      <c r="E520" s="308" t="str">
        <f>_xlfn.XLOOKUP(FMS_Ranking4[[#This Row],[FMS ID]],FMS_Input[FMS_ID],FMS_Input[SPONSOR])</f>
        <v>07003505</v>
      </c>
      <c r="F520" s="309" t="str">
        <f>_xlfn.XLOOKUP(FMS_Ranking4[[#This Row],[FMS ID]],Sponsor[FMS_ID],Sponsor[SPONSOR NAME])</f>
        <v>Buffalo Springs</v>
      </c>
      <c r="G520" s="309" t="str">
        <f>_xlfn.XLOOKUP(FMS_Ranking4[[#This Row],[FMS ID]],FMS_Input[FMS_ID],FMS_Input[FMS_DESCR])</f>
        <v>Flood Warning signals - Sponsor Wish List.</v>
      </c>
      <c r="H520" s="248" t="str">
        <f>_xlfn.XLOOKUP(FMS_Ranking4[[#This Row],[FMS ID]],FMS_Input[FMS_ID],FMS_Input[FMS_TYPE])</f>
        <v>Flood Measurement and Warning</v>
      </c>
      <c r="I520" s="249">
        <f>_xlfn.XLOOKUP(FMS_Ranking4[[#This Row],[FMS ID]],FMS_Input[FMS_ID],FMS_Input[NRNC_COST])</f>
        <v>50000</v>
      </c>
      <c r="J520" s="250">
        <f>_xlfn.XLOOKUP(FMS_Ranking4[[#This Row],[FMS ID]],FMS_Input[FMS_ID],FMS_Input[FMS_COST])</f>
        <v>50000</v>
      </c>
      <c r="K520" s="251" t="str">
        <f>_xlfn.XLOOKUP(FMS_Ranking4[[#This Row],[FMS ID]],FMS_Input[FMS_ID],FMS_Input[EMER_NEED])</f>
        <v>No</v>
      </c>
      <c r="L520" s="252">
        <f t="shared" ref="L520:L583" si="8">IF(K520="Yes",1,0)</f>
        <v>0</v>
      </c>
      <c r="M520" s="253">
        <f>_xlfn.XLOOKUP(FMS_Ranking4[[#This Row],[FMS ID]],FMS_Input[FMS_ID],FMS_Input[STRUCT_100])</f>
        <v>228</v>
      </c>
      <c r="N520" s="255">
        <f>(ASINH(FMS_Ranking4[[#This Row],[Structure at Risk Raw]]))*(10)/(ASINH(M$4))</f>
        <v>4.8131947286722632</v>
      </c>
      <c r="O520" s="256">
        <f>FMS_Ranking4[[#This Row],[Structures at risk, ArcSinh (0-10)]]*M$5*10</f>
        <v>4.8131947286722632</v>
      </c>
      <c r="P520" s="253">
        <f>_xlfn.XLOOKUP(FMS_Ranking4[[#This Row],[FMS ID]],FMS_Input[FMS_ID],FMS_Input[RES_STRUCT100])</f>
        <v>191</v>
      </c>
      <c r="Q520" s="257">
        <f>ASINH(FMS_Ranking4[[#This Row],[Res Structure Raw]])/Q$4*P$5*100</f>
        <v>0</v>
      </c>
      <c r="R520" s="253">
        <f>_xlfn.XLOOKUP(FMS_Ranking4[[#This Row],[FMS ID]],FMS_Input[FMS_ID],FMS_Input[POP100])</f>
        <v>285</v>
      </c>
      <c r="S520" s="255">
        <f>(ASINH(FMS_Ranking4[[#This Row],[Pop at Risk Raw]]))*(10)/(ASINH(R$4))</f>
        <v>4.3807643345243674</v>
      </c>
      <c r="T520" s="256">
        <f>FMS_Ranking4[[#This Row],[Population at risk, ArcSinh (0-10)]]*R$5*10</f>
        <v>4.3807643345243674</v>
      </c>
      <c r="U520" s="253">
        <f>_xlfn.XLOOKUP(FMS_Ranking4[[#This Row],[FMS ID]],FMS_Input[FMS_ID],FMS_Input[CRITFAC100])</f>
        <v>0</v>
      </c>
      <c r="V520" s="255">
        <f>(ASINH(FMS_Ranking4[[#This Row],[Critical Facilities Raw]]))*(10)/(ASINH(U$4))</f>
        <v>0</v>
      </c>
      <c r="W520" s="256">
        <f>FMS_Ranking4[[#This Row],[Critical facilities at risk, ArcSinh (0-10)]]*U$5*10</f>
        <v>0</v>
      </c>
      <c r="X520" s="253">
        <f>_xlfn.XLOOKUP(FMS_Ranking4[[#This Row],[FMS ID]],FMS_Input[FMS_ID],FMS_Input[LWC])</f>
        <v>1</v>
      </c>
      <c r="Y520" s="255">
        <f>(ASINH(FMS_Ranking4[[#This Row],[LWC Raw]]))*(10)/(ASINH(X$4))</f>
        <v>1.1940300948531093</v>
      </c>
      <c r="Z520" s="256">
        <f>FMS_Ranking4[[#This Row],[LWC, ArcSInh (0-10)]]*X$5*10</f>
        <v>1.1940300948531093</v>
      </c>
      <c r="AA520" s="253">
        <f>_xlfn.XLOOKUP(FMS_Ranking4[[#This Row],[FMS ID]],FMS_Input[FMS_ID],FMS_Input[ROADCLS])</f>
        <v>0</v>
      </c>
      <c r="AB520" s="255">
        <f>(ASINH(FMS_Ranking4[[#This Row],[Road Closures Raw]]))*(10)/(ASINH(AA$4))</f>
        <v>0</v>
      </c>
      <c r="AC520" s="256">
        <f>FMS_Ranking4[[#This Row],[Road closures, ArcSinh (0-10)]]*AA$5*10</f>
        <v>0</v>
      </c>
      <c r="AD520" s="253">
        <f>_xlfn.XLOOKUP(FMS_Ranking4[[#This Row],[FMS ID]],FMS_Input[FMS_ID],FMS_Input[ROAD_MILES100])</f>
        <v>8</v>
      </c>
      <c r="AE520" s="255">
        <f>(ASINH(FMS_Ranking4[[#This Row],[Road Miles Raw]]))*(10)/(ASINH(AD$4))</f>
        <v>2.9589555764172308</v>
      </c>
      <c r="AF520" s="256">
        <f>FMS_Ranking4[[#This Row],[Length of roads at risk, ArcSinh (0-10)]]*AD$5*10</f>
        <v>2.9589555764172308</v>
      </c>
      <c r="AG520" s="253">
        <f>_xlfn.XLOOKUP(FMS_Ranking4[[#This Row],[FMS ID]],FMS_Input[FMS_ID],FMS_Input[FARMACRE100])</f>
        <v>1195.469116210938</v>
      </c>
      <c r="AH520" s="255">
        <f>(ASINH(FMS_Ranking4[[#This Row],[Ag Land Raw]]))*(10)/(ASINH(AG$4))</f>
        <v>5.05338091575093</v>
      </c>
      <c r="AI520" s="260">
        <f>FMS_Ranking4[[#This Row],[Farm &amp; ranch land, ArcSinh (0-10)]]*AG$5*10</f>
        <v>2.526690457875465</v>
      </c>
      <c r="AJ520" s="258">
        <f>_xlfn.XLOOKUP(FMS_Ranking4[[#This Row],[FMS ID]],FMS_Input[FMS_ID],FMS_Input[REDSTRUCT100])</f>
        <v>0</v>
      </c>
      <c r="AK520" s="253">
        <f>_xlfn.XLOOKUP(FMS_Ranking4[[#This Row],[FMS ID]],FMS_Input[FMS_ID],FMS_Input[REMSTRC100])</f>
        <v>0</v>
      </c>
      <c r="AL520" s="255">
        <f>(ASINH(FMS_Ranking4[[#This Row],[Structures Removed Raw]]))*(10)/(ASINH(AK$4))</f>
        <v>0</v>
      </c>
      <c r="AM520" s="262">
        <f>FMS_Ranking4[[#This Row],[Structures removed, ArcSinh (0-10)]]*AK$5*10</f>
        <v>0</v>
      </c>
      <c r="AN520" s="253">
        <f>_xlfn.XLOOKUP(FMS_Ranking4[[#This Row],[FMS ID]],FMS_Input[FMS_ID],FMS_Input[REMRESSTRC100])</f>
        <v>0</v>
      </c>
      <c r="AO520" s="261">
        <f>FMS_Ranking4[[#This Row],[ArcSinh Res struct removed 0-10]]*AN$5*10</f>
        <v>0</v>
      </c>
      <c r="AP520" s="260">
        <f>ASINH(FMS_Ranking4[[#This Row],[Residential Structures Removed Raw]])/AP$4*AN$5*100</f>
        <v>0</v>
      </c>
      <c r="AQ520" s="258">
        <f>(ASINH(FMS_Ranking4[[#This Row],[Residential Structures Removed Raw]]))*(10)/(ASINH(AN$4))</f>
        <v>0</v>
      </c>
      <c r="AR520" s="253">
        <f>_xlfn.XLOOKUP(FMS_Ranking4[[#This Row],[FMS ID]],FMS_Input[FMS_ID],FMS_Input[REMPOP100])</f>
        <v>0</v>
      </c>
      <c r="AS520" s="255">
        <f>(ASINH(FMS_Ranking4[[#This Row],[Removed Pop Raw]]))*(10)/(ASINH(AR$4))</f>
        <v>0</v>
      </c>
      <c r="AT520" s="262">
        <f>FMS_Ranking4[[#This Row],[Removed population, ArcSinh (0-10)]]*AR$5*10</f>
        <v>0</v>
      </c>
      <c r="AU520" s="264">
        <f>_xlfn.XLOOKUP(FMS_Ranking4[[#This Row],[FMS ID]],FMS_Input[FMS_ID],FMS_Input[REMCRITFAC100])</f>
        <v>0</v>
      </c>
      <c r="AV520" s="264">
        <f>_xlfn.XLOOKUP(FMS_Ranking4[[#This Row],[FMS ID]],FMS_Input[FMS_ID],FMS_Input[REMLWC100])</f>
        <v>0</v>
      </c>
      <c r="AW520" s="264">
        <f>_xlfn.XLOOKUP(FMS_Ranking4[[#This Row],[FMS ID]],FMS_Input[FMS_ID],FMS_Input[REMROADCLS])</f>
        <v>0</v>
      </c>
      <c r="AX520" s="264">
        <f>_xlfn.XLOOKUP(FMS_Ranking4[[#This Row],[FMS ID]],FMS_Input[FMS_ID],FMS_Input[REMFRMACRE100])</f>
        <v>0</v>
      </c>
      <c r="AY520" s="258">
        <f>_xlfn.XLOOKUP(FMS_Ranking4[[#This Row],[FMS ID]],FMS_Input[FMS_ID],FMS_Input[COSTSTRUCT])</f>
        <v>0</v>
      </c>
      <c r="AZ520" s="253">
        <f>_xlfn.XLOOKUP(FMS_Ranking4[[#This Row],[FMS ID]],FMS_Input[FMS_ID],FMS_Input[NATURE])</f>
        <v>0</v>
      </c>
      <c r="BA520" s="262">
        <f>(((FMS_Ranking4[[#This Row],[% NBS Raw]]/AZ$4)*100)*AZ$5)</f>
        <v>0</v>
      </c>
      <c r="BB520" s="251" t="str">
        <f>_xlfn.XLOOKUP(FMS_Ranking4[[#This Row],[FMS ID]],FMS_Input[FMS_ID],FMS_Input[WATER_SUP])</f>
        <v>No</v>
      </c>
      <c r="BC520" s="265">
        <f>IF(FMS_Ranking4[[#This Row],[Water Supply Raw]]="Yes",10,0)</f>
        <v>0</v>
      </c>
      <c r="BD520" s="266">
        <f>_xlfn.XLOOKUP(FMS_Ranking4[[#This Row],[FMS Type]],FMS_TYPE[FMS_Type],FMS_TYPE[Score])</f>
        <v>10</v>
      </c>
      <c r="BE520" s="267">
        <f>FMS_Ranking4[[#This Row],[FMS_Type Score]]*$BD$5*10</f>
        <v>2.5</v>
      </c>
      <c r="BF52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4.4928993661748934E-2</v>
      </c>
      <c r="BG520" s="321">
        <f>_xlfn.RANK.EQ(BF520,$BF$8:$BF$870,0)+COUNTIF($BF$8:BF520,BF520)-1</f>
        <v>569</v>
      </c>
      <c r="BH520" s="294">
        <f>(((FMS_Ranking4[[#This Row],[Structures Removed Raw]]/AK$4)*100)*AK$5)+(((FMS_Ranking4[[#This Row],[Removed Pop Raw]]/AR$4)*100)*AR$5)</f>
        <v>0</v>
      </c>
      <c r="BI52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2.544928993661749</v>
      </c>
      <c r="BJ520" s="251">
        <f>_xlfn.RANK.EQ(FMS_Ranking4[[#This Row],[Total Score 
(with linear
normalization)]],FMS_Ranking4[Total Score 
(with linear
normalization)],0)</f>
        <v>237</v>
      </c>
      <c r="BK520" s="251" t="e">
        <f>_xlfn.XLOOKUP(FMS_Ranking4[[#This Row],[FMS ID]],#REF!,#REF!)</f>
        <v>#REF!</v>
      </c>
      <c r="BL52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15.873635192342434</v>
      </c>
      <c r="BM520" s="324">
        <f>FMS_Ranking4[[#This Row],[ArcSinh Score Based on Normalized Reported Factors]]+FMS_Ranking4[[#This Row],[% NBS Score (Normalized)]]+(FMS_Ranking4[[#This Row],[Water Supply Score (Normalized)]]*10*$BB$5)+FMS_Ranking4[[#This Row],[FMS_Type Score Weighted]]</f>
        <v>18.373635192342434</v>
      </c>
      <c r="BN520" s="251">
        <f>_xlfn.RANK.EQ(FMS_Ranking4[[#This Row],[Total Score (with ArcSinh normalization of select criteria)]],FMS_Ranking4[Total Score (with ArcSinh normalization of select criteria)],0)</f>
        <v>513</v>
      </c>
      <c r="BO520" s="270" t="str">
        <f>_xlfn.XLOOKUP(FMS_Ranking4[[#This Row],[FMS ID]],FMS_Input[FMS_ID],FMS_Input[FMS_RANK_YEAR])</f>
        <v>2023 Amended Plan</v>
      </c>
      <c r="BP520" s="204">
        <f>_xlfn.XLOOKUP(FMS_Ranking4[[#This Row],[FMS ID]],Prev_Rank[FMS ID],Prev_Rank[Prev Rank])</f>
        <v>458</v>
      </c>
      <c r="BQ520" s="251" t="e">
        <f>_xlfn.XLOOKUP(FMS_Ranking4[[#This Row],[FMS ID]],#REF!,#REF!)</f>
        <v>#REF!</v>
      </c>
      <c r="BR520" s="199" t="e">
        <f>SUM(#REF!,#REF!,#REF!,#REF!,#REF!,#REF!,#REF!,#REF!,#REF!,FMS_Ranking4[[#This Row],[ArcSinh Res struct removed 0-10]],#REF!)</f>
        <v>#REF!</v>
      </c>
      <c r="BS520" s="199" t="e">
        <f>FMS_Ranking4[[#This Row],[Log Score Based on Normalized Reported Factors]]+FMS_Ranking4[[#This Row],[% NBS Score (Normalized)]]+(FMS_Ranking4[[#This Row],[Water Supply Score (Normalized)]]*10*$BB$5)+(FMS_Ranking4[[#This Row],[FMS_Type Score Weighted]])</f>
        <v>#REF!</v>
      </c>
      <c r="BT520" s="200" t="e">
        <f>_xlfn.RANK.EQ(FMS_Ranking4[[#This Row],[Log Total Score]],FMS_Ranking4[Log Total Score],0)</f>
        <v>#REF!</v>
      </c>
      <c r="BU520" s="200" t="e">
        <f>_xlfn.XLOOKUP(FMS_Ranking4[[#This Row],[FMS ID]],#REF!,#REF!)</f>
        <v>#REF!</v>
      </c>
      <c r="BV520" s="200">
        <f>FMS_Ranking4[[#This Row],[Region Number]]</f>
        <v>7</v>
      </c>
      <c r="BW520" s="200">
        <f>FMS_Ranking4[[#This Row],[Rank (with ArcSinh normalization of select criteria)]]-FMS_Ranking4[[#This Row],[Rank
(with linear
normalization)]]</f>
        <v>276</v>
      </c>
      <c r="BX520" s="200" t="e">
        <f>FMS_Ranking4[[#This Row],[Log Rank]]-FMS_Ranking4[[#This Row],[Rank
(with linear
normalization)]]</f>
        <v>#REF!</v>
      </c>
      <c r="BY520" s="200">
        <f>IF(FMS_Ranking4[[#This Row],[FMS Type]]="Flood Measurement and Warning",FMS_Ranking4[[#This Row],[Rank (with ArcSinh normalization of select criteria)]],"")</f>
        <v>513</v>
      </c>
      <c r="BZ520" s="200" t="str">
        <f>IF(FMS_Ranking4[[#This Row],[FMS Type]]="Regulatory and Guidance",FMS_Ranking4[[#This Row],[Rank (with ArcSinh normalization of select criteria)]],"")</f>
        <v/>
      </c>
      <c r="CA520" s="200" t="str">
        <f>IF(FMS_Ranking4[[#This Row],[FMS Type]]="Education and Outreach",FMS_Ranking4[[#This Row],[Rank (with ArcSinh normalization of select criteria)]],"")</f>
        <v/>
      </c>
      <c r="CB520" s="200" t="str">
        <f>IF(FMS_Ranking4[[#This Row],[FMS Type]]="Property Acquisition and Structural Elevation",FMS_Ranking4[[#This Row],[Rank (with ArcSinh normalization of select criteria)]],"")</f>
        <v/>
      </c>
      <c r="CC520" s="200" t="str">
        <f>IF(FMS_Ranking4[[#This Row],[FMS Type]]="Infrastructure Projects",FMS_Ranking4[[#This Row],[Rank (with ArcSinh normalization of select criteria)]],"")</f>
        <v/>
      </c>
      <c r="CD520" s="200" t="str">
        <f>IF(FMS_Ranking4[[#This Row],[FMS Type]]="Other",FMS_Ranking4[[#This Row],[Rank (with ArcSinh normalization of select criteria)]],"")</f>
        <v/>
      </c>
      <c r="CE520" s="201"/>
      <c r="CF520" s="206"/>
      <c r="CG520" s="206"/>
      <c r="CH520" s="206"/>
      <c r="CI520" s="206"/>
      <c r="CJ520" s="206"/>
      <c r="CK520" s="206"/>
      <c r="CL520" s="206"/>
      <c r="CM520" s="206"/>
      <c r="CN520" s="206"/>
      <c r="CO520" s="206"/>
      <c r="CP520" s="206"/>
      <c r="CQ520" s="206"/>
      <c r="CR520" s="206"/>
    </row>
    <row r="521" spans="2:96" ht="75" x14ac:dyDescent="0.25">
      <c r="B521" s="341" t="s">
        <v>2254</v>
      </c>
      <c r="C521" s="246">
        <f>_xlfn.XLOOKUP(FMS_Ranking4[[#This Row],[FMS ID]],FMS_Input[FMS_ID],FMS_Input[RFPG_NUM])</f>
        <v>3</v>
      </c>
      <c r="D521" s="309" t="str">
        <f>_xlfn.XLOOKUP(FMS_Ranking4[[#This Row],[FMS ID]],FMS_Input[FMS_ID],FMS_Input[FMS_NAME])</f>
        <v>Fannin County Flood Insurance Education</v>
      </c>
      <c r="E521" s="308" t="str">
        <f>_xlfn.XLOOKUP(FMS_Ranking4[[#This Row],[FMS ID]],FMS_Input[FMS_ID],FMS_Input[SPONSOR])</f>
        <v>Fannin County</v>
      </c>
      <c r="F521" s="309" t="str">
        <f>_xlfn.XLOOKUP(FMS_Ranking4[[#This Row],[FMS ID]],Sponsor[FMS_ID],Sponsor[SPONSOR NAME])</f>
        <v>Fannin County</v>
      </c>
      <c r="G521" s="309" t="str">
        <f>_xlfn.XLOOKUP(FMS_Ranking4[[#This Row],[FMS ID]],FMS_Input[FMS_ID],FMS_Input[FMS_DESCR])</f>
        <v>Develop and distribute information about the availability and need for flood insurance. Public awareness of NFIP.</v>
      </c>
      <c r="H521" s="248" t="str">
        <f>_xlfn.XLOOKUP(FMS_Ranking4[[#This Row],[FMS ID]],FMS_Input[FMS_ID],FMS_Input[FMS_TYPE])</f>
        <v>Education and Outreach</v>
      </c>
      <c r="I521" s="249">
        <f>_xlfn.XLOOKUP(FMS_Ranking4[[#This Row],[FMS ID]],FMS_Input[FMS_ID],FMS_Input[NRNC_COST])</f>
        <v>50000</v>
      </c>
      <c r="J521" s="250">
        <f>_xlfn.XLOOKUP(FMS_Ranking4[[#This Row],[FMS ID]],FMS_Input[FMS_ID],FMS_Input[FMS_COST])</f>
        <v>50000</v>
      </c>
      <c r="K521" s="251" t="str">
        <f>_xlfn.XLOOKUP(FMS_Ranking4[[#This Row],[FMS ID]],FMS_Input[FMS_ID],FMS_Input[EMER_NEED])</f>
        <v>No</v>
      </c>
      <c r="L521" s="252">
        <f t="shared" si="8"/>
        <v>0</v>
      </c>
      <c r="M521" s="253">
        <f>_xlfn.XLOOKUP(FMS_Ranking4[[#This Row],[FMS ID]],FMS_Input[FMS_ID],FMS_Input[STRUCT_100])</f>
        <v>139</v>
      </c>
      <c r="N521" s="255">
        <f>(ASINH(FMS_Ranking4[[#This Row],[Structure at Risk Raw]]))*(10)/(ASINH(M$4))</f>
        <v>4.4241582838628482</v>
      </c>
      <c r="O521" s="256">
        <f>FMS_Ranking4[[#This Row],[Structures at risk, ArcSinh (0-10)]]*M$5*10</f>
        <v>4.4241582838628482</v>
      </c>
      <c r="P521" s="253">
        <f>_xlfn.XLOOKUP(FMS_Ranking4[[#This Row],[FMS ID]],FMS_Input[FMS_ID],FMS_Input[RES_STRUCT100])</f>
        <v>119</v>
      </c>
      <c r="Q521" s="257">
        <f>ASINH(FMS_Ranking4[[#This Row],[Res Structure Raw]])/Q$4*P$5*100</f>
        <v>0</v>
      </c>
      <c r="R521" s="253">
        <f>_xlfn.XLOOKUP(FMS_Ranking4[[#This Row],[FMS ID]],FMS_Input[FMS_ID],FMS_Input[POP100])</f>
        <v>91</v>
      </c>
      <c r="S521" s="259">
        <f>(ASINH(FMS_Ranking4[[#This Row],[Pop at Risk Raw]]))*(10)/(ASINH(R$4))</f>
        <v>3.5926496232807952</v>
      </c>
      <c r="T521" s="256">
        <f>FMS_Ranking4[[#This Row],[Population at risk, ArcSinh (0-10)]]*R$5*10</f>
        <v>3.5926496232807952</v>
      </c>
      <c r="U521" s="253">
        <f>_xlfn.XLOOKUP(FMS_Ranking4[[#This Row],[FMS ID]],FMS_Input[FMS_ID],FMS_Input[CRITFAC100])</f>
        <v>5</v>
      </c>
      <c r="V521" s="259">
        <f>(ASINH(FMS_Ranking4[[#This Row],[Critical Facilities Raw]]))*(10)/(ASINH(U$4))</f>
        <v>2.7373815814321909</v>
      </c>
      <c r="W521" s="256">
        <f>FMS_Ranking4[[#This Row],[Critical facilities at risk, ArcSinh (0-10)]]*U$5*10</f>
        <v>2.7373815814321913</v>
      </c>
      <c r="X521" s="253">
        <f>_xlfn.XLOOKUP(FMS_Ranking4[[#This Row],[FMS ID]],FMS_Input[FMS_ID],FMS_Input[LWC])</f>
        <v>1</v>
      </c>
      <c r="Y521" s="259">
        <f>(ASINH(FMS_Ranking4[[#This Row],[LWC Raw]]))*(10)/(ASINH(X$4))</f>
        <v>1.1940300948531093</v>
      </c>
      <c r="Z521" s="256">
        <f>FMS_Ranking4[[#This Row],[LWC, ArcSInh (0-10)]]*X$5*10</f>
        <v>1.1940300948531093</v>
      </c>
      <c r="AA521" s="253">
        <f>_xlfn.XLOOKUP(FMS_Ranking4[[#This Row],[FMS ID]],FMS_Input[FMS_ID],FMS_Input[ROADCLS])</f>
        <v>0</v>
      </c>
      <c r="AB521" s="255">
        <f>(ASINH(FMS_Ranking4[[#This Row],[Road Closures Raw]]))*(10)/(ASINH(AA$4))</f>
        <v>0</v>
      </c>
      <c r="AC521" s="256">
        <f>FMS_Ranking4[[#This Row],[Road closures, ArcSinh (0-10)]]*AA$5*10</f>
        <v>0</v>
      </c>
      <c r="AD521" s="253">
        <f>_xlfn.XLOOKUP(FMS_Ranking4[[#This Row],[FMS ID]],FMS_Input[FMS_ID],FMS_Input[ROAD_MILES100])</f>
        <v>4</v>
      </c>
      <c r="AE521" s="259">
        <f>(ASINH(FMS_Ranking4[[#This Row],[Road Miles Raw]]))*(10)/(ASINH(AD$4))</f>
        <v>2.2323872691766113</v>
      </c>
      <c r="AF521" s="256">
        <f>FMS_Ranking4[[#This Row],[Length of roads at risk, ArcSinh (0-10)]]*AD$5*10</f>
        <v>2.2323872691766113</v>
      </c>
      <c r="AG521" s="253">
        <f>_xlfn.XLOOKUP(FMS_Ranking4[[#This Row],[FMS ID]],FMS_Input[FMS_ID],FMS_Input[FARMACRE100])</f>
        <v>1782.619995117188</v>
      </c>
      <c r="AH521" s="255">
        <f>(ASINH(FMS_Ranking4[[#This Row],[Ag Land Raw]]))*(10)/(ASINH(AG$4))</f>
        <v>5.3129182160868762</v>
      </c>
      <c r="AI521" s="260">
        <f>FMS_Ranking4[[#This Row],[Farm &amp; ranch land, ArcSinh (0-10)]]*AG$5*10</f>
        <v>2.6564591080434381</v>
      </c>
      <c r="AJ521" s="258">
        <f>_xlfn.XLOOKUP(FMS_Ranking4[[#This Row],[FMS ID]],FMS_Input[FMS_ID],FMS_Input[REDSTRUCT100])</f>
        <v>0</v>
      </c>
      <c r="AK521" s="253">
        <f>_xlfn.XLOOKUP(FMS_Ranking4[[#This Row],[FMS ID]],FMS_Input[FMS_ID],FMS_Input[REMSTRC100])</f>
        <v>0</v>
      </c>
      <c r="AL521" s="259">
        <f>(ASINH(FMS_Ranking4[[#This Row],[Structures Removed Raw]]))*(10)/(ASINH(AK$4))</f>
        <v>0</v>
      </c>
      <c r="AM521" s="262">
        <f>FMS_Ranking4[[#This Row],[Structures removed, ArcSinh (0-10)]]*AK$5*10</f>
        <v>0</v>
      </c>
      <c r="AN521" s="253">
        <f>_xlfn.XLOOKUP(FMS_Ranking4[[#This Row],[FMS ID]],FMS_Input[FMS_ID],FMS_Input[REMRESSTRC100])</f>
        <v>0</v>
      </c>
      <c r="AO521" s="261">
        <f>FMS_Ranking4[[#This Row],[ArcSinh Res struct removed 0-10]]*AN$5*10</f>
        <v>0</v>
      </c>
      <c r="AP521" s="260">
        <f>ASINH(FMS_Ranking4[[#This Row],[Residential Structures Removed Raw]])/AP$4*AN$5*100</f>
        <v>0</v>
      </c>
      <c r="AQ521" s="254">
        <f>(ASINH(FMS_Ranking4[[#This Row],[Residential Structures Removed Raw]]))*(10)/(ASINH(AN$4))</f>
        <v>0</v>
      </c>
      <c r="AR521" s="253">
        <f>_xlfn.XLOOKUP(FMS_Ranking4[[#This Row],[FMS ID]],FMS_Input[FMS_ID],FMS_Input[REMPOP100])</f>
        <v>0</v>
      </c>
      <c r="AS521" s="259">
        <f>(ASINH(FMS_Ranking4[[#This Row],[Removed Pop Raw]]))*(10)/(ASINH(AR$4))</f>
        <v>0</v>
      </c>
      <c r="AT521" s="262">
        <f>FMS_Ranking4[[#This Row],[Removed population, ArcSinh (0-10)]]*AR$5*10</f>
        <v>0</v>
      </c>
      <c r="AU521" s="264">
        <f>_xlfn.XLOOKUP(FMS_Ranking4[[#This Row],[FMS ID]],FMS_Input[FMS_ID],FMS_Input[REMCRITFAC100])</f>
        <v>0</v>
      </c>
      <c r="AV521" s="264">
        <f>_xlfn.XLOOKUP(FMS_Ranking4[[#This Row],[FMS ID]],FMS_Input[FMS_ID],FMS_Input[REMLWC100])</f>
        <v>0</v>
      </c>
      <c r="AW521" s="264">
        <f>_xlfn.XLOOKUP(FMS_Ranking4[[#This Row],[FMS ID]],FMS_Input[FMS_ID],FMS_Input[REMROADCLS])</f>
        <v>0</v>
      </c>
      <c r="AX521" s="264">
        <f>_xlfn.XLOOKUP(FMS_Ranking4[[#This Row],[FMS ID]],FMS_Input[FMS_ID],FMS_Input[REMFRMACRE100])</f>
        <v>0</v>
      </c>
      <c r="AY521" s="258">
        <f>_xlfn.XLOOKUP(FMS_Ranking4[[#This Row],[FMS ID]],FMS_Input[FMS_ID],FMS_Input[COSTSTRUCT])</f>
        <v>0</v>
      </c>
      <c r="AZ521" s="253">
        <f>_xlfn.XLOOKUP(FMS_Ranking4[[#This Row],[FMS ID]],FMS_Input[FMS_ID],FMS_Input[NATURE])</f>
        <v>0</v>
      </c>
      <c r="BA521" s="262">
        <f>(((FMS_Ranking4[[#This Row],[% NBS Raw]]/AZ$4)*100)*AZ$5)</f>
        <v>0</v>
      </c>
      <c r="BB521" s="251" t="str">
        <f>_xlfn.XLOOKUP(FMS_Ranking4[[#This Row],[FMS ID]],FMS_Input[FMS_ID],FMS_Input[WATER_SUP])</f>
        <v>No</v>
      </c>
      <c r="BC521" s="265">
        <f>IF(FMS_Ranking4[[#This Row],[Water Supply Raw]]="Yes",10,0)</f>
        <v>0</v>
      </c>
      <c r="BD521" s="266">
        <f>_xlfn.XLOOKUP(FMS_Ranking4[[#This Row],[FMS Type]],FMS_TYPE[FMS_Type],FMS_TYPE[Score])</f>
        <v>6</v>
      </c>
      <c r="BE521" s="267">
        <f>FMS_Ranking4[[#This Row],[FMS_Type Score]]*$BD$5*10</f>
        <v>1.5000000000000002</v>
      </c>
      <c r="BF52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5.3542733631964337E-2</v>
      </c>
      <c r="BG521" s="271">
        <f>_xlfn.RANK.EQ(BF521,$BF$8:$BF$870,0)+COUNTIF($BF$8:BF521,BF521)-1</f>
        <v>549</v>
      </c>
      <c r="BH521" s="268">
        <f>(((FMS_Ranking4[[#This Row],[Structures Removed Raw]]/AK$4)*100)*AK$5)+(((FMS_Ranking4[[#This Row],[Removed Pop Raw]]/AR$4)*100)*AR$5)</f>
        <v>0</v>
      </c>
      <c r="BI52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1.5535427336319645</v>
      </c>
      <c r="BJ521" s="205">
        <f>_xlfn.RANK.EQ(FMS_Ranking4[[#This Row],[Total Score 
(with linear
normalization)]],FMS_Ranking4[Total Score 
(with linear
normalization)],0)</f>
        <v>579</v>
      </c>
      <c r="BK521" s="205" t="e">
        <f>_xlfn.XLOOKUP(FMS_Ranking4[[#This Row],[FMS ID]],#REF!,#REF!)</f>
        <v>#REF!</v>
      </c>
      <c r="BL52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16.837065960648996</v>
      </c>
      <c r="BM521" s="272">
        <f>FMS_Ranking4[[#This Row],[ArcSinh Score Based on Normalized Reported Factors]]+FMS_Ranking4[[#This Row],[% NBS Score (Normalized)]]+(FMS_Ranking4[[#This Row],[Water Supply Score (Normalized)]]*10*$BB$5)+FMS_Ranking4[[#This Row],[FMS_Type Score Weighted]]</f>
        <v>18.337065960648996</v>
      </c>
      <c r="BN521" s="205">
        <f>_xlfn.RANK.EQ(FMS_Ranking4[[#This Row],[Total Score (with ArcSinh normalization of select criteria)]],FMS_Ranking4[Total Score (with ArcSinh normalization of select criteria)],0)</f>
        <v>514</v>
      </c>
      <c r="BO521" s="270" t="str">
        <f>_xlfn.XLOOKUP(FMS_Ranking4[[#This Row],[FMS ID]],FMS_Input[FMS_ID],FMS_Input[FMS_RANK_YEAR])</f>
        <v>2023 Amended Plan</v>
      </c>
      <c r="BP521" s="204">
        <f>_xlfn.XLOOKUP(FMS_Ranking4[[#This Row],[FMS ID]],Prev_Rank[FMS ID],Prev_Rank[Prev Rank])</f>
        <v>459</v>
      </c>
      <c r="BQ521" s="205" t="e">
        <f>_xlfn.XLOOKUP(FMS_Ranking4[[#This Row],[FMS ID]],#REF!,#REF!)</f>
        <v>#REF!</v>
      </c>
      <c r="BR521" s="199" t="e">
        <f>SUM(#REF!,#REF!,#REF!,#REF!,#REF!,#REF!,#REF!,#REF!,#REF!,FMS_Ranking4[[#This Row],[ArcSinh Res struct removed 0-10]],#REF!)</f>
        <v>#REF!</v>
      </c>
      <c r="BS521" s="199" t="e">
        <f>FMS_Ranking4[[#This Row],[Log Score Based on Normalized Reported Factors]]+FMS_Ranking4[[#This Row],[% NBS Score (Normalized)]]+(FMS_Ranking4[[#This Row],[Water Supply Score (Normalized)]]*10*$BB$5)+(FMS_Ranking4[[#This Row],[FMS_Type Score Weighted]])</f>
        <v>#REF!</v>
      </c>
      <c r="BT521" s="200" t="e">
        <f>_xlfn.RANK.EQ(FMS_Ranking4[[#This Row],[Log Total Score]],FMS_Ranking4[Log Total Score],0)</f>
        <v>#REF!</v>
      </c>
      <c r="BU521" s="200" t="e">
        <f>_xlfn.XLOOKUP(FMS_Ranking4[[#This Row],[FMS ID]],#REF!,#REF!)</f>
        <v>#REF!</v>
      </c>
      <c r="BV521" s="200">
        <f>FMS_Ranking4[[#This Row],[Region Number]]</f>
        <v>3</v>
      </c>
      <c r="BW521" s="200">
        <f>FMS_Ranking4[[#This Row],[Rank (with ArcSinh normalization of select criteria)]]-FMS_Ranking4[[#This Row],[Rank
(with linear
normalization)]]</f>
        <v>-65</v>
      </c>
      <c r="BX521" s="200" t="e">
        <f>FMS_Ranking4[[#This Row],[Log Rank]]-FMS_Ranking4[[#This Row],[Rank
(with linear
normalization)]]</f>
        <v>#REF!</v>
      </c>
      <c r="BY521" s="200" t="str">
        <f>IF(FMS_Ranking4[[#This Row],[FMS Type]]="Flood Measurement and Warning",FMS_Ranking4[[#This Row],[Rank (with ArcSinh normalization of select criteria)]],"")</f>
        <v/>
      </c>
      <c r="BZ521" s="200" t="str">
        <f>IF(FMS_Ranking4[[#This Row],[FMS Type]]="Regulatory and Guidance",FMS_Ranking4[[#This Row],[Rank (with ArcSinh normalization of select criteria)]],"")</f>
        <v/>
      </c>
      <c r="CA521" s="200">
        <f>IF(FMS_Ranking4[[#This Row],[FMS Type]]="Education and Outreach",FMS_Ranking4[[#This Row],[Rank (with ArcSinh normalization of select criteria)]],"")</f>
        <v>514</v>
      </c>
      <c r="CB521" s="200" t="str">
        <f>IF(FMS_Ranking4[[#This Row],[FMS Type]]="Property Acquisition and Structural Elevation",FMS_Ranking4[[#This Row],[Rank (with ArcSinh normalization of select criteria)]],"")</f>
        <v/>
      </c>
      <c r="CC521" s="200" t="str">
        <f>IF(FMS_Ranking4[[#This Row],[FMS Type]]="Infrastructure Projects",FMS_Ranking4[[#This Row],[Rank (with ArcSinh normalization of select criteria)]],"")</f>
        <v/>
      </c>
      <c r="CD521" s="200" t="str">
        <f>IF(FMS_Ranking4[[#This Row],[FMS Type]]="Other",FMS_Ranking4[[#This Row],[Rank (with ArcSinh normalization of select criteria)]],"")</f>
        <v/>
      </c>
      <c r="CE521" s="201"/>
      <c r="CF521" s="206"/>
      <c r="CG521" s="206"/>
      <c r="CH521" s="206"/>
      <c r="CI521" s="206"/>
      <c r="CJ521" s="206"/>
      <c r="CK521" s="206"/>
      <c r="CL521" s="206"/>
      <c r="CM521" s="206"/>
      <c r="CN521" s="206"/>
      <c r="CO521" s="206"/>
      <c r="CP521" s="206"/>
      <c r="CQ521" s="206"/>
      <c r="CR521" s="206"/>
    </row>
    <row r="522" spans="2:96" ht="60" x14ac:dyDescent="0.25">
      <c r="B522" s="341" t="s">
        <v>12810</v>
      </c>
      <c r="C522" s="246">
        <f>_xlfn.XLOOKUP(FMS_Ranking4[[#This Row],[FMS ID]],FMS_Input[FMS_ID],FMS_Input[RFPG_NUM])</f>
        <v>3</v>
      </c>
      <c r="D522" s="309" t="str">
        <f>_xlfn.XLOOKUP(FMS_Ranking4[[#This Row],[FMS ID]],FMS_Input[FMS_ID],FMS_Input[FMS_NAME])</f>
        <v>Flood Model and Map Management System</v>
      </c>
      <c r="E522" s="308" t="str">
        <f>_xlfn.XLOOKUP(FMS_Ranking4[[#This Row],[FMS ID]],FMS_Input[FMS_ID],FMS_Input[SPONSOR])</f>
        <v>00000013</v>
      </c>
      <c r="F522" s="309" t="str">
        <f>_xlfn.XLOOKUP(FMS_Ranking4[[#This Row],[FMS ID]],Sponsor[FMS_ID],Sponsor[SPONSOR NAME])</f>
        <v>Chambers</v>
      </c>
      <c r="G522" s="309" t="str">
        <f>_xlfn.XLOOKUP(FMS_Ranking4[[#This Row],[FMS ID]],FMS_Input[FMS_ID],FMS_Input[FMS_DESCR])</f>
        <v>Develop and implement a web-based system to manage flood models and mapping and regulate future development.</v>
      </c>
      <c r="H522" s="248" t="str">
        <f>_xlfn.XLOOKUP(FMS_Ranking4[[#This Row],[FMS ID]],FMS_Input[FMS_ID],FMS_Input[FMS_TYPE])</f>
        <v>Flood Measurement and Warning</v>
      </c>
      <c r="I522" s="249">
        <f>_xlfn.XLOOKUP(FMS_Ranking4[[#This Row],[FMS ID]],FMS_Input[FMS_ID],FMS_Input[NRNC_COST])</f>
        <v>102000</v>
      </c>
      <c r="J522" s="250">
        <f>_xlfn.XLOOKUP(FMS_Ranking4[[#This Row],[FMS ID]],FMS_Input[FMS_ID],FMS_Input[FMS_COST])</f>
        <v>102000</v>
      </c>
      <c r="K522" s="251" t="str">
        <f>_xlfn.XLOOKUP(FMS_Ranking4[[#This Row],[FMS ID]],FMS_Input[FMS_ID],FMS_Input[EMER_NEED])</f>
        <v>No</v>
      </c>
      <c r="L522" s="252">
        <f t="shared" si="8"/>
        <v>0</v>
      </c>
      <c r="M522" s="253">
        <f>_xlfn.XLOOKUP(FMS_Ranking4[[#This Row],[FMS ID]],FMS_Input[FMS_ID],FMS_Input[STRUCT_100])</f>
        <v>1471</v>
      </c>
      <c r="N522" s="255">
        <f>(ASINH(FMS_Ranking4[[#This Row],[Structure at Risk Raw]]))*(10)/(ASINH(M$4))</f>
        <v>6.2788493728401242</v>
      </c>
      <c r="O522" s="256">
        <f>FMS_Ranking4[[#This Row],[Structures at risk, ArcSinh (0-10)]]*M$5*10</f>
        <v>6.2788493728401251</v>
      </c>
      <c r="P522" s="253">
        <f>_xlfn.XLOOKUP(FMS_Ranking4[[#This Row],[FMS ID]],FMS_Input[FMS_ID],FMS_Input[RES_STRUCT100])</f>
        <v>832</v>
      </c>
      <c r="Q522" s="257">
        <f>ASINH(FMS_Ranking4[[#This Row],[Res Structure Raw]])/Q$4*P$5*100</f>
        <v>0</v>
      </c>
      <c r="R522" s="253">
        <f>_xlfn.XLOOKUP(FMS_Ranking4[[#This Row],[FMS ID]],FMS_Input[FMS_ID],FMS_Input[POP100])</f>
        <v>0</v>
      </c>
      <c r="S522" s="259">
        <f>(ASINH(FMS_Ranking4[[#This Row],[Pop at Risk Raw]]))*(10)/(ASINH(R$4))</f>
        <v>0</v>
      </c>
      <c r="T522" s="256">
        <f>FMS_Ranking4[[#This Row],[Population at risk, ArcSinh (0-10)]]*R$5*10</f>
        <v>0</v>
      </c>
      <c r="U522" s="253">
        <f>_xlfn.XLOOKUP(FMS_Ranking4[[#This Row],[FMS ID]],FMS_Input[FMS_ID],FMS_Input[CRITFAC100])</f>
        <v>3</v>
      </c>
      <c r="V522" s="259">
        <f>(ASINH(FMS_Ranking4[[#This Row],[Critical Facilities Raw]]))*(10)/(ASINH(U$4))</f>
        <v>2.152611706646717</v>
      </c>
      <c r="W522" s="256">
        <f>FMS_Ranking4[[#This Row],[Critical facilities at risk, ArcSinh (0-10)]]*U$5*10</f>
        <v>2.152611706646717</v>
      </c>
      <c r="X522" s="253">
        <f>_xlfn.XLOOKUP(FMS_Ranking4[[#This Row],[FMS ID]],FMS_Input[FMS_ID],FMS_Input[LWC])</f>
        <v>0</v>
      </c>
      <c r="Y522" s="259">
        <f>(ASINH(FMS_Ranking4[[#This Row],[LWC Raw]]))*(10)/(ASINH(X$4))</f>
        <v>0</v>
      </c>
      <c r="Z522" s="256">
        <f>FMS_Ranking4[[#This Row],[LWC, ArcSInh (0-10)]]*X$5*10</f>
        <v>0</v>
      </c>
      <c r="AA522" s="253">
        <f>_xlfn.XLOOKUP(FMS_Ranking4[[#This Row],[FMS ID]],FMS_Input[FMS_ID],FMS_Input[ROADCLS])</f>
        <v>0</v>
      </c>
      <c r="AB522" s="255">
        <f>(ASINH(FMS_Ranking4[[#This Row],[Road Closures Raw]]))*(10)/(ASINH(AA$4))</f>
        <v>0</v>
      </c>
      <c r="AC522" s="256">
        <f>FMS_Ranking4[[#This Row],[Road closures, ArcSinh (0-10)]]*AA$5*10</f>
        <v>0</v>
      </c>
      <c r="AD522" s="253">
        <f>_xlfn.XLOOKUP(FMS_Ranking4[[#This Row],[FMS ID]],FMS_Input[FMS_ID],FMS_Input[ROAD_MILES100])</f>
        <v>29</v>
      </c>
      <c r="AE522" s="259">
        <f>(ASINH(FMS_Ranking4[[#This Row],[Road Miles Raw]]))*(10)/(ASINH(AD$4))</f>
        <v>4.3276317846410652</v>
      </c>
      <c r="AF522" s="256">
        <f>FMS_Ranking4[[#This Row],[Length of roads at risk, ArcSinh (0-10)]]*AD$5*10</f>
        <v>4.3276317846410652</v>
      </c>
      <c r="AG522" s="253">
        <f>_xlfn.XLOOKUP(FMS_Ranking4[[#This Row],[FMS ID]],FMS_Input[FMS_ID],FMS_Input[FARMACRE100])</f>
        <v>5696.05517578125</v>
      </c>
      <c r="AH522" s="255">
        <f>(ASINH(FMS_Ranking4[[#This Row],[Ag Land Raw]]))*(10)/(ASINH(AG$4))</f>
        <v>6.0675302535873934</v>
      </c>
      <c r="AI522" s="260">
        <f>FMS_Ranking4[[#This Row],[Farm &amp; ranch land, ArcSinh (0-10)]]*AG$5*10</f>
        <v>3.0337651267936971</v>
      </c>
      <c r="AJ522" s="258">
        <f>_xlfn.XLOOKUP(FMS_Ranking4[[#This Row],[FMS ID]],FMS_Input[FMS_ID],FMS_Input[REDSTRUCT100])</f>
        <v>0</v>
      </c>
      <c r="AK522" s="253">
        <f>_xlfn.XLOOKUP(FMS_Ranking4[[#This Row],[FMS ID]],FMS_Input[FMS_ID],FMS_Input[REMSTRC100])</f>
        <v>0</v>
      </c>
      <c r="AL522" s="259">
        <f>(ASINH(FMS_Ranking4[[#This Row],[Structures Removed Raw]]))*(10)/(ASINH(AK$4))</f>
        <v>0</v>
      </c>
      <c r="AM522" s="262">
        <f>FMS_Ranking4[[#This Row],[Structures removed, ArcSinh (0-10)]]*AK$5*10</f>
        <v>0</v>
      </c>
      <c r="AN522" s="253">
        <f>_xlfn.XLOOKUP(FMS_Ranking4[[#This Row],[FMS ID]],FMS_Input[FMS_ID],FMS_Input[REMRESSTRC100])</f>
        <v>0</v>
      </c>
      <c r="AO522" s="261">
        <f>FMS_Ranking4[[#This Row],[ArcSinh Res struct removed 0-10]]*AN$5*10</f>
        <v>0</v>
      </c>
      <c r="AP522" s="260">
        <f>ASINH(FMS_Ranking4[[#This Row],[Residential Structures Removed Raw]])/AP$4*AN$5*100</f>
        <v>0</v>
      </c>
      <c r="AQ522" s="254">
        <f>(ASINH(FMS_Ranking4[[#This Row],[Residential Structures Removed Raw]]))*(10)/(ASINH(AN$4))</f>
        <v>0</v>
      </c>
      <c r="AR522" s="253">
        <f>_xlfn.XLOOKUP(FMS_Ranking4[[#This Row],[FMS ID]],FMS_Input[FMS_ID],FMS_Input[REMPOP100])</f>
        <v>0</v>
      </c>
      <c r="AS522" s="259">
        <f>(ASINH(FMS_Ranking4[[#This Row],[Removed Pop Raw]]))*(10)/(ASINH(AR$4))</f>
        <v>0</v>
      </c>
      <c r="AT522" s="262">
        <f>FMS_Ranking4[[#This Row],[Removed population, ArcSinh (0-10)]]*AR$5*10</f>
        <v>0</v>
      </c>
      <c r="AU522" s="264">
        <f>_xlfn.XLOOKUP(FMS_Ranking4[[#This Row],[FMS ID]],FMS_Input[FMS_ID],FMS_Input[REMCRITFAC100])</f>
        <v>0</v>
      </c>
      <c r="AV522" s="264">
        <f>_xlfn.XLOOKUP(FMS_Ranking4[[#This Row],[FMS ID]],FMS_Input[FMS_ID],FMS_Input[REMLWC100])</f>
        <v>0</v>
      </c>
      <c r="AW522" s="264">
        <f>_xlfn.XLOOKUP(FMS_Ranking4[[#This Row],[FMS ID]],FMS_Input[FMS_ID],FMS_Input[REMROADCLS])</f>
        <v>0</v>
      </c>
      <c r="AX522" s="264">
        <f>_xlfn.XLOOKUP(FMS_Ranking4[[#This Row],[FMS ID]],FMS_Input[FMS_ID],FMS_Input[REMFRMACRE100])</f>
        <v>0</v>
      </c>
      <c r="AY522" s="258">
        <f>_xlfn.XLOOKUP(FMS_Ranking4[[#This Row],[FMS ID]],FMS_Input[FMS_ID],FMS_Input[COSTSTRUCT])</f>
        <v>0</v>
      </c>
      <c r="AZ522" s="253">
        <f>_xlfn.XLOOKUP(FMS_Ranking4[[#This Row],[FMS ID]],FMS_Input[FMS_ID],FMS_Input[NATURE])</f>
        <v>0</v>
      </c>
      <c r="BA522" s="262">
        <f>(((FMS_Ranking4[[#This Row],[% NBS Raw]]/AZ$4)*100)*AZ$5)</f>
        <v>0</v>
      </c>
      <c r="BB522" s="251" t="str">
        <f>_xlfn.XLOOKUP(FMS_Ranking4[[#This Row],[FMS ID]],FMS_Input[FMS_ID],FMS_Input[WATER_SUP])</f>
        <v>No</v>
      </c>
      <c r="BC522" s="265">
        <f>IF(FMS_Ranking4[[#This Row],[Water Supply Raw]]="Yes",10,0)</f>
        <v>0</v>
      </c>
      <c r="BD522" s="266">
        <f>_xlfn.XLOOKUP(FMS_Ranking4[[#This Row],[FMS Type]],FMS_TYPE[FMS_Type],FMS_TYPE[Score])</f>
        <v>10</v>
      </c>
      <c r="BE522" s="352">
        <f>FMS_Ranking4[[#This Row],[FMS_Type Score]]*$BD$5*10</f>
        <v>2.5</v>
      </c>
      <c r="BF52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0.16136302155386462</v>
      </c>
      <c r="BG522" s="271">
        <f>_xlfn.RANK.EQ(BF522,$BF$8:$BF$870,0)+COUNTIF($BF$8:BF522,BF522)-1</f>
        <v>390</v>
      </c>
      <c r="BH522" s="268">
        <f>(((FMS_Ranking4[[#This Row],[Structures Removed Raw]]/AK$4)*100)*AK$5)+(((FMS_Ranking4[[#This Row],[Removed Pop Raw]]/AR$4)*100)*AR$5)</f>
        <v>0</v>
      </c>
      <c r="BI52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2.6613630215538646</v>
      </c>
      <c r="BJ522" s="205">
        <f>_xlfn.RANK.EQ(FMS_Ranking4[[#This Row],[Total Score 
(with linear
normalization)]],FMS_Ranking4[Total Score 
(with linear
normalization)],0)</f>
        <v>213</v>
      </c>
      <c r="BK522" s="205" t="e">
        <f>_xlfn.XLOOKUP(FMS_Ranking4[[#This Row],[FMS ID]],#REF!,#REF!)</f>
        <v>#REF!</v>
      </c>
      <c r="BL52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15.792857990921604</v>
      </c>
      <c r="BM522" s="272">
        <f>FMS_Ranking4[[#This Row],[ArcSinh Score Based on Normalized Reported Factors]]+FMS_Ranking4[[#This Row],[% NBS Score (Normalized)]]+(FMS_Ranking4[[#This Row],[Water Supply Score (Normalized)]]*10*$BB$5)+FMS_Ranking4[[#This Row],[FMS_Type Score Weighted]]</f>
        <v>18.292857990921604</v>
      </c>
      <c r="BN522" s="205">
        <f>_xlfn.RANK.EQ(FMS_Ranking4[[#This Row],[Total Score (with ArcSinh normalization of select criteria)]],FMS_Ranking4[Total Score (with ArcSinh normalization of select criteria)],0)</f>
        <v>515</v>
      </c>
      <c r="BO522" s="270" t="str">
        <f>_xlfn.XLOOKUP(FMS_Ranking4[[#This Row],[FMS ID]],FMS_Input[FMS_ID],FMS_Input[FMS_RANK_YEAR])</f>
        <v>2025 Amended Plan</v>
      </c>
      <c r="BP522" s="204" t="e">
        <f>_xlfn.XLOOKUP(FMS_Ranking4[[#This Row],[FMS ID]],Prev_Rank[FMS ID],Prev_Rank[Prev Rank])</f>
        <v>#N/A</v>
      </c>
      <c r="BQ522" s="205" t="e">
        <f>_xlfn.XLOOKUP(FMS_Ranking4[[#This Row],[FMS ID]],#REF!,#REF!)</f>
        <v>#REF!</v>
      </c>
      <c r="BR522" s="199" t="e">
        <f>SUM(#REF!,#REF!,#REF!,#REF!,#REF!,#REF!,#REF!,#REF!,#REF!,FMS_Ranking4[[#This Row],[ArcSinh Res struct removed 0-10]],#REF!)</f>
        <v>#REF!</v>
      </c>
      <c r="BS522" s="199" t="e">
        <f>FMS_Ranking4[[#This Row],[Log Score Based on Normalized Reported Factors]]+FMS_Ranking4[[#This Row],[% NBS Score (Normalized)]]+(FMS_Ranking4[[#This Row],[Water Supply Score (Normalized)]]*10*$BB$5)+(FMS_Ranking4[[#This Row],[FMS_Type Score Weighted]])</f>
        <v>#REF!</v>
      </c>
      <c r="BT522" s="200" t="e">
        <f>_xlfn.RANK.EQ(FMS_Ranking4[[#This Row],[Log Total Score]],FMS_Ranking4[Log Total Score],0)</f>
        <v>#REF!</v>
      </c>
      <c r="BU522" s="200" t="e">
        <f>_xlfn.XLOOKUP(FMS_Ranking4[[#This Row],[FMS ID]],#REF!,#REF!)</f>
        <v>#REF!</v>
      </c>
      <c r="BV522" s="200">
        <f>FMS_Ranking4[[#This Row],[Region Number]]</f>
        <v>3</v>
      </c>
      <c r="BW522" s="200">
        <f>FMS_Ranking4[[#This Row],[Rank (with ArcSinh normalization of select criteria)]]-FMS_Ranking4[[#This Row],[Rank
(with linear
normalization)]]</f>
        <v>302</v>
      </c>
      <c r="BX522" s="200" t="e">
        <f>FMS_Ranking4[[#This Row],[Log Rank]]-FMS_Ranking4[[#This Row],[Rank
(with linear
normalization)]]</f>
        <v>#REF!</v>
      </c>
      <c r="BY522" s="200">
        <f>IF(FMS_Ranking4[[#This Row],[FMS Type]]="Flood Measurement and Warning",FMS_Ranking4[[#This Row],[Rank (with ArcSinh normalization of select criteria)]],"")</f>
        <v>515</v>
      </c>
      <c r="BZ522" s="200" t="str">
        <f>IF(FMS_Ranking4[[#This Row],[FMS Type]]="Regulatory and Guidance",FMS_Ranking4[[#This Row],[Rank (with ArcSinh normalization of select criteria)]],"")</f>
        <v/>
      </c>
      <c r="CA522" s="200" t="str">
        <f>IF(FMS_Ranking4[[#This Row],[FMS Type]]="Education and Outreach",FMS_Ranking4[[#This Row],[Rank (with ArcSinh normalization of select criteria)]],"")</f>
        <v/>
      </c>
      <c r="CB522" s="200" t="str">
        <f>IF(FMS_Ranking4[[#This Row],[FMS Type]]="Property Acquisition and Structural Elevation",FMS_Ranking4[[#This Row],[Rank (with ArcSinh normalization of select criteria)]],"")</f>
        <v/>
      </c>
      <c r="CC522" s="200" t="str">
        <f>IF(FMS_Ranking4[[#This Row],[FMS Type]]="Infrastructure Projects",FMS_Ranking4[[#This Row],[Rank (with ArcSinh normalization of select criteria)]],"")</f>
        <v/>
      </c>
      <c r="CD522" s="200" t="str">
        <f>IF(FMS_Ranking4[[#This Row],[FMS Type]]="Other",FMS_Ranking4[[#This Row],[Rank (with ArcSinh normalization of select criteria)]],"")</f>
        <v/>
      </c>
      <c r="CE522" s="201"/>
      <c r="CF522" s="206"/>
      <c r="CG522" s="206"/>
      <c r="CH522" s="206"/>
      <c r="CI522" s="206"/>
      <c r="CJ522" s="206"/>
      <c r="CK522" s="206"/>
      <c r="CL522" s="206"/>
      <c r="CM522" s="206"/>
      <c r="CN522" s="206"/>
      <c r="CO522" s="206"/>
      <c r="CP522" s="206"/>
      <c r="CQ522" s="206"/>
      <c r="CR522" s="206"/>
    </row>
    <row r="523" spans="2:96" ht="75" x14ac:dyDescent="0.25">
      <c r="B523" s="341" t="s">
        <v>4579</v>
      </c>
      <c r="C523" s="246">
        <f>_xlfn.XLOOKUP(FMS_Ranking4[[#This Row],[FMS ID]],FMS_Input[FMS_ID],FMS_Input[RFPG_NUM])</f>
        <v>4</v>
      </c>
      <c r="D523" s="309" t="str">
        <f>_xlfn.XLOOKUP(FMS_Ranking4[[#This Row],[FMS ID]],FMS_Input[FMS_ID],FMS_Input[FMS_NAME])</f>
        <v>Kaufman County Regulation Standards to Protect Open Space Flood-Prone Areas</v>
      </c>
      <c r="E523" s="308" t="str">
        <f>_xlfn.XLOOKUP(FMS_Ranking4[[#This Row],[FMS ID]],FMS_Input[FMS_ID],FMS_Input[SPONSOR])</f>
        <v>00000108</v>
      </c>
      <c r="F523" s="309" t="str">
        <f>_xlfn.XLOOKUP(FMS_Ranking4[[#This Row],[FMS ID]],Sponsor[FMS_ID],Sponsor[SPONSOR NAME])</f>
        <v>Kaufman</v>
      </c>
      <c r="G523" s="309" t="str">
        <f>_xlfn.XLOOKUP(FMS_Ranking4[[#This Row],[FMS ID]],FMS_Input[FMS_ID],FMS_Input[FMS_DESCR])</f>
        <v>Conduct program in conjunction with local communities to incorporate regulatory standards to protect open space flood-prone areas</v>
      </c>
      <c r="H523" s="248" t="str">
        <f>_xlfn.XLOOKUP(FMS_Ranking4[[#This Row],[FMS ID]],FMS_Input[FMS_ID],FMS_Input[FMS_TYPE])</f>
        <v>Regulatory and Guidance</v>
      </c>
      <c r="I523" s="249">
        <f>_xlfn.XLOOKUP(FMS_Ranking4[[#This Row],[FMS ID]],FMS_Input[FMS_ID],FMS_Input[NRNC_COST])</f>
        <v>100000</v>
      </c>
      <c r="J523" s="250">
        <f>_xlfn.XLOOKUP(FMS_Ranking4[[#This Row],[FMS ID]],FMS_Input[FMS_ID],FMS_Input[FMS_COST])</f>
        <v>100000</v>
      </c>
      <c r="K523" s="251" t="str">
        <f>_xlfn.XLOOKUP(FMS_Ranking4[[#This Row],[FMS ID]],FMS_Input[FMS_ID],FMS_Input[EMER_NEED])</f>
        <v>No</v>
      </c>
      <c r="L523" s="252">
        <f t="shared" si="8"/>
        <v>0</v>
      </c>
      <c r="M523" s="253">
        <f>_xlfn.XLOOKUP(FMS_Ranking4[[#This Row],[FMS ID]],FMS_Input[FMS_ID],FMS_Input[STRUCT_100])</f>
        <v>79</v>
      </c>
      <c r="N523" s="255">
        <f>(ASINH(FMS_Ranking4[[#This Row],[Structure at Risk Raw]]))*(10)/(ASINH(M$4))</f>
        <v>3.9799849731225856</v>
      </c>
      <c r="O523" s="256">
        <f>FMS_Ranking4[[#This Row],[Structures at risk, ArcSinh (0-10)]]*M$5*10</f>
        <v>3.9799849731225856</v>
      </c>
      <c r="P523" s="253">
        <f>_xlfn.XLOOKUP(FMS_Ranking4[[#This Row],[FMS ID]],FMS_Input[FMS_ID],FMS_Input[RES_STRUCT100])</f>
        <v>58</v>
      </c>
      <c r="Q523" s="257">
        <f>ASINH(FMS_Ranking4[[#This Row],[Res Structure Raw]])/Q$4*P$5*100</f>
        <v>0</v>
      </c>
      <c r="R523" s="253">
        <f>_xlfn.XLOOKUP(FMS_Ranking4[[#This Row],[FMS ID]],FMS_Input[FMS_ID],FMS_Input[POP100])</f>
        <v>100</v>
      </c>
      <c r="S523" s="259">
        <f>(ASINH(FMS_Ranking4[[#This Row],[Pop at Risk Raw]]))*(10)/(ASINH(R$4))</f>
        <v>3.657754193512468</v>
      </c>
      <c r="T523" s="256">
        <f>FMS_Ranking4[[#This Row],[Population at risk, ArcSinh (0-10)]]*R$5*10</f>
        <v>3.657754193512468</v>
      </c>
      <c r="U523" s="253">
        <f>_xlfn.XLOOKUP(FMS_Ranking4[[#This Row],[FMS ID]],FMS_Input[FMS_ID],FMS_Input[CRITFAC100])</f>
        <v>0</v>
      </c>
      <c r="V523" s="259">
        <f>(ASINH(FMS_Ranking4[[#This Row],[Critical Facilities Raw]]))*(10)/(ASINH(U$4))</f>
        <v>0</v>
      </c>
      <c r="W523" s="256">
        <f>FMS_Ranking4[[#This Row],[Critical facilities at risk, ArcSinh (0-10)]]*U$5*10</f>
        <v>0</v>
      </c>
      <c r="X523" s="253">
        <f>_xlfn.XLOOKUP(FMS_Ranking4[[#This Row],[FMS ID]],FMS_Input[FMS_ID],FMS_Input[LWC])</f>
        <v>3</v>
      </c>
      <c r="Y523" s="259">
        <f>(ASINH(FMS_Ranking4[[#This Row],[LWC Raw]]))*(10)/(ASINH(X$4))</f>
        <v>2.4635181155638843</v>
      </c>
      <c r="Z523" s="256">
        <f>FMS_Ranking4[[#This Row],[LWC, ArcSInh (0-10)]]*X$5*10</f>
        <v>2.4635181155638843</v>
      </c>
      <c r="AA523" s="253">
        <f>_xlfn.XLOOKUP(FMS_Ranking4[[#This Row],[FMS ID]],FMS_Input[FMS_ID],FMS_Input[ROADCLS])</f>
        <v>3</v>
      </c>
      <c r="AB523" s="255">
        <f>(ASINH(FMS_Ranking4[[#This Row],[Road Closures Raw]]))*(10)/(ASINH(AA$4))</f>
        <v>1.8937450846072912</v>
      </c>
      <c r="AC523" s="256">
        <f>FMS_Ranking4[[#This Row],[Road closures, ArcSinh (0-10)]]*AA$5*10</f>
        <v>0.94687254230364559</v>
      </c>
      <c r="AD523" s="253">
        <f>_xlfn.XLOOKUP(FMS_Ranking4[[#This Row],[FMS ID]],FMS_Input[FMS_ID],FMS_Input[ROAD_MILES100])</f>
        <v>5</v>
      </c>
      <c r="AE523" s="259">
        <f>(ASINH(FMS_Ranking4[[#This Row],[Road Miles Raw]]))*(10)/(ASINH(AD$4))</f>
        <v>2.4644230639487872</v>
      </c>
      <c r="AF523" s="256">
        <f>FMS_Ranking4[[#This Row],[Length of roads at risk, ArcSinh (0-10)]]*AD$5*10</f>
        <v>2.4644230639487876</v>
      </c>
      <c r="AG523" s="253">
        <f>_xlfn.XLOOKUP(FMS_Ranking4[[#This Row],[FMS ID]],FMS_Input[FMS_ID],FMS_Input[FARMACRE100])</f>
        <v>2566.5</v>
      </c>
      <c r="AH523" s="255">
        <f>(ASINH(FMS_Ranking4[[#This Row],[Ag Land Raw]]))*(10)/(ASINH(AG$4))</f>
        <v>5.5496639461986454</v>
      </c>
      <c r="AI523" s="260">
        <f>FMS_Ranking4[[#This Row],[Farm &amp; ranch land, ArcSinh (0-10)]]*AG$5*10</f>
        <v>2.7748319730993227</v>
      </c>
      <c r="AJ523" s="258">
        <f>_xlfn.XLOOKUP(FMS_Ranking4[[#This Row],[FMS ID]],FMS_Input[FMS_ID],FMS_Input[REDSTRUCT100])</f>
        <v>0</v>
      </c>
      <c r="AK523" s="253">
        <f>_xlfn.XLOOKUP(FMS_Ranking4[[#This Row],[FMS ID]],FMS_Input[FMS_ID],FMS_Input[REMSTRC100])</f>
        <v>0</v>
      </c>
      <c r="AL523" s="259">
        <f>(ASINH(FMS_Ranking4[[#This Row],[Structures Removed Raw]]))*(10)/(ASINH(AK$4))</f>
        <v>0</v>
      </c>
      <c r="AM523" s="262">
        <f>FMS_Ranking4[[#This Row],[Structures removed, ArcSinh (0-10)]]*AK$5*10</f>
        <v>0</v>
      </c>
      <c r="AN523" s="253">
        <f>_xlfn.XLOOKUP(FMS_Ranking4[[#This Row],[FMS ID]],FMS_Input[FMS_ID],FMS_Input[REMRESSTRC100])</f>
        <v>0</v>
      </c>
      <c r="AO523" s="261">
        <f>FMS_Ranking4[[#This Row],[ArcSinh Res struct removed 0-10]]*AN$5*10</f>
        <v>0</v>
      </c>
      <c r="AP523" s="260">
        <f>ASINH(FMS_Ranking4[[#This Row],[Residential Structures Removed Raw]])/AP$4*AN$5*100</f>
        <v>0</v>
      </c>
      <c r="AQ523" s="254">
        <f>(ASINH(FMS_Ranking4[[#This Row],[Residential Structures Removed Raw]]))*(10)/(ASINH(AN$4))</f>
        <v>0</v>
      </c>
      <c r="AR523" s="253">
        <f>_xlfn.XLOOKUP(FMS_Ranking4[[#This Row],[FMS ID]],FMS_Input[FMS_ID],FMS_Input[REMPOP100])</f>
        <v>0</v>
      </c>
      <c r="AS523" s="259">
        <f>(ASINH(FMS_Ranking4[[#This Row],[Removed Pop Raw]]))*(10)/(ASINH(AR$4))</f>
        <v>0</v>
      </c>
      <c r="AT523" s="262">
        <f>FMS_Ranking4[[#This Row],[Removed population, ArcSinh (0-10)]]*AR$5*10</f>
        <v>0</v>
      </c>
      <c r="AU523" s="264">
        <f>_xlfn.XLOOKUP(FMS_Ranking4[[#This Row],[FMS ID]],FMS_Input[FMS_ID],FMS_Input[REMCRITFAC100])</f>
        <v>0</v>
      </c>
      <c r="AV523" s="264">
        <f>_xlfn.XLOOKUP(FMS_Ranking4[[#This Row],[FMS ID]],FMS_Input[FMS_ID],FMS_Input[REMLWC100])</f>
        <v>0</v>
      </c>
      <c r="AW523" s="264">
        <f>_xlfn.XLOOKUP(FMS_Ranking4[[#This Row],[FMS ID]],FMS_Input[FMS_ID],FMS_Input[REMROADCLS])</f>
        <v>0</v>
      </c>
      <c r="AX523" s="264">
        <f>_xlfn.XLOOKUP(FMS_Ranking4[[#This Row],[FMS ID]],FMS_Input[FMS_ID],FMS_Input[REMFRMACRE100])</f>
        <v>0</v>
      </c>
      <c r="AY523" s="258">
        <f>_xlfn.XLOOKUP(FMS_Ranking4[[#This Row],[FMS ID]],FMS_Input[FMS_ID],FMS_Input[COSTSTRUCT])</f>
        <v>0</v>
      </c>
      <c r="AZ523" s="253">
        <f>_xlfn.XLOOKUP(FMS_Ranking4[[#This Row],[FMS ID]],FMS_Input[FMS_ID],FMS_Input[NATURE])</f>
        <v>0</v>
      </c>
      <c r="BA523" s="262">
        <f>(((FMS_Ranking4[[#This Row],[% NBS Raw]]/AZ$4)*100)*AZ$5)</f>
        <v>0</v>
      </c>
      <c r="BB523" s="251" t="str">
        <f>_xlfn.XLOOKUP(FMS_Ranking4[[#This Row],[FMS ID]],FMS_Input[FMS_ID],FMS_Input[WATER_SUP])</f>
        <v>No</v>
      </c>
      <c r="BC523" s="265">
        <f>IF(FMS_Ranking4[[#This Row],[Water Supply Raw]]="Yes",10,0)</f>
        <v>0</v>
      </c>
      <c r="BD523" s="266">
        <f>_xlfn.XLOOKUP(FMS_Ranking4[[#This Row],[FMS Type]],FMS_TYPE[FMS_Type],FMS_TYPE[Score])</f>
        <v>8</v>
      </c>
      <c r="BE523" s="267">
        <f>FMS_Ranking4[[#This Row],[FMS_Type Score]]*$BD$5*10</f>
        <v>2</v>
      </c>
      <c r="BF52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5.883822281613222E-2</v>
      </c>
      <c r="BG523" s="271">
        <f>_xlfn.RANK.EQ(BF523,$BF$8:$BF$870,0)+COUNTIF($BF$8:BF523,BF523)-1</f>
        <v>545</v>
      </c>
      <c r="BH523" s="268">
        <f>(((FMS_Ranking4[[#This Row],[Structures Removed Raw]]/AK$4)*100)*AK$5)+(((FMS_Ranking4[[#This Row],[Removed Pop Raw]]/AR$4)*100)*AR$5)</f>
        <v>0</v>
      </c>
      <c r="BI52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2.0588382228161324</v>
      </c>
      <c r="BJ523" s="205">
        <f>_xlfn.RANK.EQ(FMS_Ranking4[[#This Row],[Total Score 
(with linear
normalization)]],FMS_Ranking4[Total Score 
(with linear
normalization)],0)</f>
        <v>383</v>
      </c>
      <c r="BK523" s="205" t="e">
        <f>_xlfn.XLOOKUP(FMS_Ranking4[[#This Row],[FMS ID]],#REF!,#REF!)</f>
        <v>#REF!</v>
      </c>
      <c r="BL52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16.287384861550695</v>
      </c>
      <c r="BM523" s="272">
        <f>FMS_Ranking4[[#This Row],[ArcSinh Score Based on Normalized Reported Factors]]+FMS_Ranking4[[#This Row],[% NBS Score (Normalized)]]+(FMS_Ranking4[[#This Row],[Water Supply Score (Normalized)]]*10*$BB$5)+FMS_Ranking4[[#This Row],[FMS_Type Score Weighted]]</f>
        <v>18.287384861550695</v>
      </c>
      <c r="BN523" s="205">
        <f>_xlfn.RANK.EQ(FMS_Ranking4[[#This Row],[Total Score (with ArcSinh normalization of select criteria)]],FMS_Ranking4[Total Score (with ArcSinh normalization of select criteria)],0)</f>
        <v>516</v>
      </c>
      <c r="BO523" s="270" t="str">
        <f>_xlfn.XLOOKUP(FMS_Ranking4[[#This Row],[FMS ID]],FMS_Input[FMS_ID],FMS_Input[FMS_RANK_YEAR])</f>
        <v>2023 Amended Plan</v>
      </c>
      <c r="BP523" s="204">
        <f>_xlfn.XLOOKUP(FMS_Ranking4[[#This Row],[FMS ID]],Prev_Rank[FMS ID],Prev_Rank[Prev Rank])</f>
        <v>460</v>
      </c>
      <c r="BQ523" s="205" t="e">
        <f>_xlfn.XLOOKUP(FMS_Ranking4[[#This Row],[FMS ID]],#REF!,#REF!)</f>
        <v>#REF!</v>
      </c>
      <c r="BR523" s="199" t="e">
        <f>SUM(#REF!,#REF!,#REF!,#REF!,#REF!,#REF!,#REF!,#REF!,#REF!,FMS_Ranking4[[#This Row],[ArcSinh Res struct removed 0-10]],#REF!)</f>
        <v>#REF!</v>
      </c>
      <c r="BS523" s="199" t="e">
        <f>FMS_Ranking4[[#This Row],[Log Score Based on Normalized Reported Factors]]+FMS_Ranking4[[#This Row],[% NBS Score (Normalized)]]+(FMS_Ranking4[[#This Row],[Water Supply Score (Normalized)]]*10*$BB$5)+(FMS_Ranking4[[#This Row],[FMS_Type Score Weighted]])</f>
        <v>#REF!</v>
      </c>
      <c r="BT523" s="200" t="e">
        <f>_xlfn.RANK.EQ(FMS_Ranking4[[#This Row],[Log Total Score]],FMS_Ranking4[Log Total Score],0)</f>
        <v>#REF!</v>
      </c>
      <c r="BU523" s="200" t="e">
        <f>_xlfn.XLOOKUP(FMS_Ranking4[[#This Row],[FMS ID]],#REF!,#REF!)</f>
        <v>#REF!</v>
      </c>
      <c r="BV523" s="200">
        <f>FMS_Ranking4[[#This Row],[Region Number]]</f>
        <v>4</v>
      </c>
      <c r="BW523" s="200">
        <f>FMS_Ranking4[[#This Row],[Rank (with ArcSinh normalization of select criteria)]]-FMS_Ranking4[[#This Row],[Rank
(with linear
normalization)]]</f>
        <v>133</v>
      </c>
      <c r="BX523" s="200" t="e">
        <f>FMS_Ranking4[[#This Row],[Log Rank]]-FMS_Ranking4[[#This Row],[Rank
(with linear
normalization)]]</f>
        <v>#REF!</v>
      </c>
      <c r="BY523" s="200" t="str">
        <f>IF(FMS_Ranking4[[#This Row],[FMS Type]]="Flood Measurement and Warning",FMS_Ranking4[[#This Row],[Rank (with ArcSinh normalization of select criteria)]],"")</f>
        <v/>
      </c>
      <c r="BZ523" s="200">
        <f>IF(FMS_Ranking4[[#This Row],[FMS Type]]="Regulatory and Guidance",FMS_Ranking4[[#This Row],[Rank (with ArcSinh normalization of select criteria)]],"")</f>
        <v>516</v>
      </c>
      <c r="CA523" s="200" t="str">
        <f>IF(FMS_Ranking4[[#This Row],[FMS Type]]="Education and Outreach",FMS_Ranking4[[#This Row],[Rank (with ArcSinh normalization of select criteria)]],"")</f>
        <v/>
      </c>
      <c r="CB523" s="200" t="str">
        <f>IF(FMS_Ranking4[[#This Row],[FMS Type]]="Property Acquisition and Structural Elevation",FMS_Ranking4[[#This Row],[Rank (with ArcSinh normalization of select criteria)]],"")</f>
        <v/>
      </c>
      <c r="CC523" s="200" t="str">
        <f>IF(FMS_Ranking4[[#This Row],[FMS Type]]="Infrastructure Projects",FMS_Ranking4[[#This Row],[Rank (with ArcSinh normalization of select criteria)]],"")</f>
        <v/>
      </c>
      <c r="CD523" s="200" t="str">
        <f>IF(FMS_Ranking4[[#This Row],[FMS Type]]="Other",FMS_Ranking4[[#This Row],[Rank (with ArcSinh normalization of select criteria)]],"")</f>
        <v/>
      </c>
      <c r="CE523" s="201"/>
      <c r="CF523" s="206"/>
      <c r="CG523" s="206"/>
      <c r="CH523" s="206"/>
      <c r="CI523" s="206"/>
      <c r="CJ523" s="206"/>
      <c r="CK523" s="206"/>
      <c r="CL523" s="206"/>
      <c r="CM523" s="206"/>
      <c r="CN523" s="206"/>
      <c r="CO523" s="206"/>
      <c r="CP523" s="206"/>
      <c r="CQ523" s="206"/>
      <c r="CR523" s="206"/>
    </row>
    <row r="524" spans="2:96" ht="30" x14ac:dyDescent="0.25">
      <c r="B524" s="341" t="s">
        <v>801</v>
      </c>
      <c r="C524" s="246">
        <f>_xlfn.XLOOKUP(FMS_Ranking4[[#This Row],[FMS ID]],FMS_Input[FMS_ID],FMS_Input[RFPG_NUM])</f>
        <v>9</v>
      </c>
      <c r="D524" s="309" t="str">
        <f>_xlfn.XLOOKUP(FMS_Ranking4[[#This Row],[FMS ID]],FMS_Input[FMS_ID],FMS_Input[FMS_NAME])</f>
        <v>City of Miles Flood Awareness Program</v>
      </c>
      <c r="E524" s="308" t="str">
        <f>_xlfn.XLOOKUP(FMS_Ranking4[[#This Row],[FMS ID]],FMS_Input[FMS_ID],FMS_Input[SPONSOR])</f>
        <v>00000145</v>
      </c>
      <c r="F524" s="309" t="str">
        <f>_xlfn.XLOOKUP(FMS_Ranking4[[#This Row],[FMS ID]],Sponsor[FMS_ID],Sponsor[SPONSOR NAME])</f>
        <v>Runnels</v>
      </c>
      <c r="G524" s="309" t="str">
        <f>_xlfn.XLOOKUP(FMS_Ranking4[[#This Row],[FMS ID]],FMS_Input[FMS_ID],FMS_Input[FMS_DESCR])</f>
        <v>Draft flood awareness program</v>
      </c>
      <c r="H524" s="248" t="str">
        <f>_xlfn.XLOOKUP(FMS_Ranking4[[#This Row],[FMS ID]],FMS_Input[FMS_ID],FMS_Input[FMS_TYPE])</f>
        <v>Other</v>
      </c>
      <c r="I524" s="249">
        <f>_xlfn.XLOOKUP(FMS_Ranking4[[#This Row],[FMS ID]],FMS_Input[FMS_ID],FMS_Input[NRNC_COST])</f>
        <v>5000</v>
      </c>
      <c r="J524" s="250">
        <f>_xlfn.XLOOKUP(FMS_Ranking4[[#This Row],[FMS ID]],FMS_Input[FMS_ID],FMS_Input[FMS_COST])</f>
        <v>30000</v>
      </c>
      <c r="K524" s="251" t="str">
        <f>_xlfn.XLOOKUP(FMS_Ranking4[[#This Row],[FMS ID]],FMS_Input[FMS_ID],FMS_Input[EMER_NEED])</f>
        <v>No</v>
      </c>
      <c r="L524" s="252">
        <f t="shared" si="8"/>
        <v>0</v>
      </c>
      <c r="M524" s="253">
        <f>_xlfn.XLOOKUP(FMS_Ranking4[[#This Row],[FMS ID]],FMS_Input[FMS_ID],FMS_Input[STRUCT_100])</f>
        <v>9</v>
      </c>
      <c r="N524" s="255">
        <f>(ASINH(FMS_Ranking4[[#This Row],[Structure at Risk Raw]]))*(10)/(ASINH(M$4))</f>
        <v>2.2746777880562381</v>
      </c>
      <c r="O524" s="256">
        <f>FMS_Ranking4[[#This Row],[Structures at risk, ArcSinh (0-10)]]*M$5*10</f>
        <v>2.2746777880562381</v>
      </c>
      <c r="P524" s="253">
        <f>_xlfn.XLOOKUP(FMS_Ranking4[[#This Row],[FMS ID]],FMS_Input[FMS_ID],FMS_Input[RES_STRUCT100])</f>
        <v>9</v>
      </c>
      <c r="Q524" s="257">
        <f>ASINH(FMS_Ranking4[[#This Row],[Res Structure Raw]])/Q$4*P$5*100</f>
        <v>0</v>
      </c>
      <c r="R524" s="253">
        <f>_xlfn.XLOOKUP(FMS_Ranking4[[#This Row],[FMS ID]],FMS_Input[FMS_ID],FMS_Input[POP100])</f>
        <v>99</v>
      </c>
      <c r="S524" s="259">
        <f>(ASINH(FMS_Ranking4[[#This Row],[Pop at Risk Raw]]))*(10)/(ASINH(R$4))</f>
        <v>3.6508162119631926</v>
      </c>
      <c r="T524" s="256">
        <f>FMS_Ranking4[[#This Row],[Population at risk, ArcSinh (0-10)]]*R$5*10</f>
        <v>3.6508162119631926</v>
      </c>
      <c r="U524" s="253">
        <f>_xlfn.XLOOKUP(FMS_Ranking4[[#This Row],[FMS ID]],FMS_Input[FMS_ID],FMS_Input[CRITFAC100])</f>
        <v>0</v>
      </c>
      <c r="V524" s="259">
        <f>(ASINH(FMS_Ranking4[[#This Row],[Critical Facilities Raw]]))*(10)/(ASINH(U$4))</f>
        <v>0</v>
      </c>
      <c r="W524" s="256">
        <f>FMS_Ranking4[[#This Row],[Critical facilities at risk, ArcSinh (0-10)]]*U$5*10</f>
        <v>0</v>
      </c>
      <c r="X524" s="253">
        <f>_xlfn.XLOOKUP(FMS_Ranking4[[#This Row],[FMS ID]],FMS_Input[FMS_ID],FMS_Input[LWC])</f>
        <v>2</v>
      </c>
      <c r="Y524" s="259">
        <f>(ASINH(FMS_Ranking4[[#This Row],[LWC Raw]]))*(10)/(ASINH(X$4))</f>
        <v>1.9557475158633808</v>
      </c>
      <c r="Z524" s="256">
        <f>FMS_Ranking4[[#This Row],[LWC, ArcSInh (0-10)]]*X$5*10</f>
        <v>1.9557475158633808</v>
      </c>
      <c r="AA524" s="253">
        <f>_xlfn.XLOOKUP(FMS_Ranking4[[#This Row],[FMS ID]],FMS_Input[FMS_ID],FMS_Input[ROADCLS])</f>
        <v>0</v>
      </c>
      <c r="AB524" s="255">
        <f>(ASINH(FMS_Ranking4[[#This Row],[Road Closures Raw]]))*(10)/(ASINH(AA$4))</f>
        <v>0</v>
      </c>
      <c r="AC524" s="256">
        <f>FMS_Ranking4[[#This Row],[Road closures, ArcSinh (0-10)]]*AA$5*10</f>
        <v>0</v>
      </c>
      <c r="AD524" s="253">
        <f>_xlfn.XLOOKUP(FMS_Ranking4[[#This Row],[FMS ID]],FMS_Input[FMS_ID],FMS_Input[ROAD_MILES100])</f>
        <v>3</v>
      </c>
      <c r="AE524" s="259">
        <f>(ASINH(FMS_Ranking4[[#This Row],[Road Miles Raw]]))*(10)/(ASINH(AD$4))</f>
        <v>1.937963626835977</v>
      </c>
      <c r="AF524" s="256">
        <f>FMS_Ranking4[[#This Row],[Length of roads at risk, ArcSinh (0-10)]]*AD$5*10</f>
        <v>1.937963626835977</v>
      </c>
      <c r="AG524" s="253">
        <f>_xlfn.XLOOKUP(FMS_Ranking4[[#This Row],[FMS ID]],FMS_Input[FMS_ID],FMS_Input[FARMACRE100])</f>
        <v>21.907810211181641</v>
      </c>
      <c r="AH524" s="255">
        <f>(ASINH(FMS_Ranking4[[#This Row],[Ag Land Raw]]))*(10)/(ASINH(AG$4))</f>
        <v>2.455749801281506</v>
      </c>
      <c r="AI524" s="260">
        <f>FMS_Ranking4[[#This Row],[Farm &amp; ranch land, ArcSinh (0-10)]]*AG$5*10</f>
        <v>1.227874900640753</v>
      </c>
      <c r="AJ524" s="258">
        <f>_xlfn.XLOOKUP(FMS_Ranking4[[#This Row],[FMS ID]],FMS_Input[FMS_ID],FMS_Input[REDSTRUCT100])</f>
        <v>3</v>
      </c>
      <c r="AK524" s="253">
        <f>_xlfn.XLOOKUP(FMS_Ranking4[[#This Row],[FMS ID]],FMS_Input[FMS_ID],FMS_Input[REMSTRC100])</f>
        <v>3</v>
      </c>
      <c r="AL524" s="259">
        <f>(ASINH(FMS_Ranking4[[#This Row],[Structures Removed Raw]]))*(10)/(ASINH(AK$4))</f>
        <v>2.0704310956893948</v>
      </c>
      <c r="AM524" s="262">
        <f>FMS_Ranking4[[#This Row],[Structures removed, ArcSinh (0-10)]]*AK$5*10</f>
        <v>2.0704310956893948</v>
      </c>
      <c r="AN524" s="253">
        <f>_xlfn.XLOOKUP(FMS_Ranking4[[#This Row],[FMS ID]],FMS_Input[FMS_ID],FMS_Input[REMRESSTRC100])</f>
        <v>2</v>
      </c>
      <c r="AO524" s="261">
        <f>FMS_Ranking4[[#This Row],[ArcSinh Res struct removed 0-10]]*AN$5*10</f>
        <v>0.84673041454896381</v>
      </c>
      <c r="AP524" s="260">
        <f>ASINH(FMS_Ranking4[[#This Row],[Residential Structures Removed Raw]])/AP$4*AN$5*100</f>
        <v>0.84673041454896381</v>
      </c>
      <c r="AQ524" s="254">
        <f>(ASINH(FMS_Ranking4[[#This Row],[Residential Structures Removed Raw]]))*(10)/(ASINH(AN$4))</f>
        <v>1.6934608290979274</v>
      </c>
      <c r="AR524" s="253">
        <f>_xlfn.XLOOKUP(FMS_Ranking4[[#This Row],[FMS ID]],FMS_Input[FMS_ID],FMS_Input[REMPOP100])</f>
        <v>24</v>
      </c>
      <c r="AS524" s="259">
        <f>(ASINH(FMS_Ranking4[[#This Row],[Removed Pop Raw]]))*(10)/(ASINH(AR$4))</f>
        <v>3.8004758239244456</v>
      </c>
      <c r="AT524" s="262">
        <f>FMS_Ranking4[[#This Row],[Removed population, ArcSinh (0-10)]]*AR$5*10</f>
        <v>3.8004758239244456</v>
      </c>
      <c r="AU524" s="264">
        <f>_xlfn.XLOOKUP(FMS_Ranking4[[#This Row],[FMS ID]],FMS_Input[FMS_ID],FMS_Input[REMCRITFAC100])</f>
        <v>0</v>
      </c>
      <c r="AV524" s="264">
        <f>_xlfn.XLOOKUP(FMS_Ranking4[[#This Row],[FMS ID]],FMS_Input[FMS_ID],FMS_Input[REMLWC100])</f>
        <v>0</v>
      </c>
      <c r="AW524" s="264">
        <f>_xlfn.XLOOKUP(FMS_Ranking4[[#This Row],[FMS ID]],FMS_Input[FMS_ID],FMS_Input[REMROADCLS])</f>
        <v>0</v>
      </c>
      <c r="AX524" s="264">
        <f>_xlfn.XLOOKUP(FMS_Ranking4[[#This Row],[FMS ID]],FMS_Input[FMS_ID],FMS_Input[REMFRMACRE100])</f>
        <v>5.4769525527954102</v>
      </c>
      <c r="AY524" s="258">
        <f>_xlfn.XLOOKUP(FMS_Ranking4[[#This Row],[FMS ID]],FMS_Input[FMS_ID],FMS_Input[COSTSTRUCT])</f>
        <v>25000</v>
      </c>
      <c r="AZ524" s="253">
        <f>_xlfn.XLOOKUP(FMS_Ranking4[[#This Row],[FMS ID]],FMS_Input[FMS_ID],FMS_Input[NATURE])</f>
        <v>0</v>
      </c>
      <c r="BA524" s="262">
        <f>(((FMS_Ranking4[[#This Row],[% NBS Raw]]/AZ$4)*100)*AZ$5)</f>
        <v>0</v>
      </c>
      <c r="BB524" s="251" t="str">
        <f>_xlfn.XLOOKUP(FMS_Ranking4[[#This Row],[FMS ID]],FMS_Input[FMS_ID],FMS_Input[WATER_SUP])</f>
        <v>No</v>
      </c>
      <c r="BC524" s="265">
        <f>IF(FMS_Ranking4[[#This Row],[Water Supply Raw]]="Yes",10,0)</f>
        <v>0</v>
      </c>
      <c r="BD524" s="266">
        <f>_xlfn.XLOOKUP(FMS_Ranking4[[#This Row],[FMS Type]],FMS_TYPE[FMS_Type],FMS_TYPE[Score])</f>
        <v>2</v>
      </c>
      <c r="BE524" s="267">
        <f>FMS_Ranking4[[#This Row],[FMS_Type Score]]*$BD$5*10</f>
        <v>0.5</v>
      </c>
      <c r="BF52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3.155053954610143E-2</v>
      </c>
      <c r="BG524" s="271">
        <f>_xlfn.RANK.EQ(BF524,$BF$8:$BF$870,0)+COUNTIF($BF$8:BF524,BF524)-1</f>
        <v>592</v>
      </c>
      <c r="BH524" s="268">
        <f>(((FMS_Ranking4[[#This Row],[Structures Removed Raw]]/AK$4)*100)*AK$5)+(((FMS_Ranking4[[#This Row],[Removed Pop Raw]]/AR$4)*100)*AR$5)</f>
        <v>2.7270560408665649E-2</v>
      </c>
      <c r="BI52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0.55882109995476703</v>
      </c>
      <c r="BJ524" s="205">
        <f>_xlfn.RANK.EQ(FMS_Ranking4[[#This Row],[Total Score 
(with linear
normalization)]],FMS_Ranking4[Total Score 
(with linear
normalization)],0)</f>
        <v>827</v>
      </c>
      <c r="BK524" s="205" t="e">
        <f>_xlfn.XLOOKUP(FMS_Ranking4[[#This Row],[FMS ID]],#REF!,#REF!)</f>
        <v>#REF!</v>
      </c>
      <c r="BL52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17.764717377522345</v>
      </c>
      <c r="BM524" s="272">
        <f>FMS_Ranking4[[#This Row],[ArcSinh Score Based on Normalized Reported Factors]]+FMS_Ranking4[[#This Row],[% NBS Score (Normalized)]]+(FMS_Ranking4[[#This Row],[Water Supply Score (Normalized)]]*10*$BB$5)+FMS_Ranking4[[#This Row],[FMS_Type Score Weighted]]</f>
        <v>18.264717377522345</v>
      </c>
      <c r="BN524" s="205">
        <f>_xlfn.RANK.EQ(FMS_Ranking4[[#This Row],[Total Score (with ArcSinh normalization of select criteria)]],FMS_Ranking4[Total Score (with ArcSinh normalization of select criteria)],0)</f>
        <v>517</v>
      </c>
      <c r="BO524" s="270" t="str">
        <f>_xlfn.XLOOKUP(FMS_Ranking4[[#This Row],[FMS ID]],FMS_Input[FMS_ID],FMS_Input[FMS_RANK_YEAR])</f>
        <v>2023 Amended Plan</v>
      </c>
      <c r="BP524" s="204">
        <f>_xlfn.XLOOKUP(FMS_Ranking4[[#This Row],[FMS ID]],Prev_Rank[FMS ID],Prev_Rank[Prev Rank])</f>
        <v>468</v>
      </c>
      <c r="BQ524" s="205" t="e">
        <f>_xlfn.XLOOKUP(FMS_Ranking4[[#This Row],[FMS ID]],#REF!,#REF!)</f>
        <v>#REF!</v>
      </c>
      <c r="BR524" s="199" t="e">
        <f>SUM(#REF!,#REF!,#REF!,#REF!,#REF!,#REF!,#REF!,#REF!,#REF!,FMS_Ranking4[[#This Row],[ArcSinh Res struct removed 0-10]],#REF!)</f>
        <v>#REF!</v>
      </c>
      <c r="BS524" s="199" t="e">
        <f>FMS_Ranking4[[#This Row],[Log Score Based on Normalized Reported Factors]]+FMS_Ranking4[[#This Row],[% NBS Score (Normalized)]]+(FMS_Ranking4[[#This Row],[Water Supply Score (Normalized)]]*10*$BB$5)+(FMS_Ranking4[[#This Row],[FMS_Type Score Weighted]])</f>
        <v>#REF!</v>
      </c>
      <c r="BT524" s="200" t="e">
        <f>_xlfn.RANK.EQ(FMS_Ranking4[[#This Row],[Log Total Score]],FMS_Ranking4[Log Total Score],0)</f>
        <v>#REF!</v>
      </c>
      <c r="BU524" s="200" t="e">
        <f>_xlfn.XLOOKUP(FMS_Ranking4[[#This Row],[FMS ID]],#REF!,#REF!)</f>
        <v>#REF!</v>
      </c>
      <c r="BV524" s="200">
        <f>FMS_Ranking4[[#This Row],[Region Number]]</f>
        <v>9</v>
      </c>
      <c r="BW524" s="200">
        <f>FMS_Ranking4[[#This Row],[Rank (with ArcSinh normalization of select criteria)]]-FMS_Ranking4[[#This Row],[Rank
(with linear
normalization)]]</f>
        <v>-310</v>
      </c>
      <c r="BX524" s="200" t="e">
        <f>FMS_Ranking4[[#This Row],[Log Rank]]-FMS_Ranking4[[#This Row],[Rank
(with linear
normalization)]]</f>
        <v>#REF!</v>
      </c>
      <c r="BY524" s="200" t="str">
        <f>IF(FMS_Ranking4[[#This Row],[FMS Type]]="Flood Measurement and Warning",FMS_Ranking4[[#This Row],[Rank (with ArcSinh normalization of select criteria)]],"")</f>
        <v/>
      </c>
      <c r="BZ524" s="200" t="str">
        <f>IF(FMS_Ranking4[[#This Row],[FMS Type]]="Regulatory and Guidance",FMS_Ranking4[[#This Row],[Rank (with ArcSinh normalization of select criteria)]],"")</f>
        <v/>
      </c>
      <c r="CA524" s="200" t="str">
        <f>IF(FMS_Ranking4[[#This Row],[FMS Type]]="Education and Outreach",FMS_Ranking4[[#This Row],[Rank (with ArcSinh normalization of select criteria)]],"")</f>
        <v/>
      </c>
      <c r="CB524" s="200" t="str">
        <f>IF(FMS_Ranking4[[#This Row],[FMS Type]]="Property Acquisition and Structural Elevation",FMS_Ranking4[[#This Row],[Rank (with ArcSinh normalization of select criteria)]],"")</f>
        <v/>
      </c>
      <c r="CC524" s="200" t="str">
        <f>IF(FMS_Ranking4[[#This Row],[FMS Type]]="Infrastructure Projects",FMS_Ranking4[[#This Row],[Rank (with ArcSinh normalization of select criteria)]],"")</f>
        <v/>
      </c>
      <c r="CD524" s="200">
        <f>IF(FMS_Ranking4[[#This Row],[FMS Type]]="Other",FMS_Ranking4[[#This Row],[Rank (with ArcSinh normalization of select criteria)]],"")</f>
        <v>517</v>
      </c>
      <c r="CE524" s="201"/>
      <c r="CF524" s="206"/>
      <c r="CG524" s="206"/>
      <c r="CH524" s="206"/>
      <c r="CI524" s="206"/>
      <c r="CJ524" s="206"/>
      <c r="CK524" s="206"/>
      <c r="CL524" s="206"/>
      <c r="CM524" s="206"/>
      <c r="CN524" s="206"/>
      <c r="CO524" s="206"/>
      <c r="CP524" s="206"/>
      <c r="CQ524" s="206"/>
      <c r="CR524" s="206"/>
    </row>
    <row r="525" spans="2:96" ht="75" x14ac:dyDescent="0.25">
      <c r="B525" s="341" t="s">
        <v>4549</v>
      </c>
      <c r="C525" s="246">
        <f>_xlfn.XLOOKUP(FMS_Ranking4[[#This Row],[FMS ID]],FMS_Input[FMS_ID],FMS_Input[RFPG_NUM])</f>
        <v>3</v>
      </c>
      <c r="D525" s="309" t="str">
        <f>_xlfn.XLOOKUP(FMS_Ranking4[[#This Row],[FMS ID]],FMS_Input[FMS_ID],FMS_Input[FMS_NAME])</f>
        <v>Balch Springs Buyout</v>
      </c>
      <c r="E525" s="308" t="str">
        <f>_xlfn.XLOOKUP(FMS_Ranking4[[#This Row],[FMS ID]],FMS_Input[FMS_ID],FMS_Input[SPONSOR])</f>
        <v xml:space="preserve">Balch Springs </v>
      </c>
      <c r="F525" s="309" t="str">
        <f>_xlfn.XLOOKUP(FMS_Ranking4[[#This Row],[FMS ID]],Sponsor[FMS_ID],Sponsor[SPONSOR NAME])</f>
        <v xml:space="preserve">Balch Springs </v>
      </c>
      <c r="G525" s="309" t="str">
        <f>_xlfn.XLOOKUP(FMS_Ranking4[[#This Row],[FMS ID]],FMS_Input[FMS_ID],FMS_Input[FMS_DESCR])</f>
        <v>Buyout of six (6) flood-prone properties selected on proximity to creek, flood depths, and frequency of flooding</v>
      </c>
      <c r="H525" s="248" t="str">
        <f>_xlfn.XLOOKUP(FMS_Ranking4[[#This Row],[FMS ID]],FMS_Input[FMS_ID],FMS_Input[FMS_TYPE])</f>
        <v>Property Acquisition and Structural Elevation</v>
      </c>
      <c r="I525" s="249">
        <f>_xlfn.XLOOKUP(FMS_Ranking4[[#This Row],[FMS ID]],FMS_Input[FMS_ID],FMS_Input[NRNC_COST])</f>
        <v>1045000</v>
      </c>
      <c r="J525" s="250">
        <f>_xlfn.XLOOKUP(FMS_Ranking4[[#This Row],[FMS ID]],FMS_Input[FMS_ID],FMS_Input[FMS_COST])</f>
        <v>1045000</v>
      </c>
      <c r="K525" s="251" t="str">
        <f>_xlfn.XLOOKUP(FMS_Ranking4[[#This Row],[FMS ID]],FMS_Input[FMS_ID],FMS_Input[EMER_NEED])</f>
        <v>No</v>
      </c>
      <c r="L525" s="252">
        <f t="shared" si="8"/>
        <v>0</v>
      </c>
      <c r="M525" s="253">
        <f>_xlfn.XLOOKUP(FMS_Ranking4[[#This Row],[FMS ID]],FMS_Input[FMS_ID],FMS_Input[STRUCT_100])</f>
        <v>6</v>
      </c>
      <c r="N525" s="255">
        <f>(ASINH(FMS_Ranking4[[#This Row],[Structure at Risk Raw]]))*(10)/(ASINH(M$4))</f>
        <v>1.9589099741296994</v>
      </c>
      <c r="O525" s="256">
        <f>FMS_Ranking4[[#This Row],[Structures at risk, ArcSinh (0-10)]]*M$5*10</f>
        <v>1.9589099741296994</v>
      </c>
      <c r="P525" s="253">
        <f>_xlfn.XLOOKUP(FMS_Ranking4[[#This Row],[FMS ID]],FMS_Input[FMS_ID],FMS_Input[RES_STRUCT100])</f>
        <v>6</v>
      </c>
      <c r="Q525" s="257">
        <f>ASINH(FMS_Ranking4[[#This Row],[Res Structure Raw]])/Q$4*P$5*100</f>
        <v>0</v>
      </c>
      <c r="R525" s="253">
        <f>_xlfn.XLOOKUP(FMS_Ranking4[[#This Row],[FMS ID]],FMS_Input[FMS_ID],FMS_Input[POP100])</f>
        <v>25847</v>
      </c>
      <c r="S525" s="259">
        <f>(ASINH(FMS_Ranking4[[#This Row],[Pop at Risk Raw]]))*(10)/(ASINH(R$4))</f>
        <v>7.4925247039391323</v>
      </c>
      <c r="T525" s="256">
        <f>FMS_Ranking4[[#This Row],[Population at risk, ArcSinh (0-10)]]*R$5*10</f>
        <v>7.4925247039391332</v>
      </c>
      <c r="U525" s="253">
        <f>_xlfn.XLOOKUP(FMS_Ranking4[[#This Row],[FMS ID]],FMS_Input[FMS_ID],FMS_Input[CRITFAC100])</f>
        <v>0</v>
      </c>
      <c r="V525" s="259">
        <f>(ASINH(FMS_Ranking4[[#This Row],[Critical Facilities Raw]]))*(10)/(ASINH(U$4))</f>
        <v>0</v>
      </c>
      <c r="W525" s="256">
        <f>FMS_Ranking4[[#This Row],[Critical facilities at risk, ArcSinh (0-10)]]*U$5*10</f>
        <v>0</v>
      </c>
      <c r="X525" s="253">
        <f>_xlfn.XLOOKUP(FMS_Ranking4[[#This Row],[FMS ID]],FMS_Input[FMS_ID],FMS_Input[LWC])</f>
        <v>0</v>
      </c>
      <c r="Y525" s="259">
        <f>(ASINH(FMS_Ranking4[[#This Row],[LWC Raw]]))*(10)/(ASINH(X$4))</f>
        <v>0</v>
      </c>
      <c r="Z525" s="256">
        <f>FMS_Ranking4[[#This Row],[LWC, ArcSInh (0-10)]]*X$5*10</f>
        <v>0</v>
      </c>
      <c r="AA525" s="253">
        <f>_xlfn.XLOOKUP(FMS_Ranking4[[#This Row],[FMS ID]],FMS_Input[FMS_ID],FMS_Input[ROADCLS])</f>
        <v>0</v>
      </c>
      <c r="AB525" s="255">
        <f>(ASINH(FMS_Ranking4[[#This Row],[Road Closures Raw]]))*(10)/(ASINH(AA$4))</f>
        <v>0</v>
      </c>
      <c r="AC525" s="256">
        <f>FMS_Ranking4[[#This Row],[Road closures, ArcSinh (0-10)]]*AA$5*10</f>
        <v>0</v>
      </c>
      <c r="AD525" s="253">
        <f>_xlfn.XLOOKUP(FMS_Ranking4[[#This Row],[FMS ID]],FMS_Input[FMS_ID],FMS_Input[ROAD_MILES100])</f>
        <v>0</v>
      </c>
      <c r="AE525" s="259">
        <f>(ASINH(FMS_Ranking4[[#This Row],[Road Miles Raw]]))*(10)/(ASINH(AD$4))</f>
        <v>0</v>
      </c>
      <c r="AF525" s="256">
        <f>FMS_Ranking4[[#This Row],[Length of roads at risk, ArcSinh (0-10)]]*AD$5*10</f>
        <v>0</v>
      </c>
      <c r="AG525" s="253">
        <f>_xlfn.XLOOKUP(FMS_Ranking4[[#This Row],[FMS ID]],FMS_Input[FMS_ID],FMS_Input[FARMACRE100])</f>
        <v>0</v>
      </c>
      <c r="AH525" s="255">
        <f>(ASINH(FMS_Ranking4[[#This Row],[Ag Land Raw]]))*(10)/(ASINH(AG$4))</f>
        <v>0</v>
      </c>
      <c r="AI525" s="260">
        <f>FMS_Ranking4[[#This Row],[Farm &amp; ranch land, ArcSinh (0-10)]]*AG$5*10</f>
        <v>0</v>
      </c>
      <c r="AJ525" s="258">
        <f>_xlfn.XLOOKUP(FMS_Ranking4[[#This Row],[FMS ID]],FMS_Input[FMS_ID],FMS_Input[REDSTRUCT100])</f>
        <v>0</v>
      </c>
      <c r="AK525" s="253">
        <f>_xlfn.XLOOKUP(FMS_Ranking4[[#This Row],[FMS ID]],FMS_Input[FMS_ID],FMS_Input[REMSTRC100])</f>
        <v>6</v>
      </c>
      <c r="AL525" s="259">
        <f>(ASINH(FMS_Ranking4[[#This Row],[Structures Removed Raw]]))*(10)/(ASINH(AK$4))</f>
        <v>2.8370692270516686</v>
      </c>
      <c r="AM525" s="262">
        <f>FMS_Ranking4[[#This Row],[Structures removed, ArcSinh (0-10)]]*AK$5*10</f>
        <v>2.8370692270516691</v>
      </c>
      <c r="AN525" s="253">
        <f>_xlfn.XLOOKUP(FMS_Ranking4[[#This Row],[FMS ID]],FMS_Input[FMS_ID],FMS_Input[REMRESSTRC100])</f>
        <v>6</v>
      </c>
      <c r="AO525" s="261">
        <f>FMS_Ranking4[[#This Row],[ArcSinh Res struct removed 0-10]]*AN$5*10</f>
        <v>1.4614948329206523</v>
      </c>
      <c r="AP525" s="260">
        <f>ASINH(FMS_Ranking4[[#This Row],[Residential Structures Removed Raw]])/AP$4*AN$5*100</f>
        <v>1.4614948329206523</v>
      </c>
      <c r="AQ525" s="254">
        <f>(ASINH(FMS_Ranking4[[#This Row],[Residential Structures Removed Raw]]))*(10)/(ASINH(AN$4))</f>
        <v>2.9229896658413046</v>
      </c>
      <c r="AR525" s="253">
        <f>_xlfn.XLOOKUP(FMS_Ranking4[[#This Row],[FMS ID]],FMS_Input[FMS_ID],FMS_Input[REMPOP100])</f>
        <v>16</v>
      </c>
      <c r="AS525" s="259">
        <f>(ASINH(FMS_Ranking4[[#This Row],[Removed Pop Raw]]))*(10)/(ASINH(AR$4))</f>
        <v>3.40299442406738</v>
      </c>
      <c r="AT525" s="262">
        <f>FMS_Ranking4[[#This Row],[Removed population, ArcSinh (0-10)]]*AR$5*10</f>
        <v>3.4029944240673804</v>
      </c>
      <c r="AU525" s="264">
        <f>_xlfn.XLOOKUP(FMS_Ranking4[[#This Row],[FMS ID]],FMS_Input[FMS_ID],FMS_Input[REMCRITFAC100])</f>
        <v>0</v>
      </c>
      <c r="AV525" s="264">
        <f>_xlfn.XLOOKUP(FMS_Ranking4[[#This Row],[FMS ID]],FMS_Input[FMS_ID],FMS_Input[REMLWC100])</f>
        <v>0</v>
      </c>
      <c r="AW525" s="264">
        <f>_xlfn.XLOOKUP(FMS_Ranking4[[#This Row],[FMS ID]],FMS_Input[FMS_ID],FMS_Input[REMROADCLS])</f>
        <v>0</v>
      </c>
      <c r="AX525" s="264">
        <f>_xlfn.XLOOKUP(FMS_Ranking4[[#This Row],[FMS ID]],FMS_Input[FMS_ID],FMS_Input[REMFRMACRE100])</f>
        <v>0</v>
      </c>
      <c r="AY525" s="258">
        <f>_xlfn.XLOOKUP(FMS_Ranking4[[#This Row],[FMS ID]],FMS_Input[FMS_ID],FMS_Input[COSTSTRUCT])</f>
        <v>175000</v>
      </c>
      <c r="AZ525" s="253">
        <f>_xlfn.XLOOKUP(FMS_Ranking4[[#This Row],[FMS ID]],FMS_Input[FMS_ID],FMS_Input[NATURE])</f>
        <v>0</v>
      </c>
      <c r="BA525" s="262">
        <f>(((FMS_Ranking4[[#This Row],[% NBS Raw]]/AZ$4)*100)*AZ$5)</f>
        <v>0</v>
      </c>
      <c r="BB525" s="251" t="str">
        <f>_xlfn.XLOOKUP(FMS_Ranking4[[#This Row],[FMS ID]],FMS_Input[FMS_ID],FMS_Input[WATER_SUP])</f>
        <v>No</v>
      </c>
      <c r="BC525" s="265">
        <f>IF(FMS_Ranking4[[#This Row],[Water Supply Raw]]="Yes",10,0)</f>
        <v>0</v>
      </c>
      <c r="BD525" s="266">
        <f>_xlfn.XLOOKUP(FMS_Ranking4[[#This Row],[FMS Type]],FMS_TYPE[FMS_Type],FMS_TYPE[Score])</f>
        <v>4</v>
      </c>
      <c r="BE525" s="267">
        <f>FMS_Ranking4[[#This Row],[FMS_Type Score]]*$BD$5*10</f>
        <v>1</v>
      </c>
      <c r="BF52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0.2649547250244017</v>
      </c>
      <c r="BG525" s="271">
        <f>_xlfn.RANK.EQ(BF525,$BF$8:$BF$870,0)+COUNTIF($BF$8:BF525,BF525)-1</f>
        <v>322</v>
      </c>
      <c r="BH525" s="268">
        <f>(((FMS_Ranking4[[#This Row],[Structures Removed Raw]]/AK$4)*100)*AK$5)+(((FMS_Ranking4[[#This Row],[Removed Pop Raw]]/AR$4)*100)*AR$5)</f>
        <v>3.0446549625402979E-2</v>
      </c>
      <c r="BI52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1.2954012746498047</v>
      </c>
      <c r="BJ525" s="205">
        <f>_xlfn.RANK.EQ(FMS_Ranking4[[#This Row],[Total Score 
(with linear
normalization)]],FMS_Ranking4[Total Score 
(with linear
normalization)],0)</f>
        <v>632</v>
      </c>
      <c r="BK525" s="205" t="e">
        <f>_xlfn.XLOOKUP(FMS_Ranking4[[#This Row],[FMS ID]],#REF!,#REF!)</f>
        <v>#REF!</v>
      </c>
      <c r="BL52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17.152993162108533</v>
      </c>
      <c r="BM525" s="272">
        <f>FMS_Ranking4[[#This Row],[ArcSinh Score Based on Normalized Reported Factors]]+FMS_Ranking4[[#This Row],[% NBS Score (Normalized)]]+(FMS_Ranking4[[#This Row],[Water Supply Score (Normalized)]]*10*$BB$5)+FMS_Ranking4[[#This Row],[FMS_Type Score Weighted]]</f>
        <v>18.152993162108533</v>
      </c>
      <c r="BN525" s="205">
        <f>_xlfn.RANK.EQ(FMS_Ranking4[[#This Row],[Total Score (with ArcSinh normalization of select criteria)]],FMS_Ranking4[Total Score (with ArcSinh normalization of select criteria)],0)</f>
        <v>518</v>
      </c>
      <c r="BO525" s="270" t="str">
        <f>_xlfn.XLOOKUP(FMS_Ranking4[[#This Row],[FMS ID]],FMS_Input[FMS_ID],FMS_Input[FMS_RANK_YEAR])</f>
        <v>2023 Amended Plan</v>
      </c>
      <c r="BP525" s="204">
        <f>_xlfn.XLOOKUP(FMS_Ranking4[[#This Row],[FMS ID]],Prev_Rank[FMS ID],Prev_Rank[Prev Rank])</f>
        <v>569</v>
      </c>
      <c r="BQ525" s="205" t="e">
        <f>_xlfn.XLOOKUP(FMS_Ranking4[[#This Row],[FMS ID]],#REF!,#REF!)</f>
        <v>#REF!</v>
      </c>
      <c r="BR525" s="199" t="e">
        <f>SUM(#REF!,#REF!,#REF!,#REF!,#REF!,#REF!,#REF!,#REF!,#REF!,FMS_Ranking4[[#This Row],[ArcSinh Res struct removed 0-10]],#REF!)</f>
        <v>#REF!</v>
      </c>
      <c r="BS525" s="199" t="e">
        <f>FMS_Ranking4[[#This Row],[Log Score Based on Normalized Reported Factors]]+FMS_Ranking4[[#This Row],[% NBS Score (Normalized)]]+(FMS_Ranking4[[#This Row],[Water Supply Score (Normalized)]]*10*$BB$5)+(FMS_Ranking4[[#This Row],[FMS_Type Score Weighted]])</f>
        <v>#REF!</v>
      </c>
      <c r="BT525" s="200" t="e">
        <f>_xlfn.RANK.EQ(FMS_Ranking4[[#This Row],[Log Total Score]],FMS_Ranking4[Log Total Score],0)</f>
        <v>#REF!</v>
      </c>
      <c r="BU525" s="200" t="e">
        <f>_xlfn.XLOOKUP(FMS_Ranking4[[#This Row],[FMS ID]],#REF!,#REF!)</f>
        <v>#REF!</v>
      </c>
      <c r="BV525" s="200">
        <f>FMS_Ranking4[[#This Row],[Region Number]]</f>
        <v>3</v>
      </c>
      <c r="BW525" s="200">
        <f>FMS_Ranking4[[#This Row],[Rank (with ArcSinh normalization of select criteria)]]-FMS_Ranking4[[#This Row],[Rank
(with linear
normalization)]]</f>
        <v>-114</v>
      </c>
      <c r="BX525" s="200" t="e">
        <f>FMS_Ranking4[[#This Row],[Log Rank]]-FMS_Ranking4[[#This Row],[Rank
(with linear
normalization)]]</f>
        <v>#REF!</v>
      </c>
      <c r="BY525" s="200" t="str">
        <f>IF(FMS_Ranking4[[#This Row],[FMS Type]]="Flood Measurement and Warning",FMS_Ranking4[[#This Row],[Rank (with ArcSinh normalization of select criteria)]],"")</f>
        <v/>
      </c>
      <c r="BZ525" s="200" t="str">
        <f>IF(FMS_Ranking4[[#This Row],[FMS Type]]="Regulatory and Guidance",FMS_Ranking4[[#This Row],[Rank (with ArcSinh normalization of select criteria)]],"")</f>
        <v/>
      </c>
      <c r="CA525" s="200" t="str">
        <f>IF(FMS_Ranking4[[#This Row],[FMS Type]]="Education and Outreach",FMS_Ranking4[[#This Row],[Rank (with ArcSinh normalization of select criteria)]],"")</f>
        <v/>
      </c>
      <c r="CB525" s="200">
        <f>IF(FMS_Ranking4[[#This Row],[FMS Type]]="Property Acquisition and Structural Elevation",FMS_Ranking4[[#This Row],[Rank (with ArcSinh normalization of select criteria)]],"")</f>
        <v>518</v>
      </c>
      <c r="CC525" s="200" t="str">
        <f>IF(FMS_Ranking4[[#This Row],[FMS Type]]="Infrastructure Projects",FMS_Ranking4[[#This Row],[Rank (with ArcSinh normalization of select criteria)]],"")</f>
        <v/>
      </c>
      <c r="CD525" s="200" t="str">
        <f>IF(FMS_Ranking4[[#This Row],[FMS Type]]="Other",FMS_Ranking4[[#This Row],[Rank (with ArcSinh normalization of select criteria)]],"")</f>
        <v/>
      </c>
      <c r="CE525" s="201"/>
      <c r="CF525" s="206"/>
      <c r="CG525" s="206"/>
      <c r="CH525" s="206"/>
      <c r="CI525" s="206"/>
      <c r="CJ525" s="206"/>
      <c r="CK525" s="206"/>
      <c r="CL525" s="206"/>
      <c r="CM525" s="206"/>
      <c r="CN525" s="206"/>
      <c r="CO525" s="206"/>
      <c r="CP525" s="206"/>
      <c r="CQ525" s="206"/>
      <c r="CR525" s="206"/>
    </row>
    <row r="526" spans="2:96" ht="45" x14ac:dyDescent="0.25">
      <c r="B526" s="341" t="s">
        <v>3524</v>
      </c>
      <c r="C526" s="246">
        <f>_xlfn.XLOOKUP(FMS_Ranking4[[#This Row],[FMS ID]],FMS_Input[FMS_ID],FMS_Input[RFPG_NUM])</f>
        <v>12</v>
      </c>
      <c r="D526" s="309" t="str">
        <f>_xlfn.XLOOKUP(FMS_Ranking4[[#This Row],[FMS ID]],FMS_Input[FMS_ID],FMS_Input[FMS_NAME])</f>
        <v>Public Education &amp; Outreach</v>
      </c>
      <c r="E526" s="308" t="str">
        <f>_xlfn.XLOOKUP(FMS_Ranking4[[#This Row],[FMS ID]],FMS_Input[FMS_ID],FMS_Input[SPONSOR])</f>
        <v>12002954</v>
      </c>
      <c r="F526" s="309" t="str">
        <f>_xlfn.XLOOKUP(FMS_Ranking4[[#This Row],[FMS ID]],Sponsor[FMS_ID],Sponsor[SPONSOR NAME])</f>
        <v>LaCoste</v>
      </c>
      <c r="G526" s="309" t="str">
        <f>_xlfn.XLOOKUP(FMS_Ranking4[[#This Row],[FMS ID]],FMS_Input[FMS_ID],FMS_Input[FMS_DESCR])</f>
        <v>Create a program to educate the public about specific mitigation actions for flooding hazards</v>
      </c>
      <c r="H526" s="248" t="str">
        <f>_xlfn.XLOOKUP(FMS_Ranking4[[#This Row],[FMS ID]],FMS_Input[FMS_ID],FMS_Input[FMS_TYPE])</f>
        <v>Education and Outreach</v>
      </c>
      <c r="I526" s="249">
        <f>_xlfn.XLOOKUP(FMS_Ranking4[[#This Row],[FMS ID]],FMS_Input[FMS_ID],FMS_Input[NRNC_COST])</f>
        <v>35000</v>
      </c>
      <c r="J526" s="250">
        <f>_xlfn.XLOOKUP(FMS_Ranking4[[#This Row],[FMS ID]],FMS_Input[FMS_ID],FMS_Input[FMS_COST])</f>
        <v>35000</v>
      </c>
      <c r="K526" s="251" t="str">
        <f>_xlfn.XLOOKUP(FMS_Ranking4[[#This Row],[FMS ID]],FMS_Input[FMS_ID],FMS_Input[EMER_NEED])</f>
        <v>No</v>
      </c>
      <c r="L526" s="252">
        <f t="shared" si="8"/>
        <v>0</v>
      </c>
      <c r="M526" s="253">
        <f>_xlfn.XLOOKUP(FMS_Ranking4[[#This Row],[FMS ID]],FMS_Input[FMS_ID],FMS_Input[STRUCT_100])</f>
        <v>170</v>
      </c>
      <c r="N526" s="255">
        <f>(ASINH(FMS_Ranking4[[#This Row],[Structure at Risk Raw]]))*(10)/(ASINH(M$4))</f>
        <v>4.5824259483614718</v>
      </c>
      <c r="O526" s="256">
        <f>FMS_Ranking4[[#This Row],[Structures at risk, ArcSinh (0-10)]]*M$5*10</f>
        <v>4.5824259483614718</v>
      </c>
      <c r="P526" s="253">
        <f>_xlfn.XLOOKUP(FMS_Ranking4[[#This Row],[FMS ID]],FMS_Input[FMS_ID],FMS_Input[RES_STRUCT100])</f>
        <v>133</v>
      </c>
      <c r="Q526" s="257">
        <f>ASINH(FMS_Ranking4[[#This Row],[Res Structure Raw]])/Q$4*P$5*100</f>
        <v>0</v>
      </c>
      <c r="R526" s="253">
        <f>_xlfn.XLOOKUP(FMS_Ranking4[[#This Row],[FMS ID]],FMS_Input[FMS_ID],FMS_Input[POP100])</f>
        <v>263</v>
      </c>
      <c r="S526" s="259">
        <f>(ASINH(FMS_Ranking4[[#This Row],[Pop at Risk Raw]]))*(10)/(ASINH(R$4))</f>
        <v>4.3253046752009503</v>
      </c>
      <c r="T526" s="256">
        <f>FMS_Ranking4[[#This Row],[Population at risk, ArcSinh (0-10)]]*R$5*10</f>
        <v>4.3253046752009503</v>
      </c>
      <c r="U526" s="253">
        <f>_xlfn.XLOOKUP(FMS_Ranking4[[#This Row],[FMS ID]],FMS_Input[FMS_ID],FMS_Input[CRITFAC100])</f>
        <v>0</v>
      </c>
      <c r="V526" s="259">
        <f>(ASINH(FMS_Ranking4[[#This Row],[Critical Facilities Raw]]))*(10)/(ASINH(U$4))</f>
        <v>0</v>
      </c>
      <c r="W526" s="256">
        <f>FMS_Ranking4[[#This Row],[Critical facilities at risk, ArcSinh (0-10)]]*U$5*10</f>
        <v>0</v>
      </c>
      <c r="X526" s="253">
        <f>_xlfn.XLOOKUP(FMS_Ranking4[[#This Row],[FMS ID]],FMS_Input[FMS_ID],FMS_Input[LWC])</f>
        <v>5</v>
      </c>
      <c r="Y526" s="259">
        <f>(ASINH(FMS_Ranking4[[#This Row],[LWC Raw]]))*(10)/(ASINH(X$4))</f>
        <v>3.1327475801820781</v>
      </c>
      <c r="Z526" s="256">
        <f>FMS_Ranking4[[#This Row],[LWC, ArcSInh (0-10)]]*X$5*10</f>
        <v>3.1327475801820781</v>
      </c>
      <c r="AA526" s="253">
        <f>_xlfn.XLOOKUP(FMS_Ranking4[[#This Row],[FMS ID]],FMS_Input[FMS_ID],FMS_Input[ROADCLS])</f>
        <v>23</v>
      </c>
      <c r="AB526" s="255">
        <f>(ASINH(FMS_Ranking4[[#This Row],[Road Closures Raw]]))*(10)/(ASINH(AA$4))</f>
        <v>3.9876704201794224</v>
      </c>
      <c r="AC526" s="256">
        <f>FMS_Ranking4[[#This Row],[Road closures, ArcSinh (0-10)]]*AA$5*10</f>
        <v>1.9938352100897114</v>
      </c>
      <c r="AD526" s="253">
        <f>_xlfn.XLOOKUP(FMS_Ranking4[[#This Row],[FMS ID]],FMS_Input[FMS_ID],FMS_Input[ROAD_MILES100])</f>
        <v>4</v>
      </c>
      <c r="AE526" s="259">
        <f>(ASINH(FMS_Ranking4[[#This Row],[Road Miles Raw]]))*(10)/(ASINH(AD$4))</f>
        <v>2.2323872691766113</v>
      </c>
      <c r="AF526" s="256">
        <f>FMS_Ranking4[[#This Row],[Length of roads at risk, ArcSinh (0-10)]]*AD$5*10</f>
        <v>2.2323872691766113</v>
      </c>
      <c r="AG526" s="253">
        <f>_xlfn.XLOOKUP(FMS_Ranking4[[#This Row],[FMS ID]],FMS_Input[FMS_ID],FMS_Input[FARMACRE100])</f>
        <v>1.330000042915344</v>
      </c>
      <c r="AH526" s="255">
        <f>(ASINH(FMS_Ranking4[[#This Row],[Ag Land Raw]]))*(10)/(ASINH(AG$4))</f>
        <v>0.71233799836802514</v>
      </c>
      <c r="AI526" s="260">
        <f>FMS_Ranking4[[#This Row],[Farm &amp; ranch land, ArcSinh (0-10)]]*AG$5*10</f>
        <v>0.35616899918401257</v>
      </c>
      <c r="AJ526" s="258">
        <f>_xlfn.XLOOKUP(FMS_Ranking4[[#This Row],[FMS ID]],FMS_Input[FMS_ID],FMS_Input[REDSTRUCT100])</f>
        <v>0</v>
      </c>
      <c r="AK526" s="253">
        <f>_xlfn.XLOOKUP(FMS_Ranking4[[#This Row],[FMS ID]],FMS_Input[FMS_ID],FMS_Input[REMSTRC100])</f>
        <v>0</v>
      </c>
      <c r="AL526" s="259">
        <f>(ASINH(FMS_Ranking4[[#This Row],[Structures Removed Raw]]))*(10)/(ASINH(AK$4))</f>
        <v>0</v>
      </c>
      <c r="AM526" s="262">
        <f>FMS_Ranking4[[#This Row],[Structures removed, ArcSinh (0-10)]]*AK$5*10</f>
        <v>0</v>
      </c>
      <c r="AN526" s="253">
        <f>_xlfn.XLOOKUP(FMS_Ranking4[[#This Row],[FMS ID]],FMS_Input[FMS_ID],FMS_Input[REMRESSTRC100])</f>
        <v>0</v>
      </c>
      <c r="AO526" s="261">
        <f>FMS_Ranking4[[#This Row],[ArcSinh Res struct removed 0-10]]*AN$5*10</f>
        <v>0</v>
      </c>
      <c r="AP526" s="260">
        <f>ASINH(FMS_Ranking4[[#This Row],[Residential Structures Removed Raw]])/AP$4*AN$5*100</f>
        <v>0</v>
      </c>
      <c r="AQ526" s="254">
        <f>(ASINH(FMS_Ranking4[[#This Row],[Residential Structures Removed Raw]]))*(10)/(ASINH(AN$4))</f>
        <v>0</v>
      </c>
      <c r="AR526" s="253">
        <f>_xlfn.XLOOKUP(FMS_Ranking4[[#This Row],[FMS ID]],FMS_Input[FMS_ID],FMS_Input[REMPOP100])</f>
        <v>0</v>
      </c>
      <c r="AS526" s="259">
        <f>(ASINH(FMS_Ranking4[[#This Row],[Removed Pop Raw]]))*(10)/(ASINH(AR$4))</f>
        <v>0</v>
      </c>
      <c r="AT526" s="262">
        <f>FMS_Ranking4[[#This Row],[Removed population, ArcSinh (0-10)]]*AR$5*10</f>
        <v>0</v>
      </c>
      <c r="AU526" s="264">
        <f>_xlfn.XLOOKUP(FMS_Ranking4[[#This Row],[FMS ID]],FMS_Input[FMS_ID],FMS_Input[REMCRITFAC100])</f>
        <v>0</v>
      </c>
      <c r="AV526" s="264">
        <f>_xlfn.XLOOKUP(FMS_Ranking4[[#This Row],[FMS ID]],FMS_Input[FMS_ID],FMS_Input[REMLWC100])</f>
        <v>0</v>
      </c>
      <c r="AW526" s="264">
        <f>_xlfn.XLOOKUP(FMS_Ranking4[[#This Row],[FMS ID]],FMS_Input[FMS_ID],FMS_Input[REMROADCLS])</f>
        <v>0</v>
      </c>
      <c r="AX526" s="264">
        <f>_xlfn.XLOOKUP(FMS_Ranking4[[#This Row],[FMS ID]],FMS_Input[FMS_ID],FMS_Input[REMFRMACRE100])</f>
        <v>0</v>
      </c>
      <c r="AY526" s="258">
        <f>_xlfn.XLOOKUP(FMS_Ranking4[[#This Row],[FMS ID]],FMS_Input[FMS_ID],FMS_Input[COSTSTRUCT])</f>
        <v>0</v>
      </c>
      <c r="AZ526" s="253">
        <f>_xlfn.XLOOKUP(FMS_Ranking4[[#This Row],[FMS ID]],FMS_Input[FMS_ID],FMS_Input[NATURE])</f>
        <v>0</v>
      </c>
      <c r="BA526" s="262">
        <f>(((FMS_Ranking4[[#This Row],[% NBS Raw]]/AZ$4)*100)*AZ$5)</f>
        <v>0</v>
      </c>
      <c r="BB526" s="251" t="str">
        <f>_xlfn.XLOOKUP(FMS_Ranking4[[#This Row],[FMS ID]],FMS_Input[FMS_ID],FMS_Input[WATER_SUP])</f>
        <v>No</v>
      </c>
      <c r="BC526" s="265">
        <f>IF(FMS_Ranking4[[#This Row],[Water Supply Raw]]="Yes",10,0)</f>
        <v>0</v>
      </c>
      <c r="BD526" s="266">
        <f>_xlfn.XLOOKUP(FMS_Ranking4[[#This Row],[FMS Type]],FMS_TYPE[FMS_Type],FMS_TYPE[Score])</f>
        <v>6</v>
      </c>
      <c r="BE526" s="267">
        <f>FMS_Ranking4[[#This Row],[FMS_Type Score]]*$BD$5*10</f>
        <v>1.5000000000000002</v>
      </c>
      <c r="BF52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9.7397596197325631E-2</v>
      </c>
      <c r="BG526" s="271">
        <f>_xlfn.RANK.EQ(BF526,$BF$8:$BF$870,0)+COUNTIF($BF$8:BF526,BF526)-1</f>
        <v>496</v>
      </c>
      <c r="BH526" s="268">
        <f>(((FMS_Ranking4[[#This Row],[Structures Removed Raw]]/AK$4)*100)*AK$5)+(((FMS_Ranking4[[#This Row],[Removed Pop Raw]]/AR$4)*100)*AR$5)</f>
        <v>0</v>
      </c>
      <c r="BI52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1.5973975961973259</v>
      </c>
      <c r="BJ526" s="205">
        <f>_xlfn.RANK.EQ(FMS_Ranking4[[#This Row],[Total Score 
(with linear
normalization)]],FMS_Ranking4[Total Score 
(with linear
normalization)],0)</f>
        <v>566</v>
      </c>
      <c r="BK526" s="205" t="e">
        <f>_xlfn.XLOOKUP(FMS_Ranking4[[#This Row],[FMS ID]],#REF!,#REF!)</f>
        <v>#REF!</v>
      </c>
      <c r="BL52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16.622869682194839</v>
      </c>
      <c r="BM526" s="272">
        <f>FMS_Ranking4[[#This Row],[ArcSinh Score Based on Normalized Reported Factors]]+FMS_Ranking4[[#This Row],[% NBS Score (Normalized)]]+(FMS_Ranking4[[#This Row],[Water Supply Score (Normalized)]]*10*$BB$5)+FMS_Ranking4[[#This Row],[FMS_Type Score Weighted]]</f>
        <v>18.122869682194839</v>
      </c>
      <c r="BN526" s="205">
        <f>_xlfn.RANK.EQ(FMS_Ranking4[[#This Row],[Total Score (with ArcSinh normalization of select criteria)]],FMS_Ranking4[Total Score (with ArcSinh normalization of select criteria)],0)</f>
        <v>519</v>
      </c>
      <c r="BO526" s="270" t="str">
        <f>_xlfn.XLOOKUP(FMS_Ranking4[[#This Row],[FMS ID]],FMS_Input[FMS_ID],FMS_Input[FMS_RANK_YEAR])</f>
        <v>2023 Amended Plan</v>
      </c>
      <c r="BP526" s="204">
        <f>_xlfn.XLOOKUP(FMS_Ranking4[[#This Row],[FMS ID]],Prev_Rank[FMS ID],Prev_Rank[Prev Rank])</f>
        <v>462</v>
      </c>
      <c r="BQ526" s="205" t="e">
        <f>_xlfn.XLOOKUP(FMS_Ranking4[[#This Row],[FMS ID]],#REF!,#REF!)</f>
        <v>#REF!</v>
      </c>
      <c r="BR526" s="199" t="e">
        <f>SUM(#REF!,#REF!,#REF!,#REF!,#REF!,#REF!,#REF!,#REF!,#REF!,FMS_Ranking4[[#This Row],[ArcSinh Res struct removed 0-10]],#REF!)</f>
        <v>#REF!</v>
      </c>
      <c r="BS526" s="199" t="e">
        <f>FMS_Ranking4[[#This Row],[Log Score Based on Normalized Reported Factors]]+FMS_Ranking4[[#This Row],[% NBS Score (Normalized)]]+(FMS_Ranking4[[#This Row],[Water Supply Score (Normalized)]]*10*$BB$5)+(FMS_Ranking4[[#This Row],[FMS_Type Score Weighted]])</f>
        <v>#REF!</v>
      </c>
      <c r="BT526" s="200" t="e">
        <f>_xlfn.RANK.EQ(FMS_Ranking4[[#This Row],[Log Total Score]],FMS_Ranking4[Log Total Score],0)</f>
        <v>#REF!</v>
      </c>
      <c r="BU526" s="200" t="e">
        <f>_xlfn.XLOOKUP(FMS_Ranking4[[#This Row],[FMS ID]],#REF!,#REF!)</f>
        <v>#REF!</v>
      </c>
      <c r="BV526" s="200">
        <f>FMS_Ranking4[[#This Row],[Region Number]]</f>
        <v>12</v>
      </c>
      <c r="BW526" s="200">
        <f>FMS_Ranking4[[#This Row],[Rank (with ArcSinh normalization of select criteria)]]-FMS_Ranking4[[#This Row],[Rank
(with linear
normalization)]]</f>
        <v>-47</v>
      </c>
      <c r="BX526" s="200" t="e">
        <f>FMS_Ranking4[[#This Row],[Log Rank]]-FMS_Ranking4[[#This Row],[Rank
(with linear
normalization)]]</f>
        <v>#REF!</v>
      </c>
      <c r="BY526" s="200" t="str">
        <f>IF(FMS_Ranking4[[#This Row],[FMS Type]]="Flood Measurement and Warning",FMS_Ranking4[[#This Row],[Rank (with ArcSinh normalization of select criteria)]],"")</f>
        <v/>
      </c>
      <c r="BZ526" s="200" t="str">
        <f>IF(FMS_Ranking4[[#This Row],[FMS Type]]="Regulatory and Guidance",FMS_Ranking4[[#This Row],[Rank (with ArcSinh normalization of select criteria)]],"")</f>
        <v/>
      </c>
      <c r="CA526" s="200">
        <f>IF(FMS_Ranking4[[#This Row],[FMS Type]]="Education and Outreach",FMS_Ranking4[[#This Row],[Rank (with ArcSinh normalization of select criteria)]],"")</f>
        <v>519</v>
      </c>
      <c r="CB526" s="200" t="str">
        <f>IF(FMS_Ranking4[[#This Row],[FMS Type]]="Property Acquisition and Structural Elevation",FMS_Ranking4[[#This Row],[Rank (with ArcSinh normalization of select criteria)]],"")</f>
        <v/>
      </c>
      <c r="CC526" s="200" t="str">
        <f>IF(FMS_Ranking4[[#This Row],[FMS Type]]="Infrastructure Projects",FMS_Ranking4[[#This Row],[Rank (with ArcSinh normalization of select criteria)]],"")</f>
        <v/>
      </c>
      <c r="CD526" s="200" t="str">
        <f>IF(FMS_Ranking4[[#This Row],[FMS Type]]="Other",FMS_Ranking4[[#This Row],[Rank (with ArcSinh normalization of select criteria)]],"")</f>
        <v/>
      </c>
      <c r="CE526" s="201"/>
      <c r="CF526" s="206"/>
      <c r="CG526" s="206"/>
      <c r="CH526" s="206"/>
      <c r="CI526" s="206"/>
      <c r="CJ526" s="206"/>
      <c r="CK526" s="206"/>
      <c r="CL526" s="206"/>
      <c r="CM526" s="206"/>
      <c r="CN526" s="206"/>
      <c r="CO526" s="206"/>
      <c r="CP526" s="206"/>
      <c r="CQ526" s="206"/>
      <c r="CR526" s="206"/>
    </row>
    <row r="527" spans="2:96" ht="75" x14ac:dyDescent="0.25">
      <c r="B527" s="341" t="s">
        <v>3181</v>
      </c>
      <c r="C527" s="246">
        <f>_xlfn.XLOOKUP(FMS_Ranking4[[#This Row],[FMS ID]],FMS_Input[FMS_ID],FMS_Input[RFPG_NUM])</f>
        <v>7</v>
      </c>
      <c r="D527" s="309" t="str">
        <f>_xlfn.XLOOKUP(FMS_Ranking4[[#This Row],[FMS ID]],FMS_Input[FMS_ID],FMS_Input[FMS_NAME])</f>
        <v>Kent County NFIP Cross Train Program</v>
      </c>
      <c r="E527" s="308" t="str">
        <f>_xlfn.XLOOKUP(FMS_Ranking4[[#This Row],[FMS ID]],FMS_Input[FMS_ID],FMS_Input[SPONSOR])</f>
        <v>07000181</v>
      </c>
      <c r="F527" s="309" t="str">
        <f>_xlfn.XLOOKUP(FMS_Ranking4[[#This Row],[FMS ID]],Sponsor[FMS_ID],Sponsor[SPONSOR NAME])</f>
        <v>Kent</v>
      </c>
      <c r="G527" s="309" t="str">
        <f>_xlfn.XLOOKUP(FMS_Ranking4[[#This Row],[FMS ID]],FMS_Input[FMS_ID],FMS_Input[FMS_DESCR])</f>
        <v>Cross-train Code Officers and Building Inspectors regarding permitting, inspection, and record-keeping requirements of the NFIP Program.</v>
      </c>
      <c r="H527" s="248" t="str">
        <f>_xlfn.XLOOKUP(FMS_Ranking4[[#This Row],[FMS ID]],FMS_Input[FMS_ID],FMS_Input[FMS_TYPE])</f>
        <v>Regulatory and Guidance</v>
      </c>
      <c r="I527" s="249">
        <f>_xlfn.XLOOKUP(FMS_Ranking4[[#This Row],[FMS ID]],FMS_Input[FMS_ID],FMS_Input[NRNC_COST])</f>
        <v>25000</v>
      </c>
      <c r="J527" s="250">
        <f>_xlfn.XLOOKUP(FMS_Ranking4[[#This Row],[FMS ID]],FMS_Input[FMS_ID],FMS_Input[FMS_COST])</f>
        <v>25000</v>
      </c>
      <c r="K527" s="251" t="str">
        <f>_xlfn.XLOOKUP(FMS_Ranking4[[#This Row],[FMS ID]],FMS_Input[FMS_ID],FMS_Input[EMER_NEED])</f>
        <v>No</v>
      </c>
      <c r="L527" s="252">
        <f t="shared" si="8"/>
        <v>0</v>
      </c>
      <c r="M527" s="253">
        <f>_xlfn.XLOOKUP(FMS_Ranking4[[#This Row],[FMS ID]],FMS_Input[FMS_ID],FMS_Input[STRUCT_100])</f>
        <v>38</v>
      </c>
      <c r="N527" s="255">
        <f>(ASINH(FMS_Ranking4[[#This Row],[Structure at Risk Raw]]))*(10)/(ASINH(M$4))</f>
        <v>3.4047372945087777</v>
      </c>
      <c r="O527" s="256">
        <f>FMS_Ranking4[[#This Row],[Structures at risk, ArcSinh (0-10)]]*M$5*10</f>
        <v>3.4047372945087777</v>
      </c>
      <c r="P527" s="253">
        <f>_xlfn.XLOOKUP(FMS_Ranking4[[#This Row],[FMS ID]],FMS_Input[FMS_ID],FMS_Input[RES_STRUCT100])</f>
        <v>3</v>
      </c>
      <c r="Q527" s="257">
        <f>ASINH(FMS_Ranking4[[#This Row],[Res Structure Raw]])/Q$4*P$5*100</f>
        <v>0</v>
      </c>
      <c r="R527" s="253">
        <f>_xlfn.XLOOKUP(FMS_Ranking4[[#This Row],[FMS ID]],FMS_Input[FMS_ID],FMS_Input[POP100])</f>
        <v>3</v>
      </c>
      <c r="S527" s="259">
        <f>(ASINH(FMS_Ranking4[[#This Row],[Pop at Risk Raw]]))*(10)/(ASINH(R$4))</f>
        <v>1.2553794569988064</v>
      </c>
      <c r="T527" s="256">
        <f>FMS_Ranking4[[#This Row],[Population at risk, ArcSinh (0-10)]]*R$5*10</f>
        <v>1.2553794569988064</v>
      </c>
      <c r="U527" s="253">
        <f>_xlfn.XLOOKUP(FMS_Ranking4[[#This Row],[FMS ID]],FMS_Input[FMS_ID],FMS_Input[CRITFAC100])</f>
        <v>1</v>
      </c>
      <c r="V527" s="259">
        <f>(ASINH(FMS_Ranking4[[#This Row],[Critical Facilities Raw]]))*(10)/(ASINH(U$4))</f>
        <v>1.0433384451410745</v>
      </c>
      <c r="W527" s="256">
        <f>FMS_Ranking4[[#This Row],[Critical facilities at risk, ArcSinh (0-10)]]*U$5*10</f>
        <v>1.0433384451410745</v>
      </c>
      <c r="X527" s="253">
        <f>_xlfn.XLOOKUP(FMS_Ranking4[[#This Row],[FMS ID]],FMS_Input[FMS_ID],FMS_Input[LWC])</f>
        <v>4</v>
      </c>
      <c r="Y527" s="259">
        <f>(ASINH(FMS_Ranking4[[#This Row],[LWC Raw]]))*(10)/(ASINH(X$4))</f>
        <v>2.8377862217928165</v>
      </c>
      <c r="Z527" s="256">
        <f>FMS_Ranking4[[#This Row],[LWC, ArcSInh (0-10)]]*X$5*10</f>
        <v>2.8377862217928169</v>
      </c>
      <c r="AA527" s="253">
        <f>_xlfn.XLOOKUP(FMS_Ranking4[[#This Row],[FMS ID]],FMS_Input[FMS_ID],FMS_Input[ROADCLS])</f>
        <v>0</v>
      </c>
      <c r="AB527" s="255">
        <f>(ASINH(FMS_Ranking4[[#This Row],[Road Closures Raw]]))*(10)/(ASINH(AA$4))</f>
        <v>0</v>
      </c>
      <c r="AC527" s="256">
        <f>FMS_Ranking4[[#This Row],[Road closures, ArcSinh (0-10)]]*AA$5*10</f>
        <v>0</v>
      </c>
      <c r="AD527" s="253">
        <f>_xlfn.XLOOKUP(FMS_Ranking4[[#This Row],[FMS ID]],FMS_Input[FMS_ID],FMS_Input[ROAD_MILES100])</f>
        <v>41</v>
      </c>
      <c r="AE527" s="259">
        <f>(ASINH(FMS_Ranking4[[#This Row],[Road Miles Raw]]))*(10)/(ASINH(AD$4))</f>
        <v>4.6965087826098246</v>
      </c>
      <c r="AF527" s="256">
        <f>FMS_Ranking4[[#This Row],[Length of roads at risk, ArcSinh (0-10)]]*AD$5*10</f>
        <v>4.6965087826098255</v>
      </c>
      <c r="AG527" s="253">
        <f>_xlfn.XLOOKUP(FMS_Ranking4[[#This Row],[FMS ID]],FMS_Input[FMS_ID],FMS_Input[FARMACRE100])</f>
        <v>3243.90771484375</v>
      </c>
      <c r="AH527" s="255">
        <f>(ASINH(FMS_Ranking4[[#This Row],[Ag Land Raw]]))*(10)/(ASINH(AG$4))</f>
        <v>5.701819032368161</v>
      </c>
      <c r="AI527" s="260">
        <f>FMS_Ranking4[[#This Row],[Farm &amp; ranch land, ArcSinh (0-10)]]*AG$5*10</f>
        <v>2.8509095161840809</v>
      </c>
      <c r="AJ527" s="258">
        <f>_xlfn.XLOOKUP(FMS_Ranking4[[#This Row],[FMS ID]],FMS_Input[FMS_ID],FMS_Input[REDSTRUCT100])</f>
        <v>0</v>
      </c>
      <c r="AK527" s="253">
        <f>_xlfn.XLOOKUP(FMS_Ranking4[[#This Row],[FMS ID]],FMS_Input[FMS_ID],FMS_Input[REMSTRC100])</f>
        <v>0</v>
      </c>
      <c r="AL527" s="259">
        <f>(ASINH(FMS_Ranking4[[#This Row],[Structures Removed Raw]]))*(10)/(ASINH(AK$4))</f>
        <v>0</v>
      </c>
      <c r="AM527" s="262">
        <f>FMS_Ranking4[[#This Row],[Structures removed, ArcSinh (0-10)]]*AK$5*10</f>
        <v>0</v>
      </c>
      <c r="AN527" s="253">
        <f>_xlfn.XLOOKUP(FMS_Ranking4[[#This Row],[FMS ID]],FMS_Input[FMS_ID],FMS_Input[REMRESSTRC100])</f>
        <v>0</v>
      </c>
      <c r="AO527" s="261">
        <f>FMS_Ranking4[[#This Row],[ArcSinh Res struct removed 0-10]]*AN$5*10</f>
        <v>0</v>
      </c>
      <c r="AP527" s="260">
        <f>ASINH(FMS_Ranking4[[#This Row],[Residential Structures Removed Raw]])/AP$4*AN$5*100</f>
        <v>0</v>
      </c>
      <c r="AQ527" s="254">
        <f>(ASINH(FMS_Ranking4[[#This Row],[Residential Structures Removed Raw]]))*(10)/(ASINH(AN$4))</f>
        <v>0</v>
      </c>
      <c r="AR527" s="253">
        <f>_xlfn.XLOOKUP(FMS_Ranking4[[#This Row],[FMS ID]],FMS_Input[FMS_ID],FMS_Input[REMPOP100])</f>
        <v>0</v>
      </c>
      <c r="AS527" s="259">
        <f>(ASINH(FMS_Ranking4[[#This Row],[Removed Pop Raw]]))*(10)/(ASINH(AR$4))</f>
        <v>0</v>
      </c>
      <c r="AT527" s="262">
        <f>FMS_Ranking4[[#This Row],[Removed population, ArcSinh (0-10)]]*AR$5*10</f>
        <v>0</v>
      </c>
      <c r="AU527" s="264">
        <f>_xlfn.XLOOKUP(FMS_Ranking4[[#This Row],[FMS ID]],FMS_Input[FMS_ID],FMS_Input[REMCRITFAC100])</f>
        <v>0</v>
      </c>
      <c r="AV527" s="264">
        <f>_xlfn.XLOOKUP(FMS_Ranking4[[#This Row],[FMS ID]],FMS_Input[FMS_ID],FMS_Input[REMLWC100])</f>
        <v>0</v>
      </c>
      <c r="AW527" s="264">
        <f>_xlfn.XLOOKUP(FMS_Ranking4[[#This Row],[FMS ID]],FMS_Input[FMS_ID],FMS_Input[REMROADCLS])</f>
        <v>0</v>
      </c>
      <c r="AX527" s="264">
        <f>_xlfn.XLOOKUP(FMS_Ranking4[[#This Row],[FMS ID]],FMS_Input[FMS_ID],FMS_Input[REMFRMACRE100])</f>
        <v>0</v>
      </c>
      <c r="AY527" s="258">
        <f>_xlfn.XLOOKUP(FMS_Ranking4[[#This Row],[FMS ID]],FMS_Input[FMS_ID],FMS_Input[COSTSTRUCT])</f>
        <v>0</v>
      </c>
      <c r="AZ527" s="253">
        <f>_xlfn.XLOOKUP(FMS_Ranking4[[#This Row],[FMS ID]],FMS_Input[FMS_ID],FMS_Input[NATURE])</f>
        <v>0</v>
      </c>
      <c r="BA527" s="262">
        <f>(((FMS_Ranking4[[#This Row],[% NBS Raw]]/AZ$4)*100)*AZ$5)</f>
        <v>0</v>
      </c>
      <c r="BB527" s="251" t="str">
        <f>_xlfn.XLOOKUP(FMS_Ranking4[[#This Row],[FMS ID]],FMS_Input[FMS_ID],FMS_Input[WATER_SUP])</f>
        <v>No</v>
      </c>
      <c r="BC527" s="265">
        <f>IF(FMS_Ranking4[[#This Row],[Water Supply Raw]]="Yes",10,0)</f>
        <v>0</v>
      </c>
      <c r="BD527" s="266">
        <f>_xlfn.XLOOKUP(FMS_Ranking4[[#This Row],[FMS Type]],FMS_TYPE[FMS_Type],FMS_TYPE[Score])</f>
        <v>8</v>
      </c>
      <c r="BE527" s="267">
        <f>FMS_Ranking4[[#This Row],[FMS_Type Score]]*$BD$5*10</f>
        <v>2</v>
      </c>
      <c r="BF52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0.13206980870040103</v>
      </c>
      <c r="BG527" s="271">
        <f>_xlfn.RANK.EQ(BF527,$BF$8:$BF$870,0)+COUNTIF($BF$8:BF527,BF527)-1</f>
        <v>434</v>
      </c>
      <c r="BH527" s="268">
        <f>(((FMS_Ranking4[[#This Row],[Structures Removed Raw]]/AK$4)*100)*AK$5)+(((FMS_Ranking4[[#This Row],[Removed Pop Raw]]/AR$4)*100)*AR$5)</f>
        <v>0</v>
      </c>
      <c r="BI52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2.1320698087004009</v>
      </c>
      <c r="BJ527" s="205">
        <f>_xlfn.RANK.EQ(FMS_Ranking4[[#This Row],[Total Score 
(with linear
normalization)]],FMS_Ranking4[Total Score 
(with linear
normalization)],0)</f>
        <v>350</v>
      </c>
      <c r="BK527" s="205" t="e">
        <f>_xlfn.XLOOKUP(FMS_Ranking4[[#This Row],[FMS ID]],#REF!,#REF!)</f>
        <v>#REF!</v>
      </c>
      <c r="BL52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16.08865971723538</v>
      </c>
      <c r="BM527" s="272">
        <f>FMS_Ranking4[[#This Row],[ArcSinh Score Based on Normalized Reported Factors]]+FMS_Ranking4[[#This Row],[% NBS Score (Normalized)]]+(FMS_Ranking4[[#This Row],[Water Supply Score (Normalized)]]*10*$BB$5)+FMS_Ranking4[[#This Row],[FMS_Type Score Weighted]]</f>
        <v>18.08865971723538</v>
      </c>
      <c r="BN527" s="205">
        <f>_xlfn.RANK.EQ(FMS_Ranking4[[#This Row],[Total Score (with ArcSinh normalization of select criteria)]],FMS_Ranking4[Total Score (with ArcSinh normalization of select criteria)],0)</f>
        <v>520</v>
      </c>
      <c r="BO527" s="270" t="str">
        <f>_xlfn.XLOOKUP(FMS_Ranking4[[#This Row],[FMS ID]],FMS_Input[FMS_ID],FMS_Input[FMS_RANK_YEAR])</f>
        <v>2023 Amended Plan</v>
      </c>
      <c r="BP527" s="204">
        <f>_xlfn.XLOOKUP(FMS_Ranking4[[#This Row],[FMS ID]],Prev_Rank[FMS ID],Prev_Rank[Prev Rank])</f>
        <v>463</v>
      </c>
      <c r="BQ527" s="205" t="e">
        <f>_xlfn.XLOOKUP(FMS_Ranking4[[#This Row],[FMS ID]],#REF!,#REF!)</f>
        <v>#REF!</v>
      </c>
      <c r="BR527" s="199" t="e">
        <f>SUM(#REF!,#REF!,#REF!,#REF!,#REF!,#REF!,#REF!,#REF!,#REF!,FMS_Ranking4[[#This Row],[ArcSinh Res struct removed 0-10]],#REF!)</f>
        <v>#REF!</v>
      </c>
      <c r="BS527" s="199" t="e">
        <f>FMS_Ranking4[[#This Row],[Log Score Based on Normalized Reported Factors]]+FMS_Ranking4[[#This Row],[% NBS Score (Normalized)]]+(FMS_Ranking4[[#This Row],[Water Supply Score (Normalized)]]*10*$BB$5)+(FMS_Ranking4[[#This Row],[FMS_Type Score Weighted]])</f>
        <v>#REF!</v>
      </c>
      <c r="BT527" s="200" t="e">
        <f>_xlfn.RANK.EQ(FMS_Ranking4[[#This Row],[Log Total Score]],FMS_Ranking4[Log Total Score],0)</f>
        <v>#REF!</v>
      </c>
      <c r="BU527" s="200" t="e">
        <f>_xlfn.XLOOKUP(FMS_Ranking4[[#This Row],[FMS ID]],#REF!,#REF!)</f>
        <v>#REF!</v>
      </c>
      <c r="BV527" s="200">
        <f>FMS_Ranking4[[#This Row],[Region Number]]</f>
        <v>7</v>
      </c>
      <c r="BW527" s="200">
        <f>FMS_Ranking4[[#This Row],[Rank (with ArcSinh normalization of select criteria)]]-FMS_Ranking4[[#This Row],[Rank
(with linear
normalization)]]</f>
        <v>170</v>
      </c>
      <c r="BX527" s="200" t="e">
        <f>FMS_Ranking4[[#This Row],[Log Rank]]-FMS_Ranking4[[#This Row],[Rank
(with linear
normalization)]]</f>
        <v>#REF!</v>
      </c>
      <c r="BY527" s="200" t="str">
        <f>IF(FMS_Ranking4[[#This Row],[FMS Type]]="Flood Measurement and Warning",FMS_Ranking4[[#This Row],[Rank (with ArcSinh normalization of select criteria)]],"")</f>
        <v/>
      </c>
      <c r="BZ527" s="200">
        <f>IF(FMS_Ranking4[[#This Row],[FMS Type]]="Regulatory and Guidance",FMS_Ranking4[[#This Row],[Rank (with ArcSinh normalization of select criteria)]],"")</f>
        <v>520</v>
      </c>
      <c r="CA527" s="200" t="str">
        <f>IF(FMS_Ranking4[[#This Row],[FMS Type]]="Education and Outreach",FMS_Ranking4[[#This Row],[Rank (with ArcSinh normalization of select criteria)]],"")</f>
        <v/>
      </c>
      <c r="CB527" s="200" t="str">
        <f>IF(FMS_Ranking4[[#This Row],[FMS Type]]="Property Acquisition and Structural Elevation",FMS_Ranking4[[#This Row],[Rank (with ArcSinh normalization of select criteria)]],"")</f>
        <v/>
      </c>
      <c r="CC527" s="200" t="str">
        <f>IF(FMS_Ranking4[[#This Row],[FMS Type]]="Infrastructure Projects",FMS_Ranking4[[#This Row],[Rank (with ArcSinh normalization of select criteria)]],"")</f>
        <v/>
      </c>
      <c r="CD527" s="200" t="str">
        <f>IF(FMS_Ranking4[[#This Row],[FMS Type]]="Other",FMS_Ranking4[[#This Row],[Rank (with ArcSinh normalization of select criteria)]],"")</f>
        <v/>
      </c>
      <c r="CE527" s="201"/>
      <c r="CF527" s="206"/>
      <c r="CG527" s="206"/>
      <c r="CH527" s="206"/>
      <c r="CI527" s="206"/>
      <c r="CJ527" s="206"/>
      <c r="CK527" s="206"/>
      <c r="CL527" s="206"/>
      <c r="CM527" s="206"/>
      <c r="CN527" s="206"/>
      <c r="CO527" s="206"/>
      <c r="CP527" s="206"/>
      <c r="CQ527" s="206"/>
      <c r="CR527" s="206"/>
    </row>
    <row r="528" spans="2:96" ht="105" x14ac:dyDescent="0.25">
      <c r="B528" s="341" t="s">
        <v>3979</v>
      </c>
      <c r="C528" s="246">
        <f>_xlfn.XLOOKUP(FMS_Ranking4[[#This Row],[FMS ID]],FMS_Input[FMS_ID],FMS_Input[RFPG_NUM])</f>
        <v>15</v>
      </c>
      <c r="D528" s="309" t="str">
        <f>_xlfn.XLOOKUP(FMS_Ranking4[[#This Row],[FMS ID]],FMS_Input[FMS_ID],FMS_Input[FMS_NAME])</f>
        <v>Rancho Viejo Action #11</v>
      </c>
      <c r="E528" s="308" t="str">
        <f>_xlfn.XLOOKUP(FMS_Ranking4[[#This Row],[FMS ID]],FMS_Input[FMS_ID],FMS_Input[SPONSOR])</f>
        <v>15000053</v>
      </c>
      <c r="F528" s="309" t="str">
        <f>_xlfn.XLOOKUP(FMS_Ranking4[[#This Row],[FMS ID]],Sponsor[FMS_ID],Sponsor[SPONSOR NAME])</f>
        <v>Rancho Viejo</v>
      </c>
      <c r="G528" s="309" t="str">
        <f>_xlfn.XLOOKUP(FMS_Ranking4[[#This Row],[FMS ID]],FMS_Input[FMS_ID],FMS_Input[FMS_DESCR])</f>
        <v>Update website with maps and information including StormReady data and links; Mail educational brochures to residents in hazard-prone areas on mitigation measures to reduce damages</v>
      </c>
      <c r="H528" s="248" t="str">
        <f>_xlfn.XLOOKUP(FMS_Ranking4[[#This Row],[FMS ID]],FMS_Input[FMS_ID],FMS_Input[FMS_TYPE])</f>
        <v>Education and Outreach</v>
      </c>
      <c r="I528" s="249">
        <f>_xlfn.XLOOKUP(FMS_Ranking4[[#This Row],[FMS ID]],FMS_Input[FMS_ID],FMS_Input[NRNC_COST])</f>
        <v>1000</v>
      </c>
      <c r="J528" s="250">
        <f>_xlfn.XLOOKUP(FMS_Ranking4[[#This Row],[FMS ID]],FMS_Input[FMS_ID],FMS_Input[FMS_COST])</f>
        <v>5000</v>
      </c>
      <c r="K528" s="251" t="str">
        <f>_xlfn.XLOOKUP(FMS_Ranking4[[#This Row],[FMS ID]],FMS_Input[FMS_ID],FMS_Input[EMER_NEED])</f>
        <v>Yes</v>
      </c>
      <c r="L528" s="252">
        <f t="shared" si="8"/>
        <v>1</v>
      </c>
      <c r="M528" s="253">
        <f>_xlfn.XLOOKUP(FMS_Ranking4[[#This Row],[FMS ID]],FMS_Input[FMS_ID],FMS_Input[STRUCT_100])</f>
        <v>633</v>
      </c>
      <c r="N528" s="255">
        <f>(ASINH(FMS_Ranking4[[#This Row],[Structure at Risk Raw]]))*(10)/(ASINH(M$4))</f>
        <v>5.615947564815662</v>
      </c>
      <c r="O528" s="256">
        <f>FMS_Ranking4[[#This Row],[Structures at risk, ArcSinh (0-10)]]*M$5*10</f>
        <v>5.615947564815662</v>
      </c>
      <c r="P528" s="253">
        <f>_xlfn.XLOOKUP(FMS_Ranking4[[#This Row],[FMS ID]],FMS_Input[FMS_ID],FMS_Input[RES_STRUCT100])</f>
        <v>609</v>
      </c>
      <c r="Q528" s="257">
        <f>ASINH(FMS_Ranking4[[#This Row],[Res Structure Raw]])/Q$4*P$5*100</f>
        <v>0</v>
      </c>
      <c r="R528" s="253">
        <f>_xlfn.XLOOKUP(FMS_Ranking4[[#This Row],[FMS ID]],FMS_Input[FMS_ID],FMS_Input[POP100])</f>
        <v>1980</v>
      </c>
      <c r="S528" s="259">
        <f>(ASINH(FMS_Ranking4[[#This Row],[Pop at Risk Raw]]))*(10)/(ASINH(R$4))</f>
        <v>5.7189270410480209</v>
      </c>
      <c r="T528" s="256">
        <f>FMS_Ranking4[[#This Row],[Population at risk, ArcSinh (0-10)]]*R$5*10</f>
        <v>5.7189270410480209</v>
      </c>
      <c r="U528" s="253">
        <f>_xlfn.XLOOKUP(FMS_Ranking4[[#This Row],[FMS ID]],FMS_Input[FMS_ID],FMS_Input[CRITFAC100])</f>
        <v>0</v>
      </c>
      <c r="V528" s="259">
        <f>(ASINH(FMS_Ranking4[[#This Row],[Critical Facilities Raw]]))*(10)/(ASINH(U$4))</f>
        <v>0</v>
      </c>
      <c r="W528" s="256">
        <f>FMS_Ranking4[[#This Row],[Critical facilities at risk, ArcSinh (0-10)]]*U$5*10</f>
        <v>0</v>
      </c>
      <c r="X528" s="253">
        <f>_xlfn.XLOOKUP(FMS_Ranking4[[#This Row],[FMS ID]],FMS_Input[FMS_ID],FMS_Input[LWC])</f>
        <v>0</v>
      </c>
      <c r="Y528" s="259">
        <f>(ASINH(FMS_Ranking4[[#This Row],[LWC Raw]]))*(10)/(ASINH(X$4))</f>
        <v>0</v>
      </c>
      <c r="Z528" s="256">
        <f>FMS_Ranking4[[#This Row],[LWC, ArcSInh (0-10)]]*X$5*10</f>
        <v>0</v>
      </c>
      <c r="AA528" s="253">
        <f>_xlfn.XLOOKUP(FMS_Ranking4[[#This Row],[FMS ID]],FMS_Input[FMS_ID],FMS_Input[ROADCLS])</f>
        <v>0</v>
      </c>
      <c r="AB528" s="255">
        <f>(ASINH(FMS_Ranking4[[#This Row],[Road Closures Raw]]))*(10)/(ASINH(AA$4))</f>
        <v>0</v>
      </c>
      <c r="AC528" s="256">
        <f>FMS_Ranking4[[#This Row],[Road closures, ArcSinh (0-10)]]*AA$5*10</f>
        <v>0</v>
      </c>
      <c r="AD528" s="253">
        <f>_xlfn.XLOOKUP(FMS_Ranking4[[#This Row],[FMS ID]],FMS_Input[FMS_ID],FMS_Input[ROAD_MILES100])</f>
        <v>10</v>
      </c>
      <c r="AE528" s="259">
        <f>(ASINH(FMS_Ranking4[[#This Row],[Road Miles Raw]]))*(10)/(ASINH(AD$4))</f>
        <v>3.1952807811982975</v>
      </c>
      <c r="AF528" s="256">
        <f>FMS_Ranking4[[#This Row],[Length of roads at risk, ArcSinh (0-10)]]*AD$5*10</f>
        <v>3.1952807811982975</v>
      </c>
      <c r="AG528" s="253">
        <f>_xlfn.XLOOKUP(FMS_Ranking4[[#This Row],[FMS ID]],FMS_Input[FMS_ID],FMS_Input[FARMACRE100])</f>
        <v>228.2784423828125</v>
      </c>
      <c r="AH528" s="255">
        <f>(ASINH(FMS_Ranking4[[#This Row],[Ag Land Raw]]))*(10)/(ASINH(AG$4))</f>
        <v>3.9778538012944038</v>
      </c>
      <c r="AI528" s="260">
        <f>FMS_Ranking4[[#This Row],[Farm &amp; ranch land, ArcSinh (0-10)]]*AG$5*10</f>
        <v>1.9889269006472021</v>
      </c>
      <c r="AJ528" s="258">
        <f>_xlfn.XLOOKUP(FMS_Ranking4[[#This Row],[FMS ID]],FMS_Input[FMS_ID],FMS_Input[REDSTRUCT100])</f>
        <v>0</v>
      </c>
      <c r="AK528" s="253">
        <f>_xlfn.XLOOKUP(FMS_Ranking4[[#This Row],[FMS ID]],FMS_Input[FMS_ID],FMS_Input[REMSTRC100])</f>
        <v>0</v>
      </c>
      <c r="AL528" s="259">
        <f>(ASINH(FMS_Ranking4[[#This Row],[Structures Removed Raw]]))*(10)/(ASINH(AK$4))</f>
        <v>0</v>
      </c>
      <c r="AM528" s="262">
        <f>FMS_Ranking4[[#This Row],[Structures removed, ArcSinh (0-10)]]*AK$5*10</f>
        <v>0</v>
      </c>
      <c r="AN528" s="253">
        <f>_xlfn.XLOOKUP(FMS_Ranking4[[#This Row],[FMS ID]],FMS_Input[FMS_ID],FMS_Input[REMRESSTRC100])</f>
        <v>0</v>
      </c>
      <c r="AO528" s="261">
        <f>FMS_Ranking4[[#This Row],[ArcSinh Res struct removed 0-10]]*AN$5*10</f>
        <v>0</v>
      </c>
      <c r="AP528" s="260">
        <f>ASINH(FMS_Ranking4[[#This Row],[Residential Structures Removed Raw]])/AP$4*AN$5*100</f>
        <v>0</v>
      </c>
      <c r="AQ528" s="254">
        <f>(ASINH(FMS_Ranking4[[#This Row],[Residential Structures Removed Raw]]))*(10)/(ASINH(AN$4))</f>
        <v>0</v>
      </c>
      <c r="AR528" s="253">
        <f>_xlfn.XLOOKUP(FMS_Ranking4[[#This Row],[FMS ID]],FMS_Input[FMS_ID],FMS_Input[REMPOP100])</f>
        <v>0</v>
      </c>
      <c r="AS528" s="259">
        <f>(ASINH(FMS_Ranking4[[#This Row],[Removed Pop Raw]]))*(10)/(ASINH(AR$4))</f>
        <v>0</v>
      </c>
      <c r="AT528" s="262">
        <f>FMS_Ranking4[[#This Row],[Removed population, ArcSinh (0-10)]]*AR$5*10</f>
        <v>0</v>
      </c>
      <c r="AU528" s="264">
        <f>_xlfn.XLOOKUP(FMS_Ranking4[[#This Row],[FMS ID]],FMS_Input[FMS_ID],FMS_Input[REMCRITFAC100])</f>
        <v>0</v>
      </c>
      <c r="AV528" s="264">
        <f>_xlfn.XLOOKUP(FMS_Ranking4[[#This Row],[FMS ID]],FMS_Input[FMS_ID],FMS_Input[REMLWC100])</f>
        <v>0</v>
      </c>
      <c r="AW528" s="264">
        <f>_xlfn.XLOOKUP(FMS_Ranking4[[#This Row],[FMS ID]],FMS_Input[FMS_ID],FMS_Input[REMROADCLS])</f>
        <v>0</v>
      </c>
      <c r="AX528" s="264">
        <f>_xlfn.XLOOKUP(FMS_Ranking4[[#This Row],[FMS ID]],FMS_Input[FMS_ID],FMS_Input[REMFRMACRE100])</f>
        <v>0</v>
      </c>
      <c r="AY528" s="258">
        <f>_xlfn.XLOOKUP(FMS_Ranking4[[#This Row],[FMS ID]],FMS_Input[FMS_ID],FMS_Input[COSTSTRUCT])</f>
        <v>0</v>
      </c>
      <c r="AZ528" s="253">
        <f>_xlfn.XLOOKUP(FMS_Ranking4[[#This Row],[FMS ID]],FMS_Input[FMS_ID],FMS_Input[NATURE])</f>
        <v>0</v>
      </c>
      <c r="BA528" s="262">
        <f>(((FMS_Ranking4[[#This Row],[% NBS Raw]]/AZ$4)*100)*AZ$5)</f>
        <v>0</v>
      </c>
      <c r="BB528" s="251" t="str">
        <f>_xlfn.XLOOKUP(FMS_Ranking4[[#This Row],[FMS ID]],FMS_Input[FMS_ID],FMS_Input[WATER_SUP])</f>
        <v>No</v>
      </c>
      <c r="BC528" s="265">
        <f>IF(FMS_Ranking4[[#This Row],[Water Supply Raw]]="Yes",10,0)</f>
        <v>0</v>
      </c>
      <c r="BD528" s="266">
        <f>_xlfn.XLOOKUP(FMS_Ranking4[[#This Row],[FMS Type]],FMS_TYPE[FMS_Type],FMS_TYPE[Score])</f>
        <v>6</v>
      </c>
      <c r="BE528" s="267">
        <f>FMS_Ranking4[[#This Row],[FMS_Type Score]]*$BD$5*10</f>
        <v>1.5000000000000002</v>
      </c>
      <c r="BF52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7.5417039212863149E-2</v>
      </c>
      <c r="BG528" s="271">
        <f>_xlfn.RANK.EQ(BF528,$BF$8:$BF$870,0)+COUNTIF($BF$8:BF528,BF528)-1</f>
        <v>512</v>
      </c>
      <c r="BH528" s="268">
        <f>(((FMS_Ranking4[[#This Row],[Structures Removed Raw]]/AK$4)*100)*AK$5)+(((FMS_Ranking4[[#This Row],[Removed Pop Raw]]/AR$4)*100)*AR$5)</f>
        <v>0</v>
      </c>
      <c r="BI52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1.5754170392128635</v>
      </c>
      <c r="BJ528" s="205">
        <f>_xlfn.RANK.EQ(FMS_Ranking4[[#This Row],[Total Score 
(with linear
normalization)]],FMS_Ranking4[Total Score 
(with linear
normalization)],0)</f>
        <v>570</v>
      </c>
      <c r="BK528" s="205" t="e">
        <f>_xlfn.XLOOKUP(FMS_Ranking4[[#This Row],[FMS ID]],#REF!,#REF!)</f>
        <v>#REF!</v>
      </c>
      <c r="BL52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16.519082287709182</v>
      </c>
      <c r="BM528" s="272">
        <f>FMS_Ranking4[[#This Row],[ArcSinh Score Based on Normalized Reported Factors]]+FMS_Ranking4[[#This Row],[% NBS Score (Normalized)]]+(FMS_Ranking4[[#This Row],[Water Supply Score (Normalized)]]*10*$BB$5)+FMS_Ranking4[[#This Row],[FMS_Type Score Weighted]]</f>
        <v>18.019082287709182</v>
      </c>
      <c r="BN528" s="205">
        <f>_xlfn.RANK.EQ(FMS_Ranking4[[#This Row],[Total Score (with ArcSinh normalization of select criteria)]],FMS_Ranking4[Total Score (with ArcSinh normalization of select criteria)],0)</f>
        <v>521</v>
      </c>
      <c r="BO528" s="270" t="str">
        <f>_xlfn.XLOOKUP(FMS_Ranking4[[#This Row],[FMS ID]],FMS_Input[FMS_ID],FMS_Input[FMS_RANK_YEAR])</f>
        <v>2023 Amended Plan</v>
      </c>
      <c r="BP528" s="204">
        <f>_xlfn.XLOOKUP(FMS_Ranking4[[#This Row],[FMS ID]],Prev_Rank[FMS ID],Prev_Rank[Prev Rank])</f>
        <v>461</v>
      </c>
      <c r="BQ528" s="205" t="e">
        <f>_xlfn.XLOOKUP(FMS_Ranking4[[#This Row],[FMS ID]],#REF!,#REF!)</f>
        <v>#REF!</v>
      </c>
      <c r="BR528" s="199" t="e">
        <f>SUM(#REF!,#REF!,#REF!,#REF!,#REF!,#REF!,#REF!,#REF!,#REF!,FMS_Ranking4[[#This Row],[ArcSinh Res struct removed 0-10]],#REF!)</f>
        <v>#REF!</v>
      </c>
      <c r="BS528" s="199" t="e">
        <f>FMS_Ranking4[[#This Row],[Log Score Based on Normalized Reported Factors]]+FMS_Ranking4[[#This Row],[% NBS Score (Normalized)]]+(FMS_Ranking4[[#This Row],[Water Supply Score (Normalized)]]*10*$BB$5)+(FMS_Ranking4[[#This Row],[FMS_Type Score Weighted]])</f>
        <v>#REF!</v>
      </c>
      <c r="BT528" s="200" t="e">
        <f>_xlfn.RANK.EQ(FMS_Ranking4[[#This Row],[Log Total Score]],FMS_Ranking4[Log Total Score],0)</f>
        <v>#REF!</v>
      </c>
      <c r="BU528" s="200" t="e">
        <f>_xlfn.XLOOKUP(FMS_Ranking4[[#This Row],[FMS ID]],#REF!,#REF!)</f>
        <v>#REF!</v>
      </c>
      <c r="BV528" s="200">
        <f>FMS_Ranking4[[#This Row],[Region Number]]</f>
        <v>15</v>
      </c>
      <c r="BW528" s="200">
        <f>FMS_Ranking4[[#This Row],[Rank (with ArcSinh normalization of select criteria)]]-FMS_Ranking4[[#This Row],[Rank
(with linear
normalization)]]</f>
        <v>-49</v>
      </c>
      <c r="BX528" s="200" t="e">
        <f>FMS_Ranking4[[#This Row],[Log Rank]]-FMS_Ranking4[[#This Row],[Rank
(with linear
normalization)]]</f>
        <v>#REF!</v>
      </c>
      <c r="BY528" s="200" t="str">
        <f>IF(FMS_Ranking4[[#This Row],[FMS Type]]="Flood Measurement and Warning",FMS_Ranking4[[#This Row],[Rank (with ArcSinh normalization of select criteria)]],"")</f>
        <v/>
      </c>
      <c r="BZ528" s="200" t="str">
        <f>IF(FMS_Ranking4[[#This Row],[FMS Type]]="Regulatory and Guidance",FMS_Ranking4[[#This Row],[Rank (with ArcSinh normalization of select criteria)]],"")</f>
        <v/>
      </c>
      <c r="CA528" s="200">
        <f>IF(FMS_Ranking4[[#This Row],[FMS Type]]="Education and Outreach",FMS_Ranking4[[#This Row],[Rank (with ArcSinh normalization of select criteria)]],"")</f>
        <v>521</v>
      </c>
      <c r="CB528" s="200" t="str">
        <f>IF(FMS_Ranking4[[#This Row],[FMS Type]]="Property Acquisition and Structural Elevation",FMS_Ranking4[[#This Row],[Rank (with ArcSinh normalization of select criteria)]],"")</f>
        <v/>
      </c>
      <c r="CC528" s="200" t="str">
        <f>IF(FMS_Ranking4[[#This Row],[FMS Type]]="Infrastructure Projects",FMS_Ranking4[[#This Row],[Rank (with ArcSinh normalization of select criteria)]],"")</f>
        <v/>
      </c>
      <c r="CD528" s="200" t="str">
        <f>IF(FMS_Ranking4[[#This Row],[FMS Type]]="Other",FMS_Ranking4[[#This Row],[Rank (with ArcSinh normalization of select criteria)]],"")</f>
        <v/>
      </c>
      <c r="CE528" s="201"/>
      <c r="CF528" s="206"/>
      <c r="CG528" s="206"/>
      <c r="CH528" s="206"/>
      <c r="CI528" s="206"/>
      <c r="CJ528" s="206"/>
      <c r="CK528" s="206"/>
      <c r="CL528" s="206"/>
      <c r="CM528" s="206"/>
      <c r="CN528" s="206"/>
      <c r="CO528" s="206"/>
      <c r="CP528" s="206"/>
      <c r="CQ528" s="206"/>
      <c r="CR528" s="206"/>
    </row>
    <row r="529" spans="2:96" ht="90" x14ac:dyDescent="0.25">
      <c r="B529" s="341" t="s">
        <v>895</v>
      </c>
      <c r="C529" s="246">
        <f>_xlfn.XLOOKUP(FMS_Ranking4[[#This Row],[FMS ID]],FMS_Input[FMS_ID],FMS_Input[RFPG_NUM])</f>
        <v>9</v>
      </c>
      <c r="D529" s="309" t="str">
        <f>_xlfn.XLOOKUP(FMS_Ranking4[[#This Row],[FMS ID]],FMS_Input[FMS_ID],FMS_Input[FMS_NAME])</f>
        <v>Town of Bronte Flood Insurance Awareness Program</v>
      </c>
      <c r="E529" s="308" t="str">
        <f>_xlfn.XLOOKUP(FMS_Ranking4[[#This Row],[FMS ID]],FMS_Input[FMS_ID],FMS_Input[SPONSOR])</f>
        <v>09003477</v>
      </c>
      <c r="F529" s="309" t="str">
        <f>_xlfn.XLOOKUP(FMS_Ranking4[[#This Row],[FMS ID]],Sponsor[FMS_ID],Sponsor[SPONSOR NAME])</f>
        <v>Bronte</v>
      </c>
      <c r="G529" s="309" t="str">
        <f>_xlfn.XLOOKUP(FMS_Ranking4[[#This Row],[FMS ID]],FMS_Input[FMS_ID],FMS_Input[FMS_DESCR])</f>
        <v>Develop flood insurance and awareness 
program; disseminate materials with new 
permits and place in the library at City Hall.</v>
      </c>
      <c r="H529" s="248" t="str">
        <f>_xlfn.XLOOKUP(FMS_Ranking4[[#This Row],[FMS ID]],FMS_Input[FMS_ID],FMS_Input[FMS_TYPE])</f>
        <v>Other</v>
      </c>
      <c r="I529" s="249">
        <f>_xlfn.XLOOKUP(FMS_Ranking4[[#This Row],[FMS ID]],FMS_Input[FMS_ID],FMS_Input[NRNC_COST])</f>
        <v>5000</v>
      </c>
      <c r="J529" s="250">
        <f>_xlfn.XLOOKUP(FMS_Ranking4[[#This Row],[FMS ID]],FMS_Input[FMS_ID],FMS_Input[FMS_COST])</f>
        <v>30000</v>
      </c>
      <c r="K529" s="251" t="str">
        <f>_xlfn.XLOOKUP(FMS_Ranking4[[#This Row],[FMS ID]],FMS_Input[FMS_ID],FMS_Input[EMER_NEED])</f>
        <v>No</v>
      </c>
      <c r="L529" s="252">
        <f t="shared" si="8"/>
        <v>0</v>
      </c>
      <c r="M529" s="253">
        <f>_xlfn.XLOOKUP(FMS_Ranking4[[#This Row],[FMS ID]],FMS_Input[FMS_ID],FMS_Input[STRUCT_100])</f>
        <v>38</v>
      </c>
      <c r="N529" s="255">
        <f>(ASINH(FMS_Ranking4[[#This Row],[Structure at Risk Raw]]))*(10)/(ASINH(M$4))</f>
        <v>3.4047372945087777</v>
      </c>
      <c r="O529" s="256">
        <f>FMS_Ranking4[[#This Row],[Structures at risk, ArcSinh (0-10)]]*M$5*10</f>
        <v>3.4047372945087777</v>
      </c>
      <c r="P529" s="253">
        <f>_xlfn.XLOOKUP(FMS_Ranking4[[#This Row],[FMS ID]],FMS_Input[FMS_ID],FMS_Input[RES_STRUCT100])</f>
        <v>17</v>
      </c>
      <c r="Q529" s="257">
        <f>ASINH(FMS_Ranking4[[#This Row],[Res Structure Raw]])/Q$4*P$5*100</f>
        <v>0</v>
      </c>
      <c r="R529" s="253">
        <f>_xlfn.XLOOKUP(FMS_Ranking4[[#This Row],[FMS ID]],FMS_Input[FMS_ID],FMS_Input[POP100])</f>
        <v>20</v>
      </c>
      <c r="S529" s="259">
        <f>(ASINH(FMS_Ranking4[[#This Row],[Pop at Risk Raw]]))*(10)/(ASINH(R$4))</f>
        <v>2.5470793160455631</v>
      </c>
      <c r="T529" s="256">
        <f>FMS_Ranking4[[#This Row],[Population at risk, ArcSinh (0-10)]]*R$5*10</f>
        <v>2.5470793160455636</v>
      </c>
      <c r="U529" s="253">
        <f>_xlfn.XLOOKUP(FMS_Ranking4[[#This Row],[FMS ID]],FMS_Input[FMS_ID],FMS_Input[CRITFAC100])</f>
        <v>0</v>
      </c>
      <c r="V529" s="259">
        <f>(ASINH(FMS_Ranking4[[#This Row],[Critical Facilities Raw]]))*(10)/(ASINH(U$4))</f>
        <v>0</v>
      </c>
      <c r="W529" s="256">
        <f>FMS_Ranking4[[#This Row],[Critical facilities at risk, ArcSinh (0-10)]]*U$5*10</f>
        <v>0</v>
      </c>
      <c r="X529" s="253">
        <f>_xlfn.XLOOKUP(FMS_Ranking4[[#This Row],[FMS ID]],FMS_Input[FMS_ID],FMS_Input[LWC])</f>
        <v>2</v>
      </c>
      <c r="Y529" s="259">
        <f>(ASINH(FMS_Ranking4[[#This Row],[LWC Raw]]))*(10)/(ASINH(X$4))</f>
        <v>1.9557475158633808</v>
      </c>
      <c r="Z529" s="256">
        <f>FMS_Ranking4[[#This Row],[LWC, ArcSInh (0-10)]]*X$5*10</f>
        <v>1.9557475158633808</v>
      </c>
      <c r="AA529" s="253">
        <f>_xlfn.XLOOKUP(FMS_Ranking4[[#This Row],[FMS ID]],FMS_Input[FMS_ID],FMS_Input[ROADCLS])</f>
        <v>0</v>
      </c>
      <c r="AB529" s="255">
        <f>(ASINH(FMS_Ranking4[[#This Row],[Road Closures Raw]]))*(10)/(ASINH(AA$4))</f>
        <v>0</v>
      </c>
      <c r="AC529" s="256">
        <f>FMS_Ranking4[[#This Row],[Road closures, ArcSinh (0-10)]]*AA$5*10</f>
        <v>0</v>
      </c>
      <c r="AD529" s="253">
        <f>_xlfn.XLOOKUP(FMS_Ranking4[[#This Row],[FMS ID]],FMS_Input[FMS_ID],FMS_Input[ROAD_MILES100])</f>
        <v>2</v>
      </c>
      <c r="AE529" s="259">
        <f>(ASINH(FMS_Ranking4[[#This Row],[Road Miles Raw]]))*(10)/(ASINH(AD$4))</f>
        <v>1.5385182374234352</v>
      </c>
      <c r="AF529" s="256">
        <f>FMS_Ranking4[[#This Row],[Length of roads at risk, ArcSinh (0-10)]]*AD$5*10</f>
        <v>1.5385182374234352</v>
      </c>
      <c r="AG529" s="253">
        <f>_xlfn.XLOOKUP(FMS_Ranking4[[#This Row],[FMS ID]],FMS_Input[FMS_ID],FMS_Input[FARMACRE100])</f>
        <v>6.0526938438415527</v>
      </c>
      <c r="AH529" s="255">
        <f>(ASINH(FMS_Ranking4[[#This Row],[Ag Land Raw]]))*(10)/(ASINH(AG$4))</f>
        <v>1.6242173138450819</v>
      </c>
      <c r="AI529" s="260">
        <f>FMS_Ranking4[[#This Row],[Farm &amp; ranch land, ArcSinh (0-10)]]*AG$5*10</f>
        <v>0.81210865692254108</v>
      </c>
      <c r="AJ529" s="258">
        <f>_xlfn.XLOOKUP(FMS_Ranking4[[#This Row],[FMS ID]],FMS_Input[FMS_ID],FMS_Input[REDSTRUCT100])</f>
        <v>10</v>
      </c>
      <c r="AK529" s="253">
        <f>_xlfn.XLOOKUP(FMS_Ranking4[[#This Row],[FMS ID]],FMS_Input[FMS_ID],FMS_Input[REMSTRC100])</f>
        <v>10</v>
      </c>
      <c r="AL529" s="259">
        <f>(ASINH(FMS_Ranking4[[#This Row],[Structures Removed Raw]]))*(10)/(ASINH(AK$4))</f>
        <v>3.4136908439569904</v>
      </c>
      <c r="AM529" s="262">
        <f>FMS_Ranking4[[#This Row],[Structures removed, ArcSinh (0-10)]]*AK$5*10</f>
        <v>3.4136908439569909</v>
      </c>
      <c r="AN529" s="253">
        <f>_xlfn.XLOOKUP(FMS_Ranking4[[#This Row],[FMS ID]],FMS_Input[FMS_ID],FMS_Input[REMRESSTRC100])</f>
        <v>4</v>
      </c>
      <c r="AO529" s="261">
        <f>FMS_Ranking4[[#This Row],[ArcSinh Res struct removed 0-10]]*AN$5*10</f>
        <v>1.2286043492271628</v>
      </c>
      <c r="AP529" s="260">
        <f>ASINH(FMS_Ranking4[[#This Row],[Residential Structures Removed Raw]])/AP$4*AN$5*100</f>
        <v>1.2286043492271628</v>
      </c>
      <c r="AQ529" s="254">
        <f>(ASINH(FMS_Ranking4[[#This Row],[Residential Structures Removed Raw]]))*(10)/(ASINH(AN$4))</f>
        <v>2.4572086984543255</v>
      </c>
      <c r="AR529" s="253">
        <f>_xlfn.XLOOKUP(FMS_Ranking4[[#This Row],[FMS ID]],FMS_Input[FMS_ID],FMS_Input[REMPOP100])</f>
        <v>7</v>
      </c>
      <c r="AS529" s="259">
        <f>(ASINH(FMS_Ranking4[[#This Row],[Removed Pop Raw]]))*(10)/(ASINH(AR$4))</f>
        <v>2.5955229922865324</v>
      </c>
      <c r="AT529" s="262">
        <f>FMS_Ranking4[[#This Row],[Removed population, ArcSinh (0-10)]]*AR$5*10</f>
        <v>2.5955229922865324</v>
      </c>
      <c r="AU529" s="264">
        <f>_xlfn.XLOOKUP(FMS_Ranking4[[#This Row],[FMS ID]],FMS_Input[FMS_ID],FMS_Input[REMCRITFAC100])</f>
        <v>0</v>
      </c>
      <c r="AV529" s="264">
        <f>_xlfn.XLOOKUP(FMS_Ranking4[[#This Row],[FMS ID]],FMS_Input[FMS_ID],FMS_Input[REMLWC100])</f>
        <v>0</v>
      </c>
      <c r="AW529" s="264">
        <f>_xlfn.XLOOKUP(FMS_Ranking4[[#This Row],[FMS ID]],FMS_Input[FMS_ID],FMS_Input[REMROADCLS])</f>
        <v>0</v>
      </c>
      <c r="AX529" s="264">
        <f>_xlfn.XLOOKUP(FMS_Ranking4[[#This Row],[FMS ID]],FMS_Input[FMS_ID],FMS_Input[REMFRMACRE100])</f>
        <v>1.513173460960388</v>
      </c>
      <c r="AY529" s="258">
        <f>_xlfn.XLOOKUP(FMS_Ranking4[[#This Row],[FMS ID]],FMS_Input[FMS_ID],FMS_Input[COSTSTRUCT])</f>
        <v>25000</v>
      </c>
      <c r="AZ529" s="253">
        <f>_xlfn.XLOOKUP(FMS_Ranking4[[#This Row],[FMS ID]],FMS_Input[FMS_ID],FMS_Input[NATURE])</f>
        <v>0</v>
      </c>
      <c r="BA529" s="262">
        <f>(((FMS_Ranking4[[#This Row],[% NBS Raw]]/AZ$4)*100)*AZ$5)</f>
        <v>0</v>
      </c>
      <c r="BB529" s="251" t="str">
        <f>_xlfn.XLOOKUP(FMS_Ranking4[[#This Row],[FMS ID]],FMS_Input[FMS_ID],FMS_Input[WATER_SUP])</f>
        <v>No</v>
      </c>
      <c r="BC529" s="265">
        <f>IF(FMS_Ranking4[[#This Row],[Water Supply Raw]]="Yes",10,0)</f>
        <v>0</v>
      </c>
      <c r="BD529" s="266">
        <f>_xlfn.XLOOKUP(FMS_Ranking4[[#This Row],[FMS Type]],FMS_TYPE[FMS_Type],FMS_TYPE[Score])</f>
        <v>2</v>
      </c>
      <c r="BE529" s="267">
        <f>FMS_Ranking4[[#This Row],[FMS_Type Score]]*$BD$5*10</f>
        <v>0.5</v>
      </c>
      <c r="BF52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3.0760958334059754E-2</v>
      </c>
      <c r="BG529" s="271">
        <f>_xlfn.RANK.EQ(BF529,$BF$8:$BF$870,0)+COUNTIF($BF$8:BF529,BF529)-1</f>
        <v>597</v>
      </c>
      <c r="BH529" s="268">
        <f>(((FMS_Ranking4[[#This Row],[Structures Removed Raw]]/AK$4)*100)*AK$5)+(((FMS_Ranking4[[#This Row],[Removed Pop Raw]]/AR$4)*100)*AR$5)</f>
        <v>3.593612749729902E-2</v>
      </c>
      <c r="BI52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0.5666970858313588</v>
      </c>
      <c r="BJ529" s="205">
        <f>_xlfn.RANK.EQ(FMS_Ranking4[[#This Row],[Total Score 
(with linear
normalization)]],FMS_Ranking4[Total Score 
(with linear
normalization)],0)</f>
        <v>821</v>
      </c>
      <c r="BK529" s="205" t="e">
        <f>_xlfn.XLOOKUP(FMS_Ranking4[[#This Row],[FMS ID]],#REF!,#REF!)</f>
        <v>#REF!</v>
      </c>
      <c r="BL52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17.496009206234383</v>
      </c>
      <c r="BM529" s="272">
        <f>FMS_Ranking4[[#This Row],[ArcSinh Score Based on Normalized Reported Factors]]+FMS_Ranking4[[#This Row],[% NBS Score (Normalized)]]+(FMS_Ranking4[[#This Row],[Water Supply Score (Normalized)]]*10*$BB$5)+FMS_Ranking4[[#This Row],[FMS_Type Score Weighted]]</f>
        <v>17.996009206234383</v>
      </c>
      <c r="BN529" s="205">
        <f>_xlfn.RANK.EQ(FMS_Ranking4[[#This Row],[Total Score (with ArcSinh normalization of select criteria)]],FMS_Ranking4[Total Score (with ArcSinh normalization of select criteria)],0)</f>
        <v>522</v>
      </c>
      <c r="BO529" s="270" t="str">
        <f>_xlfn.XLOOKUP(FMS_Ranking4[[#This Row],[FMS ID]],FMS_Input[FMS_ID],FMS_Input[FMS_RANK_YEAR])</f>
        <v>2023 Amended Plan</v>
      </c>
      <c r="BP529" s="204">
        <f>_xlfn.XLOOKUP(FMS_Ranking4[[#This Row],[FMS ID]],Prev_Rank[FMS ID],Prev_Rank[Prev Rank])</f>
        <v>471</v>
      </c>
      <c r="BQ529" s="205" t="e">
        <f>_xlfn.XLOOKUP(FMS_Ranking4[[#This Row],[FMS ID]],#REF!,#REF!)</f>
        <v>#REF!</v>
      </c>
      <c r="BR529" s="199" t="e">
        <f>SUM(#REF!,#REF!,#REF!,#REF!,#REF!,#REF!,#REF!,#REF!,#REF!,FMS_Ranking4[[#This Row],[ArcSinh Res struct removed 0-10]],#REF!)</f>
        <v>#REF!</v>
      </c>
      <c r="BS529" s="199" t="e">
        <f>FMS_Ranking4[[#This Row],[Log Score Based on Normalized Reported Factors]]+FMS_Ranking4[[#This Row],[% NBS Score (Normalized)]]+(FMS_Ranking4[[#This Row],[Water Supply Score (Normalized)]]*10*$BB$5)+(FMS_Ranking4[[#This Row],[FMS_Type Score Weighted]])</f>
        <v>#REF!</v>
      </c>
      <c r="BT529" s="200" t="e">
        <f>_xlfn.RANK.EQ(FMS_Ranking4[[#This Row],[Log Total Score]],FMS_Ranking4[Log Total Score],0)</f>
        <v>#REF!</v>
      </c>
      <c r="BU529" s="200" t="e">
        <f>_xlfn.XLOOKUP(FMS_Ranking4[[#This Row],[FMS ID]],#REF!,#REF!)</f>
        <v>#REF!</v>
      </c>
      <c r="BV529" s="200">
        <f>FMS_Ranking4[[#This Row],[Region Number]]</f>
        <v>9</v>
      </c>
      <c r="BW529" s="200">
        <f>FMS_Ranking4[[#This Row],[Rank (with ArcSinh normalization of select criteria)]]-FMS_Ranking4[[#This Row],[Rank
(with linear
normalization)]]</f>
        <v>-299</v>
      </c>
      <c r="BX529" s="200" t="e">
        <f>FMS_Ranking4[[#This Row],[Log Rank]]-FMS_Ranking4[[#This Row],[Rank
(with linear
normalization)]]</f>
        <v>#REF!</v>
      </c>
      <c r="BY529" s="200" t="str">
        <f>IF(FMS_Ranking4[[#This Row],[FMS Type]]="Flood Measurement and Warning",FMS_Ranking4[[#This Row],[Rank (with ArcSinh normalization of select criteria)]],"")</f>
        <v/>
      </c>
      <c r="BZ529" s="200" t="str">
        <f>IF(FMS_Ranking4[[#This Row],[FMS Type]]="Regulatory and Guidance",FMS_Ranking4[[#This Row],[Rank (with ArcSinh normalization of select criteria)]],"")</f>
        <v/>
      </c>
      <c r="CA529" s="200" t="str">
        <f>IF(FMS_Ranking4[[#This Row],[FMS Type]]="Education and Outreach",FMS_Ranking4[[#This Row],[Rank (with ArcSinh normalization of select criteria)]],"")</f>
        <v/>
      </c>
      <c r="CB529" s="200" t="str">
        <f>IF(FMS_Ranking4[[#This Row],[FMS Type]]="Property Acquisition and Structural Elevation",FMS_Ranking4[[#This Row],[Rank (with ArcSinh normalization of select criteria)]],"")</f>
        <v/>
      </c>
      <c r="CC529" s="200" t="str">
        <f>IF(FMS_Ranking4[[#This Row],[FMS Type]]="Infrastructure Projects",FMS_Ranking4[[#This Row],[Rank (with ArcSinh normalization of select criteria)]],"")</f>
        <v/>
      </c>
      <c r="CD529" s="200">
        <f>IF(FMS_Ranking4[[#This Row],[FMS Type]]="Other",FMS_Ranking4[[#This Row],[Rank (with ArcSinh normalization of select criteria)]],"")</f>
        <v>522</v>
      </c>
      <c r="CE529" s="201"/>
      <c r="CF529" s="206"/>
      <c r="CG529" s="206"/>
      <c r="CH529" s="206"/>
      <c r="CI529" s="206"/>
      <c r="CJ529" s="206"/>
      <c r="CK529" s="206"/>
      <c r="CL529" s="206"/>
      <c r="CM529" s="206"/>
      <c r="CN529" s="206"/>
      <c r="CO529" s="206"/>
      <c r="CP529" s="206"/>
      <c r="CQ529" s="206"/>
      <c r="CR529" s="206"/>
    </row>
    <row r="530" spans="2:96" ht="30" x14ac:dyDescent="0.25">
      <c r="B530" s="341" t="s">
        <v>1320</v>
      </c>
      <c r="C530" s="246">
        <f>_xlfn.XLOOKUP(FMS_Ranking4[[#This Row],[FMS ID]],FMS_Input[FMS_ID],FMS_Input[RFPG_NUM])</f>
        <v>1</v>
      </c>
      <c r="D530" s="309" t="str">
        <f>_xlfn.XLOOKUP(FMS_Ranking4[[#This Row],[FMS ID]],FMS_Input[FMS_ID],FMS_Input[FMS_NAME])</f>
        <v>Cottle County NFIP Involvement</v>
      </c>
      <c r="E530" s="308" t="str">
        <f>_xlfn.XLOOKUP(FMS_Ranking4[[#This Row],[FMS ID]],FMS_Input[FMS_ID],FMS_Input[SPONSOR])</f>
        <v>01000197</v>
      </c>
      <c r="F530" s="309" t="str">
        <f>_xlfn.XLOOKUP(FMS_Ranking4[[#This Row],[FMS ID]],Sponsor[FMS_ID],Sponsor[SPONSOR NAME])</f>
        <v>Cottle</v>
      </c>
      <c r="G530" s="309" t="str">
        <f>_xlfn.XLOOKUP(FMS_Ranking4[[#This Row],[FMS ID]],FMS_Input[FMS_ID],FMS_Input[FMS_DESCR])</f>
        <v>Application to join NFIP or adopt equivalent standards</v>
      </c>
      <c r="H530" s="248" t="str">
        <f>_xlfn.XLOOKUP(FMS_Ranking4[[#This Row],[FMS ID]],FMS_Input[FMS_ID],FMS_Input[FMS_TYPE])</f>
        <v>Regulatory and Guidance</v>
      </c>
      <c r="I530" s="249">
        <f>_xlfn.XLOOKUP(FMS_Ranking4[[#This Row],[FMS ID]],FMS_Input[FMS_ID],FMS_Input[NRNC_COST])</f>
        <v>100000</v>
      </c>
      <c r="J530" s="250">
        <f>_xlfn.XLOOKUP(FMS_Ranking4[[#This Row],[FMS ID]],FMS_Input[FMS_ID],FMS_Input[FMS_COST])</f>
        <v>100000</v>
      </c>
      <c r="K530" s="251" t="str">
        <f>_xlfn.XLOOKUP(FMS_Ranking4[[#This Row],[FMS ID]],FMS_Input[FMS_ID],FMS_Input[EMER_NEED])</f>
        <v>No</v>
      </c>
      <c r="L530" s="252">
        <f t="shared" si="8"/>
        <v>0</v>
      </c>
      <c r="M530" s="253">
        <f>_xlfn.XLOOKUP(FMS_Ranking4[[#This Row],[FMS ID]],FMS_Input[FMS_ID],FMS_Input[STRUCT_100])</f>
        <v>7</v>
      </c>
      <c r="N530" s="255">
        <f>(ASINH(FMS_Ranking4[[#This Row],[Structure at Risk Raw]]))*(10)/(ASINH(M$4))</f>
        <v>2.0786726107217111</v>
      </c>
      <c r="O530" s="256">
        <f>FMS_Ranking4[[#This Row],[Structures at risk, ArcSinh (0-10)]]*M$5*10</f>
        <v>2.0786726107217115</v>
      </c>
      <c r="P530" s="253">
        <f>_xlfn.XLOOKUP(FMS_Ranking4[[#This Row],[FMS ID]],FMS_Input[FMS_ID],FMS_Input[RES_STRUCT100])</f>
        <v>1</v>
      </c>
      <c r="Q530" s="257">
        <f>ASINH(FMS_Ranking4[[#This Row],[Res Structure Raw]])/Q$4*P$5*100</f>
        <v>0</v>
      </c>
      <c r="R530" s="253">
        <f>_xlfn.XLOOKUP(FMS_Ranking4[[#This Row],[FMS ID]],FMS_Input[FMS_ID],FMS_Input[POP100])</f>
        <v>3</v>
      </c>
      <c r="S530" s="255">
        <f>(ASINH(FMS_Ranking4[[#This Row],[Pop at Risk Raw]]))*(10)/(ASINH(R$4))</f>
        <v>1.2553794569988064</v>
      </c>
      <c r="T530" s="256">
        <f>FMS_Ranking4[[#This Row],[Population at risk, ArcSinh (0-10)]]*R$5*10</f>
        <v>1.2553794569988064</v>
      </c>
      <c r="U530" s="253">
        <f>_xlfn.XLOOKUP(FMS_Ranking4[[#This Row],[FMS ID]],FMS_Input[FMS_ID],FMS_Input[CRITFAC100])</f>
        <v>0</v>
      </c>
      <c r="V530" s="255">
        <f>(ASINH(FMS_Ranking4[[#This Row],[Critical Facilities Raw]]))*(10)/(ASINH(U$4))</f>
        <v>0</v>
      </c>
      <c r="W530" s="256">
        <f>FMS_Ranking4[[#This Row],[Critical facilities at risk, ArcSinh (0-10)]]*U$5*10</f>
        <v>0</v>
      </c>
      <c r="X530" s="253">
        <f>_xlfn.XLOOKUP(FMS_Ranking4[[#This Row],[FMS ID]],FMS_Input[FMS_ID],FMS_Input[LWC])</f>
        <v>5</v>
      </c>
      <c r="Y530" s="255">
        <f>(ASINH(FMS_Ranking4[[#This Row],[LWC Raw]]))*(10)/(ASINH(X$4))</f>
        <v>3.1327475801820781</v>
      </c>
      <c r="Z530" s="256">
        <f>FMS_Ranking4[[#This Row],[LWC, ArcSInh (0-10)]]*X$5*10</f>
        <v>3.1327475801820781</v>
      </c>
      <c r="AA530" s="253">
        <f>_xlfn.XLOOKUP(FMS_Ranking4[[#This Row],[FMS ID]],FMS_Input[FMS_ID],FMS_Input[ROADCLS])</f>
        <v>5</v>
      </c>
      <c r="AB530" s="255">
        <f>(ASINH(FMS_Ranking4[[#This Row],[Road Closures Raw]]))*(10)/(ASINH(AA$4))</f>
        <v>2.4081922896382904</v>
      </c>
      <c r="AC530" s="256">
        <f>FMS_Ranking4[[#This Row],[Road closures, ArcSinh (0-10)]]*AA$5*10</f>
        <v>1.2040961448191452</v>
      </c>
      <c r="AD530" s="253">
        <f>_xlfn.XLOOKUP(FMS_Ranking4[[#This Row],[FMS ID]],FMS_Input[FMS_ID],FMS_Input[ROAD_MILES100])</f>
        <v>33</v>
      </c>
      <c r="AE530" s="255">
        <f>(ASINH(FMS_Ranking4[[#This Row],[Road Miles Raw]]))*(10)/(ASINH(AD$4))</f>
        <v>4.4652638519725869</v>
      </c>
      <c r="AF530" s="256">
        <f>FMS_Ranking4[[#This Row],[Length of roads at risk, ArcSinh (0-10)]]*AD$5*10</f>
        <v>4.4652638519725869</v>
      </c>
      <c r="AG530" s="253">
        <f>_xlfn.XLOOKUP(FMS_Ranking4[[#This Row],[FMS ID]],FMS_Input[FMS_ID],FMS_Input[FARMACRE100])</f>
        <v>71380.671875</v>
      </c>
      <c r="AH530" s="255">
        <f>(ASINH(FMS_Ranking4[[#This Row],[Ag Land Raw]]))*(10)/(ASINH(AG$4))</f>
        <v>7.7098367224422999</v>
      </c>
      <c r="AI530" s="260">
        <f>FMS_Ranking4[[#This Row],[Farm &amp; ranch land, ArcSinh (0-10)]]*AG$5*10</f>
        <v>3.8549183612211504</v>
      </c>
      <c r="AJ530" s="258">
        <f>_xlfn.XLOOKUP(FMS_Ranking4[[#This Row],[FMS ID]],FMS_Input[FMS_ID],FMS_Input[REDSTRUCT100])</f>
        <v>0</v>
      </c>
      <c r="AK530" s="253">
        <f>_xlfn.XLOOKUP(FMS_Ranking4[[#This Row],[FMS ID]],FMS_Input[FMS_ID],FMS_Input[REMSTRC100])</f>
        <v>0</v>
      </c>
      <c r="AL530" s="255">
        <f>(ASINH(FMS_Ranking4[[#This Row],[Structures Removed Raw]]))*(10)/(ASINH(AK$4))</f>
        <v>0</v>
      </c>
      <c r="AM530" s="262">
        <f>FMS_Ranking4[[#This Row],[Structures removed, ArcSinh (0-10)]]*AK$5*10</f>
        <v>0</v>
      </c>
      <c r="AN530" s="253">
        <f>_xlfn.XLOOKUP(FMS_Ranking4[[#This Row],[FMS ID]],FMS_Input[FMS_ID],FMS_Input[REMRESSTRC100])</f>
        <v>0</v>
      </c>
      <c r="AO530" s="261">
        <f>FMS_Ranking4[[#This Row],[ArcSinh Res struct removed 0-10]]*AN$5*10</f>
        <v>0</v>
      </c>
      <c r="AP530" s="260">
        <f>ASINH(FMS_Ranking4[[#This Row],[Residential Structures Removed Raw]])/AP$4*AN$5*100</f>
        <v>0</v>
      </c>
      <c r="AQ530" s="258">
        <f>(ASINH(FMS_Ranking4[[#This Row],[Residential Structures Removed Raw]]))*(10)/(ASINH(AN$4))</f>
        <v>0</v>
      </c>
      <c r="AR530" s="253">
        <f>_xlfn.XLOOKUP(FMS_Ranking4[[#This Row],[FMS ID]],FMS_Input[FMS_ID],FMS_Input[REMPOP100])</f>
        <v>0</v>
      </c>
      <c r="AS530" s="255">
        <f>(ASINH(FMS_Ranking4[[#This Row],[Removed Pop Raw]]))*(10)/(ASINH(AR$4))</f>
        <v>0</v>
      </c>
      <c r="AT530" s="262">
        <f>FMS_Ranking4[[#This Row],[Removed population, ArcSinh (0-10)]]*AR$5*10</f>
        <v>0</v>
      </c>
      <c r="AU530" s="264">
        <f>_xlfn.XLOOKUP(FMS_Ranking4[[#This Row],[FMS ID]],FMS_Input[FMS_ID],FMS_Input[REMCRITFAC100])</f>
        <v>0</v>
      </c>
      <c r="AV530" s="264">
        <f>_xlfn.XLOOKUP(FMS_Ranking4[[#This Row],[FMS ID]],FMS_Input[FMS_ID],FMS_Input[REMLWC100])</f>
        <v>0</v>
      </c>
      <c r="AW530" s="264">
        <f>_xlfn.XLOOKUP(FMS_Ranking4[[#This Row],[FMS ID]],FMS_Input[FMS_ID],FMS_Input[REMROADCLS])</f>
        <v>0</v>
      </c>
      <c r="AX530" s="264">
        <f>_xlfn.XLOOKUP(FMS_Ranking4[[#This Row],[FMS ID]],FMS_Input[FMS_ID],FMS_Input[REMFRMACRE100])</f>
        <v>0</v>
      </c>
      <c r="AY530" s="258">
        <f>_xlfn.XLOOKUP(FMS_Ranking4[[#This Row],[FMS ID]],FMS_Input[FMS_ID],FMS_Input[COSTSTRUCT])</f>
        <v>0</v>
      </c>
      <c r="AZ530" s="253">
        <f>_xlfn.XLOOKUP(FMS_Ranking4[[#This Row],[FMS ID]],FMS_Input[FMS_ID],FMS_Input[NATURE])</f>
        <v>0</v>
      </c>
      <c r="BA530" s="262">
        <f>(((FMS_Ranking4[[#This Row],[% NBS Raw]]/AZ$4)*100)*AZ$5)</f>
        <v>0</v>
      </c>
      <c r="BB530" s="251" t="str">
        <f>_xlfn.XLOOKUP(FMS_Ranking4[[#This Row],[FMS ID]],FMS_Input[FMS_ID],FMS_Input[WATER_SUP])</f>
        <v>No</v>
      </c>
      <c r="BC530" s="265">
        <f>IF(FMS_Ranking4[[#This Row],[Water Supply Raw]]="Yes",10,0)</f>
        <v>0</v>
      </c>
      <c r="BD530" s="266">
        <f>_xlfn.XLOOKUP(FMS_Ranking4[[#This Row],[FMS Type]],FMS_TYPE[FMS_Type],FMS_TYPE[Score])</f>
        <v>8</v>
      </c>
      <c r="BE530" s="267">
        <f>FMS_Ranking4[[#This Row],[FMS_Type Score]]*$BD$5*10</f>
        <v>2</v>
      </c>
      <c r="BF53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0.26878332842051533</v>
      </c>
      <c r="BG530" s="321">
        <f>_xlfn.RANK.EQ(BF530,$BF$8:$BF$870,0)+COUNTIF($BF$8:BF530,BF530)-1</f>
        <v>321</v>
      </c>
      <c r="BH530" s="294">
        <f>(((FMS_Ranking4[[#This Row],[Structures Removed Raw]]/AK$4)*100)*AK$5)+(((FMS_Ranking4[[#This Row],[Removed Pop Raw]]/AR$4)*100)*AR$5)</f>
        <v>0</v>
      </c>
      <c r="BI53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2.2687833284205152</v>
      </c>
      <c r="BJ530" s="251">
        <f>_xlfn.RANK.EQ(FMS_Ranking4[[#This Row],[Total Score 
(with linear
normalization)]],FMS_Ranking4[Total Score 
(with linear
normalization)],0)</f>
        <v>307</v>
      </c>
      <c r="BK530" s="251" t="e">
        <f>_xlfn.XLOOKUP(FMS_Ranking4[[#This Row],[FMS ID]],#REF!,#REF!)</f>
        <v>#REF!</v>
      </c>
      <c r="BL53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15.991078005915478</v>
      </c>
      <c r="BM530" s="324">
        <f>FMS_Ranking4[[#This Row],[ArcSinh Score Based on Normalized Reported Factors]]+FMS_Ranking4[[#This Row],[% NBS Score (Normalized)]]+(FMS_Ranking4[[#This Row],[Water Supply Score (Normalized)]]*10*$BB$5)+FMS_Ranking4[[#This Row],[FMS_Type Score Weighted]]</f>
        <v>17.991078005915476</v>
      </c>
      <c r="BN530" s="251">
        <f>_xlfn.RANK.EQ(FMS_Ranking4[[#This Row],[Total Score (with ArcSinh normalization of select criteria)]],FMS_Ranking4[Total Score (with ArcSinh normalization of select criteria)],0)</f>
        <v>523</v>
      </c>
      <c r="BO530" s="270" t="str">
        <f>_xlfn.XLOOKUP(FMS_Ranking4[[#This Row],[FMS ID]],FMS_Input[FMS_ID],FMS_Input[FMS_RANK_YEAR])</f>
        <v>2023 Amended Plan</v>
      </c>
      <c r="BP530" s="204">
        <f>_xlfn.XLOOKUP(FMS_Ranking4[[#This Row],[FMS ID]],Prev_Rank[FMS ID],Prev_Rank[Prev Rank])</f>
        <v>464</v>
      </c>
      <c r="BQ530" s="251" t="e">
        <f>_xlfn.XLOOKUP(FMS_Ranking4[[#This Row],[FMS ID]],#REF!,#REF!)</f>
        <v>#REF!</v>
      </c>
      <c r="BR530" s="199" t="e">
        <f>SUM(#REF!,#REF!,#REF!,#REF!,#REF!,#REF!,#REF!,#REF!,#REF!,FMS_Ranking4[[#This Row],[ArcSinh Res struct removed 0-10]],#REF!)</f>
        <v>#REF!</v>
      </c>
      <c r="BS530" s="199" t="e">
        <f>FMS_Ranking4[[#This Row],[Log Score Based on Normalized Reported Factors]]+FMS_Ranking4[[#This Row],[% NBS Score (Normalized)]]+(FMS_Ranking4[[#This Row],[Water Supply Score (Normalized)]]*10*$BB$5)+(FMS_Ranking4[[#This Row],[FMS_Type Score Weighted]])</f>
        <v>#REF!</v>
      </c>
      <c r="BT530" s="200" t="e">
        <f>_xlfn.RANK.EQ(FMS_Ranking4[[#This Row],[Log Total Score]],FMS_Ranking4[Log Total Score],0)</f>
        <v>#REF!</v>
      </c>
      <c r="BU530" s="200" t="e">
        <f>_xlfn.XLOOKUP(FMS_Ranking4[[#This Row],[FMS ID]],#REF!,#REF!)</f>
        <v>#REF!</v>
      </c>
      <c r="BV530" s="200">
        <f>FMS_Ranking4[[#This Row],[Region Number]]</f>
        <v>1</v>
      </c>
      <c r="BW530" s="200">
        <f>FMS_Ranking4[[#This Row],[Rank (with ArcSinh normalization of select criteria)]]-FMS_Ranking4[[#This Row],[Rank
(with linear
normalization)]]</f>
        <v>216</v>
      </c>
      <c r="BX530" s="200" t="e">
        <f>FMS_Ranking4[[#This Row],[Log Rank]]-FMS_Ranking4[[#This Row],[Rank
(with linear
normalization)]]</f>
        <v>#REF!</v>
      </c>
      <c r="BY530" s="200" t="str">
        <f>IF(FMS_Ranking4[[#This Row],[FMS Type]]="Flood Measurement and Warning",FMS_Ranking4[[#This Row],[Rank (with ArcSinh normalization of select criteria)]],"")</f>
        <v/>
      </c>
      <c r="BZ530" s="200">
        <f>IF(FMS_Ranking4[[#This Row],[FMS Type]]="Regulatory and Guidance",FMS_Ranking4[[#This Row],[Rank (with ArcSinh normalization of select criteria)]],"")</f>
        <v>523</v>
      </c>
      <c r="CA530" s="200" t="str">
        <f>IF(FMS_Ranking4[[#This Row],[FMS Type]]="Education and Outreach",FMS_Ranking4[[#This Row],[Rank (with ArcSinh normalization of select criteria)]],"")</f>
        <v/>
      </c>
      <c r="CB530" s="200" t="str">
        <f>IF(FMS_Ranking4[[#This Row],[FMS Type]]="Property Acquisition and Structural Elevation",FMS_Ranking4[[#This Row],[Rank (with ArcSinh normalization of select criteria)]],"")</f>
        <v/>
      </c>
      <c r="CC530" s="200" t="str">
        <f>IF(FMS_Ranking4[[#This Row],[FMS Type]]="Infrastructure Projects",FMS_Ranking4[[#This Row],[Rank (with ArcSinh normalization of select criteria)]],"")</f>
        <v/>
      </c>
      <c r="CD530" s="200" t="str">
        <f>IF(FMS_Ranking4[[#This Row],[FMS Type]]="Other",FMS_Ranking4[[#This Row],[Rank (with ArcSinh normalization of select criteria)]],"")</f>
        <v/>
      </c>
      <c r="CE530" s="201"/>
      <c r="CF530" s="206"/>
      <c r="CG530" s="206"/>
      <c r="CH530" s="206"/>
      <c r="CI530" s="206"/>
      <c r="CJ530" s="206"/>
      <c r="CK530" s="206"/>
      <c r="CL530" s="206"/>
      <c r="CM530" s="206"/>
      <c r="CN530" s="206"/>
      <c r="CO530" s="206"/>
      <c r="CP530" s="206"/>
      <c r="CQ530" s="206"/>
      <c r="CR530" s="206"/>
    </row>
    <row r="531" spans="2:96" ht="105" x14ac:dyDescent="0.25">
      <c r="B531" s="341" t="s">
        <v>11959</v>
      </c>
      <c r="C531" s="246">
        <f>_xlfn.XLOOKUP(FMS_Ranking4[[#This Row],[FMS ID]],FMS_Input[FMS_ID],FMS_Input[RFPG_NUM])</f>
        <v>15</v>
      </c>
      <c r="D531" s="309" t="str">
        <f>_xlfn.XLOOKUP(FMS_Ranking4[[#This Row],[FMS ID]],FMS_Input[FMS_ID],FMS_Input[FMS_NAME])</f>
        <v>City of Primera</v>
      </c>
      <c r="E531" s="308" t="str">
        <f>_xlfn.XLOOKUP(FMS_Ranking4[[#This Row],[FMS ID]],FMS_Input[FMS_ID],FMS_Input[SPONSOR])</f>
        <v>15000052</v>
      </c>
      <c r="F531" s="309" t="str">
        <f>_xlfn.XLOOKUP(FMS_Ranking4[[#This Row],[FMS ID]],Sponsor[FMS_ID],Sponsor[SPONSOR NAME])</f>
        <v>Primera</v>
      </c>
      <c r="G531" s="309" t="str">
        <f>_xlfn.XLOOKUP(FMS_Ranking4[[#This Row],[FMS ID]],FMS_Input[FMS_ID],FMS_Input[FMS_DESCR])</f>
        <v>FMS 2 - Assessment, development, and updating of the City's ordinances, orders, policies, engineering specifications, guidance documents and other flood management tools.</v>
      </c>
      <c r="H531" s="248" t="str">
        <f>_xlfn.XLOOKUP(FMS_Ranking4[[#This Row],[FMS ID]],FMS_Input[FMS_ID],FMS_Input[FMS_TYPE])</f>
        <v>Regulatory and Guidance</v>
      </c>
      <c r="I531" s="249">
        <f>_xlfn.XLOOKUP(FMS_Ranking4[[#This Row],[FMS ID]],FMS_Input[FMS_ID],FMS_Input[NRNC_COST])</f>
        <v>300000</v>
      </c>
      <c r="J531" s="250">
        <f>_xlfn.XLOOKUP(FMS_Ranking4[[#This Row],[FMS ID]],FMS_Input[FMS_ID],FMS_Input[FMS_COST])</f>
        <v>300000</v>
      </c>
      <c r="K531" s="251" t="str">
        <f>_xlfn.XLOOKUP(FMS_Ranking4[[#This Row],[FMS ID]],FMS_Input[FMS_ID],FMS_Input[EMER_NEED])</f>
        <v>Yes</v>
      </c>
      <c r="L531" s="252">
        <f t="shared" si="8"/>
        <v>1</v>
      </c>
      <c r="M531" s="253">
        <f>_xlfn.XLOOKUP(FMS_Ranking4[[#This Row],[FMS ID]],FMS_Input[FMS_ID],FMS_Input[STRUCT_100])</f>
        <v>389</v>
      </c>
      <c r="N531" s="255">
        <f>(ASINH(FMS_Ranking4[[#This Row],[Structure at Risk Raw]]))*(10)/(ASINH(M$4))</f>
        <v>5.2331794904617972</v>
      </c>
      <c r="O531" s="256">
        <f>FMS_Ranking4[[#This Row],[Structures at risk, ArcSinh (0-10)]]*M$5*10</f>
        <v>5.2331794904617981</v>
      </c>
      <c r="P531" s="253">
        <f>_xlfn.XLOOKUP(FMS_Ranking4[[#This Row],[FMS ID]],FMS_Input[FMS_ID],FMS_Input[RES_STRUCT100])</f>
        <v>369</v>
      </c>
      <c r="Q531" s="257">
        <f>ASINH(FMS_Ranking4[[#This Row],[Res Structure Raw]])/Q$4*P$5*100</f>
        <v>0</v>
      </c>
      <c r="R531" s="253">
        <f>_xlfn.XLOOKUP(FMS_Ranking4[[#This Row],[FMS ID]],FMS_Input[FMS_ID],FMS_Input[POP100])</f>
        <v>1107</v>
      </c>
      <c r="S531" s="259">
        <f>(ASINH(FMS_Ranking4[[#This Row],[Pop at Risk Raw]]))*(10)/(ASINH(R$4))</f>
        <v>5.3175230527091744</v>
      </c>
      <c r="T531" s="256">
        <f>FMS_Ranking4[[#This Row],[Population at risk, ArcSinh (0-10)]]*R$5*10</f>
        <v>5.3175230527091744</v>
      </c>
      <c r="U531" s="253">
        <f>_xlfn.XLOOKUP(FMS_Ranking4[[#This Row],[FMS ID]],FMS_Input[FMS_ID],FMS_Input[CRITFAC100])</f>
        <v>3</v>
      </c>
      <c r="V531" s="259">
        <f>(ASINH(FMS_Ranking4[[#This Row],[Critical Facilities Raw]]))*(10)/(ASINH(U$4))</f>
        <v>2.152611706646717</v>
      </c>
      <c r="W531" s="256">
        <f>FMS_Ranking4[[#This Row],[Critical facilities at risk, ArcSinh (0-10)]]*U$5*10</f>
        <v>2.152611706646717</v>
      </c>
      <c r="X531" s="253">
        <f>_xlfn.XLOOKUP(FMS_Ranking4[[#This Row],[FMS ID]],FMS_Input[FMS_ID],FMS_Input[LWC])</f>
        <v>0</v>
      </c>
      <c r="Y531" s="259">
        <f>(ASINH(FMS_Ranking4[[#This Row],[LWC Raw]]))*(10)/(ASINH(X$4))</f>
        <v>0</v>
      </c>
      <c r="Z531" s="256">
        <f>FMS_Ranking4[[#This Row],[LWC, ArcSInh (0-10)]]*X$5*10</f>
        <v>0</v>
      </c>
      <c r="AA531" s="253">
        <f>_xlfn.XLOOKUP(FMS_Ranking4[[#This Row],[FMS ID]],FMS_Input[FMS_ID],FMS_Input[ROADCLS])</f>
        <v>0</v>
      </c>
      <c r="AB531" s="255">
        <f>(ASINH(FMS_Ranking4[[#This Row],[Road Closures Raw]]))*(10)/(ASINH(AA$4))</f>
        <v>0</v>
      </c>
      <c r="AC531" s="256">
        <f>FMS_Ranking4[[#This Row],[Road closures, ArcSinh (0-10)]]*AA$5*10</f>
        <v>0</v>
      </c>
      <c r="AD531" s="253">
        <f>_xlfn.XLOOKUP(FMS_Ranking4[[#This Row],[FMS ID]],FMS_Input[FMS_ID],FMS_Input[ROAD_MILES100])</f>
        <v>7</v>
      </c>
      <c r="AE531" s="259">
        <f>(ASINH(FMS_Ranking4[[#This Row],[Road Miles Raw]]))*(10)/(ASINH(AD$4))</f>
        <v>2.8179052695658946</v>
      </c>
      <c r="AF531" s="256">
        <f>FMS_Ranking4[[#This Row],[Length of roads at risk, ArcSinh (0-10)]]*AD$5*10</f>
        <v>2.8179052695658946</v>
      </c>
      <c r="AG531" s="253">
        <f>_xlfn.XLOOKUP(FMS_Ranking4[[#This Row],[FMS ID]],FMS_Input[FMS_ID],FMS_Input[FARMACRE100])</f>
        <v>0.93940138816833496</v>
      </c>
      <c r="AH531" s="255">
        <f>(ASINH(FMS_Ranking4[[#This Row],[Ag Land Raw]]))*(10)/(ASINH(AG$4))</f>
        <v>0.54426375032266583</v>
      </c>
      <c r="AI531" s="260">
        <f>FMS_Ranking4[[#This Row],[Farm &amp; ranch land, ArcSinh (0-10)]]*AG$5*10</f>
        <v>0.27213187516133291</v>
      </c>
      <c r="AJ531" s="258">
        <f>_xlfn.XLOOKUP(FMS_Ranking4[[#This Row],[FMS ID]],FMS_Input[FMS_ID],FMS_Input[REDSTRUCT100])</f>
        <v>0</v>
      </c>
      <c r="AK531" s="253">
        <f>_xlfn.XLOOKUP(FMS_Ranking4[[#This Row],[FMS ID]],FMS_Input[FMS_ID],FMS_Input[REMSTRC100])</f>
        <v>0</v>
      </c>
      <c r="AL531" s="259">
        <f>(ASINH(FMS_Ranking4[[#This Row],[Structures Removed Raw]]))*(10)/(ASINH(AK$4))</f>
        <v>0</v>
      </c>
      <c r="AM531" s="262">
        <f>FMS_Ranking4[[#This Row],[Structures removed, ArcSinh (0-10)]]*AK$5*10</f>
        <v>0</v>
      </c>
      <c r="AN531" s="253">
        <f>_xlfn.XLOOKUP(FMS_Ranking4[[#This Row],[FMS ID]],FMS_Input[FMS_ID],FMS_Input[REMRESSTRC100])</f>
        <v>0</v>
      </c>
      <c r="AO531" s="261">
        <f>FMS_Ranking4[[#This Row],[ArcSinh Res struct removed 0-10]]*AN$5*10</f>
        <v>0</v>
      </c>
      <c r="AP531" s="260">
        <f>ASINH(FMS_Ranking4[[#This Row],[Residential Structures Removed Raw]])/AP$4*AN$5*100</f>
        <v>0</v>
      </c>
      <c r="AQ531" s="254">
        <f>(ASINH(FMS_Ranking4[[#This Row],[Residential Structures Removed Raw]]))*(10)/(ASINH(AN$4))</f>
        <v>0</v>
      </c>
      <c r="AR531" s="253">
        <f>_xlfn.XLOOKUP(FMS_Ranking4[[#This Row],[FMS ID]],FMS_Input[FMS_ID],FMS_Input[REMPOP100])</f>
        <v>0</v>
      </c>
      <c r="AS531" s="259">
        <f>(ASINH(FMS_Ranking4[[#This Row],[Removed Pop Raw]]))*(10)/(ASINH(AR$4))</f>
        <v>0</v>
      </c>
      <c r="AT531" s="262">
        <f>FMS_Ranking4[[#This Row],[Removed population, ArcSinh (0-10)]]*AR$5*10</f>
        <v>0</v>
      </c>
      <c r="AU531" s="264">
        <f>_xlfn.XLOOKUP(FMS_Ranking4[[#This Row],[FMS ID]],FMS_Input[FMS_ID],FMS_Input[REMCRITFAC100])</f>
        <v>0</v>
      </c>
      <c r="AV531" s="264">
        <f>_xlfn.XLOOKUP(FMS_Ranking4[[#This Row],[FMS ID]],FMS_Input[FMS_ID],FMS_Input[REMLWC100])</f>
        <v>0</v>
      </c>
      <c r="AW531" s="264">
        <f>_xlfn.XLOOKUP(FMS_Ranking4[[#This Row],[FMS ID]],FMS_Input[FMS_ID],FMS_Input[REMROADCLS])</f>
        <v>0</v>
      </c>
      <c r="AX531" s="264">
        <f>_xlfn.XLOOKUP(FMS_Ranking4[[#This Row],[FMS ID]],FMS_Input[FMS_ID],FMS_Input[REMFRMACRE100])</f>
        <v>0</v>
      </c>
      <c r="AY531" s="258">
        <f>_xlfn.XLOOKUP(FMS_Ranking4[[#This Row],[FMS ID]],FMS_Input[FMS_ID],FMS_Input[COSTSTRUCT])</f>
        <v>0</v>
      </c>
      <c r="AZ531" s="253">
        <f>_xlfn.XLOOKUP(FMS_Ranking4[[#This Row],[FMS ID]],FMS_Input[FMS_ID],FMS_Input[NATURE])</f>
        <v>0</v>
      </c>
      <c r="BA531" s="262">
        <f>(((FMS_Ranking4[[#This Row],[% NBS Raw]]/AZ$4)*100)*AZ$5)</f>
        <v>0</v>
      </c>
      <c r="BB531" s="251" t="str">
        <f>_xlfn.XLOOKUP(FMS_Ranking4[[#This Row],[FMS ID]],FMS_Input[FMS_ID],FMS_Input[WATER_SUP])</f>
        <v>No</v>
      </c>
      <c r="BC531" s="265">
        <f>IF(FMS_Ranking4[[#This Row],[Water Supply Raw]]="Yes",10,0)</f>
        <v>0</v>
      </c>
      <c r="BD531" s="266">
        <f>_xlfn.XLOOKUP(FMS_Ranking4[[#This Row],[FMS Type]],FMS_TYPE[FMS_Type],FMS_TYPE[Score])</f>
        <v>8</v>
      </c>
      <c r="BE531" s="267">
        <f>FMS_Ranking4[[#This Row],[FMS_Type Score]]*$BD$5*10</f>
        <v>2</v>
      </c>
      <c r="BF53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5.9237590384334821E-2</v>
      </c>
      <c r="BG531" s="271">
        <f>_xlfn.RANK.EQ(BF531,$BF$8:$BF$870,0)+COUNTIF($BF$8:BF531,BF531)-1</f>
        <v>543</v>
      </c>
      <c r="BH531" s="268">
        <f>(((FMS_Ranking4[[#This Row],[Structures Removed Raw]]/AK$4)*100)*AK$5)+(((FMS_Ranking4[[#This Row],[Removed Pop Raw]]/AR$4)*100)*AR$5)</f>
        <v>0</v>
      </c>
      <c r="BI53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2.0592375903843347</v>
      </c>
      <c r="BJ531" s="205">
        <f>_xlfn.RANK.EQ(FMS_Ranking4[[#This Row],[Total Score 
(with linear
normalization)]],FMS_Ranking4[Total Score 
(with linear
normalization)],0)</f>
        <v>382</v>
      </c>
      <c r="BK531" s="205" t="e">
        <f>_xlfn.XLOOKUP(FMS_Ranking4[[#This Row],[FMS ID]],#REF!,#REF!)</f>
        <v>#REF!</v>
      </c>
      <c r="BL53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15.793351394544917</v>
      </c>
      <c r="BM531" s="272">
        <f>FMS_Ranking4[[#This Row],[ArcSinh Score Based on Normalized Reported Factors]]+FMS_Ranking4[[#This Row],[% NBS Score (Normalized)]]+(FMS_Ranking4[[#This Row],[Water Supply Score (Normalized)]]*10*$BB$5)+FMS_Ranking4[[#This Row],[FMS_Type Score Weighted]]</f>
        <v>17.793351394544917</v>
      </c>
      <c r="BN531" s="205">
        <f>_xlfn.RANK.EQ(FMS_Ranking4[[#This Row],[Total Score (with ArcSinh normalization of select criteria)]],FMS_Ranking4[Total Score (with ArcSinh normalization of select criteria)],0)</f>
        <v>524</v>
      </c>
      <c r="BO531" s="270" t="str">
        <f>_xlfn.XLOOKUP(FMS_Ranking4[[#This Row],[FMS ID]],FMS_Input[FMS_ID],FMS_Input[FMS_RANK_YEAR])</f>
        <v>2025 Amended Plan</v>
      </c>
      <c r="BP531" s="204" t="e">
        <f>_xlfn.XLOOKUP(FMS_Ranking4[[#This Row],[FMS ID]],Prev_Rank[FMS ID],Prev_Rank[Prev Rank])</f>
        <v>#N/A</v>
      </c>
      <c r="BQ531" s="205" t="e">
        <f>_xlfn.XLOOKUP(FMS_Ranking4[[#This Row],[FMS ID]],#REF!,#REF!)</f>
        <v>#REF!</v>
      </c>
      <c r="BR531" s="199" t="e">
        <f>SUM(#REF!,#REF!,#REF!,#REF!,#REF!,#REF!,#REF!,#REF!,#REF!,FMS_Ranking4[[#This Row],[ArcSinh Res struct removed 0-10]],#REF!)</f>
        <v>#REF!</v>
      </c>
      <c r="BS531" s="199" t="e">
        <f>FMS_Ranking4[[#This Row],[Log Score Based on Normalized Reported Factors]]+FMS_Ranking4[[#This Row],[% NBS Score (Normalized)]]+(FMS_Ranking4[[#This Row],[Water Supply Score (Normalized)]]*10*$BB$5)+(FMS_Ranking4[[#This Row],[FMS_Type Score Weighted]])</f>
        <v>#REF!</v>
      </c>
      <c r="BT531" s="200" t="e">
        <f>_xlfn.RANK.EQ(FMS_Ranking4[[#This Row],[Log Total Score]],FMS_Ranking4[Log Total Score],0)</f>
        <v>#REF!</v>
      </c>
      <c r="BU531" s="200" t="e">
        <f>_xlfn.XLOOKUP(FMS_Ranking4[[#This Row],[FMS ID]],#REF!,#REF!)</f>
        <v>#REF!</v>
      </c>
      <c r="BV531" s="200">
        <f>FMS_Ranking4[[#This Row],[Region Number]]</f>
        <v>15</v>
      </c>
      <c r="BW531" s="200">
        <f>FMS_Ranking4[[#This Row],[Rank (with ArcSinh normalization of select criteria)]]-FMS_Ranking4[[#This Row],[Rank
(with linear
normalization)]]</f>
        <v>142</v>
      </c>
      <c r="BX531" s="200" t="e">
        <f>FMS_Ranking4[[#This Row],[Log Rank]]-FMS_Ranking4[[#This Row],[Rank
(with linear
normalization)]]</f>
        <v>#REF!</v>
      </c>
      <c r="BY531" s="200" t="str">
        <f>IF(FMS_Ranking4[[#This Row],[FMS Type]]="Flood Measurement and Warning",FMS_Ranking4[[#This Row],[Rank (with ArcSinh normalization of select criteria)]],"")</f>
        <v/>
      </c>
      <c r="BZ531" s="200">
        <f>IF(FMS_Ranking4[[#This Row],[FMS Type]]="Regulatory and Guidance",FMS_Ranking4[[#This Row],[Rank (with ArcSinh normalization of select criteria)]],"")</f>
        <v>524</v>
      </c>
      <c r="CA531" s="200" t="str">
        <f>IF(FMS_Ranking4[[#This Row],[FMS Type]]="Education and Outreach",FMS_Ranking4[[#This Row],[Rank (with ArcSinh normalization of select criteria)]],"")</f>
        <v/>
      </c>
      <c r="CB531" s="200" t="str">
        <f>IF(FMS_Ranking4[[#This Row],[FMS Type]]="Property Acquisition and Structural Elevation",FMS_Ranking4[[#This Row],[Rank (with ArcSinh normalization of select criteria)]],"")</f>
        <v/>
      </c>
      <c r="CC531" s="200" t="str">
        <f>IF(FMS_Ranking4[[#This Row],[FMS Type]]="Infrastructure Projects",FMS_Ranking4[[#This Row],[Rank (with ArcSinh normalization of select criteria)]],"")</f>
        <v/>
      </c>
      <c r="CD531" s="200" t="str">
        <f>IF(FMS_Ranking4[[#This Row],[FMS Type]]="Other",FMS_Ranking4[[#This Row],[Rank (with ArcSinh normalization of select criteria)]],"")</f>
        <v/>
      </c>
      <c r="CE531" s="201"/>
      <c r="CF531" s="206"/>
      <c r="CG531" s="206"/>
      <c r="CH531" s="206"/>
      <c r="CI531" s="206"/>
      <c r="CJ531" s="206"/>
      <c r="CK531" s="206"/>
      <c r="CL531" s="206"/>
      <c r="CM531" s="206"/>
      <c r="CN531" s="206"/>
      <c r="CO531" s="206"/>
      <c r="CP531" s="206"/>
      <c r="CQ531" s="206"/>
      <c r="CR531" s="206"/>
    </row>
    <row r="532" spans="2:96" ht="90" x14ac:dyDescent="0.25">
      <c r="B532" s="341" t="s">
        <v>12812</v>
      </c>
      <c r="C532" s="246">
        <f>_xlfn.XLOOKUP(FMS_Ranking4[[#This Row],[FMS ID]],FMS_Input[FMS_ID],FMS_Input[RFPG_NUM])</f>
        <v>3</v>
      </c>
      <c r="D532" s="309" t="str">
        <f>_xlfn.XLOOKUP(FMS_Ranking4[[#This Row],[FMS ID]],FMS_Input[FMS_ID],FMS_Input[FMS_NAME])</f>
        <v>Chambers County Drainage Criteria Manual Update</v>
      </c>
      <c r="E532" s="308" t="str">
        <f>_xlfn.XLOOKUP(FMS_Ranking4[[#This Row],[FMS ID]],FMS_Input[FMS_ID],FMS_Input[SPONSOR])</f>
        <v>00000013</v>
      </c>
      <c r="F532" s="309" t="str">
        <f>_xlfn.XLOOKUP(FMS_Ranking4[[#This Row],[FMS ID]],Sponsor[FMS_ID],Sponsor[SPONSOR NAME])</f>
        <v>Chambers</v>
      </c>
      <c r="G532" s="309" t="str">
        <f>_xlfn.XLOOKUP(FMS_Ranking4[[#This Row],[FMS ID]],FMS_Input[FMS_ID],FMS_Input[FMS_DESCR])</f>
        <v>Update Drainage Criteria Manual for the County to minimize and eliminate the possibility of future development adversely impacting downstream communities.</v>
      </c>
      <c r="H532" s="248" t="str">
        <f>_xlfn.XLOOKUP(FMS_Ranking4[[#This Row],[FMS ID]],FMS_Input[FMS_ID],FMS_Input[FMS_TYPE])</f>
        <v>Regulatory and Guidance</v>
      </c>
      <c r="I532" s="249">
        <f>_xlfn.XLOOKUP(FMS_Ranking4[[#This Row],[FMS ID]],FMS_Input[FMS_ID],FMS_Input[NRNC_COST])</f>
        <v>137000</v>
      </c>
      <c r="J532" s="250">
        <f>_xlfn.XLOOKUP(FMS_Ranking4[[#This Row],[FMS ID]],FMS_Input[FMS_ID],FMS_Input[FMS_COST])</f>
        <v>137000</v>
      </c>
      <c r="K532" s="251" t="str">
        <f>_xlfn.XLOOKUP(FMS_Ranking4[[#This Row],[FMS ID]],FMS_Input[FMS_ID],FMS_Input[EMER_NEED])</f>
        <v>No</v>
      </c>
      <c r="L532" s="252">
        <f t="shared" si="8"/>
        <v>0</v>
      </c>
      <c r="M532" s="253">
        <f>_xlfn.XLOOKUP(FMS_Ranking4[[#This Row],[FMS ID]],FMS_Input[FMS_ID],FMS_Input[STRUCT_100])</f>
        <v>1471</v>
      </c>
      <c r="N532" s="255">
        <f>(ASINH(FMS_Ranking4[[#This Row],[Structure at Risk Raw]]))*(10)/(ASINH(M$4))</f>
        <v>6.2788493728401242</v>
      </c>
      <c r="O532" s="256">
        <f>FMS_Ranking4[[#This Row],[Structures at risk, ArcSinh (0-10)]]*M$5*10</f>
        <v>6.2788493728401251</v>
      </c>
      <c r="P532" s="253">
        <f>_xlfn.XLOOKUP(FMS_Ranking4[[#This Row],[FMS ID]],FMS_Input[FMS_ID],FMS_Input[RES_STRUCT100])</f>
        <v>832</v>
      </c>
      <c r="Q532" s="257">
        <f>ASINH(FMS_Ranking4[[#This Row],[Res Structure Raw]])/Q$4*P$5*100</f>
        <v>0</v>
      </c>
      <c r="R532" s="253">
        <f>_xlfn.XLOOKUP(FMS_Ranking4[[#This Row],[FMS ID]],FMS_Input[FMS_ID],FMS_Input[POP100])</f>
        <v>0</v>
      </c>
      <c r="S532" s="259">
        <f>(ASINH(FMS_Ranking4[[#This Row],[Pop at Risk Raw]]))*(10)/(ASINH(R$4))</f>
        <v>0</v>
      </c>
      <c r="T532" s="256">
        <f>FMS_Ranking4[[#This Row],[Population at risk, ArcSinh (0-10)]]*R$5*10</f>
        <v>0</v>
      </c>
      <c r="U532" s="253">
        <f>_xlfn.XLOOKUP(FMS_Ranking4[[#This Row],[FMS ID]],FMS_Input[FMS_ID],FMS_Input[CRITFAC100])</f>
        <v>3</v>
      </c>
      <c r="V532" s="259">
        <f>(ASINH(FMS_Ranking4[[#This Row],[Critical Facilities Raw]]))*(10)/(ASINH(U$4))</f>
        <v>2.152611706646717</v>
      </c>
      <c r="W532" s="256">
        <f>FMS_Ranking4[[#This Row],[Critical facilities at risk, ArcSinh (0-10)]]*U$5*10</f>
        <v>2.152611706646717</v>
      </c>
      <c r="X532" s="253">
        <f>_xlfn.XLOOKUP(FMS_Ranking4[[#This Row],[FMS ID]],FMS_Input[FMS_ID],FMS_Input[LWC])</f>
        <v>0</v>
      </c>
      <c r="Y532" s="259">
        <f>(ASINH(FMS_Ranking4[[#This Row],[LWC Raw]]))*(10)/(ASINH(X$4))</f>
        <v>0</v>
      </c>
      <c r="Z532" s="256">
        <f>FMS_Ranking4[[#This Row],[LWC, ArcSInh (0-10)]]*X$5*10</f>
        <v>0</v>
      </c>
      <c r="AA532" s="253">
        <f>_xlfn.XLOOKUP(FMS_Ranking4[[#This Row],[FMS ID]],FMS_Input[FMS_ID],FMS_Input[ROADCLS])</f>
        <v>0</v>
      </c>
      <c r="AB532" s="255">
        <f>(ASINH(FMS_Ranking4[[#This Row],[Road Closures Raw]]))*(10)/(ASINH(AA$4))</f>
        <v>0</v>
      </c>
      <c r="AC532" s="256">
        <f>FMS_Ranking4[[#This Row],[Road closures, ArcSinh (0-10)]]*AA$5*10</f>
        <v>0</v>
      </c>
      <c r="AD532" s="253">
        <f>_xlfn.XLOOKUP(FMS_Ranking4[[#This Row],[FMS ID]],FMS_Input[FMS_ID],FMS_Input[ROAD_MILES100])</f>
        <v>29</v>
      </c>
      <c r="AE532" s="259">
        <f>(ASINH(FMS_Ranking4[[#This Row],[Road Miles Raw]]))*(10)/(ASINH(AD$4))</f>
        <v>4.3276317846410652</v>
      </c>
      <c r="AF532" s="256">
        <f>FMS_Ranking4[[#This Row],[Length of roads at risk, ArcSinh (0-10)]]*AD$5*10</f>
        <v>4.3276317846410652</v>
      </c>
      <c r="AG532" s="253">
        <f>_xlfn.XLOOKUP(FMS_Ranking4[[#This Row],[FMS ID]],FMS_Input[FMS_ID],FMS_Input[FARMACRE100])</f>
        <v>5696.05517578125</v>
      </c>
      <c r="AH532" s="255">
        <f>(ASINH(FMS_Ranking4[[#This Row],[Ag Land Raw]]))*(10)/(ASINH(AG$4))</f>
        <v>6.0675302535873934</v>
      </c>
      <c r="AI532" s="260">
        <f>FMS_Ranking4[[#This Row],[Farm &amp; ranch land, ArcSinh (0-10)]]*AG$5*10</f>
        <v>3.0337651267936971</v>
      </c>
      <c r="AJ532" s="258">
        <f>_xlfn.XLOOKUP(FMS_Ranking4[[#This Row],[FMS ID]],FMS_Input[FMS_ID],FMS_Input[REDSTRUCT100])</f>
        <v>0</v>
      </c>
      <c r="AK532" s="253">
        <f>_xlfn.XLOOKUP(FMS_Ranking4[[#This Row],[FMS ID]],FMS_Input[FMS_ID],FMS_Input[REMSTRC100])</f>
        <v>0</v>
      </c>
      <c r="AL532" s="259">
        <f>(ASINH(FMS_Ranking4[[#This Row],[Structures Removed Raw]]))*(10)/(ASINH(AK$4))</f>
        <v>0</v>
      </c>
      <c r="AM532" s="262">
        <f>FMS_Ranking4[[#This Row],[Structures removed, ArcSinh (0-10)]]*AK$5*10</f>
        <v>0</v>
      </c>
      <c r="AN532" s="253">
        <f>_xlfn.XLOOKUP(FMS_Ranking4[[#This Row],[FMS ID]],FMS_Input[FMS_ID],FMS_Input[REMRESSTRC100])</f>
        <v>0</v>
      </c>
      <c r="AO532" s="261">
        <f>FMS_Ranking4[[#This Row],[ArcSinh Res struct removed 0-10]]*AN$5*10</f>
        <v>0</v>
      </c>
      <c r="AP532" s="260">
        <f>ASINH(FMS_Ranking4[[#This Row],[Residential Structures Removed Raw]])/AP$4*AN$5*100</f>
        <v>0</v>
      </c>
      <c r="AQ532" s="254">
        <f>(ASINH(FMS_Ranking4[[#This Row],[Residential Structures Removed Raw]]))*(10)/(ASINH(AN$4))</f>
        <v>0</v>
      </c>
      <c r="AR532" s="253">
        <f>_xlfn.XLOOKUP(FMS_Ranking4[[#This Row],[FMS ID]],FMS_Input[FMS_ID],FMS_Input[REMPOP100])</f>
        <v>0</v>
      </c>
      <c r="AS532" s="259">
        <f>(ASINH(FMS_Ranking4[[#This Row],[Removed Pop Raw]]))*(10)/(ASINH(AR$4))</f>
        <v>0</v>
      </c>
      <c r="AT532" s="262">
        <f>FMS_Ranking4[[#This Row],[Removed population, ArcSinh (0-10)]]*AR$5*10</f>
        <v>0</v>
      </c>
      <c r="AU532" s="264">
        <f>_xlfn.XLOOKUP(FMS_Ranking4[[#This Row],[FMS ID]],FMS_Input[FMS_ID],FMS_Input[REMCRITFAC100])</f>
        <v>0</v>
      </c>
      <c r="AV532" s="264">
        <f>_xlfn.XLOOKUP(FMS_Ranking4[[#This Row],[FMS ID]],FMS_Input[FMS_ID],FMS_Input[REMLWC100])</f>
        <v>0</v>
      </c>
      <c r="AW532" s="264">
        <f>_xlfn.XLOOKUP(FMS_Ranking4[[#This Row],[FMS ID]],FMS_Input[FMS_ID],FMS_Input[REMROADCLS])</f>
        <v>0</v>
      </c>
      <c r="AX532" s="264">
        <f>_xlfn.XLOOKUP(FMS_Ranking4[[#This Row],[FMS ID]],FMS_Input[FMS_ID],FMS_Input[REMFRMACRE100])</f>
        <v>0</v>
      </c>
      <c r="AY532" s="258">
        <f>_xlfn.XLOOKUP(FMS_Ranking4[[#This Row],[FMS ID]],FMS_Input[FMS_ID],FMS_Input[COSTSTRUCT])</f>
        <v>0</v>
      </c>
      <c r="AZ532" s="253">
        <f>_xlfn.XLOOKUP(FMS_Ranking4[[#This Row],[FMS ID]],FMS_Input[FMS_ID],FMS_Input[NATURE])</f>
        <v>0</v>
      </c>
      <c r="BA532" s="262">
        <f>(((FMS_Ranking4[[#This Row],[% NBS Raw]]/AZ$4)*100)*AZ$5)</f>
        <v>0</v>
      </c>
      <c r="BB532" s="251" t="str">
        <f>_xlfn.XLOOKUP(FMS_Ranking4[[#This Row],[FMS ID]],FMS_Input[FMS_ID],FMS_Input[WATER_SUP])</f>
        <v>No</v>
      </c>
      <c r="BC532" s="265">
        <f>IF(FMS_Ranking4[[#This Row],[Water Supply Raw]]="Yes",10,0)</f>
        <v>0</v>
      </c>
      <c r="BD532" s="266">
        <f>_xlfn.XLOOKUP(FMS_Ranking4[[#This Row],[FMS Type]],FMS_TYPE[FMS_Type],FMS_TYPE[Score])</f>
        <v>8</v>
      </c>
      <c r="BE532" s="267">
        <f>FMS_Ranking4[[#This Row],[FMS_Type Score]]*$BD$5*10</f>
        <v>2</v>
      </c>
      <c r="BF53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0.16136302155386462</v>
      </c>
      <c r="BG532" s="271">
        <f>_xlfn.RANK.EQ(BF532,$BF$8:$BF$870,0)+COUNTIF($BF$8:BF532,BF532)-1</f>
        <v>391</v>
      </c>
      <c r="BH532" s="268">
        <f>(((FMS_Ranking4[[#This Row],[Structures Removed Raw]]/AK$4)*100)*AK$5)+(((FMS_Ranking4[[#This Row],[Removed Pop Raw]]/AR$4)*100)*AR$5)</f>
        <v>0</v>
      </c>
      <c r="BI53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2.1613630215538646</v>
      </c>
      <c r="BJ532" s="205">
        <f>_xlfn.RANK.EQ(FMS_Ranking4[[#This Row],[Total Score 
(with linear
normalization)]],FMS_Ranking4[Total Score 
(with linear
normalization)],0)</f>
        <v>334</v>
      </c>
      <c r="BK532" s="205" t="e">
        <f>_xlfn.XLOOKUP(FMS_Ranking4[[#This Row],[FMS ID]],#REF!,#REF!)</f>
        <v>#REF!</v>
      </c>
      <c r="BL53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15.792857990921604</v>
      </c>
      <c r="BM532" s="272">
        <f>FMS_Ranking4[[#This Row],[ArcSinh Score Based on Normalized Reported Factors]]+FMS_Ranking4[[#This Row],[% NBS Score (Normalized)]]+(FMS_Ranking4[[#This Row],[Water Supply Score (Normalized)]]*10*$BB$5)+FMS_Ranking4[[#This Row],[FMS_Type Score Weighted]]</f>
        <v>17.792857990921604</v>
      </c>
      <c r="BN532" s="205">
        <f>_xlfn.RANK.EQ(FMS_Ranking4[[#This Row],[Total Score (with ArcSinh normalization of select criteria)]],FMS_Ranking4[Total Score (with ArcSinh normalization of select criteria)],0)</f>
        <v>525</v>
      </c>
      <c r="BO532" s="270" t="str">
        <f>_xlfn.XLOOKUP(FMS_Ranking4[[#This Row],[FMS ID]],FMS_Input[FMS_ID],FMS_Input[FMS_RANK_YEAR])</f>
        <v>2025 Amended Plan</v>
      </c>
      <c r="BP532" s="204" t="e">
        <f>_xlfn.XLOOKUP(FMS_Ranking4[[#This Row],[FMS ID]],Prev_Rank[FMS ID],Prev_Rank[Prev Rank])</f>
        <v>#N/A</v>
      </c>
      <c r="BQ532" s="205" t="e">
        <f>_xlfn.XLOOKUP(FMS_Ranking4[[#This Row],[FMS ID]],#REF!,#REF!)</f>
        <v>#REF!</v>
      </c>
      <c r="BR532" s="199" t="e">
        <f>SUM(#REF!,#REF!,#REF!,#REF!,#REF!,#REF!,#REF!,#REF!,#REF!,FMS_Ranking4[[#This Row],[ArcSinh Res struct removed 0-10]],#REF!)</f>
        <v>#REF!</v>
      </c>
      <c r="BS532" s="199" t="e">
        <f>FMS_Ranking4[[#This Row],[Log Score Based on Normalized Reported Factors]]+FMS_Ranking4[[#This Row],[% NBS Score (Normalized)]]+(FMS_Ranking4[[#This Row],[Water Supply Score (Normalized)]]*10*$BB$5)+(FMS_Ranking4[[#This Row],[FMS_Type Score Weighted]])</f>
        <v>#REF!</v>
      </c>
      <c r="BT532" s="200" t="e">
        <f>_xlfn.RANK.EQ(FMS_Ranking4[[#This Row],[Log Total Score]],FMS_Ranking4[Log Total Score],0)</f>
        <v>#REF!</v>
      </c>
      <c r="BU532" s="200" t="e">
        <f>_xlfn.XLOOKUP(FMS_Ranking4[[#This Row],[FMS ID]],#REF!,#REF!)</f>
        <v>#REF!</v>
      </c>
      <c r="BV532" s="200">
        <f>FMS_Ranking4[[#This Row],[Region Number]]</f>
        <v>3</v>
      </c>
      <c r="BW532" s="200">
        <f>FMS_Ranking4[[#This Row],[Rank (with ArcSinh normalization of select criteria)]]-FMS_Ranking4[[#This Row],[Rank
(with linear
normalization)]]</f>
        <v>191</v>
      </c>
      <c r="BX532" s="200" t="e">
        <f>FMS_Ranking4[[#This Row],[Log Rank]]-FMS_Ranking4[[#This Row],[Rank
(with linear
normalization)]]</f>
        <v>#REF!</v>
      </c>
      <c r="BY532" s="200" t="str">
        <f>IF(FMS_Ranking4[[#This Row],[FMS Type]]="Flood Measurement and Warning",FMS_Ranking4[[#This Row],[Rank (with ArcSinh normalization of select criteria)]],"")</f>
        <v/>
      </c>
      <c r="BZ532" s="200">
        <f>IF(FMS_Ranking4[[#This Row],[FMS Type]]="Regulatory and Guidance",FMS_Ranking4[[#This Row],[Rank (with ArcSinh normalization of select criteria)]],"")</f>
        <v>525</v>
      </c>
      <c r="CA532" s="200" t="str">
        <f>IF(FMS_Ranking4[[#This Row],[FMS Type]]="Education and Outreach",FMS_Ranking4[[#This Row],[Rank (with ArcSinh normalization of select criteria)]],"")</f>
        <v/>
      </c>
      <c r="CB532" s="200" t="str">
        <f>IF(FMS_Ranking4[[#This Row],[FMS Type]]="Property Acquisition and Structural Elevation",FMS_Ranking4[[#This Row],[Rank (with ArcSinh normalization of select criteria)]],"")</f>
        <v/>
      </c>
      <c r="CC532" s="200" t="str">
        <f>IF(FMS_Ranking4[[#This Row],[FMS Type]]="Infrastructure Projects",FMS_Ranking4[[#This Row],[Rank (with ArcSinh normalization of select criteria)]],"")</f>
        <v/>
      </c>
      <c r="CD532" s="200" t="str">
        <f>IF(FMS_Ranking4[[#This Row],[FMS Type]]="Other",FMS_Ranking4[[#This Row],[Rank (with ArcSinh normalization of select criteria)]],"")</f>
        <v/>
      </c>
      <c r="CE532" s="201"/>
      <c r="CF532" s="206"/>
      <c r="CG532" s="206"/>
      <c r="CH532" s="206"/>
      <c r="CI532" s="206"/>
      <c r="CJ532" s="206"/>
      <c r="CK532" s="206"/>
      <c r="CL532" s="206"/>
      <c r="CM532" s="206"/>
      <c r="CN532" s="206"/>
      <c r="CO532" s="206"/>
      <c r="CP532" s="206"/>
      <c r="CQ532" s="206"/>
      <c r="CR532" s="206"/>
    </row>
    <row r="533" spans="2:96" ht="60" x14ac:dyDescent="0.25">
      <c r="B533" s="341" t="s">
        <v>12805</v>
      </c>
      <c r="C533" s="246">
        <f>_xlfn.XLOOKUP(FMS_Ranking4[[#This Row],[FMS ID]],FMS_Input[FMS_ID],FMS_Input[RFPG_NUM])</f>
        <v>3</v>
      </c>
      <c r="D533" s="309" t="str">
        <f>_xlfn.XLOOKUP(FMS_Ranking4[[#This Row],[FMS ID]],FMS_Input[FMS_ID],FMS_Input[FMS_NAME])</f>
        <v>Community Rating System</v>
      </c>
      <c r="E533" s="308" t="str">
        <f>_xlfn.XLOOKUP(FMS_Ranking4[[#This Row],[FMS ID]],FMS_Input[FMS_ID],FMS_Input[SPONSOR])</f>
        <v>00000013</v>
      </c>
      <c r="F533" s="309" t="str">
        <f>_xlfn.XLOOKUP(FMS_Ranking4[[#This Row],[FMS ID]],Sponsor[FMS_ID],Sponsor[SPONSOR NAME])</f>
        <v>Chambers</v>
      </c>
      <c r="G533" s="309" t="str">
        <f>_xlfn.XLOOKUP(FMS_Ranking4[[#This Row],[FMS ID]],FMS_Input[FMS_ID],FMS_Input[FMS_DESCR])</f>
        <v>Join the Community Rating System to reduce flood insurance premiums and flood risk for residents.</v>
      </c>
      <c r="H533" s="248" t="str">
        <f>_xlfn.XLOOKUP(FMS_Ranking4[[#This Row],[FMS ID]],FMS_Input[FMS_ID],FMS_Input[FMS_TYPE])</f>
        <v>Regulatory and Guidance</v>
      </c>
      <c r="I533" s="249">
        <f>_xlfn.XLOOKUP(FMS_Ranking4[[#This Row],[FMS ID]],FMS_Input[FMS_ID],FMS_Input[NRNC_COST])</f>
        <v>20000</v>
      </c>
      <c r="J533" s="250">
        <f>_xlfn.XLOOKUP(FMS_Ranking4[[#This Row],[FMS ID]],FMS_Input[FMS_ID],FMS_Input[FMS_COST])</f>
        <v>20000</v>
      </c>
      <c r="K533" s="251" t="str">
        <f>_xlfn.XLOOKUP(FMS_Ranking4[[#This Row],[FMS ID]],FMS_Input[FMS_ID],FMS_Input[EMER_NEED])</f>
        <v>No</v>
      </c>
      <c r="L533" s="252">
        <f t="shared" si="8"/>
        <v>0</v>
      </c>
      <c r="M533" s="253">
        <f>_xlfn.XLOOKUP(FMS_Ranking4[[#This Row],[FMS ID]],FMS_Input[FMS_ID],FMS_Input[STRUCT_100])</f>
        <v>1471</v>
      </c>
      <c r="N533" s="255">
        <f>(ASINH(FMS_Ranking4[[#This Row],[Structure at Risk Raw]]))*(10)/(ASINH(M$4))</f>
        <v>6.2788493728401242</v>
      </c>
      <c r="O533" s="256">
        <f>FMS_Ranking4[[#This Row],[Structures at risk, ArcSinh (0-10)]]*M$5*10</f>
        <v>6.2788493728401251</v>
      </c>
      <c r="P533" s="253">
        <f>_xlfn.XLOOKUP(FMS_Ranking4[[#This Row],[FMS ID]],FMS_Input[FMS_ID],FMS_Input[RES_STRUCT100])</f>
        <v>832</v>
      </c>
      <c r="Q533" s="257">
        <f>ASINH(FMS_Ranking4[[#This Row],[Res Structure Raw]])/Q$4*P$5*100</f>
        <v>0</v>
      </c>
      <c r="R533" s="253">
        <f>_xlfn.XLOOKUP(FMS_Ranking4[[#This Row],[FMS ID]],FMS_Input[FMS_ID],FMS_Input[POP100])</f>
        <v>0</v>
      </c>
      <c r="S533" s="259">
        <f>(ASINH(FMS_Ranking4[[#This Row],[Pop at Risk Raw]]))*(10)/(ASINH(R$4))</f>
        <v>0</v>
      </c>
      <c r="T533" s="256">
        <f>FMS_Ranking4[[#This Row],[Population at risk, ArcSinh (0-10)]]*R$5*10</f>
        <v>0</v>
      </c>
      <c r="U533" s="253">
        <f>_xlfn.XLOOKUP(FMS_Ranking4[[#This Row],[FMS ID]],FMS_Input[FMS_ID],FMS_Input[CRITFAC100])</f>
        <v>3</v>
      </c>
      <c r="V533" s="259">
        <f>(ASINH(FMS_Ranking4[[#This Row],[Critical Facilities Raw]]))*(10)/(ASINH(U$4))</f>
        <v>2.152611706646717</v>
      </c>
      <c r="W533" s="256">
        <f>FMS_Ranking4[[#This Row],[Critical facilities at risk, ArcSinh (0-10)]]*U$5*10</f>
        <v>2.152611706646717</v>
      </c>
      <c r="X533" s="253">
        <f>_xlfn.XLOOKUP(FMS_Ranking4[[#This Row],[FMS ID]],FMS_Input[FMS_ID],FMS_Input[LWC])</f>
        <v>0</v>
      </c>
      <c r="Y533" s="259">
        <f>(ASINH(FMS_Ranking4[[#This Row],[LWC Raw]]))*(10)/(ASINH(X$4))</f>
        <v>0</v>
      </c>
      <c r="Z533" s="256">
        <f>FMS_Ranking4[[#This Row],[LWC, ArcSInh (0-10)]]*X$5*10</f>
        <v>0</v>
      </c>
      <c r="AA533" s="253">
        <f>_xlfn.XLOOKUP(FMS_Ranking4[[#This Row],[FMS ID]],FMS_Input[FMS_ID],FMS_Input[ROADCLS])</f>
        <v>0</v>
      </c>
      <c r="AB533" s="255">
        <f>(ASINH(FMS_Ranking4[[#This Row],[Road Closures Raw]]))*(10)/(ASINH(AA$4))</f>
        <v>0</v>
      </c>
      <c r="AC533" s="256">
        <f>FMS_Ranking4[[#This Row],[Road closures, ArcSinh (0-10)]]*AA$5*10</f>
        <v>0</v>
      </c>
      <c r="AD533" s="253">
        <f>_xlfn.XLOOKUP(FMS_Ranking4[[#This Row],[FMS ID]],FMS_Input[FMS_ID],FMS_Input[ROAD_MILES100])</f>
        <v>29</v>
      </c>
      <c r="AE533" s="259">
        <f>(ASINH(FMS_Ranking4[[#This Row],[Road Miles Raw]]))*(10)/(ASINH(AD$4))</f>
        <v>4.3276317846410652</v>
      </c>
      <c r="AF533" s="256">
        <f>FMS_Ranking4[[#This Row],[Length of roads at risk, ArcSinh (0-10)]]*AD$5*10</f>
        <v>4.3276317846410652</v>
      </c>
      <c r="AG533" s="253">
        <f>_xlfn.XLOOKUP(FMS_Ranking4[[#This Row],[FMS ID]],FMS_Input[FMS_ID],FMS_Input[FARMACRE100])</f>
        <v>5696.05517578125</v>
      </c>
      <c r="AH533" s="255">
        <f>(ASINH(FMS_Ranking4[[#This Row],[Ag Land Raw]]))*(10)/(ASINH(AG$4))</f>
        <v>6.0675302535873934</v>
      </c>
      <c r="AI533" s="260">
        <f>FMS_Ranking4[[#This Row],[Farm &amp; ranch land, ArcSinh (0-10)]]*AG$5*10</f>
        <v>3.0337651267936971</v>
      </c>
      <c r="AJ533" s="258">
        <f>_xlfn.XLOOKUP(FMS_Ranking4[[#This Row],[FMS ID]],FMS_Input[FMS_ID],FMS_Input[REDSTRUCT100])</f>
        <v>0</v>
      </c>
      <c r="AK533" s="253">
        <f>_xlfn.XLOOKUP(FMS_Ranking4[[#This Row],[FMS ID]],FMS_Input[FMS_ID],FMS_Input[REMSTRC100])</f>
        <v>0</v>
      </c>
      <c r="AL533" s="259">
        <f>(ASINH(FMS_Ranking4[[#This Row],[Structures Removed Raw]]))*(10)/(ASINH(AK$4))</f>
        <v>0</v>
      </c>
      <c r="AM533" s="262">
        <f>FMS_Ranking4[[#This Row],[Structures removed, ArcSinh (0-10)]]*AK$5*10</f>
        <v>0</v>
      </c>
      <c r="AN533" s="253">
        <f>_xlfn.XLOOKUP(FMS_Ranking4[[#This Row],[FMS ID]],FMS_Input[FMS_ID],FMS_Input[REMRESSTRC100])</f>
        <v>0</v>
      </c>
      <c r="AO533" s="261">
        <f>FMS_Ranking4[[#This Row],[ArcSinh Res struct removed 0-10]]*AN$5*10</f>
        <v>0</v>
      </c>
      <c r="AP533" s="260">
        <f>ASINH(FMS_Ranking4[[#This Row],[Residential Structures Removed Raw]])/AP$4*AN$5*100</f>
        <v>0</v>
      </c>
      <c r="AQ533" s="254">
        <f>(ASINH(FMS_Ranking4[[#This Row],[Residential Structures Removed Raw]]))*(10)/(ASINH(AN$4))</f>
        <v>0</v>
      </c>
      <c r="AR533" s="253">
        <f>_xlfn.XLOOKUP(FMS_Ranking4[[#This Row],[FMS ID]],FMS_Input[FMS_ID],FMS_Input[REMPOP100])</f>
        <v>0</v>
      </c>
      <c r="AS533" s="259">
        <f>(ASINH(FMS_Ranking4[[#This Row],[Removed Pop Raw]]))*(10)/(ASINH(AR$4))</f>
        <v>0</v>
      </c>
      <c r="AT533" s="262">
        <f>FMS_Ranking4[[#This Row],[Removed population, ArcSinh (0-10)]]*AR$5*10</f>
        <v>0</v>
      </c>
      <c r="AU533" s="264">
        <f>_xlfn.XLOOKUP(FMS_Ranking4[[#This Row],[FMS ID]],FMS_Input[FMS_ID],FMS_Input[REMCRITFAC100])</f>
        <v>0</v>
      </c>
      <c r="AV533" s="264">
        <f>_xlfn.XLOOKUP(FMS_Ranking4[[#This Row],[FMS ID]],FMS_Input[FMS_ID],FMS_Input[REMLWC100])</f>
        <v>0</v>
      </c>
      <c r="AW533" s="264">
        <f>_xlfn.XLOOKUP(FMS_Ranking4[[#This Row],[FMS ID]],FMS_Input[FMS_ID],FMS_Input[REMROADCLS])</f>
        <v>0</v>
      </c>
      <c r="AX533" s="264">
        <f>_xlfn.XLOOKUP(FMS_Ranking4[[#This Row],[FMS ID]],FMS_Input[FMS_ID],FMS_Input[REMFRMACRE100])</f>
        <v>0</v>
      </c>
      <c r="AY533" s="258">
        <f>_xlfn.XLOOKUP(FMS_Ranking4[[#This Row],[FMS ID]],FMS_Input[FMS_ID],FMS_Input[COSTSTRUCT])</f>
        <v>0</v>
      </c>
      <c r="AZ533" s="253">
        <f>_xlfn.XLOOKUP(FMS_Ranking4[[#This Row],[FMS ID]],FMS_Input[FMS_ID],FMS_Input[NATURE])</f>
        <v>0</v>
      </c>
      <c r="BA533" s="262">
        <f>(((FMS_Ranking4[[#This Row],[% NBS Raw]]/AZ$4)*100)*AZ$5)</f>
        <v>0</v>
      </c>
      <c r="BB533" s="251" t="str">
        <f>_xlfn.XLOOKUP(FMS_Ranking4[[#This Row],[FMS ID]],FMS_Input[FMS_ID],FMS_Input[WATER_SUP])</f>
        <v>No</v>
      </c>
      <c r="BC533" s="265">
        <f>IF(FMS_Ranking4[[#This Row],[Water Supply Raw]]="Yes",10,0)</f>
        <v>0</v>
      </c>
      <c r="BD533" s="266">
        <f>_xlfn.XLOOKUP(FMS_Ranking4[[#This Row],[FMS Type]],FMS_TYPE[FMS_Type],FMS_TYPE[Score])</f>
        <v>8</v>
      </c>
      <c r="BE533" s="267">
        <f>FMS_Ranking4[[#This Row],[FMS_Type Score]]*$BD$5*10</f>
        <v>2</v>
      </c>
      <c r="BF53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0.16136302155386462</v>
      </c>
      <c r="BG533" s="271">
        <f>_xlfn.RANK.EQ(BF533,$BF$8:$BF$870,0)+COUNTIF($BF$8:BF533,BF533)-1</f>
        <v>392</v>
      </c>
      <c r="BH533" s="268">
        <f>(((FMS_Ranking4[[#This Row],[Structures Removed Raw]]/AK$4)*100)*AK$5)+(((FMS_Ranking4[[#This Row],[Removed Pop Raw]]/AR$4)*100)*AR$5)</f>
        <v>0</v>
      </c>
      <c r="BI53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2.1613630215538646</v>
      </c>
      <c r="BJ533" s="205">
        <f>_xlfn.RANK.EQ(FMS_Ranking4[[#This Row],[Total Score 
(with linear
normalization)]],FMS_Ranking4[Total Score 
(with linear
normalization)],0)</f>
        <v>334</v>
      </c>
      <c r="BK533" s="205" t="e">
        <f>_xlfn.XLOOKUP(FMS_Ranking4[[#This Row],[FMS ID]],#REF!,#REF!)</f>
        <v>#REF!</v>
      </c>
      <c r="BL53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15.792857990921604</v>
      </c>
      <c r="BM533" s="272">
        <f>FMS_Ranking4[[#This Row],[ArcSinh Score Based on Normalized Reported Factors]]+FMS_Ranking4[[#This Row],[% NBS Score (Normalized)]]+(FMS_Ranking4[[#This Row],[Water Supply Score (Normalized)]]*10*$BB$5)+FMS_Ranking4[[#This Row],[FMS_Type Score Weighted]]</f>
        <v>17.792857990921604</v>
      </c>
      <c r="BN533" s="205">
        <f>_xlfn.RANK.EQ(FMS_Ranking4[[#This Row],[Total Score (with ArcSinh normalization of select criteria)]],FMS_Ranking4[Total Score (with ArcSinh normalization of select criteria)],0)</f>
        <v>525</v>
      </c>
      <c r="BO533" s="270" t="str">
        <f>_xlfn.XLOOKUP(FMS_Ranking4[[#This Row],[FMS ID]],FMS_Input[FMS_ID],FMS_Input[FMS_RANK_YEAR])</f>
        <v>2025 Amended Plan</v>
      </c>
      <c r="BP533" s="204" t="e">
        <f>_xlfn.XLOOKUP(FMS_Ranking4[[#This Row],[FMS ID]],Prev_Rank[FMS ID],Prev_Rank[Prev Rank])</f>
        <v>#N/A</v>
      </c>
      <c r="BQ533" s="205" t="e">
        <f>_xlfn.XLOOKUP(FMS_Ranking4[[#This Row],[FMS ID]],#REF!,#REF!)</f>
        <v>#REF!</v>
      </c>
      <c r="BR533" s="199" t="e">
        <f>SUM(#REF!,#REF!,#REF!,#REF!,#REF!,#REF!,#REF!,#REF!,#REF!,FMS_Ranking4[[#This Row],[ArcSinh Res struct removed 0-10]],#REF!)</f>
        <v>#REF!</v>
      </c>
      <c r="BS533" s="199" t="e">
        <f>FMS_Ranking4[[#This Row],[Log Score Based on Normalized Reported Factors]]+FMS_Ranking4[[#This Row],[% NBS Score (Normalized)]]+(FMS_Ranking4[[#This Row],[Water Supply Score (Normalized)]]*10*$BB$5)+(FMS_Ranking4[[#This Row],[FMS_Type Score Weighted]])</f>
        <v>#REF!</v>
      </c>
      <c r="BT533" s="200" t="e">
        <f>_xlfn.RANK.EQ(FMS_Ranking4[[#This Row],[Log Total Score]],FMS_Ranking4[Log Total Score],0)</f>
        <v>#REF!</v>
      </c>
      <c r="BU533" s="200" t="e">
        <f>_xlfn.XLOOKUP(FMS_Ranking4[[#This Row],[FMS ID]],#REF!,#REF!)</f>
        <v>#REF!</v>
      </c>
      <c r="BV533" s="200">
        <f>FMS_Ranking4[[#This Row],[Region Number]]</f>
        <v>3</v>
      </c>
      <c r="BW533" s="200">
        <f>FMS_Ranking4[[#This Row],[Rank (with ArcSinh normalization of select criteria)]]-FMS_Ranking4[[#This Row],[Rank
(with linear
normalization)]]</f>
        <v>191</v>
      </c>
      <c r="BX533" s="200" t="e">
        <f>FMS_Ranking4[[#This Row],[Log Rank]]-FMS_Ranking4[[#This Row],[Rank
(with linear
normalization)]]</f>
        <v>#REF!</v>
      </c>
      <c r="BY533" s="200" t="str">
        <f>IF(FMS_Ranking4[[#This Row],[FMS Type]]="Flood Measurement and Warning",FMS_Ranking4[[#This Row],[Rank (with ArcSinh normalization of select criteria)]],"")</f>
        <v/>
      </c>
      <c r="BZ533" s="200">
        <f>IF(FMS_Ranking4[[#This Row],[FMS Type]]="Regulatory and Guidance",FMS_Ranking4[[#This Row],[Rank (with ArcSinh normalization of select criteria)]],"")</f>
        <v>525</v>
      </c>
      <c r="CA533" s="200" t="str">
        <f>IF(FMS_Ranking4[[#This Row],[FMS Type]]="Education and Outreach",FMS_Ranking4[[#This Row],[Rank (with ArcSinh normalization of select criteria)]],"")</f>
        <v/>
      </c>
      <c r="CB533" s="200" t="str">
        <f>IF(FMS_Ranking4[[#This Row],[FMS Type]]="Property Acquisition and Structural Elevation",FMS_Ranking4[[#This Row],[Rank (with ArcSinh normalization of select criteria)]],"")</f>
        <v/>
      </c>
      <c r="CC533" s="200" t="str">
        <f>IF(FMS_Ranking4[[#This Row],[FMS Type]]="Infrastructure Projects",FMS_Ranking4[[#This Row],[Rank (with ArcSinh normalization of select criteria)]],"")</f>
        <v/>
      </c>
      <c r="CD533" s="200" t="str">
        <f>IF(FMS_Ranking4[[#This Row],[FMS Type]]="Other",FMS_Ranking4[[#This Row],[Rank (with ArcSinh normalization of select criteria)]],"")</f>
        <v/>
      </c>
      <c r="CE533" s="201"/>
      <c r="CF533" s="206"/>
      <c r="CG533" s="206"/>
      <c r="CH533" s="206"/>
      <c r="CI533" s="206"/>
      <c r="CJ533" s="206"/>
      <c r="CK533" s="206"/>
      <c r="CL533" s="206"/>
      <c r="CM533" s="206"/>
      <c r="CN533" s="206"/>
      <c r="CO533" s="206"/>
      <c r="CP533" s="206"/>
      <c r="CQ533" s="206"/>
      <c r="CR533" s="206"/>
    </row>
    <row r="534" spans="2:96" ht="75" x14ac:dyDescent="0.25">
      <c r="B534" s="341" t="s">
        <v>4585</v>
      </c>
      <c r="C534" s="246">
        <f>_xlfn.XLOOKUP(FMS_Ranking4[[#This Row],[FMS ID]],FMS_Input[FMS_ID],FMS_Input[RFPG_NUM])</f>
        <v>4</v>
      </c>
      <c r="D534" s="309" t="str">
        <f>_xlfn.XLOOKUP(FMS_Ranking4[[#This Row],[FMS ID]],FMS_Input[FMS_ID],FMS_Input[FMS_NAME])</f>
        <v>Kaufman County Flood Education Program</v>
      </c>
      <c r="E534" s="308" t="str">
        <f>_xlfn.XLOOKUP(FMS_Ranking4[[#This Row],[FMS ID]],FMS_Input[FMS_ID],FMS_Input[SPONSOR])</f>
        <v>00000108</v>
      </c>
      <c r="F534" s="309" t="str">
        <f>_xlfn.XLOOKUP(FMS_Ranking4[[#This Row],[FMS ID]],Sponsor[FMS_ID],Sponsor[SPONSOR NAME])</f>
        <v>Kaufman</v>
      </c>
      <c r="G534" s="309" t="str">
        <f>_xlfn.XLOOKUP(FMS_Ranking4[[#This Row],[FMS ID]],FMS_Input[FMS_ID],FMS_Input[FMS_DESCR])</f>
        <v>Conduct countywide outreach to educate residents on flood hazards, mitigation techniques and promote availability of NFIP flood insurance.</v>
      </c>
      <c r="H534" s="248" t="str">
        <f>_xlfn.XLOOKUP(FMS_Ranking4[[#This Row],[FMS ID]],FMS_Input[FMS_ID],FMS_Input[FMS_TYPE])</f>
        <v>Education and Outreach</v>
      </c>
      <c r="I534" s="249">
        <f>_xlfn.XLOOKUP(FMS_Ranking4[[#This Row],[FMS ID]],FMS_Input[FMS_ID],FMS_Input[NRNC_COST])</f>
        <v>50000</v>
      </c>
      <c r="J534" s="250">
        <f>_xlfn.XLOOKUP(FMS_Ranking4[[#This Row],[FMS ID]],FMS_Input[FMS_ID],FMS_Input[FMS_COST])</f>
        <v>50000</v>
      </c>
      <c r="K534" s="251" t="str">
        <f>_xlfn.XLOOKUP(FMS_Ranking4[[#This Row],[FMS ID]],FMS_Input[FMS_ID],FMS_Input[EMER_NEED])</f>
        <v>No</v>
      </c>
      <c r="L534" s="252">
        <f t="shared" si="8"/>
        <v>0</v>
      </c>
      <c r="M534" s="253">
        <f>_xlfn.XLOOKUP(FMS_Ranking4[[#This Row],[FMS ID]],FMS_Input[FMS_ID],FMS_Input[STRUCT_100])</f>
        <v>79</v>
      </c>
      <c r="N534" s="255">
        <f>(ASINH(FMS_Ranking4[[#This Row],[Structure at Risk Raw]]))*(10)/(ASINH(M$4))</f>
        <v>3.9799849731225856</v>
      </c>
      <c r="O534" s="256">
        <f>FMS_Ranking4[[#This Row],[Structures at risk, ArcSinh (0-10)]]*M$5*10</f>
        <v>3.9799849731225856</v>
      </c>
      <c r="P534" s="253">
        <f>_xlfn.XLOOKUP(FMS_Ranking4[[#This Row],[FMS ID]],FMS_Input[FMS_ID],FMS_Input[RES_STRUCT100])</f>
        <v>58</v>
      </c>
      <c r="Q534" s="257">
        <f>ASINH(FMS_Ranking4[[#This Row],[Res Structure Raw]])/Q$4*P$5*100</f>
        <v>0</v>
      </c>
      <c r="R534" s="253">
        <f>_xlfn.XLOOKUP(FMS_Ranking4[[#This Row],[FMS ID]],FMS_Input[FMS_ID],FMS_Input[POP100])</f>
        <v>100</v>
      </c>
      <c r="S534" s="255">
        <f>(ASINH(FMS_Ranking4[[#This Row],[Pop at Risk Raw]]))*(10)/(ASINH(R$4))</f>
        <v>3.657754193512468</v>
      </c>
      <c r="T534" s="256">
        <f>FMS_Ranking4[[#This Row],[Population at risk, ArcSinh (0-10)]]*R$5*10</f>
        <v>3.657754193512468</v>
      </c>
      <c r="U534" s="253">
        <f>_xlfn.XLOOKUP(FMS_Ranking4[[#This Row],[FMS ID]],FMS_Input[FMS_ID],FMS_Input[CRITFAC100])</f>
        <v>0</v>
      </c>
      <c r="V534" s="255">
        <f>(ASINH(FMS_Ranking4[[#This Row],[Critical Facilities Raw]]))*(10)/(ASINH(U$4))</f>
        <v>0</v>
      </c>
      <c r="W534" s="256">
        <f>FMS_Ranking4[[#This Row],[Critical facilities at risk, ArcSinh (0-10)]]*U$5*10</f>
        <v>0</v>
      </c>
      <c r="X534" s="253">
        <f>_xlfn.XLOOKUP(FMS_Ranking4[[#This Row],[FMS ID]],FMS_Input[FMS_ID],FMS_Input[LWC])</f>
        <v>3</v>
      </c>
      <c r="Y534" s="255">
        <f>(ASINH(FMS_Ranking4[[#This Row],[LWC Raw]]))*(10)/(ASINH(X$4))</f>
        <v>2.4635181155638843</v>
      </c>
      <c r="Z534" s="256">
        <f>FMS_Ranking4[[#This Row],[LWC, ArcSInh (0-10)]]*X$5*10</f>
        <v>2.4635181155638843</v>
      </c>
      <c r="AA534" s="253">
        <f>_xlfn.XLOOKUP(FMS_Ranking4[[#This Row],[FMS ID]],FMS_Input[FMS_ID],FMS_Input[ROADCLS])</f>
        <v>3</v>
      </c>
      <c r="AB534" s="255">
        <f>(ASINH(FMS_Ranking4[[#This Row],[Road Closures Raw]]))*(10)/(ASINH(AA$4))</f>
        <v>1.8937450846072912</v>
      </c>
      <c r="AC534" s="256">
        <f>FMS_Ranking4[[#This Row],[Road closures, ArcSinh (0-10)]]*AA$5*10</f>
        <v>0.94687254230364559</v>
      </c>
      <c r="AD534" s="253">
        <f>_xlfn.XLOOKUP(FMS_Ranking4[[#This Row],[FMS ID]],FMS_Input[FMS_ID],FMS_Input[ROAD_MILES100])</f>
        <v>5</v>
      </c>
      <c r="AE534" s="255">
        <f>(ASINH(FMS_Ranking4[[#This Row],[Road Miles Raw]]))*(10)/(ASINH(AD$4))</f>
        <v>2.4644230639487872</v>
      </c>
      <c r="AF534" s="256">
        <f>FMS_Ranking4[[#This Row],[Length of roads at risk, ArcSinh (0-10)]]*AD$5*10</f>
        <v>2.4644230639487876</v>
      </c>
      <c r="AG534" s="253">
        <f>_xlfn.XLOOKUP(FMS_Ranking4[[#This Row],[FMS ID]],FMS_Input[FMS_ID],FMS_Input[FARMACRE100])</f>
        <v>2566.5</v>
      </c>
      <c r="AH534" s="255">
        <f>(ASINH(FMS_Ranking4[[#This Row],[Ag Land Raw]]))*(10)/(ASINH(AG$4))</f>
        <v>5.5496639461986454</v>
      </c>
      <c r="AI534" s="260">
        <f>FMS_Ranking4[[#This Row],[Farm &amp; ranch land, ArcSinh (0-10)]]*AG$5*10</f>
        <v>2.7748319730993227</v>
      </c>
      <c r="AJ534" s="258">
        <f>_xlfn.XLOOKUP(FMS_Ranking4[[#This Row],[FMS ID]],FMS_Input[FMS_ID],FMS_Input[REDSTRUCT100])</f>
        <v>0</v>
      </c>
      <c r="AK534" s="253">
        <f>_xlfn.XLOOKUP(FMS_Ranking4[[#This Row],[FMS ID]],FMS_Input[FMS_ID],FMS_Input[REMSTRC100])</f>
        <v>0</v>
      </c>
      <c r="AL534" s="255">
        <f>(ASINH(FMS_Ranking4[[#This Row],[Structures Removed Raw]]))*(10)/(ASINH(AK$4))</f>
        <v>0</v>
      </c>
      <c r="AM534" s="262">
        <f>FMS_Ranking4[[#This Row],[Structures removed, ArcSinh (0-10)]]*AK$5*10</f>
        <v>0</v>
      </c>
      <c r="AN534" s="253">
        <f>_xlfn.XLOOKUP(FMS_Ranking4[[#This Row],[FMS ID]],FMS_Input[FMS_ID],FMS_Input[REMRESSTRC100])</f>
        <v>0</v>
      </c>
      <c r="AO534" s="261">
        <f>FMS_Ranking4[[#This Row],[ArcSinh Res struct removed 0-10]]*AN$5*10</f>
        <v>0</v>
      </c>
      <c r="AP534" s="260">
        <f>ASINH(FMS_Ranking4[[#This Row],[Residential Structures Removed Raw]])/AP$4*AN$5*100</f>
        <v>0</v>
      </c>
      <c r="AQ534" s="258">
        <f>(ASINH(FMS_Ranking4[[#This Row],[Residential Structures Removed Raw]]))*(10)/(ASINH(AN$4))</f>
        <v>0</v>
      </c>
      <c r="AR534" s="253">
        <f>_xlfn.XLOOKUP(FMS_Ranking4[[#This Row],[FMS ID]],FMS_Input[FMS_ID],FMS_Input[REMPOP100])</f>
        <v>0</v>
      </c>
      <c r="AS534" s="255">
        <f>(ASINH(FMS_Ranking4[[#This Row],[Removed Pop Raw]]))*(10)/(ASINH(AR$4))</f>
        <v>0</v>
      </c>
      <c r="AT534" s="262">
        <f>FMS_Ranking4[[#This Row],[Removed population, ArcSinh (0-10)]]*AR$5*10</f>
        <v>0</v>
      </c>
      <c r="AU534" s="264">
        <f>_xlfn.XLOOKUP(FMS_Ranking4[[#This Row],[FMS ID]],FMS_Input[FMS_ID],FMS_Input[REMCRITFAC100])</f>
        <v>0</v>
      </c>
      <c r="AV534" s="264">
        <f>_xlfn.XLOOKUP(FMS_Ranking4[[#This Row],[FMS ID]],FMS_Input[FMS_ID],FMS_Input[REMLWC100])</f>
        <v>0</v>
      </c>
      <c r="AW534" s="264">
        <f>_xlfn.XLOOKUP(FMS_Ranking4[[#This Row],[FMS ID]],FMS_Input[FMS_ID],FMS_Input[REMROADCLS])</f>
        <v>0</v>
      </c>
      <c r="AX534" s="264">
        <f>_xlfn.XLOOKUP(FMS_Ranking4[[#This Row],[FMS ID]],FMS_Input[FMS_ID],FMS_Input[REMFRMACRE100])</f>
        <v>0</v>
      </c>
      <c r="AY534" s="258">
        <f>_xlfn.XLOOKUP(FMS_Ranking4[[#This Row],[FMS ID]],FMS_Input[FMS_ID],FMS_Input[COSTSTRUCT])</f>
        <v>0</v>
      </c>
      <c r="AZ534" s="253">
        <f>_xlfn.XLOOKUP(FMS_Ranking4[[#This Row],[FMS ID]],FMS_Input[FMS_ID],FMS_Input[NATURE])</f>
        <v>0</v>
      </c>
      <c r="BA534" s="262">
        <f>(((FMS_Ranking4[[#This Row],[% NBS Raw]]/AZ$4)*100)*AZ$5)</f>
        <v>0</v>
      </c>
      <c r="BB534" s="251" t="str">
        <f>_xlfn.XLOOKUP(FMS_Ranking4[[#This Row],[FMS ID]],FMS_Input[FMS_ID],FMS_Input[WATER_SUP])</f>
        <v>No</v>
      </c>
      <c r="BC534" s="265">
        <f>IF(FMS_Ranking4[[#This Row],[Water Supply Raw]]="Yes",10,0)</f>
        <v>0</v>
      </c>
      <c r="BD534" s="266">
        <f>_xlfn.XLOOKUP(FMS_Ranking4[[#This Row],[FMS Type]],FMS_TYPE[FMS_Type],FMS_TYPE[Score])</f>
        <v>6</v>
      </c>
      <c r="BE534" s="267">
        <f>FMS_Ranking4[[#This Row],[FMS_Type Score]]*$BD$5*10</f>
        <v>1.5000000000000002</v>
      </c>
      <c r="BF53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5.883822281613222E-2</v>
      </c>
      <c r="BG534" s="321">
        <f>_xlfn.RANK.EQ(BF534,$BF$8:$BF$870,0)+COUNTIF($BF$8:BF534,BF534)-1</f>
        <v>546</v>
      </c>
      <c r="BH534" s="294">
        <f>(((FMS_Ranking4[[#This Row],[Structures Removed Raw]]/AK$4)*100)*AK$5)+(((FMS_Ranking4[[#This Row],[Removed Pop Raw]]/AR$4)*100)*AR$5)</f>
        <v>0</v>
      </c>
      <c r="BI53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1.5588382228161324</v>
      </c>
      <c r="BJ534" s="251">
        <f>_xlfn.RANK.EQ(FMS_Ranking4[[#This Row],[Total Score 
(with linear
normalization)]],FMS_Ranking4[Total Score 
(with linear
normalization)],0)</f>
        <v>577</v>
      </c>
      <c r="BK534" s="251" t="e">
        <f>_xlfn.XLOOKUP(FMS_Ranking4[[#This Row],[FMS ID]],#REF!,#REF!)</f>
        <v>#REF!</v>
      </c>
      <c r="BL53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16.287384861550695</v>
      </c>
      <c r="BM534" s="324">
        <f>FMS_Ranking4[[#This Row],[ArcSinh Score Based on Normalized Reported Factors]]+FMS_Ranking4[[#This Row],[% NBS Score (Normalized)]]+(FMS_Ranking4[[#This Row],[Water Supply Score (Normalized)]]*10*$BB$5)+FMS_Ranking4[[#This Row],[FMS_Type Score Weighted]]</f>
        <v>17.787384861550695</v>
      </c>
      <c r="BN534" s="251">
        <f>_xlfn.RANK.EQ(FMS_Ranking4[[#This Row],[Total Score (with ArcSinh normalization of select criteria)]],FMS_Ranking4[Total Score (with ArcSinh normalization of select criteria)],0)</f>
        <v>527</v>
      </c>
      <c r="BO534" s="270" t="str">
        <f>_xlfn.XLOOKUP(FMS_Ranking4[[#This Row],[FMS ID]],FMS_Input[FMS_ID],FMS_Input[FMS_RANK_YEAR])</f>
        <v>2023 Amended Plan</v>
      </c>
      <c r="BP534" s="204">
        <f>_xlfn.XLOOKUP(FMS_Ranking4[[#This Row],[FMS ID]],Prev_Rank[FMS ID],Prev_Rank[Prev Rank])</f>
        <v>467</v>
      </c>
      <c r="BQ534" s="251" t="e">
        <f>_xlfn.XLOOKUP(FMS_Ranking4[[#This Row],[FMS ID]],#REF!,#REF!)</f>
        <v>#REF!</v>
      </c>
      <c r="BR534" s="199" t="e">
        <f>SUM(#REF!,#REF!,#REF!,#REF!,#REF!,#REF!,#REF!,#REF!,#REF!,FMS_Ranking4[[#This Row],[ArcSinh Res struct removed 0-10]],#REF!)</f>
        <v>#REF!</v>
      </c>
      <c r="BS534" s="199" t="e">
        <f>FMS_Ranking4[[#This Row],[Log Score Based on Normalized Reported Factors]]+FMS_Ranking4[[#This Row],[% NBS Score (Normalized)]]+(FMS_Ranking4[[#This Row],[Water Supply Score (Normalized)]]*10*$BB$5)+(FMS_Ranking4[[#This Row],[FMS_Type Score Weighted]])</f>
        <v>#REF!</v>
      </c>
      <c r="BT534" s="200" t="e">
        <f>_xlfn.RANK.EQ(FMS_Ranking4[[#This Row],[Log Total Score]],FMS_Ranking4[Log Total Score],0)</f>
        <v>#REF!</v>
      </c>
      <c r="BU534" s="200" t="e">
        <f>_xlfn.XLOOKUP(FMS_Ranking4[[#This Row],[FMS ID]],#REF!,#REF!)</f>
        <v>#REF!</v>
      </c>
      <c r="BV534" s="200">
        <f>FMS_Ranking4[[#This Row],[Region Number]]</f>
        <v>4</v>
      </c>
      <c r="BW534" s="200">
        <f>FMS_Ranking4[[#This Row],[Rank (with ArcSinh normalization of select criteria)]]-FMS_Ranking4[[#This Row],[Rank
(with linear
normalization)]]</f>
        <v>-50</v>
      </c>
      <c r="BX534" s="200" t="e">
        <f>FMS_Ranking4[[#This Row],[Log Rank]]-FMS_Ranking4[[#This Row],[Rank
(with linear
normalization)]]</f>
        <v>#REF!</v>
      </c>
      <c r="BY534" s="200" t="str">
        <f>IF(FMS_Ranking4[[#This Row],[FMS Type]]="Flood Measurement and Warning",FMS_Ranking4[[#This Row],[Rank (with ArcSinh normalization of select criteria)]],"")</f>
        <v/>
      </c>
      <c r="BZ534" s="200" t="str">
        <f>IF(FMS_Ranking4[[#This Row],[FMS Type]]="Regulatory and Guidance",FMS_Ranking4[[#This Row],[Rank (with ArcSinh normalization of select criteria)]],"")</f>
        <v/>
      </c>
      <c r="CA534" s="200">
        <f>IF(FMS_Ranking4[[#This Row],[FMS Type]]="Education and Outreach",FMS_Ranking4[[#This Row],[Rank (with ArcSinh normalization of select criteria)]],"")</f>
        <v>527</v>
      </c>
      <c r="CB534" s="200" t="str">
        <f>IF(FMS_Ranking4[[#This Row],[FMS Type]]="Property Acquisition and Structural Elevation",FMS_Ranking4[[#This Row],[Rank (with ArcSinh normalization of select criteria)]],"")</f>
        <v/>
      </c>
      <c r="CC534" s="200" t="str">
        <f>IF(FMS_Ranking4[[#This Row],[FMS Type]]="Infrastructure Projects",FMS_Ranking4[[#This Row],[Rank (with ArcSinh normalization of select criteria)]],"")</f>
        <v/>
      </c>
      <c r="CD534" s="200" t="str">
        <f>IF(FMS_Ranking4[[#This Row],[FMS Type]]="Other",FMS_Ranking4[[#This Row],[Rank (with ArcSinh normalization of select criteria)]],"")</f>
        <v/>
      </c>
      <c r="CE534" s="201"/>
      <c r="CF534" s="206"/>
      <c r="CG534" s="206"/>
      <c r="CH534" s="206"/>
      <c r="CI534" s="206"/>
      <c r="CJ534" s="206"/>
      <c r="CK534" s="206"/>
      <c r="CL534" s="206"/>
      <c r="CM534" s="206"/>
      <c r="CN534" s="206"/>
      <c r="CO534" s="206"/>
      <c r="CP534" s="206"/>
      <c r="CQ534" s="206"/>
      <c r="CR534" s="206"/>
    </row>
    <row r="535" spans="2:96" ht="45" x14ac:dyDescent="0.25">
      <c r="B535" s="341" t="s">
        <v>2331</v>
      </c>
      <c r="C535" s="246">
        <f>_xlfn.XLOOKUP(FMS_Ranking4[[#This Row],[FMS ID]],FMS_Input[FMS_ID],FMS_Input[RFPG_NUM])</f>
        <v>3</v>
      </c>
      <c r="D535" s="309" t="str">
        <f>_xlfn.XLOOKUP(FMS_Ranking4[[#This Row],[FMS ID]],FMS_Input[FMS_ID],FMS_Input[FMS_NAME])</f>
        <v>City of Combine NFIP Floodplain Ordinance</v>
      </c>
      <c r="E535" s="308" t="str">
        <f>_xlfn.XLOOKUP(FMS_Ranking4[[#This Row],[FMS ID]],FMS_Input[FMS_ID],FMS_Input[SPONSOR])</f>
        <v>Combine</v>
      </c>
      <c r="F535" s="309" t="str">
        <f>_xlfn.XLOOKUP(FMS_Ranking4[[#This Row],[FMS ID]],Sponsor[FMS_ID],Sponsor[SPONSOR NAME])</f>
        <v>Combine</v>
      </c>
      <c r="G535" s="309" t="str">
        <f>_xlfn.XLOOKUP(FMS_Ranking4[[#This Row],[FMS ID]],FMS_Input[FMS_ID],FMS_Input[FMS_DESCR])</f>
        <v>Develop a floodplain ordinance that meets or exceeds FEMA's minimum standards</v>
      </c>
      <c r="H535" s="248" t="str">
        <f>_xlfn.XLOOKUP(FMS_Ranking4[[#This Row],[FMS ID]],FMS_Input[FMS_ID],FMS_Input[FMS_TYPE])</f>
        <v>Regulatory and Guidance</v>
      </c>
      <c r="I535" s="249">
        <f>_xlfn.XLOOKUP(FMS_Ranking4[[#This Row],[FMS ID]],FMS_Input[FMS_ID],FMS_Input[NRNC_COST])</f>
        <v>100000</v>
      </c>
      <c r="J535" s="250">
        <f>_xlfn.XLOOKUP(FMS_Ranking4[[#This Row],[FMS ID]],FMS_Input[FMS_ID],FMS_Input[FMS_COST])</f>
        <v>100000</v>
      </c>
      <c r="K535" s="251" t="str">
        <f>_xlfn.XLOOKUP(FMS_Ranking4[[#This Row],[FMS ID]],FMS_Input[FMS_ID],FMS_Input[EMER_NEED])</f>
        <v>No</v>
      </c>
      <c r="L535" s="252">
        <f t="shared" si="8"/>
        <v>0</v>
      </c>
      <c r="M535" s="253">
        <f>_xlfn.XLOOKUP(FMS_Ranking4[[#This Row],[FMS ID]],FMS_Input[FMS_ID],FMS_Input[STRUCT_100])</f>
        <v>202</v>
      </c>
      <c r="N535" s="255">
        <f>(ASINH(FMS_Ranking4[[#This Row],[Structure at Risk Raw]]))*(10)/(ASINH(M$4))</f>
        <v>4.7180104826225433</v>
      </c>
      <c r="O535" s="256">
        <f>FMS_Ranking4[[#This Row],[Structures at risk, ArcSinh (0-10)]]*M$5*10</f>
        <v>4.7180104826225433</v>
      </c>
      <c r="P535" s="253">
        <f>_xlfn.XLOOKUP(FMS_Ranking4[[#This Row],[FMS ID]],FMS_Input[FMS_ID],FMS_Input[RES_STRUCT100])</f>
        <v>196</v>
      </c>
      <c r="Q535" s="257">
        <f>ASINH(FMS_Ranking4[[#This Row],[Res Structure Raw]])/Q$4*P$5*100</f>
        <v>0</v>
      </c>
      <c r="R535" s="253">
        <f>_xlfn.XLOOKUP(FMS_Ranking4[[#This Row],[FMS ID]],FMS_Input[FMS_ID],FMS_Input[POP100])</f>
        <v>512</v>
      </c>
      <c r="S535" s="255">
        <f>(ASINH(FMS_Ranking4[[#This Row],[Pop at Risk Raw]]))*(10)/(ASINH(R$4))</f>
        <v>4.78519918173017</v>
      </c>
      <c r="T535" s="256">
        <f>FMS_Ranking4[[#This Row],[Population at risk, ArcSinh (0-10)]]*R$5*10</f>
        <v>4.78519918173017</v>
      </c>
      <c r="U535" s="253">
        <f>_xlfn.XLOOKUP(FMS_Ranking4[[#This Row],[FMS ID]],FMS_Input[FMS_ID],FMS_Input[CRITFAC100])</f>
        <v>0</v>
      </c>
      <c r="V535" s="255">
        <f>(ASINH(FMS_Ranking4[[#This Row],[Critical Facilities Raw]]))*(10)/(ASINH(U$4))</f>
        <v>0</v>
      </c>
      <c r="W535" s="256">
        <f>FMS_Ranking4[[#This Row],[Critical facilities at risk, ArcSinh (0-10)]]*U$5*10</f>
        <v>0</v>
      </c>
      <c r="X535" s="253">
        <f>_xlfn.XLOOKUP(FMS_Ranking4[[#This Row],[FMS ID]],FMS_Input[FMS_ID],FMS_Input[LWC])</f>
        <v>2</v>
      </c>
      <c r="Y535" s="255">
        <f>(ASINH(FMS_Ranking4[[#This Row],[LWC Raw]]))*(10)/(ASINH(X$4))</f>
        <v>1.9557475158633808</v>
      </c>
      <c r="Z535" s="256">
        <f>FMS_Ranking4[[#This Row],[LWC, ArcSInh (0-10)]]*X$5*10</f>
        <v>1.9557475158633808</v>
      </c>
      <c r="AA535" s="253">
        <f>_xlfn.XLOOKUP(FMS_Ranking4[[#This Row],[FMS ID]],FMS_Input[FMS_ID],FMS_Input[ROADCLS])</f>
        <v>0</v>
      </c>
      <c r="AB535" s="255">
        <f>(ASINH(FMS_Ranking4[[#This Row],[Road Closures Raw]]))*(10)/(ASINH(AA$4))</f>
        <v>0</v>
      </c>
      <c r="AC535" s="256">
        <f>FMS_Ranking4[[#This Row],[Road closures, ArcSinh (0-10)]]*AA$5*10</f>
        <v>0</v>
      </c>
      <c r="AD535" s="253">
        <f>_xlfn.XLOOKUP(FMS_Ranking4[[#This Row],[FMS ID]],FMS_Input[FMS_ID],FMS_Input[ROAD_MILES100])</f>
        <v>3</v>
      </c>
      <c r="AE535" s="255">
        <f>(ASINH(FMS_Ranking4[[#This Row],[Road Miles Raw]]))*(10)/(ASINH(AD$4))</f>
        <v>1.937963626835977</v>
      </c>
      <c r="AF535" s="256">
        <f>FMS_Ranking4[[#This Row],[Length of roads at risk, ArcSinh (0-10)]]*AD$5*10</f>
        <v>1.937963626835977</v>
      </c>
      <c r="AG535" s="253">
        <f>_xlfn.XLOOKUP(FMS_Ranking4[[#This Row],[FMS ID]],FMS_Input[FMS_ID],FMS_Input[FARMACRE100])</f>
        <v>701.3402099609375</v>
      </c>
      <c r="AH535" s="255">
        <f>(ASINH(FMS_Ranking4[[#This Row],[Ag Land Raw]]))*(10)/(ASINH(AG$4))</f>
        <v>4.7069587741117118</v>
      </c>
      <c r="AI535" s="260">
        <f>FMS_Ranking4[[#This Row],[Farm &amp; ranch land, ArcSinh (0-10)]]*AG$5*10</f>
        <v>2.3534793870558559</v>
      </c>
      <c r="AJ535" s="258">
        <f>_xlfn.XLOOKUP(FMS_Ranking4[[#This Row],[FMS ID]],FMS_Input[FMS_ID],FMS_Input[REDSTRUCT100])</f>
        <v>0</v>
      </c>
      <c r="AK535" s="253">
        <f>_xlfn.XLOOKUP(FMS_Ranking4[[#This Row],[FMS ID]],FMS_Input[FMS_ID],FMS_Input[REMSTRC100])</f>
        <v>0</v>
      </c>
      <c r="AL535" s="255">
        <f>(ASINH(FMS_Ranking4[[#This Row],[Structures Removed Raw]]))*(10)/(ASINH(AK$4))</f>
        <v>0</v>
      </c>
      <c r="AM535" s="262">
        <f>FMS_Ranking4[[#This Row],[Structures removed, ArcSinh (0-10)]]*AK$5*10</f>
        <v>0</v>
      </c>
      <c r="AN535" s="253">
        <f>_xlfn.XLOOKUP(FMS_Ranking4[[#This Row],[FMS ID]],FMS_Input[FMS_ID],FMS_Input[REMRESSTRC100])</f>
        <v>0</v>
      </c>
      <c r="AO535" s="261">
        <f>FMS_Ranking4[[#This Row],[ArcSinh Res struct removed 0-10]]*AN$5*10</f>
        <v>0</v>
      </c>
      <c r="AP535" s="260">
        <f>ASINH(FMS_Ranking4[[#This Row],[Residential Structures Removed Raw]])/AP$4*AN$5*100</f>
        <v>0</v>
      </c>
      <c r="AQ535" s="258">
        <f>(ASINH(FMS_Ranking4[[#This Row],[Residential Structures Removed Raw]]))*(10)/(ASINH(AN$4))</f>
        <v>0</v>
      </c>
      <c r="AR535" s="253">
        <f>_xlfn.XLOOKUP(FMS_Ranking4[[#This Row],[FMS ID]],FMS_Input[FMS_ID],FMS_Input[REMPOP100])</f>
        <v>0</v>
      </c>
      <c r="AS535" s="255">
        <f>(ASINH(FMS_Ranking4[[#This Row],[Removed Pop Raw]]))*(10)/(ASINH(AR$4))</f>
        <v>0</v>
      </c>
      <c r="AT535" s="262">
        <f>FMS_Ranking4[[#This Row],[Removed population, ArcSinh (0-10)]]*AR$5*10</f>
        <v>0</v>
      </c>
      <c r="AU535" s="264">
        <f>_xlfn.XLOOKUP(FMS_Ranking4[[#This Row],[FMS ID]],FMS_Input[FMS_ID],FMS_Input[REMCRITFAC100])</f>
        <v>0</v>
      </c>
      <c r="AV535" s="264">
        <f>_xlfn.XLOOKUP(FMS_Ranking4[[#This Row],[FMS ID]],FMS_Input[FMS_ID],FMS_Input[REMLWC100])</f>
        <v>0</v>
      </c>
      <c r="AW535" s="264">
        <f>_xlfn.XLOOKUP(FMS_Ranking4[[#This Row],[FMS ID]],FMS_Input[FMS_ID],FMS_Input[REMROADCLS])</f>
        <v>0</v>
      </c>
      <c r="AX535" s="264">
        <f>_xlfn.XLOOKUP(FMS_Ranking4[[#This Row],[FMS ID]],FMS_Input[FMS_ID],FMS_Input[REMFRMACRE100])</f>
        <v>0</v>
      </c>
      <c r="AY535" s="258">
        <f>_xlfn.XLOOKUP(FMS_Ranking4[[#This Row],[FMS ID]],FMS_Input[FMS_ID],FMS_Input[COSTSTRUCT])</f>
        <v>0</v>
      </c>
      <c r="AZ535" s="253">
        <f>_xlfn.XLOOKUP(FMS_Ranking4[[#This Row],[FMS ID]],FMS_Input[FMS_ID],FMS_Input[NATURE])</f>
        <v>0</v>
      </c>
      <c r="BA535" s="262">
        <f>(((FMS_Ranking4[[#This Row],[% NBS Raw]]/AZ$4)*100)*AZ$5)</f>
        <v>0</v>
      </c>
      <c r="BB535" s="251" t="str">
        <f>_xlfn.XLOOKUP(FMS_Ranking4[[#This Row],[FMS ID]],FMS_Input[FMS_ID],FMS_Input[WATER_SUP])</f>
        <v>No</v>
      </c>
      <c r="BC535" s="265">
        <f>IF(FMS_Ranking4[[#This Row],[Water Supply Raw]]="Yes",10,0)</f>
        <v>0</v>
      </c>
      <c r="BD535" s="266">
        <f>_xlfn.XLOOKUP(FMS_Ranking4[[#This Row],[FMS Type]],FMS_TYPE[FMS_Type],FMS_TYPE[Score])</f>
        <v>8</v>
      </c>
      <c r="BE535" s="267">
        <f>FMS_Ranking4[[#This Row],[FMS_Type Score]]*$BD$5*10</f>
        <v>2</v>
      </c>
      <c r="BF53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4.8720666589843573E-2</v>
      </c>
      <c r="BG535" s="321">
        <f>_xlfn.RANK.EQ(BF535,$BF$8:$BF$870,0)+COUNTIF($BF$8:BF535,BF535)-1</f>
        <v>568</v>
      </c>
      <c r="BH535" s="294">
        <f>(((FMS_Ranking4[[#This Row],[Structures Removed Raw]]/AK$4)*100)*AK$5)+(((FMS_Ranking4[[#This Row],[Removed Pop Raw]]/AR$4)*100)*AR$5)</f>
        <v>0</v>
      </c>
      <c r="BI53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2.0487206665898436</v>
      </c>
      <c r="BJ535" s="251">
        <f>_xlfn.RANK.EQ(FMS_Ranking4[[#This Row],[Total Score 
(with linear
normalization)]],FMS_Ranking4[Total Score 
(with linear
normalization)],0)</f>
        <v>388</v>
      </c>
      <c r="BK535" s="251" t="e">
        <f>_xlfn.XLOOKUP(FMS_Ranking4[[#This Row],[FMS ID]],#REF!,#REF!)</f>
        <v>#REF!</v>
      </c>
      <c r="BL53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15.750400194107927</v>
      </c>
      <c r="BM535" s="324">
        <f>FMS_Ranking4[[#This Row],[ArcSinh Score Based on Normalized Reported Factors]]+FMS_Ranking4[[#This Row],[% NBS Score (Normalized)]]+(FMS_Ranking4[[#This Row],[Water Supply Score (Normalized)]]*10*$BB$5)+FMS_Ranking4[[#This Row],[FMS_Type Score Weighted]]</f>
        <v>17.750400194107925</v>
      </c>
      <c r="BN535" s="251">
        <f>_xlfn.RANK.EQ(FMS_Ranking4[[#This Row],[Total Score (with ArcSinh normalization of select criteria)]],FMS_Ranking4[Total Score (with ArcSinh normalization of select criteria)],0)</f>
        <v>528</v>
      </c>
      <c r="BO535" s="270" t="str">
        <f>_xlfn.XLOOKUP(FMS_Ranking4[[#This Row],[FMS ID]],FMS_Input[FMS_ID],FMS_Input[FMS_RANK_YEAR])</f>
        <v>2023 Amended Plan</v>
      </c>
      <c r="BP535" s="204">
        <f>_xlfn.XLOOKUP(FMS_Ranking4[[#This Row],[FMS ID]],Prev_Rank[FMS ID],Prev_Rank[Prev Rank])</f>
        <v>466</v>
      </c>
      <c r="BQ535" s="251" t="e">
        <f>_xlfn.XLOOKUP(FMS_Ranking4[[#This Row],[FMS ID]],#REF!,#REF!)</f>
        <v>#REF!</v>
      </c>
      <c r="BR535" s="199" t="e">
        <f>SUM(#REF!,#REF!,#REF!,#REF!,#REF!,#REF!,#REF!,#REF!,#REF!,FMS_Ranking4[[#This Row],[ArcSinh Res struct removed 0-10]],#REF!)</f>
        <v>#REF!</v>
      </c>
      <c r="BS535" s="199" t="e">
        <f>FMS_Ranking4[[#This Row],[Log Score Based on Normalized Reported Factors]]+FMS_Ranking4[[#This Row],[% NBS Score (Normalized)]]+(FMS_Ranking4[[#This Row],[Water Supply Score (Normalized)]]*10*$BB$5)+(FMS_Ranking4[[#This Row],[FMS_Type Score Weighted]])</f>
        <v>#REF!</v>
      </c>
      <c r="BT535" s="200" t="e">
        <f>_xlfn.RANK.EQ(FMS_Ranking4[[#This Row],[Log Total Score]],FMS_Ranking4[Log Total Score],0)</f>
        <v>#REF!</v>
      </c>
      <c r="BU535" s="200" t="e">
        <f>_xlfn.XLOOKUP(FMS_Ranking4[[#This Row],[FMS ID]],#REF!,#REF!)</f>
        <v>#REF!</v>
      </c>
      <c r="BV535" s="200">
        <f>FMS_Ranking4[[#This Row],[Region Number]]</f>
        <v>3</v>
      </c>
      <c r="BW535" s="200">
        <f>FMS_Ranking4[[#This Row],[Rank (with ArcSinh normalization of select criteria)]]-FMS_Ranking4[[#This Row],[Rank
(with linear
normalization)]]</f>
        <v>140</v>
      </c>
      <c r="BX535" s="200" t="e">
        <f>FMS_Ranking4[[#This Row],[Log Rank]]-FMS_Ranking4[[#This Row],[Rank
(with linear
normalization)]]</f>
        <v>#REF!</v>
      </c>
      <c r="BY535" s="200" t="str">
        <f>IF(FMS_Ranking4[[#This Row],[FMS Type]]="Flood Measurement and Warning",FMS_Ranking4[[#This Row],[Rank (with ArcSinh normalization of select criteria)]],"")</f>
        <v/>
      </c>
      <c r="BZ535" s="200">
        <f>IF(FMS_Ranking4[[#This Row],[FMS Type]]="Regulatory and Guidance",FMS_Ranking4[[#This Row],[Rank (with ArcSinh normalization of select criteria)]],"")</f>
        <v>528</v>
      </c>
      <c r="CA535" s="200" t="str">
        <f>IF(FMS_Ranking4[[#This Row],[FMS Type]]="Education and Outreach",FMS_Ranking4[[#This Row],[Rank (with ArcSinh normalization of select criteria)]],"")</f>
        <v/>
      </c>
      <c r="CB535" s="200" t="str">
        <f>IF(FMS_Ranking4[[#This Row],[FMS Type]]="Property Acquisition and Structural Elevation",FMS_Ranking4[[#This Row],[Rank (with ArcSinh normalization of select criteria)]],"")</f>
        <v/>
      </c>
      <c r="CC535" s="200" t="str">
        <f>IF(FMS_Ranking4[[#This Row],[FMS Type]]="Infrastructure Projects",FMS_Ranking4[[#This Row],[Rank (with ArcSinh normalization of select criteria)]],"")</f>
        <v/>
      </c>
      <c r="CD535" s="200" t="str">
        <f>IF(FMS_Ranking4[[#This Row],[FMS Type]]="Other",FMS_Ranking4[[#This Row],[Rank (with ArcSinh normalization of select criteria)]],"")</f>
        <v/>
      </c>
      <c r="CE535" s="201"/>
      <c r="CF535" s="206"/>
      <c r="CG535" s="206"/>
      <c r="CH535" s="206"/>
      <c r="CI535" s="206"/>
      <c r="CJ535" s="206"/>
      <c r="CK535" s="206"/>
      <c r="CL535" s="206"/>
      <c r="CM535" s="206"/>
      <c r="CN535" s="206"/>
      <c r="CO535" s="206"/>
      <c r="CP535" s="206"/>
      <c r="CQ535" s="206"/>
      <c r="CR535" s="206"/>
    </row>
    <row r="536" spans="2:96" ht="105" x14ac:dyDescent="0.25">
      <c r="B536" s="341" t="s">
        <v>145</v>
      </c>
      <c r="C536" s="246">
        <f>_xlfn.XLOOKUP(FMS_Ranking4[[#This Row],[FMS ID]],FMS_Input[FMS_ID],FMS_Input[RFPG_NUM])</f>
        <v>6</v>
      </c>
      <c r="D536" s="309" t="str">
        <f>_xlfn.XLOOKUP(FMS_Ranking4[[#This Row],[FMS ID]],FMS_Input[FMS_ID],FMS_Input[FMS_NAME])</f>
        <v>City of Bayou Vista Management Practices for Securing Windblown Debris in Canals</v>
      </c>
      <c r="E536" s="308" t="str">
        <f>_xlfn.XLOOKUP(FMS_Ranking4[[#This Row],[FMS ID]],FMS_Input[FMS_ID],FMS_Input[SPONSOR])</f>
        <v>06002806</v>
      </c>
      <c r="F536" s="309" t="str">
        <f>_xlfn.XLOOKUP(FMS_Ranking4[[#This Row],[FMS ID]],Sponsor[FMS_ID],Sponsor[SPONSOR NAME])</f>
        <v>Bayou Vista</v>
      </c>
      <c r="G536" s="309" t="str">
        <f>_xlfn.XLOOKUP(FMS_Ranking4[[#This Row],[FMS ID]],FMS_Input[FMS_ID],FMS_Input[FMS_DESCR])</f>
        <v>Debris generated by many hazards if the level of intensity allows. Implement plan to remove debris throughout the canal system especially since Bayou Vista is a residential canal community.</v>
      </c>
      <c r="H536" s="248" t="str">
        <f>_xlfn.XLOOKUP(FMS_Ranking4[[#This Row],[FMS ID]],FMS_Input[FMS_ID],FMS_Input[FMS_TYPE])</f>
        <v>Infrastructure Projects</v>
      </c>
      <c r="I536" s="249">
        <f>_xlfn.XLOOKUP(FMS_Ranking4[[#This Row],[FMS ID]],FMS_Input[FMS_ID],FMS_Input[NRNC_COST])</f>
        <v>5000</v>
      </c>
      <c r="J536" s="250">
        <f>_xlfn.XLOOKUP(FMS_Ranking4[[#This Row],[FMS ID]],FMS_Input[FMS_ID],FMS_Input[FMS_COST])</f>
        <v>100000</v>
      </c>
      <c r="K536" s="251" t="str">
        <f>_xlfn.XLOOKUP(FMS_Ranking4[[#This Row],[FMS ID]],FMS_Input[FMS_ID],FMS_Input[EMER_NEED])</f>
        <v>No</v>
      </c>
      <c r="L536" s="252">
        <f t="shared" si="8"/>
        <v>0</v>
      </c>
      <c r="M536" s="253">
        <f>_xlfn.XLOOKUP(FMS_Ranking4[[#This Row],[FMS ID]],FMS_Input[FMS_ID],FMS_Input[STRUCT_100])</f>
        <v>1122</v>
      </c>
      <c r="N536" s="255">
        <f>(ASINH(FMS_Ranking4[[#This Row],[Structure at Risk Raw]]))*(10)/(ASINH(M$4))</f>
        <v>6.0659370206145553</v>
      </c>
      <c r="O536" s="256">
        <f>FMS_Ranking4[[#This Row],[Structures at risk, ArcSinh (0-10)]]*M$5*10</f>
        <v>6.0659370206145553</v>
      </c>
      <c r="P536" s="253">
        <f>_xlfn.XLOOKUP(FMS_Ranking4[[#This Row],[FMS ID]],FMS_Input[FMS_ID],FMS_Input[RES_STRUCT100])</f>
        <v>1095</v>
      </c>
      <c r="Q536" s="257">
        <f>ASINH(FMS_Ranking4[[#This Row],[Res Structure Raw]])/Q$4*P$5*100</f>
        <v>0</v>
      </c>
      <c r="R536" s="253">
        <f>_xlfn.XLOOKUP(FMS_Ranking4[[#This Row],[FMS ID]],FMS_Input[FMS_ID],FMS_Input[POP100])</f>
        <v>1476</v>
      </c>
      <c r="S536" s="259">
        <f>(ASINH(FMS_Ranking4[[#This Row],[Pop at Risk Raw]]))*(10)/(ASINH(R$4))</f>
        <v>5.516126673961236</v>
      </c>
      <c r="T536" s="256">
        <f>FMS_Ranking4[[#This Row],[Population at risk, ArcSinh (0-10)]]*R$5*10</f>
        <v>5.516126673961236</v>
      </c>
      <c r="U536" s="253">
        <f>_xlfn.XLOOKUP(FMS_Ranking4[[#This Row],[FMS ID]],FMS_Input[FMS_ID],FMS_Input[CRITFAC100])</f>
        <v>3</v>
      </c>
      <c r="V536" s="259">
        <f>(ASINH(FMS_Ranking4[[#This Row],[Critical Facilities Raw]]))*(10)/(ASINH(U$4))</f>
        <v>2.152611706646717</v>
      </c>
      <c r="W536" s="256">
        <f>FMS_Ranking4[[#This Row],[Critical facilities at risk, ArcSinh (0-10)]]*U$5*10</f>
        <v>2.152611706646717</v>
      </c>
      <c r="X536" s="253">
        <f>_xlfn.XLOOKUP(FMS_Ranking4[[#This Row],[FMS ID]],FMS_Input[FMS_ID],FMS_Input[LWC])</f>
        <v>0</v>
      </c>
      <c r="Y536" s="259">
        <f>(ASINH(FMS_Ranking4[[#This Row],[LWC Raw]]))*(10)/(ASINH(X$4))</f>
        <v>0</v>
      </c>
      <c r="Z536" s="256">
        <f>FMS_Ranking4[[#This Row],[LWC, ArcSInh (0-10)]]*X$5*10</f>
        <v>0</v>
      </c>
      <c r="AA536" s="253">
        <f>_xlfn.XLOOKUP(FMS_Ranking4[[#This Row],[FMS ID]],FMS_Input[FMS_ID],FMS_Input[ROADCLS])</f>
        <v>0</v>
      </c>
      <c r="AB536" s="255">
        <f>(ASINH(FMS_Ranking4[[#This Row],[Road Closures Raw]]))*(10)/(ASINH(AA$4))</f>
        <v>0</v>
      </c>
      <c r="AC536" s="256">
        <f>FMS_Ranking4[[#This Row],[Road closures, ArcSinh (0-10)]]*AA$5*10</f>
        <v>0</v>
      </c>
      <c r="AD536" s="253">
        <f>_xlfn.XLOOKUP(FMS_Ranking4[[#This Row],[FMS ID]],FMS_Input[FMS_ID],FMS_Input[ROAD_MILES100])</f>
        <v>8</v>
      </c>
      <c r="AE536" s="259">
        <f>(ASINH(FMS_Ranking4[[#This Row],[Road Miles Raw]]))*(10)/(ASINH(AD$4))</f>
        <v>2.9589555764172308</v>
      </c>
      <c r="AF536" s="256">
        <f>FMS_Ranking4[[#This Row],[Length of roads at risk, ArcSinh (0-10)]]*AD$5*10</f>
        <v>2.9589555764172308</v>
      </c>
      <c r="AG536" s="253">
        <f>_xlfn.XLOOKUP(FMS_Ranking4[[#This Row],[FMS ID]],FMS_Input[FMS_ID],FMS_Input[FARMACRE100])</f>
        <v>0</v>
      </c>
      <c r="AH536" s="255">
        <f>(ASINH(FMS_Ranking4[[#This Row],[Ag Land Raw]]))*(10)/(ASINH(AG$4))</f>
        <v>0</v>
      </c>
      <c r="AI536" s="260">
        <f>FMS_Ranking4[[#This Row],[Farm &amp; ranch land, ArcSinh (0-10)]]*AG$5*10</f>
        <v>0</v>
      </c>
      <c r="AJ536" s="258">
        <f>_xlfn.XLOOKUP(FMS_Ranking4[[#This Row],[FMS ID]],FMS_Input[FMS_ID],FMS_Input[REDSTRUCT100])</f>
        <v>0</v>
      </c>
      <c r="AK536" s="253">
        <f>_xlfn.XLOOKUP(FMS_Ranking4[[#This Row],[FMS ID]],FMS_Input[FMS_ID],FMS_Input[REMSTRC100])</f>
        <v>0</v>
      </c>
      <c r="AL536" s="259">
        <f>(ASINH(FMS_Ranking4[[#This Row],[Structures Removed Raw]]))*(10)/(ASINH(AK$4))</f>
        <v>0</v>
      </c>
      <c r="AM536" s="262">
        <f>FMS_Ranking4[[#This Row],[Structures removed, ArcSinh (0-10)]]*AK$5*10</f>
        <v>0</v>
      </c>
      <c r="AN536" s="253">
        <f>_xlfn.XLOOKUP(FMS_Ranking4[[#This Row],[FMS ID]],FMS_Input[FMS_ID],FMS_Input[REMRESSTRC100])</f>
        <v>0</v>
      </c>
      <c r="AO536" s="261">
        <f>FMS_Ranking4[[#This Row],[ArcSinh Res struct removed 0-10]]*AN$5*10</f>
        <v>0</v>
      </c>
      <c r="AP536" s="260">
        <f>ASINH(FMS_Ranking4[[#This Row],[Residential Structures Removed Raw]])/AP$4*AN$5*100</f>
        <v>0</v>
      </c>
      <c r="AQ536" s="254">
        <f>(ASINH(FMS_Ranking4[[#This Row],[Residential Structures Removed Raw]]))*(10)/(ASINH(AN$4))</f>
        <v>0</v>
      </c>
      <c r="AR536" s="253">
        <f>_xlfn.XLOOKUP(FMS_Ranking4[[#This Row],[FMS ID]],FMS_Input[FMS_ID],FMS_Input[REMPOP100])</f>
        <v>0</v>
      </c>
      <c r="AS536" s="259">
        <f>(ASINH(FMS_Ranking4[[#This Row],[Removed Pop Raw]]))*(10)/(ASINH(AR$4))</f>
        <v>0</v>
      </c>
      <c r="AT536" s="262">
        <f>FMS_Ranking4[[#This Row],[Removed population, ArcSinh (0-10)]]*AR$5*10</f>
        <v>0</v>
      </c>
      <c r="AU536" s="264">
        <f>_xlfn.XLOOKUP(FMS_Ranking4[[#This Row],[FMS ID]],FMS_Input[FMS_ID],FMS_Input[REMCRITFAC100])</f>
        <v>0</v>
      </c>
      <c r="AV536" s="264">
        <f>_xlfn.XLOOKUP(FMS_Ranking4[[#This Row],[FMS ID]],FMS_Input[FMS_ID],FMS_Input[REMLWC100])</f>
        <v>0</v>
      </c>
      <c r="AW536" s="264">
        <f>_xlfn.XLOOKUP(FMS_Ranking4[[#This Row],[FMS ID]],FMS_Input[FMS_ID],FMS_Input[REMROADCLS])</f>
        <v>0</v>
      </c>
      <c r="AX536" s="264">
        <f>_xlfn.XLOOKUP(FMS_Ranking4[[#This Row],[FMS ID]],FMS_Input[FMS_ID],FMS_Input[REMFRMACRE100])</f>
        <v>0</v>
      </c>
      <c r="AY536" s="258">
        <f>_xlfn.XLOOKUP(FMS_Ranking4[[#This Row],[FMS ID]],FMS_Input[FMS_ID],FMS_Input[COSTSTRUCT])</f>
        <v>0</v>
      </c>
      <c r="AZ536" s="253">
        <f>_xlfn.XLOOKUP(FMS_Ranking4[[#This Row],[FMS ID]],FMS_Input[FMS_ID],FMS_Input[NATURE])</f>
        <v>0</v>
      </c>
      <c r="BA536" s="262">
        <f>(((FMS_Ranking4[[#This Row],[% NBS Raw]]/AZ$4)*100)*AZ$5)</f>
        <v>0</v>
      </c>
      <c r="BB536" s="251" t="str">
        <f>_xlfn.XLOOKUP(FMS_Ranking4[[#This Row],[FMS ID]],FMS_Input[FMS_ID],FMS_Input[WATER_SUP])</f>
        <v>No</v>
      </c>
      <c r="BC536" s="265">
        <f>IF(FMS_Ranking4[[#This Row],[Water Supply Raw]]="Yes",10,0)</f>
        <v>0</v>
      </c>
      <c r="BD536" s="266">
        <f>_xlfn.XLOOKUP(FMS_Ranking4[[#This Row],[FMS Type]],FMS_TYPE[FMS_Type],FMS_TYPE[Score])</f>
        <v>4</v>
      </c>
      <c r="BE536" s="267">
        <f>FMS_Ranking4[[#This Row],[FMS_Type Score]]*$BD$5*10</f>
        <v>1</v>
      </c>
      <c r="BF53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0.1085288990174966</v>
      </c>
      <c r="BG536" s="271">
        <f>_xlfn.RANK.EQ(BF536,$BF$8:$BF$870,0)+COUNTIF($BF$8:BF536,BF536)-1</f>
        <v>484</v>
      </c>
      <c r="BH536" s="268">
        <f>(((FMS_Ranking4[[#This Row],[Structures Removed Raw]]/AK$4)*100)*AK$5)+(((FMS_Ranking4[[#This Row],[Removed Pop Raw]]/AR$4)*100)*AR$5)</f>
        <v>0</v>
      </c>
      <c r="BI53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1.1085288990174966</v>
      </c>
      <c r="BJ536" s="205">
        <f>_xlfn.RANK.EQ(FMS_Ranking4[[#This Row],[Total Score 
(with linear
normalization)]],FMS_Ranking4[Total Score 
(with linear
normalization)],0)</f>
        <v>676</v>
      </c>
      <c r="BK536" s="205" t="e">
        <f>_xlfn.XLOOKUP(FMS_Ranking4[[#This Row],[FMS ID]],#REF!,#REF!)</f>
        <v>#REF!</v>
      </c>
      <c r="BL53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16.693630977639739</v>
      </c>
      <c r="BM536" s="272">
        <f>FMS_Ranking4[[#This Row],[ArcSinh Score Based on Normalized Reported Factors]]+FMS_Ranking4[[#This Row],[% NBS Score (Normalized)]]+(FMS_Ranking4[[#This Row],[Water Supply Score (Normalized)]]*10*$BB$5)+FMS_Ranking4[[#This Row],[FMS_Type Score Weighted]]</f>
        <v>17.693630977639739</v>
      </c>
      <c r="BN536" s="205">
        <f>_xlfn.RANK.EQ(FMS_Ranking4[[#This Row],[Total Score (with ArcSinh normalization of select criteria)]],FMS_Ranking4[Total Score (with ArcSinh normalization of select criteria)],0)</f>
        <v>529</v>
      </c>
      <c r="BO536" s="270" t="str">
        <f>_xlfn.XLOOKUP(FMS_Ranking4[[#This Row],[FMS ID]],FMS_Input[FMS_ID],FMS_Input[FMS_RANK_YEAR])</f>
        <v>2023 Amended Plan</v>
      </c>
      <c r="BP536" s="204">
        <f>_xlfn.XLOOKUP(FMS_Ranking4[[#This Row],[FMS ID]],Prev_Rank[FMS ID],Prev_Rank[Prev Rank])</f>
        <v>465</v>
      </c>
      <c r="BQ536" s="205" t="e">
        <f>_xlfn.XLOOKUP(FMS_Ranking4[[#This Row],[FMS ID]],#REF!,#REF!)</f>
        <v>#REF!</v>
      </c>
      <c r="BR536" s="199" t="e">
        <f>SUM(#REF!,#REF!,#REF!,#REF!,#REF!,#REF!,#REF!,#REF!,#REF!,FMS_Ranking4[[#This Row],[ArcSinh Res struct removed 0-10]],#REF!)</f>
        <v>#REF!</v>
      </c>
      <c r="BS536" s="199" t="e">
        <f>FMS_Ranking4[[#This Row],[Log Score Based on Normalized Reported Factors]]+FMS_Ranking4[[#This Row],[% NBS Score (Normalized)]]+(FMS_Ranking4[[#This Row],[Water Supply Score (Normalized)]]*10*$BB$5)+(FMS_Ranking4[[#This Row],[FMS_Type Score Weighted]])</f>
        <v>#REF!</v>
      </c>
      <c r="BT536" s="200" t="e">
        <f>_xlfn.RANK.EQ(FMS_Ranking4[[#This Row],[Log Total Score]],FMS_Ranking4[Log Total Score],0)</f>
        <v>#REF!</v>
      </c>
      <c r="BU536" s="200" t="e">
        <f>_xlfn.XLOOKUP(FMS_Ranking4[[#This Row],[FMS ID]],#REF!,#REF!)</f>
        <v>#REF!</v>
      </c>
      <c r="BV536" s="200">
        <f>FMS_Ranking4[[#This Row],[Region Number]]</f>
        <v>6</v>
      </c>
      <c r="BW536" s="200">
        <f>FMS_Ranking4[[#This Row],[Rank (with ArcSinh normalization of select criteria)]]-FMS_Ranking4[[#This Row],[Rank
(with linear
normalization)]]</f>
        <v>-147</v>
      </c>
      <c r="BX536" s="200" t="e">
        <f>FMS_Ranking4[[#This Row],[Log Rank]]-FMS_Ranking4[[#This Row],[Rank
(with linear
normalization)]]</f>
        <v>#REF!</v>
      </c>
      <c r="BY536" s="200" t="str">
        <f>IF(FMS_Ranking4[[#This Row],[FMS Type]]="Flood Measurement and Warning",FMS_Ranking4[[#This Row],[Rank (with ArcSinh normalization of select criteria)]],"")</f>
        <v/>
      </c>
      <c r="BZ536" s="200" t="str">
        <f>IF(FMS_Ranking4[[#This Row],[FMS Type]]="Regulatory and Guidance",FMS_Ranking4[[#This Row],[Rank (with ArcSinh normalization of select criteria)]],"")</f>
        <v/>
      </c>
      <c r="CA536" s="200" t="str">
        <f>IF(FMS_Ranking4[[#This Row],[FMS Type]]="Education and Outreach",FMS_Ranking4[[#This Row],[Rank (with ArcSinh normalization of select criteria)]],"")</f>
        <v/>
      </c>
      <c r="CB536" s="200" t="str">
        <f>IF(FMS_Ranking4[[#This Row],[FMS Type]]="Property Acquisition and Structural Elevation",FMS_Ranking4[[#This Row],[Rank (with ArcSinh normalization of select criteria)]],"")</f>
        <v/>
      </c>
      <c r="CC536" s="200">
        <f>IF(FMS_Ranking4[[#This Row],[FMS Type]]="Infrastructure Projects",FMS_Ranking4[[#This Row],[Rank (with ArcSinh normalization of select criteria)]],"")</f>
        <v>529</v>
      </c>
      <c r="CD536" s="200" t="str">
        <f>IF(FMS_Ranking4[[#This Row],[FMS Type]]="Other",FMS_Ranking4[[#This Row],[Rank (with ArcSinh normalization of select criteria)]],"")</f>
        <v/>
      </c>
      <c r="CE536" s="201"/>
      <c r="CF536" s="206"/>
      <c r="CG536" s="206"/>
      <c r="CH536" s="206"/>
      <c r="CI536" s="206"/>
      <c r="CJ536" s="206"/>
      <c r="CK536" s="206"/>
      <c r="CL536" s="206"/>
      <c r="CM536" s="206"/>
      <c r="CN536" s="206"/>
      <c r="CO536" s="206"/>
      <c r="CP536" s="206"/>
      <c r="CQ536" s="206"/>
      <c r="CR536" s="206"/>
    </row>
    <row r="537" spans="2:96" ht="30" x14ac:dyDescent="0.25">
      <c r="B537" s="341" t="s">
        <v>3380</v>
      </c>
      <c r="C537" s="246">
        <f>_xlfn.XLOOKUP(FMS_Ranking4[[#This Row],[FMS ID]],FMS_Input[FMS_ID],FMS_Input[RFPG_NUM])</f>
        <v>7</v>
      </c>
      <c r="D537" s="309" t="str">
        <f>_xlfn.XLOOKUP(FMS_Ranking4[[#This Row],[FMS ID]],FMS_Input[FMS_ID],FMS_Input[FMS_NAME])</f>
        <v>Dredging Canyon Lakes</v>
      </c>
      <c r="E537" s="308" t="str">
        <f>_xlfn.XLOOKUP(FMS_Ranking4[[#This Row],[FMS ID]],FMS_Input[FMS_ID],FMS_Input[SPONSOR])</f>
        <v>07003269</v>
      </c>
      <c r="F537" s="309" t="str">
        <f>_xlfn.XLOOKUP(FMS_Ranking4[[#This Row],[FMS ID]],Sponsor[FMS_ID],Sponsor[SPONSOR NAME])</f>
        <v>Lubbock</v>
      </c>
      <c r="G537" s="309" t="str">
        <f>_xlfn.XLOOKUP(FMS_Ranking4[[#This Row],[FMS ID]],FMS_Input[FMS_ID],FMS_Input[FMS_DESCR])</f>
        <v>Dredging Canyon Lakes</v>
      </c>
      <c r="H537" s="248" t="str">
        <f>_xlfn.XLOOKUP(FMS_Ranking4[[#This Row],[FMS ID]],FMS_Input[FMS_ID],FMS_Input[FMS_TYPE])</f>
        <v>Infrastructure Projects</v>
      </c>
      <c r="I537" s="249">
        <f>_xlfn.XLOOKUP(FMS_Ranking4[[#This Row],[FMS ID]],FMS_Input[FMS_ID],FMS_Input[NRNC_COST])</f>
        <v>250000</v>
      </c>
      <c r="J537" s="250">
        <f>_xlfn.XLOOKUP(FMS_Ranking4[[#This Row],[FMS ID]],FMS_Input[FMS_ID],FMS_Input[FMS_COST])</f>
        <v>2750000</v>
      </c>
      <c r="K537" s="251" t="str">
        <f>_xlfn.XLOOKUP(FMS_Ranking4[[#This Row],[FMS ID]],FMS_Input[FMS_ID],FMS_Input[EMER_NEED])</f>
        <v>No</v>
      </c>
      <c r="L537" s="252">
        <f t="shared" si="8"/>
        <v>0</v>
      </c>
      <c r="M537" s="253">
        <f>_xlfn.XLOOKUP(FMS_Ranking4[[#This Row],[FMS ID]],FMS_Input[FMS_ID],FMS_Input[STRUCT_100])</f>
        <v>75</v>
      </c>
      <c r="N537" s="255">
        <f>(ASINH(FMS_Ranking4[[#This Row],[Structure at Risk Raw]]))*(10)/(ASINH(M$4))</f>
        <v>3.9391403300635446</v>
      </c>
      <c r="O537" s="256">
        <f>FMS_Ranking4[[#This Row],[Structures at risk, ArcSinh (0-10)]]*M$5*10</f>
        <v>3.9391403300635446</v>
      </c>
      <c r="P537" s="253">
        <f>_xlfn.XLOOKUP(FMS_Ranking4[[#This Row],[FMS ID]],FMS_Input[FMS_ID],FMS_Input[RES_STRUCT100])</f>
        <v>11</v>
      </c>
      <c r="Q537" s="257">
        <f>ASINH(FMS_Ranking4[[#This Row],[Res Structure Raw]])/Q$4*P$5*100</f>
        <v>0</v>
      </c>
      <c r="R537" s="253">
        <f>_xlfn.XLOOKUP(FMS_Ranking4[[#This Row],[FMS ID]],FMS_Input[FMS_ID],FMS_Input[POP100])</f>
        <v>70</v>
      </c>
      <c r="S537" s="255">
        <f>(ASINH(FMS_Ranking4[[#This Row],[Pop at Risk Raw]]))*(10)/(ASINH(R$4))</f>
        <v>3.4115386761887048</v>
      </c>
      <c r="T537" s="256">
        <f>FMS_Ranking4[[#This Row],[Population at risk, ArcSinh (0-10)]]*R$5*10</f>
        <v>3.4115386761887052</v>
      </c>
      <c r="U537" s="253">
        <f>_xlfn.XLOOKUP(FMS_Ranking4[[#This Row],[FMS ID]],FMS_Input[FMS_ID],FMS_Input[CRITFAC100])</f>
        <v>0</v>
      </c>
      <c r="V537" s="255">
        <f>(ASINH(FMS_Ranking4[[#This Row],[Critical Facilities Raw]]))*(10)/(ASINH(U$4))</f>
        <v>0</v>
      </c>
      <c r="W537" s="256">
        <f>FMS_Ranking4[[#This Row],[Critical facilities at risk, ArcSinh (0-10)]]*U$5*10</f>
        <v>0</v>
      </c>
      <c r="X537" s="253">
        <f>_xlfn.XLOOKUP(FMS_Ranking4[[#This Row],[FMS ID]],FMS_Input[FMS_ID],FMS_Input[LWC])</f>
        <v>16</v>
      </c>
      <c r="Y537" s="255">
        <f>(ASINH(FMS_Ranking4[[#This Row],[LWC Raw]]))*(10)/(ASINH(X$4))</f>
        <v>4.6964844083783914</v>
      </c>
      <c r="Z537" s="256">
        <f>FMS_Ranking4[[#This Row],[LWC, ArcSInh (0-10)]]*X$5*10</f>
        <v>4.6964844083783923</v>
      </c>
      <c r="AA537" s="253">
        <f>_xlfn.XLOOKUP(FMS_Ranking4[[#This Row],[FMS ID]],FMS_Input[FMS_ID],FMS_Input[ROADCLS])</f>
        <v>0</v>
      </c>
      <c r="AB537" s="255">
        <f>(ASINH(FMS_Ranking4[[#This Row],[Road Closures Raw]]))*(10)/(ASINH(AA$4))</f>
        <v>0</v>
      </c>
      <c r="AC537" s="256">
        <f>FMS_Ranking4[[#This Row],[Road closures, ArcSinh (0-10)]]*AA$5*10</f>
        <v>0</v>
      </c>
      <c r="AD537" s="253">
        <f>_xlfn.XLOOKUP(FMS_Ranking4[[#This Row],[FMS ID]],FMS_Input[FMS_ID],FMS_Input[ROAD_MILES100])</f>
        <v>9</v>
      </c>
      <c r="AE537" s="255">
        <f>(ASINH(FMS_Ranking4[[#This Row],[Road Miles Raw]]))*(10)/(ASINH(AD$4))</f>
        <v>3.0836152323682597</v>
      </c>
      <c r="AF537" s="256">
        <f>FMS_Ranking4[[#This Row],[Length of roads at risk, ArcSinh (0-10)]]*AD$5*10</f>
        <v>3.0836152323682597</v>
      </c>
      <c r="AG537" s="253">
        <f>_xlfn.XLOOKUP(FMS_Ranking4[[#This Row],[FMS ID]],FMS_Input[FMS_ID],FMS_Input[FARMACRE100])</f>
        <v>58.967926025390618</v>
      </c>
      <c r="AH537" s="255">
        <f>(ASINH(FMS_Ranking4[[#This Row],[Ag Land Raw]]))*(10)/(ASINH(AG$4))</f>
        <v>3.0986417998155953</v>
      </c>
      <c r="AI537" s="260">
        <f>FMS_Ranking4[[#This Row],[Farm &amp; ranch land, ArcSinh (0-10)]]*AG$5*10</f>
        <v>1.5493208999077979</v>
      </c>
      <c r="AJ537" s="258">
        <f>_xlfn.XLOOKUP(FMS_Ranking4[[#This Row],[FMS ID]],FMS_Input[FMS_ID],FMS_Input[REDSTRUCT100])</f>
        <v>0</v>
      </c>
      <c r="AK537" s="253">
        <f>_xlfn.XLOOKUP(FMS_Ranking4[[#This Row],[FMS ID]],FMS_Input[FMS_ID],FMS_Input[REMSTRC100])</f>
        <v>0</v>
      </c>
      <c r="AL537" s="255">
        <f>(ASINH(FMS_Ranking4[[#This Row],[Structures Removed Raw]]))*(10)/(ASINH(AK$4))</f>
        <v>0</v>
      </c>
      <c r="AM537" s="262">
        <f>FMS_Ranking4[[#This Row],[Structures removed, ArcSinh (0-10)]]*AK$5*10</f>
        <v>0</v>
      </c>
      <c r="AN537" s="253">
        <f>_xlfn.XLOOKUP(FMS_Ranking4[[#This Row],[FMS ID]],FMS_Input[FMS_ID],FMS_Input[REMRESSTRC100])</f>
        <v>0</v>
      </c>
      <c r="AO537" s="261">
        <f>FMS_Ranking4[[#This Row],[ArcSinh Res struct removed 0-10]]*AN$5*10</f>
        <v>0</v>
      </c>
      <c r="AP537" s="260">
        <f>ASINH(FMS_Ranking4[[#This Row],[Residential Structures Removed Raw]])/AP$4*AN$5*100</f>
        <v>0</v>
      </c>
      <c r="AQ537" s="258">
        <f>(ASINH(FMS_Ranking4[[#This Row],[Residential Structures Removed Raw]]))*(10)/(ASINH(AN$4))</f>
        <v>0</v>
      </c>
      <c r="AR537" s="253">
        <f>_xlfn.XLOOKUP(FMS_Ranking4[[#This Row],[FMS ID]],FMS_Input[FMS_ID],FMS_Input[REMPOP100])</f>
        <v>0</v>
      </c>
      <c r="AS537" s="255">
        <f>(ASINH(FMS_Ranking4[[#This Row],[Removed Pop Raw]]))*(10)/(ASINH(AR$4))</f>
        <v>0</v>
      </c>
      <c r="AT537" s="262">
        <f>FMS_Ranking4[[#This Row],[Removed population, ArcSinh (0-10)]]*AR$5*10</f>
        <v>0</v>
      </c>
      <c r="AU537" s="264">
        <f>_xlfn.XLOOKUP(FMS_Ranking4[[#This Row],[FMS ID]],FMS_Input[FMS_ID],FMS_Input[REMCRITFAC100])</f>
        <v>0</v>
      </c>
      <c r="AV537" s="264">
        <f>_xlfn.XLOOKUP(FMS_Ranking4[[#This Row],[FMS ID]],FMS_Input[FMS_ID],FMS_Input[REMLWC100])</f>
        <v>0</v>
      </c>
      <c r="AW537" s="264">
        <f>_xlfn.XLOOKUP(FMS_Ranking4[[#This Row],[FMS ID]],FMS_Input[FMS_ID],FMS_Input[REMROADCLS])</f>
        <v>0</v>
      </c>
      <c r="AX537" s="264">
        <f>_xlfn.XLOOKUP(FMS_Ranking4[[#This Row],[FMS ID]],FMS_Input[FMS_ID],FMS_Input[REMFRMACRE100])</f>
        <v>0</v>
      </c>
      <c r="AY537" s="258">
        <f>_xlfn.XLOOKUP(FMS_Ranking4[[#This Row],[FMS ID]],FMS_Input[FMS_ID],FMS_Input[COSTSTRUCT])</f>
        <v>0</v>
      </c>
      <c r="AZ537" s="253">
        <f>_xlfn.XLOOKUP(FMS_Ranking4[[#This Row],[FMS ID]],FMS_Input[FMS_ID],FMS_Input[NATURE])</f>
        <v>0</v>
      </c>
      <c r="BA537" s="262">
        <f>(((FMS_Ranking4[[#This Row],[% NBS Raw]]/AZ$4)*100)*AZ$5)</f>
        <v>0</v>
      </c>
      <c r="BB537" s="251" t="str">
        <f>_xlfn.XLOOKUP(FMS_Ranking4[[#This Row],[FMS ID]],FMS_Input[FMS_ID],FMS_Input[WATER_SUP])</f>
        <v>No</v>
      </c>
      <c r="BC537" s="265">
        <f>IF(FMS_Ranking4[[#This Row],[Water Supply Raw]]="Yes",10,0)</f>
        <v>0</v>
      </c>
      <c r="BD537" s="266">
        <f>_xlfn.XLOOKUP(FMS_Ranking4[[#This Row],[FMS Type]],FMS_TYPE[FMS_Type],FMS_TYPE[Score])</f>
        <v>4</v>
      </c>
      <c r="BE537" s="267">
        <f>FMS_Ranking4[[#This Row],[FMS_Type Score]]*$BD$5*10</f>
        <v>1</v>
      </c>
      <c r="BF53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0.21971729229073947</v>
      </c>
      <c r="BG537" s="321">
        <f>_xlfn.RANK.EQ(BF537,$BF$8:$BF$870,0)+COUNTIF($BF$8:BF537,BF537)-1</f>
        <v>346</v>
      </c>
      <c r="BH537" s="294">
        <f>(((FMS_Ranking4[[#This Row],[Structures Removed Raw]]/AK$4)*100)*AK$5)+(((FMS_Ranking4[[#This Row],[Removed Pop Raw]]/AR$4)*100)*AR$5)</f>
        <v>0</v>
      </c>
      <c r="BI53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1.2197172922907396</v>
      </c>
      <c r="BJ537" s="251">
        <f>_xlfn.RANK.EQ(FMS_Ranking4[[#This Row],[Total Score 
(with linear
normalization)]],FMS_Ranking4[Total Score 
(with linear
normalization)],0)</f>
        <v>641</v>
      </c>
      <c r="BK537" s="251" t="e">
        <f>_xlfn.XLOOKUP(FMS_Ranking4[[#This Row],[FMS ID]],#REF!,#REF!)</f>
        <v>#REF!</v>
      </c>
      <c r="BL53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16.6800995469067</v>
      </c>
      <c r="BM537" s="324">
        <f>FMS_Ranking4[[#This Row],[ArcSinh Score Based on Normalized Reported Factors]]+FMS_Ranking4[[#This Row],[% NBS Score (Normalized)]]+(FMS_Ranking4[[#This Row],[Water Supply Score (Normalized)]]*10*$BB$5)+FMS_Ranking4[[#This Row],[FMS_Type Score Weighted]]</f>
        <v>17.6800995469067</v>
      </c>
      <c r="BN537" s="251">
        <f>_xlfn.RANK.EQ(FMS_Ranking4[[#This Row],[Total Score (with ArcSinh normalization of select criteria)]],FMS_Ranking4[Total Score (with ArcSinh normalization of select criteria)],0)</f>
        <v>530</v>
      </c>
      <c r="BO537" s="270" t="str">
        <f>_xlfn.XLOOKUP(FMS_Ranking4[[#This Row],[FMS ID]],FMS_Input[FMS_ID],FMS_Input[FMS_RANK_YEAR])</f>
        <v>2023 Amended Plan</v>
      </c>
      <c r="BP537" s="204">
        <f>_xlfn.XLOOKUP(FMS_Ranking4[[#This Row],[FMS ID]],Prev_Rank[FMS ID],Prev_Rank[Prev Rank])</f>
        <v>469</v>
      </c>
      <c r="BQ537" s="251" t="e">
        <f>_xlfn.XLOOKUP(FMS_Ranking4[[#This Row],[FMS ID]],#REF!,#REF!)</f>
        <v>#REF!</v>
      </c>
      <c r="BR537" s="199" t="e">
        <f>SUM(#REF!,#REF!,#REF!,#REF!,#REF!,#REF!,#REF!,#REF!,#REF!,FMS_Ranking4[[#This Row],[ArcSinh Res struct removed 0-10]],#REF!)</f>
        <v>#REF!</v>
      </c>
      <c r="BS537" s="199" t="e">
        <f>FMS_Ranking4[[#This Row],[Log Score Based on Normalized Reported Factors]]+FMS_Ranking4[[#This Row],[% NBS Score (Normalized)]]+(FMS_Ranking4[[#This Row],[Water Supply Score (Normalized)]]*10*$BB$5)+(FMS_Ranking4[[#This Row],[FMS_Type Score Weighted]])</f>
        <v>#REF!</v>
      </c>
      <c r="BT537" s="200" t="e">
        <f>_xlfn.RANK.EQ(FMS_Ranking4[[#This Row],[Log Total Score]],FMS_Ranking4[Log Total Score],0)</f>
        <v>#REF!</v>
      </c>
      <c r="BU537" s="200" t="e">
        <f>_xlfn.XLOOKUP(FMS_Ranking4[[#This Row],[FMS ID]],#REF!,#REF!)</f>
        <v>#REF!</v>
      </c>
      <c r="BV537" s="200">
        <f>FMS_Ranking4[[#This Row],[Region Number]]</f>
        <v>7</v>
      </c>
      <c r="BW537" s="200">
        <f>FMS_Ranking4[[#This Row],[Rank (with ArcSinh normalization of select criteria)]]-FMS_Ranking4[[#This Row],[Rank
(with linear
normalization)]]</f>
        <v>-111</v>
      </c>
      <c r="BX537" s="200" t="e">
        <f>FMS_Ranking4[[#This Row],[Log Rank]]-FMS_Ranking4[[#This Row],[Rank
(with linear
normalization)]]</f>
        <v>#REF!</v>
      </c>
      <c r="BY537" s="200" t="str">
        <f>IF(FMS_Ranking4[[#This Row],[FMS Type]]="Flood Measurement and Warning",FMS_Ranking4[[#This Row],[Rank (with ArcSinh normalization of select criteria)]],"")</f>
        <v/>
      </c>
      <c r="BZ537" s="200" t="str">
        <f>IF(FMS_Ranking4[[#This Row],[FMS Type]]="Regulatory and Guidance",FMS_Ranking4[[#This Row],[Rank (with ArcSinh normalization of select criteria)]],"")</f>
        <v/>
      </c>
      <c r="CA537" s="200" t="str">
        <f>IF(FMS_Ranking4[[#This Row],[FMS Type]]="Education and Outreach",FMS_Ranking4[[#This Row],[Rank (with ArcSinh normalization of select criteria)]],"")</f>
        <v/>
      </c>
      <c r="CB537" s="200" t="str">
        <f>IF(FMS_Ranking4[[#This Row],[FMS Type]]="Property Acquisition and Structural Elevation",FMS_Ranking4[[#This Row],[Rank (with ArcSinh normalization of select criteria)]],"")</f>
        <v/>
      </c>
      <c r="CC537" s="200">
        <f>IF(FMS_Ranking4[[#This Row],[FMS Type]]="Infrastructure Projects",FMS_Ranking4[[#This Row],[Rank (with ArcSinh normalization of select criteria)]],"")</f>
        <v>530</v>
      </c>
      <c r="CD537" s="200" t="str">
        <f>IF(FMS_Ranking4[[#This Row],[FMS Type]]="Other",FMS_Ranking4[[#This Row],[Rank (with ArcSinh normalization of select criteria)]],"")</f>
        <v/>
      </c>
      <c r="CE537" s="201"/>
      <c r="CF537" s="206"/>
      <c r="CG537" s="206"/>
      <c r="CH537" s="206"/>
      <c r="CI537" s="206"/>
      <c r="CJ537" s="206"/>
      <c r="CK537" s="206"/>
      <c r="CL537" s="206"/>
      <c r="CM537" s="206"/>
      <c r="CN537" s="206"/>
      <c r="CO537" s="206"/>
      <c r="CP537" s="206"/>
      <c r="CQ537" s="206"/>
      <c r="CR537" s="206"/>
    </row>
    <row r="538" spans="2:96" ht="45" x14ac:dyDescent="0.25">
      <c r="B538" s="341" t="s">
        <v>3017</v>
      </c>
      <c r="C538" s="246">
        <f>_xlfn.XLOOKUP(FMS_Ranking4[[#This Row],[FMS ID]],FMS_Input[FMS_ID],FMS_Input[RFPG_NUM])</f>
        <v>7</v>
      </c>
      <c r="D538" s="309" t="str">
        <f>_xlfn.XLOOKUP(FMS_Ranking4[[#This Row],[FMS ID]],FMS_Input[FMS_ID],FMS_Input[FMS_NAME])</f>
        <v>Scurry County NFIP Participation</v>
      </c>
      <c r="E538" s="308" t="str">
        <f>_xlfn.XLOOKUP(FMS_Ranking4[[#This Row],[FMS ID]],FMS_Input[FMS_ID],FMS_Input[SPONSOR])</f>
        <v>00000116</v>
      </c>
      <c r="F538" s="309" t="str">
        <f>_xlfn.XLOOKUP(FMS_Ranking4[[#This Row],[FMS ID]],Sponsor[FMS_ID],Sponsor[SPONSOR NAME])</f>
        <v>Scurry</v>
      </c>
      <c r="G538" s="309" t="str">
        <f>_xlfn.XLOOKUP(FMS_Ranking4[[#This Row],[FMS ID]],FMS_Input[FMS_ID],FMS_Input[FMS_DESCR])</f>
        <v>Application to join NFIP or adoption of equivalent standards.</v>
      </c>
      <c r="H538" s="248" t="str">
        <f>_xlfn.XLOOKUP(FMS_Ranking4[[#This Row],[FMS ID]],FMS_Input[FMS_ID],FMS_Input[FMS_TYPE])</f>
        <v>Regulatory and Guidance</v>
      </c>
      <c r="I538" s="249">
        <f>_xlfn.XLOOKUP(FMS_Ranking4[[#This Row],[FMS ID]],FMS_Input[FMS_ID],FMS_Input[NRNC_COST])</f>
        <v>50000</v>
      </c>
      <c r="J538" s="250">
        <f>_xlfn.XLOOKUP(FMS_Ranking4[[#This Row],[FMS ID]],FMS_Input[FMS_ID],FMS_Input[FMS_COST])</f>
        <v>50000</v>
      </c>
      <c r="K538" s="251" t="str">
        <f>_xlfn.XLOOKUP(FMS_Ranking4[[#This Row],[FMS ID]],FMS_Input[FMS_ID],FMS_Input[EMER_NEED])</f>
        <v>No</v>
      </c>
      <c r="L538" s="252">
        <f t="shared" si="8"/>
        <v>0</v>
      </c>
      <c r="M538" s="253">
        <f>_xlfn.XLOOKUP(FMS_Ranking4[[#This Row],[FMS ID]],FMS_Input[FMS_ID],FMS_Input[STRUCT_100])</f>
        <v>13</v>
      </c>
      <c r="N538" s="255">
        <f>(ASINH(FMS_Ranking4[[#This Row],[Structure at Risk Raw]]))*(10)/(ASINH(M$4))</f>
        <v>2.5625093585555985</v>
      </c>
      <c r="O538" s="256">
        <f>FMS_Ranking4[[#This Row],[Structures at risk, ArcSinh (0-10)]]*M$5*10</f>
        <v>2.5625093585555985</v>
      </c>
      <c r="P538" s="253">
        <f>_xlfn.XLOOKUP(FMS_Ranking4[[#This Row],[FMS ID]],FMS_Input[FMS_ID],FMS_Input[RES_STRUCT100])</f>
        <v>2</v>
      </c>
      <c r="Q538" s="257">
        <f>ASINH(FMS_Ranking4[[#This Row],[Res Structure Raw]])/Q$4*P$5*100</f>
        <v>0</v>
      </c>
      <c r="R538" s="253">
        <f>_xlfn.XLOOKUP(FMS_Ranking4[[#This Row],[FMS ID]],FMS_Input[FMS_ID],FMS_Input[POP100])</f>
        <v>23</v>
      </c>
      <c r="S538" s="255">
        <f>(ASINH(FMS_Ranking4[[#This Row],[Pop at Risk Raw]]))*(10)/(ASINH(R$4))</f>
        <v>2.6434600767891396</v>
      </c>
      <c r="T538" s="256">
        <f>FMS_Ranking4[[#This Row],[Population at risk, ArcSinh (0-10)]]*R$5*10</f>
        <v>2.6434600767891396</v>
      </c>
      <c r="U538" s="253">
        <f>_xlfn.XLOOKUP(FMS_Ranking4[[#This Row],[FMS ID]],FMS_Input[FMS_ID],FMS_Input[CRITFAC100])</f>
        <v>0</v>
      </c>
      <c r="V538" s="255">
        <f>(ASINH(FMS_Ranking4[[#This Row],[Critical Facilities Raw]]))*(10)/(ASINH(U$4))</f>
        <v>0</v>
      </c>
      <c r="W538" s="256">
        <f>FMS_Ranking4[[#This Row],[Critical facilities at risk, ArcSinh (0-10)]]*U$5*10</f>
        <v>0</v>
      </c>
      <c r="X538" s="253">
        <f>_xlfn.XLOOKUP(FMS_Ranking4[[#This Row],[FMS ID]],FMS_Input[FMS_ID],FMS_Input[LWC])</f>
        <v>6</v>
      </c>
      <c r="Y538" s="255">
        <f>(ASINH(FMS_Ranking4[[#This Row],[LWC Raw]]))*(10)/(ASINH(X$4))</f>
        <v>3.375708300798784</v>
      </c>
      <c r="Z538" s="256">
        <f>FMS_Ranking4[[#This Row],[LWC, ArcSInh (0-10)]]*X$5*10</f>
        <v>3.3757083007987845</v>
      </c>
      <c r="AA538" s="253">
        <f>_xlfn.XLOOKUP(FMS_Ranking4[[#This Row],[FMS ID]],FMS_Input[FMS_ID],FMS_Input[ROADCLS])</f>
        <v>0</v>
      </c>
      <c r="AB538" s="255">
        <f>(ASINH(FMS_Ranking4[[#This Row],[Road Closures Raw]]))*(10)/(ASINH(AA$4))</f>
        <v>0</v>
      </c>
      <c r="AC538" s="256">
        <f>FMS_Ranking4[[#This Row],[Road closures, ArcSinh (0-10)]]*AA$5*10</f>
        <v>0</v>
      </c>
      <c r="AD538" s="253">
        <f>_xlfn.XLOOKUP(FMS_Ranking4[[#This Row],[FMS ID]],FMS_Input[FMS_ID],FMS_Input[ROAD_MILES100])</f>
        <v>18</v>
      </c>
      <c r="AE538" s="255">
        <f>(ASINH(FMS_Ranking4[[#This Row],[Road Miles Raw]]))*(10)/(ASINH(AD$4))</f>
        <v>3.8198666439072628</v>
      </c>
      <c r="AF538" s="256">
        <f>FMS_Ranking4[[#This Row],[Length of roads at risk, ArcSinh (0-10)]]*AD$5*10</f>
        <v>3.8198666439072633</v>
      </c>
      <c r="AG538" s="253">
        <f>_xlfn.XLOOKUP(FMS_Ranking4[[#This Row],[FMS ID]],FMS_Input[FMS_ID],FMS_Input[FARMACRE100])</f>
        <v>6805.37255859375</v>
      </c>
      <c r="AH538" s="255">
        <f>(ASINH(FMS_Ranking4[[#This Row],[Ag Land Raw]]))*(10)/(ASINH(AG$4))</f>
        <v>6.1831158183684538</v>
      </c>
      <c r="AI538" s="260">
        <f>FMS_Ranking4[[#This Row],[Farm &amp; ranch land, ArcSinh (0-10)]]*AG$5*10</f>
        <v>3.0915579091842273</v>
      </c>
      <c r="AJ538" s="258">
        <f>_xlfn.XLOOKUP(FMS_Ranking4[[#This Row],[FMS ID]],FMS_Input[FMS_ID],FMS_Input[REDSTRUCT100])</f>
        <v>0</v>
      </c>
      <c r="AK538" s="253">
        <f>_xlfn.XLOOKUP(FMS_Ranking4[[#This Row],[FMS ID]],FMS_Input[FMS_ID],FMS_Input[REMSTRC100])</f>
        <v>0</v>
      </c>
      <c r="AL538" s="255">
        <f>(ASINH(FMS_Ranking4[[#This Row],[Structures Removed Raw]]))*(10)/(ASINH(AK$4))</f>
        <v>0</v>
      </c>
      <c r="AM538" s="262">
        <f>FMS_Ranking4[[#This Row],[Structures removed, ArcSinh (0-10)]]*AK$5*10</f>
        <v>0</v>
      </c>
      <c r="AN538" s="253">
        <f>_xlfn.XLOOKUP(FMS_Ranking4[[#This Row],[FMS ID]],FMS_Input[FMS_ID],FMS_Input[REMRESSTRC100])</f>
        <v>0</v>
      </c>
      <c r="AO538" s="261">
        <f>FMS_Ranking4[[#This Row],[ArcSinh Res struct removed 0-10]]*AN$5*10</f>
        <v>0</v>
      </c>
      <c r="AP538" s="260">
        <f>ASINH(FMS_Ranking4[[#This Row],[Residential Structures Removed Raw]])/AP$4*AN$5*100</f>
        <v>0</v>
      </c>
      <c r="AQ538" s="258">
        <f>(ASINH(FMS_Ranking4[[#This Row],[Residential Structures Removed Raw]]))*(10)/(ASINH(AN$4))</f>
        <v>0</v>
      </c>
      <c r="AR538" s="253">
        <f>_xlfn.XLOOKUP(FMS_Ranking4[[#This Row],[FMS ID]],FMS_Input[FMS_ID],FMS_Input[REMPOP100])</f>
        <v>0</v>
      </c>
      <c r="AS538" s="255">
        <f>(ASINH(FMS_Ranking4[[#This Row],[Removed Pop Raw]]))*(10)/(ASINH(AR$4))</f>
        <v>0</v>
      </c>
      <c r="AT538" s="262">
        <f>FMS_Ranking4[[#This Row],[Removed population, ArcSinh (0-10)]]*AR$5*10</f>
        <v>0</v>
      </c>
      <c r="AU538" s="264">
        <f>_xlfn.XLOOKUP(FMS_Ranking4[[#This Row],[FMS ID]],FMS_Input[FMS_ID],FMS_Input[REMCRITFAC100])</f>
        <v>0</v>
      </c>
      <c r="AV538" s="264">
        <f>_xlfn.XLOOKUP(FMS_Ranking4[[#This Row],[FMS ID]],FMS_Input[FMS_ID],FMS_Input[REMLWC100])</f>
        <v>0</v>
      </c>
      <c r="AW538" s="264">
        <f>_xlfn.XLOOKUP(FMS_Ranking4[[#This Row],[FMS ID]],FMS_Input[FMS_ID],FMS_Input[REMROADCLS])</f>
        <v>0</v>
      </c>
      <c r="AX538" s="264">
        <f>_xlfn.XLOOKUP(FMS_Ranking4[[#This Row],[FMS ID]],FMS_Input[FMS_ID],FMS_Input[REMFRMACRE100])</f>
        <v>0</v>
      </c>
      <c r="AY538" s="258">
        <f>_xlfn.XLOOKUP(FMS_Ranking4[[#This Row],[FMS ID]],FMS_Input[FMS_ID],FMS_Input[COSTSTRUCT])</f>
        <v>0</v>
      </c>
      <c r="AZ538" s="253">
        <f>_xlfn.XLOOKUP(FMS_Ranking4[[#This Row],[FMS ID]],FMS_Input[FMS_ID],FMS_Input[NATURE])</f>
        <v>0</v>
      </c>
      <c r="BA538" s="262">
        <f>(((FMS_Ranking4[[#This Row],[% NBS Raw]]/AZ$4)*100)*AZ$5)</f>
        <v>0</v>
      </c>
      <c r="BB538" s="251" t="str">
        <f>_xlfn.XLOOKUP(FMS_Ranking4[[#This Row],[FMS ID]],FMS_Input[FMS_ID],FMS_Input[WATER_SUP])</f>
        <v>No</v>
      </c>
      <c r="BC538" s="265">
        <f>IF(FMS_Ranking4[[#This Row],[Water Supply Raw]]="Yes",10,0)</f>
        <v>0</v>
      </c>
      <c r="BD538" s="266">
        <f>_xlfn.XLOOKUP(FMS_Ranking4[[#This Row],[FMS Type]],FMS_TYPE[FMS_Type],FMS_TYPE[Score])</f>
        <v>8</v>
      </c>
      <c r="BE538" s="267">
        <f>FMS_Ranking4[[#This Row],[FMS_Type Score]]*$BD$5*10</f>
        <v>2</v>
      </c>
      <c r="BF53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0.12004644524202265</v>
      </c>
      <c r="BG538" s="321">
        <f>_xlfn.RANK.EQ(BF538,$BF$8:$BF$870,0)+COUNTIF($BF$8:BF538,BF538)-1</f>
        <v>461</v>
      </c>
      <c r="BH538" s="294">
        <f>(((FMS_Ranking4[[#This Row],[Structures Removed Raw]]/AK$4)*100)*AK$5)+(((FMS_Ranking4[[#This Row],[Removed Pop Raw]]/AR$4)*100)*AR$5)</f>
        <v>0</v>
      </c>
      <c r="BI53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2.1200464452420227</v>
      </c>
      <c r="BJ538" s="251">
        <f>_xlfn.RANK.EQ(FMS_Ranking4[[#This Row],[Total Score 
(with linear
normalization)]],FMS_Ranking4[Total Score 
(with linear
normalization)],0)</f>
        <v>356</v>
      </c>
      <c r="BK538" s="251" t="e">
        <f>_xlfn.XLOOKUP(FMS_Ranking4[[#This Row],[FMS ID]],#REF!,#REF!)</f>
        <v>#REF!</v>
      </c>
      <c r="BL53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15.493102289235011</v>
      </c>
      <c r="BM538" s="324">
        <f>FMS_Ranking4[[#This Row],[ArcSinh Score Based on Normalized Reported Factors]]+FMS_Ranking4[[#This Row],[% NBS Score (Normalized)]]+(FMS_Ranking4[[#This Row],[Water Supply Score (Normalized)]]*10*$BB$5)+FMS_Ranking4[[#This Row],[FMS_Type Score Weighted]]</f>
        <v>17.493102289235011</v>
      </c>
      <c r="BN538" s="251">
        <f>_xlfn.RANK.EQ(FMS_Ranking4[[#This Row],[Total Score (with ArcSinh normalization of select criteria)]],FMS_Ranking4[Total Score (with ArcSinh normalization of select criteria)],0)</f>
        <v>531</v>
      </c>
      <c r="BO538" s="270" t="str">
        <f>_xlfn.XLOOKUP(FMS_Ranking4[[#This Row],[FMS ID]],FMS_Input[FMS_ID],FMS_Input[FMS_RANK_YEAR])</f>
        <v>2023 Amended Plan</v>
      </c>
      <c r="BP538" s="204">
        <f>_xlfn.XLOOKUP(FMS_Ranking4[[#This Row],[FMS ID]],Prev_Rank[FMS ID],Prev_Rank[Prev Rank])</f>
        <v>470</v>
      </c>
      <c r="BQ538" s="251" t="e">
        <f>_xlfn.XLOOKUP(FMS_Ranking4[[#This Row],[FMS ID]],#REF!,#REF!)</f>
        <v>#REF!</v>
      </c>
      <c r="BR538" s="199" t="e">
        <f>SUM(#REF!,#REF!,#REF!,#REF!,#REF!,#REF!,#REF!,#REF!,#REF!,FMS_Ranking4[[#This Row],[ArcSinh Res struct removed 0-10]],#REF!)</f>
        <v>#REF!</v>
      </c>
      <c r="BS538" s="199" t="e">
        <f>FMS_Ranking4[[#This Row],[Log Score Based on Normalized Reported Factors]]+FMS_Ranking4[[#This Row],[% NBS Score (Normalized)]]+(FMS_Ranking4[[#This Row],[Water Supply Score (Normalized)]]*10*$BB$5)+(FMS_Ranking4[[#This Row],[FMS_Type Score Weighted]])</f>
        <v>#REF!</v>
      </c>
      <c r="BT538" s="200" t="e">
        <f>_xlfn.RANK.EQ(FMS_Ranking4[[#This Row],[Log Total Score]],FMS_Ranking4[Log Total Score],0)</f>
        <v>#REF!</v>
      </c>
      <c r="BU538" s="200" t="e">
        <f>_xlfn.XLOOKUP(FMS_Ranking4[[#This Row],[FMS ID]],#REF!,#REF!)</f>
        <v>#REF!</v>
      </c>
      <c r="BV538" s="200">
        <f>FMS_Ranking4[[#This Row],[Region Number]]</f>
        <v>7</v>
      </c>
      <c r="BW538" s="200">
        <f>FMS_Ranking4[[#This Row],[Rank (with ArcSinh normalization of select criteria)]]-FMS_Ranking4[[#This Row],[Rank
(with linear
normalization)]]</f>
        <v>175</v>
      </c>
      <c r="BX538" s="200" t="e">
        <f>FMS_Ranking4[[#This Row],[Log Rank]]-FMS_Ranking4[[#This Row],[Rank
(with linear
normalization)]]</f>
        <v>#REF!</v>
      </c>
      <c r="BY538" s="200" t="str">
        <f>IF(FMS_Ranking4[[#This Row],[FMS Type]]="Flood Measurement and Warning",FMS_Ranking4[[#This Row],[Rank (with ArcSinh normalization of select criteria)]],"")</f>
        <v/>
      </c>
      <c r="BZ538" s="200">
        <f>IF(FMS_Ranking4[[#This Row],[FMS Type]]="Regulatory and Guidance",FMS_Ranking4[[#This Row],[Rank (with ArcSinh normalization of select criteria)]],"")</f>
        <v>531</v>
      </c>
      <c r="CA538" s="200" t="str">
        <f>IF(FMS_Ranking4[[#This Row],[FMS Type]]="Education and Outreach",FMS_Ranking4[[#This Row],[Rank (with ArcSinh normalization of select criteria)]],"")</f>
        <v/>
      </c>
      <c r="CB538" s="200" t="str">
        <f>IF(FMS_Ranking4[[#This Row],[FMS Type]]="Property Acquisition and Structural Elevation",FMS_Ranking4[[#This Row],[Rank (with ArcSinh normalization of select criteria)]],"")</f>
        <v/>
      </c>
      <c r="CC538" s="200" t="str">
        <f>IF(FMS_Ranking4[[#This Row],[FMS Type]]="Infrastructure Projects",FMS_Ranking4[[#This Row],[Rank (with ArcSinh normalization of select criteria)]],"")</f>
        <v/>
      </c>
      <c r="CD538" s="200" t="str">
        <f>IF(FMS_Ranking4[[#This Row],[FMS Type]]="Other",FMS_Ranking4[[#This Row],[Rank (with ArcSinh normalization of select criteria)]],"")</f>
        <v/>
      </c>
      <c r="CE538" s="201"/>
      <c r="CF538" s="206"/>
      <c r="CG538" s="206"/>
      <c r="CH538" s="206"/>
      <c r="CI538" s="206"/>
      <c r="CJ538" s="206"/>
      <c r="CK538" s="206"/>
      <c r="CL538" s="206"/>
      <c r="CM538" s="206"/>
      <c r="CN538" s="206"/>
      <c r="CO538" s="206"/>
      <c r="CP538" s="206"/>
      <c r="CQ538" s="206"/>
      <c r="CR538" s="206"/>
    </row>
    <row r="539" spans="2:96" ht="105" x14ac:dyDescent="0.25">
      <c r="B539" s="341" t="s">
        <v>12037</v>
      </c>
      <c r="C539" s="246">
        <f>_xlfn.XLOOKUP(FMS_Ranking4[[#This Row],[FMS ID]],FMS_Input[FMS_ID],FMS_Input[RFPG_NUM])</f>
        <v>15</v>
      </c>
      <c r="D539" s="309" t="str">
        <f>_xlfn.XLOOKUP(FMS_Ranking4[[#This Row],[FMS ID]],FMS_Input[FMS_ID],FMS_Input[FMS_NAME])</f>
        <v>County of Kenedy</v>
      </c>
      <c r="E539" s="308" t="str">
        <f>_xlfn.XLOOKUP(FMS_Ranking4[[#This Row],[FMS ID]],FMS_Input[FMS_ID],FMS_Input[SPONSOR])</f>
        <v>00000074</v>
      </c>
      <c r="F539" s="309" t="str">
        <f>_xlfn.XLOOKUP(FMS_Ranking4[[#This Row],[FMS ID]],Sponsor[FMS_ID],Sponsor[SPONSOR NAME])</f>
        <v>Kenedy</v>
      </c>
      <c r="G539" s="309" t="str">
        <f>_xlfn.XLOOKUP(FMS_Ranking4[[#This Row],[FMS ID]],FMS_Input[FMS_ID],FMS_Input[FMS_DESCR])</f>
        <v>FMS 2 - Assessment, development, and updating of the City's ordinances, orders, policies, engineering specifications, guidance documents and other flood management tools.</v>
      </c>
      <c r="H539" s="248" t="str">
        <f>_xlfn.XLOOKUP(FMS_Ranking4[[#This Row],[FMS ID]],FMS_Input[FMS_ID],FMS_Input[FMS_TYPE])</f>
        <v>Regulatory and Guidance</v>
      </c>
      <c r="I539" s="249">
        <f>_xlfn.XLOOKUP(FMS_Ranking4[[#This Row],[FMS ID]],FMS_Input[FMS_ID],FMS_Input[NRNC_COST])</f>
        <v>300000</v>
      </c>
      <c r="J539" s="250">
        <f>_xlfn.XLOOKUP(FMS_Ranking4[[#This Row],[FMS ID]],FMS_Input[FMS_ID],FMS_Input[FMS_COST])</f>
        <v>300000</v>
      </c>
      <c r="K539" s="251" t="str">
        <f>_xlfn.XLOOKUP(FMS_Ranking4[[#This Row],[FMS ID]],FMS_Input[FMS_ID],FMS_Input[EMER_NEED])</f>
        <v>Yes</v>
      </c>
      <c r="L539" s="252">
        <f t="shared" si="8"/>
        <v>1</v>
      </c>
      <c r="M539" s="253">
        <f>_xlfn.XLOOKUP(FMS_Ranking4[[#This Row],[FMS ID]],FMS_Input[FMS_ID],FMS_Input[STRUCT_100])</f>
        <v>53</v>
      </c>
      <c r="N539" s="255">
        <f>(ASINH(FMS_Ranking4[[#This Row],[Structure at Risk Raw]]))*(10)/(ASINH(M$4))</f>
        <v>3.6662274416120577</v>
      </c>
      <c r="O539" s="256">
        <f>FMS_Ranking4[[#This Row],[Structures at risk, ArcSinh (0-10)]]*M$5*10</f>
        <v>3.6662274416120577</v>
      </c>
      <c r="P539" s="253">
        <f>_xlfn.XLOOKUP(FMS_Ranking4[[#This Row],[FMS ID]],FMS_Input[FMS_ID],FMS_Input[RES_STRUCT100])</f>
        <v>3</v>
      </c>
      <c r="Q539" s="257">
        <f>ASINH(FMS_Ranking4[[#This Row],[Res Structure Raw]])/Q$4*P$5*100</f>
        <v>0</v>
      </c>
      <c r="R539" s="253">
        <f>_xlfn.XLOOKUP(FMS_Ranking4[[#This Row],[FMS ID]],FMS_Input[FMS_ID],FMS_Input[POP100])</f>
        <v>28</v>
      </c>
      <c r="S539" s="259">
        <f>(ASINH(FMS_Ranking4[[#This Row],[Pop at Risk Raw]]))*(10)/(ASINH(R$4))</f>
        <v>2.7791546542783676</v>
      </c>
      <c r="T539" s="256">
        <f>FMS_Ranking4[[#This Row],[Population at risk, ArcSinh (0-10)]]*R$5*10</f>
        <v>2.7791546542783681</v>
      </c>
      <c r="U539" s="253">
        <f>_xlfn.XLOOKUP(FMS_Ranking4[[#This Row],[FMS ID]],FMS_Input[FMS_ID],FMS_Input[CRITFAC100])</f>
        <v>2</v>
      </c>
      <c r="V539" s="259">
        <f>(ASINH(FMS_Ranking4[[#This Row],[Critical Facilities Raw]]))*(10)/(ASINH(U$4))</f>
        <v>1.7089239049208753</v>
      </c>
      <c r="W539" s="256">
        <f>FMS_Ranking4[[#This Row],[Critical facilities at risk, ArcSinh (0-10)]]*U$5*10</f>
        <v>1.7089239049208755</v>
      </c>
      <c r="X539" s="253">
        <f>_xlfn.XLOOKUP(FMS_Ranking4[[#This Row],[FMS ID]],FMS_Input[FMS_ID],FMS_Input[LWC])</f>
        <v>0</v>
      </c>
      <c r="Y539" s="259">
        <f>(ASINH(FMS_Ranking4[[#This Row],[LWC Raw]]))*(10)/(ASINH(X$4))</f>
        <v>0</v>
      </c>
      <c r="Z539" s="256">
        <f>FMS_Ranking4[[#This Row],[LWC, ArcSInh (0-10)]]*X$5*10</f>
        <v>0</v>
      </c>
      <c r="AA539" s="253">
        <f>_xlfn.XLOOKUP(FMS_Ranking4[[#This Row],[FMS ID]],FMS_Input[FMS_ID],FMS_Input[ROADCLS])</f>
        <v>0</v>
      </c>
      <c r="AB539" s="255">
        <f>(ASINH(FMS_Ranking4[[#This Row],[Road Closures Raw]]))*(10)/(ASINH(AA$4))</f>
        <v>0</v>
      </c>
      <c r="AC539" s="256">
        <f>FMS_Ranking4[[#This Row],[Road closures, ArcSinh (0-10)]]*AA$5*10</f>
        <v>0</v>
      </c>
      <c r="AD539" s="253">
        <f>_xlfn.XLOOKUP(FMS_Ranking4[[#This Row],[FMS ID]],FMS_Input[FMS_ID],FMS_Input[ROAD_MILES100])</f>
        <v>63</v>
      </c>
      <c r="AE539" s="259">
        <f>(ASINH(FMS_Ranking4[[#This Row],[Road Miles Raw]]))*(10)/(ASINH(AD$4))</f>
        <v>5.1542130561176043</v>
      </c>
      <c r="AF539" s="256">
        <f>FMS_Ranking4[[#This Row],[Length of roads at risk, ArcSinh (0-10)]]*AD$5*10</f>
        <v>5.1542130561176052</v>
      </c>
      <c r="AG539" s="253">
        <f>_xlfn.XLOOKUP(FMS_Ranking4[[#This Row],[FMS ID]],FMS_Input[FMS_ID],FMS_Input[FARMACRE100])</f>
        <v>306.83221435546881</v>
      </c>
      <c r="AH539" s="255">
        <f>(ASINH(FMS_Ranking4[[#This Row],[Ag Land Raw]]))*(10)/(ASINH(AG$4))</f>
        <v>4.1699563485600271</v>
      </c>
      <c r="AI539" s="260">
        <f>FMS_Ranking4[[#This Row],[Farm &amp; ranch land, ArcSinh (0-10)]]*AG$5*10</f>
        <v>2.0849781742800135</v>
      </c>
      <c r="AJ539" s="258">
        <f>_xlfn.XLOOKUP(FMS_Ranking4[[#This Row],[FMS ID]],FMS_Input[FMS_ID],FMS_Input[REDSTRUCT100])</f>
        <v>0</v>
      </c>
      <c r="AK539" s="253">
        <f>_xlfn.XLOOKUP(FMS_Ranking4[[#This Row],[FMS ID]],FMS_Input[FMS_ID],FMS_Input[REMSTRC100])</f>
        <v>0</v>
      </c>
      <c r="AL539" s="259">
        <f>(ASINH(FMS_Ranking4[[#This Row],[Structures Removed Raw]]))*(10)/(ASINH(AK$4))</f>
        <v>0</v>
      </c>
      <c r="AM539" s="262">
        <f>FMS_Ranking4[[#This Row],[Structures removed, ArcSinh (0-10)]]*AK$5*10</f>
        <v>0</v>
      </c>
      <c r="AN539" s="253">
        <f>_xlfn.XLOOKUP(FMS_Ranking4[[#This Row],[FMS ID]],FMS_Input[FMS_ID],FMS_Input[REMRESSTRC100])</f>
        <v>0</v>
      </c>
      <c r="AO539" s="261">
        <f>FMS_Ranking4[[#This Row],[ArcSinh Res struct removed 0-10]]*AN$5*10</f>
        <v>0</v>
      </c>
      <c r="AP539" s="260">
        <f>ASINH(FMS_Ranking4[[#This Row],[Residential Structures Removed Raw]])/AP$4*AN$5*100</f>
        <v>0</v>
      </c>
      <c r="AQ539" s="254">
        <f>(ASINH(FMS_Ranking4[[#This Row],[Residential Structures Removed Raw]]))*(10)/(ASINH(AN$4))</f>
        <v>0</v>
      </c>
      <c r="AR539" s="253">
        <f>_xlfn.XLOOKUP(FMS_Ranking4[[#This Row],[FMS ID]],FMS_Input[FMS_ID],FMS_Input[REMPOP100])</f>
        <v>0</v>
      </c>
      <c r="AS539" s="259">
        <f>(ASINH(FMS_Ranking4[[#This Row],[Removed Pop Raw]]))*(10)/(ASINH(AR$4))</f>
        <v>0</v>
      </c>
      <c r="AT539" s="262">
        <f>FMS_Ranking4[[#This Row],[Removed population, ArcSinh (0-10)]]*AR$5*10</f>
        <v>0</v>
      </c>
      <c r="AU539" s="264">
        <f>_xlfn.XLOOKUP(FMS_Ranking4[[#This Row],[FMS ID]],FMS_Input[FMS_ID],FMS_Input[REMCRITFAC100])</f>
        <v>0</v>
      </c>
      <c r="AV539" s="264">
        <f>_xlfn.XLOOKUP(FMS_Ranking4[[#This Row],[FMS ID]],FMS_Input[FMS_ID],FMS_Input[REMLWC100])</f>
        <v>0</v>
      </c>
      <c r="AW539" s="264">
        <f>_xlfn.XLOOKUP(FMS_Ranking4[[#This Row],[FMS ID]],FMS_Input[FMS_ID],FMS_Input[REMROADCLS])</f>
        <v>0</v>
      </c>
      <c r="AX539" s="264">
        <f>_xlfn.XLOOKUP(FMS_Ranking4[[#This Row],[FMS ID]],FMS_Input[FMS_ID],FMS_Input[REMFRMACRE100])</f>
        <v>0</v>
      </c>
      <c r="AY539" s="258">
        <f>_xlfn.XLOOKUP(FMS_Ranking4[[#This Row],[FMS ID]],FMS_Input[FMS_ID],FMS_Input[COSTSTRUCT])</f>
        <v>0</v>
      </c>
      <c r="AZ539" s="253">
        <f>_xlfn.XLOOKUP(FMS_Ranking4[[#This Row],[FMS ID]],FMS_Input[FMS_ID],FMS_Input[NATURE])</f>
        <v>0</v>
      </c>
      <c r="BA539" s="262">
        <f>(((FMS_Ranking4[[#This Row],[% NBS Raw]]/AZ$4)*100)*AZ$5)</f>
        <v>0</v>
      </c>
      <c r="BB539" s="251" t="str">
        <f>_xlfn.XLOOKUP(FMS_Ranking4[[#This Row],[FMS ID]],FMS_Input[FMS_ID],FMS_Input[WATER_SUP])</f>
        <v>No</v>
      </c>
      <c r="BC539" s="265">
        <f>IF(FMS_Ranking4[[#This Row],[Water Supply Raw]]="Yes",10,0)</f>
        <v>0</v>
      </c>
      <c r="BD539" s="266">
        <f>_xlfn.XLOOKUP(FMS_Ranking4[[#This Row],[FMS Type]],FMS_TYPE[FMS_Type],FMS_TYPE[Score])</f>
        <v>8</v>
      </c>
      <c r="BE539" s="267">
        <f>FMS_Ranking4[[#This Row],[FMS_Type Score]]*$BD$5*10</f>
        <v>2</v>
      </c>
      <c r="BF53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0.11865421924275481</v>
      </c>
      <c r="BG539" s="271">
        <f>_xlfn.RANK.EQ(BF539,$BF$8:$BF$870,0)+COUNTIF($BF$8:BF539,BF539)-1</f>
        <v>462</v>
      </c>
      <c r="BH539" s="268">
        <f>(((FMS_Ranking4[[#This Row],[Structures Removed Raw]]/AK$4)*100)*AK$5)+(((FMS_Ranking4[[#This Row],[Removed Pop Raw]]/AR$4)*100)*AR$5)</f>
        <v>0</v>
      </c>
      <c r="BI53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2.1186542192427549</v>
      </c>
      <c r="BJ539" s="205">
        <f>_xlfn.RANK.EQ(FMS_Ranking4[[#This Row],[Total Score 
(with linear
normalization)]],FMS_Ranking4[Total Score 
(with linear
normalization)],0)</f>
        <v>357</v>
      </c>
      <c r="BK539" s="205" t="e">
        <f>_xlfn.XLOOKUP(FMS_Ranking4[[#This Row],[FMS ID]],#REF!,#REF!)</f>
        <v>#REF!</v>
      </c>
      <c r="BL53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15.39349723120892</v>
      </c>
      <c r="BM539" s="272">
        <f>FMS_Ranking4[[#This Row],[ArcSinh Score Based on Normalized Reported Factors]]+FMS_Ranking4[[#This Row],[% NBS Score (Normalized)]]+(FMS_Ranking4[[#This Row],[Water Supply Score (Normalized)]]*10*$BB$5)+FMS_Ranking4[[#This Row],[FMS_Type Score Weighted]]</f>
        <v>17.393497231208919</v>
      </c>
      <c r="BN539" s="205">
        <f>_xlfn.RANK.EQ(FMS_Ranking4[[#This Row],[Total Score (with ArcSinh normalization of select criteria)]],FMS_Ranking4[Total Score (with ArcSinh normalization of select criteria)],0)</f>
        <v>532</v>
      </c>
      <c r="BO539" s="270" t="str">
        <f>_xlfn.XLOOKUP(FMS_Ranking4[[#This Row],[FMS ID]],FMS_Input[FMS_ID],FMS_Input[FMS_RANK_YEAR])</f>
        <v>2025 Amended Plan</v>
      </c>
      <c r="BP539" s="204" t="e">
        <f>_xlfn.XLOOKUP(FMS_Ranking4[[#This Row],[FMS ID]],Prev_Rank[FMS ID],Prev_Rank[Prev Rank])</f>
        <v>#N/A</v>
      </c>
      <c r="BQ539" s="205" t="e">
        <f>_xlfn.XLOOKUP(FMS_Ranking4[[#This Row],[FMS ID]],#REF!,#REF!)</f>
        <v>#REF!</v>
      </c>
      <c r="BR539" s="199" t="e">
        <f>SUM(#REF!,#REF!,#REF!,#REF!,#REF!,#REF!,#REF!,#REF!,#REF!,FMS_Ranking4[[#This Row],[ArcSinh Res struct removed 0-10]],#REF!)</f>
        <v>#REF!</v>
      </c>
      <c r="BS539" s="199" t="e">
        <f>FMS_Ranking4[[#This Row],[Log Score Based on Normalized Reported Factors]]+FMS_Ranking4[[#This Row],[% NBS Score (Normalized)]]+(FMS_Ranking4[[#This Row],[Water Supply Score (Normalized)]]*10*$BB$5)+(FMS_Ranking4[[#This Row],[FMS_Type Score Weighted]])</f>
        <v>#REF!</v>
      </c>
      <c r="BT539" s="200" t="e">
        <f>_xlfn.RANK.EQ(FMS_Ranking4[[#This Row],[Log Total Score]],FMS_Ranking4[Log Total Score],0)</f>
        <v>#REF!</v>
      </c>
      <c r="BU539" s="200" t="e">
        <f>_xlfn.XLOOKUP(FMS_Ranking4[[#This Row],[FMS ID]],#REF!,#REF!)</f>
        <v>#REF!</v>
      </c>
      <c r="BV539" s="200">
        <f>FMS_Ranking4[[#This Row],[Region Number]]</f>
        <v>15</v>
      </c>
      <c r="BW539" s="200">
        <f>FMS_Ranking4[[#This Row],[Rank (with ArcSinh normalization of select criteria)]]-FMS_Ranking4[[#This Row],[Rank
(with linear
normalization)]]</f>
        <v>175</v>
      </c>
      <c r="BX539" s="200" t="e">
        <f>FMS_Ranking4[[#This Row],[Log Rank]]-FMS_Ranking4[[#This Row],[Rank
(with linear
normalization)]]</f>
        <v>#REF!</v>
      </c>
      <c r="BY539" s="200" t="str">
        <f>IF(FMS_Ranking4[[#This Row],[FMS Type]]="Flood Measurement and Warning",FMS_Ranking4[[#This Row],[Rank (with ArcSinh normalization of select criteria)]],"")</f>
        <v/>
      </c>
      <c r="BZ539" s="200">
        <f>IF(FMS_Ranking4[[#This Row],[FMS Type]]="Regulatory and Guidance",FMS_Ranking4[[#This Row],[Rank (with ArcSinh normalization of select criteria)]],"")</f>
        <v>532</v>
      </c>
      <c r="CA539" s="200" t="str">
        <f>IF(FMS_Ranking4[[#This Row],[FMS Type]]="Education and Outreach",FMS_Ranking4[[#This Row],[Rank (with ArcSinh normalization of select criteria)]],"")</f>
        <v/>
      </c>
      <c r="CB539" s="200" t="str">
        <f>IF(FMS_Ranking4[[#This Row],[FMS Type]]="Property Acquisition and Structural Elevation",FMS_Ranking4[[#This Row],[Rank (with ArcSinh normalization of select criteria)]],"")</f>
        <v/>
      </c>
      <c r="CC539" s="200" t="str">
        <f>IF(FMS_Ranking4[[#This Row],[FMS Type]]="Infrastructure Projects",FMS_Ranking4[[#This Row],[Rank (with ArcSinh normalization of select criteria)]],"")</f>
        <v/>
      </c>
      <c r="CD539" s="200" t="str">
        <f>IF(FMS_Ranking4[[#This Row],[FMS Type]]="Other",FMS_Ranking4[[#This Row],[Rank (with ArcSinh normalization of select criteria)]],"")</f>
        <v/>
      </c>
      <c r="CE539" s="201"/>
      <c r="CF539" s="206"/>
      <c r="CG539" s="206"/>
      <c r="CH539" s="206"/>
      <c r="CI539" s="206"/>
      <c r="CJ539" s="206"/>
      <c r="CK539" s="206"/>
      <c r="CL539" s="206"/>
      <c r="CM539" s="206"/>
      <c r="CN539" s="206"/>
      <c r="CO539" s="206"/>
      <c r="CP539" s="206"/>
      <c r="CQ539" s="206"/>
      <c r="CR539" s="206"/>
    </row>
    <row r="540" spans="2:96" ht="75" x14ac:dyDescent="0.25">
      <c r="B540" s="341" t="s">
        <v>1936</v>
      </c>
      <c r="C540" s="246">
        <f>_xlfn.XLOOKUP(FMS_Ranking4[[#This Row],[FMS ID]],FMS_Input[FMS_ID],FMS_Input[RFPG_NUM])</f>
        <v>3</v>
      </c>
      <c r="D540" s="309" t="str">
        <f>_xlfn.XLOOKUP(FMS_Ranking4[[#This Row],[FMS ID]],FMS_Input[FMS_ID],FMS_Input[FMS_NAME])</f>
        <v xml:space="preserve">Walker County Floodplain Regulatory Awareness Public Information Campaign </v>
      </c>
      <c r="E540" s="308" t="str">
        <f>_xlfn.XLOOKUP(FMS_Ranking4[[#This Row],[FMS ID]],FMS_Input[FMS_ID],FMS_Input[SPONSOR])</f>
        <v>Walker County</v>
      </c>
      <c r="F540" s="309" t="str">
        <f>_xlfn.XLOOKUP(FMS_Ranking4[[#This Row],[FMS ID]],Sponsor[FMS_ID],Sponsor[SPONSOR NAME])</f>
        <v>Walker County</v>
      </c>
      <c r="G540" s="309" t="str">
        <f>_xlfn.XLOOKUP(FMS_Ranking4[[#This Row],[FMS ID]],FMS_Input[FMS_ID],FMS_Input[FMS_DESCR])</f>
        <v>Rewrite, improve, and implement new local floodplain regulations, to include a public information campaign on regulatory awareness</v>
      </c>
      <c r="H540" s="248" t="str">
        <f>_xlfn.XLOOKUP(FMS_Ranking4[[#This Row],[FMS ID]],FMS_Input[FMS_ID],FMS_Input[FMS_TYPE])</f>
        <v>Education and Outreach</v>
      </c>
      <c r="I540" s="249">
        <f>_xlfn.XLOOKUP(FMS_Ranking4[[#This Row],[FMS ID]],FMS_Input[FMS_ID],FMS_Input[NRNC_COST])</f>
        <v>50000</v>
      </c>
      <c r="J540" s="250">
        <f>_xlfn.XLOOKUP(FMS_Ranking4[[#This Row],[FMS ID]],FMS_Input[FMS_ID],FMS_Input[FMS_COST])</f>
        <v>50000</v>
      </c>
      <c r="K540" s="251" t="str">
        <f>_xlfn.XLOOKUP(FMS_Ranking4[[#This Row],[FMS ID]],FMS_Input[FMS_ID],FMS_Input[EMER_NEED])</f>
        <v>No</v>
      </c>
      <c r="L540" s="252">
        <f t="shared" si="8"/>
        <v>0</v>
      </c>
      <c r="M540" s="253">
        <f>_xlfn.XLOOKUP(FMS_Ranking4[[#This Row],[FMS ID]],FMS_Input[FMS_ID],FMS_Input[STRUCT_100])</f>
        <v>19</v>
      </c>
      <c r="N540" s="255">
        <f>(ASINH(FMS_Ranking4[[#This Row],[Structure at Risk Raw]]))*(10)/(ASINH(M$4))</f>
        <v>2.8602281944380721</v>
      </c>
      <c r="O540" s="256">
        <f>FMS_Ranking4[[#This Row],[Structures at risk, ArcSinh (0-10)]]*M$5*10</f>
        <v>2.8602281944380721</v>
      </c>
      <c r="P540" s="253">
        <f>_xlfn.XLOOKUP(FMS_Ranking4[[#This Row],[FMS ID]],FMS_Input[FMS_ID],FMS_Input[RES_STRUCT100])</f>
        <v>18</v>
      </c>
      <c r="Q540" s="257">
        <f>ASINH(FMS_Ranking4[[#This Row],[Res Structure Raw]])/Q$4*P$5*100</f>
        <v>0</v>
      </c>
      <c r="R540" s="253">
        <f>_xlfn.XLOOKUP(FMS_Ranking4[[#This Row],[FMS ID]],FMS_Input[FMS_ID],FMS_Input[POP100])</f>
        <v>23</v>
      </c>
      <c r="S540" s="259">
        <f>(ASINH(FMS_Ranking4[[#This Row],[Pop at Risk Raw]]))*(10)/(ASINH(R$4))</f>
        <v>2.6434600767891396</v>
      </c>
      <c r="T540" s="256">
        <f>FMS_Ranking4[[#This Row],[Population at risk, ArcSinh (0-10)]]*R$5*10</f>
        <v>2.6434600767891396</v>
      </c>
      <c r="U540" s="253">
        <f>_xlfn.XLOOKUP(FMS_Ranking4[[#This Row],[FMS ID]],FMS_Input[FMS_ID],FMS_Input[CRITFAC100])</f>
        <v>2</v>
      </c>
      <c r="V540" s="259">
        <f>(ASINH(FMS_Ranking4[[#This Row],[Critical Facilities Raw]]))*(10)/(ASINH(U$4))</f>
        <v>1.7089239049208753</v>
      </c>
      <c r="W540" s="256">
        <f>FMS_Ranking4[[#This Row],[Critical facilities at risk, ArcSinh (0-10)]]*U$5*10</f>
        <v>1.7089239049208755</v>
      </c>
      <c r="X540" s="253">
        <f>_xlfn.XLOOKUP(FMS_Ranking4[[#This Row],[FMS ID]],FMS_Input[FMS_ID],FMS_Input[LWC])</f>
        <v>0</v>
      </c>
      <c r="Y540" s="259">
        <f>(ASINH(FMS_Ranking4[[#This Row],[LWC Raw]]))*(10)/(ASINH(X$4))</f>
        <v>0</v>
      </c>
      <c r="Z540" s="256">
        <f>FMS_Ranking4[[#This Row],[LWC, ArcSInh (0-10)]]*X$5*10</f>
        <v>0</v>
      </c>
      <c r="AA540" s="253">
        <f>_xlfn.XLOOKUP(FMS_Ranking4[[#This Row],[FMS ID]],FMS_Input[FMS_ID],FMS_Input[ROADCLS])</f>
        <v>0</v>
      </c>
      <c r="AB540" s="255">
        <f>(ASINH(FMS_Ranking4[[#This Row],[Road Closures Raw]]))*(10)/(ASINH(AA$4))</f>
        <v>0</v>
      </c>
      <c r="AC540" s="256">
        <f>FMS_Ranking4[[#This Row],[Road closures, ArcSinh (0-10)]]*AA$5*10</f>
        <v>0</v>
      </c>
      <c r="AD540" s="253">
        <f>_xlfn.XLOOKUP(FMS_Ranking4[[#This Row],[FMS ID]],FMS_Input[FMS_ID],FMS_Input[ROAD_MILES100])</f>
        <v>59</v>
      </c>
      <c r="AE540" s="259">
        <f>(ASINH(FMS_Ranking4[[#This Row],[Road Miles Raw]]))*(10)/(ASINH(AD$4))</f>
        <v>5.0843138091420288</v>
      </c>
      <c r="AF540" s="256">
        <f>FMS_Ranking4[[#This Row],[Length of roads at risk, ArcSinh (0-10)]]*AD$5*10</f>
        <v>5.0843138091420297</v>
      </c>
      <c r="AG540" s="253">
        <f>_xlfn.XLOOKUP(FMS_Ranking4[[#This Row],[FMS ID]],FMS_Input[FMS_ID],FMS_Input[FARMACRE100])</f>
        <v>24327.890625</v>
      </c>
      <c r="AH540" s="255">
        <f>(ASINH(FMS_Ranking4[[#This Row],[Ag Land Raw]]))*(10)/(ASINH(AG$4))</f>
        <v>7.0106248411536054</v>
      </c>
      <c r="AI540" s="260">
        <f>FMS_Ranking4[[#This Row],[Farm &amp; ranch land, ArcSinh (0-10)]]*AG$5*10</f>
        <v>3.5053124205768027</v>
      </c>
      <c r="AJ540" s="258">
        <f>_xlfn.XLOOKUP(FMS_Ranking4[[#This Row],[FMS ID]],FMS_Input[FMS_ID],FMS_Input[REDSTRUCT100])</f>
        <v>0</v>
      </c>
      <c r="AK540" s="253">
        <f>_xlfn.XLOOKUP(FMS_Ranking4[[#This Row],[FMS ID]],FMS_Input[FMS_ID],FMS_Input[REMSTRC100])</f>
        <v>0</v>
      </c>
      <c r="AL540" s="259">
        <f>(ASINH(FMS_Ranking4[[#This Row],[Structures Removed Raw]]))*(10)/(ASINH(AK$4))</f>
        <v>0</v>
      </c>
      <c r="AM540" s="262">
        <f>FMS_Ranking4[[#This Row],[Structures removed, ArcSinh (0-10)]]*AK$5*10</f>
        <v>0</v>
      </c>
      <c r="AN540" s="253">
        <f>_xlfn.XLOOKUP(FMS_Ranking4[[#This Row],[FMS ID]],FMS_Input[FMS_ID],FMS_Input[REMRESSTRC100])</f>
        <v>0</v>
      </c>
      <c r="AO540" s="261">
        <f>FMS_Ranking4[[#This Row],[ArcSinh Res struct removed 0-10]]*AN$5*10</f>
        <v>0</v>
      </c>
      <c r="AP540" s="261">
        <f>ASINH(FMS_Ranking4[[#This Row],[Residential Structures Removed Raw]])/AP$4*AN$5*100</f>
        <v>0</v>
      </c>
      <c r="AQ540" s="254">
        <f>(ASINH(FMS_Ranking4[[#This Row],[Residential Structures Removed Raw]]))*(10)/(ASINH(AN$4))</f>
        <v>0</v>
      </c>
      <c r="AR540" s="253">
        <f>_xlfn.XLOOKUP(FMS_Ranking4[[#This Row],[FMS ID]],FMS_Input[FMS_ID],FMS_Input[REMPOP100])</f>
        <v>0</v>
      </c>
      <c r="AS540" s="259">
        <f>(ASINH(FMS_Ranking4[[#This Row],[Removed Pop Raw]]))*(10)/(ASINH(AR$4))</f>
        <v>0</v>
      </c>
      <c r="AT540" s="262">
        <f>FMS_Ranking4[[#This Row],[Removed population, ArcSinh (0-10)]]*AR$5*10</f>
        <v>0</v>
      </c>
      <c r="AU540" s="264">
        <f>_xlfn.XLOOKUP(FMS_Ranking4[[#This Row],[FMS ID]],FMS_Input[FMS_ID],FMS_Input[REMCRITFAC100])</f>
        <v>0</v>
      </c>
      <c r="AV540" s="264">
        <f>_xlfn.XLOOKUP(FMS_Ranking4[[#This Row],[FMS ID]],FMS_Input[FMS_ID],FMS_Input[REMLWC100])</f>
        <v>0</v>
      </c>
      <c r="AW540" s="264">
        <f>_xlfn.XLOOKUP(FMS_Ranking4[[#This Row],[FMS ID]],FMS_Input[FMS_ID],FMS_Input[REMROADCLS])</f>
        <v>0</v>
      </c>
      <c r="AX540" s="264">
        <f>_xlfn.XLOOKUP(FMS_Ranking4[[#This Row],[FMS ID]],FMS_Input[FMS_ID],FMS_Input[REMFRMACRE100])</f>
        <v>0</v>
      </c>
      <c r="AY540" s="258">
        <f>_xlfn.XLOOKUP(FMS_Ranking4[[#This Row],[FMS ID]],FMS_Input[FMS_ID],FMS_Input[COSTSTRUCT])</f>
        <v>0</v>
      </c>
      <c r="AZ540" s="253">
        <f>_xlfn.XLOOKUP(FMS_Ranking4[[#This Row],[FMS ID]],FMS_Input[FMS_ID],FMS_Input[NATURE])</f>
        <v>0</v>
      </c>
      <c r="BA540" s="262">
        <f>(((FMS_Ranking4[[#This Row],[% NBS Raw]]/AZ$4)*100)*AZ$5)</f>
        <v>0</v>
      </c>
      <c r="BB540" s="251" t="str">
        <f>_xlfn.XLOOKUP(FMS_Ranking4[[#This Row],[FMS ID]],FMS_Input[FMS_ID],FMS_Input[WATER_SUP])</f>
        <v>No</v>
      </c>
      <c r="BC540" s="265">
        <f>IF(FMS_Ranking4[[#This Row],[Water Supply Raw]]="Yes",10,0)</f>
        <v>0</v>
      </c>
      <c r="BD540" s="266">
        <f>_xlfn.XLOOKUP(FMS_Ranking4[[#This Row],[FMS Type]],FMS_TYPE[FMS_Type],FMS_TYPE[Score])</f>
        <v>6</v>
      </c>
      <c r="BE540" s="267">
        <f>FMS_Ranking4[[#This Row],[FMS_Type Score]]*$BD$5*10</f>
        <v>1.5000000000000002</v>
      </c>
      <c r="BF54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0.1593664040548429</v>
      </c>
      <c r="BG540" s="269">
        <f>_xlfn.RANK.EQ(BF540,$BF$8:$BF$870,0)+COUNTIF($BF$8:BF540,BF540)-1</f>
        <v>399</v>
      </c>
      <c r="BH540" s="268">
        <f>(((FMS_Ranking4[[#This Row],[Structures Removed Raw]]/AK$4)*100)*AK$5)+(((FMS_Ranking4[[#This Row],[Removed Pop Raw]]/AR$4)*100)*AR$5)</f>
        <v>0</v>
      </c>
      <c r="BI54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1.659366404054843</v>
      </c>
      <c r="BJ540" s="204">
        <f>_xlfn.RANK.EQ(FMS_Ranking4[[#This Row],[Total Score 
(with linear
normalization)]],FMS_Ranking4[Total Score 
(with linear
normalization)],0)</f>
        <v>557</v>
      </c>
      <c r="BK540" s="204" t="e">
        <f>_xlfn.XLOOKUP(FMS_Ranking4[[#This Row],[FMS ID]],#REF!,#REF!)</f>
        <v>#REF!</v>
      </c>
      <c r="BL540"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15.80223840586692</v>
      </c>
      <c r="BM540" s="270">
        <f>FMS_Ranking4[[#This Row],[ArcSinh Score Based on Normalized Reported Factors]]+FMS_Ranking4[[#This Row],[% NBS Score (Normalized)]]+(FMS_Ranking4[[#This Row],[Water Supply Score (Normalized)]]*10*$BB$5)+FMS_Ranking4[[#This Row],[FMS_Type Score Weighted]]</f>
        <v>17.30223840586692</v>
      </c>
      <c r="BN540" s="204">
        <f>_xlfn.RANK.EQ(FMS_Ranking4[[#This Row],[Total Score (with ArcSinh normalization of select criteria)]],FMS_Ranking4[Total Score (with ArcSinh normalization of select criteria)],0)</f>
        <v>533</v>
      </c>
      <c r="BO540" s="270" t="str">
        <f>_xlfn.XLOOKUP(FMS_Ranking4[[#This Row],[FMS ID]],FMS_Input[FMS_ID],FMS_Input[FMS_RANK_YEAR])</f>
        <v>2023 Amended Plan</v>
      </c>
      <c r="BP540" s="204">
        <f>_xlfn.XLOOKUP(FMS_Ranking4[[#This Row],[FMS ID]],Prev_Rank[FMS ID],Prev_Rank[Prev Rank])</f>
        <v>472</v>
      </c>
      <c r="BQ540" s="204" t="e">
        <f>_xlfn.XLOOKUP(FMS_Ranking4[[#This Row],[FMS ID]],#REF!,#REF!)</f>
        <v>#REF!</v>
      </c>
      <c r="BR540" s="199" t="e">
        <f>SUM(#REF!,#REF!,#REF!,#REF!,#REF!,#REF!,#REF!,#REF!,#REF!,FMS_Ranking4[[#This Row],[ArcSinh Res struct removed 0-10]],#REF!)</f>
        <v>#REF!</v>
      </c>
      <c r="BS540" s="199" t="e">
        <f>FMS_Ranking4[[#This Row],[Log Score Based on Normalized Reported Factors]]+FMS_Ranking4[[#This Row],[% NBS Score (Normalized)]]+(FMS_Ranking4[[#This Row],[Water Supply Score (Normalized)]]*10*$BB$5)+(FMS_Ranking4[[#This Row],[FMS_Type Score Weighted]])</f>
        <v>#REF!</v>
      </c>
      <c r="BT540" s="200" t="e">
        <f>_xlfn.RANK.EQ(FMS_Ranking4[[#This Row],[Log Total Score]],FMS_Ranking4[Log Total Score],0)</f>
        <v>#REF!</v>
      </c>
      <c r="BU540" s="200" t="e">
        <f>_xlfn.XLOOKUP(FMS_Ranking4[[#This Row],[FMS ID]],#REF!,#REF!)</f>
        <v>#REF!</v>
      </c>
      <c r="BV540" s="200">
        <f>FMS_Ranking4[[#This Row],[Region Number]]</f>
        <v>3</v>
      </c>
      <c r="BW540" s="200">
        <f>FMS_Ranking4[[#This Row],[Rank (with ArcSinh normalization of select criteria)]]-FMS_Ranking4[[#This Row],[Rank
(with linear
normalization)]]</f>
        <v>-24</v>
      </c>
      <c r="BX540" s="200" t="e">
        <f>FMS_Ranking4[[#This Row],[Log Rank]]-FMS_Ranking4[[#This Row],[Rank
(with linear
normalization)]]</f>
        <v>#REF!</v>
      </c>
      <c r="BY540" s="200" t="str">
        <f>IF(FMS_Ranking4[[#This Row],[FMS Type]]="Flood Measurement and Warning",FMS_Ranking4[[#This Row],[Rank (with ArcSinh normalization of select criteria)]],"")</f>
        <v/>
      </c>
      <c r="BZ540" s="200" t="str">
        <f>IF(FMS_Ranking4[[#This Row],[FMS Type]]="Regulatory and Guidance",FMS_Ranking4[[#This Row],[Rank (with ArcSinh normalization of select criteria)]],"")</f>
        <v/>
      </c>
      <c r="CA540" s="200">
        <f>IF(FMS_Ranking4[[#This Row],[FMS Type]]="Education and Outreach",FMS_Ranking4[[#This Row],[Rank (with ArcSinh normalization of select criteria)]],"")</f>
        <v>533</v>
      </c>
      <c r="CB540" s="200" t="str">
        <f>IF(FMS_Ranking4[[#This Row],[FMS Type]]="Property Acquisition and Structural Elevation",FMS_Ranking4[[#This Row],[Rank (with ArcSinh normalization of select criteria)]],"")</f>
        <v/>
      </c>
      <c r="CC540" s="200" t="str">
        <f>IF(FMS_Ranking4[[#This Row],[FMS Type]]="Infrastructure Projects",FMS_Ranking4[[#This Row],[Rank (with ArcSinh normalization of select criteria)]],"")</f>
        <v/>
      </c>
      <c r="CD540" s="200" t="str">
        <f>IF(FMS_Ranking4[[#This Row],[FMS Type]]="Other",FMS_Ranking4[[#This Row],[Rank (with ArcSinh normalization of select criteria)]],"")</f>
        <v/>
      </c>
      <c r="CE540" s="201"/>
      <c r="CF540" s="206"/>
      <c r="CG540" s="206"/>
      <c r="CH540" s="206"/>
      <c r="CI540" s="206"/>
      <c r="CJ540" s="206"/>
      <c r="CK540" s="206"/>
      <c r="CL540" s="206"/>
      <c r="CM540" s="206"/>
      <c r="CN540" s="206"/>
      <c r="CO540" s="206"/>
      <c r="CP540" s="206"/>
      <c r="CQ540" s="206"/>
      <c r="CR540" s="206"/>
    </row>
    <row r="541" spans="2:96" ht="45" x14ac:dyDescent="0.25">
      <c r="B541" s="341" t="s">
        <v>3554</v>
      </c>
      <c r="C541" s="246">
        <f>_xlfn.XLOOKUP(FMS_Ranking4[[#This Row],[FMS ID]],FMS_Input[FMS_ID],FMS_Input[RFPG_NUM])</f>
        <v>12</v>
      </c>
      <c r="D541" s="309" t="str">
        <f>_xlfn.XLOOKUP(FMS_Ranking4[[#This Row],[FMS ID]],FMS_Input[FMS_ID],FMS_Input[FMS_NAME])</f>
        <v>Updating floodplain ordinances and development code</v>
      </c>
      <c r="E541" s="308" t="str">
        <f>_xlfn.XLOOKUP(FMS_Ranking4[[#This Row],[FMS ID]],FMS_Input[FMS_ID],FMS_Input[SPONSOR])</f>
        <v>12003180</v>
      </c>
      <c r="F541" s="309" t="str">
        <f>_xlfn.XLOOKUP(FMS_Ranking4[[#This Row],[FMS ID]],Sponsor[FMS_ID],Sponsor[SPONSOR NAME])</f>
        <v>La Vernia</v>
      </c>
      <c r="G541" s="309" t="str">
        <f>_xlfn.XLOOKUP(FMS_Ranking4[[#This Row],[FMS ID]],FMS_Input[FMS_ID],FMS_Input[FMS_DESCR])</f>
        <v>Updating floodplain ordinances and development code</v>
      </c>
      <c r="H541" s="248" t="str">
        <f>_xlfn.XLOOKUP(FMS_Ranking4[[#This Row],[FMS ID]],FMS_Input[FMS_ID],FMS_Input[FMS_TYPE])</f>
        <v>Regulatory and Guidance</v>
      </c>
      <c r="I541" s="249">
        <f>_xlfn.XLOOKUP(FMS_Ranking4[[#This Row],[FMS ID]],FMS_Input[FMS_ID],FMS_Input[NRNC_COST])</f>
        <v>50000</v>
      </c>
      <c r="J541" s="250">
        <f>_xlfn.XLOOKUP(FMS_Ranking4[[#This Row],[FMS ID]],FMS_Input[FMS_ID],FMS_Input[FMS_COST])</f>
        <v>50000</v>
      </c>
      <c r="K541" s="251" t="str">
        <f>_xlfn.XLOOKUP(FMS_Ranking4[[#This Row],[FMS ID]],FMS_Input[FMS_ID],FMS_Input[EMER_NEED])</f>
        <v>No</v>
      </c>
      <c r="L541" s="252">
        <f t="shared" si="8"/>
        <v>0</v>
      </c>
      <c r="M541" s="253">
        <f>_xlfn.XLOOKUP(FMS_Ranking4[[#This Row],[FMS ID]],FMS_Input[FMS_ID],FMS_Input[STRUCT_100])</f>
        <v>153</v>
      </c>
      <c r="N541" s="255">
        <f>(ASINH(FMS_Ranking4[[#This Row],[Structure at Risk Raw]]))*(10)/(ASINH(M$4))</f>
        <v>4.4995984907083697</v>
      </c>
      <c r="O541" s="256">
        <f>FMS_Ranking4[[#This Row],[Structures at risk, ArcSinh (0-10)]]*M$5*10</f>
        <v>4.4995984907083697</v>
      </c>
      <c r="P541" s="253">
        <f>_xlfn.XLOOKUP(FMS_Ranking4[[#This Row],[FMS ID]],FMS_Input[FMS_ID],FMS_Input[RES_STRUCT100])</f>
        <v>101</v>
      </c>
      <c r="Q541" s="257">
        <f>ASINH(FMS_Ranking4[[#This Row],[Res Structure Raw]])/Q$4*P$5*100</f>
        <v>0</v>
      </c>
      <c r="R541" s="253">
        <f>_xlfn.XLOOKUP(FMS_Ranking4[[#This Row],[FMS ID]],FMS_Input[FMS_ID],FMS_Input[POP100])</f>
        <v>568</v>
      </c>
      <c r="S541" s="259">
        <f>(ASINH(FMS_Ranking4[[#This Row],[Pop at Risk Raw]]))*(10)/(ASINH(R$4))</f>
        <v>4.856856027822344</v>
      </c>
      <c r="T541" s="256">
        <f>FMS_Ranking4[[#This Row],[Population at risk, ArcSinh (0-10)]]*R$5*10</f>
        <v>4.856856027822344</v>
      </c>
      <c r="U541" s="253">
        <f>_xlfn.XLOOKUP(FMS_Ranking4[[#This Row],[FMS ID]],FMS_Input[FMS_ID],FMS_Input[CRITFAC100])</f>
        <v>0</v>
      </c>
      <c r="V541" s="259">
        <f>(ASINH(FMS_Ranking4[[#This Row],[Critical Facilities Raw]]))*(10)/(ASINH(U$4))</f>
        <v>0</v>
      </c>
      <c r="W541" s="256">
        <f>FMS_Ranking4[[#This Row],[Critical facilities at risk, ArcSinh (0-10)]]*U$5*10</f>
        <v>0</v>
      </c>
      <c r="X541" s="253">
        <f>_xlfn.XLOOKUP(FMS_Ranking4[[#This Row],[FMS ID]],FMS_Input[FMS_ID],FMS_Input[LWC])</f>
        <v>0</v>
      </c>
      <c r="Y541" s="259">
        <f>(ASINH(FMS_Ranking4[[#This Row],[LWC Raw]]))*(10)/(ASINH(X$4))</f>
        <v>0</v>
      </c>
      <c r="Z541" s="256">
        <f>FMS_Ranking4[[#This Row],[LWC, ArcSInh (0-10)]]*X$5*10</f>
        <v>0</v>
      </c>
      <c r="AA541" s="253">
        <f>_xlfn.XLOOKUP(FMS_Ranking4[[#This Row],[FMS ID]],FMS_Input[FMS_ID],FMS_Input[ROADCLS])</f>
        <v>26</v>
      </c>
      <c r="AB541" s="255">
        <f>(ASINH(FMS_Ranking4[[#This Row],[Road Closures Raw]]))*(10)/(ASINH(AA$4))</f>
        <v>4.1152425981429568</v>
      </c>
      <c r="AC541" s="256">
        <f>FMS_Ranking4[[#This Row],[Road closures, ArcSinh (0-10)]]*AA$5*10</f>
        <v>2.0576212990714784</v>
      </c>
      <c r="AD541" s="253">
        <f>_xlfn.XLOOKUP(FMS_Ranking4[[#This Row],[FMS ID]],FMS_Input[FMS_ID],FMS_Input[ROAD_MILES100])</f>
        <v>4</v>
      </c>
      <c r="AE541" s="259">
        <f>(ASINH(FMS_Ranking4[[#This Row],[Road Miles Raw]]))*(10)/(ASINH(AD$4))</f>
        <v>2.2323872691766113</v>
      </c>
      <c r="AF541" s="256">
        <f>FMS_Ranking4[[#This Row],[Length of roads at risk, ArcSinh (0-10)]]*AD$5*10</f>
        <v>2.2323872691766113</v>
      </c>
      <c r="AG541" s="253">
        <f>_xlfn.XLOOKUP(FMS_Ranking4[[#This Row],[FMS ID]],FMS_Input[FMS_ID],FMS_Input[FARMACRE100])</f>
        <v>62.159999847412109</v>
      </c>
      <c r="AH541" s="255">
        <f>(ASINH(FMS_Ranking4[[#This Row],[Ag Land Raw]]))*(10)/(ASINH(AG$4))</f>
        <v>3.1328817854468589</v>
      </c>
      <c r="AI541" s="260">
        <f>FMS_Ranking4[[#This Row],[Farm &amp; ranch land, ArcSinh (0-10)]]*AG$5*10</f>
        <v>1.5664408927234297</v>
      </c>
      <c r="AJ541" s="258">
        <f>_xlfn.XLOOKUP(FMS_Ranking4[[#This Row],[FMS ID]],FMS_Input[FMS_ID],FMS_Input[REDSTRUCT100])</f>
        <v>0</v>
      </c>
      <c r="AK541" s="253">
        <f>_xlfn.XLOOKUP(FMS_Ranking4[[#This Row],[FMS ID]],FMS_Input[FMS_ID],FMS_Input[REMSTRC100])</f>
        <v>0</v>
      </c>
      <c r="AL541" s="259">
        <f>(ASINH(FMS_Ranking4[[#This Row],[Structures Removed Raw]]))*(10)/(ASINH(AK$4))</f>
        <v>0</v>
      </c>
      <c r="AM541" s="262">
        <f>FMS_Ranking4[[#This Row],[Structures removed, ArcSinh (0-10)]]*AK$5*10</f>
        <v>0</v>
      </c>
      <c r="AN541" s="253">
        <f>_xlfn.XLOOKUP(FMS_Ranking4[[#This Row],[FMS ID]],FMS_Input[FMS_ID],FMS_Input[REMRESSTRC100])</f>
        <v>0</v>
      </c>
      <c r="AO541" s="261">
        <f>FMS_Ranking4[[#This Row],[ArcSinh Res struct removed 0-10]]*AN$5*10</f>
        <v>0</v>
      </c>
      <c r="AP541" s="260">
        <f>ASINH(FMS_Ranking4[[#This Row],[Residential Structures Removed Raw]])/AP$4*AN$5*100</f>
        <v>0</v>
      </c>
      <c r="AQ541" s="254">
        <f>(ASINH(FMS_Ranking4[[#This Row],[Residential Structures Removed Raw]]))*(10)/(ASINH(AN$4))</f>
        <v>0</v>
      </c>
      <c r="AR541" s="253">
        <f>_xlfn.XLOOKUP(FMS_Ranking4[[#This Row],[FMS ID]],FMS_Input[FMS_ID],FMS_Input[REMPOP100])</f>
        <v>0</v>
      </c>
      <c r="AS541" s="259">
        <f>(ASINH(FMS_Ranking4[[#This Row],[Removed Pop Raw]]))*(10)/(ASINH(AR$4))</f>
        <v>0</v>
      </c>
      <c r="AT541" s="262">
        <f>FMS_Ranking4[[#This Row],[Removed population, ArcSinh (0-10)]]*AR$5*10</f>
        <v>0</v>
      </c>
      <c r="AU541" s="264">
        <f>_xlfn.XLOOKUP(FMS_Ranking4[[#This Row],[FMS ID]],FMS_Input[FMS_ID],FMS_Input[REMCRITFAC100])</f>
        <v>0</v>
      </c>
      <c r="AV541" s="264">
        <f>_xlfn.XLOOKUP(FMS_Ranking4[[#This Row],[FMS ID]],FMS_Input[FMS_ID],FMS_Input[REMLWC100])</f>
        <v>0</v>
      </c>
      <c r="AW541" s="264">
        <f>_xlfn.XLOOKUP(FMS_Ranking4[[#This Row],[FMS ID]],FMS_Input[FMS_ID],FMS_Input[REMROADCLS])</f>
        <v>0</v>
      </c>
      <c r="AX541" s="264">
        <f>_xlfn.XLOOKUP(FMS_Ranking4[[#This Row],[FMS ID]],FMS_Input[FMS_ID],FMS_Input[REMFRMACRE100])</f>
        <v>0</v>
      </c>
      <c r="AY541" s="258">
        <f>_xlfn.XLOOKUP(FMS_Ranking4[[#This Row],[FMS ID]],FMS_Input[FMS_ID],FMS_Input[COSTSTRUCT])</f>
        <v>0</v>
      </c>
      <c r="AZ541" s="253">
        <f>_xlfn.XLOOKUP(FMS_Ranking4[[#This Row],[FMS ID]],FMS_Input[FMS_ID],FMS_Input[NATURE])</f>
        <v>0</v>
      </c>
      <c r="BA541" s="262">
        <f>(((FMS_Ranking4[[#This Row],[% NBS Raw]]/AZ$4)*100)*AZ$5)</f>
        <v>0</v>
      </c>
      <c r="BB541" s="251" t="str">
        <f>_xlfn.XLOOKUP(FMS_Ranking4[[#This Row],[FMS ID]],FMS_Input[FMS_ID],FMS_Input[WATER_SUP])</f>
        <v>No</v>
      </c>
      <c r="BC541" s="265">
        <f>IF(FMS_Ranking4[[#This Row],[Water Supply Raw]]="Yes",10,0)</f>
        <v>0</v>
      </c>
      <c r="BD541" s="266">
        <f>_xlfn.XLOOKUP(FMS_Ranking4[[#This Row],[FMS Type]],FMS_TYPE[FMS_Type],FMS_TYPE[Score])</f>
        <v>8</v>
      </c>
      <c r="BE541" s="267">
        <f>FMS_Ranking4[[#This Row],[FMS_Type Score]]*$BD$5*10</f>
        <v>2</v>
      </c>
      <c r="BF54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3.9389227151124882E-2</v>
      </c>
      <c r="BG541" s="271">
        <f>_xlfn.RANK.EQ(BF541,$BF$8:$BF$870,0)+COUNTIF($BF$8:BF541,BF541)-1</f>
        <v>581</v>
      </c>
      <c r="BH541" s="268">
        <f>(((FMS_Ranking4[[#This Row],[Structures Removed Raw]]/AK$4)*100)*AK$5)+(((FMS_Ranking4[[#This Row],[Removed Pop Raw]]/AR$4)*100)*AR$5)</f>
        <v>0</v>
      </c>
      <c r="BI54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2.0393892271511249</v>
      </c>
      <c r="BJ541" s="205">
        <f>_xlfn.RANK.EQ(FMS_Ranking4[[#This Row],[Total Score 
(with linear
normalization)]],FMS_Ranking4[Total Score 
(with linear
normalization)],0)</f>
        <v>393</v>
      </c>
      <c r="BK541" s="205" t="e">
        <f>_xlfn.XLOOKUP(FMS_Ranking4[[#This Row],[FMS ID]],#REF!,#REF!)</f>
        <v>#REF!</v>
      </c>
      <c r="BL54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15.212903979502233</v>
      </c>
      <c r="BM541" s="272">
        <f>FMS_Ranking4[[#This Row],[ArcSinh Score Based on Normalized Reported Factors]]+FMS_Ranking4[[#This Row],[% NBS Score (Normalized)]]+(FMS_Ranking4[[#This Row],[Water Supply Score (Normalized)]]*10*$BB$5)+FMS_Ranking4[[#This Row],[FMS_Type Score Weighted]]</f>
        <v>17.212903979502233</v>
      </c>
      <c r="BN541" s="205">
        <f>_xlfn.RANK.EQ(FMS_Ranking4[[#This Row],[Total Score (with ArcSinh normalization of select criteria)]],FMS_Ranking4[Total Score (with ArcSinh normalization of select criteria)],0)</f>
        <v>534</v>
      </c>
      <c r="BO541" s="270" t="str">
        <f>_xlfn.XLOOKUP(FMS_Ranking4[[#This Row],[FMS ID]],FMS_Input[FMS_ID],FMS_Input[FMS_RANK_YEAR])</f>
        <v>2023 Amended Plan</v>
      </c>
      <c r="BP541" s="204">
        <f>_xlfn.XLOOKUP(FMS_Ranking4[[#This Row],[FMS ID]],Prev_Rank[FMS ID],Prev_Rank[Prev Rank])</f>
        <v>473</v>
      </c>
      <c r="BQ541" s="205" t="e">
        <f>_xlfn.XLOOKUP(FMS_Ranking4[[#This Row],[FMS ID]],#REF!,#REF!)</f>
        <v>#REF!</v>
      </c>
      <c r="BR541" s="199" t="e">
        <f>SUM(#REF!,#REF!,#REF!,#REF!,#REF!,#REF!,#REF!,#REF!,#REF!,FMS_Ranking4[[#This Row],[ArcSinh Res struct removed 0-10]],#REF!)</f>
        <v>#REF!</v>
      </c>
      <c r="BS541" s="199" t="e">
        <f>FMS_Ranking4[[#This Row],[Log Score Based on Normalized Reported Factors]]+FMS_Ranking4[[#This Row],[% NBS Score (Normalized)]]+(FMS_Ranking4[[#This Row],[Water Supply Score (Normalized)]]*10*$BB$5)+(FMS_Ranking4[[#This Row],[FMS_Type Score Weighted]])</f>
        <v>#REF!</v>
      </c>
      <c r="BT541" s="200" t="e">
        <f>_xlfn.RANK.EQ(FMS_Ranking4[[#This Row],[Log Total Score]],FMS_Ranking4[Log Total Score],0)</f>
        <v>#REF!</v>
      </c>
      <c r="BU541" s="200" t="e">
        <f>_xlfn.XLOOKUP(FMS_Ranking4[[#This Row],[FMS ID]],#REF!,#REF!)</f>
        <v>#REF!</v>
      </c>
      <c r="BV541" s="200">
        <f>FMS_Ranking4[[#This Row],[Region Number]]</f>
        <v>12</v>
      </c>
      <c r="BW541" s="200">
        <f>FMS_Ranking4[[#This Row],[Rank (with ArcSinh normalization of select criteria)]]-FMS_Ranking4[[#This Row],[Rank
(with linear
normalization)]]</f>
        <v>141</v>
      </c>
      <c r="BX541" s="200" t="e">
        <f>FMS_Ranking4[[#This Row],[Log Rank]]-FMS_Ranking4[[#This Row],[Rank
(with linear
normalization)]]</f>
        <v>#REF!</v>
      </c>
      <c r="BY541" s="200" t="str">
        <f>IF(FMS_Ranking4[[#This Row],[FMS Type]]="Flood Measurement and Warning",FMS_Ranking4[[#This Row],[Rank (with ArcSinh normalization of select criteria)]],"")</f>
        <v/>
      </c>
      <c r="BZ541" s="200">
        <f>IF(FMS_Ranking4[[#This Row],[FMS Type]]="Regulatory and Guidance",FMS_Ranking4[[#This Row],[Rank (with ArcSinh normalization of select criteria)]],"")</f>
        <v>534</v>
      </c>
      <c r="CA541" s="200" t="str">
        <f>IF(FMS_Ranking4[[#This Row],[FMS Type]]="Education and Outreach",FMS_Ranking4[[#This Row],[Rank (with ArcSinh normalization of select criteria)]],"")</f>
        <v/>
      </c>
      <c r="CB541" s="200" t="str">
        <f>IF(FMS_Ranking4[[#This Row],[FMS Type]]="Property Acquisition and Structural Elevation",FMS_Ranking4[[#This Row],[Rank (with ArcSinh normalization of select criteria)]],"")</f>
        <v/>
      </c>
      <c r="CC541" s="200" t="str">
        <f>IF(FMS_Ranking4[[#This Row],[FMS Type]]="Infrastructure Projects",FMS_Ranking4[[#This Row],[Rank (with ArcSinh normalization of select criteria)]],"")</f>
        <v/>
      </c>
      <c r="CD541" s="200" t="str">
        <f>IF(FMS_Ranking4[[#This Row],[FMS Type]]="Other",FMS_Ranking4[[#This Row],[Rank (with ArcSinh normalization of select criteria)]],"")</f>
        <v/>
      </c>
      <c r="CE541" s="201"/>
      <c r="CF541" s="206"/>
      <c r="CG541" s="206"/>
      <c r="CH541" s="206"/>
      <c r="CI541" s="206"/>
      <c r="CJ541" s="206"/>
      <c r="CK541" s="206"/>
      <c r="CL541" s="206"/>
      <c r="CM541" s="206"/>
      <c r="CN541" s="206"/>
      <c r="CO541" s="206"/>
      <c r="CP541" s="206"/>
      <c r="CQ541" s="206"/>
      <c r="CR541" s="206"/>
    </row>
    <row r="542" spans="2:96" ht="30" x14ac:dyDescent="0.25">
      <c r="B542" s="341" t="s">
        <v>3470</v>
      </c>
      <c r="C542" s="246">
        <f>_xlfn.XLOOKUP(FMS_Ranking4[[#This Row],[FMS ID]],FMS_Input[FMS_ID],FMS_Input[RFPG_NUM])</f>
        <v>12</v>
      </c>
      <c r="D542" s="309" t="str">
        <f>_xlfn.XLOOKUP(FMS_Ranking4[[#This Row],[FMS ID]],FMS_Input[FMS_ID],FMS_Input[FMS_NAME])</f>
        <v>Strengthen floodplain management ordinances</v>
      </c>
      <c r="E542" s="308" t="str">
        <f>_xlfn.XLOOKUP(FMS_Ranking4[[#This Row],[FMS ID]],FMS_Input[FMS_ID],FMS_Input[SPONSOR])</f>
        <v>12003181</v>
      </c>
      <c r="F542" s="309" t="str">
        <f>_xlfn.XLOOKUP(FMS_Ranking4[[#This Row],[FMS ID]],Sponsor[FMS_ID],Sponsor[SPONSOR NAME])</f>
        <v>Poth</v>
      </c>
      <c r="G542" s="309" t="str">
        <f>_xlfn.XLOOKUP(FMS_Ranking4[[#This Row],[FMS ID]],FMS_Input[FMS_ID],FMS_Input[FMS_DESCR])</f>
        <v>Adopt higher floodplain standards for new development</v>
      </c>
      <c r="H542" s="248" t="str">
        <f>_xlfn.XLOOKUP(FMS_Ranking4[[#This Row],[FMS ID]],FMS_Input[FMS_ID],FMS_Input[FMS_TYPE])</f>
        <v>Regulatory and Guidance</v>
      </c>
      <c r="I542" s="249">
        <f>_xlfn.XLOOKUP(FMS_Ranking4[[#This Row],[FMS ID]],FMS_Input[FMS_ID],FMS_Input[NRNC_COST])</f>
        <v>25000</v>
      </c>
      <c r="J542" s="250">
        <f>_xlfn.XLOOKUP(FMS_Ranking4[[#This Row],[FMS ID]],FMS_Input[FMS_ID],FMS_Input[FMS_COST])</f>
        <v>25000</v>
      </c>
      <c r="K542" s="251" t="str">
        <f>_xlfn.XLOOKUP(FMS_Ranking4[[#This Row],[FMS ID]],FMS_Input[FMS_ID],FMS_Input[EMER_NEED])</f>
        <v>Yes</v>
      </c>
      <c r="L542" s="252">
        <f t="shared" si="8"/>
        <v>1</v>
      </c>
      <c r="M542" s="253">
        <f>_xlfn.XLOOKUP(FMS_Ranking4[[#This Row],[FMS ID]],FMS_Input[FMS_ID],FMS_Input[STRUCT_100])</f>
        <v>69</v>
      </c>
      <c r="N542" s="255">
        <f>(ASINH(FMS_Ranking4[[#This Row],[Structure at Risk Raw]]))*(10)/(ASINH(M$4))</f>
        <v>3.8735963102410209</v>
      </c>
      <c r="O542" s="256">
        <f>FMS_Ranking4[[#This Row],[Structures at risk, ArcSinh (0-10)]]*M$5*10</f>
        <v>3.8735963102410209</v>
      </c>
      <c r="P542" s="253">
        <f>_xlfn.XLOOKUP(FMS_Ranking4[[#This Row],[FMS ID]],FMS_Input[FMS_ID],FMS_Input[RES_STRUCT100])</f>
        <v>50</v>
      </c>
      <c r="Q542" s="257">
        <f>ASINH(FMS_Ranking4[[#This Row],[Res Structure Raw]])/Q$4*P$5*100</f>
        <v>0</v>
      </c>
      <c r="R542" s="253">
        <f>_xlfn.XLOOKUP(FMS_Ranking4[[#This Row],[FMS ID]],FMS_Input[FMS_ID],FMS_Input[POP100])</f>
        <v>100</v>
      </c>
      <c r="S542" s="259">
        <f>(ASINH(FMS_Ranking4[[#This Row],[Pop at Risk Raw]]))*(10)/(ASINH(R$4))</f>
        <v>3.657754193512468</v>
      </c>
      <c r="T542" s="256">
        <f>FMS_Ranking4[[#This Row],[Population at risk, ArcSinh (0-10)]]*R$5*10</f>
        <v>3.657754193512468</v>
      </c>
      <c r="U542" s="253">
        <f>_xlfn.XLOOKUP(FMS_Ranking4[[#This Row],[FMS ID]],FMS_Input[FMS_ID],FMS_Input[CRITFAC100])</f>
        <v>0</v>
      </c>
      <c r="V542" s="259">
        <f>(ASINH(FMS_Ranking4[[#This Row],[Critical Facilities Raw]]))*(10)/(ASINH(U$4))</f>
        <v>0</v>
      </c>
      <c r="W542" s="256">
        <f>FMS_Ranking4[[#This Row],[Critical facilities at risk, ArcSinh (0-10)]]*U$5*10</f>
        <v>0</v>
      </c>
      <c r="X542" s="253">
        <f>_xlfn.XLOOKUP(FMS_Ranking4[[#This Row],[FMS ID]],FMS_Input[FMS_ID],FMS_Input[LWC])</f>
        <v>5</v>
      </c>
      <c r="Y542" s="259">
        <f>(ASINH(FMS_Ranking4[[#This Row],[LWC Raw]]))*(10)/(ASINH(X$4))</f>
        <v>3.1327475801820781</v>
      </c>
      <c r="Z542" s="256">
        <f>FMS_Ranking4[[#This Row],[LWC, ArcSInh (0-10)]]*X$5*10</f>
        <v>3.1327475801820781</v>
      </c>
      <c r="AA542" s="253">
        <f>_xlfn.XLOOKUP(FMS_Ranking4[[#This Row],[FMS ID]],FMS_Input[FMS_ID],FMS_Input[ROADCLS])</f>
        <v>25</v>
      </c>
      <c r="AB542" s="255">
        <f>(ASINH(FMS_Ranking4[[#This Row],[Road Closures Raw]]))*(10)/(ASINH(AA$4))</f>
        <v>4.0744292160615396</v>
      </c>
      <c r="AC542" s="256">
        <f>FMS_Ranking4[[#This Row],[Road closures, ArcSinh (0-10)]]*AA$5*10</f>
        <v>2.0372146080307698</v>
      </c>
      <c r="AD542" s="253">
        <f>_xlfn.XLOOKUP(FMS_Ranking4[[#This Row],[FMS ID]],FMS_Input[FMS_ID],FMS_Input[ROAD_MILES100])</f>
        <v>2</v>
      </c>
      <c r="AE542" s="259">
        <f>(ASINH(FMS_Ranking4[[#This Row],[Road Miles Raw]]))*(10)/(ASINH(AD$4))</f>
        <v>1.5385182374234352</v>
      </c>
      <c r="AF542" s="256">
        <f>FMS_Ranking4[[#This Row],[Length of roads at risk, ArcSinh (0-10)]]*AD$5*10</f>
        <v>1.5385182374234352</v>
      </c>
      <c r="AG542" s="253">
        <f>_xlfn.XLOOKUP(FMS_Ranking4[[#This Row],[FMS ID]],FMS_Input[FMS_ID],FMS_Input[FARMACRE100])</f>
        <v>9.7600002288818359</v>
      </c>
      <c r="AH542" s="255">
        <f>(ASINH(FMS_Ranking4[[#This Row],[Ag Land Raw]]))*(10)/(ASINH(AG$4))</f>
        <v>1.9318902339550028</v>
      </c>
      <c r="AI542" s="260">
        <f>FMS_Ranking4[[#This Row],[Farm &amp; ranch land, ArcSinh (0-10)]]*AG$5*10</f>
        <v>0.96594511697750141</v>
      </c>
      <c r="AJ542" s="258">
        <f>_xlfn.XLOOKUP(FMS_Ranking4[[#This Row],[FMS ID]],FMS_Input[FMS_ID],FMS_Input[REDSTRUCT100])</f>
        <v>0</v>
      </c>
      <c r="AK542" s="253">
        <f>_xlfn.XLOOKUP(FMS_Ranking4[[#This Row],[FMS ID]],FMS_Input[FMS_ID],FMS_Input[REMSTRC100])</f>
        <v>0</v>
      </c>
      <c r="AL542" s="259">
        <f>(ASINH(FMS_Ranking4[[#This Row],[Structures Removed Raw]]))*(10)/(ASINH(AK$4))</f>
        <v>0</v>
      </c>
      <c r="AM542" s="262">
        <f>FMS_Ranking4[[#This Row],[Structures removed, ArcSinh (0-10)]]*AK$5*10</f>
        <v>0</v>
      </c>
      <c r="AN542" s="253">
        <f>_xlfn.XLOOKUP(FMS_Ranking4[[#This Row],[FMS ID]],FMS_Input[FMS_ID],FMS_Input[REMRESSTRC100])</f>
        <v>0</v>
      </c>
      <c r="AO542" s="261">
        <f>FMS_Ranking4[[#This Row],[ArcSinh Res struct removed 0-10]]*AN$5*10</f>
        <v>0</v>
      </c>
      <c r="AP542" s="260">
        <f>ASINH(FMS_Ranking4[[#This Row],[Residential Structures Removed Raw]])/AP$4*AN$5*100</f>
        <v>0</v>
      </c>
      <c r="AQ542" s="254">
        <f>(ASINH(FMS_Ranking4[[#This Row],[Residential Structures Removed Raw]]))*(10)/(ASINH(AN$4))</f>
        <v>0</v>
      </c>
      <c r="AR542" s="253">
        <f>_xlfn.XLOOKUP(FMS_Ranking4[[#This Row],[FMS ID]],FMS_Input[FMS_ID],FMS_Input[REMPOP100])</f>
        <v>0</v>
      </c>
      <c r="AS542" s="259">
        <f>(ASINH(FMS_Ranking4[[#This Row],[Removed Pop Raw]]))*(10)/(ASINH(AR$4))</f>
        <v>0</v>
      </c>
      <c r="AT542" s="262">
        <f>FMS_Ranking4[[#This Row],[Removed population, ArcSinh (0-10)]]*AR$5*10</f>
        <v>0</v>
      </c>
      <c r="AU542" s="264">
        <f>_xlfn.XLOOKUP(FMS_Ranking4[[#This Row],[FMS ID]],FMS_Input[FMS_ID],FMS_Input[REMCRITFAC100])</f>
        <v>0</v>
      </c>
      <c r="AV542" s="264">
        <f>_xlfn.XLOOKUP(FMS_Ranking4[[#This Row],[FMS ID]],FMS_Input[FMS_ID],FMS_Input[REMLWC100])</f>
        <v>0</v>
      </c>
      <c r="AW542" s="264">
        <f>_xlfn.XLOOKUP(FMS_Ranking4[[#This Row],[FMS ID]],FMS_Input[FMS_ID],FMS_Input[REMROADCLS])</f>
        <v>0</v>
      </c>
      <c r="AX542" s="264">
        <f>_xlfn.XLOOKUP(FMS_Ranking4[[#This Row],[FMS ID]],FMS_Input[FMS_ID],FMS_Input[REMFRMACRE100])</f>
        <v>0</v>
      </c>
      <c r="AY542" s="258">
        <f>_xlfn.XLOOKUP(FMS_Ranking4[[#This Row],[FMS ID]],FMS_Input[FMS_ID],FMS_Input[COSTSTRUCT])</f>
        <v>0</v>
      </c>
      <c r="AZ542" s="253">
        <f>_xlfn.XLOOKUP(FMS_Ranking4[[#This Row],[FMS ID]],FMS_Input[FMS_ID],FMS_Input[NATURE])</f>
        <v>0</v>
      </c>
      <c r="BA542" s="262">
        <f>(((FMS_Ranking4[[#This Row],[% NBS Raw]]/AZ$4)*100)*AZ$5)</f>
        <v>0</v>
      </c>
      <c r="BB542" s="251" t="str">
        <f>_xlfn.XLOOKUP(FMS_Ranking4[[#This Row],[FMS ID]],FMS_Input[FMS_ID],FMS_Input[WATER_SUP])</f>
        <v>No</v>
      </c>
      <c r="BC542" s="265">
        <f>IF(FMS_Ranking4[[#This Row],[Water Supply Raw]]="Yes",10,0)</f>
        <v>0</v>
      </c>
      <c r="BD542" s="266">
        <f>_xlfn.XLOOKUP(FMS_Ranking4[[#This Row],[FMS Type]],FMS_TYPE[FMS_Type],FMS_TYPE[Score])</f>
        <v>8</v>
      </c>
      <c r="BE542" s="267">
        <f>FMS_Ranking4[[#This Row],[FMS_Type Score]]*$BD$5*10</f>
        <v>2</v>
      </c>
      <c r="BF54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8.76931557005904E-2</v>
      </c>
      <c r="BG542" s="269">
        <f>_xlfn.RANK.EQ(BF542,$BF$8:$BF$870,0)+COUNTIF($BF$8:BF542,BF542)-1</f>
        <v>501</v>
      </c>
      <c r="BH542" s="268">
        <f>(((FMS_Ranking4[[#This Row],[Structures Removed Raw]]/AK$4)*100)*AK$5)+(((FMS_Ranking4[[#This Row],[Removed Pop Raw]]/AR$4)*100)*AR$5)</f>
        <v>0</v>
      </c>
      <c r="BI54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2.0876931557005904</v>
      </c>
      <c r="BJ542" s="204">
        <f>_xlfn.RANK.EQ(FMS_Ranking4[[#This Row],[Total Score 
(with linear
normalization)]],FMS_Ranking4[Total Score 
(with linear
normalization)],0)</f>
        <v>371</v>
      </c>
      <c r="BK542" s="204" t="e">
        <f>_xlfn.XLOOKUP(FMS_Ranking4[[#This Row],[FMS ID]],#REF!,#REF!)</f>
        <v>#REF!</v>
      </c>
      <c r="BL542"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15.205776046367273</v>
      </c>
      <c r="BM542" s="270">
        <f>FMS_Ranking4[[#This Row],[ArcSinh Score Based on Normalized Reported Factors]]+FMS_Ranking4[[#This Row],[% NBS Score (Normalized)]]+(FMS_Ranking4[[#This Row],[Water Supply Score (Normalized)]]*10*$BB$5)+FMS_Ranking4[[#This Row],[FMS_Type Score Weighted]]</f>
        <v>17.205776046367273</v>
      </c>
      <c r="BN542" s="204">
        <f>_xlfn.RANK.EQ(FMS_Ranking4[[#This Row],[Total Score (with ArcSinh normalization of select criteria)]],FMS_Ranking4[Total Score (with ArcSinh normalization of select criteria)],0)</f>
        <v>535</v>
      </c>
      <c r="BO542" s="270" t="str">
        <f>_xlfn.XLOOKUP(FMS_Ranking4[[#This Row],[FMS ID]],FMS_Input[FMS_ID],FMS_Input[FMS_RANK_YEAR])</f>
        <v>2023 Amended Plan</v>
      </c>
      <c r="BP542" s="204">
        <f>_xlfn.XLOOKUP(FMS_Ranking4[[#This Row],[FMS ID]],Prev_Rank[FMS ID],Prev_Rank[Prev Rank])</f>
        <v>477</v>
      </c>
      <c r="BQ542" s="204" t="e">
        <f>_xlfn.XLOOKUP(FMS_Ranking4[[#This Row],[FMS ID]],#REF!,#REF!)</f>
        <v>#REF!</v>
      </c>
      <c r="BR542" s="199" t="e">
        <f>SUM(#REF!,#REF!,#REF!,#REF!,#REF!,#REF!,#REF!,#REF!,#REF!,FMS_Ranking4[[#This Row],[ArcSinh Res struct removed 0-10]],#REF!)</f>
        <v>#REF!</v>
      </c>
      <c r="BS542" s="199" t="e">
        <f>FMS_Ranking4[[#This Row],[Log Score Based on Normalized Reported Factors]]+FMS_Ranking4[[#This Row],[% NBS Score (Normalized)]]+(FMS_Ranking4[[#This Row],[Water Supply Score (Normalized)]]*10*$BB$5)+(FMS_Ranking4[[#This Row],[FMS_Type Score Weighted]])</f>
        <v>#REF!</v>
      </c>
      <c r="BT542" s="200" t="e">
        <f>_xlfn.RANK.EQ(FMS_Ranking4[[#This Row],[Log Total Score]],FMS_Ranking4[Log Total Score],0)</f>
        <v>#REF!</v>
      </c>
      <c r="BU542" s="200" t="e">
        <f>_xlfn.XLOOKUP(FMS_Ranking4[[#This Row],[FMS ID]],#REF!,#REF!)</f>
        <v>#REF!</v>
      </c>
      <c r="BV542" s="200">
        <f>FMS_Ranking4[[#This Row],[Region Number]]</f>
        <v>12</v>
      </c>
      <c r="BW542" s="200">
        <f>FMS_Ranking4[[#This Row],[Rank (with ArcSinh normalization of select criteria)]]-FMS_Ranking4[[#This Row],[Rank
(with linear
normalization)]]</f>
        <v>164</v>
      </c>
      <c r="BX542" s="200" t="e">
        <f>FMS_Ranking4[[#This Row],[Log Rank]]-FMS_Ranking4[[#This Row],[Rank
(with linear
normalization)]]</f>
        <v>#REF!</v>
      </c>
      <c r="BY542" s="200" t="str">
        <f>IF(FMS_Ranking4[[#This Row],[FMS Type]]="Flood Measurement and Warning",FMS_Ranking4[[#This Row],[Rank (with ArcSinh normalization of select criteria)]],"")</f>
        <v/>
      </c>
      <c r="BZ542" s="200">
        <f>IF(FMS_Ranking4[[#This Row],[FMS Type]]="Regulatory and Guidance",FMS_Ranking4[[#This Row],[Rank (with ArcSinh normalization of select criteria)]],"")</f>
        <v>535</v>
      </c>
      <c r="CA542" s="200" t="str">
        <f>IF(FMS_Ranking4[[#This Row],[FMS Type]]="Education and Outreach",FMS_Ranking4[[#This Row],[Rank (with ArcSinh normalization of select criteria)]],"")</f>
        <v/>
      </c>
      <c r="CB542" s="200" t="str">
        <f>IF(FMS_Ranking4[[#This Row],[FMS Type]]="Property Acquisition and Structural Elevation",FMS_Ranking4[[#This Row],[Rank (with ArcSinh normalization of select criteria)]],"")</f>
        <v/>
      </c>
      <c r="CC542" s="200" t="str">
        <f>IF(FMS_Ranking4[[#This Row],[FMS Type]]="Infrastructure Projects",FMS_Ranking4[[#This Row],[Rank (with ArcSinh normalization of select criteria)]],"")</f>
        <v/>
      </c>
      <c r="CD542" s="200" t="str">
        <f>IF(FMS_Ranking4[[#This Row],[FMS Type]]="Other",FMS_Ranking4[[#This Row],[Rank (with ArcSinh normalization of select criteria)]],"")</f>
        <v/>
      </c>
      <c r="CE542" s="201"/>
      <c r="CF542" s="206"/>
      <c r="CG542" s="206"/>
      <c r="CH542" s="206"/>
      <c r="CI542" s="206"/>
      <c r="CJ542" s="206"/>
      <c r="CK542" s="206"/>
      <c r="CL542" s="206"/>
      <c r="CM542" s="206"/>
      <c r="CN542" s="206"/>
      <c r="CO542" s="206"/>
      <c r="CP542" s="206"/>
      <c r="CQ542" s="206"/>
      <c r="CR542" s="206"/>
    </row>
    <row r="543" spans="2:96" ht="45" x14ac:dyDescent="0.25">
      <c r="B543" s="341" t="s">
        <v>2798</v>
      </c>
      <c r="C543" s="246">
        <f>_xlfn.XLOOKUP(FMS_Ranking4[[#This Row],[FMS ID]],FMS_Input[FMS_ID],FMS_Input[RFPG_NUM])</f>
        <v>5</v>
      </c>
      <c r="D543" s="309" t="str">
        <f>_xlfn.XLOOKUP(FMS_Ranking4[[#This Row],[FMS ID]],FMS_Input[FMS_ID],FMS_Input[FMS_NAME])</f>
        <v>Anderson County Culvert Improvements</v>
      </c>
      <c r="E543" s="308" t="str">
        <f>_xlfn.XLOOKUP(FMS_Ranking4[[#This Row],[FMS ID]],FMS_Input[FMS_ID],FMS_Input[SPONSOR])</f>
        <v>00000156</v>
      </c>
      <c r="F543" s="309" t="str">
        <f>_xlfn.XLOOKUP(FMS_Ranking4[[#This Row],[FMS ID]],Sponsor[FMS_ID],Sponsor[SPONSOR NAME])</f>
        <v>Anderson</v>
      </c>
      <c r="G543" s="309" t="str">
        <f>_xlfn.XLOOKUP(FMS_Ranking4[[#This Row],[FMS ID]],FMS_Input[FMS_ID],FMS_Input[FMS_DESCR])</f>
        <v>Widen culverts to mitigate against future drainage issues that lead to flooding.</v>
      </c>
      <c r="H543" s="248" t="str">
        <f>_xlfn.XLOOKUP(FMS_Ranking4[[#This Row],[FMS ID]],FMS_Input[FMS_ID],FMS_Input[FMS_TYPE])</f>
        <v>Infrastructure Projects</v>
      </c>
      <c r="I543" s="249">
        <f>_xlfn.XLOOKUP(FMS_Ranking4[[#This Row],[FMS ID]],FMS_Input[FMS_ID],FMS_Input[NRNC_COST])</f>
        <v>100000</v>
      </c>
      <c r="J543" s="250">
        <f>_xlfn.XLOOKUP(FMS_Ranking4[[#This Row],[FMS ID]],FMS_Input[FMS_ID],FMS_Input[FMS_COST])</f>
        <v>3000000</v>
      </c>
      <c r="K543" s="251" t="str">
        <f>_xlfn.XLOOKUP(FMS_Ranking4[[#This Row],[FMS ID]],FMS_Input[FMS_ID],FMS_Input[EMER_NEED])</f>
        <v>Yes</v>
      </c>
      <c r="L543" s="252">
        <f t="shared" si="8"/>
        <v>1</v>
      </c>
      <c r="M543" s="253">
        <f>_xlfn.XLOOKUP(FMS_Ranking4[[#This Row],[FMS ID]],FMS_Input[FMS_ID],FMS_Input[STRUCT_100])</f>
        <v>69</v>
      </c>
      <c r="N543" s="255">
        <f>(ASINH(FMS_Ranking4[[#This Row],[Structure at Risk Raw]]))*(10)/(ASINH(M$4))</f>
        <v>3.8735963102410209</v>
      </c>
      <c r="O543" s="256">
        <f>FMS_Ranking4[[#This Row],[Structures at risk, ArcSinh (0-10)]]*M$5*10</f>
        <v>3.8735963102410209</v>
      </c>
      <c r="P543" s="253">
        <f>_xlfn.XLOOKUP(FMS_Ranking4[[#This Row],[FMS ID]],FMS_Input[FMS_ID],FMS_Input[RES_STRUCT100])</f>
        <v>28</v>
      </c>
      <c r="Q543" s="257">
        <f>ASINH(FMS_Ranking4[[#This Row],[Res Structure Raw]])/Q$4*P$5*100</f>
        <v>0</v>
      </c>
      <c r="R543" s="253">
        <f>_xlfn.XLOOKUP(FMS_Ranking4[[#This Row],[FMS ID]],FMS_Input[FMS_ID],FMS_Input[POP100])</f>
        <v>73</v>
      </c>
      <c r="S543" s="255">
        <f>(ASINH(FMS_Ranking4[[#This Row],[Pop at Risk Raw]]))*(10)/(ASINH(R$4))</f>
        <v>3.4405061708098197</v>
      </c>
      <c r="T543" s="256">
        <f>FMS_Ranking4[[#This Row],[Population at risk, ArcSinh (0-10)]]*R$5*10</f>
        <v>3.4405061708098201</v>
      </c>
      <c r="U543" s="253">
        <f>_xlfn.XLOOKUP(FMS_Ranking4[[#This Row],[FMS ID]],FMS_Input[FMS_ID],FMS_Input[CRITFAC100])</f>
        <v>0</v>
      </c>
      <c r="V543" s="255">
        <f>(ASINH(FMS_Ranking4[[#This Row],[Critical Facilities Raw]]))*(10)/(ASINH(U$4))</f>
        <v>0</v>
      </c>
      <c r="W543" s="256">
        <f>FMS_Ranking4[[#This Row],[Critical facilities at risk, ArcSinh (0-10)]]*U$5*10</f>
        <v>0</v>
      </c>
      <c r="X543" s="253">
        <f>_xlfn.XLOOKUP(FMS_Ranking4[[#This Row],[FMS ID]],FMS_Input[FMS_ID],FMS_Input[LWC])</f>
        <v>2</v>
      </c>
      <c r="Y543" s="255">
        <f>(ASINH(FMS_Ranking4[[#This Row],[LWC Raw]]))*(10)/(ASINH(X$4))</f>
        <v>1.9557475158633808</v>
      </c>
      <c r="Z543" s="256">
        <f>FMS_Ranking4[[#This Row],[LWC, ArcSInh (0-10)]]*X$5*10</f>
        <v>1.9557475158633808</v>
      </c>
      <c r="AA543" s="253">
        <f>_xlfn.XLOOKUP(FMS_Ranking4[[#This Row],[FMS ID]],FMS_Input[FMS_ID],FMS_Input[ROADCLS])</f>
        <v>2</v>
      </c>
      <c r="AB543" s="255">
        <f>(ASINH(FMS_Ranking4[[#This Row],[Road Closures Raw]]))*(10)/(ASINH(AA$4))</f>
        <v>1.5034138460359754</v>
      </c>
      <c r="AC543" s="256">
        <f>FMS_Ranking4[[#This Row],[Road closures, ArcSinh (0-10)]]*AA$5*10</f>
        <v>0.7517069230179878</v>
      </c>
      <c r="AD543" s="253">
        <f>_xlfn.XLOOKUP(FMS_Ranking4[[#This Row],[FMS ID]],FMS_Input[FMS_ID],FMS_Input[ROAD_MILES100])</f>
        <v>22</v>
      </c>
      <c r="AE543" s="255">
        <f>(ASINH(FMS_Ranking4[[#This Row],[Road Miles Raw]]))*(10)/(ASINH(AD$4))</f>
        <v>4.0334550791562069</v>
      </c>
      <c r="AF543" s="256">
        <f>FMS_Ranking4[[#This Row],[Length of roads at risk, ArcSinh (0-10)]]*AD$5*10</f>
        <v>4.0334550791562069</v>
      </c>
      <c r="AG543" s="253">
        <f>_xlfn.XLOOKUP(FMS_Ranking4[[#This Row],[FMS ID]],FMS_Input[FMS_ID],FMS_Input[FARMACRE100])</f>
        <v>348.31265258789063</v>
      </c>
      <c r="AH543" s="255">
        <f>(ASINH(FMS_Ranking4[[#This Row],[Ag Land Raw]]))*(10)/(ASINH(AG$4))</f>
        <v>4.2523225276017316</v>
      </c>
      <c r="AI543" s="260">
        <f>FMS_Ranking4[[#This Row],[Farm &amp; ranch land, ArcSinh (0-10)]]*AG$5*10</f>
        <v>2.1261612638008658</v>
      </c>
      <c r="AJ543" s="258">
        <f>_xlfn.XLOOKUP(FMS_Ranking4[[#This Row],[FMS ID]],FMS_Input[FMS_ID],FMS_Input[REDSTRUCT100])</f>
        <v>0</v>
      </c>
      <c r="AK543" s="253">
        <f>_xlfn.XLOOKUP(FMS_Ranking4[[#This Row],[FMS ID]],FMS_Input[FMS_ID],FMS_Input[REMSTRC100])</f>
        <v>0</v>
      </c>
      <c r="AL543" s="255">
        <f>(ASINH(FMS_Ranking4[[#This Row],[Structures Removed Raw]]))*(10)/(ASINH(AK$4))</f>
        <v>0</v>
      </c>
      <c r="AM543" s="262">
        <f>FMS_Ranking4[[#This Row],[Structures removed, ArcSinh (0-10)]]*AK$5*10</f>
        <v>0</v>
      </c>
      <c r="AN543" s="253">
        <f>_xlfn.XLOOKUP(FMS_Ranking4[[#This Row],[FMS ID]],FMS_Input[FMS_ID],FMS_Input[REMRESSTRC100])</f>
        <v>0</v>
      </c>
      <c r="AO543" s="261">
        <f>FMS_Ranking4[[#This Row],[ArcSinh Res struct removed 0-10]]*AN$5*10</f>
        <v>0</v>
      </c>
      <c r="AP543" s="260">
        <f>ASINH(FMS_Ranking4[[#This Row],[Residential Structures Removed Raw]])/AP$4*AN$5*100</f>
        <v>0</v>
      </c>
      <c r="AQ543" s="258">
        <f>(ASINH(FMS_Ranking4[[#This Row],[Residential Structures Removed Raw]]))*(10)/(ASINH(AN$4))</f>
        <v>0</v>
      </c>
      <c r="AR543" s="253">
        <f>_xlfn.XLOOKUP(FMS_Ranking4[[#This Row],[FMS ID]],FMS_Input[FMS_ID],FMS_Input[REMPOP100])</f>
        <v>0</v>
      </c>
      <c r="AS543" s="255">
        <f>(ASINH(FMS_Ranking4[[#This Row],[Removed Pop Raw]]))*(10)/(ASINH(AR$4))</f>
        <v>0</v>
      </c>
      <c r="AT543" s="262">
        <f>FMS_Ranking4[[#This Row],[Removed population, ArcSinh (0-10)]]*AR$5*10</f>
        <v>0</v>
      </c>
      <c r="AU543" s="264">
        <f>_xlfn.XLOOKUP(FMS_Ranking4[[#This Row],[FMS ID]],FMS_Input[FMS_ID],FMS_Input[REMCRITFAC100])</f>
        <v>0</v>
      </c>
      <c r="AV543" s="264">
        <f>_xlfn.XLOOKUP(FMS_Ranking4[[#This Row],[FMS ID]],FMS_Input[FMS_ID],FMS_Input[REMLWC100])</f>
        <v>0</v>
      </c>
      <c r="AW543" s="264">
        <f>_xlfn.XLOOKUP(FMS_Ranking4[[#This Row],[FMS ID]],FMS_Input[FMS_ID],FMS_Input[REMROADCLS])</f>
        <v>0</v>
      </c>
      <c r="AX543" s="264">
        <f>_xlfn.XLOOKUP(FMS_Ranking4[[#This Row],[FMS ID]],FMS_Input[FMS_ID],FMS_Input[REMFRMACRE100])</f>
        <v>0</v>
      </c>
      <c r="AY543" s="258">
        <f>_xlfn.XLOOKUP(FMS_Ranking4[[#This Row],[FMS ID]],FMS_Input[FMS_ID],FMS_Input[COSTSTRUCT])</f>
        <v>0</v>
      </c>
      <c r="AZ543" s="253">
        <f>_xlfn.XLOOKUP(FMS_Ranking4[[#This Row],[FMS ID]],FMS_Input[FMS_ID],FMS_Input[NATURE])</f>
        <v>0</v>
      </c>
      <c r="BA543" s="262">
        <f>(((FMS_Ranking4[[#This Row],[% NBS Raw]]/AZ$4)*100)*AZ$5)</f>
        <v>0</v>
      </c>
      <c r="BB543" s="251" t="str">
        <f>_xlfn.XLOOKUP(FMS_Ranking4[[#This Row],[FMS ID]],FMS_Input[FMS_ID],FMS_Input[WATER_SUP])</f>
        <v>No</v>
      </c>
      <c r="BC543" s="265">
        <f>IF(FMS_Ranking4[[#This Row],[Water Supply Raw]]="Yes",10,0)</f>
        <v>0</v>
      </c>
      <c r="BD543" s="266">
        <f>_xlfn.XLOOKUP(FMS_Ranking4[[#This Row],[FMS Type]],FMS_TYPE[FMS_Type],FMS_TYPE[Score])</f>
        <v>4</v>
      </c>
      <c r="BE543" s="267">
        <f>FMS_Ranking4[[#This Row],[FMS_Type Score]]*$BD$5*10</f>
        <v>1</v>
      </c>
      <c r="BF54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6.8861710889573102E-2</v>
      </c>
      <c r="BG543" s="321">
        <f>_xlfn.RANK.EQ(BF543,$BF$8:$BF$870,0)+COUNTIF($BF$8:BF543,BF543)-1</f>
        <v>520</v>
      </c>
      <c r="BH543" s="294">
        <f>(((FMS_Ranking4[[#This Row],[Structures Removed Raw]]/AK$4)*100)*AK$5)+(((FMS_Ranking4[[#This Row],[Removed Pop Raw]]/AR$4)*100)*AR$5)</f>
        <v>0</v>
      </c>
      <c r="BI54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1.068861710889573</v>
      </c>
      <c r="BJ543" s="251">
        <f>_xlfn.RANK.EQ(FMS_Ranking4[[#This Row],[Total Score 
(with linear
normalization)]],FMS_Ranking4[Total Score 
(with linear
normalization)],0)</f>
        <v>681</v>
      </c>
      <c r="BK543" s="251" t="e">
        <f>_xlfn.XLOOKUP(FMS_Ranking4[[#This Row],[FMS ID]],#REF!,#REF!)</f>
        <v>#REF!</v>
      </c>
      <c r="BL54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16.181173262889281</v>
      </c>
      <c r="BM543" s="324">
        <f>FMS_Ranking4[[#This Row],[ArcSinh Score Based on Normalized Reported Factors]]+FMS_Ranking4[[#This Row],[% NBS Score (Normalized)]]+(FMS_Ranking4[[#This Row],[Water Supply Score (Normalized)]]*10*$BB$5)+FMS_Ranking4[[#This Row],[FMS_Type Score Weighted]]</f>
        <v>17.181173262889281</v>
      </c>
      <c r="BN543" s="251">
        <f>_xlfn.RANK.EQ(FMS_Ranking4[[#This Row],[Total Score (with ArcSinh normalization of select criteria)]],FMS_Ranking4[Total Score (with ArcSinh normalization of select criteria)],0)</f>
        <v>536</v>
      </c>
      <c r="BO543" s="270" t="str">
        <f>_xlfn.XLOOKUP(FMS_Ranking4[[#This Row],[FMS ID]],FMS_Input[FMS_ID],FMS_Input[FMS_RANK_YEAR])</f>
        <v>2023 Amended Plan</v>
      </c>
      <c r="BP543" s="204">
        <f>_xlfn.XLOOKUP(FMS_Ranking4[[#This Row],[FMS ID]],Prev_Rank[FMS ID],Prev_Rank[Prev Rank])</f>
        <v>478</v>
      </c>
      <c r="BQ543" s="251" t="e">
        <f>_xlfn.XLOOKUP(FMS_Ranking4[[#This Row],[FMS ID]],#REF!,#REF!)</f>
        <v>#REF!</v>
      </c>
      <c r="BR543" s="199" t="e">
        <f>SUM(#REF!,#REF!,#REF!,#REF!,#REF!,#REF!,#REF!,#REF!,#REF!,FMS_Ranking4[[#This Row],[ArcSinh Res struct removed 0-10]],#REF!)</f>
        <v>#REF!</v>
      </c>
      <c r="BS543" s="199" t="e">
        <f>FMS_Ranking4[[#This Row],[Log Score Based on Normalized Reported Factors]]+FMS_Ranking4[[#This Row],[% NBS Score (Normalized)]]+(FMS_Ranking4[[#This Row],[Water Supply Score (Normalized)]]*10*$BB$5)+(FMS_Ranking4[[#This Row],[FMS_Type Score Weighted]])</f>
        <v>#REF!</v>
      </c>
      <c r="BT543" s="200" t="e">
        <f>_xlfn.RANK.EQ(FMS_Ranking4[[#This Row],[Log Total Score]],FMS_Ranking4[Log Total Score],0)</f>
        <v>#REF!</v>
      </c>
      <c r="BU543" s="200" t="e">
        <f>_xlfn.XLOOKUP(FMS_Ranking4[[#This Row],[FMS ID]],#REF!,#REF!)</f>
        <v>#REF!</v>
      </c>
      <c r="BV543" s="200">
        <f>FMS_Ranking4[[#This Row],[Region Number]]</f>
        <v>5</v>
      </c>
      <c r="BW543" s="200">
        <f>FMS_Ranking4[[#This Row],[Rank (with ArcSinh normalization of select criteria)]]-FMS_Ranking4[[#This Row],[Rank
(with linear
normalization)]]</f>
        <v>-145</v>
      </c>
      <c r="BX543" s="200" t="e">
        <f>FMS_Ranking4[[#This Row],[Log Rank]]-FMS_Ranking4[[#This Row],[Rank
(with linear
normalization)]]</f>
        <v>#REF!</v>
      </c>
      <c r="BY543" s="200" t="str">
        <f>IF(FMS_Ranking4[[#This Row],[FMS Type]]="Flood Measurement and Warning",FMS_Ranking4[[#This Row],[Rank (with ArcSinh normalization of select criteria)]],"")</f>
        <v/>
      </c>
      <c r="BZ543" s="200" t="str">
        <f>IF(FMS_Ranking4[[#This Row],[FMS Type]]="Regulatory and Guidance",FMS_Ranking4[[#This Row],[Rank (with ArcSinh normalization of select criteria)]],"")</f>
        <v/>
      </c>
      <c r="CA543" s="200" t="str">
        <f>IF(FMS_Ranking4[[#This Row],[FMS Type]]="Education and Outreach",FMS_Ranking4[[#This Row],[Rank (with ArcSinh normalization of select criteria)]],"")</f>
        <v/>
      </c>
      <c r="CB543" s="200" t="str">
        <f>IF(FMS_Ranking4[[#This Row],[FMS Type]]="Property Acquisition and Structural Elevation",FMS_Ranking4[[#This Row],[Rank (with ArcSinh normalization of select criteria)]],"")</f>
        <v/>
      </c>
      <c r="CC543" s="200">
        <f>IF(FMS_Ranking4[[#This Row],[FMS Type]]="Infrastructure Projects",FMS_Ranking4[[#This Row],[Rank (with ArcSinh normalization of select criteria)]],"")</f>
        <v>536</v>
      </c>
      <c r="CD543" s="200" t="str">
        <f>IF(FMS_Ranking4[[#This Row],[FMS Type]]="Other",FMS_Ranking4[[#This Row],[Rank (with ArcSinh normalization of select criteria)]],"")</f>
        <v/>
      </c>
      <c r="CE543" s="201"/>
      <c r="CF543" s="206"/>
      <c r="CG543" s="206"/>
      <c r="CH543" s="206"/>
      <c r="CI543" s="206"/>
      <c r="CJ543" s="206"/>
      <c r="CK543" s="206"/>
      <c r="CL543" s="206"/>
      <c r="CM543" s="206"/>
      <c r="CN543" s="206"/>
      <c r="CO543" s="206"/>
      <c r="CP543" s="206"/>
      <c r="CQ543" s="206"/>
      <c r="CR543" s="206"/>
    </row>
    <row r="544" spans="2:96" ht="105" x14ac:dyDescent="0.25">
      <c r="B544" s="341" t="s">
        <v>2634</v>
      </c>
      <c r="C544" s="246">
        <f>_xlfn.XLOOKUP(FMS_Ranking4[[#This Row],[FMS ID]],FMS_Input[FMS_ID],FMS_Input[RFPG_NUM])</f>
        <v>5</v>
      </c>
      <c r="D544" s="309" t="str">
        <f>_xlfn.XLOOKUP(FMS_Ranking4[[#This Row],[FMS ID]],FMS_Input[FMS_ID],FMS_Input[FMS_NAME])</f>
        <v>Anderson County Dam Inspection and Maintenance Program</v>
      </c>
      <c r="E544" s="308" t="str">
        <f>_xlfn.XLOOKUP(FMS_Ranking4[[#This Row],[FMS ID]],FMS_Input[FMS_ID],FMS_Input[SPONSOR])</f>
        <v>00000156</v>
      </c>
      <c r="F544" s="309" t="str">
        <f>_xlfn.XLOOKUP(FMS_Ranking4[[#This Row],[FMS ID]],Sponsor[FMS_ID],Sponsor[SPONSOR NAME])</f>
        <v>Anderson</v>
      </c>
      <c r="G544" s="309" t="str">
        <f>_xlfn.XLOOKUP(FMS_Ranking4[[#This Row],[FMS ID]],FMS_Input[FMS_ID],FMS_Input[FMS_DESCR])</f>
        <v xml:space="preserve">Work with dam owners to keep dams in excellent condition by visiting dam locations and doing inspections with owners to ensure that dams are properly maintained and failure possibilities are greatly reduced. </v>
      </c>
      <c r="H544" s="248" t="str">
        <f>_xlfn.XLOOKUP(FMS_Ranking4[[#This Row],[FMS ID]],FMS_Input[FMS_ID],FMS_Input[FMS_TYPE])</f>
        <v>Infrastructure Projects</v>
      </c>
      <c r="I544" s="249">
        <f>_xlfn.XLOOKUP(FMS_Ranking4[[#This Row],[FMS ID]],FMS_Input[FMS_ID],FMS_Input[NRNC_COST])</f>
        <v>10500</v>
      </c>
      <c r="J544" s="250">
        <f>_xlfn.XLOOKUP(FMS_Ranking4[[#This Row],[FMS ID]],FMS_Input[FMS_ID],FMS_Input[FMS_COST])</f>
        <v>2000000</v>
      </c>
      <c r="K544" s="251" t="str">
        <f>_xlfn.XLOOKUP(FMS_Ranking4[[#This Row],[FMS ID]],FMS_Input[FMS_ID],FMS_Input[EMER_NEED])</f>
        <v>Yes</v>
      </c>
      <c r="L544" s="252">
        <f t="shared" si="8"/>
        <v>1</v>
      </c>
      <c r="M544" s="253">
        <f>_xlfn.XLOOKUP(FMS_Ranking4[[#This Row],[FMS ID]],FMS_Input[FMS_ID],FMS_Input[STRUCT_100])</f>
        <v>69</v>
      </c>
      <c r="N544" s="255">
        <f>(ASINH(FMS_Ranking4[[#This Row],[Structure at Risk Raw]]))*(10)/(ASINH(M$4))</f>
        <v>3.8735963102410209</v>
      </c>
      <c r="O544" s="256">
        <f>FMS_Ranking4[[#This Row],[Structures at risk, ArcSinh (0-10)]]*M$5*10</f>
        <v>3.8735963102410209</v>
      </c>
      <c r="P544" s="253">
        <f>_xlfn.XLOOKUP(FMS_Ranking4[[#This Row],[FMS ID]],FMS_Input[FMS_ID],FMS_Input[RES_STRUCT100])</f>
        <v>28</v>
      </c>
      <c r="Q544" s="257">
        <f>ASINH(FMS_Ranking4[[#This Row],[Res Structure Raw]])/Q$4*P$5*100</f>
        <v>0</v>
      </c>
      <c r="R544" s="253">
        <f>_xlfn.XLOOKUP(FMS_Ranking4[[#This Row],[FMS ID]],FMS_Input[FMS_ID],FMS_Input[POP100])</f>
        <v>73</v>
      </c>
      <c r="S544" s="259">
        <f>(ASINH(FMS_Ranking4[[#This Row],[Pop at Risk Raw]]))*(10)/(ASINH(R$4))</f>
        <v>3.4405061708098197</v>
      </c>
      <c r="T544" s="256">
        <f>FMS_Ranking4[[#This Row],[Population at risk, ArcSinh (0-10)]]*R$5*10</f>
        <v>3.4405061708098201</v>
      </c>
      <c r="U544" s="253">
        <f>_xlfn.XLOOKUP(FMS_Ranking4[[#This Row],[FMS ID]],FMS_Input[FMS_ID],FMS_Input[CRITFAC100])</f>
        <v>0</v>
      </c>
      <c r="V544" s="259">
        <f>(ASINH(FMS_Ranking4[[#This Row],[Critical Facilities Raw]]))*(10)/(ASINH(U$4))</f>
        <v>0</v>
      </c>
      <c r="W544" s="256">
        <f>FMS_Ranking4[[#This Row],[Critical facilities at risk, ArcSinh (0-10)]]*U$5*10</f>
        <v>0</v>
      </c>
      <c r="X544" s="253">
        <f>_xlfn.XLOOKUP(FMS_Ranking4[[#This Row],[FMS ID]],FMS_Input[FMS_ID],FMS_Input[LWC])</f>
        <v>2</v>
      </c>
      <c r="Y544" s="259">
        <f>(ASINH(FMS_Ranking4[[#This Row],[LWC Raw]]))*(10)/(ASINH(X$4))</f>
        <v>1.9557475158633808</v>
      </c>
      <c r="Z544" s="256">
        <f>FMS_Ranking4[[#This Row],[LWC, ArcSInh (0-10)]]*X$5*10</f>
        <v>1.9557475158633808</v>
      </c>
      <c r="AA544" s="253">
        <f>_xlfn.XLOOKUP(FMS_Ranking4[[#This Row],[FMS ID]],FMS_Input[FMS_ID],FMS_Input[ROADCLS])</f>
        <v>2</v>
      </c>
      <c r="AB544" s="255">
        <f>(ASINH(FMS_Ranking4[[#This Row],[Road Closures Raw]]))*(10)/(ASINH(AA$4))</f>
        <v>1.5034138460359754</v>
      </c>
      <c r="AC544" s="256">
        <f>FMS_Ranking4[[#This Row],[Road closures, ArcSinh (0-10)]]*AA$5*10</f>
        <v>0.7517069230179878</v>
      </c>
      <c r="AD544" s="253">
        <f>_xlfn.XLOOKUP(FMS_Ranking4[[#This Row],[FMS ID]],FMS_Input[FMS_ID],FMS_Input[ROAD_MILES100])</f>
        <v>22</v>
      </c>
      <c r="AE544" s="259">
        <f>(ASINH(FMS_Ranking4[[#This Row],[Road Miles Raw]]))*(10)/(ASINH(AD$4))</f>
        <v>4.0334550791562069</v>
      </c>
      <c r="AF544" s="256">
        <f>FMS_Ranking4[[#This Row],[Length of roads at risk, ArcSinh (0-10)]]*AD$5*10</f>
        <v>4.0334550791562069</v>
      </c>
      <c r="AG544" s="253">
        <f>_xlfn.XLOOKUP(FMS_Ranking4[[#This Row],[FMS ID]],FMS_Input[FMS_ID],FMS_Input[FARMACRE100])</f>
        <v>348.31265258789063</v>
      </c>
      <c r="AH544" s="255">
        <f>(ASINH(FMS_Ranking4[[#This Row],[Ag Land Raw]]))*(10)/(ASINH(AG$4))</f>
        <v>4.2523225276017316</v>
      </c>
      <c r="AI544" s="260">
        <f>FMS_Ranking4[[#This Row],[Farm &amp; ranch land, ArcSinh (0-10)]]*AG$5*10</f>
        <v>2.1261612638008658</v>
      </c>
      <c r="AJ544" s="258">
        <f>_xlfn.XLOOKUP(FMS_Ranking4[[#This Row],[FMS ID]],FMS_Input[FMS_ID],FMS_Input[REDSTRUCT100])</f>
        <v>0</v>
      </c>
      <c r="AK544" s="253">
        <f>_xlfn.XLOOKUP(FMS_Ranking4[[#This Row],[FMS ID]],FMS_Input[FMS_ID],FMS_Input[REMSTRC100])</f>
        <v>0</v>
      </c>
      <c r="AL544" s="259">
        <f>(ASINH(FMS_Ranking4[[#This Row],[Structures Removed Raw]]))*(10)/(ASINH(AK$4))</f>
        <v>0</v>
      </c>
      <c r="AM544" s="262">
        <f>FMS_Ranking4[[#This Row],[Structures removed, ArcSinh (0-10)]]*AK$5*10</f>
        <v>0</v>
      </c>
      <c r="AN544" s="253">
        <f>_xlfn.XLOOKUP(FMS_Ranking4[[#This Row],[FMS ID]],FMS_Input[FMS_ID],FMS_Input[REMRESSTRC100])</f>
        <v>0</v>
      </c>
      <c r="AO544" s="261">
        <f>FMS_Ranking4[[#This Row],[ArcSinh Res struct removed 0-10]]*AN$5*10</f>
        <v>0</v>
      </c>
      <c r="AP544" s="260">
        <f>ASINH(FMS_Ranking4[[#This Row],[Residential Structures Removed Raw]])/AP$4*AN$5*100</f>
        <v>0</v>
      </c>
      <c r="AQ544" s="254">
        <f>(ASINH(FMS_Ranking4[[#This Row],[Residential Structures Removed Raw]]))*(10)/(ASINH(AN$4))</f>
        <v>0</v>
      </c>
      <c r="AR544" s="253">
        <f>_xlfn.XLOOKUP(FMS_Ranking4[[#This Row],[FMS ID]],FMS_Input[FMS_ID],FMS_Input[REMPOP100])</f>
        <v>0</v>
      </c>
      <c r="AS544" s="259">
        <f>(ASINH(FMS_Ranking4[[#This Row],[Removed Pop Raw]]))*(10)/(ASINH(AR$4))</f>
        <v>0</v>
      </c>
      <c r="AT544" s="262">
        <f>FMS_Ranking4[[#This Row],[Removed population, ArcSinh (0-10)]]*AR$5*10</f>
        <v>0</v>
      </c>
      <c r="AU544" s="264">
        <f>_xlfn.XLOOKUP(FMS_Ranking4[[#This Row],[FMS ID]],FMS_Input[FMS_ID],FMS_Input[REMCRITFAC100])</f>
        <v>0</v>
      </c>
      <c r="AV544" s="264">
        <f>_xlfn.XLOOKUP(FMS_Ranking4[[#This Row],[FMS ID]],FMS_Input[FMS_ID],FMS_Input[REMLWC100])</f>
        <v>0</v>
      </c>
      <c r="AW544" s="264">
        <f>_xlfn.XLOOKUP(FMS_Ranking4[[#This Row],[FMS ID]],FMS_Input[FMS_ID],FMS_Input[REMROADCLS])</f>
        <v>0</v>
      </c>
      <c r="AX544" s="264">
        <f>_xlfn.XLOOKUP(FMS_Ranking4[[#This Row],[FMS ID]],FMS_Input[FMS_ID],FMS_Input[REMFRMACRE100])</f>
        <v>0</v>
      </c>
      <c r="AY544" s="258">
        <f>_xlfn.XLOOKUP(FMS_Ranking4[[#This Row],[FMS ID]],FMS_Input[FMS_ID],FMS_Input[COSTSTRUCT])</f>
        <v>0</v>
      </c>
      <c r="AZ544" s="253">
        <f>_xlfn.XLOOKUP(FMS_Ranking4[[#This Row],[FMS ID]],FMS_Input[FMS_ID],FMS_Input[NATURE])</f>
        <v>0</v>
      </c>
      <c r="BA544" s="262">
        <f>(((FMS_Ranking4[[#This Row],[% NBS Raw]]/AZ$4)*100)*AZ$5)</f>
        <v>0</v>
      </c>
      <c r="BB544" s="251" t="str">
        <f>_xlfn.XLOOKUP(FMS_Ranking4[[#This Row],[FMS ID]],FMS_Input[FMS_ID],FMS_Input[WATER_SUP])</f>
        <v>No</v>
      </c>
      <c r="BC544" s="265">
        <f>IF(FMS_Ranking4[[#This Row],[Water Supply Raw]]="Yes",10,0)</f>
        <v>0</v>
      </c>
      <c r="BD544" s="266">
        <f>_xlfn.XLOOKUP(FMS_Ranking4[[#This Row],[FMS Type]],FMS_TYPE[FMS_Type],FMS_TYPE[Score])</f>
        <v>4</v>
      </c>
      <c r="BE544" s="267">
        <f>FMS_Ranking4[[#This Row],[FMS_Type Score]]*$BD$5*10</f>
        <v>1</v>
      </c>
      <c r="BF54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6.8861710889573102E-2</v>
      </c>
      <c r="BG544" s="271">
        <f>_xlfn.RANK.EQ(BF544,$BF$8:$BF$870,0)+COUNTIF($BF$8:BF544,BF544)-1</f>
        <v>521</v>
      </c>
      <c r="BH544" s="268">
        <f>(((FMS_Ranking4[[#This Row],[Structures Removed Raw]]/AK$4)*100)*AK$5)+(((FMS_Ranking4[[#This Row],[Removed Pop Raw]]/AR$4)*100)*AR$5)</f>
        <v>0</v>
      </c>
      <c r="BI54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1.068861710889573</v>
      </c>
      <c r="BJ544" s="205">
        <f>_xlfn.RANK.EQ(FMS_Ranking4[[#This Row],[Total Score 
(with linear
normalization)]],FMS_Ranking4[Total Score 
(with linear
normalization)],0)</f>
        <v>681</v>
      </c>
      <c r="BK544" s="205" t="e">
        <f>_xlfn.XLOOKUP(FMS_Ranking4[[#This Row],[FMS ID]],#REF!,#REF!)</f>
        <v>#REF!</v>
      </c>
      <c r="BL54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16.181173262889281</v>
      </c>
      <c r="BM544" s="272">
        <f>FMS_Ranking4[[#This Row],[ArcSinh Score Based on Normalized Reported Factors]]+FMS_Ranking4[[#This Row],[% NBS Score (Normalized)]]+(FMS_Ranking4[[#This Row],[Water Supply Score (Normalized)]]*10*$BB$5)+FMS_Ranking4[[#This Row],[FMS_Type Score Weighted]]</f>
        <v>17.181173262889281</v>
      </c>
      <c r="BN544" s="205">
        <f>_xlfn.RANK.EQ(FMS_Ranking4[[#This Row],[Total Score (with ArcSinh normalization of select criteria)]],FMS_Ranking4[Total Score (with ArcSinh normalization of select criteria)],0)</f>
        <v>536</v>
      </c>
      <c r="BO544" s="270" t="str">
        <f>_xlfn.XLOOKUP(FMS_Ranking4[[#This Row],[FMS ID]],FMS_Input[FMS_ID],FMS_Input[FMS_RANK_YEAR])</f>
        <v>2023 Amended Plan</v>
      </c>
      <c r="BP544" s="204">
        <f>_xlfn.XLOOKUP(FMS_Ranking4[[#This Row],[FMS ID]],Prev_Rank[FMS ID],Prev_Rank[Prev Rank])</f>
        <v>478</v>
      </c>
      <c r="BQ544" s="205" t="e">
        <f>_xlfn.XLOOKUP(FMS_Ranking4[[#This Row],[FMS ID]],#REF!,#REF!)</f>
        <v>#REF!</v>
      </c>
      <c r="BR544" s="199" t="e">
        <f>SUM(#REF!,#REF!,#REF!,#REF!,#REF!,#REF!,#REF!,#REF!,#REF!,FMS_Ranking4[[#This Row],[ArcSinh Res struct removed 0-10]],#REF!)</f>
        <v>#REF!</v>
      </c>
      <c r="BS544" s="199" t="e">
        <f>FMS_Ranking4[[#This Row],[Log Score Based on Normalized Reported Factors]]+FMS_Ranking4[[#This Row],[% NBS Score (Normalized)]]+(FMS_Ranking4[[#This Row],[Water Supply Score (Normalized)]]*10*$BB$5)+(FMS_Ranking4[[#This Row],[FMS_Type Score Weighted]])</f>
        <v>#REF!</v>
      </c>
      <c r="BT544" s="200" t="e">
        <f>_xlfn.RANK.EQ(FMS_Ranking4[[#This Row],[Log Total Score]],FMS_Ranking4[Log Total Score],0)</f>
        <v>#REF!</v>
      </c>
      <c r="BU544" s="200" t="e">
        <f>_xlfn.XLOOKUP(FMS_Ranking4[[#This Row],[FMS ID]],#REF!,#REF!)</f>
        <v>#REF!</v>
      </c>
      <c r="BV544" s="200">
        <f>FMS_Ranking4[[#This Row],[Region Number]]</f>
        <v>5</v>
      </c>
      <c r="BW544" s="200">
        <f>FMS_Ranking4[[#This Row],[Rank (with ArcSinh normalization of select criteria)]]-FMS_Ranking4[[#This Row],[Rank
(with linear
normalization)]]</f>
        <v>-145</v>
      </c>
      <c r="BX544" s="200" t="e">
        <f>FMS_Ranking4[[#This Row],[Log Rank]]-FMS_Ranking4[[#This Row],[Rank
(with linear
normalization)]]</f>
        <v>#REF!</v>
      </c>
      <c r="BY544" s="200" t="str">
        <f>IF(FMS_Ranking4[[#This Row],[FMS Type]]="Flood Measurement and Warning",FMS_Ranking4[[#This Row],[Rank (with ArcSinh normalization of select criteria)]],"")</f>
        <v/>
      </c>
      <c r="BZ544" s="200" t="str">
        <f>IF(FMS_Ranking4[[#This Row],[FMS Type]]="Regulatory and Guidance",FMS_Ranking4[[#This Row],[Rank (with ArcSinh normalization of select criteria)]],"")</f>
        <v/>
      </c>
      <c r="CA544" s="200" t="str">
        <f>IF(FMS_Ranking4[[#This Row],[FMS Type]]="Education and Outreach",FMS_Ranking4[[#This Row],[Rank (with ArcSinh normalization of select criteria)]],"")</f>
        <v/>
      </c>
      <c r="CB544" s="200" t="str">
        <f>IF(FMS_Ranking4[[#This Row],[FMS Type]]="Property Acquisition and Structural Elevation",FMS_Ranking4[[#This Row],[Rank (with ArcSinh normalization of select criteria)]],"")</f>
        <v/>
      </c>
      <c r="CC544" s="200">
        <f>IF(FMS_Ranking4[[#This Row],[FMS Type]]="Infrastructure Projects",FMS_Ranking4[[#This Row],[Rank (with ArcSinh normalization of select criteria)]],"")</f>
        <v>536</v>
      </c>
      <c r="CD544" s="200" t="str">
        <f>IF(FMS_Ranking4[[#This Row],[FMS Type]]="Other",FMS_Ranking4[[#This Row],[Rank (with ArcSinh normalization of select criteria)]],"")</f>
        <v/>
      </c>
      <c r="CE544" s="201"/>
      <c r="CF544" s="206"/>
      <c r="CG544" s="206"/>
      <c r="CH544" s="206"/>
      <c r="CI544" s="206"/>
      <c r="CJ544" s="206"/>
      <c r="CK544" s="206"/>
      <c r="CL544" s="206"/>
      <c r="CM544" s="206"/>
      <c r="CN544" s="206"/>
      <c r="CO544" s="206"/>
      <c r="CP544" s="206"/>
      <c r="CQ544" s="206"/>
      <c r="CR544" s="206"/>
    </row>
    <row r="545" spans="2:96" ht="30" x14ac:dyDescent="0.25">
      <c r="B545" s="341" t="s">
        <v>1682</v>
      </c>
      <c r="C545" s="246">
        <f>_xlfn.XLOOKUP(FMS_Ranking4[[#This Row],[FMS ID]],FMS_Input[FMS_ID],FMS_Input[RFPG_NUM])</f>
        <v>2</v>
      </c>
      <c r="D545" s="309" t="str">
        <f>_xlfn.XLOOKUP(FMS_Ranking4[[#This Row],[FMS ID]],FMS_Input[FMS_ID],FMS_Input[FMS_NAME])</f>
        <v>City of Commerce CRS Involvement</v>
      </c>
      <c r="E545" s="308" t="str">
        <f>_xlfn.XLOOKUP(FMS_Ranking4[[#This Row],[FMS ID]],FMS_Input[FMS_ID],FMS_Input[SPONSOR])</f>
        <v>City of Commerce</v>
      </c>
      <c r="F545" s="309" t="str">
        <f>_xlfn.XLOOKUP(FMS_Ranking4[[#This Row],[FMS ID]],Sponsor[FMS_ID],Sponsor[SPONSOR NAME])</f>
        <v>City of Commerce</v>
      </c>
      <c r="G545" s="309" t="str">
        <f>_xlfn.XLOOKUP(FMS_Ranking4[[#This Row],[FMS ID]],FMS_Input[FMS_ID],FMS_Input[FMS_DESCR])</f>
        <v>Become an NFIP Community Rating System (CRS) Community</v>
      </c>
      <c r="H545" s="248" t="str">
        <f>_xlfn.XLOOKUP(FMS_Ranking4[[#This Row],[FMS ID]],FMS_Input[FMS_ID],FMS_Input[FMS_TYPE])</f>
        <v>Regulatory and Guidance</v>
      </c>
      <c r="I545" s="249">
        <f>_xlfn.XLOOKUP(FMS_Ranking4[[#This Row],[FMS ID]],FMS_Input[FMS_ID],FMS_Input[NRNC_COST])</f>
        <v>100000</v>
      </c>
      <c r="J545" s="250">
        <f>_xlfn.XLOOKUP(FMS_Ranking4[[#This Row],[FMS ID]],FMS_Input[FMS_ID],FMS_Input[FMS_COST])</f>
        <v>100000</v>
      </c>
      <c r="K545" s="251" t="str">
        <f>_xlfn.XLOOKUP(FMS_Ranking4[[#This Row],[FMS ID]],FMS_Input[FMS_ID],FMS_Input[EMER_NEED])</f>
        <v>No</v>
      </c>
      <c r="L545" s="252">
        <f t="shared" si="8"/>
        <v>0</v>
      </c>
      <c r="M545" s="253">
        <f>_xlfn.XLOOKUP(FMS_Ranking4[[#This Row],[FMS ID]],FMS_Input[FMS_ID],FMS_Input[STRUCT_100])</f>
        <v>79</v>
      </c>
      <c r="N545" s="255">
        <f>(ASINH(FMS_Ranking4[[#This Row],[Structure at Risk Raw]]))*(10)/(ASINH(M$4))</f>
        <v>3.9799849731225856</v>
      </c>
      <c r="O545" s="256">
        <f>FMS_Ranking4[[#This Row],[Structures at risk, ArcSinh (0-10)]]*M$5*10</f>
        <v>3.9799849731225856</v>
      </c>
      <c r="P545" s="253">
        <f>_xlfn.XLOOKUP(FMS_Ranking4[[#This Row],[FMS ID]],FMS_Input[FMS_ID],FMS_Input[RES_STRUCT100])</f>
        <v>56</v>
      </c>
      <c r="Q545" s="257">
        <f>ASINH(FMS_Ranking4[[#This Row],[Res Structure Raw]])/Q$4*P$5*100</f>
        <v>0</v>
      </c>
      <c r="R545" s="253">
        <f>_xlfn.XLOOKUP(FMS_Ranking4[[#This Row],[FMS ID]],FMS_Input[FMS_ID],FMS_Input[POP100])</f>
        <v>1179</v>
      </c>
      <c r="S545" s="259">
        <f>(ASINH(FMS_Ranking4[[#This Row],[Pop at Risk Raw]]))*(10)/(ASINH(R$4))</f>
        <v>5.361024556209661</v>
      </c>
      <c r="T545" s="256">
        <f>FMS_Ranking4[[#This Row],[Population at risk, ArcSinh (0-10)]]*R$5*10</f>
        <v>5.3610245562096619</v>
      </c>
      <c r="U545" s="253">
        <f>_xlfn.XLOOKUP(FMS_Ranking4[[#This Row],[FMS ID]],FMS_Input[FMS_ID],FMS_Input[CRITFAC100])</f>
        <v>1</v>
      </c>
      <c r="V545" s="259">
        <f>(ASINH(FMS_Ranking4[[#This Row],[Critical Facilities Raw]]))*(10)/(ASINH(U$4))</f>
        <v>1.0433384451410745</v>
      </c>
      <c r="W545" s="256">
        <f>FMS_Ranking4[[#This Row],[Critical facilities at risk, ArcSinh (0-10)]]*U$5*10</f>
        <v>1.0433384451410745</v>
      </c>
      <c r="X545" s="253">
        <f>_xlfn.XLOOKUP(FMS_Ranking4[[#This Row],[FMS ID]],FMS_Input[FMS_ID],FMS_Input[LWC])</f>
        <v>0</v>
      </c>
      <c r="Y545" s="259">
        <f>(ASINH(FMS_Ranking4[[#This Row],[LWC Raw]]))*(10)/(ASINH(X$4))</f>
        <v>0</v>
      </c>
      <c r="Z545" s="256">
        <f>FMS_Ranking4[[#This Row],[LWC, ArcSInh (0-10)]]*X$5*10</f>
        <v>0</v>
      </c>
      <c r="AA545" s="253">
        <f>_xlfn.XLOOKUP(FMS_Ranking4[[#This Row],[FMS ID]],FMS_Input[FMS_ID],FMS_Input[ROADCLS])</f>
        <v>0</v>
      </c>
      <c r="AB545" s="255">
        <f>(ASINH(FMS_Ranking4[[#This Row],[Road Closures Raw]]))*(10)/(ASINH(AA$4))</f>
        <v>0</v>
      </c>
      <c r="AC545" s="256">
        <f>FMS_Ranking4[[#This Row],[Road closures, ArcSinh (0-10)]]*AA$5*10</f>
        <v>0</v>
      </c>
      <c r="AD545" s="253">
        <f>_xlfn.XLOOKUP(FMS_Ranking4[[#This Row],[FMS ID]],FMS_Input[FMS_ID],FMS_Input[ROAD_MILES100])</f>
        <v>10</v>
      </c>
      <c r="AE545" s="259">
        <f>(ASINH(FMS_Ranking4[[#This Row],[Road Miles Raw]]))*(10)/(ASINH(AD$4))</f>
        <v>3.1952807811982975</v>
      </c>
      <c r="AF545" s="256">
        <f>FMS_Ranking4[[#This Row],[Length of roads at risk, ArcSinh (0-10)]]*AD$5*10</f>
        <v>3.1952807811982975</v>
      </c>
      <c r="AG545" s="253">
        <f>_xlfn.XLOOKUP(FMS_Ranking4[[#This Row],[FMS ID]],FMS_Input[FMS_ID],FMS_Input[FARMACRE100])</f>
        <v>66.463325500488281</v>
      </c>
      <c r="AH545" s="255">
        <f>(ASINH(FMS_Ranking4[[#This Row],[Ag Land Raw]]))*(10)/(ASINH(AG$4))</f>
        <v>3.1763585913787948</v>
      </c>
      <c r="AI545" s="260">
        <f>FMS_Ranking4[[#This Row],[Farm &amp; ranch land, ArcSinh (0-10)]]*AG$5*10</f>
        <v>1.5881792956893976</v>
      </c>
      <c r="AJ545" s="258">
        <f>_xlfn.XLOOKUP(FMS_Ranking4[[#This Row],[FMS ID]],FMS_Input[FMS_ID],FMS_Input[REDSTRUCT100])</f>
        <v>0</v>
      </c>
      <c r="AK545" s="253">
        <f>_xlfn.XLOOKUP(FMS_Ranking4[[#This Row],[FMS ID]],FMS_Input[FMS_ID],FMS_Input[REMSTRC100])</f>
        <v>0</v>
      </c>
      <c r="AL545" s="259">
        <f>(ASINH(FMS_Ranking4[[#This Row],[Structures Removed Raw]]))*(10)/(ASINH(AK$4))</f>
        <v>0</v>
      </c>
      <c r="AM545" s="262">
        <f>FMS_Ranking4[[#This Row],[Structures removed, ArcSinh (0-10)]]*AK$5*10</f>
        <v>0</v>
      </c>
      <c r="AN545" s="253">
        <f>_xlfn.XLOOKUP(FMS_Ranking4[[#This Row],[FMS ID]],FMS_Input[FMS_ID],FMS_Input[REMRESSTRC100])</f>
        <v>0</v>
      </c>
      <c r="AO545" s="261">
        <f>FMS_Ranking4[[#This Row],[ArcSinh Res struct removed 0-10]]*AN$5*10</f>
        <v>0</v>
      </c>
      <c r="AP545" s="260">
        <f>ASINH(FMS_Ranking4[[#This Row],[Residential Structures Removed Raw]])/AP$4*AN$5*100</f>
        <v>0</v>
      </c>
      <c r="AQ545" s="254">
        <f>(ASINH(FMS_Ranking4[[#This Row],[Residential Structures Removed Raw]]))*(10)/(ASINH(AN$4))</f>
        <v>0</v>
      </c>
      <c r="AR545" s="253">
        <f>_xlfn.XLOOKUP(FMS_Ranking4[[#This Row],[FMS ID]],FMS_Input[FMS_ID],FMS_Input[REMPOP100])</f>
        <v>0</v>
      </c>
      <c r="AS545" s="259">
        <f>(ASINH(FMS_Ranking4[[#This Row],[Removed Pop Raw]]))*(10)/(ASINH(AR$4))</f>
        <v>0</v>
      </c>
      <c r="AT545" s="262">
        <f>FMS_Ranking4[[#This Row],[Removed population, ArcSinh (0-10)]]*AR$5*10</f>
        <v>0</v>
      </c>
      <c r="AU545" s="264">
        <f>_xlfn.XLOOKUP(FMS_Ranking4[[#This Row],[FMS ID]],FMS_Input[FMS_ID],FMS_Input[REMCRITFAC100])</f>
        <v>0</v>
      </c>
      <c r="AV545" s="264">
        <f>_xlfn.XLOOKUP(FMS_Ranking4[[#This Row],[FMS ID]],FMS_Input[FMS_ID],FMS_Input[REMLWC100])</f>
        <v>0</v>
      </c>
      <c r="AW545" s="264">
        <f>_xlfn.XLOOKUP(FMS_Ranking4[[#This Row],[FMS ID]],FMS_Input[FMS_ID],FMS_Input[REMROADCLS])</f>
        <v>0</v>
      </c>
      <c r="AX545" s="264">
        <f>_xlfn.XLOOKUP(FMS_Ranking4[[#This Row],[FMS ID]],FMS_Input[FMS_ID],FMS_Input[REMFRMACRE100])</f>
        <v>0</v>
      </c>
      <c r="AY545" s="258">
        <f>_xlfn.XLOOKUP(FMS_Ranking4[[#This Row],[FMS ID]],FMS_Input[FMS_ID],FMS_Input[COSTSTRUCT])</f>
        <v>0</v>
      </c>
      <c r="AZ545" s="253">
        <f>_xlfn.XLOOKUP(FMS_Ranking4[[#This Row],[FMS ID]],FMS_Input[FMS_ID],FMS_Input[NATURE])</f>
        <v>0</v>
      </c>
      <c r="BA545" s="262">
        <f>(((FMS_Ranking4[[#This Row],[% NBS Raw]]/AZ$4)*100)*AZ$5)</f>
        <v>0</v>
      </c>
      <c r="BB545" s="251" t="str">
        <f>_xlfn.XLOOKUP(FMS_Ranking4[[#This Row],[FMS ID]],FMS_Input[FMS_ID],FMS_Input[WATER_SUP])</f>
        <v>No</v>
      </c>
      <c r="BC545" s="265">
        <f>IF(FMS_Ranking4[[#This Row],[Water Supply Raw]]="Yes",10,0)</f>
        <v>0</v>
      </c>
      <c r="BD545" s="266">
        <f>_xlfn.XLOOKUP(FMS_Ranking4[[#This Row],[FMS Type]],FMS_TYPE[FMS_Type],FMS_TYPE[Score])</f>
        <v>8</v>
      </c>
      <c r="BE545" s="267">
        <f>FMS_Ranking4[[#This Row],[FMS_Type Score]]*$BD$5*10</f>
        <v>2</v>
      </c>
      <c r="BF54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3.8042518664080149E-2</v>
      </c>
      <c r="BG545" s="271">
        <f>_xlfn.RANK.EQ(BF545,$BF$8:$BF$870,0)+COUNTIF($BF$8:BF545,BF545)-1</f>
        <v>583</v>
      </c>
      <c r="BH545" s="268">
        <f>(((FMS_Ranking4[[#This Row],[Structures Removed Raw]]/AK$4)*100)*AK$5)+(((FMS_Ranking4[[#This Row],[Removed Pop Raw]]/AR$4)*100)*AR$5)</f>
        <v>0</v>
      </c>
      <c r="BI54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2.03804251866408</v>
      </c>
      <c r="BJ545" s="205">
        <f>_xlfn.RANK.EQ(FMS_Ranking4[[#This Row],[Total Score 
(with linear
normalization)]],FMS_Ranking4[Total Score 
(with linear
normalization)],0)</f>
        <v>394</v>
      </c>
      <c r="BK545" s="205" t="e">
        <f>_xlfn.XLOOKUP(FMS_Ranking4[[#This Row],[FMS ID]],#REF!,#REF!)</f>
        <v>#REF!</v>
      </c>
      <c r="BL54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15.167808051361018</v>
      </c>
      <c r="BM545" s="272">
        <f>FMS_Ranking4[[#This Row],[ArcSinh Score Based on Normalized Reported Factors]]+FMS_Ranking4[[#This Row],[% NBS Score (Normalized)]]+(FMS_Ranking4[[#This Row],[Water Supply Score (Normalized)]]*10*$BB$5)+FMS_Ranking4[[#This Row],[FMS_Type Score Weighted]]</f>
        <v>17.167808051361018</v>
      </c>
      <c r="BN545" s="205">
        <f>_xlfn.RANK.EQ(FMS_Ranking4[[#This Row],[Total Score (with ArcSinh normalization of select criteria)]],FMS_Ranking4[Total Score (with ArcSinh normalization of select criteria)],0)</f>
        <v>538</v>
      </c>
      <c r="BO545" s="270" t="str">
        <f>_xlfn.XLOOKUP(FMS_Ranking4[[#This Row],[FMS ID]],FMS_Input[FMS_ID],FMS_Input[FMS_RANK_YEAR])</f>
        <v>2023 Amended Plan</v>
      </c>
      <c r="BP545" s="204">
        <f>_xlfn.XLOOKUP(FMS_Ranking4[[#This Row],[FMS ID]],Prev_Rank[FMS ID],Prev_Rank[Prev Rank])</f>
        <v>474</v>
      </c>
      <c r="BQ545" s="205" t="e">
        <f>_xlfn.XLOOKUP(FMS_Ranking4[[#This Row],[FMS ID]],#REF!,#REF!)</f>
        <v>#REF!</v>
      </c>
      <c r="BR545" s="199" t="e">
        <f>SUM(#REF!,#REF!,#REF!,#REF!,#REF!,#REF!,#REF!,#REF!,#REF!,FMS_Ranking4[[#This Row],[ArcSinh Res struct removed 0-10]],#REF!)</f>
        <v>#REF!</v>
      </c>
      <c r="BS545" s="199" t="e">
        <f>FMS_Ranking4[[#This Row],[Log Score Based on Normalized Reported Factors]]+FMS_Ranking4[[#This Row],[% NBS Score (Normalized)]]+(FMS_Ranking4[[#This Row],[Water Supply Score (Normalized)]]*10*$BB$5)+(FMS_Ranking4[[#This Row],[FMS_Type Score Weighted]])</f>
        <v>#REF!</v>
      </c>
      <c r="BT545" s="200" t="e">
        <f>_xlfn.RANK.EQ(FMS_Ranking4[[#This Row],[Log Total Score]],FMS_Ranking4[Log Total Score],0)</f>
        <v>#REF!</v>
      </c>
      <c r="BU545" s="200" t="e">
        <f>_xlfn.XLOOKUP(FMS_Ranking4[[#This Row],[FMS ID]],#REF!,#REF!)</f>
        <v>#REF!</v>
      </c>
      <c r="BV545" s="200">
        <f>FMS_Ranking4[[#This Row],[Region Number]]</f>
        <v>2</v>
      </c>
      <c r="BW545" s="200">
        <f>FMS_Ranking4[[#This Row],[Rank (with ArcSinh normalization of select criteria)]]-FMS_Ranking4[[#This Row],[Rank
(with linear
normalization)]]</f>
        <v>144</v>
      </c>
      <c r="BX545" s="200" t="e">
        <f>FMS_Ranking4[[#This Row],[Log Rank]]-FMS_Ranking4[[#This Row],[Rank
(with linear
normalization)]]</f>
        <v>#REF!</v>
      </c>
      <c r="BY545" s="200" t="str">
        <f>IF(FMS_Ranking4[[#This Row],[FMS Type]]="Flood Measurement and Warning",FMS_Ranking4[[#This Row],[Rank (with ArcSinh normalization of select criteria)]],"")</f>
        <v/>
      </c>
      <c r="BZ545" s="200">
        <f>IF(FMS_Ranking4[[#This Row],[FMS Type]]="Regulatory and Guidance",FMS_Ranking4[[#This Row],[Rank (with ArcSinh normalization of select criteria)]],"")</f>
        <v>538</v>
      </c>
      <c r="CA545" s="200" t="str">
        <f>IF(FMS_Ranking4[[#This Row],[FMS Type]]="Education and Outreach",FMS_Ranking4[[#This Row],[Rank (with ArcSinh normalization of select criteria)]],"")</f>
        <v/>
      </c>
      <c r="CB545" s="200" t="str">
        <f>IF(FMS_Ranking4[[#This Row],[FMS Type]]="Property Acquisition and Structural Elevation",FMS_Ranking4[[#This Row],[Rank (with ArcSinh normalization of select criteria)]],"")</f>
        <v/>
      </c>
      <c r="CC545" s="200" t="str">
        <f>IF(FMS_Ranking4[[#This Row],[FMS Type]]="Infrastructure Projects",FMS_Ranking4[[#This Row],[Rank (with ArcSinh normalization of select criteria)]],"")</f>
        <v/>
      </c>
      <c r="CD545" s="200" t="str">
        <f>IF(FMS_Ranking4[[#This Row],[FMS Type]]="Other",FMS_Ranking4[[#This Row],[Rank (with ArcSinh normalization of select criteria)]],"")</f>
        <v/>
      </c>
      <c r="CE545" s="201"/>
      <c r="CF545" s="206"/>
      <c r="CG545" s="206"/>
      <c r="CH545" s="206"/>
      <c r="CI545" s="206"/>
      <c r="CJ545" s="206"/>
      <c r="CK545" s="206"/>
      <c r="CL545" s="206"/>
      <c r="CM545" s="206"/>
      <c r="CN545" s="206"/>
      <c r="CO545" s="206"/>
      <c r="CP545" s="206"/>
      <c r="CQ545" s="206"/>
      <c r="CR545" s="206"/>
    </row>
    <row r="546" spans="2:96" ht="90" x14ac:dyDescent="0.25">
      <c r="B546" s="341" t="s">
        <v>3825</v>
      </c>
      <c r="C546" s="246">
        <f>_xlfn.XLOOKUP(FMS_Ranking4[[#This Row],[FMS ID]],FMS_Input[FMS_ID],FMS_Input[RFPG_NUM])</f>
        <v>13</v>
      </c>
      <c r="D546" s="309" t="str">
        <f>_xlfn.XLOOKUP(FMS_Ranking4[[#This Row],[FMS ID]],FMS_Input[FMS_ID],FMS_Input[FMS_NAME])</f>
        <v>Duval County Master Plan- Adopt and Enforce Design Standards and Ordinances in Freer</v>
      </c>
      <c r="E546" s="308" t="str">
        <f>_xlfn.XLOOKUP(FMS_Ranking4[[#This Row],[FMS ID]],FMS_Input[FMS_ID],FMS_Input[SPONSOR])</f>
        <v>13000079</v>
      </c>
      <c r="F546" s="309" t="str">
        <f>_xlfn.XLOOKUP(FMS_Ranking4[[#This Row],[FMS ID]],Sponsor[FMS_ID],Sponsor[SPONSOR NAME])</f>
        <v>Duval</v>
      </c>
      <c r="G546" s="309" t="str">
        <f>_xlfn.XLOOKUP(FMS_Ranking4[[#This Row],[FMS ID]],FMS_Input[FMS_ID],FMS_Input[FMS_DESCR])</f>
        <v>Adopt and enforce design standards and ordinances for new construction projects. Separate design standards exclusively about drainage should be considered.</v>
      </c>
      <c r="H546" s="248" t="str">
        <f>_xlfn.XLOOKUP(FMS_Ranking4[[#This Row],[FMS ID]],FMS_Input[FMS_ID],FMS_Input[FMS_TYPE])</f>
        <v>Regulatory and Guidance</v>
      </c>
      <c r="I546" s="249">
        <f>_xlfn.XLOOKUP(FMS_Ranking4[[#This Row],[FMS ID]],FMS_Input[FMS_ID],FMS_Input[NRNC_COST])</f>
        <v>100000</v>
      </c>
      <c r="J546" s="250">
        <f>_xlfn.XLOOKUP(FMS_Ranking4[[#This Row],[FMS ID]],FMS_Input[FMS_ID],FMS_Input[FMS_COST])</f>
        <v>100000</v>
      </c>
      <c r="K546" s="251" t="str">
        <f>_xlfn.XLOOKUP(FMS_Ranking4[[#This Row],[FMS ID]],FMS_Input[FMS_ID],FMS_Input[EMER_NEED])</f>
        <v>Yes</v>
      </c>
      <c r="L546" s="252">
        <f t="shared" si="8"/>
        <v>1</v>
      </c>
      <c r="M546" s="253">
        <f>_xlfn.XLOOKUP(FMS_Ranking4[[#This Row],[FMS ID]],FMS_Input[FMS_ID],FMS_Input[STRUCT_100])</f>
        <v>259</v>
      </c>
      <c r="N546" s="255">
        <f>(ASINH(FMS_Ranking4[[#This Row],[Structure at Risk Raw]]))*(10)/(ASINH(M$4))</f>
        <v>4.9134140512569662</v>
      </c>
      <c r="O546" s="256">
        <f>FMS_Ranking4[[#This Row],[Structures at risk, ArcSinh (0-10)]]*M$5*10</f>
        <v>4.9134140512569662</v>
      </c>
      <c r="P546" s="253">
        <f>_xlfn.XLOOKUP(FMS_Ranking4[[#This Row],[FMS ID]],FMS_Input[FMS_ID],FMS_Input[RES_STRUCT100])</f>
        <v>173</v>
      </c>
      <c r="Q546" s="257">
        <f>ASINH(FMS_Ranking4[[#This Row],[Res Structure Raw]])/Q$4*P$5*100</f>
        <v>0</v>
      </c>
      <c r="R546" s="253">
        <f>_xlfn.XLOOKUP(FMS_Ranking4[[#This Row],[FMS ID]],FMS_Input[FMS_ID],FMS_Input[POP100])</f>
        <v>343</v>
      </c>
      <c r="S546" s="259">
        <f>(ASINH(FMS_Ranking4[[#This Row],[Pop at Risk Raw]]))*(10)/(ASINH(R$4))</f>
        <v>4.5086465075861186</v>
      </c>
      <c r="T546" s="256">
        <f>FMS_Ranking4[[#This Row],[Population at risk, ArcSinh (0-10)]]*R$5*10</f>
        <v>4.5086465075861186</v>
      </c>
      <c r="U546" s="253">
        <f>_xlfn.XLOOKUP(FMS_Ranking4[[#This Row],[FMS ID]],FMS_Input[FMS_ID],FMS_Input[CRITFAC100])</f>
        <v>0</v>
      </c>
      <c r="V546" s="259">
        <f>(ASINH(FMS_Ranking4[[#This Row],[Critical Facilities Raw]]))*(10)/(ASINH(U$4))</f>
        <v>0</v>
      </c>
      <c r="W546" s="256">
        <f>FMS_Ranking4[[#This Row],[Critical facilities at risk, ArcSinh (0-10)]]*U$5*10</f>
        <v>0</v>
      </c>
      <c r="X546" s="253">
        <f>_xlfn.XLOOKUP(FMS_Ranking4[[#This Row],[FMS ID]],FMS_Input[FMS_ID],FMS_Input[LWC])</f>
        <v>0</v>
      </c>
      <c r="Y546" s="259">
        <f>(ASINH(FMS_Ranking4[[#This Row],[LWC Raw]]))*(10)/(ASINH(X$4))</f>
        <v>0</v>
      </c>
      <c r="Z546" s="256">
        <f>FMS_Ranking4[[#This Row],[LWC, ArcSInh (0-10)]]*X$5*10</f>
        <v>0</v>
      </c>
      <c r="AA546" s="253">
        <f>_xlfn.XLOOKUP(FMS_Ranking4[[#This Row],[FMS ID]],FMS_Input[FMS_ID],FMS_Input[ROADCLS])</f>
        <v>38</v>
      </c>
      <c r="AB546" s="255">
        <f>(ASINH(FMS_Ranking4[[#This Row],[Road Closures Raw]]))*(10)/(ASINH(AA$4))</f>
        <v>4.5102415381079259</v>
      </c>
      <c r="AC546" s="256">
        <f>FMS_Ranking4[[#This Row],[Road closures, ArcSinh (0-10)]]*AA$5*10</f>
        <v>2.2551207690539634</v>
      </c>
      <c r="AD546" s="253">
        <f>_xlfn.XLOOKUP(FMS_Ranking4[[#This Row],[FMS ID]],FMS_Input[FMS_ID],FMS_Input[ROAD_MILES100])</f>
        <v>5</v>
      </c>
      <c r="AE546" s="259">
        <f>(ASINH(FMS_Ranking4[[#This Row],[Road Miles Raw]]))*(10)/(ASINH(AD$4))</f>
        <v>2.4644230639487872</v>
      </c>
      <c r="AF546" s="256">
        <f>FMS_Ranking4[[#This Row],[Length of roads at risk, ArcSinh (0-10)]]*AD$5*10</f>
        <v>2.4644230639487876</v>
      </c>
      <c r="AG546" s="253">
        <f>_xlfn.XLOOKUP(FMS_Ranking4[[#This Row],[FMS ID]],FMS_Input[FMS_ID],FMS_Input[FARMACRE100])</f>
        <v>10.355801582336429</v>
      </c>
      <c r="AH546" s="255">
        <f>(ASINH(FMS_Ranking4[[#This Row],[Ag Land Raw]]))*(10)/(ASINH(AG$4))</f>
        <v>1.970191727452633</v>
      </c>
      <c r="AI546" s="260">
        <f>FMS_Ranking4[[#This Row],[Farm &amp; ranch land, ArcSinh (0-10)]]*AG$5*10</f>
        <v>0.98509586372631652</v>
      </c>
      <c r="AJ546" s="258">
        <f>_xlfn.XLOOKUP(FMS_Ranking4[[#This Row],[FMS ID]],FMS_Input[FMS_ID],FMS_Input[REDSTRUCT100])</f>
        <v>0</v>
      </c>
      <c r="AK546" s="253">
        <f>_xlfn.XLOOKUP(FMS_Ranking4[[#This Row],[FMS ID]],FMS_Input[FMS_ID],FMS_Input[REMSTRC100])</f>
        <v>0</v>
      </c>
      <c r="AL546" s="259">
        <f>(ASINH(FMS_Ranking4[[#This Row],[Structures Removed Raw]]))*(10)/(ASINH(AK$4))</f>
        <v>0</v>
      </c>
      <c r="AM546" s="262">
        <f>FMS_Ranking4[[#This Row],[Structures removed, ArcSinh (0-10)]]*AK$5*10</f>
        <v>0</v>
      </c>
      <c r="AN546" s="253">
        <f>_xlfn.XLOOKUP(FMS_Ranking4[[#This Row],[FMS ID]],FMS_Input[FMS_ID],FMS_Input[REMRESSTRC100])</f>
        <v>0</v>
      </c>
      <c r="AO546" s="261">
        <f>FMS_Ranking4[[#This Row],[ArcSinh Res struct removed 0-10]]*AN$5*10</f>
        <v>0</v>
      </c>
      <c r="AP546" s="260">
        <f>ASINH(FMS_Ranking4[[#This Row],[Residential Structures Removed Raw]])/AP$4*AN$5*100</f>
        <v>0</v>
      </c>
      <c r="AQ546" s="254">
        <f>(ASINH(FMS_Ranking4[[#This Row],[Residential Structures Removed Raw]]))*(10)/(ASINH(AN$4))</f>
        <v>0</v>
      </c>
      <c r="AR546" s="253">
        <f>_xlfn.XLOOKUP(FMS_Ranking4[[#This Row],[FMS ID]],FMS_Input[FMS_ID],FMS_Input[REMPOP100])</f>
        <v>0</v>
      </c>
      <c r="AS546" s="259">
        <f>(ASINH(FMS_Ranking4[[#This Row],[Removed Pop Raw]]))*(10)/(ASINH(AR$4))</f>
        <v>0</v>
      </c>
      <c r="AT546" s="262">
        <f>FMS_Ranking4[[#This Row],[Removed population, ArcSinh (0-10)]]*AR$5*10</f>
        <v>0</v>
      </c>
      <c r="AU546" s="264">
        <f>_xlfn.XLOOKUP(FMS_Ranking4[[#This Row],[FMS ID]],FMS_Input[FMS_ID],FMS_Input[REMCRITFAC100])</f>
        <v>0</v>
      </c>
      <c r="AV546" s="264">
        <f>_xlfn.XLOOKUP(FMS_Ranking4[[#This Row],[FMS ID]],FMS_Input[FMS_ID],FMS_Input[REMLWC100])</f>
        <v>0</v>
      </c>
      <c r="AW546" s="264">
        <f>_xlfn.XLOOKUP(FMS_Ranking4[[#This Row],[FMS ID]],FMS_Input[FMS_ID],FMS_Input[REMROADCLS])</f>
        <v>0</v>
      </c>
      <c r="AX546" s="264">
        <f>_xlfn.XLOOKUP(FMS_Ranking4[[#This Row],[FMS ID]],FMS_Input[FMS_ID],FMS_Input[REMFRMACRE100])</f>
        <v>0</v>
      </c>
      <c r="AY546" s="258">
        <f>_xlfn.XLOOKUP(FMS_Ranking4[[#This Row],[FMS ID]],FMS_Input[FMS_ID],FMS_Input[COSTSTRUCT])</f>
        <v>0</v>
      </c>
      <c r="AZ546" s="253">
        <f>_xlfn.XLOOKUP(FMS_Ranking4[[#This Row],[FMS ID]],FMS_Input[FMS_ID],FMS_Input[NATURE])</f>
        <v>0</v>
      </c>
      <c r="BA546" s="262">
        <f>(((FMS_Ranking4[[#This Row],[% NBS Raw]]/AZ$4)*100)*AZ$5)</f>
        <v>0</v>
      </c>
      <c r="BB546" s="251" t="str">
        <f>_xlfn.XLOOKUP(FMS_Ranking4[[#This Row],[FMS ID]],FMS_Input[FMS_ID],FMS_Input[WATER_SUP])</f>
        <v>No</v>
      </c>
      <c r="BC546" s="265">
        <f>IF(FMS_Ranking4[[#This Row],[Water Supply Raw]]="Yes",10,0)</f>
        <v>0</v>
      </c>
      <c r="BD546" s="266">
        <f>_xlfn.XLOOKUP(FMS_Ranking4[[#This Row],[FMS Type]],FMS_TYPE[FMS_Type],FMS_TYPE[Score])</f>
        <v>8</v>
      </c>
      <c r="BE546" s="267">
        <f>FMS_Ranking4[[#This Row],[FMS_Type Score]]*$BD$5*10</f>
        <v>2</v>
      </c>
      <c r="BF54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5.3108371797499013E-2</v>
      </c>
      <c r="BG546" s="271">
        <f>_xlfn.RANK.EQ(BF546,$BF$8:$BF$870,0)+COUNTIF($BF$8:BF546,BF546)-1</f>
        <v>556</v>
      </c>
      <c r="BH546" s="268">
        <f>(((FMS_Ranking4[[#This Row],[Structures Removed Raw]]/AK$4)*100)*AK$5)+(((FMS_Ranking4[[#This Row],[Removed Pop Raw]]/AR$4)*100)*AR$5)</f>
        <v>0</v>
      </c>
      <c r="BI54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2.0531083717974989</v>
      </c>
      <c r="BJ546" s="205">
        <f>_xlfn.RANK.EQ(FMS_Ranking4[[#This Row],[Total Score 
(with linear
normalization)]],FMS_Ranking4[Total Score 
(with linear
normalization)],0)</f>
        <v>385</v>
      </c>
      <c r="BK546" s="205" t="e">
        <f>_xlfn.XLOOKUP(FMS_Ranking4[[#This Row],[FMS ID]],#REF!,#REF!)</f>
        <v>#REF!</v>
      </c>
      <c r="BL54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15.126700255572153</v>
      </c>
      <c r="BM546" s="272">
        <f>FMS_Ranking4[[#This Row],[ArcSinh Score Based on Normalized Reported Factors]]+FMS_Ranking4[[#This Row],[% NBS Score (Normalized)]]+(FMS_Ranking4[[#This Row],[Water Supply Score (Normalized)]]*10*$BB$5)+FMS_Ranking4[[#This Row],[FMS_Type Score Weighted]]</f>
        <v>17.126700255572153</v>
      </c>
      <c r="BN546" s="205">
        <f>_xlfn.RANK.EQ(FMS_Ranking4[[#This Row],[Total Score (with ArcSinh normalization of select criteria)]],FMS_Ranking4[Total Score (with ArcSinh normalization of select criteria)],0)</f>
        <v>539</v>
      </c>
      <c r="BO546" s="270" t="str">
        <f>_xlfn.XLOOKUP(FMS_Ranking4[[#This Row],[FMS ID]],FMS_Input[FMS_ID],FMS_Input[FMS_RANK_YEAR])</f>
        <v>2023 Amended Plan</v>
      </c>
      <c r="BP546" s="204">
        <f>_xlfn.XLOOKUP(FMS_Ranking4[[#This Row],[FMS ID]],Prev_Rank[FMS ID],Prev_Rank[Prev Rank])</f>
        <v>476</v>
      </c>
      <c r="BQ546" s="205" t="e">
        <f>_xlfn.XLOOKUP(FMS_Ranking4[[#This Row],[FMS ID]],#REF!,#REF!)</f>
        <v>#REF!</v>
      </c>
      <c r="BR546" s="199" t="e">
        <f>SUM(#REF!,#REF!,#REF!,#REF!,#REF!,#REF!,#REF!,#REF!,#REF!,FMS_Ranking4[[#This Row],[ArcSinh Res struct removed 0-10]],#REF!)</f>
        <v>#REF!</v>
      </c>
      <c r="BS546" s="199" t="e">
        <f>FMS_Ranking4[[#This Row],[Log Score Based on Normalized Reported Factors]]+FMS_Ranking4[[#This Row],[% NBS Score (Normalized)]]+(FMS_Ranking4[[#This Row],[Water Supply Score (Normalized)]]*10*$BB$5)+(FMS_Ranking4[[#This Row],[FMS_Type Score Weighted]])</f>
        <v>#REF!</v>
      </c>
      <c r="BT546" s="200" t="e">
        <f>_xlfn.RANK.EQ(FMS_Ranking4[[#This Row],[Log Total Score]],FMS_Ranking4[Log Total Score],0)</f>
        <v>#REF!</v>
      </c>
      <c r="BU546" s="200" t="e">
        <f>_xlfn.XLOOKUP(FMS_Ranking4[[#This Row],[FMS ID]],#REF!,#REF!)</f>
        <v>#REF!</v>
      </c>
      <c r="BV546" s="200">
        <f>FMS_Ranking4[[#This Row],[Region Number]]</f>
        <v>13</v>
      </c>
      <c r="BW546" s="200">
        <f>FMS_Ranking4[[#This Row],[Rank (with ArcSinh normalization of select criteria)]]-FMS_Ranking4[[#This Row],[Rank
(with linear
normalization)]]</f>
        <v>154</v>
      </c>
      <c r="BX546" s="200" t="e">
        <f>FMS_Ranking4[[#This Row],[Log Rank]]-FMS_Ranking4[[#This Row],[Rank
(with linear
normalization)]]</f>
        <v>#REF!</v>
      </c>
      <c r="BY546" s="200" t="str">
        <f>IF(FMS_Ranking4[[#This Row],[FMS Type]]="Flood Measurement and Warning",FMS_Ranking4[[#This Row],[Rank (with ArcSinh normalization of select criteria)]],"")</f>
        <v/>
      </c>
      <c r="BZ546" s="200">
        <f>IF(FMS_Ranking4[[#This Row],[FMS Type]]="Regulatory and Guidance",FMS_Ranking4[[#This Row],[Rank (with ArcSinh normalization of select criteria)]],"")</f>
        <v>539</v>
      </c>
      <c r="CA546" s="200" t="str">
        <f>IF(FMS_Ranking4[[#This Row],[FMS Type]]="Education and Outreach",FMS_Ranking4[[#This Row],[Rank (with ArcSinh normalization of select criteria)]],"")</f>
        <v/>
      </c>
      <c r="CB546" s="200" t="str">
        <f>IF(FMS_Ranking4[[#This Row],[FMS Type]]="Property Acquisition and Structural Elevation",FMS_Ranking4[[#This Row],[Rank (with ArcSinh normalization of select criteria)]],"")</f>
        <v/>
      </c>
      <c r="CC546" s="200" t="str">
        <f>IF(FMS_Ranking4[[#This Row],[FMS Type]]="Infrastructure Projects",FMS_Ranking4[[#This Row],[Rank (with ArcSinh normalization of select criteria)]],"")</f>
        <v/>
      </c>
      <c r="CD546" s="200" t="str">
        <f>IF(FMS_Ranking4[[#This Row],[FMS Type]]="Other",FMS_Ranking4[[#This Row],[Rank (with ArcSinh normalization of select criteria)]],"")</f>
        <v/>
      </c>
      <c r="CE546" s="201"/>
      <c r="CF546" s="206"/>
      <c r="CG546" s="206"/>
      <c r="CH546" s="206"/>
      <c r="CI546" s="206"/>
      <c r="CJ546" s="206"/>
      <c r="CK546" s="206"/>
      <c r="CL546" s="206"/>
      <c r="CM546" s="206"/>
      <c r="CN546" s="206"/>
      <c r="CO546" s="206"/>
      <c r="CP546" s="206"/>
      <c r="CQ546" s="206"/>
      <c r="CR546" s="206"/>
    </row>
    <row r="547" spans="2:96" ht="60" x14ac:dyDescent="0.25">
      <c r="B547" s="341" t="s">
        <v>2912</v>
      </c>
      <c r="C547" s="246">
        <f>_xlfn.XLOOKUP(FMS_Ranking4[[#This Row],[FMS ID]],FMS_Input[FMS_ID],FMS_Input[RFPG_NUM])</f>
        <v>5</v>
      </c>
      <c r="D547" s="309" t="str">
        <f>_xlfn.XLOOKUP(FMS_Ranking4[[#This Row],[FMS ID]],FMS_Input[FMS_ID],FMS_Input[FMS_NAME])</f>
        <v>City of Silsbee Drainage Ditches</v>
      </c>
      <c r="E547" s="308" t="str">
        <f>_xlfn.XLOOKUP(FMS_Ranking4[[#This Row],[FMS ID]],FMS_Input[FMS_ID],FMS_Input[SPONSOR])</f>
        <v>05002932</v>
      </c>
      <c r="F547" s="309" t="str">
        <f>_xlfn.XLOOKUP(FMS_Ranking4[[#This Row],[FMS ID]],Sponsor[FMS_ID],Sponsor[SPONSOR NAME])</f>
        <v>Silsbee</v>
      </c>
      <c r="G547" s="309" t="str">
        <f>_xlfn.XLOOKUP(FMS_Ranking4[[#This Row],[FMS ID]],FMS_Input[FMS_ID],FMS_Input[FMS_DESCR])</f>
        <v>Develop a program to upgrade drainage ditches and explore converting necessary ditches into curb / sewer construction.</v>
      </c>
      <c r="H547" s="248" t="str">
        <f>_xlfn.XLOOKUP(FMS_Ranking4[[#This Row],[FMS ID]],FMS_Input[FMS_ID],FMS_Input[FMS_TYPE])</f>
        <v>Infrastructure Projects</v>
      </c>
      <c r="I547" s="249">
        <f>_xlfn.XLOOKUP(FMS_Ranking4[[#This Row],[FMS ID]],FMS_Input[FMS_ID],FMS_Input[NRNC_COST])</f>
        <v>100000</v>
      </c>
      <c r="J547" s="250">
        <f>_xlfn.XLOOKUP(FMS_Ranking4[[#This Row],[FMS ID]],FMS_Input[FMS_ID],FMS_Input[FMS_COST])</f>
        <v>1000000</v>
      </c>
      <c r="K547" s="251" t="str">
        <f>_xlfn.XLOOKUP(FMS_Ranking4[[#This Row],[FMS ID]],FMS_Input[FMS_ID],FMS_Input[EMER_NEED])</f>
        <v>Yes</v>
      </c>
      <c r="L547" s="252">
        <f t="shared" si="8"/>
        <v>1</v>
      </c>
      <c r="M547" s="253">
        <f>_xlfn.XLOOKUP(FMS_Ranking4[[#This Row],[FMS ID]],FMS_Input[FMS_ID],FMS_Input[STRUCT_100])</f>
        <v>87</v>
      </c>
      <c r="N547" s="255">
        <f>(ASINH(FMS_Ranking4[[#This Row],[Structure at Risk Raw]]))*(10)/(ASINH(M$4))</f>
        <v>4.0558115800352503</v>
      </c>
      <c r="O547" s="256">
        <f>FMS_Ranking4[[#This Row],[Structures at risk, ArcSinh (0-10)]]*M$5*10</f>
        <v>4.0558115800352503</v>
      </c>
      <c r="P547" s="253">
        <f>_xlfn.XLOOKUP(FMS_Ranking4[[#This Row],[FMS ID]],FMS_Input[FMS_ID],FMS_Input[RES_STRUCT100])</f>
        <v>69</v>
      </c>
      <c r="Q547" s="257">
        <f>ASINH(FMS_Ranking4[[#This Row],[Res Structure Raw]])/Q$4*P$5*100</f>
        <v>0</v>
      </c>
      <c r="R547" s="253">
        <f>_xlfn.XLOOKUP(FMS_Ranking4[[#This Row],[FMS ID]],FMS_Input[FMS_ID],FMS_Input[POP100])</f>
        <v>780</v>
      </c>
      <c r="S547" s="259">
        <f>(ASINH(FMS_Ranking4[[#This Row],[Pop at Risk Raw]]))*(10)/(ASINH(R$4))</f>
        <v>5.075818419086092</v>
      </c>
      <c r="T547" s="256">
        <f>FMS_Ranking4[[#This Row],[Population at risk, ArcSinh (0-10)]]*R$5*10</f>
        <v>5.075818419086092</v>
      </c>
      <c r="U547" s="253">
        <f>_xlfn.XLOOKUP(FMS_Ranking4[[#This Row],[FMS ID]],FMS_Input[FMS_ID],FMS_Input[CRITFAC100])</f>
        <v>2</v>
      </c>
      <c r="V547" s="259">
        <f>(ASINH(FMS_Ranking4[[#This Row],[Critical Facilities Raw]]))*(10)/(ASINH(U$4))</f>
        <v>1.7089239049208753</v>
      </c>
      <c r="W547" s="256">
        <f>FMS_Ranking4[[#This Row],[Critical facilities at risk, ArcSinh (0-10)]]*U$5*10</f>
        <v>1.7089239049208755</v>
      </c>
      <c r="X547" s="253">
        <f>_xlfn.XLOOKUP(FMS_Ranking4[[#This Row],[FMS ID]],FMS_Input[FMS_ID],FMS_Input[LWC])</f>
        <v>3</v>
      </c>
      <c r="Y547" s="259">
        <f>(ASINH(FMS_Ranking4[[#This Row],[LWC Raw]]))*(10)/(ASINH(X$4))</f>
        <v>2.4635181155638843</v>
      </c>
      <c r="Z547" s="256">
        <f>FMS_Ranking4[[#This Row],[LWC, ArcSInh (0-10)]]*X$5*10</f>
        <v>2.4635181155638843</v>
      </c>
      <c r="AA547" s="253">
        <f>_xlfn.XLOOKUP(FMS_Ranking4[[#This Row],[FMS ID]],FMS_Input[FMS_ID],FMS_Input[ROADCLS])</f>
        <v>3</v>
      </c>
      <c r="AB547" s="255">
        <f>(ASINH(FMS_Ranking4[[#This Row],[Road Closures Raw]]))*(10)/(ASINH(AA$4))</f>
        <v>1.8937450846072912</v>
      </c>
      <c r="AC547" s="256">
        <f>FMS_Ranking4[[#This Row],[Road closures, ArcSinh (0-10)]]*AA$5*10</f>
        <v>0.94687254230364559</v>
      </c>
      <c r="AD547" s="253">
        <f>_xlfn.XLOOKUP(FMS_Ranking4[[#This Row],[FMS ID]],FMS_Input[FMS_ID],FMS_Input[ROAD_MILES100])</f>
        <v>2</v>
      </c>
      <c r="AE547" s="259">
        <f>(ASINH(FMS_Ranking4[[#This Row],[Road Miles Raw]]))*(10)/(ASINH(AD$4))</f>
        <v>1.5385182374234352</v>
      </c>
      <c r="AF547" s="256">
        <f>FMS_Ranking4[[#This Row],[Length of roads at risk, ArcSinh (0-10)]]*AD$5*10</f>
        <v>1.5385182374234352</v>
      </c>
      <c r="AG547" s="253">
        <f>_xlfn.XLOOKUP(FMS_Ranking4[[#This Row],[FMS ID]],FMS_Input[FMS_ID],FMS_Input[FARMACRE100])</f>
        <v>1.197979331016541</v>
      </c>
      <c r="AH547" s="255">
        <f>(ASINH(FMS_Ranking4[[#This Row],[Ag Land Raw]]))*(10)/(ASINH(AG$4))</f>
        <v>0.65911660448975218</v>
      </c>
      <c r="AI547" s="260">
        <f>FMS_Ranking4[[#This Row],[Farm &amp; ranch land, ArcSinh (0-10)]]*AG$5*10</f>
        <v>0.32955830224487609</v>
      </c>
      <c r="AJ547" s="258">
        <f>_xlfn.XLOOKUP(FMS_Ranking4[[#This Row],[FMS ID]],FMS_Input[FMS_ID],FMS_Input[REDSTRUCT100])</f>
        <v>0</v>
      </c>
      <c r="AK547" s="253">
        <f>_xlfn.XLOOKUP(FMS_Ranking4[[#This Row],[FMS ID]],FMS_Input[FMS_ID],FMS_Input[REMSTRC100])</f>
        <v>0</v>
      </c>
      <c r="AL547" s="259">
        <f>(ASINH(FMS_Ranking4[[#This Row],[Structures Removed Raw]]))*(10)/(ASINH(AK$4))</f>
        <v>0</v>
      </c>
      <c r="AM547" s="262">
        <f>FMS_Ranking4[[#This Row],[Structures removed, ArcSinh (0-10)]]*AK$5*10</f>
        <v>0</v>
      </c>
      <c r="AN547" s="253">
        <f>_xlfn.XLOOKUP(FMS_Ranking4[[#This Row],[FMS ID]],FMS_Input[FMS_ID],FMS_Input[REMRESSTRC100])</f>
        <v>0</v>
      </c>
      <c r="AO547" s="261">
        <f>FMS_Ranking4[[#This Row],[ArcSinh Res struct removed 0-10]]*AN$5*10</f>
        <v>0</v>
      </c>
      <c r="AP547" s="260">
        <f>ASINH(FMS_Ranking4[[#This Row],[Residential Structures Removed Raw]])/AP$4*AN$5*100</f>
        <v>0</v>
      </c>
      <c r="AQ547" s="254">
        <f>(ASINH(FMS_Ranking4[[#This Row],[Residential Structures Removed Raw]]))*(10)/(ASINH(AN$4))</f>
        <v>0</v>
      </c>
      <c r="AR547" s="253">
        <f>_xlfn.XLOOKUP(FMS_Ranking4[[#This Row],[FMS ID]],FMS_Input[FMS_ID],FMS_Input[REMPOP100])</f>
        <v>0</v>
      </c>
      <c r="AS547" s="259">
        <f>(ASINH(FMS_Ranking4[[#This Row],[Removed Pop Raw]]))*(10)/(ASINH(AR$4))</f>
        <v>0</v>
      </c>
      <c r="AT547" s="262">
        <f>FMS_Ranking4[[#This Row],[Removed population, ArcSinh (0-10)]]*AR$5*10</f>
        <v>0</v>
      </c>
      <c r="AU547" s="264">
        <f>_xlfn.XLOOKUP(FMS_Ranking4[[#This Row],[FMS ID]],FMS_Input[FMS_ID],FMS_Input[REMCRITFAC100])</f>
        <v>0</v>
      </c>
      <c r="AV547" s="264">
        <f>_xlfn.XLOOKUP(FMS_Ranking4[[#This Row],[FMS ID]],FMS_Input[FMS_ID],FMS_Input[REMLWC100])</f>
        <v>0</v>
      </c>
      <c r="AW547" s="264">
        <f>_xlfn.XLOOKUP(FMS_Ranking4[[#This Row],[FMS ID]],FMS_Input[FMS_ID],FMS_Input[REMROADCLS])</f>
        <v>0</v>
      </c>
      <c r="AX547" s="264">
        <f>_xlfn.XLOOKUP(FMS_Ranking4[[#This Row],[FMS ID]],FMS_Input[FMS_ID],FMS_Input[REMFRMACRE100])</f>
        <v>0</v>
      </c>
      <c r="AY547" s="258">
        <f>_xlfn.XLOOKUP(FMS_Ranking4[[#This Row],[FMS ID]],FMS_Input[FMS_ID],FMS_Input[COSTSTRUCT])</f>
        <v>0</v>
      </c>
      <c r="AZ547" s="253">
        <f>_xlfn.XLOOKUP(FMS_Ranking4[[#This Row],[FMS ID]],FMS_Input[FMS_ID],FMS_Input[NATURE])</f>
        <v>0</v>
      </c>
      <c r="BA547" s="262">
        <f>(((FMS_Ranking4[[#This Row],[% NBS Raw]]/AZ$4)*100)*AZ$5)</f>
        <v>0</v>
      </c>
      <c r="BB547" s="251" t="str">
        <f>_xlfn.XLOOKUP(FMS_Ranking4[[#This Row],[FMS ID]],FMS_Input[FMS_ID],FMS_Input[WATER_SUP])</f>
        <v>No</v>
      </c>
      <c r="BC547" s="265">
        <f>IF(FMS_Ranking4[[#This Row],[Water Supply Raw]]="Yes",10,0)</f>
        <v>0</v>
      </c>
      <c r="BD547" s="266">
        <f>_xlfn.XLOOKUP(FMS_Ranking4[[#This Row],[FMS Type]],FMS_TYPE[FMS_Type],FMS_TYPE[Score])</f>
        <v>4</v>
      </c>
      <c r="BE547" s="267">
        <f>FMS_Ranking4[[#This Row],[FMS_Type Score]]*$BD$5*10</f>
        <v>1</v>
      </c>
      <c r="BF54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6.4517932353204827E-2</v>
      </c>
      <c r="BG547" s="271">
        <f>_xlfn.RANK.EQ(BF547,$BF$8:$BF$870,0)+COUNTIF($BF$8:BF547,BF547)-1</f>
        <v>525</v>
      </c>
      <c r="BH547" s="268">
        <f>(((FMS_Ranking4[[#This Row],[Structures Removed Raw]]/AK$4)*100)*AK$5)+(((FMS_Ranking4[[#This Row],[Removed Pop Raw]]/AR$4)*100)*AR$5)</f>
        <v>0</v>
      </c>
      <c r="BI54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1.0645179323532048</v>
      </c>
      <c r="BJ547" s="205">
        <f>_xlfn.RANK.EQ(FMS_Ranking4[[#This Row],[Total Score 
(with linear
normalization)]],FMS_Ranking4[Total Score 
(with linear
normalization)],0)</f>
        <v>683</v>
      </c>
      <c r="BK547" s="205" t="e">
        <f>_xlfn.XLOOKUP(FMS_Ranking4[[#This Row],[FMS ID]],#REF!,#REF!)</f>
        <v>#REF!</v>
      </c>
      <c r="BL54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16.11902110157806</v>
      </c>
      <c r="BM547" s="272">
        <f>FMS_Ranking4[[#This Row],[ArcSinh Score Based on Normalized Reported Factors]]+FMS_Ranking4[[#This Row],[% NBS Score (Normalized)]]+(FMS_Ranking4[[#This Row],[Water Supply Score (Normalized)]]*10*$BB$5)+FMS_Ranking4[[#This Row],[FMS_Type Score Weighted]]</f>
        <v>17.11902110157806</v>
      </c>
      <c r="BN547" s="205">
        <f>_xlfn.RANK.EQ(FMS_Ranking4[[#This Row],[Total Score (with ArcSinh normalization of select criteria)]],FMS_Ranking4[Total Score (with ArcSinh normalization of select criteria)],0)</f>
        <v>540</v>
      </c>
      <c r="BO547" s="270" t="str">
        <f>_xlfn.XLOOKUP(FMS_Ranking4[[#This Row],[FMS ID]],FMS_Input[FMS_ID],FMS_Input[FMS_RANK_YEAR])</f>
        <v>2023 Amended Plan</v>
      </c>
      <c r="BP547" s="204">
        <f>_xlfn.XLOOKUP(FMS_Ranking4[[#This Row],[FMS ID]],Prev_Rank[FMS ID],Prev_Rank[Prev Rank])</f>
        <v>480</v>
      </c>
      <c r="BQ547" s="205" t="e">
        <f>_xlfn.XLOOKUP(FMS_Ranking4[[#This Row],[FMS ID]],#REF!,#REF!)</f>
        <v>#REF!</v>
      </c>
      <c r="BR547" s="199" t="e">
        <f>SUM(#REF!,#REF!,#REF!,#REF!,#REF!,#REF!,#REF!,#REF!,#REF!,FMS_Ranking4[[#This Row],[ArcSinh Res struct removed 0-10]],#REF!)</f>
        <v>#REF!</v>
      </c>
      <c r="BS547" s="199" t="e">
        <f>FMS_Ranking4[[#This Row],[Log Score Based on Normalized Reported Factors]]+FMS_Ranking4[[#This Row],[% NBS Score (Normalized)]]+(FMS_Ranking4[[#This Row],[Water Supply Score (Normalized)]]*10*$BB$5)+(FMS_Ranking4[[#This Row],[FMS_Type Score Weighted]])</f>
        <v>#REF!</v>
      </c>
      <c r="BT547" s="200" t="e">
        <f>_xlfn.RANK.EQ(FMS_Ranking4[[#This Row],[Log Total Score]],FMS_Ranking4[Log Total Score],0)</f>
        <v>#REF!</v>
      </c>
      <c r="BU547" s="200" t="e">
        <f>_xlfn.XLOOKUP(FMS_Ranking4[[#This Row],[FMS ID]],#REF!,#REF!)</f>
        <v>#REF!</v>
      </c>
      <c r="BV547" s="200">
        <f>FMS_Ranking4[[#This Row],[Region Number]]</f>
        <v>5</v>
      </c>
      <c r="BW547" s="200">
        <f>FMS_Ranking4[[#This Row],[Rank (with ArcSinh normalization of select criteria)]]-FMS_Ranking4[[#This Row],[Rank
(with linear
normalization)]]</f>
        <v>-143</v>
      </c>
      <c r="BX547" s="200" t="e">
        <f>FMS_Ranking4[[#This Row],[Log Rank]]-FMS_Ranking4[[#This Row],[Rank
(with linear
normalization)]]</f>
        <v>#REF!</v>
      </c>
      <c r="BY547" s="200" t="str">
        <f>IF(FMS_Ranking4[[#This Row],[FMS Type]]="Flood Measurement and Warning",FMS_Ranking4[[#This Row],[Rank (with ArcSinh normalization of select criteria)]],"")</f>
        <v/>
      </c>
      <c r="BZ547" s="200" t="str">
        <f>IF(FMS_Ranking4[[#This Row],[FMS Type]]="Regulatory and Guidance",FMS_Ranking4[[#This Row],[Rank (with ArcSinh normalization of select criteria)]],"")</f>
        <v/>
      </c>
      <c r="CA547" s="200" t="str">
        <f>IF(FMS_Ranking4[[#This Row],[FMS Type]]="Education and Outreach",FMS_Ranking4[[#This Row],[Rank (with ArcSinh normalization of select criteria)]],"")</f>
        <v/>
      </c>
      <c r="CB547" s="200" t="str">
        <f>IF(FMS_Ranking4[[#This Row],[FMS Type]]="Property Acquisition and Structural Elevation",FMS_Ranking4[[#This Row],[Rank (with ArcSinh normalization of select criteria)]],"")</f>
        <v/>
      </c>
      <c r="CC547" s="200">
        <f>IF(FMS_Ranking4[[#This Row],[FMS Type]]="Infrastructure Projects",FMS_Ranking4[[#This Row],[Rank (with ArcSinh normalization of select criteria)]],"")</f>
        <v>540</v>
      </c>
      <c r="CD547" s="200" t="str">
        <f>IF(FMS_Ranking4[[#This Row],[FMS Type]]="Other",FMS_Ranking4[[#This Row],[Rank (with ArcSinh normalization of select criteria)]],"")</f>
        <v/>
      </c>
      <c r="CE547" s="201"/>
      <c r="CF547" s="206"/>
      <c r="CG547" s="206"/>
      <c r="CH547" s="206"/>
      <c r="CI547" s="206"/>
      <c r="CJ547" s="206"/>
      <c r="CK547" s="206"/>
      <c r="CL547" s="206"/>
      <c r="CM547" s="206"/>
      <c r="CN547" s="206"/>
      <c r="CO547" s="206"/>
      <c r="CP547" s="206"/>
      <c r="CQ547" s="206"/>
      <c r="CR547" s="206"/>
    </row>
    <row r="548" spans="2:96" ht="60" x14ac:dyDescent="0.25">
      <c r="B548" s="341" t="s">
        <v>2921</v>
      </c>
      <c r="C548" s="246">
        <f>_xlfn.XLOOKUP(FMS_Ranking4[[#This Row],[FMS ID]],FMS_Input[FMS_ID],FMS_Input[RFPG_NUM])</f>
        <v>5</v>
      </c>
      <c r="D548" s="309" t="str">
        <f>_xlfn.XLOOKUP(FMS_Ranking4[[#This Row],[FMS ID]],FMS_Input[FMS_ID],FMS_Input[FMS_NAME])</f>
        <v>City of Silsbee Flood Mitigation for Hendrix Development</v>
      </c>
      <c r="E548" s="308" t="str">
        <f>_xlfn.XLOOKUP(FMS_Ranking4[[#This Row],[FMS ID]],FMS_Input[FMS_ID],FMS_Input[SPONSOR])</f>
        <v>05002932</v>
      </c>
      <c r="F548" s="309" t="str">
        <f>_xlfn.XLOOKUP(FMS_Ranking4[[#This Row],[FMS ID]],Sponsor[FMS_ID],Sponsor[SPONSOR NAME])</f>
        <v>Silsbee</v>
      </c>
      <c r="G548" s="309" t="str">
        <f>_xlfn.XLOOKUP(FMS_Ranking4[[#This Row],[FMS ID]],FMS_Input[FMS_ID],FMS_Input[FMS_DESCR])</f>
        <v>Explore, plan, and implement flood mitigation strategies within the Hendrix Development.</v>
      </c>
      <c r="H548" s="248" t="str">
        <f>_xlfn.XLOOKUP(FMS_Ranking4[[#This Row],[FMS ID]],FMS_Input[FMS_ID],FMS_Input[FMS_TYPE])</f>
        <v>Infrastructure Projects</v>
      </c>
      <c r="I548" s="249">
        <f>_xlfn.XLOOKUP(FMS_Ranking4[[#This Row],[FMS ID]],FMS_Input[FMS_ID],FMS_Input[NRNC_COST])</f>
        <v>100000</v>
      </c>
      <c r="J548" s="250">
        <f>_xlfn.XLOOKUP(FMS_Ranking4[[#This Row],[FMS ID]],FMS_Input[FMS_ID],FMS_Input[FMS_COST])</f>
        <v>5000000</v>
      </c>
      <c r="K548" s="251" t="str">
        <f>_xlfn.XLOOKUP(FMS_Ranking4[[#This Row],[FMS ID]],FMS_Input[FMS_ID],FMS_Input[EMER_NEED])</f>
        <v>Yes</v>
      </c>
      <c r="L548" s="252">
        <f t="shared" si="8"/>
        <v>1</v>
      </c>
      <c r="M548" s="253">
        <f>_xlfn.XLOOKUP(FMS_Ranking4[[#This Row],[FMS ID]],FMS_Input[FMS_ID],FMS_Input[STRUCT_100])</f>
        <v>87</v>
      </c>
      <c r="N548" s="255">
        <f>(ASINH(FMS_Ranking4[[#This Row],[Structure at Risk Raw]]))*(10)/(ASINH(M$4))</f>
        <v>4.0558115800352503</v>
      </c>
      <c r="O548" s="256">
        <f>FMS_Ranking4[[#This Row],[Structures at risk, ArcSinh (0-10)]]*M$5*10</f>
        <v>4.0558115800352503</v>
      </c>
      <c r="P548" s="253">
        <f>_xlfn.XLOOKUP(FMS_Ranking4[[#This Row],[FMS ID]],FMS_Input[FMS_ID],FMS_Input[RES_STRUCT100])</f>
        <v>69</v>
      </c>
      <c r="Q548" s="257">
        <f>ASINH(FMS_Ranking4[[#This Row],[Res Structure Raw]])/Q$4*P$5*100</f>
        <v>0</v>
      </c>
      <c r="R548" s="253">
        <f>_xlfn.XLOOKUP(FMS_Ranking4[[#This Row],[FMS ID]],FMS_Input[FMS_ID],FMS_Input[POP100])</f>
        <v>780</v>
      </c>
      <c r="S548" s="259">
        <f>(ASINH(FMS_Ranking4[[#This Row],[Pop at Risk Raw]]))*(10)/(ASINH(R$4))</f>
        <v>5.075818419086092</v>
      </c>
      <c r="T548" s="256">
        <f>FMS_Ranking4[[#This Row],[Population at risk, ArcSinh (0-10)]]*R$5*10</f>
        <v>5.075818419086092</v>
      </c>
      <c r="U548" s="253">
        <f>_xlfn.XLOOKUP(FMS_Ranking4[[#This Row],[FMS ID]],FMS_Input[FMS_ID],FMS_Input[CRITFAC100])</f>
        <v>2</v>
      </c>
      <c r="V548" s="259">
        <f>(ASINH(FMS_Ranking4[[#This Row],[Critical Facilities Raw]]))*(10)/(ASINH(U$4))</f>
        <v>1.7089239049208753</v>
      </c>
      <c r="W548" s="256">
        <f>FMS_Ranking4[[#This Row],[Critical facilities at risk, ArcSinh (0-10)]]*U$5*10</f>
        <v>1.7089239049208755</v>
      </c>
      <c r="X548" s="253">
        <f>_xlfn.XLOOKUP(FMS_Ranking4[[#This Row],[FMS ID]],FMS_Input[FMS_ID],FMS_Input[LWC])</f>
        <v>3</v>
      </c>
      <c r="Y548" s="259">
        <f>(ASINH(FMS_Ranking4[[#This Row],[LWC Raw]]))*(10)/(ASINH(X$4))</f>
        <v>2.4635181155638843</v>
      </c>
      <c r="Z548" s="256">
        <f>FMS_Ranking4[[#This Row],[LWC, ArcSInh (0-10)]]*X$5*10</f>
        <v>2.4635181155638843</v>
      </c>
      <c r="AA548" s="253">
        <f>_xlfn.XLOOKUP(FMS_Ranking4[[#This Row],[FMS ID]],FMS_Input[FMS_ID],FMS_Input[ROADCLS])</f>
        <v>3</v>
      </c>
      <c r="AB548" s="255">
        <f>(ASINH(FMS_Ranking4[[#This Row],[Road Closures Raw]]))*(10)/(ASINH(AA$4))</f>
        <v>1.8937450846072912</v>
      </c>
      <c r="AC548" s="256">
        <f>FMS_Ranking4[[#This Row],[Road closures, ArcSinh (0-10)]]*AA$5*10</f>
        <v>0.94687254230364559</v>
      </c>
      <c r="AD548" s="253">
        <f>_xlfn.XLOOKUP(FMS_Ranking4[[#This Row],[FMS ID]],FMS_Input[FMS_ID],FMS_Input[ROAD_MILES100])</f>
        <v>2</v>
      </c>
      <c r="AE548" s="259">
        <f>(ASINH(FMS_Ranking4[[#This Row],[Road Miles Raw]]))*(10)/(ASINH(AD$4))</f>
        <v>1.5385182374234352</v>
      </c>
      <c r="AF548" s="256">
        <f>FMS_Ranking4[[#This Row],[Length of roads at risk, ArcSinh (0-10)]]*AD$5*10</f>
        <v>1.5385182374234352</v>
      </c>
      <c r="AG548" s="253">
        <f>_xlfn.XLOOKUP(FMS_Ranking4[[#This Row],[FMS ID]],FMS_Input[FMS_ID],FMS_Input[FARMACRE100])</f>
        <v>1.197979331016541</v>
      </c>
      <c r="AH548" s="255">
        <f>(ASINH(FMS_Ranking4[[#This Row],[Ag Land Raw]]))*(10)/(ASINH(AG$4))</f>
        <v>0.65911660448975218</v>
      </c>
      <c r="AI548" s="260">
        <f>FMS_Ranking4[[#This Row],[Farm &amp; ranch land, ArcSinh (0-10)]]*AG$5*10</f>
        <v>0.32955830224487609</v>
      </c>
      <c r="AJ548" s="258">
        <f>_xlfn.XLOOKUP(FMS_Ranking4[[#This Row],[FMS ID]],FMS_Input[FMS_ID],FMS_Input[REDSTRUCT100])</f>
        <v>0</v>
      </c>
      <c r="AK548" s="253">
        <f>_xlfn.XLOOKUP(FMS_Ranking4[[#This Row],[FMS ID]],FMS_Input[FMS_ID],FMS_Input[REMSTRC100])</f>
        <v>0</v>
      </c>
      <c r="AL548" s="259">
        <f>(ASINH(FMS_Ranking4[[#This Row],[Structures Removed Raw]]))*(10)/(ASINH(AK$4))</f>
        <v>0</v>
      </c>
      <c r="AM548" s="262">
        <f>FMS_Ranking4[[#This Row],[Structures removed, ArcSinh (0-10)]]*AK$5*10</f>
        <v>0</v>
      </c>
      <c r="AN548" s="253">
        <f>_xlfn.XLOOKUP(FMS_Ranking4[[#This Row],[FMS ID]],FMS_Input[FMS_ID],FMS_Input[REMRESSTRC100])</f>
        <v>0</v>
      </c>
      <c r="AO548" s="261">
        <f>FMS_Ranking4[[#This Row],[ArcSinh Res struct removed 0-10]]*AN$5*10</f>
        <v>0</v>
      </c>
      <c r="AP548" s="260">
        <f>ASINH(FMS_Ranking4[[#This Row],[Residential Structures Removed Raw]])/AP$4*AN$5*100</f>
        <v>0</v>
      </c>
      <c r="AQ548" s="254">
        <f>(ASINH(FMS_Ranking4[[#This Row],[Residential Structures Removed Raw]]))*(10)/(ASINH(AN$4))</f>
        <v>0</v>
      </c>
      <c r="AR548" s="253">
        <f>_xlfn.XLOOKUP(FMS_Ranking4[[#This Row],[FMS ID]],FMS_Input[FMS_ID],FMS_Input[REMPOP100])</f>
        <v>0</v>
      </c>
      <c r="AS548" s="259">
        <f>(ASINH(FMS_Ranking4[[#This Row],[Removed Pop Raw]]))*(10)/(ASINH(AR$4))</f>
        <v>0</v>
      </c>
      <c r="AT548" s="262">
        <f>FMS_Ranking4[[#This Row],[Removed population, ArcSinh (0-10)]]*AR$5*10</f>
        <v>0</v>
      </c>
      <c r="AU548" s="264">
        <f>_xlfn.XLOOKUP(FMS_Ranking4[[#This Row],[FMS ID]],FMS_Input[FMS_ID],FMS_Input[REMCRITFAC100])</f>
        <v>0</v>
      </c>
      <c r="AV548" s="264">
        <f>_xlfn.XLOOKUP(FMS_Ranking4[[#This Row],[FMS ID]],FMS_Input[FMS_ID],FMS_Input[REMLWC100])</f>
        <v>0</v>
      </c>
      <c r="AW548" s="264">
        <f>_xlfn.XLOOKUP(FMS_Ranking4[[#This Row],[FMS ID]],FMS_Input[FMS_ID],FMS_Input[REMROADCLS])</f>
        <v>0</v>
      </c>
      <c r="AX548" s="264">
        <f>_xlfn.XLOOKUP(FMS_Ranking4[[#This Row],[FMS ID]],FMS_Input[FMS_ID],FMS_Input[REMFRMACRE100])</f>
        <v>0</v>
      </c>
      <c r="AY548" s="258">
        <f>_xlfn.XLOOKUP(FMS_Ranking4[[#This Row],[FMS ID]],FMS_Input[FMS_ID],FMS_Input[COSTSTRUCT])</f>
        <v>0</v>
      </c>
      <c r="AZ548" s="253">
        <f>_xlfn.XLOOKUP(FMS_Ranking4[[#This Row],[FMS ID]],FMS_Input[FMS_ID],FMS_Input[NATURE])</f>
        <v>0</v>
      </c>
      <c r="BA548" s="262">
        <f>(((FMS_Ranking4[[#This Row],[% NBS Raw]]/AZ$4)*100)*AZ$5)</f>
        <v>0</v>
      </c>
      <c r="BB548" s="251" t="str">
        <f>_xlfn.XLOOKUP(FMS_Ranking4[[#This Row],[FMS ID]],FMS_Input[FMS_ID],FMS_Input[WATER_SUP])</f>
        <v>No</v>
      </c>
      <c r="BC548" s="265">
        <f>IF(FMS_Ranking4[[#This Row],[Water Supply Raw]]="Yes",10,0)</f>
        <v>0</v>
      </c>
      <c r="BD548" s="266">
        <f>_xlfn.XLOOKUP(FMS_Ranking4[[#This Row],[FMS Type]],FMS_TYPE[FMS_Type],FMS_TYPE[Score])</f>
        <v>4</v>
      </c>
      <c r="BE548" s="267">
        <f>FMS_Ranking4[[#This Row],[FMS_Type Score]]*$BD$5*10</f>
        <v>1</v>
      </c>
      <c r="BF54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6.4517932353204827E-2</v>
      </c>
      <c r="BG548" s="271">
        <f>_xlfn.RANK.EQ(BF548,$BF$8:$BF$870,0)+COUNTIF($BF$8:BF548,BF548)-1</f>
        <v>526</v>
      </c>
      <c r="BH548" s="268">
        <f>(((FMS_Ranking4[[#This Row],[Structures Removed Raw]]/AK$4)*100)*AK$5)+(((FMS_Ranking4[[#This Row],[Removed Pop Raw]]/AR$4)*100)*AR$5)</f>
        <v>0</v>
      </c>
      <c r="BI54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1.0645179323532048</v>
      </c>
      <c r="BJ548" s="205">
        <f>_xlfn.RANK.EQ(FMS_Ranking4[[#This Row],[Total Score 
(with linear
normalization)]],FMS_Ranking4[Total Score 
(with linear
normalization)],0)</f>
        <v>683</v>
      </c>
      <c r="BK548" s="205" t="e">
        <f>_xlfn.XLOOKUP(FMS_Ranking4[[#This Row],[FMS ID]],#REF!,#REF!)</f>
        <v>#REF!</v>
      </c>
      <c r="BL54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16.11902110157806</v>
      </c>
      <c r="BM548" s="272">
        <f>FMS_Ranking4[[#This Row],[ArcSinh Score Based on Normalized Reported Factors]]+FMS_Ranking4[[#This Row],[% NBS Score (Normalized)]]+(FMS_Ranking4[[#This Row],[Water Supply Score (Normalized)]]*10*$BB$5)+FMS_Ranking4[[#This Row],[FMS_Type Score Weighted]]</f>
        <v>17.11902110157806</v>
      </c>
      <c r="BN548" s="205">
        <f>_xlfn.RANK.EQ(FMS_Ranking4[[#This Row],[Total Score (with ArcSinh normalization of select criteria)]],FMS_Ranking4[Total Score (with ArcSinh normalization of select criteria)],0)</f>
        <v>540</v>
      </c>
      <c r="BO548" s="270" t="str">
        <f>_xlfn.XLOOKUP(FMS_Ranking4[[#This Row],[FMS ID]],FMS_Input[FMS_ID],FMS_Input[FMS_RANK_YEAR])</f>
        <v>2023 Amended Plan</v>
      </c>
      <c r="BP548" s="204">
        <f>_xlfn.XLOOKUP(FMS_Ranking4[[#This Row],[FMS ID]],Prev_Rank[FMS ID],Prev_Rank[Prev Rank])</f>
        <v>480</v>
      </c>
      <c r="BQ548" s="205" t="e">
        <f>_xlfn.XLOOKUP(FMS_Ranking4[[#This Row],[FMS ID]],#REF!,#REF!)</f>
        <v>#REF!</v>
      </c>
      <c r="BR548" s="199" t="e">
        <f>SUM(#REF!,#REF!,#REF!,#REF!,#REF!,#REF!,#REF!,#REF!,#REF!,FMS_Ranking4[[#This Row],[ArcSinh Res struct removed 0-10]],#REF!)</f>
        <v>#REF!</v>
      </c>
      <c r="BS548" s="199" t="e">
        <f>FMS_Ranking4[[#This Row],[Log Score Based on Normalized Reported Factors]]+FMS_Ranking4[[#This Row],[% NBS Score (Normalized)]]+(FMS_Ranking4[[#This Row],[Water Supply Score (Normalized)]]*10*$BB$5)+(FMS_Ranking4[[#This Row],[FMS_Type Score Weighted]])</f>
        <v>#REF!</v>
      </c>
      <c r="BT548" s="200" t="e">
        <f>_xlfn.RANK.EQ(FMS_Ranking4[[#This Row],[Log Total Score]],FMS_Ranking4[Log Total Score],0)</f>
        <v>#REF!</v>
      </c>
      <c r="BU548" s="200" t="e">
        <f>_xlfn.XLOOKUP(FMS_Ranking4[[#This Row],[FMS ID]],#REF!,#REF!)</f>
        <v>#REF!</v>
      </c>
      <c r="BV548" s="200">
        <f>FMS_Ranking4[[#This Row],[Region Number]]</f>
        <v>5</v>
      </c>
      <c r="BW548" s="200">
        <f>FMS_Ranking4[[#This Row],[Rank (with ArcSinh normalization of select criteria)]]-FMS_Ranking4[[#This Row],[Rank
(with linear
normalization)]]</f>
        <v>-143</v>
      </c>
      <c r="BX548" s="200" t="e">
        <f>FMS_Ranking4[[#This Row],[Log Rank]]-FMS_Ranking4[[#This Row],[Rank
(with linear
normalization)]]</f>
        <v>#REF!</v>
      </c>
      <c r="BY548" s="200" t="str">
        <f>IF(FMS_Ranking4[[#This Row],[FMS Type]]="Flood Measurement and Warning",FMS_Ranking4[[#This Row],[Rank (with ArcSinh normalization of select criteria)]],"")</f>
        <v/>
      </c>
      <c r="BZ548" s="200" t="str">
        <f>IF(FMS_Ranking4[[#This Row],[FMS Type]]="Regulatory and Guidance",FMS_Ranking4[[#This Row],[Rank (with ArcSinh normalization of select criteria)]],"")</f>
        <v/>
      </c>
      <c r="CA548" s="200" t="str">
        <f>IF(FMS_Ranking4[[#This Row],[FMS Type]]="Education and Outreach",FMS_Ranking4[[#This Row],[Rank (with ArcSinh normalization of select criteria)]],"")</f>
        <v/>
      </c>
      <c r="CB548" s="200" t="str">
        <f>IF(FMS_Ranking4[[#This Row],[FMS Type]]="Property Acquisition and Structural Elevation",FMS_Ranking4[[#This Row],[Rank (with ArcSinh normalization of select criteria)]],"")</f>
        <v/>
      </c>
      <c r="CC548" s="200">
        <f>IF(FMS_Ranking4[[#This Row],[FMS Type]]="Infrastructure Projects",FMS_Ranking4[[#This Row],[Rank (with ArcSinh normalization of select criteria)]],"")</f>
        <v>540</v>
      </c>
      <c r="CD548" s="200" t="str">
        <f>IF(FMS_Ranking4[[#This Row],[FMS Type]]="Other",FMS_Ranking4[[#This Row],[Rank (with ArcSinh normalization of select criteria)]],"")</f>
        <v/>
      </c>
      <c r="CE548" s="201"/>
      <c r="CF548" s="206"/>
      <c r="CG548" s="206"/>
      <c r="CH548" s="206"/>
      <c r="CI548" s="206"/>
      <c r="CJ548" s="206"/>
      <c r="CK548" s="206"/>
      <c r="CL548" s="206"/>
      <c r="CM548" s="206"/>
      <c r="CN548" s="206"/>
      <c r="CO548" s="206"/>
      <c r="CP548" s="206"/>
      <c r="CQ548" s="206"/>
      <c r="CR548" s="206"/>
    </row>
    <row r="549" spans="2:96" ht="45" x14ac:dyDescent="0.25">
      <c r="B549" s="341" t="s">
        <v>2924</v>
      </c>
      <c r="C549" s="246">
        <f>_xlfn.XLOOKUP(FMS_Ranking4[[#This Row],[FMS ID]],FMS_Input[FMS_ID],FMS_Input[RFPG_NUM])</f>
        <v>5</v>
      </c>
      <c r="D549" s="309" t="str">
        <f>_xlfn.XLOOKUP(FMS_Ranking4[[#This Row],[FMS ID]],FMS_Input[FMS_ID],FMS_Input[FMS_NAME])</f>
        <v>City of Silsbee Detention, Culverts, Ditches and Channels</v>
      </c>
      <c r="E549" s="308" t="str">
        <f>_xlfn.XLOOKUP(FMS_Ranking4[[#This Row],[FMS ID]],FMS_Input[FMS_ID],FMS_Input[SPONSOR])</f>
        <v>05002932</v>
      </c>
      <c r="F549" s="309" t="str">
        <f>_xlfn.XLOOKUP(FMS_Ranking4[[#This Row],[FMS ID]],Sponsor[FMS_ID],Sponsor[SPONSOR NAME])</f>
        <v>Silsbee</v>
      </c>
      <c r="G549" s="309" t="str">
        <f>_xlfn.XLOOKUP(FMS_Ranking4[[#This Row],[FMS ID]],FMS_Input[FMS_ID],FMS_Input[FMS_DESCR])</f>
        <v>Develop plan to increase drainage capacity in sites that are prone to flooding.</v>
      </c>
      <c r="H549" s="248" t="str">
        <f>_xlfn.XLOOKUP(FMS_Ranking4[[#This Row],[FMS ID]],FMS_Input[FMS_ID],FMS_Input[FMS_TYPE])</f>
        <v>Infrastructure Projects</v>
      </c>
      <c r="I549" s="249">
        <f>_xlfn.XLOOKUP(FMS_Ranking4[[#This Row],[FMS ID]],FMS_Input[FMS_ID],FMS_Input[NRNC_COST])</f>
        <v>100000</v>
      </c>
      <c r="J549" s="250">
        <f>_xlfn.XLOOKUP(FMS_Ranking4[[#This Row],[FMS ID]],FMS_Input[FMS_ID],FMS_Input[FMS_COST])</f>
        <v>1500000</v>
      </c>
      <c r="K549" s="251" t="str">
        <f>_xlfn.XLOOKUP(FMS_Ranking4[[#This Row],[FMS ID]],FMS_Input[FMS_ID],FMS_Input[EMER_NEED])</f>
        <v>Yes</v>
      </c>
      <c r="L549" s="252">
        <f t="shared" si="8"/>
        <v>1</v>
      </c>
      <c r="M549" s="253">
        <f>_xlfn.XLOOKUP(FMS_Ranking4[[#This Row],[FMS ID]],FMS_Input[FMS_ID],FMS_Input[STRUCT_100])</f>
        <v>87</v>
      </c>
      <c r="N549" s="255">
        <f>(ASINH(FMS_Ranking4[[#This Row],[Structure at Risk Raw]]))*(10)/(ASINH(M$4))</f>
        <v>4.0558115800352503</v>
      </c>
      <c r="O549" s="256">
        <f>FMS_Ranking4[[#This Row],[Structures at risk, ArcSinh (0-10)]]*M$5*10</f>
        <v>4.0558115800352503</v>
      </c>
      <c r="P549" s="253">
        <f>_xlfn.XLOOKUP(FMS_Ranking4[[#This Row],[FMS ID]],FMS_Input[FMS_ID],FMS_Input[RES_STRUCT100])</f>
        <v>69</v>
      </c>
      <c r="Q549" s="257">
        <f>ASINH(FMS_Ranking4[[#This Row],[Res Structure Raw]])/Q$4*P$5*100</f>
        <v>0</v>
      </c>
      <c r="R549" s="253">
        <f>_xlfn.XLOOKUP(FMS_Ranking4[[#This Row],[FMS ID]],FMS_Input[FMS_ID],FMS_Input[POP100])</f>
        <v>780</v>
      </c>
      <c r="S549" s="259">
        <f>(ASINH(FMS_Ranking4[[#This Row],[Pop at Risk Raw]]))*(10)/(ASINH(R$4))</f>
        <v>5.075818419086092</v>
      </c>
      <c r="T549" s="256">
        <f>FMS_Ranking4[[#This Row],[Population at risk, ArcSinh (0-10)]]*R$5*10</f>
        <v>5.075818419086092</v>
      </c>
      <c r="U549" s="253">
        <f>_xlfn.XLOOKUP(FMS_Ranking4[[#This Row],[FMS ID]],FMS_Input[FMS_ID],FMS_Input[CRITFAC100])</f>
        <v>2</v>
      </c>
      <c r="V549" s="259">
        <f>(ASINH(FMS_Ranking4[[#This Row],[Critical Facilities Raw]]))*(10)/(ASINH(U$4))</f>
        <v>1.7089239049208753</v>
      </c>
      <c r="W549" s="256">
        <f>FMS_Ranking4[[#This Row],[Critical facilities at risk, ArcSinh (0-10)]]*U$5*10</f>
        <v>1.7089239049208755</v>
      </c>
      <c r="X549" s="253">
        <f>_xlfn.XLOOKUP(FMS_Ranking4[[#This Row],[FMS ID]],FMS_Input[FMS_ID],FMS_Input[LWC])</f>
        <v>3</v>
      </c>
      <c r="Y549" s="259">
        <f>(ASINH(FMS_Ranking4[[#This Row],[LWC Raw]]))*(10)/(ASINH(X$4))</f>
        <v>2.4635181155638843</v>
      </c>
      <c r="Z549" s="256">
        <f>FMS_Ranking4[[#This Row],[LWC, ArcSInh (0-10)]]*X$5*10</f>
        <v>2.4635181155638843</v>
      </c>
      <c r="AA549" s="253">
        <f>_xlfn.XLOOKUP(FMS_Ranking4[[#This Row],[FMS ID]],FMS_Input[FMS_ID],FMS_Input[ROADCLS])</f>
        <v>3</v>
      </c>
      <c r="AB549" s="255">
        <f>(ASINH(FMS_Ranking4[[#This Row],[Road Closures Raw]]))*(10)/(ASINH(AA$4))</f>
        <v>1.8937450846072912</v>
      </c>
      <c r="AC549" s="256">
        <f>FMS_Ranking4[[#This Row],[Road closures, ArcSinh (0-10)]]*AA$5*10</f>
        <v>0.94687254230364559</v>
      </c>
      <c r="AD549" s="253">
        <f>_xlfn.XLOOKUP(FMS_Ranking4[[#This Row],[FMS ID]],FMS_Input[FMS_ID],FMS_Input[ROAD_MILES100])</f>
        <v>2</v>
      </c>
      <c r="AE549" s="259">
        <f>(ASINH(FMS_Ranking4[[#This Row],[Road Miles Raw]]))*(10)/(ASINH(AD$4))</f>
        <v>1.5385182374234352</v>
      </c>
      <c r="AF549" s="256">
        <f>FMS_Ranking4[[#This Row],[Length of roads at risk, ArcSinh (0-10)]]*AD$5*10</f>
        <v>1.5385182374234352</v>
      </c>
      <c r="AG549" s="253">
        <f>_xlfn.XLOOKUP(FMS_Ranking4[[#This Row],[FMS ID]],FMS_Input[FMS_ID],FMS_Input[FARMACRE100])</f>
        <v>1.197979331016541</v>
      </c>
      <c r="AH549" s="255">
        <f>(ASINH(FMS_Ranking4[[#This Row],[Ag Land Raw]]))*(10)/(ASINH(AG$4))</f>
        <v>0.65911660448975218</v>
      </c>
      <c r="AI549" s="260">
        <f>FMS_Ranking4[[#This Row],[Farm &amp; ranch land, ArcSinh (0-10)]]*AG$5*10</f>
        <v>0.32955830224487609</v>
      </c>
      <c r="AJ549" s="258">
        <f>_xlfn.XLOOKUP(FMS_Ranking4[[#This Row],[FMS ID]],FMS_Input[FMS_ID],FMS_Input[REDSTRUCT100])</f>
        <v>0</v>
      </c>
      <c r="AK549" s="253">
        <f>_xlfn.XLOOKUP(FMS_Ranking4[[#This Row],[FMS ID]],FMS_Input[FMS_ID],FMS_Input[REMSTRC100])</f>
        <v>0</v>
      </c>
      <c r="AL549" s="259">
        <f>(ASINH(FMS_Ranking4[[#This Row],[Structures Removed Raw]]))*(10)/(ASINH(AK$4))</f>
        <v>0</v>
      </c>
      <c r="AM549" s="262">
        <f>FMS_Ranking4[[#This Row],[Structures removed, ArcSinh (0-10)]]*AK$5*10</f>
        <v>0</v>
      </c>
      <c r="AN549" s="253">
        <f>_xlfn.XLOOKUP(FMS_Ranking4[[#This Row],[FMS ID]],FMS_Input[FMS_ID],FMS_Input[REMRESSTRC100])</f>
        <v>0</v>
      </c>
      <c r="AO549" s="261">
        <f>FMS_Ranking4[[#This Row],[ArcSinh Res struct removed 0-10]]*AN$5*10</f>
        <v>0</v>
      </c>
      <c r="AP549" s="260">
        <f>ASINH(FMS_Ranking4[[#This Row],[Residential Structures Removed Raw]])/AP$4*AN$5*100</f>
        <v>0</v>
      </c>
      <c r="AQ549" s="254">
        <f>(ASINH(FMS_Ranking4[[#This Row],[Residential Structures Removed Raw]]))*(10)/(ASINH(AN$4))</f>
        <v>0</v>
      </c>
      <c r="AR549" s="253">
        <f>_xlfn.XLOOKUP(FMS_Ranking4[[#This Row],[FMS ID]],FMS_Input[FMS_ID],FMS_Input[REMPOP100])</f>
        <v>0</v>
      </c>
      <c r="AS549" s="259">
        <f>(ASINH(FMS_Ranking4[[#This Row],[Removed Pop Raw]]))*(10)/(ASINH(AR$4))</f>
        <v>0</v>
      </c>
      <c r="AT549" s="262">
        <f>FMS_Ranking4[[#This Row],[Removed population, ArcSinh (0-10)]]*AR$5*10</f>
        <v>0</v>
      </c>
      <c r="AU549" s="264">
        <f>_xlfn.XLOOKUP(FMS_Ranking4[[#This Row],[FMS ID]],FMS_Input[FMS_ID],FMS_Input[REMCRITFAC100])</f>
        <v>0</v>
      </c>
      <c r="AV549" s="264">
        <f>_xlfn.XLOOKUP(FMS_Ranking4[[#This Row],[FMS ID]],FMS_Input[FMS_ID],FMS_Input[REMLWC100])</f>
        <v>0</v>
      </c>
      <c r="AW549" s="264">
        <f>_xlfn.XLOOKUP(FMS_Ranking4[[#This Row],[FMS ID]],FMS_Input[FMS_ID],FMS_Input[REMROADCLS])</f>
        <v>0</v>
      </c>
      <c r="AX549" s="264">
        <f>_xlfn.XLOOKUP(FMS_Ranking4[[#This Row],[FMS ID]],FMS_Input[FMS_ID],FMS_Input[REMFRMACRE100])</f>
        <v>0</v>
      </c>
      <c r="AY549" s="258">
        <f>_xlfn.XLOOKUP(FMS_Ranking4[[#This Row],[FMS ID]],FMS_Input[FMS_ID],FMS_Input[COSTSTRUCT])</f>
        <v>0</v>
      </c>
      <c r="AZ549" s="253">
        <f>_xlfn.XLOOKUP(FMS_Ranking4[[#This Row],[FMS ID]],FMS_Input[FMS_ID],FMS_Input[NATURE])</f>
        <v>0</v>
      </c>
      <c r="BA549" s="262">
        <f>(((FMS_Ranking4[[#This Row],[% NBS Raw]]/AZ$4)*100)*AZ$5)</f>
        <v>0</v>
      </c>
      <c r="BB549" s="251" t="str">
        <f>_xlfn.XLOOKUP(FMS_Ranking4[[#This Row],[FMS ID]],FMS_Input[FMS_ID],FMS_Input[WATER_SUP])</f>
        <v>No</v>
      </c>
      <c r="BC549" s="265">
        <f>IF(FMS_Ranking4[[#This Row],[Water Supply Raw]]="Yes",10,0)</f>
        <v>0</v>
      </c>
      <c r="BD549" s="266">
        <f>_xlfn.XLOOKUP(FMS_Ranking4[[#This Row],[FMS Type]],FMS_TYPE[FMS_Type],FMS_TYPE[Score])</f>
        <v>4</v>
      </c>
      <c r="BE549" s="267">
        <f>FMS_Ranking4[[#This Row],[FMS_Type Score]]*$BD$5*10</f>
        <v>1</v>
      </c>
      <c r="BF54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6.4517932353204827E-2</v>
      </c>
      <c r="BG549" s="271">
        <f>_xlfn.RANK.EQ(BF549,$BF$8:$BF$870,0)+COUNTIF($BF$8:BF549,BF549)-1</f>
        <v>527</v>
      </c>
      <c r="BH549" s="268">
        <f>(((FMS_Ranking4[[#This Row],[Structures Removed Raw]]/AK$4)*100)*AK$5)+(((FMS_Ranking4[[#This Row],[Removed Pop Raw]]/AR$4)*100)*AR$5)</f>
        <v>0</v>
      </c>
      <c r="BI54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1.0645179323532048</v>
      </c>
      <c r="BJ549" s="205">
        <f>_xlfn.RANK.EQ(FMS_Ranking4[[#This Row],[Total Score 
(with linear
normalization)]],FMS_Ranking4[Total Score 
(with linear
normalization)],0)</f>
        <v>683</v>
      </c>
      <c r="BK549" s="205" t="e">
        <f>_xlfn.XLOOKUP(FMS_Ranking4[[#This Row],[FMS ID]],#REF!,#REF!)</f>
        <v>#REF!</v>
      </c>
      <c r="BL54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16.11902110157806</v>
      </c>
      <c r="BM549" s="272">
        <f>FMS_Ranking4[[#This Row],[ArcSinh Score Based on Normalized Reported Factors]]+FMS_Ranking4[[#This Row],[% NBS Score (Normalized)]]+(FMS_Ranking4[[#This Row],[Water Supply Score (Normalized)]]*10*$BB$5)+FMS_Ranking4[[#This Row],[FMS_Type Score Weighted]]</f>
        <v>17.11902110157806</v>
      </c>
      <c r="BN549" s="205">
        <f>_xlfn.RANK.EQ(FMS_Ranking4[[#This Row],[Total Score (with ArcSinh normalization of select criteria)]],FMS_Ranking4[Total Score (with ArcSinh normalization of select criteria)],0)</f>
        <v>540</v>
      </c>
      <c r="BO549" s="270" t="str">
        <f>_xlfn.XLOOKUP(FMS_Ranking4[[#This Row],[FMS ID]],FMS_Input[FMS_ID],FMS_Input[FMS_RANK_YEAR])</f>
        <v>2023 Amended Plan</v>
      </c>
      <c r="BP549" s="204">
        <f>_xlfn.XLOOKUP(FMS_Ranking4[[#This Row],[FMS ID]],Prev_Rank[FMS ID],Prev_Rank[Prev Rank])</f>
        <v>480</v>
      </c>
      <c r="BQ549" s="205" t="e">
        <f>_xlfn.XLOOKUP(FMS_Ranking4[[#This Row],[FMS ID]],#REF!,#REF!)</f>
        <v>#REF!</v>
      </c>
      <c r="BR549" s="199" t="e">
        <f>SUM(#REF!,#REF!,#REF!,#REF!,#REF!,#REF!,#REF!,#REF!,#REF!,FMS_Ranking4[[#This Row],[ArcSinh Res struct removed 0-10]],#REF!)</f>
        <v>#REF!</v>
      </c>
      <c r="BS549" s="199" t="e">
        <f>FMS_Ranking4[[#This Row],[Log Score Based on Normalized Reported Factors]]+FMS_Ranking4[[#This Row],[% NBS Score (Normalized)]]+(FMS_Ranking4[[#This Row],[Water Supply Score (Normalized)]]*10*$BB$5)+(FMS_Ranking4[[#This Row],[FMS_Type Score Weighted]])</f>
        <v>#REF!</v>
      </c>
      <c r="BT549" s="200" t="e">
        <f>_xlfn.RANK.EQ(FMS_Ranking4[[#This Row],[Log Total Score]],FMS_Ranking4[Log Total Score],0)</f>
        <v>#REF!</v>
      </c>
      <c r="BU549" s="200" t="e">
        <f>_xlfn.XLOOKUP(FMS_Ranking4[[#This Row],[FMS ID]],#REF!,#REF!)</f>
        <v>#REF!</v>
      </c>
      <c r="BV549" s="200">
        <f>FMS_Ranking4[[#This Row],[Region Number]]</f>
        <v>5</v>
      </c>
      <c r="BW549" s="200">
        <f>FMS_Ranking4[[#This Row],[Rank (with ArcSinh normalization of select criteria)]]-FMS_Ranking4[[#This Row],[Rank
(with linear
normalization)]]</f>
        <v>-143</v>
      </c>
      <c r="BX549" s="200" t="e">
        <f>FMS_Ranking4[[#This Row],[Log Rank]]-FMS_Ranking4[[#This Row],[Rank
(with linear
normalization)]]</f>
        <v>#REF!</v>
      </c>
      <c r="BY549" s="200" t="str">
        <f>IF(FMS_Ranking4[[#This Row],[FMS Type]]="Flood Measurement and Warning",FMS_Ranking4[[#This Row],[Rank (with ArcSinh normalization of select criteria)]],"")</f>
        <v/>
      </c>
      <c r="BZ549" s="200" t="str">
        <f>IF(FMS_Ranking4[[#This Row],[FMS Type]]="Regulatory and Guidance",FMS_Ranking4[[#This Row],[Rank (with ArcSinh normalization of select criteria)]],"")</f>
        <v/>
      </c>
      <c r="CA549" s="200" t="str">
        <f>IF(FMS_Ranking4[[#This Row],[FMS Type]]="Education and Outreach",FMS_Ranking4[[#This Row],[Rank (with ArcSinh normalization of select criteria)]],"")</f>
        <v/>
      </c>
      <c r="CB549" s="200" t="str">
        <f>IF(FMS_Ranking4[[#This Row],[FMS Type]]="Property Acquisition and Structural Elevation",FMS_Ranking4[[#This Row],[Rank (with ArcSinh normalization of select criteria)]],"")</f>
        <v/>
      </c>
      <c r="CC549" s="200">
        <f>IF(FMS_Ranking4[[#This Row],[FMS Type]]="Infrastructure Projects",FMS_Ranking4[[#This Row],[Rank (with ArcSinh normalization of select criteria)]],"")</f>
        <v>540</v>
      </c>
      <c r="CD549" s="200" t="str">
        <f>IF(FMS_Ranking4[[#This Row],[FMS Type]]="Other",FMS_Ranking4[[#This Row],[Rank (with ArcSinh normalization of select criteria)]],"")</f>
        <v/>
      </c>
      <c r="CE549" s="201"/>
      <c r="CF549" s="206"/>
      <c r="CG549" s="206"/>
      <c r="CH549" s="206"/>
      <c r="CI549" s="206"/>
      <c r="CJ549" s="206"/>
      <c r="CK549" s="206"/>
      <c r="CL549" s="206"/>
      <c r="CM549" s="206"/>
      <c r="CN549" s="206"/>
      <c r="CO549" s="206"/>
      <c r="CP549" s="206"/>
      <c r="CQ549" s="206"/>
      <c r="CR549" s="206"/>
    </row>
    <row r="550" spans="2:96" ht="60" x14ac:dyDescent="0.25">
      <c r="B550" s="341" t="s">
        <v>4287</v>
      </c>
      <c r="C550" s="246">
        <f>_xlfn.XLOOKUP(FMS_Ranking4[[#This Row],[FMS ID]],FMS_Input[FMS_ID],FMS_Input[RFPG_NUM])</f>
        <v>15</v>
      </c>
      <c r="D550" s="309" t="str">
        <f>_xlfn.XLOOKUP(FMS_Ranking4[[#This Row],[FMS ID]],FMS_Input[FMS_ID],FMS_Input[FMS_NAME])</f>
        <v>City of Palmhurst - Flood Warning System, planning, operation &amp; maintenance</v>
      </c>
      <c r="E550" s="308" t="str">
        <f>_xlfn.XLOOKUP(FMS_Ranking4[[#This Row],[FMS ID]],FMS_Input[FMS_ID],FMS_Input[SPONSOR])</f>
        <v>15000071</v>
      </c>
      <c r="F550" s="309" t="str">
        <f>_xlfn.XLOOKUP(FMS_Ranking4[[#This Row],[FMS ID]],Sponsor[FMS_ID],Sponsor[SPONSOR NAME])</f>
        <v>Palmhurst</v>
      </c>
      <c r="G550" s="309" t="str">
        <f>_xlfn.XLOOKUP(FMS_Ranking4[[#This Row],[FMS ID]],FMS_Input[FMS_ID],FMS_Input[FMS_DESCR])</f>
        <v>Develop and Implement a Flood Warning System, planning, operation &amp; Maintenance plan</v>
      </c>
      <c r="H550" s="248" t="str">
        <f>_xlfn.XLOOKUP(FMS_Ranking4[[#This Row],[FMS ID]],FMS_Input[FMS_ID],FMS_Input[FMS_TYPE])</f>
        <v>Flood Measurement and Warning</v>
      </c>
      <c r="I550" s="249">
        <f>_xlfn.XLOOKUP(FMS_Ranking4[[#This Row],[FMS ID]],FMS_Input[FMS_ID],FMS_Input[NRNC_COST])</f>
        <v>600000</v>
      </c>
      <c r="J550" s="250">
        <f>_xlfn.XLOOKUP(FMS_Ranking4[[#This Row],[FMS ID]],FMS_Input[FMS_ID],FMS_Input[FMS_COST])</f>
        <v>5000000</v>
      </c>
      <c r="K550" s="251" t="str">
        <f>_xlfn.XLOOKUP(FMS_Ranking4[[#This Row],[FMS ID]],FMS_Input[FMS_ID],FMS_Input[EMER_NEED])</f>
        <v>Yes</v>
      </c>
      <c r="L550" s="252">
        <f t="shared" si="8"/>
        <v>1</v>
      </c>
      <c r="M550" s="253">
        <f>_xlfn.XLOOKUP(FMS_Ranking4[[#This Row],[FMS ID]],FMS_Input[FMS_ID],FMS_Input[STRUCT_100])</f>
        <v>246</v>
      </c>
      <c r="N550" s="255">
        <f>(ASINH(FMS_Ranking4[[#This Row],[Structure at Risk Raw]]))*(10)/(ASINH(M$4))</f>
        <v>4.8729304323405476</v>
      </c>
      <c r="O550" s="256">
        <f>FMS_Ranking4[[#This Row],[Structures at risk, ArcSinh (0-10)]]*M$5*10</f>
        <v>4.8729304323405476</v>
      </c>
      <c r="P550" s="253">
        <f>_xlfn.XLOOKUP(FMS_Ranking4[[#This Row],[FMS ID]],FMS_Input[FMS_ID],FMS_Input[RES_STRUCT100])</f>
        <v>169</v>
      </c>
      <c r="Q550" s="257">
        <f>ASINH(FMS_Ranking4[[#This Row],[Res Structure Raw]])/Q$4*P$5*100</f>
        <v>0</v>
      </c>
      <c r="R550" s="253">
        <f>_xlfn.XLOOKUP(FMS_Ranking4[[#This Row],[FMS ID]],FMS_Input[FMS_ID],FMS_Input[POP100])</f>
        <v>879</v>
      </c>
      <c r="S550" s="259">
        <f>(ASINH(FMS_Ranking4[[#This Row],[Pop at Risk Raw]]))*(10)/(ASINH(R$4))</f>
        <v>5.1583099374165204</v>
      </c>
      <c r="T550" s="256">
        <f>FMS_Ranking4[[#This Row],[Population at risk, ArcSinh (0-10)]]*R$5*10</f>
        <v>5.1583099374165204</v>
      </c>
      <c r="U550" s="253">
        <f>_xlfn.XLOOKUP(FMS_Ranking4[[#This Row],[FMS ID]],FMS_Input[FMS_ID],FMS_Input[CRITFAC100])</f>
        <v>0</v>
      </c>
      <c r="V550" s="259">
        <f>(ASINH(FMS_Ranking4[[#This Row],[Critical Facilities Raw]]))*(10)/(ASINH(U$4))</f>
        <v>0</v>
      </c>
      <c r="W550" s="256">
        <f>FMS_Ranking4[[#This Row],[Critical facilities at risk, ArcSinh (0-10)]]*U$5*10</f>
        <v>0</v>
      </c>
      <c r="X550" s="253">
        <f>_xlfn.XLOOKUP(FMS_Ranking4[[#This Row],[FMS ID]],FMS_Input[FMS_ID],FMS_Input[LWC])</f>
        <v>0</v>
      </c>
      <c r="Y550" s="259">
        <f>(ASINH(FMS_Ranking4[[#This Row],[LWC Raw]]))*(10)/(ASINH(X$4))</f>
        <v>0</v>
      </c>
      <c r="Z550" s="256">
        <f>FMS_Ranking4[[#This Row],[LWC, ArcSInh (0-10)]]*X$5*10</f>
        <v>0</v>
      </c>
      <c r="AA550" s="253">
        <f>_xlfn.XLOOKUP(FMS_Ranking4[[#This Row],[FMS ID]],FMS_Input[FMS_ID],FMS_Input[ROADCLS])</f>
        <v>0</v>
      </c>
      <c r="AB550" s="255">
        <f>(ASINH(FMS_Ranking4[[#This Row],[Road Closures Raw]]))*(10)/(ASINH(AA$4))</f>
        <v>0</v>
      </c>
      <c r="AC550" s="256">
        <f>FMS_Ranking4[[#This Row],[Road closures, ArcSinh (0-10)]]*AA$5*10</f>
        <v>0</v>
      </c>
      <c r="AD550" s="253">
        <f>_xlfn.XLOOKUP(FMS_Ranking4[[#This Row],[FMS ID]],FMS_Input[FMS_ID],FMS_Input[ROAD_MILES100])</f>
        <v>4</v>
      </c>
      <c r="AE550" s="259">
        <f>(ASINH(FMS_Ranking4[[#This Row],[Road Miles Raw]]))*(10)/(ASINH(AD$4))</f>
        <v>2.2323872691766113</v>
      </c>
      <c r="AF550" s="256">
        <f>FMS_Ranking4[[#This Row],[Length of roads at risk, ArcSinh (0-10)]]*AD$5*10</f>
        <v>2.2323872691766113</v>
      </c>
      <c r="AG550" s="253">
        <f>_xlfn.XLOOKUP(FMS_Ranking4[[#This Row],[FMS ID]],FMS_Input[FMS_ID],FMS_Input[FARMACRE100])</f>
        <v>456.63259887695313</v>
      </c>
      <c r="AH550" s="255">
        <f>(ASINH(FMS_Ranking4[[#This Row],[Ag Land Raw]]))*(10)/(ASINH(AG$4))</f>
        <v>4.4282147436422914</v>
      </c>
      <c r="AI550" s="260">
        <f>FMS_Ranking4[[#This Row],[Farm &amp; ranch land, ArcSinh (0-10)]]*AG$5*10</f>
        <v>2.2141073718211457</v>
      </c>
      <c r="AJ550" s="258">
        <f>_xlfn.XLOOKUP(FMS_Ranking4[[#This Row],[FMS ID]],FMS_Input[FMS_ID],FMS_Input[REDSTRUCT100])</f>
        <v>0</v>
      </c>
      <c r="AK550" s="253">
        <f>_xlfn.XLOOKUP(FMS_Ranking4[[#This Row],[FMS ID]],FMS_Input[FMS_ID],FMS_Input[REMSTRC100])</f>
        <v>0</v>
      </c>
      <c r="AL550" s="259">
        <f>(ASINH(FMS_Ranking4[[#This Row],[Structures Removed Raw]]))*(10)/(ASINH(AK$4))</f>
        <v>0</v>
      </c>
      <c r="AM550" s="262">
        <f>FMS_Ranking4[[#This Row],[Structures removed, ArcSinh (0-10)]]*AK$5*10</f>
        <v>0</v>
      </c>
      <c r="AN550" s="253">
        <f>_xlfn.XLOOKUP(FMS_Ranking4[[#This Row],[FMS ID]],FMS_Input[FMS_ID],FMS_Input[REMRESSTRC100])</f>
        <v>0</v>
      </c>
      <c r="AO550" s="261">
        <f>FMS_Ranking4[[#This Row],[ArcSinh Res struct removed 0-10]]*AN$5*10</f>
        <v>0</v>
      </c>
      <c r="AP550" s="260">
        <f>ASINH(FMS_Ranking4[[#This Row],[Residential Structures Removed Raw]])/AP$4*AN$5*100</f>
        <v>0</v>
      </c>
      <c r="AQ550" s="254">
        <f>(ASINH(FMS_Ranking4[[#This Row],[Residential Structures Removed Raw]]))*(10)/(ASINH(AN$4))</f>
        <v>0</v>
      </c>
      <c r="AR550" s="253">
        <f>_xlfn.XLOOKUP(FMS_Ranking4[[#This Row],[FMS ID]],FMS_Input[FMS_ID],FMS_Input[REMPOP100])</f>
        <v>0</v>
      </c>
      <c r="AS550" s="259">
        <f>(ASINH(FMS_Ranking4[[#This Row],[Removed Pop Raw]]))*(10)/(ASINH(AR$4))</f>
        <v>0</v>
      </c>
      <c r="AT550" s="262">
        <f>FMS_Ranking4[[#This Row],[Removed population, ArcSinh (0-10)]]*AR$5*10</f>
        <v>0</v>
      </c>
      <c r="AU550" s="264">
        <f>_xlfn.XLOOKUP(FMS_Ranking4[[#This Row],[FMS ID]],FMS_Input[FMS_ID],FMS_Input[REMCRITFAC100])</f>
        <v>0</v>
      </c>
      <c r="AV550" s="264">
        <f>_xlfn.XLOOKUP(FMS_Ranking4[[#This Row],[FMS ID]],FMS_Input[FMS_ID],FMS_Input[REMLWC100])</f>
        <v>0</v>
      </c>
      <c r="AW550" s="264">
        <f>_xlfn.XLOOKUP(FMS_Ranking4[[#This Row],[FMS ID]],FMS_Input[FMS_ID],FMS_Input[REMROADCLS])</f>
        <v>0</v>
      </c>
      <c r="AX550" s="264">
        <f>_xlfn.XLOOKUP(FMS_Ranking4[[#This Row],[FMS ID]],FMS_Input[FMS_ID],FMS_Input[REMFRMACRE100])</f>
        <v>0</v>
      </c>
      <c r="AY550" s="258">
        <f>_xlfn.XLOOKUP(FMS_Ranking4[[#This Row],[FMS ID]],FMS_Input[FMS_ID],FMS_Input[COSTSTRUCT])</f>
        <v>0</v>
      </c>
      <c r="AZ550" s="253">
        <f>_xlfn.XLOOKUP(FMS_Ranking4[[#This Row],[FMS ID]],FMS_Input[FMS_ID],FMS_Input[NATURE])</f>
        <v>0</v>
      </c>
      <c r="BA550" s="262">
        <f>(((FMS_Ranking4[[#This Row],[% NBS Raw]]/AZ$4)*100)*AZ$5)</f>
        <v>0</v>
      </c>
      <c r="BB550" s="251" t="str">
        <f>_xlfn.XLOOKUP(FMS_Ranking4[[#This Row],[FMS ID]],FMS_Input[FMS_ID],FMS_Input[WATER_SUP])</f>
        <v>No</v>
      </c>
      <c r="BC550" s="265">
        <f>IF(FMS_Ranking4[[#This Row],[Water Supply Raw]]="Yes",10,0)</f>
        <v>0</v>
      </c>
      <c r="BD550" s="266">
        <f>_xlfn.XLOOKUP(FMS_Ranking4[[#This Row],[FMS Type]],FMS_TYPE[FMS_Type],FMS_TYPE[Score])</f>
        <v>10</v>
      </c>
      <c r="BE550" s="267">
        <f>FMS_Ranking4[[#This Row],[FMS_Type Score]]*$BD$5*10</f>
        <v>2.5</v>
      </c>
      <c r="BF55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3.1380085695564629E-2</v>
      </c>
      <c r="BG550" s="271">
        <f>_xlfn.RANK.EQ(BF550,$BF$8:$BF$870,0)+COUNTIF($BF$8:BF550,BF550)-1</f>
        <v>593</v>
      </c>
      <c r="BH550" s="268">
        <f>(((FMS_Ranking4[[#This Row],[Structures Removed Raw]]/AK$4)*100)*AK$5)+(((FMS_Ranking4[[#This Row],[Removed Pop Raw]]/AR$4)*100)*AR$5)</f>
        <v>0</v>
      </c>
      <c r="BI55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2.5313800856955648</v>
      </c>
      <c r="BJ550" s="205">
        <f>_xlfn.RANK.EQ(FMS_Ranking4[[#This Row],[Total Score 
(with linear
normalization)]],FMS_Ranking4[Total Score 
(with linear
normalization)],0)</f>
        <v>242</v>
      </c>
      <c r="BK550" s="205" t="e">
        <f>_xlfn.XLOOKUP(FMS_Ranking4[[#This Row],[FMS ID]],#REF!,#REF!)</f>
        <v>#REF!</v>
      </c>
      <c r="BL55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14.477735010754824</v>
      </c>
      <c r="BM550" s="272">
        <f>FMS_Ranking4[[#This Row],[ArcSinh Score Based on Normalized Reported Factors]]+FMS_Ranking4[[#This Row],[% NBS Score (Normalized)]]+(FMS_Ranking4[[#This Row],[Water Supply Score (Normalized)]]*10*$BB$5)+FMS_Ranking4[[#This Row],[FMS_Type Score Weighted]]</f>
        <v>16.977735010754824</v>
      </c>
      <c r="BN550" s="205">
        <f>_xlfn.RANK.EQ(FMS_Ranking4[[#This Row],[Total Score (with ArcSinh normalization of select criteria)]],FMS_Ranking4[Total Score (with ArcSinh normalization of select criteria)],0)</f>
        <v>543</v>
      </c>
      <c r="BO550" s="270" t="str">
        <f>_xlfn.XLOOKUP(FMS_Ranking4[[#This Row],[FMS ID]],FMS_Input[FMS_ID],FMS_Input[FMS_RANK_YEAR])</f>
        <v>2023 Amended Plan</v>
      </c>
      <c r="BP550" s="204">
        <f>_xlfn.XLOOKUP(FMS_Ranking4[[#This Row],[FMS ID]],Prev_Rank[FMS ID],Prev_Rank[Prev Rank])</f>
        <v>483</v>
      </c>
      <c r="BQ550" s="205" t="e">
        <f>_xlfn.XLOOKUP(FMS_Ranking4[[#This Row],[FMS ID]],#REF!,#REF!)</f>
        <v>#REF!</v>
      </c>
      <c r="BR550" s="199" t="e">
        <f>SUM(#REF!,#REF!,#REF!,#REF!,#REF!,#REF!,#REF!,#REF!,#REF!,FMS_Ranking4[[#This Row],[ArcSinh Res struct removed 0-10]],#REF!)</f>
        <v>#REF!</v>
      </c>
      <c r="BS550" s="199" t="e">
        <f>FMS_Ranking4[[#This Row],[Log Score Based on Normalized Reported Factors]]+FMS_Ranking4[[#This Row],[% NBS Score (Normalized)]]+(FMS_Ranking4[[#This Row],[Water Supply Score (Normalized)]]*10*$BB$5)+(FMS_Ranking4[[#This Row],[FMS_Type Score Weighted]])</f>
        <v>#REF!</v>
      </c>
      <c r="BT550" s="200" t="e">
        <f>_xlfn.RANK.EQ(FMS_Ranking4[[#This Row],[Log Total Score]],FMS_Ranking4[Log Total Score],0)</f>
        <v>#REF!</v>
      </c>
      <c r="BU550" s="200" t="e">
        <f>_xlfn.XLOOKUP(FMS_Ranking4[[#This Row],[FMS ID]],#REF!,#REF!)</f>
        <v>#REF!</v>
      </c>
      <c r="BV550" s="200">
        <f>FMS_Ranking4[[#This Row],[Region Number]]</f>
        <v>15</v>
      </c>
      <c r="BW550" s="200">
        <f>FMS_Ranking4[[#This Row],[Rank (with ArcSinh normalization of select criteria)]]-FMS_Ranking4[[#This Row],[Rank
(with linear
normalization)]]</f>
        <v>301</v>
      </c>
      <c r="BX550" s="200" t="e">
        <f>FMS_Ranking4[[#This Row],[Log Rank]]-FMS_Ranking4[[#This Row],[Rank
(with linear
normalization)]]</f>
        <v>#REF!</v>
      </c>
      <c r="BY550" s="200">
        <f>IF(FMS_Ranking4[[#This Row],[FMS Type]]="Flood Measurement and Warning",FMS_Ranking4[[#This Row],[Rank (with ArcSinh normalization of select criteria)]],"")</f>
        <v>543</v>
      </c>
      <c r="BZ550" s="200" t="str">
        <f>IF(FMS_Ranking4[[#This Row],[FMS Type]]="Regulatory and Guidance",FMS_Ranking4[[#This Row],[Rank (with ArcSinh normalization of select criteria)]],"")</f>
        <v/>
      </c>
      <c r="CA550" s="200" t="str">
        <f>IF(FMS_Ranking4[[#This Row],[FMS Type]]="Education and Outreach",FMS_Ranking4[[#This Row],[Rank (with ArcSinh normalization of select criteria)]],"")</f>
        <v/>
      </c>
      <c r="CB550" s="200" t="str">
        <f>IF(FMS_Ranking4[[#This Row],[FMS Type]]="Property Acquisition and Structural Elevation",FMS_Ranking4[[#This Row],[Rank (with ArcSinh normalization of select criteria)]],"")</f>
        <v/>
      </c>
      <c r="CC550" s="200" t="str">
        <f>IF(FMS_Ranking4[[#This Row],[FMS Type]]="Infrastructure Projects",FMS_Ranking4[[#This Row],[Rank (with ArcSinh normalization of select criteria)]],"")</f>
        <v/>
      </c>
      <c r="CD550" s="200" t="str">
        <f>IF(FMS_Ranking4[[#This Row],[FMS Type]]="Other",FMS_Ranking4[[#This Row],[Rank (with ArcSinh normalization of select criteria)]],"")</f>
        <v/>
      </c>
      <c r="CE550" s="201"/>
      <c r="CF550" s="206"/>
      <c r="CG550" s="206"/>
      <c r="CH550" s="206"/>
      <c r="CI550" s="206"/>
      <c r="CJ550" s="206"/>
      <c r="CK550" s="206"/>
      <c r="CL550" s="206"/>
      <c r="CM550" s="206"/>
      <c r="CN550" s="206"/>
      <c r="CO550" s="206"/>
      <c r="CP550" s="206"/>
      <c r="CQ550" s="206"/>
      <c r="CR550" s="206"/>
    </row>
    <row r="551" spans="2:96" ht="45" x14ac:dyDescent="0.25">
      <c r="B551" s="341" t="s">
        <v>2081</v>
      </c>
      <c r="C551" s="246">
        <f>_xlfn.XLOOKUP(FMS_Ranking4[[#This Row],[FMS ID]],FMS_Input[FMS_ID],FMS_Input[RFPG_NUM])</f>
        <v>3</v>
      </c>
      <c r="D551" s="309" t="str">
        <f>_xlfn.XLOOKUP(FMS_Ranking4[[#This Row],[FMS ID]],FMS_Input[FMS_ID],FMS_Input[FMS_NAME])</f>
        <v>Haslet Flood Warning System</v>
      </c>
      <c r="E551" s="308" t="str">
        <f>_xlfn.XLOOKUP(FMS_Ranking4[[#This Row],[FMS ID]],FMS_Input[FMS_ID],FMS_Input[SPONSOR])</f>
        <v>Haslet</v>
      </c>
      <c r="F551" s="309" t="str">
        <f>_xlfn.XLOOKUP(FMS_Ranking4[[#This Row],[FMS ID]],Sponsor[FMS_ID],Sponsor[SPONSOR NAME])</f>
        <v>Haslet</v>
      </c>
      <c r="G551" s="309" t="str">
        <f>_xlfn.XLOOKUP(FMS_Ranking4[[#This Row],[FMS ID]],FMS_Input[FMS_ID],FMS_Input[FMS_DESCR])</f>
        <v>Install flood warning devices to low water crossing.</v>
      </c>
      <c r="H551" s="248" t="str">
        <f>_xlfn.XLOOKUP(FMS_Ranking4[[#This Row],[FMS ID]],FMS_Input[FMS_ID],FMS_Input[FMS_TYPE])</f>
        <v>Flood Measurement and Warning</v>
      </c>
      <c r="I551" s="249">
        <f>_xlfn.XLOOKUP(FMS_Ranking4[[#This Row],[FMS ID]],FMS_Input[FMS_ID],FMS_Input[NRNC_COST])</f>
        <v>25000</v>
      </c>
      <c r="J551" s="250">
        <f>_xlfn.XLOOKUP(FMS_Ranking4[[#This Row],[FMS ID]],FMS_Input[FMS_ID],FMS_Input[FMS_COST])</f>
        <v>250000</v>
      </c>
      <c r="K551" s="251" t="str">
        <f>_xlfn.XLOOKUP(FMS_Ranking4[[#This Row],[FMS ID]],FMS_Input[FMS_ID],FMS_Input[EMER_NEED])</f>
        <v>No</v>
      </c>
      <c r="L551" s="252">
        <f t="shared" si="8"/>
        <v>0</v>
      </c>
      <c r="M551" s="253">
        <f>_xlfn.XLOOKUP(FMS_Ranking4[[#This Row],[FMS ID]],FMS_Input[FMS_ID],FMS_Input[STRUCT_100])</f>
        <v>39</v>
      </c>
      <c r="N551" s="255">
        <f>(ASINH(FMS_Ranking4[[#This Row],[Structure at Risk Raw]]))*(10)/(ASINH(M$4))</f>
        <v>3.4251510075744598</v>
      </c>
      <c r="O551" s="256">
        <f>FMS_Ranking4[[#This Row],[Structures at risk, ArcSinh (0-10)]]*M$5*10</f>
        <v>3.4251510075744602</v>
      </c>
      <c r="P551" s="253">
        <f>_xlfn.XLOOKUP(FMS_Ranking4[[#This Row],[FMS ID]],FMS_Input[FMS_ID],FMS_Input[RES_STRUCT100])</f>
        <v>31</v>
      </c>
      <c r="Q551" s="257">
        <f>ASINH(FMS_Ranking4[[#This Row],[Res Structure Raw]])/Q$4*P$5*100</f>
        <v>0</v>
      </c>
      <c r="R551" s="253">
        <f>_xlfn.XLOOKUP(FMS_Ranking4[[#This Row],[FMS ID]],FMS_Input[FMS_ID],FMS_Input[POP100])</f>
        <v>62</v>
      </c>
      <c r="S551" s="259">
        <f>(ASINH(FMS_Ranking4[[#This Row],[Pop at Risk Raw]]))*(10)/(ASINH(R$4))</f>
        <v>3.3277658856057255</v>
      </c>
      <c r="T551" s="256">
        <f>FMS_Ranking4[[#This Row],[Population at risk, ArcSinh (0-10)]]*R$5*10</f>
        <v>3.3277658856057259</v>
      </c>
      <c r="U551" s="253">
        <f>_xlfn.XLOOKUP(FMS_Ranking4[[#This Row],[FMS ID]],FMS_Input[FMS_ID],FMS_Input[CRITFAC100])</f>
        <v>1</v>
      </c>
      <c r="V551" s="259">
        <f>(ASINH(FMS_Ranking4[[#This Row],[Critical Facilities Raw]]))*(10)/(ASINH(U$4))</f>
        <v>1.0433384451410745</v>
      </c>
      <c r="W551" s="256">
        <f>FMS_Ranking4[[#This Row],[Critical facilities at risk, ArcSinh (0-10)]]*U$5*10</f>
        <v>1.0433384451410745</v>
      </c>
      <c r="X551" s="253">
        <f>_xlfn.XLOOKUP(FMS_Ranking4[[#This Row],[FMS ID]],FMS_Input[FMS_ID],FMS_Input[LWC])</f>
        <v>4</v>
      </c>
      <c r="Y551" s="259">
        <f>(ASINH(FMS_Ranking4[[#This Row],[LWC Raw]]))*(10)/(ASINH(X$4))</f>
        <v>2.8377862217928165</v>
      </c>
      <c r="Z551" s="256">
        <f>FMS_Ranking4[[#This Row],[LWC, ArcSInh (0-10)]]*X$5*10</f>
        <v>2.8377862217928169</v>
      </c>
      <c r="AA551" s="253">
        <f>_xlfn.XLOOKUP(FMS_Ranking4[[#This Row],[FMS ID]],FMS_Input[FMS_ID],FMS_Input[ROADCLS])</f>
        <v>0</v>
      </c>
      <c r="AB551" s="255">
        <f>(ASINH(FMS_Ranking4[[#This Row],[Road Closures Raw]]))*(10)/(ASINH(AA$4))</f>
        <v>0</v>
      </c>
      <c r="AC551" s="256">
        <f>FMS_Ranking4[[#This Row],[Road closures, ArcSinh (0-10)]]*AA$5*10</f>
        <v>0</v>
      </c>
      <c r="AD551" s="253">
        <f>_xlfn.XLOOKUP(FMS_Ranking4[[#This Row],[FMS ID]],FMS_Input[FMS_ID],FMS_Input[ROAD_MILES100])</f>
        <v>2</v>
      </c>
      <c r="AE551" s="259">
        <f>(ASINH(FMS_Ranking4[[#This Row],[Road Miles Raw]]))*(10)/(ASINH(AD$4))</f>
        <v>1.5385182374234352</v>
      </c>
      <c r="AF551" s="256">
        <f>FMS_Ranking4[[#This Row],[Length of roads at risk, ArcSinh (0-10)]]*AD$5*10</f>
        <v>1.5385182374234352</v>
      </c>
      <c r="AG551" s="253">
        <f>_xlfn.XLOOKUP(FMS_Ranking4[[#This Row],[FMS ID]],FMS_Input[FMS_ID],FMS_Input[FARMACRE100])</f>
        <v>527.8651123046875</v>
      </c>
      <c r="AH551" s="255">
        <f>(ASINH(FMS_Ranking4[[#This Row],[Ag Land Raw]]))*(10)/(ASINH(AG$4))</f>
        <v>4.5223789528528959</v>
      </c>
      <c r="AI551" s="260">
        <f>FMS_Ranking4[[#This Row],[Farm &amp; ranch land, ArcSinh (0-10)]]*AG$5*10</f>
        <v>2.261189476426448</v>
      </c>
      <c r="AJ551" s="258">
        <f>_xlfn.XLOOKUP(FMS_Ranking4[[#This Row],[FMS ID]],FMS_Input[FMS_ID],FMS_Input[REDSTRUCT100])</f>
        <v>0</v>
      </c>
      <c r="AK551" s="253">
        <f>_xlfn.XLOOKUP(FMS_Ranking4[[#This Row],[FMS ID]],FMS_Input[FMS_ID],FMS_Input[REMSTRC100])</f>
        <v>0</v>
      </c>
      <c r="AL551" s="259">
        <f>(ASINH(FMS_Ranking4[[#This Row],[Structures Removed Raw]]))*(10)/(ASINH(AK$4))</f>
        <v>0</v>
      </c>
      <c r="AM551" s="262">
        <f>FMS_Ranking4[[#This Row],[Structures removed, ArcSinh (0-10)]]*AK$5*10</f>
        <v>0</v>
      </c>
      <c r="AN551" s="253">
        <f>_xlfn.XLOOKUP(FMS_Ranking4[[#This Row],[FMS ID]],FMS_Input[FMS_ID],FMS_Input[REMRESSTRC100])</f>
        <v>0</v>
      </c>
      <c r="AO551" s="261">
        <f>FMS_Ranking4[[#This Row],[ArcSinh Res struct removed 0-10]]*AN$5*10</f>
        <v>0</v>
      </c>
      <c r="AP551" s="260">
        <f>ASINH(FMS_Ranking4[[#This Row],[Residential Structures Removed Raw]])/AP$4*AN$5*100</f>
        <v>0</v>
      </c>
      <c r="AQ551" s="254">
        <f>(ASINH(FMS_Ranking4[[#This Row],[Residential Structures Removed Raw]]))*(10)/(ASINH(AN$4))</f>
        <v>0</v>
      </c>
      <c r="AR551" s="253">
        <f>_xlfn.XLOOKUP(FMS_Ranking4[[#This Row],[FMS ID]],FMS_Input[FMS_ID],FMS_Input[REMPOP100])</f>
        <v>0</v>
      </c>
      <c r="AS551" s="259">
        <f>(ASINH(FMS_Ranking4[[#This Row],[Removed Pop Raw]]))*(10)/(ASINH(AR$4))</f>
        <v>0</v>
      </c>
      <c r="AT551" s="262">
        <f>FMS_Ranking4[[#This Row],[Removed population, ArcSinh (0-10)]]*AR$5*10</f>
        <v>0</v>
      </c>
      <c r="AU551" s="264">
        <f>_xlfn.XLOOKUP(FMS_Ranking4[[#This Row],[FMS ID]],FMS_Input[FMS_ID],FMS_Input[REMCRITFAC100])</f>
        <v>0</v>
      </c>
      <c r="AV551" s="264">
        <f>_xlfn.XLOOKUP(FMS_Ranking4[[#This Row],[FMS ID]],FMS_Input[FMS_ID],FMS_Input[REMLWC100])</f>
        <v>0</v>
      </c>
      <c r="AW551" s="264">
        <f>_xlfn.XLOOKUP(FMS_Ranking4[[#This Row],[FMS ID]],FMS_Input[FMS_ID],FMS_Input[REMROADCLS])</f>
        <v>0</v>
      </c>
      <c r="AX551" s="264">
        <f>_xlfn.XLOOKUP(FMS_Ranking4[[#This Row],[FMS ID]],FMS_Input[FMS_ID],FMS_Input[REMFRMACRE100])</f>
        <v>0</v>
      </c>
      <c r="AY551" s="258">
        <f>_xlfn.XLOOKUP(FMS_Ranking4[[#This Row],[FMS ID]],FMS_Input[FMS_ID],FMS_Input[COSTSTRUCT])</f>
        <v>0</v>
      </c>
      <c r="AZ551" s="253">
        <f>_xlfn.XLOOKUP(FMS_Ranking4[[#This Row],[FMS ID]],FMS_Input[FMS_ID],FMS_Input[NATURE])</f>
        <v>0</v>
      </c>
      <c r="BA551" s="262">
        <f>(((FMS_Ranking4[[#This Row],[% NBS Raw]]/AZ$4)*100)*AZ$5)</f>
        <v>0</v>
      </c>
      <c r="BB551" s="251" t="str">
        <f>_xlfn.XLOOKUP(FMS_Ranking4[[#This Row],[FMS ID]],FMS_Input[FMS_ID],FMS_Input[WATER_SUP])</f>
        <v>No</v>
      </c>
      <c r="BC551" s="265">
        <f>IF(FMS_Ranking4[[#This Row],[Water Supply Raw]]="Yes",10,0)</f>
        <v>0</v>
      </c>
      <c r="BD551" s="266">
        <f>_xlfn.XLOOKUP(FMS_Ranking4[[#This Row],[FMS Type]],FMS_TYPE[FMS_Type],FMS_TYPE[Score])</f>
        <v>10</v>
      </c>
      <c r="BE551" s="267">
        <f>FMS_Ranking4[[#This Row],[FMS_Type Score]]*$BD$5*10</f>
        <v>2.5</v>
      </c>
      <c r="BF55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6.1521337991458279E-2</v>
      </c>
      <c r="BG551" s="271">
        <f>_xlfn.RANK.EQ(BF551,$BF$8:$BF$870,0)+COUNTIF($BF$8:BF551,BF551)-1</f>
        <v>539</v>
      </c>
      <c r="BH551" s="268">
        <f>(((FMS_Ranking4[[#This Row],[Structures Removed Raw]]/AK$4)*100)*AK$5)+(((FMS_Ranking4[[#This Row],[Removed Pop Raw]]/AR$4)*100)*AR$5)</f>
        <v>0</v>
      </c>
      <c r="BI55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2.5615213379914583</v>
      </c>
      <c r="BJ551" s="205">
        <f>_xlfn.RANK.EQ(FMS_Ranking4[[#This Row],[Total Score 
(with linear
normalization)]],FMS_Ranking4[Total Score 
(with linear
normalization)],0)</f>
        <v>234</v>
      </c>
      <c r="BK551" s="205" t="e">
        <f>_xlfn.XLOOKUP(FMS_Ranking4[[#This Row],[FMS ID]],#REF!,#REF!)</f>
        <v>#REF!</v>
      </c>
      <c r="BL55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14.433749273963961</v>
      </c>
      <c r="BM551" s="272">
        <f>FMS_Ranking4[[#This Row],[ArcSinh Score Based on Normalized Reported Factors]]+FMS_Ranking4[[#This Row],[% NBS Score (Normalized)]]+(FMS_Ranking4[[#This Row],[Water Supply Score (Normalized)]]*10*$BB$5)+FMS_Ranking4[[#This Row],[FMS_Type Score Weighted]]</f>
        <v>16.933749273963961</v>
      </c>
      <c r="BN551" s="205">
        <f>_xlfn.RANK.EQ(FMS_Ranking4[[#This Row],[Total Score (with ArcSinh normalization of select criteria)]],FMS_Ranking4[Total Score (with ArcSinh normalization of select criteria)],0)</f>
        <v>544</v>
      </c>
      <c r="BO551" s="270" t="str">
        <f>_xlfn.XLOOKUP(FMS_Ranking4[[#This Row],[FMS ID]],FMS_Input[FMS_ID],FMS_Input[FMS_RANK_YEAR])</f>
        <v>2023 Amended Plan</v>
      </c>
      <c r="BP551" s="204">
        <f>_xlfn.XLOOKUP(FMS_Ranking4[[#This Row],[FMS ID]],Prev_Rank[FMS ID],Prev_Rank[Prev Rank])</f>
        <v>475</v>
      </c>
      <c r="BQ551" s="205" t="e">
        <f>_xlfn.XLOOKUP(FMS_Ranking4[[#This Row],[FMS ID]],#REF!,#REF!)</f>
        <v>#REF!</v>
      </c>
      <c r="BR551" s="199" t="e">
        <f>SUM(#REF!,#REF!,#REF!,#REF!,#REF!,#REF!,#REF!,#REF!,#REF!,FMS_Ranking4[[#This Row],[ArcSinh Res struct removed 0-10]],#REF!)</f>
        <v>#REF!</v>
      </c>
      <c r="BS551" s="199" t="e">
        <f>FMS_Ranking4[[#This Row],[Log Score Based on Normalized Reported Factors]]+FMS_Ranking4[[#This Row],[% NBS Score (Normalized)]]+(FMS_Ranking4[[#This Row],[Water Supply Score (Normalized)]]*10*$BB$5)+(FMS_Ranking4[[#This Row],[FMS_Type Score Weighted]])</f>
        <v>#REF!</v>
      </c>
      <c r="BT551" s="200" t="e">
        <f>_xlfn.RANK.EQ(FMS_Ranking4[[#This Row],[Log Total Score]],FMS_Ranking4[Log Total Score],0)</f>
        <v>#REF!</v>
      </c>
      <c r="BU551" s="200" t="e">
        <f>_xlfn.XLOOKUP(FMS_Ranking4[[#This Row],[FMS ID]],#REF!,#REF!)</f>
        <v>#REF!</v>
      </c>
      <c r="BV551" s="200">
        <f>FMS_Ranking4[[#This Row],[Region Number]]</f>
        <v>3</v>
      </c>
      <c r="BW551" s="200">
        <f>FMS_Ranking4[[#This Row],[Rank (with ArcSinh normalization of select criteria)]]-FMS_Ranking4[[#This Row],[Rank
(with linear
normalization)]]</f>
        <v>310</v>
      </c>
      <c r="BX551" s="200" t="e">
        <f>FMS_Ranking4[[#This Row],[Log Rank]]-FMS_Ranking4[[#This Row],[Rank
(with linear
normalization)]]</f>
        <v>#REF!</v>
      </c>
      <c r="BY551" s="200">
        <f>IF(FMS_Ranking4[[#This Row],[FMS Type]]="Flood Measurement and Warning",FMS_Ranking4[[#This Row],[Rank (with ArcSinh normalization of select criteria)]],"")</f>
        <v>544</v>
      </c>
      <c r="BZ551" s="200" t="str">
        <f>IF(FMS_Ranking4[[#This Row],[FMS Type]]="Regulatory and Guidance",FMS_Ranking4[[#This Row],[Rank (with ArcSinh normalization of select criteria)]],"")</f>
        <v/>
      </c>
      <c r="CA551" s="200" t="str">
        <f>IF(FMS_Ranking4[[#This Row],[FMS Type]]="Education and Outreach",FMS_Ranking4[[#This Row],[Rank (with ArcSinh normalization of select criteria)]],"")</f>
        <v/>
      </c>
      <c r="CB551" s="200" t="str">
        <f>IF(FMS_Ranking4[[#This Row],[FMS Type]]="Property Acquisition and Structural Elevation",FMS_Ranking4[[#This Row],[Rank (with ArcSinh normalization of select criteria)]],"")</f>
        <v/>
      </c>
      <c r="CC551" s="200" t="str">
        <f>IF(FMS_Ranking4[[#This Row],[FMS Type]]="Infrastructure Projects",FMS_Ranking4[[#This Row],[Rank (with ArcSinh normalization of select criteria)]],"")</f>
        <v/>
      </c>
      <c r="CD551" s="200" t="str">
        <f>IF(FMS_Ranking4[[#This Row],[FMS Type]]="Other",FMS_Ranking4[[#This Row],[Rank (with ArcSinh normalization of select criteria)]],"")</f>
        <v/>
      </c>
      <c r="CE551" s="201"/>
      <c r="CF551" s="206"/>
      <c r="CG551" s="206"/>
      <c r="CH551" s="206"/>
      <c r="CI551" s="206"/>
      <c r="CJ551" s="206"/>
      <c r="CK551" s="206"/>
      <c r="CL551" s="206"/>
      <c r="CM551" s="206"/>
      <c r="CN551" s="206"/>
      <c r="CO551" s="206"/>
      <c r="CP551" s="206"/>
      <c r="CQ551" s="206"/>
      <c r="CR551" s="206"/>
    </row>
    <row r="552" spans="2:96" ht="105" x14ac:dyDescent="0.25">
      <c r="B552" s="341" t="s">
        <v>11947</v>
      </c>
      <c r="C552" s="246">
        <f>_xlfn.XLOOKUP(FMS_Ranking4[[#This Row],[FMS ID]],FMS_Input[FMS_ID],FMS_Input[RFPG_NUM])</f>
        <v>15</v>
      </c>
      <c r="D552" s="309" t="str">
        <f>_xlfn.XLOOKUP(FMS_Ranking4[[#This Row],[FMS ID]],FMS_Input[FMS_ID],FMS_Input[FMS_NAME])</f>
        <v xml:space="preserve">City of La Joya </v>
      </c>
      <c r="E552" s="308" t="str">
        <f>_xlfn.XLOOKUP(FMS_Ranking4[[#This Row],[FMS ID]],FMS_Input[FMS_ID],FMS_Input[SPONSOR])</f>
        <v>15000062</v>
      </c>
      <c r="F552" s="309" t="str">
        <f>_xlfn.XLOOKUP(FMS_Ranking4[[#This Row],[FMS ID]],Sponsor[FMS_ID],Sponsor[SPONSOR NAME])</f>
        <v>La Joya</v>
      </c>
      <c r="G552" s="309" t="str">
        <f>_xlfn.XLOOKUP(FMS_Ranking4[[#This Row],[FMS ID]],FMS_Input[FMS_ID],FMS_Input[FMS_DESCR])</f>
        <v>FMS 2 - Assessment, development, and updating of the City's ordinances, orders, policies, engineering specifications, guidance documents and other flood management tools.</v>
      </c>
      <c r="H552" s="248" t="str">
        <f>_xlfn.XLOOKUP(FMS_Ranking4[[#This Row],[FMS ID]],FMS_Input[FMS_ID],FMS_Input[FMS_TYPE])</f>
        <v>Regulatory and Guidance</v>
      </c>
      <c r="I552" s="249">
        <f>_xlfn.XLOOKUP(FMS_Ranking4[[#This Row],[FMS ID]],FMS_Input[FMS_ID],FMS_Input[NRNC_COST])</f>
        <v>500000</v>
      </c>
      <c r="J552" s="250">
        <f>_xlfn.XLOOKUP(FMS_Ranking4[[#This Row],[FMS ID]],FMS_Input[FMS_ID],FMS_Input[FMS_COST])</f>
        <v>500000</v>
      </c>
      <c r="K552" s="251" t="str">
        <f>_xlfn.XLOOKUP(FMS_Ranking4[[#This Row],[FMS ID]],FMS_Input[FMS_ID],FMS_Input[EMER_NEED])</f>
        <v>Yes</v>
      </c>
      <c r="L552" s="252">
        <f t="shared" si="8"/>
        <v>1</v>
      </c>
      <c r="M552" s="253">
        <f>_xlfn.XLOOKUP(FMS_Ranking4[[#This Row],[FMS ID]],FMS_Input[FMS_ID],FMS_Input[STRUCT_100])</f>
        <v>104</v>
      </c>
      <c r="N552" s="255">
        <f>(ASINH(FMS_Ranking4[[#This Row],[Structure at Risk Raw]]))*(10)/(ASINH(M$4))</f>
        <v>4.1961178259851355</v>
      </c>
      <c r="O552" s="256">
        <f>FMS_Ranking4[[#This Row],[Structures at risk, ArcSinh (0-10)]]*M$5*10</f>
        <v>4.1961178259851355</v>
      </c>
      <c r="P552" s="253">
        <f>_xlfn.XLOOKUP(FMS_Ranking4[[#This Row],[FMS ID]],FMS_Input[FMS_ID],FMS_Input[RES_STRUCT100])</f>
        <v>86</v>
      </c>
      <c r="Q552" s="257">
        <f>ASINH(FMS_Ranking4[[#This Row],[Res Structure Raw]])/Q$4*P$5*100</f>
        <v>0</v>
      </c>
      <c r="R552" s="253">
        <f>_xlfn.XLOOKUP(FMS_Ranking4[[#This Row],[FMS ID]],FMS_Input[FMS_ID],FMS_Input[POP100])</f>
        <v>242</v>
      </c>
      <c r="S552" s="259">
        <f>(ASINH(FMS_Ranking4[[#This Row],[Pop at Risk Raw]]))*(10)/(ASINH(R$4))</f>
        <v>4.2678560663062823</v>
      </c>
      <c r="T552" s="256">
        <f>FMS_Ranking4[[#This Row],[Population at risk, ArcSinh (0-10)]]*R$5*10</f>
        <v>4.2678560663062823</v>
      </c>
      <c r="U552" s="253">
        <f>_xlfn.XLOOKUP(FMS_Ranking4[[#This Row],[FMS ID]],FMS_Input[FMS_ID],FMS_Input[CRITFAC100])</f>
        <v>11</v>
      </c>
      <c r="V552" s="259">
        <f>(ASINH(FMS_Ranking4[[#This Row],[Critical Facilities Raw]]))*(10)/(ASINH(U$4))</f>
        <v>3.661503455940549</v>
      </c>
      <c r="W552" s="256">
        <f>FMS_Ranking4[[#This Row],[Critical facilities at risk, ArcSinh (0-10)]]*U$5*10</f>
        <v>3.661503455940549</v>
      </c>
      <c r="X552" s="253">
        <f>_xlfn.XLOOKUP(FMS_Ranking4[[#This Row],[FMS ID]],FMS_Input[FMS_ID],FMS_Input[LWC])</f>
        <v>0</v>
      </c>
      <c r="Y552" s="259">
        <f>(ASINH(FMS_Ranking4[[#This Row],[LWC Raw]]))*(10)/(ASINH(X$4))</f>
        <v>0</v>
      </c>
      <c r="Z552" s="256">
        <f>FMS_Ranking4[[#This Row],[LWC, ArcSInh (0-10)]]*X$5*10</f>
        <v>0</v>
      </c>
      <c r="AA552" s="253">
        <f>_xlfn.XLOOKUP(FMS_Ranking4[[#This Row],[FMS ID]],FMS_Input[FMS_ID],FMS_Input[ROADCLS])</f>
        <v>0</v>
      </c>
      <c r="AB552" s="255">
        <f>(ASINH(FMS_Ranking4[[#This Row],[Road Closures Raw]]))*(10)/(ASINH(AA$4))</f>
        <v>0</v>
      </c>
      <c r="AC552" s="256">
        <f>FMS_Ranking4[[#This Row],[Road closures, ArcSinh (0-10)]]*AA$5*10</f>
        <v>0</v>
      </c>
      <c r="AD552" s="253">
        <f>_xlfn.XLOOKUP(FMS_Ranking4[[#This Row],[FMS ID]],FMS_Input[FMS_ID],FMS_Input[ROAD_MILES100])</f>
        <v>5</v>
      </c>
      <c r="AE552" s="259">
        <f>(ASINH(FMS_Ranking4[[#This Row],[Road Miles Raw]]))*(10)/(ASINH(AD$4))</f>
        <v>2.4644230639487872</v>
      </c>
      <c r="AF552" s="256">
        <f>FMS_Ranking4[[#This Row],[Length of roads at risk, ArcSinh (0-10)]]*AD$5*10</f>
        <v>2.4644230639487876</v>
      </c>
      <c r="AG552" s="253">
        <f>_xlfn.XLOOKUP(FMS_Ranking4[[#This Row],[FMS ID]],FMS_Input[FMS_ID],FMS_Input[FARMACRE100])</f>
        <v>1.211001515388489</v>
      </c>
      <c r="AH552" s="255">
        <f>(ASINH(FMS_Ranking4[[#This Row],[Ag Land Raw]]))*(10)/(ASINH(AG$4))</f>
        <v>0.66451997505600846</v>
      </c>
      <c r="AI552" s="260">
        <f>FMS_Ranking4[[#This Row],[Farm &amp; ranch land, ArcSinh (0-10)]]*AG$5*10</f>
        <v>0.33225998752800423</v>
      </c>
      <c r="AJ552" s="258">
        <f>_xlfn.XLOOKUP(FMS_Ranking4[[#This Row],[FMS ID]],FMS_Input[FMS_ID],FMS_Input[REDSTRUCT100])</f>
        <v>0</v>
      </c>
      <c r="AK552" s="253">
        <f>_xlfn.XLOOKUP(FMS_Ranking4[[#This Row],[FMS ID]],FMS_Input[FMS_ID],FMS_Input[REMSTRC100])</f>
        <v>0</v>
      </c>
      <c r="AL552" s="259">
        <f>(ASINH(FMS_Ranking4[[#This Row],[Structures Removed Raw]]))*(10)/(ASINH(AK$4))</f>
        <v>0</v>
      </c>
      <c r="AM552" s="262">
        <f>FMS_Ranking4[[#This Row],[Structures removed, ArcSinh (0-10)]]*AK$5*10</f>
        <v>0</v>
      </c>
      <c r="AN552" s="253">
        <f>_xlfn.XLOOKUP(FMS_Ranking4[[#This Row],[FMS ID]],FMS_Input[FMS_ID],FMS_Input[REMRESSTRC100])</f>
        <v>0</v>
      </c>
      <c r="AO552" s="261">
        <f>FMS_Ranking4[[#This Row],[ArcSinh Res struct removed 0-10]]*AN$5*10</f>
        <v>0</v>
      </c>
      <c r="AP552" s="260">
        <f>ASINH(FMS_Ranking4[[#This Row],[Residential Structures Removed Raw]])/AP$4*AN$5*100</f>
        <v>0</v>
      </c>
      <c r="AQ552" s="254">
        <f>(ASINH(FMS_Ranking4[[#This Row],[Residential Structures Removed Raw]]))*(10)/(ASINH(AN$4))</f>
        <v>0</v>
      </c>
      <c r="AR552" s="253">
        <f>_xlfn.XLOOKUP(FMS_Ranking4[[#This Row],[FMS ID]],FMS_Input[FMS_ID],FMS_Input[REMPOP100])</f>
        <v>0</v>
      </c>
      <c r="AS552" s="259">
        <f>(ASINH(FMS_Ranking4[[#This Row],[Removed Pop Raw]]))*(10)/(ASINH(AR$4))</f>
        <v>0</v>
      </c>
      <c r="AT552" s="262">
        <f>FMS_Ranking4[[#This Row],[Removed population, ArcSinh (0-10)]]*AR$5*10</f>
        <v>0</v>
      </c>
      <c r="AU552" s="264">
        <f>_xlfn.XLOOKUP(FMS_Ranking4[[#This Row],[FMS ID]],FMS_Input[FMS_ID],FMS_Input[REMCRITFAC100])</f>
        <v>0</v>
      </c>
      <c r="AV552" s="264">
        <f>_xlfn.XLOOKUP(FMS_Ranking4[[#This Row],[FMS ID]],FMS_Input[FMS_ID],FMS_Input[REMLWC100])</f>
        <v>0</v>
      </c>
      <c r="AW552" s="264">
        <f>_xlfn.XLOOKUP(FMS_Ranking4[[#This Row],[FMS ID]],FMS_Input[FMS_ID],FMS_Input[REMROADCLS])</f>
        <v>0</v>
      </c>
      <c r="AX552" s="264">
        <f>_xlfn.XLOOKUP(FMS_Ranking4[[#This Row],[FMS ID]],FMS_Input[FMS_ID],FMS_Input[REMFRMACRE100])</f>
        <v>0</v>
      </c>
      <c r="AY552" s="258">
        <f>_xlfn.XLOOKUP(FMS_Ranking4[[#This Row],[FMS ID]],FMS_Input[FMS_ID],FMS_Input[COSTSTRUCT])</f>
        <v>0</v>
      </c>
      <c r="AZ552" s="253">
        <f>_xlfn.XLOOKUP(FMS_Ranking4[[#This Row],[FMS ID]],FMS_Input[FMS_ID],FMS_Input[NATURE])</f>
        <v>0</v>
      </c>
      <c r="BA552" s="262">
        <f>(((FMS_Ranking4[[#This Row],[% NBS Raw]]/AZ$4)*100)*AZ$5)</f>
        <v>0</v>
      </c>
      <c r="BB552" s="251" t="str">
        <f>_xlfn.XLOOKUP(FMS_Ranking4[[#This Row],[FMS ID]],FMS_Input[FMS_ID],FMS_Input[WATER_SUP])</f>
        <v>No</v>
      </c>
      <c r="BC552" s="265">
        <f>IF(FMS_Ranking4[[#This Row],[Water Supply Raw]]="Yes",10,0)</f>
        <v>0</v>
      </c>
      <c r="BD552" s="266">
        <f>_xlfn.XLOOKUP(FMS_Ranking4[[#This Row],[FMS Type]],FMS_TYPE[FMS_Type],FMS_TYPE[Score])</f>
        <v>8</v>
      </c>
      <c r="BE552" s="267">
        <f>FMS_Ranking4[[#This Row],[FMS_Type Score]]*$BD$5*10</f>
        <v>2</v>
      </c>
      <c r="BF55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6.4280710736316582E-2</v>
      </c>
      <c r="BG552" s="271">
        <f>_xlfn.RANK.EQ(BF552,$BF$8:$BF$870,0)+COUNTIF($BF$8:BF552,BF552)-1</f>
        <v>528</v>
      </c>
      <c r="BH552" s="268">
        <f>(((FMS_Ranking4[[#This Row],[Structures Removed Raw]]/AK$4)*100)*AK$5)+(((FMS_Ranking4[[#This Row],[Removed Pop Raw]]/AR$4)*100)*AR$5)</f>
        <v>0</v>
      </c>
      <c r="BI55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2.0642807107363166</v>
      </c>
      <c r="BJ552" s="205">
        <f>_xlfn.RANK.EQ(FMS_Ranking4[[#This Row],[Total Score 
(with linear
normalization)]],FMS_Ranking4[Total Score 
(with linear
normalization)],0)</f>
        <v>381</v>
      </c>
      <c r="BK552" s="205" t="e">
        <f>_xlfn.XLOOKUP(FMS_Ranking4[[#This Row],[FMS ID]],#REF!,#REF!)</f>
        <v>#REF!</v>
      </c>
      <c r="BL55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14.922160399708758</v>
      </c>
      <c r="BM552" s="272">
        <f>FMS_Ranking4[[#This Row],[ArcSinh Score Based on Normalized Reported Factors]]+FMS_Ranking4[[#This Row],[% NBS Score (Normalized)]]+(FMS_Ranking4[[#This Row],[Water Supply Score (Normalized)]]*10*$BB$5)+FMS_Ranking4[[#This Row],[FMS_Type Score Weighted]]</f>
        <v>16.922160399708758</v>
      </c>
      <c r="BN552" s="205">
        <f>_xlfn.RANK.EQ(FMS_Ranking4[[#This Row],[Total Score (with ArcSinh normalization of select criteria)]],FMS_Ranking4[Total Score (with ArcSinh normalization of select criteria)],0)</f>
        <v>545</v>
      </c>
      <c r="BO552" s="270" t="str">
        <f>_xlfn.XLOOKUP(FMS_Ranking4[[#This Row],[FMS ID]],FMS_Input[FMS_ID],FMS_Input[FMS_RANK_YEAR])</f>
        <v>2025 Amended Plan</v>
      </c>
      <c r="BP552" s="204" t="e">
        <f>_xlfn.XLOOKUP(FMS_Ranking4[[#This Row],[FMS ID]],Prev_Rank[FMS ID],Prev_Rank[Prev Rank])</f>
        <v>#N/A</v>
      </c>
      <c r="BQ552" s="205" t="e">
        <f>_xlfn.XLOOKUP(FMS_Ranking4[[#This Row],[FMS ID]],#REF!,#REF!)</f>
        <v>#REF!</v>
      </c>
      <c r="BR552" s="199" t="e">
        <f>SUM(#REF!,#REF!,#REF!,#REF!,#REF!,#REF!,#REF!,#REF!,#REF!,FMS_Ranking4[[#This Row],[ArcSinh Res struct removed 0-10]],#REF!)</f>
        <v>#REF!</v>
      </c>
      <c r="BS552" s="199" t="e">
        <f>FMS_Ranking4[[#This Row],[Log Score Based on Normalized Reported Factors]]+FMS_Ranking4[[#This Row],[% NBS Score (Normalized)]]+(FMS_Ranking4[[#This Row],[Water Supply Score (Normalized)]]*10*$BB$5)+(FMS_Ranking4[[#This Row],[FMS_Type Score Weighted]])</f>
        <v>#REF!</v>
      </c>
      <c r="BT552" s="200" t="e">
        <f>_xlfn.RANK.EQ(FMS_Ranking4[[#This Row],[Log Total Score]],FMS_Ranking4[Log Total Score],0)</f>
        <v>#REF!</v>
      </c>
      <c r="BU552" s="200" t="e">
        <f>_xlfn.XLOOKUP(FMS_Ranking4[[#This Row],[FMS ID]],#REF!,#REF!)</f>
        <v>#REF!</v>
      </c>
      <c r="BV552" s="200">
        <f>FMS_Ranking4[[#This Row],[Region Number]]</f>
        <v>15</v>
      </c>
      <c r="BW552" s="200">
        <f>FMS_Ranking4[[#This Row],[Rank (with ArcSinh normalization of select criteria)]]-FMS_Ranking4[[#This Row],[Rank
(with linear
normalization)]]</f>
        <v>164</v>
      </c>
      <c r="BX552" s="200" t="e">
        <f>FMS_Ranking4[[#This Row],[Log Rank]]-FMS_Ranking4[[#This Row],[Rank
(with linear
normalization)]]</f>
        <v>#REF!</v>
      </c>
      <c r="BY552" s="200" t="str">
        <f>IF(FMS_Ranking4[[#This Row],[FMS Type]]="Flood Measurement and Warning",FMS_Ranking4[[#This Row],[Rank (with ArcSinh normalization of select criteria)]],"")</f>
        <v/>
      </c>
      <c r="BZ552" s="200">
        <f>IF(FMS_Ranking4[[#This Row],[FMS Type]]="Regulatory and Guidance",FMS_Ranking4[[#This Row],[Rank (with ArcSinh normalization of select criteria)]],"")</f>
        <v>545</v>
      </c>
      <c r="CA552" s="200" t="str">
        <f>IF(FMS_Ranking4[[#This Row],[FMS Type]]="Education and Outreach",FMS_Ranking4[[#This Row],[Rank (with ArcSinh normalization of select criteria)]],"")</f>
        <v/>
      </c>
      <c r="CB552" s="200" t="str">
        <f>IF(FMS_Ranking4[[#This Row],[FMS Type]]="Property Acquisition and Structural Elevation",FMS_Ranking4[[#This Row],[Rank (with ArcSinh normalization of select criteria)]],"")</f>
        <v/>
      </c>
      <c r="CC552" s="200" t="str">
        <f>IF(FMS_Ranking4[[#This Row],[FMS Type]]="Infrastructure Projects",FMS_Ranking4[[#This Row],[Rank (with ArcSinh normalization of select criteria)]],"")</f>
        <v/>
      </c>
      <c r="CD552" s="200" t="str">
        <f>IF(FMS_Ranking4[[#This Row],[FMS Type]]="Other",FMS_Ranking4[[#This Row],[Rank (with ArcSinh normalization of select criteria)]],"")</f>
        <v/>
      </c>
      <c r="CE552" s="201"/>
      <c r="CF552" s="206"/>
      <c r="CG552" s="206"/>
      <c r="CH552" s="206"/>
      <c r="CI552" s="206"/>
      <c r="CJ552" s="206"/>
      <c r="CK552" s="206"/>
      <c r="CL552" s="206"/>
      <c r="CM552" s="206"/>
      <c r="CN552" s="206"/>
      <c r="CO552" s="206"/>
      <c r="CP552" s="206"/>
      <c r="CQ552" s="206"/>
      <c r="CR552" s="206"/>
    </row>
    <row r="553" spans="2:96" ht="75" x14ac:dyDescent="0.25">
      <c r="B553" s="346" t="s">
        <v>110</v>
      </c>
      <c r="C553" s="246">
        <f>_xlfn.XLOOKUP(FMS_Ranking4[[#This Row],[FMS ID]],FMS_Input[FMS_ID],FMS_Input[RFPG_NUM])</f>
        <v>6</v>
      </c>
      <c r="D553" s="309" t="str">
        <f>_xlfn.XLOOKUP(FMS_Ranking4[[#This Row],[FMS ID]],FMS_Input[FMS_ID],FMS_Input[FMS_NAME])</f>
        <v>Amending Grimes County Floodplain Ordinance</v>
      </c>
      <c r="E553" s="308" t="str">
        <f>_xlfn.XLOOKUP(FMS_Ranking4[[#This Row],[FMS ID]],FMS_Input[FMS_ID],FMS_Input[SPONSOR])</f>
        <v>00000044</v>
      </c>
      <c r="F553" s="309" t="str">
        <f>_xlfn.XLOOKUP(FMS_Ranking4[[#This Row],[FMS ID]],Sponsor[FMS_ID],Sponsor[SPONSOR NAME])</f>
        <v>Grimes</v>
      </c>
      <c r="G553" s="309" t="str">
        <f>_xlfn.XLOOKUP(FMS_Ranking4[[#This Row],[FMS ID]],FMS_Input[FMS_ID],FMS_Input[FMS_DESCR])</f>
        <v>Prohibit the building of any new structures located down-stream of high hazard dams by amending the floodplain ordinance.</v>
      </c>
      <c r="H553" s="248" t="str">
        <f>_xlfn.XLOOKUP(FMS_Ranking4[[#This Row],[FMS ID]],FMS_Input[FMS_ID],FMS_Input[FMS_TYPE])</f>
        <v>Regulatory and Guidance</v>
      </c>
      <c r="I553" s="249">
        <f>_xlfn.XLOOKUP(FMS_Ranking4[[#This Row],[FMS ID]],FMS_Input[FMS_ID],FMS_Input[NRNC_COST])</f>
        <v>1000</v>
      </c>
      <c r="J553" s="250">
        <f>_xlfn.XLOOKUP(FMS_Ranking4[[#This Row],[FMS ID]],FMS_Input[FMS_ID],FMS_Input[FMS_COST])</f>
        <v>20000</v>
      </c>
      <c r="K553" s="251" t="str">
        <f>_xlfn.XLOOKUP(FMS_Ranking4[[#This Row],[FMS ID]],FMS_Input[FMS_ID],FMS_Input[EMER_NEED])</f>
        <v>No</v>
      </c>
      <c r="L553" s="252">
        <f t="shared" si="8"/>
        <v>0</v>
      </c>
      <c r="M553" s="253">
        <f>_xlfn.XLOOKUP(FMS_Ranking4[[#This Row],[FMS ID]],FMS_Input[FMS_ID],FMS_Input[STRUCT_100])</f>
        <v>145</v>
      </c>
      <c r="N553" s="255">
        <f>(ASINH(FMS_Ranking4[[#This Row],[Structure at Risk Raw]]))*(10)/(ASINH(M$4))</f>
        <v>4.4573799617879368</v>
      </c>
      <c r="O553" s="256">
        <f>FMS_Ranking4[[#This Row],[Structures at risk, ArcSinh (0-10)]]*M$5*10</f>
        <v>4.4573799617879377</v>
      </c>
      <c r="P553" s="253">
        <f>_xlfn.XLOOKUP(FMS_Ranking4[[#This Row],[FMS ID]],FMS_Input[FMS_ID],FMS_Input[RES_STRUCT100])</f>
        <v>76</v>
      </c>
      <c r="Q553" s="257">
        <f>ASINH(FMS_Ranking4[[#This Row],[Res Structure Raw]])/Q$4*P$5*100</f>
        <v>0</v>
      </c>
      <c r="R553" s="253">
        <f>_xlfn.XLOOKUP(FMS_Ranking4[[#This Row],[FMS ID]],FMS_Input[FMS_ID],FMS_Input[POP100])</f>
        <v>95</v>
      </c>
      <c r="S553" s="255">
        <f>(ASINH(FMS_Ranking4[[#This Row],[Pop at Risk Raw]]))*(10)/(ASINH(R$4))</f>
        <v>3.6223453106007693</v>
      </c>
      <c r="T553" s="256">
        <f>FMS_Ranking4[[#This Row],[Population at risk, ArcSinh (0-10)]]*R$5*10</f>
        <v>3.6223453106007697</v>
      </c>
      <c r="U553" s="253">
        <f>_xlfn.XLOOKUP(FMS_Ranking4[[#This Row],[FMS ID]],FMS_Input[FMS_ID],FMS_Input[CRITFAC100])</f>
        <v>0</v>
      </c>
      <c r="V553" s="255">
        <f>(ASINH(FMS_Ranking4[[#This Row],[Critical Facilities Raw]]))*(10)/(ASINH(U$4))</f>
        <v>0</v>
      </c>
      <c r="W553" s="256">
        <f>FMS_Ranking4[[#This Row],[Critical facilities at risk, ArcSinh (0-10)]]*U$5*10</f>
        <v>0</v>
      </c>
      <c r="X553" s="253">
        <f>_xlfn.XLOOKUP(FMS_Ranking4[[#This Row],[FMS ID]],FMS_Input[FMS_ID],FMS_Input[LWC])</f>
        <v>1</v>
      </c>
      <c r="Y553" s="255">
        <f>(ASINH(FMS_Ranking4[[#This Row],[LWC Raw]]))*(10)/(ASINH(X$4))</f>
        <v>1.1940300948531093</v>
      </c>
      <c r="Z553" s="256">
        <f>FMS_Ranking4[[#This Row],[LWC, ArcSInh (0-10)]]*X$5*10</f>
        <v>1.1940300948531093</v>
      </c>
      <c r="AA553" s="253">
        <f>_xlfn.XLOOKUP(FMS_Ranking4[[#This Row],[FMS ID]],FMS_Input[FMS_ID],FMS_Input[ROADCLS])</f>
        <v>1</v>
      </c>
      <c r="AB553" s="255">
        <f>(ASINH(FMS_Ranking4[[#This Row],[Road Closures Raw]]))*(10)/(ASINH(AA$4))</f>
        <v>0.91786969566638699</v>
      </c>
      <c r="AC553" s="256">
        <f>FMS_Ranking4[[#This Row],[Road closures, ArcSinh (0-10)]]*AA$5*10</f>
        <v>0.45893484783319349</v>
      </c>
      <c r="AD553" s="253">
        <f>_xlfn.XLOOKUP(FMS_Ranking4[[#This Row],[FMS ID]],FMS_Input[FMS_ID],FMS_Input[ROAD_MILES100])</f>
        <v>11</v>
      </c>
      <c r="AE553" s="255">
        <f>(ASINH(FMS_Ranking4[[#This Row],[Road Miles Raw]]))*(10)/(ASINH(AD$4))</f>
        <v>3.2963959525244606</v>
      </c>
      <c r="AF553" s="256">
        <f>FMS_Ranking4[[#This Row],[Length of roads at risk, ArcSinh (0-10)]]*AD$5*10</f>
        <v>3.2963959525244606</v>
      </c>
      <c r="AG553" s="253">
        <f>_xlfn.XLOOKUP(FMS_Ranking4[[#This Row],[FMS ID]],FMS_Input[FMS_ID],FMS_Input[FARMACRE100])</f>
        <v>151.27351379394531</v>
      </c>
      <c r="AH553" s="255">
        <f>(ASINH(FMS_Ranking4[[#This Row],[Ag Land Raw]]))*(10)/(ASINH(AG$4))</f>
        <v>3.7105702236122036</v>
      </c>
      <c r="AI553" s="260">
        <f>FMS_Ranking4[[#This Row],[Farm &amp; ranch land, ArcSinh (0-10)]]*AG$5*10</f>
        <v>1.855285111806102</v>
      </c>
      <c r="AJ553" s="258">
        <f>_xlfn.XLOOKUP(FMS_Ranking4[[#This Row],[FMS ID]],FMS_Input[FMS_ID],FMS_Input[REDSTRUCT100])</f>
        <v>0</v>
      </c>
      <c r="AK553" s="253">
        <f>_xlfn.XLOOKUP(FMS_Ranking4[[#This Row],[FMS ID]],FMS_Input[FMS_ID],FMS_Input[REMSTRC100])</f>
        <v>0</v>
      </c>
      <c r="AL553" s="255">
        <f>(ASINH(FMS_Ranking4[[#This Row],[Structures Removed Raw]]))*(10)/(ASINH(AK$4))</f>
        <v>0</v>
      </c>
      <c r="AM553" s="262">
        <f>FMS_Ranking4[[#This Row],[Structures removed, ArcSinh (0-10)]]*AK$5*10</f>
        <v>0</v>
      </c>
      <c r="AN553" s="253">
        <f>_xlfn.XLOOKUP(FMS_Ranking4[[#This Row],[FMS ID]],FMS_Input[FMS_ID],FMS_Input[REMRESSTRC100])</f>
        <v>0</v>
      </c>
      <c r="AO553" s="261">
        <f>FMS_Ranking4[[#This Row],[ArcSinh Res struct removed 0-10]]*AN$5*10</f>
        <v>0</v>
      </c>
      <c r="AP553" s="260">
        <f>ASINH(FMS_Ranking4[[#This Row],[Residential Structures Removed Raw]])/AP$4*AN$5*100</f>
        <v>0</v>
      </c>
      <c r="AQ553" s="258">
        <f>(ASINH(FMS_Ranking4[[#This Row],[Residential Structures Removed Raw]]))*(10)/(ASINH(AN$4))</f>
        <v>0</v>
      </c>
      <c r="AR553" s="253">
        <f>_xlfn.XLOOKUP(FMS_Ranking4[[#This Row],[FMS ID]],FMS_Input[FMS_ID],FMS_Input[REMPOP100])</f>
        <v>0</v>
      </c>
      <c r="AS553" s="255">
        <f>(ASINH(FMS_Ranking4[[#This Row],[Removed Pop Raw]]))*(10)/(ASINH(AR$4))</f>
        <v>0</v>
      </c>
      <c r="AT553" s="262">
        <f>FMS_Ranking4[[#This Row],[Removed population, ArcSinh (0-10)]]*AR$5*10</f>
        <v>0</v>
      </c>
      <c r="AU553" s="264">
        <f>_xlfn.XLOOKUP(FMS_Ranking4[[#This Row],[FMS ID]],FMS_Input[FMS_ID],FMS_Input[REMCRITFAC100])</f>
        <v>0</v>
      </c>
      <c r="AV553" s="264">
        <f>_xlfn.XLOOKUP(FMS_Ranking4[[#This Row],[FMS ID]],FMS_Input[FMS_ID],FMS_Input[REMLWC100])</f>
        <v>0</v>
      </c>
      <c r="AW553" s="264">
        <f>_xlfn.XLOOKUP(FMS_Ranking4[[#This Row],[FMS ID]],FMS_Input[FMS_ID],FMS_Input[REMROADCLS])</f>
        <v>0</v>
      </c>
      <c r="AX553" s="264">
        <f>_xlfn.XLOOKUP(FMS_Ranking4[[#This Row],[FMS ID]],FMS_Input[FMS_ID],FMS_Input[REMFRMACRE100])</f>
        <v>0</v>
      </c>
      <c r="AY553" s="258">
        <f>_xlfn.XLOOKUP(FMS_Ranking4[[#This Row],[FMS ID]],FMS_Input[FMS_ID],FMS_Input[COSTSTRUCT])</f>
        <v>0</v>
      </c>
      <c r="AZ553" s="253">
        <f>_xlfn.XLOOKUP(FMS_Ranking4[[#This Row],[FMS ID]],FMS_Input[FMS_ID],FMS_Input[NATURE])</f>
        <v>0</v>
      </c>
      <c r="BA553" s="262">
        <f>(((FMS_Ranking4[[#This Row],[% NBS Raw]]/AZ$4)*100)*AZ$5)</f>
        <v>0</v>
      </c>
      <c r="BB553" s="251" t="str">
        <f>_xlfn.XLOOKUP(FMS_Ranking4[[#This Row],[FMS ID]],FMS_Input[FMS_ID],FMS_Input[WATER_SUP])</f>
        <v>No</v>
      </c>
      <c r="BC553" s="265">
        <f>IF(FMS_Ranking4[[#This Row],[Water Supply Raw]]="Yes",10,0)</f>
        <v>0</v>
      </c>
      <c r="BD553" s="266">
        <f>_xlfn.XLOOKUP(FMS_Ranking4[[#This Row],[FMS Type]],FMS_TYPE[FMS_Type],FMS_TYPE[Score])</f>
        <v>8</v>
      </c>
      <c r="BE553" s="267">
        <f>FMS_Ranking4[[#This Row],[FMS_Type Score]]*$BD$5*10</f>
        <v>2</v>
      </c>
      <c r="BF55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4.1590444299597532E-2</v>
      </c>
      <c r="BG553" s="293">
        <f>_xlfn.RANK.EQ(BF553,$BF$8:$BF$870,0)+COUNTIF($BF$8:BF553,BF553)-1</f>
        <v>574</v>
      </c>
      <c r="BH553" s="294">
        <f>(((FMS_Ranking4[[#This Row],[Structures Removed Raw]]/AK$4)*100)*AK$5)+(((FMS_Ranking4[[#This Row],[Removed Pop Raw]]/AR$4)*100)*AR$5)</f>
        <v>0</v>
      </c>
      <c r="BI55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2.0415904442995974</v>
      </c>
      <c r="BJ553" s="251">
        <f>_xlfn.RANK.EQ(FMS_Ranking4[[#This Row],[Total Score 
(with linear
normalization)]],FMS_Ranking4[Total Score 
(with linear
normalization)],0)</f>
        <v>392</v>
      </c>
      <c r="BK553" s="251" t="e">
        <f>_xlfn.XLOOKUP(FMS_Ranking4[[#This Row],[FMS ID]],#REF!,#REF!)</f>
        <v>#REF!</v>
      </c>
      <c r="BL55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14.884371279405572</v>
      </c>
      <c r="BM553" s="324">
        <f>FMS_Ranking4[[#This Row],[ArcSinh Score Based on Normalized Reported Factors]]+FMS_Ranking4[[#This Row],[% NBS Score (Normalized)]]+(FMS_Ranking4[[#This Row],[Water Supply Score (Normalized)]]*10*$BB$5)+FMS_Ranking4[[#This Row],[FMS_Type Score Weighted]]</f>
        <v>16.88437127940557</v>
      </c>
      <c r="BN553" s="251">
        <f>_xlfn.RANK.EQ(FMS_Ranking4[[#This Row],[Total Score (with ArcSinh normalization of select criteria)]],FMS_Ranking4[Total Score (with ArcSinh normalization of select criteria)],0)</f>
        <v>546</v>
      </c>
      <c r="BO553" s="270" t="str">
        <f>_xlfn.XLOOKUP(FMS_Ranking4[[#This Row],[FMS ID]],FMS_Input[FMS_ID],FMS_Input[FMS_RANK_YEAR])</f>
        <v>2023 Amended Plan</v>
      </c>
      <c r="BP553" s="324">
        <f>_xlfn.XLOOKUP(FMS_Ranking4[[#This Row],[FMS ID]],Prev_Rank[FMS ID],Prev_Rank[Prev Rank])</f>
        <v>485</v>
      </c>
      <c r="BQ553" s="251" t="e">
        <f>_xlfn.XLOOKUP(FMS_Ranking4[[#This Row],[FMS ID]],#REF!,#REF!)</f>
        <v>#REF!</v>
      </c>
      <c r="BR553" s="199" t="e">
        <f>SUM(#REF!,#REF!,#REF!,#REF!,#REF!,#REF!,#REF!,#REF!,#REF!,FMS_Ranking4[[#This Row],[ArcSinh Res struct removed 0-10]],#REF!)</f>
        <v>#REF!</v>
      </c>
      <c r="BS553" s="199" t="e">
        <f>FMS_Ranking4[[#This Row],[Log Score Based on Normalized Reported Factors]]+FMS_Ranking4[[#This Row],[% NBS Score (Normalized)]]+(FMS_Ranking4[[#This Row],[Water Supply Score (Normalized)]]*10*$BB$5)+(FMS_Ranking4[[#This Row],[FMS_Type Score Weighted]])</f>
        <v>#REF!</v>
      </c>
      <c r="BT553" s="200" t="e">
        <f>_xlfn.RANK.EQ(FMS_Ranking4[[#This Row],[Log Total Score]],FMS_Ranking4[Log Total Score],0)</f>
        <v>#REF!</v>
      </c>
      <c r="BU553" s="200" t="e">
        <f>_xlfn.XLOOKUP(FMS_Ranking4[[#This Row],[FMS ID]],#REF!,#REF!)</f>
        <v>#REF!</v>
      </c>
      <c r="BV553" s="200">
        <f>FMS_Ranking4[[#This Row],[Region Number]]</f>
        <v>6</v>
      </c>
      <c r="BW553" s="200">
        <f>FMS_Ranking4[[#This Row],[Rank (with ArcSinh normalization of select criteria)]]-FMS_Ranking4[[#This Row],[Rank
(with linear
normalization)]]</f>
        <v>154</v>
      </c>
      <c r="BX553" s="200" t="e">
        <f>FMS_Ranking4[[#This Row],[Log Rank]]-FMS_Ranking4[[#This Row],[Rank
(with linear
normalization)]]</f>
        <v>#REF!</v>
      </c>
      <c r="BY553" s="200" t="str">
        <f>IF(FMS_Ranking4[[#This Row],[FMS Type]]="Flood Measurement and Warning",FMS_Ranking4[[#This Row],[Rank (with ArcSinh normalization of select criteria)]],"")</f>
        <v/>
      </c>
      <c r="BZ553" s="200">
        <f>IF(FMS_Ranking4[[#This Row],[FMS Type]]="Regulatory and Guidance",FMS_Ranking4[[#This Row],[Rank (with ArcSinh normalization of select criteria)]],"")</f>
        <v>546</v>
      </c>
      <c r="CA553" s="200" t="str">
        <f>IF(FMS_Ranking4[[#This Row],[FMS Type]]="Education and Outreach",FMS_Ranking4[[#This Row],[Rank (with ArcSinh normalization of select criteria)]],"")</f>
        <v/>
      </c>
      <c r="CB553" s="200" t="str">
        <f>IF(FMS_Ranking4[[#This Row],[FMS Type]]="Property Acquisition and Structural Elevation",FMS_Ranking4[[#This Row],[Rank (with ArcSinh normalization of select criteria)]],"")</f>
        <v/>
      </c>
      <c r="CC553" s="200" t="str">
        <f>IF(FMS_Ranking4[[#This Row],[FMS Type]]="Infrastructure Projects",FMS_Ranking4[[#This Row],[Rank (with ArcSinh normalization of select criteria)]],"")</f>
        <v/>
      </c>
      <c r="CD553" s="200" t="str">
        <f>IF(FMS_Ranking4[[#This Row],[FMS Type]]="Other",FMS_Ranking4[[#This Row],[Rank (with ArcSinh normalization of select criteria)]],"")</f>
        <v/>
      </c>
      <c r="CE553" s="201"/>
      <c r="CF553" s="206"/>
      <c r="CG553" s="206"/>
      <c r="CH553" s="206"/>
      <c r="CI553" s="206"/>
      <c r="CJ553" s="206"/>
      <c r="CK553" s="206"/>
      <c r="CL553" s="206"/>
      <c r="CM553" s="206"/>
      <c r="CN553" s="206"/>
      <c r="CO553" s="206"/>
      <c r="CP553" s="206"/>
      <c r="CQ553" s="206"/>
      <c r="CR553" s="206"/>
    </row>
    <row r="554" spans="2:96" ht="90" x14ac:dyDescent="0.25">
      <c r="B554" s="341" t="s">
        <v>3842</v>
      </c>
      <c r="C554" s="246">
        <f>_xlfn.XLOOKUP(FMS_Ranking4[[#This Row],[FMS ID]],FMS_Input[FMS_ID],FMS_Input[RFPG_NUM])</f>
        <v>13</v>
      </c>
      <c r="D554" s="309" t="str">
        <f>_xlfn.XLOOKUP(FMS_Ranking4[[#This Row],[FMS ID]],FMS_Input[FMS_ID],FMS_Input[FMS_NAME])</f>
        <v>Duval County Master Plan-  Adopt and Enforce Design Standards and Ordinances in San Diego</v>
      </c>
      <c r="E554" s="308" t="str">
        <f>_xlfn.XLOOKUP(FMS_Ranking4[[#This Row],[FMS ID]],FMS_Input[FMS_ID],FMS_Input[SPONSOR])</f>
        <v>13000079, 13000080</v>
      </c>
      <c r="F554" s="309" t="str">
        <f>_xlfn.XLOOKUP(FMS_Ranking4[[#This Row],[FMS ID]],Sponsor[FMS_ID],Sponsor[SPONSOR NAME])</f>
        <v>Duval, Jim Wells</v>
      </c>
      <c r="G554" s="309" t="str">
        <f>_xlfn.XLOOKUP(FMS_Ranking4[[#This Row],[FMS ID]],FMS_Input[FMS_ID],FMS_Input[FMS_DESCR])</f>
        <v>Adopt and enforce design standards and ordinances for new construction projects. Separate design standards exclusively about drainage should be considered.</v>
      </c>
      <c r="H554" s="248" t="str">
        <f>_xlfn.XLOOKUP(FMS_Ranking4[[#This Row],[FMS ID]],FMS_Input[FMS_ID],FMS_Input[FMS_TYPE])</f>
        <v>Regulatory and Guidance</v>
      </c>
      <c r="I554" s="249">
        <f>_xlfn.XLOOKUP(FMS_Ranking4[[#This Row],[FMS ID]],FMS_Input[FMS_ID],FMS_Input[NRNC_COST])</f>
        <v>100000</v>
      </c>
      <c r="J554" s="250">
        <f>_xlfn.XLOOKUP(FMS_Ranking4[[#This Row],[FMS ID]],FMS_Input[FMS_ID],FMS_Input[FMS_COST])</f>
        <v>100000</v>
      </c>
      <c r="K554" s="251" t="str">
        <f>_xlfn.XLOOKUP(FMS_Ranking4[[#This Row],[FMS ID]],FMS_Input[FMS_ID],FMS_Input[EMER_NEED])</f>
        <v>Yes</v>
      </c>
      <c r="L554" s="252">
        <f t="shared" si="8"/>
        <v>1</v>
      </c>
      <c r="M554" s="253">
        <f>_xlfn.XLOOKUP(FMS_Ranking4[[#This Row],[FMS ID]],FMS_Input[FMS_ID],FMS_Input[STRUCT_100])</f>
        <v>210</v>
      </c>
      <c r="N554" s="255">
        <f>(ASINH(FMS_Ranking4[[#This Row],[Structure at Risk Raw]]))*(10)/(ASINH(M$4))</f>
        <v>4.7485440146259918</v>
      </c>
      <c r="O554" s="256">
        <f>FMS_Ranking4[[#This Row],[Structures at risk, ArcSinh (0-10)]]*M$5*10</f>
        <v>4.7485440146259918</v>
      </c>
      <c r="P554" s="253">
        <f>_xlfn.XLOOKUP(FMS_Ranking4[[#This Row],[FMS ID]],FMS_Input[FMS_ID],FMS_Input[RES_STRUCT100])</f>
        <v>176</v>
      </c>
      <c r="Q554" s="257">
        <f>ASINH(FMS_Ranking4[[#This Row],[Res Structure Raw]])/Q$4*P$5*100</f>
        <v>0</v>
      </c>
      <c r="R554" s="253">
        <f>_xlfn.XLOOKUP(FMS_Ranking4[[#This Row],[FMS ID]],FMS_Input[FMS_ID],FMS_Input[POP100])</f>
        <v>489</v>
      </c>
      <c r="S554" s="259">
        <f>(ASINH(FMS_Ranking4[[#This Row],[Pop at Risk Raw]]))*(10)/(ASINH(R$4))</f>
        <v>4.7534689071189762</v>
      </c>
      <c r="T554" s="256">
        <f>FMS_Ranking4[[#This Row],[Population at risk, ArcSinh (0-10)]]*R$5*10</f>
        <v>4.7534689071189762</v>
      </c>
      <c r="U554" s="253">
        <f>_xlfn.XLOOKUP(FMS_Ranking4[[#This Row],[FMS ID]],FMS_Input[FMS_ID],FMS_Input[CRITFAC100])</f>
        <v>0</v>
      </c>
      <c r="V554" s="259">
        <f>(ASINH(FMS_Ranking4[[#This Row],[Critical Facilities Raw]]))*(10)/(ASINH(U$4))</f>
        <v>0</v>
      </c>
      <c r="W554" s="256">
        <f>FMS_Ranking4[[#This Row],[Critical facilities at risk, ArcSinh (0-10)]]*U$5*10</f>
        <v>0</v>
      </c>
      <c r="X554" s="253">
        <f>_xlfn.XLOOKUP(FMS_Ranking4[[#This Row],[FMS ID]],FMS_Input[FMS_ID],FMS_Input[LWC])</f>
        <v>0</v>
      </c>
      <c r="Y554" s="259">
        <f>(ASINH(FMS_Ranking4[[#This Row],[LWC Raw]]))*(10)/(ASINH(X$4))</f>
        <v>0</v>
      </c>
      <c r="Z554" s="256">
        <f>FMS_Ranking4[[#This Row],[LWC, ArcSInh (0-10)]]*X$5*10</f>
        <v>0</v>
      </c>
      <c r="AA554" s="253">
        <f>_xlfn.XLOOKUP(FMS_Ranking4[[#This Row],[FMS ID]],FMS_Input[FMS_ID],FMS_Input[ROADCLS])</f>
        <v>57</v>
      </c>
      <c r="AB554" s="255">
        <f>(ASINH(FMS_Ranking4[[#This Row],[Road Closures Raw]]))*(10)/(ASINH(AA$4))</f>
        <v>4.9323961046830185</v>
      </c>
      <c r="AC554" s="256">
        <f>FMS_Ranking4[[#This Row],[Road closures, ArcSinh (0-10)]]*AA$5*10</f>
        <v>2.4661980523415092</v>
      </c>
      <c r="AD554" s="253">
        <f>_xlfn.XLOOKUP(FMS_Ranking4[[#This Row],[FMS ID]],FMS_Input[FMS_ID],FMS_Input[ROAD_MILES100])</f>
        <v>6</v>
      </c>
      <c r="AE554" s="259">
        <f>(ASINH(FMS_Ranking4[[#This Row],[Road Miles Raw]]))*(10)/(ASINH(AD$4))</f>
        <v>2.6555517738739667</v>
      </c>
      <c r="AF554" s="256">
        <f>FMS_Ranking4[[#This Row],[Length of roads at risk, ArcSinh (0-10)]]*AD$5*10</f>
        <v>2.6555517738739671</v>
      </c>
      <c r="AG554" s="253">
        <f>_xlfn.XLOOKUP(FMS_Ranking4[[#This Row],[FMS ID]],FMS_Input[FMS_ID],FMS_Input[FARMACRE100])</f>
        <v>0.8096623420715332</v>
      </c>
      <c r="AH554" s="255">
        <f>(ASINH(FMS_Ranking4[[#This Row],[Ag Land Raw]]))*(10)/(ASINH(AG$4))</f>
        <v>0.48081728629338405</v>
      </c>
      <c r="AI554" s="260">
        <f>FMS_Ranking4[[#This Row],[Farm &amp; ranch land, ArcSinh (0-10)]]*AG$5*10</f>
        <v>0.24040864314669202</v>
      </c>
      <c r="AJ554" s="258">
        <f>_xlfn.XLOOKUP(FMS_Ranking4[[#This Row],[FMS ID]],FMS_Input[FMS_ID],FMS_Input[REDSTRUCT100])</f>
        <v>0</v>
      </c>
      <c r="AK554" s="253">
        <f>_xlfn.XLOOKUP(FMS_Ranking4[[#This Row],[FMS ID]],FMS_Input[FMS_ID],FMS_Input[REMSTRC100])</f>
        <v>0</v>
      </c>
      <c r="AL554" s="259">
        <f>(ASINH(FMS_Ranking4[[#This Row],[Structures Removed Raw]]))*(10)/(ASINH(AK$4))</f>
        <v>0</v>
      </c>
      <c r="AM554" s="262">
        <f>FMS_Ranking4[[#This Row],[Structures removed, ArcSinh (0-10)]]*AK$5*10</f>
        <v>0</v>
      </c>
      <c r="AN554" s="253">
        <f>_xlfn.XLOOKUP(FMS_Ranking4[[#This Row],[FMS ID]],FMS_Input[FMS_ID],FMS_Input[REMRESSTRC100])</f>
        <v>0</v>
      </c>
      <c r="AO554" s="261">
        <f>FMS_Ranking4[[#This Row],[ArcSinh Res struct removed 0-10]]*AN$5*10</f>
        <v>0</v>
      </c>
      <c r="AP554" s="260">
        <f>ASINH(FMS_Ranking4[[#This Row],[Residential Structures Removed Raw]])/AP$4*AN$5*100</f>
        <v>0</v>
      </c>
      <c r="AQ554" s="254">
        <f>(ASINH(FMS_Ranking4[[#This Row],[Residential Structures Removed Raw]]))*(10)/(ASINH(AN$4))</f>
        <v>0</v>
      </c>
      <c r="AR554" s="253">
        <f>_xlfn.XLOOKUP(FMS_Ranking4[[#This Row],[FMS ID]],FMS_Input[FMS_ID],FMS_Input[REMPOP100])</f>
        <v>0</v>
      </c>
      <c r="AS554" s="259">
        <f>(ASINH(FMS_Ranking4[[#This Row],[Removed Pop Raw]]))*(10)/(ASINH(AR$4))</f>
        <v>0</v>
      </c>
      <c r="AT554" s="262">
        <f>FMS_Ranking4[[#This Row],[Removed population, ArcSinh (0-10)]]*AR$5*10</f>
        <v>0</v>
      </c>
      <c r="AU554" s="264">
        <f>_xlfn.XLOOKUP(FMS_Ranking4[[#This Row],[FMS ID]],FMS_Input[FMS_ID],FMS_Input[REMCRITFAC100])</f>
        <v>0</v>
      </c>
      <c r="AV554" s="264">
        <f>_xlfn.XLOOKUP(FMS_Ranking4[[#This Row],[FMS ID]],FMS_Input[FMS_ID],FMS_Input[REMLWC100])</f>
        <v>0</v>
      </c>
      <c r="AW554" s="264">
        <f>_xlfn.XLOOKUP(FMS_Ranking4[[#This Row],[FMS ID]],FMS_Input[FMS_ID],FMS_Input[REMROADCLS])</f>
        <v>0</v>
      </c>
      <c r="AX554" s="264">
        <f>_xlfn.XLOOKUP(FMS_Ranking4[[#This Row],[FMS ID]],FMS_Input[FMS_ID],FMS_Input[REMFRMACRE100])</f>
        <v>0</v>
      </c>
      <c r="AY554" s="258">
        <f>_xlfn.XLOOKUP(FMS_Ranking4[[#This Row],[FMS ID]],FMS_Input[FMS_ID],FMS_Input[COSTSTRUCT])</f>
        <v>0</v>
      </c>
      <c r="AZ554" s="253">
        <f>_xlfn.XLOOKUP(FMS_Ranking4[[#This Row],[FMS ID]],FMS_Input[FMS_ID],FMS_Input[NATURE])</f>
        <v>0</v>
      </c>
      <c r="BA554" s="262">
        <f>(((FMS_Ranking4[[#This Row],[% NBS Raw]]/AZ$4)*100)*AZ$5)</f>
        <v>0</v>
      </c>
      <c r="BB554" s="251" t="str">
        <f>_xlfn.XLOOKUP(FMS_Ranking4[[#This Row],[FMS ID]],FMS_Input[FMS_ID],FMS_Input[WATER_SUP])</f>
        <v>No</v>
      </c>
      <c r="BC554" s="265">
        <f>IF(FMS_Ranking4[[#This Row],[Water Supply Raw]]="Yes",10,0)</f>
        <v>0</v>
      </c>
      <c r="BD554" s="266">
        <f>_xlfn.XLOOKUP(FMS_Ranking4[[#This Row],[FMS Type]],FMS_TYPE[FMS_Type],FMS_TYPE[Score])</f>
        <v>8</v>
      </c>
      <c r="BE554" s="267">
        <f>FMS_Ranking4[[#This Row],[FMS_Type Score]]*$BD$5*10</f>
        <v>2</v>
      </c>
      <c r="BF55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6.6173298051437845E-2</v>
      </c>
      <c r="BG554" s="271">
        <f>_xlfn.RANK.EQ(BF554,$BF$8:$BF$870,0)+COUNTIF($BF$8:BF554,BF554)-1</f>
        <v>522</v>
      </c>
      <c r="BH554" s="268">
        <f>(((FMS_Ranking4[[#This Row],[Structures Removed Raw]]/AK$4)*100)*AK$5)+(((FMS_Ranking4[[#This Row],[Removed Pop Raw]]/AR$4)*100)*AR$5)</f>
        <v>0</v>
      </c>
      <c r="BI55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2.0661732980514378</v>
      </c>
      <c r="BJ554" s="205">
        <f>_xlfn.RANK.EQ(FMS_Ranking4[[#This Row],[Total Score 
(with linear
normalization)]],FMS_Ranking4[Total Score 
(with linear
normalization)],0)</f>
        <v>380</v>
      </c>
      <c r="BK554" s="205" t="e">
        <f>_xlfn.XLOOKUP(FMS_Ranking4[[#This Row],[FMS ID]],#REF!,#REF!)</f>
        <v>#REF!</v>
      </c>
      <c r="BL55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14.864171391107135</v>
      </c>
      <c r="BM554" s="272">
        <f>FMS_Ranking4[[#This Row],[ArcSinh Score Based on Normalized Reported Factors]]+FMS_Ranking4[[#This Row],[% NBS Score (Normalized)]]+(FMS_Ranking4[[#This Row],[Water Supply Score (Normalized)]]*10*$BB$5)+FMS_Ranking4[[#This Row],[FMS_Type Score Weighted]]</f>
        <v>16.864171391107135</v>
      </c>
      <c r="BN554" s="205">
        <f>_xlfn.RANK.EQ(FMS_Ranking4[[#This Row],[Total Score (with ArcSinh normalization of select criteria)]],FMS_Ranking4[Total Score (with ArcSinh normalization of select criteria)],0)</f>
        <v>547</v>
      </c>
      <c r="BO554" s="270" t="str">
        <f>_xlfn.XLOOKUP(FMS_Ranking4[[#This Row],[FMS ID]],FMS_Input[FMS_ID],FMS_Input[FMS_RANK_YEAR])</f>
        <v>2023 Amended Plan</v>
      </c>
      <c r="BP554" s="204">
        <f>_xlfn.XLOOKUP(FMS_Ranking4[[#This Row],[FMS ID]],Prev_Rank[FMS ID],Prev_Rank[Prev Rank])</f>
        <v>484</v>
      </c>
      <c r="BQ554" s="205" t="e">
        <f>_xlfn.XLOOKUP(FMS_Ranking4[[#This Row],[FMS ID]],#REF!,#REF!)</f>
        <v>#REF!</v>
      </c>
      <c r="BR554" s="199" t="e">
        <f>SUM(#REF!,#REF!,#REF!,#REF!,#REF!,#REF!,#REF!,#REF!,#REF!,FMS_Ranking4[[#This Row],[ArcSinh Res struct removed 0-10]],#REF!)</f>
        <v>#REF!</v>
      </c>
      <c r="BS554" s="199" t="e">
        <f>FMS_Ranking4[[#This Row],[Log Score Based on Normalized Reported Factors]]+FMS_Ranking4[[#This Row],[% NBS Score (Normalized)]]+(FMS_Ranking4[[#This Row],[Water Supply Score (Normalized)]]*10*$BB$5)+(FMS_Ranking4[[#This Row],[FMS_Type Score Weighted]])</f>
        <v>#REF!</v>
      </c>
      <c r="BT554" s="200" t="e">
        <f>_xlfn.RANK.EQ(FMS_Ranking4[[#This Row],[Log Total Score]],FMS_Ranking4[Log Total Score],0)</f>
        <v>#REF!</v>
      </c>
      <c r="BU554" s="200" t="e">
        <f>_xlfn.XLOOKUP(FMS_Ranking4[[#This Row],[FMS ID]],#REF!,#REF!)</f>
        <v>#REF!</v>
      </c>
      <c r="BV554" s="200">
        <f>FMS_Ranking4[[#This Row],[Region Number]]</f>
        <v>13</v>
      </c>
      <c r="BW554" s="200">
        <f>FMS_Ranking4[[#This Row],[Rank (with ArcSinh normalization of select criteria)]]-FMS_Ranking4[[#This Row],[Rank
(with linear
normalization)]]</f>
        <v>167</v>
      </c>
      <c r="BX554" s="200" t="e">
        <f>FMS_Ranking4[[#This Row],[Log Rank]]-FMS_Ranking4[[#This Row],[Rank
(with linear
normalization)]]</f>
        <v>#REF!</v>
      </c>
      <c r="BY554" s="200" t="str">
        <f>IF(FMS_Ranking4[[#This Row],[FMS Type]]="Flood Measurement and Warning",FMS_Ranking4[[#This Row],[Rank (with ArcSinh normalization of select criteria)]],"")</f>
        <v/>
      </c>
      <c r="BZ554" s="200">
        <f>IF(FMS_Ranking4[[#This Row],[FMS Type]]="Regulatory and Guidance",FMS_Ranking4[[#This Row],[Rank (with ArcSinh normalization of select criteria)]],"")</f>
        <v>547</v>
      </c>
      <c r="CA554" s="200" t="str">
        <f>IF(FMS_Ranking4[[#This Row],[FMS Type]]="Education and Outreach",FMS_Ranking4[[#This Row],[Rank (with ArcSinh normalization of select criteria)]],"")</f>
        <v/>
      </c>
      <c r="CB554" s="200" t="str">
        <f>IF(FMS_Ranking4[[#This Row],[FMS Type]]="Property Acquisition and Structural Elevation",FMS_Ranking4[[#This Row],[Rank (with ArcSinh normalization of select criteria)]],"")</f>
        <v/>
      </c>
      <c r="CC554" s="200" t="str">
        <f>IF(FMS_Ranking4[[#This Row],[FMS Type]]="Infrastructure Projects",FMS_Ranking4[[#This Row],[Rank (with ArcSinh normalization of select criteria)]],"")</f>
        <v/>
      </c>
      <c r="CD554" s="200" t="str">
        <f>IF(FMS_Ranking4[[#This Row],[FMS Type]]="Other",FMS_Ranking4[[#This Row],[Rank (with ArcSinh normalization of select criteria)]],"")</f>
        <v/>
      </c>
      <c r="CE554" s="201"/>
      <c r="CF554" s="206"/>
      <c r="CG554" s="206"/>
      <c r="CH554" s="206"/>
      <c r="CI554" s="206"/>
      <c r="CJ554" s="206"/>
      <c r="CK554" s="206"/>
      <c r="CL554" s="206"/>
      <c r="CM554" s="206"/>
      <c r="CN554" s="206"/>
      <c r="CO554" s="206"/>
      <c r="CP554" s="206"/>
      <c r="CQ554" s="206"/>
      <c r="CR554" s="206"/>
    </row>
    <row r="555" spans="2:96" ht="60" x14ac:dyDescent="0.25">
      <c r="B555" s="341" t="s">
        <v>2761</v>
      </c>
      <c r="C555" s="246">
        <f>_xlfn.XLOOKUP(FMS_Ranking4[[#This Row],[FMS ID]],FMS_Input[FMS_ID],FMS_Input[RFPG_NUM])</f>
        <v>5</v>
      </c>
      <c r="D555" s="309" t="str">
        <f>_xlfn.XLOOKUP(FMS_Ranking4[[#This Row],[FMS ID]],FMS_Input[FMS_ID],FMS_Input[FMS_NAME])</f>
        <v>Houston County Flood Infrastructure Maintenance</v>
      </c>
      <c r="E555" s="308" t="str">
        <f>_xlfn.XLOOKUP(FMS_Ranking4[[#This Row],[FMS ID]],FMS_Input[FMS_ID],FMS_Input[SPONSOR])</f>
        <v>00000128</v>
      </c>
      <c r="F555" s="309" t="str">
        <f>_xlfn.XLOOKUP(FMS_Ranking4[[#This Row],[FMS ID]],Sponsor[FMS_ID],Sponsor[SPONSOR NAME])</f>
        <v>Houston</v>
      </c>
      <c r="G555" s="309" t="str">
        <f>_xlfn.XLOOKUP(FMS_Ranking4[[#This Row],[FMS ID]],FMS_Input[FMS_ID],FMS_Input[FMS_DESCR])</f>
        <v>Clear debris from bridges, box culverts, and drainage systems throughout unincorporated county.</v>
      </c>
      <c r="H555" s="248" t="str">
        <f>_xlfn.XLOOKUP(FMS_Ranking4[[#This Row],[FMS ID]],FMS_Input[FMS_ID],FMS_Input[FMS_TYPE])</f>
        <v>Infrastructure Projects</v>
      </c>
      <c r="I555" s="249">
        <f>_xlfn.XLOOKUP(FMS_Ranking4[[#This Row],[FMS ID]],FMS_Input[FMS_ID],FMS_Input[NRNC_COST])</f>
        <v>121000</v>
      </c>
      <c r="J555" s="250">
        <f>_xlfn.XLOOKUP(FMS_Ranking4[[#This Row],[FMS ID]],FMS_Input[FMS_ID],FMS_Input[FMS_COST])</f>
        <v>2000000</v>
      </c>
      <c r="K555" s="251" t="str">
        <f>_xlfn.XLOOKUP(FMS_Ranking4[[#This Row],[FMS ID]],FMS_Input[FMS_ID],FMS_Input[EMER_NEED])</f>
        <v>Yes</v>
      </c>
      <c r="L555" s="252">
        <f t="shared" si="8"/>
        <v>1</v>
      </c>
      <c r="M555" s="253">
        <f>_xlfn.XLOOKUP(FMS_Ranking4[[#This Row],[FMS ID]],FMS_Input[FMS_ID],FMS_Input[STRUCT_100])</f>
        <v>17</v>
      </c>
      <c r="N555" s="255">
        <f>(ASINH(FMS_Ranking4[[#This Row],[Structure at Risk Raw]]))*(10)/(ASINH(M$4))</f>
        <v>2.7729236035479534</v>
      </c>
      <c r="O555" s="256">
        <f>FMS_Ranking4[[#This Row],[Structures at risk, ArcSinh (0-10)]]*M$5*10</f>
        <v>2.7729236035479539</v>
      </c>
      <c r="P555" s="253">
        <f>_xlfn.XLOOKUP(FMS_Ranking4[[#This Row],[FMS ID]],FMS_Input[FMS_ID],FMS_Input[RES_STRUCT100])</f>
        <v>3</v>
      </c>
      <c r="Q555" s="257">
        <f>ASINH(FMS_Ranking4[[#This Row],[Res Structure Raw]])/Q$4*P$5*100</f>
        <v>0</v>
      </c>
      <c r="R555" s="253">
        <f>_xlfn.XLOOKUP(FMS_Ranking4[[#This Row],[FMS ID]],FMS_Input[FMS_ID],FMS_Input[POP100])</f>
        <v>16</v>
      </c>
      <c r="S555" s="259">
        <f>(ASINH(FMS_Ranking4[[#This Row],[Pop at Risk Raw]]))*(10)/(ASINH(R$4))</f>
        <v>2.3932724541966266</v>
      </c>
      <c r="T555" s="256">
        <f>FMS_Ranking4[[#This Row],[Population at risk, ArcSinh (0-10)]]*R$5*10</f>
        <v>2.3932724541966266</v>
      </c>
      <c r="U555" s="253">
        <f>_xlfn.XLOOKUP(FMS_Ranking4[[#This Row],[FMS ID]],FMS_Input[FMS_ID],FMS_Input[CRITFAC100])</f>
        <v>0</v>
      </c>
      <c r="V555" s="259">
        <f>(ASINH(FMS_Ranking4[[#This Row],[Critical Facilities Raw]]))*(10)/(ASINH(U$4))</f>
        <v>0</v>
      </c>
      <c r="W555" s="256">
        <f>FMS_Ranking4[[#This Row],[Critical facilities at risk, ArcSinh (0-10)]]*U$5*10</f>
        <v>0</v>
      </c>
      <c r="X555" s="253">
        <f>_xlfn.XLOOKUP(FMS_Ranking4[[#This Row],[FMS ID]],FMS_Input[FMS_ID],FMS_Input[LWC])</f>
        <v>7</v>
      </c>
      <c r="Y555" s="259">
        <f>(ASINH(FMS_Ranking4[[#This Row],[LWC Raw]]))*(10)/(ASINH(X$4))</f>
        <v>3.5820902845593281</v>
      </c>
      <c r="Z555" s="256">
        <f>FMS_Ranking4[[#This Row],[LWC, ArcSInh (0-10)]]*X$5*10</f>
        <v>3.5820902845593281</v>
      </c>
      <c r="AA555" s="253">
        <f>_xlfn.XLOOKUP(FMS_Ranking4[[#This Row],[FMS ID]],FMS_Input[FMS_ID],FMS_Input[ROADCLS])</f>
        <v>7</v>
      </c>
      <c r="AB555" s="255">
        <f>(ASINH(FMS_Ranking4[[#This Row],[Road Closures Raw]]))*(10)/(ASINH(AA$4))</f>
        <v>2.7536090869991607</v>
      </c>
      <c r="AC555" s="256">
        <f>FMS_Ranking4[[#This Row],[Road closures, ArcSinh (0-10)]]*AA$5*10</f>
        <v>1.3768045434995804</v>
      </c>
      <c r="AD555" s="253">
        <f>_xlfn.XLOOKUP(FMS_Ranking4[[#This Row],[FMS ID]],FMS_Input[FMS_ID],FMS_Input[ROAD_MILES100])</f>
        <v>20</v>
      </c>
      <c r="AE555" s="259">
        <f>(ASINH(FMS_Ranking4[[#This Row],[Road Miles Raw]]))*(10)/(ASINH(AD$4))</f>
        <v>3.9319960523834281</v>
      </c>
      <c r="AF555" s="256">
        <f>FMS_Ranking4[[#This Row],[Length of roads at risk, ArcSinh (0-10)]]*AD$5*10</f>
        <v>3.9319960523834285</v>
      </c>
      <c r="AG555" s="253">
        <f>_xlfn.XLOOKUP(FMS_Ranking4[[#This Row],[FMS ID]],FMS_Input[FMS_ID],FMS_Input[FARMACRE100])</f>
        <v>116.8699188232422</v>
      </c>
      <c r="AH555" s="255">
        <f>(ASINH(FMS_Ranking4[[#This Row],[Ag Land Raw]]))*(10)/(ASINH(AG$4))</f>
        <v>3.5429647853453443</v>
      </c>
      <c r="AI555" s="260">
        <f>FMS_Ranking4[[#This Row],[Farm &amp; ranch land, ArcSinh (0-10)]]*AG$5*10</f>
        <v>1.7714823926726722</v>
      </c>
      <c r="AJ555" s="258">
        <f>_xlfn.XLOOKUP(FMS_Ranking4[[#This Row],[FMS ID]],FMS_Input[FMS_ID],FMS_Input[REDSTRUCT100])</f>
        <v>0</v>
      </c>
      <c r="AK555" s="253">
        <f>_xlfn.XLOOKUP(FMS_Ranking4[[#This Row],[FMS ID]],FMS_Input[FMS_ID],FMS_Input[REMSTRC100])</f>
        <v>0</v>
      </c>
      <c r="AL555" s="259">
        <f>(ASINH(FMS_Ranking4[[#This Row],[Structures Removed Raw]]))*(10)/(ASINH(AK$4))</f>
        <v>0</v>
      </c>
      <c r="AM555" s="262">
        <f>FMS_Ranking4[[#This Row],[Structures removed, ArcSinh (0-10)]]*AK$5*10</f>
        <v>0</v>
      </c>
      <c r="AN555" s="253">
        <f>_xlfn.XLOOKUP(FMS_Ranking4[[#This Row],[FMS ID]],FMS_Input[FMS_ID],FMS_Input[REMRESSTRC100])</f>
        <v>0</v>
      </c>
      <c r="AO555" s="261">
        <f>FMS_Ranking4[[#This Row],[ArcSinh Res struct removed 0-10]]*AN$5*10</f>
        <v>0</v>
      </c>
      <c r="AP555" s="261">
        <f>ASINH(FMS_Ranking4[[#This Row],[Residential Structures Removed Raw]])/AP$4*AN$5*100</f>
        <v>0</v>
      </c>
      <c r="AQ555" s="254">
        <f>(ASINH(FMS_Ranking4[[#This Row],[Residential Structures Removed Raw]]))*(10)/(ASINH(AN$4))</f>
        <v>0</v>
      </c>
      <c r="AR555" s="253">
        <f>_xlfn.XLOOKUP(FMS_Ranking4[[#This Row],[FMS ID]],FMS_Input[FMS_ID],FMS_Input[REMPOP100])</f>
        <v>0</v>
      </c>
      <c r="AS555" s="259">
        <f>(ASINH(FMS_Ranking4[[#This Row],[Removed Pop Raw]]))*(10)/(ASINH(AR$4))</f>
        <v>0</v>
      </c>
      <c r="AT555" s="262">
        <f>FMS_Ranking4[[#This Row],[Removed population, ArcSinh (0-10)]]*AR$5*10</f>
        <v>0</v>
      </c>
      <c r="AU555" s="264">
        <f>_xlfn.XLOOKUP(FMS_Ranking4[[#This Row],[FMS ID]],FMS_Input[FMS_ID],FMS_Input[REMCRITFAC100])</f>
        <v>0</v>
      </c>
      <c r="AV555" s="264">
        <f>_xlfn.XLOOKUP(FMS_Ranking4[[#This Row],[FMS ID]],FMS_Input[FMS_ID],FMS_Input[REMLWC100])</f>
        <v>0</v>
      </c>
      <c r="AW555" s="264">
        <f>_xlfn.XLOOKUP(FMS_Ranking4[[#This Row],[FMS ID]],FMS_Input[FMS_ID],FMS_Input[REMROADCLS])</f>
        <v>0</v>
      </c>
      <c r="AX555" s="264">
        <f>_xlfn.XLOOKUP(FMS_Ranking4[[#This Row],[FMS ID]],FMS_Input[FMS_ID],FMS_Input[REMFRMACRE100])</f>
        <v>0</v>
      </c>
      <c r="AY555" s="258">
        <f>_xlfn.XLOOKUP(FMS_Ranking4[[#This Row],[FMS ID]],FMS_Input[FMS_ID],FMS_Input[COSTSTRUCT])</f>
        <v>0</v>
      </c>
      <c r="AZ555" s="253">
        <f>_xlfn.XLOOKUP(FMS_Ranking4[[#This Row],[FMS ID]],FMS_Input[FMS_ID],FMS_Input[NATURE])</f>
        <v>0</v>
      </c>
      <c r="BA555" s="262">
        <f>(((FMS_Ranking4[[#This Row],[% NBS Raw]]/AZ$4)*100)*AZ$5)</f>
        <v>0</v>
      </c>
      <c r="BB555" s="251" t="str">
        <f>_xlfn.XLOOKUP(FMS_Ranking4[[#This Row],[FMS ID]],FMS_Input[FMS_ID],FMS_Input[WATER_SUP])</f>
        <v>No</v>
      </c>
      <c r="BC555" s="265">
        <f>IF(FMS_Ranking4[[#This Row],[Water Supply Raw]]="Yes",10,0)</f>
        <v>0</v>
      </c>
      <c r="BD555" s="266">
        <f>_xlfn.XLOOKUP(FMS_Ranking4[[#This Row],[FMS Type]],FMS_TYPE[FMS_Type],FMS_TYPE[Score])</f>
        <v>4</v>
      </c>
      <c r="BE555" s="267">
        <f>FMS_Ranking4[[#This Row],[FMS_Type Score]]*$BD$5*10</f>
        <v>1</v>
      </c>
      <c r="BF55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0.12697155832336959</v>
      </c>
      <c r="BG555" s="269">
        <f>_xlfn.RANK.EQ(BF555,$BF$8:$BF$870,0)+COUNTIF($BF$8:BF555,BF555)-1</f>
        <v>442</v>
      </c>
      <c r="BH555" s="268">
        <f>(((FMS_Ranking4[[#This Row],[Structures Removed Raw]]/AK$4)*100)*AK$5)+(((FMS_Ranking4[[#This Row],[Removed Pop Raw]]/AR$4)*100)*AR$5)</f>
        <v>0</v>
      </c>
      <c r="BI55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1.1269715583233695</v>
      </c>
      <c r="BJ555" s="204">
        <f>_xlfn.RANK.EQ(FMS_Ranking4[[#This Row],[Total Score 
(with linear
normalization)]],FMS_Ranking4[Total Score 
(with linear
normalization)],0)</f>
        <v>668</v>
      </c>
      <c r="BK555" s="204" t="e">
        <f>_xlfn.XLOOKUP(FMS_Ranking4[[#This Row],[FMS ID]],#REF!,#REF!)</f>
        <v>#REF!</v>
      </c>
      <c r="BL555"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15.828569330859589</v>
      </c>
      <c r="BM555" s="270">
        <f>FMS_Ranking4[[#This Row],[ArcSinh Score Based on Normalized Reported Factors]]+FMS_Ranking4[[#This Row],[% NBS Score (Normalized)]]+(FMS_Ranking4[[#This Row],[Water Supply Score (Normalized)]]*10*$BB$5)+FMS_Ranking4[[#This Row],[FMS_Type Score Weighted]]</f>
        <v>16.828569330859587</v>
      </c>
      <c r="BN555" s="204">
        <f>_xlfn.RANK.EQ(FMS_Ranking4[[#This Row],[Total Score (with ArcSinh normalization of select criteria)]],FMS_Ranking4[Total Score (with ArcSinh normalization of select criteria)],0)</f>
        <v>548</v>
      </c>
      <c r="BO555" s="270" t="str">
        <f>_xlfn.XLOOKUP(FMS_Ranking4[[#This Row],[FMS ID]],FMS_Input[FMS_ID],FMS_Input[FMS_RANK_YEAR])</f>
        <v>2023 Amended Plan</v>
      </c>
      <c r="BP555" s="204">
        <f>_xlfn.XLOOKUP(FMS_Ranking4[[#This Row],[FMS ID]],Prev_Rank[FMS ID],Prev_Rank[Prev Rank])</f>
        <v>489</v>
      </c>
      <c r="BQ555" s="204" t="e">
        <f>_xlfn.XLOOKUP(FMS_Ranking4[[#This Row],[FMS ID]],#REF!,#REF!)</f>
        <v>#REF!</v>
      </c>
      <c r="BR555" s="199" t="e">
        <f>SUM(#REF!,#REF!,#REF!,#REF!,#REF!,#REF!,#REF!,#REF!,#REF!,FMS_Ranking4[[#This Row],[ArcSinh Res struct removed 0-10]],#REF!)</f>
        <v>#REF!</v>
      </c>
      <c r="BS555" s="199" t="e">
        <f>FMS_Ranking4[[#This Row],[Log Score Based on Normalized Reported Factors]]+FMS_Ranking4[[#This Row],[% NBS Score (Normalized)]]+(FMS_Ranking4[[#This Row],[Water Supply Score (Normalized)]]*10*$BB$5)+(FMS_Ranking4[[#This Row],[FMS_Type Score Weighted]])</f>
        <v>#REF!</v>
      </c>
      <c r="BT555" s="200" t="e">
        <f>_xlfn.RANK.EQ(FMS_Ranking4[[#This Row],[Log Total Score]],FMS_Ranking4[Log Total Score],0)</f>
        <v>#REF!</v>
      </c>
      <c r="BU555" s="200" t="e">
        <f>_xlfn.XLOOKUP(FMS_Ranking4[[#This Row],[FMS ID]],#REF!,#REF!)</f>
        <v>#REF!</v>
      </c>
      <c r="BV555" s="200">
        <f>FMS_Ranking4[[#This Row],[Region Number]]</f>
        <v>5</v>
      </c>
      <c r="BW555" s="200">
        <f>FMS_Ranking4[[#This Row],[Rank (with ArcSinh normalization of select criteria)]]-FMS_Ranking4[[#This Row],[Rank
(with linear
normalization)]]</f>
        <v>-120</v>
      </c>
      <c r="BX555" s="200" t="e">
        <f>FMS_Ranking4[[#This Row],[Log Rank]]-FMS_Ranking4[[#This Row],[Rank
(with linear
normalization)]]</f>
        <v>#REF!</v>
      </c>
      <c r="BY555" s="200" t="str">
        <f>IF(FMS_Ranking4[[#This Row],[FMS Type]]="Flood Measurement and Warning",FMS_Ranking4[[#This Row],[Rank (with ArcSinh normalization of select criteria)]],"")</f>
        <v/>
      </c>
      <c r="BZ555" s="200" t="str">
        <f>IF(FMS_Ranking4[[#This Row],[FMS Type]]="Regulatory and Guidance",FMS_Ranking4[[#This Row],[Rank (with ArcSinh normalization of select criteria)]],"")</f>
        <v/>
      </c>
      <c r="CA555" s="200" t="str">
        <f>IF(FMS_Ranking4[[#This Row],[FMS Type]]="Education and Outreach",FMS_Ranking4[[#This Row],[Rank (with ArcSinh normalization of select criteria)]],"")</f>
        <v/>
      </c>
      <c r="CB555" s="200" t="str">
        <f>IF(FMS_Ranking4[[#This Row],[FMS Type]]="Property Acquisition and Structural Elevation",FMS_Ranking4[[#This Row],[Rank (with ArcSinh normalization of select criteria)]],"")</f>
        <v/>
      </c>
      <c r="CC555" s="200">
        <f>IF(FMS_Ranking4[[#This Row],[FMS Type]]="Infrastructure Projects",FMS_Ranking4[[#This Row],[Rank (with ArcSinh normalization of select criteria)]],"")</f>
        <v>548</v>
      </c>
      <c r="CD555" s="200" t="str">
        <f>IF(FMS_Ranking4[[#This Row],[FMS Type]]="Other",FMS_Ranking4[[#This Row],[Rank (with ArcSinh normalization of select criteria)]],"")</f>
        <v/>
      </c>
      <c r="CE555" s="201"/>
      <c r="CF555" s="206"/>
      <c r="CG555" s="206"/>
      <c r="CH555" s="206"/>
      <c r="CI555" s="206"/>
      <c r="CJ555" s="206"/>
      <c r="CK555" s="206"/>
      <c r="CL555" s="206"/>
      <c r="CM555" s="206"/>
      <c r="CN555" s="206"/>
      <c r="CO555" s="206"/>
      <c r="CP555" s="206"/>
      <c r="CQ555" s="206"/>
      <c r="CR555" s="206"/>
    </row>
    <row r="556" spans="2:96" ht="60" x14ac:dyDescent="0.25">
      <c r="B556" s="341" t="s">
        <v>2767</v>
      </c>
      <c r="C556" s="246">
        <f>_xlfn.XLOOKUP(FMS_Ranking4[[#This Row],[FMS ID]],FMS_Input[FMS_ID],FMS_Input[RFPG_NUM])</f>
        <v>5</v>
      </c>
      <c r="D556" s="309" t="str">
        <f>_xlfn.XLOOKUP(FMS_Ranking4[[#This Row],[FMS ID]],FMS_Input[FMS_ID],FMS_Input[FMS_NAME])</f>
        <v>City of Grapeland Critical Facilities Flood-Proofing</v>
      </c>
      <c r="E556" s="308" t="str">
        <f>_xlfn.XLOOKUP(FMS_Ranking4[[#This Row],[FMS ID]],FMS_Input[FMS_ID],FMS_Input[SPONSOR])</f>
        <v>00000128</v>
      </c>
      <c r="F556" s="309" t="str">
        <f>_xlfn.XLOOKUP(FMS_Ranking4[[#This Row],[FMS ID]],Sponsor[FMS_ID],Sponsor[SPONSOR NAME])</f>
        <v>Houston</v>
      </c>
      <c r="G556" s="309" t="str">
        <f>_xlfn.XLOOKUP(FMS_Ranking4[[#This Row],[FMS ID]],FMS_Input[FMS_ID],FMS_Input[FMS_DESCR])</f>
        <v>Flood proof critical facilities to the 500-year flood that are located in flood-prone areas of the city.</v>
      </c>
      <c r="H556" s="248" t="str">
        <f>_xlfn.XLOOKUP(FMS_Ranking4[[#This Row],[FMS ID]],FMS_Input[FMS_ID],FMS_Input[FMS_TYPE])</f>
        <v>Infrastructure Projects</v>
      </c>
      <c r="I556" s="249">
        <f>_xlfn.XLOOKUP(FMS_Ranking4[[#This Row],[FMS ID]],FMS_Input[FMS_ID],FMS_Input[NRNC_COST])</f>
        <v>100000</v>
      </c>
      <c r="J556" s="250">
        <f>_xlfn.XLOOKUP(FMS_Ranking4[[#This Row],[FMS ID]],FMS_Input[FMS_ID],FMS_Input[FMS_COST])</f>
        <v>1000000</v>
      </c>
      <c r="K556" s="251" t="str">
        <f>_xlfn.XLOOKUP(FMS_Ranking4[[#This Row],[FMS ID]],FMS_Input[FMS_ID],FMS_Input[EMER_NEED])</f>
        <v>Yes</v>
      </c>
      <c r="L556" s="252">
        <f t="shared" si="8"/>
        <v>1</v>
      </c>
      <c r="M556" s="253">
        <f>_xlfn.XLOOKUP(FMS_Ranking4[[#This Row],[FMS ID]],FMS_Input[FMS_ID],FMS_Input[STRUCT_100])</f>
        <v>17</v>
      </c>
      <c r="N556" s="255">
        <f>(ASINH(FMS_Ranking4[[#This Row],[Structure at Risk Raw]]))*(10)/(ASINH(M$4))</f>
        <v>2.7729236035479534</v>
      </c>
      <c r="O556" s="256">
        <f>FMS_Ranking4[[#This Row],[Structures at risk, ArcSinh (0-10)]]*M$5*10</f>
        <v>2.7729236035479539</v>
      </c>
      <c r="P556" s="253">
        <f>_xlfn.XLOOKUP(FMS_Ranking4[[#This Row],[FMS ID]],FMS_Input[FMS_ID],FMS_Input[RES_STRUCT100])</f>
        <v>3</v>
      </c>
      <c r="Q556" s="257">
        <f>ASINH(FMS_Ranking4[[#This Row],[Res Structure Raw]])/Q$4*P$5*100</f>
        <v>0</v>
      </c>
      <c r="R556" s="253">
        <f>_xlfn.XLOOKUP(FMS_Ranking4[[#This Row],[FMS ID]],FMS_Input[FMS_ID],FMS_Input[POP100])</f>
        <v>16</v>
      </c>
      <c r="S556" s="255">
        <f>(ASINH(FMS_Ranking4[[#This Row],[Pop at Risk Raw]]))*(10)/(ASINH(R$4))</f>
        <v>2.3932724541966266</v>
      </c>
      <c r="T556" s="256">
        <f>FMS_Ranking4[[#This Row],[Population at risk, ArcSinh (0-10)]]*R$5*10</f>
        <v>2.3932724541966266</v>
      </c>
      <c r="U556" s="253">
        <f>_xlfn.XLOOKUP(FMS_Ranking4[[#This Row],[FMS ID]],FMS_Input[FMS_ID],FMS_Input[CRITFAC100])</f>
        <v>0</v>
      </c>
      <c r="V556" s="255">
        <f>(ASINH(FMS_Ranking4[[#This Row],[Critical Facilities Raw]]))*(10)/(ASINH(U$4))</f>
        <v>0</v>
      </c>
      <c r="W556" s="256">
        <f>FMS_Ranking4[[#This Row],[Critical facilities at risk, ArcSinh (0-10)]]*U$5*10</f>
        <v>0</v>
      </c>
      <c r="X556" s="253">
        <f>_xlfn.XLOOKUP(FMS_Ranking4[[#This Row],[FMS ID]],FMS_Input[FMS_ID],FMS_Input[LWC])</f>
        <v>7</v>
      </c>
      <c r="Y556" s="255">
        <f>(ASINH(FMS_Ranking4[[#This Row],[LWC Raw]]))*(10)/(ASINH(X$4))</f>
        <v>3.5820902845593281</v>
      </c>
      <c r="Z556" s="256">
        <f>FMS_Ranking4[[#This Row],[LWC, ArcSInh (0-10)]]*X$5*10</f>
        <v>3.5820902845593281</v>
      </c>
      <c r="AA556" s="253">
        <f>_xlfn.XLOOKUP(FMS_Ranking4[[#This Row],[FMS ID]],FMS_Input[FMS_ID],FMS_Input[ROADCLS])</f>
        <v>7</v>
      </c>
      <c r="AB556" s="255">
        <f>(ASINH(FMS_Ranking4[[#This Row],[Road Closures Raw]]))*(10)/(ASINH(AA$4))</f>
        <v>2.7536090869991607</v>
      </c>
      <c r="AC556" s="256">
        <f>FMS_Ranking4[[#This Row],[Road closures, ArcSinh (0-10)]]*AA$5*10</f>
        <v>1.3768045434995804</v>
      </c>
      <c r="AD556" s="253">
        <f>_xlfn.XLOOKUP(FMS_Ranking4[[#This Row],[FMS ID]],FMS_Input[FMS_ID],FMS_Input[ROAD_MILES100])</f>
        <v>20</v>
      </c>
      <c r="AE556" s="255">
        <f>(ASINH(FMS_Ranking4[[#This Row],[Road Miles Raw]]))*(10)/(ASINH(AD$4))</f>
        <v>3.9319960523834281</v>
      </c>
      <c r="AF556" s="256">
        <f>FMS_Ranking4[[#This Row],[Length of roads at risk, ArcSinh (0-10)]]*AD$5*10</f>
        <v>3.9319960523834285</v>
      </c>
      <c r="AG556" s="253">
        <f>_xlfn.XLOOKUP(FMS_Ranking4[[#This Row],[FMS ID]],FMS_Input[FMS_ID],FMS_Input[FARMACRE100])</f>
        <v>116.8699188232422</v>
      </c>
      <c r="AH556" s="255">
        <f>(ASINH(FMS_Ranking4[[#This Row],[Ag Land Raw]]))*(10)/(ASINH(AG$4))</f>
        <v>3.5429647853453443</v>
      </c>
      <c r="AI556" s="260">
        <f>FMS_Ranking4[[#This Row],[Farm &amp; ranch land, ArcSinh (0-10)]]*AG$5*10</f>
        <v>1.7714823926726722</v>
      </c>
      <c r="AJ556" s="258">
        <f>_xlfn.XLOOKUP(FMS_Ranking4[[#This Row],[FMS ID]],FMS_Input[FMS_ID],FMS_Input[REDSTRUCT100])</f>
        <v>0</v>
      </c>
      <c r="AK556" s="253">
        <f>_xlfn.XLOOKUP(FMS_Ranking4[[#This Row],[FMS ID]],FMS_Input[FMS_ID],FMS_Input[REMSTRC100])</f>
        <v>0</v>
      </c>
      <c r="AL556" s="255">
        <f>(ASINH(FMS_Ranking4[[#This Row],[Structures Removed Raw]]))*(10)/(ASINH(AK$4))</f>
        <v>0</v>
      </c>
      <c r="AM556" s="262">
        <f>FMS_Ranking4[[#This Row],[Structures removed, ArcSinh (0-10)]]*AK$5*10</f>
        <v>0</v>
      </c>
      <c r="AN556" s="253">
        <f>_xlfn.XLOOKUP(FMS_Ranking4[[#This Row],[FMS ID]],FMS_Input[FMS_ID],FMS_Input[REMRESSTRC100])</f>
        <v>0</v>
      </c>
      <c r="AO556" s="261">
        <f>FMS_Ranking4[[#This Row],[ArcSinh Res struct removed 0-10]]*AN$5*10</f>
        <v>0</v>
      </c>
      <c r="AP556" s="260">
        <f>ASINH(FMS_Ranking4[[#This Row],[Residential Structures Removed Raw]])/AP$4*AN$5*100</f>
        <v>0</v>
      </c>
      <c r="AQ556" s="258">
        <f>(ASINH(FMS_Ranking4[[#This Row],[Residential Structures Removed Raw]]))*(10)/(ASINH(AN$4))</f>
        <v>0</v>
      </c>
      <c r="AR556" s="253">
        <f>_xlfn.XLOOKUP(FMS_Ranking4[[#This Row],[FMS ID]],FMS_Input[FMS_ID],FMS_Input[REMPOP100])</f>
        <v>0</v>
      </c>
      <c r="AS556" s="255">
        <f>(ASINH(FMS_Ranking4[[#This Row],[Removed Pop Raw]]))*(10)/(ASINH(AR$4))</f>
        <v>0</v>
      </c>
      <c r="AT556" s="262">
        <f>FMS_Ranking4[[#This Row],[Removed population, ArcSinh (0-10)]]*AR$5*10</f>
        <v>0</v>
      </c>
      <c r="AU556" s="264">
        <f>_xlfn.XLOOKUP(FMS_Ranking4[[#This Row],[FMS ID]],FMS_Input[FMS_ID],FMS_Input[REMCRITFAC100])</f>
        <v>0</v>
      </c>
      <c r="AV556" s="264">
        <f>_xlfn.XLOOKUP(FMS_Ranking4[[#This Row],[FMS ID]],FMS_Input[FMS_ID],FMS_Input[REMLWC100])</f>
        <v>0</v>
      </c>
      <c r="AW556" s="264">
        <f>_xlfn.XLOOKUP(FMS_Ranking4[[#This Row],[FMS ID]],FMS_Input[FMS_ID],FMS_Input[REMROADCLS])</f>
        <v>0</v>
      </c>
      <c r="AX556" s="264">
        <f>_xlfn.XLOOKUP(FMS_Ranking4[[#This Row],[FMS ID]],FMS_Input[FMS_ID],FMS_Input[REMFRMACRE100])</f>
        <v>0</v>
      </c>
      <c r="AY556" s="258">
        <f>_xlfn.XLOOKUP(FMS_Ranking4[[#This Row],[FMS ID]],FMS_Input[FMS_ID],FMS_Input[COSTSTRUCT])</f>
        <v>0</v>
      </c>
      <c r="AZ556" s="253">
        <f>_xlfn.XLOOKUP(FMS_Ranking4[[#This Row],[FMS ID]],FMS_Input[FMS_ID],FMS_Input[NATURE])</f>
        <v>0</v>
      </c>
      <c r="BA556" s="262">
        <f>(((FMS_Ranking4[[#This Row],[% NBS Raw]]/AZ$4)*100)*AZ$5)</f>
        <v>0</v>
      </c>
      <c r="BB556" s="251" t="str">
        <f>_xlfn.XLOOKUP(FMS_Ranking4[[#This Row],[FMS ID]],FMS_Input[FMS_ID],FMS_Input[WATER_SUP])</f>
        <v>No</v>
      </c>
      <c r="BC556" s="265">
        <f>IF(FMS_Ranking4[[#This Row],[Water Supply Raw]]="Yes",10,0)</f>
        <v>0</v>
      </c>
      <c r="BD556" s="266">
        <f>_xlfn.XLOOKUP(FMS_Ranking4[[#This Row],[FMS Type]],FMS_TYPE[FMS_Type],FMS_TYPE[Score])</f>
        <v>4</v>
      </c>
      <c r="BE556" s="267">
        <f>FMS_Ranking4[[#This Row],[FMS_Type Score]]*$BD$5*10</f>
        <v>1</v>
      </c>
      <c r="BF55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0.12697155832336959</v>
      </c>
      <c r="BG556" s="321">
        <f>_xlfn.RANK.EQ(BF556,$BF$8:$BF$870,0)+COUNTIF($BF$8:BF556,BF556)-1</f>
        <v>443</v>
      </c>
      <c r="BH556" s="294">
        <f>(((FMS_Ranking4[[#This Row],[Structures Removed Raw]]/AK$4)*100)*AK$5)+(((FMS_Ranking4[[#This Row],[Removed Pop Raw]]/AR$4)*100)*AR$5)</f>
        <v>0</v>
      </c>
      <c r="BI55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1.1269715583233695</v>
      </c>
      <c r="BJ556" s="251">
        <f>_xlfn.RANK.EQ(FMS_Ranking4[[#This Row],[Total Score 
(with linear
normalization)]],FMS_Ranking4[Total Score 
(with linear
normalization)],0)</f>
        <v>668</v>
      </c>
      <c r="BK556" s="251" t="e">
        <f>_xlfn.XLOOKUP(FMS_Ranking4[[#This Row],[FMS ID]],#REF!,#REF!)</f>
        <v>#REF!</v>
      </c>
      <c r="BL55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15.828569330859589</v>
      </c>
      <c r="BM556" s="324">
        <f>FMS_Ranking4[[#This Row],[ArcSinh Score Based on Normalized Reported Factors]]+FMS_Ranking4[[#This Row],[% NBS Score (Normalized)]]+(FMS_Ranking4[[#This Row],[Water Supply Score (Normalized)]]*10*$BB$5)+FMS_Ranking4[[#This Row],[FMS_Type Score Weighted]]</f>
        <v>16.828569330859587</v>
      </c>
      <c r="BN556" s="251">
        <f>_xlfn.RANK.EQ(FMS_Ranking4[[#This Row],[Total Score (with ArcSinh normalization of select criteria)]],FMS_Ranking4[Total Score (with ArcSinh normalization of select criteria)],0)</f>
        <v>548</v>
      </c>
      <c r="BO556" s="270" t="str">
        <f>_xlfn.XLOOKUP(FMS_Ranking4[[#This Row],[FMS ID]],FMS_Input[FMS_ID],FMS_Input[FMS_RANK_YEAR])</f>
        <v>2023 Amended Plan</v>
      </c>
      <c r="BP556" s="204">
        <f>_xlfn.XLOOKUP(FMS_Ranking4[[#This Row],[FMS ID]],Prev_Rank[FMS ID],Prev_Rank[Prev Rank])</f>
        <v>489</v>
      </c>
      <c r="BQ556" s="251" t="e">
        <f>_xlfn.XLOOKUP(FMS_Ranking4[[#This Row],[FMS ID]],#REF!,#REF!)</f>
        <v>#REF!</v>
      </c>
      <c r="BR556" s="199" t="e">
        <f>SUM(#REF!,#REF!,#REF!,#REF!,#REF!,#REF!,#REF!,#REF!,#REF!,FMS_Ranking4[[#This Row],[ArcSinh Res struct removed 0-10]],#REF!)</f>
        <v>#REF!</v>
      </c>
      <c r="BS556" s="199" t="e">
        <f>FMS_Ranking4[[#This Row],[Log Score Based on Normalized Reported Factors]]+FMS_Ranking4[[#This Row],[% NBS Score (Normalized)]]+(FMS_Ranking4[[#This Row],[Water Supply Score (Normalized)]]*10*$BB$5)+(FMS_Ranking4[[#This Row],[FMS_Type Score Weighted]])</f>
        <v>#REF!</v>
      </c>
      <c r="BT556" s="200" t="e">
        <f>_xlfn.RANK.EQ(FMS_Ranking4[[#This Row],[Log Total Score]],FMS_Ranking4[Log Total Score],0)</f>
        <v>#REF!</v>
      </c>
      <c r="BU556" s="200" t="e">
        <f>_xlfn.XLOOKUP(FMS_Ranking4[[#This Row],[FMS ID]],#REF!,#REF!)</f>
        <v>#REF!</v>
      </c>
      <c r="BV556" s="200">
        <f>FMS_Ranking4[[#This Row],[Region Number]]</f>
        <v>5</v>
      </c>
      <c r="BW556" s="200">
        <f>FMS_Ranking4[[#This Row],[Rank (with ArcSinh normalization of select criteria)]]-FMS_Ranking4[[#This Row],[Rank
(with linear
normalization)]]</f>
        <v>-120</v>
      </c>
      <c r="BX556" s="200" t="e">
        <f>FMS_Ranking4[[#This Row],[Log Rank]]-FMS_Ranking4[[#This Row],[Rank
(with linear
normalization)]]</f>
        <v>#REF!</v>
      </c>
      <c r="BY556" s="200" t="str">
        <f>IF(FMS_Ranking4[[#This Row],[FMS Type]]="Flood Measurement and Warning",FMS_Ranking4[[#This Row],[Rank (with ArcSinh normalization of select criteria)]],"")</f>
        <v/>
      </c>
      <c r="BZ556" s="200" t="str">
        <f>IF(FMS_Ranking4[[#This Row],[FMS Type]]="Regulatory and Guidance",FMS_Ranking4[[#This Row],[Rank (with ArcSinh normalization of select criteria)]],"")</f>
        <v/>
      </c>
      <c r="CA556" s="200" t="str">
        <f>IF(FMS_Ranking4[[#This Row],[FMS Type]]="Education and Outreach",FMS_Ranking4[[#This Row],[Rank (with ArcSinh normalization of select criteria)]],"")</f>
        <v/>
      </c>
      <c r="CB556" s="200" t="str">
        <f>IF(FMS_Ranking4[[#This Row],[FMS Type]]="Property Acquisition and Structural Elevation",FMS_Ranking4[[#This Row],[Rank (with ArcSinh normalization of select criteria)]],"")</f>
        <v/>
      </c>
      <c r="CC556" s="200">
        <f>IF(FMS_Ranking4[[#This Row],[FMS Type]]="Infrastructure Projects",FMS_Ranking4[[#This Row],[Rank (with ArcSinh normalization of select criteria)]],"")</f>
        <v>548</v>
      </c>
      <c r="CD556" s="200" t="str">
        <f>IF(FMS_Ranking4[[#This Row],[FMS Type]]="Other",FMS_Ranking4[[#This Row],[Rank (with ArcSinh normalization of select criteria)]],"")</f>
        <v/>
      </c>
      <c r="CE556" s="201"/>
      <c r="CF556" s="206"/>
      <c r="CG556" s="206"/>
      <c r="CH556" s="206"/>
      <c r="CI556" s="206"/>
      <c r="CJ556" s="206"/>
      <c r="CK556" s="206"/>
      <c r="CL556" s="206"/>
      <c r="CM556" s="206"/>
      <c r="CN556" s="206"/>
      <c r="CO556" s="206"/>
      <c r="CP556" s="206"/>
      <c r="CQ556" s="206"/>
      <c r="CR556" s="206"/>
    </row>
    <row r="557" spans="2:96" ht="105" x14ac:dyDescent="0.25">
      <c r="B557" s="341" t="s">
        <v>2771</v>
      </c>
      <c r="C557" s="246">
        <f>_xlfn.XLOOKUP(FMS_Ranking4[[#This Row],[FMS ID]],FMS_Input[FMS_ID],FMS_Input[RFPG_NUM])</f>
        <v>5</v>
      </c>
      <c r="D557" s="309" t="str">
        <f>_xlfn.XLOOKUP(FMS_Ranking4[[#This Row],[FMS ID]],FMS_Input[FMS_ID],FMS_Input[FMS_NAME])</f>
        <v>City of Kennard Ditch Maintenance Program</v>
      </c>
      <c r="E557" s="308" t="str">
        <f>_xlfn.XLOOKUP(FMS_Ranking4[[#This Row],[FMS ID]],FMS_Input[FMS_ID],FMS_Input[SPONSOR])</f>
        <v>05002532</v>
      </c>
      <c r="F557" s="309" t="str">
        <f>_xlfn.XLOOKUP(FMS_Ranking4[[#This Row],[FMS ID]],Sponsor[FMS_ID],Sponsor[SPONSOR NAME])</f>
        <v>Kennard</v>
      </c>
      <c r="G557" s="309" t="str">
        <f>_xlfn.XLOOKUP(FMS_Ranking4[[#This Row],[FMS ID]],FMS_Input[FMS_ID],FMS_Input[FMS_DESCR])</f>
        <v>Implement program to routinely remove debris from drainage ways and roadside ditches to prevent back up of flood velocity and improve conveyance of stream during flood events.</v>
      </c>
      <c r="H557" s="248" t="str">
        <f>_xlfn.XLOOKUP(FMS_Ranking4[[#This Row],[FMS ID]],FMS_Input[FMS_ID],FMS_Input[FMS_TYPE])</f>
        <v>Infrastructure Projects</v>
      </c>
      <c r="I557" s="249">
        <f>_xlfn.XLOOKUP(FMS_Ranking4[[#This Row],[FMS ID]],FMS_Input[FMS_ID],FMS_Input[NRNC_COST])</f>
        <v>50000</v>
      </c>
      <c r="J557" s="250">
        <f>_xlfn.XLOOKUP(FMS_Ranking4[[#This Row],[FMS ID]],FMS_Input[FMS_ID],FMS_Input[FMS_COST])</f>
        <v>1000000</v>
      </c>
      <c r="K557" s="251" t="str">
        <f>_xlfn.XLOOKUP(FMS_Ranking4[[#This Row],[FMS ID]],FMS_Input[FMS_ID],FMS_Input[EMER_NEED])</f>
        <v>Yes</v>
      </c>
      <c r="L557" s="252">
        <f t="shared" si="8"/>
        <v>1</v>
      </c>
      <c r="M557" s="253">
        <f>_xlfn.XLOOKUP(FMS_Ranking4[[#This Row],[FMS ID]],FMS_Input[FMS_ID],FMS_Input[STRUCT_100])</f>
        <v>17</v>
      </c>
      <c r="N557" s="255">
        <f>(ASINH(FMS_Ranking4[[#This Row],[Structure at Risk Raw]]))*(10)/(ASINH(M$4))</f>
        <v>2.7729236035479534</v>
      </c>
      <c r="O557" s="256">
        <f>FMS_Ranking4[[#This Row],[Structures at risk, ArcSinh (0-10)]]*M$5*10</f>
        <v>2.7729236035479539</v>
      </c>
      <c r="P557" s="253">
        <f>_xlfn.XLOOKUP(FMS_Ranking4[[#This Row],[FMS ID]],FMS_Input[FMS_ID],FMS_Input[RES_STRUCT100])</f>
        <v>3</v>
      </c>
      <c r="Q557" s="257">
        <f>ASINH(FMS_Ranking4[[#This Row],[Res Structure Raw]])/Q$4*P$5*100</f>
        <v>0</v>
      </c>
      <c r="R557" s="253">
        <f>_xlfn.XLOOKUP(FMS_Ranking4[[#This Row],[FMS ID]],FMS_Input[FMS_ID],FMS_Input[POP100])</f>
        <v>16</v>
      </c>
      <c r="S557" s="255">
        <f>(ASINH(FMS_Ranking4[[#This Row],[Pop at Risk Raw]]))*(10)/(ASINH(R$4))</f>
        <v>2.3932724541966266</v>
      </c>
      <c r="T557" s="256">
        <f>FMS_Ranking4[[#This Row],[Population at risk, ArcSinh (0-10)]]*R$5*10</f>
        <v>2.3932724541966266</v>
      </c>
      <c r="U557" s="253">
        <f>_xlfn.XLOOKUP(FMS_Ranking4[[#This Row],[FMS ID]],FMS_Input[FMS_ID],FMS_Input[CRITFAC100])</f>
        <v>0</v>
      </c>
      <c r="V557" s="255">
        <f>(ASINH(FMS_Ranking4[[#This Row],[Critical Facilities Raw]]))*(10)/(ASINH(U$4))</f>
        <v>0</v>
      </c>
      <c r="W557" s="256">
        <f>FMS_Ranking4[[#This Row],[Critical facilities at risk, ArcSinh (0-10)]]*U$5*10</f>
        <v>0</v>
      </c>
      <c r="X557" s="253">
        <f>_xlfn.XLOOKUP(FMS_Ranking4[[#This Row],[FMS ID]],FMS_Input[FMS_ID],FMS_Input[LWC])</f>
        <v>7</v>
      </c>
      <c r="Y557" s="255">
        <f>(ASINH(FMS_Ranking4[[#This Row],[LWC Raw]]))*(10)/(ASINH(X$4))</f>
        <v>3.5820902845593281</v>
      </c>
      <c r="Z557" s="256">
        <f>FMS_Ranking4[[#This Row],[LWC, ArcSInh (0-10)]]*X$5*10</f>
        <v>3.5820902845593281</v>
      </c>
      <c r="AA557" s="253">
        <f>_xlfn.XLOOKUP(FMS_Ranking4[[#This Row],[FMS ID]],FMS_Input[FMS_ID],FMS_Input[ROADCLS])</f>
        <v>7</v>
      </c>
      <c r="AB557" s="255">
        <f>(ASINH(FMS_Ranking4[[#This Row],[Road Closures Raw]]))*(10)/(ASINH(AA$4))</f>
        <v>2.7536090869991607</v>
      </c>
      <c r="AC557" s="256">
        <f>FMS_Ranking4[[#This Row],[Road closures, ArcSinh (0-10)]]*AA$5*10</f>
        <v>1.3768045434995804</v>
      </c>
      <c r="AD557" s="253">
        <f>_xlfn.XLOOKUP(FMS_Ranking4[[#This Row],[FMS ID]],FMS_Input[FMS_ID],FMS_Input[ROAD_MILES100])</f>
        <v>20</v>
      </c>
      <c r="AE557" s="255">
        <f>(ASINH(FMS_Ranking4[[#This Row],[Road Miles Raw]]))*(10)/(ASINH(AD$4))</f>
        <v>3.9319960523834281</v>
      </c>
      <c r="AF557" s="256">
        <f>FMS_Ranking4[[#This Row],[Length of roads at risk, ArcSinh (0-10)]]*AD$5*10</f>
        <v>3.9319960523834285</v>
      </c>
      <c r="AG557" s="253">
        <f>_xlfn.XLOOKUP(FMS_Ranking4[[#This Row],[FMS ID]],FMS_Input[FMS_ID],FMS_Input[FARMACRE100])</f>
        <v>116.8699188232422</v>
      </c>
      <c r="AH557" s="255">
        <f>(ASINH(FMS_Ranking4[[#This Row],[Ag Land Raw]]))*(10)/(ASINH(AG$4))</f>
        <v>3.5429647853453443</v>
      </c>
      <c r="AI557" s="260">
        <f>FMS_Ranking4[[#This Row],[Farm &amp; ranch land, ArcSinh (0-10)]]*AG$5*10</f>
        <v>1.7714823926726722</v>
      </c>
      <c r="AJ557" s="258">
        <f>_xlfn.XLOOKUP(FMS_Ranking4[[#This Row],[FMS ID]],FMS_Input[FMS_ID],FMS_Input[REDSTRUCT100])</f>
        <v>0</v>
      </c>
      <c r="AK557" s="253">
        <f>_xlfn.XLOOKUP(FMS_Ranking4[[#This Row],[FMS ID]],FMS_Input[FMS_ID],FMS_Input[REMSTRC100])</f>
        <v>0</v>
      </c>
      <c r="AL557" s="255">
        <f>(ASINH(FMS_Ranking4[[#This Row],[Structures Removed Raw]]))*(10)/(ASINH(AK$4))</f>
        <v>0</v>
      </c>
      <c r="AM557" s="262">
        <f>FMS_Ranking4[[#This Row],[Structures removed, ArcSinh (0-10)]]*AK$5*10</f>
        <v>0</v>
      </c>
      <c r="AN557" s="253">
        <f>_xlfn.XLOOKUP(FMS_Ranking4[[#This Row],[FMS ID]],FMS_Input[FMS_ID],FMS_Input[REMRESSTRC100])</f>
        <v>0</v>
      </c>
      <c r="AO557" s="261">
        <f>FMS_Ranking4[[#This Row],[ArcSinh Res struct removed 0-10]]*AN$5*10</f>
        <v>0</v>
      </c>
      <c r="AP557" s="260">
        <f>ASINH(FMS_Ranking4[[#This Row],[Residential Structures Removed Raw]])/AP$4*AN$5*100</f>
        <v>0</v>
      </c>
      <c r="AQ557" s="258">
        <f>(ASINH(FMS_Ranking4[[#This Row],[Residential Structures Removed Raw]]))*(10)/(ASINH(AN$4))</f>
        <v>0</v>
      </c>
      <c r="AR557" s="253">
        <f>_xlfn.XLOOKUP(FMS_Ranking4[[#This Row],[FMS ID]],FMS_Input[FMS_ID],FMS_Input[REMPOP100])</f>
        <v>0</v>
      </c>
      <c r="AS557" s="255">
        <f>(ASINH(FMS_Ranking4[[#This Row],[Removed Pop Raw]]))*(10)/(ASINH(AR$4))</f>
        <v>0</v>
      </c>
      <c r="AT557" s="262">
        <f>FMS_Ranking4[[#This Row],[Removed population, ArcSinh (0-10)]]*AR$5*10</f>
        <v>0</v>
      </c>
      <c r="AU557" s="264">
        <f>_xlfn.XLOOKUP(FMS_Ranking4[[#This Row],[FMS ID]],FMS_Input[FMS_ID],FMS_Input[REMCRITFAC100])</f>
        <v>0</v>
      </c>
      <c r="AV557" s="264">
        <f>_xlfn.XLOOKUP(FMS_Ranking4[[#This Row],[FMS ID]],FMS_Input[FMS_ID],FMS_Input[REMLWC100])</f>
        <v>0</v>
      </c>
      <c r="AW557" s="264">
        <f>_xlfn.XLOOKUP(FMS_Ranking4[[#This Row],[FMS ID]],FMS_Input[FMS_ID],FMS_Input[REMROADCLS])</f>
        <v>0</v>
      </c>
      <c r="AX557" s="264">
        <f>_xlfn.XLOOKUP(FMS_Ranking4[[#This Row],[FMS ID]],FMS_Input[FMS_ID],FMS_Input[REMFRMACRE100])</f>
        <v>0</v>
      </c>
      <c r="AY557" s="258">
        <f>_xlfn.XLOOKUP(FMS_Ranking4[[#This Row],[FMS ID]],FMS_Input[FMS_ID],FMS_Input[COSTSTRUCT])</f>
        <v>0</v>
      </c>
      <c r="AZ557" s="253">
        <f>_xlfn.XLOOKUP(FMS_Ranking4[[#This Row],[FMS ID]],FMS_Input[FMS_ID],FMS_Input[NATURE])</f>
        <v>0</v>
      </c>
      <c r="BA557" s="262">
        <f>(((FMS_Ranking4[[#This Row],[% NBS Raw]]/AZ$4)*100)*AZ$5)</f>
        <v>0</v>
      </c>
      <c r="BB557" s="251" t="str">
        <f>_xlfn.XLOOKUP(FMS_Ranking4[[#This Row],[FMS ID]],FMS_Input[FMS_ID],FMS_Input[WATER_SUP])</f>
        <v>No</v>
      </c>
      <c r="BC557" s="265">
        <f>IF(FMS_Ranking4[[#This Row],[Water Supply Raw]]="Yes",10,0)</f>
        <v>0</v>
      </c>
      <c r="BD557" s="266">
        <f>_xlfn.XLOOKUP(FMS_Ranking4[[#This Row],[FMS Type]],FMS_TYPE[FMS_Type],FMS_TYPE[Score])</f>
        <v>4</v>
      </c>
      <c r="BE557" s="267">
        <f>FMS_Ranking4[[#This Row],[FMS_Type Score]]*$BD$5*10</f>
        <v>1</v>
      </c>
      <c r="BF55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0.12697155832336959</v>
      </c>
      <c r="BG557" s="321">
        <f>_xlfn.RANK.EQ(BF557,$BF$8:$BF$870,0)+COUNTIF($BF$8:BF557,BF557)-1</f>
        <v>444</v>
      </c>
      <c r="BH557" s="294">
        <f>(((FMS_Ranking4[[#This Row],[Structures Removed Raw]]/AK$4)*100)*AK$5)+(((FMS_Ranking4[[#This Row],[Removed Pop Raw]]/AR$4)*100)*AR$5)</f>
        <v>0</v>
      </c>
      <c r="BI55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1.1269715583233695</v>
      </c>
      <c r="BJ557" s="251">
        <f>_xlfn.RANK.EQ(FMS_Ranking4[[#This Row],[Total Score 
(with linear
normalization)]],FMS_Ranking4[Total Score 
(with linear
normalization)],0)</f>
        <v>668</v>
      </c>
      <c r="BK557" s="251" t="e">
        <f>_xlfn.XLOOKUP(FMS_Ranking4[[#This Row],[FMS ID]],#REF!,#REF!)</f>
        <v>#REF!</v>
      </c>
      <c r="BL55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15.828569330859589</v>
      </c>
      <c r="BM557" s="324">
        <f>FMS_Ranking4[[#This Row],[ArcSinh Score Based on Normalized Reported Factors]]+FMS_Ranking4[[#This Row],[% NBS Score (Normalized)]]+(FMS_Ranking4[[#This Row],[Water Supply Score (Normalized)]]*10*$BB$5)+FMS_Ranking4[[#This Row],[FMS_Type Score Weighted]]</f>
        <v>16.828569330859587</v>
      </c>
      <c r="BN557" s="251">
        <f>_xlfn.RANK.EQ(FMS_Ranking4[[#This Row],[Total Score (with ArcSinh normalization of select criteria)]],FMS_Ranking4[Total Score (with ArcSinh normalization of select criteria)],0)</f>
        <v>548</v>
      </c>
      <c r="BO557" s="270" t="str">
        <f>_xlfn.XLOOKUP(FMS_Ranking4[[#This Row],[FMS ID]],FMS_Input[FMS_ID],FMS_Input[FMS_RANK_YEAR])</f>
        <v>2023 Amended Plan</v>
      </c>
      <c r="BP557" s="204">
        <f>_xlfn.XLOOKUP(FMS_Ranking4[[#This Row],[FMS ID]],Prev_Rank[FMS ID],Prev_Rank[Prev Rank])</f>
        <v>489</v>
      </c>
      <c r="BQ557" s="251" t="e">
        <f>_xlfn.XLOOKUP(FMS_Ranking4[[#This Row],[FMS ID]],#REF!,#REF!)</f>
        <v>#REF!</v>
      </c>
      <c r="BR557" s="199" t="e">
        <f>SUM(#REF!,#REF!,#REF!,#REF!,#REF!,#REF!,#REF!,#REF!,#REF!,FMS_Ranking4[[#This Row],[ArcSinh Res struct removed 0-10]],#REF!)</f>
        <v>#REF!</v>
      </c>
      <c r="BS557" s="199" t="e">
        <f>FMS_Ranking4[[#This Row],[Log Score Based on Normalized Reported Factors]]+FMS_Ranking4[[#This Row],[% NBS Score (Normalized)]]+(FMS_Ranking4[[#This Row],[Water Supply Score (Normalized)]]*10*$BB$5)+(FMS_Ranking4[[#This Row],[FMS_Type Score Weighted]])</f>
        <v>#REF!</v>
      </c>
      <c r="BT557" s="200" t="e">
        <f>_xlfn.RANK.EQ(FMS_Ranking4[[#This Row],[Log Total Score]],FMS_Ranking4[Log Total Score],0)</f>
        <v>#REF!</v>
      </c>
      <c r="BU557" s="200" t="e">
        <f>_xlfn.XLOOKUP(FMS_Ranking4[[#This Row],[FMS ID]],#REF!,#REF!)</f>
        <v>#REF!</v>
      </c>
      <c r="BV557" s="200">
        <f>FMS_Ranking4[[#This Row],[Region Number]]</f>
        <v>5</v>
      </c>
      <c r="BW557" s="200">
        <f>FMS_Ranking4[[#This Row],[Rank (with ArcSinh normalization of select criteria)]]-FMS_Ranking4[[#This Row],[Rank
(with linear
normalization)]]</f>
        <v>-120</v>
      </c>
      <c r="BX557" s="200" t="e">
        <f>FMS_Ranking4[[#This Row],[Log Rank]]-FMS_Ranking4[[#This Row],[Rank
(with linear
normalization)]]</f>
        <v>#REF!</v>
      </c>
      <c r="BY557" s="200" t="str">
        <f>IF(FMS_Ranking4[[#This Row],[FMS Type]]="Flood Measurement and Warning",FMS_Ranking4[[#This Row],[Rank (with ArcSinh normalization of select criteria)]],"")</f>
        <v/>
      </c>
      <c r="BZ557" s="200" t="str">
        <f>IF(FMS_Ranking4[[#This Row],[FMS Type]]="Regulatory and Guidance",FMS_Ranking4[[#This Row],[Rank (with ArcSinh normalization of select criteria)]],"")</f>
        <v/>
      </c>
      <c r="CA557" s="200" t="str">
        <f>IF(FMS_Ranking4[[#This Row],[FMS Type]]="Education and Outreach",FMS_Ranking4[[#This Row],[Rank (with ArcSinh normalization of select criteria)]],"")</f>
        <v/>
      </c>
      <c r="CB557" s="200" t="str">
        <f>IF(FMS_Ranking4[[#This Row],[FMS Type]]="Property Acquisition and Structural Elevation",FMS_Ranking4[[#This Row],[Rank (with ArcSinh normalization of select criteria)]],"")</f>
        <v/>
      </c>
      <c r="CC557" s="200">
        <f>IF(FMS_Ranking4[[#This Row],[FMS Type]]="Infrastructure Projects",FMS_Ranking4[[#This Row],[Rank (with ArcSinh normalization of select criteria)]],"")</f>
        <v>548</v>
      </c>
      <c r="CD557" s="200" t="str">
        <f>IF(FMS_Ranking4[[#This Row],[FMS Type]]="Other",FMS_Ranking4[[#This Row],[Rank (with ArcSinh normalization of select criteria)]],"")</f>
        <v/>
      </c>
      <c r="CE557" s="201"/>
      <c r="CF557" s="206"/>
      <c r="CG557" s="206"/>
      <c r="CH557" s="206"/>
      <c r="CI557" s="206"/>
      <c r="CJ557" s="206"/>
      <c r="CK557" s="206"/>
      <c r="CL557" s="206"/>
      <c r="CM557" s="206"/>
      <c r="CN557" s="206"/>
      <c r="CO557" s="206"/>
      <c r="CP557" s="206"/>
      <c r="CQ557" s="206"/>
      <c r="CR557" s="206"/>
    </row>
    <row r="558" spans="2:96" ht="75" x14ac:dyDescent="0.25">
      <c r="B558" s="341" t="s">
        <v>2764</v>
      </c>
      <c r="C558" s="246">
        <f>_xlfn.XLOOKUP(FMS_Ranking4[[#This Row],[FMS ID]],FMS_Input[FMS_ID],FMS_Input[RFPG_NUM])</f>
        <v>5</v>
      </c>
      <c r="D558" s="309" t="str">
        <f>_xlfn.XLOOKUP(FMS_Ranking4[[#This Row],[FMS ID]],FMS_Input[FMS_ID],FMS_Input[FMS_NAME])</f>
        <v>Houston County Drainage Culvert Upgrades</v>
      </c>
      <c r="E558" s="308" t="str">
        <f>_xlfn.XLOOKUP(FMS_Ranking4[[#This Row],[FMS ID]],FMS_Input[FMS_ID],FMS_Input[SPONSOR])</f>
        <v>00000128</v>
      </c>
      <c r="F558" s="309" t="str">
        <f>_xlfn.XLOOKUP(FMS_Ranking4[[#This Row],[FMS ID]],Sponsor[FMS_ID],Sponsor[SPONSOR NAME])</f>
        <v>Houston</v>
      </c>
      <c r="G558" s="309" t="str">
        <f>_xlfn.XLOOKUP(FMS_Ranking4[[#This Row],[FMS ID]],FMS_Input[FMS_ID],FMS_Input[FMS_DESCR])</f>
        <v>Develop a plan to expand/upgrade drainage culverts to prevent flooded roadways and add signage in low-water crossings.</v>
      </c>
      <c r="H558" s="248" t="str">
        <f>_xlfn.XLOOKUP(FMS_Ranking4[[#This Row],[FMS ID]],FMS_Input[FMS_ID],FMS_Input[FMS_TYPE])</f>
        <v>Infrastructure Projects</v>
      </c>
      <c r="I558" s="249">
        <f>_xlfn.XLOOKUP(FMS_Ranking4[[#This Row],[FMS ID]],FMS_Input[FMS_ID],FMS_Input[NRNC_COST])</f>
        <v>25000</v>
      </c>
      <c r="J558" s="250">
        <f>_xlfn.XLOOKUP(FMS_Ranking4[[#This Row],[FMS ID]],FMS_Input[FMS_ID],FMS_Input[FMS_COST])</f>
        <v>3000000</v>
      </c>
      <c r="K558" s="251" t="str">
        <f>_xlfn.XLOOKUP(FMS_Ranking4[[#This Row],[FMS ID]],FMS_Input[FMS_ID],FMS_Input[EMER_NEED])</f>
        <v>Yes</v>
      </c>
      <c r="L558" s="252">
        <f t="shared" si="8"/>
        <v>1</v>
      </c>
      <c r="M558" s="253">
        <f>_xlfn.XLOOKUP(FMS_Ranking4[[#This Row],[FMS ID]],FMS_Input[FMS_ID],FMS_Input[STRUCT_100])</f>
        <v>17</v>
      </c>
      <c r="N558" s="255">
        <f>(ASINH(FMS_Ranking4[[#This Row],[Structure at Risk Raw]]))*(10)/(ASINH(M$4))</f>
        <v>2.7729236035479534</v>
      </c>
      <c r="O558" s="256">
        <f>FMS_Ranking4[[#This Row],[Structures at risk, ArcSinh (0-10)]]*M$5*10</f>
        <v>2.7729236035479539</v>
      </c>
      <c r="P558" s="253">
        <f>_xlfn.XLOOKUP(FMS_Ranking4[[#This Row],[FMS ID]],FMS_Input[FMS_ID],FMS_Input[RES_STRUCT100])</f>
        <v>3</v>
      </c>
      <c r="Q558" s="257">
        <f>ASINH(FMS_Ranking4[[#This Row],[Res Structure Raw]])/Q$4*P$5*100</f>
        <v>0</v>
      </c>
      <c r="R558" s="253">
        <f>_xlfn.XLOOKUP(FMS_Ranking4[[#This Row],[FMS ID]],FMS_Input[FMS_ID],FMS_Input[POP100])</f>
        <v>16</v>
      </c>
      <c r="S558" s="259">
        <f>(ASINH(FMS_Ranking4[[#This Row],[Pop at Risk Raw]]))*(10)/(ASINH(R$4))</f>
        <v>2.3932724541966266</v>
      </c>
      <c r="T558" s="256">
        <f>FMS_Ranking4[[#This Row],[Population at risk, ArcSinh (0-10)]]*R$5*10</f>
        <v>2.3932724541966266</v>
      </c>
      <c r="U558" s="253">
        <f>_xlfn.XLOOKUP(FMS_Ranking4[[#This Row],[FMS ID]],FMS_Input[FMS_ID],FMS_Input[CRITFAC100])</f>
        <v>0</v>
      </c>
      <c r="V558" s="259">
        <f>(ASINH(FMS_Ranking4[[#This Row],[Critical Facilities Raw]]))*(10)/(ASINH(U$4))</f>
        <v>0</v>
      </c>
      <c r="W558" s="256">
        <f>FMS_Ranking4[[#This Row],[Critical facilities at risk, ArcSinh (0-10)]]*U$5*10</f>
        <v>0</v>
      </c>
      <c r="X558" s="253">
        <f>_xlfn.XLOOKUP(FMS_Ranking4[[#This Row],[FMS ID]],FMS_Input[FMS_ID],FMS_Input[LWC])</f>
        <v>7</v>
      </c>
      <c r="Y558" s="259">
        <f>(ASINH(FMS_Ranking4[[#This Row],[LWC Raw]]))*(10)/(ASINH(X$4))</f>
        <v>3.5820902845593281</v>
      </c>
      <c r="Z558" s="256">
        <f>FMS_Ranking4[[#This Row],[LWC, ArcSInh (0-10)]]*X$5*10</f>
        <v>3.5820902845593281</v>
      </c>
      <c r="AA558" s="253">
        <f>_xlfn.XLOOKUP(FMS_Ranking4[[#This Row],[FMS ID]],FMS_Input[FMS_ID],FMS_Input[ROADCLS])</f>
        <v>7</v>
      </c>
      <c r="AB558" s="255">
        <f>(ASINH(FMS_Ranking4[[#This Row],[Road Closures Raw]]))*(10)/(ASINH(AA$4))</f>
        <v>2.7536090869991607</v>
      </c>
      <c r="AC558" s="256">
        <f>FMS_Ranking4[[#This Row],[Road closures, ArcSinh (0-10)]]*AA$5*10</f>
        <v>1.3768045434995804</v>
      </c>
      <c r="AD558" s="253">
        <f>_xlfn.XLOOKUP(FMS_Ranking4[[#This Row],[FMS ID]],FMS_Input[FMS_ID],FMS_Input[ROAD_MILES100])</f>
        <v>20</v>
      </c>
      <c r="AE558" s="259">
        <f>(ASINH(FMS_Ranking4[[#This Row],[Road Miles Raw]]))*(10)/(ASINH(AD$4))</f>
        <v>3.9319960523834281</v>
      </c>
      <c r="AF558" s="256">
        <f>FMS_Ranking4[[#This Row],[Length of roads at risk, ArcSinh (0-10)]]*AD$5*10</f>
        <v>3.9319960523834285</v>
      </c>
      <c r="AG558" s="253">
        <f>_xlfn.XLOOKUP(FMS_Ranking4[[#This Row],[FMS ID]],FMS_Input[FMS_ID],FMS_Input[FARMACRE100])</f>
        <v>116.8699188232422</v>
      </c>
      <c r="AH558" s="255">
        <f>(ASINH(FMS_Ranking4[[#This Row],[Ag Land Raw]]))*(10)/(ASINH(AG$4))</f>
        <v>3.5429647853453443</v>
      </c>
      <c r="AI558" s="260">
        <f>FMS_Ranking4[[#This Row],[Farm &amp; ranch land, ArcSinh (0-10)]]*AG$5*10</f>
        <v>1.7714823926726722</v>
      </c>
      <c r="AJ558" s="258">
        <f>_xlfn.XLOOKUP(FMS_Ranking4[[#This Row],[FMS ID]],FMS_Input[FMS_ID],FMS_Input[REDSTRUCT100])</f>
        <v>0</v>
      </c>
      <c r="AK558" s="253">
        <f>_xlfn.XLOOKUP(FMS_Ranking4[[#This Row],[FMS ID]],FMS_Input[FMS_ID],FMS_Input[REMSTRC100])</f>
        <v>0</v>
      </c>
      <c r="AL558" s="259">
        <f>(ASINH(FMS_Ranking4[[#This Row],[Structures Removed Raw]]))*(10)/(ASINH(AK$4))</f>
        <v>0</v>
      </c>
      <c r="AM558" s="262">
        <f>FMS_Ranking4[[#This Row],[Structures removed, ArcSinh (0-10)]]*AK$5*10</f>
        <v>0</v>
      </c>
      <c r="AN558" s="253">
        <f>_xlfn.XLOOKUP(FMS_Ranking4[[#This Row],[FMS ID]],FMS_Input[FMS_ID],FMS_Input[REMRESSTRC100])</f>
        <v>0</v>
      </c>
      <c r="AO558" s="261">
        <f>FMS_Ranking4[[#This Row],[ArcSinh Res struct removed 0-10]]*AN$5*10</f>
        <v>0</v>
      </c>
      <c r="AP558" s="260">
        <f>ASINH(FMS_Ranking4[[#This Row],[Residential Structures Removed Raw]])/AP$4*AN$5*100</f>
        <v>0</v>
      </c>
      <c r="AQ558" s="254">
        <f>(ASINH(FMS_Ranking4[[#This Row],[Residential Structures Removed Raw]]))*(10)/(ASINH(AN$4))</f>
        <v>0</v>
      </c>
      <c r="AR558" s="253">
        <f>_xlfn.XLOOKUP(FMS_Ranking4[[#This Row],[FMS ID]],FMS_Input[FMS_ID],FMS_Input[REMPOP100])</f>
        <v>0</v>
      </c>
      <c r="AS558" s="259">
        <f>(ASINH(FMS_Ranking4[[#This Row],[Removed Pop Raw]]))*(10)/(ASINH(AR$4))</f>
        <v>0</v>
      </c>
      <c r="AT558" s="262">
        <f>FMS_Ranking4[[#This Row],[Removed population, ArcSinh (0-10)]]*AR$5*10</f>
        <v>0</v>
      </c>
      <c r="AU558" s="264">
        <f>_xlfn.XLOOKUP(FMS_Ranking4[[#This Row],[FMS ID]],FMS_Input[FMS_ID],FMS_Input[REMCRITFAC100])</f>
        <v>0</v>
      </c>
      <c r="AV558" s="264">
        <f>_xlfn.XLOOKUP(FMS_Ranking4[[#This Row],[FMS ID]],FMS_Input[FMS_ID],FMS_Input[REMLWC100])</f>
        <v>0</v>
      </c>
      <c r="AW558" s="264">
        <f>_xlfn.XLOOKUP(FMS_Ranking4[[#This Row],[FMS ID]],FMS_Input[FMS_ID],FMS_Input[REMROADCLS])</f>
        <v>0</v>
      </c>
      <c r="AX558" s="264">
        <f>_xlfn.XLOOKUP(FMS_Ranking4[[#This Row],[FMS ID]],FMS_Input[FMS_ID],FMS_Input[REMFRMACRE100])</f>
        <v>0</v>
      </c>
      <c r="AY558" s="258">
        <f>_xlfn.XLOOKUP(FMS_Ranking4[[#This Row],[FMS ID]],FMS_Input[FMS_ID],FMS_Input[COSTSTRUCT])</f>
        <v>0</v>
      </c>
      <c r="AZ558" s="253">
        <f>_xlfn.XLOOKUP(FMS_Ranking4[[#This Row],[FMS ID]],FMS_Input[FMS_ID],FMS_Input[NATURE])</f>
        <v>0</v>
      </c>
      <c r="BA558" s="262">
        <f>(((FMS_Ranking4[[#This Row],[% NBS Raw]]/AZ$4)*100)*AZ$5)</f>
        <v>0</v>
      </c>
      <c r="BB558" s="251" t="str">
        <f>_xlfn.XLOOKUP(FMS_Ranking4[[#This Row],[FMS ID]],FMS_Input[FMS_ID],FMS_Input[WATER_SUP])</f>
        <v>No</v>
      </c>
      <c r="BC558" s="265">
        <f>IF(FMS_Ranking4[[#This Row],[Water Supply Raw]]="Yes",10,0)</f>
        <v>0</v>
      </c>
      <c r="BD558" s="266">
        <f>_xlfn.XLOOKUP(FMS_Ranking4[[#This Row],[FMS Type]],FMS_TYPE[FMS_Type],FMS_TYPE[Score])</f>
        <v>4</v>
      </c>
      <c r="BE558" s="267">
        <f>FMS_Ranking4[[#This Row],[FMS_Type Score]]*$BD$5*10</f>
        <v>1</v>
      </c>
      <c r="BF55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0.12697155832336959</v>
      </c>
      <c r="BG558" s="271">
        <f>_xlfn.RANK.EQ(BF558,$BF$8:$BF$870,0)+COUNTIF($BF$8:BF558,BF558)-1</f>
        <v>445</v>
      </c>
      <c r="BH558" s="268">
        <f>(((FMS_Ranking4[[#This Row],[Structures Removed Raw]]/AK$4)*100)*AK$5)+(((FMS_Ranking4[[#This Row],[Removed Pop Raw]]/AR$4)*100)*AR$5)</f>
        <v>0</v>
      </c>
      <c r="BI55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1.1269715583233695</v>
      </c>
      <c r="BJ558" s="205">
        <f>_xlfn.RANK.EQ(FMS_Ranking4[[#This Row],[Total Score 
(with linear
normalization)]],FMS_Ranking4[Total Score 
(with linear
normalization)],0)</f>
        <v>668</v>
      </c>
      <c r="BK558" s="205" t="e">
        <f>_xlfn.XLOOKUP(FMS_Ranking4[[#This Row],[FMS ID]],#REF!,#REF!)</f>
        <v>#REF!</v>
      </c>
      <c r="BL55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15.828569330859589</v>
      </c>
      <c r="BM558" s="272">
        <f>FMS_Ranking4[[#This Row],[ArcSinh Score Based on Normalized Reported Factors]]+FMS_Ranking4[[#This Row],[% NBS Score (Normalized)]]+(FMS_Ranking4[[#This Row],[Water Supply Score (Normalized)]]*10*$BB$5)+FMS_Ranking4[[#This Row],[FMS_Type Score Weighted]]</f>
        <v>16.828569330859587</v>
      </c>
      <c r="BN558" s="205">
        <f>_xlfn.RANK.EQ(FMS_Ranking4[[#This Row],[Total Score (with ArcSinh normalization of select criteria)]],FMS_Ranking4[Total Score (with ArcSinh normalization of select criteria)],0)</f>
        <v>548</v>
      </c>
      <c r="BO558" s="270" t="str">
        <f>_xlfn.XLOOKUP(FMS_Ranking4[[#This Row],[FMS ID]],FMS_Input[FMS_ID],FMS_Input[FMS_RANK_YEAR])</f>
        <v>2023 Amended Plan</v>
      </c>
      <c r="BP558" s="204">
        <f>_xlfn.XLOOKUP(FMS_Ranking4[[#This Row],[FMS ID]],Prev_Rank[FMS ID],Prev_Rank[Prev Rank])</f>
        <v>489</v>
      </c>
      <c r="BQ558" s="205" t="e">
        <f>_xlfn.XLOOKUP(FMS_Ranking4[[#This Row],[FMS ID]],#REF!,#REF!)</f>
        <v>#REF!</v>
      </c>
      <c r="BR558" s="199" t="e">
        <f>SUM(#REF!,#REF!,#REF!,#REF!,#REF!,#REF!,#REF!,#REF!,#REF!,FMS_Ranking4[[#This Row],[ArcSinh Res struct removed 0-10]],#REF!)</f>
        <v>#REF!</v>
      </c>
      <c r="BS558" s="199" t="e">
        <f>FMS_Ranking4[[#This Row],[Log Score Based on Normalized Reported Factors]]+FMS_Ranking4[[#This Row],[% NBS Score (Normalized)]]+(FMS_Ranking4[[#This Row],[Water Supply Score (Normalized)]]*10*$BB$5)+(FMS_Ranking4[[#This Row],[FMS_Type Score Weighted]])</f>
        <v>#REF!</v>
      </c>
      <c r="BT558" s="200" t="e">
        <f>_xlfn.RANK.EQ(FMS_Ranking4[[#This Row],[Log Total Score]],FMS_Ranking4[Log Total Score],0)</f>
        <v>#REF!</v>
      </c>
      <c r="BU558" s="200" t="e">
        <f>_xlfn.XLOOKUP(FMS_Ranking4[[#This Row],[FMS ID]],#REF!,#REF!)</f>
        <v>#REF!</v>
      </c>
      <c r="BV558" s="200">
        <f>FMS_Ranking4[[#This Row],[Region Number]]</f>
        <v>5</v>
      </c>
      <c r="BW558" s="200">
        <f>FMS_Ranking4[[#This Row],[Rank (with ArcSinh normalization of select criteria)]]-FMS_Ranking4[[#This Row],[Rank
(with linear
normalization)]]</f>
        <v>-120</v>
      </c>
      <c r="BX558" s="200" t="e">
        <f>FMS_Ranking4[[#This Row],[Log Rank]]-FMS_Ranking4[[#This Row],[Rank
(with linear
normalization)]]</f>
        <v>#REF!</v>
      </c>
      <c r="BY558" s="200" t="str">
        <f>IF(FMS_Ranking4[[#This Row],[FMS Type]]="Flood Measurement and Warning",FMS_Ranking4[[#This Row],[Rank (with ArcSinh normalization of select criteria)]],"")</f>
        <v/>
      </c>
      <c r="BZ558" s="200" t="str">
        <f>IF(FMS_Ranking4[[#This Row],[FMS Type]]="Regulatory and Guidance",FMS_Ranking4[[#This Row],[Rank (with ArcSinh normalization of select criteria)]],"")</f>
        <v/>
      </c>
      <c r="CA558" s="200" t="str">
        <f>IF(FMS_Ranking4[[#This Row],[FMS Type]]="Education and Outreach",FMS_Ranking4[[#This Row],[Rank (with ArcSinh normalization of select criteria)]],"")</f>
        <v/>
      </c>
      <c r="CB558" s="200" t="str">
        <f>IF(FMS_Ranking4[[#This Row],[FMS Type]]="Property Acquisition and Structural Elevation",FMS_Ranking4[[#This Row],[Rank (with ArcSinh normalization of select criteria)]],"")</f>
        <v/>
      </c>
      <c r="CC558" s="200">
        <f>IF(FMS_Ranking4[[#This Row],[FMS Type]]="Infrastructure Projects",FMS_Ranking4[[#This Row],[Rank (with ArcSinh normalization of select criteria)]],"")</f>
        <v>548</v>
      </c>
      <c r="CD558" s="200" t="str">
        <f>IF(FMS_Ranking4[[#This Row],[FMS Type]]="Other",FMS_Ranking4[[#This Row],[Rank (with ArcSinh normalization of select criteria)]],"")</f>
        <v/>
      </c>
      <c r="CE558" s="201"/>
      <c r="CF558" s="206"/>
      <c r="CG558" s="206"/>
      <c r="CH558" s="206"/>
      <c r="CI558" s="206"/>
      <c r="CJ558" s="206"/>
      <c r="CK558" s="206"/>
      <c r="CL558" s="206"/>
      <c r="CM558" s="206"/>
      <c r="CN558" s="206"/>
      <c r="CO558" s="206"/>
      <c r="CP558" s="206"/>
      <c r="CQ558" s="206"/>
      <c r="CR558" s="206"/>
    </row>
    <row r="559" spans="2:96" ht="75" x14ac:dyDescent="0.25">
      <c r="B559" s="341" t="s">
        <v>718</v>
      </c>
      <c r="C559" s="246">
        <f>_xlfn.XLOOKUP(FMS_Ranking4[[#This Row],[FMS ID]],FMS_Input[FMS_ID],FMS_Input[RFPG_NUM])</f>
        <v>9</v>
      </c>
      <c r="D559" s="309" t="str">
        <f>_xlfn.XLOOKUP(FMS_Ranking4[[#This Row],[FMS ID]],FMS_Input[FMS_ID],FMS_Input[FMS_NAME])</f>
        <v xml:space="preserve">City of Robert Lee Flood Insurance Awareness Program </v>
      </c>
      <c r="E559" s="308" t="str">
        <f>_xlfn.XLOOKUP(FMS_Ranking4[[#This Row],[FMS ID]],FMS_Input[FMS_ID],FMS_Input[SPONSOR])</f>
        <v>09000147</v>
      </c>
      <c r="F559" s="309" t="str">
        <f>_xlfn.XLOOKUP(FMS_Ranking4[[#This Row],[FMS ID]],Sponsor[FMS_ID],Sponsor[SPONSOR NAME])</f>
        <v>Coke</v>
      </c>
      <c r="G559" s="309" t="str">
        <f>_xlfn.XLOOKUP(FMS_Ranking4[[#This Row],[FMS ID]],FMS_Input[FMS_ID],FMS_Input[FMS_DESCR])</f>
        <v xml:space="preserve">Establish public awareness program regarding availability of flood insurance by disseminating brochures in public places, such as City Hall. </v>
      </c>
      <c r="H559" s="248" t="str">
        <f>_xlfn.XLOOKUP(FMS_Ranking4[[#This Row],[FMS ID]],FMS_Input[FMS_ID],FMS_Input[FMS_TYPE])</f>
        <v>Other</v>
      </c>
      <c r="I559" s="249">
        <f>_xlfn.XLOOKUP(FMS_Ranking4[[#This Row],[FMS ID]],FMS_Input[FMS_ID],FMS_Input[NRNC_COST])</f>
        <v>5000</v>
      </c>
      <c r="J559" s="250">
        <f>_xlfn.XLOOKUP(FMS_Ranking4[[#This Row],[FMS ID]],FMS_Input[FMS_ID],FMS_Input[FMS_COST])</f>
        <v>30000</v>
      </c>
      <c r="K559" s="251" t="str">
        <f>_xlfn.XLOOKUP(FMS_Ranking4[[#This Row],[FMS ID]],FMS_Input[FMS_ID],FMS_Input[EMER_NEED])</f>
        <v>No</v>
      </c>
      <c r="L559" s="252">
        <f t="shared" si="8"/>
        <v>0</v>
      </c>
      <c r="M559" s="253">
        <f>_xlfn.XLOOKUP(FMS_Ranking4[[#This Row],[FMS ID]],FMS_Input[FMS_ID],FMS_Input[STRUCT_100])</f>
        <v>42</v>
      </c>
      <c r="N559" s="255">
        <f>(ASINH(FMS_Ranking4[[#This Row],[Structure at Risk Raw]]))*(10)/(ASINH(M$4))</f>
        <v>3.4833931159199318</v>
      </c>
      <c r="O559" s="256">
        <f>FMS_Ranking4[[#This Row],[Structures at risk, ArcSinh (0-10)]]*M$5*10</f>
        <v>3.4833931159199323</v>
      </c>
      <c r="P559" s="253">
        <f>_xlfn.XLOOKUP(FMS_Ranking4[[#This Row],[FMS ID]],FMS_Input[FMS_ID],FMS_Input[RES_STRUCT100])</f>
        <v>33</v>
      </c>
      <c r="Q559" s="257">
        <f>ASINH(FMS_Ranking4[[#This Row],[Res Structure Raw]])/Q$4*P$5*100</f>
        <v>0</v>
      </c>
      <c r="R559" s="253">
        <f>_xlfn.XLOOKUP(FMS_Ranking4[[#This Row],[FMS ID]],FMS_Input[FMS_ID],FMS_Input[POP100])</f>
        <v>37</v>
      </c>
      <c r="S559" s="259">
        <f>(ASINH(FMS_Ranking4[[#This Row],[Pop at Risk Raw]]))*(10)/(ASINH(R$4))</f>
        <v>2.9714727428838379</v>
      </c>
      <c r="T559" s="256">
        <f>FMS_Ranking4[[#This Row],[Population at risk, ArcSinh (0-10)]]*R$5*10</f>
        <v>2.9714727428838379</v>
      </c>
      <c r="U559" s="253">
        <f>_xlfn.XLOOKUP(FMS_Ranking4[[#This Row],[FMS ID]],FMS_Input[FMS_ID],FMS_Input[CRITFAC100])</f>
        <v>0</v>
      </c>
      <c r="V559" s="259">
        <f>(ASINH(FMS_Ranking4[[#This Row],[Critical Facilities Raw]]))*(10)/(ASINH(U$4))</f>
        <v>0</v>
      </c>
      <c r="W559" s="256">
        <f>FMS_Ranking4[[#This Row],[Critical facilities at risk, ArcSinh (0-10)]]*U$5*10</f>
        <v>0</v>
      </c>
      <c r="X559" s="253">
        <f>_xlfn.XLOOKUP(FMS_Ranking4[[#This Row],[FMS ID]],FMS_Input[FMS_ID],FMS_Input[LWC])</f>
        <v>0</v>
      </c>
      <c r="Y559" s="259">
        <f>(ASINH(FMS_Ranking4[[#This Row],[LWC Raw]]))*(10)/(ASINH(X$4))</f>
        <v>0</v>
      </c>
      <c r="Z559" s="256">
        <f>FMS_Ranking4[[#This Row],[LWC, ArcSInh (0-10)]]*X$5*10</f>
        <v>0</v>
      </c>
      <c r="AA559" s="253">
        <f>_xlfn.XLOOKUP(FMS_Ranking4[[#This Row],[FMS ID]],FMS_Input[FMS_ID],FMS_Input[ROADCLS])</f>
        <v>0</v>
      </c>
      <c r="AB559" s="255">
        <f>(ASINH(FMS_Ranking4[[#This Row],[Road Closures Raw]]))*(10)/(ASINH(AA$4))</f>
        <v>0</v>
      </c>
      <c r="AC559" s="256">
        <f>FMS_Ranking4[[#This Row],[Road closures, ArcSinh (0-10)]]*AA$5*10</f>
        <v>0</v>
      </c>
      <c r="AD559" s="253">
        <f>_xlfn.XLOOKUP(FMS_Ranking4[[#This Row],[FMS ID]],FMS_Input[FMS_ID],FMS_Input[ROAD_MILES100])</f>
        <v>2</v>
      </c>
      <c r="AE559" s="259">
        <f>(ASINH(FMS_Ranking4[[#This Row],[Road Miles Raw]]))*(10)/(ASINH(AD$4))</f>
        <v>1.5385182374234352</v>
      </c>
      <c r="AF559" s="256">
        <f>FMS_Ranking4[[#This Row],[Length of roads at risk, ArcSinh (0-10)]]*AD$5*10</f>
        <v>1.5385182374234352</v>
      </c>
      <c r="AG559" s="253">
        <f>_xlfn.XLOOKUP(FMS_Ranking4[[#This Row],[FMS ID]],FMS_Input[FMS_ID],FMS_Input[FARMACRE100])</f>
        <v>1.1211071014404299</v>
      </c>
      <c r="AH559" s="255">
        <f>(ASINH(FMS_Ranking4[[#This Row],[Ag Land Raw]]))*(10)/(ASINH(AG$4))</f>
        <v>0.6265023779612634</v>
      </c>
      <c r="AI559" s="260">
        <f>FMS_Ranking4[[#This Row],[Farm &amp; ranch land, ArcSinh (0-10)]]*AG$5*10</f>
        <v>0.3132511889806317</v>
      </c>
      <c r="AJ559" s="258">
        <f>_xlfn.XLOOKUP(FMS_Ranking4[[#This Row],[FMS ID]],FMS_Input[FMS_ID],FMS_Input[REDSTRUCT100])</f>
        <v>11</v>
      </c>
      <c r="AK559" s="253">
        <f>_xlfn.XLOOKUP(FMS_Ranking4[[#This Row],[FMS ID]],FMS_Input[FMS_ID],FMS_Input[REMSTRC100])</f>
        <v>11</v>
      </c>
      <c r="AL559" s="259">
        <f>(ASINH(FMS_Ranking4[[#This Row],[Structures Removed Raw]]))*(10)/(ASINH(AK$4))</f>
        <v>3.5217176366483729</v>
      </c>
      <c r="AM559" s="262">
        <f>FMS_Ranking4[[#This Row],[Structures removed, ArcSinh (0-10)]]*AK$5*10</f>
        <v>3.5217176366483733</v>
      </c>
      <c r="AN559" s="253">
        <f>_xlfn.XLOOKUP(FMS_Ranking4[[#This Row],[FMS ID]],FMS_Input[FMS_ID],FMS_Input[REMRESSTRC100])</f>
        <v>8</v>
      </c>
      <c r="AO559" s="261">
        <f>FMS_Ranking4[[#This Row],[ArcSinh Res struct removed 0-10]]*AN$5*10</f>
        <v>1.6284744768756201</v>
      </c>
      <c r="AP559" s="260">
        <f>ASINH(FMS_Ranking4[[#This Row],[Residential Structures Removed Raw]])/AP$4*AN$5*100</f>
        <v>1.6284744768756199</v>
      </c>
      <c r="AQ559" s="254">
        <f>(ASINH(FMS_Ranking4[[#This Row],[Residential Structures Removed Raw]]))*(10)/(ASINH(AN$4))</f>
        <v>3.2569489537512402</v>
      </c>
      <c r="AR559" s="253">
        <f>_xlfn.XLOOKUP(FMS_Ranking4[[#This Row],[FMS ID]],FMS_Input[FMS_ID],FMS_Input[REMPOP100])</f>
        <v>9</v>
      </c>
      <c r="AS559" s="259">
        <f>(ASINH(FMS_Ranking4[[#This Row],[Removed Pop Raw]]))*(10)/(ASINH(AR$4))</f>
        <v>2.8402637666417263</v>
      </c>
      <c r="AT559" s="262">
        <f>FMS_Ranking4[[#This Row],[Removed population, ArcSinh (0-10)]]*AR$5*10</f>
        <v>2.8402637666417263</v>
      </c>
      <c r="AU559" s="264">
        <f>_xlfn.XLOOKUP(FMS_Ranking4[[#This Row],[FMS ID]],FMS_Input[FMS_ID],FMS_Input[REMCRITFAC100])</f>
        <v>0</v>
      </c>
      <c r="AV559" s="264">
        <f>_xlfn.XLOOKUP(FMS_Ranking4[[#This Row],[FMS ID]],FMS_Input[FMS_ID],FMS_Input[REMLWC100])</f>
        <v>0</v>
      </c>
      <c r="AW559" s="264">
        <f>_xlfn.XLOOKUP(FMS_Ranking4[[#This Row],[FMS ID]],FMS_Input[FMS_ID],FMS_Input[REMROADCLS])</f>
        <v>0</v>
      </c>
      <c r="AX559" s="264">
        <f>_xlfn.XLOOKUP(FMS_Ranking4[[#This Row],[FMS ID]],FMS_Input[FMS_ID],FMS_Input[REMFRMACRE100])</f>
        <v>0.28027677536010742</v>
      </c>
      <c r="AY559" s="258">
        <f>_xlfn.XLOOKUP(FMS_Ranking4[[#This Row],[FMS ID]],FMS_Input[FMS_ID],FMS_Input[COSTSTRUCT])</f>
        <v>25000</v>
      </c>
      <c r="AZ559" s="253">
        <f>_xlfn.XLOOKUP(FMS_Ranking4[[#This Row],[FMS ID]],FMS_Input[FMS_ID],FMS_Input[NATURE])</f>
        <v>0</v>
      </c>
      <c r="BA559" s="262">
        <f>(((FMS_Ranking4[[#This Row],[% NBS Raw]]/AZ$4)*100)*AZ$5)</f>
        <v>0</v>
      </c>
      <c r="BB559" s="251" t="str">
        <f>_xlfn.XLOOKUP(FMS_Ranking4[[#This Row],[FMS ID]],FMS_Input[FMS_ID],FMS_Input[WATER_SUP])</f>
        <v>No</v>
      </c>
      <c r="BC559" s="265">
        <f>IF(FMS_Ranking4[[#This Row],[Water Supply Raw]]="Yes",10,0)</f>
        <v>0</v>
      </c>
      <c r="BD559" s="266">
        <f>_xlfn.XLOOKUP(FMS_Ranking4[[#This Row],[FMS Type]],FMS_TYPE[FMS_Type],FMS_TYPE[Score])</f>
        <v>2</v>
      </c>
      <c r="BE559" s="267">
        <f>FMS_Ranking4[[#This Row],[FMS_Type Score]]*$BD$5*10</f>
        <v>0.5</v>
      </c>
      <c r="BF55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6.2574194939983407E-3</v>
      </c>
      <c r="BG559" s="271">
        <f>_xlfn.RANK.EQ(BF559,$BF$8:$BF$870,0)+COUNTIF($BF$8:BF559,BF559)-1</f>
        <v>676</v>
      </c>
      <c r="BH559" s="268">
        <f>(((FMS_Ranking4[[#This Row],[Structures Removed Raw]]/AK$4)*100)*AK$5)+(((FMS_Ranking4[[#This Row],[Removed Pop Raw]]/AR$4)*100)*AR$5)</f>
        <v>4.0508582201701018E-2</v>
      </c>
      <c r="BI55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0.54676600169569933</v>
      </c>
      <c r="BJ559" s="205">
        <f>_xlfn.RANK.EQ(FMS_Ranking4[[#This Row],[Total Score 
(with linear
normalization)]],FMS_Ranking4[Total Score 
(with linear
normalization)],0)</f>
        <v>830</v>
      </c>
      <c r="BK559" s="205" t="e">
        <f>_xlfn.XLOOKUP(FMS_Ranking4[[#This Row],[FMS ID]],#REF!,#REF!)</f>
        <v>#REF!</v>
      </c>
      <c r="BL55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16.297091165373558</v>
      </c>
      <c r="BM559" s="272">
        <f>FMS_Ranking4[[#This Row],[ArcSinh Score Based on Normalized Reported Factors]]+FMS_Ranking4[[#This Row],[% NBS Score (Normalized)]]+(FMS_Ranking4[[#This Row],[Water Supply Score (Normalized)]]*10*$BB$5)+FMS_Ranking4[[#This Row],[FMS_Type Score Weighted]]</f>
        <v>16.797091165373558</v>
      </c>
      <c r="BN559" s="205">
        <f>_xlfn.RANK.EQ(FMS_Ranking4[[#This Row],[Total Score (with ArcSinh normalization of select criteria)]],FMS_Ranking4[Total Score (with ArcSinh normalization of select criteria)],0)</f>
        <v>552</v>
      </c>
      <c r="BO559" s="270" t="str">
        <f>_xlfn.XLOOKUP(FMS_Ranking4[[#This Row],[FMS ID]],FMS_Input[FMS_ID],FMS_Input[FMS_RANK_YEAR])</f>
        <v>2023 Amended Plan</v>
      </c>
      <c r="BP559" s="204">
        <f>_xlfn.XLOOKUP(FMS_Ranking4[[#This Row],[FMS ID]],Prev_Rank[FMS ID],Prev_Rank[Prev Rank])</f>
        <v>504</v>
      </c>
      <c r="BQ559" s="205" t="e">
        <f>_xlfn.XLOOKUP(FMS_Ranking4[[#This Row],[FMS ID]],#REF!,#REF!)</f>
        <v>#REF!</v>
      </c>
      <c r="BR559" s="199" t="e">
        <f>SUM(#REF!,#REF!,#REF!,#REF!,#REF!,#REF!,#REF!,#REF!,#REF!,FMS_Ranking4[[#This Row],[ArcSinh Res struct removed 0-10]],#REF!)</f>
        <v>#REF!</v>
      </c>
      <c r="BS559" s="199" t="e">
        <f>FMS_Ranking4[[#This Row],[Log Score Based on Normalized Reported Factors]]+FMS_Ranking4[[#This Row],[% NBS Score (Normalized)]]+(FMS_Ranking4[[#This Row],[Water Supply Score (Normalized)]]*10*$BB$5)+(FMS_Ranking4[[#This Row],[FMS_Type Score Weighted]])</f>
        <v>#REF!</v>
      </c>
      <c r="BT559" s="200" t="e">
        <f>_xlfn.RANK.EQ(FMS_Ranking4[[#This Row],[Log Total Score]],FMS_Ranking4[Log Total Score],0)</f>
        <v>#REF!</v>
      </c>
      <c r="BU559" s="200" t="e">
        <f>_xlfn.XLOOKUP(FMS_Ranking4[[#This Row],[FMS ID]],#REF!,#REF!)</f>
        <v>#REF!</v>
      </c>
      <c r="BV559" s="200">
        <f>FMS_Ranking4[[#This Row],[Region Number]]</f>
        <v>9</v>
      </c>
      <c r="BW559" s="200">
        <f>FMS_Ranking4[[#This Row],[Rank (with ArcSinh normalization of select criteria)]]-FMS_Ranking4[[#This Row],[Rank
(with linear
normalization)]]</f>
        <v>-278</v>
      </c>
      <c r="BX559" s="200" t="e">
        <f>FMS_Ranking4[[#This Row],[Log Rank]]-FMS_Ranking4[[#This Row],[Rank
(with linear
normalization)]]</f>
        <v>#REF!</v>
      </c>
      <c r="BY559" s="200" t="str">
        <f>IF(FMS_Ranking4[[#This Row],[FMS Type]]="Flood Measurement and Warning",FMS_Ranking4[[#This Row],[Rank (with ArcSinh normalization of select criteria)]],"")</f>
        <v/>
      </c>
      <c r="BZ559" s="200" t="str">
        <f>IF(FMS_Ranking4[[#This Row],[FMS Type]]="Regulatory and Guidance",FMS_Ranking4[[#This Row],[Rank (with ArcSinh normalization of select criteria)]],"")</f>
        <v/>
      </c>
      <c r="CA559" s="200" t="str">
        <f>IF(FMS_Ranking4[[#This Row],[FMS Type]]="Education and Outreach",FMS_Ranking4[[#This Row],[Rank (with ArcSinh normalization of select criteria)]],"")</f>
        <v/>
      </c>
      <c r="CB559" s="200" t="str">
        <f>IF(FMS_Ranking4[[#This Row],[FMS Type]]="Property Acquisition and Structural Elevation",FMS_Ranking4[[#This Row],[Rank (with ArcSinh normalization of select criteria)]],"")</f>
        <v/>
      </c>
      <c r="CC559" s="200" t="str">
        <f>IF(FMS_Ranking4[[#This Row],[FMS Type]]="Infrastructure Projects",FMS_Ranking4[[#This Row],[Rank (with ArcSinh normalization of select criteria)]],"")</f>
        <v/>
      </c>
      <c r="CD559" s="200">
        <f>IF(FMS_Ranking4[[#This Row],[FMS Type]]="Other",FMS_Ranking4[[#This Row],[Rank (with ArcSinh normalization of select criteria)]],"")</f>
        <v>552</v>
      </c>
      <c r="CE559" s="201"/>
      <c r="CF559" s="206"/>
      <c r="CG559" s="206"/>
      <c r="CH559" s="206"/>
      <c r="CI559" s="206"/>
      <c r="CJ559" s="206"/>
      <c r="CK559" s="206"/>
      <c r="CL559" s="206"/>
      <c r="CM559" s="206"/>
      <c r="CN559" s="206"/>
      <c r="CO559" s="206"/>
      <c r="CP559" s="206"/>
      <c r="CQ559" s="206"/>
      <c r="CR559" s="206"/>
    </row>
    <row r="560" spans="2:96" ht="60" x14ac:dyDescent="0.25">
      <c r="B560" s="341" t="s">
        <v>12811</v>
      </c>
      <c r="C560" s="246">
        <f>_xlfn.XLOOKUP(FMS_Ranking4[[#This Row],[FMS ID]],FMS_Input[FMS_ID],FMS_Input[RFPG_NUM])</f>
        <v>3</v>
      </c>
      <c r="D560" s="309" t="str">
        <f>_xlfn.XLOOKUP(FMS_Ranking4[[#This Row],[FMS ID]],FMS_Input[FMS_ID],FMS_Input[FMS_NAME])</f>
        <v>Chambers County Property Acquisition</v>
      </c>
      <c r="E560" s="308" t="str">
        <f>_xlfn.XLOOKUP(FMS_Ranking4[[#This Row],[FMS ID]],FMS_Input[FMS_ID],FMS_Input[SPONSOR])</f>
        <v>00000013</v>
      </c>
      <c r="F560" s="309" t="str">
        <f>_xlfn.XLOOKUP(FMS_Ranking4[[#This Row],[FMS ID]],Sponsor[FMS_ID],Sponsor[SPONSOR NAME])</f>
        <v>Chambers</v>
      </c>
      <c r="G560" s="309" t="str">
        <f>_xlfn.XLOOKUP(FMS_Ranking4[[#This Row],[FMS ID]],FMS_Input[FMS_ID],FMS_Input[FMS_DESCR])</f>
        <v>Join the Community Rating System to reduce flood insurance premiums and flood risk for residents.</v>
      </c>
      <c r="H560" s="248" t="str">
        <f>_xlfn.XLOOKUP(FMS_Ranking4[[#This Row],[FMS ID]],FMS_Input[FMS_ID],FMS_Input[FMS_TYPE])</f>
        <v>Property Acquisition and Structural Elevation</v>
      </c>
      <c r="I560" s="249">
        <f>_xlfn.XLOOKUP(FMS_Ranking4[[#This Row],[FMS ID]],FMS_Input[FMS_ID],FMS_Input[NRNC_COST])</f>
        <v>1024000</v>
      </c>
      <c r="J560" s="250">
        <f>_xlfn.XLOOKUP(FMS_Ranking4[[#This Row],[FMS ID]],FMS_Input[FMS_ID],FMS_Input[FMS_COST])</f>
        <v>1024000</v>
      </c>
      <c r="K560" s="251" t="str">
        <f>_xlfn.XLOOKUP(FMS_Ranking4[[#This Row],[FMS ID]],FMS_Input[FMS_ID],FMS_Input[EMER_NEED])</f>
        <v>No</v>
      </c>
      <c r="L560" s="252">
        <f t="shared" si="8"/>
        <v>0</v>
      </c>
      <c r="M560" s="253">
        <f>_xlfn.XLOOKUP(FMS_Ranking4[[#This Row],[FMS ID]],FMS_Input[FMS_ID],FMS_Input[STRUCT_100])</f>
        <v>1471</v>
      </c>
      <c r="N560" s="255">
        <f>(ASINH(FMS_Ranking4[[#This Row],[Structure at Risk Raw]]))*(10)/(ASINH(M$4))</f>
        <v>6.2788493728401242</v>
      </c>
      <c r="O560" s="256">
        <f>FMS_Ranking4[[#This Row],[Structures at risk, ArcSinh (0-10)]]*M$5*10</f>
        <v>6.2788493728401251</v>
      </c>
      <c r="P560" s="253">
        <f>_xlfn.XLOOKUP(FMS_Ranking4[[#This Row],[FMS ID]],FMS_Input[FMS_ID],FMS_Input[RES_STRUCT100])</f>
        <v>832</v>
      </c>
      <c r="Q560" s="257">
        <f>ASINH(FMS_Ranking4[[#This Row],[Res Structure Raw]])/Q$4*P$5*100</f>
        <v>0</v>
      </c>
      <c r="R560" s="253">
        <f>_xlfn.XLOOKUP(FMS_Ranking4[[#This Row],[FMS ID]],FMS_Input[FMS_ID],FMS_Input[POP100])</f>
        <v>0</v>
      </c>
      <c r="S560" s="259">
        <f>(ASINH(FMS_Ranking4[[#This Row],[Pop at Risk Raw]]))*(10)/(ASINH(R$4))</f>
        <v>0</v>
      </c>
      <c r="T560" s="256">
        <f>FMS_Ranking4[[#This Row],[Population at risk, ArcSinh (0-10)]]*R$5*10</f>
        <v>0</v>
      </c>
      <c r="U560" s="253">
        <f>_xlfn.XLOOKUP(FMS_Ranking4[[#This Row],[FMS ID]],FMS_Input[FMS_ID],FMS_Input[CRITFAC100])</f>
        <v>3</v>
      </c>
      <c r="V560" s="259">
        <f>(ASINH(FMS_Ranking4[[#This Row],[Critical Facilities Raw]]))*(10)/(ASINH(U$4))</f>
        <v>2.152611706646717</v>
      </c>
      <c r="W560" s="256">
        <f>FMS_Ranking4[[#This Row],[Critical facilities at risk, ArcSinh (0-10)]]*U$5*10</f>
        <v>2.152611706646717</v>
      </c>
      <c r="X560" s="253">
        <f>_xlfn.XLOOKUP(FMS_Ranking4[[#This Row],[FMS ID]],FMS_Input[FMS_ID],FMS_Input[LWC])</f>
        <v>0</v>
      </c>
      <c r="Y560" s="259">
        <f>(ASINH(FMS_Ranking4[[#This Row],[LWC Raw]]))*(10)/(ASINH(X$4))</f>
        <v>0</v>
      </c>
      <c r="Z560" s="256">
        <f>FMS_Ranking4[[#This Row],[LWC, ArcSInh (0-10)]]*X$5*10</f>
        <v>0</v>
      </c>
      <c r="AA560" s="253">
        <f>_xlfn.XLOOKUP(FMS_Ranking4[[#This Row],[FMS ID]],FMS_Input[FMS_ID],FMS_Input[ROADCLS])</f>
        <v>0</v>
      </c>
      <c r="AB560" s="255">
        <f>(ASINH(FMS_Ranking4[[#This Row],[Road Closures Raw]]))*(10)/(ASINH(AA$4))</f>
        <v>0</v>
      </c>
      <c r="AC560" s="256">
        <f>FMS_Ranking4[[#This Row],[Road closures, ArcSinh (0-10)]]*AA$5*10</f>
        <v>0</v>
      </c>
      <c r="AD560" s="253">
        <f>_xlfn.XLOOKUP(FMS_Ranking4[[#This Row],[FMS ID]],FMS_Input[FMS_ID],FMS_Input[ROAD_MILES100])</f>
        <v>29</v>
      </c>
      <c r="AE560" s="259">
        <f>(ASINH(FMS_Ranking4[[#This Row],[Road Miles Raw]]))*(10)/(ASINH(AD$4))</f>
        <v>4.3276317846410652</v>
      </c>
      <c r="AF560" s="256">
        <f>FMS_Ranking4[[#This Row],[Length of roads at risk, ArcSinh (0-10)]]*AD$5*10</f>
        <v>4.3276317846410652</v>
      </c>
      <c r="AG560" s="253">
        <f>_xlfn.XLOOKUP(FMS_Ranking4[[#This Row],[FMS ID]],FMS_Input[FMS_ID],FMS_Input[FARMACRE100])</f>
        <v>5696.05517578125</v>
      </c>
      <c r="AH560" s="255">
        <f>(ASINH(FMS_Ranking4[[#This Row],[Ag Land Raw]]))*(10)/(ASINH(AG$4))</f>
        <v>6.0675302535873934</v>
      </c>
      <c r="AI560" s="260">
        <f>FMS_Ranking4[[#This Row],[Farm &amp; ranch land, ArcSinh (0-10)]]*AG$5*10</f>
        <v>3.0337651267936971</v>
      </c>
      <c r="AJ560" s="258">
        <f>_xlfn.XLOOKUP(FMS_Ranking4[[#This Row],[FMS ID]],FMS_Input[FMS_ID],FMS_Input[REDSTRUCT100])</f>
        <v>0</v>
      </c>
      <c r="AK560" s="253">
        <f>_xlfn.XLOOKUP(FMS_Ranking4[[#This Row],[FMS ID]],FMS_Input[FMS_ID],FMS_Input[REMSTRC100])</f>
        <v>0</v>
      </c>
      <c r="AL560" s="259">
        <f>(ASINH(FMS_Ranking4[[#This Row],[Structures Removed Raw]]))*(10)/(ASINH(AK$4))</f>
        <v>0</v>
      </c>
      <c r="AM560" s="262">
        <f>FMS_Ranking4[[#This Row],[Structures removed, ArcSinh (0-10)]]*AK$5*10</f>
        <v>0</v>
      </c>
      <c r="AN560" s="253">
        <f>_xlfn.XLOOKUP(FMS_Ranking4[[#This Row],[FMS ID]],FMS_Input[FMS_ID],FMS_Input[REMRESSTRC100])</f>
        <v>0</v>
      </c>
      <c r="AO560" s="261">
        <f>FMS_Ranking4[[#This Row],[ArcSinh Res struct removed 0-10]]*AN$5*10</f>
        <v>0</v>
      </c>
      <c r="AP560" s="260">
        <f>ASINH(FMS_Ranking4[[#This Row],[Residential Structures Removed Raw]])/AP$4*AN$5*100</f>
        <v>0</v>
      </c>
      <c r="AQ560" s="254">
        <f>(ASINH(FMS_Ranking4[[#This Row],[Residential Structures Removed Raw]]))*(10)/(ASINH(AN$4))</f>
        <v>0</v>
      </c>
      <c r="AR560" s="253">
        <f>_xlfn.XLOOKUP(FMS_Ranking4[[#This Row],[FMS ID]],FMS_Input[FMS_ID],FMS_Input[REMPOP100])</f>
        <v>0</v>
      </c>
      <c r="AS560" s="259">
        <f>(ASINH(FMS_Ranking4[[#This Row],[Removed Pop Raw]]))*(10)/(ASINH(AR$4))</f>
        <v>0</v>
      </c>
      <c r="AT560" s="262">
        <f>FMS_Ranking4[[#This Row],[Removed population, ArcSinh (0-10)]]*AR$5*10</f>
        <v>0</v>
      </c>
      <c r="AU560" s="264">
        <f>_xlfn.XLOOKUP(FMS_Ranking4[[#This Row],[FMS ID]],FMS_Input[FMS_ID],FMS_Input[REMCRITFAC100])</f>
        <v>0</v>
      </c>
      <c r="AV560" s="264">
        <f>_xlfn.XLOOKUP(FMS_Ranking4[[#This Row],[FMS ID]],FMS_Input[FMS_ID],FMS_Input[REMLWC100])</f>
        <v>0</v>
      </c>
      <c r="AW560" s="264">
        <f>_xlfn.XLOOKUP(FMS_Ranking4[[#This Row],[FMS ID]],FMS_Input[FMS_ID],FMS_Input[REMROADCLS])</f>
        <v>0</v>
      </c>
      <c r="AX560" s="264">
        <f>_xlfn.XLOOKUP(FMS_Ranking4[[#This Row],[FMS ID]],FMS_Input[FMS_ID],FMS_Input[REMFRMACRE100])</f>
        <v>0</v>
      </c>
      <c r="AY560" s="258">
        <f>_xlfn.XLOOKUP(FMS_Ranking4[[#This Row],[FMS ID]],FMS_Input[FMS_ID],FMS_Input[COSTSTRUCT])</f>
        <v>0</v>
      </c>
      <c r="AZ560" s="253">
        <f>_xlfn.XLOOKUP(FMS_Ranking4[[#This Row],[FMS ID]],FMS_Input[FMS_ID],FMS_Input[NATURE])</f>
        <v>0</v>
      </c>
      <c r="BA560" s="262">
        <f>(((FMS_Ranking4[[#This Row],[% NBS Raw]]/AZ$4)*100)*AZ$5)</f>
        <v>0</v>
      </c>
      <c r="BB560" s="251" t="str">
        <f>_xlfn.XLOOKUP(FMS_Ranking4[[#This Row],[FMS ID]],FMS_Input[FMS_ID],FMS_Input[WATER_SUP])</f>
        <v>No</v>
      </c>
      <c r="BC560" s="265">
        <f>IF(FMS_Ranking4[[#This Row],[Water Supply Raw]]="Yes",10,0)</f>
        <v>0</v>
      </c>
      <c r="BD560" s="266">
        <f>_xlfn.XLOOKUP(FMS_Ranking4[[#This Row],[FMS Type]],FMS_TYPE[FMS_Type],FMS_TYPE[Score])</f>
        <v>4</v>
      </c>
      <c r="BE560" s="267">
        <f>FMS_Ranking4[[#This Row],[FMS_Type Score]]*$BD$5*10</f>
        <v>1</v>
      </c>
      <c r="BF56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0.16136302155386462</v>
      </c>
      <c r="BG560" s="271">
        <f>_xlfn.RANK.EQ(BF560,$BF$8:$BF$870,0)+COUNTIF($BF$8:BF560,BF560)-1</f>
        <v>393</v>
      </c>
      <c r="BH560" s="268">
        <f>(((FMS_Ranking4[[#This Row],[Structures Removed Raw]]/AK$4)*100)*AK$5)+(((FMS_Ranking4[[#This Row],[Removed Pop Raw]]/AR$4)*100)*AR$5)</f>
        <v>0</v>
      </c>
      <c r="BI56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1.1613630215538646</v>
      </c>
      <c r="BJ560" s="205">
        <f>_xlfn.RANK.EQ(FMS_Ranking4[[#This Row],[Total Score 
(with linear
normalization)]],FMS_Ranking4[Total Score 
(with linear
normalization)],0)</f>
        <v>654</v>
      </c>
      <c r="BK560" s="205" t="e">
        <f>_xlfn.XLOOKUP(FMS_Ranking4[[#This Row],[FMS ID]],#REF!,#REF!)</f>
        <v>#REF!</v>
      </c>
      <c r="BL56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15.792857990921604</v>
      </c>
      <c r="BM560" s="272">
        <f>FMS_Ranking4[[#This Row],[ArcSinh Score Based on Normalized Reported Factors]]+FMS_Ranking4[[#This Row],[% NBS Score (Normalized)]]+(FMS_Ranking4[[#This Row],[Water Supply Score (Normalized)]]*10*$BB$5)+FMS_Ranking4[[#This Row],[FMS_Type Score Weighted]]</f>
        <v>16.792857990921604</v>
      </c>
      <c r="BN560" s="205">
        <f>_xlfn.RANK.EQ(FMS_Ranking4[[#This Row],[Total Score (with ArcSinh normalization of select criteria)]],FMS_Ranking4[Total Score (with ArcSinh normalization of select criteria)],0)</f>
        <v>553</v>
      </c>
      <c r="BO560" s="270" t="str">
        <f>_xlfn.XLOOKUP(FMS_Ranking4[[#This Row],[FMS ID]],FMS_Input[FMS_ID],FMS_Input[FMS_RANK_YEAR])</f>
        <v>2025 Amended Plan</v>
      </c>
      <c r="BP560" s="204" t="e">
        <f>_xlfn.XLOOKUP(FMS_Ranking4[[#This Row],[FMS ID]],Prev_Rank[FMS ID],Prev_Rank[Prev Rank])</f>
        <v>#N/A</v>
      </c>
      <c r="BQ560" s="205" t="e">
        <f>_xlfn.XLOOKUP(FMS_Ranking4[[#This Row],[FMS ID]],#REF!,#REF!)</f>
        <v>#REF!</v>
      </c>
      <c r="BR560" s="199" t="e">
        <f>SUM(#REF!,#REF!,#REF!,#REF!,#REF!,#REF!,#REF!,#REF!,#REF!,FMS_Ranking4[[#This Row],[ArcSinh Res struct removed 0-10]],#REF!)</f>
        <v>#REF!</v>
      </c>
      <c r="BS560" s="199" t="e">
        <f>FMS_Ranking4[[#This Row],[Log Score Based on Normalized Reported Factors]]+FMS_Ranking4[[#This Row],[% NBS Score (Normalized)]]+(FMS_Ranking4[[#This Row],[Water Supply Score (Normalized)]]*10*$BB$5)+(FMS_Ranking4[[#This Row],[FMS_Type Score Weighted]])</f>
        <v>#REF!</v>
      </c>
      <c r="BT560" s="200" t="e">
        <f>_xlfn.RANK.EQ(FMS_Ranking4[[#This Row],[Log Total Score]],FMS_Ranking4[Log Total Score],0)</f>
        <v>#REF!</v>
      </c>
      <c r="BU560" s="200" t="e">
        <f>_xlfn.XLOOKUP(FMS_Ranking4[[#This Row],[FMS ID]],#REF!,#REF!)</f>
        <v>#REF!</v>
      </c>
      <c r="BV560" s="200">
        <f>FMS_Ranking4[[#This Row],[Region Number]]</f>
        <v>3</v>
      </c>
      <c r="BW560" s="200">
        <f>FMS_Ranking4[[#This Row],[Rank (with ArcSinh normalization of select criteria)]]-FMS_Ranking4[[#This Row],[Rank
(with linear
normalization)]]</f>
        <v>-101</v>
      </c>
      <c r="BX560" s="200" t="e">
        <f>FMS_Ranking4[[#This Row],[Log Rank]]-FMS_Ranking4[[#This Row],[Rank
(with linear
normalization)]]</f>
        <v>#REF!</v>
      </c>
      <c r="BY560" s="200" t="str">
        <f>IF(FMS_Ranking4[[#This Row],[FMS Type]]="Flood Measurement and Warning",FMS_Ranking4[[#This Row],[Rank (with ArcSinh normalization of select criteria)]],"")</f>
        <v/>
      </c>
      <c r="BZ560" s="200" t="str">
        <f>IF(FMS_Ranking4[[#This Row],[FMS Type]]="Regulatory and Guidance",FMS_Ranking4[[#This Row],[Rank (with ArcSinh normalization of select criteria)]],"")</f>
        <v/>
      </c>
      <c r="CA560" s="200" t="str">
        <f>IF(FMS_Ranking4[[#This Row],[FMS Type]]="Education and Outreach",FMS_Ranking4[[#This Row],[Rank (with ArcSinh normalization of select criteria)]],"")</f>
        <v/>
      </c>
      <c r="CB560" s="200">
        <f>IF(FMS_Ranking4[[#This Row],[FMS Type]]="Property Acquisition and Structural Elevation",FMS_Ranking4[[#This Row],[Rank (with ArcSinh normalization of select criteria)]],"")</f>
        <v>553</v>
      </c>
      <c r="CC560" s="200" t="str">
        <f>IF(FMS_Ranking4[[#This Row],[FMS Type]]="Infrastructure Projects",FMS_Ranking4[[#This Row],[Rank (with ArcSinh normalization of select criteria)]],"")</f>
        <v/>
      </c>
      <c r="CD560" s="200" t="str">
        <f>IF(FMS_Ranking4[[#This Row],[FMS Type]]="Other",FMS_Ranking4[[#This Row],[Rank (with ArcSinh normalization of select criteria)]],"")</f>
        <v/>
      </c>
      <c r="CE560" s="201"/>
      <c r="CF560" s="206"/>
      <c r="CG560" s="206"/>
      <c r="CH560" s="206"/>
      <c r="CI560" s="206"/>
      <c r="CJ560" s="206"/>
      <c r="CK560" s="206"/>
      <c r="CL560" s="206"/>
      <c r="CM560" s="206"/>
      <c r="CN560" s="206"/>
      <c r="CO560" s="206"/>
      <c r="CP560" s="206"/>
      <c r="CQ560" s="206"/>
      <c r="CR560" s="206"/>
    </row>
    <row r="561" spans="2:96" ht="30" x14ac:dyDescent="0.25">
      <c r="B561" s="341" t="s">
        <v>2156</v>
      </c>
      <c r="C561" s="246">
        <f>_xlfn.XLOOKUP(FMS_Ranking4[[#This Row],[FMS ID]],FMS_Input[FMS_ID],FMS_Input[RFPG_NUM])</f>
        <v>3</v>
      </c>
      <c r="D561" s="309" t="str">
        <f>_xlfn.XLOOKUP(FMS_Ranking4[[#This Row],[FMS ID]],FMS_Input[FMS_ID],FMS_Input[FMS_NAME])</f>
        <v>Sunnyvale Floodplain Preservation Program</v>
      </c>
      <c r="E561" s="308" t="str">
        <f>_xlfn.XLOOKUP(FMS_Ranking4[[#This Row],[FMS ID]],FMS_Input[FMS_ID],FMS_Input[SPONSOR])</f>
        <v>Sunnyvale</v>
      </c>
      <c r="F561" s="309" t="str">
        <f>_xlfn.XLOOKUP(FMS_Ranking4[[#This Row],[FMS ID]],Sponsor[FMS_ID],Sponsor[SPONSOR NAME])</f>
        <v>Sunnyvale</v>
      </c>
      <c r="G561" s="309" t="str">
        <f>_xlfn.XLOOKUP(FMS_Ranking4[[#This Row],[FMS ID]],FMS_Input[FMS_ID],FMS_Input[FMS_DESCR])</f>
        <v>Restrict future development in high risk areas.</v>
      </c>
      <c r="H561" s="248" t="str">
        <f>_xlfn.XLOOKUP(FMS_Ranking4[[#This Row],[FMS ID]],FMS_Input[FMS_ID],FMS_Input[FMS_TYPE])</f>
        <v>Regulatory and Guidance</v>
      </c>
      <c r="I561" s="249">
        <f>_xlfn.XLOOKUP(FMS_Ranking4[[#This Row],[FMS ID]],FMS_Input[FMS_ID],FMS_Input[NRNC_COST])</f>
        <v>100000</v>
      </c>
      <c r="J561" s="250">
        <f>_xlfn.XLOOKUP(FMS_Ranking4[[#This Row],[FMS ID]],FMS_Input[FMS_ID],FMS_Input[FMS_COST])</f>
        <v>100000</v>
      </c>
      <c r="K561" s="251" t="str">
        <f>_xlfn.XLOOKUP(FMS_Ranking4[[#This Row],[FMS ID]],FMS_Input[FMS_ID],FMS_Input[EMER_NEED])</f>
        <v>No</v>
      </c>
      <c r="L561" s="252">
        <f t="shared" si="8"/>
        <v>0</v>
      </c>
      <c r="M561" s="253">
        <f>_xlfn.XLOOKUP(FMS_Ranking4[[#This Row],[FMS ID]],FMS_Input[FMS_ID],FMS_Input[STRUCT_100])</f>
        <v>54</v>
      </c>
      <c r="N561" s="255">
        <f>(ASINH(FMS_Ranking4[[#This Row],[Structure at Risk Raw]]))*(10)/(ASINH(M$4))</f>
        <v>3.6809196745952253</v>
      </c>
      <c r="O561" s="256">
        <f>FMS_Ranking4[[#This Row],[Structures at risk, ArcSinh (0-10)]]*M$5*10</f>
        <v>3.6809196745952253</v>
      </c>
      <c r="P561" s="253">
        <f>_xlfn.XLOOKUP(FMS_Ranking4[[#This Row],[FMS ID]],FMS_Input[FMS_ID],FMS_Input[RES_STRUCT100])</f>
        <v>48</v>
      </c>
      <c r="Q561" s="257">
        <f>ASINH(FMS_Ranking4[[#This Row],[Res Structure Raw]])/Q$4*P$5*100</f>
        <v>0</v>
      </c>
      <c r="R561" s="253">
        <f>_xlfn.XLOOKUP(FMS_Ranking4[[#This Row],[FMS ID]],FMS_Input[FMS_ID],FMS_Input[POP100])</f>
        <v>159</v>
      </c>
      <c r="S561" s="259">
        <f>(ASINH(FMS_Ranking4[[#This Row],[Pop at Risk Raw]]))*(10)/(ASINH(R$4))</f>
        <v>3.9778863509914486</v>
      </c>
      <c r="T561" s="256">
        <f>FMS_Ranking4[[#This Row],[Population at risk, ArcSinh (0-10)]]*R$5*10</f>
        <v>3.9778863509914486</v>
      </c>
      <c r="U561" s="253">
        <f>_xlfn.XLOOKUP(FMS_Ranking4[[#This Row],[FMS ID]],FMS_Input[FMS_ID],FMS_Input[CRITFAC100])</f>
        <v>0</v>
      </c>
      <c r="V561" s="259">
        <f>(ASINH(FMS_Ranking4[[#This Row],[Critical Facilities Raw]]))*(10)/(ASINH(U$4))</f>
        <v>0</v>
      </c>
      <c r="W561" s="256">
        <f>FMS_Ranking4[[#This Row],[Critical facilities at risk, ArcSinh (0-10)]]*U$5*10</f>
        <v>0</v>
      </c>
      <c r="X561" s="253">
        <f>_xlfn.XLOOKUP(FMS_Ranking4[[#This Row],[FMS ID]],FMS_Input[FMS_ID],FMS_Input[LWC])</f>
        <v>2</v>
      </c>
      <c r="Y561" s="259">
        <f>(ASINH(FMS_Ranking4[[#This Row],[LWC Raw]]))*(10)/(ASINH(X$4))</f>
        <v>1.9557475158633808</v>
      </c>
      <c r="Z561" s="256">
        <f>FMS_Ranking4[[#This Row],[LWC, ArcSInh (0-10)]]*X$5*10</f>
        <v>1.9557475158633808</v>
      </c>
      <c r="AA561" s="253">
        <f>_xlfn.XLOOKUP(FMS_Ranking4[[#This Row],[FMS ID]],FMS_Input[FMS_ID],FMS_Input[ROADCLS])</f>
        <v>0</v>
      </c>
      <c r="AB561" s="255">
        <f>(ASINH(FMS_Ranking4[[#This Row],[Road Closures Raw]]))*(10)/(ASINH(AA$4))</f>
        <v>0</v>
      </c>
      <c r="AC561" s="256">
        <f>FMS_Ranking4[[#This Row],[Road closures, ArcSinh (0-10)]]*AA$5*10</f>
        <v>0</v>
      </c>
      <c r="AD561" s="253">
        <f>_xlfn.XLOOKUP(FMS_Ranking4[[#This Row],[FMS ID]],FMS_Input[FMS_ID],FMS_Input[ROAD_MILES100])</f>
        <v>6</v>
      </c>
      <c r="AE561" s="259">
        <f>(ASINH(FMS_Ranking4[[#This Row],[Road Miles Raw]]))*(10)/(ASINH(AD$4))</f>
        <v>2.6555517738739667</v>
      </c>
      <c r="AF561" s="256">
        <f>FMS_Ranking4[[#This Row],[Length of roads at risk, ArcSinh (0-10)]]*AD$5*10</f>
        <v>2.6555517738739671</v>
      </c>
      <c r="AG561" s="253">
        <f>_xlfn.XLOOKUP(FMS_Ranking4[[#This Row],[FMS ID]],FMS_Input[FMS_ID],FMS_Input[FARMACRE100])</f>
        <v>1002.135009765625</v>
      </c>
      <c r="AH561" s="255">
        <f>(ASINH(FMS_Ranking4[[#This Row],[Ag Land Raw]]))*(10)/(ASINH(AG$4))</f>
        <v>4.9387909338984413</v>
      </c>
      <c r="AI561" s="260">
        <f>FMS_Ranking4[[#This Row],[Farm &amp; ranch land, ArcSinh (0-10)]]*AG$5*10</f>
        <v>2.4693954669492206</v>
      </c>
      <c r="AJ561" s="258">
        <f>_xlfn.XLOOKUP(FMS_Ranking4[[#This Row],[FMS ID]],FMS_Input[FMS_ID],FMS_Input[REDSTRUCT100])</f>
        <v>0</v>
      </c>
      <c r="AK561" s="253">
        <f>_xlfn.XLOOKUP(FMS_Ranking4[[#This Row],[FMS ID]],FMS_Input[FMS_ID],FMS_Input[REMSTRC100])</f>
        <v>0</v>
      </c>
      <c r="AL561" s="259">
        <f>(ASINH(FMS_Ranking4[[#This Row],[Structures Removed Raw]]))*(10)/(ASINH(AK$4))</f>
        <v>0</v>
      </c>
      <c r="AM561" s="262">
        <f>FMS_Ranking4[[#This Row],[Structures removed, ArcSinh (0-10)]]*AK$5*10</f>
        <v>0</v>
      </c>
      <c r="AN561" s="253">
        <f>_xlfn.XLOOKUP(FMS_Ranking4[[#This Row],[FMS ID]],FMS_Input[FMS_ID],FMS_Input[REMRESSTRC100])</f>
        <v>0</v>
      </c>
      <c r="AO561" s="261">
        <f>FMS_Ranking4[[#This Row],[ArcSinh Res struct removed 0-10]]*AN$5*10</f>
        <v>0</v>
      </c>
      <c r="AP561" s="260">
        <f>ASINH(FMS_Ranking4[[#This Row],[Residential Structures Removed Raw]])/AP$4*AN$5*100</f>
        <v>0</v>
      </c>
      <c r="AQ561" s="254">
        <f>(ASINH(FMS_Ranking4[[#This Row],[Residential Structures Removed Raw]]))*(10)/(ASINH(AN$4))</f>
        <v>0</v>
      </c>
      <c r="AR561" s="253">
        <f>_xlfn.XLOOKUP(FMS_Ranking4[[#This Row],[FMS ID]],FMS_Input[FMS_ID],FMS_Input[REMPOP100])</f>
        <v>0</v>
      </c>
      <c r="AS561" s="259">
        <f>(ASINH(FMS_Ranking4[[#This Row],[Removed Pop Raw]]))*(10)/(ASINH(AR$4))</f>
        <v>0</v>
      </c>
      <c r="AT561" s="262">
        <f>FMS_Ranking4[[#This Row],[Removed population, ArcSinh (0-10)]]*AR$5*10</f>
        <v>0</v>
      </c>
      <c r="AU561" s="264">
        <f>_xlfn.XLOOKUP(FMS_Ranking4[[#This Row],[FMS ID]],FMS_Input[FMS_ID],FMS_Input[REMCRITFAC100])</f>
        <v>0</v>
      </c>
      <c r="AV561" s="264">
        <f>_xlfn.XLOOKUP(FMS_Ranking4[[#This Row],[FMS ID]],FMS_Input[FMS_ID],FMS_Input[REMLWC100])</f>
        <v>0</v>
      </c>
      <c r="AW561" s="264">
        <f>_xlfn.XLOOKUP(FMS_Ranking4[[#This Row],[FMS ID]],FMS_Input[FMS_ID],FMS_Input[REMROADCLS])</f>
        <v>0</v>
      </c>
      <c r="AX561" s="264">
        <f>_xlfn.XLOOKUP(FMS_Ranking4[[#This Row],[FMS ID]],FMS_Input[FMS_ID],FMS_Input[REMFRMACRE100])</f>
        <v>0</v>
      </c>
      <c r="AY561" s="258">
        <f>_xlfn.XLOOKUP(FMS_Ranking4[[#This Row],[FMS ID]],FMS_Input[FMS_ID],FMS_Input[COSTSTRUCT])</f>
        <v>0</v>
      </c>
      <c r="AZ561" s="253">
        <f>_xlfn.XLOOKUP(FMS_Ranking4[[#This Row],[FMS ID]],FMS_Input[FMS_ID],FMS_Input[NATURE])</f>
        <v>0</v>
      </c>
      <c r="BA561" s="262">
        <f>(((FMS_Ranking4[[#This Row],[% NBS Raw]]/AZ$4)*100)*AZ$5)</f>
        <v>0</v>
      </c>
      <c r="BB561" s="251" t="str">
        <f>_xlfn.XLOOKUP(FMS_Ranking4[[#This Row],[FMS ID]],FMS_Input[FMS_ID],FMS_Input[WATER_SUP])</f>
        <v>No</v>
      </c>
      <c r="BC561" s="265">
        <f>IF(FMS_Ranking4[[#This Row],[Water Supply Raw]]="Yes",10,0)</f>
        <v>0</v>
      </c>
      <c r="BD561" s="266">
        <f>_xlfn.XLOOKUP(FMS_Ranking4[[#This Row],[FMS Type]],FMS_TYPE[FMS_Type],FMS_TYPE[Score])</f>
        <v>8</v>
      </c>
      <c r="BE561" s="267">
        <f>FMS_Ranking4[[#This Row],[FMS_Type Score]]*$BD$5*10</f>
        <v>2</v>
      </c>
      <c r="BF56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4.1923876680864579E-2</v>
      </c>
      <c r="BG561" s="271">
        <f>_xlfn.RANK.EQ(BF561,$BF$8:$BF$870,0)+COUNTIF($BF$8:BF561,BF561)-1</f>
        <v>573</v>
      </c>
      <c r="BH561" s="268">
        <f>(((FMS_Ranking4[[#This Row],[Structures Removed Raw]]/AK$4)*100)*AK$5)+(((FMS_Ranking4[[#This Row],[Removed Pop Raw]]/AR$4)*100)*AR$5)</f>
        <v>0</v>
      </c>
      <c r="BI56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2.0419238766808645</v>
      </c>
      <c r="BJ561" s="205">
        <f>_xlfn.RANK.EQ(FMS_Ranking4[[#This Row],[Total Score 
(with linear
normalization)]],FMS_Ranking4[Total Score 
(with linear
normalization)],0)</f>
        <v>391</v>
      </c>
      <c r="BK561" s="205" t="e">
        <f>_xlfn.XLOOKUP(FMS_Ranking4[[#This Row],[FMS ID]],#REF!,#REF!)</f>
        <v>#REF!</v>
      </c>
      <c r="BL56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14.739500782273243</v>
      </c>
      <c r="BM561" s="272">
        <f>FMS_Ranking4[[#This Row],[ArcSinh Score Based on Normalized Reported Factors]]+FMS_Ranking4[[#This Row],[% NBS Score (Normalized)]]+(FMS_Ranking4[[#This Row],[Water Supply Score (Normalized)]]*10*$BB$5)+FMS_Ranking4[[#This Row],[FMS_Type Score Weighted]]</f>
        <v>16.739500782273243</v>
      </c>
      <c r="BN561" s="205">
        <f>_xlfn.RANK.EQ(FMS_Ranking4[[#This Row],[Total Score (with ArcSinh normalization of select criteria)]],FMS_Ranking4[Total Score (with ArcSinh normalization of select criteria)],0)</f>
        <v>554</v>
      </c>
      <c r="BO561" s="270" t="str">
        <f>_xlfn.XLOOKUP(FMS_Ranking4[[#This Row],[FMS ID]],FMS_Input[FMS_ID],FMS_Input[FMS_RANK_YEAR])</f>
        <v>2023 Amended Plan</v>
      </c>
      <c r="BP561" s="204">
        <f>_xlfn.XLOOKUP(FMS_Ranking4[[#This Row],[FMS ID]],Prev_Rank[FMS ID],Prev_Rank[Prev Rank])</f>
        <v>488</v>
      </c>
      <c r="BQ561" s="205" t="e">
        <f>_xlfn.XLOOKUP(FMS_Ranking4[[#This Row],[FMS ID]],#REF!,#REF!)</f>
        <v>#REF!</v>
      </c>
      <c r="BR561" s="199" t="e">
        <f>SUM(#REF!,#REF!,#REF!,#REF!,#REF!,#REF!,#REF!,#REF!,#REF!,FMS_Ranking4[[#This Row],[ArcSinh Res struct removed 0-10]],#REF!)</f>
        <v>#REF!</v>
      </c>
      <c r="BS561" s="199" t="e">
        <f>FMS_Ranking4[[#This Row],[Log Score Based on Normalized Reported Factors]]+FMS_Ranking4[[#This Row],[% NBS Score (Normalized)]]+(FMS_Ranking4[[#This Row],[Water Supply Score (Normalized)]]*10*$BB$5)+(FMS_Ranking4[[#This Row],[FMS_Type Score Weighted]])</f>
        <v>#REF!</v>
      </c>
      <c r="BT561" s="200" t="e">
        <f>_xlfn.RANK.EQ(FMS_Ranking4[[#This Row],[Log Total Score]],FMS_Ranking4[Log Total Score],0)</f>
        <v>#REF!</v>
      </c>
      <c r="BU561" s="200" t="e">
        <f>_xlfn.XLOOKUP(FMS_Ranking4[[#This Row],[FMS ID]],#REF!,#REF!)</f>
        <v>#REF!</v>
      </c>
      <c r="BV561" s="200">
        <f>FMS_Ranking4[[#This Row],[Region Number]]</f>
        <v>3</v>
      </c>
      <c r="BW561" s="200">
        <f>FMS_Ranking4[[#This Row],[Rank (with ArcSinh normalization of select criteria)]]-FMS_Ranking4[[#This Row],[Rank
(with linear
normalization)]]</f>
        <v>163</v>
      </c>
      <c r="BX561" s="200" t="e">
        <f>FMS_Ranking4[[#This Row],[Log Rank]]-FMS_Ranking4[[#This Row],[Rank
(with linear
normalization)]]</f>
        <v>#REF!</v>
      </c>
      <c r="BY561" s="200" t="str">
        <f>IF(FMS_Ranking4[[#This Row],[FMS Type]]="Flood Measurement and Warning",FMS_Ranking4[[#This Row],[Rank (with ArcSinh normalization of select criteria)]],"")</f>
        <v/>
      </c>
      <c r="BZ561" s="200">
        <f>IF(FMS_Ranking4[[#This Row],[FMS Type]]="Regulatory and Guidance",FMS_Ranking4[[#This Row],[Rank (with ArcSinh normalization of select criteria)]],"")</f>
        <v>554</v>
      </c>
      <c r="CA561" s="200" t="str">
        <f>IF(FMS_Ranking4[[#This Row],[FMS Type]]="Education and Outreach",FMS_Ranking4[[#This Row],[Rank (with ArcSinh normalization of select criteria)]],"")</f>
        <v/>
      </c>
      <c r="CB561" s="200" t="str">
        <f>IF(FMS_Ranking4[[#This Row],[FMS Type]]="Property Acquisition and Structural Elevation",FMS_Ranking4[[#This Row],[Rank (with ArcSinh normalization of select criteria)]],"")</f>
        <v/>
      </c>
      <c r="CC561" s="200" t="str">
        <f>IF(FMS_Ranking4[[#This Row],[FMS Type]]="Infrastructure Projects",FMS_Ranking4[[#This Row],[Rank (with ArcSinh normalization of select criteria)]],"")</f>
        <v/>
      </c>
      <c r="CD561" s="200" t="str">
        <f>IF(FMS_Ranking4[[#This Row],[FMS Type]]="Other",FMS_Ranking4[[#This Row],[Rank (with ArcSinh normalization of select criteria)]],"")</f>
        <v/>
      </c>
      <c r="CE561" s="201"/>
      <c r="CF561" s="206"/>
      <c r="CG561" s="206"/>
      <c r="CH561" s="206"/>
      <c r="CI561" s="206"/>
      <c r="CJ561" s="206"/>
      <c r="CK561" s="206"/>
      <c r="CL561" s="206"/>
      <c r="CM561" s="206"/>
      <c r="CN561" s="206"/>
      <c r="CO561" s="206"/>
      <c r="CP561" s="206"/>
      <c r="CQ561" s="206"/>
      <c r="CR561" s="206"/>
    </row>
    <row r="562" spans="2:96" ht="105" x14ac:dyDescent="0.25">
      <c r="B562" s="341" t="s">
        <v>3535</v>
      </c>
      <c r="C562" s="246">
        <f>_xlfn.XLOOKUP(FMS_Ranking4[[#This Row],[FMS ID]],FMS_Input[FMS_ID],FMS_Input[RFPG_NUM])</f>
        <v>12</v>
      </c>
      <c r="D562" s="309" t="str">
        <f>_xlfn.XLOOKUP(FMS_Ranking4[[#This Row],[FMS ID]],FMS_Input[FMS_ID],FMS_Input[FMS_NAME])</f>
        <v>Public education and outreach</v>
      </c>
      <c r="E562" s="308" t="str">
        <f>_xlfn.XLOOKUP(FMS_Ranking4[[#This Row],[FMS ID]],FMS_Input[FMS_ID],FMS_Input[SPONSOR])</f>
        <v>12003180</v>
      </c>
      <c r="F562" s="309" t="str">
        <f>_xlfn.XLOOKUP(FMS_Ranking4[[#This Row],[FMS ID]],Sponsor[FMS_ID],Sponsor[SPONSOR NAME])</f>
        <v>La Vernia</v>
      </c>
      <c r="G562" s="309" t="str">
        <f>_xlfn.XLOOKUP(FMS_Ranking4[[#This Row],[FMS ID]],FMS_Input[FMS_ID],FMS_Input[FMS_DESCR])</f>
        <v>Implement public education and outreach programs to educate citizens about mitigation against (flood) hazards; seek partnership with county neighboring communities and San Antonio River Authority.</v>
      </c>
      <c r="H562" s="248" t="str">
        <f>_xlfn.XLOOKUP(FMS_Ranking4[[#This Row],[FMS ID]],FMS_Input[FMS_ID],FMS_Input[FMS_TYPE])</f>
        <v>Education and Outreach</v>
      </c>
      <c r="I562" s="249">
        <f>_xlfn.XLOOKUP(FMS_Ranking4[[#This Row],[FMS ID]],FMS_Input[FMS_ID],FMS_Input[NRNC_COST])</f>
        <v>5000</v>
      </c>
      <c r="J562" s="250">
        <f>_xlfn.XLOOKUP(FMS_Ranking4[[#This Row],[FMS ID]],FMS_Input[FMS_ID],FMS_Input[FMS_COST])</f>
        <v>5000</v>
      </c>
      <c r="K562" s="251" t="str">
        <f>_xlfn.XLOOKUP(FMS_Ranking4[[#This Row],[FMS ID]],FMS_Input[FMS_ID],FMS_Input[EMER_NEED])</f>
        <v>No</v>
      </c>
      <c r="L562" s="252">
        <f t="shared" si="8"/>
        <v>0</v>
      </c>
      <c r="M562" s="253">
        <f>_xlfn.XLOOKUP(FMS_Ranking4[[#This Row],[FMS ID]],FMS_Input[FMS_ID],FMS_Input[STRUCT_100])</f>
        <v>153</v>
      </c>
      <c r="N562" s="255">
        <f>(ASINH(FMS_Ranking4[[#This Row],[Structure at Risk Raw]]))*(10)/(ASINH(M$4))</f>
        <v>4.4995984907083697</v>
      </c>
      <c r="O562" s="256">
        <f>FMS_Ranking4[[#This Row],[Structures at risk, ArcSinh (0-10)]]*M$5*10</f>
        <v>4.4995984907083697</v>
      </c>
      <c r="P562" s="253">
        <f>_xlfn.XLOOKUP(FMS_Ranking4[[#This Row],[FMS ID]],FMS_Input[FMS_ID],FMS_Input[RES_STRUCT100])</f>
        <v>101</v>
      </c>
      <c r="Q562" s="257">
        <f>ASINH(FMS_Ranking4[[#This Row],[Res Structure Raw]])/Q$4*P$5*100</f>
        <v>0</v>
      </c>
      <c r="R562" s="253">
        <f>_xlfn.XLOOKUP(FMS_Ranking4[[#This Row],[FMS ID]],FMS_Input[FMS_ID],FMS_Input[POP100])</f>
        <v>568</v>
      </c>
      <c r="S562" s="255">
        <f>(ASINH(FMS_Ranking4[[#This Row],[Pop at Risk Raw]]))*(10)/(ASINH(R$4))</f>
        <v>4.856856027822344</v>
      </c>
      <c r="T562" s="256">
        <f>FMS_Ranking4[[#This Row],[Population at risk, ArcSinh (0-10)]]*R$5*10</f>
        <v>4.856856027822344</v>
      </c>
      <c r="U562" s="253">
        <f>_xlfn.XLOOKUP(FMS_Ranking4[[#This Row],[FMS ID]],FMS_Input[FMS_ID],FMS_Input[CRITFAC100])</f>
        <v>0</v>
      </c>
      <c r="V562" s="255">
        <f>(ASINH(FMS_Ranking4[[#This Row],[Critical Facilities Raw]]))*(10)/(ASINH(U$4))</f>
        <v>0</v>
      </c>
      <c r="W562" s="256">
        <f>FMS_Ranking4[[#This Row],[Critical facilities at risk, ArcSinh (0-10)]]*U$5*10</f>
        <v>0</v>
      </c>
      <c r="X562" s="253">
        <f>_xlfn.XLOOKUP(FMS_Ranking4[[#This Row],[FMS ID]],FMS_Input[FMS_ID],FMS_Input[LWC])</f>
        <v>0</v>
      </c>
      <c r="Y562" s="255">
        <f>(ASINH(FMS_Ranking4[[#This Row],[LWC Raw]]))*(10)/(ASINH(X$4))</f>
        <v>0</v>
      </c>
      <c r="Z562" s="256">
        <f>FMS_Ranking4[[#This Row],[LWC, ArcSInh (0-10)]]*X$5*10</f>
        <v>0</v>
      </c>
      <c r="AA562" s="253">
        <f>_xlfn.XLOOKUP(FMS_Ranking4[[#This Row],[FMS ID]],FMS_Input[FMS_ID],FMS_Input[ROADCLS])</f>
        <v>26</v>
      </c>
      <c r="AB562" s="255">
        <f>(ASINH(FMS_Ranking4[[#This Row],[Road Closures Raw]]))*(10)/(ASINH(AA$4))</f>
        <v>4.1152425981429568</v>
      </c>
      <c r="AC562" s="256">
        <f>FMS_Ranking4[[#This Row],[Road closures, ArcSinh (0-10)]]*AA$5*10</f>
        <v>2.0576212990714784</v>
      </c>
      <c r="AD562" s="253">
        <f>_xlfn.XLOOKUP(FMS_Ranking4[[#This Row],[FMS ID]],FMS_Input[FMS_ID],FMS_Input[ROAD_MILES100])</f>
        <v>4</v>
      </c>
      <c r="AE562" s="255">
        <f>(ASINH(FMS_Ranking4[[#This Row],[Road Miles Raw]]))*(10)/(ASINH(AD$4))</f>
        <v>2.2323872691766113</v>
      </c>
      <c r="AF562" s="256">
        <f>FMS_Ranking4[[#This Row],[Length of roads at risk, ArcSinh (0-10)]]*AD$5*10</f>
        <v>2.2323872691766113</v>
      </c>
      <c r="AG562" s="253">
        <f>_xlfn.XLOOKUP(FMS_Ranking4[[#This Row],[FMS ID]],FMS_Input[FMS_ID],FMS_Input[FARMACRE100])</f>
        <v>62.159999847412109</v>
      </c>
      <c r="AH562" s="255">
        <f>(ASINH(FMS_Ranking4[[#This Row],[Ag Land Raw]]))*(10)/(ASINH(AG$4))</f>
        <v>3.1328817854468589</v>
      </c>
      <c r="AI562" s="260">
        <f>FMS_Ranking4[[#This Row],[Farm &amp; ranch land, ArcSinh (0-10)]]*AG$5*10</f>
        <v>1.5664408927234297</v>
      </c>
      <c r="AJ562" s="258">
        <f>_xlfn.XLOOKUP(FMS_Ranking4[[#This Row],[FMS ID]],FMS_Input[FMS_ID],FMS_Input[REDSTRUCT100])</f>
        <v>0</v>
      </c>
      <c r="AK562" s="253">
        <f>_xlfn.XLOOKUP(FMS_Ranking4[[#This Row],[FMS ID]],FMS_Input[FMS_ID],FMS_Input[REMSTRC100])</f>
        <v>0</v>
      </c>
      <c r="AL562" s="255">
        <f>(ASINH(FMS_Ranking4[[#This Row],[Structures Removed Raw]]))*(10)/(ASINH(AK$4))</f>
        <v>0</v>
      </c>
      <c r="AM562" s="262">
        <f>FMS_Ranking4[[#This Row],[Structures removed, ArcSinh (0-10)]]*AK$5*10</f>
        <v>0</v>
      </c>
      <c r="AN562" s="253">
        <f>_xlfn.XLOOKUP(FMS_Ranking4[[#This Row],[FMS ID]],FMS_Input[FMS_ID],FMS_Input[REMRESSTRC100])</f>
        <v>0</v>
      </c>
      <c r="AO562" s="261">
        <f>FMS_Ranking4[[#This Row],[ArcSinh Res struct removed 0-10]]*AN$5*10</f>
        <v>0</v>
      </c>
      <c r="AP562" s="260">
        <f>ASINH(FMS_Ranking4[[#This Row],[Residential Structures Removed Raw]])/AP$4*AN$5*100</f>
        <v>0</v>
      </c>
      <c r="AQ562" s="258">
        <f>(ASINH(FMS_Ranking4[[#This Row],[Residential Structures Removed Raw]]))*(10)/(ASINH(AN$4))</f>
        <v>0</v>
      </c>
      <c r="AR562" s="253">
        <f>_xlfn.XLOOKUP(FMS_Ranking4[[#This Row],[FMS ID]],FMS_Input[FMS_ID],FMS_Input[REMPOP100])</f>
        <v>0</v>
      </c>
      <c r="AS562" s="255">
        <f>(ASINH(FMS_Ranking4[[#This Row],[Removed Pop Raw]]))*(10)/(ASINH(AR$4))</f>
        <v>0</v>
      </c>
      <c r="AT562" s="262">
        <f>FMS_Ranking4[[#This Row],[Removed population, ArcSinh (0-10)]]*AR$5*10</f>
        <v>0</v>
      </c>
      <c r="AU562" s="264">
        <f>_xlfn.XLOOKUP(FMS_Ranking4[[#This Row],[FMS ID]],FMS_Input[FMS_ID],FMS_Input[REMCRITFAC100])</f>
        <v>0</v>
      </c>
      <c r="AV562" s="264">
        <f>_xlfn.XLOOKUP(FMS_Ranking4[[#This Row],[FMS ID]],FMS_Input[FMS_ID],FMS_Input[REMLWC100])</f>
        <v>0</v>
      </c>
      <c r="AW562" s="264">
        <f>_xlfn.XLOOKUP(FMS_Ranking4[[#This Row],[FMS ID]],FMS_Input[FMS_ID],FMS_Input[REMROADCLS])</f>
        <v>0</v>
      </c>
      <c r="AX562" s="264">
        <f>_xlfn.XLOOKUP(FMS_Ranking4[[#This Row],[FMS ID]],FMS_Input[FMS_ID],FMS_Input[REMFRMACRE100])</f>
        <v>0</v>
      </c>
      <c r="AY562" s="258">
        <f>_xlfn.XLOOKUP(FMS_Ranking4[[#This Row],[FMS ID]],FMS_Input[FMS_ID],FMS_Input[COSTSTRUCT])</f>
        <v>0</v>
      </c>
      <c r="AZ562" s="253">
        <f>_xlfn.XLOOKUP(FMS_Ranking4[[#This Row],[FMS ID]],FMS_Input[FMS_ID],FMS_Input[NATURE])</f>
        <v>0</v>
      </c>
      <c r="BA562" s="262">
        <f>(((FMS_Ranking4[[#This Row],[% NBS Raw]]/AZ$4)*100)*AZ$5)</f>
        <v>0</v>
      </c>
      <c r="BB562" s="251" t="str">
        <f>_xlfn.XLOOKUP(FMS_Ranking4[[#This Row],[FMS ID]],FMS_Input[FMS_ID],FMS_Input[WATER_SUP])</f>
        <v>No</v>
      </c>
      <c r="BC562" s="265">
        <f>IF(FMS_Ranking4[[#This Row],[Water Supply Raw]]="Yes",10,0)</f>
        <v>0</v>
      </c>
      <c r="BD562" s="266">
        <f>_xlfn.XLOOKUP(FMS_Ranking4[[#This Row],[FMS Type]],FMS_TYPE[FMS_Type],FMS_TYPE[Score])</f>
        <v>6</v>
      </c>
      <c r="BE562" s="267">
        <f>FMS_Ranking4[[#This Row],[FMS_Type Score]]*$BD$5*10</f>
        <v>1.5000000000000002</v>
      </c>
      <c r="BF56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3.9389227151124882E-2</v>
      </c>
      <c r="BG562" s="321">
        <f>_xlfn.RANK.EQ(BF562,$BF$8:$BF$870,0)+COUNTIF($BF$8:BF562,BF562)-1</f>
        <v>582</v>
      </c>
      <c r="BH562" s="294">
        <f>(((FMS_Ranking4[[#This Row],[Structures Removed Raw]]/AK$4)*100)*AK$5)+(((FMS_Ranking4[[#This Row],[Removed Pop Raw]]/AR$4)*100)*AR$5)</f>
        <v>0</v>
      </c>
      <c r="BI56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1.5393892271511251</v>
      </c>
      <c r="BJ562" s="251">
        <f>_xlfn.RANK.EQ(FMS_Ranking4[[#This Row],[Total Score 
(with linear
normalization)]],FMS_Ranking4[Total Score 
(with linear
normalization)],0)</f>
        <v>580</v>
      </c>
      <c r="BK562" s="251" t="e">
        <f>_xlfn.XLOOKUP(FMS_Ranking4[[#This Row],[FMS ID]],#REF!,#REF!)</f>
        <v>#REF!</v>
      </c>
      <c r="BL56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15.212903979502233</v>
      </c>
      <c r="BM562" s="324">
        <f>FMS_Ranking4[[#This Row],[ArcSinh Score Based on Normalized Reported Factors]]+FMS_Ranking4[[#This Row],[% NBS Score (Normalized)]]+(FMS_Ranking4[[#This Row],[Water Supply Score (Normalized)]]*10*$BB$5)+FMS_Ranking4[[#This Row],[FMS_Type Score Weighted]]</f>
        <v>16.712903979502233</v>
      </c>
      <c r="BN562" s="251">
        <f>_xlfn.RANK.EQ(FMS_Ranking4[[#This Row],[Total Score (with ArcSinh normalization of select criteria)]],FMS_Ranking4[Total Score (with ArcSinh normalization of select criteria)],0)</f>
        <v>555</v>
      </c>
      <c r="BO562" s="270" t="str">
        <f>_xlfn.XLOOKUP(FMS_Ranking4[[#This Row],[FMS ID]],FMS_Input[FMS_ID],FMS_Input[FMS_RANK_YEAR])</f>
        <v>2023 Amended Plan</v>
      </c>
      <c r="BP562" s="204">
        <f>_xlfn.XLOOKUP(FMS_Ranking4[[#This Row],[FMS ID]],Prev_Rank[FMS ID],Prev_Rank[Prev Rank])</f>
        <v>487</v>
      </c>
      <c r="BQ562" s="251" t="e">
        <f>_xlfn.XLOOKUP(FMS_Ranking4[[#This Row],[FMS ID]],#REF!,#REF!)</f>
        <v>#REF!</v>
      </c>
      <c r="BR562" s="199" t="e">
        <f>SUM(#REF!,#REF!,#REF!,#REF!,#REF!,#REF!,#REF!,#REF!,#REF!,FMS_Ranking4[[#This Row],[ArcSinh Res struct removed 0-10]],#REF!)</f>
        <v>#REF!</v>
      </c>
      <c r="BS562" s="199" t="e">
        <f>FMS_Ranking4[[#This Row],[Log Score Based on Normalized Reported Factors]]+FMS_Ranking4[[#This Row],[% NBS Score (Normalized)]]+(FMS_Ranking4[[#This Row],[Water Supply Score (Normalized)]]*10*$BB$5)+(FMS_Ranking4[[#This Row],[FMS_Type Score Weighted]])</f>
        <v>#REF!</v>
      </c>
      <c r="BT562" s="200" t="e">
        <f>_xlfn.RANK.EQ(FMS_Ranking4[[#This Row],[Log Total Score]],FMS_Ranking4[Log Total Score],0)</f>
        <v>#REF!</v>
      </c>
      <c r="BU562" s="200" t="e">
        <f>_xlfn.XLOOKUP(FMS_Ranking4[[#This Row],[FMS ID]],#REF!,#REF!)</f>
        <v>#REF!</v>
      </c>
      <c r="BV562" s="200">
        <f>FMS_Ranking4[[#This Row],[Region Number]]</f>
        <v>12</v>
      </c>
      <c r="BW562" s="200">
        <f>FMS_Ranking4[[#This Row],[Rank (with ArcSinh normalization of select criteria)]]-FMS_Ranking4[[#This Row],[Rank
(with linear
normalization)]]</f>
        <v>-25</v>
      </c>
      <c r="BX562" s="200" t="e">
        <f>FMS_Ranking4[[#This Row],[Log Rank]]-FMS_Ranking4[[#This Row],[Rank
(with linear
normalization)]]</f>
        <v>#REF!</v>
      </c>
      <c r="BY562" s="200" t="str">
        <f>IF(FMS_Ranking4[[#This Row],[FMS Type]]="Flood Measurement and Warning",FMS_Ranking4[[#This Row],[Rank (with ArcSinh normalization of select criteria)]],"")</f>
        <v/>
      </c>
      <c r="BZ562" s="200" t="str">
        <f>IF(FMS_Ranking4[[#This Row],[FMS Type]]="Regulatory and Guidance",FMS_Ranking4[[#This Row],[Rank (with ArcSinh normalization of select criteria)]],"")</f>
        <v/>
      </c>
      <c r="CA562" s="200">
        <f>IF(FMS_Ranking4[[#This Row],[FMS Type]]="Education and Outreach",FMS_Ranking4[[#This Row],[Rank (with ArcSinh normalization of select criteria)]],"")</f>
        <v>555</v>
      </c>
      <c r="CB562" s="200" t="str">
        <f>IF(FMS_Ranking4[[#This Row],[FMS Type]]="Property Acquisition and Structural Elevation",FMS_Ranking4[[#This Row],[Rank (with ArcSinh normalization of select criteria)]],"")</f>
        <v/>
      </c>
      <c r="CC562" s="200" t="str">
        <f>IF(FMS_Ranking4[[#This Row],[FMS Type]]="Infrastructure Projects",FMS_Ranking4[[#This Row],[Rank (with ArcSinh normalization of select criteria)]],"")</f>
        <v/>
      </c>
      <c r="CD562" s="200" t="str">
        <f>IF(FMS_Ranking4[[#This Row],[FMS Type]]="Other",FMS_Ranking4[[#This Row],[Rank (with ArcSinh normalization of select criteria)]],"")</f>
        <v/>
      </c>
      <c r="CE562" s="201"/>
      <c r="CF562" s="206"/>
      <c r="CG562" s="206"/>
      <c r="CH562" s="206"/>
      <c r="CI562" s="206"/>
      <c r="CJ562" s="206"/>
      <c r="CK562" s="206"/>
      <c r="CL562" s="206"/>
      <c r="CM562" s="206"/>
      <c r="CN562" s="206"/>
      <c r="CO562" s="206"/>
      <c r="CP562" s="206"/>
      <c r="CQ562" s="206"/>
      <c r="CR562" s="206"/>
    </row>
    <row r="563" spans="2:96" ht="45" x14ac:dyDescent="0.25">
      <c r="B563" s="341" t="s">
        <v>3481</v>
      </c>
      <c r="C563" s="246">
        <f>_xlfn.XLOOKUP(FMS_Ranking4[[#This Row],[FMS ID]],FMS_Input[FMS_ID],FMS_Input[RFPG_NUM])</f>
        <v>12</v>
      </c>
      <c r="D563" s="309" t="str">
        <f>_xlfn.XLOOKUP(FMS_Ranking4[[#This Row],[FMS ID]],FMS_Input[FMS_ID],FMS_Input[FMS_NAME])</f>
        <v>Education Signage</v>
      </c>
      <c r="E563" s="308" t="str">
        <f>_xlfn.XLOOKUP(FMS_Ranking4[[#This Row],[FMS ID]],FMS_Input[FMS_ID],FMS_Input[SPONSOR])</f>
        <v>12003181</v>
      </c>
      <c r="F563" s="309" t="str">
        <f>_xlfn.XLOOKUP(FMS_Ranking4[[#This Row],[FMS ID]],Sponsor[FMS_ID],Sponsor[SPONSOR NAME])</f>
        <v>Poth</v>
      </c>
      <c r="G563" s="309" t="str">
        <f>_xlfn.XLOOKUP(FMS_Ranking4[[#This Row],[FMS ID]],FMS_Input[FMS_ID],FMS_Input[FMS_DESCR])</f>
        <v>Install educational signage such as "Turn around don't drown" at high risk low water crossings.</v>
      </c>
      <c r="H563" s="248" t="str">
        <f>_xlfn.XLOOKUP(FMS_Ranking4[[#This Row],[FMS ID]],FMS_Input[FMS_ID],FMS_Input[FMS_TYPE])</f>
        <v>Education and Outreach</v>
      </c>
      <c r="I563" s="249">
        <f>_xlfn.XLOOKUP(FMS_Ranking4[[#This Row],[FMS ID]],FMS_Input[FMS_ID],FMS_Input[NRNC_COST])</f>
        <v>5000</v>
      </c>
      <c r="J563" s="250">
        <f>_xlfn.XLOOKUP(FMS_Ranking4[[#This Row],[FMS ID]],FMS_Input[FMS_ID],FMS_Input[FMS_COST])</f>
        <v>5000</v>
      </c>
      <c r="K563" s="251" t="str">
        <f>_xlfn.XLOOKUP(FMS_Ranking4[[#This Row],[FMS ID]],FMS_Input[FMS_ID],FMS_Input[EMER_NEED])</f>
        <v>Yes</v>
      </c>
      <c r="L563" s="252">
        <f t="shared" si="8"/>
        <v>1</v>
      </c>
      <c r="M563" s="253">
        <f>_xlfn.XLOOKUP(FMS_Ranking4[[#This Row],[FMS ID]],FMS_Input[FMS_ID],FMS_Input[STRUCT_100])</f>
        <v>69</v>
      </c>
      <c r="N563" s="255">
        <f>(ASINH(FMS_Ranking4[[#This Row],[Structure at Risk Raw]]))*(10)/(ASINH(M$4))</f>
        <v>3.8735963102410209</v>
      </c>
      <c r="O563" s="256">
        <f>FMS_Ranking4[[#This Row],[Structures at risk, ArcSinh (0-10)]]*M$5*10</f>
        <v>3.8735963102410209</v>
      </c>
      <c r="P563" s="253">
        <f>_xlfn.XLOOKUP(FMS_Ranking4[[#This Row],[FMS ID]],FMS_Input[FMS_ID],FMS_Input[RES_STRUCT100])</f>
        <v>50</v>
      </c>
      <c r="Q563" s="257">
        <f>ASINH(FMS_Ranking4[[#This Row],[Res Structure Raw]])/Q$4*P$5*100</f>
        <v>0</v>
      </c>
      <c r="R563" s="253">
        <f>_xlfn.XLOOKUP(FMS_Ranking4[[#This Row],[FMS ID]],FMS_Input[FMS_ID],FMS_Input[POP100])</f>
        <v>100</v>
      </c>
      <c r="S563" s="259">
        <f>(ASINH(FMS_Ranking4[[#This Row],[Pop at Risk Raw]]))*(10)/(ASINH(R$4))</f>
        <v>3.657754193512468</v>
      </c>
      <c r="T563" s="256">
        <f>FMS_Ranking4[[#This Row],[Population at risk, ArcSinh (0-10)]]*R$5*10</f>
        <v>3.657754193512468</v>
      </c>
      <c r="U563" s="253">
        <f>_xlfn.XLOOKUP(FMS_Ranking4[[#This Row],[FMS ID]],FMS_Input[FMS_ID],FMS_Input[CRITFAC100])</f>
        <v>0</v>
      </c>
      <c r="V563" s="259">
        <f>(ASINH(FMS_Ranking4[[#This Row],[Critical Facilities Raw]]))*(10)/(ASINH(U$4))</f>
        <v>0</v>
      </c>
      <c r="W563" s="256">
        <f>FMS_Ranking4[[#This Row],[Critical facilities at risk, ArcSinh (0-10)]]*U$5*10</f>
        <v>0</v>
      </c>
      <c r="X563" s="253">
        <f>_xlfn.XLOOKUP(FMS_Ranking4[[#This Row],[FMS ID]],FMS_Input[FMS_ID],FMS_Input[LWC])</f>
        <v>5</v>
      </c>
      <c r="Y563" s="259">
        <f>(ASINH(FMS_Ranking4[[#This Row],[LWC Raw]]))*(10)/(ASINH(X$4))</f>
        <v>3.1327475801820781</v>
      </c>
      <c r="Z563" s="256">
        <f>FMS_Ranking4[[#This Row],[LWC, ArcSInh (0-10)]]*X$5*10</f>
        <v>3.1327475801820781</v>
      </c>
      <c r="AA563" s="253">
        <f>_xlfn.XLOOKUP(FMS_Ranking4[[#This Row],[FMS ID]],FMS_Input[FMS_ID],FMS_Input[ROADCLS])</f>
        <v>25</v>
      </c>
      <c r="AB563" s="255">
        <f>(ASINH(FMS_Ranking4[[#This Row],[Road Closures Raw]]))*(10)/(ASINH(AA$4))</f>
        <v>4.0744292160615396</v>
      </c>
      <c r="AC563" s="256">
        <f>FMS_Ranking4[[#This Row],[Road closures, ArcSinh (0-10)]]*AA$5*10</f>
        <v>2.0372146080307698</v>
      </c>
      <c r="AD563" s="253">
        <f>_xlfn.XLOOKUP(FMS_Ranking4[[#This Row],[FMS ID]],FMS_Input[FMS_ID],FMS_Input[ROAD_MILES100])</f>
        <v>2</v>
      </c>
      <c r="AE563" s="259">
        <f>(ASINH(FMS_Ranking4[[#This Row],[Road Miles Raw]]))*(10)/(ASINH(AD$4))</f>
        <v>1.5385182374234352</v>
      </c>
      <c r="AF563" s="256">
        <f>FMS_Ranking4[[#This Row],[Length of roads at risk, ArcSinh (0-10)]]*AD$5*10</f>
        <v>1.5385182374234352</v>
      </c>
      <c r="AG563" s="253">
        <f>_xlfn.XLOOKUP(FMS_Ranking4[[#This Row],[FMS ID]],FMS_Input[FMS_ID],FMS_Input[FARMACRE100])</f>
        <v>9.7600002288818359</v>
      </c>
      <c r="AH563" s="255">
        <f>(ASINH(FMS_Ranking4[[#This Row],[Ag Land Raw]]))*(10)/(ASINH(AG$4))</f>
        <v>1.9318902339550028</v>
      </c>
      <c r="AI563" s="260">
        <f>FMS_Ranking4[[#This Row],[Farm &amp; ranch land, ArcSinh (0-10)]]*AG$5*10</f>
        <v>0.96594511697750141</v>
      </c>
      <c r="AJ563" s="258">
        <f>_xlfn.XLOOKUP(FMS_Ranking4[[#This Row],[FMS ID]],FMS_Input[FMS_ID],FMS_Input[REDSTRUCT100])</f>
        <v>0</v>
      </c>
      <c r="AK563" s="253">
        <f>_xlfn.XLOOKUP(FMS_Ranking4[[#This Row],[FMS ID]],FMS_Input[FMS_ID],FMS_Input[REMSTRC100])</f>
        <v>0</v>
      </c>
      <c r="AL563" s="259">
        <f>(ASINH(FMS_Ranking4[[#This Row],[Structures Removed Raw]]))*(10)/(ASINH(AK$4))</f>
        <v>0</v>
      </c>
      <c r="AM563" s="262">
        <f>FMS_Ranking4[[#This Row],[Structures removed, ArcSinh (0-10)]]*AK$5*10</f>
        <v>0</v>
      </c>
      <c r="AN563" s="253">
        <f>_xlfn.XLOOKUP(FMS_Ranking4[[#This Row],[FMS ID]],FMS_Input[FMS_ID],FMS_Input[REMRESSTRC100])</f>
        <v>0</v>
      </c>
      <c r="AO563" s="261">
        <f>FMS_Ranking4[[#This Row],[ArcSinh Res struct removed 0-10]]*AN$5*10</f>
        <v>0</v>
      </c>
      <c r="AP563" s="260">
        <f>ASINH(FMS_Ranking4[[#This Row],[Residential Structures Removed Raw]])/AP$4*AN$5*100</f>
        <v>0</v>
      </c>
      <c r="AQ563" s="254">
        <f>(ASINH(FMS_Ranking4[[#This Row],[Residential Structures Removed Raw]]))*(10)/(ASINH(AN$4))</f>
        <v>0</v>
      </c>
      <c r="AR563" s="253">
        <f>_xlfn.XLOOKUP(FMS_Ranking4[[#This Row],[FMS ID]],FMS_Input[FMS_ID],FMS_Input[REMPOP100])</f>
        <v>0</v>
      </c>
      <c r="AS563" s="259">
        <f>(ASINH(FMS_Ranking4[[#This Row],[Removed Pop Raw]]))*(10)/(ASINH(AR$4))</f>
        <v>0</v>
      </c>
      <c r="AT563" s="262">
        <f>FMS_Ranking4[[#This Row],[Removed population, ArcSinh (0-10)]]*AR$5*10</f>
        <v>0</v>
      </c>
      <c r="AU563" s="264">
        <f>_xlfn.XLOOKUP(FMS_Ranking4[[#This Row],[FMS ID]],FMS_Input[FMS_ID],FMS_Input[REMCRITFAC100])</f>
        <v>0</v>
      </c>
      <c r="AV563" s="264">
        <f>_xlfn.XLOOKUP(FMS_Ranking4[[#This Row],[FMS ID]],FMS_Input[FMS_ID],FMS_Input[REMLWC100])</f>
        <v>0</v>
      </c>
      <c r="AW563" s="264">
        <f>_xlfn.XLOOKUP(FMS_Ranking4[[#This Row],[FMS ID]],FMS_Input[FMS_ID],FMS_Input[REMROADCLS])</f>
        <v>0</v>
      </c>
      <c r="AX563" s="264">
        <f>_xlfn.XLOOKUP(FMS_Ranking4[[#This Row],[FMS ID]],FMS_Input[FMS_ID],FMS_Input[REMFRMACRE100])</f>
        <v>0</v>
      </c>
      <c r="AY563" s="258">
        <f>_xlfn.XLOOKUP(FMS_Ranking4[[#This Row],[FMS ID]],FMS_Input[FMS_ID],FMS_Input[COSTSTRUCT])</f>
        <v>0</v>
      </c>
      <c r="AZ563" s="253">
        <f>_xlfn.XLOOKUP(FMS_Ranking4[[#This Row],[FMS ID]],FMS_Input[FMS_ID],FMS_Input[NATURE])</f>
        <v>0</v>
      </c>
      <c r="BA563" s="262">
        <f>(((FMS_Ranking4[[#This Row],[% NBS Raw]]/AZ$4)*100)*AZ$5)</f>
        <v>0</v>
      </c>
      <c r="BB563" s="251" t="str">
        <f>_xlfn.XLOOKUP(FMS_Ranking4[[#This Row],[FMS ID]],FMS_Input[FMS_ID],FMS_Input[WATER_SUP])</f>
        <v>No</v>
      </c>
      <c r="BC563" s="265">
        <f>IF(FMS_Ranking4[[#This Row],[Water Supply Raw]]="Yes",10,0)</f>
        <v>0</v>
      </c>
      <c r="BD563" s="266">
        <f>_xlfn.XLOOKUP(FMS_Ranking4[[#This Row],[FMS Type]],FMS_TYPE[FMS_Type],FMS_TYPE[Score])</f>
        <v>6</v>
      </c>
      <c r="BE563" s="267">
        <f>FMS_Ranking4[[#This Row],[FMS_Type Score]]*$BD$5*10</f>
        <v>1.5000000000000002</v>
      </c>
      <c r="BF56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8.76931557005904E-2</v>
      </c>
      <c r="BG563" s="271">
        <f>_xlfn.RANK.EQ(BF563,$BF$8:$BF$870,0)+COUNTIF($BF$8:BF563,BF563)-1</f>
        <v>502</v>
      </c>
      <c r="BH563" s="268">
        <f>(((FMS_Ranking4[[#This Row],[Structures Removed Raw]]/AK$4)*100)*AK$5)+(((FMS_Ranking4[[#This Row],[Removed Pop Raw]]/AR$4)*100)*AR$5)</f>
        <v>0</v>
      </c>
      <c r="BI56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1.5876931557005907</v>
      </c>
      <c r="BJ563" s="205">
        <f>_xlfn.RANK.EQ(FMS_Ranking4[[#This Row],[Total Score 
(with linear
normalization)]],FMS_Ranking4[Total Score 
(with linear
normalization)],0)</f>
        <v>567</v>
      </c>
      <c r="BK563" s="205" t="e">
        <f>_xlfn.XLOOKUP(FMS_Ranking4[[#This Row],[FMS ID]],#REF!,#REF!)</f>
        <v>#REF!</v>
      </c>
      <c r="BL56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15.205776046367273</v>
      </c>
      <c r="BM563" s="272">
        <f>FMS_Ranking4[[#This Row],[ArcSinh Score Based on Normalized Reported Factors]]+FMS_Ranking4[[#This Row],[% NBS Score (Normalized)]]+(FMS_Ranking4[[#This Row],[Water Supply Score (Normalized)]]*10*$BB$5)+FMS_Ranking4[[#This Row],[FMS_Type Score Weighted]]</f>
        <v>16.705776046367273</v>
      </c>
      <c r="BN563" s="205">
        <f>_xlfn.RANK.EQ(FMS_Ranking4[[#This Row],[Total Score (with ArcSinh normalization of select criteria)]],FMS_Ranking4[Total Score (with ArcSinh normalization of select criteria)],0)</f>
        <v>556</v>
      </c>
      <c r="BO563" s="270" t="str">
        <f>_xlfn.XLOOKUP(FMS_Ranking4[[#This Row],[FMS ID]],FMS_Input[FMS_ID],FMS_Input[FMS_RANK_YEAR])</f>
        <v>2023 Amended Plan</v>
      </c>
      <c r="BP563" s="204">
        <f>_xlfn.XLOOKUP(FMS_Ranking4[[#This Row],[FMS ID]],Prev_Rank[FMS ID],Prev_Rank[Prev Rank])</f>
        <v>494</v>
      </c>
      <c r="BQ563" s="205" t="e">
        <f>_xlfn.XLOOKUP(FMS_Ranking4[[#This Row],[FMS ID]],#REF!,#REF!)</f>
        <v>#REF!</v>
      </c>
      <c r="BR563" s="199" t="e">
        <f>SUM(#REF!,#REF!,#REF!,#REF!,#REF!,#REF!,#REF!,#REF!,#REF!,FMS_Ranking4[[#This Row],[ArcSinh Res struct removed 0-10]],#REF!)</f>
        <v>#REF!</v>
      </c>
      <c r="BS563" s="199" t="e">
        <f>FMS_Ranking4[[#This Row],[Log Score Based on Normalized Reported Factors]]+FMS_Ranking4[[#This Row],[% NBS Score (Normalized)]]+(FMS_Ranking4[[#This Row],[Water Supply Score (Normalized)]]*10*$BB$5)+(FMS_Ranking4[[#This Row],[FMS_Type Score Weighted]])</f>
        <v>#REF!</v>
      </c>
      <c r="BT563" s="200" t="e">
        <f>_xlfn.RANK.EQ(FMS_Ranking4[[#This Row],[Log Total Score]],FMS_Ranking4[Log Total Score],0)</f>
        <v>#REF!</v>
      </c>
      <c r="BU563" s="200" t="e">
        <f>_xlfn.XLOOKUP(FMS_Ranking4[[#This Row],[FMS ID]],#REF!,#REF!)</f>
        <v>#REF!</v>
      </c>
      <c r="BV563" s="200">
        <f>FMS_Ranking4[[#This Row],[Region Number]]</f>
        <v>12</v>
      </c>
      <c r="BW563" s="200">
        <f>FMS_Ranking4[[#This Row],[Rank (with ArcSinh normalization of select criteria)]]-FMS_Ranking4[[#This Row],[Rank
(with linear
normalization)]]</f>
        <v>-11</v>
      </c>
      <c r="BX563" s="200" t="e">
        <f>FMS_Ranking4[[#This Row],[Log Rank]]-FMS_Ranking4[[#This Row],[Rank
(with linear
normalization)]]</f>
        <v>#REF!</v>
      </c>
      <c r="BY563" s="200" t="str">
        <f>IF(FMS_Ranking4[[#This Row],[FMS Type]]="Flood Measurement and Warning",FMS_Ranking4[[#This Row],[Rank (with ArcSinh normalization of select criteria)]],"")</f>
        <v/>
      </c>
      <c r="BZ563" s="200" t="str">
        <f>IF(FMS_Ranking4[[#This Row],[FMS Type]]="Regulatory and Guidance",FMS_Ranking4[[#This Row],[Rank (with ArcSinh normalization of select criteria)]],"")</f>
        <v/>
      </c>
      <c r="CA563" s="200">
        <f>IF(FMS_Ranking4[[#This Row],[FMS Type]]="Education and Outreach",FMS_Ranking4[[#This Row],[Rank (with ArcSinh normalization of select criteria)]],"")</f>
        <v>556</v>
      </c>
      <c r="CB563" s="200" t="str">
        <f>IF(FMS_Ranking4[[#This Row],[FMS Type]]="Property Acquisition and Structural Elevation",FMS_Ranking4[[#This Row],[Rank (with ArcSinh normalization of select criteria)]],"")</f>
        <v/>
      </c>
      <c r="CC563" s="200" t="str">
        <f>IF(FMS_Ranking4[[#This Row],[FMS Type]]="Infrastructure Projects",FMS_Ranking4[[#This Row],[Rank (with ArcSinh normalization of select criteria)]],"")</f>
        <v/>
      </c>
      <c r="CD563" s="200" t="str">
        <f>IF(FMS_Ranking4[[#This Row],[FMS Type]]="Other",FMS_Ranking4[[#This Row],[Rank (with ArcSinh normalization of select criteria)]],"")</f>
        <v/>
      </c>
      <c r="CE563" s="201"/>
      <c r="CF563" s="206"/>
      <c r="CG563" s="206"/>
      <c r="CH563" s="206"/>
      <c r="CI563" s="206"/>
      <c r="CJ563" s="206"/>
      <c r="CK563" s="206"/>
      <c r="CL563" s="206"/>
      <c r="CM563" s="206"/>
      <c r="CN563" s="206"/>
      <c r="CO563" s="206"/>
      <c r="CP563" s="206"/>
      <c r="CQ563" s="206"/>
      <c r="CR563" s="206"/>
    </row>
    <row r="564" spans="2:96" ht="60" x14ac:dyDescent="0.25">
      <c r="B564" s="341" t="s">
        <v>3489</v>
      </c>
      <c r="C564" s="246">
        <f>_xlfn.XLOOKUP(FMS_Ranking4[[#This Row],[FMS ID]],FMS_Input[FMS_ID],FMS_Input[RFPG_NUM])</f>
        <v>12</v>
      </c>
      <c r="D564" s="309" t="str">
        <f>_xlfn.XLOOKUP(FMS_Ranking4[[#This Row],[FMS ID]],FMS_Input[FMS_ID],FMS_Input[FMS_NAME])</f>
        <v>Early warning system education</v>
      </c>
      <c r="E564" s="308" t="str">
        <f>_xlfn.XLOOKUP(FMS_Ranking4[[#This Row],[FMS ID]],FMS_Input[FMS_ID],FMS_Input[SPONSOR])</f>
        <v>12003181</v>
      </c>
      <c r="F564" s="309" t="str">
        <f>_xlfn.XLOOKUP(FMS_Ranking4[[#This Row],[FMS ID]],Sponsor[FMS_ID],Sponsor[SPONSOR NAME])</f>
        <v>Poth</v>
      </c>
      <c r="G564" s="309" t="str">
        <f>_xlfn.XLOOKUP(FMS_Ranking4[[#This Row],[FMS ID]],FMS_Input[FMS_ID],FMS_Input[FMS_DESCR])</f>
        <v>Alert the population through education material, media and other methods about enrolling in the early warning system</v>
      </c>
      <c r="H564" s="248" t="str">
        <f>_xlfn.XLOOKUP(FMS_Ranking4[[#This Row],[FMS ID]],FMS_Input[FMS_ID],FMS_Input[FMS_TYPE])</f>
        <v>Education and Outreach</v>
      </c>
      <c r="I564" s="249">
        <f>_xlfn.XLOOKUP(FMS_Ranking4[[#This Row],[FMS ID]],FMS_Input[FMS_ID],FMS_Input[NRNC_COST])</f>
        <v>5000</v>
      </c>
      <c r="J564" s="250">
        <f>_xlfn.XLOOKUP(FMS_Ranking4[[#This Row],[FMS ID]],FMS_Input[FMS_ID],FMS_Input[FMS_COST])</f>
        <v>5000</v>
      </c>
      <c r="K564" s="251" t="str">
        <f>_xlfn.XLOOKUP(FMS_Ranking4[[#This Row],[FMS ID]],FMS_Input[FMS_ID],FMS_Input[EMER_NEED])</f>
        <v>Yes</v>
      </c>
      <c r="L564" s="252">
        <f t="shared" si="8"/>
        <v>1</v>
      </c>
      <c r="M564" s="253">
        <f>_xlfn.XLOOKUP(FMS_Ranking4[[#This Row],[FMS ID]],FMS_Input[FMS_ID],FMS_Input[STRUCT_100])</f>
        <v>69</v>
      </c>
      <c r="N564" s="255">
        <f>(ASINH(FMS_Ranking4[[#This Row],[Structure at Risk Raw]]))*(10)/(ASINH(M$4))</f>
        <v>3.8735963102410209</v>
      </c>
      <c r="O564" s="256">
        <f>FMS_Ranking4[[#This Row],[Structures at risk, ArcSinh (0-10)]]*M$5*10</f>
        <v>3.8735963102410209</v>
      </c>
      <c r="P564" s="253">
        <f>_xlfn.XLOOKUP(FMS_Ranking4[[#This Row],[FMS ID]],FMS_Input[FMS_ID],FMS_Input[RES_STRUCT100])</f>
        <v>50</v>
      </c>
      <c r="Q564" s="257">
        <f>ASINH(FMS_Ranking4[[#This Row],[Res Structure Raw]])/Q$4*P$5*100</f>
        <v>0</v>
      </c>
      <c r="R564" s="253">
        <f>_xlfn.XLOOKUP(FMS_Ranking4[[#This Row],[FMS ID]],FMS_Input[FMS_ID],FMS_Input[POP100])</f>
        <v>100</v>
      </c>
      <c r="S564" s="259">
        <f>(ASINH(FMS_Ranking4[[#This Row],[Pop at Risk Raw]]))*(10)/(ASINH(R$4))</f>
        <v>3.657754193512468</v>
      </c>
      <c r="T564" s="256">
        <f>FMS_Ranking4[[#This Row],[Population at risk, ArcSinh (0-10)]]*R$5*10</f>
        <v>3.657754193512468</v>
      </c>
      <c r="U564" s="253">
        <f>_xlfn.XLOOKUP(FMS_Ranking4[[#This Row],[FMS ID]],FMS_Input[FMS_ID],FMS_Input[CRITFAC100])</f>
        <v>0</v>
      </c>
      <c r="V564" s="259">
        <f>(ASINH(FMS_Ranking4[[#This Row],[Critical Facilities Raw]]))*(10)/(ASINH(U$4))</f>
        <v>0</v>
      </c>
      <c r="W564" s="256">
        <f>FMS_Ranking4[[#This Row],[Critical facilities at risk, ArcSinh (0-10)]]*U$5*10</f>
        <v>0</v>
      </c>
      <c r="X564" s="253">
        <f>_xlfn.XLOOKUP(FMS_Ranking4[[#This Row],[FMS ID]],FMS_Input[FMS_ID],FMS_Input[LWC])</f>
        <v>5</v>
      </c>
      <c r="Y564" s="259">
        <f>(ASINH(FMS_Ranking4[[#This Row],[LWC Raw]]))*(10)/(ASINH(X$4))</f>
        <v>3.1327475801820781</v>
      </c>
      <c r="Z564" s="256">
        <f>FMS_Ranking4[[#This Row],[LWC, ArcSInh (0-10)]]*X$5*10</f>
        <v>3.1327475801820781</v>
      </c>
      <c r="AA564" s="253">
        <f>_xlfn.XLOOKUP(FMS_Ranking4[[#This Row],[FMS ID]],FMS_Input[FMS_ID],FMS_Input[ROADCLS])</f>
        <v>25</v>
      </c>
      <c r="AB564" s="255">
        <f>(ASINH(FMS_Ranking4[[#This Row],[Road Closures Raw]]))*(10)/(ASINH(AA$4))</f>
        <v>4.0744292160615396</v>
      </c>
      <c r="AC564" s="256">
        <f>FMS_Ranking4[[#This Row],[Road closures, ArcSinh (0-10)]]*AA$5*10</f>
        <v>2.0372146080307698</v>
      </c>
      <c r="AD564" s="253">
        <f>_xlfn.XLOOKUP(FMS_Ranking4[[#This Row],[FMS ID]],FMS_Input[FMS_ID],FMS_Input[ROAD_MILES100])</f>
        <v>2</v>
      </c>
      <c r="AE564" s="259">
        <f>(ASINH(FMS_Ranking4[[#This Row],[Road Miles Raw]]))*(10)/(ASINH(AD$4))</f>
        <v>1.5385182374234352</v>
      </c>
      <c r="AF564" s="256">
        <f>FMS_Ranking4[[#This Row],[Length of roads at risk, ArcSinh (0-10)]]*AD$5*10</f>
        <v>1.5385182374234352</v>
      </c>
      <c r="AG564" s="253">
        <f>_xlfn.XLOOKUP(FMS_Ranking4[[#This Row],[FMS ID]],FMS_Input[FMS_ID],FMS_Input[FARMACRE100])</f>
        <v>9.7600002288818359</v>
      </c>
      <c r="AH564" s="255">
        <f>(ASINH(FMS_Ranking4[[#This Row],[Ag Land Raw]]))*(10)/(ASINH(AG$4))</f>
        <v>1.9318902339550028</v>
      </c>
      <c r="AI564" s="260">
        <f>FMS_Ranking4[[#This Row],[Farm &amp; ranch land, ArcSinh (0-10)]]*AG$5*10</f>
        <v>0.96594511697750141</v>
      </c>
      <c r="AJ564" s="258">
        <f>_xlfn.XLOOKUP(FMS_Ranking4[[#This Row],[FMS ID]],FMS_Input[FMS_ID],FMS_Input[REDSTRUCT100])</f>
        <v>0</v>
      </c>
      <c r="AK564" s="253">
        <f>_xlfn.XLOOKUP(FMS_Ranking4[[#This Row],[FMS ID]],FMS_Input[FMS_ID],FMS_Input[REMSTRC100])</f>
        <v>0</v>
      </c>
      <c r="AL564" s="259">
        <f>(ASINH(FMS_Ranking4[[#This Row],[Structures Removed Raw]]))*(10)/(ASINH(AK$4))</f>
        <v>0</v>
      </c>
      <c r="AM564" s="262">
        <f>FMS_Ranking4[[#This Row],[Structures removed, ArcSinh (0-10)]]*AK$5*10</f>
        <v>0</v>
      </c>
      <c r="AN564" s="253">
        <f>_xlfn.XLOOKUP(FMS_Ranking4[[#This Row],[FMS ID]],FMS_Input[FMS_ID],FMS_Input[REMRESSTRC100])</f>
        <v>0</v>
      </c>
      <c r="AO564" s="261">
        <f>FMS_Ranking4[[#This Row],[ArcSinh Res struct removed 0-10]]*AN$5*10</f>
        <v>0</v>
      </c>
      <c r="AP564" s="260">
        <f>ASINH(FMS_Ranking4[[#This Row],[Residential Structures Removed Raw]])/AP$4*AN$5*100</f>
        <v>0</v>
      </c>
      <c r="AQ564" s="254">
        <f>(ASINH(FMS_Ranking4[[#This Row],[Residential Structures Removed Raw]]))*(10)/(ASINH(AN$4))</f>
        <v>0</v>
      </c>
      <c r="AR564" s="253">
        <f>_xlfn.XLOOKUP(FMS_Ranking4[[#This Row],[FMS ID]],FMS_Input[FMS_ID],FMS_Input[REMPOP100])</f>
        <v>0</v>
      </c>
      <c r="AS564" s="259">
        <f>(ASINH(FMS_Ranking4[[#This Row],[Removed Pop Raw]]))*(10)/(ASINH(AR$4))</f>
        <v>0</v>
      </c>
      <c r="AT564" s="262">
        <f>FMS_Ranking4[[#This Row],[Removed population, ArcSinh (0-10)]]*AR$5*10</f>
        <v>0</v>
      </c>
      <c r="AU564" s="264">
        <f>_xlfn.XLOOKUP(FMS_Ranking4[[#This Row],[FMS ID]],FMS_Input[FMS_ID],FMS_Input[REMCRITFAC100])</f>
        <v>0</v>
      </c>
      <c r="AV564" s="264">
        <f>_xlfn.XLOOKUP(FMS_Ranking4[[#This Row],[FMS ID]],FMS_Input[FMS_ID],FMS_Input[REMLWC100])</f>
        <v>0</v>
      </c>
      <c r="AW564" s="264">
        <f>_xlfn.XLOOKUP(FMS_Ranking4[[#This Row],[FMS ID]],FMS_Input[FMS_ID],FMS_Input[REMROADCLS])</f>
        <v>0</v>
      </c>
      <c r="AX564" s="264">
        <f>_xlfn.XLOOKUP(FMS_Ranking4[[#This Row],[FMS ID]],FMS_Input[FMS_ID],FMS_Input[REMFRMACRE100])</f>
        <v>0</v>
      </c>
      <c r="AY564" s="258">
        <f>_xlfn.XLOOKUP(FMS_Ranking4[[#This Row],[FMS ID]],FMS_Input[FMS_ID],FMS_Input[COSTSTRUCT])</f>
        <v>0</v>
      </c>
      <c r="AZ564" s="253">
        <f>_xlfn.XLOOKUP(FMS_Ranking4[[#This Row],[FMS ID]],FMS_Input[FMS_ID],FMS_Input[NATURE])</f>
        <v>0</v>
      </c>
      <c r="BA564" s="262">
        <f>(((FMS_Ranking4[[#This Row],[% NBS Raw]]/AZ$4)*100)*AZ$5)</f>
        <v>0</v>
      </c>
      <c r="BB564" s="251" t="str">
        <f>_xlfn.XLOOKUP(FMS_Ranking4[[#This Row],[FMS ID]],FMS_Input[FMS_ID],FMS_Input[WATER_SUP])</f>
        <v>No</v>
      </c>
      <c r="BC564" s="265">
        <f>IF(FMS_Ranking4[[#This Row],[Water Supply Raw]]="Yes",10,0)</f>
        <v>0</v>
      </c>
      <c r="BD564" s="266">
        <f>_xlfn.XLOOKUP(FMS_Ranking4[[#This Row],[FMS Type]],FMS_TYPE[FMS_Type],FMS_TYPE[Score])</f>
        <v>6</v>
      </c>
      <c r="BE564" s="267">
        <f>FMS_Ranking4[[#This Row],[FMS_Type Score]]*$BD$5*10</f>
        <v>1.5000000000000002</v>
      </c>
      <c r="BF56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8.76931557005904E-2</v>
      </c>
      <c r="BG564" s="271">
        <f>_xlfn.RANK.EQ(BF564,$BF$8:$BF$870,0)+COUNTIF($BF$8:BF564,BF564)-1</f>
        <v>503</v>
      </c>
      <c r="BH564" s="268">
        <f>(((FMS_Ranking4[[#This Row],[Structures Removed Raw]]/AK$4)*100)*AK$5)+(((FMS_Ranking4[[#This Row],[Removed Pop Raw]]/AR$4)*100)*AR$5)</f>
        <v>0</v>
      </c>
      <c r="BI56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1.5876931557005907</v>
      </c>
      <c r="BJ564" s="205">
        <f>_xlfn.RANK.EQ(FMS_Ranking4[[#This Row],[Total Score 
(with linear
normalization)]],FMS_Ranking4[Total Score 
(with linear
normalization)],0)</f>
        <v>567</v>
      </c>
      <c r="BK564" s="205" t="e">
        <f>_xlfn.XLOOKUP(FMS_Ranking4[[#This Row],[FMS ID]],#REF!,#REF!)</f>
        <v>#REF!</v>
      </c>
      <c r="BL56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15.205776046367273</v>
      </c>
      <c r="BM564" s="272">
        <f>FMS_Ranking4[[#This Row],[ArcSinh Score Based on Normalized Reported Factors]]+FMS_Ranking4[[#This Row],[% NBS Score (Normalized)]]+(FMS_Ranking4[[#This Row],[Water Supply Score (Normalized)]]*10*$BB$5)+FMS_Ranking4[[#This Row],[FMS_Type Score Weighted]]</f>
        <v>16.705776046367273</v>
      </c>
      <c r="BN564" s="205">
        <f>_xlfn.RANK.EQ(FMS_Ranking4[[#This Row],[Total Score (with ArcSinh normalization of select criteria)]],FMS_Ranking4[Total Score (with ArcSinh normalization of select criteria)],0)</f>
        <v>556</v>
      </c>
      <c r="BO564" s="270" t="str">
        <f>_xlfn.XLOOKUP(FMS_Ranking4[[#This Row],[FMS ID]],FMS_Input[FMS_ID],FMS_Input[FMS_RANK_YEAR])</f>
        <v>2023 Amended Plan</v>
      </c>
      <c r="BP564" s="204">
        <f>_xlfn.XLOOKUP(FMS_Ranking4[[#This Row],[FMS ID]],Prev_Rank[FMS ID],Prev_Rank[Prev Rank])</f>
        <v>494</v>
      </c>
      <c r="BQ564" s="205" t="e">
        <f>_xlfn.XLOOKUP(FMS_Ranking4[[#This Row],[FMS ID]],#REF!,#REF!)</f>
        <v>#REF!</v>
      </c>
      <c r="BR564" s="199" t="e">
        <f>SUM(#REF!,#REF!,#REF!,#REF!,#REF!,#REF!,#REF!,#REF!,#REF!,FMS_Ranking4[[#This Row],[ArcSinh Res struct removed 0-10]],#REF!)</f>
        <v>#REF!</v>
      </c>
      <c r="BS564" s="199" t="e">
        <f>FMS_Ranking4[[#This Row],[Log Score Based on Normalized Reported Factors]]+FMS_Ranking4[[#This Row],[% NBS Score (Normalized)]]+(FMS_Ranking4[[#This Row],[Water Supply Score (Normalized)]]*10*$BB$5)+(FMS_Ranking4[[#This Row],[FMS_Type Score Weighted]])</f>
        <v>#REF!</v>
      </c>
      <c r="BT564" s="200" t="e">
        <f>_xlfn.RANK.EQ(FMS_Ranking4[[#This Row],[Log Total Score]],FMS_Ranking4[Log Total Score],0)</f>
        <v>#REF!</v>
      </c>
      <c r="BU564" s="200" t="e">
        <f>_xlfn.XLOOKUP(FMS_Ranking4[[#This Row],[FMS ID]],#REF!,#REF!)</f>
        <v>#REF!</v>
      </c>
      <c r="BV564" s="200">
        <f>FMS_Ranking4[[#This Row],[Region Number]]</f>
        <v>12</v>
      </c>
      <c r="BW564" s="200">
        <f>FMS_Ranking4[[#This Row],[Rank (with ArcSinh normalization of select criteria)]]-FMS_Ranking4[[#This Row],[Rank
(with linear
normalization)]]</f>
        <v>-11</v>
      </c>
      <c r="BX564" s="200" t="e">
        <f>FMS_Ranking4[[#This Row],[Log Rank]]-FMS_Ranking4[[#This Row],[Rank
(with linear
normalization)]]</f>
        <v>#REF!</v>
      </c>
      <c r="BY564" s="200" t="str">
        <f>IF(FMS_Ranking4[[#This Row],[FMS Type]]="Flood Measurement and Warning",FMS_Ranking4[[#This Row],[Rank (with ArcSinh normalization of select criteria)]],"")</f>
        <v/>
      </c>
      <c r="BZ564" s="200" t="str">
        <f>IF(FMS_Ranking4[[#This Row],[FMS Type]]="Regulatory and Guidance",FMS_Ranking4[[#This Row],[Rank (with ArcSinh normalization of select criteria)]],"")</f>
        <v/>
      </c>
      <c r="CA564" s="200">
        <f>IF(FMS_Ranking4[[#This Row],[FMS Type]]="Education and Outreach",FMS_Ranking4[[#This Row],[Rank (with ArcSinh normalization of select criteria)]],"")</f>
        <v>556</v>
      </c>
      <c r="CB564" s="200" t="str">
        <f>IF(FMS_Ranking4[[#This Row],[FMS Type]]="Property Acquisition and Structural Elevation",FMS_Ranking4[[#This Row],[Rank (with ArcSinh normalization of select criteria)]],"")</f>
        <v/>
      </c>
      <c r="CC564" s="200" t="str">
        <f>IF(FMS_Ranking4[[#This Row],[FMS Type]]="Infrastructure Projects",FMS_Ranking4[[#This Row],[Rank (with ArcSinh normalization of select criteria)]],"")</f>
        <v/>
      </c>
      <c r="CD564" s="200" t="str">
        <f>IF(FMS_Ranking4[[#This Row],[FMS Type]]="Other",FMS_Ranking4[[#This Row],[Rank (with ArcSinh normalization of select criteria)]],"")</f>
        <v/>
      </c>
      <c r="CE564" s="201"/>
      <c r="CF564" s="206"/>
      <c r="CG564" s="206"/>
      <c r="CH564" s="206"/>
      <c r="CI564" s="206"/>
      <c r="CJ564" s="206"/>
      <c r="CK564" s="206"/>
      <c r="CL564" s="206"/>
      <c r="CM564" s="206"/>
      <c r="CN564" s="206"/>
      <c r="CO564" s="206"/>
      <c r="CP564" s="206"/>
      <c r="CQ564" s="206"/>
      <c r="CR564" s="206"/>
    </row>
    <row r="565" spans="2:96" ht="60" x14ac:dyDescent="0.25">
      <c r="B565" s="341" t="s">
        <v>2033</v>
      </c>
      <c r="C565" s="246">
        <f>_xlfn.XLOOKUP(FMS_Ranking4[[#This Row],[FMS ID]],FMS_Input[FMS_ID],FMS_Input[RFPG_NUM])</f>
        <v>3</v>
      </c>
      <c r="D565" s="309" t="str">
        <f>_xlfn.XLOOKUP(FMS_Ranking4[[#This Row],[FMS ID]],FMS_Input[FMS_ID],FMS_Input[FMS_NAME])</f>
        <v>San Jacinto County Voluntary Property Acquisition &amp; Elevation Program</v>
      </c>
      <c r="E565" s="308" t="str">
        <f>_xlfn.XLOOKUP(FMS_Ranking4[[#This Row],[FMS ID]],FMS_Input[FMS_ID],FMS_Input[SPONSOR])</f>
        <v>Shepherd, San Jacinto County</v>
      </c>
      <c r="F565" s="309" t="str">
        <f>_xlfn.XLOOKUP(FMS_Ranking4[[#This Row],[FMS ID]],Sponsor[FMS_ID],Sponsor[SPONSOR NAME])</f>
        <v>Shepherd, San Jacinto County</v>
      </c>
      <c r="G565" s="309" t="str">
        <f>_xlfn.XLOOKUP(FMS_Ranking4[[#This Row],[FMS ID]],FMS_Input[FMS_ID],FMS_Input[FMS_DESCR])</f>
        <v>Pursue voluntary acquisition projects for flood prone properties. Elevate homes in low lying or flood prone areas.</v>
      </c>
      <c r="H565" s="248" t="str">
        <f>_xlfn.XLOOKUP(FMS_Ranking4[[#This Row],[FMS ID]],FMS_Input[FMS_ID],FMS_Input[FMS_TYPE])</f>
        <v>Property Acquisition and Structural Elevation</v>
      </c>
      <c r="I565" s="249">
        <f>_xlfn.XLOOKUP(FMS_Ranking4[[#This Row],[FMS ID]],FMS_Input[FMS_ID],FMS_Input[NRNC_COST])</f>
        <v>500000</v>
      </c>
      <c r="J565" s="250">
        <f>_xlfn.XLOOKUP(FMS_Ranking4[[#This Row],[FMS ID]],FMS_Input[FMS_ID],FMS_Input[FMS_COST])</f>
        <v>5000000</v>
      </c>
      <c r="K565" s="251" t="str">
        <f>_xlfn.XLOOKUP(FMS_Ranking4[[#This Row],[FMS ID]],FMS_Input[FMS_ID],FMS_Input[EMER_NEED])</f>
        <v>No</v>
      </c>
      <c r="L565" s="252">
        <f t="shared" si="8"/>
        <v>0</v>
      </c>
      <c r="M565" s="253">
        <f>_xlfn.XLOOKUP(FMS_Ranking4[[#This Row],[FMS ID]],FMS_Input[FMS_ID],FMS_Input[STRUCT_100])</f>
        <v>139</v>
      </c>
      <c r="N565" s="255">
        <f>(ASINH(FMS_Ranking4[[#This Row],[Structure at Risk Raw]]))*(10)/(ASINH(M$4))</f>
        <v>4.4241582838628482</v>
      </c>
      <c r="O565" s="256">
        <f>FMS_Ranking4[[#This Row],[Structures at risk, ArcSinh (0-10)]]*M$5*10</f>
        <v>4.4241582838628482</v>
      </c>
      <c r="P565" s="253">
        <f>_xlfn.XLOOKUP(FMS_Ranking4[[#This Row],[FMS ID]],FMS_Input[FMS_ID],FMS_Input[RES_STRUCT100])</f>
        <v>129</v>
      </c>
      <c r="Q565" s="257">
        <f>ASINH(FMS_Ranking4[[#This Row],[Res Structure Raw]])/Q$4*P$5*100</f>
        <v>0</v>
      </c>
      <c r="R565" s="253">
        <f>_xlfn.XLOOKUP(FMS_Ranking4[[#This Row],[FMS ID]],FMS_Input[FMS_ID],FMS_Input[POP100])</f>
        <v>623</v>
      </c>
      <c r="S565" s="259">
        <f>(ASINH(FMS_Ranking4[[#This Row],[Pop at Risk Raw]]))*(10)/(ASINH(R$4))</f>
        <v>4.9206623649113013</v>
      </c>
      <c r="T565" s="256">
        <f>FMS_Ranking4[[#This Row],[Population at risk, ArcSinh (0-10)]]*R$5*10</f>
        <v>4.9206623649113013</v>
      </c>
      <c r="U565" s="253">
        <f>_xlfn.XLOOKUP(FMS_Ranking4[[#This Row],[FMS ID]],FMS_Input[FMS_ID],FMS_Input[CRITFAC100])</f>
        <v>3</v>
      </c>
      <c r="V565" s="259">
        <f>(ASINH(FMS_Ranking4[[#This Row],[Critical Facilities Raw]]))*(10)/(ASINH(U$4))</f>
        <v>2.152611706646717</v>
      </c>
      <c r="W565" s="256">
        <f>FMS_Ranking4[[#This Row],[Critical facilities at risk, ArcSinh (0-10)]]*U$5*10</f>
        <v>2.152611706646717</v>
      </c>
      <c r="X565" s="253">
        <f>_xlfn.XLOOKUP(FMS_Ranking4[[#This Row],[FMS ID]],FMS_Input[FMS_ID],FMS_Input[LWC])</f>
        <v>0</v>
      </c>
      <c r="Y565" s="259">
        <f>(ASINH(FMS_Ranking4[[#This Row],[LWC Raw]]))*(10)/(ASINH(X$4))</f>
        <v>0</v>
      </c>
      <c r="Z565" s="256">
        <f>FMS_Ranking4[[#This Row],[LWC, ArcSInh (0-10)]]*X$5*10</f>
        <v>0</v>
      </c>
      <c r="AA565" s="253">
        <f>_xlfn.XLOOKUP(FMS_Ranking4[[#This Row],[FMS ID]],FMS_Input[FMS_ID],FMS_Input[ROADCLS])</f>
        <v>0</v>
      </c>
      <c r="AB565" s="255">
        <f>(ASINH(FMS_Ranking4[[#This Row],[Road Closures Raw]]))*(10)/(ASINH(AA$4))</f>
        <v>0</v>
      </c>
      <c r="AC565" s="256">
        <f>FMS_Ranking4[[#This Row],[Road closures, ArcSinh (0-10)]]*AA$5*10</f>
        <v>0</v>
      </c>
      <c r="AD565" s="253">
        <f>_xlfn.XLOOKUP(FMS_Ranking4[[#This Row],[FMS ID]],FMS_Input[FMS_ID],FMS_Input[ROAD_MILES100])</f>
        <v>6</v>
      </c>
      <c r="AE565" s="259">
        <f>(ASINH(FMS_Ranking4[[#This Row],[Road Miles Raw]]))*(10)/(ASINH(AD$4))</f>
        <v>2.6555517738739667</v>
      </c>
      <c r="AF565" s="256">
        <f>FMS_Ranking4[[#This Row],[Length of roads at risk, ArcSinh (0-10)]]*AD$5*10</f>
        <v>2.6555517738739671</v>
      </c>
      <c r="AG565" s="253">
        <f>_xlfn.XLOOKUP(FMS_Ranking4[[#This Row],[FMS ID]],FMS_Input[FMS_ID],FMS_Input[FARMACRE100])</f>
        <v>54.922931671142578</v>
      </c>
      <c r="AH565" s="255">
        <f>(ASINH(FMS_Ranking4[[#This Row],[Ag Land Raw]]))*(10)/(ASINH(AG$4))</f>
        <v>3.0524879116176229</v>
      </c>
      <c r="AI565" s="260">
        <f>FMS_Ranking4[[#This Row],[Farm &amp; ranch land, ArcSinh (0-10)]]*AG$5*10</f>
        <v>1.5262439558088114</v>
      </c>
      <c r="AJ565" s="258">
        <f>_xlfn.XLOOKUP(FMS_Ranking4[[#This Row],[FMS ID]],FMS_Input[FMS_ID],FMS_Input[REDSTRUCT100])</f>
        <v>0</v>
      </c>
      <c r="AK565" s="253">
        <f>_xlfn.XLOOKUP(FMS_Ranking4[[#This Row],[FMS ID]],FMS_Input[FMS_ID],FMS_Input[REMSTRC100])</f>
        <v>0</v>
      </c>
      <c r="AL565" s="259">
        <f>(ASINH(FMS_Ranking4[[#This Row],[Structures Removed Raw]]))*(10)/(ASINH(AK$4))</f>
        <v>0</v>
      </c>
      <c r="AM565" s="262">
        <f>FMS_Ranking4[[#This Row],[Structures removed, ArcSinh (0-10)]]*AK$5*10</f>
        <v>0</v>
      </c>
      <c r="AN565" s="253">
        <f>_xlfn.XLOOKUP(FMS_Ranking4[[#This Row],[FMS ID]],FMS_Input[FMS_ID],FMS_Input[REMRESSTRC100])</f>
        <v>0</v>
      </c>
      <c r="AO565" s="261">
        <f>FMS_Ranking4[[#This Row],[ArcSinh Res struct removed 0-10]]*AN$5*10</f>
        <v>0</v>
      </c>
      <c r="AP565" s="260">
        <f>ASINH(FMS_Ranking4[[#This Row],[Residential Structures Removed Raw]])/AP$4*AN$5*100</f>
        <v>0</v>
      </c>
      <c r="AQ565" s="254">
        <f>(ASINH(FMS_Ranking4[[#This Row],[Residential Structures Removed Raw]]))*(10)/(ASINH(AN$4))</f>
        <v>0</v>
      </c>
      <c r="AR565" s="253">
        <f>_xlfn.XLOOKUP(FMS_Ranking4[[#This Row],[FMS ID]],FMS_Input[FMS_ID],FMS_Input[REMPOP100])</f>
        <v>0</v>
      </c>
      <c r="AS565" s="259">
        <f>(ASINH(FMS_Ranking4[[#This Row],[Removed Pop Raw]]))*(10)/(ASINH(AR$4))</f>
        <v>0</v>
      </c>
      <c r="AT565" s="262">
        <f>FMS_Ranking4[[#This Row],[Removed population, ArcSinh (0-10)]]*AR$5*10</f>
        <v>0</v>
      </c>
      <c r="AU565" s="264">
        <f>_xlfn.XLOOKUP(FMS_Ranking4[[#This Row],[FMS ID]],FMS_Input[FMS_ID],FMS_Input[REMCRITFAC100])</f>
        <v>0</v>
      </c>
      <c r="AV565" s="264">
        <f>_xlfn.XLOOKUP(FMS_Ranking4[[#This Row],[FMS ID]],FMS_Input[FMS_ID],FMS_Input[REMLWC100])</f>
        <v>0</v>
      </c>
      <c r="AW565" s="264">
        <f>_xlfn.XLOOKUP(FMS_Ranking4[[#This Row],[FMS ID]],FMS_Input[FMS_ID],FMS_Input[REMROADCLS])</f>
        <v>0</v>
      </c>
      <c r="AX565" s="264">
        <f>_xlfn.XLOOKUP(FMS_Ranking4[[#This Row],[FMS ID]],FMS_Input[FMS_ID],FMS_Input[REMFRMACRE100])</f>
        <v>0</v>
      </c>
      <c r="AY565" s="258">
        <f>_xlfn.XLOOKUP(FMS_Ranking4[[#This Row],[FMS ID]],FMS_Input[FMS_ID],FMS_Input[COSTSTRUCT])</f>
        <v>0</v>
      </c>
      <c r="AZ565" s="253">
        <f>_xlfn.XLOOKUP(FMS_Ranking4[[#This Row],[FMS ID]],FMS_Input[FMS_ID],FMS_Input[NATURE])</f>
        <v>0</v>
      </c>
      <c r="BA565" s="262">
        <f>(((FMS_Ranking4[[#This Row],[% NBS Raw]]/AZ$4)*100)*AZ$5)</f>
        <v>0</v>
      </c>
      <c r="BB565" s="251" t="str">
        <f>_xlfn.XLOOKUP(FMS_Ranking4[[#This Row],[FMS ID]],FMS_Input[FMS_ID],FMS_Input[WATER_SUP])</f>
        <v>No</v>
      </c>
      <c r="BC565" s="265">
        <f>IF(FMS_Ranking4[[#This Row],[Water Supply Raw]]="Yes",10,0)</f>
        <v>0</v>
      </c>
      <c r="BD565" s="266">
        <f>_xlfn.XLOOKUP(FMS_Ranking4[[#This Row],[FMS Type]],FMS_TYPE[FMS_Type],FMS_TYPE[Score])</f>
        <v>4</v>
      </c>
      <c r="BE565" s="267">
        <f>FMS_Ranking4[[#This Row],[FMS_Type Score]]*$BD$5*10</f>
        <v>1</v>
      </c>
      <c r="BF56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3.7761804909476365E-2</v>
      </c>
      <c r="BG565" s="271">
        <f>_xlfn.RANK.EQ(BF565,$BF$8:$BF$870,0)+COUNTIF($BF$8:BF565,BF565)-1</f>
        <v>584</v>
      </c>
      <c r="BH565" s="268">
        <f>(((FMS_Ranking4[[#This Row],[Structures Removed Raw]]/AK$4)*100)*AK$5)+(((FMS_Ranking4[[#This Row],[Removed Pop Raw]]/AR$4)*100)*AR$5)</f>
        <v>0</v>
      </c>
      <c r="BI56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1.0377618049094763</v>
      </c>
      <c r="BJ565" s="205">
        <f>_xlfn.RANK.EQ(FMS_Ranking4[[#This Row],[Total Score 
(with linear
normalization)]],FMS_Ranking4[Total Score 
(with linear
normalization)],0)</f>
        <v>701</v>
      </c>
      <c r="BK565" s="205" t="e">
        <f>_xlfn.XLOOKUP(FMS_Ranking4[[#This Row],[FMS ID]],#REF!,#REF!)</f>
        <v>#REF!</v>
      </c>
      <c r="BL56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15.679228085103643</v>
      </c>
      <c r="BM565" s="272">
        <f>FMS_Ranking4[[#This Row],[ArcSinh Score Based on Normalized Reported Factors]]+FMS_Ranking4[[#This Row],[% NBS Score (Normalized)]]+(FMS_Ranking4[[#This Row],[Water Supply Score (Normalized)]]*10*$BB$5)+FMS_Ranking4[[#This Row],[FMS_Type Score Weighted]]</f>
        <v>16.679228085103645</v>
      </c>
      <c r="BN565" s="205">
        <f>_xlfn.RANK.EQ(FMS_Ranking4[[#This Row],[Total Score (with ArcSinh normalization of select criteria)]],FMS_Ranking4[Total Score (with ArcSinh normalization of select criteria)],0)</f>
        <v>558</v>
      </c>
      <c r="BO565" s="270" t="str">
        <f>_xlfn.XLOOKUP(FMS_Ranking4[[#This Row],[FMS ID]],FMS_Input[FMS_ID],FMS_Input[FMS_RANK_YEAR])</f>
        <v>2023 Amended Plan</v>
      </c>
      <c r="BP565" s="204">
        <f>_xlfn.XLOOKUP(FMS_Ranking4[[#This Row],[FMS ID]],Prev_Rank[FMS ID],Prev_Rank[Prev Rank])</f>
        <v>486</v>
      </c>
      <c r="BQ565" s="205" t="e">
        <f>_xlfn.XLOOKUP(FMS_Ranking4[[#This Row],[FMS ID]],#REF!,#REF!)</f>
        <v>#REF!</v>
      </c>
      <c r="BR565" s="199" t="e">
        <f>SUM(#REF!,#REF!,#REF!,#REF!,#REF!,#REF!,#REF!,#REF!,#REF!,FMS_Ranking4[[#This Row],[ArcSinh Res struct removed 0-10]],#REF!)</f>
        <v>#REF!</v>
      </c>
      <c r="BS565" s="199" t="e">
        <f>FMS_Ranking4[[#This Row],[Log Score Based on Normalized Reported Factors]]+FMS_Ranking4[[#This Row],[% NBS Score (Normalized)]]+(FMS_Ranking4[[#This Row],[Water Supply Score (Normalized)]]*10*$BB$5)+(FMS_Ranking4[[#This Row],[FMS_Type Score Weighted]])</f>
        <v>#REF!</v>
      </c>
      <c r="BT565" s="200" t="e">
        <f>_xlfn.RANK.EQ(FMS_Ranking4[[#This Row],[Log Total Score]],FMS_Ranking4[Log Total Score],0)</f>
        <v>#REF!</v>
      </c>
      <c r="BU565" s="200" t="e">
        <f>_xlfn.XLOOKUP(FMS_Ranking4[[#This Row],[FMS ID]],#REF!,#REF!)</f>
        <v>#REF!</v>
      </c>
      <c r="BV565" s="200">
        <f>FMS_Ranking4[[#This Row],[Region Number]]</f>
        <v>3</v>
      </c>
      <c r="BW565" s="200">
        <f>FMS_Ranking4[[#This Row],[Rank (with ArcSinh normalization of select criteria)]]-FMS_Ranking4[[#This Row],[Rank
(with linear
normalization)]]</f>
        <v>-143</v>
      </c>
      <c r="BX565" s="200" t="e">
        <f>FMS_Ranking4[[#This Row],[Log Rank]]-FMS_Ranking4[[#This Row],[Rank
(with linear
normalization)]]</f>
        <v>#REF!</v>
      </c>
      <c r="BY565" s="200" t="str">
        <f>IF(FMS_Ranking4[[#This Row],[FMS Type]]="Flood Measurement and Warning",FMS_Ranking4[[#This Row],[Rank (with ArcSinh normalization of select criteria)]],"")</f>
        <v/>
      </c>
      <c r="BZ565" s="200" t="str">
        <f>IF(FMS_Ranking4[[#This Row],[FMS Type]]="Regulatory and Guidance",FMS_Ranking4[[#This Row],[Rank (with ArcSinh normalization of select criteria)]],"")</f>
        <v/>
      </c>
      <c r="CA565" s="200" t="str">
        <f>IF(FMS_Ranking4[[#This Row],[FMS Type]]="Education and Outreach",FMS_Ranking4[[#This Row],[Rank (with ArcSinh normalization of select criteria)]],"")</f>
        <v/>
      </c>
      <c r="CB565" s="200">
        <f>IF(FMS_Ranking4[[#This Row],[FMS Type]]="Property Acquisition and Structural Elevation",FMS_Ranking4[[#This Row],[Rank (with ArcSinh normalization of select criteria)]],"")</f>
        <v>558</v>
      </c>
      <c r="CC565" s="200" t="str">
        <f>IF(FMS_Ranking4[[#This Row],[FMS Type]]="Infrastructure Projects",FMS_Ranking4[[#This Row],[Rank (with ArcSinh normalization of select criteria)]],"")</f>
        <v/>
      </c>
      <c r="CD565" s="200" t="str">
        <f>IF(FMS_Ranking4[[#This Row],[FMS Type]]="Other",FMS_Ranking4[[#This Row],[Rank (with ArcSinh normalization of select criteria)]],"")</f>
        <v/>
      </c>
      <c r="CE565" s="201"/>
      <c r="CF565" s="206"/>
      <c r="CG565" s="206"/>
      <c r="CH565" s="206"/>
      <c r="CI565" s="206"/>
      <c r="CJ565" s="206"/>
      <c r="CK565" s="206"/>
      <c r="CL565" s="206"/>
      <c r="CM565" s="206"/>
      <c r="CN565" s="206"/>
      <c r="CO565" s="206"/>
      <c r="CP565" s="206"/>
      <c r="CQ565" s="206"/>
      <c r="CR565" s="206"/>
    </row>
    <row r="566" spans="2:96" ht="60" x14ac:dyDescent="0.25">
      <c r="B566" s="341" t="s">
        <v>831</v>
      </c>
      <c r="C566" s="246">
        <f>_xlfn.XLOOKUP(FMS_Ranking4[[#This Row],[FMS ID]],FMS_Input[FMS_ID],FMS_Input[RFPG_NUM])</f>
        <v>9</v>
      </c>
      <c r="D566" s="309" t="str">
        <f>_xlfn.XLOOKUP(FMS_Ranking4[[#This Row],[FMS ID]],FMS_Input[FMS_ID],FMS_Input[FMS_NAME])</f>
        <v>El Dorado Flood Awareness Program</v>
      </c>
      <c r="E566" s="308" t="str">
        <f>_xlfn.XLOOKUP(FMS_Ranking4[[#This Row],[FMS ID]],FMS_Input[FMS_ID],FMS_Input[SPONSOR])</f>
        <v>00000051</v>
      </c>
      <c r="F566" s="309" t="str">
        <f>_xlfn.XLOOKUP(FMS_Ranking4[[#This Row],[FMS ID]],Sponsor[FMS_ID],Sponsor[SPONSOR NAME])</f>
        <v>Schleicher</v>
      </c>
      <c r="G566" s="309" t="str">
        <f>_xlfn.XLOOKUP(FMS_Ranking4[[#This Row],[FMS ID]],FMS_Input[FMS_ID],FMS_Input[FMS_DESCR])</f>
        <v>Promote flood education and dangers of driving into flooded roadways through Turn Around Don’t Drown program.</v>
      </c>
      <c r="H566" s="248" t="str">
        <f>_xlfn.XLOOKUP(FMS_Ranking4[[#This Row],[FMS ID]],FMS_Input[FMS_ID],FMS_Input[FMS_TYPE])</f>
        <v>Other</v>
      </c>
      <c r="I566" s="249">
        <f>_xlfn.XLOOKUP(FMS_Ranking4[[#This Row],[FMS ID]],FMS_Input[FMS_ID],FMS_Input[NRNC_COST])</f>
        <v>5000</v>
      </c>
      <c r="J566" s="250">
        <f>_xlfn.XLOOKUP(FMS_Ranking4[[#This Row],[FMS ID]],FMS_Input[FMS_ID],FMS_Input[FMS_COST])</f>
        <v>30000</v>
      </c>
      <c r="K566" s="251" t="str">
        <f>_xlfn.XLOOKUP(FMS_Ranking4[[#This Row],[FMS ID]],FMS_Input[FMS_ID],FMS_Input[EMER_NEED])</f>
        <v>No</v>
      </c>
      <c r="L566" s="252">
        <f t="shared" si="8"/>
        <v>0</v>
      </c>
      <c r="M566" s="253">
        <f>_xlfn.XLOOKUP(FMS_Ranking4[[#This Row],[FMS ID]],FMS_Input[FMS_ID],FMS_Input[STRUCT_100])</f>
        <v>20</v>
      </c>
      <c r="N566" s="255">
        <f>(ASINH(FMS_Ranking4[[#This Row],[Structure at Risk Raw]]))*(10)/(ASINH(M$4))</f>
        <v>2.9004993843581</v>
      </c>
      <c r="O566" s="256">
        <f>FMS_Ranking4[[#This Row],[Structures at risk, ArcSinh (0-10)]]*M$5*10</f>
        <v>2.9004993843581</v>
      </c>
      <c r="P566" s="253">
        <f>_xlfn.XLOOKUP(FMS_Ranking4[[#This Row],[FMS ID]],FMS_Input[FMS_ID],FMS_Input[RES_STRUCT100])</f>
        <v>10</v>
      </c>
      <c r="Q566" s="257">
        <f>ASINH(FMS_Ranking4[[#This Row],[Res Structure Raw]])/Q$4*P$5*100</f>
        <v>0</v>
      </c>
      <c r="R566" s="253">
        <f>_xlfn.XLOOKUP(FMS_Ranking4[[#This Row],[FMS ID]],FMS_Input[FMS_ID],FMS_Input[POP100])</f>
        <v>173</v>
      </c>
      <c r="S566" s="255">
        <f>(ASINH(FMS_Ranking4[[#This Row],[Pop at Risk Raw]]))*(10)/(ASINH(R$4))</f>
        <v>4.0361428205534935</v>
      </c>
      <c r="T566" s="256">
        <f>FMS_Ranking4[[#This Row],[Population at risk, ArcSinh (0-10)]]*R$5*10</f>
        <v>4.0361428205534935</v>
      </c>
      <c r="U566" s="253">
        <f>_xlfn.XLOOKUP(FMS_Ranking4[[#This Row],[FMS ID]],FMS_Input[FMS_ID],FMS_Input[CRITFAC100])</f>
        <v>0</v>
      </c>
      <c r="V566" s="255">
        <f>(ASINH(FMS_Ranking4[[#This Row],[Critical Facilities Raw]]))*(10)/(ASINH(U$4))</f>
        <v>0</v>
      </c>
      <c r="W566" s="256">
        <f>FMS_Ranking4[[#This Row],[Critical facilities at risk, ArcSinh (0-10)]]*U$5*10</f>
        <v>0</v>
      </c>
      <c r="X566" s="253">
        <f>_xlfn.XLOOKUP(FMS_Ranking4[[#This Row],[FMS ID]],FMS_Input[FMS_ID],FMS_Input[LWC])</f>
        <v>0</v>
      </c>
      <c r="Y566" s="255">
        <f>(ASINH(FMS_Ranking4[[#This Row],[LWC Raw]]))*(10)/(ASINH(X$4))</f>
        <v>0</v>
      </c>
      <c r="Z566" s="256">
        <f>FMS_Ranking4[[#This Row],[LWC, ArcSInh (0-10)]]*X$5*10</f>
        <v>0</v>
      </c>
      <c r="AA566" s="253">
        <f>_xlfn.XLOOKUP(FMS_Ranking4[[#This Row],[FMS ID]],FMS_Input[FMS_ID],FMS_Input[ROADCLS])</f>
        <v>0</v>
      </c>
      <c r="AB566" s="255">
        <f>(ASINH(FMS_Ranking4[[#This Row],[Road Closures Raw]]))*(10)/(ASINH(AA$4))</f>
        <v>0</v>
      </c>
      <c r="AC566" s="256">
        <f>FMS_Ranking4[[#This Row],[Road closures, ArcSinh (0-10)]]*AA$5*10</f>
        <v>0</v>
      </c>
      <c r="AD566" s="253">
        <f>_xlfn.XLOOKUP(FMS_Ranking4[[#This Row],[FMS ID]],FMS_Input[FMS_ID],FMS_Input[ROAD_MILES100])</f>
        <v>1</v>
      </c>
      <c r="AE566" s="255">
        <f>(ASINH(FMS_Ranking4[[#This Row],[Road Miles Raw]]))*(10)/(ASINH(AD$4))</f>
        <v>0.9393017565219649</v>
      </c>
      <c r="AF566" s="256">
        <f>FMS_Ranking4[[#This Row],[Length of roads at risk, ArcSinh (0-10)]]*AD$5*10</f>
        <v>0.93930175652196501</v>
      </c>
      <c r="AG566" s="253">
        <f>_xlfn.XLOOKUP(FMS_Ranking4[[#This Row],[FMS ID]],FMS_Input[FMS_ID],FMS_Input[FARMACRE100])</f>
        <v>1.4195259809494021</v>
      </c>
      <c r="AH566" s="255">
        <f>(ASINH(FMS_Ranking4[[#This Row],[Ag Land Raw]]))*(10)/(ASINH(AG$4))</f>
        <v>0.74655042291933671</v>
      </c>
      <c r="AI566" s="260">
        <f>FMS_Ranking4[[#This Row],[Farm &amp; ranch land, ArcSinh (0-10)]]*AG$5*10</f>
        <v>0.37327521145966835</v>
      </c>
      <c r="AJ566" s="258">
        <f>_xlfn.XLOOKUP(FMS_Ranking4[[#This Row],[FMS ID]],FMS_Input[FMS_ID],FMS_Input[REDSTRUCT100])</f>
        <v>5</v>
      </c>
      <c r="AK566" s="253">
        <f>_xlfn.XLOOKUP(FMS_Ranking4[[#This Row],[FMS ID]],FMS_Input[FMS_ID],FMS_Input[REMSTRC100])</f>
        <v>5</v>
      </c>
      <c r="AL566" s="255">
        <f>(ASINH(FMS_Ranking4[[#This Row],[Structures Removed Raw]]))*(10)/(ASINH(AK$4))</f>
        <v>2.6328761148444175</v>
      </c>
      <c r="AM566" s="262">
        <f>FMS_Ranking4[[#This Row],[Structures removed, ArcSinh (0-10)]]*AK$5*10</f>
        <v>2.6328761148444175</v>
      </c>
      <c r="AN566" s="253">
        <f>_xlfn.XLOOKUP(FMS_Ranking4[[#This Row],[FMS ID]],FMS_Input[FMS_ID],FMS_Input[REMRESSTRC100])</f>
        <v>2</v>
      </c>
      <c r="AO566" s="261">
        <f>FMS_Ranking4[[#This Row],[ArcSinh Res struct removed 0-10]]*AN$5*10</f>
        <v>0.84673041454896381</v>
      </c>
      <c r="AP566" s="260">
        <f>ASINH(FMS_Ranking4[[#This Row],[Residential Structures Removed Raw]])/AP$4*AN$5*100</f>
        <v>0.84673041454896381</v>
      </c>
      <c r="AQ566" s="258">
        <f>(ASINH(FMS_Ranking4[[#This Row],[Residential Structures Removed Raw]]))*(10)/(ASINH(AN$4))</f>
        <v>1.6934608290979274</v>
      </c>
      <c r="AR566" s="253">
        <f>_xlfn.XLOOKUP(FMS_Ranking4[[#This Row],[FMS ID]],FMS_Input[FMS_ID],FMS_Input[REMPOP100])</f>
        <v>45</v>
      </c>
      <c r="AS566" s="255">
        <f>(ASINH(FMS_Ranking4[[#This Row],[Removed Pop Raw]]))*(10)/(ASINH(AR$4))</f>
        <v>4.4172263263774196</v>
      </c>
      <c r="AT566" s="262">
        <f>FMS_Ranking4[[#This Row],[Removed population, ArcSinh (0-10)]]*AR$5*10</f>
        <v>4.4172263263774196</v>
      </c>
      <c r="AU566" s="264">
        <f>_xlfn.XLOOKUP(FMS_Ranking4[[#This Row],[FMS ID]],FMS_Input[FMS_ID],FMS_Input[REMCRITFAC100])</f>
        <v>0</v>
      </c>
      <c r="AV566" s="264">
        <f>_xlfn.XLOOKUP(FMS_Ranking4[[#This Row],[FMS ID]],FMS_Input[FMS_ID],FMS_Input[REMLWC100])</f>
        <v>0</v>
      </c>
      <c r="AW566" s="264">
        <f>_xlfn.XLOOKUP(FMS_Ranking4[[#This Row],[FMS ID]],FMS_Input[FMS_ID],FMS_Input[REMROADCLS])</f>
        <v>0</v>
      </c>
      <c r="AX566" s="264">
        <f>_xlfn.XLOOKUP(FMS_Ranking4[[#This Row],[FMS ID]],FMS_Input[FMS_ID],FMS_Input[REMFRMACRE100])</f>
        <v>0.35488149523735052</v>
      </c>
      <c r="AY566" s="258">
        <f>_xlfn.XLOOKUP(FMS_Ranking4[[#This Row],[FMS ID]],FMS_Input[FMS_ID],FMS_Input[COSTSTRUCT])</f>
        <v>25000</v>
      </c>
      <c r="AZ566" s="253">
        <f>_xlfn.XLOOKUP(FMS_Ranking4[[#This Row],[FMS ID]],FMS_Input[FMS_ID],FMS_Input[NATURE])</f>
        <v>0</v>
      </c>
      <c r="BA566" s="262">
        <f>(((FMS_Ranking4[[#This Row],[% NBS Raw]]/AZ$4)*100)*AZ$5)</f>
        <v>0</v>
      </c>
      <c r="BB566" s="251" t="str">
        <f>_xlfn.XLOOKUP(FMS_Ranking4[[#This Row],[FMS ID]],FMS_Input[FMS_ID],FMS_Input[WATER_SUP])</f>
        <v>No</v>
      </c>
      <c r="BC566" s="265">
        <f>IF(FMS_Ranking4[[#This Row],[Water Supply Raw]]="Yes",10,0)</f>
        <v>0</v>
      </c>
      <c r="BD566" s="266">
        <f>_xlfn.XLOOKUP(FMS_Ranking4[[#This Row],[FMS Type]],FMS_TYPE[FMS_Type],FMS_TYPE[Score])</f>
        <v>2</v>
      </c>
      <c r="BE566" s="267">
        <f>FMS_Ranking4[[#This Row],[FMS_Type Score]]*$BD$5*10</f>
        <v>0.5</v>
      </c>
      <c r="BF56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4.6522983381148374E-3</v>
      </c>
      <c r="BG566" s="321">
        <f>_xlfn.RANK.EQ(BF566,$BF$8:$BF$870,0)+COUNTIF($BF$8:BF566,BF566)-1</f>
        <v>691</v>
      </c>
      <c r="BH566" s="294">
        <f>(((FMS_Ranking4[[#This Row],[Structures Removed Raw]]/AK$4)*100)*AK$5)+(((FMS_Ranking4[[#This Row],[Removed Pop Raw]]/AR$4)*100)*AR$5)</f>
        <v>4.9215710763181549E-2</v>
      </c>
      <c r="BI56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0.55386800910129641</v>
      </c>
      <c r="BJ566" s="251">
        <f>_xlfn.RANK.EQ(FMS_Ranking4[[#This Row],[Total Score 
(with linear
normalization)]],FMS_Ranking4[Total Score 
(with linear
normalization)],0)</f>
        <v>828</v>
      </c>
      <c r="BK566" s="251" t="e">
        <f>_xlfn.XLOOKUP(FMS_Ranking4[[#This Row],[FMS ID]],#REF!,#REF!)</f>
        <v>#REF!</v>
      </c>
      <c r="BL56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16.146052028664027</v>
      </c>
      <c r="BM566" s="324">
        <f>FMS_Ranking4[[#This Row],[ArcSinh Score Based on Normalized Reported Factors]]+FMS_Ranking4[[#This Row],[% NBS Score (Normalized)]]+(FMS_Ranking4[[#This Row],[Water Supply Score (Normalized)]]*10*$BB$5)+FMS_Ranking4[[#This Row],[FMS_Type Score Weighted]]</f>
        <v>16.646052028664027</v>
      </c>
      <c r="BN566" s="251">
        <f>_xlfn.RANK.EQ(FMS_Ranking4[[#This Row],[Total Score (with ArcSinh normalization of select criteria)]],FMS_Ranking4[Total Score (with ArcSinh normalization of select criteria)],0)</f>
        <v>559</v>
      </c>
      <c r="BO566" s="270" t="str">
        <f>_xlfn.XLOOKUP(FMS_Ranking4[[#This Row],[FMS ID]],FMS_Input[FMS_ID],FMS_Input[FMS_RANK_YEAR])</f>
        <v>2023 Amended Plan</v>
      </c>
      <c r="BP566" s="204">
        <f>_xlfn.XLOOKUP(FMS_Ranking4[[#This Row],[FMS ID]],Prev_Rank[FMS ID],Prev_Rank[Prev Rank])</f>
        <v>508</v>
      </c>
      <c r="BQ566" s="251" t="e">
        <f>_xlfn.XLOOKUP(FMS_Ranking4[[#This Row],[FMS ID]],#REF!,#REF!)</f>
        <v>#REF!</v>
      </c>
      <c r="BR566" s="199" t="e">
        <f>SUM(#REF!,#REF!,#REF!,#REF!,#REF!,#REF!,#REF!,#REF!,#REF!,FMS_Ranking4[[#This Row],[ArcSinh Res struct removed 0-10]],#REF!)</f>
        <v>#REF!</v>
      </c>
      <c r="BS566" s="199" t="e">
        <f>FMS_Ranking4[[#This Row],[Log Score Based on Normalized Reported Factors]]+FMS_Ranking4[[#This Row],[% NBS Score (Normalized)]]+(FMS_Ranking4[[#This Row],[Water Supply Score (Normalized)]]*10*$BB$5)+(FMS_Ranking4[[#This Row],[FMS_Type Score Weighted]])</f>
        <v>#REF!</v>
      </c>
      <c r="BT566" s="200" t="e">
        <f>_xlfn.RANK.EQ(FMS_Ranking4[[#This Row],[Log Total Score]],FMS_Ranking4[Log Total Score],0)</f>
        <v>#REF!</v>
      </c>
      <c r="BU566" s="200" t="e">
        <f>_xlfn.XLOOKUP(FMS_Ranking4[[#This Row],[FMS ID]],#REF!,#REF!)</f>
        <v>#REF!</v>
      </c>
      <c r="BV566" s="200">
        <f>FMS_Ranking4[[#This Row],[Region Number]]</f>
        <v>9</v>
      </c>
      <c r="BW566" s="200">
        <f>FMS_Ranking4[[#This Row],[Rank (with ArcSinh normalization of select criteria)]]-FMS_Ranking4[[#This Row],[Rank
(with linear
normalization)]]</f>
        <v>-269</v>
      </c>
      <c r="BX566" s="200" t="e">
        <f>FMS_Ranking4[[#This Row],[Log Rank]]-FMS_Ranking4[[#This Row],[Rank
(with linear
normalization)]]</f>
        <v>#REF!</v>
      </c>
      <c r="BY566" s="200" t="str">
        <f>IF(FMS_Ranking4[[#This Row],[FMS Type]]="Flood Measurement and Warning",FMS_Ranking4[[#This Row],[Rank (with ArcSinh normalization of select criteria)]],"")</f>
        <v/>
      </c>
      <c r="BZ566" s="200" t="str">
        <f>IF(FMS_Ranking4[[#This Row],[FMS Type]]="Regulatory and Guidance",FMS_Ranking4[[#This Row],[Rank (with ArcSinh normalization of select criteria)]],"")</f>
        <v/>
      </c>
      <c r="CA566" s="200" t="str">
        <f>IF(FMS_Ranking4[[#This Row],[FMS Type]]="Education and Outreach",FMS_Ranking4[[#This Row],[Rank (with ArcSinh normalization of select criteria)]],"")</f>
        <v/>
      </c>
      <c r="CB566" s="200" t="str">
        <f>IF(FMS_Ranking4[[#This Row],[FMS Type]]="Property Acquisition and Structural Elevation",FMS_Ranking4[[#This Row],[Rank (with ArcSinh normalization of select criteria)]],"")</f>
        <v/>
      </c>
      <c r="CC566" s="200" t="str">
        <f>IF(FMS_Ranking4[[#This Row],[FMS Type]]="Infrastructure Projects",FMS_Ranking4[[#This Row],[Rank (with ArcSinh normalization of select criteria)]],"")</f>
        <v/>
      </c>
      <c r="CD566" s="200">
        <f>IF(FMS_Ranking4[[#This Row],[FMS Type]]="Other",FMS_Ranking4[[#This Row],[Rank (with ArcSinh normalization of select criteria)]],"")</f>
        <v>559</v>
      </c>
      <c r="CE566" s="201"/>
      <c r="CF566" s="206"/>
      <c r="CG566" s="206"/>
      <c r="CH566" s="206"/>
      <c r="CI566" s="206"/>
      <c r="CJ566" s="206"/>
      <c r="CK566" s="206"/>
      <c r="CL566" s="206"/>
      <c r="CM566" s="206"/>
      <c r="CN566" s="206"/>
      <c r="CO566" s="206"/>
      <c r="CP566" s="206"/>
      <c r="CQ566" s="206"/>
      <c r="CR566" s="206"/>
    </row>
    <row r="567" spans="2:96" ht="60" x14ac:dyDescent="0.25">
      <c r="B567" s="341" t="s">
        <v>4261</v>
      </c>
      <c r="C567" s="246">
        <f>_xlfn.XLOOKUP(FMS_Ranking4[[#This Row],[FMS ID]],FMS_Input[FMS_ID],FMS_Input[RFPG_NUM])</f>
        <v>15</v>
      </c>
      <c r="D567" s="309" t="str">
        <f>_xlfn.XLOOKUP(FMS_Ranking4[[#This Row],[FMS ID]],FMS_Input[FMS_ID],FMS_Input[FMS_NAME])</f>
        <v>City of La Joya - Flood Warning System, planning, operation &amp; maintenance</v>
      </c>
      <c r="E567" s="308" t="str">
        <f>_xlfn.XLOOKUP(FMS_Ranking4[[#This Row],[FMS ID]],FMS_Input[FMS_ID],FMS_Input[SPONSOR])</f>
        <v>15000062</v>
      </c>
      <c r="F567" s="309" t="str">
        <f>_xlfn.XLOOKUP(FMS_Ranking4[[#This Row],[FMS ID]],Sponsor[FMS_ID],Sponsor[SPONSOR NAME])</f>
        <v>La Joya</v>
      </c>
      <c r="G567" s="309" t="str">
        <f>_xlfn.XLOOKUP(FMS_Ranking4[[#This Row],[FMS ID]],FMS_Input[FMS_ID],FMS_Input[FMS_DESCR])</f>
        <v>Develop and Implement a Flood Warning System, planning, operation &amp; Maintenance plan</v>
      </c>
      <c r="H567" s="248" t="str">
        <f>_xlfn.XLOOKUP(FMS_Ranking4[[#This Row],[FMS ID]],FMS_Input[FMS_ID],FMS_Input[FMS_TYPE])</f>
        <v>Flood Measurement and Warning</v>
      </c>
      <c r="I567" s="249">
        <f>_xlfn.XLOOKUP(FMS_Ranking4[[#This Row],[FMS ID]],FMS_Input[FMS_ID],FMS_Input[NRNC_COST])</f>
        <v>600000</v>
      </c>
      <c r="J567" s="250">
        <f>_xlfn.XLOOKUP(FMS_Ranking4[[#This Row],[FMS ID]],FMS_Input[FMS_ID],FMS_Input[FMS_COST])</f>
        <v>5000000</v>
      </c>
      <c r="K567" s="251" t="str">
        <f>_xlfn.XLOOKUP(FMS_Ranking4[[#This Row],[FMS ID]],FMS_Input[FMS_ID],FMS_Input[EMER_NEED])</f>
        <v>Yes</v>
      </c>
      <c r="L567" s="252">
        <f t="shared" si="8"/>
        <v>1</v>
      </c>
      <c r="M567" s="253">
        <f>_xlfn.XLOOKUP(FMS_Ranking4[[#This Row],[FMS ID]],FMS_Input[FMS_ID],FMS_Input[STRUCT_100])</f>
        <v>210</v>
      </c>
      <c r="N567" s="255">
        <f>(ASINH(FMS_Ranking4[[#This Row],[Structure at Risk Raw]]))*(10)/(ASINH(M$4))</f>
        <v>4.7485440146259918</v>
      </c>
      <c r="O567" s="256">
        <f>FMS_Ranking4[[#This Row],[Structures at risk, ArcSinh (0-10)]]*M$5*10</f>
        <v>4.7485440146259918</v>
      </c>
      <c r="P567" s="253">
        <f>_xlfn.XLOOKUP(FMS_Ranking4[[#This Row],[FMS ID]],FMS_Input[FMS_ID],FMS_Input[RES_STRUCT100])</f>
        <v>172</v>
      </c>
      <c r="Q567" s="257">
        <f>ASINH(FMS_Ranking4[[#This Row],[Res Structure Raw]])/Q$4*P$5*100</f>
        <v>0</v>
      </c>
      <c r="R567" s="253">
        <f>_xlfn.XLOOKUP(FMS_Ranking4[[#This Row],[FMS ID]],FMS_Input[FMS_ID],FMS_Input[POP100])</f>
        <v>503</v>
      </c>
      <c r="S567" s="259">
        <f>(ASINH(FMS_Ranking4[[#This Row],[Pop at Risk Raw]]))*(10)/(ASINH(R$4))</f>
        <v>4.7729560787928849</v>
      </c>
      <c r="T567" s="256">
        <f>FMS_Ranking4[[#This Row],[Population at risk, ArcSinh (0-10)]]*R$5*10</f>
        <v>4.7729560787928849</v>
      </c>
      <c r="U567" s="253">
        <f>_xlfn.XLOOKUP(FMS_Ranking4[[#This Row],[FMS ID]],FMS_Input[FMS_ID],FMS_Input[CRITFAC100])</f>
        <v>0</v>
      </c>
      <c r="V567" s="259">
        <f>(ASINH(FMS_Ranking4[[#This Row],[Critical Facilities Raw]]))*(10)/(ASINH(U$4))</f>
        <v>0</v>
      </c>
      <c r="W567" s="256">
        <f>FMS_Ranking4[[#This Row],[Critical facilities at risk, ArcSinh (0-10)]]*U$5*10</f>
        <v>0</v>
      </c>
      <c r="X567" s="253">
        <f>_xlfn.XLOOKUP(FMS_Ranking4[[#This Row],[FMS ID]],FMS_Input[FMS_ID],FMS_Input[LWC])</f>
        <v>0</v>
      </c>
      <c r="Y567" s="259">
        <f>(ASINH(FMS_Ranking4[[#This Row],[LWC Raw]]))*(10)/(ASINH(X$4))</f>
        <v>0</v>
      </c>
      <c r="Z567" s="256">
        <f>FMS_Ranking4[[#This Row],[LWC, ArcSInh (0-10)]]*X$5*10</f>
        <v>0</v>
      </c>
      <c r="AA567" s="253">
        <f>_xlfn.XLOOKUP(FMS_Ranking4[[#This Row],[FMS ID]],FMS_Input[FMS_ID],FMS_Input[ROADCLS])</f>
        <v>0</v>
      </c>
      <c r="AB567" s="255">
        <f>(ASINH(FMS_Ranking4[[#This Row],[Road Closures Raw]]))*(10)/(ASINH(AA$4))</f>
        <v>0</v>
      </c>
      <c r="AC567" s="256">
        <f>FMS_Ranking4[[#This Row],[Road closures, ArcSinh (0-10)]]*AA$5*10</f>
        <v>0</v>
      </c>
      <c r="AD567" s="253">
        <f>_xlfn.XLOOKUP(FMS_Ranking4[[#This Row],[FMS ID]],FMS_Input[FMS_ID],FMS_Input[ROAD_MILES100])</f>
        <v>5</v>
      </c>
      <c r="AE567" s="259">
        <f>(ASINH(FMS_Ranking4[[#This Row],[Road Miles Raw]]))*(10)/(ASINH(AD$4))</f>
        <v>2.4644230639487872</v>
      </c>
      <c r="AF567" s="256">
        <f>FMS_Ranking4[[#This Row],[Length of roads at risk, ArcSinh (0-10)]]*AD$5*10</f>
        <v>2.4644230639487876</v>
      </c>
      <c r="AG567" s="253">
        <f>_xlfn.XLOOKUP(FMS_Ranking4[[#This Row],[FMS ID]],FMS_Input[FMS_ID],FMS_Input[FARMACRE100])</f>
        <v>358.8900146484375</v>
      </c>
      <c r="AH567" s="255">
        <f>(ASINH(FMS_Ranking4[[#This Row],[Ag Land Raw]]))*(10)/(ASINH(AG$4))</f>
        <v>4.2717549862898396</v>
      </c>
      <c r="AI567" s="260">
        <f>FMS_Ranking4[[#This Row],[Farm &amp; ranch land, ArcSinh (0-10)]]*AG$5*10</f>
        <v>2.1358774931449198</v>
      </c>
      <c r="AJ567" s="258">
        <f>_xlfn.XLOOKUP(FMS_Ranking4[[#This Row],[FMS ID]],FMS_Input[FMS_ID],FMS_Input[REDSTRUCT100])</f>
        <v>0</v>
      </c>
      <c r="AK567" s="253">
        <f>_xlfn.XLOOKUP(FMS_Ranking4[[#This Row],[FMS ID]],FMS_Input[FMS_ID],FMS_Input[REMSTRC100])</f>
        <v>0</v>
      </c>
      <c r="AL567" s="259">
        <f>(ASINH(FMS_Ranking4[[#This Row],[Structures Removed Raw]]))*(10)/(ASINH(AK$4))</f>
        <v>0</v>
      </c>
      <c r="AM567" s="262">
        <f>FMS_Ranking4[[#This Row],[Structures removed, ArcSinh (0-10)]]*AK$5*10</f>
        <v>0</v>
      </c>
      <c r="AN567" s="253">
        <f>_xlfn.XLOOKUP(FMS_Ranking4[[#This Row],[FMS ID]],FMS_Input[FMS_ID],FMS_Input[REMRESSTRC100])</f>
        <v>0</v>
      </c>
      <c r="AO567" s="261">
        <f>FMS_Ranking4[[#This Row],[ArcSinh Res struct removed 0-10]]*AN$5*10</f>
        <v>0</v>
      </c>
      <c r="AP567" s="260">
        <f>ASINH(FMS_Ranking4[[#This Row],[Residential Structures Removed Raw]])/AP$4*AN$5*100</f>
        <v>0</v>
      </c>
      <c r="AQ567" s="254">
        <f>(ASINH(FMS_Ranking4[[#This Row],[Residential Structures Removed Raw]]))*(10)/(ASINH(AN$4))</f>
        <v>0</v>
      </c>
      <c r="AR567" s="253">
        <f>_xlfn.XLOOKUP(FMS_Ranking4[[#This Row],[FMS ID]],FMS_Input[FMS_ID],FMS_Input[REMPOP100])</f>
        <v>0</v>
      </c>
      <c r="AS567" s="259">
        <f>(ASINH(FMS_Ranking4[[#This Row],[Removed Pop Raw]]))*(10)/(ASINH(AR$4))</f>
        <v>0</v>
      </c>
      <c r="AT567" s="262">
        <f>FMS_Ranking4[[#This Row],[Removed population, ArcSinh (0-10)]]*AR$5*10</f>
        <v>0</v>
      </c>
      <c r="AU567" s="264">
        <f>_xlfn.XLOOKUP(FMS_Ranking4[[#This Row],[FMS ID]],FMS_Input[FMS_ID],FMS_Input[REMCRITFAC100])</f>
        <v>0</v>
      </c>
      <c r="AV567" s="264">
        <f>_xlfn.XLOOKUP(FMS_Ranking4[[#This Row],[FMS ID]],FMS_Input[FMS_ID],FMS_Input[REMLWC100])</f>
        <v>0</v>
      </c>
      <c r="AW567" s="264">
        <f>_xlfn.XLOOKUP(FMS_Ranking4[[#This Row],[FMS ID]],FMS_Input[FMS_ID],FMS_Input[REMROADCLS])</f>
        <v>0</v>
      </c>
      <c r="AX567" s="264">
        <f>_xlfn.XLOOKUP(FMS_Ranking4[[#This Row],[FMS ID]],FMS_Input[FMS_ID],FMS_Input[REMFRMACRE100])</f>
        <v>0</v>
      </c>
      <c r="AY567" s="258">
        <f>_xlfn.XLOOKUP(FMS_Ranking4[[#This Row],[FMS ID]],FMS_Input[FMS_ID],FMS_Input[COSTSTRUCT])</f>
        <v>0</v>
      </c>
      <c r="AZ567" s="253">
        <f>_xlfn.XLOOKUP(FMS_Ranking4[[#This Row],[FMS ID]],FMS_Input[FMS_ID],FMS_Input[NATURE])</f>
        <v>0</v>
      </c>
      <c r="BA567" s="262">
        <f>(((FMS_Ranking4[[#This Row],[% NBS Raw]]/AZ$4)*100)*AZ$5)</f>
        <v>0</v>
      </c>
      <c r="BB567" s="251" t="str">
        <f>_xlfn.XLOOKUP(FMS_Ranking4[[#This Row],[FMS ID]],FMS_Input[FMS_ID],FMS_Input[WATER_SUP])</f>
        <v>No</v>
      </c>
      <c r="BC567" s="265">
        <f>IF(FMS_Ranking4[[#This Row],[Water Supply Raw]]="Yes",10,0)</f>
        <v>0</v>
      </c>
      <c r="BD567" s="266">
        <f>_xlfn.XLOOKUP(FMS_Ranking4[[#This Row],[FMS Type]],FMS_TYPE[FMS_Type],FMS_TYPE[Score])</f>
        <v>10</v>
      </c>
      <c r="BE567" s="267">
        <f>FMS_Ranking4[[#This Row],[FMS_Type Score]]*$BD$5*10</f>
        <v>2.5</v>
      </c>
      <c r="BF56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2.6859015402410244E-2</v>
      </c>
      <c r="BG567" s="271">
        <f>_xlfn.RANK.EQ(BF567,$BF$8:$BF$870,0)+COUNTIF($BF$8:BF567,BF567)-1</f>
        <v>615</v>
      </c>
      <c r="BH567" s="268">
        <f>(((FMS_Ranking4[[#This Row],[Structures Removed Raw]]/AK$4)*100)*AK$5)+(((FMS_Ranking4[[#This Row],[Removed Pop Raw]]/AR$4)*100)*AR$5)</f>
        <v>0</v>
      </c>
      <c r="BI56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2.5268590154024104</v>
      </c>
      <c r="BJ567" s="205">
        <f>_xlfn.RANK.EQ(FMS_Ranking4[[#This Row],[Total Score 
(with linear
normalization)]],FMS_Ranking4[Total Score 
(with linear
normalization)],0)</f>
        <v>243</v>
      </c>
      <c r="BK567" s="205" t="e">
        <f>_xlfn.XLOOKUP(FMS_Ranking4[[#This Row],[FMS ID]],#REF!,#REF!)</f>
        <v>#REF!</v>
      </c>
      <c r="BL56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14.121800650512583</v>
      </c>
      <c r="BM567" s="272">
        <f>FMS_Ranking4[[#This Row],[ArcSinh Score Based on Normalized Reported Factors]]+FMS_Ranking4[[#This Row],[% NBS Score (Normalized)]]+(FMS_Ranking4[[#This Row],[Water Supply Score (Normalized)]]*10*$BB$5)+FMS_Ranking4[[#This Row],[FMS_Type Score Weighted]]</f>
        <v>16.621800650512583</v>
      </c>
      <c r="BN567" s="205">
        <f>_xlfn.RANK.EQ(FMS_Ranking4[[#This Row],[Total Score (with ArcSinh normalization of select criteria)]],FMS_Ranking4[Total Score (with ArcSinh normalization of select criteria)],0)</f>
        <v>560</v>
      </c>
      <c r="BO567" s="270" t="str">
        <f>_xlfn.XLOOKUP(FMS_Ranking4[[#This Row],[FMS ID]],FMS_Input[FMS_ID],FMS_Input[FMS_RANK_YEAR])</f>
        <v>2023 Amended Plan</v>
      </c>
      <c r="BP567" s="204">
        <f>_xlfn.XLOOKUP(FMS_Ranking4[[#This Row],[FMS ID]],Prev_Rank[FMS ID],Prev_Rank[Prev Rank])</f>
        <v>493</v>
      </c>
      <c r="BQ567" s="205" t="e">
        <f>_xlfn.XLOOKUP(FMS_Ranking4[[#This Row],[FMS ID]],#REF!,#REF!)</f>
        <v>#REF!</v>
      </c>
      <c r="BR567" s="199" t="e">
        <f>SUM(#REF!,#REF!,#REF!,#REF!,#REF!,#REF!,#REF!,#REF!,#REF!,FMS_Ranking4[[#This Row],[ArcSinh Res struct removed 0-10]],#REF!)</f>
        <v>#REF!</v>
      </c>
      <c r="BS567" s="199" t="e">
        <f>FMS_Ranking4[[#This Row],[Log Score Based on Normalized Reported Factors]]+FMS_Ranking4[[#This Row],[% NBS Score (Normalized)]]+(FMS_Ranking4[[#This Row],[Water Supply Score (Normalized)]]*10*$BB$5)+(FMS_Ranking4[[#This Row],[FMS_Type Score Weighted]])</f>
        <v>#REF!</v>
      </c>
      <c r="BT567" s="200" t="e">
        <f>_xlfn.RANK.EQ(FMS_Ranking4[[#This Row],[Log Total Score]],FMS_Ranking4[Log Total Score],0)</f>
        <v>#REF!</v>
      </c>
      <c r="BU567" s="200" t="e">
        <f>_xlfn.XLOOKUP(FMS_Ranking4[[#This Row],[FMS ID]],#REF!,#REF!)</f>
        <v>#REF!</v>
      </c>
      <c r="BV567" s="200">
        <f>FMS_Ranking4[[#This Row],[Region Number]]</f>
        <v>15</v>
      </c>
      <c r="BW567" s="200">
        <f>FMS_Ranking4[[#This Row],[Rank (with ArcSinh normalization of select criteria)]]-FMS_Ranking4[[#This Row],[Rank
(with linear
normalization)]]</f>
        <v>317</v>
      </c>
      <c r="BX567" s="200" t="e">
        <f>FMS_Ranking4[[#This Row],[Log Rank]]-FMS_Ranking4[[#This Row],[Rank
(with linear
normalization)]]</f>
        <v>#REF!</v>
      </c>
      <c r="BY567" s="200">
        <f>IF(FMS_Ranking4[[#This Row],[FMS Type]]="Flood Measurement and Warning",FMS_Ranking4[[#This Row],[Rank (with ArcSinh normalization of select criteria)]],"")</f>
        <v>560</v>
      </c>
      <c r="BZ567" s="200" t="str">
        <f>IF(FMS_Ranking4[[#This Row],[FMS Type]]="Regulatory and Guidance",FMS_Ranking4[[#This Row],[Rank (with ArcSinh normalization of select criteria)]],"")</f>
        <v/>
      </c>
      <c r="CA567" s="200" t="str">
        <f>IF(FMS_Ranking4[[#This Row],[FMS Type]]="Education and Outreach",FMS_Ranking4[[#This Row],[Rank (with ArcSinh normalization of select criteria)]],"")</f>
        <v/>
      </c>
      <c r="CB567" s="200" t="str">
        <f>IF(FMS_Ranking4[[#This Row],[FMS Type]]="Property Acquisition and Structural Elevation",FMS_Ranking4[[#This Row],[Rank (with ArcSinh normalization of select criteria)]],"")</f>
        <v/>
      </c>
      <c r="CC567" s="200" t="str">
        <f>IF(FMS_Ranking4[[#This Row],[FMS Type]]="Infrastructure Projects",FMS_Ranking4[[#This Row],[Rank (with ArcSinh normalization of select criteria)]],"")</f>
        <v/>
      </c>
      <c r="CD567" s="200" t="str">
        <f>IF(FMS_Ranking4[[#This Row],[FMS Type]]="Other",FMS_Ranking4[[#This Row],[Rank (with ArcSinh normalization of select criteria)]],"")</f>
        <v/>
      </c>
      <c r="CE567" s="201"/>
      <c r="CF567" s="206"/>
      <c r="CG567" s="206"/>
      <c r="CH567" s="206"/>
      <c r="CI567" s="206"/>
      <c r="CJ567" s="206"/>
      <c r="CK567" s="206"/>
      <c r="CL567" s="206"/>
      <c r="CM567" s="206"/>
      <c r="CN567" s="206"/>
      <c r="CO567" s="206"/>
      <c r="CP567" s="206"/>
      <c r="CQ567" s="206"/>
      <c r="CR567" s="206"/>
    </row>
    <row r="568" spans="2:96" ht="60" x14ac:dyDescent="0.25">
      <c r="B568" s="341" t="s">
        <v>3636</v>
      </c>
      <c r="C568" s="246">
        <f>_xlfn.XLOOKUP(FMS_Ranking4[[#This Row],[FMS ID]],FMS_Input[FMS_ID],FMS_Input[RFPG_NUM])</f>
        <v>13</v>
      </c>
      <c r="D568" s="309" t="str">
        <f>_xlfn.XLOOKUP(FMS_Ranking4[[#This Row],[FMS ID]],FMS_Input[FMS_ID],FMS_Input[FMS_NAME])</f>
        <v>Atascosa McMullen Hazard Mitigation Plan - City of Poteet Action #2</v>
      </c>
      <c r="E568" s="308" t="str">
        <f>_xlfn.XLOOKUP(FMS_Ranking4[[#This Row],[FMS ID]],FMS_Input[FMS_ID],FMS_Input[SPONSOR])</f>
        <v>13003118</v>
      </c>
      <c r="F568" s="309" t="str">
        <f>_xlfn.XLOOKUP(FMS_Ranking4[[#This Row],[FMS ID]],Sponsor[FMS_ID],Sponsor[SPONSOR NAME])</f>
        <v>Poteet</v>
      </c>
      <c r="G568" s="309" t="str">
        <f>_xlfn.XLOOKUP(FMS_Ranking4[[#This Row],[FMS ID]],FMS_Input[FMS_ID],FMS_Input[FMS_DESCR])</f>
        <v>Increase local enforcement of the flood damage prevention ordinance by hiring a more full time staff</v>
      </c>
      <c r="H568" s="248" t="str">
        <f>_xlfn.XLOOKUP(FMS_Ranking4[[#This Row],[FMS ID]],FMS_Input[FMS_ID],FMS_Input[FMS_TYPE])</f>
        <v>Regulatory and Guidance</v>
      </c>
      <c r="I568" s="249">
        <f>_xlfn.XLOOKUP(FMS_Ranking4[[#This Row],[FMS ID]],FMS_Input[FMS_ID],FMS_Input[NRNC_COST])</f>
        <v>530000</v>
      </c>
      <c r="J568" s="250">
        <f>_xlfn.XLOOKUP(FMS_Ranking4[[#This Row],[FMS ID]],FMS_Input[FMS_ID],FMS_Input[FMS_COST])</f>
        <v>530000</v>
      </c>
      <c r="K568" s="251" t="str">
        <f>_xlfn.XLOOKUP(FMS_Ranking4[[#This Row],[FMS ID]],FMS_Input[FMS_ID],FMS_Input[EMER_NEED])</f>
        <v>Yes</v>
      </c>
      <c r="L568" s="252">
        <f t="shared" si="8"/>
        <v>1</v>
      </c>
      <c r="M568" s="253">
        <f>_xlfn.XLOOKUP(FMS_Ranking4[[#This Row],[FMS ID]],FMS_Input[FMS_ID],FMS_Input[STRUCT_100])</f>
        <v>259</v>
      </c>
      <c r="N568" s="255">
        <f>(ASINH(FMS_Ranking4[[#This Row],[Structure at Risk Raw]]))*(10)/(ASINH(M$4))</f>
        <v>4.9134140512569662</v>
      </c>
      <c r="O568" s="256">
        <f>FMS_Ranking4[[#This Row],[Structures at risk, ArcSinh (0-10)]]*M$5*10</f>
        <v>4.9134140512569662</v>
      </c>
      <c r="P568" s="253">
        <f>_xlfn.XLOOKUP(FMS_Ranking4[[#This Row],[FMS ID]],FMS_Input[FMS_ID],FMS_Input[RES_STRUCT100])</f>
        <v>224</v>
      </c>
      <c r="Q568" s="257">
        <f>ASINH(FMS_Ranking4[[#This Row],[Res Structure Raw]])/Q$4*P$5*100</f>
        <v>0</v>
      </c>
      <c r="R568" s="253">
        <f>_xlfn.XLOOKUP(FMS_Ranking4[[#This Row],[FMS ID]],FMS_Input[FMS_ID],FMS_Input[POP100])</f>
        <v>471</v>
      </c>
      <c r="S568" s="259">
        <f>(ASINH(FMS_Ranking4[[#This Row],[Pop at Risk Raw]]))*(10)/(ASINH(R$4))</f>
        <v>4.7275774957265257</v>
      </c>
      <c r="T568" s="256">
        <f>FMS_Ranking4[[#This Row],[Population at risk, ArcSinh (0-10)]]*R$5*10</f>
        <v>4.7275774957265257</v>
      </c>
      <c r="U568" s="253">
        <f>_xlfn.XLOOKUP(FMS_Ranking4[[#This Row],[FMS ID]],FMS_Input[FMS_ID],FMS_Input[CRITFAC100])</f>
        <v>0</v>
      </c>
      <c r="V568" s="259">
        <f>(ASINH(FMS_Ranking4[[#This Row],[Critical Facilities Raw]]))*(10)/(ASINH(U$4))</f>
        <v>0</v>
      </c>
      <c r="W568" s="256">
        <f>FMS_Ranking4[[#This Row],[Critical facilities at risk, ArcSinh (0-10)]]*U$5*10</f>
        <v>0</v>
      </c>
      <c r="X568" s="253">
        <f>_xlfn.XLOOKUP(FMS_Ranking4[[#This Row],[FMS ID]],FMS_Input[FMS_ID],FMS_Input[LWC])</f>
        <v>0</v>
      </c>
      <c r="Y568" s="259">
        <f>(ASINH(FMS_Ranking4[[#This Row],[LWC Raw]]))*(10)/(ASINH(X$4))</f>
        <v>0</v>
      </c>
      <c r="Z568" s="256">
        <f>FMS_Ranking4[[#This Row],[LWC, ArcSInh (0-10)]]*X$5*10</f>
        <v>0</v>
      </c>
      <c r="AA568" s="253">
        <f>_xlfn.XLOOKUP(FMS_Ranking4[[#This Row],[FMS ID]],FMS_Input[FMS_ID],FMS_Input[ROADCLS])</f>
        <v>35</v>
      </c>
      <c r="AB568" s="255">
        <f>(ASINH(FMS_Ranking4[[#This Row],[Road Closures Raw]]))*(10)/(ASINH(AA$4))</f>
        <v>4.4246303217191274</v>
      </c>
      <c r="AC568" s="256">
        <f>FMS_Ranking4[[#This Row],[Road closures, ArcSinh (0-10)]]*AA$5*10</f>
        <v>2.2123151608595637</v>
      </c>
      <c r="AD568" s="253">
        <f>_xlfn.XLOOKUP(FMS_Ranking4[[#This Row],[FMS ID]],FMS_Input[FMS_ID],FMS_Input[ROAD_MILES100])</f>
        <v>5</v>
      </c>
      <c r="AE568" s="259">
        <f>(ASINH(FMS_Ranking4[[#This Row],[Road Miles Raw]]))*(10)/(ASINH(AD$4))</f>
        <v>2.4644230639487872</v>
      </c>
      <c r="AF568" s="256">
        <f>FMS_Ranking4[[#This Row],[Length of roads at risk, ArcSinh (0-10)]]*AD$5*10</f>
        <v>2.4644230639487876</v>
      </c>
      <c r="AG568" s="253">
        <f>_xlfn.XLOOKUP(FMS_Ranking4[[#This Row],[FMS ID]],FMS_Input[FMS_ID],FMS_Input[FARMACRE100])</f>
        <v>0.75985586643218994</v>
      </c>
      <c r="AH568" s="255">
        <f>(ASINH(FMS_Ranking4[[#This Row],[Ag Land Raw]]))*(10)/(ASINH(AG$4))</f>
        <v>0.45536520399906832</v>
      </c>
      <c r="AI568" s="260">
        <f>FMS_Ranking4[[#This Row],[Farm &amp; ranch land, ArcSinh (0-10)]]*AG$5*10</f>
        <v>0.22768260199953416</v>
      </c>
      <c r="AJ568" s="258">
        <f>_xlfn.XLOOKUP(FMS_Ranking4[[#This Row],[FMS ID]],FMS_Input[FMS_ID],FMS_Input[REDSTRUCT100])</f>
        <v>0</v>
      </c>
      <c r="AK568" s="253">
        <f>_xlfn.XLOOKUP(FMS_Ranking4[[#This Row],[FMS ID]],FMS_Input[FMS_ID],FMS_Input[REMSTRC100])</f>
        <v>0</v>
      </c>
      <c r="AL568" s="259">
        <f>(ASINH(FMS_Ranking4[[#This Row],[Structures Removed Raw]]))*(10)/(ASINH(AK$4))</f>
        <v>0</v>
      </c>
      <c r="AM568" s="262">
        <f>FMS_Ranking4[[#This Row],[Structures removed, ArcSinh (0-10)]]*AK$5*10</f>
        <v>0</v>
      </c>
      <c r="AN568" s="253">
        <f>_xlfn.XLOOKUP(FMS_Ranking4[[#This Row],[FMS ID]],FMS_Input[FMS_ID],FMS_Input[REMRESSTRC100])</f>
        <v>0</v>
      </c>
      <c r="AO568" s="261">
        <f>FMS_Ranking4[[#This Row],[ArcSinh Res struct removed 0-10]]*AN$5*10</f>
        <v>0</v>
      </c>
      <c r="AP568" s="260">
        <f>ASINH(FMS_Ranking4[[#This Row],[Residential Structures Removed Raw]])/AP$4*AN$5*100</f>
        <v>0</v>
      </c>
      <c r="AQ568" s="254">
        <f>(ASINH(FMS_Ranking4[[#This Row],[Residential Structures Removed Raw]]))*(10)/(ASINH(AN$4))</f>
        <v>0</v>
      </c>
      <c r="AR568" s="253">
        <f>_xlfn.XLOOKUP(FMS_Ranking4[[#This Row],[FMS ID]],FMS_Input[FMS_ID],FMS_Input[REMPOP100])</f>
        <v>0</v>
      </c>
      <c r="AS568" s="259">
        <f>(ASINH(FMS_Ranking4[[#This Row],[Removed Pop Raw]]))*(10)/(ASINH(AR$4))</f>
        <v>0</v>
      </c>
      <c r="AT568" s="262">
        <f>FMS_Ranking4[[#This Row],[Removed population, ArcSinh (0-10)]]*AR$5*10</f>
        <v>0</v>
      </c>
      <c r="AU568" s="264">
        <f>_xlfn.XLOOKUP(FMS_Ranking4[[#This Row],[FMS ID]],FMS_Input[FMS_ID],FMS_Input[REMCRITFAC100])</f>
        <v>0</v>
      </c>
      <c r="AV568" s="264">
        <f>_xlfn.XLOOKUP(FMS_Ranking4[[#This Row],[FMS ID]],FMS_Input[FMS_ID],FMS_Input[REMLWC100])</f>
        <v>0</v>
      </c>
      <c r="AW568" s="264">
        <f>_xlfn.XLOOKUP(FMS_Ranking4[[#This Row],[FMS ID]],FMS_Input[FMS_ID],FMS_Input[REMROADCLS])</f>
        <v>0</v>
      </c>
      <c r="AX568" s="264">
        <f>_xlfn.XLOOKUP(FMS_Ranking4[[#This Row],[FMS ID]],FMS_Input[FMS_ID],FMS_Input[REMFRMACRE100])</f>
        <v>0</v>
      </c>
      <c r="AY568" s="258">
        <f>_xlfn.XLOOKUP(FMS_Ranking4[[#This Row],[FMS ID]],FMS_Input[FMS_ID],FMS_Input[COSTSTRUCT])</f>
        <v>0</v>
      </c>
      <c r="AZ568" s="253">
        <f>_xlfn.XLOOKUP(FMS_Ranking4[[#This Row],[FMS ID]],FMS_Input[FMS_ID],FMS_Input[NATURE])</f>
        <v>0</v>
      </c>
      <c r="BA568" s="262">
        <f>(((FMS_Ranking4[[#This Row],[% NBS Raw]]/AZ$4)*100)*AZ$5)</f>
        <v>0</v>
      </c>
      <c r="BB568" s="251" t="str">
        <f>_xlfn.XLOOKUP(FMS_Ranking4[[#This Row],[FMS ID]],FMS_Input[FMS_ID],FMS_Input[WATER_SUP])</f>
        <v>No</v>
      </c>
      <c r="BC568" s="265">
        <f>IF(FMS_Ranking4[[#This Row],[Water Supply Raw]]="Yes",10,0)</f>
        <v>0</v>
      </c>
      <c r="BD568" s="266">
        <f>_xlfn.XLOOKUP(FMS_Ranking4[[#This Row],[FMS Type]],FMS_TYPE[FMS_Type],FMS_TYPE[Score])</f>
        <v>8</v>
      </c>
      <c r="BE568" s="267">
        <f>FMS_Ranking4[[#This Row],[FMS_Type Score]]*$BD$5*10</f>
        <v>2</v>
      </c>
      <c r="BF56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5.2371896998600773E-2</v>
      </c>
      <c r="BG568" s="271">
        <f>_xlfn.RANK.EQ(BF568,$BF$8:$BF$870,0)+COUNTIF($BF$8:BF568,BF568)-1</f>
        <v>559</v>
      </c>
      <c r="BH568" s="268">
        <f>(((FMS_Ranking4[[#This Row],[Structures Removed Raw]]/AK$4)*100)*AK$5)+(((FMS_Ranking4[[#This Row],[Removed Pop Raw]]/AR$4)*100)*AR$5)</f>
        <v>0</v>
      </c>
      <c r="BI56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2.0523718969986007</v>
      </c>
      <c r="BJ568" s="205">
        <f>_xlfn.RANK.EQ(FMS_Ranking4[[#This Row],[Total Score 
(with linear
normalization)]],FMS_Ranking4[Total Score 
(with linear
normalization)],0)</f>
        <v>387</v>
      </c>
      <c r="BK568" s="205" t="e">
        <f>_xlfn.XLOOKUP(FMS_Ranking4[[#This Row],[FMS ID]],#REF!,#REF!)</f>
        <v>#REF!</v>
      </c>
      <c r="BL56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14.545412373791379</v>
      </c>
      <c r="BM568" s="272">
        <f>FMS_Ranking4[[#This Row],[ArcSinh Score Based on Normalized Reported Factors]]+FMS_Ranking4[[#This Row],[% NBS Score (Normalized)]]+(FMS_Ranking4[[#This Row],[Water Supply Score (Normalized)]]*10*$BB$5)+FMS_Ranking4[[#This Row],[FMS_Type Score Weighted]]</f>
        <v>16.545412373791379</v>
      </c>
      <c r="BN568" s="205">
        <f>_xlfn.RANK.EQ(FMS_Ranking4[[#This Row],[Total Score (with ArcSinh normalization of select criteria)]],FMS_Ranking4[Total Score (with ArcSinh normalization of select criteria)],0)</f>
        <v>561</v>
      </c>
      <c r="BO568" s="270" t="str">
        <f>_xlfn.XLOOKUP(FMS_Ranking4[[#This Row],[FMS ID]],FMS_Input[FMS_ID],FMS_Input[FMS_RANK_YEAR])</f>
        <v>2023 Amended Plan</v>
      </c>
      <c r="BP568" s="204">
        <f>_xlfn.XLOOKUP(FMS_Ranking4[[#This Row],[FMS ID]],Prev_Rank[FMS ID],Prev_Rank[Prev Rank])</f>
        <v>496</v>
      </c>
      <c r="BQ568" s="205" t="e">
        <f>_xlfn.XLOOKUP(FMS_Ranking4[[#This Row],[FMS ID]],#REF!,#REF!)</f>
        <v>#REF!</v>
      </c>
      <c r="BR568" s="199" t="e">
        <f>SUM(#REF!,#REF!,#REF!,#REF!,#REF!,#REF!,#REF!,#REF!,#REF!,FMS_Ranking4[[#This Row],[ArcSinh Res struct removed 0-10]],#REF!)</f>
        <v>#REF!</v>
      </c>
      <c r="BS568" s="199" t="e">
        <f>FMS_Ranking4[[#This Row],[Log Score Based on Normalized Reported Factors]]+FMS_Ranking4[[#This Row],[% NBS Score (Normalized)]]+(FMS_Ranking4[[#This Row],[Water Supply Score (Normalized)]]*10*$BB$5)+(FMS_Ranking4[[#This Row],[FMS_Type Score Weighted]])</f>
        <v>#REF!</v>
      </c>
      <c r="BT568" s="200" t="e">
        <f>_xlfn.RANK.EQ(FMS_Ranking4[[#This Row],[Log Total Score]],FMS_Ranking4[Log Total Score],0)</f>
        <v>#REF!</v>
      </c>
      <c r="BU568" s="200" t="e">
        <f>_xlfn.XLOOKUP(FMS_Ranking4[[#This Row],[FMS ID]],#REF!,#REF!)</f>
        <v>#REF!</v>
      </c>
      <c r="BV568" s="200">
        <f>FMS_Ranking4[[#This Row],[Region Number]]</f>
        <v>13</v>
      </c>
      <c r="BW568" s="200">
        <f>FMS_Ranking4[[#This Row],[Rank (with ArcSinh normalization of select criteria)]]-FMS_Ranking4[[#This Row],[Rank
(with linear
normalization)]]</f>
        <v>174</v>
      </c>
      <c r="BX568" s="200" t="e">
        <f>FMS_Ranking4[[#This Row],[Log Rank]]-FMS_Ranking4[[#This Row],[Rank
(with linear
normalization)]]</f>
        <v>#REF!</v>
      </c>
      <c r="BY568" s="200" t="str">
        <f>IF(FMS_Ranking4[[#This Row],[FMS Type]]="Flood Measurement and Warning",FMS_Ranking4[[#This Row],[Rank (with ArcSinh normalization of select criteria)]],"")</f>
        <v/>
      </c>
      <c r="BZ568" s="200">
        <f>IF(FMS_Ranking4[[#This Row],[FMS Type]]="Regulatory and Guidance",FMS_Ranking4[[#This Row],[Rank (with ArcSinh normalization of select criteria)]],"")</f>
        <v>561</v>
      </c>
      <c r="CA568" s="200" t="str">
        <f>IF(FMS_Ranking4[[#This Row],[FMS Type]]="Education and Outreach",FMS_Ranking4[[#This Row],[Rank (with ArcSinh normalization of select criteria)]],"")</f>
        <v/>
      </c>
      <c r="CB568" s="200" t="str">
        <f>IF(FMS_Ranking4[[#This Row],[FMS Type]]="Property Acquisition and Structural Elevation",FMS_Ranking4[[#This Row],[Rank (with ArcSinh normalization of select criteria)]],"")</f>
        <v/>
      </c>
      <c r="CC568" s="200" t="str">
        <f>IF(FMS_Ranking4[[#This Row],[FMS Type]]="Infrastructure Projects",FMS_Ranking4[[#This Row],[Rank (with ArcSinh normalization of select criteria)]],"")</f>
        <v/>
      </c>
      <c r="CD568" s="200" t="str">
        <f>IF(FMS_Ranking4[[#This Row],[FMS Type]]="Other",FMS_Ranking4[[#This Row],[Rank (with ArcSinh normalization of select criteria)]],"")</f>
        <v/>
      </c>
      <c r="CE568" s="201"/>
      <c r="CF568" s="206"/>
      <c r="CG568" s="206"/>
      <c r="CH568" s="206"/>
      <c r="CI568" s="206"/>
      <c r="CJ568" s="206"/>
      <c r="CK568" s="206"/>
      <c r="CL568" s="206"/>
      <c r="CM568" s="206"/>
      <c r="CN568" s="206"/>
      <c r="CO568" s="206"/>
      <c r="CP568" s="206"/>
      <c r="CQ568" s="206"/>
      <c r="CR568" s="206"/>
    </row>
    <row r="569" spans="2:96" ht="135" x14ac:dyDescent="0.25">
      <c r="B569" s="341" t="s">
        <v>12413</v>
      </c>
      <c r="C569" s="246">
        <f>_xlfn.XLOOKUP(FMS_Ranking4[[#This Row],[FMS ID]],FMS_Input[FMS_ID],FMS_Input[RFPG_NUM])</f>
        <v>6</v>
      </c>
      <c r="D569" s="309" t="str">
        <f>_xlfn.XLOOKUP(FMS_Ranking4[[#This Row],[FMS ID]],FMS_Input[FMS_ID],FMS_Input[FMS_NAME])</f>
        <v>Chambers County Property Acquisition</v>
      </c>
      <c r="E569" s="308" t="str">
        <f>_xlfn.XLOOKUP(FMS_Ranking4[[#This Row],[FMS ID]],FMS_Input[FMS_ID],FMS_Input[SPONSOR])</f>
        <v>00000013</v>
      </c>
      <c r="F569" s="309" t="str">
        <f>_xlfn.XLOOKUP(FMS_Ranking4[[#This Row],[FMS ID]],Sponsor[FMS_ID],Sponsor[SPONSOR NAME])</f>
        <v>Chambers</v>
      </c>
      <c r="G569" s="309" t="str">
        <f>_xlfn.XLOOKUP(FMS_Ranking4[[#This Row],[FMS ID]],FMS_Input[FMS_ID],FMS_Input[FMS_DESCR])</f>
        <v>This flood management strategy proposes that funds be established for Chambers County to implement a county-wide voluntary property acquisition program for structures located within the 100-year floodplain or the floodway of an existing watercourse.</v>
      </c>
      <c r="H569" s="248" t="str">
        <f>_xlfn.XLOOKUP(FMS_Ranking4[[#This Row],[FMS ID]],FMS_Input[FMS_ID],FMS_Input[FMS_TYPE])</f>
        <v>Regulatory and Guidance</v>
      </c>
      <c r="I569" s="249">
        <f>_xlfn.XLOOKUP(FMS_Ranking4[[#This Row],[FMS ID]],FMS_Input[FMS_ID],FMS_Input[NRNC_COST])</f>
        <v>18000</v>
      </c>
      <c r="J569" s="250">
        <f>_xlfn.XLOOKUP(FMS_Ranking4[[#This Row],[FMS ID]],FMS_Input[FMS_ID],FMS_Input[FMS_COST])</f>
        <v>360000</v>
      </c>
      <c r="K569" s="251" t="str">
        <f>_xlfn.XLOOKUP(FMS_Ranking4[[#This Row],[FMS ID]],FMS_Input[FMS_ID],FMS_Input[EMER_NEED])</f>
        <v>No</v>
      </c>
      <c r="L569" s="252">
        <f t="shared" si="8"/>
        <v>0</v>
      </c>
      <c r="M569" s="253">
        <f>_xlfn.XLOOKUP(FMS_Ranking4[[#This Row],[FMS ID]],FMS_Input[FMS_ID],FMS_Input[STRUCT_100])</f>
        <v>146</v>
      </c>
      <c r="N569" s="255">
        <f>(ASINH(FMS_Ranking4[[#This Row],[Structure at Risk Raw]]))*(10)/(ASINH(M$4))</f>
        <v>4.4627829406266981</v>
      </c>
      <c r="O569" s="256">
        <f>FMS_Ranking4[[#This Row],[Structures at risk, ArcSinh (0-10)]]*M$5*10</f>
        <v>4.4627829406266981</v>
      </c>
      <c r="P569" s="253">
        <f>_xlfn.XLOOKUP(FMS_Ranking4[[#This Row],[FMS ID]],FMS_Input[FMS_ID],FMS_Input[RES_STRUCT100])</f>
        <v>54</v>
      </c>
      <c r="Q569" s="257">
        <f>ASINH(FMS_Ranking4[[#This Row],[Res Structure Raw]])/Q$4*P$5*100</f>
        <v>0</v>
      </c>
      <c r="R569" s="253">
        <f>_xlfn.XLOOKUP(FMS_Ranking4[[#This Row],[FMS ID]],FMS_Input[FMS_ID],FMS_Input[POP100])</f>
        <v>775</v>
      </c>
      <c r="S569" s="259">
        <f>(ASINH(FMS_Ranking4[[#This Row],[Pop at Risk Raw]]))*(10)/(ASINH(R$4))</f>
        <v>5.0713788047701236</v>
      </c>
      <c r="T569" s="256">
        <f>FMS_Ranking4[[#This Row],[Population at risk, ArcSinh (0-10)]]*R$5*10</f>
        <v>5.0713788047701236</v>
      </c>
      <c r="U569" s="253">
        <f>_xlfn.XLOOKUP(FMS_Ranking4[[#This Row],[FMS ID]],FMS_Input[FMS_ID],FMS_Input[CRITFAC100])</f>
        <v>0</v>
      </c>
      <c r="V569" s="259">
        <f>(ASINH(FMS_Ranking4[[#This Row],[Critical Facilities Raw]]))*(10)/(ASINH(U$4))</f>
        <v>0</v>
      </c>
      <c r="W569" s="256">
        <f>FMS_Ranking4[[#This Row],[Critical facilities at risk, ArcSinh (0-10)]]*U$5*10</f>
        <v>0</v>
      </c>
      <c r="X569" s="253">
        <f>_xlfn.XLOOKUP(FMS_Ranking4[[#This Row],[FMS ID]],FMS_Input[FMS_ID],FMS_Input[LWC])</f>
        <v>0</v>
      </c>
      <c r="Y569" s="259">
        <f>(ASINH(FMS_Ranking4[[#This Row],[LWC Raw]]))*(10)/(ASINH(X$4))</f>
        <v>0</v>
      </c>
      <c r="Z569" s="256">
        <f>FMS_Ranking4[[#This Row],[LWC, ArcSInh (0-10)]]*X$5*10</f>
        <v>0</v>
      </c>
      <c r="AA569" s="253">
        <f>_xlfn.XLOOKUP(FMS_Ranking4[[#This Row],[FMS ID]],FMS_Input[FMS_ID],FMS_Input[ROADCLS])</f>
        <v>0</v>
      </c>
      <c r="AB569" s="255">
        <f>(ASINH(FMS_Ranking4[[#This Row],[Road Closures Raw]]))*(10)/(ASINH(AA$4))</f>
        <v>0</v>
      </c>
      <c r="AC569" s="256">
        <f>FMS_Ranking4[[#This Row],[Road closures, ArcSinh (0-10)]]*AA$5*10</f>
        <v>0</v>
      </c>
      <c r="AD569" s="253">
        <f>_xlfn.XLOOKUP(FMS_Ranking4[[#This Row],[FMS ID]],FMS_Input[FMS_ID],FMS_Input[ROAD_MILES100])</f>
        <v>7</v>
      </c>
      <c r="AE569" s="259">
        <f>(ASINH(FMS_Ranking4[[#This Row],[Road Miles Raw]]))*(10)/(ASINH(AD$4))</f>
        <v>2.8179052695658946</v>
      </c>
      <c r="AF569" s="256">
        <f>FMS_Ranking4[[#This Row],[Length of roads at risk, ArcSinh (0-10)]]*AD$5*10</f>
        <v>2.8179052695658946</v>
      </c>
      <c r="AG569" s="253">
        <f>_xlfn.XLOOKUP(FMS_Ranking4[[#This Row],[FMS ID]],FMS_Input[FMS_ID],FMS_Input[FARMACRE100])</f>
        <v>353.7679443359375</v>
      </c>
      <c r="AH569" s="255">
        <f>(ASINH(FMS_Ranking4[[#This Row],[Ag Land Raw]]))*(10)/(ASINH(AG$4))</f>
        <v>4.2624174180866277</v>
      </c>
      <c r="AI569" s="260">
        <f>FMS_Ranking4[[#This Row],[Farm &amp; ranch land, ArcSinh (0-10)]]*AG$5*10</f>
        <v>2.1312087090433138</v>
      </c>
      <c r="AJ569" s="258">
        <f>_xlfn.XLOOKUP(FMS_Ranking4[[#This Row],[FMS ID]],FMS_Input[FMS_ID],FMS_Input[REDSTRUCT100])</f>
        <v>0</v>
      </c>
      <c r="AK569" s="253">
        <f>_xlfn.XLOOKUP(FMS_Ranking4[[#This Row],[FMS ID]],FMS_Input[FMS_ID],FMS_Input[REMSTRC100])</f>
        <v>0</v>
      </c>
      <c r="AL569" s="259">
        <f>(ASINH(FMS_Ranking4[[#This Row],[Structures Removed Raw]]))*(10)/(ASINH(AK$4))</f>
        <v>0</v>
      </c>
      <c r="AM569" s="262">
        <f>FMS_Ranking4[[#This Row],[Structures removed, ArcSinh (0-10)]]*AK$5*10</f>
        <v>0</v>
      </c>
      <c r="AN569" s="253">
        <f>_xlfn.XLOOKUP(FMS_Ranking4[[#This Row],[FMS ID]],FMS_Input[FMS_ID],FMS_Input[REMRESSTRC100])</f>
        <v>0</v>
      </c>
      <c r="AO569" s="261">
        <f>FMS_Ranking4[[#This Row],[ArcSinh Res struct removed 0-10]]*AN$5*10</f>
        <v>0</v>
      </c>
      <c r="AP569" s="260">
        <f>ASINH(FMS_Ranking4[[#This Row],[Residential Structures Removed Raw]])/AP$4*AN$5*100</f>
        <v>0</v>
      </c>
      <c r="AQ569" s="254">
        <f>(ASINH(FMS_Ranking4[[#This Row],[Residential Structures Removed Raw]]))*(10)/(ASINH(AN$4))</f>
        <v>0</v>
      </c>
      <c r="AR569" s="253">
        <f>_xlfn.XLOOKUP(FMS_Ranking4[[#This Row],[FMS ID]],FMS_Input[FMS_ID],FMS_Input[REMPOP100])</f>
        <v>0</v>
      </c>
      <c r="AS569" s="259">
        <f>(ASINH(FMS_Ranking4[[#This Row],[Removed Pop Raw]]))*(10)/(ASINH(AR$4))</f>
        <v>0</v>
      </c>
      <c r="AT569" s="262">
        <f>FMS_Ranking4[[#This Row],[Removed population, ArcSinh (0-10)]]*AR$5*10</f>
        <v>0</v>
      </c>
      <c r="AU569" s="264">
        <f>_xlfn.XLOOKUP(FMS_Ranking4[[#This Row],[FMS ID]],FMS_Input[FMS_ID],FMS_Input[REMCRITFAC100])</f>
        <v>0</v>
      </c>
      <c r="AV569" s="264">
        <f>_xlfn.XLOOKUP(FMS_Ranking4[[#This Row],[FMS ID]],FMS_Input[FMS_ID],FMS_Input[REMLWC100])</f>
        <v>0</v>
      </c>
      <c r="AW569" s="264">
        <f>_xlfn.XLOOKUP(FMS_Ranking4[[#This Row],[FMS ID]],FMS_Input[FMS_ID],FMS_Input[REMROADCLS])</f>
        <v>0</v>
      </c>
      <c r="AX569" s="264">
        <f>_xlfn.XLOOKUP(FMS_Ranking4[[#This Row],[FMS ID]],FMS_Input[FMS_ID],FMS_Input[REMFRMACRE100])</f>
        <v>0</v>
      </c>
      <c r="AY569" s="258">
        <f>_xlfn.XLOOKUP(FMS_Ranking4[[#This Row],[FMS ID]],FMS_Input[FMS_ID],FMS_Input[COSTSTRUCT])</f>
        <v>0</v>
      </c>
      <c r="AZ569" s="253">
        <f>_xlfn.XLOOKUP(FMS_Ranking4[[#This Row],[FMS ID]],FMS_Input[FMS_ID],FMS_Input[NATURE])</f>
        <v>0</v>
      </c>
      <c r="BA569" s="262">
        <f>(((FMS_Ranking4[[#This Row],[% NBS Raw]]/AZ$4)*100)*AZ$5)</f>
        <v>0</v>
      </c>
      <c r="BB569" s="251" t="str">
        <f>_xlfn.XLOOKUP(FMS_Ranking4[[#This Row],[FMS ID]],FMS_Input[FMS_ID],FMS_Input[WATER_SUP])</f>
        <v>No</v>
      </c>
      <c r="BC569" s="265">
        <f>IF(FMS_Ranking4[[#This Row],[Water Supply Raw]]="Yes",10,0)</f>
        <v>0</v>
      </c>
      <c r="BD569" s="266">
        <f>_xlfn.XLOOKUP(FMS_Ranking4[[#This Row],[FMS Type]],FMS_TYPE[FMS_Type],FMS_TYPE[Score])</f>
        <v>8</v>
      </c>
      <c r="BE569" s="267">
        <f>FMS_Ranking4[[#This Row],[FMS_Type Score]]*$BD$5*10</f>
        <v>2</v>
      </c>
      <c r="BF56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2.9170456509097269E-2</v>
      </c>
      <c r="BG569" s="271">
        <f>_xlfn.RANK.EQ(BF569,$BF$8:$BF$870,0)+COUNTIF($BF$8:BF569,BF569)-1</f>
        <v>600</v>
      </c>
      <c r="BH569" s="268">
        <f>(((FMS_Ranking4[[#This Row],[Structures Removed Raw]]/AK$4)*100)*AK$5)+(((FMS_Ranking4[[#This Row],[Removed Pop Raw]]/AR$4)*100)*AR$5)</f>
        <v>0</v>
      </c>
      <c r="BI56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2.0291704565090973</v>
      </c>
      <c r="BJ569" s="205">
        <f>_xlfn.RANK.EQ(FMS_Ranking4[[#This Row],[Total Score 
(with linear
normalization)]],FMS_Ranking4[Total Score 
(with linear
normalization)],0)</f>
        <v>397</v>
      </c>
      <c r="BK569" s="205" t="e">
        <f>_xlfn.XLOOKUP(FMS_Ranking4[[#This Row],[FMS ID]],#REF!,#REF!)</f>
        <v>#REF!</v>
      </c>
      <c r="BL56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14.483275724006031</v>
      </c>
      <c r="BM569" s="272">
        <f>FMS_Ranking4[[#This Row],[ArcSinh Score Based on Normalized Reported Factors]]+FMS_Ranking4[[#This Row],[% NBS Score (Normalized)]]+(FMS_Ranking4[[#This Row],[Water Supply Score (Normalized)]]*10*$BB$5)+FMS_Ranking4[[#This Row],[FMS_Type Score Weighted]]</f>
        <v>16.483275724006031</v>
      </c>
      <c r="BN569" s="205">
        <f>_xlfn.RANK.EQ(FMS_Ranking4[[#This Row],[Total Score (with ArcSinh normalization of select criteria)]],FMS_Ranking4[Total Score (with ArcSinh normalization of select criteria)],0)</f>
        <v>562</v>
      </c>
      <c r="BO569" s="270" t="str">
        <f>_xlfn.XLOOKUP(FMS_Ranking4[[#This Row],[FMS ID]],FMS_Input[FMS_ID],FMS_Input[FMS_RANK_YEAR])</f>
        <v>2025 Amended Plan</v>
      </c>
      <c r="BP569" s="204" t="e">
        <f>_xlfn.XLOOKUP(FMS_Ranking4[[#This Row],[FMS ID]],Prev_Rank[FMS ID],Prev_Rank[Prev Rank])</f>
        <v>#N/A</v>
      </c>
      <c r="BQ569" s="205" t="e">
        <f>_xlfn.XLOOKUP(FMS_Ranking4[[#This Row],[FMS ID]],#REF!,#REF!)</f>
        <v>#REF!</v>
      </c>
      <c r="BR569" s="199" t="e">
        <f>SUM(#REF!,#REF!,#REF!,#REF!,#REF!,#REF!,#REF!,#REF!,#REF!,FMS_Ranking4[[#This Row],[ArcSinh Res struct removed 0-10]],#REF!)</f>
        <v>#REF!</v>
      </c>
      <c r="BS569" s="199" t="e">
        <f>FMS_Ranking4[[#This Row],[Log Score Based on Normalized Reported Factors]]+FMS_Ranking4[[#This Row],[% NBS Score (Normalized)]]+(FMS_Ranking4[[#This Row],[Water Supply Score (Normalized)]]*10*$BB$5)+(FMS_Ranking4[[#This Row],[FMS_Type Score Weighted]])</f>
        <v>#REF!</v>
      </c>
      <c r="BT569" s="200" t="e">
        <f>_xlfn.RANK.EQ(FMS_Ranking4[[#This Row],[Log Total Score]],FMS_Ranking4[Log Total Score],0)</f>
        <v>#REF!</v>
      </c>
      <c r="BU569" s="200" t="e">
        <f>_xlfn.XLOOKUP(FMS_Ranking4[[#This Row],[FMS ID]],#REF!,#REF!)</f>
        <v>#REF!</v>
      </c>
      <c r="BV569" s="200">
        <f>FMS_Ranking4[[#This Row],[Region Number]]</f>
        <v>6</v>
      </c>
      <c r="BW569" s="200">
        <f>FMS_Ranking4[[#This Row],[Rank (with ArcSinh normalization of select criteria)]]-FMS_Ranking4[[#This Row],[Rank
(with linear
normalization)]]</f>
        <v>165</v>
      </c>
      <c r="BX569" s="200" t="e">
        <f>FMS_Ranking4[[#This Row],[Log Rank]]-FMS_Ranking4[[#This Row],[Rank
(with linear
normalization)]]</f>
        <v>#REF!</v>
      </c>
      <c r="BY569" s="200" t="str">
        <f>IF(FMS_Ranking4[[#This Row],[FMS Type]]="Flood Measurement and Warning",FMS_Ranking4[[#This Row],[Rank (with ArcSinh normalization of select criteria)]],"")</f>
        <v/>
      </c>
      <c r="BZ569" s="200">
        <f>IF(FMS_Ranking4[[#This Row],[FMS Type]]="Regulatory and Guidance",FMS_Ranking4[[#This Row],[Rank (with ArcSinh normalization of select criteria)]],"")</f>
        <v>562</v>
      </c>
      <c r="CA569" s="200" t="str">
        <f>IF(FMS_Ranking4[[#This Row],[FMS Type]]="Education and Outreach",FMS_Ranking4[[#This Row],[Rank (with ArcSinh normalization of select criteria)]],"")</f>
        <v/>
      </c>
      <c r="CB569" s="200" t="str">
        <f>IF(FMS_Ranking4[[#This Row],[FMS Type]]="Property Acquisition and Structural Elevation",FMS_Ranking4[[#This Row],[Rank (with ArcSinh normalization of select criteria)]],"")</f>
        <v/>
      </c>
      <c r="CC569" s="200" t="str">
        <f>IF(FMS_Ranking4[[#This Row],[FMS Type]]="Infrastructure Projects",FMS_Ranking4[[#This Row],[Rank (with ArcSinh normalization of select criteria)]],"")</f>
        <v/>
      </c>
      <c r="CD569" s="200" t="str">
        <f>IF(FMS_Ranking4[[#This Row],[FMS Type]]="Other",FMS_Ranking4[[#This Row],[Rank (with ArcSinh normalization of select criteria)]],"")</f>
        <v/>
      </c>
      <c r="CE569" s="201"/>
      <c r="CF569" s="206"/>
      <c r="CG569" s="206"/>
      <c r="CH569" s="206"/>
      <c r="CI569" s="206"/>
      <c r="CJ569" s="206"/>
      <c r="CK569" s="206"/>
      <c r="CL569" s="206"/>
      <c r="CM569" s="206"/>
      <c r="CN569" s="206"/>
      <c r="CO569" s="206"/>
      <c r="CP569" s="206"/>
      <c r="CQ569" s="206"/>
      <c r="CR569" s="206"/>
    </row>
    <row r="570" spans="2:96" ht="90" x14ac:dyDescent="0.25">
      <c r="B570" s="341" t="s">
        <v>12418</v>
      </c>
      <c r="C570" s="246">
        <f>_xlfn.XLOOKUP(FMS_Ranking4[[#This Row],[FMS ID]],FMS_Input[FMS_ID],FMS_Input[RFPG_NUM])</f>
        <v>6</v>
      </c>
      <c r="D570" s="309" t="str">
        <f>_xlfn.XLOOKUP(FMS_Ranking4[[#This Row],[FMS ID]],FMS_Input[FMS_ID],FMS_Input[FMS_NAME])</f>
        <v>Chambers County Drainage Criteria Manual Update</v>
      </c>
      <c r="E570" s="308" t="str">
        <f>_xlfn.XLOOKUP(FMS_Ranking4[[#This Row],[FMS ID]],FMS_Input[FMS_ID],FMS_Input[SPONSOR])</f>
        <v>00000013</v>
      </c>
      <c r="F570" s="309" t="str">
        <f>_xlfn.XLOOKUP(FMS_Ranking4[[#This Row],[FMS ID]],Sponsor[FMS_ID],Sponsor[SPONSOR NAME])</f>
        <v>Chambers</v>
      </c>
      <c r="G570" s="309" t="str">
        <f>_xlfn.XLOOKUP(FMS_Ranking4[[#This Row],[FMS ID]],FMS_Input[FMS_ID],FMS_Input[FMS_DESCR])</f>
        <v>Update Drainage Criteria Manual for the County to minimize and eliminate the possibility of future development adversely impacting downstream communities.</v>
      </c>
      <c r="H570" s="248" t="str">
        <f>_xlfn.XLOOKUP(FMS_Ranking4[[#This Row],[FMS ID]],FMS_Input[FMS_ID],FMS_Input[FMS_TYPE])</f>
        <v>Regulatory and Guidance</v>
      </c>
      <c r="I570" s="249">
        <f>_xlfn.XLOOKUP(FMS_Ranking4[[#This Row],[FMS ID]],FMS_Input[FMS_ID],FMS_Input[NRNC_COST])</f>
        <v>6350</v>
      </c>
      <c r="J570" s="250">
        <f>_xlfn.XLOOKUP(FMS_Ranking4[[#This Row],[FMS ID]],FMS_Input[FMS_ID],FMS_Input[FMS_COST])</f>
        <v>127000</v>
      </c>
      <c r="K570" s="251" t="str">
        <f>_xlfn.XLOOKUP(FMS_Ranking4[[#This Row],[FMS ID]],FMS_Input[FMS_ID],FMS_Input[EMER_NEED])</f>
        <v>No</v>
      </c>
      <c r="L570" s="252">
        <f t="shared" si="8"/>
        <v>0</v>
      </c>
      <c r="M570" s="253">
        <f>_xlfn.XLOOKUP(FMS_Ranking4[[#This Row],[FMS ID]],FMS_Input[FMS_ID],FMS_Input[STRUCT_100])</f>
        <v>146</v>
      </c>
      <c r="N570" s="255">
        <f>(ASINH(FMS_Ranking4[[#This Row],[Structure at Risk Raw]]))*(10)/(ASINH(M$4))</f>
        <v>4.4627829406266981</v>
      </c>
      <c r="O570" s="256">
        <f>FMS_Ranking4[[#This Row],[Structures at risk, ArcSinh (0-10)]]*M$5*10</f>
        <v>4.4627829406266981</v>
      </c>
      <c r="P570" s="253">
        <f>_xlfn.XLOOKUP(FMS_Ranking4[[#This Row],[FMS ID]],FMS_Input[FMS_ID],FMS_Input[RES_STRUCT100])</f>
        <v>54</v>
      </c>
      <c r="Q570" s="257">
        <f>ASINH(FMS_Ranking4[[#This Row],[Res Structure Raw]])/Q$4*P$5*100</f>
        <v>0</v>
      </c>
      <c r="R570" s="253">
        <f>_xlfn.XLOOKUP(FMS_Ranking4[[#This Row],[FMS ID]],FMS_Input[FMS_ID],FMS_Input[POP100])</f>
        <v>775</v>
      </c>
      <c r="S570" s="259">
        <f>(ASINH(FMS_Ranking4[[#This Row],[Pop at Risk Raw]]))*(10)/(ASINH(R$4))</f>
        <v>5.0713788047701236</v>
      </c>
      <c r="T570" s="256">
        <f>FMS_Ranking4[[#This Row],[Population at risk, ArcSinh (0-10)]]*R$5*10</f>
        <v>5.0713788047701236</v>
      </c>
      <c r="U570" s="253">
        <f>_xlfn.XLOOKUP(FMS_Ranking4[[#This Row],[FMS ID]],FMS_Input[FMS_ID],FMS_Input[CRITFAC100])</f>
        <v>0</v>
      </c>
      <c r="V570" s="259">
        <f>(ASINH(FMS_Ranking4[[#This Row],[Critical Facilities Raw]]))*(10)/(ASINH(U$4))</f>
        <v>0</v>
      </c>
      <c r="W570" s="256">
        <f>FMS_Ranking4[[#This Row],[Critical facilities at risk, ArcSinh (0-10)]]*U$5*10</f>
        <v>0</v>
      </c>
      <c r="X570" s="253">
        <f>_xlfn.XLOOKUP(FMS_Ranking4[[#This Row],[FMS ID]],FMS_Input[FMS_ID],FMS_Input[LWC])</f>
        <v>0</v>
      </c>
      <c r="Y570" s="259">
        <f>(ASINH(FMS_Ranking4[[#This Row],[LWC Raw]]))*(10)/(ASINH(X$4))</f>
        <v>0</v>
      </c>
      <c r="Z570" s="256">
        <f>FMS_Ranking4[[#This Row],[LWC, ArcSInh (0-10)]]*X$5*10</f>
        <v>0</v>
      </c>
      <c r="AA570" s="253">
        <f>_xlfn.XLOOKUP(FMS_Ranking4[[#This Row],[FMS ID]],FMS_Input[FMS_ID],FMS_Input[ROADCLS])</f>
        <v>0</v>
      </c>
      <c r="AB570" s="255">
        <f>(ASINH(FMS_Ranking4[[#This Row],[Road Closures Raw]]))*(10)/(ASINH(AA$4))</f>
        <v>0</v>
      </c>
      <c r="AC570" s="256">
        <f>FMS_Ranking4[[#This Row],[Road closures, ArcSinh (0-10)]]*AA$5*10</f>
        <v>0</v>
      </c>
      <c r="AD570" s="253">
        <f>_xlfn.XLOOKUP(FMS_Ranking4[[#This Row],[FMS ID]],FMS_Input[FMS_ID],FMS_Input[ROAD_MILES100])</f>
        <v>7</v>
      </c>
      <c r="AE570" s="259">
        <f>(ASINH(FMS_Ranking4[[#This Row],[Road Miles Raw]]))*(10)/(ASINH(AD$4))</f>
        <v>2.8179052695658946</v>
      </c>
      <c r="AF570" s="256">
        <f>FMS_Ranking4[[#This Row],[Length of roads at risk, ArcSinh (0-10)]]*AD$5*10</f>
        <v>2.8179052695658946</v>
      </c>
      <c r="AG570" s="253">
        <f>_xlfn.XLOOKUP(FMS_Ranking4[[#This Row],[FMS ID]],FMS_Input[FMS_ID],FMS_Input[FARMACRE100])</f>
        <v>353.7679443359375</v>
      </c>
      <c r="AH570" s="255">
        <f>(ASINH(FMS_Ranking4[[#This Row],[Ag Land Raw]]))*(10)/(ASINH(AG$4))</f>
        <v>4.2624174180866277</v>
      </c>
      <c r="AI570" s="260">
        <f>FMS_Ranking4[[#This Row],[Farm &amp; ranch land, ArcSinh (0-10)]]*AG$5*10</f>
        <v>2.1312087090433138</v>
      </c>
      <c r="AJ570" s="258">
        <f>_xlfn.XLOOKUP(FMS_Ranking4[[#This Row],[FMS ID]],FMS_Input[FMS_ID],FMS_Input[REDSTRUCT100])</f>
        <v>0</v>
      </c>
      <c r="AK570" s="253">
        <f>_xlfn.XLOOKUP(FMS_Ranking4[[#This Row],[FMS ID]],FMS_Input[FMS_ID],FMS_Input[REMSTRC100])</f>
        <v>0</v>
      </c>
      <c r="AL570" s="259">
        <f>(ASINH(FMS_Ranking4[[#This Row],[Structures Removed Raw]]))*(10)/(ASINH(AK$4))</f>
        <v>0</v>
      </c>
      <c r="AM570" s="262">
        <f>FMS_Ranking4[[#This Row],[Structures removed, ArcSinh (0-10)]]*AK$5*10</f>
        <v>0</v>
      </c>
      <c r="AN570" s="253">
        <f>_xlfn.XLOOKUP(FMS_Ranking4[[#This Row],[FMS ID]],FMS_Input[FMS_ID],FMS_Input[REMRESSTRC100])</f>
        <v>0</v>
      </c>
      <c r="AO570" s="261">
        <f>FMS_Ranking4[[#This Row],[ArcSinh Res struct removed 0-10]]*AN$5*10</f>
        <v>0</v>
      </c>
      <c r="AP570" s="260">
        <f>ASINH(FMS_Ranking4[[#This Row],[Residential Structures Removed Raw]])/AP$4*AN$5*100</f>
        <v>0</v>
      </c>
      <c r="AQ570" s="254">
        <f>(ASINH(FMS_Ranking4[[#This Row],[Residential Structures Removed Raw]]))*(10)/(ASINH(AN$4))</f>
        <v>0</v>
      </c>
      <c r="AR570" s="253">
        <f>_xlfn.XLOOKUP(FMS_Ranking4[[#This Row],[FMS ID]],FMS_Input[FMS_ID],FMS_Input[REMPOP100])</f>
        <v>0</v>
      </c>
      <c r="AS570" s="259">
        <f>(ASINH(FMS_Ranking4[[#This Row],[Removed Pop Raw]]))*(10)/(ASINH(AR$4))</f>
        <v>0</v>
      </c>
      <c r="AT570" s="262">
        <f>FMS_Ranking4[[#This Row],[Removed population, ArcSinh (0-10)]]*AR$5*10</f>
        <v>0</v>
      </c>
      <c r="AU570" s="264">
        <f>_xlfn.XLOOKUP(FMS_Ranking4[[#This Row],[FMS ID]],FMS_Input[FMS_ID],FMS_Input[REMCRITFAC100])</f>
        <v>0</v>
      </c>
      <c r="AV570" s="264">
        <f>_xlfn.XLOOKUP(FMS_Ranking4[[#This Row],[FMS ID]],FMS_Input[FMS_ID],FMS_Input[REMLWC100])</f>
        <v>0</v>
      </c>
      <c r="AW570" s="264">
        <f>_xlfn.XLOOKUP(FMS_Ranking4[[#This Row],[FMS ID]],FMS_Input[FMS_ID],FMS_Input[REMROADCLS])</f>
        <v>0</v>
      </c>
      <c r="AX570" s="264">
        <f>_xlfn.XLOOKUP(FMS_Ranking4[[#This Row],[FMS ID]],FMS_Input[FMS_ID],FMS_Input[REMFRMACRE100])</f>
        <v>0</v>
      </c>
      <c r="AY570" s="258">
        <f>_xlfn.XLOOKUP(FMS_Ranking4[[#This Row],[FMS ID]],FMS_Input[FMS_ID],FMS_Input[COSTSTRUCT])</f>
        <v>0</v>
      </c>
      <c r="AZ570" s="253">
        <f>_xlfn.XLOOKUP(FMS_Ranking4[[#This Row],[FMS ID]],FMS_Input[FMS_ID],FMS_Input[NATURE])</f>
        <v>0</v>
      </c>
      <c r="BA570" s="262">
        <f>(((FMS_Ranking4[[#This Row],[% NBS Raw]]/AZ$4)*100)*AZ$5)</f>
        <v>0</v>
      </c>
      <c r="BB570" s="251" t="str">
        <f>_xlfn.XLOOKUP(FMS_Ranking4[[#This Row],[FMS ID]],FMS_Input[FMS_ID],FMS_Input[WATER_SUP])</f>
        <v>No</v>
      </c>
      <c r="BC570" s="265">
        <f>IF(FMS_Ranking4[[#This Row],[Water Supply Raw]]="Yes",10,0)</f>
        <v>0</v>
      </c>
      <c r="BD570" s="266">
        <f>_xlfn.XLOOKUP(FMS_Ranking4[[#This Row],[FMS Type]],FMS_TYPE[FMS_Type],FMS_TYPE[Score])</f>
        <v>8</v>
      </c>
      <c r="BE570" s="267">
        <f>FMS_Ranking4[[#This Row],[FMS_Type Score]]*$BD$5*10</f>
        <v>2</v>
      </c>
      <c r="BF57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2.9170456509097269E-2</v>
      </c>
      <c r="BG570" s="271">
        <f>_xlfn.RANK.EQ(BF570,$BF$8:$BF$870,0)+COUNTIF($BF$8:BF570,BF570)-1</f>
        <v>601</v>
      </c>
      <c r="BH570" s="268">
        <f>(((FMS_Ranking4[[#This Row],[Structures Removed Raw]]/AK$4)*100)*AK$5)+(((FMS_Ranking4[[#This Row],[Removed Pop Raw]]/AR$4)*100)*AR$5)</f>
        <v>0</v>
      </c>
      <c r="BI57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2.0291704565090973</v>
      </c>
      <c r="BJ570" s="205">
        <f>_xlfn.RANK.EQ(FMS_Ranking4[[#This Row],[Total Score 
(with linear
normalization)]],FMS_Ranking4[Total Score 
(with linear
normalization)],0)</f>
        <v>397</v>
      </c>
      <c r="BK570" s="205" t="e">
        <f>_xlfn.XLOOKUP(FMS_Ranking4[[#This Row],[FMS ID]],#REF!,#REF!)</f>
        <v>#REF!</v>
      </c>
      <c r="BL57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14.483275724006031</v>
      </c>
      <c r="BM570" s="272">
        <f>FMS_Ranking4[[#This Row],[ArcSinh Score Based on Normalized Reported Factors]]+FMS_Ranking4[[#This Row],[% NBS Score (Normalized)]]+(FMS_Ranking4[[#This Row],[Water Supply Score (Normalized)]]*10*$BB$5)+FMS_Ranking4[[#This Row],[FMS_Type Score Weighted]]</f>
        <v>16.483275724006031</v>
      </c>
      <c r="BN570" s="205">
        <f>_xlfn.RANK.EQ(FMS_Ranking4[[#This Row],[Total Score (with ArcSinh normalization of select criteria)]],FMS_Ranking4[Total Score (with ArcSinh normalization of select criteria)],0)</f>
        <v>562</v>
      </c>
      <c r="BO570" s="270" t="str">
        <f>_xlfn.XLOOKUP(FMS_Ranking4[[#This Row],[FMS ID]],FMS_Input[FMS_ID],FMS_Input[FMS_RANK_YEAR])</f>
        <v>2025 Amended Plan</v>
      </c>
      <c r="BP570" s="204" t="e">
        <f>_xlfn.XLOOKUP(FMS_Ranking4[[#This Row],[FMS ID]],Prev_Rank[FMS ID],Prev_Rank[Prev Rank])</f>
        <v>#N/A</v>
      </c>
      <c r="BQ570" s="205" t="e">
        <f>_xlfn.XLOOKUP(FMS_Ranking4[[#This Row],[FMS ID]],#REF!,#REF!)</f>
        <v>#REF!</v>
      </c>
      <c r="BR570" s="199" t="e">
        <f>SUM(#REF!,#REF!,#REF!,#REF!,#REF!,#REF!,#REF!,#REF!,#REF!,FMS_Ranking4[[#This Row],[ArcSinh Res struct removed 0-10]],#REF!)</f>
        <v>#REF!</v>
      </c>
      <c r="BS570" s="199" t="e">
        <f>FMS_Ranking4[[#This Row],[Log Score Based on Normalized Reported Factors]]+FMS_Ranking4[[#This Row],[% NBS Score (Normalized)]]+(FMS_Ranking4[[#This Row],[Water Supply Score (Normalized)]]*10*$BB$5)+(FMS_Ranking4[[#This Row],[FMS_Type Score Weighted]])</f>
        <v>#REF!</v>
      </c>
      <c r="BT570" s="200" t="e">
        <f>_xlfn.RANK.EQ(FMS_Ranking4[[#This Row],[Log Total Score]],FMS_Ranking4[Log Total Score],0)</f>
        <v>#REF!</v>
      </c>
      <c r="BU570" s="200" t="e">
        <f>_xlfn.XLOOKUP(FMS_Ranking4[[#This Row],[FMS ID]],#REF!,#REF!)</f>
        <v>#REF!</v>
      </c>
      <c r="BV570" s="200">
        <f>FMS_Ranking4[[#This Row],[Region Number]]</f>
        <v>6</v>
      </c>
      <c r="BW570" s="200">
        <f>FMS_Ranking4[[#This Row],[Rank (with ArcSinh normalization of select criteria)]]-FMS_Ranking4[[#This Row],[Rank
(with linear
normalization)]]</f>
        <v>165</v>
      </c>
      <c r="BX570" s="200" t="e">
        <f>FMS_Ranking4[[#This Row],[Log Rank]]-FMS_Ranking4[[#This Row],[Rank
(with linear
normalization)]]</f>
        <v>#REF!</v>
      </c>
      <c r="BY570" s="200" t="str">
        <f>IF(FMS_Ranking4[[#This Row],[FMS Type]]="Flood Measurement and Warning",FMS_Ranking4[[#This Row],[Rank (with ArcSinh normalization of select criteria)]],"")</f>
        <v/>
      </c>
      <c r="BZ570" s="200">
        <f>IF(FMS_Ranking4[[#This Row],[FMS Type]]="Regulatory and Guidance",FMS_Ranking4[[#This Row],[Rank (with ArcSinh normalization of select criteria)]],"")</f>
        <v>562</v>
      </c>
      <c r="CA570" s="200" t="str">
        <f>IF(FMS_Ranking4[[#This Row],[FMS Type]]="Education and Outreach",FMS_Ranking4[[#This Row],[Rank (with ArcSinh normalization of select criteria)]],"")</f>
        <v/>
      </c>
      <c r="CB570" s="200" t="str">
        <f>IF(FMS_Ranking4[[#This Row],[FMS Type]]="Property Acquisition and Structural Elevation",FMS_Ranking4[[#This Row],[Rank (with ArcSinh normalization of select criteria)]],"")</f>
        <v/>
      </c>
      <c r="CC570" s="200" t="str">
        <f>IF(FMS_Ranking4[[#This Row],[FMS Type]]="Infrastructure Projects",FMS_Ranking4[[#This Row],[Rank (with ArcSinh normalization of select criteria)]],"")</f>
        <v/>
      </c>
      <c r="CD570" s="200" t="str">
        <f>IF(FMS_Ranking4[[#This Row],[FMS Type]]="Other",FMS_Ranking4[[#This Row],[Rank (with ArcSinh normalization of select criteria)]],"")</f>
        <v/>
      </c>
      <c r="CE570" s="201"/>
      <c r="CF570" s="206"/>
      <c r="CG570" s="206"/>
      <c r="CH570" s="206"/>
      <c r="CI570" s="206"/>
      <c r="CJ570" s="206"/>
      <c r="CK570" s="206"/>
      <c r="CL570" s="206"/>
      <c r="CM570" s="206"/>
      <c r="CN570" s="206"/>
      <c r="CO570" s="206"/>
      <c r="CP570" s="206"/>
      <c r="CQ570" s="206"/>
      <c r="CR570" s="206"/>
    </row>
    <row r="571" spans="2:96" ht="60" x14ac:dyDescent="0.25">
      <c r="B571" s="341" t="s">
        <v>12416</v>
      </c>
      <c r="C571" s="246">
        <f>_xlfn.XLOOKUP(FMS_Ranking4[[#This Row],[FMS ID]],FMS_Input[FMS_ID],FMS_Input[RFPG_NUM])</f>
        <v>6</v>
      </c>
      <c r="D571" s="309" t="str">
        <f>_xlfn.XLOOKUP(FMS_Ranking4[[#This Row],[FMS ID]],FMS_Input[FMS_ID],FMS_Input[FMS_NAME])</f>
        <v>Chambers County Flood Model and Map Management System</v>
      </c>
      <c r="E571" s="308" t="str">
        <f>_xlfn.XLOOKUP(FMS_Ranking4[[#This Row],[FMS ID]],FMS_Input[FMS_ID],FMS_Input[SPONSOR])</f>
        <v>00000013</v>
      </c>
      <c r="F571" s="309" t="str">
        <f>_xlfn.XLOOKUP(FMS_Ranking4[[#This Row],[FMS ID]],Sponsor[FMS_ID],Sponsor[SPONSOR NAME])</f>
        <v>Chambers</v>
      </c>
      <c r="G571" s="309" t="str">
        <f>_xlfn.XLOOKUP(FMS_Ranking4[[#This Row],[FMS ID]],FMS_Input[FMS_ID],FMS_Input[FMS_DESCR])</f>
        <v>Develop and implement a web-based system to manage flood models and mapping and regulate future development.</v>
      </c>
      <c r="H571" s="248" t="str">
        <f>_xlfn.XLOOKUP(FMS_Ranking4[[#This Row],[FMS ID]],FMS_Input[FMS_ID],FMS_Input[FMS_TYPE])</f>
        <v>Regulatory and Guidance</v>
      </c>
      <c r="I571" s="249">
        <f>_xlfn.XLOOKUP(FMS_Ranking4[[#This Row],[FMS ID]],FMS_Input[FMS_ID],FMS_Input[NRNC_COST])</f>
        <v>1800</v>
      </c>
      <c r="J571" s="250">
        <f>_xlfn.XLOOKUP(FMS_Ranking4[[#This Row],[FMS ID]],FMS_Input[FMS_ID],FMS_Input[FMS_COST])</f>
        <v>36000</v>
      </c>
      <c r="K571" s="251" t="str">
        <f>_xlfn.XLOOKUP(FMS_Ranking4[[#This Row],[FMS ID]],FMS_Input[FMS_ID],FMS_Input[EMER_NEED])</f>
        <v>No</v>
      </c>
      <c r="L571" s="252">
        <f t="shared" si="8"/>
        <v>0</v>
      </c>
      <c r="M571" s="253">
        <f>_xlfn.XLOOKUP(FMS_Ranking4[[#This Row],[FMS ID]],FMS_Input[FMS_ID],FMS_Input[STRUCT_100])</f>
        <v>146</v>
      </c>
      <c r="N571" s="255">
        <f>(ASINH(FMS_Ranking4[[#This Row],[Structure at Risk Raw]]))*(10)/(ASINH(M$4))</f>
        <v>4.4627829406266981</v>
      </c>
      <c r="O571" s="256">
        <f>FMS_Ranking4[[#This Row],[Structures at risk, ArcSinh (0-10)]]*M$5*10</f>
        <v>4.4627829406266981</v>
      </c>
      <c r="P571" s="253">
        <f>_xlfn.XLOOKUP(FMS_Ranking4[[#This Row],[FMS ID]],FMS_Input[FMS_ID],FMS_Input[RES_STRUCT100])</f>
        <v>54</v>
      </c>
      <c r="Q571" s="257">
        <f>ASINH(FMS_Ranking4[[#This Row],[Res Structure Raw]])/Q$4*P$5*100</f>
        <v>0</v>
      </c>
      <c r="R571" s="253">
        <f>_xlfn.XLOOKUP(FMS_Ranking4[[#This Row],[FMS ID]],FMS_Input[FMS_ID],FMS_Input[POP100])</f>
        <v>775</v>
      </c>
      <c r="S571" s="259">
        <f>(ASINH(FMS_Ranking4[[#This Row],[Pop at Risk Raw]]))*(10)/(ASINH(R$4))</f>
        <v>5.0713788047701236</v>
      </c>
      <c r="T571" s="256">
        <f>FMS_Ranking4[[#This Row],[Population at risk, ArcSinh (0-10)]]*R$5*10</f>
        <v>5.0713788047701236</v>
      </c>
      <c r="U571" s="253">
        <f>_xlfn.XLOOKUP(FMS_Ranking4[[#This Row],[FMS ID]],FMS_Input[FMS_ID],FMS_Input[CRITFAC100])</f>
        <v>0</v>
      </c>
      <c r="V571" s="259">
        <f>(ASINH(FMS_Ranking4[[#This Row],[Critical Facilities Raw]]))*(10)/(ASINH(U$4))</f>
        <v>0</v>
      </c>
      <c r="W571" s="256">
        <f>FMS_Ranking4[[#This Row],[Critical facilities at risk, ArcSinh (0-10)]]*U$5*10</f>
        <v>0</v>
      </c>
      <c r="X571" s="253">
        <f>_xlfn.XLOOKUP(FMS_Ranking4[[#This Row],[FMS ID]],FMS_Input[FMS_ID],FMS_Input[LWC])</f>
        <v>0</v>
      </c>
      <c r="Y571" s="259">
        <f>(ASINH(FMS_Ranking4[[#This Row],[LWC Raw]]))*(10)/(ASINH(X$4))</f>
        <v>0</v>
      </c>
      <c r="Z571" s="256">
        <f>FMS_Ranking4[[#This Row],[LWC, ArcSInh (0-10)]]*X$5*10</f>
        <v>0</v>
      </c>
      <c r="AA571" s="253">
        <f>_xlfn.XLOOKUP(FMS_Ranking4[[#This Row],[FMS ID]],FMS_Input[FMS_ID],FMS_Input[ROADCLS])</f>
        <v>0</v>
      </c>
      <c r="AB571" s="255">
        <f>(ASINH(FMS_Ranking4[[#This Row],[Road Closures Raw]]))*(10)/(ASINH(AA$4))</f>
        <v>0</v>
      </c>
      <c r="AC571" s="256">
        <f>FMS_Ranking4[[#This Row],[Road closures, ArcSinh (0-10)]]*AA$5*10</f>
        <v>0</v>
      </c>
      <c r="AD571" s="253">
        <f>_xlfn.XLOOKUP(FMS_Ranking4[[#This Row],[FMS ID]],FMS_Input[FMS_ID],FMS_Input[ROAD_MILES100])</f>
        <v>7</v>
      </c>
      <c r="AE571" s="259">
        <f>(ASINH(FMS_Ranking4[[#This Row],[Road Miles Raw]]))*(10)/(ASINH(AD$4))</f>
        <v>2.8179052695658946</v>
      </c>
      <c r="AF571" s="256">
        <f>FMS_Ranking4[[#This Row],[Length of roads at risk, ArcSinh (0-10)]]*AD$5*10</f>
        <v>2.8179052695658946</v>
      </c>
      <c r="AG571" s="253">
        <f>_xlfn.XLOOKUP(FMS_Ranking4[[#This Row],[FMS ID]],FMS_Input[FMS_ID],FMS_Input[FARMACRE100])</f>
        <v>353.7679443359375</v>
      </c>
      <c r="AH571" s="255">
        <f>(ASINH(FMS_Ranking4[[#This Row],[Ag Land Raw]]))*(10)/(ASINH(AG$4))</f>
        <v>4.2624174180866277</v>
      </c>
      <c r="AI571" s="260">
        <f>FMS_Ranking4[[#This Row],[Farm &amp; ranch land, ArcSinh (0-10)]]*AG$5*10</f>
        <v>2.1312087090433138</v>
      </c>
      <c r="AJ571" s="258">
        <f>_xlfn.XLOOKUP(FMS_Ranking4[[#This Row],[FMS ID]],FMS_Input[FMS_ID],FMS_Input[REDSTRUCT100])</f>
        <v>0</v>
      </c>
      <c r="AK571" s="253">
        <f>_xlfn.XLOOKUP(FMS_Ranking4[[#This Row],[FMS ID]],FMS_Input[FMS_ID],FMS_Input[REMSTRC100])</f>
        <v>0</v>
      </c>
      <c r="AL571" s="259">
        <f>(ASINH(FMS_Ranking4[[#This Row],[Structures Removed Raw]]))*(10)/(ASINH(AK$4))</f>
        <v>0</v>
      </c>
      <c r="AM571" s="262">
        <f>FMS_Ranking4[[#This Row],[Structures removed, ArcSinh (0-10)]]*AK$5*10</f>
        <v>0</v>
      </c>
      <c r="AN571" s="253">
        <f>_xlfn.XLOOKUP(FMS_Ranking4[[#This Row],[FMS ID]],FMS_Input[FMS_ID],FMS_Input[REMRESSTRC100])</f>
        <v>0</v>
      </c>
      <c r="AO571" s="261">
        <f>FMS_Ranking4[[#This Row],[ArcSinh Res struct removed 0-10]]*AN$5*10</f>
        <v>0</v>
      </c>
      <c r="AP571" s="260">
        <f>ASINH(FMS_Ranking4[[#This Row],[Residential Structures Removed Raw]])/AP$4*AN$5*100</f>
        <v>0</v>
      </c>
      <c r="AQ571" s="254">
        <f>(ASINH(FMS_Ranking4[[#This Row],[Residential Structures Removed Raw]]))*(10)/(ASINH(AN$4))</f>
        <v>0</v>
      </c>
      <c r="AR571" s="253">
        <f>_xlfn.XLOOKUP(FMS_Ranking4[[#This Row],[FMS ID]],FMS_Input[FMS_ID],FMS_Input[REMPOP100])</f>
        <v>0</v>
      </c>
      <c r="AS571" s="259">
        <f>(ASINH(FMS_Ranking4[[#This Row],[Removed Pop Raw]]))*(10)/(ASINH(AR$4))</f>
        <v>0</v>
      </c>
      <c r="AT571" s="262">
        <f>FMS_Ranking4[[#This Row],[Removed population, ArcSinh (0-10)]]*AR$5*10</f>
        <v>0</v>
      </c>
      <c r="AU571" s="264">
        <f>_xlfn.XLOOKUP(FMS_Ranking4[[#This Row],[FMS ID]],FMS_Input[FMS_ID],FMS_Input[REMCRITFAC100])</f>
        <v>0</v>
      </c>
      <c r="AV571" s="264">
        <f>_xlfn.XLOOKUP(FMS_Ranking4[[#This Row],[FMS ID]],FMS_Input[FMS_ID],FMS_Input[REMLWC100])</f>
        <v>0</v>
      </c>
      <c r="AW571" s="264">
        <f>_xlfn.XLOOKUP(FMS_Ranking4[[#This Row],[FMS ID]],FMS_Input[FMS_ID],FMS_Input[REMROADCLS])</f>
        <v>0</v>
      </c>
      <c r="AX571" s="264">
        <f>_xlfn.XLOOKUP(FMS_Ranking4[[#This Row],[FMS ID]],FMS_Input[FMS_ID],FMS_Input[REMFRMACRE100])</f>
        <v>0</v>
      </c>
      <c r="AY571" s="258">
        <f>_xlfn.XLOOKUP(FMS_Ranking4[[#This Row],[FMS ID]],FMS_Input[FMS_ID],FMS_Input[COSTSTRUCT])</f>
        <v>0</v>
      </c>
      <c r="AZ571" s="253">
        <f>_xlfn.XLOOKUP(FMS_Ranking4[[#This Row],[FMS ID]],FMS_Input[FMS_ID],FMS_Input[NATURE])</f>
        <v>0</v>
      </c>
      <c r="BA571" s="262">
        <f>(((FMS_Ranking4[[#This Row],[% NBS Raw]]/AZ$4)*100)*AZ$5)</f>
        <v>0</v>
      </c>
      <c r="BB571" s="251" t="str">
        <f>_xlfn.XLOOKUP(FMS_Ranking4[[#This Row],[FMS ID]],FMS_Input[FMS_ID],FMS_Input[WATER_SUP])</f>
        <v>No</v>
      </c>
      <c r="BC571" s="265">
        <f>IF(FMS_Ranking4[[#This Row],[Water Supply Raw]]="Yes",10,0)</f>
        <v>0</v>
      </c>
      <c r="BD571" s="266">
        <f>_xlfn.XLOOKUP(FMS_Ranking4[[#This Row],[FMS Type]],FMS_TYPE[FMS_Type],FMS_TYPE[Score])</f>
        <v>8</v>
      </c>
      <c r="BE571" s="267">
        <f>FMS_Ranking4[[#This Row],[FMS_Type Score]]*$BD$5*10</f>
        <v>2</v>
      </c>
      <c r="BF57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2.9170456509097269E-2</v>
      </c>
      <c r="BG571" s="271">
        <f>_xlfn.RANK.EQ(BF571,$BF$8:$BF$870,0)+COUNTIF($BF$8:BF571,BF571)-1</f>
        <v>602</v>
      </c>
      <c r="BH571" s="268">
        <f>(((FMS_Ranking4[[#This Row],[Structures Removed Raw]]/AK$4)*100)*AK$5)+(((FMS_Ranking4[[#This Row],[Removed Pop Raw]]/AR$4)*100)*AR$5)</f>
        <v>0</v>
      </c>
      <c r="BI57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2.0291704565090973</v>
      </c>
      <c r="BJ571" s="205">
        <f>_xlfn.RANK.EQ(FMS_Ranking4[[#This Row],[Total Score 
(with linear
normalization)]],FMS_Ranking4[Total Score 
(with linear
normalization)],0)</f>
        <v>397</v>
      </c>
      <c r="BK571" s="205" t="e">
        <f>_xlfn.XLOOKUP(FMS_Ranking4[[#This Row],[FMS ID]],#REF!,#REF!)</f>
        <v>#REF!</v>
      </c>
      <c r="BL57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14.483275724006031</v>
      </c>
      <c r="BM571" s="272">
        <f>FMS_Ranking4[[#This Row],[ArcSinh Score Based on Normalized Reported Factors]]+FMS_Ranking4[[#This Row],[% NBS Score (Normalized)]]+(FMS_Ranking4[[#This Row],[Water Supply Score (Normalized)]]*10*$BB$5)+FMS_Ranking4[[#This Row],[FMS_Type Score Weighted]]</f>
        <v>16.483275724006031</v>
      </c>
      <c r="BN571" s="205">
        <f>_xlfn.RANK.EQ(FMS_Ranking4[[#This Row],[Total Score (with ArcSinh normalization of select criteria)]],FMS_Ranking4[Total Score (with ArcSinh normalization of select criteria)],0)</f>
        <v>562</v>
      </c>
      <c r="BO571" s="270" t="str">
        <f>_xlfn.XLOOKUP(FMS_Ranking4[[#This Row],[FMS ID]],FMS_Input[FMS_ID],FMS_Input[FMS_RANK_YEAR])</f>
        <v>2025 Amended Plan</v>
      </c>
      <c r="BP571" s="204" t="e">
        <f>_xlfn.XLOOKUP(FMS_Ranking4[[#This Row],[FMS ID]],Prev_Rank[FMS ID],Prev_Rank[Prev Rank])</f>
        <v>#N/A</v>
      </c>
      <c r="BQ571" s="205" t="e">
        <f>_xlfn.XLOOKUP(FMS_Ranking4[[#This Row],[FMS ID]],#REF!,#REF!)</f>
        <v>#REF!</v>
      </c>
      <c r="BR571" s="199" t="e">
        <f>SUM(#REF!,#REF!,#REF!,#REF!,#REF!,#REF!,#REF!,#REF!,#REF!,FMS_Ranking4[[#This Row],[ArcSinh Res struct removed 0-10]],#REF!)</f>
        <v>#REF!</v>
      </c>
      <c r="BS571" s="199" t="e">
        <f>FMS_Ranking4[[#This Row],[Log Score Based on Normalized Reported Factors]]+FMS_Ranking4[[#This Row],[% NBS Score (Normalized)]]+(FMS_Ranking4[[#This Row],[Water Supply Score (Normalized)]]*10*$BB$5)+(FMS_Ranking4[[#This Row],[FMS_Type Score Weighted]])</f>
        <v>#REF!</v>
      </c>
      <c r="BT571" s="200" t="e">
        <f>_xlfn.RANK.EQ(FMS_Ranking4[[#This Row],[Log Total Score]],FMS_Ranking4[Log Total Score],0)</f>
        <v>#REF!</v>
      </c>
      <c r="BU571" s="200" t="e">
        <f>_xlfn.XLOOKUP(FMS_Ranking4[[#This Row],[FMS ID]],#REF!,#REF!)</f>
        <v>#REF!</v>
      </c>
      <c r="BV571" s="200">
        <f>FMS_Ranking4[[#This Row],[Region Number]]</f>
        <v>6</v>
      </c>
      <c r="BW571" s="200">
        <f>FMS_Ranking4[[#This Row],[Rank (with ArcSinh normalization of select criteria)]]-FMS_Ranking4[[#This Row],[Rank
(with linear
normalization)]]</f>
        <v>165</v>
      </c>
      <c r="BX571" s="200" t="e">
        <f>FMS_Ranking4[[#This Row],[Log Rank]]-FMS_Ranking4[[#This Row],[Rank
(with linear
normalization)]]</f>
        <v>#REF!</v>
      </c>
      <c r="BY571" s="200" t="str">
        <f>IF(FMS_Ranking4[[#This Row],[FMS Type]]="Flood Measurement and Warning",FMS_Ranking4[[#This Row],[Rank (with ArcSinh normalization of select criteria)]],"")</f>
        <v/>
      </c>
      <c r="BZ571" s="200">
        <f>IF(FMS_Ranking4[[#This Row],[FMS Type]]="Regulatory and Guidance",FMS_Ranking4[[#This Row],[Rank (with ArcSinh normalization of select criteria)]],"")</f>
        <v>562</v>
      </c>
      <c r="CA571" s="200" t="str">
        <f>IF(FMS_Ranking4[[#This Row],[FMS Type]]="Education and Outreach",FMS_Ranking4[[#This Row],[Rank (with ArcSinh normalization of select criteria)]],"")</f>
        <v/>
      </c>
      <c r="CB571" s="200" t="str">
        <f>IF(FMS_Ranking4[[#This Row],[FMS Type]]="Property Acquisition and Structural Elevation",FMS_Ranking4[[#This Row],[Rank (with ArcSinh normalization of select criteria)]],"")</f>
        <v/>
      </c>
      <c r="CC571" s="200" t="str">
        <f>IF(FMS_Ranking4[[#This Row],[FMS Type]]="Infrastructure Projects",FMS_Ranking4[[#This Row],[Rank (with ArcSinh normalization of select criteria)]],"")</f>
        <v/>
      </c>
      <c r="CD571" s="200" t="str">
        <f>IF(FMS_Ranking4[[#This Row],[FMS Type]]="Other",FMS_Ranking4[[#This Row],[Rank (with ArcSinh normalization of select criteria)]],"")</f>
        <v/>
      </c>
      <c r="CE571" s="201"/>
      <c r="CF571" s="206"/>
      <c r="CG571" s="206"/>
      <c r="CH571" s="206"/>
      <c r="CI571" s="206"/>
      <c r="CJ571" s="206"/>
      <c r="CK571" s="206"/>
      <c r="CL571" s="206"/>
      <c r="CM571" s="206"/>
      <c r="CN571" s="206"/>
      <c r="CO571" s="206"/>
      <c r="CP571" s="206"/>
      <c r="CQ571" s="206"/>
      <c r="CR571" s="206"/>
    </row>
    <row r="572" spans="2:96" ht="60" x14ac:dyDescent="0.25">
      <c r="B572" s="346" t="s">
        <v>12405</v>
      </c>
      <c r="C572" s="246">
        <f>_xlfn.XLOOKUP(FMS_Ranking4[[#This Row],[FMS ID]],FMS_Input[FMS_ID],FMS_Input[RFPG_NUM])</f>
        <v>6</v>
      </c>
      <c r="D572" s="309" t="str">
        <f>_xlfn.XLOOKUP(FMS_Ranking4[[#This Row],[FMS ID]],FMS_Input[FMS_ID],FMS_Input[FMS_NAME])</f>
        <v>Chambers County Community Rating System</v>
      </c>
      <c r="E572" s="308" t="str">
        <f>_xlfn.XLOOKUP(FMS_Ranking4[[#This Row],[FMS ID]],FMS_Input[FMS_ID],FMS_Input[SPONSOR])</f>
        <v>00000013</v>
      </c>
      <c r="F572" s="309" t="str">
        <f>_xlfn.XLOOKUP(FMS_Ranking4[[#This Row],[FMS ID]],Sponsor[FMS_ID],Sponsor[SPONSOR NAME])</f>
        <v>Chambers</v>
      </c>
      <c r="G572" s="309" t="str">
        <f>_xlfn.XLOOKUP(FMS_Ranking4[[#This Row],[FMS ID]],FMS_Input[FMS_ID],FMS_Input[FMS_DESCR])</f>
        <v>Join the Community Rating System to reduce flood insurance premiums and flood risk for residents.</v>
      </c>
      <c r="H572" s="248" t="str">
        <f>_xlfn.XLOOKUP(FMS_Ranking4[[#This Row],[FMS ID]],FMS_Input[FMS_ID],FMS_Input[FMS_TYPE])</f>
        <v>Regulatory and Guidance</v>
      </c>
      <c r="I572" s="249">
        <f>_xlfn.XLOOKUP(FMS_Ranking4[[#This Row],[FMS ID]],FMS_Input[FMS_ID],FMS_Input[NRNC_COST])</f>
        <v>400</v>
      </c>
      <c r="J572" s="250">
        <f>_xlfn.XLOOKUP(FMS_Ranking4[[#This Row],[FMS ID]],FMS_Input[FMS_ID],FMS_Input[FMS_COST])</f>
        <v>8000</v>
      </c>
      <c r="K572" s="251" t="str">
        <f>_xlfn.XLOOKUP(FMS_Ranking4[[#This Row],[FMS ID]],FMS_Input[FMS_ID],FMS_Input[EMER_NEED])</f>
        <v>No</v>
      </c>
      <c r="L572" s="252">
        <f t="shared" si="8"/>
        <v>0</v>
      </c>
      <c r="M572" s="253">
        <f>_xlfn.XLOOKUP(FMS_Ranking4[[#This Row],[FMS ID]],FMS_Input[FMS_ID],FMS_Input[STRUCT_100])</f>
        <v>146</v>
      </c>
      <c r="N572" s="255">
        <f>(ASINH(FMS_Ranking4[[#This Row],[Structure at Risk Raw]]))*(10)/(ASINH(M$4))</f>
        <v>4.4627829406266981</v>
      </c>
      <c r="O572" s="256">
        <f>FMS_Ranking4[[#This Row],[Structures at risk, ArcSinh (0-10)]]*M$5*10</f>
        <v>4.4627829406266981</v>
      </c>
      <c r="P572" s="253">
        <f>_xlfn.XLOOKUP(FMS_Ranking4[[#This Row],[FMS ID]],FMS_Input[FMS_ID],FMS_Input[RES_STRUCT100])</f>
        <v>54</v>
      </c>
      <c r="Q572" s="257">
        <f>ASINH(FMS_Ranking4[[#This Row],[Res Structure Raw]])/Q$4*P$5*100</f>
        <v>0</v>
      </c>
      <c r="R572" s="253">
        <f>_xlfn.XLOOKUP(FMS_Ranking4[[#This Row],[FMS ID]],FMS_Input[FMS_ID],FMS_Input[POP100])</f>
        <v>775</v>
      </c>
      <c r="S572" s="255">
        <f>(ASINH(FMS_Ranking4[[#This Row],[Pop at Risk Raw]]))*(10)/(ASINH(R$4))</f>
        <v>5.0713788047701236</v>
      </c>
      <c r="T572" s="256">
        <f>FMS_Ranking4[[#This Row],[Population at risk, ArcSinh (0-10)]]*R$5*10</f>
        <v>5.0713788047701236</v>
      </c>
      <c r="U572" s="253">
        <f>_xlfn.XLOOKUP(FMS_Ranking4[[#This Row],[FMS ID]],FMS_Input[FMS_ID],FMS_Input[CRITFAC100])</f>
        <v>0</v>
      </c>
      <c r="V572" s="255">
        <f>(ASINH(FMS_Ranking4[[#This Row],[Critical Facilities Raw]]))*(10)/(ASINH(U$4))</f>
        <v>0</v>
      </c>
      <c r="W572" s="256">
        <f>FMS_Ranking4[[#This Row],[Critical facilities at risk, ArcSinh (0-10)]]*U$5*10</f>
        <v>0</v>
      </c>
      <c r="X572" s="253">
        <f>_xlfn.XLOOKUP(FMS_Ranking4[[#This Row],[FMS ID]],FMS_Input[FMS_ID],FMS_Input[LWC])</f>
        <v>0</v>
      </c>
      <c r="Y572" s="255">
        <f>(ASINH(FMS_Ranking4[[#This Row],[LWC Raw]]))*(10)/(ASINH(X$4))</f>
        <v>0</v>
      </c>
      <c r="Z572" s="256">
        <f>FMS_Ranking4[[#This Row],[LWC, ArcSInh (0-10)]]*X$5*10</f>
        <v>0</v>
      </c>
      <c r="AA572" s="253">
        <f>_xlfn.XLOOKUP(FMS_Ranking4[[#This Row],[FMS ID]],FMS_Input[FMS_ID],FMS_Input[ROADCLS])</f>
        <v>0</v>
      </c>
      <c r="AB572" s="255">
        <f>(ASINH(FMS_Ranking4[[#This Row],[Road Closures Raw]]))*(10)/(ASINH(AA$4))</f>
        <v>0</v>
      </c>
      <c r="AC572" s="256">
        <f>FMS_Ranking4[[#This Row],[Road closures, ArcSinh (0-10)]]*AA$5*10</f>
        <v>0</v>
      </c>
      <c r="AD572" s="253">
        <f>_xlfn.XLOOKUP(FMS_Ranking4[[#This Row],[FMS ID]],FMS_Input[FMS_ID],FMS_Input[ROAD_MILES100])</f>
        <v>7</v>
      </c>
      <c r="AE572" s="255">
        <f>(ASINH(FMS_Ranking4[[#This Row],[Road Miles Raw]]))*(10)/(ASINH(AD$4))</f>
        <v>2.8179052695658946</v>
      </c>
      <c r="AF572" s="256">
        <f>FMS_Ranking4[[#This Row],[Length of roads at risk, ArcSinh (0-10)]]*AD$5*10</f>
        <v>2.8179052695658946</v>
      </c>
      <c r="AG572" s="253">
        <f>_xlfn.XLOOKUP(FMS_Ranking4[[#This Row],[FMS ID]],FMS_Input[FMS_ID],FMS_Input[FARMACRE100])</f>
        <v>353.7679443359375</v>
      </c>
      <c r="AH572" s="255">
        <f>(ASINH(FMS_Ranking4[[#This Row],[Ag Land Raw]]))*(10)/(ASINH(AG$4))</f>
        <v>4.2624174180866277</v>
      </c>
      <c r="AI572" s="260">
        <f>FMS_Ranking4[[#This Row],[Farm &amp; ranch land, ArcSinh (0-10)]]*AG$5*10</f>
        <v>2.1312087090433138</v>
      </c>
      <c r="AJ572" s="258">
        <f>_xlfn.XLOOKUP(FMS_Ranking4[[#This Row],[FMS ID]],FMS_Input[FMS_ID],FMS_Input[REDSTRUCT100])</f>
        <v>0</v>
      </c>
      <c r="AK572" s="253">
        <f>_xlfn.XLOOKUP(FMS_Ranking4[[#This Row],[FMS ID]],FMS_Input[FMS_ID],FMS_Input[REMSTRC100])</f>
        <v>0</v>
      </c>
      <c r="AL572" s="255">
        <f>(ASINH(FMS_Ranking4[[#This Row],[Structures Removed Raw]]))*(10)/(ASINH(AK$4))</f>
        <v>0</v>
      </c>
      <c r="AM572" s="262">
        <f>FMS_Ranking4[[#This Row],[Structures removed, ArcSinh (0-10)]]*AK$5*10</f>
        <v>0</v>
      </c>
      <c r="AN572" s="253">
        <f>_xlfn.XLOOKUP(FMS_Ranking4[[#This Row],[FMS ID]],FMS_Input[FMS_ID],FMS_Input[REMRESSTRC100])</f>
        <v>0</v>
      </c>
      <c r="AO572" s="261">
        <f>FMS_Ranking4[[#This Row],[ArcSinh Res struct removed 0-10]]*AN$5*10</f>
        <v>0</v>
      </c>
      <c r="AP572" s="260">
        <f>ASINH(FMS_Ranking4[[#This Row],[Residential Structures Removed Raw]])/AP$4*AN$5*100</f>
        <v>0</v>
      </c>
      <c r="AQ572" s="258">
        <f>(ASINH(FMS_Ranking4[[#This Row],[Residential Structures Removed Raw]]))*(10)/(ASINH(AN$4))</f>
        <v>0</v>
      </c>
      <c r="AR572" s="253">
        <f>_xlfn.XLOOKUP(FMS_Ranking4[[#This Row],[FMS ID]],FMS_Input[FMS_ID],FMS_Input[REMPOP100])</f>
        <v>0</v>
      </c>
      <c r="AS572" s="255">
        <f>(ASINH(FMS_Ranking4[[#This Row],[Removed Pop Raw]]))*(10)/(ASINH(AR$4))</f>
        <v>0</v>
      </c>
      <c r="AT572" s="262">
        <f>FMS_Ranking4[[#This Row],[Removed population, ArcSinh (0-10)]]*AR$5*10</f>
        <v>0</v>
      </c>
      <c r="AU572" s="264">
        <f>_xlfn.XLOOKUP(FMS_Ranking4[[#This Row],[FMS ID]],FMS_Input[FMS_ID],FMS_Input[REMCRITFAC100])</f>
        <v>0</v>
      </c>
      <c r="AV572" s="264">
        <f>_xlfn.XLOOKUP(FMS_Ranking4[[#This Row],[FMS ID]],FMS_Input[FMS_ID],FMS_Input[REMLWC100])</f>
        <v>0</v>
      </c>
      <c r="AW572" s="264">
        <f>_xlfn.XLOOKUP(FMS_Ranking4[[#This Row],[FMS ID]],FMS_Input[FMS_ID],FMS_Input[REMROADCLS])</f>
        <v>0</v>
      </c>
      <c r="AX572" s="264">
        <f>_xlfn.XLOOKUP(FMS_Ranking4[[#This Row],[FMS ID]],FMS_Input[FMS_ID],FMS_Input[REMFRMACRE100])</f>
        <v>0</v>
      </c>
      <c r="AY572" s="258">
        <f>_xlfn.XLOOKUP(FMS_Ranking4[[#This Row],[FMS ID]],FMS_Input[FMS_ID],FMS_Input[COSTSTRUCT])</f>
        <v>0</v>
      </c>
      <c r="AZ572" s="253">
        <f>_xlfn.XLOOKUP(FMS_Ranking4[[#This Row],[FMS ID]],FMS_Input[FMS_ID],FMS_Input[NATURE])</f>
        <v>0</v>
      </c>
      <c r="BA572" s="262">
        <f>(((FMS_Ranking4[[#This Row],[% NBS Raw]]/AZ$4)*100)*AZ$5)</f>
        <v>0</v>
      </c>
      <c r="BB572" s="251" t="str">
        <f>_xlfn.XLOOKUP(FMS_Ranking4[[#This Row],[FMS ID]],FMS_Input[FMS_ID],FMS_Input[WATER_SUP])</f>
        <v>No</v>
      </c>
      <c r="BC572" s="265">
        <f>IF(FMS_Ranking4[[#This Row],[Water Supply Raw]]="Yes",10,0)</f>
        <v>0</v>
      </c>
      <c r="BD572" s="266">
        <f>_xlfn.XLOOKUP(FMS_Ranking4[[#This Row],[FMS Type]],FMS_TYPE[FMS_Type],FMS_TYPE[Score])</f>
        <v>8</v>
      </c>
      <c r="BE572" s="267">
        <f>FMS_Ranking4[[#This Row],[FMS_Type Score]]*$BD$5*10</f>
        <v>2</v>
      </c>
      <c r="BF57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2.9170456509097269E-2</v>
      </c>
      <c r="BG572" s="293">
        <f>_xlfn.RANK.EQ(BF572,$BF$8:$BF$870,0)+COUNTIF($BF$8:BF572,BF572)-1</f>
        <v>603</v>
      </c>
      <c r="BH572" s="294">
        <f>(((FMS_Ranking4[[#This Row],[Structures Removed Raw]]/AK$4)*100)*AK$5)+(((FMS_Ranking4[[#This Row],[Removed Pop Raw]]/AR$4)*100)*AR$5)</f>
        <v>0</v>
      </c>
      <c r="BI57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2.0291704565090973</v>
      </c>
      <c r="BJ572" s="251">
        <f>_xlfn.RANK.EQ(FMS_Ranking4[[#This Row],[Total Score 
(with linear
normalization)]],FMS_Ranking4[Total Score 
(with linear
normalization)],0)</f>
        <v>397</v>
      </c>
      <c r="BK572" s="251" t="e">
        <f>_xlfn.XLOOKUP(FMS_Ranking4[[#This Row],[FMS ID]],#REF!,#REF!)</f>
        <v>#REF!</v>
      </c>
      <c r="BL57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14.483275724006031</v>
      </c>
      <c r="BM572" s="324">
        <f>FMS_Ranking4[[#This Row],[ArcSinh Score Based on Normalized Reported Factors]]+FMS_Ranking4[[#This Row],[% NBS Score (Normalized)]]+(FMS_Ranking4[[#This Row],[Water Supply Score (Normalized)]]*10*$BB$5)+FMS_Ranking4[[#This Row],[FMS_Type Score Weighted]]</f>
        <v>16.483275724006031</v>
      </c>
      <c r="BN572" s="251">
        <f>_xlfn.RANK.EQ(FMS_Ranking4[[#This Row],[Total Score (with ArcSinh normalization of select criteria)]],FMS_Ranking4[Total Score (with ArcSinh normalization of select criteria)],0)</f>
        <v>562</v>
      </c>
      <c r="BO572" s="270" t="str">
        <f>_xlfn.XLOOKUP(FMS_Ranking4[[#This Row],[FMS ID]],FMS_Input[FMS_ID],FMS_Input[FMS_RANK_YEAR])</f>
        <v>2025 Amended Plan</v>
      </c>
      <c r="BP572" s="324" t="e">
        <f>_xlfn.XLOOKUP(FMS_Ranking4[[#This Row],[FMS ID]],Prev_Rank[FMS ID],Prev_Rank[Prev Rank])</f>
        <v>#N/A</v>
      </c>
      <c r="BQ572" s="251" t="e">
        <f>_xlfn.XLOOKUP(FMS_Ranking4[[#This Row],[FMS ID]],#REF!,#REF!)</f>
        <v>#REF!</v>
      </c>
      <c r="BR572" s="199" t="e">
        <f>SUM(#REF!,#REF!,#REF!,#REF!,#REF!,#REF!,#REF!,#REF!,#REF!,FMS_Ranking4[[#This Row],[ArcSinh Res struct removed 0-10]],#REF!)</f>
        <v>#REF!</v>
      </c>
      <c r="BS572" s="199" t="e">
        <f>FMS_Ranking4[[#This Row],[Log Score Based on Normalized Reported Factors]]+FMS_Ranking4[[#This Row],[% NBS Score (Normalized)]]+(FMS_Ranking4[[#This Row],[Water Supply Score (Normalized)]]*10*$BB$5)+(FMS_Ranking4[[#This Row],[FMS_Type Score Weighted]])</f>
        <v>#REF!</v>
      </c>
      <c r="BT572" s="200" t="e">
        <f>_xlfn.RANK.EQ(FMS_Ranking4[[#This Row],[Log Total Score]],FMS_Ranking4[Log Total Score],0)</f>
        <v>#REF!</v>
      </c>
      <c r="BU572" s="200" t="e">
        <f>_xlfn.XLOOKUP(FMS_Ranking4[[#This Row],[FMS ID]],#REF!,#REF!)</f>
        <v>#REF!</v>
      </c>
      <c r="BV572" s="200">
        <f>FMS_Ranking4[[#This Row],[Region Number]]</f>
        <v>6</v>
      </c>
      <c r="BW572" s="200">
        <f>FMS_Ranking4[[#This Row],[Rank (with ArcSinh normalization of select criteria)]]-FMS_Ranking4[[#This Row],[Rank
(with linear
normalization)]]</f>
        <v>165</v>
      </c>
      <c r="BX572" s="200" t="e">
        <f>FMS_Ranking4[[#This Row],[Log Rank]]-FMS_Ranking4[[#This Row],[Rank
(with linear
normalization)]]</f>
        <v>#REF!</v>
      </c>
      <c r="BY572" s="200" t="str">
        <f>IF(FMS_Ranking4[[#This Row],[FMS Type]]="Flood Measurement and Warning",FMS_Ranking4[[#This Row],[Rank (with ArcSinh normalization of select criteria)]],"")</f>
        <v/>
      </c>
      <c r="BZ572" s="200">
        <f>IF(FMS_Ranking4[[#This Row],[FMS Type]]="Regulatory and Guidance",FMS_Ranking4[[#This Row],[Rank (with ArcSinh normalization of select criteria)]],"")</f>
        <v>562</v>
      </c>
      <c r="CA572" s="200" t="str">
        <f>IF(FMS_Ranking4[[#This Row],[FMS Type]]="Education and Outreach",FMS_Ranking4[[#This Row],[Rank (with ArcSinh normalization of select criteria)]],"")</f>
        <v/>
      </c>
      <c r="CB572" s="200" t="str">
        <f>IF(FMS_Ranking4[[#This Row],[FMS Type]]="Property Acquisition and Structural Elevation",FMS_Ranking4[[#This Row],[Rank (with ArcSinh normalization of select criteria)]],"")</f>
        <v/>
      </c>
      <c r="CC572" s="200" t="str">
        <f>IF(FMS_Ranking4[[#This Row],[FMS Type]]="Infrastructure Projects",FMS_Ranking4[[#This Row],[Rank (with ArcSinh normalization of select criteria)]],"")</f>
        <v/>
      </c>
      <c r="CD572" s="200" t="str">
        <f>IF(FMS_Ranking4[[#This Row],[FMS Type]]="Other",FMS_Ranking4[[#This Row],[Rank (with ArcSinh normalization of select criteria)]],"")</f>
        <v/>
      </c>
      <c r="CE572" s="201"/>
      <c r="CF572" s="206"/>
      <c r="CG572" s="206"/>
      <c r="CH572" s="206"/>
      <c r="CI572" s="206"/>
      <c r="CJ572" s="206"/>
      <c r="CK572" s="206"/>
      <c r="CL572" s="206"/>
      <c r="CM572" s="206"/>
      <c r="CN572" s="206"/>
      <c r="CO572" s="206"/>
      <c r="CP572" s="206"/>
      <c r="CQ572" s="206"/>
      <c r="CR572" s="206"/>
    </row>
    <row r="573" spans="2:96" ht="30" x14ac:dyDescent="0.25">
      <c r="B573" s="341" t="s">
        <v>2276</v>
      </c>
      <c r="C573" s="246">
        <f>_xlfn.XLOOKUP(FMS_Ranking4[[#This Row],[FMS ID]],FMS_Input[FMS_ID],FMS_Input[RFPG_NUM])</f>
        <v>3</v>
      </c>
      <c r="D573" s="309" t="str">
        <f>_xlfn.XLOOKUP(FMS_Ranking4[[#This Row],[FMS ID]],FMS_Input[FMS_ID],FMS_Input[FMS_NAME])</f>
        <v>Krugerville waterways stabilization program</v>
      </c>
      <c r="E573" s="308" t="str">
        <f>_xlfn.XLOOKUP(FMS_Ranking4[[#This Row],[FMS ID]],FMS_Input[FMS_ID],FMS_Input[SPONSOR])</f>
        <v>Krugerville</v>
      </c>
      <c r="F573" s="309" t="str">
        <f>_xlfn.XLOOKUP(FMS_Ranking4[[#This Row],[FMS ID]],Sponsor[FMS_ID],Sponsor[SPONSOR NAME])</f>
        <v>Krugerville</v>
      </c>
      <c r="G573" s="309" t="str">
        <f>_xlfn.XLOOKUP(FMS_Ranking4[[#This Row],[FMS ID]],FMS_Input[FMS_ID],FMS_Input[FMS_DESCR])</f>
        <v>Develop waterways stabilization program</v>
      </c>
      <c r="H573" s="248" t="str">
        <f>_xlfn.XLOOKUP(FMS_Ranking4[[#This Row],[FMS ID]],FMS_Input[FMS_ID],FMS_Input[FMS_TYPE])</f>
        <v>Other</v>
      </c>
      <c r="I573" s="249">
        <f>_xlfn.XLOOKUP(FMS_Ranking4[[#This Row],[FMS ID]],FMS_Input[FMS_ID],FMS_Input[NRNC_COST])</f>
        <v>297500</v>
      </c>
      <c r="J573" s="250">
        <f>_xlfn.XLOOKUP(FMS_Ranking4[[#This Row],[FMS ID]],FMS_Input[FMS_ID],FMS_Input[FMS_COST])</f>
        <v>850000</v>
      </c>
      <c r="K573" s="251" t="str">
        <f>_xlfn.XLOOKUP(FMS_Ranking4[[#This Row],[FMS ID]],FMS_Input[FMS_ID],FMS_Input[EMER_NEED])</f>
        <v>No</v>
      </c>
      <c r="L573" s="252">
        <f t="shared" si="8"/>
        <v>0</v>
      </c>
      <c r="M573" s="253">
        <f>_xlfn.XLOOKUP(FMS_Ranking4[[#This Row],[FMS ID]],FMS_Input[FMS_ID],FMS_Input[STRUCT_100])</f>
        <v>28</v>
      </c>
      <c r="N573" s="255">
        <f>(ASINH(FMS_Ranking4[[#This Row],[Structure at Risk Raw]]))*(10)/(ASINH(M$4))</f>
        <v>3.1647763432374232</v>
      </c>
      <c r="O573" s="256">
        <f>FMS_Ranking4[[#This Row],[Structures at risk, ArcSinh (0-10)]]*M$5*10</f>
        <v>3.1647763432374232</v>
      </c>
      <c r="P573" s="253">
        <f>_xlfn.XLOOKUP(FMS_Ranking4[[#This Row],[FMS ID]],FMS_Input[FMS_ID],FMS_Input[RES_STRUCT100])</f>
        <v>27</v>
      </c>
      <c r="Q573" s="257">
        <f>ASINH(FMS_Ranking4[[#This Row],[Res Structure Raw]])/Q$4*P$5*100</f>
        <v>0</v>
      </c>
      <c r="R573" s="253">
        <f>_xlfn.XLOOKUP(FMS_Ranking4[[#This Row],[FMS ID]],FMS_Input[FMS_ID],FMS_Input[POP100])</f>
        <v>89</v>
      </c>
      <c r="S573" s="259">
        <f>(ASINH(FMS_Ranking4[[#This Row],[Pop at Risk Raw]]))*(10)/(ASINH(R$4))</f>
        <v>3.5773086453128395</v>
      </c>
      <c r="T573" s="256">
        <f>FMS_Ranking4[[#This Row],[Population at risk, ArcSinh (0-10)]]*R$5*10</f>
        <v>3.57730864531284</v>
      </c>
      <c r="U573" s="253">
        <f>_xlfn.XLOOKUP(FMS_Ranking4[[#This Row],[FMS ID]],FMS_Input[FMS_ID],FMS_Input[CRITFAC100])</f>
        <v>3</v>
      </c>
      <c r="V573" s="259">
        <f>(ASINH(FMS_Ranking4[[#This Row],[Critical Facilities Raw]]))*(10)/(ASINH(U$4))</f>
        <v>2.152611706646717</v>
      </c>
      <c r="W573" s="256">
        <f>FMS_Ranking4[[#This Row],[Critical facilities at risk, ArcSinh (0-10)]]*U$5*10</f>
        <v>2.152611706646717</v>
      </c>
      <c r="X573" s="253">
        <f>_xlfn.XLOOKUP(FMS_Ranking4[[#This Row],[FMS ID]],FMS_Input[FMS_ID],FMS_Input[LWC])</f>
        <v>11</v>
      </c>
      <c r="Y573" s="259">
        <f>(ASINH(FMS_Ranking4[[#This Row],[LWC Raw]]))*(10)/(ASINH(X$4))</f>
        <v>4.1903423948022258</v>
      </c>
      <c r="Z573" s="256">
        <f>FMS_Ranking4[[#This Row],[LWC, ArcSInh (0-10)]]*X$5*10</f>
        <v>4.1903423948022258</v>
      </c>
      <c r="AA573" s="253">
        <f>_xlfn.XLOOKUP(FMS_Ranking4[[#This Row],[FMS ID]],FMS_Input[FMS_ID],FMS_Input[ROADCLS])</f>
        <v>0</v>
      </c>
      <c r="AB573" s="255">
        <f>(ASINH(FMS_Ranking4[[#This Row],[Road Closures Raw]]))*(10)/(ASINH(AA$4))</f>
        <v>0</v>
      </c>
      <c r="AC573" s="256">
        <f>FMS_Ranking4[[#This Row],[Road closures, ArcSinh (0-10)]]*AA$5*10</f>
        <v>0</v>
      </c>
      <c r="AD573" s="253">
        <f>_xlfn.XLOOKUP(FMS_Ranking4[[#This Row],[FMS ID]],FMS_Input[FMS_ID],FMS_Input[ROAD_MILES100])</f>
        <v>2</v>
      </c>
      <c r="AE573" s="259">
        <f>(ASINH(FMS_Ranking4[[#This Row],[Road Miles Raw]]))*(10)/(ASINH(AD$4))</f>
        <v>1.5385182374234352</v>
      </c>
      <c r="AF573" s="256">
        <f>FMS_Ranking4[[#This Row],[Length of roads at risk, ArcSinh (0-10)]]*AD$5*10</f>
        <v>1.5385182374234352</v>
      </c>
      <c r="AG573" s="253">
        <f>_xlfn.XLOOKUP(FMS_Ranking4[[#This Row],[FMS ID]],FMS_Input[FMS_ID],FMS_Input[FARMACRE100])</f>
        <v>28.490390777587891</v>
      </c>
      <c r="AH573" s="255">
        <f>(ASINH(FMS_Ranking4[[#This Row],[Ag Land Raw]]))*(10)/(ASINH(AG$4))</f>
        <v>2.6262721048187503</v>
      </c>
      <c r="AI573" s="260">
        <f>FMS_Ranking4[[#This Row],[Farm &amp; ranch land, ArcSinh (0-10)]]*AG$5*10</f>
        <v>1.3131360524093751</v>
      </c>
      <c r="AJ573" s="258">
        <f>_xlfn.XLOOKUP(FMS_Ranking4[[#This Row],[FMS ID]],FMS_Input[FMS_ID],FMS_Input[REDSTRUCT100])</f>
        <v>0</v>
      </c>
      <c r="AK573" s="253">
        <f>_xlfn.XLOOKUP(FMS_Ranking4[[#This Row],[FMS ID]],FMS_Input[FMS_ID],FMS_Input[REMSTRC100])</f>
        <v>0</v>
      </c>
      <c r="AL573" s="259">
        <f>(ASINH(FMS_Ranking4[[#This Row],[Structures Removed Raw]]))*(10)/(ASINH(AK$4))</f>
        <v>0</v>
      </c>
      <c r="AM573" s="262">
        <f>FMS_Ranking4[[#This Row],[Structures removed, ArcSinh (0-10)]]*AK$5*10</f>
        <v>0</v>
      </c>
      <c r="AN573" s="253">
        <f>_xlfn.XLOOKUP(FMS_Ranking4[[#This Row],[FMS ID]],FMS_Input[FMS_ID],FMS_Input[REMRESSTRC100])</f>
        <v>0</v>
      </c>
      <c r="AO573" s="261">
        <f>FMS_Ranking4[[#This Row],[ArcSinh Res struct removed 0-10]]*AN$5*10</f>
        <v>0</v>
      </c>
      <c r="AP573" s="260">
        <f>ASINH(FMS_Ranking4[[#This Row],[Residential Structures Removed Raw]])/AP$4*AN$5*100</f>
        <v>0</v>
      </c>
      <c r="AQ573" s="254">
        <f>(ASINH(FMS_Ranking4[[#This Row],[Residential Structures Removed Raw]]))*(10)/(ASINH(AN$4))</f>
        <v>0</v>
      </c>
      <c r="AR573" s="253">
        <f>_xlfn.XLOOKUP(FMS_Ranking4[[#This Row],[FMS ID]],FMS_Input[FMS_ID],FMS_Input[REMPOP100])</f>
        <v>0</v>
      </c>
      <c r="AS573" s="259">
        <f>(ASINH(FMS_Ranking4[[#This Row],[Removed Pop Raw]]))*(10)/(ASINH(AR$4))</f>
        <v>0</v>
      </c>
      <c r="AT573" s="262">
        <f>FMS_Ranking4[[#This Row],[Removed population, ArcSinh (0-10)]]*AR$5*10</f>
        <v>0</v>
      </c>
      <c r="AU573" s="264">
        <f>_xlfn.XLOOKUP(FMS_Ranking4[[#This Row],[FMS ID]],FMS_Input[FMS_ID],FMS_Input[REMCRITFAC100])</f>
        <v>0</v>
      </c>
      <c r="AV573" s="264">
        <f>_xlfn.XLOOKUP(FMS_Ranking4[[#This Row],[FMS ID]],FMS_Input[FMS_ID],FMS_Input[REMLWC100])</f>
        <v>0</v>
      </c>
      <c r="AW573" s="264">
        <f>_xlfn.XLOOKUP(FMS_Ranking4[[#This Row],[FMS ID]],FMS_Input[FMS_ID],FMS_Input[REMROADCLS])</f>
        <v>0</v>
      </c>
      <c r="AX573" s="264">
        <f>_xlfn.XLOOKUP(FMS_Ranking4[[#This Row],[FMS ID]],FMS_Input[FMS_ID],FMS_Input[REMFRMACRE100])</f>
        <v>0</v>
      </c>
      <c r="AY573" s="258">
        <f>_xlfn.XLOOKUP(FMS_Ranking4[[#This Row],[FMS ID]],FMS_Input[FMS_ID],FMS_Input[COSTSTRUCT])</f>
        <v>0</v>
      </c>
      <c r="AZ573" s="253">
        <f>_xlfn.XLOOKUP(FMS_Ranking4[[#This Row],[FMS ID]],FMS_Input[FMS_ID],FMS_Input[NATURE])</f>
        <v>0</v>
      </c>
      <c r="BA573" s="262">
        <f>(((FMS_Ranking4[[#This Row],[% NBS Raw]]/AZ$4)*100)*AZ$5)</f>
        <v>0</v>
      </c>
      <c r="BB573" s="251" t="str">
        <f>_xlfn.XLOOKUP(FMS_Ranking4[[#This Row],[FMS ID]],FMS_Input[FMS_ID],FMS_Input[WATER_SUP])</f>
        <v>No</v>
      </c>
      <c r="BC573" s="265">
        <f>IF(FMS_Ranking4[[#This Row],[Water Supply Raw]]="Yes",10,0)</f>
        <v>0</v>
      </c>
      <c r="BD573" s="266">
        <f>_xlfn.XLOOKUP(FMS_Ranking4[[#This Row],[FMS Type]],FMS_TYPE[FMS_Type],FMS_TYPE[Score])</f>
        <v>2</v>
      </c>
      <c r="BE573" s="267">
        <f>FMS_Ranking4[[#This Row],[FMS_Type Score]]*$BD$5*10</f>
        <v>0.5</v>
      </c>
      <c r="BF57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0.15585976816948452</v>
      </c>
      <c r="BG573" s="271">
        <f>_xlfn.RANK.EQ(BF573,$BF$8:$BF$870,0)+COUNTIF($BF$8:BF573,BF573)-1</f>
        <v>401</v>
      </c>
      <c r="BH573" s="268">
        <f>(((FMS_Ranking4[[#This Row],[Structures Removed Raw]]/AK$4)*100)*AK$5)+(((FMS_Ranking4[[#This Row],[Removed Pop Raw]]/AR$4)*100)*AR$5)</f>
        <v>0</v>
      </c>
      <c r="BI57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0.65585976816948455</v>
      </c>
      <c r="BJ573" s="205">
        <f>_xlfn.RANK.EQ(FMS_Ranking4[[#This Row],[Total Score 
(with linear
normalization)]],FMS_Ranking4[Total Score 
(with linear
normalization)],0)</f>
        <v>809</v>
      </c>
      <c r="BK573" s="205" t="e">
        <f>_xlfn.XLOOKUP(FMS_Ranking4[[#This Row],[FMS ID]],#REF!,#REF!)</f>
        <v>#REF!</v>
      </c>
      <c r="BL57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15.936693379832017</v>
      </c>
      <c r="BM573" s="272">
        <f>FMS_Ranking4[[#This Row],[ArcSinh Score Based on Normalized Reported Factors]]+FMS_Ranking4[[#This Row],[% NBS Score (Normalized)]]+(FMS_Ranking4[[#This Row],[Water Supply Score (Normalized)]]*10*$BB$5)+FMS_Ranking4[[#This Row],[FMS_Type Score Weighted]]</f>
        <v>16.436693379832015</v>
      </c>
      <c r="BN573" s="205">
        <f>_xlfn.RANK.EQ(FMS_Ranking4[[#This Row],[Total Score (with ArcSinh normalization of select criteria)]],FMS_Ranking4[Total Score (with ArcSinh normalization of select criteria)],0)</f>
        <v>566</v>
      </c>
      <c r="BO573" s="270" t="str">
        <f>_xlfn.XLOOKUP(FMS_Ranking4[[#This Row],[FMS ID]],FMS_Input[FMS_ID],FMS_Input[FMS_RANK_YEAR])</f>
        <v>2023 Amended Plan</v>
      </c>
      <c r="BP573" s="204">
        <f>_xlfn.XLOOKUP(FMS_Ranking4[[#This Row],[FMS ID]],Prev_Rank[FMS ID],Prev_Rank[Prev Rank])</f>
        <v>502</v>
      </c>
      <c r="BQ573" s="205" t="e">
        <f>_xlfn.XLOOKUP(FMS_Ranking4[[#This Row],[FMS ID]],#REF!,#REF!)</f>
        <v>#REF!</v>
      </c>
      <c r="BR573" s="199" t="e">
        <f>SUM(#REF!,#REF!,#REF!,#REF!,#REF!,#REF!,#REF!,#REF!,#REF!,FMS_Ranking4[[#This Row],[ArcSinh Res struct removed 0-10]],#REF!)</f>
        <v>#REF!</v>
      </c>
      <c r="BS573" s="199" t="e">
        <f>FMS_Ranking4[[#This Row],[Log Score Based on Normalized Reported Factors]]+FMS_Ranking4[[#This Row],[% NBS Score (Normalized)]]+(FMS_Ranking4[[#This Row],[Water Supply Score (Normalized)]]*10*$BB$5)+(FMS_Ranking4[[#This Row],[FMS_Type Score Weighted]])</f>
        <v>#REF!</v>
      </c>
      <c r="BT573" s="200" t="e">
        <f>_xlfn.RANK.EQ(FMS_Ranking4[[#This Row],[Log Total Score]],FMS_Ranking4[Log Total Score],0)</f>
        <v>#REF!</v>
      </c>
      <c r="BU573" s="200" t="e">
        <f>_xlfn.XLOOKUP(FMS_Ranking4[[#This Row],[FMS ID]],#REF!,#REF!)</f>
        <v>#REF!</v>
      </c>
      <c r="BV573" s="200">
        <f>FMS_Ranking4[[#This Row],[Region Number]]</f>
        <v>3</v>
      </c>
      <c r="BW573" s="200">
        <f>FMS_Ranking4[[#This Row],[Rank (with ArcSinh normalization of select criteria)]]-FMS_Ranking4[[#This Row],[Rank
(with linear
normalization)]]</f>
        <v>-243</v>
      </c>
      <c r="BX573" s="200" t="e">
        <f>FMS_Ranking4[[#This Row],[Log Rank]]-FMS_Ranking4[[#This Row],[Rank
(with linear
normalization)]]</f>
        <v>#REF!</v>
      </c>
      <c r="BY573" s="200" t="str">
        <f>IF(FMS_Ranking4[[#This Row],[FMS Type]]="Flood Measurement and Warning",FMS_Ranking4[[#This Row],[Rank (with ArcSinh normalization of select criteria)]],"")</f>
        <v/>
      </c>
      <c r="BZ573" s="200" t="str">
        <f>IF(FMS_Ranking4[[#This Row],[FMS Type]]="Regulatory and Guidance",FMS_Ranking4[[#This Row],[Rank (with ArcSinh normalization of select criteria)]],"")</f>
        <v/>
      </c>
      <c r="CA573" s="200" t="str">
        <f>IF(FMS_Ranking4[[#This Row],[FMS Type]]="Education and Outreach",FMS_Ranking4[[#This Row],[Rank (with ArcSinh normalization of select criteria)]],"")</f>
        <v/>
      </c>
      <c r="CB573" s="200" t="str">
        <f>IF(FMS_Ranking4[[#This Row],[FMS Type]]="Property Acquisition and Structural Elevation",FMS_Ranking4[[#This Row],[Rank (with ArcSinh normalization of select criteria)]],"")</f>
        <v/>
      </c>
      <c r="CC573" s="200" t="str">
        <f>IF(FMS_Ranking4[[#This Row],[FMS Type]]="Infrastructure Projects",FMS_Ranking4[[#This Row],[Rank (with ArcSinh normalization of select criteria)]],"")</f>
        <v/>
      </c>
      <c r="CD573" s="200">
        <f>IF(FMS_Ranking4[[#This Row],[FMS Type]]="Other",FMS_Ranking4[[#This Row],[Rank (with ArcSinh normalization of select criteria)]],"")</f>
        <v>566</v>
      </c>
      <c r="CE573" s="201"/>
      <c r="CF573" s="206"/>
      <c r="CG573" s="206"/>
      <c r="CH573" s="206"/>
      <c r="CI573" s="206"/>
      <c r="CJ573" s="206"/>
      <c r="CK573" s="206"/>
      <c r="CL573" s="206"/>
      <c r="CM573" s="206"/>
      <c r="CN573" s="206"/>
      <c r="CO573" s="206"/>
      <c r="CP573" s="206"/>
      <c r="CQ573" s="206"/>
      <c r="CR573" s="206"/>
    </row>
    <row r="574" spans="2:96" ht="45" x14ac:dyDescent="0.25">
      <c r="B574" s="341" t="s">
        <v>2401</v>
      </c>
      <c r="C574" s="246">
        <f>_xlfn.XLOOKUP(FMS_Ranking4[[#This Row],[FMS ID]],FMS_Input[FMS_ID],FMS_Input[RFPG_NUM])</f>
        <v>3</v>
      </c>
      <c r="D574" s="309" t="str">
        <f>_xlfn.XLOOKUP(FMS_Ranking4[[#This Row],[FMS ID]],FMS_Input[FMS_ID],FMS_Input[FMS_NAME])</f>
        <v>Mobile City NFIP Floodplain Ordinance</v>
      </c>
      <c r="E574" s="308" t="str">
        <f>_xlfn.XLOOKUP(FMS_Ranking4[[#This Row],[FMS ID]],FMS_Input[FMS_ID],FMS_Input[SPONSOR])</f>
        <v>Mobile City</v>
      </c>
      <c r="F574" s="309" t="str">
        <f>_xlfn.XLOOKUP(FMS_Ranking4[[#This Row],[FMS ID]],Sponsor[FMS_ID],Sponsor[SPONSOR NAME])</f>
        <v>Mobile City</v>
      </c>
      <c r="G574" s="309" t="str">
        <f>_xlfn.XLOOKUP(FMS_Ranking4[[#This Row],[FMS ID]],FMS_Input[FMS_ID],FMS_Input[FMS_DESCR])</f>
        <v>Develop a floodplain ordinance that meets or exceeds FEMA's minimum standards</v>
      </c>
      <c r="H574" s="248" t="str">
        <f>_xlfn.XLOOKUP(FMS_Ranking4[[#This Row],[FMS ID]],FMS_Input[FMS_ID],FMS_Input[FMS_TYPE])</f>
        <v>Regulatory and Guidance</v>
      </c>
      <c r="I574" s="249">
        <f>_xlfn.XLOOKUP(FMS_Ranking4[[#This Row],[FMS ID]],FMS_Input[FMS_ID],FMS_Input[NRNC_COST])</f>
        <v>100000</v>
      </c>
      <c r="J574" s="250">
        <f>_xlfn.XLOOKUP(FMS_Ranking4[[#This Row],[FMS ID]],FMS_Input[FMS_ID],FMS_Input[FMS_COST])</f>
        <v>100000</v>
      </c>
      <c r="K574" s="251" t="str">
        <f>_xlfn.XLOOKUP(FMS_Ranking4[[#This Row],[FMS ID]],FMS_Input[FMS_ID],FMS_Input[EMER_NEED])</f>
        <v>No</v>
      </c>
      <c r="L574" s="252">
        <f t="shared" si="8"/>
        <v>0</v>
      </c>
      <c r="M574" s="253">
        <f>_xlfn.XLOOKUP(FMS_Ranking4[[#This Row],[FMS ID]],FMS_Input[FMS_ID],FMS_Input[STRUCT_100])</f>
        <v>0</v>
      </c>
      <c r="N574" s="255">
        <f>(ASINH(FMS_Ranking4[[#This Row],[Structure at Risk Raw]]))*(10)/(ASINH(M$4))</f>
        <v>0</v>
      </c>
      <c r="O574" s="256">
        <f>FMS_Ranking4[[#This Row],[Structures at risk, ArcSinh (0-10)]]*M$5*10</f>
        <v>0</v>
      </c>
      <c r="P574" s="253">
        <f>_xlfn.XLOOKUP(FMS_Ranking4[[#This Row],[FMS ID]],FMS_Input[FMS_ID],FMS_Input[RES_STRUCT100])</f>
        <v>0</v>
      </c>
      <c r="Q574" s="257">
        <f>ASINH(FMS_Ranking4[[#This Row],[Res Structure Raw]])/Q$4*P$5*100</f>
        <v>0</v>
      </c>
      <c r="R574" s="253">
        <f>_xlfn.XLOOKUP(FMS_Ranking4[[#This Row],[FMS ID]],FMS_Input[FMS_ID],FMS_Input[POP100])</f>
        <v>0</v>
      </c>
      <c r="S574" s="259">
        <f>(ASINH(FMS_Ranking4[[#This Row],[Pop at Risk Raw]]))*(10)/(ASINH(R$4))</f>
        <v>0</v>
      </c>
      <c r="T574" s="256">
        <f>FMS_Ranking4[[#This Row],[Population at risk, ArcSinh (0-10)]]*R$5*10</f>
        <v>0</v>
      </c>
      <c r="U574" s="253">
        <f>_xlfn.XLOOKUP(FMS_Ranking4[[#This Row],[FMS ID]],FMS_Input[FMS_ID],FMS_Input[CRITFAC100])</f>
        <v>64</v>
      </c>
      <c r="V574" s="259">
        <f>(ASINH(FMS_Ranking4[[#This Row],[Critical Facilities Raw]]))*(10)/(ASINH(U$4))</f>
        <v>5.7437316710953192</v>
      </c>
      <c r="W574" s="256">
        <f>FMS_Ranking4[[#This Row],[Critical facilities at risk, ArcSinh (0-10)]]*U$5*10</f>
        <v>5.7437316710953192</v>
      </c>
      <c r="X574" s="253">
        <f>_xlfn.XLOOKUP(FMS_Ranking4[[#This Row],[FMS ID]],FMS_Input[FMS_ID],FMS_Input[LWC])</f>
        <v>299</v>
      </c>
      <c r="Y574" s="259">
        <f>(ASINH(FMS_Ranking4[[#This Row],[LWC Raw]]))*(10)/(ASINH(X$4))</f>
        <v>8.6616427197078458</v>
      </c>
      <c r="Z574" s="256">
        <f>FMS_Ranking4[[#This Row],[LWC, ArcSInh (0-10)]]*X$5*10</f>
        <v>8.6616427197078458</v>
      </c>
      <c r="AA574" s="253">
        <f>_xlfn.XLOOKUP(FMS_Ranking4[[#This Row],[FMS ID]],FMS_Input[FMS_ID],FMS_Input[ROADCLS])</f>
        <v>0</v>
      </c>
      <c r="AB574" s="255">
        <f>(ASINH(FMS_Ranking4[[#This Row],[Road Closures Raw]]))*(10)/(ASINH(AA$4))</f>
        <v>0</v>
      </c>
      <c r="AC574" s="256">
        <f>FMS_Ranking4[[#This Row],[Road closures, ArcSinh (0-10)]]*AA$5*10</f>
        <v>0</v>
      </c>
      <c r="AD574" s="253">
        <f>_xlfn.XLOOKUP(FMS_Ranking4[[#This Row],[FMS ID]],FMS_Input[FMS_ID],FMS_Input[ROAD_MILES100])</f>
        <v>0</v>
      </c>
      <c r="AE574" s="259">
        <f>(ASINH(FMS_Ranking4[[#This Row],[Road Miles Raw]]))*(10)/(ASINH(AD$4))</f>
        <v>0</v>
      </c>
      <c r="AF574" s="256">
        <f>FMS_Ranking4[[#This Row],[Length of roads at risk, ArcSinh (0-10)]]*AD$5*10</f>
        <v>0</v>
      </c>
      <c r="AG574" s="253">
        <f>_xlfn.XLOOKUP(FMS_Ranking4[[#This Row],[FMS ID]],FMS_Input[FMS_ID],FMS_Input[FARMACRE100])</f>
        <v>0</v>
      </c>
      <c r="AH574" s="255">
        <f>(ASINH(FMS_Ranking4[[#This Row],[Ag Land Raw]]))*(10)/(ASINH(AG$4))</f>
        <v>0</v>
      </c>
      <c r="AI574" s="260">
        <f>FMS_Ranking4[[#This Row],[Farm &amp; ranch land, ArcSinh (0-10)]]*AG$5*10</f>
        <v>0</v>
      </c>
      <c r="AJ574" s="258">
        <f>_xlfn.XLOOKUP(FMS_Ranking4[[#This Row],[FMS ID]],FMS_Input[FMS_ID],FMS_Input[REDSTRUCT100])</f>
        <v>0</v>
      </c>
      <c r="AK574" s="253">
        <f>_xlfn.XLOOKUP(FMS_Ranking4[[#This Row],[FMS ID]],FMS_Input[FMS_ID],FMS_Input[REMSTRC100])</f>
        <v>0</v>
      </c>
      <c r="AL574" s="259">
        <f>(ASINH(FMS_Ranking4[[#This Row],[Structures Removed Raw]]))*(10)/(ASINH(AK$4))</f>
        <v>0</v>
      </c>
      <c r="AM574" s="262">
        <f>FMS_Ranking4[[#This Row],[Structures removed, ArcSinh (0-10)]]*AK$5*10</f>
        <v>0</v>
      </c>
      <c r="AN574" s="253">
        <f>_xlfn.XLOOKUP(FMS_Ranking4[[#This Row],[FMS ID]],FMS_Input[FMS_ID],FMS_Input[REMRESSTRC100])</f>
        <v>0</v>
      </c>
      <c r="AO574" s="261">
        <f>FMS_Ranking4[[#This Row],[ArcSinh Res struct removed 0-10]]*AN$5*10</f>
        <v>0</v>
      </c>
      <c r="AP574" s="260">
        <f>ASINH(FMS_Ranking4[[#This Row],[Residential Structures Removed Raw]])/AP$4*AN$5*100</f>
        <v>0</v>
      </c>
      <c r="AQ574" s="254">
        <f>(ASINH(FMS_Ranking4[[#This Row],[Residential Structures Removed Raw]]))*(10)/(ASINH(AN$4))</f>
        <v>0</v>
      </c>
      <c r="AR574" s="253">
        <f>_xlfn.XLOOKUP(FMS_Ranking4[[#This Row],[FMS ID]],FMS_Input[FMS_ID],FMS_Input[REMPOP100])</f>
        <v>0</v>
      </c>
      <c r="AS574" s="259">
        <f>(ASINH(FMS_Ranking4[[#This Row],[Removed Pop Raw]]))*(10)/(ASINH(AR$4))</f>
        <v>0</v>
      </c>
      <c r="AT574" s="262">
        <f>FMS_Ranking4[[#This Row],[Removed population, ArcSinh (0-10)]]*AR$5*10</f>
        <v>0</v>
      </c>
      <c r="AU574" s="264">
        <f>_xlfn.XLOOKUP(FMS_Ranking4[[#This Row],[FMS ID]],FMS_Input[FMS_ID],FMS_Input[REMCRITFAC100])</f>
        <v>0</v>
      </c>
      <c r="AV574" s="264">
        <f>_xlfn.XLOOKUP(FMS_Ranking4[[#This Row],[FMS ID]],FMS_Input[FMS_ID],FMS_Input[REMLWC100])</f>
        <v>0</v>
      </c>
      <c r="AW574" s="264">
        <f>_xlfn.XLOOKUP(FMS_Ranking4[[#This Row],[FMS ID]],FMS_Input[FMS_ID],FMS_Input[REMROADCLS])</f>
        <v>0</v>
      </c>
      <c r="AX574" s="264">
        <f>_xlfn.XLOOKUP(FMS_Ranking4[[#This Row],[FMS ID]],FMS_Input[FMS_ID],FMS_Input[REMFRMACRE100])</f>
        <v>0</v>
      </c>
      <c r="AY574" s="258">
        <f>_xlfn.XLOOKUP(FMS_Ranking4[[#This Row],[FMS ID]],FMS_Input[FMS_ID],FMS_Input[COSTSTRUCT])</f>
        <v>0</v>
      </c>
      <c r="AZ574" s="253">
        <f>_xlfn.XLOOKUP(FMS_Ranking4[[#This Row],[FMS ID]],FMS_Input[FMS_ID],FMS_Input[NATURE])</f>
        <v>0</v>
      </c>
      <c r="BA574" s="262">
        <f>(((FMS_Ranking4[[#This Row],[% NBS Raw]]/AZ$4)*100)*AZ$5)</f>
        <v>0</v>
      </c>
      <c r="BB574" s="251" t="str">
        <f>_xlfn.XLOOKUP(FMS_Ranking4[[#This Row],[FMS ID]],FMS_Input[FMS_ID],FMS_Input[WATER_SUP])</f>
        <v>No</v>
      </c>
      <c r="BC574" s="265">
        <f>IF(FMS_Ranking4[[#This Row],[Water Supply Raw]]="Yes",10,0)</f>
        <v>0</v>
      </c>
      <c r="BD574" s="266">
        <f>_xlfn.XLOOKUP(FMS_Ranking4[[#This Row],[FMS Type]],FMS_TYPE[FMS_Type],FMS_TYPE[Score])</f>
        <v>8</v>
      </c>
      <c r="BE574" s="267">
        <f>FMS_Ranking4[[#This Row],[FMS_Type Score]]*$BD$5*10</f>
        <v>2</v>
      </c>
      <c r="BF57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3.997979275828849</v>
      </c>
      <c r="BG574" s="271">
        <f>_xlfn.RANK.EQ(BF574,$BF$8:$BF$870,0)+COUNTIF($BF$8:BF574,BF574)-1</f>
        <v>69</v>
      </c>
      <c r="BH574" s="268">
        <f>(((FMS_Ranking4[[#This Row],[Structures Removed Raw]]/AK$4)*100)*AK$5)+(((FMS_Ranking4[[#This Row],[Removed Pop Raw]]/AR$4)*100)*AR$5)</f>
        <v>0</v>
      </c>
      <c r="BI57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5.9979792758288486</v>
      </c>
      <c r="BJ574" s="205">
        <f>_xlfn.RANK.EQ(FMS_Ranking4[[#This Row],[Total Score 
(with linear
normalization)]],FMS_Ranking4[Total Score 
(with linear
normalization)],0)</f>
        <v>101</v>
      </c>
      <c r="BK574" s="205" t="e">
        <f>_xlfn.XLOOKUP(FMS_Ranking4[[#This Row],[FMS ID]],#REF!,#REF!)</f>
        <v>#REF!</v>
      </c>
      <c r="BL57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14.405374390803164</v>
      </c>
      <c r="BM574" s="272">
        <f>FMS_Ranking4[[#This Row],[ArcSinh Score Based on Normalized Reported Factors]]+FMS_Ranking4[[#This Row],[% NBS Score (Normalized)]]+(FMS_Ranking4[[#This Row],[Water Supply Score (Normalized)]]*10*$BB$5)+FMS_Ranking4[[#This Row],[FMS_Type Score Weighted]]</f>
        <v>16.405374390803164</v>
      </c>
      <c r="BN574" s="205">
        <f>_xlfn.RANK.EQ(FMS_Ranking4[[#This Row],[Total Score (with ArcSinh normalization of select criteria)]],FMS_Ranking4[Total Score (with ArcSinh normalization of select criteria)],0)</f>
        <v>567</v>
      </c>
      <c r="BO574" s="270" t="str">
        <f>_xlfn.XLOOKUP(FMS_Ranking4[[#This Row],[FMS ID]],FMS_Input[FMS_ID],FMS_Input[FMS_RANK_YEAR])</f>
        <v>2023 Amended Plan</v>
      </c>
      <c r="BP574" s="204">
        <f>_xlfn.XLOOKUP(FMS_Ranking4[[#This Row],[FMS ID]],Prev_Rank[FMS ID],Prev_Rank[Prev Rank])</f>
        <v>507</v>
      </c>
      <c r="BQ574" s="205" t="e">
        <f>_xlfn.XLOOKUP(FMS_Ranking4[[#This Row],[FMS ID]],#REF!,#REF!)</f>
        <v>#REF!</v>
      </c>
      <c r="BR574" s="199" t="e">
        <f>SUM(#REF!,#REF!,#REF!,#REF!,#REF!,#REF!,#REF!,#REF!,#REF!,FMS_Ranking4[[#This Row],[ArcSinh Res struct removed 0-10]],#REF!)</f>
        <v>#REF!</v>
      </c>
      <c r="BS574" s="199" t="e">
        <f>FMS_Ranking4[[#This Row],[Log Score Based on Normalized Reported Factors]]+FMS_Ranking4[[#This Row],[% NBS Score (Normalized)]]+(FMS_Ranking4[[#This Row],[Water Supply Score (Normalized)]]*10*$BB$5)+(FMS_Ranking4[[#This Row],[FMS_Type Score Weighted]])</f>
        <v>#REF!</v>
      </c>
      <c r="BT574" s="200" t="e">
        <f>_xlfn.RANK.EQ(FMS_Ranking4[[#This Row],[Log Total Score]],FMS_Ranking4[Log Total Score],0)</f>
        <v>#REF!</v>
      </c>
      <c r="BU574" s="200" t="e">
        <f>_xlfn.XLOOKUP(FMS_Ranking4[[#This Row],[FMS ID]],#REF!,#REF!)</f>
        <v>#REF!</v>
      </c>
      <c r="BV574" s="200">
        <f>FMS_Ranking4[[#This Row],[Region Number]]</f>
        <v>3</v>
      </c>
      <c r="BW574" s="200">
        <f>FMS_Ranking4[[#This Row],[Rank (with ArcSinh normalization of select criteria)]]-FMS_Ranking4[[#This Row],[Rank
(with linear
normalization)]]</f>
        <v>466</v>
      </c>
      <c r="BX574" s="200" t="e">
        <f>FMS_Ranking4[[#This Row],[Log Rank]]-FMS_Ranking4[[#This Row],[Rank
(with linear
normalization)]]</f>
        <v>#REF!</v>
      </c>
      <c r="BY574" s="200" t="str">
        <f>IF(FMS_Ranking4[[#This Row],[FMS Type]]="Flood Measurement and Warning",FMS_Ranking4[[#This Row],[Rank (with ArcSinh normalization of select criteria)]],"")</f>
        <v/>
      </c>
      <c r="BZ574" s="200">
        <f>IF(FMS_Ranking4[[#This Row],[FMS Type]]="Regulatory and Guidance",FMS_Ranking4[[#This Row],[Rank (with ArcSinh normalization of select criteria)]],"")</f>
        <v>567</v>
      </c>
      <c r="CA574" s="200" t="str">
        <f>IF(FMS_Ranking4[[#This Row],[FMS Type]]="Education and Outreach",FMS_Ranking4[[#This Row],[Rank (with ArcSinh normalization of select criteria)]],"")</f>
        <v/>
      </c>
      <c r="CB574" s="200" t="str">
        <f>IF(FMS_Ranking4[[#This Row],[FMS Type]]="Property Acquisition and Structural Elevation",FMS_Ranking4[[#This Row],[Rank (with ArcSinh normalization of select criteria)]],"")</f>
        <v/>
      </c>
      <c r="CC574" s="200" t="str">
        <f>IF(FMS_Ranking4[[#This Row],[FMS Type]]="Infrastructure Projects",FMS_Ranking4[[#This Row],[Rank (with ArcSinh normalization of select criteria)]],"")</f>
        <v/>
      </c>
      <c r="CD574" s="200" t="str">
        <f>IF(FMS_Ranking4[[#This Row],[FMS Type]]="Other",FMS_Ranking4[[#This Row],[Rank (with ArcSinh normalization of select criteria)]],"")</f>
        <v/>
      </c>
      <c r="CE574" s="201"/>
      <c r="CF574" s="206"/>
      <c r="CG574" s="206"/>
      <c r="CH574" s="206"/>
      <c r="CI574" s="206"/>
      <c r="CJ574" s="206"/>
      <c r="CK574" s="206"/>
      <c r="CL574" s="206"/>
      <c r="CM574" s="206"/>
      <c r="CN574" s="206"/>
      <c r="CO574" s="206"/>
      <c r="CP574" s="206"/>
      <c r="CQ574" s="206"/>
      <c r="CR574" s="206"/>
    </row>
    <row r="575" spans="2:96" ht="105" x14ac:dyDescent="0.25">
      <c r="B575" s="341" t="s">
        <v>11982</v>
      </c>
      <c r="C575" s="246">
        <f>_xlfn.XLOOKUP(FMS_Ranking4[[#This Row],[FMS ID]],FMS_Input[FMS_ID],FMS_Input[RFPG_NUM])</f>
        <v>15</v>
      </c>
      <c r="D575" s="309" t="str">
        <f>_xlfn.XLOOKUP(FMS_Ranking4[[#This Row],[FMS ID]],FMS_Input[FMS_ID],FMS_Input[FMS_NAME])</f>
        <v>City of Escobares</v>
      </c>
      <c r="E575" s="308" t="str">
        <f>_xlfn.XLOOKUP(FMS_Ranking4[[#This Row],[FMS ID]],FMS_Input[FMS_ID],FMS_Input[SPONSOR])</f>
        <v>15000041</v>
      </c>
      <c r="F575" s="309" t="str">
        <f>_xlfn.XLOOKUP(FMS_Ranking4[[#This Row],[FMS ID]],Sponsor[FMS_ID],Sponsor[SPONSOR NAME])</f>
        <v>Escobares</v>
      </c>
      <c r="G575" s="309" t="str">
        <f>_xlfn.XLOOKUP(FMS_Ranking4[[#This Row],[FMS ID]],FMS_Input[FMS_ID],FMS_Input[FMS_DESCR])</f>
        <v>FMS 2 - Assessment, development, and updating of the City's ordinances, orders, policies, engineering specifications, guidance documents and other flood management tools.</v>
      </c>
      <c r="H575" s="248" t="str">
        <f>_xlfn.XLOOKUP(FMS_Ranking4[[#This Row],[FMS ID]],FMS_Input[FMS_ID],FMS_Input[FMS_TYPE])</f>
        <v>Regulatory and Guidance</v>
      </c>
      <c r="I575" s="249">
        <f>_xlfn.XLOOKUP(FMS_Ranking4[[#This Row],[FMS ID]],FMS_Input[FMS_ID],FMS_Input[NRNC_COST])</f>
        <v>300000</v>
      </c>
      <c r="J575" s="250">
        <f>_xlfn.XLOOKUP(FMS_Ranking4[[#This Row],[FMS ID]],FMS_Input[FMS_ID],FMS_Input[FMS_COST])</f>
        <v>300000</v>
      </c>
      <c r="K575" s="251" t="str">
        <f>_xlfn.XLOOKUP(FMS_Ranking4[[#This Row],[FMS ID]],FMS_Input[FMS_ID],FMS_Input[EMER_NEED])</f>
        <v>Yes</v>
      </c>
      <c r="L575" s="252">
        <f t="shared" si="8"/>
        <v>1</v>
      </c>
      <c r="M575" s="253">
        <f>_xlfn.XLOOKUP(FMS_Ranking4[[#This Row],[FMS ID]],FMS_Input[FMS_ID],FMS_Input[STRUCT_100])</f>
        <v>92</v>
      </c>
      <c r="N575" s="255">
        <f>(ASINH(FMS_Ranking4[[#This Row],[Structure at Risk Raw]]))*(10)/(ASINH(M$4))</f>
        <v>4.0997391951269924</v>
      </c>
      <c r="O575" s="256">
        <f>FMS_Ranking4[[#This Row],[Structures at risk, ArcSinh (0-10)]]*M$5*10</f>
        <v>4.0997391951269924</v>
      </c>
      <c r="P575" s="253">
        <f>_xlfn.XLOOKUP(FMS_Ranking4[[#This Row],[FMS ID]],FMS_Input[FMS_ID],FMS_Input[RES_STRUCT100])</f>
        <v>48</v>
      </c>
      <c r="Q575" s="257">
        <f>ASINH(FMS_Ranking4[[#This Row],[Res Structure Raw]])/Q$4*P$5*100</f>
        <v>0</v>
      </c>
      <c r="R575" s="253">
        <f>_xlfn.XLOOKUP(FMS_Ranking4[[#This Row],[FMS ID]],FMS_Input[FMS_ID],FMS_Input[POP100])</f>
        <v>698</v>
      </c>
      <c r="S575" s="259">
        <f>(ASINH(FMS_Ranking4[[#This Row],[Pop at Risk Raw]]))*(10)/(ASINH(R$4))</f>
        <v>4.9991370769863694</v>
      </c>
      <c r="T575" s="256">
        <f>FMS_Ranking4[[#This Row],[Population at risk, ArcSinh (0-10)]]*R$5*10</f>
        <v>4.9991370769863694</v>
      </c>
      <c r="U575" s="253">
        <f>_xlfn.XLOOKUP(FMS_Ranking4[[#This Row],[FMS ID]],FMS_Input[FMS_ID],FMS_Input[CRITFAC100])</f>
        <v>1</v>
      </c>
      <c r="V575" s="259">
        <f>(ASINH(FMS_Ranking4[[#This Row],[Critical Facilities Raw]]))*(10)/(ASINH(U$4))</f>
        <v>1.0433384451410745</v>
      </c>
      <c r="W575" s="256">
        <f>FMS_Ranking4[[#This Row],[Critical facilities at risk, ArcSinh (0-10)]]*U$5*10</f>
        <v>1.0433384451410745</v>
      </c>
      <c r="X575" s="253">
        <f>_xlfn.XLOOKUP(FMS_Ranking4[[#This Row],[FMS ID]],FMS_Input[FMS_ID],FMS_Input[LWC])</f>
        <v>0</v>
      </c>
      <c r="Y575" s="259">
        <f>(ASINH(FMS_Ranking4[[#This Row],[LWC Raw]]))*(10)/(ASINH(X$4))</f>
        <v>0</v>
      </c>
      <c r="Z575" s="256">
        <f>FMS_Ranking4[[#This Row],[LWC, ArcSInh (0-10)]]*X$5*10</f>
        <v>0</v>
      </c>
      <c r="AA575" s="253">
        <f>_xlfn.XLOOKUP(FMS_Ranking4[[#This Row],[FMS ID]],FMS_Input[FMS_ID],FMS_Input[ROADCLS])</f>
        <v>32</v>
      </c>
      <c r="AB575" s="255">
        <f>(ASINH(FMS_Ranking4[[#This Row],[Road Closures Raw]]))*(10)/(ASINH(AA$4))</f>
        <v>4.3313491730635407</v>
      </c>
      <c r="AC575" s="256">
        <f>FMS_Ranking4[[#This Row],[Road closures, ArcSinh (0-10)]]*AA$5*10</f>
        <v>2.1656745865317708</v>
      </c>
      <c r="AD575" s="253">
        <f>_xlfn.XLOOKUP(FMS_Ranking4[[#This Row],[FMS ID]],FMS_Input[FMS_ID],FMS_Input[ROAD_MILES100])</f>
        <v>3</v>
      </c>
      <c r="AE575" s="259">
        <f>(ASINH(FMS_Ranking4[[#This Row],[Road Miles Raw]]))*(10)/(ASINH(AD$4))</f>
        <v>1.937963626835977</v>
      </c>
      <c r="AF575" s="256">
        <f>FMS_Ranking4[[#This Row],[Length of roads at risk, ArcSinh (0-10)]]*AD$5*10</f>
        <v>1.937963626835977</v>
      </c>
      <c r="AG575" s="253">
        <f>_xlfn.XLOOKUP(FMS_Ranking4[[#This Row],[FMS ID]],FMS_Input[FMS_ID],FMS_Input[FARMACRE100])</f>
        <v>0.34751459956169128</v>
      </c>
      <c r="AH575" s="255">
        <f>(ASINH(FMS_Ranking4[[#This Row],[Ag Land Raw]]))*(10)/(ASINH(AG$4))</f>
        <v>0.22142594147779845</v>
      </c>
      <c r="AI575" s="260">
        <f>FMS_Ranking4[[#This Row],[Farm &amp; ranch land, ArcSinh (0-10)]]*AG$5*10</f>
        <v>0.11071297073889923</v>
      </c>
      <c r="AJ575" s="258">
        <f>_xlfn.XLOOKUP(FMS_Ranking4[[#This Row],[FMS ID]],FMS_Input[FMS_ID],FMS_Input[REDSTRUCT100])</f>
        <v>0</v>
      </c>
      <c r="AK575" s="253">
        <f>_xlfn.XLOOKUP(FMS_Ranking4[[#This Row],[FMS ID]],FMS_Input[FMS_ID],FMS_Input[REMSTRC100])</f>
        <v>0</v>
      </c>
      <c r="AL575" s="259">
        <f>(ASINH(FMS_Ranking4[[#This Row],[Structures Removed Raw]]))*(10)/(ASINH(AK$4))</f>
        <v>0</v>
      </c>
      <c r="AM575" s="262">
        <f>FMS_Ranking4[[#This Row],[Structures removed, ArcSinh (0-10)]]*AK$5*10</f>
        <v>0</v>
      </c>
      <c r="AN575" s="253">
        <f>_xlfn.XLOOKUP(FMS_Ranking4[[#This Row],[FMS ID]],FMS_Input[FMS_ID],FMS_Input[REMRESSTRC100])</f>
        <v>0</v>
      </c>
      <c r="AO575" s="261">
        <f>FMS_Ranking4[[#This Row],[ArcSinh Res struct removed 0-10]]*AN$5*10</f>
        <v>0</v>
      </c>
      <c r="AP575" s="260">
        <f>ASINH(FMS_Ranking4[[#This Row],[Residential Structures Removed Raw]])/AP$4*AN$5*100</f>
        <v>0</v>
      </c>
      <c r="AQ575" s="254">
        <f>(ASINH(FMS_Ranking4[[#This Row],[Residential Structures Removed Raw]]))*(10)/(ASINH(AN$4))</f>
        <v>0</v>
      </c>
      <c r="AR575" s="253">
        <f>_xlfn.XLOOKUP(FMS_Ranking4[[#This Row],[FMS ID]],FMS_Input[FMS_ID],FMS_Input[REMPOP100])</f>
        <v>0</v>
      </c>
      <c r="AS575" s="259">
        <f>(ASINH(FMS_Ranking4[[#This Row],[Removed Pop Raw]]))*(10)/(ASINH(AR$4))</f>
        <v>0</v>
      </c>
      <c r="AT575" s="262">
        <f>FMS_Ranking4[[#This Row],[Removed population, ArcSinh (0-10)]]*AR$5*10</f>
        <v>0</v>
      </c>
      <c r="AU575" s="264">
        <f>_xlfn.XLOOKUP(FMS_Ranking4[[#This Row],[FMS ID]],FMS_Input[FMS_ID],FMS_Input[REMCRITFAC100])</f>
        <v>0</v>
      </c>
      <c r="AV575" s="264">
        <f>_xlfn.XLOOKUP(FMS_Ranking4[[#This Row],[FMS ID]],FMS_Input[FMS_ID],FMS_Input[REMLWC100])</f>
        <v>0</v>
      </c>
      <c r="AW575" s="264">
        <f>_xlfn.XLOOKUP(FMS_Ranking4[[#This Row],[FMS ID]],FMS_Input[FMS_ID],FMS_Input[REMROADCLS])</f>
        <v>0</v>
      </c>
      <c r="AX575" s="264">
        <f>_xlfn.XLOOKUP(FMS_Ranking4[[#This Row],[FMS ID]],FMS_Input[FMS_ID],FMS_Input[REMFRMACRE100])</f>
        <v>0</v>
      </c>
      <c r="AY575" s="258">
        <f>_xlfn.XLOOKUP(FMS_Ranking4[[#This Row],[FMS ID]],FMS_Input[FMS_ID],FMS_Input[COSTSTRUCT])</f>
        <v>0</v>
      </c>
      <c r="AZ575" s="253">
        <f>_xlfn.XLOOKUP(FMS_Ranking4[[#This Row],[FMS ID]],FMS_Input[FMS_ID],FMS_Input[NATURE])</f>
        <v>0</v>
      </c>
      <c r="BA575" s="262">
        <f>(((FMS_Ranking4[[#This Row],[% NBS Raw]]/AZ$4)*100)*AZ$5)</f>
        <v>0</v>
      </c>
      <c r="BB575" s="251" t="str">
        <f>_xlfn.XLOOKUP(FMS_Ranking4[[#This Row],[FMS ID]],FMS_Input[FMS_ID],FMS_Input[WATER_SUP])</f>
        <v>No</v>
      </c>
      <c r="BC575" s="265">
        <f>IF(FMS_Ranking4[[#This Row],[Water Supply Raw]]="Yes",10,0)</f>
        <v>0</v>
      </c>
      <c r="BD575" s="266">
        <f>_xlfn.XLOOKUP(FMS_Ranking4[[#This Row],[FMS Type]],FMS_TYPE[FMS_Type],FMS_TYPE[Score])</f>
        <v>8</v>
      </c>
      <c r="BE575" s="267">
        <f>FMS_Ranking4[[#This Row],[FMS_Type Score]]*$BD$5*10</f>
        <v>2</v>
      </c>
      <c r="BF57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4.3604642769893169E-2</v>
      </c>
      <c r="BG575" s="271">
        <f>_xlfn.RANK.EQ(BF575,$BF$8:$BF$870,0)+COUNTIF($BF$8:BF575,BF575)-1</f>
        <v>570</v>
      </c>
      <c r="BH575" s="268">
        <f>(((FMS_Ranking4[[#This Row],[Structures Removed Raw]]/AK$4)*100)*AK$5)+(((FMS_Ranking4[[#This Row],[Removed Pop Raw]]/AR$4)*100)*AR$5)</f>
        <v>0</v>
      </c>
      <c r="BI57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2.0436046427698931</v>
      </c>
      <c r="BJ575" s="205">
        <f>_xlfn.RANK.EQ(FMS_Ranking4[[#This Row],[Total Score 
(with linear
normalization)]],FMS_Ranking4[Total Score 
(with linear
normalization)],0)</f>
        <v>389</v>
      </c>
      <c r="BK575" s="205" t="e">
        <f>_xlfn.XLOOKUP(FMS_Ranking4[[#This Row],[FMS ID]],#REF!,#REF!)</f>
        <v>#REF!</v>
      </c>
      <c r="BL57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14.356565901361083</v>
      </c>
      <c r="BM575" s="272">
        <f>FMS_Ranking4[[#This Row],[ArcSinh Score Based on Normalized Reported Factors]]+FMS_Ranking4[[#This Row],[% NBS Score (Normalized)]]+(FMS_Ranking4[[#This Row],[Water Supply Score (Normalized)]]*10*$BB$5)+FMS_Ranking4[[#This Row],[FMS_Type Score Weighted]]</f>
        <v>16.356565901361083</v>
      </c>
      <c r="BN575" s="205">
        <f>_xlfn.RANK.EQ(FMS_Ranking4[[#This Row],[Total Score (with ArcSinh normalization of select criteria)]],FMS_Ranking4[Total Score (with ArcSinh normalization of select criteria)],0)</f>
        <v>568</v>
      </c>
      <c r="BO575" s="270" t="str">
        <f>_xlfn.XLOOKUP(FMS_Ranking4[[#This Row],[FMS ID]],FMS_Input[FMS_ID],FMS_Input[FMS_RANK_YEAR])</f>
        <v>2025 Amended Plan</v>
      </c>
      <c r="BP575" s="204" t="e">
        <f>_xlfn.XLOOKUP(FMS_Ranking4[[#This Row],[FMS ID]],Prev_Rank[FMS ID],Prev_Rank[Prev Rank])</f>
        <v>#N/A</v>
      </c>
      <c r="BQ575" s="205" t="e">
        <f>_xlfn.XLOOKUP(FMS_Ranking4[[#This Row],[FMS ID]],#REF!,#REF!)</f>
        <v>#REF!</v>
      </c>
      <c r="BR575" s="199" t="e">
        <f>SUM(#REF!,#REF!,#REF!,#REF!,#REF!,#REF!,#REF!,#REF!,#REF!,FMS_Ranking4[[#This Row],[ArcSinh Res struct removed 0-10]],#REF!)</f>
        <v>#REF!</v>
      </c>
      <c r="BS575" s="199" t="e">
        <f>FMS_Ranking4[[#This Row],[Log Score Based on Normalized Reported Factors]]+FMS_Ranking4[[#This Row],[% NBS Score (Normalized)]]+(FMS_Ranking4[[#This Row],[Water Supply Score (Normalized)]]*10*$BB$5)+(FMS_Ranking4[[#This Row],[FMS_Type Score Weighted]])</f>
        <v>#REF!</v>
      </c>
      <c r="BT575" s="200" t="e">
        <f>_xlfn.RANK.EQ(FMS_Ranking4[[#This Row],[Log Total Score]],FMS_Ranking4[Log Total Score],0)</f>
        <v>#REF!</v>
      </c>
      <c r="BU575" s="200" t="e">
        <f>_xlfn.XLOOKUP(FMS_Ranking4[[#This Row],[FMS ID]],#REF!,#REF!)</f>
        <v>#REF!</v>
      </c>
      <c r="BV575" s="200">
        <f>FMS_Ranking4[[#This Row],[Region Number]]</f>
        <v>15</v>
      </c>
      <c r="BW575" s="200">
        <f>FMS_Ranking4[[#This Row],[Rank (with ArcSinh normalization of select criteria)]]-FMS_Ranking4[[#This Row],[Rank
(with linear
normalization)]]</f>
        <v>179</v>
      </c>
      <c r="BX575" s="200" t="e">
        <f>FMS_Ranking4[[#This Row],[Log Rank]]-FMS_Ranking4[[#This Row],[Rank
(with linear
normalization)]]</f>
        <v>#REF!</v>
      </c>
      <c r="BY575" s="200" t="str">
        <f>IF(FMS_Ranking4[[#This Row],[FMS Type]]="Flood Measurement and Warning",FMS_Ranking4[[#This Row],[Rank (with ArcSinh normalization of select criteria)]],"")</f>
        <v/>
      </c>
      <c r="BZ575" s="200">
        <f>IF(FMS_Ranking4[[#This Row],[FMS Type]]="Regulatory and Guidance",FMS_Ranking4[[#This Row],[Rank (with ArcSinh normalization of select criteria)]],"")</f>
        <v>568</v>
      </c>
      <c r="CA575" s="200" t="str">
        <f>IF(FMS_Ranking4[[#This Row],[FMS Type]]="Education and Outreach",FMS_Ranking4[[#This Row],[Rank (with ArcSinh normalization of select criteria)]],"")</f>
        <v/>
      </c>
      <c r="CB575" s="200" t="str">
        <f>IF(FMS_Ranking4[[#This Row],[FMS Type]]="Property Acquisition and Structural Elevation",FMS_Ranking4[[#This Row],[Rank (with ArcSinh normalization of select criteria)]],"")</f>
        <v/>
      </c>
      <c r="CC575" s="200" t="str">
        <f>IF(FMS_Ranking4[[#This Row],[FMS Type]]="Infrastructure Projects",FMS_Ranking4[[#This Row],[Rank (with ArcSinh normalization of select criteria)]],"")</f>
        <v/>
      </c>
      <c r="CD575" s="200" t="str">
        <f>IF(FMS_Ranking4[[#This Row],[FMS Type]]="Other",FMS_Ranking4[[#This Row],[Rank (with ArcSinh normalization of select criteria)]],"")</f>
        <v/>
      </c>
      <c r="CE575" s="201"/>
      <c r="CF575" s="206"/>
      <c r="CG575" s="206"/>
      <c r="CH575" s="206"/>
      <c r="CI575" s="206"/>
      <c r="CJ575" s="206"/>
      <c r="CK575" s="206"/>
      <c r="CL575" s="206"/>
      <c r="CM575" s="206"/>
      <c r="CN575" s="206"/>
      <c r="CO575" s="206"/>
      <c r="CP575" s="206"/>
      <c r="CQ575" s="206"/>
      <c r="CR575" s="206"/>
    </row>
    <row r="576" spans="2:96" ht="75" x14ac:dyDescent="0.25">
      <c r="B576" s="341" t="s">
        <v>2775</v>
      </c>
      <c r="C576" s="246">
        <f>_xlfn.XLOOKUP(FMS_Ranking4[[#This Row],[FMS ID]],FMS_Input[FMS_ID],FMS_Input[RFPG_NUM])</f>
        <v>5</v>
      </c>
      <c r="D576" s="309" t="str">
        <f>_xlfn.XLOOKUP(FMS_Ranking4[[#This Row],[FMS ID]],FMS_Input[FMS_ID],FMS_Input[FMS_NAME])</f>
        <v>San Augustine County Facilities Hazard Hardening Retrofit</v>
      </c>
      <c r="E576" s="308" t="str">
        <f>_xlfn.XLOOKUP(FMS_Ranking4[[#This Row],[FMS ID]],FMS_Input[FMS_ID],FMS_Input[SPONSOR])</f>
        <v>00000136</v>
      </c>
      <c r="F576" s="309" t="str">
        <f>_xlfn.XLOOKUP(FMS_Ranking4[[#This Row],[FMS ID]],Sponsor[FMS_ID],Sponsor[SPONSOR NAME])</f>
        <v>San Augustine</v>
      </c>
      <c r="G576" s="309" t="str">
        <f>_xlfn.XLOOKUP(FMS_Ranking4[[#This Row],[FMS ID]],FMS_Input[FMS_ID],FMS_Input[FMS_DESCR])</f>
        <v>Actions can include but are not limited to: installing window screens, storm shutters, window film reinforcements, roof straps, and flood proofing.</v>
      </c>
      <c r="H576" s="248" t="str">
        <f>_xlfn.XLOOKUP(FMS_Ranking4[[#This Row],[FMS ID]],FMS_Input[FMS_ID],FMS_Input[FMS_TYPE])</f>
        <v>Infrastructure Projects</v>
      </c>
      <c r="I576" s="249">
        <f>_xlfn.XLOOKUP(FMS_Ranking4[[#This Row],[FMS ID]],FMS_Input[FMS_ID],FMS_Input[NRNC_COST])</f>
        <v>200000</v>
      </c>
      <c r="J576" s="250">
        <f>_xlfn.XLOOKUP(FMS_Ranking4[[#This Row],[FMS ID]],FMS_Input[FMS_ID],FMS_Input[FMS_COST])</f>
        <v>1500000</v>
      </c>
      <c r="K576" s="251" t="str">
        <f>_xlfn.XLOOKUP(FMS_Ranking4[[#This Row],[FMS ID]],FMS_Input[FMS_ID],FMS_Input[EMER_NEED])</f>
        <v>Yes</v>
      </c>
      <c r="L576" s="252">
        <f t="shared" si="8"/>
        <v>1</v>
      </c>
      <c r="M576" s="253">
        <f>_xlfn.XLOOKUP(FMS_Ranking4[[#This Row],[FMS ID]],FMS_Input[FMS_ID],FMS_Input[STRUCT_100])</f>
        <v>64</v>
      </c>
      <c r="N576" s="255">
        <f>(ASINH(FMS_Ranking4[[#This Row],[Structure at Risk Raw]]))*(10)/(ASINH(M$4))</f>
        <v>3.8144662017850184</v>
      </c>
      <c r="O576" s="256">
        <f>FMS_Ranking4[[#This Row],[Structures at risk, ArcSinh (0-10)]]*M$5*10</f>
        <v>3.8144662017850184</v>
      </c>
      <c r="P576" s="253">
        <f>_xlfn.XLOOKUP(FMS_Ranking4[[#This Row],[FMS ID]],FMS_Input[FMS_ID],FMS_Input[RES_STRUCT100])</f>
        <v>28</v>
      </c>
      <c r="Q576" s="257">
        <f>ASINH(FMS_Ranking4[[#This Row],[Res Structure Raw]])/Q$4*P$5*100</f>
        <v>0</v>
      </c>
      <c r="R576" s="253">
        <f>_xlfn.XLOOKUP(FMS_Ranking4[[#This Row],[FMS ID]],FMS_Input[FMS_ID],FMS_Input[POP100])</f>
        <v>146</v>
      </c>
      <c r="S576" s="259">
        <f>(ASINH(FMS_Ranking4[[#This Row],[Pop at Risk Raw]]))*(10)/(ASINH(R$4))</f>
        <v>3.9190017351397799</v>
      </c>
      <c r="T576" s="256">
        <f>FMS_Ranking4[[#This Row],[Population at risk, ArcSinh (0-10)]]*R$5*10</f>
        <v>3.9190017351397799</v>
      </c>
      <c r="U576" s="253">
        <f>_xlfn.XLOOKUP(FMS_Ranking4[[#This Row],[FMS ID]],FMS_Input[FMS_ID],FMS_Input[CRITFAC100])</f>
        <v>0</v>
      </c>
      <c r="V576" s="259">
        <f>(ASINH(FMS_Ranking4[[#This Row],[Critical Facilities Raw]]))*(10)/(ASINH(U$4))</f>
        <v>0</v>
      </c>
      <c r="W576" s="256">
        <f>FMS_Ranking4[[#This Row],[Critical facilities at risk, ArcSinh (0-10)]]*U$5*10</f>
        <v>0</v>
      </c>
      <c r="X576" s="253">
        <f>_xlfn.XLOOKUP(FMS_Ranking4[[#This Row],[FMS ID]],FMS_Input[FMS_ID],FMS_Input[LWC])</f>
        <v>2</v>
      </c>
      <c r="Y576" s="259">
        <f>(ASINH(FMS_Ranking4[[#This Row],[LWC Raw]]))*(10)/(ASINH(X$4))</f>
        <v>1.9557475158633808</v>
      </c>
      <c r="Z576" s="256">
        <f>FMS_Ranking4[[#This Row],[LWC, ArcSInh (0-10)]]*X$5*10</f>
        <v>1.9557475158633808</v>
      </c>
      <c r="AA576" s="253">
        <f>_xlfn.XLOOKUP(FMS_Ranking4[[#This Row],[FMS ID]],FMS_Input[FMS_ID],FMS_Input[ROADCLS])</f>
        <v>2</v>
      </c>
      <c r="AB576" s="255">
        <f>(ASINH(FMS_Ranking4[[#This Row],[Road Closures Raw]]))*(10)/(ASINH(AA$4))</f>
        <v>1.5034138460359754</v>
      </c>
      <c r="AC576" s="256">
        <f>FMS_Ranking4[[#This Row],[Road closures, ArcSinh (0-10)]]*AA$5*10</f>
        <v>0.7517069230179878</v>
      </c>
      <c r="AD576" s="253">
        <f>_xlfn.XLOOKUP(FMS_Ranking4[[#This Row],[FMS ID]],FMS_Input[FMS_ID],FMS_Input[ROAD_MILES100])</f>
        <v>13</v>
      </c>
      <c r="AE576" s="259">
        <f>(ASINH(FMS_Ranking4[[#This Row],[Road Miles Raw]]))*(10)/(ASINH(AD$4))</f>
        <v>3.473807557544454</v>
      </c>
      <c r="AF576" s="256">
        <f>FMS_Ranking4[[#This Row],[Length of roads at risk, ArcSinh (0-10)]]*AD$5*10</f>
        <v>3.4738075575444545</v>
      </c>
      <c r="AG576" s="253">
        <f>_xlfn.XLOOKUP(FMS_Ranking4[[#This Row],[FMS ID]],FMS_Input[FMS_ID],FMS_Input[FARMACRE100])</f>
        <v>41.607803344726563</v>
      </c>
      <c r="AH576" s="255">
        <f>(ASINH(FMS_Ranking4[[#This Row],[Ag Land Raw]]))*(10)/(ASINH(AG$4))</f>
        <v>2.8721759700058862</v>
      </c>
      <c r="AI576" s="260">
        <f>FMS_Ranking4[[#This Row],[Farm &amp; ranch land, ArcSinh (0-10)]]*AG$5*10</f>
        <v>1.4360879850029431</v>
      </c>
      <c r="AJ576" s="258">
        <f>_xlfn.XLOOKUP(FMS_Ranking4[[#This Row],[FMS ID]],FMS_Input[FMS_ID],FMS_Input[REDSTRUCT100])</f>
        <v>0</v>
      </c>
      <c r="AK576" s="253">
        <f>_xlfn.XLOOKUP(FMS_Ranking4[[#This Row],[FMS ID]],FMS_Input[FMS_ID],FMS_Input[REMSTRC100])</f>
        <v>0</v>
      </c>
      <c r="AL576" s="259">
        <f>(ASINH(FMS_Ranking4[[#This Row],[Structures Removed Raw]]))*(10)/(ASINH(AK$4))</f>
        <v>0</v>
      </c>
      <c r="AM576" s="262">
        <f>FMS_Ranking4[[#This Row],[Structures removed, ArcSinh (0-10)]]*AK$5*10</f>
        <v>0</v>
      </c>
      <c r="AN576" s="253">
        <f>_xlfn.XLOOKUP(FMS_Ranking4[[#This Row],[FMS ID]],FMS_Input[FMS_ID],FMS_Input[REMRESSTRC100])</f>
        <v>0</v>
      </c>
      <c r="AO576" s="261">
        <f>FMS_Ranking4[[#This Row],[ArcSinh Res struct removed 0-10]]*AN$5*10</f>
        <v>0</v>
      </c>
      <c r="AP576" s="260">
        <f>ASINH(FMS_Ranking4[[#This Row],[Residential Structures Removed Raw]])/AP$4*AN$5*100</f>
        <v>0</v>
      </c>
      <c r="AQ576" s="254">
        <f>(ASINH(FMS_Ranking4[[#This Row],[Residential Structures Removed Raw]]))*(10)/(ASINH(AN$4))</f>
        <v>0</v>
      </c>
      <c r="AR576" s="253">
        <f>_xlfn.XLOOKUP(FMS_Ranking4[[#This Row],[FMS ID]],FMS_Input[FMS_ID],FMS_Input[REMPOP100])</f>
        <v>0</v>
      </c>
      <c r="AS576" s="259">
        <f>(ASINH(FMS_Ranking4[[#This Row],[Removed Pop Raw]]))*(10)/(ASINH(AR$4))</f>
        <v>0</v>
      </c>
      <c r="AT576" s="262">
        <f>FMS_Ranking4[[#This Row],[Removed population, ArcSinh (0-10)]]*AR$5*10</f>
        <v>0</v>
      </c>
      <c r="AU576" s="264">
        <f>_xlfn.XLOOKUP(FMS_Ranking4[[#This Row],[FMS ID]],FMS_Input[FMS_ID],FMS_Input[REMCRITFAC100])</f>
        <v>0</v>
      </c>
      <c r="AV576" s="264">
        <f>_xlfn.XLOOKUP(FMS_Ranking4[[#This Row],[FMS ID]],FMS_Input[FMS_ID],FMS_Input[REMLWC100])</f>
        <v>0</v>
      </c>
      <c r="AW576" s="264">
        <f>_xlfn.XLOOKUP(FMS_Ranking4[[#This Row],[FMS ID]],FMS_Input[FMS_ID],FMS_Input[REMROADCLS])</f>
        <v>0</v>
      </c>
      <c r="AX576" s="264">
        <f>_xlfn.XLOOKUP(FMS_Ranking4[[#This Row],[FMS ID]],FMS_Input[FMS_ID],FMS_Input[REMFRMACRE100])</f>
        <v>0</v>
      </c>
      <c r="AY576" s="258">
        <f>_xlfn.XLOOKUP(FMS_Ranking4[[#This Row],[FMS ID]],FMS_Input[FMS_ID],FMS_Input[COSTSTRUCT])</f>
        <v>0</v>
      </c>
      <c r="AZ576" s="253">
        <f>_xlfn.XLOOKUP(FMS_Ranking4[[#This Row],[FMS ID]],FMS_Input[FMS_ID],FMS_Input[NATURE])</f>
        <v>0</v>
      </c>
      <c r="BA576" s="262">
        <f>(((FMS_Ranking4[[#This Row],[% NBS Raw]]/AZ$4)*100)*AZ$5)</f>
        <v>0</v>
      </c>
      <c r="BB576" s="251" t="str">
        <f>_xlfn.XLOOKUP(FMS_Ranking4[[#This Row],[FMS ID]],FMS_Input[FMS_ID],FMS_Input[WATER_SUP])</f>
        <v>No</v>
      </c>
      <c r="BC576" s="265">
        <f>IF(FMS_Ranking4[[#This Row],[Water Supply Raw]]="Yes",10,0)</f>
        <v>0</v>
      </c>
      <c r="BD576" s="266">
        <f>_xlfn.XLOOKUP(FMS_Ranking4[[#This Row],[FMS Type]],FMS_TYPE[FMS_Type],FMS_TYPE[Score])</f>
        <v>4</v>
      </c>
      <c r="BE576" s="267">
        <f>FMS_Ranking4[[#This Row],[FMS_Type Score]]*$BD$5*10</f>
        <v>1</v>
      </c>
      <c r="BF57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5.3536336542967897E-2</v>
      </c>
      <c r="BG576" s="271">
        <f>_xlfn.RANK.EQ(BF576,$BF$8:$BF$870,0)+COUNTIF($BF$8:BF576,BF576)-1</f>
        <v>551</v>
      </c>
      <c r="BH576" s="268">
        <f>(((FMS_Ranking4[[#This Row],[Structures Removed Raw]]/AK$4)*100)*AK$5)+(((FMS_Ranking4[[#This Row],[Removed Pop Raw]]/AR$4)*100)*AR$5)</f>
        <v>0</v>
      </c>
      <c r="BI57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1.053536336542968</v>
      </c>
      <c r="BJ576" s="205">
        <f>_xlfn.RANK.EQ(FMS_Ranking4[[#This Row],[Total Score 
(with linear
normalization)]],FMS_Ranking4[Total Score 
(with linear
normalization)],0)</f>
        <v>690</v>
      </c>
      <c r="BK576" s="205" t="e">
        <f>_xlfn.XLOOKUP(FMS_Ranking4[[#This Row],[FMS ID]],#REF!,#REF!)</f>
        <v>#REF!</v>
      </c>
      <c r="BL57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15.350817918353565</v>
      </c>
      <c r="BM576" s="272">
        <f>FMS_Ranking4[[#This Row],[ArcSinh Score Based on Normalized Reported Factors]]+FMS_Ranking4[[#This Row],[% NBS Score (Normalized)]]+(FMS_Ranking4[[#This Row],[Water Supply Score (Normalized)]]*10*$BB$5)+FMS_Ranking4[[#This Row],[FMS_Type Score Weighted]]</f>
        <v>16.350817918353563</v>
      </c>
      <c r="BN576" s="205">
        <f>_xlfn.RANK.EQ(FMS_Ranking4[[#This Row],[Total Score (with ArcSinh normalization of select criteria)]],FMS_Ranking4[Total Score (with ArcSinh normalization of select criteria)],0)</f>
        <v>569</v>
      </c>
      <c r="BO576" s="270" t="str">
        <f>_xlfn.XLOOKUP(FMS_Ranking4[[#This Row],[FMS ID]],FMS_Input[FMS_ID],FMS_Input[FMS_RANK_YEAR])</f>
        <v>2023 Amended Plan</v>
      </c>
      <c r="BP576" s="204">
        <f>_xlfn.XLOOKUP(FMS_Ranking4[[#This Row],[FMS ID]],Prev_Rank[FMS ID],Prev_Rank[Prev Rank])</f>
        <v>497</v>
      </c>
      <c r="BQ576" s="205" t="e">
        <f>_xlfn.XLOOKUP(FMS_Ranking4[[#This Row],[FMS ID]],#REF!,#REF!)</f>
        <v>#REF!</v>
      </c>
      <c r="BR576" s="199" t="e">
        <f>SUM(#REF!,#REF!,#REF!,#REF!,#REF!,#REF!,#REF!,#REF!,#REF!,FMS_Ranking4[[#This Row],[ArcSinh Res struct removed 0-10]],#REF!)</f>
        <v>#REF!</v>
      </c>
      <c r="BS576" s="199" t="e">
        <f>FMS_Ranking4[[#This Row],[Log Score Based on Normalized Reported Factors]]+FMS_Ranking4[[#This Row],[% NBS Score (Normalized)]]+(FMS_Ranking4[[#This Row],[Water Supply Score (Normalized)]]*10*$BB$5)+(FMS_Ranking4[[#This Row],[FMS_Type Score Weighted]])</f>
        <v>#REF!</v>
      </c>
      <c r="BT576" s="200" t="e">
        <f>_xlfn.RANK.EQ(FMS_Ranking4[[#This Row],[Log Total Score]],FMS_Ranking4[Log Total Score],0)</f>
        <v>#REF!</v>
      </c>
      <c r="BU576" s="200" t="e">
        <f>_xlfn.XLOOKUP(FMS_Ranking4[[#This Row],[FMS ID]],#REF!,#REF!)</f>
        <v>#REF!</v>
      </c>
      <c r="BV576" s="200">
        <f>FMS_Ranking4[[#This Row],[Region Number]]</f>
        <v>5</v>
      </c>
      <c r="BW576" s="200">
        <f>FMS_Ranking4[[#This Row],[Rank (with ArcSinh normalization of select criteria)]]-FMS_Ranking4[[#This Row],[Rank
(with linear
normalization)]]</f>
        <v>-121</v>
      </c>
      <c r="BX576" s="200" t="e">
        <f>FMS_Ranking4[[#This Row],[Log Rank]]-FMS_Ranking4[[#This Row],[Rank
(with linear
normalization)]]</f>
        <v>#REF!</v>
      </c>
      <c r="BY576" s="200" t="str">
        <f>IF(FMS_Ranking4[[#This Row],[FMS Type]]="Flood Measurement and Warning",FMS_Ranking4[[#This Row],[Rank (with ArcSinh normalization of select criteria)]],"")</f>
        <v/>
      </c>
      <c r="BZ576" s="200" t="str">
        <f>IF(FMS_Ranking4[[#This Row],[FMS Type]]="Regulatory and Guidance",FMS_Ranking4[[#This Row],[Rank (with ArcSinh normalization of select criteria)]],"")</f>
        <v/>
      </c>
      <c r="CA576" s="200" t="str">
        <f>IF(FMS_Ranking4[[#This Row],[FMS Type]]="Education and Outreach",FMS_Ranking4[[#This Row],[Rank (with ArcSinh normalization of select criteria)]],"")</f>
        <v/>
      </c>
      <c r="CB576" s="200" t="str">
        <f>IF(FMS_Ranking4[[#This Row],[FMS Type]]="Property Acquisition and Structural Elevation",FMS_Ranking4[[#This Row],[Rank (with ArcSinh normalization of select criteria)]],"")</f>
        <v/>
      </c>
      <c r="CC576" s="200">
        <f>IF(FMS_Ranking4[[#This Row],[FMS Type]]="Infrastructure Projects",FMS_Ranking4[[#This Row],[Rank (with ArcSinh normalization of select criteria)]],"")</f>
        <v>569</v>
      </c>
      <c r="CD576" s="200" t="str">
        <f>IF(FMS_Ranking4[[#This Row],[FMS Type]]="Other",FMS_Ranking4[[#This Row],[Rank (with ArcSinh normalization of select criteria)]],"")</f>
        <v/>
      </c>
      <c r="CE576" s="201"/>
      <c r="CF576" s="206"/>
      <c r="CG576" s="206"/>
      <c r="CH576" s="206"/>
      <c r="CI576" s="206"/>
      <c r="CJ576" s="206"/>
      <c r="CK576" s="206"/>
      <c r="CL576" s="206"/>
      <c r="CM576" s="206"/>
      <c r="CN576" s="206"/>
      <c r="CO576" s="206"/>
      <c r="CP576" s="206"/>
      <c r="CQ576" s="206"/>
      <c r="CR576" s="206"/>
    </row>
    <row r="577" spans="2:96" ht="60" x14ac:dyDescent="0.25">
      <c r="B577" s="341" t="s">
        <v>2778</v>
      </c>
      <c r="C577" s="246">
        <f>_xlfn.XLOOKUP(FMS_Ranking4[[#This Row],[FMS ID]],FMS_Input[FMS_ID],FMS_Input[RFPG_NUM])</f>
        <v>5</v>
      </c>
      <c r="D577" s="309" t="str">
        <f>_xlfn.XLOOKUP(FMS_Ranking4[[#This Row],[FMS ID]],FMS_Input[FMS_ID],FMS_Input[FMS_NAME])</f>
        <v>San Augustine County Bridge Improvements</v>
      </c>
      <c r="E577" s="308" t="str">
        <f>_xlfn.XLOOKUP(FMS_Ranking4[[#This Row],[FMS ID]],FMS_Input[FMS_ID],FMS_Input[SPONSOR])</f>
        <v>00000136</v>
      </c>
      <c r="F577" s="309" t="str">
        <f>_xlfn.XLOOKUP(FMS_Ranking4[[#This Row],[FMS ID]],Sponsor[FMS_ID],Sponsor[SPONSOR NAME])</f>
        <v>San Augustine</v>
      </c>
      <c r="G577" s="309" t="str">
        <f>_xlfn.XLOOKUP(FMS_Ranking4[[#This Row],[FMS ID]],FMS_Input[FMS_ID],FMS_Input[FMS_DESCR])</f>
        <v>Develop a program to elevate roads and bridges including installing, upsizing culverts and headwalls, and bridge upgrades.</v>
      </c>
      <c r="H577" s="248" t="str">
        <f>_xlfn.XLOOKUP(FMS_Ranking4[[#This Row],[FMS ID]],FMS_Input[FMS_ID],FMS_Input[FMS_TYPE])</f>
        <v>Infrastructure Projects</v>
      </c>
      <c r="I577" s="249">
        <f>_xlfn.XLOOKUP(FMS_Ranking4[[#This Row],[FMS ID]],FMS_Input[FMS_ID],FMS_Input[NRNC_COST])</f>
        <v>200000</v>
      </c>
      <c r="J577" s="250">
        <f>_xlfn.XLOOKUP(FMS_Ranking4[[#This Row],[FMS ID]],FMS_Input[FMS_ID],FMS_Input[FMS_COST])</f>
        <v>2000000</v>
      </c>
      <c r="K577" s="251" t="str">
        <f>_xlfn.XLOOKUP(FMS_Ranking4[[#This Row],[FMS ID]],FMS_Input[FMS_ID],FMS_Input[EMER_NEED])</f>
        <v>Yes</v>
      </c>
      <c r="L577" s="252">
        <f t="shared" si="8"/>
        <v>1</v>
      </c>
      <c r="M577" s="253">
        <f>_xlfn.XLOOKUP(FMS_Ranking4[[#This Row],[FMS ID]],FMS_Input[FMS_ID],FMS_Input[STRUCT_100])</f>
        <v>64</v>
      </c>
      <c r="N577" s="255">
        <f>(ASINH(FMS_Ranking4[[#This Row],[Structure at Risk Raw]]))*(10)/(ASINH(M$4))</f>
        <v>3.8144662017850184</v>
      </c>
      <c r="O577" s="256">
        <f>FMS_Ranking4[[#This Row],[Structures at risk, ArcSinh (0-10)]]*M$5*10</f>
        <v>3.8144662017850184</v>
      </c>
      <c r="P577" s="253">
        <f>_xlfn.XLOOKUP(FMS_Ranking4[[#This Row],[FMS ID]],FMS_Input[FMS_ID],FMS_Input[RES_STRUCT100])</f>
        <v>28</v>
      </c>
      <c r="Q577" s="257">
        <f>ASINH(FMS_Ranking4[[#This Row],[Res Structure Raw]])/Q$4*P$5*100</f>
        <v>0</v>
      </c>
      <c r="R577" s="253">
        <f>_xlfn.XLOOKUP(FMS_Ranking4[[#This Row],[FMS ID]],FMS_Input[FMS_ID],FMS_Input[POP100])</f>
        <v>146</v>
      </c>
      <c r="S577" s="259">
        <f>(ASINH(FMS_Ranking4[[#This Row],[Pop at Risk Raw]]))*(10)/(ASINH(R$4))</f>
        <v>3.9190017351397799</v>
      </c>
      <c r="T577" s="256">
        <f>FMS_Ranking4[[#This Row],[Population at risk, ArcSinh (0-10)]]*R$5*10</f>
        <v>3.9190017351397799</v>
      </c>
      <c r="U577" s="253">
        <f>_xlfn.XLOOKUP(FMS_Ranking4[[#This Row],[FMS ID]],FMS_Input[FMS_ID],FMS_Input[CRITFAC100])</f>
        <v>0</v>
      </c>
      <c r="V577" s="259">
        <f>(ASINH(FMS_Ranking4[[#This Row],[Critical Facilities Raw]]))*(10)/(ASINH(U$4))</f>
        <v>0</v>
      </c>
      <c r="W577" s="256">
        <f>FMS_Ranking4[[#This Row],[Critical facilities at risk, ArcSinh (0-10)]]*U$5*10</f>
        <v>0</v>
      </c>
      <c r="X577" s="253">
        <f>_xlfn.XLOOKUP(FMS_Ranking4[[#This Row],[FMS ID]],FMS_Input[FMS_ID],FMS_Input[LWC])</f>
        <v>2</v>
      </c>
      <c r="Y577" s="259">
        <f>(ASINH(FMS_Ranking4[[#This Row],[LWC Raw]]))*(10)/(ASINH(X$4))</f>
        <v>1.9557475158633808</v>
      </c>
      <c r="Z577" s="256">
        <f>FMS_Ranking4[[#This Row],[LWC, ArcSInh (0-10)]]*X$5*10</f>
        <v>1.9557475158633808</v>
      </c>
      <c r="AA577" s="253">
        <f>_xlfn.XLOOKUP(FMS_Ranking4[[#This Row],[FMS ID]],FMS_Input[FMS_ID],FMS_Input[ROADCLS])</f>
        <v>2</v>
      </c>
      <c r="AB577" s="255">
        <f>(ASINH(FMS_Ranking4[[#This Row],[Road Closures Raw]]))*(10)/(ASINH(AA$4))</f>
        <v>1.5034138460359754</v>
      </c>
      <c r="AC577" s="256">
        <f>FMS_Ranking4[[#This Row],[Road closures, ArcSinh (0-10)]]*AA$5*10</f>
        <v>0.7517069230179878</v>
      </c>
      <c r="AD577" s="253">
        <f>_xlfn.XLOOKUP(FMS_Ranking4[[#This Row],[FMS ID]],FMS_Input[FMS_ID],FMS_Input[ROAD_MILES100])</f>
        <v>13</v>
      </c>
      <c r="AE577" s="259">
        <f>(ASINH(FMS_Ranking4[[#This Row],[Road Miles Raw]]))*(10)/(ASINH(AD$4))</f>
        <v>3.473807557544454</v>
      </c>
      <c r="AF577" s="256">
        <f>FMS_Ranking4[[#This Row],[Length of roads at risk, ArcSinh (0-10)]]*AD$5*10</f>
        <v>3.4738075575444545</v>
      </c>
      <c r="AG577" s="253">
        <f>_xlfn.XLOOKUP(FMS_Ranking4[[#This Row],[FMS ID]],FMS_Input[FMS_ID],FMS_Input[FARMACRE100])</f>
        <v>41.607803344726563</v>
      </c>
      <c r="AH577" s="255">
        <f>(ASINH(FMS_Ranking4[[#This Row],[Ag Land Raw]]))*(10)/(ASINH(AG$4))</f>
        <v>2.8721759700058862</v>
      </c>
      <c r="AI577" s="260">
        <f>FMS_Ranking4[[#This Row],[Farm &amp; ranch land, ArcSinh (0-10)]]*AG$5*10</f>
        <v>1.4360879850029431</v>
      </c>
      <c r="AJ577" s="258">
        <f>_xlfn.XLOOKUP(FMS_Ranking4[[#This Row],[FMS ID]],FMS_Input[FMS_ID],FMS_Input[REDSTRUCT100])</f>
        <v>0</v>
      </c>
      <c r="AK577" s="253">
        <f>_xlfn.XLOOKUP(FMS_Ranking4[[#This Row],[FMS ID]],FMS_Input[FMS_ID],FMS_Input[REMSTRC100])</f>
        <v>0</v>
      </c>
      <c r="AL577" s="259">
        <f>(ASINH(FMS_Ranking4[[#This Row],[Structures Removed Raw]]))*(10)/(ASINH(AK$4))</f>
        <v>0</v>
      </c>
      <c r="AM577" s="262">
        <f>FMS_Ranking4[[#This Row],[Structures removed, ArcSinh (0-10)]]*AK$5*10</f>
        <v>0</v>
      </c>
      <c r="AN577" s="253">
        <f>_xlfn.XLOOKUP(FMS_Ranking4[[#This Row],[FMS ID]],FMS_Input[FMS_ID],FMS_Input[REMRESSTRC100])</f>
        <v>0</v>
      </c>
      <c r="AO577" s="261">
        <f>FMS_Ranking4[[#This Row],[ArcSinh Res struct removed 0-10]]*AN$5*10</f>
        <v>0</v>
      </c>
      <c r="AP577" s="260">
        <f>ASINH(FMS_Ranking4[[#This Row],[Residential Structures Removed Raw]])/AP$4*AN$5*100</f>
        <v>0</v>
      </c>
      <c r="AQ577" s="254">
        <f>(ASINH(FMS_Ranking4[[#This Row],[Residential Structures Removed Raw]]))*(10)/(ASINH(AN$4))</f>
        <v>0</v>
      </c>
      <c r="AR577" s="253">
        <f>_xlfn.XLOOKUP(FMS_Ranking4[[#This Row],[FMS ID]],FMS_Input[FMS_ID],FMS_Input[REMPOP100])</f>
        <v>0</v>
      </c>
      <c r="AS577" s="259">
        <f>(ASINH(FMS_Ranking4[[#This Row],[Removed Pop Raw]]))*(10)/(ASINH(AR$4))</f>
        <v>0</v>
      </c>
      <c r="AT577" s="262">
        <f>FMS_Ranking4[[#This Row],[Removed population, ArcSinh (0-10)]]*AR$5*10</f>
        <v>0</v>
      </c>
      <c r="AU577" s="264">
        <f>_xlfn.XLOOKUP(FMS_Ranking4[[#This Row],[FMS ID]],FMS_Input[FMS_ID],FMS_Input[REMCRITFAC100])</f>
        <v>0</v>
      </c>
      <c r="AV577" s="264">
        <f>_xlfn.XLOOKUP(FMS_Ranking4[[#This Row],[FMS ID]],FMS_Input[FMS_ID],FMS_Input[REMLWC100])</f>
        <v>0</v>
      </c>
      <c r="AW577" s="264">
        <f>_xlfn.XLOOKUP(FMS_Ranking4[[#This Row],[FMS ID]],FMS_Input[FMS_ID],FMS_Input[REMROADCLS])</f>
        <v>0</v>
      </c>
      <c r="AX577" s="264">
        <f>_xlfn.XLOOKUP(FMS_Ranking4[[#This Row],[FMS ID]],FMS_Input[FMS_ID],FMS_Input[REMFRMACRE100])</f>
        <v>0</v>
      </c>
      <c r="AY577" s="258">
        <f>_xlfn.XLOOKUP(FMS_Ranking4[[#This Row],[FMS ID]],FMS_Input[FMS_ID],FMS_Input[COSTSTRUCT])</f>
        <v>0</v>
      </c>
      <c r="AZ577" s="253">
        <f>_xlfn.XLOOKUP(FMS_Ranking4[[#This Row],[FMS ID]],FMS_Input[FMS_ID],FMS_Input[NATURE])</f>
        <v>0</v>
      </c>
      <c r="BA577" s="262">
        <f>(((FMS_Ranking4[[#This Row],[% NBS Raw]]/AZ$4)*100)*AZ$5)</f>
        <v>0</v>
      </c>
      <c r="BB577" s="251" t="str">
        <f>_xlfn.XLOOKUP(FMS_Ranking4[[#This Row],[FMS ID]],FMS_Input[FMS_ID],FMS_Input[WATER_SUP])</f>
        <v>No</v>
      </c>
      <c r="BC577" s="265">
        <f>IF(FMS_Ranking4[[#This Row],[Water Supply Raw]]="Yes",10,0)</f>
        <v>0</v>
      </c>
      <c r="BD577" s="266">
        <f>_xlfn.XLOOKUP(FMS_Ranking4[[#This Row],[FMS Type]],FMS_TYPE[FMS_Type],FMS_TYPE[Score])</f>
        <v>4</v>
      </c>
      <c r="BE577" s="267">
        <f>FMS_Ranking4[[#This Row],[FMS_Type Score]]*$BD$5*10</f>
        <v>1</v>
      </c>
      <c r="BF57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5.3536336542967897E-2</v>
      </c>
      <c r="BG577" s="271">
        <f>_xlfn.RANK.EQ(BF577,$BF$8:$BF$870,0)+COUNTIF($BF$8:BF577,BF577)-1</f>
        <v>552</v>
      </c>
      <c r="BH577" s="268">
        <f>(((FMS_Ranking4[[#This Row],[Structures Removed Raw]]/AK$4)*100)*AK$5)+(((FMS_Ranking4[[#This Row],[Removed Pop Raw]]/AR$4)*100)*AR$5)</f>
        <v>0</v>
      </c>
      <c r="BI57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1.053536336542968</v>
      </c>
      <c r="BJ577" s="205">
        <f>_xlfn.RANK.EQ(FMS_Ranking4[[#This Row],[Total Score 
(with linear
normalization)]],FMS_Ranking4[Total Score 
(with linear
normalization)],0)</f>
        <v>690</v>
      </c>
      <c r="BK577" s="205" t="e">
        <f>_xlfn.XLOOKUP(FMS_Ranking4[[#This Row],[FMS ID]],#REF!,#REF!)</f>
        <v>#REF!</v>
      </c>
      <c r="BL57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15.350817918353565</v>
      </c>
      <c r="BM577" s="272">
        <f>FMS_Ranking4[[#This Row],[ArcSinh Score Based on Normalized Reported Factors]]+FMS_Ranking4[[#This Row],[% NBS Score (Normalized)]]+(FMS_Ranking4[[#This Row],[Water Supply Score (Normalized)]]*10*$BB$5)+FMS_Ranking4[[#This Row],[FMS_Type Score Weighted]]</f>
        <v>16.350817918353563</v>
      </c>
      <c r="BN577" s="205">
        <f>_xlfn.RANK.EQ(FMS_Ranking4[[#This Row],[Total Score (with ArcSinh normalization of select criteria)]],FMS_Ranking4[Total Score (with ArcSinh normalization of select criteria)],0)</f>
        <v>569</v>
      </c>
      <c r="BO577" s="270" t="str">
        <f>_xlfn.XLOOKUP(FMS_Ranking4[[#This Row],[FMS ID]],FMS_Input[FMS_ID],FMS_Input[FMS_RANK_YEAR])</f>
        <v>2023 Amended Plan</v>
      </c>
      <c r="BP577" s="204">
        <f>_xlfn.XLOOKUP(FMS_Ranking4[[#This Row],[FMS ID]],Prev_Rank[FMS ID],Prev_Rank[Prev Rank])</f>
        <v>497</v>
      </c>
      <c r="BQ577" s="205" t="e">
        <f>_xlfn.XLOOKUP(FMS_Ranking4[[#This Row],[FMS ID]],#REF!,#REF!)</f>
        <v>#REF!</v>
      </c>
      <c r="BR577" s="199" t="e">
        <f>SUM(#REF!,#REF!,#REF!,#REF!,#REF!,#REF!,#REF!,#REF!,#REF!,FMS_Ranking4[[#This Row],[ArcSinh Res struct removed 0-10]],#REF!)</f>
        <v>#REF!</v>
      </c>
      <c r="BS577" s="199" t="e">
        <f>FMS_Ranking4[[#This Row],[Log Score Based on Normalized Reported Factors]]+FMS_Ranking4[[#This Row],[% NBS Score (Normalized)]]+(FMS_Ranking4[[#This Row],[Water Supply Score (Normalized)]]*10*$BB$5)+(FMS_Ranking4[[#This Row],[FMS_Type Score Weighted]])</f>
        <v>#REF!</v>
      </c>
      <c r="BT577" s="200" t="e">
        <f>_xlfn.RANK.EQ(FMS_Ranking4[[#This Row],[Log Total Score]],FMS_Ranking4[Log Total Score],0)</f>
        <v>#REF!</v>
      </c>
      <c r="BU577" s="200" t="e">
        <f>_xlfn.XLOOKUP(FMS_Ranking4[[#This Row],[FMS ID]],#REF!,#REF!)</f>
        <v>#REF!</v>
      </c>
      <c r="BV577" s="200">
        <f>FMS_Ranking4[[#This Row],[Region Number]]</f>
        <v>5</v>
      </c>
      <c r="BW577" s="200">
        <f>FMS_Ranking4[[#This Row],[Rank (with ArcSinh normalization of select criteria)]]-FMS_Ranking4[[#This Row],[Rank
(with linear
normalization)]]</f>
        <v>-121</v>
      </c>
      <c r="BX577" s="200" t="e">
        <f>FMS_Ranking4[[#This Row],[Log Rank]]-FMS_Ranking4[[#This Row],[Rank
(with linear
normalization)]]</f>
        <v>#REF!</v>
      </c>
      <c r="BY577" s="200" t="str">
        <f>IF(FMS_Ranking4[[#This Row],[FMS Type]]="Flood Measurement and Warning",FMS_Ranking4[[#This Row],[Rank (with ArcSinh normalization of select criteria)]],"")</f>
        <v/>
      </c>
      <c r="BZ577" s="200" t="str">
        <f>IF(FMS_Ranking4[[#This Row],[FMS Type]]="Regulatory and Guidance",FMS_Ranking4[[#This Row],[Rank (with ArcSinh normalization of select criteria)]],"")</f>
        <v/>
      </c>
      <c r="CA577" s="200" t="str">
        <f>IF(FMS_Ranking4[[#This Row],[FMS Type]]="Education and Outreach",FMS_Ranking4[[#This Row],[Rank (with ArcSinh normalization of select criteria)]],"")</f>
        <v/>
      </c>
      <c r="CB577" s="200" t="str">
        <f>IF(FMS_Ranking4[[#This Row],[FMS Type]]="Property Acquisition and Structural Elevation",FMS_Ranking4[[#This Row],[Rank (with ArcSinh normalization of select criteria)]],"")</f>
        <v/>
      </c>
      <c r="CC577" s="200">
        <f>IF(FMS_Ranking4[[#This Row],[FMS Type]]="Infrastructure Projects",FMS_Ranking4[[#This Row],[Rank (with ArcSinh normalization of select criteria)]],"")</f>
        <v>569</v>
      </c>
      <c r="CD577" s="200" t="str">
        <f>IF(FMS_Ranking4[[#This Row],[FMS Type]]="Other",FMS_Ranking4[[#This Row],[Rank (with ArcSinh normalization of select criteria)]],"")</f>
        <v/>
      </c>
      <c r="CE577" s="201"/>
      <c r="CF577" s="206"/>
      <c r="CG577" s="206"/>
      <c r="CH577" s="206"/>
      <c r="CI577" s="206"/>
      <c r="CJ577" s="206"/>
      <c r="CK577" s="206"/>
      <c r="CL577" s="206"/>
      <c r="CM577" s="206"/>
      <c r="CN577" s="206"/>
      <c r="CO577" s="206"/>
      <c r="CP577" s="206"/>
      <c r="CQ577" s="206"/>
      <c r="CR577" s="206"/>
    </row>
    <row r="578" spans="2:96" ht="105" x14ac:dyDescent="0.25">
      <c r="B578" s="341" t="s">
        <v>2780</v>
      </c>
      <c r="C578" s="246">
        <f>_xlfn.XLOOKUP(FMS_Ranking4[[#This Row],[FMS ID]],FMS_Input[FMS_ID],FMS_Input[RFPG_NUM])</f>
        <v>5</v>
      </c>
      <c r="D578" s="309" t="str">
        <f>_xlfn.XLOOKUP(FMS_Ranking4[[#This Row],[FMS ID]],FMS_Input[FMS_ID],FMS_Input[FMS_NAME])</f>
        <v>San Augustine County Culvert Upgrades</v>
      </c>
      <c r="E578" s="308" t="str">
        <f>_xlfn.XLOOKUP(FMS_Ranking4[[#This Row],[FMS ID]],FMS_Input[FMS_ID],FMS_Input[SPONSOR])</f>
        <v>00000136</v>
      </c>
      <c r="F578" s="309" t="str">
        <f>_xlfn.XLOOKUP(FMS_Ranking4[[#This Row],[FMS ID]],Sponsor[FMS_ID],Sponsor[SPONSOR NAME])</f>
        <v>San Augustine</v>
      </c>
      <c r="G578" s="309" t="str">
        <f>_xlfn.XLOOKUP(FMS_Ranking4[[#This Row],[FMS ID]],FMS_Input[FMS_ID],FMS_Input[FMS_DESCR])</f>
        <v>Establish a plan to upgrade culverts in county extent. Actions can include but are not limited to: installing/upgrading culverts and headwalls; and enlarging storm water ditches and canals.</v>
      </c>
      <c r="H578" s="248" t="str">
        <f>_xlfn.XLOOKUP(FMS_Ranking4[[#This Row],[FMS ID]],FMS_Input[FMS_ID],FMS_Input[FMS_TYPE])</f>
        <v>Infrastructure Projects</v>
      </c>
      <c r="I578" s="249">
        <f>_xlfn.XLOOKUP(FMS_Ranking4[[#This Row],[FMS ID]],FMS_Input[FMS_ID],FMS_Input[NRNC_COST])</f>
        <v>200000</v>
      </c>
      <c r="J578" s="250">
        <f>_xlfn.XLOOKUP(FMS_Ranking4[[#This Row],[FMS ID]],FMS_Input[FMS_ID],FMS_Input[FMS_COST])</f>
        <v>2000000</v>
      </c>
      <c r="K578" s="251" t="str">
        <f>_xlfn.XLOOKUP(FMS_Ranking4[[#This Row],[FMS ID]],FMS_Input[FMS_ID],FMS_Input[EMER_NEED])</f>
        <v>Yes</v>
      </c>
      <c r="L578" s="252">
        <f t="shared" si="8"/>
        <v>1</v>
      </c>
      <c r="M578" s="253">
        <f>_xlfn.XLOOKUP(FMS_Ranking4[[#This Row],[FMS ID]],FMS_Input[FMS_ID],FMS_Input[STRUCT_100])</f>
        <v>64</v>
      </c>
      <c r="N578" s="255">
        <f>(ASINH(FMS_Ranking4[[#This Row],[Structure at Risk Raw]]))*(10)/(ASINH(M$4))</f>
        <v>3.8144662017850184</v>
      </c>
      <c r="O578" s="256">
        <f>FMS_Ranking4[[#This Row],[Structures at risk, ArcSinh (0-10)]]*M$5*10</f>
        <v>3.8144662017850184</v>
      </c>
      <c r="P578" s="253">
        <f>_xlfn.XLOOKUP(FMS_Ranking4[[#This Row],[FMS ID]],FMS_Input[FMS_ID],FMS_Input[RES_STRUCT100])</f>
        <v>28</v>
      </c>
      <c r="Q578" s="257">
        <f>ASINH(FMS_Ranking4[[#This Row],[Res Structure Raw]])/Q$4*P$5*100</f>
        <v>0</v>
      </c>
      <c r="R578" s="253">
        <f>_xlfn.XLOOKUP(FMS_Ranking4[[#This Row],[FMS ID]],FMS_Input[FMS_ID],FMS_Input[POP100])</f>
        <v>146</v>
      </c>
      <c r="S578" s="259">
        <f>(ASINH(FMS_Ranking4[[#This Row],[Pop at Risk Raw]]))*(10)/(ASINH(R$4))</f>
        <v>3.9190017351397799</v>
      </c>
      <c r="T578" s="256">
        <f>FMS_Ranking4[[#This Row],[Population at risk, ArcSinh (0-10)]]*R$5*10</f>
        <v>3.9190017351397799</v>
      </c>
      <c r="U578" s="253">
        <f>_xlfn.XLOOKUP(FMS_Ranking4[[#This Row],[FMS ID]],FMS_Input[FMS_ID],FMS_Input[CRITFAC100])</f>
        <v>0</v>
      </c>
      <c r="V578" s="259">
        <f>(ASINH(FMS_Ranking4[[#This Row],[Critical Facilities Raw]]))*(10)/(ASINH(U$4))</f>
        <v>0</v>
      </c>
      <c r="W578" s="256">
        <f>FMS_Ranking4[[#This Row],[Critical facilities at risk, ArcSinh (0-10)]]*U$5*10</f>
        <v>0</v>
      </c>
      <c r="X578" s="253">
        <f>_xlfn.XLOOKUP(FMS_Ranking4[[#This Row],[FMS ID]],FMS_Input[FMS_ID],FMS_Input[LWC])</f>
        <v>2</v>
      </c>
      <c r="Y578" s="259">
        <f>(ASINH(FMS_Ranking4[[#This Row],[LWC Raw]]))*(10)/(ASINH(X$4))</f>
        <v>1.9557475158633808</v>
      </c>
      <c r="Z578" s="256">
        <f>FMS_Ranking4[[#This Row],[LWC, ArcSInh (0-10)]]*X$5*10</f>
        <v>1.9557475158633808</v>
      </c>
      <c r="AA578" s="253">
        <f>_xlfn.XLOOKUP(FMS_Ranking4[[#This Row],[FMS ID]],FMS_Input[FMS_ID],FMS_Input[ROADCLS])</f>
        <v>2</v>
      </c>
      <c r="AB578" s="255">
        <f>(ASINH(FMS_Ranking4[[#This Row],[Road Closures Raw]]))*(10)/(ASINH(AA$4))</f>
        <v>1.5034138460359754</v>
      </c>
      <c r="AC578" s="256">
        <f>FMS_Ranking4[[#This Row],[Road closures, ArcSinh (0-10)]]*AA$5*10</f>
        <v>0.7517069230179878</v>
      </c>
      <c r="AD578" s="253">
        <f>_xlfn.XLOOKUP(FMS_Ranking4[[#This Row],[FMS ID]],FMS_Input[FMS_ID],FMS_Input[ROAD_MILES100])</f>
        <v>13</v>
      </c>
      <c r="AE578" s="259">
        <f>(ASINH(FMS_Ranking4[[#This Row],[Road Miles Raw]]))*(10)/(ASINH(AD$4))</f>
        <v>3.473807557544454</v>
      </c>
      <c r="AF578" s="256">
        <f>FMS_Ranking4[[#This Row],[Length of roads at risk, ArcSinh (0-10)]]*AD$5*10</f>
        <v>3.4738075575444545</v>
      </c>
      <c r="AG578" s="253">
        <f>_xlfn.XLOOKUP(FMS_Ranking4[[#This Row],[FMS ID]],FMS_Input[FMS_ID],FMS_Input[FARMACRE100])</f>
        <v>41.607803344726563</v>
      </c>
      <c r="AH578" s="255">
        <f>(ASINH(FMS_Ranking4[[#This Row],[Ag Land Raw]]))*(10)/(ASINH(AG$4))</f>
        <v>2.8721759700058862</v>
      </c>
      <c r="AI578" s="260">
        <f>FMS_Ranking4[[#This Row],[Farm &amp; ranch land, ArcSinh (0-10)]]*AG$5*10</f>
        <v>1.4360879850029431</v>
      </c>
      <c r="AJ578" s="258">
        <f>_xlfn.XLOOKUP(FMS_Ranking4[[#This Row],[FMS ID]],FMS_Input[FMS_ID],FMS_Input[REDSTRUCT100])</f>
        <v>0</v>
      </c>
      <c r="AK578" s="253">
        <f>_xlfn.XLOOKUP(FMS_Ranking4[[#This Row],[FMS ID]],FMS_Input[FMS_ID],FMS_Input[REMSTRC100])</f>
        <v>0</v>
      </c>
      <c r="AL578" s="259">
        <f>(ASINH(FMS_Ranking4[[#This Row],[Structures Removed Raw]]))*(10)/(ASINH(AK$4))</f>
        <v>0</v>
      </c>
      <c r="AM578" s="262">
        <f>FMS_Ranking4[[#This Row],[Structures removed, ArcSinh (0-10)]]*AK$5*10</f>
        <v>0</v>
      </c>
      <c r="AN578" s="253">
        <f>_xlfn.XLOOKUP(FMS_Ranking4[[#This Row],[FMS ID]],FMS_Input[FMS_ID],FMS_Input[REMRESSTRC100])</f>
        <v>0</v>
      </c>
      <c r="AO578" s="261">
        <f>FMS_Ranking4[[#This Row],[ArcSinh Res struct removed 0-10]]*AN$5*10</f>
        <v>0</v>
      </c>
      <c r="AP578" s="260">
        <f>ASINH(FMS_Ranking4[[#This Row],[Residential Structures Removed Raw]])/AP$4*AN$5*100</f>
        <v>0</v>
      </c>
      <c r="AQ578" s="254">
        <f>(ASINH(FMS_Ranking4[[#This Row],[Residential Structures Removed Raw]]))*(10)/(ASINH(AN$4))</f>
        <v>0</v>
      </c>
      <c r="AR578" s="253">
        <f>_xlfn.XLOOKUP(FMS_Ranking4[[#This Row],[FMS ID]],FMS_Input[FMS_ID],FMS_Input[REMPOP100])</f>
        <v>0</v>
      </c>
      <c r="AS578" s="259">
        <f>(ASINH(FMS_Ranking4[[#This Row],[Removed Pop Raw]]))*(10)/(ASINH(AR$4))</f>
        <v>0</v>
      </c>
      <c r="AT578" s="262">
        <f>FMS_Ranking4[[#This Row],[Removed population, ArcSinh (0-10)]]*AR$5*10</f>
        <v>0</v>
      </c>
      <c r="AU578" s="264">
        <f>_xlfn.XLOOKUP(FMS_Ranking4[[#This Row],[FMS ID]],FMS_Input[FMS_ID],FMS_Input[REMCRITFAC100])</f>
        <v>0</v>
      </c>
      <c r="AV578" s="264">
        <f>_xlfn.XLOOKUP(FMS_Ranking4[[#This Row],[FMS ID]],FMS_Input[FMS_ID],FMS_Input[REMLWC100])</f>
        <v>0</v>
      </c>
      <c r="AW578" s="264">
        <f>_xlfn.XLOOKUP(FMS_Ranking4[[#This Row],[FMS ID]],FMS_Input[FMS_ID],FMS_Input[REMROADCLS])</f>
        <v>0</v>
      </c>
      <c r="AX578" s="264">
        <f>_xlfn.XLOOKUP(FMS_Ranking4[[#This Row],[FMS ID]],FMS_Input[FMS_ID],FMS_Input[REMFRMACRE100])</f>
        <v>0</v>
      </c>
      <c r="AY578" s="258">
        <f>_xlfn.XLOOKUP(FMS_Ranking4[[#This Row],[FMS ID]],FMS_Input[FMS_ID],FMS_Input[COSTSTRUCT])</f>
        <v>0</v>
      </c>
      <c r="AZ578" s="253">
        <f>_xlfn.XLOOKUP(FMS_Ranking4[[#This Row],[FMS ID]],FMS_Input[FMS_ID],FMS_Input[NATURE])</f>
        <v>0</v>
      </c>
      <c r="BA578" s="262">
        <f>(((FMS_Ranking4[[#This Row],[% NBS Raw]]/AZ$4)*100)*AZ$5)</f>
        <v>0</v>
      </c>
      <c r="BB578" s="251" t="str">
        <f>_xlfn.XLOOKUP(FMS_Ranking4[[#This Row],[FMS ID]],FMS_Input[FMS_ID],FMS_Input[WATER_SUP])</f>
        <v>No</v>
      </c>
      <c r="BC578" s="265">
        <f>IF(FMS_Ranking4[[#This Row],[Water Supply Raw]]="Yes",10,0)</f>
        <v>0</v>
      </c>
      <c r="BD578" s="266">
        <f>_xlfn.XLOOKUP(FMS_Ranking4[[#This Row],[FMS Type]],FMS_TYPE[FMS_Type],FMS_TYPE[Score])</f>
        <v>4</v>
      </c>
      <c r="BE578" s="267">
        <f>FMS_Ranking4[[#This Row],[FMS_Type Score]]*$BD$5*10</f>
        <v>1</v>
      </c>
      <c r="BF57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5.3536336542967897E-2</v>
      </c>
      <c r="BG578" s="271">
        <f>_xlfn.RANK.EQ(BF578,$BF$8:$BF$870,0)+COUNTIF($BF$8:BF578,BF578)-1</f>
        <v>553</v>
      </c>
      <c r="BH578" s="268">
        <f>(((FMS_Ranking4[[#This Row],[Structures Removed Raw]]/AK$4)*100)*AK$5)+(((FMS_Ranking4[[#This Row],[Removed Pop Raw]]/AR$4)*100)*AR$5)</f>
        <v>0</v>
      </c>
      <c r="BI57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1.053536336542968</v>
      </c>
      <c r="BJ578" s="205">
        <f>_xlfn.RANK.EQ(FMS_Ranking4[[#This Row],[Total Score 
(with linear
normalization)]],FMS_Ranking4[Total Score 
(with linear
normalization)],0)</f>
        <v>690</v>
      </c>
      <c r="BK578" s="205" t="e">
        <f>_xlfn.XLOOKUP(FMS_Ranking4[[#This Row],[FMS ID]],#REF!,#REF!)</f>
        <v>#REF!</v>
      </c>
      <c r="BL57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15.350817918353565</v>
      </c>
      <c r="BM578" s="272">
        <f>FMS_Ranking4[[#This Row],[ArcSinh Score Based on Normalized Reported Factors]]+FMS_Ranking4[[#This Row],[% NBS Score (Normalized)]]+(FMS_Ranking4[[#This Row],[Water Supply Score (Normalized)]]*10*$BB$5)+FMS_Ranking4[[#This Row],[FMS_Type Score Weighted]]</f>
        <v>16.350817918353563</v>
      </c>
      <c r="BN578" s="205">
        <f>_xlfn.RANK.EQ(FMS_Ranking4[[#This Row],[Total Score (with ArcSinh normalization of select criteria)]],FMS_Ranking4[Total Score (with ArcSinh normalization of select criteria)],0)</f>
        <v>569</v>
      </c>
      <c r="BO578" s="270" t="str">
        <f>_xlfn.XLOOKUP(FMS_Ranking4[[#This Row],[FMS ID]],FMS_Input[FMS_ID],FMS_Input[FMS_RANK_YEAR])</f>
        <v>2023 Amended Plan</v>
      </c>
      <c r="BP578" s="204">
        <f>_xlfn.XLOOKUP(FMS_Ranking4[[#This Row],[FMS ID]],Prev_Rank[FMS ID],Prev_Rank[Prev Rank])</f>
        <v>497</v>
      </c>
      <c r="BQ578" s="205" t="e">
        <f>_xlfn.XLOOKUP(FMS_Ranking4[[#This Row],[FMS ID]],#REF!,#REF!)</f>
        <v>#REF!</v>
      </c>
      <c r="BR578" s="199" t="e">
        <f>SUM(#REF!,#REF!,#REF!,#REF!,#REF!,#REF!,#REF!,#REF!,#REF!,FMS_Ranking4[[#This Row],[ArcSinh Res struct removed 0-10]],#REF!)</f>
        <v>#REF!</v>
      </c>
      <c r="BS578" s="199" t="e">
        <f>FMS_Ranking4[[#This Row],[Log Score Based on Normalized Reported Factors]]+FMS_Ranking4[[#This Row],[% NBS Score (Normalized)]]+(FMS_Ranking4[[#This Row],[Water Supply Score (Normalized)]]*10*$BB$5)+(FMS_Ranking4[[#This Row],[FMS_Type Score Weighted]])</f>
        <v>#REF!</v>
      </c>
      <c r="BT578" s="200" t="e">
        <f>_xlfn.RANK.EQ(FMS_Ranking4[[#This Row],[Log Total Score]],FMS_Ranking4[Log Total Score],0)</f>
        <v>#REF!</v>
      </c>
      <c r="BU578" s="200" t="e">
        <f>_xlfn.XLOOKUP(FMS_Ranking4[[#This Row],[FMS ID]],#REF!,#REF!)</f>
        <v>#REF!</v>
      </c>
      <c r="BV578" s="200">
        <f>FMS_Ranking4[[#This Row],[Region Number]]</f>
        <v>5</v>
      </c>
      <c r="BW578" s="200">
        <f>FMS_Ranking4[[#This Row],[Rank (with ArcSinh normalization of select criteria)]]-FMS_Ranking4[[#This Row],[Rank
(with linear
normalization)]]</f>
        <v>-121</v>
      </c>
      <c r="BX578" s="200" t="e">
        <f>FMS_Ranking4[[#This Row],[Log Rank]]-FMS_Ranking4[[#This Row],[Rank
(with linear
normalization)]]</f>
        <v>#REF!</v>
      </c>
      <c r="BY578" s="200" t="str">
        <f>IF(FMS_Ranking4[[#This Row],[FMS Type]]="Flood Measurement and Warning",FMS_Ranking4[[#This Row],[Rank (with ArcSinh normalization of select criteria)]],"")</f>
        <v/>
      </c>
      <c r="BZ578" s="200" t="str">
        <f>IF(FMS_Ranking4[[#This Row],[FMS Type]]="Regulatory and Guidance",FMS_Ranking4[[#This Row],[Rank (with ArcSinh normalization of select criteria)]],"")</f>
        <v/>
      </c>
      <c r="CA578" s="200" t="str">
        <f>IF(FMS_Ranking4[[#This Row],[FMS Type]]="Education and Outreach",FMS_Ranking4[[#This Row],[Rank (with ArcSinh normalization of select criteria)]],"")</f>
        <v/>
      </c>
      <c r="CB578" s="200" t="str">
        <f>IF(FMS_Ranking4[[#This Row],[FMS Type]]="Property Acquisition and Structural Elevation",FMS_Ranking4[[#This Row],[Rank (with ArcSinh normalization of select criteria)]],"")</f>
        <v/>
      </c>
      <c r="CC578" s="200">
        <f>IF(FMS_Ranking4[[#This Row],[FMS Type]]="Infrastructure Projects",FMS_Ranking4[[#This Row],[Rank (with ArcSinh normalization of select criteria)]],"")</f>
        <v>569</v>
      </c>
      <c r="CD578" s="200" t="str">
        <f>IF(FMS_Ranking4[[#This Row],[FMS Type]]="Other",FMS_Ranking4[[#This Row],[Rank (with ArcSinh normalization of select criteria)]],"")</f>
        <v/>
      </c>
      <c r="CE578" s="201"/>
      <c r="CF578" s="206"/>
      <c r="CG578" s="206"/>
      <c r="CH578" s="206"/>
      <c r="CI578" s="206"/>
      <c r="CJ578" s="206"/>
      <c r="CK578" s="206"/>
      <c r="CL578" s="206"/>
      <c r="CM578" s="206"/>
      <c r="CN578" s="206"/>
      <c r="CO578" s="206"/>
      <c r="CP578" s="206"/>
      <c r="CQ578" s="206"/>
      <c r="CR578" s="206"/>
    </row>
    <row r="579" spans="2:96" ht="105" x14ac:dyDescent="0.25">
      <c r="B579" s="341" t="s">
        <v>2783</v>
      </c>
      <c r="C579" s="246">
        <f>_xlfn.XLOOKUP(FMS_Ranking4[[#This Row],[FMS ID]],FMS_Input[FMS_ID],FMS_Input[RFPG_NUM])</f>
        <v>5</v>
      </c>
      <c r="D579" s="309" t="str">
        <f>_xlfn.XLOOKUP(FMS_Ranking4[[#This Row],[FMS ID]],FMS_Input[FMS_ID],FMS_Input[FMS_NAME])</f>
        <v>San Augustine County Detention and Retention Pond Construction</v>
      </c>
      <c r="E579" s="308" t="str">
        <f>_xlfn.XLOOKUP(FMS_Ranking4[[#This Row],[FMS ID]],FMS_Input[FMS_ID],FMS_Input[SPONSOR])</f>
        <v>00000136</v>
      </c>
      <c r="F579" s="309" t="str">
        <f>_xlfn.XLOOKUP(FMS_Ranking4[[#This Row],[FMS ID]],Sponsor[FMS_ID],Sponsor[SPONSOR NAME])</f>
        <v>San Augustine</v>
      </c>
      <c r="G579" s="309" t="str">
        <f>_xlfn.XLOOKUP(FMS_Ranking4[[#This Row],[FMS ID]],FMS_Input[FMS_ID],FMS_Input[FMS_DESCR])</f>
        <v>Construct storm water detention/retention ponds at strategic locations for improved stormwater storage to hold storm water run-off and as a mitigation measure for drought and wildfire.</v>
      </c>
      <c r="H579" s="248" t="str">
        <f>_xlfn.XLOOKUP(FMS_Ranking4[[#This Row],[FMS ID]],FMS_Input[FMS_ID],FMS_Input[FMS_TYPE])</f>
        <v>Infrastructure Projects</v>
      </c>
      <c r="I579" s="249">
        <f>_xlfn.XLOOKUP(FMS_Ranking4[[#This Row],[FMS ID]],FMS_Input[FMS_ID],FMS_Input[NRNC_COST])</f>
        <v>105000</v>
      </c>
      <c r="J579" s="250">
        <f>_xlfn.XLOOKUP(FMS_Ranking4[[#This Row],[FMS ID]],FMS_Input[FMS_ID],FMS_Input[FMS_COST])</f>
        <v>3000000</v>
      </c>
      <c r="K579" s="251" t="str">
        <f>_xlfn.XLOOKUP(FMS_Ranking4[[#This Row],[FMS ID]],FMS_Input[FMS_ID],FMS_Input[EMER_NEED])</f>
        <v>Yes</v>
      </c>
      <c r="L579" s="252">
        <f t="shared" si="8"/>
        <v>1</v>
      </c>
      <c r="M579" s="253">
        <f>_xlfn.XLOOKUP(FMS_Ranking4[[#This Row],[FMS ID]],FMS_Input[FMS_ID],FMS_Input[STRUCT_100])</f>
        <v>64</v>
      </c>
      <c r="N579" s="255">
        <f>(ASINH(FMS_Ranking4[[#This Row],[Structure at Risk Raw]]))*(10)/(ASINH(M$4))</f>
        <v>3.8144662017850184</v>
      </c>
      <c r="O579" s="256">
        <f>FMS_Ranking4[[#This Row],[Structures at risk, ArcSinh (0-10)]]*M$5*10</f>
        <v>3.8144662017850184</v>
      </c>
      <c r="P579" s="253">
        <f>_xlfn.XLOOKUP(FMS_Ranking4[[#This Row],[FMS ID]],FMS_Input[FMS_ID],FMS_Input[RES_STRUCT100])</f>
        <v>28</v>
      </c>
      <c r="Q579" s="257">
        <f>ASINH(FMS_Ranking4[[#This Row],[Res Structure Raw]])/Q$4*P$5*100</f>
        <v>0</v>
      </c>
      <c r="R579" s="253">
        <f>_xlfn.XLOOKUP(FMS_Ranking4[[#This Row],[FMS ID]],FMS_Input[FMS_ID],FMS_Input[POP100])</f>
        <v>146</v>
      </c>
      <c r="S579" s="259">
        <f>(ASINH(FMS_Ranking4[[#This Row],[Pop at Risk Raw]]))*(10)/(ASINH(R$4))</f>
        <v>3.9190017351397799</v>
      </c>
      <c r="T579" s="256">
        <f>FMS_Ranking4[[#This Row],[Population at risk, ArcSinh (0-10)]]*R$5*10</f>
        <v>3.9190017351397799</v>
      </c>
      <c r="U579" s="253">
        <f>_xlfn.XLOOKUP(FMS_Ranking4[[#This Row],[FMS ID]],FMS_Input[FMS_ID],FMS_Input[CRITFAC100])</f>
        <v>0</v>
      </c>
      <c r="V579" s="259">
        <f>(ASINH(FMS_Ranking4[[#This Row],[Critical Facilities Raw]]))*(10)/(ASINH(U$4))</f>
        <v>0</v>
      </c>
      <c r="W579" s="256">
        <f>FMS_Ranking4[[#This Row],[Critical facilities at risk, ArcSinh (0-10)]]*U$5*10</f>
        <v>0</v>
      </c>
      <c r="X579" s="253">
        <f>_xlfn.XLOOKUP(FMS_Ranking4[[#This Row],[FMS ID]],FMS_Input[FMS_ID],FMS_Input[LWC])</f>
        <v>2</v>
      </c>
      <c r="Y579" s="259">
        <f>(ASINH(FMS_Ranking4[[#This Row],[LWC Raw]]))*(10)/(ASINH(X$4))</f>
        <v>1.9557475158633808</v>
      </c>
      <c r="Z579" s="256">
        <f>FMS_Ranking4[[#This Row],[LWC, ArcSInh (0-10)]]*X$5*10</f>
        <v>1.9557475158633808</v>
      </c>
      <c r="AA579" s="253">
        <f>_xlfn.XLOOKUP(FMS_Ranking4[[#This Row],[FMS ID]],FMS_Input[FMS_ID],FMS_Input[ROADCLS])</f>
        <v>2</v>
      </c>
      <c r="AB579" s="255">
        <f>(ASINH(FMS_Ranking4[[#This Row],[Road Closures Raw]]))*(10)/(ASINH(AA$4))</f>
        <v>1.5034138460359754</v>
      </c>
      <c r="AC579" s="256">
        <f>FMS_Ranking4[[#This Row],[Road closures, ArcSinh (0-10)]]*AA$5*10</f>
        <v>0.7517069230179878</v>
      </c>
      <c r="AD579" s="253">
        <f>_xlfn.XLOOKUP(FMS_Ranking4[[#This Row],[FMS ID]],FMS_Input[FMS_ID],FMS_Input[ROAD_MILES100])</f>
        <v>13</v>
      </c>
      <c r="AE579" s="259">
        <f>(ASINH(FMS_Ranking4[[#This Row],[Road Miles Raw]]))*(10)/(ASINH(AD$4))</f>
        <v>3.473807557544454</v>
      </c>
      <c r="AF579" s="256">
        <f>FMS_Ranking4[[#This Row],[Length of roads at risk, ArcSinh (0-10)]]*AD$5*10</f>
        <v>3.4738075575444545</v>
      </c>
      <c r="AG579" s="253">
        <f>_xlfn.XLOOKUP(FMS_Ranking4[[#This Row],[FMS ID]],FMS_Input[FMS_ID],FMS_Input[FARMACRE100])</f>
        <v>41.607803344726563</v>
      </c>
      <c r="AH579" s="255">
        <f>(ASINH(FMS_Ranking4[[#This Row],[Ag Land Raw]]))*(10)/(ASINH(AG$4))</f>
        <v>2.8721759700058862</v>
      </c>
      <c r="AI579" s="260">
        <f>FMS_Ranking4[[#This Row],[Farm &amp; ranch land, ArcSinh (0-10)]]*AG$5*10</f>
        <v>1.4360879850029431</v>
      </c>
      <c r="AJ579" s="258">
        <f>_xlfn.XLOOKUP(FMS_Ranking4[[#This Row],[FMS ID]],FMS_Input[FMS_ID],FMS_Input[REDSTRUCT100])</f>
        <v>0</v>
      </c>
      <c r="AK579" s="253">
        <f>_xlfn.XLOOKUP(FMS_Ranking4[[#This Row],[FMS ID]],FMS_Input[FMS_ID],FMS_Input[REMSTRC100])</f>
        <v>0</v>
      </c>
      <c r="AL579" s="259">
        <f>(ASINH(FMS_Ranking4[[#This Row],[Structures Removed Raw]]))*(10)/(ASINH(AK$4))</f>
        <v>0</v>
      </c>
      <c r="AM579" s="262">
        <f>FMS_Ranking4[[#This Row],[Structures removed, ArcSinh (0-10)]]*AK$5*10</f>
        <v>0</v>
      </c>
      <c r="AN579" s="253">
        <f>_xlfn.XLOOKUP(FMS_Ranking4[[#This Row],[FMS ID]],FMS_Input[FMS_ID],FMS_Input[REMRESSTRC100])</f>
        <v>0</v>
      </c>
      <c r="AO579" s="261">
        <f>FMS_Ranking4[[#This Row],[ArcSinh Res struct removed 0-10]]*AN$5*10</f>
        <v>0</v>
      </c>
      <c r="AP579" s="260">
        <f>ASINH(FMS_Ranking4[[#This Row],[Residential Structures Removed Raw]])/AP$4*AN$5*100</f>
        <v>0</v>
      </c>
      <c r="AQ579" s="254">
        <f>(ASINH(FMS_Ranking4[[#This Row],[Residential Structures Removed Raw]]))*(10)/(ASINH(AN$4))</f>
        <v>0</v>
      </c>
      <c r="AR579" s="253">
        <f>_xlfn.XLOOKUP(FMS_Ranking4[[#This Row],[FMS ID]],FMS_Input[FMS_ID],FMS_Input[REMPOP100])</f>
        <v>0</v>
      </c>
      <c r="AS579" s="259">
        <f>(ASINH(FMS_Ranking4[[#This Row],[Removed Pop Raw]]))*(10)/(ASINH(AR$4))</f>
        <v>0</v>
      </c>
      <c r="AT579" s="262">
        <f>FMS_Ranking4[[#This Row],[Removed population, ArcSinh (0-10)]]*AR$5*10</f>
        <v>0</v>
      </c>
      <c r="AU579" s="264">
        <f>_xlfn.XLOOKUP(FMS_Ranking4[[#This Row],[FMS ID]],FMS_Input[FMS_ID],FMS_Input[REMCRITFAC100])</f>
        <v>0</v>
      </c>
      <c r="AV579" s="264">
        <f>_xlfn.XLOOKUP(FMS_Ranking4[[#This Row],[FMS ID]],FMS_Input[FMS_ID],FMS_Input[REMLWC100])</f>
        <v>0</v>
      </c>
      <c r="AW579" s="264">
        <f>_xlfn.XLOOKUP(FMS_Ranking4[[#This Row],[FMS ID]],FMS_Input[FMS_ID],FMS_Input[REMROADCLS])</f>
        <v>0</v>
      </c>
      <c r="AX579" s="264">
        <f>_xlfn.XLOOKUP(FMS_Ranking4[[#This Row],[FMS ID]],FMS_Input[FMS_ID],FMS_Input[REMFRMACRE100])</f>
        <v>0</v>
      </c>
      <c r="AY579" s="258">
        <f>_xlfn.XLOOKUP(FMS_Ranking4[[#This Row],[FMS ID]],FMS_Input[FMS_ID],FMS_Input[COSTSTRUCT])</f>
        <v>0</v>
      </c>
      <c r="AZ579" s="253">
        <f>_xlfn.XLOOKUP(FMS_Ranking4[[#This Row],[FMS ID]],FMS_Input[FMS_ID],FMS_Input[NATURE])</f>
        <v>0</v>
      </c>
      <c r="BA579" s="262">
        <f>(((FMS_Ranking4[[#This Row],[% NBS Raw]]/AZ$4)*100)*AZ$5)</f>
        <v>0</v>
      </c>
      <c r="BB579" s="251" t="str">
        <f>_xlfn.XLOOKUP(FMS_Ranking4[[#This Row],[FMS ID]],FMS_Input[FMS_ID],FMS_Input[WATER_SUP])</f>
        <v>No</v>
      </c>
      <c r="BC579" s="265">
        <f>IF(FMS_Ranking4[[#This Row],[Water Supply Raw]]="Yes",10,0)</f>
        <v>0</v>
      </c>
      <c r="BD579" s="266">
        <f>_xlfn.XLOOKUP(FMS_Ranking4[[#This Row],[FMS Type]],FMS_TYPE[FMS_Type],FMS_TYPE[Score])</f>
        <v>4</v>
      </c>
      <c r="BE579" s="267">
        <f>FMS_Ranking4[[#This Row],[FMS_Type Score]]*$BD$5*10</f>
        <v>1</v>
      </c>
      <c r="BF57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5.3536336542967897E-2</v>
      </c>
      <c r="BG579" s="271">
        <f>_xlfn.RANK.EQ(BF579,$BF$8:$BF$870,0)+COUNTIF($BF$8:BF579,BF579)-1</f>
        <v>554</v>
      </c>
      <c r="BH579" s="268">
        <f>(((FMS_Ranking4[[#This Row],[Structures Removed Raw]]/AK$4)*100)*AK$5)+(((FMS_Ranking4[[#This Row],[Removed Pop Raw]]/AR$4)*100)*AR$5)</f>
        <v>0</v>
      </c>
      <c r="BI57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1.053536336542968</v>
      </c>
      <c r="BJ579" s="205">
        <f>_xlfn.RANK.EQ(FMS_Ranking4[[#This Row],[Total Score 
(with linear
normalization)]],FMS_Ranking4[Total Score 
(with linear
normalization)],0)</f>
        <v>690</v>
      </c>
      <c r="BK579" s="205" t="e">
        <f>_xlfn.XLOOKUP(FMS_Ranking4[[#This Row],[FMS ID]],#REF!,#REF!)</f>
        <v>#REF!</v>
      </c>
      <c r="BL57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15.350817918353565</v>
      </c>
      <c r="BM579" s="272">
        <f>FMS_Ranking4[[#This Row],[ArcSinh Score Based on Normalized Reported Factors]]+FMS_Ranking4[[#This Row],[% NBS Score (Normalized)]]+(FMS_Ranking4[[#This Row],[Water Supply Score (Normalized)]]*10*$BB$5)+FMS_Ranking4[[#This Row],[FMS_Type Score Weighted]]</f>
        <v>16.350817918353563</v>
      </c>
      <c r="BN579" s="205">
        <f>_xlfn.RANK.EQ(FMS_Ranking4[[#This Row],[Total Score (with ArcSinh normalization of select criteria)]],FMS_Ranking4[Total Score (with ArcSinh normalization of select criteria)],0)</f>
        <v>569</v>
      </c>
      <c r="BO579" s="270" t="str">
        <f>_xlfn.XLOOKUP(FMS_Ranking4[[#This Row],[FMS ID]],FMS_Input[FMS_ID],FMS_Input[FMS_RANK_YEAR])</f>
        <v>2023 Amended Plan</v>
      </c>
      <c r="BP579" s="204">
        <f>_xlfn.XLOOKUP(FMS_Ranking4[[#This Row],[FMS ID]],Prev_Rank[FMS ID],Prev_Rank[Prev Rank])</f>
        <v>497</v>
      </c>
      <c r="BQ579" s="205" t="e">
        <f>_xlfn.XLOOKUP(FMS_Ranking4[[#This Row],[FMS ID]],#REF!,#REF!)</f>
        <v>#REF!</v>
      </c>
      <c r="BR579" s="199" t="e">
        <f>SUM(#REF!,#REF!,#REF!,#REF!,#REF!,#REF!,#REF!,#REF!,#REF!,FMS_Ranking4[[#This Row],[ArcSinh Res struct removed 0-10]],#REF!)</f>
        <v>#REF!</v>
      </c>
      <c r="BS579" s="199" t="e">
        <f>FMS_Ranking4[[#This Row],[Log Score Based on Normalized Reported Factors]]+FMS_Ranking4[[#This Row],[% NBS Score (Normalized)]]+(FMS_Ranking4[[#This Row],[Water Supply Score (Normalized)]]*10*$BB$5)+(FMS_Ranking4[[#This Row],[FMS_Type Score Weighted]])</f>
        <v>#REF!</v>
      </c>
      <c r="BT579" s="200" t="e">
        <f>_xlfn.RANK.EQ(FMS_Ranking4[[#This Row],[Log Total Score]],FMS_Ranking4[Log Total Score],0)</f>
        <v>#REF!</v>
      </c>
      <c r="BU579" s="200" t="e">
        <f>_xlfn.XLOOKUP(FMS_Ranking4[[#This Row],[FMS ID]],#REF!,#REF!)</f>
        <v>#REF!</v>
      </c>
      <c r="BV579" s="200">
        <f>FMS_Ranking4[[#This Row],[Region Number]]</f>
        <v>5</v>
      </c>
      <c r="BW579" s="200">
        <f>FMS_Ranking4[[#This Row],[Rank (with ArcSinh normalization of select criteria)]]-FMS_Ranking4[[#This Row],[Rank
(with linear
normalization)]]</f>
        <v>-121</v>
      </c>
      <c r="BX579" s="200" t="e">
        <f>FMS_Ranking4[[#This Row],[Log Rank]]-FMS_Ranking4[[#This Row],[Rank
(with linear
normalization)]]</f>
        <v>#REF!</v>
      </c>
      <c r="BY579" s="200" t="str">
        <f>IF(FMS_Ranking4[[#This Row],[FMS Type]]="Flood Measurement and Warning",FMS_Ranking4[[#This Row],[Rank (with ArcSinh normalization of select criteria)]],"")</f>
        <v/>
      </c>
      <c r="BZ579" s="200" t="str">
        <f>IF(FMS_Ranking4[[#This Row],[FMS Type]]="Regulatory and Guidance",FMS_Ranking4[[#This Row],[Rank (with ArcSinh normalization of select criteria)]],"")</f>
        <v/>
      </c>
      <c r="CA579" s="200" t="str">
        <f>IF(FMS_Ranking4[[#This Row],[FMS Type]]="Education and Outreach",FMS_Ranking4[[#This Row],[Rank (with ArcSinh normalization of select criteria)]],"")</f>
        <v/>
      </c>
      <c r="CB579" s="200" t="str">
        <f>IF(FMS_Ranking4[[#This Row],[FMS Type]]="Property Acquisition and Structural Elevation",FMS_Ranking4[[#This Row],[Rank (with ArcSinh normalization of select criteria)]],"")</f>
        <v/>
      </c>
      <c r="CC579" s="200">
        <f>IF(FMS_Ranking4[[#This Row],[FMS Type]]="Infrastructure Projects",FMS_Ranking4[[#This Row],[Rank (with ArcSinh normalization of select criteria)]],"")</f>
        <v>569</v>
      </c>
      <c r="CD579" s="200" t="str">
        <f>IF(FMS_Ranking4[[#This Row],[FMS Type]]="Other",FMS_Ranking4[[#This Row],[Rank (with ArcSinh normalization of select criteria)]],"")</f>
        <v/>
      </c>
      <c r="CE579" s="201"/>
      <c r="CF579" s="206"/>
      <c r="CG579" s="206"/>
      <c r="CH579" s="206"/>
      <c r="CI579" s="206"/>
      <c r="CJ579" s="206"/>
      <c r="CK579" s="206"/>
      <c r="CL579" s="206"/>
      <c r="CM579" s="206"/>
      <c r="CN579" s="206"/>
      <c r="CO579" s="206"/>
      <c r="CP579" s="206"/>
      <c r="CQ579" s="206"/>
      <c r="CR579" s="206"/>
    </row>
    <row r="580" spans="2:96" ht="75" x14ac:dyDescent="0.25">
      <c r="B580" s="341" t="s">
        <v>2696</v>
      </c>
      <c r="C580" s="246">
        <f>_xlfn.XLOOKUP(FMS_Ranking4[[#This Row],[FMS ID]],FMS_Input[FMS_ID],FMS_Input[RFPG_NUM])</f>
        <v>5</v>
      </c>
      <c r="D580" s="309" t="str">
        <f>_xlfn.XLOOKUP(FMS_Ranking4[[#This Row],[FMS ID]],FMS_Input[FMS_ID],FMS_Input[FMS_NAME])</f>
        <v>San Augustine County Structure Elevation</v>
      </c>
      <c r="E580" s="308" t="str">
        <f>_xlfn.XLOOKUP(FMS_Ranking4[[#This Row],[FMS ID]],FMS_Input[FMS_ID],FMS_Input[SPONSOR])</f>
        <v>00000136</v>
      </c>
      <c r="F580" s="309" t="str">
        <f>_xlfn.XLOOKUP(FMS_Ranking4[[#This Row],[FMS ID]],Sponsor[FMS_ID],Sponsor[SPONSOR NAME])</f>
        <v>San Augustine</v>
      </c>
      <c r="G580" s="309" t="str">
        <f>_xlfn.XLOOKUP(FMS_Ranking4[[#This Row],[FMS ID]],FMS_Input[FMS_ID],FMS_Input[FMS_DESCR])</f>
        <v>Elevate existing flood prone structures above the base flood elevation to reduce flood losses. Flood proof historical structures at risk from flooding.</v>
      </c>
      <c r="H580" s="248" t="str">
        <f>_xlfn.XLOOKUP(FMS_Ranking4[[#This Row],[FMS ID]],FMS_Input[FMS_ID],FMS_Input[FMS_TYPE])</f>
        <v>Property Acquisition and Structural Elevation</v>
      </c>
      <c r="I580" s="249">
        <f>_xlfn.XLOOKUP(FMS_Ranking4[[#This Row],[FMS ID]],FMS_Input[FMS_ID],FMS_Input[NRNC_COST])</f>
        <v>100000</v>
      </c>
      <c r="J580" s="250">
        <f>_xlfn.XLOOKUP(FMS_Ranking4[[#This Row],[FMS ID]],FMS_Input[FMS_ID],FMS_Input[FMS_COST])</f>
        <v>318000</v>
      </c>
      <c r="K580" s="251" t="str">
        <f>_xlfn.XLOOKUP(FMS_Ranking4[[#This Row],[FMS ID]],FMS_Input[FMS_ID],FMS_Input[EMER_NEED])</f>
        <v>Yes</v>
      </c>
      <c r="L580" s="252">
        <f t="shared" si="8"/>
        <v>1</v>
      </c>
      <c r="M580" s="253">
        <f>_xlfn.XLOOKUP(FMS_Ranking4[[#This Row],[FMS ID]],FMS_Input[FMS_ID],FMS_Input[STRUCT_100])</f>
        <v>64</v>
      </c>
      <c r="N580" s="255">
        <f>(ASINH(FMS_Ranking4[[#This Row],[Structure at Risk Raw]]))*(10)/(ASINH(M$4))</f>
        <v>3.8144662017850184</v>
      </c>
      <c r="O580" s="256">
        <f>FMS_Ranking4[[#This Row],[Structures at risk, ArcSinh (0-10)]]*M$5*10</f>
        <v>3.8144662017850184</v>
      </c>
      <c r="P580" s="253">
        <f>_xlfn.XLOOKUP(FMS_Ranking4[[#This Row],[FMS ID]],FMS_Input[FMS_ID],FMS_Input[RES_STRUCT100])</f>
        <v>28</v>
      </c>
      <c r="Q580" s="257">
        <f>ASINH(FMS_Ranking4[[#This Row],[Res Structure Raw]])/Q$4*P$5*100</f>
        <v>0</v>
      </c>
      <c r="R580" s="253">
        <f>_xlfn.XLOOKUP(FMS_Ranking4[[#This Row],[FMS ID]],FMS_Input[FMS_ID],FMS_Input[POP100])</f>
        <v>146</v>
      </c>
      <c r="S580" s="259">
        <f>(ASINH(FMS_Ranking4[[#This Row],[Pop at Risk Raw]]))*(10)/(ASINH(R$4))</f>
        <v>3.9190017351397799</v>
      </c>
      <c r="T580" s="256">
        <f>FMS_Ranking4[[#This Row],[Population at risk, ArcSinh (0-10)]]*R$5*10</f>
        <v>3.9190017351397799</v>
      </c>
      <c r="U580" s="253">
        <f>_xlfn.XLOOKUP(FMS_Ranking4[[#This Row],[FMS ID]],FMS_Input[FMS_ID],FMS_Input[CRITFAC100])</f>
        <v>0</v>
      </c>
      <c r="V580" s="259">
        <f>(ASINH(FMS_Ranking4[[#This Row],[Critical Facilities Raw]]))*(10)/(ASINH(U$4))</f>
        <v>0</v>
      </c>
      <c r="W580" s="256">
        <f>FMS_Ranking4[[#This Row],[Critical facilities at risk, ArcSinh (0-10)]]*U$5*10</f>
        <v>0</v>
      </c>
      <c r="X580" s="253">
        <f>_xlfn.XLOOKUP(FMS_Ranking4[[#This Row],[FMS ID]],FMS_Input[FMS_ID],FMS_Input[LWC])</f>
        <v>2</v>
      </c>
      <c r="Y580" s="259">
        <f>(ASINH(FMS_Ranking4[[#This Row],[LWC Raw]]))*(10)/(ASINH(X$4))</f>
        <v>1.9557475158633808</v>
      </c>
      <c r="Z580" s="256">
        <f>FMS_Ranking4[[#This Row],[LWC, ArcSInh (0-10)]]*X$5*10</f>
        <v>1.9557475158633808</v>
      </c>
      <c r="AA580" s="253">
        <f>_xlfn.XLOOKUP(FMS_Ranking4[[#This Row],[FMS ID]],FMS_Input[FMS_ID],FMS_Input[ROADCLS])</f>
        <v>2</v>
      </c>
      <c r="AB580" s="255">
        <f>(ASINH(FMS_Ranking4[[#This Row],[Road Closures Raw]]))*(10)/(ASINH(AA$4))</f>
        <v>1.5034138460359754</v>
      </c>
      <c r="AC580" s="256">
        <f>FMS_Ranking4[[#This Row],[Road closures, ArcSinh (0-10)]]*AA$5*10</f>
        <v>0.7517069230179878</v>
      </c>
      <c r="AD580" s="253">
        <f>_xlfn.XLOOKUP(FMS_Ranking4[[#This Row],[FMS ID]],FMS_Input[FMS_ID],FMS_Input[ROAD_MILES100])</f>
        <v>13</v>
      </c>
      <c r="AE580" s="259">
        <f>(ASINH(FMS_Ranking4[[#This Row],[Road Miles Raw]]))*(10)/(ASINH(AD$4))</f>
        <v>3.473807557544454</v>
      </c>
      <c r="AF580" s="256">
        <f>FMS_Ranking4[[#This Row],[Length of roads at risk, ArcSinh (0-10)]]*AD$5*10</f>
        <v>3.4738075575444545</v>
      </c>
      <c r="AG580" s="253">
        <f>_xlfn.XLOOKUP(FMS_Ranking4[[#This Row],[FMS ID]],FMS_Input[FMS_ID],FMS_Input[FARMACRE100])</f>
        <v>41.607803344726563</v>
      </c>
      <c r="AH580" s="255">
        <f>(ASINH(FMS_Ranking4[[#This Row],[Ag Land Raw]]))*(10)/(ASINH(AG$4))</f>
        <v>2.8721759700058862</v>
      </c>
      <c r="AI580" s="260">
        <f>FMS_Ranking4[[#This Row],[Farm &amp; ranch land, ArcSinh (0-10)]]*AG$5*10</f>
        <v>1.4360879850029431</v>
      </c>
      <c r="AJ580" s="258">
        <f>_xlfn.XLOOKUP(FMS_Ranking4[[#This Row],[FMS ID]],FMS_Input[FMS_ID],FMS_Input[REDSTRUCT100])</f>
        <v>0</v>
      </c>
      <c r="AK580" s="253">
        <f>_xlfn.XLOOKUP(FMS_Ranking4[[#This Row],[FMS ID]],FMS_Input[FMS_ID],FMS_Input[REMSTRC100])</f>
        <v>0</v>
      </c>
      <c r="AL580" s="259">
        <f>(ASINH(FMS_Ranking4[[#This Row],[Structures Removed Raw]]))*(10)/(ASINH(AK$4))</f>
        <v>0</v>
      </c>
      <c r="AM580" s="262">
        <f>FMS_Ranking4[[#This Row],[Structures removed, ArcSinh (0-10)]]*AK$5*10</f>
        <v>0</v>
      </c>
      <c r="AN580" s="253">
        <f>_xlfn.XLOOKUP(FMS_Ranking4[[#This Row],[FMS ID]],FMS_Input[FMS_ID],FMS_Input[REMRESSTRC100])</f>
        <v>0</v>
      </c>
      <c r="AO580" s="261">
        <f>FMS_Ranking4[[#This Row],[ArcSinh Res struct removed 0-10]]*AN$5*10</f>
        <v>0</v>
      </c>
      <c r="AP580" s="260">
        <f>ASINH(FMS_Ranking4[[#This Row],[Residential Structures Removed Raw]])/AP$4*AN$5*100</f>
        <v>0</v>
      </c>
      <c r="AQ580" s="254">
        <f>(ASINH(FMS_Ranking4[[#This Row],[Residential Structures Removed Raw]]))*(10)/(ASINH(AN$4))</f>
        <v>0</v>
      </c>
      <c r="AR580" s="253">
        <f>_xlfn.XLOOKUP(FMS_Ranking4[[#This Row],[FMS ID]],FMS_Input[FMS_ID],FMS_Input[REMPOP100])</f>
        <v>0</v>
      </c>
      <c r="AS580" s="259">
        <f>(ASINH(FMS_Ranking4[[#This Row],[Removed Pop Raw]]))*(10)/(ASINH(AR$4))</f>
        <v>0</v>
      </c>
      <c r="AT580" s="262">
        <f>FMS_Ranking4[[#This Row],[Removed population, ArcSinh (0-10)]]*AR$5*10</f>
        <v>0</v>
      </c>
      <c r="AU580" s="264">
        <f>_xlfn.XLOOKUP(FMS_Ranking4[[#This Row],[FMS ID]],FMS_Input[FMS_ID],FMS_Input[REMCRITFAC100])</f>
        <v>0</v>
      </c>
      <c r="AV580" s="264">
        <f>_xlfn.XLOOKUP(FMS_Ranking4[[#This Row],[FMS ID]],FMS_Input[FMS_ID],FMS_Input[REMLWC100])</f>
        <v>0</v>
      </c>
      <c r="AW580" s="264">
        <f>_xlfn.XLOOKUP(FMS_Ranking4[[#This Row],[FMS ID]],FMS_Input[FMS_ID],FMS_Input[REMROADCLS])</f>
        <v>0</v>
      </c>
      <c r="AX580" s="264">
        <f>_xlfn.XLOOKUP(FMS_Ranking4[[#This Row],[FMS ID]],FMS_Input[FMS_ID],FMS_Input[REMFRMACRE100])</f>
        <v>0</v>
      </c>
      <c r="AY580" s="258">
        <f>_xlfn.XLOOKUP(FMS_Ranking4[[#This Row],[FMS ID]],FMS_Input[FMS_ID],FMS_Input[COSTSTRUCT])</f>
        <v>0</v>
      </c>
      <c r="AZ580" s="253">
        <f>_xlfn.XLOOKUP(FMS_Ranking4[[#This Row],[FMS ID]],FMS_Input[FMS_ID],FMS_Input[NATURE])</f>
        <v>0</v>
      </c>
      <c r="BA580" s="262">
        <f>(((FMS_Ranking4[[#This Row],[% NBS Raw]]/AZ$4)*100)*AZ$5)</f>
        <v>0</v>
      </c>
      <c r="BB580" s="251" t="str">
        <f>_xlfn.XLOOKUP(FMS_Ranking4[[#This Row],[FMS ID]],FMS_Input[FMS_ID],FMS_Input[WATER_SUP])</f>
        <v>No</v>
      </c>
      <c r="BC580" s="265">
        <f>IF(FMS_Ranking4[[#This Row],[Water Supply Raw]]="Yes",10,0)</f>
        <v>0</v>
      </c>
      <c r="BD580" s="266">
        <f>_xlfn.XLOOKUP(FMS_Ranking4[[#This Row],[FMS Type]],FMS_TYPE[FMS_Type],FMS_TYPE[Score])</f>
        <v>4</v>
      </c>
      <c r="BE580" s="267">
        <f>FMS_Ranking4[[#This Row],[FMS_Type Score]]*$BD$5*10</f>
        <v>1</v>
      </c>
      <c r="BF58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5.3536336542967897E-2</v>
      </c>
      <c r="BG580" s="269">
        <f>_xlfn.RANK.EQ(BF580,$BF$8:$BF$870,0)+COUNTIF($BF$8:BF580,BF580)-1</f>
        <v>555</v>
      </c>
      <c r="BH580" s="268">
        <f>(((FMS_Ranking4[[#This Row],[Structures Removed Raw]]/AK$4)*100)*AK$5)+(((FMS_Ranking4[[#This Row],[Removed Pop Raw]]/AR$4)*100)*AR$5)</f>
        <v>0</v>
      </c>
      <c r="BI58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1.053536336542968</v>
      </c>
      <c r="BJ580" s="204">
        <f>_xlfn.RANK.EQ(FMS_Ranking4[[#This Row],[Total Score 
(with linear
normalization)]],FMS_Ranking4[Total Score 
(with linear
normalization)],0)</f>
        <v>690</v>
      </c>
      <c r="BK580" s="204" t="e">
        <f>_xlfn.XLOOKUP(FMS_Ranking4[[#This Row],[FMS ID]],#REF!,#REF!)</f>
        <v>#REF!</v>
      </c>
      <c r="BL580"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15.350817918353565</v>
      </c>
      <c r="BM580" s="270">
        <f>FMS_Ranking4[[#This Row],[ArcSinh Score Based on Normalized Reported Factors]]+FMS_Ranking4[[#This Row],[% NBS Score (Normalized)]]+(FMS_Ranking4[[#This Row],[Water Supply Score (Normalized)]]*10*$BB$5)+FMS_Ranking4[[#This Row],[FMS_Type Score Weighted]]</f>
        <v>16.350817918353563</v>
      </c>
      <c r="BN580" s="204">
        <f>_xlfn.RANK.EQ(FMS_Ranking4[[#This Row],[Total Score (with ArcSinh normalization of select criteria)]],FMS_Ranking4[Total Score (with ArcSinh normalization of select criteria)],0)</f>
        <v>569</v>
      </c>
      <c r="BO580" s="270" t="str">
        <f>_xlfn.XLOOKUP(FMS_Ranking4[[#This Row],[FMS ID]],FMS_Input[FMS_ID],FMS_Input[FMS_RANK_YEAR])</f>
        <v>2023 Amended Plan</v>
      </c>
      <c r="BP580" s="204">
        <f>_xlfn.XLOOKUP(FMS_Ranking4[[#This Row],[FMS ID]],Prev_Rank[FMS ID],Prev_Rank[Prev Rank])</f>
        <v>497</v>
      </c>
      <c r="BQ580" s="204" t="e">
        <f>_xlfn.XLOOKUP(FMS_Ranking4[[#This Row],[FMS ID]],#REF!,#REF!)</f>
        <v>#REF!</v>
      </c>
      <c r="BR580" s="199" t="e">
        <f>SUM(#REF!,#REF!,#REF!,#REF!,#REF!,#REF!,#REF!,#REF!,#REF!,FMS_Ranking4[[#This Row],[ArcSinh Res struct removed 0-10]],#REF!)</f>
        <v>#REF!</v>
      </c>
      <c r="BS580" s="199" t="e">
        <f>FMS_Ranking4[[#This Row],[Log Score Based on Normalized Reported Factors]]+FMS_Ranking4[[#This Row],[% NBS Score (Normalized)]]+(FMS_Ranking4[[#This Row],[Water Supply Score (Normalized)]]*10*$BB$5)+(FMS_Ranking4[[#This Row],[FMS_Type Score Weighted]])</f>
        <v>#REF!</v>
      </c>
      <c r="BT580" s="200" t="e">
        <f>_xlfn.RANK.EQ(FMS_Ranking4[[#This Row],[Log Total Score]],FMS_Ranking4[Log Total Score],0)</f>
        <v>#REF!</v>
      </c>
      <c r="BU580" s="200" t="e">
        <f>_xlfn.XLOOKUP(FMS_Ranking4[[#This Row],[FMS ID]],#REF!,#REF!)</f>
        <v>#REF!</v>
      </c>
      <c r="BV580" s="200">
        <f>FMS_Ranking4[[#This Row],[Region Number]]</f>
        <v>5</v>
      </c>
      <c r="BW580" s="200">
        <f>FMS_Ranking4[[#This Row],[Rank (with ArcSinh normalization of select criteria)]]-FMS_Ranking4[[#This Row],[Rank
(with linear
normalization)]]</f>
        <v>-121</v>
      </c>
      <c r="BX580" s="200" t="e">
        <f>FMS_Ranking4[[#This Row],[Log Rank]]-FMS_Ranking4[[#This Row],[Rank
(with linear
normalization)]]</f>
        <v>#REF!</v>
      </c>
      <c r="BY580" s="200" t="str">
        <f>IF(FMS_Ranking4[[#This Row],[FMS Type]]="Flood Measurement and Warning",FMS_Ranking4[[#This Row],[Rank (with ArcSinh normalization of select criteria)]],"")</f>
        <v/>
      </c>
      <c r="BZ580" s="200" t="str">
        <f>IF(FMS_Ranking4[[#This Row],[FMS Type]]="Regulatory and Guidance",FMS_Ranking4[[#This Row],[Rank (with ArcSinh normalization of select criteria)]],"")</f>
        <v/>
      </c>
      <c r="CA580" s="200" t="str">
        <f>IF(FMS_Ranking4[[#This Row],[FMS Type]]="Education and Outreach",FMS_Ranking4[[#This Row],[Rank (with ArcSinh normalization of select criteria)]],"")</f>
        <v/>
      </c>
      <c r="CB580" s="200">
        <f>IF(FMS_Ranking4[[#This Row],[FMS Type]]="Property Acquisition and Structural Elevation",FMS_Ranking4[[#This Row],[Rank (with ArcSinh normalization of select criteria)]],"")</f>
        <v>569</v>
      </c>
      <c r="CC580" s="200" t="str">
        <f>IF(FMS_Ranking4[[#This Row],[FMS Type]]="Infrastructure Projects",FMS_Ranking4[[#This Row],[Rank (with ArcSinh normalization of select criteria)]],"")</f>
        <v/>
      </c>
      <c r="CD580" s="200" t="str">
        <f>IF(FMS_Ranking4[[#This Row],[FMS Type]]="Other",FMS_Ranking4[[#This Row],[Rank (with ArcSinh normalization of select criteria)]],"")</f>
        <v/>
      </c>
      <c r="CE580" s="201"/>
      <c r="CF580" s="206"/>
      <c r="CG580" s="206"/>
      <c r="CH580" s="206"/>
      <c r="CI580" s="206"/>
      <c r="CJ580" s="206"/>
      <c r="CK580" s="206"/>
      <c r="CL580" s="206"/>
      <c r="CM580" s="206"/>
      <c r="CN580" s="206"/>
      <c r="CO580" s="206"/>
      <c r="CP580" s="206"/>
      <c r="CQ580" s="206"/>
      <c r="CR580" s="206"/>
    </row>
    <row r="581" spans="2:96" ht="60" x14ac:dyDescent="0.25">
      <c r="B581" s="341" t="s">
        <v>3486</v>
      </c>
      <c r="C581" s="246">
        <f>_xlfn.XLOOKUP(FMS_Ranking4[[#This Row],[FMS ID]],FMS_Input[FMS_ID],FMS_Input[RFPG_NUM])</f>
        <v>12</v>
      </c>
      <c r="D581" s="309" t="str">
        <f>_xlfn.XLOOKUP(FMS_Ranking4[[#This Row],[FMS ID]],FMS_Input[FMS_ID],FMS_Input[FMS_NAME])</f>
        <v>Digital signage for communication</v>
      </c>
      <c r="E581" s="308" t="str">
        <f>_xlfn.XLOOKUP(FMS_Ranking4[[#This Row],[FMS ID]],FMS_Input[FMS_ID],FMS_Input[SPONSOR])</f>
        <v>12003181</v>
      </c>
      <c r="F581" s="309" t="str">
        <f>_xlfn.XLOOKUP(FMS_Ranking4[[#This Row],[FMS ID]],Sponsor[FMS_ID],Sponsor[SPONSOR NAME])</f>
        <v>Poth</v>
      </c>
      <c r="G581" s="309" t="str">
        <f>_xlfn.XLOOKUP(FMS_Ranking4[[#This Row],[FMS ID]],FMS_Input[FMS_ID],FMS_Input[FMS_DESCR])</f>
        <v>Coordinate with school district to use sign on US 181  for emergency info and safety directions during hazard events.</v>
      </c>
      <c r="H581" s="248" t="str">
        <f>_xlfn.XLOOKUP(FMS_Ranking4[[#This Row],[FMS ID]],FMS_Input[FMS_ID],FMS_Input[FMS_TYPE])</f>
        <v>Education and Outreach</v>
      </c>
      <c r="I581" s="249">
        <f>_xlfn.XLOOKUP(FMS_Ranking4[[#This Row],[FMS ID]],FMS_Input[FMS_ID],FMS_Input[NRNC_COST])</f>
        <v>5000</v>
      </c>
      <c r="J581" s="250">
        <f>_xlfn.XLOOKUP(FMS_Ranking4[[#This Row],[FMS ID]],FMS_Input[FMS_ID],FMS_Input[FMS_COST])</f>
        <v>5000</v>
      </c>
      <c r="K581" s="251" t="str">
        <f>_xlfn.XLOOKUP(FMS_Ranking4[[#This Row],[FMS ID]],FMS_Input[FMS_ID],FMS_Input[EMER_NEED])</f>
        <v>Yes</v>
      </c>
      <c r="L581" s="252">
        <f t="shared" si="8"/>
        <v>1</v>
      </c>
      <c r="M581" s="253">
        <f>_xlfn.XLOOKUP(FMS_Ranking4[[#This Row],[FMS ID]],FMS_Input[FMS_ID],FMS_Input[STRUCT_100])</f>
        <v>69</v>
      </c>
      <c r="N581" s="255">
        <f>(ASINH(FMS_Ranking4[[#This Row],[Structure at Risk Raw]]))*(10)/(ASINH(M$4))</f>
        <v>3.8735963102410209</v>
      </c>
      <c r="O581" s="256">
        <f>FMS_Ranking4[[#This Row],[Structures at risk, ArcSinh (0-10)]]*M$5*10</f>
        <v>3.8735963102410209</v>
      </c>
      <c r="P581" s="253">
        <f>_xlfn.XLOOKUP(FMS_Ranking4[[#This Row],[FMS ID]],FMS_Input[FMS_ID],FMS_Input[RES_STRUCT100])</f>
        <v>50</v>
      </c>
      <c r="Q581" s="257">
        <f>ASINH(FMS_Ranking4[[#This Row],[Res Structure Raw]])/Q$4*P$5*100</f>
        <v>0</v>
      </c>
      <c r="R581" s="253">
        <f>_xlfn.XLOOKUP(FMS_Ranking4[[#This Row],[FMS ID]],FMS_Input[FMS_ID],FMS_Input[POP100])</f>
        <v>100</v>
      </c>
      <c r="S581" s="259">
        <f>(ASINH(FMS_Ranking4[[#This Row],[Pop at Risk Raw]]))*(10)/(ASINH(R$4))</f>
        <v>3.657754193512468</v>
      </c>
      <c r="T581" s="256">
        <f>FMS_Ranking4[[#This Row],[Population at risk, ArcSinh (0-10)]]*R$5*10</f>
        <v>3.657754193512468</v>
      </c>
      <c r="U581" s="253">
        <f>_xlfn.XLOOKUP(FMS_Ranking4[[#This Row],[FMS ID]],FMS_Input[FMS_ID],FMS_Input[CRITFAC100])</f>
        <v>0</v>
      </c>
      <c r="V581" s="259">
        <f>(ASINH(FMS_Ranking4[[#This Row],[Critical Facilities Raw]]))*(10)/(ASINH(U$4))</f>
        <v>0</v>
      </c>
      <c r="W581" s="256">
        <f>FMS_Ranking4[[#This Row],[Critical facilities at risk, ArcSinh (0-10)]]*U$5*10</f>
        <v>0</v>
      </c>
      <c r="X581" s="253">
        <f>_xlfn.XLOOKUP(FMS_Ranking4[[#This Row],[FMS ID]],FMS_Input[FMS_ID],FMS_Input[LWC])</f>
        <v>5</v>
      </c>
      <c r="Y581" s="259">
        <f>(ASINH(FMS_Ranking4[[#This Row],[LWC Raw]]))*(10)/(ASINH(X$4))</f>
        <v>3.1327475801820781</v>
      </c>
      <c r="Z581" s="256">
        <f>FMS_Ranking4[[#This Row],[LWC, ArcSInh (0-10)]]*X$5*10</f>
        <v>3.1327475801820781</v>
      </c>
      <c r="AA581" s="253">
        <f>_xlfn.XLOOKUP(FMS_Ranking4[[#This Row],[FMS ID]],FMS_Input[FMS_ID],FMS_Input[ROADCLS])</f>
        <v>12</v>
      </c>
      <c r="AB581" s="255">
        <f>(ASINH(FMS_Ranking4[[#This Row],[Road Closures Raw]]))*(10)/(ASINH(AA$4))</f>
        <v>3.3114546827476929</v>
      </c>
      <c r="AC581" s="256">
        <f>FMS_Ranking4[[#This Row],[Road closures, ArcSinh (0-10)]]*AA$5*10</f>
        <v>1.6557273413738467</v>
      </c>
      <c r="AD581" s="253">
        <f>_xlfn.XLOOKUP(FMS_Ranking4[[#This Row],[FMS ID]],FMS_Input[FMS_ID],FMS_Input[ROAD_MILES100])</f>
        <v>2</v>
      </c>
      <c r="AE581" s="259">
        <f>(ASINH(FMS_Ranking4[[#This Row],[Road Miles Raw]]))*(10)/(ASINH(AD$4))</f>
        <v>1.5385182374234352</v>
      </c>
      <c r="AF581" s="256">
        <f>FMS_Ranking4[[#This Row],[Length of roads at risk, ArcSinh (0-10)]]*AD$5*10</f>
        <v>1.5385182374234352</v>
      </c>
      <c r="AG581" s="253">
        <f>_xlfn.XLOOKUP(FMS_Ranking4[[#This Row],[FMS ID]],FMS_Input[FMS_ID],FMS_Input[FARMACRE100])</f>
        <v>9.7600002288818359</v>
      </c>
      <c r="AH581" s="255">
        <f>(ASINH(FMS_Ranking4[[#This Row],[Ag Land Raw]]))*(10)/(ASINH(AG$4))</f>
        <v>1.9318902339550028</v>
      </c>
      <c r="AI581" s="260">
        <f>FMS_Ranking4[[#This Row],[Farm &amp; ranch land, ArcSinh (0-10)]]*AG$5*10</f>
        <v>0.96594511697750141</v>
      </c>
      <c r="AJ581" s="258">
        <f>_xlfn.XLOOKUP(FMS_Ranking4[[#This Row],[FMS ID]],FMS_Input[FMS_ID],FMS_Input[REDSTRUCT100])</f>
        <v>0</v>
      </c>
      <c r="AK581" s="253">
        <f>_xlfn.XLOOKUP(FMS_Ranking4[[#This Row],[FMS ID]],FMS_Input[FMS_ID],FMS_Input[REMSTRC100])</f>
        <v>0</v>
      </c>
      <c r="AL581" s="259">
        <f>(ASINH(FMS_Ranking4[[#This Row],[Structures Removed Raw]]))*(10)/(ASINH(AK$4))</f>
        <v>0</v>
      </c>
      <c r="AM581" s="262">
        <f>FMS_Ranking4[[#This Row],[Structures removed, ArcSinh (0-10)]]*AK$5*10</f>
        <v>0</v>
      </c>
      <c r="AN581" s="253">
        <f>_xlfn.XLOOKUP(FMS_Ranking4[[#This Row],[FMS ID]],FMS_Input[FMS_ID],FMS_Input[REMRESSTRC100])</f>
        <v>0</v>
      </c>
      <c r="AO581" s="261">
        <f>FMS_Ranking4[[#This Row],[ArcSinh Res struct removed 0-10]]*AN$5*10</f>
        <v>0</v>
      </c>
      <c r="AP581" s="260">
        <f>ASINH(FMS_Ranking4[[#This Row],[Residential Structures Removed Raw]])/AP$4*AN$5*100</f>
        <v>0</v>
      </c>
      <c r="AQ581" s="254">
        <f>(ASINH(FMS_Ranking4[[#This Row],[Residential Structures Removed Raw]]))*(10)/(ASINH(AN$4))</f>
        <v>0</v>
      </c>
      <c r="AR581" s="253">
        <f>_xlfn.XLOOKUP(FMS_Ranking4[[#This Row],[FMS ID]],FMS_Input[FMS_ID],FMS_Input[REMPOP100])</f>
        <v>0</v>
      </c>
      <c r="AS581" s="259">
        <f>(ASINH(FMS_Ranking4[[#This Row],[Removed Pop Raw]]))*(10)/(ASINH(AR$4))</f>
        <v>0</v>
      </c>
      <c r="AT581" s="262">
        <f>FMS_Ranking4[[#This Row],[Removed population, ArcSinh (0-10)]]*AR$5*10</f>
        <v>0</v>
      </c>
      <c r="AU581" s="264">
        <f>_xlfn.XLOOKUP(FMS_Ranking4[[#This Row],[FMS ID]],FMS_Input[FMS_ID],FMS_Input[REMCRITFAC100])</f>
        <v>0</v>
      </c>
      <c r="AV581" s="264">
        <f>_xlfn.XLOOKUP(FMS_Ranking4[[#This Row],[FMS ID]],FMS_Input[FMS_ID],FMS_Input[REMLWC100])</f>
        <v>0</v>
      </c>
      <c r="AW581" s="264">
        <f>_xlfn.XLOOKUP(FMS_Ranking4[[#This Row],[FMS ID]],FMS_Input[FMS_ID],FMS_Input[REMROADCLS])</f>
        <v>0</v>
      </c>
      <c r="AX581" s="264">
        <f>_xlfn.XLOOKUP(FMS_Ranking4[[#This Row],[FMS ID]],FMS_Input[FMS_ID],FMS_Input[REMFRMACRE100])</f>
        <v>0</v>
      </c>
      <c r="AY581" s="258">
        <f>_xlfn.XLOOKUP(FMS_Ranking4[[#This Row],[FMS ID]],FMS_Input[FMS_ID],FMS_Input[COSTSTRUCT])</f>
        <v>0</v>
      </c>
      <c r="AZ581" s="253">
        <f>_xlfn.XLOOKUP(FMS_Ranking4[[#This Row],[FMS ID]],FMS_Input[FMS_ID],FMS_Input[NATURE])</f>
        <v>0</v>
      </c>
      <c r="BA581" s="262">
        <f>(((FMS_Ranking4[[#This Row],[% NBS Raw]]/AZ$4)*100)*AZ$5)</f>
        <v>0</v>
      </c>
      <c r="BB581" s="251" t="str">
        <f>_xlfn.XLOOKUP(FMS_Ranking4[[#This Row],[FMS ID]],FMS_Input[FMS_ID],FMS_Input[WATER_SUP])</f>
        <v>No</v>
      </c>
      <c r="BC581" s="265">
        <f>IF(FMS_Ranking4[[#This Row],[Water Supply Raw]]="Yes",10,0)</f>
        <v>0</v>
      </c>
      <c r="BD581" s="266">
        <f>_xlfn.XLOOKUP(FMS_Ranking4[[#This Row],[FMS Type]],FMS_TYPE[FMS_Type],FMS_TYPE[Score])</f>
        <v>6</v>
      </c>
      <c r="BE581" s="267">
        <f>FMS_Ranking4[[#This Row],[FMS_Type Score]]*$BD$5*10</f>
        <v>1.5000000000000002</v>
      </c>
      <c r="BF58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7.8909371916806623E-2</v>
      </c>
      <c r="BG581" s="271">
        <f>_xlfn.RANK.EQ(BF581,$BF$8:$BF$870,0)+COUNTIF($BF$8:BF581,BF581)-1</f>
        <v>509</v>
      </c>
      <c r="BH581" s="268">
        <f>(((FMS_Ranking4[[#This Row],[Structures Removed Raw]]/AK$4)*100)*AK$5)+(((FMS_Ranking4[[#This Row],[Removed Pop Raw]]/AR$4)*100)*AR$5)</f>
        <v>0</v>
      </c>
      <c r="BI58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1.5789093719168068</v>
      </c>
      <c r="BJ581" s="205">
        <f>_xlfn.RANK.EQ(FMS_Ranking4[[#This Row],[Total Score 
(with linear
normalization)]],FMS_Ranking4[Total Score 
(with linear
normalization)],0)</f>
        <v>569</v>
      </c>
      <c r="BK581" s="205" t="e">
        <f>_xlfn.XLOOKUP(FMS_Ranking4[[#This Row],[FMS ID]],#REF!,#REF!)</f>
        <v>#REF!</v>
      </c>
      <c r="BL58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14.824288779710351</v>
      </c>
      <c r="BM581" s="272">
        <f>FMS_Ranking4[[#This Row],[ArcSinh Score Based on Normalized Reported Factors]]+FMS_Ranking4[[#This Row],[% NBS Score (Normalized)]]+(FMS_Ranking4[[#This Row],[Water Supply Score (Normalized)]]*10*$BB$5)+FMS_Ranking4[[#This Row],[FMS_Type Score Weighted]]</f>
        <v>16.324288779710351</v>
      </c>
      <c r="BN581" s="205">
        <f>_xlfn.RANK.EQ(FMS_Ranking4[[#This Row],[Total Score (with ArcSinh normalization of select criteria)]],FMS_Ranking4[Total Score (with ArcSinh normalization of select criteria)],0)</f>
        <v>574</v>
      </c>
      <c r="BO581" s="270" t="str">
        <f>_xlfn.XLOOKUP(FMS_Ranking4[[#This Row],[FMS ID]],FMS_Input[FMS_ID],FMS_Input[FMS_RANK_YEAR])</f>
        <v>2023 Amended Plan</v>
      </c>
      <c r="BP581" s="204">
        <f>_xlfn.XLOOKUP(FMS_Ranking4[[#This Row],[FMS ID]],Prev_Rank[FMS ID],Prev_Rank[Prev Rank])</f>
        <v>503</v>
      </c>
      <c r="BQ581" s="205" t="e">
        <f>_xlfn.XLOOKUP(FMS_Ranking4[[#This Row],[FMS ID]],#REF!,#REF!)</f>
        <v>#REF!</v>
      </c>
      <c r="BR581" s="199" t="e">
        <f>SUM(#REF!,#REF!,#REF!,#REF!,#REF!,#REF!,#REF!,#REF!,#REF!,FMS_Ranking4[[#This Row],[ArcSinh Res struct removed 0-10]],#REF!)</f>
        <v>#REF!</v>
      </c>
      <c r="BS581" s="199" t="e">
        <f>FMS_Ranking4[[#This Row],[Log Score Based on Normalized Reported Factors]]+FMS_Ranking4[[#This Row],[% NBS Score (Normalized)]]+(FMS_Ranking4[[#This Row],[Water Supply Score (Normalized)]]*10*$BB$5)+(FMS_Ranking4[[#This Row],[FMS_Type Score Weighted]])</f>
        <v>#REF!</v>
      </c>
      <c r="BT581" s="200" t="e">
        <f>_xlfn.RANK.EQ(FMS_Ranking4[[#This Row],[Log Total Score]],FMS_Ranking4[Log Total Score],0)</f>
        <v>#REF!</v>
      </c>
      <c r="BU581" s="200" t="e">
        <f>_xlfn.XLOOKUP(FMS_Ranking4[[#This Row],[FMS ID]],#REF!,#REF!)</f>
        <v>#REF!</v>
      </c>
      <c r="BV581" s="200">
        <f>FMS_Ranking4[[#This Row],[Region Number]]</f>
        <v>12</v>
      </c>
      <c r="BW581" s="200">
        <f>FMS_Ranking4[[#This Row],[Rank (with ArcSinh normalization of select criteria)]]-FMS_Ranking4[[#This Row],[Rank
(with linear
normalization)]]</f>
        <v>5</v>
      </c>
      <c r="BX581" s="200" t="e">
        <f>FMS_Ranking4[[#This Row],[Log Rank]]-FMS_Ranking4[[#This Row],[Rank
(with linear
normalization)]]</f>
        <v>#REF!</v>
      </c>
      <c r="BY581" s="200" t="str">
        <f>IF(FMS_Ranking4[[#This Row],[FMS Type]]="Flood Measurement and Warning",FMS_Ranking4[[#This Row],[Rank (with ArcSinh normalization of select criteria)]],"")</f>
        <v/>
      </c>
      <c r="BZ581" s="200" t="str">
        <f>IF(FMS_Ranking4[[#This Row],[FMS Type]]="Regulatory and Guidance",FMS_Ranking4[[#This Row],[Rank (with ArcSinh normalization of select criteria)]],"")</f>
        <v/>
      </c>
      <c r="CA581" s="200">
        <f>IF(FMS_Ranking4[[#This Row],[FMS Type]]="Education and Outreach",FMS_Ranking4[[#This Row],[Rank (with ArcSinh normalization of select criteria)]],"")</f>
        <v>574</v>
      </c>
      <c r="CB581" s="200" t="str">
        <f>IF(FMS_Ranking4[[#This Row],[FMS Type]]="Property Acquisition and Structural Elevation",FMS_Ranking4[[#This Row],[Rank (with ArcSinh normalization of select criteria)]],"")</f>
        <v/>
      </c>
      <c r="CC581" s="200" t="str">
        <f>IF(FMS_Ranking4[[#This Row],[FMS Type]]="Infrastructure Projects",FMS_Ranking4[[#This Row],[Rank (with ArcSinh normalization of select criteria)]],"")</f>
        <v/>
      </c>
      <c r="CD581" s="200" t="str">
        <f>IF(FMS_Ranking4[[#This Row],[FMS Type]]="Other",FMS_Ranking4[[#This Row],[Rank (with ArcSinh normalization of select criteria)]],"")</f>
        <v/>
      </c>
      <c r="CE581" s="201"/>
      <c r="CF581" s="206"/>
      <c r="CG581" s="206"/>
      <c r="CH581" s="206"/>
      <c r="CI581" s="206"/>
      <c r="CJ581" s="206"/>
      <c r="CK581" s="206"/>
      <c r="CL581" s="206"/>
      <c r="CM581" s="206"/>
      <c r="CN581" s="206"/>
      <c r="CO581" s="206"/>
      <c r="CP581" s="206"/>
      <c r="CQ581" s="206"/>
      <c r="CR581" s="206"/>
    </row>
    <row r="582" spans="2:96" ht="120" x14ac:dyDescent="0.25">
      <c r="B582" s="341" t="s">
        <v>3724</v>
      </c>
      <c r="C582" s="246">
        <f>_xlfn.XLOOKUP(FMS_Ranking4[[#This Row],[FMS ID]],FMS_Input[FMS_ID],FMS_Input[RFPG_NUM])</f>
        <v>13</v>
      </c>
      <c r="D582" s="309" t="str">
        <f>_xlfn.XLOOKUP(FMS_Ranking4[[#This Row],[FMS ID]],FMS_Input[FMS_ID],FMS_Input[FMS_NAME])</f>
        <v>Odem Flood Mitigation Policy</v>
      </c>
      <c r="E582" s="308" t="str">
        <f>_xlfn.XLOOKUP(FMS_Ranking4[[#This Row],[FMS ID]],FMS_Input[FMS_ID],FMS_Input[SPONSOR])</f>
        <v>13003412</v>
      </c>
      <c r="F582" s="309" t="str">
        <f>_xlfn.XLOOKUP(FMS_Ranking4[[#This Row],[FMS ID]],Sponsor[FMS_ID],Sponsor[SPONSOR NAME])</f>
        <v>Odem</v>
      </c>
      <c r="G582" s="309" t="str">
        <f>_xlfn.XLOOKUP(FMS_Ranking4[[#This Row],[FMS ID]],FMS_Input[FMS_ID],FMS_Input[FMS_DESCR])</f>
        <v>San Patricio County Hazard Mitigation Action Plan - City of Odem, Action #5: Adopt higher floodplain standards above the minimum requirements to provide additional flood protection to new development. </v>
      </c>
      <c r="H582" s="248" t="str">
        <f>_xlfn.XLOOKUP(FMS_Ranking4[[#This Row],[FMS ID]],FMS_Input[FMS_ID],FMS_Input[FMS_TYPE])</f>
        <v>Regulatory and Guidance</v>
      </c>
      <c r="I582" s="249">
        <f>_xlfn.XLOOKUP(FMS_Ranking4[[#This Row],[FMS ID]],FMS_Input[FMS_ID],FMS_Input[NRNC_COST])</f>
        <v>100000</v>
      </c>
      <c r="J582" s="250">
        <f>_xlfn.XLOOKUP(FMS_Ranking4[[#This Row],[FMS ID]],FMS_Input[FMS_ID],FMS_Input[FMS_COST])</f>
        <v>100000</v>
      </c>
      <c r="K582" s="251" t="str">
        <f>_xlfn.XLOOKUP(FMS_Ranking4[[#This Row],[FMS ID]],FMS_Input[FMS_ID],FMS_Input[EMER_NEED])</f>
        <v>Yes</v>
      </c>
      <c r="L582" s="252">
        <f t="shared" si="8"/>
        <v>1</v>
      </c>
      <c r="M582" s="253">
        <f>_xlfn.XLOOKUP(FMS_Ranking4[[#This Row],[FMS ID]],FMS_Input[FMS_ID],FMS_Input[STRUCT_100])</f>
        <v>137</v>
      </c>
      <c r="N582" s="255">
        <f>(ASINH(FMS_Ranking4[[#This Row],[Structure at Risk Raw]]))*(10)/(ASINH(M$4))</f>
        <v>4.4127649213625606</v>
      </c>
      <c r="O582" s="256">
        <f>FMS_Ranking4[[#This Row],[Structures at risk, ArcSinh (0-10)]]*M$5*10</f>
        <v>4.4127649213625606</v>
      </c>
      <c r="P582" s="253">
        <f>_xlfn.XLOOKUP(FMS_Ranking4[[#This Row],[FMS ID]],FMS_Input[FMS_ID],FMS_Input[RES_STRUCT100])</f>
        <v>110</v>
      </c>
      <c r="Q582" s="257">
        <f>ASINH(FMS_Ranking4[[#This Row],[Res Structure Raw]])/Q$4*P$5*100</f>
        <v>0</v>
      </c>
      <c r="R582" s="253">
        <f>_xlfn.XLOOKUP(FMS_Ranking4[[#This Row],[FMS ID]],FMS_Input[FMS_ID],FMS_Input[POP100])</f>
        <v>293</v>
      </c>
      <c r="S582" s="259">
        <f>(ASINH(FMS_Ranking4[[#This Row],[Pop at Risk Raw]]))*(10)/(ASINH(R$4))</f>
        <v>4.3998757026146</v>
      </c>
      <c r="T582" s="256">
        <f>FMS_Ranking4[[#This Row],[Population at risk, ArcSinh (0-10)]]*R$5*10</f>
        <v>4.3998757026146</v>
      </c>
      <c r="U582" s="253">
        <f>_xlfn.XLOOKUP(FMS_Ranking4[[#This Row],[FMS ID]],FMS_Input[FMS_ID],FMS_Input[CRITFAC100])</f>
        <v>0</v>
      </c>
      <c r="V582" s="259">
        <f>(ASINH(FMS_Ranking4[[#This Row],[Critical Facilities Raw]]))*(10)/(ASINH(U$4))</f>
        <v>0</v>
      </c>
      <c r="W582" s="256">
        <f>FMS_Ranking4[[#This Row],[Critical facilities at risk, ArcSinh (0-10)]]*U$5*10</f>
        <v>0</v>
      </c>
      <c r="X582" s="253">
        <f>_xlfn.XLOOKUP(FMS_Ranking4[[#This Row],[FMS ID]],FMS_Input[FMS_ID],FMS_Input[LWC])</f>
        <v>0</v>
      </c>
      <c r="Y582" s="259">
        <f>(ASINH(FMS_Ranking4[[#This Row],[LWC Raw]]))*(10)/(ASINH(X$4))</f>
        <v>0</v>
      </c>
      <c r="Z582" s="256">
        <f>FMS_Ranking4[[#This Row],[LWC, ArcSInh (0-10)]]*X$5*10</f>
        <v>0</v>
      </c>
      <c r="AA582" s="253">
        <f>_xlfn.XLOOKUP(FMS_Ranking4[[#This Row],[FMS ID]],FMS_Input[FMS_ID],FMS_Input[ROADCLS])</f>
        <v>18</v>
      </c>
      <c r="AB582" s="255">
        <f>(ASINH(FMS_Ranking4[[#This Row],[Road Closures Raw]]))*(10)/(ASINH(AA$4))</f>
        <v>3.7327086951394981</v>
      </c>
      <c r="AC582" s="256">
        <f>FMS_Ranking4[[#This Row],[Road closures, ArcSinh (0-10)]]*AA$5*10</f>
        <v>1.8663543475697493</v>
      </c>
      <c r="AD582" s="253">
        <f>_xlfn.XLOOKUP(FMS_Ranking4[[#This Row],[FMS ID]],FMS_Input[FMS_ID],FMS_Input[ROAD_MILES100])</f>
        <v>3</v>
      </c>
      <c r="AE582" s="259">
        <f>(ASINH(FMS_Ranking4[[#This Row],[Road Miles Raw]]))*(10)/(ASINH(AD$4))</f>
        <v>1.937963626835977</v>
      </c>
      <c r="AF582" s="256">
        <f>FMS_Ranking4[[#This Row],[Length of roads at risk, ArcSinh (0-10)]]*AD$5*10</f>
        <v>1.937963626835977</v>
      </c>
      <c r="AG582" s="253">
        <f>_xlfn.XLOOKUP(FMS_Ranking4[[#This Row],[FMS ID]],FMS_Input[FMS_ID],FMS_Input[FARMACRE100])</f>
        <v>38.443508148193359</v>
      </c>
      <c r="AH582" s="255">
        <f>(ASINH(FMS_Ranking4[[#This Row],[Ag Land Raw]]))*(10)/(ASINH(AG$4))</f>
        <v>2.8208115183571354</v>
      </c>
      <c r="AI582" s="260">
        <f>FMS_Ranking4[[#This Row],[Farm &amp; ranch land, ArcSinh (0-10)]]*AG$5*10</f>
        <v>1.4104057591785677</v>
      </c>
      <c r="AJ582" s="258">
        <f>_xlfn.XLOOKUP(FMS_Ranking4[[#This Row],[FMS ID]],FMS_Input[FMS_ID],FMS_Input[REDSTRUCT100])</f>
        <v>0</v>
      </c>
      <c r="AK582" s="253">
        <f>_xlfn.XLOOKUP(FMS_Ranking4[[#This Row],[FMS ID]],FMS_Input[FMS_ID],FMS_Input[REMSTRC100])</f>
        <v>0</v>
      </c>
      <c r="AL582" s="259">
        <f>(ASINH(FMS_Ranking4[[#This Row],[Structures Removed Raw]]))*(10)/(ASINH(AK$4))</f>
        <v>0</v>
      </c>
      <c r="AM582" s="262">
        <f>FMS_Ranking4[[#This Row],[Structures removed, ArcSinh (0-10)]]*AK$5*10</f>
        <v>0</v>
      </c>
      <c r="AN582" s="253">
        <f>_xlfn.XLOOKUP(FMS_Ranking4[[#This Row],[FMS ID]],FMS_Input[FMS_ID],FMS_Input[REMRESSTRC100])</f>
        <v>0</v>
      </c>
      <c r="AO582" s="261">
        <f>FMS_Ranking4[[#This Row],[ArcSinh Res struct removed 0-10]]*AN$5*10</f>
        <v>0</v>
      </c>
      <c r="AP582" s="260">
        <f>ASINH(FMS_Ranking4[[#This Row],[Residential Structures Removed Raw]])/AP$4*AN$5*100</f>
        <v>0</v>
      </c>
      <c r="AQ582" s="254">
        <f>(ASINH(FMS_Ranking4[[#This Row],[Residential Structures Removed Raw]]))*(10)/(ASINH(AN$4))</f>
        <v>0</v>
      </c>
      <c r="AR582" s="253">
        <f>_xlfn.XLOOKUP(FMS_Ranking4[[#This Row],[FMS ID]],FMS_Input[FMS_ID],FMS_Input[REMPOP100])</f>
        <v>0</v>
      </c>
      <c r="AS582" s="259">
        <f>(ASINH(FMS_Ranking4[[#This Row],[Removed Pop Raw]]))*(10)/(ASINH(AR$4))</f>
        <v>0</v>
      </c>
      <c r="AT582" s="262">
        <f>FMS_Ranking4[[#This Row],[Removed population, ArcSinh (0-10)]]*AR$5*10</f>
        <v>0</v>
      </c>
      <c r="AU582" s="264">
        <f>_xlfn.XLOOKUP(FMS_Ranking4[[#This Row],[FMS ID]],FMS_Input[FMS_ID],FMS_Input[REMCRITFAC100])</f>
        <v>0</v>
      </c>
      <c r="AV582" s="264">
        <f>_xlfn.XLOOKUP(FMS_Ranking4[[#This Row],[FMS ID]],FMS_Input[FMS_ID],FMS_Input[REMLWC100])</f>
        <v>0</v>
      </c>
      <c r="AW582" s="264">
        <f>_xlfn.XLOOKUP(FMS_Ranking4[[#This Row],[FMS ID]],FMS_Input[FMS_ID],FMS_Input[REMROADCLS])</f>
        <v>0</v>
      </c>
      <c r="AX582" s="264">
        <f>_xlfn.XLOOKUP(FMS_Ranking4[[#This Row],[FMS ID]],FMS_Input[FMS_ID],FMS_Input[REMFRMACRE100])</f>
        <v>0</v>
      </c>
      <c r="AY582" s="258">
        <f>_xlfn.XLOOKUP(FMS_Ranking4[[#This Row],[FMS ID]],FMS_Input[FMS_ID],FMS_Input[COSTSTRUCT])</f>
        <v>0</v>
      </c>
      <c r="AZ582" s="253">
        <f>_xlfn.XLOOKUP(FMS_Ranking4[[#This Row],[FMS ID]],FMS_Input[FMS_ID],FMS_Input[NATURE])</f>
        <v>0</v>
      </c>
      <c r="BA582" s="262">
        <f>(((FMS_Ranking4[[#This Row],[% NBS Raw]]/AZ$4)*100)*AZ$5)</f>
        <v>0</v>
      </c>
      <c r="BB582" s="251" t="str">
        <f>_xlfn.XLOOKUP(FMS_Ranking4[[#This Row],[FMS ID]],FMS_Input[FMS_ID],FMS_Input[WATER_SUP])</f>
        <v>No</v>
      </c>
      <c r="BC582" s="265">
        <f>IF(FMS_Ranking4[[#This Row],[Water Supply Raw]]="Yes",10,0)</f>
        <v>0</v>
      </c>
      <c r="BD582" s="266">
        <f>_xlfn.XLOOKUP(FMS_Ranking4[[#This Row],[FMS Type]],FMS_TYPE[FMS_Type],FMS_TYPE[Score])</f>
        <v>8</v>
      </c>
      <c r="BE582" s="267">
        <f>FMS_Ranking4[[#This Row],[FMS_Type Score]]*$BD$5*10</f>
        <v>2</v>
      </c>
      <c r="BF58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2.8480577436303757E-2</v>
      </c>
      <c r="BG582" s="271">
        <f>_xlfn.RANK.EQ(BF582,$BF$8:$BF$870,0)+COUNTIF($BF$8:BF582,BF582)-1</f>
        <v>607</v>
      </c>
      <c r="BH582" s="268">
        <f>(((FMS_Ranking4[[#This Row],[Structures Removed Raw]]/AK$4)*100)*AK$5)+(((FMS_Ranking4[[#This Row],[Removed Pop Raw]]/AR$4)*100)*AR$5)</f>
        <v>0</v>
      </c>
      <c r="BI58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2.0284805774363037</v>
      </c>
      <c r="BJ582" s="205">
        <f>_xlfn.RANK.EQ(FMS_Ranking4[[#This Row],[Total Score 
(with linear
normalization)]],FMS_Ranking4[Total Score 
(with linear
normalization)],0)</f>
        <v>404</v>
      </c>
      <c r="BK582" s="205" t="e">
        <f>_xlfn.XLOOKUP(FMS_Ranking4[[#This Row],[FMS ID]],#REF!,#REF!)</f>
        <v>#REF!</v>
      </c>
      <c r="BL58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14.027364357561455</v>
      </c>
      <c r="BM582" s="272">
        <f>FMS_Ranking4[[#This Row],[ArcSinh Score Based on Normalized Reported Factors]]+FMS_Ranking4[[#This Row],[% NBS Score (Normalized)]]+(FMS_Ranking4[[#This Row],[Water Supply Score (Normalized)]]*10*$BB$5)+FMS_Ranking4[[#This Row],[FMS_Type Score Weighted]]</f>
        <v>16.027364357561453</v>
      </c>
      <c r="BN582" s="205">
        <f>_xlfn.RANK.EQ(FMS_Ranking4[[#This Row],[Total Score (with ArcSinh normalization of select criteria)]],FMS_Ranking4[Total Score (with ArcSinh normalization of select criteria)],0)</f>
        <v>575</v>
      </c>
      <c r="BO582" s="270" t="str">
        <f>_xlfn.XLOOKUP(FMS_Ranking4[[#This Row],[FMS ID]],FMS_Input[FMS_ID],FMS_Input[FMS_RANK_YEAR])</f>
        <v>2023 Amended Plan</v>
      </c>
      <c r="BP582" s="204">
        <f>_xlfn.XLOOKUP(FMS_Ranking4[[#This Row],[FMS ID]],Prev_Rank[FMS ID],Prev_Rank[Prev Rank])</f>
        <v>506</v>
      </c>
      <c r="BQ582" s="205" t="e">
        <f>_xlfn.XLOOKUP(FMS_Ranking4[[#This Row],[FMS ID]],#REF!,#REF!)</f>
        <v>#REF!</v>
      </c>
      <c r="BR582" s="199" t="e">
        <f>SUM(#REF!,#REF!,#REF!,#REF!,#REF!,#REF!,#REF!,#REF!,#REF!,FMS_Ranking4[[#This Row],[ArcSinh Res struct removed 0-10]],#REF!)</f>
        <v>#REF!</v>
      </c>
      <c r="BS582" s="199" t="e">
        <f>FMS_Ranking4[[#This Row],[Log Score Based on Normalized Reported Factors]]+FMS_Ranking4[[#This Row],[% NBS Score (Normalized)]]+(FMS_Ranking4[[#This Row],[Water Supply Score (Normalized)]]*10*$BB$5)+(FMS_Ranking4[[#This Row],[FMS_Type Score Weighted]])</f>
        <v>#REF!</v>
      </c>
      <c r="BT582" s="200" t="e">
        <f>_xlfn.RANK.EQ(FMS_Ranking4[[#This Row],[Log Total Score]],FMS_Ranking4[Log Total Score],0)</f>
        <v>#REF!</v>
      </c>
      <c r="BU582" s="200" t="e">
        <f>_xlfn.XLOOKUP(FMS_Ranking4[[#This Row],[FMS ID]],#REF!,#REF!)</f>
        <v>#REF!</v>
      </c>
      <c r="BV582" s="200">
        <f>FMS_Ranking4[[#This Row],[Region Number]]</f>
        <v>13</v>
      </c>
      <c r="BW582" s="200">
        <f>FMS_Ranking4[[#This Row],[Rank (with ArcSinh normalization of select criteria)]]-FMS_Ranking4[[#This Row],[Rank
(with linear
normalization)]]</f>
        <v>171</v>
      </c>
      <c r="BX582" s="200" t="e">
        <f>FMS_Ranking4[[#This Row],[Log Rank]]-FMS_Ranking4[[#This Row],[Rank
(with linear
normalization)]]</f>
        <v>#REF!</v>
      </c>
      <c r="BY582" s="200" t="str">
        <f>IF(FMS_Ranking4[[#This Row],[FMS Type]]="Flood Measurement and Warning",FMS_Ranking4[[#This Row],[Rank (with ArcSinh normalization of select criteria)]],"")</f>
        <v/>
      </c>
      <c r="BZ582" s="200">
        <f>IF(FMS_Ranking4[[#This Row],[FMS Type]]="Regulatory and Guidance",FMS_Ranking4[[#This Row],[Rank (with ArcSinh normalization of select criteria)]],"")</f>
        <v>575</v>
      </c>
      <c r="CA582" s="200" t="str">
        <f>IF(FMS_Ranking4[[#This Row],[FMS Type]]="Education and Outreach",FMS_Ranking4[[#This Row],[Rank (with ArcSinh normalization of select criteria)]],"")</f>
        <v/>
      </c>
      <c r="CB582" s="200" t="str">
        <f>IF(FMS_Ranking4[[#This Row],[FMS Type]]="Property Acquisition and Structural Elevation",FMS_Ranking4[[#This Row],[Rank (with ArcSinh normalization of select criteria)]],"")</f>
        <v/>
      </c>
      <c r="CC582" s="200" t="str">
        <f>IF(FMS_Ranking4[[#This Row],[FMS Type]]="Infrastructure Projects",FMS_Ranking4[[#This Row],[Rank (with ArcSinh normalization of select criteria)]],"")</f>
        <v/>
      </c>
      <c r="CD582" s="200" t="str">
        <f>IF(FMS_Ranking4[[#This Row],[FMS Type]]="Other",FMS_Ranking4[[#This Row],[Rank (with ArcSinh normalization of select criteria)]],"")</f>
        <v/>
      </c>
      <c r="CE582" s="201"/>
      <c r="CF582" s="206"/>
      <c r="CG582" s="206"/>
      <c r="CH582" s="206"/>
      <c r="CI582" s="206"/>
      <c r="CJ582" s="206"/>
      <c r="CK582" s="206"/>
      <c r="CL582" s="206"/>
      <c r="CM582" s="206"/>
      <c r="CN582" s="206"/>
      <c r="CO582" s="206"/>
      <c r="CP582" s="206"/>
      <c r="CQ582" s="206"/>
      <c r="CR582" s="206"/>
    </row>
    <row r="583" spans="2:96" ht="60" x14ac:dyDescent="0.25">
      <c r="B583" s="341" t="s">
        <v>2196</v>
      </c>
      <c r="C583" s="246">
        <f>_xlfn.XLOOKUP(FMS_Ranking4[[#This Row],[FMS ID]],FMS_Input[FMS_ID],FMS_Input[RFPG_NUM])</f>
        <v>3</v>
      </c>
      <c r="D583" s="309" t="str">
        <f>_xlfn.XLOOKUP(FMS_Ranking4[[#This Row],[FMS ID]],FMS_Input[FMS_ID],FMS_Input[FMS_NAME])</f>
        <v>Montague County Property Acquisition and Land Preservation Program</v>
      </c>
      <c r="E583" s="308" t="str">
        <f>_xlfn.XLOOKUP(FMS_Ranking4[[#This Row],[FMS ID]],FMS_Input[FMS_ID],FMS_Input[SPONSOR])</f>
        <v>Montague County</v>
      </c>
      <c r="F583" s="309" t="str">
        <f>_xlfn.XLOOKUP(FMS_Ranking4[[#This Row],[FMS ID]],Sponsor[FMS_ID],Sponsor[SPONSOR NAME])</f>
        <v>Montague County</v>
      </c>
      <c r="G583" s="309" t="str">
        <f>_xlfn.XLOOKUP(FMS_Ranking4[[#This Row],[FMS ID]],FMS_Input[FMS_ID],FMS_Input[FMS_DESCR])</f>
        <v>Acquire and preserve open space adjacent to floodplain areas.</v>
      </c>
      <c r="H583" s="248" t="str">
        <f>_xlfn.XLOOKUP(FMS_Ranking4[[#This Row],[FMS ID]],FMS_Input[FMS_ID],FMS_Input[FMS_TYPE])</f>
        <v>Property Acquisition and Structural Elevation</v>
      </c>
      <c r="I583" s="249">
        <f>_xlfn.XLOOKUP(FMS_Ranking4[[#This Row],[FMS ID]],FMS_Input[FMS_ID],FMS_Input[NRNC_COST])</f>
        <v>500000</v>
      </c>
      <c r="J583" s="250">
        <f>_xlfn.XLOOKUP(FMS_Ranking4[[#This Row],[FMS ID]],FMS_Input[FMS_ID],FMS_Input[FMS_COST])</f>
        <v>5000000</v>
      </c>
      <c r="K583" s="251" t="str">
        <f>_xlfn.XLOOKUP(FMS_Ranking4[[#This Row],[FMS ID]],FMS_Input[FMS_ID],FMS_Input[EMER_NEED])</f>
        <v>No</v>
      </c>
      <c r="L583" s="252">
        <f t="shared" si="8"/>
        <v>0</v>
      </c>
      <c r="M583" s="253">
        <f>_xlfn.XLOOKUP(FMS_Ranking4[[#This Row],[FMS ID]],FMS_Input[FMS_ID],FMS_Input[STRUCT_100])</f>
        <v>0</v>
      </c>
      <c r="N583" s="255">
        <f>(ASINH(FMS_Ranking4[[#This Row],[Structure at Risk Raw]]))*(10)/(ASINH(M$4))</f>
        <v>0</v>
      </c>
      <c r="O583" s="256">
        <f>FMS_Ranking4[[#This Row],[Structures at risk, ArcSinh (0-10)]]*M$5*10</f>
        <v>0</v>
      </c>
      <c r="P583" s="253">
        <f>_xlfn.XLOOKUP(FMS_Ranking4[[#This Row],[FMS ID]],FMS_Input[FMS_ID],FMS_Input[RES_STRUCT100])</f>
        <v>0</v>
      </c>
      <c r="Q583" s="257">
        <f>ASINH(FMS_Ranking4[[#This Row],[Res Structure Raw]])/Q$4*P$5*100</f>
        <v>0</v>
      </c>
      <c r="R583" s="253">
        <f>_xlfn.XLOOKUP(FMS_Ranking4[[#This Row],[FMS ID]],FMS_Input[FMS_ID],FMS_Input[POP100])</f>
        <v>0</v>
      </c>
      <c r="S583" s="259">
        <f>(ASINH(FMS_Ranking4[[#This Row],[Pop at Risk Raw]]))*(10)/(ASINH(R$4))</f>
        <v>0</v>
      </c>
      <c r="T583" s="256">
        <f>FMS_Ranking4[[#This Row],[Population at risk, ArcSinh (0-10)]]*R$5*10</f>
        <v>0</v>
      </c>
      <c r="U583" s="253">
        <f>_xlfn.XLOOKUP(FMS_Ranking4[[#This Row],[FMS ID]],FMS_Input[FMS_ID],FMS_Input[CRITFAC100])</f>
        <v>0</v>
      </c>
      <c r="V583" s="259">
        <f>(ASINH(FMS_Ranking4[[#This Row],[Critical Facilities Raw]]))*(10)/(ASINH(U$4))</f>
        <v>0</v>
      </c>
      <c r="W583" s="256">
        <f>FMS_Ranking4[[#This Row],[Critical facilities at risk, ArcSinh (0-10)]]*U$5*10</f>
        <v>0</v>
      </c>
      <c r="X583" s="253">
        <f>_xlfn.XLOOKUP(FMS_Ranking4[[#This Row],[FMS ID]],FMS_Input[FMS_ID],FMS_Input[LWC])</f>
        <v>3</v>
      </c>
      <c r="Y583" s="259">
        <f>(ASINH(FMS_Ranking4[[#This Row],[LWC Raw]]))*(10)/(ASINH(X$4))</f>
        <v>2.4635181155638843</v>
      </c>
      <c r="Z583" s="256">
        <f>FMS_Ranking4[[#This Row],[LWC, ArcSInh (0-10)]]*X$5*10</f>
        <v>2.4635181155638843</v>
      </c>
      <c r="AA583" s="253">
        <f>_xlfn.XLOOKUP(FMS_Ranking4[[#This Row],[FMS ID]],FMS_Input[FMS_ID],FMS_Input[ROADCLS])</f>
        <v>0</v>
      </c>
      <c r="AB583" s="255">
        <f>(ASINH(FMS_Ranking4[[#This Row],[Road Closures Raw]]))*(10)/(ASINH(AA$4))</f>
        <v>0</v>
      </c>
      <c r="AC583" s="256">
        <f>FMS_Ranking4[[#This Row],[Road closures, ArcSinh (0-10)]]*AA$5*10</f>
        <v>0</v>
      </c>
      <c r="AD583" s="253">
        <f>_xlfn.XLOOKUP(FMS_Ranking4[[#This Row],[FMS ID]],FMS_Input[FMS_ID],FMS_Input[ROAD_MILES100])</f>
        <v>57</v>
      </c>
      <c r="AE583" s="259">
        <f>(ASINH(FMS_Ranking4[[#This Row],[Road Miles Raw]]))*(10)/(ASINH(AD$4))</f>
        <v>5.0475664975813634</v>
      </c>
      <c r="AF583" s="256">
        <f>FMS_Ranking4[[#This Row],[Length of roads at risk, ArcSinh (0-10)]]*AD$5*10</f>
        <v>5.0475664975813643</v>
      </c>
      <c r="AG583" s="253">
        <f>_xlfn.XLOOKUP(FMS_Ranking4[[#This Row],[FMS ID]],FMS_Input[FMS_ID],FMS_Input[FARMACRE100])</f>
        <v>0</v>
      </c>
      <c r="AH583" s="255">
        <f>(ASINH(FMS_Ranking4[[#This Row],[Ag Land Raw]]))*(10)/(ASINH(AG$4))</f>
        <v>0</v>
      </c>
      <c r="AI583" s="260">
        <f>FMS_Ranking4[[#This Row],[Farm &amp; ranch land, ArcSinh (0-10)]]*AG$5*10</f>
        <v>0</v>
      </c>
      <c r="AJ583" s="258">
        <f>_xlfn.XLOOKUP(FMS_Ranking4[[#This Row],[FMS ID]],FMS_Input[FMS_ID],FMS_Input[REDSTRUCT100])</f>
        <v>0</v>
      </c>
      <c r="AK583" s="253">
        <f>_xlfn.XLOOKUP(FMS_Ranking4[[#This Row],[FMS ID]],FMS_Input[FMS_ID],FMS_Input[REMSTRC100])</f>
        <v>0</v>
      </c>
      <c r="AL583" s="259">
        <f>(ASINH(FMS_Ranking4[[#This Row],[Structures Removed Raw]]))*(10)/(ASINH(AK$4))</f>
        <v>0</v>
      </c>
      <c r="AM583" s="262">
        <f>FMS_Ranking4[[#This Row],[Structures removed, ArcSinh (0-10)]]*AK$5*10</f>
        <v>0</v>
      </c>
      <c r="AN583" s="253">
        <f>_xlfn.XLOOKUP(FMS_Ranking4[[#This Row],[FMS ID]],FMS_Input[FMS_ID],FMS_Input[REMRESSTRC100])</f>
        <v>0</v>
      </c>
      <c r="AO583" s="261">
        <f>FMS_Ranking4[[#This Row],[ArcSinh Res struct removed 0-10]]*AN$5*10</f>
        <v>0</v>
      </c>
      <c r="AP583" s="260">
        <f>ASINH(FMS_Ranking4[[#This Row],[Residential Structures Removed Raw]])/AP$4*AN$5*100</f>
        <v>0</v>
      </c>
      <c r="AQ583" s="254">
        <f>(ASINH(FMS_Ranking4[[#This Row],[Residential Structures Removed Raw]]))*(10)/(ASINH(AN$4))</f>
        <v>0</v>
      </c>
      <c r="AR583" s="253">
        <f>_xlfn.XLOOKUP(FMS_Ranking4[[#This Row],[FMS ID]],FMS_Input[FMS_ID],FMS_Input[REMPOP100])</f>
        <v>0</v>
      </c>
      <c r="AS583" s="259">
        <f>(ASINH(FMS_Ranking4[[#This Row],[Removed Pop Raw]]))*(10)/(ASINH(AR$4))</f>
        <v>0</v>
      </c>
      <c r="AT583" s="262">
        <f>FMS_Ranking4[[#This Row],[Removed population, ArcSinh (0-10)]]*AR$5*10</f>
        <v>0</v>
      </c>
      <c r="AU583" s="264">
        <f>_xlfn.XLOOKUP(FMS_Ranking4[[#This Row],[FMS ID]],FMS_Input[FMS_ID],FMS_Input[REMCRITFAC100])</f>
        <v>0</v>
      </c>
      <c r="AV583" s="264">
        <f>_xlfn.XLOOKUP(FMS_Ranking4[[#This Row],[FMS ID]],FMS_Input[FMS_ID],FMS_Input[REMLWC100])</f>
        <v>0</v>
      </c>
      <c r="AW583" s="264">
        <f>_xlfn.XLOOKUP(FMS_Ranking4[[#This Row],[FMS ID]],FMS_Input[FMS_ID],FMS_Input[REMROADCLS])</f>
        <v>0</v>
      </c>
      <c r="AX583" s="264">
        <f>_xlfn.XLOOKUP(FMS_Ranking4[[#This Row],[FMS ID]],FMS_Input[FMS_ID],FMS_Input[REMFRMACRE100])</f>
        <v>0</v>
      </c>
      <c r="AY583" s="258">
        <f>_xlfn.XLOOKUP(FMS_Ranking4[[#This Row],[FMS ID]],FMS_Input[FMS_ID],FMS_Input[COSTSTRUCT])</f>
        <v>0</v>
      </c>
      <c r="AZ583" s="253">
        <f>_xlfn.XLOOKUP(FMS_Ranking4[[#This Row],[FMS ID]],FMS_Input[FMS_ID],FMS_Input[NATURE])</f>
        <v>100</v>
      </c>
      <c r="BA583" s="262">
        <f>(((FMS_Ranking4[[#This Row],[% NBS Raw]]/AZ$4)*100)*AZ$5)</f>
        <v>7.5</v>
      </c>
      <c r="BB583" s="251" t="str">
        <f>_xlfn.XLOOKUP(FMS_Ranking4[[#This Row],[FMS ID]],FMS_Input[FMS_ID],FMS_Input[WATER_SUP])</f>
        <v>No</v>
      </c>
      <c r="BC583" s="265">
        <f>IF(FMS_Ranking4[[#This Row],[Water Supply Raw]]="Yes",10,0)</f>
        <v>0</v>
      </c>
      <c r="BD583" s="266">
        <f>_xlfn.XLOOKUP(FMS_Ranking4[[#This Row],[FMS Type]],FMS_TYPE[FMS_Type],FMS_TYPE[Score])</f>
        <v>4</v>
      </c>
      <c r="BE583" s="267">
        <f>FMS_Ranking4[[#This Row],[FMS_Type Score]]*$BD$5*10</f>
        <v>1</v>
      </c>
      <c r="BF58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0.13325492056202431</v>
      </c>
      <c r="BG583" s="271">
        <f>_xlfn.RANK.EQ(BF583,$BF$8:$BF$870,0)+COUNTIF($BF$8:BF583,BF583)-1</f>
        <v>431</v>
      </c>
      <c r="BH583" s="268">
        <f>(((FMS_Ranking4[[#This Row],[Structures Removed Raw]]/AK$4)*100)*AK$5)+(((FMS_Ranking4[[#This Row],[Removed Pop Raw]]/AR$4)*100)*AR$5)</f>
        <v>0</v>
      </c>
      <c r="BI58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8.6332549205620239</v>
      </c>
      <c r="BJ583" s="205">
        <f>_xlfn.RANK.EQ(FMS_Ranking4[[#This Row],[Total Score 
(with linear
normalization)]],FMS_Ranking4[Total Score 
(with linear
normalization)],0)</f>
        <v>66</v>
      </c>
      <c r="BK583" s="205" t="e">
        <f>_xlfn.XLOOKUP(FMS_Ranking4[[#This Row],[FMS ID]],#REF!,#REF!)</f>
        <v>#REF!</v>
      </c>
      <c r="BL58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7.5110846131452487</v>
      </c>
      <c r="BM583" s="272">
        <f>FMS_Ranking4[[#This Row],[ArcSinh Score Based on Normalized Reported Factors]]+FMS_Ranking4[[#This Row],[% NBS Score (Normalized)]]+(FMS_Ranking4[[#This Row],[Water Supply Score (Normalized)]]*10*$BB$5)+FMS_Ranking4[[#This Row],[FMS_Type Score Weighted]]</f>
        <v>16.01108461314525</v>
      </c>
      <c r="BN583" s="205">
        <f>_xlfn.RANK.EQ(FMS_Ranking4[[#This Row],[Total Score (with ArcSinh normalization of select criteria)]],FMS_Ranking4[Total Score (with ArcSinh normalization of select criteria)],0)</f>
        <v>576</v>
      </c>
      <c r="BO583" s="270" t="str">
        <f>_xlfn.XLOOKUP(FMS_Ranking4[[#This Row],[FMS ID]],FMS_Input[FMS_ID],FMS_Input[FMS_RANK_YEAR])</f>
        <v>2023 Amended Plan</v>
      </c>
      <c r="BP583" s="204">
        <f>_xlfn.XLOOKUP(FMS_Ranking4[[#This Row],[FMS ID]],Prev_Rank[FMS ID],Prev_Rank[Prev Rank])</f>
        <v>512</v>
      </c>
      <c r="BQ583" s="205" t="e">
        <f>_xlfn.XLOOKUP(FMS_Ranking4[[#This Row],[FMS ID]],#REF!,#REF!)</f>
        <v>#REF!</v>
      </c>
      <c r="BR583" s="199" t="e">
        <f>SUM(#REF!,#REF!,#REF!,#REF!,#REF!,#REF!,#REF!,#REF!,#REF!,FMS_Ranking4[[#This Row],[ArcSinh Res struct removed 0-10]],#REF!)</f>
        <v>#REF!</v>
      </c>
      <c r="BS583" s="199" t="e">
        <f>FMS_Ranking4[[#This Row],[Log Score Based on Normalized Reported Factors]]+FMS_Ranking4[[#This Row],[% NBS Score (Normalized)]]+(FMS_Ranking4[[#This Row],[Water Supply Score (Normalized)]]*10*$BB$5)+(FMS_Ranking4[[#This Row],[FMS_Type Score Weighted]])</f>
        <v>#REF!</v>
      </c>
      <c r="BT583" s="200" t="e">
        <f>_xlfn.RANK.EQ(FMS_Ranking4[[#This Row],[Log Total Score]],FMS_Ranking4[Log Total Score],0)</f>
        <v>#REF!</v>
      </c>
      <c r="BU583" s="200" t="e">
        <f>_xlfn.XLOOKUP(FMS_Ranking4[[#This Row],[FMS ID]],#REF!,#REF!)</f>
        <v>#REF!</v>
      </c>
      <c r="BV583" s="200">
        <f>FMS_Ranking4[[#This Row],[Region Number]]</f>
        <v>3</v>
      </c>
      <c r="BW583" s="200">
        <f>FMS_Ranking4[[#This Row],[Rank (with ArcSinh normalization of select criteria)]]-FMS_Ranking4[[#This Row],[Rank
(with linear
normalization)]]</f>
        <v>510</v>
      </c>
      <c r="BX583" s="200" t="e">
        <f>FMS_Ranking4[[#This Row],[Log Rank]]-FMS_Ranking4[[#This Row],[Rank
(with linear
normalization)]]</f>
        <v>#REF!</v>
      </c>
      <c r="BY583" s="200" t="str">
        <f>IF(FMS_Ranking4[[#This Row],[FMS Type]]="Flood Measurement and Warning",FMS_Ranking4[[#This Row],[Rank (with ArcSinh normalization of select criteria)]],"")</f>
        <v/>
      </c>
      <c r="BZ583" s="200" t="str">
        <f>IF(FMS_Ranking4[[#This Row],[FMS Type]]="Regulatory and Guidance",FMS_Ranking4[[#This Row],[Rank (with ArcSinh normalization of select criteria)]],"")</f>
        <v/>
      </c>
      <c r="CA583" s="200" t="str">
        <f>IF(FMS_Ranking4[[#This Row],[FMS Type]]="Education and Outreach",FMS_Ranking4[[#This Row],[Rank (with ArcSinh normalization of select criteria)]],"")</f>
        <v/>
      </c>
      <c r="CB583" s="200">
        <f>IF(FMS_Ranking4[[#This Row],[FMS Type]]="Property Acquisition and Structural Elevation",FMS_Ranking4[[#This Row],[Rank (with ArcSinh normalization of select criteria)]],"")</f>
        <v>576</v>
      </c>
      <c r="CC583" s="200" t="str">
        <f>IF(FMS_Ranking4[[#This Row],[FMS Type]]="Infrastructure Projects",FMS_Ranking4[[#This Row],[Rank (with ArcSinh normalization of select criteria)]],"")</f>
        <v/>
      </c>
      <c r="CD583" s="200" t="str">
        <f>IF(FMS_Ranking4[[#This Row],[FMS Type]]="Other",FMS_Ranking4[[#This Row],[Rank (with ArcSinh normalization of select criteria)]],"")</f>
        <v/>
      </c>
      <c r="CE583" s="201"/>
      <c r="CF583" s="206"/>
      <c r="CG583" s="206"/>
      <c r="CH583" s="206"/>
      <c r="CI583" s="206"/>
      <c r="CJ583" s="206"/>
      <c r="CK583" s="206"/>
      <c r="CL583" s="206"/>
      <c r="CM583" s="206"/>
      <c r="CN583" s="206"/>
      <c r="CO583" s="206"/>
      <c r="CP583" s="206"/>
      <c r="CQ583" s="206"/>
      <c r="CR583" s="206"/>
    </row>
    <row r="584" spans="2:96" ht="45" x14ac:dyDescent="0.25">
      <c r="B584" s="341" t="s">
        <v>1882</v>
      </c>
      <c r="C584" s="246">
        <f>_xlfn.XLOOKUP(FMS_Ranking4[[#This Row],[FMS ID]],FMS_Input[FMS_ID],FMS_Input[RFPG_NUM])</f>
        <v>3</v>
      </c>
      <c r="D584" s="309" t="str">
        <f>_xlfn.XLOOKUP(FMS_Ranking4[[#This Row],[FMS ID]],FMS_Input[FMS_ID],FMS_Input[FMS_NAME])</f>
        <v>Timber Creek Flood Warning System Installation</v>
      </c>
      <c r="E584" s="308" t="str">
        <f>_xlfn.XLOOKUP(FMS_Ranking4[[#This Row],[FMS ID]],FMS_Input[FMS_ID],FMS_Input[SPONSOR])</f>
        <v>Lewisville</v>
      </c>
      <c r="F584" s="309" t="str">
        <f>_xlfn.XLOOKUP(FMS_Ranking4[[#This Row],[FMS ID]],Sponsor[FMS_ID],Sponsor[SPONSOR NAME])</f>
        <v>Lewisville</v>
      </c>
      <c r="G584" s="309" t="str">
        <f>_xlfn.XLOOKUP(FMS_Ranking4[[#This Row],[FMS ID]],FMS_Input[FMS_ID],FMS_Input[FMS_DESCR])</f>
        <v>Purchase and Install Flood Warning Systems in Key Areas Along Timber Creek</v>
      </c>
      <c r="H584" s="248" t="str">
        <f>_xlfn.XLOOKUP(FMS_Ranking4[[#This Row],[FMS ID]],FMS_Input[FMS_ID],FMS_Input[FMS_TYPE])</f>
        <v>Flood Measurement and Warning</v>
      </c>
      <c r="I584" s="249">
        <f>_xlfn.XLOOKUP(FMS_Ranking4[[#This Row],[FMS ID]],FMS_Input[FMS_ID],FMS_Input[NRNC_COST])</f>
        <v>25000</v>
      </c>
      <c r="J584" s="250">
        <f>_xlfn.XLOOKUP(FMS_Ranking4[[#This Row],[FMS ID]],FMS_Input[FMS_ID],FMS_Input[FMS_COST])</f>
        <v>250000</v>
      </c>
      <c r="K584" s="251" t="str">
        <f>_xlfn.XLOOKUP(FMS_Ranking4[[#This Row],[FMS ID]],FMS_Input[FMS_ID],FMS_Input[EMER_NEED])</f>
        <v>No</v>
      </c>
      <c r="L584" s="252">
        <f t="shared" ref="L584:L647" si="9">IF(K584="Yes",1,0)</f>
        <v>0</v>
      </c>
      <c r="M584" s="253">
        <f>_xlfn.XLOOKUP(FMS_Ranking4[[#This Row],[FMS ID]],FMS_Input[FMS_ID],FMS_Input[STRUCT_100])</f>
        <v>140</v>
      </c>
      <c r="N584" s="255">
        <f>(ASINH(FMS_Ranking4[[#This Row],[Structure at Risk Raw]]))*(10)/(ASINH(M$4))</f>
        <v>4.4297936391422104</v>
      </c>
      <c r="O584" s="256">
        <f>FMS_Ranking4[[#This Row],[Structures at risk, ArcSinh (0-10)]]*M$5*10</f>
        <v>4.4297936391422104</v>
      </c>
      <c r="P584" s="253">
        <f>_xlfn.XLOOKUP(FMS_Ranking4[[#This Row],[FMS ID]],FMS_Input[FMS_ID],FMS_Input[RES_STRUCT100])</f>
        <v>136</v>
      </c>
      <c r="Q584" s="257">
        <f>ASINH(FMS_Ranking4[[#This Row],[Res Structure Raw]])/Q$4*P$5*100</f>
        <v>0</v>
      </c>
      <c r="R584" s="253">
        <f>_xlfn.XLOOKUP(FMS_Ranking4[[#This Row],[FMS ID]],FMS_Input[FMS_ID],FMS_Input[POP100])</f>
        <v>444</v>
      </c>
      <c r="S584" s="259">
        <f>(ASINH(FMS_Ranking4[[#This Row],[Pop at Risk Raw]]))*(10)/(ASINH(R$4))</f>
        <v>4.6868233095606051</v>
      </c>
      <c r="T584" s="256">
        <f>FMS_Ranking4[[#This Row],[Population at risk, ArcSinh (0-10)]]*R$5*10</f>
        <v>4.6868233095606051</v>
      </c>
      <c r="U584" s="253">
        <f>_xlfn.XLOOKUP(FMS_Ranking4[[#This Row],[FMS ID]],FMS_Input[FMS_ID],FMS_Input[CRITFAC100])</f>
        <v>1</v>
      </c>
      <c r="V584" s="259">
        <f>(ASINH(FMS_Ranking4[[#This Row],[Critical Facilities Raw]]))*(10)/(ASINH(U$4))</f>
        <v>1.0433384451410745</v>
      </c>
      <c r="W584" s="256">
        <f>FMS_Ranking4[[#This Row],[Critical facilities at risk, ArcSinh (0-10)]]*U$5*10</f>
        <v>1.0433384451410745</v>
      </c>
      <c r="X584" s="253">
        <f>_xlfn.XLOOKUP(FMS_Ranking4[[#This Row],[FMS ID]],FMS_Input[FMS_ID],FMS_Input[LWC])</f>
        <v>0</v>
      </c>
      <c r="Y584" s="259">
        <f>(ASINH(FMS_Ranking4[[#This Row],[LWC Raw]]))*(10)/(ASINH(X$4))</f>
        <v>0</v>
      </c>
      <c r="Z584" s="256">
        <f>FMS_Ranking4[[#This Row],[LWC, ArcSInh (0-10)]]*X$5*10</f>
        <v>0</v>
      </c>
      <c r="AA584" s="253">
        <f>_xlfn.XLOOKUP(FMS_Ranking4[[#This Row],[FMS ID]],FMS_Input[FMS_ID],FMS_Input[ROADCLS])</f>
        <v>0</v>
      </c>
      <c r="AB584" s="255">
        <f>(ASINH(FMS_Ranking4[[#This Row],[Road Closures Raw]]))*(10)/(ASINH(AA$4))</f>
        <v>0</v>
      </c>
      <c r="AC584" s="256">
        <f>FMS_Ranking4[[#This Row],[Road closures, ArcSinh (0-10)]]*AA$5*10</f>
        <v>0</v>
      </c>
      <c r="AD584" s="253">
        <f>_xlfn.XLOOKUP(FMS_Ranking4[[#This Row],[FMS ID]],FMS_Input[FMS_ID],FMS_Input[ROAD_MILES100])</f>
        <v>3</v>
      </c>
      <c r="AE584" s="259">
        <f>(ASINH(FMS_Ranking4[[#This Row],[Road Miles Raw]]))*(10)/(ASINH(AD$4))</f>
        <v>1.937963626835977</v>
      </c>
      <c r="AF584" s="256">
        <f>FMS_Ranking4[[#This Row],[Length of roads at risk, ArcSinh (0-10)]]*AD$5*10</f>
        <v>1.937963626835977</v>
      </c>
      <c r="AG584" s="253">
        <f>_xlfn.XLOOKUP(FMS_Ranking4[[#This Row],[FMS ID]],FMS_Input[FMS_ID],FMS_Input[FARMACRE100])</f>
        <v>38.144859313964837</v>
      </c>
      <c r="AH584" s="255">
        <f>(ASINH(FMS_Ranking4[[#This Row],[Ag Land Raw]]))*(10)/(ASINH(AG$4))</f>
        <v>2.8157472605652178</v>
      </c>
      <c r="AI584" s="260">
        <f>FMS_Ranking4[[#This Row],[Farm &amp; ranch land, ArcSinh (0-10)]]*AG$5*10</f>
        <v>1.4078736302826089</v>
      </c>
      <c r="AJ584" s="258">
        <f>_xlfn.XLOOKUP(FMS_Ranking4[[#This Row],[FMS ID]],FMS_Input[FMS_ID],FMS_Input[REDSTRUCT100])</f>
        <v>0</v>
      </c>
      <c r="AK584" s="253">
        <f>_xlfn.XLOOKUP(FMS_Ranking4[[#This Row],[FMS ID]],FMS_Input[FMS_ID],FMS_Input[REMSTRC100])</f>
        <v>0</v>
      </c>
      <c r="AL584" s="259">
        <f>(ASINH(FMS_Ranking4[[#This Row],[Structures Removed Raw]]))*(10)/(ASINH(AK$4))</f>
        <v>0</v>
      </c>
      <c r="AM584" s="262">
        <f>FMS_Ranking4[[#This Row],[Structures removed, ArcSinh (0-10)]]*AK$5*10</f>
        <v>0</v>
      </c>
      <c r="AN584" s="253">
        <f>_xlfn.XLOOKUP(FMS_Ranking4[[#This Row],[FMS ID]],FMS_Input[FMS_ID],FMS_Input[REMRESSTRC100])</f>
        <v>0</v>
      </c>
      <c r="AO584" s="261">
        <f>FMS_Ranking4[[#This Row],[ArcSinh Res struct removed 0-10]]*AN$5*10</f>
        <v>0</v>
      </c>
      <c r="AP584" s="260">
        <f>ASINH(FMS_Ranking4[[#This Row],[Residential Structures Removed Raw]])/AP$4*AN$5*100</f>
        <v>0</v>
      </c>
      <c r="AQ584" s="258">
        <f>(ASINH(FMS_Ranking4[[#This Row],[Residential Structures Removed Raw]]))*(10)/(ASINH(AN$4))</f>
        <v>0</v>
      </c>
      <c r="AR584" s="253">
        <f>_xlfn.XLOOKUP(FMS_Ranking4[[#This Row],[FMS ID]],FMS_Input[FMS_ID],FMS_Input[REMPOP100])</f>
        <v>0</v>
      </c>
      <c r="AS584" s="259">
        <f>(ASINH(FMS_Ranking4[[#This Row],[Removed Pop Raw]]))*(10)/(ASINH(AR$4))</f>
        <v>0</v>
      </c>
      <c r="AT584" s="262">
        <f>FMS_Ranking4[[#This Row],[Removed population, ArcSinh (0-10)]]*AR$5*10</f>
        <v>0</v>
      </c>
      <c r="AU584" s="264">
        <f>_xlfn.XLOOKUP(FMS_Ranking4[[#This Row],[FMS ID]],FMS_Input[FMS_ID],FMS_Input[REMCRITFAC100])</f>
        <v>0</v>
      </c>
      <c r="AV584" s="264">
        <f>_xlfn.XLOOKUP(FMS_Ranking4[[#This Row],[FMS ID]],FMS_Input[FMS_ID],FMS_Input[REMLWC100])</f>
        <v>0</v>
      </c>
      <c r="AW584" s="264">
        <f>_xlfn.XLOOKUP(FMS_Ranking4[[#This Row],[FMS ID]],FMS_Input[FMS_ID],FMS_Input[REMROADCLS])</f>
        <v>0</v>
      </c>
      <c r="AX584" s="264">
        <f>_xlfn.XLOOKUP(FMS_Ranking4[[#This Row],[FMS ID]],FMS_Input[FMS_ID],FMS_Input[REMFRMACRE100])</f>
        <v>0</v>
      </c>
      <c r="AY584" s="258">
        <f>_xlfn.XLOOKUP(FMS_Ranking4[[#This Row],[FMS ID]],FMS_Input[FMS_ID],FMS_Input[COSTSTRUCT])</f>
        <v>0</v>
      </c>
      <c r="AZ584" s="253">
        <f>_xlfn.XLOOKUP(FMS_Ranking4[[#This Row],[FMS ID]],FMS_Input[FMS_ID],FMS_Input[NATURE])</f>
        <v>0</v>
      </c>
      <c r="BA584" s="262">
        <f>(((FMS_Ranking4[[#This Row],[% NBS Raw]]/AZ$4)*100)*AZ$5)</f>
        <v>0</v>
      </c>
      <c r="BB584" s="251" t="str">
        <f>_xlfn.XLOOKUP(FMS_Ranking4[[#This Row],[FMS ID]],FMS_Input[FMS_ID],FMS_Input[WATER_SUP])</f>
        <v>No</v>
      </c>
      <c r="BC584" s="265">
        <f>IF(FMS_Ranking4[[#This Row],[Water Supply Raw]]="Yes",10,0)</f>
        <v>0</v>
      </c>
      <c r="BD584" s="266">
        <f>_xlfn.XLOOKUP(FMS_Ranking4[[#This Row],[FMS Type]],FMS_TYPE[FMS_Type],FMS_TYPE[Score])</f>
        <v>10</v>
      </c>
      <c r="BE584" s="267">
        <f>FMS_Ranking4[[#This Row],[FMS_Type Score]]*$BD$5*10</f>
        <v>2.5</v>
      </c>
      <c r="BF58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2.2331152364487291E-2</v>
      </c>
      <c r="BG584" s="269">
        <f>_xlfn.RANK.EQ(BF584,$BF$8:$BF$870,0)+COUNTIF($BF$8:BF584,BF584)-1</f>
        <v>624</v>
      </c>
      <c r="BH584" s="268">
        <f>(((FMS_Ranking4[[#This Row],[Structures Removed Raw]]/AK$4)*100)*AK$5)+(((FMS_Ranking4[[#This Row],[Removed Pop Raw]]/AR$4)*100)*AR$5)</f>
        <v>0</v>
      </c>
      <c r="BI58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2.5223311523644871</v>
      </c>
      <c r="BJ584" s="204">
        <f>_xlfn.RANK.EQ(FMS_Ranking4[[#This Row],[Total Score 
(with linear
normalization)]],FMS_Ranking4[Total Score 
(with linear
normalization)],0)</f>
        <v>244</v>
      </c>
      <c r="BK584" s="204" t="e">
        <f>_xlfn.XLOOKUP(FMS_Ranking4[[#This Row],[FMS ID]],#REF!,#REF!)</f>
        <v>#REF!</v>
      </c>
      <c r="BL584"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13.505792650962476</v>
      </c>
      <c r="BM584" s="270">
        <f>FMS_Ranking4[[#This Row],[ArcSinh Score Based on Normalized Reported Factors]]+FMS_Ranking4[[#This Row],[% NBS Score (Normalized)]]+(FMS_Ranking4[[#This Row],[Water Supply Score (Normalized)]]*10*$BB$5)+FMS_Ranking4[[#This Row],[FMS_Type Score Weighted]]</f>
        <v>16.005792650962476</v>
      </c>
      <c r="BN584" s="204">
        <f>_xlfn.RANK.EQ(FMS_Ranking4[[#This Row],[Total Score (with ArcSinh normalization of select criteria)]],FMS_Ranking4[Total Score (with ArcSinh normalization of select criteria)],0)</f>
        <v>577</v>
      </c>
      <c r="BO584" s="270" t="str">
        <f>_xlfn.XLOOKUP(FMS_Ranking4[[#This Row],[FMS ID]],FMS_Input[FMS_ID],FMS_Input[FMS_RANK_YEAR])</f>
        <v>2023 Amended Plan</v>
      </c>
      <c r="BP584" s="204">
        <f>_xlfn.XLOOKUP(FMS_Ranking4[[#This Row],[FMS ID]],Prev_Rank[FMS ID],Prev_Rank[Prev Rank])</f>
        <v>505</v>
      </c>
      <c r="BQ584" s="204" t="e">
        <f>_xlfn.XLOOKUP(FMS_Ranking4[[#This Row],[FMS ID]],#REF!,#REF!)</f>
        <v>#REF!</v>
      </c>
      <c r="BR584" s="199" t="e">
        <f>SUM(#REF!,#REF!,#REF!,#REF!,#REF!,#REF!,#REF!,#REF!,#REF!,FMS_Ranking4[[#This Row],[ArcSinh Res struct removed 0-10]],#REF!)</f>
        <v>#REF!</v>
      </c>
      <c r="BS584" s="199" t="e">
        <f>FMS_Ranking4[[#This Row],[Log Score Based on Normalized Reported Factors]]+FMS_Ranking4[[#This Row],[% NBS Score (Normalized)]]+(FMS_Ranking4[[#This Row],[Water Supply Score (Normalized)]]*10*$BB$5)+(FMS_Ranking4[[#This Row],[FMS_Type Score Weighted]])</f>
        <v>#REF!</v>
      </c>
      <c r="BT584" s="200" t="e">
        <f>_xlfn.RANK.EQ(FMS_Ranking4[[#This Row],[Log Total Score]],FMS_Ranking4[Log Total Score],0)</f>
        <v>#REF!</v>
      </c>
      <c r="BU584" s="200" t="e">
        <f>_xlfn.XLOOKUP(FMS_Ranking4[[#This Row],[FMS ID]],#REF!,#REF!)</f>
        <v>#REF!</v>
      </c>
      <c r="BV584" s="200">
        <f>FMS_Ranking4[[#This Row],[Region Number]]</f>
        <v>3</v>
      </c>
      <c r="BW584" s="200">
        <f>FMS_Ranking4[[#This Row],[Rank (with ArcSinh normalization of select criteria)]]-FMS_Ranking4[[#This Row],[Rank
(with linear
normalization)]]</f>
        <v>333</v>
      </c>
      <c r="BX584" s="200" t="e">
        <f>FMS_Ranking4[[#This Row],[Log Rank]]-FMS_Ranking4[[#This Row],[Rank
(with linear
normalization)]]</f>
        <v>#REF!</v>
      </c>
      <c r="BY584" s="200">
        <f>IF(FMS_Ranking4[[#This Row],[FMS Type]]="Flood Measurement and Warning",FMS_Ranking4[[#This Row],[Rank (with ArcSinh normalization of select criteria)]],"")</f>
        <v>577</v>
      </c>
      <c r="BZ584" s="200" t="str">
        <f>IF(FMS_Ranking4[[#This Row],[FMS Type]]="Regulatory and Guidance",FMS_Ranking4[[#This Row],[Rank (with ArcSinh normalization of select criteria)]],"")</f>
        <v/>
      </c>
      <c r="CA584" s="200" t="str">
        <f>IF(FMS_Ranking4[[#This Row],[FMS Type]]="Education and Outreach",FMS_Ranking4[[#This Row],[Rank (with ArcSinh normalization of select criteria)]],"")</f>
        <v/>
      </c>
      <c r="CB584" s="200" t="str">
        <f>IF(FMS_Ranking4[[#This Row],[FMS Type]]="Property Acquisition and Structural Elevation",FMS_Ranking4[[#This Row],[Rank (with ArcSinh normalization of select criteria)]],"")</f>
        <v/>
      </c>
      <c r="CC584" s="200" t="str">
        <f>IF(FMS_Ranking4[[#This Row],[FMS Type]]="Infrastructure Projects",FMS_Ranking4[[#This Row],[Rank (with ArcSinh normalization of select criteria)]],"")</f>
        <v/>
      </c>
      <c r="CD584" s="200" t="str">
        <f>IF(FMS_Ranking4[[#This Row],[FMS Type]]="Other",FMS_Ranking4[[#This Row],[Rank (with ArcSinh normalization of select criteria)]],"")</f>
        <v/>
      </c>
      <c r="CE584" s="201"/>
      <c r="CF584" s="206"/>
      <c r="CG584" s="206"/>
      <c r="CH584" s="206"/>
      <c r="CI584" s="206"/>
      <c r="CJ584" s="206"/>
      <c r="CK584" s="206"/>
      <c r="CL584" s="206"/>
      <c r="CM584" s="206"/>
      <c r="CN584" s="206"/>
      <c r="CO584" s="206"/>
      <c r="CP584" s="206"/>
      <c r="CQ584" s="206"/>
      <c r="CR584" s="206"/>
    </row>
    <row r="585" spans="2:96" ht="45" x14ac:dyDescent="0.25">
      <c r="B585" s="341" t="s">
        <v>2895</v>
      </c>
      <c r="C585" s="246">
        <f>_xlfn.XLOOKUP(FMS_Ranking4[[#This Row],[FMS ID]],FMS_Input[FMS_ID],FMS_Input[RFPG_NUM])</f>
        <v>5</v>
      </c>
      <c r="D585" s="309" t="str">
        <f>_xlfn.XLOOKUP(FMS_Ranking4[[#This Row],[FMS ID]],FMS_Input[FMS_ID],FMS_Input[FMS_NAME])</f>
        <v>City of Lumberton Culverts, Ditches, and Channels</v>
      </c>
      <c r="E585" s="308" t="str">
        <f>_xlfn.XLOOKUP(FMS_Ranking4[[#This Row],[FMS ID]],FMS_Input[FMS_ID],FMS_Input[SPONSOR])</f>
        <v>05002488</v>
      </c>
      <c r="F585" s="309" t="str">
        <f>_xlfn.XLOOKUP(FMS_Ranking4[[#This Row],[FMS ID]],Sponsor[FMS_ID],Sponsor[SPONSOR NAME])</f>
        <v>Lumberton</v>
      </c>
      <c r="G585" s="309" t="str">
        <f>_xlfn.XLOOKUP(FMS_Ranking4[[#This Row],[FMS ID]],FMS_Input[FMS_ID],FMS_Input[FMS_DESCR])</f>
        <v>Develop plan to increase drainage capacity in sites that are prone to flooding.</v>
      </c>
      <c r="H585" s="248" t="str">
        <f>_xlfn.XLOOKUP(FMS_Ranking4[[#This Row],[FMS ID]],FMS_Input[FMS_ID],FMS_Input[FMS_TYPE])</f>
        <v>Infrastructure Projects</v>
      </c>
      <c r="I585" s="249">
        <f>_xlfn.XLOOKUP(FMS_Ranking4[[#This Row],[FMS ID]],FMS_Input[FMS_ID],FMS_Input[NRNC_COST])</f>
        <v>100000</v>
      </c>
      <c r="J585" s="250">
        <f>_xlfn.XLOOKUP(FMS_Ranking4[[#This Row],[FMS ID]],FMS_Input[FMS_ID],FMS_Input[FMS_COST])</f>
        <v>3000000</v>
      </c>
      <c r="K585" s="251" t="str">
        <f>_xlfn.XLOOKUP(FMS_Ranking4[[#This Row],[FMS ID]],FMS_Input[FMS_ID],FMS_Input[EMER_NEED])</f>
        <v>Yes</v>
      </c>
      <c r="L585" s="252">
        <f t="shared" si="9"/>
        <v>1</v>
      </c>
      <c r="M585" s="253">
        <f>_xlfn.XLOOKUP(FMS_Ranking4[[#This Row],[FMS ID]],FMS_Input[FMS_ID],FMS_Input[STRUCT_100])</f>
        <v>235</v>
      </c>
      <c r="N585" s="255">
        <f>(ASINH(FMS_Ranking4[[#This Row],[Structure at Risk Raw]]))*(10)/(ASINH(M$4))</f>
        <v>4.8369675590782411</v>
      </c>
      <c r="O585" s="256">
        <f>FMS_Ranking4[[#This Row],[Structures at risk, ArcSinh (0-10)]]*M$5*10</f>
        <v>4.8369675590782411</v>
      </c>
      <c r="P585" s="253">
        <f>_xlfn.XLOOKUP(FMS_Ranking4[[#This Row],[FMS ID]],FMS_Input[FMS_ID],FMS_Input[RES_STRUCT100])</f>
        <v>210</v>
      </c>
      <c r="Q585" s="257">
        <f>ASINH(FMS_Ranking4[[#This Row],[Res Structure Raw]])/Q$4*P$5*100</f>
        <v>0</v>
      </c>
      <c r="R585" s="253">
        <f>_xlfn.XLOOKUP(FMS_Ranking4[[#This Row],[FMS ID]],FMS_Input[FMS_ID],FMS_Input[POP100])</f>
        <v>658</v>
      </c>
      <c r="S585" s="259">
        <f>(ASINH(FMS_Ranking4[[#This Row],[Pop at Risk Raw]]))*(10)/(ASINH(R$4))</f>
        <v>4.9583962031387143</v>
      </c>
      <c r="T585" s="256">
        <f>FMS_Ranking4[[#This Row],[Population at risk, ArcSinh (0-10)]]*R$5*10</f>
        <v>4.9583962031387143</v>
      </c>
      <c r="U585" s="253">
        <f>_xlfn.XLOOKUP(FMS_Ranking4[[#This Row],[FMS ID]],FMS_Input[FMS_ID],FMS_Input[CRITFAC100])</f>
        <v>0</v>
      </c>
      <c r="V585" s="259">
        <f>(ASINH(FMS_Ranking4[[#This Row],[Critical Facilities Raw]]))*(10)/(ASINH(U$4))</f>
        <v>0</v>
      </c>
      <c r="W585" s="256">
        <f>FMS_Ranking4[[#This Row],[Critical facilities at risk, ArcSinh (0-10)]]*U$5*10</f>
        <v>0</v>
      </c>
      <c r="X585" s="253">
        <f>_xlfn.XLOOKUP(FMS_Ranking4[[#This Row],[FMS ID]],FMS_Input[FMS_ID],FMS_Input[LWC])</f>
        <v>1</v>
      </c>
      <c r="Y585" s="259">
        <f>(ASINH(FMS_Ranking4[[#This Row],[LWC Raw]]))*(10)/(ASINH(X$4))</f>
        <v>1.1940300948531093</v>
      </c>
      <c r="Z585" s="256">
        <f>FMS_Ranking4[[#This Row],[LWC, ArcSInh (0-10)]]*X$5*10</f>
        <v>1.1940300948531093</v>
      </c>
      <c r="AA585" s="253">
        <f>_xlfn.XLOOKUP(FMS_Ranking4[[#This Row],[FMS ID]],FMS_Input[FMS_ID],FMS_Input[ROADCLS])</f>
        <v>1</v>
      </c>
      <c r="AB585" s="255">
        <f>(ASINH(FMS_Ranking4[[#This Row],[Road Closures Raw]]))*(10)/(ASINH(AA$4))</f>
        <v>0.91786969566638699</v>
      </c>
      <c r="AC585" s="256">
        <f>FMS_Ranking4[[#This Row],[Road closures, ArcSinh (0-10)]]*AA$5*10</f>
        <v>0.45893484783319349</v>
      </c>
      <c r="AD585" s="253">
        <f>_xlfn.XLOOKUP(FMS_Ranking4[[#This Row],[FMS ID]],FMS_Input[FMS_ID],FMS_Input[ROAD_MILES100])</f>
        <v>4</v>
      </c>
      <c r="AE585" s="259">
        <f>(ASINH(FMS_Ranking4[[#This Row],[Road Miles Raw]]))*(10)/(ASINH(AD$4))</f>
        <v>2.2323872691766113</v>
      </c>
      <c r="AF585" s="256">
        <f>FMS_Ranking4[[#This Row],[Length of roads at risk, ArcSinh (0-10)]]*AD$5*10</f>
        <v>2.2323872691766113</v>
      </c>
      <c r="AG585" s="253">
        <f>_xlfn.XLOOKUP(FMS_Ranking4[[#This Row],[FMS ID]],FMS_Input[FMS_ID],FMS_Input[FARMACRE100])</f>
        <v>22.859420776367191</v>
      </c>
      <c r="AH585" s="255">
        <f>(ASINH(FMS_Ranking4[[#This Row],[Ag Land Raw]]))*(10)/(ASINH(AG$4))</f>
        <v>2.4833425376974638</v>
      </c>
      <c r="AI585" s="260">
        <f>FMS_Ranking4[[#This Row],[Farm &amp; ranch land, ArcSinh (0-10)]]*AG$5*10</f>
        <v>1.2416712688487319</v>
      </c>
      <c r="AJ585" s="258">
        <f>_xlfn.XLOOKUP(FMS_Ranking4[[#This Row],[FMS ID]],FMS_Input[FMS_ID],FMS_Input[REDSTRUCT100])</f>
        <v>0</v>
      </c>
      <c r="AK585" s="253">
        <f>_xlfn.XLOOKUP(FMS_Ranking4[[#This Row],[FMS ID]],FMS_Input[FMS_ID],FMS_Input[REMSTRC100])</f>
        <v>0</v>
      </c>
      <c r="AL585" s="259">
        <f>(ASINH(FMS_Ranking4[[#This Row],[Structures Removed Raw]]))*(10)/(ASINH(AK$4))</f>
        <v>0</v>
      </c>
      <c r="AM585" s="262">
        <f>FMS_Ranking4[[#This Row],[Structures removed, ArcSinh (0-10)]]*AK$5*10</f>
        <v>0</v>
      </c>
      <c r="AN585" s="253">
        <f>_xlfn.XLOOKUP(FMS_Ranking4[[#This Row],[FMS ID]],FMS_Input[FMS_ID],FMS_Input[REMRESSTRC100])</f>
        <v>0</v>
      </c>
      <c r="AO585" s="261">
        <f>FMS_Ranking4[[#This Row],[ArcSinh Res struct removed 0-10]]*AN$5*10</f>
        <v>0</v>
      </c>
      <c r="AP585" s="260">
        <f>ASINH(FMS_Ranking4[[#This Row],[Residential Structures Removed Raw]])/AP$4*AN$5*100</f>
        <v>0</v>
      </c>
      <c r="AQ585" s="254">
        <f>(ASINH(FMS_Ranking4[[#This Row],[Residential Structures Removed Raw]]))*(10)/(ASINH(AN$4))</f>
        <v>0</v>
      </c>
      <c r="AR585" s="253">
        <f>_xlfn.XLOOKUP(FMS_Ranking4[[#This Row],[FMS ID]],FMS_Input[FMS_ID],FMS_Input[REMPOP100])</f>
        <v>0</v>
      </c>
      <c r="AS585" s="259">
        <f>(ASINH(FMS_Ranking4[[#This Row],[Removed Pop Raw]]))*(10)/(ASINH(AR$4))</f>
        <v>0</v>
      </c>
      <c r="AT585" s="262">
        <f>FMS_Ranking4[[#This Row],[Removed population, ArcSinh (0-10)]]*AR$5*10</f>
        <v>0</v>
      </c>
      <c r="AU585" s="264">
        <f>_xlfn.XLOOKUP(FMS_Ranking4[[#This Row],[FMS ID]],FMS_Input[FMS_ID],FMS_Input[REMCRITFAC100])</f>
        <v>0</v>
      </c>
      <c r="AV585" s="264">
        <f>_xlfn.XLOOKUP(FMS_Ranking4[[#This Row],[FMS ID]],FMS_Input[FMS_ID],FMS_Input[REMLWC100])</f>
        <v>0</v>
      </c>
      <c r="AW585" s="264">
        <f>_xlfn.XLOOKUP(FMS_Ranking4[[#This Row],[FMS ID]],FMS_Input[FMS_ID],FMS_Input[REMROADCLS])</f>
        <v>0</v>
      </c>
      <c r="AX585" s="264">
        <f>_xlfn.XLOOKUP(FMS_Ranking4[[#This Row],[FMS ID]],FMS_Input[FMS_ID],FMS_Input[REMFRMACRE100])</f>
        <v>0</v>
      </c>
      <c r="AY585" s="258">
        <f>_xlfn.XLOOKUP(FMS_Ranking4[[#This Row],[FMS ID]],FMS_Input[FMS_ID],FMS_Input[COSTSTRUCT])</f>
        <v>0</v>
      </c>
      <c r="AZ585" s="253">
        <f>_xlfn.XLOOKUP(FMS_Ranking4[[#This Row],[FMS ID]],FMS_Input[FMS_ID],FMS_Input[NATURE])</f>
        <v>0</v>
      </c>
      <c r="BA585" s="262">
        <f>(((FMS_Ranking4[[#This Row],[% NBS Raw]]/AZ$4)*100)*AZ$5)</f>
        <v>0</v>
      </c>
      <c r="BB585" s="251" t="str">
        <f>_xlfn.XLOOKUP(FMS_Ranking4[[#This Row],[FMS ID]],FMS_Input[FMS_ID],FMS_Input[WATER_SUP])</f>
        <v>No</v>
      </c>
      <c r="BC585" s="265">
        <f>IF(FMS_Ranking4[[#This Row],[Water Supply Raw]]="Yes",10,0)</f>
        <v>0</v>
      </c>
      <c r="BD585" s="266">
        <f>_xlfn.XLOOKUP(FMS_Ranking4[[#This Row],[FMS Type]],FMS_TYPE[FMS_Type],FMS_TYPE[Score])</f>
        <v>4</v>
      </c>
      <c r="BE585" s="267">
        <f>FMS_Ranking4[[#This Row],[FMS_Type Score]]*$BD$5*10</f>
        <v>1</v>
      </c>
      <c r="BF58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4.0694539387052635E-2</v>
      </c>
      <c r="BG585" s="271">
        <f>_xlfn.RANK.EQ(BF585,$BF$8:$BF$870,0)+COUNTIF($BF$8:BF585,BF585)-1</f>
        <v>579</v>
      </c>
      <c r="BH585" s="268">
        <f>(((FMS_Ranking4[[#This Row],[Structures Removed Raw]]/AK$4)*100)*AK$5)+(((FMS_Ranking4[[#This Row],[Removed Pop Raw]]/AR$4)*100)*AR$5)</f>
        <v>0</v>
      </c>
      <c r="BI58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1.0406945393870526</v>
      </c>
      <c r="BJ585" s="205">
        <f>_xlfn.RANK.EQ(FMS_Ranking4[[#This Row],[Total Score 
(with linear
normalization)]],FMS_Ranking4[Total Score 
(with linear
normalization)],0)</f>
        <v>700</v>
      </c>
      <c r="BK585" s="205" t="e">
        <f>_xlfn.XLOOKUP(FMS_Ranking4[[#This Row],[FMS ID]],#REF!,#REF!)</f>
        <v>#REF!</v>
      </c>
      <c r="BL58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14.9223872429286</v>
      </c>
      <c r="BM585" s="272">
        <f>FMS_Ranking4[[#This Row],[ArcSinh Score Based on Normalized Reported Factors]]+FMS_Ranking4[[#This Row],[% NBS Score (Normalized)]]+(FMS_Ranking4[[#This Row],[Water Supply Score (Normalized)]]*10*$BB$5)+FMS_Ranking4[[#This Row],[FMS_Type Score Weighted]]</f>
        <v>15.9223872429286</v>
      </c>
      <c r="BN585" s="205">
        <f>_xlfn.RANK.EQ(FMS_Ranking4[[#This Row],[Total Score (with ArcSinh normalization of select criteria)]],FMS_Ranking4[Total Score (with ArcSinh normalization of select criteria)],0)</f>
        <v>578</v>
      </c>
      <c r="BO585" s="270" t="str">
        <f>_xlfn.XLOOKUP(FMS_Ranking4[[#This Row],[FMS ID]],FMS_Input[FMS_ID],FMS_Input[FMS_RANK_YEAR])</f>
        <v>2023 Amended Plan</v>
      </c>
      <c r="BP585" s="204">
        <f>_xlfn.XLOOKUP(FMS_Ranking4[[#This Row],[FMS ID]],Prev_Rank[FMS ID],Prev_Rank[Prev Rank])</f>
        <v>509</v>
      </c>
      <c r="BQ585" s="205" t="e">
        <f>_xlfn.XLOOKUP(FMS_Ranking4[[#This Row],[FMS ID]],#REF!,#REF!)</f>
        <v>#REF!</v>
      </c>
      <c r="BR585" s="199" t="e">
        <f>SUM(#REF!,#REF!,#REF!,#REF!,#REF!,#REF!,#REF!,#REF!,#REF!,FMS_Ranking4[[#This Row],[ArcSinh Res struct removed 0-10]],#REF!)</f>
        <v>#REF!</v>
      </c>
      <c r="BS585" s="199" t="e">
        <f>FMS_Ranking4[[#This Row],[Log Score Based on Normalized Reported Factors]]+FMS_Ranking4[[#This Row],[% NBS Score (Normalized)]]+(FMS_Ranking4[[#This Row],[Water Supply Score (Normalized)]]*10*$BB$5)+(FMS_Ranking4[[#This Row],[FMS_Type Score Weighted]])</f>
        <v>#REF!</v>
      </c>
      <c r="BT585" s="200" t="e">
        <f>_xlfn.RANK.EQ(FMS_Ranking4[[#This Row],[Log Total Score]],FMS_Ranking4[Log Total Score],0)</f>
        <v>#REF!</v>
      </c>
      <c r="BU585" s="200" t="e">
        <f>_xlfn.XLOOKUP(FMS_Ranking4[[#This Row],[FMS ID]],#REF!,#REF!)</f>
        <v>#REF!</v>
      </c>
      <c r="BV585" s="200">
        <f>FMS_Ranking4[[#This Row],[Region Number]]</f>
        <v>5</v>
      </c>
      <c r="BW585" s="200">
        <f>FMS_Ranking4[[#This Row],[Rank (with ArcSinh normalization of select criteria)]]-FMS_Ranking4[[#This Row],[Rank
(with linear
normalization)]]</f>
        <v>-122</v>
      </c>
      <c r="BX585" s="200" t="e">
        <f>FMS_Ranking4[[#This Row],[Log Rank]]-FMS_Ranking4[[#This Row],[Rank
(with linear
normalization)]]</f>
        <v>#REF!</v>
      </c>
      <c r="BY585" s="200" t="str">
        <f>IF(FMS_Ranking4[[#This Row],[FMS Type]]="Flood Measurement and Warning",FMS_Ranking4[[#This Row],[Rank (with ArcSinh normalization of select criteria)]],"")</f>
        <v/>
      </c>
      <c r="BZ585" s="200" t="str">
        <f>IF(FMS_Ranking4[[#This Row],[FMS Type]]="Regulatory and Guidance",FMS_Ranking4[[#This Row],[Rank (with ArcSinh normalization of select criteria)]],"")</f>
        <v/>
      </c>
      <c r="CA585" s="200" t="str">
        <f>IF(FMS_Ranking4[[#This Row],[FMS Type]]="Education and Outreach",FMS_Ranking4[[#This Row],[Rank (with ArcSinh normalization of select criteria)]],"")</f>
        <v/>
      </c>
      <c r="CB585" s="200" t="str">
        <f>IF(FMS_Ranking4[[#This Row],[FMS Type]]="Property Acquisition and Structural Elevation",FMS_Ranking4[[#This Row],[Rank (with ArcSinh normalization of select criteria)]],"")</f>
        <v/>
      </c>
      <c r="CC585" s="200">
        <f>IF(FMS_Ranking4[[#This Row],[FMS Type]]="Infrastructure Projects",FMS_Ranking4[[#This Row],[Rank (with ArcSinh normalization of select criteria)]],"")</f>
        <v>578</v>
      </c>
      <c r="CD585" s="200" t="str">
        <f>IF(FMS_Ranking4[[#This Row],[FMS Type]]="Other",FMS_Ranking4[[#This Row],[Rank (with ArcSinh normalization of select criteria)]],"")</f>
        <v/>
      </c>
      <c r="CE585" s="201"/>
      <c r="CF585" s="206"/>
      <c r="CG585" s="206"/>
      <c r="CH585" s="206"/>
      <c r="CI585" s="206"/>
      <c r="CJ585" s="206"/>
      <c r="CK585" s="206"/>
      <c r="CL585" s="206"/>
      <c r="CM585" s="206"/>
      <c r="CN585" s="206"/>
      <c r="CO585" s="206"/>
      <c r="CP585" s="206"/>
      <c r="CQ585" s="206"/>
      <c r="CR585" s="206"/>
    </row>
    <row r="586" spans="2:96" ht="90" x14ac:dyDescent="0.25">
      <c r="B586" s="341" t="s">
        <v>2263</v>
      </c>
      <c r="C586" s="246">
        <f>_xlfn.XLOOKUP(FMS_Ranking4[[#This Row],[FMS ID]],FMS_Input[FMS_ID],FMS_Input[RFPG_NUM])</f>
        <v>3</v>
      </c>
      <c r="D586" s="309" t="str">
        <f>_xlfn.XLOOKUP(FMS_Ranking4[[#This Row],[FMS ID]],FMS_Input[FMS_ID],FMS_Input[FMS_NAME])</f>
        <v>Montague County Flood Education</v>
      </c>
      <c r="E586" s="308" t="str">
        <f>_xlfn.XLOOKUP(FMS_Ranking4[[#This Row],[FMS ID]],FMS_Input[FMS_ID],FMS_Input[SPONSOR])</f>
        <v>Montague County</v>
      </c>
      <c r="F586" s="309" t="str">
        <f>_xlfn.XLOOKUP(FMS_Ranking4[[#This Row],[FMS ID]],Sponsor[FMS_ID],Sponsor[SPONSOR NAME])</f>
        <v>Montague County</v>
      </c>
      <c r="G586" s="309" t="str">
        <f>_xlfn.XLOOKUP(FMS_Ranking4[[#This Row],[FMS ID]],FMS_Input[FMS_ID],FMS_Input[FMS_DESCR])</f>
        <v>Implement a flood awareness program by providing FEMA / NFIP materials to mortgage lenders, real estate agents and insurance agents and place them in local libraries.</v>
      </c>
      <c r="H586" s="248" t="str">
        <f>_xlfn.XLOOKUP(FMS_Ranking4[[#This Row],[FMS ID]],FMS_Input[FMS_ID],FMS_Input[FMS_TYPE])</f>
        <v>Education and Outreach</v>
      </c>
      <c r="I586" s="249">
        <f>_xlfn.XLOOKUP(FMS_Ranking4[[#This Row],[FMS ID]],FMS_Input[FMS_ID],FMS_Input[NRNC_COST])</f>
        <v>50000</v>
      </c>
      <c r="J586" s="250">
        <f>_xlfn.XLOOKUP(FMS_Ranking4[[#This Row],[FMS ID]],FMS_Input[FMS_ID],FMS_Input[FMS_COST])</f>
        <v>50000</v>
      </c>
      <c r="K586" s="251" t="str">
        <f>_xlfn.XLOOKUP(FMS_Ranking4[[#This Row],[FMS ID]],FMS_Input[FMS_ID],FMS_Input[EMER_NEED])</f>
        <v>No</v>
      </c>
      <c r="L586" s="252">
        <f t="shared" si="9"/>
        <v>0</v>
      </c>
      <c r="M586" s="253">
        <f>_xlfn.XLOOKUP(FMS_Ranking4[[#This Row],[FMS ID]],FMS_Input[FMS_ID],FMS_Input[STRUCT_100])</f>
        <v>0</v>
      </c>
      <c r="N586" s="255">
        <f>(ASINH(FMS_Ranking4[[#This Row],[Structure at Risk Raw]]))*(10)/(ASINH(M$4))</f>
        <v>0</v>
      </c>
      <c r="O586" s="256">
        <f>FMS_Ranking4[[#This Row],[Structures at risk, ArcSinh (0-10)]]*M$5*10</f>
        <v>0</v>
      </c>
      <c r="P586" s="253">
        <f>_xlfn.XLOOKUP(FMS_Ranking4[[#This Row],[FMS ID]],FMS_Input[FMS_ID],FMS_Input[RES_STRUCT100])</f>
        <v>0</v>
      </c>
      <c r="Q586" s="257">
        <f>ASINH(FMS_Ranking4[[#This Row],[Res Structure Raw]])/Q$4*P$5*100</f>
        <v>0</v>
      </c>
      <c r="R586" s="253">
        <f>_xlfn.XLOOKUP(FMS_Ranking4[[#This Row],[FMS ID]],FMS_Input[FMS_ID],FMS_Input[POP100])</f>
        <v>0</v>
      </c>
      <c r="S586" s="259">
        <f>(ASINH(FMS_Ranking4[[#This Row],[Pop at Risk Raw]]))*(10)/(ASINH(R$4))</f>
        <v>0</v>
      </c>
      <c r="T586" s="256">
        <f>FMS_Ranking4[[#This Row],[Population at risk, ArcSinh (0-10)]]*R$5*10</f>
        <v>0</v>
      </c>
      <c r="U586" s="253">
        <f>_xlfn.XLOOKUP(FMS_Ranking4[[#This Row],[FMS ID]],FMS_Input[FMS_ID],FMS_Input[CRITFAC100])</f>
        <v>18</v>
      </c>
      <c r="V586" s="259">
        <f>(ASINH(FMS_Ranking4[[#This Row],[Critical Facilities Raw]]))*(10)/(ASINH(U$4))</f>
        <v>4.2429535527087694</v>
      </c>
      <c r="W586" s="256">
        <f>FMS_Ranking4[[#This Row],[Critical facilities at risk, ArcSinh (0-10)]]*U$5*10</f>
        <v>4.2429535527087694</v>
      </c>
      <c r="X586" s="253">
        <f>_xlfn.XLOOKUP(FMS_Ranking4[[#This Row],[FMS ID]],FMS_Input[FMS_ID],FMS_Input[LWC])</f>
        <v>22</v>
      </c>
      <c r="Y586" s="259">
        <f>(ASINH(FMS_Ranking4[[#This Row],[LWC Raw]]))*(10)/(ASINH(X$4))</f>
        <v>5.1272838758265653</v>
      </c>
      <c r="Z586" s="256">
        <f>FMS_Ranking4[[#This Row],[LWC, ArcSInh (0-10)]]*X$5*10</f>
        <v>5.1272838758265662</v>
      </c>
      <c r="AA586" s="253">
        <f>_xlfn.XLOOKUP(FMS_Ranking4[[#This Row],[FMS ID]],FMS_Input[FMS_ID],FMS_Input[ROADCLS])</f>
        <v>0</v>
      </c>
      <c r="AB586" s="255">
        <f>(ASINH(FMS_Ranking4[[#This Row],[Road Closures Raw]]))*(10)/(ASINH(AA$4))</f>
        <v>0</v>
      </c>
      <c r="AC586" s="256">
        <f>FMS_Ranking4[[#This Row],[Road closures, ArcSinh (0-10)]]*AA$5*10</f>
        <v>0</v>
      </c>
      <c r="AD586" s="253">
        <f>_xlfn.XLOOKUP(FMS_Ranking4[[#This Row],[FMS ID]],FMS_Input[FMS_ID],FMS_Input[ROAD_MILES100])</f>
        <v>57</v>
      </c>
      <c r="AE586" s="259">
        <f>(ASINH(FMS_Ranking4[[#This Row],[Road Miles Raw]]))*(10)/(ASINH(AD$4))</f>
        <v>5.0475664975813634</v>
      </c>
      <c r="AF586" s="256">
        <f>FMS_Ranking4[[#This Row],[Length of roads at risk, ArcSinh (0-10)]]*AD$5*10</f>
        <v>5.0475664975813643</v>
      </c>
      <c r="AG586" s="253">
        <f>_xlfn.XLOOKUP(FMS_Ranking4[[#This Row],[FMS ID]],FMS_Input[FMS_ID],FMS_Input[FARMACRE100])</f>
        <v>0</v>
      </c>
      <c r="AH586" s="255">
        <f>(ASINH(FMS_Ranking4[[#This Row],[Ag Land Raw]]))*(10)/(ASINH(AG$4))</f>
        <v>0</v>
      </c>
      <c r="AI586" s="260">
        <f>FMS_Ranking4[[#This Row],[Farm &amp; ranch land, ArcSinh (0-10)]]*AG$5*10</f>
        <v>0</v>
      </c>
      <c r="AJ586" s="258">
        <f>_xlfn.XLOOKUP(FMS_Ranking4[[#This Row],[FMS ID]],FMS_Input[FMS_ID],FMS_Input[REDSTRUCT100])</f>
        <v>0</v>
      </c>
      <c r="AK586" s="253">
        <f>_xlfn.XLOOKUP(FMS_Ranking4[[#This Row],[FMS ID]],FMS_Input[FMS_ID],FMS_Input[REMSTRC100])</f>
        <v>0</v>
      </c>
      <c r="AL586" s="259">
        <f>(ASINH(FMS_Ranking4[[#This Row],[Structures Removed Raw]]))*(10)/(ASINH(AK$4))</f>
        <v>0</v>
      </c>
      <c r="AM586" s="262">
        <f>FMS_Ranking4[[#This Row],[Structures removed, ArcSinh (0-10)]]*AK$5*10</f>
        <v>0</v>
      </c>
      <c r="AN586" s="253">
        <f>_xlfn.XLOOKUP(FMS_Ranking4[[#This Row],[FMS ID]],FMS_Input[FMS_ID],FMS_Input[REMRESSTRC100])</f>
        <v>0</v>
      </c>
      <c r="AO586" s="261">
        <f>FMS_Ranking4[[#This Row],[ArcSinh Res struct removed 0-10]]*AN$5*10</f>
        <v>0</v>
      </c>
      <c r="AP586" s="260">
        <f>ASINH(FMS_Ranking4[[#This Row],[Residential Structures Removed Raw]])/AP$4*AN$5*100</f>
        <v>0</v>
      </c>
      <c r="AQ586" s="254">
        <f>(ASINH(FMS_Ranking4[[#This Row],[Residential Structures Removed Raw]]))*(10)/(ASINH(AN$4))</f>
        <v>0</v>
      </c>
      <c r="AR586" s="253">
        <f>_xlfn.XLOOKUP(FMS_Ranking4[[#This Row],[FMS ID]],FMS_Input[FMS_ID],FMS_Input[REMPOP100])</f>
        <v>0</v>
      </c>
      <c r="AS586" s="259">
        <f>(ASINH(FMS_Ranking4[[#This Row],[Removed Pop Raw]]))*(10)/(ASINH(AR$4))</f>
        <v>0</v>
      </c>
      <c r="AT586" s="262">
        <f>FMS_Ranking4[[#This Row],[Removed population, ArcSinh (0-10)]]*AR$5*10</f>
        <v>0</v>
      </c>
      <c r="AU586" s="264">
        <f>_xlfn.XLOOKUP(FMS_Ranking4[[#This Row],[FMS ID]],FMS_Input[FMS_ID],FMS_Input[REMCRITFAC100])</f>
        <v>0</v>
      </c>
      <c r="AV586" s="264">
        <f>_xlfn.XLOOKUP(FMS_Ranking4[[#This Row],[FMS ID]],FMS_Input[FMS_ID],FMS_Input[REMLWC100])</f>
        <v>0</v>
      </c>
      <c r="AW586" s="264">
        <f>_xlfn.XLOOKUP(FMS_Ranking4[[#This Row],[FMS ID]],FMS_Input[FMS_ID],FMS_Input[REMROADCLS])</f>
        <v>0</v>
      </c>
      <c r="AX586" s="264">
        <f>_xlfn.XLOOKUP(FMS_Ranking4[[#This Row],[FMS ID]],FMS_Input[FMS_ID],FMS_Input[REMFRMACRE100])</f>
        <v>0</v>
      </c>
      <c r="AY586" s="258">
        <f>_xlfn.XLOOKUP(FMS_Ranking4[[#This Row],[FMS ID]],FMS_Input[FMS_ID],FMS_Input[COSTSTRUCT])</f>
        <v>0</v>
      </c>
      <c r="AZ586" s="253">
        <f>_xlfn.XLOOKUP(FMS_Ranking4[[#This Row],[FMS ID]],FMS_Input[FMS_ID],FMS_Input[NATURE])</f>
        <v>0</v>
      </c>
      <c r="BA586" s="262">
        <f>(((FMS_Ranking4[[#This Row],[% NBS Raw]]/AZ$4)*100)*AZ$5)</f>
        <v>0</v>
      </c>
      <c r="BB586" s="251" t="str">
        <f>_xlfn.XLOOKUP(FMS_Ranking4[[#This Row],[FMS ID]],FMS_Input[FMS_ID],FMS_Input[WATER_SUP])</f>
        <v>No</v>
      </c>
      <c r="BC586" s="265">
        <f>IF(FMS_Ranking4[[#This Row],[Water Supply Raw]]="Yes",10,0)</f>
        <v>0</v>
      </c>
      <c r="BD586" s="266">
        <f>_xlfn.XLOOKUP(FMS_Ranking4[[#This Row],[FMS Type]],FMS_TYPE[FMS_Type],FMS_TYPE[Score])</f>
        <v>6</v>
      </c>
      <c r="BE586" s="267">
        <f>FMS_Ranking4[[#This Row],[FMS_Type Score]]*$BD$5*10</f>
        <v>1.5000000000000002</v>
      </c>
      <c r="BF58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0.44705458690756816</v>
      </c>
      <c r="BG586" s="271">
        <f>_xlfn.RANK.EQ(BF586,$BF$8:$BF$870,0)+COUNTIF($BF$8:BF586,BF586)-1</f>
        <v>242</v>
      </c>
      <c r="BH586" s="268">
        <f>(((FMS_Ranking4[[#This Row],[Structures Removed Raw]]/AK$4)*100)*AK$5)+(((FMS_Ranking4[[#This Row],[Removed Pop Raw]]/AR$4)*100)*AR$5)</f>
        <v>0</v>
      </c>
      <c r="BI58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1.9470545869075684</v>
      </c>
      <c r="BJ586" s="205">
        <f>_xlfn.RANK.EQ(FMS_Ranking4[[#This Row],[Total Score 
(with linear
normalization)]],FMS_Ranking4[Total Score 
(with linear
normalization)],0)</f>
        <v>525</v>
      </c>
      <c r="BK586" s="205" t="e">
        <f>_xlfn.XLOOKUP(FMS_Ranking4[[#This Row],[FMS ID]],#REF!,#REF!)</f>
        <v>#REF!</v>
      </c>
      <c r="BL58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14.417803926116701</v>
      </c>
      <c r="BM586" s="272">
        <f>FMS_Ranking4[[#This Row],[ArcSinh Score Based on Normalized Reported Factors]]+FMS_Ranking4[[#This Row],[% NBS Score (Normalized)]]+(FMS_Ranking4[[#This Row],[Water Supply Score (Normalized)]]*10*$BB$5)+FMS_Ranking4[[#This Row],[FMS_Type Score Weighted]]</f>
        <v>15.917803926116701</v>
      </c>
      <c r="BN586" s="205">
        <f>_xlfn.RANK.EQ(FMS_Ranking4[[#This Row],[Total Score (with ArcSinh normalization of select criteria)]],FMS_Ranking4[Total Score (with ArcSinh normalization of select criteria)],0)</f>
        <v>579</v>
      </c>
      <c r="BO586" s="270" t="str">
        <f>_xlfn.XLOOKUP(FMS_Ranking4[[#This Row],[FMS ID]],FMS_Input[FMS_ID],FMS_Input[FMS_RANK_YEAR])</f>
        <v>2023 Amended Plan</v>
      </c>
      <c r="BP586" s="204">
        <f>_xlfn.XLOOKUP(FMS_Ranking4[[#This Row],[FMS ID]],Prev_Rank[FMS ID],Prev_Rank[Prev Rank])</f>
        <v>519</v>
      </c>
      <c r="BQ586" s="205" t="e">
        <f>_xlfn.XLOOKUP(FMS_Ranking4[[#This Row],[FMS ID]],#REF!,#REF!)</f>
        <v>#REF!</v>
      </c>
      <c r="BR586" s="199" t="e">
        <f>SUM(#REF!,#REF!,#REF!,#REF!,#REF!,#REF!,#REF!,#REF!,#REF!,FMS_Ranking4[[#This Row],[ArcSinh Res struct removed 0-10]],#REF!)</f>
        <v>#REF!</v>
      </c>
      <c r="BS586" s="199" t="e">
        <f>FMS_Ranking4[[#This Row],[Log Score Based on Normalized Reported Factors]]+FMS_Ranking4[[#This Row],[% NBS Score (Normalized)]]+(FMS_Ranking4[[#This Row],[Water Supply Score (Normalized)]]*10*$BB$5)+(FMS_Ranking4[[#This Row],[FMS_Type Score Weighted]])</f>
        <v>#REF!</v>
      </c>
      <c r="BT586" s="200" t="e">
        <f>_xlfn.RANK.EQ(FMS_Ranking4[[#This Row],[Log Total Score]],FMS_Ranking4[Log Total Score],0)</f>
        <v>#REF!</v>
      </c>
      <c r="BU586" s="200" t="e">
        <f>_xlfn.XLOOKUP(FMS_Ranking4[[#This Row],[FMS ID]],#REF!,#REF!)</f>
        <v>#REF!</v>
      </c>
      <c r="BV586" s="200">
        <f>FMS_Ranking4[[#This Row],[Region Number]]</f>
        <v>3</v>
      </c>
      <c r="BW586" s="200">
        <f>FMS_Ranking4[[#This Row],[Rank (with ArcSinh normalization of select criteria)]]-FMS_Ranking4[[#This Row],[Rank
(with linear
normalization)]]</f>
        <v>54</v>
      </c>
      <c r="BX586" s="200" t="e">
        <f>FMS_Ranking4[[#This Row],[Log Rank]]-FMS_Ranking4[[#This Row],[Rank
(with linear
normalization)]]</f>
        <v>#REF!</v>
      </c>
      <c r="BY586" s="200" t="str">
        <f>IF(FMS_Ranking4[[#This Row],[FMS Type]]="Flood Measurement and Warning",FMS_Ranking4[[#This Row],[Rank (with ArcSinh normalization of select criteria)]],"")</f>
        <v/>
      </c>
      <c r="BZ586" s="200" t="str">
        <f>IF(FMS_Ranking4[[#This Row],[FMS Type]]="Regulatory and Guidance",FMS_Ranking4[[#This Row],[Rank (with ArcSinh normalization of select criteria)]],"")</f>
        <v/>
      </c>
      <c r="CA586" s="200">
        <f>IF(FMS_Ranking4[[#This Row],[FMS Type]]="Education and Outreach",FMS_Ranking4[[#This Row],[Rank (with ArcSinh normalization of select criteria)]],"")</f>
        <v>579</v>
      </c>
      <c r="CB586" s="200" t="str">
        <f>IF(FMS_Ranking4[[#This Row],[FMS Type]]="Property Acquisition and Structural Elevation",FMS_Ranking4[[#This Row],[Rank (with ArcSinh normalization of select criteria)]],"")</f>
        <v/>
      </c>
      <c r="CC586" s="200" t="str">
        <f>IF(FMS_Ranking4[[#This Row],[FMS Type]]="Infrastructure Projects",FMS_Ranking4[[#This Row],[Rank (with ArcSinh normalization of select criteria)]],"")</f>
        <v/>
      </c>
      <c r="CD586" s="200" t="str">
        <f>IF(FMS_Ranking4[[#This Row],[FMS Type]]="Other",FMS_Ranking4[[#This Row],[Rank (with ArcSinh normalization of select criteria)]],"")</f>
        <v/>
      </c>
      <c r="CE586" s="201"/>
      <c r="CF586" s="206"/>
      <c r="CG586" s="206"/>
      <c r="CH586" s="206"/>
      <c r="CI586" s="206"/>
      <c r="CJ586" s="206"/>
      <c r="CK586" s="206"/>
      <c r="CL586" s="206"/>
      <c r="CM586" s="206"/>
      <c r="CN586" s="206"/>
      <c r="CO586" s="206"/>
      <c r="CP586" s="206"/>
      <c r="CQ586" s="206"/>
      <c r="CR586" s="206"/>
    </row>
    <row r="587" spans="2:96" ht="60" x14ac:dyDescent="0.25">
      <c r="B587" s="341" t="s">
        <v>116</v>
      </c>
      <c r="C587" s="246">
        <f>_xlfn.XLOOKUP(FMS_Ranking4[[#This Row],[FMS ID]],FMS_Input[FMS_ID],FMS_Input[RFPG_NUM])</f>
        <v>6</v>
      </c>
      <c r="D587" s="309" t="str">
        <f>_xlfn.XLOOKUP(FMS_Ranking4[[#This Row],[FMS ID]],FMS_Input[FMS_ID],FMS_Input[FMS_NAME])</f>
        <v>Property Acquisition Down-Stream of High Hazard Dams in Grimes County</v>
      </c>
      <c r="E587" s="308" t="str">
        <f>_xlfn.XLOOKUP(FMS_Ranking4[[#This Row],[FMS ID]],FMS_Input[FMS_ID],FMS_Input[SPONSOR])</f>
        <v>00000044</v>
      </c>
      <c r="F587" s="309" t="str">
        <f>_xlfn.XLOOKUP(FMS_Ranking4[[#This Row],[FMS ID]],Sponsor[FMS_ID],Sponsor[SPONSOR NAME])</f>
        <v>Grimes</v>
      </c>
      <c r="G587" s="309" t="str">
        <f>_xlfn.XLOOKUP(FMS_Ranking4[[#This Row],[FMS ID]],FMS_Input[FMS_ID],FMS_Input[FMS_DESCR])</f>
        <v>Acquire homes located down-stream of high hazard dams.</v>
      </c>
      <c r="H587" s="248" t="str">
        <f>_xlfn.XLOOKUP(FMS_Ranking4[[#This Row],[FMS ID]],FMS_Input[FMS_ID],FMS_Input[FMS_TYPE])</f>
        <v>Property Acquisition and Structural Elevation</v>
      </c>
      <c r="I587" s="249">
        <f>_xlfn.XLOOKUP(FMS_Ranking4[[#This Row],[FMS ID]],FMS_Input[FMS_ID],FMS_Input[NRNC_COST])</f>
        <v>100000</v>
      </c>
      <c r="J587" s="250">
        <f>_xlfn.XLOOKUP(FMS_Ranking4[[#This Row],[FMS ID]],FMS_Input[FMS_ID],FMS_Input[FMS_COST])</f>
        <v>1000000</v>
      </c>
      <c r="K587" s="251" t="str">
        <f>_xlfn.XLOOKUP(FMS_Ranking4[[#This Row],[FMS ID]],FMS_Input[FMS_ID],FMS_Input[EMER_NEED])</f>
        <v>Yes</v>
      </c>
      <c r="L587" s="252">
        <f t="shared" si="9"/>
        <v>1</v>
      </c>
      <c r="M587" s="253">
        <f>_xlfn.XLOOKUP(FMS_Ranking4[[#This Row],[FMS ID]],FMS_Input[FMS_ID],FMS_Input[STRUCT_100])</f>
        <v>145</v>
      </c>
      <c r="N587" s="255">
        <f>(ASINH(FMS_Ranking4[[#This Row],[Structure at Risk Raw]]))*(10)/(ASINH(M$4))</f>
        <v>4.4573799617879368</v>
      </c>
      <c r="O587" s="256">
        <f>FMS_Ranking4[[#This Row],[Structures at risk, ArcSinh (0-10)]]*M$5*10</f>
        <v>4.4573799617879377</v>
      </c>
      <c r="P587" s="253">
        <f>_xlfn.XLOOKUP(FMS_Ranking4[[#This Row],[FMS ID]],FMS_Input[FMS_ID],FMS_Input[RES_STRUCT100])</f>
        <v>76</v>
      </c>
      <c r="Q587" s="257">
        <f>ASINH(FMS_Ranking4[[#This Row],[Res Structure Raw]])/Q$4*P$5*100</f>
        <v>0</v>
      </c>
      <c r="R587" s="253">
        <f>_xlfn.XLOOKUP(FMS_Ranking4[[#This Row],[FMS ID]],FMS_Input[FMS_ID],FMS_Input[POP100])</f>
        <v>95</v>
      </c>
      <c r="S587" s="259">
        <f>(ASINH(FMS_Ranking4[[#This Row],[Pop at Risk Raw]]))*(10)/(ASINH(R$4))</f>
        <v>3.6223453106007693</v>
      </c>
      <c r="T587" s="256">
        <f>FMS_Ranking4[[#This Row],[Population at risk, ArcSinh (0-10)]]*R$5*10</f>
        <v>3.6223453106007697</v>
      </c>
      <c r="U587" s="253">
        <f>_xlfn.XLOOKUP(FMS_Ranking4[[#This Row],[FMS ID]],FMS_Input[FMS_ID],FMS_Input[CRITFAC100])</f>
        <v>0</v>
      </c>
      <c r="V587" s="259">
        <f>(ASINH(FMS_Ranking4[[#This Row],[Critical Facilities Raw]]))*(10)/(ASINH(U$4))</f>
        <v>0</v>
      </c>
      <c r="W587" s="256">
        <f>FMS_Ranking4[[#This Row],[Critical facilities at risk, ArcSinh (0-10)]]*U$5*10</f>
        <v>0</v>
      </c>
      <c r="X587" s="253">
        <f>_xlfn.XLOOKUP(FMS_Ranking4[[#This Row],[FMS ID]],FMS_Input[FMS_ID],FMS_Input[LWC])</f>
        <v>1</v>
      </c>
      <c r="Y587" s="259">
        <f>(ASINH(FMS_Ranking4[[#This Row],[LWC Raw]]))*(10)/(ASINH(X$4))</f>
        <v>1.1940300948531093</v>
      </c>
      <c r="Z587" s="256">
        <f>FMS_Ranking4[[#This Row],[LWC, ArcSInh (0-10)]]*X$5*10</f>
        <v>1.1940300948531093</v>
      </c>
      <c r="AA587" s="253">
        <f>_xlfn.XLOOKUP(FMS_Ranking4[[#This Row],[FMS ID]],FMS_Input[FMS_ID],FMS_Input[ROADCLS])</f>
        <v>1</v>
      </c>
      <c r="AB587" s="255">
        <f>(ASINH(FMS_Ranking4[[#This Row],[Road Closures Raw]]))*(10)/(ASINH(AA$4))</f>
        <v>0.91786969566638699</v>
      </c>
      <c r="AC587" s="256">
        <f>FMS_Ranking4[[#This Row],[Road closures, ArcSinh (0-10)]]*AA$5*10</f>
        <v>0.45893484783319349</v>
      </c>
      <c r="AD587" s="253">
        <f>_xlfn.XLOOKUP(FMS_Ranking4[[#This Row],[FMS ID]],FMS_Input[FMS_ID],FMS_Input[ROAD_MILES100])</f>
        <v>11</v>
      </c>
      <c r="AE587" s="259">
        <f>(ASINH(FMS_Ranking4[[#This Row],[Road Miles Raw]]))*(10)/(ASINH(AD$4))</f>
        <v>3.2963959525244606</v>
      </c>
      <c r="AF587" s="256">
        <f>FMS_Ranking4[[#This Row],[Length of roads at risk, ArcSinh (0-10)]]*AD$5*10</f>
        <v>3.2963959525244606</v>
      </c>
      <c r="AG587" s="253">
        <f>_xlfn.XLOOKUP(FMS_Ranking4[[#This Row],[FMS ID]],FMS_Input[FMS_ID],FMS_Input[FARMACRE100])</f>
        <v>151.27351379394531</v>
      </c>
      <c r="AH587" s="255">
        <f>(ASINH(FMS_Ranking4[[#This Row],[Ag Land Raw]]))*(10)/(ASINH(AG$4))</f>
        <v>3.7105702236122036</v>
      </c>
      <c r="AI587" s="260">
        <f>FMS_Ranking4[[#This Row],[Farm &amp; ranch land, ArcSinh (0-10)]]*AG$5*10</f>
        <v>1.855285111806102</v>
      </c>
      <c r="AJ587" s="258">
        <f>_xlfn.XLOOKUP(FMS_Ranking4[[#This Row],[FMS ID]],FMS_Input[FMS_ID],FMS_Input[REDSTRUCT100])</f>
        <v>0</v>
      </c>
      <c r="AK587" s="253">
        <f>_xlfn.XLOOKUP(FMS_Ranking4[[#This Row],[FMS ID]],FMS_Input[FMS_ID],FMS_Input[REMSTRC100])</f>
        <v>0</v>
      </c>
      <c r="AL587" s="259">
        <f>(ASINH(FMS_Ranking4[[#This Row],[Structures Removed Raw]]))*(10)/(ASINH(AK$4))</f>
        <v>0</v>
      </c>
      <c r="AM587" s="262">
        <f>FMS_Ranking4[[#This Row],[Structures removed, ArcSinh (0-10)]]*AK$5*10</f>
        <v>0</v>
      </c>
      <c r="AN587" s="253">
        <f>_xlfn.XLOOKUP(FMS_Ranking4[[#This Row],[FMS ID]],FMS_Input[FMS_ID],FMS_Input[REMRESSTRC100])</f>
        <v>0</v>
      </c>
      <c r="AO587" s="261">
        <f>FMS_Ranking4[[#This Row],[ArcSinh Res struct removed 0-10]]*AN$5*10</f>
        <v>0</v>
      </c>
      <c r="AP587" s="260">
        <f>ASINH(FMS_Ranking4[[#This Row],[Residential Structures Removed Raw]])/AP$4*AN$5*100</f>
        <v>0</v>
      </c>
      <c r="AQ587" s="254">
        <f>(ASINH(FMS_Ranking4[[#This Row],[Residential Structures Removed Raw]]))*(10)/(ASINH(AN$4))</f>
        <v>0</v>
      </c>
      <c r="AR587" s="253">
        <f>_xlfn.XLOOKUP(FMS_Ranking4[[#This Row],[FMS ID]],FMS_Input[FMS_ID],FMS_Input[REMPOP100])</f>
        <v>0</v>
      </c>
      <c r="AS587" s="259">
        <f>(ASINH(FMS_Ranking4[[#This Row],[Removed Pop Raw]]))*(10)/(ASINH(AR$4))</f>
        <v>0</v>
      </c>
      <c r="AT587" s="262">
        <f>FMS_Ranking4[[#This Row],[Removed population, ArcSinh (0-10)]]*AR$5*10</f>
        <v>0</v>
      </c>
      <c r="AU587" s="264">
        <f>_xlfn.XLOOKUP(FMS_Ranking4[[#This Row],[FMS ID]],FMS_Input[FMS_ID],FMS_Input[REMCRITFAC100])</f>
        <v>0</v>
      </c>
      <c r="AV587" s="264">
        <f>_xlfn.XLOOKUP(FMS_Ranking4[[#This Row],[FMS ID]],FMS_Input[FMS_ID],FMS_Input[REMLWC100])</f>
        <v>0</v>
      </c>
      <c r="AW587" s="264">
        <f>_xlfn.XLOOKUP(FMS_Ranking4[[#This Row],[FMS ID]],FMS_Input[FMS_ID],FMS_Input[REMROADCLS])</f>
        <v>0</v>
      </c>
      <c r="AX587" s="264">
        <f>_xlfn.XLOOKUP(FMS_Ranking4[[#This Row],[FMS ID]],FMS_Input[FMS_ID],FMS_Input[REMFRMACRE100])</f>
        <v>0</v>
      </c>
      <c r="AY587" s="258">
        <f>_xlfn.XLOOKUP(FMS_Ranking4[[#This Row],[FMS ID]],FMS_Input[FMS_ID],FMS_Input[COSTSTRUCT])</f>
        <v>0</v>
      </c>
      <c r="AZ587" s="253">
        <f>_xlfn.XLOOKUP(FMS_Ranking4[[#This Row],[FMS ID]],FMS_Input[FMS_ID],FMS_Input[NATURE])</f>
        <v>0</v>
      </c>
      <c r="BA587" s="262">
        <f>(((FMS_Ranking4[[#This Row],[% NBS Raw]]/AZ$4)*100)*AZ$5)</f>
        <v>0</v>
      </c>
      <c r="BB587" s="251" t="str">
        <f>_xlfn.XLOOKUP(FMS_Ranking4[[#This Row],[FMS ID]],FMS_Input[FMS_ID],FMS_Input[WATER_SUP])</f>
        <v>No</v>
      </c>
      <c r="BC587" s="265">
        <f>IF(FMS_Ranking4[[#This Row],[Water Supply Raw]]="Yes",10,0)</f>
        <v>0</v>
      </c>
      <c r="BD587" s="266">
        <f>_xlfn.XLOOKUP(FMS_Ranking4[[#This Row],[FMS Type]],FMS_TYPE[FMS_Type],FMS_TYPE[Score])</f>
        <v>4</v>
      </c>
      <c r="BE587" s="267">
        <f>FMS_Ranking4[[#This Row],[FMS_Type Score]]*$BD$5*10</f>
        <v>1</v>
      </c>
      <c r="BF58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4.1590444299597532E-2</v>
      </c>
      <c r="BG587" s="269">
        <f>_xlfn.RANK.EQ(BF587,$BF$8:$BF$870,0)+COUNTIF($BF$8:BF587,BF587)-1</f>
        <v>575</v>
      </c>
      <c r="BH587" s="268">
        <f>(((FMS_Ranking4[[#This Row],[Structures Removed Raw]]/AK$4)*100)*AK$5)+(((FMS_Ranking4[[#This Row],[Removed Pop Raw]]/AR$4)*100)*AR$5)</f>
        <v>0</v>
      </c>
      <c r="BI58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1.0415904442995976</v>
      </c>
      <c r="BJ587" s="204">
        <f>_xlfn.RANK.EQ(FMS_Ranking4[[#This Row],[Total Score 
(with linear
normalization)]],FMS_Ranking4[Total Score 
(with linear
normalization)],0)</f>
        <v>698</v>
      </c>
      <c r="BK587" s="204" t="e">
        <f>_xlfn.XLOOKUP(FMS_Ranking4[[#This Row],[FMS ID]],#REF!,#REF!)</f>
        <v>#REF!</v>
      </c>
      <c r="BL587"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14.884371279405572</v>
      </c>
      <c r="BM587" s="270">
        <f>FMS_Ranking4[[#This Row],[ArcSinh Score Based on Normalized Reported Factors]]+FMS_Ranking4[[#This Row],[% NBS Score (Normalized)]]+(FMS_Ranking4[[#This Row],[Water Supply Score (Normalized)]]*10*$BB$5)+FMS_Ranking4[[#This Row],[FMS_Type Score Weighted]]</f>
        <v>15.884371279405572</v>
      </c>
      <c r="BN587" s="204">
        <f>_xlfn.RANK.EQ(FMS_Ranking4[[#This Row],[Total Score (with ArcSinh normalization of select criteria)]],FMS_Ranking4[Total Score (with ArcSinh normalization of select criteria)],0)</f>
        <v>580</v>
      </c>
      <c r="BO587" s="270" t="str">
        <f>_xlfn.XLOOKUP(FMS_Ranking4[[#This Row],[FMS ID]],FMS_Input[FMS_ID],FMS_Input[FMS_RANK_YEAR])</f>
        <v>2023 Amended Plan</v>
      </c>
      <c r="BP587" s="204">
        <f>_xlfn.XLOOKUP(FMS_Ranking4[[#This Row],[FMS ID]],Prev_Rank[FMS ID],Prev_Rank[Prev Rank])</f>
        <v>510</v>
      </c>
      <c r="BQ587" s="204" t="e">
        <f>_xlfn.XLOOKUP(FMS_Ranking4[[#This Row],[FMS ID]],#REF!,#REF!)</f>
        <v>#REF!</v>
      </c>
      <c r="BR587" s="199" t="e">
        <f>SUM(#REF!,#REF!,#REF!,#REF!,#REF!,#REF!,#REF!,#REF!,#REF!,FMS_Ranking4[[#This Row],[ArcSinh Res struct removed 0-10]],#REF!)</f>
        <v>#REF!</v>
      </c>
      <c r="BS587" s="199" t="e">
        <f>FMS_Ranking4[[#This Row],[Log Score Based on Normalized Reported Factors]]+FMS_Ranking4[[#This Row],[% NBS Score (Normalized)]]+(FMS_Ranking4[[#This Row],[Water Supply Score (Normalized)]]*10*$BB$5)+(FMS_Ranking4[[#This Row],[FMS_Type Score Weighted]])</f>
        <v>#REF!</v>
      </c>
      <c r="BT587" s="200" t="e">
        <f>_xlfn.RANK.EQ(FMS_Ranking4[[#This Row],[Log Total Score]],FMS_Ranking4[Log Total Score],0)</f>
        <v>#REF!</v>
      </c>
      <c r="BU587" s="200" t="e">
        <f>_xlfn.XLOOKUP(FMS_Ranking4[[#This Row],[FMS ID]],#REF!,#REF!)</f>
        <v>#REF!</v>
      </c>
      <c r="BV587" s="200">
        <f>FMS_Ranking4[[#This Row],[Region Number]]</f>
        <v>6</v>
      </c>
      <c r="BW587" s="200">
        <f>FMS_Ranking4[[#This Row],[Rank (with ArcSinh normalization of select criteria)]]-FMS_Ranking4[[#This Row],[Rank
(with linear
normalization)]]</f>
        <v>-118</v>
      </c>
      <c r="BX587" s="200" t="e">
        <f>FMS_Ranking4[[#This Row],[Log Rank]]-FMS_Ranking4[[#This Row],[Rank
(with linear
normalization)]]</f>
        <v>#REF!</v>
      </c>
      <c r="BY587" s="200" t="str">
        <f>IF(FMS_Ranking4[[#This Row],[FMS Type]]="Flood Measurement and Warning",FMS_Ranking4[[#This Row],[Rank (with ArcSinh normalization of select criteria)]],"")</f>
        <v/>
      </c>
      <c r="BZ587" s="200" t="str">
        <f>IF(FMS_Ranking4[[#This Row],[FMS Type]]="Regulatory and Guidance",FMS_Ranking4[[#This Row],[Rank (with ArcSinh normalization of select criteria)]],"")</f>
        <v/>
      </c>
      <c r="CA587" s="200" t="str">
        <f>IF(FMS_Ranking4[[#This Row],[FMS Type]]="Education and Outreach",FMS_Ranking4[[#This Row],[Rank (with ArcSinh normalization of select criteria)]],"")</f>
        <v/>
      </c>
      <c r="CB587" s="200">
        <f>IF(FMS_Ranking4[[#This Row],[FMS Type]]="Property Acquisition and Structural Elevation",FMS_Ranking4[[#This Row],[Rank (with ArcSinh normalization of select criteria)]],"")</f>
        <v>580</v>
      </c>
      <c r="CC587" s="200" t="str">
        <f>IF(FMS_Ranking4[[#This Row],[FMS Type]]="Infrastructure Projects",FMS_Ranking4[[#This Row],[Rank (with ArcSinh normalization of select criteria)]],"")</f>
        <v/>
      </c>
      <c r="CD587" s="200" t="str">
        <f>IF(FMS_Ranking4[[#This Row],[FMS Type]]="Other",FMS_Ranking4[[#This Row],[Rank (with ArcSinh normalization of select criteria)]],"")</f>
        <v/>
      </c>
      <c r="CE587" s="201"/>
      <c r="CF587" s="206"/>
      <c r="CG587" s="206"/>
      <c r="CH587" s="206"/>
      <c r="CI587" s="206"/>
      <c r="CJ587" s="206"/>
      <c r="CK587" s="206"/>
      <c r="CL587" s="206"/>
      <c r="CM587" s="206"/>
      <c r="CN587" s="206"/>
      <c r="CO587" s="206"/>
      <c r="CP587" s="206"/>
      <c r="CQ587" s="206"/>
      <c r="CR587" s="206"/>
    </row>
    <row r="588" spans="2:96" ht="60" x14ac:dyDescent="0.25">
      <c r="B588" s="341" t="s">
        <v>113</v>
      </c>
      <c r="C588" s="246">
        <f>_xlfn.XLOOKUP(FMS_Ranking4[[#This Row],[FMS ID]],FMS_Input[FMS_ID],FMS_Input[RFPG_NUM])</f>
        <v>6</v>
      </c>
      <c r="D588" s="309" t="str">
        <f>_xlfn.XLOOKUP(FMS_Ranking4[[#This Row],[FMS ID]],FMS_Input[FMS_ID],FMS_Input[FMS_NAME])</f>
        <v xml:space="preserve">Grimes County Property Acquisition </v>
      </c>
      <c r="E588" s="308" t="str">
        <f>_xlfn.XLOOKUP(FMS_Ranking4[[#This Row],[FMS ID]],FMS_Input[FMS_ID],FMS_Input[SPONSOR])</f>
        <v>00000044</v>
      </c>
      <c r="F588" s="309" t="str">
        <f>_xlfn.XLOOKUP(FMS_Ranking4[[#This Row],[FMS ID]],Sponsor[FMS_ID],Sponsor[SPONSOR NAME])</f>
        <v>Grimes</v>
      </c>
      <c r="G588" s="309" t="str">
        <f>_xlfn.XLOOKUP(FMS_Ranking4[[#This Row],[FMS ID]],FMS_Input[FMS_ID],FMS_Input[FMS_DESCR])</f>
        <v>Per NFIP participation, the acquisition of structures located in the 100-year flood plain and in dam inundation areas.</v>
      </c>
      <c r="H588" s="248" t="str">
        <f>_xlfn.XLOOKUP(FMS_Ranking4[[#This Row],[FMS ID]],FMS_Input[FMS_ID],FMS_Input[FMS_TYPE])</f>
        <v>Property Acquisition and Structural Elevation</v>
      </c>
      <c r="I588" s="249">
        <f>_xlfn.XLOOKUP(FMS_Ranking4[[#This Row],[FMS ID]],FMS_Input[FMS_ID],FMS_Input[NRNC_COST])</f>
        <v>9500</v>
      </c>
      <c r="J588" s="250">
        <f>_xlfn.XLOOKUP(FMS_Ranking4[[#This Row],[FMS ID]],FMS_Input[FMS_ID],FMS_Input[FMS_COST])</f>
        <v>95000</v>
      </c>
      <c r="K588" s="251" t="str">
        <f>_xlfn.XLOOKUP(FMS_Ranking4[[#This Row],[FMS ID]],FMS_Input[FMS_ID],FMS_Input[EMER_NEED])</f>
        <v>Yes</v>
      </c>
      <c r="L588" s="252">
        <f t="shared" si="9"/>
        <v>1</v>
      </c>
      <c r="M588" s="253">
        <f>_xlfn.XLOOKUP(FMS_Ranking4[[#This Row],[FMS ID]],FMS_Input[FMS_ID],FMS_Input[STRUCT_100])</f>
        <v>145</v>
      </c>
      <c r="N588" s="255">
        <f>(ASINH(FMS_Ranking4[[#This Row],[Structure at Risk Raw]]))*(10)/(ASINH(M$4))</f>
        <v>4.4573799617879368</v>
      </c>
      <c r="O588" s="256">
        <f>FMS_Ranking4[[#This Row],[Structures at risk, ArcSinh (0-10)]]*M$5*10</f>
        <v>4.4573799617879377</v>
      </c>
      <c r="P588" s="253">
        <f>_xlfn.XLOOKUP(FMS_Ranking4[[#This Row],[FMS ID]],FMS_Input[FMS_ID],FMS_Input[RES_STRUCT100])</f>
        <v>76</v>
      </c>
      <c r="Q588" s="257">
        <f>ASINH(FMS_Ranking4[[#This Row],[Res Structure Raw]])/Q$4*P$5*100</f>
        <v>0</v>
      </c>
      <c r="R588" s="253">
        <f>_xlfn.XLOOKUP(FMS_Ranking4[[#This Row],[FMS ID]],FMS_Input[FMS_ID],FMS_Input[POP100])</f>
        <v>95</v>
      </c>
      <c r="S588" s="259">
        <f>(ASINH(FMS_Ranking4[[#This Row],[Pop at Risk Raw]]))*(10)/(ASINH(R$4))</f>
        <v>3.6223453106007693</v>
      </c>
      <c r="T588" s="256">
        <f>FMS_Ranking4[[#This Row],[Population at risk, ArcSinh (0-10)]]*R$5*10</f>
        <v>3.6223453106007697</v>
      </c>
      <c r="U588" s="253">
        <f>_xlfn.XLOOKUP(FMS_Ranking4[[#This Row],[FMS ID]],FMS_Input[FMS_ID],FMS_Input[CRITFAC100])</f>
        <v>0</v>
      </c>
      <c r="V588" s="259">
        <f>(ASINH(FMS_Ranking4[[#This Row],[Critical Facilities Raw]]))*(10)/(ASINH(U$4))</f>
        <v>0</v>
      </c>
      <c r="W588" s="256">
        <f>FMS_Ranking4[[#This Row],[Critical facilities at risk, ArcSinh (0-10)]]*U$5*10</f>
        <v>0</v>
      </c>
      <c r="X588" s="253">
        <f>_xlfn.XLOOKUP(FMS_Ranking4[[#This Row],[FMS ID]],FMS_Input[FMS_ID],FMS_Input[LWC])</f>
        <v>1</v>
      </c>
      <c r="Y588" s="259">
        <f>(ASINH(FMS_Ranking4[[#This Row],[LWC Raw]]))*(10)/(ASINH(X$4))</f>
        <v>1.1940300948531093</v>
      </c>
      <c r="Z588" s="256">
        <f>FMS_Ranking4[[#This Row],[LWC, ArcSInh (0-10)]]*X$5*10</f>
        <v>1.1940300948531093</v>
      </c>
      <c r="AA588" s="253">
        <f>_xlfn.XLOOKUP(FMS_Ranking4[[#This Row],[FMS ID]],FMS_Input[FMS_ID],FMS_Input[ROADCLS])</f>
        <v>1</v>
      </c>
      <c r="AB588" s="255">
        <f>(ASINH(FMS_Ranking4[[#This Row],[Road Closures Raw]]))*(10)/(ASINH(AA$4))</f>
        <v>0.91786969566638699</v>
      </c>
      <c r="AC588" s="256">
        <f>FMS_Ranking4[[#This Row],[Road closures, ArcSinh (0-10)]]*AA$5*10</f>
        <v>0.45893484783319349</v>
      </c>
      <c r="AD588" s="253">
        <f>_xlfn.XLOOKUP(FMS_Ranking4[[#This Row],[FMS ID]],FMS_Input[FMS_ID],FMS_Input[ROAD_MILES100])</f>
        <v>11</v>
      </c>
      <c r="AE588" s="259">
        <f>(ASINH(FMS_Ranking4[[#This Row],[Road Miles Raw]]))*(10)/(ASINH(AD$4))</f>
        <v>3.2963959525244606</v>
      </c>
      <c r="AF588" s="256">
        <f>FMS_Ranking4[[#This Row],[Length of roads at risk, ArcSinh (0-10)]]*AD$5*10</f>
        <v>3.2963959525244606</v>
      </c>
      <c r="AG588" s="253">
        <f>_xlfn.XLOOKUP(FMS_Ranking4[[#This Row],[FMS ID]],FMS_Input[FMS_ID],FMS_Input[FARMACRE100])</f>
        <v>151.27351379394531</v>
      </c>
      <c r="AH588" s="255">
        <f>(ASINH(FMS_Ranking4[[#This Row],[Ag Land Raw]]))*(10)/(ASINH(AG$4))</f>
        <v>3.7105702236122036</v>
      </c>
      <c r="AI588" s="260">
        <f>FMS_Ranking4[[#This Row],[Farm &amp; ranch land, ArcSinh (0-10)]]*AG$5*10</f>
        <v>1.855285111806102</v>
      </c>
      <c r="AJ588" s="258">
        <f>_xlfn.XLOOKUP(FMS_Ranking4[[#This Row],[FMS ID]],FMS_Input[FMS_ID],FMS_Input[REDSTRUCT100])</f>
        <v>0</v>
      </c>
      <c r="AK588" s="253">
        <f>_xlfn.XLOOKUP(FMS_Ranking4[[#This Row],[FMS ID]],FMS_Input[FMS_ID],FMS_Input[REMSTRC100])</f>
        <v>0</v>
      </c>
      <c r="AL588" s="259">
        <f>(ASINH(FMS_Ranking4[[#This Row],[Structures Removed Raw]]))*(10)/(ASINH(AK$4))</f>
        <v>0</v>
      </c>
      <c r="AM588" s="262">
        <f>FMS_Ranking4[[#This Row],[Structures removed, ArcSinh (0-10)]]*AK$5*10</f>
        <v>0</v>
      </c>
      <c r="AN588" s="253">
        <f>_xlfn.XLOOKUP(FMS_Ranking4[[#This Row],[FMS ID]],FMS_Input[FMS_ID],FMS_Input[REMRESSTRC100])</f>
        <v>0</v>
      </c>
      <c r="AO588" s="261">
        <f>FMS_Ranking4[[#This Row],[ArcSinh Res struct removed 0-10]]*AN$5*10</f>
        <v>0</v>
      </c>
      <c r="AP588" s="260">
        <f>ASINH(FMS_Ranking4[[#This Row],[Residential Structures Removed Raw]])/AP$4*AN$5*100</f>
        <v>0</v>
      </c>
      <c r="AQ588" s="254">
        <f>(ASINH(FMS_Ranking4[[#This Row],[Residential Structures Removed Raw]]))*(10)/(ASINH(AN$4))</f>
        <v>0</v>
      </c>
      <c r="AR588" s="253">
        <f>_xlfn.XLOOKUP(FMS_Ranking4[[#This Row],[FMS ID]],FMS_Input[FMS_ID],FMS_Input[REMPOP100])</f>
        <v>0</v>
      </c>
      <c r="AS588" s="259">
        <f>(ASINH(FMS_Ranking4[[#This Row],[Removed Pop Raw]]))*(10)/(ASINH(AR$4))</f>
        <v>0</v>
      </c>
      <c r="AT588" s="262">
        <f>FMS_Ranking4[[#This Row],[Removed population, ArcSinh (0-10)]]*AR$5*10</f>
        <v>0</v>
      </c>
      <c r="AU588" s="264">
        <f>_xlfn.XLOOKUP(FMS_Ranking4[[#This Row],[FMS ID]],FMS_Input[FMS_ID],FMS_Input[REMCRITFAC100])</f>
        <v>0</v>
      </c>
      <c r="AV588" s="264">
        <f>_xlfn.XLOOKUP(FMS_Ranking4[[#This Row],[FMS ID]],FMS_Input[FMS_ID],FMS_Input[REMLWC100])</f>
        <v>0</v>
      </c>
      <c r="AW588" s="264">
        <f>_xlfn.XLOOKUP(FMS_Ranking4[[#This Row],[FMS ID]],FMS_Input[FMS_ID],FMS_Input[REMROADCLS])</f>
        <v>0</v>
      </c>
      <c r="AX588" s="264">
        <f>_xlfn.XLOOKUP(FMS_Ranking4[[#This Row],[FMS ID]],FMS_Input[FMS_ID],FMS_Input[REMFRMACRE100])</f>
        <v>0</v>
      </c>
      <c r="AY588" s="258">
        <f>_xlfn.XLOOKUP(FMS_Ranking4[[#This Row],[FMS ID]],FMS_Input[FMS_ID],FMS_Input[COSTSTRUCT])</f>
        <v>0</v>
      </c>
      <c r="AZ588" s="253">
        <f>_xlfn.XLOOKUP(FMS_Ranking4[[#This Row],[FMS ID]],FMS_Input[FMS_ID],FMS_Input[NATURE])</f>
        <v>0</v>
      </c>
      <c r="BA588" s="262">
        <f>(((FMS_Ranking4[[#This Row],[% NBS Raw]]/AZ$4)*100)*AZ$5)</f>
        <v>0</v>
      </c>
      <c r="BB588" s="251" t="str">
        <f>_xlfn.XLOOKUP(FMS_Ranking4[[#This Row],[FMS ID]],FMS_Input[FMS_ID],FMS_Input[WATER_SUP])</f>
        <v>No</v>
      </c>
      <c r="BC588" s="265">
        <f>IF(FMS_Ranking4[[#This Row],[Water Supply Raw]]="Yes",10,0)</f>
        <v>0</v>
      </c>
      <c r="BD588" s="266">
        <f>_xlfn.XLOOKUP(FMS_Ranking4[[#This Row],[FMS Type]],FMS_TYPE[FMS_Type],FMS_TYPE[Score])</f>
        <v>4</v>
      </c>
      <c r="BE588" s="267">
        <f>FMS_Ranking4[[#This Row],[FMS_Type Score]]*$BD$5*10</f>
        <v>1</v>
      </c>
      <c r="BF58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4.1590444299597532E-2</v>
      </c>
      <c r="BG588" s="271">
        <f>_xlfn.RANK.EQ(BF588,$BF$8:$BF$870,0)+COUNTIF($BF$8:BF588,BF588)-1</f>
        <v>576</v>
      </c>
      <c r="BH588" s="268">
        <f>(((FMS_Ranking4[[#This Row],[Structures Removed Raw]]/AK$4)*100)*AK$5)+(((FMS_Ranking4[[#This Row],[Removed Pop Raw]]/AR$4)*100)*AR$5)</f>
        <v>0</v>
      </c>
      <c r="BI58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1.0415904442995976</v>
      </c>
      <c r="BJ588" s="205">
        <f>_xlfn.RANK.EQ(FMS_Ranking4[[#This Row],[Total Score 
(with linear
normalization)]],FMS_Ranking4[Total Score 
(with linear
normalization)],0)</f>
        <v>698</v>
      </c>
      <c r="BK588" s="205" t="e">
        <f>_xlfn.XLOOKUP(FMS_Ranking4[[#This Row],[FMS ID]],#REF!,#REF!)</f>
        <v>#REF!</v>
      </c>
      <c r="BL58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14.884371279405572</v>
      </c>
      <c r="BM588" s="272">
        <f>FMS_Ranking4[[#This Row],[ArcSinh Score Based on Normalized Reported Factors]]+FMS_Ranking4[[#This Row],[% NBS Score (Normalized)]]+(FMS_Ranking4[[#This Row],[Water Supply Score (Normalized)]]*10*$BB$5)+FMS_Ranking4[[#This Row],[FMS_Type Score Weighted]]</f>
        <v>15.884371279405572</v>
      </c>
      <c r="BN588" s="205">
        <f>_xlfn.RANK.EQ(FMS_Ranking4[[#This Row],[Total Score (with ArcSinh normalization of select criteria)]],FMS_Ranking4[Total Score (with ArcSinh normalization of select criteria)],0)</f>
        <v>580</v>
      </c>
      <c r="BO588" s="270" t="str">
        <f>_xlfn.XLOOKUP(FMS_Ranking4[[#This Row],[FMS ID]],FMS_Input[FMS_ID],FMS_Input[FMS_RANK_YEAR])</f>
        <v>2023 Amended Plan</v>
      </c>
      <c r="BP588" s="204">
        <f>_xlfn.XLOOKUP(FMS_Ranking4[[#This Row],[FMS ID]],Prev_Rank[FMS ID],Prev_Rank[Prev Rank])</f>
        <v>510</v>
      </c>
      <c r="BQ588" s="205" t="e">
        <f>_xlfn.XLOOKUP(FMS_Ranking4[[#This Row],[FMS ID]],#REF!,#REF!)</f>
        <v>#REF!</v>
      </c>
      <c r="BR588" s="199" t="e">
        <f>SUM(#REF!,#REF!,#REF!,#REF!,#REF!,#REF!,#REF!,#REF!,#REF!,FMS_Ranking4[[#This Row],[ArcSinh Res struct removed 0-10]],#REF!)</f>
        <v>#REF!</v>
      </c>
      <c r="BS588" s="199" t="e">
        <f>FMS_Ranking4[[#This Row],[Log Score Based on Normalized Reported Factors]]+FMS_Ranking4[[#This Row],[% NBS Score (Normalized)]]+(FMS_Ranking4[[#This Row],[Water Supply Score (Normalized)]]*10*$BB$5)+(FMS_Ranking4[[#This Row],[FMS_Type Score Weighted]])</f>
        <v>#REF!</v>
      </c>
      <c r="BT588" s="200" t="e">
        <f>_xlfn.RANK.EQ(FMS_Ranking4[[#This Row],[Log Total Score]],FMS_Ranking4[Log Total Score],0)</f>
        <v>#REF!</v>
      </c>
      <c r="BU588" s="200" t="e">
        <f>_xlfn.XLOOKUP(FMS_Ranking4[[#This Row],[FMS ID]],#REF!,#REF!)</f>
        <v>#REF!</v>
      </c>
      <c r="BV588" s="200">
        <f>FMS_Ranking4[[#This Row],[Region Number]]</f>
        <v>6</v>
      </c>
      <c r="BW588" s="200">
        <f>FMS_Ranking4[[#This Row],[Rank (with ArcSinh normalization of select criteria)]]-FMS_Ranking4[[#This Row],[Rank
(with linear
normalization)]]</f>
        <v>-118</v>
      </c>
      <c r="BX588" s="200" t="e">
        <f>FMS_Ranking4[[#This Row],[Log Rank]]-FMS_Ranking4[[#This Row],[Rank
(with linear
normalization)]]</f>
        <v>#REF!</v>
      </c>
      <c r="BY588" s="200" t="str">
        <f>IF(FMS_Ranking4[[#This Row],[FMS Type]]="Flood Measurement and Warning",FMS_Ranking4[[#This Row],[Rank (with ArcSinh normalization of select criteria)]],"")</f>
        <v/>
      </c>
      <c r="BZ588" s="200" t="str">
        <f>IF(FMS_Ranking4[[#This Row],[FMS Type]]="Regulatory and Guidance",FMS_Ranking4[[#This Row],[Rank (with ArcSinh normalization of select criteria)]],"")</f>
        <v/>
      </c>
      <c r="CA588" s="200" t="str">
        <f>IF(FMS_Ranking4[[#This Row],[FMS Type]]="Education and Outreach",FMS_Ranking4[[#This Row],[Rank (with ArcSinh normalization of select criteria)]],"")</f>
        <v/>
      </c>
      <c r="CB588" s="200">
        <f>IF(FMS_Ranking4[[#This Row],[FMS Type]]="Property Acquisition and Structural Elevation",FMS_Ranking4[[#This Row],[Rank (with ArcSinh normalization of select criteria)]],"")</f>
        <v>580</v>
      </c>
      <c r="CC588" s="200" t="str">
        <f>IF(FMS_Ranking4[[#This Row],[FMS Type]]="Infrastructure Projects",FMS_Ranking4[[#This Row],[Rank (with ArcSinh normalization of select criteria)]],"")</f>
        <v/>
      </c>
      <c r="CD588" s="200" t="str">
        <f>IF(FMS_Ranking4[[#This Row],[FMS Type]]="Other",FMS_Ranking4[[#This Row],[Rank (with ArcSinh normalization of select criteria)]],"")</f>
        <v/>
      </c>
      <c r="CE588" s="201"/>
      <c r="CF588" s="206"/>
      <c r="CG588" s="206"/>
      <c r="CH588" s="206"/>
      <c r="CI588" s="206"/>
      <c r="CJ588" s="206"/>
      <c r="CK588" s="206"/>
      <c r="CL588" s="206"/>
      <c r="CM588" s="206"/>
      <c r="CN588" s="206"/>
      <c r="CO588" s="206"/>
      <c r="CP588" s="206"/>
      <c r="CQ588" s="206"/>
      <c r="CR588" s="206"/>
    </row>
    <row r="589" spans="2:96" ht="30" x14ac:dyDescent="0.25">
      <c r="B589" s="341" t="s">
        <v>1277</v>
      </c>
      <c r="C589" s="246">
        <f>_xlfn.XLOOKUP(FMS_Ranking4[[#This Row],[FMS ID]],FMS_Input[FMS_ID],FMS_Input[RFPG_NUM])</f>
        <v>1</v>
      </c>
      <c r="D589" s="309" t="str">
        <f>_xlfn.XLOOKUP(FMS_Ranking4[[#This Row],[FMS ID]],FMS_Input[FMS_ID],FMS_Input[FMS_NAME])</f>
        <v>Perryton NFIP Involvement</v>
      </c>
      <c r="E589" s="308" t="str">
        <f>_xlfn.XLOOKUP(FMS_Ranking4[[#This Row],[FMS ID]],FMS_Input[FMS_ID],FMS_Input[SPONSOR])</f>
        <v>01003570</v>
      </c>
      <c r="F589" s="309" t="str">
        <f>_xlfn.XLOOKUP(FMS_Ranking4[[#This Row],[FMS ID]],Sponsor[FMS_ID],Sponsor[SPONSOR NAME])</f>
        <v>Perryton</v>
      </c>
      <c r="G589" s="309" t="str">
        <f>_xlfn.XLOOKUP(FMS_Ranking4[[#This Row],[FMS ID]],FMS_Input[FMS_ID],FMS_Input[FMS_DESCR])</f>
        <v>Application to join NFIP or adopt equivalent standards</v>
      </c>
      <c r="H589" s="248" t="str">
        <f>_xlfn.XLOOKUP(FMS_Ranking4[[#This Row],[FMS ID]],FMS_Input[FMS_ID],FMS_Input[FMS_TYPE])</f>
        <v>Regulatory and Guidance</v>
      </c>
      <c r="I589" s="249">
        <f>_xlfn.XLOOKUP(FMS_Ranking4[[#This Row],[FMS ID]],FMS_Input[FMS_ID],FMS_Input[NRNC_COST])</f>
        <v>100000</v>
      </c>
      <c r="J589" s="250">
        <f>_xlfn.XLOOKUP(FMS_Ranking4[[#This Row],[FMS ID]],FMS_Input[FMS_ID],FMS_Input[FMS_COST])</f>
        <v>100000</v>
      </c>
      <c r="K589" s="251" t="str">
        <f>_xlfn.XLOOKUP(FMS_Ranking4[[#This Row],[FMS ID]],FMS_Input[FMS_ID],FMS_Input[EMER_NEED])</f>
        <v>No</v>
      </c>
      <c r="L589" s="252">
        <f t="shared" si="9"/>
        <v>0</v>
      </c>
      <c r="M589" s="253">
        <f>_xlfn.XLOOKUP(FMS_Ranking4[[#This Row],[FMS ID]],FMS_Input[FMS_ID],FMS_Input[STRUCT_100])</f>
        <v>304</v>
      </c>
      <c r="N589" s="255">
        <f>(ASINH(FMS_Ranking4[[#This Row],[Structure at Risk Raw]]))*(10)/(ASINH(M$4))</f>
        <v>5.0393540175760458</v>
      </c>
      <c r="O589" s="256">
        <f>FMS_Ranking4[[#This Row],[Structures at risk, ArcSinh (0-10)]]*M$5*10</f>
        <v>5.0393540175760467</v>
      </c>
      <c r="P589" s="253">
        <f>_xlfn.XLOOKUP(FMS_Ranking4[[#This Row],[FMS ID]],FMS_Input[FMS_ID],FMS_Input[RES_STRUCT100])</f>
        <v>145</v>
      </c>
      <c r="Q589" s="257">
        <f>ASINH(FMS_Ranking4[[#This Row],[Res Structure Raw]])/Q$4*P$5*100</f>
        <v>0</v>
      </c>
      <c r="R589" s="253">
        <f>_xlfn.XLOOKUP(FMS_Ranking4[[#This Row],[FMS ID]],FMS_Input[FMS_ID],FMS_Input[POP100])</f>
        <v>479</v>
      </c>
      <c r="S589" s="255">
        <f>(ASINH(FMS_Ranking4[[#This Row],[Pop at Risk Raw]]))*(10)/(ASINH(R$4))</f>
        <v>4.7392048305854875</v>
      </c>
      <c r="T589" s="256">
        <f>FMS_Ranking4[[#This Row],[Population at risk, ArcSinh (0-10)]]*R$5*10</f>
        <v>4.7392048305854875</v>
      </c>
      <c r="U589" s="253">
        <f>_xlfn.XLOOKUP(FMS_Ranking4[[#This Row],[FMS ID]],FMS_Input[FMS_ID],FMS_Input[CRITFAC100])</f>
        <v>0</v>
      </c>
      <c r="V589" s="255">
        <f>(ASINH(FMS_Ranking4[[#This Row],[Critical Facilities Raw]]))*(10)/(ASINH(U$4))</f>
        <v>0</v>
      </c>
      <c r="W589" s="256">
        <f>FMS_Ranking4[[#This Row],[Critical facilities at risk, ArcSinh (0-10)]]*U$5*10</f>
        <v>0</v>
      </c>
      <c r="X589" s="253">
        <f>_xlfn.XLOOKUP(FMS_Ranking4[[#This Row],[FMS ID]],FMS_Input[FMS_ID],FMS_Input[LWC])</f>
        <v>0</v>
      </c>
      <c r="Y589" s="255">
        <f>(ASINH(FMS_Ranking4[[#This Row],[LWC Raw]]))*(10)/(ASINH(X$4))</f>
        <v>0</v>
      </c>
      <c r="Z589" s="256">
        <f>FMS_Ranking4[[#This Row],[LWC, ArcSInh (0-10)]]*X$5*10</f>
        <v>0</v>
      </c>
      <c r="AA589" s="253">
        <f>_xlfn.XLOOKUP(FMS_Ranking4[[#This Row],[FMS ID]],FMS_Input[FMS_ID],FMS_Input[ROADCLS])</f>
        <v>0</v>
      </c>
      <c r="AB589" s="255">
        <f>(ASINH(FMS_Ranking4[[#This Row],[Road Closures Raw]]))*(10)/(ASINH(AA$4))</f>
        <v>0</v>
      </c>
      <c r="AC589" s="256">
        <f>FMS_Ranking4[[#This Row],[Road closures, ArcSinh (0-10)]]*AA$5*10</f>
        <v>0</v>
      </c>
      <c r="AD589" s="253">
        <f>_xlfn.XLOOKUP(FMS_Ranking4[[#This Row],[FMS ID]],FMS_Input[FMS_ID],FMS_Input[ROAD_MILES100])</f>
        <v>7</v>
      </c>
      <c r="AE589" s="255">
        <f>(ASINH(FMS_Ranking4[[#This Row],[Road Miles Raw]]))*(10)/(ASINH(AD$4))</f>
        <v>2.8179052695658946</v>
      </c>
      <c r="AF589" s="256">
        <f>FMS_Ranking4[[#This Row],[Length of roads at risk, ArcSinh (0-10)]]*AD$5*10</f>
        <v>2.8179052695658946</v>
      </c>
      <c r="AG589" s="253">
        <f>_xlfn.XLOOKUP(FMS_Ranking4[[#This Row],[FMS ID]],FMS_Input[FMS_ID],FMS_Input[FARMACRE100])</f>
        <v>18.13187217712402</v>
      </c>
      <c r="AH589" s="255">
        <f>(ASINH(FMS_Ranking4[[#This Row],[Ag Land Raw]]))*(10)/(ASINH(AG$4))</f>
        <v>2.3330225275267646</v>
      </c>
      <c r="AI589" s="260">
        <f>FMS_Ranking4[[#This Row],[Farm &amp; ranch land, ArcSinh (0-10)]]*AG$5*10</f>
        <v>1.1665112637633823</v>
      </c>
      <c r="AJ589" s="258">
        <f>_xlfn.XLOOKUP(FMS_Ranking4[[#This Row],[FMS ID]],FMS_Input[FMS_ID],FMS_Input[REDSTRUCT100])</f>
        <v>0</v>
      </c>
      <c r="AK589" s="253">
        <f>_xlfn.XLOOKUP(FMS_Ranking4[[#This Row],[FMS ID]],FMS_Input[FMS_ID],FMS_Input[REMSTRC100])</f>
        <v>0</v>
      </c>
      <c r="AL589" s="255">
        <f>(ASINH(FMS_Ranking4[[#This Row],[Structures Removed Raw]]))*(10)/(ASINH(AK$4))</f>
        <v>0</v>
      </c>
      <c r="AM589" s="262">
        <f>FMS_Ranking4[[#This Row],[Structures removed, ArcSinh (0-10)]]*AK$5*10</f>
        <v>0</v>
      </c>
      <c r="AN589" s="253">
        <f>_xlfn.XLOOKUP(FMS_Ranking4[[#This Row],[FMS ID]],FMS_Input[FMS_ID],FMS_Input[REMRESSTRC100])</f>
        <v>0</v>
      </c>
      <c r="AO589" s="261">
        <f>FMS_Ranking4[[#This Row],[ArcSinh Res struct removed 0-10]]*AN$5*10</f>
        <v>0</v>
      </c>
      <c r="AP589" s="260">
        <f>ASINH(FMS_Ranking4[[#This Row],[Residential Structures Removed Raw]])/AP$4*AN$5*100</f>
        <v>0</v>
      </c>
      <c r="AQ589" s="258">
        <f>(ASINH(FMS_Ranking4[[#This Row],[Residential Structures Removed Raw]]))*(10)/(ASINH(AN$4))</f>
        <v>0</v>
      </c>
      <c r="AR589" s="253">
        <f>_xlfn.XLOOKUP(FMS_Ranking4[[#This Row],[FMS ID]],FMS_Input[FMS_ID],FMS_Input[REMPOP100])</f>
        <v>0</v>
      </c>
      <c r="AS589" s="255">
        <f>(ASINH(FMS_Ranking4[[#This Row],[Removed Pop Raw]]))*(10)/(ASINH(AR$4))</f>
        <v>0</v>
      </c>
      <c r="AT589" s="262">
        <f>FMS_Ranking4[[#This Row],[Removed population, ArcSinh (0-10)]]*AR$5*10</f>
        <v>0</v>
      </c>
      <c r="AU589" s="264">
        <f>_xlfn.XLOOKUP(FMS_Ranking4[[#This Row],[FMS ID]],FMS_Input[FMS_ID],FMS_Input[REMCRITFAC100])</f>
        <v>0</v>
      </c>
      <c r="AV589" s="264">
        <f>_xlfn.XLOOKUP(FMS_Ranking4[[#This Row],[FMS ID]],FMS_Input[FMS_ID],FMS_Input[REMLWC100])</f>
        <v>0</v>
      </c>
      <c r="AW589" s="264">
        <f>_xlfn.XLOOKUP(FMS_Ranking4[[#This Row],[FMS ID]],FMS_Input[FMS_ID],FMS_Input[REMROADCLS])</f>
        <v>0</v>
      </c>
      <c r="AX589" s="264">
        <f>_xlfn.XLOOKUP(FMS_Ranking4[[#This Row],[FMS ID]],FMS_Input[FMS_ID],FMS_Input[REMFRMACRE100])</f>
        <v>0</v>
      </c>
      <c r="AY589" s="258">
        <f>_xlfn.XLOOKUP(FMS_Ranking4[[#This Row],[FMS ID]],FMS_Input[FMS_ID],FMS_Input[COSTSTRUCT])</f>
        <v>0</v>
      </c>
      <c r="AZ589" s="253">
        <f>_xlfn.XLOOKUP(FMS_Ranking4[[#This Row],[FMS ID]],FMS_Input[FMS_ID],FMS_Input[NATURE])</f>
        <v>0</v>
      </c>
      <c r="BA589" s="262">
        <f>(((FMS_Ranking4[[#This Row],[% NBS Raw]]/AZ$4)*100)*AZ$5)</f>
        <v>0</v>
      </c>
      <c r="BB589" s="251" t="str">
        <f>_xlfn.XLOOKUP(FMS_Ranking4[[#This Row],[FMS ID]],FMS_Input[FMS_ID],FMS_Input[WATER_SUP])</f>
        <v>No</v>
      </c>
      <c r="BC589" s="265">
        <f>IF(FMS_Ranking4[[#This Row],[Water Supply Raw]]="Yes",10,0)</f>
        <v>0</v>
      </c>
      <c r="BD589" s="266">
        <f>_xlfn.XLOOKUP(FMS_Ranking4[[#This Row],[FMS Type]],FMS_TYPE[FMS_Type],FMS_TYPE[Score])</f>
        <v>8</v>
      </c>
      <c r="BE589" s="267">
        <f>FMS_Ranking4[[#This Row],[FMS_Type Score]]*$BD$5*10</f>
        <v>2</v>
      </c>
      <c r="BF58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3.4896700458965479E-2</v>
      </c>
      <c r="BG589" s="321">
        <f>_xlfn.RANK.EQ(BF589,$BF$8:$BF$870,0)+COUNTIF($BF$8:BF589,BF589)-1</f>
        <v>588</v>
      </c>
      <c r="BH589" s="294">
        <f>(((FMS_Ranking4[[#This Row],[Structures Removed Raw]]/AK$4)*100)*AK$5)+(((FMS_Ranking4[[#This Row],[Removed Pop Raw]]/AR$4)*100)*AR$5)</f>
        <v>0</v>
      </c>
      <c r="BI58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2.0348967004589653</v>
      </c>
      <c r="BJ589" s="251">
        <f>_xlfn.RANK.EQ(FMS_Ranking4[[#This Row],[Total Score 
(with linear
normalization)]],FMS_Ranking4[Total Score 
(with linear
normalization)],0)</f>
        <v>395</v>
      </c>
      <c r="BK589" s="251" t="e">
        <f>_xlfn.XLOOKUP(FMS_Ranking4[[#This Row],[FMS ID]],#REF!,#REF!)</f>
        <v>#REF!</v>
      </c>
      <c r="BL58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13.762975381490811</v>
      </c>
      <c r="BM589" s="324">
        <f>FMS_Ranking4[[#This Row],[ArcSinh Score Based on Normalized Reported Factors]]+FMS_Ranking4[[#This Row],[% NBS Score (Normalized)]]+(FMS_Ranking4[[#This Row],[Water Supply Score (Normalized)]]*10*$BB$5)+FMS_Ranking4[[#This Row],[FMS_Type Score Weighted]]</f>
        <v>15.762975381490811</v>
      </c>
      <c r="BN589" s="251">
        <f>_xlfn.RANK.EQ(FMS_Ranking4[[#This Row],[Total Score (with ArcSinh normalization of select criteria)]],FMS_Ranking4[Total Score (with ArcSinh normalization of select criteria)],0)</f>
        <v>582</v>
      </c>
      <c r="BO589" s="270" t="str">
        <f>_xlfn.XLOOKUP(FMS_Ranking4[[#This Row],[FMS ID]],FMS_Input[FMS_ID],FMS_Input[FMS_RANK_YEAR])</f>
        <v>2023 Amended Plan</v>
      </c>
      <c r="BP589" s="204">
        <f>_xlfn.XLOOKUP(FMS_Ranking4[[#This Row],[FMS ID]],Prev_Rank[FMS ID],Prev_Rank[Prev Rank])</f>
        <v>513</v>
      </c>
      <c r="BQ589" s="251" t="e">
        <f>_xlfn.XLOOKUP(FMS_Ranking4[[#This Row],[FMS ID]],#REF!,#REF!)</f>
        <v>#REF!</v>
      </c>
      <c r="BR589" s="199" t="e">
        <f>SUM(#REF!,#REF!,#REF!,#REF!,#REF!,#REF!,#REF!,#REF!,#REF!,FMS_Ranking4[[#This Row],[ArcSinh Res struct removed 0-10]],#REF!)</f>
        <v>#REF!</v>
      </c>
      <c r="BS589" s="199" t="e">
        <f>FMS_Ranking4[[#This Row],[Log Score Based on Normalized Reported Factors]]+FMS_Ranking4[[#This Row],[% NBS Score (Normalized)]]+(FMS_Ranking4[[#This Row],[Water Supply Score (Normalized)]]*10*$BB$5)+(FMS_Ranking4[[#This Row],[FMS_Type Score Weighted]])</f>
        <v>#REF!</v>
      </c>
      <c r="BT589" s="200" t="e">
        <f>_xlfn.RANK.EQ(FMS_Ranking4[[#This Row],[Log Total Score]],FMS_Ranking4[Log Total Score],0)</f>
        <v>#REF!</v>
      </c>
      <c r="BU589" s="200" t="e">
        <f>_xlfn.XLOOKUP(FMS_Ranking4[[#This Row],[FMS ID]],#REF!,#REF!)</f>
        <v>#REF!</v>
      </c>
      <c r="BV589" s="200">
        <f>FMS_Ranking4[[#This Row],[Region Number]]</f>
        <v>1</v>
      </c>
      <c r="BW589" s="200">
        <f>FMS_Ranking4[[#This Row],[Rank (with ArcSinh normalization of select criteria)]]-FMS_Ranking4[[#This Row],[Rank
(with linear
normalization)]]</f>
        <v>187</v>
      </c>
      <c r="BX589" s="200" t="e">
        <f>FMS_Ranking4[[#This Row],[Log Rank]]-FMS_Ranking4[[#This Row],[Rank
(with linear
normalization)]]</f>
        <v>#REF!</v>
      </c>
      <c r="BY589" s="200" t="str">
        <f>IF(FMS_Ranking4[[#This Row],[FMS Type]]="Flood Measurement and Warning",FMS_Ranking4[[#This Row],[Rank (with ArcSinh normalization of select criteria)]],"")</f>
        <v/>
      </c>
      <c r="BZ589" s="200">
        <f>IF(FMS_Ranking4[[#This Row],[FMS Type]]="Regulatory and Guidance",FMS_Ranking4[[#This Row],[Rank (with ArcSinh normalization of select criteria)]],"")</f>
        <v>582</v>
      </c>
      <c r="CA589" s="200" t="str">
        <f>IF(FMS_Ranking4[[#This Row],[FMS Type]]="Education and Outreach",FMS_Ranking4[[#This Row],[Rank (with ArcSinh normalization of select criteria)]],"")</f>
        <v/>
      </c>
      <c r="CB589" s="200" t="str">
        <f>IF(FMS_Ranking4[[#This Row],[FMS Type]]="Property Acquisition and Structural Elevation",FMS_Ranking4[[#This Row],[Rank (with ArcSinh normalization of select criteria)]],"")</f>
        <v/>
      </c>
      <c r="CC589" s="200" t="str">
        <f>IF(FMS_Ranking4[[#This Row],[FMS Type]]="Infrastructure Projects",FMS_Ranking4[[#This Row],[Rank (with ArcSinh normalization of select criteria)]],"")</f>
        <v/>
      </c>
      <c r="CD589" s="200" t="str">
        <f>IF(FMS_Ranking4[[#This Row],[FMS Type]]="Other",FMS_Ranking4[[#This Row],[Rank (with ArcSinh normalization of select criteria)]],"")</f>
        <v/>
      </c>
      <c r="CE589" s="201"/>
      <c r="CF589" s="206"/>
      <c r="CG589" s="206"/>
      <c r="CH589" s="206"/>
      <c r="CI589" s="206"/>
      <c r="CJ589" s="206"/>
      <c r="CK589" s="206"/>
      <c r="CL589" s="206"/>
      <c r="CM589" s="206"/>
      <c r="CN589" s="206"/>
      <c r="CO589" s="206"/>
      <c r="CP589" s="206"/>
      <c r="CQ589" s="206"/>
      <c r="CR589" s="206"/>
    </row>
    <row r="590" spans="2:96" ht="90" x14ac:dyDescent="0.25">
      <c r="B590" s="341" t="s">
        <v>3832</v>
      </c>
      <c r="C590" s="246">
        <f>_xlfn.XLOOKUP(FMS_Ranking4[[#This Row],[FMS ID]],FMS_Input[FMS_ID],FMS_Input[RFPG_NUM])</f>
        <v>13</v>
      </c>
      <c r="D590" s="309" t="str">
        <f>_xlfn.XLOOKUP(FMS_Ranking4[[#This Row],[FMS ID]],FMS_Input[FMS_ID],FMS_Input[FMS_NAME])</f>
        <v>Duval County Master Plan- Clean and Maintain Drainage Infrastructure in San Diego</v>
      </c>
      <c r="E590" s="308" t="str">
        <f>_xlfn.XLOOKUP(FMS_Ranking4[[#This Row],[FMS ID]],FMS_Input[FMS_ID],FMS_Input[SPONSOR])</f>
        <v>13000079, 13000080</v>
      </c>
      <c r="F590" s="309" t="str">
        <f>_xlfn.XLOOKUP(FMS_Ranking4[[#This Row],[FMS ID]],Sponsor[FMS_ID],Sponsor[SPONSOR NAME])</f>
        <v>Duval, Jim Wells</v>
      </c>
      <c r="G590" s="309" t="str">
        <f>_xlfn.XLOOKUP(FMS_Ranking4[[#This Row],[FMS ID]],FMS_Input[FMS_ID],FMS_Input[FMS_DESCR])</f>
        <v>Clear, clean, and maintain current stormwater drainage infrastructure such as curbs and gutters on roads, culverts, ditches, inlets, and outfalls into San Diego Creek.</v>
      </c>
      <c r="H590" s="248" t="str">
        <f>_xlfn.XLOOKUP(FMS_Ranking4[[#This Row],[FMS ID]],FMS_Input[FMS_ID],FMS_Input[FMS_TYPE])</f>
        <v>Other</v>
      </c>
      <c r="I590" s="249">
        <f>_xlfn.XLOOKUP(FMS_Ranking4[[#This Row],[FMS ID]],FMS_Input[FMS_ID],FMS_Input[NRNC_COST])</f>
        <v>205000</v>
      </c>
      <c r="J590" s="250">
        <f>_xlfn.XLOOKUP(FMS_Ranking4[[#This Row],[FMS ID]],FMS_Input[FMS_ID],FMS_Input[FMS_COST])</f>
        <v>205000</v>
      </c>
      <c r="K590" s="251" t="str">
        <f>_xlfn.XLOOKUP(FMS_Ranking4[[#This Row],[FMS ID]],FMS_Input[FMS_ID],FMS_Input[EMER_NEED])</f>
        <v>Yes</v>
      </c>
      <c r="L590" s="252">
        <f t="shared" si="9"/>
        <v>1</v>
      </c>
      <c r="M590" s="253">
        <f>_xlfn.XLOOKUP(FMS_Ranking4[[#This Row],[FMS ID]],FMS_Input[FMS_ID],FMS_Input[STRUCT_100])</f>
        <v>207</v>
      </c>
      <c r="N590" s="255">
        <f>(ASINH(FMS_Ranking4[[#This Row],[Structure at Risk Raw]]))*(10)/(ASINH(M$4))</f>
        <v>4.7372324547098268</v>
      </c>
      <c r="O590" s="256">
        <f>FMS_Ranking4[[#This Row],[Structures at risk, ArcSinh (0-10)]]*M$5*10</f>
        <v>4.7372324547098268</v>
      </c>
      <c r="P590" s="253">
        <f>_xlfn.XLOOKUP(FMS_Ranking4[[#This Row],[FMS ID]],FMS_Input[FMS_ID],FMS_Input[RES_STRUCT100])</f>
        <v>170</v>
      </c>
      <c r="Q590" s="257">
        <f>ASINH(FMS_Ranking4[[#This Row],[Res Structure Raw]])/Q$4*P$5*100</f>
        <v>0</v>
      </c>
      <c r="R590" s="253">
        <f>_xlfn.XLOOKUP(FMS_Ranking4[[#This Row],[FMS ID]],FMS_Input[FMS_ID],FMS_Input[POP100])</f>
        <v>482</v>
      </c>
      <c r="S590" s="255">
        <f>(ASINH(FMS_Ranking4[[#This Row],[Pop at Risk Raw]]))*(10)/(ASINH(R$4))</f>
        <v>4.7435150842719498</v>
      </c>
      <c r="T590" s="256">
        <f>FMS_Ranking4[[#This Row],[Population at risk, ArcSinh (0-10)]]*R$5*10</f>
        <v>4.7435150842719498</v>
      </c>
      <c r="U590" s="253">
        <f>_xlfn.XLOOKUP(FMS_Ranking4[[#This Row],[FMS ID]],FMS_Input[FMS_ID],FMS_Input[CRITFAC100])</f>
        <v>0</v>
      </c>
      <c r="V590" s="255">
        <f>(ASINH(FMS_Ranking4[[#This Row],[Critical Facilities Raw]]))*(10)/(ASINH(U$4))</f>
        <v>0</v>
      </c>
      <c r="W590" s="256">
        <f>FMS_Ranking4[[#This Row],[Critical facilities at risk, ArcSinh (0-10)]]*U$5*10</f>
        <v>0</v>
      </c>
      <c r="X590" s="253">
        <f>_xlfn.XLOOKUP(FMS_Ranking4[[#This Row],[FMS ID]],FMS_Input[FMS_ID],FMS_Input[LWC])</f>
        <v>0</v>
      </c>
      <c r="Y590" s="255">
        <f>(ASINH(FMS_Ranking4[[#This Row],[LWC Raw]]))*(10)/(ASINH(X$4))</f>
        <v>0</v>
      </c>
      <c r="Z590" s="256">
        <f>FMS_Ranking4[[#This Row],[LWC, ArcSInh (0-10)]]*X$5*10</f>
        <v>0</v>
      </c>
      <c r="AA590" s="253">
        <f>_xlfn.XLOOKUP(FMS_Ranking4[[#This Row],[FMS ID]],FMS_Input[FMS_ID],FMS_Input[ROADCLS])</f>
        <v>57</v>
      </c>
      <c r="AB590" s="255">
        <f>(ASINH(FMS_Ranking4[[#This Row],[Road Closures Raw]]))*(10)/(ASINH(AA$4))</f>
        <v>4.9323961046830185</v>
      </c>
      <c r="AC590" s="256">
        <f>FMS_Ranking4[[#This Row],[Road closures, ArcSinh (0-10)]]*AA$5*10</f>
        <v>2.4661980523415092</v>
      </c>
      <c r="AD590" s="253">
        <f>_xlfn.XLOOKUP(FMS_Ranking4[[#This Row],[FMS ID]],FMS_Input[FMS_ID],FMS_Input[ROAD_MILES100])</f>
        <v>6</v>
      </c>
      <c r="AE590" s="255">
        <f>(ASINH(FMS_Ranking4[[#This Row],[Road Miles Raw]]))*(10)/(ASINH(AD$4))</f>
        <v>2.6555517738739667</v>
      </c>
      <c r="AF590" s="256">
        <f>FMS_Ranking4[[#This Row],[Length of roads at risk, ArcSinh (0-10)]]*AD$5*10</f>
        <v>2.6555517738739671</v>
      </c>
      <c r="AG590" s="253">
        <f>_xlfn.XLOOKUP(FMS_Ranking4[[#This Row],[FMS ID]],FMS_Input[FMS_ID],FMS_Input[FARMACRE100])</f>
        <v>3.5540692806243901</v>
      </c>
      <c r="AH590" s="255">
        <f>(ASINH(FMS_Ranking4[[#This Row],[Ag Land Raw]]))*(10)/(ASINH(AG$4))</f>
        <v>1.2864761768049584</v>
      </c>
      <c r="AI590" s="260">
        <f>FMS_Ranking4[[#This Row],[Farm &amp; ranch land, ArcSinh (0-10)]]*AG$5*10</f>
        <v>0.6432380884024792</v>
      </c>
      <c r="AJ590" s="258">
        <f>_xlfn.XLOOKUP(FMS_Ranking4[[#This Row],[FMS ID]],FMS_Input[FMS_ID],FMS_Input[REDSTRUCT100])</f>
        <v>0</v>
      </c>
      <c r="AK590" s="253">
        <f>_xlfn.XLOOKUP(FMS_Ranking4[[#This Row],[FMS ID]],FMS_Input[FMS_ID],FMS_Input[REMSTRC100])</f>
        <v>0</v>
      </c>
      <c r="AL590" s="255">
        <f>(ASINH(FMS_Ranking4[[#This Row],[Structures Removed Raw]]))*(10)/(ASINH(AK$4))</f>
        <v>0</v>
      </c>
      <c r="AM590" s="262">
        <f>FMS_Ranking4[[#This Row],[Structures removed, ArcSinh (0-10)]]*AK$5*10</f>
        <v>0</v>
      </c>
      <c r="AN590" s="253">
        <f>_xlfn.XLOOKUP(FMS_Ranking4[[#This Row],[FMS ID]],FMS_Input[FMS_ID],FMS_Input[REMRESSTRC100])</f>
        <v>0</v>
      </c>
      <c r="AO590" s="261">
        <f>FMS_Ranking4[[#This Row],[ArcSinh Res struct removed 0-10]]*AN$5*10</f>
        <v>0</v>
      </c>
      <c r="AP590" s="260">
        <f>ASINH(FMS_Ranking4[[#This Row],[Residential Structures Removed Raw]])/AP$4*AN$5*100</f>
        <v>0</v>
      </c>
      <c r="AQ590" s="258">
        <f>(ASINH(FMS_Ranking4[[#This Row],[Residential Structures Removed Raw]]))*(10)/(ASINH(AN$4))</f>
        <v>0</v>
      </c>
      <c r="AR590" s="253">
        <f>_xlfn.XLOOKUP(FMS_Ranking4[[#This Row],[FMS ID]],FMS_Input[FMS_ID],FMS_Input[REMPOP100])</f>
        <v>0</v>
      </c>
      <c r="AS590" s="255">
        <f>(ASINH(FMS_Ranking4[[#This Row],[Removed Pop Raw]]))*(10)/(ASINH(AR$4))</f>
        <v>0</v>
      </c>
      <c r="AT590" s="262">
        <f>FMS_Ranking4[[#This Row],[Removed population, ArcSinh (0-10)]]*AR$5*10</f>
        <v>0</v>
      </c>
      <c r="AU590" s="264">
        <f>_xlfn.XLOOKUP(FMS_Ranking4[[#This Row],[FMS ID]],FMS_Input[FMS_ID],FMS_Input[REMCRITFAC100])</f>
        <v>0</v>
      </c>
      <c r="AV590" s="264">
        <f>_xlfn.XLOOKUP(FMS_Ranking4[[#This Row],[FMS ID]],FMS_Input[FMS_ID],FMS_Input[REMLWC100])</f>
        <v>0</v>
      </c>
      <c r="AW590" s="264">
        <f>_xlfn.XLOOKUP(FMS_Ranking4[[#This Row],[FMS ID]],FMS_Input[FMS_ID],FMS_Input[REMROADCLS])</f>
        <v>0</v>
      </c>
      <c r="AX590" s="264">
        <f>_xlfn.XLOOKUP(FMS_Ranking4[[#This Row],[FMS ID]],FMS_Input[FMS_ID],FMS_Input[REMFRMACRE100])</f>
        <v>0</v>
      </c>
      <c r="AY590" s="258">
        <f>_xlfn.XLOOKUP(FMS_Ranking4[[#This Row],[FMS ID]],FMS_Input[FMS_ID],FMS_Input[COSTSTRUCT])</f>
        <v>0</v>
      </c>
      <c r="AZ590" s="253">
        <f>_xlfn.XLOOKUP(FMS_Ranking4[[#This Row],[FMS ID]],FMS_Input[FMS_ID],FMS_Input[NATURE])</f>
        <v>0</v>
      </c>
      <c r="BA590" s="262">
        <f>(((FMS_Ranking4[[#This Row],[% NBS Raw]]/AZ$4)*100)*AZ$5)</f>
        <v>0</v>
      </c>
      <c r="BB590" s="251" t="str">
        <f>_xlfn.XLOOKUP(FMS_Ranking4[[#This Row],[FMS ID]],FMS_Input[FMS_ID],FMS_Input[WATER_SUP])</f>
        <v>No</v>
      </c>
      <c r="BC590" s="265">
        <f>IF(FMS_Ranking4[[#This Row],[Water Supply Raw]]="Yes",10,0)</f>
        <v>0</v>
      </c>
      <c r="BD590" s="266">
        <f>_xlfn.XLOOKUP(FMS_Ranking4[[#This Row],[FMS Type]],FMS_TYPE[FMS_Type],FMS_TYPE[Score])</f>
        <v>2</v>
      </c>
      <c r="BE590" s="267">
        <f>FMS_Ranking4[[#This Row],[FMS_Type Score]]*$BD$5*10</f>
        <v>0.5</v>
      </c>
      <c r="BF59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6.5927897267832394E-2</v>
      </c>
      <c r="BG590" s="321">
        <f>_xlfn.RANK.EQ(BF590,$BF$8:$BF$870,0)+COUNTIF($BF$8:BF590,BF590)-1</f>
        <v>523</v>
      </c>
      <c r="BH590" s="294">
        <f>(((FMS_Ranking4[[#This Row],[Structures Removed Raw]]/AK$4)*100)*AK$5)+(((FMS_Ranking4[[#This Row],[Removed Pop Raw]]/AR$4)*100)*AR$5)</f>
        <v>0</v>
      </c>
      <c r="BI59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0.56592789726783244</v>
      </c>
      <c r="BJ590" s="251">
        <f>_xlfn.RANK.EQ(FMS_Ranking4[[#This Row],[Total Score 
(with linear
normalization)]],FMS_Ranking4[Total Score 
(with linear
normalization)],0)</f>
        <v>822</v>
      </c>
      <c r="BK590" s="251" t="e">
        <f>_xlfn.XLOOKUP(FMS_Ranking4[[#This Row],[FMS ID]],#REF!,#REF!)</f>
        <v>#REF!</v>
      </c>
      <c r="BL59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15.245735453599732</v>
      </c>
      <c r="BM590" s="324">
        <f>FMS_Ranking4[[#This Row],[ArcSinh Score Based on Normalized Reported Factors]]+FMS_Ranking4[[#This Row],[% NBS Score (Normalized)]]+(FMS_Ranking4[[#This Row],[Water Supply Score (Normalized)]]*10*$BB$5)+FMS_Ranking4[[#This Row],[FMS_Type Score Weighted]]</f>
        <v>15.745735453599732</v>
      </c>
      <c r="BN590" s="251">
        <f>_xlfn.RANK.EQ(FMS_Ranking4[[#This Row],[Total Score (with ArcSinh normalization of select criteria)]],FMS_Ranking4[Total Score (with ArcSinh normalization of select criteria)],0)</f>
        <v>583</v>
      </c>
      <c r="BO590" s="270" t="str">
        <f>_xlfn.XLOOKUP(FMS_Ranking4[[#This Row],[FMS ID]],FMS_Input[FMS_ID],FMS_Input[FMS_RANK_YEAR])</f>
        <v>2023 Amended Plan</v>
      </c>
      <c r="BP590" s="204">
        <f>_xlfn.XLOOKUP(FMS_Ranking4[[#This Row],[FMS ID]],Prev_Rank[FMS ID],Prev_Rank[Prev Rank])</f>
        <v>514</v>
      </c>
      <c r="BQ590" s="251" t="e">
        <f>_xlfn.XLOOKUP(FMS_Ranking4[[#This Row],[FMS ID]],#REF!,#REF!)</f>
        <v>#REF!</v>
      </c>
      <c r="BR590" s="199" t="e">
        <f>SUM(#REF!,#REF!,#REF!,#REF!,#REF!,#REF!,#REF!,#REF!,#REF!,FMS_Ranking4[[#This Row],[ArcSinh Res struct removed 0-10]],#REF!)</f>
        <v>#REF!</v>
      </c>
      <c r="BS590" s="199" t="e">
        <f>FMS_Ranking4[[#This Row],[Log Score Based on Normalized Reported Factors]]+FMS_Ranking4[[#This Row],[% NBS Score (Normalized)]]+(FMS_Ranking4[[#This Row],[Water Supply Score (Normalized)]]*10*$BB$5)+(FMS_Ranking4[[#This Row],[FMS_Type Score Weighted]])</f>
        <v>#REF!</v>
      </c>
      <c r="BT590" s="200" t="e">
        <f>_xlfn.RANK.EQ(FMS_Ranking4[[#This Row],[Log Total Score]],FMS_Ranking4[Log Total Score],0)</f>
        <v>#REF!</v>
      </c>
      <c r="BU590" s="200" t="e">
        <f>_xlfn.XLOOKUP(FMS_Ranking4[[#This Row],[FMS ID]],#REF!,#REF!)</f>
        <v>#REF!</v>
      </c>
      <c r="BV590" s="200">
        <f>FMS_Ranking4[[#This Row],[Region Number]]</f>
        <v>13</v>
      </c>
      <c r="BW590" s="200">
        <f>FMS_Ranking4[[#This Row],[Rank (with ArcSinh normalization of select criteria)]]-FMS_Ranking4[[#This Row],[Rank
(with linear
normalization)]]</f>
        <v>-239</v>
      </c>
      <c r="BX590" s="200" t="e">
        <f>FMS_Ranking4[[#This Row],[Log Rank]]-FMS_Ranking4[[#This Row],[Rank
(with linear
normalization)]]</f>
        <v>#REF!</v>
      </c>
      <c r="BY590" s="200" t="str">
        <f>IF(FMS_Ranking4[[#This Row],[FMS Type]]="Flood Measurement and Warning",FMS_Ranking4[[#This Row],[Rank (with ArcSinh normalization of select criteria)]],"")</f>
        <v/>
      </c>
      <c r="BZ590" s="200" t="str">
        <f>IF(FMS_Ranking4[[#This Row],[FMS Type]]="Regulatory and Guidance",FMS_Ranking4[[#This Row],[Rank (with ArcSinh normalization of select criteria)]],"")</f>
        <v/>
      </c>
      <c r="CA590" s="200" t="str">
        <f>IF(FMS_Ranking4[[#This Row],[FMS Type]]="Education and Outreach",FMS_Ranking4[[#This Row],[Rank (with ArcSinh normalization of select criteria)]],"")</f>
        <v/>
      </c>
      <c r="CB590" s="200" t="str">
        <f>IF(FMS_Ranking4[[#This Row],[FMS Type]]="Property Acquisition and Structural Elevation",FMS_Ranking4[[#This Row],[Rank (with ArcSinh normalization of select criteria)]],"")</f>
        <v/>
      </c>
      <c r="CC590" s="200" t="str">
        <f>IF(FMS_Ranking4[[#This Row],[FMS Type]]="Infrastructure Projects",FMS_Ranking4[[#This Row],[Rank (with ArcSinh normalization of select criteria)]],"")</f>
        <v/>
      </c>
      <c r="CD590" s="200">
        <f>IF(FMS_Ranking4[[#This Row],[FMS Type]]="Other",FMS_Ranking4[[#This Row],[Rank (with ArcSinh normalization of select criteria)]],"")</f>
        <v>583</v>
      </c>
      <c r="CE590" s="201"/>
      <c r="CF590" s="206"/>
      <c r="CG590" s="206"/>
      <c r="CH590" s="206"/>
      <c r="CI590" s="206"/>
      <c r="CJ590" s="206"/>
      <c r="CK590" s="206"/>
      <c r="CL590" s="206"/>
      <c r="CM590" s="206"/>
      <c r="CN590" s="206"/>
      <c r="CO590" s="206"/>
      <c r="CP590" s="206"/>
      <c r="CQ590" s="206"/>
      <c r="CR590" s="206"/>
    </row>
    <row r="591" spans="2:96" ht="60" x14ac:dyDescent="0.25">
      <c r="B591" s="341" t="s">
        <v>4115</v>
      </c>
      <c r="C591" s="246">
        <f>_xlfn.XLOOKUP(FMS_Ranking4[[#This Row],[FMS ID]],FMS_Input[FMS_ID],FMS_Input[RFPG_NUM])</f>
        <v>15</v>
      </c>
      <c r="D591" s="309" t="str">
        <f>_xlfn.XLOOKUP(FMS_Ranking4[[#This Row],[FMS ID]],FMS_Input[FMS_ID],FMS_Input[FMS_NAME])</f>
        <v>City of Indian Lake - Indian lake Drainage Infrastructure Funding Study</v>
      </c>
      <c r="E591" s="308" t="str">
        <f>_xlfn.XLOOKUP(FMS_Ranking4[[#This Row],[FMS ID]],FMS_Input[FMS_ID],FMS_Input[SPONSOR])</f>
        <v>15000046</v>
      </c>
      <c r="F591" s="309" t="str">
        <f>_xlfn.XLOOKUP(FMS_Ranking4[[#This Row],[FMS ID]],Sponsor[FMS_ID],Sponsor[SPONSOR NAME])</f>
        <v>Indian Lake</v>
      </c>
      <c r="G591" s="309" t="str">
        <f>_xlfn.XLOOKUP(FMS_Ranking4[[#This Row],[FMS ID]],FMS_Input[FMS_ID],FMS_Input[FMS_DESCR])</f>
        <v>Develop Plan for funding for future drainage infrastructure</v>
      </c>
      <c r="H591" s="248" t="str">
        <f>_xlfn.XLOOKUP(FMS_Ranking4[[#This Row],[FMS ID]],FMS_Input[FMS_ID],FMS_Input[FMS_TYPE])</f>
        <v>Other</v>
      </c>
      <c r="I591" s="249">
        <f>_xlfn.XLOOKUP(FMS_Ranking4[[#This Row],[FMS ID]],FMS_Input[FMS_ID],FMS_Input[NRNC_COST])</f>
        <v>25000</v>
      </c>
      <c r="J591" s="250">
        <f>_xlfn.XLOOKUP(FMS_Ranking4[[#This Row],[FMS ID]],FMS_Input[FMS_ID],FMS_Input[FMS_COST])</f>
        <v>250000</v>
      </c>
      <c r="K591" s="251" t="str">
        <f>_xlfn.XLOOKUP(FMS_Ranking4[[#This Row],[FMS ID]],FMS_Input[FMS_ID],FMS_Input[EMER_NEED])</f>
        <v>Yes</v>
      </c>
      <c r="L591" s="252">
        <f t="shared" si="9"/>
        <v>1</v>
      </c>
      <c r="M591" s="253">
        <f>_xlfn.XLOOKUP(FMS_Ranking4[[#This Row],[FMS ID]],FMS_Input[FMS_ID],FMS_Input[STRUCT_100])</f>
        <v>207</v>
      </c>
      <c r="N591" s="255">
        <f>(ASINH(FMS_Ranking4[[#This Row],[Structure at Risk Raw]]))*(10)/(ASINH(M$4))</f>
        <v>4.7372324547098268</v>
      </c>
      <c r="O591" s="256">
        <f>FMS_Ranking4[[#This Row],[Structures at risk, ArcSinh (0-10)]]*M$5*10</f>
        <v>4.7372324547098268</v>
      </c>
      <c r="P591" s="253">
        <f>_xlfn.XLOOKUP(FMS_Ranking4[[#This Row],[FMS ID]],FMS_Input[FMS_ID],FMS_Input[RES_STRUCT100])</f>
        <v>196</v>
      </c>
      <c r="Q591" s="257">
        <f>ASINH(FMS_Ranking4[[#This Row],[Res Structure Raw]])/Q$4*P$5*100</f>
        <v>0</v>
      </c>
      <c r="R591" s="253">
        <f>_xlfn.XLOOKUP(FMS_Ranking4[[#This Row],[FMS ID]],FMS_Input[FMS_ID],FMS_Input[POP100])</f>
        <v>535</v>
      </c>
      <c r="S591" s="255">
        <f>(ASINH(FMS_Ranking4[[#This Row],[Pop at Risk Raw]]))*(10)/(ASINH(R$4))</f>
        <v>4.8155349312759936</v>
      </c>
      <c r="T591" s="256">
        <f>FMS_Ranking4[[#This Row],[Population at risk, ArcSinh (0-10)]]*R$5*10</f>
        <v>4.8155349312759936</v>
      </c>
      <c r="U591" s="253">
        <f>_xlfn.XLOOKUP(FMS_Ranking4[[#This Row],[FMS ID]],FMS_Input[FMS_ID],FMS_Input[CRITFAC100])</f>
        <v>0</v>
      </c>
      <c r="V591" s="255">
        <f>(ASINH(FMS_Ranking4[[#This Row],[Critical Facilities Raw]]))*(10)/(ASINH(U$4))</f>
        <v>0</v>
      </c>
      <c r="W591" s="256">
        <f>FMS_Ranking4[[#This Row],[Critical facilities at risk, ArcSinh (0-10)]]*U$5*10</f>
        <v>0</v>
      </c>
      <c r="X591" s="253">
        <f>_xlfn.XLOOKUP(FMS_Ranking4[[#This Row],[FMS ID]],FMS_Input[FMS_ID],FMS_Input[LWC])</f>
        <v>3</v>
      </c>
      <c r="Y591" s="255">
        <f>(ASINH(FMS_Ranking4[[#This Row],[LWC Raw]]))*(10)/(ASINH(X$4))</f>
        <v>2.4635181155638843</v>
      </c>
      <c r="Z591" s="256">
        <f>FMS_Ranking4[[#This Row],[LWC, ArcSInh (0-10)]]*X$5*10</f>
        <v>2.4635181155638843</v>
      </c>
      <c r="AA591" s="253">
        <f>_xlfn.XLOOKUP(FMS_Ranking4[[#This Row],[FMS ID]],FMS_Input[FMS_ID],FMS_Input[ROADCLS])</f>
        <v>0</v>
      </c>
      <c r="AB591" s="255">
        <f>(ASINH(FMS_Ranking4[[#This Row],[Road Closures Raw]]))*(10)/(ASINH(AA$4))</f>
        <v>0</v>
      </c>
      <c r="AC591" s="256">
        <f>FMS_Ranking4[[#This Row],[Road closures, ArcSinh (0-10)]]*AA$5*10</f>
        <v>0</v>
      </c>
      <c r="AD591" s="253">
        <f>_xlfn.XLOOKUP(FMS_Ranking4[[#This Row],[FMS ID]],FMS_Input[FMS_ID],FMS_Input[ROAD_MILES100])</f>
        <v>3</v>
      </c>
      <c r="AE591" s="255">
        <f>(ASINH(FMS_Ranking4[[#This Row],[Road Miles Raw]]))*(10)/(ASINH(AD$4))</f>
        <v>1.937963626835977</v>
      </c>
      <c r="AF591" s="256">
        <f>FMS_Ranking4[[#This Row],[Length of roads at risk, ArcSinh (0-10)]]*AD$5*10</f>
        <v>1.937963626835977</v>
      </c>
      <c r="AG591" s="253">
        <f>_xlfn.XLOOKUP(FMS_Ranking4[[#This Row],[FMS ID]],FMS_Input[FMS_ID],FMS_Input[FARMACRE100])</f>
        <v>24.497932434082031</v>
      </c>
      <c r="AH591" s="255">
        <f>(ASINH(FMS_Ranking4[[#This Row],[Ag Land Raw]]))*(10)/(ASINH(AG$4))</f>
        <v>2.5282699497405807</v>
      </c>
      <c r="AI591" s="260">
        <f>FMS_Ranking4[[#This Row],[Farm &amp; ranch land, ArcSinh (0-10)]]*AG$5*10</f>
        <v>1.2641349748702904</v>
      </c>
      <c r="AJ591" s="258">
        <f>_xlfn.XLOOKUP(FMS_Ranking4[[#This Row],[FMS ID]],FMS_Input[FMS_ID],FMS_Input[REDSTRUCT100])</f>
        <v>0</v>
      </c>
      <c r="AK591" s="253">
        <f>_xlfn.XLOOKUP(FMS_Ranking4[[#This Row],[FMS ID]],FMS_Input[FMS_ID],FMS_Input[REMSTRC100])</f>
        <v>0</v>
      </c>
      <c r="AL591" s="255">
        <f>(ASINH(FMS_Ranking4[[#This Row],[Structures Removed Raw]]))*(10)/(ASINH(AK$4))</f>
        <v>0</v>
      </c>
      <c r="AM591" s="262">
        <f>FMS_Ranking4[[#This Row],[Structures removed, ArcSinh (0-10)]]*AK$5*10</f>
        <v>0</v>
      </c>
      <c r="AN591" s="253">
        <f>_xlfn.XLOOKUP(FMS_Ranking4[[#This Row],[FMS ID]],FMS_Input[FMS_ID],FMS_Input[REMRESSTRC100])</f>
        <v>0</v>
      </c>
      <c r="AO591" s="261">
        <f>FMS_Ranking4[[#This Row],[ArcSinh Res struct removed 0-10]]*AN$5*10</f>
        <v>0</v>
      </c>
      <c r="AP591" s="260">
        <f>ASINH(FMS_Ranking4[[#This Row],[Residential Structures Removed Raw]])/AP$4*AN$5*100</f>
        <v>0</v>
      </c>
      <c r="AQ591" s="258">
        <f>(ASINH(FMS_Ranking4[[#This Row],[Residential Structures Removed Raw]]))*(10)/(ASINH(AN$4))</f>
        <v>0</v>
      </c>
      <c r="AR591" s="253">
        <f>_xlfn.XLOOKUP(FMS_Ranking4[[#This Row],[FMS ID]],FMS_Input[FMS_ID],FMS_Input[REMPOP100])</f>
        <v>0</v>
      </c>
      <c r="AS591" s="255">
        <f>(ASINH(FMS_Ranking4[[#This Row],[Removed Pop Raw]]))*(10)/(ASINH(AR$4))</f>
        <v>0</v>
      </c>
      <c r="AT591" s="262">
        <f>FMS_Ranking4[[#This Row],[Removed population, ArcSinh (0-10)]]*AR$5*10</f>
        <v>0</v>
      </c>
      <c r="AU591" s="264">
        <f>_xlfn.XLOOKUP(FMS_Ranking4[[#This Row],[FMS ID]],FMS_Input[FMS_ID],FMS_Input[REMCRITFAC100])</f>
        <v>0</v>
      </c>
      <c r="AV591" s="264">
        <f>_xlfn.XLOOKUP(FMS_Ranking4[[#This Row],[FMS ID]],FMS_Input[FMS_ID],FMS_Input[REMLWC100])</f>
        <v>0</v>
      </c>
      <c r="AW591" s="264">
        <f>_xlfn.XLOOKUP(FMS_Ranking4[[#This Row],[FMS ID]],FMS_Input[FMS_ID],FMS_Input[REMROADCLS])</f>
        <v>0</v>
      </c>
      <c r="AX591" s="264">
        <f>_xlfn.XLOOKUP(FMS_Ranking4[[#This Row],[FMS ID]],FMS_Input[FMS_ID],FMS_Input[REMFRMACRE100])</f>
        <v>0</v>
      </c>
      <c r="AY591" s="258">
        <f>_xlfn.XLOOKUP(FMS_Ranking4[[#This Row],[FMS ID]],FMS_Input[FMS_ID],FMS_Input[COSTSTRUCT])</f>
        <v>0</v>
      </c>
      <c r="AZ591" s="253">
        <f>_xlfn.XLOOKUP(FMS_Ranking4[[#This Row],[FMS ID]],FMS_Input[FMS_ID],FMS_Input[NATURE])</f>
        <v>0</v>
      </c>
      <c r="BA591" s="262">
        <f>(((FMS_Ranking4[[#This Row],[% NBS Raw]]/AZ$4)*100)*AZ$5)</f>
        <v>0</v>
      </c>
      <c r="BB591" s="251" t="str">
        <f>_xlfn.XLOOKUP(FMS_Ranking4[[#This Row],[FMS ID]],FMS_Input[FMS_ID],FMS_Input[WATER_SUP])</f>
        <v>No</v>
      </c>
      <c r="BC591" s="265">
        <f>IF(FMS_Ranking4[[#This Row],[Water Supply Raw]]="Yes",10,0)</f>
        <v>0</v>
      </c>
      <c r="BD591" s="266">
        <f>_xlfn.XLOOKUP(FMS_Ranking4[[#This Row],[FMS Type]],FMS_TYPE[FMS_Type],FMS_TYPE[Score])</f>
        <v>2</v>
      </c>
      <c r="BE591" s="267">
        <f>FMS_Ranking4[[#This Row],[FMS_Type Score]]*$BD$5*10</f>
        <v>0.5</v>
      </c>
      <c r="BF59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6.0312920741364802E-2</v>
      </c>
      <c r="BG591" s="321">
        <f>_xlfn.RANK.EQ(BF591,$BF$8:$BF$870,0)+COUNTIF($BF$8:BF591,BF591)-1</f>
        <v>540</v>
      </c>
      <c r="BH591" s="294">
        <f>(((FMS_Ranking4[[#This Row],[Structures Removed Raw]]/AK$4)*100)*AK$5)+(((FMS_Ranking4[[#This Row],[Removed Pop Raw]]/AR$4)*100)*AR$5)</f>
        <v>0</v>
      </c>
      <c r="BI59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0.56031292074136485</v>
      </c>
      <c r="BJ591" s="251">
        <f>_xlfn.RANK.EQ(FMS_Ranking4[[#This Row],[Total Score 
(with linear
normalization)]],FMS_Ranking4[Total Score 
(with linear
normalization)],0)</f>
        <v>826</v>
      </c>
      <c r="BK591" s="251" t="e">
        <f>_xlfn.XLOOKUP(FMS_Ranking4[[#This Row],[FMS ID]],#REF!,#REF!)</f>
        <v>#REF!</v>
      </c>
      <c r="BL59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15.218384103255971</v>
      </c>
      <c r="BM591" s="324">
        <f>FMS_Ranking4[[#This Row],[ArcSinh Score Based on Normalized Reported Factors]]+FMS_Ranking4[[#This Row],[% NBS Score (Normalized)]]+(FMS_Ranking4[[#This Row],[Water Supply Score (Normalized)]]*10*$BB$5)+FMS_Ranking4[[#This Row],[FMS_Type Score Weighted]]</f>
        <v>15.718384103255971</v>
      </c>
      <c r="BN591" s="251">
        <f>_xlfn.RANK.EQ(FMS_Ranking4[[#This Row],[Total Score (with ArcSinh normalization of select criteria)]],FMS_Ranking4[Total Score (with ArcSinh normalization of select criteria)],0)</f>
        <v>584</v>
      </c>
      <c r="BO591" s="270" t="str">
        <f>_xlfn.XLOOKUP(FMS_Ranking4[[#This Row],[FMS ID]],FMS_Input[FMS_ID],FMS_Input[FMS_RANK_YEAR])</f>
        <v>2023 Amended Plan</v>
      </c>
      <c r="BP591" s="204">
        <f>_xlfn.XLOOKUP(FMS_Ranking4[[#This Row],[FMS ID]],Prev_Rank[FMS ID],Prev_Rank[Prev Rank])</f>
        <v>516</v>
      </c>
      <c r="BQ591" s="251" t="e">
        <f>_xlfn.XLOOKUP(FMS_Ranking4[[#This Row],[FMS ID]],#REF!,#REF!)</f>
        <v>#REF!</v>
      </c>
      <c r="BR591" s="199" t="e">
        <f>SUM(#REF!,#REF!,#REF!,#REF!,#REF!,#REF!,#REF!,#REF!,#REF!,FMS_Ranking4[[#This Row],[ArcSinh Res struct removed 0-10]],#REF!)</f>
        <v>#REF!</v>
      </c>
      <c r="BS591" s="199" t="e">
        <f>FMS_Ranking4[[#This Row],[Log Score Based on Normalized Reported Factors]]+FMS_Ranking4[[#This Row],[% NBS Score (Normalized)]]+(FMS_Ranking4[[#This Row],[Water Supply Score (Normalized)]]*10*$BB$5)+(FMS_Ranking4[[#This Row],[FMS_Type Score Weighted]])</f>
        <v>#REF!</v>
      </c>
      <c r="BT591" s="200" t="e">
        <f>_xlfn.RANK.EQ(FMS_Ranking4[[#This Row],[Log Total Score]],FMS_Ranking4[Log Total Score],0)</f>
        <v>#REF!</v>
      </c>
      <c r="BU591" s="200" t="e">
        <f>_xlfn.XLOOKUP(FMS_Ranking4[[#This Row],[FMS ID]],#REF!,#REF!)</f>
        <v>#REF!</v>
      </c>
      <c r="BV591" s="200">
        <f>FMS_Ranking4[[#This Row],[Region Number]]</f>
        <v>15</v>
      </c>
      <c r="BW591" s="200">
        <f>FMS_Ranking4[[#This Row],[Rank (with ArcSinh normalization of select criteria)]]-FMS_Ranking4[[#This Row],[Rank
(with linear
normalization)]]</f>
        <v>-242</v>
      </c>
      <c r="BX591" s="200" t="e">
        <f>FMS_Ranking4[[#This Row],[Log Rank]]-FMS_Ranking4[[#This Row],[Rank
(with linear
normalization)]]</f>
        <v>#REF!</v>
      </c>
      <c r="BY591" s="200" t="str">
        <f>IF(FMS_Ranking4[[#This Row],[FMS Type]]="Flood Measurement and Warning",FMS_Ranking4[[#This Row],[Rank (with ArcSinh normalization of select criteria)]],"")</f>
        <v/>
      </c>
      <c r="BZ591" s="200" t="str">
        <f>IF(FMS_Ranking4[[#This Row],[FMS Type]]="Regulatory and Guidance",FMS_Ranking4[[#This Row],[Rank (with ArcSinh normalization of select criteria)]],"")</f>
        <v/>
      </c>
      <c r="CA591" s="200" t="str">
        <f>IF(FMS_Ranking4[[#This Row],[FMS Type]]="Education and Outreach",FMS_Ranking4[[#This Row],[Rank (with ArcSinh normalization of select criteria)]],"")</f>
        <v/>
      </c>
      <c r="CB591" s="200" t="str">
        <f>IF(FMS_Ranking4[[#This Row],[FMS Type]]="Property Acquisition and Structural Elevation",FMS_Ranking4[[#This Row],[Rank (with ArcSinh normalization of select criteria)]],"")</f>
        <v/>
      </c>
      <c r="CC591" s="200" t="str">
        <f>IF(FMS_Ranking4[[#This Row],[FMS Type]]="Infrastructure Projects",FMS_Ranking4[[#This Row],[Rank (with ArcSinh normalization of select criteria)]],"")</f>
        <v/>
      </c>
      <c r="CD591" s="200">
        <f>IF(FMS_Ranking4[[#This Row],[FMS Type]]="Other",FMS_Ranking4[[#This Row],[Rank (with ArcSinh normalization of select criteria)]],"")</f>
        <v>584</v>
      </c>
      <c r="CE591" s="201"/>
      <c r="CF591" s="206"/>
      <c r="CG591" s="206"/>
      <c r="CH591" s="206"/>
      <c r="CI591" s="206"/>
      <c r="CJ591" s="206"/>
      <c r="CK591" s="206"/>
      <c r="CL591" s="206"/>
      <c r="CM591" s="206"/>
      <c r="CN591" s="206"/>
      <c r="CO591" s="206"/>
      <c r="CP591" s="206"/>
      <c r="CQ591" s="206"/>
      <c r="CR591" s="206"/>
    </row>
    <row r="592" spans="2:96" ht="75" x14ac:dyDescent="0.25">
      <c r="B592" s="341" t="s">
        <v>3844</v>
      </c>
      <c r="C592" s="246">
        <f>_xlfn.XLOOKUP(FMS_Ranking4[[#This Row],[FMS ID]],FMS_Input[FMS_ID],FMS_Input[RFPG_NUM])</f>
        <v>15</v>
      </c>
      <c r="D592" s="309" t="str">
        <f>_xlfn.XLOOKUP(FMS_Ranking4[[#This Row],[FMS ID]],FMS_Input[FMS_ID],FMS_Input[FMS_NAME])</f>
        <v>Bayiew Action #19</v>
      </c>
      <c r="E592" s="308" t="str">
        <f>_xlfn.XLOOKUP(FMS_Ranking4[[#This Row],[FMS ID]],FMS_Input[FMS_ID],FMS_Input[SPONSOR])</f>
        <v>15000074</v>
      </c>
      <c r="F592" s="309" t="str">
        <f>_xlfn.XLOOKUP(FMS_Ranking4[[#This Row],[FMS ID]],Sponsor[FMS_ID],Sponsor[SPONSOR NAME])</f>
        <v>Bayview</v>
      </c>
      <c r="G592" s="309" t="str">
        <f>_xlfn.XLOOKUP(FMS_Ranking4[[#This Row],[FMS ID]],FMS_Input[FMS_ID],FMS_Input[FMS_DESCR])</f>
        <v>Upgrade the Town’s website to include local information on hazards, risks, mitigation, protective actions, and applicable ordinances</v>
      </c>
      <c r="H592" s="248" t="str">
        <f>_xlfn.XLOOKUP(FMS_Ranking4[[#This Row],[FMS ID]],FMS_Input[FMS_ID],FMS_Input[FMS_TYPE])</f>
        <v>Flood Measurement and Warning</v>
      </c>
      <c r="I592" s="249">
        <f>_xlfn.XLOOKUP(FMS_Ranking4[[#This Row],[FMS ID]],FMS_Input[FMS_ID],FMS_Input[NRNC_COST])</f>
        <v>1000</v>
      </c>
      <c r="J592" s="250">
        <f>_xlfn.XLOOKUP(FMS_Ranking4[[#This Row],[FMS ID]],FMS_Input[FMS_ID],FMS_Input[FMS_COST])</f>
        <v>1000</v>
      </c>
      <c r="K592" s="251" t="str">
        <f>_xlfn.XLOOKUP(FMS_Ranking4[[#This Row],[FMS ID]],FMS_Input[FMS_ID],FMS_Input[EMER_NEED])</f>
        <v>Yes</v>
      </c>
      <c r="L592" s="252">
        <f t="shared" si="9"/>
        <v>1</v>
      </c>
      <c r="M592" s="253">
        <f>_xlfn.XLOOKUP(FMS_Ranking4[[#This Row],[FMS ID]],FMS_Input[FMS_ID],FMS_Input[STRUCT_100])</f>
        <v>93</v>
      </c>
      <c r="N592" s="255">
        <f>(ASINH(FMS_Ranking4[[#This Row],[Structure at Risk Raw]]))*(10)/(ASINH(M$4))</f>
        <v>4.1082376882260521</v>
      </c>
      <c r="O592" s="256">
        <f>FMS_Ranking4[[#This Row],[Structures at risk, ArcSinh (0-10)]]*M$5*10</f>
        <v>4.1082376882260521</v>
      </c>
      <c r="P592" s="253">
        <f>_xlfn.XLOOKUP(FMS_Ranking4[[#This Row],[FMS ID]],FMS_Input[FMS_ID],FMS_Input[RES_STRUCT100])</f>
        <v>70</v>
      </c>
      <c r="Q592" s="257">
        <f>ASINH(FMS_Ranking4[[#This Row],[Res Structure Raw]])/Q$4*P$5*100</f>
        <v>0</v>
      </c>
      <c r="R592" s="253">
        <f>_xlfn.XLOOKUP(FMS_Ranking4[[#This Row],[FMS ID]],FMS_Input[FMS_ID],FMS_Input[POP100])</f>
        <v>287</v>
      </c>
      <c r="S592" s="259">
        <f>(ASINH(FMS_Ranking4[[#This Row],[Pop at Risk Raw]]))*(10)/(ASINH(R$4))</f>
        <v>4.3855920045329047</v>
      </c>
      <c r="T592" s="256">
        <f>FMS_Ranking4[[#This Row],[Population at risk, ArcSinh (0-10)]]*R$5*10</f>
        <v>4.3855920045329047</v>
      </c>
      <c r="U592" s="253">
        <f>_xlfn.XLOOKUP(FMS_Ranking4[[#This Row],[FMS ID]],FMS_Input[FMS_ID],FMS_Input[CRITFAC100])</f>
        <v>0</v>
      </c>
      <c r="V592" s="259">
        <f>(ASINH(FMS_Ranking4[[#This Row],[Critical Facilities Raw]]))*(10)/(ASINH(U$4))</f>
        <v>0</v>
      </c>
      <c r="W592" s="256">
        <f>FMS_Ranking4[[#This Row],[Critical facilities at risk, ArcSinh (0-10)]]*U$5*10</f>
        <v>0</v>
      </c>
      <c r="X592" s="253">
        <f>_xlfn.XLOOKUP(FMS_Ranking4[[#This Row],[FMS ID]],FMS_Input[FMS_ID],FMS_Input[LWC])</f>
        <v>0</v>
      </c>
      <c r="Y592" s="259">
        <f>(ASINH(FMS_Ranking4[[#This Row],[LWC Raw]]))*(10)/(ASINH(X$4))</f>
        <v>0</v>
      </c>
      <c r="Z592" s="256">
        <f>FMS_Ranking4[[#This Row],[LWC, ArcSInh (0-10)]]*X$5*10</f>
        <v>0</v>
      </c>
      <c r="AA592" s="253">
        <f>_xlfn.XLOOKUP(FMS_Ranking4[[#This Row],[FMS ID]],FMS_Input[FMS_ID],FMS_Input[ROADCLS])</f>
        <v>0</v>
      </c>
      <c r="AB592" s="255">
        <f>(ASINH(FMS_Ranking4[[#This Row],[Road Closures Raw]]))*(10)/(ASINH(AA$4))</f>
        <v>0</v>
      </c>
      <c r="AC592" s="256">
        <f>FMS_Ranking4[[#This Row],[Road closures, ArcSinh (0-10)]]*AA$5*10</f>
        <v>0</v>
      </c>
      <c r="AD592" s="253">
        <f>_xlfn.XLOOKUP(FMS_Ranking4[[#This Row],[FMS ID]],FMS_Input[FMS_ID],FMS_Input[ROAD_MILES100])</f>
        <v>4</v>
      </c>
      <c r="AE592" s="259">
        <f>(ASINH(FMS_Ranking4[[#This Row],[Road Miles Raw]]))*(10)/(ASINH(AD$4))</f>
        <v>2.2323872691766113</v>
      </c>
      <c r="AF592" s="256">
        <f>FMS_Ranking4[[#This Row],[Length of roads at risk, ArcSinh (0-10)]]*AD$5*10</f>
        <v>2.2323872691766113</v>
      </c>
      <c r="AG592" s="253">
        <f>_xlfn.XLOOKUP(FMS_Ranking4[[#This Row],[FMS ID]],FMS_Input[FMS_ID],FMS_Input[FARMACRE100])</f>
        <v>1068.813354492188</v>
      </c>
      <c r="AH592" s="255">
        <f>(ASINH(FMS_Ranking4[[#This Row],[Ag Land Raw]]))*(10)/(ASINH(AG$4))</f>
        <v>4.9806345392137104</v>
      </c>
      <c r="AI592" s="260">
        <f>FMS_Ranking4[[#This Row],[Farm &amp; ranch land, ArcSinh (0-10)]]*AG$5*10</f>
        <v>2.4903172696068552</v>
      </c>
      <c r="AJ592" s="258">
        <f>_xlfn.XLOOKUP(FMS_Ranking4[[#This Row],[FMS ID]],FMS_Input[FMS_ID],FMS_Input[REDSTRUCT100])</f>
        <v>0</v>
      </c>
      <c r="AK592" s="253">
        <f>_xlfn.XLOOKUP(FMS_Ranking4[[#This Row],[FMS ID]],FMS_Input[FMS_ID],FMS_Input[REMSTRC100])</f>
        <v>0</v>
      </c>
      <c r="AL592" s="259">
        <f>(ASINH(FMS_Ranking4[[#This Row],[Structures Removed Raw]]))*(10)/(ASINH(AK$4))</f>
        <v>0</v>
      </c>
      <c r="AM592" s="262">
        <f>FMS_Ranking4[[#This Row],[Structures removed, ArcSinh (0-10)]]*AK$5*10</f>
        <v>0</v>
      </c>
      <c r="AN592" s="253">
        <f>_xlfn.XLOOKUP(FMS_Ranking4[[#This Row],[FMS ID]],FMS_Input[FMS_ID],FMS_Input[REMRESSTRC100])</f>
        <v>0</v>
      </c>
      <c r="AO592" s="261">
        <f>FMS_Ranking4[[#This Row],[ArcSinh Res struct removed 0-10]]*AN$5*10</f>
        <v>0</v>
      </c>
      <c r="AP592" s="260">
        <f>ASINH(FMS_Ranking4[[#This Row],[Residential Structures Removed Raw]])/AP$4*AN$5*100</f>
        <v>0</v>
      </c>
      <c r="AQ592" s="254">
        <f>(ASINH(FMS_Ranking4[[#This Row],[Residential Structures Removed Raw]]))*(10)/(ASINH(AN$4))</f>
        <v>0</v>
      </c>
      <c r="AR592" s="253">
        <f>_xlfn.XLOOKUP(FMS_Ranking4[[#This Row],[FMS ID]],FMS_Input[FMS_ID],FMS_Input[REMPOP100])</f>
        <v>0</v>
      </c>
      <c r="AS592" s="259">
        <f>(ASINH(FMS_Ranking4[[#This Row],[Removed Pop Raw]]))*(10)/(ASINH(AR$4))</f>
        <v>0</v>
      </c>
      <c r="AT592" s="262">
        <f>FMS_Ranking4[[#This Row],[Removed population, ArcSinh (0-10)]]*AR$5*10</f>
        <v>0</v>
      </c>
      <c r="AU592" s="264">
        <f>_xlfn.XLOOKUP(FMS_Ranking4[[#This Row],[FMS ID]],FMS_Input[FMS_ID],FMS_Input[REMCRITFAC100])</f>
        <v>0</v>
      </c>
      <c r="AV592" s="264">
        <f>_xlfn.XLOOKUP(FMS_Ranking4[[#This Row],[FMS ID]],FMS_Input[FMS_ID],FMS_Input[REMLWC100])</f>
        <v>0</v>
      </c>
      <c r="AW592" s="264">
        <f>_xlfn.XLOOKUP(FMS_Ranking4[[#This Row],[FMS ID]],FMS_Input[FMS_ID],FMS_Input[REMROADCLS])</f>
        <v>0</v>
      </c>
      <c r="AX592" s="264">
        <f>_xlfn.XLOOKUP(FMS_Ranking4[[#This Row],[FMS ID]],FMS_Input[FMS_ID],FMS_Input[REMFRMACRE100])</f>
        <v>0</v>
      </c>
      <c r="AY592" s="258">
        <f>_xlfn.XLOOKUP(FMS_Ranking4[[#This Row],[FMS ID]],FMS_Input[FMS_ID],FMS_Input[COSTSTRUCT])</f>
        <v>0</v>
      </c>
      <c r="AZ592" s="253">
        <f>_xlfn.XLOOKUP(FMS_Ranking4[[#This Row],[FMS ID]],FMS_Input[FMS_ID],FMS_Input[NATURE])</f>
        <v>0</v>
      </c>
      <c r="BA592" s="262">
        <f>(((FMS_Ranking4[[#This Row],[% NBS Raw]]/AZ$4)*100)*AZ$5)</f>
        <v>0</v>
      </c>
      <c r="BB592" s="251" t="str">
        <f>_xlfn.XLOOKUP(FMS_Ranking4[[#This Row],[FMS ID]],FMS_Input[FMS_ID],FMS_Input[WATER_SUP])</f>
        <v>No</v>
      </c>
      <c r="BC592" s="265">
        <f>IF(FMS_Ranking4[[#This Row],[Water Supply Raw]]="Yes",10,0)</f>
        <v>0</v>
      </c>
      <c r="BD592" s="266">
        <f>_xlfn.XLOOKUP(FMS_Ranking4[[#This Row],[FMS Type]],FMS_TYPE[FMS_Type],FMS_TYPE[Score])</f>
        <v>10</v>
      </c>
      <c r="BE592" s="267">
        <f>FMS_Ranking4[[#This Row],[FMS_Type Score]]*$BD$5*10</f>
        <v>2.5</v>
      </c>
      <c r="BF59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1.7432552743698062E-2</v>
      </c>
      <c r="BG592" s="271">
        <f>_xlfn.RANK.EQ(BF592,$BF$8:$BF$870,0)+COUNTIF($BF$8:BF592,BF592)-1</f>
        <v>645</v>
      </c>
      <c r="BH592" s="268">
        <f>(((FMS_Ranking4[[#This Row],[Structures Removed Raw]]/AK$4)*100)*AK$5)+(((FMS_Ranking4[[#This Row],[Removed Pop Raw]]/AR$4)*100)*AR$5)</f>
        <v>0</v>
      </c>
      <c r="BI59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2.5174325527436983</v>
      </c>
      <c r="BJ592" s="205">
        <f>_xlfn.RANK.EQ(FMS_Ranking4[[#This Row],[Total Score 
(with linear
normalization)]],FMS_Ranking4[Total Score 
(with linear
normalization)],0)</f>
        <v>246</v>
      </c>
      <c r="BK592" s="205" t="e">
        <f>_xlfn.XLOOKUP(FMS_Ranking4[[#This Row],[FMS ID]],#REF!,#REF!)</f>
        <v>#REF!</v>
      </c>
      <c r="BL59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13.216534231542424</v>
      </c>
      <c r="BM592" s="272">
        <f>FMS_Ranking4[[#This Row],[ArcSinh Score Based on Normalized Reported Factors]]+FMS_Ranking4[[#This Row],[% NBS Score (Normalized)]]+(FMS_Ranking4[[#This Row],[Water Supply Score (Normalized)]]*10*$BB$5)+FMS_Ranking4[[#This Row],[FMS_Type Score Weighted]]</f>
        <v>15.716534231542424</v>
      </c>
      <c r="BN592" s="205">
        <f>_xlfn.RANK.EQ(FMS_Ranking4[[#This Row],[Total Score (with ArcSinh normalization of select criteria)]],FMS_Ranking4[Total Score (with ArcSinh normalization of select criteria)],0)</f>
        <v>585</v>
      </c>
      <c r="BO592" s="270" t="str">
        <f>_xlfn.XLOOKUP(FMS_Ranking4[[#This Row],[FMS ID]],FMS_Input[FMS_ID],FMS_Input[FMS_RANK_YEAR])</f>
        <v>2023 Amended Plan</v>
      </c>
      <c r="BP592" s="204">
        <f>_xlfn.XLOOKUP(FMS_Ranking4[[#This Row],[FMS ID]],Prev_Rank[FMS ID],Prev_Rank[Prev Rank])</f>
        <v>515</v>
      </c>
      <c r="BQ592" s="205" t="e">
        <f>_xlfn.XLOOKUP(FMS_Ranking4[[#This Row],[FMS ID]],#REF!,#REF!)</f>
        <v>#REF!</v>
      </c>
      <c r="BR592" s="199" t="e">
        <f>SUM(#REF!,#REF!,#REF!,#REF!,#REF!,#REF!,#REF!,#REF!,#REF!,FMS_Ranking4[[#This Row],[ArcSinh Res struct removed 0-10]],#REF!)</f>
        <v>#REF!</v>
      </c>
      <c r="BS592" s="199" t="e">
        <f>FMS_Ranking4[[#This Row],[Log Score Based on Normalized Reported Factors]]+FMS_Ranking4[[#This Row],[% NBS Score (Normalized)]]+(FMS_Ranking4[[#This Row],[Water Supply Score (Normalized)]]*10*$BB$5)+(FMS_Ranking4[[#This Row],[FMS_Type Score Weighted]])</f>
        <v>#REF!</v>
      </c>
      <c r="BT592" s="200" t="e">
        <f>_xlfn.RANK.EQ(FMS_Ranking4[[#This Row],[Log Total Score]],FMS_Ranking4[Log Total Score],0)</f>
        <v>#REF!</v>
      </c>
      <c r="BU592" s="200" t="e">
        <f>_xlfn.XLOOKUP(FMS_Ranking4[[#This Row],[FMS ID]],#REF!,#REF!)</f>
        <v>#REF!</v>
      </c>
      <c r="BV592" s="200">
        <f>FMS_Ranking4[[#This Row],[Region Number]]</f>
        <v>15</v>
      </c>
      <c r="BW592" s="200">
        <f>FMS_Ranking4[[#This Row],[Rank (with ArcSinh normalization of select criteria)]]-FMS_Ranking4[[#This Row],[Rank
(with linear
normalization)]]</f>
        <v>339</v>
      </c>
      <c r="BX592" s="200" t="e">
        <f>FMS_Ranking4[[#This Row],[Log Rank]]-FMS_Ranking4[[#This Row],[Rank
(with linear
normalization)]]</f>
        <v>#REF!</v>
      </c>
      <c r="BY592" s="200">
        <f>IF(FMS_Ranking4[[#This Row],[FMS Type]]="Flood Measurement and Warning",FMS_Ranking4[[#This Row],[Rank (with ArcSinh normalization of select criteria)]],"")</f>
        <v>585</v>
      </c>
      <c r="BZ592" s="200" t="str">
        <f>IF(FMS_Ranking4[[#This Row],[FMS Type]]="Regulatory and Guidance",FMS_Ranking4[[#This Row],[Rank (with ArcSinh normalization of select criteria)]],"")</f>
        <v/>
      </c>
      <c r="CA592" s="200" t="str">
        <f>IF(FMS_Ranking4[[#This Row],[FMS Type]]="Education and Outreach",FMS_Ranking4[[#This Row],[Rank (with ArcSinh normalization of select criteria)]],"")</f>
        <v/>
      </c>
      <c r="CB592" s="200" t="str">
        <f>IF(FMS_Ranking4[[#This Row],[FMS Type]]="Property Acquisition and Structural Elevation",FMS_Ranking4[[#This Row],[Rank (with ArcSinh normalization of select criteria)]],"")</f>
        <v/>
      </c>
      <c r="CC592" s="200" t="str">
        <f>IF(FMS_Ranking4[[#This Row],[FMS Type]]="Infrastructure Projects",FMS_Ranking4[[#This Row],[Rank (with ArcSinh normalization of select criteria)]],"")</f>
        <v/>
      </c>
      <c r="CD592" s="200" t="str">
        <f>IF(FMS_Ranking4[[#This Row],[FMS Type]]="Other",FMS_Ranking4[[#This Row],[Rank (with ArcSinh normalization of select criteria)]],"")</f>
        <v/>
      </c>
      <c r="CE592" s="201"/>
      <c r="CF592" s="206"/>
      <c r="CG592" s="206"/>
      <c r="CH592" s="206"/>
      <c r="CI592" s="206"/>
      <c r="CJ592" s="206"/>
      <c r="CK592" s="206"/>
      <c r="CL592" s="206"/>
      <c r="CM592" s="206"/>
      <c r="CN592" s="206"/>
      <c r="CO592" s="206"/>
      <c r="CP592" s="206"/>
      <c r="CQ592" s="206"/>
      <c r="CR592" s="206"/>
    </row>
    <row r="593" spans="2:96" ht="120" x14ac:dyDescent="0.25">
      <c r="B593" s="341" t="s">
        <v>2732</v>
      </c>
      <c r="C593" s="246">
        <f>_xlfn.XLOOKUP(FMS_Ranking4[[#This Row],[FMS ID]],FMS_Input[FMS_ID],FMS_Input[RFPG_NUM])</f>
        <v>5</v>
      </c>
      <c r="D593" s="309" t="str">
        <f>_xlfn.XLOOKUP(FMS_Ranking4[[#This Row],[FMS ID]],FMS_Input[FMS_ID],FMS_Input[FMS_NAME])</f>
        <v>Liberty County Drainage Projects</v>
      </c>
      <c r="E593" s="308" t="str">
        <f>_xlfn.XLOOKUP(FMS_Ranking4[[#This Row],[FMS ID]],FMS_Input[FMS_ID],FMS_Input[SPONSOR])</f>
        <v>00000033</v>
      </c>
      <c r="F593" s="309" t="str">
        <f>_xlfn.XLOOKUP(FMS_Ranking4[[#This Row],[FMS ID]],Sponsor[FMS_ID],Sponsor[SPONSOR NAME])</f>
        <v>Liberty</v>
      </c>
      <c r="G593" s="309" t="str">
        <f>_xlfn.XLOOKUP(FMS_Ranking4[[#This Row],[FMS ID]],FMS_Input[FMS_ID],FMS_Input[FMS_DESCR])</f>
        <v>The county will work with partnering jurisdictions and engineers in order to implement drainage projects throughout the county- including adding ditches, detention ponds and detention basins in identified locations throughout the county.</v>
      </c>
      <c r="H593" s="248" t="str">
        <f>_xlfn.XLOOKUP(FMS_Ranking4[[#This Row],[FMS ID]],FMS_Input[FMS_ID],FMS_Input[FMS_TYPE])</f>
        <v>Infrastructure Projects</v>
      </c>
      <c r="I593" s="249">
        <f>_xlfn.XLOOKUP(FMS_Ranking4[[#This Row],[FMS ID]],FMS_Input[FMS_ID],FMS_Input[NRNC_COST])</f>
        <v>200000</v>
      </c>
      <c r="J593" s="250">
        <f>_xlfn.XLOOKUP(FMS_Ranking4[[#This Row],[FMS ID]],FMS_Input[FMS_ID],FMS_Input[FMS_COST])</f>
        <v>2000000</v>
      </c>
      <c r="K593" s="251" t="str">
        <f>_xlfn.XLOOKUP(FMS_Ranking4[[#This Row],[FMS ID]],FMS_Input[FMS_ID],FMS_Input[EMER_NEED])</f>
        <v>Yes</v>
      </c>
      <c r="L593" s="252">
        <f t="shared" si="9"/>
        <v>1</v>
      </c>
      <c r="M593" s="253">
        <f>_xlfn.XLOOKUP(FMS_Ranking4[[#This Row],[FMS ID]],FMS_Input[FMS_ID],FMS_Input[STRUCT_100])</f>
        <v>116</v>
      </c>
      <c r="N593" s="255">
        <f>(ASINH(FMS_Ranking4[[#This Row],[Structure at Risk Raw]]))*(10)/(ASINH(M$4))</f>
        <v>4.2819611637091359</v>
      </c>
      <c r="O593" s="256">
        <f>FMS_Ranking4[[#This Row],[Structures at risk, ArcSinh (0-10)]]*M$5*10</f>
        <v>4.2819611637091359</v>
      </c>
      <c r="P593" s="253">
        <f>_xlfn.XLOOKUP(FMS_Ranking4[[#This Row],[FMS ID]],FMS_Input[FMS_ID],FMS_Input[RES_STRUCT100])</f>
        <v>57</v>
      </c>
      <c r="Q593" s="257">
        <f>ASINH(FMS_Ranking4[[#This Row],[Res Structure Raw]])/Q$4*P$5*100</f>
        <v>0</v>
      </c>
      <c r="R593" s="253">
        <f>_xlfn.XLOOKUP(FMS_Ranking4[[#This Row],[FMS ID]],FMS_Input[FMS_ID],FMS_Input[POP100])</f>
        <v>143</v>
      </c>
      <c r="S593" s="259">
        <f>(ASINH(FMS_Ranking4[[#This Row],[Pop at Risk Raw]]))*(10)/(ASINH(R$4))</f>
        <v>3.9046688669961886</v>
      </c>
      <c r="T593" s="256">
        <f>FMS_Ranking4[[#This Row],[Population at risk, ArcSinh (0-10)]]*R$5*10</f>
        <v>3.9046688669961886</v>
      </c>
      <c r="U593" s="253">
        <f>_xlfn.XLOOKUP(FMS_Ranking4[[#This Row],[FMS ID]],FMS_Input[FMS_ID],FMS_Input[CRITFAC100])</f>
        <v>1</v>
      </c>
      <c r="V593" s="259">
        <f>(ASINH(FMS_Ranking4[[#This Row],[Critical Facilities Raw]]))*(10)/(ASINH(U$4))</f>
        <v>1.0433384451410745</v>
      </c>
      <c r="W593" s="256">
        <f>FMS_Ranking4[[#This Row],[Critical facilities at risk, ArcSinh (0-10)]]*U$5*10</f>
        <v>1.0433384451410745</v>
      </c>
      <c r="X593" s="253">
        <f>_xlfn.XLOOKUP(FMS_Ranking4[[#This Row],[FMS ID]],FMS_Input[FMS_ID],FMS_Input[LWC])</f>
        <v>0</v>
      </c>
      <c r="Y593" s="259">
        <f>(ASINH(FMS_Ranking4[[#This Row],[LWC Raw]]))*(10)/(ASINH(X$4))</f>
        <v>0</v>
      </c>
      <c r="Z593" s="256">
        <f>FMS_Ranking4[[#This Row],[LWC, ArcSInh (0-10)]]*X$5*10</f>
        <v>0</v>
      </c>
      <c r="AA593" s="253">
        <f>_xlfn.XLOOKUP(FMS_Ranking4[[#This Row],[FMS ID]],FMS_Input[FMS_ID],FMS_Input[ROADCLS])</f>
        <v>0</v>
      </c>
      <c r="AB593" s="255">
        <f>(ASINH(FMS_Ranking4[[#This Row],[Road Closures Raw]]))*(10)/(ASINH(AA$4))</f>
        <v>0</v>
      </c>
      <c r="AC593" s="256">
        <f>FMS_Ranking4[[#This Row],[Road closures, ArcSinh (0-10)]]*AA$5*10</f>
        <v>0</v>
      </c>
      <c r="AD593" s="253">
        <f>_xlfn.XLOOKUP(FMS_Ranking4[[#This Row],[FMS ID]],FMS_Input[FMS_ID],FMS_Input[ROAD_MILES100])</f>
        <v>7</v>
      </c>
      <c r="AE593" s="259">
        <f>(ASINH(FMS_Ranking4[[#This Row],[Road Miles Raw]]))*(10)/(ASINH(AD$4))</f>
        <v>2.8179052695658946</v>
      </c>
      <c r="AF593" s="256">
        <f>FMS_Ranking4[[#This Row],[Length of roads at risk, ArcSinh (0-10)]]*AD$5*10</f>
        <v>2.8179052695658946</v>
      </c>
      <c r="AG593" s="253">
        <f>_xlfn.XLOOKUP(FMS_Ranking4[[#This Row],[FMS ID]],FMS_Input[FMS_ID],FMS_Input[FARMACRE100])</f>
        <v>1525.707397460938</v>
      </c>
      <c r="AH593" s="255">
        <f>(ASINH(FMS_Ranking4[[#This Row],[Ag Land Raw]]))*(10)/(ASINH(AG$4))</f>
        <v>5.2118264561506509</v>
      </c>
      <c r="AI593" s="260">
        <f>FMS_Ranking4[[#This Row],[Farm &amp; ranch land, ArcSinh (0-10)]]*AG$5*10</f>
        <v>2.6059132280753254</v>
      </c>
      <c r="AJ593" s="258">
        <f>_xlfn.XLOOKUP(FMS_Ranking4[[#This Row],[FMS ID]],FMS_Input[FMS_ID],FMS_Input[REDSTRUCT100])</f>
        <v>0</v>
      </c>
      <c r="AK593" s="253">
        <f>_xlfn.XLOOKUP(FMS_Ranking4[[#This Row],[FMS ID]],FMS_Input[FMS_ID],FMS_Input[REMSTRC100])</f>
        <v>0</v>
      </c>
      <c r="AL593" s="259">
        <f>(ASINH(FMS_Ranking4[[#This Row],[Structures Removed Raw]]))*(10)/(ASINH(AK$4))</f>
        <v>0</v>
      </c>
      <c r="AM593" s="262">
        <f>FMS_Ranking4[[#This Row],[Structures removed, ArcSinh (0-10)]]*AK$5*10</f>
        <v>0</v>
      </c>
      <c r="AN593" s="253">
        <f>_xlfn.XLOOKUP(FMS_Ranking4[[#This Row],[FMS ID]],FMS_Input[FMS_ID],FMS_Input[REMRESSTRC100])</f>
        <v>0</v>
      </c>
      <c r="AO593" s="261">
        <f>FMS_Ranking4[[#This Row],[ArcSinh Res struct removed 0-10]]*AN$5*10</f>
        <v>0</v>
      </c>
      <c r="AP593" s="260">
        <f>ASINH(FMS_Ranking4[[#This Row],[Residential Structures Removed Raw]])/AP$4*AN$5*100</f>
        <v>0</v>
      </c>
      <c r="AQ593" s="254">
        <f>(ASINH(FMS_Ranking4[[#This Row],[Residential Structures Removed Raw]]))*(10)/(ASINH(AN$4))</f>
        <v>0</v>
      </c>
      <c r="AR593" s="253">
        <f>_xlfn.XLOOKUP(FMS_Ranking4[[#This Row],[FMS ID]],FMS_Input[FMS_ID],FMS_Input[REMPOP100])</f>
        <v>0</v>
      </c>
      <c r="AS593" s="259">
        <f>(ASINH(FMS_Ranking4[[#This Row],[Removed Pop Raw]]))*(10)/(ASINH(AR$4))</f>
        <v>0</v>
      </c>
      <c r="AT593" s="262">
        <f>FMS_Ranking4[[#This Row],[Removed population, ArcSinh (0-10)]]*AR$5*10</f>
        <v>0</v>
      </c>
      <c r="AU593" s="264">
        <f>_xlfn.XLOOKUP(FMS_Ranking4[[#This Row],[FMS ID]],FMS_Input[FMS_ID],FMS_Input[REMCRITFAC100])</f>
        <v>0</v>
      </c>
      <c r="AV593" s="264">
        <f>_xlfn.XLOOKUP(FMS_Ranking4[[#This Row],[FMS ID]],FMS_Input[FMS_ID],FMS_Input[REMLWC100])</f>
        <v>0</v>
      </c>
      <c r="AW593" s="264">
        <f>_xlfn.XLOOKUP(FMS_Ranking4[[#This Row],[FMS ID]],FMS_Input[FMS_ID],FMS_Input[REMROADCLS])</f>
        <v>0</v>
      </c>
      <c r="AX593" s="264">
        <f>_xlfn.XLOOKUP(FMS_Ranking4[[#This Row],[FMS ID]],FMS_Input[FMS_ID],FMS_Input[REMFRMACRE100])</f>
        <v>0</v>
      </c>
      <c r="AY593" s="258">
        <f>_xlfn.XLOOKUP(FMS_Ranking4[[#This Row],[FMS ID]],FMS_Input[FMS_ID],FMS_Input[COSTSTRUCT])</f>
        <v>0</v>
      </c>
      <c r="AZ593" s="253">
        <f>_xlfn.XLOOKUP(FMS_Ranking4[[#This Row],[FMS ID]],FMS_Input[FMS_ID],FMS_Input[NATURE])</f>
        <v>0</v>
      </c>
      <c r="BA593" s="262">
        <f>(((FMS_Ranking4[[#This Row],[% NBS Raw]]/AZ$4)*100)*AZ$5)</f>
        <v>0</v>
      </c>
      <c r="BB593" s="251" t="str">
        <f>_xlfn.XLOOKUP(FMS_Ranking4[[#This Row],[FMS ID]],FMS_Input[FMS_ID],FMS_Input[WATER_SUP])</f>
        <v>No</v>
      </c>
      <c r="BC593" s="265">
        <f>IF(FMS_Ranking4[[#This Row],[Water Supply Raw]]="Yes",10,0)</f>
        <v>0</v>
      </c>
      <c r="BD593" s="266">
        <f>_xlfn.XLOOKUP(FMS_Ranking4[[#This Row],[FMS Type]],FMS_TYPE[FMS_Type],FMS_TYPE[Score])</f>
        <v>4</v>
      </c>
      <c r="BE593" s="267">
        <f>FMS_Ranking4[[#This Row],[FMS_Type Score]]*$BD$5*10</f>
        <v>1</v>
      </c>
      <c r="BF59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2.7611108611900005E-2</v>
      </c>
      <c r="BG593" s="271">
        <f>_xlfn.RANK.EQ(BF593,$BF$8:$BF$870,0)+COUNTIF($BF$8:BF593,BF593)-1</f>
        <v>610</v>
      </c>
      <c r="BH593" s="268">
        <f>(((FMS_Ranking4[[#This Row],[Structures Removed Raw]]/AK$4)*100)*AK$5)+(((FMS_Ranking4[[#This Row],[Removed Pop Raw]]/AR$4)*100)*AR$5)</f>
        <v>0</v>
      </c>
      <c r="BI59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1.0276111086119</v>
      </c>
      <c r="BJ593" s="205">
        <f>_xlfn.RANK.EQ(FMS_Ranking4[[#This Row],[Total Score 
(with linear
normalization)]],FMS_Ranking4[Total Score 
(with linear
normalization)],0)</f>
        <v>714</v>
      </c>
      <c r="BK593" s="205" t="e">
        <f>_xlfn.XLOOKUP(FMS_Ranking4[[#This Row],[FMS ID]],#REF!,#REF!)</f>
        <v>#REF!</v>
      </c>
      <c r="BL59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14.653786973487618</v>
      </c>
      <c r="BM593" s="272">
        <f>FMS_Ranking4[[#This Row],[ArcSinh Score Based on Normalized Reported Factors]]+FMS_Ranking4[[#This Row],[% NBS Score (Normalized)]]+(FMS_Ranking4[[#This Row],[Water Supply Score (Normalized)]]*10*$BB$5)+FMS_Ranking4[[#This Row],[FMS_Type Score Weighted]]</f>
        <v>15.653786973487618</v>
      </c>
      <c r="BN593" s="205">
        <f>_xlfn.RANK.EQ(FMS_Ranking4[[#This Row],[Total Score (with ArcSinh normalization of select criteria)]],FMS_Ranking4[Total Score (with ArcSinh normalization of select criteria)],0)</f>
        <v>586</v>
      </c>
      <c r="BO593" s="270" t="str">
        <f>_xlfn.XLOOKUP(FMS_Ranking4[[#This Row],[FMS ID]],FMS_Input[FMS_ID],FMS_Input[FMS_RANK_YEAR])</f>
        <v>2023 Amended Plan</v>
      </c>
      <c r="BP593" s="204">
        <f>_xlfn.XLOOKUP(FMS_Ranking4[[#This Row],[FMS ID]],Prev_Rank[FMS ID],Prev_Rank[Prev Rank])</f>
        <v>518</v>
      </c>
      <c r="BQ593" s="205" t="e">
        <f>_xlfn.XLOOKUP(FMS_Ranking4[[#This Row],[FMS ID]],#REF!,#REF!)</f>
        <v>#REF!</v>
      </c>
      <c r="BR593" s="199" t="e">
        <f>SUM(#REF!,#REF!,#REF!,#REF!,#REF!,#REF!,#REF!,#REF!,#REF!,FMS_Ranking4[[#This Row],[ArcSinh Res struct removed 0-10]],#REF!)</f>
        <v>#REF!</v>
      </c>
      <c r="BS593" s="199" t="e">
        <f>FMS_Ranking4[[#This Row],[Log Score Based on Normalized Reported Factors]]+FMS_Ranking4[[#This Row],[% NBS Score (Normalized)]]+(FMS_Ranking4[[#This Row],[Water Supply Score (Normalized)]]*10*$BB$5)+(FMS_Ranking4[[#This Row],[FMS_Type Score Weighted]])</f>
        <v>#REF!</v>
      </c>
      <c r="BT593" s="200" t="e">
        <f>_xlfn.RANK.EQ(FMS_Ranking4[[#This Row],[Log Total Score]],FMS_Ranking4[Log Total Score],0)</f>
        <v>#REF!</v>
      </c>
      <c r="BU593" s="200" t="e">
        <f>_xlfn.XLOOKUP(FMS_Ranking4[[#This Row],[FMS ID]],#REF!,#REF!)</f>
        <v>#REF!</v>
      </c>
      <c r="BV593" s="200">
        <f>FMS_Ranking4[[#This Row],[Region Number]]</f>
        <v>5</v>
      </c>
      <c r="BW593" s="200">
        <f>FMS_Ranking4[[#This Row],[Rank (with ArcSinh normalization of select criteria)]]-FMS_Ranking4[[#This Row],[Rank
(with linear
normalization)]]</f>
        <v>-128</v>
      </c>
      <c r="BX593" s="200" t="e">
        <f>FMS_Ranking4[[#This Row],[Log Rank]]-FMS_Ranking4[[#This Row],[Rank
(with linear
normalization)]]</f>
        <v>#REF!</v>
      </c>
      <c r="BY593" s="200" t="str">
        <f>IF(FMS_Ranking4[[#This Row],[FMS Type]]="Flood Measurement and Warning",FMS_Ranking4[[#This Row],[Rank (with ArcSinh normalization of select criteria)]],"")</f>
        <v/>
      </c>
      <c r="BZ593" s="200" t="str">
        <f>IF(FMS_Ranking4[[#This Row],[FMS Type]]="Regulatory and Guidance",FMS_Ranking4[[#This Row],[Rank (with ArcSinh normalization of select criteria)]],"")</f>
        <v/>
      </c>
      <c r="CA593" s="200" t="str">
        <f>IF(FMS_Ranking4[[#This Row],[FMS Type]]="Education and Outreach",FMS_Ranking4[[#This Row],[Rank (with ArcSinh normalization of select criteria)]],"")</f>
        <v/>
      </c>
      <c r="CB593" s="200" t="str">
        <f>IF(FMS_Ranking4[[#This Row],[FMS Type]]="Property Acquisition and Structural Elevation",FMS_Ranking4[[#This Row],[Rank (with ArcSinh normalization of select criteria)]],"")</f>
        <v/>
      </c>
      <c r="CC593" s="200">
        <f>IF(FMS_Ranking4[[#This Row],[FMS Type]]="Infrastructure Projects",FMS_Ranking4[[#This Row],[Rank (with ArcSinh normalization of select criteria)]],"")</f>
        <v>586</v>
      </c>
      <c r="CD593" s="200" t="str">
        <f>IF(FMS_Ranking4[[#This Row],[FMS Type]]="Other",FMS_Ranking4[[#This Row],[Rank (with ArcSinh normalization of select criteria)]],"")</f>
        <v/>
      </c>
      <c r="CE593" s="201"/>
      <c r="CF593" s="206"/>
      <c r="CG593" s="206"/>
      <c r="CH593" s="206"/>
      <c r="CI593" s="206"/>
      <c r="CJ593" s="206"/>
      <c r="CK593" s="206"/>
      <c r="CL593" s="206"/>
      <c r="CM593" s="206"/>
      <c r="CN593" s="206"/>
      <c r="CO593" s="206"/>
      <c r="CP593" s="206"/>
      <c r="CQ593" s="206"/>
      <c r="CR593" s="206"/>
    </row>
    <row r="594" spans="2:96" ht="135" x14ac:dyDescent="0.25">
      <c r="B594" s="341" t="s">
        <v>3829</v>
      </c>
      <c r="C594" s="246">
        <f>_xlfn.XLOOKUP(FMS_Ranking4[[#This Row],[FMS ID]],FMS_Input[FMS_ID],FMS_Input[RFPG_NUM])</f>
        <v>13</v>
      </c>
      <c r="D594" s="309" t="str">
        <f>_xlfn.XLOOKUP(FMS_Ranking4[[#This Row],[FMS ID]],FMS_Input[FMS_ID],FMS_Input[FMS_NAME])</f>
        <v>Duval County Master Plan- Procure Easements for Drainage Infrastructure in Freer</v>
      </c>
      <c r="E594" s="308" t="str">
        <f>_xlfn.XLOOKUP(FMS_Ranking4[[#This Row],[FMS ID]],FMS_Input[FMS_ID],FMS_Input[SPONSOR])</f>
        <v>13000079</v>
      </c>
      <c r="F594" s="309" t="str">
        <f>_xlfn.XLOOKUP(FMS_Ranking4[[#This Row],[FMS ID]],Sponsor[FMS_ID],Sponsor[SPONSOR NAME])</f>
        <v>Duval</v>
      </c>
      <c r="G594" s="309" t="str">
        <f>_xlfn.XLOOKUP(FMS_Ranking4[[#This Row],[FMS ID]],FMS_Input[FMS_ID],FMS_Input[FMS_DESCR])</f>
        <v>Significant structures in Freer’s drainage system are on private property, and the city does not have an access or maintenance easement. Freer should procure easements to these locations so structures can be maintained without private party involvement.</v>
      </c>
      <c r="H594" s="248" t="str">
        <f>_xlfn.XLOOKUP(FMS_Ranking4[[#This Row],[FMS ID]],FMS_Input[FMS_ID],FMS_Input[FMS_TYPE])</f>
        <v>Other</v>
      </c>
      <c r="I594" s="249">
        <f>_xlfn.XLOOKUP(FMS_Ranking4[[#This Row],[FMS ID]],FMS_Input[FMS_ID],FMS_Input[NRNC_COST])</f>
        <v>20000</v>
      </c>
      <c r="J594" s="250">
        <f>_xlfn.XLOOKUP(FMS_Ranking4[[#This Row],[FMS ID]],FMS_Input[FMS_ID],FMS_Input[FMS_COST])</f>
        <v>20000</v>
      </c>
      <c r="K594" s="251" t="str">
        <f>_xlfn.XLOOKUP(FMS_Ranking4[[#This Row],[FMS ID]],FMS_Input[FMS_ID],FMS_Input[EMER_NEED])</f>
        <v>Yes</v>
      </c>
      <c r="L594" s="252">
        <f t="shared" si="9"/>
        <v>1</v>
      </c>
      <c r="M594" s="253">
        <f>_xlfn.XLOOKUP(FMS_Ranking4[[#This Row],[FMS ID]],FMS_Input[FMS_ID],FMS_Input[STRUCT_100])</f>
        <v>259</v>
      </c>
      <c r="N594" s="255">
        <f>(ASINH(FMS_Ranking4[[#This Row],[Structure at Risk Raw]]))*(10)/(ASINH(M$4))</f>
        <v>4.9134140512569662</v>
      </c>
      <c r="O594" s="256">
        <f>FMS_Ranking4[[#This Row],[Structures at risk, ArcSinh (0-10)]]*M$5*10</f>
        <v>4.9134140512569662</v>
      </c>
      <c r="P594" s="253">
        <f>_xlfn.XLOOKUP(FMS_Ranking4[[#This Row],[FMS ID]],FMS_Input[FMS_ID],FMS_Input[RES_STRUCT100])</f>
        <v>173</v>
      </c>
      <c r="Q594" s="257">
        <f>ASINH(FMS_Ranking4[[#This Row],[Res Structure Raw]])/Q$4*P$5*100</f>
        <v>0</v>
      </c>
      <c r="R594" s="253">
        <f>_xlfn.XLOOKUP(FMS_Ranking4[[#This Row],[FMS ID]],FMS_Input[FMS_ID],FMS_Input[POP100])</f>
        <v>343</v>
      </c>
      <c r="S594" s="255">
        <f>(ASINH(FMS_Ranking4[[#This Row],[Pop at Risk Raw]]))*(10)/(ASINH(R$4))</f>
        <v>4.5086465075861186</v>
      </c>
      <c r="T594" s="256">
        <f>FMS_Ranking4[[#This Row],[Population at risk, ArcSinh (0-10)]]*R$5*10</f>
        <v>4.5086465075861186</v>
      </c>
      <c r="U594" s="253">
        <f>_xlfn.XLOOKUP(FMS_Ranking4[[#This Row],[FMS ID]],FMS_Input[FMS_ID],FMS_Input[CRITFAC100])</f>
        <v>0</v>
      </c>
      <c r="V594" s="255">
        <f>(ASINH(FMS_Ranking4[[#This Row],[Critical Facilities Raw]]))*(10)/(ASINH(U$4))</f>
        <v>0</v>
      </c>
      <c r="W594" s="256">
        <f>FMS_Ranking4[[#This Row],[Critical facilities at risk, ArcSinh (0-10)]]*U$5*10</f>
        <v>0</v>
      </c>
      <c r="X594" s="253">
        <f>_xlfn.XLOOKUP(FMS_Ranking4[[#This Row],[FMS ID]],FMS_Input[FMS_ID],FMS_Input[LWC])</f>
        <v>0</v>
      </c>
      <c r="Y594" s="255">
        <f>(ASINH(FMS_Ranking4[[#This Row],[LWC Raw]]))*(10)/(ASINH(X$4))</f>
        <v>0</v>
      </c>
      <c r="Z594" s="256">
        <f>FMS_Ranking4[[#This Row],[LWC, ArcSInh (0-10)]]*X$5*10</f>
        <v>0</v>
      </c>
      <c r="AA594" s="253">
        <f>_xlfn.XLOOKUP(FMS_Ranking4[[#This Row],[FMS ID]],FMS_Input[FMS_ID],FMS_Input[ROADCLS])</f>
        <v>38</v>
      </c>
      <c r="AB594" s="255">
        <f>(ASINH(FMS_Ranking4[[#This Row],[Road Closures Raw]]))*(10)/(ASINH(AA$4))</f>
        <v>4.5102415381079259</v>
      </c>
      <c r="AC594" s="256">
        <f>FMS_Ranking4[[#This Row],[Road closures, ArcSinh (0-10)]]*AA$5*10</f>
        <v>2.2551207690539634</v>
      </c>
      <c r="AD594" s="253">
        <f>_xlfn.XLOOKUP(FMS_Ranking4[[#This Row],[FMS ID]],FMS_Input[FMS_ID],FMS_Input[ROAD_MILES100])</f>
        <v>5</v>
      </c>
      <c r="AE594" s="255">
        <f>(ASINH(FMS_Ranking4[[#This Row],[Road Miles Raw]]))*(10)/(ASINH(AD$4))</f>
        <v>2.4644230639487872</v>
      </c>
      <c r="AF594" s="256">
        <f>FMS_Ranking4[[#This Row],[Length of roads at risk, ArcSinh (0-10)]]*AD$5*10</f>
        <v>2.4644230639487876</v>
      </c>
      <c r="AG594" s="253">
        <f>_xlfn.XLOOKUP(FMS_Ranking4[[#This Row],[FMS ID]],FMS_Input[FMS_ID],FMS_Input[FARMACRE100])</f>
        <v>10.355801582336429</v>
      </c>
      <c r="AH594" s="255">
        <f>(ASINH(FMS_Ranking4[[#This Row],[Ag Land Raw]]))*(10)/(ASINH(AG$4))</f>
        <v>1.970191727452633</v>
      </c>
      <c r="AI594" s="260">
        <f>FMS_Ranking4[[#This Row],[Farm &amp; ranch land, ArcSinh (0-10)]]*AG$5*10</f>
        <v>0.98509586372631652</v>
      </c>
      <c r="AJ594" s="258">
        <f>_xlfn.XLOOKUP(FMS_Ranking4[[#This Row],[FMS ID]],FMS_Input[FMS_ID],FMS_Input[REDSTRUCT100])</f>
        <v>0</v>
      </c>
      <c r="AK594" s="253">
        <f>_xlfn.XLOOKUP(FMS_Ranking4[[#This Row],[FMS ID]],FMS_Input[FMS_ID],FMS_Input[REMSTRC100])</f>
        <v>0</v>
      </c>
      <c r="AL594" s="255">
        <f>(ASINH(FMS_Ranking4[[#This Row],[Structures Removed Raw]]))*(10)/(ASINH(AK$4))</f>
        <v>0</v>
      </c>
      <c r="AM594" s="262">
        <f>FMS_Ranking4[[#This Row],[Structures removed, ArcSinh (0-10)]]*AK$5*10</f>
        <v>0</v>
      </c>
      <c r="AN594" s="253">
        <f>_xlfn.XLOOKUP(FMS_Ranking4[[#This Row],[FMS ID]],FMS_Input[FMS_ID],FMS_Input[REMRESSTRC100])</f>
        <v>0</v>
      </c>
      <c r="AO594" s="261">
        <f>FMS_Ranking4[[#This Row],[ArcSinh Res struct removed 0-10]]*AN$5*10</f>
        <v>0</v>
      </c>
      <c r="AP594" s="260">
        <f>ASINH(FMS_Ranking4[[#This Row],[Residential Structures Removed Raw]])/AP$4*AN$5*100</f>
        <v>0</v>
      </c>
      <c r="AQ594" s="258">
        <f>(ASINH(FMS_Ranking4[[#This Row],[Residential Structures Removed Raw]]))*(10)/(ASINH(AN$4))</f>
        <v>0</v>
      </c>
      <c r="AR594" s="253">
        <f>_xlfn.XLOOKUP(FMS_Ranking4[[#This Row],[FMS ID]],FMS_Input[FMS_ID],FMS_Input[REMPOP100])</f>
        <v>0</v>
      </c>
      <c r="AS594" s="255">
        <f>(ASINH(FMS_Ranking4[[#This Row],[Removed Pop Raw]]))*(10)/(ASINH(AR$4))</f>
        <v>0</v>
      </c>
      <c r="AT594" s="262">
        <f>FMS_Ranking4[[#This Row],[Removed population, ArcSinh (0-10)]]*AR$5*10</f>
        <v>0</v>
      </c>
      <c r="AU594" s="264">
        <f>_xlfn.XLOOKUP(FMS_Ranking4[[#This Row],[FMS ID]],FMS_Input[FMS_ID],FMS_Input[REMCRITFAC100])</f>
        <v>0</v>
      </c>
      <c r="AV594" s="264">
        <f>_xlfn.XLOOKUP(FMS_Ranking4[[#This Row],[FMS ID]],FMS_Input[FMS_ID],FMS_Input[REMLWC100])</f>
        <v>0</v>
      </c>
      <c r="AW594" s="264">
        <f>_xlfn.XLOOKUP(FMS_Ranking4[[#This Row],[FMS ID]],FMS_Input[FMS_ID],FMS_Input[REMROADCLS])</f>
        <v>0</v>
      </c>
      <c r="AX594" s="264">
        <f>_xlfn.XLOOKUP(FMS_Ranking4[[#This Row],[FMS ID]],FMS_Input[FMS_ID],FMS_Input[REMFRMACRE100])</f>
        <v>0</v>
      </c>
      <c r="AY594" s="258">
        <f>_xlfn.XLOOKUP(FMS_Ranking4[[#This Row],[FMS ID]],FMS_Input[FMS_ID],FMS_Input[COSTSTRUCT])</f>
        <v>0</v>
      </c>
      <c r="AZ594" s="253">
        <f>_xlfn.XLOOKUP(FMS_Ranking4[[#This Row],[FMS ID]],FMS_Input[FMS_ID],FMS_Input[NATURE])</f>
        <v>0</v>
      </c>
      <c r="BA594" s="262">
        <f>(((FMS_Ranking4[[#This Row],[% NBS Raw]]/AZ$4)*100)*AZ$5)</f>
        <v>0</v>
      </c>
      <c r="BB594" s="251" t="str">
        <f>_xlfn.XLOOKUP(FMS_Ranking4[[#This Row],[FMS ID]],FMS_Input[FMS_ID],FMS_Input[WATER_SUP])</f>
        <v>No</v>
      </c>
      <c r="BC594" s="265">
        <f>IF(FMS_Ranking4[[#This Row],[Water Supply Raw]]="Yes",10,0)</f>
        <v>0</v>
      </c>
      <c r="BD594" s="266">
        <f>_xlfn.XLOOKUP(FMS_Ranking4[[#This Row],[FMS Type]],FMS_TYPE[FMS_Type],FMS_TYPE[Score])</f>
        <v>2</v>
      </c>
      <c r="BE594" s="267">
        <f>FMS_Ranking4[[#This Row],[FMS_Type Score]]*$BD$5*10</f>
        <v>0.5</v>
      </c>
      <c r="BF59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5.3108371797499013E-2</v>
      </c>
      <c r="BG594" s="321">
        <f>_xlfn.RANK.EQ(BF594,$BF$8:$BF$870,0)+COUNTIF($BF$8:BF594,BF594)-1</f>
        <v>557</v>
      </c>
      <c r="BH594" s="294">
        <f>(((FMS_Ranking4[[#This Row],[Structures Removed Raw]]/AK$4)*100)*AK$5)+(((FMS_Ranking4[[#This Row],[Removed Pop Raw]]/AR$4)*100)*AR$5)</f>
        <v>0</v>
      </c>
      <c r="BI59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0.55310837179749905</v>
      </c>
      <c r="BJ594" s="251">
        <f>_xlfn.RANK.EQ(FMS_Ranking4[[#This Row],[Total Score 
(with linear
normalization)]],FMS_Ranking4[Total Score 
(with linear
normalization)],0)</f>
        <v>829</v>
      </c>
      <c r="BK594" s="251" t="e">
        <f>_xlfn.XLOOKUP(FMS_Ranking4[[#This Row],[FMS ID]],#REF!,#REF!)</f>
        <v>#REF!</v>
      </c>
      <c r="BL59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15.126700255572153</v>
      </c>
      <c r="BM594" s="324">
        <f>FMS_Ranking4[[#This Row],[ArcSinh Score Based on Normalized Reported Factors]]+FMS_Ranking4[[#This Row],[% NBS Score (Normalized)]]+(FMS_Ranking4[[#This Row],[Water Supply Score (Normalized)]]*10*$BB$5)+FMS_Ranking4[[#This Row],[FMS_Type Score Weighted]]</f>
        <v>15.626700255572153</v>
      </c>
      <c r="BN594" s="251">
        <f>_xlfn.RANK.EQ(FMS_Ranking4[[#This Row],[Total Score (with ArcSinh normalization of select criteria)]],FMS_Ranking4[Total Score (with ArcSinh normalization of select criteria)],0)</f>
        <v>587</v>
      </c>
      <c r="BO594" s="270" t="str">
        <f>_xlfn.XLOOKUP(FMS_Ranking4[[#This Row],[FMS ID]],FMS_Input[FMS_ID],FMS_Input[FMS_RANK_YEAR])</f>
        <v>2023 Amended Plan</v>
      </c>
      <c r="BP594" s="204">
        <f>_xlfn.XLOOKUP(FMS_Ranking4[[#This Row],[FMS ID]],Prev_Rank[FMS ID],Prev_Rank[Prev Rank])</f>
        <v>517</v>
      </c>
      <c r="BQ594" s="251" t="e">
        <f>_xlfn.XLOOKUP(FMS_Ranking4[[#This Row],[FMS ID]],#REF!,#REF!)</f>
        <v>#REF!</v>
      </c>
      <c r="BR594" s="199" t="e">
        <f>SUM(#REF!,#REF!,#REF!,#REF!,#REF!,#REF!,#REF!,#REF!,#REF!,FMS_Ranking4[[#This Row],[ArcSinh Res struct removed 0-10]],#REF!)</f>
        <v>#REF!</v>
      </c>
      <c r="BS594" s="199" t="e">
        <f>FMS_Ranking4[[#This Row],[Log Score Based on Normalized Reported Factors]]+FMS_Ranking4[[#This Row],[% NBS Score (Normalized)]]+(FMS_Ranking4[[#This Row],[Water Supply Score (Normalized)]]*10*$BB$5)+(FMS_Ranking4[[#This Row],[FMS_Type Score Weighted]])</f>
        <v>#REF!</v>
      </c>
      <c r="BT594" s="200" t="e">
        <f>_xlfn.RANK.EQ(FMS_Ranking4[[#This Row],[Log Total Score]],FMS_Ranking4[Log Total Score],0)</f>
        <v>#REF!</v>
      </c>
      <c r="BU594" s="200" t="e">
        <f>_xlfn.XLOOKUP(FMS_Ranking4[[#This Row],[FMS ID]],#REF!,#REF!)</f>
        <v>#REF!</v>
      </c>
      <c r="BV594" s="200">
        <f>FMS_Ranking4[[#This Row],[Region Number]]</f>
        <v>13</v>
      </c>
      <c r="BW594" s="200">
        <f>FMS_Ranking4[[#This Row],[Rank (with ArcSinh normalization of select criteria)]]-FMS_Ranking4[[#This Row],[Rank
(with linear
normalization)]]</f>
        <v>-242</v>
      </c>
      <c r="BX594" s="200" t="e">
        <f>FMS_Ranking4[[#This Row],[Log Rank]]-FMS_Ranking4[[#This Row],[Rank
(with linear
normalization)]]</f>
        <v>#REF!</v>
      </c>
      <c r="BY594" s="200" t="str">
        <f>IF(FMS_Ranking4[[#This Row],[FMS Type]]="Flood Measurement and Warning",FMS_Ranking4[[#This Row],[Rank (with ArcSinh normalization of select criteria)]],"")</f>
        <v/>
      </c>
      <c r="BZ594" s="200" t="str">
        <f>IF(FMS_Ranking4[[#This Row],[FMS Type]]="Regulatory and Guidance",FMS_Ranking4[[#This Row],[Rank (with ArcSinh normalization of select criteria)]],"")</f>
        <v/>
      </c>
      <c r="CA594" s="200" t="str">
        <f>IF(FMS_Ranking4[[#This Row],[FMS Type]]="Education and Outreach",FMS_Ranking4[[#This Row],[Rank (with ArcSinh normalization of select criteria)]],"")</f>
        <v/>
      </c>
      <c r="CB594" s="200" t="str">
        <f>IF(FMS_Ranking4[[#This Row],[FMS Type]]="Property Acquisition and Structural Elevation",FMS_Ranking4[[#This Row],[Rank (with ArcSinh normalization of select criteria)]],"")</f>
        <v/>
      </c>
      <c r="CC594" s="200" t="str">
        <f>IF(FMS_Ranking4[[#This Row],[FMS Type]]="Infrastructure Projects",FMS_Ranking4[[#This Row],[Rank (with ArcSinh normalization of select criteria)]],"")</f>
        <v/>
      </c>
      <c r="CD594" s="200">
        <f>IF(FMS_Ranking4[[#This Row],[FMS Type]]="Other",FMS_Ranking4[[#This Row],[Rank (with ArcSinh normalization of select criteria)]],"")</f>
        <v>587</v>
      </c>
      <c r="CE594" s="201"/>
      <c r="CF594" s="206"/>
      <c r="CG594" s="206"/>
      <c r="CH594" s="206"/>
      <c r="CI594" s="206"/>
      <c r="CJ594" s="206"/>
      <c r="CK594" s="206"/>
      <c r="CL594" s="206"/>
      <c r="CM594" s="206"/>
      <c r="CN594" s="206"/>
      <c r="CO594" s="206"/>
      <c r="CP594" s="206"/>
      <c r="CQ594" s="206"/>
      <c r="CR594" s="206"/>
    </row>
    <row r="595" spans="2:96" ht="135" x14ac:dyDescent="0.25">
      <c r="B595" s="341" t="s">
        <v>3734</v>
      </c>
      <c r="C595" s="246">
        <f>_xlfn.XLOOKUP(FMS_Ranking4[[#This Row],[FMS ID]],FMS_Input[FMS_ID],FMS_Input[RFPG_NUM])</f>
        <v>13</v>
      </c>
      <c r="D595" s="309" t="str">
        <f>_xlfn.XLOOKUP(FMS_Ranking4[[#This Row],[FMS ID]],FMS_Input[FMS_ID],FMS_Input[FMS_NAME])</f>
        <v>Odem Flood Awareness Program</v>
      </c>
      <c r="E595" s="308" t="str">
        <f>_xlfn.XLOOKUP(FMS_Ranking4[[#This Row],[FMS ID]],FMS_Input[FMS_ID],FMS_Input[SPONSOR])</f>
        <v>13003412</v>
      </c>
      <c r="F595" s="309" t="str">
        <f>_xlfn.XLOOKUP(FMS_Ranking4[[#This Row],[FMS ID]],Sponsor[FMS_ID],Sponsor[SPONSOR NAME])</f>
        <v>Odem</v>
      </c>
      <c r="G595" s="309" t="str">
        <f>_xlfn.XLOOKUP(FMS_Ranking4[[#This Row],[FMS ID]],FMS_Input[FMS_ID],FMS_Input[FMS_DESCR])</f>
        <v>San Patricio County Hazard Mitigation Action Plan - City of Odem, Action #15: Implement a flood awareness  program by providing FEMA/NFIP materials to mortgage lenders, real estate agents and insurance agents and place them in local libraries. </v>
      </c>
      <c r="H595" s="248" t="str">
        <f>_xlfn.XLOOKUP(FMS_Ranking4[[#This Row],[FMS ID]],FMS_Input[FMS_ID],FMS_Input[FMS_TYPE])</f>
        <v>Education and Outreach</v>
      </c>
      <c r="I595" s="249">
        <f>_xlfn.XLOOKUP(FMS_Ranking4[[#This Row],[FMS ID]],FMS_Input[FMS_ID],FMS_Input[NRNC_COST])</f>
        <v>50000</v>
      </c>
      <c r="J595" s="250">
        <f>_xlfn.XLOOKUP(FMS_Ranking4[[#This Row],[FMS ID]],FMS_Input[FMS_ID],FMS_Input[FMS_COST])</f>
        <v>50000</v>
      </c>
      <c r="K595" s="251" t="str">
        <f>_xlfn.XLOOKUP(FMS_Ranking4[[#This Row],[FMS ID]],FMS_Input[FMS_ID],FMS_Input[EMER_NEED])</f>
        <v>Yes</v>
      </c>
      <c r="L595" s="252">
        <f t="shared" si="9"/>
        <v>1</v>
      </c>
      <c r="M595" s="253">
        <f>_xlfn.XLOOKUP(FMS_Ranking4[[#This Row],[FMS ID]],FMS_Input[FMS_ID],FMS_Input[STRUCT_100])</f>
        <v>137</v>
      </c>
      <c r="N595" s="255">
        <f>(ASINH(FMS_Ranking4[[#This Row],[Structure at Risk Raw]]))*(10)/(ASINH(M$4))</f>
        <v>4.4127649213625606</v>
      </c>
      <c r="O595" s="256">
        <f>FMS_Ranking4[[#This Row],[Structures at risk, ArcSinh (0-10)]]*M$5*10</f>
        <v>4.4127649213625606</v>
      </c>
      <c r="P595" s="253">
        <f>_xlfn.XLOOKUP(FMS_Ranking4[[#This Row],[FMS ID]],FMS_Input[FMS_ID],FMS_Input[RES_STRUCT100])</f>
        <v>110</v>
      </c>
      <c r="Q595" s="257">
        <f>ASINH(FMS_Ranking4[[#This Row],[Res Structure Raw]])/Q$4*P$5*100</f>
        <v>0</v>
      </c>
      <c r="R595" s="253">
        <f>_xlfn.XLOOKUP(FMS_Ranking4[[#This Row],[FMS ID]],FMS_Input[FMS_ID],FMS_Input[POP100])</f>
        <v>293</v>
      </c>
      <c r="S595" s="259">
        <f>(ASINH(FMS_Ranking4[[#This Row],[Pop at Risk Raw]]))*(10)/(ASINH(R$4))</f>
        <v>4.3998757026146</v>
      </c>
      <c r="T595" s="256">
        <f>FMS_Ranking4[[#This Row],[Population at risk, ArcSinh (0-10)]]*R$5*10</f>
        <v>4.3998757026146</v>
      </c>
      <c r="U595" s="253">
        <f>_xlfn.XLOOKUP(FMS_Ranking4[[#This Row],[FMS ID]],FMS_Input[FMS_ID],FMS_Input[CRITFAC100])</f>
        <v>0</v>
      </c>
      <c r="V595" s="259">
        <f>(ASINH(FMS_Ranking4[[#This Row],[Critical Facilities Raw]]))*(10)/(ASINH(U$4))</f>
        <v>0</v>
      </c>
      <c r="W595" s="256">
        <f>FMS_Ranking4[[#This Row],[Critical facilities at risk, ArcSinh (0-10)]]*U$5*10</f>
        <v>0</v>
      </c>
      <c r="X595" s="253">
        <f>_xlfn.XLOOKUP(FMS_Ranking4[[#This Row],[FMS ID]],FMS_Input[FMS_ID],FMS_Input[LWC])</f>
        <v>0</v>
      </c>
      <c r="Y595" s="259">
        <f>(ASINH(FMS_Ranking4[[#This Row],[LWC Raw]]))*(10)/(ASINH(X$4))</f>
        <v>0</v>
      </c>
      <c r="Z595" s="256">
        <f>FMS_Ranking4[[#This Row],[LWC, ArcSInh (0-10)]]*X$5*10</f>
        <v>0</v>
      </c>
      <c r="AA595" s="253">
        <f>_xlfn.XLOOKUP(FMS_Ranking4[[#This Row],[FMS ID]],FMS_Input[FMS_ID],FMS_Input[ROADCLS])</f>
        <v>18</v>
      </c>
      <c r="AB595" s="255">
        <f>(ASINH(FMS_Ranking4[[#This Row],[Road Closures Raw]]))*(10)/(ASINH(AA$4))</f>
        <v>3.7327086951394981</v>
      </c>
      <c r="AC595" s="256">
        <f>FMS_Ranking4[[#This Row],[Road closures, ArcSinh (0-10)]]*AA$5*10</f>
        <v>1.8663543475697493</v>
      </c>
      <c r="AD595" s="253">
        <f>_xlfn.XLOOKUP(FMS_Ranking4[[#This Row],[FMS ID]],FMS_Input[FMS_ID],FMS_Input[ROAD_MILES100])</f>
        <v>3</v>
      </c>
      <c r="AE595" s="259">
        <f>(ASINH(FMS_Ranking4[[#This Row],[Road Miles Raw]]))*(10)/(ASINH(AD$4))</f>
        <v>1.937963626835977</v>
      </c>
      <c r="AF595" s="256">
        <f>FMS_Ranking4[[#This Row],[Length of roads at risk, ArcSinh (0-10)]]*AD$5*10</f>
        <v>1.937963626835977</v>
      </c>
      <c r="AG595" s="253">
        <f>_xlfn.XLOOKUP(FMS_Ranking4[[#This Row],[FMS ID]],FMS_Input[FMS_ID],FMS_Input[FARMACRE100])</f>
        <v>38.443508148193359</v>
      </c>
      <c r="AH595" s="255">
        <f>(ASINH(FMS_Ranking4[[#This Row],[Ag Land Raw]]))*(10)/(ASINH(AG$4))</f>
        <v>2.8208115183571354</v>
      </c>
      <c r="AI595" s="260">
        <f>FMS_Ranking4[[#This Row],[Farm &amp; ranch land, ArcSinh (0-10)]]*AG$5*10</f>
        <v>1.4104057591785677</v>
      </c>
      <c r="AJ595" s="258">
        <f>_xlfn.XLOOKUP(FMS_Ranking4[[#This Row],[FMS ID]],FMS_Input[FMS_ID],FMS_Input[REDSTRUCT100])</f>
        <v>0</v>
      </c>
      <c r="AK595" s="253">
        <f>_xlfn.XLOOKUP(FMS_Ranking4[[#This Row],[FMS ID]],FMS_Input[FMS_ID],FMS_Input[REMSTRC100])</f>
        <v>0</v>
      </c>
      <c r="AL595" s="259">
        <f>(ASINH(FMS_Ranking4[[#This Row],[Structures Removed Raw]]))*(10)/(ASINH(AK$4))</f>
        <v>0</v>
      </c>
      <c r="AM595" s="262">
        <f>FMS_Ranking4[[#This Row],[Structures removed, ArcSinh (0-10)]]*AK$5*10</f>
        <v>0</v>
      </c>
      <c r="AN595" s="253">
        <f>_xlfn.XLOOKUP(FMS_Ranking4[[#This Row],[FMS ID]],FMS_Input[FMS_ID],FMS_Input[REMRESSTRC100])</f>
        <v>0</v>
      </c>
      <c r="AO595" s="261">
        <f>FMS_Ranking4[[#This Row],[ArcSinh Res struct removed 0-10]]*AN$5*10</f>
        <v>0</v>
      </c>
      <c r="AP595" s="260">
        <f>ASINH(FMS_Ranking4[[#This Row],[Residential Structures Removed Raw]])/AP$4*AN$5*100</f>
        <v>0</v>
      </c>
      <c r="AQ595" s="254">
        <f>(ASINH(FMS_Ranking4[[#This Row],[Residential Structures Removed Raw]]))*(10)/(ASINH(AN$4))</f>
        <v>0</v>
      </c>
      <c r="AR595" s="253">
        <f>_xlfn.XLOOKUP(FMS_Ranking4[[#This Row],[FMS ID]],FMS_Input[FMS_ID],FMS_Input[REMPOP100])</f>
        <v>0</v>
      </c>
      <c r="AS595" s="259">
        <f>(ASINH(FMS_Ranking4[[#This Row],[Removed Pop Raw]]))*(10)/(ASINH(AR$4))</f>
        <v>0</v>
      </c>
      <c r="AT595" s="262">
        <f>FMS_Ranking4[[#This Row],[Removed population, ArcSinh (0-10)]]*AR$5*10</f>
        <v>0</v>
      </c>
      <c r="AU595" s="264">
        <f>_xlfn.XLOOKUP(FMS_Ranking4[[#This Row],[FMS ID]],FMS_Input[FMS_ID],FMS_Input[REMCRITFAC100])</f>
        <v>0</v>
      </c>
      <c r="AV595" s="264">
        <f>_xlfn.XLOOKUP(FMS_Ranking4[[#This Row],[FMS ID]],FMS_Input[FMS_ID],FMS_Input[REMLWC100])</f>
        <v>0</v>
      </c>
      <c r="AW595" s="264">
        <f>_xlfn.XLOOKUP(FMS_Ranking4[[#This Row],[FMS ID]],FMS_Input[FMS_ID],FMS_Input[REMROADCLS])</f>
        <v>0</v>
      </c>
      <c r="AX595" s="264">
        <f>_xlfn.XLOOKUP(FMS_Ranking4[[#This Row],[FMS ID]],FMS_Input[FMS_ID],FMS_Input[REMFRMACRE100])</f>
        <v>0</v>
      </c>
      <c r="AY595" s="258">
        <f>_xlfn.XLOOKUP(FMS_Ranking4[[#This Row],[FMS ID]],FMS_Input[FMS_ID],FMS_Input[COSTSTRUCT])</f>
        <v>0</v>
      </c>
      <c r="AZ595" s="253">
        <f>_xlfn.XLOOKUP(FMS_Ranking4[[#This Row],[FMS ID]],FMS_Input[FMS_ID],FMS_Input[NATURE])</f>
        <v>0</v>
      </c>
      <c r="BA595" s="262">
        <f>(((FMS_Ranking4[[#This Row],[% NBS Raw]]/AZ$4)*100)*AZ$5)</f>
        <v>0</v>
      </c>
      <c r="BB595" s="251" t="str">
        <f>_xlfn.XLOOKUP(FMS_Ranking4[[#This Row],[FMS ID]],FMS_Input[FMS_ID],FMS_Input[WATER_SUP])</f>
        <v>No</v>
      </c>
      <c r="BC595" s="265">
        <f>IF(FMS_Ranking4[[#This Row],[Water Supply Raw]]="Yes",10,0)</f>
        <v>0</v>
      </c>
      <c r="BD595" s="266">
        <f>_xlfn.XLOOKUP(FMS_Ranking4[[#This Row],[FMS Type]],FMS_TYPE[FMS_Type],FMS_TYPE[Score])</f>
        <v>6</v>
      </c>
      <c r="BE595" s="267">
        <f>FMS_Ranking4[[#This Row],[FMS_Type Score]]*$BD$5*10</f>
        <v>1.5000000000000002</v>
      </c>
      <c r="BF59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2.8480577436303757E-2</v>
      </c>
      <c r="BG595" s="271">
        <f>_xlfn.RANK.EQ(BF595,$BF$8:$BF$870,0)+COUNTIF($BF$8:BF595,BF595)-1</f>
        <v>608</v>
      </c>
      <c r="BH595" s="268">
        <f>(((FMS_Ranking4[[#This Row],[Structures Removed Raw]]/AK$4)*100)*AK$5)+(((FMS_Ranking4[[#This Row],[Removed Pop Raw]]/AR$4)*100)*AR$5)</f>
        <v>0</v>
      </c>
      <c r="BI59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1.5284805774363039</v>
      </c>
      <c r="BJ595" s="205">
        <f>_xlfn.RANK.EQ(FMS_Ranking4[[#This Row],[Total Score 
(with linear
normalization)]],FMS_Ranking4[Total Score 
(with linear
normalization)],0)</f>
        <v>587</v>
      </c>
      <c r="BK595" s="205" t="e">
        <f>_xlfn.XLOOKUP(FMS_Ranking4[[#This Row],[FMS ID]],#REF!,#REF!)</f>
        <v>#REF!</v>
      </c>
      <c r="BL59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14.027364357561455</v>
      </c>
      <c r="BM595" s="272">
        <f>FMS_Ranking4[[#This Row],[ArcSinh Score Based on Normalized Reported Factors]]+FMS_Ranking4[[#This Row],[% NBS Score (Normalized)]]+(FMS_Ranking4[[#This Row],[Water Supply Score (Normalized)]]*10*$BB$5)+FMS_Ranking4[[#This Row],[FMS_Type Score Weighted]]</f>
        <v>15.527364357561455</v>
      </c>
      <c r="BN595" s="205">
        <f>_xlfn.RANK.EQ(FMS_Ranking4[[#This Row],[Total Score (with ArcSinh normalization of select criteria)]],FMS_Ranking4[Total Score (with ArcSinh normalization of select criteria)],0)</f>
        <v>588</v>
      </c>
      <c r="BO595" s="270" t="str">
        <f>_xlfn.XLOOKUP(FMS_Ranking4[[#This Row],[FMS ID]],FMS_Input[FMS_ID],FMS_Input[FMS_RANK_YEAR])</f>
        <v>2023 Amended Plan</v>
      </c>
      <c r="BP595" s="204">
        <f>_xlfn.XLOOKUP(FMS_Ranking4[[#This Row],[FMS ID]],Prev_Rank[FMS ID],Prev_Rank[Prev Rank])</f>
        <v>520</v>
      </c>
      <c r="BQ595" s="205" t="e">
        <f>_xlfn.XLOOKUP(FMS_Ranking4[[#This Row],[FMS ID]],#REF!,#REF!)</f>
        <v>#REF!</v>
      </c>
      <c r="BR595" s="199" t="e">
        <f>SUM(#REF!,#REF!,#REF!,#REF!,#REF!,#REF!,#REF!,#REF!,#REF!,FMS_Ranking4[[#This Row],[ArcSinh Res struct removed 0-10]],#REF!)</f>
        <v>#REF!</v>
      </c>
      <c r="BS595" s="199" t="e">
        <f>FMS_Ranking4[[#This Row],[Log Score Based on Normalized Reported Factors]]+FMS_Ranking4[[#This Row],[% NBS Score (Normalized)]]+(FMS_Ranking4[[#This Row],[Water Supply Score (Normalized)]]*10*$BB$5)+(FMS_Ranking4[[#This Row],[FMS_Type Score Weighted]])</f>
        <v>#REF!</v>
      </c>
      <c r="BT595" s="200" t="e">
        <f>_xlfn.RANK.EQ(FMS_Ranking4[[#This Row],[Log Total Score]],FMS_Ranking4[Log Total Score],0)</f>
        <v>#REF!</v>
      </c>
      <c r="BU595" s="200" t="e">
        <f>_xlfn.XLOOKUP(FMS_Ranking4[[#This Row],[FMS ID]],#REF!,#REF!)</f>
        <v>#REF!</v>
      </c>
      <c r="BV595" s="200">
        <f>FMS_Ranking4[[#This Row],[Region Number]]</f>
        <v>13</v>
      </c>
      <c r="BW595" s="200">
        <f>FMS_Ranking4[[#This Row],[Rank (with ArcSinh normalization of select criteria)]]-FMS_Ranking4[[#This Row],[Rank
(with linear
normalization)]]</f>
        <v>1</v>
      </c>
      <c r="BX595" s="200" t="e">
        <f>FMS_Ranking4[[#This Row],[Log Rank]]-FMS_Ranking4[[#This Row],[Rank
(with linear
normalization)]]</f>
        <v>#REF!</v>
      </c>
      <c r="BY595" s="200" t="str">
        <f>IF(FMS_Ranking4[[#This Row],[FMS Type]]="Flood Measurement and Warning",FMS_Ranking4[[#This Row],[Rank (with ArcSinh normalization of select criteria)]],"")</f>
        <v/>
      </c>
      <c r="BZ595" s="200" t="str">
        <f>IF(FMS_Ranking4[[#This Row],[FMS Type]]="Regulatory and Guidance",FMS_Ranking4[[#This Row],[Rank (with ArcSinh normalization of select criteria)]],"")</f>
        <v/>
      </c>
      <c r="CA595" s="200">
        <f>IF(FMS_Ranking4[[#This Row],[FMS Type]]="Education and Outreach",FMS_Ranking4[[#This Row],[Rank (with ArcSinh normalization of select criteria)]],"")</f>
        <v>588</v>
      </c>
      <c r="CB595" s="200" t="str">
        <f>IF(FMS_Ranking4[[#This Row],[FMS Type]]="Property Acquisition and Structural Elevation",FMS_Ranking4[[#This Row],[Rank (with ArcSinh normalization of select criteria)]],"")</f>
        <v/>
      </c>
      <c r="CC595" s="200" t="str">
        <f>IF(FMS_Ranking4[[#This Row],[FMS Type]]="Infrastructure Projects",FMS_Ranking4[[#This Row],[Rank (with ArcSinh normalization of select criteria)]],"")</f>
        <v/>
      </c>
      <c r="CD595" s="200" t="str">
        <f>IF(FMS_Ranking4[[#This Row],[FMS Type]]="Other",FMS_Ranking4[[#This Row],[Rank (with ArcSinh normalization of select criteria)]],"")</f>
        <v/>
      </c>
      <c r="CE595" s="201"/>
      <c r="CF595" s="206"/>
      <c r="CG595" s="206"/>
      <c r="CH595" s="206"/>
      <c r="CI595" s="206"/>
      <c r="CJ595" s="206"/>
      <c r="CK595" s="206"/>
      <c r="CL595" s="206"/>
      <c r="CM595" s="206"/>
      <c r="CN595" s="206"/>
      <c r="CO595" s="206"/>
      <c r="CP595" s="206"/>
      <c r="CQ595" s="206"/>
      <c r="CR595" s="206"/>
    </row>
    <row r="596" spans="2:96" ht="60" x14ac:dyDescent="0.25">
      <c r="B596" s="341" t="s">
        <v>2752</v>
      </c>
      <c r="C596" s="246">
        <f>_xlfn.XLOOKUP(FMS_Ranking4[[#This Row],[FMS ID]],FMS_Input[FMS_ID],FMS_Input[RFPG_NUM])</f>
        <v>5</v>
      </c>
      <c r="D596" s="309" t="str">
        <f>_xlfn.XLOOKUP(FMS_Ranking4[[#This Row],[FMS ID]],FMS_Input[FMS_ID],FMS_Input[FMS_NAME])</f>
        <v>Van Zandt County Road Elevation</v>
      </c>
      <c r="E596" s="308" t="str">
        <f>_xlfn.XLOOKUP(FMS_Ranking4[[#This Row],[FMS ID]],FMS_Input[FMS_ID],FMS_Input[SPONSOR])</f>
        <v>00000110</v>
      </c>
      <c r="F596" s="309" t="str">
        <f>_xlfn.XLOOKUP(FMS_Ranking4[[#This Row],[FMS ID]],Sponsor[FMS_ID],Sponsor[SPONSOR NAME])</f>
        <v>Van Zandt</v>
      </c>
      <c r="G596" s="309" t="str">
        <f>_xlfn.XLOOKUP(FMS_Ranking4[[#This Row],[FMS ID]],FMS_Input[FMS_ID],FMS_Input[FMS_DESCR])</f>
        <v>Develop a program to elevate roads and bridges including installing, upsizing culverts and headwalls, and bridge upgrades.</v>
      </c>
      <c r="H596" s="248" t="str">
        <f>_xlfn.XLOOKUP(FMS_Ranking4[[#This Row],[FMS ID]],FMS_Input[FMS_ID],FMS_Input[FMS_TYPE])</f>
        <v>Infrastructure Projects</v>
      </c>
      <c r="I596" s="249">
        <f>_xlfn.XLOOKUP(FMS_Ranking4[[#This Row],[FMS ID]],FMS_Input[FMS_ID],FMS_Input[NRNC_COST])</f>
        <v>200000</v>
      </c>
      <c r="J596" s="250">
        <f>_xlfn.XLOOKUP(FMS_Ranking4[[#This Row],[FMS ID]],FMS_Input[FMS_ID],FMS_Input[FMS_COST])</f>
        <v>2000000</v>
      </c>
      <c r="K596" s="251" t="str">
        <f>_xlfn.XLOOKUP(FMS_Ranking4[[#This Row],[FMS ID]],FMS_Input[FMS_ID],FMS_Input[EMER_NEED])</f>
        <v>Yes</v>
      </c>
      <c r="L596" s="252">
        <f t="shared" si="9"/>
        <v>1</v>
      </c>
      <c r="M596" s="253">
        <f>_xlfn.XLOOKUP(FMS_Ranking4[[#This Row],[FMS ID]],FMS_Input[FMS_ID],FMS_Input[STRUCT_100])</f>
        <v>217</v>
      </c>
      <c r="N596" s="255">
        <f>(ASINH(FMS_Ranking4[[#This Row],[Structure at Risk Raw]]))*(10)/(ASINH(M$4))</f>
        <v>4.7743214146758861</v>
      </c>
      <c r="O596" s="256">
        <f>FMS_Ranking4[[#This Row],[Structures at risk, ArcSinh (0-10)]]*M$5*10</f>
        <v>4.7743214146758861</v>
      </c>
      <c r="P596" s="253">
        <f>_xlfn.XLOOKUP(FMS_Ranking4[[#This Row],[FMS ID]],FMS_Input[FMS_ID],FMS_Input[RES_STRUCT100])</f>
        <v>144</v>
      </c>
      <c r="Q596" s="257">
        <f>ASINH(FMS_Ranking4[[#This Row],[Res Structure Raw]])/Q$4*P$5*100</f>
        <v>0</v>
      </c>
      <c r="R596" s="253">
        <f>_xlfn.XLOOKUP(FMS_Ranking4[[#This Row],[FMS ID]],FMS_Input[FMS_ID],FMS_Input[POP100])</f>
        <v>233</v>
      </c>
      <c r="S596" s="259">
        <f>(ASINH(FMS_Ranking4[[#This Row],[Pop at Risk Raw]]))*(10)/(ASINH(R$4))</f>
        <v>4.2416922240805404</v>
      </c>
      <c r="T596" s="256">
        <f>FMS_Ranking4[[#This Row],[Population at risk, ArcSinh (0-10)]]*R$5*10</f>
        <v>4.2416922240805404</v>
      </c>
      <c r="U596" s="253">
        <f>_xlfn.XLOOKUP(FMS_Ranking4[[#This Row],[FMS ID]],FMS_Input[FMS_ID],FMS_Input[CRITFAC100])</f>
        <v>0</v>
      </c>
      <c r="V596" s="259">
        <f>(ASINH(FMS_Ranking4[[#This Row],[Critical Facilities Raw]]))*(10)/(ASINH(U$4))</f>
        <v>0</v>
      </c>
      <c r="W596" s="256">
        <f>FMS_Ranking4[[#This Row],[Critical facilities at risk, ArcSinh (0-10)]]*U$5*10</f>
        <v>0</v>
      </c>
      <c r="X596" s="253">
        <f>_xlfn.XLOOKUP(FMS_Ranking4[[#This Row],[FMS ID]],FMS_Input[FMS_ID],FMS_Input[LWC])</f>
        <v>0</v>
      </c>
      <c r="Y596" s="259">
        <f>(ASINH(FMS_Ranking4[[#This Row],[LWC Raw]]))*(10)/(ASINH(X$4))</f>
        <v>0</v>
      </c>
      <c r="Z596" s="256">
        <f>FMS_Ranking4[[#This Row],[LWC, ArcSInh (0-10)]]*X$5*10</f>
        <v>0</v>
      </c>
      <c r="AA596" s="253">
        <f>_xlfn.XLOOKUP(FMS_Ranking4[[#This Row],[FMS ID]],FMS_Input[FMS_ID],FMS_Input[ROADCLS])</f>
        <v>0</v>
      </c>
      <c r="AB596" s="255">
        <f>(ASINH(FMS_Ranking4[[#This Row],[Road Closures Raw]]))*(10)/(ASINH(AA$4))</f>
        <v>0</v>
      </c>
      <c r="AC596" s="256">
        <f>FMS_Ranking4[[#This Row],[Road closures, ArcSinh (0-10)]]*AA$5*10</f>
        <v>0</v>
      </c>
      <c r="AD596" s="253">
        <f>_xlfn.XLOOKUP(FMS_Ranking4[[#This Row],[FMS ID]],FMS_Input[FMS_ID],FMS_Input[ROAD_MILES100])</f>
        <v>13</v>
      </c>
      <c r="AE596" s="259">
        <f>(ASINH(FMS_Ranking4[[#This Row],[Road Miles Raw]]))*(10)/(ASINH(AD$4))</f>
        <v>3.473807557544454</v>
      </c>
      <c r="AF596" s="256">
        <f>FMS_Ranking4[[#This Row],[Length of roads at risk, ArcSinh (0-10)]]*AD$5*10</f>
        <v>3.4738075575444545</v>
      </c>
      <c r="AG596" s="253">
        <f>_xlfn.XLOOKUP(FMS_Ranking4[[#This Row],[FMS ID]],FMS_Input[FMS_ID],FMS_Input[FARMACRE100])</f>
        <v>231.7996826171875</v>
      </c>
      <c r="AH596" s="255">
        <f>(ASINH(FMS_Ranking4[[#This Row],[Ag Land Raw]]))*(10)/(ASINH(AG$4))</f>
        <v>3.9877971362631732</v>
      </c>
      <c r="AI596" s="260">
        <f>FMS_Ranking4[[#This Row],[Farm &amp; ranch land, ArcSinh (0-10)]]*AG$5*10</f>
        <v>1.9938985681315868</v>
      </c>
      <c r="AJ596" s="258">
        <f>_xlfn.XLOOKUP(FMS_Ranking4[[#This Row],[FMS ID]],FMS_Input[FMS_ID],FMS_Input[REDSTRUCT100])</f>
        <v>0</v>
      </c>
      <c r="AK596" s="253">
        <f>_xlfn.XLOOKUP(FMS_Ranking4[[#This Row],[FMS ID]],FMS_Input[FMS_ID],FMS_Input[REMSTRC100])</f>
        <v>0</v>
      </c>
      <c r="AL596" s="259">
        <f>(ASINH(FMS_Ranking4[[#This Row],[Structures Removed Raw]]))*(10)/(ASINH(AK$4))</f>
        <v>0</v>
      </c>
      <c r="AM596" s="262">
        <f>FMS_Ranking4[[#This Row],[Structures removed, ArcSinh (0-10)]]*AK$5*10</f>
        <v>0</v>
      </c>
      <c r="AN596" s="253">
        <f>_xlfn.XLOOKUP(FMS_Ranking4[[#This Row],[FMS ID]],FMS_Input[FMS_ID],FMS_Input[REMRESSTRC100])</f>
        <v>0</v>
      </c>
      <c r="AO596" s="261">
        <f>FMS_Ranking4[[#This Row],[ArcSinh Res struct removed 0-10]]*AN$5*10</f>
        <v>0</v>
      </c>
      <c r="AP596" s="260">
        <f>ASINH(FMS_Ranking4[[#This Row],[Residential Structures Removed Raw]])/AP$4*AN$5*100</f>
        <v>0</v>
      </c>
      <c r="AQ596" s="254">
        <f>(ASINH(FMS_Ranking4[[#This Row],[Residential Structures Removed Raw]]))*(10)/(ASINH(AN$4))</f>
        <v>0</v>
      </c>
      <c r="AR596" s="253">
        <f>_xlfn.XLOOKUP(FMS_Ranking4[[#This Row],[FMS ID]],FMS_Input[FMS_ID],FMS_Input[REMPOP100])</f>
        <v>0</v>
      </c>
      <c r="AS596" s="259">
        <f>(ASINH(FMS_Ranking4[[#This Row],[Removed Pop Raw]]))*(10)/(ASINH(AR$4))</f>
        <v>0</v>
      </c>
      <c r="AT596" s="262">
        <f>FMS_Ranking4[[#This Row],[Removed population, ArcSinh (0-10)]]*AR$5*10</f>
        <v>0</v>
      </c>
      <c r="AU596" s="264">
        <f>_xlfn.XLOOKUP(FMS_Ranking4[[#This Row],[FMS ID]],FMS_Input[FMS_ID],FMS_Input[REMCRITFAC100])</f>
        <v>0</v>
      </c>
      <c r="AV596" s="264">
        <f>_xlfn.XLOOKUP(FMS_Ranking4[[#This Row],[FMS ID]],FMS_Input[FMS_ID],FMS_Input[REMLWC100])</f>
        <v>0</v>
      </c>
      <c r="AW596" s="264">
        <f>_xlfn.XLOOKUP(FMS_Ranking4[[#This Row],[FMS ID]],FMS_Input[FMS_ID],FMS_Input[REMROADCLS])</f>
        <v>0</v>
      </c>
      <c r="AX596" s="264">
        <f>_xlfn.XLOOKUP(FMS_Ranking4[[#This Row],[FMS ID]],FMS_Input[FMS_ID],FMS_Input[REMFRMACRE100])</f>
        <v>0</v>
      </c>
      <c r="AY596" s="258">
        <f>_xlfn.XLOOKUP(FMS_Ranking4[[#This Row],[FMS ID]],FMS_Input[FMS_ID],FMS_Input[COSTSTRUCT])</f>
        <v>0</v>
      </c>
      <c r="AZ596" s="253">
        <f>_xlfn.XLOOKUP(FMS_Ranking4[[#This Row],[FMS ID]],FMS_Input[FMS_ID],FMS_Input[NATURE])</f>
        <v>0</v>
      </c>
      <c r="BA596" s="262">
        <f>(((FMS_Ranking4[[#This Row],[% NBS Raw]]/AZ$4)*100)*AZ$5)</f>
        <v>0</v>
      </c>
      <c r="BB596" s="251" t="str">
        <f>_xlfn.XLOOKUP(FMS_Ranking4[[#This Row],[FMS ID]],FMS_Input[FMS_ID],FMS_Input[WATER_SUP])</f>
        <v>No</v>
      </c>
      <c r="BC596" s="265">
        <f>IF(FMS_Ranking4[[#This Row],[Water Supply Raw]]="Yes",10,0)</f>
        <v>0</v>
      </c>
      <c r="BD596" s="266">
        <f>_xlfn.XLOOKUP(FMS_Ranking4[[#This Row],[FMS Type]],FMS_TYPE[FMS_Type],FMS_TYPE[Score])</f>
        <v>4</v>
      </c>
      <c r="BE596" s="267">
        <f>FMS_Ranking4[[#This Row],[FMS_Type Score]]*$BD$5*10</f>
        <v>1</v>
      </c>
      <c r="BF59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3.771054204516322E-2</v>
      </c>
      <c r="BG596" s="271">
        <f>_xlfn.RANK.EQ(BF596,$BF$8:$BF$870,0)+COUNTIF($BF$8:BF596,BF596)-1</f>
        <v>585</v>
      </c>
      <c r="BH596" s="268">
        <f>(((FMS_Ranking4[[#This Row],[Structures Removed Raw]]/AK$4)*100)*AK$5)+(((FMS_Ranking4[[#This Row],[Removed Pop Raw]]/AR$4)*100)*AR$5)</f>
        <v>0</v>
      </c>
      <c r="BI59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1.0377105420451631</v>
      </c>
      <c r="BJ596" s="205">
        <f>_xlfn.RANK.EQ(FMS_Ranking4[[#This Row],[Total Score 
(with linear
normalization)]],FMS_Ranking4[Total Score 
(with linear
normalization)],0)</f>
        <v>702</v>
      </c>
      <c r="BK596" s="205" t="e">
        <f>_xlfn.XLOOKUP(FMS_Ranking4[[#This Row],[FMS ID]],#REF!,#REF!)</f>
        <v>#REF!</v>
      </c>
      <c r="BL59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14.483719764432468</v>
      </c>
      <c r="BM596" s="272">
        <f>FMS_Ranking4[[#This Row],[ArcSinh Score Based on Normalized Reported Factors]]+FMS_Ranking4[[#This Row],[% NBS Score (Normalized)]]+(FMS_Ranking4[[#This Row],[Water Supply Score (Normalized)]]*10*$BB$5)+FMS_Ranking4[[#This Row],[FMS_Type Score Weighted]]</f>
        <v>15.483719764432468</v>
      </c>
      <c r="BN596" s="205">
        <f>_xlfn.RANK.EQ(FMS_Ranking4[[#This Row],[Total Score (with ArcSinh normalization of select criteria)]],FMS_Ranking4[Total Score (with ArcSinh normalization of select criteria)],0)</f>
        <v>589</v>
      </c>
      <c r="BO596" s="270" t="str">
        <f>_xlfn.XLOOKUP(FMS_Ranking4[[#This Row],[FMS ID]],FMS_Input[FMS_ID],FMS_Input[FMS_RANK_YEAR])</f>
        <v>2023 Amended Plan</v>
      </c>
      <c r="BP596" s="204">
        <f>_xlfn.XLOOKUP(FMS_Ranking4[[#This Row],[FMS ID]],Prev_Rank[FMS ID],Prev_Rank[Prev Rank])</f>
        <v>521</v>
      </c>
      <c r="BQ596" s="205" t="e">
        <f>_xlfn.XLOOKUP(FMS_Ranking4[[#This Row],[FMS ID]],#REF!,#REF!)</f>
        <v>#REF!</v>
      </c>
      <c r="BR596" s="199" t="e">
        <f>SUM(#REF!,#REF!,#REF!,#REF!,#REF!,#REF!,#REF!,#REF!,#REF!,FMS_Ranking4[[#This Row],[ArcSinh Res struct removed 0-10]],#REF!)</f>
        <v>#REF!</v>
      </c>
      <c r="BS596" s="199" t="e">
        <f>FMS_Ranking4[[#This Row],[Log Score Based on Normalized Reported Factors]]+FMS_Ranking4[[#This Row],[% NBS Score (Normalized)]]+(FMS_Ranking4[[#This Row],[Water Supply Score (Normalized)]]*10*$BB$5)+(FMS_Ranking4[[#This Row],[FMS_Type Score Weighted]])</f>
        <v>#REF!</v>
      </c>
      <c r="BT596" s="200" t="e">
        <f>_xlfn.RANK.EQ(FMS_Ranking4[[#This Row],[Log Total Score]],FMS_Ranking4[Log Total Score],0)</f>
        <v>#REF!</v>
      </c>
      <c r="BU596" s="200" t="e">
        <f>_xlfn.XLOOKUP(FMS_Ranking4[[#This Row],[FMS ID]],#REF!,#REF!)</f>
        <v>#REF!</v>
      </c>
      <c r="BV596" s="200">
        <f>FMS_Ranking4[[#This Row],[Region Number]]</f>
        <v>5</v>
      </c>
      <c r="BW596" s="200">
        <f>FMS_Ranking4[[#This Row],[Rank (with ArcSinh normalization of select criteria)]]-FMS_Ranking4[[#This Row],[Rank
(with linear
normalization)]]</f>
        <v>-113</v>
      </c>
      <c r="BX596" s="200" t="e">
        <f>FMS_Ranking4[[#This Row],[Log Rank]]-FMS_Ranking4[[#This Row],[Rank
(with linear
normalization)]]</f>
        <v>#REF!</v>
      </c>
      <c r="BY596" s="200" t="str">
        <f>IF(FMS_Ranking4[[#This Row],[FMS Type]]="Flood Measurement and Warning",FMS_Ranking4[[#This Row],[Rank (with ArcSinh normalization of select criteria)]],"")</f>
        <v/>
      </c>
      <c r="BZ596" s="200" t="str">
        <f>IF(FMS_Ranking4[[#This Row],[FMS Type]]="Regulatory and Guidance",FMS_Ranking4[[#This Row],[Rank (with ArcSinh normalization of select criteria)]],"")</f>
        <v/>
      </c>
      <c r="CA596" s="200" t="str">
        <f>IF(FMS_Ranking4[[#This Row],[FMS Type]]="Education and Outreach",FMS_Ranking4[[#This Row],[Rank (with ArcSinh normalization of select criteria)]],"")</f>
        <v/>
      </c>
      <c r="CB596" s="200" t="str">
        <f>IF(FMS_Ranking4[[#This Row],[FMS Type]]="Property Acquisition and Structural Elevation",FMS_Ranking4[[#This Row],[Rank (with ArcSinh normalization of select criteria)]],"")</f>
        <v/>
      </c>
      <c r="CC596" s="200">
        <f>IF(FMS_Ranking4[[#This Row],[FMS Type]]="Infrastructure Projects",FMS_Ranking4[[#This Row],[Rank (with ArcSinh normalization of select criteria)]],"")</f>
        <v>589</v>
      </c>
      <c r="CD596" s="200" t="str">
        <f>IF(FMS_Ranking4[[#This Row],[FMS Type]]="Other",FMS_Ranking4[[#This Row],[Rank (with ArcSinh normalization of select criteria)]],"")</f>
        <v/>
      </c>
      <c r="CE596" s="201"/>
      <c r="CF596" s="206"/>
      <c r="CG596" s="206"/>
      <c r="CH596" s="206"/>
      <c r="CI596" s="206"/>
      <c r="CJ596" s="206"/>
      <c r="CK596" s="206"/>
      <c r="CL596" s="206"/>
      <c r="CM596" s="206"/>
      <c r="CN596" s="206"/>
      <c r="CO596" s="206"/>
      <c r="CP596" s="206"/>
      <c r="CQ596" s="206"/>
      <c r="CR596" s="206"/>
    </row>
    <row r="597" spans="2:96" ht="105" x14ac:dyDescent="0.25">
      <c r="B597" s="341" t="s">
        <v>2755</v>
      </c>
      <c r="C597" s="246">
        <f>_xlfn.XLOOKUP(FMS_Ranking4[[#This Row],[FMS ID]],FMS_Input[FMS_ID],FMS_Input[RFPG_NUM])</f>
        <v>5</v>
      </c>
      <c r="D597" s="309" t="str">
        <f>_xlfn.XLOOKUP(FMS_Ranking4[[#This Row],[FMS ID]],FMS_Input[FMS_ID],FMS_Input[FMS_NAME])</f>
        <v>Van Zandt County Drainage Capacity Upgrades</v>
      </c>
      <c r="E597" s="308" t="str">
        <f>_xlfn.XLOOKUP(FMS_Ranking4[[#This Row],[FMS ID]],FMS_Input[FMS_ID],FMS_Input[SPONSOR])</f>
        <v>00000110</v>
      </c>
      <c r="F597" s="309" t="str">
        <f>_xlfn.XLOOKUP(FMS_Ranking4[[#This Row],[FMS ID]],Sponsor[FMS_ID],Sponsor[SPONSOR NAME])</f>
        <v>Van Zandt</v>
      </c>
      <c r="G597" s="309" t="str">
        <f>_xlfn.XLOOKUP(FMS_Ranking4[[#This Row],[FMS ID]],FMS_Input[FMS_ID],FMS_Input[FMS_DESCR])</f>
        <v>Establish a plan to increase Drainage Capacity; possible actions include installing French Drains, Building Elevation, and Upgrading Undersized Pipe under State Hwy for Water to Run into Creek.</v>
      </c>
      <c r="H597" s="248" t="str">
        <f>_xlfn.XLOOKUP(FMS_Ranking4[[#This Row],[FMS ID]],FMS_Input[FMS_ID],FMS_Input[FMS_TYPE])</f>
        <v>Infrastructure Projects</v>
      </c>
      <c r="I597" s="249">
        <f>_xlfn.XLOOKUP(FMS_Ranking4[[#This Row],[FMS ID]],FMS_Input[FMS_ID],FMS_Input[NRNC_COST])</f>
        <v>200000</v>
      </c>
      <c r="J597" s="250">
        <f>_xlfn.XLOOKUP(FMS_Ranking4[[#This Row],[FMS ID]],FMS_Input[FMS_ID],FMS_Input[FMS_COST])</f>
        <v>2000000</v>
      </c>
      <c r="K597" s="251" t="str">
        <f>_xlfn.XLOOKUP(FMS_Ranking4[[#This Row],[FMS ID]],FMS_Input[FMS_ID],FMS_Input[EMER_NEED])</f>
        <v>Yes</v>
      </c>
      <c r="L597" s="252">
        <f t="shared" si="9"/>
        <v>1</v>
      </c>
      <c r="M597" s="253">
        <f>_xlfn.XLOOKUP(FMS_Ranking4[[#This Row],[FMS ID]],FMS_Input[FMS_ID],FMS_Input[STRUCT_100])</f>
        <v>217</v>
      </c>
      <c r="N597" s="255">
        <f>(ASINH(FMS_Ranking4[[#This Row],[Structure at Risk Raw]]))*(10)/(ASINH(M$4))</f>
        <v>4.7743214146758861</v>
      </c>
      <c r="O597" s="256">
        <f>FMS_Ranking4[[#This Row],[Structures at risk, ArcSinh (0-10)]]*M$5*10</f>
        <v>4.7743214146758861</v>
      </c>
      <c r="P597" s="253">
        <f>_xlfn.XLOOKUP(FMS_Ranking4[[#This Row],[FMS ID]],FMS_Input[FMS_ID],FMS_Input[RES_STRUCT100])</f>
        <v>144</v>
      </c>
      <c r="Q597" s="257">
        <f>ASINH(FMS_Ranking4[[#This Row],[Res Structure Raw]])/Q$4*P$5*100</f>
        <v>0</v>
      </c>
      <c r="R597" s="253">
        <f>_xlfn.XLOOKUP(FMS_Ranking4[[#This Row],[FMS ID]],FMS_Input[FMS_ID],FMS_Input[POP100])</f>
        <v>233</v>
      </c>
      <c r="S597" s="259">
        <f>(ASINH(FMS_Ranking4[[#This Row],[Pop at Risk Raw]]))*(10)/(ASINH(R$4))</f>
        <v>4.2416922240805404</v>
      </c>
      <c r="T597" s="256">
        <f>FMS_Ranking4[[#This Row],[Population at risk, ArcSinh (0-10)]]*R$5*10</f>
        <v>4.2416922240805404</v>
      </c>
      <c r="U597" s="253">
        <f>_xlfn.XLOOKUP(FMS_Ranking4[[#This Row],[FMS ID]],FMS_Input[FMS_ID],FMS_Input[CRITFAC100])</f>
        <v>0</v>
      </c>
      <c r="V597" s="259">
        <f>(ASINH(FMS_Ranking4[[#This Row],[Critical Facilities Raw]]))*(10)/(ASINH(U$4))</f>
        <v>0</v>
      </c>
      <c r="W597" s="256">
        <f>FMS_Ranking4[[#This Row],[Critical facilities at risk, ArcSinh (0-10)]]*U$5*10</f>
        <v>0</v>
      </c>
      <c r="X597" s="253">
        <f>_xlfn.XLOOKUP(FMS_Ranking4[[#This Row],[FMS ID]],FMS_Input[FMS_ID],FMS_Input[LWC])</f>
        <v>0</v>
      </c>
      <c r="Y597" s="259">
        <f>(ASINH(FMS_Ranking4[[#This Row],[LWC Raw]]))*(10)/(ASINH(X$4))</f>
        <v>0</v>
      </c>
      <c r="Z597" s="256">
        <f>FMS_Ranking4[[#This Row],[LWC, ArcSInh (0-10)]]*X$5*10</f>
        <v>0</v>
      </c>
      <c r="AA597" s="253">
        <f>_xlfn.XLOOKUP(FMS_Ranking4[[#This Row],[FMS ID]],FMS_Input[FMS_ID],FMS_Input[ROADCLS])</f>
        <v>0</v>
      </c>
      <c r="AB597" s="255">
        <f>(ASINH(FMS_Ranking4[[#This Row],[Road Closures Raw]]))*(10)/(ASINH(AA$4))</f>
        <v>0</v>
      </c>
      <c r="AC597" s="256">
        <f>FMS_Ranking4[[#This Row],[Road closures, ArcSinh (0-10)]]*AA$5*10</f>
        <v>0</v>
      </c>
      <c r="AD597" s="253">
        <f>_xlfn.XLOOKUP(FMS_Ranking4[[#This Row],[FMS ID]],FMS_Input[FMS_ID],FMS_Input[ROAD_MILES100])</f>
        <v>13</v>
      </c>
      <c r="AE597" s="259">
        <f>(ASINH(FMS_Ranking4[[#This Row],[Road Miles Raw]]))*(10)/(ASINH(AD$4))</f>
        <v>3.473807557544454</v>
      </c>
      <c r="AF597" s="256">
        <f>FMS_Ranking4[[#This Row],[Length of roads at risk, ArcSinh (0-10)]]*AD$5*10</f>
        <v>3.4738075575444545</v>
      </c>
      <c r="AG597" s="253">
        <f>_xlfn.XLOOKUP(FMS_Ranking4[[#This Row],[FMS ID]],FMS_Input[FMS_ID],FMS_Input[FARMACRE100])</f>
        <v>231.7996826171875</v>
      </c>
      <c r="AH597" s="255">
        <f>(ASINH(FMS_Ranking4[[#This Row],[Ag Land Raw]]))*(10)/(ASINH(AG$4))</f>
        <v>3.9877971362631732</v>
      </c>
      <c r="AI597" s="260">
        <f>FMS_Ranking4[[#This Row],[Farm &amp; ranch land, ArcSinh (0-10)]]*AG$5*10</f>
        <v>1.9938985681315868</v>
      </c>
      <c r="AJ597" s="258">
        <f>_xlfn.XLOOKUP(FMS_Ranking4[[#This Row],[FMS ID]],FMS_Input[FMS_ID],FMS_Input[REDSTRUCT100])</f>
        <v>0</v>
      </c>
      <c r="AK597" s="253">
        <f>_xlfn.XLOOKUP(FMS_Ranking4[[#This Row],[FMS ID]],FMS_Input[FMS_ID],FMS_Input[REMSTRC100])</f>
        <v>0</v>
      </c>
      <c r="AL597" s="259">
        <f>(ASINH(FMS_Ranking4[[#This Row],[Structures Removed Raw]]))*(10)/(ASINH(AK$4))</f>
        <v>0</v>
      </c>
      <c r="AM597" s="262">
        <f>FMS_Ranking4[[#This Row],[Structures removed, ArcSinh (0-10)]]*AK$5*10</f>
        <v>0</v>
      </c>
      <c r="AN597" s="253">
        <f>_xlfn.XLOOKUP(FMS_Ranking4[[#This Row],[FMS ID]],FMS_Input[FMS_ID],FMS_Input[REMRESSTRC100])</f>
        <v>0</v>
      </c>
      <c r="AO597" s="261">
        <f>FMS_Ranking4[[#This Row],[ArcSinh Res struct removed 0-10]]*AN$5*10</f>
        <v>0</v>
      </c>
      <c r="AP597" s="260">
        <f>ASINH(FMS_Ranking4[[#This Row],[Residential Structures Removed Raw]])/AP$4*AN$5*100</f>
        <v>0</v>
      </c>
      <c r="AQ597" s="254">
        <f>(ASINH(FMS_Ranking4[[#This Row],[Residential Structures Removed Raw]]))*(10)/(ASINH(AN$4))</f>
        <v>0</v>
      </c>
      <c r="AR597" s="253">
        <f>_xlfn.XLOOKUP(FMS_Ranking4[[#This Row],[FMS ID]],FMS_Input[FMS_ID],FMS_Input[REMPOP100])</f>
        <v>0</v>
      </c>
      <c r="AS597" s="259">
        <f>(ASINH(FMS_Ranking4[[#This Row],[Removed Pop Raw]]))*(10)/(ASINH(AR$4))</f>
        <v>0</v>
      </c>
      <c r="AT597" s="262">
        <f>FMS_Ranking4[[#This Row],[Removed population, ArcSinh (0-10)]]*AR$5*10</f>
        <v>0</v>
      </c>
      <c r="AU597" s="264">
        <f>_xlfn.XLOOKUP(FMS_Ranking4[[#This Row],[FMS ID]],FMS_Input[FMS_ID],FMS_Input[REMCRITFAC100])</f>
        <v>0</v>
      </c>
      <c r="AV597" s="264">
        <f>_xlfn.XLOOKUP(FMS_Ranking4[[#This Row],[FMS ID]],FMS_Input[FMS_ID],FMS_Input[REMLWC100])</f>
        <v>0</v>
      </c>
      <c r="AW597" s="264">
        <f>_xlfn.XLOOKUP(FMS_Ranking4[[#This Row],[FMS ID]],FMS_Input[FMS_ID],FMS_Input[REMROADCLS])</f>
        <v>0</v>
      </c>
      <c r="AX597" s="264">
        <f>_xlfn.XLOOKUP(FMS_Ranking4[[#This Row],[FMS ID]],FMS_Input[FMS_ID],FMS_Input[REMFRMACRE100])</f>
        <v>0</v>
      </c>
      <c r="AY597" s="258">
        <f>_xlfn.XLOOKUP(FMS_Ranking4[[#This Row],[FMS ID]],FMS_Input[FMS_ID],FMS_Input[COSTSTRUCT])</f>
        <v>0</v>
      </c>
      <c r="AZ597" s="253">
        <f>_xlfn.XLOOKUP(FMS_Ranking4[[#This Row],[FMS ID]],FMS_Input[FMS_ID],FMS_Input[NATURE])</f>
        <v>0</v>
      </c>
      <c r="BA597" s="262">
        <f>(((FMS_Ranking4[[#This Row],[% NBS Raw]]/AZ$4)*100)*AZ$5)</f>
        <v>0</v>
      </c>
      <c r="BB597" s="251" t="str">
        <f>_xlfn.XLOOKUP(FMS_Ranking4[[#This Row],[FMS ID]],FMS_Input[FMS_ID],FMS_Input[WATER_SUP])</f>
        <v>No</v>
      </c>
      <c r="BC597" s="265">
        <f>IF(FMS_Ranking4[[#This Row],[Water Supply Raw]]="Yes",10,0)</f>
        <v>0</v>
      </c>
      <c r="BD597" s="266">
        <f>_xlfn.XLOOKUP(FMS_Ranking4[[#This Row],[FMS Type]],FMS_TYPE[FMS_Type],FMS_TYPE[Score])</f>
        <v>4</v>
      </c>
      <c r="BE597" s="267">
        <f>FMS_Ranking4[[#This Row],[FMS_Type Score]]*$BD$5*10</f>
        <v>1</v>
      </c>
      <c r="BF59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3.771054204516322E-2</v>
      </c>
      <c r="BG597" s="271">
        <f>_xlfn.RANK.EQ(BF597,$BF$8:$BF$870,0)+COUNTIF($BF$8:BF597,BF597)-1</f>
        <v>586</v>
      </c>
      <c r="BH597" s="268">
        <f>(((FMS_Ranking4[[#This Row],[Structures Removed Raw]]/AK$4)*100)*AK$5)+(((FMS_Ranking4[[#This Row],[Removed Pop Raw]]/AR$4)*100)*AR$5)</f>
        <v>0</v>
      </c>
      <c r="BI59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1.0377105420451631</v>
      </c>
      <c r="BJ597" s="205">
        <f>_xlfn.RANK.EQ(FMS_Ranking4[[#This Row],[Total Score 
(with linear
normalization)]],FMS_Ranking4[Total Score 
(with linear
normalization)],0)</f>
        <v>702</v>
      </c>
      <c r="BK597" s="205" t="e">
        <f>_xlfn.XLOOKUP(FMS_Ranking4[[#This Row],[FMS ID]],#REF!,#REF!)</f>
        <v>#REF!</v>
      </c>
      <c r="BL59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14.483719764432468</v>
      </c>
      <c r="BM597" s="272">
        <f>FMS_Ranking4[[#This Row],[ArcSinh Score Based on Normalized Reported Factors]]+FMS_Ranking4[[#This Row],[% NBS Score (Normalized)]]+(FMS_Ranking4[[#This Row],[Water Supply Score (Normalized)]]*10*$BB$5)+FMS_Ranking4[[#This Row],[FMS_Type Score Weighted]]</f>
        <v>15.483719764432468</v>
      </c>
      <c r="BN597" s="205">
        <f>_xlfn.RANK.EQ(FMS_Ranking4[[#This Row],[Total Score (with ArcSinh normalization of select criteria)]],FMS_Ranking4[Total Score (with ArcSinh normalization of select criteria)],0)</f>
        <v>589</v>
      </c>
      <c r="BO597" s="270" t="str">
        <f>_xlfn.XLOOKUP(FMS_Ranking4[[#This Row],[FMS ID]],FMS_Input[FMS_ID],FMS_Input[FMS_RANK_YEAR])</f>
        <v>2023 Amended Plan</v>
      </c>
      <c r="BP597" s="204">
        <f>_xlfn.XLOOKUP(FMS_Ranking4[[#This Row],[FMS ID]],Prev_Rank[FMS ID],Prev_Rank[Prev Rank])</f>
        <v>521</v>
      </c>
      <c r="BQ597" s="205" t="e">
        <f>_xlfn.XLOOKUP(FMS_Ranking4[[#This Row],[FMS ID]],#REF!,#REF!)</f>
        <v>#REF!</v>
      </c>
      <c r="BR597" s="199" t="e">
        <f>SUM(#REF!,#REF!,#REF!,#REF!,#REF!,#REF!,#REF!,#REF!,#REF!,FMS_Ranking4[[#This Row],[ArcSinh Res struct removed 0-10]],#REF!)</f>
        <v>#REF!</v>
      </c>
      <c r="BS597" s="199" t="e">
        <f>FMS_Ranking4[[#This Row],[Log Score Based on Normalized Reported Factors]]+FMS_Ranking4[[#This Row],[% NBS Score (Normalized)]]+(FMS_Ranking4[[#This Row],[Water Supply Score (Normalized)]]*10*$BB$5)+(FMS_Ranking4[[#This Row],[FMS_Type Score Weighted]])</f>
        <v>#REF!</v>
      </c>
      <c r="BT597" s="200" t="e">
        <f>_xlfn.RANK.EQ(FMS_Ranking4[[#This Row],[Log Total Score]],FMS_Ranking4[Log Total Score],0)</f>
        <v>#REF!</v>
      </c>
      <c r="BU597" s="200" t="e">
        <f>_xlfn.XLOOKUP(FMS_Ranking4[[#This Row],[FMS ID]],#REF!,#REF!)</f>
        <v>#REF!</v>
      </c>
      <c r="BV597" s="200">
        <f>FMS_Ranking4[[#This Row],[Region Number]]</f>
        <v>5</v>
      </c>
      <c r="BW597" s="200">
        <f>FMS_Ranking4[[#This Row],[Rank (with ArcSinh normalization of select criteria)]]-FMS_Ranking4[[#This Row],[Rank
(with linear
normalization)]]</f>
        <v>-113</v>
      </c>
      <c r="BX597" s="200" t="e">
        <f>FMS_Ranking4[[#This Row],[Log Rank]]-FMS_Ranking4[[#This Row],[Rank
(with linear
normalization)]]</f>
        <v>#REF!</v>
      </c>
      <c r="BY597" s="200" t="str">
        <f>IF(FMS_Ranking4[[#This Row],[FMS Type]]="Flood Measurement and Warning",FMS_Ranking4[[#This Row],[Rank (with ArcSinh normalization of select criteria)]],"")</f>
        <v/>
      </c>
      <c r="BZ597" s="200" t="str">
        <f>IF(FMS_Ranking4[[#This Row],[FMS Type]]="Regulatory and Guidance",FMS_Ranking4[[#This Row],[Rank (with ArcSinh normalization of select criteria)]],"")</f>
        <v/>
      </c>
      <c r="CA597" s="200" t="str">
        <f>IF(FMS_Ranking4[[#This Row],[FMS Type]]="Education and Outreach",FMS_Ranking4[[#This Row],[Rank (with ArcSinh normalization of select criteria)]],"")</f>
        <v/>
      </c>
      <c r="CB597" s="200" t="str">
        <f>IF(FMS_Ranking4[[#This Row],[FMS Type]]="Property Acquisition and Structural Elevation",FMS_Ranking4[[#This Row],[Rank (with ArcSinh normalization of select criteria)]],"")</f>
        <v/>
      </c>
      <c r="CC597" s="200">
        <f>IF(FMS_Ranking4[[#This Row],[FMS Type]]="Infrastructure Projects",FMS_Ranking4[[#This Row],[Rank (with ArcSinh normalization of select criteria)]],"")</f>
        <v>589</v>
      </c>
      <c r="CD597" s="200" t="str">
        <f>IF(FMS_Ranking4[[#This Row],[FMS Type]]="Other",FMS_Ranking4[[#This Row],[Rank (with ArcSinh normalization of select criteria)]],"")</f>
        <v/>
      </c>
      <c r="CE597" s="201"/>
      <c r="CF597" s="206"/>
      <c r="CG597" s="206"/>
      <c r="CH597" s="206"/>
      <c r="CI597" s="206"/>
      <c r="CJ597" s="206"/>
      <c r="CK597" s="206"/>
      <c r="CL597" s="206"/>
      <c r="CM597" s="206"/>
      <c r="CN597" s="206"/>
      <c r="CO597" s="206"/>
      <c r="CP597" s="206"/>
      <c r="CQ597" s="206"/>
      <c r="CR597" s="206"/>
    </row>
    <row r="598" spans="2:96" ht="90" x14ac:dyDescent="0.25">
      <c r="B598" s="341" t="s">
        <v>2749</v>
      </c>
      <c r="C598" s="246">
        <f>_xlfn.XLOOKUP(FMS_Ranking4[[#This Row],[FMS ID]],FMS_Input[FMS_ID],FMS_Input[RFPG_NUM])</f>
        <v>5</v>
      </c>
      <c r="D598" s="309" t="str">
        <f>_xlfn.XLOOKUP(FMS_Ranking4[[#This Row],[FMS ID]],FMS_Input[FMS_ID],FMS_Input[FMS_NAME])</f>
        <v>Van Zandt County Flood Infrastructure Maintenance</v>
      </c>
      <c r="E598" s="308" t="str">
        <f>_xlfn.XLOOKUP(FMS_Ranking4[[#This Row],[FMS ID]],FMS_Input[FMS_ID],FMS_Input[SPONSOR])</f>
        <v>00000110</v>
      </c>
      <c r="F598" s="309" t="str">
        <f>_xlfn.XLOOKUP(FMS_Ranking4[[#This Row],[FMS ID]],Sponsor[FMS_ID],Sponsor[SPONSOR NAME])</f>
        <v>Van Zandt</v>
      </c>
      <c r="G598" s="309" t="str">
        <f>_xlfn.XLOOKUP(FMS_Ranking4[[#This Row],[FMS ID]],FMS_Input[FMS_ID],FMS_Input[FMS_DESCR])</f>
        <v>Adopt and Implement a Program for Clearing Debris from Bridges, Drains and Culverts. Reduce damages caused by flooding by maintaining or restoring drainage capacity.</v>
      </c>
      <c r="H598" s="248" t="str">
        <f>_xlfn.XLOOKUP(FMS_Ranking4[[#This Row],[FMS ID]],FMS_Input[FMS_ID],FMS_Input[FMS_TYPE])</f>
        <v>Infrastructure Projects</v>
      </c>
      <c r="I598" s="249">
        <f>_xlfn.XLOOKUP(FMS_Ranking4[[#This Row],[FMS ID]],FMS_Input[FMS_ID],FMS_Input[NRNC_COST])</f>
        <v>26000</v>
      </c>
      <c r="J598" s="250">
        <f>_xlfn.XLOOKUP(FMS_Ranking4[[#This Row],[FMS ID]],FMS_Input[FMS_ID],FMS_Input[FMS_COST])</f>
        <v>2000000</v>
      </c>
      <c r="K598" s="251" t="str">
        <f>_xlfn.XLOOKUP(FMS_Ranking4[[#This Row],[FMS ID]],FMS_Input[FMS_ID],FMS_Input[EMER_NEED])</f>
        <v>Yes</v>
      </c>
      <c r="L598" s="252">
        <f t="shared" si="9"/>
        <v>1</v>
      </c>
      <c r="M598" s="253">
        <f>_xlfn.XLOOKUP(FMS_Ranking4[[#This Row],[FMS ID]],FMS_Input[FMS_ID],FMS_Input[STRUCT_100])</f>
        <v>217</v>
      </c>
      <c r="N598" s="255">
        <f>(ASINH(FMS_Ranking4[[#This Row],[Structure at Risk Raw]]))*(10)/(ASINH(M$4))</f>
        <v>4.7743214146758861</v>
      </c>
      <c r="O598" s="256">
        <f>FMS_Ranking4[[#This Row],[Structures at risk, ArcSinh (0-10)]]*M$5*10</f>
        <v>4.7743214146758861</v>
      </c>
      <c r="P598" s="253">
        <f>_xlfn.XLOOKUP(FMS_Ranking4[[#This Row],[FMS ID]],FMS_Input[FMS_ID],FMS_Input[RES_STRUCT100])</f>
        <v>144</v>
      </c>
      <c r="Q598" s="257">
        <f>ASINH(FMS_Ranking4[[#This Row],[Res Structure Raw]])/Q$4*P$5*100</f>
        <v>0</v>
      </c>
      <c r="R598" s="253">
        <f>_xlfn.XLOOKUP(FMS_Ranking4[[#This Row],[FMS ID]],FMS_Input[FMS_ID],FMS_Input[POP100])</f>
        <v>233</v>
      </c>
      <c r="S598" s="259">
        <f>(ASINH(FMS_Ranking4[[#This Row],[Pop at Risk Raw]]))*(10)/(ASINH(R$4))</f>
        <v>4.2416922240805404</v>
      </c>
      <c r="T598" s="256">
        <f>FMS_Ranking4[[#This Row],[Population at risk, ArcSinh (0-10)]]*R$5*10</f>
        <v>4.2416922240805404</v>
      </c>
      <c r="U598" s="253">
        <f>_xlfn.XLOOKUP(FMS_Ranking4[[#This Row],[FMS ID]],FMS_Input[FMS_ID],FMS_Input[CRITFAC100])</f>
        <v>0</v>
      </c>
      <c r="V598" s="259">
        <f>(ASINH(FMS_Ranking4[[#This Row],[Critical Facilities Raw]]))*(10)/(ASINH(U$4))</f>
        <v>0</v>
      </c>
      <c r="W598" s="256">
        <f>FMS_Ranking4[[#This Row],[Critical facilities at risk, ArcSinh (0-10)]]*U$5*10</f>
        <v>0</v>
      </c>
      <c r="X598" s="253">
        <f>_xlfn.XLOOKUP(FMS_Ranking4[[#This Row],[FMS ID]],FMS_Input[FMS_ID],FMS_Input[LWC])</f>
        <v>0</v>
      </c>
      <c r="Y598" s="259">
        <f>(ASINH(FMS_Ranking4[[#This Row],[LWC Raw]]))*(10)/(ASINH(X$4))</f>
        <v>0</v>
      </c>
      <c r="Z598" s="256">
        <f>FMS_Ranking4[[#This Row],[LWC, ArcSInh (0-10)]]*X$5*10</f>
        <v>0</v>
      </c>
      <c r="AA598" s="253">
        <f>_xlfn.XLOOKUP(FMS_Ranking4[[#This Row],[FMS ID]],FMS_Input[FMS_ID],FMS_Input[ROADCLS])</f>
        <v>0</v>
      </c>
      <c r="AB598" s="255">
        <f>(ASINH(FMS_Ranking4[[#This Row],[Road Closures Raw]]))*(10)/(ASINH(AA$4))</f>
        <v>0</v>
      </c>
      <c r="AC598" s="256">
        <f>FMS_Ranking4[[#This Row],[Road closures, ArcSinh (0-10)]]*AA$5*10</f>
        <v>0</v>
      </c>
      <c r="AD598" s="253">
        <f>_xlfn.XLOOKUP(FMS_Ranking4[[#This Row],[FMS ID]],FMS_Input[FMS_ID],FMS_Input[ROAD_MILES100])</f>
        <v>13</v>
      </c>
      <c r="AE598" s="259">
        <f>(ASINH(FMS_Ranking4[[#This Row],[Road Miles Raw]]))*(10)/(ASINH(AD$4))</f>
        <v>3.473807557544454</v>
      </c>
      <c r="AF598" s="256">
        <f>FMS_Ranking4[[#This Row],[Length of roads at risk, ArcSinh (0-10)]]*AD$5*10</f>
        <v>3.4738075575444545</v>
      </c>
      <c r="AG598" s="253">
        <f>_xlfn.XLOOKUP(FMS_Ranking4[[#This Row],[FMS ID]],FMS_Input[FMS_ID],FMS_Input[FARMACRE100])</f>
        <v>231.7996826171875</v>
      </c>
      <c r="AH598" s="255">
        <f>(ASINH(FMS_Ranking4[[#This Row],[Ag Land Raw]]))*(10)/(ASINH(AG$4))</f>
        <v>3.9877971362631732</v>
      </c>
      <c r="AI598" s="260">
        <f>FMS_Ranking4[[#This Row],[Farm &amp; ranch land, ArcSinh (0-10)]]*AG$5*10</f>
        <v>1.9938985681315868</v>
      </c>
      <c r="AJ598" s="258">
        <f>_xlfn.XLOOKUP(FMS_Ranking4[[#This Row],[FMS ID]],FMS_Input[FMS_ID],FMS_Input[REDSTRUCT100])</f>
        <v>0</v>
      </c>
      <c r="AK598" s="253">
        <f>_xlfn.XLOOKUP(FMS_Ranking4[[#This Row],[FMS ID]],FMS_Input[FMS_ID],FMS_Input[REMSTRC100])</f>
        <v>0</v>
      </c>
      <c r="AL598" s="259">
        <f>(ASINH(FMS_Ranking4[[#This Row],[Structures Removed Raw]]))*(10)/(ASINH(AK$4))</f>
        <v>0</v>
      </c>
      <c r="AM598" s="262">
        <f>FMS_Ranking4[[#This Row],[Structures removed, ArcSinh (0-10)]]*AK$5*10</f>
        <v>0</v>
      </c>
      <c r="AN598" s="253">
        <f>_xlfn.XLOOKUP(FMS_Ranking4[[#This Row],[FMS ID]],FMS_Input[FMS_ID],FMS_Input[REMRESSTRC100])</f>
        <v>0</v>
      </c>
      <c r="AO598" s="261">
        <f>FMS_Ranking4[[#This Row],[ArcSinh Res struct removed 0-10]]*AN$5*10</f>
        <v>0</v>
      </c>
      <c r="AP598" s="260">
        <f>ASINH(FMS_Ranking4[[#This Row],[Residential Structures Removed Raw]])/AP$4*AN$5*100</f>
        <v>0</v>
      </c>
      <c r="AQ598" s="254">
        <f>(ASINH(FMS_Ranking4[[#This Row],[Residential Structures Removed Raw]]))*(10)/(ASINH(AN$4))</f>
        <v>0</v>
      </c>
      <c r="AR598" s="253">
        <f>_xlfn.XLOOKUP(FMS_Ranking4[[#This Row],[FMS ID]],FMS_Input[FMS_ID],FMS_Input[REMPOP100])</f>
        <v>0</v>
      </c>
      <c r="AS598" s="259">
        <f>(ASINH(FMS_Ranking4[[#This Row],[Removed Pop Raw]]))*(10)/(ASINH(AR$4))</f>
        <v>0</v>
      </c>
      <c r="AT598" s="262">
        <f>FMS_Ranking4[[#This Row],[Removed population, ArcSinh (0-10)]]*AR$5*10</f>
        <v>0</v>
      </c>
      <c r="AU598" s="264">
        <f>_xlfn.XLOOKUP(FMS_Ranking4[[#This Row],[FMS ID]],FMS_Input[FMS_ID],FMS_Input[REMCRITFAC100])</f>
        <v>0</v>
      </c>
      <c r="AV598" s="264">
        <f>_xlfn.XLOOKUP(FMS_Ranking4[[#This Row],[FMS ID]],FMS_Input[FMS_ID],FMS_Input[REMLWC100])</f>
        <v>0</v>
      </c>
      <c r="AW598" s="264">
        <f>_xlfn.XLOOKUP(FMS_Ranking4[[#This Row],[FMS ID]],FMS_Input[FMS_ID],FMS_Input[REMROADCLS])</f>
        <v>0</v>
      </c>
      <c r="AX598" s="264">
        <f>_xlfn.XLOOKUP(FMS_Ranking4[[#This Row],[FMS ID]],FMS_Input[FMS_ID],FMS_Input[REMFRMACRE100])</f>
        <v>0</v>
      </c>
      <c r="AY598" s="258">
        <f>_xlfn.XLOOKUP(FMS_Ranking4[[#This Row],[FMS ID]],FMS_Input[FMS_ID],FMS_Input[COSTSTRUCT])</f>
        <v>0</v>
      </c>
      <c r="AZ598" s="253">
        <f>_xlfn.XLOOKUP(FMS_Ranking4[[#This Row],[FMS ID]],FMS_Input[FMS_ID],FMS_Input[NATURE])</f>
        <v>0</v>
      </c>
      <c r="BA598" s="262">
        <f>(((FMS_Ranking4[[#This Row],[% NBS Raw]]/AZ$4)*100)*AZ$5)</f>
        <v>0</v>
      </c>
      <c r="BB598" s="251" t="str">
        <f>_xlfn.XLOOKUP(FMS_Ranking4[[#This Row],[FMS ID]],FMS_Input[FMS_ID],FMS_Input[WATER_SUP])</f>
        <v>No</v>
      </c>
      <c r="BC598" s="265">
        <f>IF(FMS_Ranking4[[#This Row],[Water Supply Raw]]="Yes",10,0)</f>
        <v>0</v>
      </c>
      <c r="BD598" s="266">
        <f>_xlfn.XLOOKUP(FMS_Ranking4[[#This Row],[FMS Type]],FMS_TYPE[FMS_Type],FMS_TYPE[Score])</f>
        <v>4</v>
      </c>
      <c r="BE598" s="267">
        <f>FMS_Ranking4[[#This Row],[FMS_Type Score]]*$BD$5*10</f>
        <v>1</v>
      </c>
      <c r="BF59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3.771054204516322E-2</v>
      </c>
      <c r="BG598" s="271">
        <f>_xlfn.RANK.EQ(BF598,$BF$8:$BF$870,0)+COUNTIF($BF$8:BF598,BF598)-1</f>
        <v>587</v>
      </c>
      <c r="BH598" s="268">
        <f>(((FMS_Ranking4[[#This Row],[Structures Removed Raw]]/AK$4)*100)*AK$5)+(((FMS_Ranking4[[#This Row],[Removed Pop Raw]]/AR$4)*100)*AR$5)</f>
        <v>0</v>
      </c>
      <c r="BI59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1.0377105420451631</v>
      </c>
      <c r="BJ598" s="205">
        <f>_xlfn.RANK.EQ(FMS_Ranking4[[#This Row],[Total Score 
(with linear
normalization)]],FMS_Ranking4[Total Score 
(with linear
normalization)],0)</f>
        <v>702</v>
      </c>
      <c r="BK598" s="205" t="e">
        <f>_xlfn.XLOOKUP(FMS_Ranking4[[#This Row],[FMS ID]],#REF!,#REF!)</f>
        <v>#REF!</v>
      </c>
      <c r="BL59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14.483719764432468</v>
      </c>
      <c r="BM598" s="272">
        <f>FMS_Ranking4[[#This Row],[ArcSinh Score Based on Normalized Reported Factors]]+FMS_Ranking4[[#This Row],[% NBS Score (Normalized)]]+(FMS_Ranking4[[#This Row],[Water Supply Score (Normalized)]]*10*$BB$5)+FMS_Ranking4[[#This Row],[FMS_Type Score Weighted]]</f>
        <v>15.483719764432468</v>
      </c>
      <c r="BN598" s="205">
        <f>_xlfn.RANK.EQ(FMS_Ranking4[[#This Row],[Total Score (with ArcSinh normalization of select criteria)]],FMS_Ranking4[Total Score (with ArcSinh normalization of select criteria)],0)</f>
        <v>589</v>
      </c>
      <c r="BO598" s="270" t="str">
        <f>_xlfn.XLOOKUP(FMS_Ranking4[[#This Row],[FMS ID]],FMS_Input[FMS_ID],FMS_Input[FMS_RANK_YEAR])</f>
        <v>2023 Amended Plan</v>
      </c>
      <c r="BP598" s="204">
        <f>_xlfn.XLOOKUP(FMS_Ranking4[[#This Row],[FMS ID]],Prev_Rank[FMS ID],Prev_Rank[Prev Rank])</f>
        <v>521</v>
      </c>
      <c r="BQ598" s="205" t="e">
        <f>_xlfn.XLOOKUP(FMS_Ranking4[[#This Row],[FMS ID]],#REF!,#REF!)</f>
        <v>#REF!</v>
      </c>
      <c r="BR598" s="199" t="e">
        <f>SUM(#REF!,#REF!,#REF!,#REF!,#REF!,#REF!,#REF!,#REF!,#REF!,FMS_Ranking4[[#This Row],[ArcSinh Res struct removed 0-10]],#REF!)</f>
        <v>#REF!</v>
      </c>
      <c r="BS598" s="199" t="e">
        <f>FMS_Ranking4[[#This Row],[Log Score Based on Normalized Reported Factors]]+FMS_Ranking4[[#This Row],[% NBS Score (Normalized)]]+(FMS_Ranking4[[#This Row],[Water Supply Score (Normalized)]]*10*$BB$5)+(FMS_Ranking4[[#This Row],[FMS_Type Score Weighted]])</f>
        <v>#REF!</v>
      </c>
      <c r="BT598" s="200" t="e">
        <f>_xlfn.RANK.EQ(FMS_Ranking4[[#This Row],[Log Total Score]],FMS_Ranking4[Log Total Score],0)</f>
        <v>#REF!</v>
      </c>
      <c r="BU598" s="200" t="e">
        <f>_xlfn.XLOOKUP(FMS_Ranking4[[#This Row],[FMS ID]],#REF!,#REF!)</f>
        <v>#REF!</v>
      </c>
      <c r="BV598" s="200">
        <f>FMS_Ranking4[[#This Row],[Region Number]]</f>
        <v>5</v>
      </c>
      <c r="BW598" s="200">
        <f>FMS_Ranking4[[#This Row],[Rank (with ArcSinh normalization of select criteria)]]-FMS_Ranking4[[#This Row],[Rank
(with linear
normalization)]]</f>
        <v>-113</v>
      </c>
      <c r="BX598" s="200" t="e">
        <f>FMS_Ranking4[[#This Row],[Log Rank]]-FMS_Ranking4[[#This Row],[Rank
(with linear
normalization)]]</f>
        <v>#REF!</v>
      </c>
      <c r="BY598" s="200" t="str">
        <f>IF(FMS_Ranking4[[#This Row],[FMS Type]]="Flood Measurement and Warning",FMS_Ranking4[[#This Row],[Rank (with ArcSinh normalization of select criteria)]],"")</f>
        <v/>
      </c>
      <c r="BZ598" s="200" t="str">
        <f>IF(FMS_Ranking4[[#This Row],[FMS Type]]="Regulatory and Guidance",FMS_Ranking4[[#This Row],[Rank (with ArcSinh normalization of select criteria)]],"")</f>
        <v/>
      </c>
      <c r="CA598" s="200" t="str">
        <f>IF(FMS_Ranking4[[#This Row],[FMS Type]]="Education and Outreach",FMS_Ranking4[[#This Row],[Rank (with ArcSinh normalization of select criteria)]],"")</f>
        <v/>
      </c>
      <c r="CB598" s="200" t="str">
        <f>IF(FMS_Ranking4[[#This Row],[FMS Type]]="Property Acquisition and Structural Elevation",FMS_Ranking4[[#This Row],[Rank (with ArcSinh normalization of select criteria)]],"")</f>
        <v/>
      </c>
      <c r="CC598" s="200">
        <f>IF(FMS_Ranking4[[#This Row],[FMS Type]]="Infrastructure Projects",FMS_Ranking4[[#This Row],[Rank (with ArcSinh normalization of select criteria)]],"")</f>
        <v>589</v>
      </c>
      <c r="CD598" s="200" t="str">
        <f>IF(FMS_Ranking4[[#This Row],[FMS Type]]="Other",FMS_Ranking4[[#This Row],[Rank (with ArcSinh normalization of select criteria)]],"")</f>
        <v/>
      </c>
      <c r="CE598" s="201"/>
      <c r="CF598" s="206"/>
      <c r="CG598" s="206"/>
      <c r="CH598" s="206"/>
      <c r="CI598" s="206"/>
      <c r="CJ598" s="206"/>
      <c r="CK598" s="206"/>
      <c r="CL598" s="206"/>
      <c r="CM598" s="206"/>
      <c r="CN598" s="206"/>
      <c r="CO598" s="206"/>
      <c r="CP598" s="206"/>
      <c r="CQ598" s="206"/>
      <c r="CR598" s="206"/>
    </row>
    <row r="599" spans="2:96" ht="60" x14ac:dyDescent="0.25">
      <c r="B599" s="341" t="s">
        <v>2266</v>
      </c>
      <c r="C599" s="246">
        <f>_xlfn.XLOOKUP(FMS_Ranking4[[#This Row],[FMS ID]],FMS_Input[FMS_ID],FMS_Input[RFPG_NUM])</f>
        <v>3</v>
      </c>
      <c r="D599" s="309" t="str">
        <f>_xlfn.XLOOKUP(FMS_Ranking4[[#This Row],[FMS ID]],FMS_Input[FMS_ID],FMS_Input[FMS_NAME])</f>
        <v>Livingston Flood Damage Mitigation Educational Program</v>
      </c>
      <c r="E599" s="308" t="str">
        <f>_xlfn.XLOOKUP(FMS_Ranking4[[#This Row],[FMS ID]],FMS_Input[FMS_ID],FMS_Input[SPONSOR])</f>
        <v>Livingston</v>
      </c>
      <c r="F599" s="309" t="str">
        <f>_xlfn.XLOOKUP(FMS_Ranking4[[#This Row],[FMS ID]],Sponsor[FMS_ID],Sponsor[SPONSOR NAME])</f>
        <v>Livingston</v>
      </c>
      <c r="G599" s="309" t="str">
        <f>_xlfn.XLOOKUP(FMS_Ranking4[[#This Row],[FMS ID]],FMS_Input[FMS_ID],FMS_Input[FMS_DESCR])</f>
        <v>Establish an educational program to teach citizens how to mitigate flood damage to their property</v>
      </c>
      <c r="H599" s="248" t="str">
        <f>_xlfn.XLOOKUP(FMS_Ranking4[[#This Row],[FMS ID]],FMS_Input[FMS_ID],FMS_Input[FMS_TYPE])</f>
        <v>Education and Outreach</v>
      </c>
      <c r="I599" s="249">
        <f>_xlfn.XLOOKUP(FMS_Ranking4[[#This Row],[FMS ID]],FMS_Input[FMS_ID],FMS_Input[NRNC_COST])</f>
        <v>60000</v>
      </c>
      <c r="J599" s="250">
        <f>_xlfn.XLOOKUP(FMS_Ranking4[[#This Row],[FMS ID]],FMS_Input[FMS_ID],FMS_Input[FMS_COST])</f>
        <v>60000</v>
      </c>
      <c r="K599" s="251" t="str">
        <f>_xlfn.XLOOKUP(FMS_Ranking4[[#This Row],[FMS ID]],FMS_Input[FMS_ID],FMS_Input[EMER_NEED])</f>
        <v>No</v>
      </c>
      <c r="L599" s="252">
        <f t="shared" si="9"/>
        <v>0</v>
      </c>
      <c r="M599" s="253">
        <f>_xlfn.XLOOKUP(FMS_Ranking4[[#This Row],[FMS ID]],FMS_Input[FMS_ID],FMS_Input[STRUCT_100])</f>
        <v>140</v>
      </c>
      <c r="N599" s="255">
        <f>(ASINH(FMS_Ranking4[[#This Row],[Structure at Risk Raw]]))*(10)/(ASINH(M$4))</f>
        <v>4.4297936391422104</v>
      </c>
      <c r="O599" s="256">
        <f>FMS_Ranking4[[#This Row],[Structures at risk, ArcSinh (0-10)]]*M$5*10</f>
        <v>4.4297936391422104</v>
      </c>
      <c r="P599" s="253">
        <f>_xlfn.XLOOKUP(FMS_Ranking4[[#This Row],[FMS ID]],FMS_Input[FMS_ID],FMS_Input[RES_STRUCT100])</f>
        <v>128</v>
      </c>
      <c r="Q599" s="257">
        <f>ASINH(FMS_Ranking4[[#This Row],[Res Structure Raw]])/Q$4*P$5*100</f>
        <v>0</v>
      </c>
      <c r="R599" s="253">
        <f>_xlfn.XLOOKUP(FMS_Ranking4[[#This Row],[FMS ID]],FMS_Input[FMS_ID],FMS_Input[POP100])</f>
        <v>207</v>
      </c>
      <c r="S599" s="255">
        <f>(ASINH(FMS_Ranking4[[#This Row],[Pop at Risk Raw]]))*(10)/(ASINH(R$4))</f>
        <v>4.1600101230021318</v>
      </c>
      <c r="T599" s="256">
        <f>FMS_Ranking4[[#This Row],[Population at risk, ArcSinh (0-10)]]*R$5*10</f>
        <v>4.1600101230021318</v>
      </c>
      <c r="U599" s="253">
        <f>_xlfn.XLOOKUP(FMS_Ranking4[[#This Row],[FMS ID]],FMS_Input[FMS_ID],FMS_Input[CRITFAC100])</f>
        <v>0</v>
      </c>
      <c r="V599" s="255">
        <f>(ASINH(FMS_Ranking4[[#This Row],[Critical Facilities Raw]]))*(10)/(ASINH(U$4))</f>
        <v>0</v>
      </c>
      <c r="W599" s="256">
        <f>FMS_Ranking4[[#This Row],[Critical facilities at risk, ArcSinh (0-10)]]*U$5*10</f>
        <v>0</v>
      </c>
      <c r="X599" s="253">
        <f>_xlfn.XLOOKUP(FMS_Ranking4[[#This Row],[FMS ID]],FMS_Input[FMS_ID],FMS_Input[LWC])</f>
        <v>0</v>
      </c>
      <c r="Y599" s="255">
        <f>(ASINH(FMS_Ranking4[[#This Row],[LWC Raw]]))*(10)/(ASINH(X$4))</f>
        <v>0</v>
      </c>
      <c r="Z599" s="256">
        <f>FMS_Ranking4[[#This Row],[LWC, ArcSInh (0-10)]]*X$5*10</f>
        <v>0</v>
      </c>
      <c r="AA599" s="253">
        <f>_xlfn.XLOOKUP(FMS_Ranking4[[#This Row],[FMS ID]],FMS_Input[FMS_ID],FMS_Input[ROADCLS])</f>
        <v>0</v>
      </c>
      <c r="AB599" s="255">
        <f>(ASINH(FMS_Ranking4[[#This Row],[Road Closures Raw]]))*(10)/(ASINH(AA$4))</f>
        <v>0</v>
      </c>
      <c r="AC599" s="256">
        <f>FMS_Ranking4[[#This Row],[Road closures, ArcSinh (0-10)]]*AA$5*10</f>
        <v>0</v>
      </c>
      <c r="AD599" s="253">
        <f>_xlfn.XLOOKUP(FMS_Ranking4[[#This Row],[FMS ID]],FMS_Input[FMS_ID],FMS_Input[ROAD_MILES100])</f>
        <v>12</v>
      </c>
      <c r="AE599" s="255">
        <f>(ASINH(FMS_Ranking4[[#This Row],[Road Miles Raw]]))*(10)/(ASINH(AD$4))</f>
        <v>3.3887764405268412</v>
      </c>
      <c r="AF599" s="256">
        <f>FMS_Ranking4[[#This Row],[Length of roads at risk, ArcSinh (0-10)]]*AD$5*10</f>
        <v>3.3887764405268417</v>
      </c>
      <c r="AG599" s="253">
        <f>_xlfn.XLOOKUP(FMS_Ranking4[[#This Row],[FMS ID]],FMS_Input[FMS_ID],FMS_Input[FARMACRE100])</f>
        <v>132.8009033203125</v>
      </c>
      <c r="AH599" s="255">
        <f>(ASINH(FMS_Ranking4[[#This Row],[Ag Land Raw]]))*(10)/(ASINH(AG$4))</f>
        <v>3.625971813199468</v>
      </c>
      <c r="AI599" s="260">
        <f>FMS_Ranking4[[#This Row],[Farm &amp; ranch land, ArcSinh (0-10)]]*AG$5*10</f>
        <v>1.8129859065997342</v>
      </c>
      <c r="AJ599" s="258">
        <f>_xlfn.XLOOKUP(FMS_Ranking4[[#This Row],[FMS ID]],FMS_Input[FMS_ID],FMS_Input[REDSTRUCT100])</f>
        <v>0</v>
      </c>
      <c r="AK599" s="253">
        <f>_xlfn.XLOOKUP(FMS_Ranking4[[#This Row],[FMS ID]],FMS_Input[FMS_ID],FMS_Input[REMSTRC100])</f>
        <v>0</v>
      </c>
      <c r="AL599" s="255">
        <f>(ASINH(FMS_Ranking4[[#This Row],[Structures Removed Raw]]))*(10)/(ASINH(AK$4))</f>
        <v>0</v>
      </c>
      <c r="AM599" s="262">
        <f>FMS_Ranking4[[#This Row],[Structures removed, ArcSinh (0-10)]]*AK$5*10</f>
        <v>0</v>
      </c>
      <c r="AN599" s="253">
        <f>_xlfn.XLOOKUP(FMS_Ranking4[[#This Row],[FMS ID]],FMS_Input[FMS_ID],FMS_Input[REMRESSTRC100])</f>
        <v>0</v>
      </c>
      <c r="AO599" s="261">
        <f>FMS_Ranking4[[#This Row],[ArcSinh Res struct removed 0-10]]*AN$5*10</f>
        <v>0</v>
      </c>
      <c r="AP599" s="260">
        <f>ASINH(FMS_Ranking4[[#This Row],[Residential Structures Removed Raw]])/AP$4*AN$5*100</f>
        <v>0</v>
      </c>
      <c r="AQ599" s="258">
        <f>(ASINH(FMS_Ranking4[[#This Row],[Residential Structures Removed Raw]]))*(10)/(ASINH(AN$4))</f>
        <v>0</v>
      </c>
      <c r="AR599" s="253">
        <f>_xlfn.XLOOKUP(FMS_Ranking4[[#This Row],[FMS ID]],FMS_Input[FMS_ID],FMS_Input[REMPOP100])</f>
        <v>0</v>
      </c>
      <c r="AS599" s="255">
        <f>(ASINH(FMS_Ranking4[[#This Row],[Removed Pop Raw]]))*(10)/(ASINH(AR$4))</f>
        <v>0</v>
      </c>
      <c r="AT599" s="262">
        <f>FMS_Ranking4[[#This Row],[Removed population, ArcSinh (0-10)]]*AR$5*10</f>
        <v>0</v>
      </c>
      <c r="AU599" s="264">
        <f>_xlfn.XLOOKUP(FMS_Ranking4[[#This Row],[FMS ID]],FMS_Input[FMS_ID],FMS_Input[REMCRITFAC100])</f>
        <v>0</v>
      </c>
      <c r="AV599" s="264">
        <f>_xlfn.XLOOKUP(FMS_Ranking4[[#This Row],[FMS ID]],FMS_Input[FMS_ID],FMS_Input[REMLWC100])</f>
        <v>0</v>
      </c>
      <c r="AW599" s="264">
        <f>_xlfn.XLOOKUP(FMS_Ranking4[[#This Row],[FMS ID]],FMS_Input[FMS_ID],FMS_Input[REMROADCLS])</f>
        <v>0</v>
      </c>
      <c r="AX599" s="264">
        <f>_xlfn.XLOOKUP(FMS_Ranking4[[#This Row],[FMS ID]],FMS_Input[FMS_ID],FMS_Input[REMFRMACRE100])</f>
        <v>0</v>
      </c>
      <c r="AY599" s="258">
        <f>_xlfn.XLOOKUP(FMS_Ranking4[[#This Row],[FMS ID]],FMS_Input[FMS_ID],FMS_Input[COSTSTRUCT])</f>
        <v>0</v>
      </c>
      <c r="AZ599" s="253">
        <f>_xlfn.XLOOKUP(FMS_Ranking4[[#This Row],[FMS ID]],FMS_Input[FMS_ID],FMS_Input[NATURE])</f>
        <v>0</v>
      </c>
      <c r="BA599" s="262">
        <f>(((FMS_Ranking4[[#This Row],[% NBS Raw]]/AZ$4)*100)*AZ$5)</f>
        <v>0</v>
      </c>
      <c r="BB599" s="251" t="str">
        <f>_xlfn.XLOOKUP(FMS_Ranking4[[#This Row],[FMS ID]],FMS_Input[FMS_ID],FMS_Input[WATER_SUP])</f>
        <v>No</v>
      </c>
      <c r="BC599" s="265">
        <f>IF(FMS_Ranking4[[#This Row],[Water Supply Raw]]="Yes",10,0)</f>
        <v>0</v>
      </c>
      <c r="BD599" s="266">
        <f>_xlfn.XLOOKUP(FMS_Ranking4[[#This Row],[FMS Type]],FMS_TYPE[FMS_Type],FMS_TYPE[Score])</f>
        <v>6</v>
      </c>
      <c r="BE599" s="267">
        <f>FMS_Ranking4[[#This Row],[FMS_Type Score]]*$BD$5*10</f>
        <v>1.5000000000000002</v>
      </c>
      <c r="BF59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3.0953295548276201E-2</v>
      </c>
      <c r="BG599" s="321">
        <f>_xlfn.RANK.EQ(BF599,$BF$8:$BF$870,0)+COUNTIF($BF$8:BF599,BF599)-1</f>
        <v>594</v>
      </c>
      <c r="BH599" s="294">
        <f>(((FMS_Ranking4[[#This Row],[Structures Removed Raw]]/AK$4)*100)*AK$5)+(((FMS_Ranking4[[#This Row],[Removed Pop Raw]]/AR$4)*100)*AR$5)</f>
        <v>0</v>
      </c>
      <c r="BI59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1.5309532955482765</v>
      </c>
      <c r="BJ599" s="251">
        <f>_xlfn.RANK.EQ(FMS_Ranking4[[#This Row],[Total Score 
(with linear
normalization)]],FMS_Ranking4[Total Score 
(with linear
normalization)],0)</f>
        <v>586</v>
      </c>
      <c r="BK599" s="251" t="e">
        <f>_xlfn.XLOOKUP(FMS_Ranking4[[#This Row],[FMS ID]],#REF!,#REF!)</f>
        <v>#REF!</v>
      </c>
      <c r="BL59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13.791566109270917</v>
      </c>
      <c r="BM599" s="324">
        <f>FMS_Ranking4[[#This Row],[ArcSinh Score Based on Normalized Reported Factors]]+FMS_Ranking4[[#This Row],[% NBS Score (Normalized)]]+(FMS_Ranking4[[#This Row],[Water Supply Score (Normalized)]]*10*$BB$5)+FMS_Ranking4[[#This Row],[FMS_Type Score Weighted]]</f>
        <v>15.291566109270917</v>
      </c>
      <c r="BN599" s="251">
        <f>_xlfn.RANK.EQ(FMS_Ranking4[[#This Row],[Total Score (with ArcSinh normalization of select criteria)]],FMS_Ranking4[Total Score (with ArcSinh normalization of select criteria)],0)</f>
        <v>592</v>
      </c>
      <c r="BO599" s="270" t="str">
        <f>_xlfn.XLOOKUP(FMS_Ranking4[[#This Row],[FMS ID]],FMS_Input[FMS_ID],FMS_Input[FMS_RANK_YEAR])</f>
        <v>2023 Amended Plan</v>
      </c>
      <c r="BP599" s="204">
        <f>_xlfn.XLOOKUP(FMS_Ranking4[[#This Row],[FMS ID]],Prev_Rank[FMS ID],Prev_Rank[Prev Rank])</f>
        <v>524</v>
      </c>
      <c r="BQ599" s="251" t="e">
        <f>_xlfn.XLOOKUP(FMS_Ranking4[[#This Row],[FMS ID]],#REF!,#REF!)</f>
        <v>#REF!</v>
      </c>
      <c r="BR599" s="199" t="e">
        <f>SUM(#REF!,#REF!,#REF!,#REF!,#REF!,#REF!,#REF!,#REF!,#REF!,FMS_Ranking4[[#This Row],[ArcSinh Res struct removed 0-10]],#REF!)</f>
        <v>#REF!</v>
      </c>
      <c r="BS599" s="199" t="e">
        <f>FMS_Ranking4[[#This Row],[Log Score Based on Normalized Reported Factors]]+FMS_Ranking4[[#This Row],[% NBS Score (Normalized)]]+(FMS_Ranking4[[#This Row],[Water Supply Score (Normalized)]]*10*$BB$5)+(FMS_Ranking4[[#This Row],[FMS_Type Score Weighted]])</f>
        <v>#REF!</v>
      </c>
      <c r="BT599" s="200" t="e">
        <f>_xlfn.RANK.EQ(FMS_Ranking4[[#This Row],[Log Total Score]],FMS_Ranking4[Log Total Score],0)</f>
        <v>#REF!</v>
      </c>
      <c r="BU599" s="200" t="e">
        <f>_xlfn.XLOOKUP(FMS_Ranking4[[#This Row],[FMS ID]],#REF!,#REF!)</f>
        <v>#REF!</v>
      </c>
      <c r="BV599" s="200">
        <f>FMS_Ranking4[[#This Row],[Region Number]]</f>
        <v>3</v>
      </c>
      <c r="BW599" s="200">
        <f>FMS_Ranking4[[#This Row],[Rank (with ArcSinh normalization of select criteria)]]-FMS_Ranking4[[#This Row],[Rank
(with linear
normalization)]]</f>
        <v>6</v>
      </c>
      <c r="BX599" s="200" t="e">
        <f>FMS_Ranking4[[#This Row],[Log Rank]]-FMS_Ranking4[[#This Row],[Rank
(with linear
normalization)]]</f>
        <v>#REF!</v>
      </c>
      <c r="BY599" s="200" t="str">
        <f>IF(FMS_Ranking4[[#This Row],[FMS Type]]="Flood Measurement and Warning",FMS_Ranking4[[#This Row],[Rank (with ArcSinh normalization of select criteria)]],"")</f>
        <v/>
      </c>
      <c r="BZ599" s="200" t="str">
        <f>IF(FMS_Ranking4[[#This Row],[FMS Type]]="Regulatory and Guidance",FMS_Ranking4[[#This Row],[Rank (with ArcSinh normalization of select criteria)]],"")</f>
        <v/>
      </c>
      <c r="CA599" s="200">
        <f>IF(FMS_Ranking4[[#This Row],[FMS Type]]="Education and Outreach",FMS_Ranking4[[#This Row],[Rank (with ArcSinh normalization of select criteria)]],"")</f>
        <v>592</v>
      </c>
      <c r="CB599" s="200" t="str">
        <f>IF(FMS_Ranking4[[#This Row],[FMS Type]]="Property Acquisition and Structural Elevation",FMS_Ranking4[[#This Row],[Rank (with ArcSinh normalization of select criteria)]],"")</f>
        <v/>
      </c>
      <c r="CC599" s="200" t="str">
        <f>IF(FMS_Ranking4[[#This Row],[FMS Type]]="Infrastructure Projects",FMS_Ranking4[[#This Row],[Rank (with ArcSinh normalization of select criteria)]],"")</f>
        <v/>
      </c>
      <c r="CD599" s="200" t="str">
        <f>IF(FMS_Ranking4[[#This Row],[FMS Type]]="Other",FMS_Ranking4[[#This Row],[Rank (with ArcSinh normalization of select criteria)]],"")</f>
        <v/>
      </c>
      <c r="CE599" s="201"/>
      <c r="CF599" s="206"/>
      <c r="CG599" s="206"/>
      <c r="CH599" s="206"/>
      <c r="CI599" s="206"/>
      <c r="CJ599" s="206"/>
      <c r="CK599" s="206"/>
      <c r="CL599" s="206"/>
      <c r="CM599" s="206"/>
      <c r="CN599" s="206"/>
      <c r="CO599" s="206"/>
      <c r="CP599" s="206"/>
      <c r="CQ599" s="206"/>
      <c r="CR599" s="206"/>
    </row>
    <row r="600" spans="2:96" ht="30" x14ac:dyDescent="0.25">
      <c r="B600" s="341" t="s">
        <v>3851</v>
      </c>
      <c r="C600" s="246">
        <f>_xlfn.XLOOKUP(FMS_Ranking4[[#This Row],[FMS ID]],FMS_Input[FMS_ID],FMS_Input[RFPG_NUM])</f>
        <v>15</v>
      </c>
      <c r="D600" s="309" t="str">
        <f>_xlfn.XLOOKUP(FMS_Ranking4[[#This Row],[FMS ID]],FMS_Input[FMS_ID],FMS_Input[FMS_NAME])</f>
        <v>Bayiew Action #7</v>
      </c>
      <c r="E600" s="308" t="str">
        <f>_xlfn.XLOOKUP(FMS_Ranking4[[#This Row],[FMS ID]],FMS_Input[FMS_ID],FMS_Input[SPONSOR])</f>
        <v>15000074</v>
      </c>
      <c r="F600" s="309" t="str">
        <f>_xlfn.XLOOKUP(FMS_Ranking4[[#This Row],[FMS ID]],Sponsor[FMS_ID],Sponsor[SPONSOR NAME])</f>
        <v>Bayview</v>
      </c>
      <c r="G600" s="309" t="str">
        <f>_xlfn.XLOOKUP(FMS_Ranking4[[#This Row],[FMS ID]],FMS_Input[FMS_ID],FMS_Input[FMS_DESCR])</f>
        <v>Approve and Adopt FEMA Flood Insurance Rate Maps</v>
      </c>
      <c r="H600" s="248" t="str">
        <f>_xlfn.XLOOKUP(FMS_Ranking4[[#This Row],[FMS ID]],FMS_Input[FMS_ID],FMS_Input[FMS_TYPE])</f>
        <v>Regulatory and Guidance</v>
      </c>
      <c r="I600" s="249">
        <f>_xlfn.XLOOKUP(FMS_Ranking4[[#This Row],[FMS ID]],FMS_Input[FMS_ID],FMS_Input[NRNC_COST])</f>
        <v>1000</v>
      </c>
      <c r="J600" s="250">
        <f>_xlfn.XLOOKUP(FMS_Ranking4[[#This Row],[FMS ID]],FMS_Input[FMS_ID],FMS_Input[FMS_COST])</f>
        <v>1000</v>
      </c>
      <c r="K600" s="251" t="str">
        <f>_xlfn.XLOOKUP(FMS_Ranking4[[#This Row],[FMS ID]],FMS_Input[FMS_ID],FMS_Input[EMER_NEED])</f>
        <v>Yes</v>
      </c>
      <c r="L600" s="252">
        <f t="shared" si="9"/>
        <v>1</v>
      </c>
      <c r="M600" s="253">
        <f>_xlfn.XLOOKUP(FMS_Ranking4[[#This Row],[FMS ID]],FMS_Input[FMS_ID],FMS_Input[STRUCT_100])</f>
        <v>93</v>
      </c>
      <c r="N600" s="255">
        <f>(ASINH(FMS_Ranking4[[#This Row],[Structure at Risk Raw]]))*(10)/(ASINH(M$4))</f>
        <v>4.1082376882260521</v>
      </c>
      <c r="O600" s="256">
        <f>FMS_Ranking4[[#This Row],[Structures at risk, ArcSinh (0-10)]]*M$5*10</f>
        <v>4.1082376882260521</v>
      </c>
      <c r="P600" s="253">
        <f>_xlfn.XLOOKUP(FMS_Ranking4[[#This Row],[FMS ID]],FMS_Input[FMS_ID],FMS_Input[RES_STRUCT100])</f>
        <v>70</v>
      </c>
      <c r="Q600" s="257">
        <f>ASINH(FMS_Ranking4[[#This Row],[Res Structure Raw]])/Q$4*P$5*100</f>
        <v>0</v>
      </c>
      <c r="R600" s="253">
        <f>_xlfn.XLOOKUP(FMS_Ranking4[[#This Row],[FMS ID]],FMS_Input[FMS_ID],FMS_Input[POP100])</f>
        <v>287</v>
      </c>
      <c r="S600" s="259">
        <f>(ASINH(FMS_Ranking4[[#This Row],[Pop at Risk Raw]]))*(10)/(ASINH(R$4))</f>
        <v>4.3855920045329047</v>
      </c>
      <c r="T600" s="256">
        <f>FMS_Ranking4[[#This Row],[Population at risk, ArcSinh (0-10)]]*R$5*10</f>
        <v>4.3855920045329047</v>
      </c>
      <c r="U600" s="253">
        <f>_xlfn.XLOOKUP(FMS_Ranking4[[#This Row],[FMS ID]],FMS_Input[FMS_ID],FMS_Input[CRITFAC100])</f>
        <v>0</v>
      </c>
      <c r="V600" s="259">
        <f>(ASINH(FMS_Ranking4[[#This Row],[Critical Facilities Raw]]))*(10)/(ASINH(U$4))</f>
        <v>0</v>
      </c>
      <c r="W600" s="256">
        <f>FMS_Ranking4[[#This Row],[Critical facilities at risk, ArcSinh (0-10)]]*U$5*10</f>
        <v>0</v>
      </c>
      <c r="X600" s="253">
        <f>_xlfn.XLOOKUP(FMS_Ranking4[[#This Row],[FMS ID]],FMS_Input[FMS_ID],FMS_Input[LWC])</f>
        <v>0</v>
      </c>
      <c r="Y600" s="259">
        <f>(ASINH(FMS_Ranking4[[#This Row],[LWC Raw]]))*(10)/(ASINH(X$4))</f>
        <v>0</v>
      </c>
      <c r="Z600" s="256">
        <f>FMS_Ranking4[[#This Row],[LWC, ArcSInh (0-10)]]*X$5*10</f>
        <v>0</v>
      </c>
      <c r="AA600" s="253">
        <f>_xlfn.XLOOKUP(FMS_Ranking4[[#This Row],[FMS ID]],FMS_Input[FMS_ID],FMS_Input[ROADCLS])</f>
        <v>0</v>
      </c>
      <c r="AB600" s="255">
        <f>(ASINH(FMS_Ranking4[[#This Row],[Road Closures Raw]]))*(10)/(ASINH(AA$4))</f>
        <v>0</v>
      </c>
      <c r="AC600" s="256">
        <f>FMS_Ranking4[[#This Row],[Road closures, ArcSinh (0-10)]]*AA$5*10</f>
        <v>0</v>
      </c>
      <c r="AD600" s="253">
        <f>_xlfn.XLOOKUP(FMS_Ranking4[[#This Row],[FMS ID]],FMS_Input[FMS_ID],FMS_Input[ROAD_MILES100])</f>
        <v>4</v>
      </c>
      <c r="AE600" s="259">
        <f>(ASINH(FMS_Ranking4[[#This Row],[Road Miles Raw]]))*(10)/(ASINH(AD$4))</f>
        <v>2.2323872691766113</v>
      </c>
      <c r="AF600" s="256">
        <f>FMS_Ranking4[[#This Row],[Length of roads at risk, ArcSinh (0-10)]]*AD$5*10</f>
        <v>2.2323872691766113</v>
      </c>
      <c r="AG600" s="253">
        <f>_xlfn.XLOOKUP(FMS_Ranking4[[#This Row],[FMS ID]],FMS_Input[FMS_ID],FMS_Input[FARMACRE100])</f>
        <v>1068.813354492188</v>
      </c>
      <c r="AH600" s="255">
        <f>(ASINH(FMS_Ranking4[[#This Row],[Ag Land Raw]]))*(10)/(ASINH(AG$4))</f>
        <v>4.9806345392137104</v>
      </c>
      <c r="AI600" s="260">
        <f>FMS_Ranking4[[#This Row],[Farm &amp; ranch land, ArcSinh (0-10)]]*AG$5*10</f>
        <v>2.4903172696068552</v>
      </c>
      <c r="AJ600" s="258">
        <f>_xlfn.XLOOKUP(FMS_Ranking4[[#This Row],[FMS ID]],FMS_Input[FMS_ID],FMS_Input[REDSTRUCT100])</f>
        <v>0</v>
      </c>
      <c r="AK600" s="253">
        <f>_xlfn.XLOOKUP(FMS_Ranking4[[#This Row],[FMS ID]],FMS_Input[FMS_ID],FMS_Input[REMSTRC100])</f>
        <v>0</v>
      </c>
      <c r="AL600" s="259">
        <f>(ASINH(FMS_Ranking4[[#This Row],[Structures Removed Raw]]))*(10)/(ASINH(AK$4))</f>
        <v>0</v>
      </c>
      <c r="AM600" s="262">
        <f>FMS_Ranking4[[#This Row],[Structures removed, ArcSinh (0-10)]]*AK$5*10</f>
        <v>0</v>
      </c>
      <c r="AN600" s="253">
        <f>_xlfn.XLOOKUP(FMS_Ranking4[[#This Row],[FMS ID]],FMS_Input[FMS_ID],FMS_Input[REMRESSTRC100])</f>
        <v>0</v>
      </c>
      <c r="AO600" s="261">
        <f>FMS_Ranking4[[#This Row],[ArcSinh Res struct removed 0-10]]*AN$5*10</f>
        <v>0</v>
      </c>
      <c r="AP600" s="260">
        <f>ASINH(FMS_Ranking4[[#This Row],[Residential Structures Removed Raw]])/AP$4*AN$5*100</f>
        <v>0</v>
      </c>
      <c r="AQ600" s="254">
        <f>(ASINH(FMS_Ranking4[[#This Row],[Residential Structures Removed Raw]]))*(10)/(ASINH(AN$4))</f>
        <v>0</v>
      </c>
      <c r="AR600" s="253">
        <f>_xlfn.XLOOKUP(FMS_Ranking4[[#This Row],[FMS ID]],FMS_Input[FMS_ID],FMS_Input[REMPOP100])</f>
        <v>0</v>
      </c>
      <c r="AS600" s="259">
        <f>(ASINH(FMS_Ranking4[[#This Row],[Removed Pop Raw]]))*(10)/(ASINH(AR$4))</f>
        <v>0</v>
      </c>
      <c r="AT600" s="262">
        <f>FMS_Ranking4[[#This Row],[Removed population, ArcSinh (0-10)]]*AR$5*10</f>
        <v>0</v>
      </c>
      <c r="AU600" s="264">
        <f>_xlfn.XLOOKUP(FMS_Ranking4[[#This Row],[FMS ID]],FMS_Input[FMS_ID],FMS_Input[REMCRITFAC100])</f>
        <v>0</v>
      </c>
      <c r="AV600" s="264">
        <f>_xlfn.XLOOKUP(FMS_Ranking4[[#This Row],[FMS ID]],FMS_Input[FMS_ID],FMS_Input[REMLWC100])</f>
        <v>0</v>
      </c>
      <c r="AW600" s="264">
        <f>_xlfn.XLOOKUP(FMS_Ranking4[[#This Row],[FMS ID]],FMS_Input[FMS_ID],FMS_Input[REMROADCLS])</f>
        <v>0</v>
      </c>
      <c r="AX600" s="264">
        <f>_xlfn.XLOOKUP(FMS_Ranking4[[#This Row],[FMS ID]],FMS_Input[FMS_ID],FMS_Input[REMFRMACRE100])</f>
        <v>0</v>
      </c>
      <c r="AY600" s="258">
        <f>_xlfn.XLOOKUP(FMS_Ranking4[[#This Row],[FMS ID]],FMS_Input[FMS_ID],FMS_Input[COSTSTRUCT])</f>
        <v>0</v>
      </c>
      <c r="AZ600" s="253">
        <f>_xlfn.XLOOKUP(FMS_Ranking4[[#This Row],[FMS ID]],FMS_Input[FMS_ID],FMS_Input[NATURE])</f>
        <v>0</v>
      </c>
      <c r="BA600" s="262">
        <f>(((FMS_Ranking4[[#This Row],[% NBS Raw]]/AZ$4)*100)*AZ$5)</f>
        <v>0</v>
      </c>
      <c r="BB600" s="251" t="str">
        <f>_xlfn.XLOOKUP(FMS_Ranking4[[#This Row],[FMS ID]],FMS_Input[FMS_ID],FMS_Input[WATER_SUP])</f>
        <v>No</v>
      </c>
      <c r="BC600" s="265">
        <f>IF(FMS_Ranking4[[#This Row],[Water Supply Raw]]="Yes",10,0)</f>
        <v>0</v>
      </c>
      <c r="BD600" s="266">
        <f>_xlfn.XLOOKUP(FMS_Ranking4[[#This Row],[FMS Type]],FMS_TYPE[FMS_Type],FMS_TYPE[Score])</f>
        <v>8</v>
      </c>
      <c r="BE600" s="267">
        <f>FMS_Ranking4[[#This Row],[FMS_Type Score]]*$BD$5*10</f>
        <v>2</v>
      </c>
      <c r="BF60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1.7432552743698062E-2</v>
      </c>
      <c r="BG600" s="271">
        <f>_xlfn.RANK.EQ(BF600,$BF$8:$BF$870,0)+COUNTIF($BF$8:BF600,BF600)-1</f>
        <v>646</v>
      </c>
      <c r="BH600" s="268">
        <f>(((FMS_Ranking4[[#This Row],[Structures Removed Raw]]/AK$4)*100)*AK$5)+(((FMS_Ranking4[[#This Row],[Removed Pop Raw]]/AR$4)*100)*AR$5)</f>
        <v>0</v>
      </c>
      <c r="BI60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2.0174325527436983</v>
      </c>
      <c r="BJ600" s="205">
        <f>_xlfn.RANK.EQ(FMS_Ranking4[[#This Row],[Total Score 
(with linear
normalization)]],FMS_Ranking4[Total Score 
(with linear
normalization)],0)</f>
        <v>415</v>
      </c>
      <c r="BK600" s="205" t="e">
        <f>_xlfn.XLOOKUP(FMS_Ranking4[[#This Row],[FMS ID]],#REF!,#REF!)</f>
        <v>#REF!</v>
      </c>
      <c r="BL60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13.216534231542424</v>
      </c>
      <c r="BM600" s="272">
        <f>FMS_Ranking4[[#This Row],[ArcSinh Score Based on Normalized Reported Factors]]+FMS_Ranking4[[#This Row],[% NBS Score (Normalized)]]+(FMS_Ranking4[[#This Row],[Water Supply Score (Normalized)]]*10*$BB$5)+FMS_Ranking4[[#This Row],[FMS_Type Score Weighted]]</f>
        <v>15.216534231542424</v>
      </c>
      <c r="BN600" s="205">
        <f>_xlfn.RANK.EQ(FMS_Ranking4[[#This Row],[Total Score (with ArcSinh normalization of select criteria)]],FMS_Ranking4[Total Score (with ArcSinh normalization of select criteria)],0)</f>
        <v>593</v>
      </c>
      <c r="BO600" s="270" t="str">
        <f>_xlfn.XLOOKUP(FMS_Ranking4[[#This Row],[FMS ID]],FMS_Input[FMS_ID],FMS_Input[FMS_RANK_YEAR])</f>
        <v>2023 Amended Plan</v>
      </c>
      <c r="BP600" s="204">
        <f>_xlfn.XLOOKUP(FMS_Ranking4[[#This Row],[FMS ID]],Prev_Rank[FMS ID],Prev_Rank[Prev Rank])</f>
        <v>525</v>
      </c>
      <c r="BQ600" s="205" t="e">
        <f>_xlfn.XLOOKUP(FMS_Ranking4[[#This Row],[FMS ID]],#REF!,#REF!)</f>
        <v>#REF!</v>
      </c>
      <c r="BR600" s="199" t="e">
        <f>SUM(#REF!,#REF!,#REF!,#REF!,#REF!,#REF!,#REF!,#REF!,#REF!,FMS_Ranking4[[#This Row],[ArcSinh Res struct removed 0-10]],#REF!)</f>
        <v>#REF!</v>
      </c>
      <c r="BS600" s="199" t="e">
        <f>FMS_Ranking4[[#This Row],[Log Score Based on Normalized Reported Factors]]+FMS_Ranking4[[#This Row],[% NBS Score (Normalized)]]+(FMS_Ranking4[[#This Row],[Water Supply Score (Normalized)]]*10*$BB$5)+(FMS_Ranking4[[#This Row],[FMS_Type Score Weighted]])</f>
        <v>#REF!</v>
      </c>
      <c r="BT600" s="200" t="e">
        <f>_xlfn.RANK.EQ(FMS_Ranking4[[#This Row],[Log Total Score]],FMS_Ranking4[Log Total Score],0)</f>
        <v>#REF!</v>
      </c>
      <c r="BU600" s="200" t="e">
        <f>_xlfn.XLOOKUP(FMS_Ranking4[[#This Row],[FMS ID]],#REF!,#REF!)</f>
        <v>#REF!</v>
      </c>
      <c r="BV600" s="200">
        <f>FMS_Ranking4[[#This Row],[Region Number]]</f>
        <v>15</v>
      </c>
      <c r="BW600" s="200">
        <f>FMS_Ranking4[[#This Row],[Rank (with ArcSinh normalization of select criteria)]]-FMS_Ranking4[[#This Row],[Rank
(with linear
normalization)]]</f>
        <v>178</v>
      </c>
      <c r="BX600" s="200" t="e">
        <f>FMS_Ranking4[[#This Row],[Log Rank]]-FMS_Ranking4[[#This Row],[Rank
(with linear
normalization)]]</f>
        <v>#REF!</v>
      </c>
      <c r="BY600" s="200" t="str">
        <f>IF(FMS_Ranking4[[#This Row],[FMS Type]]="Flood Measurement and Warning",FMS_Ranking4[[#This Row],[Rank (with ArcSinh normalization of select criteria)]],"")</f>
        <v/>
      </c>
      <c r="BZ600" s="200">
        <f>IF(FMS_Ranking4[[#This Row],[FMS Type]]="Regulatory and Guidance",FMS_Ranking4[[#This Row],[Rank (with ArcSinh normalization of select criteria)]],"")</f>
        <v>593</v>
      </c>
      <c r="CA600" s="200" t="str">
        <f>IF(FMS_Ranking4[[#This Row],[FMS Type]]="Education and Outreach",FMS_Ranking4[[#This Row],[Rank (with ArcSinh normalization of select criteria)]],"")</f>
        <v/>
      </c>
      <c r="CB600" s="200" t="str">
        <f>IF(FMS_Ranking4[[#This Row],[FMS Type]]="Property Acquisition and Structural Elevation",FMS_Ranking4[[#This Row],[Rank (with ArcSinh normalization of select criteria)]],"")</f>
        <v/>
      </c>
      <c r="CC600" s="200" t="str">
        <f>IF(FMS_Ranking4[[#This Row],[FMS Type]]="Infrastructure Projects",FMS_Ranking4[[#This Row],[Rank (with ArcSinh normalization of select criteria)]],"")</f>
        <v/>
      </c>
      <c r="CD600" s="200" t="str">
        <f>IF(FMS_Ranking4[[#This Row],[FMS Type]]="Other",FMS_Ranking4[[#This Row],[Rank (with ArcSinh normalization of select criteria)]],"")</f>
        <v/>
      </c>
      <c r="CE600" s="201"/>
      <c r="CF600" s="206"/>
      <c r="CG600" s="206"/>
      <c r="CH600" s="206"/>
      <c r="CI600" s="206"/>
      <c r="CJ600" s="206"/>
      <c r="CK600" s="206"/>
      <c r="CL600" s="206"/>
      <c r="CM600" s="206"/>
      <c r="CN600" s="206"/>
      <c r="CO600" s="206"/>
      <c r="CP600" s="206"/>
      <c r="CQ600" s="206"/>
      <c r="CR600" s="206"/>
    </row>
    <row r="601" spans="2:96" ht="75" x14ac:dyDescent="0.25">
      <c r="B601" s="341" t="s">
        <v>3854</v>
      </c>
      <c r="C601" s="246">
        <f>_xlfn.XLOOKUP(FMS_Ranking4[[#This Row],[FMS ID]],FMS_Input[FMS_ID],FMS_Input[RFPG_NUM])</f>
        <v>15</v>
      </c>
      <c r="D601" s="309" t="str">
        <f>_xlfn.XLOOKUP(FMS_Ranking4[[#This Row],[FMS ID]],FMS_Input[FMS_ID],FMS_Input[FMS_NAME])</f>
        <v>Bayiew Action #8</v>
      </c>
      <c r="E601" s="308" t="str">
        <f>_xlfn.XLOOKUP(FMS_Ranking4[[#This Row],[FMS ID]],FMS_Input[FMS_ID],FMS_Input[SPONSOR])</f>
        <v>15000074</v>
      </c>
      <c r="F601" s="309" t="str">
        <f>_xlfn.XLOOKUP(FMS_Ranking4[[#This Row],[FMS ID]],Sponsor[FMS_ID],Sponsor[SPONSOR NAME])</f>
        <v>Bayview</v>
      </c>
      <c r="G601" s="309" t="str">
        <f>_xlfn.XLOOKUP(FMS_Ranking4[[#This Row],[FMS ID]],FMS_Input[FMS_ID],FMS_Input[FMS_DESCR])</f>
        <v>Develop cooperative agreement with state and county to address flood risk to roadways leading in and out of town – outside of jurisdictional boundaries</v>
      </c>
      <c r="H601" s="248" t="str">
        <f>_xlfn.XLOOKUP(FMS_Ranking4[[#This Row],[FMS ID]],FMS_Input[FMS_ID],FMS_Input[FMS_TYPE])</f>
        <v>Regulatory and Guidance</v>
      </c>
      <c r="I601" s="249">
        <f>_xlfn.XLOOKUP(FMS_Ranking4[[#This Row],[FMS ID]],FMS_Input[FMS_ID],FMS_Input[NRNC_COST])</f>
        <v>1000</v>
      </c>
      <c r="J601" s="250">
        <f>_xlfn.XLOOKUP(FMS_Ranking4[[#This Row],[FMS ID]],FMS_Input[FMS_ID],FMS_Input[FMS_COST])</f>
        <v>1000</v>
      </c>
      <c r="K601" s="251" t="str">
        <f>_xlfn.XLOOKUP(FMS_Ranking4[[#This Row],[FMS ID]],FMS_Input[FMS_ID],FMS_Input[EMER_NEED])</f>
        <v>Yes</v>
      </c>
      <c r="L601" s="252">
        <f t="shared" si="9"/>
        <v>1</v>
      </c>
      <c r="M601" s="253">
        <f>_xlfn.XLOOKUP(FMS_Ranking4[[#This Row],[FMS ID]],FMS_Input[FMS_ID],FMS_Input[STRUCT_100])</f>
        <v>93</v>
      </c>
      <c r="N601" s="255">
        <f>(ASINH(FMS_Ranking4[[#This Row],[Structure at Risk Raw]]))*(10)/(ASINH(M$4))</f>
        <v>4.1082376882260521</v>
      </c>
      <c r="O601" s="256">
        <f>FMS_Ranking4[[#This Row],[Structures at risk, ArcSinh (0-10)]]*M$5*10</f>
        <v>4.1082376882260521</v>
      </c>
      <c r="P601" s="253">
        <f>_xlfn.XLOOKUP(FMS_Ranking4[[#This Row],[FMS ID]],FMS_Input[FMS_ID],FMS_Input[RES_STRUCT100])</f>
        <v>70</v>
      </c>
      <c r="Q601" s="257">
        <f>ASINH(FMS_Ranking4[[#This Row],[Res Structure Raw]])/Q$4*P$5*100</f>
        <v>0</v>
      </c>
      <c r="R601" s="253">
        <f>_xlfn.XLOOKUP(FMS_Ranking4[[#This Row],[FMS ID]],FMS_Input[FMS_ID],FMS_Input[POP100])</f>
        <v>287</v>
      </c>
      <c r="S601" s="259">
        <f>(ASINH(FMS_Ranking4[[#This Row],[Pop at Risk Raw]]))*(10)/(ASINH(R$4))</f>
        <v>4.3855920045329047</v>
      </c>
      <c r="T601" s="256">
        <f>FMS_Ranking4[[#This Row],[Population at risk, ArcSinh (0-10)]]*R$5*10</f>
        <v>4.3855920045329047</v>
      </c>
      <c r="U601" s="253">
        <f>_xlfn.XLOOKUP(FMS_Ranking4[[#This Row],[FMS ID]],FMS_Input[FMS_ID],FMS_Input[CRITFAC100])</f>
        <v>0</v>
      </c>
      <c r="V601" s="259">
        <f>(ASINH(FMS_Ranking4[[#This Row],[Critical Facilities Raw]]))*(10)/(ASINH(U$4))</f>
        <v>0</v>
      </c>
      <c r="W601" s="256">
        <f>FMS_Ranking4[[#This Row],[Critical facilities at risk, ArcSinh (0-10)]]*U$5*10</f>
        <v>0</v>
      </c>
      <c r="X601" s="253">
        <f>_xlfn.XLOOKUP(FMS_Ranking4[[#This Row],[FMS ID]],FMS_Input[FMS_ID],FMS_Input[LWC])</f>
        <v>0</v>
      </c>
      <c r="Y601" s="259">
        <f>(ASINH(FMS_Ranking4[[#This Row],[LWC Raw]]))*(10)/(ASINH(X$4))</f>
        <v>0</v>
      </c>
      <c r="Z601" s="256">
        <f>FMS_Ranking4[[#This Row],[LWC, ArcSInh (0-10)]]*X$5*10</f>
        <v>0</v>
      </c>
      <c r="AA601" s="253">
        <f>_xlfn.XLOOKUP(FMS_Ranking4[[#This Row],[FMS ID]],FMS_Input[FMS_ID],FMS_Input[ROADCLS])</f>
        <v>0</v>
      </c>
      <c r="AB601" s="255">
        <f>(ASINH(FMS_Ranking4[[#This Row],[Road Closures Raw]]))*(10)/(ASINH(AA$4))</f>
        <v>0</v>
      </c>
      <c r="AC601" s="256">
        <f>FMS_Ranking4[[#This Row],[Road closures, ArcSinh (0-10)]]*AA$5*10</f>
        <v>0</v>
      </c>
      <c r="AD601" s="253">
        <f>_xlfn.XLOOKUP(FMS_Ranking4[[#This Row],[FMS ID]],FMS_Input[FMS_ID],FMS_Input[ROAD_MILES100])</f>
        <v>4</v>
      </c>
      <c r="AE601" s="259">
        <f>(ASINH(FMS_Ranking4[[#This Row],[Road Miles Raw]]))*(10)/(ASINH(AD$4))</f>
        <v>2.2323872691766113</v>
      </c>
      <c r="AF601" s="256">
        <f>FMS_Ranking4[[#This Row],[Length of roads at risk, ArcSinh (0-10)]]*AD$5*10</f>
        <v>2.2323872691766113</v>
      </c>
      <c r="AG601" s="253">
        <f>_xlfn.XLOOKUP(FMS_Ranking4[[#This Row],[FMS ID]],FMS_Input[FMS_ID],FMS_Input[FARMACRE100])</f>
        <v>1068.813354492188</v>
      </c>
      <c r="AH601" s="255">
        <f>(ASINH(FMS_Ranking4[[#This Row],[Ag Land Raw]]))*(10)/(ASINH(AG$4))</f>
        <v>4.9806345392137104</v>
      </c>
      <c r="AI601" s="260">
        <f>FMS_Ranking4[[#This Row],[Farm &amp; ranch land, ArcSinh (0-10)]]*AG$5*10</f>
        <v>2.4903172696068552</v>
      </c>
      <c r="AJ601" s="258">
        <f>_xlfn.XLOOKUP(FMS_Ranking4[[#This Row],[FMS ID]],FMS_Input[FMS_ID],FMS_Input[REDSTRUCT100])</f>
        <v>0</v>
      </c>
      <c r="AK601" s="253">
        <f>_xlfn.XLOOKUP(FMS_Ranking4[[#This Row],[FMS ID]],FMS_Input[FMS_ID],FMS_Input[REMSTRC100])</f>
        <v>0</v>
      </c>
      <c r="AL601" s="259">
        <f>(ASINH(FMS_Ranking4[[#This Row],[Structures Removed Raw]]))*(10)/(ASINH(AK$4))</f>
        <v>0</v>
      </c>
      <c r="AM601" s="262">
        <f>FMS_Ranking4[[#This Row],[Structures removed, ArcSinh (0-10)]]*AK$5*10</f>
        <v>0</v>
      </c>
      <c r="AN601" s="253">
        <f>_xlfn.XLOOKUP(FMS_Ranking4[[#This Row],[FMS ID]],FMS_Input[FMS_ID],FMS_Input[REMRESSTRC100])</f>
        <v>0</v>
      </c>
      <c r="AO601" s="261">
        <f>FMS_Ranking4[[#This Row],[ArcSinh Res struct removed 0-10]]*AN$5*10</f>
        <v>0</v>
      </c>
      <c r="AP601" s="260">
        <f>ASINH(FMS_Ranking4[[#This Row],[Residential Structures Removed Raw]])/AP$4*AN$5*100</f>
        <v>0</v>
      </c>
      <c r="AQ601" s="254">
        <f>(ASINH(FMS_Ranking4[[#This Row],[Residential Structures Removed Raw]]))*(10)/(ASINH(AN$4))</f>
        <v>0</v>
      </c>
      <c r="AR601" s="253">
        <f>_xlfn.XLOOKUP(FMS_Ranking4[[#This Row],[FMS ID]],FMS_Input[FMS_ID],FMS_Input[REMPOP100])</f>
        <v>0</v>
      </c>
      <c r="AS601" s="259">
        <f>(ASINH(FMS_Ranking4[[#This Row],[Removed Pop Raw]]))*(10)/(ASINH(AR$4))</f>
        <v>0</v>
      </c>
      <c r="AT601" s="262">
        <f>FMS_Ranking4[[#This Row],[Removed population, ArcSinh (0-10)]]*AR$5*10</f>
        <v>0</v>
      </c>
      <c r="AU601" s="264">
        <f>_xlfn.XLOOKUP(FMS_Ranking4[[#This Row],[FMS ID]],FMS_Input[FMS_ID],FMS_Input[REMCRITFAC100])</f>
        <v>0</v>
      </c>
      <c r="AV601" s="264">
        <f>_xlfn.XLOOKUP(FMS_Ranking4[[#This Row],[FMS ID]],FMS_Input[FMS_ID],FMS_Input[REMLWC100])</f>
        <v>0</v>
      </c>
      <c r="AW601" s="264">
        <f>_xlfn.XLOOKUP(FMS_Ranking4[[#This Row],[FMS ID]],FMS_Input[FMS_ID],FMS_Input[REMROADCLS])</f>
        <v>0</v>
      </c>
      <c r="AX601" s="264">
        <f>_xlfn.XLOOKUP(FMS_Ranking4[[#This Row],[FMS ID]],FMS_Input[FMS_ID],FMS_Input[REMFRMACRE100])</f>
        <v>0</v>
      </c>
      <c r="AY601" s="258">
        <f>_xlfn.XLOOKUP(FMS_Ranking4[[#This Row],[FMS ID]],FMS_Input[FMS_ID],FMS_Input[COSTSTRUCT])</f>
        <v>0</v>
      </c>
      <c r="AZ601" s="253">
        <f>_xlfn.XLOOKUP(FMS_Ranking4[[#This Row],[FMS ID]],FMS_Input[FMS_ID],FMS_Input[NATURE])</f>
        <v>0</v>
      </c>
      <c r="BA601" s="262">
        <f>(((FMS_Ranking4[[#This Row],[% NBS Raw]]/AZ$4)*100)*AZ$5)</f>
        <v>0</v>
      </c>
      <c r="BB601" s="251" t="str">
        <f>_xlfn.XLOOKUP(FMS_Ranking4[[#This Row],[FMS ID]],FMS_Input[FMS_ID],FMS_Input[WATER_SUP])</f>
        <v>No</v>
      </c>
      <c r="BC601" s="265">
        <f>IF(FMS_Ranking4[[#This Row],[Water Supply Raw]]="Yes",10,0)</f>
        <v>0</v>
      </c>
      <c r="BD601" s="266">
        <f>_xlfn.XLOOKUP(FMS_Ranking4[[#This Row],[FMS Type]],FMS_TYPE[FMS_Type],FMS_TYPE[Score])</f>
        <v>8</v>
      </c>
      <c r="BE601" s="267">
        <f>FMS_Ranking4[[#This Row],[FMS_Type Score]]*$BD$5*10</f>
        <v>2</v>
      </c>
      <c r="BF60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1.7432552743698062E-2</v>
      </c>
      <c r="BG601" s="271">
        <f>_xlfn.RANK.EQ(BF601,$BF$8:$BF$870,0)+COUNTIF($BF$8:BF601,BF601)-1</f>
        <v>647</v>
      </c>
      <c r="BH601" s="268">
        <f>(((FMS_Ranking4[[#This Row],[Structures Removed Raw]]/AK$4)*100)*AK$5)+(((FMS_Ranking4[[#This Row],[Removed Pop Raw]]/AR$4)*100)*AR$5)</f>
        <v>0</v>
      </c>
      <c r="BI60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2.0174325527436983</v>
      </c>
      <c r="BJ601" s="205">
        <f>_xlfn.RANK.EQ(FMS_Ranking4[[#This Row],[Total Score 
(with linear
normalization)]],FMS_Ranking4[Total Score 
(with linear
normalization)],0)</f>
        <v>415</v>
      </c>
      <c r="BK601" s="205" t="e">
        <f>_xlfn.XLOOKUP(FMS_Ranking4[[#This Row],[FMS ID]],#REF!,#REF!)</f>
        <v>#REF!</v>
      </c>
      <c r="BL60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13.216534231542424</v>
      </c>
      <c r="BM601" s="272">
        <f>FMS_Ranking4[[#This Row],[ArcSinh Score Based on Normalized Reported Factors]]+FMS_Ranking4[[#This Row],[% NBS Score (Normalized)]]+(FMS_Ranking4[[#This Row],[Water Supply Score (Normalized)]]*10*$BB$5)+FMS_Ranking4[[#This Row],[FMS_Type Score Weighted]]</f>
        <v>15.216534231542424</v>
      </c>
      <c r="BN601" s="205">
        <f>_xlfn.RANK.EQ(FMS_Ranking4[[#This Row],[Total Score (with ArcSinh normalization of select criteria)]],FMS_Ranking4[Total Score (with ArcSinh normalization of select criteria)],0)</f>
        <v>593</v>
      </c>
      <c r="BO601" s="270" t="str">
        <f>_xlfn.XLOOKUP(FMS_Ranking4[[#This Row],[FMS ID]],FMS_Input[FMS_ID],FMS_Input[FMS_RANK_YEAR])</f>
        <v>2023 Amended Plan</v>
      </c>
      <c r="BP601" s="204">
        <f>_xlfn.XLOOKUP(FMS_Ranking4[[#This Row],[FMS ID]],Prev_Rank[FMS ID],Prev_Rank[Prev Rank])</f>
        <v>525</v>
      </c>
      <c r="BQ601" s="205" t="e">
        <f>_xlfn.XLOOKUP(FMS_Ranking4[[#This Row],[FMS ID]],#REF!,#REF!)</f>
        <v>#REF!</v>
      </c>
      <c r="BR601" s="199" t="e">
        <f>SUM(#REF!,#REF!,#REF!,#REF!,#REF!,#REF!,#REF!,#REF!,#REF!,FMS_Ranking4[[#This Row],[ArcSinh Res struct removed 0-10]],#REF!)</f>
        <v>#REF!</v>
      </c>
      <c r="BS601" s="199" t="e">
        <f>FMS_Ranking4[[#This Row],[Log Score Based on Normalized Reported Factors]]+FMS_Ranking4[[#This Row],[% NBS Score (Normalized)]]+(FMS_Ranking4[[#This Row],[Water Supply Score (Normalized)]]*10*$BB$5)+(FMS_Ranking4[[#This Row],[FMS_Type Score Weighted]])</f>
        <v>#REF!</v>
      </c>
      <c r="BT601" s="200" t="e">
        <f>_xlfn.RANK.EQ(FMS_Ranking4[[#This Row],[Log Total Score]],FMS_Ranking4[Log Total Score],0)</f>
        <v>#REF!</v>
      </c>
      <c r="BU601" s="200" t="e">
        <f>_xlfn.XLOOKUP(FMS_Ranking4[[#This Row],[FMS ID]],#REF!,#REF!)</f>
        <v>#REF!</v>
      </c>
      <c r="BV601" s="200">
        <f>FMS_Ranking4[[#This Row],[Region Number]]</f>
        <v>15</v>
      </c>
      <c r="BW601" s="200">
        <f>FMS_Ranking4[[#This Row],[Rank (with ArcSinh normalization of select criteria)]]-FMS_Ranking4[[#This Row],[Rank
(with linear
normalization)]]</f>
        <v>178</v>
      </c>
      <c r="BX601" s="200" t="e">
        <f>FMS_Ranking4[[#This Row],[Log Rank]]-FMS_Ranking4[[#This Row],[Rank
(with linear
normalization)]]</f>
        <v>#REF!</v>
      </c>
      <c r="BY601" s="200" t="str">
        <f>IF(FMS_Ranking4[[#This Row],[FMS Type]]="Flood Measurement and Warning",FMS_Ranking4[[#This Row],[Rank (with ArcSinh normalization of select criteria)]],"")</f>
        <v/>
      </c>
      <c r="BZ601" s="200">
        <f>IF(FMS_Ranking4[[#This Row],[FMS Type]]="Regulatory and Guidance",FMS_Ranking4[[#This Row],[Rank (with ArcSinh normalization of select criteria)]],"")</f>
        <v>593</v>
      </c>
      <c r="CA601" s="200" t="str">
        <f>IF(FMS_Ranking4[[#This Row],[FMS Type]]="Education and Outreach",FMS_Ranking4[[#This Row],[Rank (with ArcSinh normalization of select criteria)]],"")</f>
        <v/>
      </c>
      <c r="CB601" s="200" t="str">
        <f>IF(FMS_Ranking4[[#This Row],[FMS Type]]="Property Acquisition and Structural Elevation",FMS_Ranking4[[#This Row],[Rank (with ArcSinh normalization of select criteria)]],"")</f>
        <v/>
      </c>
      <c r="CC601" s="200" t="str">
        <f>IF(FMS_Ranking4[[#This Row],[FMS Type]]="Infrastructure Projects",FMS_Ranking4[[#This Row],[Rank (with ArcSinh normalization of select criteria)]],"")</f>
        <v/>
      </c>
      <c r="CD601" s="200" t="str">
        <f>IF(FMS_Ranking4[[#This Row],[FMS Type]]="Other",FMS_Ranking4[[#This Row],[Rank (with ArcSinh normalization of select criteria)]],"")</f>
        <v/>
      </c>
      <c r="CE601" s="201"/>
      <c r="CF601" s="206"/>
      <c r="CG601" s="206"/>
      <c r="CH601" s="206"/>
      <c r="CI601" s="206"/>
      <c r="CJ601" s="206"/>
      <c r="CK601" s="206"/>
      <c r="CL601" s="206"/>
      <c r="CM601" s="206"/>
      <c r="CN601" s="206"/>
      <c r="CO601" s="206"/>
      <c r="CP601" s="206"/>
      <c r="CQ601" s="206"/>
      <c r="CR601" s="206"/>
    </row>
    <row r="602" spans="2:96" ht="30" x14ac:dyDescent="0.25">
      <c r="B602" s="341" t="s">
        <v>3858</v>
      </c>
      <c r="C602" s="246">
        <f>_xlfn.XLOOKUP(FMS_Ranking4[[#This Row],[FMS ID]],FMS_Input[FMS_ID],FMS_Input[RFPG_NUM])</f>
        <v>15</v>
      </c>
      <c r="D602" s="309" t="str">
        <f>_xlfn.XLOOKUP(FMS_Ranking4[[#This Row],[FMS ID]],FMS_Input[FMS_ID],FMS_Input[FMS_NAME])</f>
        <v>Bayiew Action #9</v>
      </c>
      <c r="E602" s="308" t="str">
        <f>_xlfn.XLOOKUP(FMS_Ranking4[[#This Row],[FMS ID]],FMS_Input[FMS_ID],FMS_Input[SPONSOR])</f>
        <v>15000074</v>
      </c>
      <c r="F602" s="309" t="str">
        <f>_xlfn.XLOOKUP(FMS_Ranking4[[#This Row],[FMS ID]],Sponsor[FMS_ID],Sponsor[SPONSOR NAME])</f>
        <v>Bayview</v>
      </c>
      <c r="G602" s="309" t="str">
        <f>_xlfn.XLOOKUP(FMS_Ranking4[[#This Row],[FMS ID]],FMS_Input[FMS_ID],FMS_Input[FMS_DESCR])</f>
        <v>Participate in the National Flood Insurance Program</v>
      </c>
      <c r="H602" s="248" t="str">
        <f>_xlfn.XLOOKUP(FMS_Ranking4[[#This Row],[FMS ID]],FMS_Input[FMS_ID],FMS_Input[FMS_TYPE])</f>
        <v>Regulatory and Guidance</v>
      </c>
      <c r="I602" s="249">
        <f>_xlfn.XLOOKUP(FMS_Ranking4[[#This Row],[FMS ID]],FMS_Input[FMS_ID],FMS_Input[NRNC_COST])</f>
        <v>1000</v>
      </c>
      <c r="J602" s="250">
        <f>_xlfn.XLOOKUP(FMS_Ranking4[[#This Row],[FMS ID]],FMS_Input[FMS_ID],FMS_Input[FMS_COST])</f>
        <v>1000</v>
      </c>
      <c r="K602" s="251" t="str">
        <f>_xlfn.XLOOKUP(FMS_Ranking4[[#This Row],[FMS ID]],FMS_Input[FMS_ID],FMS_Input[EMER_NEED])</f>
        <v>Yes</v>
      </c>
      <c r="L602" s="252">
        <f t="shared" si="9"/>
        <v>1</v>
      </c>
      <c r="M602" s="253">
        <f>_xlfn.XLOOKUP(FMS_Ranking4[[#This Row],[FMS ID]],FMS_Input[FMS_ID],FMS_Input[STRUCT_100])</f>
        <v>93</v>
      </c>
      <c r="N602" s="255">
        <f>(ASINH(FMS_Ranking4[[#This Row],[Structure at Risk Raw]]))*(10)/(ASINH(M$4))</f>
        <v>4.1082376882260521</v>
      </c>
      <c r="O602" s="256">
        <f>FMS_Ranking4[[#This Row],[Structures at risk, ArcSinh (0-10)]]*M$5*10</f>
        <v>4.1082376882260521</v>
      </c>
      <c r="P602" s="253">
        <f>_xlfn.XLOOKUP(FMS_Ranking4[[#This Row],[FMS ID]],FMS_Input[FMS_ID],FMS_Input[RES_STRUCT100])</f>
        <v>70</v>
      </c>
      <c r="Q602" s="257">
        <f>ASINH(FMS_Ranking4[[#This Row],[Res Structure Raw]])/Q$4*P$5*100</f>
        <v>0</v>
      </c>
      <c r="R602" s="253">
        <f>_xlfn.XLOOKUP(FMS_Ranking4[[#This Row],[FMS ID]],FMS_Input[FMS_ID],FMS_Input[POP100])</f>
        <v>287</v>
      </c>
      <c r="S602" s="259">
        <f>(ASINH(FMS_Ranking4[[#This Row],[Pop at Risk Raw]]))*(10)/(ASINH(R$4))</f>
        <v>4.3855920045329047</v>
      </c>
      <c r="T602" s="256">
        <f>FMS_Ranking4[[#This Row],[Population at risk, ArcSinh (0-10)]]*R$5*10</f>
        <v>4.3855920045329047</v>
      </c>
      <c r="U602" s="253">
        <f>_xlfn.XLOOKUP(FMS_Ranking4[[#This Row],[FMS ID]],FMS_Input[FMS_ID],FMS_Input[CRITFAC100])</f>
        <v>0</v>
      </c>
      <c r="V602" s="259">
        <f>(ASINH(FMS_Ranking4[[#This Row],[Critical Facilities Raw]]))*(10)/(ASINH(U$4))</f>
        <v>0</v>
      </c>
      <c r="W602" s="256">
        <f>FMS_Ranking4[[#This Row],[Critical facilities at risk, ArcSinh (0-10)]]*U$5*10</f>
        <v>0</v>
      </c>
      <c r="X602" s="253">
        <f>_xlfn.XLOOKUP(FMS_Ranking4[[#This Row],[FMS ID]],FMS_Input[FMS_ID],FMS_Input[LWC])</f>
        <v>0</v>
      </c>
      <c r="Y602" s="259">
        <f>(ASINH(FMS_Ranking4[[#This Row],[LWC Raw]]))*(10)/(ASINH(X$4))</f>
        <v>0</v>
      </c>
      <c r="Z602" s="256">
        <f>FMS_Ranking4[[#This Row],[LWC, ArcSInh (0-10)]]*X$5*10</f>
        <v>0</v>
      </c>
      <c r="AA602" s="253">
        <f>_xlfn.XLOOKUP(FMS_Ranking4[[#This Row],[FMS ID]],FMS_Input[FMS_ID],FMS_Input[ROADCLS])</f>
        <v>0</v>
      </c>
      <c r="AB602" s="255">
        <f>(ASINH(FMS_Ranking4[[#This Row],[Road Closures Raw]]))*(10)/(ASINH(AA$4))</f>
        <v>0</v>
      </c>
      <c r="AC602" s="256">
        <f>FMS_Ranking4[[#This Row],[Road closures, ArcSinh (0-10)]]*AA$5*10</f>
        <v>0</v>
      </c>
      <c r="AD602" s="253">
        <f>_xlfn.XLOOKUP(FMS_Ranking4[[#This Row],[FMS ID]],FMS_Input[FMS_ID],FMS_Input[ROAD_MILES100])</f>
        <v>4</v>
      </c>
      <c r="AE602" s="259">
        <f>(ASINH(FMS_Ranking4[[#This Row],[Road Miles Raw]]))*(10)/(ASINH(AD$4))</f>
        <v>2.2323872691766113</v>
      </c>
      <c r="AF602" s="256">
        <f>FMS_Ranking4[[#This Row],[Length of roads at risk, ArcSinh (0-10)]]*AD$5*10</f>
        <v>2.2323872691766113</v>
      </c>
      <c r="AG602" s="253">
        <f>_xlfn.XLOOKUP(FMS_Ranking4[[#This Row],[FMS ID]],FMS_Input[FMS_ID],FMS_Input[FARMACRE100])</f>
        <v>1068.813354492188</v>
      </c>
      <c r="AH602" s="255">
        <f>(ASINH(FMS_Ranking4[[#This Row],[Ag Land Raw]]))*(10)/(ASINH(AG$4))</f>
        <v>4.9806345392137104</v>
      </c>
      <c r="AI602" s="260">
        <f>FMS_Ranking4[[#This Row],[Farm &amp; ranch land, ArcSinh (0-10)]]*AG$5*10</f>
        <v>2.4903172696068552</v>
      </c>
      <c r="AJ602" s="258">
        <f>_xlfn.XLOOKUP(FMS_Ranking4[[#This Row],[FMS ID]],FMS_Input[FMS_ID],FMS_Input[REDSTRUCT100])</f>
        <v>0</v>
      </c>
      <c r="AK602" s="253">
        <f>_xlfn.XLOOKUP(FMS_Ranking4[[#This Row],[FMS ID]],FMS_Input[FMS_ID],FMS_Input[REMSTRC100])</f>
        <v>0</v>
      </c>
      <c r="AL602" s="259">
        <f>(ASINH(FMS_Ranking4[[#This Row],[Structures Removed Raw]]))*(10)/(ASINH(AK$4))</f>
        <v>0</v>
      </c>
      <c r="AM602" s="262">
        <f>FMS_Ranking4[[#This Row],[Structures removed, ArcSinh (0-10)]]*AK$5*10</f>
        <v>0</v>
      </c>
      <c r="AN602" s="253">
        <f>_xlfn.XLOOKUP(FMS_Ranking4[[#This Row],[FMS ID]],FMS_Input[FMS_ID],FMS_Input[REMRESSTRC100])</f>
        <v>0</v>
      </c>
      <c r="AO602" s="261">
        <f>FMS_Ranking4[[#This Row],[ArcSinh Res struct removed 0-10]]*AN$5*10</f>
        <v>0</v>
      </c>
      <c r="AP602" s="260">
        <f>ASINH(FMS_Ranking4[[#This Row],[Residential Structures Removed Raw]])/AP$4*AN$5*100</f>
        <v>0</v>
      </c>
      <c r="AQ602" s="254">
        <f>(ASINH(FMS_Ranking4[[#This Row],[Residential Structures Removed Raw]]))*(10)/(ASINH(AN$4))</f>
        <v>0</v>
      </c>
      <c r="AR602" s="253">
        <f>_xlfn.XLOOKUP(FMS_Ranking4[[#This Row],[FMS ID]],FMS_Input[FMS_ID],FMS_Input[REMPOP100])</f>
        <v>0</v>
      </c>
      <c r="AS602" s="259">
        <f>(ASINH(FMS_Ranking4[[#This Row],[Removed Pop Raw]]))*(10)/(ASINH(AR$4))</f>
        <v>0</v>
      </c>
      <c r="AT602" s="262">
        <f>FMS_Ranking4[[#This Row],[Removed population, ArcSinh (0-10)]]*AR$5*10</f>
        <v>0</v>
      </c>
      <c r="AU602" s="264">
        <f>_xlfn.XLOOKUP(FMS_Ranking4[[#This Row],[FMS ID]],FMS_Input[FMS_ID],FMS_Input[REMCRITFAC100])</f>
        <v>0</v>
      </c>
      <c r="AV602" s="264">
        <f>_xlfn.XLOOKUP(FMS_Ranking4[[#This Row],[FMS ID]],FMS_Input[FMS_ID],FMS_Input[REMLWC100])</f>
        <v>0</v>
      </c>
      <c r="AW602" s="264">
        <f>_xlfn.XLOOKUP(FMS_Ranking4[[#This Row],[FMS ID]],FMS_Input[FMS_ID],FMS_Input[REMROADCLS])</f>
        <v>0</v>
      </c>
      <c r="AX602" s="264">
        <f>_xlfn.XLOOKUP(FMS_Ranking4[[#This Row],[FMS ID]],FMS_Input[FMS_ID],FMS_Input[REMFRMACRE100])</f>
        <v>0</v>
      </c>
      <c r="AY602" s="258">
        <f>_xlfn.XLOOKUP(FMS_Ranking4[[#This Row],[FMS ID]],FMS_Input[FMS_ID],FMS_Input[COSTSTRUCT])</f>
        <v>0</v>
      </c>
      <c r="AZ602" s="253">
        <f>_xlfn.XLOOKUP(FMS_Ranking4[[#This Row],[FMS ID]],FMS_Input[FMS_ID],FMS_Input[NATURE])</f>
        <v>0</v>
      </c>
      <c r="BA602" s="262">
        <f>(((FMS_Ranking4[[#This Row],[% NBS Raw]]/AZ$4)*100)*AZ$5)</f>
        <v>0</v>
      </c>
      <c r="BB602" s="251" t="str">
        <f>_xlfn.XLOOKUP(FMS_Ranking4[[#This Row],[FMS ID]],FMS_Input[FMS_ID],FMS_Input[WATER_SUP])</f>
        <v>No</v>
      </c>
      <c r="BC602" s="265">
        <f>IF(FMS_Ranking4[[#This Row],[Water Supply Raw]]="Yes",10,0)</f>
        <v>0</v>
      </c>
      <c r="BD602" s="266">
        <f>_xlfn.XLOOKUP(FMS_Ranking4[[#This Row],[FMS Type]],FMS_TYPE[FMS_Type],FMS_TYPE[Score])</f>
        <v>8</v>
      </c>
      <c r="BE602" s="267">
        <f>FMS_Ranking4[[#This Row],[FMS_Type Score]]*$BD$5*10</f>
        <v>2</v>
      </c>
      <c r="BF60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1.7432552743698062E-2</v>
      </c>
      <c r="BG602" s="271">
        <f>_xlfn.RANK.EQ(BF602,$BF$8:$BF$870,0)+COUNTIF($BF$8:BF602,BF602)-1</f>
        <v>648</v>
      </c>
      <c r="BH602" s="268">
        <f>(((FMS_Ranking4[[#This Row],[Structures Removed Raw]]/AK$4)*100)*AK$5)+(((FMS_Ranking4[[#This Row],[Removed Pop Raw]]/AR$4)*100)*AR$5)</f>
        <v>0</v>
      </c>
      <c r="BI60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2.0174325527436983</v>
      </c>
      <c r="BJ602" s="205">
        <f>_xlfn.RANK.EQ(FMS_Ranking4[[#This Row],[Total Score 
(with linear
normalization)]],FMS_Ranking4[Total Score 
(with linear
normalization)],0)</f>
        <v>415</v>
      </c>
      <c r="BK602" s="205" t="e">
        <f>_xlfn.XLOOKUP(FMS_Ranking4[[#This Row],[FMS ID]],#REF!,#REF!)</f>
        <v>#REF!</v>
      </c>
      <c r="BL60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13.216534231542424</v>
      </c>
      <c r="BM602" s="272">
        <f>FMS_Ranking4[[#This Row],[ArcSinh Score Based on Normalized Reported Factors]]+FMS_Ranking4[[#This Row],[% NBS Score (Normalized)]]+(FMS_Ranking4[[#This Row],[Water Supply Score (Normalized)]]*10*$BB$5)+FMS_Ranking4[[#This Row],[FMS_Type Score Weighted]]</f>
        <v>15.216534231542424</v>
      </c>
      <c r="BN602" s="205">
        <f>_xlfn.RANK.EQ(FMS_Ranking4[[#This Row],[Total Score (with ArcSinh normalization of select criteria)]],FMS_Ranking4[Total Score (with ArcSinh normalization of select criteria)],0)</f>
        <v>593</v>
      </c>
      <c r="BO602" s="270" t="str">
        <f>_xlfn.XLOOKUP(FMS_Ranking4[[#This Row],[FMS ID]],FMS_Input[FMS_ID],FMS_Input[FMS_RANK_YEAR])</f>
        <v>2023 Amended Plan</v>
      </c>
      <c r="BP602" s="204">
        <f>_xlfn.XLOOKUP(FMS_Ranking4[[#This Row],[FMS ID]],Prev_Rank[FMS ID],Prev_Rank[Prev Rank])</f>
        <v>525</v>
      </c>
      <c r="BQ602" s="205" t="e">
        <f>_xlfn.XLOOKUP(FMS_Ranking4[[#This Row],[FMS ID]],#REF!,#REF!)</f>
        <v>#REF!</v>
      </c>
      <c r="BR602" s="199" t="e">
        <f>SUM(#REF!,#REF!,#REF!,#REF!,#REF!,#REF!,#REF!,#REF!,#REF!,FMS_Ranking4[[#This Row],[ArcSinh Res struct removed 0-10]],#REF!)</f>
        <v>#REF!</v>
      </c>
      <c r="BS602" s="199" t="e">
        <f>FMS_Ranking4[[#This Row],[Log Score Based on Normalized Reported Factors]]+FMS_Ranking4[[#This Row],[% NBS Score (Normalized)]]+(FMS_Ranking4[[#This Row],[Water Supply Score (Normalized)]]*10*$BB$5)+(FMS_Ranking4[[#This Row],[FMS_Type Score Weighted]])</f>
        <v>#REF!</v>
      </c>
      <c r="BT602" s="200" t="e">
        <f>_xlfn.RANK.EQ(FMS_Ranking4[[#This Row],[Log Total Score]],FMS_Ranking4[Log Total Score],0)</f>
        <v>#REF!</v>
      </c>
      <c r="BU602" s="200" t="e">
        <f>_xlfn.XLOOKUP(FMS_Ranking4[[#This Row],[FMS ID]],#REF!,#REF!)</f>
        <v>#REF!</v>
      </c>
      <c r="BV602" s="200">
        <f>FMS_Ranking4[[#This Row],[Region Number]]</f>
        <v>15</v>
      </c>
      <c r="BW602" s="200">
        <f>FMS_Ranking4[[#This Row],[Rank (with ArcSinh normalization of select criteria)]]-FMS_Ranking4[[#This Row],[Rank
(with linear
normalization)]]</f>
        <v>178</v>
      </c>
      <c r="BX602" s="200" t="e">
        <f>FMS_Ranking4[[#This Row],[Log Rank]]-FMS_Ranking4[[#This Row],[Rank
(with linear
normalization)]]</f>
        <v>#REF!</v>
      </c>
      <c r="BY602" s="200" t="str">
        <f>IF(FMS_Ranking4[[#This Row],[FMS Type]]="Flood Measurement and Warning",FMS_Ranking4[[#This Row],[Rank (with ArcSinh normalization of select criteria)]],"")</f>
        <v/>
      </c>
      <c r="BZ602" s="200">
        <f>IF(FMS_Ranking4[[#This Row],[FMS Type]]="Regulatory and Guidance",FMS_Ranking4[[#This Row],[Rank (with ArcSinh normalization of select criteria)]],"")</f>
        <v>593</v>
      </c>
      <c r="CA602" s="200" t="str">
        <f>IF(FMS_Ranking4[[#This Row],[FMS Type]]="Education and Outreach",FMS_Ranking4[[#This Row],[Rank (with ArcSinh normalization of select criteria)]],"")</f>
        <v/>
      </c>
      <c r="CB602" s="200" t="str">
        <f>IF(FMS_Ranking4[[#This Row],[FMS Type]]="Property Acquisition and Structural Elevation",FMS_Ranking4[[#This Row],[Rank (with ArcSinh normalization of select criteria)]],"")</f>
        <v/>
      </c>
      <c r="CC602" s="200" t="str">
        <f>IF(FMS_Ranking4[[#This Row],[FMS Type]]="Infrastructure Projects",FMS_Ranking4[[#This Row],[Rank (with ArcSinh normalization of select criteria)]],"")</f>
        <v/>
      </c>
      <c r="CD602" s="200" t="str">
        <f>IF(FMS_Ranking4[[#This Row],[FMS Type]]="Other",FMS_Ranking4[[#This Row],[Rank (with ArcSinh normalization of select criteria)]],"")</f>
        <v/>
      </c>
      <c r="CE602" s="201"/>
      <c r="CF602" s="206"/>
      <c r="CG602" s="206"/>
      <c r="CH602" s="206"/>
      <c r="CI602" s="206"/>
      <c r="CJ602" s="206"/>
      <c r="CK602" s="206"/>
      <c r="CL602" s="206"/>
      <c r="CM602" s="206"/>
      <c r="CN602" s="206"/>
      <c r="CO602" s="206"/>
      <c r="CP602" s="206"/>
      <c r="CQ602" s="206"/>
      <c r="CR602" s="206"/>
    </row>
    <row r="603" spans="2:96" ht="120" x14ac:dyDescent="0.25">
      <c r="B603" s="341" t="s">
        <v>3757</v>
      </c>
      <c r="C603" s="246">
        <f>_xlfn.XLOOKUP(FMS_Ranking4[[#This Row],[FMS ID]],FMS_Input[FMS_ID],FMS_Input[RFPG_NUM])</f>
        <v>13</v>
      </c>
      <c r="D603" s="309" t="str">
        <f>_xlfn.XLOOKUP(FMS_Ranking4[[#This Row],[FMS ID]],FMS_Input[FMS_ID],FMS_Input[FMS_NAME])</f>
        <v>Taft Flood Awareness Program</v>
      </c>
      <c r="E603" s="308" t="str">
        <f>_xlfn.XLOOKUP(FMS_Ranking4[[#This Row],[FMS ID]],FMS_Input[FMS_ID],FMS_Input[SPONSOR])</f>
        <v>13002882</v>
      </c>
      <c r="F603" s="309" t="str">
        <f>_xlfn.XLOOKUP(FMS_Ranking4[[#This Row],[FMS ID]],Sponsor[FMS_ID],Sponsor[SPONSOR NAME])</f>
        <v>Taft</v>
      </c>
      <c r="G603" s="309" t="str">
        <f>_xlfn.XLOOKUP(FMS_Ranking4[[#This Row],[FMS ID]],FMS_Input[FMS_ID],FMS_Input[FMS_DESCR])</f>
        <v>San Patricio County Hazard Mitigation Action Plan - City of Taft, Action #11: Educate community on the dangers of low water crossings through the installation of warning signs and promotion of “Turn Around, Don’t Drown” program</v>
      </c>
      <c r="H603" s="248" t="str">
        <f>_xlfn.XLOOKUP(FMS_Ranking4[[#This Row],[FMS ID]],FMS_Input[FMS_ID],FMS_Input[FMS_TYPE])</f>
        <v>Education and Outreach</v>
      </c>
      <c r="I603" s="249">
        <f>_xlfn.XLOOKUP(FMS_Ranking4[[#This Row],[FMS ID]],FMS_Input[FMS_ID],FMS_Input[NRNC_COST])</f>
        <v>25000</v>
      </c>
      <c r="J603" s="250">
        <f>_xlfn.XLOOKUP(FMS_Ranking4[[#This Row],[FMS ID]],FMS_Input[FMS_ID],FMS_Input[FMS_COST])</f>
        <v>25000</v>
      </c>
      <c r="K603" s="251" t="str">
        <f>_xlfn.XLOOKUP(FMS_Ranking4[[#This Row],[FMS ID]],FMS_Input[FMS_ID],FMS_Input[EMER_NEED])</f>
        <v>Yes</v>
      </c>
      <c r="L603" s="252">
        <f t="shared" si="9"/>
        <v>1</v>
      </c>
      <c r="M603" s="253">
        <f>_xlfn.XLOOKUP(FMS_Ranking4[[#This Row],[FMS ID]],FMS_Input[FMS_ID],FMS_Input[STRUCT_100])</f>
        <v>89</v>
      </c>
      <c r="N603" s="255">
        <f>(ASINH(FMS_Ranking4[[#This Row],[Structure at Risk Raw]]))*(10)/(ASINH(M$4))</f>
        <v>4.0736782156819142</v>
      </c>
      <c r="O603" s="256">
        <f>FMS_Ranking4[[#This Row],[Structures at risk, ArcSinh (0-10)]]*M$5*10</f>
        <v>4.0736782156819142</v>
      </c>
      <c r="P603" s="253">
        <f>_xlfn.XLOOKUP(FMS_Ranking4[[#This Row],[FMS ID]],FMS_Input[FMS_ID],FMS_Input[RES_STRUCT100])</f>
        <v>81</v>
      </c>
      <c r="Q603" s="257">
        <f>ASINH(FMS_Ranking4[[#This Row],[Res Structure Raw]])/Q$4*P$5*100</f>
        <v>0</v>
      </c>
      <c r="R603" s="253">
        <f>_xlfn.XLOOKUP(FMS_Ranking4[[#This Row],[FMS ID]],FMS_Input[FMS_ID],FMS_Input[POP100])</f>
        <v>180</v>
      </c>
      <c r="S603" s="255">
        <f>(ASINH(FMS_Ranking4[[#This Row],[Pop at Risk Raw]]))*(10)/(ASINH(R$4))</f>
        <v>4.0635256164862126</v>
      </c>
      <c r="T603" s="256">
        <f>FMS_Ranking4[[#This Row],[Population at risk, ArcSinh (0-10)]]*R$5*10</f>
        <v>4.0635256164862126</v>
      </c>
      <c r="U603" s="253">
        <f>_xlfn.XLOOKUP(FMS_Ranking4[[#This Row],[FMS ID]],FMS_Input[FMS_ID],FMS_Input[CRITFAC100])</f>
        <v>0</v>
      </c>
      <c r="V603" s="255">
        <f>(ASINH(FMS_Ranking4[[#This Row],[Critical Facilities Raw]]))*(10)/(ASINH(U$4))</f>
        <v>0</v>
      </c>
      <c r="W603" s="256">
        <f>FMS_Ranking4[[#This Row],[Critical facilities at risk, ArcSinh (0-10)]]*U$5*10</f>
        <v>0</v>
      </c>
      <c r="X603" s="253">
        <f>_xlfn.XLOOKUP(FMS_Ranking4[[#This Row],[FMS ID]],FMS_Input[FMS_ID],FMS_Input[LWC])</f>
        <v>0</v>
      </c>
      <c r="Y603" s="255">
        <f>(ASINH(FMS_Ranking4[[#This Row],[LWC Raw]]))*(10)/(ASINH(X$4))</f>
        <v>0</v>
      </c>
      <c r="Z603" s="256">
        <f>FMS_Ranking4[[#This Row],[LWC, ArcSInh (0-10)]]*X$5*10</f>
        <v>0</v>
      </c>
      <c r="AA603" s="253">
        <f>_xlfn.XLOOKUP(FMS_Ranking4[[#This Row],[FMS ID]],FMS_Input[FMS_ID],FMS_Input[ROADCLS])</f>
        <v>34</v>
      </c>
      <c r="AB603" s="255">
        <f>(ASINH(FMS_Ranking4[[#This Row],[Road Closures Raw]]))*(10)/(ASINH(AA$4))</f>
        <v>4.3944551403899474</v>
      </c>
      <c r="AC603" s="256">
        <f>FMS_Ranking4[[#This Row],[Road closures, ArcSinh (0-10)]]*AA$5*10</f>
        <v>2.1972275701949737</v>
      </c>
      <c r="AD603" s="253">
        <f>_xlfn.XLOOKUP(FMS_Ranking4[[#This Row],[FMS ID]],FMS_Input[FMS_ID],FMS_Input[ROAD_MILES100])</f>
        <v>2</v>
      </c>
      <c r="AE603" s="255">
        <f>(ASINH(FMS_Ranking4[[#This Row],[Road Miles Raw]]))*(10)/(ASINH(AD$4))</f>
        <v>1.5385182374234352</v>
      </c>
      <c r="AF603" s="256">
        <f>FMS_Ranking4[[#This Row],[Length of roads at risk, ArcSinh (0-10)]]*AD$5*10</f>
        <v>1.5385182374234352</v>
      </c>
      <c r="AG603" s="253">
        <f>_xlfn.XLOOKUP(FMS_Ranking4[[#This Row],[FMS ID]],FMS_Input[FMS_ID],FMS_Input[FARMACRE100])</f>
        <v>99.318626403808594</v>
      </c>
      <c r="AH603" s="255">
        <f>(ASINH(FMS_Ranking4[[#This Row],[Ag Land Raw]]))*(10)/(ASINH(AG$4))</f>
        <v>3.437264017834309</v>
      </c>
      <c r="AI603" s="260">
        <f>FMS_Ranking4[[#This Row],[Farm &amp; ranch land, ArcSinh (0-10)]]*AG$5*10</f>
        <v>1.7186320089171547</v>
      </c>
      <c r="AJ603" s="258">
        <f>_xlfn.XLOOKUP(FMS_Ranking4[[#This Row],[FMS ID]],FMS_Input[FMS_ID],FMS_Input[REDSTRUCT100])</f>
        <v>0</v>
      </c>
      <c r="AK603" s="253">
        <f>_xlfn.XLOOKUP(FMS_Ranking4[[#This Row],[FMS ID]],FMS_Input[FMS_ID],FMS_Input[REMSTRC100])</f>
        <v>0</v>
      </c>
      <c r="AL603" s="255">
        <f>(ASINH(FMS_Ranking4[[#This Row],[Structures Removed Raw]]))*(10)/(ASINH(AK$4))</f>
        <v>0</v>
      </c>
      <c r="AM603" s="262">
        <f>FMS_Ranking4[[#This Row],[Structures removed, ArcSinh (0-10)]]*AK$5*10</f>
        <v>0</v>
      </c>
      <c r="AN603" s="253">
        <f>_xlfn.XLOOKUP(FMS_Ranking4[[#This Row],[FMS ID]],FMS_Input[FMS_ID],FMS_Input[REMRESSTRC100])</f>
        <v>0</v>
      </c>
      <c r="AO603" s="261">
        <f>FMS_Ranking4[[#This Row],[ArcSinh Res struct removed 0-10]]*AN$5*10</f>
        <v>0</v>
      </c>
      <c r="AP603" s="260">
        <f>ASINH(FMS_Ranking4[[#This Row],[Residential Structures Removed Raw]])/AP$4*AN$5*100</f>
        <v>0</v>
      </c>
      <c r="AQ603" s="258">
        <f>(ASINH(FMS_Ranking4[[#This Row],[Residential Structures Removed Raw]]))*(10)/(ASINH(AN$4))</f>
        <v>0</v>
      </c>
      <c r="AR603" s="253">
        <f>_xlfn.XLOOKUP(FMS_Ranking4[[#This Row],[FMS ID]],FMS_Input[FMS_ID],FMS_Input[REMPOP100])</f>
        <v>0</v>
      </c>
      <c r="AS603" s="255">
        <f>(ASINH(FMS_Ranking4[[#This Row],[Removed Pop Raw]]))*(10)/(ASINH(AR$4))</f>
        <v>0</v>
      </c>
      <c r="AT603" s="262">
        <f>FMS_Ranking4[[#This Row],[Removed population, ArcSinh (0-10)]]*AR$5*10</f>
        <v>0</v>
      </c>
      <c r="AU603" s="264">
        <f>_xlfn.XLOOKUP(FMS_Ranking4[[#This Row],[FMS ID]],FMS_Input[FMS_ID],FMS_Input[REMCRITFAC100])</f>
        <v>0</v>
      </c>
      <c r="AV603" s="264">
        <f>_xlfn.XLOOKUP(FMS_Ranking4[[#This Row],[FMS ID]],FMS_Input[FMS_ID],FMS_Input[REMLWC100])</f>
        <v>0</v>
      </c>
      <c r="AW603" s="264">
        <f>_xlfn.XLOOKUP(FMS_Ranking4[[#This Row],[FMS ID]],FMS_Input[FMS_ID],FMS_Input[REMROADCLS])</f>
        <v>0</v>
      </c>
      <c r="AX603" s="264">
        <f>_xlfn.XLOOKUP(FMS_Ranking4[[#This Row],[FMS ID]],FMS_Input[FMS_ID],FMS_Input[REMFRMACRE100])</f>
        <v>0</v>
      </c>
      <c r="AY603" s="258">
        <f>_xlfn.XLOOKUP(FMS_Ranking4[[#This Row],[FMS ID]],FMS_Input[FMS_ID],FMS_Input[COSTSTRUCT])</f>
        <v>0</v>
      </c>
      <c r="AZ603" s="253">
        <f>_xlfn.XLOOKUP(FMS_Ranking4[[#This Row],[FMS ID]],FMS_Input[FMS_ID],FMS_Input[NATURE])</f>
        <v>0</v>
      </c>
      <c r="BA603" s="262">
        <f>(((FMS_Ranking4[[#This Row],[% NBS Raw]]/AZ$4)*100)*AZ$5)</f>
        <v>0</v>
      </c>
      <c r="BB603" s="251" t="str">
        <f>_xlfn.XLOOKUP(FMS_Ranking4[[#This Row],[FMS ID]],FMS_Input[FMS_ID],FMS_Input[WATER_SUP])</f>
        <v>No</v>
      </c>
      <c r="BC603" s="265">
        <f>IF(FMS_Ranking4[[#This Row],[Water Supply Raw]]="Yes",10,0)</f>
        <v>0</v>
      </c>
      <c r="BD603" s="266">
        <f>_xlfn.XLOOKUP(FMS_Ranking4[[#This Row],[FMS Type]],FMS_TYPE[FMS_Type],FMS_TYPE[Score])</f>
        <v>6</v>
      </c>
      <c r="BE603" s="267">
        <f>FMS_Ranking4[[#This Row],[FMS_Type Score]]*$BD$5*10</f>
        <v>1.5000000000000002</v>
      </c>
      <c r="BF60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3.3707347150021334E-2</v>
      </c>
      <c r="BG603" s="321">
        <f>_xlfn.RANK.EQ(BF603,$BF$8:$BF$870,0)+COUNTIF($BF$8:BF603,BF603)-1</f>
        <v>591</v>
      </c>
      <c r="BH603" s="294">
        <f>(((FMS_Ranking4[[#This Row],[Structures Removed Raw]]/AK$4)*100)*AK$5)+(((FMS_Ranking4[[#This Row],[Removed Pop Raw]]/AR$4)*100)*AR$5)</f>
        <v>0</v>
      </c>
      <c r="BI60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1.5337073471500215</v>
      </c>
      <c r="BJ603" s="251">
        <f>_xlfn.RANK.EQ(FMS_Ranking4[[#This Row],[Total Score 
(with linear
normalization)]],FMS_Ranking4[Total Score 
(with linear
normalization)],0)</f>
        <v>585</v>
      </c>
      <c r="BK603" s="251" t="e">
        <f>_xlfn.XLOOKUP(FMS_Ranking4[[#This Row],[FMS ID]],#REF!,#REF!)</f>
        <v>#REF!</v>
      </c>
      <c r="BL60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13.59158164870369</v>
      </c>
      <c r="BM603" s="324">
        <f>FMS_Ranking4[[#This Row],[ArcSinh Score Based on Normalized Reported Factors]]+FMS_Ranking4[[#This Row],[% NBS Score (Normalized)]]+(FMS_Ranking4[[#This Row],[Water Supply Score (Normalized)]]*10*$BB$5)+FMS_Ranking4[[#This Row],[FMS_Type Score Weighted]]</f>
        <v>15.09158164870369</v>
      </c>
      <c r="BN603" s="251">
        <f>_xlfn.RANK.EQ(FMS_Ranking4[[#This Row],[Total Score (with ArcSinh normalization of select criteria)]],FMS_Ranking4[Total Score (with ArcSinh normalization of select criteria)],0)</f>
        <v>596</v>
      </c>
      <c r="BO603" s="270" t="str">
        <f>_xlfn.XLOOKUP(FMS_Ranking4[[#This Row],[FMS ID]],FMS_Input[FMS_ID],FMS_Input[FMS_RANK_YEAR])</f>
        <v>2023 Amended Plan</v>
      </c>
      <c r="BP603" s="204">
        <f>_xlfn.XLOOKUP(FMS_Ranking4[[#This Row],[FMS ID]],Prev_Rank[FMS ID],Prev_Rank[Prev Rank])</f>
        <v>528</v>
      </c>
      <c r="BQ603" s="251" t="e">
        <f>_xlfn.XLOOKUP(FMS_Ranking4[[#This Row],[FMS ID]],#REF!,#REF!)</f>
        <v>#REF!</v>
      </c>
      <c r="BR603" s="199" t="e">
        <f>SUM(#REF!,#REF!,#REF!,#REF!,#REF!,#REF!,#REF!,#REF!,#REF!,FMS_Ranking4[[#This Row],[ArcSinh Res struct removed 0-10]],#REF!)</f>
        <v>#REF!</v>
      </c>
      <c r="BS603" s="199" t="e">
        <f>FMS_Ranking4[[#This Row],[Log Score Based on Normalized Reported Factors]]+FMS_Ranking4[[#This Row],[% NBS Score (Normalized)]]+(FMS_Ranking4[[#This Row],[Water Supply Score (Normalized)]]*10*$BB$5)+(FMS_Ranking4[[#This Row],[FMS_Type Score Weighted]])</f>
        <v>#REF!</v>
      </c>
      <c r="BT603" s="200" t="e">
        <f>_xlfn.RANK.EQ(FMS_Ranking4[[#This Row],[Log Total Score]],FMS_Ranking4[Log Total Score],0)</f>
        <v>#REF!</v>
      </c>
      <c r="BU603" s="200" t="e">
        <f>_xlfn.XLOOKUP(FMS_Ranking4[[#This Row],[FMS ID]],#REF!,#REF!)</f>
        <v>#REF!</v>
      </c>
      <c r="BV603" s="200">
        <f>FMS_Ranking4[[#This Row],[Region Number]]</f>
        <v>13</v>
      </c>
      <c r="BW603" s="200">
        <f>FMS_Ranking4[[#This Row],[Rank (with ArcSinh normalization of select criteria)]]-FMS_Ranking4[[#This Row],[Rank
(with linear
normalization)]]</f>
        <v>11</v>
      </c>
      <c r="BX603" s="200" t="e">
        <f>FMS_Ranking4[[#This Row],[Log Rank]]-FMS_Ranking4[[#This Row],[Rank
(with linear
normalization)]]</f>
        <v>#REF!</v>
      </c>
      <c r="BY603" s="200" t="str">
        <f>IF(FMS_Ranking4[[#This Row],[FMS Type]]="Flood Measurement and Warning",FMS_Ranking4[[#This Row],[Rank (with ArcSinh normalization of select criteria)]],"")</f>
        <v/>
      </c>
      <c r="BZ603" s="200" t="str">
        <f>IF(FMS_Ranking4[[#This Row],[FMS Type]]="Regulatory and Guidance",FMS_Ranking4[[#This Row],[Rank (with ArcSinh normalization of select criteria)]],"")</f>
        <v/>
      </c>
      <c r="CA603" s="200">
        <f>IF(FMS_Ranking4[[#This Row],[FMS Type]]="Education and Outreach",FMS_Ranking4[[#This Row],[Rank (with ArcSinh normalization of select criteria)]],"")</f>
        <v>596</v>
      </c>
      <c r="CB603" s="200" t="str">
        <f>IF(FMS_Ranking4[[#This Row],[FMS Type]]="Property Acquisition and Structural Elevation",FMS_Ranking4[[#This Row],[Rank (with ArcSinh normalization of select criteria)]],"")</f>
        <v/>
      </c>
      <c r="CC603" s="200" t="str">
        <f>IF(FMS_Ranking4[[#This Row],[FMS Type]]="Infrastructure Projects",FMS_Ranking4[[#This Row],[Rank (with ArcSinh normalization of select criteria)]],"")</f>
        <v/>
      </c>
      <c r="CD603" s="200" t="str">
        <f>IF(FMS_Ranking4[[#This Row],[FMS Type]]="Other",FMS_Ranking4[[#This Row],[Rank (with ArcSinh normalization of select criteria)]],"")</f>
        <v/>
      </c>
      <c r="CE603" s="201"/>
      <c r="CF603" s="206"/>
      <c r="CG603" s="206"/>
      <c r="CH603" s="206"/>
      <c r="CI603" s="206"/>
      <c r="CJ603" s="206"/>
      <c r="CK603" s="206"/>
      <c r="CL603" s="206"/>
      <c r="CM603" s="206"/>
      <c r="CN603" s="206"/>
      <c r="CO603" s="206"/>
      <c r="CP603" s="206"/>
      <c r="CQ603" s="206"/>
      <c r="CR603" s="206"/>
    </row>
    <row r="604" spans="2:96" ht="75" x14ac:dyDescent="0.25">
      <c r="B604" s="341" t="s">
        <v>3916</v>
      </c>
      <c r="C604" s="246">
        <f>_xlfn.XLOOKUP(FMS_Ranking4[[#This Row],[FMS ID]],FMS_Input[FMS_ID],FMS_Input[RFPG_NUM])</f>
        <v>15</v>
      </c>
      <c r="D604" s="309" t="str">
        <f>_xlfn.XLOOKUP(FMS_Ranking4[[#This Row],[FMS ID]],FMS_Input[FMS_ID],FMS_Input[FMS_NAME])</f>
        <v>Indian Lake Action #11</v>
      </c>
      <c r="E604" s="308" t="str">
        <f>_xlfn.XLOOKUP(FMS_Ranking4[[#This Row],[FMS ID]],FMS_Input[FMS_ID],FMS_Input[SPONSOR])</f>
        <v>15000046</v>
      </c>
      <c r="F604" s="309" t="str">
        <f>_xlfn.XLOOKUP(FMS_Ranking4[[#This Row],[FMS ID]],Sponsor[FMS_ID],Sponsor[SPONSOR NAME])</f>
        <v>Indian Lake</v>
      </c>
      <c r="G604" s="309" t="str">
        <f>_xlfn.XLOOKUP(FMS_Ranking4[[#This Row],[FMS ID]],FMS_Input[FMS_ID],FMS_Input[FMS_DESCR])</f>
        <v>Adopt revised floodplain ordinance to include model ordinance language and higher NFIP standards such as freeboard</v>
      </c>
      <c r="H604" s="248" t="str">
        <f>_xlfn.XLOOKUP(FMS_Ranking4[[#This Row],[FMS ID]],FMS_Input[FMS_ID],FMS_Input[FMS_TYPE])</f>
        <v>Regulatory and Guidance</v>
      </c>
      <c r="I604" s="249">
        <f>_xlfn.XLOOKUP(FMS_Ranking4[[#This Row],[FMS ID]],FMS_Input[FMS_ID],FMS_Input[NRNC_COST])</f>
        <v>1000</v>
      </c>
      <c r="J604" s="250">
        <f>_xlfn.XLOOKUP(FMS_Ranking4[[#This Row],[FMS ID]],FMS_Input[FMS_ID],FMS_Input[FMS_COST])</f>
        <v>500</v>
      </c>
      <c r="K604" s="251" t="str">
        <f>_xlfn.XLOOKUP(FMS_Ranking4[[#This Row],[FMS ID]],FMS_Input[FMS_ID],FMS_Input[EMER_NEED])</f>
        <v>Yes</v>
      </c>
      <c r="L604" s="252">
        <f t="shared" si="9"/>
        <v>1</v>
      </c>
      <c r="M604" s="253">
        <f>_xlfn.XLOOKUP(FMS_Ranking4[[#This Row],[FMS ID]],FMS_Input[FMS_ID],FMS_Input[STRUCT_100])</f>
        <v>238</v>
      </c>
      <c r="N604" s="255">
        <f>(ASINH(FMS_Ranking4[[#This Row],[Structure at Risk Raw]]))*(10)/(ASINH(M$4))</f>
        <v>4.8469398940530244</v>
      </c>
      <c r="O604" s="256">
        <f>FMS_Ranking4[[#This Row],[Structures at risk, ArcSinh (0-10)]]*M$5*10</f>
        <v>4.8469398940530244</v>
      </c>
      <c r="P604" s="253">
        <f>_xlfn.XLOOKUP(FMS_Ranking4[[#This Row],[FMS ID]],FMS_Input[FMS_ID],FMS_Input[RES_STRUCT100])</f>
        <v>227</v>
      </c>
      <c r="Q604" s="257">
        <f>ASINH(FMS_Ranking4[[#This Row],[Res Structure Raw]])/Q$4*P$5*100</f>
        <v>0</v>
      </c>
      <c r="R604" s="253">
        <f>_xlfn.XLOOKUP(FMS_Ranking4[[#This Row],[FMS ID]],FMS_Input[FMS_ID],FMS_Input[POP100])</f>
        <v>599</v>
      </c>
      <c r="S604" s="259">
        <f>(ASINH(FMS_Ranking4[[#This Row],[Pop at Risk Raw]]))*(10)/(ASINH(R$4))</f>
        <v>4.8935417334314204</v>
      </c>
      <c r="T604" s="256">
        <f>FMS_Ranking4[[#This Row],[Population at risk, ArcSinh (0-10)]]*R$5*10</f>
        <v>4.8935417334314204</v>
      </c>
      <c r="U604" s="253">
        <f>_xlfn.XLOOKUP(FMS_Ranking4[[#This Row],[FMS ID]],FMS_Input[FMS_ID],FMS_Input[CRITFAC100])</f>
        <v>0</v>
      </c>
      <c r="V604" s="259">
        <f>(ASINH(FMS_Ranking4[[#This Row],[Critical Facilities Raw]]))*(10)/(ASINH(U$4))</f>
        <v>0</v>
      </c>
      <c r="W604" s="256">
        <f>FMS_Ranking4[[#This Row],[Critical facilities at risk, ArcSinh (0-10)]]*U$5*10</f>
        <v>0</v>
      </c>
      <c r="X604" s="253">
        <f>_xlfn.XLOOKUP(FMS_Ranking4[[#This Row],[FMS ID]],FMS_Input[FMS_ID],FMS_Input[LWC])</f>
        <v>0</v>
      </c>
      <c r="Y604" s="259">
        <f>(ASINH(FMS_Ranking4[[#This Row],[LWC Raw]]))*(10)/(ASINH(X$4))</f>
        <v>0</v>
      </c>
      <c r="Z604" s="256">
        <f>FMS_Ranking4[[#This Row],[LWC, ArcSInh (0-10)]]*X$5*10</f>
        <v>0</v>
      </c>
      <c r="AA604" s="253">
        <f>_xlfn.XLOOKUP(FMS_Ranking4[[#This Row],[FMS ID]],FMS_Input[FMS_ID],FMS_Input[ROADCLS])</f>
        <v>0</v>
      </c>
      <c r="AB604" s="255">
        <f>(ASINH(FMS_Ranking4[[#This Row],[Road Closures Raw]]))*(10)/(ASINH(AA$4))</f>
        <v>0</v>
      </c>
      <c r="AC604" s="256">
        <f>FMS_Ranking4[[#This Row],[Road closures, ArcSinh (0-10)]]*AA$5*10</f>
        <v>0</v>
      </c>
      <c r="AD604" s="253">
        <f>_xlfn.XLOOKUP(FMS_Ranking4[[#This Row],[FMS ID]],FMS_Input[FMS_ID],FMS_Input[ROAD_MILES100])</f>
        <v>3</v>
      </c>
      <c r="AE604" s="259">
        <f>(ASINH(FMS_Ranking4[[#This Row],[Road Miles Raw]]))*(10)/(ASINH(AD$4))</f>
        <v>1.937963626835977</v>
      </c>
      <c r="AF604" s="256">
        <f>FMS_Ranking4[[#This Row],[Length of roads at risk, ArcSinh (0-10)]]*AD$5*10</f>
        <v>1.937963626835977</v>
      </c>
      <c r="AG604" s="253">
        <f>_xlfn.XLOOKUP(FMS_Ranking4[[#This Row],[FMS ID]],FMS_Input[FMS_ID],FMS_Input[FARMACRE100])</f>
        <v>26.746669769287109</v>
      </c>
      <c r="AH604" s="255">
        <f>(ASINH(FMS_Ranking4[[#This Row],[Ag Land Raw]]))*(10)/(ASINH(AG$4))</f>
        <v>2.5852734671870521</v>
      </c>
      <c r="AI604" s="260">
        <f>FMS_Ranking4[[#This Row],[Farm &amp; ranch land, ArcSinh (0-10)]]*AG$5*10</f>
        <v>1.292636733593526</v>
      </c>
      <c r="AJ604" s="258">
        <f>_xlfn.XLOOKUP(FMS_Ranking4[[#This Row],[FMS ID]],FMS_Input[FMS_ID],FMS_Input[REDSTRUCT100])</f>
        <v>0</v>
      </c>
      <c r="AK604" s="253">
        <f>_xlfn.XLOOKUP(FMS_Ranking4[[#This Row],[FMS ID]],FMS_Input[FMS_ID],FMS_Input[REMSTRC100])</f>
        <v>0</v>
      </c>
      <c r="AL604" s="259">
        <f>(ASINH(FMS_Ranking4[[#This Row],[Structures Removed Raw]]))*(10)/(ASINH(AK$4))</f>
        <v>0</v>
      </c>
      <c r="AM604" s="262">
        <f>FMS_Ranking4[[#This Row],[Structures removed, ArcSinh (0-10)]]*AK$5*10</f>
        <v>0</v>
      </c>
      <c r="AN604" s="253">
        <f>_xlfn.XLOOKUP(FMS_Ranking4[[#This Row],[FMS ID]],FMS_Input[FMS_ID],FMS_Input[REMRESSTRC100])</f>
        <v>0</v>
      </c>
      <c r="AO604" s="261">
        <f>FMS_Ranking4[[#This Row],[ArcSinh Res struct removed 0-10]]*AN$5*10</f>
        <v>0</v>
      </c>
      <c r="AP604" s="260">
        <f>ASINH(FMS_Ranking4[[#This Row],[Residential Structures Removed Raw]])/AP$4*AN$5*100</f>
        <v>0</v>
      </c>
      <c r="AQ604" s="254">
        <f>(ASINH(FMS_Ranking4[[#This Row],[Residential Structures Removed Raw]]))*(10)/(ASINH(AN$4))</f>
        <v>0</v>
      </c>
      <c r="AR604" s="253">
        <f>_xlfn.XLOOKUP(FMS_Ranking4[[#This Row],[FMS ID]],FMS_Input[FMS_ID],FMS_Input[REMPOP100])</f>
        <v>0</v>
      </c>
      <c r="AS604" s="259">
        <f>(ASINH(FMS_Ranking4[[#This Row],[Removed Pop Raw]]))*(10)/(ASINH(AR$4))</f>
        <v>0</v>
      </c>
      <c r="AT604" s="262">
        <f>FMS_Ranking4[[#This Row],[Removed population, ArcSinh (0-10)]]*AR$5*10</f>
        <v>0</v>
      </c>
      <c r="AU604" s="264">
        <f>_xlfn.XLOOKUP(FMS_Ranking4[[#This Row],[FMS ID]],FMS_Input[FMS_ID],FMS_Input[REMCRITFAC100])</f>
        <v>0</v>
      </c>
      <c r="AV604" s="264">
        <f>_xlfn.XLOOKUP(FMS_Ranking4[[#This Row],[FMS ID]],FMS_Input[FMS_ID],FMS_Input[REMLWC100])</f>
        <v>0</v>
      </c>
      <c r="AW604" s="264">
        <f>_xlfn.XLOOKUP(FMS_Ranking4[[#This Row],[FMS ID]],FMS_Input[FMS_ID],FMS_Input[REMROADCLS])</f>
        <v>0</v>
      </c>
      <c r="AX604" s="264">
        <f>_xlfn.XLOOKUP(FMS_Ranking4[[#This Row],[FMS ID]],FMS_Input[FMS_ID],FMS_Input[REMFRMACRE100])</f>
        <v>0</v>
      </c>
      <c r="AY604" s="258">
        <f>_xlfn.XLOOKUP(FMS_Ranking4[[#This Row],[FMS ID]],FMS_Input[FMS_ID],FMS_Input[COSTSTRUCT])</f>
        <v>0</v>
      </c>
      <c r="AZ604" s="253">
        <f>_xlfn.XLOOKUP(FMS_Ranking4[[#This Row],[FMS ID]],FMS_Input[FMS_ID],FMS_Input[NATURE])</f>
        <v>0</v>
      </c>
      <c r="BA604" s="262">
        <f>(((FMS_Ranking4[[#This Row],[% NBS Raw]]/AZ$4)*100)*AZ$5)</f>
        <v>0</v>
      </c>
      <c r="BB604" s="251" t="str">
        <f>_xlfn.XLOOKUP(FMS_Ranking4[[#This Row],[FMS ID]],FMS_Input[FMS_ID],FMS_Input[WATER_SUP])</f>
        <v>No</v>
      </c>
      <c r="BC604" s="265">
        <f>IF(FMS_Ranking4[[#This Row],[Water Supply Raw]]="Yes",10,0)</f>
        <v>0</v>
      </c>
      <c r="BD604" s="266">
        <f>_xlfn.XLOOKUP(FMS_Ranking4[[#This Row],[FMS Type]],FMS_TYPE[FMS_Type],FMS_TYPE[Score])</f>
        <v>8</v>
      </c>
      <c r="BE604" s="267">
        <f>FMS_Ranking4[[#This Row],[FMS_Type Score]]*$BD$5*10</f>
        <v>2</v>
      </c>
      <c r="BF60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2.5466626110841689E-2</v>
      </c>
      <c r="BG604" s="271">
        <f>_xlfn.RANK.EQ(BF604,$BF$8:$BF$870,0)+COUNTIF($BF$8:BF604,BF604)-1</f>
        <v>617</v>
      </c>
      <c r="BH604" s="268">
        <f>(((FMS_Ranking4[[#This Row],[Structures Removed Raw]]/AK$4)*100)*AK$5)+(((FMS_Ranking4[[#This Row],[Removed Pop Raw]]/AR$4)*100)*AR$5)</f>
        <v>0</v>
      </c>
      <c r="BI60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2.0254666261108416</v>
      </c>
      <c r="BJ604" s="205">
        <f>_xlfn.RANK.EQ(FMS_Ranking4[[#This Row],[Total Score 
(with linear
normalization)]],FMS_Ranking4[Total Score 
(with linear
normalization)],0)</f>
        <v>406</v>
      </c>
      <c r="BK604" s="205" t="e">
        <f>_xlfn.XLOOKUP(FMS_Ranking4[[#This Row],[FMS ID]],#REF!,#REF!)</f>
        <v>#REF!</v>
      </c>
      <c r="BL60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12.971081987913948</v>
      </c>
      <c r="BM604" s="272">
        <f>FMS_Ranking4[[#This Row],[ArcSinh Score Based on Normalized Reported Factors]]+FMS_Ranking4[[#This Row],[% NBS Score (Normalized)]]+(FMS_Ranking4[[#This Row],[Water Supply Score (Normalized)]]*10*$BB$5)+FMS_Ranking4[[#This Row],[FMS_Type Score Weighted]]</f>
        <v>14.971081987913948</v>
      </c>
      <c r="BN604" s="205">
        <f>_xlfn.RANK.EQ(FMS_Ranking4[[#This Row],[Total Score (with ArcSinh normalization of select criteria)]],FMS_Ranking4[Total Score (with ArcSinh normalization of select criteria)],0)</f>
        <v>597</v>
      </c>
      <c r="BO604" s="270" t="str">
        <f>_xlfn.XLOOKUP(FMS_Ranking4[[#This Row],[FMS ID]],FMS_Input[FMS_ID],FMS_Input[FMS_RANK_YEAR])</f>
        <v>2023 Amended Plan</v>
      </c>
      <c r="BP604" s="204">
        <f>_xlfn.XLOOKUP(FMS_Ranking4[[#This Row],[FMS ID]],Prev_Rank[FMS ID],Prev_Rank[Prev Rank])</f>
        <v>529</v>
      </c>
      <c r="BQ604" s="205" t="e">
        <f>_xlfn.XLOOKUP(FMS_Ranking4[[#This Row],[FMS ID]],#REF!,#REF!)</f>
        <v>#REF!</v>
      </c>
      <c r="BR604" s="199" t="e">
        <f>SUM(#REF!,#REF!,#REF!,#REF!,#REF!,#REF!,#REF!,#REF!,#REF!,FMS_Ranking4[[#This Row],[ArcSinh Res struct removed 0-10]],#REF!)</f>
        <v>#REF!</v>
      </c>
      <c r="BS604" s="199" t="e">
        <f>FMS_Ranking4[[#This Row],[Log Score Based on Normalized Reported Factors]]+FMS_Ranking4[[#This Row],[% NBS Score (Normalized)]]+(FMS_Ranking4[[#This Row],[Water Supply Score (Normalized)]]*10*$BB$5)+(FMS_Ranking4[[#This Row],[FMS_Type Score Weighted]])</f>
        <v>#REF!</v>
      </c>
      <c r="BT604" s="200" t="e">
        <f>_xlfn.RANK.EQ(FMS_Ranking4[[#This Row],[Log Total Score]],FMS_Ranking4[Log Total Score],0)</f>
        <v>#REF!</v>
      </c>
      <c r="BU604" s="200" t="e">
        <f>_xlfn.XLOOKUP(FMS_Ranking4[[#This Row],[FMS ID]],#REF!,#REF!)</f>
        <v>#REF!</v>
      </c>
      <c r="BV604" s="200">
        <f>FMS_Ranking4[[#This Row],[Region Number]]</f>
        <v>15</v>
      </c>
      <c r="BW604" s="200">
        <f>FMS_Ranking4[[#This Row],[Rank (with ArcSinh normalization of select criteria)]]-FMS_Ranking4[[#This Row],[Rank
(with linear
normalization)]]</f>
        <v>191</v>
      </c>
      <c r="BX604" s="200" t="e">
        <f>FMS_Ranking4[[#This Row],[Log Rank]]-FMS_Ranking4[[#This Row],[Rank
(with linear
normalization)]]</f>
        <v>#REF!</v>
      </c>
      <c r="BY604" s="200" t="str">
        <f>IF(FMS_Ranking4[[#This Row],[FMS Type]]="Flood Measurement and Warning",FMS_Ranking4[[#This Row],[Rank (with ArcSinh normalization of select criteria)]],"")</f>
        <v/>
      </c>
      <c r="BZ604" s="200">
        <f>IF(FMS_Ranking4[[#This Row],[FMS Type]]="Regulatory and Guidance",FMS_Ranking4[[#This Row],[Rank (with ArcSinh normalization of select criteria)]],"")</f>
        <v>597</v>
      </c>
      <c r="CA604" s="200" t="str">
        <f>IF(FMS_Ranking4[[#This Row],[FMS Type]]="Education and Outreach",FMS_Ranking4[[#This Row],[Rank (with ArcSinh normalization of select criteria)]],"")</f>
        <v/>
      </c>
      <c r="CB604" s="200" t="str">
        <f>IF(FMS_Ranking4[[#This Row],[FMS Type]]="Property Acquisition and Structural Elevation",FMS_Ranking4[[#This Row],[Rank (with ArcSinh normalization of select criteria)]],"")</f>
        <v/>
      </c>
      <c r="CC604" s="200" t="str">
        <f>IF(FMS_Ranking4[[#This Row],[FMS Type]]="Infrastructure Projects",FMS_Ranking4[[#This Row],[Rank (with ArcSinh normalization of select criteria)]],"")</f>
        <v/>
      </c>
      <c r="CD604" s="200" t="str">
        <f>IF(FMS_Ranking4[[#This Row],[FMS Type]]="Other",FMS_Ranking4[[#This Row],[Rank (with ArcSinh normalization of select criteria)]],"")</f>
        <v/>
      </c>
      <c r="CE604" s="201"/>
      <c r="CF604" s="206"/>
      <c r="CG604" s="206"/>
      <c r="CH604" s="206"/>
      <c r="CI604" s="206"/>
      <c r="CJ604" s="206"/>
      <c r="CK604" s="206"/>
      <c r="CL604" s="206"/>
      <c r="CM604" s="206"/>
      <c r="CN604" s="206"/>
      <c r="CO604" s="206"/>
      <c r="CP604" s="206"/>
      <c r="CQ604" s="206"/>
      <c r="CR604" s="206"/>
    </row>
    <row r="605" spans="2:96" ht="30" x14ac:dyDescent="0.25">
      <c r="B605" s="341" t="s">
        <v>910</v>
      </c>
      <c r="C605" s="246">
        <f>_xlfn.XLOOKUP(FMS_Ranking4[[#This Row],[FMS ID]],FMS_Input[FMS_ID],FMS_Input[RFPG_NUM])</f>
        <v>9</v>
      </c>
      <c r="D605" s="309" t="str">
        <f>_xlfn.XLOOKUP(FMS_Ranking4[[#This Row],[FMS ID]],FMS_Input[FMS_ID],FMS_Input[FMS_NAME])</f>
        <v>Crockett County DCM</v>
      </c>
      <c r="E605" s="308" t="str">
        <f>_xlfn.XLOOKUP(FMS_Ranking4[[#This Row],[FMS ID]],FMS_Input[FMS_ID],FMS_Input[SPONSOR])</f>
        <v>00000052</v>
      </c>
      <c r="F605" s="309" t="str">
        <f>_xlfn.XLOOKUP(FMS_Ranking4[[#This Row],[FMS ID]],Sponsor[FMS_ID],Sponsor[SPONSOR NAME])</f>
        <v>Crockett</v>
      </c>
      <c r="G605" s="309" t="str">
        <f>_xlfn.XLOOKUP(FMS_Ranking4[[#This Row],[FMS ID]],FMS_Input[FMS_ID],FMS_Input[FMS_DESCR])</f>
        <v>Outreach Program: Discuss Drainage Criteria Manual</v>
      </c>
      <c r="H605" s="248" t="str">
        <f>_xlfn.XLOOKUP(FMS_Ranking4[[#This Row],[FMS ID]],FMS_Input[FMS_ID],FMS_Input[FMS_TYPE])</f>
        <v>Other</v>
      </c>
      <c r="I605" s="249">
        <f>_xlfn.XLOOKUP(FMS_Ranking4[[#This Row],[FMS ID]],FMS_Input[FMS_ID],FMS_Input[NRNC_COST])</f>
        <v>75000</v>
      </c>
      <c r="J605" s="250">
        <f>_xlfn.XLOOKUP(FMS_Ranking4[[#This Row],[FMS ID]],FMS_Input[FMS_ID],FMS_Input[FMS_COST])</f>
        <v>100000</v>
      </c>
      <c r="K605" s="251" t="str">
        <f>_xlfn.XLOOKUP(FMS_Ranking4[[#This Row],[FMS ID]],FMS_Input[FMS_ID],FMS_Input[EMER_NEED])</f>
        <v>No</v>
      </c>
      <c r="L605" s="252">
        <f t="shared" si="9"/>
        <v>0</v>
      </c>
      <c r="M605" s="253">
        <f>_xlfn.XLOOKUP(FMS_Ranking4[[#This Row],[FMS ID]],FMS_Input[FMS_ID],FMS_Input[STRUCT_100])</f>
        <v>9</v>
      </c>
      <c r="N605" s="255">
        <f>(ASINH(FMS_Ranking4[[#This Row],[Structure at Risk Raw]]))*(10)/(ASINH(M$4))</f>
        <v>2.2746777880562381</v>
      </c>
      <c r="O605" s="256">
        <f>FMS_Ranking4[[#This Row],[Structures at risk, ArcSinh (0-10)]]*M$5*10</f>
        <v>2.2746777880562381</v>
      </c>
      <c r="P605" s="253">
        <f>_xlfn.XLOOKUP(FMS_Ranking4[[#This Row],[FMS ID]],FMS_Input[FMS_ID],FMS_Input[RES_STRUCT100])</f>
        <v>9</v>
      </c>
      <c r="Q605" s="257">
        <f>ASINH(FMS_Ranking4[[#This Row],[Res Structure Raw]])/Q$4*P$5*100</f>
        <v>0</v>
      </c>
      <c r="R605" s="253">
        <f>_xlfn.XLOOKUP(FMS_Ranking4[[#This Row],[FMS ID]],FMS_Input[FMS_ID],FMS_Input[POP100])</f>
        <v>99</v>
      </c>
      <c r="S605" s="259">
        <f>(ASINH(FMS_Ranking4[[#This Row],[Pop at Risk Raw]]))*(10)/(ASINH(R$4))</f>
        <v>3.6508162119631926</v>
      </c>
      <c r="T605" s="256">
        <f>FMS_Ranking4[[#This Row],[Population at risk, ArcSinh (0-10)]]*R$5*10</f>
        <v>3.6508162119631926</v>
      </c>
      <c r="U605" s="253">
        <f>_xlfn.XLOOKUP(FMS_Ranking4[[#This Row],[FMS ID]],FMS_Input[FMS_ID],FMS_Input[CRITFAC100])</f>
        <v>0</v>
      </c>
      <c r="V605" s="259">
        <f>(ASINH(FMS_Ranking4[[#This Row],[Critical Facilities Raw]]))*(10)/(ASINH(U$4))</f>
        <v>0</v>
      </c>
      <c r="W605" s="256">
        <f>FMS_Ranking4[[#This Row],[Critical facilities at risk, ArcSinh (0-10)]]*U$5*10</f>
        <v>0</v>
      </c>
      <c r="X605" s="253">
        <f>_xlfn.XLOOKUP(FMS_Ranking4[[#This Row],[FMS ID]],FMS_Input[FMS_ID],FMS_Input[LWC])</f>
        <v>0</v>
      </c>
      <c r="Y605" s="259">
        <f>(ASINH(FMS_Ranking4[[#This Row],[LWC Raw]]))*(10)/(ASINH(X$4))</f>
        <v>0</v>
      </c>
      <c r="Z605" s="256">
        <f>FMS_Ranking4[[#This Row],[LWC, ArcSInh (0-10)]]*X$5*10</f>
        <v>0</v>
      </c>
      <c r="AA605" s="253">
        <f>_xlfn.XLOOKUP(FMS_Ranking4[[#This Row],[FMS ID]],FMS_Input[FMS_ID],FMS_Input[ROADCLS])</f>
        <v>0</v>
      </c>
      <c r="AB605" s="255">
        <f>(ASINH(FMS_Ranking4[[#This Row],[Road Closures Raw]]))*(10)/(ASINH(AA$4))</f>
        <v>0</v>
      </c>
      <c r="AC605" s="256">
        <f>FMS_Ranking4[[#This Row],[Road closures, ArcSinh (0-10)]]*AA$5*10</f>
        <v>0</v>
      </c>
      <c r="AD605" s="253">
        <f>_xlfn.XLOOKUP(FMS_Ranking4[[#This Row],[FMS ID]],FMS_Input[FMS_ID],FMS_Input[ROAD_MILES100])</f>
        <v>1</v>
      </c>
      <c r="AE605" s="259">
        <f>(ASINH(FMS_Ranking4[[#This Row],[Road Miles Raw]]))*(10)/(ASINH(AD$4))</f>
        <v>0.9393017565219649</v>
      </c>
      <c r="AF605" s="256">
        <f>FMS_Ranking4[[#This Row],[Length of roads at risk, ArcSinh (0-10)]]*AD$5*10</f>
        <v>0.93930175652196501</v>
      </c>
      <c r="AG605" s="253">
        <f>_xlfn.XLOOKUP(FMS_Ranking4[[#This Row],[FMS ID]],FMS_Input[FMS_ID],FMS_Input[FARMACRE100])</f>
        <v>5.3486952781677246</v>
      </c>
      <c r="AH605" s="255">
        <f>(ASINH(FMS_Ranking4[[#This Row],[Ag Land Raw]]))*(10)/(ASINH(AG$4))</f>
        <v>1.5451114474703855</v>
      </c>
      <c r="AI605" s="260">
        <f>FMS_Ranking4[[#This Row],[Farm &amp; ranch land, ArcSinh (0-10)]]*AG$5*10</f>
        <v>0.77255572373519277</v>
      </c>
      <c r="AJ605" s="258">
        <f>_xlfn.XLOOKUP(FMS_Ranking4[[#This Row],[FMS ID]],FMS_Input[FMS_ID],FMS_Input[REDSTRUCT100])</f>
        <v>3</v>
      </c>
      <c r="AK605" s="253">
        <f>_xlfn.XLOOKUP(FMS_Ranking4[[#This Row],[FMS ID]],FMS_Input[FMS_ID],FMS_Input[REMSTRC100])</f>
        <v>3</v>
      </c>
      <c r="AL605" s="259">
        <f>(ASINH(FMS_Ranking4[[#This Row],[Structures Removed Raw]]))*(10)/(ASINH(AK$4))</f>
        <v>2.0704310956893948</v>
      </c>
      <c r="AM605" s="262">
        <f>FMS_Ranking4[[#This Row],[Structures removed, ArcSinh (0-10)]]*AK$5*10</f>
        <v>2.0704310956893948</v>
      </c>
      <c r="AN605" s="253">
        <f>_xlfn.XLOOKUP(FMS_Ranking4[[#This Row],[FMS ID]],FMS_Input[FMS_ID],FMS_Input[REMRESSTRC100])</f>
        <v>2</v>
      </c>
      <c r="AO605" s="261">
        <f>FMS_Ranking4[[#This Row],[ArcSinh Res struct removed 0-10]]*AN$5*10</f>
        <v>0.84673041454896381</v>
      </c>
      <c r="AP605" s="260">
        <f>ASINH(FMS_Ranking4[[#This Row],[Residential Structures Removed Raw]])/AP$4*AN$5*100</f>
        <v>0.84673041454896381</v>
      </c>
      <c r="AQ605" s="254">
        <f>(ASINH(FMS_Ranking4[[#This Row],[Residential Structures Removed Raw]]))*(10)/(ASINH(AN$4))</f>
        <v>1.6934608290979274</v>
      </c>
      <c r="AR605" s="253">
        <f>_xlfn.XLOOKUP(FMS_Ranking4[[#This Row],[FMS ID]],FMS_Input[FMS_ID],FMS_Input[REMPOP100])</f>
        <v>24</v>
      </c>
      <c r="AS605" s="259">
        <f>(ASINH(FMS_Ranking4[[#This Row],[Removed Pop Raw]]))*(10)/(ASINH(AR$4))</f>
        <v>3.8004758239244456</v>
      </c>
      <c r="AT605" s="262">
        <f>FMS_Ranking4[[#This Row],[Removed population, ArcSinh (0-10)]]*AR$5*10</f>
        <v>3.8004758239244456</v>
      </c>
      <c r="AU605" s="264">
        <f>_xlfn.XLOOKUP(FMS_Ranking4[[#This Row],[FMS ID]],FMS_Input[FMS_ID],FMS_Input[REMCRITFAC100])</f>
        <v>0</v>
      </c>
      <c r="AV605" s="264">
        <f>_xlfn.XLOOKUP(FMS_Ranking4[[#This Row],[FMS ID]],FMS_Input[FMS_ID],FMS_Input[REMLWC100])</f>
        <v>0</v>
      </c>
      <c r="AW605" s="264">
        <f>_xlfn.XLOOKUP(FMS_Ranking4[[#This Row],[FMS ID]],FMS_Input[FMS_ID],FMS_Input[REMROADCLS])</f>
        <v>0</v>
      </c>
      <c r="AX605" s="264">
        <f>_xlfn.XLOOKUP(FMS_Ranking4[[#This Row],[FMS ID]],FMS_Input[FMS_ID],FMS_Input[REMFRMACRE100])</f>
        <v>1.3371738195419309</v>
      </c>
      <c r="AY605" s="258">
        <f>_xlfn.XLOOKUP(FMS_Ranking4[[#This Row],[FMS ID]],FMS_Input[FMS_ID],FMS_Input[COSTSTRUCT])</f>
        <v>25000</v>
      </c>
      <c r="AZ605" s="253">
        <f>_xlfn.XLOOKUP(FMS_Ranking4[[#This Row],[FMS ID]],FMS_Input[FMS_ID],FMS_Input[NATURE])</f>
        <v>0</v>
      </c>
      <c r="BA605" s="262">
        <f>(((FMS_Ranking4[[#This Row],[% NBS Raw]]/AZ$4)*100)*AZ$5)</f>
        <v>0</v>
      </c>
      <c r="BB605" s="251" t="str">
        <f>_xlfn.XLOOKUP(FMS_Ranking4[[#This Row],[FMS ID]],FMS_Input[FMS_ID],FMS_Input[WATER_SUP])</f>
        <v>No</v>
      </c>
      <c r="BC605" s="265">
        <f>IF(FMS_Ranking4[[#This Row],[Water Supply Raw]]="Yes",10,0)</f>
        <v>0</v>
      </c>
      <c r="BD605" s="266">
        <f>_xlfn.XLOOKUP(FMS_Ranking4[[#This Row],[FMS Type]],FMS_TYPE[FMS_Type],FMS_TYPE[Score])</f>
        <v>2</v>
      </c>
      <c r="BE605" s="267">
        <f>FMS_Ranking4[[#This Row],[FMS_Type Score]]*$BD$5*10</f>
        <v>0.5</v>
      </c>
      <c r="BF60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3.2450605579194417E-3</v>
      </c>
      <c r="BG605" s="271">
        <f>_xlfn.RANK.EQ(BF605,$BF$8:$BF$870,0)+COUNTIF($BF$8:BF605,BF605)-1</f>
        <v>708</v>
      </c>
      <c r="BH605" s="268">
        <f>(((FMS_Ranking4[[#This Row],[Structures Removed Raw]]/AK$4)*100)*AK$5)+(((FMS_Ranking4[[#This Row],[Removed Pop Raw]]/AR$4)*100)*AR$5)</f>
        <v>2.7270560408665649E-2</v>
      </c>
      <c r="BI60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0.53051562096658511</v>
      </c>
      <c r="BJ605" s="205">
        <f>_xlfn.RANK.EQ(FMS_Ranking4[[#This Row],[Total Score 
(with linear
normalization)]],FMS_Ranking4[Total Score 
(with linear
normalization)],0)</f>
        <v>831</v>
      </c>
      <c r="BK605" s="205" t="e">
        <f>_xlfn.XLOOKUP(FMS_Ranking4[[#This Row],[FMS ID]],#REF!,#REF!)</f>
        <v>#REF!</v>
      </c>
      <c r="BL60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14.354988814439393</v>
      </c>
      <c r="BM605" s="272">
        <f>FMS_Ranking4[[#This Row],[ArcSinh Score Based on Normalized Reported Factors]]+FMS_Ranking4[[#This Row],[% NBS Score (Normalized)]]+(FMS_Ranking4[[#This Row],[Water Supply Score (Normalized)]]*10*$BB$5)+FMS_Ranking4[[#This Row],[FMS_Type Score Weighted]]</f>
        <v>14.854988814439393</v>
      </c>
      <c r="BN605" s="205">
        <f>_xlfn.RANK.EQ(FMS_Ranking4[[#This Row],[Total Score (with ArcSinh normalization of select criteria)]],FMS_Ranking4[Total Score (with ArcSinh normalization of select criteria)],0)</f>
        <v>598</v>
      </c>
      <c r="BO605" s="270" t="str">
        <f>_xlfn.XLOOKUP(FMS_Ranking4[[#This Row],[FMS ID]],FMS_Input[FMS_ID],FMS_Input[FMS_RANK_YEAR])</f>
        <v>2023 Amended Plan</v>
      </c>
      <c r="BP605" s="204">
        <f>_xlfn.XLOOKUP(FMS_Ranking4[[#This Row],[FMS ID]],Prev_Rank[FMS ID],Prev_Rank[Prev Rank])</f>
        <v>540</v>
      </c>
      <c r="BQ605" s="205" t="e">
        <f>_xlfn.XLOOKUP(FMS_Ranking4[[#This Row],[FMS ID]],#REF!,#REF!)</f>
        <v>#REF!</v>
      </c>
      <c r="BR605" s="199" t="e">
        <f>SUM(#REF!,#REF!,#REF!,#REF!,#REF!,#REF!,#REF!,#REF!,#REF!,FMS_Ranking4[[#This Row],[ArcSinh Res struct removed 0-10]],#REF!)</f>
        <v>#REF!</v>
      </c>
      <c r="BS605" s="199" t="e">
        <f>FMS_Ranking4[[#This Row],[Log Score Based on Normalized Reported Factors]]+FMS_Ranking4[[#This Row],[% NBS Score (Normalized)]]+(FMS_Ranking4[[#This Row],[Water Supply Score (Normalized)]]*10*$BB$5)+(FMS_Ranking4[[#This Row],[FMS_Type Score Weighted]])</f>
        <v>#REF!</v>
      </c>
      <c r="BT605" s="200" t="e">
        <f>_xlfn.RANK.EQ(FMS_Ranking4[[#This Row],[Log Total Score]],FMS_Ranking4[Log Total Score],0)</f>
        <v>#REF!</v>
      </c>
      <c r="BU605" s="200" t="e">
        <f>_xlfn.XLOOKUP(FMS_Ranking4[[#This Row],[FMS ID]],#REF!,#REF!)</f>
        <v>#REF!</v>
      </c>
      <c r="BV605" s="200">
        <f>FMS_Ranking4[[#This Row],[Region Number]]</f>
        <v>9</v>
      </c>
      <c r="BW605" s="200">
        <f>FMS_Ranking4[[#This Row],[Rank (with ArcSinh normalization of select criteria)]]-FMS_Ranking4[[#This Row],[Rank
(with linear
normalization)]]</f>
        <v>-233</v>
      </c>
      <c r="BX605" s="200" t="e">
        <f>FMS_Ranking4[[#This Row],[Log Rank]]-FMS_Ranking4[[#This Row],[Rank
(with linear
normalization)]]</f>
        <v>#REF!</v>
      </c>
      <c r="BY605" s="200" t="str">
        <f>IF(FMS_Ranking4[[#This Row],[FMS Type]]="Flood Measurement and Warning",FMS_Ranking4[[#This Row],[Rank (with ArcSinh normalization of select criteria)]],"")</f>
        <v/>
      </c>
      <c r="BZ605" s="200" t="str">
        <f>IF(FMS_Ranking4[[#This Row],[FMS Type]]="Regulatory and Guidance",FMS_Ranking4[[#This Row],[Rank (with ArcSinh normalization of select criteria)]],"")</f>
        <v/>
      </c>
      <c r="CA605" s="200" t="str">
        <f>IF(FMS_Ranking4[[#This Row],[FMS Type]]="Education and Outreach",FMS_Ranking4[[#This Row],[Rank (with ArcSinh normalization of select criteria)]],"")</f>
        <v/>
      </c>
      <c r="CB605" s="200" t="str">
        <f>IF(FMS_Ranking4[[#This Row],[FMS Type]]="Property Acquisition and Structural Elevation",FMS_Ranking4[[#This Row],[Rank (with ArcSinh normalization of select criteria)]],"")</f>
        <v/>
      </c>
      <c r="CC605" s="200" t="str">
        <f>IF(FMS_Ranking4[[#This Row],[FMS Type]]="Infrastructure Projects",FMS_Ranking4[[#This Row],[Rank (with ArcSinh normalization of select criteria)]],"")</f>
        <v/>
      </c>
      <c r="CD605" s="200">
        <f>IF(FMS_Ranking4[[#This Row],[FMS Type]]="Other",FMS_Ranking4[[#This Row],[Rank (with ArcSinh normalization of select criteria)]],"")</f>
        <v>598</v>
      </c>
      <c r="CE605" s="201"/>
      <c r="CF605" s="206"/>
      <c r="CG605" s="206"/>
      <c r="CH605" s="206"/>
      <c r="CI605" s="206"/>
      <c r="CJ605" s="206"/>
      <c r="CK605" s="206"/>
      <c r="CL605" s="206"/>
      <c r="CM605" s="206"/>
      <c r="CN605" s="206"/>
      <c r="CO605" s="206"/>
      <c r="CP605" s="206"/>
      <c r="CQ605" s="206"/>
      <c r="CR605" s="206"/>
    </row>
    <row r="606" spans="2:96" ht="75" x14ac:dyDescent="0.25">
      <c r="B606" s="341" t="s">
        <v>732</v>
      </c>
      <c r="C606" s="246">
        <f>_xlfn.XLOOKUP(FMS_Ranking4[[#This Row],[FMS ID]],FMS_Input[FMS_ID],FMS_Input[RFPG_NUM])</f>
        <v>9</v>
      </c>
      <c r="D606" s="309" t="str">
        <f>_xlfn.XLOOKUP(FMS_Ranking4[[#This Row],[FMS ID]],FMS_Input[FMS_ID],FMS_Input[FMS_NAME])</f>
        <v>Crockett County Flood Warning Systen</v>
      </c>
      <c r="E606" s="308" t="str">
        <f>_xlfn.XLOOKUP(FMS_Ranking4[[#This Row],[FMS ID]],FMS_Input[FMS_ID],FMS_Input[SPONSOR])</f>
        <v>00000051</v>
      </c>
      <c r="F606" s="309" t="str">
        <f>_xlfn.XLOOKUP(FMS_Ranking4[[#This Row],[FMS ID]],Sponsor[FMS_ID],Sponsor[SPONSOR NAME])</f>
        <v>Schleicher</v>
      </c>
      <c r="G606" s="309" t="str">
        <f>_xlfn.XLOOKUP(FMS_Ranking4[[#This Row],[FMS ID]],FMS_Input[FMS_ID],FMS_Input[FMS_DESCR])</f>
        <v xml:space="preserve">Enhance early warning system. Assist water district with rainfall observer. Educate community on dangers of low water crossings. </v>
      </c>
      <c r="H606" s="248" t="str">
        <f>_xlfn.XLOOKUP(FMS_Ranking4[[#This Row],[FMS ID]],FMS_Input[FMS_ID],FMS_Input[FMS_TYPE])</f>
        <v>Other</v>
      </c>
      <c r="I606" s="249">
        <f>_xlfn.XLOOKUP(FMS_Ranking4[[#This Row],[FMS ID]],FMS_Input[FMS_ID],FMS_Input[NRNC_COST])</f>
        <v>5000</v>
      </c>
      <c r="J606" s="250">
        <f>_xlfn.XLOOKUP(FMS_Ranking4[[#This Row],[FMS ID]],FMS_Input[FMS_ID],FMS_Input[FMS_COST])</f>
        <v>30000</v>
      </c>
      <c r="K606" s="251" t="str">
        <f>_xlfn.XLOOKUP(FMS_Ranking4[[#This Row],[FMS ID]],FMS_Input[FMS_ID],FMS_Input[EMER_NEED])</f>
        <v>No</v>
      </c>
      <c r="L606" s="252">
        <f t="shared" si="9"/>
        <v>0</v>
      </c>
      <c r="M606" s="253">
        <f>_xlfn.XLOOKUP(FMS_Ranking4[[#This Row],[FMS ID]],FMS_Input[FMS_ID],FMS_Input[STRUCT_100])</f>
        <v>9</v>
      </c>
      <c r="N606" s="255">
        <f>(ASINH(FMS_Ranking4[[#This Row],[Structure at Risk Raw]]))*(10)/(ASINH(M$4))</f>
        <v>2.2746777880562381</v>
      </c>
      <c r="O606" s="256">
        <f>FMS_Ranking4[[#This Row],[Structures at risk, ArcSinh (0-10)]]*M$5*10</f>
        <v>2.2746777880562381</v>
      </c>
      <c r="P606" s="253">
        <f>_xlfn.XLOOKUP(FMS_Ranking4[[#This Row],[FMS ID]],FMS_Input[FMS_ID],FMS_Input[RES_STRUCT100])</f>
        <v>9</v>
      </c>
      <c r="Q606" s="257">
        <f>ASINH(FMS_Ranking4[[#This Row],[Res Structure Raw]])/Q$4*P$5*100</f>
        <v>0</v>
      </c>
      <c r="R606" s="253">
        <f>_xlfn.XLOOKUP(FMS_Ranking4[[#This Row],[FMS ID]],FMS_Input[FMS_ID],FMS_Input[POP100])</f>
        <v>99</v>
      </c>
      <c r="S606" s="259">
        <f>(ASINH(FMS_Ranking4[[#This Row],[Pop at Risk Raw]]))*(10)/(ASINH(R$4))</f>
        <v>3.6508162119631926</v>
      </c>
      <c r="T606" s="256">
        <f>FMS_Ranking4[[#This Row],[Population at risk, ArcSinh (0-10)]]*R$5*10</f>
        <v>3.6508162119631926</v>
      </c>
      <c r="U606" s="253">
        <f>_xlfn.XLOOKUP(FMS_Ranking4[[#This Row],[FMS ID]],FMS_Input[FMS_ID],FMS_Input[CRITFAC100])</f>
        <v>0</v>
      </c>
      <c r="V606" s="259">
        <f>(ASINH(FMS_Ranking4[[#This Row],[Critical Facilities Raw]]))*(10)/(ASINH(U$4))</f>
        <v>0</v>
      </c>
      <c r="W606" s="256">
        <f>FMS_Ranking4[[#This Row],[Critical facilities at risk, ArcSinh (0-10)]]*U$5*10</f>
        <v>0</v>
      </c>
      <c r="X606" s="253">
        <f>_xlfn.XLOOKUP(FMS_Ranking4[[#This Row],[FMS ID]],FMS_Input[FMS_ID],FMS_Input[LWC])</f>
        <v>0</v>
      </c>
      <c r="Y606" s="259">
        <f>(ASINH(FMS_Ranking4[[#This Row],[LWC Raw]]))*(10)/(ASINH(X$4))</f>
        <v>0</v>
      </c>
      <c r="Z606" s="256">
        <f>FMS_Ranking4[[#This Row],[LWC, ArcSInh (0-10)]]*X$5*10</f>
        <v>0</v>
      </c>
      <c r="AA606" s="253">
        <f>_xlfn.XLOOKUP(FMS_Ranking4[[#This Row],[FMS ID]],FMS_Input[FMS_ID],FMS_Input[ROADCLS])</f>
        <v>0</v>
      </c>
      <c r="AB606" s="255">
        <f>(ASINH(FMS_Ranking4[[#This Row],[Road Closures Raw]]))*(10)/(ASINH(AA$4))</f>
        <v>0</v>
      </c>
      <c r="AC606" s="256">
        <f>FMS_Ranking4[[#This Row],[Road closures, ArcSinh (0-10)]]*AA$5*10</f>
        <v>0</v>
      </c>
      <c r="AD606" s="253">
        <f>_xlfn.XLOOKUP(FMS_Ranking4[[#This Row],[FMS ID]],FMS_Input[FMS_ID],FMS_Input[ROAD_MILES100])</f>
        <v>1</v>
      </c>
      <c r="AE606" s="259">
        <f>(ASINH(FMS_Ranking4[[#This Row],[Road Miles Raw]]))*(10)/(ASINH(AD$4))</f>
        <v>0.9393017565219649</v>
      </c>
      <c r="AF606" s="256">
        <f>FMS_Ranking4[[#This Row],[Length of roads at risk, ArcSinh (0-10)]]*AD$5*10</f>
        <v>0.93930175652196501</v>
      </c>
      <c r="AG606" s="253">
        <f>_xlfn.XLOOKUP(FMS_Ranking4[[#This Row],[FMS ID]],FMS_Input[FMS_ID],FMS_Input[FARMACRE100])</f>
        <v>5.3486952781677246</v>
      </c>
      <c r="AH606" s="255">
        <f>(ASINH(FMS_Ranking4[[#This Row],[Ag Land Raw]]))*(10)/(ASINH(AG$4))</f>
        <v>1.5451114474703855</v>
      </c>
      <c r="AI606" s="260">
        <f>FMS_Ranking4[[#This Row],[Farm &amp; ranch land, ArcSinh (0-10)]]*AG$5*10</f>
        <v>0.77255572373519277</v>
      </c>
      <c r="AJ606" s="258">
        <f>_xlfn.XLOOKUP(FMS_Ranking4[[#This Row],[FMS ID]],FMS_Input[FMS_ID],FMS_Input[REDSTRUCT100])</f>
        <v>3</v>
      </c>
      <c r="AK606" s="253">
        <f>_xlfn.XLOOKUP(FMS_Ranking4[[#This Row],[FMS ID]],FMS_Input[FMS_ID],FMS_Input[REMSTRC100])</f>
        <v>3</v>
      </c>
      <c r="AL606" s="259">
        <f>(ASINH(FMS_Ranking4[[#This Row],[Structures Removed Raw]]))*(10)/(ASINH(AK$4))</f>
        <v>2.0704310956893948</v>
      </c>
      <c r="AM606" s="262">
        <f>FMS_Ranking4[[#This Row],[Structures removed, ArcSinh (0-10)]]*AK$5*10</f>
        <v>2.0704310956893948</v>
      </c>
      <c r="AN606" s="253">
        <f>_xlfn.XLOOKUP(FMS_Ranking4[[#This Row],[FMS ID]],FMS_Input[FMS_ID],FMS_Input[REMRESSTRC100])</f>
        <v>2</v>
      </c>
      <c r="AO606" s="261">
        <f>FMS_Ranking4[[#This Row],[ArcSinh Res struct removed 0-10]]*AN$5*10</f>
        <v>0.84673041454896381</v>
      </c>
      <c r="AP606" s="260">
        <f>ASINH(FMS_Ranking4[[#This Row],[Residential Structures Removed Raw]])/AP$4*AN$5*100</f>
        <v>0.84673041454896381</v>
      </c>
      <c r="AQ606" s="254">
        <f>(ASINH(FMS_Ranking4[[#This Row],[Residential Structures Removed Raw]]))*(10)/(ASINH(AN$4))</f>
        <v>1.6934608290979274</v>
      </c>
      <c r="AR606" s="253">
        <f>_xlfn.XLOOKUP(FMS_Ranking4[[#This Row],[FMS ID]],FMS_Input[FMS_ID],FMS_Input[REMPOP100])</f>
        <v>24</v>
      </c>
      <c r="AS606" s="259">
        <f>(ASINH(FMS_Ranking4[[#This Row],[Removed Pop Raw]]))*(10)/(ASINH(AR$4))</f>
        <v>3.8004758239244456</v>
      </c>
      <c r="AT606" s="262">
        <f>FMS_Ranking4[[#This Row],[Removed population, ArcSinh (0-10)]]*AR$5*10</f>
        <v>3.8004758239244456</v>
      </c>
      <c r="AU606" s="264">
        <f>_xlfn.XLOOKUP(FMS_Ranking4[[#This Row],[FMS ID]],FMS_Input[FMS_ID],FMS_Input[REMCRITFAC100])</f>
        <v>0</v>
      </c>
      <c r="AV606" s="264">
        <f>_xlfn.XLOOKUP(FMS_Ranking4[[#This Row],[FMS ID]],FMS_Input[FMS_ID],FMS_Input[REMLWC100])</f>
        <v>0</v>
      </c>
      <c r="AW606" s="264">
        <f>_xlfn.XLOOKUP(FMS_Ranking4[[#This Row],[FMS ID]],FMS_Input[FMS_ID],FMS_Input[REMROADCLS])</f>
        <v>0</v>
      </c>
      <c r="AX606" s="264">
        <f>_xlfn.XLOOKUP(FMS_Ranking4[[#This Row],[FMS ID]],FMS_Input[FMS_ID],FMS_Input[REMFRMACRE100])</f>
        <v>1.3371738195419309</v>
      </c>
      <c r="AY606" s="258">
        <f>_xlfn.XLOOKUP(FMS_Ranking4[[#This Row],[FMS ID]],FMS_Input[FMS_ID],FMS_Input[COSTSTRUCT])</f>
        <v>25000</v>
      </c>
      <c r="AZ606" s="253">
        <f>_xlfn.XLOOKUP(FMS_Ranking4[[#This Row],[FMS ID]],FMS_Input[FMS_ID],FMS_Input[NATURE])</f>
        <v>0</v>
      </c>
      <c r="BA606" s="262">
        <f>(((FMS_Ranking4[[#This Row],[% NBS Raw]]/AZ$4)*100)*AZ$5)</f>
        <v>0</v>
      </c>
      <c r="BB606" s="251" t="str">
        <f>_xlfn.XLOOKUP(FMS_Ranking4[[#This Row],[FMS ID]],FMS_Input[FMS_ID],FMS_Input[WATER_SUP])</f>
        <v>No</v>
      </c>
      <c r="BC606" s="265">
        <f>IF(FMS_Ranking4[[#This Row],[Water Supply Raw]]="Yes",10,0)</f>
        <v>0</v>
      </c>
      <c r="BD606" s="266">
        <f>_xlfn.XLOOKUP(FMS_Ranking4[[#This Row],[FMS Type]],FMS_TYPE[FMS_Type],FMS_TYPE[Score])</f>
        <v>2</v>
      </c>
      <c r="BE606" s="267">
        <f>FMS_Ranking4[[#This Row],[FMS_Type Score]]*$BD$5*10</f>
        <v>0.5</v>
      </c>
      <c r="BF60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3.2450605579194417E-3</v>
      </c>
      <c r="BG606" s="271">
        <f>_xlfn.RANK.EQ(BF606,$BF$8:$BF$870,0)+COUNTIF($BF$8:BF606,BF606)-1</f>
        <v>709</v>
      </c>
      <c r="BH606" s="268">
        <f>(((FMS_Ranking4[[#This Row],[Structures Removed Raw]]/AK$4)*100)*AK$5)+(((FMS_Ranking4[[#This Row],[Removed Pop Raw]]/AR$4)*100)*AR$5)</f>
        <v>2.7270560408665649E-2</v>
      </c>
      <c r="BI60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0.53051562096658511</v>
      </c>
      <c r="BJ606" s="205">
        <f>_xlfn.RANK.EQ(FMS_Ranking4[[#This Row],[Total Score 
(with linear
normalization)]],FMS_Ranking4[Total Score 
(with linear
normalization)],0)</f>
        <v>831</v>
      </c>
      <c r="BK606" s="205" t="e">
        <f>_xlfn.XLOOKUP(FMS_Ranking4[[#This Row],[FMS ID]],#REF!,#REF!)</f>
        <v>#REF!</v>
      </c>
      <c r="BL60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14.354988814439393</v>
      </c>
      <c r="BM606" s="272">
        <f>FMS_Ranking4[[#This Row],[ArcSinh Score Based on Normalized Reported Factors]]+FMS_Ranking4[[#This Row],[% NBS Score (Normalized)]]+(FMS_Ranking4[[#This Row],[Water Supply Score (Normalized)]]*10*$BB$5)+FMS_Ranking4[[#This Row],[FMS_Type Score Weighted]]</f>
        <v>14.854988814439393</v>
      </c>
      <c r="BN606" s="205">
        <f>_xlfn.RANK.EQ(FMS_Ranking4[[#This Row],[Total Score (with ArcSinh normalization of select criteria)]],FMS_Ranking4[Total Score (with ArcSinh normalization of select criteria)],0)</f>
        <v>598</v>
      </c>
      <c r="BO606" s="270" t="str">
        <f>_xlfn.XLOOKUP(FMS_Ranking4[[#This Row],[FMS ID]],FMS_Input[FMS_ID],FMS_Input[FMS_RANK_YEAR])</f>
        <v>2023 Amended Plan</v>
      </c>
      <c r="BP606" s="204">
        <f>_xlfn.XLOOKUP(FMS_Ranking4[[#This Row],[FMS ID]],Prev_Rank[FMS ID],Prev_Rank[Prev Rank])</f>
        <v>540</v>
      </c>
      <c r="BQ606" s="205" t="e">
        <f>_xlfn.XLOOKUP(FMS_Ranking4[[#This Row],[FMS ID]],#REF!,#REF!)</f>
        <v>#REF!</v>
      </c>
      <c r="BR606" s="199" t="e">
        <f>SUM(#REF!,#REF!,#REF!,#REF!,#REF!,#REF!,#REF!,#REF!,#REF!,FMS_Ranking4[[#This Row],[ArcSinh Res struct removed 0-10]],#REF!)</f>
        <v>#REF!</v>
      </c>
      <c r="BS606" s="199" t="e">
        <f>FMS_Ranking4[[#This Row],[Log Score Based on Normalized Reported Factors]]+FMS_Ranking4[[#This Row],[% NBS Score (Normalized)]]+(FMS_Ranking4[[#This Row],[Water Supply Score (Normalized)]]*10*$BB$5)+(FMS_Ranking4[[#This Row],[FMS_Type Score Weighted]])</f>
        <v>#REF!</v>
      </c>
      <c r="BT606" s="200" t="e">
        <f>_xlfn.RANK.EQ(FMS_Ranking4[[#This Row],[Log Total Score]],FMS_Ranking4[Log Total Score],0)</f>
        <v>#REF!</v>
      </c>
      <c r="BU606" s="200" t="e">
        <f>_xlfn.XLOOKUP(FMS_Ranking4[[#This Row],[FMS ID]],#REF!,#REF!)</f>
        <v>#REF!</v>
      </c>
      <c r="BV606" s="200">
        <f>FMS_Ranking4[[#This Row],[Region Number]]</f>
        <v>9</v>
      </c>
      <c r="BW606" s="200">
        <f>FMS_Ranking4[[#This Row],[Rank (with ArcSinh normalization of select criteria)]]-FMS_Ranking4[[#This Row],[Rank
(with linear
normalization)]]</f>
        <v>-233</v>
      </c>
      <c r="BX606" s="200" t="e">
        <f>FMS_Ranking4[[#This Row],[Log Rank]]-FMS_Ranking4[[#This Row],[Rank
(with linear
normalization)]]</f>
        <v>#REF!</v>
      </c>
      <c r="BY606" s="200" t="str">
        <f>IF(FMS_Ranking4[[#This Row],[FMS Type]]="Flood Measurement and Warning",FMS_Ranking4[[#This Row],[Rank (with ArcSinh normalization of select criteria)]],"")</f>
        <v/>
      </c>
      <c r="BZ606" s="200" t="str">
        <f>IF(FMS_Ranking4[[#This Row],[FMS Type]]="Regulatory and Guidance",FMS_Ranking4[[#This Row],[Rank (with ArcSinh normalization of select criteria)]],"")</f>
        <v/>
      </c>
      <c r="CA606" s="200" t="str">
        <f>IF(FMS_Ranking4[[#This Row],[FMS Type]]="Education and Outreach",FMS_Ranking4[[#This Row],[Rank (with ArcSinh normalization of select criteria)]],"")</f>
        <v/>
      </c>
      <c r="CB606" s="200" t="str">
        <f>IF(FMS_Ranking4[[#This Row],[FMS Type]]="Property Acquisition and Structural Elevation",FMS_Ranking4[[#This Row],[Rank (with ArcSinh normalization of select criteria)]],"")</f>
        <v/>
      </c>
      <c r="CC606" s="200" t="str">
        <f>IF(FMS_Ranking4[[#This Row],[FMS Type]]="Infrastructure Projects",FMS_Ranking4[[#This Row],[Rank (with ArcSinh normalization of select criteria)]],"")</f>
        <v/>
      </c>
      <c r="CD606" s="200">
        <f>IF(FMS_Ranking4[[#This Row],[FMS Type]]="Other",FMS_Ranking4[[#This Row],[Rank (with ArcSinh normalization of select criteria)]],"")</f>
        <v>598</v>
      </c>
      <c r="CE606" s="201"/>
      <c r="CF606" s="206"/>
      <c r="CG606" s="206"/>
      <c r="CH606" s="206"/>
      <c r="CI606" s="206"/>
      <c r="CJ606" s="206"/>
      <c r="CK606" s="206"/>
      <c r="CL606" s="206"/>
      <c r="CM606" s="206"/>
      <c r="CN606" s="206"/>
      <c r="CO606" s="206"/>
      <c r="CP606" s="206"/>
      <c r="CQ606" s="206"/>
      <c r="CR606" s="206"/>
    </row>
    <row r="607" spans="2:96" ht="75" x14ac:dyDescent="0.25">
      <c r="B607" s="341" t="s">
        <v>742</v>
      </c>
      <c r="C607" s="246">
        <f>_xlfn.XLOOKUP(FMS_Ranking4[[#This Row],[FMS ID]],FMS_Input[FMS_ID],FMS_Input[RFPG_NUM])</f>
        <v>9</v>
      </c>
      <c r="D607" s="309" t="str">
        <f>_xlfn.XLOOKUP(FMS_Ranking4[[#This Row],[FMS ID]],FMS_Input[FMS_ID],FMS_Input[FMS_NAME])</f>
        <v>Crockett County Flood Insurance Awareness Program</v>
      </c>
      <c r="E607" s="308" t="str">
        <f>_xlfn.XLOOKUP(FMS_Ranking4[[#This Row],[FMS ID]],FMS_Input[FMS_ID],FMS_Input[SPONSOR])</f>
        <v>00000051</v>
      </c>
      <c r="F607" s="309" t="str">
        <f>_xlfn.XLOOKUP(FMS_Ranking4[[#This Row],[FMS ID]],Sponsor[FMS_ID],Sponsor[SPONSOR NAME])</f>
        <v>Schleicher</v>
      </c>
      <c r="G607" s="309" t="str">
        <f>_xlfn.XLOOKUP(FMS_Ranking4[[#This Row],[FMS ID]],FMS_Input[FMS_ID],FMS_Input[FMS_DESCR])</f>
        <v xml:space="preserve">Establish public awareness program regarding availability of flood insurance by disseminating brochures in public places, such as City Hall. </v>
      </c>
      <c r="H607" s="248" t="str">
        <f>_xlfn.XLOOKUP(FMS_Ranking4[[#This Row],[FMS ID]],FMS_Input[FMS_ID],FMS_Input[FMS_TYPE])</f>
        <v>Other</v>
      </c>
      <c r="I607" s="249">
        <f>_xlfn.XLOOKUP(FMS_Ranking4[[#This Row],[FMS ID]],FMS_Input[FMS_ID],FMS_Input[NRNC_COST])</f>
        <v>5000</v>
      </c>
      <c r="J607" s="250">
        <f>_xlfn.XLOOKUP(FMS_Ranking4[[#This Row],[FMS ID]],FMS_Input[FMS_ID],FMS_Input[FMS_COST])</f>
        <v>30000</v>
      </c>
      <c r="K607" s="251" t="str">
        <f>_xlfn.XLOOKUP(FMS_Ranking4[[#This Row],[FMS ID]],FMS_Input[FMS_ID],FMS_Input[EMER_NEED])</f>
        <v>No</v>
      </c>
      <c r="L607" s="252">
        <f t="shared" si="9"/>
        <v>0</v>
      </c>
      <c r="M607" s="253">
        <f>_xlfn.XLOOKUP(FMS_Ranking4[[#This Row],[FMS ID]],FMS_Input[FMS_ID],FMS_Input[STRUCT_100])</f>
        <v>9</v>
      </c>
      <c r="N607" s="255">
        <f>(ASINH(FMS_Ranking4[[#This Row],[Structure at Risk Raw]]))*(10)/(ASINH(M$4))</f>
        <v>2.2746777880562381</v>
      </c>
      <c r="O607" s="256">
        <f>FMS_Ranking4[[#This Row],[Structures at risk, ArcSinh (0-10)]]*M$5*10</f>
        <v>2.2746777880562381</v>
      </c>
      <c r="P607" s="253">
        <f>_xlfn.XLOOKUP(FMS_Ranking4[[#This Row],[FMS ID]],FMS_Input[FMS_ID],FMS_Input[RES_STRUCT100])</f>
        <v>9</v>
      </c>
      <c r="Q607" s="257">
        <f>ASINH(FMS_Ranking4[[#This Row],[Res Structure Raw]])/Q$4*P$5*100</f>
        <v>0</v>
      </c>
      <c r="R607" s="253">
        <f>_xlfn.XLOOKUP(FMS_Ranking4[[#This Row],[FMS ID]],FMS_Input[FMS_ID],FMS_Input[POP100])</f>
        <v>99</v>
      </c>
      <c r="S607" s="259">
        <f>(ASINH(FMS_Ranking4[[#This Row],[Pop at Risk Raw]]))*(10)/(ASINH(R$4))</f>
        <v>3.6508162119631926</v>
      </c>
      <c r="T607" s="256">
        <f>FMS_Ranking4[[#This Row],[Population at risk, ArcSinh (0-10)]]*R$5*10</f>
        <v>3.6508162119631926</v>
      </c>
      <c r="U607" s="253">
        <f>_xlfn.XLOOKUP(FMS_Ranking4[[#This Row],[FMS ID]],FMS_Input[FMS_ID],FMS_Input[CRITFAC100])</f>
        <v>0</v>
      </c>
      <c r="V607" s="259">
        <f>(ASINH(FMS_Ranking4[[#This Row],[Critical Facilities Raw]]))*(10)/(ASINH(U$4))</f>
        <v>0</v>
      </c>
      <c r="W607" s="256">
        <f>FMS_Ranking4[[#This Row],[Critical facilities at risk, ArcSinh (0-10)]]*U$5*10</f>
        <v>0</v>
      </c>
      <c r="X607" s="253">
        <f>_xlfn.XLOOKUP(FMS_Ranking4[[#This Row],[FMS ID]],FMS_Input[FMS_ID],FMS_Input[LWC])</f>
        <v>0</v>
      </c>
      <c r="Y607" s="259">
        <f>(ASINH(FMS_Ranking4[[#This Row],[LWC Raw]]))*(10)/(ASINH(X$4))</f>
        <v>0</v>
      </c>
      <c r="Z607" s="256">
        <f>FMS_Ranking4[[#This Row],[LWC, ArcSInh (0-10)]]*X$5*10</f>
        <v>0</v>
      </c>
      <c r="AA607" s="253">
        <f>_xlfn.XLOOKUP(FMS_Ranking4[[#This Row],[FMS ID]],FMS_Input[FMS_ID],FMS_Input[ROADCLS])</f>
        <v>0</v>
      </c>
      <c r="AB607" s="255">
        <f>(ASINH(FMS_Ranking4[[#This Row],[Road Closures Raw]]))*(10)/(ASINH(AA$4))</f>
        <v>0</v>
      </c>
      <c r="AC607" s="256">
        <f>FMS_Ranking4[[#This Row],[Road closures, ArcSinh (0-10)]]*AA$5*10</f>
        <v>0</v>
      </c>
      <c r="AD607" s="253">
        <f>_xlfn.XLOOKUP(FMS_Ranking4[[#This Row],[FMS ID]],FMS_Input[FMS_ID],FMS_Input[ROAD_MILES100])</f>
        <v>1</v>
      </c>
      <c r="AE607" s="259">
        <f>(ASINH(FMS_Ranking4[[#This Row],[Road Miles Raw]]))*(10)/(ASINH(AD$4))</f>
        <v>0.9393017565219649</v>
      </c>
      <c r="AF607" s="256">
        <f>FMS_Ranking4[[#This Row],[Length of roads at risk, ArcSinh (0-10)]]*AD$5*10</f>
        <v>0.93930175652196501</v>
      </c>
      <c r="AG607" s="253">
        <f>_xlfn.XLOOKUP(FMS_Ranking4[[#This Row],[FMS ID]],FMS_Input[FMS_ID],FMS_Input[FARMACRE100])</f>
        <v>5.3486952781677246</v>
      </c>
      <c r="AH607" s="255">
        <f>(ASINH(FMS_Ranking4[[#This Row],[Ag Land Raw]]))*(10)/(ASINH(AG$4))</f>
        <v>1.5451114474703855</v>
      </c>
      <c r="AI607" s="260">
        <f>FMS_Ranking4[[#This Row],[Farm &amp; ranch land, ArcSinh (0-10)]]*AG$5*10</f>
        <v>0.77255572373519277</v>
      </c>
      <c r="AJ607" s="258">
        <f>_xlfn.XLOOKUP(FMS_Ranking4[[#This Row],[FMS ID]],FMS_Input[FMS_ID],FMS_Input[REDSTRUCT100])</f>
        <v>3</v>
      </c>
      <c r="AK607" s="253">
        <f>_xlfn.XLOOKUP(FMS_Ranking4[[#This Row],[FMS ID]],FMS_Input[FMS_ID],FMS_Input[REMSTRC100])</f>
        <v>3</v>
      </c>
      <c r="AL607" s="259">
        <f>(ASINH(FMS_Ranking4[[#This Row],[Structures Removed Raw]]))*(10)/(ASINH(AK$4))</f>
        <v>2.0704310956893948</v>
      </c>
      <c r="AM607" s="262">
        <f>FMS_Ranking4[[#This Row],[Structures removed, ArcSinh (0-10)]]*AK$5*10</f>
        <v>2.0704310956893948</v>
      </c>
      <c r="AN607" s="253">
        <f>_xlfn.XLOOKUP(FMS_Ranking4[[#This Row],[FMS ID]],FMS_Input[FMS_ID],FMS_Input[REMRESSTRC100])</f>
        <v>2</v>
      </c>
      <c r="AO607" s="261">
        <f>FMS_Ranking4[[#This Row],[ArcSinh Res struct removed 0-10]]*AN$5*10</f>
        <v>0.84673041454896381</v>
      </c>
      <c r="AP607" s="260">
        <f>ASINH(FMS_Ranking4[[#This Row],[Residential Structures Removed Raw]])/AP$4*AN$5*100</f>
        <v>0.84673041454896381</v>
      </c>
      <c r="AQ607" s="254">
        <f>(ASINH(FMS_Ranking4[[#This Row],[Residential Structures Removed Raw]]))*(10)/(ASINH(AN$4))</f>
        <v>1.6934608290979274</v>
      </c>
      <c r="AR607" s="253">
        <f>_xlfn.XLOOKUP(FMS_Ranking4[[#This Row],[FMS ID]],FMS_Input[FMS_ID],FMS_Input[REMPOP100])</f>
        <v>24</v>
      </c>
      <c r="AS607" s="259">
        <f>(ASINH(FMS_Ranking4[[#This Row],[Removed Pop Raw]]))*(10)/(ASINH(AR$4))</f>
        <v>3.8004758239244456</v>
      </c>
      <c r="AT607" s="262">
        <f>FMS_Ranking4[[#This Row],[Removed population, ArcSinh (0-10)]]*AR$5*10</f>
        <v>3.8004758239244456</v>
      </c>
      <c r="AU607" s="264">
        <f>_xlfn.XLOOKUP(FMS_Ranking4[[#This Row],[FMS ID]],FMS_Input[FMS_ID],FMS_Input[REMCRITFAC100])</f>
        <v>0</v>
      </c>
      <c r="AV607" s="264">
        <f>_xlfn.XLOOKUP(FMS_Ranking4[[#This Row],[FMS ID]],FMS_Input[FMS_ID],FMS_Input[REMLWC100])</f>
        <v>0</v>
      </c>
      <c r="AW607" s="264">
        <f>_xlfn.XLOOKUP(FMS_Ranking4[[#This Row],[FMS ID]],FMS_Input[FMS_ID],FMS_Input[REMROADCLS])</f>
        <v>0</v>
      </c>
      <c r="AX607" s="264">
        <f>_xlfn.XLOOKUP(FMS_Ranking4[[#This Row],[FMS ID]],FMS_Input[FMS_ID],FMS_Input[REMFRMACRE100])</f>
        <v>1.3371738195419309</v>
      </c>
      <c r="AY607" s="258">
        <f>_xlfn.XLOOKUP(FMS_Ranking4[[#This Row],[FMS ID]],FMS_Input[FMS_ID],FMS_Input[COSTSTRUCT])</f>
        <v>25000</v>
      </c>
      <c r="AZ607" s="253">
        <f>_xlfn.XLOOKUP(FMS_Ranking4[[#This Row],[FMS ID]],FMS_Input[FMS_ID],FMS_Input[NATURE])</f>
        <v>0</v>
      </c>
      <c r="BA607" s="262">
        <f>(((FMS_Ranking4[[#This Row],[% NBS Raw]]/AZ$4)*100)*AZ$5)</f>
        <v>0</v>
      </c>
      <c r="BB607" s="251" t="str">
        <f>_xlfn.XLOOKUP(FMS_Ranking4[[#This Row],[FMS ID]],FMS_Input[FMS_ID],FMS_Input[WATER_SUP])</f>
        <v>No</v>
      </c>
      <c r="BC607" s="265">
        <f>IF(FMS_Ranking4[[#This Row],[Water Supply Raw]]="Yes",10,0)</f>
        <v>0</v>
      </c>
      <c r="BD607" s="266">
        <f>_xlfn.XLOOKUP(FMS_Ranking4[[#This Row],[FMS Type]],FMS_TYPE[FMS_Type],FMS_TYPE[Score])</f>
        <v>2</v>
      </c>
      <c r="BE607" s="267">
        <f>FMS_Ranking4[[#This Row],[FMS_Type Score]]*$BD$5*10</f>
        <v>0.5</v>
      </c>
      <c r="BF60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3.2450605579194417E-3</v>
      </c>
      <c r="BG607" s="271">
        <f>_xlfn.RANK.EQ(BF607,$BF$8:$BF$870,0)+COUNTIF($BF$8:BF607,BF607)-1</f>
        <v>710</v>
      </c>
      <c r="BH607" s="268">
        <f>(((FMS_Ranking4[[#This Row],[Structures Removed Raw]]/AK$4)*100)*AK$5)+(((FMS_Ranking4[[#This Row],[Removed Pop Raw]]/AR$4)*100)*AR$5)</f>
        <v>2.7270560408665649E-2</v>
      </c>
      <c r="BI60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0.53051562096658511</v>
      </c>
      <c r="BJ607" s="205">
        <f>_xlfn.RANK.EQ(FMS_Ranking4[[#This Row],[Total Score 
(with linear
normalization)]],FMS_Ranking4[Total Score 
(with linear
normalization)],0)</f>
        <v>831</v>
      </c>
      <c r="BK607" s="205" t="e">
        <f>_xlfn.XLOOKUP(FMS_Ranking4[[#This Row],[FMS ID]],#REF!,#REF!)</f>
        <v>#REF!</v>
      </c>
      <c r="BL60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14.354988814439393</v>
      </c>
      <c r="BM607" s="272">
        <f>FMS_Ranking4[[#This Row],[ArcSinh Score Based on Normalized Reported Factors]]+FMS_Ranking4[[#This Row],[% NBS Score (Normalized)]]+(FMS_Ranking4[[#This Row],[Water Supply Score (Normalized)]]*10*$BB$5)+FMS_Ranking4[[#This Row],[FMS_Type Score Weighted]]</f>
        <v>14.854988814439393</v>
      </c>
      <c r="BN607" s="205">
        <f>_xlfn.RANK.EQ(FMS_Ranking4[[#This Row],[Total Score (with ArcSinh normalization of select criteria)]],FMS_Ranking4[Total Score (with ArcSinh normalization of select criteria)],0)</f>
        <v>598</v>
      </c>
      <c r="BO607" s="270" t="str">
        <f>_xlfn.XLOOKUP(FMS_Ranking4[[#This Row],[FMS ID]],FMS_Input[FMS_ID],FMS_Input[FMS_RANK_YEAR])</f>
        <v>2023 Amended Plan</v>
      </c>
      <c r="BP607" s="204">
        <f>_xlfn.XLOOKUP(FMS_Ranking4[[#This Row],[FMS ID]],Prev_Rank[FMS ID],Prev_Rank[Prev Rank])</f>
        <v>540</v>
      </c>
      <c r="BQ607" s="205" t="e">
        <f>_xlfn.XLOOKUP(FMS_Ranking4[[#This Row],[FMS ID]],#REF!,#REF!)</f>
        <v>#REF!</v>
      </c>
      <c r="BR607" s="199" t="e">
        <f>SUM(#REF!,#REF!,#REF!,#REF!,#REF!,#REF!,#REF!,#REF!,#REF!,FMS_Ranking4[[#This Row],[ArcSinh Res struct removed 0-10]],#REF!)</f>
        <v>#REF!</v>
      </c>
      <c r="BS607" s="199" t="e">
        <f>FMS_Ranking4[[#This Row],[Log Score Based on Normalized Reported Factors]]+FMS_Ranking4[[#This Row],[% NBS Score (Normalized)]]+(FMS_Ranking4[[#This Row],[Water Supply Score (Normalized)]]*10*$BB$5)+(FMS_Ranking4[[#This Row],[FMS_Type Score Weighted]])</f>
        <v>#REF!</v>
      </c>
      <c r="BT607" s="200" t="e">
        <f>_xlfn.RANK.EQ(FMS_Ranking4[[#This Row],[Log Total Score]],FMS_Ranking4[Log Total Score],0)</f>
        <v>#REF!</v>
      </c>
      <c r="BU607" s="200" t="e">
        <f>_xlfn.XLOOKUP(FMS_Ranking4[[#This Row],[FMS ID]],#REF!,#REF!)</f>
        <v>#REF!</v>
      </c>
      <c r="BV607" s="200">
        <f>FMS_Ranking4[[#This Row],[Region Number]]</f>
        <v>9</v>
      </c>
      <c r="BW607" s="200">
        <f>FMS_Ranking4[[#This Row],[Rank (with ArcSinh normalization of select criteria)]]-FMS_Ranking4[[#This Row],[Rank
(with linear
normalization)]]</f>
        <v>-233</v>
      </c>
      <c r="BX607" s="200" t="e">
        <f>FMS_Ranking4[[#This Row],[Log Rank]]-FMS_Ranking4[[#This Row],[Rank
(with linear
normalization)]]</f>
        <v>#REF!</v>
      </c>
      <c r="BY607" s="200" t="str">
        <f>IF(FMS_Ranking4[[#This Row],[FMS Type]]="Flood Measurement and Warning",FMS_Ranking4[[#This Row],[Rank (with ArcSinh normalization of select criteria)]],"")</f>
        <v/>
      </c>
      <c r="BZ607" s="200" t="str">
        <f>IF(FMS_Ranking4[[#This Row],[FMS Type]]="Regulatory and Guidance",FMS_Ranking4[[#This Row],[Rank (with ArcSinh normalization of select criteria)]],"")</f>
        <v/>
      </c>
      <c r="CA607" s="200" t="str">
        <f>IF(FMS_Ranking4[[#This Row],[FMS Type]]="Education and Outreach",FMS_Ranking4[[#This Row],[Rank (with ArcSinh normalization of select criteria)]],"")</f>
        <v/>
      </c>
      <c r="CB607" s="200" t="str">
        <f>IF(FMS_Ranking4[[#This Row],[FMS Type]]="Property Acquisition and Structural Elevation",FMS_Ranking4[[#This Row],[Rank (with ArcSinh normalization of select criteria)]],"")</f>
        <v/>
      </c>
      <c r="CC607" s="200" t="str">
        <f>IF(FMS_Ranking4[[#This Row],[FMS Type]]="Infrastructure Projects",FMS_Ranking4[[#This Row],[Rank (with ArcSinh normalization of select criteria)]],"")</f>
        <v/>
      </c>
      <c r="CD607" s="200">
        <f>IF(FMS_Ranking4[[#This Row],[FMS Type]]="Other",FMS_Ranking4[[#This Row],[Rank (with ArcSinh normalization of select criteria)]],"")</f>
        <v>598</v>
      </c>
      <c r="CE607" s="201"/>
      <c r="CF607" s="206"/>
      <c r="CG607" s="206"/>
      <c r="CH607" s="206"/>
      <c r="CI607" s="206"/>
      <c r="CJ607" s="206"/>
      <c r="CK607" s="206"/>
      <c r="CL607" s="206"/>
      <c r="CM607" s="206"/>
      <c r="CN607" s="206"/>
      <c r="CO607" s="206"/>
      <c r="CP607" s="206"/>
      <c r="CQ607" s="206"/>
      <c r="CR607" s="206"/>
    </row>
    <row r="608" spans="2:96" ht="45" x14ac:dyDescent="0.25">
      <c r="B608" s="341" t="s">
        <v>4056</v>
      </c>
      <c r="C608" s="246">
        <f>_xlfn.XLOOKUP(FMS_Ranking4[[#This Row],[FMS ID]],FMS_Input[FMS_ID],FMS_Input[RFPG_NUM])</f>
        <v>15</v>
      </c>
      <c r="D608" s="309" t="str">
        <f>_xlfn.XLOOKUP(FMS_Ranking4[[#This Row],[FMS ID]],FMS_Input[FMS_ID],FMS_Input[FMS_NAME])</f>
        <v>Starr County Hazard Mittigation Plan Action #6</v>
      </c>
      <c r="E608" s="308" t="str">
        <f>_xlfn.XLOOKUP(FMS_Ranking4[[#This Row],[FMS ID]],FMS_Input[FMS_ID],FMS_Input[SPONSOR])</f>
        <v>15000003</v>
      </c>
      <c r="F608" s="309" t="str">
        <f>_xlfn.XLOOKUP(FMS_Ranking4[[#This Row],[FMS ID]],Sponsor[FMS_ID],Sponsor[SPONSOR NAME])</f>
        <v>Starr</v>
      </c>
      <c r="G608" s="309" t="str">
        <f>_xlfn.XLOOKUP(FMS_Ranking4[[#This Row],[FMS ID]],FMS_Input[FMS_ID],FMS_Input[FMS_DESCR])</f>
        <v>Building a shelter within a community to serve for flood situations in Rio Grande City.</v>
      </c>
      <c r="H608" s="248" t="str">
        <f>_xlfn.XLOOKUP(FMS_Ranking4[[#This Row],[FMS ID]],FMS_Input[FMS_ID],FMS_Input[FMS_TYPE])</f>
        <v>Infrastructure Projects</v>
      </c>
      <c r="I608" s="249">
        <f>_xlfn.XLOOKUP(FMS_Ranking4[[#This Row],[FMS ID]],FMS_Input[FMS_ID],FMS_Input[NRNC_COST])</f>
        <v>500000</v>
      </c>
      <c r="J608" s="250">
        <f>_xlfn.XLOOKUP(FMS_Ranking4[[#This Row],[FMS ID]],FMS_Input[FMS_ID],FMS_Input[FMS_COST])</f>
        <v>10000000</v>
      </c>
      <c r="K608" s="251" t="str">
        <f>_xlfn.XLOOKUP(FMS_Ranking4[[#This Row],[FMS ID]],FMS_Input[FMS_ID],FMS_Input[EMER_NEED])</f>
        <v>Yes</v>
      </c>
      <c r="L608" s="252">
        <f t="shared" si="9"/>
        <v>1</v>
      </c>
      <c r="M608" s="253">
        <f>_xlfn.XLOOKUP(FMS_Ranking4[[#This Row],[FMS ID]],FMS_Input[FMS_ID],FMS_Input[STRUCT_100])</f>
        <v>97</v>
      </c>
      <c r="N608" s="255">
        <f>(ASINH(FMS_Ranking4[[#This Row],[Structure at Risk Raw]]))*(10)/(ASINH(M$4))</f>
        <v>4.1413417505151635</v>
      </c>
      <c r="O608" s="256">
        <f>FMS_Ranking4[[#This Row],[Structures at risk, ArcSinh (0-10)]]*M$5*10</f>
        <v>4.1413417505151635</v>
      </c>
      <c r="P608" s="253">
        <f>_xlfn.XLOOKUP(FMS_Ranking4[[#This Row],[FMS ID]],FMS_Input[FMS_ID],FMS_Input[RES_STRUCT100])</f>
        <v>81</v>
      </c>
      <c r="Q608" s="257">
        <f>ASINH(FMS_Ranking4[[#This Row],[Res Structure Raw]])/Q$4*P$5*100</f>
        <v>0</v>
      </c>
      <c r="R608" s="253">
        <f>_xlfn.XLOOKUP(FMS_Ranking4[[#This Row],[FMS ID]],FMS_Input[FMS_ID],FMS_Input[POP100])</f>
        <v>377</v>
      </c>
      <c r="S608" s="255">
        <f>(ASINH(FMS_Ranking4[[#This Row],[Pop at Risk Raw]]))*(10)/(ASINH(R$4))</f>
        <v>4.5738952825861974</v>
      </c>
      <c r="T608" s="256">
        <f>FMS_Ranking4[[#This Row],[Population at risk, ArcSinh (0-10)]]*R$5*10</f>
        <v>4.5738952825861983</v>
      </c>
      <c r="U608" s="253">
        <f>_xlfn.XLOOKUP(FMS_Ranking4[[#This Row],[FMS ID]],FMS_Input[FMS_ID],FMS_Input[CRITFAC100])</f>
        <v>0</v>
      </c>
      <c r="V608" s="255">
        <f>(ASINH(FMS_Ranking4[[#This Row],[Critical Facilities Raw]]))*(10)/(ASINH(U$4))</f>
        <v>0</v>
      </c>
      <c r="W608" s="256">
        <f>FMS_Ranking4[[#This Row],[Critical facilities at risk, ArcSinh (0-10)]]*U$5*10</f>
        <v>0</v>
      </c>
      <c r="X608" s="253">
        <f>_xlfn.XLOOKUP(FMS_Ranking4[[#This Row],[FMS ID]],FMS_Input[FMS_ID],FMS_Input[LWC])</f>
        <v>11</v>
      </c>
      <c r="Y608" s="255">
        <f>(ASINH(FMS_Ranking4[[#This Row],[LWC Raw]]))*(10)/(ASINH(X$4))</f>
        <v>4.1903423948022258</v>
      </c>
      <c r="Z608" s="256">
        <f>FMS_Ranking4[[#This Row],[LWC, ArcSInh (0-10)]]*X$5*10</f>
        <v>4.1903423948022258</v>
      </c>
      <c r="AA608" s="253">
        <f>_xlfn.XLOOKUP(FMS_Ranking4[[#This Row],[FMS ID]],FMS_Input[FMS_ID],FMS_Input[ROADCLS])</f>
        <v>0</v>
      </c>
      <c r="AB608" s="255">
        <f>(ASINH(FMS_Ranking4[[#This Row],[Road Closures Raw]]))*(10)/(ASINH(AA$4))</f>
        <v>0</v>
      </c>
      <c r="AC608" s="256">
        <f>FMS_Ranking4[[#This Row],[Road closures, ArcSinh (0-10)]]*AA$5*10</f>
        <v>0</v>
      </c>
      <c r="AD608" s="253">
        <f>_xlfn.XLOOKUP(FMS_Ranking4[[#This Row],[FMS ID]],FMS_Input[FMS_ID],FMS_Input[ROAD_MILES100])</f>
        <v>1</v>
      </c>
      <c r="AE608" s="255">
        <f>(ASINH(FMS_Ranking4[[#This Row],[Road Miles Raw]]))*(10)/(ASINH(AD$4))</f>
        <v>0.9393017565219649</v>
      </c>
      <c r="AF608" s="256">
        <f>FMS_Ranking4[[#This Row],[Length of roads at risk, ArcSinh (0-10)]]*AD$5*10</f>
        <v>0.93930175652196501</v>
      </c>
      <c r="AG608" s="253">
        <f>_xlfn.XLOOKUP(FMS_Ranking4[[#This Row],[FMS ID]],FMS_Input[FMS_ID],FMS_Input[FARMACRE100])</f>
        <v>0</v>
      </c>
      <c r="AH608" s="255">
        <f>(ASINH(FMS_Ranking4[[#This Row],[Ag Land Raw]]))*(10)/(ASINH(AG$4))</f>
        <v>0</v>
      </c>
      <c r="AI608" s="260">
        <f>FMS_Ranking4[[#This Row],[Farm &amp; ranch land, ArcSinh (0-10)]]*AG$5*10</f>
        <v>0</v>
      </c>
      <c r="AJ608" s="258">
        <f>_xlfn.XLOOKUP(FMS_Ranking4[[#This Row],[FMS ID]],FMS_Input[FMS_ID],FMS_Input[REDSTRUCT100])</f>
        <v>0</v>
      </c>
      <c r="AK608" s="253">
        <f>_xlfn.XLOOKUP(FMS_Ranking4[[#This Row],[FMS ID]],FMS_Input[FMS_ID],FMS_Input[REMSTRC100])</f>
        <v>0</v>
      </c>
      <c r="AL608" s="255">
        <f>(ASINH(FMS_Ranking4[[#This Row],[Structures Removed Raw]]))*(10)/(ASINH(AK$4))</f>
        <v>0</v>
      </c>
      <c r="AM608" s="262">
        <f>FMS_Ranking4[[#This Row],[Structures removed, ArcSinh (0-10)]]*AK$5*10</f>
        <v>0</v>
      </c>
      <c r="AN608" s="253">
        <f>_xlfn.XLOOKUP(FMS_Ranking4[[#This Row],[FMS ID]],FMS_Input[FMS_ID],FMS_Input[REMRESSTRC100])</f>
        <v>0</v>
      </c>
      <c r="AO608" s="261">
        <f>FMS_Ranking4[[#This Row],[ArcSinh Res struct removed 0-10]]*AN$5*10</f>
        <v>0</v>
      </c>
      <c r="AP608" s="260">
        <f>ASINH(FMS_Ranking4[[#This Row],[Residential Structures Removed Raw]])/AP$4*AN$5*100</f>
        <v>0</v>
      </c>
      <c r="AQ608" s="258">
        <f>(ASINH(FMS_Ranking4[[#This Row],[Residential Structures Removed Raw]]))*(10)/(ASINH(AN$4))</f>
        <v>0</v>
      </c>
      <c r="AR608" s="253">
        <f>_xlfn.XLOOKUP(FMS_Ranking4[[#This Row],[FMS ID]],FMS_Input[FMS_ID],FMS_Input[REMPOP100])</f>
        <v>0</v>
      </c>
      <c r="AS608" s="255">
        <f>(ASINH(FMS_Ranking4[[#This Row],[Removed Pop Raw]]))*(10)/(ASINH(AR$4))</f>
        <v>0</v>
      </c>
      <c r="AT608" s="262">
        <f>FMS_Ranking4[[#This Row],[Removed population, ArcSinh (0-10)]]*AR$5*10</f>
        <v>0</v>
      </c>
      <c r="AU608" s="264">
        <f>_xlfn.XLOOKUP(FMS_Ranking4[[#This Row],[FMS ID]],FMS_Input[FMS_ID],FMS_Input[REMCRITFAC100])</f>
        <v>0</v>
      </c>
      <c r="AV608" s="264">
        <f>_xlfn.XLOOKUP(FMS_Ranking4[[#This Row],[FMS ID]],FMS_Input[FMS_ID],FMS_Input[REMLWC100])</f>
        <v>0</v>
      </c>
      <c r="AW608" s="264">
        <f>_xlfn.XLOOKUP(FMS_Ranking4[[#This Row],[FMS ID]],FMS_Input[FMS_ID],FMS_Input[REMROADCLS])</f>
        <v>0</v>
      </c>
      <c r="AX608" s="264">
        <f>_xlfn.XLOOKUP(FMS_Ranking4[[#This Row],[FMS ID]],FMS_Input[FMS_ID],FMS_Input[REMFRMACRE100])</f>
        <v>0</v>
      </c>
      <c r="AY608" s="258">
        <f>_xlfn.XLOOKUP(FMS_Ranking4[[#This Row],[FMS ID]],FMS_Input[FMS_ID],FMS_Input[COSTSTRUCT])</f>
        <v>0</v>
      </c>
      <c r="AZ608" s="253">
        <f>_xlfn.XLOOKUP(FMS_Ranking4[[#This Row],[FMS ID]],FMS_Input[FMS_ID],FMS_Input[NATURE])</f>
        <v>0</v>
      </c>
      <c r="BA608" s="262">
        <f>(((FMS_Ranking4[[#This Row],[% NBS Raw]]/AZ$4)*100)*AZ$5)</f>
        <v>0</v>
      </c>
      <c r="BB608" s="251" t="str">
        <f>_xlfn.XLOOKUP(FMS_Ranking4[[#This Row],[FMS ID]],FMS_Input[FMS_ID],FMS_Input[WATER_SUP])</f>
        <v>No</v>
      </c>
      <c r="BC608" s="265">
        <f>IF(FMS_Ranking4[[#This Row],[Water Supply Raw]]="Yes",10,0)</f>
        <v>0</v>
      </c>
      <c r="BD608" s="266">
        <f>_xlfn.XLOOKUP(FMS_Ranking4[[#This Row],[FMS Type]],FMS_TYPE[FMS_Type],FMS_TYPE[Score])</f>
        <v>4</v>
      </c>
      <c r="BE608" s="267">
        <f>FMS_Ranking4[[#This Row],[FMS_Type Score]]*$BD$5*10</f>
        <v>1</v>
      </c>
      <c r="BF60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0.14832862464019653</v>
      </c>
      <c r="BG608" s="321">
        <f>_xlfn.RANK.EQ(BF608,$BF$8:$BF$870,0)+COUNTIF($BF$8:BF608,BF608)-1</f>
        <v>408</v>
      </c>
      <c r="BH608" s="294">
        <f>(((FMS_Ranking4[[#This Row],[Structures Removed Raw]]/AK$4)*100)*AK$5)+(((FMS_Ranking4[[#This Row],[Removed Pop Raw]]/AR$4)*100)*AR$5)</f>
        <v>0</v>
      </c>
      <c r="BI60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1.1483286246401965</v>
      </c>
      <c r="BJ608" s="251">
        <f>_xlfn.RANK.EQ(FMS_Ranking4[[#This Row],[Total Score 
(with linear
normalization)]],FMS_Ranking4[Total Score 
(with linear
normalization)],0)</f>
        <v>658</v>
      </c>
      <c r="BK608" s="251" t="e">
        <f>_xlfn.XLOOKUP(FMS_Ranking4[[#This Row],[FMS ID]],#REF!,#REF!)</f>
        <v>#REF!</v>
      </c>
      <c r="BL60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13.844881184425553</v>
      </c>
      <c r="BM608" s="324">
        <f>FMS_Ranking4[[#This Row],[ArcSinh Score Based on Normalized Reported Factors]]+FMS_Ranking4[[#This Row],[% NBS Score (Normalized)]]+(FMS_Ranking4[[#This Row],[Water Supply Score (Normalized)]]*10*$BB$5)+FMS_Ranking4[[#This Row],[FMS_Type Score Weighted]]</f>
        <v>14.844881184425553</v>
      </c>
      <c r="BN608" s="251">
        <f>_xlfn.RANK.EQ(FMS_Ranking4[[#This Row],[Total Score (with ArcSinh normalization of select criteria)]],FMS_Ranking4[Total Score (with ArcSinh normalization of select criteria)],0)</f>
        <v>601</v>
      </c>
      <c r="BO608" s="270" t="str">
        <f>_xlfn.XLOOKUP(FMS_Ranking4[[#This Row],[FMS ID]],FMS_Input[FMS_ID],FMS_Input[FMS_RANK_YEAR])</f>
        <v>2023 Amended Plan</v>
      </c>
      <c r="BP608" s="204">
        <f>_xlfn.XLOOKUP(FMS_Ranking4[[#This Row],[FMS ID]],Prev_Rank[FMS ID],Prev_Rank[Prev Rank])</f>
        <v>531</v>
      </c>
      <c r="BQ608" s="251" t="e">
        <f>_xlfn.XLOOKUP(FMS_Ranking4[[#This Row],[FMS ID]],#REF!,#REF!)</f>
        <v>#REF!</v>
      </c>
      <c r="BR608" s="199" t="e">
        <f>SUM(#REF!,#REF!,#REF!,#REF!,#REF!,#REF!,#REF!,#REF!,#REF!,FMS_Ranking4[[#This Row],[ArcSinh Res struct removed 0-10]],#REF!)</f>
        <v>#REF!</v>
      </c>
      <c r="BS608" s="199" t="e">
        <f>FMS_Ranking4[[#This Row],[Log Score Based on Normalized Reported Factors]]+FMS_Ranking4[[#This Row],[% NBS Score (Normalized)]]+(FMS_Ranking4[[#This Row],[Water Supply Score (Normalized)]]*10*$BB$5)+(FMS_Ranking4[[#This Row],[FMS_Type Score Weighted]])</f>
        <v>#REF!</v>
      </c>
      <c r="BT608" s="200" t="e">
        <f>_xlfn.RANK.EQ(FMS_Ranking4[[#This Row],[Log Total Score]],FMS_Ranking4[Log Total Score],0)</f>
        <v>#REF!</v>
      </c>
      <c r="BU608" s="200" t="e">
        <f>_xlfn.XLOOKUP(FMS_Ranking4[[#This Row],[FMS ID]],#REF!,#REF!)</f>
        <v>#REF!</v>
      </c>
      <c r="BV608" s="200">
        <f>FMS_Ranking4[[#This Row],[Region Number]]</f>
        <v>15</v>
      </c>
      <c r="BW608" s="200">
        <f>FMS_Ranking4[[#This Row],[Rank (with ArcSinh normalization of select criteria)]]-FMS_Ranking4[[#This Row],[Rank
(with linear
normalization)]]</f>
        <v>-57</v>
      </c>
      <c r="BX608" s="200" t="e">
        <f>FMS_Ranking4[[#This Row],[Log Rank]]-FMS_Ranking4[[#This Row],[Rank
(with linear
normalization)]]</f>
        <v>#REF!</v>
      </c>
      <c r="BY608" s="200" t="str">
        <f>IF(FMS_Ranking4[[#This Row],[FMS Type]]="Flood Measurement and Warning",FMS_Ranking4[[#This Row],[Rank (with ArcSinh normalization of select criteria)]],"")</f>
        <v/>
      </c>
      <c r="BZ608" s="200" t="str">
        <f>IF(FMS_Ranking4[[#This Row],[FMS Type]]="Regulatory and Guidance",FMS_Ranking4[[#This Row],[Rank (with ArcSinh normalization of select criteria)]],"")</f>
        <v/>
      </c>
      <c r="CA608" s="200" t="str">
        <f>IF(FMS_Ranking4[[#This Row],[FMS Type]]="Education and Outreach",FMS_Ranking4[[#This Row],[Rank (with ArcSinh normalization of select criteria)]],"")</f>
        <v/>
      </c>
      <c r="CB608" s="200" t="str">
        <f>IF(FMS_Ranking4[[#This Row],[FMS Type]]="Property Acquisition and Structural Elevation",FMS_Ranking4[[#This Row],[Rank (with ArcSinh normalization of select criteria)]],"")</f>
        <v/>
      </c>
      <c r="CC608" s="200">
        <f>IF(FMS_Ranking4[[#This Row],[FMS Type]]="Infrastructure Projects",FMS_Ranking4[[#This Row],[Rank (with ArcSinh normalization of select criteria)]],"")</f>
        <v>601</v>
      </c>
      <c r="CD608" s="200" t="str">
        <f>IF(FMS_Ranking4[[#This Row],[FMS Type]]="Other",FMS_Ranking4[[#This Row],[Rank (with ArcSinh normalization of select criteria)]],"")</f>
        <v/>
      </c>
      <c r="CE608" s="201"/>
      <c r="CF608" s="206"/>
      <c r="CG608" s="206"/>
      <c r="CH608" s="206"/>
      <c r="CI608" s="206"/>
      <c r="CJ608" s="206"/>
      <c r="CK608" s="206"/>
      <c r="CL608" s="206"/>
      <c r="CM608" s="206"/>
      <c r="CN608" s="206"/>
      <c r="CO608" s="206"/>
      <c r="CP608" s="206"/>
      <c r="CQ608" s="206"/>
      <c r="CR608" s="206"/>
    </row>
    <row r="609" spans="2:96" ht="120" x14ac:dyDescent="0.25">
      <c r="B609" s="341" t="s">
        <v>2260</v>
      </c>
      <c r="C609" s="246">
        <f>_xlfn.XLOOKUP(FMS_Ranking4[[#This Row],[FMS ID]],FMS_Input[FMS_ID],FMS_Input[RFPG_NUM])</f>
        <v>3</v>
      </c>
      <c r="D609" s="309" t="str">
        <f>_xlfn.XLOOKUP(FMS_Ranking4[[#This Row],[FMS ID]],FMS_Input[FMS_ID],FMS_Input[FMS_NAME])</f>
        <v>Houston County Flood Insurance and Dam Education Program</v>
      </c>
      <c r="E609" s="308" t="str">
        <f>_xlfn.XLOOKUP(FMS_Ranking4[[#This Row],[FMS ID]],FMS_Input[FMS_ID],FMS_Input[SPONSOR])</f>
        <v>Houston County</v>
      </c>
      <c r="F609" s="309" t="str">
        <f>_xlfn.XLOOKUP(FMS_Ranking4[[#This Row],[FMS ID]],Sponsor[FMS_ID],Sponsor[SPONSOR NAME])</f>
        <v>Houston County</v>
      </c>
      <c r="G609" s="309" t="str">
        <f>_xlfn.XLOOKUP(FMS_Ranking4[[#This Row],[FMS ID]],FMS_Input[FMS_ID],FMS_Input[FMS_DESCR])</f>
        <v>Develop and implement NFIP public education program for residents affected by high flood risk areas. Educate the Public on mitigation activities that can help protect their properties in the event of structural failures and extreme flooding.</v>
      </c>
      <c r="H609" s="248" t="str">
        <f>_xlfn.XLOOKUP(FMS_Ranking4[[#This Row],[FMS ID]],FMS_Input[FMS_ID],FMS_Input[FMS_TYPE])</f>
        <v>Education and Outreach</v>
      </c>
      <c r="I609" s="249">
        <f>_xlfn.XLOOKUP(FMS_Ranking4[[#This Row],[FMS ID]],FMS_Input[FMS_ID],FMS_Input[NRNC_COST])</f>
        <v>50000</v>
      </c>
      <c r="J609" s="250">
        <f>_xlfn.XLOOKUP(FMS_Ranking4[[#This Row],[FMS ID]],FMS_Input[FMS_ID],FMS_Input[FMS_COST])</f>
        <v>50000</v>
      </c>
      <c r="K609" s="251" t="str">
        <f>_xlfn.XLOOKUP(FMS_Ranking4[[#This Row],[FMS ID]],FMS_Input[FMS_ID],FMS_Input[EMER_NEED])</f>
        <v>No</v>
      </c>
      <c r="L609" s="252">
        <f t="shared" si="9"/>
        <v>0</v>
      </c>
      <c r="M609" s="253">
        <f>_xlfn.XLOOKUP(FMS_Ranking4[[#This Row],[FMS ID]],FMS_Input[FMS_ID],FMS_Input[STRUCT_100])</f>
        <v>0</v>
      </c>
      <c r="N609" s="255">
        <f>(ASINH(FMS_Ranking4[[#This Row],[Structure at Risk Raw]]))*(10)/(ASINH(M$4))</f>
        <v>0</v>
      </c>
      <c r="O609" s="256">
        <f>FMS_Ranking4[[#This Row],[Structures at risk, ArcSinh (0-10)]]*M$5*10</f>
        <v>0</v>
      </c>
      <c r="P609" s="253">
        <f>_xlfn.XLOOKUP(FMS_Ranking4[[#This Row],[FMS ID]],FMS_Input[FMS_ID],FMS_Input[RES_STRUCT100])</f>
        <v>0</v>
      </c>
      <c r="Q609" s="257">
        <f>ASINH(FMS_Ranking4[[#This Row],[Res Structure Raw]])/Q$4*P$5*100</f>
        <v>0</v>
      </c>
      <c r="R609" s="253">
        <f>_xlfn.XLOOKUP(FMS_Ranking4[[#This Row],[FMS ID]],FMS_Input[FMS_ID],FMS_Input[POP100])</f>
        <v>0</v>
      </c>
      <c r="S609" s="259">
        <f>(ASINH(FMS_Ranking4[[#This Row],[Pop at Risk Raw]]))*(10)/(ASINH(R$4))</f>
        <v>0</v>
      </c>
      <c r="T609" s="256">
        <f>FMS_Ranking4[[#This Row],[Population at risk, ArcSinh (0-10)]]*R$5*10</f>
        <v>0</v>
      </c>
      <c r="U609" s="253">
        <f>_xlfn.XLOOKUP(FMS_Ranking4[[#This Row],[FMS ID]],FMS_Input[FMS_ID],FMS_Input[CRITFAC100])</f>
        <v>5</v>
      </c>
      <c r="V609" s="259">
        <f>(ASINH(FMS_Ranking4[[#This Row],[Critical Facilities Raw]]))*(10)/(ASINH(U$4))</f>
        <v>2.7373815814321909</v>
      </c>
      <c r="W609" s="256">
        <f>FMS_Ranking4[[#This Row],[Critical facilities at risk, ArcSinh (0-10)]]*U$5*10</f>
        <v>2.7373815814321913</v>
      </c>
      <c r="X609" s="253">
        <f>_xlfn.XLOOKUP(FMS_Ranking4[[#This Row],[FMS ID]],FMS_Input[FMS_ID],FMS_Input[LWC])</f>
        <v>18</v>
      </c>
      <c r="Y609" s="259">
        <f>(ASINH(FMS_Ranking4[[#This Row],[LWC Raw]]))*(10)/(ASINH(X$4))</f>
        <v>4.8557725986155553</v>
      </c>
      <c r="Z609" s="256">
        <f>FMS_Ranking4[[#This Row],[LWC, ArcSInh (0-10)]]*X$5*10</f>
        <v>4.8557725986155553</v>
      </c>
      <c r="AA609" s="253">
        <f>_xlfn.XLOOKUP(FMS_Ranking4[[#This Row],[FMS ID]],FMS_Input[FMS_ID],FMS_Input[ROADCLS])</f>
        <v>0</v>
      </c>
      <c r="AB609" s="255">
        <f>(ASINH(FMS_Ranking4[[#This Row],[Road Closures Raw]]))*(10)/(ASINH(AA$4))</f>
        <v>0</v>
      </c>
      <c r="AC609" s="256">
        <f>FMS_Ranking4[[#This Row],[Road closures, ArcSinh (0-10)]]*AA$5*10</f>
        <v>0</v>
      </c>
      <c r="AD609" s="253">
        <f>_xlfn.XLOOKUP(FMS_Ranking4[[#This Row],[FMS ID]],FMS_Input[FMS_ID],FMS_Input[ROAD_MILES100])</f>
        <v>110</v>
      </c>
      <c r="AE609" s="259">
        <f>(ASINH(FMS_Ranking4[[#This Row],[Road Miles Raw]]))*(10)/(ASINH(AD$4))</f>
        <v>5.7481450651429009</v>
      </c>
      <c r="AF609" s="256">
        <f>FMS_Ranking4[[#This Row],[Length of roads at risk, ArcSinh (0-10)]]*AD$5*10</f>
        <v>5.7481450651429009</v>
      </c>
      <c r="AG609" s="253">
        <f>_xlfn.XLOOKUP(FMS_Ranking4[[#This Row],[FMS ID]],FMS_Input[FMS_ID],FMS_Input[FARMACRE100])</f>
        <v>0</v>
      </c>
      <c r="AH609" s="255">
        <f>(ASINH(FMS_Ranking4[[#This Row],[Ag Land Raw]]))*(10)/(ASINH(AG$4))</f>
        <v>0</v>
      </c>
      <c r="AI609" s="260">
        <f>FMS_Ranking4[[#This Row],[Farm &amp; ranch land, ArcSinh (0-10)]]*AG$5*10</f>
        <v>0</v>
      </c>
      <c r="AJ609" s="258">
        <f>_xlfn.XLOOKUP(FMS_Ranking4[[#This Row],[FMS ID]],FMS_Input[FMS_ID],FMS_Input[REDSTRUCT100])</f>
        <v>0</v>
      </c>
      <c r="AK609" s="253">
        <f>_xlfn.XLOOKUP(FMS_Ranking4[[#This Row],[FMS ID]],FMS_Input[FMS_ID],FMS_Input[REMSTRC100])</f>
        <v>0</v>
      </c>
      <c r="AL609" s="259">
        <f>(ASINH(FMS_Ranking4[[#This Row],[Structures Removed Raw]]))*(10)/(ASINH(AK$4))</f>
        <v>0</v>
      </c>
      <c r="AM609" s="262">
        <f>FMS_Ranking4[[#This Row],[Structures removed, ArcSinh (0-10)]]*AK$5*10</f>
        <v>0</v>
      </c>
      <c r="AN609" s="253">
        <f>_xlfn.XLOOKUP(FMS_Ranking4[[#This Row],[FMS ID]],FMS_Input[FMS_ID],FMS_Input[REMRESSTRC100])</f>
        <v>0</v>
      </c>
      <c r="AO609" s="261">
        <f>FMS_Ranking4[[#This Row],[ArcSinh Res struct removed 0-10]]*AN$5*10</f>
        <v>0</v>
      </c>
      <c r="AP609" s="260">
        <f>ASINH(FMS_Ranking4[[#This Row],[Residential Structures Removed Raw]])/AP$4*AN$5*100</f>
        <v>0</v>
      </c>
      <c r="AQ609" s="254">
        <f>(ASINH(FMS_Ranking4[[#This Row],[Residential Structures Removed Raw]]))*(10)/(ASINH(AN$4))</f>
        <v>0</v>
      </c>
      <c r="AR609" s="253">
        <f>_xlfn.XLOOKUP(FMS_Ranking4[[#This Row],[FMS ID]],FMS_Input[FMS_ID],FMS_Input[REMPOP100])</f>
        <v>0</v>
      </c>
      <c r="AS609" s="259">
        <f>(ASINH(FMS_Ranking4[[#This Row],[Removed Pop Raw]]))*(10)/(ASINH(AR$4))</f>
        <v>0</v>
      </c>
      <c r="AT609" s="262">
        <f>FMS_Ranking4[[#This Row],[Removed population, ArcSinh (0-10)]]*AR$5*10</f>
        <v>0</v>
      </c>
      <c r="AU609" s="264">
        <f>_xlfn.XLOOKUP(FMS_Ranking4[[#This Row],[FMS ID]],FMS_Input[FMS_ID],FMS_Input[REMCRITFAC100])</f>
        <v>0</v>
      </c>
      <c r="AV609" s="264">
        <f>_xlfn.XLOOKUP(FMS_Ranking4[[#This Row],[FMS ID]],FMS_Input[FMS_ID],FMS_Input[REMLWC100])</f>
        <v>0</v>
      </c>
      <c r="AW609" s="264">
        <f>_xlfn.XLOOKUP(FMS_Ranking4[[#This Row],[FMS ID]],FMS_Input[FMS_ID],FMS_Input[REMROADCLS])</f>
        <v>0</v>
      </c>
      <c r="AX609" s="264">
        <f>_xlfn.XLOOKUP(FMS_Ranking4[[#This Row],[FMS ID]],FMS_Input[FMS_ID],FMS_Input[REMFRMACRE100])</f>
        <v>0</v>
      </c>
      <c r="AY609" s="258">
        <f>_xlfn.XLOOKUP(FMS_Ranking4[[#This Row],[FMS ID]],FMS_Input[FMS_ID],FMS_Input[COSTSTRUCT])</f>
        <v>0</v>
      </c>
      <c r="AZ609" s="253">
        <f>_xlfn.XLOOKUP(FMS_Ranking4[[#This Row],[FMS ID]],FMS_Input[FMS_ID],FMS_Input[NATURE])</f>
        <v>0</v>
      </c>
      <c r="BA609" s="262">
        <f>(((FMS_Ranking4[[#This Row],[% NBS Raw]]/AZ$4)*100)*AZ$5)</f>
        <v>0</v>
      </c>
      <c r="BB609" s="251" t="str">
        <f>_xlfn.XLOOKUP(FMS_Ranking4[[#This Row],[FMS ID]],FMS_Input[FMS_ID],FMS_Input[WATER_SUP])</f>
        <v>No</v>
      </c>
      <c r="BC609" s="265">
        <f>IF(FMS_Ranking4[[#This Row],[Water Supply Raw]]="Yes",10,0)</f>
        <v>0</v>
      </c>
      <c r="BD609" s="266">
        <f>_xlfn.XLOOKUP(FMS_Ranking4[[#This Row],[FMS Type]],FMS_TYPE[FMS_Type],FMS_TYPE[Score])</f>
        <v>6</v>
      </c>
      <c r="BE609" s="267">
        <f>FMS_Ranking4[[#This Row],[FMS_Type Score]]*$BD$5*10</f>
        <v>1.5000000000000002</v>
      </c>
      <c r="BF60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0.43066079084511832</v>
      </c>
      <c r="BG609" s="271">
        <f>_xlfn.RANK.EQ(BF609,$BF$8:$BF$870,0)+COUNTIF($BF$8:BF609,BF609)-1</f>
        <v>249</v>
      </c>
      <c r="BH609" s="268">
        <f>(((FMS_Ranking4[[#This Row],[Structures Removed Raw]]/AK$4)*100)*AK$5)+(((FMS_Ranking4[[#This Row],[Removed Pop Raw]]/AR$4)*100)*AR$5)</f>
        <v>0</v>
      </c>
      <c r="BI60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1.9306607908451185</v>
      </c>
      <c r="BJ609" s="205">
        <f>_xlfn.RANK.EQ(FMS_Ranking4[[#This Row],[Total Score 
(with linear
normalization)]],FMS_Ranking4[Total Score 
(with linear
normalization)],0)</f>
        <v>526</v>
      </c>
      <c r="BK609" s="205" t="e">
        <f>_xlfn.XLOOKUP(FMS_Ranking4[[#This Row],[FMS ID]],#REF!,#REF!)</f>
        <v>#REF!</v>
      </c>
      <c r="BL60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13.341299245190648</v>
      </c>
      <c r="BM609" s="272">
        <f>FMS_Ranking4[[#This Row],[ArcSinh Score Based on Normalized Reported Factors]]+FMS_Ranking4[[#This Row],[% NBS Score (Normalized)]]+(FMS_Ranking4[[#This Row],[Water Supply Score (Normalized)]]*10*$BB$5)+FMS_Ranking4[[#This Row],[FMS_Type Score Weighted]]</f>
        <v>14.841299245190648</v>
      </c>
      <c r="BN609" s="205">
        <f>_xlfn.RANK.EQ(FMS_Ranking4[[#This Row],[Total Score (with ArcSinh normalization of select criteria)]],FMS_Ranking4[Total Score (with ArcSinh normalization of select criteria)],0)</f>
        <v>602</v>
      </c>
      <c r="BO609" s="270" t="str">
        <f>_xlfn.XLOOKUP(FMS_Ranking4[[#This Row],[FMS ID]],FMS_Input[FMS_ID],FMS_Input[FMS_RANK_YEAR])</f>
        <v>2023 Amended Plan</v>
      </c>
      <c r="BP609" s="204">
        <f>_xlfn.XLOOKUP(FMS_Ranking4[[#This Row],[FMS ID]],Prev_Rank[FMS ID],Prev_Rank[Prev Rank])</f>
        <v>532</v>
      </c>
      <c r="BQ609" s="205" t="e">
        <f>_xlfn.XLOOKUP(FMS_Ranking4[[#This Row],[FMS ID]],#REF!,#REF!)</f>
        <v>#REF!</v>
      </c>
      <c r="BR609" s="199" t="e">
        <f>SUM(#REF!,#REF!,#REF!,#REF!,#REF!,#REF!,#REF!,#REF!,#REF!,FMS_Ranking4[[#This Row],[ArcSinh Res struct removed 0-10]],#REF!)</f>
        <v>#REF!</v>
      </c>
      <c r="BS609" s="199" t="e">
        <f>FMS_Ranking4[[#This Row],[Log Score Based on Normalized Reported Factors]]+FMS_Ranking4[[#This Row],[% NBS Score (Normalized)]]+(FMS_Ranking4[[#This Row],[Water Supply Score (Normalized)]]*10*$BB$5)+(FMS_Ranking4[[#This Row],[FMS_Type Score Weighted]])</f>
        <v>#REF!</v>
      </c>
      <c r="BT609" s="200" t="e">
        <f>_xlfn.RANK.EQ(FMS_Ranking4[[#This Row],[Log Total Score]],FMS_Ranking4[Log Total Score],0)</f>
        <v>#REF!</v>
      </c>
      <c r="BU609" s="200" t="e">
        <f>_xlfn.XLOOKUP(FMS_Ranking4[[#This Row],[FMS ID]],#REF!,#REF!)</f>
        <v>#REF!</v>
      </c>
      <c r="BV609" s="200">
        <f>FMS_Ranking4[[#This Row],[Region Number]]</f>
        <v>3</v>
      </c>
      <c r="BW609" s="200">
        <f>FMS_Ranking4[[#This Row],[Rank (with ArcSinh normalization of select criteria)]]-FMS_Ranking4[[#This Row],[Rank
(with linear
normalization)]]</f>
        <v>76</v>
      </c>
      <c r="BX609" s="200" t="e">
        <f>FMS_Ranking4[[#This Row],[Log Rank]]-FMS_Ranking4[[#This Row],[Rank
(with linear
normalization)]]</f>
        <v>#REF!</v>
      </c>
      <c r="BY609" s="200" t="str">
        <f>IF(FMS_Ranking4[[#This Row],[FMS Type]]="Flood Measurement and Warning",FMS_Ranking4[[#This Row],[Rank (with ArcSinh normalization of select criteria)]],"")</f>
        <v/>
      </c>
      <c r="BZ609" s="200" t="str">
        <f>IF(FMS_Ranking4[[#This Row],[FMS Type]]="Regulatory and Guidance",FMS_Ranking4[[#This Row],[Rank (with ArcSinh normalization of select criteria)]],"")</f>
        <v/>
      </c>
      <c r="CA609" s="200">
        <f>IF(FMS_Ranking4[[#This Row],[FMS Type]]="Education and Outreach",FMS_Ranking4[[#This Row],[Rank (with ArcSinh normalization of select criteria)]],"")</f>
        <v>602</v>
      </c>
      <c r="CB609" s="200" t="str">
        <f>IF(FMS_Ranking4[[#This Row],[FMS Type]]="Property Acquisition and Structural Elevation",FMS_Ranking4[[#This Row],[Rank (with ArcSinh normalization of select criteria)]],"")</f>
        <v/>
      </c>
      <c r="CC609" s="200" t="str">
        <f>IF(FMS_Ranking4[[#This Row],[FMS Type]]="Infrastructure Projects",FMS_Ranking4[[#This Row],[Rank (with ArcSinh normalization of select criteria)]],"")</f>
        <v/>
      </c>
      <c r="CD609" s="200" t="str">
        <f>IF(FMS_Ranking4[[#This Row],[FMS Type]]="Other",FMS_Ranking4[[#This Row],[Rank (with ArcSinh normalization of select criteria)]],"")</f>
        <v/>
      </c>
      <c r="CE609" s="201"/>
      <c r="CF609" s="206"/>
      <c r="CG609" s="206"/>
      <c r="CH609" s="206"/>
      <c r="CI609" s="206"/>
      <c r="CJ609" s="206"/>
      <c r="CK609" s="206"/>
      <c r="CL609" s="206"/>
      <c r="CM609" s="206"/>
      <c r="CN609" s="206"/>
      <c r="CO609" s="206"/>
      <c r="CP609" s="206"/>
      <c r="CQ609" s="206"/>
      <c r="CR609" s="206"/>
    </row>
    <row r="610" spans="2:96" ht="150" x14ac:dyDescent="0.25">
      <c r="B610" s="341" t="s">
        <v>2507</v>
      </c>
      <c r="C610" s="246">
        <f>_xlfn.XLOOKUP(FMS_Ranking4[[#This Row],[FMS ID]],FMS_Input[FMS_ID],FMS_Input[RFPG_NUM])</f>
        <v>3</v>
      </c>
      <c r="D610" s="309" t="str">
        <f>_xlfn.XLOOKUP(FMS_Ranking4[[#This Row],[FMS ID]],FMS_Input[FMS_ID],FMS_Input[FMS_NAME])</f>
        <v>Infrastructure improvements throughout the City of Terrell.</v>
      </c>
      <c r="E610" s="308" t="str">
        <f>_xlfn.XLOOKUP(FMS_Ranking4[[#This Row],[FMS ID]],FMS_Input[FMS_ID],FMS_Input[SPONSOR])</f>
        <v>Terrell</v>
      </c>
      <c r="F610" s="309" t="str">
        <f>_xlfn.XLOOKUP(FMS_Ranking4[[#This Row],[FMS ID]],Sponsor[FMS_ID],Sponsor[SPONSOR NAME])</f>
        <v>Terrell</v>
      </c>
      <c r="G610" s="309" t="str">
        <f>_xlfn.XLOOKUP(FMS_Ranking4[[#This Row],[FMS ID]],FMS_Input[FMS_ID],FMS_Input[FMS_DESCR])</f>
        <v>Infrastructure improvements throughout the City of Terrell such as storm drain updates, channel improvements, culvert improvements, railroad crossing upsizing, and street improvements. One improvement includes enhancing a channel with natural grass.</v>
      </c>
      <c r="H610" s="248" t="str">
        <f>_xlfn.XLOOKUP(FMS_Ranking4[[#This Row],[FMS ID]],FMS_Input[FMS_ID],FMS_Input[FMS_TYPE])</f>
        <v>Infrastructure Projects</v>
      </c>
      <c r="I610" s="249">
        <f>_xlfn.XLOOKUP(FMS_Ranking4[[#This Row],[FMS ID]],FMS_Input[FMS_ID],FMS_Input[NRNC_COST])</f>
        <v>5800000</v>
      </c>
      <c r="J610" s="250">
        <f>_xlfn.XLOOKUP(FMS_Ranking4[[#This Row],[FMS ID]],FMS_Input[FMS_ID],FMS_Input[FMS_COST])</f>
        <v>29000000</v>
      </c>
      <c r="K610" s="251" t="str">
        <f>_xlfn.XLOOKUP(FMS_Ranking4[[#This Row],[FMS ID]],FMS_Input[FMS_ID],FMS_Input[EMER_NEED])</f>
        <v>No</v>
      </c>
      <c r="L610" s="252">
        <f t="shared" si="9"/>
        <v>0</v>
      </c>
      <c r="M610" s="253">
        <f>_xlfn.XLOOKUP(FMS_Ranking4[[#This Row],[FMS ID]],FMS_Input[FMS_ID],FMS_Input[STRUCT_100])</f>
        <v>27</v>
      </c>
      <c r="N610" s="255">
        <f>(ASINH(FMS_Ranking4[[#This Row],[Structure at Risk Raw]]))*(10)/(ASINH(M$4))</f>
        <v>3.1362048544087462</v>
      </c>
      <c r="O610" s="256">
        <f>FMS_Ranking4[[#This Row],[Structures at risk, ArcSinh (0-10)]]*M$5*10</f>
        <v>3.1362048544087462</v>
      </c>
      <c r="P610" s="253">
        <f>_xlfn.XLOOKUP(FMS_Ranking4[[#This Row],[FMS ID]],FMS_Input[FMS_ID],FMS_Input[RES_STRUCT100])</f>
        <v>20</v>
      </c>
      <c r="Q610" s="257">
        <f>ASINH(FMS_Ranking4[[#This Row],[Res Structure Raw]])/Q$4*P$5*100</f>
        <v>0</v>
      </c>
      <c r="R610" s="253">
        <f>_xlfn.XLOOKUP(FMS_Ranking4[[#This Row],[FMS ID]],FMS_Input[FMS_ID],FMS_Input[POP100])</f>
        <v>221</v>
      </c>
      <c r="S610" s="259">
        <f>(ASINH(FMS_Ranking4[[#This Row],[Pop at Risk Raw]]))*(10)/(ASINH(R$4))</f>
        <v>4.205189368733234</v>
      </c>
      <c r="T610" s="256">
        <f>FMS_Ranking4[[#This Row],[Population at risk, ArcSinh (0-10)]]*R$5*10</f>
        <v>4.205189368733234</v>
      </c>
      <c r="U610" s="253">
        <f>_xlfn.XLOOKUP(FMS_Ranking4[[#This Row],[FMS ID]],FMS_Input[FMS_ID],FMS_Input[CRITFAC100])</f>
        <v>3</v>
      </c>
      <c r="V610" s="259">
        <f>(ASINH(FMS_Ranking4[[#This Row],[Critical Facilities Raw]]))*(10)/(ASINH(U$4))</f>
        <v>2.152611706646717</v>
      </c>
      <c r="W610" s="256">
        <f>FMS_Ranking4[[#This Row],[Critical facilities at risk, ArcSinh (0-10)]]*U$5*10</f>
        <v>2.152611706646717</v>
      </c>
      <c r="X610" s="253">
        <f>_xlfn.XLOOKUP(FMS_Ranking4[[#This Row],[FMS ID]],FMS_Input[FMS_ID],FMS_Input[LWC])</f>
        <v>0</v>
      </c>
      <c r="Y610" s="259">
        <f>(ASINH(FMS_Ranking4[[#This Row],[LWC Raw]]))*(10)/(ASINH(X$4))</f>
        <v>0</v>
      </c>
      <c r="Z610" s="256">
        <f>FMS_Ranking4[[#This Row],[LWC, ArcSInh (0-10)]]*X$5*10</f>
        <v>0</v>
      </c>
      <c r="AA610" s="253">
        <f>_xlfn.XLOOKUP(FMS_Ranking4[[#This Row],[FMS ID]],FMS_Input[FMS_ID],FMS_Input[ROADCLS])</f>
        <v>0</v>
      </c>
      <c r="AB610" s="255">
        <f>(ASINH(FMS_Ranking4[[#This Row],[Road Closures Raw]]))*(10)/(ASINH(AA$4))</f>
        <v>0</v>
      </c>
      <c r="AC610" s="256">
        <f>FMS_Ranking4[[#This Row],[Road closures, ArcSinh (0-10)]]*AA$5*10</f>
        <v>0</v>
      </c>
      <c r="AD610" s="253">
        <f>_xlfn.XLOOKUP(FMS_Ranking4[[#This Row],[FMS ID]],FMS_Input[FMS_ID],FMS_Input[ROAD_MILES100])</f>
        <v>5</v>
      </c>
      <c r="AE610" s="259">
        <f>(ASINH(FMS_Ranking4[[#This Row],[Road Miles Raw]]))*(10)/(ASINH(AD$4))</f>
        <v>2.4644230639487872</v>
      </c>
      <c r="AF610" s="256">
        <f>FMS_Ranking4[[#This Row],[Length of roads at risk, ArcSinh (0-10)]]*AD$5*10</f>
        <v>2.4644230639487876</v>
      </c>
      <c r="AG610" s="253">
        <f>_xlfn.XLOOKUP(FMS_Ranking4[[#This Row],[FMS ID]],FMS_Input[FMS_ID],FMS_Input[FARMACRE100])</f>
        <v>118.9908981323242</v>
      </c>
      <c r="AH610" s="255">
        <f>(ASINH(FMS_Ranking4[[#This Row],[Ag Land Raw]]))*(10)/(ASINH(AG$4))</f>
        <v>3.5546474079632873</v>
      </c>
      <c r="AI610" s="260">
        <f>FMS_Ranking4[[#This Row],[Farm &amp; ranch land, ArcSinh (0-10)]]*AG$5*10</f>
        <v>1.7773237039816436</v>
      </c>
      <c r="AJ610" s="258">
        <f>_xlfn.XLOOKUP(FMS_Ranking4[[#This Row],[FMS ID]],FMS_Input[FMS_ID],FMS_Input[REDSTRUCT100])</f>
        <v>0</v>
      </c>
      <c r="AK610" s="253">
        <f>_xlfn.XLOOKUP(FMS_Ranking4[[#This Row],[FMS ID]],FMS_Input[FMS_ID],FMS_Input[REMSTRC100])</f>
        <v>0</v>
      </c>
      <c r="AL610" s="259">
        <f>(ASINH(FMS_Ranking4[[#This Row],[Structures Removed Raw]]))*(10)/(ASINH(AK$4))</f>
        <v>0</v>
      </c>
      <c r="AM610" s="262">
        <f>FMS_Ranking4[[#This Row],[Structures removed, ArcSinh (0-10)]]*AK$5*10</f>
        <v>0</v>
      </c>
      <c r="AN610" s="253">
        <f>_xlfn.XLOOKUP(FMS_Ranking4[[#This Row],[FMS ID]],FMS_Input[FMS_ID],FMS_Input[REMRESSTRC100])</f>
        <v>0</v>
      </c>
      <c r="AO610" s="261">
        <f>FMS_Ranking4[[#This Row],[ArcSinh Res struct removed 0-10]]*AN$5*10</f>
        <v>0</v>
      </c>
      <c r="AP610" s="260">
        <f>ASINH(FMS_Ranking4[[#This Row],[Residential Structures Removed Raw]])/AP$4*AN$5*100</f>
        <v>0</v>
      </c>
      <c r="AQ610" s="254">
        <f>(ASINH(FMS_Ranking4[[#This Row],[Residential Structures Removed Raw]]))*(10)/(ASINH(AN$4))</f>
        <v>0</v>
      </c>
      <c r="AR610" s="253">
        <f>_xlfn.XLOOKUP(FMS_Ranking4[[#This Row],[FMS ID]],FMS_Input[FMS_ID],FMS_Input[REMPOP100])</f>
        <v>0</v>
      </c>
      <c r="AS610" s="259">
        <f>(ASINH(FMS_Ranking4[[#This Row],[Removed Pop Raw]]))*(10)/(ASINH(AR$4))</f>
        <v>0</v>
      </c>
      <c r="AT610" s="262">
        <f>FMS_Ranking4[[#This Row],[Removed population, ArcSinh (0-10)]]*AR$5*10</f>
        <v>0</v>
      </c>
      <c r="AU610" s="264">
        <f>_xlfn.XLOOKUP(FMS_Ranking4[[#This Row],[FMS ID]],FMS_Input[FMS_ID],FMS_Input[REMCRITFAC100])</f>
        <v>0</v>
      </c>
      <c r="AV610" s="264">
        <f>_xlfn.XLOOKUP(FMS_Ranking4[[#This Row],[FMS ID]],FMS_Input[FMS_ID],FMS_Input[REMLWC100])</f>
        <v>0</v>
      </c>
      <c r="AW610" s="264">
        <f>_xlfn.XLOOKUP(FMS_Ranking4[[#This Row],[FMS ID]],FMS_Input[FMS_ID],FMS_Input[REMROADCLS])</f>
        <v>0</v>
      </c>
      <c r="AX610" s="264">
        <f>_xlfn.XLOOKUP(FMS_Ranking4[[#This Row],[FMS ID]],FMS_Input[FMS_ID],FMS_Input[REMFRMACRE100])</f>
        <v>0</v>
      </c>
      <c r="AY610" s="258">
        <f>_xlfn.XLOOKUP(FMS_Ranking4[[#This Row],[FMS ID]],FMS_Input[FMS_ID],FMS_Input[COSTSTRUCT])</f>
        <v>0</v>
      </c>
      <c r="AZ610" s="253">
        <f>_xlfn.XLOOKUP(FMS_Ranking4[[#This Row],[FMS ID]],FMS_Input[FMS_ID],FMS_Input[NATURE])</f>
        <v>0</v>
      </c>
      <c r="BA610" s="262">
        <f>(((FMS_Ranking4[[#This Row],[% NBS Raw]]/AZ$4)*100)*AZ$5)</f>
        <v>0</v>
      </c>
      <c r="BB610" s="251" t="str">
        <f>_xlfn.XLOOKUP(FMS_Ranking4[[#This Row],[FMS ID]],FMS_Input[FMS_ID],FMS_Input[WATER_SUP])</f>
        <v>No</v>
      </c>
      <c r="BC610" s="265">
        <f>IF(FMS_Ranking4[[#This Row],[Water Supply Raw]]="Yes",10,0)</f>
        <v>0</v>
      </c>
      <c r="BD610" s="266">
        <f>_xlfn.XLOOKUP(FMS_Ranking4[[#This Row],[FMS Type]],FMS_TYPE[FMS_Type],FMS_TYPE[Score])</f>
        <v>4</v>
      </c>
      <c r="BE610" s="267">
        <f>FMS_Ranking4[[#This Row],[FMS_Type Score]]*$BD$5*10</f>
        <v>1</v>
      </c>
      <c r="BF61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2.5398649835639348E-2</v>
      </c>
      <c r="BG610" s="271">
        <f>_xlfn.RANK.EQ(BF610,$BF$8:$BF$870,0)+COUNTIF($BF$8:BF610,BF610)-1</f>
        <v>620</v>
      </c>
      <c r="BH610" s="268">
        <f>(((FMS_Ranking4[[#This Row],[Structures Removed Raw]]/AK$4)*100)*AK$5)+(((FMS_Ranking4[[#This Row],[Removed Pop Raw]]/AR$4)*100)*AR$5)</f>
        <v>0</v>
      </c>
      <c r="BI61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1.0253986498356393</v>
      </c>
      <c r="BJ610" s="205">
        <f>_xlfn.RANK.EQ(FMS_Ranking4[[#This Row],[Total Score 
(with linear
normalization)]],FMS_Ranking4[Total Score 
(with linear
normalization)],0)</f>
        <v>716</v>
      </c>
      <c r="BK610" s="205" t="e">
        <f>_xlfn.XLOOKUP(FMS_Ranking4[[#This Row],[FMS ID]],#REF!,#REF!)</f>
        <v>#REF!</v>
      </c>
      <c r="BL61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13.735752697719128</v>
      </c>
      <c r="BM610" s="272">
        <f>FMS_Ranking4[[#This Row],[ArcSinh Score Based on Normalized Reported Factors]]+FMS_Ranking4[[#This Row],[% NBS Score (Normalized)]]+(FMS_Ranking4[[#This Row],[Water Supply Score (Normalized)]]*10*$BB$5)+FMS_Ranking4[[#This Row],[FMS_Type Score Weighted]]</f>
        <v>14.735752697719128</v>
      </c>
      <c r="BN610" s="205">
        <f>_xlfn.RANK.EQ(FMS_Ranking4[[#This Row],[Total Score (with ArcSinh normalization of select criteria)]],FMS_Ranking4[Total Score (with ArcSinh normalization of select criteria)],0)</f>
        <v>603</v>
      </c>
      <c r="BO610" s="270" t="str">
        <f>_xlfn.XLOOKUP(FMS_Ranking4[[#This Row],[FMS ID]],FMS_Input[FMS_ID],FMS_Input[FMS_RANK_YEAR])</f>
        <v>2023 Amended Plan</v>
      </c>
      <c r="BP610" s="204">
        <f>_xlfn.XLOOKUP(FMS_Ranking4[[#This Row],[FMS ID]],Prev_Rank[FMS ID],Prev_Rank[Prev Rank])</f>
        <v>530</v>
      </c>
      <c r="BQ610" s="205" t="e">
        <f>_xlfn.XLOOKUP(FMS_Ranking4[[#This Row],[FMS ID]],#REF!,#REF!)</f>
        <v>#REF!</v>
      </c>
      <c r="BR610" s="199" t="e">
        <f>SUM(#REF!,#REF!,#REF!,#REF!,#REF!,#REF!,#REF!,#REF!,#REF!,FMS_Ranking4[[#This Row],[ArcSinh Res struct removed 0-10]],#REF!)</f>
        <v>#REF!</v>
      </c>
      <c r="BS610" s="199" t="e">
        <f>FMS_Ranking4[[#This Row],[Log Score Based on Normalized Reported Factors]]+FMS_Ranking4[[#This Row],[% NBS Score (Normalized)]]+(FMS_Ranking4[[#This Row],[Water Supply Score (Normalized)]]*10*$BB$5)+(FMS_Ranking4[[#This Row],[FMS_Type Score Weighted]])</f>
        <v>#REF!</v>
      </c>
      <c r="BT610" s="200" t="e">
        <f>_xlfn.RANK.EQ(FMS_Ranking4[[#This Row],[Log Total Score]],FMS_Ranking4[Log Total Score],0)</f>
        <v>#REF!</v>
      </c>
      <c r="BU610" s="200" t="e">
        <f>_xlfn.XLOOKUP(FMS_Ranking4[[#This Row],[FMS ID]],#REF!,#REF!)</f>
        <v>#REF!</v>
      </c>
      <c r="BV610" s="200">
        <f>FMS_Ranking4[[#This Row],[Region Number]]</f>
        <v>3</v>
      </c>
      <c r="BW610" s="200">
        <f>FMS_Ranking4[[#This Row],[Rank (with ArcSinh normalization of select criteria)]]-FMS_Ranking4[[#This Row],[Rank
(with linear
normalization)]]</f>
        <v>-113</v>
      </c>
      <c r="BX610" s="200" t="e">
        <f>FMS_Ranking4[[#This Row],[Log Rank]]-FMS_Ranking4[[#This Row],[Rank
(with linear
normalization)]]</f>
        <v>#REF!</v>
      </c>
      <c r="BY610" s="200" t="str">
        <f>IF(FMS_Ranking4[[#This Row],[FMS Type]]="Flood Measurement and Warning",FMS_Ranking4[[#This Row],[Rank (with ArcSinh normalization of select criteria)]],"")</f>
        <v/>
      </c>
      <c r="BZ610" s="200" t="str">
        <f>IF(FMS_Ranking4[[#This Row],[FMS Type]]="Regulatory and Guidance",FMS_Ranking4[[#This Row],[Rank (with ArcSinh normalization of select criteria)]],"")</f>
        <v/>
      </c>
      <c r="CA610" s="200" t="str">
        <f>IF(FMS_Ranking4[[#This Row],[FMS Type]]="Education and Outreach",FMS_Ranking4[[#This Row],[Rank (with ArcSinh normalization of select criteria)]],"")</f>
        <v/>
      </c>
      <c r="CB610" s="200" t="str">
        <f>IF(FMS_Ranking4[[#This Row],[FMS Type]]="Property Acquisition and Structural Elevation",FMS_Ranking4[[#This Row],[Rank (with ArcSinh normalization of select criteria)]],"")</f>
        <v/>
      </c>
      <c r="CC610" s="200">
        <f>IF(FMS_Ranking4[[#This Row],[FMS Type]]="Infrastructure Projects",FMS_Ranking4[[#This Row],[Rank (with ArcSinh normalization of select criteria)]],"")</f>
        <v>603</v>
      </c>
      <c r="CD610" s="200" t="str">
        <f>IF(FMS_Ranking4[[#This Row],[FMS Type]]="Other",FMS_Ranking4[[#This Row],[Rank (with ArcSinh normalization of select criteria)]],"")</f>
        <v/>
      </c>
      <c r="CE610" s="201"/>
      <c r="CF610" s="206"/>
      <c r="CG610" s="206"/>
      <c r="CH610" s="206"/>
      <c r="CI610" s="206"/>
      <c r="CJ610" s="206"/>
      <c r="CK610" s="206"/>
      <c r="CL610" s="206"/>
      <c r="CM610" s="206"/>
      <c r="CN610" s="206"/>
      <c r="CO610" s="206"/>
      <c r="CP610" s="206"/>
      <c r="CQ610" s="206"/>
      <c r="CR610" s="206"/>
    </row>
    <row r="611" spans="2:96" ht="120" x14ac:dyDescent="0.25">
      <c r="B611" s="341" t="s">
        <v>4807</v>
      </c>
      <c r="C611" s="246">
        <f>_xlfn.XLOOKUP(FMS_Ranking4[[#This Row],[FMS ID]],FMS_Input[FMS_ID],FMS_Input[RFPG_NUM])</f>
        <v>4</v>
      </c>
      <c r="D611" s="309" t="str">
        <f>_xlfn.XLOOKUP(FMS_Ranking4[[#This Row],[FMS ID]],FMS_Input[FMS_ID],FMS_Input[FMS_NAME])</f>
        <v>City of Gladewater Flood Awareness Program</v>
      </c>
      <c r="E611" s="308" t="str">
        <f>_xlfn.XLOOKUP(FMS_Ranking4[[#This Row],[FMS ID]],FMS_Input[FMS_ID],FMS_Input[SPONSOR])</f>
        <v>04002773</v>
      </c>
      <c r="F611" s="309" t="str">
        <f>_xlfn.XLOOKUP(FMS_Ranking4[[#This Row],[FMS ID]],Sponsor[FMS_ID],Sponsor[SPONSOR NAME])</f>
        <v>Gladewater</v>
      </c>
      <c r="G611" s="309" t="str">
        <f>_xlfn.XLOOKUP(FMS_Ranking4[[#This Row],[FMS ID]],FMS_Input[FMS_ID],FMS_Input[FMS_DESCR])</f>
        <v>Develop and implement a public education campaign to inform the public about mitigation actions they can take to make their family and home safer. Put information and links to outside resources on city websites and facebook pages.</v>
      </c>
      <c r="H611" s="248" t="str">
        <f>_xlfn.XLOOKUP(FMS_Ranking4[[#This Row],[FMS ID]],FMS_Input[FMS_ID],FMS_Input[FMS_TYPE])</f>
        <v>Education and Outreach</v>
      </c>
      <c r="I611" s="249">
        <f>_xlfn.XLOOKUP(FMS_Ranking4[[#This Row],[FMS ID]],FMS_Input[FMS_ID],FMS_Input[NRNC_COST])</f>
        <v>10000</v>
      </c>
      <c r="J611" s="250">
        <f>_xlfn.XLOOKUP(FMS_Ranking4[[#This Row],[FMS ID]],FMS_Input[FMS_ID],FMS_Input[FMS_COST])</f>
        <v>10000</v>
      </c>
      <c r="K611" s="251" t="str">
        <f>_xlfn.XLOOKUP(FMS_Ranking4[[#This Row],[FMS ID]],FMS_Input[FMS_ID],FMS_Input[EMER_NEED])</f>
        <v>No</v>
      </c>
      <c r="L611" s="252">
        <f t="shared" si="9"/>
        <v>0</v>
      </c>
      <c r="M611" s="253">
        <f>_xlfn.XLOOKUP(FMS_Ranking4[[#This Row],[FMS ID]],FMS_Input[FMS_ID],FMS_Input[STRUCT_100])</f>
        <v>146</v>
      </c>
      <c r="N611" s="255">
        <f>(ASINH(FMS_Ranking4[[#This Row],[Structure at Risk Raw]]))*(10)/(ASINH(M$4))</f>
        <v>4.4627829406266981</v>
      </c>
      <c r="O611" s="256">
        <f>FMS_Ranking4[[#This Row],[Structures at risk, ArcSinh (0-10)]]*M$5*10</f>
        <v>4.4627829406266981</v>
      </c>
      <c r="P611" s="253">
        <f>_xlfn.XLOOKUP(FMS_Ranking4[[#This Row],[FMS ID]],FMS_Input[FMS_ID],FMS_Input[RES_STRUCT100])</f>
        <v>103</v>
      </c>
      <c r="Q611" s="257">
        <f>ASINH(FMS_Ranking4[[#This Row],[Res Structure Raw]])/Q$4*P$5*100</f>
        <v>0</v>
      </c>
      <c r="R611" s="253">
        <f>_xlfn.XLOOKUP(FMS_Ranking4[[#This Row],[FMS ID]],FMS_Input[FMS_ID],FMS_Input[POP100])</f>
        <v>225</v>
      </c>
      <c r="S611" s="259">
        <f>(ASINH(FMS_Ranking4[[#This Row],[Pop at Risk Raw]]))*(10)/(ASINH(R$4))</f>
        <v>4.2175726832890197</v>
      </c>
      <c r="T611" s="256">
        <f>FMS_Ranking4[[#This Row],[Population at risk, ArcSinh (0-10)]]*R$5*10</f>
        <v>4.2175726832890197</v>
      </c>
      <c r="U611" s="253">
        <f>_xlfn.XLOOKUP(FMS_Ranking4[[#This Row],[FMS ID]],FMS_Input[FMS_ID],FMS_Input[CRITFAC100])</f>
        <v>0</v>
      </c>
      <c r="V611" s="259">
        <f>(ASINH(FMS_Ranking4[[#This Row],[Critical Facilities Raw]]))*(10)/(ASINH(U$4))</f>
        <v>0</v>
      </c>
      <c r="W611" s="256">
        <f>FMS_Ranking4[[#This Row],[Critical facilities at risk, ArcSinh (0-10)]]*U$5*10</f>
        <v>0</v>
      </c>
      <c r="X611" s="253">
        <f>_xlfn.XLOOKUP(FMS_Ranking4[[#This Row],[FMS ID]],FMS_Input[FMS_ID],FMS_Input[LWC])</f>
        <v>0</v>
      </c>
      <c r="Y611" s="259">
        <f>(ASINH(FMS_Ranking4[[#This Row],[LWC Raw]]))*(10)/(ASINH(X$4))</f>
        <v>0</v>
      </c>
      <c r="Z611" s="256">
        <f>FMS_Ranking4[[#This Row],[LWC, ArcSInh (0-10)]]*X$5*10</f>
        <v>0</v>
      </c>
      <c r="AA611" s="253">
        <f>_xlfn.XLOOKUP(FMS_Ranking4[[#This Row],[FMS ID]],FMS_Input[FMS_ID],FMS_Input[ROADCLS])</f>
        <v>0</v>
      </c>
      <c r="AB611" s="255">
        <f>(ASINH(FMS_Ranking4[[#This Row],[Road Closures Raw]]))*(10)/(ASINH(AA$4))</f>
        <v>0</v>
      </c>
      <c r="AC611" s="256">
        <f>FMS_Ranking4[[#This Row],[Road closures, ArcSinh (0-10)]]*AA$5*10</f>
        <v>0</v>
      </c>
      <c r="AD611" s="253">
        <f>_xlfn.XLOOKUP(FMS_Ranking4[[#This Row],[FMS ID]],FMS_Input[FMS_ID],FMS_Input[ROAD_MILES100])</f>
        <v>4</v>
      </c>
      <c r="AE611" s="259">
        <f>(ASINH(FMS_Ranking4[[#This Row],[Road Miles Raw]]))*(10)/(ASINH(AD$4))</f>
        <v>2.2323872691766113</v>
      </c>
      <c r="AF611" s="256">
        <f>FMS_Ranking4[[#This Row],[Length of roads at risk, ArcSinh (0-10)]]*AD$5*10</f>
        <v>2.2323872691766113</v>
      </c>
      <c r="AG611" s="253">
        <f>_xlfn.XLOOKUP(FMS_Ranking4[[#This Row],[FMS ID]],FMS_Input[FMS_ID],FMS_Input[FARMACRE100])</f>
        <v>307.5699462890625</v>
      </c>
      <c r="AH611" s="255">
        <f>(ASINH(FMS_Ranking4[[#This Row],[Ag Land Raw]]))*(10)/(ASINH(AG$4))</f>
        <v>4.1715162867094451</v>
      </c>
      <c r="AI611" s="260">
        <f>FMS_Ranking4[[#This Row],[Farm &amp; ranch land, ArcSinh (0-10)]]*AG$5*10</f>
        <v>2.0857581433547225</v>
      </c>
      <c r="AJ611" s="258">
        <f>_xlfn.XLOOKUP(FMS_Ranking4[[#This Row],[FMS ID]],FMS_Input[FMS_ID],FMS_Input[REDSTRUCT100])</f>
        <v>0</v>
      </c>
      <c r="AK611" s="253">
        <f>_xlfn.XLOOKUP(FMS_Ranking4[[#This Row],[FMS ID]],FMS_Input[FMS_ID],FMS_Input[REMSTRC100])</f>
        <v>0</v>
      </c>
      <c r="AL611" s="259">
        <f>(ASINH(FMS_Ranking4[[#This Row],[Structures Removed Raw]]))*(10)/(ASINH(AK$4))</f>
        <v>0</v>
      </c>
      <c r="AM611" s="262">
        <f>FMS_Ranking4[[#This Row],[Structures removed, ArcSinh (0-10)]]*AK$5*10</f>
        <v>0</v>
      </c>
      <c r="AN611" s="253">
        <f>_xlfn.XLOOKUP(FMS_Ranking4[[#This Row],[FMS ID]],FMS_Input[FMS_ID],FMS_Input[REMRESSTRC100])</f>
        <v>0</v>
      </c>
      <c r="AO611" s="261">
        <f>FMS_Ranking4[[#This Row],[ArcSinh Res struct removed 0-10]]*AN$5*10</f>
        <v>0</v>
      </c>
      <c r="AP611" s="260">
        <f>ASINH(FMS_Ranking4[[#This Row],[Residential Structures Removed Raw]])/AP$4*AN$5*100</f>
        <v>0</v>
      </c>
      <c r="AQ611" s="254">
        <f>(ASINH(FMS_Ranking4[[#This Row],[Residential Structures Removed Raw]]))*(10)/(ASINH(AN$4))</f>
        <v>0</v>
      </c>
      <c r="AR611" s="253">
        <f>_xlfn.XLOOKUP(FMS_Ranking4[[#This Row],[FMS ID]],FMS_Input[FMS_ID],FMS_Input[REMPOP100])</f>
        <v>0</v>
      </c>
      <c r="AS611" s="259">
        <f>(ASINH(FMS_Ranking4[[#This Row],[Removed Pop Raw]]))*(10)/(ASINH(AR$4))</f>
        <v>0</v>
      </c>
      <c r="AT611" s="262">
        <f>FMS_Ranking4[[#This Row],[Removed population, ArcSinh (0-10)]]*AR$5*10</f>
        <v>0</v>
      </c>
      <c r="AU611" s="264">
        <f>_xlfn.XLOOKUP(FMS_Ranking4[[#This Row],[FMS ID]],FMS_Input[FMS_ID],FMS_Input[REMCRITFAC100])</f>
        <v>0</v>
      </c>
      <c r="AV611" s="264">
        <f>_xlfn.XLOOKUP(FMS_Ranking4[[#This Row],[FMS ID]],FMS_Input[FMS_ID],FMS_Input[REMLWC100])</f>
        <v>0</v>
      </c>
      <c r="AW611" s="264">
        <f>_xlfn.XLOOKUP(FMS_Ranking4[[#This Row],[FMS ID]],FMS_Input[FMS_ID],FMS_Input[REMROADCLS])</f>
        <v>0</v>
      </c>
      <c r="AX611" s="264">
        <f>_xlfn.XLOOKUP(FMS_Ranking4[[#This Row],[FMS ID]],FMS_Input[FMS_ID],FMS_Input[REMFRMACRE100])</f>
        <v>0</v>
      </c>
      <c r="AY611" s="258">
        <f>_xlfn.XLOOKUP(FMS_Ranking4[[#This Row],[FMS ID]],FMS_Input[FMS_ID],FMS_Input[COSTSTRUCT])</f>
        <v>0</v>
      </c>
      <c r="AZ611" s="253">
        <f>_xlfn.XLOOKUP(FMS_Ranking4[[#This Row],[FMS ID]],FMS_Input[FMS_ID],FMS_Input[NATURE])</f>
        <v>0</v>
      </c>
      <c r="BA611" s="262">
        <f>(((FMS_Ranking4[[#This Row],[% NBS Raw]]/AZ$4)*100)*AZ$5)</f>
        <v>0</v>
      </c>
      <c r="BB611" s="251" t="str">
        <f>_xlfn.XLOOKUP(FMS_Ranking4[[#This Row],[FMS ID]],FMS_Input[FMS_ID],FMS_Input[WATER_SUP])</f>
        <v>No</v>
      </c>
      <c r="BC611" s="265">
        <f>IF(FMS_Ranking4[[#This Row],[Water Supply Raw]]="Yes",10,0)</f>
        <v>0</v>
      </c>
      <c r="BD611" s="266">
        <f>_xlfn.XLOOKUP(FMS_Ranking4[[#This Row],[FMS Type]],FMS_TYPE[FMS_Type],FMS_TYPE[Score])</f>
        <v>6</v>
      </c>
      <c r="BE611" s="267">
        <f>FMS_Ranking4[[#This Row],[FMS_Type Score]]*$BD$5*10</f>
        <v>1.5000000000000002</v>
      </c>
      <c r="BF61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1.8397746296932836E-2</v>
      </c>
      <c r="BG611" s="271">
        <f>_xlfn.RANK.EQ(BF611,$BF$8:$BF$870,0)+COUNTIF($BF$8:BF611,BF611)-1</f>
        <v>640</v>
      </c>
      <c r="BH611" s="268">
        <f>(((FMS_Ranking4[[#This Row],[Structures Removed Raw]]/AK$4)*100)*AK$5)+(((FMS_Ranking4[[#This Row],[Removed Pop Raw]]/AR$4)*100)*AR$5)</f>
        <v>0</v>
      </c>
      <c r="BI61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1.5183977462969331</v>
      </c>
      <c r="BJ611" s="205">
        <f>_xlfn.RANK.EQ(FMS_Ranking4[[#This Row],[Total Score 
(with linear
normalization)]],FMS_Ranking4[Total Score 
(with linear
normalization)],0)</f>
        <v>595</v>
      </c>
      <c r="BK611" s="205" t="e">
        <f>_xlfn.XLOOKUP(FMS_Ranking4[[#This Row],[FMS ID]],#REF!,#REF!)</f>
        <v>#REF!</v>
      </c>
      <c r="BL61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12.998501036447051</v>
      </c>
      <c r="BM611" s="272">
        <f>FMS_Ranking4[[#This Row],[ArcSinh Score Based on Normalized Reported Factors]]+FMS_Ranking4[[#This Row],[% NBS Score (Normalized)]]+(FMS_Ranking4[[#This Row],[Water Supply Score (Normalized)]]*10*$BB$5)+FMS_Ranking4[[#This Row],[FMS_Type Score Weighted]]</f>
        <v>14.498501036447051</v>
      </c>
      <c r="BN611" s="205">
        <f>_xlfn.RANK.EQ(FMS_Ranking4[[#This Row],[Total Score (with ArcSinh normalization of select criteria)]],FMS_Ranking4[Total Score (with ArcSinh normalization of select criteria)],0)</f>
        <v>604</v>
      </c>
      <c r="BO611" s="270" t="str">
        <f>_xlfn.XLOOKUP(FMS_Ranking4[[#This Row],[FMS ID]],FMS_Input[FMS_ID],FMS_Input[FMS_RANK_YEAR])</f>
        <v>2023 Amended Plan</v>
      </c>
      <c r="BP611" s="204">
        <f>_xlfn.XLOOKUP(FMS_Ranking4[[#This Row],[FMS ID]],Prev_Rank[FMS ID],Prev_Rank[Prev Rank])</f>
        <v>533</v>
      </c>
      <c r="BQ611" s="205" t="e">
        <f>_xlfn.XLOOKUP(FMS_Ranking4[[#This Row],[FMS ID]],#REF!,#REF!)</f>
        <v>#REF!</v>
      </c>
      <c r="BR611" s="199" t="e">
        <f>SUM(#REF!,#REF!,#REF!,#REF!,#REF!,#REF!,#REF!,#REF!,#REF!,FMS_Ranking4[[#This Row],[ArcSinh Res struct removed 0-10]],#REF!)</f>
        <v>#REF!</v>
      </c>
      <c r="BS611" s="199" t="e">
        <f>FMS_Ranking4[[#This Row],[Log Score Based on Normalized Reported Factors]]+FMS_Ranking4[[#This Row],[% NBS Score (Normalized)]]+(FMS_Ranking4[[#This Row],[Water Supply Score (Normalized)]]*10*$BB$5)+(FMS_Ranking4[[#This Row],[FMS_Type Score Weighted]])</f>
        <v>#REF!</v>
      </c>
      <c r="BT611" s="200" t="e">
        <f>_xlfn.RANK.EQ(FMS_Ranking4[[#This Row],[Log Total Score]],FMS_Ranking4[Log Total Score],0)</f>
        <v>#REF!</v>
      </c>
      <c r="BU611" s="200" t="e">
        <f>_xlfn.XLOOKUP(FMS_Ranking4[[#This Row],[FMS ID]],#REF!,#REF!)</f>
        <v>#REF!</v>
      </c>
      <c r="BV611" s="200">
        <f>FMS_Ranking4[[#This Row],[Region Number]]</f>
        <v>4</v>
      </c>
      <c r="BW611" s="200">
        <f>FMS_Ranking4[[#This Row],[Rank (with ArcSinh normalization of select criteria)]]-FMS_Ranking4[[#This Row],[Rank
(with linear
normalization)]]</f>
        <v>9</v>
      </c>
      <c r="BX611" s="200" t="e">
        <f>FMS_Ranking4[[#This Row],[Log Rank]]-FMS_Ranking4[[#This Row],[Rank
(with linear
normalization)]]</f>
        <v>#REF!</v>
      </c>
      <c r="BY611" s="200" t="str">
        <f>IF(FMS_Ranking4[[#This Row],[FMS Type]]="Flood Measurement and Warning",FMS_Ranking4[[#This Row],[Rank (with ArcSinh normalization of select criteria)]],"")</f>
        <v/>
      </c>
      <c r="BZ611" s="200" t="str">
        <f>IF(FMS_Ranking4[[#This Row],[FMS Type]]="Regulatory and Guidance",FMS_Ranking4[[#This Row],[Rank (with ArcSinh normalization of select criteria)]],"")</f>
        <v/>
      </c>
      <c r="CA611" s="200">
        <f>IF(FMS_Ranking4[[#This Row],[FMS Type]]="Education and Outreach",FMS_Ranking4[[#This Row],[Rank (with ArcSinh normalization of select criteria)]],"")</f>
        <v>604</v>
      </c>
      <c r="CB611" s="200" t="str">
        <f>IF(FMS_Ranking4[[#This Row],[FMS Type]]="Property Acquisition and Structural Elevation",FMS_Ranking4[[#This Row],[Rank (with ArcSinh normalization of select criteria)]],"")</f>
        <v/>
      </c>
      <c r="CC611" s="200" t="str">
        <f>IF(FMS_Ranking4[[#This Row],[FMS Type]]="Infrastructure Projects",FMS_Ranking4[[#This Row],[Rank (with ArcSinh normalization of select criteria)]],"")</f>
        <v/>
      </c>
      <c r="CD611" s="200" t="str">
        <f>IF(FMS_Ranking4[[#This Row],[FMS Type]]="Other",FMS_Ranking4[[#This Row],[Rank (with ArcSinh normalization of select criteria)]],"")</f>
        <v/>
      </c>
      <c r="CE611" s="201"/>
      <c r="CF611" s="206"/>
      <c r="CG611" s="206"/>
      <c r="CH611" s="206"/>
      <c r="CI611" s="206"/>
      <c r="CJ611" s="206"/>
      <c r="CK611" s="206"/>
      <c r="CL611" s="206"/>
      <c r="CM611" s="206"/>
      <c r="CN611" s="206"/>
      <c r="CO611" s="206"/>
      <c r="CP611" s="206"/>
      <c r="CQ611" s="206"/>
      <c r="CR611" s="206"/>
    </row>
    <row r="612" spans="2:96" ht="30" x14ac:dyDescent="0.25">
      <c r="B612" s="341" t="s">
        <v>3360</v>
      </c>
      <c r="C612" s="246">
        <f>_xlfn.XLOOKUP(FMS_Ranking4[[#This Row],[FMS ID]],FMS_Input[FMS_ID],FMS_Input[RFPG_NUM])</f>
        <v>7</v>
      </c>
      <c r="D612" s="309" t="str">
        <f>_xlfn.XLOOKUP(FMS_Ranking4[[#This Row],[FMS ID]],FMS_Input[FMS_ID],FMS_Input[FMS_NAME])</f>
        <v>Lake Stamford Improvements</v>
      </c>
      <c r="E612" s="308" t="str">
        <f>_xlfn.XLOOKUP(FMS_Ranking4[[#This Row],[FMS ID]],FMS_Input[FMS_ID],FMS_Input[SPONSOR])</f>
        <v>07000180</v>
      </c>
      <c r="F612" s="309" t="str">
        <f>_xlfn.XLOOKUP(FMS_Ranking4[[#This Row],[FMS ID]],Sponsor[FMS_ID],Sponsor[SPONSOR NAME])</f>
        <v>Haskell</v>
      </c>
      <c r="G612" s="309" t="str">
        <f>_xlfn.XLOOKUP(FMS_Ranking4[[#This Row],[FMS ID]],FMS_Input[FMS_ID],FMS_Input[FMS_DESCR])</f>
        <v>Expand spillway</v>
      </c>
      <c r="H612" s="248" t="str">
        <f>_xlfn.XLOOKUP(FMS_Ranking4[[#This Row],[FMS ID]],FMS_Input[FMS_ID],FMS_Input[FMS_TYPE])</f>
        <v>Infrastructure Projects</v>
      </c>
      <c r="I612" s="249">
        <f>_xlfn.XLOOKUP(FMS_Ranking4[[#This Row],[FMS ID]],FMS_Input[FMS_ID],FMS_Input[NRNC_COST])</f>
        <v>400000</v>
      </c>
      <c r="J612" s="250">
        <f>_xlfn.XLOOKUP(FMS_Ranking4[[#This Row],[FMS ID]],FMS_Input[FMS_ID],FMS_Input[FMS_COST])</f>
        <v>400000</v>
      </c>
      <c r="K612" s="251" t="str">
        <f>_xlfn.XLOOKUP(FMS_Ranking4[[#This Row],[FMS ID]],FMS_Input[FMS_ID],FMS_Input[EMER_NEED])</f>
        <v>No</v>
      </c>
      <c r="L612" s="252">
        <f t="shared" si="9"/>
        <v>0</v>
      </c>
      <c r="M612" s="253">
        <f>_xlfn.XLOOKUP(FMS_Ranking4[[#This Row],[FMS ID]],FMS_Input[FMS_ID],FMS_Input[STRUCT_100])</f>
        <v>181</v>
      </c>
      <c r="N612" s="255">
        <f>(ASINH(FMS_Ranking4[[#This Row],[Structure at Risk Raw]]))*(10)/(ASINH(M$4))</f>
        <v>4.6317155773764744</v>
      </c>
      <c r="O612" s="256">
        <f>FMS_Ranking4[[#This Row],[Structures at risk, ArcSinh (0-10)]]*M$5*10</f>
        <v>4.6317155773764744</v>
      </c>
      <c r="P612" s="253">
        <f>_xlfn.XLOOKUP(FMS_Ranking4[[#This Row],[FMS ID]],FMS_Input[FMS_ID],FMS_Input[RES_STRUCT100])</f>
        <v>35</v>
      </c>
      <c r="Q612" s="257">
        <f>ASINH(FMS_Ranking4[[#This Row],[Res Structure Raw]])/Q$4*P$5*100</f>
        <v>0</v>
      </c>
      <c r="R612" s="253">
        <f>_xlfn.XLOOKUP(FMS_Ranking4[[#This Row],[FMS ID]],FMS_Input[FMS_ID],FMS_Input[POP100])</f>
        <v>146</v>
      </c>
      <c r="S612" s="255">
        <f>(ASINH(FMS_Ranking4[[#This Row],[Pop at Risk Raw]]))*(10)/(ASINH(R$4))</f>
        <v>3.9190017351397799</v>
      </c>
      <c r="T612" s="256">
        <f>FMS_Ranking4[[#This Row],[Population at risk, ArcSinh (0-10)]]*R$5*10</f>
        <v>3.9190017351397799</v>
      </c>
      <c r="U612" s="253">
        <f>_xlfn.XLOOKUP(FMS_Ranking4[[#This Row],[FMS ID]],FMS_Input[FMS_ID],FMS_Input[CRITFAC100])</f>
        <v>0</v>
      </c>
      <c r="V612" s="255">
        <f>(ASINH(FMS_Ranking4[[#This Row],[Critical Facilities Raw]]))*(10)/(ASINH(U$4))</f>
        <v>0</v>
      </c>
      <c r="W612" s="256">
        <f>FMS_Ranking4[[#This Row],[Critical facilities at risk, ArcSinh (0-10)]]*U$5*10</f>
        <v>0</v>
      </c>
      <c r="X612" s="253">
        <f>_xlfn.XLOOKUP(FMS_Ranking4[[#This Row],[FMS ID]],FMS_Input[FMS_ID],FMS_Input[LWC])</f>
        <v>0</v>
      </c>
      <c r="Y612" s="255">
        <f>(ASINH(FMS_Ranking4[[#This Row],[LWC Raw]]))*(10)/(ASINH(X$4))</f>
        <v>0</v>
      </c>
      <c r="Z612" s="256">
        <f>FMS_Ranking4[[#This Row],[LWC, ArcSInh (0-10)]]*X$5*10</f>
        <v>0</v>
      </c>
      <c r="AA612" s="253">
        <f>_xlfn.XLOOKUP(FMS_Ranking4[[#This Row],[FMS ID]],FMS_Input[FMS_ID],FMS_Input[ROADCLS])</f>
        <v>0</v>
      </c>
      <c r="AB612" s="255">
        <f>(ASINH(FMS_Ranking4[[#This Row],[Road Closures Raw]]))*(10)/(ASINH(AA$4))</f>
        <v>0</v>
      </c>
      <c r="AC612" s="256">
        <f>FMS_Ranking4[[#This Row],[Road closures, ArcSinh (0-10)]]*AA$5*10</f>
        <v>0</v>
      </c>
      <c r="AD612" s="253">
        <f>_xlfn.XLOOKUP(FMS_Ranking4[[#This Row],[FMS ID]],FMS_Input[FMS_ID],FMS_Input[ROAD_MILES100])</f>
        <v>5</v>
      </c>
      <c r="AE612" s="255">
        <f>(ASINH(FMS_Ranking4[[#This Row],[Road Miles Raw]]))*(10)/(ASINH(AD$4))</f>
        <v>2.4644230639487872</v>
      </c>
      <c r="AF612" s="256">
        <f>FMS_Ranking4[[#This Row],[Length of roads at risk, ArcSinh (0-10)]]*AD$5*10</f>
        <v>2.4644230639487876</v>
      </c>
      <c r="AG612" s="253">
        <f>_xlfn.XLOOKUP(FMS_Ranking4[[#This Row],[FMS ID]],FMS_Input[FMS_ID],FMS_Input[FARMACRE100])</f>
        <v>1008.981079101562</v>
      </c>
      <c r="AH612" s="255">
        <f>(ASINH(FMS_Ranking4[[#This Row],[Ag Land Raw]]))*(10)/(ASINH(AG$4))</f>
        <v>4.9432134481247578</v>
      </c>
      <c r="AI612" s="260">
        <f>FMS_Ranking4[[#This Row],[Farm &amp; ranch land, ArcSinh (0-10)]]*AG$5*10</f>
        <v>2.4716067240623789</v>
      </c>
      <c r="AJ612" s="258">
        <f>_xlfn.XLOOKUP(FMS_Ranking4[[#This Row],[FMS ID]],FMS_Input[FMS_ID],FMS_Input[REDSTRUCT100])</f>
        <v>0</v>
      </c>
      <c r="AK612" s="253">
        <f>_xlfn.XLOOKUP(FMS_Ranking4[[#This Row],[FMS ID]],FMS_Input[FMS_ID],FMS_Input[REMSTRC100])</f>
        <v>0</v>
      </c>
      <c r="AL612" s="255">
        <f>(ASINH(FMS_Ranking4[[#This Row],[Structures Removed Raw]]))*(10)/(ASINH(AK$4))</f>
        <v>0</v>
      </c>
      <c r="AM612" s="262">
        <f>FMS_Ranking4[[#This Row],[Structures removed, ArcSinh (0-10)]]*AK$5*10</f>
        <v>0</v>
      </c>
      <c r="AN612" s="253">
        <f>_xlfn.XLOOKUP(FMS_Ranking4[[#This Row],[FMS ID]],FMS_Input[FMS_ID],FMS_Input[REMRESSTRC100])</f>
        <v>0</v>
      </c>
      <c r="AO612" s="261">
        <f>FMS_Ranking4[[#This Row],[ArcSinh Res struct removed 0-10]]*AN$5*10</f>
        <v>0</v>
      </c>
      <c r="AP612" s="260">
        <f>ASINH(FMS_Ranking4[[#This Row],[Residential Structures Removed Raw]])/AP$4*AN$5*100</f>
        <v>0</v>
      </c>
      <c r="AQ612" s="258">
        <f>(ASINH(FMS_Ranking4[[#This Row],[Residential Structures Removed Raw]]))*(10)/(ASINH(AN$4))</f>
        <v>0</v>
      </c>
      <c r="AR612" s="253">
        <f>_xlfn.XLOOKUP(FMS_Ranking4[[#This Row],[FMS ID]],FMS_Input[FMS_ID],FMS_Input[REMPOP100])</f>
        <v>0</v>
      </c>
      <c r="AS612" s="255">
        <f>(ASINH(FMS_Ranking4[[#This Row],[Removed Pop Raw]]))*(10)/(ASINH(AR$4))</f>
        <v>0</v>
      </c>
      <c r="AT612" s="262">
        <f>FMS_Ranking4[[#This Row],[Removed population, ArcSinh (0-10)]]*AR$5*10</f>
        <v>0</v>
      </c>
      <c r="AU612" s="264">
        <f>_xlfn.XLOOKUP(FMS_Ranking4[[#This Row],[FMS ID]],FMS_Input[FMS_ID],FMS_Input[REMCRITFAC100])</f>
        <v>0</v>
      </c>
      <c r="AV612" s="264">
        <f>_xlfn.XLOOKUP(FMS_Ranking4[[#This Row],[FMS ID]],FMS_Input[FMS_ID],FMS_Input[REMLWC100])</f>
        <v>0</v>
      </c>
      <c r="AW612" s="264">
        <f>_xlfn.XLOOKUP(FMS_Ranking4[[#This Row],[FMS ID]],FMS_Input[FMS_ID],FMS_Input[REMROADCLS])</f>
        <v>0</v>
      </c>
      <c r="AX612" s="264">
        <f>_xlfn.XLOOKUP(FMS_Ranking4[[#This Row],[FMS ID]],FMS_Input[FMS_ID],FMS_Input[REMFRMACRE100])</f>
        <v>0</v>
      </c>
      <c r="AY612" s="258">
        <f>_xlfn.XLOOKUP(FMS_Ranking4[[#This Row],[FMS ID]],FMS_Input[FMS_ID],FMS_Input[COSTSTRUCT])</f>
        <v>0</v>
      </c>
      <c r="AZ612" s="253">
        <f>_xlfn.XLOOKUP(FMS_Ranking4[[#This Row],[FMS ID]],FMS_Input[FMS_ID],FMS_Input[NATURE])</f>
        <v>0</v>
      </c>
      <c r="BA612" s="262">
        <f>(((FMS_Ranking4[[#This Row],[% NBS Raw]]/AZ$4)*100)*AZ$5)</f>
        <v>0</v>
      </c>
      <c r="BB612" s="251" t="str">
        <f>_xlfn.XLOOKUP(FMS_Ranking4[[#This Row],[FMS ID]],FMS_Input[FMS_ID],FMS_Input[WATER_SUP])</f>
        <v>No</v>
      </c>
      <c r="BC612" s="265">
        <f>IF(FMS_Ranking4[[#This Row],[Water Supply Raw]]="Yes",10,0)</f>
        <v>0</v>
      </c>
      <c r="BD612" s="266">
        <f>_xlfn.XLOOKUP(FMS_Ranking4[[#This Row],[FMS Type]],FMS_TYPE[FMS_Type],FMS_TYPE[Score])</f>
        <v>4</v>
      </c>
      <c r="BE612" s="267">
        <f>FMS_Ranking4[[#This Row],[FMS_Type Score]]*$BD$5*10</f>
        <v>1</v>
      </c>
      <c r="BF61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2.2810545271144598E-2</v>
      </c>
      <c r="BG612" s="321">
        <f>_xlfn.RANK.EQ(BF612,$BF$8:$BF$870,0)+COUNTIF($BF$8:BF612,BF612)-1</f>
        <v>622</v>
      </c>
      <c r="BH612" s="294">
        <f>(((FMS_Ranking4[[#This Row],[Structures Removed Raw]]/AK$4)*100)*AK$5)+(((FMS_Ranking4[[#This Row],[Removed Pop Raw]]/AR$4)*100)*AR$5)</f>
        <v>0</v>
      </c>
      <c r="BI61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1.0228105452711447</v>
      </c>
      <c r="BJ612" s="251">
        <f>_xlfn.RANK.EQ(FMS_Ranking4[[#This Row],[Total Score 
(with linear
normalization)]],FMS_Ranking4[Total Score 
(with linear
normalization)],0)</f>
        <v>717</v>
      </c>
      <c r="BK612" s="251" t="e">
        <f>_xlfn.XLOOKUP(FMS_Ranking4[[#This Row],[FMS ID]],#REF!,#REF!)</f>
        <v>#REF!</v>
      </c>
      <c r="BL61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13.486747100527422</v>
      </c>
      <c r="BM612" s="324">
        <f>FMS_Ranking4[[#This Row],[ArcSinh Score Based on Normalized Reported Factors]]+FMS_Ranking4[[#This Row],[% NBS Score (Normalized)]]+(FMS_Ranking4[[#This Row],[Water Supply Score (Normalized)]]*10*$BB$5)+FMS_Ranking4[[#This Row],[FMS_Type Score Weighted]]</f>
        <v>14.486747100527422</v>
      </c>
      <c r="BN612" s="251">
        <f>_xlfn.RANK.EQ(FMS_Ranking4[[#This Row],[Total Score (with ArcSinh normalization of select criteria)]],FMS_Ranking4[Total Score (with ArcSinh normalization of select criteria)],0)</f>
        <v>605</v>
      </c>
      <c r="BO612" s="270" t="str">
        <f>_xlfn.XLOOKUP(FMS_Ranking4[[#This Row],[FMS ID]],FMS_Input[FMS_ID],FMS_Input[FMS_RANK_YEAR])</f>
        <v>2023 Amended Plan</v>
      </c>
      <c r="BP612" s="204">
        <f>_xlfn.XLOOKUP(FMS_Ranking4[[#This Row],[FMS ID]],Prev_Rank[FMS ID],Prev_Rank[Prev Rank])</f>
        <v>537</v>
      </c>
      <c r="BQ612" s="251" t="e">
        <f>_xlfn.XLOOKUP(FMS_Ranking4[[#This Row],[FMS ID]],#REF!,#REF!)</f>
        <v>#REF!</v>
      </c>
      <c r="BR612" s="199" t="e">
        <f>SUM(#REF!,#REF!,#REF!,#REF!,#REF!,#REF!,#REF!,#REF!,#REF!,FMS_Ranking4[[#This Row],[ArcSinh Res struct removed 0-10]],#REF!)</f>
        <v>#REF!</v>
      </c>
      <c r="BS612" s="199" t="e">
        <f>FMS_Ranking4[[#This Row],[Log Score Based on Normalized Reported Factors]]+FMS_Ranking4[[#This Row],[% NBS Score (Normalized)]]+(FMS_Ranking4[[#This Row],[Water Supply Score (Normalized)]]*10*$BB$5)+(FMS_Ranking4[[#This Row],[FMS_Type Score Weighted]])</f>
        <v>#REF!</v>
      </c>
      <c r="BT612" s="200" t="e">
        <f>_xlfn.RANK.EQ(FMS_Ranking4[[#This Row],[Log Total Score]],FMS_Ranking4[Log Total Score],0)</f>
        <v>#REF!</v>
      </c>
      <c r="BU612" s="200" t="e">
        <f>_xlfn.XLOOKUP(FMS_Ranking4[[#This Row],[FMS ID]],#REF!,#REF!)</f>
        <v>#REF!</v>
      </c>
      <c r="BV612" s="200">
        <f>FMS_Ranking4[[#This Row],[Region Number]]</f>
        <v>7</v>
      </c>
      <c r="BW612" s="200">
        <f>FMS_Ranking4[[#This Row],[Rank (with ArcSinh normalization of select criteria)]]-FMS_Ranking4[[#This Row],[Rank
(with linear
normalization)]]</f>
        <v>-112</v>
      </c>
      <c r="BX612" s="200" t="e">
        <f>FMS_Ranking4[[#This Row],[Log Rank]]-FMS_Ranking4[[#This Row],[Rank
(with linear
normalization)]]</f>
        <v>#REF!</v>
      </c>
      <c r="BY612" s="200" t="str">
        <f>IF(FMS_Ranking4[[#This Row],[FMS Type]]="Flood Measurement and Warning",FMS_Ranking4[[#This Row],[Rank (with ArcSinh normalization of select criteria)]],"")</f>
        <v/>
      </c>
      <c r="BZ612" s="200" t="str">
        <f>IF(FMS_Ranking4[[#This Row],[FMS Type]]="Regulatory and Guidance",FMS_Ranking4[[#This Row],[Rank (with ArcSinh normalization of select criteria)]],"")</f>
        <v/>
      </c>
      <c r="CA612" s="200" t="str">
        <f>IF(FMS_Ranking4[[#This Row],[FMS Type]]="Education and Outreach",FMS_Ranking4[[#This Row],[Rank (with ArcSinh normalization of select criteria)]],"")</f>
        <v/>
      </c>
      <c r="CB612" s="200" t="str">
        <f>IF(FMS_Ranking4[[#This Row],[FMS Type]]="Property Acquisition and Structural Elevation",FMS_Ranking4[[#This Row],[Rank (with ArcSinh normalization of select criteria)]],"")</f>
        <v/>
      </c>
      <c r="CC612" s="200">
        <f>IF(FMS_Ranking4[[#This Row],[FMS Type]]="Infrastructure Projects",FMS_Ranking4[[#This Row],[Rank (with ArcSinh normalization of select criteria)]],"")</f>
        <v>605</v>
      </c>
      <c r="CD612" s="200" t="str">
        <f>IF(FMS_Ranking4[[#This Row],[FMS Type]]="Other",FMS_Ranking4[[#This Row],[Rank (with ArcSinh normalization of select criteria)]],"")</f>
        <v/>
      </c>
      <c r="CE612" s="201"/>
      <c r="CF612" s="206"/>
      <c r="CG612" s="206"/>
      <c r="CH612" s="206"/>
      <c r="CI612" s="206"/>
      <c r="CJ612" s="206"/>
      <c r="CK612" s="206"/>
      <c r="CL612" s="206"/>
      <c r="CM612" s="206"/>
      <c r="CN612" s="206"/>
      <c r="CO612" s="206"/>
      <c r="CP612" s="206"/>
      <c r="CQ612" s="206"/>
      <c r="CR612" s="206"/>
    </row>
    <row r="613" spans="2:96" ht="120" x14ac:dyDescent="0.25">
      <c r="B613" s="341" t="s">
        <v>3913</v>
      </c>
      <c r="C613" s="246">
        <f>_xlfn.XLOOKUP(FMS_Ranking4[[#This Row],[FMS ID]],FMS_Input[FMS_ID],FMS_Input[RFPG_NUM])</f>
        <v>15</v>
      </c>
      <c r="D613" s="309" t="str">
        <f>_xlfn.XLOOKUP(FMS_Ranking4[[#This Row],[FMS ID]],FMS_Input[FMS_ID],FMS_Input[FMS_NAME])</f>
        <v>Indian Lake Action #2</v>
      </c>
      <c r="E613" s="308" t="str">
        <f>_xlfn.XLOOKUP(FMS_Ranking4[[#This Row],[FMS ID]],FMS_Input[FMS_ID],FMS_Input[SPONSOR])</f>
        <v>15000046</v>
      </c>
      <c r="F613" s="309" t="str">
        <f>_xlfn.XLOOKUP(FMS_Ranking4[[#This Row],[FMS ID]],Sponsor[FMS_ID],Sponsor[SPONSOR NAME])</f>
        <v>Indian Lake</v>
      </c>
      <c r="G613" s="309" t="str">
        <f>_xlfn.XLOOKUP(FMS_Ranking4[[#This Row],[FMS ID]],FMS_Input[FMS_ID],FMS_Input[FMS_DESCR])</f>
        <v>Educate property owners about residential mitigation measures for all natural hazards such as the need to elevate structures, implementing residential mitigation measures, install retaining walls, and avoid building in high hazard areas</v>
      </c>
      <c r="H613" s="248" t="str">
        <f>_xlfn.XLOOKUP(FMS_Ranking4[[#This Row],[FMS ID]],FMS_Input[FMS_ID],FMS_Input[FMS_TYPE])</f>
        <v>Education and Outreach</v>
      </c>
      <c r="I613" s="249">
        <f>_xlfn.XLOOKUP(FMS_Ranking4[[#This Row],[FMS ID]],FMS_Input[FMS_ID],FMS_Input[NRNC_COST])</f>
        <v>1000</v>
      </c>
      <c r="J613" s="250">
        <f>_xlfn.XLOOKUP(FMS_Ranking4[[#This Row],[FMS ID]],FMS_Input[FMS_ID],FMS_Input[FMS_COST])</f>
        <v>500</v>
      </c>
      <c r="K613" s="251" t="str">
        <f>_xlfn.XLOOKUP(FMS_Ranking4[[#This Row],[FMS ID]],FMS_Input[FMS_ID],FMS_Input[EMER_NEED])</f>
        <v>Yes</v>
      </c>
      <c r="L613" s="252">
        <f t="shared" si="9"/>
        <v>1</v>
      </c>
      <c r="M613" s="253">
        <f>_xlfn.XLOOKUP(FMS_Ranking4[[#This Row],[FMS ID]],FMS_Input[FMS_ID],FMS_Input[STRUCT_100])</f>
        <v>238</v>
      </c>
      <c r="N613" s="255">
        <f>(ASINH(FMS_Ranking4[[#This Row],[Structure at Risk Raw]]))*(10)/(ASINH(M$4))</f>
        <v>4.8469398940530244</v>
      </c>
      <c r="O613" s="256">
        <f>FMS_Ranking4[[#This Row],[Structures at risk, ArcSinh (0-10)]]*M$5*10</f>
        <v>4.8469398940530244</v>
      </c>
      <c r="P613" s="253">
        <f>_xlfn.XLOOKUP(FMS_Ranking4[[#This Row],[FMS ID]],FMS_Input[FMS_ID],FMS_Input[RES_STRUCT100])</f>
        <v>227</v>
      </c>
      <c r="Q613" s="257">
        <f>ASINH(FMS_Ranking4[[#This Row],[Res Structure Raw]])/Q$4*P$5*100</f>
        <v>0</v>
      </c>
      <c r="R613" s="253">
        <f>_xlfn.XLOOKUP(FMS_Ranking4[[#This Row],[FMS ID]],FMS_Input[FMS_ID],FMS_Input[POP100])</f>
        <v>599</v>
      </c>
      <c r="S613" s="259">
        <f>(ASINH(FMS_Ranking4[[#This Row],[Pop at Risk Raw]]))*(10)/(ASINH(R$4))</f>
        <v>4.8935417334314204</v>
      </c>
      <c r="T613" s="256">
        <f>FMS_Ranking4[[#This Row],[Population at risk, ArcSinh (0-10)]]*R$5*10</f>
        <v>4.8935417334314204</v>
      </c>
      <c r="U613" s="253">
        <f>_xlfn.XLOOKUP(FMS_Ranking4[[#This Row],[FMS ID]],FMS_Input[FMS_ID],FMS_Input[CRITFAC100])</f>
        <v>0</v>
      </c>
      <c r="V613" s="259">
        <f>(ASINH(FMS_Ranking4[[#This Row],[Critical Facilities Raw]]))*(10)/(ASINH(U$4))</f>
        <v>0</v>
      </c>
      <c r="W613" s="256">
        <f>FMS_Ranking4[[#This Row],[Critical facilities at risk, ArcSinh (0-10)]]*U$5*10</f>
        <v>0</v>
      </c>
      <c r="X613" s="253">
        <f>_xlfn.XLOOKUP(FMS_Ranking4[[#This Row],[FMS ID]],FMS_Input[FMS_ID],FMS_Input[LWC])</f>
        <v>0</v>
      </c>
      <c r="Y613" s="259">
        <f>(ASINH(FMS_Ranking4[[#This Row],[LWC Raw]]))*(10)/(ASINH(X$4))</f>
        <v>0</v>
      </c>
      <c r="Z613" s="256">
        <f>FMS_Ranking4[[#This Row],[LWC, ArcSInh (0-10)]]*X$5*10</f>
        <v>0</v>
      </c>
      <c r="AA613" s="253">
        <f>_xlfn.XLOOKUP(FMS_Ranking4[[#This Row],[FMS ID]],FMS_Input[FMS_ID],FMS_Input[ROADCLS])</f>
        <v>0</v>
      </c>
      <c r="AB613" s="255">
        <f>(ASINH(FMS_Ranking4[[#This Row],[Road Closures Raw]]))*(10)/(ASINH(AA$4))</f>
        <v>0</v>
      </c>
      <c r="AC613" s="256">
        <f>FMS_Ranking4[[#This Row],[Road closures, ArcSinh (0-10)]]*AA$5*10</f>
        <v>0</v>
      </c>
      <c r="AD613" s="253">
        <f>_xlfn.XLOOKUP(FMS_Ranking4[[#This Row],[FMS ID]],FMS_Input[FMS_ID],FMS_Input[ROAD_MILES100])</f>
        <v>3</v>
      </c>
      <c r="AE613" s="259">
        <f>(ASINH(FMS_Ranking4[[#This Row],[Road Miles Raw]]))*(10)/(ASINH(AD$4))</f>
        <v>1.937963626835977</v>
      </c>
      <c r="AF613" s="256">
        <f>FMS_Ranking4[[#This Row],[Length of roads at risk, ArcSinh (0-10)]]*AD$5*10</f>
        <v>1.937963626835977</v>
      </c>
      <c r="AG613" s="253">
        <f>_xlfn.XLOOKUP(FMS_Ranking4[[#This Row],[FMS ID]],FMS_Input[FMS_ID],FMS_Input[FARMACRE100])</f>
        <v>26.746669769287109</v>
      </c>
      <c r="AH613" s="255">
        <f>(ASINH(FMS_Ranking4[[#This Row],[Ag Land Raw]]))*(10)/(ASINH(AG$4))</f>
        <v>2.5852734671870521</v>
      </c>
      <c r="AI613" s="260">
        <f>FMS_Ranking4[[#This Row],[Farm &amp; ranch land, ArcSinh (0-10)]]*AG$5*10</f>
        <v>1.292636733593526</v>
      </c>
      <c r="AJ613" s="258">
        <f>_xlfn.XLOOKUP(FMS_Ranking4[[#This Row],[FMS ID]],FMS_Input[FMS_ID],FMS_Input[REDSTRUCT100])</f>
        <v>0</v>
      </c>
      <c r="AK613" s="253">
        <f>_xlfn.XLOOKUP(FMS_Ranking4[[#This Row],[FMS ID]],FMS_Input[FMS_ID],FMS_Input[REMSTRC100])</f>
        <v>0</v>
      </c>
      <c r="AL613" s="259">
        <f>(ASINH(FMS_Ranking4[[#This Row],[Structures Removed Raw]]))*(10)/(ASINH(AK$4))</f>
        <v>0</v>
      </c>
      <c r="AM613" s="262">
        <f>FMS_Ranking4[[#This Row],[Structures removed, ArcSinh (0-10)]]*AK$5*10</f>
        <v>0</v>
      </c>
      <c r="AN613" s="253">
        <f>_xlfn.XLOOKUP(FMS_Ranking4[[#This Row],[FMS ID]],FMS_Input[FMS_ID],FMS_Input[REMRESSTRC100])</f>
        <v>0</v>
      </c>
      <c r="AO613" s="261">
        <f>FMS_Ranking4[[#This Row],[ArcSinh Res struct removed 0-10]]*AN$5*10</f>
        <v>0</v>
      </c>
      <c r="AP613" s="260">
        <f>ASINH(FMS_Ranking4[[#This Row],[Residential Structures Removed Raw]])/AP$4*AN$5*100</f>
        <v>0</v>
      </c>
      <c r="AQ613" s="254">
        <f>(ASINH(FMS_Ranking4[[#This Row],[Residential Structures Removed Raw]]))*(10)/(ASINH(AN$4))</f>
        <v>0</v>
      </c>
      <c r="AR613" s="253">
        <f>_xlfn.XLOOKUP(FMS_Ranking4[[#This Row],[FMS ID]],FMS_Input[FMS_ID],FMS_Input[REMPOP100])</f>
        <v>0</v>
      </c>
      <c r="AS613" s="259">
        <f>(ASINH(FMS_Ranking4[[#This Row],[Removed Pop Raw]]))*(10)/(ASINH(AR$4))</f>
        <v>0</v>
      </c>
      <c r="AT613" s="262">
        <f>FMS_Ranking4[[#This Row],[Removed population, ArcSinh (0-10)]]*AR$5*10</f>
        <v>0</v>
      </c>
      <c r="AU613" s="264">
        <f>_xlfn.XLOOKUP(FMS_Ranking4[[#This Row],[FMS ID]],FMS_Input[FMS_ID],FMS_Input[REMCRITFAC100])</f>
        <v>0</v>
      </c>
      <c r="AV613" s="264">
        <f>_xlfn.XLOOKUP(FMS_Ranking4[[#This Row],[FMS ID]],FMS_Input[FMS_ID],FMS_Input[REMLWC100])</f>
        <v>0</v>
      </c>
      <c r="AW613" s="264">
        <f>_xlfn.XLOOKUP(FMS_Ranking4[[#This Row],[FMS ID]],FMS_Input[FMS_ID],FMS_Input[REMROADCLS])</f>
        <v>0</v>
      </c>
      <c r="AX613" s="264">
        <f>_xlfn.XLOOKUP(FMS_Ranking4[[#This Row],[FMS ID]],FMS_Input[FMS_ID],FMS_Input[REMFRMACRE100])</f>
        <v>0</v>
      </c>
      <c r="AY613" s="258">
        <f>_xlfn.XLOOKUP(FMS_Ranking4[[#This Row],[FMS ID]],FMS_Input[FMS_ID],FMS_Input[COSTSTRUCT])</f>
        <v>0</v>
      </c>
      <c r="AZ613" s="253">
        <f>_xlfn.XLOOKUP(FMS_Ranking4[[#This Row],[FMS ID]],FMS_Input[FMS_ID],FMS_Input[NATURE])</f>
        <v>0</v>
      </c>
      <c r="BA613" s="262">
        <f>(((FMS_Ranking4[[#This Row],[% NBS Raw]]/AZ$4)*100)*AZ$5)</f>
        <v>0</v>
      </c>
      <c r="BB613" s="251" t="str">
        <f>_xlfn.XLOOKUP(FMS_Ranking4[[#This Row],[FMS ID]],FMS_Input[FMS_ID],FMS_Input[WATER_SUP])</f>
        <v>No</v>
      </c>
      <c r="BC613" s="265">
        <f>IF(FMS_Ranking4[[#This Row],[Water Supply Raw]]="Yes",10,0)</f>
        <v>0</v>
      </c>
      <c r="BD613" s="266">
        <f>_xlfn.XLOOKUP(FMS_Ranking4[[#This Row],[FMS Type]],FMS_TYPE[FMS_Type],FMS_TYPE[Score])</f>
        <v>6</v>
      </c>
      <c r="BE613" s="267">
        <f>FMS_Ranking4[[#This Row],[FMS_Type Score]]*$BD$5*10</f>
        <v>1.5000000000000002</v>
      </c>
      <c r="BF61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2.5466626110841689E-2</v>
      </c>
      <c r="BG613" s="271">
        <f>_xlfn.RANK.EQ(BF613,$BF$8:$BF$870,0)+COUNTIF($BF$8:BF613,BF613)-1</f>
        <v>618</v>
      </c>
      <c r="BH613" s="268">
        <f>(((FMS_Ranking4[[#This Row],[Structures Removed Raw]]/AK$4)*100)*AK$5)+(((FMS_Ranking4[[#This Row],[Removed Pop Raw]]/AR$4)*100)*AR$5)</f>
        <v>0</v>
      </c>
      <c r="BI61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1.5254666261108418</v>
      </c>
      <c r="BJ613" s="205">
        <f>_xlfn.RANK.EQ(FMS_Ranking4[[#This Row],[Total Score 
(with linear
normalization)]],FMS_Ranking4[Total Score 
(with linear
normalization)],0)</f>
        <v>588</v>
      </c>
      <c r="BK613" s="205" t="e">
        <f>_xlfn.XLOOKUP(FMS_Ranking4[[#This Row],[FMS ID]],#REF!,#REF!)</f>
        <v>#REF!</v>
      </c>
      <c r="BL61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12.971081987913948</v>
      </c>
      <c r="BM613" s="272">
        <f>FMS_Ranking4[[#This Row],[ArcSinh Score Based on Normalized Reported Factors]]+FMS_Ranking4[[#This Row],[% NBS Score (Normalized)]]+(FMS_Ranking4[[#This Row],[Water Supply Score (Normalized)]]*10*$BB$5)+FMS_Ranking4[[#This Row],[FMS_Type Score Weighted]]</f>
        <v>14.471081987913948</v>
      </c>
      <c r="BN613" s="205">
        <f>_xlfn.RANK.EQ(FMS_Ranking4[[#This Row],[Total Score (with ArcSinh normalization of select criteria)]],FMS_Ranking4[Total Score (with ArcSinh normalization of select criteria)],0)</f>
        <v>606</v>
      </c>
      <c r="BO613" s="270" t="str">
        <f>_xlfn.XLOOKUP(FMS_Ranking4[[#This Row],[FMS ID]],FMS_Input[FMS_ID],FMS_Input[FMS_RANK_YEAR])</f>
        <v>2023 Amended Plan</v>
      </c>
      <c r="BP613" s="204">
        <f>_xlfn.XLOOKUP(FMS_Ranking4[[#This Row],[FMS ID]],Prev_Rank[FMS ID],Prev_Rank[Prev Rank])</f>
        <v>535</v>
      </c>
      <c r="BQ613" s="205" t="e">
        <f>_xlfn.XLOOKUP(FMS_Ranking4[[#This Row],[FMS ID]],#REF!,#REF!)</f>
        <v>#REF!</v>
      </c>
      <c r="BR613" s="199" t="e">
        <f>SUM(#REF!,#REF!,#REF!,#REF!,#REF!,#REF!,#REF!,#REF!,#REF!,FMS_Ranking4[[#This Row],[ArcSinh Res struct removed 0-10]],#REF!)</f>
        <v>#REF!</v>
      </c>
      <c r="BS613" s="199" t="e">
        <f>FMS_Ranking4[[#This Row],[Log Score Based on Normalized Reported Factors]]+FMS_Ranking4[[#This Row],[% NBS Score (Normalized)]]+(FMS_Ranking4[[#This Row],[Water Supply Score (Normalized)]]*10*$BB$5)+(FMS_Ranking4[[#This Row],[FMS_Type Score Weighted]])</f>
        <v>#REF!</v>
      </c>
      <c r="BT613" s="200" t="e">
        <f>_xlfn.RANK.EQ(FMS_Ranking4[[#This Row],[Log Total Score]],FMS_Ranking4[Log Total Score],0)</f>
        <v>#REF!</v>
      </c>
      <c r="BU613" s="200" t="e">
        <f>_xlfn.XLOOKUP(FMS_Ranking4[[#This Row],[FMS ID]],#REF!,#REF!)</f>
        <v>#REF!</v>
      </c>
      <c r="BV613" s="200">
        <f>FMS_Ranking4[[#This Row],[Region Number]]</f>
        <v>15</v>
      </c>
      <c r="BW613" s="200">
        <f>FMS_Ranking4[[#This Row],[Rank (with ArcSinh normalization of select criteria)]]-FMS_Ranking4[[#This Row],[Rank
(with linear
normalization)]]</f>
        <v>18</v>
      </c>
      <c r="BX613" s="200" t="e">
        <f>FMS_Ranking4[[#This Row],[Log Rank]]-FMS_Ranking4[[#This Row],[Rank
(with linear
normalization)]]</f>
        <v>#REF!</v>
      </c>
      <c r="BY613" s="200" t="str">
        <f>IF(FMS_Ranking4[[#This Row],[FMS Type]]="Flood Measurement and Warning",FMS_Ranking4[[#This Row],[Rank (with ArcSinh normalization of select criteria)]],"")</f>
        <v/>
      </c>
      <c r="BZ613" s="200" t="str">
        <f>IF(FMS_Ranking4[[#This Row],[FMS Type]]="Regulatory and Guidance",FMS_Ranking4[[#This Row],[Rank (with ArcSinh normalization of select criteria)]],"")</f>
        <v/>
      </c>
      <c r="CA613" s="200">
        <f>IF(FMS_Ranking4[[#This Row],[FMS Type]]="Education and Outreach",FMS_Ranking4[[#This Row],[Rank (with ArcSinh normalization of select criteria)]],"")</f>
        <v>606</v>
      </c>
      <c r="CB613" s="200" t="str">
        <f>IF(FMS_Ranking4[[#This Row],[FMS Type]]="Property Acquisition and Structural Elevation",FMS_Ranking4[[#This Row],[Rank (with ArcSinh normalization of select criteria)]],"")</f>
        <v/>
      </c>
      <c r="CC613" s="200" t="str">
        <f>IF(FMS_Ranking4[[#This Row],[FMS Type]]="Infrastructure Projects",FMS_Ranking4[[#This Row],[Rank (with ArcSinh normalization of select criteria)]],"")</f>
        <v/>
      </c>
      <c r="CD613" s="200" t="str">
        <f>IF(FMS_Ranking4[[#This Row],[FMS Type]]="Other",FMS_Ranking4[[#This Row],[Rank (with ArcSinh normalization of select criteria)]],"")</f>
        <v/>
      </c>
      <c r="CE613" s="201"/>
      <c r="CF613" s="206"/>
      <c r="CG613" s="206"/>
      <c r="CH613" s="206"/>
      <c r="CI613" s="206"/>
      <c r="CJ613" s="206"/>
      <c r="CK613" s="206"/>
      <c r="CL613" s="206"/>
      <c r="CM613" s="206"/>
      <c r="CN613" s="206"/>
      <c r="CO613" s="206"/>
      <c r="CP613" s="206"/>
      <c r="CQ613" s="206"/>
      <c r="CR613" s="206"/>
    </row>
    <row r="614" spans="2:96" ht="30" x14ac:dyDescent="0.25">
      <c r="B614" s="341" t="s">
        <v>3920</v>
      </c>
      <c r="C614" s="246">
        <f>_xlfn.XLOOKUP(FMS_Ranking4[[#This Row],[FMS ID]],FMS_Input[FMS_ID],FMS_Input[RFPG_NUM])</f>
        <v>15</v>
      </c>
      <c r="D614" s="309" t="str">
        <f>_xlfn.XLOOKUP(FMS_Ranking4[[#This Row],[FMS ID]],FMS_Input[FMS_ID],FMS_Input[FMS_NAME])</f>
        <v>Indian Lake Action #9</v>
      </c>
      <c r="E614" s="308" t="str">
        <f>_xlfn.XLOOKUP(FMS_Ranking4[[#This Row],[FMS ID]],FMS_Input[FMS_ID],FMS_Input[SPONSOR])</f>
        <v>15000046</v>
      </c>
      <c r="F614" s="309" t="str">
        <f>_xlfn.XLOOKUP(FMS_Ranking4[[#This Row],[FMS ID]],Sponsor[FMS_ID],Sponsor[SPONSOR NAME])</f>
        <v>Indian Lake</v>
      </c>
      <c r="G614" s="309" t="str">
        <f>_xlfn.XLOOKUP(FMS_Ranking4[[#This Row],[FMS ID]],FMS_Input[FMS_ID],FMS_Input[FMS_DESCR])</f>
        <v>Prepare and advertise local evacuation plan and procedures</v>
      </c>
      <c r="H614" s="248" t="str">
        <f>_xlfn.XLOOKUP(FMS_Ranking4[[#This Row],[FMS ID]],FMS_Input[FMS_ID],FMS_Input[FMS_TYPE])</f>
        <v>Education and Outreach</v>
      </c>
      <c r="I614" s="249">
        <f>_xlfn.XLOOKUP(FMS_Ranking4[[#This Row],[FMS ID]],FMS_Input[FMS_ID],FMS_Input[NRNC_COST])</f>
        <v>1000</v>
      </c>
      <c r="J614" s="250">
        <f>_xlfn.XLOOKUP(FMS_Ranking4[[#This Row],[FMS ID]],FMS_Input[FMS_ID],FMS_Input[FMS_COST])</f>
        <v>500</v>
      </c>
      <c r="K614" s="251" t="str">
        <f>_xlfn.XLOOKUP(FMS_Ranking4[[#This Row],[FMS ID]],FMS_Input[FMS_ID],FMS_Input[EMER_NEED])</f>
        <v>Yes</v>
      </c>
      <c r="L614" s="252">
        <f t="shared" si="9"/>
        <v>1</v>
      </c>
      <c r="M614" s="253">
        <f>_xlfn.XLOOKUP(FMS_Ranking4[[#This Row],[FMS ID]],FMS_Input[FMS_ID],FMS_Input[STRUCT_100])</f>
        <v>238</v>
      </c>
      <c r="N614" s="255">
        <f>(ASINH(FMS_Ranking4[[#This Row],[Structure at Risk Raw]]))*(10)/(ASINH(M$4))</f>
        <v>4.8469398940530244</v>
      </c>
      <c r="O614" s="256">
        <f>FMS_Ranking4[[#This Row],[Structures at risk, ArcSinh (0-10)]]*M$5*10</f>
        <v>4.8469398940530244</v>
      </c>
      <c r="P614" s="253">
        <f>_xlfn.XLOOKUP(FMS_Ranking4[[#This Row],[FMS ID]],FMS_Input[FMS_ID],FMS_Input[RES_STRUCT100])</f>
        <v>227</v>
      </c>
      <c r="Q614" s="257">
        <f>ASINH(FMS_Ranking4[[#This Row],[Res Structure Raw]])/Q$4*P$5*100</f>
        <v>0</v>
      </c>
      <c r="R614" s="253">
        <f>_xlfn.XLOOKUP(FMS_Ranking4[[#This Row],[FMS ID]],FMS_Input[FMS_ID],FMS_Input[POP100])</f>
        <v>599</v>
      </c>
      <c r="S614" s="259">
        <f>(ASINH(FMS_Ranking4[[#This Row],[Pop at Risk Raw]]))*(10)/(ASINH(R$4))</f>
        <v>4.8935417334314204</v>
      </c>
      <c r="T614" s="256">
        <f>FMS_Ranking4[[#This Row],[Population at risk, ArcSinh (0-10)]]*R$5*10</f>
        <v>4.8935417334314204</v>
      </c>
      <c r="U614" s="253">
        <f>_xlfn.XLOOKUP(FMS_Ranking4[[#This Row],[FMS ID]],FMS_Input[FMS_ID],FMS_Input[CRITFAC100])</f>
        <v>0</v>
      </c>
      <c r="V614" s="259">
        <f>(ASINH(FMS_Ranking4[[#This Row],[Critical Facilities Raw]]))*(10)/(ASINH(U$4))</f>
        <v>0</v>
      </c>
      <c r="W614" s="256">
        <f>FMS_Ranking4[[#This Row],[Critical facilities at risk, ArcSinh (0-10)]]*U$5*10</f>
        <v>0</v>
      </c>
      <c r="X614" s="253">
        <f>_xlfn.XLOOKUP(FMS_Ranking4[[#This Row],[FMS ID]],FMS_Input[FMS_ID],FMS_Input[LWC])</f>
        <v>0</v>
      </c>
      <c r="Y614" s="259">
        <f>(ASINH(FMS_Ranking4[[#This Row],[LWC Raw]]))*(10)/(ASINH(X$4))</f>
        <v>0</v>
      </c>
      <c r="Z614" s="256">
        <f>FMS_Ranking4[[#This Row],[LWC, ArcSInh (0-10)]]*X$5*10</f>
        <v>0</v>
      </c>
      <c r="AA614" s="253">
        <f>_xlfn.XLOOKUP(FMS_Ranking4[[#This Row],[FMS ID]],FMS_Input[FMS_ID],FMS_Input[ROADCLS])</f>
        <v>0</v>
      </c>
      <c r="AB614" s="255">
        <f>(ASINH(FMS_Ranking4[[#This Row],[Road Closures Raw]]))*(10)/(ASINH(AA$4))</f>
        <v>0</v>
      </c>
      <c r="AC614" s="256">
        <f>FMS_Ranking4[[#This Row],[Road closures, ArcSinh (0-10)]]*AA$5*10</f>
        <v>0</v>
      </c>
      <c r="AD614" s="253">
        <f>_xlfn.XLOOKUP(FMS_Ranking4[[#This Row],[FMS ID]],FMS_Input[FMS_ID],FMS_Input[ROAD_MILES100])</f>
        <v>3</v>
      </c>
      <c r="AE614" s="259">
        <f>(ASINH(FMS_Ranking4[[#This Row],[Road Miles Raw]]))*(10)/(ASINH(AD$4))</f>
        <v>1.937963626835977</v>
      </c>
      <c r="AF614" s="256">
        <f>FMS_Ranking4[[#This Row],[Length of roads at risk, ArcSinh (0-10)]]*AD$5*10</f>
        <v>1.937963626835977</v>
      </c>
      <c r="AG614" s="253">
        <f>_xlfn.XLOOKUP(FMS_Ranking4[[#This Row],[FMS ID]],FMS_Input[FMS_ID],FMS_Input[FARMACRE100])</f>
        <v>26.746669769287109</v>
      </c>
      <c r="AH614" s="255">
        <f>(ASINH(FMS_Ranking4[[#This Row],[Ag Land Raw]]))*(10)/(ASINH(AG$4))</f>
        <v>2.5852734671870521</v>
      </c>
      <c r="AI614" s="260">
        <f>FMS_Ranking4[[#This Row],[Farm &amp; ranch land, ArcSinh (0-10)]]*AG$5*10</f>
        <v>1.292636733593526</v>
      </c>
      <c r="AJ614" s="258">
        <f>_xlfn.XLOOKUP(FMS_Ranking4[[#This Row],[FMS ID]],FMS_Input[FMS_ID],FMS_Input[REDSTRUCT100])</f>
        <v>0</v>
      </c>
      <c r="AK614" s="253">
        <f>_xlfn.XLOOKUP(FMS_Ranking4[[#This Row],[FMS ID]],FMS_Input[FMS_ID],FMS_Input[REMSTRC100])</f>
        <v>0</v>
      </c>
      <c r="AL614" s="259">
        <f>(ASINH(FMS_Ranking4[[#This Row],[Structures Removed Raw]]))*(10)/(ASINH(AK$4))</f>
        <v>0</v>
      </c>
      <c r="AM614" s="262">
        <f>FMS_Ranking4[[#This Row],[Structures removed, ArcSinh (0-10)]]*AK$5*10</f>
        <v>0</v>
      </c>
      <c r="AN614" s="253">
        <f>_xlfn.XLOOKUP(FMS_Ranking4[[#This Row],[FMS ID]],FMS_Input[FMS_ID],FMS_Input[REMRESSTRC100])</f>
        <v>0</v>
      </c>
      <c r="AO614" s="261">
        <f>FMS_Ranking4[[#This Row],[ArcSinh Res struct removed 0-10]]*AN$5*10</f>
        <v>0</v>
      </c>
      <c r="AP614" s="260">
        <f>ASINH(FMS_Ranking4[[#This Row],[Residential Structures Removed Raw]])/AP$4*AN$5*100</f>
        <v>0</v>
      </c>
      <c r="AQ614" s="254">
        <f>(ASINH(FMS_Ranking4[[#This Row],[Residential Structures Removed Raw]]))*(10)/(ASINH(AN$4))</f>
        <v>0</v>
      </c>
      <c r="AR614" s="253">
        <f>_xlfn.XLOOKUP(FMS_Ranking4[[#This Row],[FMS ID]],FMS_Input[FMS_ID],FMS_Input[REMPOP100])</f>
        <v>0</v>
      </c>
      <c r="AS614" s="259">
        <f>(ASINH(FMS_Ranking4[[#This Row],[Removed Pop Raw]]))*(10)/(ASINH(AR$4))</f>
        <v>0</v>
      </c>
      <c r="AT614" s="262">
        <f>FMS_Ranking4[[#This Row],[Removed population, ArcSinh (0-10)]]*AR$5*10</f>
        <v>0</v>
      </c>
      <c r="AU614" s="264">
        <f>_xlfn.XLOOKUP(FMS_Ranking4[[#This Row],[FMS ID]],FMS_Input[FMS_ID],FMS_Input[REMCRITFAC100])</f>
        <v>0</v>
      </c>
      <c r="AV614" s="264">
        <f>_xlfn.XLOOKUP(FMS_Ranking4[[#This Row],[FMS ID]],FMS_Input[FMS_ID],FMS_Input[REMLWC100])</f>
        <v>0</v>
      </c>
      <c r="AW614" s="264">
        <f>_xlfn.XLOOKUP(FMS_Ranking4[[#This Row],[FMS ID]],FMS_Input[FMS_ID],FMS_Input[REMROADCLS])</f>
        <v>0</v>
      </c>
      <c r="AX614" s="264">
        <f>_xlfn.XLOOKUP(FMS_Ranking4[[#This Row],[FMS ID]],FMS_Input[FMS_ID],FMS_Input[REMFRMACRE100])</f>
        <v>0</v>
      </c>
      <c r="AY614" s="258">
        <f>_xlfn.XLOOKUP(FMS_Ranking4[[#This Row],[FMS ID]],FMS_Input[FMS_ID],FMS_Input[COSTSTRUCT])</f>
        <v>0</v>
      </c>
      <c r="AZ614" s="253">
        <f>_xlfn.XLOOKUP(FMS_Ranking4[[#This Row],[FMS ID]],FMS_Input[FMS_ID],FMS_Input[NATURE])</f>
        <v>0</v>
      </c>
      <c r="BA614" s="262">
        <f>(((FMS_Ranking4[[#This Row],[% NBS Raw]]/AZ$4)*100)*AZ$5)</f>
        <v>0</v>
      </c>
      <c r="BB614" s="251" t="str">
        <f>_xlfn.XLOOKUP(FMS_Ranking4[[#This Row],[FMS ID]],FMS_Input[FMS_ID],FMS_Input[WATER_SUP])</f>
        <v>No</v>
      </c>
      <c r="BC614" s="265">
        <f>IF(FMS_Ranking4[[#This Row],[Water Supply Raw]]="Yes",10,0)</f>
        <v>0</v>
      </c>
      <c r="BD614" s="266">
        <f>_xlfn.XLOOKUP(FMS_Ranking4[[#This Row],[FMS Type]],FMS_TYPE[FMS_Type],FMS_TYPE[Score])</f>
        <v>6</v>
      </c>
      <c r="BE614" s="267">
        <f>FMS_Ranking4[[#This Row],[FMS_Type Score]]*$BD$5*10</f>
        <v>1.5000000000000002</v>
      </c>
      <c r="BF61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2.5466626110841689E-2</v>
      </c>
      <c r="BG614" s="271">
        <f>_xlfn.RANK.EQ(BF614,$BF$8:$BF$870,0)+COUNTIF($BF$8:BF614,BF614)-1</f>
        <v>619</v>
      </c>
      <c r="BH614" s="268">
        <f>(((FMS_Ranking4[[#This Row],[Structures Removed Raw]]/AK$4)*100)*AK$5)+(((FMS_Ranking4[[#This Row],[Removed Pop Raw]]/AR$4)*100)*AR$5)</f>
        <v>0</v>
      </c>
      <c r="BI61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1.5254666261108418</v>
      </c>
      <c r="BJ614" s="205">
        <f>_xlfn.RANK.EQ(FMS_Ranking4[[#This Row],[Total Score 
(with linear
normalization)]],FMS_Ranking4[Total Score 
(with linear
normalization)],0)</f>
        <v>588</v>
      </c>
      <c r="BK614" s="205" t="e">
        <f>_xlfn.XLOOKUP(FMS_Ranking4[[#This Row],[FMS ID]],#REF!,#REF!)</f>
        <v>#REF!</v>
      </c>
      <c r="BL61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12.971081987913948</v>
      </c>
      <c r="BM614" s="272">
        <f>FMS_Ranking4[[#This Row],[ArcSinh Score Based on Normalized Reported Factors]]+FMS_Ranking4[[#This Row],[% NBS Score (Normalized)]]+(FMS_Ranking4[[#This Row],[Water Supply Score (Normalized)]]*10*$BB$5)+FMS_Ranking4[[#This Row],[FMS_Type Score Weighted]]</f>
        <v>14.471081987913948</v>
      </c>
      <c r="BN614" s="205">
        <f>_xlfn.RANK.EQ(FMS_Ranking4[[#This Row],[Total Score (with ArcSinh normalization of select criteria)]],FMS_Ranking4[Total Score (with ArcSinh normalization of select criteria)],0)</f>
        <v>606</v>
      </c>
      <c r="BO614" s="270" t="str">
        <f>_xlfn.XLOOKUP(FMS_Ranking4[[#This Row],[FMS ID]],FMS_Input[FMS_ID],FMS_Input[FMS_RANK_YEAR])</f>
        <v>2023 Amended Plan</v>
      </c>
      <c r="BP614" s="204">
        <f>_xlfn.XLOOKUP(FMS_Ranking4[[#This Row],[FMS ID]],Prev_Rank[FMS ID],Prev_Rank[Prev Rank])</f>
        <v>535</v>
      </c>
      <c r="BQ614" s="205" t="e">
        <f>_xlfn.XLOOKUP(FMS_Ranking4[[#This Row],[FMS ID]],#REF!,#REF!)</f>
        <v>#REF!</v>
      </c>
      <c r="BR614" s="199" t="e">
        <f>SUM(#REF!,#REF!,#REF!,#REF!,#REF!,#REF!,#REF!,#REF!,#REF!,FMS_Ranking4[[#This Row],[ArcSinh Res struct removed 0-10]],#REF!)</f>
        <v>#REF!</v>
      </c>
      <c r="BS614" s="199" t="e">
        <f>FMS_Ranking4[[#This Row],[Log Score Based on Normalized Reported Factors]]+FMS_Ranking4[[#This Row],[% NBS Score (Normalized)]]+(FMS_Ranking4[[#This Row],[Water Supply Score (Normalized)]]*10*$BB$5)+(FMS_Ranking4[[#This Row],[FMS_Type Score Weighted]])</f>
        <v>#REF!</v>
      </c>
      <c r="BT614" s="200" t="e">
        <f>_xlfn.RANK.EQ(FMS_Ranking4[[#This Row],[Log Total Score]],FMS_Ranking4[Log Total Score],0)</f>
        <v>#REF!</v>
      </c>
      <c r="BU614" s="200" t="e">
        <f>_xlfn.XLOOKUP(FMS_Ranking4[[#This Row],[FMS ID]],#REF!,#REF!)</f>
        <v>#REF!</v>
      </c>
      <c r="BV614" s="200">
        <f>FMS_Ranking4[[#This Row],[Region Number]]</f>
        <v>15</v>
      </c>
      <c r="BW614" s="200">
        <f>FMS_Ranking4[[#This Row],[Rank (with ArcSinh normalization of select criteria)]]-FMS_Ranking4[[#This Row],[Rank
(with linear
normalization)]]</f>
        <v>18</v>
      </c>
      <c r="BX614" s="200" t="e">
        <f>FMS_Ranking4[[#This Row],[Log Rank]]-FMS_Ranking4[[#This Row],[Rank
(with linear
normalization)]]</f>
        <v>#REF!</v>
      </c>
      <c r="BY614" s="200" t="str">
        <f>IF(FMS_Ranking4[[#This Row],[FMS Type]]="Flood Measurement and Warning",FMS_Ranking4[[#This Row],[Rank (with ArcSinh normalization of select criteria)]],"")</f>
        <v/>
      </c>
      <c r="BZ614" s="200" t="str">
        <f>IF(FMS_Ranking4[[#This Row],[FMS Type]]="Regulatory and Guidance",FMS_Ranking4[[#This Row],[Rank (with ArcSinh normalization of select criteria)]],"")</f>
        <v/>
      </c>
      <c r="CA614" s="200">
        <f>IF(FMS_Ranking4[[#This Row],[FMS Type]]="Education and Outreach",FMS_Ranking4[[#This Row],[Rank (with ArcSinh normalization of select criteria)]],"")</f>
        <v>606</v>
      </c>
      <c r="CB614" s="200" t="str">
        <f>IF(FMS_Ranking4[[#This Row],[FMS Type]]="Property Acquisition and Structural Elevation",FMS_Ranking4[[#This Row],[Rank (with ArcSinh normalization of select criteria)]],"")</f>
        <v/>
      </c>
      <c r="CC614" s="200" t="str">
        <f>IF(FMS_Ranking4[[#This Row],[FMS Type]]="Infrastructure Projects",FMS_Ranking4[[#This Row],[Rank (with ArcSinh normalization of select criteria)]],"")</f>
        <v/>
      </c>
      <c r="CD614" s="200" t="str">
        <f>IF(FMS_Ranking4[[#This Row],[FMS Type]]="Other",FMS_Ranking4[[#This Row],[Rank (with ArcSinh normalization of select criteria)]],"")</f>
        <v/>
      </c>
      <c r="CE614" s="201"/>
      <c r="CF614" s="206"/>
      <c r="CG614" s="206"/>
      <c r="CH614" s="206"/>
      <c r="CI614" s="206"/>
      <c r="CJ614" s="206"/>
      <c r="CK614" s="206"/>
      <c r="CL614" s="206"/>
      <c r="CM614" s="206"/>
      <c r="CN614" s="206"/>
      <c r="CO614" s="206"/>
      <c r="CP614" s="206"/>
      <c r="CQ614" s="206"/>
      <c r="CR614" s="206"/>
    </row>
    <row r="615" spans="2:96" ht="105" x14ac:dyDescent="0.25">
      <c r="B615" s="341" t="s">
        <v>2249</v>
      </c>
      <c r="C615" s="246">
        <f>_xlfn.XLOOKUP(FMS_Ranking4[[#This Row],[FMS ID]],FMS_Input[FMS_ID],FMS_Input[RFPG_NUM])</f>
        <v>3</v>
      </c>
      <c r="D615" s="309" t="str">
        <f>_xlfn.XLOOKUP(FMS_Ranking4[[#This Row],[FMS ID]],FMS_Input[FMS_ID],FMS_Input[FMS_NAME])</f>
        <v>Fannin County Flood Safety Education</v>
      </c>
      <c r="E615" s="308" t="str">
        <f>_xlfn.XLOOKUP(FMS_Ranking4[[#This Row],[FMS ID]],FMS_Input[FMS_ID],FMS_Input[SPONSOR])</f>
        <v>Fannin County</v>
      </c>
      <c r="F615" s="309" t="str">
        <f>_xlfn.XLOOKUP(FMS_Ranking4[[#This Row],[FMS ID]],Sponsor[FMS_ID],Sponsor[SPONSOR NAME])</f>
        <v>Fannin County</v>
      </c>
      <c r="G615" s="309" t="str">
        <f>_xlfn.XLOOKUP(FMS_Ranking4[[#This Row],[FMS ID]],FMS_Input[FMS_ID],FMS_Input[FMS_DESCR])</f>
        <v>Education programs such as “Turn around Don’t Drown.” Work with local newspaper to run flood safety information. Public education via water bills, social media, and webpage to promote flood safety.</v>
      </c>
      <c r="H615" s="248" t="str">
        <f>_xlfn.XLOOKUP(FMS_Ranking4[[#This Row],[FMS ID]],FMS_Input[FMS_ID],FMS_Input[FMS_TYPE])</f>
        <v>Education and Outreach</v>
      </c>
      <c r="I615" s="249">
        <f>_xlfn.XLOOKUP(FMS_Ranking4[[#This Row],[FMS ID]],FMS_Input[FMS_ID],FMS_Input[NRNC_COST])</f>
        <v>50000</v>
      </c>
      <c r="J615" s="250">
        <f>_xlfn.XLOOKUP(FMS_Ranking4[[#This Row],[FMS ID]],FMS_Input[FMS_ID],FMS_Input[FMS_COST])</f>
        <v>50000</v>
      </c>
      <c r="K615" s="251" t="str">
        <f>_xlfn.XLOOKUP(FMS_Ranking4[[#This Row],[FMS ID]],FMS_Input[FMS_ID],FMS_Input[EMER_NEED])</f>
        <v>No</v>
      </c>
      <c r="L615" s="252">
        <f t="shared" si="9"/>
        <v>0</v>
      </c>
      <c r="M615" s="253">
        <f>_xlfn.XLOOKUP(FMS_Ranking4[[#This Row],[FMS ID]],FMS_Input[FMS_ID],FMS_Input[STRUCT_100])</f>
        <v>139</v>
      </c>
      <c r="N615" s="255">
        <f>(ASINH(FMS_Ranking4[[#This Row],[Structure at Risk Raw]]))*(10)/(ASINH(M$4))</f>
        <v>4.4241582838628482</v>
      </c>
      <c r="O615" s="256">
        <f>FMS_Ranking4[[#This Row],[Structures at risk, ArcSinh (0-10)]]*M$5*10</f>
        <v>4.4241582838628482</v>
      </c>
      <c r="P615" s="253">
        <f>_xlfn.XLOOKUP(FMS_Ranking4[[#This Row],[FMS ID]],FMS_Input[FMS_ID],FMS_Input[RES_STRUCT100])</f>
        <v>119</v>
      </c>
      <c r="Q615" s="257">
        <f>ASINH(FMS_Ranking4[[#This Row],[Res Structure Raw]])/Q$4*P$5*100</f>
        <v>0</v>
      </c>
      <c r="R615" s="253">
        <f>_xlfn.XLOOKUP(FMS_Ranking4[[#This Row],[FMS ID]],FMS_Input[FMS_ID],FMS_Input[POP100])</f>
        <v>91</v>
      </c>
      <c r="S615" s="259">
        <f>(ASINH(FMS_Ranking4[[#This Row],[Pop at Risk Raw]]))*(10)/(ASINH(R$4))</f>
        <v>3.5926496232807952</v>
      </c>
      <c r="T615" s="256">
        <f>FMS_Ranking4[[#This Row],[Population at risk, ArcSinh (0-10)]]*R$5*10</f>
        <v>3.5926496232807952</v>
      </c>
      <c r="U615" s="253">
        <f>_xlfn.XLOOKUP(FMS_Ranking4[[#This Row],[FMS ID]],FMS_Input[FMS_ID],FMS_Input[CRITFAC100])</f>
        <v>0</v>
      </c>
      <c r="V615" s="259">
        <f>(ASINH(FMS_Ranking4[[#This Row],[Critical Facilities Raw]]))*(10)/(ASINH(U$4))</f>
        <v>0</v>
      </c>
      <c r="W615" s="256">
        <f>FMS_Ranking4[[#This Row],[Critical facilities at risk, ArcSinh (0-10)]]*U$5*10</f>
        <v>0</v>
      </c>
      <c r="X615" s="253">
        <f>_xlfn.XLOOKUP(FMS_Ranking4[[#This Row],[FMS ID]],FMS_Input[FMS_ID],FMS_Input[LWC])</f>
        <v>0</v>
      </c>
      <c r="Y615" s="259">
        <f>(ASINH(FMS_Ranking4[[#This Row],[LWC Raw]]))*(10)/(ASINH(X$4))</f>
        <v>0</v>
      </c>
      <c r="Z615" s="256">
        <f>FMS_Ranking4[[#This Row],[LWC, ArcSInh (0-10)]]*X$5*10</f>
        <v>0</v>
      </c>
      <c r="AA615" s="253">
        <f>_xlfn.XLOOKUP(FMS_Ranking4[[#This Row],[FMS ID]],FMS_Input[FMS_ID],FMS_Input[ROADCLS])</f>
        <v>0</v>
      </c>
      <c r="AB615" s="255">
        <f>(ASINH(FMS_Ranking4[[#This Row],[Road Closures Raw]]))*(10)/(ASINH(AA$4))</f>
        <v>0</v>
      </c>
      <c r="AC615" s="256">
        <f>FMS_Ranking4[[#This Row],[Road closures, ArcSinh (0-10)]]*AA$5*10</f>
        <v>0</v>
      </c>
      <c r="AD615" s="253">
        <f>_xlfn.XLOOKUP(FMS_Ranking4[[#This Row],[FMS ID]],FMS_Input[FMS_ID],FMS_Input[ROAD_MILES100])</f>
        <v>4</v>
      </c>
      <c r="AE615" s="259">
        <f>(ASINH(FMS_Ranking4[[#This Row],[Road Miles Raw]]))*(10)/(ASINH(AD$4))</f>
        <v>2.2323872691766113</v>
      </c>
      <c r="AF615" s="256">
        <f>FMS_Ranking4[[#This Row],[Length of roads at risk, ArcSinh (0-10)]]*AD$5*10</f>
        <v>2.2323872691766113</v>
      </c>
      <c r="AG615" s="253">
        <f>_xlfn.XLOOKUP(FMS_Ranking4[[#This Row],[FMS ID]],FMS_Input[FMS_ID],FMS_Input[FARMACRE100])</f>
        <v>1782.619995117188</v>
      </c>
      <c r="AH615" s="255">
        <f>(ASINH(FMS_Ranking4[[#This Row],[Ag Land Raw]]))*(10)/(ASINH(AG$4))</f>
        <v>5.3129182160868762</v>
      </c>
      <c r="AI615" s="260">
        <f>FMS_Ranking4[[#This Row],[Farm &amp; ranch land, ArcSinh (0-10)]]*AG$5*10</f>
        <v>2.6564591080434381</v>
      </c>
      <c r="AJ615" s="258">
        <f>_xlfn.XLOOKUP(FMS_Ranking4[[#This Row],[FMS ID]],FMS_Input[FMS_ID],FMS_Input[REDSTRUCT100])</f>
        <v>0</v>
      </c>
      <c r="AK615" s="253">
        <f>_xlfn.XLOOKUP(FMS_Ranking4[[#This Row],[FMS ID]],FMS_Input[FMS_ID],FMS_Input[REMSTRC100])</f>
        <v>0</v>
      </c>
      <c r="AL615" s="259">
        <f>(ASINH(FMS_Ranking4[[#This Row],[Structures Removed Raw]]))*(10)/(ASINH(AK$4))</f>
        <v>0</v>
      </c>
      <c r="AM615" s="262">
        <f>FMS_Ranking4[[#This Row],[Structures removed, ArcSinh (0-10)]]*AK$5*10</f>
        <v>0</v>
      </c>
      <c r="AN615" s="253">
        <f>_xlfn.XLOOKUP(FMS_Ranking4[[#This Row],[FMS ID]],FMS_Input[FMS_ID],FMS_Input[REMRESSTRC100])</f>
        <v>0</v>
      </c>
      <c r="AO615" s="261">
        <f>FMS_Ranking4[[#This Row],[ArcSinh Res struct removed 0-10]]*AN$5*10</f>
        <v>0</v>
      </c>
      <c r="AP615" s="260">
        <f>ASINH(FMS_Ranking4[[#This Row],[Residential Structures Removed Raw]])/AP$4*AN$5*100</f>
        <v>0</v>
      </c>
      <c r="AQ615" s="254">
        <f>(ASINH(FMS_Ranking4[[#This Row],[Residential Structures Removed Raw]]))*(10)/(ASINH(AN$4))</f>
        <v>0</v>
      </c>
      <c r="AR615" s="253">
        <f>_xlfn.XLOOKUP(FMS_Ranking4[[#This Row],[FMS ID]],FMS_Input[FMS_ID],FMS_Input[REMPOP100])</f>
        <v>0</v>
      </c>
      <c r="AS615" s="259">
        <f>(ASINH(FMS_Ranking4[[#This Row],[Removed Pop Raw]]))*(10)/(ASINH(AR$4))</f>
        <v>0</v>
      </c>
      <c r="AT615" s="262">
        <f>FMS_Ranking4[[#This Row],[Removed population, ArcSinh (0-10)]]*AR$5*10</f>
        <v>0</v>
      </c>
      <c r="AU615" s="264">
        <f>_xlfn.XLOOKUP(FMS_Ranking4[[#This Row],[FMS ID]],FMS_Input[FMS_ID],FMS_Input[REMCRITFAC100])</f>
        <v>0</v>
      </c>
      <c r="AV615" s="264">
        <f>_xlfn.XLOOKUP(FMS_Ranking4[[#This Row],[FMS ID]],FMS_Input[FMS_ID],FMS_Input[REMLWC100])</f>
        <v>0</v>
      </c>
      <c r="AW615" s="264">
        <f>_xlfn.XLOOKUP(FMS_Ranking4[[#This Row],[FMS ID]],FMS_Input[FMS_ID],FMS_Input[REMROADCLS])</f>
        <v>0</v>
      </c>
      <c r="AX615" s="264">
        <f>_xlfn.XLOOKUP(FMS_Ranking4[[#This Row],[FMS ID]],FMS_Input[FMS_ID],FMS_Input[REMFRMACRE100])</f>
        <v>0</v>
      </c>
      <c r="AY615" s="258">
        <f>_xlfn.XLOOKUP(FMS_Ranking4[[#This Row],[FMS ID]],FMS_Input[FMS_ID],FMS_Input[COSTSTRUCT])</f>
        <v>0</v>
      </c>
      <c r="AZ615" s="253">
        <f>_xlfn.XLOOKUP(FMS_Ranking4[[#This Row],[FMS ID]],FMS_Input[FMS_ID],FMS_Input[NATURE])</f>
        <v>0</v>
      </c>
      <c r="BA615" s="262">
        <f>(((FMS_Ranking4[[#This Row],[% NBS Raw]]/AZ$4)*100)*AZ$5)</f>
        <v>0</v>
      </c>
      <c r="BB615" s="251" t="str">
        <f>_xlfn.XLOOKUP(FMS_Ranking4[[#This Row],[FMS ID]],FMS_Input[FMS_ID],FMS_Input[WATER_SUP])</f>
        <v>No</v>
      </c>
      <c r="BC615" s="265">
        <f>IF(FMS_Ranking4[[#This Row],[Water Supply Raw]]="Yes",10,0)</f>
        <v>0</v>
      </c>
      <c r="BD615" s="266">
        <f>_xlfn.XLOOKUP(FMS_Ranking4[[#This Row],[FMS Type]],FMS_TYPE[FMS_Type],FMS_TYPE[Score])</f>
        <v>6</v>
      </c>
      <c r="BE615" s="267">
        <f>FMS_Ranking4[[#This Row],[FMS_Type Score]]*$BD$5*10</f>
        <v>1.5000000000000002</v>
      </c>
      <c r="BF61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1.9648610179815555E-2</v>
      </c>
      <c r="BG615" s="271">
        <f>_xlfn.RANK.EQ(BF615,$BF$8:$BF$870,0)+COUNTIF($BF$8:BF615,BF615)-1</f>
        <v>635</v>
      </c>
      <c r="BH615" s="268">
        <f>(((FMS_Ranking4[[#This Row],[Structures Removed Raw]]/AK$4)*100)*AK$5)+(((FMS_Ranking4[[#This Row],[Removed Pop Raw]]/AR$4)*100)*AR$5)</f>
        <v>0</v>
      </c>
      <c r="BI61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1.5196486101798157</v>
      </c>
      <c r="BJ615" s="205">
        <f>_xlfn.RANK.EQ(FMS_Ranking4[[#This Row],[Total Score 
(with linear
normalization)]],FMS_Ranking4[Total Score 
(with linear
normalization)],0)</f>
        <v>593</v>
      </c>
      <c r="BK615" s="205" t="e">
        <f>_xlfn.XLOOKUP(FMS_Ranking4[[#This Row],[FMS ID]],#REF!,#REF!)</f>
        <v>#REF!</v>
      </c>
      <c r="BL61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12.905654284363692</v>
      </c>
      <c r="BM615" s="272">
        <f>FMS_Ranking4[[#This Row],[ArcSinh Score Based on Normalized Reported Factors]]+FMS_Ranking4[[#This Row],[% NBS Score (Normalized)]]+(FMS_Ranking4[[#This Row],[Water Supply Score (Normalized)]]*10*$BB$5)+FMS_Ranking4[[#This Row],[FMS_Type Score Weighted]]</f>
        <v>14.405654284363692</v>
      </c>
      <c r="BN615" s="205">
        <f>_xlfn.RANK.EQ(FMS_Ranking4[[#This Row],[Total Score (with ArcSinh normalization of select criteria)]],FMS_Ranking4[Total Score (with ArcSinh normalization of select criteria)],0)</f>
        <v>608</v>
      </c>
      <c r="BO615" s="270" t="str">
        <f>_xlfn.XLOOKUP(FMS_Ranking4[[#This Row],[FMS ID]],FMS_Input[FMS_ID],FMS_Input[FMS_RANK_YEAR])</f>
        <v>2023 Amended Plan</v>
      </c>
      <c r="BP615" s="204">
        <f>_xlfn.XLOOKUP(FMS_Ranking4[[#This Row],[FMS ID]],Prev_Rank[FMS ID],Prev_Rank[Prev Rank])</f>
        <v>539</v>
      </c>
      <c r="BQ615" s="205" t="e">
        <f>_xlfn.XLOOKUP(FMS_Ranking4[[#This Row],[FMS ID]],#REF!,#REF!)</f>
        <v>#REF!</v>
      </c>
      <c r="BR615" s="199" t="e">
        <f>SUM(#REF!,#REF!,#REF!,#REF!,#REF!,#REF!,#REF!,#REF!,#REF!,FMS_Ranking4[[#This Row],[ArcSinh Res struct removed 0-10]],#REF!)</f>
        <v>#REF!</v>
      </c>
      <c r="BS615" s="199" t="e">
        <f>FMS_Ranking4[[#This Row],[Log Score Based on Normalized Reported Factors]]+FMS_Ranking4[[#This Row],[% NBS Score (Normalized)]]+(FMS_Ranking4[[#This Row],[Water Supply Score (Normalized)]]*10*$BB$5)+(FMS_Ranking4[[#This Row],[FMS_Type Score Weighted]])</f>
        <v>#REF!</v>
      </c>
      <c r="BT615" s="200" t="e">
        <f>_xlfn.RANK.EQ(FMS_Ranking4[[#This Row],[Log Total Score]],FMS_Ranking4[Log Total Score],0)</f>
        <v>#REF!</v>
      </c>
      <c r="BU615" s="200" t="e">
        <f>_xlfn.XLOOKUP(FMS_Ranking4[[#This Row],[FMS ID]],#REF!,#REF!)</f>
        <v>#REF!</v>
      </c>
      <c r="BV615" s="200">
        <f>FMS_Ranking4[[#This Row],[Region Number]]</f>
        <v>3</v>
      </c>
      <c r="BW615" s="200">
        <f>FMS_Ranking4[[#This Row],[Rank (with ArcSinh normalization of select criteria)]]-FMS_Ranking4[[#This Row],[Rank
(with linear
normalization)]]</f>
        <v>15</v>
      </c>
      <c r="BX615" s="200" t="e">
        <f>FMS_Ranking4[[#This Row],[Log Rank]]-FMS_Ranking4[[#This Row],[Rank
(with linear
normalization)]]</f>
        <v>#REF!</v>
      </c>
      <c r="BY615" s="200" t="str">
        <f>IF(FMS_Ranking4[[#This Row],[FMS Type]]="Flood Measurement and Warning",FMS_Ranking4[[#This Row],[Rank (with ArcSinh normalization of select criteria)]],"")</f>
        <v/>
      </c>
      <c r="BZ615" s="200" t="str">
        <f>IF(FMS_Ranking4[[#This Row],[FMS Type]]="Regulatory and Guidance",FMS_Ranking4[[#This Row],[Rank (with ArcSinh normalization of select criteria)]],"")</f>
        <v/>
      </c>
      <c r="CA615" s="200">
        <f>IF(FMS_Ranking4[[#This Row],[FMS Type]]="Education and Outreach",FMS_Ranking4[[#This Row],[Rank (with ArcSinh normalization of select criteria)]],"")</f>
        <v>608</v>
      </c>
      <c r="CB615" s="200" t="str">
        <f>IF(FMS_Ranking4[[#This Row],[FMS Type]]="Property Acquisition and Structural Elevation",FMS_Ranking4[[#This Row],[Rank (with ArcSinh normalization of select criteria)]],"")</f>
        <v/>
      </c>
      <c r="CC615" s="200" t="str">
        <f>IF(FMS_Ranking4[[#This Row],[FMS Type]]="Infrastructure Projects",FMS_Ranking4[[#This Row],[Rank (with ArcSinh normalization of select criteria)]],"")</f>
        <v/>
      </c>
      <c r="CD615" s="200" t="str">
        <f>IF(FMS_Ranking4[[#This Row],[FMS Type]]="Other",FMS_Ranking4[[#This Row],[Rank (with ArcSinh normalization of select criteria)]],"")</f>
        <v/>
      </c>
      <c r="CE615" s="201"/>
      <c r="CF615" s="206"/>
      <c r="CG615" s="206"/>
      <c r="CH615" s="206"/>
      <c r="CI615" s="206"/>
      <c r="CJ615" s="206"/>
      <c r="CK615" s="206"/>
      <c r="CL615" s="206"/>
      <c r="CM615" s="206"/>
      <c r="CN615" s="206"/>
      <c r="CO615" s="206"/>
      <c r="CP615" s="206"/>
      <c r="CQ615" s="206"/>
      <c r="CR615" s="206"/>
    </row>
    <row r="616" spans="2:96" ht="60" x14ac:dyDescent="0.25">
      <c r="B616" s="341" t="s">
        <v>1922</v>
      </c>
      <c r="C616" s="246">
        <f>_xlfn.XLOOKUP(FMS_Ranking4[[#This Row],[FMS ID]],FMS_Input[FMS_ID],FMS_Input[RFPG_NUM])</f>
        <v>3</v>
      </c>
      <c r="D616" s="309" t="str">
        <f>_xlfn.XLOOKUP(FMS_Ranking4[[#This Row],[FMS ID]],FMS_Input[FMS_ID],FMS_Input[FMS_NAME])</f>
        <v>Town of Westlake's Floodplain Mitigation Ordinances Review</v>
      </c>
      <c r="E616" s="308" t="str">
        <f>_xlfn.XLOOKUP(FMS_Ranking4[[#This Row],[FMS ID]],FMS_Input[FMS_ID],FMS_Input[SPONSOR])</f>
        <v>Westlake</v>
      </c>
      <c r="F616" s="309" t="str">
        <f>_xlfn.XLOOKUP(FMS_Ranking4[[#This Row],[FMS ID]],Sponsor[FMS_ID],Sponsor[SPONSOR NAME])</f>
        <v>Westlake</v>
      </c>
      <c r="G616" s="309" t="str">
        <f>_xlfn.XLOOKUP(FMS_Ranking4[[#This Row],[FMS ID]],FMS_Input[FMS_ID],FMS_Input[FMS_DESCR])</f>
        <v>Review and enhance the Town of Westlake’s floodplain mitigation ordinances and policies as needed</v>
      </c>
      <c r="H616" s="248" t="str">
        <f>_xlfn.XLOOKUP(FMS_Ranking4[[#This Row],[FMS ID]],FMS_Input[FMS_ID],FMS_Input[FMS_TYPE])</f>
        <v>Regulatory and Guidance</v>
      </c>
      <c r="I616" s="249">
        <f>_xlfn.XLOOKUP(FMS_Ranking4[[#This Row],[FMS ID]],FMS_Input[FMS_ID],FMS_Input[NRNC_COST])</f>
        <v>100000</v>
      </c>
      <c r="J616" s="250">
        <f>_xlfn.XLOOKUP(FMS_Ranking4[[#This Row],[FMS ID]],FMS_Input[FMS_ID],FMS_Input[FMS_COST])</f>
        <v>100000</v>
      </c>
      <c r="K616" s="251" t="str">
        <f>_xlfn.XLOOKUP(FMS_Ranking4[[#This Row],[FMS ID]],FMS_Input[FMS_ID],FMS_Input[EMER_NEED])</f>
        <v>No</v>
      </c>
      <c r="L616" s="252">
        <f t="shared" si="9"/>
        <v>0</v>
      </c>
      <c r="M616" s="253">
        <f>_xlfn.XLOOKUP(FMS_Ranking4[[#This Row],[FMS ID]],FMS_Input[FMS_ID],FMS_Input[STRUCT_100])</f>
        <v>17</v>
      </c>
      <c r="N616" s="255">
        <f>(ASINH(FMS_Ranking4[[#This Row],[Structure at Risk Raw]]))*(10)/(ASINH(M$4))</f>
        <v>2.7729236035479534</v>
      </c>
      <c r="O616" s="256">
        <f>FMS_Ranking4[[#This Row],[Structures at risk, ArcSinh (0-10)]]*M$5*10</f>
        <v>2.7729236035479539</v>
      </c>
      <c r="P616" s="253">
        <f>_xlfn.XLOOKUP(FMS_Ranking4[[#This Row],[FMS ID]],FMS_Input[FMS_ID],FMS_Input[RES_STRUCT100])</f>
        <v>11</v>
      </c>
      <c r="Q616" s="257">
        <f>ASINH(FMS_Ranking4[[#This Row],[Res Structure Raw]])/Q$4*P$5*100</f>
        <v>0</v>
      </c>
      <c r="R616" s="253">
        <f>_xlfn.XLOOKUP(FMS_Ranking4[[#This Row],[FMS ID]],FMS_Input[FMS_ID],FMS_Input[POP100])</f>
        <v>81</v>
      </c>
      <c r="S616" s="259">
        <f>(ASINH(FMS_Ranking4[[#This Row],[Pop at Risk Raw]]))*(10)/(ASINH(R$4))</f>
        <v>3.5122902434144496</v>
      </c>
      <c r="T616" s="256">
        <f>FMS_Ranking4[[#This Row],[Population at risk, ArcSinh (0-10)]]*R$5*10</f>
        <v>3.5122902434144496</v>
      </c>
      <c r="U616" s="253">
        <f>_xlfn.XLOOKUP(FMS_Ranking4[[#This Row],[FMS ID]],FMS_Input[FMS_ID],FMS_Input[CRITFAC100])</f>
        <v>0</v>
      </c>
      <c r="V616" s="259">
        <f>(ASINH(FMS_Ranking4[[#This Row],[Critical Facilities Raw]]))*(10)/(ASINH(U$4))</f>
        <v>0</v>
      </c>
      <c r="W616" s="256">
        <f>FMS_Ranking4[[#This Row],[Critical facilities at risk, ArcSinh (0-10)]]*U$5*10</f>
        <v>0</v>
      </c>
      <c r="X616" s="253">
        <f>_xlfn.XLOOKUP(FMS_Ranking4[[#This Row],[FMS ID]],FMS_Input[FMS_ID],FMS_Input[LWC])</f>
        <v>3</v>
      </c>
      <c r="Y616" s="259">
        <f>(ASINH(FMS_Ranking4[[#This Row],[LWC Raw]]))*(10)/(ASINH(X$4))</f>
        <v>2.4635181155638843</v>
      </c>
      <c r="Z616" s="256">
        <f>FMS_Ranking4[[#This Row],[LWC, ArcSInh (0-10)]]*X$5*10</f>
        <v>2.4635181155638843</v>
      </c>
      <c r="AA616" s="253">
        <f>_xlfn.XLOOKUP(FMS_Ranking4[[#This Row],[FMS ID]],FMS_Input[FMS_ID],FMS_Input[ROADCLS])</f>
        <v>0</v>
      </c>
      <c r="AB616" s="255">
        <f>(ASINH(FMS_Ranking4[[#This Row],[Road Closures Raw]]))*(10)/(ASINH(AA$4))</f>
        <v>0</v>
      </c>
      <c r="AC616" s="256">
        <f>FMS_Ranking4[[#This Row],[Road closures, ArcSinh (0-10)]]*AA$5*10</f>
        <v>0</v>
      </c>
      <c r="AD616" s="253">
        <f>_xlfn.XLOOKUP(FMS_Ranking4[[#This Row],[FMS ID]],FMS_Input[FMS_ID],FMS_Input[ROAD_MILES100])</f>
        <v>2</v>
      </c>
      <c r="AE616" s="259">
        <f>(ASINH(FMS_Ranking4[[#This Row],[Road Miles Raw]]))*(10)/(ASINH(AD$4))</f>
        <v>1.5385182374234352</v>
      </c>
      <c r="AF616" s="256">
        <f>FMS_Ranking4[[#This Row],[Length of roads at risk, ArcSinh (0-10)]]*AD$5*10</f>
        <v>1.5385182374234352</v>
      </c>
      <c r="AG616" s="253">
        <f>_xlfn.XLOOKUP(FMS_Ranking4[[#This Row],[FMS ID]],FMS_Input[FMS_ID],FMS_Input[FARMACRE100])</f>
        <v>235.64979553222659</v>
      </c>
      <c r="AH616" s="255">
        <f>(ASINH(FMS_Ranking4[[#This Row],[Ag Land Raw]]))*(10)/(ASINH(AG$4))</f>
        <v>3.998497739359995</v>
      </c>
      <c r="AI616" s="260">
        <f>FMS_Ranking4[[#This Row],[Farm &amp; ranch land, ArcSinh (0-10)]]*AG$5*10</f>
        <v>1.9992488696799975</v>
      </c>
      <c r="AJ616" s="258">
        <f>_xlfn.XLOOKUP(FMS_Ranking4[[#This Row],[FMS ID]],FMS_Input[FMS_ID],FMS_Input[REDSTRUCT100])</f>
        <v>0</v>
      </c>
      <c r="AK616" s="253">
        <f>_xlfn.XLOOKUP(FMS_Ranking4[[#This Row],[FMS ID]],FMS_Input[FMS_ID],FMS_Input[REMSTRC100])</f>
        <v>0</v>
      </c>
      <c r="AL616" s="259">
        <f>(ASINH(FMS_Ranking4[[#This Row],[Structures Removed Raw]]))*(10)/(ASINH(AK$4))</f>
        <v>0</v>
      </c>
      <c r="AM616" s="262">
        <f>FMS_Ranking4[[#This Row],[Structures removed, ArcSinh (0-10)]]*AK$5*10</f>
        <v>0</v>
      </c>
      <c r="AN616" s="253">
        <f>_xlfn.XLOOKUP(FMS_Ranking4[[#This Row],[FMS ID]],FMS_Input[FMS_ID],FMS_Input[REMRESSTRC100])</f>
        <v>0</v>
      </c>
      <c r="AO616" s="261">
        <f>FMS_Ranking4[[#This Row],[ArcSinh Res struct removed 0-10]]*AN$5*10</f>
        <v>0</v>
      </c>
      <c r="AP616" s="260">
        <f>ASINH(FMS_Ranking4[[#This Row],[Residential Structures Removed Raw]])/AP$4*AN$5*100</f>
        <v>0</v>
      </c>
      <c r="AQ616" s="254">
        <f>(ASINH(FMS_Ranking4[[#This Row],[Residential Structures Removed Raw]]))*(10)/(ASINH(AN$4))</f>
        <v>0</v>
      </c>
      <c r="AR616" s="253">
        <f>_xlfn.XLOOKUP(FMS_Ranking4[[#This Row],[FMS ID]],FMS_Input[FMS_ID],FMS_Input[REMPOP100])</f>
        <v>0</v>
      </c>
      <c r="AS616" s="259">
        <f>(ASINH(FMS_Ranking4[[#This Row],[Removed Pop Raw]]))*(10)/(ASINH(AR$4))</f>
        <v>0</v>
      </c>
      <c r="AT616" s="262">
        <f>FMS_Ranking4[[#This Row],[Removed population, ArcSinh (0-10)]]*AR$5*10</f>
        <v>0</v>
      </c>
      <c r="AU616" s="264">
        <f>_xlfn.XLOOKUP(FMS_Ranking4[[#This Row],[FMS ID]],FMS_Input[FMS_ID],FMS_Input[REMCRITFAC100])</f>
        <v>0</v>
      </c>
      <c r="AV616" s="264">
        <f>_xlfn.XLOOKUP(FMS_Ranking4[[#This Row],[FMS ID]],FMS_Input[FMS_ID],FMS_Input[REMLWC100])</f>
        <v>0</v>
      </c>
      <c r="AW616" s="264">
        <f>_xlfn.XLOOKUP(FMS_Ranking4[[#This Row],[FMS ID]],FMS_Input[FMS_ID],FMS_Input[REMROADCLS])</f>
        <v>0</v>
      </c>
      <c r="AX616" s="264">
        <f>_xlfn.XLOOKUP(FMS_Ranking4[[#This Row],[FMS ID]],FMS_Input[FMS_ID],FMS_Input[REMFRMACRE100])</f>
        <v>0</v>
      </c>
      <c r="AY616" s="258">
        <f>_xlfn.XLOOKUP(FMS_Ranking4[[#This Row],[FMS ID]],FMS_Input[FMS_ID],FMS_Input[COSTSTRUCT])</f>
        <v>0</v>
      </c>
      <c r="AZ616" s="253">
        <f>_xlfn.XLOOKUP(FMS_Ranking4[[#This Row],[FMS ID]],FMS_Input[FMS_ID],FMS_Input[NATURE])</f>
        <v>0</v>
      </c>
      <c r="BA616" s="262">
        <f>(((FMS_Ranking4[[#This Row],[% NBS Raw]]/AZ$4)*100)*AZ$5)</f>
        <v>0</v>
      </c>
      <c r="BB616" s="251" t="str">
        <f>_xlfn.XLOOKUP(FMS_Ranking4[[#This Row],[FMS ID]],FMS_Input[FMS_ID],FMS_Input[WATER_SUP])</f>
        <v>No</v>
      </c>
      <c r="BC616" s="265">
        <f>IF(FMS_Ranking4[[#This Row],[Water Supply Raw]]="Yes",10,0)</f>
        <v>0</v>
      </c>
      <c r="BD616" s="266">
        <f>_xlfn.XLOOKUP(FMS_Ranking4[[#This Row],[FMS Type]],FMS_TYPE[FMS_Type],FMS_TYPE[Score])</f>
        <v>8</v>
      </c>
      <c r="BE616" s="267">
        <f>FMS_Ranking4[[#This Row],[FMS_Type Score]]*$BD$5*10</f>
        <v>2</v>
      </c>
      <c r="BF61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4.3056293128495182E-2</v>
      </c>
      <c r="BG616" s="271">
        <f>_xlfn.RANK.EQ(BF616,$BF$8:$BF$870,0)+COUNTIF($BF$8:BF616,BF616)-1</f>
        <v>571</v>
      </c>
      <c r="BH616" s="268">
        <f>(((FMS_Ranking4[[#This Row],[Structures Removed Raw]]/AK$4)*100)*AK$5)+(((FMS_Ranking4[[#This Row],[Removed Pop Raw]]/AR$4)*100)*AR$5)</f>
        <v>0</v>
      </c>
      <c r="BI61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2.0430562931284952</v>
      </c>
      <c r="BJ616" s="205">
        <f>_xlfn.RANK.EQ(FMS_Ranking4[[#This Row],[Total Score 
(with linear
normalization)]],FMS_Ranking4[Total Score 
(with linear
normalization)],0)</f>
        <v>390</v>
      </c>
      <c r="BK616" s="205" t="e">
        <f>_xlfn.XLOOKUP(FMS_Ranking4[[#This Row],[FMS ID]],#REF!,#REF!)</f>
        <v>#REF!</v>
      </c>
      <c r="BL61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12.28649906962972</v>
      </c>
      <c r="BM616" s="272">
        <f>FMS_Ranking4[[#This Row],[ArcSinh Score Based on Normalized Reported Factors]]+FMS_Ranking4[[#This Row],[% NBS Score (Normalized)]]+(FMS_Ranking4[[#This Row],[Water Supply Score (Normalized)]]*10*$BB$5)+FMS_Ranking4[[#This Row],[FMS_Type Score Weighted]]</f>
        <v>14.28649906962972</v>
      </c>
      <c r="BN616" s="205">
        <f>_xlfn.RANK.EQ(FMS_Ranking4[[#This Row],[Total Score (with ArcSinh normalization of select criteria)]],FMS_Ranking4[Total Score (with ArcSinh normalization of select criteria)],0)</f>
        <v>609</v>
      </c>
      <c r="BO616" s="270" t="str">
        <f>_xlfn.XLOOKUP(FMS_Ranking4[[#This Row],[FMS ID]],FMS_Input[FMS_ID],FMS_Input[FMS_RANK_YEAR])</f>
        <v>2023 Amended Plan</v>
      </c>
      <c r="BP616" s="204">
        <f>_xlfn.XLOOKUP(FMS_Ranking4[[#This Row],[FMS ID]],Prev_Rank[FMS ID],Prev_Rank[Prev Rank])</f>
        <v>538</v>
      </c>
      <c r="BQ616" s="205" t="e">
        <f>_xlfn.XLOOKUP(FMS_Ranking4[[#This Row],[FMS ID]],#REF!,#REF!)</f>
        <v>#REF!</v>
      </c>
      <c r="BR616" s="199" t="e">
        <f>SUM(#REF!,#REF!,#REF!,#REF!,#REF!,#REF!,#REF!,#REF!,#REF!,FMS_Ranking4[[#This Row],[ArcSinh Res struct removed 0-10]],#REF!)</f>
        <v>#REF!</v>
      </c>
      <c r="BS616" s="199" t="e">
        <f>FMS_Ranking4[[#This Row],[Log Score Based on Normalized Reported Factors]]+FMS_Ranking4[[#This Row],[% NBS Score (Normalized)]]+(FMS_Ranking4[[#This Row],[Water Supply Score (Normalized)]]*10*$BB$5)+(FMS_Ranking4[[#This Row],[FMS_Type Score Weighted]])</f>
        <v>#REF!</v>
      </c>
      <c r="BT616" s="200" t="e">
        <f>_xlfn.RANK.EQ(FMS_Ranking4[[#This Row],[Log Total Score]],FMS_Ranking4[Log Total Score],0)</f>
        <v>#REF!</v>
      </c>
      <c r="BU616" s="200" t="e">
        <f>_xlfn.XLOOKUP(FMS_Ranking4[[#This Row],[FMS ID]],#REF!,#REF!)</f>
        <v>#REF!</v>
      </c>
      <c r="BV616" s="200">
        <f>FMS_Ranking4[[#This Row],[Region Number]]</f>
        <v>3</v>
      </c>
      <c r="BW616" s="200">
        <f>FMS_Ranking4[[#This Row],[Rank (with ArcSinh normalization of select criteria)]]-FMS_Ranking4[[#This Row],[Rank
(with linear
normalization)]]</f>
        <v>219</v>
      </c>
      <c r="BX616" s="200" t="e">
        <f>FMS_Ranking4[[#This Row],[Log Rank]]-FMS_Ranking4[[#This Row],[Rank
(with linear
normalization)]]</f>
        <v>#REF!</v>
      </c>
      <c r="BY616" s="200" t="str">
        <f>IF(FMS_Ranking4[[#This Row],[FMS Type]]="Flood Measurement and Warning",FMS_Ranking4[[#This Row],[Rank (with ArcSinh normalization of select criteria)]],"")</f>
        <v/>
      </c>
      <c r="BZ616" s="200">
        <f>IF(FMS_Ranking4[[#This Row],[FMS Type]]="Regulatory and Guidance",FMS_Ranking4[[#This Row],[Rank (with ArcSinh normalization of select criteria)]],"")</f>
        <v>609</v>
      </c>
      <c r="CA616" s="200" t="str">
        <f>IF(FMS_Ranking4[[#This Row],[FMS Type]]="Education and Outreach",FMS_Ranking4[[#This Row],[Rank (with ArcSinh normalization of select criteria)]],"")</f>
        <v/>
      </c>
      <c r="CB616" s="200" t="str">
        <f>IF(FMS_Ranking4[[#This Row],[FMS Type]]="Property Acquisition and Structural Elevation",FMS_Ranking4[[#This Row],[Rank (with ArcSinh normalization of select criteria)]],"")</f>
        <v/>
      </c>
      <c r="CC616" s="200" t="str">
        <f>IF(FMS_Ranking4[[#This Row],[FMS Type]]="Infrastructure Projects",FMS_Ranking4[[#This Row],[Rank (with ArcSinh normalization of select criteria)]],"")</f>
        <v/>
      </c>
      <c r="CD616" s="200" t="str">
        <f>IF(FMS_Ranking4[[#This Row],[FMS Type]]="Other",FMS_Ranking4[[#This Row],[Rank (with ArcSinh normalization of select criteria)]],"")</f>
        <v/>
      </c>
      <c r="CE616" s="201"/>
      <c r="CF616" s="206"/>
      <c r="CG616" s="206"/>
      <c r="CH616" s="206"/>
      <c r="CI616" s="206"/>
      <c r="CJ616" s="206"/>
      <c r="CK616" s="206"/>
      <c r="CL616" s="206"/>
      <c r="CM616" s="206"/>
      <c r="CN616" s="206"/>
      <c r="CO616" s="206"/>
      <c r="CP616" s="206"/>
      <c r="CQ616" s="206"/>
      <c r="CR616" s="206"/>
    </row>
    <row r="617" spans="2:96" ht="105" x14ac:dyDescent="0.25">
      <c r="B617" s="341" t="s">
        <v>12086</v>
      </c>
      <c r="C617" s="246">
        <f>_xlfn.XLOOKUP(FMS_Ranking4[[#This Row],[FMS ID]],FMS_Input[FMS_ID],FMS_Input[RFPG_NUM])</f>
        <v>4</v>
      </c>
      <c r="D617" s="309" t="str">
        <f>_xlfn.XLOOKUP(FMS_Ranking4[[#This Row],[FMS ID]],FMS_Input[FMS_ID],FMS_Input[FMS_NAME])</f>
        <v xml:space="preserve">City of Fate Flood Access Improvement_x000D_
</v>
      </c>
      <c r="E617" s="308" t="str">
        <f>_xlfn.XLOOKUP(FMS_Ranking4[[#This Row],[FMS ID]],FMS_Input[FMS_ID],FMS_Input[SPONSOR])</f>
        <v>00002648</v>
      </c>
      <c r="F617" s="309" t="str">
        <f>_xlfn.XLOOKUP(FMS_Ranking4[[#This Row],[FMS ID]],Sponsor[FMS_ID],Sponsor[SPONSOR NAME])</f>
        <v>Fate</v>
      </c>
      <c r="G617" s="309" t="str">
        <f>_xlfn.XLOOKUP(FMS_Ranking4[[#This Row],[FMS ID]],FMS_Input[FMS_ID],FMS_Input[FMS_DESCR])</f>
        <v xml:space="preserve">Add secondary entry/access roads to existing neighborhoods where possible/enforce two entry/access road requirements in existing code for new construction_x000D_
</v>
      </c>
      <c r="H617" s="248" t="str">
        <f>_xlfn.XLOOKUP(FMS_Ranking4[[#This Row],[FMS ID]],FMS_Input[FMS_ID],FMS_Input[FMS_TYPE])</f>
        <v>Regulatory and Guidance</v>
      </c>
      <c r="I617" s="249">
        <f>_xlfn.XLOOKUP(FMS_Ranking4[[#This Row],[FMS ID]],FMS_Input[FMS_ID],FMS_Input[NRNC_COST])</f>
        <v>400000</v>
      </c>
      <c r="J617" s="250">
        <f>_xlfn.XLOOKUP(FMS_Ranking4[[#This Row],[FMS ID]],FMS_Input[FMS_ID],FMS_Input[FMS_COST])</f>
        <v>400000</v>
      </c>
      <c r="K617" s="251" t="str">
        <f>_xlfn.XLOOKUP(FMS_Ranking4[[#This Row],[FMS ID]],FMS_Input[FMS_ID],FMS_Input[EMER_NEED])</f>
        <v>No</v>
      </c>
      <c r="L617" s="252">
        <f t="shared" si="9"/>
        <v>0</v>
      </c>
      <c r="M617" s="253">
        <f>_xlfn.XLOOKUP(FMS_Ranking4[[#This Row],[FMS ID]],FMS_Input[FMS_ID],FMS_Input[STRUCT_100])</f>
        <v>21</v>
      </c>
      <c r="N617" s="255">
        <f>(ASINH(FMS_Ranking4[[#This Row],[Structure at Risk Raw]]))*(10)/(ASINH(M$4))</f>
        <v>2.9388101190229365</v>
      </c>
      <c r="O617" s="256">
        <f>FMS_Ranking4[[#This Row],[Structures at risk, ArcSinh (0-10)]]*M$5*10</f>
        <v>2.9388101190229365</v>
      </c>
      <c r="P617" s="253">
        <f>_xlfn.XLOOKUP(FMS_Ranking4[[#This Row],[FMS ID]],FMS_Input[FMS_ID],FMS_Input[RES_STRUCT100])</f>
        <v>21</v>
      </c>
      <c r="Q617" s="257">
        <f>ASINH(FMS_Ranking4[[#This Row],[Res Structure Raw]])/Q$4*P$5*100</f>
        <v>0</v>
      </c>
      <c r="R617" s="253">
        <f>_xlfn.XLOOKUP(FMS_Ranking4[[#This Row],[FMS ID]],FMS_Input[FMS_ID],FMS_Input[POP100])</f>
        <v>128</v>
      </c>
      <c r="S617" s="255">
        <f>(ASINH(FMS_Ranking4[[#This Row],[Pop at Risk Raw]]))*(10)/(ASINH(R$4))</f>
        <v>3.8281693524726963</v>
      </c>
      <c r="T617" s="256">
        <f>FMS_Ranking4[[#This Row],[Population at risk, ArcSinh (0-10)]]*R$5*10</f>
        <v>3.8281693524726967</v>
      </c>
      <c r="U617" s="253">
        <f>_xlfn.XLOOKUP(FMS_Ranking4[[#This Row],[FMS ID]],FMS_Input[FMS_ID],FMS_Input[CRITFAC100])</f>
        <v>0</v>
      </c>
      <c r="V617" s="255">
        <f>(ASINH(FMS_Ranking4[[#This Row],[Critical Facilities Raw]]))*(10)/(ASINH(U$4))</f>
        <v>0</v>
      </c>
      <c r="W617" s="256">
        <f>FMS_Ranking4[[#This Row],[Critical facilities at risk, ArcSinh (0-10)]]*U$5*10</f>
        <v>0</v>
      </c>
      <c r="X617" s="253">
        <f>_xlfn.XLOOKUP(FMS_Ranking4[[#This Row],[FMS ID]],FMS_Input[FMS_ID],FMS_Input[LWC])</f>
        <v>1</v>
      </c>
      <c r="Y617" s="255">
        <f>(ASINH(FMS_Ranking4[[#This Row],[LWC Raw]]))*(10)/(ASINH(X$4))</f>
        <v>1.1940300948531093</v>
      </c>
      <c r="Z617" s="256">
        <f>FMS_Ranking4[[#This Row],[LWC, ArcSInh (0-10)]]*X$5*10</f>
        <v>1.1940300948531093</v>
      </c>
      <c r="AA617" s="253">
        <f>_xlfn.XLOOKUP(FMS_Ranking4[[#This Row],[FMS ID]],FMS_Input[FMS_ID],FMS_Input[ROADCLS])</f>
        <v>1</v>
      </c>
      <c r="AB617" s="255">
        <f>(ASINH(FMS_Ranking4[[#This Row],[Road Closures Raw]]))*(10)/(ASINH(AA$4))</f>
        <v>0.91786969566638699</v>
      </c>
      <c r="AC617" s="256">
        <f>FMS_Ranking4[[#This Row],[Road closures, ArcSinh (0-10)]]*AA$5*10</f>
        <v>0.45893484783319349</v>
      </c>
      <c r="AD617" s="253">
        <f>_xlfn.XLOOKUP(FMS_Ranking4[[#This Row],[FMS ID]],FMS_Input[FMS_ID],FMS_Input[ROAD_MILES100])</f>
        <v>3</v>
      </c>
      <c r="AE617" s="255">
        <f>(ASINH(FMS_Ranking4[[#This Row],[Road Miles Raw]]))*(10)/(ASINH(AD$4))</f>
        <v>1.937963626835977</v>
      </c>
      <c r="AF617" s="256">
        <f>FMS_Ranking4[[#This Row],[Length of roads at risk, ArcSinh (0-10)]]*AD$5*10</f>
        <v>1.937963626835977</v>
      </c>
      <c r="AG617" s="253">
        <f>_xlfn.XLOOKUP(FMS_Ranking4[[#This Row],[FMS ID]],FMS_Input[FMS_ID],FMS_Input[FARMACRE100])</f>
        <v>164.16365051269531</v>
      </c>
      <c r="AH617" s="255">
        <f>(ASINH(FMS_Ranking4[[#This Row],[Ag Land Raw]]))*(10)/(ASINH(AG$4))</f>
        <v>3.7636881912881286</v>
      </c>
      <c r="AI617" s="260">
        <f>FMS_Ranking4[[#This Row],[Farm &amp; ranch land, ArcSinh (0-10)]]*AG$5*10</f>
        <v>1.8818440956440643</v>
      </c>
      <c r="AJ617" s="258">
        <f>_xlfn.XLOOKUP(FMS_Ranking4[[#This Row],[FMS ID]],FMS_Input[FMS_ID],FMS_Input[REDSTRUCT100])</f>
        <v>0</v>
      </c>
      <c r="AK617" s="253">
        <f>_xlfn.XLOOKUP(FMS_Ranking4[[#This Row],[FMS ID]],FMS_Input[FMS_ID],FMS_Input[REMSTRC100])</f>
        <v>0</v>
      </c>
      <c r="AL617" s="255">
        <f>(ASINH(FMS_Ranking4[[#This Row],[Structures Removed Raw]]))*(10)/(ASINH(AK$4))</f>
        <v>0</v>
      </c>
      <c r="AM617" s="262">
        <f>FMS_Ranking4[[#This Row],[Structures removed, ArcSinh (0-10)]]*AK$5*10</f>
        <v>0</v>
      </c>
      <c r="AN617" s="253">
        <f>_xlfn.XLOOKUP(FMS_Ranking4[[#This Row],[FMS ID]],FMS_Input[FMS_ID],FMS_Input[REMRESSTRC100])</f>
        <v>0</v>
      </c>
      <c r="AO617" s="261">
        <f>FMS_Ranking4[[#This Row],[ArcSinh Res struct removed 0-10]]*AN$5*10</f>
        <v>0</v>
      </c>
      <c r="AP617" s="260">
        <f>ASINH(FMS_Ranking4[[#This Row],[Residential Structures Removed Raw]])/AP$4*AN$5*100</f>
        <v>0</v>
      </c>
      <c r="AQ617" s="258">
        <f>(ASINH(FMS_Ranking4[[#This Row],[Residential Structures Removed Raw]]))*(10)/(ASINH(AN$4))</f>
        <v>0</v>
      </c>
      <c r="AR617" s="253">
        <f>_xlfn.XLOOKUP(FMS_Ranking4[[#This Row],[FMS ID]],FMS_Input[FMS_ID],FMS_Input[REMPOP100])</f>
        <v>0</v>
      </c>
      <c r="AS617" s="255">
        <f>(ASINH(FMS_Ranking4[[#This Row],[Removed Pop Raw]]))*(10)/(ASINH(AR$4))</f>
        <v>0</v>
      </c>
      <c r="AT617" s="262">
        <f>FMS_Ranking4[[#This Row],[Removed population, ArcSinh (0-10)]]*AR$5*10</f>
        <v>0</v>
      </c>
      <c r="AU617" s="264">
        <f>_xlfn.XLOOKUP(FMS_Ranking4[[#This Row],[FMS ID]],FMS_Input[FMS_ID],FMS_Input[REMCRITFAC100])</f>
        <v>0</v>
      </c>
      <c r="AV617" s="264">
        <f>_xlfn.XLOOKUP(FMS_Ranking4[[#This Row],[FMS ID]],FMS_Input[FMS_ID],FMS_Input[REMLWC100])</f>
        <v>0</v>
      </c>
      <c r="AW617" s="264">
        <f>_xlfn.XLOOKUP(FMS_Ranking4[[#This Row],[FMS ID]],FMS_Input[FMS_ID],FMS_Input[REMROADCLS])</f>
        <v>0</v>
      </c>
      <c r="AX617" s="264">
        <f>_xlfn.XLOOKUP(FMS_Ranking4[[#This Row],[FMS ID]],FMS_Input[FMS_ID],FMS_Input[REMFRMACRE100])</f>
        <v>0</v>
      </c>
      <c r="AY617" s="258">
        <f>_xlfn.XLOOKUP(FMS_Ranking4[[#This Row],[FMS ID]],FMS_Input[FMS_ID],FMS_Input[COSTSTRUCT])</f>
        <v>0</v>
      </c>
      <c r="AZ617" s="253">
        <f>_xlfn.XLOOKUP(FMS_Ranking4[[#This Row],[FMS ID]],FMS_Input[FMS_ID],FMS_Input[NATURE])</f>
        <v>0</v>
      </c>
      <c r="BA617" s="262">
        <f>(((FMS_Ranking4[[#This Row],[% NBS Raw]]/AZ$4)*100)*AZ$5)</f>
        <v>0</v>
      </c>
      <c r="BB617" s="251" t="str">
        <f>_xlfn.XLOOKUP(FMS_Ranking4[[#This Row],[FMS ID]],FMS_Input[FMS_ID],FMS_Input[WATER_SUP])</f>
        <v>No</v>
      </c>
      <c r="BC617" s="265">
        <f>IF(FMS_Ranking4[[#This Row],[Water Supply Raw]]="Yes",10,0)</f>
        <v>0</v>
      </c>
      <c r="BD617" s="266">
        <f>_xlfn.XLOOKUP(FMS_Ranking4[[#This Row],[FMS Type]],FMS_TYPE[FMS_Type],FMS_TYPE[Score])</f>
        <v>8</v>
      </c>
      <c r="BE617" s="267">
        <f>FMS_Ranking4[[#This Row],[FMS_Type Score]]*$BD$5*10</f>
        <v>2</v>
      </c>
      <c r="BF61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2.1080688352478033E-2</v>
      </c>
      <c r="BG617" s="321">
        <f>_xlfn.RANK.EQ(BF617,$BF$8:$BF$870,0)+COUNTIF($BF$8:BF617,BF617)-1</f>
        <v>625</v>
      </c>
      <c r="BH617" s="294">
        <f>(((FMS_Ranking4[[#This Row],[Structures Removed Raw]]/AK$4)*100)*AK$5)+(((FMS_Ranking4[[#This Row],[Removed Pop Raw]]/AR$4)*100)*AR$5)</f>
        <v>0</v>
      </c>
      <c r="BI61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2.0210806883524781</v>
      </c>
      <c r="BJ617" s="251">
        <f>_xlfn.RANK.EQ(FMS_Ranking4[[#This Row],[Total Score 
(with linear
normalization)]],FMS_Ranking4[Total Score 
(with linear
normalization)],0)</f>
        <v>409</v>
      </c>
      <c r="BK617" s="251" t="e">
        <f>_xlfn.XLOOKUP(FMS_Ranking4[[#This Row],[FMS ID]],#REF!,#REF!)</f>
        <v>#REF!</v>
      </c>
      <c r="BL61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12.239752136661977</v>
      </c>
      <c r="BM617" s="324">
        <f>FMS_Ranking4[[#This Row],[ArcSinh Score Based on Normalized Reported Factors]]+FMS_Ranking4[[#This Row],[% NBS Score (Normalized)]]+(FMS_Ranking4[[#This Row],[Water Supply Score (Normalized)]]*10*$BB$5)+FMS_Ranking4[[#This Row],[FMS_Type Score Weighted]]</f>
        <v>14.239752136661977</v>
      </c>
      <c r="BN617" s="251">
        <f>_xlfn.RANK.EQ(FMS_Ranking4[[#This Row],[Total Score (with ArcSinh normalization of select criteria)]],FMS_Ranking4[Total Score (with ArcSinh normalization of select criteria)],0)</f>
        <v>610</v>
      </c>
      <c r="BO617" s="270" t="str">
        <f>_xlfn.XLOOKUP(FMS_Ranking4[[#This Row],[FMS ID]],FMS_Input[FMS_ID],FMS_Input[FMS_RANK_YEAR])</f>
        <v>2023 Amended Plan</v>
      </c>
      <c r="BP617" s="204" t="e">
        <f>_xlfn.XLOOKUP(FMS_Ranking4[[#This Row],[FMS ID]],Prev_Rank[FMS ID],Prev_Rank[Prev Rank])</f>
        <v>#N/A</v>
      </c>
      <c r="BQ617" s="251" t="e">
        <f>_xlfn.XLOOKUP(FMS_Ranking4[[#This Row],[FMS ID]],#REF!,#REF!)</f>
        <v>#REF!</v>
      </c>
      <c r="BR617" s="199" t="e">
        <f>SUM(#REF!,#REF!,#REF!,#REF!,#REF!,#REF!,#REF!,#REF!,#REF!,FMS_Ranking4[[#This Row],[ArcSinh Res struct removed 0-10]],#REF!)</f>
        <v>#REF!</v>
      </c>
      <c r="BS617" s="199" t="e">
        <f>FMS_Ranking4[[#This Row],[Log Score Based on Normalized Reported Factors]]+FMS_Ranking4[[#This Row],[% NBS Score (Normalized)]]+(FMS_Ranking4[[#This Row],[Water Supply Score (Normalized)]]*10*$BB$5)+(FMS_Ranking4[[#This Row],[FMS_Type Score Weighted]])</f>
        <v>#REF!</v>
      </c>
      <c r="BT617" s="200" t="e">
        <f>_xlfn.RANK.EQ(FMS_Ranking4[[#This Row],[Log Total Score]],FMS_Ranking4[Log Total Score],0)</f>
        <v>#REF!</v>
      </c>
      <c r="BU617" s="200" t="e">
        <f>_xlfn.XLOOKUP(FMS_Ranking4[[#This Row],[FMS ID]],#REF!,#REF!)</f>
        <v>#REF!</v>
      </c>
      <c r="BV617" s="200">
        <f>FMS_Ranking4[[#This Row],[Region Number]]</f>
        <v>4</v>
      </c>
      <c r="BW617" s="200">
        <f>FMS_Ranking4[[#This Row],[Rank (with ArcSinh normalization of select criteria)]]-FMS_Ranking4[[#This Row],[Rank
(with linear
normalization)]]</f>
        <v>201</v>
      </c>
      <c r="BX617" s="200" t="e">
        <f>FMS_Ranking4[[#This Row],[Log Rank]]-FMS_Ranking4[[#This Row],[Rank
(with linear
normalization)]]</f>
        <v>#REF!</v>
      </c>
      <c r="BY617" s="200" t="str">
        <f>IF(FMS_Ranking4[[#This Row],[FMS Type]]="Flood Measurement and Warning",FMS_Ranking4[[#This Row],[Rank (with ArcSinh normalization of select criteria)]],"")</f>
        <v/>
      </c>
      <c r="BZ617" s="200">
        <f>IF(FMS_Ranking4[[#This Row],[FMS Type]]="Regulatory and Guidance",FMS_Ranking4[[#This Row],[Rank (with ArcSinh normalization of select criteria)]],"")</f>
        <v>610</v>
      </c>
      <c r="CA617" s="200" t="str">
        <f>IF(FMS_Ranking4[[#This Row],[FMS Type]]="Education and Outreach",FMS_Ranking4[[#This Row],[Rank (with ArcSinh normalization of select criteria)]],"")</f>
        <v/>
      </c>
      <c r="CB617" s="200" t="str">
        <f>IF(FMS_Ranking4[[#This Row],[FMS Type]]="Property Acquisition and Structural Elevation",FMS_Ranking4[[#This Row],[Rank (with ArcSinh normalization of select criteria)]],"")</f>
        <v/>
      </c>
      <c r="CC617" s="200" t="str">
        <f>IF(FMS_Ranking4[[#This Row],[FMS Type]]="Infrastructure Projects",FMS_Ranking4[[#This Row],[Rank (with ArcSinh normalization of select criteria)]],"")</f>
        <v/>
      </c>
      <c r="CD617" s="200" t="str">
        <f>IF(FMS_Ranking4[[#This Row],[FMS Type]]="Other",FMS_Ranking4[[#This Row],[Rank (with ArcSinh normalization of select criteria)]],"")</f>
        <v/>
      </c>
      <c r="CE617" s="201"/>
      <c r="CF617" s="206"/>
      <c r="CG617" s="206"/>
      <c r="CH617" s="206"/>
      <c r="CI617" s="206"/>
      <c r="CJ617" s="206"/>
      <c r="CK617" s="206"/>
      <c r="CL617" s="206"/>
      <c r="CM617" s="206"/>
      <c r="CN617" s="206"/>
      <c r="CO617" s="206"/>
      <c r="CP617" s="206"/>
      <c r="CQ617" s="206"/>
      <c r="CR617" s="206"/>
    </row>
    <row r="618" spans="2:96" ht="90" x14ac:dyDescent="0.25">
      <c r="B618" s="341" t="s">
        <v>3713</v>
      </c>
      <c r="C618" s="246">
        <f>_xlfn.XLOOKUP(FMS_Ranking4[[#This Row],[FMS ID]],FMS_Input[FMS_ID],FMS_Input[RFPG_NUM])</f>
        <v>13</v>
      </c>
      <c r="D618" s="309" t="str">
        <f>_xlfn.XLOOKUP(FMS_Ranking4[[#This Row],[FMS ID]],FMS_Input[FMS_ID],FMS_Input[FMS_NAME])</f>
        <v>Ingleside on the Bay Flood Mitigation Policy</v>
      </c>
      <c r="E618" s="308" t="str">
        <f>_xlfn.XLOOKUP(FMS_Ranking4[[#This Row],[FMS ID]],FMS_Input[FMS_ID],FMS_Input[SPONSOR])</f>
        <v>13003248</v>
      </c>
      <c r="F618" s="309" t="str">
        <f>_xlfn.XLOOKUP(FMS_Ranking4[[#This Row],[FMS ID]],Sponsor[FMS_ID],Sponsor[SPONSOR NAME])</f>
        <v>Ingleside on the Bay</v>
      </c>
      <c r="G618" s="309" t="str">
        <f>_xlfn.XLOOKUP(FMS_Ranking4[[#This Row],[FMS ID]],FMS_Input[FMS_ID],FMS_Input[FMS_DESCR])</f>
        <v>San Patricio County Hazard Mitigation Action Plan - City of Ingleside on the Bay, Action #11: Adopt ASFPM’s “No Adverse Impact” policy to mitigate local flooding. </v>
      </c>
      <c r="H618" s="248" t="str">
        <f>_xlfn.XLOOKUP(FMS_Ranking4[[#This Row],[FMS ID]],FMS_Input[FMS_ID],FMS_Input[FMS_TYPE])</f>
        <v>Regulatory and Guidance</v>
      </c>
      <c r="I618" s="249">
        <f>_xlfn.XLOOKUP(FMS_Ranking4[[#This Row],[FMS ID]],FMS_Input[FMS_ID],FMS_Input[NRNC_COST])</f>
        <v>100000</v>
      </c>
      <c r="J618" s="250">
        <f>_xlfn.XLOOKUP(FMS_Ranking4[[#This Row],[FMS ID]],FMS_Input[FMS_ID],FMS_Input[FMS_COST])</f>
        <v>100000</v>
      </c>
      <c r="K618" s="251" t="str">
        <f>_xlfn.XLOOKUP(FMS_Ranking4[[#This Row],[FMS ID]],FMS_Input[FMS_ID],FMS_Input[EMER_NEED])</f>
        <v>Yes</v>
      </c>
      <c r="L618" s="252">
        <f t="shared" si="9"/>
        <v>1</v>
      </c>
      <c r="M618" s="253">
        <f>_xlfn.XLOOKUP(FMS_Ranking4[[#This Row],[FMS ID]],FMS_Input[FMS_ID],FMS_Input[STRUCT_100])</f>
        <v>157</v>
      </c>
      <c r="N618" s="255">
        <f>(ASINH(FMS_Ranking4[[#This Row],[Structure at Risk Raw]]))*(10)/(ASINH(M$4))</f>
        <v>4.5198869077768542</v>
      </c>
      <c r="O618" s="256">
        <f>FMS_Ranking4[[#This Row],[Structures at risk, ArcSinh (0-10)]]*M$5*10</f>
        <v>4.5198869077768542</v>
      </c>
      <c r="P618" s="253">
        <f>_xlfn.XLOOKUP(FMS_Ranking4[[#This Row],[FMS ID]],FMS_Input[FMS_ID],FMS_Input[RES_STRUCT100])</f>
        <v>153</v>
      </c>
      <c r="Q618" s="257">
        <f>ASINH(FMS_Ranking4[[#This Row],[Res Structure Raw]])/Q$4*P$5*100</f>
        <v>0</v>
      </c>
      <c r="R618" s="253">
        <f>_xlfn.XLOOKUP(FMS_Ranking4[[#This Row],[FMS ID]],FMS_Input[FMS_ID],FMS_Input[POP100])</f>
        <v>232</v>
      </c>
      <c r="S618" s="259">
        <f>(ASINH(FMS_Ranking4[[#This Row],[Pop at Risk Raw]]))*(10)/(ASINH(R$4))</f>
        <v>4.2387229643099218</v>
      </c>
      <c r="T618" s="256">
        <f>FMS_Ranking4[[#This Row],[Population at risk, ArcSinh (0-10)]]*R$5*10</f>
        <v>4.2387229643099218</v>
      </c>
      <c r="U618" s="253">
        <f>_xlfn.XLOOKUP(FMS_Ranking4[[#This Row],[FMS ID]],FMS_Input[FMS_ID],FMS_Input[CRITFAC100])</f>
        <v>0</v>
      </c>
      <c r="V618" s="259">
        <f>(ASINH(FMS_Ranking4[[#This Row],[Critical Facilities Raw]]))*(10)/(ASINH(U$4))</f>
        <v>0</v>
      </c>
      <c r="W618" s="256">
        <f>FMS_Ranking4[[#This Row],[Critical facilities at risk, ArcSinh (0-10)]]*U$5*10</f>
        <v>0</v>
      </c>
      <c r="X618" s="253">
        <f>_xlfn.XLOOKUP(FMS_Ranking4[[#This Row],[FMS ID]],FMS_Input[FMS_ID],FMS_Input[LWC])</f>
        <v>0</v>
      </c>
      <c r="Y618" s="259">
        <f>(ASINH(FMS_Ranking4[[#This Row],[LWC Raw]]))*(10)/(ASINH(X$4))</f>
        <v>0</v>
      </c>
      <c r="Z618" s="256">
        <f>FMS_Ranking4[[#This Row],[LWC, ArcSInh (0-10)]]*X$5*10</f>
        <v>0</v>
      </c>
      <c r="AA618" s="253">
        <f>_xlfn.XLOOKUP(FMS_Ranking4[[#This Row],[FMS ID]],FMS_Input[FMS_ID],FMS_Input[ROADCLS])</f>
        <v>20</v>
      </c>
      <c r="AB618" s="255">
        <f>(ASINH(FMS_Ranking4[[#This Row],[Road Closures Raw]]))*(10)/(ASINH(AA$4))</f>
        <v>3.8422796453891408</v>
      </c>
      <c r="AC618" s="256">
        <f>FMS_Ranking4[[#This Row],[Road closures, ArcSinh (0-10)]]*AA$5*10</f>
        <v>1.9211398226945706</v>
      </c>
      <c r="AD618" s="253">
        <f>_xlfn.XLOOKUP(FMS_Ranking4[[#This Row],[FMS ID]],FMS_Input[FMS_ID],FMS_Input[ROAD_MILES100])</f>
        <v>2</v>
      </c>
      <c r="AE618" s="259">
        <f>(ASINH(FMS_Ranking4[[#This Row],[Road Miles Raw]]))*(10)/(ASINH(AD$4))</f>
        <v>1.5385182374234352</v>
      </c>
      <c r="AF618" s="256">
        <f>FMS_Ranking4[[#This Row],[Length of roads at risk, ArcSinh (0-10)]]*AD$5*10</f>
        <v>1.5385182374234352</v>
      </c>
      <c r="AG618" s="253">
        <f>_xlfn.XLOOKUP(FMS_Ranking4[[#This Row],[FMS ID]],FMS_Input[FMS_ID],FMS_Input[FARMACRE100])</f>
        <v>0</v>
      </c>
      <c r="AH618" s="255">
        <f>(ASINH(FMS_Ranking4[[#This Row],[Ag Land Raw]]))*(10)/(ASINH(AG$4))</f>
        <v>0</v>
      </c>
      <c r="AI618" s="260">
        <f>FMS_Ranking4[[#This Row],[Farm &amp; ranch land, ArcSinh (0-10)]]*AG$5*10</f>
        <v>0</v>
      </c>
      <c r="AJ618" s="258">
        <f>_xlfn.XLOOKUP(FMS_Ranking4[[#This Row],[FMS ID]],FMS_Input[FMS_ID],FMS_Input[REDSTRUCT100])</f>
        <v>0</v>
      </c>
      <c r="AK618" s="253">
        <f>_xlfn.XLOOKUP(FMS_Ranking4[[#This Row],[FMS ID]],FMS_Input[FMS_ID],FMS_Input[REMSTRC100])</f>
        <v>0</v>
      </c>
      <c r="AL618" s="259">
        <f>(ASINH(FMS_Ranking4[[#This Row],[Structures Removed Raw]]))*(10)/(ASINH(AK$4))</f>
        <v>0</v>
      </c>
      <c r="AM618" s="262">
        <f>FMS_Ranking4[[#This Row],[Structures removed, ArcSinh (0-10)]]*AK$5*10</f>
        <v>0</v>
      </c>
      <c r="AN618" s="253">
        <f>_xlfn.XLOOKUP(FMS_Ranking4[[#This Row],[FMS ID]],FMS_Input[FMS_ID],FMS_Input[REMRESSTRC100])</f>
        <v>0</v>
      </c>
      <c r="AO618" s="261">
        <f>FMS_Ranking4[[#This Row],[ArcSinh Res struct removed 0-10]]*AN$5*10</f>
        <v>0</v>
      </c>
      <c r="AP618" s="260">
        <f>ASINH(FMS_Ranking4[[#This Row],[Residential Structures Removed Raw]])/AP$4*AN$5*100</f>
        <v>0</v>
      </c>
      <c r="AQ618" s="254">
        <f>(ASINH(FMS_Ranking4[[#This Row],[Residential Structures Removed Raw]]))*(10)/(ASINH(AN$4))</f>
        <v>0</v>
      </c>
      <c r="AR618" s="253">
        <f>_xlfn.XLOOKUP(FMS_Ranking4[[#This Row],[FMS ID]],FMS_Input[FMS_ID],FMS_Input[REMPOP100])</f>
        <v>0</v>
      </c>
      <c r="AS618" s="259">
        <f>(ASINH(FMS_Ranking4[[#This Row],[Removed Pop Raw]]))*(10)/(ASINH(AR$4))</f>
        <v>0</v>
      </c>
      <c r="AT618" s="262">
        <f>FMS_Ranking4[[#This Row],[Removed population, ArcSinh (0-10)]]*AR$5*10</f>
        <v>0</v>
      </c>
      <c r="AU618" s="264">
        <f>_xlfn.XLOOKUP(FMS_Ranking4[[#This Row],[FMS ID]],FMS_Input[FMS_ID],FMS_Input[REMCRITFAC100])</f>
        <v>0</v>
      </c>
      <c r="AV618" s="264">
        <f>_xlfn.XLOOKUP(FMS_Ranking4[[#This Row],[FMS ID]],FMS_Input[FMS_ID],FMS_Input[REMLWC100])</f>
        <v>0</v>
      </c>
      <c r="AW618" s="264">
        <f>_xlfn.XLOOKUP(FMS_Ranking4[[#This Row],[FMS ID]],FMS_Input[FMS_ID],FMS_Input[REMROADCLS])</f>
        <v>0</v>
      </c>
      <c r="AX618" s="264">
        <f>_xlfn.XLOOKUP(FMS_Ranking4[[#This Row],[FMS ID]],FMS_Input[FMS_ID],FMS_Input[REMFRMACRE100])</f>
        <v>0</v>
      </c>
      <c r="AY618" s="258">
        <f>_xlfn.XLOOKUP(FMS_Ranking4[[#This Row],[FMS ID]],FMS_Input[FMS_ID],FMS_Input[COSTSTRUCT])</f>
        <v>0</v>
      </c>
      <c r="AZ618" s="253">
        <f>_xlfn.XLOOKUP(FMS_Ranking4[[#This Row],[FMS ID]],FMS_Input[FMS_ID],FMS_Input[NATURE])</f>
        <v>0</v>
      </c>
      <c r="BA618" s="262">
        <f>(((FMS_Ranking4[[#This Row],[% NBS Raw]]/AZ$4)*100)*AZ$5)</f>
        <v>0</v>
      </c>
      <c r="BB618" s="251" t="str">
        <f>_xlfn.XLOOKUP(FMS_Ranking4[[#This Row],[FMS ID]],FMS_Input[FMS_ID],FMS_Input[WATER_SUP])</f>
        <v>No</v>
      </c>
      <c r="BC618" s="265">
        <f>IF(FMS_Ranking4[[#This Row],[Water Supply Raw]]="Yes",10,0)</f>
        <v>0</v>
      </c>
      <c r="BD618" s="266">
        <f>_xlfn.XLOOKUP(FMS_Ranking4[[#This Row],[FMS Type]],FMS_TYPE[FMS_Type],FMS_TYPE[Score])</f>
        <v>8</v>
      </c>
      <c r="BE618" s="267">
        <f>FMS_Ranking4[[#This Row],[FMS_Type Score]]*$BD$5*10</f>
        <v>2</v>
      </c>
      <c r="BF61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2.8641841238704675E-2</v>
      </c>
      <c r="BG618" s="271">
        <f>_xlfn.RANK.EQ(BF618,$BF$8:$BF$870,0)+COUNTIF($BF$8:BF618,BF618)-1</f>
        <v>605</v>
      </c>
      <c r="BH618" s="268">
        <f>(((FMS_Ranking4[[#This Row],[Structures Removed Raw]]/AK$4)*100)*AK$5)+(((FMS_Ranking4[[#This Row],[Removed Pop Raw]]/AR$4)*100)*AR$5)</f>
        <v>0</v>
      </c>
      <c r="BI61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2.0286418412387048</v>
      </c>
      <c r="BJ618" s="205">
        <f>_xlfn.RANK.EQ(FMS_Ranking4[[#This Row],[Total Score 
(with linear
normalization)]],FMS_Ranking4[Total Score 
(with linear
normalization)],0)</f>
        <v>402</v>
      </c>
      <c r="BK618" s="205" t="e">
        <f>_xlfn.XLOOKUP(FMS_Ranking4[[#This Row],[FMS ID]],#REF!,#REF!)</f>
        <v>#REF!</v>
      </c>
      <c r="BL61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12.218267932204782</v>
      </c>
      <c r="BM618" s="272">
        <f>FMS_Ranking4[[#This Row],[ArcSinh Score Based on Normalized Reported Factors]]+FMS_Ranking4[[#This Row],[% NBS Score (Normalized)]]+(FMS_Ranking4[[#This Row],[Water Supply Score (Normalized)]]*10*$BB$5)+FMS_Ranking4[[#This Row],[FMS_Type Score Weighted]]</f>
        <v>14.218267932204782</v>
      </c>
      <c r="BN618" s="205">
        <f>_xlfn.RANK.EQ(FMS_Ranking4[[#This Row],[Total Score (with ArcSinh normalization of select criteria)]],FMS_Ranking4[Total Score (with ArcSinh normalization of select criteria)],0)</f>
        <v>611</v>
      </c>
      <c r="BO618" s="270" t="str">
        <f>_xlfn.XLOOKUP(FMS_Ranking4[[#This Row],[FMS ID]],FMS_Input[FMS_ID],FMS_Input[FMS_RANK_YEAR])</f>
        <v>2023 Amended Plan</v>
      </c>
      <c r="BP618" s="204">
        <f>_xlfn.XLOOKUP(FMS_Ranking4[[#This Row],[FMS ID]],Prev_Rank[FMS ID],Prev_Rank[Prev Rank])</f>
        <v>543</v>
      </c>
      <c r="BQ618" s="205" t="e">
        <f>_xlfn.XLOOKUP(FMS_Ranking4[[#This Row],[FMS ID]],#REF!,#REF!)</f>
        <v>#REF!</v>
      </c>
      <c r="BR618" s="199" t="e">
        <f>SUM(#REF!,#REF!,#REF!,#REF!,#REF!,#REF!,#REF!,#REF!,#REF!,FMS_Ranking4[[#This Row],[ArcSinh Res struct removed 0-10]],#REF!)</f>
        <v>#REF!</v>
      </c>
      <c r="BS618" s="199" t="e">
        <f>FMS_Ranking4[[#This Row],[Log Score Based on Normalized Reported Factors]]+FMS_Ranking4[[#This Row],[% NBS Score (Normalized)]]+(FMS_Ranking4[[#This Row],[Water Supply Score (Normalized)]]*10*$BB$5)+(FMS_Ranking4[[#This Row],[FMS_Type Score Weighted]])</f>
        <v>#REF!</v>
      </c>
      <c r="BT618" s="200" t="e">
        <f>_xlfn.RANK.EQ(FMS_Ranking4[[#This Row],[Log Total Score]],FMS_Ranking4[Log Total Score],0)</f>
        <v>#REF!</v>
      </c>
      <c r="BU618" s="200" t="e">
        <f>_xlfn.XLOOKUP(FMS_Ranking4[[#This Row],[FMS ID]],#REF!,#REF!)</f>
        <v>#REF!</v>
      </c>
      <c r="BV618" s="200">
        <f>FMS_Ranking4[[#This Row],[Region Number]]</f>
        <v>13</v>
      </c>
      <c r="BW618" s="200">
        <f>FMS_Ranking4[[#This Row],[Rank (with ArcSinh normalization of select criteria)]]-FMS_Ranking4[[#This Row],[Rank
(with linear
normalization)]]</f>
        <v>209</v>
      </c>
      <c r="BX618" s="200" t="e">
        <f>FMS_Ranking4[[#This Row],[Log Rank]]-FMS_Ranking4[[#This Row],[Rank
(with linear
normalization)]]</f>
        <v>#REF!</v>
      </c>
      <c r="BY618" s="200" t="str">
        <f>IF(FMS_Ranking4[[#This Row],[FMS Type]]="Flood Measurement and Warning",FMS_Ranking4[[#This Row],[Rank (with ArcSinh normalization of select criteria)]],"")</f>
        <v/>
      </c>
      <c r="BZ618" s="200">
        <f>IF(FMS_Ranking4[[#This Row],[FMS Type]]="Regulatory and Guidance",FMS_Ranking4[[#This Row],[Rank (with ArcSinh normalization of select criteria)]],"")</f>
        <v>611</v>
      </c>
      <c r="CA618" s="200" t="str">
        <f>IF(FMS_Ranking4[[#This Row],[FMS Type]]="Education and Outreach",FMS_Ranking4[[#This Row],[Rank (with ArcSinh normalization of select criteria)]],"")</f>
        <v/>
      </c>
      <c r="CB618" s="200" t="str">
        <f>IF(FMS_Ranking4[[#This Row],[FMS Type]]="Property Acquisition and Structural Elevation",FMS_Ranking4[[#This Row],[Rank (with ArcSinh normalization of select criteria)]],"")</f>
        <v/>
      </c>
      <c r="CC618" s="200" t="str">
        <f>IF(FMS_Ranking4[[#This Row],[FMS Type]]="Infrastructure Projects",FMS_Ranking4[[#This Row],[Rank (with ArcSinh normalization of select criteria)]],"")</f>
        <v/>
      </c>
      <c r="CD618" s="200" t="str">
        <f>IF(FMS_Ranking4[[#This Row],[FMS Type]]="Other",FMS_Ranking4[[#This Row],[Rank (with ArcSinh normalization of select criteria)]],"")</f>
        <v/>
      </c>
      <c r="CE618" s="201"/>
      <c r="CF618" s="206"/>
      <c r="CG618" s="206"/>
      <c r="CH618" s="206"/>
      <c r="CI618" s="206"/>
      <c r="CJ618" s="206"/>
      <c r="CK618" s="206"/>
      <c r="CL618" s="206"/>
      <c r="CM618" s="206"/>
      <c r="CN618" s="206"/>
      <c r="CO618" s="206"/>
      <c r="CP618" s="206"/>
      <c r="CQ618" s="206"/>
      <c r="CR618" s="206"/>
    </row>
    <row r="619" spans="2:96" ht="45" x14ac:dyDescent="0.25">
      <c r="B619" s="341" t="s">
        <v>4795</v>
      </c>
      <c r="C619" s="246">
        <f>_xlfn.XLOOKUP(FMS_Ranking4[[#This Row],[FMS ID]],FMS_Input[FMS_ID],FMS_Input[RFPG_NUM])</f>
        <v>4</v>
      </c>
      <c r="D619" s="309" t="str">
        <f>_xlfn.XLOOKUP(FMS_Ranking4[[#This Row],[FMS ID]],FMS_Input[FMS_ID],FMS_Input[FMS_NAME])</f>
        <v>City of Grand Saline "StormReady" Program</v>
      </c>
      <c r="E619" s="308" t="str">
        <f>_xlfn.XLOOKUP(FMS_Ranking4[[#This Row],[FMS ID]],FMS_Input[FMS_ID],FMS_Input[SPONSOR])</f>
        <v>04002588</v>
      </c>
      <c r="F619" s="309" t="str">
        <f>_xlfn.XLOOKUP(FMS_Ranking4[[#This Row],[FMS ID]],Sponsor[FMS_ID],Sponsor[SPONSOR NAME])</f>
        <v>Grand Saline</v>
      </c>
      <c r="G619" s="309" t="str">
        <f>_xlfn.XLOOKUP(FMS_Ranking4[[#This Row],[FMS ID]],FMS_Input[FMS_ID],FMS_Input[FMS_DESCR])</f>
        <v>Obtain certification in the National Weather Service StormReady Program.</v>
      </c>
      <c r="H619" s="248" t="str">
        <f>_xlfn.XLOOKUP(FMS_Ranking4[[#This Row],[FMS ID]],FMS_Input[FMS_ID],FMS_Input[FMS_TYPE])</f>
        <v>Regulatory and Guidance</v>
      </c>
      <c r="I619" s="249">
        <f>_xlfn.XLOOKUP(FMS_Ranking4[[#This Row],[FMS ID]],FMS_Input[FMS_ID],FMS_Input[NRNC_COST])</f>
        <v>10000</v>
      </c>
      <c r="J619" s="250">
        <f>_xlfn.XLOOKUP(FMS_Ranking4[[#This Row],[FMS ID]],FMS_Input[FMS_ID],FMS_Input[FMS_COST])</f>
        <v>10000</v>
      </c>
      <c r="K619" s="251" t="str">
        <f>_xlfn.XLOOKUP(FMS_Ranking4[[#This Row],[FMS ID]],FMS_Input[FMS_ID],FMS_Input[EMER_NEED])</f>
        <v>No</v>
      </c>
      <c r="L619" s="252">
        <f t="shared" si="9"/>
        <v>0</v>
      </c>
      <c r="M619" s="253">
        <f>_xlfn.XLOOKUP(FMS_Ranking4[[#This Row],[FMS ID]],FMS_Input[FMS_ID],FMS_Input[STRUCT_100])</f>
        <v>82</v>
      </c>
      <c r="N619" s="255">
        <f>(ASINH(FMS_Ranking4[[#This Row],[Structure at Risk Raw]]))*(10)/(ASINH(M$4))</f>
        <v>4.009283577074644</v>
      </c>
      <c r="O619" s="256">
        <f>FMS_Ranking4[[#This Row],[Structures at risk, ArcSinh (0-10)]]*M$5*10</f>
        <v>4.009283577074644</v>
      </c>
      <c r="P619" s="253">
        <f>_xlfn.XLOOKUP(FMS_Ranking4[[#This Row],[FMS ID]],FMS_Input[FMS_ID],FMS_Input[RES_STRUCT100])</f>
        <v>34</v>
      </c>
      <c r="Q619" s="257">
        <f>ASINH(FMS_Ranking4[[#This Row],[Res Structure Raw]])/Q$4*P$5*100</f>
        <v>0</v>
      </c>
      <c r="R619" s="253">
        <f>_xlfn.XLOOKUP(FMS_Ranking4[[#This Row],[FMS ID]],FMS_Input[FMS_ID],FMS_Input[POP100])</f>
        <v>178</v>
      </c>
      <c r="S619" s="259">
        <f>(ASINH(FMS_Ranking4[[#This Row],[Pop at Risk Raw]]))*(10)/(ASINH(R$4))</f>
        <v>4.0558121569707852</v>
      </c>
      <c r="T619" s="256">
        <f>FMS_Ranking4[[#This Row],[Population at risk, ArcSinh (0-10)]]*R$5*10</f>
        <v>4.0558121569707852</v>
      </c>
      <c r="U619" s="253">
        <f>_xlfn.XLOOKUP(FMS_Ranking4[[#This Row],[FMS ID]],FMS_Input[FMS_ID],FMS_Input[CRITFAC100])</f>
        <v>1</v>
      </c>
      <c r="V619" s="259">
        <f>(ASINH(FMS_Ranking4[[#This Row],[Critical Facilities Raw]]))*(10)/(ASINH(U$4))</f>
        <v>1.0433384451410745</v>
      </c>
      <c r="W619" s="256">
        <f>FMS_Ranking4[[#This Row],[Critical facilities at risk, ArcSinh (0-10)]]*U$5*10</f>
        <v>1.0433384451410745</v>
      </c>
      <c r="X619" s="253">
        <f>_xlfn.XLOOKUP(FMS_Ranking4[[#This Row],[FMS ID]],FMS_Input[FMS_ID],FMS_Input[LWC])</f>
        <v>0</v>
      </c>
      <c r="Y619" s="259">
        <f>(ASINH(FMS_Ranking4[[#This Row],[LWC Raw]]))*(10)/(ASINH(X$4))</f>
        <v>0</v>
      </c>
      <c r="Z619" s="256">
        <f>FMS_Ranking4[[#This Row],[LWC, ArcSInh (0-10)]]*X$5*10</f>
        <v>0</v>
      </c>
      <c r="AA619" s="253">
        <f>_xlfn.XLOOKUP(FMS_Ranking4[[#This Row],[FMS ID]],FMS_Input[FMS_ID],FMS_Input[ROADCLS])</f>
        <v>0</v>
      </c>
      <c r="AB619" s="255">
        <f>(ASINH(FMS_Ranking4[[#This Row],[Road Closures Raw]]))*(10)/(ASINH(AA$4))</f>
        <v>0</v>
      </c>
      <c r="AC619" s="256">
        <f>FMS_Ranking4[[#This Row],[Road closures, ArcSinh (0-10)]]*AA$5*10</f>
        <v>0</v>
      </c>
      <c r="AD619" s="253">
        <f>_xlfn.XLOOKUP(FMS_Ranking4[[#This Row],[FMS ID]],FMS_Input[FMS_ID],FMS_Input[ROAD_MILES100])</f>
        <v>2</v>
      </c>
      <c r="AE619" s="259">
        <f>(ASINH(FMS_Ranking4[[#This Row],[Road Miles Raw]]))*(10)/(ASINH(AD$4))</f>
        <v>1.5385182374234352</v>
      </c>
      <c r="AF619" s="256">
        <f>FMS_Ranking4[[#This Row],[Length of roads at risk, ArcSinh (0-10)]]*AD$5*10</f>
        <v>1.5385182374234352</v>
      </c>
      <c r="AG619" s="253">
        <f>_xlfn.XLOOKUP(FMS_Ranking4[[#This Row],[FMS ID]],FMS_Input[FMS_ID],FMS_Input[FARMACRE100])</f>
        <v>24.295906066894531</v>
      </c>
      <c r="AH619" s="255">
        <f>(ASINH(FMS_Ranking4[[#This Row],[Ag Land Raw]]))*(10)/(ASINH(AG$4))</f>
        <v>2.5228953683306403</v>
      </c>
      <c r="AI619" s="260">
        <f>FMS_Ranking4[[#This Row],[Farm &amp; ranch land, ArcSinh (0-10)]]*AG$5*10</f>
        <v>1.2614476841653202</v>
      </c>
      <c r="AJ619" s="258">
        <f>_xlfn.XLOOKUP(FMS_Ranking4[[#This Row],[FMS ID]],FMS_Input[FMS_ID],FMS_Input[REDSTRUCT100])</f>
        <v>0</v>
      </c>
      <c r="AK619" s="253">
        <f>_xlfn.XLOOKUP(FMS_Ranking4[[#This Row],[FMS ID]],FMS_Input[FMS_ID],FMS_Input[REMSTRC100])</f>
        <v>0</v>
      </c>
      <c r="AL619" s="259">
        <f>(ASINH(FMS_Ranking4[[#This Row],[Structures Removed Raw]]))*(10)/(ASINH(AK$4))</f>
        <v>0</v>
      </c>
      <c r="AM619" s="262">
        <f>FMS_Ranking4[[#This Row],[Structures removed, ArcSinh (0-10)]]*AK$5*10</f>
        <v>0</v>
      </c>
      <c r="AN619" s="253">
        <f>_xlfn.XLOOKUP(FMS_Ranking4[[#This Row],[FMS ID]],FMS_Input[FMS_ID],FMS_Input[REMRESSTRC100])</f>
        <v>0</v>
      </c>
      <c r="AO619" s="261">
        <f>FMS_Ranking4[[#This Row],[ArcSinh Res struct removed 0-10]]*AN$5*10</f>
        <v>0</v>
      </c>
      <c r="AP619" s="260">
        <f>ASINH(FMS_Ranking4[[#This Row],[Residential Structures Removed Raw]])/AP$4*AN$5*100</f>
        <v>0</v>
      </c>
      <c r="AQ619" s="254">
        <f>(ASINH(FMS_Ranking4[[#This Row],[Residential Structures Removed Raw]]))*(10)/(ASINH(AN$4))</f>
        <v>0</v>
      </c>
      <c r="AR619" s="253">
        <f>_xlfn.XLOOKUP(FMS_Ranking4[[#This Row],[FMS ID]],FMS_Input[FMS_ID],FMS_Input[REMPOP100])</f>
        <v>0</v>
      </c>
      <c r="AS619" s="259">
        <f>(ASINH(FMS_Ranking4[[#This Row],[Removed Pop Raw]]))*(10)/(ASINH(AR$4))</f>
        <v>0</v>
      </c>
      <c r="AT619" s="262">
        <f>FMS_Ranking4[[#This Row],[Removed population, ArcSinh (0-10)]]*AR$5*10</f>
        <v>0</v>
      </c>
      <c r="AU619" s="264">
        <f>_xlfn.XLOOKUP(FMS_Ranking4[[#This Row],[FMS ID]],FMS_Input[FMS_ID],FMS_Input[REMCRITFAC100])</f>
        <v>0</v>
      </c>
      <c r="AV619" s="264">
        <f>_xlfn.XLOOKUP(FMS_Ranking4[[#This Row],[FMS ID]],FMS_Input[FMS_ID],FMS_Input[REMLWC100])</f>
        <v>0</v>
      </c>
      <c r="AW619" s="264">
        <f>_xlfn.XLOOKUP(FMS_Ranking4[[#This Row],[FMS ID]],FMS_Input[FMS_ID],FMS_Input[REMROADCLS])</f>
        <v>0</v>
      </c>
      <c r="AX619" s="264">
        <f>_xlfn.XLOOKUP(FMS_Ranking4[[#This Row],[FMS ID]],FMS_Input[FMS_ID],FMS_Input[REMFRMACRE100])</f>
        <v>0</v>
      </c>
      <c r="AY619" s="258">
        <f>_xlfn.XLOOKUP(FMS_Ranking4[[#This Row],[FMS ID]],FMS_Input[FMS_ID],FMS_Input[COSTSTRUCT])</f>
        <v>0</v>
      </c>
      <c r="AZ619" s="253">
        <f>_xlfn.XLOOKUP(FMS_Ranking4[[#This Row],[FMS ID]],FMS_Input[FMS_ID],FMS_Input[NATURE])</f>
        <v>0</v>
      </c>
      <c r="BA619" s="262">
        <f>(((FMS_Ranking4[[#This Row],[% NBS Raw]]/AZ$4)*100)*AZ$5)</f>
        <v>0</v>
      </c>
      <c r="BB619" s="251" t="str">
        <f>_xlfn.XLOOKUP(FMS_Ranking4[[#This Row],[FMS ID]],FMS_Input[FMS_ID],FMS_Input[WATER_SUP])</f>
        <v>No</v>
      </c>
      <c r="BC619" s="265">
        <f>IF(FMS_Ranking4[[#This Row],[Water Supply Raw]]="Yes",10,0)</f>
        <v>0</v>
      </c>
      <c r="BD619" s="266">
        <f>_xlfn.XLOOKUP(FMS_Ranking4[[#This Row],[FMS Type]],FMS_TYPE[FMS_Type],FMS_TYPE[Score])</f>
        <v>8</v>
      </c>
      <c r="BE619" s="267">
        <f>FMS_Ranking4[[#This Row],[FMS_Type Score]]*$BD$5*10</f>
        <v>2</v>
      </c>
      <c r="BF61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1.4428784569901976E-2</v>
      </c>
      <c r="BG619" s="271">
        <f>_xlfn.RANK.EQ(BF619,$BF$8:$BF$870,0)+COUNTIF($BF$8:BF619,BF619)-1</f>
        <v>654</v>
      </c>
      <c r="BH619" s="268">
        <f>(((FMS_Ranking4[[#This Row],[Structures Removed Raw]]/AK$4)*100)*AK$5)+(((FMS_Ranking4[[#This Row],[Removed Pop Raw]]/AR$4)*100)*AR$5)</f>
        <v>0</v>
      </c>
      <c r="BI61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2.014428784569902</v>
      </c>
      <c r="BJ619" s="205">
        <f>_xlfn.RANK.EQ(FMS_Ranking4[[#This Row],[Total Score 
(with linear
normalization)]],FMS_Ranking4[Total Score 
(with linear
normalization)],0)</f>
        <v>418</v>
      </c>
      <c r="BK619" s="205" t="e">
        <f>_xlfn.XLOOKUP(FMS_Ranking4[[#This Row],[FMS ID]],#REF!,#REF!)</f>
        <v>#REF!</v>
      </c>
      <c r="BL61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11.908400100775259</v>
      </c>
      <c r="BM619" s="272">
        <f>FMS_Ranking4[[#This Row],[ArcSinh Score Based on Normalized Reported Factors]]+FMS_Ranking4[[#This Row],[% NBS Score (Normalized)]]+(FMS_Ranking4[[#This Row],[Water Supply Score (Normalized)]]*10*$BB$5)+FMS_Ranking4[[#This Row],[FMS_Type Score Weighted]]</f>
        <v>13.908400100775259</v>
      </c>
      <c r="BN619" s="205">
        <f>_xlfn.RANK.EQ(FMS_Ranking4[[#This Row],[Total Score (with ArcSinh normalization of select criteria)]],FMS_Ranking4[Total Score (with ArcSinh normalization of select criteria)],0)</f>
        <v>612</v>
      </c>
      <c r="BO619" s="270" t="str">
        <f>_xlfn.XLOOKUP(FMS_Ranking4[[#This Row],[FMS ID]],FMS_Input[FMS_ID],FMS_Input[FMS_RANK_YEAR])</f>
        <v>2023 Amended Plan</v>
      </c>
      <c r="BP619" s="204">
        <f>_xlfn.XLOOKUP(FMS_Ranking4[[#This Row],[FMS ID]],Prev_Rank[FMS ID],Prev_Rank[Prev Rank])</f>
        <v>544</v>
      </c>
      <c r="BQ619" s="205" t="e">
        <f>_xlfn.XLOOKUP(FMS_Ranking4[[#This Row],[FMS ID]],#REF!,#REF!)</f>
        <v>#REF!</v>
      </c>
      <c r="BR619" s="199" t="e">
        <f>SUM(#REF!,#REF!,#REF!,#REF!,#REF!,#REF!,#REF!,#REF!,#REF!,FMS_Ranking4[[#This Row],[ArcSinh Res struct removed 0-10]],#REF!)</f>
        <v>#REF!</v>
      </c>
      <c r="BS619" s="199" t="e">
        <f>FMS_Ranking4[[#This Row],[Log Score Based on Normalized Reported Factors]]+FMS_Ranking4[[#This Row],[% NBS Score (Normalized)]]+(FMS_Ranking4[[#This Row],[Water Supply Score (Normalized)]]*10*$BB$5)+(FMS_Ranking4[[#This Row],[FMS_Type Score Weighted]])</f>
        <v>#REF!</v>
      </c>
      <c r="BT619" s="200" t="e">
        <f>_xlfn.RANK.EQ(FMS_Ranking4[[#This Row],[Log Total Score]],FMS_Ranking4[Log Total Score],0)</f>
        <v>#REF!</v>
      </c>
      <c r="BU619" s="200" t="e">
        <f>_xlfn.XLOOKUP(FMS_Ranking4[[#This Row],[FMS ID]],#REF!,#REF!)</f>
        <v>#REF!</v>
      </c>
      <c r="BV619" s="200">
        <f>FMS_Ranking4[[#This Row],[Region Number]]</f>
        <v>4</v>
      </c>
      <c r="BW619" s="200">
        <f>FMS_Ranking4[[#This Row],[Rank (with ArcSinh normalization of select criteria)]]-FMS_Ranking4[[#This Row],[Rank
(with linear
normalization)]]</f>
        <v>194</v>
      </c>
      <c r="BX619" s="200" t="e">
        <f>FMS_Ranking4[[#This Row],[Log Rank]]-FMS_Ranking4[[#This Row],[Rank
(with linear
normalization)]]</f>
        <v>#REF!</v>
      </c>
      <c r="BY619" s="200" t="str">
        <f>IF(FMS_Ranking4[[#This Row],[FMS Type]]="Flood Measurement and Warning",FMS_Ranking4[[#This Row],[Rank (with ArcSinh normalization of select criteria)]],"")</f>
        <v/>
      </c>
      <c r="BZ619" s="200">
        <f>IF(FMS_Ranking4[[#This Row],[FMS Type]]="Regulatory and Guidance",FMS_Ranking4[[#This Row],[Rank (with ArcSinh normalization of select criteria)]],"")</f>
        <v>612</v>
      </c>
      <c r="CA619" s="200" t="str">
        <f>IF(FMS_Ranking4[[#This Row],[FMS Type]]="Education and Outreach",FMS_Ranking4[[#This Row],[Rank (with ArcSinh normalization of select criteria)]],"")</f>
        <v/>
      </c>
      <c r="CB619" s="200" t="str">
        <f>IF(FMS_Ranking4[[#This Row],[FMS Type]]="Property Acquisition and Structural Elevation",FMS_Ranking4[[#This Row],[Rank (with ArcSinh normalization of select criteria)]],"")</f>
        <v/>
      </c>
      <c r="CC619" s="200" t="str">
        <f>IF(FMS_Ranking4[[#This Row],[FMS Type]]="Infrastructure Projects",FMS_Ranking4[[#This Row],[Rank (with ArcSinh normalization of select criteria)]],"")</f>
        <v/>
      </c>
      <c r="CD619" s="200" t="str">
        <f>IF(FMS_Ranking4[[#This Row],[FMS Type]]="Other",FMS_Ranking4[[#This Row],[Rank (with ArcSinh normalization of select criteria)]],"")</f>
        <v/>
      </c>
      <c r="CE619" s="201"/>
      <c r="CF619" s="206"/>
      <c r="CG619" s="206"/>
      <c r="CH619" s="206"/>
      <c r="CI619" s="206"/>
      <c r="CJ619" s="206"/>
      <c r="CK619" s="206"/>
      <c r="CL619" s="206"/>
      <c r="CM619" s="206"/>
      <c r="CN619" s="206"/>
      <c r="CO619" s="206"/>
      <c r="CP619" s="206"/>
      <c r="CQ619" s="206"/>
      <c r="CR619" s="206"/>
    </row>
    <row r="620" spans="2:96" ht="75" x14ac:dyDescent="0.25">
      <c r="B620" s="341" t="s">
        <v>2743</v>
      </c>
      <c r="C620" s="246">
        <f>_xlfn.XLOOKUP(FMS_Ranking4[[#This Row],[FMS ID]],FMS_Input[FMS_ID],FMS_Input[RFPG_NUM])</f>
        <v>5</v>
      </c>
      <c r="D620" s="309" t="str">
        <f>_xlfn.XLOOKUP(FMS_Ranking4[[#This Row],[FMS ID]],FMS_Input[FMS_ID],FMS_Input[FMS_NAME])</f>
        <v>Trinity County Flood Infrastructure Upgrades</v>
      </c>
      <c r="E620" s="308" t="str">
        <f>_xlfn.XLOOKUP(FMS_Ranking4[[#This Row],[FMS ID]],FMS_Input[FMS_ID],FMS_Input[SPONSOR])</f>
        <v>00000065</v>
      </c>
      <c r="F620" s="309" t="str">
        <f>_xlfn.XLOOKUP(FMS_Ranking4[[#This Row],[FMS ID]],Sponsor[FMS_ID],Sponsor[SPONSOR NAME])</f>
        <v>Trinity</v>
      </c>
      <c r="G620" s="309" t="str">
        <f>_xlfn.XLOOKUP(FMS_Ranking4[[#This Row],[FMS ID]],FMS_Input[FMS_ID],FMS_Input[FMS_DESCR])</f>
        <v>Within the county, develop a plan to install/improve culverts and headwalls in addition to expanding stormwater ditches and canals</v>
      </c>
      <c r="H620" s="248" t="str">
        <f>_xlfn.XLOOKUP(FMS_Ranking4[[#This Row],[FMS ID]],FMS_Input[FMS_ID],FMS_Input[FMS_TYPE])</f>
        <v>Infrastructure Projects</v>
      </c>
      <c r="I620" s="249">
        <f>_xlfn.XLOOKUP(FMS_Ranking4[[#This Row],[FMS ID]],FMS_Input[FMS_ID],FMS_Input[NRNC_COST])</f>
        <v>200000</v>
      </c>
      <c r="J620" s="250">
        <f>_xlfn.XLOOKUP(FMS_Ranking4[[#This Row],[FMS ID]],FMS_Input[FMS_ID],FMS_Input[FMS_COST])</f>
        <v>2000000</v>
      </c>
      <c r="K620" s="251" t="str">
        <f>_xlfn.XLOOKUP(FMS_Ranking4[[#This Row],[FMS ID]],FMS_Input[FMS_ID],FMS_Input[EMER_NEED])</f>
        <v>Yes</v>
      </c>
      <c r="L620" s="252">
        <f t="shared" si="9"/>
        <v>1</v>
      </c>
      <c r="M620" s="253">
        <f>_xlfn.XLOOKUP(FMS_Ranking4[[#This Row],[FMS ID]],FMS_Input[FMS_ID],FMS_Input[STRUCT_100])</f>
        <v>32</v>
      </c>
      <c r="N620" s="255">
        <f>(ASINH(FMS_Ranking4[[#This Row],[Structure at Risk Raw]]))*(10)/(ASINH(M$4))</f>
        <v>3.2696931950246935</v>
      </c>
      <c r="O620" s="256">
        <f>FMS_Ranking4[[#This Row],[Structures at risk, ArcSinh (0-10)]]*M$5*10</f>
        <v>3.2696931950246939</v>
      </c>
      <c r="P620" s="253">
        <f>_xlfn.XLOOKUP(FMS_Ranking4[[#This Row],[FMS ID]],FMS_Input[FMS_ID],FMS_Input[RES_STRUCT100])</f>
        <v>15</v>
      </c>
      <c r="Q620" s="257">
        <f>ASINH(FMS_Ranking4[[#This Row],[Res Structure Raw]])/Q$4*P$5*100</f>
        <v>0</v>
      </c>
      <c r="R620" s="253">
        <f>_xlfn.XLOOKUP(FMS_Ranking4[[#This Row],[FMS ID]],FMS_Input[FMS_ID],FMS_Input[POP100])</f>
        <v>15</v>
      </c>
      <c r="S620" s="255">
        <f>(ASINH(FMS_Ranking4[[#This Row],[Pop at Risk Raw]]))*(10)/(ASINH(R$4))</f>
        <v>2.3488103526295672</v>
      </c>
      <c r="T620" s="256">
        <f>FMS_Ranking4[[#This Row],[Population at risk, ArcSinh (0-10)]]*R$5*10</f>
        <v>2.3488103526295672</v>
      </c>
      <c r="U620" s="253">
        <f>_xlfn.XLOOKUP(FMS_Ranking4[[#This Row],[FMS ID]],FMS_Input[FMS_ID],FMS_Input[CRITFAC100])</f>
        <v>0</v>
      </c>
      <c r="V620" s="255">
        <f>(ASINH(FMS_Ranking4[[#This Row],[Critical Facilities Raw]]))*(10)/(ASINH(U$4))</f>
        <v>0</v>
      </c>
      <c r="W620" s="256">
        <f>FMS_Ranking4[[#This Row],[Critical facilities at risk, ArcSinh (0-10)]]*U$5*10</f>
        <v>0</v>
      </c>
      <c r="X620" s="253">
        <f>_xlfn.XLOOKUP(FMS_Ranking4[[#This Row],[FMS ID]],FMS_Input[FMS_ID],FMS_Input[LWC])</f>
        <v>1</v>
      </c>
      <c r="Y620" s="255">
        <f>(ASINH(FMS_Ranking4[[#This Row],[LWC Raw]]))*(10)/(ASINH(X$4))</f>
        <v>1.1940300948531093</v>
      </c>
      <c r="Z620" s="256">
        <f>FMS_Ranking4[[#This Row],[LWC, ArcSInh (0-10)]]*X$5*10</f>
        <v>1.1940300948531093</v>
      </c>
      <c r="AA620" s="253">
        <f>_xlfn.XLOOKUP(FMS_Ranking4[[#This Row],[FMS ID]],FMS_Input[FMS_ID],FMS_Input[ROADCLS])</f>
        <v>1</v>
      </c>
      <c r="AB620" s="255">
        <f>(ASINH(FMS_Ranking4[[#This Row],[Road Closures Raw]]))*(10)/(ASINH(AA$4))</f>
        <v>0.91786969566638699</v>
      </c>
      <c r="AC620" s="256">
        <f>FMS_Ranking4[[#This Row],[Road closures, ArcSinh (0-10)]]*AA$5*10</f>
        <v>0.45893484783319349</v>
      </c>
      <c r="AD620" s="253">
        <f>_xlfn.XLOOKUP(FMS_Ranking4[[#This Row],[FMS ID]],FMS_Input[FMS_ID],FMS_Input[ROAD_MILES100])</f>
        <v>22</v>
      </c>
      <c r="AE620" s="255">
        <f>(ASINH(FMS_Ranking4[[#This Row],[Road Miles Raw]]))*(10)/(ASINH(AD$4))</f>
        <v>4.0334550791562069</v>
      </c>
      <c r="AF620" s="256">
        <f>FMS_Ranking4[[#This Row],[Length of roads at risk, ArcSinh (0-10)]]*AD$5*10</f>
        <v>4.0334550791562069</v>
      </c>
      <c r="AG620" s="253">
        <f>_xlfn.XLOOKUP(FMS_Ranking4[[#This Row],[FMS ID]],FMS_Input[FMS_ID],FMS_Input[FARMACRE100])</f>
        <v>68.388084411621094</v>
      </c>
      <c r="AH620" s="255">
        <f>(ASINH(FMS_Ranking4[[#This Row],[Ag Land Raw]]))*(10)/(ASINH(AG$4))</f>
        <v>3.1949010018073642</v>
      </c>
      <c r="AI620" s="260">
        <f>FMS_Ranking4[[#This Row],[Farm &amp; ranch land, ArcSinh (0-10)]]*AG$5*10</f>
        <v>1.5974505009036821</v>
      </c>
      <c r="AJ620" s="258">
        <f>_xlfn.XLOOKUP(FMS_Ranking4[[#This Row],[FMS ID]],FMS_Input[FMS_ID],FMS_Input[REDSTRUCT100])</f>
        <v>0</v>
      </c>
      <c r="AK620" s="253">
        <f>_xlfn.XLOOKUP(FMS_Ranking4[[#This Row],[FMS ID]],FMS_Input[FMS_ID],FMS_Input[REMSTRC100])</f>
        <v>0</v>
      </c>
      <c r="AL620" s="255">
        <f>(ASINH(FMS_Ranking4[[#This Row],[Structures Removed Raw]]))*(10)/(ASINH(AK$4))</f>
        <v>0</v>
      </c>
      <c r="AM620" s="262">
        <f>FMS_Ranking4[[#This Row],[Structures removed, ArcSinh (0-10)]]*AK$5*10</f>
        <v>0</v>
      </c>
      <c r="AN620" s="253">
        <f>_xlfn.XLOOKUP(FMS_Ranking4[[#This Row],[FMS ID]],FMS_Input[FMS_ID],FMS_Input[REMRESSTRC100])</f>
        <v>0</v>
      </c>
      <c r="AO620" s="261">
        <f>FMS_Ranking4[[#This Row],[ArcSinh Res struct removed 0-10]]*AN$5*10</f>
        <v>0</v>
      </c>
      <c r="AP620" s="260">
        <f>ASINH(FMS_Ranking4[[#This Row],[Residential Structures Removed Raw]])/AP$4*AN$5*100</f>
        <v>0</v>
      </c>
      <c r="AQ620" s="258">
        <f>(ASINH(FMS_Ranking4[[#This Row],[Residential Structures Removed Raw]]))*(10)/(ASINH(AN$4))</f>
        <v>0</v>
      </c>
      <c r="AR620" s="253">
        <f>_xlfn.XLOOKUP(FMS_Ranking4[[#This Row],[FMS ID]],FMS_Input[FMS_ID],FMS_Input[REMPOP100])</f>
        <v>0</v>
      </c>
      <c r="AS620" s="255">
        <f>(ASINH(FMS_Ranking4[[#This Row],[Removed Pop Raw]]))*(10)/(ASINH(AR$4))</f>
        <v>0</v>
      </c>
      <c r="AT620" s="262">
        <f>FMS_Ranking4[[#This Row],[Removed population, ArcSinh (0-10)]]*AR$5*10</f>
        <v>0</v>
      </c>
      <c r="AU620" s="264">
        <f>_xlfn.XLOOKUP(FMS_Ranking4[[#This Row],[FMS ID]],FMS_Input[FMS_ID],FMS_Input[REMCRITFAC100])</f>
        <v>0</v>
      </c>
      <c r="AV620" s="264">
        <f>_xlfn.XLOOKUP(FMS_Ranking4[[#This Row],[FMS ID]],FMS_Input[FMS_ID],FMS_Input[REMLWC100])</f>
        <v>0</v>
      </c>
      <c r="AW620" s="264">
        <f>_xlfn.XLOOKUP(FMS_Ranking4[[#This Row],[FMS ID]],FMS_Input[FMS_ID],FMS_Input[REMROADCLS])</f>
        <v>0</v>
      </c>
      <c r="AX620" s="264">
        <f>_xlfn.XLOOKUP(FMS_Ranking4[[#This Row],[FMS ID]],FMS_Input[FMS_ID],FMS_Input[REMFRMACRE100])</f>
        <v>0</v>
      </c>
      <c r="AY620" s="258">
        <f>_xlfn.XLOOKUP(FMS_Ranking4[[#This Row],[FMS ID]],FMS_Input[FMS_ID],FMS_Input[COSTSTRUCT])</f>
        <v>0</v>
      </c>
      <c r="AZ620" s="253">
        <f>_xlfn.XLOOKUP(FMS_Ranking4[[#This Row],[FMS ID]],FMS_Input[FMS_ID],FMS_Input[NATURE])</f>
        <v>0</v>
      </c>
      <c r="BA620" s="262">
        <f>(((FMS_Ranking4[[#This Row],[% NBS Raw]]/AZ$4)*100)*AZ$5)</f>
        <v>0</v>
      </c>
      <c r="BB620" s="251" t="str">
        <f>_xlfn.XLOOKUP(FMS_Ranking4[[#This Row],[FMS ID]],FMS_Input[FMS_ID],FMS_Input[WATER_SUP])</f>
        <v>No</v>
      </c>
      <c r="BC620" s="265">
        <f>IF(FMS_Ranking4[[#This Row],[Water Supply Raw]]="Yes",10,0)</f>
        <v>0</v>
      </c>
      <c r="BD620" s="266">
        <f>_xlfn.XLOOKUP(FMS_Ranking4[[#This Row],[FMS Type]],FMS_TYPE[FMS_Type],FMS_TYPE[Score])</f>
        <v>4</v>
      </c>
      <c r="BE620" s="267">
        <f>FMS_Ranking4[[#This Row],[FMS_Type Score]]*$BD$5*10</f>
        <v>1</v>
      </c>
      <c r="BF62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5.2349245804857079E-2</v>
      </c>
      <c r="BG620" s="321">
        <f>_xlfn.RANK.EQ(BF620,$BF$8:$BF$870,0)+COUNTIF($BF$8:BF620,BF620)-1</f>
        <v>561</v>
      </c>
      <c r="BH620" s="294">
        <f>(((FMS_Ranking4[[#This Row],[Structures Removed Raw]]/AK$4)*100)*AK$5)+(((FMS_Ranking4[[#This Row],[Removed Pop Raw]]/AR$4)*100)*AR$5)</f>
        <v>0</v>
      </c>
      <c r="BI62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1.0523492458048571</v>
      </c>
      <c r="BJ620" s="251">
        <f>_xlfn.RANK.EQ(FMS_Ranking4[[#This Row],[Total Score 
(with linear
normalization)]],FMS_Ranking4[Total Score 
(with linear
normalization)],0)</f>
        <v>695</v>
      </c>
      <c r="BK620" s="251" t="e">
        <f>_xlfn.XLOOKUP(FMS_Ranking4[[#This Row],[FMS ID]],#REF!,#REF!)</f>
        <v>#REF!</v>
      </c>
      <c r="BL62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12.902374070400452</v>
      </c>
      <c r="BM620" s="324">
        <f>FMS_Ranking4[[#This Row],[ArcSinh Score Based on Normalized Reported Factors]]+FMS_Ranking4[[#This Row],[% NBS Score (Normalized)]]+(FMS_Ranking4[[#This Row],[Water Supply Score (Normalized)]]*10*$BB$5)+FMS_Ranking4[[#This Row],[FMS_Type Score Weighted]]</f>
        <v>13.902374070400452</v>
      </c>
      <c r="BN620" s="251">
        <f>_xlfn.RANK.EQ(FMS_Ranking4[[#This Row],[Total Score (with ArcSinh normalization of select criteria)]],FMS_Ranking4[Total Score (with ArcSinh normalization of select criteria)],0)</f>
        <v>613</v>
      </c>
      <c r="BO620" s="270" t="str">
        <f>_xlfn.XLOOKUP(FMS_Ranking4[[#This Row],[FMS ID]],FMS_Input[FMS_ID],FMS_Input[FMS_RANK_YEAR])</f>
        <v>2023 Amended Plan</v>
      </c>
      <c r="BP620" s="204">
        <f>_xlfn.XLOOKUP(FMS_Ranking4[[#This Row],[FMS ID]],Prev_Rank[FMS ID],Prev_Rank[Prev Rank])</f>
        <v>545</v>
      </c>
      <c r="BQ620" s="251" t="e">
        <f>_xlfn.XLOOKUP(FMS_Ranking4[[#This Row],[FMS ID]],#REF!,#REF!)</f>
        <v>#REF!</v>
      </c>
      <c r="BR620" s="199" t="e">
        <f>SUM(#REF!,#REF!,#REF!,#REF!,#REF!,#REF!,#REF!,#REF!,#REF!,FMS_Ranking4[[#This Row],[ArcSinh Res struct removed 0-10]],#REF!)</f>
        <v>#REF!</v>
      </c>
      <c r="BS620" s="199" t="e">
        <f>FMS_Ranking4[[#This Row],[Log Score Based on Normalized Reported Factors]]+FMS_Ranking4[[#This Row],[% NBS Score (Normalized)]]+(FMS_Ranking4[[#This Row],[Water Supply Score (Normalized)]]*10*$BB$5)+(FMS_Ranking4[[#This Row],[FMS_Type Score Weighted]])</f>
        <v>#REF!</v>
      </c>
      <c r="BT620" s="200" t="e">
        <f>_xlfn.RANK.EQ(FMS_Ranking4[[#This Row],[Log Total Score]],FMS_Ranking4[Log Total Score],0)</f>
        <v>#REF!</v>
      </c>
      <c r="BU620" s="200" t="e">
        <f>_xlfn.XLOOKUP(FMS_Ranking4[[#This Row],[FMS ID]],#REF!,#REF!)</f>
        <v>#REF!</v>
      </c>
      <c r="BV620" s="200">
        <f>FMS_Ranking4[[#This Row],[Region Number]]</f>
        <v>5</v>
      </c>
      <c r="BW620" s="200">
        <f>FMS_Ranking4[[#This Row],[Rank (with ArcSinh normalization of select criteria)]]-FMS_Ranking4[[#This Row],[Rank
(with linear
normalization)]]</f>
        <v>-82</v>
      </c>
      <c r="BX620" s="200" t="e">
        <f>FMS_Ranking4[[#This Row],[Log Rank]]-FMS_Ranking4[[#This Row],[Rank
(with linear
normalization)]]</f>
        <v>#REF!</v>
      </c>
      <c r="BY620" s="200" t="str">
        <f>IF(FMS_Ranking4[[#This Row],[FMS Type]]="Flood Measurement and Warning",FMS_Ranking4[[#This Row],[Rank (with ArcSinh normalization of select criteria)]],"")</f>
        <v/>
      </c>
      <c r="BZ620" s="200" t="str">
        <f>IF(FMS_Ranking4[[#This Row],[FMS Type]]="Regulatory and Guidance",FMS_Ranking4[[#This Row],[Rank (with ArcSinh normalization of select criteria)]],"")</f>
        <v/>
      </c>
      <c r="CA620" s="200" t="str">
        <f>IF(FMS_Ranking4[[#This Row],[FMS Type]]="Education and Outreach",FMS_Ranking4[[#This Row],[Rank (with ArcSinh normalization of select criteria)]],"")</f>
        <v/>
      </c>
      <c r="CB620" s="200" t="str">
        <f>IF(FMS_Ranking4[[#This Row],[FMS Type]]="Property Acquisition and Structural Elevation",FMS_Ranking4[[#This Row],[Rank (with ArcSinh normalization of select criteria)]],"")</f>
        <v/>
      </c>
      <c r="CC620" s="200">
        <f>IF(FMS_Ranking4[[#This Row],[FMS Type]]="Infrastructure Projects",FMS_Ranking4[[#This Row],[Rank (with ArcSinh normalization of select criteria)]],"")</f>
        <v>613</v>
      </c>
      <c r="CD620" s="200" t="str">
        <f>IF(FMS_Ranking4[[#This Row],[FMS Type]]="Other",FMS_Ranking4[[#This Row],[Rank (with ArcSinh normalization of select criteria)]],"")</f>
        <v/>
      </c>
      <c r="CE620" s="201"/>
      <c r="CF620" s="206"/>
      <c r="CG620" s="206"/>
      <c r="CH620" s="206"/>
      <c r="CI620" s="206"/>
      <c r="CJ620" s="206"/>
      <c r="CK620" s="206"/>
      <c r="CL620" s="206"/>
      <c r="CM620" s="206"/>
      <c r="CN620" s="206"/>
      <c r="CO620" s="206"/>
      <c r="CP620" s="206"/>
      <c r="CQ620" s="206"/>
      <c r="CR620" s="206"/>
    </row>
    <row r="621" spans="2:96" ht="120" x14ac:dyDescent="0.25">
      <c r="B621" s="341" t="s">
        <v>2746</v>
      </c>
      <c r="C621" s="246">
        <f>_xlfn.XLOOKUP(FMS_Ranking4[[#This Row],[FMS ID]],FMS_Input[FMS_ID],FMS_Input[RFPG_NUM])</f>
        <v>5</v>
      </c>
      <c r="D621" s="309" t="str">
        <f>_xlfn.XLOOKUP(FMS_Ranking4[[#This Row],[FMS ID]],FMS_Input[FMS_ID],FMS_Input[FMS_NAME])</f>
        <v>Trinity County Flood-prone Infrastructure Upgrades</v>
      </c>
      <c r="E621" s="308" t="str">
        <f>_xlfn.XLOOKUP(FMS_Ranking4[[#This Row],[FMS ID]],FMS_Input[FMS_ID],FMS_Input[SPONSOR])</f>
        <v>00000065</v>
      </c>
      <c r="F621" s="309" t="str">
        <f>_xlfn.XLOOKUP(FMS_Ranking4[[#This Row],[FMS ID]],Sponsor[FMS_ID],Sponsor[SPONSOR NAME])</f>
        <v>Trinity</v>
      </c>
      <c r="G621" s="309" t="str">
        <f>_xlfn.XLOOKUP(FMS_Ranking4[[#This Row],[FMS ID]],FMS_Input[FMS_ID],FMS_Input[FMS_DESCR])</f>
        <v>Develop a program to upgrade flood infrastructure in the county. May include general roadway elevation upgrading culverts and installing headwalls; upgrades and reinforcement of bridges and bridge footings; etc.</v>
      </c>
      <c r="H621" s="248" t="str">
        <f>_xlfn.XLOOKUP(FMS_Ranking4[[#This Row],[FMS ID]],FMS_Input[FMS_ID],FMS_Input[FMS_TYPE])</f>
        <v>Infrastructure Projects</v>
      </c>
      <c r="I621" s="249">
        <f>_xlfn.XLOOKUP(FMS_Ranking4[[#This Row],[FMS ID]],FMS_Input[FMS_ID],FMS_Input[NRNC_COST])</f>
        <v>200000</v>
      </c>
      <c r="J621" s="250">
        <f>_xlfn.XLOOKUP(FMS_Ranking4[[#This Row],[FMS ID]],FMS_Input[FMS_ID],FMS_Input[FMS_COST])</f>
        <v>2000000</v>
      </c>
      <c r="K621" s="251" t="str">
        <f>_xlfn.XLOOKUP(FMS_Ranking4[[#This Row],[FMS ID]],FMS_Input[FMS_ID],FMS_Input[EMER_NEED])</f>
        <v>Yes</v>
      </c>
      <c r="L621" s="252">
        <f t="shared" si="9"/>
        <v>1</v>
      </c>
      <c r="M621" s="253">
        <f>_xlfn.XLOOKUP(FMS_Ranking4[[#This Row],[FMS ID]],FMS_Input[FMS_ID],FMS_Input[STRUCT_100])</f>
        <v>32</v>
      </c>
      <c r="N621" s="255">
        <f>(ASINH(FMS_Ranking4[[#This Row],[Structure at Risk Raw]]))*(10)/(ASINH(M$4))</f>
        <v>3.2696931950246935</v>
      </c>
      <c r="O621" s="256">
        <f>FMS_Ranking4[[#This Row],[Structures at risk, ArcSinh (0-10)]]*M$5*10</f>
        <v>3.2696931950246939</v>
      </c>
      <c r="P621" s="253">
        <f>_xlfn.XLOOKUP(FMS_Ranking4[[#This Row],[FMS ID]],FMS_Input[FMS_ID],FMS_Input[RES_STRUCT100])</f>
        <v>15</v>
      </c>
      <c r="Q621" s="257">
        <f>ASINH(FMS_Ranking4[[#This Row],[Res Structure Raw]])/Q$4*P$5*100</f>
        <v>0</v>
      </c>
      <c r="R621" s="253">
        <f>_xlfn.XLOOKUP(FMS_Ranking4[[#This Row],[FMS ID]],FMS_Input[FMS_ID],FMS_Input[POP100])</f>
        <v>15</v>
      </c>
      <c r="S621" s="259">
        <f>(ASINH(FMS_Ranking4[[#This Row],[Pop at Risk Raw]]))*(10)/(ASINH(R$4))</f>
        <v>2.3488103526295672</v>
      </c>
      <c r="T621" s="256">
        <f>FMS_Ranking4[[#This Row],[Population at risk, ArcSinh (0-10)]]*R$5*10</f>
        <v>2.3488103526295672</v>
      </c>
      <c r="U621" s="253">
        <f>_xlfn.XLOOKUP(FMS_Ranking4[[#This Row],[FMS ID]],FMS_Input[FMS_ID],FMS_Input[CRITFAC100])</f>
        <v>0</v>
      </c>
      <c r="V621" s="259">
        <f>(ASINH(FMS_Ranking4[[#This Row],[Critical Facilities Raw]]))*(10)/(ASINH(U$4))</f>
        <v>0</v>
      </c>
      <c r="W621" s="256">
        <f>FMS_Ranking4[[#This Row],[Critical facilities at risk, ArcSinh (0-10)]]*U$5*10</f>
        <v>0</v>
      </c>
      <c r="X621" s="253">
        <f>_xlfn.XLOOKUP(FMS_Ranking4[[#This Row],[FMS ID]],FMS_Input[FMS_ID],FMS_Input[LWC])</f>
        <v>1</v>
      </c>
      <c r="Y621" s="259">
        <f>(ASINH(FMS_Ranking4[[#This Row],[LWC Raw]]))*(10)/(ASINH(X$4))</f>
        <v>1.1940300948531093</v>
      </c>
      <c r="Z621" s="256">
        <f>FMS_Ranking4[[#This Row],[LWC, ArcSInh (0-10)]]*X$5*10</f>
        <v>1.1940300948531093</v>
      </c>
      <c r="AA621" s="253">
        <f>_xlfn.XLOOKUP(FMS_Ranking4[[#This Row],[FMS ID]],FMS_Input[FMS_ID],FMS_Input[ROADCLS])</f>
        <v>1</v>
      </c>
      <c r="AB621" s="255">
        <f>(ASINH(FMS_Ranking4[[#This Row],[Road Closures Raw]]))*(10)/(ASINH(AA$4))</f>
        <v>0.91786969566638699</v>
      </c>
      <c r="AC621" s="256">
        <f>FMS_Ranking4[[#This Row],[Road closures, ArcSinh (0-10)]]*AA$5*10</f>
        <v>0.45893484783319349</v>
      </c>
      <c r="AD621" s="253">
        <f>_xlfn.XLOOKUP(FMS_Ranking4[[#This Row],[FMS ID]],FMS_Input[FMS_ID],FMS_Input[ROAD_MILES100])</f>
        <v>22</v>
      </c>
      <c r="AE621" s="259">
        <f>(ASINH(FMS_Ranking4[[#This Row],[Road Miles Raw]]))*(10)/(ASINH(AD$4))</f>
        <v>4.0334550791562069</v>
      </c>
      <c r="AF621" s="256">
        <f>FMS_Ranking4[[#This Row],[Length of roads at risk, ArcSinh (0-10)]]*AD$5*10</f>
        <v>4.0334550791562069</v>
      </c>
      <c r="AG621" s="253">
        <f>_xlfn.XLOOKUP(FMS_Ranking4[[#This Row],[FMS ID]],FMS_Input[FMS_ID],FMS_Input[FARMACRE100])</f>
        <v>68.388084411621094</v>
      </c>
      <c r="AH621" s="255">
        <f>(ASINH(FMS_Ranking4[[#This Row],[Ag Land Raw]]))*(10)/(ASINH(AG$4))</f>
        <v>3.1949010018073642</v>
      </c>
      <c r="AI621" s="260">
        <f>FMS_Ranking4[[#This Row],[Farm &amp; ranch land, ArcSinh (0-10)]]*AG$5*10</f>
        <v>1.5974505009036821</v>
      </c>
      <c r="AJ621" s="258">
        <f>_xlfn.XLOOKUP(FMS_Ranking4[[#This Row],[FMS ID]],FMS_Input[FMS_ID],FMS_Input[REDSTRUCT100])</f>
        <v>0</v>
      </c>
      <c r="AK621" s="253">
        <f>_xlfn.XLOOKUP(FMS_Ranking4[[#This Row],[FMS ID]],FMS_Input[FMS_ID],FMS_Input[REMSTRC100])</f>
        <v>0</v>
      </c>
      <c r="AL621" s="259">
        <f>(ASINH(FMS_Ranking4[[#This Row],[Structures Removed Raw]]))*(10)/(ASINH(AK$4))</f>
        <v>0</v>
      </c>
      <c r="AM621" s="262">
        <f>FMS_Ranking4[[#This Row],[Structures removed, ArcSinh (0-10)]]*AK$5*10</f>
        <v>0</v>
      </c>
      <c r="AN621" s="253">
        <f>_xlfn.XLOOKUP(FMS_Ranking4[[#This Row],[FMS ID]],FMS_Input[FMS_ID],FMS_Input[REMRESSTRC100])</f>
        <v>0</v>
      </c>
      <c r="AO621" s="261">
        <f>FMS_Ranking4[[#This Row],[ArcSinh Res struct removed 0-10]]*AN$5*10</f>
        <v>0</v>
      </c>
      <c r="AP621" s="260">
        <f>ASINH(FMS_Ranking4[[#This Row],[Residential Structures Removed Raw]])/AP$4*AN$5*100</f>
        <v>0</v>
      </c>
      <c r="AQ621" s="254">
        <f>(ASINH(FMS_Ranking4[[#This Row],[Residential Structures Removed Raw]]))*(10)/(ASINH(AN$4))</f>
        <v>0</v>
      </c>
      <c r="AR621" s="253">
        <f>_xlfn.XLOOKUP(FMS_Ranking4[[#This Row],[FMS ID]],FMS_Input[FMS_ID],FMS_Input[REMPOP100])</f>
        <v>0</v>
      </c>
      <c r="AS621" s="259">
        <f>(ASINH(FMS_Ranking4[[#This Row],[Removed Pop Raw]]))*(10)/(ASINH(AR$4))</f>
        <v>0</v>
      </c>
      <c r="AT621" s="262">
        <f>FMS_Ranking4[[#This Row],[Removed population, ArcSinh (0-10)]]*AR$5*10</f>
        <v>0</v>
      </c>
      <c r="AU621" s="264">
        <f>_xlfn.XLOOKUP(FMS_Ranking4[[#This Row],[FMS ID]],FMS_Input[FMS_ID],FMS_Input[REMCRITFAC100])</f>
        <v>0</v>
      </c>
      <c r="AV621" s="264">
        <f>_xlfn.XLOOKUP(FMS_Ranking4[[#This Row],[FMS ID]],FMS_Input[FMS_ID],FMS_Input[REMLWC100])</f>
        <v>0</v>
      </c>
      <c r="AW621" s="264">
        <f>_xlfn.XLOOKUP(FMS_Ranking4[[#This Row],[FMS ID]],FMS_Input[FMS_ID],FMS_Input[REMROADCLS])</f>
        <v>0</v>
      </c>
      <c r="AX621" s="264">
        <f>_xlfn.XLOOKUP(FMS_Ranking4[[#This Row],[FMS ID]],FMS_Input[FMS_ID],FMS_Input[REMFRMACRE100])</f>
        <v>0</v>
      </c>
      <c r="AY621" s="258">
        <f>_xlfn.XLOOKUP(FMS_Ranking4[[#This Row],[FMS ID]],FMS_Input[FMS_ID],FMS_Input[COSTSTRUCT])</f>
        <v>0</v>
      </c>
      <c r="AZ621" s="253">
        <f>_xlfn.XLOOKUP(FMS_Ranking4[[#This Row],[FMS ID]],FMS_Input[FMS_ID],FMS_Input[NATURE])</f>
        <v>0</v>
      </c>
      <c r="BA621" s="262">
        <f>(((FMS_Ranking4[[#This Row],[% NBS Raw]]/AZ$4)*100)*AZ$5)</f>
        <v>0</v>
      </c>
      <c r="BB621" s="251" t="str">
        <f>_xlfn.XLOOKUP(FMS_Ranking4[[#This Row],[FMS ID]],FMS_Input[FMS_ID],FMS_Input[WATER_SUP])</f>
        <v>No</v>
      </c>
      <c r="BC621" s="265">
        <f>IF(FMS_Ranking4[[#This Row],[Water Supply Raw]]="Yes",10,0)</f>
        <v>0</v>
      </c>
      <c r="BD621" s="266">
        <f>_xlfn.XLOOKUP(FMS_Ranking4[[#This Row],[FMS Type]],FMS_TYPE[FMS_Type],FMS_TYPE[Score])</f>
        <v>4</v>
      </c>
      <c r="BE621" s="267">
        <f>FMS_Ranking4[[#This Row],[FMS_Type Score]]*$BD$5*10</f>
        <v>1</v>
      </c>
      <c r="BF62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5.2349245804857079E-2</v>
      </c>
      <c r="BG621" s="271">
        <f>_xlfn.RANK.EQ(BF621,$BF$8:$BF$870,0)+COUNTIF($BF$8:BF621,BF621)-1</f>
        <v>562</v>
      </c>
      <c r="BH621" s="268">
        <f>(((FMS_Ranking4[[#This Row],[Structures Removed Raw]]/AK$4)*100)*AK$5)+(((FMS_Ranking4[[#This Row],[Removed Pop Raw]]/AR$4)*100)*AR$5)</f>
        <v>0</v>
      </c>
      <c r="BI62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1.0523492458048571</v>
      </c>
      <c r="BJ621" s="205">
        <f>_xlfn.RANK.EQ(FMS_Ranking4[[#This Row],[Total Score 
(with linear
normalization)]],FMS_Ranking4[Total Score 
(with linear
normalization)],0)</f>
        <v>695</v>
      </c>
      <c r="BK621" s="205" t="e">
        <f>_xlfn.XLOOKUP(FMS_Ranking4[[#This Row],[FMS ID]],#REF!,#REF!)</f>
        <v>#REF!</v>
      </c>
      <c r="BL62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12.902374070400452</v>
      </c>
      <c r="BM621" s="272">
        <f>FMS_Ranking4[[#This Row],[ArcSinh Score Based on Normalized Reported Factors]]+FMS_Ranking4[[#This Row],[% NBS Score (Normalized)]]+(FMS_Ranking4[[#This Row],[Water Supply Score (Normalized)]]*10*$BB$5)+FMS_Ranking4[[#This Row],[FMS_Type Score Weighted]]</f>
        <v>13.902374070400452</v>
      </c>
      <c r="BN621" s="205">
        <f>_xlfn.RANK.EQ(FMS_Ranking4[[#This Row],[Total Score (with ArcSinh normalization of select criteria)]],FMS_Ranking4[Total Score (with ArcSinh normalization of select criteria)],0)</f>
        <v>613</v>
      </c>
      <c r="BO621" s="270" t="str">
        <f>_xlfn.XLOOKUP(FMS_Ranking4[[#This Row],[FMS ID]],FMS_Input[FMS_ID],FMS_Input[FMS_RANK_YEAR])</f>
        <v>2023 Amended Plan</v>
      </c>
      <c r="BP621" s="204">
        <f>_xlfn.XLOOKUP(FMS_Ranking4[[#This Row],[FMS ID]],Prev_Rank[FMS ID],Prev_Rank[Prev Rank])</f>
        <v>545</v>
      </c>
      <c r="BQ621" s="205" t="e">
        <f>_xlfn.XLOOKUP(FMS_Ranking4[[#This Row],[FMS ID]],#REF!,#REF!)</f>
        <v>#REF!</v>
      </c>
      <c r="BR621" s="199" t="e">
        <f>SUM(#REF!,#REF!,#REF!,#REF!,#REF!,#REF!,#REF!,#REF!,#REF!,FMS_Ranking4[[#This Row],[ArcSinh Res struct removed 0-10]],#REF!)</f>
        <v>#REF!</v>
      </c>
      <c r="BS621" s="199" t="e">
        <f>FMS_Ranking4[[#This Row],[Log Score Based on Normalized Reported Factors]]+FMS_Ranking4[[#This Row],[% NBS Score (Normalized)]]+(FMS_Ranking4[[#This Row],[Water Supply Score (Normalized)]]*10*$BB$5)+(FMS_Ranking4[[#This Row],[FMS_Type Score Weighted]])</f>
        <v>#REF!</v>
      </c>
      <c r="BT621" s="200" t="e">
        <f>_xlfn.RANK.EQ(FMS_Ranking4[[#This Row],[Log Total Score]],FMS_Ranking4[Log Total Score],0)</f>
        <v>#REF!</v>
      </c>
      <c r="BU621" s="200" t="e">
        <f>_xlfn.XLOOKUP(FMS_Ranking4[[#This Row],[FMS ID]],#REF!,#REF!)</f>
        <v>#REF!</v>
      </c>
      <c r="BV621" s="200">
        <f>FMS_Ranking4[[#This Row],[Region Number]]</f>
        <v>5</v>
      </c>
      <c r="BW621" s="200">
        <f>FMS_Ranking4[[#This Row],[Rank (with ArcSinh normalization of select criteria)]]-FMS_Ranking4[[#This Row],[Rank
(with linear
normalization)]]</f>
        <v>-82</v>
      </c>
      <c r="BX621" s="200" t="e">
        <f>FMS_Ranking4[[#This Row],[Log Rank]]-FMS_Ranking4[[#This Row],[Rank
(with linear
normalization)]]</f>
        <v>#REF!</v>
      </c>
      <c r="BY621" s="200" t="str">
        <f>IF(FMS_Ranking4[[#This Row],[FMS Type]]="Flood Measurement and Warning",FMS_Ranking4[[#This Row],[Rank (with ArcSinh normalization of select criteria)]],"")</f>
        <v/>
      </c>
      <c r="BZ621" s="200" t="str">
        <f>IF(FMS_Ranking4[[#This Row],[FMS Type]]="Regulatory and Guidance",FMS_Ranking4[[#This Row],[Rank (with ArcSinh normalization of select criteria)]],"")</f>
        <v/>
      </c>
      <c r="CA621" s="200" t="str">
        <f>IF(FMS_Ranking4[[#This Row],[FMS Type]]="Education and Outreach",FMS_Ranking4[[#This Row],[Rank (with ArcSinh normalization of select criteria)]],"")</f>
        <v/>
      </c>
      <c r="CB621" s="200" t="str">
        <f>IF(FMS_Ranking4[[#This Row],[FMS Type]]="Property Acquisition and Structural Elevation",FMS_Ranking4[[#This Row],[Rank (with ArcSinh normalization of select criteria)]],"")</f>
        <v/>
      </c>
      <c r="CC621" s="200">
        <f>IF(FMS_Ranking4[[#This Row],[FMS Type]]="Infrastructure Projects",FMS_Ranking4[[#This Row],[Rank (with ArcSinh normalization of select criteria)]],"")</f>
        <v>613</v>
      </c>
      <c r="CD621" s="200" t="str">
        <f>IF(FMS_Ranking4[[#This Row],[FMS Type]]="Other",FMS_Ranking4[[#This Row],[Rank (with ArcSinh normalization of select criteria)]],"")</f>
        <v/>
      </c>
      <c r="CE621" s="201"/>
      <c r="CF621" s="206"/>
      <c r="CG621" s="206"/>
      <c r="CH621" s="206"/>
      <c r="CI621" s="206"/>
      <c r="CJ621" s="206"/>
      <c r="CK621" s="206"/>
      <c r="CL621" s="206"/>
      <c r="CM621" s="206"/>
      <c r="CN621" s="206"/>
      <c r="CO621" s="206"/>
      <c r="CP621" s="206"/>
      <c r="CQ621" s="206"/>
      <c r="CR621" s="206"/>
    </row>
    <row r="622" spans="2:96" ht="120" x14ac:dyDescent="0.25">
      <c r="B622" s="341" t="s">
        <v>2169</v>
      </c>
      <c r="C622" s="246">
        <f>_xlfn.XLOOKUP(FMS_Ranking4[[#This Row],[FMS ID]],FMS_Input[FMS_ID],FMS_Input[RFPG_NUM])</f>
        <v>3</v>
      </c>
      <c r="D622" s="309" t="str">
        <f>_xlfn.XLOOKUP(FMS_Ranking4[[#This Row],[FMS ID]],FMS_Input[FMS_ID],FMS_Input[FMS_NAME])</f>
        <v>Houston County Maintenance Program</v>
      </c>
      <c r="E622" s="308" t="str">
        <f>_xlfn.XLOOKUP(FMS_Ranking4[[#This Row],[FMS ID]],FMS_Input[FMS_ID],FMS_Input[SPONSOR])</f>
        <v>Houston County</v>
      </c>
      <c r="F622" s="309" t="str">
        <f>_xlfn.XLOOKUP(FMS_Ranking4[[#This Row],[FMS ID]],Sponsor[FMS_ID],Sponsor[SPONSOR NAME])</f>
        <v>Houston County</v>
      </c>
      <c r="G622" s="309" t="str">
        <f>_xlfn.XLOOKUP(FMS_Ranking4[[#This Row],[FMS ID]],FMS_Input[FMS_ID],FMS_Input[FMS_DESCR])</f>
        <v>Develop a maintenance program to clear debris from bridges, box culverts, and drainage systems throughout. Implement program to clear debris from flood-prone areas, bridges, drains and culverts to prevent overtopping and backup during flash floods</v>
      </c>
      <c r="H622" s="248" t="str">
        <f>_xlfn.XLOOKUP(FMS_Ranking4[[#This Row],[FMS ID]],FMS_Input[FMS_ID],FMS_Input[FMS_TYPE])</f>
        <v>Other</v>
      </c>
      <c r="I622" s="249">
        <f>_xlfn.XLOOKUP(FMS_Ranking4[[#This Row],[FMS ID]],FMS_Input[FMS_ID],FMS_Input[NRNC_COST])</f>
        <v>100000</v>
      </c>
      <c r="J622" s="250">
        <f>_xlfn.XLOOKUP(FMS_Ranking4[[#This Row],[FMS ID]],FMS_Input[FMS_ID],FMS_Input[FMS_COST])</f>
        <v>100000</v>
      </c>
      <c r="K622" s="251" t="str">
        <f>_xlfn.XLOOKUP(FMS_Ranking4[[#This Row],[FMS ID]],FMS_Input[FMS_ID],FMS_Input[EMER_NEED])</f>
        <v>No</v>
      </c>
      <c r="L622" s="252">
        <f t="shared" si="9"/>
        <v>0</v>
      </c>
      <c r="M622" s="253">
        <f>_xlfn.XLOOKUP(FMS_Ranking4[[#This Row],[FMS ID]],FMS_Input[FMS_ID],FMS_Input[STRUCT_100])</f>
        <v>0</v>
      </c>
      <c r="N622" s="255">
        <f>(ASINH(FMS_Ranking4[[#This Row],[Structure at Risk Raw]]))*(10)/(ASINH(M$4))</f>
        <v>0</v>
      </c>
      <c r="O622" s="256">
        <f>FMS_Ranking4[[#This Row],[Structures at risk, ArcSinh (0-10)]]*M$5*10</f>
        <v>0</v>
      </c>
      <c r="P622" s="253">
        <f>_xlfn.XLOOKUP(FMS_Ranking4[[#This Row],[FMS ID]],FMS_Input[FMS_ID],FMS_Input[RES_STRUCT100])</f>
        <v>0</v>
      </c>
      <c r="Q622" s="257">
        <f>ASINH(FMS_Ranking4[[#This Row],[Res Structure Raw]])/Q$4*P$5*100</f>
        <v>0</v>
      </c>
      <c r="R622" s="253">
        <f>_xlfn.XLOOKUP(FMS_Ranking4[[#This Row],[FMS ID]],FMS_Input[FMS_ID],FMS_Input[POP100])</f>
        <v>0</v>
      </c>
      <c r="S622" s="259">
        <f>(ASINH(FMS_Ranking4[[#This Row],[Pop at Risk Raw]]))*(10)/(ASINH(R$4))</f>
        <v>0</v>
      </c>
      <c r="T622" s="256">
        <f>FMS_Ranking4[[#This Row],[Population at risk, ArcSinh (0-10)]]*R$5*10</f>
        <v>0</v>
      </c>
      <c r="U622" s="253">
        <f>_xlfn.XLOOKUP(FMS_Ranking4[[#This Row],[FMS ID]],FMS_Input[FMS_ID],FMS_Input[CRITFAC100])</f>
        <v>5</v>
      </c>
      <c r="V622" s="259">
        <f>(ASINH(FMS_Ranking4[[#This Row],[Critical Facilities Raw]]))*(10)/(ASINH(U$4))</f>
        <v>2.7373815814321909</v>
      </c>
      <c r="W622" s="256">
        <f>FMS_Ranking4[[#This Row],[Critical facilities at risk, ArcSinh (0-10)]]*U$5*10</f>
        <v>2.7373815814321913</v>
      </c>
      <c r="X622" s="253">
        <f>_xlfn.XLOOKUP(FMS_Ranking4[[#This Row],[FMS ID]],FMS_Input[FMS_ID],FMS_Input[LWC])</f>
        <v>18</v>
      </c>
      <c r="Y622" s="259">
        <f>(ASINH(FMS_Ranking4[[#This Row],[LWC Raw]]))*(10)/(ASINH(X$4))</f>
        <v>4.8557725986155553</v>
      </c>
      <c r="Z622" s="256">
        <f>FMS_Ranking4[[#This Row],[LWC, ArcSInh (0-10)]]*X$5*10</f>
        <v>4.8557725986155553</v>
      </c>
      <c r="AA622" s="253">
        <f>_xlfn.XLOOKUP(FMS_Ranking4[[#This Row],[FMS ID]],FMS_Input[FMS_ID],FMS_Input[ROADCLS])</f>
        <v>0</v>
      </c>
      <c r="AB622" s="255">
        <f>(ASINH(FMS_Ranking4[[#This Row],[Road Closures Raw]]))*(10)/(ASINH(AA$4))</f>
        <v>0</v>
      </c>
      <c r="AC622" s="256">
        <f>FMS_Ranking4[[#This Row],[Road closures, ArcSinh (0-10)]]*AA$5*10</f>
        <v>0</v>
      </c>
      <c r="AD622" s="253">
        <f>_xlfn.XLOOKUP(FMS_Ranking4[[#This Row],[FMS ID]],FMS_Input[FMS_ID],FMS_Input[ROAD_MILES100])</f>
        <v>110</v>
      </c>
      <c r="AE622" s="259">
        <f>(ASINH(FMS_Ranking4[[#This Row],[Road Miles Raw]]))*(10)/(ASINH(AD$4))</f>
        <v>5.7481450651429009</v>
      </c>
      <c r="AF622" s="256">
        <f>FMS_Ranking4[[#This Row],[Length of roads at risk, ArcSinh (0-10)]]*AD$5*10</f>
        <v>5.7481450651429009</v>
      </c>
      <c r="AG622" s="253">
        <f>_xlfn.XLOOKUP(FMS_Ranking4[[#This Row],[FMS ID]],FMS_Input[FMS_ID],FMS_Input[FARMACRE100])</f>
        <v>0</v>
      </c>
      <c r="AH622" s="255">
        <f>(ASINH(FMS_Ranking4[[#This Row],[Ag Land Raw]]))*(10)/(ASINH(AG$4))</f>
        <v>0</v>
      </c>
      <c r="AI622" s="260">
        <f>FMS_Ranking4[[#This Row],[Farm &amp; ranch land, ArcSinh (0-10)]]*AG$5*10</f>
        <v>0</v>
      </c>
      <c r="AJ622" s="258">
        <f>_xlfn.XLOOKUP(FMS_Ranking4[[#This Row],[FMS ID]],FMS_Input[FMS_ID],FMS_Input[REDSTRUCT100])</f>
        <v>0</v>
      </c>
      <c r="AK622" s="253">
        <f>_xlfn.XLOOKUP(FMS_Ranking4[[#This Row],[FMS ID]],FMS_Input[FMS_ID],FMS_Input[REMSTRC100])</f>
        <v>0</v>
      </c>
      <c r="AL622" s="259">
        <f>(ASINH(FMS_Ranking4[[#This Row],[Structures Removed Raw]]))*(10)/(ASINH(AK$4))</f>
        <v>0</v>
      </c>
      <c r="AM622" s="262">
        <f>FMS_Ranking4[[#This Row],[Structures removed, ArcSinh (0-10)]]*AK$5*10</f>
        <v>0</v>
      </c>
      <c r="AN622" s="253">
        <f>_xlfn.XLOOKUP(FMS_Ranking4[[#This Row],[FMS ID]],FMS_Input[FMS_ID],FMS_Input[REMRESSTRC100])</f>
        <v>0</v>
      </c>
      <c r="AO622" s="261">
        <f>FMS_Ranking4[[#This Row],[ArcSinh Res struct removed 0-10]]*AN$5*10</f>
        <v>0</v>
      </c>
      <c r="AP622" s="260">
        <f>ASINH(FMS_Ranking4[[#This Row],[Residential Structures Removed Raw]])/AP$4*AN$5*100</f>
        <v>0</v>
      </c>
      <c r="AQ622" s="254">
        <f>(ASINH(FMS_Ranking4[[#This Row],[Residential Structures Removed Raw]]))*(10)/(ASINH(AN$4))</f>
        <v>0</v>
      </c>
      <c r="AR622" s="253">
        <f>_xlfn.XLOOKUP(FMS_Ranking4[[#This Row],[FMS ID]],FMS_Input[FMS_ID],FMS_Input[REMPOP100])</f>
        <v>0</v>
      </c>
      <c r="AS622" s="259">
        <f>(ASINH(FMS_Ranking4[[#This Row],[Removed Pop Raw]]))*(10)/(ASINH(AR$4))</f>
        <v>0</v>
      </c>
      <c r="AT622" s="262">
        <f>FMS_Ranking4[[#This Row],[Removed population, ArcSinh (0-10)]]*AR$5*10</f>
        <v>0</v>
      </c>
      <c r="AU622" s="264">
        <f>_xlfn.XLOOKUP(FMS_Ranking4[[#This Row],[FMS ID]],FMS_Input[FMS_ID],FMS_Input[REMCRITFAC100])</f>
        <v>0</v>
      </c>
      <c r="AV622" s="264">
        <f>_xlfn.XLOOKUP(FMS_Ranking4[[#This Row],[FMS ID]],FMS_Input[FMS_ID],FMS_Input[REMLWC100])</f>
        <v>0</v>
      </c>
      <c r="AW622" s="264">
        <f>_xlfn.XLOOKUP(FMS_Ranking4[[#This Row],[FMS ID]],FMS_Input[FMS_ID],FMS_Input[REMROADCLS])</f>
        <v>0</v>
      </c>
      <c r="AX622" s="264">
        <f>_xlfn.XLOOKUP(FMS_Ranking4[[#This Row],[FMS ID]],FMS_Input[FMS_ID],FMS_Input[REMFRMACRE100])</f>
        <v>0</v>
      </c>
      <c r="AY622" s="258">
        <f>_xlfn.XLOOKUP(FMS_Ranking4[[#This Row],[FMS ID]],FMS_Input[FMS_ID],FMS_Input[COSTSTRUCT])</f>
        <v>0</v>
      </c>
      <c r="AZ622" s="253">
        <f>_xlfn.XLOOKUP(FMS_Ranking4[[#This Row],[FMS ID]],FMS_Input[FMS_ID],FMS_Input[NATURE])</f>
        <v>0</v>
      </c>
      <c r="BA622" s="262">
        <f>(((FMS_Ranking4[[#This Row],[% NBS Raw]]/AZ$4)*100)*AZ$5)</f>
        <v>0</v>
      </c>
      <c r="BB622" s="251" t="str">
        <f>_xlfn.XLOOKUP(FMS_Ranking4[[#This Row],[FMS ID]],FMS_Input[FMS_ID],FMS_Input[WATER_SUP])</f>
        <v>No</v>
      </c>
      <c r="BC622" s="265">
        <f>IF(FMS_Ranking4[[#This Row],[Water Supply Raw]]="Yes",10,0)</f>
        <v>0</v>
      </c>
      <c r="BD622" s="266">
        <f>_xlfn.XLOOKUP(FMS_Ranking4[[#This Row],[FMS Type]],FMS_TYPE[FMS_Type],FMS_TYPE[Score])</f>
        <v>2</v>
      </c>
      <c r="BE622" s="267">
        <f>FMS_Ranking4[[#This Row],[FMS_Type Score]]*$BD$5*10</f>
        <v>0.5</v>
      </c>
      <c r="BF62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0.43066079084511832</v>
      </c>
      <c r="BG622" s="271">
        <f>_xlfn.RANK.EQ(BF622,$BF$8:$BF$870,0)+COUNTIF($BF$8:BF622,BF622)-1</f>
        <v>250</v>
      </c>
      <c r="BH622" s="268">
        <f>(((FMS_Ranking4[[#This Row],[Structures Removed Raw]]/AK$4)*100)*AK$5)+(((FMS_Ranking4[[#This Row],[Removed Pop Raw]]/AR$4)*100)*AR$5)</f>
        <v>0</v>
      </c>
      <c r="BI62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0.93066079084511832</v>
      </c>
      <c r="BJ622" s="205">
        <f>_xlfn.RANK.EQ(FMS_Ranking4[[#This Row],[Total Score 
(with linear
normalization)]],FMS_Ranking4[Total Score 
(with linear
normalization)],0)</f>
        <v>766</v>
      </c>
      <c r="BK622" s="205" t="e">
        <f>_xlfn.XLOOKUP(FMS_Ranking4[[#This Row],[FMS ID]],#REF!,#REF!)</f>
        <v>#REF!</v>
      </c>
      <c r="BL62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13.341299245190648</v>
      </c>
      <c r="BM622" s="272">
        <f>FMS_Ranking4[[#This Row],[ArcSinh Score Based on Normalized Reported Factors]]+FMS_Ranking4[[#This Row],[% NBS Score (Normalized)]]+(FMS_Ranking4[[#This Row],[Water Supply Score (Normalized)]]*10*$BB$5)+FMS_Ranking4[[#This Row],[FMS_Type Score Weighted]]</f>
        <v>13.841299245190648</v>
      </c>
      <c r="BN622" s="205">
        <f>_xlfn.RANK.EQ(FMS_Ranking4[[#This Row],[Total Score (with ArcSinh normalization of select criteria)]],FMS_Ranking4[Total Score (with ArcSinh normalization of select criteria)],0)</f>
        <v>615</v>
      </c>
      <c r="BO622" s="270" t="str">
        <f>_xlfn.XLOOKUP(FMS_Ranking4[[#This Row],[FMS ID]],FMS_Input[FMS_ID],FMS_Input[FMS_RANK_YEAR])</f>
        <v>2023 Amended Plan</v>
      </c>
      <c r="BP622" s="204">
        <f>_xlfn.XLOOKUP(FMS_Ranking4[[#This Row],[FMS ID]],Prev_Rank[FMS ID],Prev_Rank[Prev Rank])</f>
        <v>549</v>
      </c>
      <c r="BQ622" s="205" t="e">
        <f>_xlfn.XLOOKUP(FMS_Ranking4[[#This Row],[FMS ID]],#REF!,#REF!)</f>
        <v>#REF!</v>
      </c>
      <c r="BR622" s="199" t="e">
        <f>SUM(#REF!,#REF!,#REF!,#REF!,#REF!,#REF!,#REF!,#REF!,#REF!,FMS_Ranking4[[#This Row],[ArcSinh Res struct removed 0-10]],#REF!)</f>
        <v>#REF!</v>
      </c>
      <c r="BS622" s="199" t="e">
        <f>FMS_Ranking4[[#This Row],[Log Score Based on Normalized Reported Factors]]+FMS_Ranking4[[#This Row],[% NBS Score (Normalized)]]+(FMS_Ranking4[[#This Row],[Water Supply Score (Normalized)]]*10*$BB$5)+(FMS_Ranking4[[#This Row],[FMS_Type Score Weighted]])</f>
        <v>#REF!</v>
      </c>
      <c r="BT622" s="200" t="e">
        <f>_xlfn.RANK.EQ(FMS_Ranking4[[#This Row],[Log Total Score]],FMS_Ranking4[Log Total Score],0)</f>
        <v>#REF!</v>
      </c>
      <c r="BU622" s="200" t="e">
        <f>_xlfn.XLOOKUP(FMS_Ranking4[[#This Row],[FMS ID]],#REF!,#REF!)</f>
        <v>#REF!</v>
      </c>
      <c r="BV622" s="200">
        <f>FMS_Ranking4[[#This Row],[Region Number]]</f>
        <v>3</v>
      </c>
      <c r="BW622" s="200">
        <f>FMS_Ranking4[[#This Row],[Rank (with ArcSinh normalization of select criteria)]]-FMS_Ranking4[[#This Row],[Rank
(with linear
normalization)]]</f>
        <v>-151</v>
      </c>
      <c r="BX622" s="200" t="e">
        <f>FMS_Ranking4[[#This Row],[Log Rank]]-FMS_Ranking4[[#This Row],[Rank
(with linear
normalization)]]</f>
        <v>#REF!</v>
      </c>
      <c r="BY622" s="200" t="str">
        <f>IF(FMS_Ranking4[[#This Row],[FMS Type]]="Flood Measurement and Warning",FMS_Ranking4[[#This Row],[Rank (with ArcSinh normalization of select criteria)]],"")</f>
        <v/>
      </c>
      <c r="BZ622" s="200" t="str">
        <f>IF(FMS_Ranking4[[#This Row],[FMS Type]]="Regulatory and Guidance",FMS_Ranking4[[#This Row],[Rank (with ArcSinh normalization of select criteria)]],"")</f>
        <v/>
      </c>
      <c r="CA622" s="200" t="str">
        <f>IF(FMS_Ranking4[[#This Row],[FMS Type]]="Education and Outreach",FMS_Ranking4[[#This Row],[Rank (with ArcSinh normalization of select criteria)]],"")</f>
        <v/>
      </c>
      <c r="CB622" s="200" t="str">
        <f>IF(FMS_Ranking4[[#This Row],[FMS Type]]="Property Acquisition and Structural Elevation",FMS_Ranking4[[#This Row],[Rank (with ArcSinh normalization of select criteria)]],"")</f>
        <v/>
      </c>
      <c r="CC622" s="200" t="str">
        <f>IF(FMS_Ranking4[[#This Row],[FMS Type]]="Infrastructure Projects",FMS_Ranking4[[#This Row],[Rank (with ArcSinh normalization of select criteria)]],"")</f>
        <v/>
      </c>
      <c r="CD622" s="200">
        <f>IF(FMS_Ranking4[[#This Row],[FMS Type]]="Other",FMS_Ranking4[[#This Row],[Rank (with ArcSinh normalization of select criteria)]],"")</f>
        <v>615</v>
      </c>
      <c r="CE622" s="201"/>
      <c r="CF622" s="206"/>
      <c r="CG622" s="206"/>
      <c r="CH622" s="206"/>
      <c r="CI622" s="206"/>
      <c r="CJ622" s="206"/>
      <c r="CK622" s="206"/>
      <c r="CL622" s="206"/>
      <c r="CM622" s="206"/>
      <c r="CN622" s="206"/>
      <c r="CO622" s="206"/>
      <c r="CP622" s="206"/>
      <c r="CQ622" s="206"/>
      <c r="CR622" s="206"/>
    </row>
    <row r="623" spans="2:96" ht="105" x14ac:dyDescent="0.25">
      <c r="B623" s="341" t="s">
        <v>2118</v>
      </c>
      <c r="C623" s="246">
        <f>_xlfn.XLOOKUP(FMS_Ranking4[[#This Row],[FMS ID]],FMS_Input[FMS_ID],FMS_Input[RFPG_NUM])</f>
        <v>3</v>
      </c>
      <c r="D623" s="309" t="str">
        <f>_xlfn.XLOOKUP(FMS_Ranking4[[#This Row],[FMS ID]],FMS_Input[FMS_ID],FMS_Input[FMS_NAME])</f>
        <v>Leon County Floodplain Construction Restrictions Re-Evaluation</v>
      </c>
      <c r="E623" s="308" t="str">
        <f>_xlfn.XLOOKUP(FMS_Ranking4[[#This Row],[FMS ID]],FMS_Input[FMS_ID],FMS_Input[SPONSOR])</f>
        <v>Leon County</v>
      </c>
      <c r="F623" s="309" t="str">
        <f>_xlfn.XLOOKUP(FMS_Ranking4[[#This Row],[FMS ID]],Sponsor[FMS_ID],Sponsor[SPONSOR NAME])</f>
        <v>Leon County</v>
      </c>
      <c r="G623" s="309" t="str">
        <f>_xlfn.XLOOKUP(FMS_Ranking4[[#This Row],[FMS ID]],FMS_Input[FMS_ID],FMS_Input[FMS_DESCR])</f>
        <v>This action proposes a re-evaluation of all existing floodplain construction restrictions to identify strengths and weaknesses in order to reduce future damages during flood events</v>
      </c>
      <c r="H623" s="248" t="str">
        <f>_xlfn.XLOOKUP(FMS_Ranking4[[#This Row],[FMS ID]],FMS_Input[FMS_ID],FMS_Input[FMS_TYPE])</f>
        <v>Regulatory and Guidance</v>
      </c>
      <c r="I623" s="249">
        <f>_xlfn.XLOOKUP(FMS_Ranking4[[#This Row],[FMS ID]],FMS_Input[FMS_ID],FMS_Input[NRNC_COST])</f>
        <v>100000</v>
      </c>
      <c r="J623" s="250">
        <f>_xlfn.XLOOKUP(FMS_Ranking4[[#This Row],[FMS ID]],FMS_Input[FMS_ID],FMS_Input[FMS_COST])</f>
        <v>100000</v>
      </c>
      <c r="K623" s="251" t="str">
        <f>_xlfn.XLOOKUP(FMS_Ranking4[[#This Row],[FMS ID]],FMS_Input[FMS_ID],FMS_Input[EMER_NEED])</f>
        <v>No</v>
      </c>
      <c r="L623" s="252">
        <f t="shared" si="9"/>
        <v>0</v>
      </c>
      <c r="M623" s="253">
        <f>_xlfn.XLOOKUP(FMS_Ranking4[[#This Row],[FMS ID]],FMS_Input[FMS_ID],FMS_Input[STRUCT_100])</f>
        <v>0</v>
      </c>
      <c r="N623" s="255">
        <f>(ASINH(FMS_Ranking4[[#This Row],[Structure at Risk Raw]]))*(10)/(ASINH(M$4))</f>
        <v>0</v>
      </c>
      <c r="O623" s="256">
        <f>FMS_Ranking4[[#This Row],[Structures at risk, ArcSinh (0-10)]]*M$5*10</f>
        <v>0</v>
      </c>
      <c r="P623" s="253">
        <f>_xlfn.XLOOKUP(FMS_Ranking4[[#This Row],[FMS ID]],FMS_Input[FMS_ID],FMS_Input[RES_STRUCT100])</f>
        <v>0</v>
      </c>
      <c r="Q623" s="257">
        <f>ASINH(FMS_Ranking4[[#This Row],[Res Structure Raw]])/Q$4*P$5*100</f>
        <v>0</v>
      </c>
      <c r="R623" s="253">
        <f>_xlfn.XLOOKUP(FMS_Ranking4[[#This Row],[FMS ID]],FMS_Input[FMS_ID],FMS_Input[POP100])</f>
        <v>0</v>
      </c>
      <c r="S623" s="259">
        <f>(ASINH(FMS_Ranking4[[#This Row],[Pop at Risk Raw]]))*(10)/(ASINH(R$4))</f>
        <v>0</v>
      </c>
      <c r="T623" s="256">
        <f>FMS_Ranking4[[#This Row],[Population at risk, ArcSinh (0-10)]]*R$5*10</f>
        <v>0</v>
      </c>
      <c r="U623" s="253">
        <f>_xlfn.XLOOKUP(FMS_Ranking4[[#This Row],[FMS ID]],FMS_Input[FMS_ID],FMS_Input[CRITFAC100])</f>
        <v>6</v>
      </c>
      <c r="V623" s="259">
        <f>(ASINH(FMS_Ranking4[[#This Row],[Critical Facilities Raw]]))*(10)/(ASINH(U$4))</f>
        <v>2.9496796311809068</v>
      </c>
      <c r="W623" s="256">
        <f>FMS_Ranking4[[#This Row],[Critical facilities at risk, ArcSinh (0-10)]]*U$5*10</f>
        <v>2.9496796311809073</v>
      </c>
      <c r="X623" s="253">
        <f>_xlfn.XLOOKUP(FMS_Ranking4[[#This Row],[FMS ID]],FMS_Input[FMS_ID],FMS_Input[LWC])</f>
        <v>5</v>
      </c>
      <c r="Y623" s="259">
        <f>(ASINH(FMS_Ranking4[[#This Row],[LWC Raw]]))*(10)/(ASINH(X$4))</f>
        <v>3.1327475801820781</v>
      </c>
      <c r="Z623" s="256">
        <f>FMS_Ranking4[[#This Row],[LWC, ArcSInh (0-10)]]*X$5*10</f>
        <v>3.1327475801820781</v>
      </c>
      <c r="AA623" s="253">
        <f>_xlfn.XLOOKUP(FMS_Ranking4[[#This Row],[FMS ID]],FMS_Input[FMS_ID],FMS_Input[ROADCLS])</f>
        <v>0</v>
      </c>
      <c r="AB623" s="255">
        <f>(ASINH(FMS_Ranking4[[#This Row],[Road Closures Raw]]))*(10)/(ASINH(AA$4))</f>
        <v>0</v>
      </c>
      <c r="AC623" s="256">
        <f>FMS_Ranking4[[#This Row],[Road closures, ArcSinh (0-10)]]*AA$5*10</f>
        <v>0</v>
      </c>
      <c r="AD623" s="253">
        <f>_xlfn.XLOOKUP(FMS_Ranking4[[#This Row],[FMS ID]],FMS_Input[FMS_ID],FMS_Input[ROAD_MILES100])</f>
        <v>100</v>
      </c>
      <c r="AE623" s="259">
        <f>(ASINH(FMS_Ranking4[[#This Row],[Road Miles Raw]]))*(10)/(ASINH(AD$4))</f>
        <v>5.6465752593087606</v>
      </c>
      <c r="AF623" s="256">
        <f>FMS_Ranking4[[#This Row],[Length of roads at risk, ArcSinh (0-10)]]*AD$5*10</f>
        <v>5.6465752593087606</v>
      </c>
      <c r="AG623" s="253">
        <f>_xlfn.XLOOKUP(FMS_Ranking4[[#This Row],[FMS ID]],FMS_Input[FMS_ID],FMS_Input[FARMACRE100])</f>
        <v>0</v>
      </c>
      <c r="AH623" s="255">
        <f>(ASINH(FMS_Ranking4[[#This Row],[Ag Land Raw]]))*(10)/(ASINH(AG$4))</f>
        <v>0</v>
      </c>
      <c r="AI623" s="260">
        <f>FMS_Ranking4[[#This Row],[Farm &amp; ranch land, ArcSinh (0-10)]]*AG$5*10</f>
        <v>0</v>
      </c>
      <c r="AJ623" s="258">
        <f>_xlfn.XLOOKUP(FMS_Ranking4[[#This Row],[FMS ID]],FMS_Input[FMS_ID],FMS_Input[REDSTRUCT100])</f>
        <v>0</v>
      </c>
      <c r="AK623" s="253">
        <f>_xlfn.XLOOKUP(FMS_Ranking4[[#This Row],[FMS ID]],FMS_Input[FMS_ID],FMS_Input[REMSTRC100])</f>
        <v>0</v>
      </c>
      <c r="AL623" s="259">
        <f>(ASINH(FMS_Ranking4[[#This Row],[Structures Removed Raw]]))*(10)/(ASINH(AK$4))</f>
        <v>0</v>
      </c>
      <c r="AM623" s="262">
        <f>FMS_Ranking4[[#This Row],[Structures removed, ArcSinh (0-10)]]*AK$5*10</f>
        <v>0</v>
      </c>
      <c r="AN623" s="253">
        <f>_xlfn.XLOOKUP(FMS_Ranking4[[#This Row],[FMS ID]],FMS_Input[FMS_ID],FMS_Input[REMRESSTRC100])</f>
        <v>0</v>
      </c>
      <c r="AO623" s="261">
        <f>FMS_Ranking4[[#This Row],[ArcSinh Res struct removed 0-10]]*AN$5*10</f>
        <v>0</v>
      </c>
      <c r="AP623" s="260">
        <f>ASINH(FMS_Ranking4[[#This Row],[Residential Structures Removed Raw]])/AP$4*AN$5*100</f>
        <v>0</v>
      </c>
      <c r="AQ623" s="254">
        <f>(ASINH(FMS_Ranking4[[#This Row],[Residential Structures Removed Raw]]))*(10)/(ASINH(AN$4))</f>
        <v>0</v>
      </c>
      <c r="AR623" s="253">
        <f>_xlfn.XLOOKUP(FMS_Ranking4[[#This Row],[FMS ID]],FMS_Input[FMS_ID],FMS_Input[REMPOP100])</f>
        <v>0</v>
      </c>
      <c r="AS623" s="259">
        <f>(ASINH(FMS_Ranking4[[#This Row],[Removed Pop Raw]]))*(10)/(ASINH(AR$4))</f>
        <v>0</v>
      </c>
      <c r="AT623" s="262">
        <f>FMS_Ranking4[[#This Row],[Removed population, ArcSinh (0-10)]]*AR$5*10</f>
        <v>0</v>
      </c>
      <c r="AU623" s="264">
        <f>_xlfn.XLOOKUP(FMS_Ranking4[[#This Row],[FMS ID]],FMS_Input[FMS_ID],FMS_Input[REMCRITFAC100])</f>
        <v>0</v>
      </c>
      <c r="AV623" s="264">
        <f>_xlfn.XLOOKUP(FMS_Ranking4[[#This Row],[FMS ID]],FMS_Input[FMS_ID],FMS_Input[REMLWC100])</f>
        <v>0</v>
      </c>
      <c r="AW623" s="264">
        <f>_xlfn.XLOOKUP(FMS_Ranking4[[#This Row],[FMS ID]],FMS_Input[FMS_ID],FMS_Input[REMROADCLS])</f>
        <v>0</v>
      </c>
      <c r="AX623" s="264">
        <f>_xlfn.XLOOKUP(FMS_Ranking4[[#This Row],[FMS ID]],FMS_Input[FMS_ID],FMS_Input[REMFRMACRE100])</f>
        <v>0</v>
      </c>
      <c r="AY623" s="258">
        <f>_xlfn.XLOOKUP(FMS_Ranking4[[#This Row],[FMS ID]],FMS_Input[FMS_ID],FMS_Input[COSTSTRUCT])</f>
        <v>0</v>
      </c>
      <c r="AZ623" s="253">
        <f>_xlfn.XLOOKUP(FMS_Ranking4[[#This Row],[FMS ID]],FMS_Input[FMS_ID],FMS_Input[NATURE])</f>
        <v>0</v>
      </c>
      <c r="BA623" s="262">
        <f>(((FMS_Ranking4[[#This Row],[% NBS Raw]]/AZ$4)*100)*AZ$5)</f>
        <v>0</v>
      </c>
      <c r="BB623" s="251" t="str">
        <f>_xlfn.XLOOKUP(FMS_Ranking4[[#This Row],[FMS ID]],FMS_Input[FMS_ID],FMS_Input[WATER_SUP])</f>
        <v>No</v>
      </c>
      <c r="BC623" s="265">
        <f>IF(FMS_Ranking4[[#This Row],[Water Supply Raw]]="Yes",10,0)</f>
        <v>0</v>
      </c>
      <c r="BD623" s="266">
        <f>_xlfn.XLOOKUP(FMS_Ranking4[[#This Row],[FMS Type]],FMS_TYPE[FMS_Type],FMS_TYPE[Score])</f>
        <v>8</v>
      </c>
      <c r="BE623" s="267">
        <f>FMS_Ranking4[[#This Row],[FMS_Type Score]]*$BD$5*10</f>
        <v>2</v>
      </c>
      <c r="BF62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0.25623236613935713</v>
      </c>
      <c r="BG623" s="269">
        <f>_xlfn.RANK.EQ(BF623,$BF$8:$BF$870,0)+COUNTIF($BF$8:BF623,BF623)-1</f>
        <v>325</v>
      </c>
      <c r="BH623" s="268">
        <f>(((FMS_Ranking4[[#This Row],[Structures Removed Raw]]/AK$4)*100)*AK$5)+(((FMS_Ranking4[[#This Row],[Removed Pop Raw]]/AR$4)*100)*AR$5)</f>
        <v>0</v>
      </c>
      <c r="BI62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2.2562323661393573</v>
      </c>
      <c r="BJ623" s="204">
        <f>_xlfn.RANK.EQ(FMS_Ranking4[[#This Row],[Total Score 
(with linear
normalization)]],FMS_Ranking4[Total Score 
(with linear
normalization)],0)</f>
        <v>308</v>
      </c>
      <c r="BK623" s="204" t="e">
        <f>_xlfn.XLOOKUP(FMS_Ranking4[[#This Row],[FMS ID]],#REF!,#REF!)</f>
        <v>#REF!</v>
      </c>
      <c r="BL623"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11.729002470671745</v>
      </c>
      <c r="BM623" s="270">
        <f>FMS_Ranking4[[#This Row],[ArcSinh Score Based on Normalized Reported Factors]]+FMS_Ranking4[[#This Row],[% NBS Score (Normalized)]]+(FMS_Ranking4[[#This Row],[Water Supply Score (Normalized)]]*10*$BB$5)+FMS_Ranking4[[#This Row],[FMS_Type Score Weighted]]</f>
        <v>13.729002470671745</v>
      </c>
      <c r="BN623" s="204">
        <f>_xlfn.RANK.EQ(FMS_Ranking4[[#This Row],[Total Score (with ArcSinh normalization of select criteria)]],FMS_Ranking4[Total Score (with ArcSinh normalization of select criteria)],0)</f>
        <v>616</v>
      </c>
      <c r="BO623" s="270" t="str">
        <f>_xlfn.XLOOKUP(FMS_Ranking4[[#This Row],[FMS ID]],FMS_Input[FMS_ID],FMS_Input[FMS_RANK_YEAR])</f>
        <v>2023 Amended Plan</v>
      </c>
      <c r="BP623" s="204">
        <f>_xlfn.XLOOKUP(FMS_Ranking4[[#This Row],[FMS ID]],Prev_Rank[FMS ID],Prev_Rank[Prev Rank])</f>
        <v>551</v>
      </c>
      <c r="BQ623" s="204" t="e">
        <f>_xlfn.XLOOKUP(FMS_Ranking4[[#This Row],[FMS ID]],#REF!,#REF!)</f>
        <v>#REF!</v>
      </c>
      <c r="BR623" s="199" t="e">
        <f>SUM(#REF!,#REF!,#REF!,#REF!,#REF!,#REF!,#REF!,#REF!,#REF!,FMS_Ranking4[[#This Row],[ArcSinh Res struct removed 0-10]],#REF!)</f>
        <v>#REF!</v>
      </c>
      <c r="BS623" s="199" t="e">
        <f>FMS_Ranking4[[#This Row],[Log Score Based on Normalized Reported Factors]]+FMS_Ranking4[[#This Row],[% NBS Score (Normalized)]]+(FMS_Ranking4[[#This Row],[Water Supply Score (Normalized)]]*10*$BB$5)+(FMS_Ranking4[[#This Row],[FMS_Type Score Weighted]])</f>
        <v>#REF!</v>
      </c>
      <c r="BT623" s="200" t="e">
        <f>_xlfn.RANK.EQ(FMS_Ranking4[[#This Row],[Log Total Score]],FMS_Ranking4[Log Total Score],0)</f>
        <v>#REF!</v>
      </c>
      <c r="BU623" s="200" t="e">
        <f>_xlfn.XLOOKUP(FMS_Ranking4[[#This Row],[FMS ID]],#REF!,#REF!)</f>
        <v>#REF!</v>
      </c>
      <c r="BV623" s="200">
        <f>FMS_Ranking4[[#This Row],[Region Number]]</f>
        <v>3</v>
      </c>
      <c r="BW623" s="200">
        <f>FMS_Ranking4[[#This Row],[Rank (with ArcSinh normalization of select criteria)]]-FMS_Ranking4[[#This Row],[Rank
(with linear
normalization)]]</f>
        <v>308</v>
      </c>
      <c r="BX623" s="200" t="e">
        <f>FMS_Ranking4[[#This Row],[Log Rank]]-FMS_Ranking4[[#This Row],[Rank
(with linear
normalization)]]</f>
        <v>#REF!</v>
      </c>
      <c r="BY623" s="200" t="str">
        <f>IF(FMS_Ranking4[[#This Row],[FMS Type]]="Flood Measurement and Warning",FMS_Ranking4[[#This Row],[Rank (with ArcSinh normalization of select criteria)]],"")</f>
        <v/>
      </c>
      <c r="BZ623" s="200">
        <f>IF(FMS_Ranking4[[#This Row],[FMS Type]]="Regulatory and Guidance",FMS_Ranking4[[#This Row],[Rank (with ArcSinh normalization of select criteria)]],"")</f>
        <v>616</v>
      </c>
      <c r="CA623" s="200" t="str">
        <f>IF(FMS_Ranking4[[#This Row],[FMS Type]]="Education and Outreach",FMS_Ranking4[[#This Row],[Rank (with ArcSinh normalization of select criteria)]],"")</f>
        <v/>
      </c>
      <c r="CB623" s="200" t="str">
        <f>IF(FMS_Ranking4[[#This Row],[FMS Type]]="Property Acquisition and Structural Elevation",FMS_Ranking4[[#This Row],[Rank (with ArcSinh normalization of select criteria)]],"")</f>
        <v/>
      </c>
      <c r="CC623" s="200" t="str">
        <f>IF(FMS_Ranking4[[#This Row],[FMS Type]]="Infrastructure Projects",FMS_Ranking4[[#This Row],[Rank (with ArcSinh normalization of select criteria)]],"")</f>
        <v/>
      </c>
      <c r="CD623" s="200" t="str">
        <f>IF(FMS_Ranking4[[#This Row],[FMS Type]]="Other",FMS_Ranking4[[#This Row],[Rank (with ArcSinh normalization of select criteria)]],"")</f>
        <v/>
      </c>
      <c r="CE623" s="201"/>
      <c r="CF623" s="206"/>
      <c r="CG623" s="206"/>
      <c r="CH623" s="206"/>
      <c r="CI623" s="206"/>
      <c r="CJ623" s="206"/>
      <c r="CK623" s="206"/>
      <c r="CL623" s="206"/>
      <c r="CM623" s="206"/>
      <c r="CN623" s="206"/>
      <c r="CO623" s="206"/>
      <c r="CP623" s="206"/>
      <c r="CQ623" s="206"/>
      <c r="CR623" s="206"/>
    </row>
    <row r="624" spans="2:96" ht="30" x14ac:dyDescent="0.25">
      <c r="B624" s="341" t="s">
        <v>3103</v>
      </c>
      <c r="C624" s="246">
        <f>_xlfn.XLOOKUP(FMS_Ranking4[[#This Row],[FMS ID]],FMS_Input[FMS_ID],FMS_Input[RFPG_NUM])</f>
        <v>7</v>
      </c>
      <c r="D624" s="309" t="str">
        <f>_xlfn.XLOOKUP(FMS_Ranking4[[#This Row],[FMS ID]],FMS_Input[FMS_ID],FMS_Input[FMS_NAME])</f>
        <v>Fisher County Flood Protection Dam</v>
      </c>
      <c r="E624" s="308" t="str">
        <f>_xlfn.XLOOKUP(FMS_Ranking4[[#This Row],[FMS ID]],FMS_Input[FMS_ID],FMS_Input[SPONSOR])</f>
        <v>07000114</v>
      </c>
      <c r="F624" s="309" t="str">
        <f>_xlfn.XLOOKUP(FMS_Ranking4[[#This Row],[FMS ID]],Sponsor[FMS_ID],Sponsor[SPONSOR NAME])</f>
        <v>Fisher</v>
      </c>
      <c r="G624" s="309" t="str">
        <f>_xlfn.XLOOKUP(FMS_Ranking4[[#This Row],[FMS ID]],FMS_Input[FMS_ID],FMS_Input[FMS_DESCR])</f>
        <v>Flood protection dams north of Rotan</v>
      </c>
      <c r="H624" s="248" t="str">
        <f>_xlfn.XLOOKUP(FMS_Ranking4[[#This Row],[FMS ID]],FMS_Input[FMS_ID],FMS_Input[FMS_TYPE])</f>
        <v>Infrastructure Projects</v>
      </c>
      <c r="I624" s="249">
        <f>_xlfn.XLOOKUP(FMS_Ranking4[[#This Row],[FMS ID]],FMS_Input[FMS_ID],FMS_Input[NRNC_COST])</f>
        <v>75000</v>
      </c>
      <c r="J624" s="250">
        <f>_xlfn.XLOOKUP(FMS_Ranking4[[#This Row],[FMS ID]],FMS_Input[FMS_ID],FMS_Input[FMS_COST])</f>
        <v>75000</v>
      </c>
      <c r="K624" s="251" t="str">
        <f>_xlfn.XLOOKUP(FMS_Ranking4[[#This Row],[FMS ID]],FMS_Input[FMS_ID],FMS_Input[EMER_NEED])</f>
        <v>No</v>
      </c>
      <c r="L624" s="252">
        <f t="shared" si="9"/>
        <v>0</v>
      </c>
      <c r="M624" s="253">
        <f>_xlfn.XLOOKUP(FMS_Ranking4[[#This Row],[FMS ID]],FMS_Input[FMS_ID],FMS_Input[STRUCT_100])</f>
        <v>40</v>
      </c>
      <c r="N624" s="255">
        <f>(ASINH(FMS_Ranking4[[#This Row],[Structure at Risk Raw]]))*(10)/(ASINH(M$4))</f>
        <v>3.4450481973452622</v>
      </c>
      <c r="O624" s="256">
        <f>FMS_Ranking4[[#This Row],[Structures at risk, ArcSinh (0-10)]]*M$5*10</f>
        <v>3.4450481973452622</v>
      </c>
      <c r="P624" s="253">
        <f>_xlfn.XLOOKUP(FMS_Ranking4[[#This Row],[FMS ID]],FMS_Input[FMS_ID],FMS_Input[RES_STRUCT100])</f>
        <v>15</v>
      </c>
      <c r="Q624" s="257">
        <f>ASINH(FMS_Ranking4[[#This Row],[Res Structure Raw]])/Q$4*P$5*100</f>
        <v>0</v>
      </c>
      <c r="R624" s="253">
        <f>_xlfn.XLOOKUP(FMS_Ranking4[[#This Row],[FMS ID]],FMS_Input[FMS_ID],FMS_Input[POP100])</f>
        <v>39</v>
      </c>
      <c r="S624" s="255">
        <f>(ASINH(FMS_Ranking4[[#This Row],[Pop at Risk Raw]]))*(10)/(ASINH(R$4))</f>
        <v>3.0078031847802769</v>
      </c>
      <c r="T624" s="256">
        <f>FMS_Ranking4[[#This Row],[Population at risk, ArcSinh (0-10)]]*R$5*10</f>
        <v>3.0078031847802773</v>
      </c>
      <c r="U624" s="253">
        <f>_xlfn.XLOOKUP(FMS_Ranking4[[#This Row],[FMS ID]],FMS_Input[FMS_ID],FMS_Input[CRITFAC100])</f>
        <v>0</v>
      </c>
      <c r="V624" s="255">
        <f>(ASINH(FMS_Ranking4[[#This Row],[Critical Facilities Raw]]))*(10)/(ASINH(U$4))</f>
        <v>0</v>
      </c>
      <c r="W624" s="256">
        <f>FMS_Ranking4[[#This Row],[Critical facilities at risk, ArcSinh (0-10)]]*U$5*10</f>
        <v>0</v>
      </c>
      <c r="X624" s="253">
        <f>_xlfn.XLOOKUP(FMS_Ranking4[[#This Row],[FMS ID]],FMS_Input[FMS_ID],FMS_Input[LWC])</f>
        <v>0</v>
      </c>
      <c r="Y624" s="255">
        <f>(ASINH(FMS_Ranking4[[#This Row],[LWC Raw]]))*(10)/(ASINH(X$4))</f>
        <v>0</v>
      </c>
      <c r="Z624" s="256">
        <f>FMS_Ranking4[[#This Row],[LWC, ArcSInh (0-10)]]*X$5*10</f>
        <v>0</v>
      </c>
      <c r="AA624" s="253">
        <f>_xlfn.XLOOKUP(FMS_Ranking4[[#This Row],[FMS ID]],FMS_Input[FMS_ID],FMS_Input[ROADCLS])</f>
        <v>0</v>
      </c>
      <c r="AB624" s="255">
        <f>(ASINH(FMS_Ranking4[[#This Row],[Road Closures Raw]]))*(10)/(ASINH(AA$4))</f>
        <v>0</v>
      </c>
      <c r="AC624" s="256">
        <f>FMS_Ranking4[[#This Row],[Road closures, ArcSinh (0-10)]]*AA$5*10</f>
        <v>0</v>
      </c>
      <c r="AD624" s="253">
        <f>_xlfn.XLOOKUP(FMS_Ranking4[[#This Row],[FMS ID]],FMS_Input[FMS_ID],FMS_Input[ROAD_MILES100])</f>
        <v>13</v>
      </c>
      <c r="AE624" s="255">
        <f>(ASINH(FMS_Ranking4[[#This Row],[Road Miles Raw]]))*(10)/(ASINH(AD$4))</f>
        <v>3.473807557544454</v>
      </c>
      <c r="AF624" s="256">
        <f>FMS_Ranking4[[#This Row],[Length of roads at risk, ArcSinh (0-10)]]*AD$5*10</f>
        <v>3.4738075575444545</v>
      </c>
      <c r="AG624" s="253">
        <f>_xlfn.XLOOKUP(FMS_Ranking4[[#This Row],[FMS ID]],FMS_Input[FMS_ID],FMS_Input[FARMACRE100])</f>
        <v>2685.551025390625</v>
      </c>
      <c r="AH624" s="255">
        <f>(ASINH(FMS_Ranking4[[#This Row],[Ag Land Raw]]))*(10)/(ASINH(AG$4))</f>
        <v>5.5791178045692016</v>
      </c>
      <c r="AI624" s="260">
        <f>FMS_Ranking4[[#This Row],[Farm &amp; ranch land, ArcSinh (0-10)]]*AG$5*10</f>
        <v>2.7895589022846008</v>
      </c>
      <c r="AJ624" s="258">
        <f>_xlfn.XLOOKUP(FMS_Ranking4[[#This Row],[FMS ID]],FMS_Input[FMS_ID],FMS_Input[REDSTRUCT100])</f>
        <v>0</v>
      </c>
      <c r="AK624" s="253">
        <f>_xlfn.XLOOKUP(FMS_Ranking4[[#This Row],[FMS ID]],FMS_Input[FMS_ID],FMS_Input[REMSTRC100])</f>
        <v>0</v>
      </c>
      <c r="AL624" s="255">
        <f>(ASINH(FMS_Ranking4[[#This Row],[Structures Removed Raw]]))*(10)/(ASINH(AK$4))</f>
        <v>0</v>
      </c>
      <c r="AM624" s="262">
        <f>FMS_Ranking4[[#This Row],[Structures removed, ArcSinh (0-10)]]*AK$5*10</f>
        <v>0</v>
      </c>
      <c r="AN624" s="253">
        <f>_xlfn.XLOOKUP(FMS_Ranking4[[#This Row],[FMS ID]],FMS_Input[FMS_ID],FMS_Input[REMRESSTRC100])</f>
        <v>0</v>
      </c>
      <c r="AO624" s="261">
        <f>FMS_Ranking4[[#This Row],[ArcSinh Res struct removed 0-10]]*AN$5*10</f>
        <v>0</v>
      </c>
      <c r="AP624" s="260">
        <f>ASINH(FMS_Ranking4[[#This Row],[Residential Structures Removed Raw]])/AP$4*AN$5*100</f>
        <v>0</v>
      </c>
      <c r="AQ624" s="258">
        <f>(ASINH(FMS_Ranking4[[#This Row],[Residential Structures Removed Raw]]))*(10)/(ASINH(AN$4))</f>
        <v>0</v>
      </c>
      <c r="AR624" s="253">
        <f>_xlfn.XLOOKUP(FMS_Ranking4[[#This Row],[FMS ID]],FMS_Input[FMS_ID],FMS_Input[REMPOP100])</f>
        <v>0</v>
      </c>
      <c r="AS624" s="255">
        <f>(ASINH(FMS_Ranking4[[#This Row],[Removed Pop Raw]]))*(10)/(ASINH(AR$4))</f>
        <v>0</v>
      </c>
      <c r="AT624" s="262">
        <f>FMS_Ranking4[[#This Row],[Removed population, ArcSinh (0-10)]]*AR$5*10</f>
        <v>0</v>
      </c>
      <c r="AU624" s="264">
        <f>_xlfn.XLOOKUP(FMS_Ranking4[[#This Row],[FMS ID]],FMS_Input[FMS_ID],FMS_Input[REMCRITFAC100])</f>
        <v>0</v>
      </c>
      <c r="AV624" s="264">
        <f>_xlfn.XLOOKUP(FMS_Ranking4[[#This Row],[FMS ID]],FMS_Input[FMS_ID],FMS_Input[REMLWC100])</f>
        <v>0</v>
      </c>
      <c r="AW624" s="264">
        <f>_xlfn.XLOOKUP(FMS_Ranking4[[#This Row],[FMS ID]],FMS_Input[FMS_ID],FMS_Input[REMROADCLS])</f>
        <v>0</v>
      </c>
      <c r="AX624" s="264">
        <f>_xlfn.XLOOKUP(FMS_Ranking4[[#This Row],[FMS ID]],FMS_Input[FMS_ID],FMS_Input[REMFRMACRE100])</f>
        <v>0</v>
      </c>
      <c r="AY624" s="258">
        <f>_xlfn.XLOOKUP(FMS_Ranking4[[#This Row],[FMS ID]],FMS_Input[FMS_ID],FMS_Input[COSTSTRUCT])</f>
        <v>0</v>
      </c>
      <c r="AZ624" s="253">
        <f>_xlfn.XLOOKUP(FMS_Ranking4[[#This Row],[FMS ID]],FMS_Input[FMS_ID],FMS_Input[NATURE])</f>
        <v>0</v>
      </c>
      <c r="BA624" s="262">
        <f>(((FMS_Ranking4[[#This Row],[% NBS Raw]]/AZ$4)*100)*AZ$5)</f>
        <v>0</v>
      </c>
      <c r="BB624" s="251" t="str">
        <f>_xlfn.XLOOKUP(FMS_Ranking4[[#This Row],[FMS ID]],FMS_Input[FMS_ID],FMS_Input[WATER_SUP])</f>
        <v>No</v>
      </c>
      <c r="BC624" s="265">
        <f>IF(FMS_Ranking4[[#This Row],[Water Supply Raw]]="Yes",10,0)</f>
        <v>0</v>
      </c>
      <c r="BD624" s="266">
        <f>_xlfn.XLOOKUP(FMS_Ranking4[[#This Row],[FMS Type]],FMS_TYPE[FMS_Type],FMS_TYPE[Score])</f>
        <v>4</v>
      </c>
      <c r="BE624" s="267">
        <f>FMS_Ranking4[[#This Row],[FMS_Type Score]]*$BD$5*10</f>
        <v>1</v>
      </c>
      <c r="BF62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3.0199043627052741E-2</v>
      </c>
      <c r="BG624" s="321">
        <f>_xlfn.RANK.EQ(BF624,$BF$8:$BF$870,0)+COUNTIF($BF$8:BF624,BF624)-1</f>
        <v>599</v>
      </c>
      <c r="BH624" s="294">
        <f>(((FMS_Ranking4[[#This Row],[Structures Removed Raw]]/AK$4)*100)*AK$5)+(((FMS_Ranking4[[#This Row],[Removed Pop Raw]]/AR$4)*100)*AR$5)</f>
        <v>0</v>
      </c>
      <c r="BI62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1.0301990436270527</v>
      </c>
      <c r="BJ624" s="251">
        <f>_xlfn.RANK.EQ(FMS_Ranking4[[#This Row],[Total Score 
(with linear
normalization)]],FMS_Ranking4[Total Score 
(with linear
normalization)],0)</f>
        <v>712</v>
      </c>
      <c r="BK624" s="251" t="e">
        <f>_xlfn.XLOOKUP(FMS_Ranking4[[#This Row],[FMS ID]],#REF!,#REF!)</f>
        <v>#REF!</v>
      </c>
      <c r="BL62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12.716217841954593</v>
      </c>
      <c r="BM624" s="324">
        <f>FMS_Ranking4[[#This Row],[ArcSinh Score Based on Normalized Reported Factors]]+FMS_Ranking4[[#This Row],[% NBS Score (Normalized)]]+(FMS_Ranking4[[#This Row],[Water Supply Score (Normalized)]]*10*$BB$5)+FMS_Ranking4[[#This Row],[FMS_Type Score Weighted]]</f>
        <v>13.716217841954593</v>
      </c>
      <c r="BN624" s="251">
        <f>_xlfn.RANK.EQ(FMS_Ranking4[[#This Row],[Total Score (with ArcSinh normalization of select criteria)]],FMS_Ranking4[Total Score (with ArcSinh normalization of select criteria)],0)</f>
        <v>617</v>
      </c>
      <c r="BO624" s="270" t="str">
        <f>_xlfn.XLOOKUP(FMS_Ranking4[[#This Row],[FMS ID]],FMS_Input[FMS_ID],FMS_Input[FMS_RANK_YEAR])</f>
        <v>2023 Amended Plan</v>
      </c>
      <c r="BP624" s="204">
        <f>_xlfn.XLOOKUP(FMS_Ranking4[[#This Row],[FMS ID]],Prev_Rank[FMS ID],Prev_Rank[Prev Rank])</f>
        <v>547</v>
      </c>
      <c r="BQ624" s="251" t="e">
        <f>_xlfn.XLOOKUP(FMS_Ranking4[[#This Row],[FMS ID]],#REF!,#REF!)</f>
        <v>#REF!</v>
      </c>
      <c r="BR624" s="199" t="e">
        <f>SUM(#REF!,#REF!,#REF!,#REF!,#REF!,#REF!,#REF!,#REF!,#REF!,FMS_Ranking4[[#This Row],[ArcSinh Res struct removed 0-10]],#REF!)</f>
        <v>#REF!</v>
      </c>
      <c r="BS624" s="199" t="e">
        <f>FMS_Ranking4[[#This Row],[Log Score Based on Normalized Reported Factors]]+FMS_Ranking4[[#This Row],[% NBS Score (Normalized)]]+(FMS_Ranking4[[#This Row],[Water Supply Score (Normalized)]]*10*$BB$5)+(FMS_Ranking4[[#This Row],[FMS_Type Score Weighted]])</f>
        <v>#REF!</v>
      </c>
      <c r="BT624" s="200" t="e">
        <f>_xlfn.RANK.EQ(FMS_Ranking4[[#This Row],[Log Total Score]],FMS_Ranking4[Log Total Score],0)</f>
        <v>#REF!</v>
      </c>
      <c r="BU624" s="200" t="e">
        <f>_xlfn.XLOOKUP(FMS_Ranking4[[#This Row],[FMS ID]],#REF!,#REF!)</f>
        <v>#REF!</v>
      </c>
      <c r="BV624" s="200">
        <f>FMS_Ranking4[[#This Row],[Region Number]]</f>
        <v>7</v>
      </c>
      <c r="BW624" s="200">
        <f>FMS_Ranking4[[#This Row],[Rank (with ArcSinh normalization of select criteria)]]-FMS_Ranking4[[#This Row],[Rank
(with linear
normalization)]]</f>
        <v>-95</v>
      </c>
      <c r="BX624" s="200" t="e">
        <f>FMS_Ranking4[[#This Row],[Log Rank]]-FMS_Ranking4[[#This Row],[Rank
(with linear
normalization)]]</f>
        <v>#REF!</v>
      </c>
      <c r="BY624" s="200" t="str">
        <f>IF(FMS_Ranking4[[#This Row],[FMS Type]]="Flood Measurement and Warning",FMS_Ranking4[[#This Row],[Rank (with ArcSinh normalization of select criteria)]],"")</f>
        <v/>
      </c>
      <c r="BZ624" s="200" t="str">
        <f>IF(FMS_Ranking4[[#This Row],[FMS Type]]="Regulatory and Guidance",FMS_Ranking4[[#This Row],[Rank (with ArcSinh normalization of select criteria)]],"")</f>
        <v/>
      </c>
      <c r="CA624" s="200" t="str">
        <f>IF(FMS_Ranking4[[#This Row],[FMS Type]]="Education and Outreach",FMS_Ranking4[[#This Row],[Rank (with ArcSinh normalization of select criteria)]],"")</f>
        <v/>
      </c>
      <c r="CB624" s="200" t="str">
        <f>IF(FMS_Ranking4[[#This Row],[FMS Type]]="Property Acquisition and Structural Elevation",FMS_Ranking4[[#This Row],[Rank (with ArcSinh normalization of select criteria)]],"")</f>
        <v/>
      </c>
      <c r="CC624" s="200">
        <f>IF(FMS_Ranking4[[#This Row],[FMS Type]]="Infrastructure Projects",FMS_Ranking4[[#This Row],[Rank (with ArcSinh normalization of select criteria)]],"")</f>
        <v>617</v>
      </c>
      <c r="CD624" s="200" t="str">
        <f>IF(FMS_Ranking4[[#This Row],[FMS Type]]="Other",FMS_Ranking4[[#This Row],[Rank (with ArcSinh normalization of select criteria)]],"")</f>
        <v/>
      </c>
      <c r="CE624" s="201"/>
      <c r="CF624" s="206"/>
      <c r="CG624" s="206"/>
      <c r="CH624" s="206"/>
      <c r="CI624" s="206"/>
      <c r="CJ624" s="206"/>
      <c r="CK624" s="206"/>
      <c r="CL624" s="206"/>
      <c r="CM624" s="206"/>
      <c r="CN624" s="206"/>
      <c r="CO624" s="206"/>
      <c r="CP624" s="206"/>
      <c r="CQ624" s="206"/>
      <c r="CR624" s="206"/>
    </row>
    <row r="625" spans="2:96" ht="45" x14ac:dyDescent="0.25">
      <c r="B625" s="341" t="s">
        <v>2437</v>
      </c>
      <c r="C625" s="246">
        <f>_xlfn.XLOOKUP(FMS_Ranking4[[#This Row],[FMS ID]],FMS_Input[FMS_ID],FMS_Input[RFPG_NUM])</f>
        <v>3</v>
      </c>
      <c r="D625" s="309" t="str">
        <f>_xlfn.XLOOKUP(FMS_Ranking4[[#This Row],[FMS ID]],FMS_Input[FMS_ID],FMS_Input[FMS_NAME])</f>
        <v>Providence Village NFIP Floodplain Ordinance</v>
      </c>
      <c r="E625" s="308" t="str">
        <f>_xlfn.XLOOKUP(FMS_Ranking4[[#This Row],[FMS ID]],FMS_Input[FMS_ID],FMS_Input[SPONSOR])</f>
        <v>Providence Village</v>
      </c>
      <c r="F625" s="309" t="str">
        <f>_xlfn.XLOOKUP(FMS_Ranking4[[#This Row],[FMS ID]],Sponsor[FMS_ID],Sponsor[SPONSOR NAME])</f>
        <v>Providence Village</v>
      </c>
      <c r="G625" s="309" t="str">
        <f>_xlfn.XLOOKUP(FMS_Ranking4[[#This Row],[FMS ID]],FMS_Input[FMS_ID],FMS_Input[FMS_DESCR])</f>
        <v>Develop a floodplain ordinance that meets or exceeds FEMA's minimum standards</v>
      </c>
      <c r="H625" s="248" t="str">
        <f>_xlfn.XLOOKUP(FMS_Ranking4[[#This Row],[FMS ID]],FMS_Input[FMS_ID],FMS_Input[FMS_TYPE])</f>
        <v>Regulatory and Guidance</v>
      </c>
      <c r="I625" s="249">
        <f>_xlfn.XLOOKUP(FMS_Ranking4[[#This Row],[FMS ID]],FMS_Input[FMS_ID],FMS_Input[NRNC_COST])</f>
        <v>100000</v>
      </c>
      <c r="J625" s="250">
        <f>_xlfn.XLOOKUP(FMS_Ranking4[[#This Row],[FMS ID]],FMS_Input[FMS_ID],FMS_Input[FMS_COST])</f>
        <v>100000</v>
      </c>
      <c r="K625" s="251" t="str">
        <f>_xlfn.XLOOKUP(FMS_Ranking4[[#This Row],[FMS ID]],FMS_Input[FMS_ID],FMS_Input[EMER_NEED])</f>
        <v>No</v>
      </c>
      <c r="L625" s="252">
        <f t="shared" si="9"/>
        <v>0</v>
      </c>
      <c r="M625" s="253">
        <f>_xlfn.XLOOKUP(FMS_Ranking4[[#This Row],[FMS ID]],FMS_Input[FMS_ID],FMS_Input[STRUCT_100])</f>
        <v>35</v>
      </c>
      <c r="N625" s="255">
        <f>(ASINH(FMS_Ranking4[[#This Row],[Structure at Risk Raw]]))*(10)/(ASINH(M$4))</f>
        <v>3.3401102232523052</v>
      </c>
      <c r="O625" s="256">
        <f>FMS_Ranking4[[#This Row],[Structures at risk, ArcSinh (0-10)]]*M$5*10</f>
        <v>3.3401102232523057</v>
      </c>
      <c r="P625" s="253">
        <f>_xlfn.XLOOKUP(FMS_Ranking4[[#This Row],[FMS ID]],FMS_Input[FMS_ID],FMS_Input[RES_STRUCT100])</f>
        <v>35</v>
      </c>
      <c r="Q625" s="257">
        <f>ASINH(FMS_Ranking4[[#This Row],[Res Structure Raw]])/Q$4*P$5*100</f>
        <v>0</v>
      </c>
      <c r="R625" s="253">
        <f>_xlfn.XLOOKUP(FMS_Ranking4[[#This Row],[FMS ID]],FMS_Input[FMS_ID],FMS_Input[POP100])</f>
        <v>184</v>
      </c>
      <c r="S625" s="255">
        <f>(ASINH(FMS_Ranking4[[#This Row],[Pop at Risk Raw]]))*(10)/(ASINH(R$4))</f>
        <v>4.0786987062816049</v>
      </c>
      <c r="T625" s="256">
        <f>FMS_Ranking4[[#This Row],[Population at risk, ArcSinh (0-10)]]*R$5*10</f>
        <v>4.0786987062816049</v>
      </c>
      <c r="U625" s="253">
        <f>_xlfn.XLOOKUP(FMS_Ranking4[[#This Row],[FMS ID]],FMS_Input[FMS_ID],FMS_Input[CRITFAC100])</f>
        <v>0</v>
      </c>
      <c r="V625" s="255">
        <f>(ASINH(FMS_Ranking4[[#This Row],[Critical Facilities Raw]]))*(10)/(ASINH(U$4))</f>
        <v>0</v>
      </c>
      <c r="W625" s="256">
        <f>FMS_Ranking4[[#This Row],[Critical facilities at risk, ArcSinh (0-10)]]*U$5*10</f>
        <v>0</v>
      </c>
      <c r="X625" s="253">
        <f>_xlfn.XLOOKUP(FMS_Ranking4[[#This Row],[FMS ID]],FMS_Input[FMS_ID],FMS_Input[LWC])</f>
        <v>2</v>
      </c>
      <c r="Y625" s="255">
        <f>(ASINH(FMS_Ranking4[[#This Row],[LWC Raw]]))*(10)/(ASINH(X$4))</f>
        <v>1.9557475158633808</v>
      </c>
      <c r="Z625" s="256">
        <f>FMS_Ranking4[[#This Row],[LWC, ArcSInh (0-10)]]*X$5*10</f>
        <v>1.9557475158633808</v>
      </c>
      <c r="AA625" s="253">
        <f>_xlfn.XLOOKUP(FMS_Ranking4[[#This Row],[FMS ID]],FMS_Input[FMS_ID],FMS_Input[ROADCLS])</f>
        <v>0</v>
      </c>
      <c r="AB625" s="255">
        <f>(ASINH(FMS_Ranking4[[#This Row],[Road Closures Raw]]))*(10)/(ASINH(AA$4))</f>
        <v>0</v>
      </c>
      <c r="AC625" s="256">
        <f>FMS_Ranking4[[#This Row],[Road closures, ArcSinh (0-10)]]*AA$5*10</f>
        <v>0</v>
      </c>
      <c r="AD625" s="253">
        <f>_xlfn.XLOOKUP(FMS_Ranking4[[#This Row],[FMS ID]],FMS_Input[FMS_ID],FMS_Input[ROAD_MILES100])</f>
        <v>1</v>
      </c>
      <c r="AE625" s="255">
        <f>(ASINH(FMS_Ranking4[[#This Row],[Road Miles Raw]]))*(10)/(ASINH(AD$4))</f>
        <v>0.9393017565219649</v>
      </c>
      <c r="AF625" s="256">
        <f>FMS_Ranking4[[#This Row],[Length of roads at risk, ArcSinh (0-10)]]*AD$5*10</f>
        <v>0.93930175652196501</v>
      </c>
      <c r="AG625" s="253">
        <f>_xlfn.XLOOKUP(FMS_Ranking4[[#This Row],[FMS ID]],FMS_Input[FMS_ID],FMS_Input[FARMACRE100])</f>
        <v>30.07267951965332</v>
      </c>
      <c r="AH625" s="255">
        <f>(ASINH(FMS_Ranking4[[#This Row],[Ag Land Raw]]))*(10)/(ASINH(AG$4))</f>
        <v>2.6613616561518256</v>
      </c>
      <c r="AI625" s="260">
        <f>FMS_Ranking4[[#This Row],[Farm &amp; ranch land, ArcSinh (0-10)]]*AG$5*10</f>
        <v>1.3306808280759128</v>
      </c>
      <c r="AJ625" s="258">
        <f>_xlfn.XLOOKUP(FMS_Ranking4[[#This Row],[FMS ID]],FMS_Input[FMS_ID],FMS_Input[REDSTRUCT100])</f>
        <v>0</v>
      </c>
      <c r="AK625" s="253">
        <f>_xlfn.XLOOKUP(FMS_Ranking4[[#This Row],[FMS ID]],FMS_Input[FMS_ID],FMS_Input[REMSTRC100])</f>
        <v>0</v>
      </c>
      <c r="AL625" s="255">
        <f>(ASINH(FMS_Ranking4[[#This Row],[Structures Removed Raw]]))*(10)/(ASINH(AK$4))</f>
        <v>0</v>
      </c>
      <c r="AM625" s="262">
        <f>FMS_Ranking4[[#This Row],[Structures removed, ArcSinh (0-10)]]*AK$5*10</f>
        <v>0</v>
      </c>
      <c r="AN625" s="253">
        <f>_xlfn.XLOOKUP(FMS_Ranking4[[#This Row],[FMS ID]],FMS_Input[FMS_ID],FMS_Input[REMRESSTRC100])</f>
        <v>0</v>
      </c>
      <c r="AO625" s="261">
        <f>FMS_Ranking4[[#This Row],[ArcSinh Res struct removed 0-10]]*AN$5*10</f>
        <v>0</v>
      </c>
      <c r="AP625" s="260">
        <f>ASINH(FMS_Ranking4[[#This Row],[Residential Structures Removed Raw]])/AP$4*AN$5*100</f>
        <v>0</v>
      </c>
      <c r="AQ625" s="258">
        <f>(ASINH(FMS_Ranking4[[#This Row],[Residential Structures Removed Raw]]))*(10)/(ASINH(AN$4))</f>
        <v>0</v>
      </c>
      <c r="AR625" s="253">
        <f>_xlfn.XLOOKUP(FMS_Ranking4[[#This Row],[FMS ID]],FMS_Input[FMS_ID],FMS_Input[REMPOP100])</f>
        <v>0</v>
      </c>
      <c r="AS625" s="255">
        <f>(ASINH(FMS_Ranking4[[#This Row],[Removed Pop Raw]]))*(10)/(ASINH(AR$4))</f>
        <v>0</v>
      </c>
      <c r="AT625" s="262">
        <f>FMS_Ranking4[[#This Row],[Removed population, ArcSinh (0-10)]]*AR$5*10</f>
        <v>0</v>
      </c>
      <c r="AU625" s="264">
        <f>_xlfn.XLOOKUP(FMS_Ranking4[[#This Row],[FMS ID]],FMS_Input[FMS_ID],FMS_Input[REMCRITFAC100])</f>
        <v>0</v>
      </c>
      <c r="AV625" s="264">
        <f>_xlfn.XLOOKUP(FMS_Ranking4[[#This Row],[FMS ID]],FMS_Input[FMS_ID],FMS_Input[REMLWC100])</f>
        <v>0</v>
      </c>
      <c r="AW625" s="264">
        <f>_xlfn.XLOOKUP(FMS_Ranking4[[#This Row],[FMS ID]],FMS_Input[FMS_ID],FMS_Input[REMROADCLS])</f>
        <v>0</v>
      </c>
      <c r="AX625" s="264">
        <f>_xlfn.XLOOKUP(FMS_Ranking4[[#This Row],[FMS ID]],FMS_Input[FMS_ID],FMS_Input[REMFRMACRE100])</f>
        <v>0</v>
      </c>
      <c r="AY625" s="258">
        <f>_xlfn.XLOOKUP(FMS_Ranking4[[#This Row],[FMS ID]],FMS_Input[FMS_ID],FMS_Input[COSTSTRUCT])</f>
        <v>0</v>
      </c>
      <c r="AZ625" s="253">
        <f>_xlfn.XLOOKUP(FMS_Ranking4[[#This Row],[FMS ID]],FMS_Input[FMS_ID],FMS_Input[NATURE])</f>
        <v>0</v>
      </c>
      <c r="BA625" s="262">
        <f>(((FMS_Ranking4[[#This Row],[% NBS Raw]]/AZ$4)*100)*AZ$5)</f>
        <v>0</v>
      </c>
      <c r="BB625" s="251" t="str">
        <f>_xlfn.XLOOKUP(FMS_Ranking4[[#This Row],[FMS ID]],FMS_Input[FMS_ID],FMS_Input[WATER_SUP])</f>
        <v>No</v>
      </c>
      <c r="BC625" s="265">
        <f>IF(FMS_Ranking4[[#This Row],[Water Supply Raw]]="Yes",10,0)</f>
        <v>0</v>
      </c>
      <c r="BD625" s="266">
        <f>_xlfn.XLOOKUP(FMS_Ranking4[[#This Row],[FMS Type]],FMS_TYPE[FMS_Type],FMS_TYPE[Score])</f>
        <v>8</v>
      </c>
      <c r="BE625" s="267">
        <f>FMS_Ranking4[[#This Row],[FMS_Type Score]]*$BD$5*10</f>
        <v>2</v>
      </c>
      <c r="BF62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3.0627582486135691E-2</v>
      </c>
      <c r="BG625" s="321">
        <f>_xlfn.RANK.EQ(BF625,$BF$8:$BF$870,0)+COUNTIF($BF$8:BF746,BF625)-1</f>
        <v>598</v>
      </c>
      <c r="BH625" s="294">
        <f>(((FMS_Ranking4[[#This Row],[Structures Removed Raw]]/AK$4)*100)*AK$5)+(((FMS_Ranking4[[#This Row],[Removed Pop Raw]]/AR$4)*100)*AR$5)</f>
        <v>0</v>
      </c>
      <c r="BI62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2.0306275824861357</v>
      </c>
      <c r="BJ625" s="251">
        <f>_xlfn.RANK.EQ(FMS_Ranking4[[#This Row],[Total Score 
(with linear
normalization)]],FMS_Ranking4[Total Score 
(with linear
normalization)],0)</f>
        <v>396</v>
      </c>
      <c r="BK625" s="251" t="e">
        <f>_xlfn.XLOOKUP(FMS_Ranking4[[#This Row],[FMS ID]],#REF!,#REF!)</f>
        <v>#REF!</v>
      </c>
      <c r="BL62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11.644539029995169</v>
      </c>
      <c r="BM625" s="324">
        <f>FMS_Ranking4[[#This Row],[ArcSinh Score Based on Normalized Reported Factors]]+FMS_Ranking4[[#This Row],[% NBS Score (Normalized)]]+(FMS_Ranking4[[#This Row],[Water Supply Score (Normalized)]]*10*$BB$5)+FMS_Ranking4[[#This Row],[FMS_Type Score Weighted]]</f>
        <v>13.644539029995169</v>
      </c>
      <c r="BN625" s="251">
        <f>_xlfn.RANK.EQ(FMS_Ranking4[[#This Row],[Total Score (with ArcSinh normalization of select criteria)]],FMS_Ranking4[Total Score (with ArcSinh normalization of select criteria)],0)</f>
        <v>618</v>
      </c>
      <c r="BO625" s="270" t="str">
        <f>_xlfn.XLOOKUP(FMS_Ranking4[[#This Row],[FMS ID]],FMS_Input[FMS_ID],FMS_Input[FMS_RANK_YEAR])</f>
        <v>2023 Amended Plan</v>
      </c>
      <c r="BP625" s="204">
        <f>_xlfn.XLOOKUP(FMS_Ranking4[[#This Row],[FMS ID]],Prev_Rank[FMS ID],Prev_Rank[Prev Rank])</f>
        <v>548</v>
      </c>
      <c r="BQ625" s="251" t="e">
        <f>_xlfn.XLOOKUP(FMS_Ranking4[[#This Row],[FMS ID]],#REF!,#REF!)</f>
        <v>#REF!</v>
      </c>
      <c r="BR625" s="199" t="e">
        <f>SUM(#REF!,#REF!,#REF!,#REF!,#REF!,#REF!,#REF!,#REF!,#REF!,FMS_Ranking4[[#This Row],[ArcSinh Res struct removed 0-10]],#REF!)</f>
        <v>#REF!</v>
      </c>
      <c r="BS625" s="199" t="e">
        <f>FMS_Ranking4[[#This Row],[Log Score Based on Normalized Reported Factors]]+FMS_Ranking4[[#This Row],[% NBS Score (Normalized)]]+(FMS_Ranking4[[#This Row],[Water Supply Score (Normalized)]]*10*$BB$5)+(FMS_Ranking4[[#This Row],[FMS_Type Score Weighted]])</f>
        <v>#REF!</v>
      </c>
      <c r="BT625" s="200" t="e">
        <f>_xlfn.RANK.EQ(FMS_Ranking4[[#This Row],[Log Total Score]],FMS_Ranking4[Log Total Score],0)</f>
        <v>#REF!</v>
      </c>
      <c r="BU625" s="200" t="e">
        <f>_xlfn.XLOOKUP(FMS_Ranking4[[#This Row],[FMS ID]],#REF!,#REF!)</f>
        <v>#REF!</v>
      </c>
      <c r="BV625" s="200">
        <f>FMS_Ranking4[[#This Row],[Region Number]]</f>
        <v>3</v>
      </c>
      <c r="BW625" s="200">
        <f>FMS_Ranking4[[#This Row],[Rank (with ArcSinh normalization of select criteria)]]-FMS_Ranking4[[#This Row],[Rank
(with linear
normalization)]]</f>
        <v>222</v>
      </c>
      <c r="BX625" s="200" t="e">
        <f>FMS_Ranking4[[#This Row],[Log Rank]]-FMS_Ranking4[[#This Row],[Rank
(with linear
normalization)]]</f>
        <v>#REF!</v>
      </c>
      <c r="BY625" s="200" t="str">
        <f>IF(FMS_Ranking4[[#This Row],[FMS Type]]="Flood Measurement and Warning",FMS_Ranking4[[#This Row],[Rank (with ArcSinh normalization of select criteria)]],"")</f>
        <v/>
      </c>
      <c r="BZ625" s="200">
        <f>IF(FMS_Ranking4[[#This Row],[FMS Type]]="Regulatory and Guidance",FMS_Ranking4[[#This Row],[Rank (with ArcSinh normalization of select criteria)]],"")</f>
        <v>618</v>
      </c>
      <c r="CA625" s="200" t="str">
        <f>IF(FMS_Ranking4[[#This Row],[FMS Type]]="Education and Outreach",FMS_Ranking4[[#This Row],[Rank (with ArcSinh normalization of select criteria)]],"")</f>
        <v/>
      </c>
      <c r="CB625" s="200" t="str">
        <f>IF(FMS_Ranking4[[#This Row],[FMS Type]]="Property Acquisition and Structural Elevation",FMS_Ranking4[[#This Row],[Rank (with ArcSinh normalization of select criteria)]],"")</f>
        <v/>
      </c>
      <c r="CC625" s="200" t="str">
        <f>IF(FMS_Ranking4[[#This Row],[FMS Type]]="Infrastructure Projects",FMS_Ranking4[[#This Row],[Rank (with ArcSinh normalization of select criteria)]],"")</f>
        <v/>
      </c>
      <c r="CD625" s="200" t="str">
        <f>IF(FMS_Ranking4[[#This Row],[FMS Type]]="Other",FMS_Ranking4[[#This Row],[Rank (with ArcSinh normalization of select criteria)]],"")</f>
        <v/>
      </c>
      <c r="CE625" s="201"/>
      <c r="CF625" s="206"/>
      <c r="CG625" s="206"/>
      <c r="CH625" s="206"/>
      <c r="CI625" s="206"/>
      <c r="CJ625" s="206"/>
      <c r="CK625" s="206"/>
      <c r="CL625" s="206"/>
      <c r="CM625" s="206"/>
      <c r="CN625" s="206"/>
      <c r="CO625" s="206"/>
      <c r="CP625" s="206"/>
      <c r="CQ625" s="206"/>
      <c r="CR625" s="206"/>
    </row>
    <row r="626" spans="2:96" ht="60" x14ac:dyDescent="0.25">
      <c r="B626" s="341" t="s">
        <v>2786</v>
      </c>
      <c r="C626" s="246">
        <f>_xlfn.XLOOKUP(FMS_Ranking4[[#This Row],[FMS ID]],FMS_Input[FMS_ID],FMS_Input[RFPG_NUM])</f>
        <v>5</v>
      </c>
      <c r="D626" s="309" t="str">
        <f>_xlfn.XLOOKUP(FMS_Ranking4[[#This Row],[FMS ID]],FMS_Input[FMS_ID],FMS_Input[FMS_NAME])</f>
        <v>Shelby County Roadway/Bridge Elevation</v>
      </c>
      <c r="E626" s="308" t="str">
        <f>_xlfn.XLOOKUP(FMS_Ranking4[[#This Row],[FMS ID]],FMS_Input[FMS_ID],FMS_Input[SPONSOR])</f>
        <v>00000153</v>
      </c>
      <c r="F626" s="309" t="str">
        <f>_xlfn.XLOOKUP(FMS_Ranking4[[#This Row],[FMS ID]],Sponsor[FMS_ID],Sponsor[SPONSOR NAME])</f>
        <v>Shelby</v>
      </c>
      <c r="G626" s="309" t="str">
        <f>_xlfn.XLOOKUP(FMS_Ranking4[[#This Row],[FMS ID]],FMS_Input[FMS_ID],FMS_Input[FMS_DESCR])</f>
        <v>Develop a program to elevate roads and bridges including installing, upsizing culverts and headwalls, and bridge upgrades.</v>
      </c>
      <c r="H626" s="248" t="str">
        <f>_xlfn.XLOOKUP(FMS_Ranking4[[#This Row],[FMS ID]],FMS_Input[FMS_ID],FMS_Input[FMS_TYPE])</f>
        <v>Infrastructure Projects</v>
      </c>
      <c r="I626" s="249">
        <f>_xlfn.XLOOKUP(FMS_Ranking4[[#This Row],[FMS ID]],FMS_Input[FMS_ID],FMS_Input[NRNC_COST])</f>
        <v>200000</v>
      </c>
      <c r="J626" s="250">
        <f>_xlfn.XLOOKUP(FMS_Ranking4[[#This Row],[FMS ID]],FMS_Input[FMS_ID],FMS_Input[FMS_COST])</f>
        <v>2000000</v>
      </c>
      <c r="K626" s="251" t="str">
        <f>_xlfn.XLOOKUP(FMS_Ranking4[[#This Row],[FMS ID]],FMS_Input[FMS_ID],FMS_Input[EMER_NEED])</f>
        <v>Yes</v>
      </c>
      <c r="L626" s="252">
        <f t="shared" si="9"/>
        <v>1</v>
      </c>
      <c r="M626" s="253">
        <f>_xlfn.XLOOKUP(FMS_Ranking4[[#This Row],[FMS ID]],FMS_Input[FMS_ID],FMS_Input[STRUCT_100])</f>
        <v>15</v>
      </c>
      <c r="N626" s="255">
        <f>(ASINH(FMS_Ranking4[[#This Row],[Structure at Risk Raw]]))*(10)/(ASINH(M$4))</f>
        <v>2.6747196048660951</v>
      </c>
      <c r="O626" s="256">
        <f>FMS_Ranking4[[#This Row],[Structures at risk, ArcSinh (0-10)]]*M$5*10</f>
        <v>2.6747196048660955</v>
      </c>
      <c r="P626" s="253">
        <f>_xlfn.XLOOKUP(FMS_Ranking4[[#This Row],[FMS ID]],FMS_Input[FMS_ID],FMS_Input[RES_STRUCT100])</f>
        <v>0</v>
      </c>
      <c r="Q626" s="257">
        <f>ASINH(FMS_Ranking4[[#This Row],[Res Structure Raw]])/Q$4*P$5*100</f>
        <v>0</v>
      </c>
      <c r="R626" s="253">
        <f>_xlfn.XLOOKUP(FMS_Ranking4[[#This Row],[FMS ID]],FMS_Input[FMS_ID],FMS_Input[POP100])</f>
        <v>8</v>
      </c>
      <c r="S626" s="255">
        <f>(ASINH(FMS_Ranking4[[#This Row],[Pop at Risk Raw]]))*(10)/(ASINH(R$4))</f>
        <v>1.9167604558558862</v>
      </c>
      <c r="T626" s="256">
        <f>FMS_Ranking4[[#This Row],[Population at risk, ArcSinh (0-10)]]*R$5*10</f>
        <v>1.9167604558558862</v>
      </c>
      <c r="U626" s="253">
        <f>_xlfn.XLOOKUP(FMS_Ranking4[[#This Row],[FMS ID]],FMS_Input[FMS_ID],FMS_Input[CRITFAC100])</f>
        <v>0</v>
      </c>
      <c r="V626" s="255">
        <f>(ASINH(FMS_Ranking4[[#This Row],[Critical Facilities Raw]]))*(10)/(ASINH(U$4))</f>
        <v>0</v>
      </c>
      <c r="W626" s="256">
        <f>FMS_Ranking4[[#This Row],[Critical facilities at risk, ArcSinh (0-10)]]*U$5*10</f>
        <v>0</v>
      </c>
      <c r="X626" s="253">
        <f>_xlfn.XLOOKUP(FMS_Ranking4[[#This Row],[FMS ID]],FMS_Input[FMS_ID],FMS_Input[LWC])</f>
        <v>4</v>
      </c>
      <c r="Y626" s="255">
        <f>(ASINH(FMS_Ranking4[[#This Row],[LWC Raw]]))*(10)/(ASINH(X$4))</f>
        <v>2.8377862217928165</v>
      </c>
      <c r="Z626" s="256">
        <f>FMS_Ranking4[[#This Row],[LWC, ArcSInh (0-10)]]*X$5*10</f>
        <v>2.8377862217928169</v>
      </c>
      <c r="AA626" s="253">
        <f>_xlfn.XLOOKUP(FMS_Ranking4[[#This Row],[FMS ID]],FMS_Input[FMS_ID],FMS_Input[ROADCLS])</f>
        <v>4</v>
      </c>
      <c r="AB626" s="255">
        <f>(ASINH(FMS_Ranking4[[#This Row],[Road Closures Raw]]))*(10)/(ASINH(AA$4))</f>
        <v>2.1814508587270351</v>
      </c>
      <c r="AC626" s="256">
        <f>FMS_Ranking4[[#This Row],[Road closures, ArcSinh (0-10)]]*AA$5*10</f>
        <v>1.0907254293635176</v>
      </c>
      <c r="AD626" s="253">
        <f>_xlfn.XLOOKUP(FMS_Ranking4[[#This Row],[FMS ID]],FMS_Input[FMS_ID],FMS_Input[ROAD_MILES100])</f>
        <v>5</v>
      </c>
      <c r="AE626" s="255">
        <f>(ASINH(FMS_Ranking4[[#This Row],[Road Miles Raw]]))*(10)/(ASINH(AD$4))</f>
        <v>2.4644230639487872</v>
      </c>
      <c r="AF626" s="256">
        <f>FMS_Ranking4[[#This Row],[Length of roads at risk, ArcSinh (0-10)]]*AD$5*10</f>
        <v>2.4644230639487876</v>
      </c>
      <c r="AG626" s="253">
        <f>_xlfn.XLOOKUP(FMS_Ranking4[[#This Row],[FMS ID]],FMS_Input[FMS_ID],FMS_Input[FARMACRE100])</f>
        <v>56.068603515625</v>
      </c>
      <c r="AH626" s="255">
        <f>(ASINH(FMS_Ranking4[[#This Row],[Ag Land Raw]]))*(10)/(ASINH(AG$4))</f>
        <v>3.0658963722487553</v>
      </c>
      <c r="AI626" s="260">
        <f>FMS_Ranking4[[#This Row],[Farm &amp; ranch land, ArcSinh (0-10)]]*AG$5*10</f>
        <v>1.5329481861243777</v>
      </c>
      <c r="AJ626" s="258">
        <f>_xlfn.XLOOKUP(FMS_Ranking4[[#This Row],[FMS ID]],FMS_Input[FMS_ID],FMS_Input[REDSTRUCT100])</f>
        <v>0</v>
      </c>
      <c r="AK626" s="253">
        <f>_xlfn.XLOOKUP(FMS_Ranking4[[#This Row],[FMS ID]],FMS_Input[FMS_ID],FMS_Input[REMSTRC100])</f>
        <v>0</v>
      </c>
      <c r="AL626" s="255">
        <f>(ASINH(FMS_Ranking4[[#This Row],[Structures Removed Raw]]))*(10)/(ASINH(AK$4))</f>
        <v>0</v>
      </c>
      <c r="AM626" s="262">
        <f>FMS_Ranking4[[#This Row],[Structures removed, ArcSinh (0-10)]]*AK$5*10</f>
        <v>0</v>
      </c>
      <c r="AN626" s="253">
        <f>_xlfn.XLOOKUP(FMS_Ranking4[[#This Row],[FMS ID]],FMS_Input[FMS_ID],FMS_Input[REMRESSTRC100])</f>
        <v>0</v>
      </c>
      <c r="AO626" s="261">
        <f>FMS_Ranking4[[#This Row],[ArcSinh Res struct removed 0-10]]*AN$5*10</f>
        <v>0</v>
      </c>
      <c r="AP626" s="260">
        <f>ASINH(FMS_Ranking4[[#This Row],[Residential Structures Removed Raw]])/AP$4*AN$5*100</f>
        <v>0</v>
      </c>
      <c r="AQ626" s="258">
        <f>(ASINH(FMS_Ranking4[[#This Row],[Residential Structures Removed Raw]]))*(10)/(ASINH(AN$4))</f>
        <v>0</v>
      </c>
      <c r="AR626" s="253">
        <f>_xlfn.XLOOKUP(FMS_Ranking4[[#This Row],[FMS ID]],FMS_Input[FMS_ID],FMS_Input[REMPOP100])</f>
        <v>0</v>
      </c>
      <c r="AS626" s="255">
        <f>(ASINH(FMS_Ranking4[[#This Row],[Removed Pop Raw]]))*(10)/(ASINH(AR$4))</f>
        <v>0</v>
      </c>
      <c r="AT626" s="262">
        <f>FMS_Ranking4[[#This Row],[Removed population, ArcSinh (0-10)]]*AR$5*10</f>
        <v>0</v>
      </c>
      <c r="AU626" s="264">
        <f>_xlfn.XLOOKUP(FMS_Ranking4[[#This Row],[FMS ID]],FMS_Input[FMS_ID],FMS_Input[REMCRITFAC100])</f>
        <v>0</v>
      </c>
      <c r="AV626" s="264">
        <f>_xlfn.XLOOKUP(FMS_Ranking4[[#This Row],[FMS ID]],FMS_Input[FMS_ID],FMS_Input[REMLWC100])</f>
        <v>0</v>
      </c>
      <c r="AW626" s="264">
        <f>_xlfn.XLOOKUP(FMS_Ranking4[[#This Row],[FMS ID]],FMS_Input[FMS_ID],FMS_Input[REMROADCLS])</f>
        <v>0</v>
      </c>
      <c r="AX626" s="264">
        <f>_xlfn.XLOOKUP(FMS_Ranking4[[#This Row],[FMS ID]],FMS_Input[FMS_ID],FMS_Input[REMFRMACRE100])</f>
        <v>0</v>
      </c>
      <c r="AY626" s="258">
        <f>_xlfn.XLOOKUP(FMS_Ranking4[[#This Row],[FMS ID]],FMS_Input[FMS_ID],FMS_Input[COSTSTRUCT])</f>
        <v>0</v>
      </c>
      <c r="AZ626" s="253">
        <f>_xlfn.XLOOKUP(FMS_Ranking4[[#This Row],[FMS ID]],FMS_Input[FMS_ID],FMS_Input[NATURE])</f>
        <v>0</v>
      </c>
      <c r="BA626" s="262">
        <f>(((FMS_Ranking4[[#This Row],[% NBS Raw]]/AZ$4)*100)*AZ$5)</f>
        <v>0</v>
      </c>
      <c r="BB626" s="251" t="str">
        <f>_xlfn.XLOOKUP(FMS_Ranking4[[#This Row],[FMS ID]],FMS_Input[FMS_ID],FMS_Input[WATER_SUP])</f>
        <v>No</v>
      </c>
      <c r="BC626" s="265">
        <f>IF(FMS_Ranking4[[#This Row],[Water Supply Raw]]="Yes",10,0)</f>
        <v>0</v>
      </c>
      <c r="BD626" s="266">
        <f>_xlfn.XLOOKUP(FMS_Ranking4[[#This Row],[FMS Type]],FMS_TYPE[FMS_Type],FMS_TYPE[Score])</f>
        <v>4</v>
      </c>
      <c r="BE626" s="267">
        <f>FMS_Ranking4[[#This Row],[FMS_Type Score]]*$BD$5*10</f>
        <v>1</v>
      </c>
      <c r="BF62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6.2022244475980065E-2</v>
      </c>
      <c r="BG626" s="321">
        <f>_xlfn.RANK.EQ(BF626,$BF$8:$BF$870,0)+COUNTIF($BF$8:BF626,BF626)-1</f>
        <v>534</v>
      </c>
      <c r="BH626" s="294">
        <f>(((FMS_Ranking4[[#This Row],[Structures Removed Raw]]/AK$4)*100)*AK$5)+(((FMS_Ranking4[[#This Row],[Removed Pop Raw]]/AR$4)*100)*AR$5)</f>
        <v>0</v>
      </c>
      <c r="BI62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1.0620222444759801</v>
      </c>
      <c r="BJ626" s="251">
        <f>_xlfn.RANK.EQ(FMS_Ranking4[[#This Row],[Total Score 
(with linear
normalization)]],FMS_Ranking4[Total Score 
(with linear
normalization)],0)</f>
        <v>686</v>
      </c>
      <c r="BK626" s="251" t="e">
        <f>_xlfn.XLOOKUP(FMS_Ranking4[[#This Row],[FMS ID]],#REF!,#REF!)</f>
        <v>#REF!</v>
      </c>
      <c r="BL62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12.517362961951482</v>
      </c>
      <c r="BM626" s="324">
        <f>FMS_Ranking4[[#This Row],[ArcSinh Score Based on Normalized Reported Factors]]+FMS_Ranking4[[#This Row],[% NBS Score (Normalized)]]+(FMS_Ranking4[[#This Row],[Water Supply Score (Normalized)]]*10*$BB$5)+FMS_Ranking4[[#This Row],[FMS_Type Score Weighted]]</f>
        <v>13.517362961951482</v>
      </c>
      <c r="BN626" s="251">
        <f>_xlfn.RANK.EQ(FMS_Ranking4[[#This Row],[Total Score (with ArcSinh normalization of select criteria)]],FMS_Ranking4[Total Score (with ArcSinh normalization of select criteria)],0)</f>
        <v>619</v>
      </c>
      <c r="BO626" s="270" t="str">
        <f>_xlfn.XLOOKUP(FMS_Ranking4[[#This Row],[FMS ID]],FMS_Input[FMS_ID],FMS_Input[FMS_RANK_YEAR])</f>
        <v>2023 Amended Plan</v>
      </c>
      <c r="BP626" s="204">
        <f>_xlfn.XLOOKUP(FMS_Ranking4[[#This Row],[FMS ID]],Prev_Rank[FMS ID],Prev_Rank[Prev Rank])</f>
        <v>552</v>
      </c>
      <c r="BQ626" s="251" t="e">
        <f>_xlfn.XLOOKUP(FMS_Ranking4[[#This Row],[FMS ID]],#REF!,#REF!)</f>
        <v>#REF!</v>
      </c>
      <c r="BR626" s="199" t="e">
        <f>SUM(#REF!,#REF!,#REF!,#REF!,#REF!,#REF!,#REF!,#REF!,#REF!,FMS_Ranking4[[#This Row],[ArcSinh Res struct removed 0-10]],#REF!)</f>
        <v>#REF!</v>
      </c>
      <c r="BS626" s="199" t="e">
        <f>FMS_Ranking4[[#This Row],[Log Score Based on Normalized Reported Factors]]+FMS_Ranking4[[#This Row],[% NBS Score (Normalized)]]+(FMS_Ranking4[[#This Row],[Water Supply Score (Normalized)]]*10*$BB$5)+(FMS_Ranking4[[#This Row],[FMS_Type Score Weighted]])</f>
        <v>#REF!</v>
      </c>
      <c r="BT626" s="200" t="e">
        <f>_xlfn.RANK.EQ(FMS_Ranking4[[#This Row],[Log Total Score]],FMS_Ranking4[Log Total Score],0)</f>
        <v>#REF!</v>
      </c>
      <c r="BU626" s="200" t="e">
        <f>_xlfn.XLOOKUP(FMS_Ranking4[[#This Row],[FMS ID]],#REF!,#REF!)</f>
        <v>#REF!</v>
      </c>
      <c r="BV626" s="200">
        <f>FMS_Ranking4[[#This Row],[Region Number]]</f>
        <v>5</v>
      </c>
      <c r="BW626" s="200">
        <f>FMS_Ranking4[[#This Row],[Rank (with ArcSinh normalization of select criteria)]]-FMS_Ranking4[[#This Row],[Rank
(with linear
normalization)]]</f>
        <v>-67</v>
      </c>
      <c r="BX626" s="200" t="e">
        <f>FMS_Ranking4[[#This Row],[Log Rank]]-FMS_Ranking4[[#This Row],[Rank
(with linear
normalization)]]</f>
        <v>#REF!</v>
      </c>
      <c r="BY626" s="200" t="str">
        <f>IF(FMS_Ranking4[[#This Row],[FMS Type]]="Flood Measurement and Warning",FMS_Ranking4[[#This Row],[Rank (with ArcSinh normalization of select criteria)]],"")</f>
        <v/>
      </c>
      <c r="BZ626" s="200" t="str">
        <f>IF(FMS_Ranking4[[#This Row],[FMS Type]]="Regulatory and Guidance",FMS_Ranking4[[#This Row],[Rank (with ArcSinh normalization of select criteria)]],"")</f>
        <v/>
      </c>
      <c r="CA626" s="200" t="str">
        <f>IF(FMS_Ranking4[[#This Row],[FMS Type]]="Education and Outreach",FMS_Ranking4[[#This Row],[Rank (with ArcSinh normalization of select criteria)]],"")</f>
        <v/>
      </c>
      <c r="CB626" s="200" t="str">
        <f>IF(FMS_Ranking4[[#This Row],[FMS Type]]="Property Acquisition and Structural Elevation",FMS_Ranking4[[#This Row],[Rank (with ArcSinh normalization of select criteria)]],"")</f>
        <v/>
      </c>
      <c r="CC626" s="200">
        <f>IF(FMS_Ranking4[[#This Row],[FMS Type]]="Infrastructure Projects",FMS_Ranking4[[#This Row],[Rank (with ArcSinh normalization of select criteria)]],"")</f>
        <v>619</v>
      </c>
      <c r="CD626" s="200" t="str">
        <f>IF(FMS_Ranking4[[#This Row],[FMS Type]]="Other",FMS_Ranking4[[#This Row],[Rank (with ArcSinh normalization of select criteria)]],"")</f>
        <v/>
      </c>
      <c r="CE626" s="201"/>
      <c r="CF626" s="206"/>
      <c r="CG626" s="206"/>
      <c r="CH626" s="206"/>
      <c r="CI626" s="206"/>
      <c r="CJ626" s="206"/>
      <c r="CK626" s="206"/>
      <c r="CL626" s="206"/>
      <c r="CM626" s="206"/>
      <c r="CN626" s="206"/>
      <c r="CO626" s="206"/>
      <c r="CP626" s="206"/>
      <c r="CQ626" s="206"/>
      <c r="CR626" s="206"/>
    </row>
    <row r="627" spans="2:96" ht="60" x14ac:dyDescent="0.25">
      <c r="B627" s="341" t="s">
        <v>2788</v>
      </c>
      <c r="C627" s="246">
        <f>_xlfn.XLOOKUP(FMS_Ranking4[[#This Row],[FMS ID]],FMS_Input[FMS_ID],FMS_Input[RFPG_NUM])</f>
        <v>5</v>
      </c>
      <c r="D627" s="309" t="str">
        <f>_xlfn.XLOOKUP(FMS_Ranking4[[#This Row],[FMS ID]],FMS_Input[FMS_ID],FMS_Input[FMS_NAME])</f>
        <v>Shelby County Facilities Hazard Hardening Retrofit</v>
      </c>
      <c r="E627" s="308" t="str">
        <f>_xlfn.XLOOKUP(FMS_Ranking4[[#This Row],[FMS ID]],FMS_Input[FMS_ID],FMS_Input[SPONSOR])</f>
        <v>00000153</v>
      </c>
      <c r="F627" s="309" t="str">
        <f>_xlfn.XLOOKUP(FMS_Ranking4[[#This Row],[FMS ID]],Sponsor[FMS_ID],Sponsor[SPONSOR NAME])</f>
        <v>Shelby</v>
      </c>
      <c r="G627" s="309" t="str">
        <f>_xlfn.XLOOKUP(FMS_Ranking4[[#This Row],[FMS ID]],FMS_Input[FMS_ID],FMS_Input[FMS_DESCR])</f>
        <v>Establish a plan to storm-harden and/or retrofit existing and newly constructed critical facilities</v>
      </c>
      <c r="H627" s="248" t="str">
        <f>_xlfn.XLOOKUP(FMS_Ranking4[[#This Row],[FMS ID]],FMS_Input[FMS_ID],FMS_Input[FMS_TYPE])</f>
        <v>Infrastructure Projects</v>
      </c>
      <c r="I627" s="249">
        <f>_xlfn.XLOOKUP(FMS_Ranking4[[#This Row],[FMS ID]],FMS_Input[FMS_ID],FMS_Input[NRNC_COST])</f>
        <v>200000</v>
      </c>
      <c r="J627" s="250">
        <f>_xlfn.XLOOKUP(FMS_Ranking4[[#This Row],[FMS ID]],FMS_Input[FMS_ID],FMS_Input[FMS_COST])</f>
        <v>2000000</v>
      </c>
      <c r="K627" s="251" t="str">
        <f>_xlfn.XLOOKUP(FMS_Ranking4[[#This Row],[FMS ID]],FMS_Input[FMS_ID],FMS_Input[EMER_NEED])</f>
        <v>Yes</v>
      </c>
      <c r="L627" s="252">
        <f t="shared" si="9"/>
        <v>1</v>
      </c>
      <c r="M627" s="253">
        <f>_xlfn.XLOOKUP(FMS_Ranking4[[#This Row],[FMS ID]],FMS_Input[FMS_ID],FMS_Input[STRUCT_100])</f>
        <v>15</v>
      </c>
      <c r="N627" s="255">
        <f>(ASINH(FMS_Ranking4[[#This Row],[Structure at Risk Raw]]))*(10)/(ASINH(M$4))</f>
        <v>2.6747196048660951</v>
      </c>
      <c r="O627" s="256">
        <f>FMS_Ranking4[[#This Row],[Structures at risk, ArcSinh (0-10)]]*M$5*10</f>
        <v>2.6747196048660955</v>
      </c>
      <c r="P627" s="253">
        <f>_xlfn.XLOOKUP(FMS_Ranking4[[#This Row],[FMS ID]],FMS_Input[FMS_ID],FMS_Input[RES_STRUCT100])</f>
        <v>0</v>
      </c>
      <c r="Q627" s="257">
        <f>ASINH(FMS_Ranking4[[#This Row],[Res Structure Raw]])/Q$4*P$5*100</f>
        <v>0</v>
      </c>
      <c r="R627" s="253">
        <f>_xlfn.XLOOKUP(FMS_Ranking4[[#This Row],[FMS ID]],FMS_Input[FMS_ID],FMS_Input[POP100])</f>
        <v>8</v>
      </c>
      <c r="S627" s="259">
        <f>(ASINH(FMS_Ranking4[[#This Row],[Pop at Risk Raw]]))*(10)/(ASINH(R$4))</f>
        <v>1.9167604558558862</v>
      </c>
      <c r="T627" s="256">
        <f>FMS_Ranking4[[#This Row],[Population at risk, ArcSinh (0-10)]]*R$5*10</f>
        <v>1.9167604558558862</v>
      </c>
      <c r="U627" s="253">
        <f>_xlfn.XLOOKUP(FMS_Ranking4[[#This Row],[FMS ID]],FMS_Input[FMS_ID],FMS_Input[CRITFAC100])</f>
        <v>0</v>
      </c>
      <c r="V627" s="259">
        <f>(ASINH(FMS_Ranking4[[#This Row],[Critical Facilities Raw]]))*(10)/(ASINH(U$4))</f>
        <v>0</v>
      </c>
      <c r="W627" s="256">
        <f>FMS_Ranking4[[#This Row],[Critical facilities at risk, ArcSinh (0-10)]]*U$5*10</f>
        <v>0</v>
      </c>
      <c r="X627" s="253">
        <f>_xlfn.XLOOKUP(FMS_Ranking4[[#This Row],[FMS ID]],FMS_Input[FMS_ID],FMS_Input[LWC])</f>
        <v>4</v>
      </c>
      <c r="Y627" s="259">
        <f>(ASINH(FMS_Ranking4[[#This Row],[LWC Raw]]))*(10)/(ASINH(X$4))</f>
        <v>2.8377862217928165</v>
      </c>
      <c r="Z627" s="256">
        <f>FMS_Ranking4[[#This Row],[LWC, ArcSInh (0-10)]]*X$5*10</f>
        <v>2.8377862217928169</v>
      </c>
      <c r="AA627" s="253">
        <f>_xlfn.XLOOKUP(FMS_Ranking4[[#This Row],[FMS ID]],FMS_Input[FMS_ID],FMS_Input[ROADCLS])</f>
        <v>4</v>
      </c>
      <c r="AB627" s="255">
        <f>(ASINH(FMS_Ranking4[[#This Row],[Road Closures Raw]]))*(10)/(ASINH(AA$4))</f>
        <v>2.1814508587270351</v>
      </c>
      <c r="AC627" s="256">
        <f>FMS_Ranking4[[#This Row],[Road closures, ArcSinh (0-10)]]*AA$5*10</f>
        <v>1.0907254293635176</v>
      </c>
      <c r="AD627" s="253">
        <f>_xlfn.XLOOKUP(FMS_Ranking4[[#This Row],[FMS ID]],FMS_Input[FMS_ID],FMS_Input[ROAD_MILES100])</f>
        <v>5</v>
      </c>
      <c r="AE627" s="259">
        <f>(ASINH(FMS_Ranking4[[#This Row],[Road Miles Raw]]))*(10)/(ASINH(AD$4))</f>
        <v>2.4644230639487872</v>
      </c>
      <c r="AF627" s="256">
        <f>FMS_Ranking4[[#This Row],[Length of roads at risk, ArcSinh (0-10)]]*AD$5*10</f>
        <v>2.4644230639487876</v>
      </c>
      <c r="AG627" s="253">
        <f>_xlfn.XLOOKUP(FMS_Ranking4[[#This Row],[FMS ID]],FMS_Input[FMS_ID],FMS_Input[FARMACRE100])</f>
        <v>56.068603515625</v>
      </c>
      <c r="AH627" s="255">
        <f>(ASINH(FMS_Ranking4[[#This Row],[Ag Land Raw]]))*(10)/(ASINH(AG$4))</f>
        <v>3.0658963722487553</v>
      </c>
      <c r="AI627" s="260">
        <f>FMS_Ranking4[[#This Row],[Farm &amp; ranch land, ArcSinh (0-10)]]*AG$5*10</f>
        <v>1.5329481861243777</v>
      </c>
      <c r="AJ627" s="258">
        <f>_xlfn.XLOOKUP(FMS_Ranking4[[#This Row],[FMS ID]],FMS_Input[FMS_ID],FMS_Input[REDSTRUCT100])</f>
        <v>0</v>
      </c>
      <c r="AK627" s="253">
        <f>_xlfn.XLOOKUP(FMS_Ranking4[[#This Row],[FMS ID]],FMS_Input[FMS_ID],FMS_Input[REMSTRC100])</f>
        <v>0</v>
      </c>
      <c r="AL627" s="259">
        <f>(ASINH(FMS_Ranking4[[#This Row],[Structures Removed Raw]]))*(10)/(ASINH(AK$4))</f>
        <v>0</v>
      </c>
      <c r="AM627" s="262">
        <f>FMS_Ranking4[[#This Row],[Structures removed, ArcSinh (0-10)]]*AK$5*10</f>
        <v>0</v>
      </c>
      <c r="AN627" s="253">
        <f>_xlfn.XLOOKUP(FMS_Ranking4[[#This Row],[FMS ID]],FMS_Input[FMS_ID],FMS_Input[REMRESSTRC100])</f>
        <v>0</v>
      </c>
      <c r="AO627" s="261">
        <f>FMS_Ranking4[[#This Row],[ArcSinh Res struct removed 0-10]]*AN$5*10</f>
        <v>0</v>
      </c>
      <c r="AP627" s="260">
        <f>ASINH(FMS_Ranking4[[#This Row],[Residential Structures Removed Raw]])/AP$4*AN$5*100</f>
        <v>0</v>
      </c>
      <c r="AQ627" s="254">
        <f>(ASINH(FMS_Ranking4[[#This Row],[Residential Structures Removed Raw]]))*(10)/(ASINH(AN$4))</f>
        <v>0</v>
      </c>
      <c r="AR627" s="253">
        <f>_xlfn.XLOOKUP(FMS_Ranking4[[#This Row],[FMS ID]],FMS_Input[FMS_ID],FMS_Input[REMPOP100])</f>
        <v>0</v>
      </c>
      <c r="AS627" s="259">
        <f>(ASINH(FMS_Ranking4[[#This Row],[Removed Pop Raw]]))*(10)/(ASINH(AR$4))</f>
        <v>0</v>
      </c>
      <c r="AT627" s="262">
        <f>FMS_Ranking4[[#This Row],[Removed population, ArcSinh (0-10)]]*AR$5*10</f>
        <v>0</v>
      </c>
      <c r="AU627" s="264">
        <f>_xlfn.XLOOKUP(FMS_Ranking4[[#This Row],[FMS ID]],FMS_Input[FMS_ID],FMS_Input[REMCRITFAC100])</f>
        <v>0</v>
      </c>
      <c r="AV627" s="264">
        <f>_xlfn.XLOOKUP(FMS_Ranking4[[#This Row],[FMS ID]],FMS_Input[FMS_ID],FMS_Input[REMLWC100])</f>
        <v>0</v>
      </c>
      <c r="AW627" s="264">
        <f>_xlfn.XLOOKUP(FMS_Ranking4[[#This Row],[FMS ID]],FMS_Input[FMS_ID],FMS_Input[REMROADCLS])</f>
        <v>0</v>
      </c>
      <c r="AX627" s="264">
        <f>_xlfn.XLOOKUP(FMS_Ranking4[[#This Row],[FMS ID]],FMS_Input[FMS_ID],FMS_Input[REMFRMACRE100])</f>
        <v>0</v>
      </c>
      <c r="AY627" s="258">
        <f>_xlfn.XLOOKUP(FMS_Ranking4[[#This Row],[FMS ID]],FMS_Input[FMS_ID],FMS_Input[COSTSTRUCT])</f>
        <v>0</v>
      </c>
      <c r="AZ627" s="253">
        <f>_xlfn.XLOOKUP(FMS_Ranking4[[#This Row],[FMS ID]],FMS_Input[FMS_ID],FMS_Input[NATURE])</f>
        <v>0</v>
      </c>
      <c r="BA627" s="262">
        <f>(((FMS_Ranking4[[#This Row],[% NBS Raw]]/AZ$4)*100)*AZ$5)</f>
        <v>0</v>
      </c>
      <c r="BB627" s="251" t="str">
        <f>_xlfn.XLOOKUP(FMS_Ranking4[[#This Row],[FMS ID]],FMS_Input[FMS_ID],FMS_Input[WATER_SUP])</f>
        <v>No</v>
      </c>
      <c r="BC627" s="265">
        <f>IF(FMS_Ranking4[[#This Row],[Water Supply Raw]]="Yes",10,0)</f>
        <v>0</v>
      </c>
      <c r="BD627" s="266">
        <f>_xlfn.XLOOKUP(FMS_Ranking4[[#This Row],[FMS Type]],FMS_TYPE[FMS_Type],FMS_TYPE[Score])</f>
        <v>4</v>
      </c>
      <c r="BE627" s="267">
        <f>FMS_Ranking4[[#This Row],[FMS_Type Score]]*$BD$5*10</f>
        <v>1</v>
      </c>
      <c r="BF62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6.2022244475980065E-2</v>
      </c>
      <c r="BG627" s="271">
        <f>_xlfn.RANK.EQ(BF627,$BF$8:$BF$870,0)+COUNTIF($BF$8:BF627,BF627)-1</f>
        <v>535</v>
      </c>
      <c r="BH627" s="268">
        <f>(((FMS_Ranking4[[#This Row],[Structures Removed Raw]]/AK$4)*100)*AK$5)+(((FMS_Ranking4[[#This Row],[Removed Pop Raw]]/AR$4)*100)*AR$5)</f>
        <v>0</v>
      </c>
      <c r="BI62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1.0620222444759801</v>
      </c>
      <c r="BJ627" s="205">
        <f>_xlfn.RANK.EQ(FMS_Ranking4[[#This Row],[Total Score 
(with linear
normalization)]],FMS_Ranking4[Total Score 
(with linear
normalization)],0)</f>
        <v>686</v>
      </c>
      <c r="BK627" s="205" t="e">
        <f>_xlfn.XLOOKUP(FMS_Ranking4[[#This Row],[FMS ID]],#REF!,#REF!)</f>
        <v>#REF!</v>
      </c>
      <c r="BL62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12.517362961951482</v>
      </c>
      <c r="BM627" s="272">
        <f>FMS_Ranking4[[#This Row],[ArcSinh Score Based on Normalized Reported Factors]]+FMS_Ranking4[[#This Row],[% NBS Score (Normalized)]]+(FMS_Ranking4[[#This Row],[Water Supply Score (Normalized)]]*10*$BB$5)+FMS_Ranking4[[#This Row],[FMS_Type Score Weighted]]</f>
        <v>13.517362961951482</v>
      </c>
      <c r="BN627" s="205">
        <f>_xlfn.RANK.EQ(FMS_Ranking4[[#This Row],[Total Score (with ArcSinh normalization of select criteria)]],FMS_Ranking4[Total Score (with ArcSinh normalization of select criteria)],0)</f>
        <v>619</v>
      </c>
      <c r="BO627" s="270" t="str">
        <f>_xlfn.XLOOKUP(FMS_Ranking4[[#This Row],[FMS ID]],FMS_Input[FMS_ID],FMS_Input[FMS_RANK_YEAR])</f>
        <v>2023 Amended Plan</v>
      </c>
      <c r="BP627" s="204">
        <f>_xlfn.XLOOKUP(FMS_Ranking4[[#This Row],[FMS ID]],Prev_Rank[FMS ID],Prev_Rank[Prev Rank])</f>
        <v>552</v>
      </c>
      <c r="BQ627" s="205" t="e">
        <f>_xlfn.XLOOKUP(FMS_Ranking4[[#This Row],[FMS ID]],#REF!,#REF!)</f>
        <v>#REF!</v>
      </c>
      <c r="BR627" s="199" t="e">
        <f>SUM(#REF!,#REF!,#REF!,#REF!,#REF!,#REF!,#REF!,#REF!,#REF!,FMS_Ranking4[[#This Row],[ArcSinh Res struct removed 0-10]],#REF!)</f>
        <v>#REF!</v>
      </c>
      <c r="BS627" s="199" t="e">
        <f>FMS_Ranking4[[#This Row],[Log Score Based on Normalized Reported Factors]]+FMS_Ranking4[[#This Row],[% NBS Score (Normalized)]]+(FMS_Ranking4[[#This Row],[Water Supply Score (Normalized)]]*10*$BB$5)+(FMS_Ranking4[[#This Row],[FMS_Type Score Weighted]])</f>
        <v>#REF!</v>
      </c>
      <c r="BT627" s="200" t="e">
        <f>_xlfn.RANK.EQ(FMS_Ranking4[[#This Row],[Log Total Score]],FMS_Ranking4[Log Total Score],0)</f>
        <v>#REF!</v>
      </c>
      <c r="BU627" s="200" t="e">
        <f>_xlfn.XLOOKUP(FMS_Ranking4[[#This Row],[FMS ID]],#REF!,#REF!)</f>
        <v>#REF!</v>
      </c>
      <c r="BV627" s="200">
        <f>FMS_Ranking4[[#This Row],[Region Number]]</f>
        <v>5</v>
      </c>
      <c r="BW627" s="200">
        <f>FMS_Ranking4[[#This Row],[Rank (with ArcSinh normalization of select criteria)]]-FMS_Ranking4[[#This Row],[Rank
(with linear
normalization)]]</f>
        <v>-67</v>
      </c>
      <c r="BX627" s="200" t="e">
        <f>FMS_Ranking4[[#This Row],[Log Rank]]-FMS_Ranking4[[#This Row],[Rank
(with linear
normalization)]]</f>
        <v>#REF!</v>
      </c>
      <c r="BY627" s="200" t="str">
        <f>IF(FMS_Ranking4[[#This Row],[FMS Type]]="Flood Measurement and Warning",FMS_Ranking4[[#This Row],[Rank (with ArcSinh normalization of select criteria)]],"")</f>
        <v/>
      </c>
      <c r="BZ627" s="200" t="str">
        <f>IF(FMS_Ranking4[[#This Row],[FMS Type]]="Regulatory and Guidance",FMS_Ranking4[[#This Row],[Rank (with ArcSinh normalization of select criteria)]],"")</f>
        <v/>
      </c>
      <c r="CA627" s="200" t="str">
        <f>IF(FMS_Ranking4[[#This Row],[FMS Type]]="Education and Outreach",FMS_Ranking4[[#This Row],[Rank (with ArcSinh normalization of select criteria)]],"")</f>
        <v/>
      </c>
      <c r="CB627" s="200" t="str">
        <f>IF(FMS_Ranking4[[#This Row],[FMS Type]]="Property Acquisition and Structural Elevation",FMS_Ranking4[[#This Row],[Rank (with ArcSinh normalization of select criteria)]],"")</f>
        <v/>
      </c>
      <c r="CC627" s="200">
        <f>IF(FMS_Ranking4[[#This Row],[FMS Type]]="Infrastructure Projects",FMS_Ranking4[[#This Row],[Rank (with ArcSinh normalization of select criteria)]],"")</f>
        <v>619</v>
      </c>
      <c r="CD627" s="200" t="str">
        <f>IF(FMS_Ranking4[[#This Row],[FMS Type]]="Other",FMS_Ranking4[[#This Row],[Rank (with ArcSinh normalization of select criteria)]],"")</f>
        <v/>
      </c>
      <c r="CE627" s="201"/>
      <c r="CF627" s="206"/>
      <c r="CG627" s="206"/>
      <c r="CH627" s="206"/>
      <c r="CI627" s="206"/>
      <c r="CJ627" s="206"/>
      <c r="CK627" s="206"/>
      <c r="CL627" s="206"/>
      <c r="CM627" s="206"/>
      <c r="CN627" s="206"/>
      <c r="CO627" s="206"/>
      <c r="CP627" s="206"/>
      <c r="CQ627" s="206"/>
      <c r="CR627" s="206"/>
    </row>
    <row r="628" spans="2:96" ht="60" x14ac:dyDescent="0.25">
      <c r="B628" s="341" t="s">
        <v>2791</v>
      </c>
      <c r="C628" s="246">
        <f>_xlfn.XLOOKUP(FMS_Ranking4[[#This Row],[FMS ID]],FMS_Input[FMS_ID],FMS_Input[RFPG_NUM])</f>
        <v>5</v>
      </c>
      <c r="D628" s="309" t="str">
        <f>_xlfn.XLOOKUP(FMS_Ranking4[[#This Row],[FMS ID]],FMS_Input[FMS_ID],FMS_Input[FMS_NAME])</f>
        <v>Shelby County Drainage Upgrades</v>
      </c>
      <c r="E628" s="308" t="str">
        <f>_xlfn.XLOOKUP(FMS_Ranking4[[#This Row],[FMS ID]],FMS_Input[FMS_ID],FMS_Input[SPONSOR])</f>
        <v>00000153</v>
      </c>
      <c r="F628" s="309" t="str">
        <f>_xlfn.XLOOKUP(FMS_Ranking4[[#This Row],[FMS ID]],Sponsor[FMS_ID],Sponsor[SPONSOR NAME])</f>
        <v>Shelby</v>
      </c>
      <c r="G628" s="309" t="str">
        <f>_xlfn.XLOOKUP(FMS_Ranking4[[#This Row],[FMS ID]],FMS_Input[FMS_ID],FMS_Input[FMS_DESCR])</f>
        <v>Establish a plan to upgrade stormwater conveyance capacity via drainage improvement projects</v>
      </c>
      <c r="H628" s="248" t="str">
        <f>_xlfn.XLOOKUP(FMS_Ranking4[[#This Row],[FMS ID]],FMS_Input[FMS_ID],FMS_Input[FMS_TYPE])</f>
        <v>Infrastructure Projects</v>
      </c>
      <c r="I628" s="249">
        <f>_xlfn.XLOOKUP(FMS_Ranking4[[#This Row],[FMS ID]],FMS_Input[FMS_ID],FMS_Input[NRNC_COST])</f>
        <v>200000</v>
      </c>
      <c r="J628" s="250">
        <f>_xlfn.XLOOKUP(FMS_Ranking4[[#This Row],[FMS ID]],FMS_Input[FMS_ID],FMS_Input[FMS_COST])</f>
        <v>2000000</v>
      </c>
      <c r="K628" s="251" t="str">
        <f>_xlfn.XLOOKUP(FMS_Ranking4[[#This Row],[FMS ID]],FMS_Input[FMS_ID],FMS_Input[EMER_NEED])</f>
        <v>Yes</v>
      </c>
      <c r="L628" s="252">
        <f t="shared" si="9"/>
        <v>1</v>
      </c>
      <c r="M628" s="253">
        <f>_xlfn.XLOOKUP(FMS_Ranking4[[#This Row],[FMS ID]],FMS_Input[FMS_ID],FMS_Input[STRUCT_100])</f>
        <v>15</v>
      </c>
      <c r="N628" s="255">
        <f>(ASINH(FMS_Ranking4[[#This Row],[Structure at Risk Raw]]))*(10)/(ASINH(M$4))</f>
        <v>2.6747196048660951</v>
      </c>
      <c r="O628" s="256">
        <f>FMS_Ranking4[[#This Row],[Structures at risk, ArcSinh (0-10)]]*M$5*10</f>
        <v>2.6747196048660955</v>
      </c>
      <c r="P628" s="253">
        <f>_xlfn.XLOOKUP(FMS_Ranking4[[#This Row],[FMS ID]],FMS_Input[FMS_ID],FMS_Input[RES_STRUCT100])</f>
        <v>0</v>
      </c>
      <c r="Q628" s="257">
        <f>ASINH(FMS_Ranking4[[#This Row],[Res Structure Raw]])/Q$4*P$5*100</f>
        <v>0</v>
      </c>
      <c r="R628" s="253">
        <f>_xlfn.XLOOKUP(FMS_Ranking4[[#This Row],[FMS ID]],FMS_Input[FMS_ID],FMS_Input[POP100])</f>
        <v>8</v>
      </c>
      <c r="S628" s="259">
        <f>(ASINH(FMS_Ranking4[[#This Row],[Pop at Risk Raw]]))*(10)/(ASINH(R$4))</f>
        <v>1.9167604558558862</v>
      </c>
      <c r="T628" s="256">
        <f>FMS_Ranking4[[#This Row],[Population at risk, ArcSinh (0-10)]]*R$5*10</f>
        <v>1.9167604558558862</v>
      </c>
      <c r="U628" s="253">
        <f>_xlfn.XLOOKUP(FMS_Ranking4[[#This Row],[FMS ID]],FMS_Input[FMS_ID],FMS_Input[CRITFAC100])</f>
        <v>0</v>
      </c>
      <c r="V628" s="259">
        <f>(ASINH(FMS_Ranking4[[#This Row],[Critical Facilities Raw]]))*(10)/(ASINH(U$4))</f>
        <v>0</v>
      </c>
      <c r="W628" s="256">
        <f>FMS_Ranking4[[#This Row],[Critical facilities at risk, ArcSinh (0-10)]]*U$5*10</f>
        <v>0</v>
      </c>
      <c r="X628" s="253">
        <f>_xlfn.XLOOKUP(FMS_Ranking4[[#This Row],[FMS ID]],FMS_Input[FMS_ID],FMS_Input[LWC])</f>
        <v>4</v>
      </c>
      <c r="Y628" s="259">
        <f>(ASINH(FMS_Ranking4[[#This Row],[LWC Raw]]))*(10)/(ASINH(X$4))</f>
        <v>2.8377862217928165</v>
      </c>
      <c r="Z628" s="256">
        <f>FMS_Ranking4[[#This Row],[LWC, ArcSInh (0-10)]]*X$5*10</f>
        <v>2.8377862217928169</v>
      </c>
      <c r="AA628" s="253">
        <f>_xlfn.XLOOKUP(FMS_Ranking4[[#This Row],[FMS ID]],FMS_Input[FMS_ID],FMS_Input[ROADCLS])</f>
        <v>4</v>
      </c>
      <c r="AB628" s="255">
        <f>(ASINH(FMS_Ranking4[[#This Row],[Road Closures Raw]]))*(10)/(ASINH(AA$4))</f>
        <v>2.1814508587270351</v>
      </c>
      <c r="AC628" s="256">
        <f>FMS_Ranking4[[#This Row],[Road closures, ArcSinh (0-10)]]*AA$5*10</f>
        <v>1.0907254293635176</v>
      </c>
      <c r="AD628" s="253">
        <f>_xlfn.XLOOKUP(FMS_Ranking4[[#This Row],[FMS ID]],FMS_Input[FMS_ID],FMS_Input[ROAD_MILES100])</f>
        <v>5</v>
      </c>
      <c r="AE628" s="259">
        <f>(ASINH(FMS_Ranking4[[#This Row],[Road Miles Raw]]))*(10)/(ASINH(AD$4))</f>
        <v>2.4644230639487872</v>
      </c>
      <c r="AF628" s="256">
        <f>FMS_Ranking4[[#This Row],[Length of roads at risk, ArcSinh (0-10)]]*AD$5*10</f>
        <v>2.4644230639487876</v>
      </c>
      <c r="AG628" s="253">
        <f>_xlfn.XLOOKUP(FMS_Ranking4[[#This Row],[FMS ID]],FMS_Input[FMS_ID],FMS_Input[FARMACRE100])</f>
        <v>56.068603515625</v>
      </c>
      <c r="AH628" s="255">
        <f>(ASINH(FMS_Ranking4[[#This Row],[Ag Land Raw]]))*(10)/(ASINH(AG$4))</f>
        <v>3.0658963722487553</v>
      </c>
      <c r="AI628" s="260">
        <f>FMS_Ranking4[[#This Row],[Farm &amp; ranch land, ArcSinh (0-10)]]*AG$5*10</f>
        <v>1.5329481861243777</v>
      </c>
      <c r="AJ628" s="258">
        <f>_xlfn.XLOOKUP(FMS_Ranking4[[#This Row],[FMS ID]],FMS_Input[FMS_ID],FMS_Input[REDSTRUCT100])</f>
        <v>0</v>
      </c>
      <c r="AK628" s="253">
        <f>_xlfn.XLOOKUP(FMS_Ranking4[[#This Row],[FMS ID]],FMS_Input[FMS_ID],FMS_Input[REMSTRC100])</f>
        <v>0</v>
      </c>
      <c r="AL628" s="259">
        <f>(ASINH(FMS_Ranking4[[#This Row],[Structures Removed Raw]]))*(10)/(ASINH(AK$4))</f>
        <v>0</v>
      </c>
      <c r="AM628" s="262">
        <f>FMS_Ranking4[[#This Row],[Structures removed, ArcSinh (0-10)]]*AK$5*10</f>
        <v>0</v>
      </c>
      <c r="AN628" s="253">
        <f>_xlfn.XLOOKUP(FMS_Ranking4[[#This Row],[FMS ID]],FMS_Input[FMS_ID],FMS_Input[REMRESSTRC100])</f>
        <v>0</v>
      </c>
      <c r="AO628" s="261">
        <f>FMS_Ranking4[[#This Row],[ArcSinh Res struct removed 0-10]]*AN$5*10</f>
        <v>0</v>
      </c>
      <c r="AP628" s="260">
        <f>ASINH(FMS_Ranking4[[#This Row],[Residential Structures Removed Raw]])/AP$4*AN$5*100</f>
        <v>0</v>
      </c>
      <c r="AQ628" s="254">
        <f>(ASINH(FMS_Ranking4[[#This Row],[Residential Structures Removed Raw]]))*(10)/(ASINH(AN$4))</f>
        <v>0</v>
      </c>
      <c r="AR628" s="253">
        <f>_xlfn.XLOOKUP(FMS_Ranking4[[#This Row],[FMS ID]],FMS_Input[FMS_ID],FMS_Input[REMPOP100])</f>
        <v>0</v>
      </c>
      <c r="AS628" s="259">
        <f>(ASINH(FMS_Ranking4[[#This Row],[Removed Pop Raw]]))*(10)/(ASINH(AR$4))</f>
        <v>0</v>
      </c>
      <c r="AT628" s="262">
        <f>FMS_Ranking4[[#This Row],[Removed population, ArcSinh (0-10)]]*AR$5*10</f>
        <v>0</v>
      </c>
      <c r="AU628" s="264">
        <f>_xlfn.XLOOKUP(FMS_Ranking4[[#This Row],[FMS ID]],FMS_Input[FMS_ID],FMS_Input[REMCRITFAC100])</f>
        <v>0</v>
      </c>
      <c r="AV628" s="264">
        <f>_xlfn.XLOOKUP(FMS_Ranking4[[#This Row],[FMS ID]],FMS_Input[FMS_ID],FMS_Input[REMLWC100])</f>
        <v>0</v>
      </c>
      <c r="AW628" s="264">
        <f>_xlfn.XLOOKUP(FMS_Ranking4[[#This Row],[FMS ID]],FMS_Input[FMS_ID],FMS_Input[REMROADCLS])</f>
        <v>0</v>
      </c>
      <c r="AX628" s="264">
        <f>_xlfn.XLOOKUP(FMS_Ranking4[[#This Row],[FMS ID]],FMS_Input[FMS_ID],FMS_Input[REMFRMACRE100])</f>
        <v>0</v>
      </c>
      <c r="AY628" s="258">
        <f>_xlfn.XLOOKUP(FMS_Ranking4[[#This Row],[FMS ID]],FMS_Input[FMS_ID],FMS_Input[COSTSTRUCT])</f>
        <v>0</v>
      </c>
      <c r="AZ628" s="253">
        <f>_xlfn.XLOOKUP(FMS_Ranking4[[#This Row],[FMS ID]],FMS_Input[FMS_ID],FMS_Input[NATURE])</f>
        <v>0</v>
      </c>
      <c r="BA628" s="262">
        <f>(((FMS_Ranking4[[#This Row],[% NBS Raw]]/AZ$4)*100)*AZ$5)</f>
        <v>0</v>
      </c>
      <c r="BB628" s="251" t="str">
        <f>_xlfn.XLOOKUP(FMS_Ranking4[[#This Row],[FMS ID]],FMS_Input[FMS_ID],FMS_Input[WATER_SUP])</f>
        <v>No</v>
      </c>
      <c r="BC628" s="265">
        <f>IF(FMS_Ranking4[[#This Row],[Water Supply Raw]]="Yes",10,0)</f>
        <v>0</v>
      </c>
      <c r="BD628" s="266">
        <f>_xlfn.XLOOKUP(FMS_Ranking4[[#This Row],[FMS Type]],FMS_TYPE[FMS_Type],FMS_TYPE[Score])</f>
        <v>4</v>
      </c>
      <c r="BE628" s="267">
        <f>FMS_Ranking4[[#This Row],[FMS_Type Score]]*$BD$5*10</f>
        <v>1</v>
      </c>
      <c r="BF62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6.2022244475980065E-2</v>
      </c>
      <c r="BG628" s="271">
        <f>_xlfn.RANK.EQ(BF628,$BF$8:$BF$870,0)+COUNTIF($BF$8:BF628,BF628)-1</f>
        <v>536</v>
      </c>
      <c r="BH628" s="268">
        <f>(((FMS_Ranking4[[#This Row],[Structures Removed Raw]]/AK$4)*100)*AK$5)+(((FMS_Ranking4[[#This Row],[Removed Pop Raw]]/AR$4)*100)*AR$5)</f>
        <v>0</v>
      </c>
      <c r="BI62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1.0620222444759801</v>
      </c>
      <c r="BJ628" s="205">
        <f>_xlfn.RANK.EQ(FMS_Ranking4[[#This Row],[Total Score 
(with linear
normalization)]],FMS_Ranking4[Total Score 
(with linear
normalization)],0)</f>
        <v>686</v>
      </c>
      <c r="BK628" s="205" t="e">
        <f>_xlfn.XLOOKUP(FMS_Ranking4[[#This Row],[FMS ID]],#REF!,#REF!)</f>
        <v>#REF!</v>
      </c>
      <c r="BL62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12.517362961951482</v>
      </c>
      <c r="BM628" s="272">
        <f>FMS_Ranking4[[#This Row],[ArcSinh Score Based on Normalized Reported Factors]]+FMS_Ranking4[[#This Row],[% NBS Score (Normalized)]]+(FMS_Ranking4[[#This Row],[Water Supply Score (Normalized)]]*10*$BB$5)+FMS_Ranking4[[#This Row],[FMS_Type Score Weighted]]</f>
        <v>13.517362961951482</v>
      </c>
      <c r="BN628" s="205">
        <f>_xlfn.RANK.EQ(FMS_Ranking4[[#This Row],[Total Score (with ArcSinh normalization of select criteria)]],FMS_Ranking4[Total Score (with ArcSinh normalization of select criteria)],0)</f>
        <v>619</v>
      </c>
      <c r="BO628" s="270" t="str">
        <f>_xlfn.XLOOKUP(FMS_Ranking4[[#This Row],[FMS ID]],FMS_Input[FMS_ID],FMS_Input[FMS_RANK_YEAR])</f>
        <v>2023 Amended Plan</v>
      </c>
      <c r="BP628" s="204">
        <f>_xlfn.XLOOKUP(FMS_Ranking4[[#This Row],[FMS ID]],Prev_Rank[FMS ID],Prev_Rank[Prev Rank])</f>
        <v>552</v>
      </c>
      <c r="BQ628" s="205" t="e">
        <f>_xlfn.XLOOKUP(FMS_Ranking4[[#This Row],[FMS ID]],#REF!,#REF!)</f>
        <v>#REF!</v>
      </c>
      <c r="BR628" s="199" t="e">
        <f>SUM(#REF!,#REF!,#REF!,#REF!,#REF!,#REF!,#REF!,#REF!,#REF!,FMS_Ranking4[[#This Row],[ArcSinh Res struct removed 0-10]],#REF!)</f>
        <v>#REF!</v>
      </c>
      <c r="BS628" s="199" t="e">
        <f>FMS_Ranking4[[#This Row],[Log Score Based on Normalized Reported Factors]]+FMS_Ranking4[[#This Row],[% NBS Score (Normalized)]]+(FMS_Ranking4[[#This Row],[Water Supply Score (Normalized)]]*10*$BB$5)+(FMS_Ranking4[[#This Row],[FMS_Type Score Weighted]])</f>
        <v>#REF!</v>
      </c>
      <c r="BT628" s="200" t="e">
        <f>_xlfn.RANK.EQ(FMS_Ranking4[[#This Row],[Log Total Score]],FMS_Ranking4[Log Total Score],0)</f>
        <v>#REF!</v>
      </c>
      <c r="BU628" s="200" t="e">
        <f>_xlfn.XLOOKUP(FMS_Ranking4[[#This Row],[FMS ID]],#REF!,#REF!)</f>
        <v>#REF!</v>
      </c>
      <c r="BV628" s="200">
        <f>FMS_Ranking4[[#This Row],[Region Number]]</f>
        <v>5</v>
      </c>
      <c r="BW628" s="200">
        <f>FMS_Ranking4[[#This Row],[Rank (with ArcSinh normalization of select criteria)]]-FMS_Ranking4[[#This Row],[Rank
(with linear
normalization)]]</f>
        <v>-67</v>
      </c>
      <c r="BX628" s="200" t="e">
        <f>FMS_Ranking4[[#This Row],[Log Rank]]-FMS_Ranking4[[#This Row],[Rank
(with linear
normalization)]]</f>
        <v>#REF!</v>
      </c>
      <c r="BY628" s="200" t="str">
        <f>IF(FMS_Ranking4[[#This Row],[FMS Type]]="Flood Measurement and Warning",FMS_Ranking4[[#This Row],[Rank (with ArcSinh normalization of select criteria)]],"")</f>
        <v/>
      </c>
      <c r="BZ628" s="200" t="str">
        <f>IF(FMS_Ranking4[[#This Row],[FMS Type]]="Regulatory and Guidance",FMS_Ranking4[[#This Row],[Rank (with ArcSinh normalization of select criteria)]],"")</f>
        <v/>
      </c>
      <c r="CA628" s="200" t="str">
        <f>IF(FMS_Ranking4[[#This Row],[FMS Type]]="Education and Outreach",FMS_Ranking4[[#This Row],[Rank (with ArcSinh normalization of select criteria)]],"")</f>
        <v/>
      </c>
      <c r="CB628" s="200" t="str">
        <f>IF(FMS_Ranking4[[#This Row],[FMS Type]]="Property Acquisition and Structural Elevation",FMS_Ranking4[[#This Row],[Rank (with ArcSinh normalization of select criteria)]],"")</f>
        <v/>
      </c>
      <c r="CC628" s="200">
        <f>IF(FMS_Ranking4[[#This Row],[FMS Type]]="Infrastructure Projects",FMS_Ranking4[[#This Row],[Rank (with ArcSinh normalization of select criteria)]],"")</f>
        <v>619</v>
      </c>
      <c r="CD628" s="200" t="str">
        <f>IF(FMS_Ranking4[[#This Row],[FMS Type]]="Other",FMS_Ranking4[[#This Row],[Rank (with ArcSinh normalization of select criteria)]],"")</f>
        <v/>
      </c>
      <c r="CE628" s="201"/>
      <c r="CF628" s="206"/>
      <c r="CG628" s="206"/>
      <c r="CH628" s="206"/>
      <c r="CI628" s="206"/>
      <c r="CJ628" s="206"/>
      <c r="CK628" s="206"/>
      <c r="CL628" s="206"/>
      <c r="CM628" s="206"/>
      <c r="CN628" s="206"/>
      <c r="CO628" s="206"/>
      <c r="CP628" s="206"/>
      <c r="CQ628" s="206"/>
      <c r="CR628" s="206"/>
    </row>
    <row r="629" spans="2:96" ht="120" x14ac:dyDescent="0.25">
      <c r="B629" s="341" t="s">
        <v>2794</v>
      </c>
      <c r="C629" s="246">
        <f>_xlfn.XLOOKUP(FMS_Ranking4[[#This Row],[FMS ID]],FMS_Input[FMS_ID],FMS_Input[RFPG_NUM])</f>
        <v>5</v>
      </c>
      <c r="D629" s="309" t="str">
        <f>_xlfn.XLOOKUP(FMS_Ranking4[[#This Row],[FMS ID]],FMS_Input[FMS_ID],FMS_Input[FMS_NAME])</f>
        <v>Shelby County Detention and Retention Pond Construction</v>
      </c>
      <c r="E629" s="308" t="str">
        <f>_xlfn.XLOOKUP(FMS_Ranking4[[#This Row],[FMS ID]],FMS_Input[FMS_ID],FMS_Input[SPONSOR])</f>
        <v>00000153</v>
      </c>
      <c r="F629" s="309" t="str">
        <f>_xlfn.XLOOKUP(FMS_Ranking4[[#This Row],[FMS ID]],Sponsor[FMS_ID],Sponsor[SPONSOR NAME])</f>
        <v>Shelby</v>
      </c>
      <c r="G629" s="309" t="str">
        <f>_xlfn.XLOOKUP(FMS_Ranking4[[#This Row],[FMS ID]],FMS_Input[FMS_ID],FMS_Input[FMS_DESCR])</f>
        <v>Establish a plan and necessary standards to construct storm water detention/retention ponds at strategic locations for improved stormwater storage to hold storm water run-off and as a mitigation measure for drought and wildfire</v>
      </c>
      <c r="H629" s="248" t="str">
        <f>_xlfn.XLOOKUP(FMS_Ranking4[[#This Row],[FMS ID]],FMS_Input[FMS_ID],FMS_Input[FMS_TYPE])</f>
        <v>Infrastructure Projects</v>
      </c>
      <c r="I629" s="249">
        <f>_xlfn.XLOOKUP(FMS_Ranking4[[#This Row],[FMS ID]],FMS_Input[FMS_ID],FMS_Input[NRNC_COST])</f>
        <v>200000</v>
      </c>
      <c r="J629" s="250">
        <f>_xlfn.XLOOKUP(FMS_Ranking4[[#This Row],[FMS ID]],FMS_Input[FMS_ID],FMS_Input[FMS_COST])</f>
        <v>3000000</v>
      </c>
      <c r="K629" s="251" t="str">
        <f>_xlfn.XLOOKUP(FMS_Ranking4[[#This Row],[FMS ID]],FMS_Input[FMS_ID],FMS_Input[EMER_NEED])</f>
        <v>Yes</v>
      </c>
      <c r="L629" s="252">
        <f t="shared" si="9"/>
        <v>1</v>
      </c>
      <c r="M629" s="253">
        <f>_xlfn.XLOOKUP(FMS_Ranking4[[#This Row],[FMS ID]],FMS_Input[FMS_ID],FMS_Input[STRUCT_100])</f>
        <v>15</v>
      </c>
      <c r="N629" s="255">
        <f>(ASINH(FMS_Ranking4[[#This Row],[Structure at Risk Raw]]))*(10)/(ASINH(M$4))</f>
        <v>2.6747196048660951</v>
      </c>
      <c r="O629" s="256">
        <f>FMS_Ranking4[[#This Row],[Structures at risk, ArcSinh (0-10)]]*M$5*10</f>
        <v>2.6747196048660955</v>
      </c>
      <c r="P629" s="253">
        <f>_xlfn.XLOOKUP(FMS_Ranking4[[#This Row],[FMS ID]],FMS_Input[FMS_ID],FMS_Input[RES_STRUCT100])</f>
        <v>0</v>
      </c>
      <c r="Q629" s="257">
        <f>ASINH(FMS_Ranking4[[#This Row],[Res Structure Raw]])/Q$4*P$5*100</f>
        <v>0</v>
      </c>
      <c r="R629" s="253">
        <f>_xlfn.XLOOKUP(FMS_Ranking4[[#This Row],[FMS ID]],FMS_Input[FMS_ID],FMS_Input[POP100])</f>
        <v>8</v>
      </c>
      <c r="S629" s="259">
        <f>(ASINH(FMS_Ranking4[[#This Row],[Pop at Risk Raw]]))*(10)/(ASINH(R$4))</f>
        <v>1.9167604558558862</v>
      </c>
      <c r="T629" s="256">
        <f>FMS_Ranking4[[#This Row],[Population at risk, ArcSinh (0-10)]]*R$5*10</f>
        <v>1.9167604558558862</v>
      </c>
      <c r="U629" s="253">
        <f>_xlfn.XLOOKUP(FMS_Ranking4[[#This Row],[FMS ID]],FMS_Input[FMS_ID],FMS_Input[CRITFAC100])</f>
        <v>0</v>
      </c>
      <c r="V629" s="259">
        <f>(ASINH(FMS_Ranking4[[#This Row],[Critical Facilities Raw]]))*(10)/(ASINH(U$4))</f>
        <v>0</v>
      </c>
      <c r="W629" s="256">
        <f>FMS_Ranking4[[#This Row],[Critical facilities at risk, ArcSinh (0-10)]]*U$5*10</f>
        <v>0</v>
      </c>
      <c r="X629" s="253">
        <f>_xlfn.XLOOKUP(FMS_Ranking4[[#This Row],[FMS ID]],FMS_Input[FMS_ID],FMS_Input[LWC])</f>
        <v>4</v>
      </c>
      <c r="Y629" s="259">
        <f>(ASINH(FMS_Ranking4[[#This Row],[LWC Raw]]))*(10)/(ASINH(X$4))</f>
        <v>2.8377862217928165</v>
      </c>
      <c r="Z629" s="256">
        <f>FMS_Ranking4[[#This Row],[LWC, ArcSInh (0-10)]]*X$5*10</f>
        <v>2.8377862217928169</v>
      </c>
      <c r="AA629" s="253">
        <f>_xlfn.XLOOKUP(FMS_Ranking4[[#This Row],[FMS ID]],FMS_Input[FMS_ID],FMS_Input[ROADCLS])</f>
        <v>4</v>
      </c>
      <c r="AB629" s="255">
        <f>(ASINH(FMS_Ranking4[[#This Row],[Road Closures Raw]]))*(10)/(ASINH(AA$4))</f>
        <v>2.1814508587270351</v>
      </c>
      <c r="AC629" s="256">
        <f>FMS_Ranking4[[#This Row],[Road closures, ArcSinh (0-10)]]*AA$5*10</f>
        <v>1.0907254293635176</v>
      </c>
      <c r="AD629" s="253">
        <f>_xlfn.XLOOKUP(FMS_Ranking4[[#This Row],[FMS ID]],FMS_Input[FMS_ID],FMS_Input[ROAD_MILES100])</f>
        <v>5</v>
      </c>
      <c r="AE629" s="259">
        <f>(ASINH(FMS_Ranking4[[#This Row],[Road Miles Raw]]))*(10)/(ASINH(AD$4))</f>
        <v>2.4644230639487872</v>
      </c>
      <c r="AF629" s="256">
        <f>FMS_Ranking4[[#This Row],[Length of roads at risk, ArcSinh (0-10)]]*AD$5*10</f>
        <v>2.4644230639487876</v>
      </c>
      <c r="AG629" s="253">
        <f>_xlfn.XLOOKUP(FMS_Ranking4[[#This Row],[FMS ID]],FMS_Input[FMS_ID],FMS_Input[FARMACRE100])</f>
        <v>56.068603515625</v>
      </c>
      <c r="AH629" s="255">
        <f>(ASINH(FMS_Ranking4[[#This Row],[Ag Land Raw]]))*(10)/(ASINH(AG$4))</f>
        <v>3.0658963722487553</v>
      </c>
      <c r="AI629" s="260">
        <f>FMS_Ranking4[[#This Row],[Farm &amp; ranch land, ArcSinh (0-10)]]*AG$5*10</f>
        <v>1.5329481861243777</v>
      </c>
      <c r="AJ629" s="258">
        <f>_xlfn.XLOOKUP(FMS_Ranking4[[#This Row],[FMS ID]],FMS_Input[FMS_ID],FMS_Input[REDSTRUCT100])</f>
        <v>0</v>
      </c>
      <c r="AK629" s="253">
        <f>_xlfn.XLOOKUP(FMS_Ranking4[[#This Row],[FMS ID]],FMS_Input[FMS_ID],FMS_Input[REMSTRC100])</f>
        <v>0</v>
      </c>
      <c r="AL629" s="259">
        <f>(ASINH(FMS_Ranking4[[#This Row],[Structures Removed Raw]]))*(10)/(ASINH(AK$4))</f>
        <v>0</v>
      </c>
      <c r="AM629" s="262">
        <f>FMS_Ranking4[[#This Row],[Structures removed, ArcSinh (0-10)]]*AK$5*10</f>
        <v>0</v>
      </c>
      <c r="AN629" s="253">
        <f>_xlfn.XLOOKUP(FMS_Ranking4[[#This Row],[FMS ID]],FMS_Input[FMS_ID],FMS_Input[REMRESSTRC100])</f>
        <v>0</v>
      </c>
      <c r="AO629" s="261">
        <f>FMS_Ranking4[[#This Row],[ArcSinh Res struct removed 0-10]]*AN$5*10</f>
        <v>0</v>
      </c>
      <c r="AP629" s="260">
        <f>ASINH(FMS_Ranking4[[#This Row],[Residential Structures Removed Raw]])/AP$4*AN$5*100</f>
        <v>0</v>
      </c>
      <c r="AQ629" s="254">
        <f>(ASINH(FMS_Ranking4[[#This Row],[Residential Structures Removed Raw]]))*(10)/(ASINH(AN$4))</f>
        <v>0</v>
      </c>
      <c r="AR629" s="253">
        <f>_xlfn.XLOOKUP(FMS_Ranking4[[#This Row],[FMS ID]],FMS_Input[FMS_ID],FMS_Input[REMPOP100])</f>
        <v>0</v>
      </c>
      <c r="AS629" s="259">
        <f>(ASINH(FMS_Ranking4[[#This Row],[Removed Pop Raw]]))*(10)/(ASINH(AR$4))</f>
        <v>0</v>
      </c>
      <c r="AT629" s="262">
        <f>FMS_Ranking4[[#This Row],[Removed population, ArcSinh (0-10)]]*AR$5*10</f>
        <v>0</v>
      </c>
      <c r="AU629" s="264">
        <f>_xlfn.XLOOKUP(FMS_Ranking4[[#This Row],[FMS ID]],FMS_Input[FMS_ID],FMS_Input[REMCRITFAC100])</f>
        <v>0</v>
      </c>
      <c r="AV629" s="264">
        <f>_xlfn.XLOOKUP(FMS_Ranking4[[#This Row],[FMS ID]],FMS_Input[FMS_ID],FMS_Input[REMLWC100])</f>
        <v>0</v>
      </c>
      <c r="AW629" s="264">
        <f>_xlfn.XLOOKUP(FMS_Ranking4[[#This Row],[FMS ID]],FMS_Input[FMS_ID],FMS_Input[REMROADCLS])</f>
        <v>0</v>
      </c>
      <c r="AX629" s="264">
        <f>_xlfn.XLOOKUP(FMS_Ranking4[[#This Row],[FMS ID]],FMS_Input[FMS_ID],FMS_Input[REMFRMACRE100])</f>
        <v>0</v>
      </c>
      <c r="AY629" s="258">
        <f>_xlfn.XLOOKUP(FMS_Ranking4[[#This Row],[FMS ID]],FMS_Input[FMS_ID],FMS_Input[COSTSTRUCT])</f>
        <v>0</v>
      </c>
      <c r="AZ629" s="253">
        <f>_xlfn.XLOOKUP(FMS_Ranking4[[#This Row],[FMS ID]],FMS_Input[FMS_ID],FMS_Input[NATURE])</f>
        <v>0</v>
      </c>
      <c r="BA629" s="262">
        <f>(((FMS_Ranking4[[#This Row],[% NBS Raw]]/AZ$4)*100)*AZ$5)</f>
        <v>0</v>
      </c>
      <c r="BB629" s="251" t="str">
        <f>_xlfn.XLOOKUP(FMS_Ranking4[[#This Row],[FMS ID]],FMS_Input[FMS_ID],FMS_Input[WATER_SUP])</f>
        <v>No</v>
      </c>
      <c r="BC629" s="265">
        <f>IF(FMS_Ranking4[[#This Row],[Water Supply Raw]]="Yes",10,0)</f>
        <v>0</v>
      </c>
      <c r="BD629" s="266">
        <f>_xlfn.XLOOKUP(FMS_Ranking4[[#This Row],[FMS Type]],FMS_TYPE[FMS_Type],FMS_TYPE[Score])</f>
        <v>4</v>
      </c>
      <c r="BE629" s="267">
        <f>FMS_Ranking4[[#This Row],[FMS_Type Score]]*$BD$5*10</f>
        <v>1</v>
      </c>
      <c r="BF62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6.2022244475980065E-2</v>
      </c>
      <c r="BG629" s="271">
        <f>_xlfn.RANK.EQ(BF629,$BF$8:$BF$870,0)+COUNTIF($BF$8:BF629,BF629)-1</f>
        <v>537</v>
      </c>
      <c r="BH629" s="268">
        <f>(((FMS_Ranking4[[#This Row],[Structures Removed Raw]]/AK$4)*100)*AK$5)+(((FMS_Ranking4[[#This Row],[Removed Pop Raw]]/AR$4)*100)*AR$5)</f>
        <v>0</v>
      </c>
      <c r="BI62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1.0620222444759801</v>
      </c>
      <c r="BJ629" s="205">
        <f>_xlfn.RANK.EQ(FMS_Ranking4[[#This Row],[Total Score 
(with linear
normalization)]],FMS_Ranking4[Total Score 
(with linear
normalization)],0)</f>
        <v>686</v>
      </c>
      <c r="BK629" s="205" t="e">
        <f>_xlfn.XLOOKUP(FMS_Ranking4[[#This Row],[FMS ID]],#REF!,#REF!)</f>
        <v>#REF!</v>
      </c>
      <c r="BL62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12.517362961951482</v>
      </c>
      <c r="BM629" s="272">
        <f>FMS_Ranking4[[#This Row],[ArcSinh Score Based on Normalized Reported Factors]]+FMS_Ranking4[[#This Row],[% NBS Score (Normalized)]]+(FMS_Ranking4[[#This Row],[Water Supply Score (Normalized)]]*10*$BB$5)+FMS_Ranking4[[#This Row],[FMS_Type Score Weighted]]</f>
        <v>13.517362961951482</v>
      </c>
      <c r="BN629" s="205">
        <f>_xlfn.RANK.EQ(FMS_Ranking4[[#This Row],[Total Score (with ArcSinh normalization of select criteria)]],FMS_Ranking4[Total Score (with ArcSinh normalization of select criteria)],0)</f>
        <v>619</v>
      </c>
      <c r="BO629" s="270" t="str">
        <f>_xlfn.XLOOKUP(FMS_Ranking4[[#This Row],[FMS ID]],FMS_Input[FMS_ID],FMS_Input[FMS_RANK_YEAR])</f>
        <v>2023 Amended Plan</v>
      </c>
      <c r="BP629" s="204">
        <f>_xlfn.XLOOKUP(FMS_Ranking4[[#This Row],[FMS ID]],Prev_Rank[FMS ID],Prev_Rank[Prev Rank])</f>
        <v>552</v>
      </c>
      <c r="BQ629" s="205" t="e">
        <f>_xlfn.XLOOKUP(FMS_Ranking4[[#This Row],[FMS ID]],#REF!,#REF!)</f>
        <v>#REF!</v>
      </c>
      <c r="BR629" s="199" t="e">
        <f>SUM(#REF!,#REF!,#REF!,#REF!,#REF!,#REF!,#REF!,#REF!,#REF!,FMS_Ranking4[[#This Row],[ArcSinh Res struct removed 0-10]],#REF!)</f>
        <v>#REF!</v>
      </c>
      <c r="BS629" s="199" t="e">
        <f>FMS_Ranking4[[#This Row],[Log Score Based on Normalized Reported Factors]]+FMS_Ranking4[[#This Row],[% NBS Score (Normalized)]]+(FMS_Ranking4[[#This Row],[Water Supply Score (Normalized)]]*10*$BB$5)+(FMS_Ranking4[[#This Row],[FMS_Type Score Weighted]])</f>
        <v>#REF!</v>
      </c>
      <c r="BT629" s="200" t="e">
        <f>_xlfn.RANK.EQ(FMS_Ranking4[[#This Row],[Log Total Score]],FMS_Ranking4[Log Total Score],0)</f>
        <v>#REF!</v>
      </c>
      <c r="BU629" s="200" t="e">
        <f>_xlfn.XLOOKUP(FMS_Ranking4[[#This Row],[FMS ID]],#REF!,#REF!)</f>
        <v>#REF!</v>
      </c>
      <c r="BV629" s="200">
        <f>FMS_Ranking4[[#This Row],[Region Number]]</f>
        <v>5</v>
      </c>
      <c r="BW629" s="200">
        <f>FMS_Ranking4[[#This Row],[Rank (with ArcSinh normalization of select criteria)]]-FMS_Ranking4[[#This Row],[Rank
(with linear
normalization)]]</f>
        <v>-67</v>
      </c>
      <c r="BX629" s="200" t="e">
        <f>FMS_Ranking4[[#This Row],[Log Rank]]-FMS_Ranking4[[#This Row],[Rank
(with linear
normalization)]]</f>
        <v>#REF!</v>
      </c>
      <c r="BY629" s="200" t="str">
        <f>IF(FMS_Ranking4[[#This Row],[FMS Type]]="Flood Measurement and Warning",FMS_Ranking4[[#This Row],[Rank (with ArcSinh normalization of select criteria)]],"")</f>
        <v/>
      </c>
      <c r="BZ629" s="200" t="str">
        <f>IF(FMS_Ranking4[[#This Row],[FMS Type]]="Regulatory and Guidance",FMS_Ranking4[[#This Row],[Rank (with ArcSinh normalization of select criteria)]],"")</f>
        <v/>
      </c>
      <c r="CA629" s="200" t="str">
        <f>IF(FMS_Ranking4[[#This Row],[FMS Type]]="Education and Outreach",FMS_Ranking4[[#This Row],[Rank (with ArcSinh normalization of select criteria)]],"")</f>
        <v/>
      </c>
      <c r="CB629" s="200" t="str">
        <f>IF(FMS_Ranking4[[#This Row],[FMS Type]]="Property Acquisition and Structural Elevation",FMS_Ranking4[[#This Row],[Rank (with ArcSinh normalization of select criteria)]],"")</f>
        <v/>
      </c>
      <c r="CC629" s="200">
        <f>IF(FMS_Ranking4[[#This Row],[FMS Type]]="Infrastructure Projects",FMS_Ranking4[[#This Row],[Rank (with ArcSinh normalization of select criteria)]],"")</f>
        <v>619</v>
      </c>
      <c r="CD629" s="200" t="str">
        <f>IF(FMS_Ranking4[[#This Row],[FMS Type]]="Other",FMS_Ranking4[[#This Row],[Rank (with ArcSinh normalization of select criteria)]],"")</f>
        <v/>
      </c>
      <c r="CE629" s="201"/>
      <c r="CF629" s="206"/>
      <c r="CG629" s="206"/>
      <c r="CH629" s="206"/>
      <c r="CI629" s="206"/>
      <c r="CJ629" s="206"/>
      <c r="CK629" s="206"/>
      <c r="CL629" s="206"/>
      <c r="CM629" s="206"/>
      <c r="CN629" s="206"/>
      <c r="CO629" s="206"/>
      <c r="CP629" s="206"/>
      <c r="CQ629" s="206"/>
      <c r="CR629" s="206"/>
    </row>
    <row r="630" spans="2:96" ht="60" x14ac:dyDescent="0.25">
      <c r="B630" s="341" t="s">
        <v>2542</v>
      </c>
      <c r="C630" s="246">
        <f>_xlfn.XLOOKUP(FMS_Ranking4[[#This Row],[FMS ID]],FMS_Input[FMS_ID],FMS_Input[RFPG_NUM])</f>
        <v>4</v>
      </c>
      <c r="D630" s="309" t="str">
        <f>_xlfn.XLOOKUP(FMS_Ranking4[[#This Row],[FMS ID]],FMS_Input[FMS_ID],FMS_Input[FMS_NAME])</f>
        <v>City of Gladewater Flood Infrastructure Maintenance Program</v>
      </c>
      <c r="E630" s="308" t="str">
        <f>_xlfn.XLOOKUP(FMS_Ranking4[[#This Row],[FMS ID]],FMS_Input[FMS_ID],FMS_Input[SPONSOR])</f>
        <v>04002773</v>
      </c>
      <c r="F630" s="309" t="str">
        <f>_xlfn.XLOOKUP(FMS_Ranking4[[#This Row],[FMS ID]],Sponsor[FMS_ID],Sponsor[SPONSOR NAME])</f>
        <v>Gladewater</v>
      </c>
      <c r="G630" s="309" t="str">
        <f>_xlfn.XLOOKUP(FMS_Ranking4[[#This Row],[FMS ID]],FMS_Input[FMS_ID],FMS_Input[FMS_DESCR])</f>
        <v>Implement program to remove debris from drainage culverts when needed to alleviate potential flooding hazards</v>
      </c>
      <c r="H630" s="248" t="str">
        <f>_xlfn.XLOOKUP(FMS_Ranking4[[#This Row],[FMS ID]],FMS_Input[FMS_ID],FMS_Input[FMS_TYPE])</f>
        <v>Other</v>
      </c>
      <c r="I630" s="249">
        <f>_xlfn.XLOOKUP(FMS_Ranking4[[#This Row],[FMS ID]],FMS_Input[FMS_ID],FMS_Input[NRNC_COST])</f>
        <v>20000</v>
      </c>
      <c r="J630" s="250">
        <f>_xlfn.XLOOKUP(FMS_Ranking4[[#This Row],[FMS ID]],FMS_Input[FMS_ID],FMS_Input[FMS_COST])</f>
        <v>20000</v>
      </c>
      <c r="K630" s="251" t="str">
        <f>_xlfn.XLOOKUP(FMS_Ranking4[[#This Row],[FMS ID]],FMS_Input[FMS_ID],FMS_Input[EMER_NEED])</f>
        <v>No</v>
      </c>
      <c r="L630" s="252">
        <f t="shared" si="9"/>
        <v>0</v>
      </c>
      <c r="M630" s="253">
        <f>_xlfn.XLOOKUP(FMS_Ranking4[[#This Row],[FMS ID]],FMS_Input[FMS_ID],FMS_Input[STRUCT_100])</f>
        <v>146</v>
      </c>
      <c r="N630" s="255">
        <f>(ASINH(FMS_Ranking4[[#This Row],[Structure at Risk Raw]]))*(10)/(ASINH(M$4))</f>
        <v>4.4627829406266981</v>
      </c>
      <c r="O630" s="256">
        <f>FMS_Ranking4[[#This Row],[Structures at risk, ArcSinh (0-10)]]*M$5*10</f>
        <v>4.4627829406266981</v>
      </c>
      <c r="P630" s="253">
        <f>_xlfn.XLOOKUP(FMS_Ranking4[[#This Row],[FMS ID]],FMS_Input[FMS_ID],FMS_Input[RES_STRUCT100])</f>
        <v>103</v>
      </c>
      <c r="Q630" s="257">
        <f>ASINH(FMS_Ranking4[[#This Row],[Res Structure Raw]])/Q$4*P$5*100</f>
        <v>0</v>
      </c>
      <c r="R630" s="253">
        <f>_xlfn.XLOOKUP(FMS_Ranking4[[#This Row],[FMS ID]],FMS_Input[FMS_ID],FMS_Input[POP100])</f>
        <v>225</v>
      </c>
      <c r="S630" s="259">
        <f>(ASINH(FMS_Ranking4[[#This Row],[Pop at Risk Raw]]))*(10)/(ASINH(R$4))</f>
        <v>4.2175726832890197</v>
      </c>
      <c r="T630" s="256">
        <f>FMS_Ranking4[[#This Row],[Population at risk, ArcSinh (0-10)]]*R$5*10</f>
        <v>4.2175726832890197</v>
      </c>
      <c r="U630" s="253">
        <f>_xlfn.XLOOKUP(FMS_Ranking4[[#This Row],[FMS ID]],FMS_Input[FMS_ID],FMS_Input[CRITFAC100])</f>
        <v>0</v>
      </c>
      <c r="V630" s="259">
        <f>(ASINH(FMS_Ranking4[[#This Row],[Critical Facilities Raw]]))*(10)/(ASINH(U$4))</f>
        <v>0</v>
      </c>
      <c r="W630" s="256">
        <f>FMS_Ranking4[[#This Row],[Critical facilities at risk, ArcSinh (0-10)]]*U$5*10</f>
        <v>0</v>
      </c>
      <c r="X630" s="253">
        <f>_xlfn.XLOOKUP(FMS_Ranking4[[#This Row],[FMS ID]],FMS_Input[FMS_ID],FMS_Input[LWC])</f>
        <v>0</v>
      </c>
      <c r="Y630" s="259">
        <f>(ASINH(FMS_Ranking4[[#This Row],[LWC Raw]]))*(10)/(ASINH(X$4))</f>
        <v>0</v>
      </c>
      <c r="Z630" s="256">
        <f>FMS_Ranking4[[#This Row],[LWC, ArcSInh (0-10)]]*X$5*10</f>
        <v>0</v>
      </c>
      <c r="AA630" s="253">
        <f>_xlfn.XLOOKUP(FMS_Ranking4[[#This Row],[FMS ID]],FMS_Input[FMS_ID],FMS_Input[ROADCLS])</f>
        <v>0</v>
      </c>
      <c r="AB630" s="255">
        <f>(ASINH(FMS_Ranking4[[#This Row],[Road Closures Raw]]))*(10)/(ASINH(AA$4))</f>
        <v>0</v>
      </c>
      <c r="AC630" s="256">
        <f>FMS_Ranking4[[#This Row],[Road closures, ArcSinh (0-10)]]*AA$5*10</f>
        <v>0</v>
      </c>
      <c r="AD630" s="253">
        <f>_xlfn.XLOOKUP(FMS_Ranking4[[#This Row],[FMS ID]],FMS_Input[FMS_ID],FMS_Input[ROAD_MILES100])</f>
        <v>4</v>
      </c>
      <c r="AE630" s="259">
        <f>(ASINH(FMS_Ranking4[[#This Row],[Road Miles Raw]]))*(10)/(ASINH(AD$4))</f>
        <v>2.2323872691766113</v>
      </c>
      <c r="AF630" s="256">
        <f>FMS_Ranking4[[#This Row],[Length of roads at risk, ArcSinh (0-10)]]*AD$5*10</f>
        <v>2.2323872691766113</v>
      </c>
      <c r="AG630" s="253">
        <f>_xlfn.XLOOKUP(FMS_Ranking4[[#This Row],[FMS ID]],FMS_Input[FMS_ID],FMS_Input[FARMACRE100])</f>
        <v>307.5699462890625</v>
      </c>
      <c r="AH630" s="255">
        <f>(ASINH(FMS_Ranking4[[#This Row],[Ag Land Raw]]))*(10)/(ASINH(AG$4))</f>
        <v>4.1715162867094451</v>
      </c>
      <c r="AI630" s="260">
        <f>FMS_Ranking4[[#This Row],[Farm &amp; ranch land, ArcSinh (0-10)]]*AG$5*10</f>
        <v>2.0857581433547225</v>
      </c>
      <c r="AJ630" s="258">
        <f>_xlfn.XLOOKUP(FMS_Ranking4[[#This Row],[FMS ID]],FMS_Input[FMS_ID],FMS_Input[REDSTRUCT100])</f>
        <v>0</v>
      </c>
      <c r="AK630" s="253">
        <f>_xlfn.XLOOKUP(FMS_Ranking4[[#This Row],[FMS ID]],FMS_Input[FMS_ID],FMS_Input[REMSTRC100])</f>
        <v>0</v>
      </c>
      <c r="AL630" s="259">
        <f>(ASINH(FMS_Ranking4[[#This Row],[Structures Removed Raw]]))*(10)/(ASINH(AK$4))</f>
        <v>0</v>
      </c>
      <c r="AM630" s="262">
        <f>FMS_Ranking4[[#This Row],[Structures removed, ArcSinh (0-10)]]*AK$5*10</f>
        <v>0</v>
      </c>
      <c r="AN630" s="253">
        <f>_xlfn.XLOOKUP(FMS_Ranking4[[#This Row],[FMS ID]],FMS_Input[FMS_ID],FMS_Input[REMRESSTRC100])</f>
        <v>0</v>
      </c>
      <c r="AO630" s="261">
        <f>FMS_Ranking4[[#This Row],[ArcSinh Res struct removed 0-10]]*AN$5*10</f>
        <v>0</v>
      </c>
      <c r="AP630" s="260">
        <f>ASINH(FMS_Ranking4[[#This Row],[Residential Structures Removed Raw]])/AP$4*AN$5*100</f>
        <v>0</v>
      </c>
      <c r="AQ630" s="254">
        <f>(ASINH(FMS_Ranking4[[#This Row],[Residential Structures Removed Raw]]))*(10)/(ASINH(AN$4))</f>
        <v>0</v>
      </c>
      <c r="AR630" s="253">
        <f>_xlfn.XLOOKUP(FMS_Ranking4[[#This Row],[FMS ID]],FMS_Input[FMS_ID],FMS_Input[REMPOP100])</f>
        <v>0</v>
      </c>
      <c r="AS630" s="259">
        <f>(ASINH(FMS_Ranking4[[#This Row],[Removed Pop Raw]]))*(10)/(ASINH(AR$4))</f>
        <v>0</v>
      </c>
      <c r="AT630" s="262">
        <f>FMS_Ranking4[[#This Row],[Removed population, ArcSinh (0-10)]]*AR$5*10</f>
        <v>0</v>
      </c>
      <c r="AU630" s="264">
        <f>_xlfn.XLOOKUP(FMS_Ranking4[[#This Row],[FMS ID]],FMS_Input[FMS_ID],FMS_Input[REMCRITFAC100])</f>
        <v>0</v>
      </c>
      <c r="AV630" s="264">
        <f>_xlfn.XLOOKUP(FMS_Ranking4[[#This Row],[FMS ID]],FMS_Input[FMS_ID],FMS_Input[REMLWC100])</f>
        <v>0</v>
      </c>
      <c r="AW630" s="264">
        <f>_xlfn.XLOOKUP(FMS_Ranking4[[#This Row],[FMS ID]],FMS_Input[FMS_ID],FMS_Input[REMROADCLS])</f>
        <v>0</v>
      </c>
      <c r="AX630" s="264">
        <f>_xlfn.XLOOKUP(FMS_Ranking4[[#This Row],[FMS ID]],FMS_Input[FMS_ID],FMS_Input[REMFRMACRE100])</f>
        <v>0</v>
      </c>
      <c r="AY630" s="258">
        <f>_xlfn.XLOOKUP(FMS_Ranking4[[#This Row],[FMS ID]],FMS_Input[FMS_ID],FMS_Input[COSTSTRUCT])</f>
        <v>0</v>
      </c>
      <c r="AZ630" s="253">
        <f>_xlfn.XLOOKUP(FMS_Ranking4[[#This Row],[FMS ID]],FMS_Input[FMS_ID],FMS_Input[NATURE])</f>
        <v>0</v>
      </c>
      <c r="BA630" s="262">
        <f>(((FMS_Ranking4[[#This Row],[% NBS Raw]]/AZ$4)*100)*AZ$5)</f>
        <v>0</v>
      </c>
      <c r="BB630" s="251" t="str">
        <f>_xlfn.XLOOKUP(FMS_Ranking4[[#This Row],[FMS ID]],FMS_Input[FMS_ID],FMS_Input[WATER_SUP])</f>
        <v>No</v>
      </c>
      <c r="BC630" s="265">
        <f>IF(FMS_Ranking4[[#This Row],[Water Supply Raw]]="Yes",10,0)</f>
        <v>0</v>
      </c>
      <c r="BD630" s="266">
        <f>_xlfn.XLOOKUP(FMS_Ranking4[[#This Row],[FMS Type]],FMS_TYPE[FMS_Type],FMS_TYPE[Score])</f>
        <v>2</v>
      </c>
      <c r="BE630" s="267">
        <f>FMS_Ranking4[[#This Row],[FMS_Type Score]]*$BD$5*10</f>
        <v>0.5</v>
      </c>
      <c r="BF63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1.8397746296932836E-2</v>
      </c>
      <c r="BG630" s="271">
        <f>_xlfn.RANK.EQ(BF630,$BF$8:$BF$870,0)+COUNTIF($BF$8:BF630,BF630)-1</f>
        <v>641</v>
      </c>
      <c r="BH630" s="268">
        <f>(((FMS_Ranking4[[#This Row],[Structures Removed Raw]]/AK$4)*100)*AK$5)+(((FMS_Ranking4[[#This Row],[Removed Pop Raw]]/AR$4)*100)*AR$5)</f>
        <v>0</v>
      </c>
      <c r="BI63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0.5183977462969328</v>
      </c>
      <c r="BJ630" s="205">
        <f>_xlfn.RANK.EQ(FMS_Ranking4[[#This Row],[Total Score 
(with linear
normalization)]],FMS_Ranking4[Total Score 
(with linear
normalization)],0)</f>
        <v>842</v>
      </c>
      <c r="BK630" s="205" t="e">
        <f>_xlfn.XLOOKUP(FMS_Ranking4[[#This Row],[FMS ID]],#REF!,#REF!)</f>
        <v>#REF!</v>
      </c>
      <c r="BL63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12.998501036447051</v>
      </c>
      <c r="BM630" s="272">
        <f>FMS_Ranking4[[#This Row],[ArcSinh Score Based on Normalized Reported Factors]]+FMS_Ranking4[[#This Row],[% NBS Score (Normalized)]]+(FMS_Ranking4[[#This Row],[Water Supply Score (Normalized)]]*10*$BB$5)+FMS_Ranking4[[#This Row],[FMS_Type Score Weighted]]</f>
        <v>13.498501036447051</v>
      </c>
      <c r="BN630" s="205">
        <f>_xlfn.RANK.EQ(FMS_Ranking4[[#This Row],[Total Score (with ArcSinh normalization of select criteria)]],FMS_Ranking4[Total Score (with ArcSinh normalization of select criteria)],0)</f>
        <v>623</v>
      </c>
      <c r="BO630" s="270" t="str">
        <f>_xlfn.XLOOKUP(FMS_Ranking4[[#This Row],[FMS ID]],FMS_Input[FMS_ID],FMS_Input[FMS_RANK_YEAR])</f>
        <v>2023 Amended Plan</v>
      </c>
      <c r="BP630" s="204">
        <f>_xlfn.XLOOKUP(FMS_Ranking4[[#This Row],[FMS ID]],Prev_Rank[FMS ID],Prev_Rank[Prev Rank])</f>
        <v>550</v>
      </c>
      <c r="BQ630" s="205" t="e">
        <f>_xlfn.XLOOKUP(FMS_Ranking4[[#This Row],[FMS ID]],#REF!,#REF!)</f>
        <v>#REF!</v>
      </c>
      <c r="BR630" s="199" t="e">
        <f>SUM(#REF!,#REF!,#REF!,#REF!,#REF!,#REF!,#REF!,#REF!,#REF!,FMS_Ranking4[[#This Row],[ArcSinh Res struct removed 0-10]],#REF!)</f>
        <v>#REF!</v>
      </c>
      <c r="BS630" s="199" t="e">
        <f>FMS_Ranking4[[#This Row],[Log Score Based on Normalized Reported Factors]]+FMS_Ranking4[[#This Row],[% NBS Score (Normalized)]]+(FMS_Ranking4[[#This Row],[Water Supply Score (Normalized)]]*10*$BB$5)+(FMS_Ranking4[[#This Row],[FMS_Type Score Weighted]])</f>
        <v>#REF!</v>
      </c>
      <c r="BT630" s="200" t="e">
        <f>_xlfn.RANK.EQ(FMS_Ranking4[[#This Row],[Log Total Score]],FMS_Ranking4[Log Total Score],0)</f>
        <v>#REF!</v>
      </c>
      <c r="BU630" s="200" t="e">
        <f>_xlfn.XLOOKUP(FMS_Ranking4[[#This Row],[FMS ID]],#REF!,#REF!)</f>
        <v>#REF!</v>
      </c>
      <c r="BV630" s="200">
        <f>FMS_Ranking4[[#This Row],[Region Number]]</f>
        <v>4</v>
      </c>
      <c r="BW630" s="200">
        <f>FMS_Ranking4[[#This Row],[Rank (with ArcSinh normalization of select criteria)]]-FMS_Ranking4[[#This Row],[Rank
(with linear
normalization)]]</f>
        <v>-219</v>
      </c>
      <c r="BX630" s="200" t="e">
        <f>FMS_Ranking4[[#This Row],[Log Rank]]-FMS_Ranking4[[#This Row],[Rank
(with linear
normalization)]]</f>
        <v>#REF!</v>
      </c>
      <c r="BY630" s="200" t="str">
        <f>IF(FMS_Ranking4[[#This Row],[FMS Type]]="Flood Measurement and Warning",FMS_Ranking4[[#This Row],[Rank (with ArcSinh normalization of select criteria)]],"")</f>
        <v/>
      </c>
      <c r="BZ630" s="200" t="str">
        <f>IF(FMS_Ranking4[[#This Row],[FMS Type]]="Regulatory and Guidance",FMS_Ranking4[[#This Row],[Rank (with ArcSinh normalization of select criteria)]],"")</f>
        <v/>
      </c>
      <c r="CA630" s="200" t="str">
        <f>IF(FMS_Ranking4[[#This Row],[FMS Type]]="Education and Outreach",FMS_Ranking4[[#This Row],[Rank (with ArcSinh normalization of select criteria)]],"")</f>
        <v/>
      </c>
      <c r="CB630" s="200" t="str">
        <f>IF(FMS_Ranking4[[#This Row],[FMS Type]]="Property Acquisition and Structural Elevation",FMS_Ranking4[[#This Row],[Rank (with ArcSinh normalization of select criteria)]],"")</f>
        <v/>
      </c>
      <c r="CC630" s="200" t="str">
        <f>IF(FMS_Ranking4[[#This Row],[FMS Type]]="Infrastructure Projects",FMS_Ranking4[[#This Row],[Rank (with ArcSinh normalization of select criteria)]],"")</f>
        <v/>
      </c>
      <c r="CD630" s="200">
        <f>IF(FMS_Ranking4[[#This Row],[FMS Type]]="Other",FMS_Ranking4[[#This Row],[Rank (with ArcSinh normalization of select criteria)]],"")</f>
        <v>623</v>
      </c>
      <c r="CE630" s="201"/>
      <c r="CF630" s="206"/>
      <c r="CG630" s="206"/>
      <c r="CH630" s="206"/>
      <c r="CI630" s="206"/>
      <c r="CJ630" s="206"/>
      <c r="CK630" s="206"/>
      <c r="CL630" s="206"/>
      <c r="CM630" s="206"/>
      <c r="CN630" s="206"/>
      <c r="CO630" s="206"/>
      <c r="CP630" s="206"/>
      <c r="CQ630" s="206"/>
      <c r="CR630" s="206"/>
    </row>
    <row r="631" spans="2:96" ht="45" x14ac:dyDescent="0.25">
      <c r="B631" s="341" t="s">
        <v>966</v>
      </c>
      <c r="C631" s="246">
        <f>_xlfn.XLOOKUP(FMS_Ranking4[[#This Row],[FMS ID]],FMS_Input[FMS_ID],FMS_Input[RFPG_NUM])</f>
        <v>9</v>
      </c>
      <c r="D631" s="309" t="str">
        <f>_xlfn.XLOOKUP(FMS_Ranking4[[#This Row],[FMS ID]],FMS_Input[FMS_ID],FMS_Input[FMS_NAME])</f>
        <v>Town of Meadow NFIP Application</v>
      </c>
      <c r="E631" s="308" t="str">
        <f>_xlfn.XLOOKUP(FMS_Ranking4[[#This Row],[FMS ID]],FMS_Input[FMS_ID],FMS_Input[SPONSOR])</f>
        <v>09003317</v>
      </c>
      <c r="F631" s="309" t="str">
        <f>_xlfn.XLOOKUP(FMS_Ranking4[[#This Row],[FMS ID]],Sponsor[FMS_ID],Sponsor[SPONSOR NAME])</f>
        <v>Meadow</v>
      </c>
      <c r="G631" s="309" t="str">
        <f>_xlfn.XLOOKUP(FMS_Ranking4[[#This Row],[FMS ID]],FMS_Input[FMS_ID],FMS_Input[FMS_DESCR])</f>
        <v>Application to join NFIP. Encourage adopting minimum FEMA Standards</v>
      </c>
      <c r="H631" s="248" t="str">
        <f>_xlfn.XLOOKUP(FMS_Ranking4[[#This Row],[FMS ID]],FMS_Input[FMS_ID],FMS_Input[FMS_TYPE])</f>
        <v>Other</v>
      </c>
      <c r="I631" s="249">
        <f>_xlfn.XLOOKUP(FMS_Ranking4[[#This Row],[FMS ID]],FMS_Input[FMS_ID],FMS_Input[NRNC_COST])</f>
        <v>5000</v>
      </c>
      <c r="J631" s="250">
        <f>_xlfn.XLOOKUP(FMS_Ranking4[[#This Row],[FMS ID]],FMS_Input[FMS_ID],FMS_Input[FMS_COST])</f>
        <v>30000</v>
      </c>
      <c r="K631" s="251" t="str">
        <f>_xlfn.XLOOKUP(FMS_Ranking4[[#This Row],[FMS ID]],FMS_Input[FMS_ID],FMS_Input[EMER_NEED])</f>
        <v>No</v>
      </c>
      <c r="L631" s="252">
        <f t="shared" si="9"/>
        <v>0</v>
      </c>
      <c r="M631" s="253">
        <f>_xlfn.XLOOKUP(FMS_Ranking4[[#This Row],[FMS ID]],FMS_Input[FMS_ID],FMS_Input[STRUCT_100])</f>
        <v>14</v>
      </c>
      <c r="N631" s="255">
        <f>(ASINH(FMS_Ranking4[[#This Row],[Structure at Risk Raw]]))*(10)/(ASINH(M$4))</f>
        <v>2.6206097166062134</v>
      </c>
      <c r="O631" s="256">
        <f>FMS_Ranking4[[#This Row],[Structures at risk, ArcSinh (0-10)]]*M$5*10</f>
        <v>2.6206097166062134</v>
      </c>
      <c r="P631" s="253">
        <f>_xlfn.XLOOKUP(FMS_Ranking4[[#This Row],[FMS ID]],FMS_Input[FMS_ID],FMS_Input[RES_STRUCT100])</f>
        <v>5</v>
      </c>
      <c r="Q631" s="257">
        <f>ASINH(FMS_Ranking4[[#This Row],[Res Structure Raw]])/Q$4*P$5*100</f>
        <v>0</v>
      </c>
      <c r="R631" s="253">
        <f>_xlfn.XLOOKUP(FMS_Ranking4[[#This Row],[FMS ID]],FMS_Input[FMS_ID],FMS_Input[POP100])</f>
        <v>9</v>
      </c>
      <c r="S631" s="259">
        <f>(ASINH(FMS_Ranking4[[#This Row],[Pop at Risk Raw]]))*(10)/(ASINH(R$4))</f>
        <v>1.9975128337800081</v>
      </c>
      <c r="T631" s="256">
        <f>FMS_Ranking4[[#This Row],[Population at risk, ArcSinh (0-10)]]*R$5*10</f>
        <v>1.9975128337800083</v>
      </c>
      <c r="U631" s="253">
        <f>_xlfn.XLOOKUP(FMS_Ranking4[[#This Row],[FMS ID]],FMS_Input[FMS_ID],FMS_Input[CRITFAC100])</f>
        <v>0</v>
      </c>
      <c r="V631" s="259">
        <f>(ASINH(FMS_Ranking4[[#This Row],[Critical Facilities Raw]]))*(10)/(ASINH(U$4))</f>
        <v>0</v>
      </c>
      <c r="W631" s="256">
        <f>FMS_Ranking4[[#This Row],[Critical facilities at risk, ArcSinh (0-10)]]*U$5*10</f>
        <v>0</v>
      </c>
      <c r="X631" s="253">
        <f>_xlfn.XLOOKUP(FMS_Ranking4[[#This Row],[FMS ID]],FMS_Input[FMS_ID],FMS_Input[LWC])</f>
        <v>0</v>
      </c>
      <c r="Y631" s="259">
        <f>(ASINH(FMS_Ranking4[[#This Row],[LWC Raw]]))*(10)/(ASINH(X$4))</f>
        <v>0</v>
      </c>
      <c r="Z631" s="256">
        <f>FMS_Ranking4[[#This Row],[LWC, ArcSInh (0-10)]]*X$5*10</f>
        <v>0</v>
      </c>
      <c r="AA631" s="253">
        <f>_xlfn.XLOOKUP(FMS_Ranking4[[#This Row],[FMS ID]],FMS_Input[FMS_ID],FMS_Input[ROADCLS])</f>
        <v>0</v>
      </c>
      <c r="AB631" s="255">
        <f>(ASINH(FMS_Ranking4[[#This Row],[Road Closures Raw]]))*(10)/(ASINH(AA$4))</f>
        <v>0</v>
      </c>
      <c r="AC631" s="256">
        <f>FMS_Ranking4[[#This Row],[Road closures, ArcSinh (0-10)]]*AA$5*10</f>
        <v>0</v>
      </c>
      <c r="AD631" s="253">
        <f>_xlfn.XLOOKUP(FMS_Ranking4[[#This Row],[FMS ID]],FMS_Input[FMS_ID],FMS_Input[ROAD_MILES100])</f>
        <v>2</v>
      </c>
      <c r="AE631" s="259">
        <f>(ASINH(FMS_Ranking4[[#This Row],[Road Miles Raw]]))*(10)/(ASINH(AD$4))</f>
        <v>1.5385182374234352</v>
      </c>
      <c r="AF631" s="256">
        <f>FMS_Ranking4[[#This Row],[Length of roads at risk, ArcSinh (0-10)]]*AD$5*10</f>
        <v>1.5385182374234352</v>
      </c>
      <c r="AG631" s="253">
        <f>_xlfn.XLOOKUP(FMS_Ranking4[[#This Row],[FMS ID]],FMS_Input[FMS_ID],FMS_Input[FARMACRE100])</f>
        <v>267.89047241210938</v>
      </c>
      <c r="AH631" s="255">
        <f>(ASINH(FMS_Ranking4[[#This Row],[Ag Land Raw]]))*(10)/(ASINH(AG$4))</f>
        <v>4.081793836094926</v>
      </c>
      <c r="AI631" s="260">
        <f>FMS_Ranking4[[#This Row],[Farm &amp; ranch land, ArcSinh (0-10)]]*AG$5*10</f>
        <v>2.040896918047463</v>
      </c>
      <c r="AJ631" s="258">
        <f>_xlfn.XLOOKUP(FMS_Ranking4[[#This Row],[FMS ID]],FMS_Input[FMS_ID],FMS_Input[REDSTRUCT100])</f>
        <v>4</v>
      </c>
      <c r="AK631" s="253">
        <f>_xlfn.XLOOKUP(FMS_Ranking4[[#This Row],[FMS ID]],FMS_Input[FMS_ID],FMS_Input[REMSTRC100])</f>
        <v>4</v>
      </c>
      <c r="AL631" s="259">
        <f>(ASINH(FMS_Ranking4[[#This Row],[Structures Removed Raw]]))*(10)/(ASINH(AK$4))</f>
        <v>2.3849797569578319</v>
      </c>
      <c r="AM631" s="262">
        <f>FMS_Ranking4[[#This Row],[Structures removed, ArcSinh (0-10)]]*AK$5*10</f>
        <v>2.3849797569578319</v>
      </c>
      <c r="AN631" s="253">
        <f>_xlfn.XLOOKUP(FMS_Ranking4[[#This Row],[FMS ID]],FMS_Input[FMS_ID],FMS_Input[REMRESSTRC100])</f>
        <v>1</v>
      </c>
      <c r="AO631" s="261">
        <f>FMS_Ranking4[[#This Row],[ArcSinh Res struct removed 0-10]]*AN$5*10</f>
        <v>0.51694893589195634</v>
      </c>
      <c r="AP631" s="260">
        <f>ASINH(FMS_Ranking4[[#This Row],[Residential Structures Removed Raw]])/AP$4*AN$5*100</f>
        <v>0.51694893589195634</v>
      </c>
      <c r="AQ631" s="254">
        <f>(ASINH(FMS_Ranking4[[#This Row],[Residential Structures Removed Raw]]))*(10)/(ASINH(AN$4))</f>
        <v>1.0338978717839127</v>
      </c>
      <c r="AR631" s="253">
        <f>_xlfn.XLOOKUP(FMS_Ranking4[[#This Row],[FMS ID]],FMS_Input[FMS_ID],FMS_Input[REMPOP100])</f>
        <v>3</v>
      </c>
      <c r="AS631" s="259">
        <f>(ASINH(FMS_Ranking4[[#This Row],[Removed Pop Raw]]))*(10)/(ASINH(AR$4))</f>
        <v>1.7850242185191216</v>
      </c>
      <c r="AT631" s="262">
        <f>FMS_Ranking4[[#This Row],[Removed population, ArcSinh (0-10)]]*AR$5*10</f>
        <v>1.7850242185191219</v>
      </c>
      <c r="AU631" s="264">
        <f>_xlfn.XLOOKUP(FMS_Ranking4[[#This Row],[FMS ID]],FMS_Input[FMS_ID],FMS_Input[REMCRITFAC100])</f>
        <v>0</v>
      </c>
      <c r="AV631" s="264">
        <f>_xlfn.XLOOKUP(FMS_Ranking4[[#This Row],[FMS ID]],FMS_Input[FMS_ID],FMS_Input[REMLWC100])</f>
        <v>0</v>
      </c>
      <c r="AW631" s="264">
        <f>_xlfn.XLOOKUP(FMS_Ranking4[[#This Row],[FMS ID]],FMS_Input[FMS_ID],FMS_Input[REMROADCLS])</f>
        <v>0</v>
      </c>
      <c r="AX631" s="264">
        <f>_xlfn.XLOOKUP(FMS_Ranking4[[#This Row],[FMS ID]],FMS_Input[FMS_ID],FMS_Input[REMFRMACRE100])</f>
        <v>66.972618103027344</v>
      </c>
      <c r="AY631" s="258">
        <f>_xlfn.XLOOKUP(FMS_Ranking4[[#This Row],[FMS ID]],FMS_Input[FMS_ID],FMS_Input[COSTSTRUCT])</f>
        <v>25000</v>
      </c>
      <c r="AZ631" s="253">
        <f>_xlfn.XLOOKUP(FMS_Ranking4[[#This Row],[FMS ID]],FMS_Input[FMS_ID],FMS_Input[NATURE])</f>
        <v>0</v>
      </c>
      <c r="BA631" s="262">
        <f>(((FMS_Ranking4[[#This Row],[% NBS Raw]]/AZ$4)*100)*AZ$5)</f>
        <v>0</v>
      </c>
      <c r="BB631" s="251" t="str">
        <f>_xlfn.XLOOKUP(FMS_Ranking4[[#This Row],[FMS ID]],FMS_Input[FMS_ID],FMS_Input[WATER_SUP])</f>
        <v>No</v>
      </c>
      <c r="BC631" s="265">
        <f>IF(FMS_Ranking4[[#This Row],[Water Supply Raw]]="Yes",10,0)</f>
        <v>0</v>
      </c>
      <c r="BD631" s="266">
        <f>_xlfn.XLOOKUP(FMS_Ranking4[[#This Row],[FMS Type]],FMS_TYPE[FMS_Type],FMS_TYPE[Score])</f>
        <v>2</v>
      </c>
      <c r="BE631" s="267">
        <f>FMS_Ranking4[[#This Row],[FMS_Type Score]]*$BD$5*10</f>
        <v>0.5</v>
      </c>
      <c r="BF63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4.8464012105208848E-3</v>
      </c>
      <c r="BG631" s="271">
        <f>_xlfn.RANK.EQ(BF631,$BF$8:$BF$870,0)+COUNTIF($BF$8:BF631,BF631)-1</f>
        <v>690</v>
      </c>
      <c r="BH631" s="268">
        <f>(((FMS_Ranking4[[#This Row],[Structures Removed Raw]]/AK$4)*100)*AK$5)+(((FMS_Ranking4[[#This Row],[Removed Pop Raw]]/AR$4)*100)*AR$5)</f>
        <v>1.4525042068869162E-2</v>
      </c>
      <c r="BI63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0.51937144327939</v>
      </c>
      <c r="BJ631" s="205">
        <f>_xlfn.RANK.EQ(FMS_Ranking4[[#This Row],[Total Score 
(with linear
normalization)]],FMS_Ranking4[Total Score 
(with linear
normalization)],0)</f>
        <v>840</v>
      </c>
      <c r="BK631" s="205" t="e">
        <f>_xlfn.XLOOKUP(FMS_Ranking4[[#This Row],[FMS ID]],#REF!,#REF!)</f>
        <v>#REF!</v>
      </c>
      <c r="BL63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12.884490617226032</v>
      </c>
      <c r="BM631" s="272">
        <f>FMS_Ranking4[[#This Row],[ArcSinh Score Based on Normalized Reported Factors]]+FMS_Ranking4[[#This Row],[% NBS Score (Normalized)]]+(FMS_Ranking4[[#This Row],[Water Supply Score (Normalized)]]*10*$BB$5)+FMS_Ranking4[[#This Row],[FMS_Type Score Weighted]]</f>
        <v>13.384490617226032</v>
      </c>
      <c r="BN631" s="205">
        <f>_xlfn.RANK.EQ(FMS_Ranking4[[#This Row],[Total Score (with ArcSinh normalization of select criteria)]],FMS_Ranking4[Total Score (with ArcSinh normalization of select criteria)],0)</f>
        <v>624</v>
      </c>
      <c r="BO631" s="270" t="str">
        <f>_xlfn.XLOOKUP(FMS_Ranking4[[#This Row],[FMS ID]],FMS_Input[FMS_ID],FMS_Input[FMS_RANK_YEAR])</f>
        <v>2023 Amended Plan</v>
      </c>
      <c r="BP631" s="204">
        <f>_xlfn.XLOOKUP(FMS_Ranking4[[#This Row],[FMS ID]],Prev_Rank[FMS ID],Prev_Rank[Prev Rank])</f>
        <v>560</v>
      </c>
      <c r="BQ631" s="205" t="e">
        <f>_xlfn.XLOOKUP(FMS_Ranking4[[#This Row],[FMS ID]],#REF!,#REF!)</f>
        <v>#REF!</v>
      </c>
      <c r="BR631" s="199" t="e">
        <f>SUM(#REF!,#REF!,#REF!,#REF!,#REF!,#REF!,#REF!,#REF!,#REF!,FMS_Ranking4[[#This Row],[ArcSinh Res struct removed 0-10]],#REF!)</f>
        <v>#REF!</v>
      </c>
      <c r="BS631" s="199" t="e">
        <f>FMS_Ranking4[[#This Row],[Log Score Based on Normalized Reported Factors]]+FMS_Ranking4[[#This Row],[% NBS Score (Normalized)]]+(FMS_Ranking4[[#This Row],[Water Supply Score (Normalized)]]*10*$BB$5)+(FMS_Ranking4[[#This Row],[FMS_Type Score Weighted]])</f>
        <v>#REF!</v>
      </c>
      <c r="BT631" s="200" t="e">
        <f>_xlfn.RANK.EQ(FMS_Ranking4[[#This Row],[Log Total Score]],FMS_Ranking4[Log Total Score],0)</f>
        <v>#REF!</v>
      </c>
      <c r="BU631" s="200" t="e">
        <f>_xlfn.XLOOKUP(FMS_Ranking4[[#This Row],[FMS ID]],#REF!,#REF!)</f>
        <v>#REF!</v>
      </c>
      <c r="BV631" s="200">
        <f>FMS_Ranking4[[#This Row],[Region Number]]</f>
        <v>9</v>
      </c>
      <c r="BW631" s="200">
        <f>FMS_Ranking4[[#This Row],[Rank (with ArcSinh normalization of select criteria)]]-FMS_Ranking4[[#This Row],[Rank
(with linear
normalization)]]</f>
        <v>-216</v>
      </c>
      <c r="BX631" s="200" t="e">
        <f>FMS_Ranking4[[#This Row],[Log Rank]]-FMS_Ranking4[[#This Row],[Rank
(with linear
normalization)]]</f>
        <v>#REF!</v>
      </c>
      <c r="BY631" s="200" t="str">
        <f>IF(FMS_Ranking4[[#This Row],[FMS Type]]="Flood Measurement and Warning",FMS_Ranking4[[#This Row],[Rank (with ArcSinh normalization of select criteria)]],"")</f>
        <v/>
      </c>
      <c r="BZ631" s="200" t="str">
        <f>IF(FMS_Ranking4[[#This Row],[FMS Type]]="Regulatory and Guidance",FMS_Ranking4[[#This Row],[Rank (with ArcSinh normalization of select criteria)]],"")</f>
        <v/>
      </c>
      <c r="CA631" s="200" t="str">
        <f>IF(FMS_Ranking4[[#This Row],[FMS Type]]="Education and Outreach",FMS_Ranking4[[#This Row],[Rank (with ArcSinh normalization of select criteria)]],"")</f>
        <v/>
      </c>
      <c r="CB631" s="200" t="str">
        <f>IF(FMS_Ranking4[[#This Row],[FMS Type]]="Property Acquisition and Structural Elevation",FMS_Ranking4[[#This Row],[Rank (with ArcSinh normalization of select criteria)]],"")</f>
        <v/>
      </c>
      <c r="CC631" s="200" t="str">
        <f>IF(FMS_Ranking4[[#This Row],[FMS Type]]="Infrastructure Projects",FMS_Ranking4[[#This Row],[Rank (with ArcSinh normalization of select criteria)]],"")</f>
        <v/>
      </c>
      <c r="CD631" s="200">
        <f>IF(FMS_Ranking4[[#This Row],[FMS Type]]="Other",FMS_Ranking4[[#This Row],[Rank (with ArcSinh normalization of select criteria)]],"")</f>
        <v>624</v>
      </c>
      <c r="CE631" s="201"/>
      <c r="CF631" s="206"/>
      <c r="CG631" s="206"/>
      <c r="CH631" s="206"/>
      <c r="CI631" s="206"/>
      <c r="CJ631" s="206"/>
      <c r="CK631" s="206"/>
      <c r="CL631" s="206"/>
      <c r="CM631" s="206"/>
      <c r="CN631" s="206"/>
      <c r="CO631" s="206"/>
      <c r="CP631" s="206"/>
      <c r="CQ631" s="206"/>
      <c r="CR631" s="206"/>
    </row>
    <row r="632" spans="2:96" ht="105" x14ac:dyDescent="0.25">
      <c r="B632" s="341" t="s">
        <v>11987</v>
      </c>
      <c r="C632" s="246">
        <f>_xlfn.XLOOKUP(FMS_Ranking4[[#This Row],[FMS ID]],FMS_Input[FMS_ID],FMS_Input[RFPG_NUM])</f>
        <v>15</v>
      </c>
      <c r="D632" s="309" t="str">
        <f>_xlfn.XLOOKUP(FMS_Ranking4[[#This Row],[FMS ID]],FMS_Input[FMS_ID],FMS_Input[FMS_NAME])</f>
        <v>City of La Grulla</v>
      </c>
      <c r="E632" s="308" t="str">
        <f>_xlfn.XLOOKUP(FMS_Ranking4[[#This Row],[FMS ID]],FMS_Input[FMS_ID],FMS_Input[SPONSOR])</f>
        <v>15000039</v>
      </c>
      <c r="F632" s="309" t="str">
        <f>_xlfn.XLOOKUP(FMS_Ranking4[[#This Row],[FMS ID]],Sponsor[FMS_ID],Sponsor[SPONSOR NAME])</f>
        <v>La Grulla</v>
      </c>
      <c r="G632" s="309" t="str">
        <f>_xlfn.XLOOKUP(FMS_Ranking4[[#This Row],[FMS ID]],FMS_Input[FMS_ID],FMS_Input[FMS_DESCR])</f>
        <v>FMS 2 - Assessment, development, and updating of the City's ordinances, orders, policies, engineering specifications, guidance documents and other flood management tools.</v>
      </c>
      <c r="H632" s="248" t="str">
        <f>_xlfn.XLOOKUP(FMS_Ranking4[[#This Row],[FMS ID]],FMS_Input[FMS_ID],FMS_Input[FMS_TYPE])</f>
        <v>Regulatory and Guidance</v>
      </c>
      <c r="I632" s="249">
        <f>_xlfn.XLOOKUP(FMS_Ranking4[[#This Row],[FMS ID]],FMS_Input[FMS_ID],FMS_Input[NRNC_COST])</f>
        <v>300000</v>
      </c>
      <c r="J632" s="250">
        <f>_xlfn.XLOOKUP(FMS_Ranking4[[#This Row],[FMS ID]],FMS_Input[FMS_ID],FMS_Input[FMS_COST])</f>
        <v>300000</v>
      </c>
      <c r="K632" s="251" t="str">
        <f>_xlfn.XLOOKUP(FMS_Ranking4[[#This Row],[FMS ID]],FMS_Input[FMS_ID],FMS_Input[EMER_NEED])</f>
        <v>Yes</v>
      </c>
      <c r="L632" s="252">
        <f t="shared" si="9"/>
        <v>1</v>
      </c>
      <c r="M632" s="253">
        <f>_xlfn.XLOOKUP(FMS_Ranking4[[#This Row],[FMS ID]],FMS_Input[FMS_ID],FMS_Input[STRUCT_100])</f>
        <v>32</v>
      </c>
      <c r="N632" s="255">
        <f>(ASINH(FMS_Ranking4[[#This Row],[Structure at Risk Raw]]))*(10)/(ASINH(M$4))</f>
        <v>3.2696931950246935</v>
      </c>
      <c r="O632" s="256">
        <f>FMS_Ranking4[[#This Row],[Structures at risk, ArcSinh (0-10)]]*M$5*10</f>
        <v>3.2696931950246939</v>
      </c>
      <c r="P632" s="253">
        <f>_xlfn.XLOOKUP(FMS_Ranking4[[#This Row],[FMS ID]],FMS_Input[FMS_ID],FMS_Input[RES_STRUCT100])</f>
        <v>16</v>
      </c>
      <c r="Q632" s="257">
        <f>ASINH(FMS_Ranking4[[#This Row],[Res Structure Raw]])/Q$4*P$5*100</f>
        <v>0</v>
      </c>
      <c r="R632" s="253">
        <f>_xlfn.XLOOKUP(FMS_Ranking4[[#This Row],[FMS ID]],FMS_Input[FMS_ID],FMS_Input[POP100])</f>
        <v>61</v>
      </c>
      <c r="S632" s="259">
        <f>(ASINH(FMS_Ranking4[[#This Row],[Pop at Risk Raw]]))*(10)/(ASINH(R$4))</f>
        <v>3.3165417852455668</v>
      </c>
      <c r="T632" s="256">
        <f>FMS_Ranking4[[#This Row],[Population at risk, ArcSinh (0-10)]]*R$5*10</f>
        <v>3.3165417852455672</v>
      </c>
      <c r="U632" s="253">
        <f>_xlfn.XLOOKUP(FMS_Ranking4[[#This Row],[FMS ID]],FMS_Input[FMS_ID],FMS_Input[CRITFAC100])</f>
        <v>1</v>
      </c>
      <c r="V632" s="259">
        <f>(ASINH(FMS_Ranking4[[#This Row],[Critical Facilities Raw]]))*(10)/(ASINH(U$4))</f>
        <v>1.0433384451410745</v>
      </c>
      <c r="W632" s="256">
        <f>FMS_Ranking4[[#This Row],[Critical facilities at risk, ArcSinh (0-10)]]*U$5*10</f>
        <v>1.0433384451410745</v>
      </c>
      <c r="X632" s="253">
        <f>_xlfn.XLOOKUP(FMS_Ranking4[[#This Row],[FMS ID]],FMS_Input[FMS_ID],FMS_Input[LWC])</f>
        <v>0</v>
      </c>
      <c r="Y632" s="259">
        <f>(ASINH(FMS_Ranking4[[#This Row],[LWC Raw]]))*(10)/(ASINH(X$4))</f>
        <v>0</v>
      </c>
      <c r="Z632" s="256">
        <f>FMS_Ranking4[[#This Row],[LWC, ArcSInh (0-10)]]*X$5*10</f>
        <v>0</v>
      </c>
      <c r="AA632" s="253">
        <f>_xlfn.XLOOKUP(FMS_Ranking4[[#This Row],[FMS ID]],FMS_Input[FMS_ID],FMS_Input[ROADCLS])</f>
        <v>106</v>
      </c>
      <c r="AB632" s="255">
        <f>(ASINH(FMS_Ranking4[[#This Row],[Road Closures Raw]]))*(10)/(ASINH(AA$4))</f>
        <v>5.5784161313565654</v>
      </c>
      <c r="AC632" s="256">
        <f>FMS_Ranking4[[#This Row],[Road closures, ArcSinh (0-10)]]*AA$5*10</f>
        <v>2.7892080656782832</v>
      </c>
      <c r="AD632" s="253">
        <f>_xlfn.XLOOKUP(FMS_Ranking4[[#This Row],[FMS ID]],FMS_Input[FMS_ID],FMS_Input[ROAD_MILES100])</f>
        <v>1</v>
      </c>
      <c r="AE632" s="259">
        <f>(ASINH(FMS_Ranking4[[#This Row],[Road Miles Raw]]))*(10)/(ASINH(AD$4))</f>
        <v>0.9393017565219649</v>
      </c>
      <c r="AF632" s="256">
        <f>FMS_Ranking4[[#This Row],[Length of roads at risk, ArcSinh (0-10)]]*AD$5*10</f>
        <v>0.93930175652196501</v>
      </c>
      <c r="AG632" s="253">
        <f>_xlfn.XLOOKUP(FMS_Ranking4[[#This Row],[FMS ID]],FMS_Input[FMS_ID],FMS_Input[FARMACRE100])</f>
        <v>3.8782302290201187E-2</v>
      </c>
      <c r="AH632" s="255">
        <f>(ASINH(FMS_Ranking4[[#This Row],[Ag Land Raw]]))*(10)/(ASINH(AG$4))</f>
        <v>2.518595403329936E-2</v>
      </c>
      <c r="AI632" s="260">
        <f>FMS_Ranking4[[#This Row],[Farm &amp; ranch land, ArcSinh (0-10)]]*AG$5*10</f>
        <v>1.259297701664968E-2</v>
      </c>
      <c r="AJ632" s="258">
        <f>_xlfn.XLOOKUP(FMS_Ranking4[[#This Row],[FMS ID]],FMS_Input[FMS_ID],FMS_Input[REDSTRUCT100])</f>
        <v>0</v>
      </c>
      <c r="AK632" s="253">
        <f>_xlfn.XLOOKUP(FMS_Ranking4[[#This Row],[FMS ID]],FMS_Input[FMS_ID],FMS_Input[REMSTRC100])</f>
        <v>0</v>
      </c>
      <c r="AL632" s="259">
        <f>(ASINH(FMS_Ranking4[[#This Row],[Structures Removed Raw]]))*(10)/(ASINH(AK$4))</f>
        <v>0</v>
      </c>
      <c r="AM632" s="262">
        <f>FMS_Ranking4[[#This Row],[Structures removed, ArcSinh (0-10)]]*AK$5*10</f>
        <v>0</v>
      </c>
      <c r="AN632" s="253">
        <f>_xlfn.XLOOKUP(FMS_Ranking4[[#This Row],[FMS ID]],FMS_Input[FMS_ID],FMS_Input[REMRESSTRC100])</f>
        <v>0</v>
      </c>
      <c r="AO632" s="261">
        <f>FMS_Ranking4[[#This Row],[ArcSinh Res struct removed 0-10]]*AN$5*10</f>
        <v>0</v>
      </c>
      <c r="AP632" s="260">
        <f>ASINH(FMS_Ranking4[[#This Row],[Residential Structures Removed Raw]])/AP$4*AN$5*100</f>
        <v>0</v>
      </c>
      <c r="AQ632" s="254">
        <f>(ASINH(FMS_Ranking4[[#This Row],[Residential Structures Removed Raw]]))*(10)/(ASINH(AN$4))</f>
        <v>0</v>
      </c>
      <c r="AR632" s="253">
        <f>_xlfn.XLOOKUP(FMS_Ranking4[[#This Row],[FMS ID]],FMS_Input[FMS_ID],FMS_Input[REMPOP100])</f>
        <v>0</v>
      </c>
      <c r="AS632" s="259">
        <f>(ASINH(FMS_Ranking4[[#This Row],[Removed Pop Raw]]))*(10)/(ASINH(AR$4))</f>
        <v>0</v>
      </c>
      <c r="AT632" s="262">
        <f>FMS_Ranking4[[#This Row],[Removed population, ArcSinh (0-10)]]*AR$5*10</f>
        <v>0</v>
      </c>
      <c r="AU632" s="264">
        <f>_xlfn.XLOOKUP(FMS_Ranking4[[#This Row],[FMS ID]],FMS_Input[FMS_ID],FMS_Input[REMCRITFAC100])</f>
        <v>0</v>
      </c>
      <c r="AV632" s="264">
        <f>_xlfn.XLOOKUP(FMS_Ranking4[[#This Row],[FMS ID]],FMS_Input[FMS_ID],FMS_Input[REMLWC100])</f>
        <v>0</v>
      </c>
      <c r="AW632" s="264">
        <f>_xlfn.XLOOKUP(FMS_Ranking4[[#This Row],[FMS ID]],FMS_Input[FMS_ID],FMS_Input[REMROADCLS])</f>
        <v>0</v>
      </c>
      <c r="AX632" s="264">
        <f>_xlfn.XLOOKUP(FMS_Ranking4[[#This Row],[FMS ID]],FMS_Input[FMS_ID],FMS_Input[REMFRMACRE100])</f>
        <v>0</v>
      </c>
      <c r="AY632" s="258">
        <f>_xlfn.XLOOKUP(FMS_Ranking4[[#This Row],[FMS ID]],FMS_Input[FMS_ID],FMS_Input[COSTSTRUCT])</f>
        <v>0</v>
      </c>
      <c r="AZ632" s="253">
        <f>_xlfn.XLOOKUP(FMS_Ranking4[[#This Row],[FMS ID]],FMS_Input[FMS_ID],FMS_Input[NATURE])</f>
        <v>0</v>
      </c>
      <c r="BA632" s="262">
        <f>(((FMS_Ranking4[[#This Row],[% NBS Raw]]/AZ$4)*100)*AZ$5)</f>
        <v>0</v>
      </c>
      <c r="BB632" s="251" t="str">
        <f>_xlfn.XLOOKUP(FMS_Ranking4[[#This Row],[FMS ID]],FMS_Input[FMS_ID],FMS_Input[WATER_SUP])</f>
        <v>No</v>
      </c>
      <c r="BC632" s="265">
        <f>IF(FMS_Ranking4[[#This Row],[Water Supply Raw]]="Yes",10,0)</f>
        <v>0</v>
      </c>
      <c r="BD632" s="266">
        <f>_xlfn.XLOOKUP(FMS_Ranking4[[#This Row],[FMS Type]],FMS_TYPE[FMS_Type],FMS_TYPE[Score])</f>
        <v>8</v>
      </c>
      <c r="BE632" s="267">
        <f>FMS_Ranking4[[#This Row],[FMS_Type Score]]*$BD$5*10</f>
        <v>2</v>
      </c>
      <c r="BF63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8.0130293379954518E-2</v>
      </c>
      <c r="BG632" s="271">
        <f>_xlfn.RANK.EQ(BF632,$BF$8:$BF$870,0)+COUNTIF($BF$8:BF632,BF632)-1</f>
        <v>508</v>
      </c>
      <c r="BH632" s="268">
        <f>(((FMS_Ranking4[[#This Row],[Structures Removed Raw]]/AK$4)*100)*AK$5)+(((FMS_Ranking4[[#This Row],[Removed Pop Raw]]/AR$4)*100)*AR$5)</f>
        <v>0</v>
      </c>
      <c r="BI63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2.0801302933799546</v>
      </c>
      <c r="BJ632" s="205">
        <f>_xlfn.RANK.EQ(FMS_Ranking4[[#This Row],[Total Score 
(with linear
normalization)]],FMS_Ranking4[Total Score 
(with linear
normalization)],0)</f>
        <v>372</v>
      </c>
      <c r="BK632" s="205" t="e">
        <f>_xlfn.XLOOKUP(FMS_Ranking4[[#This Row],[FMS ID]],#REF!,#REF!)</f>
        <v>#REF!</v>
      </c>
      <c r="BL63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11.370676224628234</v>
      </c>
      <c r="BM632" s="272">
        <f>FMS_Ranking4[[#This Row],[ArcSinh Score Based on Normalized Reported Factors]]+FMS_Ranking4[[#This Row],[% NBS Score (Normalized)]]+(FMS_Ranking4[[#This Row],[Water Supply Score (Normalized)]]*10*$BB$5)+FMS_Ranking4[[#This Row],[FMS_Type Score Weighted]]</f>
        <v>13.370676224628234</v>
      </c>
      <c r="BN632" s="205">
        <f>_xlfn.RANK.EQ(FMS_Ranking4[[#This Row],[Total Score (with ArcSinh normalization of select criteria)]],FMS_Ranking4[Total Score (with ArcSinh normalization of select criteria)],0)</f>
        <v>625</v>
      </c>
      <c r="BO632" s="270" t="str">
        <f>_xlfn.XLOOKUP(FMS_Ranking4[[#This Row],[FMS ID]],FMS_Input[FMS_ID],FMS_Input[FMS_RANK_YEAR])</f>
        <v>2025 Amended Plan</v>
      </c>
      <c r="BP632" s="204" t="e">
        <f>_xlfn.XLOOKUP(FMS_Ranking4[[#This Row],[FMS ID]],Prev_Rank[FMS ID],Prev_Rank[Prev Rank])</f>
        <v>#N/A</v>
      </c>
      <c r="BQ632" s="205" t="e">
        <f>_xlfn.XLOOKUP(FMS_Ranking4[[#This Row],[FMS ID]],#REF!,#REF!)</f>
        <v>#REF!</v>
      </c>
      <c r="BR632" s="199" t="e">
        <f>SUM(#REF!,#REF!,#REF!,#REF!,#REF!,#REF!,#REF!,#REF!,#REF!,FMS_Ranking4[[#This Row],[ArcSinh Res struct removed 0-10]],#REF!)</f>
        <v>#REF!</v>
      </c>
      <c r="BS632" s="199" t="e">
        <f>FMS_Ranking4[[#This Row],[Log Score Based on Normalized Reported Factors]]+FMS_Ranking4[[#This Row],[% NBS Score (Normalized)]]+(FMS_Ranking4[[#This Row],[Water Supply Score (Normalized)]]*10*$BB$5)+(FMS_Ranking4[[#This Row],[FMS_Type Score Weighted]])</f>
        <v>#REF!</v>
      </c>
      <c r="BT632" s="200" t="e">
        <f>_xlfn.RANK.EQ(FMS_Ranking4[[#This Row],[Log Total Score]],FMS_Ranking4[Log Total Score],0)</f>
        <v>#REF!</v>
      </c>
      <c r="BU632" s="200" t="e">
        <f>_xlfn.XLOOKUP(FMS_Ranking4[[#This Row],[FMS ID]],#REF!,#REF!)</f>
        <v>#REF!</v>
      </c>
      <c r="BV632" s="200">
        <f>FMS_Ranking4[[#This Row],[Region Number]]</f>
        <v>15</v>
      </c>
      <c r="BW632" s="200">
        <f>FMS_Ranking4[[#This Row],[Rank (with ArcSinh normalization of select criteria)]]-FMS_Ranking4[[#This Row],[Rank
(with linear
normalization)]]</f>
        <v>253</v>
      </c>
      <c r="BX632" s="200" t="e">
        <f>FMS_Ranking4[[#This Row],[Log Rank]]-FMS_Ranking4[[#This Row],[Rank
(with linear
normalization)]]</f>
        <v>#REF!</v>
      </c>
      <c r="BY632" s="200" t="str">
        <f>IF(FMS_Ranking4[[#This Row],[FMS Type]]="Flood Measurement and Warning",FMS_Ranking4[[#This Row],[Rank (with ArcSinh normalization of select criteria)]],"")</f>
        <v/>
      </c>
      <c r="BZ632" s="200">
        <f>IF(FMS_Ranking4[[#This Row],[FMS Type]]="Regulatory and Guidance",FMS_Ranking4[[#This Row],[Rank (with ArcSinh normalization of select criteria)]],"")</f>
        <v>625</v>
      </c>
      <c r="CA632" s="200" t="str">
        <f>IF(FMS_Ranking4[[#This Row],[FMS Type]]="Education and Outreach",FMS_Ranking4[[#This Row],[Rank (with ArcSinh normalization of select criteria)]],"")</f>
        <v/>
      </c>
      <c r="CB632" s="200" t="str">
        <f>IF(FMS_Ranking4[[#This Row],[FMS Type]]="Property Acquisition and Structural Elevation",FMS_Ranking4[[#This Row],[Rank (with ArcSinh normalization of select criteria)]],"")</f>
        <v/>
      </c>
      <c r="CC632" s="200" t="str">
        <f>IF(FMS_Ranking4[[#This Row],[FMS Type]]="Infrastructure Projects",FMS_Ranking4[[#This Row],[Rank (with ArcSinh normalization of select criteria)]],"")</f>
        <v/>
      </c>
      <c r="CD632" s="200" t="str">
        <f>IF(FMS_Ranking4[[#This Row],[FMS Type]]="Other",FMS_Ranking4[[#This Row],[Rank (with ArcSinh normalization of select criteria)]],"")</f>
        <v/>
      </c>
      <c r="CE632" s="201"/>
      <c r="CF632" s="206"/>
      <c r="CG632" s="206"/>
      <c r="CH632" s="206"/>
      <c r="CI632" s="206"/>
      <c r="CJ632" s="206"/>
      <c r="CK632" s="206"/>
      <c r="CL632" s="206"/>
      <c r="CM632" s="206"/>
      <c r="CN632" s="206"/>
      <c r="CO632" s="206"/>
      <c r="CP632" s="206"/>
      <c r="CQ632" s="206"/>
      <c r="CR632" s="206"/>
    </row>
    <row r="633" spans="2:96" ht="105" x14ac:dyDescent="0.25">
      <c r="B633" s="341" t="s">
        <v>4607</v>
      </c>
      <c r="C633" s="246">
        <f>_xlfn.XLOOKUP(FMS_Ranking4[[#This Row],[FMS ID]],FMS_Input[FMS_ID],FMS_Input[RFPG_NUM])</f>
        <v>6</v>
      </c>
      <c r="D633" s="309" t="str">
        <f>_xlfn.XLOOKUP(FMS_Ranking4[[#This Row],[FMS ID]],FMS_Input[FMS_ID],FMS_Input[FMS_NAME])</f>
        <v>Warren Ranch Preservation</v>
      </c>
      <c r="E633" s="308" t="str">
        <f>_xlfn.XLOOKUP(FMS_Ranking4[[#This Row],[FMS ID]],FMS_Input[FMS_ID],FMS_Input[SPONSOR])</f>
        <v>00004002</v>
      </c>
      <c r="F633" s="309" t="str">
        <f>_xlfn.XLOOKUP(FMS_Ranking4[[#This Row],[FMS ID]],Sponsor[FMS_ID],Sponsor[SPONSOR NAME])</f>
        <v>Coastal Prairie Conservancy</v>
      </c>
      <c r="G633" s="309" t="str">
        <f>_xlfn.XLOOKUP(FMS_Ranking4[[#This Row],[FMS ID]],FMS_Input[FMS_ID],FMS_Input[FMS_DESCR])</f>
        <v>Acquisition of remaining private interest stake in the 6,004-acre Warren Ranch for floodplain preservation and conservation. Place a conservation easement on the Ranch to conserve ag and natural habitat.</v>
      </c>
      <c r="H633" s="248" t="str">
        <f>_xlfn.XLOOKUP(FMS_Ranking4[[#This Row],[FMS ID]],FMS_Input[FMS_ID],FMS_Input[FMS_TYPE])</f>
        <v>Property Acquisition and Structural Elevation</v>
      </c>
      <c r="I633" s="249">
        <f>_xlfn.XLOOKUP(FMS_Ranking4[[#This Row],[FMS ID]],FMS_Input[FMS_ID],FMS_Input[NRNC_COST])</f>
        <v>5000000</v>
      </c>
      <c r="J633" s="250">
        <f>_xlfn.XLOOKUP(FMS_Ranking4[[#This Row],[FMS ID]],FMS_Input[FMS_ID],FMS_Input[FMS_COST])</f>
        <v>50000000</v>
      </c>
      <c r="K633" s="251" t="str">
        <f>_xlfn.XLOOKUP(FMS_Ranking4[[#This Row],[FMS ID]],FMS_Input[FMS_ID],FMS_Input[EMER_NEED])</f>
        <v>No</v>
      </c>
      <c r="L633" s="252">
        <f t="shared" si="9"/>
        <v>0</v>
      </c>
      <c r="M633" s="253">
        <f>_xlfn.XLOOKUP(FMS_Ranking4[[#This Row],[FMS ID]],FMS_Input[FMS_ID],FMS_Input[STRUCT_100])</f>
        <v>0</v>
      </c>
      <c r="N633" s="255">
        <f>(ASINH(FMS_Ranking4[[#This Row],[Structure at Risk Raw]]))*(10)/(ASINH(M$4))</f>
        <v>0</v>
      </c>
      <c r="O633" s="256">
        <f>FMS_Ranking4[[#This Row],[Structures at risk, ArcSinh (0-10)]]*M$5*10</f>
        <v>0</v>
      </c>
      <c r="P633" s="253">
        <f>_xlfn.XLOOKUP(FMS_Ranking4[[#This Row],[FMS ID]],FMS_Input[FMS_ID],FMS_Input[RES_STRUCT100])</f>
        <v>0</v>
      </c>
      <c r="Q633" s="257">
        <f>ASINH(FMS_Ranking4[[#This Row],[Res Structure Raw]])/Q$4*P$5*100</f>
        <v>0</v>
      </c>
      <c r="R633" s="253">
        <f>_xlfn.XLOOKUP(FMS_Ranking4[[#This Row],[FMS ID]],FMS_Input[FMS_ID],FMS_Input[POP100])</f>
        <v>0</v>
      </c>
      <c r="S633" s="255">
        <f>(ASINH(FMS_Ranking4[[#This Row],[Pop at Risk Raw]]))*(10)/(ASINH(R$4))</f>
        <v>0</v>
      </c>
      <c r="T633" s="256">
        <f>FMS_Ranking4[[#This Row],[Population at risk, ArcSinh (0-10)]]*R$5*10</f>
        <v>0</v>
      </c>
      <c r="U633" s="253">
        <f>_xlfn.XLOOKUP(FMS_Ranking4[[#This Row],[FMS ID]],FMS_Input[FMS_ID],FMS_Input[CRITFAC100])</f>
        <v>0</v>
      </c>
      <c r="V633" s="255">
        <f>(ASINH(FMS_Ranking4[[#This Row],[Critical Facilities Raw]]))*(10)/(ASINH(U$4))</f>
        <v>0</v>
      </c>
      <c r="W633" s="256">
        <f>FMS_Ranking4[[#This Row],[Critical facilities at risk, ArcSinh (0-10)]]*U$5*10</f>
        <v>0</v>
      </c>
      <c r="X633" s="253">
        <f>_xlfn.XLOOKUP(FMS_Ranking4[[#This Row],[FMS ID]],FMS_Input[FMS_ID],FMS_Input[LWC])</f>
        <v>2</v>
      </c>
      <c r="Y633" s="255">
        <f>(ASINH(FMS_Ranking4[[#This Row],[LWC Raw]]))*(10)/(ASINH(X$4))</f>
        <v>1.9557475158633808</v>
      </c>
      <c r="Z633" s="256">
        <f>FMS_Ranking4[[#This Row],[LWC, ArcSInh (0-10)]]*X$5*10</f>
        <v>1.9557475158633808</v>
      </c>
      <c r="AA633" s="253">
        <f>_xlfn.XLOOKUP(FMS_Ranking4[[#This Row],[FMS ID]],FMS_Input[FMS_ID],FMS_Input[ROADCLS])</f>
        <v>2</v>
      </c>
      <c r="AB633" s="255">
        <f>(ASINH(FMS_Ranking4[[#This Row],[Road Closures Raw]]))*(10)/(ASINH(AA$4))</f>
        <v>1.5034138460359754</v>
      </c>
      <c r="AC633" s="256">
        <f>FMS_Ranking4[[#This Row],[Road closures, ArcSinh (0-10)]]*AA$5*10</f>
        <v>0.7517069230179878</v>
      </c>
      <c r="AD633" s="253">
        <f>_xlfn.XLOOKUP(FMS_Ranking4[[#This Row],[FMS ID]],FMS_Input[FMS_ID],FMS_Input[ROAD_MILES100])</f>
        <v>0</v>
      </c>
      <c r="AE633" s="255">
        <f>(ASINH(FMS_Ranking4[[#This Row],[Road Miles Raw]]))*(10)/(ASINH(AD$4))</f>
        <v>0</v>
      </c>
      <c r="AF633" s="256">
        <f>FMS_Ranking4[[#This Row],[Length of roads at risk, ArcSinh (0-10)]]*AD$5*10</f>
        <v>0</v>
      </c>
      <c r="AG633" s="253">
        <f>_xlfn.XLOOKUP(FMS_Ranking4[[#This Row],[FMS ID]],FMS_Input[FMS_ID],FMS_Input[FARMACRE100])</f>
        <v>239.59901428222659</v>
      </c>
      <c r="AH633" s="255">
        <f>(ASINH(FMS_Ranking4[[#This Row],[Ag Land Raw]]))*(10)/(ASINH(AG$4))</f>
        <v>4.0092936660269531</v>
      </c>
      <c r="AI633" s="260">
        <f>FMS_Ranking4[[#This Row],[Farm &amp; ranch land, ArcSinh (0-10)]]*AG$5*10</f>
        <v>2.0046468330134766</v>
      </c>
      <c r="AJ633" s="258">
        <f>_xlfn.XLOOKUP(FMS_Ranking4[[#This Row],[FMS ID]],FMS_Input[FMS_ID],FMS_Input[REDSTRUCT100])</f>
        <v>0</v>
      </c>
      <c r="AK633" s="253">
        <f>_xlfn.XLOOKUP(FMS_Ranking4[[#This Row],[FMS ID]],FMS_Input[FMS_ID],FMS_Input[REMSTRC100])</f>
        <v>0</v>
      </c>
      <c r="AL633" s="255">
        <f>(ASINH(FMS_Ranking4[[#This Row],[Structures Removed Raw]]))*(10)/(ASINH(AK$4))</f>
        <v>0</v>
      </c>
      <c r="AM633" s="262">
        <f>FMS_Ranking4[[#This Row],[Structures removed, ArcSinh (0-10)]]*AK$5*10</f>
        <v>0</v>
      </c>
      <c r="AN633" s="253">
        <f>_xlfn.XLOOKUP(FMS_Ranking4[[#This Row],[FMS ID]],FMS_Input[FMS_ID],FMS_Input[REMRESSTRC100])</f>
        <v>0</v>
      </c>
      <c r="AO633" s="261">
        <f>FMS_Ranking4[[#This Row],[ArcSinh Res struct removed 0-10]]*AN$5*10</f>
        <v>0</v>
      </c>
      <c r="AP633" s="260">
        <f>ASINH(FMS_Ranking4[[#This Row],[Residential Structures Removed Raw]])/AP$4*AN$5*100</f>
        <v>0</v>
      </c>
      <c r="AQ633" s="258">
        <f>(ASINH(FMS_Ranking4[[#This Row],[Residential Structures Removed Raw]]))*(10)/(ASINH(AN$4))</f>
        <v>0</v>
      </c>
      <c r="AR633" s="253">
        <f>_xlfn.XLOOKUP(FMS_Ranking4[[#This Row],[FMS ID]],FMS_Input[FMS_ID],FMS_Input[REMPOP100])</f>
        <v>0</v>
      </c>
      <c r="AS633" s="255">
        <f>(ASINH(FMS_Ranking4[[#This Row],[Removed Pop Raw]]))*(10)/(ASINH(AR$4))</f>
        <v>0</v>
      </c>
      <c r="AT633" s="262">
        <f>FMS_Ranking4[[#This Row],[Removed population, ArcSinh (0-10)]]*AR$5*10</f>
        <v>0</v>
      </c>
      <c r="AU633" s="264">
        <f>_xlfn.XLOOKUP(FMS_Ranking4[[#This Row],[FMS ID]],FMS_Input[FMS_ID],FMS_Input[REMCRITFAC100])</f>
        <v>0</v>
      </c>
      <c r="AV633" s="264">
        <f>_xlfn.XLOOKUP(FMS_Ranking4[[#This Row],[FMS ID]],FMS_Input[FMS_ID],FMS_Input[REMLWC100])</f>
        <v>0</v>
      </c>
      <c r="AW633" s="264">
        <f>_xlfn.XLOOKUP(FMS_Ranking4[[#This Row],[FMS ID]],FMS_Input[FMS_ID],FMS_Input[REMROADCLS])</f>
        <v>0</v>
      </c>
      <c r="AX633" s="264">
        <f>_xlfn.XLOOKUP(FMS_Ranking4[[#This Row],[FMS ID]],FMS_Input[FMS_ID],FMS_Input[REMFRMACRE100])</f>
        <v>0</v>
      </c>
      <c r="AY633" s="258">
        <f>_xlfn.XLOOKUP(FMS_Ranking4[[#This Row],[FMS ID]],FMS_Input[FMS_ID],FMS_Input[COSTSTRUCT])</f>
        <v>0</v>
      </c>
      <c r="AZ633" s="253">
        <f>_xlfn.XLOOKUP(FMS_Ranking4[[#This Row],[FMS ID]],FMS_Input[FMS_ID],FMS_Input[NATURE])</f>
        <v>100</v>
      </c>
      <c r="BA633" s="262">
        <f>(((FMS_Ranking4[[#This Row],[% NBS Raw]]/AZ$4)*100)*AZ$5)</f>
        <v>7.5</v>
      </c>
      <c r="BB633" s="251" t="str">
        <f>_xlfn.XLOOKUP(FMS_Ranking4[[#This Row],[FMS ID]],FMS_Input[FMS_ID],FMS_Input[WATER_SUP])</f>
        <v>No</v>
      </c>
      <c r="BC633" s="265">
        <f>IF(FMS_Ranking4[[#This Row],[Water Supply Raw]]="Yes",10,0)</f>
        <v>0</v>
      </c>
      <c r="BD633" s="266">
        <f>_xlfn.XLOOKUP(FMS_Ranking4[[#This Row],[FMS Type]],FMS_TYPE[FMS_Type],FMS_TYPE[Score])</f>
        <v>4</v>
      </c>
      <c r="BE633" s="267">
        <f>FMS_Ranking4[[#This Row],[FMS_Type Score]]*$BD$5*10</f>
        <v>1</v>
      </c>
      <c r="BF63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2.6751951139573737E-2</v>
      </c>
      <c r="BG633" s="269">
        <f>_xlfn.RANK.EQ(BF633,$BF$8:$BF$870,0)+COUNTIF($BF$8:BF633,BF633)-1</f>
        <v>616</v>
      </c>
      <c r="BH633" s="268">
        <f>(((FMS_Ranking4[[#This Row],[Structures Removed Raw]]/AK$4)*100)*AK$5)+(((FMS_Ranking4[[#This Row],[Removed Pop Raw]]/AR$4)*100)*AR$5)</f>
        <v>0</v>
      </c>
      <c r="BI63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8.5267519511395733</v>
      </c>
      <c r="BJ633" s="251">
        <f>_xlfn.RANK.EQ(FMS_Ranking4[[#This Row],[Total Score 
(with linear
normalization)]],FMS_Ranking4[Total Score 
(with linear
normalization)],0)</f>
        <v>79</v>
      </c>
      <c r="BK633" s="251" t="e">
        <f>_xlfn.XLOOKUP(FMS_Ranking4[[#This Row],[FMS ID]],#REF!,#REF!)</f>
        <v>#REF!</v>
      </c>
      <c r="BL63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4.712101271894845</v>
      </c>
      <c r="BM633" s="324">
        <f>FMS_Ranking4[[#This Row],[ArcSinh Score Based on Normalized Reported Factors]]+FMS_Ranking4[[#This Row],[% NBS Score (Normalized)]]+(FMS_Ranking4[[#This Row],[Water Supply Score (Normalized)]]*10*$BB$5)+FMS_Ranking4[[#This Row],[FMS_Type Score Weighted]]</f>
        <v>13.212101271894845</v>
      </c>
      <c r="BN633" s="251">
        <f>_xlfn.RANK.EQ(FMS_Ranking4[[#This Row],[Total Score (with ArcSinh normalization of select criteria)]],FMS_Ranking4[Total Score (with ArcSinh normalization of select criteria)],0)</f>
        <v>626</v>
      </c>
      <c r="BO633" s="270" t="str">
        <f>_xlfn.XLOOKUP(FMS_Ranking4[[#This Row],[FMS ID]],FMS_Input[FMS_ID],FMS_Input[FMS_RANK_YEAR])</f>
        <v>2023 Amended Plan</v>
      </c>
      <c r="BP633" s="204">
        <f>_xlfn.XLOOKUP(FMS_Ranking4[[#This Row],[FMS ID]],Prev_Rank[FMS ID],Prev_Rank[Prev Rank])</f>
        <v>558</v>
      </c>
      <c r="BQ633" s="251" t="e">
        <f>_xlfn.XLOOKUP(FMS_Ranking4[[#This Row],[FMS ID]],#REF!,#REF!)</f>
        <v>#REF!</v>
      </c>
      <c r="BR633" s="199" t="e">
        <f>SUM(#REF!,#REF!,#REF!,#REF!,#REF!,#REF!,#REF!,#REF!,#REF!,FMS_Ranking4[[#This Row],[ArcSinh Res struct removed 0-10]],#REF!)</f>
        <v>#REF!</v>
      </c>
      <c r="BS633" s="199" t="e">
        <f>FMS_Ranking4[[#This Row],[Log Score Based on Normalized Reported Factors]]+FMS_Ranking4[[#This Row],[% NBS Score (Normalized)]]+(FMS_Ranking4[[#This Row],[Water Supply Score (Normalized)]]*10*$BB$5)+(FMS_Ranking4[[#This Row],[FMS_Type Score Weighted]])</f>
        <v>#REF!</v>
      </c>
      <c r="BT633" s="200" t="e">
        <f>_xlfn.RANK.EQ(FMS_Ranking4[[#This Row],[Log Total Score]],FMS_Ranking4[Log Total Score],0)</f>
        <v>#REF!</v>
      </c>
      <c r="BU633" s="200" t="e">
        <f>_xlfn.XLOOKUP(FMS_Ranking4[[#This Row],[FMS ID]],#REF!,#REF!)</f>
        <v>#REF!</v>
      </c>
      <c r="BV633" s="200">
        <f>FMS_Ranking4[[#This Row],[Region Number]]</f>
        <v>6</v>
      </c>
      <c r="BW633" s="200">
        <f>FMS_Ranking4[[#This Row],[Rank (with ArcSinh normalization of select criteria)]]-FMS_Ranking4[[#This Row],[Rank
(with linear
normalization)]]</f>
        <v>547</v>
      </c>
      <c r="BX633" s="200" t="e">
        <f>FMS_Ranking4[[#This Row],[Log Rank]]-FMS_Ranking4[[#This Row],[Rank
(with linear
normalization)]]</f>
        <v>#REF!</v>
      </c>
      <c r="BY633" s="200" t="str">
        <f>IF(FMS_Ranking4[[#This Row],[FMS Type]]="Flood Measurement and Warning",FMS_Ranking4[[#This Row],[Rank (with ArcSinh normalization of select criteria)]],"")</f>
        <v/>
      </c>
      <c r="BZ633" s="200" t="str">
        <f>IF(FMS_Ranking4[[#This Row],[FMS Type]]="Regulatory and Guidance",FMS_Ranking4[[#This Row],[Rank (with ArcSinh normalization of select criteria)]],"")</f>
        <v/>
      </c>
      <c r="CA633" s="200" t="str">
        <f>IF(FMS_Ranking4[[#This Row],[FMS Type]]="Education and Outreach",FMS_Ranking4[[#This Row],[Rank (with ArcSinh normalization of select criteria)]],"")</f>
        <v/>
      </c>
      <c r="CB633" s="200">
        <f>IF(FMS_Ranking4[[#This Row],[FMS Type]]="Property Acquisition and Structural Elevation",FMS_Ranking4[[#This Row],[Rank (with ArcSinh normalization of select criteria)]],"")</f>
        <v>626</v>
      </c>
      <c r="CC633" s="200" t="str">
        <f>IF(FMS_Ranking4[[#This Row],[FMS Type]]="Infrastructure Projects",FMS_Ranking4[[#This Row],[Rank (with ArcSinh normalization of select criteria)]],"")</f>
        <v/>
      </c>
      <c r="CD633" s="200" t="str">
        <f>IF(FMS_Ranking4[[#This Row],[FMS Type]]="Other",FMS_Ranking4[[#This Row],[Rank (with ArcSinh normalization of select criteria)]],"")</f>
        <v/>
      </c>
      <c r="CE633" s="201"/>
      <c r="CF633" s="206"/>
      <c r="CG633" s="206"/>
      <c r="CH633" s="206"/>
      <c r="CI633" s="206"/>
      <c r="CJ633" s="206"/>
      <c r="CK633" s="206"/>
      <c r="CL633" s="206"/>
      <c r="CM633" s="206"/>
      <c r="CN633" s="206"/>
      <c r="CO633" s="206"/>
      <c r="CP633" s="206"/>
      <c r="CQ633" s="206"/>
      <c r="CR633" s="206"/>
    </row>
    <row r="634" spans="2:96" ht="75" x14ac:dyDescent="0.25">
      <c r="B634" s="341" t="s">
        <v>3218</v>
      </c>
      <c r="C634" s="246">
        <f>_xlfn.XLOOKUP(FMS_Ranking4[[#This Row],[FMS ID]],FMS_Input[FMS_ID],FMS_Input[RFPG_NUM])</f>
        <v>7</v>
      </c>
      <c r="D634" s="309" t="str">
        <f>_xlfn.XLOOKUP(FMS_Ranking4[[#This Row],[FMS ID]],FMS_Input[FMS_ID],FMS_Input[FMS_NAME])</f>
        <v>City of Anson NFIP Cross Train Program</v>
      </c>
      <c r="E634" s="308" t="str">
        <f>_xlfn.XLOOKUP(FMS_Ranking4[[#This Row],[FMS ID]],FMS_Input[FMS_ID],FMS_Input[SPONSOR])</f>
        <v>07002478</v>
      </c>
      <c r="F634" s="309" t="str">
        <f>_xlfn.XLOOKUP(FMS_Ranking4[[#This Row],[FMS ID]],Sponsor[FMS_ID],Sponsor[SPONSOR NAME])</f>
        <v>Anson</v>
      </c>
      <c r="G634" s="309" t="str">
        <f>_xlfn.XLOOKUP(FMS_Ranking4[[#This Row],[FMS ID]],FMS_Input[FMS_ID],FMS_Input[FMS_DESCR])</f>
        <v>Cross-train Code Officers and Building Inspectors regarding permitting, inspection, and record-keeping requirements of the NFIP Program.</v>
      </c>
      <c r="H634" s="248" t="str">
        <f>_xlfn.XLOOKUP(FMS_Ranking4[[#This Row],[FMS ID]],FMS_Input[FMS_ID],FMS_Input[FMS_TYPE])</f>
        <v>Regulatory and Guidance</v>
      </c>
      <c r="I634" s="249">
        <f>_xlfn.XLOOKUP(FMS_Ranking4[[#This Row],[FMS ID]],FMS_Input[FMS_ID],FMS_Input[NRNC_COST])</f>
        <v>25000</v>
      </c>
      <c r="J634" s="250">
        <f>_xlfn.XLOOKUP(FMS_Ranking4[[#This Row],[FMS ID]],FMS_Input[FMS_ID],FMS_Input[FMS_COST])</f>
        <v>25000</v>
      </c>
      <c r="K634" s="251" t="str">
        <f>_xlfn.XLOOKUP(FMS_Ranking4[[#This Row],[FMS ID]],FMS_Input[FMS_ID],FMS_Input[EMER_NEED])</f>
        <v>No</v>
      </c>
      <c r="L634" s="252">
        <f t="shared" si="9"/>
        <v>0</v>
      </c>
      <c r="M634" s="253">
        <f>_xlfn.XLOOKUP(FMS_Ranking4[[#This Row],[FMS ID]],FMS_Input[FMS_ID],FMS_Input[STRUCT_100])</f>
        <v>53</v>
      </c>
      <c r="N634" s="255">
        <f>(ASINH(FMS_Ranking4[[#This Row],[Structure at Risk Raw]]))*(10)/(ASINH(M$4))</f>
        <v>3.6662274416120577</v>
      </c>
      <c r="O634" s="256">
        <f>FMS_Ranking4[[#This Row],[Structures at risk, ArcSinh (0-10)]]*M$5*10</f>
        <v>3.6662274416120577</v>
      </c>
      <c r="P634" s="253">
        <f>_xlfn.XLOOKUP(FMS_Ranking4[[#This Row],[FMS ID]],FMS_Input[FMS_ID],FMS_Input[RES_STRUCT100])</f>
        <v>26</v>
      </c>
      <c r="Q634" s="257">
        <f>ASINH(FMS_Ranking4[[#This Row],[Res Structure Raw]])/Q$4*P$5*100</f>
        <v>0</v>
      </c>
      <c r="R634" s="253">
        <f>_xlfn.XLOOKUP(FMS_Ranking4[[#This Row],[FMS ID]],FMS_Input[FMS_ID],FMS_Input[POP100])</f>
        <v>349</v>
      </c>
      <c r="S634" s="259">
        <f>(ASINH(FMS_Ranking4[[#This Row],[Pop at Risk Raw]]))*(10)/(ASINH(R$4))</f>
        <v>4.5206182873816951</v>
      </c>
      <c r="T634" s="256">
        <f>FMS_Ranking4[[#This Row],[Population at risk, ArcSinh (0-10)]]*R$5*10</f>
        <v>4.5206182873816951</v>
      </c>
      <c r="U634" s="253">
        <f>_xlfn.XLOOKUP(FMS_Ranking4[[#This Row],[FMS ID]],FMS_Input[FMS_ID],FMS_Input[CRITFAC100])</f>
        <v>0</v>
      </c>
      <c r="V634" s="259">
        <f>(ASINH(FMS_Ranking4[[#This Row],[Critical Facilities Raw]]))*(10)/(ASINH(U$4))</f>
        <v>0</v>
      </c>
      <c r="W634" s="256">
        <f>FMS_Ranking4[[#This Row],[Critical facilities at risk, ArcSinh (0-10)]]*U$5*10</f>
        <v>0</v>
      </c>
      <c r="X634" s="253">
        <f>_xlfn.XLOOKUP(FMS_Ranking4[[#This Row],[FMS ID]],FMS_Input[FMS_ID],FMS_Input[LWC])</f>
        <v>0</v>
      </c>
      <c r="Y634" s="259">
        <f>(ASINH(FMS_Ranking4[[#This Row],[LWC Raw]]))*(10)/(ASINH(X$4))</f>
        <v>0</v>
      </c>
      <c r="Z634" s="256">
        <f>FMS_Ranking4[[#This Row],[LWC, ArcSInh (0-10)]]*X$5*10</f>
        <v>0</v>
      </c>
      <c r="AA634" s="253">
        <f>_xlfn.XLOOKUP(FMS_Ranking4[[#This Row],[FMS ID]],FMS_Input[FMS_ID],FMS_Input[ROADCLS])</f>
        <v>0</v>
      </c>
      <c r="AB634" s="255">
        <f>(ASINH(FMS_Ranking4[[#This Row],[Road Closures Raw]]))*(10)/(ASINH(AA$4))</f>
        <v>0</v>
      </c>
      <c r="AC634" s="256">
        <f>FMS_Ranking4[[#This Row],[Road closures, ArcSinh (0-10)]]*AA$5*10</f>
        <v>0</v>
      </c>
      <c r="AD634" s="253">
        <f>_xlfn.XLOOKUP(FMS_Ranking4[[#This Row],[FMS ID]],FMS_Input[FMS_ID],FMS_Input[ROAD_MILES100])</f>
        <v>3</v>
      </c>
      <c r="AE634" s="259">
        <f>(ASINH(FMS_Ranking4[[#This Row],[Road Miles Raw]]))*(10)/(ASINH(AD$4))</f>
        <v>1.937963626835977</v>
      </c>
      <c r="AF634" s="256">
        <f>FMS_Ranking4[[#This Row],[Length of roads at risk, ArcSinh (0-10)]]*AD$5*10</f>
        <v>1.937963626835977</v>
      </c>
      <c r="AG634" s="253">
        <f>_xlfn.XLOOKUP(FMS_Ranking4[[#This Row],[FMS ID]],FMS_Input[FMS_ID],FMS_Input[FARMACRE100])</f>
        <v>11.92022132873535</v>
      </c>
      <c r="AH634" s="255">
        <f>(ASINH(FMS_Ranking4[[#This Row],[Ag Land Raw]]))*(10)/(ASINH(AG$4))</f>
        <v>2.0612117821198912</v>
      </c>
      <c r="AI634" s="260">
        <f>FMS_Ranking4[[#This Row],[Farm &amp; ranch land, ArcSinh (0-10)]]*AG$5*10</f>
        <v>1.0306058910599456</v>
      </c>
      <c r="AJ634" s="258">
        <f>_xlfn.XLOOKUP(FMS_Ranking4[[#This Row],[FMS ID]],FMS_Input[FMS_ID],FMS_Input[REDSTRUCT100])</f>
        <v>0</v>
      </c>
      <c r="AK634" s="253">
        <f>_xlfn.XLOOKUP(FMS_Ranking4[[#This Row],[FMS ID]],FMS_Input[FMS_ID],FMS_Input[REMSTRC100])</f>
        <v>0</v>
      </c>
      <c r="AL634" s="259">
        <f>(ASINH(FMS_Ranking4[[#This Row],[Structures Removed Raw]]))*(10)/(ASINH(AK$4))</f>
        <v>0</v>
      </c>
      <c r="AM634" s="262">
        <f>FMS_Ranking4[[#This Row],[Structures removed, ArcSinh (0-10)]]*AK$5*10</f>
        <v>0</v>
      </c>
      <c r="AN634" s="253">
        <f>_xlfn.XLOOKUP(FMS_Ranking4[[#This Row],[FMS ID]],FMS_Input[FMS_ID],FMS_Input[REMRESSTRC100])</f>
        <v>0</v>
      </c>
      <c r="AO634" s="261">
        <f>FMS_Ranking4[[#This Row],[ArcSinh Res struct removed 0-10]]*AN$5*10</f>
        <v>0</v>
      </c>
      <c r="AP634" s="260">
        <f>ASINH(FMS_Ranking4[[#This Row],[Residential Structures Removed Raw]])/AP$4*AN$5*100</f>
        <v>0</v>
      </c>
      <c r="AQ634" s="254">
        <f>(ASINH(FMS_Ranking4[[#This Row],[Residential Structures Removed Raw]]))*(10)/(ASINH(AN$4))</f>
        <v>0</v>
      </c>
      <c r="AR634" s="253">
        <f>_xlfn.XLOOKUP(FMS_Ranking4[[#This Row],[FMS ID]],FMS_Input[FMS_ID],FMS_Input[REMPOP100])</f>
        <v>0</v>
      </c>
      <c r="AS634" s="259">
        <f>(ASINH(FMS_Ranking4[[#This Row],[Removed Pop Raw]]))*(10)/(ASINH(AR$4))</f>
        <v>0</v>
      </c>
      <c r="AT634" s="262">
        <f>FMS_Ranking4[[#This Row],[Removed population, ArcSinh (0-10)]]*AR$5*10</f>
        <v>0</v>
      </c>
      <c r="AU634" s="264">
        <f>_xlfn.XLOOKUP(FMS_Ranking4[[#This Row],[FMS ID]],FMS_Input[FMS_ID],FMS_Input[REMCRITFAC100])</f>
        <v>0</v>
      </c>
      <c r="AV634" s="264">
        <f>_xlfn.XLOOKUP(FMS_Ranking4[[#This Row],[FMS ID]],FMS_Input[FMS_ID],FMS_Input[REMLWC100])</f>
        <v>0</v>
      </c>
      <c r="AW634" s="264">
        <f>_xlfn.XLOOKUP(FMS_Ranking4[[#This Row],[FMS ID]],FMS_Input[FMS_ID],FMS_Input[REMROADCLS])</f>
        <v>0</v>
      </c>
      <c r="AX634" s="264">
        <f>_xlfn.XLOOKUP(FMS_Ranking4[[#This Row],[FMS ID]],FMS_Input[FMS_ID],FMS_Input[REMFRMACRE100])</f>
        <v>0</v>
      </c>
      <c r="AY634" s="258">
        <f>_xlfn.XLOOKUP(FMS_Ranking4[[#This Row],[FMS ID]],FMS_Input[FMS_ID],FMS_Input[COSTSTRUCT])</f>
        <v>0</v>
      </c>
      <c r="AZ634" s="253">
        <f>_xlfn.XLOOKUP(FMS_Ranking4[[#This Row],[FMS ID]],FMS_Input[FMS_ID],FMS_Input[NATURE])</f>
        <v>0</v>
      </c>
      <c r="BA634" s="262">
        <f>(((FMS_Ranking4[[#This Row],[% NBS Raw]]/AZ$4)*100)*AZ$5)</f>
        <v>0</v>
      </c>
      <c r="BB634" s="251" t="str">
        <f>_xlfn.XLOOKUP(FMS_Ranking4[[#This Row],[FMS ID]],FMS_Input[FMS_ID],FMS_Input[WATER_SUP])</f>
        <v>No</v>
      </c>
      <c r="BC634" s="265">
        <f>IF(FMS_Ranking4[[#This Row],[Water Supply Raw]]="Yes",10,0)</f>
        <v>0</v>
      </c>
      <c r="BD634" s="266">
        <f>_xlfn.XLOOKUP(FMS_Ranking4[[#This Row],[FMS Type]],FMS_TYPE[FMS_Type],FMS_TYPE[Score])</f>
        <v>8</v>
      </c>
      <c r="BE634" s="267">
        <f>FMS_Ranking4[[#This Row],[FMS_Type Score]]*$BD$5*10</f>
        <v>2</v>
      </c>
      <c r="BF63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1.1813800184828815E-2</v>
      </c>
      <c r="BG634" s="271">
        <f>_xlfn.RANK.EQ(BF634,$BF$8:$BF$870,0)+COUNTIF($BF$8:BF634,BF634)-1</f>
        <v>663</v>
      </c>
      <c r="BH634" s="268">
        <f>(((FMS_Ranking4[[#This Row],[Structures Removed Raw]]/AK$4)*100)*AK$5)+(((FMS_Ranking4[[#This Row],[Removed Pop Raw]]/AR$4)*100)*AR$5)</f>
        <v>0</v>
      </c>
      <c r="BI63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2.0118138001848287</v>
      </c>
      <c r="BJ634" s="205">
        <f>_xlfn.RANK.EQ(FMS_Ranking4[[#This Row],[Total Score 
(with linear
normalization)]],FMS_Ranking4[Total Score 
(with linear
normalization)],0)</f>
        <v>421</v>
      </c>
      <c r="BK634" s="205" t="e">
        <f>_xlfn.XLOOKUP(FMS_Ranking4[[#This Row],[FMS ID]],#REF!,#REF!)</f>
        <v>#REF!</v>
      </c>
      <c r="BL63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11.155415246889675</v>
      </c>
      <c r="BM634" s="272">
        <f>FMS_Ranking4[[#This Row],[ArcSinh Score Based on Normalized Reported Factors]]+FMS_Ranking4[[#This Row],[% NBS Score (Normalized)]]+(FMS_Ranking4[[#This Row],[Water Supply Score (Normalized)]]*10*$BB$5)+FMS_Ranking4[[#This Row],[FMS_Type Score Weighted]]</f>
        <v>13.155415246889675</v>
      </c>
      <c r="BN634" s="205">
        <f>_xlfn.RANK.EQ(FMS_Ranking4[[#This Row],[Total Score (with ArcSinh normalization of select criteria)]],FMS_Ranking4[Total Score (with ArcSinh normalization of select criteria)],0)</f>
        <v>627</v>
      </c>
      <c r="BO634" s="270" t="str">
        <f>_xlfn.XLOOKUP(FMS_Ranking4[[#This Row],[FMS ID]],FMS_Input[FMS_ID],FMS_Input[FMS_RANK_YEAR])</f>
        <v>2023 Amended Plan</v>
      </c>
      <c r="BP634" s="204">
        <f>_xlfn.XLOOKUP(FMS_Ranking4[[#This Row],[FMS ID]],Prev_Rank[FMS ID],Prev_Rank[Prev Rank])</f>
        <v>556</v>
      </c>
      <c r="BQ634" s="205" t="e">
        <f>_xlfn.XLOOKUP(FMS_Ranking4[[#This Row],[FMS ID]],#REF!,#REF!)</f>
        <v>#REF!</v>
      </c>
      <c r="BR634" s="199" t="e">
        <f>SUM(#REF!,#REF!,#REF!,#REF!,#REF!,#REF!,#REF!,#REF!,#REF!,FMS_Ranking4[[#This Row],[ArcSinh Res struct removed 0-10]],#REF!)</f>
        <v>#REF!</v>
      </c>
      <c r="BS634" s="199" t="e">
        <f>FMS_Ranking4[[#This Row],[Log Score Based on Normalized Reported Factors]]+FMS_Ranking4[[#This Row],[% NBS Score (Normalized)]]+(FMS_Ranking4[[#This Row],[Water Supply Score (Normalized)]]*10*$BB$5)+(FMS_Ranking4[[#This Row],[FMS_Type Score Weighted]])</f>
        <v>#REF!</v>
      </c>
      <c r="BT634" s="200" t="e">
        <f>_xlfn.RANK.EQ(FMS_Ranking4[[#This Row],[Log Total Score]],FMS_Ranking4[Log Total Score],0)</f>
        <v>#REF!</v>
      </c>
      <c r="BU634" s="200" t="e">
        <f>_xlfn.XLOOKUP(FMS_Ranking4[[#This Row],[FMS ID]],#REF!,#REF!)</f>
        <v>#REF!</v>
      </c>
      <c r="BV634" s="200">
        <f>FMS_Ranking4[[#This Row],[Region Number]]</f>
        <v>7</v>
      </c>
      <c r="BW634" s="200">
        <f>FMS_Ranking4[[#This Row],[Rank (with ArcSinh normalization of select criteria)]]-FMS_Ranking4[[#This Row],[Rank
(with linear
normalization)]]</f>
        <v>206</v>
      </c>
      <c r="BX634" s="200" t="e">
        <f>FMS_Ranking4[[#This Row],[Log Rank]]-FMS_Ranking4[[#This Row],[Rank
(with linear
normalization)]]</f>
        <v>#REF!</v>
      </c>
      <c r="BY634" s="200" t="str">
        <f>IF(FMS_Ranking4[[#This Row],[FMS Type]]="Flood Measurement and Warning",FMS_Ranking4[[#This Row],[Rank (with ArcSinh normalization of select criteria)]],"")</f>
        <v/>
      </c>
      <c r="BZ634" s="200">
        <f>IF(FMS_Ranking4[[#This Row],[FMS Type]]="Regulatory and Guidance",FMS_Ranking4[[#This Row],[Rank (with ArcSinh normalization of select criteria)]],"")</f>
        <v>627</v>
      </c>
      <c r="CA634" s="200" t="str">
        <f>IF(FMS_Ranking4[[#This Row],[FMS Type]]="Education and Outreach",FMS_Ranking4[[#This Row],[Rank (with ArcSinh normalization of select criteria)]],"")</f>
        <v/>
      </c>
      <c r="CB634" s="200" t="str">
        <f>IF(FMS_Ranking4[[#This Row],[FMS Type]]="Property Acquisition and Structural Elevation",FMS_Ranking4[[#This Row],[Rank (with ArcSinh normalization of select criteria)]],"")</f>
        <v/>
      </c>
      <c r="CC634" s="200" t="str">
        <f>IF(FMS_Ranking4[[#This Row],[FMS Type]]="Infrastructure Projects",FMS_Ranking4[[#This Row],[Rank (with ArcSinh normalization of select criteria)]],"")</f>
        <v/>
      </c>
      <c r="CD634" s="200" t="str">
        <f>IF(FMS_Ranking4[[#This Row],[FMS Type]]="Other",FMS_Ranking4[[#This Row],[Rank (with ArcSinh normalization of select criteria)]],"")</f>
        <v/>
      </c>
      <c r="CE634" s="201"/>
      <c r="CF634" s="206"/>
      <c r="CG634" s="206"/>
      <c r="CH634" s="206"/>
      <c r="CI634" s="206"/>
      <c r="CJ634" s="206"/>
      <c r="CK634" s="206"/>
      <c r="CL634" s="206"/>
      <c r="CM634" s="206"/>
      <c r="CN634" s="206"/>
      <c r="CO634" s="206"/>
      <c r="CP634" s="206"/>
      <c r="CQ634" s="206"/>
      <c r="CR634" s="206"/>
    </row>
    <row r="635" spans="2:96" ht="30" x14ac:dyDescent="0.25">
      <c r="B635" s="341" t="s">
        <v>565</v>
      </c>
      <c r="C635" s="246">
        <f>_xlfn.XLOOKUP(FMS_Ranking4[[#This Row],[FMS ID]],FMS_Input[FMS_ID],FMS_Input[RFPG_NUM])</f>
        <v>9</v>
      </c>
      <c r="D635" s="309" t="str">
        <f>_xlfn.XLOOKUP(FMS_Ranking4[[#This Row],[FMS ID]],FMS_Input[FMS_ID],FMS_Input[FMS_NAME])</f>
        <v>City of Wellman NFIP Application</v>
      </c>
      <c r="E635" s="308" t="str">
        <f>_xlfn.XLOOKUP(FMS_Ranking4[[#This Row],[FMS ID]],FMS_Input[FMS_ID],FMS_Input[SPONSOR])</f>
        <v>00000205</v>
      </c>
      <c r="F635" s="309" t="str">
        <f>_xlfn.XLOOKUP(FMS_Ranking4[[#This Row],[FMS ID]],Sponsor[FMS_ID],Sponsor[SPONSOR NAME])</f>
        <v>Terry</v>
      </c>
      <c r="G635" s="309" t="str">
        <f>_xlfn.XLOOKUP(FMS_Ranking4[[#This Row],[FMS ID]],FMS_Input[FMS_ID],FMS_Input[FMS_DESCR])</f>
        <v>Application to join the NFIP.</v>
      </c>
      <c r="H635" s="248" t="str">
        <f>_xlfn.XLOOKUP(FMS_Ranking4[[#This Row],[FMS ID]],FMS_Input[FMS_ID],FMS_Input[FMS_TYPE])</f>
        <v>Other</v>
      </c>
      <c r="I635" s="249">
        <f>_xlfn.XLOOKUP(FMS_Ranking4[[#This Row],[FMS ID]],FMS_Input[FMS_ID],FMS_Input[NRNC_COST])</f>
        <v>5000</v>
      </c>
      <c r="J635" s="250">
        <f>_xlfn.XLOOKUP(FMS_Ranking4[[#This Row],[FMS ID]],FMS_Input[FMS_ID],FMS_Input[FMS_COST])</f>
        <v>30000</v>
      </c>
      <c r="K635" s="251" t="str">
        <f>_xlfn.XLOOKUP(FMS_Ranking4[[#This Row],[FMS ID]],FMS_Input[FMS_ID],FMS_Input[EMER_NEED])</f>
        <v>No</v>
      </c>
      <c r="L635" s="252">
        <f t="shared" si="9"/>
        <v>0</v>
      </c>
      <c r="M635" s="253">
        <f>_xlfn.XLOOKUP(FMS_Ranking4[[#This Row],[FMS ID]],FMS_Input[FMS_ID],FMS_Input[STRUCT_100])</f>
        <v>9</v>
      </c>
      <c r="N635" s="255">
        <f>(ASINH(FMS_Ranking4[[#This Row],[Structure at Risk Raw]]))*(10)/(ASINH(M$4))</f>
        <v>2.2746777880562381</v>
      </c>
      <c r="O635" s="256">
        <f>FMS_Ranking4[[#This Row],[Structures at risk, ArcSinh (0-10)]]*M$5*10</f>
        <v>2.2746777880562381</v>
      </c>
      <c r="P635" s="253">
        <f>_xlfn.XLOOKUP(FMS_Ranking4[[#This Row],[FMS ID]],FMS_Input[FMS_ID],FMS_Input[RES_STRUCT100])</f>
        <v>9</v>
      </c>
      <c r="Q635" s="257">
        <f>ASINH(FMS_Ranking4[[#This Row],[Res Structure Raw]])/Q$4*P$5*100</f>
        <v>0</v>
      </c>
      <c r="R635" s="253">
        <f>_xlfn.XLOOKUP(FMS_Ranking4[[#This Row],[FMS ID]],FMS_Input[FMS_ID],FMS_Input[POP100])</f>
        <v>99</v>
      </c>
      <c r="S635" s="259">
        <f>(ASINH(FMS_Ranking4[[#This Row],[Pop at Risk Raw]]))*(10)/(ASINH(R$4))</f>
        <v>3.6508162119631926</v>
      </c>
      <c r="T635" s="256">
        <f>FMS_Ranking4[[#This Row],[Population at risk, ArcSinh (0-10)]]*R$5*10</f>
        <v>3.6508162119631926</v>
      </c>
      <c r="U635" s="253">
        <f>_xlfn.XLOOKUP(FMS_Ranking4[[#This Row],[FMS ID]],FMS_Input[FMS_ID],FMS_Input[CRITFAC100])</f>
        <v>0</v>
      </c>
      <c r="V635" s="259">
        <f>(ASINH(FMS_Ranking4[[#This Row],[Critical Facilities Raw]]))*(10)/(ASINH(U$4))</f>
        <v>0</v>
      </c>
      <c r="W635" s="256">
        <f>FMS_Ranking4[[#This Row],[Critical facilities at risk, ArcSinh (0-10)]]*U$5*10</f>
        <v>0</v>
      </c>
      <c r="X635" s="253">
        <f>_xlfn.XLOOKUP(FMS_Ranking4[[#This Row],[FMS ID]],FMS_Input[FMS_ID],FMS_Input[LWC])</f>
        <v>0</v>
      </c>
      <c r="Y635" s="259">
        <f>(ASINH(FMS_Ranking4[[#This Row],[LWC Raw]]))*(10)/(ASINH(X$4))</f>
        <v>0</v>
      </c>
      <c r="Z635" s="256">
        <f>FMS_Ranking4[[#This Row],[LWC, ArcSInh (0-10)]]*X$5*10</f>
        <v>0</v>
      </c>
      <c r="AA635" s="253">
        <f>_xlfn.XLOOKUP(FMS_Ranking4[[#This Row],[FMS ID]],FMS_Input[FMS_ID],FMS_Input[ROADCLS])</f>
        <v>0</v>
      </c>
      <c r="AB635" s="255">
        <f>(ASINH(FMS_Ranking4[[#This Row],[Road Closures Raw]]))*(10)/(ASINH(AA$4))</f>
        <v>0</v>
      </c>
      <c r="AC635" s="256">
        <f>FMS_Ranking4[[#This Row],[Road closures, ArcSinh (0-10)]]*AA$5*10</f>
        <v>0</v>
      </c>
      <c r="AD635" s="253">
        <f>_xlfn.XLOOKUP(FMS_Ranking4[[#This Row],[FMS ID]],FMS_Input[FMS_ID],FMS_Input[ROAD_MILES100])</f>
        <v>0</v>
      </c>
      <c r="AE635" s="259">
        <f>(ASINH(FMS_Ranking4[[#This Row],[Road Miles Raw]]))*(10)/(ASINH(AD$4))</f>
        <v>0</v>
      </c>
      <c r="AF635" s="256">
        <f>FMS_Ranking4[[#This Row],[Length of roads at risk, ArcSinh (0-10)]]*AD$5*10</f>
        <v>0</v>
      </c>
      <c r="AG635" s="253">
        <f>_xlfn.XLOOKUP(FMS_Ranking4[[#This Row],[FMS ID]],FMS_Input[FMS_ID],FMS_Input[FARMACRE100])</f>
        <v>0</v>
      </c>
      <c r="AH635" s="255">
        <f>(ASINH(FMS_Ranking4[[#This Row],[Ag Land Raw]]))*(10)/(ASINH(AG$4))</f>
        <v>0</v>
      </c>
      <c r="AI635" s="260">
        <f>FMS_Ranking4[[#This Row],[Farm &amp; ranch land, ArcSinh (0-10)]]*AG$5*10</f>
        <v>0</v>
      </c>
      <c r="AJ635" s="258">
        <f>_xlfn.XLOOKUP(FMS_Ranking4[[#This Row],[FMS ID]],FMS_Input[FMS_ID],FMS_Input[REDSTRUCT100])</f>
        <v>3</v>
      </c>
      <c r="AK635" s="253">
        <f>_xlfn.XLOOKUP(FMS_Ranking4[[#This Row],[FMS ID]],FMS_Input[FMS_ID],FMS_Input[REMSTRC100])</f>
        <v>3</v>
      </c>
      <c r="AL635" s="259">
        <f>(ASINH(FMS_Ranking4[[#This Row],[Structures Removed Raw]]))*(10)/(ASINH(AK$4))</f>
        <v>2.0704310956893948</v>
      </c>
      <c r="AM635" s="262">
        <f>FMS_Ranking4[[#This Row],[Structures removed, ArcSinh (0-10)]]*AK$5*10</f>
        <v>2.0704310956893948</v>
      </c>
      <c r="AN635" s="253">
        <f>_xlfn.XLOOKUP(FMS_Ranking4[[#This Row],[FMS ID]],FMS_Input[FMS_ID],FMS_Input[REMRESSTRC100])</f>
        <v>2</v>
      </c>
      <c r="AO635" s="261">
        <f>FMS_Ranking4[[#This Row],[ArcSinh Res struct removed 0-10]]*AN$5*10</f>
        <v>0.84673041454896381</v>
      </c>
      <c r="AP635" s="260">
        <f>ASINH(FMS_Ranking4[[#This Row],[Residential Structures Removed Raw]])/AP$4*AN$5*100</f>
        <v>0.84673041454896381</v>
      </c>
      <c r="AQ635" s="254">
        <f>(ASINH(FMS_Ranking4[[#This Row],[Residential Structures Removed Raw]]))*(10)/(ASINH(AN$4))</f>
        <v>1.6934608290979274</v>
      </c>
      <c r="AR635" s="253">
        <f>_xlfn.XLOOKUP(FMS_Ranking4[[#This Row],[FMS ID]],FMS_Input[FMS_ID],FMS_Input[REMPOP100])</f>
        <v>24</v>
      </c>
      <c r="AS635" s="259">
        <f>(ASINH(FMS_Ranking4[[#This Row],[Removed Pop Raw]]))*(10)/(ASINH(AR$4))</f>
        <v>3.8004758239244456</v>
      </c>
      <c r="AT635" s="262">
        <f>FMS_Ranking4[[#This Row],[Removed population, ArcSinh (0-10)]]*AR$5*10</f>
        <v>3.8004758239244456</v>
      </c>
      <c r="AU635" s="264">
        <f>_xlfn.XLOOKUP(FMS_Ranking4[[#This Row],[FMS ID]],FMS_Input[FMS_ID],FMS_Input[REMCRITFAC100])</f>
        <v>0</v>
      </c>
      <c r="AV635" s="264">
        <f>_xlfn.XLOOKUP(FMS_Ranking4[[#This Row],[FMS ID]],FMS_Input[FMS_ID],FMS_Input[REMLWC100])</f>
        <v>0</v>
      </c>
      <c r="AW635" s="264">
        <f>_xlfn.XLOOKUP(FMS_Ranking4[[#This Row],[FMS ID]],FMS_Input[FMS_ID],FMS_Input[REMROADCLS])</f>
        <v>0</v>
      </c>
      <c r="AX635" s="264">
        <f>_xlfn.XLOOKUP(FMS_Ranking4[[#This Row],[FMS ID]],FMS_Input[FMS_ID],FMS_Input[REMFRMACRE100])</f>
        <v>0</v>
      </c>
      <c r="AY635" s="258">
        <f>_xlfn.XLOOKUP(FMS_Ranking4[[#This Row],[FMS ID]],FMS_Input[FMS_ID],FMS_Input[COSTSTRUCT])</f>
        <v>25000</v>
      </c>
      <c r="AZ635" s="253">
        <f>_xlfn.XLOOKUP(FMS_Ranking4[[#This Row],[FMS ID]],FMS_Input[FMS_ID],FMS_Input[NATURE])</f>
        <v>0</v>
      </c>
      <c r="BA635" s="262">
        <f>(((FMS_Ranking4[[#This Row],[% NBS Raw]]/AZ$4)*100)*AZ$5)</f>
        <v>0</v>
      </c>
      <c r="BB635" s="251" t="str">
        <f>_xlfn.XLOOKUP(FMS_Ranking4[[#This Row],[FMS ID]],FMS_Input[FMS_ID],FMS_Input[WATER_SUP])</f>
        <v>No</v>
      </c>
      <c r="BC635" s="265">
        <f>IF(FMS_Ranking4[[#This Row],[Water Supply Raw]]="Yes",10,0)</f>
        <v>0</v>
      </c>
      <c r="BD635" s="266">
        <f>_xlfn.XLOOKUP(FMS_Ranking4[[#This Row],[FMS Type]],FMS_TYPE[FMS_Type],FMS_TYPE[Score])</f>
        <v>2</v>
      </c>
      <c r="BE635" s="267">
        <f>FMS_Ranking4[[#This Row],[FMS_Type Score]]*$BD$5*10</f>
        <v>0.5</v>
      </c>
      <c r="BF63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1.5516639701930353E-3</v>
      </c>
      <c r="BG635" s="271">
        <f>_xlfn.RANK.EQ(BF635,$BF$8:$BF$870,0)+COUNTIF($BF$8:BF635,BF635)-1</f>
        <v>736</v>
      </c>
      <c r="BH635" s="268">
        <f>(((FMS_Ranking4[[#This Row],[Structures Removed Raw]]/AK$4)*100)*AK$5)+(((FMS_Ranking4[[#This Row],[Removed Pop Raw]]/AR$4)*100)*AR$5)</f>
        <v>2.7270560408665649E-2</v>
      </c>
      <c r="BI63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0.52882222437885873</v>
      </c>
      <c r="BJ635" s="205">
        <f>_xlfn.RANK.EQ(FMS_Ranking4[[#This Row],[Total Score 
(with linear
normalization)]],FMS_Ranking4[Total Score 
(with linear
normalization)],0)</f>
        <v>834</v>
      </c>
      <c r="BK635" s="205" t="e">
        <f>_xlfn.XLOOKUP(FMS_Ranking4[[#This Row],[FMS ID]],#REF!,#REF!)</f>
        <v>#REF!</v>
      </c>
      <c r="BL63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12.643131334182234</v>
      </c>
      <c r="BM635" s="272">
        <f>FMS_Ranking4[[#This Row],[ArcSinh Score Based on Normalized Reported Factors]]+FMS_Ranking4[[#This Row],[% NBS Score (Normalized)]]+(FMS_Ranking4[[#This Row],[Water Supply Score (Normalized)]]*10*$BB$5)+FMS_Ranking4[[#This Row],[FMS_Type Score Weighted]]</f>
        <v>13.143131334182234</v>
      </c>
      <c r="BN635" s="205">
        <f>_xlfn.RANK.EQ(FMS_Ranking4[[#This Row],[Total Score (with ArcSinh normalization of select criteria)]],FMS_Ranking4[Total Score (with ArcSinh normalization of select criteria)],0)</f>
        <v>628</v>
      </c>
      <c r="BO635" s="270" t="str">
        <f>_xlfn.XLOOKUP(FMS_Ranking4[[#This Row],[FMS ID]],FMS_Input[FMS_ID],FMS_Input[FMS_RANK_YEAR])</f>
        <v>2023 Amended Plan</v>
      </c>
      <c r="BP635" s="204">
        <f>_xlfn.XLOOKUP(FMS_Ranking4[[#This Row],[FMS ID]],Prev_Rank[FMS ID],Prev_Rank[Prev Rank])</f>
        <v>565</v>
      </c>
      <c r="BQ635" s="205" t="e">
        <f>_xlfn.XLOOKUP(FMS_Ranking4[[#This Row],[FMS ID]],#REF!,#REF!)</f>
        <v>#REF!</v>
      </c>
      <c r="BR635" s="199" t="e">
        <f>SUM(#REF!,#REF!,#REF!,#REF!,#REF!,#REF!,#REF!,#REF!,#REF!,FMS_Ranking4[[#This Row],[ArcSinh Res struct removed 0-10]],#REF!)</f>
        <v>#REF!</v>
      </c>
      <c r="BS635" s="199" t="e">
        <f>FMS_Ranking4[[#This Row],[Log Score Based on Normalized Reported Factors]]+FMS_Ranking4[[#This Row],[% NBS Score (Normalized)]]+(FMS_Ranking4[[#This Row],[Water Supply Score (Normalized)]]*10*$BB$5)+(FMS_Ranking4[[#This Row],[FMS_Type Score Weighted]])</f>
        <v>#REF!</v>
      </c>
      <c r="BT635" s="200" t="e">
        <f>_xlfn.RANK.EQ(FMS_Ranking4[[#This Row],[Log Total Score]],FMS_Ranking4[Log Total Score],0)</f>
        <v>#REF!</v>
      </c>
      <c r="BU635" s="200" t="e">
        <f>_xlfn.XLOOKUP(FMS_Ranking4[[#This Row],[FMS ID]],#REF!,#REF!)</f>
        <v>#REF!</v>
      </c>
      <c r="BV635" s="200">
        <f>FMS_Ranking4[[#This Row],[Region Number]]</f>
        <v>9</v>
      </c>
      <c r="BW635" s="200">
        <f>FMS_Ranking4[[#This Row],[Rank (with ArcSinh normalization of select criteria)]]-FMS_Ranking4[[#This Row],[Rank
(with linear
normalization)]]</f>
        <v>-206</v>
      </c>
      <c r="BX635" s="200" t="e">
        <f>FMS_Ranking4[[#This Row],[Log Rank]]-FMS_Ranking4[[#This Row],[Rank
(with linear
normalization)]]</f>
        <v>#REF!</v>
      </c>
      <c r="BY635" s="200" t="str">
        <f>IF(FMS_Ranking4[[#This Row],[FMS Type]]="Flood Measurement and Warning",FMS_Ranking4[[#This Row],[Rank (with ArcSinh normalization of select criteria)]],"")</f>
        <v/>
      </c>
      <c r="BZ635" s="200" t="str">
        <f>IF(FMS_Ranking4[[#This Row],[FMS Type]]="Regulatory and Guidance",FMS_Ranking4[[#This Row],[Rank (with ArcSinh normalization of select criteria)]],"")</f>
        <v/>
      </c>
      <c r="CA635" s="200" t="str">
        <f>IF(FMS_Ranking4[[#This Row],[FMS Type]]="Education and Outreach",FMS_Ranking4[[#This Row],[Rank (with ArcSinh normalization of select criteria)]],"")</f>
        <v/>
      </c>
      <c r="CB635" s="200" t="str">
        <f>IF(FMS_Ranking4[[#This Row],[FMS Type]]="Property Acquisition and Structural Elevation",FMS_Ranking4[[#This Row],[Rank (with ArcSinh normalization of select criteria)]],"")</f>
        <v/>
      </c>
      <c r="CC635" s="200" t="str">
        <f>IF(FMS_Ranking4[[#This Row],[FMS Type]]="Infrastructure Projects",FMS_Ranking4[[#This Row],[Rank (with ArcSinh normalization of select criteria)]],"")</f>
        <v/>
      </c>
      <c r="CD635" s="200">
        <f>IF(FMS_Ranking4[[#This Row],[FMS Type]]="Other",FMS_Ranking4[[#This Row],[Rank (with ArcSinh normalization of select criteria)]],"")</f>
        <v>628</v>
      </c>
      <c r="CE635" s="201"/>
      <c r="CF635" s="206"/>
      <c r="CG635" s="206"/>
      <c r="CH635" s="206"/>
      <c r="CI635" s="206"/>
      <c r="CJ635" s="206"/>
      <c r="CK635" s="206"/>
      <c r="CL635" s="206"/>
      <c r="CM635" s="206"/>
      <c r="CN635" s="206"/>
      <c r="CO635" s="206"/>
      <c r="CP635" s="206"/>
      <c r="CQ635" s="206"/>
      <c r="CR635" s="206"/>
    </row>
    <row r="636" spans="2:96" ht="30" x14ac:dyDescent="0.25">
      <c r="B636" s="341" t="s">
        <v>744</v>
      </c>
      <c r="C636" s="246">
        <f>_xlfn.XLOOKUP(FMS_Ranking4[[#This Row],[FMS ID]],FMS_Input[FMS_ID],FMS_Input[RFPG_NUM])</f>
        <v>9</v>
      </c>
      <c r="D636" s="309" t="str">
        <f>_xlfn.XLOOKUP(FMS_Ranking4[[#This Row],[FMS ID]],FMS_Input[FMS_ID],FMS_Input[FMS_NAME])</f>
        <v>City of Goldsmith TADD Program</v>
      </c>
      <c r="E636" s="308" t="str">
        <f>_xlfn.XLOOKUP(FMS_Ranking4[[#This Row],[FMS ID]],FMS_Input[FMS_ID],FMS_Input[SPONSOR])</f>
        <v>00000152</v>
      </c>
      <c r="F636" s="309" t="str">
        <f>_xlfn.XLOOKUP(FMS_Ranking4[[#This Row],[FMS ID]],Sponsor[FMS_ID],Sponsor[SPONSOR NAME])</f>
        <v>Ector</v>
      </c>
      <c r="G636" s="309" t="str">
        <f>_xlfn.XLOOKUP(FMS_Ranking4[[#This Row],[FMS ID]],FMS_Input[FMS_ID],FMS_Input[FMS_DESCR])</f>
        <v xml:space="preserve">Promote Turn Around Don’t Drown (TADD) </v>
      </c>
      <c r="H636" s="248" t="str">
        <f>_xlfn.XLOOKUP(FMS_Ranking4[[#This Row],[FMS ID]],FMS_Input[FMS_ID],FMS_Input[FMS_TYPE])</f>
        <v>Other</v>
      </c>
      <c r="I636" s="249">
        <f>_xlfn.XLOOKUP(FMS_Ranking4[[#This Row],[FMS ID]],FMS_Input[FMS_ID],FMS_Input[NRNC_COST])</f>
        <v>5000</v>
      </c>
      <c r="J636" s="250">
        <f>_xlfn.XLOOKUP(FMS_Ranking4[[#This Row],[FMS ID]],FMS_Input[FMS_ID],FMS_Input[FMS_COST])</f>
        <v>30000</v>
      </c>
      <c r="K636" s="251" t="str">
        <f>_xlfn.XLOOKUP(FMS_Ranking4[[#This Row],[FMS ID]],FMS_Input[FMS_ID],FMS_Input[EMER_NEED])</f>
        <v>No</v>
      </c>
      <c r="L636" s="252">
        <f t="shared" si="9"/>
        <v>0</v>
      </c>
      <c r="M636" s="253">
        <f>_xlfn.XLOOKUP(FMS_Ranking4[[#This Row],[FMS ID]],FMS_Input[FMS_ID],FMS_Input[STRUCT_100])</f>
        <v>9</v>
      </c>
      <c r="N636" s="255">
        <f>(ASINH(FMS_Ranking4[[#This Row],[Structure at Risk Raw]]))*(10)/(ASINH(M$4))</f>
        <v>2.2746777880562381</v>
      </c>
      <c r="O636" s="256">
        <f>FMS_Ranking4[[#This Row],[Structures at risk, ArcSinh (0-10)]]*M$5*10</f>
        <v>2.2746777880562381</v>
      </c>
      <c r="P636" s="253">
        <f>_xlfn.XLOOKUP(FMS_Ranking4[[#This Row],[FMS ID]],FMS_Input[FMS_ID],FMS_Input[RES_STRUCT100])</f>
        <v>9</v>
      </c>
      <c r="Q636" s="257">
        <f>ASINH(FMS_Ranking4[[#This Row],[Res Structure Raw]])/Q$4*P$5*100</f>
        <v>0</v>
      </c>
      <c r="R636" s="253">
        <f>_xlfn.XLOOKUP(FMS_Ranking4[[#This Row],[FMS ID]],FMS_Input[FMS_ID],FMS_Input[POP100])</f>
        <v>99</v>
      </c>
      <c r="S636" s="255">
        <f>(ASINH(FMS_Ranking4[[#This Row],[Pop at Risk Raw]]))*(10)/(ASINH(R$4))</f>
        <v>3.6508162119631926</v>
      </c>
      <c r="T636" s="256">
        <f>FMS_Ranking4[[#This Row],[Population at risk, ArcSinh (0-10)]]*R$5*10</f>
        <v>3.6508162119631926</v>
      </c>
      <c r="U636" s="253">
        <f>_xlfn.XLOOKUP(FMS_Ranking4[[#This Row],[FMS ID]],FMS_Input[FMS_ID],FMS_Input[CRITFAC100])</f>
        <v>0</v>
      </c>
      <c r="V636" s="255">
        <f>(ASINH(FMS_Ranking4[[#This Row],[Critical Facilities Raw]]))*(10)/(ASINH(U$4))</f>
        <v>0</v>
      </c>
      <c r="W636" s="256">
        <f>FMS_Ranking4[[#This Row],[Critical facilities at risk, ArcSinh (0-10)]]*U$5*10</f>
        <v>0</v>
      </c>
      <c r="X636" s="253">
        <f>_xlfn.XLOOKUP(FMS_Ranking4[[#This Row],[FMS ID]],FMS_Input[FMS_ID],FMS_Input[LWC])</f>
        <v>0</v>
      </c>
      <c r="Y636" s="255">
        <f>(ASINH(FMS_Ranking4[[#This Row],[LWC Raw]]))*(10)/(ASINH(X$4))</f>
        <v>0</v>
      </c>
      <c r="Z636" s="256">
        <f>FMS_Ranking4[[#This Row],[LWC, ArcSInh (0-10)]]*X$5*10</f>
        <v>0</v>
      </c>
      <c r="AA636" s="253">
        <f>_xlfn.XLOOKUP(FMS_Ranking4[[#This Row],[FMS ID]],FMS_Input[FMS_ID],FMS_Input[ROADCLS])</f>
        <v>0</v>
      </c>
      <c r="AB636" s="255">
        <f>(ASINH(FMS_Ranking4[[#This Row],[Road Closures Raw]]))*(10)/(ASINH(AA$4))</f>
        <v>0</v>
      </c>
      <c r="AC636" s="256">
        <f>FMS_Ranking4[[#This Row],[Road closures, ArcSinh (0-10)]]*AA$5*10</f>
        <v>0</v>
      </c>
      <c r="AD636" s="253">
        <f>_xlfn.XLOOKUP(FMS_Ranking4[[#This Row],[FMS ID]],FMS_Input[FMS_ID],FMS_Input[ROAD_MILES100])</f>
        <v>0</v>
      </c>
      <c r="AE636" s="255">
        <f>(ASINH(FMS_Ranking4[[#This Row],[Road Miles Raw]]))*(10)/(ASINH(AD$4))</f>
        <v>0</v>
      </c>
      <c r="AF636" s="256">
        <f>FMS_Ranking4[[#This Row],[Length of roads at risk, ArcSinh (0-10)]]*AD$5*10</f>
        <v>0</v>
      </c>
      <c r="AG636" s="253">
        <f>_xlfn.XLOOKUP(FMS_Ranking4[[#This Row],[FMS ID]],FMS_Input[FMS_ID],FMS_Input[FARMACRE100])</f>
        <v>0</v>
      </c>
      <c r="AH636" s="255">
        <f>(ASINH(FMS_Ranking4[[#This Row],[Ag Land Raw]]))*(10)/(ASINH(AG$4))</f>
        <v>0</v>
      </c>
      <c r="AI636" s="260">
        <f>FMS_Ranking4[[#This Row],[Farm &amp; ranch land, ArcSinh (0-10)]]*AG$5*10</f>
        <v>0</v>
      </c>
      <c r="AJ636" s="258">
        <f>_xlfn.XLOOKUP(FMS_Ranking4[[#This Row],[FMS ID]],FMS_Input[FMS_ID],FMS_Input[REDSTRUCT100])</f>
        <v>3</v>
      </c>
      <c r="AK636" s="253">
        <f>_xlfn.XLOOKUP(FMS_Ranking4[[#This Row],[FMS ID]],FMS_Input[FMS_ID],FMS_Input[REMSTRC100])</f>
        <v>3</v>
      </c>
      <c r="AL636" s="255">
        <f>(ASINH(FMS_Ranking4[[#This Row],[Structures Removed Raw]]))*(10)/(ASINH(AK$4))</f>
        <v>2.0704310956893948</v>
      </c>
      <c r="AM636" s="262">
        <f>FMS_Ranking4[[#This Row],[Structures removed, ArcSinh (0-10)]]*AK$5*10</f>
        <v>2.0704310956893948</v>
      </c>
      <c r="AN636" s="253">
        <f>_xlfn.XLOOKUP(FMS_Ranking4[[#This Row],[FMS ID]],FMS_Input[FMS_ID],FMS_Input[REMRESSTRC100])</f>
        <v>2</v>
      </c>
      <c r="AO636" s="261">
        <f>FMS_Ranking4[[#This Row],[ArcSinh Res struct removed 0-10]]*AN$5*10</f>
        <v>0.84673041454896381</v>
      </c>
      <c r="AP636" s="260">
        <f>ASINH(FMS_Ranking4[[#This Row],[Residential Structures Removed Raw]])/AP$4*AN$5*100</f>
        <v>0.84673041454896381</v>
      </c>
      <c r="AQ636" s="258">
        <f>(ASINH(FMS_Ranking4[[#This Row],[Residential Structures Removed Raw]]))*(10)/(ASINH(AN$4))</f>
        <v>1.6934608290979274</v>
      </c>
      <c r="AR636" s="253">
        <f>_xlfn.XLOOKUP(FMS_Ranking4[[#This Row],[FMS ID]],FMS_Input[FMS_ID],FMS_Input[REMPOP100])</f>
        <v>24</v>
      </c>
      <c r="AS636" s="255">
        <f>(ASINH(FMS_Ranking4[[#This Row],[Removed Pop Raw]]))*(10)/(ASINH(AR$4))</f>
        <v>3.8004758239244456</v>
      </c>
      <c r="AT636" s="262">
        <f>FMS_Ranking4[[#This Row],[Removed population, ArcSinh (0-10)]]*AR$5*10</f>
        <v>3.8004758239244456</v>
      </c>
      <c r="AU636" s="264">
        <f>_xlfn.XLOOKUP(FMS_Ranking4[[#This Row],[FMS ID]],FMS_Input[FMS_ID],FMS_Input[REMCRITFAC100])</f>
        <v>0</v>
      </c>
      <c r="AV636" s="264">
        <f>_xlfn.XLOOKUP(FMS_Ranking4[[#This Row],[FMS ID]],FMS_Input[FMS_ID],FMS_Input[REMLWC100])</f>
        <v>0</v>
      </c>
      <c r="AW636" s="264">
        <f>_xlfn.XLOOKUP(FMS_Ranking4[[#This Row],[FMS ID]],FMS_Input[FMS_ID],FMS_Input[REMROADCLS])</f>
        <v>0</v>
      </c>
      <c r="AX636" s="264">
        <f>_xlfn.XLOOKUP(FMS_Ranking4[[#This Row],[FMS ID]],FMS_Input[FMS_ID],FMS_Input[REMFRMACRE100])</f>
        <v>0</v>
      </c>
      <c r="AY636" s="258">
        <f>_xlfn.XLOOKUP(FMS_Ranking4[[#This Row],[FMS ID]],FMS_Input[FMS_ID],FMS_Input[COSTSTRUCT])</f>
        <v>25000</v>
      </c>
      <c r="AZ636" s="253">
        <f>_xlfn.XLOOKUP(FMS_Ranking4[[#This Row],[FMS ID]],FMS_Input[FMS_ID],FMS_Input[NATURE])</f>
        <v>0</v>
      </c>
      <c r="BA636" s="262">
        <f>(((FMS_Ranking4[[#This Row],[% NBS Raw]]/AZ$4)*100)*AZ$5)</f>
        <v>0</v>
      </c>
      <c r="BB636" s="251" t="str">
        <f>_xlfn.XLOOKUP(FMS_Ranking4[[#This Row],[FMS ID]],FMS_Input[FMS_ID],FMS_Input[WATER_SUP])</f>
        <v>No</v>
      </c>
      <c r="BC636" s="265">
        <f>IF(FMS_Ranking4[[#This Row],[Water Supply Raw]]="Yes",10,0)</f>
        <v>0</v>
      </c>
      <c r="BD636" s="266">
        <f>_xlfn.XLOOKUP(FMS_Ranking4[[#This Row],[FMS Type]],FMS_TYPE[FMS_Type],FMS_TYPE[Score])</f>
        <v>2</v>
      </c>
      <c r="BE636" s="267">
        <f>FMS_Ranking4[[#This Row],[FMS_Type Score]]*$BD$5*10</f>
        <v>0.5</v>
      </c>
      <c r="BF63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1.5516639701930353E-3</v>
      </c>
      <c r="BG636" s="321">
        <f>_xlfn.RANK.EQ(BF636,$BF$8:$BF$870,0)+COUNTIF($BF$8:BF636,BF636)-1</f>
        <v>737</v>
      </c>
      <c r="BH636" s="294">
        <f>(((FMS_Ranking4[[#This Row],[Structures Removed Raw]]/AK$4)*100)*AK$5)+(((FMS_Ranking4[[#This Row],[Removed Pop Raw]]/AR$4)*100)*AR$5)</f>
        <v>2.7270560408665649E-2</v>
      </c>
      <c r="BI63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0.52882222437885873</v>
      </c>
      <c r="BJ636" s="251">
        <f>_xlfn.RANK.EQ(FMS_Ranking4[[#This Row],[Total Score 
(with linear
normalization)]],FMS_Ranking4[Total Score 
(with linear
normalization)],0)</f>
        <v>834</v>
      </c>
      <c r="BK636" s="251" t="e">
        <f>_xlfn.XLOOKUP(FMS_Ranking4[[#This Row],[FMS ID]],#REF!,#REF!)</f>
        <v>#REF!</v>
      </c>
      <c r="BL63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12.643131334182234</v>
      </c>
      <c r="BM636" s="324">
        <f>FMS_Ranking4[[#This Row],[ArcSinh Score Based on Normalized Reported Factors]]+FMS_Ranking4[[#This Row],[% NBS Score (Normalized)]]+(FMS_Ranking4[[#This Row],[Water Supply Score (Normalized)]]*10*$BB$5)+FMS_Ranking4[[#This Row],[FMS_Type Score Weighted]]</f>
        <v>13.143131334182234</v>
      </c>
      <c r="BN636" s="251">
        <f>_xlfn.RANK.EQ(FMS_Ranking4[[#This Row],[Total Score (with ArcSinh normalization of select criteria)]],FMS_Ranking4[Total Score (with ArcSinh normalization of select criteria)],0)</f>
        <v>628</v>
      </c>
      <c r="BO636" s="270" t="str">
        <f>_xlfn.XLOOKUP(FMS_Ranking4[[#This Row],[FMS ID]],FMS_Input[FMS_ID],FMS_Input[FMS_RANK_YEAR])</f>
        <v>2023 Amended Plan</v>
      </c>
      <c r="BP636" s="204">
        <f>_xlfn.XLOOKUP(FMS_Ranking4[[#This Row],[FMS ID]],Prev_Rank[FMS ID],Prev_Rank[Prev Rank])</f>
        <v>565</v>
      </c>
      <c r="BQ636" s="251" t="e">
        <f>_xlfn.XLOOKUP(FMS_Ranking4[[#This Row],[FMS ID]],#REF!,#REF!)</f>
        <v>#REF!</v>
      </c>
      <c r="BR636" s="199" t="e">
        <f>SUM(#REF!,#REF!,#REF!,#REF!,#REF!,#REF!,#REF!,#REF!,#REF!,FMS_Ranking4[[#This Row],[ArcSinh Res struct removed 0-10]],#REF!)</f>
        <v>#REF!</v>
      </c>
      <c r="BS636" s="199" t="e">
        <f>FMS_Ranking4[[#This Row],[Log Score Based on Normalized Reported Factors]]+FMS_Ranking4[[#This Row],[% NBS Score (Normalized)]]+(FMS_Ranking4[[#This Row],[Water Supply Score (Normalized)]]*10*$BB$5)+(FMS_Ranking4[[#This Row],[FMS_Type Score Weighted]])</f>
        <v>#REF!</v>
      </c>
      <c r="BT636" s="200" t="e">
        <f>_xlfn.RANK.EQ(FMS_Ranking4[[#This Row],[Log Total Score]],FMS_Ranking4[Log Total Score],0)</f>
        <v>#REF!</v>
      </c>
      <c r="BU636" s="200" t="e">
        <f>_xlfn.XLOOKUP(FMS_Ranking4[[#This Row],[FMS ID]],#REF!,#REF!)</f>
        <v>#REF!</v>
      </c>
      <c r="BV636" s="200">
        <f>FMS_Ranking4[[#This Row],[Region Number]]</f>
        <v>9</v>
      </c>
      <c r="BW636" s="200">
        <f>FMS_Ranking4[[#This Row],[Rank (with ArcSinh normalization of select criteria)]]-FMS_Ranking4[[#This Row],[Rank
(with linear
normalization)]]</f>
        <v>-206</v>
      </c>
      <c r="BX636" s="200" t="e">
        <f>FMS_Ranking4[[#This Row],[Log Rank]]-FMS_Ranking4[[#This Row],[Rank
(with linear
normalization)]]</f>
        <v>#REF!</v>
      </c>
      <c r="BY636" s="200" t="str">
        <f>IF(FMS_Ranking4[[#This Row],[FMS Type]]="Flood Measurement and Warning",FMS_Ranking4[[#This Row],[Rank (with ArcSinh normalization of select criteria)]],"")</f>
        <v/>
      </c>
      <c r="BZ636" s="200" t="str">
        <f>IF(FMS_Ranking4[[#This Row],[FMS Type]]="Regulatory and Guidance",FMS_Ranking4[[#This Row],[Rank (with ArcSinh normalization of select criteria)]],"")</f>
        <v/>
      </c>
      <c r="CA636" s="200" t="str">
        <f>IF(FMS_Ranking4[[#This Row],[FMS Type]]="Education and Outreach",FMS_Ranking4[[#This Row],[Rank (with ArcSinh normalization of select criteria)]],"")</f>
        <v/>
      </c>
      <c r="CB636" s="200" t="str">
        <f>IF(FMS_Ranking4[[#This Row],[FMS Type]]="Property Acquisition and Structural Elevation",FMS_Ranking4[[#This Row],[Rank (with ArcSinh normalization of select criteria)]],"")</f>
        <v/>
      </c>
      <c r="CC636" s="200" t="str">
        <f>IF(FMS_Ranking4[[#This Row],[FMS Type]]="Infrastructure Projects",FMS_Ranking4[[#This Row],[Rank (with ArcSinh normalization of select criteria)]],"")</f>
        <v/>
      </c>
      <c r="CD636" s="200">
        <f>IF(FMS_Ranking4[[#This Row],[FMS Type]]="Other",FMS_Ranking4[[#This Row],[Rank (with ArcSinh normalization of select criteria)]],"")</f>
        <v>628</v>
      </c>
      <c r="CE636" s="201"/>
      <c r="CF636" s="206"/>
      <c r="CG636" s="206"/>
      <c r="CH636" s="206"/>
      <c r="CI636" s="206"/>
      <c r="CJ636" s="206"/>
      <c r="CK636" s="206"/>
      <c r="CL636" s="206"/>
      <c r="CM636" s="206"/>
      <c r="CN636" s="206"/>
      <c r="CO636" s="206"/>
      <c r="CP636" s="206"/>
      <c r="CQ636" s="206"/>
      <c r="CR636" s="206"/>
    </row>
    <row r="637" spans="2:96" ht="90" x14ac:dyDescent="0.25">
      <c r="B637" s="341" t="s">
        <v>769</v>
      </c>
      <c r="C637" s="246">
        <f>_xlfn.XLOOKUP(FMS_Ranking4[[#This Row],[FMS ID]],FMS_Input[FMS_ID],FMS_Input[RFPG_NUM])</f>
        <v>9</v>
      </c>
      <c r="D637" s="309" t="str">
        <f>_xlfn.XLOOKUP(FMS_Ranking4[[#This Row],[FMS ID]],FMS_Input[FMS_ID],FMS_Input[FMS_NAME])</f>
        <v>City of Westbrook TADD Program</v>
      </c>
      <c r="E637" s="308" t="str">
        <f>_xlfn.XLOOKUP(FMS_Ranking4[[#This Row],[FMS ID]],FMS_Input[FMS_ID],FMS_Input[SPONSOR])</f>
        <v>00000172</v>
      </c>
      <c r="F637" s="309" t="str">
        <f>_xlfn.XLOOKUP(FMS_Ranking4[[#This Row],[FMS ID]],Sponsor[FMS_ID],Sponsor[SPONSOR NAME])</f>
        <v>Mitchell</v>
      </c>
      <c r="G637" s="309" t="str">
        <f>_xlfn.XLOOKUP(FMS_Ranking4[[#This Row],[FMS ID]],FMS_Input[FMS_ID],FMS_Input[FMS_DESCR])</f>
        <v xml:space="preserve">Educate community on the dangers of low water crossings through the installation of warning signs and promotion of “Turn Around, Don’t Drown” (TADD) Program. </v>
      </c>
      <c r="H637" s="248" t="str">
        <f>_xlfn.XLOOKUP(FMS_Ranking4[[#This Row],[FMS ID]],FMS_Input[FMS_ID],FMS_Input[FMS_TYPE])</f>
        <v>Other</v>
      </c>
      <c r="I637" s="249">
        <f>_xlfn.XLOOKUP(FMS_Ranking4[[#This Row],[FMS ID]],FMS_Input[FMS_ID],FMS_Input[NRNC_COST])</f>
        <v>5000</v>
      </c>
      <c r="J637" s="250">
        <f>_xlfn.XLOOKUP(FMS_Ranking4[[#This Row],[FMS ID]],FMS_Input[FMS_ID],FMS_Input[FMS_COST])</f>
        <v>30000</v>
      </c>
      <c r="K637" s="251" t="str">
        <f>_xlfn.XLOOKUP(FMS_Ranking4[[#This Row],[FMS ID]],FMS_Input[FMS_ID],FMS_Input[EMER_NEED])</f>
        <v>No</v>
      </c>
      <c r="L637" s="252">
        <f t="shared" si="9"/>
        <v>0</v>
      </c>
      <c r="M637" s="253">
        <f>_xlfn.XLOOKUP(FMS_Ranking4[[#This Row],[FMS ID]],FMS_Input[FMS_ID],FMS_Input[STRUCT_100])</f>
        <v>9</v>
      </c>
      <c r="N637" s="255">
        <f>(ASINH(FMS_Ranking4[[#This Row],[Structure at Risk Raw]]))*(10)/(ASINH(M$4))</f>
        <v>2.2746777880562381</v>
      </c>
      <c r="O637" s="256">
        <f>FMS_Ranking4[[#This Row],[Structures at risk, ArcSinh (0-10)]]*M$5*10</f>
        <v>2.2746777880562381</v>
      </c>
      <c r="P637" s="253">
        <f>_xlfn.XLOOKUP(FMS_Ranking4[[#This Row],[FMS ID]],FMS_Input[FMS_ID],FMS_Input[RES_STRUCT100])</f>
        <v>9</v>
      </c>
      <c r="Q637" s="257">
        <f>ASINH(FMS_Ranking4[[#This Row],[Res Structure Raw]])/Q$4*P$5*100</f>
        <v>0</v>
      </c>
      <c r="R637" s="253">
        <f>_xlfn.XLOOKUP(FMS_Ranking4[[#This Row],[FMS ID]],FMS_Input[FMS_ID],FMS_Input[POP100])</f>
        <v>99</v>
      </c>
      <c r="S637" s="259">
        <f>(ASINH(FMS_Ranking4[[#This Row],[Pop at Risk Raw]]))*(10)/(ASINH(R$4))</f>
        <v>3.6508162119631926</v>
      </c>
      <c r="T637" s="256">
        <f>FMS_Ranking4[[#This Row],[Population at risk, ArcSinh (0-10)]]*R$5*10</f>
        <v>3.6508162119631926</v>
      </c>
      <c r="U637" s="253">
        <f>_xlfn.XLOOKUP(FMS_Ranking4[[#This Row],[FMS ID]],FMS_Input[FMS_ID],FMS_Input[CRITFAC100])</f>
        <v>0</v>
      </c>
      <c r="V637" s="259">
        <f>(ASINH(FMS_Ranking4[[#This Row],[Critical Facilities Raw]]))*(10)/(ASINH(U$4))</f>
        <v>0</v>
      </c>
      <c r="W637" s="256">
        <f>FMS_Ranking4[[#This Row],[Critical facilities at risk, ArcSinh (0-10)]]*U$5*10</f>
        <v>0</v>
      </c>
      <c r="X637" s="253">
        <f>_xlfn.XLOOKUP(FMS_Ranking4[[#This Row],[FMS ID]],FMS_Input[FMS_ID],FMS_Input[LWC])</f>
        <v>0</v>
      </c>
      <c r="Y637" s="259">
        <f>(ASINH(FMS_Ranking4[[#This Row],[LWC Raw]]))*(10)/(ASINH(X$4))</f>
        <v>0</v>
      </c>
      <c r="Z637" s="256">
        <f>FMS_Ranking4[[#This Row],[LWC, ArcSInh (0-10)]]*X$5*10</f>
        <v>0</v>
      </c>
      <c r="AA637" s="253">
        <f>_xlfn.XLOOKUP(FMS_Ranking4[[#This Row],[FMS ID]],FMS_Input[FMS_ID],FMS_Input[ROADCLS])</f>
        <v>0</v>
      </c>
      <c r="AB637" s="255">
        <f>(ASINH(FMS_Ranking4[[#This Row],[Road Closures Raw]]))*(10)/(ASINH(AA$4))</f>
        <v>0</v>
      </c>
      <c r="AC637" s="256">
        <f>FMS_Ranking4[[#This Row],[Road closures, ArcSinh (0-10)]]*AA$5*10</f>
        <v>0</v>
      </c>
      <c r="AD637" s="253">
        <f>_xlfn.XLOOKUP(FMS_Ranking4[[#This Row],[FMS ID]],FMS_Input[FMS_ID],FMS_Input[ROAD_MILES100])</f>
        <v>0</v>
      </c>
      <c r="AE637" s="259">
        <f>(ASINH(FMS_Ranking4[[#This Row],[Road Miles Raw]]))*(10)/(ASINH(AD$4))</f>
        <v>0</v>
      </c>
      <c r="AF637" s="256">
        <f>FMS_Ranking4[[#This Row],[Length of roads at risk, ArcSinh (0-10)]]*AD$5*10</f>
        <v>0</v>
      </c>
      <c r="AG637" s="253">
        <f>_xlfn.XLOOKUP(FMS_Ranking4[[#This Row],[FMS ID]],FMS_Input[FMS_ID],FMS_Input[FARMACRE100])</f>
        <v>0</v>
      </c>
      <c r="AH637" s="255">
        <f>(ASINH(FMS_Ranking4[[#This Row],[Ag Land Raw]]))*(10)/(ASINH(AG$4))</f>
        <v>0</v>
      </c>
      <c r="AI637" s="260">
        <f>FMS_Ranking4[[#This Row],[Farm &amp; ranch land, ArcSinh (0-10)]]*AG$5*10</f>
        <v>0</v>
      </c>
      <c r="AJ637" s="258">
        <f>_xlfn.XLOOKUP(FMS_Ranking4[[#This Row],[FMS ID]],FMS_Input[FMS_ID],FMS_Input[REDSTRUCT100])</f>
        <v>3</v>
      </c>
      <c r="AK637" s="253">
        <f>_xlfn.XLOOKUP(FMS_Ranking4[[#This Row],[FMS ID]],FMS_Input[FMS_ID],FMS_Input[REMSTRC100])</f>
        <v>3</v>
      </c>
      <c r="AL637" s="259">
        <f>(ASINH(FMS_Ranking4[[#This Row],[Structures Removed Raw]]))*(10)/(ASINH(AK$4))</f>
        <v>2.0704310956893948</v>
      </c>
      <c r="AM637" s="262">
        <f>FMS_Ranking4[[#This Row],[Structures removed, ArcSinh (0-10)]]*AK$5*10</f>
        <v>2.0704310956893948</v>
      </c>
      <c r="AN637" s="253">
        <f>_xlfn.XLOOKUP(FMS_Ranking4[[#This Row],[FMS ID]],FMS_Input[FMS_ID],FMS_Input[REMRESSTRC100])</f>
        <v>2</v>
      </c>
      <c r="AO637" s="261">
        <f>FMS_Ranking4[[#This Row],[ArcSinh Res struct removed 0-10]]*AN$5*10</f>
        <v>0.84673041454896381</v>
      </c>
      <c r="AP637" s="260">
        <f>ASINH(FMS_Ranking4[[#This Row],[Residential Structures Removed Raw]])/AP$4*AN$5*100</f>
        <v>0.84673041454896381</v>
      </c>
      <c r="AQ637" s="254">
        <f>(ASINH(FMS_Ranking4[[#This Row],[Residential Structures Removed Raw]]))*(10)/(ASINH(AN$4))</f>
        <v>1.6934608290979274</v>
      </c>
      <c r="AR637" s="253">
        <f>_xlfn.XLOOKUP(FMS_Ranking4[[#This Row],[FMS ID]],FMS_Input[FMS_ID],FMS_Input[REMPOP100])</f>
        <v>24</v>
      </c>
      <c r="AS637" s="259">
        <f>(ASINH(FMS_Ranking4[[#This Row],[Removed Pop Raw]]))*(10)/(ASINH(AR$4))</f>
        <v>3.8004758239244456</v>
      </c>
      <c r="AT637" s="262">
        <f>FMS_Ranking4[[#This Row],[Removed population, ArcSinh (0-10)]]*AR$5*10</f>
        <v>3.8004758239244456</v>
      </c>
      <c r="AU637" s="264">
        <f>_xlfn.XLOOKUP(FMS_Ranking4[[#This Row],[FMS ID]],FMS_Input[FMS_ID],FMS_Input[REMCRITFAC100])</f>
        <v>0</v>
      </c>
      <c r="AV637" s="264">
        <f>_xlfn.XLOOKUP(FMS_Ranking4[[#This Row],[FMS ID]],FMS_Input[FMS_ID],FMS_Input[REMLWC100])</f>
        <v>0</v>
      </c>
      <c r="AW637" s="264">
        <f>_xlfn.XLOOKUP(FMS_Ranking4[[#This Row],[FMS ID]],FMS_Input[FMS_ID],FMS_Input[REMROADCLS])</f>
        <v>0</v>
      </c>
      <c r="AX637" s="264">
        <f>_xlfn.XLOOKUP(FMS_Ranking4[[#This Row],[FMS ID]],FMS_Input[FMS_ID],FMS_Input[REMFRMACRE100])</f>
        <v>0</v>
      </c>
      <c r="AY637" s="258">
        <f>_xlfn.XLOOKUP(FMS_Ranking4[[#This Row],[FMS ID]],FMS_Input[FMS_ID],FMS_Input[COSTSTRUCT])</f>
        <v>25000</v>
      </c>
      <c r="AZ637" s="253">
        <f>_xlfn.XLOOKUP(FMS_Ranking4[[#This Row],[FMS ID]],FMS_Input[FMS_ID],FMS_Input[NATURE])</f>
        <v>0</v>
      </c>
      <c r="BA637" s="262">
        <f>(((FMS_Ranking4[[#This Row],[% NBS Raw]]/AZ$4)*100)*AZ$5)</f>
        <v>0</v>
      </c>
      <c r="BB637" s="251" t="str">
        <f>_xlfn.XLOOKUP(FMS_Ranking4[[#This Row],[FMS ID]],FMS_Input[FMS_ID],FMS_Input[WATER_SUP])</f>
        <v>No</v>
      </c>
      <c r="BC637" s="265">
        <f>IF(FMS_Ranking4[[#This Row],[Water Supply Raw]]="Yes",10,0)</f>
        <v>0</v>
      </c>
      <c r="BD637" s="266">
        <f>_xlfn.XLOOKUP(FMS_Ranking4[[#This Row],[FMS Type]],FMS_TYPE[FMS_Type],FMS_TYPE[Score])</f>
        <v>2</v>
      </c>
      <c r="BE637" s="267">
        <f>FMS_Ranking4[[#This Row],[FMS_Type Score]]*$BD$5*10</f>
        <v>0.5</v>
      </c>
      <c r="BF63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1.5516639701930353E-3</v>
      </c>
      <c r="BG637" s="271">
        <f>_xlfn.RANK.EQ(BF637,$BF$8:$BF$870,0)+COUNTIF($BF$8:BF637,BF637)-1</f>
        <v>738</v>
      </c>
      <c r="BH637" s="268">
        <f>(((FMS_Ranking4[[#This Row],[Structures Removed Raw]]/AK$4)*100)*AK$5)+(((FMS_Ranking4[[#This Row],[Removed Pop Raw]]/AR$4)*100)*AR$5)</f>
        <v>2.7270560408665649E-2</v>
      </c>
      <c r="BI63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0.52882222437885873</v>
      </c>
      <c r="BJ637" s="205">
        <f>_xlfn.RANK.EQ(FMS_Ranking4[[#This Row],[Total Score 
(with linear
normalization)]],FMS_Ranking4[Total Score 
(with linear
normalization)],0)</f>
        <v>834</v>
      </c>
      <c r="BK637" s="205" t="e">
        <f>_xlfn.XLOOKUP(FMS_Ranking4[[#This Row],[FMS ID]],#REF!,#REF!)</f>
        <v>#REF!</v>
      </c>
      <c r="BL63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12.643131334182234</v>
      </c>
      <c r="BM637" s="272">
        <f>FMS_Ranking4[[#This Row],[ArcSinh Score Based on Normalized Reported Factors]]+FMS_Ranking4[[#This Row],[% NBS Score (Normalized)]]+(FMS_Ranking4[[#This Row],[Water Supply Score (Normalized)]]*10*$BB$5)+FMS_Ranking4[[#This Row],[FMS_Type Score Weighted]]</f>
        <v>13.143131334182234</v>
      </c>
      <c r="BN637" s="205">
        <f>_xlfn.RANK.EQ(FMS_Ranking4[[#This Row],[Total Score (with ArcSinh normalization of select criteria)]],FMS_Ranking4[Total Score (with ArcSinh normalization of select criteria)],0)</f>
        <v>628</v>
      </c>
      <c r="BO637" s="270" t="str">
        <f>_xlfn.XLOOKUP(FMS_Ranking4[[#This Row],[FMS ID]],FMS_Input[FMS_ID],FMS_Input[FMS_RANK_YEAR])</f>
        <v>2023 Amended Plan</v>
      </c>
      <c r="BP637" s="204">
        <f>_xlfn.XLOOKUP(FMS_Ranking4[[#This Row],[FMS ID]],Prev_Rank[FMS ID],Prev_Rank[Prev Rank])</f>
        <v>565</v>
      </c>
      <c r="BQ637" s="205" t="e">
        <f>_xlfn.XLOOKUP(FMS_Ranking4[[#This Row],[FMS ID]],#REF!,#REF!)</f>
        <v>#REF!</v>
      </c>
      <c r="BR637" s="199" t="e">
        <f>SUM(#REF!,#REF!,#REF!,#REF!,#REF!,#REF!,#REF!,#REF!,#REF!,FMS_Ranking4[[#This Row],[ArcSinh Res struct removed 0-10]],#REF!)</f>
        <v>#REF!</v>
      </c>
      <c r="BS637" s="199" t="e">
        <f>FMS_Ranking4[[#This Row],[Log Score Based on Normalized Reported Factors]]+FMS_Ranking4[[#This Row],[% NBS Score (Normalized)]]+(FMS_Ranking4[[#This Row],[Water Supply Score (Normalized)]]*10*$BB$5)+(FMS_Ranking4[[#This Row],[FMS_Type Score Weighted]])</f>
        <v>#REF!</v>
      </c>
      <c r="BT637" s="200" t="e">
        <f>_xlfn.RANK.EQ(FMS_Ranking4[[#This Row],[Log Total Score]],FMS_Ranking4[Log Total Score],0)</f>
        <v>#REF!</v>
      </c>
      <c r="BU637" s="200" t="e">
        <f>_xlfn.XLOOKUP(FMS_Ranking4[[#This Row],[FMS ID]],#REF!,#REF!)</f>
        <v>#REF!</v>
      </c>
      <c r="BV637" s="200">
        <f>FMS_Ranking4[[#This Row],[Region Number]]</f>
        <v>9</v>
      </c>
      <c r="BW637" s="200">
        <f>FMS_Ranking4[[#This Row],[Rank (with ArcSinh normalization of select criteria)]]-FMS_Ranking4[[#This Row],[Rank
(with linear
normalization)]]</f>
        <v>-206</v>
      </c>
      <c r="BX637" s="200" t="e">
        <f>FMS_Ranking4[[#This Row],[Log Rank]]-FMS_Ranking4[[#This Row],[Rank
(with linear
normalization)]]</f>
        <v>#REF!</v>
      </c>
      <c r="BY637" s="200" t="str">
        <f>IF(FMS_Ranking4[[#This Row],[FMS Type]]="Flood Measurement and Warning",FMS_Ranking4[[#This Row],[Rank (with ArcSinh normalization of select criteria)]],"")</f>
        <v/>
      </c>
      <c r="BZ637" s="200" t="str">
        <f>IF(FMS_Ranking4[[#This Row],[FMS Type]]="Regulatory and Guidance",FMS_Ranking4[[#This Row],[Rank (with ArcSinh normalization of select criteria)]],"")</f>
        <v/>
      </c>
      <c r="CA637" s="200" t="str">
        <f>IF(FMS_Ranking4[[#This Row],[FMS Type]]="Education and Outreach",FMS_Ranking4[[#This Row],[Rank (with ArcSinh normalization of select criteria)]],"")</f>
        <v/>
      </c>
      <c r="CB637" s="200" t="str">
        <f>IF(FMS_Ranking4[[#This Row],[FMS Type]]="Property Acquisition and Structural Elevation",FMS_Ranking4[[#This Row],[Rank (with ArcSinh normalization of select criteria)]],"")</f>
        <v/>
      </c>
      <c r="CC637" s="200" t="str">
        <f>IF(FMS_Ranking4[[#This Row],[FMS Type]]="Infrastructure Projects",FMS_Ranking4[[#This Row],[Rank (with ArcSinh normalization of select criteria)]],"")</f>
        <v/>
      </c>
      <c r="CD637" s="200">
        <f>IF(FMS_Ranking4[[#This Row],[FMS Type]]="Other",FMS_Ranking4[[#This Row],[Rank (with ArcSinh normalization of select criteria)]],"")</f>
        <v>628</v>
      </c>
      <c r="CE637" s="201"/>
      <c r="CF637" s="206"/>
      <c r="CG637" s="206"/>
      <c r="CH637" s="206"/>
      <c r="CI637" s="206"/>
      <c r="CJ637" s="206"/>
      <c r="CK637" s="206"/>
      <c r="CL637" s="206"/>
      <c r="CM637" s="206"/>
      <c r="CN637" s="206"/>
      <c r="CO637" s="206"/>
      <c r="CP637" s="206"/>
      <c r="CQ637" s="206"/>
      <c r="CR637" s="206"/>
    </row>
    <row r="638" spans="2:96" ht="45" x14ac:dyDescent="0.25">
      <c r="B638" s="341" t="s">
        <v>4839</v>
      </c>
      <c r="C638" s="246">
        <f>_xlfn.XLOOKUP(FMS_Ranking4[[#This Row],[FMS ID]],FMS_Input[FMS_ID],FMS_Input[RFPG_NUM])</f>
        <v>4</v>
      </c>
      <c r="D638" s="309" t="str">
        <f>_xlfn.XLOOKUP(FMS_Ranking4[[#This Row],[FMS ID]],FMS_Input[FMS_ID],FMS_Input[FMS_NAME])</f>
        <v>City of Hideaway Floodplain Development Regulations</v>
      </c>
      <c r="E638" s="308" t="str">
        <f>_xlfn.XLOOKUP(FMS_Ranking4[[#This Row],[FMS ID]],FMS_Input[FMS_ID],FMS_Input[SPONSOR])</f>
        <v>00003178</v>
      </c>
      <c r="F638" s="309" t="str">
        <f>_xlfn.XLOOKUP(FMS_Ranking4[[#This Row],[FMS ID]],Sponsor[FMS_ID],Sponsor[SPONSOR NAME])</f>
        <v>Hideaway</v>
      </c>
      <c r="G638" s="309" t="str">
        <f>_xlfn.XLOOKUP(FMS_Ranking4[[#This Row],[FMS ID]],FMS_Input[FMS_ID],FMS_Input[FMS_DESCR])</f>
        <v>Mandate 2 FT Freeboard on Hideaway Lakes Dams</v>
      </c>
      <c r="H638" s="248" t="str">
        <f>_xlfn.XLOOKUP(FMS_Ranking4[[#This Row],[FMS ID]],FMS_Input[FMS_ID],FMS_Input[FMS_TYPE])</f>
        <v>Regulatory and Guidance</v>
      </c>
      <c r="I638" s="249">
        <f>_xlfn.XLOOKUP(FMS_Ranking4[[#This Row],[FMS ID]],FMS_Input[FMS_ID],FMS_Input[NRNC_COST])</f>
        <v>10000</v>
      </c>
      <c r="J638" s="250">
        <f>_xlfn.XLOOKUP(FMS_Ranking4[[#This Row],[FMS ID]],FMS_Input[FMS_ID],FMS_Input[FMS_COST])</f>
        <v>10000</v>
      </c>
      <c r="K638" s="251" t="str">
        <f>_xlfn.XLOOKUP(FMS_Ranking4[[#This Row],[FMS ID]],FMS_Input[FMS_ID],FMS_Input[EMER_NEED])</f>
        <v>No</v>
      </c>
      <c r="L638" s="252">
        <f t="shared" si="9"/>
        <v>0</v>
      </c>
      <c r="M638" s="253">
        <f>_xlfn.XLOOKUP(FMS_Ranking4[[#This Row],[FMS ID]],FMS_Input[FMS_ID],FMS_Input[STRUCT_100])</f>
        <v>249</v>
      </c>
      <c r="N638" s="255">
        <f>(ASINH(FMS_Ranking4[[#This Row],[Structure at Risk Raw]]))*(10)/(ASINH(M$4))</f>
        <v>4.8824595487261711</v>
      </c>
      <c r="O638" s="256">
        <f>FMS_Ranking4[[#This Row],[Structures at risk, ArcSinh (0-10)]]*M$5*10</f>
        <v>4.8824595487261711</v>
      </c>
      <c r="P638" s="253">
        <f>_xlfn.XLOOKUP(FMS_Ranking4[[#This Row],[FMS ID]],FMS_Input[FMS_ID],FMS_Input[RES_STRUCT100])</f>
        <v>224</v>
      </c>
      <c r="Q638" s="257">
        <f>ASINH(FMS_Ranking4[[#This Row],[Res Structure Raw]])/Q$4*P$5*100</f>
        <v>0</v>
      </c>
      <c r="R638" s="253">
        <f>_xlfn.XLOOKUP(FMS_Ranking4[[#This Row],[FMS ID]],FMS_Input[FMS_ID],FMS_Input[POP100])</f>
        <v>364</v>
      </c>
      <c r="S638" s="255">
        <f>(ASINH(FMS_Ranking4[[#This Row],[Pop at Risk Raw]]))*(10)/(ASINH(R$4))</f>
        <v>4.5496697898616993</v>
      </c>
      <c r="T638" s="256">
        <f>FMS_Ranking4[[#This Row],[Population at risk, ArcSinh (0-10)]]*R$5*10</f>
        <v>4.5496697898616993</v>
      </c>
      <c r="U638" s="253">
        <f>_xlfn.XLOOKUP(FMS_Ranking4[[#This Row],[FMS ID]],FMS_Input[FMS_ID],FMS_Input[CRITFAC100])</f>
        <v>0</v>
      </c>
      <c r="V638" s="255">
        <f>(ASINH(FMS_Ranking4[[#This Row],[Critical Facilities Raw]]))*(10)/(ASINH(U$4))</f>
        <v>0</v>
      </c>
      <c r="W638" s="256">
        <f>FMS_Ranking4[[#This Row],[Critical facilities at risk, ArcSinh (0-10)]]*U$5*10</f>
        <v>0</v>
      </c>
      <c r="X638" s="253">
        <f>_xlfn.XLOOKUP(FMS_Ranking4[[#This Row],[FMS ID]],FMS_Input[FMS_ID],FMS_Input[LWC])</f>
        <v>0</v>
      </c>
      <c r="Y638" s="255">
        <f>(ASINH(FMS_Ranking4[[#This Row],[LWC Raw]]))*(10)/(ASINH(X$4))</f>
        <v>0</v>
      </c>
      <c r="Z638" s="256">
        <f>FMS_Ranking4[[#This Row],[LWC, ArcSInh (0-10)]]*X$5*10</f>
        <v>0</v>
      </c>
      <c r="AA638" s="253">
        <f>_xlfn.XLOOKUP(FMS_Ranking4[[#This Row],[FMS ID]],FMS_Input[FMS_ID],FMS_Input[ROADCLS])</f>
        <v>0</v>
      </c>
      <c r="AB638" s="255">
        <f>(ASINH(FMS_Ranking4[[#This Row],[Road Closures Raw]]))*(10)/(ASINH(AA$4))</f>
        <v>0</v>
      </c>
      <c r="AC638" s="256">
        <f>FMS_Ranking4[[#This Row],[Road closures, ArcSinh (0-10)]]*AA$5*10</f>
        <v>0</v>
      </c>
      <c r="AD638" s="253">
        <f>_xlfn.XLOOKUP(FMS_Ranking4[[#This Row],[FMS ID]],FMS_Input[FMS_ID],FMS_Input[ROAD_MILES100])</f>
        <v>1</v>
      </c>
      <c r="AE638" s="255">
        <f>(ASINH(FMS_Ranking4[[#This Row],[Road Miles Raw]]))*(10)/(ASINH(AD$4))</f>
        <v>0.9393017565219649</v>
      </c>
      <c r="AF638" s="256">
        <f>FMS_Ranking4[[#This Row],[Length of roads at risk, ArcSinh (0-10)]]*AD$5*10</f>
        <v>0.93930175652196501</v>
      </c>
      <c r="AG638" s="253">
        <f>_xlfn.XLOOKUP(FMS_Ranking4[[#This Row],[FMS ID]],FMS_Input[FMS_ID],FMS_Input[FARMACRE100])</f>
        <v>4.3455944061279297</v>
      </c>
      <c r="AH638" s="255">
        <f>(ASINH(FMS_Ranking4[[#This Row],[Ag Land Raw]]))*(10)/(ASINH(AG$4))</f>
        <v>1.4130299607338708</v>
      </c>
      <c r="AI638" s="260">
        <f>FMS_Ranking4[[#This Row],[Farm &amp; ranch land, ArcSinh (0-10)]]*AG$5*10</f>
        <v>0.7065149803669355</v>
      </c>
      <c r="AJ638" s="258">
        <f>_xlfn.XLOOKUP(FMS_Ranking4[[#This Row],[FMS ID]],FMS_Input[FMS_ID],FMS_Input[REDSTRUCT100])</f>
        <v>0</v>
      </c>
      <c r="AK638" s="253">
        <f>_xlfn.XLOOKUP(FMS_Ranking4[[#This Row],[FMS ID]],FMS_Input[FMS_ID],FMS_Input[REMSTRC100])</f>
        <v>0</v>
      </c>
      <c r="AL638" s="255">
        <f>(ASINH(FMS_Ranking4[[#This Row],[Structures Removed Raw]]))*(10)/(ASINH(AK$4))</f>
        <v>0</v>
      </c>
      <c r="AM638" s="262">
        <f>FMS_Ranking4[[#This Row],[Structures removed, ArcSinh (0-10)]]*AK$5*10</f>
        <v>0</v>
      </c>
      <c r="AN638" s="253">
        <f>_xlfn.XLOOKUP(FMS_Ranking4[[#This Row],[FMS ID]],FMS_Input[FMS_ID],FMS_Input[REMRESSTRC100])</f>
        <v>0</v>
      </c>
      <c r="AO638" s="261">
        <f>FMS_Ranking4[[#This Row],[ArcSinh Res struct removed 0-10]]*AN$5*10</f>
        <v>0</v>
      </c>
      <c r="AP638" s="260">
        <f>ASINH(FMS_Ranking4[[#This Row],[Residential Structures Removed Raw]])/AP$4*AN$5*100</f>
        <v>0</v>
      </c>
      <c r="AQ638" s="258">
        <f>(ASINH(FMS_Ranking4[[#This Row],[Residential Structures Removed Raw]]))*(10)/(ASINH(AN$4))</f>
        <v>0</v>
      </c>
      <c r="AR638" s="253">
        <f>_xlfn.XLOOKUP(FMS_Ranking4[[#This Row],[FMS ID]],FMS_Input[FMS_ID],FMS_Input[REMPOP100])</f>
        <v>0</v>
      </c>
      <c r="AS638" s="255">
        <f>(ASINH(FMS_Ranking4[[#This Row],[Removed Pop Raw]]))*(10)/(ASINH(AR$4))</f>
        <v>0</v>
      </c>
      <c r="AT638" s="262">
        <f>FMS_Ranking4[[#This Row],[Removed population, ArcSinh (0-10)]]*AR$5*10</f>
        <v>0</v>
      </c>
      <c r="AU638" s="264">
        <f>_xlfn.XLOOKUP(FMS_Ranking4[[#This Row],[FMS ID]],FMS_Input[FMS_ID],FMS_Input[REMCRITFAC100])</f>
        <v>0</v>
      </c>
      <c r="AV638" s="264">
        <f>_xlfn.XLOOKUP(FMS_Ranking4[[#This Row],[FMS ID]],FMS_Input[FMS_ID],FMS_Input[REMLWC100])</f>
        <v>0</v>
      </c>
      <c r="AW638" s="264">
        <f>_xlfn.XLOOKUP(FMS_Ranking4[[#This Row],[FMS ID]],FMS_Input[FMS_ID],FMS_Input[REMROADCLS])</f>
        <v>0</v>
      </c>
      <c r="AX638" s="264">
        <f>_xlfn.XLOOKUP(FMS_Ranking4[[#This Row],[FMS ID]],FMS_Input[FMS_ID],FMS_Input[REMFRMACRE100])</f>
        <v>0</v>
      </c>
      <c r="AY638" s="258">
        <f>_xlfn.XLOOKUP(FMS_Ranking4[[#This Row],[FMS ID]],FMS_Input[FMS_ID],FMS_Input[COSTSTRUCT])</f>
        <v>0</v>
      </c>
      <c r="AZ638" s="253">
        <f>_xlfn.XLOOKUP(FMS_Ranking4[[#This Row],[FMS ID]],FMS_Input[FMS_ID],FMS_Input[NATURE])</f>
        <v>0</v>
      </c>
      <c r="BA638" s="262">
        <f>(((FMS_Ranking4[[#This Row],[% NBS Raw]]/AZ$4)*100)*AZ$5)</f>
        <v>0</v>
      </c>
      <c r="BB638" s="251" t="str">
        <f>_xlfn.XLOOKUP(FMS_Ranking4[[#This Row],[FMS ID]],FMS_Input[FMS_ID],FMS_Input[WATER_SUP])</f>
        <v>No</v>
      </c>
      <c r="BC638" s="265">
        <f>IF(FMS_Ranking4[[#This Row],[Water Supply Raw]]="Yes",10,0)</f>
        <v>0</v>
      </c>
      <c r="BD638" s="266">
        <f>_xlfn.XLOOKUP(FMS_Ranking4[[#This Row],[FMS Type]],FMS_TYPE[FMS_Type],FMS_TYPE[Score])</f>
        <v>8</v>
      </c>
      <c r="BE638" s="267">
        <f>FMS_Ranking4[[#This Row],[FMS_Type Score]]*$BD$5*10</f>
        <v>2</v>
      </c>
      <c r="BF63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2.0307806182879411E-2</v>
      </c>
      <c r="BG638" s="321">
        <f>_xlfn.RANK.EQ(BF638,$BF$8:$BF$870,0)+COUNTIF($BF$8:BF638,BF638)-1</f>
        <v>631</v>
      </c>
      <c r="BH638" s="294">
        <f>(((FMS_Ranking4[[#This Row],[Structures Removed Raw]]/AK$4)*100)*AK$5)+(((FMS_Ranking4[[#This Row],[Removed Pop Raw]]/AR$4)*100)*AR$5)</f>
        <v>0</v>
      </c>
      <c r="BI63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2.0203078061828794</v>
      </c>
      <c r="BJ638" s="251">
        <f>_xlfn.RANK.EQ(FMS_Ranking4[[#This Row],[Total Score 
(with linear
normalization)]],FMS_Ranking4[Total Score 
(with linear
normalization)],0)</f>
        <v>411</v>
      </c>
      <c r="BK638" s="251" t="e">
        <f>_xlfn.XLOOKUP(FMS_Ranking4[[#This Row],[FMS ID]],#REF!,#REF!)</f>
        <v>#REF!</v>
      </c>
      <c r="BL63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11.07794607547677</v>
      </c>
      <c r="BM638" s="324">
        <f>FMS_Ranking4[[#This Row],[ArcSinh Score Based on Normalized Reported Factors]]+FMS_Ranking4[[#This Row],[% NBS Score (Normalized)]]+(FMS_Ranking4[[#This Row],[Water Supply Score (Normalized)]]*10*$BB$5)+FMS_Ranking4[[#This Row],[FMS_Type Score Weighted]]</f>
        <v>13.07794607547677</v>
      </c>
      <c r="BN638" s="251">
        <f>_xlfn.RANK.EQ(FMS_Ranking4[[#This Row],[Total Score (with ArcSinh normalization of select criteria)]],FMS_Ranking4[Total Score (with ArcSinh normalization of select criteria)],0)</f>
        <v>631</v>
      </c>
      <c r="BO638" s="270" t="str">
        <f>_xlfn.XLOOKUP(FMS_Ranking4[[#This Row],[FMS ID]],FMS_Input[FMS_ID],FMS_Input[FMS_RANK_YEAR])</f>
        <v>2023 Amended Plan</v>
      </c>
      <c r="BP638" s="204">
        <f>_xlfn.XLOOKUP(FMS_Ranking4[[#This Row],[FMS ID]],Prev_Rank[FMS ID],Prev_Rank[Prev Rank])</f>
        <v>557</v>
      </c>
      <c r="BQ638" s="251" t="e">
        <f>_xlfn.XLOOKUP(FMS_Ranking4[[#This Row],[FMS ID]],#REF!,#REF!)</f>
        <v>#REF!</v>
      </c>
      <c r="BR638" s="199" t="e">
        <f>SUM(#REF!,#REF!,#REF!,#REF!,#REF!,#REF!,#REF!,#REF!,#REF!,FMS_Ranking4[[#This Row],[ArcSinh Res struct removed 0-10]],#REF!)</f>
        <v>#REF!</v>
      </c>
      <c r="BS638" s="199" t="e">
        <f>FMS_Ranking4[[#This Row],[Log Score Based on Normalized Reported Factors]]+FMS_Ranking4[[#This Row],[% NBS Score (Normalized)]]+(FMS_Ranking4[[#This Row],[Water Supply Score (Normalized)]]*10*$BB$5)+(FMS_Ranking4[[#This Row],[FMS_Type Score Weighted]])</f>
        <v>#REF!</v>
      </c>
      <c r="BT638" s="200" t="e">
        <f>_xlfn.RANK.EQ(FMS_Ranking4[[#This Row],[Log Total Score]],FMS_Ranking4[Log Total Score],0)</f>
        <v>#REF!</v>
      </c>
      <c r="BU638" s="200" t="e">
        <f>_xlfn.XLOOKUP(FMS_Ranking4[[#This Row],[FMS ID]],#REF!,#REF!)</f>
        <v>#REF!</v>
      </c>
      <c r="BV638" s="200">
        <f>FMS_Ranking4[[#This Row],[Region Number]]</f>
        <v>4</v>
      </c>
      <c r="BW638" s="200">
        <f>FMS_Ranking4[[#This Row],[Rank (with ArcSinh normalization of select criteria)]]-FMS_Ranking4[[#This Row],[Rank
(with linear
normalization)]]</f>
        <v>220</v>
      </c>
      <c r="BX638" s="200" t="e">
        <f>FMS_Ranking4[[#This Row],[Log Rank]]-FMS_Ranking4[[#This Row],[Rank
(with linear
normalization)]]</f>
        <v>#REF!</v>
      </c>
      <c r="BY638" s="200" t="str">
        <f>IF(FMS_Ranking4[[#This Row],[FMS Type]]="Flood Measurement and Warning",FMS_Ranking4[[#This Row],[Rank (with ArcSinh normalization of select criteria)]],"")</f>
        <v/>
      </c>
      <c r="BZ638" s="200">
        <f>IF(FMS_Ranking4[[#This Row],[FMS Type]]="Regulatory and Guidance",FMS_Ranking4[[#This Row],[Rank (with ArcSinh normalization of select criteria)]],"")</f>
        <v>631</v>
      </c>
      <c r="CA638" s="200" t="str">
        <f>IF(FMS_Ranking4[[#This Row],[FMS Type]]="Education and Outreach",FMS_Ranking4[[#This Row],[Rank (with ArcSinh normalization of select criteria)]],"")</f>
        <v/>
      </c>
      <c r="CB638" s="200" t="str">
        <f>IF(FMS_Ranking4[[#This Row],[FMS Type]]="Property Acquisition and Structural Elevation",FMS_Ranking4[[#This Row],[Rank (with ArcSinh normalization of select criteria)]],"")</f>
        <v/>
      </c>
      <c r="CC638" s="200" t="str">
        <f>IF(FMS_Ranking4[[#This Row],[FMS Type]]="Infrastructure Projects",FMS_Ranking4[[#This Row],[Rank (with ArcSinh normalization of select criteria)]],"")</f>
        <v/>
      </c>
      <c r="CD638" s="200" t="str">
        <f>IF(FMS_Ranking4[[#This Row],[FMS Type]]="Other",FMS_Ranking4[[#This Row],[Rank (with ArcSinh normalization of select criteria)]],"")</f>
        <v/>
      </c>
      <c r="CE638" s="201"/>
      <c r="CF638" s="206"/>
      <c r="CG638" s="206"/>
      <c r="CH638" s="206"/>
      <c r="CI638" s="206"/>
      <c r="CJ638" s="206"/>
      <c r="CK638" s="206"/>
      <c r="CL638" s="206"/>
      <c r="CM638" s="206"/>
      <c r="CN638" s="206"/>
      <c r="CO638" s="206"/>
      <c r="CP638" s="206"/>
      <c r="CQ638" s="206"/>
      <c r="CR638" s="206"/>
    </row>
    <row r="639" spans="2:96" ht="30" x14ac:dyDescent="0.25">
      <c r="B639" s="341" t="s">
        <v>1262</v>
      </c>
      <c r="C639" s="246">
        <f>_xlfn.XLOOKUP(FMS_Ranking4[[#This Row],[FMS ID]],FMS_Input[FMS_ID],FMS_Input[RFPG_NUM])</f>
        <v>1</v>
      </c>
      <c r="D639" s="309" t="str">
        <f>_xlfn.XLOOKUP(FMS_Ranking4[[#This Row],[FMS ID]],FMS_Input[FMS_ID],FMS_Input[FMS_NAME])</f>
        <v>Stinnett NFIP Involvement</v>
      </c>
      <c r="E639" s="308" t="str">
        <f>_xlfn.XLOOKUP(FMS_Ranking4[[#This Row],[FMS ID]],FMS_Input[FMS_ID],FMS_Input[SPONSOR])</f>
        <v>01002814</v>
      </c>
      <c r="F639" s="309" t="str">
        <f>_xlfn.XLOOKUP(FMS_Ranking4[[#This Row],[FMS ID]],Sponsor[FMS_ID],Sponsor[SPONSOR NAME])</f>
        <v>Stinnett</v>
      </c>
      <c r="G639" s="309" t="str">
        <f>_xlfn.XLOOKUP(FMS_Ranking4[[#This Row],[FMS ID]],FMS_Input[FMS_ID],FMS_Input[FMS_DESCR])</f>
        <v>Application to join NFIP or adopt equivalent standards</v>
      </c>
      <c r="H639" s="248" t="str">
        <f>_xlfn.XLOOKUP(FMS_Ranking4[[#This Row],[FMS ID]],FMS_Input[FMS_ID],FMS_Input[FMS_TYPE])</f>
        <v>Regulatory and Guidance</v>
      </c>
      <c r="I639" s="249">
        <f>_xlfn.XLOOKUP(FMS_Ranking4[[#This Row],[FMS ID]],FMS_Input[FMS_ID],FMS_Input[NRNC_COST])</f>
        <v>100000</v>
      </c>
      <c r="J639" s="250">
        <f>_xlfn.XLOOKUP(FMS_Ranking4[[#This Row],[FMS ID]],FMS_Input[FMS_ID],FMS_Input[FMS_COST])</f>
        <v>100000</v>
      </c>
      <c r="K639" s="251" t="str">
        <f>_xlfn.XLOOKUP(FMS_Ranking4[[#This Row],[FMS ID]],FMS_Input[FMS_ID],FMS_Input[EMER_NEED])</f>
        <v>No</v>
      </c>
      <c r="L639" s="252">
        <f t="shared" si="9"/>
        <v>0</v>
      </c>
      <c r="M639" s="253">
        <f>_xlfn.XLOOKUP(FMS_Ranking4[[#This Row],[FMS ID]],FMS_Input[FMS_ID],FMS_Input[STRUCT_100])</f>
        <v>67</v>
      </c>
      <c r="N639" s="255">
        <f>(ASINH(FMS_Ranking4[[#This Row],[Structure at Risk Raw]]))*(10)/(ASINH(M$4))</f>
        <v>3.8504751178260257</v>
      </c>
      <c r="O639" s="256">
        <f>FMS_Ranking4[[#This Row],[Structures at risk, ArcSinh (0-10)]]*M$5*10</f>
        <v>3.8504751178260261</v>
      </c>
      <c r="P639" s="253">
        <f>_xlfn.XLOOKUP(FMS_Ranking4[[#This Row],[FMS ID]],FMS_Input[FMS_ID],FMS_Input[RES_STRUCT100])</f>
        <v>0</v>
      </c>
      <c r="Q639" s="257">
        <f>ASINH(FMS_Ranking4[[#This Row],[Res Structure Raw]])/Q$4*P$5*100</f>
        <v>0</v>
      </c>
      <c r="R639" s="253">
        <f>_xlfn.XLOOKUP(FMS_Ranking4[[#This Row],[FMS ID]],FMS_Input[FMS_ID],FMS_Input[POP100])</f>
        <v>47</v>
      </c>
      <c r="S639" s="255">
        <f>(ASINH(FMS_Ranking4[[#This Row],[Pop at Risk Raw]]))*(10)/(ASINH(R$4))</f>
        <v>3.1365790063381831</v>
      </c>
      <c r="T639" s="256">
        <f>FMS_Ranking4[[#This Row],[Population at risk, ArcSinh (0-10)]]*R$5*10</f>
        <v>3.1365790063381831</v>
      </c>
      <c r="U639" s="253">
        <f>_xlfn.XLOOKUP(FMS_Ranking4[[#This Row],[FMS ID]],FMS_Input[FMS_ID],FMS_Input[CRITFAC100])</f>
        <v>0</v>
      </c>
      <c r="V639" s="255">
        <f>(ASINH(FMS_Ranking4[[#This Row],[Critical Facilities Raw]]))*(10)/(ASINH(U$4))</f>
        <v>0</v>
      </c>
      <c r="W639" s="256">
        <f>FMS_Ranking4[[#This Row],[Critical facilities at risk, ArcSinh (0-10)]]*U$5*10</f>
        <v>0</v>
      </c>
      <c r="X639" s="253">
        <f>_xlfn.XLOOKUP(FMS_Ranking4[[#This Row],[FMS ID]],FMS_Input[FMS_ID],FMS_Input[LWC])</f>
        <v>1</v>
      </c>
      <c r="Y639" s="255">
        <f>(ASINH(FMS_Ranking4[[#This Row],[LWC Raw]]))*(10)/(ASINH(X$4))</f>
        <v>1.1940300948531093</v>
      </c>
      <c r="Z639" s="256">
        <f>FMS_Ranking4[[#This Row],[LWC, ArcSInh (0-10)]]*X$5*10</f>
        <v>1.1940300948531093</v>
      </c>
      <c r="AA639" s="253">
        <f>_xlfn.XLOOKUP(FMS_Ranking4[[#This Row],[FMS ID]],FMS_Input[FMS_ID],FMS_Input[ROADCLS])</f>
        <v>1</v>
      </c>
      <c r="AB639" s="255">
        <f>(ASINH(FMS_Ranking4[[#This Row],[Road Closures Raw]]))*(10)/(ASINH(AA$4))</f>
        <v>0.91786969566638699</v>
      </c>
      <c r="AC639" s="256">
        <f>FMS_Ranking4[[#This Row],[Road closures, ArcSinh (0-10)]]*AA$5*10</f>
        <v>0.45893484783319349</v>
      </c>
      <c r="AD639" s="253">
        <f>_xlfn.XLOOKUP(FMS_Ranking4[[#This Row],[FMS ID]],FMS_Input[FMS_ID],FMS_Input[ROAD_MILES100])</f>
        <v>3</v>
      </c>
      <c r="AE639" s="255">
        <f>(ASINH(FMS_Ranking4[[#This Row],[Road Miles Raw]]))*(10)/(ASINH(AD$4))</f>
        <v>1.937963626835977</v>
      </c>
      <c r="AF639" s="256">
        <f>FMS_Ranking4[[#This Row],[Length of roads at risk, ArcSinh (0-10)]]*AD$5*10</f>
        <v>1.937963626835977</v>
      </c>
      <c r="AG639" s="253">
        <f>_xlfn.XLOOKUP(FMS_Ranking4[[#This Row],[FMS ID]],FMS_Input[FMS_ID],FMS_Input[FARMACRE100])</f>
        <v>1.675092816352844</v>
      </c>
      <c r="AH639" s="255">
        <f>(ASINH(FMS_Ranking4[[#This Row],[Ag Land Raw]]))*(10)/(ASINH(AG$4))</f>
        <v>0.8367407266954705</v>
      </c>
      <c r="AI639" s="260">
        <f>FMS_Ranking4[[#This Row],[Farm &amp; ranch land, ArcSinh (0-10)]]*AG$5*10</f>
        <v>0.41837036334773531</v>
      </c>
      <c r="AJ639" s="258">
        <f>_xlfn.XLOOKUP(FMS_Ranking4[[#This Row],[FMS ID]],FMS_Input[FMS_ID],FMS_Input[REDSTRUCT100])</f>
        <v>0</v>
      </c>
      <c r="AK639" s="253">
        <f>_xlfn.XLOOKUP(FMS_Ranking4[[#This Row],[FMS ID]],FMS_Input[FMS_ID],FMS_Input[REMSTRC100])</f>
        <v>0</v>
      </c>
      <c r="AL639" s="255">
        <f>(ASINH(FMS_Ranking4[[#This Row],[Structures Removed Raw]]))*(10)/(ASINH(AK$4))</f>
        <v>0</v>
      </c>
      <c r="AM639" s="262">
        <f>FMS_Ranking4[[#This Row],[Structures removed, ArcSinh (0-10)]]*AK$5*10</f>
        <v>0</v>
      </c>
      <c r="AN639" s="253">
        <f>_xlfn.XLOOKUP(FMS_Ranking4[[#This Row],[FMS ID]],FMS_Input[FMS_ID],FMS_Input[REMRESSTRC100])</f>
        <v>0</v>
      </c>
      <c r="AO639" s="261">
        <f>FMS_Ranking4[[#This Row],[ArcSinh Res struct removed 0-10]]*AN$5*10</f>
        <v>0</v>
      </c>
      <c r="AP639" s="260">
        <f>ASINH(FMS_Ranking4[[#This Row],[Residential Structures Removed Raw]])/AP$4*AN$5*100</f>
        <v>0</v>
      </c>
      <c r="AQ639" s="258">
        <f>(ASINH(FMS_Ranking4[[#This Row],[Residential Structures Removed Raw]]))*(10)/(ASINH(AN$4))</f>
        <v>0</v>
      </c>
      <c r="AR639" s="253">
        <f>_xlfn.XLOOKUP(FMS_Ranking4[[#This Row],[FMS ID]],FMS_Input[FMS_ID],FMS_Input[REMPOP100])</f>
        <v>0</v>
      </c>
      <c r="AS639" s="255">
        <f>(ASINH(FMS_Ranking4[[#This Row],[Removed Pop Raw]]))*(10)/(ASINH(AR$4))</f>
        <v>0</v>
      </c>
      <c r="AT639" s="262">
        <f>FMS_Ranking4[[#This Row],[Removed population, ArcSinh (0-10)]]*AR$5*10</f>
        <v>0</v>
      </c>
      <c r="AU639" s="264">
        <f>_xlfn.XLOOKUP(FMS_Ranking4[[#This Row],[FMS ID]],FMS_Input[FMS_ID],FMS_Input[REMCRITFAC100])</f>
        <v>0</v>
      </c>
      <c r="AV639" s="264">
        <f>_xlfn.XLOOKUP(FMS_Ranking4[[#This Row],[FMS ID]],FMS_Input[FMS_ID],FMS_Input[REMLWC100])</f>
        <v>0</v>
      </c>
      <c r="AW639" s="264">
        <f>_xlfn.XLOOKUP(FMS_Ranking4[[#This Row],[FMS ID]],FMS_Input[FMS_ID],FMS_Input[REMROADCLS])</f>
        <v>0</v>
      </c>
      <c r="AX639" s="264">
        <f>_xlfn.XLOOKUP(FMS_Ranking4[[#This Row],[FMS ID]],FMS_Input[FMS_ID],FMS_Input[REMFRMACRE100])</f>
        <v>0</v>
      </c>
      <c r="AY639" s="258">
        <f>_xlfn.XLOOKUP(FMS_Ranking4[[#This Row],[FMS ID]],FMS_Input[FMS_ID],FMS_Input[COSTSTRUCT])</f>
        <v>0</v>
      </c>
      <c r="AZ639" s="253">
        <f>_xlfn.XLOOKUP(FMS_Ranking4[[#This Row],[FMS ID]],FMS_Input[FMS_ID],FMS_Input[NATURE])</f>
        <v>0</v>
      </c>
      <c r="BA639" s="262">
        <f>(((FMS_Ranking4[[#This Row],[% NBS Raw]]/AZ$4)*100)*AZ$5)</f>
        <v>0</v>
      </c>
      <c r="BB639" s="251" t="str">
        <f>_xlfn.XLOOKUP(FMS_Ranking4[[#This Row],[FMS ID]],FMS_Input[FMS_ID],FMS_Input[WATER_SUP])</f>
        <v>No</v>
      </c>
      <c r="BC639" s="265">
        <f>IF(FMS_Ranking4[[#This Row],[Water Supply Raw]]="Yes",10,0)</f>
        <v>0</v>
      </c>
      <c r="BD639" s="266">
        <f>_xlfn.XLOOKUP(FMS_Ranking4[[#This Row],[FMS Type]],FMS_TYPE[FMS_Type],FMS_TYPE[Score])</f>
        <v>8</v>
      </c>
      <c r="BE639" s="267">
        <f>FMS_Ranking4[[#This Row],[FMS_Type Score]]*$BD$5*10</f>
        <v>2</v>
      </c>
      <c r="BF63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2.2667277053495829E-2</v>
      </c>
      <c r="BG639" s="321">
        <f>_xlfn.RANK.EQ(BF639,$BF$8:$BF$870,0)+COUNTIF($BF$8:BF639,BF639)-1</f>
        <v>623</v>
      </c>
      <c r="BH639" s="294">
        <f>(((FMS_Ranking4[[#This Row],[Structures Removed Raw]]/AK$4)*100)*AK$5)+(((FMS_Ranking4[[#This Row],[Removed Pop Raw]]/AR$4)*100)*AR$5)</f>
        <v>0</v>
      </c>
      <c r="BI63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2.0226672770534959</v>
      </c>
      <c r="BJ639" s="251">
        <f>_xlfn.RANK.EQ(FMS_Ranking4[[#This Row],[Total Score 
(with linear
normalization)]],FMS_Ranking4[Total Score 
(with linear
normalization)],0)</f>
        <v>408</v>
      </c>
      <c r="BK639" s="251" t="e">
        <f>_xlfn.XLOOKUP(FMS_Ranking4[[#This Row],[FMS ID]],#REF!,#REF!)</f>
        <v>#REF!</v>
      </c>
      <c r="BL63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10.996353057034224</v>
      </c>
      <c r="BM639" s="324">
        <f>FMS_Ranking4[[#This Row],[ArcSinh Score Based on Normalized Reported Factors]]+FMS_Ranking4[[#This Row],[% NBS Score (Normalized)]]+(FMS_Ranking4[[#This Row],[Water Supply Score (Normalized)]]*10*$BB$5)+FMS_Ranking4[[#This Row],[FMS_Type Score Weighted]]</f>
        <v>12.996353057034224</v>
      </c>
      <c r="BN639" s="251">
        <f>_xlfn.RANK.EQ(FMS_Ranking4[[#This Row],[Total Score (with ArcSinh normalization of select criteria)]],FMS_Ranking4[Total Score (with ArcSinh normalization of select criteria)],0)</f>
        <v>632</v>
      </c>
      <c r="BO639" s="270" t="str">
        <f>_xlfn.XLOOKUP(FMS_Ranking4[[#This Row],[FMS ID]],FMS_Input[FMS_ID],FMS_Input[FMS_RANK_YEAR])</f>
        <v>2023 Amended Plan</v>
      </c>
      <c r="BP639" s="204">
        <f>_xlfn.XLOOKUP(FMS_Ranking4[[#This Row],[FMS ID]],Prev_Rank[FMS ID],Prev_Rank[Prev Rank])</f>
        <v>559</v>
      </c>
      <c r="BQ639" s="251" t="e">
        <f>_xlfn.XLOOKUP(FMS_Ranking4[[#This Row],[FMS ID]],#REF!,#REF!)</f>
        <v>#REF!</v>
      </c>
      <c r="BR639" s="199" t="e">
        <f>SUM(#REF!,#REF!,#REF!,#REF!,#REF!,#REF!,#REF!,#REF!,#REF!,FMS_Ranking4[[#This Row],[ArcSinh Res struct removed 0-10]],#REF!)</f>
        <v>#REF!</v>
      </c>
      <c r="BS639" s="199" t="e">
        <f>FMS_Ranking4[[#This Row],[Log Score Based on Normalized Reported Factors]]+FMS_Ranking4[[#This Row],[% NBS Score (Normalized)]]+(FMS_Ranking4[[#This Row],[Water Supply Score (Normalized)]]*10*$BB$5)+(FMS_Ranking4[[#This Row],[FMS_Type Score Weighted]])</f>
        <v>#REF!</v>
      </c>
      <c r="BT639" s="200" t="e">
        <f>_xlfn.RANK.EQ(FMS_Ranking4[[#This Row],[Log Total Score]],FMS_Ranking4[Log Total Score],0)</f>
        <v>#REF!</v>
      </c>
      <c r="BU639" s="200" t="e">
        <f>_xlfn.XLOOKUP(FMS_Ranking4[[#This Row],[FMS ID]],#REF!,#REF!)</f>
        <v>#REF!</v>
      </c>
      <c r="BV639" s="200">
        <f>FMS_Ranking4[[#This Row],[Region Number]]</f>
        <v>1</v>
      </c>
      <c r="BW639" s="200">
        <f>FMS_Ranking4[[#This Row],[Rank (with ArcSinh normalization of select criteria)]]-FMS_Ranking4[[#This Row],[Rank
(with linear
normalization)]]</f>
        <v>224</v>
      </c>
      <c r="BX639" s="200" t="e">
        <f>FMS_Ranking4[[#This Row],[Log Rank]]-FMS_Ranking4[[#This Row],[Rank
(with linear
normalization)]]</f>
        <v>#REF!</v>
      </c>
      <c r="BY639" s="200" t="str">
        <f>IF(FMS_Ranking4[[#This Row],[FMS Type]]="Flood Measurement and Warning",FMS_Ranking4[[#This Row],[Rank (with ArcSinh normalization of select criteria)]],"")</f>
        <v/>
      </c>
      <c r="BZ639" s="200">
        <f>IF(FMS_Ranking4[[#This Row],[FMS Type]]="Regulatory and Guidance",FMS_Ranking4[[#This Row],[Rank (with ArcSinh normalization of select criteria)]],"")</f>
        <v>632</v>
      </c>
      <c r="CA639" s="200" t="str">
        <f>IF(FMS_Ranking4[[#This Row],[FMS Type]]="Education and Outreach",FMS_Ranking4[[#This Row],[Rank (with ArcSinh normalization of select criteria)]],"")</f>
        <v/>
      </c>
      <c r="CB639" s="200" t="str">
        <f>IF(FMS_Ranking4[[#This Row],[FMS Type]]="Property Acquisition and Structural Elevation",FMS_Ranking4[[#This Row],[Rank (with ArcSinh normalization of select criteria)]],"")</f>
        <v/>
      </c>
      <c r="CC639" s="200" t="str">
        <f>IF(FMS_Ranking4[[#This Row],[FMS Type]]="Infrastructure Projects",FMS_Ranking4[[#This Row],[Rank (with ArcSinh normalization of select criteria)]],"")</f>
        <v/>
      </c>
      <c r="CD639" s="200" t="str">
        <f>IF(FMS_Ranking4[[#This Row],[FMS Type]]="Other",FMS_Ranking4[[#This Row],[Rank (with ArcSinh normalization of select criteria)]],"")</f>
        <v/>
      </c>
      <c r="CE639" s="201"/>
      <c r="CF639" s="206"/>
      <c r="CG639" s="206"/>
      <c r="CH639" s="206"/>
      <c r="CI639" s="206"/>
      <c r="CJ639" s="206"/>
      <c r="CK639" s="206"/>
      <c r="CL639" s="206"/>
      <c r="CM639" s="206"/>
      <c r="CN639" s="206"/>
      <c r="CO639" s="206"/>
      <c r="CP639" s="206"/>
      <c r="CQ639" s="206"/>
      <c r="CR639" s="206"/>
    </row>
    <row r="640" spans="2:96" ht="45" x14ac:dyDescent="0.25">
      <c r="B640" s="341" t="s">
        <v>4810</v>
      </c>
      <c r="C640" s="246">
        <f>_xlfn.XLOOKUP(FMS_Ranking4[[#This Row],[FMS ID]],FMS_Input[FMS_ID],FMS_Input[RFPG_NUM])</f>
        <v>4</v>
      </c>
      <c r="D640" s="309" t="str">
        <f>_xlfn.XLOOKUP(FMS_Ranking4[[#This Row],[FMS ID]],FMS_Input[FMS_ID],FMS_Input[FMS_NAME])</f>
        <v>City of Gladewater Flood Awareness Program</v>
      </c>
      <c r="E640" s="308" t="str">
        <f>_xlfn.XLOOKUP(FMS_Ranking4[[#This Row],[FMS ID]],FMS_Input[FMS_ID],FMS_Input[SPONSOR])</f>
        <v>04002773</v>
      </c>
      <c r="F640" s="309" t="str">
        <f>_xlfn.XLOOKUP(FMS_Ranking4[[#This Row],[FMS ID]],Sponsor[FMS_ID],Sponsor[SPONSOR NAME])</f>
        <v>Gladewater</v>
      </c>
      <c r="G640" s="309" t="str">
        <f>_xlfn.XLOOKUP(FMS_Ranking4[[#This Row],[FMS ID]],FMS_Input[FMS_ID],FMS_Input[FMS_DESCR])</f>
        <v>Develop and implement the "Turn Around, Don’t Drown Program"</v>
      </c>
      <c r="H640" s="248" t="str">
        <f>_xlfn.XLOOKUP(FMS_Ranking4[[#This Row],[FMS ID]],FMS_Input[FMS_ID],FMS_Input[FMS_TYPE])</f>
        <v>Education and Outreach</v>
      </c>
      <c r="I640" s="249">
        <f>_xlfn.XLOOKUP(FMS_Ranking4[[#This Row],[FMS ID]],FMS_Input[FMS_ID],FMS_Input[NRNC_COST])</f>
        <v>10000</v>
      </c>
      <c r="J640" s="250">
        <f>_xlfn.XLOOKUP(FMS_Ranking4[[#This Row],[FMS ID]],FMS_Input[FMS_ID],FMS_Input[FMS_COST])</f>
        <v>10000</v>
      </c>
      <c r="K640" s="251" t="str">
        <f>_xlfn.XLOOKUP(FMS_Ranking4[[#This Row],[FMS ID]],FMS_Input[FMS_ID],FMS_Input[EMER_NEED])</f>
        <v>No</v>
      </c>
      <c r="L640" s="252">
        <f t="shared" si="9"/>
        <v>0</v>
      </c>
      <c r="M640" s="253">
        <f>_xlfn.XLOOKUP(FMS_Ranking4[[#This Row],[FMS ID]],FMS_Input[FMS_ID],FMS_Input[STRUCT_100])</f>
        <v>146</v>
      </c>
      <c r="N640" s="255">
        <f>(ASINH(FMS_Ranking4[[#This Row],[Structure at Risk Raw]]))*(10)/(ASINH(M$4))</f>
        <v>4.4627829406266981</v>
      </c>
      <c r="O640" s="256">
        <f>FMS_Ranking4[[#This Row],[Structures at risk, ArcSinh (0-10)]]*M$5*10</f>
        <v>4.4627829406266981</v>
      </c>
      <c r="P640" s="253">
        <f>_xlfn.XLOOKUP(FMS_Ranking4[[#This Row],[FMS ID]],FMS_Input[FMS_ID],FMS_Input[RES_STRUCT100])</f>
        <v>103</v>
      </c>
      <c r="Q640" s="257">
        <f>ASINH(FMS_Ranking4[[#This Row],[Res Structure Raw]])/Q$4*P$5*100</f>
        <v>0</v>
      </c>
      <c r="R640" s="253">
        <f>_xlfn.XLOOKUP(FMS_Ranking4[[#This Row],[FMS ID]],FMS_Input[FMS_ID],FMS_Input[POP100])</f>
        <v>25</v>
      </c>
      <c r="S640" s="259">
        <f>(ASINH(FMS_Ranking4[[#This Row],[Pop at Risk Raw]]))*(10)/(ASINH(R$4))</f>
        <v>2.7009732082816753</v>
      </c>
      <c r="T640" s="256">
        <f>FMS_Ranking4[[#This Row],[Population at risk, ArcSinh (0-10)]]*R$5*10</f>
        <v>2.7009732082816758</v>
      </c>
      <c r="U640" s="253">
        <f>_xlfn.XLOOKUP(FMS_Ranking4[[#This Row],[FMS ID]],FMS_Input[FMS_ID],FMS_Input[CRITFAC100])</f>
        <v>0</v>
      </c>
      <c r="V640" s="259">
        <f>(ASINH(FMS_Ranking4[[#This Row],[Critical Facilities Raw]]))*(10)/(ASINH(U$4))</f>
        <v>0</v>
      </c>
      <c r="W640" s="256">
        <f>FMS_Ranking4[[#This Row],[Critical facilities at risk, ArcSinh (0-10)]]*U$5*10</f>
        <v>0</v>
      </c>
      <c r="X640" s="253">
        <f>_xlfn.XLOOKUP(FMS_Ranking4[[#This Row],[FMS ID]],FMS_Input[FMS_ID],FMS_Input[LWC])</f>
        <v>0</v>
      </c>
      <c r="Y640" s="259">
        <f>(ASINH(FMS_Ranking4[[#This Row],[LWC Raw]]))*(10)/(ASINH(X$4))</f>
        <v>0</v>
      </c>
      <c r="Z640" s="256">
        <f>FMS_Ranking4[[#This Row],[LWC, ArcSInh (0-10)]]*X$5*10</f>
        <v>0</v>
      </c>
      <c r="AA640" s="253">
        <f>_xlfn.XLOOKUP(FMS_Ranking4[[#This Row],[FMS ID]],FMS_Input[FMS_ID],FMS_Input[ROADCLS])</f>
        <v>0</v>
      </c>
      <c r="AB640" s="255">
        <f>(ASINH(FMS_Ranking4[[#This Row],[Road Closures Raw]]))*(10)/(ASINH(AA$4))</f>
        <v>0</v>
      </c>
      <c r="AC640" s="256">
        <f>FMS_Ranking4[[#This Row],[Road closures, ArcSinh (0-10)]]*AA$5*10</f>
        <v>0</v>
      </c>
      <c r="AD640" s="253">
        <f>_xlfn.XLOOKUP(FMS_Ranking4[[#This Row],[FMS ID]],FMS_Input[FMS_ID],FMS_Input[ROAD_MILES100])</f>
        <v>4</v>
      </c>
      <c r="AE640" s="259">
        <f>(ASINH(FMS_Ranking4[[#This Row],[Road Miles Raw]]))*(10)/(ASINH(AD$4))</f>
        <v>2.2323872691766113</v>
      </c>
      <c r="AF640" s="256">
        <f>FMS_Ranking4[[#This Row],[Length of roads at risk, ArcSinh (0-10)]]*AD$5*10</f>
        <v>2.2323872691766113</v>
      </c>
      <c r="AG640" s="253">
        <f>_xlfn.XLOOKUP(FMS_Ranking4[[#This Row],[FMS ID]],FMS_Input[FMS_ID],FMS_Input[FARMACRE100])</f>
        <v>307.5699462890625</v>
      </c>
      <c r="AH640" s="255">
        <f>(ASINH(FMS_Ranking4[[#This Row],[Ag Land Raw]]))*(10)/(ASINH(AG$4))</f>
        <v>4.1715162867094451</v>
      </c>
      <c r="AI640" s="260">
        <f>FMS_Ranking4[[#This Row],[Farm &amp; ranch land, ArcSinh (0-10)]]*AG$5*10</f>
        <v>2.0857581433547225</v>
      </c>
      <c r="AJ640" s="258">
        <f>_xlfn.XLOOKUP(FMS_Ranking4[[#This Row],[FMS ID]],FMS_Input[FMS_ID],FMS_Input[REDSTRUCT100])</f>
        <v>0</v>
      </c>
      <c r="AK640" s="253">
        <f>_xlfn.XLOOKUP(FMS_Ranking4[[#This Row],[FMS ID]],FMS_Input[FMS_ID],FMS_Input[REMSTRC100])</f>
        <v>0</v>
      </c>
      <c r="AL640" s="259">
        <f>(ASINH(FMS_Ranking4[[#This Row],[Structures Removed Raw]]))*(10)/(ASINH(AK$4))</f>
        <v>0</v>
      </c>
      <c r="AM640" s="262">
        <f>FMS_Ranking4[[#This Row],[Structures removed, ArcSinh (0-10)]]*AK$5*10</f>
        <v>0</v>
      </c>
      <c r="AN640" s="253">
        <f>_xlfn.XLOOKUP(FMS_Ranking4[[#This Row],[FMS ID]],FMS_Input[FMS_ID],FMS_Input[REMRESSTRC100])</f>
        <v>0</v>
      </c>
      <c r="AO640" s="261">
        <f>FMS_Ranking4[[#This Row],[ArcSinh Res struct removed 0-10]]*AN$5*10</f>
        <v>0</v>
      </c>
      <c r="AP640" s="260">
        <f>ASINH(FMS_Ranking4[[#This Row],[Residential Structures Removed Raw]])/AP$4*AN$5*100</f>
        <v>0</v>
      </c>
      <c r="AQ640" s="254">
        <f>(ASINH(FMS_Ranking4[[#This Row],[Residential Structures Removed Raw]]))*(10)/(ASINH(AN$4))</f>
        <v>0</v>
      </c>
      <c r="AR640" s="253">
        <f>_xlfn.XLOOKUP(FMS_Ranking4[[#This Row],[FMS ID]],FMS_Input[FMS_ID],FMS_Input[REMPOP100])</f>
        <v>0</v>
      </c>
      <c r="AS640" s="259">
        <f>(ASINH(FMS_Ranking4[[#This Row],[Removed Pop Raw]]))*(10)/(ASINH(AR$4))</f>
        <v>0</v>
      </c>
      <c r="AT640" s="262">
        <f>FMS_Ranking4[[#This Row],[Removed population, ArcSinh (0-10)]]*AR$5*10</f>
        <v>0</v>
      </c>
      <c r="AU640" s="264">
        <f>_xlfn.XLOOKUP(FMS_Ranking4[[#This Row],[FMS ID]],FMS_Input[FMS_ID],FMS_Input[REMCRITFAC100])</f>
        <v>0</v>
      </c>
      <c r="AV640" s="264">
        <f>_xlfn.XLOOKUP(FMS_Ranking4[[#This Row],[FMS ID]],FMS_Input[FMS_ID],FMS_Input[REMLWC100])</f>
        <v>0</v>
      </c>
      <c r="AW640" s="264">
        <f>_xlfn.XLOOKUP(FMS_Ranking4[[#This Row],[FMS ID]],FMS_Input[FMS_ID],FMS_Input[REMROADCLS])</f>
        <v>0</v>
      </c>
      <c r="AX640" s="264">
        <f>_xlfn.XLOOKUP(FMS_Ranking4[[#This Row],[FMS ID]],FMS_Input[FMS_ID],FMS_Input[REMFRMACRE100])</f>
        <v>0</v>
      </c>
      <c r="AY640" s="258">
        <f>_xlfn.XLOOKUP(FMS_Ranking4[[#This Row],[FMS ID]],FMS_Input[FMS_ID],FMS_Input[COSTSTRUCT])</f>
        <v>0</v>
      </c>
      <c r="AZ640" s="253">
        <f>_xlfn.XLOOKUP(FMS_Ranking4[[#This Row],[FMS ID]],FMS_Input[FMS_ID],FMS_Input[NATURE])</f>
        <v>0</v>
      </c>
      <c r="BA640" s="262">
        <f>(((FMS_Ranking4[[#This Row],[% NBS Raw]]/AZ$4)*100)*AZ$5)</f>
        <v>0</v>
      </c>
      <c r="BB640" s="251" t="str">
        <f>_xlfn.XLOOKUP(FMS_Ranking4[[#This Row],[FMS ID]],FMS_Input[FMS_ID],FMS_Input[WATER_SUP])</f>
        <v>No</v>
      </c>
      <c r="BC640" s="265">
        <f>IF(FMS_Ranking4[[#This Row],[Water Supply Raw]]="Yes",10,0)</f>
        <v>0</v>
      </c>
      <c r="BD640" s="266">
        <f>_xlfn.XLOOKUP(FMS_Ranking4[[#This Row],[FMS Type]],FMS_TYPE[FMS_Type],FMS_TYPE[Score])</f>
        <v>6</v>
      </c>
      <c r="BE640" s="267">
        <f>FMS_Ranking4[[#This Row],[FMS_Type Score]]*$BD$5*10</f>
        <v>1.5000000000000002</v>
      </c>
      <c r="BF64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1.6350344858838066E-2</v>
      </c>
      <c r="BG640" s="271">
        <f>_xlfn.RANK.EQ(BF640,$BF$8:$BF$870,0)+COUNTIF($BF$8:BF640,BF640)-1</f>
        <v>651</v>
      </c>
      <c r="BH640" s="268">
        <f>(((FMS_Ranking4[[#This Row],[Structures Removed Raw]]/AK$4)*100)*AK$5)+(((FMS_Ranking4[[#This Row],[Removed Pop Raw]]/AR$4)*100)*AR$5)</f>
        <v>0</v>
      </c>
      <c r="BI64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1.5163503448588382</v>
      </c>
      <c r="BJ640" s="205">
        <f>_xlfn.RANK.EQ(FMS_Ranking4[[#This Row],[Total Score 
(with linear
normalization)]],FMS_Ranking4[Total Score 
(with linear
normalization)],0)</f>
        <v>597</v>
      </c>
      <c r="BK640" s="205" t="e">
        <f>_xlfn.XLOOKUP(FMS_Ranking4[[#This Row],[FMS ID]],#REF!,#REF!)</f>
        <v>#REF!</v>
      </c>
      <c r="BL64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11.481901561439708</v>
      </c>
      <c r="BM640" s="272">
        <f>FMS_Ranking4[[#This Row],[ArcSinh Score Based on Normalized Reported Factors]]+FMS_Ranking4[[#This Row],[% NBS Score (Normalized)]]+(FMS_Ranking4[[#This Row],[Water Supply Score (Normalized)]]*10*$BB$5)+FMS_Ranking4[[#This Row],[FMS_Type Score Weighted]]</f>
        <v>12.981901561439708</v>
      </c>
      <c r="BN640" s="205">
        <f>_xlfn.RANK.EQ(FMS_Ranking4[[#This Row],[Total Score (with ArcSinh normalization of select criteria)]],FMS_Ranking4[Total Score (with ArcSinh normalization of select criteria)],0)</f>
        <v>633</v>
      </c>
      <c r="BO640" s="270" t="str">
        <f>_xlfn.XLOOKUP(FMS_Ranking4[[#This Row],[FMS ID]],FMS_Input[FMS_ID],FMS_Input[FMS_RANK_YEAR])</f>
        <v>2023 Amended Plan</v>
      </c>
      <c r="BP640" s="204">
        <f>_xlfn.XLOOKUP(FMS_Ranking4[[#This Row],[FMS ID]],Prev_Rank[FMS ID],Prev_Rank[Prev Rank])</f>
        <v>533</v>
      </c>
      <c r="BQ640" s="205" t="e">
        <f>_xlfn.XLOOKUP(FMS_Ranking4[[#This Row],[FMS ID]],#REF!,#REF!)</f>
        <v>#REF!</v>
      </c>
      <c r="BR640" s="199" t="e">
        <f>SUM(#REF!,#REF!,#REF!,#REF!,#REF!,#REF!,#REF!,#REF!,#REF!,FMS_Ranking4[[#This Row],[ArcSinh Res struct removed 0-10]],#REF!)</f>
        <v>#REF!</v>
      </c>
      <c r="BS640" s="199" t="e">
        <f>FMS_Ranking4[[#This Row],[Log Score Based on Normalized Reported Factors]]+FMS_Ranking4[[#This Row],[% NBS Score (Normalized)]]+(FMS_Ranking4[[#This Row],[Water Supply Score (Normalized)]]*10*$BB$5)+(FMS_Ranking4[[#This Row],[FMS_Type Score Weighted]])</f>
        <v>#REF!</v>
      </c>
      <c r="BT640" s="200" t="e">
        <f>_xlfn.RANK.EQ(FMS_Ranking4[[#This Row],[Log Total Score]],FMS_Ranking4[Log Total Score],0)</f>
        <v>#REF!</v>
      </c>
      <c r="BU640" s="200" t="e">
        <f>_xlfn.XLOOKUP(FMS_Ranking4[[#This Row],[FMS ID]],#REF!,#REF!)</f>
        <v>#REF!</v>
      </c>
      <c r="BV640" s="200">
        <f>FMS_Ranking4[[#This Row],[Region Number]]</f>
        <v>4</v>
      </c>
      <c r="BW640" s="200">
        <f>FMS_Ranking4[[#This Row],[Rank (with ArcSinh normalization of select criteria)]]-FMS_Ranking4[[#This Row],[Rank
(with linear
normalization)]]</f>
        <v>36</v>
      </c>
      <c r="BX640" s="200" t="e">
        <f>FMS_Ranking4[[#This Row],[Log Rank]]-FMS_Ranking4[[#This Row],[Rank
(with linear
normalization)]]</f>
        <v>#REF!</v>
      </c>
      <c r="BY640" s="200" t="str">
        <f>IF(FMS_Ranking4[[#This Row],[FMS Type]]="Flood Measurement and Warning",FMS_Ranking4[[#This Row],[Rank (with ArcSinh normalization of select criteria)]],"")</f>
        <v/>
      </c>
      <c r="BZ640" s="200" t="str">
        <f>IF(FMS_Ranking4[[#This Row],[FMS Type]]="Regulatory and Guidance",FMS_Ranking4[[#This Row],[Rank (with ArcSinh normalization of select criteria)]],"")</f>
        <v/>
      </c>
      <c r="CA640" s="200">
        <f>IF(FMS_Ranking4[[#This Row],[FMS Type]]="Education and Outreach",FMS_Ranking4[[#This Row],[Rank (with ArcSinh normalization of select criteria)]],"")</f>
        <v>633</v>
      </c>
      <c r="CB640" s="200" t="str">
        <f>IF(FMS_Ranking4[[#This Row],[FMS Type]]="Property Acquisition and Structural Elevation",FMS_Ranking4[[#This Row],[Rank (with ArcSinh normalization of select criteria)]],"")</f>
        <v/>
      </c>
      <c r="CC640" s="200" t="str">
        <f>IF(FMS_Ranking4[[#This Row],[FMS Type]]="Infrastructure Projects",FMS_Ranking4[[#This Row],[Rank (with ArcSinh normalization of select criteria)]],"")</f>
        <v/>
      </c>
      <c r="CD640" s="200" t="str">
        <f>IF(FMS_Ranking4[[#This Row],[FMS Type]]="Other",FMS_Ranking4[[#This Row],[Rank (with ArcSinh normalization of select criteria)]],"")</f>
        <v/>
      </c>
      <c r="CE640" s="201"/>
      <c r="CF640" s="206"/>
      <c r="CG640" s="206"/>
      <c r="CH640" s="206"/>
      <c r="CI640" s="206"/>
      <c r="CJ640" s="206"/>
      <c r="CK640" s="206"/>
      <c r="CL640" s="206"/>
      <c r="CM640" s="206"/>
      <c r="CN640" s="206"/>
      <c r="CO640" s="206"/>
      <c r="CP640" s="206"/>
      <c r="CQ640" s="206"/>
      <c r="CR640" s="206"/>
    </row>
    <row r="641" spans="2:96" ht="135" x14ac:dyDescent="0.25">
      <c r="B641" s="341" t="s">
        <v>3433</v>
      </c>
      <c r="C641" s="246">
        <f>_xlfn.XLOOKUP(FMS_Ranking4[[#This Row],[FMS ID]],FMS_Input[FMS_ID],FMS_Input[RFPG_NUM])</f>
        <v>12</v>
      </c>
      <c r="D641" s="309" t="str">
        <f>_xlfn.XLOOKUP(FMS_Ranking4[[#This Row],[FMS ID]],FMS_Input[FMS_ID],FMS_Input[FMS_NAME])</f>
        <v>Study the San Antonio River and its tributes</v>
      </c>
      <c r="E641" s="308" t="str">
        <f>_xlfn.XLOOKUP(FMS_Ranking4[[#This Row],[FMS ID]],FMS_Input[FMS_ID],FMS_Input[SPONSOR])</f>
        <v>12002974</v>
      </c>
      <c r="F641" s="309" t="str">
        <f>_xlfn.XLOOKUP(FMS_Ranking4[[#This Row],[FMS ID]],Sponsor[FMS_ID],Sponsor[SPONSOR NAME])</f>
        <v>Falls City</v>
      </c>
      <c r="G641" s="309" t="str">
        <f>_xlfn.XLOOKUP(FMS_Ranking4[[#This Row],[FMS ID]],FMS_Input[FMS_ID],FMS_Input[FMS_DESCR])</f>
        <v>When the San Antonio River floods, the city is cutoff from the rest of the county (hospital and EMS) with islands lasting over a week. Install stream gauges and develop a study to identify solutions to flooding. SARA completed a study but County official</v>
      </c>
      <c r="H641" s="248" t="str">
        <f>_xlfn.XLOOKUP(FMS_Ranking4[[#This Row],[FMS ID]],FMS_Input[FMS_ID],FMS_Input[FMS_TYPE])</f>
        <v>Regulatory and Guidance</v>
      </c>
      <c r="I641" s="249">
        <f>_xlfn.XLOOKUP(FMS_Ranking4[[#This Row],[FMS ID]],FMS_Input[FMS_ID],FMS_Input[NRNC_COST])</f>
        <v>250000</v>
      </c>
      <c r="J641" s="250">
        <f>_xlfn.XLOOKUP(FMS_Ranking4[[#This Row],[FMS ID]],FMS_Input[FMS_ID],FMS_Input[FMS_COST])</f>
        <v>250000</v>
      </c>
      <c r="K641" s="251" t="str">
        <f>_xlfn.XLOOKUP(FMS_Ranking4[[#This Row],[FMS ID]],FMS_Input[FMS_ID],FMS_Input[EMER_NEED])</f>
        <v>No</v>
      </c>
      <c r="L641" s="252">
        <f t="shared" si="9"/>
        <v>0</v>
      </c>
      <c r="M641" s="253">
        <f>_xlfn.XLOOKUP(FMS_Ranking4[[#This Row],[FMS ID]],FMS_Input[FMS_ID],FMS_Input[STRUCT_100])</f>
        <v>37</v>
      </c>
      <c r="N641" s="255">
        <f>(ASINH(FMS_Ranking4[[#This Row],[Structure at Risk Raw]]))*(10)/(ASINH(M$4))</f>
        <v>3.3837795341027657</v>
      </c>
      <c r="O641" s="256">
        <f>FMS_Ranking4[[#This Row],[Structures at risk, ArcSinh (0-10)]]*M$5*10</f>
        <v>3.3837795341027661</v>
      </c>
      <c r="P641" s="253">
        <f>_xlfn.XLOOKUP(FMS_Ranking4[[#This Row],[FMS ID]],FMS_Input[FMS_ID],FMS_Input[RES_STRUCT100])</f>
        <v>19</v>
      </c>
      <c r="Q641" s="257">
        <f>ASINH(FMS_Ranking4[[#This Row],[Res Structure Raw]])/Q$4*P$5*100</f>
        <v>0</v>
      </c>
      <c r="R641" s="253">
        <f>_xlfn.XLOOKUP(FMS_Ranking4[[#This Row],[FMS ID]],FMS_Input[FMS_ID],FMS_Input[POP100])</f>
        <v>53</v>
      </c>
      <c r="S641" s="255">
        <f>(ASINH(FMS_Ranking4[[#This Row],[Pop at Risk Raw]]))*(10)/(ASINH(R$4))</f>
        <v>3.2195049358768659</v>
      </c>
      <c r="T641" s="256">
        <f>FMS_Ranking4[[#This Row],[Population at risk, ArcSinh (0-10)]]*R$5*10</f>
        <v>3.2195049358768664</v>
      </c>
      <c r="U641" s="253">
        <f>_xlfn.XLOOKUP(FMS_Ranking4[[#This Row],[FMS ID]],FMS_Input[FMS_ID],FMS_Input[CRITFAC100])</f>
        <v>0</v>
      </c>
      <c r="V641" s="255">
        <f>(ASINH(FMS_Ranking4[[#This Row],[Critical Facilities Raw]]))*(10)/(ASINH(U$4))</f>
        <v>0</v>
      </c>
      <c r="W641" s="256">
        <f>FMS_Ranking4[[#This Row],[Critical facilities at risk, ArcSinh (0-10)]]*U$5*10</f>
        <v>0</v>
      </c>
      <c r="X641" s="253">
        <f>_xlfn.XLOOKUP(FMS_Ranking4[[#This Row],[FMS ID]],FMS_Input[FMS_ID],FMS_Input[LWC])</f>
        <v>0</v>
      </c>
      <c r="Y641" s="255">
        <f>(ASINH(FMS_Ranking4[[#This Row],[LWC Raw]]))*(10)/(ASINH(X$4))</f>
        <v>0</v>
      </c>
      <c r="Z641" s="256">
        <f>FMS_Ranking4[[#This Row],[LWC, ArcSInh (0-10)]]*X$5*10</f>
        <v>0</v>
      </c>
      <c r="AA641" s="253">
        <f>_xlfn.XLOOKUP(FMS_Ranking4[[#This Row],[FMS ID]],FMS_Input[FMS_ID],FMS_Input[ROADCLS])</f>
        <v>21</v>
      </c>
      <c r="AB641" s="255">
        <f>(ASINH(FMS_Ranking4[[#This Row],[Road Closures Raw]]))*(10)/(ASINH(AA$4))</f>
        <v>3.8930297185649643</v>
      </c>
      <c r="AC641" s="256">
        <f>FMS_Ranking4[[#This Row],[Road closures, ArcSinh (0-10)]]*AA$5*10</f>
        <v>1.9465148592824821</v>
      </c>
      <c r="AD641" s="253">
        <f>_xlfn.XLOOKUP(FMS_Ranking4[[#This Row],[FMS ID]],FMS_Input[FMS_ID],FMS_Input[ROAD_MILES100])</f>
        <v>1</v>
      </c>
      <c r="AE641" s="255">
        <f>(ASINH(FMS_Ranking4[[#This Row],[Road Miles Raw]]))*(10)/(ASINH(AD$4))</f>
        <v>0.9393017565219649</v>
      </c>
      <c r="AF641" s="256">
        <f>FMS_Ranking4[[#This Row],[Length of roads at risk, ArcSinh (0-10)]]*AD$5*10</f>
        <v>0.93930175652196501</v>
      </c>
      <c r="AG641" s="253">
        <f>_xlfn.XLOOKUP(FMS_Ranking4[[#This Row],[FMS ID]],FMS_Input[FMS_ID],FMS_Input[FARMACRE100])</f>
        <v>27.729999542236332</v>
      </c>
      <c r="AH641" s="255">
        <f>(ASINH(FMS_Ranking4[[#This Row],[Ag Land Raw]]))*(10)/(ASINH(AG$4))</f>
        <v>2.6087107249707615</v>
      </c>
      <c r="AI641" s="260">
        <f>FMS_Ranking4[[#This Row],[Farm &amp; ranch land, ArcSinh (0-10)]]*AG$5*10</f>
        <v>1.3043553624853808</v>
      </c>
      <c r="AJ641" s="258">
        <f>_xlfn.XLOOKUP(FMS_Ranking4[[#This Row],[FMS ID]],FMS_Input[FMS_ID],FMS_Input[REDSTRUCT100])</f>
        <v>0</v>
      </c>
      <c r="AK641" s="253">
        <f>_xlfn.XLOOKUP(FMS_Ranking4[[#This Row],[FMS ID]],FMS_Input[FMS_ID],FMS_Input[REMSTRC100])</f>
        <v>0</v>
      </c>
      <c r="AL641" s="255">
        <f>(ASINH(FMS_Ranking4[[#This Row],[Structures Removed Raw]]))*(10)/(ASINH(AK$4))</f>
        <v>0</v>
      </c>
      <c r="AM641" s="262">
        <f>FMS_Ranking4[[#This Row],[Structures removed, ArcSinh (0-10)]]*AK$5*10</f>
        <v>0</v>
      </c>
      <c r="AN641" s="253">
        <f>_xlfn.XLOOKUP(FMS_Ranking4[[#This Row],[FMS ID]],FMS_Input[FMS_ID],FMS_Input[REMRESSTRC100])</f>
        <v>0</v>
      </c>
      <c r="AO641" s="261">
        <f>FMS_Ranking4[[#This Row],[ArcSinh Res struct removed 0-10]]*AN$5*10</f>
        <v>0</v>
      </c>
      <c r="AP641" s="260">
        <f>ASINH(FMS_Ranking4[[#This Row],[Residential Structures Removed Raw]])/AP$4*AN$5*100</f>
        <v>0</v>
      </c>
      <c r="AQ641" s="258">
        <f>(ASINH(FMS_Ranking4[[#This Row],[Residential Structures Removed Raw]]))*(10)/(ASINH(AN$4))</f>
        <v>0</v>
      </c>
      <c r="AR641" s="253">
        <f>_xlfn.XLOOKUP(FMS_Ranking4[[#This Row],[FMS ID]],FMS_Input[FMS_ID],FMS_Input[REMPOP100])</f>
        <v>0</v>
      </c>
      <c r="AS641" s="255">
        <f>(ASINH(FMS_Ranking4[[#This Row],[Removed Pop Raw]]))*(10)/(ASINH(AR$4))</f>
        <v>0</v>
      </c>
      <c r="AT641" s="262">
        <f>FMS_Ranking4[[#This Row],[Removed population, ArcSinh (0-10)]]*AR$5*10</f>
        <v>0</v>
      </c>
      <c r="AU641" s="264">
        <f>_xlfn.XLOOKUP(FMS_Ranking4[[#This Row],[FMS ID]],FMS_Input[FMS_ID],FMS_Input[REMCRITFAC100])</f>
        <v>0</v>
      </c>
      <c r="AV641" s="264">
        <f>_xlfn.XLOOKUP(FMS_Ranking4[[#This Row],[FMS ID]],FMS_Input[FMS_ID],FMS_Input[REMLWC100])</f>
        <v>0</v>
      </c>
      <c r="AW641" s="264">
        <f>_xlfn.XLOOKUP(FMS_Ranking4[[#This Row],[FMS ID]],FMS_Input[FMS_ID],FMS_Input[REMROADCLS])</f>
        <v>0</v>
      </c>
      <c r="AX641" s="264">
        <f>_xlfn.XLOOKUP(FMS_Ranking4[[#This Row],[FMS ID]],FMS_Input[FMS_ID],FMS_Input[REMFRMACRE100])</f>
        <v>0</v>
      </c>
      <c r="AY641" s="258">
        <f>_xlfn.XLOOKUP(FMS_Ranking4[[#This Row],[FMS ID]],FMS_Input[FMS_ID],FMS_Input[COSTSTRUCT])</f>
        <v>0</v>
      </c>
      <c r="AZ641" s="253">
        <f>_xlfn.XLOOKUP(FMS_Ranking4[[#This Row],[FMS ID]],FMS_Input[FMS_ID],FMS_Input[NATURE])</f>
        <v>0</v>
      </c>
      <c r="BA641" s="262">
        <f>(((FMS_Ranking4[[#This Row],[% NBS Raw]]/AZ$4)*100)*AZ$5)</f>
        <v>0</v>
      </c>
      <c r="BB641" s="251" t="str">
        <f>_xlfn.XLOOKUP(FMS_Ranking4[[#This Row],[FMS ID]],FMS_Input[FMS_ID],FMS_Input[WATER_SUP])</f>
        <v>No</v>
      </c>
      <c r="BC641" s="265">
        <f>IF(FMS_Ranking4[[#This Row],[Water Supply Raw]]="Yes",10,0)</f>
        <v>0</v>
      </c>
      <c r="BD641" s="266">
        <f>_xlfn.XLOOKUP(FMS_Ranking4[[#This Row],[FMS Type]],FMS_TYPE[FMS_Type],FMS_TYPE[Score])</f>
        <v>8</v>
      </c>
      <c r="BE641" s="267">
        <f>FMS_Ranking4[[#This Row],[FMS_Type Score]]*$BD$5*10</f>
        <v>2</v>
      </c>
      <c r="BF64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1.8683893459952174E-2</v>
      </c>
      <c r="BG641" s="321">
        <f>_xlfn.RANK.EQ(BF641,$BF$8:$BF$870,0)+COUNTIF($BF$8:BF641,BF641)-1</f>
        <v>637</v>
      </c>
      <c r="BH641" s="294">
        <f>(((FMS_Ranking4[[#This Row],[Structures Removed Raw]]/AK$4)*100)*AK$5)+(((FMS_Ranking4[[#This Row],[Removed Pop Raw]]/AR$4)*100)*AR$5)</f>
        <v>0</v>
      </c>
      <c r="BI64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2.018683893459952</v>
      </c>
      <c r="BJ641" s="251">
        <f>_xlfn.RANK.EQ(FMS_Ranking4[[#This Row],[Total Score 
(with linear
normalization)]],FMS_Ranking4[Total Score 
(with linear
normalization)],0)</f>
        <v>412</v>
      </c>
      <c r="BK641" s="251" t="e">
        <f>_xlfn.XLOOKUP(FMS_Ranking4[[#This Row],[FMS ID]],#REF!,#REF!)</f>
        <v>#REF!</v>
      </c>
      <c r="BL64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10.793456448269461</v>
      </c>
      <c r="BM641" s="324">
        <f>FMS_Ranking4[[#This Row],[ArcSinh Score Based on Normalized Reported Factors]]+FMS_Ranking4[[#This Row],[% NBS Score (Normalized)]]+(FMS_Ranking4[[#This Row],[Water Supply Score (Normalized)]]*10*$BB$5)+FMS_Ranking4[[#This Row],[FMS_Type Score Weighted]]</f>
        <v>12.793456448269461</v>
      </c>
      <c r="BN641" s="251">
        <f>_xlfn.RANK.EQ(FMS_Ranking4[[#This Row],[Total Score (with ArcSinh normalization of select criteria)]],FMS_Ranking4[Total Score (with ArcSinh normalization of select criteria)],0)</f>
        <v>634</v>
      </c>
      <c r="BO641" s="270" t="str">
        <f>_xlfn.XLOOKUP(FMS_Ranking4[[#This Row],[FMS ID]],FMS_Input[FMS_ID],FMS_Input[FMS_RANK_YEAR])</f>
        <v>2023 Amended Plan</v>
      </c>
      <c r="BP641" s="204">
        <f>_xlfn.XLOOKUP(FMS_Ranking4[[#This Row],[FMS ID]],Prev_Rank[FMS ID],Prev_Rank[Prev Rank])</f>
        <v>561</v>
      </c>
      <c r="BQ641" s="251" t="e">
        <f>_xlfn.XLOOKUP(FMS_Ranking4[[#This Row],[FMS ID]],#REF!,#REF!)</f>
        <v>#REF!</v>
      </c>
      <c r="BR641" s="199" t="e">
        <f>SUM(#REF!,#REF!,#REF!,#REF!,#REF!,#REF!,#REF!,#REF!,#REF!,FMS_Ranking4[[#This Row],[ArcSinh Res struct removed 0-10]],#REF!)</f>
        <v>#REF!</v>
      </c>
      <c r="BS641" s="199" t="e">
        <f>FMS_Ranking4[[#This Row],[Log Score Based on Normalized Reported Factors]]+FMS_Ranking4[[#This Row],[% NBS Score (Normalized)]]+(FMS_Ranking4[[#This Row],[Water Supply Score (Normalized)]]*10*$BB$5)+(FMS_Ranking4[[#This Row],[FMS_Type Score Weighted]])</f>
        <v>#REF!</v>
      </c>
      <c r="BT641" s="200" t="e">
        <f>_xlfn.RANK.EQ(FMS_Ranking4[[#This Row],[Log Total Score]],FMS_Ranking4[Log Total Score],0)</f>
        <v>#REF!</v>
      </c>
      <c r="BU641" s="200" t="e">
        <f>_xlfn.XLOOKUP(FMS_Ranking4[[#This Row],[FMS ID]],#REF!,#REF!)</f>
        <v>#REF!</v>
      </c>
      <c r="BV641" s="200">
        <f>FMS_Ranking4[[#This Row],[Region Number]]</f>
        <v>12</v>
      </c>
      <c r="BW641" s="200">
        <f>FMS_Ranking4[[#This Row],[Rank (with ArcSinh normalization of select criteria)]]-FMS_Ranking4[[#This Row],[Rank
(with linear
normalization)]]</f>
        <v>222</v>
      </c>
      <c r="BX641" s="200" t="e">
        <f>FMS_Ranking4[[#This Row],[Log Rank]]-FMS_Ranking4[[#This Row],[Rank
(with linear
normalization)]]</f>
        <v>#REF!</v>
      </c>
      <c r="BY641" s="200" t="str">
        <f>IF(FMS_Ranking4[[#This Row],[FMS Type]]="Flood Measurement and Warning",FMS_Ranking4[[#This Row],[Rank (with ArcSinh normalization of select criteria)]],"")</f>
        <v/>
      </c>
      <c r="BZ641" s="200">
        <f>IF(FMS_Ranking4[[#This Row],[FMS Type]]="Regulatory and Guidance",FMS_Ranking4[[#This Row],[Rank (with ArcSinh normalization of select criteria)]],"")</f>
        <v>634</v>
      </c>
      <c r="CA641" s="200" t="str">
        <f>IF(FMS_Ranking4[[#This Row],[FMS Type]]="Education and Outreach",FMS_Ranking4[[#This Row],[Rank (with ArcSinh normalization of select criteria)]],"")</f>
        <v/>
      </c>
      <c r="CB641" s="200" t="str">
        <f>IF(FMS_Ranking4[[#This Row],[FMS Type]]="Property Acquisition and Structural Elevation",FMS_Ranking4[[#This Row],[Rank (with ArcSinh normalization of select criteria)]],"")</f>
        <v/>
      </c>
      <c r="CC641" s="200" t="str">
        <f>IF(FMS_Ranking4[[#This Row],[FMS Type]]="Infrastructure Projects",FMS_Ranking4[[#This Row],[Rank (with ArcSinh normalization of select criteria)]],"")</f>
        <v/>
      </c>
      <c r="CD641" s="200" t="str">
        <f>IF(FMS_Ranking4[[#This Row],[FMS Type]]="Other",FMS_Ranking4[[#This Row],[Rank (with ArcSinh normalization of select criteria)]],"")</f>
        <v/>
      </c>
      <c r="CE641" s="201"/>
      <c r="CF641" s="206"/>
      <c r="CG641" s="206"/>
      <c r="CH641" s="206"/>
      <c r="CI641" s="206"/>
      <c r="CJ641" s="206"/>
      <c r="CK641" s="206"/>
      <c r="CL641" s="206"/>
      <c r="CM641" s="206"/>
      <c r="CN641" s="206"/>
      <c r="CO641" s="206"/>
      <c r="CP641" s="206"/>
      <c r="CQ641" s="206"/>
      <c r="CR641" s="206"/>
    </row>
    <row r="642" spans="2:96" ht="75" x14ac:dyDescent="0.25">
      <c r="B642" s="341" t="s">
        <v>2585</v>
      </c>
      <c r="C642" s="246">
        <f>_xlfn.XLOOKUP(FMS_Ranking4[[#This Row],[FMS ID]],FMS_Input[FMS_ID],FMS_Input[RFPG_NUM])</f>
        <v>4</v>
      </c>
      <c r="D642" s="309" t="str">
        <f>_xlfn.XLOOKUP(FMS_Ranking4[[#This Row],[FMS ID]],FMS_Input[FMS_ID],FMS_Input[FMS_NAME])</f>
        <v>City of Fate Flood Infrastructure Maintenance</v>
      </c>
      <c r="E642" s="308" t="str">
        <f>_xlfn.XLOOKUP(FMS_Ranking4[[#This Row],[FMS ID]],FMS_Input[FMS_ID],FMS_Input[SPONSOR])</f>
        <v>00002648</v>
      </c>
      <c r="F642" s="309" t="str">
        <f>_xlfn.XLOOKUP(FMS_Ranking4[[#This Row],[FMS ID]],Sponsor[FMS_ID],Sponsor[SPONSOR NAME])</f>
        <v>Fate</v>
      </c>
      <c r="G642" s="309" t="str">
        <f>_xlfn.XLOOKUP(FMS_Ranking4[[#This Row],[FMS ID]],FMS_Input[FMS_ID],FMS_Input[FMS_DESCR])</f>
        <v xml:space="preserve">Develop and implement a county-wide pre-disaster debris removal and monitoring contracts_x000D_
</v>
      </c>
      <c r="H642" s="248" t="str">
        <f>_xlfn.XLOOKUP(FMS_Ranking4[[#This Row],[FMS ID]],FMS_Input[FMS_ID],FMS_Input[FMS_TYPE])</f>
        <v>Other</v>
      </c>
      <c r="I642" s="249">
        <f>_xlfn.XLOOKUP(FMS_Ranking4[[#This Row],[FMS ID]],FMS_Input[FMS_ID],FMS_Input[NRNC_COST])</f>
        <v>100000</v>
      </c>
      <c r="J642" s="250">
        <f>_xlfn.XLOOKUP(FMS_Ranking4[[#This Row],[FMS ID]],FMS_Input[FMS_ID],FMS_Input[FMS_COST])</f>
        <v>100000</v>
      </c>
      <c r="K642" s="251" t="str">
        <f>_xlfn.XLOOKUP(FMS_Ranking4[[#This Row],[FMS ID]],FMS_Input[FMS_ID],FMS_Input[EMER_NEED])</f>
        <v>No</v>
      </c>
      <c r="L642" s="252">
        <f t="shared" si="9"/>
        <v>0</v>
      </c>
      <c r="M642" s="253">
        <f>_xlfn.XLOOKUP(FMS_Ranking4[[#This Row],[FMS ID]],FMS_Input[FMS_ID],FMS_Input[STRUCT_100])</f>
        <v>21</v>
      </c>
      <c r="N642" s="255">
        <f>(ASINH(FMS_Ranking4[[#This Row],[Structure at Risk Raw]]))*(10)/(ASINH(M$4))</f>
        <v>2.9388101190229365</v>
      </c>
      <c r="O642" s="256">
        <f>FMS_Ranking4[[#This Row],[Structures at risk, ArcSinh (0-10)]]*M$5*10</f>
        <v>2.9388101190229365</v>
      </c>
      <c r="P642" s="253">
        <f>_xlfn.XLOOKUP(FMS_Ranking4[[#This Row],[FMS ID]],FMS_Input[FMS_ID],FMS_Input[RES_STRUCT100])</f>
        <v>21</v>
      </c>
      <c r="Q642" s="257">
        <f>ASINH(FMS_Ranking4[[#This Row],[Res Structure Raw]])/Q$4*P$5*100</f>
        <v>0</v>
      </c>
      <c r="R642" s="253">
        <f>_xlfn.XLOOKUP(FMS_Ranking4[[#This Row],[FMS ID]],FMS_Input[FMS_ID],FMS_Input[POP100])</f>
        <v>128</v>
      </c>
      <c r="S642" s="259">
        <f>(ASINH(FMS_Ranking4[[#This Row],[Pop at Risk Raw]]))*(10)/(ASINH(R$4))</f>
        <v>3.8281693524726963</v>
      </c>
      <c r="T642" s="256">
        <f>FMS_Ranking4[[#This Row],[Population at risk, ArcSinh (0-10)]]*R$5*10</f>
        <v>3.8281693524726967</v>
      </c>
      <c r="U642" s="253">
        <f>_xlfn.XLOOKUP(FMS_Ranking4[[#This Row],[FMS ID]],FMS_Input[FMS_ID],FMS_Input[CRITFAC100])</f>
        <v>0</v>
      </c>
      <c r="V642" s="259">
        <f>(ASINH(FMS_Ranking4[[#This Row],[Critical Facilities Raw]]))*(10)/(ASINH(U$4))</f>
        <v>0</v>
      </c>
      <c r="W642" s="256">
        <f>FMS_Ranking4[[#This Row],[Critical facilities at risk, ArcSinh (0-10)]]*U$5*10</f>
        <v>0</v>
      </c>
      <c r="X642" s="253">
        <f>_xlfn.XLOOKUP(FMS_Ranking4[[#This Row],[FMS ID]],FMS_Input[FMS_ID],FMS_Input[LWC])</f>
        <v>1</v>
      </c>
      <c r="Y642" s="259">
        <f>(ASINH(FMS_Ranking4[[#This Row],[LWC Raw]]))*(10)/(ASINH(X$4))</f>
        <v>1.1940300948531093</v>
      </c>
      <c r="Z642" s="256">
        <f>FMS_Ranking4[[#This Row],[LWC, ArcSInh (0-10)]]*X$5*10</f>
        <v>1.1940300948531093</v>
      </c>
      <c r="AA642" s="253">
        <f>_xlfn.XLOOKUP(FMS_Ranking4[[#This Row],[FMS ID]],FMS_Input[FMS_ID],FMS_Input[ROADCLS])</f>
        <v>1</v>
      </c>
      <c r="AB642" s="255">
        <f>(ASINH(FMS_Ranking4[[#This Row],[Road Closures Raw]]))*(10)/(ASINH(AA$4))</f>
        <v>0.91786969566638699</v>
      </c>
      <c r="AC642" s="256">
        <f>FMS_Ranking4[[#This Row],[Road closures, ArcSinh (0-10)]]*AA$5*10</f>
        <v>0.45893484783319349</v>
      </c>
      <c r="AD642" s="253">
        <f>_xlfn.XLOOKUP(FMS_Ranking4[[#This Row],[FMS ID]],FMS_Input[FMS_ID],FMS_Input[ROAD_MILES100])</f>
        <v>3</v>
      </c>
      <c r="AE642" s="259">
        <f>(ASINH(FMS_Ranking4[[#This Row],[Road Miles Raw]]))*(10)/(ASINH(AD$4))</f>
        <v>1.937963626835977</v>
      </c>
      <c r="AF642" s="256">
        <f>FMS_Ranking4[[#This Row],[Length of roads at risk, ArcSinh (0-10)]]*AD$5*10</f>
        <v>1.937963626835977</v>
      </c>
      <c r="AG642" s="253">
        <f>_xlfn.XLOOKUP(FMS_Ranking4[[#This Row],[FMS ID]],FMS_Input[FMS_ID],FMS_Input[FARMACRE100])</f>
        <v>164.16365051269531</v>
      </c>
      <c r="AH642" s="255">
        <f>(ASINH(FMS_Ranking4[[#This Row],[Ag Land Raw]]))*(10)/(ASINH(AG$4))</f>
        <v>3.7636881912881286</v>
      </c>
      <c r="AI642" s="260">
        <f>FMS_Ranking4[[#This Row],[Farm &amp; ranch land, ArcSinh (0-10)]]*AG$5*10</f>
        <v>1.8818440956440643</v>
      </c>
      <c r="AJ642" s="258">
        <f>_xlfn.XLOOKUP(FMS_Ranking4[[#This Row],[FMS ID]],FMS_Input[FMS_ID],FMS_Input[REDSTRUCT100])</f>
        <v>0</v>
      </c>
      <c r="AK642" s="253">
        <f>_xlfn.XLOOKUP(FMS_Ranking4[[#This Row],[FMS ID]],FMS_Input[FMS_ID],FMS_Input[REMSTRC100])</f>
        <v>0</v>
      </c>
      <c r="AL642" s="259">
        <f>(ASINH(FMS_Ranking4[[#This Row],[Structures Removed Raw]]))*(10)/(ASINH(AK$4))</f>
        <v>0</v>
      </c>
      <c r="AM642" s="262">
        <f>FMS_Ranking4[[#This Row],[Structures removed, ArcSinh (0-10)]]*AK$5*10</f>
        <v>0</v>
      </c>
      <c r="AN642" s="253">
        <f>_xlfn.XLOOKUP(FMS_Ranking4[[#This Row],[FMS ID]],FMS_Input[FMS_ID],FMS_Input[REMRESSTRC100])</f>
        <v>0</v>
      </c>
      <c r="AO642" s="261">
        <f>FMS_Ranking4[[#This Row],[ArcSinh Res struct removed 0-10]]*AN$5*10</f>
        <v>0</v>
      </c>
      <c r="AP642" s="260">
        <f>ASINH(FMS_Ranking4[[#This Row],[Residential Structures Removed Raw]])/AP$4*AN$5*100</f>
        <v>0</v>
      </c>
      <c r="AQ642" s="254">
        <f>(ASINH(FMS_Ranking4[[#This Row],[Residential Structures Removed Raw]]))*(10)/(ASINH(AN$4))</f>
        <v>0</v>
      </c>
      <c r="AR642" s="253">
        <f>_xlfn.XLOOKUP(FMS_Ranking4[[#This Row],[FMS ID]],FMS_Input[FMS_ID],FMS_Input[REMPOP100])</f>
        <v>0</v>
      </c>
      <c r="AS642" s="259">
        <f>(ASINH(FMS_Ranking4[[#This Row],[Removed Pop Raw]]))*(10)/(ASINH(AR$4))</f>
        <v>0</v>
      </c>
      <c r="AT642" s="262">
        <f>FMS_Ranking4[[#This Row],[Removed population, ArcSinh (0-10)]]*AR$5*10</f>
        <v>0</v>
      </c>
      <c r="AU642" s="264">
        <f>_xlfn.XLOOKUP(FMS_Ranking4[[#This Row],[FMS ID]],FMS_Input[FMS_ID],FMS_Input[REMCRITFAC100])</f>
        <v>0</v>
      </c>
      <c r="AV642" s="264">
        <f>_xlfn.XLOOKUP(FMS_Ranking4[[#This Row],[FMS ID]],FMS_Input[FMS_ID],FMS_Input[REMLWC100])</f>
        <v>0</v>
      </c>
      <c r="AW642" s="264">
        <f>_xlfn.XLOOKUP(FMS_Ranking4[[#This Row],[FMS ID]],FMS_Input[FMS_ID],FMS_Input[REMROADCLS])</f>
        <v>0</v>
      </c>
      <c r="AX642" s="264">
        <f>_xlfn.XLOOKUP(FMS_Ranking4[[#This Row],[FMS ID]],FMS_Input[FMS_ID],FMS_Input[REMFRMACRE100])</f>
        <v>0</v>
      </c>
      <c r="AY642" s="258">
        <f>_xlfn.XLOOKUP(FMS_Ranking4[[#This Row],[FMS ID]],FMS_Input[FMS_ID],FMS_Input[COSTSTRUCT])</f>
        <v>0</v>
      </c>
      <c r="AZ642" s="253">
        <f>_xlfn.XLOOKUP(FMS_Ranking4[[#This Row],[FMS ID]],FMS_Input[FMS_ID],FMS_Input[NATURE])</f>
        <v>0</v>
      </c>
      <c r="BA642" s="262">
        <f>(((FMS_Ranking4[[#This Row],[% NBS Raw]]/AZ$4)*100)*AZ$5)</f>
        <v>0</v>
      </c>
      <c r="BB642" s="251" t="str">
        <f>_xlfn.XLOOKUP(FMS_Ranking4[[#This Row],[FMS ID]],FMS_Input[FMS_ID],FMS_Input[WATER_SUP])</f>
        <v>No</v>
      </c>
      <c r="BC642" s="265">
        <f>IF(FMS_Ranking4[[#This Row],[Water Supply Raw]]="Yes",10,0)</f>
        <v>0</v>
      </c>
      <c r="BD642" s="266">
        <f>_xlfn.XLOOKUP(FMS_Ranking4[[#This Row],[FMS Type]],FMS_TYPE[FMS_Type],FMS_TYPE[Score])</f>
        <v>2</v>
      </c>
      <c r="BE642" s="267">
        <f>FMS_Ranking4[[#This Row],[FMS_Type Score]]*$BD$5*10</f>
        <v>0.5</v>
      </c>
      <c r="BF64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2.1080688352478033E-2</v>
      </c>
      <c r="BG642" s="271">
        <f>_xlfn.RANK.EQ(BF642,$BF$8:$BF$870,0)+COUNTIF($BF$8:BF642,BF642)-1</f>
        <v>626</v>
      </c>
      <c r="BH642" s="268">
        <f>(((FMS_Ranking4[[#This Row],[Structures Removed Raw]]/AK$4)*100)*AK$5)+(((FMS_Ranking4[[#This Row],[Removed Pop Raw]]/AR$4)*100)*AR$5)</f>
        <v>0</v>
      </c>
      <c r="BI64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0.52108068835247801</v>
      </c>
      <c r="BJ642" s="205">
        <f>_xlfn.RANK.EQ(FMS_Ranking4[[#This Row],[Total Score 
(with linear
normalization)]],FMS_Ranking4[Total Score 
(with linear
normalization)],0)</f>
        <v>838</v>
      </c>
      <c r="BK642" s="205" t="e">
        <f>_xlfn.XLOOKUP(FMS_Ranking4[[#This Row],[FMS ID]],#REF!,#REF!)</f>
        <v>#REF!</v>
      </c>
      <c r="BL64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12.239752136661977</v>
      </c>
      <c r="BM642" s="272">
        <f>FMS_Ranking4[[#This Row],[ArcSinh Score Based on Normalized Reported Factors]]+FMS_Ranking4[[#This Row],[% NBS Score (Normalized)]]+(FMS_Ranking4[[#This Row],[Water Supply Score (Normalized)]]*10*$BB$5)+FMS_Ranking4[[#This Row],[FMS_Type Score Weighted]]</f>
        <v>12.739752136661977</v>
      </c>
      <c r="BN642" s="205">
        <f>_xlfn.RANK.EQ(FMS_Ranking4[[#This Row],[Total Score (with ArcSinh normalization of select criteria)]],FMS_Ranking4[Total Score (with ArcSinh normalization of select criteria)],0)</f>
        <v>635</v>
      </c>
      <c r="BO642" s="270" t="str">
        <f>_xlfn.XLOOKUP(FMS_Ranking4[[#This Row],[FMS ID]],FMS_Input[FMS_ID],FMS_Input[FMS_RANK_YEAR])</f>
        <v>2023 Amended Plan</v>
      </c>
      <c r="BP642" s="204">
        <f>_xlfn.XLOOKUP(FMS_Ranking4[[#This Row],[FMS ID]],Prev_Rank[FMS ID],Prev_Rank[Prev Rank])</f>
        <v>562</v>
      </c>
      <c r="BQ642" s="205" t="e">
        <f>_xlfn.XLOOKUP(FMS_Ranking4[[#This Row],[FMS ID]],#REF!,#REF!)</f>
        <v>#REF!</v>
      </c>
      <c r="BR642" s="199" t="e">
        <f>SUM(#REF!,#REF!,#REF!,#REF!,#REF!,#REF!,#REF!,#REF!,#REF!,FMS_Ranking4[[#This Row],[ArcSinh Res struct removed 0-10]],#REF!)</f>
        <v>#REF!</v>
      </c>
      <c r="BS642" s="199" t="e">
        <f>FMS_Ranking4[[#This Row],[Log Score Based on Normalized Reported Factors]]+FMS_Ranking4[[#This Row],[% NBS Score (Normalized)]]+(FMS_Ranking4[[#This Row],[Water Supply Score (Normalized)]]*10*$BB$5)+(FMS_Ranking4[[#This Row],[FMS_Type Score Weighted]])</f>
        <v>#REF!</v>
      </c>
      <c r="BT642" s="200" t="e">
        <f>_xlfn.RANK.EQ(FMS_Ranking4[[#This Row],[Log Total Score]],FMS_Ranking4[Log Total Score],0)</f>
        <v>#REF!</v>
      </c>
      <c r="BU642" s="200" t="e">
        <f>_xlfn.XLOOKUP(FMS_Ranking4[[#This Row],[FMS ID]],#REF!,#REF!)</f>
        <v>#REF!</v>
      </c>
      <c r="BV642" s="200">
        <f>FMS_Ranking4[[#This Row],[Region Number]]</f>
        <v>4</v>
      </c>
      <c r="BW642" s="200">
        <f>FMS_Ranking4[[#This Row],[Rank (with ArcSinh normalization of select criteria)]]-FMS_Ranking4[[#This Row],[Rank
(with linear
normalization)]]</f>
        <v>-203</v>
      </c>
      <c r="BX642" s="200" t="e">
        <f>FMS_Ranking4[[#This Row],[Log Rank]]-FMS_Ranking4[[#This Row],[Rank
(with linear
normalization)]]</f>
        <v>#REF!</v>
      </c>
      <c r="BY642" s="200" t="str">
        <f>IF(FMS_Ranking4[[#This Row],[FMS Type]]="Flood Measurement and Warning",FMS_Ranking4[[#This Row],[Rank (with ArcSinh normalization of select criteria)]],"")</f>
        <v/>
      </c>
      <c r="BZ642" s="200" t="str">
        <f>IF(FMS_Ranking4[[#This Row],[FMS Type]]="Regulatory and Guidance",FMS_Ranking4[[#This Row],[Rank (with ArcSinh normalization of select criteria)]],"")</f>
        <v/>
      </c>
      <c r="CA642" s="200" t="str">
        <f>IF(FMS_Ranking4[[#This Row],[FMS Type]]="Education and Outreach",FMS_Ranking4[[#This Row],[Rank (with ArcSinh normalization of select criteria)]],"")</f>
        <v/>
      </c>
      <c r="CB642" s="200" t="str">
        <f>IF(FMS_Ranking4[[#This Row],[FMS Type]]="Property Acquisition and Structural Elevation",FMS_Ranking4[[#This Row],[Rank (with ArcSinh normalization of select criteria)]],"")</f>
        <v/>
      </c>
      <c r="CC642" s="200" t="str">
        <f>IF(FMS_Ranking4[[#This Row],[FMS Type]]="Infrastructure Projects",FMS_Ranking4[[#This Row],[Rank (with ArcSinh normalization of select criteria)]],"")</f>
        <v/>
      </c>
      <c r="CD642" s="200">
        <f>IF(FMS_Ranking4[[#This Row],[FMS Type]]="Other",FMS_Ranking4[[#This Row],[Rank (with ArcSinh normalization of select criteria)]],"")</f>
        <v>635</v>
      </c>
      <c r="CE642" s="201"/>
      <c r="CF642" s="206"/>
      <c r="CG642" s="206"/>
      <c r="CH642" s="206"/>
      <c r="CI642" s="206"/>
      <c r="CJ642" s="206"/>
      <c r="CK642" s="206"/>
      <c r="CL642" s="206"/>
      <c r="CM642" s="206"/>
      <c r="CN642" s="206"/>
      <c r="CO642" s="206"/>
      <c r="CP642" s="206"/>
      <c r="CQ642" s="206"/>
      <c r="CR642" s="206"/>
    </row>
    <row r="643" spans="2:96" ht="60" x14ac:dyDescent="0.25">
      <c r="B643" s="341" t="s">
        <v>4836</v>
      </c>
      <c r="C643" s="246">
        <f>_xlfn.XLOOKUP(FMS_Ranking4[[#This Row],[FMS ID]],FMS_Input[FMS_ID],FMS_Input[RFPG_NUM])</f>
        <v>4</v>
      </c>
      <c r="D643" s="309" t="str">
        <f>_xlfn.XLOOKUP(FMS_Ranking4[[#This Row],[FMS ID]],FMS_Input[FMS_ID],FMS_Input[FMS_NAME])</f>
        <v>City of Hideaway Flood Awareness Program</v>
      </c>
      <c r="E643" s="308" t="str">
        <f>_xlfn.XLOOKUP(FMS_Ranking4[[#This Row],[FMS ID]],FMS_Input[FMS_ID],FMS_Input[SPONSOR])</f>
        <v>00003178</v>
      </c>
      <c r="F643" s="309" t="str">
        <f>_xlfn.XLOOKUP(FMS_Ranking4[[#This Row],[FMS ID]],Sponsor[FMS_ID],Sponsor[SPONSOR NAME])</f>
        <v>Hideaway</v>
      </c>
      <c r="G643" s="309" t="str">
        <f>_xlfn.XLOOKUP(FMS_Ranking4[[#This Row],[FMS ID]],FMS_Input[FMS_ID],FMS_Input[FMS_DESCR])</f>
        <v xml:space="preserve">Conduct public outreach to educate homeowners on flood mitigation measures for their homes. </v>
      </c>
      <c r="H643" s="248" t="str">
        <f>_xlfn.XLOOKUP(FMS_Ranking4[[#This Row],[FMS ID]],FMS_Input[FMS_ID],FMS_Input[FMS_TYPE])</f>
        <v>Education and Outreach</v>
      </c>
      <c r="I643" s="249">
        <f>_xlfn.XLOOKUP(FMS_Ranking4[[#This Row],[FMS ID]],FMS_Input[FMS_ID],FMS_Input[NRNC_COST])</f>
        <v>10500</v>
      </c>
      <c r="J643" s="250">
        <f>_xlfn.XLOOKUP(FMS_Ranking4[[#This Row],[FMS ID]],FMS_Input[FMS_ID],FMS_Input[FMS_COST])</f>
        <v>10500</v>
      </c>
      <c r="K643" s="251" t="str">
        <f>_xlfn.XLOOKUP(FMS_Ranking4[[#This Row],[FMS ID]],FMS_Input[FMS_ID],FMS_Input[EMER_NEED])</f>
        <v>No</v>
      </c>
      <c r="L643" s="252">
        <f t="shared" si="9"/>
        <v>0</v>
      </c>
      <c r="M643" s="253">
        <f>_xlfn.XLOOKUP(FMS_Ranking4[[#This Row],[FMS ID]],FMS_Input[FMS_ID],FMS_Input[STRUCT_100])</f>
        <v>249</v>
      </c>
      <c r="N643" s="255">
        <f>(ASINH(FMS_Ranking4[[#This Row],[Structure at Risk Raw]]))*(10)/(ASINH(M$4))</f>
        <v>4.8824595487261711</v>
      </c>
      <c r="O643" s="256">
        <f>FMS_Ranking4[[#This Row],[Structures at risk, ArcSinh (0-10)]]*M$5*10</f>
        <v>4.8824595487261711</v>
      </c>
      <c r="P643" s="253">
        <f>_xlfn.XLOOKUP(FMS_Ranking4[[#This Row],[FMS ID]],FMS_Input[FMS_ID],FMS_Input[RES_STRUCT100])</f>
        <v>224</v>
      </c>
      <c r="Q643" s="257">
        <f>ASINH(FMS_Ranking4[[#This Row],[Res Structure Raw]])/Q$4*P$5*100</f>
        <v>0</v>
      </c>
      <c r="R643" s="253">
        <f>_xlfn.XLOOKUP(FMS_Ranking4[[#This Row],[FMS ID]],FMS_Input[FMS_ID],FMS_Input[POP100])</f>
        <v>364</v>
      </c>
      <c r="S643" s="259">
        <f>(ASINH(FMS_Ranking4[[#This Row],[Pop at Risk Raw]]))*(10)/(ASINH(R$4))</f>
        <v>4.5496697898616993</v>
      </c>
      <c r="T643" s="256">
        <f>FMS_Ranking4[[#This Row],[Population at risk, ArcSinh (0-10)]]*R$5*10</f>
        <v>4.5496697898616993</v>
      </c>
      <c r="U643" s="253">
        <f>_xlfn.XLOOKUP(FMS_Ranking4[[#This Row],[FMS ID]],FMS_Input[FMS_ID],FMS_Input[CRITFAC100])</f>
        <v>0</v>
      </c>
      <c r="V643" s="259">
        <f>(ASINH(FMS_Ranking4[[#This Row],[Critical Facilities Raw]]))*(10)/(ASINH(U$4))</f>
        <v>0</v>
      </c>
      <c r="W643" s="256">
        <f>FMS_Ranking4[[#This Row],[Critical facilities at risk, ArcSinh (0-10)]]*U$5*10</f>
        <v>0</v>
      </c>
      <c r="X643" s="253">
        <f>_xlfn.XLOOKUP(FMS_Ranking4[[#This Row],[FMS ID]],FMS_Input[FMS_ID],FMS_Input[LWC])</f>
        <v>0</v>
      </c>
      <c r="Y643" s="259">
        <f>(ASINH(FMS_Ranking4[[#This Row],[LWC Raw]]))*(10)/(ASINH(X$4))</f>
        <v>0</v>
      </c>
      <c r="Z643" s="256">
        <f>FMS_Ranking4[[#This Row],[LWC, ArcSInh (0-10)]]*X$5*10</f>
        <v>0</v>
      </c>
      <c r="AA643" s="253">
        <f>_xlfn.XLOOKUP(FMS_Ranking4[[#This Row],[FMS ID]],FMS_Input[FMS_ID],FMS_Input[ROADCLS])</f>
        <v>0</v>
      </c>
      <c r="AB643" s="255">
        <f>(ASINH(FMS_Ranking4[[#This Row],[Road Closures Raw]]))*(10)/(ASINH(AA$4))</f>
        <v>0</v>
      </c>
      <c r="AC643" s="256">
        <f>FMS_Ranking4[[#This Row],[Road closures, ArcSinh (0-10)]]*AA$5*10</f>
        <v>0</v>
      </c>
      <c r="AD643" s="253">
        <f>_xlfn.XLOOKUP(FMS_Ranking4[[#This Row],[FMS ID]],FMS_Input[FMS_ID],FMS_Input[ROAD_MILES100])</f>
        <v>1</v>
      </c>
      <c r="AE643" s="259">
        <f>(ASINH(FMS_Ranking4[[#This Row],[Road Miles Raw]]))*(10)/(ASINH(AD$4))</f>
        <v>0.9393017565219649</v>
      </c>
      <c r="AF643" s="256">
        <f>FMS_Ranking4[[#This Row],[Length of roads at risk, ArcSinh (0-10)]]*AD$5*10</f>
        <v>0.93930175652196501</v>
      </c>
      <c r="AG643" s="253">
        <f>_xlfn.XLOOKUP(FMS_Ranking4[[#This Row],[FMS ID]],FMS_Input[FMS_ID],FMS_Input[FARMACRE100])</f>
        <v>4.3455944061279297</v>
      </c>
      <c r="AH643" s="255">
        <f>(ASINH(FMS_Ranking4[[#This Row],[Ag Land Raw]]))*(10)/(ASINH(AG$4))</f>
        <v>1.4130299607338708</v>
      </c>
      <c r="AI643" s="260">
        <f>FMS_Ranking4[[#This Row],[Farm &amp; ranch land, ArcSinh (0-10)]]*AG$5*10</f>
        <v>0.7065149803669355</v>
      </c>
      <c r="AJ643" s="258">
        <f>_xlfn.XLOOKUP(FMS_Ranking4[[#This Row],[FMS ID]],FMS_Input[FMS_ID],FMS_Input[REDSTRUCT100])</f>
        <v>0</v>
      </c>
      <c r="AK643" s="253">
        <f>_xlfn.XLOOKUP(FMS_Ranking4[[#This Row],[FMS ID]],FMS_Input[FMS_ID],FMS_Input[REMSTRC100])</f>
        <v>0</v>
      </c>
      <c r="AL643" s="259">
        <f>(ASINH(FMS_Ranking4[[#This Row],[Structures Removed Raw]]))*(10)/(ASINH(AK$4))</f>
        <v>0</v>
      </c>
      <c r="AM643" s="262">
        <f>FMS_Ranking4[[#This Row],[Structures removed, ArcSinh (0-10)]]*AK$5*10</f>
        <v>0</v>
      </c>
      <c r="AN643" s="253">
        <f>_xlfn.XLOOKUP(FMS_Ranking4[[#This Row],[FMS ID]],FMS_Input[FMS_ID],FMS_Input[REMRESSTRC100])</f>
        <v>0</v>
      </c>
      <c r="AO643" s="261">
        <f>FMS_Ranking4[[#This Row],[ArcSinh Res struct removed 0-10]]*AN$5*10</f>
        <v>0</v>
      </c>
      <c r="AP643" s="260">
        <f>ASINH(FMS_Ranking4[[#This Row],[Residential Structures Removed Raw]])/AP$4*AN$5*100</f>
        <v>0</v>
      </c>
      <c r="AQ643" s="254">
        <f>(ASINH(FMS_Ranking4[[#This Row],[Residential Structures Removed Raw]]))*(10)/(ASINH(AN$4))</f>
        <v>0</v>
      </c>
      <c r="AR643" s="253">
        <f>_xlfn.XLOOKUP(FMS_Ranking4[[#This Row],[FMS ID]],FMS_Input[FMS_ID],FMS_Input[REMPOP100])</f>
        <v>0</v>
      </c>
      <c r="AS643" s="259">
        <f>(ASINH(FMS_Ranking4[[#This Row],[Removed Pop Raw]]))*(10)/(ASINH(AR$4))</f>
        <v>0</v>
      </c>
      <c r="AT643" s="262">
        <f>FMS_Ranking4[[#This Row],[Removed population, ArcSinh (0-10)]]*AR$5*10</f>
        <v>0</v>
      </c>
      <c r="AU643" s="264">
        <f>_xlfn.XLOOKUP(FMS_Ranking4[[#This Row],[FMS ID]],FMS_Input[FMS_ID],FMS_Input[REMCRITFAC100])</f>
        <v>0</v>
      </c>
      <c r="AV643" s="264">
        <f>_xlfn.XLOOKUP(FMS_Ranking4[[#This Row],[FMS ID]],FMS_Input[FMS_ID],FMS_Input[REMLWC100])</f>
        <v>0</v>
      </c>
      <c r="AW643" s="264">
        <f>_xlfn.XLOOKUP(FMS_Ranking4[[#This Row],[FMS ID]],FMS_Input[FMS_ID],FMS_Input[REMROADCLS])</f>
        <v>0</v>
      </c>
      <c r="AX643" s="264">
        <f>_xlfn.XLOOKUP(FMS_Ranking4[[#This Row],[FMS ID]],FMS_Input[FMS_ID],FMS_Input[REMFRMACRE100])</f>
        <v>0</v>
      </c>
      <c r="AY643" s="258">
        <f>_xlfn.XLOOKUP(FMS_Ranking4[[#This Row],[FMS ID]],FMS_Input[FMS_ID],FMS_Input[COSTSTRUCT])</f>
        <v>0</v>
      </c>
      <c r="AZ643" s="253">
        <f>_xlfn.XLOOKUP(FMS_Ranking4[[#This Row],[FMS ID]],FMS_Input[FMS_ID],FMS_Input[NATURE])</f>
        <v>0</v>
      </c>
      <c r="BA643" s="262">
        <f>(((FMS_Ranking4[[#This Row],[% NBS Raw]]/AZ$4)*100)*AZ$5)</f>
        <v>0</v>
      </c>
      <c r="BB643" s="251" t="str">
        <f>_xlfn.XLOOKUP(FMS_Ranking4[[#This Row],[FMS ID]],FMS_Input[FMS_ID],FMS_Input[WATER_SUP])</f>
        <v>No</v>
      </c>
      <c r="BC643" s="265">
        <f>IF(FMS_Ranking4[[#This Row],[Water Supply Raw]]="Yes",10,0)</f>
        <v>0</v>
      </c>
      <c r="BD643" s="266">
        <f>_xlfn.XLOOKUP(FMS_Ranking4[[#This Row],[FMS Type]],FMS_TYPE[FMS_Type],FMS_TYPE[Score])</f>
        <v>6</v>
      </c>
      <c r="BE643" s="267">
        <f>FMS_Ranking4[[#This Row],[FMS_Type Score]]*$BD$5*10</f>
        <v>1.5000000000000002</v>
      </c>
      <c r="BF64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2.0307806182879411E-2</v>
      </c>
      <c r="BG643" s="271">
        <f>_xlfn.RANK.EQ(BF643,$BF$8:$BF$870,0)+COUNTIF($BF$8:BF643,BF643)-1</f>
        <v>632</v>
      </c>
      <c r="BH643" s="268">
        <f>(((FMS_Ranking4[[#This Row],[Structures Removed Raw]]/AK$4)*100)*AK$5)+(((FMS_Ranking4[[#This Row],[Removed Pop Raw]]/AR$4)*100)*AR$5)</f>
        <v>0</v>
      </c>
      <c r="BI64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1.5203078061828796</v>
      </c>
      <c r="BJ643" s="205">
        <f>_xlfn.RANK.EQ(FMS_Ranking4[[#This Row],[Total Score 
(with linear
normalization)]],FMS_Ranking4[Total Score 
(with linear
normalization)],0)</f>
        <v>591</v>
      </c>
      <c r="BK643" s="205" t="e">
        <f>_xlfn.XLOOKUP(FMS_Ranking4[[#This Row],[FMS ID]],#REF!,#REF!)</f>
        <v>#REF!</v>
      </c>
      <c r="BL64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11.07794607547677</v>
      </c>
      <c r="BM643" s="272">
        <f>FMS_Ranking4[[#This Row],[ArcSinh Score Based on Normalized Reported Factors]]+FMS_Ranking4[[#This Row],[% NBS Score (Normalized)]]+(FMS_Ranking4[[#This Row],[Water Supply Score (Normalized)]]*10*$BB$5)+FMS_Ranking4[[#This Row],[FMS_Type Score Weighted]]</f>
        <v>12.57794607547677</v>
      </c>
      <c r="BN643" s="205">
        <f>_xlfn.RANK.EQ(FMS_Ranking4[[#This Row],[Total Score (with ArcSinh normalization of select criteria)]],FMS_Ranking4[Total Score (with ArcSinh normalization of select criteria)],0)</f>
        <v>636</v>
      </c>
      <c r="BO643" s="270" t="str">
        <f>_xlfn.XLOOKUP(FMS_Ranking4[[#This Row],[FMS ID]],FMS_Input[FMS_ID],FMS_Input[FMS_RANK_YEAR])</f>
        <v>2023 Amended Plan</v>
      </c>
      <c r="BP643" s="204">
        <f>_xlfn.XLOOKUP(FMS_Ranking4[[#This Row],[FMS ID]],Prev_Rank[FMS ID],Prev_Rank[Prev Rank])</f>
        <v>563</v>
      </c>
      <c r="BQ643" s="205" t="e">
        <f>_xlfn.XLOOKUP(FMS_Ranking4[[#This Row],[FMS ID]],#REF!,#REF!)</f>
        <v>#REF!</v>
      </c>
      <c r="BR643" s="199" t="e">
        <f>SUM(#REF!,#REF!,#REF!,#REF!,#REF!,#REF!,#REF!,#REF!,#REF!,FMS_Ranking4[[#This Row],[ArcSinh Res struct removed 0-10]],#REF!)</f>
        <v>#REF!</v>
      </c>
      <c r="BS643" s="199" t="e">
        <f>FMS_Ranking4[[#This Row],[Log Score Based on Normalized Reported Factors]]+FMS_Ranking4[[#This Row],[% NBS Score (Normalized)]]+(FMS_Ranking4[[#This Row],[Water Supply Score (Normalized)]]*10*$BB$5)+(FMS_Ranking4[[#This Row],[FMS_Type Score Weighted]])</f>
        <v>#REF!</v>
      </c>
      <c r="BT643" s="200" t="e">
        <f>_xlfn.RANK.EQ(FMS_Ranking4[[#This Row],[Log Total Score]],FMS_Ranking4[Log Total Score],0)</f>
        <v>#REF!</v>
      </c>
      <c r="BU643" s="200" t="e">
        <f>_xlfn.XLOOKUP(FMS_Ranking4[[#This Row],[FMS ID]],#REF!,#REF!)</f>
        <v>#REF!</v>
      </c>
      <c r="BV643" s="200">
        <f>FMS_Ranking4[[#This Row],[Region Number]]</f>
        <v>4</v>
      </c>
      <c r="BW643" s="200">
        <f>FMS_Ranking4[[#This Row],[Rank (with ArcSinh normalization of select criteria)]]-FMS_Ranking4[[#This Row],[Rank
(with linear
normalization)]]</f>
        <v>45</v>
      </c>
      <c r="BX643" s="200" t="e">
        <f>FMS_Ranking4[[#This Row],[Log Rank]]-FMS_Ranking4[[#This Row],[Rank
(with linear
normalization)]]</f>
        <v>#REF!</v>
      </c>
      <c r="BY643" s="200" t="str">
        <f>IF(FMS_Ranking4[[#This Row],[FMS Type]]="Flood Measurement and Warning",FMS_Ranking4[[#This Row],[Rank (with ArcSinh normalization of select criteria)]],"")</f>
        <v/>
      </c>
      <c r="BZ643" s="200" t="str">
        <f>IF(FMS_Ranking4[[#This Row],[FMS Type]]="Regulatory and Guidance",FMS_Ranking4[[#This Row],[Rank (with ArcSinh normalization of select criteria)]],"")</f>
        <v/>
      </c>
      <c r="CA643" s="200">
        <f>IF(FMS_Ranking4[[#This Row],[FMS Type]]="Education and Outreach",FMS_Ranking4[[#This Row],[Rank (with ArcSinh normalization of select criteria)]],"")</f>
        <v>636</v>
      </c>
      <c r="CB643" s="200" t="str">
        <f>IF(FMS_Ranking4[[#This Row],[FMS Type]]="Property Acquisition and Structural Elevation",FMS_Ranking4[[#This Row],[Rank (with ArcSinh normalization of select criteria)]],"")</f>
        <v/>
      </c>
      <c r="CC643" s="200" t="str">
        <f>IF(FMS_Ranking4[[#This Row],[FMS Type]]="Infrastructure Projects",FMS_Ranking4[[#This Row],[Rank (with ArcSinh normalization of select criteria)]],"")</f>
        <v/>
      </c>
      <c r="CD643" s="200" t="str">
        <f>IF(FMS_Ranking4[[#This Row],[FMS Type]]="Other",FMS_Ranking4[[#This Row],[Rank (with ArcSinh normalization of select criteria)]],"")</f>
        <v/>
      </c>
      <c r="CE643" s="201"/>
      <c r="CF643" s="206"/>
      <c r="CG643" s="206"/>
      <c r="CH643" s="206"/>
      <c r="CI643" s="206"/>
      <c r="CJ643" s="206"/>
      <c r="CK643" s="206"/>
      <c r="CL643" s="206"/>
      <c r="CM643" s="206"/>
      <c r="CN643" s="206"/>
      <c r="CO643" s="206"/>
      <c r="CP643" s="206"/>
      <c r="CQ643" s="206"/>
      <c r="CR643" s="206"/>
    </row>
    <row r="644" spans="2:96" ht="45" x14ac:dyDescent="0.25">
      <c r="B644" s="341" t="s">
        <v>4842</v>
      </c>
      <c r="C644" s="246">
        <f>_xlfn.XLOOKUP(FMS_Ranking4[[#This Row],[FMS ID]],FMS_Input[FMS_ID],FMS_Input[RFPG_NUM])</f>
        <v>4</v>
      </c>
      <c r="D644" s="309" t="str">
        <f>_xlfn.XLOOKUP(FMS_Ranking4[[#This Row],[FMS ID]],FMS_Input[FMS_ID],FMS_Input[FMS_NAME])</f>
        <v>City of Hideaway Flood Awareness Program</v>
      </c>
      <c r="E644" s="308" t="str">
        <f>_xlfn.XLOOKUP(FMS_Ranking4[[#This Row],[FMS ID]],FMS_Input[FMS_ID],FMS_Input[SPONSOR])</f>
        <v>00003178</v>
      </c>
      <c r="F644" s="309" t="str">
        <f>_xlfn.XLOOKUP(FMS_Ranking4[[#This Row],[FMS ID]],Sponsor[FMS_ID],Sponsor[SPONSOR NAME])</f>
        <v>Hideaway</v>
      </c>
      <c r="G644" s="309" t="str">
        <f>_xlfn.XLOOKUP(FMS_Ranking4[[#This Row],[FMS ID]],FMS_Input[FMS_ID],FMS_Input[FMS_DESCR])</f>
        <v xml:space="preserve">Public Awareness of Evacuation Routes from rising water from dam failure. </v>
      </c>
      <c r="H644" s="248" t="str">
        <f>_xlfn.XLOOKUP(FMS_Ranking4[[#This Row],[FMS ID]],FMS_Input[FMS_ID],FMS_Input[FMS_TYPE])</f>
        <v>Education and Outreach</v>
      </c>
      <c r="I644" s="249">
        <f>_xlfn.XLOOKUP(FMS_Ranking4[[#This Row],[FMS ID]],FMS_Input[FMS_ID],FMS_Input[NRNC_COST])</f>
        <v>10500</v>
      </c>
      <c r="J644" s="250">
        <f>_xlfn.XLOOKUP(FMS_Ranking4[[#This Row],[FMS ID]],FMS_Input[FMS_ID],FMS_Input[FMS_COST])</f>
        <v>10500</v>
      </c>
      <c r="K644" s="251" t="str">
        <f>_xlfn.XLOOKUP(FMS_Ranking4[[#This Row],[FMS ID]],FMS_Input[FMS_ID],FMS_Input[EMER_NEED])</f>
        <v>No</v>
      </c>
      <c r="L644" s="252">
        <f t="shared" si="9"/>
        <v>0</v>
      </c>
      <c r="M644" s="253">
        <f>_xlfn.XLOOKUP(FMS_Ranking4[[#This Row],[FMS ID]],FMS_Input[FMS_ID],FMS_Input[STRUCT_100])</f>
        <v>249</v>
      </c>
      <c r="N644" s="255">
        <f>(ASINH(FMS_Ranking4[[#This Row],[Structure at Risk Raw]]))*(10)/(ASINH(M$4))</f>
        <v>4.8824595487261711</v>
      </c>
      <c r="O644" s="256">
        <f>FMS_Ranking4[[#This Row],[Structures at risk, ArcSinh (0-10)]]*M$5*10</f>
        <v>4.8824595487261711</v>
      </c>
      <c r="P644" s="253">
        <f>_xlfn.XLOOKUP(FMS_Ranking4[[#This Row],[FMS ID]],FMS_Input[FMS_ID],FMS_Input[RES_STRUCT100])</f>
        <v>224</v>
      </c>
      <c r="Q644" s="257">
        <f>ASINH(FMS_Ranking4[[#This Row],[Res Structure Raw]])/Q$4*P$5*100</f>
        <v>0</v>
      </c>
      <c r="R644" s="253">
        <f>_xlfn.XLOOKUP(FMS_Ranking4[[#This Row],[FMS ID]],FMS_Input[FMS_ID],FMS_Input[POP100])</f>
        <v>364</v>
      </c>
      <c r="S644" s="259">
        <f>(ASINH(FMS_Ranking4[[#This Row],[Pop at Risk Raw]]))*(10)/(ASINH(R$4))</f>
        <v>4.5496697898616993</v>
      </c>
      <c r="T644" s="256">
        <f>FMS_Ranking4[[#This Row],[Population at risk, ArcSinh (0-10)]]*R$5*10</f>
        <v>4.5496697898616993</v>
      </c>
      <c r="U644" s="253">
        <f>_xlfn.XLOOKUP(FMS_Ranking4[[#This Row],[FMS ID]],FMS_Input[FMS_ID],FMS_Input[CRITFAC100])</f>
        <v>0</v>
      </c>
      <c r="V644" s="259">
        <f>(ASINH(FMS_Ranking4[[#This Row],[Critical Facilities Raw]]))*(10)/(ASINH(U$4))</f>
        <v>0</v>
      </c>
      <c r="W644" s="256">
        <f>FMS_Ranking4[[#This Row],[Critical facilities at risk, ArcSinh (0-10)]]*U$5*10</f>
        <v>0</v>
      </c>
      <c r="X644" s="253">
        <f>_xlfn.XLOOKUP(FMS_Ranking4[[#This Row],[FMS ID]],FMS_Input[FMS_ID],FMS_Input[LWC])</f>
        <v>0</v>
      </c>
      <c r="Y644" s="259">
        <f>(ASINH(FMS_Ranking4[[#This Row],[LWC Raw]]))*(10)/(ASINH(X$4))</f>
        <v>0</v>
      </c>
      <c r="Z644" s="256">
        <f>FMS_Ranking4[[#This Row],[LWC, ArcSInh (0-10)]]*X$5*10</f>
        <v>0</v>
      </c>
      <c r="AA644" s="253">
        <f>_xlfn.XLOOKUP(FMS_Ranking4[[#This Row],[FMS ID]],FMS_Input[FMS_ID],FMS_Input[ROADCLS])</f>
        <v>0</v>
      </c>
      <c r="AB644" s="255">
        <f>(ASINH(FMS_Ranking4[[#This Row],[Road Closures Raw]]))*(10)/(ASINH(AA$4))</f>
        <v>0</v>
      </c>
      <c r="AC644" s="256">
        <f>FMS_Ranking4[[#This Row],[Road closures, ArcSinh (0-10)]]*AA$5*10</f>
        <v>0</v>
      </c>
      <c r="AD644" s="253">
        <f>_xlfn.XLOOKUP(FMS_Ranking4[[#This Row],[FMS ID]],FMS_Input[FMS_ID],FMS_Input[ROAD_MILES100])</f>
        <v>1</v>
      </c>
      <c r="AE644" s="259">
        <f>(ASINH(FMS_Ranking4[[#This Row],[Road Miles Raw]]))*(10)/(ASINH(AD$4))</f>
        <v>0.9393017565219649</v>
      </c>
      <c r="AF644" s="256">
        <f>FMS_Ranking4[[#This Row],[Length of roads at risk, ArcSinh (0-10)]]*AD$5*10</f>
        <v>0.93930175652196501</v>
      </c>
      <c r="AG644" s="253">
        <f>_xlfn.XLOOKUP(FMS_Ranking4[[#This Row],[FMS ID]],FMS_Input[FMS_ID],FMS_Input[FARMACRE100])</f>
        <v>4.3455944061279297</v>
      </c>
      <c r="AH644" s="255">
        <f>(ASINH(FMS_Ranking4[[#This Row],[Ag Land Raw]]))*(10)/(ASINH(AG$4))</f>
        <v>1.4130299607338708</v>
      </c>
      <c r="AI644" s="260">
        <f>FMS_Ranking4[[#This Row],[Farm &amp; ranch land, ArcSinh (0-10)]]*AG$5*10</f>
        <v>0.7065149803669355</v>
      </c>
      <c r="AJ644" s="258">
        <f>_xlfn.XLOOKUP(FMS_Ranking4[[#This Row],[FMS ID]],FMS_Input[FMS_ID],FMS_Input[REDSTRUCT100])</f>
        <v>0</v>
      </c>
      <c r="AK644" s="253">
        <f>_xlfn.XLOOKUP(FMS_Ranking4[[#This Row],[FMS ID]],FMS_Input[FMS_ID],FMS_Input[REMSTRC100])</f>
        <v>0</v>
      </c>
      <c r="AL644" s="259">
        <f>(ASINH(FMS_Ranking4[[#This Row],[Structures Removed Raw]]))*(10)/(ASINH(AK$4))</f>
        <v>0</v>
      </c>
      <c r="AM644" s="262">
        <f>FMS_Ranking4[[#This Row],[Structures removed, ArcSinh (0-10)]]*AK$5*10</f>
        <v>0</v>
      </c>
      <c r="AN644" s="253">
        <f>_xlfn.XLOOKUP(FMS_Ranking4[[#This Row],[FMS ID]],FMS_Input[FMS_ID],FMS_Input[REMRESSTRC100])</f>
        <v>0</v>
      </c>
      <c r="AO644" s="261">
        <f>FMS_Ranking4[[#This Row],[ArcSinh Res struct removed 0-10]]*AN$5*10</f>
        <v>0</v>
      </c>
      <c r="AP644" s="260">
        <f>ASINH(FMS_Ranking4[[#This Row],[Residential Structures Removed Raw]])/AP$4*AN$5*100</f>
        <v>0</v>
      </c>
      <c r="AQ644" s="254">
        <f>(ASINH(FMS_Ranking4[[#This Row],[Residential Structures Removed Raw]]))*(10)/(ASINH(AN$4))</f>
        <v>0</v>
      </c>
      <c r="AR644" s="253">
        <f>_xlfn.XLOOKUP(FMS_Ranking4[[#This Row],[FMS ID]],FMS_Input[FMS_ID],FMS_Input[REMPOP100])</f>
        <v>0</v>
      </c>
      <c r="AS644" s="259">
        <f>(ASINH(FMS_Ranking4[[#This Row],[Removed Pop Raw]]))*(10)/(ASINH(AR$4))</f>
        <v>0</v>
      </c>
      <c r="AT644" s="262">
        <f>FMS_Ranking4[[#This Row],[Removed population, ArcSinh (0-10)]]*AR$5*10</f>
        <v>0</v>
      </c>
      <c r="AU644" s="264">
        <f>_xlfn.XLOOKUP(FMS_Ranking4[[#This Row],[FMS ID]],FMS_Input[FMS_ID],FMS_Input[REMCRITFAC100])</f>
        <v>0</v>
      </c>
      <c r="AV644" s="264">
        <f>_xlfn.XLOOKUP(FMS_Ranking4[[#This Row],[FMS ID]],FMS_Input[FMS_ID],FMS_Input[REMLWC100])</f>
        <v>0</v>
      </c>
      <c r="AW644" s="264">
        <f>_xlfn.XLOOKUP(FMS_Ranking4[[#This Row],[FMS ID]],FMS_Input[FMS_ID],FMS_Input[REMROADCLS])</f>
        <v>0</v>
      </c>
      <c r="AX644" s="264">
        <f>_xlfn.XLOOKUP(FMS_Ranking4[[#This Row],[FMS ID]],FMS_Input[FMS_ID],FMS_Input[REMFRMACRE100])</f>
        <v>0</v>
      </c>
      <c r="AY644" s="258">
        <f>_xlfn.XLOOKUP(FMS_Ranking4[[#This Row],[FMS ID]],FMS_Input[FMS_ID],FMS_Input[COSTSTRUCT])</f>
        <v>0</v>
      </c>
      <c r="AZ644" s="253">
        <f>_xlfn.XLOOKUP(FMS_Ranking4[[#This Row],[FMS ID]],FMS_Input[FMS_ID],FMS_Input[NATURE])</f>
        <v>0</v>
      </c>
      <c r="BA644" s="262">
        <f>(((FMS_Ranking4[[#This Row],[% NBS Raw]]/AZ$4)*100)*AZ$5)</f>
        <v>0</v>
      </c>
      <c r="BB644" s="251" t="str">
        <f>_xlfn.XLOOKUP(FMS_Ranking4[[#This Row],[FMS ID]],FMS_Input[FMS_ID],FMS_Input[WATER_SUP])</f>
        <v>No</v>
      </c>
      <c r="BC644" s="265">
        <f>IF(FMS_Ranking4[[#This Row],[Water Supply Raw]]="Yes",10,0)</f>
        <v>0</v>
      </c>
      <c r="BD644" s="266">
        <f>_xlfn.XLOOKUP(FMS_Ranking4[[#This Row],[FMS Type]],FMS_TYPE[FMS_Type],FMS_TYPE[Score])</f>
        <v>6</v>
      </c>
      <c r="BE644" s="267">
        <f>FMS_Ranking4[[#This Row],[FMS_Type Score]]*$BD$5*10</f>
        <v>1.5000000000000002</v>
      </c>
      <c r="BF64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2.0307806182879411E-2</v>
      </c>
      <c r="BG644" s="271">
        <f>_xlfn.RANK.EQ(BF644,$BF$8:$BF$870,0)+COUNTIF($BF$8:BF644,BF644)-1</f>
        <v>633</v>
      </c>
      <c r="BH644" s="268">
        <f>(((FMS_Ranking4[[#This Row],[Structures Removed Raw]]/AK$4)*100)*AK$5)+(((FMS_Ranking4[[#This Row],[Removed Pop Raw]]/AR$4)*100)*AR$5)</f>
        <v>0</v>
      </c>
      <c r="BI64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1.5203078061828796</v>
      </c>
      <c r="BJ644" s="205">
        <f>_xlfn.RANK.EQ(FMS_Ranking4[[#This Row],[Total Score 
(with linear
normalization)]],FMS_Ranking4[Total Score 
(with linear
normalization)],0)</f>
        <v>591</v>
      </c>
      <c r="BK644" s="205" t="e">
        <f>_xlfn.XLOOKUP(FMS_Ranking4[[#This Row],[FMS ID]],#REF!,#REF!)</f>
        <v>#REF!</v>
      </c>
      <c r="BL64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11.07794607547677</v>
      </c>
      <c r="BM644" s="272">
        <f>FMS_Ranking4[[#This Row],[ArcSinh Score Based on Normalized Reported Factors]]+FMS_Ranking4[[#This Row],[% NBS Score (Normalized)]]+(FMS_Ranking4[[#This Row],[Water Supply Score (Normalized)]]*10*$BB$5)+FMS_Ranking4[[#This Row],[FMS_Type Score Weighted]]</f>
        <v>12.57794607547677</v>
      </c>
      <c r="BN644" s="205">
        <f>_xlfn.RANK.EQ(FMS_Ranking4[[#This Row],[Total Score (with ArcSinh normalization of select criteria)]],FMS_Ranking4[Total Score (with ArcSinh normalization of select criteria)],0)</f>
        <v>636</v>
      </c>
      <c r="BO644" s="270" t="str">
        <f>_xlfn.XLOOKUP(FMS_Ranking4[[#This Row],[FMS ID]],FMS_Input[FMS_ID],FMS_Input[FMS_RANK_YEAR])</f>
        <v>2023 Amended Plan</v>
      </c>
      <c r="BP644" s="204">
        <f>_xlfn.XLOOKUP(FMS_Ranking4[[#This Row],[FMS ID]],Prev_Rank[FMS ID],Prev_Rank[Prev Rank])</f>
        <v>563</v>
      </c>
      <c r="BQ644" s="205" t="e">
        <f>_xlfn.XLOOKUP(FMS_Ranking4[[#This Row],[FMS ID]],#REF!,#REF!)</f>
        <v>#REF!</v>
      </c>
      <c r="BR644" s="199" t="e">
        <f>SUM(#REF!,#REF!,#REF!,#REF!,#REF!,#REF!,#REF!,#REF!,#REF!,FMS_Ranking4[[#This Row],[ArcSinh Res struct removed 0-10]],#REF!)</f>
        <v>#REF!</v>
      </c>
      <c r="BS644" s="199" t="e">
        <f>FMS_Ranking4[[#This Row],[Log Score Based on Normalized Reported Factors]]+FMS_Ranking4[[#This Row],[% NBS Score (Normalized)]]+(FMS_Ranking4[[#This Row],[Water Supply Score (Normalized)]]*10*$BB$5)+(FMS_Ranking4[[#This Row],[FMS_Type Score Weighted]])</f>
        <v>#REF!</v>
      </c>
      <c r="BT644" s="200" t="e">
        <f>_xlfn.RANK.EQ(FMS_Ranking4[[#This Row],[Log Total Score]],FMS_Ranking4[Log Total Score],0)</f>
        <v>#REF!</v>
      </c>
      <c r="BU644" s="200" t="e">
        <f>_xlfn.XLOOKUP(FMS_Ranking4[[#This Row],[FMS ID]],#REF!,#REF!)</f>
        <v>#REF!</v>
      </c>
      <c r="BV644" s="200">
        <f>FMS_Ranking4[[#This Row],[Region Number]]</f>
        <v>4</v>
      </c>
      <c r="BW644" s="200">
        <f>FMS_Ranking4[[#This Row],[Rank (with ArcSinh normalization of select criteria)]]-FMS_Ranking4[[#This Row],[Rank
(with linear
normalization)]]</f>
        <v>45</v>
      </c>
      <c r="BX644" s="200" t="e">
        <f>FMS_Ranking4[[#This Row],[Log Rank]]-FMS_Ranking4[[#This Row],[Rank
(with linear
normalization)]]</f>
        <v>#REF!</v>
      </c>
      <c r="BY644" s="200" t="str">
        <f>IF(FMS_Ranking4[[#This Row],[FMS Type]]="Flood Measurement and Warning",FMS_Ranking4[[#This Row],[Rank (with ArcSinh normalization of select criteria)]],"")</f>
        <v/>
      </c>
      <c r="BZ644" s="200" t="str">
        <f>IF(FMS_Ranking4[[#This Row],[FMS Type]]="Regulatory and Guidance",FMS_Ranking4[[#This Row],[Rank (with ArcSinh normalization of select criteria)]],"")</f>
        <v/>
      </c>
      <c r="CA644" s="200">
        <f>IF(FMS_Ranking4[[#This Row],[FMS Type]]="Education and Outreach",FMS_Ranking4[[#This Row],[Rank (with ArcSinh normalization of select criteria)]],"")</f>
        <v>636</v>
      </c>
      <c r="CB644" s="200" t="str">
        <f>IF(FMS_Ranking4[[#This Row],[FMS Type]]="Property Acquisition and Structural Elevation",FMS_Ranking4[[#This Row],[Rank (with ArcSinh normalization of select criteria)]],"")</f>
        <v/>
      </c>
      <c r="CC644" s="200" t="str">
        <f>IF(FMS_Ranking4[[#This Row],[FMS Type]]="Infrastructure Projects",FMS_Ranking4[[#This Row],[Rank (with ArcSinh normalization of select criteria)]],"")</f>
        <v/>
      </c>
      <c r="CD644" s="200" t="str">
        <f>IF(FMS_Ranking4[[#This Row],[FMS Type]]="Other",FMS_Ranking4[[#This Row],[Rank (with ArcSinh normalization of select criteria)]],"")</f>
        <v/>
      </c>
      <c r="CE644" s="201"/>
      <c r="CF644" s="206"/>
      <c r="CG644" s="206"/>
      <c r="CH644" s="206"/>
      <c r="CI644" s="206"/>
      <c r="CJ644" s="206"/>
      <c r="CK644" s="206"/>
      <c r="CL644" s="206"/>
      <c r="CM644" s="206"/>
      <c r="CN644" s="206"/>
      <c r="CO644" s="206"/>
      <c r="CP644" s="206"/>
      <c r="CQ644" s="206"/>
      <c r="CR644" s="206"/>
    </row>
    <row r="645" spans="2:96" ht="60" x14ac:dyDescent="0.25">
      <c r="B645" s="341" t="s">
        <v>140</v>
      </c>
      <c r="C645" s="246">
        <f>_xlfn.XLOOKUP(FMS_Ranking4[[#This Row],[FMS ID]],FMS_Input[FMS_ID],FMS_Input[RFPG_NUM])</f>
        <v>6</v>
      </c>
      <c r="D645" s="309" t="str">
        <f>_xlfn.XLOOKUP(FMS_Ranking4[[#This Row],[FMS ID]],FMS_Input[FMS_ID],FMS_Input[FMS_NAME])</f>
        <v xml:space="preserve">City of Hilcrest Village Land Acquisition </v>
      </c>
      <c r="E645" s="308" t="str">
        <f>_xlfn.XLOOKUP(FMS_Ranking4[[#This Row],[FMS ID]],FMS_Input[FMS_ID],FMS_Input[SPONSOR])</f>
        <v>06003026</v>
      </c>
      <c r="F645" s="309" t="str">
        <f>_xlfn.XLOOKUP(FMS_Ranking4[[#This Row],[FMS ID]],Sponsor[FMS_ID],Sponsor[SPONSOR NAME])</f>
        <v>Hillcrest Village</v>
      </c>
      <c r="G645" s="309" t="str">
        <f>_xlfn.XLOOKUP(FMS_Ranking4[[#This Row],[FMS ID]],FMS_Input[FMS_ID],FMS_Input[FMS_DESCR])</f>
        <v xml:space="preserve">Purchase additional land for retention pond construction to mitigate flooding in flood zones. </v>
      </c>
      <c r="H645" s="248" t="str">
        <f>_xlfn.XLOOKUP(FMS_Ranking4[[#This Row],[FMS ID]],FMS_Input[FMS_ID],FMS_Input[FMS_TYPE])</f>
        <v>Property Acquisition and Structural Elevation</v>
      </c>
      <c r="I645" s="249">
        <f>_xlfn.XLOOKUP(FMS_Ranking4[[#This Row],[FMS ID]],FMS_Input[FMS_ID],FMS_Input[NRNC_COST])</f>
        <v>12500</v>
      </c>
      <c r="J645" s="250">
        <f>_xlfn.XLOOKUP(FMS_Ranking4[[#This Row],[FMS ID]],FMS_Input[FMS_ID],FMS_Input[FMS_COST])</f>
        <v>250000</v>
      </c>
      <c r="K645" s="251" t="str">
        <f>_xlfn.XLOOKUP(FMS_Ranking4[[#This Row],[FMS ID]],FMS_Input[FMS_ID],FMS_Input[EMER_NEED])</f>
        <v>Yes</v>
      </c>
      <c r="L645" s="252">
        <f t="shared" si="9"/>
        <v>1</v>
      </c>
      <c r="M645" s="253">
        <f>_xlfn.XLOOKUP(FMS_Ranking4[[#This Row],[FMS ID]],FMS_Input[FMS_ID],FMS_Input[STRUCT_100])</f>
        <v>128</v>
      </c>
      <c r="N645" s="255">
        <f>(ASINH(FMS_Ranking4[[#This Row],[Structure at Risk Raw]]))*(10)/(ASINH(M$4))</f>
        <v>4.3593471079276656</v>
      </c>
      <c r="O645" s="256">
        <f>FMS_Ranking4[[#This Row],[Structures at risk, ArcSinh (0-10)]]*M$5*10</f>
        <v>4.3593471079276656</v>
      </c>
      <c r="P645" s="253">
        <f>_xlfn.XLOOKUP(FMS_Ranking4[[#This Row],[FMS ID]],FMS_Input[FMS_ID],FMS_Input[RES_STRUCT100])</f>
        <v>121</v>
      </c>
      <c r="Q645" s="257">
        <f>ASINH(FMS_Ranking4[[#This Row],[Res Structure Raw]])/Q$4*P$5*100</f>
        <v>0</v>
      </c>
      <c r="R645" s="253">
        <f>_xlfn.XLOOKUP(FMS_Ranking4[[#This Row],[FMS ID]],FMS_Input[FMS_ID],FMS_Input[POP100])</f>
        <v>333</v>
      </c>
      <c r="S645" s="259">
        <f>(ASINH(FMS_Ranking4[[#This Row],[Pop at Risk Raw]]))*(10)/(ASINH(R$4))</f>
        <v>4.4882203076209874</v>
      </c>
      <c r="T645" s="256">
        <f>FMS_Ranking4[[#This Row],[Population at risk, ArcSinh (0-10)]]*R$5*10</f>
        <v>4.4882203076209874</v>
      </c>
      <c r="U645" s="253">
        <f>_xlfn.XLOOKUP(FMS_Ranking4[[#This Row],[FMS ID]],FMS_Input[FMS_ID],FMS_Input[CRITFAC100])</f>
        <v>1</v>
      </c>
      <c r="V645" s="259">
        <f>(ASINH(FMS_Ranking4[[#This Row],[Critical Facilities Raw]]))*(10)/(ASINH(U$4))</f>
        <v>1.0433384451410745</v>
      </c>
      <c r="W645" s="256">
        <f>FMS_Ranking4[[#This Row],[Critical facilities at risk, ArcSinh (0-10)]]*U$5*10</f>
        <v>1.0433384451410745</v>
      </c>
      <c r="X645" s="253">
        <f>_xlfn.XLOOKUP(FMS_Ranking4[[#This Row],[FMS ID]],FMS_Input[FMS_ID],FMS_Input[LWC])</f>
        <v>0</v>
      </c>
      <c r="Y645" s="259">
        <f>(ASINH(FMS_Ranking4[[#This Row],[LWC Raw]]))*(10)/(ASINH(X$4))</f>
        <v>0</v>
      </c>
      <c r="Z645" s="256">
        <f>FMS_Ranking4[[#This Row],[LWC, ArcSInh (0-10)]]*X$5*10</f>
        <v>0</v>
      </c>
      <c r="AA645" s="253">
        <f>_xlfn.XLOOKUP(FMS_Ranking4[[#This Row],[FMS ID]],FMS_Input[FMS_ID],FMS_Input[ROADCLS])</f>
        <v>0</v>
      </c>
      <c r="AB645" s="255">
        <f>(ASINH(FMS_Ranking4[[#This Row],[Road Closures Raw]]))*(10)/(ASINH(AA$4))</f>
        <v>0</v>
      </c>
      <c r="AC645" s="256">
        <f>FMS_Ranking4[[#This Row],[Road closures, ArcSinh (0-10)]]*AA$5*10</f>
        <v>0</v>
      </c>
      <c r="AD645" s="253">
        <f>_xlfn.XLOOKUP(FMS_Ranking4[[#This Row],[FMS ID]],FMS_Input[FMS_ID],FMS_Input[ROAD_MILES100])</f>
        <v>2</v>
      </c>
      <c r="AE645" s="259">
        <f>(ASINH(FMS_Ranking4[[#This Row],[Road Miles Raw]]))*(10)/(ASINH(AD$4))</f>
        <v>1.5385182374234352</v>
      </c>
      <c r="AF645" s="256">
        <f>FMS_Ranking4[[#This Row],[Length of roads at risk, ArcSinh (0-10)]]*AD$5*10</f>
        <v>1.5385182374234352</v>
      </c>
      <c r="AG645" s="253">
        <f>_xlfn.XLOOKUP(FMS_Ranking4[[#This Row],[FMS ID]],FMS_Input[FMS_ID],FMS_Input[FARMACRE100])</f>
        <v>0.13477399945259089</v>
      </c>
      <c r="AH645" s="255">
        <f>(ASINH(FMS_Ranking4[[#This Row],[Ag Land Raw]]))*(10)/(ASINH(AG$4))</f>
        <v>8.7283802315712242E-2</v>
      </c>
      <c r="AI645" s="260">
        <f>FMS_Ranking4[[#This Row],[Farm &amp; ranch land, ArcSinh (0-10)]]*AG$5*10</f>
        <v>4.3641901157856128E-2</v>
      </c>
      <c r="AJ645" s="258">
        <f>_xlfn.XLOOKUP(FMS_Ranking4[[#This Row],[FMS ID]],FMS_Input[FMS_ID],FMS_Input[REDSTRUCT100])</f>
        <v>0</v>
      </c>
      <c r="AK645" s="253">
        <f>_xlfn.XLOOKUP(FMS_Ranking4[[#This Row],[FMS ID]],FMS_Input[FMS_ID],FMS_Input[REMSTRC100])</f>
        <v>0</v>
      </c>
      <c r="AL645" s="259">
        <f>(ASINH(FMS_Ranking4[[#This Row],[Structures Removed Raw]]))*(10)/(ASINH(AK$4))</f>
        <v>0</v>
      </c>
      <c r="AM645" s="262">
        <f>FMS_Ranking4[[#This Row],[Structures removed, ArcSinh (0-10)]]*AK$5*10</f>
        <v>0</v>
      </c>
      <c r="AN645" s="253">
        <f>_xlfn.XLOOKUP(FMS_Ranking4[[#This Row],[FMS ID]],FMS_Input[FMS_ID],FMS_Input[REMRESSTRC100])</f>
        <v>0</v>
      </c>
      <c r="AO645" s="261">
        <f>FMS_Ranking4[[#This Row],[ArcSinh Res struct removed 0-10]]*AN$5*10</f>
        <v>0</v>
      </c>
      <c r="AP645" s="260">
        <f>ASINH(FMS_Ranking4[[#This Row],[Residential Structures Removed Raw]])/AP$4*AN$5*100</f>
        <v>0</v>
      </c>
      <c r="AQ645" s="254">
        <f>(ASINH(FMS_Ranking4[[#This Row],[Residential Structures Removed Raw]]))*(10)/(ASINH(AN$4))</f>
        <v>0</v>
      </c>
      <c r="AR645" s="253">
        <f>_xlfn.XLOOKUP(FMS_Ranking4[[#This Row],[FMS ID]],FMS_Input[FMS_ID],FMS_Input[REMPOP100])</f>
        <v>0</v>
      </c>
      <c r="AS645" s="259">
        <f>(ASINH(FMS_Ranking4[[#This Row],[Removed Pop Raw]]))*(10)/(ASINH(AR$4))</f>
        <v>0</v>
      </c>
      <c r="AT645" s="262">
        <f>FMS_Ranking4[[#This Row],[Removed population, ArcSinh (0-10)]]*AR$5*10</f>
        <v>0</v>
      </c>
      <c r="AU645" s="264">
        <f>_xlfn.XLOOKUP(FMS_Ranking4[[#This Row],[FMS ID]],FMS_Input[FMS_ID],FMS_Input[REMCRITFAC100])</f>
        <v>0</v>
      </c>
      <c r="AV645" s="264">
        <f>_xlfn.XLOOKUP(FMS_Ranking4[[#This Row],[FMS ID]],FMS_Input[FMS_ID],FMS_Input[REMLWC100])</f>
        <v>0</v>
      </c>
      <c r="AW645" s="264">
        <f>_xlfn.XLOOKUP(FMS_Ranking4[[#This Row],[FMS ID]],FMS_Input[FMS_ID],FMS_Input[REMROADCLS])</f>
        <v>0</v>
      </c>
      <c r="AX645" s="264">
        <f>_xlfn.XLOOKUP(FMS_Ranking4[[#This Row],[FMS ID]],FMS_Input[FMS_ID],FMS_Input[REMFRMACRE100])</f>
        <v>0</v>
      </c>
      <c r="AY645" s="258">
        <f>_xlfn.XLOOKUP(FMS_Ranking4[[#This Row],[FMS ID]],FMS_Input[FMS_ID],FMS_Input[COSTSTRUCT])</f>
        <v>0</v>
      </c>
      <c r="AZ645" s="253">
        <f>_xlfn.XLOOKUP(FMS_Ranking4[[#This Row],[FMS ID]],FMS_Input[FMS_ID],FMS_Input[NATURE])</f>
        <v>0</v>
      </c>
      <c r="BA645" s="262">
        <f>(((FMS_Ranking4[[#This Row],[% NBS Raw]]/AZ$4)*100)*AZ$5)</f>
        <v>0</v>
      </c>
      <c r="BB645" s="251" t="str">
        <f>_xlfn.XLOOKUP(FMS_Ranking4[[#This Row],[FMS ID]],FMS_Input[FMS_ID],FMS_Input[WATER_SUP])</f>
        <v>No</v>
      </c>
      <c r="BC645" s="265">
        <f>IF(FMS_Ranking4[[#This Row],[Water Supply Raw]]="Yes",10,0)</f>
        <v>0</v>
      </c>
      <c r="BD645" s="266">
        <f>_xlfn.XLOOKUP(FMS_Ranking4[[#This Row],[FMS Type]],FMS_TYPE[FMS_Type],FMS_TYPE[Score])</f>
        <v>4</v>
      </c>
      <c r="BE645" s="267">
        <f>FMS_Ranking4[[#This Row],[FMS_Type Score]]*$BD$5*10</f>
        <v>1</v>
      </c>
      <c r="BF64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1.8716507158356831E-2</v>
      </c>
      <c r="BG645" s="271">
        <f>_xlfn.RANK.EQ(BF645,$BF$8:$BF$870,0)+COUNTIF($BF$8:BF645,BF645)-1</f>
        <v>636</v>
      </c>
      <c r="BH645" s="268">
        <f>(((FMS_Ranking4[[#This Row],[Structures Removed Raw]]/AK$4)*100)*AK$5)+(((FMS_Ranking4[[#This Row],[Removed Pop Raw]]/AR$4)*100)*AR$5)</f>
        <v>0</v>
      </c>
      <c r="BI64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1.0187165071583568</v>
      </c>
      <c r="BJ645" s="205">
        <f>_xlfn.RANK.EQ(FMS_Ranking4[[#This Row],[Total Score 
(with linear
normalization)]],FMS_Ranking4[Total Score 
(with linear
normalization)],0)</f>
        <v>721</v>
      </c>
      <c r="BK645" s="205" t="e">
        <f>_xlfn.XLOOKUP(FMS_Ranking4[[#This Row],[FMS ID]],#REF!,#REF!)</f>
        <v>#REF!</v>
      </c>
      <c r="BL64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11.47306599927102</v>
      </c>
      <c r="BM645" s="272">
        <f>FMS_Ranking4[[#This Row],[ArcSinh Score Based on Normalized Reported Factors]]+FMS_Ranking4[[#This Row],[% NBS Score (Normalized)]]+(FMS_Ranking4[[#This Row],[Water Supply Score (Normalized)]]*10*$BB$5)+FMS_Ranking4[[#This Row],[FMS_Type Score Weighted]]</f>
        <v>12.47306599927102</v>
      </c>
      <c r="BN645" s="205">
        <f>_xlfn.RANK.EQ(FMS_Ranking4[[#This Row],[Total Score (with ArcSinh normalization of select criteria)]],FMS_Ranking4[Total Score (with ArcSinh normalization of select criteria)],0)</f>
        <v>638</v>
      </c>
      <c r="BO645" s="270" t="str">
        <f>_xlfn.XLOOKUP(FMS_Ranking4[[#This Row],[FMS ID]],FMS_Input[FMS_ID],FMS_Input[FMS_RANK_YEAR])</f>
        <v>2023 Amended Plan</v>
      </c>
      <c r="BP645" s="204">
        <f>_xlfn.XLOOKUP(FMS_Ranking4[[#This Row],[FMS ID]],Prev_Rank[FMS ID],Prev_Rank[Prev Rank])</f>
        <v>568</v>
      </c>
      <c r="BQ645" s="205" t="e">
        <f>_xlfn.XLOOKUP(FMS_Ranking4[[#This Row],[FMS ID]],#REF!,#REF!)</f>
        <v>#REF!</v>
      </c>
      <c r="BR645" s="199" t="e">
        <f>SUM(#REF!,#REF!,#REF!,#REF!,#REF!,#REF!,#REF!,#REF!,#REF!,FMS_Ranking4[[#This Row],[ArcSinh Res struct removed 0-10]],#REF!)</f>
        <v>#REF!</v>
      </c>
      <c r="BS645" s="199" t="e">
        <f>FMS_Ranking4[[#This Row],[Log Score Based on Normalized Reported Factors]]+FMS_Ranking4[[#This Row],[% NBS Score (Normalized)]]+(FMS_Ranking4[[#This Row],[Water Supply Score (Normalized)]]*10*$BB$5)+(FMS_Ranking4[[#This Row],[FMS_Type Score Weighted]])</f>
        <v>#REF!</v>
      </c>
      <c r="BT645" s="200" t="e">
        <f>_xlfn.RANK.EQ(FMS_Ranking4[[#This Row],[Log Total Score]],FMS_Ranking4[Log Total Score],0)</f>
        <v>#REF!</v>
      </c>
      <c r="BU645" s="200" t="e">
        <f>_xlfn.XLOOKUP(FMS_Ranking4[[#This Row],[FMS ID]],#REF!,#REF!)</f>
        <v>#REF!</v>
      </c>
      <c r="BV645" s="200">
        <f>FMS_Ranking4[[#This Row],[Region Number]]</f>
        <v>6</v>
      </c>
      <c r="BW645" s="200">
        <f>FMS_Ranking4[[#This Row],[Rank (with ArcSinh normalization of select criteria)]]-FMS_Ranking4[[#This Row],[Rank
(with linear
normalization)]]</f>
        <v>-83</v>
      </c>
      <c r="BX645" s="200" t="e">
        <f>FMS_Ranking4[[#This Row],[Log Rank]]-FMS_Ranking4[[#This Row],[Rank
(with linear
normalization)]]</f>
        <v>#REF!</v>
      </c>
      <c r="BY645" s="200" t="str">
        <f>IF(FMS_Ranking4[[#This Row],[FMS Type]]="Flood Measurement and Warning",FMS_Ranking4[[#This Row],[Rank (with ArcSinh normalization of select criteria)]],"")</f>
        <v/>
      </c>
      <c r="BZ645" s="200" t="str">
        <f>IF(FMS_Ranking4[[#This Row],[FMS Type]]="Regulatory and Guidance",FMS_Ranking4[[#This Row],[Rank (with ArcSinh normalization of select criteria)]],"")</f>
        <v/>
      </c>
      <c r="CA645" s="200" t="str">
        <f>IF(FMS_Ranking4[[#This Row],[FMS Type]]="Education and Outreach",FMS_Ranking4[[#This Row],[Rank (with ArcSinh normalization of select criteria)]],"")</f>
        <v/>
      </c>
      <c r="CB645" s="200">
        <f>IF(FMS_Ranking4[[#This Row],[FMS Type]]="Property Acquisition and Structural Elevation",FMS_Ranking4[[#This Row],[Rank (with ArcSinh normalization of select criteria)]],"")</f>
        <v>638</v>
      </c>
      <c r="CC645" s="200" t="str">
        <f>IF(FMS_Ranking4[[#This Row],[FMS Type]]="Infrastructure Projects",FMS_Ranking4[[#This Row],[Rank (with ArcSinh normalization of select criteria)]],"")</f>
        <v/>
      </c>
      <c r="CD645" s="200" t="str">
        <f>IF(FMS_Ranking4[[#This Row],[FMS Type]]="Other",FMS_Ranking4[[#This Row],[Rank (with ArcSinh normalization of select criteria)]],"")</f>
        <v/>
      </c>
      <c r="CE645" s="201"/>
      <c r="CF645" s="206"/>
      <c r="CG645" s="206"/>
      <c r="CH645" s="206"/>
      <c r="CI645" s="206"/>
      <c r="CJ645" s="206"/>
      <c r="CK645" s="206"/>
      <c r="CL645" s="206"/>
      <c r="CM645" s="206"/>
      <c r="CN645" s="206"/>
      <c r="CO645" s="206"/>
      <c r="CP645" s="206"/>
      <c r="CQ645" s="206"/>
      <c r="CR645" s="206"/>
    </row>
    <row r="646" spans="2:96" ht="60" x14ac:dyDescent="0.25">
      <c r="B646" s="341" t="s">
        <v>2068</v>
      </c>
      <c r="C646" s="246">
        <f>_xlfn.XLOOKUP(FMS_Ranking4[[#This Row],[FMS ID]],FMS_Input[FMS_ID],FMS_Input[RFPG_NUM])</f>
        <v>3</v>
      </c>
      <c r="D646" s="309" t="str">
        <f>_xlfn.XLOOKUP(FMS_Ranking4[[#This Row],[FMS ID]],FMS_Input[FMS_ID],FMS_Input[FMS_NAME])</f>
        <v>Hunt County Flood Warning and Public Safety</v>
      </c>
      <c r="E646" s="308" t="str">
        <f>_xlfn.XLOOKUP(FMS_Ranking4[[#This Row],[FMS ID]],FMS_Input[FMS_ID],FMS_Input[SPONSOR])</f>
        <v>Hunt County</v>
      </c>
      <c r="F646" s="309" t="str">
        <f>_xlfn.XLOOKUP(FMS_Ranking4[[#This Row],[FMS ID]],Sponsor[FMS_ID],Sponsor[SPONSOR NAME])</f>
        <v>Hunt County</v>
      </c>
      <c r="G646" s="309" t="str">
        <f>_xlfn.XLOOKUP(FMS_Ranking4[[#This Row],[FMS ID]],FMS_Input[FMS_ID],FMS_Input[FMS_DESCR])</f>
        <v>Adopt and Promote the program of “Turn Around Don’t Drown Campaign.” Implement early warning program.</v>
      </c>
      <c r="H646" s="248" t="str">
        <f>_xlfn.XLOOKUP(FMS_Ranking4[[#This Row],[FMS ID]],FMS_Input[FMS_ID],FMS_Input[FMS_TYPE])</f>
        <v>Flood Measurement and Warning</v>
      </c>
      <c r="I646" s="249">
        <f>_xlfn.XLOOKUP(FMS_Ranking4[[#This Row],[FMS ID]],FMS_Input[FMS_ID],FMS_Input[NRNC_COST])</f>
        <v>25000</v>
      </c>
      <c r="J646" s="250">
        <f>_xlfn.XLOOKUP(FMS_Ranking4[[#This Row],[FMS ID]],FMS_Input[FMS_ID],FMS_Input[FMS_COST])</f>
        <v>250000</v>
      </c>
      <c r="K646" s="251" t="str">
        <f>_xlfn.XLOOKUP(FMS_Ranking4[[#This Row],[FMS ID]],FMS_Input[FMS_ID],FMS_Input[EMER_NEED])</f>
        <v>No</v>
      </c>
      <c r="L646" s="252">
        <f t="shared" si="9"/>
        <v>0</v>
      </c>
      <c r="M646" s="253">
        <f>_xlfn.XLOOKUP(FMS_Ranking4[[#This Row],[FMS ID]],FMS_Input[FMS_ID],FMS_Input[STRUCT_100])</f>
        <v>27</v>
      </c>
      <c r="N646" s="255">
        <f>(ASINH(FMS_Ranking4[[#This Row],[Structure at Risk Raw]]))*(10)/(ASINH(M$4))</f>
        <v>3.1362048544087462</v>
      </c>
      <c r="O646" s="256">
        <f>FMS_Ranking4[[#This Row],[Structures at risk, ArcSinh (0-10)]]*M$5*10</f>
        <v>3.1362048544087462</v>
      </c>
      <c r="P646" s="253">
        <f>_xlfn.XLOOKUP(FMS_Ranking4[[#This Row],[FMS ID]],FMS_Input[FMS_ID],FMS_Input[RES_STRUCT100])</f>
        <v>16</v>
      </c>
      <c r="Q646" s="257">
        <f>ASINH(FMS_Ranking4[[#This Row],[Res Structure Raw]])/Q$4*P$5*100</f>
        <v>0</v>
      </c>
      <c r="R646" s="253">
        <f>_xlfn.XLOOKUP(FMS_Ranking4[[#This Row],[FMS ID]],FMS_Input[FMS_ID],FMS_Input[POP100])</f>
        <v>7</v>
      </c>
      <c r="S646" s="255">
        <f>(ASINH(FMS_Ranking4[[#This Row],[Pop at Risk Raw]]))*(10)/(ASINH(R$4))</f>
        <v>1.8253904965994052</v>
      </c>
      <c r="T646" s="256">
        <f>FMS_Ranking4[[#This Row],[Population at risk, ArcSinh (0-10)]]*R$5*10</f>
        <v>1.8253904965994052</v>
      </c>
      <c r="U646" s="253">
        <f>_xlfn.XLOOKUP(FMS_Ranking4[[#This Row],[FMS ID]],FMS_Input[FMS_ID],FMS_Input[CRITFAC100])</f>
        <v>0</v>
      </c>
      <c r="V646" s="255">
        <f>(ASINH(FMS_Ranking4[[#This Row],[Critical Facilities Raw]]))*(10)/(ASINH(U$4))</f>
        <v>0</v>
      </c>
      <c r="W646" s="256">
        <f>FMS_Ranking4[[#This Row],[Critical facilities at risk, ArcSinh (0-10)]]*U$5*10</f>
        <v>0</v>
      </c>
      <c r="X646" s="253">
        <f>_xlfn.XLOOKUP(FMS_Ranking4[[#This Row],[FMS ID]],FMS_Input[FMS_ID],FMS_Input[LWC])</f>
        <v>0</v>
      </c>
      <c r="Y646" s="255">
        <f>(ASINH(FMS_Ranking4[[#This Row],[LWC Raw]]))*(10)/(ASINH(X$4))</f>
        <v>0</v>
      </c>
      <c r="Z646" s="256">
        <f>FMS_Ranking4[[#This Row],[LWC, ArcSInh (0-10)]]*X$5*10</f>
        <v>0</v>
      </c>
      <c r="AA646" s="253">
        <f>_xlfn.XLOOKUP(FMS_Ranking4[[#This Row],[FMS ID]],FMS_Input[FMS_ID],FMS_Input[ROADCLS])</f>
        <v>0</v>
      </c>
      <c r="AB646" s="255">
        <f>(ASINH(FMS_Ranking4[[#This Row],[Road Closures Raw]]))*(10)/(ASINH(AA$4))</f>
        <v>0</v>
      </c>
      <c r="AC646" s="256">
        <f>FMS_Ranking4[[#This Row],[Road closures, ArcSinh (0-10)]]*AA$5*10</f>
        <v>0</v>
      </c>
      <c r="AD646" s="253">
        <f>_xlfn.XLOOKUP(FMS_Ranking4[[#This Row],[FMS ID]],FMS_Input[FMS_ID],FMS_Input[ROAD_MILES100])</f>
        <v>4</v>
      </c>
      <c r="AE646" s="255">
        <f>(ASINH(FMS_Ranking4[[#This Row],[Road Miles Raw]]))*(10)/(ASINH(AD$4))</f>
        <v>2.2323872691766113</v>
      </c>
      <c r="AF646" s="256">
        <f>FMS_Ranking4[[#This Row],[Length of roads at risk, ArcSinh (0-10)]]*AD$5*10</f>
        <v>2.2323872691766113</v>
      </c>
      <c r="AG646" s="253">
        <f>_xlfn.XLOOKUP(FMS_Ranking4[[#This Row],[FMS ID]],FMS_Input[FMS_ID],FMS_Input[FARMACRE100])</f>
        <v>2159.169921875</v>
      </c>
      <c r="AH646" s="255">
        <f>(ASINH(FMS_Ranking4[[#This Row],[Ag Land Raw]]))*(10)/(ASINH(AG$4))</f>
        <v>5.4374037736404057</v>
      </c>
      <c r="AI646" s="260">
        <f>FMS_Ranking4[[#This Row],[Farm &amp; ranch land, ArcSinh (0-10)]]*AG$5*10</f>
        <v>2.7187018868202029</v>
      </c>
      <c r="AJ646" s="258">
        <f>_xlfn.XLOOKUP(FMS_Ranking4[[#This Row],[FMS ID]],FMS_Input[FMS_ID],FMS_Input[REDSTRUCT100])</f>
        <v>0</v>
      </c>
      <c r="AK646" s="253">
        <f>_xlfn.XLOOKUP(FMS_Ranking4[[#This Row],[FMS ID]],FMS_Input[FMS_ID],FMS_Input[REMSTRC100])</f>
        <v>0</v>
      </c>
      <c r="AL646" s="255">
        <f>(ASINH(FMS_Ranking4[[#This Row],[Structures Removed Raw]]))*(10)/(ASINH(AK$4))</f>
        <v>0</v>
      </c>
      <c r="AM646" s="262">
        <f>FMS_Ranking4[[#This Row],[Structures removed, ArcSinh (0-10)]]*AK$5*10</f>
        <v>0</v>
      </c>
      <c r="AN646" s="253">
        <f>_xlfn.XLOOKUP(FMS_Ranking4[[#This Row],[FMS ID]],FMS_Input[FMS_ID],FMS_Input[REMRESSTRC100])</f>
        <v>0</v>
      </c>
      <c r="AO646" s="261">
        <f>FMS_Ranking4[[#This Row],[ArcSinh Res struct removed 0-10]]*AN$5*10</f>
        <v>0</v>
      </c>
      <c r="AP646" s="260">
        <f>ASINH(FMS_Ranking4[[#This Row],[Residential Structures Removed Raw]])/AP$4*AN$5*100</f>
        <v>0</v>
      </c>
      <c r="AQ646" s="258">
        <f>(ASINH(FMS_Ranking4[[#This Row],[Residential Structures Removed Raw]]))*(10)/(ASINH(AN$4))</f>
        <v>0</v>
      </c>
      <c r="AR646" s="253">
        <f>_xlfn.XLOOKUP(FMS_Ranking4[[#This Row],[FMS ID]],FMS_Input[FMS_ID],FMS_Input[REMPOP100])</f>
        <v>0</v>
      </c>
      <c r="AS646" s="255">
        <f>(ASINH(FMS_Ranking4[[#This Row],[Removed Pop Raw]]))*(10)/(ASINH(AR$4))</f>
        <v>0</v>
      </c>
      <c r="AT646" s="262">
        <f>FMS_Ranking4[[#This Row],[Removed population, ArcSinh (0-10)]]*AR$5*10</f>
        <v>0</v>
      </c>
      <c r="AU646" s="264">
        <f>_xlfn.XLOOKUP(FMS_Ranking4[[#This Row],[FMS ID]],FMS_Input[FMS_ID],FMS_Input[REMCRITFAC100])</f>
        <v>0</v>
      </c>
      <c r="AV646" s="264">
        <f>_xlfn.XLOOKUP(FMS_Ranking4[[#This Row],[FMS ID]],FMS_Input[FMS_ID],FMS_Input[REMLWC100])</f>
        <v>0</v>
      </c>
      <c r="AW646" s="264">
        <f>_xlfn.XLOOKUP(FMS_Ranking4[[#This Row],[FMS ID]],FMS_Input[FMS_ID],FMS_Input[REMROADCLS])</f>
        <v>0</v>
      </c>
      <c r="AX646" s="264">
        <f>_xlfn.XLOOKUP(FMS_Ranking4[[#This Row],[FMS ID]],FMS_Input[FMS_ID],FMS_Input[REMFRMACRE100])</f>
        <v>0</v>
      </c>
      <c r="AY646" s="258">
        <f>_xlfn.XLOOKUP(FMS_Ranking4[[#This Row],[FMS ID]],FMS_Input[FMS_ID],FMS_Input[COSTSTRUCT])</f>
        <v>0</v>
      </c>
      <c r="AZ646" s="253">
        <f>_xlfn.XLOOKUP(FMS_Ranking4[[#This Row],[FMS ID]],FMS_Input[FMS_ID],FMS_Input[NATURE])</f>
        <v>0</v>
      </c>
      <c r="BA646" s="262">
        <f>(((FMS_Ranking4[[#This Row],[% NBS Raw]]/AZ$4)*100)*AZ$5)</f>
        <v>0</v>
      </c>
      <c r="BB646" s="251" t="str">
        <f>_xlfn.XLOOKUP(FMS_Ranking4[[#This Row],[FMS ID]],FMS_Input[FMS_ID],FMS_Input[WATER_SUP])</f>
        <v>No</v>
      </c>
      <c r="BC646" s="265">
        <f>IF(FMS_Ranking4[[#This Row],[Water Supply Raw]]="Yes",10,0)</f>
        <v>0</v>
      </c>
      <c r="BD646" s="266">
        <f>_xlfn.XLOOKUP(FMS_Ranking4[[#This Row],[FMS Type]],FMS_TYPE[FMS_Type],FMS_TYPE[Score])</f>
        <v>10</v>
      </c>
      <c r="BE646" s="267">
        <f>FMS_Ranking4[[#This Row],[FMS_Type Score]]*$BD$5*10</f>
        <v>2.5</v>
      </c>
      <c r="BF646"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1.2867460028583997E-2</v>
      </c>
      <c r="BG646" s="321">
        <f>_xlfn.RANK.EQ(BF646,$BF$8:$BF$870,0)+COUNTIF($BF$8:BF646,BF646)-1</f>
        <v>661</v>
      </c>
      <c r="BH646" s="294">
        <f>(((FMS_Ranking4[[#This Row],[Structures Removed Raw]]/AK$4)*100)*AK$5)+(((FMS_Ranking4[[#This Row],[Removed Pop Raw]]/AR$4)*100)*AR$5)</f>
        <v>0</v>
      </c>
      <c r="BI64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2.5128674600285841</v>
      </c>
      <c r="BJ646" s="251">
        <f>_xlfn.RANK.EQ(FMS_Ranking4[[#This Row],[Total Score 
(with linear
normalization)]],FMS_Ranking4[Total Score 
(with linear
normalization)],0)</f>
        <v>249</v>
      </c>
      <c r="BK646" s="251" t="e">
        <f>_xlfn.XLOOKUP(FMS_Ranking4[[#This Row],[FMS ID]],#REF!,#REF!)</f>
        <v>#REF!</v>
      </c>
      <c r="BL646"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9.9126845070049647</v>
      </c>
      <c r="BM646" s="324">
        <f>FMS_Ranking4[[#This Row],[ArcSinh Score Based on Normalized Reported Factors]]+FMS_Ranking4[[#This Row],[% NBS Score (Normalized)]]+(FMS_Ranking4[[#This Row],[Water Supply Score (Normalized)]]*10*$BB$5)+FMS_Ranking4[[#This Row],[FMS_Type Score Weighted]]</f>
        <v>12.412684507004965</v>
      </c>
      <c r="BN646" s="251">
        <f>_xlfn.RANK.EQ(FMS_Ranking4[[#This Row],[Total Score (with ArcSinh normalization of select criteria)]],FMS_Ranking4[Total Score (with ArcSinh normalization of select criteria)],0)</f>
        <v>639</v>
      </c>
      <c r="BO646" s="270" t="str">
        <f>_xlfn.XLOOKUP(FMS_Ranking4[[#This Row],[FMS ID]],FMS_Input[FMS_ID],FMS_Input[FMS_RANK_YEAR])</f>
        <v>2023 Amended Plan</v>
      </c>
      <c r="BP646" s="204">
        <f>_xlfn.XLOOKUP(FMS_Ranking4[[#This Row],[FMS ID]],Prev_Rank[FMS ID],Prev_Rank[Prev Rank])</f>
        <v>572</v>
      </c>
      <c r="BQ646" s="251" t="e">
        <f>_xlfn.XLOOKUP(FMS_Ranking4[[#This Row],[FMS ID]],#REF!,#REF!)</f>
        <v>#REF!</v>
      </c>
      <c r="BR646" s="199" t="e">
        <f>SUM(#REF!,#REF!,#REF!,#REF!,#REF!,#REF!,#REF!,#REF!,#REF!,FMS_Ranking4[[#This Row],[ArcSinh Res struct removed 0-10]],#REF!)</f>
        <v>#REF!</v>
      </c>
      <c r="BS646" s="199" t="e">
        <f>FMS_Ranking4[[#This Row],[Log Score Based on Normalized Reported Factors]]+FMS_Ranking4[[#This Row],[% NBS Score (Normalized)]]+(FMS_Ranking4[[#This Row],[Water Supply Score (Normalized)]]*10*$BB$5)+(FMS_Ranking4[[#This Row],[FMS_Type Score Weighted]])</f>
        <v>#REF!</v>
      </c>
      <c r="BT646" s="200" t="e">
        <f>_xlfn.RANK.EQ(FMS_Ranking4[[#This Row],[Log Total Score]],FMS_Ranking4[Log Total Score],0)</f>
        <v>#REF!</v>
      </c>
      <c r="BU646" s="200" t="e">
        <f>_xlfn.XLOOKUP(FMS_Ranking4[[#This Row],[FMS ID]],#REF!,#REF!)</f>
        <v>#REF!</v>
      </c>
      <c r="BV646" s="200">
        <f>FMS_Ranking4[[#This Row],[Region Number]]</f>
        <v>3</v>
      </c>
      <c r="BW646" s="200">
        <f>FMS_Ranking4[[#This Row],[Rank (with ArcSinh normalization of select criteria)]]-FMS_Ranking4[[#This Row],[Rank
(with linear
normalization)]]</f>
        <v>390</v>
      </c>
      <c r="BX646" s="200" t="e">
        <f>FMS_Ranking4[[#This Row],[Log Rank]]-FMS_Ranking4[[#This Row],[Rank
(with linear
normalization)]]</f>
        <v>#REF!</v>
      </c>
      <c r="BY646" s="200">
        <f>IF(FMS_Ranking4[[#This Row],[FMS Type]]="Flood Measurement and Warning",FMS_Ranking4[[#This Row],[Rank (with ArcSinh normalization of select criteria)]],"")</f>
        <v>639</v>
      </c>
      <c r="BZ646" s="200" t="str">
        <f>IF(FMS_Ranking4[[#This Row],[FMS Type]]="Regulatory and Guidance",FMS_Ranking4[[#This Row],[Rank (with ArcSinh normalization of select criteria)]],"")</f>
        <v/>
      </c>
      <c r="CA646" s="200" t="str">
        <f>IF(FMS_Ranking4[[#This Row],[FMS Type]]="Education and Outreach",FMS_Ranking4[[#This Row],[Rank (with ArcSinh normalization of select criteria)]],"")</f>
        <v/>
      </c>
      <c r="CB646" s="200" t="str">
        <f>IF(FMS_Ranking4[[#This Row],[FMS Type]]="Property Acquisition and Structural Elevation",FMS_Ranking4[[#This Row],[Rank (with ArcSinh normalization of select criteria)]],"")</f>
        <v/>
      </c>
      <c r="CC646" s="200" t="str">
        <f>IF(FMS_Ranking4[[#This Row],[FMS Type]]="Infrastructure Projects",FMS_Ranking4[[#This Row],[Rank (with ArcSinh normalization of select criteria)]],"")</f>
        <v/>
      </c>
      <c r="CD646" s="200" t="str">
        <f>IF(FMS_Ranking4[[#This Row],[FMS Type]]="Other",FMS_Ranking4[[#This Row],[Rank (with ArcSinh normalization of select criteria)]],"")</f>
        <v/>
      </c>
      <c r="CE646" s="201"/>
      <c r="CF646" s="206"/>
      <c r="CG646" s="206"/>
      <c r="CH646" s="206"/>
      <c r="CI646" s="206"/>
      <c r="CJ646" s="206"/>
      <c r="CK646" s="206"/>
      <c r="CL646" s="206"/>
      <c r="CM646" s="206"/>
      <c r="CN646" s="206"/>
      <c r="CO646" s="206"/>
      <c r="CP646" s="206"/>
      <c r="CQ646" s="206"/>
      <c r="CR646" s="206"/>
    </row>
    <row r="647" spans="2:96" ht="60" x14ac:dyDescent="0.25">
      <c r="B647" s="341" t="s">
        <v>2574</v>
      </c>
      <c r="C647" s="246">
        <f>_xlfn.XLOOKUP(FMS_Ranking4[[#This Row],[FMS ID]],FMS_Input[FMS_ID],FMS_Input[RFPG_NUM])</f>
        <v>4</v>
      </c>
      <c r="D647" s="309" t="str">
        <f>_xlfn.XLOOKUP(FMS_Ranking4[[#This Row],[FMS ID]],FMS_Input[FMS_ID],FMS_Input[FMS_NAME])</f>
        <v>City of Grand Saline Flood Infrastructure Maintenance</v>
      </c>
      <c r="E647" s="308" t="str">
        <f>_xlfn.XLOOKUP(FMS_Ranking4[[#This Row],[FMS ID]],FMS_Input[FMS_ID],FMS_Input[SPONSOR])</f>
        <v>04002588</v>
      </c>
      <c r="F647" s="309" t="str">
        <f>_xlfn.XLOOKUP(FMS_Ranking4[[#This Row],[FMS ID]],Sponsor[FMS_ID],Sponsor[SPONSOR NAME])</f>
        <v>Grand Saline</v>
      </c>
      <c r="G647" s="309" t="str">
        <f>_xlfn.XLOOKUP(FMS_Ranking4[[#This Row],[FMS ID]],FMS_Input[FMS_ID],FMS_Input[FMS_DESCR])</f>
        <v xml:space="preserve">Adopt and implement a program for clearing debris from bridges, drains, and culverts_x000D_
</v>
      </c>
      <c r="H647" s="248" t="str">
        <f>_xlfn.XLOOKUP(FMS_Ranking4[[#This Row],[FMS ID]],FMS_Input[FMS_ID],FMS_Input[FMS_TYPE])</f>
        <v>Other</v>
      </c>
      <c r="I647" s="249">
        <f>_xlfn.XLOOKUP(FMS_Ranking4[[#This Row],[FMS ID]],FMS_Input[FMS_ID],FMS_Input[NRNC_COST])</f>
        <v>100000</v>
      </c>
      <c r="J647" s="250">
        <f>_xlfn.XLOOKUP(FMS_Ranking4[[#This Row],[FMS ID]],FMS_Input[FMS_ID],FMS_Input[FMS_COST])</f>
        <v>100000</v>
      </c>
      <c r="K647" s="251" t="str">
        <f>_xlfn.XLOOKUP(FMS_Ranking4[[#This Row],[FMS ID]],FMS_Input[FMS_ID],FMS_Input[EMER_NEED])</f>
        <v>No</v>
      </c>
      <c r="L647" s="252">
        <f t="shared" si="9"/>
        <v>0</v>
      </c>
      <c r="M647" s="253">
        <f>_xlfn.XLOOKUP(FMS_Ranking4[[#This Row],[FMS ID]],FMS_Input[FMS_ID],FMS_Input[STRUCT_100])</f>
        <v>82</v>
      </c>
      <c r="N647" s="255">
        <f>(ASINH(FMS_Ranking4[[#This Row],[Structure at Risk Raw]]))*(10)/(ASINH(M$4))</f>
        <v>4.009283577074644</v>
      </c>
      <c r="O647" s="256">
        <f>FMS_Ranking4[[#This Row],[Structures at risk, ArcSinh (0-10)]]*M$5*10</f>
        <v>4.009283577074644</v>
      </c>
      <c r="P647" s="253">
        <f>_xlfn.XLOOKUP(FMS_Ranking4[[#This Row],[FMS ID]],FMS_Input[FMS_ID],FMS_Input[RES_STRUCT100])</f>
        <v>34</v>
      </c>
      <c r="Q647" s="257">
        <f>ASINH(FMS_Ranking4[[#This Row],[Res Structure Raw]])/Q$4*P$5*100</f>
        <v>0</v>
      </c>
      <c r="R647" s="253">
        <f>_xlfn.XLOOKUP(FMS_Ranking4[[#This Row],[FMS ID]],FMS_Input[FMS_ID],FMS_Input[POP100])</f>
        <v>178</v>
      </c>
      <c r="S647" s="259">
        <f>(ASINH(FMS_Ranking4[[#This Row],[Pop at Risk Raw]]))*(10)/(ASINH(R$4))</f>
        <v>4.0558121569707852</v>
      </c>
      <c r="T647" s="256">
        <f>FMS_Ranking4[[#This Row],[Population at risk, ArcSinh (0-10)]]*R$5*10</f>
        <v>4.0558121569707852</v>
      </c>
      <c r="U647" s="253">
        <f>_xlfn.XLOOKUP(FMS_Ranking4[[#This Row],[FMS ID]],FMS_Input[FMS_ID],FMS_Input[CRITFAC100])</f>
        <v>1</v>
      </c>
      <c r="V647" s="259">
        <f>(ASINH(FMS_Ranking4[[#This Row],[Critical Facilities Raw]]))*(10)/(ASINH(U$4))</f>
        <v>1.0433384451410745</v>
      </c>
      <c r="W647" s="256">
        <f>FMS_Ranking4[[#This Row],[Critical facilities at risk, ArcSinh (0-10)]]*U$5*10</f>
        <v>1.0433384451410745</v>
      </c>
      <c r="X647" s="253">
        <f>_xlfn.XLOOKUP(FMS_Ranking4[[#This Row],[FMS ID]],FMS_Input[FMS_ID],FMS_Input[LWC])</f>
        <v>0</v>
      </c>
      <c r="Y647" s="259">
        <f>(ASINH(FMS_Ranking4[[#This Row],[LWC Raw]]))*(10)/(ASINH(X$4))</f>
        <v>0</v>
      </c>
      <c r="Z647" s="256">
        <f>FMS_Ranking4[[#This Row],[LWC, ArcSInh (0-10)]]*X$5*10</f>
        <v>0</v>
      </c>
      <c r="AA647" s="253">
        <f>_xlfn.XLOOKUP(FMS_Ranking4[[#This Row],[FMS ID]],FMS_Input[FMS_ID],FMS_Input[ROADCLS])</f>
        <v>0</v>
      </c>
      <c r="AB647" s="255">
        <f>(ASINH(FMS_Ranking4[[#This Row],[Road Closures Raw]]))*(10)/(ASINH(AA$4))</f>
        <v>0</v>
      </c>
      <c r="AC647" s="256">
        <f>FMS_Ranking4[[#This Row],[Road closures, ArcSinh (0-10)]]*AA$5*10</f>
        <v>0</v>
      </c>
      <c r="AD647" s="253">
        <f>_xlfn.XLOOKUP(FMS_Ranking4[[#This Row],[FMS ID]],FMS_Input[FMS_ID],FMS_Input[ROAD_MILES100])</f>
        <v>2</v>
      </c>
      <c r="AE647" s="259">
        <f>(ASINH(FMS_Ranking4[[#This Row],[Road Miles Raw]]))*(10)/(ASINH(AD$4))</f>
        <v>1.5385182374234352</v>
      </c>
      <c r="AF647" s="256">
        <f>FMS_Ranking4[[#This Row],[Length of roads at risk, ArcSinh (0-10)]]*AD$5*10</f>
        <v>1.5385182374234352</v>
      </c>
      <c r="AG647" s="253">
        <f>_xlfn.XLOOKUP(FMS_Ranking4[[#This Row],[FMS ID]],FMS_Input[FMS_ID],FMS_Input[FARMACRE100])</f>
        <v>24.295906066894531</v>
      </c>
      <c r="AH647" s="255">
        <f>(ASINH(FMS_Ranking4[[#This Row],[Ag Land Raw]]))*(10)/(ASINH(AG$4))</f>
        <v>2.5228953683306403</v>
      </c>
      <c r="AI647" s="260">
        <f>FMS_Ranking4[[#This Row],[Farm &amp; ranch land, ArcSinh (0-10)]]*AG$5*10</f>
        <v>1.2614476841653202</v>
      </c>
      <c r="AJ647" s="258">
        <f>_xlfn.XLOOKUP(FMS_Ranking4[[#This Row],[FMS ID]],FMS_Input[FMS_ID],FMS_Input[REDSTRUCT100])</f>
        <v>0</v>
      </c>
      <c r="AK647" s="253">
        <f>_xlfn.XLOOKUP(FMS_Ranking4[[#This Row],[FMS ID]],FMS_Input[FMS_ID],FMS_Input[REMSTRC100])</f>
        <v>0</v>
      </c>
      <c r="AL647" s="259">
        <f>(ASINH(FMS_Ranking4[[#This Row],[Structures Removed Raw]]))*(10)/(ASINH(AK$4))</f>
        <v>0</v>
      </c>
      <c r="AM647" s="262">
        <f>FMS_Ranking4[[#This Row],[Structures removed, ArcSinh (0-10)]]*AK$5*10</f>
        <v>0</v>
      </c>
      <c r="AN647" s="253">
        <f>_xlfn.XLOOKUP(FMS_Ranking4[[#This Row],[FMS ID]],FMS_Input[FMS_ID],FMS_Input[REMRESSTRC100])</f>
        <v>0</v>
      </c>
      <c r="AO647" s="261">
        <f>FMS_Ranking4[[#This Row],[ArcSinh Res struct removed 0-10]]*AN$5*10</f>
        <v>0</v>
      </c>
      <c r="AP647" s="260">
        <f>ASINH(FMS_Ranking4[[#This Row],[Residential Structures Removed Raw]])/AP$4*AN$5*100</f>
        <v>0</v>
      </c>
      <c r="AQ647" s="254">
        <f>(ASINH(FMS_Ranking4[[#This Row],[Residential Structures Removed Raw]]))*(10)/(ASINH(AN$4))</f>
        <v>0</v>
      </c>
      <c r="AR647" s="253">
        <f>_xlfn.XLOOKUP(FMS_Ranking4[[#This Row],[FMS ID]],FMS_Input[FMS_ID],FMS_Input[REMPOP100])</f>
        <v>0</v>
      </c>
      <c r="AS647" s="259">
        <f>(ASINH(FMS_Ranking4[[#This Row],[Removed Pop Raw]]))*(10)/(ASINH(AR$4))</f>
        <v>0</v>
      </c>
      <c r="AT647" s="262">
        <f>FMS_Ranking4[[#This Row],[Removed population, ArcSinh (0-10)]]*AR$5*10</f>
        <v>0</v>
      </c>
      <c r="AU647" s="264">
        <f>_xlfn.XLOOKUP(FMS_Ranking4[[#This Row],[FMS ID]],FMS_Input[FMS_ID],FMS_Input[REMCRITFAC100])</f>
        <v>0</v>
      </c>
      <c r="AV647" s="264">
        <f>_xlfn.XLOOKUP(FMS_Ranking4[[#This Row],[FMS ID]],FMS_Input[FMS_ID],FMS_Input[REMLWC100])</f>
        <v>0</v>
      </c>
      <c r="AW647" s="264">
        <f>_xlfn.XLOOKUP(FMS_Ranking4[[#This Row],[FMS ID]],FMS_Input[FMS_ID],FMS_Input[REMROADCLS])</f>
        <v>0</v>
      </c>
      <c r="AX647" s="264">
        <f>_xlfn.XLOOKUP(FMS_Ranking4[[#This Row],[FMS ID]],FMS_Input[FMS_ID],FMS_Input[REMFRMACRE100])</f>
        <v>0</v>
      </c>
      <c r="AY647" s="258">
        <f>_xlfn.XLOOKUP(FMS_Ranking4[[#This Row],[FMS ID]],FMS_Input[FMS_ID],FMS_Input[COSTSTRUCT])</f>
        <v>0</v>
      </c>
      <c r="AZ647" s="253">
        <f>_xlfn.XLOOKUP(FMS_Ranking4[[#This Row],[FMS ID]],FMS_Input[FMS_ID],FMS_Input[NATURE])</f>
        <v>0</v>
      </c>
      <c r="BA647" s="262">
        <f>(((FMS_Ranking4[[#This Row],[% NBS Raw]]/AZ$4)*100)*AZ$5)</f>
        <v>0</v>
      </c>
      <c r="BB647" s="251" t="str">
        <f>_xlfn.XLOOKUP(FMS_Ranking4[[#This Row],[FMS ID]],FMS_Input[FMS_ID],FMS_Input[WATER_SUP])</f>
        <v>No</v>
      </c>
      <c r="BC647" s="265">
        <f>IF(FMS_Ranking4[[#This Row],[Water Supply Raw]]="Yes",10,0)</f>
        <v>0</v>
      </c>
      <c r="BD647" s="266">
        <f>_xlfn.XLOOKUP(FMS_Ranking4[[#This Row],[FMS Type]],FMS_TYPE[FMS_Type],FMS_TYPE[Score])</f>
        <v>2</v>
      </c>
      <c r="BE647" s="267">
        <f>FMS_Ranking4[[#This Row],[FMS_Type Score]]*$BD$5*10</f>
        <v>0.5</v>
      </c>
      <c r="BF64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1.4428784569901976E-2</v>
      </c>
      <c r="BG647" s="271">
        <f>_xlfn.RANK.EQ(BF647,$BF$8:$BF$870,0)+COUNTIF($BF$8:BF647,BF647)-1</f>
        <v>655</v>
      </c>
      <c r="BH647" s="268">
        <f>(((FMS_Ranking4[[#This Row],[Structures Removed Raw]]/AK$4)*100)*AK$5)+(((FMS_Ranking4[[#This Row],[Removed Pop Raw]]/AR$4)*100)*AR$5)</f>
        <v>0</v>
      </c>
      <c r="BI64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0.51442878456990193</v>
      </c>
      <c r="BJ647" s="205">
        <f>_xlfn.RANK.EQ(FMS_Ranking4[[#This Row],[Total Score 
(with linear
normalization)]],FMS_Ranking4[Total Score 
(with linear
normalization)],0)</f>
        <v>844</v>
      </c>
      <c r="BK647" s="205" t="e">
        <f>_xlfn.XLOOKUP(FMS_Ranking4[[#This Row],[FMS ID]],#REF!,#REF!)</f>
        <v>#REF!</v>
      </c>
      <c r="BL64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11.908400100775259</v>
      </c>
      <c r="BM647" s="272">
        <f>FMS_Ranking4[[#This Row],[ArcSinh Score Based on Normalized Reported Factors]]+FMS_Ranking4[[#This Row],[% NBS Score (Normalized)]]+(FMS_Ranking4[[#This Row],[Water Supply Score (Normalized)]]*10*$BB$5)+FMS_Ranking4[[#This Row],[FMS_Type Score Weighted]]</f>
        <v>12.408400100775259</v>
      </c>
      <c r="BN647" s="205">
        <f>_xlfn.RANK.EQ(FMS_Ranking4[[#This Row],[Total Score (with ArcSinh normalization of select criteria)]],FMS_Ranking4[Total Score (with ArcSinh normalization of select criteria)],0)</f>
        <v>640</v>
      </c>
      <c r="BO647" s="270" t="str">
        <f>_xlfn.XLOOKUP(FMS_Ranking4[[#This Row],[FMS ID]],FMS_Input[FMS_ID],FMS_Input[FMS_RANK_YEAR])</f>
        <v>2023 Amended Plan</v>
      </c>
      <c r="BP647" s="204">
        <f>_xlfn.XLOOKUP(FMS_Ranking4[[#This Row],[FMS ID]],Prev_Rank[FMS ID],Prev_Rank[Prev Rank])</f>
        <v>570</v>
      </c>
      <c r="BQ647" s="205" t="e">
        <f>_xlfn.XLOOKUP(FMS_Ranking4[[#This Row],[FMS ID]],#REF!,#REF!)</f>
        <v>#REF!</v>
      </c>
      <c r="BR647" s="199" t="e">
        <f>SUM(#REF!,#REF!,#REF!,#REF!,#REF!,#REF!,#REF!,#REF!,#REF!,FMS_Ranking4[[#This Row],[ArcSinh Res struct removed 0-10]],#REF!)</f>
        <v>#REF!</v>
      </c>
      <c r="BS647" s="199" t="e">
        <f>FMS_Ranking4[[#This Row],[Log Score Based on Normalized Reported Factors]]+FMS_Ranking4[[#This Row],[% NBS Score (Normalized)]]+(FMS_Ranking4[[#This Row],[Water Supply Score (Normalized)]]*10*$BB$5)+(FMS_Ranking4[[#This Row],[FMS_Type Score Weighted]])</f>
        <v>#REF!</v>
      </c>
      <c r="BT647" s="200" t="e">
        <f>_xlfn.RANK.EQ(FMS_Ranking4[[#This Row],[Log Total Score]],FMS_Ranking4[Log Total Score],0)</f>
        <v>#REF!</v>
      </c>
      <c r="BU647" s="200" t="e">
        <f>_xlfn.XLOOKUP(FMS_Ranking4[[#This Row],[FMS ID]],#REF!,#REF!)</f>
        <v>#REF!</v>
      </c>
      <c r="BV647" s="200">
        <f>FMS_Ranking4[[#This Row],[Region Number]]</f>
        <v>4</v>
      </c>
      <c r="BW647" s="200">
        <f>FMS_Ranking4[[#This Row],[Rank (with ArcSinh normalization of select criteria)]]-FMS_Ranking4[[#This Row],[Rank
(with linear
normalization)]]</f>
        <v>-204</v>
      </c>
      <c r="BX647" s="200" t="e">
        <f>FMS_Ranking4[[#This Row],[Log Rank]]-FMS_Ranking4[[#This Row],[Rank
(with linear
normalization)]]</f>
        <v>#REF!</v>
      </c>
      <c r="BY647" s="200" t="str">
        <f>IF(FMS_Ranking4[[#This Row],[FMS Type]]="Flood Measurement and Warning",FMS_Ranking4[[#This Row],[Rank (with ArcSinh normalization of select criteria)]],"")</f>
        <v/>
      </c>
      <c r="BZ647" s="200" t="str">
        <f>IF(FMS_Ranking4[[#This Row],[FMS Type]]="Regulatory and Guidance",FMS_Ranking4[[#This Row],[Rank (with ArcSinh normalization of select criteria)]],"")</f>
        <v/>
      </c>
      <c r="CA647" s="200" t="str">
        <f>IF(FMS_Ranking4[[#This Row],[FMS Type]]="Education and Outreach",FMS_Ranking4[[#This Row],[Rank (with ArcSinh normalization of select criteria)]],"")</f>
        <v/>
      </c>
      <c r="CB647" s="200" t="str">
        <f>IF(FMS_Ranking4[[#This Row],[FMS Type]]="Property Acquisition and Structural Elevation",FMS_Ranking4[[#This Row],[Rank (with ArcSinh normalization of select criteria)]],"")</f>
        <v/>
      </c>
      <c r="CC647" s="200" t="str">
        <f>IF(FMS_Ranking4[[#This Row],[FMS Type]]="Infrastructure Projects",FMS_Ranking4[[#This Row],[Rank (with ArcSinh normalization of select criteria)]],"")</f>
        <v/>
      </c>
      <c r="CD647" s="200">
        <f>IF(FMS_Ranking4[[#This Row],[FMS Type]]="Other",FMS_Ranking4[[#This Row],[Rank (with ArcSinh normalization of select criteria)]],"")</f>
        <v>640</v>
      </c>
      <c r="CE647" s="201"/>
      <c r="CF647" s="206"/>
      <c r="CG647" s="206"/>
      <c r="CH647" s="206"/>
      <c r="CI647" s="206"/>
      <c r="CJ647" s="206"/>
      <c r="CK647" s="206"/>
      <c r="CL647" s="206"/>
      <c r="CM647" s="206"/>
      <c r="CN647" s="206"/>
      <c r="CO647" s="206"/>
      <c r="CP647" s="206"/>
      <c r="CQ647" s="206"/>
      <c r="CR647" s="206"/>
    </row>
    <row r="648" spans="2:96" ht="45" x14ac:dyDescent="0.25">
      <c r="B648" s="341" t="s">
        <v>1890</v>
      </c>
      <c r="C648" s="246">
        <f>_xlfn.XLOOKUP(FMS_Ranking4[[#This Row],[FMS ID]],FMS_Input[FMS_ID],FMS_Input[RFPG_NUM])</f>
        <v>3</v>
      </c>
      <c r="D648" s="309" t="str">
        <f>_xlfn.XLOOKUP(FMS_Ranking4[[#This Row],[FMS ID]],FMS_Input[FMS_ID],FMS_Input[FMS_NAME])</f>
        <v xml:space="preserve">City of Kemp Siren Notification System </v>
      </c>
      <c r="E648" s="308" t="str">
        <f>_xlfn.XLOOKUP(FMS_Ranking4[[#This Row],[FMS ID]],FMS_Input[FMS_ID],FMS_Input[SPONSOR])</f>
        <v>Kemp</v>
      </c>
      <c r="F648" s="309" t="str">
        <f>_xlfn.XLOOKUP(FMS_Ranking4[[#This Row],[FMS ID]],Sponsor[FMS_ID],Sponsor[SPONSOR NAME])</f>
        <v>Kemp</v>
      </c>
      <c r="G648" s="309" t="str">
        <f>_xlfn.XLOOKUP(FMS_Ranking4[[#This Row],[FMS ID]],FMS_Input[FMS_ID],FMS_Input[FMS_DESCR])</f>
        <v>Install siren notification system for disasters, including dam failure of Kemp Lake Dam</v>
      </c>
      <c r="H648" s="248" t="str">
        <f>_xlfn.XLOOKUP(FMS_Ranking4[[#This Row],[FMS ID]],FMS_Input[FMS_ID],FMS_Input[FMS_TYPE])</f>
        <v>Flood Measurement and Warning</v>
      </c>
      <c r="I648" s="249">
        <f>_xlfn.XLOOKUP(FMS_Ranking4[[#This Row],[FMS ID]],FMS_Input[FMS_ID],FMS_Input[NRNC_COST])</f>
        <v>25000</v>
      </c>
      <c r="J648" s="250">
        <f>_xlfn.XLOOKUP(FMS_Ranking4[[#This Row],[FMS ID]],FMS_Input[FMS_ID],FMS_Input[FMS_COST])</f>
        <v>250000</v>
      </c>
      <c r="K648" s="251" t="str">
        <f>_xlfn.XLOOKUP(FMS_Ranking4[[#This Row],[FMS ID]],FMS_Input[FMS_ID],FMS_Input[EMER_NEED])</f>
        <v>No</v>
      </c>
      <c r="L648" s="252">
        <f t="shared" ref="L648:L711" si="10">IF(K648="Yes",1,0)</f>
        <v>0</v>
      </c>
      <c r="M648" s="253">
        <f>_xlfn.XLOOKUP(FMS_Ranking4[[#This Row],[FMS ID]],FMS_Input[FMS_ID],FMS_Input[STRUCT_100])</f>
        <v>6</v>
      </c>
      <c r="N648" s="255">
        <f>(ASINH(FMS_Ranking4[[#This Row],[Structure at Risk Raw]]))*(10)/(ASINH(M$4))</f>
        <v>1.9589099741296994</v>
      </c>
      <c r="O648" s="256">
        <f>FMS_Ranking4[[#This Row],[Structures at risk, ArcSinh (0-10)]]*M$5*10</f>
        <v>1.9589099741296994</v>
      </c>
      <c r="P648" s="253">
        <f>_xlfn.XLOOKUP(FMS_Ranking4[[#This Row],[FMS ID]],FMS_Input[FMS_ID],FMS_Input[RES_STRUCT100])</f>
        <v>6</v>
      </c>
      <c r="Q648" s="257">
        <f>ASINH(FMS_Ranking4[[#This Row],[Res Structure Raw]])/Q$4*P$5*100</f>
        <v>0</v>
      </c>
      <c r="R648" s="253">
        <f>_xlfn.XLOOKUP(FMS_Ranking4[[#This Row],[FMS ID]],FMS_Input[FMS_ID],FMS_Input[POP100])</f>
        <v>10</v>
      </c>
      <c r="S648" s="259">
        <f>(ASINH(FMS_Ranking4[[#This Row],[Pop at Risk Raw]]))*(10)/(ASINH(R$4))</f>
        <v>2.0698478529282238</v>
      </c>
      <c r="T648" s="256">
        <f>FMS_Ranking4[[#This Row],[Population at risk, ArcSinh (0-10)]]*R$5*10</f>
        <v>2.0698478529282238</v>
      </c>
      <c r="U648" s="253">
        <f>_xlfn.XLOOKUP(FMS_Ranking4[[#This Row],[FMS ID]],FMS_Input[FMS_ID],FMS_Input[CRITFAC100])</f>
        <v>2</v>
      </c>
      <c r="V648" s="259">
        <f>(ASINH(FMS_Ranking4[[#This Row],[Critical Facilities Raw]]))*(10)/(ASINH(U$4))</f>
        <v>1.7089239049208753</v>
      </c>
      <c r="W648" s="256">
        <f>FMS_Ranking4[[#This Row],[Critical facilities at risk, ArcSinh (0-10)]]*U$5*10</f>
        <v>1.7089239049208755</v>
      </c>
      <c r="X648" s="253">
        <f>_xlfn.XLOOKUP(FMS_Ranking4[[#This Row],[FMS ID]],FMS_Input[FMS_ID],FMS_Input[LWC])</f>
        <v>0</v>
      </c>
      <c r="Y648" s="259">
        <f>(ASINH(FMS_Ranking4[[#This Row],[LWC Raw]]))*(10)/(ASINH(X$4))</f>
        <v>0</v>
      </c>
      <c r="Z648" s="256">
        <f>FMS_Ranking4[[#This Row],[LWC, ArcSInh (0-10)]]*X$5*10</f>
        <v>0</v>
      </c>
      <c r="AA648" s="253">
        <f>_xlfn.XLOOKUP(FMS_Ranking4[[#This Row],[FMS ID]],FMS_Input[FMS_ID],FMS_Input[ROADCLS])</f>
        <v>0</v>
      </c>
      <c r="AB648" s="255">
        <f>(ASINH(FMS_Ranking4[[#This Row],[Road Closures Raw]]))*(10)/(ASINH(AA$4))</f>
        <v>0</v>
      </c>
      <c r="AC648" s="256">
        <f>FMS_Ranking4[[#This Row],[Road closures, ArcSinh (0-10)]]*AA$5*10</f>
        <v>0</v>
      </c>
      <c r="AD648" s="253">
        <f>_xlfn.XLOOKUP(FMS_Ranking4[[#This Row],[FMS ID]],FMS_Input[FMS_ID],FMS_Input[ROAD_MILES100])</f>
        <v>5</v>
      </c>
      <c r="AE648" s="259">
        <f>(ASINH(FMS_Ranking4[[#This Row],[Road Miles Raw]]))*(10)/(ASINH(AD$4))</f>
        <v>2.4644230639487872</v>
      </c>
      <c r="AF648" s="256">
        <f>FMS_Ranking4[[#This Row],[Length of roads at risk, ArcSinh (0-10)]]*AD$5*10</f>
        <v>2.4644230639487876</v>
      </c>
      <c r="AG648" s="253">
        <f>_xlfn.XLOOKUP(FMS_Ranking4[[#This Row],[FMS ID]],FMS_Input[FMS_ID],FMS_Input[FARMACRE100])</f>
        <v>92.654411315917969</v>
      </c>
      <c r="AH648" s="255">
        <f>(ASINH(FMS_Ranking4[[#This Row],[Ag Land Raw]]))*(10)/(ASINH(AG$4))</f>
        <v>3.392148772681761</v>
      </c>
      <c r="AI648" s="260">
        <f>FMS_Ranking4[[#This Row],[Farm &amp; ranch land, ArcSinh (0-10)]]*AG$5*10</f>
        <v>1.6960743863408805</v>
      </c>
      <c r="AJ648" s="258">
        <f>_xlfn.XLOOKUP(FMS_Ranking4[[#This Row],[FMS ID]],FMS_Input[FMS_ID],FMS_Input[REDSTRUCT100])</f>
        <v>0</v>
      </c>
      <c r="AK648" s="253">
        <f>_xlfn.XLOOKUP(FMS_Ranking4[[#This Row],[FMS ID]],FMS_Input[FMS_ID],FMS_Input[REMSTRC100])</f>
        <v>0</v>
      </c>
      <c r="AL648" s="259">
        <f>(ASINH(FMS_Ranking4[[#This Row],[Structures Removed Raw]]))*(10)/(ASINH(AK$4))</f>
        <v>0</v>
      </c>
      <c r="AM648" s="262">
        <f>FMS_Ranking4[[#This Row],[Structures removed, ArcSinh (0-10)]]*AK$5*10</f>
        <v>0</v>
      </c>
      <c r="AN648" s="253">
        <f>_xlfn.XLOOKUP(FMS_Ranking4[[#This Row],[FMS ID]],FMS_Input[FMS_ID],FMS_Input[REMRESSTRC100])</f>
        <v>0</v>
      </c>
      <c r="AO648" s="261">
        <f>FMS_Ranking4[[#This Row],[ArcSinh Res struct removed 0-10]]*AN$5*10</f>
        <v>0</v>
      </c>
      <c r="AP648" s="260">
        <f>ASINH(FMS_Ranking4[[#This Row],[Residential Structures Removed Raw]])/AP$4*AN$5*100</f>
        <v>0</v>
      </c>
      <c r="AQ648" s="254">
        <f>(ASINH(FMS_Ranking4[[#This Row],[Residential Structures Removed Raw]]))*(10)/(ASINH(AN$4))</f>
        <v>0</v>
      </c>
      <c r="AR648" s="253">
        <f>_xlfn.XLOOKUP(FMS_Ranking4[[#This Row],[FMS ID]],FMS_Input[FMS_ID],FMS_Input[REMPOP100])</f>
        <v>0</v>
      </c>
      <c r="AS648" s="259">
        <f>(ASINH(FMS_Ranking4[[#This Row],[Removed Pop Raw]]))*(10)/(ASINH(AR$4))</f>
        <v>0</v>
      </c>
      <c r="AT648" s="262">
        <f>FMS_Ranking4[[#This Row],[Removed population, ArcSinh (0-10)]]*AR$5*10</f>
        <v>0</v>
      </c>
      <c r="AU648" s="264">
        <f>_xlfn.XLOOKUP(FMS_Ranking4[[#This Row],[FMS ID]],FMS_Input[FMS_ID],FMS_Input[REMCRITFAC100])</f>
        <v>0</v>
      </c>
      <c r="AV648" s="264">
        <f>_xlfn.XLOOKUP(FMS_Ranking4[[#This Row],[FMS ID]],FMS_Input[FMS_ID],FMS_Input[REMLWC100])</f>
        <v>0</v>
      </c>
      <c r="AW648" s="264">
        <f>_xlfn.XLOOKUP(FMS_Ranking4[[#This Row],[FMS ID]],FMS_Input[FMS_ID],FMS_Input[REMROADCLS])</f>
        <v>0</v>
      </c>
      <c r="AX648" s="264">
        <f>_xlfn.XLOOKUP(FMS_Ranking4[[#This Row],[FMS ID]],FMS_Input[FMS_ID],FMS_Input[REMFRMACRE100])</f>
        <v>0</v>
      </c>
      <c r="AY648" s="258">
        <f>_xlfn.XLOOKUP(FMS_Ranking4[[#This Row],[FMS ID]],FMS_Input[FMS_ID],FMS_Input[COSTSTRUCT])</f>
        <v>0</v>
      </c>
      <c r="AZ648" s="253">
        <f>_xlfn.XLOOKUP(FMS_Ranking4[[#This Row],[FMS ID]],FMS_Input[FMS_ID],FMS_Input[NATURE])</f>
        <v>0</v>
      </c>
      <c r="BA648" s="262">
        <f>(((FMS_Ranking4[[#This Row],[% NBS Raw]]/AZ$4)*100)*AZ$5)</f>
        <v>0</v>
      </c>
      <c r="BB648" s="251" t="str">
        <f>_xlfn.XLOOKUP(FMS_Ranking4[[#This Row],[FMS ID]],FMS_Input[FMS_ID],FMS_Input[WATER_SUP])</f>
        <v>No</v>
      </c>
      <c r="BC648" s="265">
        <f>IF(FMS_Ranking4[[#This Row],[Water Supply Raw]]="Yes",10,0)</f>
        <v>0</v>
      </c>
      <c r="BD648" s="266">
        <f>_xlfn.XLOOKUP(FMS_Ranking4[[#This Row],[FMS Type]],FMS_TYPE[FMS_Type],FMS_TYPE[Score])</f>
        <v>10</v>
      </c>
      <c r="BE648" s="267">
        <f>FMS_Ranking4[[#This Row],[FMS_Type Score]]*$BD$5*10</f>
        <v>2.5</v>
      </c>
      <c r="BF64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1.7640376109095513E-2</v>
      </c>
      <c r="BG648" s="271">
        <f>_xlfn.RANK.EQ(BF648,$BF$8:$BF$870,0)+COUNTIF($BF$8:BF648,BF648)-1</f>
        <v>644</v>
      </c>
      <c r="BH648" s="268">
        <f>(((FMS_Ranking4[[#This Row],[Structures Removed Raw]]/AK$4)*100)*AK$5)+(((FMS_Ranking4[[#This Row],[Removed Pop Raw]]/AR$4)*100)*AR$5)</f>
        <v>0</v>
      </c>
      <c r="BI64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2.5176403761090955</v>
      </c>
      <c r="BJ648" s="205">
        <f>_xlfn.RANK.EQ(FMS_Ranking4[[#This Row],[Total Score 
(with linear
normalization)]],FMS_Ranking4[Total Score 
(with linear
normalization)],0)</f>
        <v>245</v>
      </c>
      <c r="BK648" s="205" t="e">
        <f>_xlfn.XLOOKUP(FMS_Ranking4[[#This Row],[FMS ID]],#REF!,#REF!)</f>
        <v>#REF!</v>
      </c>
      <c r="BL64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9.8981791822684659</v>
      </c>
      <c r="BM648" s="272">
        <f>FMS_Ranking4[[#This Row],[ArcSinh Score Based on Normalized Reported Factors]]+FMS_Ranking4[[#This Row],[% NBS Score (Normalized)]]+(FMS_Ranking4[[#This Row],[Water Supply Score (Normalized)]]*10*$BB$5)+FMS_Ranking4[[#This Row],[FMS_Type Score Weighted]]</f>
        <v>12.398179182268466</v>
      </c>
      <c r="BN648" s="205">
        <f>_xlfn.RANK.EQ(FMS_Ranking4[[#This Row],[Total Score (with ArcSinh normalization of select criteria)]],FMS_Ranking4[Total Score (with ArcSinh normalization of select criteria)],0)</f>
        <v>641</v>
      </c>
      <c r="BO648" s="270" t="str">
        <f>_xlfn.XLOOKUP(FMS_Ranking4[[#This Row],[FMS ID]],FMS_Input[FMS_ID],FMS_Input[FMS_RANK_YEAR])</f>
        <v>2023 Amended Plan</v>
      </c>
      <c r="BP648" s="204">
        <f>_xlfn.XLOOKUP(FMS_Ranking4[[#This Row],[FMS ID]],Prev_Rank[FMS ID],Prev_Rank[Prev Rank])</f>
        <v>571</v>
      </c>
      <c r="BQ648" s="205" t="e">
        <f>_xlfn.XLOOKUP(FMS_Ranking4[[#This Row],[FMS ID]],#REF!,#REF!)</f>
        <v>#REF!</v>
      </c>
      <c r="BR648" s="199" t="e">
        <f>SUM(#REF!,#REF!,#REF!,#REF!,#REF!,#REF!,#REF!,#REF!,#REF!,FMS_Ranking4[[#This Row],[ArcSinh Res struct removed 0-10]],#REF!)</f>
        <v>#REF!</v>
      </c>
      <c r="BS648" s="199" t="e">
        <f>FMS_Ranking4[[#This Row],[Log Score Based on Normalized Reported Factors]]+FMS_Ranking4[[#This Row],[% NBS Score (Normalized)]]+(FMS_Ranking4[[#This Row],[Water Supply Score (Normalized)]]*10*$BB$5)+(FMS_Ranking4[[#This Row],[FMS_Type Score Weighted]])</f>
        <v>#REF!</v>
      </c>
      <c r="BT648" s="200" t="e">
        <f>_xlfn.RANK.EQ(FMS_Ranking4[[#This Row],[Log Total Score]],FMS_Ranking4[Log Total Score],0)</f>
        <v>#REF!</v>
      </c>
      <c r="BU648" s="200" t="e">
        <f>_xlfn.XLOOKUP(FMS_Ranking4[[#This Row],[FMS ID]],#REF!,#REF!)</f>
        <v>#REF!</v>
      </c>
      <c r="BV648" s="200">
        <f>FMS_Ranking4[[#This Row],[Region Number]]</f>
        <v>3</v>
      </c>
      <c r="BW648" s="200">
        <f>FMS_Ranking4[[#This Row],[Rank (with ArcSinh normalization of select criteria)]]-FMS_Ranking4[[#This Row],[Rank
(with linear
normalization)]]</f>
        <v>396</v>
      </c>
      <c r="BX648" s="200" t="e">
        <f>FMS_Ranking4[[#This Row],[Log Rank]]-FMS_Ranking4[[#This Row],[Rank
(with linear
normalization)]]</f>
        <v>#REF!</v>
      </c>
      <c r="BY648" s="200">
        <f>IF(FMS_Ranking4[[#This Row],[FMS Type]]="Flood Measurement and Warning",FMS_Ranking4[[#This Row],[Rank (with ArcSinh normalization of select criteria)]],"")</f>
        <v>641</v>
      </c>
      <c r="BZ648" s="200" t="str">
        <f>IF(FMS_Ranking4[[#This Row],[FMS Type]]="Regulatory and Guidance",FMS_Ranking4[[#This Row],[Rank (with ArcSinh normalization of select criteria)]],"")</f>
        <v/>
      </c>
      <c r="CA648" s="200" t="str">
        <f>IF(FMS_Ranking4[[#This Row],[FMS Type]]="Education and Outreach",FMS_Ranking4[[#This Row],[Rank (with ArcSinh normalization of select criteria)]],"")</f>
        <v/>
      </c>
      <c r="CB648" s="200" t="str">
        <f>IF(FMS_Ranking4[[#This Row],[FMS Type]]="Property Acquisition and Structural Elevation",FMS_Ranking4[[#This Row],[Rank (with ArcSinh normalization of select criteria)]],"")</f>
        <v/>
      </c>
      <c r="CC648" s="200" t="str">
        <f>IF(FMS_Ranking4[[#This Row],[FMS Type]]="Infrastructure Projects",FMS_Ranking4[[#This Row],[Rank (with ArcSinh normalization of select criteria)]],"")</f>
        <v/>
      </c>
      <c r="CD648" s="200" t="str">
        <f>IF(FMS_Ranking4[[#This Row],[FMS Type]]="Other",FMS_Ranking4[[#This Row],[Rank (with ArcSinh normalization of select criteria)]],"")</f>
        <v/>
      </c>
      <c r="CE648" s="201"/>
      <c r="CF648" s="206"/>
      <c r="CG648" s="206"/>
      <c r="CH648" s="206"/>
      <c r="CI648" s="206"/>
      <c r="CJ648" s="206"/>
      <c r="CK648" s="206"/>
      <c r="CL648" s="206"/>
      <c r="CM648" s="206"/>
      <c r="CN648" s="206"/>
      <c r="CO648" s="206"/>
      <c r="CP648" s="206"/>
      <c r="CQ648" s="206"/>
      <c r="CR648" s="206"/>
    </row>
    <row r="649" spans="2:96" ht="105" x14ac:dyDescent="0.25">
      <c r="B649" s="341" t="s">
        <v>3445</v>
      </c>
      <c r="C649" s="246">
        <f>_xlfn.XLOOKUP(FMS_Ranking4[[#This Row],[FMS ID]],FMS_Input[FMS_ID],FMS_Input[RFPG_NUM])</f>
        <v>12</v>
      </c>
      <c r="D649" s="309" t="str">
        <f>_xlfn.XLOOKUP(FMS_Ranking4[[#This Row],[FMS ID]],FMS_Input[FMS_ID],FMS_Input[FMS_NAME])</f>
        <v>San Antonio River drainage ownership study</v>
      </c>
      <c r="E649" s="308" t="str">
        <f>_xlfn.XLOOKUP(FMS_Ranking4[[#This Row],[FMS ID]],FMS_Input[FMS_ID],FMS_Input[SPONSOR])</f>
        <v>12002974</v>
      </c>
      <c r="F649" s="309" t="str">
        <f>_xlfn.XLOOKUP(FMS_Ranking4[[#This Row],[FMS ID]],Sponsor[FMS_ID],Sponsor[SPONSOR NAME])</f>
        <v>Falls City</v>
      </c>
      <c r="G649" s="309" t="str">
        <f>_xlfn.XLOOKUP(FMS_Ranking4[[#This Row],[FMS ID]],FMS_Input[FMS_ID],FMS_Input[FMS_DESCR])</f>
        <v>Develop ownership and access understanding parcels fronting the San Antonio River and major tributaries to have better agreements and access to areas that need flood control mitigation and erosion control</v>
      </c>
      <c r="H649" s="248" t="str">
        <f>_xlfn.XLOOKUP(FMS_Ranking4[[#This Row],[FMS ID]],FMS_Input[FMS_ID],FMS_Input[FMS_TYPE])</f>
        <v>Education and Outreach</v>
      </c>
      <c r="I649" s="249">
        <f>_xlfn.XLOOKUP(FMS_Ranking4[[#This Row],[FMS ID]],FMS_Input[FMS_ID],FMS_Input[NRNC_COST])</f>
        <v>30000</v>
      </c>
      <c r="J649" s="250">
        <f>_xlfn.XLOOKUP(FMS_Ranking4[[#This Row],[FMS ID]],FMS_Input[FMS_ID],FMS_Input[FMS_COST])</f>
        <v>30000</v>
      </c>
      <c r="K649" s="251" t="str">
        <f>_xlfn.XLOOKUP(FMS_Ranking4[[#This Row],[FMS ID]],FMS_Input[FMS_ID],FMS_Input[EMER_NEED])</f>
        <v>No</v>
      </c>
      <c r="L649" s="252">
        <f t="shared" si="10"/>
        <v>0</v>
      </c>
      <c r="M649" s="253">
        <f>_xlfn.XLOOKUP(FMS_Ranking4[[#This Row],[FMS ID]],FMS_Input[FMS_ID],FMS_Input[STRUCT_100])</f>
        <v>37</v>
      </c>
      <c r="N649" s="255">
        <f>(ASINH(FMS_Ranking4[[#This Row],[Structure at Risk Raw]]))*(10)/(ASINH(M$4))</f>
        <v>3.3837795341027657</v>
      </c>
      <c r="O649" s="256">
        <f>FMS_Ranking4[[#This Row],[Structures at risk, ArcSinh (0-10)]]*M$5*10</f>
        <v>3.3837795341027661</v>
      </c>
      <c r="P649" s="253">
        <f>_xlfn.XLOOKUP(FMS_Ranking4[[#This Row],[FMS ID]],FMS_Input[FMS_ID],FMS_Input[RES_STRUCT100])</f>
        <v>19</v>
      </c>
      <c r="Q649" s="257">
        <f>ASINH(FMS_Ranking4[[#This Row],[Res Structure Raw]])/Q$4*P$5*100</f>
        <v>0</v>
      </c>
      <c r="R649" s="253">
        <f>_xlfn.XLOOKUP(FMS_Ranking4[[#This Row],[FMS ID]],FMS_Input[FMS_ID],FMS_Input[POP100])</f>
        <v>53</v>
      </c>
      <c r="S649" s="259">
        <f>(ASINH(FMS_Ranking4[[#This Row],[Pop at Risk Raw]]))*(10)/(ASINH(R$4))</f>
        <v>3.2195049358768659</v>
      </c>
      <c r="T649" s="256">
        <f>FMS_Ranking4[[#This Row],[Population at risk, ArcSinh (0-10)]]*R$5*10</f>
        <v>3.2195049358768664</v>
      </c>
      <c r="U649" s="253">
        <f>_xlfn.XLOOKUP(FMS_Ranking4[[#This Row],[FMS ID]],FMS_Input[FMS_ID],FMS_Input[CRITFAC100])</f>
        <v>0</v>
      </c>
      <c r="V649" s="259">
        <f>(ASINH(FMS_Ranking4[[#This Row],[Critical Facilities Raw]]))*(10)/(ASINH(U$4))</f>
        <v>0</v>
      </c>
      <c r="W649" s="256">
        <f>FMS_Ranking4[[#This Row],[Critical facilities at risk, ArcSinh (0-10)]]*U$5*10</f>
        <v>0</v>
      </c>
      <c r="X649" s="253">
        <f>_xlfn.XLOOKUP(FMS_Ranking4[[#This Row],[FMS ID]],FMS_Input[FMS_ID],FMS_Input[LWC])</f>
        <v>0</v>
      </c>
      <c r="Y649" s="259">
        <f>(ASINH(FMS_Ranking4[[#This Row],[LWC Raw]]))*(10)/(ASINH(X$4))</f>
        <v>0</v>
      </c>
      <c r="Z649" s="256">
        <f>FMS_Ranking4[[#This Row],[LWC, ArcSInh (0-10)]]*X$5*10</f>
        <v>0</v>
      </c>
      <c r="AA649" s="253">
        <f>_xlfn.XLOOKUP(FMS_Ranking4[[#This Row],[FMS ID]],FMS_Input[FMS_ID],FMS_Input[ROADCLS])</f>
        <v>21</v>
      </c>
      <c r="AB649" s="255">
        <f>(ASINH(FMS_Ranking4[[#This Row],[Road Closures Raw]]))*(10)/(ASINH(AA$4))</f>
        <v>3.8930297185649643</v>
      </c>
      <c r="AC649" s="256">
        <f>FMS_Ranking4[[#This Row],[Road closures, ArcSinh (0-10)]]*AA$5*10</f>
        <v>1.9465148592824821</v>
      </c>
      <c r="AD649" s="253">
        <f>_xlfn.XLOOKUP(FMS_Ranking4[[#This Row],[FMS ID]],FMS_Input[FMS_ID],FMS_Input[ROAD_MILES100])</f>
        <v>1</v>
      </c>
      <c r="AE649" s="259">
        <f>(ASINH(FMS_Ranking4[[#This Row],[Road Miles Raw]]))*(10)/(ASINH(AD$4))</f>
        <v>0.9393017565219649</v>
      </c>
      <c r="AF649" s="256">
        <f>FMS_Ranking4[[#This Row],[Length of roads at risk, ArcSinh (0-10)]]*AD$5*10</f>
        <v>0.93930175652196501</v>
      </c>
      <c r="AG649" s="253">
        <f>_xlfn.XLOOKUP(FMS_Ranking4[[#This Row],[FMS ID]],FMS_Input[FMS_ID],FMS_Input[FARMACRE100])</f>
        <v>27.729999542236332</v>
      </c>
      <c r="AH649" s="255">
        <f>(ASINH(FMS_Ranking4[[#This Row],[Ag Land Raw]]))*(10)/(ASINH(AG$4))</f>
        <v>2.6087107249707615</v>
      </c>
      <c r="AI649" s="260">
        <f>FMS_Ranking4[[#This Row],[Farm &amp; ranch land, ArcSinh (0-10)]]*AG$5*10</f>
        <v>1.3043553624853808</v>
      </c>
      <c r="AJ649" s="258">
        <f>_xlfn.XLOOKUP(FMS_Ranking4[[#This Row],[FMS ID]],FMS_Input[FMS_ID],FMS_Input[REDSTRUCT100])</f>
        <v>0</v>
      </c>
      <c r="AK649" s="253">
        <f>_xlfn.XLOOKUP(FMS_Ranking4[[#This Row],[FMS ID]],FMS_Input[FMS_ID],FMS_Input[REMSTRC100])</f>
        <v>0</v>
      </c>
      <c r="AL649" s="259">
        <f>(ASINH(FMS_Ranking4[[#This Row],[Structures Removed Raw]]))*(10)/(ASINH(AK$4))</f>
        <v>0</v>
      </c>
      <c r="AM649" s="262">
        <f>FMS_Ranking4[[#This Row],[Structures removed, ArcSinh (0-10)]]*AK$5*10</f>
        <v>0</v>
      </c>
      <c r="AN649" s="253">
        <f>_xlfn.XLOOKUP(FMS_Ranking4[[#This Row],[FMS ID]],FMS_Input[FMS_ID],FMS_Input[REMRESSTRC100])</f>
        <v>0</v>
      </c>
      <c r="AO649" s="261">
        <f>FMS_Ranking4[[#This Row],[ArcSinh Res struct removed 0-10]]*AN$5*10</f>
        <v>0</v>
      </c>
      <c r="AP649" s="260">
        <f>ASINH(FMS_Ranking4[[#This Row],[Residential Structures Removed Raw]])/AP$4*AN$5*100</f>
        <v>0</v>
      </c>
      <c r="AQ649" s="254">
        <f>(ASINH(FMS_Ranking4[[#This Row],[Residential Structures Removed Raw]]))*(10)/(ASINH(AN$4))</f>
        <v>0</v>
      </c>
      <c r="AR649" s="253">
        <f>_xlfn.XLOOKUP(FMS_Ranking4[[#This Row],[FMS ID]],FMS_Input[FMS_ID],FMS_Input[REMPOP100])</f>
        <v>0</v>
      </c>
      <c r="AS649" s="259">
        <f>(ASINH(FMS_Ranking4[[#This Row],[Removed Pop Raw]]))*(10)/(ASINH(AR$4))</f>
        <v>0</v>
      </c>
      <c r="AT649" s="262">
        <f>FMS_Ranking4[[#This Row],[Removed population, ArcSinh (0-10)]]*AR$5*10</f>
        <v>0</v>
      </c>
      <c r="AU649" s="264">
        <f>_xlfn.XLOOKUP(FMS_Ranking4[[#This Row],[FMS ID]],FMS_Input[FMS_ID],FMS_Input[REMCRITFAC100])</f>
        <v>0</v>
      </c>
      <c r="AV649" s="264">
        <f>_xlfn.XLOOKUP(FMS_Ranking4[[#This Row],[FMS ID]],FMS_Input[FMS_ID],FMS_Input[REMLWC100])</f>
        <v>0</v>
      </c>
      <c r="AW649" s="264">
        <f>_xlfn.XLOOKUP(FMS_Ranking4[[#This Row],[FMS ID]],FMS_Input[FMS_ID],FMS_Input[REMROADCLS])</f>
        <v>0</v>
      </c>
      <c r="AX649" s="264">
        <f>_xlfn.XLOOKUP(FMS_Ranking4[[#This Row],[FMS ID]],FMS_Input[FMS_ID],FMS_Input[REMFRMACRE100])</f>
        <v>0</v>
      </c>
      <c r="AY649" s="258">
        <f>_xlfn.XLOOKUP(FMS_Ranking4[[#This Row],[FMS ID]],FMS_Input[FMS_ID],FMS_Input[COSTSTRUCT])</f>
        <v>0</v>
      </c>
      <c r="AZ649" s="253">
        <f>_xlfn.XLOOKUP(FMS_Ranking4[[#This Row],[FMS ID]],FMS_Input[FMS_ID],FMS_Input[NATURE])</f>
        <v>0</v>
      </c>
      <c r="BA649" s="262">
        <f>(((FMS_Ranking4[[#This Row],[% NBS Raw]]/AZ$4)*100)*AZ$5)</f>
        <v>0</v>
      </c>
      <c r="BB649" s="251" t="str">
        <f>_xlfn.XLOOKUP(FMS_Ranking4[[#This Row],[FMS ID]],FMS_Input[FMS_ID],FMS_Input[WATER_SUP])</f>
        <v>No</v>
      </c>
      <c r="BC649" s="265">
        <f>IF(FMS_Ranking4[[#This Row],[Water Supply Raw]]="Yes",10,0)</f>
        <v>0</v>
      </c>
      <c r="BD649" s="266">
        <f>_xlfn.XLOOKUP(FMS_Ranking4[[#This Row],[FMS Type]],FMS_TYPE[FMS_Type],FMS_TYPE[Score])</f>
        <v>6</v>
      </c>
      <c r="BE649" s="267">
        <f>FMS_Ranking4[[#This Row],[FMS_Type Score]]*$BD$5*10</f>
        <v>1.5000000000000002</v>
      </c>
      <c r="BF64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1.8683893459952174E-2</v>
      </c>
      <c r="BG649" s="271">
        <f>_xlfn.RANK.EQ(BF649,$BF$8:$BF$870,0)+COUNTIF($BF$8:BF649,BF649)-1</f>
        <v>638</v>
      </c>
      <c r="BH649" s="268">
        <f>(((FMS_Ranking4[[#This Row],[Structures Removed Raw]]/AK$4)*100)*AK$5)+(((FMS_Ranking4[[#This Row],[Removed Pop Raw]]/AR$4)*100)*AR$5)</f>
        <v>0</v>
      </c>
      <c r="BI64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1.5186838934599525</v>
      </c>
      <c r="BJ649" s="205">
        <f>_xlfn.RANK.EQ(FMS_Ranking4[[#This Row],[Total Score 
(with linear
normalization)]],FMS_Ranking4[Total Score 
(with linear
normalization)],0)</f>
        <v>594</v>
      </c>
      <c r="BK649" s="205" t="e">
        <f>_xlfn.XLOOKUP(FMS_Ranking4[[#This Row],[FMS ID]],#REF!,#REF!)</f>
        <v>#REF!</v>
      </c>
      <c r="BL64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10.793456448269461</v>
      </c>
      <c r="BM649" s="272">
        <f>FMS_Ranking4[[#This Row],[ArcSinh Score Based on Normalized Reported Factors]]+FMS_Ranking4[[#This Row],[% NBS Score (Normalized)]]+(FMS_Ranking4[[#This Row],[Water Supply Score (Normalized)]]*10*$BB$5)+FMS_Ranking4[[#This Row],[FMS_Type Score Weighted]]</f>
        <v>12.293456448269461</v>
      </c>
      <c r="BN649" s="205">
        <f>_xlfn.RANK.EQ(FMS_Ranking4[[#This Row],[Total Score (with ArcSinh normalization of select criteria)]],FMS_Ranking4[Total Score (with ArcSinh normalization of select criteria)],0)</f>
        <v>642</v>
      </c>
      <c r="BO649" s="270" t="str">
        <f>_xlfn.XLOOKUP(FMS_Ranking4[[#This Row],[FMS ID]],FMS_Input[FMS_ID],FMS_Input[FMS_RANK_YEAR])</f>
        <v>2023 Amended Plan</v>
      </c>
      <c r="BP649" s="204">
        <f>_xlfn.XLOOKUP(FMS_Ranking4[[#This Row],[FMS ID]],Prev_Rank[FMS ID],Prev_Rank[Prev Rank])</f>
        <v>573</v>
      </c>
      <c r="BQ649" s="205" t="e">
        <f>_xlfn.XLOOKUP(FMS_Ranking4[[#This Row],[FMS ID]],#REF!,#REF!)</f>
        <v>#REF!</v>
      </c>
      <c r="BR649" s="199" t="e">
        <f>SUM(#REF!,#REF!,#REF!,#REF!,#REF!,#REF!,#REF!,#REF!,#REF!,FMS_Ranking4[[#This Row],[ArcSinh Res struct removed 0-10]],#REF!)</f>
        <v>#REF!</v>
      </c>
      <c r="BS649" s="199" t="e">
        <f>FMS_Ranking4[[#This Row],[Log Score Based on Normalized Reported Factors]]+FMS_Ranking4[[#This Row],[% NBS Score (Normalized)]]+(FMS_Ranking4[[#This Row],[Water Supply Score (Normalized)]]*10*$BB$5)+(FMS_Ranking4[[#This Row],[FMS_Type Score Weighted]])</f>
        <v>#REF!</v>
      </c>
      <c r="BT649" s="200" t="e">
        <f>_xlfn.RANK.EQ(FMS_Ranking4[[#This Row],[Log Total Score]],FMS_Ranking4[Log Total Score],0)</f>
        <v>#REF!</v>
      </c>
      <c r="BU649" s="200" t="e">
        <f>_xlfn.XLOOKUP(FMS_Ranking4[[#This Row],[FMS ID]],#REF!,#REF!)</f>
        <v>#REF!</v>
      </c>
      <c r="BV649" s="200">
        <f>FMS_Ranking4[[#This Row],[Region Number]]</f>
        <v>12</v>
      </c>
      <c r="BW649" s="200">
        <f>FMS_Ranking4[[#This Row],[Rank (with ArcSinh normalization of select criteria)]]-FMS_Ranking4[[#This Row],[Rank
(with linear
normalization)]]</f>
        <v>48</v>
      </c>
      <c r="BX649" s="200" t="e">
        <f>FMS_Ranking4[[#This Row],[Log Rank]]-FMS_Ranking4[[#This Row],[Rank
(with linear
normalization)]]</f>
        <v>#REF!</v>
      </c>
      <c r="BY649" s="200" t="str">
        <f>IF(FMS_Ranking4[[#This Row],[FMS Type]]="Flood Measurement and Warning",FMS_Ranking4[[#This Row],[Rank (with ArcSinh normalization of select criteria)]],"")</f>
        <v/>
      </c>
      <c r="BZ649" s="200" t="str">
        <f>IF(FMS_Ranking4[[#This Row],[FMS Type]]="Regulatory and Guidance",FMS_Ranking4[[#This Row],[Rank (with ArcSinh normalization of select criteria)]],"")</f>
        <v/>
      </c>
      <c r="CA649" s="200">
        <f>IF(FMS_Ranking4[[#This Row],[FMS Type]]="Education and Outreach",FMS_Ranking4[[#This Row],[Rank (with ArcSinh normalization of select criteria)]],"")</f>
        <v>642</v>
      </c>
      <c r="CB649" s="200" t="str">
        <f>IF(FMS_Ranking4[[#This Row],[FMS Type]]="Property Acquisition and Structural Elevation",FMS_Ranking4[[#This Row],[Rank (with ArcSinh normalization of select criteria)]],"")</f>
        <v/>
      </c>
      <c r="CC649" s="200" t="str">
        <f>IF(FMS_Ranking4[[#This Row],[FMS Type]]="Infrastructure Projects",FMS_Ranking4[[#This Row],[Rank (with ArcSinh normalization of select criteria)]],"")</f>
        <v/>
      </c>
      <c r="CD649" s="200" t="str">
        <f>IF(FMS_Ranking4[[#This Row],[FMS Type]]="Other",FMS_Ranking4[[#This Row],[Rank (with ArcSinh normalization of select criteria)]],"")</f>
        <v/>
      </c>
      <c r="CE649" s="201"/>
      <c r="CF649" s="206"/>
      <c r="CG649" s="206"/>
      <c r="CH649" s="206"/>
      <c r="CI649" s="206"/>
      <c r="CJ649" s="206"/>
      <c r="CK649" s="206"/>
      <c r="CL649" s="206"/>
      <c r="CM649" s="206"/>
      <c r="CN649" s="206"/>
      <c r="CO649" s="206"/>
      <c r="CP649" s="206"/>
      <c r="CQ649" s="206"/>
      <c r="CR649" s="206"/>
    </row>
    <row r="650" spans="2:96" ht="75" x14ac:dyDescent="0.25">
      <c r="B650" s="341" t="s">
        <v>1903</v>
      </c>
      <c r="C650" s="246">
        <f>_xlfn.XLOOKUP(FMS_Ranking4[[#This Row],[FMS ID]],FMS_Input[FMS_ID],FMS_Input[RFPG_NUM])</f>
        <v>3</v>
      </c>
      <c r="D650" s="309" t="str">
        <f>_xlfn.XLOOKUP(FMS_Ranking4[[#This Row],[FMS ID]],FMS_Input[FMS_ID],FMS_Input[FMS_NAME])</f>
        <v>Dalworthington Flood Warning System</v>
      </c>
      <c r="E650" s="308" t="str">
        <f>_xlfn.XLOOKUP(FMS_Ranking4[[#This Row],[FMS ID]],FMS_Input[FMS_ID],FMS_Input[SPONSOR])</f>
        <v>Dalworthington Gardens</v>
      </c>
      <c r="F650" s="309" t="str">
        <f>_xlfn.XLOOKUP(FMS_Ranking4[[#This Row],[FMS ID]],Sponsor[FMS_ID],Sponsor[SPONSOR NAME])</f>
        <v>Dalworthington Gardens</v>
      </c>
      <c r="G650" s="309" t="str">
        <f>_xlfn.XLOOKUP(FMS_Ranking4[[#This Row],[FMS ID]],FMS_Input[FMS_ID],FMS_Input[FMS_DESCR])</f>
        <v>Purchase and install a technological based high water detection system for low water crossings to mitigate the hazards when the location floods</v>
      </c>
      <c r="H650" s="248" t="str">
        <f>_xlfn.XLOOKUP(FMS_Ranking4[[#This Row],[FMS ID]],FMS_Input[FMS_ID],FMS_Input[FMS_TYPE])</f>
        <v>Flood Measurement and Warning</v>
      </c>
      <c r="I650" s="249">
        <f>_xlfn.XLOOKUP(FMS_Ranking4[[#This Row],[FMS ID]],FMS_Input[FMS_ID],FMS_Input[NRNC_COST])</f>
        <v>30000</v>
      </c>
      <c r="J650" s="250">
        <f>_xlfn.XLOOKUP(FMS_Ranking4[[#This Row],[FMS ID]],FMS_Input[FMS_ID],FMS_Input[FMS_COST])</f>
        <v>300000</v>
      </c>
      <c r="K650" s="251" t="str">
        <f>_xlfn.XLOOKUP(FMS_Ranking4[[#This Row],[FMS ID]],FMS_Input[FMS_ID],FMS_Input[EMER_NEED])</f>
        <v>No</v>
      </c>
      <c r="L650" s="252">
        <f t="shared" si="10"/>
        <v>0</v>
      </c>
      <c r="M650" s="253">
        <f>_xlfn.XLOOKUP(FMS_Ranking4[[#This Row],[FMS ID]],FMS_Input[FMS_ID],FMS_Input[STRUCT_100])</f>
        <v>12</v>
      </c>
      <c r="N650" s="255">
        <f>(ASINH(FMS_Ranking4[[#This Row],[Structure at Risk Raw]]))*(10)/(ASINH(M$4))</f>
        <v>2.4997848035776333</v>
      </c>
      <c r="O650" s="256">
        <f>FMS_Ranking4[[#This Row],[Structures at risk, ArcSinh (0-10)]]*M$5*10</f>
        <v>2.4997848035776333</v>
      </c>
      <c r="P650" s="253">
        <f>_xlfn.XLOOKUP(FMS_Ranking4[[#This Row],[FMS ID]],FMS_Input[FMS_ID],FMS_Input[RES_STRUCT100])</f>
        <v>11</v>
      </c>
      <c r="Q650" s="257">
        <f>ASINH(FMS_Ranking4[[#This Row],[Res Structure Raw]])/Q$4*P$5*100</f>
        <v>0</v>
      </c>
      <c r="R650" s="253">
        <f>_xlfn.XLOOKUP(FMS_Ranking4[[#This Row],[FMS ID]],FMS_Input[FMS_ID],FMS_Input[POP100])</f>
        <v>24</v>
      </c>
      <c r="S650" s="255">
        <f>(ASINH(FMS_Ranking4[[#This Row],[Pop at Risk Raw]]))*(10)/(ASINH(R$4))</f>
        <v>2.6728148709004498</v>
      </c>
      <c r="T650" s="256">
        <f>FMS_Ranking4[[#This Row],[Population at risk, ArcSinh (0-10)]]*R$5*10</f>
        <v>2.6728148709004502</v>
      </c>
      <c r="U650" s="253">
        <f>_xlfn.XLOOKUP(FMS_Ranking4[[#This Row],[FMS ID]],FMS_Input[FMS_ID],FMS_Input[CRITFAC100])</f>
        <v>0</v>
      </c>
      <c r="V650" s="255">
        <f>(ASINH(FMS_Ranking4[[#This Row],[Critical Facilities Raw]]))*(10)/(ASINH(U$4))</f>
        <v>0</v>
      </c>
      <c r="W650" s="256">
        <f>FMS_Ranking4[[#This Row],[Critical facilities at risk, ArcSinh (0-10)]]*U$5*10</f>
        <v>0</v>
      </c>
      <c r="X650" s="253">
        <f>_xlfn.XLOOKUP(FMS_Ranking4[[#This Row],[FMS ID]],FMS_Input[FMS_ID],FMS_Input[LWC])</f>
        <v>3</v>
      </c>
      <c r="Y650" s="255">
        <f>(ASINH(FMS_Ranking4[[#This Row],[LWC Raw]]))*(10)/(ASINH(X$4))</f>
        <v>2.4635181155638843</v>
      </c>
      <c r="Z650" s="256">
        <f>FMS_Ranking4[[#This Row],[LWC, ArcSInh (0-10)]]*X$5*10</f>
        <v>2.4635181155638843</v>
      </c>
      <c r="AA650" s="253">
        <f>_xlfn.XLOOKUP(FMS_Ranking4[[#This Row],[FMS ID]],FMS_Input[FMS_ID],FMS_Input[ROADCLS])</f>
        <v>0</v>
      </c>
      <c r="AB650" s="255">
        <f>(ASINH(FMS_Ranking4[[#This Row],[Road Closures Raw]]))*(10)/(ASINH(AA$4))</f>
        <v>0</v>
      </c>
      <c r="AC650" s="256">
        <f>FMS_Ranking4[[#This Row],[Road closures, ArcSinh (0-10)]]*AA$5*10</f>
        <v>0</v>
      </c>
      <c r="AD650" s="253">
        <f>_xlfn.XLOOKUP(FMS_Ranking4[[#This Row],[FMS ID]],FMS_Input[FMS_ID],FMS_Input[ROAD_MILES100])</f>
        <v>1</v>
      </c>
      <c r="AE650" s="255">
        <f>(ASINH(FMS_Ranking4[[#This Row],[Road Miles Raw]]))*(10)/(ASINH(AD$4))</f>
        <v>0.9393017565219649</v>
      </c>
      <c r="AF650" s="256">
        <f>FMS_Ranking4[[#This Row],[Length of roads at risk, ArcSinh (0-10)]]*AD$5*10</f>
        <v>0.93930175652196501</v>
      </c>
      <c r="AG650" s="253">
        <f>_xlfn.XLOOKUP(FMS_Ranking4[[#This Row],[FMS ID]],FMS_Input[FMS_ID],FMS_Input[FARMACRE100])</f>
        <v>16.488700866699219</v>
      </c>
      <c r="AH650" s="255">
        <f>(ASINH(FMS_Ranking4[[#This Row],[Ag Land Raw]]))*(10)/(ASINH(AG$4))</f>
        <v>2.2714180252520593</v>
      </c>
      <c r="AI650" s="260">
        <f>FMS_Ranking4[[#This Row],[Farm &amp; ranch land, ArcSinh (0-10)]]*AG$5*10</f>
        <v>1.1357090126260296</v>
      </c>
      <c r="AJ650" s="258">
        <f>_xlfn.XLOOKUP(FMS_Ranking4[[#This Row],[FMS ID]],FMS_Input[FMS_ID],FMS_Input[REDSTRUCT100])</f>
        <v>0</v>
      </c>
      <c r="AK650" s="253">
        <f>_xlfn.XLOOKUP(FMS_Ranking4[[#This Row],[FMS ID]],FMS_Input[FMS_ID],FMS_Input[REMSTRC100])</f>
        <v>0</v>
      </c>
      <c r="AL650" s="255">
        <f>(ASINH(FMS_Ranking4[[#This Row],[Structures Removed Raw]]))*(10)/(ASINH(AK$4))</f>
        <v>0</v>
      </c>
      <c r="AM650" s="262">
        <f>FMS_Ranking4[[#This Row],[Structures removed, ArcSinh (0-10)]]*AK$5*10</f>
        <v>0</v>
      </c>
      <c r="AN650" s="253">
        <f>_xlfn.XLOOKUP(FMS_Ranking4[[#This Row],[FMS ID]],FMS_Input[FMS_ID],FMS_Input[REMRESSTRC100])</f>
        <v>0</v>
      </c>
      <c r="AO650" s="261">
        <f>FMS_Ranking4[[#This Row],[ArcSinh Res struct removed 0-10]]*AN$5*10</f>
        <v>0</v>
      </c>
      <c r="AP650" s="260">
        <f>ASINH(FMS_Ranking4[[#This Row],[Residential Structures Removed Raw]])/AP$4*AN$5*100</f>
        <v>0</v>
      </c>
      <c r="AQ650" s="258">
        <f>(ASINH(FMS_Ranking4[[#This Row],[Residential Structures Removed Raw]]))*(10)/(ASINH(AN$4))</f>
        <v>0</v>
      </c>
      <c r="AR650" s="253">
        <f>_xlfn.XLOOKUP(FMS_Ranking4[[#This Row],[FMS ID]],FMS_Input[FMS_ID],FMS_Input[REMPOP100])</f>
        <v>0</v>
      </c>
      <c r="AS650" s="255">
        <f>(ASINH(FMS_Ranking4[[#This Row],[Removed Pop Raw]]))*(10)/(ASINH(AR$4))</f>
        <v>0</v>
      </c>
      <c r="AT650" s="262">
        <f>FMS_Ranking4[[#This Row],[Removed population, ArcSinh (0-10)]]*AR$5*10</f>
        <v>0</v>
      </c>
      <c r="AU650" s="264">
        <f>_xlfn.XLOOKUP(FMS_Ranking4[[#This Row],[FMS ID]],FMS_Input[FMS_ID],FMS_Input[REMCRITFAC100])</f>
        <v>0</v>
      </c>
      <c r="AV650" s="264">
        <f>_xlfn.XLOOKUP(FMS_Ranking4[[#This Row],[FMS ID]],FMS_Input[FMS_ID],FMS_Input[REMLWC100])</f>
        <v>0</v>
      </c>
      <c r="AW650" s="264">
        <f>_xlfn.XLOOKUP(FMS_Ranking4[[#This Row],[FMS ID]],FMS_Input[FMS_ID],FMS_Input[REMROADCLS])</f>
        <v>0</v>
      </c>
      <c r="AX650" s="264">
        <f>_xlfn.XLOOKUP(FMS_Ranking4[[#This Row],[FMS ID]],FMS_Input[FMS_ID],FMS_Input[REMFRMACRE100])</f>
        <v>0</v>
      </c>
      <c r="AY650" s="258">
        <f>_xlfn.XLOOKUP(FMS_Ranking4[[#This Row],[FMS ID]],FMS_Input[FMS_ID],FMS_Input[COSTSTRUCT])</f>
        <v>0</v>
      </c>
      <c r="AZ650" s="253">
        <f>_xlfn.XLOOKUP(FMS_Ranking4[[#This Row],[FMS ID]],FMS_Input[FMS_ID],FMS_Input[NATURE])</f>
        <v>0</v>
      </c>
      <c r="BA650" s="262">
        <f>(((FMS_Ranking4[[#This Row],[% NBS Raw]]/AZ$4)*100)*AZ$5)</f>
        <v>0</v>
      </c>
      <c r="BB650" s="251" t="str">
        <f>_xlfn.XLOOKUP(FMS_Ranking4[[#This Row],[FMS ID]],FMS_Input[FMS_ID],FMS_Input[WATER_SUP])</f>
        <v>No</v>
      </c>
      <c r="BC650" s="265">
        <f>IF(FMS_Ranking4[[#This Row],[Water Supply Raw]]="Yes",10,0)</f>
        <v>0</v>
      </c>
      <c r="BD650" s="266">
        <f>_xlfn.XLOOKUP(FMS_Ranking4[[#This Row],[FMS Type]],FMS_TYPE[FMS_Type],FMS_TYPE[Score])</f>
        <v>10</v>
      </c>
      <c r="BE650" s="267">
        <f>FMS_Ranking4[[#This Row],[FMS_Type Score]]*$BD$5*10</f>
        <v>2.5</v>
      </c>
      <c r="BF65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4.0039553676454696E-2</v>
      </c>
      <c r="BG650" s="321">
        <f>_xlfn.RANK.EQ(BF650,$BF$8:$BF$870,0)+COUNTIF($BF$8:BF650,BF650)-1</f>
        <v>580</v>
      </c>
      <c r="BH650" s="294">
        <f>(((FMS_Ranking4[[#This Row],[Structures Removed Raw]]/AK$4)*100)*AK$5)+(((FMS_Ranking4[[#This Row],[Removed Pop Raw]]/AR$4)*100)*AR$5)</f>
        <v>0</v>
      </c>
      <c r="BI65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2.5400395536764546</v>
      </c>
      <c r="BJ650" s="251">
        <f>_xlfn.RANK.EQ(FMS_Ranking4[[#This Row],[Total Score 
(with linear
normalization)]],FMS_Ranking4[Total Score 
(with linear
normalization)],0)</f>
        <v>238</v>
      </c>
      <c r="BK650" s="251" t="e">
        <f>_xlfn.XLOOKUP(FMS_Ranking4[[#This Row],[FMS ID]],#REF!,#REF!)</f>
        <v>#REF!</v>
      </c>
      <c r="BL65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9.7111285591899641</v>
      </c>
      <c r="BM650" s="324">
        <f>FMS_Ranking4[[#This Row],[ArcSinh Score Based on Normalized Reported Factors]]+FMS_Ranking4[[#This Row],[% NBS Score (Normalized)]]+(FMS_Ranking4[[#This Row],[Water Supply Score (Normalized)]]*10*$BB$5)+FMS_Ranking4[[#This Row],[FMS_Type Score Weighted]]</f>
        <v>12.211128559189964</v>
      </c>
      <c r="BN650" s="251">
        <f>_xlfn.RANK.EQ(FMS_Ranking4[[#This Row],[Total Score (with ArcSinh normalization of select criteria)]],FMS_Ranking4[Total Score (with ArcSinh normalization of select criteria)],0)</f>
        <v>643</v>
      </c>
      <c r="BO650" s="270" t="str">
        <f>_xlfn.XLOOKUP(FMS_Ranking4[[#This Row],[FMS ID]],FMS_Input[FMS_ID],FMS_Input[FMS_RANK_YEAR])</f>
        <v>2023 Amended Plan</v>
      </c>
      <c r="BP650" s="204">
        <f>_xlfn.XLOOKUP(FMS_Ranking4[[#This Row],[FMS ID]],Prev_Rank[FMS ID],Prev_Rank[Prev Rank])</f>
        <v>576</v>
      </c>
      <c r="BQ650" s="251" t="e">
        <f>_xlfn.XLOOKUP(FMS_Ranking4[[#This Row],[FMS ID]],#REF!,#REF!)</f>
        <v>#REF!</v>
      </c>
      <c r="BR650" s="199" t="e">
        <f>SUM(#REF!,#REF!,#REF!,#REF!,#REF!,#REF!,#REF!,#REF!,#REF!,FMS_Ranking4[[#This Row],[ArcSinh Res struct removed 0-10]],#REF!)</f>
        <v>#REF!</v>
      </c>
      <c r="BS650" s="199" t="e">
        <f>FMS_Ranking4[[#This Row],[Log Score Based on Normalized Reported Factors]]+FMS_Ranking4[[#This Row],[% NBS Score (Normalized)]]+(FMS_Ranking4[[#This Row],[Water Supply Score (Normalized)]]*10*$BB$5)+(FMS_Ranking4[[#This Row],[FMS_Type Score Weighted]])</f>
        <v>#REF!</v>
      </c>
      <c r="BT650" s="200" t="e">
        <f>_xlfn.RANK.EQ(FMS_Ranking4[[#This Row],[Log Total Score]],FMS_Ranking4[Log Total Score],0)</f>
        <v>#REF!</v>
      </c>
      <c r="BU650" s="200" t="e">
        <f>_xlfn.XLOOKUP(FMS_Ranking4[[#This Row],[FMS ID]],#REF!,#REF!)</f>
        <v>#REF!</v>
      </c>
      <c r="BV650" s="200">
        <f>FMS_Ranking4[[#This Row],[Region Number]]</f>
        <v>3</v>
      </c>
      <c r="BW650" s="200">
        <f>FMS_Ranking4[[#This Row],[Rank (with ArcSinh normalization of select criteria)]]-FMS_Ranking4[[#This Row],[Rank
(with linear
normalization)]]</f>
        <v>405</v>
      </c>
      <c r="BX650" s="200" t="e">
        <f>FMS_Ranking4[[#This Row],[Log Rank]]-FMS_Ranking4[[#This Row],[Rank
(with linear
normalization)]]</f>
        <v>#REF!</v>
      </c>
      <c r="BY650" s="200">
        <f>IF(FMS_Ranking4[[#This Row],[FMS Type]]="Flood Measurement and Warning",FMS_Ranking4[[#This Row],[Rank (with ArcSinh normalization of select criteria)]],"")</f>
        <v>643</v>
      </c>
      <c r="BZ650" s="200" t="str">
        <f>IF(FMS_Ranking4[[#This Row],[FMS Type]]="Regulatory and Guidance",FMS_Ranking4[[#This Row],[Rank (with ArcSinh normalization of select criteria)]],"")</f>
        <v/>
      </c>
      <c r="CA650" s="200" t="str">
        <f>IF(FMS_Ranking4[[#This Row],[FMS Type]]="Education and Outreach",FMS_Ranking4[[#This Row],[Rank (with ArcSinh normalization of select criteria)]],"")</f>
        <v/>
      </c>
      <c r="CB650" s="200" t="str">
        <f>IF(FMS_Ranking4[[#This Row],[FMS Type]]="Property Acquisition and Structural Elevation",FMS_Ranking4[[#This Row],[Rank (with ArcSinh normalization of select criteria)]],"")</f>
        <v/>
      </c>
      <c r="CC650" s="200" t="str">
        <f>IF(FMS_Ranking4[[#This Row],[FMS Type]]="Infrastructure Projects",FMS_Ranking4[[#This Row],[Rank (with ArcSinh normalization of select criteria)]],"")</f>
        <v/>
      </c>
      <c r="CD650" s="200" t="str">
        <f>IF(FMS_Ranking4[[#This Row],[FMS Type]]="Other",FMS_Ranking4[[#This Row],[Rank (with ArcSinh normalization of select criteria)]],"")</f>
        <v/>
      </c>
      <c r="CE650" s="201"/>
      <c r="CF650" s="206"/>
      <c r="CG650" s="206"/>
      <c r="CH650" s="206"/>
      <c r="CI650" s="206"/>
      <c r="CJ650" s="206"/>
      <c r="CK650" s="206"/>
      <c r="CL650" s="206"/>
      <c r="CM650" s="206"/>
      <c r="CN650" s="206"/>
      <c r="CO650" s="206"/>
      <c r="CP650" s="206"/>
      <c r="CQ650" s="206"/>
      <c r="CR650" s="206"/>
    </row>
    <row r="651" spans="2:96" ht="90" x14ac:dyDescent="0.25">
      <c r="B651" s="341" t="s">
        <v>2054</v>
      </c>
      <c r="C651" s="246">
        <f>_xlfn.XLOOKUP(FMS_Ranking4[[#This Row],[FMS ID]],FMS_Input[FMS_ID],FMS_Input[RFPG_NUM])</f>
        <v>3</v>
      </c>
      <c r="D651" s="309" t="str">
        <f>_xlfn.XLOOKUP(FMS_Ranking4[[#This Row],[FMS ID]],FMS_Input[FMS_ID],FMS_Input[FMS_NAME])</f>
        <v>Lindsay Flood Warning and Public Safety Improvements</v>
      </c>
      <c r="E651" s="308" t="str">
        <f>_xlfn.XLOOKUP(FMS_Ranking4[[#This Row],[FMS ID]],FMS_Input[FMS_ID],FMS_Input[SPONSOR])</f>
        <v>Lindsay</v>
      </c>
      <c r="F651" s="309" t="str">
        <f>_xlfn.XLOOKUP(FMS_Ranking4[[#This Row],[FMS ID]],Sponsor[FMS_ID],Sponsor[SPONSOR NAME])</f>
        <v>Lindsay</v>
      </c>
      <c r="G651" s="309" t="str">
        <f>_xlfn.XLOOKUP(FMS_Ranking4[[#This Row],[FMS ID]],FMS_Input[FMS_ID],FMS_Input[FMS_DESCR])</f>
        <v>Citywide “reverse 911” to enable local emergency officials to notify emergency information pertaining to flood advisories, flood warnings, and flood evacuations.</v>
      </c>
      <c r="H651" s="248" t="str">
        <f>_xlfn.XLOOKUP(FMS_Ranking4[[#This Row],[FMS ID]],FMS_Input[FMS_ID],FMS_Input[FMS_TYPE])</f>
        <v>Flood Measurement and Warning</v>
      </c>
      <c r="I651" s="249">
        <f>_xlfn.XLOOKUP(FMS_Ranking4[[#This Row],[FMS ID]],FMS_Input[FMS_ID],FMS_Input[NRNC_COST])</f>
        <v>25000</v>
      </c>
      <c r="J651" s="250">
        <f>_xlfn.XLOOKUP(FMS_Ranking4[[#This Row],[FMS ID]],FMS_Input[FMS_ID],FMS_Input[FMS_COST])</f>
        <v>250000</v>
      </c>
      <c r="K651" s="251" t="str">
        <f>_xlfn.XLOOKUP(FMS_Ranking4[[#This Row],[FMS ID]],FMS_Input[FMS_ID],FMS_Input[EMER_NEED])</f>
        <v>No</v>
      </c>
      <c r="L651" s="252">
        <f t="shared" si="10"/>
        <v>0</v>
      </c>
      <c r="M651" s="253">
        <f>_xlfn.XLOOKUP(FMS_Ranking4[[#This Row],[FMS ID]],FMS_Input[FMS_ID],FMS_Input[STRUCT_100])</f>
        <v>36</v>
      </c>
      <c r="N651" s="255">
        <f>(ASINH(FMS_Ranking4[[#This Row],[Structure at Risk Raw]]))*(10)/(ASINH(M$4))</f>
        <v>3.3622479427828873</v>
      </c>
      <c r="O651" s="256">
        <f>FMS_Ranking4[[#This Row],[Structures at risk, ArcSinh (0-10)]]*M$5*10</f>
        <v>3.3622479427828877</v>
      </c>
      <c r="P651" s="253">
        <f>_xlfn.XLOOKUP(FMS_Ranking4[[#This Row],[FMS ID]],FMS_Input[FMS_ID],FMS_Input[RES_STRUCT100])</f>
        <v>24</v>
      </c>
      <c r="Q651" s="257">
        <f>ASINH(FMS_Ranking4[[#This Row],[Res Structure Raw]])/Q$4*P$5*100</f>
        <v>0</v>
      </c>
      <c r="R651" s="253">
        <f>_xlfn.XLOOKUP(FMS_Ranking4[[#This Row],[FMS ID]],FMS_Input[FMS_ID],FMS_Input[POP100])</f>
        <v>37</v>
      </c>
      <c r="S651" s="255">
        <f>(ASINH(FMS_Ranking4[[#This Row],[Pop at Risk Raw]]))*(10)/(ASINH(R$4))</f>
        <v>2.9714727428838379</v>
      </c>
      <c r="T651" s="256">
        <f>FMS_Ranking4[[#This Row],[Population at risk, ArcSinh (0-10)]]*R$5*10</f>
        <v>2.9714727428838379</v>
      </c>
      <c r="U651" s="253">
        <f>_xlfn.XLOOKUP(FMS_Ranking4[[#This Row],[FMS ID]],FMS_Input[FMS_ID],FMS_Input[CRITFAC100])</f>
        <v>0</v>
      </c>
      <c r="V651" s="255">
        <f>(ASINH(FMS_Ranking4[[#This Row],[Critical Facilities Raw]]))*(10)/(ASINH(U$4))</f>
        <v>0</v>
      </c>
      <c r="W651" s="256">
        <f>FMS_Ranking4[[#This Row],[Critical facilities at risk, ArcSinh (0-10)]]*U$5*10</f>
        <v>0</v>
      </c>
      <c r="X651" s="253">
        <f>_xlfn.XLOOKUP(FMS_Ranking4[[#This Row],[FMS ID]],FMS_Input[FMS_ID],FMS_Input[LWC])</f>
        <v>0</v>
      </c>
      <c r="Y651" s="255">
        <f>(ASINH(FMS_Ranking4[[#This Row],[LWC Raw]]))*(10)/(ASINH(X$4))</f>
        <v>0</v>
      </c>
      <c r="Z651" s="256">
        <f>FMS_Ranking4[[#This Row],[LWC, ArcSInh (0-10)]]*X$5*10</f>
        <v>0</v>
      </c>
      <c r="AA651" s="253">
        <f>_xlfn.XLOOKUP(FMS_Ranking4[[#This Row],[FMS ID]],FMS_Input[FMS_ID],FMS_Input[ROADCLS])</f>
        <v>0</v>
      </c>
      <c r="AB651" s="255">
        <f>(ASINH(FMS_Ranking4[[#This Row],[Road Closures Raw]]))*(10)/(ASINH(AA$4))</f>
        <v>0</v>
      </c>
      <c r="AC651" s="256">
        <f>FMS_Ranking4[[#This Row],[Road closures, ArcSinh (0-10)]]*AA$5*10</f>
        <v>0</v>
      </c>
      <c r="AD651" s="253">
        <f>_xlfn.XLOOKUP(FMS_Ranking4[[#This Row],[FMS ID]],FMS_Input[FMS_ID],FMS_Input[ROAD_MILES100])</f>
        <v>2</v>
      </c>
      <c r="AE651" s="255">
        <f>(ASINH(FMS_Ranking4[[#This Row],[Road Miles Raw]]))*(10)/(ASINH(AD$4))</f>
        <v>1.5385182374234352</v>
      </c>
      <c r="AF651" s="256">
        <f>FMS_Ranking4[[#This Row],[Length of roads at risk, ArcSinh (0-10)]]*AD$5*10</f>
        <v>1.5385182374234352</v>
      </c>
      <c r="AG651" s="253">
        <f>_xlfn.XLOOKUP(FMS_Ranking4[[#This Row],[FMS ID]],FMS_Input[FMS_ID],FMS_Input[FARMACRE100])</f>
        <v>135.67970275878909</v>
      </c>
      <c r="AH651" s="255">
        <f>(ASINH(FMS_Ranking4[[#This Row],[Ag Land Raw]]))*(10)/(ASINH(AG$4))</f>
        <v>3.6399023132304738</v>
      </c>
      <c r="AI651" s="260">
        <f>FMS_Ranking4[[#This Row],[Farm &amp; ranch land, ArcSinh (0-10)]]*AG$5*10</f>
        <v>1.8199511566152371</v>
      </c>
      <c r="AJ651" s="258">
        <f>_xlfn.XLOOKUP(FMS_Ranking4[[#This Row],[FMS ID]],FMS_Input[FMS_ID],FMS_Input[REDSTRUCT100])</f>
        <v>0</v>
      </c>
      <c r="AK651" s="253">
        <f>_xlfn.XLOOKUP(FMS_Ranking4[[#This Row],[FMS ID]],FMS_Input[FMS_ID],FMS_Input[REMSTRC100])</f>
        <v>0</v>
      </c>
      <c r="AL651" s="255">
        <f>(ASINH(FMS_Ranking4[[#This Row],[Structures Removed Raw]]))*(10)/(ASINH(AK$4))</f>
        <v>0</v>
      </c>
      <c r="AM651" s="262">
        <f>FMS_Ranking4[[#This Row],[Structures removed, ArcSinh (0-10)]]*AK$5*10</f>
        <v>0</v>
      </c>
      <c r="AN651" s="253">
        <f>_xlfn.XLOOKUP(FMS_Ranking4[[#This Row],[FMS ID]],FMS_Input[FMS_ID],FMS_Input[REMRESSTRC100])</f>
        <v>0</v>
      </c>
      <c r="AO651" s="261">
        <f>FMS_Ranking4[[#This Row],[ArcSinh Res struct removed 0-10]]*AN$5*10</f>
        <v>0</v>
      </c>
      <c r="AP651" s="260">
        <f>ASINH(FMS_Ranking4[[#This Row],[Residential Structures Removed Raw]])/AP$4*AN$5*100</f>
        <v>0</v>
      </c>
      <c r="AQ651" s="258">
        <f>(ASINH(FMS_Ranking4[[#This Row],[Residential Structures Removed Raw]]))*(10)/(ASINH(AN$4))</f>
        <v>0</v>
      </c>
      <c r="AR651" s="253">
        <f>_xlfn.XLOOKUP(FMS_Ranking4[[#This Row],[FMS ID]],FMS_Input[FMS_ID],FMS_Input[REMPOP100])</f>
        <v>0</v>
      </c>
      <c r="AS651" s="255">
        <f>(ASINH(FMS_Ranking4[[#This Row],[Removed Pop Raw]]))*(10)/(ASINH(AR$4))</f>
        <v>0</v>
      </c>
      <c r="AT651" s="262">
        <f>FMS_Ranking4[[#This Row],[Removed population, ArcSinh (0-10)]]*AR$5*10</f>
        <v>0</v>
      </c>
      <c r="AU651" s="264">
        <f>_xlfn.XLOOKUP(FMS_Ranking4[[#This Row],[FMS ID]],FMS_Input[FMS_ID],FMS_Input[REMCRITFAC100])</f>
        <v>0</v>
      </c>
      <c r="AV651" s="264">
        <f>_xlfn.XLOOKUP(FMS_Ranking4[[#This Row],[FMS ID]],FMS_Input[FMS_ID],FMS_Input[REMLWC100])</f>
        <v>0</v>
      </c>
      <c r="AW651" s="264">
        <f>_xlfn.XLOOKUP(FMS_Ranking4[[#This Row],[FMS ID]],FMS_Input[FMS_ID],FMS_Input[REMROADCLS])</f>
        <v>0</v>
      </c>
      <c r="AX651" s="264">
        <f>_xlfn.XLOOKUP(FMS_Ranking4[[#This Row],[FMS ID]],FMS_Input[FMS_ID],FMS_Input[REMFRMACRE100])</f>
        <v>0</v>
      </c>
      <c r="AY651" s="258">
        <f>_xlfn.XLOOKUP(FMS_Ranking4[[#This Row],[FMS ID]],FMS_Input[FMS_ID],FMS_Input[COSTSTRUCT])</f>
        <v>0</v>
      </c>
      <c r="AZ651" s="253">
        <f>_xlfn.XLOOKUP(FMS_Ranking4[[#This Row],[FMS ID]],FMS_Input[FMS_ID],FMS_Input[NATURE])</f>
        <v>0</v>
      </c>
      <c r="BA651" s="262">
        <f>(((FMS_Ranking4[[#This Row],[% NBS Raw]]/AZ$4)*100)*AZ$5)</f>
        <v>0</v>
      </c>
      <c r="BB651" s="251" t="str">
        <f>_xlfn.XLOOKUP(FMS_Ranking4[[#This Row],[FMS ID]],FMS_Input[FMS_ID],FMS_Input[WATER_SUP])</f>
        <v>No</v>
      </c>
      <c r="BC651" s="265">
        <f>IF(FMS_Ranking4[[#This Row],[Water Supply Raw]]="Yes",10,0)</f>
        <v>0</v>
      </c>
      <c r="BD651" s="266">
        <f>_xlfn.XLOOKUP(FMS_Ranking4[[#This Row],[FMS Type]],FMS_TYPE[FMS_Type],FMS_TYPE[Score])</f>
        <v>10</v>
      </c>
      <c r="BE651" s="267">
        <f>FMS_Ranking4[[#This Row],[FMS_Type Score]]*$BD$5*10</f>
        <v>2.5</v>
      </c>
      <c r="BF65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6.1760490284172168E-3</v>
      </c>
      <c r="BG651" s="321">
        <f>_xlfn.RANK.EQ(BF651,$BF$8:$BF$870,0)+COUNTIF($BF$8:BF651,BF651)-1</f>
        <v>679</v>
      </c>
      <c r="BH651" s="294">
        <f>(((FMS_Ranking4[[#This Row],[Structures Removed Raw]]/AK$4)*100)*AK$5)+(((FMS_Ranking4[[#This Row],[Removed Pop Raw]]/AR$4)*100)*AR$5)</f>
        <v>0</v>
      </c>
      <c r="BI65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2.5061760490284173</v>
      </c>
      <c r="BJ651" s="251">
        <f>_xlfn.RANK.EQ(FMS_Ranking4[[#This Row],[Total Score 
(with linear
normalization)]],FMS_Ranking4[Total Score 
(with linear
normalization)],0)</f>
        <v>250</v>
      </c>
      <c r="BK651" s="251" t="e">
        <f>_xlfn.XLOOKUP(FMS_Ranking4[[#This Row],[FMS ID]],#REF!,#REF!)</f>
        <v>#REF!</v>
      </c>
      <c r="BL65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9.6921900797053979</v>
      </c>
      <c r="BM651" s="324">
        <f>FMS_Ranking4[[#This Row],[ArcSinh Score Based on Normalized Reported Factors]]+FMS_Ranking4[[#This Row],[% NBS Score (Normalized)]]+(FMS_Ranking4[[#This Row],[Water Supply Score (Normalized)]]*10*$BB$5)+FMS_Ranking4[[#This Row],[FMS_Type Score Weighted]]</f>
        <v>12.192190079705398</v>
      </c>
      <c r="BN651" s="251">
        <f>_xlfn.RANK.EQ(FMS_Ranking4[[#This Row],[Total Score (with ArcSinh normalization of select criteria)]],FMS_Ranking4[Total Score (with ArcSinh normalization of select criteria)],0)</f>
        <v>644</v>
      </c>
      <c r="BO651" s="270" t="str">
        <f>_xlfn.XLOOKUP(FMS_Ranking4[[#This Row],[FMS ID]],FMS_Input[FMS_ID],FMS_Input[FMS_RANK_YEAR])</f>
        <v>2023 Amended Plan</v>
      </c>
      <c r="BP651" s="204">
        <f>_xlfn.XLOOKUP(FMS_Ranking4[[#This Row],[FMS ID]],Prev_Rank[FMS ID],Prev_Rank[Prev Rank])</f>
        <v>574</v>
      </c>
      <c r="BQ651" s="251" t="e">
        <f>_xlfn.XLOOKUP(FMS_Ranking4[[#This Row],[FMS ID]],#REF!,#REF!)</f>
        <v>#REF!</v>
      </c>
      <c r="BR651" s="199" t="e">
        <f>SUM(#REF!,#REF!,#REF!,#REF!,#REF!,#REF!,#REF!,#REF!,#REF!,FMS_Ranking4[[#This Row],[ArcSinh Res struct removed 0-10]],#REF!)</f>
        <v>#REF!</v>
      </c>
      <c r="BS651" s="199" t="e">
        <f>FMS_Ranking4[[#This Row],[Log Score Based on Normalized Reported Factors]]+FMS_Ranking4[[#This Row],[% NBS Score (Normalized)]]+(FMS_Ranking4[[#This Row],[Water Supply Score (Normalized)]]*10*$BB$5)+(FMS_Ranking4[[#This Row],[FMS_Type Score Weighted]])</f>
        <v>#REF!</v>
      </c>
      <c r="BT651" s="200" t="e">
        <f>_xlfn.RANK.EQ(FMS_Ranking4[[#This Row],[Log Total Score]],FMS_Ranking4[Log Total Score],0)</f>
        <v>#REF!</v>
      </c>
      <c r="BU651" s="200" t="e">
        <f>_xlfn.XLOOKUP(FMS_Ranking4[[#This Row],[FMS ID]],#REF!,#REF!)</f>
        <v>#REF!</v>
      </c>
      <c r="BV651" s="200">
        <f>FMS_Ranking4[[#This Row],[Region Number]]</f>
        <v>3</v>
      </c>
      <c r="BW651" s="200">
        <f>FMS_Ranking4[[#This Row],[Rank (with ArcSinh normalization of select criteria)]]-FMS_Ranking4[[#This Row],[Rank
(with linear
normalization)]]</f>
        <v>394</v>
      </c>
      <c r="BX651" s="200" t="e">
        <f>FMS_Ranking4[[#This Row],[Log Rank]]-FMS_Ranking4[[#This Row],[Rank
(with linear
normalization)]]</f>
        <v>#REF!</v>
      </c>
      <c r="BY651" s="200">
        <f>IF(FMS_Ranking4[[#This Row],[FMS Type]]="Flood Measurement and Warning",FMS_Ranking4[[#This Row],[Rank (with ArcSinh normalization of select criteria)]],"")</f>
        <v>644</v>
      </c>
      <c r="BZ651" s="200" t="str">
        <f>IF(FMS_Ranking4[[#This Row],[FMS Type]]="Regulatory and Guidance",FMS_Ranking4[[#This Row],[Rank (with ArcSinh normalization of select criteria)]],"")</f>
        <v/>
      </c>
      <c r="CA651" s="200" t="str">
        <f>IF(FMS_Ranking4[[#This Row],[FMS Type]]="Education and Outreach",FMS_Ranking4[[#This Row],[Rank (with ArcSinh normalization of select criteria)]],"")</f>
        <v/>
      </c>
      <c r="CB651" s="200" t="str">
        <f>IF(FMS_Ranking4[[#This Row],[FMS Type]]="Property Acquisition and Structural Elevation",FMS_Ranking4[[#This Row],[Rank (with ArcSinh normalization of select criteria)]],"")</f>
        <v/>
      </c>
      <c r="CC651" s="200" t="str">
        <f>IF(FMS_Ranking4[[#This Row],[FMS Type]]="Infrastructure Projects",FMS_Ranking4[[#This Row],[Rank (with ArcSinh normalization of select criteria)]],"")</f>
        <v/>
      </c>
      <c r="CD651" s="200" t="str">
        <f>IF(FMS_Ranking4[[#This Row],[FMS Type]]="Other",FMS_Ranking4[[#This Row],[Rank (with ArcSinh normalization of select criteria)]],"")</f>
        <v/>
      </c>
      <c r="CE651" s="201"/>
      <c r="CF651" s="206"/>
      <c r="CG651" s="206"/>
      <c r="CH651" s="206"/>
      <c r="CI651" s="206"/>
      <c r="CJ651" s="206"/>
      <c r="CK651" s="206"/>
      <c r="CL651" s="206"/>
      <c r="CM651" s="206"/>
      <c r="CN651" s="206"/>
      <c r="CO651" s="206"/>
      <c r="CP651" s="206"/>
      <c r="CQ651" s="206"/>
      <c r="CR651" s="206"/>
    </row>
    <row r="652" spans="2:96" ht="45" x14ac:dyDescent="0.25">
      <c r="B652" s="341" t="s">
        <v>2468</v>
      </c>
      <c r="C652" s="246">
        <f>_xlfn.XLOOKUP(FMS_Ranking4[[#This Row],[FMS ID]],FMS_Input[FMS_ID],FMS_Input[RFPG_NUM])</f>
        <v>3</v>
      </c>
      <c r="D652" s="309" t="str">
        <f>_xlfn.XLOOKUP(FMS_Ranking4[[#This Row],[FMS ID]],FMS_Input[FMS_ID],FMS_Input[FMS_NAME])</f>
        <v>City of Lindsay Flood Monitoring System</v>
      </c>
      <c r="E652" s="308" t="str">
        <f>_xlfn.XLOOKUP(FMS_Ranking4[[#This Row],[FMS ID]],FMS_Input[FMS_ID],FMS_Input[SPONSOR])</f>
        <v>Lindsay</v>
      </c>
      <c r="F652" s="309" t="str">
        <f>_xlfn.XLOOKUP(FMS_Ranking4[[#This Row],[FMS ID]],Sponsor[FMS_ID],Sponsor[SPONSOR NAME])</f>
        <v>Lindsay</v>
      </c>
      <c r="G652" s="309" t="str">
        <f>_xlfn.XLOOKUP(FMS_Ranking4[[#This Row],[FMS ID]],FMS_Input[FMS_ID],FMS_Input[FMS_DESCR])</f>
        <v>Install flood monitoring equipment throughout the City of Lindsay.</v>
      </c>
      <c r="H652" s="248" t="str">
        <f>_xlfn.XLOOKUP(FMS_Ranking4[[#This Row],[FMS ID]],FMS_Input[FMS_ID],FMS_Input[FMS_TYPE])</f>
        <v>Flood Measurement and Warning</v>
      </c>
      <c r="I652" s="249">
        <f>_xlfn.XLOOKUP(FMS_Ranking4[[#This Row],[FMS ID]],FMS_Input[FMS_ID],FMS_Input[NRNC_COST])</f>
        <v>25000</v>
      </c>
      <c r="J652" s="250">
        <f>_xlfn.XLOOKUP(FMS_Ranking4[[#This Row],[FMS ID]],FMS_Input[FMS_ID],FMS_Input[FMS_COST])</f>
        <v>250000</v>
      </c>
      <c r="K652" s="251" t="str">
        <f>_xlfn.XLOOKUP(FMS_Ranking4[[#This Row],[FMS ID]],FMS_Input[FMS_ID],FMS_Input[EMER_NEED])</f>
        <v>No</v>
      </c>
      <c r="L652" s="252">
        <f t="shared" si="10"/>
        <v>0</v>
      </c>
      <c r="M652" s="253">
        <f>_xlfn.XLOOKUP(FMS_Ranking4[[#This Row],[FMS ID]],FMS_Input[FMS_ID],FMS_Input[STRUCT_100])</f>
        <v>36</v>
      </c>
      <c r="N652" s="255">
        <f>(ASINH(FMS_Ranking4[[#This Row],[Structure at Risk Raw]]))*(10)/(ASINH(M$4))</f>
        <v>3.3622479427828873</v>
      </c>
      <c r="O652" s="256">
        <f>FMS_Ranking4[[#This Row],[Structures at risk, ArcSinh (0-10)]]*M$5*10</f>
        <v>3.3622479427828877</v>
      </c>
      <c r="P652" s="253">
        <f>_xlfn.XLOOKUP(FMS_Ranking4[[#This Row],[FMS ID]],FMS_Input[FMS_ID],FMS_Input[RES_STRUCT100])</f>
        <v>24</v>
      </c>
      <c r="Q652" s="257">
        <f>ASINH(FMS_Ranking4[[#This Row],[Res Structure Raw]])/Q$4*P$5*100</f>
        <v>0</v>
      </c>
      <c r="R652" s="253">
        <f>_xlfn.XLOOKUP(FMS_Ranking4[[#This Row],[FMS ID]],FMS_Input[FMS_ID],FMS_Input[POP100])</f>
        <v>37</v>
      </c>
      <c r="S652" s="259">
        <f>(ASINH(FMS_Ranking4[[#This Row],[Pop at Risk Raw]]))*(10)/(ASINH(R$4))</f>
        <v>2.9714727428838379</v>
      </c>
      <c r="T652" s="256">
        <f>FMS_Ranking4[[#This Row],[Population at risk, ArcSinh (0-10)]]*R$5*10</f>
        <v>2.9714727428838379</v>
      </c>
      <c r="U652" s="253">
        <f>_xlfn.XLOOKUP(FMS_Ranking4[[#This Row],[FMS ID]],FMS_Input[FMS_ID],FMS_Input[CRITFAC100])</f>
        <v>0</v>
      </c>
      <c r="V652" s="259">
        <f>(ASINH(FMS_Ranking4[[#This Row],[Critical Facilities Raw]]))*(10)/(ASINH(U$4))</f>
        <v>0</v>
      </c>
      <c r="W652" s="256">
        <f>FMS_Ranking4[[#This Row],[Critical facilities at risk, ArcSinh (0-10)]]*U$5*10</f>
        <v>0</v>
      </c>
      <c r="X652" s="253">
        <f>_xlfn.XLOOKUP(FMS_Ranking4[[#This Row],[FMS ID]],FMS_Input[FMS_ID],FMS_Input[LWC])</f>
        <v>0</v>
      </c>
      <c r="Y652" s="259">
        <f>(ASINH(FMS_Ranking4[[#This Row],[LWC Raw]]))*(10)/(ASINH(X$4))</f>
        <v>0</v>
      </c>
      <c r="Z652" s="256">
        <f>FMS_Ranking4[[#This Row],[LWC, ArcSInh (0-10)]]*X$5*10</f>
        <v>0</v>
      </c>
      <c r="AA652" s="253">
        <f>_xlfn.XLOOKUP(FMS_Ranking4[[#This Row],[FMS ID]],FMS_Input[FMS_ID],FMS_Input[ROADCLS])</f>
        <v>0</v>
      </c>
      <c r="AB652" s="255">
        <f>(ASINH(FMS_Ranking4[[#This Row],[Road Closures Raw]]))*(10)/(ASINH(AA$4))</f>
        <v>0</v>
      </c>
      <c r="AC652" s="256">
        <f>FMS_Ranking4[[#This Row],[Road closures, ArcSinh (0-10)]]*AA$5*10</f>
        <v>0</v>
      </c>
      <c r="AD652" s="253">
        <f>_xlfn.XLOOKUP(FMS_Ranking4[[#This Row],[FMS ID]],FMS_Input[FMS_ID],FMS_Input[ROAD_MILES100])</f>
        <v>2</v>
      </c>
      <c r="AE652" s="259">
        <f>(ASINH(FMS_Ranking4[[#This Row],[Road Miles Raw]]))*(10)/(ASINH(AD$4))</f>
        <v>1.5385182374234352</v>
      </c>
      <c r="AF652" s="256">
        <f>FMS_Ranking4[[#This Row],[Length of roads at risk, ArcSinh (0-10)]]*AD$5*10</f>
        <v>1.5385182374234352</v>
      </c>
      <c r="AG652" s="253">
        <f>_xlfn.XLOOKUP(FMS_Ranking4[[#This Row],[FMS ID]],FMS_Input[FMS_ID],FMS_Input[FARMACRE100])</f>
        <v>135.67970275878909</v>
      </c>
      <c r="AH652" s="255">
        <f>(ASINH(FMS_Ranking4[[#This Row],[Ag Land Raw]]))*(10)/(ASINH(AG$4))</f>
        <v>3.6399023132304738</v>
      </c>
      <c r="AI652" s="260">
        <f>FMS_Ranking4[[#This Row],[Farm &amp; ranch land, ArcSinh (0-10)]]*AG$5*10</f>
        <v>1.8199511566152371</v>
      </c>
      <c r="AJ652" s="258">
        <f>_xlfn.XLOOKUP(FMS_Ranking4[[#This Row],[FMS ID]],FMS_Input[FMS_ID],FMS_Input[REDSTRUCT100])</f>
        <v>0</v>
      </c>
      <c r="AK652" s="253">
        <f>_xlfn.XLOOKUP(FMS_Ranking4[[#This Row],[FMS ID]],FMS_Input[FMS_ID],FMS_Input[REMSTRC100])</f>
        <v>0</v>
      </c>
      <c r="AL652" s="259">
        <f>(ASINH(FMS_Ranking4[[#This Row],[Structures Removed Raw]]))*(10)/(ASINH(AK$4))</f>
        <v>0</v>
      </c>
      <c r="AM652" s="262">
        <f>FMS_Ranking4[[#This Row],[Structures removed, ArcSinh (0-10)]]*AK$5*10</f>
        <v>0</v>
      </c>
      <c r="AN652" s="253">
        <f>_xlfn.XLOOKUP(FMS_Ranking4[[#This Row],[FMS ID]],FMS_Input[FMS_ID],FMS_Input[REMRESSTRC100])</f>
        <v>0</v>
      </c>
      <c r="AO652" s="261">
        <f>FMS_Ranking4[[#This Row],[ArcSinh Res struct removed 0-10]]*AN$5*10</f>
        <v>0</v>
      </c>
      <c r="AP652" s="260">
        <f>ASINH(FMS_Ranking4[[#This Row],[Residential Structures Removed Raw]])/AP$4*AN$5*100</f>
        <v>0</v>
      </c>
      <c r="AQ652" s="254">
        <f>(ASINH(FMS_Ranking4[[#This Row],[Residential Structures Removed Raw]]))*(10)/(ASINH(AN$4))</f>
        <v>0</v>
      </c>
      <c r="AR652" s="253">
        <f>_xlfn.XLOOKUP(FMS_Ranking4[[#This Row],[FMS ID]],FMS_Input[FMS_ID],FMS_Input[REMPOP100])</f>
        <v>0</v>
      </c>
      <c r="AS652" s="259">
        <f>(ASINH(FMS_Ranking4[[#This Row],[Removed Pop Raw]]))*(10)/(ASINH(AR$4))</f>
        <v>0</v>
      </c>
      <c r="AT652" s="262">
        <f>FMS_Ranking4[[#This Row],[Removed population, ArcSinh (0-10)]]*AR$5*10</f>
        <v>0</v>
      </c>
      <c r="AU652" s="264">
        <f>_xlfn.XLOOKUP(FMS_Ranking4[[#This Row],[FMS ID]],FMS_Input[FMS_ID],FMS_Input[REMCRITFAC100])</f>
        <v>0</v>
      </c>
      <c r="AV652" s="264">
        <f>_xlfn.XLOOKUP(FMS_Ranking4[[#This Row],[FMS ID]],FMS_Input[FMS_ID],FMS_Input[REMLWC100])</f>
        <v>0</v>
      </c>
      <c r="AW652" s="264">
        <f>_xlfn.XLOOKUP(FMS_Ranking4[[#This Row],[FMS ID]],FMS_Input[FMS_ID],FMS_Input[REMROADCLS])</f>
        <v>0</v>
      </c>
      <c r="AX652" s="264">
        <f>_xlfn.XLOOKUP(FMS_Ranking4[[#This Row],[FMS ID]],FMS_Input[FMS_ID],FMS_Input[REMFRMACRE100])</f>
        <v>0</v>
      </c>
      <c r="AY652" s="258">
        <f>_xlfn.XLOOKUP(FMS_Ranking4[[#This Row],[FMS ID]],FMS_Input[FMS_ID],FMS_Input[COSTSTRUCT])</f>
        <v>0</v>
      </c>
      <c r="AZ652" s="253">
        <f>_xlfn.XLOOKUP(FMS_Ranking4[[#This Row],[FMS ID]],FMS_Input[FMS_ID],FMS_Input[NATURE])</f>
        <v>0</v>
      </c>
      <c r="BA652" s="262">
        <f>(((FMS_Ranking4[[#This Row],[% NBS Raw]]/AZ$4)*100)*AZ$5)</f>
        <v>0</v>
      </c>
      <c r="BB652" s="251" t="str">
        <f>_xlfn.XLOOKUP(FMS_Ranking4[[#This Row],[FMS ID]],FMS_Input[FMS_ID],FMS_Input[WATER_SUP])</f>
        <v>No</v>
      </c>
      <c r="BC652" s="265">
        <f>IF(FMS_Ranking4[[#This Row],[Water Supply Raw]]="Yes",10,0)</f>
        <v>0</v>
      </c>
      <c r="BD652" s="266">
        <f>_xlfn.XLOOKUP(FMS_Ranking4[[#This Row],[FMS Type]],FMS_TYPE[FMS_Type],FMS_TYPE[Score])</f>
        <v>10</v>
      </c>
      <c r="BE652" s="267">
        <f>FMS_Ranking4[[#This Row],[FMS_Type Score]]*$BD$5*10</f>
        <v>2.5</v>
      </c>
      <c r="BF65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6.1760490284172168E-3</v>
      </c>
      <c r="BG652" s="271">
        <f>_xlfn.RANK.EQ(BF652,$BF$8:$BF$870,0)+COUNTIF($BF$8:BF652,BF652)-1</f>
        <v>680</v>
      </c>
      <c r="BH652" s="268">
        <f>(((FMS_Ranking4[[#This Row],[Structures Removed Raw]]/AK$4)*100)*AK$5)+(((FMS_Ranking4[[#This Row],[Removed Pop Raw]]/AR$4)*100)*AR$5)</f>
        <v>0</v>
      </c>
      <c r="BI65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2.5061760490284173</v>
      </c>
      <c r="BJ652" s="205">
        <f>_xlfn.RANK.EQ(FMS_Ranking4[[#This Row],[Total Score 
(with linear
normalization)]],FMS_Ranking4[Total Score 
(with linear
normalization)],0)</f>
        <v>250</v>
      </c>
      <c r="BK652" s="205" t="e">
        <f>_xlfn.XLOOKUP(FMS_Ranking4[[#This Row],[FMS ID]],#REF!,#REF!)</f>
        <v>#REF!</v>
      </c>
      <c r="BL65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9.6921900797053979</v>
      </c>
      <c r="BM652" s="272">
        <f>FMS_Ranking4[[#This Row],[ArcSinh Score Based on Normalized Reported Factors]]+FMS_Ranking4[[#This Row],[% NBS Score (Normalized)]]+(FMS_Ranking4[[#This Row],[Water Supply Score (Normalized)]]*10*$BB$5)+FMS_Ranking4[[#This Row],[FMS_Type Score Weighted]]</f>
        <v>12.192190079705398</v>
      </c>
      <c r="BN652" s="205">
        <f>_xlfn.RANK.EQ(FMS_Ranking4[[#This Row],[Total Score (with ArcSinh normalization of select criteria)]],FMS_Ranking4[Total Score (with ArcSinh normalization of select criteria)],0)</f>
        <v>644</v>
      </c>
      <c r="BO652" s="270" t="str">
        <f>_xlfn.XLOOKUP(FMS_Ranking4[[#This Row],[FMS ID]],FMS_Input[FMS_ID],FMS_Input[FMS_RANK_YEAR])</f>
        <v>2023 Amended Plan</v>
      </c>
      <c r="BP652" s="204">
        <f>_xlfn.XLOOKUP(FMS_Ranking4[[#This Row],[FMS ID]],Prev_Rank[FMS ID],Prev_Rank[Prev Rank])</f>
        <v>574</v>
      </c>
      <c r="BQ652" s="205" t="e">
        <f>_xlfn.XLOOKUP(FMS_Ranking4[[#This Row],[FMS ID]],#REF!,#REF!)</f>
        <v>#REF!</v>
      </c>
      <c r="BR652" s="199" t="e">
        <f>SUM(#REF!,#REF!,#REF!,#REF!,#REF!,#REF!,#REF!,#REF!,#REF!,FMS_Ranking4[[#This Row],[ArcSinh Res struct removed 0-10]],#REF!)</f>
        <v>#REF!</v>
      </c>
      <c r="BS652" s="199" t="e">
        <f>FMS_Ranking4[[#This Row],[Log Score Based on Normalized Reported Factors]]+FMS_Ranking4[[#This Row],[% NBS Score (Normalized)]]+(FMS_Ranking4[[#This Row],[Water Supply Score (Normalized)]]*10*$BB$5)+(FMS_Ranking4[[#This Row],[FMS_Type Score Weighted]])</f>
        <v>#REF!</v>
      </c>
      <c r="BT652" s="200" t="e">
        <f>_xlfn.RANK.EQ(FMS_Ranking4[[#This Row],[Log Total Score]],FMS_Ranking4[Log Total Score],0)</f>
        <v>#REF!</v>
      </c>
      <c r="BU652" s="200" t="e">
        <f>_xlfn.XLOOKUP(FMS_Ranking4[[#This Row],[FMS ID]],#REF!,#REF!)</f>
        <v>#REF!</v>
      </c>
      <c r="BV652" s="200">
        <f>FMS_Ranking4[[#This Row],[Region Number]]</f>
        <v>3</v>
      </c>
      <c r="BW652" s="200">
        <f>FMS_Ranking4[[#This Row],[Rank (with ArcSinh normalization of select criteria)]]-FMS_Ranking4[[#This Row],[Rank
(with linear
normalization)]]</f>
        <v>394</v>
      </c>
      <c r="BX652" s="200" t="e">
        <f>FMS_Ranking4[[#This Row],[Log Rank]]-FMS_Ranking4[[#This Row],[Rank
(with linear
normalization)]]</f>
        <v>#REF!</v>
      </c>
      <c r="BY652" s="200">
        <f>IF(FMS_Ranking4[[#This Row],[FMS Type]]="Flood Measurement and Warning",FMS_Ranking4[[#This Row],[Rank (with ArcSinh normalization of select criteria)]],"")</f>
        <v>644</v>
      </c>
      <c r="BZ652" s="200" t="str">
        <f>IF(FMS_Ranking4[[#This Row],[FMS Type]]="Regulatory and Guidance",FMS_Ranking4[[#This Row],[Rank (with ArcSinh normalization of select criteria)]],"")</f>
        <v/>
      </c>
      <c r="CA652" s="200" t="str">
        <f>IF(FMS_Ranking4[[#This Row],[FMS Type]]="Education and Outreach",FMS_Ranking4[[#This Row],[Rank (with ArcSinh normalization of select criteria)]],"")</f>
        <v/>
      </c>
      <c r="CB652" s="200" t="str">
        <f>IF(FMS_Ranking4[[#This Row],[FMS Type]]="Property Acquisition and Structural Elevation",FMS_Ranking4[[#This Row],[Rank (with ArcSinh normalization of select criteria)]],"")</f>
        <v/>
      </c>
      <c r="CC652" s="200" t="str">
        <f>IF(FMS_Ranking4[[#This Row],[FMS Type]]="Infrastructure Projects",FMS_Ranking4[[#This Row],[Rank (with ArcSinh normalization of select criteria)]],"")</f>
        <v/>
      </c>
      <c r="CD652" s="200" t="str">
        <f>IF(FMS_Ranking4[[#This Row],[FMS Type]]="Other",FMS_Ranking4[[#This Row],[Rank (with ArcSinh normalization of select criteria)]],"")</f>
        <v/>
      </c>
      <c r="CE652" s="201"/>
      <c r="CF652" s="206"/>
      <c r="CG652" s="206"/>
      <c r="CH652" s="206"/>
      <c r="CI652" s="206"/>
      <c r="CJ652" s="206"/>
      <c r="CK652" s="206"/>
      <c r="CL652" s="206"/>
      <c r="CM652" s="206"/>
      <c r="CN652" s="206"/>
      <c r="CO652" s="206"/>
      <c r="CP652" s="206"/>
      <c r="CQ652" s="206"/>
      <c r="CR652" s="206"/>
    </row>
    <row r="653" spans="2:96" ht="30" x14ac:dyDescent="0.25">
      <c r="B653" s="341" t="s">
        <v>905</v>
      </c>
      <c r="C653" s="246">
        <f>_xlfn.XLOOKUP(FMS_Ranking4[[#This Row],[FMS ID]],FMS_Input[FMS_ID],FMS_Input[RFPG_NUM])</f>
        <v>9</v>
      </c>
      <c r="D653" s="309" t="str">
        <f>_xlfn.XLOOKUP(FMS_Ranking4[[#This Row],[FMS ID]],FMS_Input[FMS_ID],FMS_Input[FMS_NAME])</f>
        <v>Town of Paint Rock NFIP Application</v>
      </c>
      <c r="E653" s="308" t="str">
        <f>_xlfn.XLOOKUP(FMS_Ranking4[[#This Row],[FMS ID]],FMS_Input[FMS_ID],FMS_Input[SPONSOR])</f>
        <v>09002653</v>
      </c>
      <c r="F653" s="309" t="str">
        <f>_xlfn.XLOOKUP(FMS_Ranking4[[#This Row],[FMS ID]],Sponsor[FMS_ID],Sponsor[SPONSOR NAME])</f>
        <v>Paint Rock</v>
      </c>
      <c r="G653" s="309" t="str">
        <f>_xlfn.XLOOKUP(FMS_Ranking4[[#This Row],[FMS ID]],FMS_Input[FMS_ID],FMS_Input[FMS_DESCR])</f>
        <v xml:space="preserve">Join the National Flood Insurance Program (NFIP). </v>
      </c>
      <c r="H653" s="248" t="str">
        <f>_xlfn.XLOOKUP(FMS_Ranking4[[#This Row],[FMS ID]],FMS_Input[FMS_ID],FMS_Input[FMS_TYPE])</f>
        <v>Other</v>
      </c>
      <c r="I653" s="249">
        <f>_xlfn.XLOOKUP(FMS_Ranking4[[#This Row],[FMS ID]],FMS_Input[FMS_ID],FMS_Input[NRNC_COST])</f>
        <v>5000</v>
      </c>
      <c r="J653" s="250">
        <f>_xlfn.XLOOKUP(FMS_Ranking4[[#This Row],[FMS ID]],FMS_Input[FMS_ID],FMS_Input[FMS_COST])</f>
        <v>30000</v>
      </c>
      <c r="K653" s="251" t="str">
        <f>_xlfn.XLOOKUP(FMS_Ranking4[[#This Row],[FMS ID]],FMS_Input[FMS_ID],FMS_Input[EMER_NEED])</f>
        <v>No</v>
      </c>
      <c r="L653" s="252">
        <f t="shared" si="10"/>
        <v>0</v>
      </c>
      <c r="M653" s="253">
        <f>_xlfn.XLOOKUP(FMS_Ranking4[[#This Row],[FMS ID]],FMS_Input[FMS_ID],FMS_Input[STRUCT_100])</f>
        <v>9</v>
      </c>
      <c r="N653" s="255">
        <f>(ASINH(FMS_Ranking4[[#This Row],[Structure at Risk Raw]]))*(10)/(ASINH(M$4))</f>
        <v>2.2746777880562381</v>
      </c>
      <c r="O653" s="256">
        <f>FMS_Ranking4[[#This Row],[Structures at risk, ArcSinh (0-10)]]*M$5*10</f>
        <v>2.2746777880562381</v>
      </c>
      <c r="P653" s="253">
        <f>_xlfn.XLOOKUP(FMS_Ranking4[[#This Row],[FMS ID]],FMS_Input[FMS_ID],FMS_Input[RES_STRUCT100])</f>
        <v>7</v>
      </c>
      <c r="Q653" s="257">
        <f>ASINH(FMS_Ranking4[[#This Row],[Res Structure Raw]])/Q$4*P$5*100</f>
        <v>0</v>
      </c>
      <c r="R653" s="253">
        <f>_xlfn.XLOOKUP(FMS_Ranking4[[#This Row],[FMS ID]],FMS_Input[FMS_ID],FMS_Input[POP100])</f>
        <v>7</v>
      </c>
      <c r="S653" s="259">
        <f>(ASINH(FMS_Ranking4[[#This Row],[Pop at Risk Raw]]))*(10)/(ASINH(R$4))</f>
        <v>1.8253904965994052</v>
      </c>
      <c r="T653" s="256">
        <f>FMS_Ranking4[[#This Row],[Population at risk, ArcSinh (0-10)]]*R$5*10</f>
        <v>1.8253904965994052</v>
      </c>
      <c r="U653" s="253">
        <f>_xlfn.XLOOKUP(FMS_Ranking4[[#This Row],[FMS ID]],FMS_Input[FMS_ID],FMS_Input[CRITFAC100])</f>
        <v>0</v>
      </c>
      <c r="V653" s="259">
        <f>(ASINH(FMS_Ranking4[[#This Row],[Critical Facilities Raw]]))*(10)/(ASINH(U$4))</f>
        <v>0</v>
      </c>
      <c r="W653" s="256">
        <f>FMS_Ranking4[[#This Row],[Critical facilities at risk, ArcSinh (0-10)]]*U$5*10</f>
        <v>0</v>
      </c>
      <c r="X653" s="253">
        <f>_xlfn.XLOOKUP(FMS_Ranking4[[#This Row],[FMS ID]],FMS_Input[FMS_ID],FMS_Input[LWC])</f>
        <v>1</v>
      </c>
      <c r="Y653" s="259">
        <f>(ASINH(FMS_Ranking4[[#This Row],[LWC Raw]]))*(10)/(ASINH(X$4))</f>
        <v>1.1940300948531093</v>
      </c>
      <c r="Z653" s="256">
        <f>FMS_Ranking4[[#This Row],[LWC, ArcSInh (0-10)]]*X$5*10</f>
        <v>1.1940300948531093</v>
      </c>
      <c r="AA653" s="253">
        <f>_xlfn.XLOOKUP(FMS_Ranking4[[#This Row],[FMS ID]],FMS_Input[FMS_ID],FMS_Input[ROADCLS])</f>
        <v>0</v>
      </c>
      <c r="AB653" s="255">
        <f>(ASINH(FMS_Ranking4[[#This Row],[Road Closures Raw]]))*(10)/(ASINH(AA$4))</f>
        <v>0</v>
      </c>
      <c r="AC653" s="256">
        <f>FMS_Ranking4[[#This Row],[Road closures, ArcSinh (0-10)]]*AA$5*10</f>
        <v>0</v>
      </c>
      <c r="AD653" s="253">
        <f>_xlfn.XLOOKUP(FMS_Ranking4[[#This Row],[FMS ID]],FMS_Input[FMS_ID],FMS_Input[ROAD_MILES100])</f>
        <v>1</v>
      </c>
      <c r="AE653" s="259">
        <f>(ASINH(FMS_Ranking4[[#This Row],[Road Miles Raw]]))*(10)/(ASINH(AD$4))</f>
        <v>0.9393017565219649</v>
      </c>
      <c r="AF653" s="256">
        <f>FMS_Ranking4[[#This Row],[Length of roads at risk, ArcSinh (0-10)]]*AD$5*10</f>
        <v>0.93930175652196501</v>
      </c>
      <c r="AG653" s="253">
        <f>_xlfn.XLOOKUP(FMS_Ranking4[[#This Row],[FMS ID]],FMS_Input[FMS_ID],FMS_Input[FARMACRE100])</f>
        <v>139.32440185546881</v>
      </c>
      <c r="AH653" s="255">
        <f>(ASINH(FMS_Ranking4[[#This Row],[Ag Land Raw]]))*(10)/(ASINH(AG$4))</f>
        <v>3.6571210016584184</v>
      </c>
      <c r="AI653" s="260">
        <f>FMS_Ranking4[[#This Row],[Farm &amp; ranch land, ArcSinh (0-10)]]*AG$5*10</f>
        <v>1.8285605008292094</v>
      </c>
      <c r="AJ653" s="258">
        <f>_xlfn.XLOOKUP(FMS_Ranking4[[#This Row],[FMS ID]],FMS_Input[FMS_ID],FMS_Input[REDSTRUCT100])</f>
        <v>3</v>
      </c>
      <c r="AK653" s="253">
        <f>_xlfn.XLOOKUP(FMS_Ranking4[[#This Row],[FMS ID]],FMS_Input[FMS_ID],FMS_Input[REMSTRC100])</f>
        <v>3</v>
      </c>
      <c r="AL653" s="259">
        <f>(ASINH(FMS_Ranking4[[#This Row],[Structures Removed Raw]]))*(10)/(ASINH(AK$4))</f>
        <v>2.0704310956893948</v>
      </c>
      <c r="AM653" s="262">
        <f>FMS_Ranking4[[#This Row],[Structures removed, ArcSinh (0-10)]]*AK$5*10</f>
        <v>2.0704310956893948</v>
      </c>
      <c r="AN653" s="253">
        <f>_xlfn.XLOOKUP(FMS_Ranking4[[#This Row],[FMS ID]],FMS_Input[FMS_ID],FMS_Input[REMRESSTRC100])</f>
        <v>1</v>
      </c>
      <c r="AO653" s="261">
        <f>FMS_Ranking4[[#This Row],[ArcSinh Res struct removed 0-10]]*AN$5*10</f>
        <v>0.51694893589195634</v>
      </c>
      <c r="AP653" s="260">
        <f>ASINH(FMS_Ranking4[[#This Row],[Residential Structures Removed Raw]])/AP$4*AN$5*100</f>
        <v>0.51694893589195634</v>
      </c>
      <c r="AQ653" s="254">
        <f>(ASINH(FMS_Ranking4[[#This Row],[Residential Structures Removed Raw]]))*(10)/(ASINH(AN$4))</f>
        <v>1.0338978717839127</v>
      </c>
      <c r="AR653" s="253">
        <f>_xlfn.XLOOKUP(FMS_Ranking4[[#This Row],[FMS ID]],FMS_Input[FMS_ID],FMS_Input[REMPOP100])</f>
        <v>1</v>
      </c>
      <c r="AS653" s="259">
        <f>(ASINH(FMS_Ranking4[[#This Row],[Removed Pop Raw]]))*(10)/(ASINH(AR$4))</f>
        <v>0.86517433076217742</v>
      </c>
      <c r="AT653" s="262">
        <f>FMS_Ranking4[[#This Row],[Removed population, ArcSinh (0-10)]]*AR$5*10</f>
        <v>0.86517433076217742</v>
      </c>
      <c r="AU653" s="264">
        <f>_xlfn.XLOOKUP(FMS_Ranking4[[#This Row],[FMS ID]],FMS_Input[FMS_ID],FMS_Input[REMCRITFAC100])</f>
        <v>0</v>
      </c>
      <c r="AV653" s="264">
        <f>_xlfn.XLOOKUP(FMS_Ranking4[[#This Row],[FMS ID]],FMS_Input[FMS_ID],FMS_Input[REMLWC100])</f>
        <v>0</v>
      </c>
      <c r="AW653" s="264">
        <f>_xlfn.XLOOKUP(FMS_Ranking4[[#This Row],[FMS ID]],FMS_Input[FMS_ID],FMS_Input[REMROADCLS])</f>
        <v>0</v>
      </c>
      <c r="AX653" s="264">
        <f>_xlfn.XLOOKUP(FMS_Ranking4[[#This Row],[FMS ID]],FMS_Input[FMS_ID],FMS_Input[REMFRMACRE100])</f>
        <v>34.831100463867188</v>
      </c>
      <c r="AY653" s="258">
        <f>_xlfn.XLOOKUP(FMS_Ranking4[[#This Row],[FMS ID]],FMS_Input[FMS_ID],FMS_Input[COSTSTRUCT])</f>
        <v>25000</v>
      </c>
      <c r="AZ653" s="253">
        <f>_xlfn.XLOOKUP(FMS_Ranking4[[#This Row],[FMS ID]],FMS_Input[FMS_ID],FMS_Input[NATURE])</f>
        <v>0</v>
      </c>
      <c r="BA653" s="262">
        <f>(((FMS_Ranking4[[#This Row],[% NBS Raw]]/AZ$4)*100)*AZ$5)</f>
        <v>0</v>
      </c>
      <c r="BB653" s="251" t="str">
        <f>_xlfn.XLOOKUP(FMS_Ranking4[[#This Row],[FMS ID]],FMS_Input[FMS_ID],FMS_Input[WATER_SUP])</f>
        <v>No</v>
      </c>
      <c r="BC653" s="265">
        <f>IF(FMS_Ranking4[[#This Row],[Water Supply Raw]]="Yes",10,0)</f>
        <v>0</v>
      </c>
      <c r="BD653" s="266">
        <f>_xlfn.XLOOKUP(FMS_Ranking4[[#This Row],[FMS Type]],FMS_TYPE[FMS_Type],FMS_TYPE[Score])</f>
        <v>2</v>
      </c>
      <c r="BE653" s="267">
        <f>FMS_Ranking4[[#This Row],[FMS_Type Score]]*$BD$5*10</f>
        <v>0.5</v>
      </c>
      <c r="BF65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1.5032783940754005E-2</v>
      </c>
      <c r="BG653" s="271">
        <f>_xlfn.RANK.EQ(BF653,$BF$8:$BF$870,0)+COUNTIF($BF$8:BF653,BF653)-1</f>
        <v>652</v>
      </c>
      <c r="BH653" s="268">
        <f>(((FMS_Ranking4[[#This Row],[Structures Removed Raw]]/AK$4)*100)*AK$5)+(((FMS_Ranking4[[#This Row],[Removed Pop Raw]]/AR$4)*100)*AR$5)</f>
        <v>9.9525873644671706E-3</v>
      </c>
      <c r="BI65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0.52498537130522116</v>
      </c>
      <c r="BJ653" s="205">
        <f>_xlfn.RANK.EQ(FMS_Ranking4[[#This Row],[Total Score 
(with linear
normalization)]],FMS_Ranking4[Total Score 
(with linear
normalization)],0)</f>
        <v>837</v>
      </c>
      <c r="BK653" s="205" t="e">
        <f>_xlfn.XLOOKUP(FMS_Ranking4[[#This Row],[FMS ID]],#REF!,#REF!)</f>
        <v>#REF!</v>
      </c>
      <c r="BL65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11.514514999203456</v>
      </c>
      <c r="BM653" s="272">
        <f>FMS_Ranking4[[#This Row],[ArcSinh Score Based on Normalized Reported Factors]]+FMS_Ranking4[[#This Row],[% NBS Score (Normalized)]]+(FMS_Ranking4[[#This Row],[Water Supply Score (Normalized)]]*10*$BB$5)+FMS_Ranking4[[#This Row],[FMS_Type Score Weighted]]</f>
        <v>12.014514999203456</v>
      </c>
      <c r="BN653" s="205">
        <f>_xlfn.RANK.EQ(FMS_Ranking4[[#This Row],[Total Score (with ArcSinh normalization of select criteria)]],FMS_Ranking4[Total Score (with ArcSinh normalization of select criteria)],0)</f>
        <v>646</v>
      </c>
      <c r="BO653" s="270" t="str">
        <f>_xlfn.XLOOKUP(FMS_Ranking4[[#This Row],[FMS ID]],FMS_Input[FMS_ID],FMS_Input[FMS_RANK_YEAR])</f>
        <v>2023 Amended Plan</v>
      </c>
      <c r="BP653" s="204">
        <f>_xlfn.XLOOKUP(FMS_Ranking4[[#This Row],[FMS ID]],Prev_Rank[FMS ID],Prev_Rank[Prev Rank])</f>
        <v>583</v>
      </c>
      <c r="BQ653" s="205" t="e">
        <f>_xlfn.XLOOKUP(FMS_Ranking4[[#This Row],[FMS ID]],#REF!,#REF!)</f>
        <v>#REF!</v>
      </c>
      <c r="BR653" s="199" t="e">
        <f>SUM(#REF!,#REF!,#REF!,#REF!,#REF!,#REF!,#REF!,#REF!,#REF!,FMS_Ranking4[[#This Row],[ArcSinh Res struct removed 0-10]],#REF!)</f>
        <v>#REF!</v>
      </c>
      <c r="BS653" s="199" t="e">
        <f>FMS_Ranking4[[#This Row],[Log Score Based on Normalized Reported Factors]]+FMS_Ranking4[[#This Row],[% NBS Score (Normalized)]]+(FMS_Ranking4[[#This Row],[Water Supply Score (Normalized)]]*10*$BB$5)+(FMS_Ranking4[[#This Row],[FMS_Type Score Weighted]])</f>
        <v>#REF!</v>
      </c>
      <c r="BT653" s="200" t="e">
        <f>_xlfn.RANK.EQ(FMS_Ranking4[[#This Row],[Log Total Score]],FMS_Ranking4[Log Total Score],0)</f>
        <v>#REF!</v>
      </c>
      <c r="BU653" s="200" t="e">
        <f>_xlfn.XLOOKUP(FMS_Ranking4[[#This Row],[FMS ID]],#REF!,#REF!)</f>
        <v>#REF!</v>
      </c>
      <c r="BV653" s="200">
        <f>FMS_Ranking4[[#This Row],[Region Number]]</f>
        <v>9</v>
      </c>
      <c r="BW653" s="200">
        <f>FMS_Ranking4[[#This Row],[Rank (with ArcSinh normalization of select criteria)]]-FMS_Ranking4[[#This Row],[Rank
(with linear
normalization)]]</f>
        <v>-191</v>
      </c>
      <c r="BX653" s="200" t="e">
        <f>FMS_Ranking4[[#This Row],[Log Rank]]-FMS_Ranking4[[#This Row],[Rank
(with linear
normalization)]]</f>
        <v>#REF!</v>
      </c>
      <c r="BY653" s="200" t="str">
        <f>IF(FMS_Ranking4[[#This Row],[FMS Type]]="Flood Measurement and Warning",FMS_Ranking4[[#This Row],[Rank (with ArcSinh normalization of select criteria)]],"")</f>
        <v/>
      </c>
      <c r="BZ653" s="200" t="str">
        <f>IF(FMS_Ranking4[[#This Row],[FMS Type]]="Regulatory and Guidance",FMS_Ranking4[[#This Row],[Rank (with ArcSinh normalization of select criteria)]],"")</f>
        <v/>
      </c>
      <c r="CA653" s="200" t="str">
        <f>IF(FMS_Ranking4[[#This Row],[FMS Type]]="Education and Outreach",FMS_Ranking4[[#This Row],[Rank (with ArcSinh normalization of select criteria)]],"")</f>
        <v/>
      </c>
      <c r="CB653" s="200" t="str">
        <f>IF(FMS_Ranking4[[#This Row],[FMS Type]]="Property Acquisition and Structural Elevation",FMS_Ranking4[[#This Row],[Rank (with ArcSinh normalization of select criteria)]],"")</f>
        <v/>
      </c>
      <c r="CC653" s="200" t="str">
        <f>IF(FMS_Ranking4[[#This Row],[FMS Type]]="Infrastructure Projects",FMS_Ranking4[[#This Row],[Rank (with ArcSinh normalization of select criteria)]],"")</f>
        <v/>
      </c>
      <c r="CD653" s="200">
        <f>IF(FMS_Ranking4[[#This Row],[FMS Type]]="Other",FMS_Ranking4[[#This Row],[Rank (with ArcSinh normalization of select criteria)]],"")</f>
        <v>646</v>
      </c>
      <c r="CE653" s="201"/>
      <c r="CF653" s="206"/>
      <c r="CG653" s="206"/>
      <c r="CH653" s="206"/>
      <c r="CI653" s="206"/>
      <c r="CJ653" s="206"/>
      <c r="CK653" s="206"/>
      <c r="CL653" s="206"/>
      <c r="CM653" s="206"/>
      <c r="CN653" s="206"/>
      <c r="CO653" s="206"/>
      <c r="CP653" s="206"/>
      <c r="CQ653" s="206"/>
      <c r="CR653" s="206"/>
    </row>
    <row r="654" spans="2:96" ht="30" x14ac:dyDescent="0.25">
      <c r="B654" s="341" t="s">
        <v>1689</v>
      </c>
      <c r="C654" s="246">
        <f>_xlfn.XLOOKUP(FMS_Ranking4[[#This Row],[FMS ID]],FMS_Input[FMS_ID],FMS_Input[RFPG_NUM])</f>
        <v>2</v>
      </c>
      <c r="D654" s="309" t="str">
        <f>_xlfn.XLOOKUP(FMS_Ranking4[[#This Row],[FMS ID]],FMS_Input[FMS_ID],FMS_Input[FMS_NAME])</f>
        <v>City of Whitewright CRS Involvement</v>
      </c>
      <c r="E654" s="308" t="str">
        <f>_xlfn.XLOOKUP(FMS_Ranking4[[#This Row],[FMS ID]],FMS_Input[FMS_ID],FMS_Input[SPONSOR])</f>
        <v>City of Whitewright</v>
      </c>
      <c r="F654" s="309" t="str">
        <f>_xlfn.XLOOKUP(FMS_Ranking4[[#This Row],[FMS ID]],Sponsor[FMS_ID],Sponsor[SPONSOR NAME])</f>
        <v>City of Whitewright</v>
      </c>
      <c r="G654" s="309" t="str">
        <f>_xlfn.XLOOKUP(FMS_Ranking4[[#This Row],[FMS ID]],FMS_Input[FMS_ID],FMS_Input[FMS_DESCR])</f>
        <v>Become an NFIP Community Rating System (CRS) Community</v>
      </c>
      <c r="H654" s="248" t="str">
        <f>_xlfn.XLOOKUP(FMS_Ranking4[[#This Row],[FMS ID]],FMS_Input[FMS_ID],FMS_Input[FMS_TYPE])</f>
        <v>Regulatory and Guidance</v>
      </c>
      <c r="I654" s="249">
        <f>_xlfn.XLOOKUP(FMS_Ranking4[[#This Row],[FMS ID]],FMS_Input[FMS_ID],FMS_Input[NRNC_COST])</f>
        <v>100000</v>
      </c>
      <c r="J654" s="250">
        <f>_xlfn.XLOOKUP(FMS_Ranking4[[#This Row],[FMS ID]],FMS_Input[FMS_ID],FMS_Input[FMS_COST])</f>
        <v>100000</v>
      </c>
      <c r="K654" s="251" t="str">
        <f>_xlfn.XLOOKUP(FMS_Ranking4[[#This Row],[FMS ID]],FMS_Input[FMS_ID],FMS_Input[EMER_NEED])</f>
        <v>No</v>
      </c>
      <c r="L654" s="252">
        <f t="shared" si="10"/>
        <v>0</v>
      </c>
      <c r="M654" s="253">
        <f>_xlfn.XLOOKUP(FMS_Ranking4[[#This Row],[FMS ID]],FMS_Input[FMS_ID],FMS_Input[STRUCT_100])</f>
        <v>17</v>
      </c>
      <c r="N654" s="255">
        <f>(ASINH(FMS_Ranking4[[#This Row],[Structure at Risk Raw]]))*(10)/(ASINH(M$4))</f>
        <v>2.7729236035479534</v>
      </c>
      <c r="O654" s="256">
        <f>FMS_Ranking4[[#This Row],[Structures at risk, ArcSinh (0-10)]]*M$5*10</f>
        <v>2.7729236035479539</v>
      </c>
      <c r="P654" s="253">
        <f>_xlfn.XLOOKUP(FMS_Ranking4[[#This Row],[FMS ID]],FMS_Input[FMS_ID],FMS_Input[RES_STRUCT100])</f>
        <v>13</v>
      </c>
      <c r="Q654" s="257">
        <f>ASINH(FMS_Ranking4[[#This Row],[Res Structure Raw]])/Q$4*P$5*100</f>
        <v>0</v>
      </c>
      <c r="R654" s="253">
        <f>_xlfn.XLOOKUP(FMS_Ranking4[[#This Row],[FMS ID]],FMS_Input[FMS_ID],FMS_Input[POP100])</f>
        <v>299</v>
      </c>
      <c r="S654" s="255">
        <f>(ASINH(FMS_Ranking4[[#This Row],[Pop at Risk Raw]]))*(10)/(ASINH(R$4))</f>
        <v>4.4138698495811912</v>
      </c>
      <c r="T654" s="256">
        <f>FMS_Ranking4[[#This Row],[Population at risk, ArcSinh (0-10)]]*R$5*10</f>
        <v>4.4138698495811912</v>
      </c>
      <c r="U654" s="253">
        <f>_xlfn.XLOOKUP(FMS_Ranking4[[#This Row],[FMS ID]],FMS_Input[FMS_ID],FMS_Input[CRITFAC100])</f>
        <v>1</v>
      </c>
      <c r="V654" s="255">
        <f>(ASINH(FMS_Ranking4[[#This Row],[Critical Facilities Raw]]))*(10)/(ASINH(U$4))</f>
        <v>1.0433384451410745</v>
      </c>
      <c r="W654" s="256">
        <f>FMS_Ranking4[[#This Row],[Critical facilities at risk, ArcSinh (0-10)]]*U$5*10</f>
        <v>1.0433384451410745</v>
      </c>
      <c r="X654" s="253">
        <f>_xlfn.XLOOKUP(FMS_Ranking4[[#This Row],[FMS ID]],FMS_Input[FMS_ID],FMS_Input[LWC])</f>
        <v>0</v>
      </c>
      <c r="Y654" s="255">
        <f>(ASINH(FMS_Ranking4[[#This Row],[LWC Raw]]))*(10)/(ASINH(X$4))</f>
        <v>0</v>
      </c>
      <c r="Z654" s="256">
        <f>FMS_Ranking4[[#This Row],[LWC, ArcSInh (0-10)]]*X$5*10</f>
        <v>0</v>
      </c>
      <c r="AA654" s="253">
        <f>_xlfn.XLOOKUP(FMS_Ranking4[[#This Row],[FMS ID]],FMS_Input[FMS_ID],FMS_Input[ROADCLS])</f>
        <v>0</v>
      </c>
      <c r="AB654" s="255">
        <f>(ASINH(FMS_Ranking4[[#This Row],[Road Closures Raw]]))*(10)/(ASINH(AA$4))</f>
        <v>0</v>
      </c>
      <c r="AC654" s="256">
        <f>FMS_Ranking4[[#This Row],[Road closures, ArcSinh (0-10)]]*AA$5*10</f>
        <v>0</v>
      </c>
      <c r="AD654" s="253">
        <f>_xlfn.XLOOKUP(FMS_Ranking4[[#This Row],[FMS ID]],FMS_Input[FMS_ID],FMS_Input[ROAD_MILES100])</f>
        <v>1</v>
      </c>
      <c r="AE654" s="255">
        <f>(ASINH(FMS_Ranking4[[#This Row],[Road Miles Raw]]))*(10)/(ASINH(AD$4))</f>
        <v>0.9393017565219649</v>
      </c>
      <c r="AF654" s="256">
        <f>FMS_Ranking4[[#This Row],[Length of roads at risk, ArcSinh (0-10)]]*AD$5*10</f>
        <v>0.93930175652196501</v>
      </c>
      <c r="AG654" s="253">
        <f>_xlfn.XLOOKUP(FMS_Ranking4[[#This Row],[FMS ID]],FMS_Input[FMS_ID],FMS_Input[FARMACRE100])</f>
        <v>6.1368775367736816</v>
      </c>
      <c r="AH654" s="255">
        <f>(ASINH(FMS_Ranking4[[#This Row],[Ag Land Raw]]))*(10)/(ASINH(AG$4))</f>
        <v>1.6330713483245236</v>
      </c>
      <c r="AI654" s="260">
        <f>FMS_Ranking4[[#This Row],[Farm &amp; ranch land, ArcSinh (0-10)]]*AG$5*10</f>
        <v>0.81653567416226192</v>
      </c>
      <c r="AJ654" s="258">
        <f>_xlfn.XLOOKUP(FMS_Ranking4[[#This Row],[FMS ID]],FMS_Input[FMS_ID],FMS_Input[REDSTRUCT100])</f>
        <v>0</v>
      </c>
      <c r="AK654" s="253">
        <f>_xlfn.XLOOKUP(FMS_Ranking4[[#This Row],[FMS ID]],FMS_Input[FMS_ID],FMS_Input[REMSTRC100])</f>
        <v>0</v>
      </c>
      <c r="AL654" s="255">
        <f>(ASINH(FMS_Ranking4[[#This Row],[Structures Removed Raw]]))*(10)/(ASINH(AK$4))</f>
        <v>0</v>
      </c>
      <c r="AM654" s="262">
        <f>FMS_Ranking4[[#This Row],[Structures removed, ArcSinh (0-10)]]*AK$5*10</f>
        <v>0</v>
      </c>
      <c r="AN654" s="253">
        <f>_xlfn.XLOOKUP(FMS_Ranking4[[#This Row],[FMS ID]],FMS_Input[FMS_ID],FMS_Input[REMRESSTRC100])</f>
        <v>0</v>
      </c>
      <c r="AO654" s="261">
        <f>FMS_Ranking4[[#This Row],[ArcSinh Res struct removed 0-10]]*AN$5*10</f>
        <v>0</v>
      </c>
      <c r="AP654" s="260">
        <f>ASINH(FMS_Ranking4[[#This Row],[Residential Structures Removed Raw]])/AP$4*AN$5*100</f>
        <v>0</v>
      </c>
      <c r="AQ654" s="258">
        <f>(ASINH(FMS_Ranking4[[#This Row],[Residential Structures Removed Raw]]))*(10)/(ASINH(AN$4))</f>
        <v>0</v>
      </c>
      <c r="AR654" s="253">
        <f>_xlfn.XLOOKUP(FMS_Ranking4[[#This Row],[FMS ID]],FMS_Input[FMS_ID],FMS_Input[REMPOP100])</f>
        <v>0</v>
      </c>
      <c r="AS654" s="255">
        <f>(ASINH(FMS_Ranking4[[#This Row],[Removed Pop Raw]]))*(10)/(ASINH(AR$4))</f>
        <v>0</v>
      </c>
      <c r="AT654" s="262">
        <f>FMS_Ranking4[[#This Row],[Removed population, ArcSinh (0-10)]]*AR$5*10</f>
        <v>0</v>
      </c>
      <c r="AU654" s="264">
        <f>_xlfn.XLOOKUP(FMS_Ranking4[[#This Row],[FMS ID]],FMS_Input[FMS_ID],FMS_Input[REMCRITFAC100])</f>
        <v>0</v>
      </c>
      <c r="AV654" s="264">
        <f>_xlfn.XLOOKUP(FMS_Ranking4[[#This Row],[FMS ID]],FMS_Input[FMS_ID],FMS_Input[REMLWC100])</f>
        <v>0</v>
      </c>
      <c r="AW654" s="264">
        <f>_xlfn.XLOOKUP(FMS_Ranking4[[#This Row],[FMS ID]],FMS_Input[FMS_ID],FMS_Input[REMROADCLS])</f>
        <v>0</v>
      </c>
      <c r="AX654" s="264">
        <f>_xlfn.XLOOKUP(FMS_Ranking4[[#This Row],[FMS ID]],FMS_Input[FMS_ID],FMS_Input[REMFRMACRE100])</f>
        <v>0</v>
      </c>
      <c r="AY654" s="258">
        <f>_xlfn.XLOOKUP(FMS_Ranking4[[#This Row],[FMS ID]],FMS_Input[FMS_ID],FMS_Input[COSTSTRUCT])</f>
        <v>0</v>
      </c>
      <c r="AZ654" s="253">
        <f>_xlfn.XLOOKUP(FMS_Ranking4[[#This Row],[FMS ID]],FMS_Input[FMS_ID],FMS_Input[NATURE])</f>
        <v>0</v>
      </c>
      <c r="BA654" s="262">
        <f>(((FMS_Ranking4[[#This Row],[% NBS Raw]]/AZ$4)*100)*AZ$5)</f>
        <v>0</v>
      </c>
      <c r="BB654" s="251" t="str">
        <f>_xlfn.XLOOKUP(FMS_Ranking4[[#This Row],[FMS ID]],FMS_Input[FMS_ID],FMS_Input[WATER_SUP])</f>
        <v>No</v>
      </c>
      <c r="BC654" s="265">
        <f>IF(FMS_Ranking4[[#This Row],[Water Supply Raw]]="Yes",10,0)</f>
        <v>0</v>
      </c>
      <c r="BD654" s="266">
        <f>_xlfn.XLOOKUP(FMS_Ranking4[[#This Row],[FMS Type]],FMS_TYPE[FMS_Type],FMS_TYPE[Score])</f>
        <v>8</v>
      </c>
      <c r="BE654" s="267">
        <f>FMS_Ranking4[[#This Row],[FMS_Type Score]]*$BD$5*10</f>
        <v>2</v>
      </c>
      <c r="BF65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1.0060651946571684E-2</v>
      </c>
      <c r="BG654" s="321">
        <f>_xlfn.RANK.EQ(BF654,$BF$8:$BF$870,0)+COUNTIF($BF$8:BF654,BF654)-1</f>
        <v>666</v>
      </c>
      <c r="BH654" s="294">
        <f>(((FMS_Ranking4[[#This Row],[Structures Removed Raw]]/AK$4)*100)*AK$5)+(((FMS_Ranking4[[#This Row],[Removed Pop Raw]]/AR$4)*100)*AR$5)</f>
        <v>0</v>
      </c>
      <c r="BI65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2.0100606519465716</v>
      </c>
      <c r="BJ654" s="251">
        <f>_xlfn.RANK.EQ(FMS_Ranking4[[#This Row],[Total Score 
(with linear
normalization)]],FMS_Ranking4[Total Score 
(with linear
normalization)],0)</f>
        <v>423</v>
      </c>
      <c r="BK654" s="251" t="e">
        <f>_xlfn.XLOOKUP(FMS_Ranking4[[#This Row],[FMS ID]],#REF!,#REF!)</f>
        <v>#REF!</v>
      </c>
      <c r="BL65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9.9859693289544467</v>
      </c>
      <c r="BM654" s="324">
        <f>FMS_Ranking4[[#This Row],[ArcSinh Score Based on Normalized Reported Factors]]+FMS_Ranking4[[#This Row],[% NBS Score (Normalized)]]+(FMS_Ranking4[[#This Row],[Water Supply Score (Normalized)]]*10*$BB$5)+FMS_Ranking4[[#This Row],[FMS_Type Score Weighted]]</f>
        <v>11.985969328954447</v>
      </c>
      <c r="BN654" s="251">
        <f>_xlfn.RANK.EQ(FMS_Ranking4[[#This Row],[Total Score (with ArcSinh normalization of select criteria)]],FMS_Ranking4[Total Score (with ArcSinh normalization of select criteria)],0)</f>
        <v>647</v>
      </c>
      <c r="BO654" s="270" t="str">
        <f>_xlfn.XLOOKUP(FMS_Ranking4[[#This Row],[FMS ID]],FMS_Input[FMS_ID],FMS_Input[FMS_RANK_YEAR])</f>
        <v>2023 Amended Plan</v>
      </c>
      <c r="BP654" s="204">
        <f>_xlfn.XLOOKUP(FMS_Ranking4[[#This Row],[FMS ID]],Prev_Rank[FMS ID],Prev_Rank[Prev Rank])</f>
        <v>577</v>
      </c>
      <c r="BQ654" s="251" t="e">
        <f>_xlfn.XLOOKUP(FMS_Ranking4[[#This Row],[FMS ID]],#REF!,#REF!)</f>
        <v>#REF!</v>
      </c>
      <c r="BR654" s="199" t="e">
        <f>SUM(#REF!,#REF!,#REF!,#REF!,#REF!,#REF!,#REF!,#REF!,#REF!,FMS_Ranking4[[#This Row],[ArcSinh Res struct removed 0-10]],#REF!)</f>
        <v>#REF!</v>
      </c>
      <c r="BS654" s="199" t="e">
        <f>FMS_Ranking4[[#This Row],[Log Score Based on Normalized Reported Factors]]+FMS_Ranking4[[#This Row],[% NBS Score (Normalized)]]+(FMS_Ranking4[[#This Row],[Water Supply Score (Normalized)]]*10*$BB$5)+(FMS_Ranking4[[#This Row],[FMS_Type Score Weighted]])</f>
        <v>#REF!</v>
      </c>
      <c r="BT654" s="200" t="e">
        <f>_xlfn.RANK.EQ(FMS_Ranking4[[#This Row],[Log Total Score]],FMS_Ranking4[Log Total Score],0)</f>
        <v>#REF!</v>
      </c>
      <c r="BU654" s="200" t="e">
        <f>_xlfn.XLOOKUP(FMS_Ranking4[[#This Row],[FMS ID]],#REF!,#REF!)</f>
        <v>#REF!</v>
      </c>
      <c r="BV654" s="200">
        <f>FMS_Ranking4[[#This Row],[Region Number]]</f>
        <v>2</v>
      </c>
      <c r="BW654" s="200">
        <f>FMS_Ranking4[[#This Row],[Rank (with ArcSinh normalization of select criteria)]]-FMS_Ranking4[[#This Row],[Rank
(with linear
normalization)]]</f>
        <v>224</v>
      </c>
      <c r="BX654" s="200" t="e">
        <f>FMS_Ranking4[[#This Row],[Log Rank]]-FMS_Ranking4[[#This Row],[Rank
(with linear
normalization)]]</f>
        <v>#REF!</v>
      </c>
      <c r="BY654" s="200" t="str">
        <f>IF(FMS_Ranking4[[#This Row],[FMS Type]]="Flood Measurement and Warning",FMS_Ranking4[[#This Row],[Rank (with ArcSinh normalization of select criteria)]],"")</f>
        <v/>
      </c>
      <c r="BZ654" s="200">
        <f>IF(FMS_Ranking4[[#This Row],[FMS Type]]="Regulatory and Guidance",FMS_Ranking4[[#This Row],[Rank (with ArcSinh normalization of select criteria)]],"")</f>
        <v>647</v>
      </c>
      <c r="CA654" s="200" t="str">
        <f>IF(FMS_Ranking4[[#This Row],[FMS Type]]="Education and Outreach",FMS_Ranking4[[#This Row],[Rank (with ArcSinh normalization of select criteria)]],"")</f>
        <v/>
      </c>
      <c r="CB654" s="200" t="str">
        <f>IF(FMS_Ranking4[[#This Row],[FMS Type]]="Property Acquisition and Structural Elevation",FMS_Ranking4[[#This Row],[Rank (with ArcSinh normalization of select criteria)]],"")</f>
        <v/>
      </c>
      <c r="CC654" s="200" t="str">
        <f>IF(FMS_Ranking4[[#This Row],[FMS Type]]="Infrastructure Projects",FMS_Ranking4[[#This Row],[Rank (with ArcSinh normalization of select criteria)]],"")</f>
        <v/>
      </c>
      <c r="CD654" s="200" t="str">
        <f>IF(FMS_Ranking4[[#This Row],[FMS Type]]="Other",FMS_Ranking4[[#This Row],[Rank (with ArcSinh normalization of select criteria)]],"")</f>
        <v/>
      </c>
      <c r="CE654" s="201"/>
      <c r="CF654" s="206"/>
      <c r="CG654" s="206"/>
      <c r="CH654" s="206"/>
      <c r="CI654" s="206"/>
      <c r="CJ654" s="206"/>
      <c r="CK654" s="206"/>
      <c r="CL654" s="206"/>
      <c r="CM654" s="206"/>
      <c r="CN654" s="206"/>
      <c r="CO654" s="206"/>
      <c r="CP654" s="206"/>
      <c r="CQ654" s="206"/>
      <c r="CR654" s="206"/>
    </row>
    <row r="655" spans="2:96" ht="90" x14ac:dyDescent="0.25">
      <c r="B655" s="341" t="s">
        <v>2831</v>
      </c>
      <c r="C655" s="246">
        <f>_xlfn.XLOOKUP(FMS_Ranking4[[#This Row],[FMS ID]],FMS_Input[FMS_ID],FMS_Input[RFPG_NUM])</f>
        <v>5</v>
      </c>
      <c r="D655" s="309" t="str">
        <f>_xlfn.XLOOKUP(FMS_Ranking4[[#This Row],[FMS ID]],FMS_Input[FMS_ID],FMS_Input[FMS_NAME])</f>
        <v>City of Whitehouse Drainage Capacity Upgrades</v>
      </c>
      <c r="E655" s="308" t="str">
        <f>_xlfn.XLOOKUP(FMS_Ranking4[[#This Row],[FMS ID]],FMS_Input[FMS_ID],FMS_Input[SPONSOR])</f>
        <v>05003033</v>
      </c>
      <c r="F655" s="309" t="str">
        <f>_xlfn.XLOOKUP(FMS_Ranking4[[#This Row],[FMS ID]],Sponsor[FMS_ID],Sponsor[SPONSOR NAME])</f>
        <v>Whitehouse</v>
      </c>
      <c r="G655" s="309" t="str">
        <f>_xlfn.XLOOKUP(FMS_Ranking4[[#This Row],[FMS ID]],FMS_Input[FMS_ID],FMS_Input[FMS_DESCR])</f>
        <v>Establish a plan to increase stormwater drainage capacity by completing a hydraulic study, evaluating historical water drainage, then constructing needed improvements.</v>
      </c>
      <c r="H655" s="248" t="str">
        <f>_xlfn.XLOOKUP(FMS_Ranking4[[#This Row],[FMS ID]],FMS_Input[FMS_ID],FMS_Input[FMS_TYPE])</f>
        <v>Infrastructure Projects</v>
      </c>
      <c r="I655" s="249">
        <f>_xlfn.XLOOKUP(FMS_Ranking4[[#This Row],[FMS ID]],FMS_Input[FMS_ID],FMS_Input[NRNC_COST])</f>
        <v>100000</v>
      </c>
      <c r="J655" s="250">
        <f>_xlfn.XLOOKUP(FMS_Ranking4[[#This Row],[FMS ID]],FMS_Input[FMS_ID],FMS_Input[FMS_COST])</f>
        <v>1000000</v>
      </c>
      <c r="K655" s="251" t="str">
        <f>_xlfn.XLOOKUP(FMS_Ranking4[[#This Row],[FMS ID]],FMS_Input[FMS_ID],FMS_Input[EMER_NEED])</f>
        <v>Yes</v>
      </c>
      <c r="L655" s="252">
        <f t="shared" si="10"/>
        <v>1</v>
      </c>
      <c r="M655" s="253">
        <f>_xlfn.XLOOKUP(FMS_Ranking4[[#This Row],[FMS ID]],FMS_Input[FMS_ID],FMS_Input[STRUCT_100])</f>
        <v>33</v>
      </c>
      <c r="N655" s="255">
        <f>(ASINH(FMS_Ranking4[[#This Row],[Structure at Risk Raw]]))*(10)/(ASINH(M$4))</f>
        <v>3.2938728526424272</v>
      </c>
      <c r="O655" s="256">
        <f>FMS_Ranking4[[#This Row],[Structures at risk, ArcSinh (0-10)]]*M$5*10</f>
        <v>3.2938728526424277</v>
      </c>
      <c r="P655" s="253">
        <f>_xlfn.XLOOKUP(FMS_Ranking4[[#This Row],[FMS ID]],FMS_Input[FMS_ID],FMS_Input[RES_STRUCT100])</f>
        <v>16</v>
      </c>
      <c r="Q655" s="257">
        <f>ASINH(FMS_Ranking4[[#This Row],[Res Structure Raw]])/Q$4*P$5*100</f>
        <v>0</v>
      </c>
      <c r="R655" s="253">
        <f>_xlfn.XLOOKUP(FMS_Ranking4[[#This Row],[FMS ID]],FMS_Input[FMS_ID],FMS_Input[POP100])</f>
        <v>98</v>
      </c>
      <c r="S655" s="255">
        <f>(ASINH(FMS_Ranking4[[#This Row],[Pop at Risk Raw]]))*(10)/(ASINH(R$4))</f>
        <v>3.6438078000722882</v>
      </c>
      <c r="T655" s="256">
        <f>FMS_Ranking4[[#This Row],[Population at risk, ArcSinh (0-10)]]*R$5*10</f>
        <v>3.6438078000722882</v>
      </c>
      <c r="U655" s="253">
        <f>_xlfn.XLOOKUP(FMS_Ranking4[[#This Row],[FMS ID]],FMS_Input[FMS_ID],FMS_Input[CRITFAC100])</f>
        <v>0</v>
      </c>
      <c r="V655" s="255">
        <f>(ASINH(FMS_Ranking4[[#This Row],[Critical Facilities Raw]]))*(10)/(ASINH(U$4))</f>
        <v>0</v>
      </c>
      <c r="W655" s="256">
        <f>FMS_Ranking4[[#This Row],[Critical facilities at risk, ArcSinh (0-10)]]*U$5*10</f>
        <v>0</v>
      </c>
      <c r="X655" s="253">
        <f>_xlfn.XLOOKUP(FMS_Ranking4[[#This Row],[FMS ID]],FMS_Input[FMS_ID],FMS_Input[LWC])</f>
        <v>2</v>
      </c>
      <c r="Y655" s="255">
        <f>(ASINH(FMS_Ranking4[[#This Row],[LWC Raw]]))*(10)/(ASINH(X$4))</f>
        <v>1.9557475158633808</v>
      </c>
      <c r="Z655" s="256">
        <f>FMS_Ranking4[[#This Row],[LWC, ArcSInh (0-10)]]*X$5*10</f>
        <v>1.9557475158633808</v>
      </c>
      <c r="AA655" s="253">
        <f>_xlfn.XLOOKUP(FMS_Ranking4[[#This Row],[FMS ID]],FMS_Input[FMS_ID],FMS_Input[ROADCLS])</f>
        <v>2</v>
      </c>
      <c r="AB655" s="255">
        <f>(ASINH(FMS_Ranking4[[#This Row],[Road Closures Raw]]))*(10)/(ASINH(AA$4))</f>
        <v>1.5034138460359754</v>
      </c>
      <c r="AC655" s="256">
        <f>FMS_Ranking4[[#This Row],[Road closures, ArcSinh (0-10)]]*AA$5*10</f>
        <v>0.7517069230179878</v>
      </c>
      <c r="AD655" s="253">
        <f>_xlfn.XLOOKUP(FMS_Ranking4[[#This Row],[FMS ID]],FMS_Input[FMS_ID],FMS_Input[ROAD_MILES100])</f>
        <v>1</v>
      </c>
      <c r="AE655" s="255">
        <f>(ASINH(FMS_Ranking4[[#This Row],[Road Miles Raw]]))*(10)/(ASINH(AD$4))</f>
        <v>0.9393017565219649</v>
      </c>
      <c r="AF655" s="256">
        <f>FMS_Ranking4[[#This Row],[Length of roads at risk, ArcSinh (0-10)]]*AD$5*10</f>
        <v>0.93930175652196501</v>
      </c>
      <c r="AG655" s="253">
        <f>_xlfn.XLOOKUP(FMS_Ranking4[[#This Row],[FMS ID]],FMS_Input[FMS_ID],FMS_Input[FARMACRE100])</f>
        <v>1.571577310562134</v>
      </c>
      <c r="AH655" s="255">
        <f>(ASINH(FMS_Ranking4[[#This Row],[Ag Land Raw]]))*(10)/(ASINH(AG$4))</f>
        <v>0.80146820285253129</v>
      </c>
      <c r="AI655" s="260">
        <f>FMS_Ranking4[[#This Row],[Farm &amp; ranch land, ArcSinh (0-10)]]*AG$5*10</f>
        <v>0.40073410142626564</v>
      </c>
      <c r="AJ655" s="258">
        <f>_xlfn.XLOOKUP(FMS_Ranking4[[#This Row],[FMS ID]],FMS_Input[FMS_ID],FMS_Input[REDSTRUCT100])</f>
        <v>0</v>
      </c>
      <c r="AK655" s="253">
        <f>_xlfn.XLOOKUP(FMS_Ranking4[[#This Row],[FMS ID]],FMS_Input[FMS_ID],FMS_Input[REMSTRC100])</f>
        <v>0</v>
      </c>
      <c r="AL655" s="255">
        <f>(ASINH(FMS_Ranking4[[#This Row],[Structures Removed Raw]]))*(10)/(ASINH(AK$4))</f>
        <v>0</v>
      </c>
      <c r="AM655" s="262">
        <f>FMS_Ranking4[[#This Row],[Structures removed, ArcSinh (0-10)]]*AK$5*10</f>
        <v>0</v>
      </c>
      <c r="AN655" s="253">
        <f>_xlfn.XLOOKUP(FMS_Ranking4[[#This Row],[FMS ID]],FMS_Input[FMS_ID],FMS_Input[REMRESSTRC100])</f>
        <v>0</v>
      </c>
      <c r="AO655" s="261">
        <f>FMS_Ranking4[[#This Row],[ArcSinh Res struct removed 0-10]]*AN$5*10</f>
        <v>0</v>
      </c>
      <c r="AP655" s="260">
        <f>ASINH(FMS_Ranking4[[#This Row],[Residential Structures Removed Raw]])/AP$4*AN$5*100</f>
        <v>0</v>
      </c>
      <c r="AQ655" s="258">
        <f>(ASINH(FMS_Ranking4[[#This Row],[Residential Structures Removed Raw]]))*(10)/(ASINH(AN$4))</f>
        <v>0</v>
      </c>
      <c r="AR655" s="253">
        <f>_xlfn.XLOOKUP(FMS_Ranking4[[#This Row],[FMS ID]],FMS_Input[FMS_ID],FMS_Input[REMPOP100])</f>
        <v>0</v>
      </c>
      <c r="AS655" s="255">
        <f>(ASINH(FMS_Ranking4[[#This Row],[Removed Pop Raw]]))*(10)/(ASINH(AR$4))</f>
        <v>0</v>
      </c>
      <c r="AT655" s="262">
        <f>FMS_Ranking4[[#This Row],[Removed population, ArcSinh (0-10)]]*AR$5*10</f>
        <v>0</v>
      </c>
      <c r="AU655" s="264">
        <f>_xlfn.XLOOKUP(FMS_Ranking4[[#This Row],[FMS ID]],FMS_Input[FMS_ID],FMS_Input[REMCRITFAC100])</f>
        <v>0</v>
      </c>
      <c r="AV655" s="264">
        <f>_xlfn.XLOOKUP(FMS_Ranking4[[#This Row],[FMS ID]],FMS_Input[FMS_ID],FMS_Input[REMLWC100])</f>
        <v>0</v>
      </c>
      <c r="AW655" s="264">
        <f>_xlfn.XLOOKUP(FMS_Ranking4[[#This Row],[FMS ID]],FMS_Input[FMS_ID],FMS_Input[REMROADCLS])</f>
        <v>0</v>
      </c>
      <c r="AX655" s="264">
        <f>_xlfn.XLOOKUP(FMS_Ranking4[[#This Row],[FMS ID]],FMS_Input[FMS_ID],FMS_Input[REMFRMACRE100])</f>
        <v>0</v>
      </c>
      <c r="AY655" s="258">
        <f>_xlfn.XLOOKUP(FMS_Ranking4[[#This Row],[FMS ID]],FMS_Input[FMS_ID],FMS_Input[COSTSTRUCT])</f>
        <v>0</v>
      </c>
      <c r="AZ655" s="253">
        <f>_xlfn.XLOOKUP(FMS_Ranking4[[#This Row],[FMS ID]],FMS_Input[FMS_ID],FMS_Input[NATURE])</f>
        <v>0</v>
      </c>
      <c r="BA655" s="262">
        <f>(((FMS_Ranking4[[#This Row],[% NBS Raw]]/AZ$4)*100)*AZ$5)</f>
        <v>0</v>
      </c>
      <c r="BB655" s="251" t="str">
        <f>_xlfn.XLOOKUP(FMS_Ranking4[[#This Row],[FMS ID]],FMS_Input[FMS_ID],FMS_Input[WATER_SUP])</f>
        <v>No</v>
      </c>
      <c r="BC655" s="265">
        <f>IF(FMS_Ranking4[[#This Row],[Water Supply Raw]]="Yes",10,0)</f>
        <v>0</v>
      </c>
      <c r="BD655" s="266">
        <f>_xlfn.XLOOKUP(FMS_Ranking4[[#This Row],[FMS Type]],FMS_TYPE[FMS_Type],FMS_TYPE[Score])</f>
        <v>4</v>
      </c>
      <c r="BE655" s="267">
        <f>FMS_Ranking4[[#This Row],[FMS_Type Score]]*$BD$5*10</f>
        <v>1</v>
      </c>
      <c r="BF65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3.0920188268207579E-2</v>
      </c>
      <c r="BG655" s="321">
        <f>_xlfn.RANK.EQ(BF655,$BF$8:$BF$870,0)+COUNTIF($BF$8:BF655,BF655)-1</f>
        <v>595</v>
      </c>
      <c r="BH655" s="294">
        <f>(((FMS_Ranking4[[#This Row],[Structures Removed Raw]]/AK$4)*100)*AK$5)+(((FMS_Ranking4[[#This Row],[Removed Pop Raw]]/AR$4)*100)*AR$5)</f>
        <v>0</v>
      </c>
      <c r="BI65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1.0309201882682075</v>
      </c>
      <c r="BJ655" s="251">
        <f>_xlfn.RANK.EQ(FMS_Ranking4[[#This Row],[Total Score 
(with linear
normalization)]],FMS_Ranking4[Total Score 
(with linear
normalization)],0)</f>
        <v>710</v>
      </c>
      <c r="BK655" s="251" t="e">
        <f>_xlfn.XLOOKUP(FMS_Ranking4[[#This Row],[FMS ID]],#REF!,#REF!)</f>
        <v>#REF!</v>
      </c>
      <c r="BL65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10.985170949544317</v>
      </c>
      <c r="BM655" s="324">
        <f>FMS_Ranking4[[#This Row],[ArcSinh Score Based on Normalized Reported Factors]]+FMS_Ranking4[[#This Row],[% NBS Score (Normalized)]]+(FMS_Ranking4[[#This Row],[Water Supply Score (Normalized)]]*10*$BB$5)+FMS_Ranking4[[#This Row],[FMS_Type Score Weighted]]</f>
        <v>11.985170949544317</v>
      </c>
      <c r="BN655" s="251">
        <f>_xlfn.RANK.EQ(FMS_Ranking4[[#This Row],[Total Score (with ArcSinh normalization of select criteria)]],FMS_Ranking4[Total Score (with ArcSinh normalization of select criteria)],0)</f>
        <v>648</v>
      </c>
      <c r="BO655" s="270" t="str">
        <f>_xlfn.XLOOKUP(FMS_Ranking4[[#This Row],[FMS ID]],FMS_Input[FMS_ID],FMS_Input[FMS_RANK_YEAR])</f>
        <v>2023 Amended Plan</v>
      </c>
      <c r="BP655" s="204">
        <f>_xlfn.XLOOKUP(FMS_Ranking4[[#This Row],[FMS ID]],Prev_Rank[FMS ID],Prev_Rank[Prev Rank])</f>
        <v>578</v>
      </c>
      <c r="BQ655" s="251" t="e">
        <f>_xlfn.XLOOKUP(FMS_Ranking4[[#This Row],[FMS ID]],#REF!,#REF!)</f>
        <v>#REF!</v>
      </c>
      <c r="BR655" s="199" t="e">
        <f>SUM(#REF!,#REF!,#REF!,#REF!,#REF!,#REF!,#REF!,#REF!,#REF!,FMS_Ranking4[[#This Row],[ArcSinh Res struct removed 0-10]],#REF!)</f>
        <v>#REF!</v>
      </c>
      <c r="BS655" s="199" t="e">
        <f>FMS_Ranking4[[#This Row],[Log Score Based on Normalized Reported Factors]]+FMS_Ranking4[[#This Row],[% NBS Score (Normalized)]]+(FMS_Ranking4[[#This Row],[Water Supply Score (Normalized)]]*10*$BB$5)+(FMS_Ranking4[[#This Row],[FMS_Type Score Weighted]])</f>
        <v>#REF!</v>
      </c>
      <c r="BT655" s="200" t="e">
        <f>_xlfn.RANK.EQ(FMS_Ranking4[[#This Row],[Log Total Score]],FMS_Ranking4[Log Total Score],0)</f>
        <v>#REF!</v>
      </c>
      <c r="BU655" s="200" t="e">
        <f>_xlfn.XLOOKUP(FMS_Ranking4[[#This Row],[FMS ID]],#REF!,#REF!)</f>
        <v>#REF!</v>
      </c>
      <c r="BV655" s="200">
        <f>FMS_Ranking4[[#This Row],[Region Number]]</f>
        <v>5</v>
      </c>
      <c r="BW655" s="200">
        <f>FMS_Ranking4[[#This Row],[Rank (with ArcSinh normalization of select criteria)]]-FMS_Ranking4[[#This Row],[Rank
(with linear
normalization)]]</f>
        <v>-62</v>
      </c>
      <c r="BX655" s="200" t="e">
        <f>FMS_Ranking4[[#This Row],[Log Rank]]-FMS_Ranking4[[#This Row],[Rank
(with linear
normalization)]]</f>
        <v>#REF!</v>
      </c>
      <c r="BY655" s="200" t="str">
        <f>IF(FMS_Ranking4[[#This Row],[FMS Type]]="Flood Measurement and Warning",FMS_Ranking4[[#This Row],[Rank (with ArcSinh normalization of select criteria)]],"")</f>
        <v/>
      </c>
      <c r="BZ655" s="200" t="str">
        <f>IF(FMS_Ranking4[[#This Row],[FMS Type]]="Regulatory and Guidance",FMS_Ranking4[[#This Row],[Rank (with ArcSinh normalization of select criteria)]],"")</f>
        <v/>
      </c>
      <c r="CA655" s="200" t="str">
        <f>IF(FMS_Ranking4[[#This Row],[FMS Type]]="Education and Outreach",FMS_Ranking4[[#This Row],[Rank (with ArcSinh normalization of select criteria)]],"")</f>
        <v/>
      </c>
      <c r="CB655" s="200" t="str">
        <f>IF(FMS_Ranking4[[#This Row],[FMS Type]]="Property Acquisition and Structural Elevation",FMS_Ranking4[[#This Row],[Rank (with ArcSinh normalization of select criteria)]],"")</f>
        <v/>
      </c>
      <c r="CC655" s="200">
        <f>IF(FMS_Ranking4[[#This Row],[FMS Type]]="Infrastructure Projects",FMS_Ranking4[[#This Row],[Rank (with ArcSinh normalization of select criteria)]],"")</f>
        <v>648</v>
      </c>
      <c r="CD655" s="200" t="str">
        <f>IF(FMS_Ranking4[[#This Row],[FMS Type]]="Other",FMS_Ranking4[[#This Row],[Rank (with ArcSinh normalization of select criteria)]],"")</f>
        <v/>
      </c>
      <c r="CE655" s="201"/>
      <c r="CF655" s="206"/>
      <c r="CG655" s="206"/>
      <c r="CH655" s="206"/>
      <c r="CI655" s="206"/>
      <c r="CJ655" s="206"/>
      <c r="CK655" s="206"/>
      <c r="CL655" s="206"/>
      <c r="CM655" s="206"/>
      <c r="CN655" s="206"/>
      <c r="CO655" s="206"/>
      <c r="CP655" s="206"/>
      <c r="CQ655" s="206"/>
      <c r="CR655" s="206"/>
    </row>
    <row r="656" spans="2:96" ht="60" x14ac:dyDescent="0.25">
      <c r="B656" s="341" t="s">
        <v>3619</v>
      </c>
      <c r="C656" s="246">
        <f>_xlfn.XLOOKUP(FMS_Ranking4[[#This Row],[FMS ID]],FMS_Input[FMS_ID],FMS_Input[RFPG_NUM])</f>
        <v>13</v>
      </c>
      <c r="D656" s="309" t="str">
        <f>_xlfn.XLOOKUP(FMS_Ranking4[[#This Row],[FMS ID]],FMS_Input[FMS_ID],FMS_Input[FMS_NAME])</f>
        <v>Atascosa McMullen Hazard Mitigation Plan - City of Jourdanton Action #3</v>
      </c>
      <c r="E656" s="308" t="str">
        <f>_xlfn.XLOOKUP(FMS_Ranking4[[#This Row],[FMS ID]],FMS_Input[FMS_ID],FMS_Input[SPONSOR])</f>
        <v>13003116</v>
      </c>
      <c r="F656" s="309" t="str">
        <f>_xlfn.XLOOKUP(FMS_Ranking4[[#This Row],[FMS ID]],Sponsor[FMS_ID],Sponsor[SPONSOR NAME])</f>
        <v>Jourdanton</v>
      </c>
      <c r="G656" s="309" t="str">
        <f>_xlfn.XLOOKUP(FMS_Ranking4[[#This Row],[FMS ID]],FMS_Input[FMS_ID],FMS_Input[FMS_DESCR])</f>
        <v>Enforcement of flood damage prevention ordinance</v>
      </c>
      <c r="H656" s="248" t="str">
        <f>_xlfn.XLOOKUP(FMS_Ranking4[[#This Row],[FMS ID]],FMS_Input[FMS_ID],FMS_Input[FMS_TYPE])</f>
        <v>Regulatory and Guidance</v>
      </c>
      <c r="I656" s="249">
        <f>_xlfn.XLOOKUP(FMS_Ranking4[[#This Row],[FMS ID]],FMS_Input[FMS_ID],FMS_Input[NRNC_COST])</f>
        <v>75000</v>
      </c>
      <c r="J656" s="250">
        <f>_xlfn.XLOOKUP(FMS_Ranking4[[#This Row],[FMS ID]],FMS_Input[FMS_ID],FMS_Input[FMS_COST])</f>
        <v>75000</v>
      </c>
      <c r="K656" s="251" t="str">
        <f>_xlfn.XLOOKUP(FMS_Ranking4[[#This Row],[FMS ID]],FMS_Input[FMS_ID],FMS_Input[EMER_NEED])</f>
        <v>Yes</v>
      </c>
      <c r="L656" s="252">
        <f t="shared" si="10"/>
        <v>1</v>
      </c>
      <c r="M656" s="253">
        <f>_xlfn.XLOOKUP(FMS_Ranking4[[#This Row],[FMS ID]],FMS_Input[FMS_ID],FMS_Input[STRUCT_100])</f>
        <v>18</v>
      </c>
      <c r="N656" s="255">
        <f>(ASINH(FMS_Ranking4[[#This Row],[Structure at Risk Raw]]))*(10)/(ASINH(M$4))</f>
        <v>2.8177853439774103</v>
      </c>
      <c r="O656" s="256">
        <f>FMS_Ranking4[[#This Row],[Structures at risk, ArcSinh (0-10)]]*M$5*10</f>
        <v>2.8177853439774103</v>
      </c>
      <c r="P656" s="253">
        <f>_xlfn.XLOOKUP(FMS_Ranking4[[#This Row],[FMS ID]],FMS_Input[FMS_ID],FMS_Input[RES_STRUCT100])</f>
        <v>11</v>
      </c>
      <c r="Q656" s="257">
        <f>ASINH(FMS_Ranking4[[#This Row],[Res Structure Raw]])/Q$4*P$5*100</f>
        <v>0</v>
      </c>
      <c r="R656" s="253">
        <f>_xlfn.XLOOKUP(FMS_Ranking4[[#This Row],[FMS ID]],FMS_Input[FMS_ID],FMS_Input[POP100])</f>
        <v>113</v>
      </c>
      <c r="S656" s="259">
        <f>(ASINH(FMS_Ranking4[[#This Row],[Pop at Risk Raw]]))*(10)/(ASINH(R$4))</f>
        <v>3.7421243982282699</v>
      </c>
      <c r="T656" s="256">
        <f>FMS_Ranking4[[#This Row],[Population at risk, ArcSinh (0-10)]]*R$5*10</f>
        <v>3.7421243982282704</v>
      </c>
      <c r="U656" s="253">
        <f>_xlfn.XLOOKUP(FMS_Ranking4[[#This Row],[FMS ID]],FMS_Input[FMS_ID],FMS_Input[CRITFAC100])</f>
        <v>0</v>
      </c>
      <c r="V656" s="259">
        <f>(ASINH(FMS_Ranking4[[#This Row],[Critical Facilities Raw]]))*(10)/(ASINH(U$4))</f>
        <v>0</v>
      </c>
      <c r="W656" s="256">
        <f>FMS_Ranking4[[#This Row],[Critical facilities at risk, ArcSinh (0-10)]]*U$5*10</f>
        <v>0</v>
      </c>
      <c r="X656" s="253">
        <f>_xlfn.XLOOKUP(FMS_Ranking4[[#This Row],[FMS ID]],FMS_Input[FMS_ID],FMS_Input[LWC])</f>
        <v>0</v>
      </c>
      <c r="Y656" s="259">
        <f>(ASINH(FMS_Ranking4[[#This Row],[LWC Raw]]))*(10)/(ASINH(X$4))</f>
        <v>0</v>
      </c>
      <c r="Z656" s="256">
        <f>FMS_Ranking4[[#This Row],[LWC, ArcSInh (0-10)]]*X$5*10</f>
        <v>0</v>
      </c>
      <c r="AA656" s="253">
        <f>_xlfn.XLOOKUP(FMS_Ranking4[[#This Row],[FMS ID]],FMS_Input[FMS_ID],FMS_Input[ROADCLS])</f>
        <v>25</v>
      </c>
      <c r="AB656" s="255">
        <f>(ASINH(FMS_Ranking4[[#This Row],[Road Closures Raw]]))*(10)/(ASINH(AA$4))</f>
        <v>4.0744292160615396</v>
      </c>
      <c r="AC656" s="256">
        <f>FMS_Ranking4[[#This Row],[Road closures, ArcSinh (0-10)]]*AA$5*10</f>
        <v>2.0372146080307698</v>
      </c>
      <c r="AD656" s="253">
        <f>_xlfn.XLOOKUP(FMS_Ranking4[[#This Row],[FMS ID]],FMS_Input[FMS_ID],FMS_Input[ROAD_MILES100])</f>
        <v>1</v>
      </c>
      <c r="AE656" s="259">
        <f>(ASINH(FMS_Ranking4[[#This Row],[Road Miles Raw]]))*(10)/(ASINH(AD$4))</f>
        <v>0.9393017565219649</v>
      </c>
      <c r="AF656" s="256">
        <f>FMS_Ranking4[[#This Row],[Length of roads at risk, ArcSinh (0-10)]]*AD$5*10</f>
        <v>0.93930175652196501</v>
      </c>
      <c r="AG656" s="253">
        <f>_xlfn.XLOOKUP(FMS_Ranking4[[#This Row],[FMS ID]],FMS_Input[FMS_ID],FMS_Input[FARMACRE100])</f>
        <v>1.337621808052063</v>
      </c>
      <c r="AH656" s="255">
        <f>(ASINH(FMS_Ranking4[[#This Row],[Ag Land Raw]]))*(10)/(ASINH(AG$4))</f>
        <v>0.71530789431197184</v>
      </c>
      <c r="AI656" s="260">
        <f>FMS_Ranking4[[#This Row],[Farm &amp; ranch land, ArcSinh (0-10)]]*AG$5*10</f>
        <v>0.35765394715598592</v>
      </c>
      <c r="AJ656" s="258">
        <f>_xlfn.XLOOKUP(FMS_Ranking4[[#This Row],[FMS ID]],FMS_Input[FMS_ID],FMS_Input[REDSTRUCT100])</f>
        <v>0</v>
      </c>
      <c r="AK656" s="253">
        <f>_xlfn.XLOOKUP(FMS_Ranking4[[#This Row],[FMS ID]],FMS_Input[FMS_ID],FMS_Input[REMSTRC100])</f>
        <v>0</v>
      </c>
      <c r="AL656" s="259">
        <f>(ASINH(FMS_Ranking4[[#This Row],[Structures Removed Raw]]))*(10)/(ASINH(AK$4))</f>
        <v>0</v>
      </c>
      <c r="AM656" s="262">
        <f>FMS_Ranking4[[#This Row],[Structures removed, ArcSinh (0-10)]]*AK$5*10</f>
        <v>0</v>
      </c>
      <c r="AN656" s="253">
        <f>_xlfn.XLOOKUP(FMS_Ranking4[[#This Row],[FMS ID]],FMS_Input[FMS_ID],FMS_Input[REMRESSTRC100])</f>
        <v>0</v>
      </c>
      <c r="AO656" s="261">
        <f>FMS_Ranking4[[#This Row],[ArcSinh Res struct removed 0-10]]*AN$5*10</f>
        <v>0</v>
      </c>
      <c r="AP656" s="260">
        <f>ASINH(FMS_Ranking4[[#This Row],[Residential Structures Removed Raw]])/AP$4*AN$5*100</f>
        <v>0</v>
      </c>
      <c r="AQ656" s="254">
        <f>(ASINH(FMS_Ranking4[[#This Row],[Residential Structures Removed Raw]]))*(10)/(ASINH(AN$4))</f>
        <v>0</v>
      </c>
      <c r="AR656" s="253">
        <f>_xlfn.XLOOKUP(FMS_Ranking4[[#This Row],[FMS ID]],FMS_Input[FMS_ID],FMS_Input[REMPOP100])</f>
        <v>0</v>
      </c>
      <c r="AS656" s="259">
        <f>(ASINH(FMS_Ranking4[[#This Row],[Removed Pop Raw]]))*(10)/(ASINH(AR$4))</f>
        <v>0</v>
      </c>
      <c r="AT656" s="262">
        <f>FMS_Ranking4[[#This Row],[Removed population, ArcSinh (0-10)]]*AR$5*10</f>
        <v>0</v>
      </c>
      <c r="AU656" s="264">
        <f>_xlfn.XLOOKUP(FMS_Ranking4[[#This Row],[FMS ID]],FMS_Input[FMS_ID],FMS_Input[REMCRITFAC100])</f>
        <v>0</v>
      </c>
      <c r="AV656" s="264">
        <f>_xlfn.XLOOKUP(FMS_Ranking4[[#This Row],[FMS ID]],FMS_Input[FMS_ID],FMS_Input[REMLWC100])</f>
        <v>0</v>
      </c>
      <c r="AW656" s="264">
        <f>_xlfn.XLOOKUP(FMS_Ranking4[[#This Row],[FMS ID]],FMS_Input[FMS_ID],FMS_Input[REMROADCLS])</f>
        <v>0</v>
      </c>
      <c r="AX656" s="264">
        <f>_xlfn.XLOOKUP(FMS_Ranking4[[#This Row],[FMS ID]],FMS_Input[FMS_ID],FMS_Input[REMFRMACRE100])</f>
        <v>0</v>
      </c>
      <c r="AY656" s="258">
        <f>_xlfn.XLOOKUP(FMS_Ranking4[[#This Row],[FMS ID]],FMS_Input[FMS_ID],FMS_Input[COSTSTRUCT])</f>
        <v>0</v>
      </c>
      <c r="AZ656" s="253">
        <f>_xlfn.XLOOKUP(FMS_Ranking4[[#This Row],[FMS ID]],FMS_Input[FMS_ID],FMS_Input[NATURE])</f>
        <v>0</v>
      </c>
      <c r="BA656" s="262">
        <f>(((FMS_Ranking4[[#This Row],[% NBS Raw]]/AZ$4)*100)*AZ$5)</f>
        <v>0</v>
      </c>
      <c r="BB656" s="251" t="str">
        <f>_xlfn.XLOOKUP(FMS_Ranking4[[#This Row],[FMS ID]],FMS_Input[FMS_ID],FMS_Input[WATER_SUP])</f>
        <v>No</v>
      </c>
      <c r="BC656" s="265">
        <f>IF(FMS_Ranking4[[#This Row],[Water Supply Raw]]="Yes",10,0)</f>
        <v>0</v>
      </c>
      <c r="BD656" s="266">
        <f>_xlfn.XLOOKUP(FMS_Ranking4[[#This Row],[FMS Type]],FMS_TYPE[FMS_Type],FMS_TYPE[Score])</f>
        <v>8</v>
      </c>
      <c r="BE656" s="267">
        <f>FMS_Ranking4[[#This Row],[FMS_Type Score]]*$BD$5*10</f>
        <v>2</v>
      </c>
      <c r="BF65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2.0810200873097973E-2</v>
      </c>
      <c r="BG656" s="271">
        <f>_xlfn.RANK.EQ(BF656,$BF$8:$BF$870,0)+COUNTIF($BF$8:BF656,BF656)-1</f>
        <v>627</v>
      </c>
      <c r="BH656" s="268">
        <f>(((FMS_Ranking4[[#This Row],[Structures Removed Raw]]/AK$4)*100)*AK$5)+(((FMS_Ranking4[[#This Row],[Removed Pop Raw]]/AR$4)*100)*AR$5)</f>
        <v>0</v>
      </c>
      <c r="BI65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2.0208102008730982</v>
      </c>
      <c r="BJ656" s="205">
        <f>_xlfn.RANK.EQ(FMS_Ranking4[[#This Row],[Total Score 
(with linear
normalization)]],FMS_Ranking4[Total Score 
(with linear
normalization)],0)</f>
        <v>410</v>
      </c>
      <c r="BK656" s="205" t="e">
        <f>_xlfn.XLOOKUP(FMS_Ranking4[[#This Row],[FMS ID]],#REF!,#REF!)</f>
        <v>#REF!</v>
      </c>
      <c r="BL65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9.8940800539144025</v>
      </c>
      <c r="BM656" s="272">
        <f>FMS_Ranking4[[#This Row],[ArcSinh Score Based on Normalized Reported Factors]]+FMS_Ranking4[[#This Row],[% NBS Score (Normalized)]]+(FMS_Ranking4[[#This Row],[Water Supply Score (Normalized)]]*10*$BB$5)+FMS_Ranking4[[#This Row],[FMS_Type Score Weighted]]</f>
        <v>11.894080053914402</v>
      </c>
      <c r="BN656" s="205">
        <f>_xlfn.RANK.EQ(FMS_Ranking4[[#This Row],[Total Score (with ArcSinh normalization of select criteria)]],FMS_Ranking4[Total Score (with ArcSinh normalization of select criteria)],0)</f>
        <v>649</v>
      </c>
      <c r="BO656" s="270" t="str">
        <f>_xlfn.XLOOKUP(FMS_Ranking4[[#This Row],[FMS ID]],FMS_Input[FMS_ID],FMS_Input[FMS_RANK_YEAR])</f>
        <v>2023 Amended Plan</v>
      </c>
      <c r="BP656" s="204">
        <f>_xlfn.XLOOKUP(FMS_Ranking4[[#This Row],[FMS ID]],Prev_Rank[FMS ID],Prev_Rank[Prev Rank])</f>
        <v>580</v>
      </c>
      <c r="BQ656" s="205" t="e">
        <f>_xlfn.XLOOKUP(FMS_Ranking4[[#This Row],[FMS ID]],#REF!,#REF!)</f>
        <v>#REF!</v>
      </c>
      <c r="BR656" s="199" t="e">
        <f>SUM(#REF!,#REF!,#REF!,#REF!,#REF!,#REF!,#REF!,#REF!,#REF!,FMS_Ranking4[[#This Row],[ArcSinh Res struct removed 0-10]],#REF!)</f>
        <v>#REF!</v>
      </c>
      <c r="BS656" s="199" t="e">
        <f>FMS_Ranking4[[#This Row],[Log Score Based on Normalized Reported Factors]]+FMS_Ranking4[[#This Row],[% NBS Score (Normalized)]]+(FMS_Ranking4[[#This Row],[Water Supply Score (Normalized)]]*10*$BB$5)+(FMS_Ranking4[[#This Row],[FMS_Type Score Weighted]])</f>
        <v>#REF!</v>
      </c>
      <c r="BT656" s="200" t="e">
        <f>_xlfn.RANK.EQ(FMS_Ranking4[[#This Row],[Log Total Score]],FMS_Ranking4[Log Total Score],0)</f>
        <v>#REF!</v>
      </c>
      <c r="BU656" s="200" t="e">
        <f>_xlfn.XLOOKUP(FMS_Ranking4[[#This Row],[FMS ID]],#REF!,#REF!)</f>
        <v>#REF!</v>
      </c>
      <c r="BV656" s="200">
        <f>FMS_Ranking4[[#This Row],[Region Number]]</f>
        <v>13</v>
      </c>
      <c r="BW656" s="200">
        <f>FMS_Ranking4[[#This Row],[Rank (with ArcSinh normalization of select criteria)]]-FMS_Ranking4[[#This Row],[Rank
(with linear
normalization)]]</f>
        <v>239</v>
      </c>
      <c r="BX656" s="200" t="e">
        <f>FMS_Ranking4[[#This Row],[Log Rank]]-FMS_Ranking4[[#This Row],[Rank
(with linear
normalization)]]</f>
        <v>#REF!</v>
      </c>
      <c r="BY656" s="200" t="str">
        <f>IF(FMS_Ranking4[[#This Row],[FMS Type]]="Flood Measurement and Warning",FMS_Ranking4[[#This Row],[Rank (with ArcSinh normalization of select criteria)]],"")</f>
        <v/>
      </c>
      <c r="BZ656" s="200">
        <f>IF(FMS_Ranking4[[#This Row],[FMS Type]]="Regulatory and Guidance",FMS_Ranking4[[#This Row],[Rank (with ArcSinh normalization of select criteria)]],"")</f>
        <v>649</v>
      </c>
      <c r="CA656" s="200" t="str">
        <f>IF(FMS_Ranking4[[#This Row],[FMS Type]]="Education and Outreach",FMS_Ranking4[[#This Row],[Rank (with ArcSinh normalization of select criteria)]],"")</f>
        <v/>
      </c>
      <c r="CB656" s="200" t="str">
        <f>IF(FMS_Ranking4[[#This Row],[FMS Type]]="Property Acquisition and Structural Elevation",FMS_Ranking4[[#This Row],[Rank (with ArcSinh normalization of select criteria)]],"")</f>
        <v/>
      </c>
      <c r="CC656" s="200" t="str">
        <f>IF(FMS_Ranking4[[#This Row],[FMS Type]]="Infrastructure Projects",FMS_Ranking4[[#This Row],[Rank (with ArcSinh normalization of select criteria)]],"")</f>
        <v/>
      </c>
      <c r="CD656" s="200" t="str">
        <f>IF(FMS_Ranking4[[#This Row],[FMS Type]]="Other",FMS_Ranking4[[#This Row],[Rank (with ArcSinh normalization of select criteria)]],"")</f>
        <v/>
      </c>
      <c r="CE656" s="201"/>
      <c r="CF656" s="206"/>
      <c r="CG656" s="206"/>
      <c r="CH656" s="206"/>
      <c r="CI656" s="206"/>
      <c r="CJ656" s="206"/>
      <c r="CK656" s="206"/>
      <c r="CL656" s="206"/>
      <c r="CM656" s="206"/>
      <c r="CN656" s="206"/>
      <c r="CO656" s="206"/>
      <c r="CP656" s="206"/>
      <c r="CQ656" s="206"/>
      <c r="CR656" s="206"/>
    </row>
    <row r="657" spans="2:96" ht="60" x14ac:dyDescent="0.25">
      <c r="B657" s="341" t="s">
        <v>2880</v>
      </c>
      <c r="C657" s="246">
        <f>_xlfn.XLOOKUP(FMS_Ranking4[[#This Row],[FMS ID]],FMS_Input[FMS_ID],FMS_Input[RFPG_NUM])</f>
        <v>5</v>
      </c>
      <c r="D657" s="309" t="str">
        <f>_xlfn.XLOOKUP(FMS_Ranking4[[#This Row],[FMS ID]],FMS_Input[FMS_ID],FMS_Input[FMS_NAME])</f>
        <v>City of Kountze Flood Buyout</v>
      </c>
      <c r="E657" s="308" t="str">
        <f>_xlfn.XLOOKUP(FMS_Ranking4[[#This Row],[FMS ID]],FMS_Input[FMS_ID],FMS_Input[SPONSOR])</f>
        <v>05003028</v>
      </c>
      <c r="F657" s="309" t="str">
        <f>_xlfn.XLOOKUP(FMS_Ranking4[[#This Row],[FMS ID]],Sponsor[FMS_ID],Sponsor[SPONSOR NAME])</f>
        <v>Kountze</v>
      </c>
      <c r="G657" s="309" t="str">
        <f>_xlfn.XLOOKUP(FMS_Ranking4[[#This Row],[FMS ID]],FMS_Input[FMS_ID],FMS_Input[FMS_DESCR])</f>
        <v xml:space="preserve">Voluntary flood buyouts. 
</v>
      </c>
      <c r="H657" s="248" t="str">
        <f>_xlfn.XLOOKUP(FMS_Ranking4[[#This Row],[FMS ID]],FMS_Input[FMS_ID],FMS_Input[FMS_TYPE])</f>
        <v>Property Acquisition and Structural Elevation</v>
      </c>
      <c r="I657" s="249">
        <f>_xlfn.XLOOKUP(FMS_Ranking4[[#This Row],[FMS ID]],FMS_Input[FMS_ID],FMS_Input[NRNC_COST])</f>
        <v>60000</v>
      </c>
      <c r="J657" s="250">
        <f>_xlfn.XLOOKUP(FMS_Ranking4[[#This Row],[FMS ID]],FMS_Input[FMS_ID],FMS_Input[FMS_COST])</f>
        <v>6000000</v>
      </c>
      <c r="K657" s="251" t="str">
        <f>_xlfn.XLOOKUP(FMS_Ranking4[[#This Row],[FMS ID]],FMS_Input[FMS_ID],FMS_Input[EMER_NEED])</f>
        <v>Yes</v>
      </c>
      <c r="L657" s="252">
        <f t="shared" si="10"/>
        <v>1</v>
      </c>
      <c r="M657" s="253">
        <f>_xlfn.XLOOKUP(FMS_Ranking4[[#This Row],[FMS ID]],FMS_Input[FMS_ID],FMS_Input[STRUCT_100])</f>
        <v>3</v>
      </c>
      <c r="N657" s="255">
        <f>(ASINH(FMS_Ranking4[[#This Row],[Structure at Risk Raw]]))*(10)/(ASINH(M$4))</f>
        <v>1.4295696719071895</v>
      </c>
      <c r="O657" s="256">
        <f>FMS_Ranking4[[#This Row],[Structures at risk, ArcSinh (0-10)]]*M$5*10</f>
        <v>1.4295696719071895</v>
      </c>
      <c r="P657" s="253">
        <f>_xlfn.XLOOKUP(FMS_Ranking4[[#This Row],[FMS ID]],FMS_Input[FMS_ID],FMS_Input[RES_STRUCT100])</f>
        <v>2</v>
      </c>
      <c r="Q657" s="257">
        <f>ASINH(FMS_Ranking4[[#This Row],[Res Structure Raw]])/Q$4*P$5*100</f>
        <v>0</v>
      </c>
      <c r="R657" s="253">
        <f>_xlfn.XLOOKUP(FMS_Ranking4[[#This Row],[FMS ID]],FMS_Input[FMS_ID],FMS_Input[POP100])</f>
        <v>2</v>
      </c>
      <c r="S657" s="259">
        <f>(ASINH(FMS_Ranking4[[#This Row],[Pop at Risk Raw]]))*(10)/(ASINH(R$4))</f>
        <v>0.9966256139867492</v>
      </c>
      <c r="T657" s="256">
        <f>FMS_Ranking4[[#This Row],[Population at risk, ArcSinh (0-10)]]*R$5*10</f>
        <v>0.9966256139867492</v>
      </c>
      <c r="U657" s="253">
        <f>_xlfn.XLOOKUP(FMS_Ranking4[[#This Row],[FMS ID]],FMS_Input[FMS_ID],FMS_Input[CRITFAC100])</f>
        <v>0</v>
      </c>
      <c r="V657" s="259">
        <f>(ASINH(FMS_Ranking4[[#This Row],[Critical Facilities Raw]]))*(10)/(ASINH(U$4))</f>
        <v>0</v>
      </c>
      <c r="W657" s="256">
        <f>FMS_Ranking4[[#This Row],[Critical facilities at risk, ArcSinh (0-10)]]*U$5*10</f>
        <v>0</v>
      </c>
      <c r="X657" s="253">
        <f>_xlfn.XLOOKUP(FMS_Ranking4[[#This Row],[FMS ID]],FMS_Input[FMS_ID],FMS_Input[LWC])</f>
        <v>0</v>
      </c>
      <c r="Y657" s="259">
        <f>(ASINH(FMS_Ranking4[[#This Row],[LWC Raw]]))*(10)/(ASINH(X$4))</f>
        <v>0</v>
      </c>
      <c r="Z657" s="256">
        <f>FMS_Ranking4[[#This Row],[LWC, ArcSInh (0-10)]]*X$5*10</f>
        <v>0</v>
      </c>
      <c r="AA657" s="253">
        <f>_xlfn.XLOOKUP(FMS_Ranking4[[#This Row],[FMS ID]],FMS_Input[FMS_ID],FMS_Input[ROADCLS])</f>
        <v>0</v>
      </c>
      <c r="AB657" s="255">
        <f>(ASINH(FMS_Ranking4[[#This Row],[Road Closures Raw]]))*(10)/(ASINH(AA$4))</f>
        <v>0</v>
      </c>
      <c r="AC657" s="256">
        <f>FMS_Ranking4[[#This Row],[Road closures, ArcSinh (0-10)]]*AA$5*10</f>
        <v>0</v>
      </c>
      <c r="AD657" s="253">
        <f>_xlfn.XLOOKUP(FMS_Ranking4[[#This Row],[FMS ID]],FMS_Input[FMS_ID],FMS_Input[ROAD_MILES100])</f>
        <v>1</v>
      </c>
      <c r="AE657" s="259">
        <f>(ASINH(FMS_Ranking4[[#This Row],[Road Miles Raw]]))*(10)/(ASINH(AD$4))</f>
        <v>0.9393017565219649</v>
      </c>
      <c r="AF657" s="256">
        <f>FMS_Ranking4[[#This Row],[Length of roads at risk, ArcSinh (0-10)]]*AD$5*10</f>
        <v>0.93930175652196501</v>
      </c>
      <c r="AG657" s="253">
        <f>_xlfn.XLOOKUP(FMS_Ranking4[[#This Row],[FMS ID]],FMS_Input[FMS_ID],FMS_Input[FARMACRE100])</f>
        <v>4.4087089598178857E-2</v>
      </c>
      <c r="AH657" s="255">
        <f>(ASINH(FMS_Ranking4[[#This Row],[Ag Land Raw]]))*(10)/(ASINH(AG$4))</f>
        <v>2.8628887349369119E-2</v>
      </c>
      <c r="AI657" s="260">
        <f>FMS_Ranking4[[#This Row],[Farm &amp; ranch land, ArcSinh (0-10)]]*AG$5*10</f>
        <v>1.4314443674684561E-2</v>
      </c>
      <c r="AJ657" s="258">
        <f>_xlfn.XLOOKUP(FMS_Ranking4[[#This Row],[FMS ID]],FMS_Input[FMS_ID],FMS_Input[REDSTRUCT100])</f>
        <v>0</v>
      </c>
      <c r="AK657" s="253">
        <f>_xlfn.XLOOKUP(FMS_Ranking4[[#This Row],[FMS ID]],FMS_Input[FMS_ID],FMS_Input[REMSTRC100])</f>
        <v>0</v>
      </c>
      <c r="AL657" s="259">
        <f>(ASINH(FMS_Ranking4[[#This Row],[Structures Removed Raw]]))*(10)/(ASINH(AK$4))</f>
        <v>0</v>
      </c>
      <c r="AM657" s="262">
        <f>FMS_Ranking4[[#This Row],[Structures removed, ArcSinh (0-10)]]*AK$5*10</f>
        <v>0</v>
      </c>
      <c r="AN657" s="253">
        <f>_xlfn.XLOOKUP(FMS_Ranking4[[#This Row],[FMS ID]],FMS_Input[FMS_ID],FMS_Input[REMRESSTRC100])</f>
        <v>0</v>
      </c>
      <c r="AO657" s="261">
        <f>FMS_Ranking4[[#This Row],[ArcSinh Res struct removed 0-10]]*AN$5*10</f>
        <v>0</v>
      </c>
      <c r="AP657" s="260">
        <f>ASINH(FMS_Ranking4[[#This Row],[Residential Structures Removed Raw]])/AP$4*AN$5*100</f>
        <v>0</v>
      </c>
      <c r="AQ657" s="254">
        <f>(ASINH(FMS_Ranking4[[#This Row],[Residential Structures Removed Raw]]))*(10)/(ASINH(AN$4))</f>
        <v>0</v>
      </c>
      <c r="AR657" s="253">
        <f>_xlfn.XLOOKUP(FMS_Ranking4[[#This Row],[FMS ID]],FMS_Input[FMS_ID],FMS_Input[REMPOP100])</f>
        <v>0</v>
      </c>
      <c r="AS657" s="259">
        <f>(ASINH(FMS_Ranking4[[#This Row],[Removed Pop Raw]]))*(10)/(ASINH(AR$4))</f>
        <v>0</v>
      </c>
      <c r="AT657" s="262">
        <f>FMS_Ranking4[[#This Row],[Removed population, ArcSinh (0-10)]]*AR$5*10</f>
        <v>0</v>
      </c>
      <c r="AU657" s="264">
        <f>_xlfn.XLOOKUP(FMS_Ranking4[[#This Row],[FMS ID]],FMS_Input[FMS_ID],FMS_Input[REMCRITFAC100])</f>
        <v>0</v>
      </c>
      <c r="AV657" s="264">
        <f>_xlfn.XLOOKUP(FMS_Ranking4[[#This Row],[FMS ID]],FMS_Input[FMS_ID],FMS_Input[REMLWC100])</f>
        <v>0</v>
      </c>
      <c r="AW657" s="264">
        <f>_xlfn.XLOOKUP(FMS_Ranking4[[#This Row],[FMS ID]],FMS_Input[FMS_ID],FMS_Input[REMROADCLS])</f>
        <v>0</v>
      </c>
      <c r="AX657" s="264">
        <f>_xlfn.XLOOKUP(FMS_Ranking4[[#This Row],[FMS ID]],FMS_Input[FMS_ID],FMS_Input[REMFRMACRE100])</f>
        <v>0</v>
      </c>
      <c r="AY657" s="258">
        <f>_xlfn.XLOOKUP(FMS_Ranking4[[#This Row],[FMS ID]],FMS_Input[FMS_ID],FMS_Input[COSTSTRUCT])</f>
        <v>0</v>
      </c>
      <c r="AZ657" s="253">
        <f>_xlfn.XLOOKUP(FMS_Ranking4[[#This Row],[FMS ID]],FMS_Input[FMS_ID],FMS_Input[NATURE])</f>
        <v>100</v>
      </c>
      <c r="BA657" s="262">
        <f>(((FMS_Ranking4[[#This Row],[% NBS Raw]]/AZ$4)*100)*AZ$5)</f>
        <v>7.5</v>
      </c>
      <c r="BB657" s="251" t="str">
        <f>_xlfn.XLOOKUP(FMS_Ranking4[[#This Row],[FMS ID]],FMS_Input[FMS_ID],FMS_Input[WATER_SUP])</f>
        <v>No</v>
      </c>
      <c r="BC657" s="265">
        <f>IF(FMS_Ranking4[[#This Row],[Water Supply Raw]]="Yes",10,0)</f>
        <v>0</v>
      </c>
      <c r="BD657" s="266">
        <f>_xlfn.XLOOKUP(FMS_Ranking4[[#This Row],[FMS Type]],FMS_TYPE[FMS_Type],FMS_TYPE[Score])</f>
        <v>4</v>
      </c>
      <c r="BE657" s="267">
        <f>FMS_Ranking4[[#This Row],[FMS_Type Score]]*$BD$5*10</f>
        <v>1</v>
      </c>
      <c r="BF65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1.8823337734394712E-3</v>
      </c>
      <c r="BG657" s="271">
        <f>_xlfn.RANK.EQ(BF657,$BF$8:$BF$870,0)+COUNTIF($BF$8:BF657,BF657)-1</f>
        <v>724</v>
      </c>
      <c r="BH657" s="268">
        <f>(((FMS_Ranking4[[#This Row],[Structures Removed Raw]]/AK$4)*100)*AK$5)+(((FMS_Ranking4[[#This Row],[Removed Pop Raw]]/AR$4)*100)*AR$5)</f>
        <v>0</v>
      </c>
      <c r="BI65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8.5018823337734393</v>
      </c>
      <c r="BJ657" s="205">
        <f>_xlfn.RANK.EQ(FMS_Ranking4[[#This Row],[Total Score 
(with linear
normalization)]],FMS_Ranking4[Total Score 
(with linear
normalization)],0)</f>
        <v>81</v>
      </c>
      <c r="BK657" s="205" t="e">
        <f>_xlfn.XLOOKUP(FMS_Ranking4[[#This Row],[FMS ID]],#REF!,#REF!)</f>
        <v>#REF!</v>
      </c>
      <c r="BL65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3.3798114860905883</v>
      </c>
      <c r="BM657" s="272">
        <f>FMS_Ranking4[[#This Row],[ArcSinh Score Based on Normalized Reported Factors]]+FMS_Ranking4[[#This Row],[% NBS Score (Normalized)]]+(FMS_Ranking4[[#This Row],[Water Supply Score (Normalized)]]*10*$BB$5)+FMS_Ranking4[[#This Row],[FMS_Type Score Weighted]]</f>
        <v>11.879811486090588</v>
      </c>
      <c r="BN657" s="205">
        <f>_xlfn.RANK.EQ(FMS_Ranking4[[#This Row],[Total Score (with ArcSinh normalization of select criteria)]],FMS_Ranking4[Total Score (with ArcSinh normalization of select criteria)],0)</f>
        <v>650</v>
      </c>
      <c r="BO657" s="270" t="str">
        <f>_xlfn.XLOOKUP(FMS_Ranking4[[#This Row],[FMS ID]],FMS_Input[FMS_ID],FMS_Input[FMS_RANK_YEAR])</f>
        <v>2023 Amended Plan</v>
      </c>
      <c r="BP657" s="204">
        <f>_xlfn.XLOOKUP(FMS_Ranking4[[#This Row],[FMS ID]],Prev_Rank[FMS ID],Prev_Rank[Prev Rank])</f>
        <v>581</v>
      </c>
      <c r="BQ657" s="205" t="e">
        <f>_xlfn.XLOOKUP(FMS_Ranking4[[#This Row],[FMS ID]],#REF!,#REF!)</f>
        <v>#REF!</v>
      </c>
      <c r="BR657" s="199" t="e">
        <f>SUM(#REF!,#REF!,#REF!,#REF!,#REF!,#REF!,#REF!,#REF!,#REF!,FMS_Ranking4[[#This Row],[ArcSinh Res struct removed 0-10]],#REF!)</f>
        <v>#REF!</v>
      </c>
      <c r="BS657" s="199" t="e">
        <f>FMS_Ranking4[[#This Row],[Log Score Based on Normalized Reported Factors]]+FMS_Ranking4[[#This Row],[% NBS Score (Normalized)]]+(FMS_Ranking4[[#This Row],[Water Supply Score (Normalized)]]*10*$BB$5)+(FMS_Ranking4[[#This Row],[FMS_Type Score Weighted]])</f>
        <v>#REF!</v>
      </c>
      <c r="BT657" s="200" t="e">
        <f>_xlfn.RANK.EQ(FMS_Ranking4[[#This Row],[Log Total Score]],FMS_Ranking4[Log Total Score],0)</f>
        <v>#REF!</v>
      </c>
      <c r="BU657" s="200" t="e">
        <f>_xlfn.XLOOKUP(FMS_Ranking4[[#This Row],[FMS ID]],#REF!,#REF!)</f>
        <v>#REF!</v>
      </c>
      <c r="BV657" s="200">
        <f>FMS_Ranking4[[#This Row],[Region Number]]</f>
        <v>5</v>
      </c>
      <c r="BW657" s="200">
        <f>FMS_Ranking4[[#This Row],[Rank (with ArcSinh normalization of select criteria)]]-FMS_Ranking4[[#This Row],[Rank
(with linear
normalization)]]</f>
        <v>569</v>
      </c>
      <c r="BX657" s="200" t="e">
        <f>FMS_Ranking4[[#This Row],[Log Rank]]-FMS_Ranking4[[#This Row],[Rank
(with linear
normalization)]]</f>
        <v>#REF!</v>
      </c>
      <c r="BY657" s="200" t="str">
        <f>IF(FMS_Ranking4[[#This Row],[FMS Type]]="Flood Measurement and Warning",FMS_Ranking4[[#This Row],[Rank (with ArcSinh normalization of select criteria)]],"")</f>
        <v/>
      </c>
      <c r="BZ657" s="200" t="str">
        <f>IF(FMS_Ranking4[[#This Row],[FMS Type]]="Regulatory and Guidance",FMS_Ranking4[[#This Row],[Rank (with ArcSinh normalization of select criteria)]],"")</f>
        <v/>
      </c>
      <c r="CA657" s="200" t="str">
        <f>IF(FMS_Ranking4[[#This Row],[FMS Type]]="Education and Outreach",FMS_Ranking4[[#This Row],[Rank (with ArcSinh normalization of select criteria)]],"")</f>
        <v/>
      </c>
      <c r="CB657" s="200">
        <f>IF(FMS_Ranking4[[#This Row],[FMS Type]]="Property Acquisition and Structural Elevation",FMS_Ranking4[[#This Row],[Rank (with ArcSinh normalization of select criteria)]],"")</f>
        <v>650</v>
      </c>
      <c r="CC657" s="200" t="str">
        <f>IF(FMS_Ranking4[[#This Row],[FMS Type]]="Infrastructure Projects",FMS_Ranking4[[#This Row],[Rank (with ArcSinh normalization of select criteria)]],"")</f>
        <v/>
      </c>
      <c r="CD657" s="200" t="str">
        <f>IF(FMS_Ranking4[[#This Row],[FMS Type]]="Other",FMS_Ranking4[[#This Row],[Rank (with ArcSinh normalization of select criteria)]],"")</f>
        <v/>
      </c>
      <c r="CE657" s="201"/>
      <c r="CF657" s="206"/>
      <c r="CG657" s="206"/>
      <c r="CH657" s="206"/>
      <c r="CI657" s="206"/>
      <c r="CJ657" s="206"/>
      <c r="CK657" s="206"/>
      <c r="CL657" s="206"/>
      <c r="CM657" s="206"/>
      <c r="CN657" s="206"/>
      <c r="CO657" s="206"/>
      <c r="CP657" s="206"/>
      <c r="CQ657" s="206"/>
      <c r="CR657" s="206"/>
    </row>
    <row r="658" spans="2:96" ht="90" x14ac:dyDescent="0.25">
      <c r="B658" s="341" t="s">
        <v>2135</v>
      </c>
      <c r="C658" s="246">
        <f>_xlfn.XLOOKUP(FMS_Ranking4[[#This Row],[FMS ID]],FMS_Input[FMS_ID],FMS_Input[RFPG_NUM])</f>
        <v>3</v>
      </c>
      <c r="D658" s="309" t="str">
        <f>_xlfn.XLOOKUP(FMS_Ranking4[[#This Row],[FMS ID]],FMS_Input[FMS_ID],FMS_Input[FMS_NAME])</f>
        <v>Wills Point Structure Permitting Requirement Update</v>
      </c>
      <c r="E658" s="308" t="str">
        <f>_xlfn.XLOOKUP(FMS_Ranking4[[#This Row],[FMS ID]],FMS_Input[FMS_ID],FMS_Input[SPONSOR])</f>
        <v>Wills Point</v>
      </c>
      <c r="F658" s="309" t="str">
        <f>_xlfn.XLOOKUP(FMS_Ranking4[[#This Row],[FMS ID]],Sponsor[FMS_ID],Sponsor[SPONSOR NAME])</f>
        <v>Wills Point</v>
      </c>
      <c r="G658" s="309" t="str">
        <f>_xlfn.XLOOKUP(FMS_Ranking4[[#This Row],[FMS ID]],FMS_Input[FMS_ID],FMS_Input[FMS_DESCR])</f>
        <v>Increase freeboard requirements for permitting structures in the SFHA; Adopt a “no-rise” in BFE in the 100-year floodplain; Update local flood ordinance</v>
      </c>
      <c r="H658" s="248" t="str">
        <f>_xlfn.XLOOKUP(FMS_Ranking4[[#This Row],[FMS ID]],FMS_Input[FMS_ID],FMS_Input[FMS_TYPE])</f>
        <v>Regulatory and Guidance</v>
      </c>
      <c r="I658" s="249">
        <f>_xlfn.XLOOKUP(FMS_Ranking4[[#This Row],[FMS ID]],FMS_Input[FMS_ID],FMS_Input[NRNC_COST])</f>
        <v>100000</v>
      </c>
      <c r="J658" s="250">
        <f>_xlfn.XLOOKUP(FMS_Ranking4[[#This Row],[FMS ID]],FMS_Input[FMS_ID],FMS_Input[FMS_COST])</f>
        <v>100000</v>
      </c>
      <c r="K658" s="251" t="str">
        <f>_xlfn.XLOOKUP(FMS_Ranking4[[#This Row],[FMS ID]],FMS_Input[FMS_ID],FMS_Input[EMER_NEED])</f>
        <v>No</v>
      </c>
      <c r="L658" s="252">
        <f t="shared" si="10"/>
        <v>0</v>
      </c>
      <c r="M658" s="253">
        <f>_xlfn.XLOOKUP(FMS_Ranking4[[#This Row],[FMS ID]],FMS_Input[FMS_ID],FMS_Input[STRUCT_100])</f>
        <v>25</v>
      </c>
      <c r="N658" s="255">
        <f>(ASINH(FMS_Ranking4[[#This Row],[Structure at Risk Raw]]))*(10)/(ASINH(M$4))</f>
        <v>3.0757468283129747</v>
      </c>
      <c r="O658" s="256">
        <f>FMS_Ranking4[[#This Row],[Structures at risk, ArcSinh (0-10)]]*M$5*10</f>
        <v>3.0757468283129752</v>
      </c>
      <c r="P658" s="253">
        <f>_xlfn.XLOOKUP(FMS_Ranking4[[#This Row],[FMS ID]],FMS_Input[FMS_ID],FMS_Input[RES_STRUCT100])</f>
        <v>12</v>
      </c>
      <c r="Q658" s="257">
        <f>ASINH(FMS_Ranking4[[#This Row],[Res Structure Raw]])/Q$4*P$5*100</f>
        <v>0</v>
      </c>
      <c r="R658" s="253">
        <f>_xlfn.XLOOKUP(FMS_Ranking4[[#This Row],[FMS ID]],FMS_Input[FMS_ID],FMS_Input[POP100])</f>
        <v>76</v>
      </c>
      <c r="S658" s="259">
        <f>(ASINH(FMS_Ranking4[[#This Row],[Pop at Risk Raw]]))*(10)/(ASINH(R$4))</f>
        <v>3.468307081994126</v>
      </c>
      <c r="T658" s="256">
        <f>FMS_Ranking4[[#This Row],[Population at risk, ArcSinh (0-10)]]*R$5*10</f>
        <v>3.4683070819941264</v>
      </c>
      <c r="U658" s="253">
        <f>_xlfn.XLOOKUP(FMS_Ranking4[[#This Row],[FMS ID]],FMS_Input[FMS_ID],FMS_Input[CRITFAC100])</f>
        <v>1</v>
      </c>
      <c r="V658" s="259">
        <f>(ASINH(FMS_Ranking4[[#This Row],[Critical Facilities Raw]]))*(10)/(ASINH(U$4))</f>
        <v>1.0433384451410745</v>
      </c>
      <c r="W658" s="256">
        <f>FMS_Ranking4[[#This Row],[Critical facilities at risk, ArcSinh (0-10)]]*U$5*10</f>
        <v>1.0433384451410745</v>
      </c>
      <c r="X658" s="253">
        <f>_xlfn.XLOOKUP(FMS_Ranking4[[#This Row],[FMS ID]],FMS_Input[FMS_ID],FMS_Input[LWC])</f>
        <v>0</v>
      </c>
      <c r="Y658" s="259">
        <f>(ASINH(FMS_Ranking4[[#This Row],[LWC Raw]]))*(10)/(ASINH(X$4))</f>
        <v>0</v>
      </c>
      <c r="Z658" s="256">
        <f>FMS_Ranking4[[#This Row],[LWC, ArcSInh (0-10)]]*X$5*10</f>
        <v>0</v>
      </c>
      <c r="AA658" s="253">
        <f>_xlfn.XLOOKUP(FMS_Ranking4[[#This Row],[FMS ID]],FMS_Input[FMS_ID],FMS_Input[ROADCLS])</f>
        <v>0</v>
      </c>
      <c r="AB658" s="255">
        <f>(ASINH(FMS_Ranking4[[#This Row],[Road Closures Raw]]))*(10)/(ASINH(AA$4))</f>
        <v>0</v>
      </c>
      <c r="AC658" s="256">
        <f>FMS_Ranking4[[#This Row],[Road closures, ArcSinh (0-10)]]*AA$5*10</f>
        <v>0</v>
      </c>
      <c r="AD658" s="253">
        <f>_xlfn.XLOOKUP(FMS_Ranking4[[#This Row],[FMS ID]],FMS_Input[FMS_ID],FMS_Input[ROAD_MILES100])</f>
        <v>1</v>
      </c>
      <c r="AE658" s="259">
        <f>(ASINH(FMS_Ranking4[[#This Row],[Road Miles Raw]]))*(10)/(ASINH(AD$4))</f>
        <v>0.9393017565219649</v>
      </c>
      <c r="AF658" s="256">
        <f>FMS_Ranking4[[#This Row],[Length of roads at risk, ArcSinh (0-10)]]*AD$5*10</f>
        <v>0.93930175652196501</v>
      </c>
      <c r="AG658" s="253">
        <f>_xlfn.XLOOKUP(FMS_Ranking4[[#This Row],[FMS ID]],FMS_Input[FMS_ID],FMS_Input[FARMACRE100])</f>
        <v>24.06868934631348</v>
      </c>
      <c r="AH658" s="255">
        <f>(ASINH(FMS_Ranking4[[#This Row],[Ag Land Raw]]))*(10)/(ASINH(AG$4))</f>
        <v>2.516797072047166</v>
      </c>
      <c r="AI658" s="260">
        <f>FMS_Ranking4[[#This Row],[Farm &amp; ranch land, ArcSinh (0-10)]]*AG$5*10</f>
        <v>1.258398536023583</v>
      </c>
      <c r="AJ658" s="258">
        <f>_xlfn.XLOOKUP(FMS_Ranking4[[#This Row],[FMS ID]],FMS_Input[FMS_ID],FMS_Input[REDSTRUCT100])</f>
        <v>0</v>
      </c>
      <c r="AK658" s="253">
        <f>_xlfn.XLOOKUP(FMS_Ranking4[[#This Row],[FMS ID]],FMS_Input[FMS_ID],FMS_Input[REMSTRC100])</f>
        <v>0</v>
      </c>
      <c r="AL658" s="259">
        <f>(ASINH(FMS_Ranking4[[#This Row],[Structures Removed Raw]]))*(10)/(ASINH(AK$4))</f>
        <v>0</v>
      </c>
      <c r="AM658" s="262">
        <f>FMS_Ranking4[[#This Row],[Structures removed, ArcSinh (0-10)]]*AK$5*10</f>
        <v>0</v>
      </c>
      <c r="AN658" s="253">
        <f>_xlfn.XLOOKUP(FMS_Ranking4[[#This Row],[FMS ID]],FMS_Input[FMS_ID],FMS_Input[REMRESSTRC100])</f>
        <v>0</v>
      </c>
      <c r="AO658" s="261">
        <f>FMS_Ranking4[[#This Row],[ArcSinh Res struct removed 0-10]]*AN$5*10</f>
        <v>0</v>
      </c>
      <c r="AP658" s="260">
        <f>ASINH(FMS_Ranking4[[#This Row],[Residential Structures Removed Raw]])/AP$4*AN$5*100</f>
        <v>0</v>
      </c>
      <c r="AQ658" s="254">
        <f>(ASINH(FMS_Ranking4[[#This Row],[Residential Structures Removed Raw]]))*(10)/(ASINH(AN$4))</f>
        <v>0</v>
      </c>
      <c r="AR658" s="253">
        <f>_xlfn.XLOOKUP(FMS_Ranking4[[#This Row],[FMS ID]],FMS_Input[FMS_ID],FMS_Input[REMPOP100])</f>
        <v>0</v>
      </c>
      <c r="AS658" s="259">
        <f>(ASINH(FMS_Ranking4[[#This Row],[Removed Pop Raw]]))*(10)/(ASINH(AR$4))</f>
        <v>0</v>
      </c>
      <c r="AT658" s="262">
        <f>FMS_Ranking4[[#This Row],[Removed population, ArcSinh (0-10)]]*AR$5*10</f>
        <v>0</v>
      </c>
      <c r="AU658" s="264">
        <f>_xlfn.XLOOKUP(FMS_Ranking4[[#This Row],[FMS ID]],FMS_Input[FMS_ID],FMS_Input[REMCRITFAC100])</f>
        <v>0</v>
      </c>
      <c r="AV658" s="264">
        <f>_xlfn.XLOOKUP(FMS_Ranking4[[#This Row],[FMS ID]],FMS_Input[FMS_ID],FMS_Input[REMLWC100])</f>
        <v>0</v>
      </c>
      <c r="AW658" s="264">
        <f>_xlfn.XLOOKUP(FMS_Ranking4[[#This Row],[FMS ID]],FMS_Input[FMS_ID],FMS_Input[REMROADCLS])</f>
        <v>0</v>
      </c>
      <c r="AX658" s="264">
        <f>_xlfn.XLOOKUP(FMS_Ranking4[[#This Row],[FMS ID]],FMS_Input[FMS_ID],FMS_Input[REMFRMACRE100])</f>
        <v>0</v>
      </c>
      <c r="AY658" s="258">
        <f>_xlfn.XLOOKUP(FMS_Ranking4[[#This Row],[FMS ID]],FMS_Input[FMS_ID],FMS_Input[COSTSTRUCT])</f>
        <v>0</v>
      </c>
      <c r="AZ658" s="253">
        <f>_xlfn.XLOOKUP(FMS_Ranking4[[#This Row],[FMS ID]],FMS_Input[FMS_ID],FMS_Input[NATURE])</f>
        <v>0</v>
      </c>
      <c r="BA658" s="262">
        <f>(((FMS_Ranking4[[#This Row],[% NBS Raw]]/AZ$4)*100)*AZ$5)</f>
        <v>0</v>
      </c>
      <c r="BB658" s="251" t="str">
        <f>_xlfn.XLOOKUP(FMS_Ranking4[[#This Row],[FMS ID]],FMS_Input[FMS_ID],FMS_Input[WATER_SUP])</f>
        <v>No</v>
      </c>
      <c r="BC658" s="265">
        <f>IF(FMS_Ranking4[[#This Row],[Water Supply Raw]]="Yes",10,0)</f>
        <v>0</v>
      </c>
      <c r="BD658" s="266">
        <f>_xlfn.XLOOKUP(FMS_Ranking4[[#This Row],[FMS Type]],FMS_TYPE[FMS_Type],FMS_TYPE[Score])</f>
        <v>8</v>
      </c>
      <c r="BE658" s="267">
        <f>FMS_Ranking4[[#This Row],[FMS_Type Score]]*$BD$5*10</f>
        <v>2</v>
      </c>
      <c r="BF65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8.2931709550883113E-3</v>
      </c>
      <c r="BG658" s="271">
        <f>_xlfn.RANK.EQ(BF658,$BF$8:$BF$870,0)+COUNTIF($BF$8:BF658,BF658)-1</f>
        <v>672</v>
      </c>
      <c r="BH658" s="268">
        <f>(((FMS_Ranking4[[#This Row],[Structures Removed Raw]]/AK$4)*100)*AK$5)+(((FMS_Ranking4[[#This Row],[Removed Pop Raw]]/AR$4)*100)*AR$5)</f>
        <v>0</v>
      </c>
      <c r="BI65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2.0082931709550884</v>
      </c>
      <c r="BJ658" s="205">
        <f>_xlfn.RANK.EQ(FMS_Ranking4[[#This Row],[Total Score 
(with linear
normalization)]],FMS_Ranking4[Total Score 
(with linear
normalization)],0)</f>
        <v>426</v>
      </c>
      <c r="BK658" s="205" t="e">
        <f>_xlfn.XLOOKUP(FMS_Ranking4[[#This Row],[FMS ID]],#REF!,#REF!)</f>
        <v>#REF!</v>
      </c>
      <c r="BL65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9.7850926479937232</v>
      </c>
      <c r="BM658" s="272">
        <f>FMS_Ranking4[[#This Row],[ArcSinh Score Based on Normalized Reported Factors]]+FMS_Ranking4[[#This Row],[% NBS Score (Normalized)]]+(FMS_Ranking4[[#This Row],[Water Supply Score (Normalized)]]*10*$BB$5)+FMS_Ranking4[[#This Row],[FMS_Type Score Weighted]]</f>
        <v>11.785092647993723</v>
      </c>
      <c r="BN658" s="205">
        <f>_xlfn.RANK.EQ(FMS_Ranking4[[#This Row],[Total Score (with ArcSinh normalization of select criteria)]],FMS_Ranking4[Total Score (with ArcSinh normalization of select criteria)],0)</f>
        <v>651</v>
      </c>
      <c r="BO658" s="270" t="str">
        <f>_xlfn.XLOOKUP(FMS_Ranking4[[#This Row],[FMS ID]],FMS_Input[FMS_ID],FMS_Input[FMS_RANK_YEAR])</f>
        <v>2023 Amended Plan</v>
      </c>
      <c r="BP658" s="204">
        <f>_xlfn.XLOOKUP(FMS_Ranking4[[#This Row],[FMS ID]],Prev_Rank[FMS ID],Prev_Rank[Prev Rank])</f>
        <v>579</v>
      </c>
      <c r="BQ658" s="205" t="e">
        <f>_xlfn.XLOOKUP(FMS_Ranking4[[#This Row],[FMS ID]],#REF!,#REF!)</f>
        <v>#REF!</v>
      </c>
      <c r="BR658" s="199" t="e">
        <f>SUM(#REF!,#REF!,#REF!,#REF!,#REF!,#REF!,#REF!,#REF!,#REF!,FMS_Ranking4[[#This Row],[ArcSinh Res struct removed 0-10]],#REF!)</f>
        <v>#REF!</v>
      </c>
      <c r="BS658" s="199" t="e">
        <f>FMS_Ranking4[[#This Row],[Log Score Based on Normalized Reported Factors]]+FMS_Ranking4[[#This Row],[% NBS Score (Normalized)]]+(FMS_Ranking4[[#This Row],[Water Supply Score (Normalized)]]*10*$BB$5)+(FMS_Ranking4[[#This Row],[FMS_Type Score Weighted]])</f>
        <v>#REF!</v>
      </c>
      <c r="BT658" s="200" t="e">
        <f>_xlfn.RANK.EQ(FMS_Ranking4[[#This Row],[Log Total Score]],FMS_Ranking4[Log Total Score],0)</f>
        <v>#REF!</v>
      </c>
      <c r="BU658" s="200" t="e">
        <f>_xlfn.XLOOKUP(FMS_Ranking4[[#This Row],[FMS ID]],#REF!,#REF!)</f>
        <v>#REF!</v>
      </c>
      <c r="BV658" s="200">
        <f>FMS_Ranking4[[#This Row],[Region Number]]</f>
        <v>3</v>
      </c>
      <c r="BW658" s="200">
        <f>FMS_Ranking4[[#This Row],[Rank (with ArcSinh normalization of select criteria)]]-FMS_Ranking4[[#This Row],[Rank
(with linear
normalization)]]</f>
        <v>225</v>
      </c>
      <c r="BX658" s="200" t="e">
        <f>FMS_Ranking4[[#This Row],[Log Rank]]-FMS_Ranking4[[#This Row],[Rank
(with linear
normalization)]]</f>
        <v>#REF!</v>
      </c>
      <c r="BY658" s="200" t="str">
        <f>IF(FMS_Ranking4[[#This Row],[FMS Type]]="Flood Measurement and Warning",FMS_Ranking4[[#This Row],[Rank (with ArcSinh normalization of select criteria)]],"")</f>
        <v/>
      </c>
      <c r="BZ658" s="200">
        <f>IF(FMS_Ranking4[[#This Row],[FMS Type]]="Regulatory and Guidance",FMS_Ranking4[[#This Row],[Rank (with ArcSinh normalization of select criteria)]],"")</f>
        <v>651</v>
      </c>
      <c r="CA658" s="200" t="str">
        <f>IF(FMS_Ranking4[[#This Row],[FMS Type]]="Education and Outreach",FMS_Ranking4[[#This Row],[Rank (with ArcSinh normalization of select criteria)]],"")</f>
        <v/>
      </c>
      <c r="CB658" s="200" t="str">
        <f>IF(FMS_Ranking4[[#This Row],[FMS Type]]="Property Acquisition and Structural Elevation",FMS_Ranking4[[#This Row],[Rank (with ArcSinh normalization of select criteria)]],"")</f>
        <v/>
      </c>
      <c r="CC658" s="200" t="str">
        <f>IF(FMS_Ranking4[[#This Row],[FMS Type]]="Infrastructure Projects",FMS_Ranking4[[#This Row],[Rank (with ArcSinh normalization of select criteria)]],"")</f>
        <v/>
      </c>
      <c r="CD658" s="200" t="str">
        <f>IF(FMS_Ranking4[[#This Row],[FMS Type]]="Other",FMS_Ranking4[[#This Row],[Rank (with ArcSinh normalization of select criteria)]],"")</f>
        <v/>
      </c>
      <c r="CE658" s="201"/>
      <c r="CF658" s="206"/>
      <c r="CG658" s="206"/>
      <c r="CH658" s="206"/>
      <c r="CI658" s="206"/>
      <c r="CJ658" s="206"/>
      <c r="CK658" s="206"/>
      <c r="CL658" s="206"/>
      <c r="CM658" s="206"/>
      <c r="CN658" s="206"/>
      <c r="CO658" s="206"/>
      <c r="CP658" s="206"/>
      <c r="CQ658" s="206"/>
      <c r="CR658" s="206"/>
    </row>
    <row r="659" spans="2:96" ht="30" x14ac:dyDescent="0.25">
      <c r="B659" s="341" t="s">
        <v>1286</v>
      </c>
      <c r="C659" s="246">
        <f>_xlfn.XLOOKUP(FMS_Ranking4[[#This Row],[FMS ID]],FMS_Input[FMS_ID],FMS_Input[RFPG_NUM])</f>
        <v>1</v>
      </c>
      <c r="D659" s="309" t="str">
        <f>_xlfn.XLOOKUP(FMS_Ranking4[[#This Row],[FMS ID]],FMS_Input[FMS_ID],FMS_Input[FMS_NAME])</f>
        <v>Miami NFIP Involvement</v>
      </c>
      <c r="E659" s="308" t="str">
        <f>_xlfn.XLOOKUP(FMS_Ranking4[[#This Row],[FMS ID]],FMS_Input[FMS_ID],FMS_Input[SPONSOR])</f>
        <v>01003091</v>
      </c>
      <c r="F659" s="309" t="str">
        <f>_xlfn.XLOOKUP(FMS_Ranking4[[#This Row],[FMS ID]],Sponsor[FMS_ID],Sponsor[SPONSOR NAME])</f>
        <v>Miami</v>
      </c>
      <c r="G659" s="309" t="str">
        <f>_xlfn.XLOOKUP(FMS_Ranking4[[#This Row],[FMS ID]],FMS_Input[FMS_ID],FMS_Input[FMS_DESCR])</f>
        <v>Application to join NFIP or adopt equivalent standards</v>
      </c>
      <c r="H659" s="248" t="str">
        <f>_xlfn.XLOOKUP(FMS_Ranking4[[#This Row],[FMS ID]],FMS_Input[FMS_ID],FMS_Input[FMS_TYPE])</f>
        <v>Regulatory and Guidance</v>
      </c>
      <c r="I659" s="249">
        <f>_xlfn.XLOOKUP(FMS_Ranking4[[#This Row],[FMS ID]],FMS_Input[FMS_ID],FMS_Input[NRNC_COST])</f>
        <v>100000</v>
      </c>
      <c r="J659" s="250">
        <f>_xlfn.XLOOKUP(FMS_Ranking4[[#This Row],[FMS ID]],FMS_Input[FMS_ID],FMS_Input[FMS_COST])</f>
        <v>100000</v>
      </c>
      <c r="K659" s="251" t="str">
        <f>_xlfn.XLOOKUP(FMS_Ranking4[[#This Row],[FMS ID]],FMS_Input[FMS_ID],FMS_Input[EMER_NEED])</f>
        <v>No</v>
      </c>
      <c r="L659" s="252">
        <f t="shared" si="10"/>
        <v>0</v>
      </c>
      <c r="M659" s="253">
        <f>_xlfn.XLOOKUP(FMS_Ranking4[[#This Row],[FMS ID]],FMS_Input[FMS_ID],FMS_Input[STRUCT_100])</f>
        <v>35</v>
      </c>
      <c r="N659" s="255">
        <f>(ASINH(FMS_Ranking4[[#This Row],[Structure at Risk Raw]]))*(10)/(ASINH(M$4))</f>
        <v>3.3401102232523052</v>
      </c>
      <c r="O659" s="256">
        <f>FMS_Ranking4[[#This Row],[Structures at risk, ArcSinh (0-10)]]*M$5*10</f>
        <v>3.3401102232523057</v>
      </c>
      <c r="P659" s="253">
        <f>_xlfn.XLOOKUP(FMS_Ranking4[[#This Row],[FMS ID]],FMS_Input[FMS_ID],FMS_Input[RES_STRUCT100])</f>
        <v>0</v>
      </c>
      <c r="Q659" s="257">
        <f>ASINH(FMS_Ranking4[[#This Row],[Res Structure Raw]])/Q$4*P$5*100</f>
        <v>0</v>
      </c>
      <c r="R659" s="253">
        <f>_xlfn.XLOOKUP(FMS_Ranking4[[#This Row],[FMS ID]],FMS_Input[FMS_ID],FMS_Input[POP100])</f>
        <v>38</v>
      </c>
      <c r="S659" s="255">
        <f>(ASINH(FMS_Ranking4[[#This Row],[Pop at Risk Raw]]))*(10)/(ASINH(R$4))</f>
        <v>2.9898768419602475</v>
      </c>
      <c r="T659" s="256">
        <f>FMS_Ranking4[[#This Row],[Population at risk, ArcSinh (0-10)]]*R$5*10</f>
        <v>2.9898768419602479</v>
      </c>
      <c r="U659" s="253">
        <f>_xlfn.XLOOKUP(FMS_Ranking4[[#This Row],[FMS ID]],FMS_Input[FMS_ID],FMS_Input[CRITFAC100])</f>
        <v>0</v>
      </c>
      <c r="V659" s="255">
        <f>(ASINH(FMS_Ranking4[[#This Row],[Critical Facilities Raw]]))*(10)/(ASINH(U$4))</f>
        <v>0</v>
      </c>
      <c r="W659" s="256">
        <f>FMS_Ranking4[[#This Row],[Critical facilities at risk, ArcSinh (0-10)]]*U$5*10</f>
        <v>0</v>
      </c>
      <c r="X659" s="253">
        <f>_xlfn.XLOOKUP(FMS_Ranking4[[#This Row],[FMS ID]],FMS_Input[FMS_ID],FMS_Input[LWC])</f>
        <v>0</v>
      </c>
      <c r="Y659" s="255">
        <f>(ASINH(FMS_Ranking4[[#This Row],[LWC Raw]]))*(10)/(ASINH(X$4))</f>
        <v>0</v>
      </c>
      <c r="Z659" s="256">
        <f>FMS_Ranking4[[#This Row],[LWC, ArcSInh (0-10)]]*X$5*10</f>
        <v>0</v>
      </c>
      <c r="AA659" s="253">
        <f>_xlfn.XLOOKUP(FMS_Ranking4[[#This Row],[FMS ID]],FMS_Input[FMS_ID],FMS_Input[ROADCLS])</f>
        <v>0</v>
      </c>
      <c r="AB659" s="255">
        <f>(ASINH(FMS_Ranking4[[#This Row],[Road Closures Raw]]))*(10)/(ASINH(AA$4))</f>
        <v>0</v>
      </c>
      <c r="AC659" s="256">
        <f>FMS_Ranking4[[#This Row],[Road closures, ArcSinh (0-10)]]*AA$5*10</f>
        <v>0</v>
      </c>
      <c r="AD659" s="253">
        <f>_xlfn.XLOOKUP(FMS_Ranking4[[#This Row],[FMS ID]],FMS_Input[FMS_ID],FMS_Input[ROAD_MILES100])</f>
        <v>2</v>
      </c>
      <c r="AE659" s="255">
        <f>(ASINH(FMS_Ranking4[[#This Row],[Road Miles Raw]]))*(10)/(ASINH(AD$4))</f>
        <v>1.5385182374234352</v>
      </c>
      <c r="AF659" s="256">
        <f>FMS_Ranking4[[#This Row],[Length of roads at risk, ArcSinh (0-10)]]*AD$5*10</f>
        <v>1.5385182374234352</v>
      </c>
      <c r="AG659" s="253">
        <f>_xlfn.XLOOKUP(FMS_Ranking4[[#This Row],[FMS ID]],FMS_Input[FMS_ID],FMS_Input[FARMACRE100])</f>
        <v>138.9869079589844</v>
      </c>
      <c r="AH659" s="255">
        <f>(ASINH(FMS_Ranking4[[#This Row],[Ag Land Raw]]))*(10)/(ASINH(AG$4))</f>
        <v>3.6555456130886719</v>
      </c>
      <c r="AI659" s="260">
        <f>FMS_Ranking4[[#This Row],[Farm &amp; ranch land, ArcSinh (0-10)]]*AG$5*10</f>
        <v>1.8277728065443362</v>
      </c>
      <c r="AJ659" s="258">
        <f>_xlfn.XLOOKUP(FMS_Ranking4[[#This Row],[FMS ID]],FMS_Input[FMS_ID],FMS_Input[REDSTRUCT100])</f>
        <v>0</v>
      </c>
      <c r="AK659" s="253">
        <f>_xlfn.XLOOKUP(FMS_Ranking4[[#This Row],[FMS ID]],FMS_Input[FMS_ID],FMS_Input[REMSTRC100])</f>
        <v>0</v>
      </c>
      <c r="AL659" s="255">
        <f>(ASINH(FMS_Ranking4[[#This Row],[Structures Removed Raw]]))*(10)/(ASINH(AK$4))</f>
        <v>0</v>
      </c>
      <c r="AM659" s="262">
        <f>FMS_Ranking4[[#This Row],[Structures removed, ArcSinh (0-10)]]*AK$5*10</f>
        <v>0</v>
      </c>
      <c r="AN659" s="253">
        <f>_xlfn.XLOOKUP(FMS_Ranking4[[#This Row],[FMS ID]],FMS_Input[FMS_ID],FMS_Input[REMRESSTRC100])</f>
        <v>0</v>
      </c>
      <c r="AO659" s="261">
        <f>FMS_Ranking4[[#This Row],[ArcSinh Res struct removed 0-10]]*AN$5*10</f>
        <v>0</v>
      </c>
      <c r="AP659" s="260">
        <f>ASINH(FMS_Ranking4[[#This Row],[Residential Structures Removed Raw]])/AP$4*AN$5*100</f>
        <v>0</v>
      </c>
      <c r="AQ659" s="258">
        <f>(ASINH(FMS_Ranking4[[#This Row],[Residential Structures Removed Raw]]))*(10)/(ASINH(AN$4))</f>
        <v>0</v>
      </c>
      <c r="AR659" s="253">
        <f>_xlfn.XLOOKUP(FMS_Ranking4[[#This Row],[FMS ID]],FMS_Input[FMS_ID],FMS_Input[REMPOP100])</f>
        <v>0</v>
      </c>
      <c r="AS659" s="255">
        <f>(ASINH(FMS_Ranking4[[#This Row],[Removed Pop Raw]]))*(10)/(ASINH(AR$4))</f>
        <v>0</v>
      </c>
      <c r="AT659" s="262">
        <f>FMS_Ranking4[[#This Row],[Removed population, ArcSinh (0-10)]]*AR$5*10</f>
        <v>0</v>
      </c>
      <c r="AU659" s="264">
        <f>_xlfn.XLOOKUP(FMS_Ranking4[[#This Row],[FMS ID]],FMS_Input[FMS_ID],FMS_Input[REMCRITFAC100])</f>
        <v>0</v>
      </c>
      <c r="AV659" s="264">
        <f>_xlfn.XLOOKUP(FMS_Ranking4[[#This Row],[FMS ID]],FMS_Input[FMS_ID],FMS_Input[REMLWC100])</f>
        <v>0</v>
      </c>
      <c r="AW659" s="264">
        <f>_xlfn.XLOOKUP(FMS_Ranking4[[#This Row],[FMS ID]],FMS_Input[FMS_ID],FMS_Input[REMROADCLS])</f>
        <v>0</v>
      </c>
      <c r="AX659" s="264">
        <f>_xlfn.XLOOKUP(FMS_Ranking4[[#This Row],[FMS ID]],FMS_Input[FMS_ID],FMS_Input[REMFRMACRE100])</f>
        <v>0</v>
      </c>
      <c r="AY659" s="258">
        <f>_xlfn.XLOOKUP(FMS_Ranking4[[#This Row],[FMS ID]],FMS_Input[FMS_ID],FMS_Input[COSTSTRUCT])</f>
        <v>0</v>
      </c>
      <c r="AZ659" s="253">
        <f>_xlfn.XLOOKUP(FMS_Ranking4[[#This Row],[FMS ID]],FMS_Input[FMS_ID],FMS_Input[NATURE])</f>
        <v>0</v>
      </c>
      <c r="BA659" s="262">
        <f>(((FMS_Ranking4[[#This Row],[% NBS Raw]]/AZ$4)*100)*AZ$5)</f>
        <v>0</v>
      </c>
      <c r="BB659" s="251" t="str">
        <f>_xlfn.XLOOKUP(FMS_Ranking4[[#This Row],[FMS ID]],FMS_Input[FMS_ID],FMS_Input[WATER_SUP])</f>
        <v>No</v>
      </c>
      <c r="BC659" s="265">
        <f>IF(FMS_Ranking4[[#This Row],[Water Supply Raw]]="Yes",10,0)</f>
        <v>0</v>
      </c>
      <c r="BD659" s="266">
        <f>_xlfn.XLOOKUP(FMS_Ranking4[[#This Row],[FMS Type]],FMS_TYPE[FMS_Type],FMS_TYPE[Score])</f>
        <v>8</v>
      </c>
      <c r="BE659" s="267">
        <f>FMS_Ranking4[[#This Row],[FMS_Type Score]]*$BD$5*10</f>
        <v>2</v>
      </c>
      <c r="BF65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6.1333047237906654E-3</v>
      </c>
      <c r="BG659" s="321">
        <f>_xlfn.RANK.EQ(BF659,$BF$8:$BF$870,0)+COUNTIF($BF$8:BF659,BF659)-1</f>
        <v>681</v>
      </c>
      <c r="BH659" s="294">
        <f>(((FMS_Ranking4[[#This Row],[Structures Removed Raw]]/AK$4)*100)*AK$5)+(((FMS_Ranking4[[#This Row],[Removed Pop Raw]]/AR$4)*100)*AR$5)</f>
        <v>0</v>
      </c>
      <c r="BI65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2.0061333047237908</v>
      </c>
      <c r="BJ659" s="251">
        <f>_xlfn.RANK.EQ(FMS_Ranking4[[#This Row],[Total Score 
(with linear
normalization)]],FMS_Ranking4[Total Score 
(with linear
normalization)],0)</f>
        <v>430</v>
      </c>
      <c r="BK659" s="251" t="e">
        <f>_xlfn.XLOOKUP(FMS_Ranking4[[#This Row],[FMS ID]],#REF!,#REF!)</f>
        <v>#REF!</v>
      </c>
      <c r="BL65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9.6962781091803247</v>
      </c>
      <c r="BM659" s="324">
        <f>FMS_Ranking4[[#This Row],[ArcSinh Score Based on Normalized Reported Factors]]+FMS_Ranking4[[#This Row],[% NBS Score (Normalized)]]+(FMS_Ranking4[[#This Row],[Water Supply Score (Normalized)]]*10*$BB$5)+FMS_Ranking4[[#This Row],[FMS_Type Score Weighted]]</f>
        <v>11.696278109180325</v>
      </c>
      <c r="BN659" s="251">
        <f>_xlfn.RANK.EQ(FMS_Ranking4[[#This Row],[Total Score (with ArcSinh normalization of select criteria)]],FMS_Ranking4[Total Score (with ArcSinh normalization of select criteria)],0)</f>
        <v>652</v>
      </c>
      <c r="BO659" s="270" t="str">
        <f>_xlfn.XLOOKUP(FMS_Ranking4[[#This Row],[FMS ID]],FMS_Input[FMS_ID],FMS_Input[FMS_RANK_YEAR])</f>
        <v>2023 Amended Plan</v>
      </c>
      <c r="BP659" s="204">
        <f>_xlfn.XLOOKUP(FMS_Ranking4[[#This Row],[FMS ID]],Prev_Rank[FMS ID],Prev_Rank[Prev Rank])</f>
        <v>582</v>
      </c>
      <c r="BQ659" s="251" t="e">
        <f>_xlfn.XLOOKUP(FMS_Ranking4[[#This Row],[FMS ID]],#REF!,#REF!)</f>
        <v>#REF!</v>
      </c>
      <c r="BR659" s="199" t="e">
        <f>SUM(#REF!,#REF!,#REF!,#REF!,#REF!,#REF!,#REF!,#REF!,#REF!,FMS_Ranking4[[#This Row],[ArcSinh Res struct removed 0-10]],#REF!)</f>
        <v>#REF!</v>
      </c>
      <c r="BS659" s="199" t="e">
        <f>FMS_Ranking4[[#This Row],[Log Score Based on Normalized Reported Factors]]+FMS_Ranking4[[#This Row],[% NBS Score (Normalized)]]+(FMS_Ranking4[[#This Row],[Water Supply Score (Normalized)]]*10*$BB$5)+(FMS_Ranking4[[#This Row],[FMS_Type Score Weighted]])</f>
        <v>#REF!</v>
      </c>
      <c r="BT659" s="200" t="e">
        <f>_xlfn.RANK.EQ(FMS_Ranking4[[#This Row],[Log Total Score]],FMS_Ranking4[Log Total Score],0)</f>
        <v>#REF!</v>
      </c>
      <c r="BU659" s="200" t="e">
        <f>_xlfn.XLOOKUP(FMS_Ranking4[[#This Row],[FMS ID]],#REF!,#REF!)</f>
        <v>#REF!</v>
      </c>
      <c r="BV659" s="200">
        <f>FMS_Ranking4[[#This Row],[Region Number]]</f>
        <v>1</v>
      </c>
      <c r="BW659" s="200">
        <f>FMS_Ranking4[[#This Row],[Rank (with ArcSinh normalization of select criteria)]]-FMS_Ranking4[[#This Row],[Rank
(with linear
normalization)]]</f>
        <v>222</v>
      </c>
      <c r="BX659" s="200" t="e">
        <f>FMS_Ranking4[[#This Row],[Log Rank]]-FMS_Ranking4[[#This Row],[Rank
(with linear
normalization)]]</f>
        <v>#REF!</v>
      </c>
      <c r="BY659" s="200" t="str">
        <f>IF(FMS_Ranking4[[#This Row],[FMS Type]]="Flood Measurement and Warning",FMS_Ranking4[[#This Row],[Rank (with ArcSinh normalization of select criteria)]],"")</f>
        <v/>
      </c>
      <c r="BZ659" s="200">
        <f>IF(FMS_Ranking4[[#This Row],[FMS Type]]="Regulatory and Guidance",FMS_Ranking4[[#This Row],[Rank (with ArcSinh normalization of select criteria)]],"")</f>
        <v>652</v>
      </c>
      <c r="CA659" s="200" t="str">
        <f>IF(FMS_Ranking4[[#This Row],[FMS Type]]="Education and Outreach",FMS_Ranking4[[#This Row],[Rank (with ArcSinh normalization of select criteria)]],"")</f>
        <v/>
      </c>
      <c r="CB659" s="200" t="str">
        <f>IF(FMS_Ranking4[[#This Row],[FMS Type]]="Property Acquisition and Structural Elevation",FMS_Ranking4[[#This Row],[Rank (with ArcSinh normalization of select criteria)]],"")</f>
        <v/>
      </c>
      <c r="CC659" s="200" t="str">
        <f>IF(FMS_Ranking4[[#This Row],[FMS Type]]="Infrastructure Projects",FMS_Ranking4[[#This Row],[Rank (with ArcSinh normalization of select criteria)]],"")</f>
        <v/>
      </c>
      <c r="CD659" s="200" t="str">
        <f>IF(FMS_Ranking4[[#This Row],[FMS Type]]="Other",FMS_Ranking4[[#This Row],[Rank (with ArcSinh normalization of select criteria)]],"")</f>
        <v/>
      </c>
      <c r="CE659" s="201"/>
      <c r="CF659" s="206"/>
      <c r="CG659" s="206"/>
      <c r="CH659" s="206"/>
      <c r="CI659" s="206"/>
      <c r="CJ659" s="206"/>
      <c r="CK659" s="206"/>
      <c r="CL659" s="206"/>
      <c r="CM659" s="206"/>
      <c r="CN659" s="206"/>
      <c r="CO659" s="206"/>
      <c r="CP659" s="206"/>
      <c r="CQ659" s="206"/>
      <c r="CR659" s="206"/>
    </row>
    <row r="660" spans="2:96" ht="75" x14ac:dyDescent="0.25">
      <c r="B660" s="341" t="s">
        <v>2582</v>
      </c>
      <c r="C660" s="246">
        <f>_xlfn.XLOOKUP(FMS_Ranking4[[#This Row],[FMS ID]],FMS_Input[FMS_ID],FMS_Input[RFPG_NUM])</f>
        <v>4</v>
      </c>
      <c r="D660" s="309" t="str">
        <f>_xlfn.XLOOKUP(FMS_Ranking4[[#This Row],[FMS ID]],FMS_Input[FMS_ID],FMS_Input[FMS_NAME])</f>
        <v xml:space="preserve">City of Hideaway Dam Reliability Program_x000D_
</v>
      </c>
      <c r="E660" s="308" t="str">
        <f>_xlfn.XLOOKUP(FMS_Ranking4[[#This Row],[FMS ID]],FMS_Input[FMS_ID],FMS_Input[SPONSOR])</f>
        <v>00003178</v>
      </c>
      <c r="F660" s="309" t="str">
        <f>_xlfn.XLOOKUP(FMS_Ranking4[[#This Row],[FMS ID]],Sponsor[FMS_ID],Sponsor[SPONSOR NAME])</f>
        <v>Hideaway</v>
      </c>
      <c r="G660" s="309" t="str">
        <f>_xlfn.XLOOKUP(FMS_Ranking4[[#This Row],[FMS ID]],FMS_Input[FMS_ID],FMS_Input[FMS_DESCR])</f>
        <v xml:space="preserve">The city will remove trees from earthen dams on hideaway lakes #2 and #3 to mitigate erosion and assist with soil adhesion._x000D_
</v>
      </c>
      <c r="H660" s="248" t="str">
        <f>_xlfn.XLOOKUP(FMS_Ranking4[[#This Row],[FMS ID]],FMS_Input[FMS_ID],FMS_Input[FMS_TYPE])</f>
        <v>Other</v>
      </c>
      <c r="I660" s="249">
        <f>_xlfn.XLOOKUP(FMS_Ranking4[[#This Row],[FMS ID]],FMS_Input[FMS_ID],FMS_Input[NRNC_COST])</f>
        <v>60000</v>
      </c>
      <c r="J660" s="250">
        <f>_xlfn.XLOOKUP(FMS_Ranking4[[#This Row],[FMS ID]],FMS_Input[FMS_ID],FMS_Input[FMS_COST])</f>
        <v>60000</v>
      </c>
      <c r="K660" s="251" t="str">
        <f>_xlfn.XLOOKUP(FMS_Ranking4[[#This Row],[FMS ID]],FMS_Input[FMS_ID],FMS_Input[EMER_NEED])</f>
        <v>No</v>
      </c>
      <c r="L660" s="252">
        <f t="shared" si="10"/>
        <v>0</v>
      </c>
      <c r="M660" s="253">
        <f>_xlfn.XLOOKUP(FMS_Ranking4[[#This Row],[FMS ID]],FMS_Input[FMS_ID],FMS_Input[STRUCT_100])</f>
        <v>249</v>
      </c>
      <c r="N660" s="255">
        <f>(ASINH(FMS_Ranking4[[#This Row],[Structure at Risk Raw]]))*(10)/(ASINH(M$4))</f>
        <v>4.8824595487261711</v>
      </c>
      <c r="O660" s="256">
        <f>FMS_Ranking4[[#This Row],[Structures at risk, ArcSinh (0-10)]]*M$5*10</f>
        <v>4.8824595487261711</v>
      </c>
      <c r="P660" s="253">
        <f>_xlfn.XLOOKUP(FMS_Ranking4[[#This Row],[FMS ID]],FMS_Input[FMS_ID],FMS_Input[RES_STRUCT100])</f>
        <v>224</v>
      </c>
      <c r="Q660" s="257">
        <f>ASINH(FMS_Ranking4[[#This Row],[Res Structure Raw]])/Q$4*P$5*100</f>
        <v>0</v>
      </c>
      <c r="R660" s="253">
        <f>_xlfn.XLOOKUP(FMS_Ranking4[[#This Row],[FMS ID]],FMS_Input[FMS_ID],FMS_Input[POP100])</f>
        <v>364</v>
      </c>
      <c r="S660" s="259">
        <f>(ASINH(FMS_Ranking4[[#This Row],[Pop at Risk Raw]]))*(10)/(ASINH(R$4))</f>
        <v>4.5496697898616993</v>
      </c>
      <c r="T660" s="256">
        <f>FMS_Ranking4[[#This Row],[Population at risk, ArcSinh (0-10)]]*R$5*10</f>
        <v>4.5496697898616993</v>
      </c>
      <c r="U660" s="253">
        <f>_xlfn.XLOOKUP(FMS_Ranking4[[#This Row],[FMS ID]],FMS_Input[FMS_ID],FMS_Input[CRITFAC100])</f>
        <v>0</v>
      </c>
      <c r="V660" s="259">
        <f>(ASINH(FMS_Ranking4[[#This Row],[Critical Facilities Raw]]))*(10)/(ASINH(U$4))</f>
        <v>0</v>
      </c>
      <c r="W660" s="256">
        <f>FMS_Ranking4[[#This Row],[Critical facilities at risk, ArcSinh (0-10)]]*U$5*10</f>
        <v>0</v>
      </c>
      <c r="X660" s="253">
        <f>_xlfn.XLOOKUP(FMS_Ranking4[[#This Row],[FMS ID]],FMS_Input[FMS_ID],FMS_Input[LWC])</f>
        <v>0</v>
      </c>
      <c r="Y660" s="259">
        <f>(ASINH(FMS_Ranking4[[#This Row],[LWC Raw]]))*(10)/(ASINH(X$4))</f>
        <v>0</v>
      </c>
      <c r="Z660" s="256">
        <f>FMS_Ranking4[[#This Row],[LWC, ArcSInh (0-10)]]*X$5*10</f>
        <v>0</v>
      </c>
      <c r="AA660" s="253">
        <f>_xlfn.XLOOKUP(FMS_Ranking4[[#This Row],[FMS ID]],FMS_Input[FMS_ID],FMS_Input[ROADCLS])</f>
        <v>0</v>
      </c>
      <c r="AB660" s="255">
        <f>(ASINH(FMS_Ranking4[[#This Row],[Road Closures Raw]]))*(10)/(ASINH(AA$4))</f>
        <v>0</v>
      </c>
      <c r="AC660" s="256">
        <f>FMS_Ranking4[[#This Row],[Road closures, ArcSinh (0-10)]]*AA$5*10</f>
        <v>0</v>
      </c>
      <c r="AD660" s="253">
        <f>_xlfn.XLOOKUP(FMS_Ranking4[[#This Row],[FMS ID]],FMS_Input[FMS_ID],FMS_Input[ROAD_MILES100])</f>
        <v>1</v>
      </c>
      <c r="AE660" s="259">
        <f>(ASINH(FMS_Ranking4[[#This Row],[Road Miles Raw]]))*(10)/(ASINH(AD$4))</f>
        <v>0.9393017565219649</v>
      </c>
      <c r="AF660" s="256">
        <f>FMS_Ranking4[[#This Row],[Length of roads at risk, ArcSinh (0-10)]]*AD$5*10</f>
        <v>0.93930175652196501</v>
      </c>
      <c r="AG660" s="253">
        <f>_xlfn.XLOOKUP(FMS_Ranking4[[#This Row],[FMS ID]],FMS_Input[FMS_ID],FMS_Input[FARMACRE100])</f>
        <v>4.3455944061279297</v>
      </c>
      <c r="AH660" s="255">
        <f>(ASINH(FMS_Ranking4[[#This Row],[Ag Land Raw]]))*(10)/(ASINH(AG$4))</f>
        <v>1.4130299607338708</v>
      </c>
      <c r="AI660" s="260">
        <f>FMS_Ranking4[[#This Row],[Farm &amp; ranch land, ArcSinh (0-10)]]*AG$5*10</f>
        <v>0.7065149803669355</v>
      </c>
      <c r="AJ660" s="258">
        <f>_xlfn.XLOOKUP(FMS_Ranking4[[#This Row],[FMS ID]],FMS_Input[FMS_ID],FMS_Input[REDSTRUCT100])</f>
        <v>0</v>
      </c>
      <c r="AK660" s="253">
        <f>_xlfn.XLOOKUP(FMS_Ranking4[[#This Row],[FMS ID]],FMS_Input[FMS_ID],FMS_Input[REMSTRC100])</f>
        <v>0</v>
      </c>
      <c r="AL660" s="259">
        <f>(ASINH(FMS_Ranking4[[#This Row],[Structures Removed Raw]]))*(10)/(ASINH(AK$4))</f>
        <v>0</v>
      </c>
      <c r="AM660" s="262">
        <f>FMS_Ranking4[[#This Row],[Structures removed, ArcSinh (0-10)]]*AK$5*10</f>
        <v>0</v>
      </c>
      <c r="AN660" s="253">
        <f>_xlfn.XLOOKUP(FMS_Ranking4[[#This Row],[FMS ID]],FMS_Input[FMS_ID],FMS_Input[REMRESSTRC100])</f>
        <v>0</v>
      </c>
      <c r="AO660" s="261">
        <f>FMS_Ranking4[[#This Row],[ArcSinh Res struct removed 0-10]]*AN$5*10</f>
        <v>0</v>
      </c>
      <c r="AP660" s="260">
        <f>ASINH(FMS_Ranking4[[#This Row],[Residential Structures Removed Raw]])/AP$4*AN$5*100</f>
        <v>0</v>
      </c>
      <c r="AQ660" s="254">
        <f>(ASINH(FMS_Ranking4[[#This Row],[Residential Structures Removed Raw]]))*(10)/(ASINH(AN$4))</f>
        <v>0</v>
      </c>
      <c r="AR660" s="253">
        <f>_xlfn.XLOOKUP(FMS_Ranking4[[#This Row],[FMS ID]],FMS_Input[FMS_ID],FMS_Input[REMPOP100])</f>
        <v>0</v>
      </c>
      <c r="AS660" s="259">
        <f>(ASINH(FMS_Ranking4[[#This Row],[Removed Pop Raw]]))*(10)/(ASINH(AR$4))</f>
        <v>0</v>
      </c>
      <c r="AT660" s="262">
        <f>FMS_Ranking4[[#This Row],[Removed population, ArcSinh (0-10)]]*AR$5*10</f>
        <v>0</v>
      </c>
      <c r="AU660" s="264">
        <f>_xlfn.XLOOKUP(FMS_Ranking4[[#This Row],[FMS ID]],FMS_Input[FMS_ID],FMS_Input[REMCRITFAC100])</f>
        <v>0</v>
      </c>
      <c r="AV660" s="264">
        <f>_xlfn.XLOOKUP(FMS_Ranking4[[#This Row],[FMS ID]],FMS_Input[FMS_ID],FMS_Input[REMLWC100])</f>
        <v>0</v>
      </c>
      <c r="AW660" s="264">
        <f>_xlfn.XLOOKUP(FMS_Ranking4[[#This Row],[FMS ID]],FMS_Input[FMS_ID],FMS_Input[REMROADCLS])</f>
        <v>0</v>
      </c>
      <c r="AX660" s="264">
        <f>_xlfn.XLOOKUP(FMS_Ranking4[[#This Row],[FMS ID]],FMS_Input[FMS_ID],FMS_Input[REMFRMACRE100])</f>
        <v>0</v>
      </c>
      <c r="AY660" s="258">
        <f>_xlfn.XLOOKUP(FMS_Ranking4[[#This Row],[FMS ID]],FMS_Input[FMS_ID],FMS_Input[COSTSTRUCT])</f>
        <v>0</v>
      </c>
      <c r="AZ660" s="253">
        <f>_xlfn.XLOOKUP(FMS_Ranking4[[#This Row],[FMS ID]],FMS_Input[FMS_ID],FMS_Input[NATURE])</f>
        <v>0</v>
      </c>
      <c r="BA660" s="262">
        <f>(((FMS_Ranking4[[#This Row],[% NBS Raw]]/AZ$4)*100)*AZ$5)</f>
        <v>0</v>
      </c>
      <c r="BB660" s="251" t="str">
        <f>_xlfn.XLOOKUP(FMS_Ranking4[[#This Row],[FMS ID]],FMS_Input[FMS_ID],FMS_Input[WATER_SUP])</f>
        <v>No</v>
      </c>
      <c r="BC660" s="265">
        <f>IF(FMS_Ranking4[[#This Row],[Water Supply Raw]]="Yes",10,0)</f>
        <v>0</v>
      </c>
      <c r="BD660" s="266">
        <f>_xlfn.XLOOKUP(FMS_Ranking4[[#This Row],[FMS Type]],FMS_TYPE[FMS_Type],FMS_TYPE[Score])</f>
        <v>2</v>
      </c>
      <c r="BE660" s="267">
        <f>FMS_Ranking4[[#This Row],[FMS_Type Score]]*$BD$5*10</f>
        <v>0.5</v>
      </c>
      <c r="BF66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2.0307806182879411E-2</v>
      </c>
      <c r="BG660" s="271">
        <f>_xlfn.RANK.EQ(BF660,$BF$8:$BF$870,0)+COUNTIF($BF$8:BF660,BF660)-1</f>
        <v>634</v>
      </c>
      <c r="BH660" s="268">
        <f>(((FMS_Ranking4[[#This Row],[Structures Removed Raw]]/AK$4)*100)*AK$5)+(((FMS_Ranking4[[#This Row],[Removed Pop Raw]]/AR$4)*100)*AR$5)</f>
        <v>0</v>
      </c>
      <c r="BI66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0.52030780618287942</v>
      </c>
      <c r="BJ660" s="205">
        <f>_xlfn.RANK.EQ(FMS_Ranking4[[#This Row],[Total Score 
(with linear
normalization)]],FMS_Ranking4[Total Score 
(with linear
normalization)],0)</f>
        <v>839</v>
      </c>
      <c r="BK660" s="205" t="e">
        <f>_xlfn.XLOOKUP(FMS_Ranking4[[#This Row],[FMS ID]],#REF!,#REF!)</f>
        <v>#REF!</v>
      </c>
      <c r="BL66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11.07794607547677</v>
      </c>
      <c r="BM660" s="272">
        <f>FMS_Ranking4[[#This Row],[ArcSinh Score Based on Normalized Reported Factors]]+FMS_Ranking4[[#This Row],[% NBS Score (Normalized)]]+(FMS_Ranking4[[#This Row],[Water Supply Score (Normalized)]]*10*$BB$5)+FMS_Ranking4[[#This Row],[FMS_Type Score Weighted]]</f>
        <v>11.57794607547677</v>
      </c>
      <c r="BN660" s="205">
        <f>_xlfn.RANK.EQ(FMS_Ranking4[[#This Row],[Total Score (with ArcSinh normalization of select criteria)]],FMS_Ranking4[Total Score (with ArcSinh normalization of select criteria)],0)</f>
        <v>653</v>
      </c>
      <c r="BO660" s="270" t="str">
        <f>_xlfn.XLOOKUP(FMS_Ranking4[[#This Row],[FMS ID]],FMS_Input[FMS_ID],FMS_Input[FMS_RANK_YEAR])</f>
        <v>2023 Amended Plan</v>
      </c>
      <c r="BP660" s="204">
        <f>_xlfn.XLOOKUP(FMS_Ranking4[[#This Row],[FMS ID]],Prev_Rank[FMS ID],Prev_Rank[Prev Rank])</f>
        <v>584</v>
      </c>
      <c r="BQ660" s="205" t="e">
        <f>_xlfn.XLOOKUP(FMS_Ranking4[[#This Row],[FMS ID]],#REF!,#REF!)</f>
        <v>#REF!</v>
      </c>
      <c r="BR660" s="199" t="e">
        <f>SUM(#REF!,#REF!,#REF!,#REF!,#REF!,#REF!,#REF!,#REF!,#REF!,FMS_Ranking4[[#This Row],[ArcSinh Res struct removed 0-10]],#REF!)</f>
        <v>#REF!</v>
      </c>
      <c r="BS660" s="199" t="e">
        <f>FMS_Ranking4[[#This Row],[Log Score Based on Normalized Reported Factors]]+FMS_Ranking4[[#This Row],[% NBS Score (Normalized)]]+(FMS_Ranking4[[#This Row],[Water Supply Score (Normalized)]]*10*$BB$5)+(FMS_Ranking4[[#This Row],[FMS_Type Score Weighted]])</f>
        <v>#REF!</v>
      </c>
      <c r="BT660" s="200" t="e">
        <f>_xlfn.RANK.EQ(FMS_Ranking4[[#This Row],[Log Total Score]],FMS_Ranking4[Log Total Score],0)</f>
        <v>#REF!</v>
      </c>
      <c r="BU660" s="200" t="e">
        <f>_xlfn.XLOOKUP(FMS_Ranking4[[#This Row],[FMS ID]],#REF!,#REF!)</f>
        <v>#REF!</v>
      </c>
      <c r="BV660" s="200">
        <f>FMS_Ranking4[[#This Row],[Region Number]]</f>
        <v>4</v>
      </c>
      <c r="BW660" s="200">
        <f>FMS_Ranking4[[#This Row],[Rank (with ArcSinh normalization of select criteria)]]-FMS_Ranking4[[#This Row],[Rank
(with linear
normalization)]]</f>
        <v>-186</v>
      </c>
      <c r="BX660" s="200" t="e">
        <f>FMS_Ranking4[[#This Row],[Log Rank]]-FMS_Ranking4[[#This Row],[Rank
(with linear
normalization)]]</f>
        <v>#REF!</v>
      </c>
      <c r="BY660" s="200" t="str">
        <f>IF(FMS_Ranking4[[#This Row],[FMS Type]]="Flood Measurement and Warning",FMS_Ranking4[[#This Row],[Rank (with ArcSinh normalization of select criteria)]],"")</f>
        <v/>
      </c>
      <c r="BZ660" s="200" t="str">
        <f>IF(FMS_Ranking4[[#This Row],[FMS Type]]="Regulatory and Guidance",FMS_Ranking4[[#This Row],[Rank (with ArcSinh normalization of select criteria)]],"")</f>
        <v/>
      </c>
      <c r="CA660" s="200" t="str">
        <f>IF(FMS_Ranking4[[#This Row],[FMS Type]]="Education and Outreach",FMS_Ranking4[[#This Row],[Rank (with ArcSinh normalization of select criteria)]],"")</f>
        <v/>
      </c>
      <c r="CB660" s="200" t="str">
        <f>IF(FMS_Ranking4[[#This Row],[FMS Type]]="Property Acquisition and Structural Elevation",FMS_Ranking4[[#This Row],[Rank (with ArcSinh normalization of select criteria)]],"")</f>
        <v/>
      </c>
      <c r="CC660" s="200" t="str">
        <f>IF(FMS_Ranking4[[#This Row],[FMS Type]]="Infrastructure Projects",FMS_Ranking4[[#This Row],[Rank (with ArcSinh normalization of select criteria)]],"")</f>
        <v/>
      </c>
      <c r="CD660" s="200">
        <f>IF(FMS_Ranking4[[#This Row],[FMS Type]]="Other",FMS_Ranking4[[#This Row],[Rank (with ArcSinh normalization of select criteria)]],"")</f>
        <v>653</v>
      </c>
      <c r="CE660" s="201"/>
      <c r="CF660" s="206"/>
      <c r="CG660" s="206"/>
      <c r="CH660" s="206"/>
      <c r="CI660" s="206"/>
      <c r="CJ660" s="206"/>
      <c r="CK660" s="206"/>
      <c r="CL660" s="206"/>
      <c r="CM660" s="206"/>
      <c r="CN660" s="206"/>
      <c r="CO660" s="206"/>
      <c r="CP660" s="206"/>
      <c r="CQ660" s="206"/>
      <c r="CR660" s="206"/>
    </row>
    <row r="661" spans="2:96" ht="150" x14ac:dyDescent="0.25">
      <c r="B661" s="341" t="s">
        <v>3509</v>
      </c>
      <c r="C661" s="246">
        <f>_xlfn.XLOOKUP(FMS_Ranking4[[#This Row],[FMS ID]],FMS_Input[FMS_ID],FMS_Input[RFPG_NUM])</f>
        <v>12</v>
      </c>
      <c r="D661" s="309" t="str">
        <f>_xlfn.XLOOKUP(FMS_Ranking4[[#This Row],[FMS ID]],FMS_Input[FMS_ID],FMS_Input[FMS_NAME])</f>
        <v>Update flood information and policies</v>
      </c>
      <c r="E661" s="308" t="str">
        <f>_xlfn.XLOOKUP(FMS_Ranking4[[#This Row],[FMS ID]],FMS_Input[FMS_ID],FMS_Input[SPONSOR])</f>
        <v>12002975</v>
      </c>
      <c r="F661" s="309" t="str">
        <f>_xlfn.XLOOKUP(FMS_Ranking4[[#This Row],[FMS ID]],Sponsor[FMS_ID],Sponsor[SPONSOR NAME])</f>
        <v>Kenedy</v>
      </c>
      <c r="G661" s="309" t="str">
        <f>_xlfn.XLOOKUP(FMS_Ranking4[[#This Row],[FMS ID]],FMS_Input[FMS_ID],FMS_Input[FMS_DESCR])</f>
        <v>Identify and compile information on flood hazard areas and residential property in flood zones, establish and implement a volunteer acquisition / elevation program based on FEMA protocol in association with SARA studies, and review permitting process bas</v>
      </c>
      <c r="H661" s="248" t="str">
        <f>_xlfn.XLOOKUP(FMS_Ranking4[[#This Row],[FMS ID]],FMS_Input[FMS_ID],FMS_Input[FMS_TYPE])</f>
        <v>Regulatory and Guidance</v>
      </c>
      <c r="I661" s="249">
        <f>_xlfn.XLOOKUP(FMS_Ranking4[[#This Row],[FMS ID]],FMS_Input[FMS_ID],FMS_Input[NRNC_COST])</f>
        <v>100000</v>
      </c>
      <c r="J661" s="250">
        <f>_xlfn.XLOOKUP(FMS_Ranking4[[#This Row],[FMS ID]],FMS_Input[FMS_ID],FMS_Input[FMS_COST])</f>
        <v>100000</v>
      </c>
      <c r="K661" s="251" t="str">
        <f>_xlfn.XLOOKUP(FMS_Ranking4[[#This Row],[FMS ID]],FMS_Input[FMS_ID],FMS_Input[EMER_NEED])</f>
        <v>No</v>
      </c>
      <c r="L661" s="252">
        <f t="shared" si="10"/>
        <v>0</v>
      </c>
      <c r="M661" s="253">
        <f>_xlfn.XLOOKUP(FMS_Ranking4[[#This Row],[FMS ID]],FMS_Input[FMS_ID],FMS_Input[STRUCT_100])</f>
        <v>42</v>
      </c>
      <c r="N661" s="255">
        <f>(ASINH(FMS_Ranking4[[#This Row],[Structure at Risk Raw]]))*(10)/(ASINH(M$4))</f>
        <v>3.4833931159199318</v>
      </c>
      <c r="O661" s="256">
        <f>FMS_Ranking4[[#This Row],[Structures at risk, ArcSinh (0-10)]]*M$5*10</f>
        <v>3.4833931159199323</v>
      </c>
      <c r="P661" s="253">
        <f>_xlfn.XLOOKUP(FMS_Ranking4[[#This Row],[FMS ID]],FMS_Input[FMS_ID],FMS_Input[RES_STRUCT100])</f>
        <v>24</v>
      </c>
      <c r="Q661" s="257">
        <f>ASINH(FMS_Ranking4[[#This Row],[Res Structure Raw]])/Q$4*P$5*100</f>
        <v>0</v>
      </c>
      <c r="R661" s="253">
        <f>_xlfn.XLOOKUP(FMS_Ranking4[[#This Row],[FMS ID]],FMS_Input[FMS_ID],FMS_Input[POP100])</f>
        <v>59</v>
      </c>
      <c r="S661" s="259">
        <f>(ASINH(FMS_Ranking4[[#This Row],[Pop at Risk Raw]]))*(10)/(ASINH(R$4))</f>
        <v>3.2935309107700133</v>
      </c>
      <c r="T661" s="256">
        <f>FMS_Ranking4[[#This Row],[Population at risk, ArcSinh (0-10)]]*R$5*10</f>
        <v>3.2935309107700133</v>
      </c>
      <c r="U661" s="253">
        <f>_xlfn.XLOOKUP(FMS_Ranking4[[#This Row],[FMS ID]],FMS_Input[FMS_ID],FMS_Input[CRITFAC100])</f>
        <v>0</v>
      </c>
      <c r="V661" s="259">
        <f>(ASINH(FMS_Ranking4[[#This Row],[Critical Facilities Raw]]))*(10)/(ASINH(U$4))</f>
        <v>0</v>
      </c>
      <c r="W661" s="256">
        <f>FMS_Ranking4[[#This Row],[Critical facilities at risk, ArcSinh (0-10)]]*U$5*10</f>
        <v>0</v>
      </c>
      <c r="X661" s="253">
        <f>_xlfn.XLOOKUP(FMS_Ranking4[[#This Row],[FMS ID]],FMS_Input[FMS_ID],FMS_Input[LWC])</f>
        <v>0</v>
      </c>
      <c r="Y661" s="259">
        <f>(ASINH(FMS_Ranking4[[#This Row],[LWC Raw]]))*(10)/(ASINH(X$4))</f>
        <v>0</v>
      </c>
      <c r="Z661" s="256">
        <f>FMS_Ranking4[[#This Row],[LWC, ArcSInh (0-10)]]*X$5*10</f>
        <v>0</v>
      </c>
      <c r="AA661" s="253">
        <f>_xlfn.XLOOKUP(FMS_Ranking4[[#This Row],[FMS ID]],FMS_Input[FMS_ID],FMS_Input[ROADCLS])</f>
        <v>22</v>
      </c>
      <c r="AB661" s="255">
        <f>(ASINH(FMS_Ranking4[[#This Row],[Road Closures Raw]]))*(10)/(ASINH(AA$4))</f>
        <v>3.9414236801787323</v>
      </c>
      <c r="AC661" s="256">
        <f>FMS_Ranking4[[#This Row],[Road closures, ArcSinh (0-10)]]*AA$5*10</f>
        <v>1.9707118400893664</v>
      </c>
      <c r="AD661" s="253">
        <f>_xlfn.XLOOKUP(FMS_Ranking4[[#This Row],[FMS ID]],FMS_Input[FMS_ID],FMS_Input[ROAD_MILES100])</f>
        <v>0</v>
      </c>
      <c r="AE661" s="259">
        <f>(ASINH(FMS_Ranking4[[#This Row],[Road Miles Raw]]))*(10)/(ASINH(AD$4))</f>
        <v>0</v>
      </c>
      <c r="AF661" s="256">
        <f>FMS_Ranking4[[#This Row],[Length of roads at risk, ArcSinh (0-10)]]*AD$5*10</f>
        <v>0</v>
      </c>
      <c r="AG661" s="253">
        <f>_xlfn.XLOOKUP(FMS_Ranking4[[#This Row],[FMS ID]],FMS_Input[FMS_ID],FMS_Input[FARMACRE100])</f>
        <v>6.0100002288818359</v>
      </c>
      <c r="AH661" s="255">
        <f>(ASINH(FMS_Ranking4[[#This Row],[Ag Land Raw]]))*(10)/(ASINH(AG$4))</f>
        <v>1.6196810827045973</v>
      </c>
      <c r="AI661" s="260">
        <f>FMS_Ranking4[[#This Row],[Farm &amp; ranch land, ArcSinh (0-10)]]*AG$5*10</f>
        <v>0.80984054135229866</v>
      </c>
      <c r="AJ661" s="258">
        <f>_xlfn.XLOOKUP(FMS_Ranking4[[#This Row],[FMS ID]],FMS_Input[FMS_ID],FMS_Input[REDSTRUCT100])</f>
        <v>0</v>
      </c>
      <c r="AK661" s="253">
        <f>_xlfn.XLOOKUP(FMS_Ranking4[[#This Row],[FMS ID]],FMS_Input[FMS_ID],FMS_Input[REMSTRC100])</f>
        <v>0</v>
      </c>
      <c r="AL661" s="259">
        <f>(ASINH(FMS_Ranking4[[#This Row],[Structures Removed Raw]]))*(10)/(ASINH(AK$4))</f>
        <v>0</v>
      </c>
      <c r="AM661" s="262">
        <f>FMS_Ranking4[[#This Row],[Structures removed, ArcSinh (0-10)]]*AK$5*10</f>
        <v>0</v>
      </c>
      <c r="AN661" s="253">
        <f>_xlfn.XLOOKUP(FMS_Ranking4[[#This Row],[FMS ID]],FMS_Input[FMS_ID],FMS_Input[REMRESSTRC100])</f>
        <v>0</v>
      </c>
      <c r="AO661" s="261">
        <f>FMS_Ranking4[[#This Row],[ArcSinh Res struct removed 0-10]]*AN$5*10</f>
        <v>0</v>
      </c>
      <c r="AP661" s="260">
        <f>ASINH(FMS_Ranking4[[#This Row],[Residential Structures Removed Raw]])/AP$4*AN$5*100</f>
        <v>0</v>
      </c>
      <c r="AQ661" s="254">
        <f>(ASINH(FMS_Ranking4[[#This Row],[Residential Structures Removed Raw]]))*(10)/(ASINH(AN$4))</f>
        <v>0</v>
      </c>
      <c r="AR661" s="253">
        <f>_xlfn.XLOOKUP(FMS_Ranking4[[#This Row],[FMS ID]],FMS_Input[FMS_ID],FMS_Input[REMPOP100])</f>
        <v>0</v>
      </c>
      <c r="AS661" s="259">
        <f>(ASINH(FMS_Ranking4[[#This Row],[Removed Pop Raw]]))*(10)/(ASINH(AR$4))</f>
        <v>0</v>
      </c>
      <c r="AT661" s="262">
        <f>FMS_Ranking4[[#This Row],[Removed population, ArcSinh (0-10)]]*AR$5*10</f>
        <v>0</v>
      </c>
      <c r="AU661" s="264">
        <f>_xlfn.XLOOKUP(FMS_Ranking4[[#This Row],[FMS ID]],FMS_Input[FMS_ID],FMS_Input[REMCRITFAC100])</f>
        <v>0</v>
      </c>
      <c r="AV661" s="264">
        <f>_xlfn.XLOOKUP(FMS_Ranking4[[#This Row],[FMS ID]],FMS_Input[FMS_ID],FMS_Input[REMLWC100])</f>
        <v>0</v>
      </c>
      <c r="AW661" s="264">
        <f>_xlfn.XLOOKUP(FMS_Ranking4[[#This Row],[FMS ID]],FMS_Input[FMS_ID],FMS_Input[REMROADCLS])</f>
        <v>0</v>
      </c>
      <c r="AX661" s="264">
        <f>_xlfn.XLOOKUP(FMS_Ranking4[[#This Row],[FMS ID]],FMS_Input[FMS_ID],FMS_Input[REMFRMACRE100])</f>
        <v>0</v>
      </c>
      <c r="AY661" s="258">
        <f>_xlfn.XLOOKUP(FMS_Ranking4[[#This Row],[FMS ID]],FMS_Input[FMS_ID],FMS_Input[COSTSTRUCT])</f>
        <v>0</v>
      </c>
      <c r="AZ661" s="253">
        <f>_xlfn.XLOOKUP(FMS_Ranking4[[#This Row],[FMS ID]],FMS_Input[FMS_ID],FMS_Input[NATURE])</f>
        <v>0</v>
      </c>
      <c r="BA661" s="262">
        <f>(((FMS_Ranking4[[#This Row],[% NBS Raw]]/AZ$4)*100)*AZ$5)</f>
        <v>0</v>
      </c>
      <c r="BB661" s="251" t="str">
        <f>_xlfn.XLOOKUP(FMS_Ranking4[[#This Row],[FMS ID]],FMS_Input[FMS_ID],FMS_Input[WATER_SUP])</f>
        <v>No</v>
      </c>
      <c r="BC661" s="265">
        <f>IF(FMS_Ranking4[[#This Row],[Water Supply Raw]]="Yes",10,0)</f>
        <v>0</v>
      </c>
      <c r="BD661" s="266">
        <f>_xlfn.XLOOKUP(FMS_Ranking4[[#This Row],[FMS Type]],FMS_TYPE[FMS_Type],FMS_TYPE[Score])</f>
        <v>8</v>
      </c>
      <c r="BE661" s="267">
        <f>FMS_Ranking4[[#This Row],[FMS_Type Score]]*$BD$5*10</f>
        <v>2</v>
      </c>
      <c r="BF66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1.7992840769953947E-2</v>
      </c>
      <c r="BG661" s="271">
        <f>_xlfn.RANK.EQ(BF661,$BF$8:$BF$870,0)+COUNTIF($BF$8:BF661,BF661)-1</f>
        <v>642</v>
      </c>
      <c r="BH661" s="268">
        <f>(((FMS_Ranking4[[#This Row],[Structures Removed Raw]]/AK$4)*100)*AK$5)+(((FMS_Ranking4[[#This Row],[Removed Pop Raw]]/AR$4)*100)*AR$5)</f>
        <v>0</v>
      </c>
      <c r="BI66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2.0179928407699541</v>
      </c>
      <c r="BJ661" s="205">
        <f>_xlfn.RANK.EQ(FMS_Ranking4[[#This Row],[Total Score 
(with linear
normalization)]],FMS_Ranking4[Total Score 
(with linear
normalization)],0)</f>
        <v>413</v>
      </c>
      <c r="BK661" s="205" t="e">
        <f>_xlfn.XLOOKUP(FMS_Ranking4[[#This Row],[FMS ID]],#REF!,#REF!)</f>
        <v>#REF!</v>
      </c>
      <c r="BL66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9.5574764081316115</v>
      </c>
      <c r="BM661" s="272">
        <f>FMS_Ranking4[[#This Row],[ArcSinh Score Based on Normalized Reported Factors]]+FMS_Ranking4[[#This Row],[% NBS Score (Normalized)]]+(FMS_Ranking4[[#This Row],[Water Supply Score (Normalized)]]*10*$BB$5)+FMS_Ranking4[[#This Row],[FMS_Type Score Weighted]]</f>
        <v>11.557476408131611</v>
      </c>
      <c r="BN661" s="205">
        <f>_xlfn.RANK.EQ(FMS_Ranking4[[#This Row],[Total Score (with ArcSinh normalization of select criteria)]],FMS_Ranking4[Total Score (with ArcSinh normalization of select criteria)],0)</f>
        <v>654</v>
      </c>
      <c r="BO661" s="270" t="str">
        <f>_xlfn.XLOOKUP(FMS_Ranking4[[#This Row],[FMS ID]],FMS_Input[FMS_ID],FMS_Input[FMS_RANK_YEAR])</f>
        <v>2023 Amended Plan</v>
      </c>
      <c r="BP661" s="204">
        <f>_xlfn.XLOOKUP(FMS_Ranking4[[#This Row],[FMS ID]],Prev_Rank[FMS ID],Prev_Rank[Prev Rank])</f>
        <v>585</v>
      </c>
      <c r="BQ661" s="205" t="e">
        <f>_xlfn.XLOOKUP(FMS_Ranking4[[#This Row],[FMS ID]],#REF!,#REF!)</f>
        <v>#REF!</v>
      </c>
      <c r="BR661" s="199" t="e">
        <f>SUM(#REF!,#REF!,#REF!,#REF!,#REF!,#REF!,#REF!,#REF!,#REF!,FMS_Ranking4[[#This Row],[ArcSinh Res struct removed 0-10]],#REF!)</f>
        <v>#REF!</v>
      </c>
      <c r="BS661" s="199" t="e">
        <f>FMS_Ranking4[[#This Row],[Log Score Based on Normalized Reported Factors]]+FMS_Ranking4[[#This Row],[% NBS Score (Normalized)]]+(FMS_Ranking4[[#This Row],[Water Supply Score (Normalized)]]*10*$BB$5)+(FMS_Ranking4[[#This Row],[FMS_Type Score Weighted]])</f>
        <v>#REF!</v>
      </c>
      <c r="BT661" s="200" t="e">
        <f>_xlfn.RANK.EQ(FMS_Ranking4[[#This Row],[Log Total Score]],FMS_Ranking4[Log Total Score],0)</f>
        <v>#REF!</v>
      </c>
      <c r="BU661" s="200" t="e">
        <f>_xlfn.XLOOKUP(FMS_Ranking4[[#This Row],[FMS ID]],#REF!,#REF!)</f>
        <v>#REF!</v>
      </c>
      <c r="BV661" s="200">
        <f>FMS_Ranking4[[#This Row],[Region Number]]</f>
        <v>12</v>
      </c>
      <c r="BW661" s="200">
        <f>FMS_Ranking4[[#This Row],[Rank (with ArcSinh normalization of select criteria)]]-FMS_Ranking4[[#This Row],[Rank
(with linear
normalization)]]</f>
        <v>241</v>
      </c>
      <c r="BX661" s="200" t="e">
        <f>FMS_Ranking4[[#This Row],[Log Rank]]-FMS_Ranking4[[#This Row],[Rank
(with linear
normalization)]]</f>
        <v>#REF!</v>
      </c>
      <c r="BY661" s="200" t="str">
        <f>IF(FMS_Ranking4[[#This Row],[FMS Type]]="Flood Measurement and Warning",FMS_Ranking4[[#This Row],[Rank (with ArcSinh normalization of select criteria)]],"")</f>
        <v/>
      </c>
      <c r="BZ661" s="200">
        <f>IF(FMS_Ranking4[[#This Row],[FMS Type]]="Regulatory and Guidance",FMS_Ranking4[[#This Row],[Rank (with ArcSinh normalization of select criteria)]],"")</f>
        <v>654</v>
      </c>
      <c r="CA661" s="200" t="str">
        <f>IF(FMS_Ranking4[[#This Row],[FMS Type]]="Education and Outreach",FMS_Ranking4[[#This Row],[Rank (with ArcSinh normalization of select criteria)]],"")</f>
        <v/>
      </c>
      <c r="CB661" s="200" t="str">
        <f>IF(FMS_Ranking4[[#This Row],[FMS Type]]="Property Acquisition and Structural Elevation",FMS_Ranking4[[#This Row],[Rank (with ArcSinh normalization of select criteria)]],"")</f>
        <v/>
      </c>
      <c r="CC661" s="200" t="str">
        <f>IF(FMS_Ranking4[[#This Row],[FMS Type]]="Infrastructure Projects",FMS_Ranking4[[#This Row],[Rank (with ArcSinh normalization of select criteria)]],"")</f>
        <v/>
      </c>
      <c r="CD661" s="200" t="str">
        <f>IF(FMS_Ranking4[[#This Row],[FMS Type]]="Other",FMS_Ranking4[[#This Row],[Rank (with ArcSinh normalization of select criteria)]],"")</f>
        <v/>
      </c>
      <c r="CE661" s="201"/>
      <c r="CF661" s="206"/>
      <c r="CG661" s="206"/>
      <c r="CH661" s="206"/>
      <c r="CI661" s="206"/>
      <c r="CJ661" s="206"/>
      <c r="CK661" s="206"/>
      <c r="CL661" s="206"/>
      <c r="CM661" s="206"/>
      <c r="CN661" s="206"/>
      <c r="CO661" s="206"/>
      <c r="CP661" s="206"/>
      <c r="CQ661" s="206"/>
      <c r="CR661" s="206"/>
    </row>
    <row r="662" spans="2:96" ht="30" x14ac:dyDescent="0.25">
      <c r="B662" s="341" t="s">
        <v>3357</v>
      </c>
      <c r="C662" s="246">
        <f>_xlfn.XLOOKUP(FMS_Ranking4[[#This Row],[FMS ID]],FMS_Input[FMS_ID],FMS_Input[RFPG_NUM])</f>
        <v>7</v>
      </c>
      <c r="D662" s="309" t="str">
        <f>_xlfn.XLOOKUP(FMS_Ranking4[[#This Row],[FMS ID]],FMS_Input[FMS_ID],FMS_Input[FMS_NAME])</f>
        <v>Lake Benjamin Improvements</v>
      </c>
      <c r="E662" s="308" t="str">
        <f>_xlfn.XLOOKUP(FMS_Ranking4[[#This Row],[FMS ID]],FMS_Input[FMS_ID],FMS_Input[SPONSOR])</f>
        <v>00000217</v>
      </c>
      <c r="F662" s="309" t="str">
        <f>_xlfn.XLOOKUP(FMS_Ranking4[[#This Row],[FMS ID]],Sponsor[FMS_ID],Sponsor[SPONSOR NAME])</f>
        <v>Knox</v>
      </c>
      <c r="G662" s="309" t="str">
        <f>_xlfn.XLOOKUP(FMS_Ranking4[[#This Row],[FMS ID]],FMS_Input[FMS_ID],FMS_Input[FMS_DESCR])</f>
        <v>Reinforcement of slopes and dam spillway</v>
      </c>
      <c r="H662" s="248" t="str">
        <f>_xlfn.XLOOKUP(FMS_Ranking4[[#This Row],[FMS ID]],FMS_Input[FMS_ID],FMS_Input[FMS_TYPE])</f>
        <v>Infrastructure Projects</v>
      </c>
      <c r="I662" s="249">
        <f>_xlfn.XLOOKUP(FMS_Ranking4[[#This Row],[FMS ID]],FMS_Input[FMS_ID],FMS_Input[NRNC_COST])</f>
        <v>500000</v>
      </c>
      <c r="J662" s="250">
        <f>_xlfn.XLOOKUP(FMS_Ranking4[[#This Row],[FMS ID]],FMS_Input[FMS_ID],FMS_Input[FMS_COST])</f>
        <v>500000</v>
      </c>
      <c r="K662" s="251" t="str">
        <f>_xlfn.XLOOKUP(FMS_Ranking4[[#This Row],[FMS ID]],FMS_Input[FMS_ID],FMS_Input[EMER_NEED])</f>
        <v>No</v>
      </c>
      <c r="L662" s="252">
        <f t="shared" si="10"/>
        <v>0</v>
      </c>
      <c r="M662" s="253">
        <f>_xlfn.XLOOKUP(FMS_Ranking4[[#This Row],[FMS ID]],FMS_Input[FMS_ID],FMS_Input[STRUCT_100])</f>
        <v>16</v>
      </c>
      <c r="N662" s="255">
        <f>(ASINH(FMS_Ranking4[[#This Row],[Structure at Risk Raw]]))*(10)/(ASINH(M$4))</f>
        <v>2.7253510466944326</v>
      </c>
      <c r="O662" s="256">
        <f>FMS_Ranking4[[#This Row],[Structures at risk, ArcSinh (0-10)]]*M$5*10</f>
        <v>2.7253510466944326</v>
      </c>
      <c r="P662" s="253">
        <f>_xlfn.XLOOKUP(FMS_Ranking4[[#This Row],[FMS ID]],FMS_Input[FMS_ID],FMS_Input[RES_STRUCT100])</f>
        <v>9</v>
      </c>
      <c r="Q662" s="257">
        <f>ASINH(FMS_Ranking4[[#This Row],[Res Structure Raw]])/Q$4*P$5*100</f>
        <v>0</v>
      </c>
      <c r="R662" s="253">
        <f>_xlfn.XLOOKUP(FMS_Ranking4[[#This Row],[FMS ID]],FMS_Input[FMS_ID],FMS_Input[POP100])</f>
        <v>10</v>
      </c>
      <c r="S662" s="255">
        <f>(ASINH(FMS_Ranking4[[#This Row],[Pop at Risk Raw]]))*(10)/(ASINH(R$4))</f>
        <v>2.0698478529282238</v>
      </c>
      <c r="T662" s="256">
        <f>FMS_Ranking4[[#This Row],[Population at risk, ArcSinh (0-10)]]*R$5*10</f>
        <v>2.0698478529282238</v>
      </c>
      <c r="U662" s="253">
        <f>_xlfn.XLOOKUP(FMS_Ranking4[[#This Row],[FMS ID]],FMS_Input[FMS_ID],FMS_Input[CRITFAC100])</f>
        <v>0</v>
      </c>
      <c r="V662" s="255">
        <f>(ASINH(FMS_Ranking4[[#This Row],[Critical Facilities Raw]]))*(10)/(ASINH(U$4))</f>
        <v>0</v>
      </c>
      <c r="W662" s="256">
        <f>FMS_Ranking4[[#This Row],[Critical facilities at risk, ArcSinh (0-10)]]*U$5*10</f>
        <v>0</v>
      </c>
      <c r="X662" s="253">
        <f>_xlfn.XLOOKUP(FMS_Ranking4[[#This Row],[FMS ID]],FMS_Input[FMS_ID],FMS_Input[LWC])</f>
        <v>0</v>
      </c>
      <c r="Y662" s="255">
        <f>(ASINH(FMS_Ranking4[[#This Row],[LWC Raw]]))*(10)/(ASINH(X$4))</f>
        <v>0</v>
      </c>
      <c r="Z662" s="256">
        <f>FMS_Ranking4[[#This Row],[LWC, ArcSInh (0-10)]]*X$5*10</f>
        <v>0</v>
      </c>
      <c r="AA662" s="253">
        <f>_xlfn.XLOOKUP(FMS_Ranking4[[#This Row],[FMS ID]],FMS_Input[FMS_ID],FMS_Input[ROADCLS])</f>
        <v>0</v>
      </c>
      <c r="AB662" s="255">
        <f>(ASINH(FMS_Ranking4[[#This Row],[Road Closures Raw]]))*(10)/(ASINH(AA$4))</f>
        <v>0</v>
      </c>
      <c r="AC662" s="256">
        <f>FMS_Ranking4[[#This Row],[Road closures, ArcSinh (0-10)]]*AA$5*10</f>
        <v>0</v>
      </c>
      <c r="AD662" s="253">
        <f>_xlfn.XLOOKUP(FMS_Ranking4[[#This Row],[FMS ID]],FMS_Input[FMS_ID],FMS_Input[ROAD_MILES100])</f>
        <v>10</v>
      </c>
      <c r="AE662" s="255">
        <f>(ASINH(FMS_Ranking4[[#This Row],[Road Miles Raw]]))*(10)/(ASINH(AD$4))</f>
        <v>3.1952807811982975</v>
      </c>
      <c r="AF662" s="256">
        <f>FMS_Ranking4[[#This Row],[Length of roads at risk, ArcSinh (0-10)]]*AD$5*10</f>
        <v>3.1952807811982975</v>
      </c>
      <c r="AG662" s="253">
        <f>_xlfn.XLOOKUP(FMS_Ranking4[[#This Row],[FMS ID]],FMS_Input[FMS_ID],FMS_Input[FARMACRE100])</f>
        <v>1282.34619140625</v>
      </c>
      <c r="AH662" s="255">
        <f>(ASINH(FMS_Ranking4[[#This Row],[Ag Land Raw]]))*(10)/(ASINH(AG$4))</f>
        <v>5.098950786975311</v>
      </c>
      <c r="AI662" s="260">
        <f>FMS_Ranking4[[#This Row],[Farm &amp; ranch land, ArcSinh (0-10)]]*AG$5*10</f>
        <v>2.5494753934876559</v>
      </c>
      <c r="AJ662" s="258">
        <f>_xlfn.XLOOKUP(FMS_Ranking4[[#This Row],[FMS ID]],FMS_Input[FMS_ID],FMS_Input[REDSTRUCT100])</f>
        <v>0</v>
      </c>
      <c r="AK662" s="253">
        <f>_xlfn.XLOOKUP(FMS_Ranking4[[#This Row],[FMS ID]],FMS_Input[FMS_ID],FMS_Input[REMSTRC100])</f>
        <v>0</v>
      </c>
      <c r="AL662" s="255">
        <f>(ASINH(FMS_Ranking4[[#This Row],[Structures Removed Raw]]))*(10)/(ASINH(AK$4))</f>
        <v>0</v>
      </c>
      <c r="AM662" s="262">
        <f>FMS_Ranking4[[#This Row],[Structures removed, ArcSinh (0-10)]]*AK$5*10</f>
        <v>0</v>
      </c>
      <c r="AN662" s="253">
        <f>_xlfn.XLOOKUP(FMS_Ranking4[[#This Row],[FMS ID]],FMS_Input[FMS_ID],FMS_Input[REMRESSTRC100])</f>
        <v>0</v>
      </c>
      <c r="AO662" s="261">
        <f>FMS_Ranking4[[#This Row],[ArcSinh Res struct removed 0-10]]*AN$5*10</f>
        <v>0</v>
      </c>
      <c r="AP662" s="260">
        <f>ASINH(FMS_Ranking4[[#This Row],[Residential Structures Removed Raw]])/AP$4*AN$5*100</f>
        <v>0</v>
      </c>
      <c r="AQ662" s="258">
        <f>(ASINH(FMS_Ranking4[[#This Row],[Residential Structures Removed Raw]]))*(10)/(ASINH(AN$4))</f>
        <v>0</v>
      </c>
      <c r="AR662" s="253">
        <f>_xlfn.XLOOKUP(FMS_Ranking4[[#This Row],[FMS ID]],FMS_Input[FMS_ID],FMS_Input[REMPOP100])</f>
        <v>0</v>
      </c>
      <c r="AS662" s="255">
        <f>(ASINH(FMS_Ranking4[[#This Row],[Removed Pop Raw]]))*(10)/(ASINH(AR$4))</f>
        <v>0</v>
      </c>
      <c r="AT662" s="262">
        <f>FMS_Ranking4[[#This Row],[Removed population, ArcSinh (0-10)]]*AR$5*10</f>
        <v>0</v>
      </c>
      <c r="AU662" s="264">
        <f>_xlfn.XLOOKUP(FMS_Ranking4[[#This Row],[FMS ID]],FMS_Input[FMS_ID],FMS_Input[REMCRITFAC100])</f>
        <v>0</v>
      </c>
      <c r="AV662" s="264">
        <f>_xlfn.XLOOKUP(FMS_Ranking4[[#This Row],[FMS ID]],FMS_Input[FMS_ID],FMS_Input[REMLWC100])</f>
        <v>0</v>
      </c>
      <c r="AW662" s="264">
        <f>_xlfn.XLOOKUP(FMS_Ranking4[[#This Row],[FMS ID]],FMS_Input[FMS_ID],FMS_Input[REMROADCLS])</f>
        <v>0</v>
      </c>
      <c r="AX662" s="264">
        <f>_xlfn.XLOOKUP(FMS_Ranking4[[#This Row],[FMS ID]],FMS_Input[FMS_ID],FMS_Input[REMFRMACRE100])</f>
        <v>0</v>
      </c>
      <c r="AY662" s="258">
        <f>_xlfn.XLOOKUP(FMS_Ranking4[[#This Row],[FMS ID]],FMS_Input[FMS_ID],FMS_Input[COSTSTRUCT])</f>
        <v>0</v>
      </c>
      <c r="AZ662" s="253">
        <f>_xlfn.XLOOKUP(FMS_Ranking4[[#This Row],[FMS ID]],FMS_Input[FMS_ID],FMS_Input[NATURE])</f>
        <v>0</v>
      </c>
      <c r="BA662" s="262">
        <f>(((FMS_Ranking4[[#This Row],[% NBS Raw]]/AZ$4)*100)*AZ$5)</f>
        <v>0</v>
      </c>
      <c r="BB662" s="251" t="str">
        <f>_xlfn.XLOOKUP(FMS_Ranking4[[#This Row],[FMS ID]],FMS_Input[FMS_ID],FMS_Input[WATER_SUP])</f>
        <v>No</v>
      </c>
      <c r="BC662" s="265">
        <f>IF(FMS_Ranking4[[#This Row],[Water Supply Raw]]="Yes",10,0)</f>
        <v>0</v>
      </c>
      <c r="BD662" s="266">
        <f>_xlfn.XLOOKUP(FMS_Ranking4[[#This Row],[FMS Type]],FMS_TYPE[FMS_Type],FMS_TYPE[Score])</f>
        <v>4</v>
      </c>
      <c r="BE662" s="267">
        <f>FMS_Ranking4[[#This Row],[FMS_Type Score]]*$BD$5*10</f>
        <v>1</v>
      </c>
      <c r="BF66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2.0526769108831115E-2</v>
      </c>
      <c r="BG662" s="321">
        <f>_xlfn.RANK.EQ(BF662,$BF$8:$BF$870,0)+COUNTIF($BF$8:BF662,BF662)-1</f>
        <v>630</v>
      </c>
      <c r="BH662" s="294">
        <f>(((FMS_Ranking4[[#This Row],[Structures Removed Raw]]/AK$4)*100)*AK$5)+(((FMS_Ranking4[[#This Row],[Removed Pop Raw]]/AR$4)*100)*AR$5)</f>
        <v>0</v>
      </c>
      <c r="BI66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1.0205267691088311</v>
      </c>
      <c r="BJ662" s="251">
        <f>_xlfn.RANK.EQ(FMS_Ranking4[[#This Row],[Total Score 
(with linear
normalization)]],FMS_Ranking4[Total Score 
(with linear
normalization)],0)</f>
        <v>719</v>
      </c>
      <c r="BK662" s="251" t="e">
        <f>_xlfn.XLOOKUP(FMS_Ranking4[[#This Row],[FMS ID]],#REF!,#REF!)</f>
        <v>#REF!</v>
      </c>
      <c r="BL66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10.53995507430861</v>
      </c>
      <c r="BM662" s="324">
        <f>FMS_Ranking4[[#This Row],[ArcSinh Score Based on Normalized Reported Factors]]+FMS_Ranking4[[#This Row],[% NBS Score (Normalized)]]+(FMS_Ranking4[[#This Row],[Water Supply Score (Normalized)]]*10*$BB$5)+FMS_Ranking4[[#This Row],[FMS_Type Score Weighted]]</f>
        <v>11.53995507430861</v>
      </c>
      <c r="BN662" s="251">
        <f>_xlfn.RANK.EQ(FMS_Ranking4[[#This Row],[Total Score (with ArcSinh normalization of select criteria)]],FMS_Ranking4[Total Score (with ArcSinh normalization of select criteria)],0)</f>
        <v>655</v>
      </c>
      <c r="BO662" s="270" t="str">
        <f>_xlfn.XLOOKUP(FMS_Ranking4[[#This Row],[FMS ID]],FMS_Input[FMS_ID],FMS_Input[FMS_RANK_YEAR])</f>
        <v>2023 Amended Plan</v>
      </c>
      <c r="BP662" s="204">
        <f>_xlfn.XLOOKUP(FMS_Ranking4[[#This Row],[FMS ID]],Prev_Rank[FMS ID],Prev_Rank[Prev Rank])</f>
        <v>587</v>
      </c>
      <c r="BQ662" s="251" t="e">
        <f>_xlfn.XLOOKUP(FMS_Ranking4[[#This Row],[FMS ID]],#REF!,#REF!)</f>
        <v>#REF!</v>
      </c>
      <c r="BR662" s="199" t="e">
        <f>SUM(#REF!,#REF!,#REF!,#REF!,#REF!,#REF!,#REF!,#REF!,#REF!,FMS_Ranking4[[#This Row],[ArcSinh Res struct removed 0-10]],#REF!)</f>
        <v>#REF!</v>
      </c>
      <c r="BS662" s="199" t="e">
        <f>FMS_Ranking4[[#This Row],[Log Score Based on Normalized Reported Factors]]+FMS_Ranking4[[#This Row],[% NBS Score (Normalized)]]+(FMS_Ranking4[[#This Row],[Water Supply Score (Normalized)]]*10*$BB$5)+(FMS_Ranking4[[#This Row],[FMS_Type Score Weighted]])</f>
        <v>#REF!</v>
      </c>
      <c r="BT662" s="200" t="e">
        <f>_xlfn.RANK.EQ(FMS_Ranking4[[#This Row],[Log Total Score]],FMS_Ranking4[Log Total Score],0)</f>
        <v>#REF!</v>
      </c>
      <c r="BU662" s="200" t="e">
        <f>_xlfn.XLOOKUP(FMS_Ranking4[[#This Row],[FMS ID]],#REF!,#REF!)</f>
        <v>#REF!</v>
      </c>
      <c r="BV662" s="200">
        <f>FMS_Ranking4[[#This Row],[Region Number]]</f>
        <v>7</v>
      </c>
      <c r="BW662" s="200">
        <f>FMS_Ranking4[[#This Row],[Rank (with ArcSinh normalization of select criteria)]]-FMS_Ranking4[[#This Row],[Rank
(with linear
normalization)]]</f>
        <v>-64</v>
      </c>
      <c r="BX662" s="200" t="e">
        <f>FMS_Ranking4[[#This Row],[Log Rank]]-FMS_Ranking4[[#This Row],[Rank
(with linear
normalization)]]</f>
        <v>#REF!</v>
      </c>
      <c r="BY662" s="200" t="str">
        <f>IF(FMS_Ranking4[[#This Row],[FMS Type]]="Flood Measurement and Warning",FMS_Ranking4[[#This Row],[Rank (with ArcSinh normalization of select criteria)]],"")</f>
        <v/>
      </c>
      <c r="BZ662" s="200" t="str">
        <f>IF(FMS_Ranking4[[#This Row],[FMS Type]]="Regulatory and Guidance",FMS_Ranking4[[#This Row],[Rank (with ArcSinh normalization of select criteria)]],"")</f>
        <v/>
      </c>
      <c r="CA662" s="200" t="str">
        <f>IF(FMS_Ranking4[[#This Row],[FMS Type]]="Education and Outreach",FMS_Ranking4[[#This Row],[Rank (with ArcSinh normalization of select criteria)]],"")</f>
        <v/>
      </c>
      <c r="CB662" s="200" t="str">
        <f>IF(FMS_Ranking4[[#This Row],[FMS Type]]="Property Acquisition and Structural Elevation",FMS_Ranking4[[#This Row],[Rank (with ArcSinh normalization of select criteria)]],"")</f>
        <v/>
      </c>
      <c r="CC662" s="200">
        <f>IF(FMS_Ranking4[[#This Row],[FMS Type]]="Infrastructure Projects",FMS_Ranking4[[#This Row],[Rank (with ArcSinh normalization of select criteria)]],"")</f>
        <v>655</v>
      </c>
      <c r="CD662" s="200" t="str">
        <f>IF(FMS_Ranking4[[#This Row],[FMS Type]]="Other",FMS_Ranking4[[#This Row],[Rank (with ArcSinh normalization of select criteria)]],"")</f>
        <v/>
      </c>
      <c r="CE662" s="201"/>
      <c r="CF662" s="206"/>
      <c r="CG662" s="206"/>
      <c r="CH662" s="206"/>
      <c r="CI662" s="206"/>
      <c r="CJ662" s="206"/>
      <c r="CK662" s="206"/>
      <c r="CL662" s="206"/>
      <c r="CM662" s="206"/>
      <c r="CN662" s="206"/>
      <c r="CO662" s="206"/>
      <c r="CP662" s="206"/>
      <c r="CQ662" s="206"/>
      <c r="CR662" s="206"/>
    </row>
    <row r="663" spans="2:96" ht="30" x14ac:dyDescent="0.25">
      <c r="B663" s="341" t="s">
        <v>2244</v>
      </c>
      <c r="C663" s="246">
        <f>_xlfn.XLOOKUP(FMS_Ranking4[[#This Row],[FMS ID]],FMS_Input[FMS_ID],FMS_Input[RFPG_NUM])</f>
        <v>3</v>
      </c>
      <c r="D663" s="309" t="str">
        <f>_xlfn.XLOOKUP(FMS_Ranking4[[#This Row],[FMS ID]],FMS_Input[FMS_ID],FMS_Input[FMS_NAME])</f>
        <v>Krum "Turn Around, Don't Drown" Campaign</v>
      </c>
      <c r="E663" s="308" t="str">
        <f>_xlfn.XLOOKUP(FMS_Ranking4[[#This Row],[FMS ID]],FMS_Input[FMS_ID],FMS_Input[SPONSOR])</f>
        <v>Krum</v>
      </c>
      <c r="F663" s="309" t="str">
        <f>_xlfn.XLOOKUP(FMS_Ranking4[[#This Row],[FMS ID]],Sponsor[FMS_ID],Sponsor[SPONSOR NAME])</f>
        <v>Krum</v>
      </c>
      <c r="G663" s="309" t="str">
        <f>_xlfn.XLOOKUP(FMS_Ranking4[[#This Row],[FMS ID]],FMS_Input[FMS_ID],FMS_Input[FMS_DESCR])</f>
        <v>Implement "Turn Around, Don't Drown" campaign.</v>
      </c>
      <c r="H663" s="248" t="str">
        <f>_xlfn.XLOOKUP(FMS_Ranking4[[#This Row],[FMS ID]],FMS_Input[FMS_ID],FMS_Input[FMS_TYPE])</f>
        <v>Education and Outreach</v>
      </c>
      <c r="I663" s="249">
        <f>_xlfn.XLOOKUP(FMS_Ranking4[[#This Row],[FMS ID]],FMS_Input[FMS_ID],FMS_Input[NRNC_COST])</f>
        <v>50000</v>
      </c>
      <c r="J663" s="250">
        <f>_xlfn.XLOOKUP(FMS_Ranking4[[#This Row],[FMS ID]],FMS_Input[FMS_ID],FMS_Input[FMS_COST])</f>
        <v>50000</v>
      </c>
      <c r="K663" s="251" t="str">
        <f>_xlfn.XLOOKUP(FMS_Ranking4[[#This Row],[FMS ID]],FMS_Input[FMS_ID],FMS_Input[EMER_NEED])</f>
        <v>No</v>
      </c>
      <c r="L663" s="252">
        <f t="shared" si="10"/>
        <v>0</v>
      </c>
      <c r="M663" s="253">
        <f>_xlfn.XLOOKUP(FMS_Ranking4[[#This Row],[FMS ID]],FMS_Input[FMS_ID],FMS_Input[STRUCT_100])</f>
        <v>31</v>
      </c>
      <c r="N663" s="255">
        <f>(ASINH(FMS_Ranking4[[#This Row],[Structure at Risk Raw]]))*(10)/(ASINH(M$4))</f>
        <v>3.2447465638208501</v>
      </c>
      <c r="O663" s="256">
        <f>FMS_Ranking4[[#This Row],[Structures at risk, ArcSinh (0-10)]]*M$5*10</f>
        <v>3.2447465638208506</v>
      </c>
      <c r="P663" s="253">
        <f>_xlfn.XLOOKUP(FMS_Ranking4[[#This Row],[FMS ID]],FMS_Input[FMS_ID],FMS_Input[RES_STRUCT100])</f>
        <v>28</v>
      </c>
      <c r="Q663" s="257">
        <f>ASINH(FMS_Ranking4[[#This Row],[Res Structure Raw]])/Q$4*P$5*100</f>
        <v>0</v>
      </c>
      <c r="R663" s="253">
        <f>_xlfn.XLOOKUP(FMS_Ranking4[[#This Row],[FMS ID]],FMS_Input[FMS_ID],FMS_Input[POP100])</f>
        <v>72</v>
      </c>
      <c r="S663" s="259">
        <f>(ASINH(FMS_Ranking4[[#This Row],[Pop at Risk Raw]]))*(10)/(ASINH(R$4))</f>
        <v>3.430984743276281</v>
      </c>
      <c r="T663" s="256">
        <f>FMS_Ranking4[[#This Row],[Population at risk, ArcSinh (0-10)]]*R$5*10</f>
        <v>3.4309847432762814</v>
      </c>
      <c r="U663" s="253">
        <f>_xlfn.XLOOKUP(FMS_Ranking4[[#This Row],[FMS ID]],FMS_Input[FMS_ID],FMS_Input[CRITFAC100])</f>
        <v>0</v>
      </c>
      <c r="V663" s="259">
        <f>(ASINH(FMS_Ranking4[[#This Row],[Critical Facilities Raw]]))*(10)/(ASINH(U$4))</f>
        <v>0</v>
      </c>
      <c r="W663" s="256">
        <f>FMS_Ranking4[[#This Row],[Critical facilities at risk, ArcSinh (0-10)]]*U$5*10</f>
        <v>0</v>
      </c>
      <c r="X663" s="253">
        <f>_xlfn.XLOOKUP(FMS_Ranking4[[#This Row],[FMS ID]],FMS_Input[FMS_ID],FMS_Input[LWC])</f>
        <v>0</v>
      </c>
      <c r="Y663" s="259">
        <f>(ASINH(FMS_Ranking4[[#This Row],[LWC Raw]]))*(10)/(ASINH(X$4))</f>
        <v>0</v>
      </c>
      <c r="Z663" s="256">
        <f>FMS_Ranking4[[#This Row],[LWC, ArcSInh (0-10)]]*X$5*10</f>
        <v>0</v>
      </c>
      <c r="AA663" s="253">
        <f>_xlfn.XLOOKUP(FMS_Ranking4[[#This Row],[FMS ID]],FMS_Input[FMS_ID],FMS_Input[ROADCLS])</f>
        <v>0</v>
      </c>
      <c r="AB663" s="255">
        <f>(ASINH(FMS_Ranking4[[#This Row],[Road Closures Raw]]))*(10)/(ASINH(AA$4))</f>
        <v>0</v>
      </c>
      <c r="AC663" s="256">
        <f>FMS_Ranking4[[#This Row],[Road closures, ArcSinh (0-10)]]*AA$5*10</f>
        <v>0</v>
      </c>
      <c r="AD663" s="253">
        <f>_xlfn.XLOOKUP(FMS_Ranking4[[#This Row],[FMS ID]],FMS_Input[FMS_ID],FMS_Input[ROAD_MILES100])</f>
        <v>2</v>
      </c>
      <c r="AE663" s="259">
        <f>(ASINH(FMS_Ranking4[[#This Row],[Road Miles Raw]]))*(10)/(ASINH(AD$4))</f>
        <v>1.5385182374234352</v>
      </c>
      <c r="AF663" s="256">
        <f>FMS_Ranking4[[#This Row],[Length of roads at risk, ArcSinh (0-10)]]*AD$5*10</f>
        <v>1.5385182374234352</v>
      </c>
      <c r="AG663" s="253">
        <f>_xlfn.XLOOKUP(FMS_Ranking4[[#This Row],[FMS ID]],FMS_Input[FMS_ID],FMS_Input[FARMACRE100])</f>
        <v>126.7267990112305</v>
      </c>
      <c r="AH663" s="255">
        <f>(ASINH(FMS_Ranking4[[#This Row],[Ag Land Raw]]))*(10)/(ASINH(AG$4))</f>
        <v>3.5955609634126517</v>
      </c>
      <c r="AI663" s="260">
        <f>FMS_Ranking4[[#This Row],[Farm &amp; ranch land, ArcSinh (0-10)]]*AG$5*10</f>
        <v>1.7977804817063259</v>
      </c>
      <c r="AJ663" s="258">
        <f>_xlfn.XLOOKUP(FMS_Ranking4[[#This Row],[FMS ID]],FMS_Input[FMS_ID],FMS_Input[REDSTRUCT100])</f>
        <v>0</v>
      </c>
      <c r="AK663" s="253">
        <f>_xlfn.XLOOKUP(FMS_Ranking4[[#This Row],[FMS ID]],FMS_Input[FMS_ID],FMS_Input[REMSTRC100])</f>
        <v>0</v>
      </c>
      <c r="AL663" s="259">
        <f>(ASINH(FMS_Ranking4[[#This Row],[Structures Removed Raw]]))*(10)/(ASINH(AK$4))</f>
        <v>0</v>
      </c>
      <c r="AM663" s="262">
        <f>FMS_Ranking4[[#This Row],[Structures removed, ArcSinh (0-10)]]*AK$5*10</f>
        <v>0</v>
      </c>
      <c r="AN663" s="253">
        <f>_xlfn.XLOOKUP(FMS_Ranking4[[#This Row],[FMS ID]],FMS_Input[FMS_ID],FMS_Input[REMRESSTRC100])</f>
        <v>0</v>
      </c>
      <c r="AO663" s="261">
        <f>FMS_Ranking4[[#This Row],[ArcSinh Res struct removed 0-10]]*AN$5*10</f>
        <v>0</v>
      </c>
      <c r="AP663" s="260">
        <f>ASINH(FMS_Ranking4[[#This Row],[Residential Structures Removed Raw]])/AP$4*AN$5*100</f>
        <v>0</v>
      </c>
      <c r="AQ663" s="254">
        <f>(ASINH(FMS_Ranking4[[#This Row],[Residential Structures Removed Raw]]))*(10)/(ASINH(AN$4))</f>
        <v>0</v>
      </c>
      <c r="AR663" s="253">
        <f>_xlfn.XLOOKUP(FMS_Ranking4[[#This Row],[FMS ID]],FMS_Input[FMS_ID],FMS_Input[REMPOP100])</f>
        <v>0</v>
      </c>
      <c r="AS663" s="259">
        <f>(ASINH(FMS_Ranking4[[#This Row],[Removed Pop Raw]]))*(10)/(ASINH(AR$4))</f>
        <v>0</v>
      </c>
      <c r="AT663" s="262">
        <f>FMS_Ranking4[[#This Row],[Removed population, ArcSinh (0-10)]]*AR$5*10</f>
        <v>0</v>
      </c>
      <c r="AU663" s="264">
        <f>_xlfn.XLOOKUP(FMS_Ranking4[[#This Row],[FMS ID]],FMS_Input[FMS_ID],FMS_Input[REMCRITFAC100])</f>
        <v>0</v>
      </c>
      <c r="AV663" s="264">
        <f>_xlfn.XLOOKUP(FMS_Ranking4[[#This Row],[FMS ID]],FMS_Input[FMS_ID],FMS_Input[REMLWC100])</f>
        <v>0</v>
      </c>
      <c r="AW663" s="264">
        <f>_xlfn.XLOOKUP(FMS_Ranking4[[#This Row],[FMS ID]],FMS_Input[FMS_ID],FMS_Input[REMROADCLS])</f>
        <v>0</v>
      </c>
      <c r="AX663" s="264">
        <f>_xlfn.XLOOKUP(FMS_Ranking4[[#This Row],[FMS ID]],FMS_Input[FMS_ID],FMS_Input[REMFRMACRE100])</f>
        <v>0</v>
      </c>
      <c r="AY663" s="258">
        <f>_xlfn.XLOOKUP(FMS_Ranking4[[#This Row],[FMS ID]],FMS_Input[FMS_ID],FMS_Input[COSTSTRUCT])</f>
        <v>0</v>
      </c>
      <c r="AZ663" s="253">
        <f>_xlfn.XLOOKUP(FMS_Ranking4[[#This Row],[FMS ID]],FMS_Input[FMS_ID],FMS_Input[NATURE])</f>
        <v>0</v>
      </c>
      <c r="BA663" s="262">
        <f>(((FMS_Ranking4[[#This Row],[% NBS Raw]]/AZ$4)*100)*AZ$5)</f>
        <v>0</v>
      </c>
      <c r="BB663" s="251" t="str">
        <f>_xlfn.XLOOKUP(FMS_Ranking4[[#This Row],[FMS ID]],FMS_Input[FMS_ID],FMS_Input[WATER_SUP])</f>
        <v>No</v>
      </c>
      <c r="BC663" s="265">
        <f>IF(FMS_Ranking4[[#This Row],[Water Supply Raw]]="Yes",10,0)</f>
        <v>0</v>
      </c>
      <c r="BD663" s="266">
        <f>_xlfn.XLOOKUP(FMS_Ranking4[[#This Row],[FMS Type]],FMS_TYPE[FMS_Type],FMS_TYPE[Score])</f>
        <v>6</v>
      </c>
      <c r="BE663" s="267">
        <f>FMS_Ranking4[[#This Row],[FMS_Type Score]]*$BD$5*10</f>
        <v>1.5000000000000002</v>
      </c>
      <c r="BF66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6.2168852529215996E-3</v>
      </c>
      <c r="BG663" s="271">
        <f>_xlfn.RANK.EQ(BF663,$BF$8:$BF$870,0)+COUNTIF($BF$8:BF663,BF663)-1</f>
        <v>677</v>
      </c>
      <c r="BH663" s="268">
        <f>(((FMS_Ranking4[[#This Row],[Structures Removed Raw]]/AK$4)*100)*AK$5)+(((FMS_Ranking4[[#This Row],[Removed Pop Raw]]/AR$4)*100)*AR$5)</f>
        <v>0</v>
      </c>
      <c r="BI66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1.5062168852529219</v>
      </c>
      <c r="BJ663" s="205">
        <f>_xlfn.RANK.EQ(FMS_Ranking4[[#This Row],[Total Score 
(with linear
normalization)]],FMS_Ranking4[Total Score 
(with linear
normalization)],0)</f>
        <v>598</v>
      </c>
      <c r="BK663" s="205" t="e">
        <f>_xlfn.XLOOKUP(FMS_Ranking4[[#This Row],[FMS ID]],#REF!,#REF!)</f>
        <v>#REF!</v>
      </c>
      <c r="BL66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10.012030026226894</v>
      </c>
      <c r="BM663" s="272">
        <f>FMS_Ranking4[[#This Row],[ArcSinh Score Based on Normalized Reported Factors]]+FMS_Ranking4[[#This Row],[% NBS Score (Normalized)]]+(FMS_Ranking4[[#This Row],[Water Supply Score (Normalized)]]*10*$BB$5)+FMS_Ranking4[[#This Row],[FMS_Type Score Weighted]]</f>
        <v>11.512030026226894</v>
      </c>
      <c r="BN663" s="205">
        <f>_xlfn.RANK.EQ(FMS_Ranking4[[#This Row],[Total Score (with ArcSinh normalization of select criteria)]],FMS_Ranking4[Total Score (with ArcSinh normalization of select criteria)],0)</f>
        <v>656</v>
      </c>
      <c r="BO663" s="270" t="str">
        <f>_xlfn.XLOOKUP(FMS_Ranking4[[#This Row],[FMS ID]],FMS_Input[FMS_ID],FMS_Input[FMS_RANK_YEAR])</f>
        <v>2023 Amended Plan</v>
      </c>
      <c r="BP663" s="204">
        <f>_xlfn.XLOOKUP(FMS_Ranking4[[#This Row],[FMS ID]],Prev_Rank[FMS ID],Prev_Rank[Prev Rank])</f>
        <v>586</v>
      </c>
      <c r="BQ663" s="205" t="e">
        <f>_xlfn.XLOOKUP(FMS_Ranking4[[#This Row],[FMS ID]],#REF!,#REF!)</f>
        <v>#REF!</v>
      </c>
      <c r="BR663" s="199" t="e">
        <f>SUM(#REF!,#REF!,#REF!,#REF!,#REF!,#REF!,#REF!,#REF!,#REF!,FMS_Ranking4[[#This Row],[ArcSinh Res struct removed 0-10]],#REF!)</f>
        <v>#REF!</v>
      </c>
      <c r="BS663" s="199" t="e">
        <f>FMS_Ranking4[[#This Row],[Log Score Based on Normalized Reported Factors]]+FMS_Ranking4[[#This Row],[% NBS Score (Normalized)]]+(FMS_Ranking4[[#This Row],[Water Supply Score (Normalized)]]*10*$BB$5)+(FMS_Ranking4[[#This Row],[FMS_Type Score Weighted]])</f>
        <v>#REF!</v>
      </c>
      <c r="BT663" s="200" t="e">
        <f>_xlfn.RANK.EQ(FMS_Ranking4[[#This Row],[Log Total Score]],FMS_Ranking4[Log Total Score],0)</f>
        <v>#REF!</v>
      </c>
      <c r="BU663" s="200" t="e">
        <f>_xlfn.XLOOKUP(FMS_Ranking4[[#This Row],[FMS ID]],#REF!,#REF!)</f>
        <v>#REF!</v>
      </c>
      <c r="BV663" s="200">
        <f>FMS_Ranking4[[#This Row],[Region Number]]</f>
        <v>3</v>
      </c>
      <c r="BW663" s="200">
        <f>FMS_Ranking4[[#This Row],[Rank (with ArcSinh normalization of select criteria)]]-FMS_Ranking4[[#This Row],[Rank
(with linear
normalization)]]</f>
        <v>58</v>
      </c>
      <c r="BX663" s="200" t="e">
        <f>FMS_Ranking4[[#This Row],[Log Rank]]-FMS_Ranking4[[#This Row],[Rank
(with linear
normalization)]]</f>
        <v>#REF!</v>
      </c>
      <c r="BY663" s="200" t="str">
        <f>IF(FMS_Ranking4[[#This Row],[FMS Type]]="Flood Measurement and Warning",FMS_Ranking4[[#This Row],[Rank (with ArcSinh normalization of select criteria)]],"")</f>
        <v/>
      </c>
      <c r="BZ663" s="200" t="str">
        <f>IF(FMS_Ranking4[[#This Row],[FMS Type]]="Regulatory and Guidance",FMS_Ranking4[[#This Row],[Rank (with ArcSinh normalization of select criteria)]],"")</f>
        <v/>
      </c>
      <c r="CA663" s="200">
        <f>IF(FMS_Ranking4[[#This Row],[FMS Type]]="Education and Outreach",FMS_Ranking4[[#This Row],[Rank (with ArcSinh normalization of select criteria)]],"")</f>
        <v>656</v>
      </c>
      <c r="CB663" s="200" t="str">
        <f>IF(FMS_Ranking4[[#This Row],[FMS Type]]="Property Acquisition and Structural Elevation",FMS_Ranking4[[#This Row],[Rank (with ArcSinh normalization of select criteria)]],"")</f>
        <v/>
      </c>
      <c r="CC663" s="200" t="str">
        <f>IF(FMS_Ranking4[[#This Row],[FMS Type]]="Infrastructure Projects",FMS_Ranking4[[#This Row],[Rank (with ArcSinh normalization of select criteria)]],"")</f>
        <v/>
      </c>
      <c r="CD663" s="200" t="str">
        <f>IF(FMS_Ranking4[[#This Row],[FMS Type]]="Other",FMS_Ranking4[[#This Row],[Rank (with ArcSinh normalization of select criteria)]],"")</f>
        <v/>
      </c>
      <c r="CE663" s="201"/>
      <c r="CF663" s="206"/>
      <c r="CG663" s="206"/>
      <c r="CH663" s="206"/>
      <c r="CI663" s="206"/>
      <c r="CJ663" s="206"/>
      <c r="CK663" s="206"/>
      <c r="CL663" s="206"/>
      <c r="CM663" s="206"/>
      <c r="CN663" s="206"/>
      <c r="CO663" s="206"/>
      <c r="CP663" s="206"/>
      <c r="CQ663" s="206"/>
      <c r="CR663" s="206"/>
    </row>
    <row r="664" spans="2:96" ht="30" x14ac:dyDescent="0.25">
      <c r="B664" s="341" t="s">
        <v>1333</v>
      </c>
      <c r="C664" s="246">
        <f>_xlfn.XLOOKUP(FMS_Ranking4[[#This Row],[FMS ID]],FMS_Input[FMS_ID],FMS_Input[RFPG_NUM])</f>
        <v>1</v>
      </c>
      <c r="D664" s="309" t="str">
        <f>_xlfn.XLOOKUP(FMS_Ranking4[[#This Row],[FMS ID]],FMS_Input[FMS_ID],FMS_Input[FMS_NAME])</f>
        <v>Knox County NFIP Involvement</v>
      </c>
      <c r="E664" s="308" t="str">
        <f>_xlfn.XLOOKUP(FMS_Ranking4[[#This Row],[FMS ID]],FMS_Input[FMS_ID],FMS_Input[SPONSOR])</f>
        <v>00000217</v>
      </c>
      <c r="F664" s="309" t="str">
        <f>_xlfn.XLOOKUP(FMS_Ranking4[[#This Row],[FMS ID]],Sponsor[FMS_ID],Sponsor[SPONSOR NAME])</f>
        <v>Knox</v>
      </c>
      <c r="G664" s="309" t="str">
        <f>_xlfn.XLOOKUP(FMS_Ranking4[[#This Row],[FMS ID]],FMS_Input[FMS_ID],FMS_Input[FMS_DESCR])</f>
        <v>Application to join NFIP or adopt equivalent standards</v>
      </c>
      <c r="H664" s="248" t="str">
        <f>_xlfn.XLOOKUP(FMS_Ranking4[[#This Row],[FMS ID]],FMS_Input[FMS_ID],FMS_Input[FMS_TYPE])</f>
        <v>Regulatory and Guidance</v>
      </c>
      <c r="I664" s="249">
        <f>_xlfn.XLOOKUP(FMS_Ranking4[[#This Row],[FMS ID]],FMS_Input[FMS_ID],FMS_Input[NRNC_COST])</f>
        <v>100000</v>
      </c>
      <c r="J664" s="250">
        <f>_xlfn.XLOOKUP(FMS_Ranking4[[#This Row],[FMS ID]],FMS_Input[FMS_ID],FMS_Input[FMS_COST])</f>
        <v>100000</v>
      </c>
      <c r="K664" s="251" t="str">
        <f>_xlfn.XLOOKUP(FMS_Ranking4[[#This Row],[FMS ID]],FMS_Input[FMS_ID],FMS_Input[EMER_NEED])</f>
        <v>No</v>
      </c>
      <c r="L664" s="252">
        <f t="shared" si="10"/>
        <v>0</v>
      </c>
      <c r="M664" s="253">
        <f>_xlfn.XLOOKUP(FMS_Ranking4[[#This Row],[FMS ID]],FMS_Input[FMS_ID],FMS_Input[STRUCT_100])</f>
        <v>7</v>
      </c>
      <c r="N664" s="255">
        <f>(ASINH(FMS_Ranking4[[#This Row],[Structure at Risk Raw]]))*(10)/(ASINH(M$4))</f>
        <v>2.0786726107217111</v>
      </c>
      <c r="O664" s="256">
        <f>FMS_Ranking4[[#This Row],[Structures at risk, ArcSinh (0-10)]]*M$5*10</f>
        <v>2.0786726107217115</v>
      </c>
      <c r="P664" s="253">
        <f>_xlfn.XLOOKUP(FMS_Ranking4[[#This Row],[FMS ID]],FMS_Input[FMS_ID],FMS_Input[RES_STRUCT100])</f>
        <v>0</v>
      </c>
      <c r="Q664" s="257">
        <f>ASINH(FMS_Ranking4[[#This Row],[Res Structure Raw]])/Q$4*P$5*100</f>
        <v>0</v>
      </c>
      <c r="R664" s="253">
        <f>_xlfn.XLOOKUP(FMS_Ranking4[[#This Row],[FMS ID]],FMS_Input[FMS_ID],FMS_Input[POP100])</f>
        <v>3</v>
      </c>
      <c r="S664" s="259">
        <f>(ASINH(FMS_Ranking4[[#This Row],[Pop at Risk Raw]]))*(10)/(ASINH(R$4))</f>
        <v>1.2553794569988064</v>
      </c>
      <c r="T664" s="256">
        <f>FMS_Ranking4[[#This Row],[Population at risk, ArcSinh (0-10)]]*R$5*10</f>
        <v>1.2553794569988064</v>
      </c>
      <c r="U664" s="253">
        <f>_xlfn.XLOOKUP(FMS_Ranking4[[#This Row],[FMS ID]],FMS_Input[FMS_ID],FMS_Input[CRITFAC100])</f>
        <v>0</v>
      </c>
      <c r="V664" s="259">
        <f>(ASINH(FMS_Ranking4[[#This Row],[Critical Facilities Raw]]))*(10)/(ASINH(U$4))</f>
        <v>0</v>
      </c>
      <c r="W664" s="256">
        <f>FMS_Ranking4[[#This Row],[Critical facilities at risk, ArcSinh (0-10)]]*U$5*10</f>
        <v>0</v>
      </c>
      <c r="X664" s="253">
        <f>_xlfn.XLOOKUP(FMS_Ranking4[[#This Row],[FMS ID]],FMS_Input[FMS_ID],FMS_Input[LWC])</f>
        <v>0</v>
      </c>
      <c r="Y664" s="259">
        <f>(ASINH(FMS_Ranking4[[#This Row],[LWC Raw]]))*(10)/(ASINH(X$4))</f>
        <v>0</v>
      </c>
      <c r="Z664" s="256">
        <f>FMS_Ranking4[[#This Row],[LWC, ArcSInh (0-10)]]*X$5*10</f>
        <v>0</v>
      </c>
      <c r="AA664" s="253">
        <f>_xlfn.XLOOKUP(FMS_Ranking4[[#This Row],[FMS ID]],FMS_Input[FMS_ID],FMS_Input[ROADCLS])</f>
        <v>0</v>
      </c>
      <c r="AB664" s="255">
        <f>(ASINH(FMS_Ranking4[[#This Row],[Road Closures Raw]]))*(10)/(ASINH(AA$4))</f>
        <v>0</v>
      </c>
      <c r="AC664" s="256">
        <f>FMS_Ranking4[[#This Row],[Road closures, ArcSinh (0-10)]]*AA$5*10</f>
        <v>0</v>
      </c>
      <c r="AD664" s="253">
        <f>_xlfn.XLOOKUP(FMS_Ranking4[[#This Row],[FMS ID]],FMS_Input[FMS_ID],FMS_Input[ROAD_MILES100])</f>
        <v>5</v>
      </c>
      <c r="AE664" s="259">
        <f>(ASINH(FMS_Ranking4[[#This Row],[Road Miles Raw]]))*(10)/(ASINH(AD$4))</f>
        <v>2.4644230639487872</v>
      </c>
      <c r="AF664" s="256">
        <f>FMS_Ranking4[[#This Row],[Length of roads at risk, ArcSinh (0-10)]]*AD$5*10</f>
        <v>2.4644230639487876</v>
      </c>
      <c r="AG664" s="253">
        <f>_xlfn.XLOOKUP(FMS_Ranking4[[#This Row],[FMS ID]],FMS_Input[FMS_ID],FMS_Input[FARMACRE100])</f>
        <v>42190.99609375</v>
      </c>
      <c r="AH664" s="255">
        <f>(ASINH(FMS_Ranking4[[#This Row],[Ag Land Raw]]))*(10)/(ASINH(AG$4))</f>
        <v>7.368273602615524</v>
      </c>
      <c r="AI664" s="260">
        <f>FMS_Ranking4[[#This Row],[Farm &amp; ranch land, ArcSinh (0-10)]]*AG$5*10</f>
        <v>3.6841368013077624</v>
      </c>
      <c r="AJ664" s="258">
        <f>_xlfn.XLOOKUP(FMS_Ranking4[[#This Row],[FMS ID]],FMS_Input[FMS_ID],FMS_Input[REDSTRUCT100])</f>
        <v>0</v>
      </c>
      <c r="AK664" s="253">
        <f>_xlfn.XLOOKUP(FMS_Ranking4[[#This Row],[FMS ID]],FMS_Input[FMS_ID],FMS_Input[REMSTRC100])</f>
        <v>0</v>
      </c>
      <c r="AL664" s="259">
        <f>(ASINH(FMS_Ranking4[[#This Row],[Structures Removed Raw]]))*(10)/(ASINH(AK$4))</f>
        <v>0</v>
      </c>
      <c r="AM664" s="262">
        <f>FMS_Ranking4[[#This Row],[Structures removed, ArcSinh (0-10)]]*AK$5*10</f>
        <v>0</v>
      </c>
      <c r="AN664" s="253">
        <f>_xlfn.XLOOKUP(FMS_Ranking4[[#This Row],[FMS ID]],FMS_Input[FMS_ID],FMS_Input[REMRESSTRC100])</f>
        <v>0</v>
      </c>
      <c r="AO664" s="261">
        <f>FMS_Ranking4[[#This Row],[ArcSinh Res struct removed 0-10]]*AN$5*10</f>
        <v>0</v>
      </c>
      <c r="AP664" s="260">
        <f>ASINH(FMS_Ranking4[[#This Row],[Residential Structures Removed Raw]])/AP$4*AN$5*100</f>
        <v>0</v>
      </c>
      <c r="AQ664" s="254">
        <f>(ASINH(FMS_Ranking4[[#This Row],[Residential Structures Removed Raw]]))*(10)/(ASINH(AN$4))</f>
        <v>0</v>
      </c>
      <c r="AR664" s="253">
        <f>_xlfn.XLOOKUP(FMS_Ranking4[[#This Row],[FMS ID]],FMS_Input[FMS_ID],FMS_Input[REMPOP100])</f>
        <v>0</v>
      </c>
      <c r="AS664" s="259">
        <f>(ASINH(FMS_Ranking4[[#This Row],[Removed Pop Raw]]))*(10)/(ASINH(AR$4))</f>
        <v>0</v>
      </c>
      <c r="AT664" s="262">
        <f>FMS_Ranking4[[#This Row],[Removed population, ArcSinh (0-10)]]*AR$5*10</f>
        <v>0</v>
      </c>
      <c r="AU664" s="264">
        <f>_xlfn.XLOOKUP(FMS_Ranking4[[#This Row],[FMS ID]],FMS_Input[FMS_ID],FMS_Input[REMCRITFAC100])</f>
        <v>0</v>
      </c>
      <c r="AV664" s="264">
        <f>_xlfn.XLOOKUP(FMS_Ranking4[[#This Row],[FMS ID]],FMS_Input[FMS_ID],FMS_Input[REMLWC100])</f>
        <v>0</v>
      </c>
      <c r="AW664" s="264">
        <f>_xlfn.XLOOKUP(FMS_Ranking4[[#This Row],[FMS ID]],FMS_Input[FMS_ID],FMS_Input[REMROADCLS])</f>
        <v>0</v>
      </c>
      <c r="AX664" s="264">
        <f>_xlfn.XLOOKUP(FMS_Ranking4[[#This Row],[FMS ID]],FMS_Input[FMS_ID],FMS_Input[REMFRMACRE100])</f>
        <v>0</v>
      </c>
      <c r="AY664" s="258">
        <f>_xlfn.XLOOKUP(FMS_Ranking4[[#This Row],[FMS ID]],FMS_Input[FMS_ID],FMS_Input[COSTSTRUCT])</f>
        <v>0</v>
      </c>
      <c r="AZ664" s="253">
        <f>_xlfn.XLOOKUP(FMS_Ranking4[[#This Row],[FMS ID]],FMS_Input[FMS_ID],FMS_Input[NATURE])</f>
        <v>0</v>
      </c>
      <c r="BA664" s="262">
        <f>(((FMS_Ranking4[[#This Row],[% NBS Raw]]/AZ$4)*100)*AZ$5)</f>
        <v>0</v>
      </c>
      <c r="BB664" s="251" t="str">
        <f>_xlfn.XLOOKUP(FMS_Ranking4[[#This Row],[FMS ID]],FMS_Input[FMS_ID],FMS_Input[WATER_SUP])</f>
        <v>No</v>
      </c>
      <c r="BC664" s="265">
        <f>IF(FMS_Ranking4[[#This Row],[Water Supply Raw]]="Yes",10,0)</f>
        <v>0</v>
      </c>
      <c r="BD664" s="266">
        <f>_xlfn.XLOOKUP(FMS_Ranking4[[#This Row],[FMS Type]],FMS_TYPE[FMS_Type],FMS_TYPE[Score])</f>
        <v>8</v>
      </c>
      <c r="BE664" s="267">
        <f>FMS_Ranking4[[#This Row],[FMS_Type Score]]*$BD$5*10</f>
        <v>2</v>
      </c>
      <c r="BF66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9.5849545636505926E-2</v>
      </c>
      <c r="BG664" s="271">
        <f>_xlfn.RANK.EQ(BF664,$BF$8:$BF$870,0)+COUNTIF($BF$8:BF664,BF664)-1</f>
        <v>497</v>
      </c>
      <c r="BH664" s="268">
        <f>(((FMS_Ranking4[[#This Row],[Structures Removed Raw]]/AK$4)*100)*AK$5)+(((FMS_Ranking4[[#This Row],[Removed Pop Raw]]/AR$4)*100)*AR$5)</f>
        <v>0</v>
      </c>
      <c r="BI66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2.0958495456365061</v>
      </c>
      <c r="BJ664" s="205">
        <f>_xlfn.RANK.EQ(FMS_Ranking4[[#This Row],[Total Score 
(with linear
normalization)]],FMS_Ranking4[Total Score 
(with linear
normalization)],0)</f>
        <v>370</v>
      </c>
      <c r="BK664" s="205" t="e">
        <f>_xlfn.XLOOKUP(FMS_Ranking4[[#This Row],[FMS ID]],#REF!,#REF!)</f>
        <v>#REF!</v>
      </c>
      <c r="BL66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9.4826119329770684</v>
      </c>
      <c r="BM664" s="272">
        <f>FMS_Ranking4[[#This Row],[ArcSinh Score Based on Normalized Reported Factors]]+FMS_Ranking4[[#This Row],[% NBS Score (Normalized)]]+(FMS_Ranking4[[#This Row],[Water Supply Score (Normalized)]]*10*$BB$5)+FMS_Ranking4[[#This Row],[FMS_Type Score Weighted]]</f>
        <v>11.482611932977068</v>
      </c>
      <c r="BN664" s="205">
        <f>_xlfn.RANK.EQ(FMS_Ranking4[[#This Row],[Total Score (with ArcSinh normalization of select criteria)]],FMS_Ranking4[Total Score (with ArcSinh normalization of select criteria)],0)</f>
        <v>657</v>
      </c>
      <c r="BO664" s="270" t="str">
        <f>_xlfn.XLOOKUP(FMS_Ranking4[[#This Row],[FMS ID]],FMS_Input[FMS_ID],FMS_Input[FMS_RANK_YEAR])</f>
        <v>2023 Amended Plan</v>
      </c>
      <c r="BP664" s="204">
        <f>_xlfn.XLOOKUP(FMS_Ranking4[[#This Row],[FMS ID]],Prev_Rank[FMS ID],Prev_Rank[Prev Rank])</f>
        <v>589</v>
      </c>
      <c r="BQ664" s="205" t="e">
        <f>_xlfn.XLOOKUP(FMS_Ranking4[[#This Row],[FMS ID]],#REF!,#REF!)</f>
        <v>#REF!</v>
      </c>
      <c r="BR664" s="199" t="e">
        <f>SUM(#REF!,#REF!,#REF!,#REF!,#REF!,#REF!,#REF!,#REF!,#REF!,FMS_Ranking4[[#This Row],[ArcSinh Res struct removed 0-10]],#REF!)</f>
        <v>#REF!</v>
      </c>
      <c r="BS664" s="199" t="e">
        <f>FMS_Ranking4[[#This Row],[Log Score Based on Normalized Reported Factors]]+FMS_Ranking4[[#This Row],[% NBS Score (Normalized)]]+(FMS_Ranking4[[#This Row],[Water Supply Score (Normalized)]]*10*$BB$5)+(FMS_Ranking4[[#This Row],[FMS_Type Score Weighted]])</f>
        <v>#REF!</v>
      </c>
      <c r="BT664" s="200" t="e">
        <f>_xlfn.RANK.EQ(FMS_Ranking4[[#This Row],[Log Total Score]],FMS_Ranking4[Log Total Score],0)</f>
        <v>#REF!</v>
      </c>
      <c r="BU664" s="200" t="e">
        <f>_xlfn.XLOOKUP(FMS_Ranking4[[#This Row],[FMS ID]],#REF!,#REF!)</f>
        <v>#REF!</v>
      </c>
      <c r="BV664" s="200">
        <f>FMS_Ranking4[[#This Row],[Region Number]]</f>
        <v>1</v>
      </c>
      <c r="BW664" s="200">
        <f>FMS_Ranking4[[#This Row],[Rank (with ArcSinh normalization of select criteria)]]-FMS_Ranking4[[#This Row],[Rank
(with linear
normalization)]]</f>
        <v>287</v>
      </c>
      <c r="BX664" s="200" t="e">
        <f>FMS_Ranking4[[#This Row],[Log Rank]]-FMS_Ranking4[[#This Row],[Rank
(with linear
normalization)]]</f>
        <v>#REF!</v>
      </c>
      <c r="BY664" s="200" t="str">
        <f>IF(FMS_Ranking4[[#This Row],[FMS Type]]="Flood Measurement and Warning",FMS_Ranking4[[#This Row],[Rank (with ArcSinh normalization of select criteria)]],"")</f>
        <v/>
      </c>
      <c r="BZ664" s="200">
        <f>IF(FMS_Ranking4[[#This Row],[FMS Type]]="Regulatory and Guidance",FMS_Ranking4[[#This Row],[Rank (with ArcSinh normalization of select criteria)]],"")</f>
        <v>657</v>
      </c>
      <c r="CA664" s="200" t="str">
        <f>IF(FMS_Ranking4[[#This Row],[FMS Type]]="Education and Outreach",FMS_Ranking4[[#This Row],[Rank (with ArcSinh normalization of select criteria)]],"")</f>
        <v/>
      </c>
      <c r="CB664" s="200" t="str">
        <f>IF(FMS_Ranking4[[#This Row],[FMS Type]]="Property Acquisition and Structural Elevation",FMS_Ranking4[[#This Row],[Rank (with ArcSinh normalization of select criteria)]],"")</f>
        <v/>
      </c>
      <c r="CC664" s="200" t="str">
        <f>IF(FMS_Ranking4[[#This Row],[FMS Type]]="Infrastructure Projects",FMS_Ranking4[[#This Row],[Rank (with ArcSinh normalization of select criteria)]],"")</f>
        <v/>
      </c>
      <c r="CD664" s="200" t="str">
        <f>IF(FMS_Ranking4[[#This Row],[FMS Type]]="Other",FMS_Ranking4[[#This Row],[Rank (with ArcSinh normalization of select criteria)]],"")</f>
        <v/>
      </c>
      <c r="CE664" s="201"/>
      <c r="CF664" s="206"/>
      <c r="CG664" s="206"/>
      <c r="CH664" s="206"/>
      <c r="CI664" s="206"/>
      <c r="CJ664" s="206"/>
      <c r="CK664" s="206"/>
      <c r="CL664" s="206"/>
      <c r="CM664" s="206"/>
      <c r="CN664" s="206"/>
      <c r="CO664" s="206"/>
      <c r="CP664" s="206"/>
      <c r="CQ664" s="206"/>
      <c r="CR664" s="206"/>
    </row>
    <row r="665" spans="2:96" ht="60" x14ac:dyDescent="0.25">
      <c r="B665" s="341" t="s">
        <v>3628</v>
      </c>
      <c r="C665" s="246">
        <f>_xlfn.XLOOKUP(FMS_Ranking4[[#This Row],[FMS ID]],FMS_Input[FMS_ID],FMS_Input[RFPG_NUM])</f>
        <v>13</v>
      </c>
      <c r="D665" s="309" t="str">
        <f>_xlfn.XLOOKUP(FMS_Ranking4[[#This Row],[FMS ID]],FMS_Input[FMS_ID],FMS_Input[FMS_NAME])</f>
        <v>Atascosa McMullen Hazard Mitigation Plan - City of Jourdanton Action #6</v>
      </c>
      <c r="E665" s="308" t="str">
        <f>_xlfn.XLOOKUP(FMS_Ranking4[[#This Row],[FMS ID]],FMS_Input[FMS_ID],FMS_Input[SPONSOR])</f>
        <v>13003116</v>
      </c>
      <c r="F665" s="309" t="str">
        <f>_xlfn.XLOOKUP(FMS_Ranking4[[#This Row],[FMS ID]],Sponsor[FMS_ID],Sponsor[SPONSOR NAME])</f>
        <v>Jourdanton</v>
      </c>
      <c r="G665" s="309" t="str">
        <f>_xlfn.XLOOKUP(FMS_Ranking4[[#This Row],[FMS ID]],FMS_Input[FMS_ID],FMS_Input[FMS_DESCR])</f>
        <v>Install educational signage such as "turn around don't drown" at high risk low water crossings</v>
      </c>
      <c r="H665" s="248" t="str">
        <f>_xlfn.XLOOKUP(FMS_Ranking4[[#This Row],[FMS ID]],FMS_Input[FMS_ID],FMS_Input[FMS_TYPE])</f>
        <v>Education and Outreach</v>
      </c>
      <c r="I665" s="249">
        <f>_xlfn.XLOOKUP(FMS_Ranking4[[#This Row],[FMS ID]],FMS_Input[FMS_ID],FMS_Input[NRNC_COST])</f>
        <v>25000</v>
      </c>
      <c r="J665" s="250">
        <f>_xlfn.XLOOKUP(FMS_Ranking4[[#This Row],[FMS ID]],FMS_Input[FMS_ID],FMS_Input[FMS_COST])</f>
        <v>25000</v>
      </c>
      <c r="K665" s="251" t="str">
        <f>_xlfn.XLOOKUP(FMS_Ranking4[[#This Row],[FMS ID]],FMS_Input[FMS_ID],FMS_Input[EMER_NEED])</f>
        <v>Yes</v>
      </c>
      <c r="L665" s="252">
        <f t="shared" si="10"/>
        <v>1</v>
      </c>
      <c r="M665" s="253">
        <f>_xlfn.XLOOKUP(FMS_Ranking4[[#This Row],[FMS ID]],FMS_Input[FMS_ID],FMS_Input[STRUCT_100])</f>
        <v>18</v>
      </c>
      <c r="N665" s="255">
        <f>(ASINH(FMS_Ranking4[[#This Row],[Structure at Risk Raw]]))*(10)/(ASINH(M$4))</f>
        <v>2.8177853439774103</v>
      </c>
      <c r="O665" s="256">
        <f>FMS_Ranking4[[#This Row],[Structures at risk, ArcSinh (0-10)]]*M$5*10</f>
        <v>2.8177853439774103</v>
      </c>
      <c r="P665" s="253">
        <f>_xlfn.XLOOKUP(FMS_Ranking4[[#This Row],[FMS ID]],FMS_Input[FMS_ID],FMS_Input[RES_STRUCT100])</f>
        <v>11</v>
      </c>
      <c r="Q665" s="257">
        <f>ASINH(FMS_Ranking4[[#This Row],[Res Structure Raw]])/Q$4*P$5*100</f>
        <v>0</v>
      </c>
      <c r="R665" s="253">
        <f>_xlfn.XLOOKUP(FMS_Ranking4[[#This Row],[FMS ID]],FMS_Input[FMS_ID],FMS_Input[POP100])</f>
        <v>113</v>
      </c>
      <c r="S665" s="259">
        <f>(ASINH(FMS_Ranking4[[#This Row],[Pop at Risk Raw]]))*(10)/(ASINH(R$4))</f>
        <v>3.7421243982282699</v>
      </c>
      <c r="T665" s="256">
        <f>FMS_Ranking4[[#This Row],[Population at risk, ArcSinh (0-10)]]*R$5*10</f>
        <v>3.7421243982282704</v>
      </c>
      <c r="U665" s="253">
        <f>_xlfn.XLOOKUP(FMS_Ranking4[[#This Row],[FMS ID]],FMS_Input[FMS_ID],FMS_Input[CRITFAC100])</f>
        <v>0</v>
      </c>
      <c r="V665" s="259">
        <f>(ASINH(FMS_Ranking4[[#This Row],[Critical Facilities Raw]]))*(10)/(ASINH(U$4))</f>
        <v>0</v>
      </c>
      <c r="W665" s="256">
        <f>FMS_Ranking4[[#This Row],[Critical facilities at risk, ArcSinh (0-10)]]*U$5*10</f>
        <v>0</v>
      </c>
      <c r="X665" s="253">
        <f>_xlfn.XLOOKUP(FMS_Ranking4[[#This Row],[FMS ID]],FMS_Input[FMS_ID],FMS_Input[LWC])</f>
        <v>0</v>
      </c>
      <c r="Y665" s="259">
        <f>(ASINH(FMS_Ranking4[[#This Row],[LWC Raw]]))*(10)/(ASINH(X$4))</f>
        <v>0</v>
      </c>
      <c r="Z665" s="256">
        <f>FMS_Ranking4[[#This Row],[LWC, ArcSInh (0-10)]]*X$5*10</f>
        <v>0</v>
      </c>
      <c r="AA665" s="253">
        <f>_xlfn.XLOOKUP(FMS_Ranking4[[#This Row],[FMS ID]],FMS_Input[FMS_ID],FMS_Input[ROADCLS])</f>
        <v>25</v>
      </c>
      <c r="AB665" s="255">
        <f>(ASINH(FMS_Ranking4[[#This Row],[Road Closures Raw]]))*(10)/(ASINH(AA$4))</f>
        <v>4.0744292160615396</v>
      </c>
      <c r="AC665" s="256">
        <f>FMS_Ranking4[[#This Row],[Road closures, ArcSinh (0-10)]]*AA$5*10</f>
        <v>2.0372146080307698</v>
      </c>
      <c r="AD665" s="253">
        <f>_xlfn.XLOOKUP(FMS_Ranking4[[#This Row],[FMS ID]],FMS_Input[FMS_ID],FMS_Input[ROAD_MILES100])</f>
        <v>1</v>
      </c>
      <c r="AE665" s="259">
        <f>(ASINH(FMS_Ranking4[[#This Row],[Road Miles Raw]]))*(10)/(ASINH(AD$4))</f>
        <v>0.9393017565219649</v>
      </c>
      <c r="AF665" s="256">
        <f>FMS_Ranking4[[#This Row],[Length of roads at risk, ArcSinh (0-10)]]*AD$5*10</f>
        <v>0.93930175652196501</v>
      </c>
      <c r="AG665" s="253">
        <f>_xlfn.XLOOKUP(FMS_Ranking4[[#This Row],[FMS ID]],FMS_Input[FMS_ID],FMS_Input[FARMACRE100])</f>
        <v>1.337621808052063</v>
      </c>
      <c r="AH665" s="255">
        <f>(ASINH(FMS_Ranking4[[#This Row],[Ag Land Raw]]))*(10)/(ASINH(AG$4))</f>
        <v>0.71530789431197184</v>
      </c>
      <c r="AI665" s="260">
        <f>FMS_Ranking4[[#This Row],[Farm &amp; ranch land, ArcSinh (0-10)]]*AG$5*10</f>
        <v>0.35765394715598592</v>
      </c>
      <c r="AJ665" s="258">
        <f>_xlfn.XLOOKUP(FMS_Ranking4[[#This Row],[FMS ID]],FMS_Input[FMS_ID],FMS_Input[REDSTRUCT100])</f>
        <v>0</v>
      </c>
      <c r="AK665" s="253">
        <f>_xlfn.XLOOKUP(FMS_Ranking4[[#This Row],[FMS ID]],FMS_Input[FMS_ID],FMS_Input[REMSTRC100])</f>
        <v>0</v>
      </c>
      <c r="AL665" s="259">
        <f>(ASINH(FMS_Ranking4[[#This Row],[Structures Removed Raw]]))*(10)/(ASINH(AK$4))</f>
        <v>0</v>
      </c>
      <c r="AM665" s="262">
        <f>FMS_Ranking4[[#This Row],[Structures removed, ArcSinh (0-10)]]*AK$5*10</f>
        <v>0</v>
      </c>
      <c r="AN665" s="253">
        <f>_xlfn.XLOOKUP(FMS_Ranking4[[#This Row],[FMS ID]],FMS_Input[FMS_ID],FMS_Input[REMRESSTRC100])</f>
        <v>0</v>
      </c>
      <c r="AO665" s="261">
        <f>FMS_Ranking4[[#This Row],[ArcSinh Res struct removed 0-10]]*AN$5*10</f>
        <v>0</v>
      </c>
      <c r="AP665" s="260">
        <f>ASINH(FMS_Ranking4[[#This Row],[Residential Structures Removed Raw]])/AP$4*AN$5*100</f>
        <v>0</v>
      </c>
      <c r="AQ665" s="254">
        <f>(ASINH(FMS_Ranking4[[#This Row],[Residential Structures Removed Raw]]))*(10)/(ASINH(AN$4))</f>
        <v>0</v>
      </c>
      <c r="AR665" s="253">
        <f>_xlfn.XLOOKUP(FMS_Ranking4[[#This Row],[FMS ID]],FMS_Input[FMS_ID],FMS_Input[REMPOP100])</f>
        <v>0</v>
      </c>
      <c r="AS665" s="259">
        <f>(ASINH(FMS_Ranking4[[#This Row],[Removed Pop Raw]]))*(10)/(ASINH(AR$4))</f>
        <v>0</v>
      </c>
      <c r="AT665" s="262">
        <f>FMS_Ranking4[[#This Row],[Removed population, ArcSinh (0-10)]]*AR$5*10</f>
        <v>0</v>
      </c>
      <c r="AU665" s="264">
        <f>_xlfn.XLOOKUP(FMS_Ranking4[[#This Row],[FMS ID]],FMS_Input[FMS_ID],FMS_Input[REMCRITFAC100])</f>
        <v>0</v>
      </c>
      <c r="AV665" s="264">
        <f>_xlfn.XLOOKUP(FMS_Ranking4[[#This Row],[FMS ID]],FMS_Input[FMS_ID],FMS_Input[REMLWC100])</f>
        <v>0</v>
      </c>
      <c r="AW665" s="264">
        <f>_xlfn.XLOOKUP(FMS_Ranking4[[#This Row],[FMS ID]],FMS_Input[FMS_ID],FMS_Input[REMROADCLS])</f>
        <v>0</v>
      </c>
      <c r="AX665" s="264">
        <f>_xlfn.XLOOKUP(FMS_Ranking4[[#This Row],[FMS ID]],FMS_Input[FMS_ID],FMS_Input[REMFRMACRE100])</f>
        <v>0</v>
      </c>
      <c r="AY665" s="258">
        <f>_xlfn.XLOOKUP(FMS_Ranking4[[#This Row],[FMS ID]],FMS_Input[FMS_ID],FMS_Input[COSTSTRUCT])</f>
        <v>0</v>
      </c>
      <c r="AZ665" s="253">
        <f>_xlfn.XLOOKUP(FMS_Ranking4[[#This Row],[FMS ID]],FMS_Input[FMS_ID],FMS_Input[NATURE])</f>
        <v>0</v>
      </c>
      <c r="BA665" s="262">
        <f>(((FMS_Ranking4[[#This Row],[% NBS Raw]]/AZ$4)*100)*AZ$5)</f>
        <v>0</v>
      </c>
      <c r="BB665" s="251" t="str">
        <f>_xlfn.XLOOKUP(FMS_Ranking4[[#This Row],[FMS ID]],FMS_Input[FMS_ID],FMS_Input[WATER_SUP])</f>
        <v>No</v>
      </c>
      <c r="BC665" s="265">
        <f>IF(FMS_Ranking4[[#This Row],[Water Supply Raw]]="Yes",10,0)</f>
        <v>0</v>
      </c>
      <c r="BD665" s="266">
        <f>_xlfn.XLOOKUP(FMS_Ranking4[[#This Row],[FMS Type]],FMS_TYPE[FMS_Type],FMS_TYPE[Score])</f>
        <v>6</v>
      </c>
      <c r="BE665" s="267">
        <f>FMS_Ranking4[[#This Row],[FMS_Type Score]]*$BD$5*10</f>
        <v>1.5000000000000002</v>
      </c>
      <c r="BF66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2.0810200873097973E-2</v>
      </c>
      <c r="BG665" s="271">
        <f>_xlfn.RANK.EQ(BF665,$BF$8:$BF$870,0)+COUNTIF($BF$8:BF665,BF665)-1</f>
        <v>628</v>
      </c>
      <c r="BH665" s="268">
        <f>(((FMS_Ranking4[[#This Row],[Structures Removed Raw]]/AK$4)*100)*AK$5)+(((FMS_Ranking4[[#This Row],[Removed Pop Raw]]/AR$4)*100)*AR$5)</f>
        <v>0</v>
      </c>
      <c r="BI66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1.5208102008730982</v>
      </c>
      <c r="BJ665" s="205">
        <f>_xlfn.RANK.EQ(FMS_Ranking4[[#This Row],[Total Score 
(with linear
normalization)]],FMS_Ranking4[Total Score 
(with linear
normalization)],0)</f>
        <v>590</v>
      </c>
      <c r="BK665" s="205" t="e">
        <f>_xlfn.XLOOKUP(FMS_Ranking4[[#This Row],[FMS ID]],#REF!,#REF!)</f>
        <v>#REF!</v>
      </c>
      <c r="BL66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9.8940800539144025</v>
      </c>
      <c r="BM665" s="272">
        <f>FMS_Ranking4[[#This Row],[ArcSinh Score Based on Normalized Reported Factors]]+FMS_Ranking4[[#This Row],[% NBS Score (Normalized)]]+(FMS_Ranking4[[#This Row],[Water Supply Score (Normalized)]]*10*$BB$5)+FMS_Ranking4[[#This Row],[FMS_Type Score Weighted]]</f>
        <v>11.394080053914402</v>
      </c>
      <c r="BN665" s="205">
        <f>_xlfn.RANK.EQ(FMS_Ranking4[[#This Row],[Total Score (with ArcSinh normalization of select criteria)]],FMS_Ranking4[Total Score (with ArcSinh normalization of select criteria)],0)</f>
        <v>658</v>
      </c>
      <c r="BO665" s="270" t="str">
        <f>_xlfn.XLOOKUP(FMS_Ranking4[[#This Row],[FMS ID]],FMS_Input[FMS_ID],FMS_Input[FMS_RANK_YEAR])</f>
        <v>2023 Amended Plan</v>
      </c>
      <c r="BP665" s="204">
        <f>_xlfn.XLOOKUP(FMS_Ranking4[[#This Row],[FMS ID]],Prev_Rank[FMS ID],Prev_Rank[Prev Rank])</f>
        <v>588</v>
      </c>
      <c r="BQ665" s="205" t="e">
        <f>_xlfn.XLOOKUP(FMS_Ranking4[[#This Row],[FMS ID]],#REF!,#REF!)</f>
        <v>#REF!</v>
      </c>
      <c r="BR665" s="199" t="e">
        <f>SUM(#REF!,#REF!,#REF!,#REF!,#REF!,#REF!,#REF!,#REF!,#REF!,FMS_Ranking4[[#This Row],[ArcSinh Res struct removed 0-10]],#REF!)</f>
        <v>#REF!</v>
      </c>
      <c r="BS665" s="199" t="e">
        <f>FMS_Ranking4[[#This Row],[Log Score Based on Normalized Reported Factors]]+FMS_Ranking4[[#This Row],[% NBS Score (Normalized)]]+(FMS_Ranking4[[#This Row],[Water Supply Score (Normalized)]]*10*$BB$5)+(FMS_Ranking4[[#This Row],[FMS_Type Score Weighted]])</f>
        <v>#REF!</v>
      </c>
      <c r="BT665" s="200" t="e">
        <f>_xlfn.RANK.EQ(FMS_Ranking4[[#This Row],[Log Total Score]],FMS_Ranking4[Log Total Score],0)</f>
        <v>#REF!</v>
      </c>
      <c r="BU665" s="200" t="e">
        <f>_xlfn.XLOOKUP(FMS_Ranking4[[#This Row],[FMS ID]],#REF!,#REF!)</f>
        <v>#REF!</v>
      </c>
      <c r="BV665" s="200">
        <f>FMS_Ranking4[[#This Row],[Region Number]]</f>
        <v>13</v>
      </c>
      <c r="BW665" s="200">
        <f>FMS_Ranking4[[#This Row],[Rank (with ArcSinh normalization of select criteria)]]-FMS_Ranking4[[#This Row],[Rank
(with linear
normalization)]]</f>
        <v>68</v>
      </c>
      <c r="BX665" s="200" t="e">
        <f>FMS_Ranking4[[#This Row],[Log Rank]]-FMS_Ranking4[[#This Row],[Rank
(with linear
normalization)]]</f>
        <v>#REF!</v>
      </c>
      <c r="BY665" s="200" t="str">
        <f>IF(FMS_Ranking4[[#This Row],[FMS Type]]="Flood Measurement and Warning",FMS_Ranking4[[#This Row],[Rank (with ArcSinh normalization of select criteria)]],"")</f>
        <v/>
      </c>
      <c r="BZ665" s="200" t="str">
        <f>IF(FMS_Ranking4[[#This Row],[FMS Type]]="Regulatory and Guidance",FMS_Ranking4[[#This Row],[Rank (with ArcSinh normalization of select criteria)]],"")</f>
        <v/>
      </c>
      <c r="CA665" s="200">
        <f>IF(FMS_Ranking4[[#This Row],[FMS Type]]="Education and Outreach",FMS_Ranking4[[#This Row],[Rank (with ArcSinh normalization of select criteria)]],"")</f>
        <v>658</v>
      </c>
      <c r="CB665" s="200" t="str">
        <f>IF(FMS_Ranking4[[#This Row],[FMS Type]]="Property Acquisition and Structural Elevation",FMS_Ranking4[[#This Row],[Rank (with ArcSinh normalization of select criteria)]],"")</f>
        <v/>
      </c>
      <c r="CC665" s="200" t="str">
        <f>IF(FMS_Ranking4[[#This Row],[FMS Type]]="Infrastructure Projects",FMS_Ranking4[[#This Row],[Rank (with ArcSinh normalization of select criteria)]],"")</f>
        <v/>
      </c>
      <c r="CD665" s="200" t="str">
        <f>IF(FMS_Ranking4[[#This Row],[FMS Type]]="Other",FMS_Ranking4[[#This Row],[Rank (with ArcSinh normalization of select criteria)]],"")</f>
        <v/>
      </c>
      <c r="CE665" s="201"/>
      <c r="CF665" s="206"/>
      <c r="CG665" s="206"/>
      <c r="CH665" s="206"/>
      <c r="CI665" s="206"/>
      <c r="CJ665" s="206"/>
      <c r="CK665" s="206"/>
      <c r="CL665" s="206"/>
      <c r="CM665" s="206"/>
      <c r="CN665" s="206"/>
      <c r="CO665" s="206"/>
      <c r="CP665" s="206"/>
      <c r="CQ665" s="206"/>
      <c r="CR665" s="206"/>
    </row>
    <row r="666" spans="2:96" ht="90" x14ac:dyDescent="0.25">
      <c r="B666" s="341" t="s">
        <v>3376</v>
      </c>
      <c r="C666" s="246">
        <f>_xlfn.XLOOKUP(FMS_Ranking4[[#This Row],[FMS ID]],FMS_Input[FMS_ID],FMS_Input[RFPG_NUM])</f>
        <v>7</v>
      </c>
      <c r="D666" s="309" t="str">
        <f>_xlfn.XLOOKUP(FMS_Ranking4[[#This Row],[FMS ID]],FMS_Input[FMS_ID],FMS_Input[FMS_NAME])</f>
        <v>Ransom Canyon Evacuation Route</v>
      </c>
      <c r="E666" s="308" t="str">
        <f>_xlfn.XLOOKUP(FMS_Ranking4[[#This Row],[FMS ID]],FMS_Input[FMS_ID],FMS_Input[SPONSOR])</f>
        <v>07003508</v>
      </c>
      <c r="F666" s="309" t="str">
        <f>_xlfn.XLOOKUP(FMS_Ranking4[[#This Row],[FMS ID]],Sponsor[FMS_ID],Sponsor[SPONSOR NAME])</f>
        <v>Ransom Canyon</v>
      </c>
      <c r="G666" s="309" t="str">
        <f>_xlfn.XLOOKUP(FMS_Ranking4[[#This Row],[FMS ID]],FMS_Input[FMS_ID],FMS_Input[FMS_DESCR])</f>
        <v>As part of the Village's Emergency Operations Plan, construct an alternate evacuation route for residents affected by McMillan Dam failure</v>
      </c>
      <c r="H666" s="248" t="str">
        <f>_xlfn.XLOOKUP(FMS_Ranking4[[#This Row],[FMS ID]],FMS_Input[FMS_ID],FMS_Input[FMS_TYPE])</f>
        <v>Infrastructure Projects</v>
      </c>
      <c r="I666" s="249">
        <f>_xlfn.XLOOKUP(FMS_Ranking4[[#This Row],[FMS ID]],FMS_Input[FMS_ID],FMS_Input[NRNC_COST])</f>
        <v>500000</v>
      </c>
      <c r="J666" s="250">
        <f>_xlfn.XLOOKUP(FMS_Ranking4[[#This Row],[FMS ID]],FMS_Input[FMS_ID],FMS_Input[FMS_COST])</f>
        <v>500000</v>
      </c>
      <c r="K666" s="251" t="str">
        <f>_xlfn.XLOOKUP(FMS_Ranking4[[#This Row],[FMS ID]],FMS_Input[FMS_ID],FMS_Input[EMER_NEED])</f>
        <v>No</v>
      </c>
      <c r="L666" s="252">
        <f t="shared" si="10"/>
        <v>0</v>
      </c>
      <c r="M666" s="253">
        <f>_xlfn.XLOOKUP(FMS_Ranking4[[#This Row],[FMS ID]],FMS_Input[FMS_ID],FMS_Input[STRUCT_100])</f>
        <v>53</v>
      </c>
      <c r="N666" s="255">
        <f>(ASINH(FMS_Ranking4[[#This Row],[Structure at Risk Raw]]))*(10)/(ASINH(M$4))</f>
        <v>3.6662274416120577</v>
      </c>
      <c r="O666" s="256">
        <f>FMS_Ranking4[[#This Row],[Structures at risk, ArcSinh (0-10)]]*M$5*10</f>
        <v>3.6662274416120577</v>
      </c>
      <c r="P666" s="253">
        <f>_xlfn.XLOOKUP(FMS_Ranking4[[#This Row],[FMS ID]],FMS_Input[FMS_ID],FMS_Input[RES_STRUCT100])</f>
        <v>50</v>
      </c>
      <c r="Q666" s="257">
        <f>ASINH(FMS_Ranking4[[#This Row],[Res Structure Raw]])/Q$4*P$5*100</f>
        <v>0</v>
      </c>
      <c r="R666" s="253">
        <f>_xlfn.XLOOKUP(FMS_Ranking4[[#This Row],[FMS ID]],FMS_Input[FMS_ID],FMS_Input[POP100])</f>
        <v>131</v>
      </c>
      <c r="S666" s="259">
        <f>(ASINH(FMS_Ranking4[[#This Row],[Pop at Risk Raw]]))*(10)/(ASINH(R$4))</f>
        <v>3.8441624453041849</v>
      </c>
      <c r="T666" s="256">
        <f>FMS_Ranking4[[#This Row],[Population at risk, ArcSinh (0-10)]]*R$5*10</f>
        <v>3.8441624453041849</v>
      </c>
      <c r="U666" s="253">
        <f>_xlfn.XLOOKUP(FMS_Ranking4[[#This Row],[FMS ID]],FMS_Input[FMS_ID],FMS_Input[CRITFAC100])</f>
        <v>0</v>
      </c>
      <c r="V666" s="259">
        <f>(ASINH(FMS_Ranking4[[#This Row],[Critical Facilities Raw]]))*(10)/(ASINH(U$4))</f>
        <v>0</v>
      </c>
      <c r="W666" s="256">
        <f>FMS_Ranking4[[#This Row],[Critical facilities at risk, ArcSinh (0-10)]]*U$5*10</f>
        <v>0</v>
      </c>
      <c r="X666" s="253">
        <f>_xlfn.XLOOKUP(FMS_Ranking4[[#This Row],[FMS ID]],FMS_Input[FMS_ID],FMS_Input[LWC])</f>
        <v>1</v>
      </c>
      <c r="Y666" s="259">
        <f>(ASINH(FMS_Ranking4[[#This Row],[LWC Raw]]))*(10)/(ASINH(X$4))</f>
        <v>1.1940300948531093</v>
      </c>
      <c r="Z666" s="256">
        <f>FMS_Ranking4[[#This Row],[LWC, ArcSInh (0-10)]]*X$5*10</f>
        <v>1.1940300948531093</v>
      </c>
      <c r="AA666" s="253">
        <f>_xlfn.XLOOKUP(FMS_Ranking4[[#This Row],[FMS ID]],FMS_Input[FMS_ID],FMS_Input[ROADCLS])</f>
        <v>0</v>
      </c>
      <c r="AB666" s="255">
        <f>(ASINH(FMS_Ranking4[[#This Row],[Road Closures Raw]]))*(10)/(ASINH(AA$4))</f>
        <v>0</v>
      </c>
      <c r="AC666" s="256">
        <f>FMS_Ranking4[[#This Row],[Road closures, ArcSinh (0-10)]]*AA$5*10</f>
        <v>0</v>
      </c>
      <c r="AD666" s="253">
        <f>_xlfn.XLOOKUP(FMS_Ranking4[[#This Row],[FMS ID]],FMS_Input[FMS_ID],FMS_Input[ROAD_MILES100])</f>
        <v>1</v>
      </c>
      <c r="AE666" s="259">
        <f>(ASINH(FMS_Ranking4[[#This Row],[Road Miles Raw]]))*(10)/(ASINH(AD$4))</f>
        <v>0.9393017565219649</v>
      </c>
      <c r="AF666" s="256">
        <f>FMS_Ranking4[[#This Row],[Length of roads at risk, ArcSinh (0-10)]]*AD$5*10</f>
        <v>0.93930175652196501</v>
      </c>
      <c r="AG666" s="253">
        <f>_xlfn.XLOOKUP(FMS_Ranking4[[#This Row],[FMS ID]],FMS_Input[FMS_ID],FMS_Input[FARMACRE100])</f>
        <v>4.6563138961791992</v>
      </c>
      <c r="AH666" s="255">
        <f>(ASINH(FMS_Ranking4[[#This Row],[Ag Land Raw]]))*(10)/(ASINH(AG$4))</f>
        <v>1.4568212506909166</v>
      </c>
      <c r="AI666" s="260">
        <f>FMS_Ranking4[[#This Row],[Farm &amp; ranch land, ArcSinh (0-10)]]*AG$5*10</f>
        <v>0.72841062534545831</v>
      </c>
      <c r="AJ666" s="258">
        <f>_xlfn.XLOOKUP(FMS_Ranking4[[#This Row],[FMS ID]],FMS_Input[FMS_ID],FMS_Input[REDSTRUCT100])</f>
        <v>0</v>
      </c>
      <c r="AK666" s="253">
        <f>_xlfn.XLOOKUP(FMS_Ranking4[[#This Row],[FMS ID]],FMS_Input[FMS_ID],FMS_Input[REMSTRC100])</f>
        <v>0</v>
      </c>
      <c r="AL666" s="259">
        <f>(ASINH(FMS_Ranking4[[#This Row],[Structures Removed Raw]]))*(10)/(ASINH(AK$4))</f>
        <v>0</v>
      </c>
      <c r="AM666" s="262">
        <f>FMS_Ranking4[[#This Row],[Structures removed, ArcSinh (0-10)]]*AK$5*10</f>
        <v>0</v>
      </c>
      <c r="AN666" s="253">
        <f>_xlfn.XLOOKUP(FMS_Ranking4[[#This Row],[FMS ID]],FMS_Input[FMS_ID],FMS_Input[REMRESSTRC100])</f>
        <v>0</v>
      </c>
      <c r="AO666" s="261">
        <f>FMS_Ranking4[[#This Row],[ArcSinh Res struct removed 0-10]]*AN$5*10</f>
        <v>0</v>
      </c>
      <c r="AP666" s="260">
        <f>ASINH(FMS_Ranking4[[#This Row],[Residential Structures Removed Raw]])/AP$4*AN$5*100</f>
        <v>0</v>
      </c>
      <c r="AQ666" s="254">
        <f>(ASINH(FMS_Ranking4[[#This Row],[Residential Structures Removed Raw]]))*(10)/(ASINH(AN$4))</f>
        <v>0</v>
      </c>
      <c r="AR666" s="253">
        <f>_xlfn.XLOOKUP(FMS_Ranking4[[#This Row],[FMS ID]],FMS_Input[FMS_ID],FMS_Input[REMPOP100])</f>
        <v>0</v>
      </c>
      <c r="AS666" s="259">
        <f>(ASINH(FMS_Ranking4[[#This Row],[Removed Pop Raw]]))*(10)/(ASINH(AR$4))</f>
        <v>0</v>
      </c>
      <c r="AT666" s="262">
        <f>FMS_Ranking4[[#This Row],[Removed population, ArcSinh (0-10)]]*AR$5*10</f>
        <v>0</v>
      </c>
      <c r="AU666" s="264">
        <f>_xlfn.XLOOKUP(FMS_Ranking4[[#This Row],[FMS ID]],FMS_Input[FMS_ID],FMS_Input[REMCRITFAC100])</f>
        <v>0</v>
      </c>
      <c r="AV666" s="264">
        <f>_xlfn.XLOOKUP(FMS_Ranking4[[#This Row],[FMS ID]],FMS_Input[FMS_ID],FMS_Input[REMLWC100])</f>
        <v>0</v>
      </c>
      <c r="AW666" s="264">
        <f>_xlfn.XLOOKUP(FMS_Ranking4[[#This Row],[FMS ID]],FMS_Input[FMS_ID],FMS_Input[REMROADCLS])</f>
        <v>0</v>
      </c>
      <c r="AX666" s="264">
        <f>_xlfn.XLOOKUP(FMS_Ranking4[[#This Row],[FMS ID]],FMS_Input[FMS_ID],FMS_Input[REMFRMACRE100])</f>
        <v>0</v>
      </c>
      <c r="AY666" s="258">
        <f>_xlfn.XLOOKUP(FMS_Ranking4[[#This Row],[FMS ID]],FMS_Input[FMS_ID],FMS_Input[COSTSTRUCT])</f>
        <v>0</v>
      </c>
      <c r="AZ666" s="253">
        <f>_xlfn.XLOOKUP(FMS_Ranking4[[#This Row],[FMS ID]],FMS_Input[FMS_ID],FMS_Input[NATURE])</f>
        <v>0</v>
      </c>
      <c r="BA666" s="262">
        <f>(((FMS_Ranking4[[#This Row],[% NBS Raw]]/AZ$4)*100)*AZ$5)</f>
        <v>0</v>
      </c>
      <c r="BB666" s="251" t="str">
        <f>_xlfn.XLOOKUP(FMS_Ranking4[[#This Row],[FMS ID]],FMS_Input[FMS_ID],FMS_Input[WATER_SUP])</f>
        <v>No</v>
      </c>
      <c r="BC666" s="265">
        <f>IF(FMS_Ranking4[[#This Row],[Water Supply Raw]]="Yes",10,0)</f>
        <v>0</v>
      </c>
      <c r="BD666" s="266">
        <f>_xlfn.XLOOKUP(FMS_Ranking4[[#This Row],[FMS Type]],FMS_TYPE[FMS_Type],FMS_TYPE[Score])</f>
        <v>4</v>
      </c>
      <c r="BE666" s="267">
        <f>FMS_Ranking4[[#This Row],[FMS_Type Score]]*$BD$5*10</f>
        <v>1</v>
      </c>
      <c r="BF66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1.8655718640086943E-2</v>
      </c>
      <c r="BG666" s="271">
        <f>_xlfn.RANK.EQ(BF666,$BF$8:$BF$870,0)+COUNTIF($BF$8:BF666,BF666)-1</f>
        <v>639</v>
      </c>
      <c r="BH666" s="268">
        <f>(((FMS_Ranking4[[#This Row],[Structures Removed Raw]]/AK$4)*100)*AK$5)+(((FMS_Ranking4[[#This Row],[Removed Pop Raw]]/AR$4)*100)*AR$5)</f>
        <v>0</v>
      </c>
      <c r="BI66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1.0186557186400869</v>
      </c>
      <c r="BJ666" s="205">
        <f>_xlfn.RANK.EQ(FMS_Ranking4[[#This Row],[Total Score 
(with linear
normalization)]],FMS_Ranking4[Total Score 
(with linear
normalization)],0)</f>
        <v>722</v>
      </c>
      <c r="BK666" s="205" t="e">
        <f>_xlfn.XLOOKUP(FMS_Ranking4[[#This Row],[FMS ID]],#REF!,#REF!)</f>
        <v>#REF!</v>
      </c>
      <c r="BL66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10.372132363636776</v>
      </c>
      <c r="BM666" s="272">
        <f>FMS_Ranking4[[#This Row],[ArcSinh Score Based on Normalized Reported Factors]]+FMS_Ranking4[[#This Row],[% NBS Score (Normalized)]]+(FMS_Ranking4[[#This Row],[Water Supply Score (Normalized)]]*10*$BB$5)+FMS_Ranking4[[#This Row],[FMS_Type Score Weighted]]</f>
        <v>11.372132363636776</v>
      </c>
      <c r="BN666" s="205">
        <f>_xlfn.RANK.EQ(FMS_Ranking4[[#This Row],[Total Score (with ArcSinh normalization of select criteria)]],FMS_Ranking4[Total Score (with ArcSinh normalization of select criteria)],0)</f>
        <v>659</v>
      </c>
      <c r="BO666" s="270" t="str">
        <f>_xlfn.XLOOKUP(FMS_Ranking4[[#This Row],[FMS ID]],FMS_Input[FMS_ID],FMS_Input[FMS_RANK_YEAR])</f>
        <v>2023 Amended Plan</v>
      </c>
      <c r="BP666" s="204">
        <f>_xlfn.XLOOKUP(FMS_Ranking4[[#This Row],[FMS ID]],Prev_Rank[FMS ID],Prev_Rank[Prev Rank])</f>
        <v>593</v>
      </c>
      <c r="BQ666" s="205" t="e">
        <f>_xlfn.XLOOKUP(FMS_Ranking4[[#This Row],[FMS ID]],#REF!,#REF!)</f>
        <v>#REF!</v>
      </c>
      <c r="BR666" s="199" t="e">
        <f>SUM(#REF!,#REF!,#REF!,#REF!,#REF!,#REF!,#REF!,#REF!,#REF!,FMS_Ranking4[[#This Row],[ArcSinh Res struct removed 0-10]],#REF!)</f>
        <v>#REF!</v>
      </c>
      <c r="BS666" s="199" t="e">
        <f>FMS_Ranking4[[#This Row],[Log Score Based on Normalized Reported Factors]]+FMS_Ranking4[[#This Row],[% NBS Score (Normalized)]]+(FMS_Ranking4[[#This Row],[Water Supply Score (Normalized)]]*10*$BB$5)+(FMS_Ranking4[[#This Row],[FMS_Type Score Weighted]])</f>
        <v>#REF!</v>
      </c>
      <c r="BT666" s="200" t="e">
        <f>_xlfn.RANK.EQ(FMS_Ranking4[[#This Row],[Log Total Score]],FMS_Ranking4[Log Total Score],0)</f>
        <v>#REF!</v>
      </c>
      <c r="BU666" s="200" t="e">
        <f>_xlfn.XLOOKUP(FMS_Ranking4[[#This Row],[FMS ID]],#REF!,#REF!)</f>
        <v>#REF!</v>
      </c>
      <c r="BV666" s="200">
        <f>FMS_Ranking4[[#This Row],[Region Number]]</f>
        <v>7</v>
      </c>
      <c r="BW666" s="200">
        <f>FMS_Ranking4[[#This Row],[Rank (with ArcSinh normalization of select criteria)]]-FMS_Ranking4[[#This Row],[Rank
(with linear
normalization)]]</f>
        <v>-63</v>
      </c>
      <c r="BX666" s="200" t="e">
        <f>FMS_Ranking4[[#This Row],[Log Rank]]-FMS_Ranking4[[#This Row],[Rank
(with linear
normalization)]]</f>
        <v>#REF!</v>
      </c>
      <c r="BY666" s="200" t="str">
        <f>IF(FMS_Ranking4[[#This Row],[FMS Type]]="Flood Measurement and Warning",FMS_Ranking4[[#This Row],[Rank (with ArcSinh normalization of select criteria)]],"")</f>
        <v/>
      </c>
      <c r="BZ666" s="200" t="str">
        <f>IF(FMS_Ranking4[[#This Row],[FMS Type]]="Regulatory and Guidance",FMS_Ranking4[[#This Row],[Rank (with ArcSinh normalization of select criteria)]],"")</f>
        <v/>
      </c>
      <c r="CA666" s="200" t="str">
        <f>IF(FMS_Ranking4[[#This Row],[FMS Type]]="Education and Outreach",FMS_Ranking4[[#This Row],[Rank (with ArcSinh normalization of select criteria)]],"")</f>
        <v/>
      </c>
      <c r="CB666" s="200" t="str">
        <f>IF(FMS_Ranking4[[#This Row],[FMS Type]]="Property Acquisition and Structural Elevation",FMS_Ranking4[[#This Row],[Rank (with ArcSinh normalization of select criteria)]],"")</f>
        <v/>
      </c>
      <c r="CC666" s="200">
        <f>IF(FMS_Ranking4[[#This Row],[FMS Type]]="Infrastructure Projects",FMS_Ranking4[[#This Row],[Rank (with ArcSinh normalization of select criteria)]],"")</f>
        <v>659</v>
      </c>
      <c r="CD666" s="200" t="str">
        <f>IF(FMS_Ranking4[[#This Row],[FMS Type]]="Other",FMS_Ranking4[[#This Row],[Rank (with ArcSinh normalization of select criteria)]],"")</f>
        <v/>
      </c>
      <c r="CE666" s="201"/>
      <c r="CF666" s="206"/>
      <c r="CG666" s="206"/>
      <c r="CH666" s="206"/>
      <c r="CI666" s="206"/>
      <c r="CJ666" s="206"/>
      <c r="CK666" s="206"/>
      <c r="CL666" s="206"/>
      <c r="CM666" s="206"/>
      <c r="CN666" s="206"/>
      <c r="CO666" s="206"/>
      <c r="CP666" s="206"/>
      <c r="CQ666" s="206"/>
      <c r="CR666" s="206"/>
    </row>
    <row r="667" spans="2:96" ht="75" x14ac:dyDescent="0.25">
      <c r="B667" s="341" t="s">
        <v>2906</v>
      </c>
      <c r="C667" s="246">
        <f>_xlfn.XLOOKUP(FMS_Ranking4[[#This Row],[FMS ID]],FMS_Input[FMS_ID],FMS_Input[RFPG_NUM])</f>
        <v>5</v>
      </c>
      <c r="D667" s="309" t="str">
        <f>_xlfn.XLOOKUP(FMS_Ranking4[[#This Row],[FMS ID]],FMS_Input[FMS_ID],FMS_Input[FMS_NAME])</f>
        <v>City of Rose Hill Acres General Drainage Improvements</v>
      </c>
      <c r="E667" s="308" t="str">
        <f>_xlfn.XLOOKUP(FMS_Ranking4[[#This Row],[FMS ID]],FMS_Input[FMS_ID],FMS_Input[SPONSOR])</f>
        <v>05003029</v>
      </c>
      <c r="F667" s="309" t="str">
        <f>_xlfn.XLOOKUP(FMS_Ranking4[[#This Row],[FMS ID]],Sponsor[FMS_ID],Sponsor[SPONSOR NAME])</f>
        <v>Rose Hill Acres</v>
      </c>
      <c r="G667" s="309" t="str">
        <f>_xlfn.XLOOKUP(FMS_Ranking4[[#This Row],[FMS ID]],FMS_Input[FMS_ID],FMS_Input[FMS_DESCR])</f>
        <v>Establish criteria to increase drainage capacity; add stormwater detention basins, box culverts and/or pipes to increase drainage capacity.</v>
      </c>
      <c r="H667" s="248" t="str">
        <f>_xlfn.XLOOKUP(FMS_Ranking4[[#This Row],[FMS ID]],FMS_Input[FMS_ID],FMS_Input[FMS_TYPE])</f>
        <v>Infrastructure Projects</v>
      </c>
      <c r="I667" s="249">
        <f>_xlfn.XLOOKUP(FMS_Ranking4[[#This Row],[FMS ID]],FMS_Input[FMS_ID],FMS_Input[NRNC_COST])</f>
        <v>100000</v>
      </c>
      <c r="J667" s="250">
        <f>_xlfn.XLOOKUP(FMS_Ranking4[[#This Row],[FMS ID]],FMS_Input[FMS_ID],FMS_Input[FMS_COST])</f>
        <v>400000</v>
      </c>
      <c r="K667" s="251" t="str">
        <f>_xlfn.XLOOKUP(FMS_Ranking4[[#This Row],[FMS ID]],FMS_Input[FMS_ID],FMS_Input[EMER_NEED])</f>
        <v>Yes</v>
      </c>
      <c r="L667" s="252">
        <f t="shared" si="10"/>
        <v>1</v>
      </c>
      <c r="M667" s="253">
        <f>_xlfn.XLOOKUP(FMS_Ranking4[[#This Row],[FMS ID]],FMS_Input[FMS_ID],FMS_Input[STRUCT_100])</f>
        <v>134</v>
      </c>
      <c r="N667" s="255">
        <f>(ASINH(FMS_Ranking4[[#This Row],[Structure at Risk Raw]]))*(10)/(ASINH(M$4))</f>
        <v>4.3953591738488607</v>
      </c>
      <c r="O667" s="256">
        <f>FMS_Ranking4[[#This Row],[Structures at risk, ArcSinh (0-10)]]*M$5*10</f>
        <v>4.3953591738488607</v>
      </c>
      <c r="P667" s="253">
        <f>_xlfn.XLOOKUP(FMS_Ranking4[[#This Row],[FMS ID]],FMS_Input[FMS_ID],FMS_Input[RES_STRUCT100])</f>
        <v>123</v>
      </c>
      <c r="Q667" s="257">
        <f>ASINH(FMS_Ranking4[[#This Row],[Res Structure Raw]])/Q$4*P$5*100</f>
        <v>0</v>
      </c>
      <c r="R667" s="253">
        <f>_xlfn.XLOOKUP(FMS_Ranking4[[#This Row],[FMS ID]],FMS_Input[FMS_ID],FMS_Input[POP100])</f>
        <v>278</v>
      </c>
      <c r="S667" s="259">
        <f>(ASINH(FMS_Ranking4[[#This Row],[Pop at Risk Raw]]))*(10)/(ASINH(R$4))</f>
        <v>4.3635965687503218</v>
      </c>
      <c r="T667" s="256">
        <f>FMS_Ranking4[[#This Row],[Population at risk, ArcSinh (0-10)]]*R$5*10</f>
        <v>4.3635965687503218</v>
      </c>
      <c r="U667" s="253">
        <f>_xlfn.XLOOKUP(FMS_Ranking4[[#This Row],[FMS ID]],FMS_Input[FMS_ID],FMS_Input[CRITFAC100])</f>
        <v>0</v>
      </c>
      <c r="V667" s="259">
        <f>(ASINH(FMS_Ranking4[[#This Row],[Critical Facilities Raw]]))*(10)/(ASINH(U$4))</f>
        <v>0</v>
      </c>
      <c r="W667" s="256">
        <f>FMS_Ranking4[[#This Row],[Critical facilities at risk, ArcSinh (0-10)]]*U$5*10</f>
        <v>0</v>
      </c>
      <c r="X667" s="253">
        <f>_xlfn.XLOOKUP(FMS_Ranking4[[#This Row],[FMS ID]],FMS_Input[FMS_ID],FMS_Input[LWC])</f>
        <v>0</v>
      </c>
      <c r="Y667" s="259">
        <f>(ASINH(FMS_Ranking4[[#This Row],[LWC Raw]]))*(10)/(ASINH(X$4))</f>
        <v>0</v>
      </c>
      <c r="Z667" s="256">
        <f>FMS_Ranking4[[#This Row],[LWC, ArcSInh (0-10)]]*X$5*10</f>
        <v>0</v>
      </c>
      <c r="AA667" s="253">
        <f>_xlfn.XLOOKUP(FMS_Ranking4[[#This Row],[FMS ID]],FMS_Input[FMS_ID],FMS_Input[ROADCLS])</f>
        <v>0</v>
      </c>
      <c r="AB667" s="255">
        <f>(ASINH(FMS_Ranking4[[#This Row],[Road Closures Raw]]))*(10)/(ASINH(AA$4))</f>
        <v>0</v>
      </c>
      <c r="AC667" s="256">
        <f>FMS_Ranking4[[#This Row],[Road closures, ArcSinh (0-10)]]*AA$5*10</f>
        <v>0</v>
      </c>
      <c r="AD667" s="253">
        <f>_xlfn.XLOOKUP(FMS_Ranking4[[#This Row],[FMS ID]],FMS_Input[FMS_ID],FMS_Input[ROAD_MILES100])</f>
        <v>2</v>
      </c>
      <c r="AE667" s="259">
        <f>(ASINH(FMS_Ranking4[[#This Row],[Road Miles Raw]]))*(10)/(ASINH(AD$4))</f>
        <v>1.5385182374234352</v>
      </c>
      <c r="AF667" s="256">
        <f>FMS_Ranking4[[#This Row],[Length of roads at risk, ArcSinh (0-10)]]*AD$5*10</f>
        <v>1.5385182374234352</v>
      </c>
      <c r="AG667" s="253">
        <f>_xlfn.XLOOKUP(FMS_Ranking4[[#This Row],[FMS ID]],FMS_Input[FMS_ID],FMS_Input[FARMACRE100])</f>
        <v>0.2223948389291763</v>
      </c>
      <c r="AH667" s="255">
        <f>(ASINH(FMS_Ranking4[[#This Row],[Ag Land Raw]]))*(10)/(ASINH(AG$4))</f>
        <v>0.14329846728042792</v>
      </c>
      <c r="AI667" s="260">
        <f>FMS_Ranking4[[#This Row],[Farm &amp; ranch land, ArcSinh (0-10)]]*AG$5*10</f>
        <v>7.1649233640213972E-2</v>
      </c>
      <c r="AJ667" s="258">
        <f>_xlfn.XLOOKUP(FMS_Ranking4[[#This Row],[FMS ID]],FMS_Input[FMS_ID],FMS_Input[REDSTRUCT100])</f>
        <v>0</v>
      </c>
      <c r="AK667" s="253">
        <f>_xlfn.XLOOKUP(FMS_Ranking4[[#This Row],[FMS ID]],FMS_Input[FMS_ID],FMS_Input[REMSTRC100])</f>
        <v>0</v>
      </c>
      <c r="AL667" s="259">
        <f>(ASINH(FMS_Ranking4[[#This Row],[Structures Removed Raw]]))*(10)/(ASINH(AK$4))</f>
        <v>0</v>
      </c>
      <c r="AM667" s="262">
        <f>FMS_Ranking4[[#This Row],[Structures removed, ArcSinh (0-10)]]*AK$5*10</f>
        <v>0</v>
      </c>
      <c r="AN667" s="253">
        <f>_xlfn.XLOOKUP(FMS_Ranking4[[#This Row],[FMS ID]],FMS_Input[FMS_ID],FMS_Input[REMRESSTRC100])</f>
        <v>0</v>
      </c>
      <c r="AO667" s="261">
        <f>FMS_Ranking4[[#This Row],[ArcSinh Res struct removed 0-10]]*AN$5*10</f>
        <v>0</v>
      </c>
      <c r="AP667" s="260">
        <f>ASINH(FMS_Ranking4[[#This Row],[Residential Structures Removed Raw]])/AP$4*AN$5*100</f>
        <v>0</v>
      </c>
      <c r="AQ667" s="254">
        <f>(ASINH(FMS_Ranking4[[#This Row],[Residential Structures Removed Raw]]))*(10)/(ASINH(AN$4))</f>
        <v>0</v>
      </c>
      <c r="AR667" s="253">
        <f>_xlfn.XLOOKUP(FMS_Ranking4[[#This Row],[FMS ID]],FMS_Input[FMS_ID],FMS_Input[REMPOP100])</f>
        <v>0</v>
      </c>
      <c r="AS667" s="259">
        <f>(ASINH(FMS_Ranking4[[#This Row],[Removed Pop Raw]]))*(10)/(ASINH(AR$4))</f>
        <v>0</v>
      </c>
      <c r="AT667" s="262">
        <f>FMS_Ranking4[[#This Row],[Removed population, ArcSinh (0-10)]]*AR$5*10</f>
        <v>0</v>
      </c>
      <c r="AU667" s="264">
        <f>_xlfn.XLOOKUP(FMS_Ranking4[[#This Row],[FMS ID]],FMS_Input[FMS_ID],FMS_Input[REMCRITFAC100])</f>
        <v>0</v>
      </c>
      <c r="AV667" s="264">
        <f>_xlfn.XLOOKUP(FMS_Ranking4[[#This Row],[FMS ID]],FMS_Input[FMS_ID],FMS_Input[REMLWC100])</f>
        <v>0</v>
      </c>
      <c r="AW667" s="264">
        <f>_xlfn.XLOOKUP(FMS_Ranking4[[#This Row],[FMS ID]],FMS_Input[FMS_ID],FMS_Input[REMROADCLS])</f>
        <v>0</v>
      </c>
      <c r="AX667" s="264">
        <f>_xlfn.XLOOKUP(FMS_Ranking4[[#This Row],[FMS ID]],FMS_Input[FMS_ID],FMS_Input[REMFRMACRE100])</f>
        <v>0</v>
      </c>
      <c r="AY667" s="258">
        <f>_xlfn.XLOOKUP(FMS_Ranking4[[#This Row],[FMS ID]],FMS_Input[FMS_ID],FMS_Input[COSTSTRUCT])</f>
        <v>0</v>
      </c>
      <c r="AZ667" s="253">
        <f>_xlfn.XLOOKUP(FMS_Ranking4[[#This Row],[FMS ID]],FMS_Input[FMS_ID],FMS_Input[NATURE])</f>
        <v>0</v>
      </c>
      <c r="BA667" s="262">
        <f>(((FMS_Ranking4[[#This Row],[% NBS Raw]]/AZ$4)*100)*AZ$5)</f>
        <v>0</v>
      </c>
      <c r="BB667" s="251" t="str">
        <f>_xlfn.XLOOKUP(FMS_Ranking4[[#This Row],[FMS ID]],FMS_Input[FMS_ID],FMS_Input[WATER_SUP])</f>
        <v>No</v>
      </c>
      <c r="BC667" s="265">
        <f>IF(FMS_Ranking4[[#This Row],[Water Supply Raw]]="Yes",10,0)</f>
        <v>0</v>
      </c>
      <c r="BD667" s="266">
        <f>_xlfn.XLOOKUP(FMS_Ranking4[[#This Row],[FMS Type]],FMS_TYPE[FMS_Type],FMS_TYPE[Score])</f>
        <v>4</v>
      </c>
      <c r="BE667" s="267">
        <f>FMS_Ranking4[[#This Row],[FMS_Type Score]]*$BD$5*10</f>
        <v>1</v>
      </c>
      <c r="BF66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1.4224287924140948E-2</v>
      </c>
      <c r="BG667" s="271">
        <f>_xlfn.RANK.EQ(BF667,$BF$8:$BF$870,0)+COUNTIF($BF$8:BF667,BF667)-1</f>
        <v>657</v>
      </c>
      <c r="BH667" s="268">
        <f>(((FMS_Ranking4[[#This Row],[Structures Removed Raw]]/AK$4)*100)*AK$5)+(((FMS_Ranking4[[#This Row],[Removed Pop Raw]]/AR$4)*100)*AR$5)</f>
        <v>0</v>
      </c>
      <c r="BI66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1.014224287924141</v>
      </c>
      <c r="BJ667" s="205">
        <f>_xlfn.RANK.EQ(FMS_Ranking4[[#This Row],[Total Score 
(with linear
normalization)]],FMS_Ranking4[Total Score 
(with linear
normalization)],0)</f>
        <v>726</v>
      </c>
      <c r="BK667" s="205" t="e">
        <f>_xlfn.XLOOKUP(FMS_Ranking4[[#This Row],[FMS ID]],#REF!,#REF!)</f>
        <v>#REF!</v>
      </c>
      <c r="BL66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10.369123213662832</v>
      </c>
      <c r="BM667" s="272">
        <f>FMS_Ranking4[[#This Row],[ArcSinh Score Based on Normalized Reported Factors]]+FMS_Ranking4[[#This Row],[% NBS Score (Normalized)]]+(FMS_Ranking4[[#This Row],[Water Supply Score (Normalized)]]*10*$BB$5)+FMS_Ranking4[[#This Row],[FMS_Type Score Weighted]]</f>
        <v>11.369123213662832</v>
      </c>
      <c r="BN667" s="205">
        <f>_xlfn.RANK.EQ(FMS_Ranking4[[#This Row],[Total Score (with ArcSinh normalization of select criteria)]],FMS_Ranking4[Total Score (with ArcSinh normalization of select criteria)],0)</f>
        <v>660</v>
      </c>
      <c r="BO667" s="270" t="str">
        <f>_xlfn.XLOOKUP(FMS_Ranking4[[#This Row],[FMS ID]],FMS_Input[FMS_ID],FMS_Input[FMS_RANK_YEAR])</f>
        <v>2023 Amended Plan</v>
      </c>
      <c r="BP667" s="204">
        <f>_xlfn.XLOOKUP(FMS_Ranking4[[#This Row],[FMS ID]],Prev_Rank[FMS ID],Prev_Rank[Prev Rank])</f>
        <v>590</v>
      </c>
      <c r="BQ667" s="205" t="e">
        <f>_xlfn.XLOOKUP(FMS_Ranking4[[#This Row],[FMS ID]],#REF!,#REF!)</f>
        <v>#REF!</v>
      </c>
      <c r="BR667" s="199" t="e">
        <f>SUM(#REF!,#REF!,#REF!,#REF!,#REF!,#REF!,#REF!,#REF!,#REF!,FMS_Ranking4[[#This Row],[ArcSinh Res struct removed 0-10]],#REF!)</f>
        <v>#REF!</v>
      </c>
      <c r="BS667" s="199" t="e">
        <f>FMS_Ranking4[[#This Row],[Log Score Based on Normalized Reported Factors]]+FMS_Ranking4[[#This Row],[% NBS Score (Normalized)]]+(FMS_Ranking4[[#This Row],[Water Supply Score (Normalized)]]*10*$BB$5)+(FMS_Ranking4[[#This Row],[FMS_Type Score Weighted]])</f>
        <v>#REF!</v>
      </c>
      <c r="BT667" s="200" t="e">
        <f>_xlfn.RANK.EQ(FMS_Ranking4[[#This Row],[Log Total Score]],FMS_Ranking4[Log Total Score],0)</f>
        <v>#REF!</v>
      </c>
      <c r="BU667" s="200" t="e">
        <f>_xlfn.XLOOKUP(FMS_Ranking4[[#This Row],[FMS ID]],#REF!,#REF!)</f>
        <v>#REF!</v>
      </c>
      <c r="BV667" s="200">
        <f>FMS_Ranking4[[#This Row],[Region Number]]</f>
        <v>5</v>
      </c>
      <c r="BW667" s="200">
        <f>FMS_Ranking4[[#This Row],[Rank (with ArcSinh normalization of select criteria)]]-FMS_Ranking4[[#This Row],[Rank
(with linear
normalization)]]</f>
        <v>-66</v>
      </c>
      <c r="BX667" s="200" t="e">
        <f>FMS_Ranking4[[#This Row],[Log Rank]]-FMS_Ranking4[[#This Row],[Rank
(with linear
normalization)]]</f>
        <v>#REF!</v>
      </c>
      <c r="BY667" s="200" t="str">
        <f>IF(FMS_Ranking4[[#This Row],[FMS Type]]="Flood Measurement and Warning",FMS_Ranking4[[#This Row],[Rank (with ArcSinh normalization of select criteria)]],"")</f>
        <v/>
      </c>
      <c r="BZ667" s="200" t="str">
        <f>IF(FMS_Ranking4[[#This Row],[FMS Type]]="Regulatory and Guidance",FMS_Ranking4[[#This Row],[Rank (with ArcSinh normalization of select criteria)]],"")</f>
        <v/>
      </c>
      <c r="CA667" s="200" t="str">
        <f>IF(FMS_Ranking4[[#This Row],[FMS Type]]="Education and Outreach",FMS_Ranking4[[#This Row],[Rank (with ArcSinh normalization of select criteria)]],"")</f>
        <v/>
      </c>
      <c r="CB667" s="200" t="str">
        <f>IF(FMS_Ranking4[[#This Row],[FMS Type]]="Property Acquisition and Structural Elevation",FMS_Ranking4[[#This Row],[Rank (with ArcSinh normalization of select criteria)]],"")</f>
        <v/>
      </c>
      <c r="CC667" s="200">
        <f>IF(FMS_Ranking4[[#This Row],[FMS Type]]="Infrastructure Projects",FMS_Ranking4[[#This Row],[Rank (with ArcSinh normalization of select criteria)]],"")</f>
        <v>660</v>
      </c>
      <c r="CD667" s="200" t="str">
        <f>IF(FMS_Ranking4[[#This Row],[FMS Type]]="Other",FMS_Ranking4[[#This Row],[Rank (with ArcSinh normalization of select criteria)]],"")</f>
        <v/>
      </c>
      <c r="CE667" s="201"/>
      <c r="CF667" s="206"/>
      <c r="CG667" s="206"/>
      <c r="CH667" s="206"/>
      <c r="CI667" s="206"/>
      <c r="CJ667" s="206"/>
      <c r="CK667" s="206"/>
      <c r="CL667" s="206"/>
      <c r="CM667" s="206"/>
      <c r="CN667" s="206"/>
      <c r="CO667" s="206"/>
      <c r="CP667" s="206"/>
      <c r="CQ667" s="206"/>
      <c r="CR667" s="206"/>
    </row>
    <row r="668" spans="2:96" ht="120" x14ac:dyDescent="0.25">
      <c r="B668" s="341" t="s">
        <v>2909</v>
      </c>
      <c r="C668" s="246">
        <f>_xlfn.XLOOKUP(FMS_Ranking4[[#This Row],[FMS ID]],FMS_Input[FMS_ID],FMS_Input[RFPG_NUM])</f>
        <v>5</v>
      </c>
      <c r="D668" s="309" t="str">
        <f>_xlfn.XLOOKUP(FMS_Ranking4[[#This Row],[FMS ID]],FMS_Input[FMS_ID],FMS_Input[FMS_NAME])</f>
        <v>City of Rose Hill Acres Flood Control Improvements</v>
      </c>
      <c r="E668" s="308" t="str">
        <f>_xlfn.XLOOKUP(FMS_Ranking4[[#This Row],[FMS ID]],FMS_Input[FMS_ID],FMS_Input[SPONSOR])</f>
        <v>05003029</v>
      </c>
      <c r="F668" s="309" t="str">
        <f>_xlfn.XLOOKUP(FMS_Ranking4[[#This Row],[FMS ID]],Sponsor[FMS_ID],Sponsor[SPONSOR NAME])</f>
        <v>Rose Hill Acres</v>
      </c>
      <c r="G668" s="309" t="str">
        <f>_xlfn.XLOOKUP(FMS_Ranking4[[#This Row],[FMS ID]],FMS_Input[FMS_ID],FMS_Input[FMS_DESCR])</f>
        <v>Develop a program to upgrade flood control structures (barriers, berms) for the purpose of protecting critical facilities, potable water sources, and agricultural resources from water contamination and saltwater intrusion.</v>
      </c>
      <c r="H668" s="248" t="str">
        <f>_xlfn.XLOOKUP(FMS_Ranking4[[#This Row],[FMS ID]],FMS_Input[FMS_ID],FMS_Input[FMS_TYPE])</f>
        <v>Infrastructure Projects</v>
      </c>
      <c r="I668" s="249">
        <f>_xlfn.XLOOKUP(FMS_Ranking4[[#This Row],[FMS ID]],FMS_Input[FMS_ID],FMS_Input[NRNC_COST])</f>
        <v>100000</v>
      </c>
      <c r="J668" s="250">
        <f>_xlfn.XLOOKUP(FMS_Ranking4[[#This Row],[FMS ID]],FMS_Input[FMS_ID],FMS_Input[FMS_COST])</f>
        <v>3000000</v>
      </c>
      <c r="K668" s="251" t="str">
        <f>_xlfn.XLOOKUP(FMS_Ranking4[[#This Row],[FMS ID]],FMS_Input[FMS_ID],FMS_Input[EMER_NEED])</f>
        <v>Yes</v>
      </c>
      <c r="L668" s="252">
        <f t="shared" si="10"/>
        <v>1</v>
      </c>
      <c r="M668" s="253">
        <f>_xlfn.XLOOKUP(FMS_Ranking4[[#This Row],[FMS ID]],FMS_Input[FMS_ID],FMS_Input[STRUCT_100])</f>
        <v>134</v>
      </c>
      <c r="N668" s="255">
        <f>(ASINH(FMS_Ranking4[[#This Row],[Structure at Risk Raw]]))*(10)/(ASINH(M$4))</f>
        <v>4.3953591738488607</v>
      </c>
      <c r="O668" s="256">
        <f>FMS_Ranking4[[#This Row],[Structures at risk, ArcSinh (0-10)]]*M$5*10</f>
        <v>4.3953591738488607</v>
      </c>
      <c r="P668" s="253">
        <f>_xlfn.XLOOKUP(FMS_Ranking4[[#This Row],[FMS ID]],FMS_Input[FMS_ID],FMS_Input[RES_STRUCT100])</f>
        <v>123</v>
      </c>
      <c r="Q668" s="257">
        <f>ASINH(FMS_Ranking4[[#This Row],[Res Structure Raw]])/Q$4*P$5*100</f>
        <v>0</v>
      </c>
      <c r="R668" s="253">
        <f>_xlfn.XLOOKUP(FMS_Ranking4[[#This Row],[FMS ID]],FMS_Input[FMS_ID],FMS_Input[POP100])</f>
        <v>278</v>
      </c>
      <c r="S668" s="259">
        <f>(ASINH(FMS_Ranking4[[#This Row],[Pop at Risk Raw]]))*(10)/(ASINH(R$4))</f>
        <v>4.3635965687503218</v>
      </c>
      <c r="T668" s="256">
        <f>FMS_Ranking4[[#This Row],[Population at risk, ArcSinh (0-10)]]*R$5*10</f>
        <v>4.3635965687503218</v>
      </c>
      <c r="U668" s="253">
        <f>_xlfn.XLOOKUP(FMS_Ranking4[[#This Row],[FMS ID]],FMS_Input[FMS_ID],FMS_Input[CRITFAC100])</f>
        <v>0</v>
      </c>
      <c r="V668" s="259">
        <f>(ASINH(FMS_Ranking4[[#This Row],[Critical Facilities Raw]]))*(10)/(ASINH(U$4))</f>
        <v>0</v>
      </c>
      <c r="W668" s="256">
        <f>FMS_Ranking4[[#This Row],[Critical facilities at risk, ArcSinh (0-10)]]*U$5*10</f>
        <v>0</v>
      </c>
      <c r="X668" s="253">
        <f>_xlfn.XLOOKUP(FMS_Ranking4[[#This Row],[FMS ID]],FMS_Input[FMS_ID],FMS_Input[LWC])</f>
        <v>0</v>
      </c>
      <c r="Y668" s="259">
        <f>(ASINH(FMS_Ranking4[[#This Row],[LWC Raw]]))*(10)/(ASINH(X$4))</f>
        <v>0</v>
      </c>
      <c r="Z668" s="256">
        <f>FMS_Ranking4[[#This Row],[LWC, ArcSInh (0-10)]]*X$5*10</f>
        <v>0</v>
      </c>
      <c r="AA668" s="253">
        <f>_xlfn.XLOOKUP(FMS_Ranking4[[#This Row],[FMS ID]],FMS_Input[FMS_ID],FMS_Input[ROADCLS])</f>
        <v>0</v>
      </c>
      <c r="AB668" s="255">
        <f>(ASINH(FMS_Ranking4[[#This Row],[Road Closures Raw]]))*(10)/(ASINH(AA$4))</f>
        <v>0</v>
      </c>
      <c r="AC668" s="256">
        <f>FMS_Ranking4[[#This Row],[Road closures, ArcSinh (0-10)]]*AA$5*10</f>
        <v>0</v>
      </c>
      <c r="AD668" s="253">
        <f>_xlfn.XLOOKUP(FMS_Ranking4[[#This Row],[FMS ID]],FMS_Input[FMS_ID],FMS_Input[ROAD_MILES100])</f>
        <v>2</v>
      </c>
      <c r="AE668" s="259">
        <f>(ASINH(FMS_Ranking4[[#This Row],[Road Miles Raw]]))*(10)/(ASINH(AD$4))</f>
        <v>1.5385182374234352</v>
      </c>
      <c r="AF668" s="256">
        <f>FMS_Ranking4[[#This Row],[Length of roads at risk, ArcSinh (0-10)]]*AD$5*10</f>
        <v>1.5385182374234352</v>
      </c>
      <c r="AG668" s="253">
        <f>_xlfn.XLOOKUP(FMS_Ranking4[[#This Row],[FMS ID]],FMS_Input[FMS_ID],FMS_Input[FARMACRE100])</f>
        <v>0.2223948389291763</v>
      </c>
      <c r="AH668" s="255">
        <f>(ASINH(FMS_Ranking4[[#This Row],[Ag Land Raw]]))*(10)/(ASINH(AG$4))</f>
        <v>0.14329846728042792</v>
      </c>
      <c r="AI668" s="260">
        <f>FMS_Ranking4[[#This Row],[Farm &amp; ranch land, ArcSinh (0-10)]]*AG$5*10</f>
        <v>7.1649233640213972E-2</v>
      </c>
      <c r="AJ668" s="258">
        <f>_xlfn.XLOOKUP(FMS_Ranking4[[#This Row],[FMS ID]],FMS_Input[FMS_ID],FMS_Input[REDSTRUCT100])</f>
        <v>0</v>
      </c>
      <c r="AK668" s="253">
        <f>_xlfn.XLOOKUP(FMS_Ranking4[[#This Row],[FMS ID]],FMS_Input[FMS_ID],FMS_Input[REMSTRC100])</f>
        <v>0</v>
      </c>
      <c r="AL668" s="259">
        <f>(ASINH(FMS_Ranking4[[#This Row],[Structures Removed Raw]]))*(10)/(ASINH(AK$4))</f>
        <v>0</v>
      </c>
      <c r="AM668" s="262">
        <f>FMS_Ranking4[[#This Row],[Structures removed, ArcSinh (0-10)]]*AK$5*10</f>
        <v>0</v>
      </c>
      <c r="AN668" s="253">
        <f>_xlfn.XLOOKUP(FMS_Ranking4[[#This Row],[FMS ID]],FMS_Input[FMS_ID],FMS_Input[REMRESSTRC100])</f>
        <v>0</v>
      </c>
      <c r="AO668" s="261">
        <f>FMS_Ranking4[[#This Row],[ArcSinh Res struct removed 0-10]]*AN$5*10</f>
        <v>0</v>
      </c>
      <c r="AP668" s="260">
        <f>ASINH(FMS_Ranking4[[#This Row],[Residential Structures Removed Raw]])/AP$4*AN$5*100</f>
        <v>0</v>
      </c>
      <c r="AQ668" s="254">
        <f>(ASINH(FMS_Ranking4[[#This Row],[Residential Structures Removed Raw]]))*(10)/(ASINH(AN$4))</f>
        <v>0</v>
      </c>
      <c r="AR668" s="253">
        <f>_xlfn.XLOOKUP(FMS_Ranking4[[#This Row],[FMS ID]],FMS_Input[FMS_ID],FMS_Input[REMPOP100])</f>
        <v>0</v>
      </c>
      <c r="AS668" s="259">
        <f>(ASINH(FMS_Ranking4[[#This Row],[Removed Pop Raw]]))*(10)/(ASINH(AR$4))</f>
        <v>0</v>
      </c>
      <c r="AT668" s="262">
        <f>FMS_Ranking4[[#This Row],[Removed population, ArcSinh (0-10)]]*AR$5*10</f>
        <v>0</v>
      </c>
      <c r="AU668" s="264">
        <f>_xlfn.XLOOKUP(FMS_Ranking4[[#This Row],[FMS ID]],FMS_Input[FMS_ID],FMS_Input[REMCRITFAC100])</f>
        <v>0</v>
      </c>
      <c r="AV668" s="264">
        <f>_xlfn.XLOOKUP(FMS_Ranking4[[#This Row],[FMS ID]],FMS_Input[FMS_ID],FMS_Input[REMLWC100])</f>
        <v>0</v>
      </c>
      <c r="AW668" s="264">
        <f>_xlfn.XLOOKUP(FMS_Ranking4[[#This Row],[FMS ID]],FMS_Input[FMS_ID],FMS_Input[REMROADCLS])</f>
        <v>0</v>
      </c>
      <c r="AX668" s="264">
        <f>_xlfn.XLOOKUP(FMS_Ranking4[[#This Row],[FMS ID]],FMS_Input[FMS_ID],FMS_Input[REMFRMACRE100])</f>
        <v>0</v>
      </c>
      <c r="AY668" s="258">
        <f>_xlfn.XLOOKUP(FMS_Ranking4[[#This Row],[FMS ID]],FMS_Input[FMS_ID],FMS_Input[COSTSTRUCT])</f>
        <v>0</v>
      </c>
      <c r="AZ668" s="253">
        <f>_xlfn.XLOOKUP(FMS_Ranking4[[#This Row],[FMS ID]],FMS_Input[FMS_ID],FMS_Input[NATURE])</f>
        <v>0</v>
      </c>
      <c r="BA668" s="262">
        <f>(((FMS_Ranking4[[#This Row],[% NBS Raw]]/AZ$4)*100)*AZ$5)</f>
        <v>0</v>
      </c>
      <c r="BB668" s="251" t="str">
        <f>_xlfn.XLOOKUP(FMS_Ranking4[[#This Row],[FMS ID]],FMS_Input[FMS_ID],FMS_Input[WATER_SUP])</f>
        <v>No</v>
      </c>
      <c r="BC668" s="265">
        <f>IF(FMS_Ranking4[[#This Row],[Water Supply Raw]]="Yes",10,0)</f>
        <v>0</v>
      </c>
      <c r="BD668" s="266">
        <f>_xlfn.XLOOKUP(FMS_Ranking4[[#This Row],[FMS Type]],FMS_TYPE[FMS_Type],FMS_TYPE[Score])</f>
        <v>4</v>
      </c>
      <c r="BE668" s="267">
        <f>FMS_Ranking4[[#This Row],[FMS_Type Score]]*$BD$5*10</f>
        <v>1</v>
      </c>
      <c r="BF66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1.4224287924140948E-2</v>
      </c>
      <c r="BG668" s="271">
        <f>_xlfn.RANK.EQ(BF668,$BF$8:$BF$870,0)+COUNTIF($BF$8:BF668,BF668)-1</f>
        <v>658</v>
      </c>
      <c r="BH668" s="268">
        <f>(((FMS_Ranking4[[#This Row],[Structures Removed Raw]]/AK$4)*100)*AK$5)+(((FMS_Ranking4[[#This Row],[Removed Pop Raw]]/AR$4)*100)*AR$5)</f>
        <v>0</v>
      </c>
      <c r="BI66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1.014224287924141</v>
      </c>
      <c r="BJ668" s="205">
        <f>_xlfn.RANK.EQ(FMS_Ranking4[[#This Row],[Total Score 
(with linear
normalization)]],FMS_Ranking4[Total Score 
(with linear
normalization)],0)</f>
        <v>726</v>
      </c>
      <c r="BK668" s="205" t="e">
        <f>_xlfn.XLOOKUP(FMS_Ranking4[[#This Row],[FMS ID]],#REF!,#REF!)</f>
        <v>#REF!</v>
      </c>
      <c r="BL66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10.369123213662832</v>
      </c>
      <c r="BM668" s="272">
        <f>FMS_Ranking4[[#This Row],[ArcSinh Score Based on Normalized Reported Factors]]+FMS_Ranking4[[#This Row],[% NBS Score (Normalized)]]+(FMS_Ranking4[[#This Row],[Water Supply Score (Normalized)]]*10*$BB$5)+FMS_Ranking4[[#This Row],[FMS_Type Score Weighted]]</f>
        <v>11.369123213662832</v>
      </c>
      <c r="BN668" s="205">
        <f>_xlfn.RANK.EQ(FMS_Ranking4[[#This Row],[Total Score (with ArcSinh normalization of select criteria)]],FMS_Ranking4[Total Score (with ArcSinh normalization of select criteria)],0)</f>
        <v>660</v>
      </c>
      <c r="BO668" s="270" t="str">
        <f>_xlfn.XLOOKUP(FMS_Ranking4[[#This Row],[FMS ID]],FMS_Input[FMS_ID],FMS_Input[FMS_RANK_YEAR])</f>
        <v>2023 Amended Plan</v>
      </c>
      <c r="BP668" s="204">
        <f>_xlfn.XLOOKUP(FMS_Ranking4[[#This Row],[FMS ID]],Prev_Rank[FMS ID],Prev_Rank[Prev Rank])</f>
        <v>590</v>
      </c>
      <c r="BQ668" s="205" t="e">
        <f>_xlfn.XLOOKUP(FMS_Ranking4[[#This Row],[FMS ID]],#REF!,#REF!)</f>
        <v>#REF!</v>
      </c>
      <c r="BR668" s="199" t="e">
        <f>SUM(#REF!,#REF!,#REF!,#REF!,#REF!,#REF!,#REF!,#REF!,#REF!,FMS_Ranking4[[#This Row],[ArcSinh Res struct removed 0-10]],#REF!)</f>
        <v>#REF!</v>
      </c>
      <c r="BS668" s="199" t="e">
        <f>FMS_Ranking4[[#This Row],[Log Score Based on Normalized Reported Factors]]+FMS_Ranking4[[#This Row],[% NBS Score (Normalized)]]+(FMS_Ranking4[[#This Row],[Water Supply Score (Normalized)]]*10*$BB$5)+(FMS_Ranking4[[#This Row],[FMS_Type Score Weighted]])</f>
        <v>#REF!</v>
      </c>
      <c r="BT668" s="200" t="e">
        <f>_xlfn.RANK.EQ(FMS_Ranking4[[#This Row],[Log Total Score]],FMS_Ranking4[Log Total Score],0)</f>
        <v>#REF!</v>
      </c>
      <c r="BU668" s="200" t="e">
        <f>_xlfn.XLOOKUP(FMS_Ranking4[[#This Row],[FMS ID]],#REF!,#REF!)</f>
        <v>#REF!</v>
      </c>
      <c r="BV668" s="200">
        <f>FMS_Ranking4[[#This Row],[Region Number]]</f>
        <v>5</v>
      </c>
      <c r="BW668" s="200">
        <f>FMS_Ranking4[[#This Row],[Rank (with ArcSinh normalization of select criteria)]]-FMS_Ranking4[[#This Row],[Rank
(with linear
normalization)]]</f>
        <v>-66</v>
      </c>
      <c r="BX668" s="200" t="e">
        <f>FMS_Ranking4[[#This Row],[Log Rank]]-FMS_Ranking4[[#This Row],[Rank
(with linear
normalization)]]</f>
        <v>#REF!</v>
      </c>
      <c r="BY668" s="200" t="str">
        <f>IF(FMS_Ranking4[[#This Row],[FMS Type]]="Flood Measurement and Warning",FMS_Ranking4[[#This Row],[Rank (with ArcSinh normalization of select criteria)]],"")</f>
        <v/>
      </c>
      <c r="BZ668" s="200" t="str">
        <f>IF(FMS_Ranking4[[#This Row],[FMS Type]]="Regulatory and Guidance",FMS_Ranking4[[#This Row],[Rank (with ArcSinh normalization of select criteria)]],"")</f>
        <v/>
      </c>
      <c r="CA668" s="200" t="str">
        <f>IF(FMS_Ranking4[[#This Row],[FMS Type]]="Education and Outreach",FMS_Ranking4[[#This Row],[Rank (with ArcSinh normalization of select criteria)]],"")</f>
        <v/>
      </c>
      <c r="CB668" s="200" t="str">
        <f>IF(FMS_Ranking4[[#This Row],[FMS Type]]="Property Acquisition and Structural Elevation",FMS_Ranking4[[#This Row],[Rank (with ArcSinh normalization of select criteria)]],"")</f>
        <v/>
      </c>
      <c r="CC668" s="200">
        <f>IF(FMS_Ranking4[[#This Row],[FMS Type]]="Infrastructure Projects",FMS_Ranking4[[#This Row],[Rank (with ArcSinh normalization of select criteria)]],"")</f>
        <v>660</v>
      </c>
      <c r="CD668" s="200" t="str">
        <f>IF(FMS_Ranking4[[#This Row],[FMS Type]]="Other",FMS_Ranking4[[#This Row],[Rank (with ArcSinh normalization of select criteria)]],"")</f>
        <v/>
      </c>
      <c r="CE668" s="201"/>
      <c r="CF668" s="206"/>
      <c r="CG668" s="206"/>
      <c r="CH668" s="206"/>
      <c r="CI668" s="206"/>
      <c r="CJ668" s="206"/>
      <c r="CK668" s="206"/>
      <c r="CL668" s="206"/>
      <c r="CM668" s="206"/>
      <c r="CN668" s="206"/>
      <c r="CO668" s="206"/>
      <c r="CP668" s="206"/>
      <c r="CQ668" s="206"/>
      <c r="CR668" s="206"/>
    </row>
    <row r="669" spans="2:96" ht="60" x14ac:dyDescent="0.25">
      <c r="B669" s="341" t="s">
        <v>2903</v>
      </c>
      <c r="C669" s="246">
        <f>_xlfn.XLOOKUP(FMS_Ranking4[[#This Row],[FMS ID]],FMS_Input[FMS_ID],FMS_Input[RFPG_NUM])</f>
        <v>5</v>
      </c>
      <c r="D669" s="309" t="str">
        <f>_xlfn.XLOOKUP(FMS_Ranking4[[#This Row],[FMS ID]],FMS_Input[FMS_ID],FMS_Input[FMS_NAME])</f>
        <v>City of Rose Hill Acres Voluntary Residential Structure Elevation</v>
      </c>
      <c r="E669" s="308" t="str">
        <f>_xlfn.XLOOKUP(FMS_Ranking4[[#This Row],[FMS ID]],FMS_Input[FMS_ID],FMS_Input[SPONSOR])</f>
        <v>05003029</v>
      </c>
      <c r="F669" s="309" t="str">
        <f>_xlfn.XLOOKUP(FMS_Ranking4[[#This Row],[FMS ID]],Sponsor[FMS_ID],Sponsor[SPONSOR NAME])</f>
        <v>Rose Hill Acres</v>
      </c>
      <c r="G669" s="309" t="str">
        <f>_xlfn.XLOOKUP(FMS_Ranking4[[#This Row],[FMS ID]],FMS_Input[FMS_ID],FMS_Input[FMS_DESCR])</f>
        <v>Voluntary elevations of flood prone properties in Rose Hill Acres.</v>
      </c>
      <c r="H669" s="248" t="str">
        <f>_xlfn.XLOOKUP(FMS_Ranking4[[#This Row],[FMS ID]],FMS_Input[FMS_ID],FMS_Input[FMS_TYPE])</f>
        <v>Property Acquisition and Structural Elevation</v>
      </c>
      <c r="I669" s="249">
        <f>_xlfn.XLOOKUP(FMS_Ranking4[[#This Row],[FMS ID]],FMS_Input[FMS_ID],FMS_Input[NRNC_COST])</f>
        <v>90000</v>
      </c>
      <c r="J669" s="250">
        <f>_xlfn.XLOOKUP(FMS_Ranking4[[#This Row],[FMS ID]],FMS_Input[FMS_ID],FMS_Input[FMS_COST])</f>
        <v>6000000</v>
      </c>
      <c r="K669" s="251" t="str">
        <f>_xlfn.XLOOKUP(FMS_Ranking4[[#This Row],[FMS ID]],FMS_Input[FMS_ID],FMS_Input[EMER_NEED])</f>
        <v>Yes</v>
      </c>
      <c r="L669" s="252">
        <f t="shared" si="10"/>
        <v>1</v>
      </c>
      <c r="M669" s="253">
        <f>_xlfn.XLOOKUP(FMS_Ranking4[[#This Row],[FMS ID]],FMS_Input[FMS_ID],FMS_Input[STRUCT_100])</f>
        <v>134</v>
      </c>
      <c r="N669" s="255">
        <f>(ASINH(FMS_Ranking4[[#This Row],[Structure at Risk Raw]]))*(10)/(ASINH(M$4))</f>
        <v>4.3953591738488607</v>
      </c>
      <c r="O669" s="256">
        <f>FMS_Ranking4[[#This Row],[Structures at risk, ArcSinh (0-10)]]*M$5*10</f>
        <v>4.3953591738488607</v>
      </c>
      <c r="P669" s="253">
        <f>_xlfn.XLOOKUP(FMS_Ranking4[[#This Row],[FMS ID]],FMS_Input[FMS_ID],FMS_Input[RES_STRUCT100])</f>
        <v>123</v>
      </c>
      <c r="Q669" s="257">
        <f>ASINH(FMS_Ranking4[[#This Row],[Res Structure Raw]])/Q$4*P$5*100</f>
        <v>0</v>
      </c>
      <c r="R669" s="253">
        <f>_xlfn.XLOOKUP(FMS_Ranking4[[#This Row],[FMS ID]],FMS_Input[FMS_ID],FMS_Input[POP100])</f>
        <v>278</v>
      </c>
      <c r="S669" s="259">
        <f>(ASINH(FMS_Ranking4[[#This Row],[Pop at Risk Raw]]))*(10)/(ASINH(R$4))</f>
        <v>4.3635965687503218</v>
      </c>
      <c r="T669" s="256">
        <f>FMS_Ranking4[[#This Row],[Population at risk, ArcSinh (0-10)]]*R$5*10</f>
        <v>4.3635965687503218</v>
      </c>
      <c r="U669" s="253">
        <f>_xlfn.XLOOKUP(FMS_Ranking4[[#This Row],[FMS ID]],FMS_Input[FMS_ID],FMS_Input[CRITFAC100])</f>
        <v>0</v>
      </c>
      <c r="V669" s="259">
        <f>(ASINH(FMS_Ranking4[[#This Row],[Critical Facilities Raw]]))*(10)/(ASINH(U$4))</f>
        <v>0</v>
      </c>
      <c r="W669" s="256">
        <f>FMS_Ranking4[[#This Row],[Critical facilities at risk, ArcSinh (0-10)]]*U$5*10</f>
        <v>0</v>
      </c>
      <c r="X669" s="253">
        <f>_xlfn.XLOOKUP(FMS_Ranking4[[#This Row],[FMS ID]],FMS_Input[FMS_ID],FMS_Input[LWC])</f>
        <v>0</v>
      </c>
      <c r="Y669" s="259">
        <f>(ASINH(FMS_Ranking4[[#This Row],[LWC Raw]]))*(10)/(ASINH(X$4))</f>
        <v>0</v>
      </c>
      <c r="Z669" s="256">
        <f>FMS_Ranking4[[#This Row],[LWC, ArcSInh (0-10)]]*X$5*10</f>
        <v>0</v>
      </c>
      <c r="AA669" s="253">
        <f>_xlfn.XLOOKUP(FMS_Ranking4[[#This Row],[FMS ID]],FMS_Input[FMS_ID],FMS_Input[ROADCLS])</f>
        <v>0</v>
      </c>
      <c r="AB669" s="255">
        <f>(ASINH(FMS_Ranking4[[#This Row],[Road Closures Raw]]))*(10)/(ASINH(AA$4))</f>
        <v>0</v>
      </c>
      <c r="AC669" s="256">
        <f>FMS_Ranking4[[#This Row],[Road closures, ArcSinh (0-10)]]*AA$5*10</f>
        <v>0</v>
      </c>
      <c r="AD669" s="253">
        <f>_xlfn.XLOOKUP(FMS_Ranking4[[#This Row],[FMS ID]],FMS_Input[FMS_ID],FMS_Input[ROAD_MILES100])</f>
        <v>2</v>
      </c>
      <c r="AE669" s="259">
        <f>(ASINH(FMS_Ranking4[[#This Row],[Road Miles Raw]]))*(10)/(ASINH(AD$4))</f>
        <v>1.5385182374234352</v>
      </c>
      <c r="AF669" s="256">
        <f>FMS_Ranking4[[#This Row],[Length of roads at risk, ArcSinh (0-10)]]*AD$5*10</f>
        <v>1.5385182374234352</v>
      </c>
      <c r="AG669" s="253">
        <f>_xlfn.XLOOKUP(FMS_Ranking4[[#This Row],[FMS ID]],FMS_Input[FMS_ID],FMS_Input[FARMACRE100])</f>
        <v>0.2223948389291763</v>
      </c>
      <c r="AH669" s="255">
        <f>(ASINH(FMS_Ranking4[[#This Row],[Ag Land Raw]]))*(10)/(ASINH(AG$4))</f>
        <v>0.14329846728042792</v>
      </c>
      <c r="AI669" s="260">
        <f>FMS_Ranking4[[#This Row],[Farm &amp; ranch land, ArcSinh (0-10)]]*AG$5*10</f>
        <v>7.1649233640213972E-2</v>
      </c>
      <c r="AJ669" s="258">
        <f>_xlfn.XLOOKUP(FMS_Ranking4[[#This Row],[FMS ID]],FMS_Input[FMS_ID],FMS_Input[REDSTRUCT100])</f>
        <v>0</v>
      </c>
      <c r="AK669" s="253">
        <f>_xlfn.XLOOKUP(FMS_Ranking4[[#This Row],[FMS ID]],FMS_Input[FMS_ID],FMS_Input[REMSTRC100])</f>
        <v>0</v>
      </c>
      <c r="AL669" s="259">
        <f>(ASINH(FMS_Ranking4[[#This Row],[Structures Removed Raw]]))*(10)/(ASINH(AK$4))</f>
        <v>0</v>
      </c>
      <c r="AM669" s="262">
        <f>FMS_Ranking4[[#This Row],[Structures removed, ArcSinh (0-10)]]*AK$5*10</f>
        <v>0</v>
      </c>
      <c r="AN669" s="253">
        <f>_xlfn.XLOOKUP(FMS_Ranking4[[#This Row],[FMS ID]],FMS_Input[FMS_ID],FMS_Input[REMRESSTRC100])</f>
        <v>0</v>
      </c>
      <c r="AO669" s="261">
        <f>FMS_Ranking4[[#This Row],[ArcSinh Res struct removed 0-10]]*AN$5*10</f>
        <v>0</v>
      </c>
      <c r="AP669" s="260">
        <f>ASINH(FMS_Ranking4[[#This Row],[Residential Structures Removed Raw]])/AP$4*AN$5*100</f>
        <v>0</v>
      </c>
      <c r="AQ669" s="254">
        <f>(ASINH(FMS_Ranking4[[#This Row],[Residential Structures Removed Raw]]))*(10)/(ASINH(AN$4))</f>
        <v>0</v>
      </c>
      <c r="AR669" s="253">
        <f>_xlfn.XLOOKUP(FMS_Ranking4[[#This Row],[FMS ID]],FMS_Input[FMS_ID],FMS_Input[REMPOP100])</f>
        <v>0</v>
      </c>
      <c r="AS669" s="259">
        <f>(ASINH(FMS_Ranking4[[#This Row],[Removed Pop Raw]]))*(10)/(ASINH(AR$4))</f>
        <v>0</v>
      </c>
      <c r="AT669" s="262">
        <f>FMS_Ranking4[[#This Row],[Removed population, ArcSinh (0-10)]]*AR$5*10</f>
        <v>0</v>
      </c>
      <c r="AU669" s="264">
        <f>_xlfn.XLOOKUP(FMS_Ranking4[[#This Row],[FMS ID]],FMS_Input[FMS_ID],FMS_Input[REMCRITFAC100])</f>
        <v>0</v>
      </c>
      <c r="AV669" s="264">
        <f>_xlfn.XLOOKUP(FMS_Ranking4[[#This Row],[FMS ID]],FMS_Input[FMS_ID],FMS_Input[REMLWC100])</f>
        <v>0</v>
      </c>
      <c r="AW669" s="264">
        <f>_xlfn.XLOOKUP(FMS_Ranking4[[#This Row],[FMS ID]],FMS_Input[FMS_ID],FMS_Input[REMROADCLS])</f>
        <v>0</v>
      </c>
      <c r="AX669" s="264">
        <f>_xlfn.XLOOKUP(FMS_Ranking4[[#This Row],[FMS ID]],FMS_Input[FMS_ID],FMS_Input[REMFRMACRE100])</f>
        <v>0</v>
      </c>
      <c r="AY669" s="258">
        <f>_xlfn.XLOOKUP(FMS_Ranking4[[#This Row],[FMS ID]],FMS_Input[FMS_ID],FMS_Input[COSTSTRUCT])</f>
        <v>0</v>
      </c>
      <c r="AZ669" s="253">
        <f>_xlfn.XLOOKUP(FMS_Ranking4[[#This Row],[FMS ID]],FMS_Input[FMS_ID],FMS_Input[NATURE])</f>
        <v>0</v>
      </c>
      <c r="BA669" s="262">
        <f>(((FMS_Ranking4[[#This Row],[% NBS Raw]]/AZ$4)*100)*AZ$5)</f>
        <v>0</v>
      </c>
      <c r="BB669" s="251" t="str">
        <f>_xlfn.XLOOKUP(FMS_Ranking4[[#This Row],[FMS ID]],FMS_Input[FMS_ID],FMS_Input[WATER_SUP])</f>
        <v>No</v>
      </c>
      <c r="BC669" s="265">
        <f>IF(FMS_Ranking4[[#This Row],[Water Supply Raw]]="Yes",10,0)</f>
        <v>0</v>
      </c>
      <c r="BD669" s="266">
        <f>_xlfn.XLOOKUP(FMS_Ranking4[[#This Row],[FMS Type]],FMS_TYPE[FMS_Type],FMS_TYPE[Score])</f>
        <v>4</v>
      </c>
      <c r="BE669" s="267">
        <f>FMS_Ranking4[[#This Row],[FMS_Type Score]]*$BD$5*10</f>
        <v>1</v>
      </c>
      <c r="BF66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1.4224287924140948E-2</v>
      </c>
      <c r="BG669" s="271">
        <f>_xlfn.RANK.EQ(BF669,$BF$8:$BF$870,0)+COUNTIF($BF$8:BF669,BF669)-1</f>
        <v>659</v>
      </c>
      <c r="BH669" s="268">
        <f>(((FMS_Ranking4[[#This Row],[Structures Removed Raw]]/AK$4)*100)*AK$5)+(((FMS_Ranking4[[#This Row],[Removed Pop Raw]]/AR$4)*100)*AR$5)</f>
        <v>0</v>
      </c>
      <c r="BI66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1.014224287924141</v>
      </c>
      <c r="BJ669" s="205">
        <f>_xlfn.RANK.EQ(FMS_Ranking4[[#This Row],[Total Score 
(with linear
normalization)]],FMS_Ranking4[Total Score 
(with linear
normalization)],0)</f>
        <v>726</v>
      </c>
      <c r="BK669" s="205" t="e">
        <f>_xlfn.XLOOKUP(FMS_Ranking4[[#This Row],[FMS ID]],#REF!,#REF!)</f>
        <v>#REF!</v>
      </c>
      <c r="BL66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10.369123213662832</v>
      </c>
      <c r="BM669" s="272">
        <f>FMS_Ranking4[[#This Row],[ArcSinh Score Based on Normalized Reported Factors]]+FMS_Ranking4[[#This Row],[% NBS Score (Normalized)]]+(FMS_Ranking4[[#This Row],[Water Supply Score (Normalized)]]*10*$BB$5)+FMS_Ranking4[[#This Row],[FMS_Type Score Weighted]]</f>
        <v>11.369123213662832</v>
      </c>
      <c r="BN669" s="205">
        <f>_xlfn.RANK.EQ(FMS_Ranking4[[#This Row],[Total Score (with ArcSinh normalization of select criteria)]],FMS_Ranking4[Total Score (with ArcSinh normalization of select criteria)],0)</f>
        <v>660</v>
      </c>
      <c r="BO669" s="270" t="str">
        <f>_xlfn.XLOOKUP(FMS_Ranking4[[#This Row],[FMS ID]],FMS_Input[FMS_ID],FMS_Input[FMS_RANK_YEAR])</f>
        <v>2023 Amended Plan</v>
      </c>
      <c r="BP669" s="204">
        <f>_xlfn.XLOOKUP(FMS_Ranking4[[#This Row],[FMS ID]],Prev_Rank[FMS ID],Prev_Rank[Prev Rank])</f>
        <v>590</v>
      </c>
      <c r="BQ669" s="205" t="e">
        <f>_xlfn.XLOOKUP(FMS_Ranking4[[#This Row],[FMS ID]],#REF!,#REF!)</f>
        <v>#REF!</v>
      </c>
      <c r="BR669" s="199" t="e">
        <f>SUM(#REF!,#REF!,#REF!,#REF!,#REF!,#REF!,#REF!,#REF!,#REF!,FMS_Ranking4[[#This Row],[ArcSinh Res struct removed 0-10]],#REF!)</f>
        <v>#REF!</v>
      </c>
      <c r="BS669" s="199" t="e">
        <f>FMS_Ranking4[[#This Row],[Log Score Based on Normalized Reported Factors]]+FMS_Ranking4[[#This Row],[% NBS Score (Normalized)]]+(FMS_Ranking4[[#This Row],[Water Supply Score (Normalized)]]*10*$BB$5)+(FMS_Ranking4[[#This Row],[FMS_Type Score Weighted]])</f>
        <v>#REF!</v>
      </c>
      <c r="BT669" s="200" t="e">
        <f>_xlfn.RANK.EQ(FMS_Ranking4[[#This Row],[Log Total Score]],FMS_Ranking4[Log Total Score],0)</f>
        <v>#REF!</v>
      </c>
      <c r="BU669" s="200" t="e">
        <f>_xlfn.XLOOKUP(FMS_Ranking4[[#This Row],[FMS ID]],#REF!,#REF!)</f>
        <v>#REF!</v>
      </c>
      <c r="BV669" s="200">
        <f>FMS_Ranking4[[#This Row],[Region Number]]</f>
        <v>5</v>
      </c>
      <c r="BW669" s="200">
        <f>FMS_Ranking4[[#This Row],[Rank (with ArcSinh normalization of select criteria)]]-FMS_Ranking4[[#This Row],[Rank
(with linear
normalization)]]</f>
        <v>-66</v>
      </c>
      <c r="BX669" s="200" t="e">
        <f>FMS_Ranking4[[#This Row],[Log Rank]]-FMS_Ranking4[[#This Row],[Rank
(with linear
normalization)]]</f>
        <v>#REF!</v>
      </c>
      <c r="BY669" s="200" t="str">
        <f>IF(FMS_Ranking4[[#This Row],[FMS Type]]="Flood Measurement and Warning",FMS_Ranking4[[#This Row],[Rank (with ArcSinh normalization of select criteria)]],"")</f>
        <v/>
      </c>
      <c r="BZ669" s="200" t="str">
        <f>IF(FMS_Ranking4[[#This Row],[FMS Type]]="Regulatory and Guidance",FMS_Ranking4[[#This Row],[Rank (with ArcSinh normalization of select criteria)]],"")</f>
        <v/>
      </c>
      <c r="CA669" s="200" t="str">
        <f>IF(FMS_Ranking4[[#This Row],[FMS Type]]="Education and Outreach",FMS_Ranking4[[#This Row],[Rank (with ArcSinh normalization of select criteria)]],"")</f>
        <v/>
      </c>
      <c r="CB669" s="200">
        <f>IF(FMS_Ranking4[[#This Row],[FMS Type]]="Property Acquisition and Structural Elevation",FMS_Ranking4[[#This Row],[Rank (with ArcSinh normalization of select criteria)]],"")</f>
        <v>660</v>
      </c>
      <c r="CC669" s="200" t="str">
        <f>IF(FMS_Ranking4[[#This Row],[FMS Type]]="Infrastructure Projects",FMS_Ranking4[[#This Row],[Rank (with ArcSinh normalization of select criteria)]],"")</f>
        <v/>
      </c>
      <c r="CD669" s="200" t="str">
        <f>IF(FMS_Ranking4[[#This Row],[FMS Type]]="Other",FMS_Ranking4[[#This Row],[Rank (with ArcSinh normalization of select criteria)]],"")</f>
        <v/>
      </c>
      <c r="CE669" s="201"/>
      <c r="CF669" s="206"/>
      <c r="CG669" s="206"/>
      <c r="CH669" s="206"/>
      <c r="CI669" s="206"/>
      <c r="CJ669" s="206"/>
      <c r="CK669" s="206"/>
      <c r="CL669" s="206"/>
      <c r="CM669" s="206"/>
      <c r="CN669" s="206"/>
      <c r="CO669" s="206"/>
      <c r="CP669" s="206"/>
      <c r="CQ669" s="206"/>
      <c r="CR669" s="206"/>
    </row>
    <row r="670" spans="2:96" ht="60" x14ac:dyDescent="0.25">
      <c r="B670" s="341" t="s">
        <v>2852</v>
      </c>
      <c r="C670" s="246">
        <f>_xlfn.XLOOKUP(FMS_Ranking4[[#This Row],[FMS ID]],FMS_Input[FMS_ID],FMS_Input[RFPG_NUM])</f>
        <v>5</v>
      </c>
      <c r="D670" s="309" t="str">
        <f>_xlfn.XLOOKUP(FMS_Ranking4[[#This Row],[FMS ID]],FMS_Input[FMS_ID],FMS_Input[FMS_NAME])</f>
        <v>City of Palestine Drainage System Expansion and Maintenance</v>
      </c>
      <c r="E670" s="308" t="str">
        <f>_xlfn.XLOOKUP(FMS_Ranking4[[#This Row],[FMS ID]],FMS_Input[FMS_ID],FMS_Input[SPONSOR])</f>
        <v>00003346</v>
      </c>
      <c r="F670" s="309" t="str">
        <f>_xlfn.XLOOKUP(FMS_Ranking4[[#This Row],[FMS ID]],Sponsor[FMS_ID],Sponsor[SPONSOR NAME])</f>
        <v>Palestine</v>
      </c>
      <c r="G670" s="309" t="str">
        <f>_xlfn.XLOOKUP(FMS_Ranking4[[#This Row],[FMS ID]],FMS_Input[FMS_ID],FMS_Input[FMS_DESCR])</f>
        <v>Establish plan and necessary standards to increase the capacity of drainage ditches along all city streets and roads</v>
      </c>
      <c r="H670" s="248" t="str">
        <f>_xlfn.XLOOKUP(FMS_Ranking4[[#This Row],[FMS ID]],FMS_Input[FMS_ID],FMS_Input[FMS_TYPE])</f>
        <v>Infrastructure Projects</v>
      </c>
      <c r="I670" s="249">
        <f>_xlfn.XLOOKUP(FMS_Ranking4[[#This Row],[FMS ID]],FMS_Input[FMS_ID],FMS_Input[NRNC_COST])</f>
        <v>100000</v>
      </c>
      <c r="J670" s="250">
        <f>_xlfn.XLOOKUP(FMS_Ranking4[[#This Row],[FMS ID]],FMS_Input[FMS_ID],FMS_Input[FMS_COST])</f>
        <v>2000000</v>
      </c>
      <c r="K670" s="251" t="str">
        <f>_xlfn.XLOOKUP(FMS_Ranking4[[#This Row],[FMS ID]],FMS_Input[FMS_ID],FMS_Input[EMER_NEED])</f>
        <v>Yes</v>
      </c>
      <c r="L670" s="252">
        <f t="shared" si="10"/>
        <v>1</v>
      </c>
      <c r="M670" s="253">
        <f>_xlfn.XLOOKUP(FMS_Ranking4[[#This Row],[FMS ID]],FMS_Input[FMS_ID],FMS_Input[STRUCT_100])</f>
        <v>14</v>
      </c>
      <c r="N670" s="255">
        <f>(ASINH(FMS_Ranking4[[#This Row],[Structure at Risk Raw]]))*(10)/(ASINH(M$4))</f>
        <v>2.6206097166062134</v>
      </c>
      <c r="O670" s="256">
        <f>FMS_Ranking4[[#This Row],[Structures at risk, ArcSinh (0-10)]]*M$5*10</f>
        <v>2.6206097166062134</v>
      </c>
      <c r="P670" s="253">
        <f>_xlfn.XLOOKUP(FMS_Ranking4[[#This Row],[FMS ID]],FMS_Input[FMS_ID],FMS_Input[RES_STRUCT100])</f>
        <v>10</v>
      </c>
      <c r="Q670" s="257">
        <f>ASINH(FMS_Ranking4[[#This Row],[Res Structure Raw]])/Q$4*P$5*100</f>
        <v>0</v>
      </c>
      <c r="R670" s="253">
        <f>_xlfn.XLOOKUP(FMS_Ranking4[[#This Row],[FMS ID]],FMS_Input[FMS_ID],FMS_Input[POP100])</f>
        <v>42</v>
      </c>
      <c r="S670" s="259">
        <f>(ASINH(FMS_Ranking4[[#This Row],[Pop at Risk Raw]]))*(10)/(ASINH(R$4))</f>
        <v>3.0589486083199775</v>
      </c>
      <c r="T670" s="256">
        <f>FMS_Ranking4[[#This Row],[Population at risk, ArcSinh (0-10)]]*R$5*10</f>
        <v>3.0589486083199779</v>
      </c>
      <c r="U670" s="253">
        <f>_xlfn.XLOOKUP(FMS_Ranking4[[#This Row],[FMS ID]],FMS_Input[FMS_ID],FMS_Input[CRITFAC100])</f>
        <v>0</v>
      </c>
      <c r="V670" s="259">
        <f>(ASINH(FMS_Ranking4[[#This Row],[Critical Facilities Raw]]))*(10)/(ASINH(U$4))</f>
        <v>0</v>
      </c>
      <c r="W670" s="256">
        <f>FMS_Ranking4[[#This Row],[Critical facilities at risk, ArcSinh (0-10)]]*U$5*10</f>
        <v>0</v>
      </c>
      <c r="X670" s="253">
        <f>_xlfn.XLOOKUP(FMS_Ranking4[[#This Row],[FMS ID]],FMS_Input[FMS_ID],FMS_Input[LWC])</f>
        <v>2</v>
      </c>
      <c r="Y670" s="259">
        <f>(ASINH(FMS_Ranking4[[#This Row],[LWC Raw]]))*(10)/(ASINH(X$4))</f>
        <v>1.9557475158633808</v>
      </c>
      <c r="Z670" s="256">
        <f>FMS_Ranking4[[#This Row],[LWC, ArcSInh (0-10)]]*X$5*10</f>
        <v>1.9557475158633808</v>
      </c>
      <c r="AA670" s="253">
        <f>_xlfn.XLOOKUP(FMS_Ranking4[[#This Row],[FMS ID]],FMS_Input[FMS_ID],FMS_Input[ROADCLS])</f>
        <v>2</v>
      </c>
      <c r="AB670" s="255">
        <f>(ASINH(FMS_Ranking4[[#This Row],[Road Closures Raw]]))*(10)/(ASINH(AA$4))</f>
        <v>1.5034138460359754</v>
      </c>
      <c r="AC670" s="256">
        <f>FMS_Ranking4[[#This Row],[Road closures, ArcSinh (0-10)]]*AA$5*10</f>
        <v>0.7517069230179878</v>
      </c>
      <c r="AD670" s="253">
        <f>_xlfn.XLOOKUP(FMS_Ranking4[[#This Row],[FMS ID]],FMS_Input[FMS_ID],FMS_Input[ROAD_MILES100])</f>
        <v>2</v>
      </c>
      <c r="AE670" s="259">
        <f>(ASINH(FMS_Ranking4[[#This Row],[Road Miles Raw]]))*(10)/(ASINH(AD$4))</f>
        <v>1.5385182374234352</v>
      </c>
      <c r="AF670" s="256">
        <f>FMS_Ranking4[[#This Row],[Length of roads at risk, ArcSinh (0-10)]]*AD$5*10</f>
        <v>1.5385182374234352</v>
      </c>
      <c r="AG670" s="253">
        <f>_xlfn.XLOOKUP(FMS_Ranking4[[#This Row],[FMS ID]],FMS_Input[FMS_ID],FMS_Input[FARMACRE100])</f>
        <v>1.7737411260604861</v>
      </c>
      <c r="AH670" s="255">
        <f>(ASINH(FMS_Ranking4[[#This Row],[Ag Land Raw]]))*(10)/(ASINH(AG$4))</f>
        <v>0.86889107002501165</v>
      </c>
      <c r="AI670" s="260">
        <f>FMS_Ranking4[[#This Row],[Farm &amp; ranch land, ArcSinh (0-10)]]*AG$5*10</f>
        <v>0.43444553501250588</v>
      </c>
      <c r="AJ670" s="258">
        <f>_xlfn.XLOOKUP(FMS_Ranking4[[#This Row],[FMS ID]],FMS_Input[FMS_ID],FMS_Input[REDSTRUCT100])</f>
        <v>0</v>
      </c>
      <c r="AK670" s="253">
        <f>_xlfn.XLOOKUP(FMS_Ranking4[[#This Row],[FMS ID]],FMS_Input[FMS_ID],FMS_Input[REMSTRC100])</f>
        <v>0</v>
      </c>
      <c r="AL670" s="259">
        <f>(ASINH(FMS_Ranking4[[#This Row],[Structures Removed Raw]]))*(10)/(ASINH(AK$4))</f>
        <v>0</v>
      </c>
      <c r="AM670" s="262">
        <f>FMS_Ranking4[[#This Row],[Structures removed, ArcSinh (0-10)]]*AK$5*10</f>
        <v>0</v>
      </c>
      <c r="AN670" s="253">
        <f>_xlfn.XLOOKUP(FMS_Ranking4[[#This Row],[FMS ID]],FMS_Input[FMS_ID],FMS_Input[REMRESSTRC100])</f>
        <v>0</v>
      </c>
      <c r="AO670" s="261">
        <f>FMS_Ranking4[[#This Row],[ArcSinh Res struct removed 0-10]]*AN$5*10</f>
        <v>0</v>
      </c>
      <c r="AP670" s="260">
        <f>ASINH(FMS_Ranking4[[#This Row],[Residential Structures Removed Raw]])/AP$4*AN$5*100</f>
        <v>0</v>
      </c>
      <c r="AQ670" s="254">
        <f>(ASINH(FMS_Ranking4[[#This Row],[Residential Structures Removed Raw]]))*(10)/(ASINH(AN$4))</f>
        <v>0</v>
      </c>
      <c r="AR670" s="253">
        <f>_xlfn.XLOOKUP(FMS_Ranking4[[#This Row],[FMS ID]],FMS_Input[FMS_ID],FMS_Input[REMPOP100])</f>
        <v>0</v>
      </c>
      <c r="AS670" s="259">
        <f>(ASINH(FMS_Ranking4[[#This Row],[Removed Pop Raw]]))*(10)/(ASINH(AR$4))</f>
        <v>0</v>
      </c>
      <c r="AT670" s="262">
        <f>FMS_Ranking4[[#This Row],[Removed population, ArcSinh (0-10)]]*AR$5*10</f>
        <v>0</v>
      </c>
      <c r="AU670" s="264">
        <f>_xlfn.XLOOKUP(FMS_Ranking4[[#This Row],[FMS ID]],FMS_Input[FMS_ID],FMS_Input[REMCRITFAC100])</f>
        <v>0</v>
      </c>
      <c r="AV670" s="264">
        <f>_xlfn.XLOOKUP(FMS_Ranking4[[#This Row],[FMS ID]],FMS_Input[FMS_ID],FMS_Input[REMLWC100])</f>
        <v>0</v>
      </c>
      <c r="AW670" s="264">
        <f>_xlfn.XLOOKUP(FMS_Ranking4[[#This Row],[FMS ID]],FMS_Input[FMS_ID],FMS_Input[REMROADCLS])</f>
        <v>0</v>
      </c>
      <c r="AX670" s="264">
        <f>_xlfn.XLOOKUP(FMS_Ranking4[[#This Row],[FMS ID]],FMS_Input[FMS_ID],FMS_Input[REMFRMACRE100])</f>
        <v>0</v>
      </c>
      <c r="AY670" s="258">
        <f>_xlfn.XLOOKUP(FMS_Ranking4[[#This Row],[FMS ID]],FMS_Input[FMS_ID],FMS_Input[COSTSTRUCT])</f>
        <v>0</v>
      </c>
      <c r="AZ670" s="253">
        <f>_xlfn.XLOOKUP(FMS_Ranking4[[#This Row],[FMS ID]],FMS_Input[FMS_ID],FMS_Input[NATURE])</f>
        <v>0</v>
      </c>
      <c r="BA670" s="262">
        <f>(((FMS_Ranking4[[#This Row],[% NBS Raw]]/AZ$4)*100)*AZ$5)</f>
        <v>0</v>
      </c>
      <c r="BB670" s="251" t="str">
        <f>_xlfn.XLOOKUP(FMS_Ranking4[[#This Row],[FMS ID]],FMS_Input[FMS_ID],FMS_Input[WATER_SUP])</f>
        <v>No</v>
      </c>
      <c r="BC670" s="265">
        <f>IF(FMS_Ranking4[[#This Row],[Water Supply Raw]]="Yes",10,0)</f>
        <v>0</v>
      </c>
      <c r="BD670" s="266">
        <f>_xlfn.XLOOKUP(FMS_Ranking4[[#This Row],[FMS Type]],FMS_TYPE[FMS_Type],FMS_TYPE[Score])</f>
        <v>4</v>
      </c>
      <c r="BE670" s="267">
        <f>FMS_Ranking4[[#This Row],[FMS_Type Score]]*$BD$5*10</f>
        <v>1</v>
      </c>
      <c r="BF67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3.0893500911938519E-2</v>
      </c>
      <c r="BG670" s="271">
        <f>_xlfn.RANK.EQ(BF670,$BF$8:$BF$870,0)+COUNTIF($BF$8:BF670,BF670)-1</f>
        <v>596</v>
      </c>
      <c r="BH670" s="268">
        <f>(((FMS_Ranking4[[#This Row],[Structures Removed Raw]]/AK$4)*100)*AK$5)+(((FMS_Ranking4[[#This Row],[Removed Pop Raw]]/AR$4)*100)*AR$5)</f>
        <v>0</v>
      </c>
      <c r="BI67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1.0308935009119384</v>
      </c>
      <c r="BJ670" s="205">
        <f>_xlfn.RANK.EQ(FMS_Ranking4[[#This Row],[Total Score 
(with linear
normalization)]],FMS_Ranking4[Total Score 
(with linear
normalization)],0)</f>
        <v>711</v>
      </c>
      <c r="BK670" s="205" t="e">
        <f>_xlfn.XLOOKUP(FMS_Ranking4[[#This Row],[FMS ID]],#REF!,#REF!)</f>
        <v>#REF!</v>
      </c>
      <c r="BL67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10.359976536243501</v>
      </c>
      <c r="BM670" s="272">
        <f>FMS_Ranking4[[#This Row],[ArcSinh Score Based on Normalized Reported Factors]]+FMS_Ranking4[[#This Row],[% NBS Score (Normalized)]]+(FMS_Ranking4[[#This Row],[Water Supply Score (Normalized)]]*10*$BB$5)+FMS_Ranking4[[#This Row],[FMS_Type Score Weighted]]</f>
        <v>11.359976536243501</v>
      </c>
      <c r="BN670" s="205">
        <f>_xlfn.RANK.EQ(FMS_Ranking4[[#This Row],[Total Score (with ArcSinh normalization of select criteria)]],FMS_Ranking4[Total Score (with ArcSinh normalization of select criteria)],0)</f>
        <v>663</v>
      </c>
      <c r="BO670" s="270" t="str">
        <f>_xlfn.XLOOKUP(FMS_Ranking4[[#This Row],[FMS ID]],FMS_Input[FMS_ID],FMS_Input[FMS_RANK_YEAR])</f>
        <v>2023 Amended Plan</v>
      </c>
      <c r="BP670" s="204">
        <f>_xlfn.XLOOKUP(FMS_Ranking4[[#This Row],[FMS ID]],Prev_Rank[FMS ID],Prev_Rank[Prev Rank])</f>
        <v>594</v>
      </c>
      <c r="BQ670" s="205" t="e">
        <f>_xlfn.XLOOKUP(FMS_Ranking4[[#This Row],[FMS ID]],#REF!,#REF!)</f>
        <v>#REF!</v>
      </c>
      <c r="BR670" s="199" t="e">
        <f>SUM(#REF!,#REF!,#REF!,#REF!,#REF!,#REF!,#REF!,#REF!,#REF!,FMS_Ranking4[[#This Row],[ArcSinh Res struct removed 0-10]],#REF!)</f>
        <v>#REF!</v>
      </c>
      <c r="BS670" s="199" t="e">
        <f>FMS_Ranking4[[#This Row],[Log Score Based on Normalized Reported Factors]]+FMS_Ranking4[[#This Row],[% NBS Score (Normalized)]]+(FMS_Ranking4[[#This Row],[Water Supply Score (Normalized)]]*10*$BB$5)+(FMS_Ranking4[[#This Row],[FMS_Type Score Weighted]])</f>
        <v>#REF!</v>
      </c>
      <c r="BT670" s="200" t="e">
        <f>_xlfn.RANK.EQ(FMS_Ranking4[[#This Row],[Log Total Score]],FMS_Ranking4[Log Total Score],0)</f>
        <v>#REF!</v>
      </c>
      <c r="BU670" s="200" t="e">
        <f>_xlfn.XLOOKUP(FMS_Ranking4[[#This Row],[FMS ID]],#REF!,#REF!)</f>
        <v>#REF!</v>
      </c>
      <c r="BV670" s="200">
        <f>FMS_Ranking4[[#This Row],[Region Number]]</f>
        <v>5</v>
      </c>
      <c r="BW670" s="200">
        <f>FMS_Ranking4[[#This Row],[Rank (with ArcSinh normalization of select criteria)]]-FMS_Ranking4[[#This Row],[Rank
(with linear
normalization)]]</f>
        <v>-48</v>
      </c>
      <c r="BX670" s="200" t="e">
        <f>FMS_Ranking4[[#This Row],[Log Rank]]-FMS_Ranking4[[#This Row],[Rank
(with linear
normalization)]]</f>
        <v>#REF!</v>
      </c>
      <c r="BY670" s="200" t="str">
        <f>IF(FMS_Ranking4[[#This Row],[FMS Type]]="Flood Measurement and Warning",FMS_Ranking4[[#This Row],[Rank (with ArcSinh normalization of select criteria)]],"")</f>
        <v/>
      </c>
      <c r="BZ670" s="200" t="str">
        <f>IF(FMS_Ranking4[[#This Row],[FMS Type]]="Regulatory and Guidance",FMS_Ranking4[[#This Row],[Rank (with ArcSinh normalization of select criteria)]],"")</f>
        <v/>
      </c>
      <c r="CA670" s="200" t="str">
        <f>IF(FMS_Ranking4[[#This Row],[FMS Type]]="Education and Outreach",FMS_Ranking4[[#This Row],[Rank (with ArcSinh normalization of select criteria)]],"")</f>
        <v/>
      </c>
      <c r="CB670" s="200" t="str">
        <f>IF(FMS_Ranking4[[#This Row],[FMS Type]]="Property Acquisition and Structural Elevation",FMS_Ranking4[[#This Row],[Rank (with ArcSinh normalization of select criteria)]],"")</f>
        <v/>
      </c>
      <c r="CC670" s="200">
        <f>IF(FMS_Ranking4[[#This Row],[FMS Type]]="Infrastructure Projects",FMS_Ranking4[[#This Row],[Rank (with ArcSinh normalization of select criteria)]],"")</f>
        <v>663</v>
      </c>
      <c r="CD670" s="200" t="str">
        <f>IF(FMS_Ranking4[[#This Row],[FMS Type]]="Other",FMS_Ranking4[[#This Row],[Rank (with ArcSinh normalization of select criteria)]],"")</f>
        <v/>
      </c>
      <c r="CE670" s="201"/>
      <c r="CF670" s="206"/>
      <c r="CG670" s="206"/>
      <c r="CH670" s="206"/>
      <c r="CI670" s="206"/>
      <c r="CJ670" s="206"/>
      <c r="CK670" s="206"/>
      <c r="CL670" s="206"/>
      <c r="CM670" s="206"/>
      <c r="CN670" s="206"/>
      <c r="CO670" s="206"/>
      <c r="CP670" s="206"/>
      <c r="CQ670" s="206"/>
      <c r="CR670" s="206"/>
    </row>
    <row r="671" spans="2:96" ht="45" x14ac:dyDescent="0.25">
      <c r="B671" s="341" t="s">
        <v>2441</v>
      </c>
      <c r="C671" s="246">
        <f>_xlfn.XLOOKUP(FMS_Ranking4[[#This Row],[FMS ID]],FMS_Input[FMS_ID],FMS_Input[RFPG_NUM])</f>
        <v>3</v>
      </c>
      <c r="D671" s="309" t="str">
        <f>_xlfn.XLOOKUP(FMS_Ranking4[[#This Row],[FMS ID]],FMS_Input[FMS_ID],FMS_Input[FMS_NAME])</f>
        <v>City of Rosser NFIP Floodplain Ordinance</v>
      </c>
      <c r="E671" s="308" t="str">
        <f>_xlfn.XLOOKUP(FMS_Ranking4[[#This Row],[FMS ID]],FMS_Input[FMS_ID],FMS_Input[SPONSOR])</f>
        <v>Rosser</v>
      </c>
      <c r="F671" s="309" t="str">
        <f>_xlfn.XLOOKUP(FMS_Ranking4[[#This Row],[FMS ID]],Sponsor[FMS_ID],Sponsor[SPONSOR NAME])</f>
        <v>Rosser</v>
      </c>
      <c r="G671" s="309" t="str">
        <f>_xlfn.XLOOKUP(FMS_Ranking4[[#This Row],[FMS ID]],FMS_Input[FMS_ID],FMS_Input[FMS_DESCR])</f>
        <v>Develop a floodplain ordinance that meets or exceeds FEMA's minimum standards</v>
      </c>
      <c r="H671" s="248" t="str">
        <f>_xlfn.XLOOKUP(FMS_Ranking4[[#This Row],[FMS ID]],FMS_Input[FMS_ID],FMS_Input[FMS_TYPE])</f>
        <v>Regulatory and Guidance</v>
      </c>
      <c r="I671" s="249">
        <f>_xlfn.XLOOKUP(FMS_Ranking4[[#This Row],[FMS ID]],FMS_Input[FMS_ID],FMS_Input[NRNC_COST])</f>
        <v>100000</v>
      </c>
      <c r="J671" s="250">
        <f>_xlfn.XLOOKUP(FMS_Ranking4[[#This Row],[FMS ID]],FMS_Input[FMS_ID],FMS_Input[FMS_COST])</f>
        <v>100000</v>
      </c>
      <c r="K671" s="251" t="str">
        <f>_xlfn.XLOOKUP(FMS_Ranking4[[#This Row],[FMS ID]],FMS_Input[FMS_ID],FMS_Input[EMER_NEED])</f>
        <v>No</v>
      </c>
      <c r="L671" s="252">
        <f t="shared" si="10"/>
        <v>0</v>
      </c>
      <c r="M671" s="253">
        <f>_xlfn.XLOOKUP(FMS_Ranking4[[#This Row],[FMS ID]],FMS_Input[FMS_ID],FMS_Input[STRUCT_100])</f>
        <v>35</v>
      </c>
      <c r="N671" s="255">
        <f>(ASINH(FMS_Ranking4[[#This Row],[Structure at Risk Raw]]))*(10)/(ASINH(M$4))</f>
        <v>3.3401102232523052</v>
      </c>
      <c r="O671" s="256">
        <f>FMS_Ranking4[[#This Row],[Structures at risk, ArcSinh (0-10)]]*M$5*10</f>
        <v>3.3401102232523057</v>
      </c>
      <c r="P671" s="253">
        <f>_xlfn.XLOOKUP(FMS_Ranking4[[#This Row],[FMS ID]],FMS_Input[FMS_ID],FMS_Input[RES_STRUCT100])</f>
        <v>31</v>
      </c>
      <c r="Q671" s="257">
        <f>ASINH(FMS_Ranking4[[#This Row],[Res Structure Raw]])/Q$4*P$5*100</f>
        <v>0</v>
      </c>
      <c r="R671" s="253">
        <f>_xlfn.XLOOKUP(FMS_Ranking4[[#This Row],[FMS ID]],FMS_Input[FMS_ID],FMS_Input[POP100])</f>
        <v>45</v>
      </c>
      <c r="S671" s="259">
        <f>(ASINH(FMS_Ranking4[[#This Row],[Pop at Risk Raw]]))*(10)/(ASINH(R$4))</f>
        <v>3.1065657986696471</v>
      </c>
      <c r="T671" s="256">
        <f>FMS_Ranking4[[#This Row],[Population at risk, ArcSinh (0-10)]]*R$5*10</f>
        <v>3.1065657986696471</v>
      </c>
      <c r="U671" s="253">
        <f>_xlfn.XLOOKUP(FMS_Ranking4[[#This Row],[FMS ID]],FMS_Input[FMS_ID],FMS_Input[CRITFAC100])</f>
        <v>0</v>
      </c>
      <c r="V671" s="259">
        <f>(ASINH(FMS_Ranking4[[#This Row],[Critical Facilities Raw]]))*(10)/(ASINH(U$4))</f>
        <v>0</v>
      </c>
      <c r="W671" s="256">
        <f>FMS_Ranking4[[#This Row],[Critical facilities at risk, ArcSinh (0-10)]]*U$5*10</f>
        <v>0</v>
      </c>
      <c r="X671" s="253">
        <f>_xlfn.XLOOKUP(FMS_Ranking4[[#This Row],[FMS ID]],FMS_Input[FMS_ID],FMS_Input[LWC])</f>
        <v>0</v>
      </c>
      <c r="Y671" s="259">
        <f>(ASINH(FMS_Ranking4[[#This Row],[LWC Raw]]))*(10)/(ASINH(X$4))</f>
        <v>0</v>
      </c>
      <c r="Z671" s="256">
        <f>FMS_Ranking4[[#This Row],[LWC, ArcSInh (0-10)]]*X$5*10</f>
        <v>0</v>
      </c>
      <c r="AA671" s="253">
        <f>_xlfn.XLOOKUP(FMS_Ranking4[[#This Row],[FMS ID]],FMS_Input[FMS_ID],FMS_Input[ROADCLS])</f>
        <v>0</v>
      </c>
      <c r="AB671" s="255">
        <f>(ASINH(FMS_Ranking4[[#This Row],[Road Closures Raw]]))*(10)/(ASINH(AA$4))</f>
        <v>0</v>
      </c>
      <c r="AC671" s="256">
        <f>FMS_Ranking4[[#This Row],[Road closures, ArcSinh (0-10)]]*AA$5*10</f>
        <v>0</v>
      </c>
      <c r="AD671" s="253">
        <f>_xlfn.XLOOKUP(FMS_Ranking4[[#This Row],[FMS ID]],FMS_Input[FMS_ID],FMS_Input[ROAD_MILES100])</f>
        <v>1</v>
      </c>
      <c r="AE671" s="259">
        <f>(ASINH(FMS_Ranking4[[#This Row],[Road Miles Raw]]))*(10)/(ASINH(AD$4))</f>
        <v>0.9393017565219649</v>
      </c>
      <c r="AF671" s="256">
        <f>FMS_Ranking4[[#This Row],[Length of roads at risk, ArcSinh (0-10)]]*AD$5*10</f>
        <v>0.93930175652196501</v>
      </c>
      <c r="AG671" s="253">
        <f>_xlfn.XLOOKUP(FMS_Ranking4[[#This Row],[FMS ID]],FMS_Input[FMS_ID],FMS_Input[FARMACRE100])</f>
        <v>169.5473937988281</v>
      </c>
      <c r="AH671" s="255">
        <f>(ASINH(FMS_Ranking4[[#This Row],[Ag Land Raw]]))*(10)/(ASINH(AG$4))</f>
        <v>3.7846489628865023</v>
      </c>
      <c r="AI671" s="260">
        <f>FMS_Ranking4[[#This Row],[Farm &amp; ranch land, ArcSinh (0-10)]]*AG$5*10</f>
        <v>1.8923244814432514</v>
      </c>
      <c r="AJ671" s="258">
        <f>_xlfn.XLOOKUP(FMS_Ranking4[[#This Row],[FMS ID]],FMS_Input[FMS_ID],FMS_Input[REDSTRUCT100])</f>
        <v>0</v>
      </c>
      <c r="AK671" s="253">
        <f>_xlfn.XLOOKUP(FMS_Ranking4[[#This Row],[FMS ID]],FMS_Input[FMS_ID],FMS_Input[REMSTRC100])</f>
        <v>0</v>
      </c>
      <c r="AL671" s="259">
        <f>(ASINH(FMS_Ranking4[[#This Row],[Structures Removed Raw]]))*(10)/(ASINH(AK$4))</f>
        <v>0</v>
      </c>
      <c r="AM671" s="262">
        <f>FMS_Ranking4[[#This Row],[Structures removed, ArcSinh (0-10)]]*AK$5*10</f>
        <v>0</v>
      </c>
      <c r="AN671" s="253">
        <f>_xlfn.XLOOKUP(FMS_Ranking4[[#This Row],[FMS ID]],FMS_Input[FMS_ID],FMS_Input[REMRESSTRC100])</f>
        <v>0</v>
      </c>
      <c r="AO671" s="261">
        <f>FMS_Ranking4[[#This Row],[ArcSinh Res struct removed 0-10]]*AN$5*10</f>
        <v>0</v>
      </c>
      <c r="AP671" s="260">
        <f>ASINH(FMS_Ranking4[[#This Row],[Residential Structures Removed Raw]])/AP$4*AN$5*100</f>
        <v>0</v>
      </c>
      <c r="AQ671" s="254">
        <f>(ASINH(FMS_Ranking4[[#This Row],[Residential Structures Removed Raw]]))*(10)/(ASINH(AN$4))</f>
        <v>0</v>
      </c>
      <c r="AR671" s="253">
        <f>_xlfn.XLOOKUP(FMS_Ranking4[[#This Row],[FMS ID]],FMS_Input[FMS_ID],FMS_Input[REMPOP100])</f>
        <v>0</v>
      </c>
      <c r="AS671" s="259">
        <f>(ASINH(FMS_Ranking4[[#This Row],[Removed Pop Raw]]))*(10)/(ASINH(AR$4))</f>
        <v>0</v>
      </c>
      <c r="AT671" s="262">
        <f>FMS_Ranking4[[#This Row],[Removed population, ArcSinh (0-10)]]*AR$5*10</f>
        <v>0</v>
      </c>
      <c r="AU671" s="264">
        <f>_xlfn.XLOOKUP(FMS_Ranking4[[#This Row],[FMS ID]],FMS_Input[FMS_ID],FMS_Input[REMCRITFAC100])</f>
        <v>0</v>
      </c>
      <c r="AV671" s="264">
        <f>_xlfn.XLOOKUP(FMS_Ranking4[[#This Row],[FMS ID]],FMS_Input[FMS_ID],FMS_Input[REMLWC100])</f>
        <v>0</v>
      </c>
      <c r="AW671" s="264">
        <f>_xlfn.XLOOKUP(FMS_Ranking4[[#This Row],[FMS ID]],FMS_Input[FMS_ID],FMS_Input[REMROADCLS])</f>
        <v>0</v>
      </c>
      <c r="AX671" s="264">
        <f>_xlfn.XLOOKUP(FMS_Ranking4[[#This Row],[FMS ID]],FMS_Input[FMS_ID],FMS_Input[REMFRMACRE100])</f>
        <v>0</v>
      </c>
      <c r="AY671" s="258">
        <f>_xlfn.XLOOKUP(FMS_Ranking4[[#This Row],[FMS ID]],FMS_Input[FMS_ID],FMS_Input[COSTSTRUCT])</f>
        <v>0</v>
      </c>
      <c r="AZ671" s="253">
        <f>_xlfn.XLOOKUP(FMS_Ranking4[[#This Row],[FMS ID]],FMS_Input[FMS_ID],FMS_Input[NATURE])</f>
        <v>0</v>
      </c>
      <c r="BA671" s="262">
        <f>(((FMS_Ranking4[[#This Row],[% NBS Raw]]/AZ$4)*100)*AZ$5)</f>
        <v>0</v>
      </c>
      <c r="BB671" s="251" t="str">
        <f>_xlfn.XLOOKUP(FMS_Ranking4[[#This Row],[FMS ID]],FMS_Input[FMS_ID],FMS_Input[WATER_SUP])</f>
        <v>No</v>
      </c>
      <c r="BC671" s="265">
        <f>IF(FMS_Ranking4[[#This Row],[Water Supply Raw]]="Yes",10,0)</f>
        <v>0</v>
      </c>
      <c r="BD671" s="266">
        <f>_xlfn.XLOOKUP(FMS_Ranking4[[#This Row],[FMS Type]],FMS_TYPE[FMS_Type],FMS_TYPE[Score])</f>
        <v>8</v>
      </c>
      <c r="BE671" s="267">
        <f>FMS_Ranking4[[#This Row],[FMS_Type Score]]*$BD$5*10</f>
        <v>2</v>
      </c>
      <c r="BF67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4.5856038804838271E-3</v>
      </c>
      <c r="BG671" s="269">
        <f>_xlfn.RANK.EQ(BF671,$BF$8:$BF$870,0)+COUNTIF($BF$8:BF671,BF671)-1</f>
        <v>693</v>
      </c>
      <c r="BH671" s="268">
        <f>(((FMS_Ranking4[[#This Row],[Structures Removed Raw]]/AK$4)*100)*AK$5)+(((FMS_Ranking4[[#This Row],[Removed Pop Raw]]/AR$4)*100)*AR$5)</f>
        <v>0</v>
      </c>
      <c r="BI67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2.0045856038804839</v>
      </c>
      <c r="BJ671" s="204">
        <f>_xlfn.RANK.EQ(FMS_Ranking4[[#This Row],[Total Score 
(with linear
normalization)]],FMS_Ranking4[Total Score 
(with linear
normalization)],0)</f>
        <v>438</v>
      </c>
      <c r="BK671" s="204" t="e">
        <f>_xlfn.XLOOKUP(FMS_Ranking4[[#This Row],[FMS ID]],#REF!,#REF!)</f>
        <v>#REF!</v>
      </c>
      <c r="BL671"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9.2783022598871696</v>
      </c>
      <c r="BM671" s="270">
        <f>FMS_Ranking4[[#This Row],[ArcSinh Score Based on Normalized Reported Factors]]+FMS_Ranking4[[#This Row],[% NBS Score (Normalized)]]+(FMS_Ranking4[[#This Row],[Water Supply Score (Normalized)]]*10*$BB$5)+FMS_Ranking4[[#This Row],[FMS_Type Score Weighted]]</f>
        <v>11.27830225988717</v>
      </c>
      <c r="BN671" s="204">
        <f>_xlfn.RANK.EQ(FMS_Ranking4[[#This Row],[Total Score (with ArcSinh normalization of select criteria)]],FMS_Ranking4[Total Score (with ArcSinh normalization of select criteria)],0)</f>
        <v>664</v>
      </c>
      <c r="BO671" s="270" t="str">
        <f>_xlfn.XLOOKUP(FMS_Ranking4[[#This Row],[FMS ID]],FMS_Input[FMS_ID],FMS_Input[FMS_RANK_YEAR])</f>
        <v>2023 Amended Plan</v>
      </c>
      <c r="BP671" s="204">
        <f>_xlfn.XLOOKUP(FMS_Ranking4[[#This Row],[FMS ID]],Prev_Rank[FMS ID],Prev_Rank[Prev Rank])</f>
        <v>595</v>
      </c>
      <c r="BQ671" s="204" t="e">
        <f>_xlfn.XLOOKUP(FMS_Ranking4[[#This Row],[FMS ID]],#REF!,#REF!)</f>
        <v>#REF!</v>
      </c>
      <c r="BR671" s="199" t="e">
        <f>SUM(#REF!,#REF!,#REF!,#REF!,#REF!,#REF!,#REF!,#REF!,#REF!,FMS_Ranking4[[#This Row],[ArcSinh Res struct removed 0-10]],#REF!)</f>
        <v>#REF!</v>
      </c>
      <c r="BS671" s="199" t="e">
        <f>FMS_Ranking4[[#This Row],[Log Score Based on Normalized Reported Factors]]+FMS_Ranking4[[#This Row],[% NBS Score (Normalized)]]+(FMS_Ranking4[[#This Row],[Water Supply Score (Normalized)]]*10*$BB$5)+(FMS_Ranking4[[#This Row],[FMS_Type Score Weighted]])</f>
        <v>#REF!</v>
      </c>
      <c r="BT671" s="200" t="e">
        <f>_xlfn.RANK.EQ(FMS_Ranking4[[#This Row],[Log Total Score]],FMS_Ranking4[Log Total Score],0)</f>
        <v>#REF!</v>
      </c>
      <c r="BU671" s="200" t="e">
        <f>_xlfn.XLOOKUP(FMS_Ranking4[[#This Row],[FMS ID]],#REF!,#REF!)</f>
        <v>#REF!</v>
      </c>
      <c r="BV671" s="200">
        <f>FMS_Ranking4[[#This Row],[Region Number]]</f>
        <v>3</v>
      </c>
      <c r="BW671" s="200">
        <f>FMS_Ranking4[[#This Row],[Rank (with ArcSinh normalization of select criteria)]]-FMS_Ranking4[[#This Row],[Rank
(with linear
normalization)]]</f>
        <v>226</v>
      </c>
      <c r="BX671" s="200" t="e">
        <f>FMS_Ranking4[[#This Row],[Log Rank]]-FMS_Ranking4[[#This Row],[Rank
(with linear
normalization)]]</f>
        <v>#REF!</v>
      </c>
      <c r="BY671" s="200" t="str">
        <f>IF(FMS_Ranking4[[#This Row],[FMS Type]]="Flood Measurement and Warning",FMS_Ranking4[[#This Row],[Rank (with ArcSinh normalization of select criteria)]],"")</f>
        <v/>
      </c>
      <c r="BZ671" s="200">
        <f>IF(FMS_Ranking4[[#This Row],[FMS Type]]="Regulatory and Guidance",FMS_Ranking4[[#This Row],[Rank (with ArcSinh normalization of select criteria)]],"")</f>
        <v>664</v>
      </c>
      <c r="CA671" s="200" t="str">
        <f>IF(FMS_Ranking4[[#This Row],[FMS Type]]="Education and Outreach",FMS_Ranking4[[#This Row],[Rank (with ArcSinh normalization of select criteria)]],"")</f>
        <v/>
      </c>
      <c r="CB671" s="200" t="str">
        <f>IF(FMS_Ranking4[[#This Row],[FMS Type]]="Property Acquisition and Structural Elevation",FMS_Ranking4[[#This Row],[Rank (with ArcSinh normalization of select criteria)]],"")</f>
        <v/>
      </c>
      <c r="CC671" s="200" t="str">
        <f>IF(FMS_Ranking4[[#This Row],[FMS Type]]="Infrastructure Projects",FMS_Ranking4[[#This Row],[Rank (with ArcSinh normalization of select criteria)]],"")</f>
        <v/>
      </c>
      <c r="CD671" s="200" t="str">
        <f>IF(FMS_Ranking4[[#This Row],[FMS Type]]="Other",FMS_Ranking4[[#This Row],[Rank (with ArcSinh normalization of select criteria)]],"")</f>
        <v/>
      </c>
      <c r="CE671" s="201"/>
      <c r="CF671" s="206"/>
      <c r="CG671" s="206"/>
      <c r="CH671" s="206"/>
      <c r="CI671" s="206"/>
      <c r="CJ671" s="206"/>
      <c r="CK671" s="206"/>
      <c r="CL671" s="206"/>
      <c r="CM671" s="206"/>
      <c r="CN671" s="206"/>
      <c r="CO671" s="206"/>
      <c r="CP671" s="206"/>
      <c r="CQ671" s="206"/>
      <c r="CR671" s="206"/>
    </row>
    <row r="672" spans="2:96" ht="30" x14ac:dyDescent="0.25">
      <c r="B672" s="341" t="s">
        <v>1253</v>
      </c>
      <c r="C672" s="246">
        <f>_xlfn.XLOOKUP(FMS_Ranking4[[#This Row],[FMS ID]],FMS_Input[FMS_ID],FMS_Input[RFPG_NUM])</f>
        <v>1</v>
      </c>
      <c r="D672" s="309" t="str">
        <f>_xlfn.XLOOKUP(FMS_Ranking4[[#This Row],[FMS ID]],FMS_Input[FMS_ID],FMS_Input[FMS_NAME])</f>
        <v>McLean NFIP Involvement</v>
      </c>
      <c r="E672" s="308" t="str">
        <f>_xlfn.XLOOKUP(FMS_Ranking4[[#This Row],[FMS ID]],FMS_Input[FMS_ID],FMS_Input[SPONSOR])</f>
        <v>01003129</v>
      </c>
      <c r="F672" s="309" t="str">
        <f>_xlfn.XLOOKUP(FMS_Ranking4[[#This Row],[FMS ID]],Sponsor[FMS_ID],Sponsor[SPONSOR NAME])</f>
        <v>McLean</v>
      </c>
      <c r="G672" s="309" t="str">
        <f>_xlfn.XLOOKUP(FMS_Ranking4[[#This Row],[FMS ID]],FMS_Input[FMS_ID],FMS_Input[FMS_DESCR])</f>
        <v>Application to join NFIP or adopt equivalent standards</v>
      </c>
      <c r="H672" s="248" t="str">
        <f>_xlfn.XLOOKUP(FMS_Ranking4[[#This Row],[FMS ID]],FMS_Input[FMS_ID],FMS_Input[FMS_TYPE])</f>
        <v>Regulatory and Guidance</v>
      </c>
      <c r="I672" s="249">
        <f>_xlfn.XLOOKUP(FMS_Ranking4[[#This Row],[FMS ID]],FMS_Input[FMS_ID],FMS_Input[NRNC_COST])</f>
        <v>100000</v>
      </c>
      <c r="J672" s="250">
        <f>_xlfn.XLOOKUP(FMS_Ranking4[[#This Row],[FMS ID]],FMS_Input[FMS_ID],FMS_Input[FMS_COST])</f>
        <v>100000</v>
      </c>
      <c r="K672" s="251" t="str">
        <f>_xlfn.XLOOKUP(FMS_Ranking4[[#This Row],[FMS ID]],FMS_Input[FMS_ID],FMS_Input[EMER_NEED])</f>
        <v>No</v>
      </c>
      <c r="L672" s="252">
        <f t="shared" si="10"/>
        <v>0</v>
      </c>
      <c r="M672" s="253">
        <f>_xlfn.XLOOKUP(FMS_Ranking4[[#This Row],[FMS ID]],FMS_Input[FMS_ID],FMS_Input[STRUCT_100])</f>
        <v>24</v>
      </c>
      <c r="N672" s="255">
        <f>(ASINH(FMS_Ranking4[[#This Row],[Structure at Risk Raw]]))*(10)/(ASINH(M$4))</f>
        <v>3.0436813799681648</v>
      </c>
      <c r="O672" s="256">
        <f>FMS_Ranking4[[#This Row],[Structures at risk, ArcSinh (0-10)]]*M$5*10</f>
        <v>3.0436813799681648</v>
      </c>
      <c r="P672" s="253">
        <f>_xlfn.XLOOKUP(FMS_Ranking4[[#This Row],[FMS ID]],FMS_Input[FMS_ID],FMS_Input[RES_STRUCT100])</f>
        <v>16</v>
      </c>
      <c r="Q672" s="257">
        <f>ASINH(FMS_Ranking4[[#This Row],[Res Structure Raw]])/Q$4*P$5*100</f>
        <v>0</v>
      </c>
      <c r="R672" s="253">
        <f>_xlfn.XLOOKUP(FMS_Ranking4[[#This Row],[FMS ID]],FMS_Input[FMS_ID],FMS_Input[POP100])</f>
        <v>38</v>
      </c>
      <c r="S672" s="259">
        <f>(ASINH(FMS_Ranking4[[#This Row],[Pop at Risk Raw]]))*(10)/(ASINH(R$4))</f>
        <v>2.9898768419602475</v>
      </c>
      <c r="T672" s="256">
        <f>FMS_Ranking4[[#This Row],[Population at risk, ArcSinh (0-10)]]*R$5*10</f>
        <v>2.9898768419602479</v>
      </c>
      <c r="U672" s="253">
        <f>_xlfn.XLOOKUP(FMS_Ranking4[[#This Row],[FMS ID]],FMS_Input[FMS_ID],FMS_Input[CRITFAC100])</f>
        <v>1</v>
      </c>
      <c r="V672" s="259">
        <f>(ASINH(FMS_Ranking4[[#This Row],[Critical Facilities Raw]]))*(10)/(ASINH(U$4))</f>
        <v>1.0433384451410745</v>
      </c>
      <c r="W672" s="256">
        <f>FMS_Ranking4[[#This Row],[Critical facilities at risk, ArcSinh (0-10)]]*U$5*10</f>
        <v>1.0433384451410745</v>
      </c>
      <c r="X672" s="253">
        <f>_xlfn.XLOOKUP(FMS_Ranking4[[#This Row],[FMS ID]],FMS_Input[FMS_ID],FMS_Input[LWC])</f>
        <v>0</v>
      </c>
      <c r="Y672" s="259">
        <f>(ASINH(FMS_Ranking4[[#This Row],[LWC Raw]]))*(10)/(ASINH(X$4))</f>
        <v>0</v>
      </c>
      <c r="Z672" s="256">
        <f>FMS_Ranking4[[#This Row],[LWC, ArcSInh (0-10)]]*X$5*10</f>
        <v>0</v>
      </c>
      <c r="AA672" s="253">
        <f>_xlfn.XLOOKUP(FMS_Ranking4[[#This Row],[FMS ID]],FMS_Input[FMS_ID],FMS_Input[ROADCLS])</f>
        <v>0</v>
      </c>
      <c r="AB672" s="255">
        <f>(ASINH(FMS_Ranking4[[#This Row],[Road Closures Raw]]))*(10)/(ASINH(AA$4))</f>
        <v>0</v>
      </c>
      <c r="AC672" s="256">
        <f>FMS_Ranking4[[#This Row],[Road closures, ArcSinh (0-10)]]*AA$5*10</f>
        <v>0</v>
      </c>
      <c r="AD672" s="253">
        <f>_xlfn.XLOOKUP(FMS_Ranking4[[#This Row],[FMS ID]],FMS_Input[FMS_ID],FMS_Input[ROAD_MILES100])</f>
        <v>2</v>
      </c>
      <c r="AE672" s="259">
        <f>(ASINH(FMS_Ranking4[[#This Row],[Road Miles Raw]]))*(10)/(ASINH(AD$4))</f>
        <v>1.5385182374234352</v>
      </c>
      <c r="AF672" s="256">
        <f>FMS_Ranking4[[#This Row],[Length of roads at risk, ArcSinh (0-10)]]*AD$5*10</f>
        <v>1.5385182374234352</v>
      </c>
      <c r="AG672" s="253">
        <f>_xlfn.XLOOKUP(FMS_Ranking4[[#This Row],[FMS ID]],FMS_Input[FMS_ID],FMS_Input[FARMACRE100])</f>
        <v>1.9652630090713501</v>
      </c>
      <c r="AH672" s="255">
        <f>(ASINH(FMS_Ranking4[[#This Row],[Ag Land Raw]]))*(10)/(ASINH(AG$4))</f>
        <v>0.92759701968608821</v>
      </c>
      <c r="AI672" s="260">
        <f>FMS_Ranking4[[#This Row],[Farm &amp; ranch land, ArcSinh (0-10)]]*AG$5*10</f>
        <v>0.46379850984304416</v>
      </c>
      <c r="AJ672" s="258">
        <f>_xlfn.XLOOKUP(FMS_Ranking4[[#This Row],[FMS ID]],FMS_Input[FMS_ID],FMS_Input[REDSTRUCT100])</f>
        <v>0</v>
      </c>
      <c r="AK672" s="253">
        <f>_xlfn.XLOOKUP(FMS_Ranking4[[#This Row],[FMS ID]],FMS_Input[FMS_ID],FMS_Input[REMSTRC100])</f>
        <v>0</v>
      </c>
      <c r="AL672" s="259">
        <f>(ASINH(FMS_Ranking4[[#This Row],[Structures Removed Raw]]))*(10)/(ASINH(AK$4))</f>
        <v>0</v>
      </c>
      <c r="AM672" s="262">
        <f>FMS_Ranking4[[#This Row],[Structures removed, ArcSinh (0-10)]]*AK$5*10</f>
        <v>0</v>
      </c>
      <c r="AN672" s="253">
        <f>_xlfn.XLOOKUP(FMS_Ranking4[[#This Row],[FMS ID]],FMS_Input[FMS_ID],FMS_Input[REMRESSTRC100])</f>
        <v>0</v>
      </c>
      <c r="AO672" s="261">
        <f>FMS_Ranking4[[#This Row],[ArcSinh Res struct removed 0-10]]*AN$5*10</f>
        <v>0</v>
      </c>
      <c r="AP672" s="260">
        <f>ASINH(FMS_Ranking4[[#This Row],[Residential Structures Removed Raw]])/AP$4*AN$5*100</f>
        <v>0</v>
      </c>
      <c r="AQ672" s="254">
        <f>(ASINH(FMS_Ranking4[[#This Row],[Residential Structures Removed Raw]]))*(10)/(ASINH(AN$4))</f>
        <v>0</v>
      </c>
      <c r="AR672" s="253">
        <f>_xlfn.XLOOKUP(FMS_Ranking4[[#This Row],[FMS ID]],FMS_Input[FMS_ID],FMS_Input[REMPOP100])</f>
        <v>0</v>
      </c>
      <c r="AS672" s="259">
        <f>(ASINH(FMS_Ranking4[[#This Row],[Removed Pop Raw]]))*(10)/(ASINH(AR$4))</f>
        <v>0</v>
      </c>
      <c r="AT672" s="262">
        <f>FMS_Ranking4[[#This Row],[Removed population, ArcSinh (0-10)]]*AR$5*10</f>
        <v>0</v>
      </c>
      <c r="AU672" s="264">
        <f>_xlfn.XLOOKUP(FMS_Ranking4[[#This Row],[FMS ID]],FMS_Input[FMS_ID],FMS_Input[REMCRITFAC100])</f>
        <v>0</v>
      </c>
      <c r="AV672" s="264">
        <f>_xlfn.XLOOKUP(FMS_Ranking4[[#This Row],[FMS ID]],FMS_Input[FMS_ID],FMS_Input[REMLWC100])</f>
        <v>0</v>
      </c>
      <c r="AW672" s="264">
        <f>_xlfn.XLOOKUP(FMS_Ranking4[[#This Row],[FMS ID]],FMS_Input[FMS_ID],FMS_Input[REMROADCLS])</f>
        <v>0</v>
      </c>
      <c r="AX672" s="264">
        <f>_xlfn.XLOOKUP(FMS_Ranking4[[#This Row],[FMS ID]],FMS_Input[FMS_ID],FMS_Input[REMFRMACRE100])</f>
        <v>0</v>
      </c>
      <c r="AY672" s="258">
        <f>_xlfn.XLOOKUP(FMS_Ranking4[[#This Row],[FMS ID]],FMS_Input[FMS_ID],FMS_Input[COSTSTRUCT])</f>
        <v>0</v>
      </c>
      <c r="AZ672" s="253">
        <f>_xlfn.XLOOKUP(FMS_Ranking4[[#This Row],[FMS ID]],FMS_Input[FMS_ID],FMS_Input[NATURE])</f>
        <v>0</v>
      </c>
      <c r="BA672" s="262">
        <f>(((FMS_Ranking4[[#This Row],[% NBS Raw]]/AZ$4)*100)*AZ$5)</f>
        <v>0</v>
      </c>
      <c r="BB672" s="251" t="str">
        <f>_xlfn.XLOOKUP(FMS_Ranking4[[#This Row],[FMS ID]],FMS_Input[FMS_ID],FMS_Input[WATER_SUP])</f>
        <v>No</v>
      </c>
      <c r="BC672" s="265">
        <f>IF(FMS_Ranking4[[#This Row],[Water Supply Raw]]="Yes",10,0)</f>
        <v>0</v>
      </c>
      <c r="BD672" s="266">
        <f>_xlfn.XLOOKUP(FMS_Ranking4[[#This Row],[FMS Type]],FMS_TYPE[FMS_Type],FMS_TYPE[Score])</f>
        <v>8</v>
      </c>
      <c r="BE672" s="267">
        <f>FMS_Ranking4[[#This Row],[FMS_Type Score]]*$BD$5*10</f>
        <v>2</v>
      </c>
      <c r="BF67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9.481161110577908E-3</v>
      </c>
      <c r="BG672" s="269">
        <f>_xlfn.RANK.EQ(BF672,$BF$8:$BF$870,0)+COUNTIF($BF$8:BF672,BF672)-1</f>
        <v>667</v>
      </c>
      <c r="BH672" s="268">
        <f>(((FMS_Ranking4[[#This Row],[Structures Removed Raw]]/AK$4)*100)*AK$5)+(((FMS_Ranking4[[#This Row],[Removed Pop Raw]]/AR$4)*100)*AR$5)</f>
        <v>0</v>
      </c>
      <c r="BI67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2.0094811611105778</v>
      </c>
      <c r="BJ672" s="204">
        <f>_xlfn.RANK.EQ(FMS_Ranking4[[#This Row],[Total Score 
(with linear
normalization)]],FMS_Ranking4[Total Score 
(with linear
normalization)],0)</f>
        <v>424</v>
      </c>
      <c r="BK672" s="204" t="e">
        <f>_xlfn.XLOOKUP(FMS_Ranking4[[#This Row],[FMS ID]],#REF!,#REF!)</f>
        <v>#REF!</v>
      </c>
      <c r="BL672"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9.0792134143359675</v>
      </c>
      <c r="BM672" s="270">
        <f>FMS_Ranking4[[#This Row],[ArcSinh Score Based on Normalized Reported Factors]]+FMS_Ranking4[[#This Row],[% NBS Score (Normalized)]]+(FMS_Ranking4[[#This Row],[Water Supply Score (Normalized)]]*10*$BB$5)+FMS_Ranking4[[#This Row],[FMS_Type Score Weighted]]</f>
        <v>11.079213414335968</v>
      </c>
      <c r="BN672" s="204">
        <f>_xlfn.RANK.EQ(FMS_Ranking4[[#This Row],[Total Score (with ArcSinh normalization of select criteria)]],FMS_Ranking4[Total Score (with ArcSinh normalization of select criteria)],0)</f>
        <v>665</v>
      </c>
      <c r="BO672" s="270" t="str">
        <f>_xlfn.XLOOKUP(FMS_Ranking4[[#This Row],[FMS ID]],FMS_Input[FMS_ID],FMS_Input[FMS_RANK_YEAR])</f>
        <v>2023 Amended Plan</v>
      </c>
      <c r="BP672" s="204">
        <f>_xlfn.XLOOKUP(FMS_Ranking4[[#This Row],[FMS ID]],Prev_Rank[FMS ID],Prev_Rank[Prev Rank])</f>
        <v>597</v>
      </c>
      <c r="BQ672" s="204" t="e">
        <f>_xlfn.XLOOKUP(FMS_Ranking4[[#This Row],[FMS ID]],#REF!,#REF!)</f>
        <v>#REF!</v>
      </c>
      <c r="BR672" s="199" t="e">
        <f>SUM(#REF!,#REF!,#REF!,#REF!,#REF!,#REF!,#REF!,#REF!,#REF!,FMS_Ranking4[[#This Row],[ArcSinh Res struct removed 0-10]],#REF!)</f>
        <v>#REF!</v>
      </c>
      <c r="BS672" s="199" t="e">
        <f>FMS_Ranking4[[#This Row],[Log Score Based on Normalized Reported Factors]]+FMS_Ranking4[[#This Row],[% NBS Score (Normalized)]]+(FMS_Ranking4[[#This Row],[Water Supply Score (Normalized)]]*10*$BB$5)+(FMS_Ranking4[[#This Row],[FMS_Type Score Weighted]])</f>
        <v>#REF!</v>
      </c>
      <c r="BT672" s="200" t="e">
        <f>_xlfn.RANK.EQ(FMS_Ranking4[[#This Row],[Log Total Score]],FMS_Ranking4[Log Total Score],0)</f>
        <v>#REF!</v>
      </c>
      <c r="BU672" s="200" t="e">
        <f>_xlfn.XLOOKUP(FMS_Ranking4[[#This Row],[FMS ID]],#REF!,#REF!)</f>
        <v>#REF!</v>
      </c>
      <c r="BV672" s="200">
        <f>FMS_Ranking4[[#This Row],[Region Number]]</f>
        <v>1</v>
      </c>
      <c r="BW672" s="200">
        <f>FMS_Ranking4[[#This Row],[Rank (with ArcSinh normalization of select criteria)]]-FMS_Ranking4[[#This Row],[Rank
(with linear
normalization)]]</f>
        <v>241</v>
      </c>
      <c r="BX672" s="200" t="e">
        <f>FMS_Ranking4[[#This Row],[Log Rank]]-FMS_Ranking4[[#This Row],[Rank
(with linear
normalization)]]</f>
        <v>#REF!</v>
      </c>
      <c r="BY672" s="200" t="str">
        <f>IF(FMS_Ranking4[[#This Row],[FMS Type]]="Flood Measurement and Warning",FMS_Ranking4[[#This Row],[Rank (with ArcSinh normalization of select criteria)]],"")</f>
        <v/>
      </c>
      <c r="BZ672" s="200">
        <f>IF(FMS_Ranking4[[#This Row],[FMS Type]]="Regulatory and Guidance",FMS_Ranking4[[#This Row],[Rank (with ArcSinh normalization of select criteria)]],"")</f>
        <v>665</v>
      </c>
      <c r="CA672" s="200" t="str">
        <f>IF(FMS_Ranking4[[#This Row],[FMS Type]]="Education and Outreach",FMS_Ranking4[[#This Row],[Rank (with ArcSinh normalization of select criteria)]],"")</f>
        <v/>
      </c>
      <c r="CB672" s="200" t="str">
        <f>IF(FMS_Ranking4[[#This Row],[FMS Type]]="Property Acquisition and Structural Elevation",FMS_Ranking4[[#This Row],[Rank (with ArcSinh normalization of select criteria)]],"")</f>
        <v/>
      </c>
      <c r="CC672" s="200" t="str">
        <f>IF(FMS_Ranking4[[#This Row],[FMS Type]]="Infrastructure Projects",FMS_Ranking4[[#This Row],[Rank (with ArcSinh normalization of select criteria)]],"")</f>
        <v/>
      </c>
      <c r="CD672" s="200" t="str">
        <f>IF(FMS_Ranking4[[#This Row],[FMS Type]]="Other",FMS_Ranking4[[#This Row],[Rank (with ArcSinh normalization of select criteria)]],"")</f>
        <v/>
      </c>
      <c r="CE672" s="201"/>
      <c r="CF672" s="206"/>
      <c r="CG672" s="206"/>
      <c r="CH672" s="206"/>
      <c r="CI672" s="206"/>
      <c r="CJ672" s="206"/>
      <c r="CK672" s="206"/>
      <c r="CL672" s="206"/>
      <c r="CM672" s="206"/>
      <c r="CN672" s="206"/>
      <c r="CO672" s="206"/>
      <c r="CP672" s="206"/>
      <c r="CQ672" s="206"/>
      <c r="CR672" s="206"/>
    </row>
    <row r="673" spans="2:96" ht="45" x14ac:dyDescent="0.25">
      <c r="B673" s="341" t="s">
        <v>2824</v>
      </c>
      <c r="C673" s="246">
        <f>_xlfn.XLOOKUP(FMS_Ranking4[[#This Row],[FMS ID]],FMS_Input[FMS_ID],FMS_Input[RFPG_NUM])</f>
        <v>5</v>
      </c>
      <c r="D673" s="309" t="str">
        <f>_xlfn.XLOOKUP(FMS_Ranking4[[#This Row],[FMS ID]],FMS_Input[FMS_ID],FMS_Input[FMS_NAME])</f>
        <v>City of Rusk Culvert Improvements</v>
      </c>
      <c r="E673" s="308" t="str">
        <f>_xlfn.XLOOKUP(FMS_Ranking4[[#This Row],[FMS ID]],FMS_Input[FMS_ID],FMS_Input[SPONSOR])</f>
        <v>05002867</v>
      </c>
      <c r="F673" s="309" t="str">
        <f>_xlfn.XLOOKUP(FMS_Ranking4[[#This Row],[FMS ID]],Sponsor[FMS_ID],Sponsor[SPONSOR NAME])</f>
        <v>Rusk</v>
      </c>
      <c r="G673" s="309" t="str">
        <f>_xlfn.XLOOKUP(FMS_Ranking4[[#This Row],[FMS ID]],FMS_Input[FMS_ID],FMS_Input[FMS_DESCR])</f>
        <v>Establish plan to increase drainage capacity in sites that are prone to flooding.</v>
      </c>
      <c r="H673" s="248" t="str">
        <f>_xlfn.XLOOKUP(FMS_Ranking4[[#This Row],[FMS ID]],FMS_Input[FMS_ID],FMS_Input[FMS_TYPE])</f>
        <v>Infrastructure Projects</v>
      </c>
      <c r="I673" s="249">
        <f>_xlfn.XLOOKUP(FMS_Ranking4[[#This Row],[FMS ID]],FMS_Input[FMS_ID],FMS_Input[NRNC_COST])</f>
        <v>5000</v>
      </c>
      <c r="J673" s="250">
        <f>_xlfn.XLOOKUP(FMS_Ranking4[[#This Row],[FMS ID]],FMS_Input[FMS_ID],FMS_Input[FMS_COST])</f>
        <v>1000000</v>
      </c>
      <c r="K673" s="251" t="str">
        <f>_xlfn.XLOOKUP(FMS_Ranking4[[#This Row],[FMS ID]],FMS_Input[FMS_ID],FMS_Input[EMER_NEED])</f>
        <v>Yes</v>
      </c>
      <c r="L673" s="252">
        <f t="shared" si="10"/>
        <v>1</v>
      </c>
      <c r="M673" s="253">
        <f>_xlfn.XLOOKUP(FMS_Ranking4[[#This Row],[FMS ID]],FMS_Input[FMS_ID],FMS_Input[STRUCT_100])</f>
        <v>41</v>
      </c>
      <c r="N673" s="255">
        <f>(ASINH(FMS_Ranking4[[#This Row],[Structure at Risk Raw]]))*(10)/(ASINH(M$4))</f>
        <v>3.4644543512028521</v>
      </c>
      <c r="O673" s="256">
        <f>FMS_Ranking4[[#This Row],[Structures at risk, ArcSinh (0-10)]]*M$5*10</f>
        <v>3.4644543512028525</v>
      </c>
      <c r="P673" s="253">
        <f>_xlfn.XLOOKUP(FMS_Ranking4[[#This Row],[FMS ID]],FMS_Input[FMS_ID],FMS_Input[RES_STRUCT100])</f>
        <v>9</v>
      </c>
      <c r="Q673" s="257">
        <f>ASINH(FMS_Ranking4[[#This Row],[Res Structure Raw]])/Q$4*P$5*100</f>
        <v>0</v>
      </c>
      <c r="R673" s="253">
        <f>_xlfn.XLOOKUP(FMS_Ranking4[[#This Row],[FMS ID]],FMS_Input[FMS_ID],FMS_Input[POP100])</f>
        <v>462</v>
      </c>
      <c r="S673" s="259">
        <f>(ASINH(FMS_Ranking4[[#This Row],[Pop at Risk Raw]]))*(10)/(ASINH(R$4))</f>
        <v>4.7142583051366946</v>
      </c>
      <c r="T673" s="256">
        <f>FMS_Ranking4[[#This Row],[Population at risk, ArcSinh (0-10)]]*R$5*10</f>
        <v>4.7142583051366946</v>
      </c>
      <c r="U673" s="253">
        <f>_xlfn.XLOOKUP(FMS_Ranking4[[#This Row],[FMS ID]],FMS_Input[FMS_ID],FMS_Input[CRITFAC100])</f>
        <v>0</v>
      </c>
      <c r="V673" s="259">
        <f>(ASINH(FMS_Ranking4[[#This Row],[Critical Facilities Raw]]))*(10)/(ASINH(U$4))</f>
        <v>0</v>
      </c>
      <c r="W673" s="256">
        <f>FMS_Ranking4[[#This Row],[Critical facilities at risk, ArcSinh (0-10)]]*U$5*10</f>
        <v>0</v>
      </c>
      <c r="X673" s="253">
        <f>_xlfn.XLOOKUP(FMS_Ranking4[[#This Row],[FMS ID]],FMS_Input[FMS_ID],FMS_Input[LWC])</f>
        <v>0</v>
      </c>
      <c r="Y673" s="259">
        <f>(ASINH(FMS_Ranking4[[#This Row],[LWC Raw]]))*(10)/(ASINH(X$4))</f>
        <v>0</v>
      </c>
      <c r="Z673" s="256">
        <f>FMS_Ranking4[[#This Row],[LWC, ArcSInh (0-10)]]*X$5*10</f>
        <v>0</v>
      </c>
      <c r="AA673" s="253">
        <f>_xlfn.XLOOKUP(FMS_Ranking4[[#This Row],[FMS ID]],FMS_Input[FMS_ID],FMS_Input[ROADCLS])</f>
        <v>0</v>
      </c>
      <c r="AB673" s="255">
        <f>(ASINH(FMS_Ranking4[[#This Row],[Road Closures Raw]]))*(10)/(ASINH(AA$4))</f>
        <v>0</v>
      </c>
      <c r="AC673" s="256">
        <f>FMS_Ranking4[[#This Row],[Road closures, ArcSinh (0-10)]]*AA$5*10</f>
        <v>0</v>
      </c>
      <c r="AD673" s="253">
        <f>_xlfn.XLOOKUP(FMS_Ranking4[[#This Row],[FMS ID]],FMS_Input[FMS_ID],FMS_Input[ROAD_MILES100])</f>
        <v>2</v>
      </c>
      <c r="AE673" s="259">
        <f>(ASINH(FMS_Ranking4[[#This Row],[Road Miles Raw]]))*(10)/(ASINH(AD$4))</f>
        <v>1.5385182374234352</v>
      </c>
      <c r="AF673" s="256">
        <f>FMS_Ranking4[[#This Row],[Length of roads at risk, ArcSinh (0-10)]]*AD$5*10</f>
        <v>1.5385182374234352</v>
      </c>
      <c r="AG673" s="253">
        <f>_xlfn.XLOOKUP(FMS_Ranking4[[#This Row],[FMS ID]],FMS_Input[FMS_ID],FMS_Input[FARMACRE100])</f>
        <v>1.2863245010375981</v>
      </c>
      <c r="AH673" s="255">
        <f>(ASINH(FMS_Ranking4[[#This Row],[Ag Land Raw]]))*(10)/(ASINH(AG$4))</f>
        <v>0.6951075953531668</v>
      </c>
      <c r="AI673" s="260">
        <f>FMS_Ranking4[[#This Row],[Farm &amp; ranch land, ArcSinh (0-10)]]*AG$5*10</f>
        <v>0.34755379767658345</v>
      </c>
      <c r="AJ673" s="258">
        <f>_xlfn.XLOOKUP(FMS_Ranking4[[#This Row],[FMS ID]],FMS_Input[FMS_ID],FMS_Input[REDSTRUCT100])</f>
        <v>0</v>
      </c>
      <c r="AK673" s="253">
        <f>_xlfn.XLOOKUP(FMS_Ranking4[[#This Row],[FMS ID]],FMS_Input[FMS_ID],FMS_Input[REMSTRC100])</f>
        <v>0</v>
      </c>
      <c r="AL673" s="259">
        <f>(ASINH(FMS_Ranking4[[#This Row],[Structures Removed Raw]]))*(10)/(ASINH(AK$4))</f>
        <v>0</v>
      </c>
      <c r="AM673" s="262">
        <f>FMS_Ranking4[[#This Row],[Structures removed, ArcSinh (0-10)]]*AK$5*10</f>
        <v>0</v>
      </c>
      <c r="AN673" s="253">
        <f>_xlfn.XLOOKUP(FMS_Ranking4[[#This Row],[FMS ID]],FMS_Input[FMS_ID],FMS_Input[REMRESSTRC100])</f>
        <v>0</v>
      </c>
      <c r="AO673" s="261">
        <f>FMS_Ranking4[[#This Row],[ArcSinh Res struct removed 0-10]]*AN$5*10</f>
        <v>0</v>
      </c>
      <c r="AP673" s="260">
        <f>ASINH(FMS_Ranking4[[#This Row],[Residential Structures Removed Raw]])/AP$4*AN$5*100</f>
        <v>0</v>
      </c>
      <c r="AQ673" s="254">
        <f>(ASINH(FMS_Ranking4[[#This Row],[Residential Structures Removed Raw]]))*(10)/(ASINH(AN$4))</f>
        <v>0</v>
      </c>
      <c r="AR673" s="253">
        <f>_xlfn.XLOOKUP(FMS_Ranking4[[#This Row],[FMS ID]],FMS_Input[FMS_ID],FMS_Input[REMPOP100])</f>
        <v>0</v>
      </c>
      <c r="AS673" s="259">
        <f>(ASINH(FMS_Ranking4[[#This Row],[Removed Pop Raw]]))*(10)/(ASINH(AR$4))</f>
        <v>0</v>
      </c>
      <c r="AT673" s="262">
        <f>FMS_Ranking4[[#This Row],[Removed population, ArcSinh (0-10)]]*AR$5*10</f>
        <v>0</v>
      </c>
      <c r="AU673" s="264">
        <f>_xlfn.XLOOKUP(FMS_Ranking4[[#This Row],[FMS ID]],FMS_Input[FMS_ID],FMS_Input[REMCRITFAC100])</f>
        <v>0</v>
      </c>
      <c r="AV673" s="264">
        <f>_xlfn.XLOOKUP(FMS_Ranking4[[#This Row],[FMS ID]],FMS_Input[FMS_ID],FMS_Input[REMLWC100])</f>
        <v>0</v>
      </c>
      <c r="AW673" s="264">
        <f>_xlfn.XLOOKUP(FMS_Ranking4[[#This Row],[FMS ID]],FMS_Input[FMS_ID],FMS_Input[REMROADCLS])</f>
        <v>0</v>
      </c>
      <c r="AX673" s="264">
        <f>_xlfn.XLOOKUP(FMS_Ranking4[[#This Row],[FMS ID]],FMS_Input[FMS_ID],FMS_Input[REMFRMACRE100])</f>
        <v>0</v>
      </c>
      <c r="AY673" s="258">
        <f>_xlfn.XLOOKUP(FMS_Ranking4[[#This Row],[FMS ID]],FMS_Input[FMS_ID],FMS_Input[COSTSTRUCT])</f>
        <v>0</v>
      </c>
      <c r="AZ673" s="253">
        <f>_xlfn.XLOOKUP(FMS_Ranking4[[#This Row],[FMS ID]],FMS_Input[FMS_ID],FMS_Input[NATURE])</f>
        <v>0</v>
      </c>
      <c r="BA673" s="262">
        <f>(((FMS_Ranking4[[#This Row],[% NBS Raw]]/AZ$4)*100)*AZ$5)</f>
        <v>0</v>
      </c>
      <c r="BB673" s="251" t="str">
        <f>_xlfn.XLOOKUP(FMS_Ranking4[[#This Row],[FMS ID]],FMS_Input[FMS_ID],FMS_Input[WATER_SUP])</f>
        <v>No</v>
      </c>
      <c r="BC673" s="265">
        <f>IF(FMS_Ranking4[[#This Row],[Water Supply Raw]]="Yes",10,0)</f>
        <v>0</v>
      </c>
      <c r="BD673" s="266">
        <f>_xlfn.XLOOKUP(FMS_Ranking4[[#This Row],[FMS Type]],FMS_TYPE[FMS_Type],FMS_TYPE[Score])</f>
        <v>4</v>
      </c>
      <c r="BE673" s="267">
        <f>FMS_Ranking4[[#This Row],[FMS_Type Score]]*$BD$5*10</f>
        <v>1</v>
      </c>
      <c r="BF67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1.0548688162543869E-2</v>
      </c>
      <c r="BG673" s="271">
        <f>_xlfn.RANK.EQ(BF673,$BF$8:$BF$870,0)+COUNTIF($BF$8:BF673,BF673)-1</f>
        <v>664</v>
      </c>
      <c r="BH673" s="268">
        <f>(((FMS_Ranking4[[#This Row],[Structures Removed Raw]]/AK$4)*100)*AK$5)+(((FMS_Ranking4[[#This Row],[Removed Pop Raw]]/AR$4)*100)*AR$5)</f>
        <v>0</v>
      </c>
      <c r="BI67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1.0105486881625438</v>
      </c>
      <c r="BJ673" s="205">
        <f>_xlfn.RANK.EQ(FMS_Ranking4[[#This Row],[Total Score 
(with linear
normalization)]],FMS_Ranking4[Total Score 
(with linear
normalization)],0)</f>
        <v>730</v>
      </c>
      <c r="BK673" s="205" t="e">
        <f>_xlfn.XLOOKUP(FMS_Ranking4[[#This Row],[FMS ID]],#REF!,#REF!)</f>
        <v>#REF!</v>
      </c>
      <c r="BL67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10.064784691439566</v>
      </c>
      <c r="BM673" s="272">
        <f>FMS_Ranking4[[#This Row],[ArcSinh Score Based on Normalized Reported Factors]]+FMS_Ranking4[[#This Row],[% NBS Score (Normalized)]]+(FMS_Ranking4[[#This Row],[Water Supply Score (Normalized)]]*10*$BB$5)+FMS_Ranking4[[#This Row],[FMS_Type Score Weighted]]</f>
        <v>11.064784691439566</v>
      </c>
      <c r="BN673" s="205">
        <f>_xlfn.RANK.EQ(FMS_Ranking4[[#This Row],[Total Score (with ArcSinh normalization of select criteria)]],FMS_Ranking4[Total Score (with ArcSinh normalization of select criteria)],0)</f>
        <v>666</v>
      </c>
      <c r="BO673" s="270" t="str">
        <f>_xlfn.XLOOKUP(FMS_Ranking4[[#This Row],[FMS ID]],FMS_Input[FMS_ID],FMS_Input[FMS_RANK_YEAR])</f>
        <v>2023 Amended Plan</v>
      </c>
      <c r="BP673" s="204">
        <f>_xlfn.XLOOKUP(FMS_Ranking4[[#This Row],[FMS ID]],Prev_Rank[FMS ID],Prev_Rank[Prev Rank])</f>
        <v>596</v>
      </c>
      <c r="BQ673" s="205" t="e">
        <f>_xlfn.XLOOKUP(FMS_Ranking4[[#This Row],[FMS ID]],#REF!,#REF!)</f>
        <v>#REF!</v>
      </c>
      <c r="BR673" s="199" t="e">
        <f>SUM(#REF!,#REF!,#REF!,#REF!,#REF!,#REF!,#REF!,#REF!,#REF!,FMS_Ranking4[[#This Row],[ArcSinh Res struct removed 0-10]],#REF!)</f>
        <v>#REF!</v>
      </c>
      <c r="BS673" s="199" t="e">
        <f>FMS_Ranking4[[#This Row],[Log Score Based on Normalized Reported Factors]]+FMS_Ranking4[[#This Row],[% NBS Score (Normalized)]]+(FMS_Ranking4[[#This Row],[Water Supply Score (Normalized)]]*10*$BB$5)+(FMS_Ranking4[[#This Row],[FMS_Type Score Weighted]])</f>
        <v>#REF!</v>
      </c>
      <c r="BT673" s="200" t="e">
        <f>_xlfn.RANK.EQ(FMS_Ranking4[[#This Row],[Log Total Score]],FMS_Ranking4[Log Total Score],0)</f>
        <v>#REF!</v>
      </c>
      <c r="BU673" s="200" t="e">
        <f>_xlfn.XLOOKUP(FMS_Ranking4[[#This Row],[FMS ID]],#REF!,#REF!)</f>
        <v>#REF!</v>
      </c>
      <c r="BV673" s="200">
        <f>FMS_Ranking4[[#This Row],[Region Number]]</f>
        <v>5</v>
      </c>
      <c r="BW673" s="200">
        <f>FMS_Ranking4[[#This Row],[Rank (with ArcSinh normalization of select criteria)]]-FMS_Ranking4[[#This Row],[Rank
(with linear
normalization)]]</f>
        <v>-64</v>
      </c>
      <c r="BX673" s="200" t="e">
        <f>FMS_Ranking4[[#This Row],[Log Rank]]-FMS_Ranking4[[#This Row],[Rank
(with linear
normalization)]]</f>
        <v>#REF!</v>
      </c>
      <c r="BY673" s="200" t="str">
        <f>IF(FMS_Ranking4[[#This Row],[FMS Type]]="Flood Measurement and Warning",FMS_Ranking4[[#This Row],[Rank (with ArcSinh normalization of select criteria)]],"")</f>
        <v/>
      </c>
      <c r="BZ673" s="200" t="str">
        <f>IF(FMS_Ranking4[[#This Row],[FMS Type]]="Regulatory and Guidance",FMS_Ranking4[[#This Row],[Rank (with ArcSinh normalization of select criteria)]],"")</f>
        <v/>
      </c>
      <c r="CA673" s="200" t="str">
        <f>IF(FMS_Ranking4[[#This Row],[FMS Type]]="Education and Outreach",FMS_Ranking4[[#This Row],[Rank (with ArcSinh normalization of select criteria)]],"")</f>
        <v/>
      </c>
      <c r="CB673" s="200" t="str">
        <f>IF(FMS_Ranking4[[#This Row],[FMS Type]]="Property Acquisition and Structural Elevation",FMS_Ranking4[[#This Row],[Rank (with ArcSinh normalization of select criteria)]],"")</f>
        <v/>
      </c>
      <c r="CC673" s="200">
        <f>IF(FMS_Ranking4[[#This Row],[FMS Type]]="Infrastructure Projects",FMS_Ranking4[[#This Row],[Rank (with ArcSinh normalization of select criteria)]],"")</f>
        <v>666</v>
      </c>
      <c r="CD673" s="200" t="str">
        <f>IF(FMS_Ranking4[[#This Row],[FMS Type]]="Other",FMS_Ranking4[[#This Row],[Rank (with ArcSinh normalization of select criteria)]],"")</f>
        <v/>
      </c>
      <c r="CE673" s="201"/>
      <c r="CF673" s="206"/>
      <c r="CG673" s="206"/>
      <c r="CH673" s="206"/>
      <c r="CI673" s="206"/>
      <c r="CJ673" s="206"/>
      <c r="CK673" s="206"/>
      <c r="CL673" s="206"/>
      <c r="CM673" s="206"/>
      <c r="CN673" s="206"/>
      <c r="CO673" s="206"/>
      <c r="CP673" s="206"/>
      <c r="CQ673" s="206"/>
      <c r="CR673" s="206"/>
    </row>
    <row r="674" spans="2:96" ht="105" x14ac:dyDescent="0.25">
      <c r="B674" s="341" t="s">
        <v>3457</v>
      </c>
      <c r="C674" s="246">
        <f>_xlfn.XLOOKUP(FMS_Ranking4[[#This Row],[FMS ID]],FMS_Input[FMS_ID],FMS_Input[RFPG_NUM])</f>
        <v>12</v>
      </c>
      <c r="D674" s="309" t="str">
        <f>_xlfn.XLOOKUP(FMS_Ranking4[[#This Row],[FMS ID]],FMS_Input[FMS_ID],FMS_Input[FMS_NAME])</f>
        <v>San Antonio River drainage ownership mapping</v>
      </c>
      <c r="E674" s="308" t="str">
        <f>_xlfn.XLOOKUP(FMS_Ranking4[[#This Row],[FMS ID]],FMS_Input[FMS_ID],FMS_Input[SPONSOR])</f>
        <v>12002975</v>
      </c>
      <c r="F674" s="309" t="str">
        <f>_xlfn.XLOOKUP(FMS_Ranking4[[#This Row],[FMS ID]],Sponsor[FMS_ID],Sponsor[SPONSOR NAME])</f>
        <v>Kenedy</v>
      </c>
      <c r="G674" s="309" t="str">
        <f>_xlfn.XLOOKUP(FMS_Ranking4[[#This Row],[FMS ID]],FMS_Input[FMS_ID],FMS_Input[FMS_DESCR])</f>
        <v>Develop ownership and access understanding parcels fronting the San Antonio River and major tributaries to have better agreements and access to areas that need flood control mitigation and erosion control</v>
      </c>
      <c r="H674" s="248" t="str">
        <f>_xlfn.XLOOKUP(FMS_Ranking4[[#This Row],[FMS ID]],FMS_Input[FMS_ID],FMS_Input[FMS_TYPE])</f>
        <v>Education and Outreach</v>
      </c>
      <c r="I674" s="249">
        <f>_xlfn.XLOOKUP(FMS_Ranking4[[#This Row],[FMS ID]],FMS_Input[FMS_ID],FMS_Input[NRNC_COST])</f>
        <v>30000</v>
      </c>
      <c r="J674" s="250">
        <f>_xlfn.XLOOKUP(FMS_Ranking4[[#This Row],[FMS ID]],FMS_Input[FMS_ID],FMS_Input[FMS_COST])</f>
        <v>30000</v>
      </c>
      <c r="K674" s="251" t="str">
        <f>_xlfn.XLOOKUP(FMS_Ranking4[[#This Row],[FMS ID]],FMS_Input[FMS_ID],FMS_Input[EMER_NEED])</f>
        <v>No</v>
      </c>
      <c r="L674" s="252">
        <f t="shared" si="10"/>
        <v>0</v>
      </c>
      <c r="M674" s="253">
        <f>_xlfn.XLOOKUP(FMS_Ranking4[[#This Row],[FMS ID]],FMS_Input[FMS_ID],FMS_Input[STRUCT_100])</f>
        <v>42</v>
      </c>
      <c r="N674" s="255">
        <f>(ASINH(FMS_Ranking4[[#This Row],[Structure at Risk Raw]]))*(10)/(ASINH(M$4))</f>
        <v>3.4833931159199318</v>
      </c>
      <c r="O674" s="256">
        <f>FMS_Ranking4[[#This Row],[Structures at risk, ArcSinh (0-10)]]*M$5*10</f>
        <v>3.4833931159199323</v>
      </c>
      <c r="P674" s="253">
        <f>_xlfn.XLOOKUP(FMS_Ranking4[[#This Row],[FMS ID]],FMS_Input[FMS_ID],FMS_Input[RES_STRUCT100])</f>
        <v>24</v>
      </c>
      <c r="Q674" s="257">
        <f>ASINH(FMS_Ranking4[[#This Row],[Res Structure Raw]])/Q$4*P$5*100</f>
        <v>0</v>
      </c>
      <c r="R674" s="253">
        <f>_xlfn.XLOOKUP(FMS_Ranking4[[#This Row],[FMS ID]],FMS_Input[FMS_ID],FMS_Input[POP100])</f>
        <v>59</v>
      </c>
      <c r="S674" s="255">
        <f>(ASINH(FMS_Ranking4[[#This Row],[Pop at Risk Raw]]))*(10)/(ASINH(R$4))</f>
        <v>3.2935309107700133</v>
      </c>
      <c r="T674" s="256">
        <f>FMS_Ranking4[[#This Row],[Population at risk, ArcSinh (0-10)]]*R$5*10</f>
        <v>3.2935309107700133</v>
      </c>
      <c r="U674" s="253">
        <f>_xlfn.XLOOKUP(FMS_Ranking4[[#This Row],[FMS ID]],FMS_Input[FMS_ID],FMS_Input[CRITFAC100])</f>
        <v>0</v>
      </c>
      <c r="V674" s="255">
        <f>(ASINH(FMS_Ranking4[[#This Row],[Critical Facilities Raw]]))*(10)/(ASINH(U$4))</f>
        <v>0</v>
      </c>
      <c r="W674" s="256">
        <f>FMS_Ranking4[[#This Row],[Critical facilities at risk, ArcSinh (0-10)]]*U$5*10</f>
        <v>0</v>
      </c>
      <c r="X674" s="253">
        <f>_xlfn.XLOOKUP(FMS_Ranking4[[#This Row],[FMS ID]],FMS_Input[FMS_ID],FMS_Input[LWC])</f>
        <v>0</v>
      </c>
      <c r="Y674" s="255">
        <f>(ASINH(FMS_Ranking4[[#This Row],[LWC Raw]]))*(10)/(ASINH(X$4))</f>
        <v>0</v>
      </c>
      <c r="Z674" s="256">
        <f>FMS_Ranking4[[#This Row],[LWC, ArcSInh (0-10)]]*X$5*10</f>
        <v>0</v>
      </c>
      <c r="AA674" s="253">
        <f>_xlfn.XLOOKUP(FMS_Ranking4[[#This Row],[FMS ID]],FMS_Input[FMS_ID],FMS_Input[ROADCLS])</f>
        <v>21</v>
      </c>
      <c r="AB674" s="255">
        <f>(ASINH(FMS_Ranking4[[#This Row],[Road Closures Raw]]))*(10)/(ASINH(AA$4))</f>
        <v>3.8930297185649643</v>
      </c>
      <c r="AC674" s="256">
        <f>FMS_Ranking4[[#This Row],[Road closures, ArcSinh (0-10)]]*AA$5*10</f>
        <v>1.9465148592824821</v>
      </c>
      <c r="AD674" s="253">
        <f>_xlfn.XLOOKUP(FMS_Ranking4[[#This Row],[FMS ID]],FMS_Input[FMS_ID],FMS_Input[ROAD_MILES100])</f>
        <v>0</v>
      </c>
      <c r="AE674" s="255">
        <f>(ASINH(FMS_Ranking4[[#This Row],[Road Miles Raw]]))*(10)/(ASINH(AD$4))</f>
        <v>0</v>
      </c>
      <c r="AF674" s="256">
        <f>FMS_Ranking4[[#This Row],[Length of roads at risk, ArcSinh (0-10)]]*AD$5*10</f>
        <v>0</v>
      </c>
      <c r="AG674" s="253">
        <f>_xlfn.XLOOKUP(FMS_Ranking4[[#This Row],[FMS ID]],FMS_Input[FMS_ID],FMS_Input[FARMACRE100])</f>
        <v>6.0100002288818359</v>
      </c>
      <c r="AH674" s="255">
        <f>(ASINH(FMS_Ranking4[[#This Row],[Ag Land Raw]]))*(10)/(ASINH(AG$4))</f>
        <v>1.6196810827045973</v>
      </c>
      <c r="AI674" s="260">
        <f>FMS_Ranking4[[#This Row],[Farm &amp; ranch land, ArcSinh (0-10)]]*AG$5*10</f>
        <v>0.80984054135229866</v>
      </c>
      <c r="AJ674" s="258">
        <f>_xlfn.XLOOKUP(FMS_Ranking4[[#This Row],[FMS ID]],FMS_Input[FMS_ID],FMS_Input[REDSTRUCT100])</f>
        <v>0</v>
      </c>
      <c r="AK674" s="253">
        <f>_xlfn.XLOOKUP(FMS_Ranking4[[#This Row],[FMS ID]],FMS_Input[FMS_ID],FMS_Input[REMSTRC100])</f>
        <v>0</v>
      </c>
      <c r="AL674" s="255">
        <f>(ASINH(FMS_Ranking4[[#This Row],[Structures Removed Raw]]))*(10)/(ASINH(AK$4))</f>
        <v>0</v>
      </c>
      <c r="AM674" s="262">
        <f>FMS_Ranking4[[#This Row],[Structures removed, ArcSinh (0-10)]]*AK$5*10</f>
        <v>0</v>
      </c>
      <c r="AN674" s="253">
        <f>_xlfn.XLOOKUP(FMS_Ranking4[[#This Row],[FMS ID]],FMS_Input[FMS_ID],FMS_Input[REMRESSTRC100])</f>
        <v>0</v>
      </c>
      <c r="AO674" s="261">
        <f>FMS_Ranking4[[#This Row],[ArcSinh Res struct removed 0-10]]*AN$5*10</f>
        <v>0</v>
      </c>
      <c r="AP674" s="260">
        <f>ASINH(FMS_Ranking4[[#This Row],[Residential Structures Removed Raw]])/AP$4*AN$5*100</f>
        <v>0</v>
      </c>
      <c r="AQ674" s="258">
        <f>(ASINH(FMS_Ranking4[[#This Row],[Residential Structures Removed Raw]]))*(10)/(ASINH(AN$4))</f>
        <v>0</v>
      </c>
      <c r="AR674" s="253">
        <f>_xlfn.XLOOKUP(FMS_Ranking4[[#This Row],[FMS ID]],FMS_Input[FMS_ID],FMS_Input[REMPOP100])</f>
        <v>0</v>
      </c>
      <c r="AS674" s="255">
        <f>(ASINH(FMS_Ranking4[[#This Row],[Removed Pop Raw]]))*(10)/(ASINH(AR$4))</f>
        <v>0</v>
      </c>
      <c r="AT674" s="262">
        <f>FMS_Ranking4[[#This Row],[Removed population, ArcSinh (0-10)]]*AR$5*10</f>
        <v>0</v>
      </c>
      <c r="AU674" s="264">
        <f>_xlfn.XLOOKUP(FMS_Ranking4[[#This Row],[FMS ID]],FMS_Input[FMS_ID],FMS_Input[REMCRITFAC100])</f>
        <v>0</v>
      </c>
      <c r="AV674" s="264">
        <f>_xlfn.XLOOKUP(FMS_Ranking4[[#This Row],[FMS ID]],FMS_Input[FMS_ID],FMS_Input[REMLWC100])</f>
        <v>0</v>
      </c>
      <c r="AW674" s="264">
        <f>_xlfn.XLOOKUP(FMS_Ranking4[[#This Row],[FMS ID]],FMS_Input[FMS_ID],FMS_Input[REMROADCLS])</f>
        <v>0</v>
      </c>
      <c r="AX674" s="264">
        <f>_xlfn.XLOOKUP(FMS_Ranking4[[#This Row],[FMS ID]],FMS_Input[FMS_ID],FMS_Input[REMFRMACRE100])</f>
        <v>0</v>
      </c>
      <c r="AY674" s="258">
        <f>_xlfn.XLOOKUP(FMS_Ranking4[[#This Row],[FMS ID]],FMS_Input[FMS_ID],FMS_Input[COSTSTRUCT])</f>
        <v>0</v>
      </c>
      <c r="AZ674" s="253">
        <f>_xlfn.XLOOKUP(FMS_Ranking4[[#This Row],[FMS ID]],FMS_Input[FMS_ID],FMS_Input[NATURE])</f>
        <v>0</v>
      </c>
      <c r="BA674" s="262">
        <f>(((FMS_Ranking4[[#This Row],[% NBS Raw]]/AZ$4)*100)*AZ$5)</f>
        <v>0</v>
      </c>
      <c r="BB674" s="251" t="str">
        <f>_xlfn.XLOOKUP(FMS_Ranking4[[#This Row],[FMS ID]],FMS_Input[FMS_ID],FMS_Input[WATER_SUP])</f>
        <v>No</v>
      </c>
      <c r="BC674" s="265">
        <f>IF(FMS_Ranking4[[#This Row],[Water Supply Raw]]="Yes",10,0)</f>
        <v>0</v>
      </c>
      <c r="BD674" s="266">
        <f>_xlfn.XLOOKUP(FMS_Ranking4[[#This Row],[FMS Type]],FMS_TYPE[FMS_Type],FMS_TYPE[Score])</f>
        <v>6</v>
      </c>
      <c r="BE674" s="267">
        <f>FMS_Ranking4[[#This Row],[FMS_Type Score]]*$BD$5*10</f>
        <v>1.5000000000000002</v>
      </c>
      <c r="BF67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1.7317165094278272E-2</v>
      </c>
      <c r="BG674" s="321">
        <f>_xlfn.RANK.EQ(BF674,$BF$8:$BF$870,0)+COUNTIF($BF$8:BF674,BF674)-1</f>
        <v>649</v>
      </c>
      <c r="BH674" s="294">
        <f>(((FMS_Ranking4[[#This Row],[Structures Removed Raw]]/AK$4)*100)*AK$5)+(((FMS_Ranking4[[#This Row],[Removed Pop Raw]]/AR$4)*100)*AR$5)</f>
        <v>0</v>
      </c>
      <c r="BI67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1.5173171650942785</v>
      </c>
      <c r="BJ674" s="251">
        <f>_xlfn.RANK.EQ(FMS_Ranking4[[#This Row],[Total Score 
(with linear
normalization)]],FMS_Ranking4[Total Score 
(with linear
normalization)],0)</f>
        <v>596</v>
      </c>
      <c r="BK674" s="251" t="e">
        <f>_xlfn.XLOOKUP(FMS_Ranking4[[#This Row],[FMS ID]],#REF!,#REF!)</f>
        <v>#REF!</v>
      </c>
      <c r="BL67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9.533279427324727</v>
      </c>
      <c r="BM674" s="324">
        <f>FMS_Ranking4[[#This Row],[ArcSinh Score Based on Normalized Reported Factors]]+FMS_Ranking4[[#This Row],[% NBS Score (Normalized)]]+(FMS_Ranking4[[#This Row],[Water Supply Score (Normalized)]]*10*$BB$5)+FMS_Ranking4[[#This Row],[FMS_Type Score Weighted]]</f>
        <v>11.033279427324727</v>
      </c>
      <c r="BN674" s="251">
        <f>_xlfn.RANK.EQ(FMS_Ranking4[[#This Row],[Total Score (with ArcSinh normalization of select criteria)]],FMS_Ranking4[Total Score (with ArcSinh normalization of select criteria)],0)</f>
        <v>667</v>
      </c>
      <c r="BO674" s="270" t="str">
        <f>_xlfn.XLOOKUP(FMS_Ranking4[[#This Row],[FMS ID]],FMS_Input[FMS_ID],FMS_Input[FMS_RANK_YEAR])</f>
        <v>2023 Amended Plan</v>
      </c>
      <c r="BP674" s="204">
        <f>_xlfn.XLOOKUP(FMS_Ranking4[[#This Row],[FMS ID]],Prev_Rank[FMS ID],Prev_Rank[Prev Rank])</f>
        <v>598</v>
      </c>
      <c r="BQ674" s="251" t="e">
        <f>_xlfn.XLOOKUP(FMS_Ranking4[[#This Row],[FMS ID]],#REF!,#REF!)</f>
        <v>#REF!</v>
      </c>
      <c r="BR674" s="199" t="e">
        <f>SUM(#REF!,#REF!,#REF!,#REF!,#REF!,#REF!,#REF!,#REF!,#REF!,FMS_Ranking4[[#This Row],[ArcSinh Res struct removed 0-10]],#REF!)</f>
        <v>#REF!</v>
      </c>
      <c r="BS674" s="199" t="e">
        <f>FMS_Ranking4[[#This Row],[Log Score Based on Normalized Reported Factors]]+FMS_Ranking4[[#This Row],[% NBS Score (Normalized)]]+(FMS_Ranking4[[#This Row],[Water Supply Score (Normalized)]]*10*$BB$5)+(FMS_Ranking4[[#This Row],[FMS_Type Score Weighted]])</f>
        <v>#REF!</v>
      </c>
      <c r="BT674" s="200" t="e">
        <f>_xlfn.RANK.EQ(FMS_Ranking4[[#This Row],[Log Total Score]],FMS_Ranking4[Log Total Score],0)</f>
        <v>#REF!</v>
      </c>
      <c r="BU674" s="200" t="e">
        <f>_xlfn.XLOOKUP(FMS_Ranking4[[#This Row],[FMS ID]],#REF!,#REF!)</f>
        <v>#REF!</v>
      </c>
      <c r="BV674" s="200">
        <f>FMS_Ranking4[[#This Row],[Region Number]]</f>
        <v>12</v>
      </c>
      <c r="BW674" s="200">
        <f>FMS_Ranking4[[#This Row],[Rank (with ArcSinh normalization of select criteria)]]-FMS_Ranking4[[#This Row],[Rank
(with linear
normalization)]]</f>
        <v>71</v>
      </c>
      <c r="BX674" s="200" t="e">
        <f>FMS_Ranking4[[#This Row],[Log Rank]]-FMS_Ranking4[[#This Row],[Rank
(with linear
normalization)]]</f>
        <v>#REF!</v>
      </c>
      <c r="BY674" s="200" t="str">
        <f>IF(FMS_Ranking4[[#This Row],[FMS Type]]="Flood Measurement and Warning",FMS_Ranking4[[#This Row],[Rank (with ArcSinh normalization of select criteria)]],"")</f>
        <v/>
      </c>
      <c r="BZ674" s="200" t="str">
        <f>IF(FMS_Ranking4[[#This Row],[FMS Type]]="Regulatory and Guidance",FMS_Ranking4[[#This Row],[Rank (with ArcSinh normalization of select criteria)]],"")</f>
        <v/>
      </c>
      <c r="CA674" s="200">
        <f>IF(FMS_Ranking4[[#This Row],[FMS Type]]="Education and Outreach",FMS_Ranking4[[#This Row],[Rank (with ArcSinh normalization of select criteria)]],"")</f>
        <v>667</v>
      </c>
      <c r="CB674" s="200" t="str">
        <f>IF(FMS_Ranking4[[#This Row],[FMS Type]]="Property Acquisition and Structural Elevation",FMS_Ranking4[[#This Row],[Rank (with ArcSinh normalization of select criteria)]],"")</f>
        <v/>
      </c>
      <c r="CC674" s="200" t="str">
        <f>IF(FMS_Ranking4[[#This Row],[FMS Type]]="Infrastructure Projects",FMS_Ranking4[[#This Row],[Rank (with ArcSinh normalization of select criteria)]],"")</f>
        <v/>
      </c>
      <c r="CD674" s="200" t="str">
        <f>IF(FMS_Ranking4[[#This Row],[FMS Type]]="Other",FMS_Ranking4[[#This Row],[Rank (with ArcSinh normalization of select criteria)]],"")</f>
        <v/>
      </c>
      <c r="CE674" s="201"/>
      <c r="CF674" s="206"/>
      <c r="CG674" s="206"/>
      <c r="CH674" s="206"/>
      <c r="CI674" s="206"/>
      <c r="CJ674" s="206"/>
      <c r="CK674" s="206"/>
      <c r="CL674" s="206"/>
      <c r="CM674" s="206"/>
      <c r="CN674" s="206"/>
      <c r="CO674" s="206"/>
      <c r="CP674" s="206"/>
      <c r="CQ674" s="206"/>
      <c r="CR674" s="206"/>
    </row>
    <row r="675" spans="2:96" ht="90" x14ac:dyDescent="0.25">
      <c r="B675" s="341" t="s">
        <v>2726</v>
      </c>
      <c r="C675" s="246">
        <f>_xlfn.XLOOKUP(FMS_Ranking4[[#This Row],[FMS ID]],FMS_Input[FMS_ID],FMS_Input[RFPG_NUM])</f>
        <v>5</v>
      </c>
      <c r="D675" s="309" t="str">
        <f>_xlfn.XLOOKUP(FMS_Ranking4[[#This Row],[FMS ID]],FMS_Input[FMS_ID],FMS_Input[FMS_NAME])</f>
        <v xml:space="preserve">City of Groveton Buyout Program Implementation  </v>
      </c>
      <c r="E675" s="308" t="str">
        <f>_xlfn.XLOOKUP(FMS_Ranking4[[#This Row],[FMS ID]],FMS_Input[FMS_ID],FMS_Input[SPONSOR])</f>
        <v>00003580</v>
      </c>
      <c r="F675" s="309" t="str">
        <f>_xlfn.XLOOKUP(FMS_Ranking4[[#This Row],[FMS ID]],Sponsor[FMS_ID],Sponsor[SPONSOR NAME])</f>
        <v>Groveton</v>
      </c>
      <c r="G675" s="309" t="str">
        <f>_xlfn.XLOOKUP(FMS_Ranking4[[#This Row],[FMS ID]],FMS_Input[FMS_ID],FMS_Input[FMS_DESCR])</f>
        <v>Develop and implement a program to buyout repetitive loss properties and convert to open space, parks, boating access, trails, and/or as a general community asset.</v>
      </c>
      <c r="H675" s="248" t="str">
        <f>_xlfn.XLOOKUP(FMS_Ranking4[[#This Row],[FMS ID]],FMS_Input[FMS_ID],FMS_Input[FMS_TYPE])</f>
        <v>Property Acquisition and Structural Elevation</v>
      </c>
      <c r="I675" s="249">
        <f>_xlfn.XLOOKUP(FMS_Ranking4[[#This Row],[FMS ID]],FMS_Input[FMS_ID],FMS_Input[NRNC_COST])</f>
        <v>25000</v>
      </c>
      <c r="J675" s="250">
        <f>_xlfn.XLOOKUP(FMS_Ranking4[[#This Row],[FMS ID]],FMS_Input[FMS_ID],FMS_Input[FMS_COST])</f>
        <v>100000</v>
      </c>
      <c r="K675" s="251" t="str">
        <f>_xlfn.XLOOKUP(FMS_Ranking4[[#This Row],[FMS ID]],FMS_Input[FMS_ID],FMS_Input[EMER_NEED])</f>
        <v>Yes</v>
      </c>
      <c r="L675" s="252">
        <f t="shared" si="10"/>
        <v>1</v>
      </c>
      <c r="M675" s="253">
        <f>_xlfn.XLOOKUP(FMS_Ranking4[[#This Row],[FMS ID]],FMS_Input[FMS_ID],FMS_Input[STRUCT_100])</f>
        <v>3</v>
      </c>
      <c r="N675" s="255">
        <f>(ASINH(FMS_Ranking4[[#This Row],[Structure at Risk Raw]]))*(10)/(ASINH(M$4))</f>
        <v>1.4295696719071895</v>
      </c>
      <c r="O675" s="256">
        <f>FMS_Ranking4[[#This Row],[Structures at risk, ArcSinh (0-10)]]*M$5*10</f>
        <v>1.4295696719071895</v>
      </c>
      <c r="P675" s="253">
        <f>_xlfn.XLOOKUP(FMS_Ranking4[[#This Row],[FMS ID]],FMS_Input[FMS_ID],FMS_Input[RES_STRUCT100])</f>
        <v>3</v>
      </c>
      <c r="Q675" s="257">
        <f>ASINH(FMS_Ranking4[[#This Row],[Res Structure Raw]])/Q$4*P$5*100</f>
        <v>0</v>
      </c>
      <c r="R675" s="253">
        <f>_xlfn.XLOOKUP(FMS_Ranking4[[#This Row],[FMS ID]],FMS_Input[FMS_ID],FMS_Input[POP100])</f>
        <v>2</v>
      </c>
      <c r="S675" s="255">
        <f>(ASINH(FMS_Ranking4[[#This Row],[Pop at Risk Raw]]))*(10)/(ASINH(R$4))</f>
        <v>0.9966256139867492</v>
      </c>
      <c r="T675" s="256">
        <f>FMS_Ranking4[[#This Row],[Population at risk, ArcSinh (0-10)]]*R$5*10</f>
        <v>0.9966256139867492</v>
      </c>
      <c r="U675" s="253">
        <f>_xlfn.XLOOKUP(FMS_Ranking4[[#This Row],[FMS ID]],FMS_Input[FMS_ID],FMS_Input[CRITFAC100])</f>
        <v>0</v>
      </c>
      <c r="V675" s="255">
        <f>(ASINH(FMS_Ranking4[[#This Row],[Critical Facilities Raw]]))*(10)/(ASINH(U$4))</f>
        <v>0</v>
      </c>
      <c r="W675" s="256">
        <f>FMS_Ranking4[[#This Row],[Critical facilities at risk, ArcSinh (0-10)]]*U$5*10</f>
        <v>0</v>
      </c>
      <c r="X675" s="253">
        <f>_xlfn.XLOOKUP(FMS_Ranking4[[#This Row],[FMS ID]],FMS_Input[FMS_ID],FMS_Input[LWC])</f>
        <v>0</v>
      </c>
      <c r="Y675" s="255">
        <f>(ASINH(FMS_Ranking4[[#This Row],[LWC Raw]]))*(10)/(ASINH(X$4))</f>
        <v>0</v>
      </c>
      <c r="Z675" s="256">
        <f>FMS_Ranking4[[#This Row],[LWC, ArcSInh (0-10)]]*X$5*10</f>
        <v>0</v>
      </c>
      <c r="AA675" s="253">
        <f>_xlfn.XLOOKUP(FMS_Ranking4[[#This Row],[FMS ID]],FMS_Input[FMS_ID],FMS_Input[ROADCLS])</f>
        <v>0</v>
      </c>
      <c r="AB675" s="255">
        <f>(ASINH(FMS_Ranking4[[#This Row],[Road Closures Raw]]))*(10)/(ASINH(AA$4))</f>
        <v>0</v>
      </c>
      <c r="AC675" s="256">
        <f>FMS_Ranking4[[#This Row],[Road closures, ArcSinh (0-10)]]*AA$5*10</f>
        <v>0</v>
      </c>
      <c r="AD675" s="253">
        <f>_xlfn.XLOOKUP(FMS_Ranking4[[#This Row],[FMS ID]],FMS_Input[FMS_ID],FMS_Input[ROAD_MILES100])</f>
        <v>0</v>
      </c>
      <c r="AE675" s="255">
        <f>(ASINH(FMS_Ranking4[[#This Row],[Road Miles Raw]]))*(10)/(ASINH(AD$4))</f>
        <v>0</v>
      </c>
      <c r="AF675" s="256">
        <f>FMS_Ranking4[[#This Row],[Length of roads at risk, ArcSinh (0-10)]]*AD$5*10</f>
        <v>0</v>
      </c>
      <c r="AG675" s="253">
        <f>_xlfn.XLOOKUP(FMS_Ranking4[[#This Row],[FMS ID]],FMS_Input[FMS_ID],FMS_Input[FARMACRE100])</f>
        <v>0</v>
      </c>
      <c r="AH675" s="255">
        <f>(ASINH(FMS_Ranking4[[#This Row],[Ag Land Raw]]))*(10)/(ASINH(AG$4))</f>
        <v>0</v>
      </c>
      <c r="AI675" s="260">
        <f>FMS_Ranking4[[#This Row],[Farm &amp; ranch land, ArcSinh (0-10)]]*AG$5*10</f>
        <v>0</v>
      </c>
      <c r="AJ675" s="258">
        <f>_xlfn.XLOOKUP(FMS_Ranking4[[#This Row],[FMS ID]],FMS_Input[FMS_ID],FMS_Input[REDSTRUCT100])</f>
        <v>0</v>
      </c>
      <c r="AK675" s="253">
        <f>_xlfn.XLOOKUP(FMS_Ranking4[[#This Row],[FMS ID]],FMS_Input[FMS_ID],FMS_Input[REMSTRC100])</f>
        <v>0</v>
      </c>
      <c r="AL675" s="255">
        <f>(ASINH(FMS_Ranking4[[#This Row],[Structures Removed Raw]]))*(10)/(ASINH(AK$4))</f>
        <v>0</v>
      </c>
      <c r="AM675" s="262">
        <f>FMS_Ranking4[[#This Row],[Structures removed, ArcSinh (0-10)]]*AK$5*10</f>
        <v>0</v>
      </c>
      <c r="AN675" s="253">
        <f>_xlfn.XLOOKUP(FMS_Ranking4[[#This Row],[FMS ID]],FMS_Input[FMS_ID],FMS_Input[REMRESSTRC100])</f>
        <v>0</v>
      </c>
      <c r="AO675" s="261">
        <f>FMS_Ranking4[[#This Row],[ArcSinh Res struct removed 0-10]]*AN$5*10</f>
        <v>0</v>
      </c>
      <c r="AP675" s="260">
        <f>ASINH(FMS_Ranking4[[#This Row],[Residential Structures Removed Raw]])/AP$4*AN$5*100</f>
        <v>0</v>
      </c>
      <c r="AQ675" s="258">
        <f>(ASINH(FMS_Ranking4[[#This Row],[Residential Structures Removed Raw]]))*(10)/(ASINH(AN$4))</f>
        <v>0</v>
      </c>
      <c r="AR675" s="253">
        <f>_xlfn.XLOOKUP(FMS_Ranking4[[#This Row],[FMS ID]],FMS_Input[FMS_ID],FMS_Input[REMPOP100])</f>
        <v>0</v>
      </c>
      <c r="AS675" s="255">
        <f>(ASINH(FMS_Ranking4[[#This Row],[Removed Pop Raw]]))*(10)/(ASINH(AR$4))</f>
        <v>0</v>
      </c>
      <c r="AT675" s="262">
        <f>FMS_Ranking4[[#This Row],[Removed population, ArcSinh (0-10)]]*AR$5*10</f>
        <v>0</v>
      </c>
      <c r="AU675" s="264">
        <f>_xlfn.XLOOKUP(FMS_Ranking4[[#This Row],[FMS ID]],FMS_Input[FMS_ID],FMS_Input[REMCRITFAC100])</f>
        <v>0</v>
      </c>
      <c r="AV675" s="264">
        <f>_xlfn.XLOOKUP(FMS_Ranking4[[#This Row],[FMS ID]],FMS_Input[FMS_ID],FMS_Input[REMLWC100])</f>
        <v>0</v>
      </c>
      <c r="AW675" s="264">
        <f>_xlfn.XLOOKUP(FMS_Ranking4[[#This Row],[FMS ID]],FMS_Input[FMS_ID],FMS_Input[REMROADCLS])</f>
        <v>0</v>
      </c>
      <c r="AX675" s="264">
        <f>_xlfn.XLOOKUP(FMS_Ranking4[[#This Row],[FMS ID]],FMS_Input[FMS_ID],FMS_Input[REMFRMACRE100])</f>
        <v>0</v>
      </c>
      <c r="AY675" s="258">
        <f>_xlfn.XLOOKUP(FMS_Ranking4[[#This Row],[FMS ID]],FMS_Input[FMS_ID],FMS_Input[COSTSTRUCT])</f>
        <v>0</v>
      </c>
      <c r="AZ675" s="253">
        <f>_xlfn.XLOOKUP(FMS_Ranking4[[#This Row],[FMS ID]],FMS_Input[FMS_ID],FMS_Input[NATURE])</f>
        <v>100</v>
      </c>
      <c r="BA675" s="262">
        <f>(((FMS_Ranking4[[#This Row],[% NBS Raw]]/AZ$4)*100)*AZ$5)</f>
        <v>7.5</v>
      </c>
      <c r="BB675" s="251" t="str">
        <f>_xlfn.XLOOKUP(FMS_Ranking4[[#This Row],[FMS ID]],FMS_Input[FMS_ID],FMS_Input[WATER_SUP])</f>
        <v>No</v>
      </c>
      <c r="BC675" s="265">
        <f>IF(FMS_Ranking4[[#This Row],[Water Supply Raw]]="Yes",10,0)</f>
        <v>0</v>
      </c>
      <c r="BD675" s="266">
        <f>_xlfn.XLOOKUP(FMS_Ranking4[[#This Row],[FMS Type]],FMS_TYPE[FMS_Type],FMS_TYPE[Score])</f>
        <v>4</v>
      </c>
      <c r="BE675" s="267">
        <f>FMS_Ranking4[[#This Row],[FMS_Type Score]]*$BD$5*10</f>
        <v>1</v>
      </c>
      <c r="BF67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1.9987410049298904E-4</v>
      </c>
      <c r="BG675" s="321">
        <f>_xlfn.RANK.EQ(BF675,$BF$8:$BF$870,0)+COUNTIF($BF$8:BF675,BF675)-1</f>
        <v>774</v>
      </c>
      <c r="BH675" s="294">
        <f>(((FMS_Ranking4[[#This Row],[Structures Removed Raw]]/AK$4)*100)*AK$5)+(((FMS_Ranking4[[#This Row],[Removed Pop Raw]]/AR$4)*100)*AR$5)</f>
        <v>0</v>
      </c>
      <c r="BI67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8.5001998741004918</v>
      </c>
      <c r="BJ675" s="251">
        <f>_xlfn.RANK.EQ(FMS_Ranking4[[#This Row],[Total Score 
(with linear
normalization)]],FMS_Ranking4[Total Score 
(with linear
normalization)],0)</f>
        <v>82</v>
      </c>
      <c r="BK675" s="251" t="e">
        <f>_xlfn.XLOOKUP(FMS_Ranking4[[#This Row],[FMS ID]],#REF!,#REF!)</f>
        <v>#REF!</v>
      </c>
      <c r="BL67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2.4261952858939386</v>
      </c>
      <c r="BM675" s="324">
        <f>FMS_Ranking4[[#This Row],[ArcSinh Score Based on Normalized Reported Factors]]+FMS_Ranking4[[#This Row],[% NBS Score (Normalized)]]+(FMS_Ranking4[[#This Row],[Water Supply Score (Normalized)]]*10*$BB$5)+FMS_Ranking4[[#This Row],[FMS_Type Score Weighted]]</f>
        <v>10.92619528589394</v>
      </c>
      <c r="BN675" s="251">
        <f>_xlfn.RANK.EQ(FMS_Ranking4[[#This Row],[Total Score (with ArcSinh normalization of select criteria)]],FMS_Ranking4[Total Score (with ArcSinh normalization of select criteria)],0)</f>
        <v>668</v>
      </c>
      <c r="BO675" s="270" t="str">
        <f>_xlfn.XLOOKUP(FMS_Ranking4[[#This Row],[FMS ID]],FMS_Input[FMS_ID],FMS_Input[FMS_RANK_YEAR])</f>
        <v>2023 Amended Plan</v>
      </c>
      <c r="BP675" s="204">
        <f>_xlfn.XLOOKUP(FMS_Ranking4[[#This Row],[FMS ID]],Prev_Rank[FMS ID],Prev_Rank[Prev Rank])</f>
        <v>600</v>
      </c>
      <c r="BQ675" s="251" t="e">
        <f>_xlfn.XLOOKUP(FMS_Ranking4[[#This Row],[FMS ID]],#REF!,#REF!)</f>
        <v>#REF!</v>
      </c>
      <c r="BR675" s="199" t="e">
        <f>SUM(#REF!,#REF!,#REF!,#REF!,#REF!,#REF!,#REF!,#REF!,#REF!,FMS_Ranking4[[#This Row],[ArcSinh Res struct removed 0-10]],#REF!)</f>
        <v>#REF!</v>
      </c>
      <c r="BS675" s="199" t="e">
        <f>FMS_Ranking4[[#This Row],[Log Score Based on Normalized Reported Factors]]+FMS_Ranking4[[#This Row],[% NBS Score (Normalized)]]+(FMS_Ranking4[[#This Row],[Water Supply Score (Normalized)]]*10*$BB$5)+(FMS_Ranking4[[#This Row],[FMS_Type Score Weighted]])</f>
        <v>#REF!</v>
      </c>
      <c r="BT675" s="200" t="e">
        <f>_xlfn.RANK.EQ(FMS_Ranking4[[#This Row],[Log Total Score]],FMS_Ranking4[Log Total Score],0)</f>
        <v>#REF!</v>
      </c>
      <c r="BU675" s="200" t="e">
        <f>_xlfn.XLOOKUP(FMS_Ranking4[[#This Row],[FMS ID]],#REF!,#REF!)</f>
        <v>#REF!</v>
      </c>
      <c r="BV675" s="200">
        <f>FMS_Ranking4[[#This Row],[Region Number]]</f>
        <v>5</v>
      </c>
      <c r="BW675" s="200">
        <f>FMS_Ranking4[[#This Row],[Rank (with ArcSinh normalization of select criteria)]]-FMS_Ranking4[[#This Row],[Rank
(with linear
normalization)]]</f>
        <v>586</v>
      </c>
      <c r="BX675" s="200" t="e">
        <f>FMS_Ranking4[[#This Row],[Log Rank]]-FMS_Ranking4[[#This Row],[Rank
(with linear
normalization)]]</f>
        <v>#REF!</v>
      </c>
      <c r="BY675" s="200" t="str">
        <f>IF(FMS_Ranking4[[#This Row],[FMS Type]]="Flood Measurement and Warning",FMS_Ranking4[[#This Row],[Rank (with ArcSinh normalization of select criteria)]],"")</f>
        <v/>
      </c>
      <c r="BZ675" s="200" t="str">
        <f>IF(FMS_Ranking4[[#This Row],[FMS Type]]="Regulatory and Guidance",FMS_Ranking4[[#This Row],[Rank (with ArcSinh normalization of select criteria)]],"")</f>
        <v/>
      </c>
      <c r="CA675" s="200" t="str">
        <f>IF(FMS_Ranking4[[#This Row],[FMS Type]]="Education and Outreach",FMS_Ranking4[[#This Row],[Rank (with ArcSinh normalization of select criteria)]],"")</f>
        <v/>
      </c>
      <c r="CB675" s="200">
        <f>IF(FMS_Ranking4[[#This Row],[FMS Type]]="Property Acquisition and Structural Elevation",FMS_Ranking4[[#This Row],[Rank (with ArcSinh normalization of select criteria)]],"")</f>
        <v>668</v>
      </c>
      <c r="CC675" s="200" t="str">
        <f>IF(FMS_Ranking4[[#This Row],[FMS Type]]="Infrastructure Projects",FMS_Ranking4[[#This Row],[Rank (with ArcSinh normalization of select criteria)]],"")</f>
        <v/>
      </c>
      <c r="CD675" s="200" t="str">
        <f>IF(FMS_Ranking4[[#This Row],[FMS Type]]="Other",FMS_Ranking4[[#This Row],[Rank (with ArcSinh normalization of select criteria)]],"")</f>
        <v/>
      </c>
      <c r="CE675" s="201"/>
      <c r="CF675" s="206"/>
      <c r="CG675" s="206"/>
      <c r="CH675" s="206"/>
      <c r="CI675" s="206"/>
      <c r="CJ675" s="206"/>
      <c r="CK675" s="206"/>
      <c r="CL675" s="206"/>
      <c r="CM675" s="206"/>
      <c r="CN675" s="206"/>
      <c r="CO675" s="206"/>
      <c r="CP675" s="206"/>
      <c r="CQ675" s="206"/>
      <c r="CR675" s="206"/>
    </row>
    <row r="676" spans="2:96" ht="60" x14ac:dyDescent="0.25">
      <c r="B676" s="341" t="s">
        <v>3632</v>
      </c>
      <c r="C676" s="246">
        <f>_xlfn.XLOOKUP(FMS_Ranking4[[#This Row],[FMS ID]],FMS_Input[FMS_ID],FMS_Input[RFPG_NUM])</f>
        <v>13</v>
      </c>
      <c r="D676" s="309" t="str">
        <f>_xlfn.XLOOKUP(FMS_Ranking4[[#This Row],[FMS ID]],FMS_Input[FMS_ID],FMS_Input[FMS_NAME])</f>
        <v>Atascosa McMullen Hazard Mitigation Plan - City of Jourdanton Action #4</v>
      </c>
      <c r="E676" s="308" t="str">
        <f>_xlfn.XLOOKUP(FMS_Ranking4[[#This Row],[FMS ID]],FMS_Input[FMS_ID],FMS_Input[SPONSOR])</f>
        <v>13003116</v>
      </c>
      <c r="F676" s="309" t="str">
        <f>_xlfn.XLOOKUP(FMS_Ranking4[[#This Row],[FMS ID]],Sponsor[FMS_ID],Sponsor[SPONSOR NAME])</f>
        <v>Jourdanton</v>
      </c>
      <c r="G676" s="309" t="str">
        <f>_xlfn.XLOOKUP(FMS_Ranking4[[#This Row],[FMS ID]],FMS_Input[FMS_ID],FMS_Input[FMS_DESCR])</f>
        <v>Maintain Storm Drainage System</v>
      </c>
      <c r="H676" s="248" t="str">
        <f>_xlfn.XLOOKUP(FMS_Ranking4[[#This Row],[FMS ID]],FMS_Input[FMS_ID],FMS_Input[FMS_TYPE])</f>
        <v>Infrastructure Projects</v>
      </c>
      <c r="I676" s="249">
        <f>_xlfn.XLOOKUP(FMS_Ranking4[[#This Row],[FMS ID]],FMS_Input[FMS_ID],FMS_Input[NRNC_COST])</f>
        <v>40000</v>
      </c>
      <c r="J676" s="250">
        <f>_xlfn.XLOOKUP(FMS_Ranking4[[#This Row],[FMS ID]],FMS_Input[FMS_ID],FMS_Input[FMS_COST])</f>
        <v>40000</v>
      </c>
      <c r="K676" s="251" t="str">
        <f>_xlfn.XLOOKUP(FMS_Ranking4[[#This Row],[FMS ID]],FMS_Input[FMS_ID],FMS_Input[EMER_NEED])</f>
        <v>Yes</v>
      </c>
      <c r="L676" s="252">
        <f t="shared" si="10"/>
        <v>1</v>
      </c>
      <c r="M676" s="253">
        <f>_xlfn.XLOOKUP(FMS_Ranking4[[#This Row],[FMS ID]],FMS_Input[FMS_ID],FMS_Input[STRUCT_100])</f>
        <v>18</v>
      </c>
      <c r="N676" s="255">
        <f>(ASINH(FMS_Ranking4[[#This Row],[Structure at Risk Raw]]))*(10)/(ASINH(M$4))</f>
        <v>2.8177853439774103</v>
      </c>
      <c r="O676" s="256">
        <f>FMS_Ranking4[[#This Row],[Structures at risk, ArcSinh (0-10)]]*M$5*10</f>
        <v>2.8177853439774103</v>
      </c>
      <c r="P676" s="253">
        <f>_xlfn.XLOOKUP(FMS_Ranking4[[#This Row],[FMS ID]],FMS_Input[FMS_ID],FMS_Input[RES_STRUCT100])</f>
        <v>11</v>
      </c>
      <c r="Q676" s="257">
        <f>ASINH(FMS_Ranking4[[#This Row],[Res Structure Raw]])/Q$4*P$5*100</f>
        <v>0</v>
      </c>
      <c r="R676" s="253">
        <f>_xlfn.XLOOKUP(FMS_Ranking4[[#This Row],[FMS ID]],FMS_Input[FMS_ID],FMS_Input[POP100])</f>
        <v>113</v>
      </c>
      <c r="S676" s="259">
        <f>(ASINH(FMS_Ranking4[[#This Row],[Pop at Risk Raw]]))*(10)/(ASINH(R$4))</f>
        <v>3.7421243982282699</v>
      </c>
      <c r="T676" s="256">
        <f>FMS_Ranking4[[#This Row],[Population at risk, ArcSinh (0-10)]]*R$5*10</f>
        <v>3.7421243982282704</v>
      </c>
      <c r="U676" s="253">
        <f>_xlfn.XLOOKUP(FMS_Ranking4[[#This Row],[FMS ID]],FMS_Input[FMS_ID],FMS_Input[CRITFAC100])</f>
        <v>0</v>
      </c>
      <c r="V676" s="259">
        <f>(ASINH(FMS_Ranking4[[#This Row],[Critical Facilities Raw]]))*(10)/(ASINH(U$4))</f>
        <v>0</v>
      </c>
      <c r="W676" s="256">
        <f>FMS_Ranking4[[#This Row],[Critical facilities at risk, ArcSinh (0-10)]]*U$5*10</f>
        <v>0</v>
      </c>
      <c r="X676" s="253">
        <f>_xlfn.XLOOKUP(FMS_Ranking4[[#This Row],[FMS ID]],FMS_Input[FMS_ID],FMS_Input[LWC])</f>
        <v>0</v>
      </c>
      <c r="Y676" s="259">
        <f>(ASINH(FMS_Ranking4[[#This Row],[LWC Raw]]))*(10)/(ASINH(X$4))</f>
        <v>0</v>
      </c>
      <c r="Z676" s="256">
        <f>FMS_Ranking4[[#This Row],[LWC, ArcSInh (0-10)]]*X$5*10</f>
        <v>0</v>
      </c>
      <c r="AA676" s="253">
        <f>_xlfn.XLOOKUP(FMS_Ranking4[[#This Row],[FMS ID]],FMS_Input[FMS_ID],FMS_Input[ROADCLS])</f>
        <v>25</v>
      </c>
      <c r="AB676" s="255">
        <f>(ASINH(FMS_Ranking4[[#This Row],[Road Closures Raw]]))*(10)/(ASINH(AA$4))</f>
        <v>4.0744292160615396</v>
      </c>
      <c r="AC676" s="256">
        <f>FMS_Ranking4[[#This Row],[Road closures, ArcSinh (0-10)]]*AA$5*10</f>
        <v>2.0372146080307698</v>
      </c>
      <c r="AD676" s="253">
        <f>_xlfn.XLOOKUP(FMS_Ranking4[[#This Row],[FMS ID]],FMS_Input[FMS_ID],FMS_Input[ROAD_MILES100])</f>
        <v>1</v>
      </c>
      <c r="AE676" s="259">
        <f>(ASINH(FMS_Ranking4[[#This Row],[Road Miles Raw]]))*(10)/(ASINH(AD$4))</f>
        <v>0.9393017565219649</v>
      </c>
      <c r="AF676" s="256">
        <f>FMS_Ranking4[[#This Row],[Length of roads at risk, ArcSinh (0-10)]]*AD$5*10</f>
        <v>0.93930175652196501</v>
      </c>
      <c r="AG676" s="253">
        <f>_xlfn.XLOOKUP(FMS_Ranking4[[#This Row],[FMS ID]],FMS_Input[FMS_ID],FMS_Input[FARMACRE100])</f>
        <v>1.337621808052063</v>
      </c>
      <c r="AH676" s="255">
        <f>(ASINH(FMS_Ranking4[[#This Row],[Ag Land Raw]]))*(10)/(ASINH(AG$4))</f>
        <v>0.71530789431197184</v>
      </c>
      <c r="AI676" s="260">
        <f>FMS_Ranking4[[#This Row],[Farm &amp; ranch land, ArcSinh (0-10)]]*AG$5*10</f>
        <v>0.35765394715598592</v>
      </c>
      <c r="AJ676" s="258">
        <f>_xlfn.XLOOKUP(FMS_Ranking4[[#This Row],[FMS ID]],FMS_Input[FMS_ID],FMS_Input[REDSTRUCT100])</f>
        <v>0</v>
      </c>
      <c r="AK676" s="253">
        <f>_xlfn.XLOOKUP(FMS_Ranking4[[#This Row],[FMS ID]],FMS_Input[FMS_ID],FMS_Input[REMSTRC100])</f>
        <v>0</v>
      </c>
      <c r="AL676" s="259">
        <f>(ASINH(FMS_Ranking4[[#This Row],[Structures Removed Raw]]))*(10)/(ASINH(AK$4))</f>
        <v>0</v>
      </c>
      <c r="AM676" s="262">
        <f>FMS_Ranking4[[#This Row],[Structures removed, ArcSinh (0-10)]]*AK$5*10</f>
        <v>0</v>
      </c>
      <c r="AN676" s="253">
        <f>_xlfn.XLOOKUP(FMS_Ranking4[[#This Row],[FMS ID]],FMS_Input[FMS_ID],FMS_Input[REMRESSTRC100])</f>
        <v>0</v>
      </c>
      <c r="AO676" s="261">
        <f>FMS_Ranking4[[#This Row],[ArcSinh Res struct removed 0-10]]*AN$5*10</f>
        <v>0</v>
      </c>
      <c r="AP676" s="260">
        <f>ASINH(FMS_Ranking4[[#This Row],[Residential Structures Removed Raw]])/AP$4*AN$5*100</f>
        <v>0</v>
      </c>
      <c r="AQ676" s="254">
        <f>(ASINH(FMS_Ranking4[[#This Row],[Residential Structures Removed Raw]]))*(10)/(ASINH(AN$4))</f>
        <v>0</v>
      </c>
      <c r="AR676" s="253">
        <f>_xlfn.XLOOKUP(FMS_Ranking4[[#This Row],[FMS ID]],FMS_Input[FMS_ID],FMS_Input[REMPOP100])</f>
        <v>0</v>
      </c>
      <c r="AS676" s="259">
        <f>(ASINH(FMS_Ranking4[[#This Row],[Removed Pop Raw]]))*(10)/(ASINH(AR$4))</f>
        <v>0</v>
      </c>
      <c r="AT676" s="262">
        <f>FMS_Ranking4[[#This Row],[Removed population, ArcSinh (0-10)]]*AR$5*10</f>
        <v>0</v>
      </c>
      <c r="AU676" s="264">
        <f>_xlfn.XLOOKUP(FMS_Ranking4[[#This Row],[FMS ID]],FMS_Input[FMS_ID],FMS_Input[REMCRITFAC100])</f>
        <v>0</v>
      </c>
      <c r="AV676" s="264">
        <f>_xlfn.XLOOKUP(FMS_Ranking4[[#This Row],[FMS ID]],FMS_Input[FMS_ID],FMS_Input[REMLWC100])</f>
        <v>0</v>
      </c>
      <c r="AW676" s="264">
        <f>_xlfn.XLOOKUP(FMS_Ranking4[[#This Row],[FMS ID]],FMS_Input[FMS_ID],FMS_Input[REMROADCLS])</f>
        <v>0</v>
      </c>
      <c r="AX676" s="264">
        <f>_xlfn.XLOOKUP(FMS_Ranking4[[#This Row],[FMS ID]],FMS_Input[FMS_ID],FMS_Input[REMFRMACRE100])</f>
        <v>0</v>
      </c>
      <c r="AY676" s="258">
        <f>_xlfn.XLOOKUP(FMS_Ranking4[[#This Row],[FMS ID]],FMS_Input[FMS_ID],FMS_Input[COSTSTRUCT])</f>
        <v>0</v>
      </c>
      <c r="AZ676" s="253">
        <f>_xlfn.XLOOKUP(FMS_Ranking4[[#This Row],[FMS ID]],FMS_Input[FMS_ID],FMS_Input[NATURE])</f>
        <v>0</v>
      </c>
      <c r="BA676" s="262">
        <f>(((FMS_Ranking4[[#This Row],[% NBS Raw]]/AZ$4)*100)*AZ$5)</f>
        <v>0</v>
      </c>
      <c r="BB676" s="251" t="str">
        <f>_xlfn.XLOOKUP(FMS_Ranking4[[#This Row],[FMS ID]],FMS_Input[FMS_ID],FMS_Input[WATER_SUP])</f>
        <v>No</v>
      </c>
      <c r="BC676" s="265">
        <f>IF(FMS_Ranking4[[#This Row],[Water Supply Raw]]="Yes",10,0)</f>
        <v>0</v>
      </c>
      <c r="BD676" s="266">
        <f>_xlfn.XLOOKUP(FMS_Ranking4[[#This Row],[FMS Type]],FMS_TYPE[FMS_Type],FMS_TYPE[Score])</f>
        <v>4</v>
      </c>
      <c r="BE676" s="267">
        <f>FMS_Ranking4[[#This Row],[FMS_Type Score]]*$BD$5*10</f>
        <v>1</v>
      </c>
      <c r="BF67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2.0810200873097973E-2</v>
      </c>
      <c r="BG676" s="271">
        <f>_xlfn.RANK.EQ(BF676,$BF$8:$BF$870,0)+COUNTIF($BF$8:BF676,BF676)-1</f>
        <v>629</v>
      </c>
      <c r="BH676" s="268">
        <f>(((FMS_Ranking4[[#This Row],[Structures Removed Raw]]/AK$4)*100)*AK$5)+(((FMS_Ranking4[[#This Row],[Removed Pop Raw]]/AR$4)*100)*AR$5)</f>
        <v>0</v>
      </c>
      <c r="BI67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1.0208102008730979</v>
      </c>
      <c r="BJ676" s="205">
        <f>_xlfn.RANK.EQ(FMS_Ranking4[[#This Row],[Total Score 
(with linear
normalization)]],FMS_Ranking4[Total Score 
(with linear
normalization)],0)</f>
        <v>718</v>
      </c>
      <c r="BK676" s="205" t="e">
        <f>_xlfn.XLOOKUP(FMS_Ranking4[[#This Row],[FMS ID]],#REF!,#REF!)</f>
        <v>#REF!</v>
      </c>
      <c r="BL67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9.8940800539144025</v>
      </c>
      <c r="BM676" s="272">
        <f>FMS_Ranking4[[#This Row],[ArcSinh Score Based on Normalized Reported Factors]]+FMS_Ranking4[[#This Row],[% NBS Score (Normalized)]]+(FMS_Ranking4[[#This Row],[Water Supply Score (Normalized)]]*10*$BB$5)+FMS_Ranking4[[#This Row],[FMS_Type Score Weighted]]</f>
        <v>10.894080053914402</v>
      </c>
      <c r="BN676" s="205">
        <f>_xlfn.RANK.EQ(FMS_Ranking4[[#This Row],[Total Score (with ArcSinh normalization of select criteria)]],FMS_Ranking4[Total Score (with ArcSinh normalization of select criteria)],0)</f>
        <v>669</v>
      </c>
      <c r="BO676" s="270" t="str">
        <f>_xlfn.XLOOKUP(FMS_Ranking4[[#This Row],[FMS ID]],FMS_Input[FMS_ID],FMS_Input[FMS_RANK_YEAR])</f>
        <v>2023 Amended Plan</v>
      </c>
      <c r="BP676" s="204">
        <f>_xlfn.XLOOKUP(FMS_Ranking4[[#This Row],[FMS ID]],Prev_Rank[FMS ID],Prev_Rank[Prev Rank])</f>
        <v>599</v>
      </c>
      <c r="BQ676" s="205" t="e">
        <f>_xlfn.XLOOKUP(FMS_Ranking4[[#This Row],[FMS ID]],#REF!,#REF!)</f>
        <v>#REF!</v>
      </c>
      <c r="BR676" s="199" t="e">
        <f>SUM(#REF!,#REF!,#REF!,#REF!,#REF!,#REF!,#REF!,#REF!,#REF!,FMS_Ranking4[[#This Row],[ArcSinh Res struct removed 0-10]],#REF!)</f>
        <v>#REF!</v>
      </c>
      <c r="BS676" s="199" t="e">
        <f>FMS_Ranking4[[#This Row],[Log Score Based on Normalized Reported Factors]]+FMS_Ranking4[[#This Row],[% NBS Score (Normalized)]]+(FMS_Ranking4[[#This Row],[Water Supply Score (Normalized)]]*10*$BB$5)+(FMS_Ranking4[[#This Row],[FMS_Type Score Weighted]])</f>
        <v>#REF!</v>
      </c>
      <c r="BT676" s="200" t="e">
        <f>_xlfn.RANK.EQ(FMS_Ranking4[[#This Row],[Log Total Score]],FMS_Ranking4[Log Total Score],0)</f>
        <v>#REF!</v>
      </c>
      <c r="BU676" s="200" t="e">
        <f>_xlfn.XLOOKUP(FMS_Ranking4[[#This Row],[FMS ID]],#REF!,#REF!)</f>
        <v>#REF!</v>
      </c>
      <c r="BV676" s="200">
        <f>FMS_Ranking4[[#This Row],[Region Number]]</f>
        <v>13</v>
      </c>
      <c r="BW676" s="200">
        <f>FMS_Ranking4[[#This Row],[Rank (with ArcSinh normalization of select criteria)]]-FMS_Ranking4[[#This Row],[Rank
(with linear
normalization)]]</f>
        <v>-49</v>
      </c>
      <c r="BX676" s="200" t="e">
        <f>FMS_Ranking4[[#This Row],[Log Rank]]-FMS_Ranking4[[#This Row],[Rank
(with linear
normalization)]]</f>
        <v>#REF!</v>
      </c>
      <c r="BY676" s="200" t="str">
        <f>IF(FMS_Ranking4[[#This Row],[FMS Type]]="Flood Measurement and Warning",FMS_Ranking4[[#This Row],[Rank (with ArcSinh normalization of select criteria)]],"")</f>
        <v/>
      </c>
      <c r="BZ676" s="200" t="str">
        <f>IF(FMS_Ranking4[[#This Row],[FMS Type]]="Regulatory and Guidance",FMS_Ranking4[[#This Row],[Rank (with ArcSinh normalization of select criteria)]],"")</f>
        <v/>
      </c>
      <c r="CA676" s="200" t="str">
        <f>IF(FMS_Ranking4[[#This Row],[FMS Type]]="Education and Outreach",FMS_Ranking4[[#This Row],[Rank (with ArcSinh normalization of select criteria)]],"")</f>
        <v/>
      </c>
      <c r="CB676" s="200" t="str">
        <f>IF(FMS_Ranking4[[#This Row],[FMS Type]]="Property Acquisition and Structural Elevation",FMS_Ranking4[[#This Row],[Rank (with ArcSinh normalization of select criteria)]],"")</f>
        <v/>
      </c>
      <c r="CC676" s="200">
        <f>IF(FMS_Ranking4[[#This Row],[FMS Type]]="Infrastructure Projects",FMS_Ranking4[[#This Row],[Rank (with ArcSinh normalization of select criteria)]],"")</f>
        <v>669</v>
      </c>
      <c r="CD676" s="200" t="str">
        <f>IF(FMS_Ranking4[[#This Row],[FMS Type]]="Other",FMS_Ranking4[[#This Row],[Rank (with ArcSinh normalization of select criteria)]],"")</f>
        <v/>
      </c>
      <c r="CE676" s="201"/>
      <c r="CF676" s="206"/>
      <c r="CG676" s="206"/>
      <c r="CH676" s="206"/>
      <c r="CI676" s="206"/>
      <c r="CJ676" s="206"/>
      <c r="CK676" s="206"/>
      <c r="CL676" s="206"/>
      <c r="CM676" s="206"/>
      <c r="CN676" s="206"/>
      <c r="CO676" s="206"/>
      <c r="CP676" s="206"/>
      <c r="CQ676" s="206"/>
      <c r="CR676" s="206"/>
    </row>
    <row r="677" spans="2:96" ht="30" x14ac:dyDescent="0.25">
      <c r="B677" s="341" t="s">
        <v>456</v>
      </c>
      <c r="C677" s="246">
        <f>_xlfn.XLOOKUP(FMS_Ranking4[[#This Row],[FMS ID]],FMS_Input[FMS_ID],FMS_Input[RFPG_NUM])</f>
        <v>9</v>
      </c>
      <c r="D677" s="309" t="str">
        <f>_xlfn.XLOOKUP(FMS_Ranking4[[#This Row],[FMS ID]],FMS_Input[FMS_ID],FMS_Input[FMS_NAME])</f>
        <v>Town of Loraine NFIP Application</v>
      </c>
      <c r="E677" s="308" t="str">
        <f>_xlfn.XLOOKUP(FMS_Ranking4[[#This Row],[FMS ID]],FMS_Input[FMS_ID],FMS_Input[SPONSOR])</f>
        <v>00000172</v>
      </c>
      <c r="F677" s="309" t="str">
        <f>_xlfn.XLOOKUP(FMS_Ranking4[[#This Row],[FMS ID]],Sponsor[FMS_ID],Sponsor[SPONSOR NAME])</f>
        <v>Mitchell</v>
      </c>
      <c r="G677" s="309" t="str">
        <f>_xlfn.XLOOKUP(FMS_Ranking4[[#This Row],[FMS ID]],FMS_Input[FMS_ID],FMS_Input[FMS_DESCR])</f>
        <v>Join the NFIP.</v>
      </c>
      <c r="H677" s="248" t="str">
        <f>_xlfn.XLOOKUP(FMS_Ranking4[[#This Row],[FMS ID]],FMS_Input[FMS_ID],FMS_Input[FMS_TYPE])</f>
        <v>Other</v>
      </c>
      <c r="I677" s="249">
        <f>_xlfn.XLOOKUP(FMS_Ranking4[[#This Row],[FMS ID]],FMS_Input[FMS_ID],FMS_Input[NRNC_COST])</f>
        <v>5000</v>
      </c>
      <c r="J677" s="250">
        <f>_xlfn.XLOOKUP(FMS_Ranking4[[#This Row],[FMS ID]],FMS_Input[FMS_ID],FMS_Input[FMS_COST])</f>
        <v>30000</v>
      </c>
      <c r="K677" s="251" t="str">
        <f>_xlfn.XLOOKUP(FMS_Ranking4[[#This Row],[FMS ID]],FMS_Input[FMS_ID],FMS_Input[EMER_NEED])</f>
        <v>No</v>
      </c>
      <c r="L677" s="252">
        <f t="shared" si="10"/>
        <v>0</v>
      </c>
      <c r="M677" s="253">
        <f>_xlfn.XLOOKUP(FMS_Ranking4[[#This Row],[FMS ID]],FMS_Input[FMS_ID],FMS_Input[STRUCT_100])</f>
        <v>9</v>
      </c>
      <c r="N677" s="255">
        <f>(ASINH(FMS_Ranking4[[#This Row],[Structure at Risk Raw]]))*(10)/(ASINH(M$4))</f>
        <v>2.2746777880562381</v>
      </c>
      <c r="O677" s="256">
        <f>FMS_Ranking4[[#This Row],[Structures at risk, ArcSinh (0-10)]]*M$5*10</f>
        <v>2.2746777880562381</v>
      </c>
      <c r="P677" s="253">
        <f>_xlfn.XLOOKUP(FMS_Ranking4[[#This Row],[FMS ID]],FMS_Input[FMS_ID],FMS_Input[RES_STRUCT100])</f>
        <v>7</v>
      </c>
      <c r="Q677" s="257">
        <f>ASINH(FMS_Ranking4[[#This Row],[Res Structure Raw]])/Q$4*P$5*100</f>
        <v>0</v>
      </c>
      <c r="R677" s="253">
        <f>_xlfn.XLOOKUP(FMS_Ranking4[[#This Row],[FMS ID]],FMS_Input[FMS_ID],FMS_Input[POP100])</f>
        <v>6</v>
      </c>
      <c r="S677" s="259">
        <f>(ASINH(FMS_Ranking4[[#This Row],[Pop at Risk Raw]]))*(10)/(ASINH(R$4))</f>
        <v>1.7202206985488866</v>
      </c>
      <c r="T677" s="256">
        <f>FMS_Ranking4[[#This Row],[Population at risk, ArcSinh (0-10)]]*R$5*10</f>
        <v>1.7202206985488866</v>
      </c>
      <c r="U677" s="253">
        <f>_xlfn.XLOOKUP(FMS_Ranking4[[#This Row],[FMS ID]],FMS_Input[FMS_ID],FMS_Input[CRITFAC100])</f>
        <v>0</v>
      </c>
      <c r="V677" s="259">
        <f>(ASINH(FMS_Ranking4[[#This Row],[Critical Facilities Raw]]))*(10)/(ASINH(U$4))</f>
        <v>0</v>
      </c>
      <c r="W677" s="256">
        <f>FMS_Ranking4[[#This Row],[Critical facilities at risk, ArcSinh (0-10)]]*U$5*10</f>
        <v>0</v>
      </c>
      <c r="X677" s="253">
        <f>_xlfn.XLOOKUP(FMS_Ranking4[[#This Row],[FMS ID]],FMS_Input[FMS_ID],FMS_Input[LWC])</f>
        <v>0</v>
      </c>
      <c r="Y677" s="259">
        <f>(ASINH(FMS_Ranking4[[#This Row],[LWC Raw]]))*(10)/(ASINH(X$4))</f>
        <v>0</v>
      </c>
      <c r="Z677" s="256">
        <f>FMS_Ranking4[[#This Row],[LWC, ArcSInh (0-10)]]*X$5*10</f>
        <v>0</v>
      </c>
      <c r="AA677" s="253">
        <f>_xlfn.XLOOKUP(FMS_Ranking4[[#This Row],[FMS ID]],FMS_Input[FMS_ID],FMS_Input[ROADCLS])</f>
        <v>0</v>
      </c>
      <c r="AB677" s="255">
        <f>(ASINH(FMS_Ranking4[[#This Row],[Road Closures Raw]]))*(10)/(ASINH(AA$4))</f>
        <v>0</v>
      </c>
      <c r="AC677" s="256">
        <f>FMS_Ranking4[[#This Row],[Road closures, ArcSinh (0-10)]]*AA$5*10</f>
        <v>0</v>
      </c>
      <c r="AD677" s="253">
        <f>_xlfn.XLOOKUP(FMS_Ranking4[[#This Row],[FMS ID]],FMS_Input[FMS_ID],FMS_Input[ROAD_MILES100])</f>
        <v>5</v>
      </c>
      <c r="AE677" s="259">
        <f>(ASINH(FMS_Ranking4[[#This Row],[Road Miles Raw]]))*(10)/(ASINH(AD$4))</f>
        <v>2.4644230639487872</v>
      </c>
      <c r="AF677" s="256">
        <f>FMS_Ranking4[[#This Row],[Length of roads at risk, ArcSinh (0-10)]]*AD$5*10</f>
        <v>2.4644230639487876</v>
      </c>
      <c r="AG677" s="253">
        <f>_xlfn.XLOOKUP(FMS_Ranking4[[#This Row],[FMS ID]],FMS_Input[FMS_ID],FMS_Input[FARMACRE100])</f>
        <v>1.2150158882141111</v>
      </c>
      <c r="AH677" s="255">
        <f>(ASINH(FMS_Ranking4[[#This Row],[Ag Land Raw]]))*(10)/(ASINH(AG$4))</f>
        <v>0.66617872442962733</v>
      </c>
      <c r="AI677" s="260">
        <f>FMS_Ranking4[[#This Row],[Farm &amp; ranch land, ArcSinh (0-10)]]*AG$5*10</f>
        <v>0.33308936221481367</v>
      </c>
      <c r="AJ677" s="258">
        <f>_xlfn.XLOOKUP(FMS_Ranking4[[#This Row],[FMS ID]],FMS_Input[FMS_ID],FMS_Input[REDSTRUCT100])</f>
        <v>3</v>
      </c>
      <c r="AK677" s="253">
        <f>_xlfn.XLOOKUP(FMS_Ranking4[[#This Row],[FMS ID]],FMS_Input[FMS_ID],FMS_Input[REMSTRC100])</f>
        <v>3</v>
      </c>
      <c r="AL677" s="259">
        <f>(ASINH(FMS_Ranking4[[#This Row],[Structures Removed Raw]]))*(10)/(ASINH(AK$4))</f>
        <v>2.0704310956893948</v>
      </c>
      <c r="AM677" s="262">
        <f>FMS_Ranking4[[#This Row],[Structures removed, ArcSinh (0-10)]]*AK$5*10</f>
        <v>2.0704310956893948</v>
      </c>
      <c r="AN677" s="253">
        <f>_xlfn.XLOOKUP(FMS_Ranking4[[#This Row],[FMS ID]],FMS_Input[FMS_ID],FMS_Input[REMRESSTRC100])</f>
        <v>1</v>
      </c>
      <c r="AO677" s="261">
        <f>FMS_Ranking4[[#This Row],[ArcSinh Res struct removed 0-10]]*AN$5*10</f>
        <v>0.51694893589195634</v>
      </c>
      <c r="AP677" s="260">
        <f>ASINH(FMS_Ranking4[[#This Row],[Residential Structures Removed Raw]])/AP$4*AN$5*100</f>
        <v>0.51694893589195634</v>
      </c>
      <c r="AQ677" s="254">
        <f>(ASINH(FMS_Ranking4[[#This Row],[Residential Structures Removed Raw]]))*(10)/(ASINH(AN$4))</f>
        <v>1.0338978717839127</v>
      </c>
      <c r="AR677" s="253">
        <f>_xlfn.XLOOKUP(FMS_Ranking4[[#This Row],[FMS ID]],FMS_Input[FMS_ID],FMS_Input[REMPOP100])</f>
        <v>1</v>
      </c>
      <c r="AS677" s="259">
        <f>(ASINH(FMS_Ranking4[[#This Row],[Removed Pop Raw]]))*(10)/(ASINH(AR$4))</f>
        <v>0.86517433076217742</v>
      </c>
      <c r="AT677" s="262">
        <f>FMS_Ranking4[[#This Row],[Removed population, ArcSinh (0-10)]]*AR$5*10</f>
        <v>0.86517433076217742</v>
      </c>
      <c r="AU677" s="264">
        <f>_xlfn.XLOOKUP(FMS_Ranking4[[#This Row],[FMS ID]],FMS_Input[FMS_ID],FMS_Input[REMCRITFAC100])</f>
        <v>0</v>
      </c>
      <c r="AV677" s="264">
        <f>_xlfn.XLOOKUP(FMS_Ranking4[[#This Row],[FMS ID]],FMS_Input[FMS_ID],FMS_Input[REMLWC100])</f>
        <v>0</v>
      </c>
      <c r="AW677" s="264">
        <f>_xlfn.XLOOKUP(FMS_Ranking4[[#This Row],[FMS ID]],FMS_Input[FMS_ID],FMS_Input[REMROADCLS])</f>
        <v>0</v>
      </c>
      <c r="AX677" s="264">
        <f>_xlfn.XLOOKUP(FMS_Ranking4[[#This Row],[FMS ID]],FMS_Input[FMS_ID],FMS_Input[REMFRMACRE100])</f>
        <v>0.30375397205352778</v>
      </c>
      <c r="AY677" s="258">
        <f>_xlfn.XLOOKUP(FMS_Ranking4[[#This Row],[FMS ID]],FMS_Input[FMS_ID],FMS_Input[COSTSTRUCT])</f>
        <v>25000</v>
      </c>
      <c r="AZ677" s="253">
        <f>_xlfn.XLOOKUP(FMS_Ranking4[[#This Row],[FMS ID]],FMS_Input[FMS_ID],FMS_Input[NATURE])</f>
        <v>0</v>
      </c>
      <c r="BA677" s="262">
        <f>(((FMS_Ranking4[[#This Row],[% NBS Raw]]/AZ$4)*100)*AZ$5)</f>
        <v>0</v>
      </c>
      <c r="BB677" s="251" t="str">
        <f>_xlfn.XLOOKUP(FMS_Ranking4[[#This Row],[FMS ID]],FMS_Input[FMS_ID],FMS_Input[WATER_SUP])</f>
        <v>No</v>
      </c>
      <c r="BC677" s="265">
        <f>IF(FMS_Ranking4[[#This Row],[Water Supply Raw]]="Yes",10,0)</f>
        <v>0</v>
      </c>
      <c r="BD677" s="266">
        <f>_xlfn.XLOOKUP(FMS_Ranking4[[#This Row],[FMS Type]],FMS_TYPE[FMS_Type],FMS_TYPE[Score])</f>
        <v>2</v>
      </c>
      <c r="BE677" s="267">
        <f>FMS_Ranking4[[#This Row],[FMS_Type Score]]*$BD$5*10</f>
        <v>0.5</v>
      </c>
      <c r="BF67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9.0139712684669682E-3</v>
      </c>
      <c r="BG677" s="271">
        <f>_xlfn.RANK.EQ(BF677,$BF$8:$BF$870,0)+COUNTIF($BF$8:BF677,BF677)-1</f>
        <v>668</v>
      </c>
      <c r="BH677" s="268">
        <f>(((FMS_Ranking4[[#This Row],[Structures Removed Raw]]/AK$4)*100)*AK$5)+(((FMS_Ranking4[[#This Row],[Removed Pop Raw]]/AR$4)*100)*AR$5)</f>
        <v>9.9525873644671706E-3</v>
      </c>
      <c r="BI67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0.51896655863293417</v>
      </c>
      <c r="BJ677" s="205">
        <f>_xlfn.RANK.EQ(FMS_Ranking4[[#This Row],[Total Score 
(with linear
normalization)]],FMS_Ranking4[Total Score 
(with linear
normalization)],0)</f>
        <v>841</v>
      </c>
      <c r="BK677" s="205" t="e">
        <f>_xlfn.XLOOKUP(FMS_Ranking4[[#This Row],[FMS ID]],#REF!,#REF!)</f>
        <v>#REF!</v>
      </c>
      <c r="BL67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10.244965275112257</v>
      </c>
      <c r="BM677" s="272">
        <f>FMS_Ranking4[[#This Row],[ArcSinh Score Based on Normalized Reported Factors]]+FMS_Ranking4[[#This Row],[% NBS Score (Normalized)]]+(FMS_Ranking4[[#This Row],[Water Supply Score (Normalized)]]*10*$BB$5)+FMS_Ranking4[[#This Row],[FMS_Type Score Weighted]]</f>
        <v>10.744965275112257</v>
      </c>
      <c r="BN677" s="205">
        <f>_xlfn.RANK.EQ(FMS_Ranking4[[#This Row],[Total Score (with ArcSinh normalization of select criteria)]],FMS_Ranking4[Total Score (with ArcSinh normalization of select criteria)],0)</f>
        <v>670</v>
      </c>
      <c r="BO677" s="270" t="str">
        <f>_xlfn.XLOOKUP(FMS_Ranking4[[#This Row],[FMS ID]],FMS_Input[FMS_ID],FMS_Input[FMS_RANK_YEAR])</f>
        <v>2023 Amended Plan</v>
      </c>
      <c r="BP677" s="204">
        <f>_xlfn.XLOOKUP(FMS_Ranking4[[#This Row],[FMS ID]],Prev_Rank[FMS ID],Prev_Rank[Prev Rank])</f>
        <v>605</v>
      </c>
      <c r="BQ677" s="205" t="e">
        <f>_xlfn.XLOOKUP(FMS_Ranking4[[#This Row],[FMS ID]],#REF!,#REF!)</f>
        <v>#REF!</v>
      </c>
      <c r="BR677" s="199" t="e">
        <f>SUM(#REF!,#REF!,#REF!,#REF!,#REF!,#REF!,#REF!,#REF!,#REF!,FMS_Ranking4[[#This Row],[ArcSinh Res struct removed 0-10]],#REF!)</f>
        <v>#REF!</v>
      </c>
      <c r="BS677" s="199" t="e">
        <f>FMS_Ranking4[[#This Row],[Log Score Based on Normalized Reported Factors]]+FMS_Ranking4[[#This Row],[% NBS Score (Normalized)]]+(FMS_Ranking4[[#This Row],[Water Supply Score (Normalized)]]*10*$BB$5)+(FMS_Ranking4[[#This Row],[FMS_Type Score Weighted]])</f>
        <v>#REF!</v>
      </c>
      <c r="BT677" s="200" t="e">
        <f>_xlfn.RANK.EQ(FMS_Ranking4[[#This Row],[Log Total Score]],FMS_Ranking4[Log Total Score],0)</f>
        <v>#REF!</v>
      </c>
      <c r="BU677" s="200" t="e">
        <f>_xlfn.XLOOKUP(FMS_Ranking4[[#This Row],[FMS ID]],#REF!,#REF!)</f>
        <v>#REF!</v>
      </c>
      <c r="BV677" s="200">
        <f>FMS_Ranking4[[#This Row],[Region Number]]</f>
        <v>9</v>
      </c>
      <c r="BW677" s="200">
        <f>FMS_Ranking4[[#This Row],[Rank (with ArcSinh normalization of select criteria)]]-FMS_Ranking4[[#This Row],[Rank
(with linear
normalization)]]</f>
        <v>-171</v>
      </c>
      <c r="BX677" s="200" t="e">
        <f>FMS_Ranking4[[#This Row],[Log Rank]]-FMS_Ranking4[[#This Row],[Rank
(with linear
normalization)]]</f>
        <v>#REF!</v>
      </c>
      <c r="BY677" s="200" t="str">
        <f>IF(FMS_Ranking4[[#This Row],[FMS Type]]="Flood Measurement and Warning",FMS_Ranking4[[#This Row],[Rank (with ArcSinh normalization of select criteria)]],"")</f>
        <v/>
      </c>
      <c r="BZ677" s="200" t="str">
        <f>IF(FMS_Ranking4[[#This Row],[FMS Type]]="Regulatory and Guidance",FMS_Ranking4[[#This Row],[Rank (with ArcSinh normalization of select criteria)]],"")</f>
        <v/>
      </c>
      <c r="CA677" s="200" t="str">
        <f>IF(FMS_Ranking4[[#This Row],[FMS Type]]="Education and Outreach",FMS_Ranking4[[#This Row],[Rank (with ArcSinh normalization of select criteria)]],"")</f>
        <v/>
      </c>
      <c r="CB677" s="200" t="str">
        <f>IF(FMS_Ranking4[[#This Row],[FMS Type]]="Property Acquisition and Structural Elevation",FMS_Ranking4[[#This Row],[Rank (with ArcSinh normalization of select criteria)]],"")</f>
        <v/>
      </c>
      <c r="CC677" s="200" t="str">
        <f>IF(FMS_Ranking4[[#This Row],[FMS Type]]="Infrastructure Projects",FMS_Ranking4[[#This Row],[Rank (with ArcSinh normalization of select criteria)]],"")</f>
        <v/>
      </c>
      <c r="CD677" s="200">
        <f>IF(FMS_Ranking4[[#This Row],[FMS Type]]="Other",FMS_Ranking4[[#This Row],[Rank (with ArcSinh normalization of select criteria)]],"")</f>
        <v>670</v>
      </c>
      <c r="CE677" s="201"/>
      <c r="CF677" s="206"/>
      <c r="CG677" s="206"/>
      <c r="CH677" s="206"/>
      <c r="CI677" s="206"/>
      <c r="CJ677" s="206"/>
      <c r="CK677" s="206"/>
      <c r="CL677" s="206"/>
      <c r="CM677" s="206"/>
      <c r="CN677" s="206"/>
      <c r="CO677" s="206"/>
      <c r="CP677" s="206"/>
      <c r="CQ677" s="206"/>
      <c r="CR677" s="206"/>
    </row>
    <row r="678" spans="2:96" ht="45" x14ac:dyDescent="0.25">
      <c r="B678" s="341" t="s">
        <v>3265</v>
      </c>
      <c r="C678" s="246">
        <f>_xlfn.XLOOKUP(FMS_Ranking4[[#This Row],[FMS ID]],FMS_Input[FMS_ID],FMS_Input[RFPG_NUM])</f>
        <v>7</v>
      </c>
      <c r="D678" s="309" t="str">
        <f>_xlfn.XLOOKUP(FMS_Ranking4[[#This Row],[FMS ID]],FMS_Input[FMS_ID],FMS_Input[FMS_NAME])</f>
        <v>City of Ralls NFIP Participation</v>
      </c>
      <c r="E678" s="308" t="str">
        <f>_xlfn.XLOOKUP(FMS_Ranking4[[#This Row],[FMS ID]],FMS_Input[FMS_ID],FMS_Input[SPONSOR])</f>
        <v>07002418</v>
      </c>
      <c r="F678" s="309" t="str">
        <f>_xlfn.XLOOKUP(FMS_Ranking4[[#This Row],[FMS ID]],Sponsor[FMS_ID],Sponsor[SPONSOR NAME])</f>
        <v>Ralls</v>
      </c>
      <c r="G678" s="309" t="str">
        <f>_xlfn.XLOOKUP(FMS_Ranking4[[#This Row],[FMS ID]],FMS_Input[FMS_ID],FMS_Input[FMS_DESCR])</f>
        <v>Application to join NFIP or adoption of equivalent standards.</v>
      </c>
      <c r="H678" s="248" t="str">
        <f>_xlfn.XLOOKUP(FMS_Ranking4[[#This Row],[FMS ID]],FMS_Input[FMS_ID],FMS_Input[FMS_TYPE])</f>
        <v>Regulatory and Guidance</v>
      </c>
      <c r="I678" s="249">
        <f>_xlfn.XLOOKUP(FMS_Ranking4[[#This Row],[FMS ID]],FMS_Input[FMS_ID],FMS_Input[NRNC_COST])</f>
        <v>50000</v>
      </c>
      <c r="J678" s="250">
        <f>_xlfn.XLOOKUP(FMS_Ranking4[[#This Row],[FMS ID]],FMS_Input[FMS_ID],FMS_Input[FMS_COST])</f>
        <v>50000</v>
      </c>
      <c r="K678" s="251" t="str">
        <f>_xlfn.XLOOKUP(FMS_Ranking4[[#This Row],[FMS ID]],FMS_Input[FMS_ID],FMS_Input[EMER_NEED])</f>
        <v>No</v>
      </c>
      <c r="L678" s="252">
        <f t="shared" si="10"/>
        <v>0</v>
      </c>
      <c r="M678" s="253">
        <f>_xlfn.XLOOKUP(FMS_Ranking4[[#This Row],[FMS ID]],FMS_Input[FMS_ID],FMS_Input[STRUCT_100])</f>
        <v>15</v>
      </c>
      <c r="N678" s="255">
        <f>(ASINH(FMS_Ranking4[[#This Row],[Structure at Risk Raw]]))*(10)/(ASINH(M$4))</f>
        <v>2.6747196048660951</v>
      </c>
      <c r="O678" s="256">
        <f>FMS_Ranking4[[#This Row],[Structures at risk, ArcSinh (0-10)]]*M$5*10</f>
        <v>2.6747196048660955</v>
      </c>
      <c r="P678" s="253">
        <f>_xlfn.XLOOKUP(FMS_Ranking4[[#This Row],[FMS ID]],FMS_Input[FMS_ID],FMS_Input[RES_STRUCT100])</f>
        <v>7</v>
      </c>
      <c r="Q678" s="257">
        <f>ASINH(FMS_Ranking4[[#This Row],[Res Structure Raw]])/Q$4*P$5*100</f>
        <v>0</v>
      </c>
      <c r="R678" s="253">
        <f>_xlfn.XLOOKUP(FMS_Ranking4[[#This Row],[FMS ID]],FMS_Input[FMS_ID],FMS_Input[POP100])</f>
        <v>93</v>
      </c>
      <c r="S678" s="259">
        <f>(ASINH(FMS_Ranking4[[#This Row],[Pop at Risk Raw]]))*(10)/(ASINH(R$4))</f>
        <v>3.6076571150161345</v>
      </c>
      <c r="T678" s="256">
        <f>FMS_Ranking4[[#This Row],[Population at risk, ArcSinh (0-10)]]*R$5*10</f>
        <v>3.6076571150161345</v>
      </c>
      <c r="U678" s="253">
        <f>_xlfn.XLOOKUP(FMS_Ranking4[[#This Row],[FMS ID]],FMS_Input[FMS_ID],FMS_Input[CRITFAC100])</f>
        <v>0</v>
      </c>
      <c r="V678" s="259">
        <f>(ASINH(FMS_Ranking4[[#This Row],[Critical Facilities Raw]]))*(10)/(ASINH(U$4))</f>
        <v>0</v>
      </c>
      <c r="W678" s="256">
        <f>FMS_Ranking4[[#This Row],[Critical facilities at risk, ArcSinh (0-10)]]*U$5*10</f>
        <v>0</v>
      </c>
      <c r="X678" s="253">
        <f>_xlfn.XLOOKUP(FMS_Ranking4[[#This Row],[FMS ID]],FMS_Input[FMS_ID],FMS_Input[LWC])</f>
        <v>0</v>
      </c>
      <c r="Y678" s="259">
        <f>(ASINH(FMS_Ranking4[[#This Row],[LWC Raw]]))*(10)/(ASINH(X$4))</f>
        <v>0</v>
      </c>
      <c r="Z678" s="256">
        <f>FMS_Ranking4[[#This Row],[LWC, ArcSInh (0-10)]]*X$5*10</f>
        <v>0</v>
      </c>
      <c r="AA678" s="253">
        <f>_xlfn.XLOOKUP(FMS_Ranking4[[#This Row],[FMS ID]],FMS_Input[FMS_ID],FMS_Input[ROADCLS])</f>
        <v>0</v>
      </c>
      <c r="AB678" s="255">
        <f>(ASINH(FMS_Ranking4[[#This Row],[Road Closures Raw]]))*(10)/(ASINH(AA$4))</f>
        <v>0</v>
      </c>
      <c r="AC678" s="256">
        <f>FMS_Ranking4[[#This Row],[Road closures, ArcSinh (0-10)]]*AA$5*10</f>
        <v>0</v>
      </c>
      <c r="AD678" s="253">
        <f>_xlfn.XLOOKUP(FMS_Ranking4[[#This Row],[FMS ID]],FMS_Input[FMS_ID],FMS_Input[ROAD_MILES100])</f>
        <v>4</v>
      </c>
      <c r="AE678" s="259">
        <f>(ASINH(FMS_Ranking4[[#This Row],[Road Miles Raw]]))*(10)/(ASINH(AD$4))</f>
        <v>2.2323872691766113</v>
      </c>
      <c r="AF678" s="256">
        <f>FMS_Ranking4[[#This Row],[Length of roads at risk, ArcSinh (0-10)]]*AD$5*10</f>
        <v>2.2323872691766113</v>
      </c>
      <c r="AG678" s="253">
        <f>_xlfn.XLOOKUP(FMS_Ranking4[[#This Row],[FMS ID]],FMS_Input[FMS_ID],FMS_Input[FARMACRE100])</f>
        <v>0.21783718466758731</v>
      </c>
      <c r="AH678" s="255">
        <f>(ASINH(FMS_Ranking4[[#This Row],[Ag Land Raw]]))*(10)/(ASINH(AG$4))</f>
        <v>0.14040711762891495</v>
      </c>
      <c r="AI678" s="260">
        <f>FMS_Ranking4[[#This Row],[Farm &amp; ranch land, ArcSinh (0-10)]]*AG$5*10</f>
        <v>7.0203558814457473E-2</v>
      </c>
      <c r="AJ678" s="258">
        <f>_xlfn.XLOOKUP(FMS_Ranking4[[#This Row],[FMS ID]],FMS_Input[FMS_ID],FMS_Input[REDSTRUCT100])</f>
        <v>0</v>
      </c>
      <c r="AK678" s="253">
        <f>_xlfn.XLOOKUP(FMS_Ranking4[[#This Row],[FMS ID]],FMS_Input[FMS_ID],FMS_Input[REMSTRC100])</f>
        <v>0</v>
      </c>
      <c r="AL678" s="259">
        <f>(ASINH(FMS_Ranking4[[#This Row],[Structures Removed Raw]]))*(10)/(ASINH(AK$4))</f>
        <v>0</v>
      </c>
      <c r="AM678" s="262">
        <f>FMS_Ranking4[[#This Row],[Structures removed, ArcSinh (0-10)]]*AK$5*10</f>
        <v>0</v>
      </c>
      <c r="AN678" s="253">
        <f>_xlfn.XLOOKUP(FMS_Ranking4[[#This Row],[FMS ID]],FMS_Input[FMS_ID],FMS_Input[REMRESSTRC100])</f>
        <v>0</v>
      </c>
      <c r="AO678" s="261">
        <f>FMS_Ranking4[[#This Row],[ArcSinh Res struct removed 0-10]]*AN$5*10</f>
        <v>0</v>
      </c>
      <c r="AP678" s="260">
        <f>ASINH(FMS_Ranking4[[#This Row],[Residential Structures Removed Raw]])/AP$4*AN$5*100</f>
        <v>0</v>
      </c>
      <c r="AQ678" s="254">
        <f>(ASINH(FMS_Ranking4[[#This Row],[Residential Structures Removed Raw]]))*(10)/(ASINH(AN$4))</f>
        <v>0</v>
      </c>
      <c r="AR678" s="253">
        <f>_xlfn.XLOOKUP(FMS_Ranking4[[#This Row],[FMS ID]],FMS_Input[FMS_ID],FMS_Input[REMPOP100])</f>
        <v>0</v>
      </c>
      <c r="AS678" s="259">
        <f>(ASINH(FMS_Ranking4[[#This Row],[Removed Pop Raw]]))*(10)/(ASINH(AR$4))</f>
        <v>0</v>
      </c>
      <c r="AT678" s="262">
        <f>FMS_Ranking4[[#This Row],[Removed population, ArcSinh (0-10)]]*AR$5*10</f>
        <v>0</v>
      </c>
      <c r="AU678" s="264">
        <f>_xlfn.XLOOKUP(FMS_Ranking4[[#This Row],[FMS ID]],FMS_Input[FMS_ID],FMS_Input[REMCRITFAC100])</f>
        <v>0</v>
      </c>
      <c r="AV678" s="264">
        <f>_xlfn.XLOOKUP(FMS_Ranking4[[#This Row],[FMS ID]],FMS_Input[FMS_ID],FMS_Input[REMLWC100])</f>
        <v>0</v>
      </c>
      <c r="AW678" s="264">
        <f>_xlfn.XLOOKUP(FMS_Ranking4[[#This Row],[FMS ID]],FMS_Input[FMS_ID],FMS_Input[REMROADCLS])</f>
        <v>0</v>
      </c>
      <c r="AX678" s="264">
        <f>_xlfn.XLOOKUP(FMS_Ranking4[[#This Row],[FMS ID]],FMS_Input[FMS_ID],FMS_Input[REMFRMACRE100])</f>
        <v>0</v>
      </c>
      <c r="AY678" s="258">
        <f>_xlfn.XLOOKUP(FMS_Ranking4[[#This Row],[FMS ID]],FMS_Input[FMS_ID],FMS_Input[COSTSTRUCT])</f>
        <v>0</v>
      </c>
      <c r="AZ678" s="253">
        <f>_xlfn.XLOOKUP(FMS_Ranking4[[#This Row],[FMS ID]],FMS_Input[FMS_ID],FMS_Input[NATURE])</f>
        <v>0</v>
      </c>
      <c r="BA678" s="262">
        <f>(((FMS_Ranking4[[#This Row],[% NBS Raw]]/AZ$4)*100)*AZ$5)</f>
        <v>0</v>
      </c>
      <c r="BB678" s="251" t="str">
        <f>_xlfn.XLOOKUP(FMS_Ranking4[[#This Row],[FMS ID]],FMS_Input[FMS_ID],FMS_Input[WATER_SUP])</f>
        <v>No</v>
      </c>
      <c r="BC678" s="265">
        <f>IF(FMS_Ranking4[[#This Row],[Water Supply Raw]]="Yes",10,0)</f>
        <v>0</v>
      </c>
      <c r="BD678" s="266">
        <f>_xlfn.XLOOKUP(FMS_Ranking4[[#This Row],[FMS Type]],FMS_TYPE[FMS_Type],FMS_TYPE[Score])</f>
        <v>8</v>
      </c>
      <c r="BE678" s="267">
        <f>FMS_Ranking4[[#This Row],[FMS_Type Score]]*$BD$5*10</f>
        <v>2</v>
      </c>
      <c r="BF67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8.5789663317337398E-3</v>
      </c>
      <c r="BG678" s="271">
        <f>_xlfn.RANK.EQ(BF678,$BF$8:$BF$870,0)+COUNTIF($BF$8:BF678,BF678)-1</f>
        <v>671</v>
      </c>
      <c r="BH678" s="268">
        <f>(((FMS_Ranking4[[#This Row],[Structures Removed Raw]]/AK$4)*100)*AK$5)+(((FMS_Ranking4[[#This Row],[Removed Pop Raw]]/AR$4)*100)*AR$5)</f>
        <v>0</v>
      </c>
      <c r="BI67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2.0085789663317337</v>
      </c>
      <c r="BJ678" s="205">
        <f>_xlfn.RANK.EQ(FMS_Ranking4[[#This Row],[Total Score 
(with linear
normalization)]],FMS_Ranking4[Total Score 
(with linear
normalization)],0)</f>
        <v>425</v>
      </c>
      <c r="BK678" s="205" t="e">
        <f>_xlfn.XLOOKUP(FMS_Ranking4[[#This Row],[FMS ID]],#REF!,#REF!)</f>
        <v>#REF!</v>
      </c>
      <c r="BL67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8.5849675478732976</v>
      </c>
      <c r="BM678" s="272">
        <f>FMS_Ranking4[[#This Row],[ArcSinh Score Based on Normalized Reported Factors]]+FMS_Ranking4[[#This Row],[% NBS Score (Normalized)]]+(FMS_Ranking4[[#This Row],[Water Supply Score (Normalized)]]*10*$BB$5)+FMS_Ranking4[[#This Row],[FMS_Type Score Weighted]]</f>
        <v>10.584967547873298</v>
      </c>
      <c r="BN678" s="205">
        <f>_xlfn.RANK.EQ(FMS_Ranking4[[#This Row],[Total Score (with ArcSinh normalization of select criteria)]],FMS_Ranking4[Total Score (with ArcSinh normalization of select criteria)],0)</f>
        <v>671</v>
      </c>
      <c r="BO678" s="270" t="str">
        <f>_xlfn.XLOOKUP(FMS_Ranking4[[#This Row],[FMS ID]],FMS_Input[FMS_ID],FMS_Input[FMS_RANK_YEAR])</f>
        <v>2023 Amended Plan</v>
      </c>
      <c r="BP678" s="204">
        <f>_xlfn.XLOOKUP(FMS_Ranking4[[#This Row],[FMS ID]],Prev_Rank[FMS ID],Prev_Rank[Prev Rank])</f>
        <v>602</v>
      </c>
      <c r="BQ678" s="205" t="e">
        <f>_xlfn.XLOOKUP(FMS_Ranking4[[#This Row],[FMS ID]],#REF!,#REF!)</f>
        <v>#REF!</v>
      </c>
      <c r="BR678" s="199" t="e">
        <f>SUM(#REF!,#REF!,#REF!,#REF!,#REF!,#REF!,#REF!,#REF!,#REF!,FMS_Ranking4[[#This Row],[ArcSinh Res struct removed 0-10]],#REF!)</f>
        <v>#REF!</v>
      </c>
      <c r="BS678" s="199" t="e">
        <f>FMS_Ranking4[[#This Row],[Log Score Based on Normalized Reported Factors]]+FMS_Ranking4[[#This Row],[% NBS Score (Normalized)]]+(FMS_Ranking4[[#This Row],[Water Supply Score (Normalized)]]*10*$BB$5)+(FMS_Ranking4[[#This Row],[FMS_Type Score Weighted]])</f>
        <v>#REF!</v>
      </c>
      <c r="BT678" s="200" t="e">
        <f>_xlfn.RANK.EQ(FMS_Ranking4[[#This Row],[Log Total Score]],FMS_Ranking4[Log Total Score],0)</f>
        <v>#REF!</v>
      </c>
      <c r="BU678" s="200" t="e">
        <f>_xlfn.XLOOKUP(FMS_Ranking4[[#This Row],[FMS ID]],#REF!,#REF!)</f>
        <v>#REF!</v>
      </c>
      <c r="BV678" s="200">
        <f>FMS_Ranking4[[#This Row],[Region Number]]</f>
        <v>7</v>
      </c>
      <c r="BW678" s="200">
        <f>FMS_Ranking4[[#This Row],[Rank (with ArcSinh normalization of select criteria)]]-FMS_Ranking4[[#This Row],[Rank
(with linear
normalization)]]</f>
        <v>246</v>
      </c>
      <c r="BX678" s="200" t="e">
        <f>FMS_Ranking4[[#This Row],[Log Rank]]-FMS_Ranking4[[#This Row],[Rank
(with linear
normalization)]]</f>
        <v>#REF!</v>
      </c>
      <c r="BY678" s="200" t="str">
        <f>IF(FMS_Ranking4[[#This Row],[FMS Type]]="Flood Measurement and Warning",FMS_Ranking4[[#This Row],[Rank (with ArcSinh normalization of select criteria)]],"")</f>
        <v/>
      </c>
      <c r="BZ678" s="200">
        <f>IF(FMS_Ranking4[[#This Row],[FMS Type]]="Regulatory and Guidance",FMS_Ranking4[[#This Row],[Rank (with ArcSinh normalization of select criteria)]],"")</f>
        <v>671</v>
      </c>
      <c r="CA678" s="200" t="str">
        <f>IF(FMS_Ranking4[[#This Row],[FMS Type]]="Education and Outreach",FMS_Ranking4[[#This Row],[Rank (with ArcSinh normalization of select criteria)]],"")</f>
        <v/>
      </c>
      <c r="CB678" s="200" t="str">
        <f>IF(FMS_Ranking4[[#This Row],[FMS Type]]="Property Acquisition and Structural Elevation",FMS_Ranking4[[#This Row],[Rank (with ArcSinh normalization of select criteria)]],"")</f>
        <v/>
      </c>
      <c r="CC678" s="200" t="str">
        <f>IF(FMS_Ranking4[[#This Row],[FMS Type]]="Infrastructure Projects",FMS_Ranking4[[#This Row],[Rank (with ArcSinh normalization of select criteria)]],"")</f>
        <v/>
      </c>
      <c r="CD678" s="200" t="str">
        <f>IF(FMS_Ranking4[[#This Row],[FMS Type]]="Other",FMS_Ranking4[[#This Row],[Rank (with ArcSinh normalization of select criteria)]],"")</f>
        <v/>
      </c>
      <c r="CE678" s="201"/>
      <c r="CF678" s="206"/>
      <c r="CG678" s="206"/>
      <c r="CH678" s="206"/>
      <c r="CI678" s="206"/>
      <c r="CJ678" s="206"/>
      <c r="CK678" s="206"/>
      <c r="CL678" s="206"/>
      <c r="CM678" s="206"/>
      <c r="CN678" s="206"/>
      <c r="CO678" s="206"/>
      <c r="CP678" s="206"/>
      <c r="CQ678" s="206"/>
      <c r="CR678" s="206"/>
    </row>
    <row r="679" spans="2:96" ht="45" x14ac:dyDescent="0.25">
      <c r="B679" s="341" t="s">
        <v>3290</v>
      </c>
      <c r="C679" s="246">
        <f>_xlfn.XLOOKUP(FMS_Ranking4[[#This Row],[FMS ID]],FMS_Input[FMS_ID],FMS_Input[RFPG_NUM])</f>
        <v>7</v>
      </c>
      <c r="D679" s="309" t="str">
        <f>_xlfn.XLOOKUP(FMS_Ranking4[[#This Row],[FMS ID]],FMS_Input[FMS_ID],FMS_Input[FMS_NAME])</f>
        <v>City of Dickens NFIP Participation</v>
      </c>
      <c r="E679" s="308" t="str">
        <f>_xlfn.XLOOKUP(FMS_Ranking4[[#This Row],[FMS ID]],FMS_Input[FMS_ID],FMS_Input[SPONSOR])</f>
        <v>07002386</v>
      </c>
      <c r="F679" s="309" t="str">
        <f>_xlfn.XLOOKUP(FMS_Ranking4[[#This Row],[FMS ID]],Sponsor[FMS_ID],Sponsor[SPONSOR NAME])</f>
        <v>Dickens</v>
      </c>
      <c r="G679" s="309" t="str">
        <f>_xlfn.XLOOKUP(FMS_Ranking4[[#This Row],[FMS ID]],FMS_Input[FMS_ID],FMS_Input[FMS_DESCR])</f>
        <v>Application to join NFIP or adoption of equivalent standards.</v>
      </c>
      <c r="H679" s="248" t="str">
        <f>_xlfn.XLOOKUP(FMS_Ranking4[[#This Row],[FMS ID]],FMS_Input[FMS_ID],FMS_Input[FMS_TYPE])</f>
        <v>Regulatory and Guidance</v>
      </c>
      <c r="I679" s="249">
        <f>_xlfn.XLOOKUP(FMS_Ranking4[[#This Row],[FMS ID]],FMS_Input[FMS_ID],FMS_Input[NRNC_COST])</f>
        <v>50000</v>
      </c>
      <c r="J679" s="250">
        <f>_xlfn.XLOOKUP(FMS_Ranking4[[#This Row],[FMS ID]],FMS_Input[FMS_ID],FMS_Input[FMS_COST])</f>
        <v>50000</v>
      </c>
      <c r="K679" s="251" t="str">
        <f>_xlfn.XLOOKUP(FMS_Ranking4[[#This Row],[FMS ID]],FMS_Input[FMS_ID],FMS_Input[EMER_NEED])</f>
        <v>No</v>
      </c>
      <c r="L679" s="252">
        <f t="shared" si="10"/>
        <v>0</v>
      </c>
      <c r="M679" s="253">
        <f>_xlfn.XLOOKUP(FMS_Ranking4[[#This Row],[FMS ID]],FMS_Input[FMS_ID],FMS_Input[STRUCT_100])</f>
        <v>42</v>
      </c>
      <c r="N679" s="255">
        <f>(ASINH(FMS_Ranking4[[#This Row],[Structure at Risk Raw]]))*(10)/(ASINH(M$4))</f>
        <v>3.4833931159199318</v>
      </c>
      <c r="O679" s="256">
        <f>FMS_Ranking4[[#This Row],[Structures at risk, ArcSinh (0-10)]]*M$5*10</f>
        <v>3.4833931159199323</v>
      </c>
      <c r="P679" s="253">
        <f>_xlfn.XLOOKUP(FMS_Ranking4[[#This Row],[FMS ID]],FMS_Input[FMS_ID],FMS_Input[RES_STRUCT100])</f>
        <v>0</v>
      </c>
      <c r="Q679" s="257">
        <f>ASINH(FMS_Ranking4[[#This Row],[Res Structure Raw]])/Q$4*P$5*100</f>
        <v>0</v>
      </c>
      <c r="R679" s="253">
        <f>_xlfn.XLOOKUP(FMS_Ranking4[[#This Row],[FMS ID]],FMS_Input[FMS_ID],FMS_Input[POP100])</f>
        <v>19</v>
      </c>
      <c r="S679" s="259">
        <f>(ASINH(FMS_Ranking4[[#This Row],[Pop at Risk Raw]]))*(10)/(ASINH(R$4))</f>
        <v>2.5117150903432548</v>
      </c>
      <c r="T679" s="256">
        <f>FMS_Ranking4[[#This Row],[Population at risk, ArcSinh (0-10)]]*R$5*10</f>
        <v>2.5117150903432552</v>
      </c>
      <c r="U679" s="253">
        <f>_xlfn.XLOOKUP(FMS_Ranking4[[#This Row],[FMS ID]],FMS_Input[FMS_ID],FMS_Input[CRITFAC100])</f>
        <v>1</v>
      </c>
      <c r="V679" s="259">
        <f>(ASINH(FMS_Ranking4[[#This Row],[Critical Facilities Raw]]))*(10)/(ASINH(U$4))</f>
        <v>1.0433384451410745</v>
      </c>
      <c r="W679" s="256">
        <f>FMS_Ranking4[[#This Row],[Critical facilities at risk, ArcSinh (0-10)]]*U$5*10</f>
        <v>1.0433384451410745</v>
      </c>
      <c r="X679" s="253">
        <f>_xlfn.XLOOKUP(FMS_Ranking4[[#This Row],[FMS ID]],FMS_Input[FMS_ID],FMS_Input[LWC])</f>
        <v>0</v>
      </c>
      <c r="Y679" s="259">
        <f>(ASINH(FMS_Ranking4[[#This Row],[LWC Raw]]))*(10)/(ASINH(X$4))</f>
        <v>0</v>
      </c>
      <c r="Z679" s="256">
        <f>FMS_Ranking4[[#This Row],[LWC, ArcSInh (0-10)]]*X$5*10</f>
        <v>0</v>
      </c>
      <c r="AA679" s="253">
        <f>_xlfn.XLOOKUP(FMS_Ranking4[[#This Row],[FMS ID]],FMS_Input[FMS_ID],FMS_Input[ROADCLS])</f>
        <v>0</v>
      </c>
      <c r="AB679" s="255">
        <f>(ASINH(FMS_Ranking4[[#This Row],[Road Closures Raw]]))*(10)/(ASINH(AA$4))</f>
        <v>0</v>
      </c>
      <c r="AC679" s="256">
        <f>FMS_Ranking4[[#This Row],[Road closures, ArcSinh (0-10)]]*AA$5*10</f>
        <v>0</v>
      </c>
      <c r="AD679" s="253">
        <f>_xlfn.XLOOKUP(FMS_Ranking4[[#This Row],[FMS ID]],FMS_Input[FMS_ID],FMS_Input[ROAD_MILES100])</f>
        <v>2</v>
      </c>
      <c r="AE679" s="259">
        <f>(ASINH(FMS_Ranking4[[#This Row],[Road Miles Raw]]))*(10)/(ASINH(AD$4))</f>
        <v>1.5385182374234352</v>
      </c>
      <c r="AF679" s="256">
        <f>FMS_Ranking4[[#This Row],[Length of roads at risk, ArcSinh (0-10)]]*AD$5*10</f>
        <v>1.5385182374234352</v>
      </c>
      <c r="AG679" s="253">
        <f>_xlfn.XLOOKUP(FMS_Ranking4[[#This Row],[FMS ID]],FMS_Input[FMS_ID],FMS_Input[FARMACRE100])</f>
        <v>0</v>
      </c>
      <c r="AH679" s="255">
        <f>(ASINH(FMS_Ranking4[[#This Row],[Ag Land Raw]]))*(10)/(ASINH(AG$4))</f>
        <v>0</v>
      </c>
      <c r="AI679" s="260">
        <f>FMS_Ranking4[[#This Row],[Farm &amp; ranch land, ArcSinh (0-10)]]*AG$5*10</f>
        <v>0</v>
      </c>
      <c r="AJ679" s="258">
        <f>_xlfn.XLOOKUP(FMS_Ranking4[[#This Row],[FMS ID]],FMS_Input[FMS_ID],FMS_Input[REDSTRUCT100])</f>
        <v>0</v>
      </c>
      <c r="AK679" s="253">
        <f>_xlfn.XLOOKUP(FMS_Ranking4[[#This Row],[FMS ID]],FMS_Input[FMS_ID],FMS_Input[REMSTRC100])</f>
        <v>0</v>
      </c>
      <c r="AL679" s="259">
        <f>(ASINH(FMS_Ranking4[[#This Row],[Structures Removed Raw]]))*(10)/(ASINH(AK$4))</f>
        <v>0</v>
      </c>
      <c r="AM679" s="262">
        <f>FMS_Ranking4[[#This Row],[Structures removed, ArcSinh (0-10)]]*AK$5*10</f>
        <v>0</v>
      </c>
      <c r="AN679" s="253">
        <f>_xlfn.XLOOKUP(FMS_Ranking4[[#This Row],[FMS ID]],FMS_Input[FMS_ID],FMS_Input[REMRESSTRC100])</f>
        <v>0</v>
      </c>
      <c r="AO679" s="261">
        <f>FMS_Ranking4[[#This Row],[ArcSinh Res struct removed 0-10]]*AN$5*10</f>
        <v>0</v>
      </c>
      <c r="AP679" s="260">
        <f>ASINH(FMS_Ranking4[[#This Row],[Residential Structures Removed Raw]])/AP$4*AN$5*100</f>
        <v>0</v>
      </c>
      <c r="AQ679" s="254">
        <f>(ASINH(FMS_Ranking4[[#This Row],[Residential Structures Removed Raw]]))*(10)/(ASINH(AN$4))</f>
        <v>0</v>
      </c>
      <c r="AR679" s="253">
        <f>_xlfn.XLOOKUP(FMS_Ranking4[[#This Row],[FMS ID]],FMS_Input[FMS_ID],FMS_Input[REMPOP100])</f>
        <v>0</v>
      </c>
      <c r="AS679" s="259">
        <f>(ASINH(FMS_Ranking4[[#This Row],[Removed Pop Raw]]))*(10)/(ASINH(AR$4))</f>
        <v>0</v>
      </c>
      <c r="AT679" s="262">
        <f>FMS_Ranking4[[#This Row],[Removed population, ArcSinh (0-10)]]*AR$5*10</f>
        <v>0</v>
      </c>
      <c r="AU679" s="264">
        <f>_xlfn.XLOOKUP(FMS_Ranking4[[#This Row],[FMS ID]],FMS_Input[FMS_ID],FMS_Input[REMCRITFAC100])</f>
        <v>0</v>
      </c>
      <c r="AV679" s="264">
        <f>_xlfn.XLOOKUP(FMS_Ranking4[[#This Row],[FMS ID]],FMS_Input[FMS_ID],FMS_Input[REMLWC100])</f>
        <v>0</v>
      </c>
      <c r="AW679" s="264">
        <f>_xlfn.XLOOKUP(FMS_Ranking4[[#This Row],[FMS ID]],FMS_Input[FMS_ID],FMS_Input[REMROADCLS])</f>
        <v>0</v>
      </c>
      <c r="AX679" s="264">
        <f>_xlfn.XLOOKUP(FMS_Ranking4[[#This Row],[FMS ID]],FMS_Input[FMS_ID],FMS_Input[REMFRMACRE100])</f>
        <v>0</v>
      </c>
      <c r="AY679" s="258">
        <f>_xlfn.XLOOKUP(FMS_Ranking4[[#This Row],[FMS ID]],FMS_Input[FMS_ID],FMS_Input[COSTSTRUCT])</f>
        <v>0</v>
      </c>
      <c r="AZ679" s="253">
        <f>_xlfn.XLOOKUP(FMS_Ranking4[[#This Row],[FMS ID]],FMS_Input[FMS_ID],FMS_Input[NATURE])</f>
        <v>0</v>
      </c>
      <c r="BA679" s="262">
        <f>(((FMS_Ranking4[[#This Row],[% NBS Raw]]/AZ$4)*100)*AZ$5)</f>
        <v>0</v>
      </c>
      <c r="BB679" s="251" t="str">
        <f>_xlfn.XLOOKUP(FMS_Ranking4[[#This Row],[FMS ID]],FMS_Input[FMS_ID],FMS_Input[WATER_SUP])</f>
        <v>No</v>
      </c>
      <c r="BC679" s="265">
        <f>IF(FMS_Ranking4[[#This Row],[Water Supply Raw]]="Yes",10,0)</f>
        <v>0</v>
      </c>
      <c r="BD679" s="266">
        <f>_xlfn.XLOOKUP(FMS_Ranking4[[#This Row],[FMS Type]],FMS_TYPE[FMS_Type],FMS_TYPE[Score])</f>
        <v>8</v>
      </c>
      <c r="BE679" s="267">
        <f>FMS_Ranking4[[#This Row],[FMS_Type Score]]*$BD$5*10</f>
        <v>2</v>
      </c>
      <c r="BF67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1.0359006558181802E-2</v>
      </c>
      <c r="BG679" s="271">
        <f>_xlfn.RANK.EQ(BF679,$BF$8:$BF$870,0)+COUNTIF($BF$8:BF679,BF679)-1</f>
        <v>665</v>
      </c>
      <c r="BH679" s="268">
        <f>(((FMS_Ranking4[[#This Row],[Structures Removed Raw]]/AK$4)*100)*AK$5)+(((FMS_Ranking4[[#This Row],[Removed Pop Raw]]/AR$4)*100)*AR$5)</f>
        <v>0</v>
      </c>
      <c r="BI67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2.0103590065581818</v>
      </c>
      <c r="BJ679" s="205">
        <f>_xlfn.RANK.EQ(FMS_Ranking4[[#This Row],[Total Score 
(with linear
normalization)]],FMS_Ranking4[Total Score 
(with linear
normalization)],0)</f>
        <v>422</v>
      </c>
      <c r="BK679" s="205" t="e">
        <f>_xlfn.XLOOKUP(FMS_Ranking4[[#This Row],[FMS ID]],#REF!,#REF!)</f>
        <v>#REF!</v>
      </c>
      <c r="BL67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8.5769648888276979</v>
      </c>
      <c r="BM679" s="272">
        <f>FMS_Ranking4[[#This Row],[ArcSinh Score Based on Normalized Reported Factors]]+FMS_Ranking4[[#This Row],[% NBS Score (Normalized)]]+(FMS_Ranking4[[#This Row],[Water Supply Score (Normalized)]]*10*$BB$5)+FMS_Ranking4[[#This Row],[FMS_Type Score Weighted]]</f>
        <v>10.576964888827698</v>
      </c>
      <c r="BN679" s="205">
        <f>_xlfn.RANK.EQ(FMS_Ranking4[[#This Row],[Total Score (with ArcSinh normalization of select criteria)]],FMS_Ranking4[Total Score (with ArcSinh normalization of select criteria)],0)</f>
        <v>672</v>
      </c>
      <c r="BO679" s="270" t="str">
        <f>_xlfn.XLOOKUP(FMS_Ranking4[[#This Row],[FMS ID]],FMS_Input[FMS_ID],FMS_Input[FMS_RANK_YEAR])</f>
        <v>2023 Amended Plan</v>
      </c>
      <c r="BP679" s="204">
        <f>_xlfn.XLOOKUP(FMS_Ranking4[[#This Row],[FMS ID]],Prev_Rank[FMS ID],Prev_Rank[Prev Rank])</f>
        <v>603</v>
      </c>
      <c r="BQ679" s="205" t="e">
        <f>_xlfn.XLOOKUP(FMS_Ranking4[[#This Row],[FMS ID]],#REF!,#REF!)</f>
        <v>#REF!</v>
      </c>
      <c r="BR679" s="199" t="e">
        <f>SUM(#REF!,#REF!,#REF!,#REF!,#REF!,#REF!,#REF!,#REF!,#REF!,FMS_Ranking4[[#This Row],[ArcSinh Res struct removed 0-10]],#REF!)</f>
        <v>#REF!</v>
      </c>
      <c r="BS679" s="199" t="e">
        <f>FMS_Ranking4[[#This Row],[Log Score Based on Normalized Reported Factors]]+FMS_Ranking4[[#This Row],[% NBS Score (Normalized)]]+(FMS_Ranking4[[#This Row],[Water Supply Score (Normalized)]]*10*$BB$5)+(FMS_Ranking4[[#This Row],[FMS_Type Score Weighted]])</f>
        <v>#REF!</v>
      </c>
      <c r="BT679" s="200" t="e">
        <f>_xlfn.RANK.EQ(FMS_Ranking4[[#This Row],[Log Total Score]],FMS_Ranking4[Log Total Score],0)</f>
        <v>#REF!</v>
      </c>
      <c r="BU679" s="200" t="e">
        <f>_xlfn.XLOOKUP(FMS_Ranking4[[#This Row],[FMS ID]],#REF!,#REF!)</f>
        <v>#REF!</v>
      </c>
      <c r="BV679" s="200">
        <f>FMS_Ranking4[[#This Row],[Region Number]]</f>
        <v>7</v>
      </c>
      <c r="BW679" s="200">
        <f>FMS_Ranking4[[#This Row],[Rank (with ArcSinh normalization of select criteria)]]-FMS_Ranking4[[#This Row],[Rank
(with linear
normalization)]]</f>
        <v>250</v>
      </c>
      <c r="BX679" s="200" t="e">
        <f>FMS_Ranking4[[#This Row],[Log Rank]]-FMS_Ranking4[[#This Row],[Rank
(with linear
normalization)]]</f>
        <v>#REF!</v>
      </c>
      <c r="BY679" s="200" t="str">
        <f>IF(FMS_Ranking4[[#This Row],[FMS Type]]="Flood Measurement and Warning",FMS_Ranking4[[#This Row],[Rank (with ArcSinh normalization of select criteria)]],"")</f>
        <v/>
      </c>
      <c r="BZ679" s="200">
        <f>IF(FMS_Ranking4[[#This Row],[FMS Type]]="Regulatory and Guidance",FMS_Ranking4[[#This Row],[Rank (with ArcSinh normalization of select criteria)]],"")</f>
        <v>672</v>
      </c>
      <c r="CA679" s="200" t="str">
        <f>IF(FMS_Ranking4[[#This Row],[FMS Type]]="Education and Outreach",FMS_Ranking4[[#This Row],[Rank (with ArcSinh normalization of select criteria)]],"")</f>
        <v/>
      </c>
      <c r="CB679" s="200" t="str">
        <f>IF(FMS_Ranking4[[#This Row],[FMS Type]]="Property Acquisition and Structural Elevation",FMS_Ranking4[[#This Row],[Rank (with ArcSinh normalization of select criteria)]],"")</f>
        <v/>
      </c>
      <c r="CC679" s="200" t="str">
        <f>IF(FMS_Ranking4[[#This Row],[FMS Type]]="Infrastructure Projects",FMS_Ranking4[[#This Row],[Rank (with ArcSinh normalization of select criteria)]],"")</f>
        <v/>
      </c>
      <c r="CD679" s="200" t="str">
        <f>IF(FMS_Ranking4[[#This Row],[FMS Type]]="Other",FMS_Ranking4[[#This Row],[Rank (with ArcSinh normalization of select criteria)]],"")</f>
        <v/>
      </c>
      <c r="CE679" s="201"/>
      <c r="CF679" s="206"/>
      <c r="CG679" s="206"/>
      <c r="CH679" s="206"/>
      <c r="CI679" s="206"/>
      <c r="CJ679" s="206"/>
      <c r="CK679" s="206"/>
      <c r="CL679" s="206"/>
      <c r="CM679" s="206"/>
      <c r="CN679" s="206"/>
      <c r="CO679" s="206"/>
      <c r="CP679" s="206"/>
      <c r="CQ679" s="206"/>
      <c r="CR679" s="206"/>
    </row>
    <row r="680" spans="2:96" ht="45" x14ac:dyDescent="0.25">
      <c r="B680" s="341" t="s">
        <v>12068</v>
      </c>
      <c r="C680" s="246">
        <f>_xlfn.XLOOKUP(FMS_Ranking4[[#This Row],[FMS ID]],FMS_Input[FMS_ID],FMS_Input[RFPG_NUM])</f>
        <v>4</v>
      </c>
      <c r="D680" s="309" t="str">
        <f>_xlfn.XLOOKUP(FMS_Ranking4[[#This Row],[FMS ID]],FMS_Input[FMS_ID],FMS_Input[FMS_NAME])</f>
        <v>City of Edgewood Emergency Siren Program</v>
      </c>
      <c r="E680" s="308" t="str">
        <f>_xlfn.XLOOKUP(FMS_Ranking4[[#This Row],[FMS ID]],FMS_Input[FMS_ID],FMS_Input[SPONSOR])</f>
        <v>04002462</v>
      </c>
      <c r="F680" s="309" t="str">
        <f>_xlfn.XLOOKUP(FMS_Ranking4[[#This Row],[FMS ID]],Sponsor[FMS_ID],Sponsor[SPONSOR NAME])</f>
        <v>Edgewood</v>
      </c>
      <c r="G680" s="309" t="str">
        <f>_xlfn.XLOOKUP(FMS_Ranking4[[#This Row],[FMS ID]],FMS_Input[FMS_ID],FMS_Input[FMS_DESCR])</f>
        <v>Purchase and install outdoor warning sirens.</v>
      </c>
      <c r="H680" s="248" t="str">
        <f>_xlfn.XLOOKUP(FMS_Ranking4[[#This Row],[FMS ID]],FMS_Input[FMS_ID],FMS_Input[FMS_TYPE])</f>
        <v>Flood Measurement and Warning</v>
      </c>
      <c r="I680" s="249">
        <f>_xlfn.XLOOKUP(FMS_Ranking4[[#This Row],[FMS ID]],FMS_Input[FMS_ID],FMS_Input[NRNC_COST])</f>
        <v>10000</v>
      </c>
      <c r="J680" s="250">
        <f>_xlfn.XLOOKUP(FMS_Ranking4[[#This Row],[FMS ID]],FMS_Input[FMS_ID],FMS_Input[FMS_COST])</f>
        <v>10000</v>
      </c>
      <c r="K680" s="251" t="str">
        <f>_xlfn.XLOOKUP(FMS_Ranking4[[#This Row],[FMS ID]],FMS_Input[FMS_ID],FMS_Input[EMER_NEED])</f>
        <v>No</v>
      </c>
      <c r="L680" s="252">
        <f t="shared" si="10"/>
        <v>0</v>
      </c>
      <c r="M680" s="253">
        <f>_xlfn.XLOOKUP(FMS_Ranking4[[#This Row],[FMS ID]],FMS_Input[FMS_ID],FMS_Input[STRUCT_100])</f>
        <v>27</v>
      </c>
      <c r="N680" s="255">
        <f>(ASINH(FMS_Ranking4[[#This Row],[Structure at Risk Raw]]))*(10)/(ASINH(M$4))</f>
        <v>3.1362048544087462</v>
      </c>
      <c r="O680" s="256">
        <f>FMS_Ranking4[[#This Row],[Structures at risk, ArcSinh (0-10)]]*M$5*10</f>
        <v>3.1362048544087462</v>
      </c>
      <c r="P680" s="253">
        <f>_xlfn.XLOOKUP(FMS_Ranking4[[#This Row],[FMS ID]],FMS_Input[FMS_ID],FMS_Input[RES_STRUCT100])</f>
        <v>11</v>
      </c>
      <c r="Q680" s="257">
        <f>ASINH(FMS_Ranking4[[#This Row],[Res Structure Raw]])/Q$4*P$5*100</f>
        <v>0</v>
      </c>
      <c r="R680" s="253">
        <f>_xlfn.XLOOKUP(FMS_Ranking4[[#This Row],[FMS ID]],FMS_Input[FMS_ID],FMS_Input[POP100])</f>
        <v>22</v>
      </c>
      <c r="S680" s="259">
        <f>(ASINH(FMS_Ranking4[[#This Row],[Pop at Risk Raw]]))*(10)/(ASINH(R$4))</f>
        <v>2.6128027260073838</v>
      </c>
      <c r="T680" s="256">
        <f>FMS_Ranking4[[#This Row],[Population at risk, ArcSinh (0-10)]]*R$5*10</f>
        <v>2.6128027260073838</v>
      </c>
      <c r="U680" s="253">
        <f>_xlfn.XLOOKUP(FMS_Ranking4[[#This Row],[FMS ID]],FMS_Input[FMS_ID],FMS_Input[CRITFAC100])</f>
        <v>0</v>
      </c>
      <c r="V680" s="259">
        <f>(ASINH(FMS_Ranking4[[#This Row],[Critical Facilities Raw]]))*(10)/(ASINH(U$4))</f>
        <v>0</v>
      </c>
      <c r="W680" s="256">
        <f>FMS_Ranking4[[#This Row],[Critical facilities at risk, ArcSinh (0-10)]]*U$5*10</f>
        <v>0</v>
      </c>
      <c r="X680" s="253">
        <f>_xlfn.XLOOKUP(FMS_Ranking4[[#This Row],[FMS ID]],FMS_Input[FMS_ID],FMS_Input[LWC])</f>
        <v>0</v>
      </c>
      <c r="Y680" s="259">
        <f>(ASINH(FMS_Ranking4[[#This Row],[LWC Raw]]))*(10)/(ASINH(X$4))</f>
        <v>0</v>
      </c>
      <c r="Z680" s="256">
        <f>FMS_Ranking4[[#This Row],[LWC, ArcSInh (0-10)]]*X$5*10</f>
        <v>0</v>
      </c>
      <c r="AA680" s="253">
        <f>_xlfn.XLOOKUP(FMS_Ranking4[[#This Row],[FMS ID]],FMS_Input[FMS_ID],FMS_Input[ROADCLS])</f>
        <v>0</v>
      </c>
      <c r="AB680" s="255">
        <f>(ASINH(FMS_Ranking4[[#This Row],[Road Closures Raw]]))*(10)/(ASINH(AA$4))</f>
        <v>0</v>
      </c>
      <c r="AC680" s="256">
        <f>FMS_Ranking4[[#This Row],[Road closures, ArcSinh (0-10)]]*AA$5*10</f>
        <v>0</v>
      </c>
      <c r="AD680" s="253">
        <f>_xlfn.XLOOKUP(FMS_Ranking4[[#This Row],[FMS ID]],FMS_Input[FMS_ID],FMS_Input[ROAD_MILES100])</f>
        <v>1</v>
      </c>
      <c r="AE680" s="259">
        <f>(ASINH(FMS_Ranking4[[#This Row],[Road Miles Raw]]))*(10)/(ASINH(AD$4))</f>
        <v>0.9393017565219649</v>
      </c>
      <c r="AF680" s="256">
        <f>FMS_Ranking4[[#This Row],[Length of roads at risk, ArcSinh (0-10)]]*AD$5*10</f>
        <v>0.93930175652196501</v>
      </c>
      <c r="AG680" s="253">
        <f>_xlfn.XLOOKUP(FMS_Ranking4[[#This Row],[FMS ID]],FMS_Input[FMS_ID],FMS_Input[FARMACRE100])</f>
        <v>28.89719200134277</v>
      </c>
      <c r="AH680" s="255">
        <f>(ASINH(FMS_Ranking4[[#This Row],[Ag Land Raw]]))*(10)/(ASINH(AG$4))</f>
        <v>2.635475998904699</v>
      </c>
      <c r="AI680" s="260">
        <f>FMS_Ranking4[[#This Row],[Farm &amp; ranch land, ArcSinh (0-10)]]*AG$5*10</f>
        <v>1.3177379994523495</v>
      </c>
      <c r="AJ680" s="258">
        <f>_xlfn.XLOOKUP(FMS_Ranking4[[#This Row],[FMS ID]],FMS_Input[FMS_ID],FMS_Input[REDSTRUCT100])</f>
        <v>0</v>
      </c>
      <c r="AK680" s="253">
        <f>_xlfn.XLOOKUP(FMS_Ranking4[[#This Row],[FMS ID]],FMS_Input[FMS_ID],FMS_Input[REMSTRC100])</f>
        <v>0</v>
      </c>
      <c r="AL680" s="255">
        <f>(ASINH(FMS_Ranking4[[#This Row],[Structures Removed Raw]]))*(10)/(ASINH(AK$4))</f>
        <v>0</v>
      </c>
      <c r="AM680" s="262">
        <f>FMS_Ranking4[[#This Row],[Structures removed, ArcSinh (0-10)]]*AK$5*10</f>
        <v>0</v>
      </c>
      <c r="AN680" s="253">
        <f>_xlfn.XLOOKUP(FMS_Ranking4[[#This Row],[FMS ID]],FMS_Input[FMS_ID],FMS_Input[REMRESSTRC100])</f>
        <v>0</v>
      </c>
      <c r="AO680" s="261">
        <f>FMS_Ranking4[[#This Row],[ArcSinh Res struct removed 0-10]]*AN$5*10</f>
        <v>0</v>
      </c>
      <c r="AP680" s="260">
        <f>ASINH(FMS_Ranking4[[#This Row],[Residential Structures Removed Raw]])/AP$4*AN$5*100</f>
        <v>0</v>
      </c>
      <c r="AQ680" s="254">
        <f>(ASINH(FMS_Ranking4[[#This Row],[Residential Structures Removed Raw]]))*(10)/(ASINH(AN$4))</f>
        <v>0</v>
      </c>
      <c r="AR680" s="253">
        <f>_xlfn.XLOOKUP(FMS_Ranking4[[#This Row],[FMS ID]],FMS_Input[FMS_ID],FMS_Input[REMPOP100])</f>
        <v>0</v>
      </c>
      <c r="AS680" s="259">
        <f>(ASINH(FMS_Ranking4[[#This Row],[Removed Pop Raw]]))*(10)/(ASINH(AR$4))</f>
        <v>0</v>
      </c>
      <c r="AT680" s="262">
        <f>FMS_Ranking4[[#This Row],[Removed population, ArcSinh (0-10)]]*AR$5*10</f>
        <v>0</v>
      </c>
      <c r="AU680" s="264">
        <f>_xlfn.XLOOKUP(FMS_Ranking4[[#This Row],[FMS ID]],FMS_Input[FMS_ID],FMS_Input[REMCRITFAC100])</f>
        <v>0</v>
      </c>
      <c r="AV680" s="264">
        <f>_xlfn.XLOOKUP(FMS_Ranking4[[#This Row],[FMS ID]],FMS_Input[FMS_ID],FMS_Input[REMLWC100])</f>
        <v>0</v>
      </c>
      <c r="AW680" s="264">
        <f>_xlfn.XLOOKUP(FMS_Ranking4[[#This Row],[FMS ID]],FMS_Input[FMS_ID],FMS_Input[REMROADCLS])</f>
        <v>0</v>
      </c>
      <c r="AX680" s="264">
        <f>_xlfn.XLOOKUP(FMS_Ranking4[[#This Row],[FMS ID]],FMS_Input[FMS_ID],FMS_Input[REMFRMACRE100])</f>
        <v>0</v>
      </c>
      <c r="AY680" s="258">
        <f>_xlfn.XLOOKUP(FMS_Ranking4[[#This Row],[FMS ID]],FMS_Input[FMS_ID],FMS_Input[COSTSTRUCT])</f>
        <v>0</v>
      </c>
      <c r="AZ680" s="253">
        <f>_xlfn.XLOOKUP(FMS_Ranking4[[#This Row],[FMS ID]],FMS_Input[FMS_ID],FMS_Input[NATURE])</f>
        <v>0</v>
      </c>
      <c r="BA680" s="262">
        <f>(((FMS_Ranking4[[#This Row],[% NBS Raw]]/AZ$4)*100)*AZ$5)</f>
        <v>0</v>
      </c>
      <c r="BB680" s="251" t="str">
        <f>_xlfn.XLOOKUP(FMS_Ranking4[[#This Row],[FMS ID]],FMS_Input[FMS_ID],FMS_Input[WATER_SUP])</f>
        <v>No</v>
      </c>
      <c r="BC680" s="265">
        <f>IF(FMS_Ranking4[[#This Row],[Water Supply Raw]]="Yes",10,0)</f>
        <v>0</v>
      </c>
      <c r="BD680" s="266">
        <f>_xlfn.XLOOKUP(FMS_Ranking4[[#This Row],[FMS Type]],FMS_TYPE[FMS_Type],FMS_TYPE[Score])</f>
        <v>10</v>
      </c>
      <c r="BE680" s="267">
        <f>FMS_Ranking4[[#This Row],[FMS_Type Score]]*$BD$5*10</f>
        <v>2.5</v>
      </c>
      <c r="BF68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3.5817632504217675E-3</v>
      </c>
      <c r="BG680" s="271">
        <f>_xlfn.RANK.EQ(BF680,$BF$8:$BF$870,0)+COUNTIF($BF$8:BF915,BF680)-1</f>
        <v>704</v>
      </c>
      <c r="BH680" s="268">
        <f>(((FMS_Ranking4[[#This Row],[Structures Removed Raw]]/AK$4)*100)*AK$5)+(((FMS_Ranking4[[#This Row],[Removed Pop Raw]]/AR$4)*100)*AR$5)</f>
        <v>0</v>
      </c>
      <c r="BI68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2.5035817632504216</v>
      </c>
      <c r="BJ680" s="205">
        <f>_xlfn.RANK.EQ(FMS_Ranking4[[#This Row],[Total Score 
(with linear
normalization)]],FMS_Ranking4[Total Score 
(with linear
normalization)],0)</f>
        <v>253</v>
      </c>
      <c r="BK680" s="205" t="e">
        <f>_xlfn.XLOOKUP(FMS_Ranking4[[#This Row],[FMS ID]],#REF!,#REF!)</f>
        <v>#REF!</v>
      </c>
      <c r="BL68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8.006047336390445</v>
      </c>
      <c r="BM680" s="272">
        <f>FMS_Ranking4[[#This Row],[ArcSinh Score Based on Normalized Reported Factors]]+FMS_Ranking4[[#This Row],[% NBS Score (Normalized)]]+(FMS_Ranking4[[#This Row],[Water Supply Score (Normalized)]]*10*$BB$5)+FMS_Ranking4[[#This Row],[FMS_Type Score Weighted]]</f>
        <v>10.506047336390445</v>
      </c>
      <c r="BN680" s="205">
        <f>_xlfn.RANK.EQ(FMS_Ranking4[[#This Row],[Total Score (with ArcSinh normalization of select criteria)]],FMS_Ranking4[Total Score (with ArcSinh normalization of select criteria)],0)</f>
        <v>673</v>
      </c>
      <c r="BO680" s="270" t="str">
        <f>_xlfn.XLOOKUP(FMS_Ranking4[[#This Row],[FMS ID]],FMS_Input[FMS_ID],FMS_Input[FMS_RANK_YEAR])</f>
        <v>2023 Amended Plan</v>
      </c>
      <c r="BP680" s="204" t="e">
        <f>_xlfn.XLOOKUP(FMS_Ranking4[[#This Row],[FMS ID]],Prev_Rank[FMS ID],Prev_Rank[Prev Rank])</f>
        <v>#N/A</v>
      </c>
      <c r="BQ680" s="205" t="e">
        <f>_xlfn.XLOOKUP(FMS_Ranking4[[#This Row],[FMS ID]],#REF!,#REF!)</f>
        <v>#REF!</v>
      </c>
      <c r="BR680" s="199" t="e">
        <f>SUM(#REF!,#REF!,#REF!,#REF!,#REF!,#REF!,#REF!,#REF!,#REF!,FMS_Ranking4[[#This Row],[ArcSinh Res struct removed 0-10]],#REF!)</f>
        <v>#REF!</v>
      </c>
      <c r="BS680" s="199" t="e">
        <f>FMS_Ranking4[[#This Row],[Log Score Based on Normalized Reported Factors]]+FMS_Ranking4[[#This Row],[% NBS Score (Normalized)]]+(FMS_Ranking4[[#This Row],[Water Supply Score (Normalized)]]*10*$BB$5)+(FMS_Ranking4[[#This Row],[FMS_Type Score Weighted]])</f>
        <v>#REF!</v>
      </c>
      <c r="BT680" s="200" t="e">
        <f>_xlfn.RANK.EQ(FMS_Ranking4[[#This Row],[Log Total Score]],FMS_Ranking4[Log Total Score],0)</f>
        <v>#REF!</v>
      </c>
      <c r="BU680" s="200" t="e">
        <f>_xlfn.XLOOKUP(FMS_Ranking4[[#This Row],[FMS ID]],#REF!,#REF!)</f>
        <v>#REF!</v>
      </c>
      <c r="BV680" s="200">
        <f>FMS_Ranking4[[#This Row],[Region Number]]</f>
        <v>4</v>
      </c>
      <c r="BW680" s="200">
        <f>FMS_Ranking4[[#This Row],[Rank (with ArcSinh normalization of select criteria)]]-FMS_Ranking4[[#This Row],[Rank
(with linear
normalization)]]</f>
        <v>420</v>
      </c>
      <c r="BX680" s="200" t="e">
        <f>FMS_Ranking4[[#This Row],[Log Rank]]-FMS_Ranking4[[#This Row],[Rank
(with linear
normalization)]]</f>
        <v>#REF!</v>
      </c>
      <c r="BY680" s="200">
        <f>IF(FMS_Ranking4[[#This Row],[FMS Type]]="Flood Measurement and Warning",FMS_Ranking4[[#This Row],[Rank (with ArcSinh normalization of select criteria)]],"")</f>
        <v>673</v>
      </c>
      <c r="BZ680" s="200" t="str">
        <f>IF(FMS_Ranking4[[#This Row],[FMS Type]]="Regulatory and Guidance",FMS_Ranking4[[#This Row],[Rank (with ArcSinh normalization of select criteria)]],"")</f>
        <v/>
      </c>
      <c r="CA680" s="200" t="str">
        <f>IF(FMS_Ranking4[[#This Row],[FMS Type]]="Education and Outreach",FMS_Ranking4[[#This Row],[Rank (with ArcSinh normalization of select criteria)]],"")</f>
        <v/>
      </c>
      <c r="CB680" s="200" t="str">
        <f>IF(FMS_Ranking4[[#This Row],[FMS Type]]="Property Acquisition and Structural Elevation",FMS_Ranking4[[#This Row],[Rank (with ArcSinh normalization of select criteria)]],"")</f>
        <v/>
      </c>
      <c r="CC680" s="200" t="str">
        <f>IF(FMS_Ranking4[[#This Row],[FMS Type]]="Infrastructure Projects",FMS_Ranking4[[#This Row],[Rank (with ArcSinh normalization of select criteria)]],"")</f>
        <v/>
      </c>
      <c r="CD680" s="200" t="str">
        <f>IF(FMS_Ranking4[[#This Row],[FMS Type]]="Other",FMS_Ranking4[[#This Row],[Rank (with ArcSinh normalization of select criteria)]],"")</f>
        <v/>
      </c>
      <c r="CE680" s="201"/>
      <c r="CF680" s="206"/>
      <c r="CG680" s="206"/>
      <c r="CH680" s="206"/>
      <c r="CI680" s="206"/>
      <c r="CJ680" s="206"/>
      <c r="CK680" s="206"/>
      <c r="CL680" s="206"/>
      <c r="CM680" s="206"/>
      <c r="CN680" s="206"/>
      <c r="CO680" s="206"/>
      <c r="CP680" s="206"/>
      <c r="CQ680" s="206"/>
      <c r="CR680" s="206"/>
    </row>
    <row r="681" spans="2:96" ht="45" x14ac:dyDescent="0.25">
      <c r="B681" s="341" t="s">
        <v>2287</v>
      </c>
      <c r="C681" s="246">
        <f>_xlfn.XLOOKUP(FMS_Ranking4[[#This Row],[FMS ID]],FMS_Input[FMS_ID],FMS_Input[RFPG_NUM])</f>
        <v>3</v>
      </c>
      <c r="D681" s="309" t="str">
        <f>_xlfn.XLOOKUP(FMS_Ranking4[[#This Row],[FMS ID]],FMS_Input[FMS_ID],FMS_Input[FMS_NAME])</f>
        <v>City of Retreat NFIP Floodplain Ordinance</v>
      </c>
      <c r="E681" s="308" t="str">
        <f>_xlfn.XLOOKUP(FMS_Ranking4[[#This Row],[FMS ID]],FMS_Input[FMS_ID],FMS_Input[SPONSOR])</f>
        <v>Retreat</v>
      </c>
      <c r="F681" s="309" t="str">
        <f>_xlfn.XLOOKUP(FMS_Ranking4[[#This Row],[FMS ID]],Sponsor[FMS_ID],Sponsor[SPONSOR NAME])</f>
        <v>Retreat</v>
      </c>
      <c r="G681" s="309" t="str">
        <f>_xlfn.XLOOKUP(FMS_Ranking4[[#This Row],[FMS ID]],FMS_Input[FMS_ID],FMS_Input[FMS_DESCR])</f>
        <v>Develop a floodplain ordinance that meets or exceeds FEMA's minimum standards</v>
      </c>
      <c r="H681" s="248" t="str">
        <f>_xlfn.XLOOKUP(FMS_Ranking4[[#This Row],[FMS ID]],FMS_Input[FMS_ID],FMS_Input[FMS_TYPE])</f>
        <v>Regulatory and Guidance</v>
      </c>
      <c r="I681" s="249">
        <f>_xlfn.XLOOKUP(FMS_Ranking4[[#This Row],[FMS ID]],FMS_Input[FMS_ID],FMS_Input[NRNC_COST])</f>
        <v>100000</v>
      </c>
      <c r="J681" s="250">
        <f>_xlfn.XLOOKUP(FMS_Ranking4[[#This Row],[FMS ID]],FMS_Input[FMS_ID],FMS_Input[FMS_COST])</f>
        <v>100000</v>
      </c>
      <c r="K681" s="251" t="str">
        <f>_xlfn.XLOOKUP(FMS_Ranking4[[#This Row],[FMS ID]],FMS_Input[FMS_ID],FMS_Input[EMER_NEED])</f>
        <v>No</v>
      </c>
      <c r="L681" s="252">
        <f t="shared" si="10"/>
        <v>0</v>
      </c>
      <c r="M681" s="253">
        <f>_xlfn.XLOOKUP(FMS_Ranking4[[#This Row],[FMS ID]],FMS_Input[FMS_ID],FMS_Input[STRUCT_100])</f>
        <v>10</v>
      </c>
      <c r="N681" s="255">
        <f>(ASINH(FMS_Ranking4[[#This Row],[Structure at Risk Raw]]))*(10)/(ASINH(M$4))</f>
        <v>2.3570496549962385</v>
      </c>
      <c r="O681" s="256">
        <f>FMS_Ranking4[[#This Row],[Structures at risk, ArcSinh (0-10)]]*M$5*10</f>
        <v>2.3570496549962385</v>
      </c>
      <c r="P681" s="253">
        <f>_xlfn.XLOOKUP(FMS_Ranking4[[#This Row],[FMS ID]],FMS_Input[FMS_ID],FMS_Input[RES_STRUCT100])</f>
        <v>2</v>
      </c>
      <c r="Q681" s="257">
        <f>ASINH(FMS_Ranking4[[#This Row],[Res Structure Raw]])/Q$4*P$5*100</f>
        <v>0</v>
      </c>
      <c r="R681" s="253">
        <f>_xlfn.XLOOKUP(FMS_Ranking4[[#This Row],[FMS ID]],FMS_Input[FMS_ID],FMS_Input[POP100])</f>
        <v>8</v>
      </c>
      <c r="S681" s="259">
        <f>(ASINH(FMS_Ranking4[[#This Row],[Pop at Risk Raw]]))*(10)/(ASINH(R$4))</f>
        <v>1.9167604558558862</v>
      </c>
      <c r="T681" s="256">
        <f>FMS_Ranking4[[#This Row],[Population at risk, ArcSinh (0-10)]]*R$5*10</f>
        <v>1.9167604558558862</v>
      </c>
      <c r="U681" s="253">
        <f>_xlfn.XLOOKUP(FMS_Ranking4[[#This Row],[FMS ID]],FMS_Input[FMS_ID],FMS_Input[CRITFAC100])</f>
        <v>1</v>
      </c>
      <c r="V681" s="259">
        <f>(ASINH(FMS_Ranking4[[#This Row],[Critical Facilities Raw]]))*(10)/(ASINH(U$4))</f>
        <v>1.0433384451410745</v>
      </c>
      <c r="W681" s="256">
        <f>FMS_Ranking4[[#This Row],[Critical facilities at risk, ArcSinh (0-10)]]*U$5*10</f>
        <v>1.0433384451410745</v>
      </c>
      <c r="X681" s="253">
        <f>_xlfn.XLOOKUP(FMS_Ranking4[[#This Row],[FMS ID]],FMS_Input[FMS_ID],FMS_Input[LWC])</f>
        <v>1</v>
      </c>
      <c r="Y681" s="259">
        <f>(ASINH(FMS_Ranking4[[#This Row],[LWC Raw]]))*(10)/(ASINH(X$4))</f>
        <v>1.1940300948531093</v>
      </c>
      <c r="Z681" s="256">
        <f>FMS_Ranking4[[#This Row],[LWC, ArcSInh (0-10)]]*X$5*10</f>
        <v>1.1940300948531093</v>
      </c>
      <c r="AA681" s="253">
        <f>_xlfn.XLOOKUP(FMS_Ranking4[[#This Row],[FMS ID]],FMS_Input[FMS_ID],FMS_Input[ROADCLS])</f>
        <v>0</v>
      </c>
      <c r="AB681" s="255">
        <f>(ASINH(FMS_Ranking4[[#This Row],[Road Closures Raw]]))*(10)/(ASINH(AA$4))</f>
        <v>0</v>
      </c>
      <c r="AC681" s="256">
        <f>FMS_Ranking4[[#This Row],[Road closures, ArcSinh (0-10)]]*AA$5*10</f>
        <v>0</v>
      </c>
      <c r="AD681" s="253">
        <f>_xlfn.XLOOKUP(FMS_Ranking4[[#This Row],[FMS ID]],FMS_Input[FMS_ID],FMS_Input[ROAD_MILES100])</f>
        <v>0</v>
      </c>
      <c r="AE681" s="259">
        <f>(ASINH(FMS_Ranking4[[#This Row],[Road Miles Raw]]))*(10)/(ASINH(AD$4))</f>
        <v>0</v>
      </c>
      <c r="AF681" s="256">
        <f>FMS_Ranking4[[#This Row],[Length of roads at risk, ArcSinh (0-10)]]*AD$5*10</f>
        <v>0</v>
      </c>
      <c r="AG681" s="253">
        <f>_xlfn.XLOOKUP(FMS_Ranking4[[#This Row],[FMS ID]],FMS_Input[FMS_ID],FMS_Input[FARMACRE100])</f>
        <v>208.12260437011719</v>
      </c>
      <c r="AH681" s="255">
        <f>(ASINH(FMS_Ranking4[[#This Row],[Ag Land Raw]]))*(10)/(ASINH(AG$4))</f>
        <v>3.917807920630842</v>
      </c>
      <c r="AI681" s="260">
        <f>FMS_Ranking4[[#This Row],[Farm &amp; ranch land, ArcSinh (0-10)]]*AG$5*10</f>
        <v>1.9589039603154212</v>
      </c>
      <c r="AJ681" s="258">
        <f>_xlfn.XLOOKUP(FMS_Ranking4[[#This Row],[FMS ID]],FMS_Input[FMS_ID],FMS_Input[REDSTRUCT100])</f>
        <v>0</v>
      </c>
      <c r="AK681" s="253">
        <f>_xlfn.XLOOKUP(FMS_Ranking4[[#This Row],[FMS ID]],FMS_Input[FMS_ID],FMS_Input[REMSTRC100])</f>
        <v>0</v>
      </c>
      <c r="AL681" s="259">
        <f>(ASINH(FMS_Ranking4[[#This Row],[Structures Removed Raw]]))*(10)/(ASINH(AK$4))</f>
        <v>0</v>
      </c>
      <c r="AM681" s="262">
        <f>FMS_Ranking4[[#This Row],[Structures removed, ArcSinh (0-10)]]*AK$5*10</f>
        <v>0</v>
      </c>
      <c r="AN681" s="253">
        <f>_xlfn.XLOOKUP(FMS_Ranking4[[#This Row],[FMS ID]],FMS_Input[FMS_ID],FMS_Input[REMRESSTRC100])</f>
        <v>0</v>
      </c>
      <c r="AO681" s="261">
        <f>FMS_Ranking4[[#This Row],[ArcSinh Res struct removed 0-10]]*AN$5*10</f>
        <v>0</v>
      </c>
      <c r="AP681" s="260">
        <f>ASINH(FMS_Ranking4[[#This Row],[Residential Structures Removed Raw]])/AP$4*AN$5*100</f>
        <v>0</v>
      </c>
      <c r="AQ681" s="254">
        <f>(ASINH(FMS_Ranking4[[#This Row],[Residential Structures Removed Raw]]))*(10)/(ASINH(AN$4))</f>
        <v>0</v>
      </c>
      <c r="AR681" s="253">
        <f>_xlfn.XLOOKUP(FMS_Ranking4[[#This Row],[FMS ID]],FMS_Input[FMS_ID],FMS_Input[REMPOP100])</f>
        <v>0</v>
      </c>
      <c r="AS681" s="259">
        <f>(ASINH(FMS_Ranking4[[#This Row],[Removed Pop Raw]]))*(10)/(ASINH(AR$4))</f>
        <v>0</v>
      </c>
      <c r="AT681" s="262">
        <f>FMS_Ranking4[[#This Row],[Removed population, ArcSinh (0-10)]]*AR$5*10</f>
        <v>0</v>
      </c>
      <c r="AU681" s="264">
        <f>_xlfn.XLOOKUP(FMS_Ranking4[[#This Row],[FMS ID]],FMS_Input[FMS_ID],FMS_Input[REMCRITFAC100])</f>
        <v>0</v>
      </c>
      <c r="AV681" s="264">
        <f>_xlfn.XLOOKUP(FMS_Ranking4[[#This Row],[FMS ID]],FMS_Input[FMS_ID],FMS_Input[REMLWC100])</f>
        <v>0</v>
      </c>
      <c r="AW681" s="264">
        <f>_xlfn.XLOOKUP(FMS_Ranking4[[#This Row],[FMS ID]],FMS_Input[FMS_ID],FMS_Input[REMROADCLS])</f>
        <v>0</v>
      </c>
      <c r="AX681" s="264">
        <f>_xlfn.XLOOKUP(FMS_Ranking4[[#This Row],[FMS ID]],FMS_Input[FMS_ID],FMS_Input[REMFRMACRE100])</f>
        <v>0</v>
      </c>
      <c r="AY681" s="258">
        <f>_xlfn.XLOOKUP(FMS_Ranking4[[#This Row],[FMS ID]],FMS_Input[FMS_ID],FMS_Input[COSTSTRUCT])</f>
        <v>0</v>
      </c>
      <c r="AZ681" s="253">
        <f>_xlfn.XLOOKUP(FMS_Ranking4[[#This Row],[FMS ID]],FMS_Input[FMS_ID],FMS_Input[NATURE])</f>
        <v>0</v>
      </c>
      <c r="BA681" s="262">
        <f>(((FMS_Ranking4[[#This Row],[% NBS Raw]]/AZ$4)*100)*AZ$5)</f>
        <v>0</v>
      </c>
      <c r="BB681" s="251" t="str">
        <f>_xlfn.XLOOKUP(FMS_Ranking4[[#This Row],[FMS ID]],FMS_Input[FMS_ID],FMS_Input[WATER_SUP])</f>
        <v>No</v>
      </c>
      <c r="BC681" s="265">
        <f>IF(FMS_Ranking4[[#This Row],[Water Supply Raw]]="Yes",10,0)</f>
        <v>0</v>
      </c>
      <c r="BD681" s="266">
        <f>_xlfn.XLOOKUP(FMS_Ranking4[[#This Row],[FMS Type]],FMS_TYPE[FMS_Type],FMS_TYPE[Score])</f>
        <v>8</v>
      </c>
      <c r="BE681" s="267">
        <f>FMS_Ranking4[[#This Row],[FMS_Type Score]]*$BD$5*10</f>
        <v>2</v>
      </c>
      <c r="BF68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1.7850463361750956E-2</v>
      </c>
      <c r="BG681" s="271">
        <f>_xlfn.RANK.EQ(BF681,$BF$8:$BF$870,0)+COUNTIF($BF$8:BF681,BF681)-1</f>
        <v>643</v>
      </c>
      <c r="BH681" s="268">
        <f>(((FMS_Ranking4[[#This Row],[Structures Removed Raw]]/AK$4)*100)*AK$5)+(((FMS_Ranking4[[#This Row],[Removed Pop Raw]]/AR$4)*100)*AR$5)</f>
        <v>0</v>
      </c>
      <c r="BI68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2.0178504633617509</v>
      </c>
      <c r="BJ681" s="205">
        <f>_xlfn.RANK.EQ(FMS_Ranking4[[#This Row],[Total Score 
(with linear
normalization)]],FMS_Ranking4[Total Score 
(with linear
normalization)],0)</f>
        <v>414</v>
      </c>
      <c r="BK681" s="205" t="e">
        <f>_xlfn.XLOOKUP(FMS_Ranking4[[#This Row],[FMS ID]],#REF!,#REF!)</f>
        <v>#REF!</v>
      </c>
      <c r="BL68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8.4700826111617289</v>
      </c>
      <c r="BM681" s="272">
        <f>FMS_Ranking4[[#This Row],[ArcSinh Score Based on Normalized Reported Factors]]+FMS_Ranking4[[#This Row],[% NBS Score (Normalized)]]+(FMS_Ranking4[[#This Row],[Water Supply Score (Normalized)]]*10*$BB$5)+FMS_Ranking4[[#This Row],[FMS_Type Score Weighted]]</f>
        <v>10.470082611161729</v>
      </c>
      <c r="BN681" s="205">
        <f>_xlfn.RANK.EQ(FMS_Ranking4[[#This Row],[Total Score (with ArcSinh normalization of select criteria)]],FMS_Ranking4[Total Score (with ArcSinh normalization of select criteria)],0)</f>
        <v>674</v>
      </c>
      <c r="BO681" s="270" t="str">
        <f>_xlfn.XLOOKUP(FMS_Ranking4[[#This Row],[FMS ID]],FMS_Input[FMS_ID],FMS_Input[FMS_RANK_YEAR])</f>
        <v>2023 Amended Plan</v>
      </c>
      <c r="BP681" s="204">
        <f>_xlfn.XLOOKUP(FMS_Ranking4[[#This Row],[FMS ID]],Prev_Rank[FMS ID],Prev_Rank[Prev Rank])</f>
        <v>601</v>
      </c>
      <c r="BQ681" s="205" t="e">
        <f>_xlfn.XLOOKUP(FMS_Ranking4[[#This Row],[FMS ID]],#REF!,#REF!)</f>
        <v>#REF!</v>
      </c>
      <c r="BR681" s="199" t="e">
        <f>SUM(#REF!,#REF!,#REF!,#REF!,#REF!,#REF!,#REF!,#REF!,#REF!,FMS_Ranking4[[#This Row],[ArcSinh Res struct removed 0-10]],#REF!)</f>
        <v>#REF!</v>
      </c>
      <c r="BS681" s="199" t="e">
        <f>FMS_Ranking4[[#This Row],[Log Score Based on Normalized Reported Factors]]+FMS_Ranking4[[#This Row],[% NBS Score (Normalized)]]+(FMS_Ranking4[[#This Row],[Water Supply Score (Normalized)]]*10*$BB$5)+(FMS_Ranking4[[#This Row],[FMS_Type Score Weighted]])</f>
        <v>#REF!</v>
      </c>
      <c r="BT681" s="200" t="e">
        <f>_xlfn.RANK.EQ(FMS_Ranking4[[#This Row],[Log Total Score]],FMS_Ranking4[Log Total Score],0)</f>
        <v>#REF!</v>
      </c>
      <c r="BU681" s="200" t="e">
        <f>_xlfn.XLOOKUP(FMS_Ranking4[[#This Row],[FMS ID]],#REF!,#REF!)</f>
        <v>#REF!</v>
      </c>
      <c r="BV681" s="200">
        <f>FMS_Ranking4[[#This Row],[Region Number]]</f>
        <v>3</v>
      </c>
      <c r="BW681" s="200">
        <f>FMS_Ranking4[[#This Row],[Rank (with ArcSinh normalization of select criteria)]]-FMS_Ranking4[[#This Row],[Rank
(with linear
normalization)]]</f>
        <v>260</v>
      </c>
      <c r="BX681" s="200" t="e">
        <f>FMS_Ranking4[[#This Row],[Log Rank]]-FMS_Ranking4[[#This Row],[Rank
(with linear
normalization)]]</f>
        <v>#REF!</v>
      </c>
      <c r="BY681" s="200" t="str">
        <f>IF(FMS_Ranking4[[#This Row],[FMS Type]]="Flood Measurement and Warning",FMS_Ranking4[[#This Row],[Rank (with ArcSinh normalization of select criteria)]],"")</f>
        <v/>
      </c>
      <c r="BZ681" s="200">
        <f>IF(FMS_Ranking4[[#This Row],[FMS Type]]="Regulatory and Guidance",FMS_Ranking4[[#This Row],[Rank (with ArcSinh normalization of select criteria)]],"")</f>
        <v>674</v>
      </c>
      <c r="CA681" s="200" t="str">
        <f>IF(FMS_Ranking4[[#This Row],[FMS Type]]="Education and Outreach",FMS_Ranking4[[#This Row],[Rank (with ArcSinh normalization of select criteria)]],"")</f>
        <v/>
      </c>
      <c r="CB681" s="200" t="str">
        <f>IF(FMS_Ranking4[[#This Row],[FMS Type]]="Property Acquisition and Structural Elevation",FMS_Ranking4[[#This Row],[Rank (with ArcSinh normalization of select criteria)]],"")</f>
        <v/>
      </c>
      <c r="CC681" s="200" t="str">
        <f>IF(FMS_Ranking4[[#This Row],[FMS Type]]="Infrastructure Projects",FMS_Ranking4[[#This Row],[Rank (with ArcSinh normalization of select criteria)]],"")</f>
        <v/>
      </c>
      <c r="CD681" s="200" t="str">
        <f>IF(FMS_Ranking4[[#This Row],[FMS Type]]="Other",FMS_Ranking4[[#This Row],[Rank (with ArcSinh normalization of select criteria)]],"")</f>
        <v/>
      </c>
      <c r="CE681" s="201"/>
      <c r="CF681" s="206"/>
      <c r="CG681" s="206"/>
      <c r="CH681" s="206"/>
      <c r="CI681" s="206"/>
      <c r="CJ681" s="206"/>
      <c r="CK681" s="206"/>
      <c r="CL681" s="206"/>
      <c r="CM681" s="206"/>
      <c r="CN681" s="206"/>
      <c r="CO681" s="206"/>
      <c r="CP681" s="206"/>
      <c r="CQ681" s="206"/>
      <c r="CR681" s="206"/>
    </row>
    <row r="682" spans="2:96" ht="45" x14ac:dyDescent="0.25">
      <c r="B682" s="341" t="s">
        <v>3110</v>
      </c>
      <c r="C682" s="246">
        <f>_xlfn.XLOOKUP(FMS_Ranking4[[#This Row],[FMS ID]],FMS_Input[FMS_ID],FMS_Input[RFPG_NUM])</f>
        <v>7</v>
      </c>
      <c r="D682" s="309" t="str">
        <f>_xlfn.XLOOKUP(FMS_Ranking4[[#This Row],[FMS ID]],FMS_Input[FMS_ID],FMS_Input[FMS_NAME])</f>
        <v>South Lake Improvements Dam Hardening</v>
      </c>
      <c r="E682" s="308" t="str">
        <f>_xlfn.XLOOKUP(FMS_Ranking4[[#This Row],[FMS ID]],FMS_Input[FMS_ID],FMS_Input[SPONSOR])</f>
        <v>07000112</v>
      </c>
      <c r="F682" s="309" t="str">
        <f>_xlfn.XLOOKUP(FMS_Ranking4[[#This Row],[FMS ID]],Sponsor[FMS_ID],Sponsor[SPONSOR NAME])</f>
        <v>Jones</v>
      </c>
      <c r="G682" s="309" t="str">
        <f>_xlfn.XLOOKUP(FMS_Ranking4[[#This Row],[FMS ID]],FMS_Input[FMS_ID],FMS_Input[FMS_DESCR])</f>
        <v>Dam hardening</v>
      </c>
      <c r="H682" s="248" t="str">
        <f>_xlfn.XLOOKUP(FMS_Ranking4[[#This Row],[FMS ID]],FMS_Input[FMS_ID],FMS_Input[FMS_TYPE])</f>
        <v>Infrastructure Projects</v>
      </c>
      <c r="I682" s="249">
        <f>_xlfn.XLOOKUP(FMS_Ranking4[[#This Row],[FMS ID]],FMS_Input[FMS_ID],FMS_Input[NRNC_COST])</f>
        <v>50000</v>
      </c>
      <c r="J682" s="250">
        <f>_xlfn.XLOOKUP(FMS_Ranking4[[#This Row],[FMS ID]],FMS_Input[FMS_ID],FMS_Input[FMS_COST])</f>
        <v>50000</v>
      </c>
      <c r="K682" s="251" t="str">
        <f>_xlfn.XLOOKUP(FMS_Ranking4[[#This Row],[FMS ID]],FMS_Input[FMS_ID],FMS_Input[EMER_NEED])</f>
        <v>No</v>
      </c>
      <c r="L682" s="252">
        <f t="shared" si="10"/>
        <v>0</v>
      </c>
      <c r="M682" s="253">
        <f>_xlfn.XLOOKUP(FMS_Ranking4[[#This Row],[FMS ID]],FMS_Input[FMS_ID],FMS_Input[STRUCT_100])</f>
        <v>11</v>
      </c>
      <c r="N682" s="255">
        <f>(ASINH(FMS_Ranking4[[#This Row],[Structure at Risk Raw]]))*(10)/(ASINH(M$4))</f>
        <v>2.4316388682796601</v>
      </c>
      <c r="O682" s="256">
        <f>FMS_Ranking4[[#This Row],[Structures at risk, ArcSinh (0-10)]]*M$5*10</f>
        <v>2.4316388682796601</v>
      </c>
      <c r="P682" s="253">
        <f>_xlfn.XLOOKUP(FMS_Ranking4[[#This Row],[FMS ID]],FMS_Input[FMS_ID],FMS_Input[RES_STRUCT100])</f>
        <v>3</v>
      </c>
      <c r="Q682" s="257">
        <f>ASINH(FMS_Ranking4[[#This Row],[Res Structure Raw]])/Q$4*P$5*100</f>
        <v>0</v>
      </c>
      <c r="R682" s="253">
        <f>_xlfn.XLOOKUP(FMS_Ranking4[[#This Row],[FMS ID]],FMS_Input[FMS_ID],FMS_Input[POP100])</f>
        <v>4</v>
      </c>
      <c r="S682" s="259">
        <f>(ASINH(FMS_Ranking4[[#This Row],[Pop at Risk Raw]]))*(10)/(ASINH(R$4))</f>
        <v>1.4461020212053632</v>
      </c>
      <c r="T682" s="256">
        <f>FMS_Ranking4[[#This Row],[Population at risk, ArcSinh (0-10)]]*R$5*10</f>
        <v>1.4461020212053632</v>
      </c>
      <c r="U682" s="253">
        <f>_xlfn.XLOOKUP(FMS_Ranking4[[#This Row],[FMS ID]],FMS_Input[FMS_ID],FMS_Input[CRITFAC100])</f>
        <v>0</v>
      </c>
      <c r="V682" s="259">
        <f>(ASINH(FMS_Ranking4[[#This Row],[Critical Facilities Raw]]))*(10)/(ASINH(U$4))</f>
        <v>0</v>
      </c>
      <c r="W682" s="256">
        <f>FMS_Ranking4[[#This Row],[Critical facilities at risk, ArcSinh (0-10)]]*U$5*10</f>
        <v>0</v>
      </c>
      <c r="X682" s="253">
        <f>_xlfn.XLOOKUP(FMS_Ranking4[[#This Row],[FMS ID]],FMS_Input[FMS_ID],FMS_Input[LWC])</f>
        <v>0</v>
      </c>
      <c r="Y682" s="259">
        <f>(ASINH(FMS_Ranking4[[#This Row],[LWC Raw]]))*(10)/(ASINH(X$4))</f>
        <v>0</v>
      </c>
      <c r="Z682" s="256">
        <f>FMS_Ranking4[[#This Row],[LWC, ArcSInh (0-10)]]*X$5*10</f>
        <v>0</v>
      </c>
      <c r="AA682" s="253">
        <f>_xlfn.XLOOKUP(FMS_Ranking4[[#This Row],[FMS ID]],FMS_Input[FMS_ID],FMS_Input[ROADCLS])</f>
        <v>0</v>
      </c>
      <c r="AB682" s="255">
        <f>(ASINH(FMS_Ranking4[[#This Row],[Road Closures Raw]]))*(10)/(ASINH(AA$4))</f>
        <v>0</v>
      </c>
      <c r="AC682" s="256">
        <f>FMS_Ranking4[[#This Row],[Road closures, ArcSinh (0-10)]]*AA$5*10</f>
        <v>0</v>
      </c>
      <c r="AD682" s="253">
        <f>_xlfn.XLOOKUP(FMS_Ranking4[[#This Row],[FMS ID]],FMS_Input[FMS_ID],FMS_Input[ROAD_MILES100])</f>
        <v>8</v>
      </c>
      <c r="AE682" s="259">
        <f>(ASINH(FMS_Ranking4[[#This Row],[Road Miles Raw]]))*(10)/(ASINH(AD$4))</f>
        <v>2.9589555764172308</v>
      </c>
      <c r="AF682" s="256">
        <f>FMS_Ranking4[[#This Row],[Length of roads at risk, ArcSinh (0-10)]]*AD$5*10</f>
        <v>2.9589555764172308</v>
      </c>
      <c r="AG682" s="253">
        <f>_xlfn.XLOOKUP(FMS_Ranking4[[#This Row],[FMS ID]],FMS_Input[FMS_ID],FMS_Input[FARMACRE100])</f>
        <v>1524.894287109375</v>
      </c>
      <c r="AH682" s="255">
        <f>(ASINH(FMS_Ranking4[[#This Row],[Ag Land Raw]]))*(10)/(ASINH(AG$4))</f>
        <v>5.2114801760587257</v>
      </c>
      <c r="AI682" s="260">
        <f>FMS_Ranking4[[#This Row],[Farm &amp; ranch land, ArcSinh (0-10)]]*AG$5*10</f>
        <v>2.6057400880293629</v>
      </c>
      <c r="AJ682" s="258">
        <f>_xlfn.XLOOKUP(FMS_Ranking4[[#This Row],[FMS ID]],FMS_Input[FMS_ID],FMS_Input[REDSTRUCT100])</f>
        <v>0</v>
      </c>
      <c r="AK682" s="253">
        <f>_xlfn.XLOOKUP(FMS_Ranking4[[#This Row],[FMS ID]],FMS_Input[FMS_ID],FMS_Input[REMSTRC100])</f>
        <v>0</v>
      </c>
      <c r="AL682" s="259">
        <f>(ASINH(FMS_Ranking4[[#This Row],[Structures Removed Raw]]))*(10)/(ASINH(AK$4))</f>
        <v>0</v>
      </c>
      <c r="AM682" s="262">
        <f>FMS_Ranking4[[#This Row],[Structures removed, ArcSinh (0-10)]]*AK$5*10</f>
        <v>0</v>
      </c>
      <c r="AN682" s="253">
        <f>_xlfn.XLOOKUP(FMS_Ranking4[[#This Row],[FMS ID]],FMS_Input[FMS_ID],FMS_Input[REMRESSTRC100])</f>
        <v>0</v>
      </c>
      <c r="AO682" s="261">
        <f>FMS_Ranking4[[#This Row],[ArcSinh Res struct removed 0-10]]*AN$5*10</f>
        <v>0</v>
      </c>
      <c r="AP682" s="260">
        <f>ASINH(FMS_Ranking4[[#This Row],[Residential Structures Removed Raw]])/AP$4*AN$5*100</f>
        <v>0</v>
      </c>
      <c r="AQ682" s="254">
        <f>(ASINH(FMS_Ranking4[[#This Row],[Residential Structures Removed Raw]]))*(10)/(ASINH(AN$4))</f>
        <v>0</v>
      </c>
      <c r="AR682" s="253">
        <f>_xlfn.XLOOKUP(FMS_Ranking4[[#This Row],[FMS ID]],FMS_Input[FMS_ID],FMS_Input[REMPOP100])</f>
        <v>0</v>
      </c>
      <c r="AS682" s="259">
        <f>(ASINH(FMS_Ranking4[[#This Row],[Removed Pop Raw]]))*(10)/(ASINH(AR$4))</f>
        <v>0</v>
      </c>
      <c r="AT682" s="262">
        <f>FMS_Ranking4[[#This Row],[Removed population, ArcSinh (0-10)]]*AR$5*10</f>
        <v>0</v>
      </c>
      <c r="AU682" s="264">
        <f>_xlfn.XLOOKUP(FMS_Ranking4[[#This Row],[FMS ID]],FMS_Input[FMS_ID],FMS_Input[REMCRITFAC100])</f>
        <v>0</v>
      </c>
      <c r="AV682" s="264">
        <f>_xlfn.XLOOKUP(FMS_Ranking4[[#This Row],[FMS ID]],FMS_Input[FMS_ID],FMS_Input[REMLWC100])</f>
        <v>0</v>
      </c>
      <c r="AW682" s="264">
        <f>_xlfn.XLOOKUP(FMS_Ranking4[[#This Row],[FMS ID]],FMS_Input[FMS_ID],FMS_Input[REMROADCLS])</f>
        <v>0</v>
      </c>
      <c r="AX682" s="264">
        <f>_xlfn.XLOOKUP(FMS_Ranking4[[#This Row],[FMS ID]],FMS_Input[FMS_ID],FMS_Input[REMFRMACRE100])</f>
        <v>0</v>
      </c>
      <c r="AY682" s="258">
        <f>_xlfn.XLOOKUP(FMS_Ranking4[[#This Row],[FMS ID]],FMS_Input[FMS_ID],FMS_Input[COSTSTRUCT])</f>
        <v>0</v>
      </c>
      <c r="AZ682" s="253">
        <f>_xlfn.XLOOKUP(FMS_Ranking4[[#This Row],[FMS ID]],FMS_Input[FMS_ID],FMS_Input[NATURE])</f>
        <v>0</v>
      </c>
      <c r="BA682" s="262">
        <f>(((FMS_Ranking4[[#This Row],[% NBS Raw]]/AZ$4)*100)*AZ$5)</f>
        <v>0</v>
      </c>
      <c r="BB682" s="251" t="str">
        <f>_xlfn.XLOOKUP(FMS_Ranking4[[#This Row],[FMS ID]],FMS_Input[FMS_ID],FMS_Input[WATER_SUP])</f>
        <v>No</v>
      </c>
      <c r="BC682" s="265">
        <f>IF(FMS_Ranking4[[#This Row],[Water Supply Raw]]="Yes",10,0)</f>
        <v>0</v>
      </c>
      <c r="BD682" s="266">
        <f>_xlfn.XLOOKUP(FMS_Ranking4[[#This Row],[FMS Type]],FMS_TYPE[FMS_Type],FMS_TYPE[Score])</f>
        <v>4</v>
      </c>
      <c r="BE682" s="267">
        <f>FMS_Ranking4[[#This Row],[FMS_Type Score]]*$BD$5*10</f>
        <v>1</v>
      </c>
      <c r="BF68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1.7301689256664719E-2</v>
      </c>
      <c r="BG682" s="271">
        <f>_xlfn.RANK.EQ(BF682,$BF$8:$BF$870,0)+COUNTIF($BF$8:BF682,BF682)-1</f>
        <v>650</v>
      </c>
      <c r="BH682" s="268">
        <f>(((FMS_Ranking4[[#This Row],[Structures Removed Raw]]/AK$4)*100)*AK$5)+(((FMS_Ranking4[[#This Row],[Removed Pop Raw]]/AR$4)*100)*AR$5)</f>
        <v>0</v>
      </c>
      <c r="BI68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1.0173016892566646</v>
      </c>
      <c r="BJ682" s="205">
        <f>_xlfn.RANK.EQ(FMS_Ranking4[[#This Row],[Total Score 
(with linear
normalization)]],FMS_Ranking4[Total Score 
(with linear
normalization)],0)</f>
        <v>723</v>
      </c>
      <c r="BK682" s="205" t="e">
        <f>_xlfn.XLOOKUP(FMS_Ranking4[[#This Row],[FMS ID]],#REF!,#REF!)</f>
        <v>#REF!</v>
      </c>
      <c r="BL68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9.4424365539316177</v>
      </c>
      <c r="BM682" s="272">
        <f>FMS_Ranking4[[#This Row],[ArcSinh Score Based on Normalized Reported Factors]]+FMS_Ranking4[[#This Row],[% NBS Score (Normalized)]]+(FMS_Ranking4[[#This Row],[Water Supply Score (Normalized)]]*10*$BB$5)+FMS_Ranking4[[#This Row],[FMS_Type Score Weighted]]</f>
        <v>10.442436553931618</v>
      </c>
      <c r="BN682" s="205">
        <f>_xlfn.RANK.EQ(FMS_Ranking4[[#This Row],[Total Score (with ArcSinh normalization of select criteria)]],FMS_Ranking4[Total Score (with ArcSinh normalization of select criteria)],0)</f>
        <v>675</v>
      </c>
      <c r="BO682" s="270" t="str">
        <f>_xlfn.XLOOKUP(FMS_Ranking4[[#This Row],[FMS ID]],FMS_Input[FMS_ID],FMS_Input[FMS_RANK_YEAR])</f>
        <v>2023 Amended Plan</v>
      </c>
      <c r="BP682" s="204">
        <f>_xlfn.XLOOKUP(FMS_Ranking4[[#This Row],[FMS ID]],Prev_Rank[FMS ID],Prev_Rank[Prev Rank])</f>
        <v>606</v>
      </c>
      <c r="BQ682" s="205" t="e">
        <f>_xlfn.XLOOKUP(FMS_Ranking4[[#This Row],[FMS ID]],#REF!,#REF!)</f>
        <v>#REF!</v>
      </c>
      <c r="BR682" s="199" t="e">
        <f>SUM(#REF!,#REF!,#REF!,#REF!,#REF!,#REF!,#REF!,#REF!,#REF!,FMS_Ranking4[[#This Row],[ArcSinh Res struct removed 0-10]],#REF!)</f>
        <v>#REF!</v>
      </c>
      <c r="BS682" s="199" t="e">
        <f>FMS_Ranking4[[#This Row],[Log Score Based on Normalized Reported Factors]]+FMS_Ranking4[[#This Row],[% NBS Score (Normalized)]]+(FMS_Ranking4[[#This Row],[Water Supply Score (Normalized)]]*10*$BB$5)+(FMS_Ranking4[[#This Row],[FMS_Type Score Weighted]])</f>
        <v>#REF!</v>
      </c>
      <c r="BT682" s="200" t="e">
        <f>_xlfn.RANK.EQ(FMS_Ranking4[[#This Row],[Log Total Score]],FMS_Ranking4[Log Total Score],0)</f>
        <v>#REF!</v>
      </c>
      <c r="BU682" s="200" t="e">
        <f>_xlfn.XLOOKUP(FMS_Ranking4[[#This Row],[FMS ID]],#REF!,#REF!)</f>
        <v>#REF!</v>
      </c>
      <c r="BV682" s="200">
        <f>FMS_Ranking4[[#This Row],[Region Number]]</f>
        <v>7</v>
      </c>
      <c r="BW682" s="200">
        <f>FMS_Ranking4[[#This Row],[Rank (with ArcSinh normalization of select criteria)]]-FMS_Ranking4[[#This Row],[Rank
(with linear
normalization)]]</f>
        <v>-48</v>
      </c>
      <c r="BX682" s="200" t="e">
        <f>FMS_Ranking4[[#This Row],[Log Rank]]-FMS_Ranking4[[#This Row],[Rank
(with linear
normalization)]]</f>
        <v>#REF!</v>
      </c>
      <c r="BY682" s="200" t="str">
        <f>IF(FMS_Ranking4[[#This Row],[FMS Type]]="Flood Measurement and Warning",FMS_Ranking4[[#This Row],[Rank (with ArcSinh normalization of select criteria)]],"")</f>
        <v/>
      </c>
      <c r="BZ682" s="200" t="str">
        <f>IF(FMS_Ranking4[[#This Row],[FMS Type]]="Regulatory and Guidance",FMS_Ranking4[[#This Row],[Rank (with ArcSinh normalization of select criteria)]],"")</f>
        <v/>
      </c>
      <c r="CA682" s="200" t="str">
        <f>IF(FMS_Ranking4[[#This Row],[FMS Type]]="Education and Outreach",FMS_Ranking4[[#This Row],[Rank (with ArcSinh normalization of select criteria)]],"")</f>
        <v/>
      </c>
      <c r="CB682" s="200" t="str">
        <f>IF(FMS_Ranking4[[#This Row],[FMS Type]]="Property Acquisition and Structural Elevation",FMS_Ranking4[[#This Row],[Rank (with ArcSinh normalization of select criteria)]],"")</f>
        <v/>
      </c>
      <c r="CC682" s="200">
        <f>IF(FMS_Ranking4[[#This Row],[FMS Type]]="Infrastructure Projects",FMS_Ranking4[[#This Row],[Rank (with ArcSinh normalization of select criteria)]],"")</f>
        <v>675</v>
      </c>
      <c r="CD682" s="200" t="str">
        <f>IF(FMS_Ranking4[[#This Row],[FMS Type]]="Other",FMS_Ranking4[[#This Row],[Rank (with ArcSinh normalization of select criteria)]],"")</f>
        <v/>
      </c>
      <c r="CE682" s="201"/>
      <c r="CF682" s="206"/>
      <c r="CG682" s="206"/>
      <c r="CH682" s="206"/>
      <c r="CI682" s="206"/>
      <c r="CJ682" s="206"/>
      <c r="CK682" s="206"/>
      <c r="CL682" s="206"/>
      <c r="CM682" s="206"/>
      <c r="CN682" s="206"/>
      <c r="CO682" s="206"/>
      <c r="CP682" s="206"/>
      <c r="CQ682" s="206"/>
      <c r="CR682" s="206"/>
    </row>
    <row r="683" spans="2:96" ht="45" x14ac:dyDescent="0.25">
      <c r="B683" s="341" t="s">
        <v>2472</v>
      </c>
      <c r="C683" s="246">
        <f>_xlfn.XLOOKUP(FMS_Ranking4[[#This Row],[FMS ID]],FMS_Input[FMS_ID],FMS_Input[RFPG_NUM])</f>
        <v>3</v>
      </c>
      <c r="D683" s="309" t="str">
        <f>_xlfn.XLOOKUP(FMS_Ranking4[[#This Row],[FMS ID]],FMS_Input[FMS_ID],FMS_Input[FMS_NAME])</f>
        <v>Town of Road Runner NFIP Floodplain Ordinance</v>
      </c>
      <c r="E683" s="308" t="str">
        <f>_xlfn.XLOOKUP(FMS_Ranking4[[#This Row],[FMS ID]],FMS_Input[FMS_ID],FMS_Input[SPONSOR])</f>
        <v>Road Runner</v>
      </c>
      <c r="F683" s="309" t="str">
        <f>_xlfn.XLOOKUP(FMS_Ranking4[[#This Row],[FMS ID]],Sponsor[FMS_ID],Sponsor[SPONSOR NAME])</f>
        <v>Road Runner</v>
      </c>
      <c r="G683" s="309" t="str">
        <f>_xlfn.XLOOKUP(FMS_Ranking4[[#This Row],[FMS ID]],FMS_Input[FMS_ID],FMS_Input[FMS_DESCR])</f>
        <v>Develop a floodplain ordinance that meets or exceeds FEMA's minimum standards</v>
      </c>
      <c r="H683" s="248" t="str">
        <f>_xlfn.XLOOKUP(FMS_Ranking4[[#This Row],[FMS ID]],FMS_Input[FMS_ID],FMS_Input[FMS_TYPE])</f>
        <v>Regulatory and Guidance</v>
      </c>
      <c r="I683" s="249">
        <f>_xlfn.XLOOKUP(FMS_Ranking4[[#This Row],[FMS ID]],FMS_Input[FMS_ID],FMS_Input[NRNC_COST])</f>
        <v>100000</v>
      </c>
      <c r="J683" s="250">
        <f>_xlfn.XLOOKUP(FMS_Ranking4[[#This Row],[FMS ID]],FMS_Input[FMS_ID],FMS_Input[FMS_COST])</f>
        <v>100000</v>
      </c>
      <c r="K683" s="251" t="str">
        <f>_xlfn.XLOOKUP(FMS_Ranking4[[#This Row],[FMS ID]],FMS_Input[FMS_ID],FMS_Input[EMER_NEED])</f>
        <v>No</v>
      </c>
      <c r="L683" s="252">
        <f t="shared" si="10"/>
        <v>0</v>
      </c>
      <c r="M683" s="253">
        <f>_xlfn.XLOOKUP(FMS_Ranking4[[#This Row],[FMS ID]],FMS_Input[FMS_ID],FMS_Input[STRUCT_100])</f>
        <v>87</v>
      </c>
      <c r="N683" s="255">
        <f>(ASINH(FMS_Ranking4[[#This Row],[Structure at Risk Raw]]))*(10)/(ASINH(M$4))</f>
        <v>4.0558115800352503</v>
      </c>
      <c r="O683" s="256">
        <f>FMS_Ranking4[[#This Row],[Structures at risk, ArcSinh (0-10)]]*M$5*10</f>
        <v>4.0558115800352503</v>
      </c>
      <c r="P683" s="253">
        <f>_xlfn.XLOOKUP(FMS_Ranking4[[#This Row],[FMS ID]],FMS_Input[FMS_ID],FMS_Input[RES_STRUCT100])</f>
        <v>87</v>
      </c>
      <c r="Q683" s="257">
        <f>ASINH(FMS_Ranking4[[#This Row],[Res Structure Raw]])/Q$4*P$5*100</f>
        <v>0</v>
      </c>
      <c r="R683" s="253">
        <f>_xlfn.XLOOKUP(FMS_Ranking4[[#This Row],[FMS ID]],FMS_Input[FMS_ID],FMS_Input[POP100])</f>
        <v>52</v>
      </c>
      <c r="S683" s="255">
        <f>(ASINH(FMS_Ranking4[[#This Row],[Pop at Risk Raw]]))*(10)/(ASINH(R$4))</f>
        <v>3.2063572431552267</v>
      </c>
      <c r="T683" s="256">
        <f>FMS_Ranking4[[#This Row],[Population at risk, ArcSinh (0-10)]]*R$5*10</f>
        <v>3.2063572431552267</v>
      </c>
      <c r="U683" s="253">
        <f>_xlfn.XLOOKUP(FMS_Ranking4[[#This Row],[FMS ID]],FMS_Input[FMS_ID],FMS_Input[CRITFAC100])</f>
        <v>0</v>
      </c>
      <c r="V683" s="255">
        <f>(ASINH(FMS_Ranking4[[#This Row],[Critical Facilities Raw]]))*(10)/(ASINH(U$4))</f>
        <v>0</v>
      </c>
      <c r="W683" s="256">
        <f>FMS_Ranking4[[#This Row],[Critical facilities at risk, ArcSinh (0-10)]]*U$5*10</f>
        <v>0</v>
      </c>
      <c r="X683" s="253">
        <f>_xlfn.XLOOKUP(FMS_Ranking4[[#This Row],[FMS ID]],FMS_Input[FMS_ID],FMS_Input[LWC])</f>
        <v>0</v>
      </c>
      <c r="Y683" s="255">
        <f>(ASINH(FMS_Ranking4[[#This Row],[LWC Raw]]))*(10)/(ASINH(X$4))</f>
        <v>0</v>
      </c>
      <c r="Z683" s="256">
        <f>FMS_Ranking4[[#This Row],[LWC, ArcSInh (0-10)]]*X$5*10</f>
        <v>0</v>
      </c>
      <c r="AA683" s="253">
        <f>_xlfn.XLOOKUP(FMS_Ranking4[[#This Row],[FMS ID]],FMS_Input[FMS_ID],FMS_Input[ROADCLS])</f>
        <v>0</v>
      </c>
      <c r="AB683" s="255">
        <f>(ASINH(FMS_Ranking4[[#This Row],[Road Closures Raw]]))*(10)/(ASINH(AA$4))</f>
        <v>0</v>
      </c>
      <c r="AC683" s="256">
        <f>FMS_Ranking4[[#This Row],[Road closures, ArcSinh (0-10)]]*AA$5*10</f>
        <v>0</v>
      </c>
      <c r="AD683" s="253">
        <f>_xlfn.XLOOKUP(FMS_Ranking4[[#This Row],[FMS ID]],FMS_Input[FMS_ID],FMS_Input[ROAD_MILES100])</f>
        <v>0</v>
      </c>
      <c r="AE683" s="255">
        <f>(ASINH(FMS_Ranking4[[#This Row],[Road Miles Raw]]))*(10)/(ASINH(AD$4))</f>
        <v>0</v>
      </c>
      <c r="AF683" s="256">
        <f>FMS_Ranking4[[#This Row],[Length of roads at risk, ArcSinh (0-10)]]*AD$5*10</f>
        <v>0</v>
      </c>
      <c r="AG683" s="253">
        <f>_xlfn.XLOOKUP(FMS_Ranking4[[#This Row],[FMS ID]],FMS_Input[FMS_ID],FMS_Input[FARMACRE100])</f>
        <v>17.09623908996582</v>
      </c>
      <c r="AH683" s="255">
        <f>(ASINH(FMS_Ranking4[[#This Row],[Ag Land Raw]]))*(10)/(ASINH(AG$4))</f>
        <v>2.2948803431826406</v>
      </c>
      <c r="AI683" s="260">
        <f>FMS_Ranking4[[#This Row],[Farm &amp; ranch land, ArcSinh (0-10)]]*AG$5*10</f>
        <v>1.1474401715913203</v>
      </c>
      <c r="AJ683" s="258">
        <f>_xlfn.XLOOKUP(FMS_Ranking4[[#This Row],[FMS ID]],FMS_Input[FMS_ID],FMS_Input[REDSTRUCT100])</f>
        <v>0</v>
      </c>
      <c r="AK683" s="253">
        <f>_xlfn.XLOOKUP(FMS_Ranking4[[#This Row],[FMS ID]],FMS_Input[FMS_ID],FMS_Input[REMSTRC100])</f>
        <v>0</v>
      </c>
      <c r="AL683" s="255">
        <f>(ASINH(FMS_Ranking4[[#This Row],[Structures Removed Raw]]))*(10)/(ASINH(AK$4))</f>
        <v>0</v>
      </c>
      <c r="AM683" s="262">
        <f>FMS_Ranking4[[#This Row],[Structures removed, ArcSinh (0-10)]]*AK$5*10</f>
        <v>0</v>
      </c>
      <c r="AN683" s="253">
        <f>_xlfn.XLOOKUP(FMS_Ranking4[[#This Row],[FMS ID]],FMS_Input[FMS_ID],FMS_Input[REMRESSTRC100])</f>
        <v>0</v>
      </c>
      <c r="AO683" s="261">
        <f>FMS_Ranking4[[#This Row],[ArcSinh Res struct removed 0-10]]*AN$5*10</f>
        <v>0</v>
      </c>
      <c r="AP683" s="260">
        <f>ASINH(FMS_Ranking4[[#This Row],[Residential Structures Removed Raw]])/AP$4*AN$5*100</f>
        <v>0</v>
      </c>
      <c r="AQ683" s="258">
        <f>(ASINH(FMS_Ranking4[[#This Row],[Residential Structures Removed Raw]]))*(10)/(ASINH(AN$4))</f>
        <v>0</v>
      </c>
      <c r="AR683" s="253">
        <f>_xlfn.XLOOKUP(FMS_Ranking4[[#This Row],[FMS ID]],FMS_Input[FMS_ID],FMS_Input[REMPOP100])</f>
        <v>0</v>
      </c>
      <c r="AS683" s="255">
        <f>(ASINH(FMS_Ranking4[[#This Row],[Removed Pop Raw]]))*(10)/(ASINH(AR$4))</f>
        <v>0</v>
      </c>
      <c r="AT683" s="262">
        <f>FMS_Ranking4[[#This Row],[Removed population, ArcSinh (0-10)]]*AR$5*10</f>
        <v>0</v>
      </c>
      <c r="AU683" s="264">
        <f>_xlfn.XLOOKUP(FMS_Ranking4[[#This Row],[FMS ID]],FMS_Input[FMS_ID],FMS_Input[REMCRITFAC100])</f>
        <v>0</v>
      </c>
      <c r="AV683" s="264">
        <f>_xlfn.XLOOKUP(FMS_Ranking4[[#This Row],[FMS ID]],FMS_Input[FMS_ID],FMS_Input[REMLWC100])</f>
        <v>0</v>
      </c>
      <c r="AW683" s="264">
        <f>_xlfn.XLOOKUP(FMS_Ranking4[[#This Row],[FMS ID]],FMS_Input[FMS_ID],FMS_Input[REMROADCLS])</f>
        <v>0</v>
      </c>
      <c r="AX683" s="264">
        <f>_xlfn.XLOOKUP(FMS_Ranking4[[#This Row],[FMS ID]],FMS_Input[FMS_ID],FMS_Input[REMFRMACRE100])</f>
        <v>0</v>
      </c>
      <c r="AY683" s="258">
        <f>_xlfn.XLOOKUP(FMS_Ranking4[[#This Row],[FMS ID]],FMS_Input[FMS_ID],FMS_Input[COSTSTRUCT])</f>
        <v>0</v>
      </c>
      <c r="AZ683" s="253">
        <f>_xlfn.XLOOKUP(FMS_Ranking4[[#This Row],[FMS ID]],FMS_Input[FMS_ID],FMS_Input[NATURE])</f>
        <v>0</v>
      </c>
      <c r="BA683" s="262">
        <f>(((FMS_Ranking4[[#This Row],[% NBS Raw]]/AZ$4)*100)*AZ$5)</f>
        <v>0</v>
      </c>
      <c r="BB683" s="251" t="str">
        <f>_xlfn.XLOOKUP(FMS_Ranking4[[#This Row],[FMS ID]],FMS_Input[FMS_ID],FMS_Input[WATER_SUP])</f>
        <v>No</v>
      </c>
      <c r="BC683" s="265">
        <f>IF(FMS_Ranking4[[#This Row],[Water Supply Raw]]="Yes",10,0)</f>
        <v>0</v>
      </c>
      <c r="BD683" s="266">
        <f>_xlfn.XLOOKUP(FMS_Ranking4[[#This Row],[FMS Type]],FMS_TYPE[FMS_Type],FMS_TYPE[Score])</f>
        <v>8</v>
      </c>
      <c r="BE683" s="267">
        <f>FMS_Ranking4[[#This Row],[FMS_Type Score]]*$BD$5*10</f>
        <v>2</v>
      </c>
      <c r="BF68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5.7701754895884798E-3</v>
      </c>
      <c r="BG683" s="321">
        <f>_xlfn.RANK.EQ(BF683,$BF$8:$BF$870,0)+COUNTIF($BF$8:BF683,BF683)-1</f>
        <v>683</v>
      </c>
      <c r="BH683" s="294">
        <f>(((FMS_Ranking4[[#This Row],[Structures Removed Raw]]/AK$4)*100)*AK$5)+(((FMS_Ranking4[[#This Row],[Removed Pop Raw]]/AR$4)*100)*AR$5)</f>
        <v>0</v>
      </c>
      <c r="BI68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2.0057701754895887</v>
      </c>
      <c r="BJ683" s="251">
        <f>_xlfn.RANK.EQ(FMS_Ranking4[[#This Row],[Total Score 
(with linear
normalization)]],FMS_Ranking4[Total Score 
(with linear
normalization)],0)</f>
        <v>432</v>
      </c>
      <c r="BK683" s="251" t="e">
        <f>_xlfn.XLOOKUP(FMS_Ranking4[[#This Row],[FMS ID]],#REF!,#REF!)</f>
        <v>#REF!</v>
      </c>
      <c r="BL68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8.4096089947817969</v>
      </c>
      <c r="BM683" s="324">
        <f>FMS_Ranking4[[#This Row],[ArcSinh Score Based on Normalized Reported Factors]]+FMS_Ranking4[[#This Row],[% NBS Score (Normalized)]]+(FMS_Ranking4[[#This Row],[Water Supply Score (Normalized)]]*10*$BB$5)+FMS_Ranking4[[#This Row],[FMS_Type Score Weighted]]</f>
        <v>10.409608994781797</v>
      </c>
      <c r="BN683" s="251">
        <f>_xlfn.RANK.EQ(FMS_Ranking4[[#This Row],[Total Score (with ArcSinh normalization of select criteria)]],FMS_Ranking4[Total Score (with ArcSinh normalization of select criteria)],0)</f>
        <v>676</v>
      </c>
      <c r="BO683" s="270" t="str">
        <f>_xlfn.XLOOKUP(FMS_Ranking4[[#This Row],[FMS ID]],FMS_Input[FMS_ID],FMS_Input[FMS_RANK_YEAR])</f>
        <v>2023 Amended Plan</v>
      </c>
      <c r="BP683" s="204">
        <f>_xlfn.XLOOKUP(FMS_Ranking4[[#This Row],[FMS ID]],Prev_Rank[FMS ID],Prev_Rank[Prev Rank])</f>
        <v>604</v>
      </c>
      <c r="BQ683" s="251" t="e">
        <f>_xlfn.XLOOKUP(FMS_Ranking4[[#This Row],[FMS ID]],#REF!,#REF!)</f>
        <v>#REF!</v>
      </c>
      <c r="BR683" s="199" t="e">
        <f>SUM(#REF!,#REF!,#REF!,#REF!,#REF!,#REF!,#REF!,#REF!,#REF!,FMS_Ranking4[[#This Row],[ArcSinh Res struct removed 0-10]],#REF!)</f>
        <v>#REF!</v>
      </c>
      <c r="BS683" s="199" t="e">
        <f>FMS_Ranking4[[#This Row],[Log Score Based on Normalized Reported Factors]]+FMS_Ranking4[[#This Row],[% NBS Score (Normalized)]]+(FMS_Ranking4[[#This Row],[Water Supply Score (Normalized)]]*10*$BB$5)+(FMS_Ranking4[[#This Row],[FMS_Type Score Weighted]])</f>
        <v>#REF!</v>
      </c>
      <c r="BT683" s="200" t="e">
        <f>_xlfn.RANK.EQ(FMS_Ranking4[[#This Row],[Log Total Score]],FMS_Ranking4[Log Total Score],0)</f>
        <v>#REF!</v>
      </c>
      <c r="BU683" s="200" t="e">
        <f>_xlfn.XLOOKUP(FMS_Ranking4[[#This Row],[FMS ID]],#REF!,#REF!)</f>
        <v>#REF!</v>
      </c>
      <c r="BV683" s="200">
        <f>FMS_Ranking4[[#This Row],[Region Number]]</f>
        <v>3</v>
      </c>
      <c r="BW683" s="200">
        <f>FMS_Ranking4[[#This Row],[Rank (with ArcSinh normalization of select criteria)]]-FMS_Ranking4[[#This Row],[Rank
(with linear
normalization)]]</f>
        <v>244</v>
      </c>
      <c r="BX683" s="200" t="e">
        <f>FMS_Ranking4[[#This Row],[Log Rank]]-FMS_Ranking4[[#This Row],[Rank
(with linear
normalization)]]</f>
        <v>#REF!</v>
      </c>
      <c r="BY683" s="200" t="str">
        <f>IF(FMS_Ranking4[[#This Row],[FMS Type]]="Flood Measurement and Warning",FMS_Ranking4[[#This Row],[Rank (with ArcSinh normalization of select criteria)]],"")</f>
        <v/>
      </c>
      <c r="BZ683" s="200">
        <f>IF(FMS_Ranking4[[#This Row],[FMS Type]]="Regulatory and Guidance",FMS_Ranking4[[#This Row],[Rank (with ArcSinh normalization of select criteria)]],"")</f>
        <v>676</v>
      </c>
      <c r="CA683" s="200" t="str">
        <f>IF(FMS_Ranking4[[#This Row],[FMS Type]]="Education and Outreach",FMS_Ranking4[[#This Row],[Rank (with ArcSinh normalization of select criteria)]],"")</f>
        <v/>
      </c>
      <c r="CB683" s="200" t="str">
        <f>IF(FMS_Ranking4[[#This Row],[FMS Type]]="Property Acquisition and Structural Elevation",FMS_Ranking4[[#This Row],[Rank (with ArcSinh normalization of select criteria)]],"")</f>
        <v/>
      </c>
      <c r="CC683" s="200" t="str">
        <f>IF(FMS_Ranking4[[#This Row],[FMS Type]]="Infrastructure Projects",FMS_Ranking4[[#This Row],[Rank (with ArcSinh normalization of select criteria)]],"")</f>
        <v/>
      </c>
      <c r="CD683" s="200" t="str">
        <f>IF(FMS_Ranking4[[#This Row],[FMS Type]]="Other",FMS_Ranking4[[#This Row],[Rank (with ArcSinh normalization of select criteria)]],"")</f>
        <v/>
      </c>
      <c r="CE683" s="201"/>
      <c r="CF683" s="206"/>
      <c r="CG683" s="206"/>
      <c r="CH683" s="206"/>
      <c r="CI683" s="206"/>
      <c r="CJ683" s="206"/>
      <c r="CK683" s="206"/>
      <c r="CL683" s="206"/>
      <c r="CM683" s="206"/>
      <c r="CN683" s="206"/>
      <c r="CO683" s="206"/>
      <c r="CP683" s="206"/>
      <c r="CQ683" s="206"/>
      <c r="CR683" s="206"/>
    </row>
    <row r="684" spans="2:96" ht="30" x14ac:dyDescent="0.25">
      <c r="B684" s="341" t="s">
        <v>1111</v>
      </c>
      <c r="C684" s="246">
        <f>_xlfn.XLOOKUP(FMS_Ranking4[[#This Row],[FMS ID]],FMS_Input[FMS_ID],FMS_Input[RFPG_NUM])</f>
        <v>1</v>
      </c>
      <c r="D684" s="309" t="str">
        <f>_xlfn.XLOOKUP(FMS_Ranking4[[#This Row],[FMS ID]],FMS_Input[FMS_ID],FMS_Input[FMS_NAME])</f>
        <v>Jolly NFIP Involvement</v>
      </c>
      <c r="E684" s="308" t="str">
        <f>_xlfn.XLOOKUP(FMS_Ranking4[[#This Row],[FMS ID]],FMS_Input[FMS_ID],FMS_Input[SPONSOR])</f>
        <v>01003239</v>
      </c>
      <c r="F684" s="309" t="str">
        <f>_xlfn.XLOOKUP(FMS_Ranking4[[#This Row],[FMS ID]],Sponsor[FMS_ID],Sponsor[SPONSOR NAME])</f>
        <v>Jolly</v>
      </c>
      <c r="G684" s="309" t="str">
        <f>_xlfn.XLOOKUP(FMS_Ranking4[[#This Row],[FMS ID]],FMS_Input[FMS_ID],FMS_Input[FMS_DESCR])</f>
        <v>Application to join NFIP or adopt equivalent standards</v>
      </c>
      <c r="H684" s="248" t="str">
        <f>_xlfn.XLOOKUP(FMS_Ranking4[[#This Row],[FMS ID]],FMS_Input[FMS_ID],FMS_Input[FMS_TYPE])</f>
        <v>Regulatory and Guidance</v>
      </c>
      <c r="I684" s="249">
        <f>_xlfn.XLOOKUP(FMS_Ranking4[[#This Row],[FMS ID]],FMS_Input[FMS_ID],FMS_Input[NRNC_COST])</f>
        <v>100000</v>
      </c>
      <c r="J684" s="250">
        <f>_xlfn.XLOOKUP(FMS_Ranking4[[#This Row],[FMS ID]],FMS_Input[FMS_ID],FMS_Input[FMS_COST])</f>
        <v>100000</v>
      </c>
      <c r="K684" s="251" t="str">
        <f>_xlfn.XLOOKUP(FMS_Ranking4[[#This Row],[FMS ID]],FMS_Input[FMS_ID],FMS_Input[EMER_NEED])</f>
        <v>No</v>
      </c>
      <c r="L684" s="252">
        <f t="shared" si="10"/>
        <v>0</v>
      </c>
      <c r="M684" s="253">
        <f>_xlfn.XLOOKUP(FMS_Ranking4[[#This Row],[FMS ID]],FMS_Input[FMS_ID],FMS_Input[STRUCT_100])</f>
        <v>3</v>
      </c>
      <c r="N684" s="255">
        <f>(ASINH(FMS_Ranking4[[#This Row],[Structure at Risk Raw]]))*(10)/(ASINH(M$4))</f>
        <v>1.4295696719071895</v>
      </c>
      <c r="O684" s="256">
        <f>FMS_Ranking4[[#This Row],[Structures at risk, ArcSinh (0-10)]]*M$5*10</f>
        <v>1.4295696719071895</v>
      </c>
      <c r="P684" s="253">
        <f>_xlfn.XLOOKUP(FMS_Ranking4[[#This Row],[FMS ID]],FMS_Input[FMS_ID],FMS_Input[RES_STRUCT100])</f>
        <v>0</v>
      </c>
      <c r="Q684" s="257">
        <f>ASINH(FMS_Ranking4[[#This Row],[Res Structure Raw]])/Q$4*P$5*100</f>
        <v>0</v>
      </c>
      <c r="R684" s="253">
        <f>_xlfn.XLOOKUP(FMS_Ranking4[[#This Row],[FMS ID]],FMS_Input[FMS_ID],FMS_Input[POP100])</f>
        <v>10</v>
      </c>
      <c r="S684" s="255">
        <f>(ASINH(FMS_Ranking4[[#This Row],[Pop at Risk Raw]]))*(10)/(ASINH(R$4))</f>
        <v>2.0698478529282238</v>
      </c>
      <c r="T684" s="256">
        <f>FMS_Ranking4[[#This Row],[Population at risk, ArcSinh (0-10)]]*R$5*10</f>
        <v>2.0698478529282238</v>
      </c>
      <c r="U684" s="253">
        <f>_xlfn.XLOOKUP(FMS_Ranking4[[#This Row],[FMS ID]],FMS_Input[FMS_ID],FMS_Input[CRITFAC100])</f>
        <v>0</v>
      </c>
      <c r="V684" s="255">
        <f>(ASINH(FMS_Ranking4[[#This Row],[Critical Facilities Raw]]))*(10)/(ASINH(U$4))</f>
        <v>0</v>
      </c>
      <c r="W684" s="256">
        <f>FMS_Ranking4[[#This Row],[Critical facilities at risk, ArcSinh (0-10)]]*U$5*10</f>
        <v>0</v>
      </c>
      <c r="X684" s="253">
        <f>_xlfn.XLOOKUP(FMS_Ranking4[[#This Row],[FMS ID]],FMS_Input[FMS_ID],FMS_Input[LWC])</f>
        <v>2</v>
      </c>
      <c r="Y684" s="255">
        <f>(ASINH(FMS_Ranking4[[#This Row],[LWC Raw]]))*(10)/(ASINH(X$4))</f>
        <v>1.9557475158633808</v>
      </c>
      <c r="Z684" s="256">
        <f>FMS_Ranking4[[#This Row],[LWC, ArcSInh (0-10)]]*X$5*10</f>
        <v>1.9557475158633808</v>
      </c>
      <c r="AA684" s="253">
        <f>_xlfn.XLOOKUP(FMS_Ranking4[[#This Row],[FMS ID]],FMS_Input[FMS_ID],FMS_Input[ROADCLS])</f>
        <v>3</v>
      </c>
      <c r="AB684" s="255">
        <f>(ASINH(FMS_Ranking4[[#This Row],[Road Closures Raw]]))*(10)/(ASINH(AA$4))</f>
        <v>1.8937450846072912</v>
      </c>
      <c r="AC684" s="256">
        <f>FMS_Ranking4[[#This Row],[Road closures, ArcSinh (0-10)]]*AA$5*10</f>
        <v>0.94687254230364559</v>
      </c>
      <c r="AD684" s="253">
        <f>_xlfn.XLOOKUP(FMS_Ranking4[[#This Row],[FMS ID]],FMS_Input[FMS_ID],FMS_Input[ROAD_MILES100])</f>
        <v>1</v>
      </c>
      <c r="AE684" s="255">
        <f>(ASINH(FMS_Ranking4[[#This Row],[Road Miles Raw]]))*(10)/(ASINH(AD$4))</f>
        <v>0.9393017565219649</v>
      </c>
      <c r="AF684" s="256">
        <f>FMS_Ranking4[[#This Row],[Length of roads at risk, ArcSinh (0-10)]]*AD$5*10</f>
        <v>0.93930175652196501</v>
      </c>
      <c r="AG684" s="253">
        <f>_xlfn.XLOOKUP(FMS_Ranking4[[#This Row],[FMS ID]],FMS_Input[FMS_ID],FMS_Input[FARMACRE100])</f>
        <v>10.21627807617188</v>
      </c>
      <c r="AH684" s="255">
        <f>(ASINH(FMS_Ranking4[[#This Row],[Ag Land Raw]]))*(10)/(ASINH(AG$4))</f>
        <v>1.9614217885310232</v>
      </c>
      <c r="AI684" s="260">
        <f>FMS_Ranking4[[#This Row],[Farm &amp; ranch land, ArcSinh (0-10)]]*AG$5*10</f>
        <v>0.98071089426551172</v>
      </c>
      <c r="AJ684" s="258">
        <f>_xlfn.XLOOKUP(FMS_Ranking4[[#This Row],[FMS ID]],FMS_Input[FMS_ID],FMS_Input[REDSTRUCT100])</f>
        <v>0</v>
      </c>
      <c r="AK684" s="253">
        <f>_xlfn.XLOOKUP(FMS_Ranking4[[#This Row],[FMS ID]],FMS_Input[FMS_ID],FMS_Input[REMSTRC100])</f>
        <v>0</v>
      </c>
      <c r="AL684" s="255">
        <f>(ASINH(FMS_Ranking4[[#This Row],[Structures Removed Raw]]))*(10)/(ASINH(AK$4))</f>
        <v>0</v>
      </c>
      <c r="AM684" s="262">
        <f>FMS_Ranking4[[#This Row],[Structures removed, ArcSinh (0-10)]]*AK$5*10</f>
        <v>0</v>
      </c>
      <c r="AN684" s="253">
        <f>_xlfn.XLOOKUP(FMS_Ranking4[[#This Row],[FMS ID]],FMS_Input[FMS_ID],FMS_Input[REMRESSTRC100])</f>
        <v>0</v>
      </c>
      <c r="AO684" s="261">
        <f>FMS_Ranking4[[#This Row],[ArcSinh Res struct removed 0-10]]*AN$5*10</f>
        <v>0</v>
      </c>
      <c r="AP684" s="260">
        <f>ASINH(FMS_Ranking4[[#This Row],[Residential Structures Removed Raw]])/AP$4*AN$5*100</f>
        <v>0</v>
      </c>
      <c r="AQ684" s="258">
        <f>(ASINH(FMS_Ranking4[[#This Row],[Residential Structures Removed Raw]]))*(10)/(ASINH(AN$4))</f>
        <v>0</v>
      </c>
      <c r="AR684" s="253">
        <f>_xlfn.XLOOKUP(FMS_Ranking4[[#This Row],[FMS ID]],FMS_Input[FMS_ID],FMS_Input[REMPOP100])</f>
        <v>0</v>
      </c>
      <c r="AS684" s="255">
        <f>(ASINH(FMS_Ranking4[[#This Row],[Removed Pop Raw]]))*(10)/(ASINH(AR$4))</f>
        <v>0</v>
      </c>
      <c r="AT684" s="262">
        <f>FMS_Ranking4[[#This Row],[Removed population, ArcSinh (0-10)]]*AR$5*10</f>
        <v>0</v>
      </c>
      <c r="AU684" s="264">
        <f>_xlfn.XLOOKUP(FMS_Ranking4[[#This Row],[FMS ID]],FMS_Input[FMS_ID],FMS_Input[REMCRITFAC100])</f>
        <v>0</v>
      </c>
      <c r="AV684" s="264">
        <f>_xlfn.XLOOKUP(FMS_Ranking4[[#This Row],[FMS ID]],FMS_Input[FMS_ID],FMS_Input[REMLWC100])</f>
        <v>0</v>
      </c>
      <c r="AW684" s="264">
        <f>_xlfn.XLOOKUP(FMS_Ranking4[[#This Row],[FMS ID]],FMS_Input[FMS_ID],FMS_Input[REMROADCLS])</f>
        <v>0</v>
      </c>
      <c r="AX684" s="264">
        <f>_xlfn.XLOOKUP(FMS_Ranking4[[#This Row],[FMS ID]],FMS_Input[FMS_ID],FMS_Input[REMFRMACRE100])</f>
        <v>0</v>
      </c>
      <c r="AY684" s="258">
        <f>_xlfn.XLOOKUP(FMS_Ranking4[[#This Row],[FMS ID]],FMS_Input[FMS_ID],FMS_Input[COSTSTRUCT])</f>
        <v>0</v>
      </c>
      <c r="AZ684" s="253">
        <f>_xlfn.XLOOKUP(FMS_Ranking4[[#This Row],[FMS ID]],FMS_Input[FMS_ID],FMS_Input[NATURE])</f>
        <v>0</v>
      </c>
      <c r="BA684" s="262">
        <f>(((FMS_Ranking4[[#This Row],[% NBS Raw]]/AZ$4)*100)*AZ$5)</f>
        <v>0</v>
      </c>
      <c r="BB684" s="251" t="str">
        <f>_xlfn.XLOOKUP(FMS_Ranking4[[#This Row],[FMS ID]],FMS_Input[FMS_ID],FMS_Input[WATER_SUP])</f>
        <v>No</v>
      </c>
      <c r="BC684" s="265">
        <f>IF(FMS_Ranking4[[#This Row],[Water Supply Raw]]="Yes",10,0)</f>
        <v>0</v>
      </c>
      <c r="BD684" s="266">
        <f>_xlfn.XLOOKUP(FMS_Ranking4[[#This Row],[FMS Type]],FMS_TYPE[FMS_Type],FMS_TYPE[Score])</f>
        <v>8</v>
      </c>
      <c r="BE684" s="267">
        <f>FMS_Ranking4[[#This Row],[FMS_Type Score]]*$BD$5*10</f>
        <v>2</v>
      </c>
      <c r="BF68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2.8918829888078087E-2</v>
      </c>
      <c r="BG684" s="321">
        <f>_xlfn.RANK.EQ(BF684,$BF$8:$BF$870,0)+COUNTIF($BF$8:BF684,BF684)-1</f>
        <v>604</v>
      </c>
      <c r="BH684" s="294">
        <f>(((FMS_Ranking4[[#This Row],[Structures Removed Raw]]/AK$4)*100)*AK$5)+(((FMS_Ranking4[[#This Row],[Removed Pop Raw]]/AR$4)*100)*AR$5)</f>
        <v>0</v>
      </c>
      <c r="BI68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2.0289188298880783</v>
      </c>
      <c r="BJ684" s="251">
        <f>_xlfn.RANK.EQ(FMS_Ranking4[[#This Row],[Total Score 
(with linear
normalization)]],FMS_Ranking4[Total Score 
(with linear
normalization)],0)</f>
        <v>401</v>
      </c>
      <c r="BK684" s="251" t="e">
        <f>_xlfn.XLOOKUP(FMS_Ranking4[[#This Row],[FMS ID]],#REF!,#REF!)</f>
        <v>#REF!</v>
      </c>
      <c r="BL68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8.3220502337899163</v>
      </c>
      <c r="BM684" s="324">
        <f>FMS_Ranking4[[#This Row],[ArcSinh Score Based on Normalized Reported Factors]]+FMS_Ranking4[[#This Row],[% NBS Score (Normalized)]]+(FMS_Ranking4[[#This Row],[Water Supply Score (Normalized)]]*10*$BB$5)+FMS_Ranking4[[#This Row],[FMS_Type Score Weighted]]</f>
        <v>10.322050233789916</v>
      </c>
      <c r="BN684" s="251">
        <f>_xlfn.RANK.EQ(FMS_Ranking4[[#This Row],[Total Score (with ArcSinh normalization of select criteria)]],FMS_Ranking4[Total Score (with ArcSinh normalization of select criteria)],0)</f>
        <v>677</v>
      </c>
      <c r="BO684" s="270" t="str">
        <f>_xlfn.XLOOKUP(FMS_Ranking4[[#This Row],[FMS ID]],FMS_Input[FMS_ID],FMS_Input[FMS_RANK_YEAR])</f>
        <v>2023 Amended Plan</v>
      </c>
      <c r="BP684" s="204">
        <f>_xlfn.XLOOKUP(FMS_Ranking4[[#This Row],[FMS ID]],Prev_Rank[FMS ID],Prev_Rank[Prev Rank])</f>
        <v>608</v>
      </c>
      <c r="BQ684" s="251" t="e">
        <f>_xlfn.XLOOKUP(FMS_Ranking4[[#This Row],[FMS ID]],#REF!,#REF!)</f>
        <v>#REF!</v>
      </c>
      <c r="BR684" s="199" t="e">
        <f>SUM(#REF!,#REF!,#REF!,#REF!,#REF!,#REF!,#REF!,#REF!,#REF!,FMS_Ranking4[[#This Row],[ArcSinh Res struct removed 0-10]],#REF!)</f>
        <v>#REF!</v>
      </c>
      <c r="BS684" s="199" t="e">
        <f>FMS_Ranking4[[#This Row],[Log Score Based on Normalized Reported Factors]]+FMS_Ranking4[[#This Row],[% NBS Score (Normalized)]]+(FMS_Ranking4[[#This Row],[Water Supply Score (Normalized)]]*10*$BB$5)+(FMS_Ranking4[[#This Row],[FMS_Type Score Weighted]])</f>
        <v>#REF!</v>
      </c>
      <c r="BT684" s="200" t="e">
        <f>_xlfn.RANK.EQ(FMS_Ranking4[[#This Row],[Log Total Score]],FMS_Ranking4[Log Total Score],0)</f>
        <v>#REF!</v>
      </c>
      <c r="BU684" s="200" t="e">
        <f>_xlfn.XLOOKUP(FMS_Ranking4[[#This Row],[FMS ID]],#REF!,#REF!)</f>
        <v>#REF!</v>
      </c>
      <c r="BV684" s="200">
        <f>FMS_Ranking4[[#This Row],[Region Number]]</f>
        <v>1</v>
      </c>
      <c r="BW684" s="200">
        <f>FMS_Ranking4[[#This Row],[Rank (with ArcSinh normalization of select criteria)]]-FMS_Ranking4[[#This Row],[Rank
(with linear
normalization)]]</f>
        <v>276</v>
      </c>
      <c r="BX684" s="200" t="e">
        <f>FMS_Ranking4[[#This Row],[Log Rank]]-FMS_Ranking4[[#This Row],[Rank
(with linear
normalization)]]</f>
        <v>#REF!</v>
      </c>
      <c r="BY684" s="200" t="str">
        <f>IF(FMS_Ranking4[[#This Row],[FMS Type]]="Flood Measurement and Warning",FMS_Ranking4[[#This Row],[Rank (with ArcSinh normalization of select criteria)]],"")</f>
        <v/>
      </c>
      <c r="BZ684" s="200">
        <f>IF(FMS_Ranking4[[#This Row],[FMS Type]]="Regulatory and Guidance",FMS_Ranking4[[#This Row],[Rank (with ArcSinh normalization of select criteria)]],"")</f>
        <v>677</v>
      </c>
      <c r="CA684" s="200" t="str">
        <f>IF(FMS_Ranking4[[#This Row],[FMS Type]]="Education and Outreach",FMS_Ranking4[[#This Row],[Rank (with ArcSinh normalization of select criteria)]],"")</f>
        <v/>
      </c>
      <c r="CB684" s="200" t="str">
        <f>IF(FMS_Ranking4[[#This Row],[FMS Type]]="Property Acquisition and Structural Elevation",FMS_Ranking4[[#This Row],[Rank (with ArcSinh normalization of select criteria)]],"")</f>
        <v/>
      </c>
      <c r="CC684" s="200" t="str">
        <f>IF(FMS_Ranking4[[#This Row],[FMS Type]]="Infrastructure Projects",FMS_Ranking4[[#This Row],[Rank (with ArcSinh normalization of select criteria)]],"")</f>
        <v/>
      </c>
      <c r="CD684" s="200" t="str">
        <f>IF(FMS_Ranking4[[#This Row],[FMS Type]]="Other",FMS_Ranking4[[#This Row],[Rank (with ArcSinh normalization of select criteria)]],"")</f>
        <v/>
      </c>
      <c r="CE684" s="201"/>
      <c r="CF684" s="206"/>
      <c r="CG684" s="206"/>
      <c r="CH684" s="206"/>
      <c r="CI684" s="206"/>
      <c r="CJ684" s="206"/>
      <c r="CK684" s="206"/>
      <c r="CL684" s="206"/>
      <c r="CM684" s="206"/>
      <c r="CN684" s="206"/>
      <c r="CO684" s="206"/>
      <c r="CP684" s="206"/>
      <c r="CQ684" s="206"/>
      <c r="CR684" s="206"/>
    </row>
    <row r="685" spans="2:96" ht="60" x14ac:dyDescent="0.25">
      <c r="B685" s="341" t="s">
        <v>2595</v>
      </c>
      <c r="C685" s="246">
        <f>_xlfn.XLOOKUP(FMS_Ranking4[[#This Row],[FMS ID]],FMS_Input[FMS_ID],FMS_Input[RFPG_NUM])</f>
        <v>5</v>
      </c>
      <c r="D685" s="309" t="str">
        <f>_xlfn.XLOOKUP(FMS_Ranking4[[#This Row],[FMS ID]],FMS_Input[FMS_ID],FMS_Input[FMS_NAME])</f>
        <v>City of Henderson Flood Infrastructure Maintenance</v>
      </c>
      <c r="E685" s="308" t="str">
        <f>_xlfn.XLOOKUP(FMS_Ranking4[[#This Row],[FMS ID]],FMS_Input[FMS_ID],FMS_Input[SPONSOR])</f>
        <v>00002895</v>
      </c>
      <c r="F685" s="309" t="str">
        <f>_xlfn.XLOOKUP(FMS_Ranking4[[#This Row],[FMS ID]],Sponsor[FMS_ID],Sponsor[SPONSOR NAME])</f>
        <v>Henderson</v>
      </c>
      <c r="G685" s="309" t="str">
        <f>_xlfn.XLOOKUP(FMS_Ranking4[[#This Row],[FMS ID]],FMS_Input[FMS_ID],FMS_Input[FMS_DESCR])</f>
        <v>Establish a plan to conduct various flood control maintenance improvements throughout the City</v>
      </c>
      <c r="H685" s="248" t="str">
        <f>_xlfn.XLOOKUP(FMS_Ranking4[[#This Row],[FMS ID]],FMS_Input[FMS_ID],FMS_Input[FMS_TYPE])</f>
        <v>Infrastructure Projects</v>
      </c>
      <c r="I685" s="249">
        <f>_xlfn.XLOOKUP(FMS_Ranking4[[#This Row],[FMS ID]],FMS_Input[FMS_ID],FMS_Input[NRNC_COST])</f>
        <v>50000</v>
      </c>
      <c r="J685" s="250">
        <f>_xlfn.XLOOKUP(FMS_Ranking4[[#This Row],[FMS ID]],FMS_Input[FMS_ID],FMS_Input[FMS_COST])</f>
        <v>1000000</v>
      </c>
      <c r="K685" s="251" t="str">
        <f>_xlfn.XLOOKUP(FMS_Ranking4[[#This Row],[FMS ID]],FMS_Input[FMS_ID],FMS_Input[EMER_NEED])</f>
        <v>Yes</v>
      </c>
      <c r="L685" s="252">
        <f t="shared" si="10"/>
        <v>1</v>
      </c>
      <c r="M685" s="253">
        <f>_xlfn.XLOOKUP(FMS_Ranking4[[#This Row],[FMS ID]],FMS_Input[FMS_ID],FMS_Input[STRUCT_100])</f>
        <v>37</v>
      </c>
      <c r="N685" s="255">
        <f>(ASINH(FMS_Ranking4[[#This Row],[Structure at Risk Raw]]))*(10)/(ASINH(M$4))</f>
        <v>3.3837795341027657</v>
      </c>
      <c r="O685" s="256">
        <f>FMS_Ranking4[[#This Row],[Structures at risk, ArcSinh (0-10)]]*M$5*10</f>
        <v>3.3837795341027661</v>
      </c>
      <c r="P685" s="253">
        <f>_xlfn.XLOOKUP(FMS_Ranking4[[#This Row],[FMS ID]],FMS_Input[FMS_ID],FMS_Input[RES_STRUCT100])</f>
        <v>17</v>
      </c>
      <c r="Q685" s="257">
        <f>ASINH(FMS_Ranking4[[#This Row],[Res Structure Raw]])/Q$4*P$5*100</f>
        <v>0</v>
      </c>
      <c r="R685" s="253">
        <f>_xlfn.XLOOKUP(FMS_Ranking4[[#This Row],[FMS ID]],FMS_Input[FMS_ID],FMS_Input[POP100])</f>
        <v>97</v>
      </c>
      <c r="S685" s="259">
        <f>(ASINH(FMS_Ranking4[[#This Row],[Pop at Risk Raw]]))*(10)/(ASINH(R$4))</f>
        <v>3.6367275133028558</v>
      </c>
      <c r="T685" s="256">
        <f>FMS_Ranking4[[#This Row],[Population at risk, ArcSinh (0-10)]]*R$5*10</f>
        <v>3.6367275133028558</v>
      </c>
      <c r="U685" s="253">
        <f>_xlfn.XLOOKUP(FMS_Ranking4[[#This Row],[FMS ID]],FMS_Input[FMS_ID],FMS_Input[CRITFAC100])</f>
        <v>0</v>
      </c>
      <c r="V685" s="259">
        <f>(ASINH(FMS_Ranking4[[#This Row],[Critical Facilities Raw]]))*(10)/(ASINH(U$4))</f>
        <v>0</v>
      </c>
      <c r="W685" s="256">
        <f>FMS_Ranking4[[#This Row],[Critical facilities at risk, ArcSinh (0-10)]]*U$5*10</f>
        <v>0</v>
      </c>
      <c r="X685" s="253">
        <f>_xlfn.XLOOKUP(FMS_Ranking4[[#This Row],[FMS ID]],FMS_Input[FMS_ID],FMS_Input[LWC])</f>
        <v>0</v>
      </c>
      <c r="Y685" s="259">
        <f>(ASINH(FMS_Ranking4[[#This Row],[LWC Raw]]))*(10)/(ASINH(X$4))</f>
        <v>0</v>
      </c>
      <c r="Z685" s="256">
        <f>FMS_Ranking4[[#This Row],[LWC, ArcSInh (0-10)]]*X$5*10</f>
        <v>0</v>
      </c>
      <c r="AA685" s="253">
        <f>_xlfn.XLOOKUP(FMS_Ranking4[[#This Row],[FMS ID]],FMS_Input[FMS_ID],FMS_Input[ROADCLS])</f>
        <v>0</v>
      </c>
      <c r="AB685" s="255">
        <f>(ASINH(FMS_Ranking4[[#This Row],[Road Closures Raw]]))*(10)/(ASINH(AA$4))</f>
        <v>0</v>
      </c>
      <c r="AC685" s="256">
        <f>FMS_Ranking4[[#This Row],[Road closures, ArcSinh (0-10)]]*AA$5*10</f>
        <v>0</v>
      </c>
      <c r="AD685" s="253">
        <f>_xlfn.XLOOKUP(FMS_Ranking4[[#This Row],[FMS ID]],FMS_Input[FMS_ID],FMS_Input[ROAD_MILES100])</f>
        <v>2</v>
      </c>
      <c r="AE685" s="259">
        <f>(ASINH(FMS_Ranking4[[#This Row],[Road Miles Raw]]))*(10)/(ASINH(AD$4))</f>
        <v>1.5385182374234352</v>
      </c>
      <c r="AF685" s="256">
        <f>FMS_Ranking4[[#This Row],[Length of roads at risk, ArcSinh (0-10)]]*AD$5*10</f>
        <v>1.5385182374234352</v>
      </c>
      <c r="AG685" s="253">
        <f>_xlfn.XLOOKUP(FMS_Ranking4[[#This Row],[FMS ID]],FMS_Input[FMS_ID],FMS_Input[FARMACRE100])</f>
        <v>5.1046648025512704</v>
      </c>
      <c r="AH685" s="255">
        <f>(ASINH(FMS_Ranking4[[#This Row],[Ag Land Raw]]))*(10)/(ASINH(AG$4))</f>
        <v>1.5153182522836304</v>
      </c>
      <c r="AI685" s="260">
        <f>FMS_Ranking4[[#This Row],[Farm &amp; ranch land, ArcSinh (0-10)]]*AG$5*10</f>
        <v>0.7576591261418153</v>
      </c>
      <c r="AJ685" s="258">
        <f>_xlfn.XLOOKUP(FMS_Ranking4[[#This Row],[FMS ID]],FMS_Input[FMS_ID],FMS_Input[REDSTRUCT100])</f>
        <v>0</v>
      </c>
      <c r="AK685" s="253">
        <f>_xlfn.XLOOKUP(FMS_Ranking4[[#This Row],[FMS ID]],FMS_Input[FMS_ID],FMS_Input[REMSTRC100])</f>
        <v>0</v>
      </c>
      <c r="AL685" s="259">
        <f>(ASINH(FMS_Ranking4[[#This Row],[Structures Removed Raw]]))*(10)/(ASINH(AK$4))</f>
        <v>0</v>
      </c>
      <c r="AM685" s="262">
        <f>FMS_Ranking4[[#This Row],[Structures removed, ArcSinh (0-10)]]*AK$5*10</f>
        <v>0</v>
      </c>
      <c r="AN685" s="253">
        <f>_xlfn.XLOOKUP(FMS_Ranking4[[#This Row],[FMS ID]],FMS_Input[FMS_ID],FMS_Input[REMRESSTRC100])</f>
        <v>0</v>
      </c>
      <c r="AO685" s="261">
        <f>FMS_Ranking4[[#This Row],[ArcSinh Res struct removed 0-10]]*AN$5*10</f>
        <v>0</v>
      </c>
      <c r="AP685" s="260">
        <f>ASINH(FMS_Ranking4[[#This Row],[Residential Structures Removed Raw]])/AP$4*AN$5*100</f>
        <v>0</v>
      </c>
      <c r="AQ685" s="254">
        <f>(ASINH(FMS_Ranking4[[#This Row],[Residential Structures Removed Raw]]))*(10)/(ASINH(AN$4))</f>
        <v>0</v>
      </c>
      <c r="AR685" s="253">
        <f>_xlfn.XLOOKUP(FMS_Ranking4[[#This Row],[FMS ID]],FMS_Input[FMS_ID],FMS_Input[REMPOP100])</f>
        <v>0</v>
      </c>
      <c r="AS685" s="259">
        <f>(ASINH(FMS_Ranking4[[#This Row],[Removed Pop Raw]]))*(10)/(ASINH(AR$4))</f>
        <v>0</v>
      </c>
      <c r="AT685" s="262">
        <f>FMS_Ranking4[[#This Row],[Removed population, ArcSinh (0-10)]]*AR$5*10</f>
        <v>0</v>
      </c>
      <c r="AU685" s="264">
        <f>_xlfn.XLOOKUP(FMS_Ranking4[[#This Row],[FMS ID]],FMS_Input[FMS_ID],FMS_Input[REMCRITFAC100])</f>
        <v>0</v>
      </c>
      <c r="AV685" s="264">
        <f>_xlfn.XLOOKUP(FMS_Ranking4[[#This Row],[FMS ID]],FMS_Input[FMS_ID],FMS_Input[REMLWC100])</f>
        <v>0</v>
      </c>
      <c r="AW685" s="264">
        <f>_xlfn.XLOOKUP(FMS_Ranking4[[#This Row],[FMS ID]],FMS_Input[FMS_ID],FMS_Input[REMROADCLS])</f>
        <v>0</v>
      </c>
      <c r="AX685" s="264">
        <f>_xlfn.XLOOKUP(FMS_Ranking4[[#This Row],[FMS ID]],FMS_Input[FMS_ID],FMS_Input[REMFRMACRE100])</f>
        <v>0</v>
      </c>
      <c r="AY685" s="258">
        <f>_xlfn.XLOOKUP(FMS_Ranking4[[#This Row],[FMS ID]],FMS_Input[FMS_ID],FMS_Input[COSTSTRUCT])</f>
        <v>0</v>
      </c>
      <c r="AZ685" s="253">
        <f>_xlfn.XLOOKUP(FMS_Ranking4[[#This Row],[FMS ID]],FMS_Input[FMS_ID],FMS_Input[NATURE])</f>
        <v>0</v>
      </c>
      <c r="BA685" s="262">
        <f>(((FMS_Ranking4[[#This Row],[% NBS Raw]]/AZ$4)*100)*AZ$5)</f>
        <v>0</v>
      </c>
      <c r="BB685" s="251" t="str">
        <f>_xlfn.XLOOKUP(FMS_Ranking4[[#This Row],[FMS ID]],FMS_Input[FMS_ID],FMS_Input[WATER_SUP])</f>
        <v>No</v>
      </c>
      <c r="BC685" s="265">
        <f>IF(FMS_Ranking4[[#This Row],[Water Supply Raw]]="Yes",10,0)</f>
        <v>0</v>
      </c>
      <c r="BD685" s="266">
        <f>_xlfn.XLOOKUP(FMS_Ranking4[[#This Row],[FMS Type]],FMS_TYPE[FMS_Type],FMS_TYPE[Score])</f>
        <v>4</v>
      </c>
      <c r="BE685" s="267">
        <f>FMS_Ranking4[[#This Row],[FMS_Type Score]]*$BD$5*10</f>
        <v>1</v>
      </c>
      <c r="BF68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6.5808529862658562E-3</v>
      </c>
      <c r="BG685" s="271">
        <f>_xlfn.RANK.EQ(BF685,$BF$8:$BF$870,0)+COUNTIF($BF$8:BF685,BF685)-1</f>
        <v>674</v>
      </c>
      <c r="BH685" s="268">
        <f>(((FMS_Ranking4[[#This Row],[Structures Removed Raw]]/AK$4)*100)*AK$5)+(((FMS_Ranking4[[#This Row],[Removed Pop Raw]]/AR$4)*100)*AR$5)</f>
        <v>0</v>
      </c>
      <c r="BI68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1.0065808529862659</v>
      </c>
      <c r="BJ685" s="205">
        <f>_xlfn.RANK.EQ(FMS_Ranking4[[#This Row],[Total Score 
(with linear
normalization)]],FMS_Ranking4[Total Score 
(with linear
normalization)],0)</f>
        <v>731</v>
      </c>
      <c r="BK685" s="205" t="e">
        <f>_xlfn.XLOOKUP(FMS_Ranking4[[#This Row],[FMS ID]],#REF!,#REF!)</f>
        <v>#REF!</v>
      </c>
      <c r="BL68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9.316684410970872</v>
      </c>
      <c r="BM685" s="272">
        <f>FMS_Ranking4[[#This Row],[ArcSinh Score Based on Normalized Reported Factors]]+FMS_Ranking4[[#This Row],[% NBS Score (Normalized)]]+(FMS_Ranking4[[#This Row],[Water Supply Score (Normalized)]]*10*$BB$5)+FMS_Ranking4[[#This Row],[FMS_Type Score Weighted]]</f>
        <v>10.316684410970872</v>
      </c>
      <c r="BN685" s="205">
        <f>_xlfn.RANK.EQ(FMS_Ranking4[[#This Row],[Total Score (with ArcSinh normalization of select criteria)]],FMS_Ranking4[Total Score (with ArcSinh normalization of select criteria)],0)</f>
        <v>678</v>
      </c>
      <c r="BO685" s="270" t="str">
        <f>_xlfn.XLOOKUP(FMS_Ranking4[[#This Row],[FMS ID]],FMS_Input[FMS_ID],FMS_Input[FMS_RANK_YEAR])</f>
        <v>2023 Amended Plan</v>
      </c>
      <c r="BP685" s="204">
        <f>_xlfn.XLOOKUP(FMS_Ranking4[[#This Row],[FMS ID]],Prev_Rank[FMS ID],Prev_Rank[Prev Rank])</f>
        <v>607</v>
      </c>
      <c r="BQ685" s="205" t="e">
        <f>_xlfn.XLOOKUP(FMS_Ranking4[[#This Row],[FMS ID]],#REF!,#REF!)</f>
        <v>#REF!</v>
      </c>
      <c r="BR685" s="199" t="e">
        <f>SUM(#REF!,#REF!,#REF!,#REF!,#REF!,#REF!,#REF!,#REF!,#REF!,FMS_Ranking4[[#This Row],[ArcSinh Res struct removed 0-10]],#REF!)</f>
        <v>#REF!</v>
      </c>
      <c r="BS685" s="199" t="e">
        <f>FMS_Ranking4[[#This Row],[Log Score Based on Normalized Reported Factors]]+FMS_Ranking4[[#This Row],[% NBS Score (Normalized)]]+(FMS_Ranking4[[#This Row],[Water Supply Score (Normalized)]]*10*$BB$5)+(FMS_Ranking4[[#This Row],[FMS_Type Score Weighted]])</f>
        <v>#REF!</v>
      </c>
      <c r="BT685" s="200" t="e">
        <f>_xlfn.RANK.EQ(FMS_Ranking4[[#This Row],[Log Total Score]],FMS_Ranking4[Log Total Score],0)</f>
        <v>#REF!</v>
      </c>
      <c r="BU685" s="200" t="e">
        <f>_xlfn.XLOOKUP(FMS_Ranking4[[#This Row],[FMS ID]],#REF!,#REF!)</f>
        <v>#REF!</v>
      </c>
      <c r="BV685" s="200">
        <f>FMS_Ranking4[[#This Row],[Region Number]]</f>
        <v>5</v>
      </c>
      <c r="BW685" s="200">
        <f>FMS_Ranking4[[#This Row],[Rank (with ArcSinh normalization of select criteria)]]-FMS_Ranking4[[#This Row],[Rank
(with linear
normalization)]]</f>
        <v>-53</v>
      </c>
      <c r="BX685" s="200" t="e">
        <f>FMS_Ranking4[[#This Row],[Log Rank]]-FMS_Ranking4[[#This Row],[Rank
(with linear
normalization)]]</f>
        <v>#REF!</v>
      </c>
      <c r="BY685" s="200" t="str">
        <f>IF(FMS_Ranking4[[#This Row],[FMS Type]]="Flood Measurement and Warning",FMS_Ranking4[[#This Row],[Rank (with ArcSinh normalization of select criteria)]],"")</f>
        <v/>
      </c>
      <c r="BZ685" s="200" t="str">
        <f>IF(FMS_Ranking4[[#This Row],[FMS Type]]="Regulatory and Guidance",FMS_Ranking4[[#This Row],[Rank (with ArcSinh normalization of select criteria)]],"")</f>
        <v/>
      </c>
      <c r="CA685" s="200" t="str">
        <f>IF(FMS_Ranking4[[#This Row],[FMS Type]]="Education and Outreach",FMS_Ranking4[[#This Row],[Rank (with ArcSinh normalization of select criteria)]],"")</f>
        <v/>
      </c>
      <c r="CB685" s="200" t="str">
        <f>IF(FMS_Ranking4[[#This Row],[FMS Type]]="Property Acquisition and Structural Elevation",FMS_Ranking4[[#This Row],[Rank (with ArcSinh normalization of select criteria)]],"")</f>
        <v/>
      </c>
      <c r="CC685" s="200">
        <f>IF(FMS_Ranking4[[#This Row],[FMS Type]]="Infrastructure Projects",FMS_Ranking4[[#This Row],[Rank (with ArcSinh normalization of select criteria)]],"")</f>
        <v>678</v>
      </c>
      <c r="CD685" s="200" t="str">
        <f>IF(FMS_Ranking4[[#This Row],[FMS Type]]="Other",FMS_Ranking4[[#This Row],[Rank (with ArcSinh normalization of select criteria)]],"")</f>
        <v/>
      </c>
      <c r="CE685" s="201"/>
      <c r="CF685" s="206"/>
      <c r="CG685" s="206"/>
      <c r="CH685" s="206"/>
      <c r="CI685" s="206"/>
      <c r="CJ685" s="206"/>
      <c r="CK685" s="206"/>
      <c r="CL685" s="206"/>
      <c r="CM685" s="206"/>
      <c r="CN685" s="206"/>
      <c r="CO685" s="206"/>
      <c r="CP685" s="206"/>
      <c r="CQ685" s="206"/>
      <c r="CR685" s="206"/>
    </row>
    <row r="686" spans="2:96" ht="60" x14ac:dyDescent="0.25">
      <c r="B686" s="341" t="s">
        <v>1805</v>
      </c>
      <c r="C686" s="246">
        <f>_xlfn.XLOOKUP(FMS_Ranking4[[#This Row],[FMS ID]],FMS_Input[FMS_ID],FMS_Input[RFPG_NUM])</f>
        <v>3</v>
      </c>
      <c r="D686" s="309" t="str">
        <f>_xlfn.XLOOKUP(FMS_Ranking4[[#This Row],[FMS ID]],FMS_Input[FMS_ID],FMS_Input[FMS_NAME])</f>
        <v>Valley View Floodplain Regulation Updates</v>
      </c>
      <c r="E686" s="308" t="str">
        <f>_xlfn.XLOOKUP(FMS_Ranking4[[#This Row],[FMS ID]],FMS_Input[FMS_ID],FMS_Input[SPONSOR])</f>
        <v>Valley View</v>
      </c>
      <c r="F686" s="309" t="str">
        <f>_xlfn.XLOOKUP(FMS_Ranking4[[#This Row],[FMS ID]],Sponsor[FMS_ID],Sponsor[SPONSOR NAME])</f>
        <v>Valley View</v>
      </c>
      <c r="G686" s="309" t="str">
        <f>_xlfn.XLOOKUP(FMS_Ranking4[[#This Row],[FMS ID]],FMS_Input[FMS_ID],FMS_Input[FMS_DESCR])</f>
        <v>Update local ordinances to include regulation of floodplain so that the community may participate in NFIP program.</v>
      </c>
      <c r="H686" s="248" t="str">
        <f>_xlfn.XLOOKUP(FMS_Ranking4[[#This Row],[FMS ID]],FMS_Input[FMS_ID],FMS_Input[FMS_TYPE])</f>
        <v>Regulatory and Guidance</v>
      </c>
      <c r="I686" s="249">
        <f>_xlfn.XLOOKUP(FMS_Ranking4[[#This Row],[FMS ID]],FMS_Input[FMS_ID],FMS_Input[NRNC_COST])</f>
        <v>100000</v>
      </c>
      <c r="J686" s="250">
        <f>_xlfn.XLOOKUP(FMS_Ranking4[[#This Row],[FMS ID]],FMS_Input[FMS_ID],FMS_Input[FMS_COST])</f>
        <v>100000</v>
      </c>
      <c r="K686" s="251" t="str">
        <f>_xlfn.XLOOKUP(FMS_Ranking4[[#This Row],[FMS ID]],FMS_Input[FMS_ID],FMS_Input[EMER_NEED])</f>
        <v>No</v>
      </c>
      <c r="L686" s="252">
        <f t="shared" si="10"/>
        <v>0</v>
      </c>
      <c r="M686" s="253">
        <f>_xlfn.XLOOKUP(FMS_Ranking4[[#This Row],[FMS ID]],FMS_Input[FMS_ID],FMS_Input[STRUCT_100])</f>
        <v>7</v>
      </c>
      <c r="N686" s="255">
        <f>(ASINH(FMS_Ranking4[[#This Row],[Structure at Risk Raw]]))*(10)/(ASINH(M$4))</f>
        <v>2.0786726107217111</v>
      </c>
      <c r="O686" s="256">
        <f>FMS_Ranking4[[#This Row],[Structures at risk, ArcSinh (0-10)]]*M$5*10</f>
        <v>2.0786726107217115</v>
      </c>
      <c r="P686" s="253">
        <f>_xlfn.XLOOKUP(FMS_Ranking4[[#This Row],[FMS ID]],FMS_Input[FMS_ID],FMS_Input[RES_STRUCT100])</f>
        <v>4</v>
      </c>
      <c r="Q686" s="257">
        <f>ASINH(FMS_Ranking4[[#This Row],[Res Structure Raw]])/Q$4*P$5*100</f>
        <v>0</v>
      </c>
      <c r="R686" s="253">
        <f>_xlfn.XLOOKUP(FMS_Ranking4[[#This Row],[FMS ID]],FMS_Input[FMS_ID],FMS_Input[POP100])</f>
        <v>5</v>
      </c>
      <c r="S686" s="259">
        <f>(ASINH(FMS_Ranking4[[#This Row],[Pop at Risk Raw]]))*(10)/(ASINH(R$4))</f>
        <v>1.596410812356909</v>
      </c>
      <c r="T686" s="256">
        <f>FMS_Ranking4[[#This Row],[Population at risk, ArcSinh (0-10)]]*R$5*10</f>
        <v>1.596410812356909</v>
      </c>
      <c r="U686" s="253">
        <f>_xlfn.XLOOKUP(FMS_Ranking4[[#This Row],[FMS ID]],FMS_Input[FMS_ID],FMS_Input[CRITFAC100])</f>
        <v>0</v>
      </c>
      <c r="V686" s="259">
        <f>(ASINH(FMS_Ranking4[[#This Row],[Critical Facilities Raw]]))*(10)/(ASINH(U$4))</f>
        <v>0</v>
      </c>
      <c r="W686" s="256">
        <f>FMS_Ranking4[[#This Row],[Critical facilities at risk, ArcSinh (0-10)]]*U$5*10</f>
        <v>0</v>
      </c>
      <c r="X686" s="253">
        <f>_xlfn.XLOOKUP(FMS_Ranking4[[#This Row],[FMS ID]],FMS_Input[FMS_ID],FMS_Input[LWC])</f>
        <v>2</v>
      </c>
      <c r="Y686" s="259">
        <f>(ASINH(FMS_Ranking4[[#This Row],[LWC Raw]]))*(10)/(ASINH(X$4))</f>
        <v>1.9557475158633808</v>
      </c>
      <c r="Z686" s="256">
        <f>FMS_Ranking4[[#This Row],[LWC, ArcSInh (0-10)]]*X$5*10</f>
        <v>1.9557475158633808</v>
      </c>
      <c r="AA686" s="253">
        <f>_xlfn.XLOOKUP(FMS_Ranking4[[#This Row],[FMS ID]],FMS_Input[FMS_ID],FMS_Input[ROADCLS])</f>
        <v>0</v>
      </c>
      <c r="AB686" s="255">
        <f>(ASINH(FMS_Ranking4[[#This Row],[Road Closures Raw]]))*(10)/(ASINH(AA$4))</f>
        <v>0</v>
      </c>
      <c r="AC686" s="256">
        <f>FMS_Ranking4[[#This Row],[Road closures, ArcSinh (0-10)]]*AA$5*10</f>
        <v>0</v>
      </c>
      <c r="AD686" s="253">
        <f>_xlfn.XLOOKUP(FMS_Ranking4[[#This Row],[FMS ID]],FMS_Input[FMS_ID],FMS_Input[ROAD_MILES100])</f>
        <v>1</v>
      </c>
      <c r="AE686" s="259">
        <f>(ASINH(FMS_Ranking4[[#This Row],[Road Miles Raw]]))*(10)/(ASINH(AD$4))</f>
        <v>0.9393017565219649</v>
      </c>
      <c r="AF686" s="256">
        <f>FMS_Ranking4[[#This Row],[Length of roads at risk, ArcSinh (0-10)]]*AD$5*10</f>
        <v>0.93930175652196501</v>
      </c>
      <c r="AG686" s="253">
        <f>_xlfn.XLOOKUP(FMS_Ranking4[[#This Row],[FMS ID]],FMS_Input[FMS_ID],FMS_Input[FARMACRE100])</f>
        <v>91.724601745605469</v>
      </c>
      <c r="AH686" s="255">
        <f>(ASINH(FMS_Ranking4[[#This Row],[Ag Land Raw]]))*(10)/(ASINH(AG$4))</f>
        <v>3.3855975210503018</v>
      </c>
      <c r="AI686" s="260">
        <f>FMS_Ranking4[[#This Row],[Farm &amp; ranch land, ArcSinh (0-10)]]*AG$5*10</f>
        <v>1.6927987605251511</v>
      </c>
      <c r="AJ686" s="258">
        <f>_xlfn.XLOOKUP(FMS_Ranking4[[#This Row],[FMS ID]],FMS_Input[FMS_ID],FMS_Input[REDSTRUCT100])</f>
        <v>0</v>
      </c>
      <c r="AK686" s="253">
        <f>_xlfn.XLOOKUP(FMS_Ranking4[[#This Row],[FMS ID]],FMS_Input[FMS_ID],FMS_Input[REMSTRC100])</f>
        <v>0</v>
      </c>
      <c r="AL686" s="259">
        <f>(ASINH(FMS_Ranking4[[#This Row],[Structures Removed Raw]]))*(10)/(ASINH(AK$4))</f>
        <v>0</v>
      </c>
      <c r="AM686" s="262">
        <f>FMS_Ranking4[[#This Row],[Structures removed, ArcSinh (0-10)]]*AK$5*10</f>
        <v>0</v>
      </c>
      <c r="AN686" s="253">
        <f>_xlfn.XLOOKUP(FMS_Ranking4[[#This Row],[FMS ID]],FMS_Input[FMS_ID],FMS_Input[REMRESSTRC100])</f>
        <v>0</v>
      </c>
      <c r="AO686" s="261">
        <f>FMS_Ranking4[[#This Row],[ArcSinh Res struct removed 0-10]]*AN$5*10</f>
        <v>0</v>
      </c>
      <c r="AP686" s="260">
        <f>ASINH(FMS_Ranking4[[#This Row],[Residential Structures Removed Raw]])/AP$4*AN$5*100</f>
        <v>0</v>
      </c>
      <c r="AQ686" s="254">
        <f>(ASINH(FMS_Ranking4[[#This Row],[Residential Structures Removed Raw]]))*(10)/(ASINH(AN$4))</f>
        <v>0</v>
      </c>
      <c r="AR686" s="253">
        <f>_xlfn.XLOOKUP(FMS_Ranking4[[#This Row],[FMS ID]],FMS_Input[FMS_ID],FMS_Input[REMPOP100])</f>
        <v>0</v>
      </c>
      <c r="AS686" s="259">
        <f>(ASINH(FMS_Ranking4[[#This Row],[Removed Pop Raw]]))*(10)/(ASINH(AR$4))</f>
        <v>0</v>
      </c>
      <c r="AT686" s="262">
        <f>FMS_Ranking4[[#This Row],[Removed population, ArcSinh (0-10)]]*AR$5*10</f>
        <v>0</v>
      </c>
      <c r="AU686" s="264">
        <f>_xlfn.XLOOKUP(FMS_Ranking4[[#This Row],[FMS ID]],FMS_Input[FMS_ID],FMS_Input[REMCRITFAC100])</f>
        <v>0</v>
      </c>
      <c r="AV686" s="264">
        <f>_xlfn.XLOOKUP(FMS_Ranking4[[#This Row],[FMS ID]],FMS_Input[FMS_ID],FMS_Input[REMLWC100])</f>
        <v>0</v>
      </c>
      <c r="AW686" s="264">
        <f>_xlfn.XLOOKUP(FMS_Ranking4[[#This Row],[FMS ID]],FMS_Input[FMS_ID],FMS_Input[REMROADCLS])</f>
        <v>0</v>
      </c>
      <c r="AX686" s="264">
        <f>_xlfn.XLOOKUP(FMS_Ranking4[[#This Row],[FMS ID]],FMS_Input[FMS_ID],FMS_Input[REMFRMACRE100])</f>
        <v>0</v>
      </c>
      <c r="AY686" s="258">
        <f>_xlfn.XLOOKUP(FMS_Ranking4[[#This Row],[FMS ID]],FMS_Input[FMS_ID],FMS_Input[COSTSTRUCT])</f>
        <v>0</v>
      </c>
      <c r="AZ686" s="253">
        <f>_xlfn.XLOOKUP(FMS_Ranking4[[#This Row],[FMS ID]],FMS_Input[FMS_ID],FMS_Input[NATURE])</f>
        <v>0</v>
      </c>
      <c r="BA686" s="262">
        <f>(((FMS_Ranking4[[#This Row],[% NBS Raw]]/AZ$4)*100)*AZ$5)</f>
        <v>0</v>
      </c>
      <c r="BB686" s="251" t="str">
        <f>_xlfn.XLOOKUP(FMS_Ranking4[[#This Row],[FMS ID]],FMS_Input[FMS_ID],FMS_Input[WATER_SUP])</f>
        <v>No</v>
      </c>
      <c r="BC686" s="265">
        <f>IF(FMS_Ranking4[[#This Row],[Water Supply Raw]]="Yes",10,0)</f>
        <v>0</v>
      </c>
      <c r="BD686" s="266">
        <f>_xlfn.XLOOKUP(FMS_Ranking4[[#This Row],[FMS Type]],FMS_TYPE[FMS_Type],FMS_TYPE[Score])</f>
        <v>8</v>
      </c>
      <c r="BE686" s="267">
        <f>FMS_Ranking4[[#This Row],[FMS_Type Score]]*$BD$5*10</f>
        <v>2</v>
      </c>
      <c r="BF68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2.7247869859705537E-2</v>
      </c>
      <c r="BG686" s="271">
        <f>_xlfn.RANK.EQ(BF686,$BF$8:$BF$870,0)+COUNTIF($BF$8:BF686,BF686)-1</f>
        <v>614</v>
      </c>
      <c r="BH686" s="268">
        <f>(((FMS_Ranking4[[#This Row],[Structures Removed Raw]]/AK$4)*100)*AK$5)+(((FMS_Ranking4[[#This Row],[Removed Pop Raw]]/AR$4)*100)*AR$5)</f>
        <v>0</v>
      </c>
      <c r="BI68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2.0272478698597056</v>
      </c>
      <c r="BJ686" s="205">
        <f>_xlfn.RANK.EQ(FMS_Ranking4[[#This Row],[Total Score 
(with linear
normalization)]],FMS_Ranking4[Total Score 
(with linear
normalization)],0)</f>
        <v>405</v>
      </c>
      <c r="BK686" s="205" t="e">
        <f>_xlfn.XLOOKUP(FMS_Ranking4[[#This Row],[FMS ID]],#REF!,#REF!)</f>
        <v>#REF!</v>
      </c>
      <c r="BL68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8.2629314559891185</v>
      </c>
      <c r="BM686" s="272">
        <f>FMS_Ranking4[[#This Row],[ArcSinh Score Based on Normalized Reported Factors]]+FMS_Ranking4[[#This Row],[% NBS Score (Normalized)]]+(FMS_Ranking4[[#This Row],[Water Supply Score (Normalized)]]*10*$BB$5)+FMS_Ranking4[[#This Row],[FMS_Type Score Weighted]]</f>
        <v>10.262931455989118</v>
      </c>
      <c r="BN686" s="205">
        <f>_xlfn.RANK.EQ(FMS_Ranking4[[#This Row],[Total Score (with ArcSinh normalization of select criteria)]],FMS_Ranking4[Total Score (with ArcSinh normalization of select criteria)],0)</f>
        <v>679</v>
      </c>
      <c r="BO686" s="270" t="str">
        <f>_xlfn.XLOOKUP(FMS_Ranking4[[#This Row],[FMS ID]],FMS_Input[FMS_ID],FMS_Input[FMS_RANK_YEAR])</f>
        <v>2023 Amended Plan</v>
      </c>
      <c r="BP686" s="204">
        <f>_xlfn.XLOOKUP(FMS_Ranking4[[#This Row],[FMS ID]],Prev_Rank[FMS ID],Prev_Rank[Prev Rank])</f>
        <v>610</v>
      </c>
      <c r="BQ686" s="205" t="e">
        <f>_xlfn.XLOOKUP(FMS_Ranking4[[#This Row],[FMS ID]],#REF!,#REF!)</f>
        <v>#REF!</v>
      </c>
      <c r="BR686" s="199" t="e">
        <f>SUM(#REF!,#REF!,#REF!,#REF!,#REF!,#REF!,#REF!,#REF!,#REF!,FMS_Ranking4[[#This Row],[ArcSinh Res struct removed 0-10]],#REF!)</f>
        <v>#REF!</v>
      </c>
      <c r="BS686" s="199" t="e">
        <f>FMS_Ranking4[[#This Row],[Log Score Based on Normalized Reported Factors]]+FMS_Ranking4[[#This Row],[% NBS Score (Normalized)]]+(FMS_Ranking4[[#This Row],[Water Supply Score (Normalized)]]*10*$BB$5)+(FMS_Ranking4[[#This Row],[FMS_Type Score Weighted]])</f>
        <v>#REF!</v>
      </c>
      <c r="BT686" s="200" t="e">
        <f>_xlfn.RANK.EQ(FMS_Ranking4[[#This Row],[Log Total Score]],FMS_Ranking4[Log Total Score],0)</f>
        <v>#REF!</v>
      </c>
      <c r="BU686" s="200" t="e">
        <f>_xlfn.XLOOKUP(FMS_Ranking4[[#This Row],[FMS ID]],#REF!,#REF!)</f>
        <v>#REF!</v>
      </c>
      <c r="BV686" s="200">
        <f>FMS_Ranking4[[#This Row],[Region Number]]</f>
        <v>3</v>
      </c>
      <c r="BW686" s="200">
        <f>FMS_Ranking4[[#This Row],[Rank (with ArcSinh normalization of select criteria)]]-FMS_Ranking4[[#This Row],[Rank
(with linear
normalization)]]</f>
        <v>274</v>
      </c>
      <c r="BX686" s="200" t="e">
        <f>FMS_Ranking4[[#This Row],[Log Rank]]-FMS_Ranking4[[#This Row],[Rank
(with linear
normalization)]]</f>
        <v>#REF!</v>
      </c>
      <c r="BY686" s="200" t="str">
        <f>IF(FMS_Ranking4[[#This Row],[FMS Type]]="Flood Measurement and Warning",FMS_Ranking4[[#This Row],[Rank (with ArcSinh normalization of select criteria)]],"")</f>
        <v/>
      </c>
      <c r="BZ686" s="200">
        <f>IF(FMS_Ranking4[[#This Row],[FMS Type]]="Regulatory and Guidance",FMS_Ranking4[[#This Row],[Rank (with ArcSinh normalization of select criteria)]],"")</f>
        <v>679</v>
      </c>
      <c r="CA686" s="200" t="str">
        <f>IF(FMS_Ranking4[[#This Row],[FMS Type]]="Education and Outreach",FMS_Ranking4[[#This Row],[Rank (with ArcSinh normalization of select criteria)]],"")</f>
        <v/>
      </c>
      <c r="CB686" s="200" t="str">
        <f>IF(FMS_Ranking4[[#This Row],[FMS Type]]="Property Acquisition and Structural Elevation",FMS_Ranking4[[#This Row],[Rank (with ArcSinh normalization of select criteria)]],"")</f>
        <v/>
      </c>
      <c r="CC686" s="200" t="str">
        <f>IF(FMS_Ranking4[[#This Row],[FMS Type]]="Infrastructure Projects",FMS_Ranking4[[#This Row],[Rank (with ArcSinh normalization of select criteria)]],"")</f>
        <v/>
      </c>
      <c r="CD686" s="200" t="str">
        <f>IF(FMS_Ranking4[[#This Row],[FMS Type]]="Other",FMS_Ranking4[[#This Row],[Rank (with ArcSinh normalization of select criteria)]],"")</f>
        <v/>
      </c>
      <c r="CE686" s="201"/>
      <c r="CF686" s="206"/>
      <c r="CG686" s="206"/>
      <c r="CH686" s="206"/>
      <c r="CI686" s="206"/>
      <c r="CJ686" s="206"/>
      <c r="CK686" s="206"/>
      <c r="CL686" s="206"/>
      <c r="CM686" s="206"/>
      <c r="CN686" s="206"/>
      <c r="CO686" s="206"/>
      <c r="CP686" s="206"/>
      <c r="CQ686" s="206"/>
      <c r="CR686" s="206"/>
    </row>
    <row r="687" spans="2:96" ht="45" x14ac:dyDescent="0.25">
      <c r="B687" s="341" t="s">
        <v>3145</v>
      </c>
      <c r="C687" s="246">
        <f>_xlfn.XLOOKUP(FMS_Ranking4[[#This Row],[FMS ID]],FMS_Input[FMS_ID],FMS_Input[RFPG_NUM])</f>
        <v>7</v>
      </c>
      <c r="D687" s="309" t="str">
        <f>_xlfn.XLOOKUP(FMS_Ranking4[[#This Row],[FMS ID]],FMS_Input[FMS_ID],FMS_Input[FMS_NAME])</f>
        <v>King County NFIP Participation</v>
      </c>
      <c r="E687" s="308" t="str">
        <f>_xlfn.XLOOKUP(FMS_Ranking4[[#This Row],[FMS ID]],FMS_Input[FMS_ID],FMS_Input[SPONSOR])</f>
        <v>00000218</v>
      </c>
      <c r="F687" s="309" t="str">
        <f>_xlfn.XLOOKUP(FMS_Ranking4[[#This Row],[FMS ID]],Sponsor[FMS_ID],Sponsor[SPONSOR NAME])</f>
        <v>King</v>
      </c>
      <c r="G687" s="309" t="str">
        <f>_xlfn.XLOOKUP(FMS_Ranking4[[#This Row],[FMS ID]],FMS_Input[FMS_ID],FMS_Input[FMS_DESCR])</f>
        <v>Application to join NFIP or adoption of equivalent standards.</v>
      </c>
      <c r="H687" s="248" t="str">
        <f>_xlfn.XLOOKUP(FMS_Ranking4[[#This Row],[FMS ID]],FMS_Input[FMS_ID],FMS_Input[FMS_TYPE])</f>
        <v>Regulatory and Guidance</v>
      </c>
      <c r="I687" s="249">
        <f>_xlfn.XLOOKUP(FMS_Ranking4[[#This Row],[FMS ID]],FMS_Input[FMS_ID],FMS_Input[NRNC_COST])</f>
        <v>50000</v>
      </c>
      <c r="J687" s="250">
        <f>_xlfn.XLOOKUP(FMS_Ranking4[[#This Row],[FMS ID]],FMS_Input[FMS_ID],FMS_Input[FMS_COST])</f>
        <v>50000</v>
      </c>
      <c r="K687" s="251" t="str">
        <f>_xlfn.XLOOKUP(FMS_Ranking4[[#This Row],[FMS ID]],FMS_Input[FMS_ID],FMS_Input[EMER_NEED])</f>
        <v>No</v>
      </c>
      <c r="L687" s="252">
        <f t="shared" si="10"/>
        <v>0</v>
      </c>
      <c r="M687" s="253">
        <f>_xlfn.XLOOKUP(FMS_Ranking4[[#This Row],[FMS ID]],FMS_Input[FMS_ID],FMS_Input[STRUCT_100])</f>
        <v>3</v>
      </c>
      <c r="N687" s="255">
        <f>(ASINH(FMS_Ranking4[[#This Row],[Structure at Risk Raw]]))*(10)/(ASINH(M$4))</f>
        <v>1.4295696719071895</v>
      </c>
      <c r="O687" s="256">
        <f>FMS_Ranking4[[#This Row],[Structures at risk, ArcSinh (0-10)]]*M$5*10</f>
        <v>1.4295696719071895</v>
      </c>
      <c r="P687" s="253">
        <f>_xlfn.XLOOKUP(FMS_Ranking4[[#This Row],[FMS ID]],FMS_Input[FMS_ID],FMS_Input[RES_STRUCT100])</f>
        <v>0</v>
      </c>
      <c r="Q687" s="257">
        <f>ASINH(FMS_Ranking4[[#This Row],[Res Structure Raw]])/Q$4*P$5*100</f>
        <v>0</v>
      </c>
      <c r="R687" s="253">
        <f>_xlfn.XLOOKUP(FMS_Ranking4[[#This Row],[FMS ID]],FMS_Input[FMS_ID],FMS_Input[POP100])</f>
        <v>1</v>
      </c>
      <c r="S687" s="259">
        <f>(ASINH(FMS_Ranking4[[#This Row],[Pop at Risk Raw]]))*(10)/(ASINH(R$4))</f>
        <v>0.60846349886646833</v>
      </c>
      <c r="T687" s="256">
        <f>FMS_Ranking4[[#This Row],[Population at risk, ArcSinh (0-10)]]*R$5*10</f>
        <v>0.60846349886646833</v>
      </c>
      <c r="U687" s="253">
        <f>_xlfn.XLOOKUP(FMS_Ranking4[[#This Row],[FMS ID]],FMS_Input[FMS_ID],FMS_Input[CRITFAC100])</f>
        <v>0</v>
      </c>
      <c r="V687" s="259">
        <f>(ASINH(FMS_Ranking4[[#This Row],[Critical Facilities Raw]]))*(10)/(ASINH(U$4))</f>
        <v>0</v>
      </c>
      <c r="W687" s="256">
        <f>FMS_Ranking4[[#This Row],[Critical facilities at risk, ArcSinh (0-10)]]*U$5*10</f>
        <v>0</v>
      </c>
      <c r="X687" s="253">
        <f>_xlfn.XLOOKUP(FMS_Ranking4[[#This Row],[FMS ID]],FMS_Input[FMS_ID],FMS_Input[LWC])</f>
        <v>1</v>
      </c>
      <c r="Y687" s="259">
        <f>(ASINH(FMS_Ranking4[[#This Row],[LWC Raw]]))*(10)/(ASINH(X$4))</f>
        <v>1.1940300948531093</v>
      </c>
      <c r="Z687" s="256">
        <f>FMS_Ranking4[[#This Row],[LWC, ArcSInh (0-10)]]*X$5*10</f>
        <v>1.1940300948531093</v>
      </c>
      <c r="AA687" s="253">
        <f>_xlfn.XLOOKUP(FMS_Ranking4[[#This Row],[FMS ID]],FMS_Input[FMS_ID],FMS_Input[ROADCLS])</f>
        <v>0</v>
      </c>
      <c r="AB687" s="255">
        <f>(ASINH(FMS_Ranking4[[#This Row],[Road Closures Raw]]))*(10)/(ASINH(AA$4))</f>
        <v>0</v>
      </c>
      <c r="AC687" s="256">
        <f>FMS_Ranking4[[#This Row],[Road closures, ArcSinh (0-10)]]*AA$5*10</f>
        <v>0</v>
      </c>
      <c r="AD687" s="253">
        <f>_xlfn.XLOOKUP(FMS_Ranking4[[#This Row],[FMS ID]],FMS_Input[FMS_ID],FMS_Input[ROAD_MILES100])</f>
        <v>7</v>
      </c>
      <c r="AE687" s="259">
        <f>(ASINH(FMS_Ranking4[[#This Row],[Road Miles Raw]]))*(10)/(ASINH(AD$4))</f>
        <v>2.8179052695658946</v>
      </c>
      <c r="AF687" s="256">
        <f>FMS_Ranking4[[#This Row],[Length of roads at risk, ArcSinh (0-10)]]*AD$5*10</f>
        <v>2.8179052695658946</v>
      </c>
      <c r="AG687" s="253">
        <f>_xlfn.XLOOKUP(FMS_Ranking4[[#This Row],[FMS ID]],FMS_Input[FMS_ID],FMS_Input[FARMACRE100])</f>
        <v>409.40933227539063</v>
      </c>
      <c r="AH687" s="255">
        <f>(ASINH(FMS_Ranking4[[#This Row],[Ag Land Raw]]))*(10)/(ASINH(AG$4))</f>
        <v>4.3573042440518046</v>
      </c>
      <c r="AI687" s="260">
        <f>FMS_Ranking4[[#This Row],[Farm &amp; ranch land, ArcSinh (0-10)]]*AG$5*10</f>
        <v>2.1786521220259027</v>
      </c>
      <c r="AJ687" s="258">
        <f>_xlfn.XLOOKUP(FMS_Ranking4[[#This Row],[FMS ID]],FMS_Input[FMS_ID],FMS_Input[REDSTRUCT100])</f>
        <v>0</v>
      </c>
      <c r="AK687" s="253">
        <f>_xlfn.XLOOKUP(FMS_Ranking4[[#This Row],[FMS ID]],FMS_Input[FMS_ID],FMS_Input[REMSTRC100])</f>
        <v>0</v>
      </c>
      <c r="AL687" s="259">
        <f>(ASINH(FMS_Ranking4[[#This Row],[Structures Removed Raw]]))*(10)/(ASINH(AK$4))</f>
        <v>0</v>
      </c>
      <c r="AM687" s="262">
        <f>FMS_Ranking4[[#This Row],[Structures removed, ArcSinh (0-10)]]*AK$5*10</f>
        <v>0</v>
      </c>
      <c r="AN687" s="253">
        <f>_xlfn.XLOOKUP(FMS_Ranking4[[#This Row],[FMS ID]],FMS_Input[FMS_ID],FMS_Input[REMRESSTRC100])</f>
        <v>0</v>
      </c>
      <c r="AO687" s="261">
        <f>FMS_Ranking4[[#This Row],[ArcSinh Res struct removed 0-10]]*AN$5*10</f>
        <v>0</v>
      </c>
      <c r="AP687" s="260">
        <f>ASINH(FMS_Ranking4[[#This Row],[Residential Structures Removed Raw]])/AP$4*AN$5*100</f>
        <v>0</v>
      </c>
      <c r="AQ687" s="254">
        <f>(ASINH(FMS_Ranking4[[#This Row],[Residential Structures Removed Raw]]))*(10)/(ASINH(AN$4))</f>
        <v>0</v>
      </c>
      <c r="AR687" s="253">
        <f>_xlfn.XLOOKUP(FMS_Ranking4[[#This Row],[FMS ID]],FMS_Input[FMS_ID],FMS_Input[REMPOP100])</f>
        <v>0</v>
      </c>
      <c r="AS687" s="259">
        <f>(ASINH(FMS_Ranking4[[#This Row],[Removed Pop Raw]]))*(10)/(ASINH(AR$4))</f>
        <v>0</v>
      </c>
      <c r="AT687" s="262">
        <f>FMS_Ranking4[[#This Row],[Removed population, ArcSinh (0-10)]]*AR$5*10</f>
        <v>0</v>
      </c>
      <c r="AU687" s="264">
        <f>_xlfn.XLOOKUP(FMS_Ranking4[[#This Row],[FMS ID]],FMS_Input[FMS_ID],FMS_Input[REMCRITFAC100])</f>
        <v>0</v>
      </c>
      <c r="AV687" s="264">
        <f>_xlfn.XLOOKUP(FMS_Ranking4[[#This Row],[FMS ID]],FMS_Input[FMS_ID],FMS_Input[REMLWC100])</f>
        <v>0</v>
      </c>
      <c r="AW687" s="264">
        <f>_xlfn.XLOOKUP(FMS_Ranking4[[#This Row],[FMS ID]],FMS_Input[FMS_ID],FMS_Input[REMROADCLS])</f>
        <v>0</v>
      </c>
      <c r="AX687" s="264">
        <f>_xlfn.XLOOKUP(FMS_Ranking4[[#This Row],[FMS ID]],FMS_Input[FMS_ID],FMS_Input[REMFRMACRE100])</f>
        <v>0</v>
      </c>
      <c r="AY687" s="258">
        <f>_xlfn.XLOOKUP(FMS_Ranking4[[#This Row],[FMS ID]],FMS_Input[FMS_ID],FMS_Input[COSTSTRUCT])</f>
        <v>0</v>
      </c>
      <c r="AZ687" s="253">
        <f>_xlfn.XLOOKUP(FMS_Ranking4[[#This Row],[FMS ID]],FMS_Input[FMS_ID],FMS_Input[NATURE])</f>
        <v>0</v>
      </c>
      <c r="BA687" s="262">
        <f>(((FMS_Ranking4[[#This Row],[% NBS Raw]]/AZ$4)*100)*AZ$5)</f>
        <v>0</v>
      </c>
      <c r="BB687" s="251" t="str">
        <f>_xlfn.XLOOKUP(FMS_Ranking4[[#This Row],[FMS ID]],FMS_Input[FMS_ID],FMS_Input[WATER_SUP])</f>
        <v>No</v>
      </c>
      <c r="BC687" s="265">
        <f>IF(FMS_Ranking4[[#This Row],[Water Supply Raw]]="Yes",10,0)</f>
        <v>0</v>
      </c>
      <c r="BD687" s="266">
        <f>_xlfn.XLOOKUP(FMS_Ranking4[[#This Row],[FMS Type]],FMS_TYPE[FMS_Type],FMS_TYPE[Score])</f>
        <v>8</v>
      </c>
      <c r="BE687" s="267">
        <f>FMS_Ranking4[[#This Row],[FMS_Type Score]]*$BD$5*10</f>
        <v>2</v>
      </c>
      <c r="BF68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2.5263629051516773E-2</v>
      </c>
      <c r="BG687" s="271">
        <f>_xlfn.RANK.EQ(BF687,$BF$8:$BF$870,0)+COUNTIF($BF$8:BF687,BF687)-1</f>
        <v>621</v>
      </c>
      <c r="BH687" s="268">
        <f>(((FMS_Ranking4[[#This Row],[Structures Removed Raw]]/AK$4)*100)*AK$5)+(((FMS_Ranking4[[#This Row],[Removed Pop Raw]]/AR$4)*100)*AR$5)</f>
        <v>0</v>
      </c>
      <c r="BI68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2.0252636290515169</v>
      </c>
      <c r="BJ687" s="205">
        <f>_xlfn.RANK.EQ(FMS_Ranking4[[#This Row],[Total Score 
(with linear
normalization)]],FMS_Ranking4[Total Score 
(with linear
normalization)],0)</f>
        <v>407</v>
      </c>
      <c r="BK687" s="205" t="e">
        <f>_xlfn.XLOOKUP(FMS_Ranking4[[#This Row],[FMS ID]],#REF!,#REF!)</f>
        <v>#REF!</v>
      </c>
      <c r="BL68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8.2286206572185634</v>
      </c>
      <c r="BM687" s="272">
        <f>FMS_Ranking4[[#This Row],[ArcSinh Score Based on Normalized Reported Factors]]+FMS_Ranking4[[#This Row],[% NBS Score (Normalized)]]+(FMS_Ranking4[[#This Row],[Water Supply Score (Normalized)]]*10*$BB$5)+FMS_Ranking4[[#This Row],[FMS_Type Score Weighted]]</f>
        <v>10.228620657218563</v>
      </c>
      <c r="BN687" s="205">
        <f>_xlfn.RANK.EQ(FMS_Ranking4[[#This Row],[Total Score (with ArcSinh normalization of select criteria)]],FMS_Ranking4[Total Score (with ArcSinh normalization of select criteria)],0)</f>
        <v>680</v>
      </c>
      <c r="BO687" s="270" t="str">
        <f>_xlfn.XLOOKUP(FMS_Ranking4[[#This Row],[FMS ID]],FMS_Input[FMS_ID],FMS_Input[FMS_RANK_YEAR])</f>
        <v>2023 Amended Plan</v>
      </c>
      <c r="BP687" s="204">
        <f>_xlfn.XLOOKUP(FMS_Ranking4[[#This Row],[FMS ID]],Prev_Rank[FMS ID],Prev_Rank[Prev Rank])</f>
        <v>612</v>
      </c>
      <c r="BQ687" s="205" t="e">
        <f>_xlfn.XLOOKUP(FMS_Ranking4[[#This Row],[FMS ID]],#REF!,#REF!)</f>
        <v>#REF!</v>
      </c>
      <c r="BR687" s="199" t="e">
        <f>SUM(#REF!,#REF!,#REF!,#REF!,#REF!,#REF!,#REF!,#REF!,#REF!,FMS_Ranking4[[#This Row],[ArcSinh Res struct removed 0-10]],#REF!)</f>
        <v>#REF!</v>
      </c>
      <c r="BS687" s="199" t="e">
        <f>FMS_Ranking4[[#This Row],[Log Score Based on Normalized Reported Factors]]+FMS_Ranking4[[#This Row],[% NBS Score (Normalized)]]+(FMS_Ranking4[[#This Row],[Water Supply Score (Normalized)]]*10*$BB$5)+(FMS_Ranking4[[#This Row],[FMS_Type Score Weighted]])</f>
        <v>#REF!</v>
      </c>
      <c r="BT687" s="200" t="e">
        <f>_xlfn.RANK.EQ(FMS_Ranking4[[#This Row],[Log Total Score]],FMS_Ranking4[Log Total Score],0)</f>
        <v>#REF!</v>
      </c>
      <c r="BU687" s="200" t="e">
        <f>_xlfn.XLOOKUP(FMS_Ranking4[[#This Row],[FMS ID]],#REF!,#REF!)</f>
        <v>#REF!</v>
      </c>
      <c r="BV687" s="200">
        <f>FMS_Ranking4[[#This Row],[Region Number]]</f>
        <v>7</v>
      </c>
      <c r="BW687" s="200">
        <f>FMS_Ranking4[[#This Row],[Rank (with ArcSinh normalization of select criteria)]]-FMS_Ranking4[[#This Row],[Rank
(with linear
normalization)]]</f>
        <v>273</v>
      </c>
      <c r="BX687" s="200" t="e">
        <f>FMS_Ranking4[[#This Row],[Log Rank]]-FMS_Ranking4[[#This Row],[Rank
(with linear
normalization)]]</f>
        <v>#REF!</v>
      </c>
      <c r="BY687" s="200" t="str">
        <f>IF(FMS_Ranking4[[#This Row],[FMS Type]]="Flood Measurement and Warning",FMS_Ranking4[[#This Row],[Rank (with ArcSinh normalization of select criteria)]],"")</f>
        <v/>
      </c>
      <c r="BZ687" s="200">
        <f>IF(FMS_Ranking4[[#This Row],[FMS Type]]="Regulatory and Guidance",FMS_Ranking4[[#This Row],[Rank (with ArcSinh normalization of select criteria)]],"")</f>
        <v>680</v>
      </c>
      <c r="CA687" s="200" t="str">
        <f>IF(FMS_Ranking4[[#This Row],[FMS Type]]="Education and Outreach",FMS_Ranking4[[#This Row],[Rank (with ArcSinh normalization of select criteria)]],"")</f>
        <v/>
      </c>
      <c r="CB687" s="200" t="str">
        <f>IF(FMS_Ranking4[[#This Row],[FMS Type]]="Property Acquisition and Structural Elevation",FMS_Ranking4[[#This Row],[Rank (with ArcSinh normalization of select criteria)]],"")</f>
        <v/>
      </c>
      <c r="CC687" s="200" t="str">
        <f>IF(FMS_Ranking4[[#This Row],[FMS Type]]="Infrastructure Projects",FMS_Ranking4[[#This Row],[Rank (with ArcSinh normalization of select criteria)]],"")</f>
        <v/>
      </c>
      <c r="CD687" s="200" t="str">
        <f>IF(FMS_Ranking4[[#This Row],[FMS Type]]="Other",FMS_Ranking4[[#This Row],[Rank (with ArcSinh normalization of select criteria)]],"")</f>
        <v/>
      </c>
      <c r="CE687" s="201"/>
      <c r="CF687" s="206"/>
      <c r="CG687" s="206"/>
      <c r="CH687" s="206"/>
      <c r="CI687" s="206"/>
      <c r="CJ687" s="206"/>
      <c r="CK687" s="206"/>
      <c r="CL687" s="206"/>
      <c r="CM687" s="206"/>
      <c r="CN687" s="206"/>
      <c r="CO687" s="206"/>
      <c r="CP687" s="206"/>
      <c r="CQ687" s="206"/>
      <c r="CR687" s="206"/>
    </row>
    <row r="688" spans="2:96" ht="45" x14ac:dyDescent="0.25">
      <c r="B688" s="341" t="s">
        <v>1526</v>
      </c>
      <c r="C688" s="246">
        <f>_xlfn.XLOOKUP(FMS_Ranking4[[#This Row],[FMS ID]],FMS_Input[FMS_ID],FMS_Input[RFPG_NUM])</f>
        <v>2</v>
      </c>
      <c r="D688" s="309" t="str">
        <f>_xlfn.XLOOKUP(FMS_Ranking4[[#This Row],[FMS ID]],FMS_Input[FMS_ID],FMS_Input[FMS_NAME])</f>
        <v>City of Bells NFIP Involvement</v>
      </c>
      <c r="E688" s="308" t="str">
        <f>_xlfn.XLOOKUP(FMS_Ranking4[[#This Row],[FMS ID]],FMS_Input[FMS_ID],FMS_Input[SPONSOR])</f>
        <v>City of Bells</v>
      </c>
      <c r="F688" s="309" t="str">
        <f>_xlfn.XLOOKUP(FMS_Ranking4[[#This Row],[FMS ID]],Sponsor[FMS_ID],Sponsor[SPONSOR NAME])</f>
        <v>City of Bells</v>
      </c>
      <c r="G688" s="309" t="str">
        <f>_xlfn.XLOOKUP(FMS_Ranking4[[#This Row],[FMS ID]],FMS_Input[FMS_ID],FMS_Input[FMS_DESCR])</f>
        <v xml:space="preserve">Application to join NFIP or adoption of equivalent standards </v>
      </c>
      <c r="H688" s="248" t="str">
        <f>_xlfn.XLOOKUP(FMS_Ranking4[[#This Row],[FMS ID]],FMS_Input[FMS_ID],FMS_Input[FMS_TYPE])</f>
        <v>Regulatory and Guidance</v>
      </c>
      <c r="I688" s="249">
        <f>_xlfn.XLOOKUP(FMS_Ranking4[[#This Row],[FMS ID]],FMS_Input[FMS_ID],FMS_Input[NRNC_COST])</f>
        <v>100000</v>
      </c>
      <c r="J688" s="250">
        <f>_xlfn.XLOOKUP(FMS_Ranking4[[#This Row],[FMS ID]],FMS_Input[FMS_ID],FMS_Input[FMS_COST])</f>
        <v>100000</v>
      </c>
      <c r="K688" s="251" t="str">
        <f>_xlfn.XLOOKUP(FMS_Ranking4[[#This Row],[FMS ID]],FMS_Input[FMS_ID],FMS_Input[EMER_NEED])</f>
        <v>No</v>
      </c>
      <c r="L688" s="252">
        <f t="shared" si="10"/>
        <v>0</v>
      </c>
      <c r="M688" s="253">
        <f>_xlfn.XLOOKUP(FMS_Ranking4[[#This Row],[FMS ID]],FMS_Input[FMS_ID],FMS_Input[STRUCT_100])</f>
        <v>13</v>
      </c>
      <c r="N688" s="255">
        <f>(ASINH(FMS_Ranking4[[#This Row],[Structure at Risk Raw]]))*(10)/(ASINH(M$4))</f>
        <v>2.5625093585555985</v>
      </c>
      <c r="O688" s="256">
        <f>FMS_Ranking4[[#This Row],[Structures at risk, ArcSinh (0-10)]]*M$5*10</f>
        <v>2.5625093585555985</v>
      </c>
      <c r="P688" s="253">
        <f>_xlfn.XLOOKUP(FMS_Ranking4[[#This Row],[FMS ID]],FMS_Input[FMS_ID],FMS_Input[RES_STRUCT100])</f>
        <v>11</v>
      </c>
      <c r="Q688" s="257">
        <f>ASINH(FMS_Ranking4[[#This Row],[Res Structure Raw]])/Q$4*P$5*100</f>
        <v>0</v>
      </c>
      <c r="R688" s="253">
        <f>_xlfn.XLOOKUP(FMS_Ranking4[[#This Row],[FMS ID]],FMS_Input[FMS_ID],FMS_Input[POP100])</f>
        <v>33</v>
      </c>
      <c r="S688" s="259">
        <f>(ASINH(FMS_Ranking4[[#This Row],[Pop at Risk Raw]]))*(10)/(ASINH(R$4))</f>
        <v>2.8925210113451656</v>
      </c>
      <c r="T688" s="256">
        <f>FMS_Ranking4[[#This Row],[Population at risk, ArcSinh (0-10)]]*R$5*10</f>
        <v>2.8925210113451656</v>
      </c>
      <c r="U688" s="253">
        <f>_xlfn.XLOOKUP(FMS_Ranking4[[#This Row],[FMS ID]],FMS_Input[FMS_ID],FMS_Input[CRITFAC100])</f>
        <v>0</v>
      </c>
      <c r="V688" s="259">
        <f>(ASINH(FMS_Ranking4[[#This Row],[Critical Facilities Raw]]))*(10)/(ASINH(U$4))</f>
        <v>0</v>
      </c>
      <c r="W688" s="256">
        <f>FMS_Ranking4[[#This Row],[Critical facilities at risk, ArcSinh (0-10)]]*U$5*10</f>
        <v>0</v>
      </c>
      <c r="X688" s="253">
        <f>_xlfn.XLOOKUP(FMS_Ranking4[[#This Row],[FMS ID]],FMS_Input[FMS_ID],FMS_Input[LWC])</f>
        <v>0</v>
      </c>
      <c r="Y688" s="259">
        <f>(ASINH(FMS_Ranking4[[#This Row],[LWC Raw]]))*(10)/(ASINH(X$4))</f>
        <v>0</v>
      </c>
      <c r="Z688" s="256">
        <f>FMS_Ranking4[[#This Row],[LWC, ArcSInh (0-10)]]*X$5*10</f>
        <v>0</v>
      </c>
      <c r="AA688" s="253">
        <f>_xlfn.XLOOKUP(FMS_Ranking4[[#This Row],[FMS ID]],FMS_Input[FMS_ID],FMS_Input[ROADCLS])</f>
        <v>0</v>
      </c>
      <c r="AB688" s="255">
        <f>(ASINH(FMS_Ranking4[[#This Row],[Road Closures Raw]]))*(10)/(ASINH(AA$4))</f>
        <v>0</v>
      </c>
      <c r="AC688" s="256">
        <f>FMS_Ranking4[[#This Row],[Road closures, ArcSinh (0-10)]]*AA$5*10</f>
        <v>0</v>
      </c>
      <c r="AD688" s="253">
        <f>_xlfn.XLOOKUP(FMS_Ranking4[[#This Row],[FMS ID]],FMS_Input[FMS_ID],FMS_Input[ROAD_MILES100])</f>
        <v>2</v>
      </c>
      <c r="AE688" s="259">
        <f>(ASINH(FMS_Ranking4[[#This Row],[Road Miles Raw]]))*(10)/(ASINH(AD$4))</f>
        <v>1.5385182374234352</v>
      </c>
      <c r="AF688" s="256">
        <f>FMS_Ranking4[[#This Row],[Length of roads at risk, ArcSinh (0-10)]]*AD$5*10</f>
        <v>1.5385182374234352</v>
      </c>
      <c r="AG688" s="253">
        <f>_xlfn.XLOOKUP(FMS_Ranking4[[#This Row],[FMS ID]],FMS_Input[FMS_ID],FMS_Input[FARMACRE100])</f>
        <v>18.392253875732418</v>
      </c>
      <c r="AH688" s="255">
        <f>(ASINH(FMS_Ranking4[[#This Row],[Ag Land Raw]]))*(10)/(ASINH(AG$4))</f>
        <v>2.3422706039982564</v>
      </c>
      <c r="AI688" s="260">
        <f>FMS_Ranking4[[#This Row],[Farm &amp; ranch land, ArcSinh (0-10)]]*AG$5*10</f>
        <v>1.1711353019991284</v>
      </c>
      <c r="AJ688" s="258">
        <f>_xlfn.XLOOKUP(FMS_Ranking4[[#This Row],[FMS ID]],FMS_Input[FMS_ID],FMS_Input[REDSTRUCT100])</f>
        <v>0</v>
      </c>
      <c r="AK688" s="253">
        <f>_xlfn.XLOOKUP(FMS_Ranking4[[#This Row],[FMS ID]],FMS_Input[FMS_ID],FMS_Input[REMSTRC100])</f>
        <v>0</v>
      </c>
      <c r="AL688" s="259">
        <f>(ASINH(FMS_Ranking4[[#This Row],[Structures Removed Raw]]))*(10)/(ASINH(AK$4))</f>
        <v>0</v>
      </c>
      <c r="AM688" s="262">
        <f>FMS_Ranking4[[#This Row],[Structures removed, ArcSinh (0-10)]]*AK$5*10</f>
        <v>0</v>
      </c>
      <c r="AN688" s="253">
        <f>_xlfn.XLOOKUP(FMS_Ranking4[[#This Row],[FMS ID]],FMS_Input[FMS_ID],FMS_Input[REMRESSTRC100])</f>
        <v>0</v>
      </c>
      <c r="AO688" s="261">
        <f>FMS_Ranking4[[#This Row],[ArcSinh Res struct removed 0-10]]*AN$5*10</f>
        <v>0</v>
      </c>
      <c r="AP688" s="260">
        <f>ASINH(FMS_Ranking4[[#This Row],[Residential Structures Removed Raw]])/AP$4*AN$5*100</f>
        <v>0</v>
      </c>
      <c r="AQ688" s="254">
        <f>(ASINH(FMS_Ranking4[[#This Row],[Residential Structures Removed Raw]]))*(10)/(ASINH(AN$4))</f>
        <v>0</v>
      </c>
      <c r="AR688" s="253">
        <f>_xlfn.XLOOKUP(FMS_Ranking4[[#This Row],[FMS ID]],FMS_Input[FMS_ID],FMS_Input[REMPOP100])</f>
        <v>0</v>
      </c>
      <c r="AS688" s="259">
        <f>(ASINH(FMS_Ranking4[[#This Row],[Removed Pop Raw]]))*(10)/(ASINH(AR$4))</f>
        <v>0</v>
      </c>
      <c r="AT688" s="262">
        <f>FMS_Ranking4[[#This Row],[Removed population, ArcSinh (0-10)]]*AR$5*10</f>
        <v>0</v>
      </c>
      <c r="AU688" s="264">
        <f>_xlfn.XLOOKUP(FMS_Ranking4[[#This Row],[FMS ID]],FMS_Input[FMS_ID],FMS_Input[REMCRITFAC100])</f>
        <v>0</v>
      </c>
      <c r="AV688" s="264">
        <f>_xlfn.XLOOKUP(FMS_Ranking4[[#This Row],[FMS ID]],FMS_Input[FMS_ID],FMS_Input[REMLWC100])</f>
        <v>0</v>
      </c>
      <c r="AW688" s="264">
        <f>_xlfn.XLOOKUP(FMS_Ranking4[[#This Row],[FMS ID]],FMS_Input[FMS_ID],FMS_Input[REMROADCLS])</f>
        <v>0</v>
      </c>
      <c r="AX688" s="264">
        <f>_xlfn.XLOOKUP(FMS_Ranking4[[#This Row],[FMS ID]],FMS_Input[FMS_ID],FMS_Input[REMFRMACRE100])</f>
        <v>0</v>
      </c>
      <c r="AY688" s="258">
        <f>_xlfn.XLOOKUP(FMS_Ranking4[[#This Row],[FMS ID]],FMS_Input[FMS_ID],FMS_Input[COSTSTRUCT])</f>
        <v>0</v>
      </c>
      <c r="AZ688" s="253">
        <f>_xlfn.XLOOKUP(FMS_Ranking4[[#This Row],[FMS ID]],FMS_Input[FMS_ID],FMS_Input[NATURE])</f>
        <v>0</v>
      </c>
      <c r="BA688" s="262">
        <f>(((FMS_Ranking4[[#This Row],[% NBS Raw]]/AZ$4)*100)*AZ$5)</f>
        <v>0</v>
      </c>
      <c r="BB688" s="251" t="str">
        <f>_xlfn.XLOOKUP(FMS_Ranking4[[#This Row],[FMS ID]],FMS_Input[FMS_ID],FMS_Input[WATER_SUP])</f>
        <v>No</v>
      </c>
      <c r="BC688" s="265">
        <f>IF(FMS_Ranking4[[#This Row],[Water Supply Raw]]="Yes",10,0)</f>
        <v>0</v>
      </c>
      <c r="BD688" s="266">
        <f>_xlfn.XLOOKUP(FMS_Ranking4[[#This Row],[FMS Type]],FMS_TYPE[FMS_Type],FMS_TYPE[Score])</f>
        <v>8</v>
      </c>
      <c r="BE688" s="267">
        <f>FMS_Ranking4[[#This Row],[FMS_Type Score]]*$BD$5*10</f>
        <v>2</v>
      </c>
      <c r="BF68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4.5178798717510236E-3</v>
      </c>
      <c r="BG688" s="271">
        <f>_xlfn.RANK.EQ(BF688,$BF$8:$BF$870,0)+COUNTIF($BF$8:BF688,BF688)-1</f>
        <v>695</v>
      </c>
      <c r="BH688" s="268">
        <f>(((FMS_Ranking4[[#This Row],[Structures Removed Raw]]/AK$4)*100)*AK$5)+(((FMS_Ranking4[[#This Row],[Removed Pop Raw]]/AR$4)*100)*AR$5)</f>
        <v>0</v>
      </c>
      <c r="BI68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2.0045178798717509</v>
      </c>
      <c r="BJ688" s="205">
        <f>_xlfn.RANK.EQ(FMS_Ranking4[[#This Row],[Total Score 
(with linear
normalization)]],FMS_Ranking4[Total Score 
(with linear
normalization)],0)</f>
        <v>439</v>
      </c>
      <c r="BK688" s="205" t="e">
        <f>_xlfn.XLOOKUP(FMS_Ranking4[[#This Row],[FMS ID]],#REF!,#REF!)</f>
        <v>#REF!</v>
      </c>
      <c r="BL68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8.1646839093233279</v>
      </c>
      <c r="BM688" s="272">
        <f>FMS_Ranking4[[#This Row],[ArcSinh Score Based on Normalized Reported Factors]]+FMS_Ranking4[[#This Row],[% NBS Score (Normalized)]]+(FMS_Ranking4[[#This Row],[Water Supply Score (Normalized)]]*10*$BB$5)+FMS_Ranking4[[#This Row],[FMS_Type Score Weighted]]</f>
        <v>10.164683909323328</v>
      </c>
      <c r="BN688" s="205">
        <f>_xlfn.RANK.EQ(FMS_Ranking4[[#This Row],[Total Score (with ArcSinh normalization of select criteria)]],FMS_Ranking4[Total Score (with ArcSinh normalization of select criteria)],0)</f>
        <v>681</v>
      </c>
      <c r="BO688" s="270" t="str">
        <f>_xlfn.XLOOKUP(FMS_Ranking4[[#This Row],[FMS ID]],FMS_Input[FMS_ID],FMS_Input[FMS_RANK_YEAR])</f>
        <v>2023 Amended Plan</v>
      </c>
      <c r="BP688" s="204">
        <f>_xlfn.XLOOKUP(FMS_Ranking4[[#This Row],[FMS ID]],Prev_Rank[FMS ID],Prev_Rank[Prev Rank])</f>
        <v>609</v>
      </c>
      <c r="BQ688" s="205" t="e">
        <f>_xlfn.XLOOKUP(FMS_Ranking4[[#This Row],[FMS ID]],#REF!,#REF!)</f>
        <v>#REF!</v>
      </c>
      <c r="BR688" s="199" t="e">
        <f>SUM(#REF!,#REF!,#REF!,#REF!,#REF!,#REF!,#REF!,#REF!,#REF!,FMS_Ranking4[[#This Row],[ArcSinh Res struct removed 0-10]],#REF!)</f>
        <v>#REF!</v>
      </c>
      <c r="BS688" s="199" t="e">
        <f>FMS_Ranking4[[#This Row],[Log Score Based on Normalized Reported Factors]]+FMS_Ranking4[[#This Row],[% NBS Score (Normalized)]]+(FMS_Ranking4[[#This Row],[Water Supply Score (Normalized)]]*10*$BB$5)+(FMS_Ranking4[[#This Row],[FMS_Type Score Weighted]])</f>
        <v>#REF!</v>
      </c>
      <c r="BT688" s="200" t="e">
        <f>_xlfn.RANK.EQ(FMS_Ranking4[[#This Row],[Log Total Score]],FMS_Ranking4[Log Total Score],0)</f>
        <v>#REF!</v>
      </c>
      <c r="BU688" s="200" t="e">
        <f>_xlfn.XLOOKUP(FMS_Ranking4[[#This Row],[FMS ID]],#REF!,#REF!)</f>
        <v>#REF!</v>
      </c>
      <c r="BV688" s="200">
        <f>FMS_Ranking4[[#This Row],[Region Number]]</f>
        <v>2</v>
      </c>
      <c r="BW688" s="200">
        <f>FMS_Ranking4[[#This Row],[Rank (with ArcSinh normalization of select criteria)]]-FMS_Ranking4[[#This Row],[Rank
(with linear
normalization)]]</f>
        <v>242</v>
      </c>
      <c r="BX688" s="200" t="e">
        <f>FMS_Ranking4[[#This Row],[Log Rank]]-FMS_Ranking4[[#This Row],[Rank
(with linear
normalization)]]</f>
        <v>#REF!</v>
      </c>
      <c r="BY688" s="200" t="str">
        <f>IF(FMS_Ranking4[[#This Row],[FMS Type]]="Flood Measurement and Warning",FMS_Ranking4[[#This Row],[Rank (with ArcSinh normalization of select criteria)]],"")</f>
        <v/>
      </c>
      <c r="BZ688" s="200">
        <f>IF(FMS_Ranking4[[#This Row],[FMS Type]]="Regulatory and Guidance",FMS_Ranking4[[#This Row],[Rank (with ArcSinh normalization of select criteria)]],"")</f>
        <v>681</v>
      </c>
      <c r="CA688" s="200" t="str">
        <f>IF(FMS_Ranking4[[#This Row],[FMS Type]]="Education and Outreach",FMS_Ranking4[[#This Row],[Rank (with ArcSinh normalization of select criteria)]],"")</f>
        <v/>
      </c>
      <c r="CB688" s="200" t="str">
        <f>IF(FMS_Ranking4[[#This Row],[FMS Type]]="Property Acquisition and Structural Elevation",FMS_Ranking4[[#This Row],[Rank (with ArcSinh normalization of select criteria)]],"")</f>
        <v/>
      </c>
      <c r="CC688" s="200" t="str">
        <f>IF(FMS_Ranking4[[#This Row],[FMS Type]]="Infrastructure Projects",FMS_Ranking4[[#This Row],[Rank (with ArcSinh normalization of select criteria)]],"")</f>
        <v/>
      </c>
      <c r="CD688" s="200" t="str">
        <f>IF(FMS_Ranking4[[#This Row],[FMS Type]]="Other",FMS_Ranking4[[#This Row],[Rank (with ArcSinh normalization of select criteria)]],"")</f>
        <v/>
      </c>
      <c r="CE688" s="201"/>
      <c r="CF688" s="206"/>
      <c r="CG688" s="206"/>
      <c r="CH688" s="206"/>
      <c r="CI688" s="206"/>
      <c r="CJ688" s="206"/>
      <c r="CK688" s="206"/>
      <c r="CL688" s="206"/>
      <c r="CM688" s="206"/>
      <c r="CN688" s="206"/>
      <c r="CO688" s="206"/>
      <c r="CP688" s="206"/>
      <c r="CQ688" s="206"/>
      <c r="CR688" s="206"/>
    </row>
    <row r="689" spans="2:96" ht="45" x14ac:dyDescent="0.25">
      <c r="B689" s="341" t="s">
        <v>2311</v>
      </c>
      <c r="C689" s="246">
        <f>_xlfn.XLOOKUP(FMS_Ranking4[[#This Row],[FMS ID]],FMS_Input[FMS_ID],FMS_Input[RFPG_NUM])</f>
        <v>3</v>
      </c>
      <c r="D689" s="309" t="str">
        <f>_xlfn.XLOOKUP(FMS_Ranking4[[#This Row],[FMS ID]],FMS_Input[FMS_ID],FMS_Input[FMS_NAME])</f>
        <v>City of Angus NFIP Floodplain Ordinance</v>
      </c>
      <c r="E689" s="308" t="str">
        <f>_xlfn.XLOOKUP(FMS_Ranking4[[#This Row],[FMS ID]],FMS_Input[FMS_ID],FMS_Input[SPONSOR])</f>
        <v>Angus</v>
      </c>
      <c r="F689" s="309" t="str">
        <f>_xlfn.XLOOKUP(FMS_Ranking4[[#This Row],[FMS ID]],Sponsor[FMS_ID],Sponsor[SPONSOR NAME])</f>
        <v>Angus</v>
      </c>
      <c r="G689" s="309" t="str">
        <f>_xlfn.XLOOKUP(FMS_Ranking4[[#This Row],[FMS ID]],FMS_Input[FMS_ID],FMS_Input[FMS_DESCR])</f>
        <v>Develop a floodplain ordinance that meets or exceeds FEMA's minimum standards</v>
      </c>
      <c r="H689" s="248" t="str">
        <f>_xlfn.XLOOKUP(FMS_Ranking4[[#This Row],[FMS ID]],FMS_Input[FMS_ID],FMS_Input[FMS_TYPE])</f>
        <v>Regulatory and Guidance</v>
      </c>
      <c r="I689" s="249">
        <f>_xlfn.XLOOKUP(FMS_Ranking4[[#This Row],[FMS ID]],FMS_Input[FMS_ID],FMS_Input[NRNC_COST])</f>
        <v>100000</v>
      </c>
      <c r="J689" s="250">
        <f>_xlfn.XLOOKUP(FMS_Ranking4[[#This Row],[FMS ID]],FMS_Input[FMS_ID],FMS_Input[FMS_COST])</f>
        <v>100000</v>
      </c>
      <c r="K689" s="251" t="str">
        <f>_xlfn.XLOOKUP(FMS_Ranking4[[#This Row],[FMS ID]],FMS_Input[FMS_ID],FMS_Input[EMER_NEED])</f>
        <v>No</v>
      </c>
      <c r="L689" s="252">
        <f t="shared" si="10"/>
        <v>0</v>
      </c>
      <c r="M689" s="253">
        <f>_xlfn.XLOOKUP(FMS_Ranking4[[#This Row],[FMS ID]],FMS_Input[FMS_ID],FMS_Input[STRUCT_100])</f>
        <v>13</v>
      </c>
      <c r="N689" s="255">
        <f>(ASINH(FMS_Ranking4[[#This Row],[Structure at Risk Raw]]))*(10)/(ASINH(M$4))</f>
        <v>2.5625093585555985</v>
      </c>
      <c r="O689" s="256">
        <f>FMS_Ranking4[[#This Row],[Structures at risk, ArcSinh (0-10)]]*M$5*10</f>
        <v>2.5625093585555985</v>
      </c>
      <c r="P689" s="253">
        <f>_xlfn.XLOOKUP(FMS_Ranking4[[#This Row],[FMS ID]],FMS_Input[FMS_ID],FMS_Input[RES_STRUCT100])</f>
        <v>8</v>
      </c>
      <c r="Q689" s="257">
        <f>ASINH(FMS_Ranking4[[#This Row],[Res Structure Raw]])/Q$4*P$5*100</f>
        <v>0</v>
      </c>
      <c r="R689" s="253">
        <f>_xlfn.XLOOKUP(FMS_Ranking4[[#This Row],[FMS ID]],FMS_Input[FMS_ID],FMS_Input[POP100])</f>
        <v>15</v>
      </c>
      <c r="S689" s="255">
        <f>(ASINH(FMS_Ranking4[[#This Row],[Pop at Risk Raw]]))*(10)/(ASINH(R$4))</f>
        <v>2.3488103526295672</v>
      </c>
      <c r="T689" s="256">
        <f>FMS_Ranking4[[#This Row],[Population at risk, ArcSinh (0-10)]]*R$5*10</f>
        <v>2.3488103526295672</v>
      </c>
      <c r="U689" s="253">
        <f>_xlfn.XLOOKUP(FMS_Ranking4[[#This Row],[FMS ID]],FMS_Input[FMS_ID],FMS_Input[CRITFAC100])</f>
        <v>0</v>
      </c>
      <c r="V689" s="255">
        <f>(ASINH(FMS_Ranking4[[#This Row],[Critical Facilities Raw]]))*(10)/(ASINH(U$4))</f>
        <v>0</v>
      </c>
      <c r="W689" s="256">
        <f>FMS_Ranking4[[#This Row],[Critical facilities at risk, ArcSinh (0-10)]]*U$5*10</f>
        <v>0</v>
      </c>
      <c r="X689" s="253">
        <f>_xlfn.XLOOKUP(FMS_Ranking4[[#This Row],[FMS ID]],FMS_Input[FMS_ID],FMS_Input[LWC])</f>
        <v>0</v>
      </c>
      <c r="Y689" s="255">
        <f>(ASINH(FMS_Ranking4[[#This Row],[LWC Raw]]))*(10)/(ASINH(X$4))</f>
        <v>0</v>
      </c>
      <c r="Z689" s="256">
        <f>FMS_Ranking4[[#This Row],[LWC, ArcSInh (0-10)]]*X$5*10</f>
        <v>0</v>
      </c>
      <c r="AA689" s="253">
        <f>_xlfn.XLOOKUP(FMS_Ranking4[[#This Row],[FMS ID]],FMS_Input[FMS_ID],FMS_Input[ROADCLS])</f>
        <v>0</v>
      </c>
      <c r="AB689" s="255">
        <f>(ASINH(FMS_Ranking4[[#This Row],[Road Closures Raw]]))*(10)/(ASINH(AA$4))</f>
        <v>0</v>
      </c>
      <c r="AC689" s="256">
        <f>FMS_Ranking4[[#This Row],[Road closures, ArcSinh (0-10)]]*AA$5*10</f>
        <v>0</v>
      </c>
      <c r="AD689" s="253">
        <f>_xlfn.XLOOKUP(FMS_Ranking4[[#This Row],[FMS ID]],FMS_Input[FMS_ID],FMS_Input[ROAD_MILES100])</f>
        <v>2</v>
      </c>
      <c r="AE689" s="255">
        <f>(ASINH(FMS_Ranking4[[#This Row],[Road Miles Raw]]))*(10)/(ASINH(AD$4))</f>
        <v>1.5385182374234352</v>
      </c>
      <c r="AF689" s="256">
        <f>FMS_Ranking4[[#This Row],[Length of roads at risk, ArcSinh (0-10)]]*AD$5*10</f>
        <v>1.5385182374234352</v>
      </c>
      <c r="AG689" s="253">
        <f>_xlfn.XLOOKUP(FMS_Ranking4[[#This Row],[FMS ID]],FMS_Input[FMS_ID],FMS_Input[FARMACRE100])</f>
        <v>94.386093139648438</v>
      </c>
      <c r="AH689" s="255">
        <f>(ASINH(FMS_Ranking4[[#This Row],[Ag Land Raw]]))*(10)/(ASINH(AG$4))</f>
        <v>3.4041765017076937</v>
      </c>
      <c r="AI689" s="260">
        <f>FMS_Ranking4[[#This Row],[Farm &amp; ranch land, ArcSinh (0-10)]]*AG$5*10</f>
        <v>1.7020882508538471</v>
      </c>
      <c r="AJ689" s="258">
        <f>_xlfn.XLOOKUP(FMS_Ranking4[[#This Row],[FMS ID]],FMS_Input[FMS_ID],FMS_Input[REDSTRUCT100])</f>
        <v>0</v>
      </c>
      <c r="AK689" s="253">
        <f>_xlfn.XLOOKUP(FMS_Ranking4[[#This Row],[FMS ID]],FMS_Input[FMS_ID],FMS_Input[REMSTRC100])</f>
        <v>0</v>
      </c>
      <c r="AL689" s="255">
        <f>(ASINH(FMS_Ranking4[[#This Row],[Structures Removed Raw]]))*(10)/(ASINH(AK$4))</f>
        <v>0</v>
      </c>
      <c r="AM689" s="262">
        <f>FMS_Ranking4[[#This Row],[Structures removed, ArcSinh (0-10)]]*AK$5*10</f>
        <v>0</v>
      </c>
      <c r="AN689" s="253">
        <f>_xlfn.XLOOKUP(FMS_Ranking4[[#This Row],[FMS ID]],FMS_Input[FMS_ID],FMS_Input[REMRESSTRC100])</f>
        <v>0</v>
      </c>
      <c r="AO689" s="261">
        <f>FMS_Ranking4[[#This Row],[ArcSinh Res struct removed 0-10]]*AN$5*10</f>
        <v>0</v>
      </c>
      <c r="AP689" s="260">
        <f>ASINH(FMS_Ranking4[[#This Row],[Residential Structures Removed Raw]])/AP$4*AN$5*100</f>
        <v>0</v>
      </c>
      <c r="AQ689" s="258">
        <f>(ASINH(FMS_Ranking4[[#This Row],[Residential Structures Removed Raw]]))*(10)/(ASINH(AN$4))</f>
        <v>0</v>
      </c>
      <c r="AR689" s="253">
        <f>_xlfn.XLOOKUP(FMS_Ranking4[[#This Row],[FMS ID]],FMS_Input[FMS_ID],FMS_Input[REMPOP100])</f>
        <v>0</v>
      </c>
      <c r="AS689" s="255">
        <f>(ASINH(FMS_Ranking4[[#This Row],[Removed Pop Raw]]))*(10)/(ASINH(AR$4))</f>
        <v>0</v>
      </c>
      <c r="AT689" s="262">
        <f>FMS_Ranking4[[#This Row],[Removed population, ArcSinh (0-10)]]*AR$5*10</f>
        <v>0</v>
      </c>
      <c r="AU689" s="264">
        <f>_xlfn.XLOOKUP(FMS_Ranking4[[#This Row],[FMS ID]],FMS_Input[FMS_ID],FMS_Input[REMCRITFAC100])</f>
        <v>0</v>
      </c>
      <c r="AV689" s="264">
        <f>_xlfn.XLOOKUP(FMS_Ranking4[[#This Row],[FMS ID]],FMS_Input[FMS_ID],FMS_Input[REMLWC100])</f>
        <v>0</v>
      </c>
      <c r="AW689" s="264">
        <f>_xlfn.XLOOKUP(FMS_Ranking4[[#This Row],[FMS ID]],FMS_Input[FMS_ID],FMS_Input[REMROADCLS])</f>
        <v>0</v>
      </c>
      <c r="AX689" s="264">
        <f>_xlfn.XLOOKUP(FMS_Ranking4[[#This Row],[FMS ID]],FMS_Input[FMS_ID],FMS_Input[REMFRMACRE100])</f>
        <v>0</v>
      </c>
      <c r="AY689" s="258">
        <f>_xlfn.XLOOKUP(FMS_Ranking4[[#This Row],[FMS ID]],FMS_Input[FMS_ID],FMS_Input[COSTSTRUCT])</f>
        <v>0</v>
      </c>
      <c r="AZ689" s="253">
        <f>_xlfn.XLOOKUP(FMS_Ranking4[[#This Row],[FMS ID]],FMS_Input[FMS_ID],FMS_Input[NATURE])</f>
        <v>0</v>
      </c>
      <c r="BA689" s="262">
        <f>(((FMS_Ranking4[[#This Row],[% NBS Raw]]/AZ$4)*100)*AZ$5)</f>
        <v>0</v>
      </c>
      <c r="BB689" s="251" t="str">
        <f>_xlfn.XLOOKUP(FMS_Ranking4[[#This Row],[FMS ID]],FMS_Input[FMS_ID],FMS_Input[WATER_SUP])</f>
        <v>No</v>
      </c>
      <c r="BC689" s="265">
        <f>IF(FMS_Ranking4[[#This Row],[Water Supply Raw]]="Yes",10,0)</f>
        <v>0</v>
      </c>
      <c r="BD689" s="266">
        <f>_xlfn.XLOOKUP(FMS_Ranking4[[#This Row],[FMS Type]],FMS_TYPE[FMS_Type],FMS_TYPE[Score])</f>
        <v>8</v>
      </c>
      <c r="BE689" s="267">
        <f>FMS_Ranking4[[#This Row],[FMS_Type Score]]*$BD$5*10</f>
        <v>2</v>
      </c>
      <c r="BF68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4.4902960295495975E-3</v>
      </c>
      <c r="BG689" s="321">
        <f>_xlfn.RANK.EQ(BF689,$BF$8:$BF$870,0)+COUNTIF($BF$8:BF689,BF689)-1</f>
        <v>696</v>
      </c>
      <c r="BH689" s="294">
        <f>(((FMS_Ranking4[[#This Row],[Structures Removed Raw]]/AK$4)*100)*AK$5)+(((FMS_Ranking4[[#This Row],[Removed Pop Raw]]/AR$4)*100)*AR$5)</f>
        <v>0</v>
      </c>
      <c r="BI68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2.0044902960295494</v>
      </c>
      <c r="BJ689" s="251">
        <f>_xlfn.RANK.EQ(FMS_Ranking4[[#This Row],[Total Score 
(with linear
normalization)]],FMS_Ranking4[Total Score 
(with linear
normalization)],0)</f>
        <v>440</v>
      </c>
      <c r="BK689" s="251" t="e">
        <f>_xlfn.XLOOKUP(FMS_Ranking4[[#This Row],[FMS ID]],#REF!,#REF!)</f>
        <v>#REF!</v>
      </c>
      <c r="BL68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8.1519261994624479</v>
      </c>
      <c r="BM689" s="324">
        <f>FMS_Ranking4[[#This Row],[ArcSinh Score Based on Normalized Reported Factors]]+FMS_Ranking4[[#This Row],[% NBS Score (Normalized)]]+(FMS_Ranking4[[#This Row],[Water Supply Score (Normalized)]]*10*$BB$5)+FMS_Ranking4[[#This Row],[FMS_Type Score Weighted]]</f>
        <v>10.151926199462448</v>
      </c>
      <c r="BN689" s="251">
        <f>_xlfn.RANK.EQ(FMS_Ranking4[[#This Row],[Total Score (with ArcSinh normalization of select criteria)]],FMS_Ranking4[Total Score (with ArcSinh normalization of select criteria)],0)</f>
        <v>682</v>
      </c>
      <c r="BO689" s="270" t="str">
        <f>_xlfn.XLOOKUP(FMS_Ranking4[[#This Row],[FMS ID]],FMS_Input[FMS_ID],FMS_Input[FMS_RANK_YEAR])</f>
        <v>2023 Amended Plan</v>
      </c>
      <c r="BP689" s="204">
        <f>_xlfn.XLOOKUP(FMS_Ranking4[[#This Row],[FMS ID]],Prev_Rank[FMS ID],Prev_Rank[Prev Rank])</f>
        <v>611</v>
      </c>
      <c r="BQ689" s="251" t="e">
        <f>_xlfn.XLOOKUP(FMS_Ranking4[[#This Row],[FMS ID]],#REF!,#REF!)</f>
        <v>#REF!</v>
      </c>
      <c r="BR689" s="199" t="e">
        <f>SUM(#REF!,#REF!,#REF!,#REF!,#REF!,#REF!,#REF!,#REF!,#REF!,FMS_Ranking4[[#This Row],[ArcSinh Res struct removed 0-10]],#REF!)</f>
        <v>#REF!</v>
      </c>
      <c r="BS689" s="199" t="e">
        <f>FMS_Ranking4[[#This Row],[Log Score Based on Normalized Reported Factors]]+FMS_Ranking4[[#This Row],[% NBS Score (Normalized)]]+(FMS_Ranking4[[#This Row],[Water Supply Score (Normalized)]]*10*$BB$5)+(FMS_Ranking4[[#This Row],[FMS_Type Score Weighted]])</f>
        <v>#REF!</v>
      </c>
      <c r="BT689" s="200" t="e">
        <f>_xlfn.RANK.EQ(FMS_Ranking4[[#This Row],[Log Total Score]],FMS_Ranking4[Log Total Score],0)</f>
        <v>#REF!</v>
      </c>
      <c r="BU689" s="200" t="e">
        <f>_xlfn.XLOOKUP(FMS_Ranking4[[#This Row],[FMS ID]],#REF!,#REF!)</f>
        <v>#REF!</v>
      </c>
      <c r="BV689" s="200">
        <f>FMS_Ranking4[[#This Row],[Region Number]]</f>
        <v>3</v>
      </c>
      <c r="BW689" s="200">
        <f>FMS_Ranking4[[#This Row],[Rank (with ArcSinh normalization of select criteria)]]-FMS_Ranking4[[#This Row],[Rank
(with linear
normalization)]]</f>
        <v>242</v>
      </c>
      <c r="BX689" s="200" t="e">
        <f>FMS_Ranking4[[#This Row],[Log Rank]]-FMS_Ranking4[[#This Row],[Rank
(with linear
normalization)]]</f>
        <v>#REF!</v>
      </c>
      <c r="BY689" s="200" t="str">
        <f>IF(FMS_Ranking4[[#This Row],[FMS Type]]="Flood Measurement and Warning",FMS_Ranking4[[#This Row],[Rank (with ArcSinh normalization of select criteria)]],"")</f>
        <v/>
      </c>
      <c r="BZ689" s="200">
        <f>IF(FMS_Ranking4[[#This Row],[FMS Type]]="Regulatory and Guidance",FMS_Ranking4[[#This Row],[Rank (with ArcSinh normalization of select criteria)]],"")</f>
        <v>682</v>
      </c>
      <c r="CA689" s="200" t="str">
        <f>IF(FMS_Ranking4[[#This Row],[FMS Type]]="Education and Outreach",FMS_Ranking4[[#This Row],[Rank (with ArcSinh normalization of select criteria)]],"")</f>
        <v/>
      </c>
      <c r="CB689" s="200" t="str">
        <f>IF(FMS_Ranking4[[#This Row],[FMS Type]]="Property Acquisition and Structural Elevation",FMS_Ranking4[[#This Row],[Rank (with ArcSinh normalization of select criteria)]],"")</f>
        <v/>
      </c>
      <c r="CC689" s="200" t="str">
        <f>IF(FMS_Ranking4[[#This Row],[FMS Type]]="Infrastructure Projects",FMS_Ranking4[[#This Row],[Rank (with ArcSinh normalization of select criteria)]],"")</f>
        <v/>
      </c>
      <c r="CD689" s="200" t="str">
        <f>IF(FMS_Ranking4[[#This Row],[FMS Type]]="Other",FMS_Ranking4[[#This Row],[Rank (with ArcSinh normalization of select criteria)]],"")</f>
        <v/>
      </c>
      <c r="CE689" s="201"/>
      <c r="CF689" s="206"/>
      <c r="CG689" s="206"/>
      <c r="CH689" s="206"/>
      <c r="CI689" s="206"/>
      <c r="CJ689" s="206"/>
      <c r="CK689" s="206"/>
      <c r="CL689" s="206"/>
      <c r="CM689" s="206"/>
      <c r="CN689" s="206"/>
      <c r="CO689" s="206"/>
      <c r="CP689" s="206"/>
      <c r="CQ689" s="206"/>
      <c r="CR689" s="206"/>
    </row>
    <row r="690" spans="2:96" ht="75" x14ac:dyDescent="0.25">
      <c r="B690" s="341" t="s">
        <v>772</v>
      </c>
      <c r="C690" s="246">
        <f>_xlfn.XLOOKUP(FMS_Ranking4[[#This Row],[FMS ID]],FMS_Input[FMS_ID],FMS_Input[RFPG_NUM])</f>
        <v>9</v>
      </c>
      <c r="D690" s="309" t="str">
        <f>_xlfn.XLOOKUP(FMS_Ranking4[[#This Row],[FMS ID]],FMS_Input[FMS_ID],FMS_Input[FMS_NAME])</f>
        <v>Town of Loraine Flood Awareness Program</v>
      </c>
      <c r="E690" s="308" t="str">
        <f>_xlfn.XLOOKUP(FMS_Ranking4[[#This Row],[FMS ID]],FMS_Input[FMS_ID],FMS_Input[SPONSOR])</f>
        <v>00000172</v>
      </c>
      <c r="F690" s="309" t="str">
        <f>_xlfn.XLOOKUP(FMS_Ranking4[[#This Row],[FMS ID]],Sponsor[FMS_ID],Sponsor[SPONSOR NAME])</f>
        <v>Mitchell</v>
      </c>
      <c r="G690" s="309" t="str">
        <f>_xlfn.XLOOKUP(FMS_Ranking4[[#This Row],[FMS ID]],FMS_Input[FMS_ID],FMS_Input[FMS_DESCR])</f>
        <v xml:space="preserve">Establish a public awareness program regarding availability of flood insurance by disseminating brochures in public places, such as City Hall. </v>
      </c>
      <c r="H690" s="248" t="str">
        <f>_xlfn.XLOOKUP(FMS_Ranking4[[#This Row],[FMS ID]],FMS_Input[FMS_ID],FMS_Input[FMS_TYPE])</f>
        <v>Other</v>
      </c>
      <c r="I690" s="249">
        <f>_xlfn.XLOOKUP(FMS_Ranking4[[#This Row],[FMS ID]],FMS_Input[FMS_ID],FMS_Input[NRNC_COST])</f>
        <v>5000</v>
      </c>
      <c r="J690" s="250">
        <f>_xlfn.XLOOKUP(FMS_Ranking4[[#This Row],[FMS ID]],FMS_Input[FMS_ID],FMS_Input[FMS_COST])</f>
        <v>30000</v>
      </c>
      <c r="K690" s="251" t="str">
        <f>_xlfn.XLOOKUP(FMS_Ranking4[[#This Row],[FMS ID]],FMS_Input[FMS_ID],FMS_Input[EMER_NEED])</f>
        <v>No</v>
      </c>
      <c r="L690" s="252">
        <f t="shared" si="10"/>
        <v>0</v>
      </c>
      <c r="M690" s="253">
        <f>_xlfn.XLOOKUP(FMS_Ranking4[[#This Row],[FMS ID]],FMS_Input[FMS_ID],FMS_Input[STRUCT_100])</f>
        <v>8</v>
      </c>
      <c r="N690" s="255">
        <f>(ASINH(FMS_Ranking4[[#This Row],[Structure at Risk Raw]]))*(10)/(ASINH(M$4))</f>
        <v>2.1827206114662263</v>
      </c>
      <c r="O690" s="256">
        <f>FMS_Ranking4[[#This Row],[Structures at risk, ArcSinh (0-10)]]*M$5*10</f>
        <v>2.1827206114662263</v>
      </c>
      <c r="P690" s="253">
        <f>_xlfn.XLOOKUP(FMS_Ranking4[[#This Row],[FMS ID]],FMS_Input[FMS_ID],FMS_Input[RES_STRUCT100])</f>
        <v>6</v>
      </c>
      <c r="Q690" s="257">
        <f>ASINH(FMS_Ranking4[[#This Row],[Res Structure Raw]])/Q$4*P$5*100</f>
        <v>0</v>
      </c>
      <c r="R690" s="253">
        <f>_xlfn.XLOOKUP(FMS_Ranking4[[#This Row],[FMS ID]],FMS_Input[FMS_ID],FMS_Input[POP100])</f>
        <v>5</v>
      </c>
      <c r="S690" s="259">
        <f>(ASINH(FMS_Ranking4[[#This Row],[Pop at Risk Raw]]))*(10)/(ASINH(R$4))</f>
        <v>1.596410812356909</v>
      </c>
      <c r="T690" s="256">
        <f>FMS_Ranking4[[#This Row],[Population at risk, ArcSinh (0-10)]]*R$5*10</f>
        <v>1.596410812356909</v>
      </c>
      <c r="U690" s="253">
        <f>_xlfn.XLOOKUP(FMS_Ranking4[[#This Row],[FMS ID]],FMS_Input[FMS_ID],FMS_Input[CRITFAC100])</f>
        <v>0</v>
      </c>
      <c r="V690" s="259">
        <f>(ASINH(FMS_Ranking4[[#This Row],[Critical Facilities Raw]]))*(10)/(ASINH(U$4))</f>
        <v>0</v>
      </c>
      <c r="W690" s="256">
        <f>FMS_Ranking4[[#This Row],[Critical facilities at risk, ArcSinh (0-10)]]*U$5*10</f>
        <v>0</v>
      </c>
      <c r="X690" s="253">
        <f>_xlfn.XLOOKUP(FMS_Ranking4[[#This Row],[FMS ID]],FMS_Input[FMS_ID],FMS_Input[LWC])</f>
        <v>0</v>
      </c>
      <c r="Y690" s="259">
        <f>(ASINH(FMS_Ranking4[[#This Row],[LWC Raw]]))*(10)/(ASINH(X$4))</f>
        <v>0</v>
      </c>
      <c r="Z690" s="256">
        <f>FMS_Ranking4[[#This Row],[LWC, ArcSInh (0-10)]]*X$5*10</f>
        <v>0</v>
      </c>
      <c r="AA690" s="253">
        <f>_xlfn.XLOOKUP(FMS_Ranking4[[#This Row],[FMS ID]],FMS_Input[FMS_ID],FMS_Input[ROADCLS])</f>
        <v>0</v>
      </c>
      <c r="AB690" s="255">
        <f>(ASINH(FMS_Ranking4[[#This Row],[Road Closures Raw]]))*(10)/(ASINH(AA$4))</f>
        <v>0</v>
      </c>
      <c r="AC690" s="256">
        <f>FMS_Ranking4[[#This Row],[Road closures, ArcSinh (0-10)]]*AA$5*10</f>
        <v>0</v>
      </c>
      <c r="AD690" s="253">
        <f>_xlfn.XLOOKUP(FMS_Ranking4[[#This Row],[FMS ID]],FMS_Input[FMS_ID],FMS_Input[ROAD_MILES100])</f>
        <v>5</v>
      </c>
      <c r="AE690" s="259">
        <f>(ASINH(FMS_Ranking4[[#This Row],[Road Miles Raw]]))*(10)/(ASINH(AD$4))</f>
        <v>2.4644230639487872</v>
      </c>
      <c r="AF690" s="256">
        <f>FMS_Ranking4[[#This Row],[Length of roads at risk, ArcSinh (0-10)]]*AD$5*10</f>
        <v>2.4644230639487876</v>
      </c>
      <c r="AG690" s="253">
        <f>_xlfn.XLOOKUP(FMS_Ranking4[[#This Row],[FMS ID]],FMS_Input[FMS_ID],FMS_Input[FARMACRE100])</f>
        <v>1.2551029920578001</v>
      </c>
      <c r="AH690" s="255">
        <f>(ASINH(FMS_Ranking4[[#This Row],[Ag Land Raw]]))*(10)/(ASINH(AG$4))</f>
        <v>0.68256517880880907</v>
      </c>
      <c r="AI690" s="260">
        <f>FMS_Ranking4[[#This Row],[Farm &amp; ranch land, ArcSinh (0-10)]]*AG$5*10</f>
        <v>0.34128258940440459</v>
      </c>
      <c r="AJ690" s="258">
        <f>_xlfn.XLOOKUP(FMS_Ranking4[[#This Row],[FMS ID]],FMS_Input[FMS_ID],FMS_Input[REDSTRUCT100])</f>
        <v>2</v>
      </c>
      <c r="AK690" s="253">
        <f>_xlfn.XLOOKUP(FMS_Ranking4[[#This Row],[FMS ID]],FMS_Input[FMS_ID],FMS_Input[REMSTRC100])</f>
        <v>2</v>
      </c>
      <c r="AL690" s="259">
        <f>(ASINH(FMS_Ranking4[[#This Row],[Structures Removed Raw]]))*(10)/(ASINH(AK$4))</f>
        <v>1.6436820361006297</v>
      </c>
      <c r="AM690" s="262">
        <f>FMS_Ranking4[[#This Row],[Structures removed, ArcSinh (0-10)]]*AK$5*10</f>
        <v>1.6436820361006299</v>
      </c>
      <c r="AN690" s="253">
        <f>_xlfn.XLOOKUP(FMS_Ranking4[[#This Row],[FMS ID]],FMS_Input[FMS_ID],FMS_Input[REMRESSTRC100])</f>
        <v>1</v>
      </c>
      <c r="AO690" s="261">
        <f>FMS_Ranking4[[#This Row],[ArcSinh Res struct removed 0-10]]*AN$5*10</f>
        <v>0.51694893589195634</v>
      </c>
      <c r="AP690" s="260">
        <f>ASINH(FMS_Ranking4[[#This Row],[Residential Structures Removed Raw]])/AP$4*AN$5*100</f>
        <v>0.51694893589195634</v>
      </c>
      <c r="AQ690" s="254">
        <f>(ASINH(FMS_Ranking4[[#This Row],[Residential Structures Removed Raw]]))*(10)/(ASINH(AN$4))</f>
        <v>1.0338978717839127</v>
      </c>
      <c r="AR690" s="253">
        <f>_xlfn.XLOOKUP(FMS_Ranking4[[#This Row],[FMS ID]],FMS_Input[FMS_ID],FMS_Input[REMPOP100])</f>
        <v>1</v>
      </c>
      <c r="AS690" s="259">
        <f>(ASINH(FMS_Ranking4[[#This Row],[Removed Pop Raw]]))*(10)/(ASINH(AR$4))</f>
        <v>0.86517433076217742</v>
      </c>
      <c r="AT690" s="262">
        <f>FMS_Ranking4[[#This Row],[Removed population, ArcSinh (0-10)]]*AR$5*10</f>
        <v>0.86517433076217742</v>
      </c>
      <c r="AU690" s="264">
        <f>_xlfn.XLOOKUP(FMS_Ranking4[[#This Row],[FMS ID]],FMS_Input[FMS_ID],FMS_Input[REMCRITFAC100])</f>
        <v>0</v>
      </c>
      <c r="AV690" s="264">
        <f>_xlfn.XLOOKUP(FMS_Ranking4[[#This Row],[FMS ID]],FMS_Input[FMS_ID],FMS_Input[REMLWC100])</f>
        <v>0</v>
      </c>
      <c r="AW690" s="264">
        <f>_xlfn.XLOOKUP(FMS_Ranking4[[#This Row],[FMS ID]],FMS_Input[FMS_ID],FMS_Input[REMROADCLS])</f>
        <v>0</v>
      </c>
      <c r="AX690" s="264">
        <f>_xlfn.XLOOKUP(FMS_Ranking4[[#This Row],[FMS ID]],FMS_Input[FMS_ID],FMS_Input[REMFRMACRE100])</f>
        <v>0.31377574801445007</v>
      </c>
      <c r="AY690" s="258">
        <f>_xlfn.XLOOKUP(FMS_Ranking4[[#This Row],[FMS ID]],FMS_Input[FMS_ID],FMS_Input[COSTSTRUCT])</f>
        <v>25000</v>
      </c>
      <c r="AZ690" s="253">
        <f>_xlfn.XLOOKUP(FMS_Ranking4[[#This Row],[FMS ID]],FMS_Input[FMS_ID],FMS_Input[NATURE])</f>
        <v>0</v>
      </c>
      <c r="BA690" s="262">
        <f>(((FMS_Ranking4[[#This Row],[% NBS Raw]]/AZ$4)*100)*AZ$5)</f>
        <v>0</v>
      </c>
      <c r="BB690" s="251" t="str">
        <f>_xlfn.XLOOKUP(FMS_Ranking4[[#This Row],[FMS ID]],FMS_Input[FMS_ID],FMS_Input[WATER_SUP])</f>
        <v>No</v>
      </c>
      <c r="BC690" s="265">
        <f>IF(FMS_Ranking4[[#This Row],[Water Supply Raw]]="Yes",10,0)</f>
        <v>0</v>
      </c>
      <c r="BD690" s="266">
        <f>_xlfn.XLOOKUP(FMS_Ranking4[[#This Row],[FMS Type]],FMS_TYPE[FMS_Type],FMS_TYPE[Score])</f>
        <v>2</v>
      </c>
      <c r="BE690" s="267">
        <f>FMS_Ranking4[[#This Row],[FMS_Type Score]]*$BD$5*10</f>
        <v>0.5</v>
      </c>
      <c r="BF69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8.9440168832081012E-3</v>
      </c>
      <c r="BG690" s="271">
        <f>_xlfn.RANK.EQ(BF690,$BF$8:$BF$870,0)+COUNTIF($BF$8:BF690,BF690)-1</f>
        <v>669</v>
      </c>
      <c r="BH690" s="268">
        <f>(((FMS_Ranking4[[#This Row],[Structures Removed Raw]]/AK$4)*100)*AK$5)+(((FMS_Ranking4[[#This Row],[Removed Pop Raw]]/AR$4)*100)*AR$5)</f>
        <v>6.8860433595607012E-3</v>
      </c>
      <c r="BI69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0.51583006024276878</v>
      </c>
      <c r="BJ690" s="205">
        <f>_xlfn.RANK.EQ(FMS_Ranking4[[#This Row],[Total Score 
(with linear
normalization)]],FMS_Ranking4[Total Score 
(with linear
normalization)],0)</f>
        <v>843</v>
      </c>
      <c r="BK690" s="205" t="e">
        <f>_xlfn.XLOOKUP(FMS_Ranking4[[#This Row],[FMS ID]],#REF!,#REF!)</f>
        <v>#REF!</v>
      </c>
      <c r="BL69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9.6106423799310932</v>
      </c>
      <c r="BM690" s="272">
        <f>FMS_Ranking4[[#This Row],[ArcSinh Score Based on Normalized Reported Factors]]+FMS_Ranking4[[#This Row],[% NBS Score (Normalized)]]+(FMS_Ranking4[[#This Row],[Water Supply Score (Normalized)]]*10*$BB$5)+FMS_Ranking4[[#This Row],[FMS_Type Score Weighted]]</f>
        <v>10.110642379931093</v>
      </c>
      <c r="BN690" s="205">
        <f>_xlfn.RANK.EQ(FMS_Ranking4[[#This Row],[Total Score (with ArcSinh normalization of select criteria)]],FMS_Ranking4[Total Score (with ArcSinh normalization of select criteria)],0)</f>
        <v>683</v>
      </c>
      <c r="BO690" s="270" t="str">
        <f>_xlfn.XLOOKUP(FMS_Ranking4[[#This Row],[FMS ID]],FMS_Input[FMS_ID],FMS_Input[FMS_RANK_YEAR])</f>
        <v>2023 Amended Plan</v>
      </c>
      <c r="BP690" s="204">
        <f>_xlfn.XLOOKUP(FMS_Ranking4[[#This Row],[FMS ID]],Prev_Rank[FMS ID],Prev_Rank[Prev Rank])</f>
        <v>616</v>
      </c>
      <c r="BQ690" s="205" t="e">
        <f>_xlfn.XLOOKUP(FMS_Ranking4[[#This Row],[FMS ID]],#REF!,#REF!)</f>
        <v>#REF!</v>
      </c>
      <c r="BR690" s="199" t="e">
        <f>SUM(#REF!,#REF!,#REF!,#REF!,#REF!,#REF!,#REF!,#REF!,#REF!,FMS_Ranking4[[#This Row],[ArcSinh Res struct removed 0-10]],#REF!)</f>
        <v>#REF!</v>
      </c>
      <c r="BS690" s="199" t="e">
        <f>FMS_Ranking4[[#This Row],[Log Score Based on Normalized Reported Factors]]+FMS_Ranking4[[#This Row],[% NBS Score (Normalized)]]+(FMS_Ranking4[[#This Row],[Water Supply Score (Normalized)]]*10*$BB$5)+(FMS_Ranking4[[#This Row],[FMS_Type Score Weighted]])</f>
        <v>#REF!</v>
      </c>
      <c r="BT690" s="200" t="e">
        <f>_xlfn.RANK.EQ(FMS_Ranking4[[#This Row],[Log Total Score]],FMS_Ranking4[Log Total Score],0)</f>
        <v>#REF!</v>
      </c>
      <c r="BU690" s="200" t="e">
        <f>_xlfn.XLOOKUP(FMS_Ranking4[[#This Row],[FMS ID]],#REF!,#REF!)</f>
        <v>#REF!</v>
      </c>
      <c r="BV690" s="200">
        <f>FMS_Ranking4[[#This Row],[Region Number]]</f>
        <v>9</v>
      </c>
      <c r="BW690" s="200">
        <f>FMS_Ranking4[[#This Row],[Rank (with ArcSinh normalization of select criteria)]]-FMS_Ranking4[[#This Row],[Rank
(with linear
normalization)]]</f>
        <v>-160</v>
      </c>
      <c r="BX690" s="200" t="e">
        <f>FMS_Ranking4[[#This Row],[Log Rank]]-FMS_Ranking4[[#This Row],[Rank
(with linear
normalization)]]</f>
        <v>#REF!</v>
      </c>
      <c r="BY690" s="200" t="str">
        <f>IF(FMS_Ranking4[[#This Row],[FMS Type]]="Flood Measurement and Warning",FMS_Ranking4[[#This Row],[Rank (with ArcSinh normalization of select criteria)]],"")</f>
        <v/>
      </c>
      <c r="BZ690" s="200" t="str">
        <f>IF(FMS_Ranking4[[#This Row],[FMS Type]]="Regulatory and Guidance",FMS_Ranking4[[#This Row],[Rank (with ArcSinh normalization of select criteria)]],"")</f>
        <v/>
      </c>
      <c r="CA690" s="200" t="str">
        <f>IF(FMS_Ranking4[[#This Row],[FMS Type]]="Education and Outreach",FMS_Ranking4[[#This Row],[Rank (with ArcSinh normalization of select criteria)]],"")</f>
        <v/>
      </c>
      <c r="CB690" s="200" t="str">
        <f>IF(FMS_Ranking4[[#This Row],[FMS Type]]="Property Acquisition and Structural Elevation",FMS_Ranking4[[#This Row],[Rank (with ArcSinh normalization of select criteria)]],"")</f>
        <v/>
      </c>
      <c r="CC690" s="200" t="str">
        <f>IF(FMS_Ranking4[[#This Row],[FMS Type]]="Infrastructure Projects",FMS_Ranking4[[#This Row],[Rank (with ArcSinh normalization of select criteria)]],"")</f>
        <v/>
      </c>
      <c r="CD690" s="200">
        <f>IF(FMS_Ranking4[[#This Row],[FMS Type]]="Other",FMS_Ranking4[[#This Row],[Rank (with ArcSinh normalization of select criteria)]],"")</f>
        <v>683</v>
      </c>
      <c r="CE690" s="201"/>
      <c r="CF690" s="206"/>
      <c r="CG690" s="206"/>
      <c r="CH690" s="206"/>
      <c r="CI690" s="206"/>
      <c r="CJ690" s="206"/>
      <c r="CK690" s="206"/>
      <c r="CL690" s="206"/>
      <c r="CM690" s="206"/>
      <c r="CN690" s="206"/>
      <c r="CO690" s="206"/>
      <c r="CP690" s="206"/>
      <c r="CQ690" s="206"/>
      <c r="CR690" s="206"/>
    </row>
    <row r="691" spans="2:96" ht="90" x14ac:dyDescent="0.25">
      <c r="B691" s="341" t="s">
        <v>4812</v>
      </c>
      <c r="C691" s="246">
        <f>_xlfn.XLOOKUP(FMS_Ranking4[[#This Row],[FMS ID]],FMS_Input[FMS_ID],FMS_Input[RFPG_NUM])</f>
        <v>4</v>
      </c>
      <c r="D691" s="309" t="str">
        <f>_xlfn.XLOOKUP(FMS_Ranking4[[#This Row],[FMS ID]],FMS_Input[FMS_ID],FMS_Input[FMS_NAME])</f>
        <v>City of Gladewater Flood Awareness Program</v>
      </c>
      <c r="E691" s="308" t="str">
        <f>_xlfn.XLOOKUP(FMS_Ranking4[[#This Row],[FMS ID]],FMS_Input[FMS_ID],FMS_Input[SPONSOR])</f>
        <v>04002773</v>
      </c>
      <c r="F691" s="309" t="str">
        <f>_xlfn.XLOOKUP(FMS_Ranking4[[#This Row],[FMS ID]],Sponsor[FMS_ID],Sponsor[SPONSOR NAME])</f>
        <v>Gladewater</v>
      </c>
      <c r="G691" s="309" t="str">
        <f>_xlfn.XLOOKUP(FMS_Ranking4[[#This Row],[FMS ID]],FMS_Input[FMS_ID],FMS_Input[FMS_DESCR])</f>
        <v>Develop, implement and promote a public education campaign to encourage the public to register for the Nixle warning system; put link on city websites and facebook pages.</v>
      </c>
      <c r="H691" s="248" t="str">
        <f>_xlfn.XLOOKUP(FMS_Ranking4[[#This Row],[FMS ID]],FMS_Input[FMS_ID],FMS_Input[FMS_TYPE])</f>
        <v>Education and Outreach</v>
      </c>
      <c r="I691" s="249">
        <f>_xlfn.XLOOKUP(FMS_Ranking4[[#This Row],[FMS ID]],FMS_Input[FMS_ID],FMS_Input[NRNC_COST])</f>
        <v>10000</v>
      </c>
      <c r="J691" s="250">
        <f>_xlfn.XLOOKUP(FMS_Ranking4[[#This Row],[FMS ID]],FMS_Input[FMS_ID],FMS_Input[FMS_COST])</f>
        <v>10000</v>
      </c>
      <c r="K691" s="251" t="str">
        <f>_xlfn.XLOOKUP(FMS_Ranking4[[#This Row],[FMS ID]],FMS_Input[FMS_ID],FMS_Input[EMER_NEED])</f>
        <v>No</v>
      </c>
      <c r="L691" s="252">
        <f t="shared" si="10"/>
        <v>0</v>
      </c>
      <c r="M691" s="253">
        <f>_xlfn.XLOOKUP(FMS_Ranking4[[#This Row],[FMS ID]],FMS_Input[FMS_ID],FMS_Input[STRUCT_100])</f>
        <v>25</v>
      </c>
      <c r="N691" s="255">
        <f>(ASINH(FMS_Ranking4[[#This Row],[Structure at Risk Raw]]))*(10)/(ASINH(M$4))</f>
        <v>3.0757468283129747</v>
      </c>
      <c r="O691" s="256">
        <f>FMS_Ranking4[[#This Row],[Structures at risk, ArcSinh (0-10)]]*M$5*10</f>
        <v>3.0757468283129752</v>
      </c>
      <c r="P691" s="253">
        <f>_xlfn.XLOOKUP(FMS_Ranking4[[#This Row],[FMS ID]],FMS_Input[FMS_ID],FMS_Input[RES_STRUCT100])</f>
        <v>9</v>
      </c>
      <c r="Q691" s="257">
        <f>ASINH(FMS_Ranking4[[#This Row],[Res Structure Raw]])/Q$4*P$5*100</f>
        <v>0</v>
      </c>
      <c r="R691" s="253">
        <f>_xlfn.XLOOKUP(FMS_Ranking4[[#This Row],[FMS ID]],FMS_Input[FMS_ID],FMS_Input[POP100])</f>
        <v>29</v>
      </c>
      <c r="S691" s="255">
        <f>(ASINH(FMS_Ranking4[[#This Row],[Pop at Risk Raw]]))*(10)/(ASINH(R$4))</f>
        <v>2.8033653287721343</v>
      </c>
      <c r="T691" s="256">
        <f>FMS_Ranking4[[#This Row],[Population at risk, ArcSinh (0-10)]]*R$5*10</f>
        <v>2.8033653287721343</v>
      </c>
      <c r="U691" s="253">
        <f>_xlfn.XLOOKUP(FMS_Ranking4[[#This Row],[FMS ID]],FMS_Input[FMS_ID],FMS_Input[CRITFAC100])</f>
        <v>0</v>
      </c>
      <c r="V691" s="255">
        <f>(ASINH(FMS_Ranking4[[#This Row],[Critical Facilities Raw]]))*(10)/(ASINH(U$4))</f>
        <v>0</v>
      </c>
      <c r="W691" s="256">
        <f>FMS_Ranking4[[#This Row],[Critical facilities at risk, ArcSinh (0-10)]]*U$5*10</f>
        <v>0</v>
      </c>
      <c r="X691" s="253">
        <f>_xlfn.XLOOKUP(FMS_Ranking4[[#This Row],[FMS ID]],FMS_Input[FMS_ID],FMS_Input[LWC])</f>
        <v>0</v>
      </c>
      <c r="Y691" s="255">
        <f>(ASINH(FMS_Ranking4[[#This Row],[LWC Raw]]))*(10)/(ASINH(X$4))</f>
        <v>0</v>
      </c>
      <c r="Z691" s="256">
        <f>FMS_Ranking4[[#This Row],[LWC, ArcSInh (0-10)]]*X$5*10</f>
        <v>0</v>
      </c>
      <c r="AA691" s="253">
        <f>_xlfn.XLOOKUP(FMS_Ranking4[[#This Row],[FMS ID]],FMS_Input[FMS_ID],FMS_Input[ROADCLS])</f>
        <v>0</v>
      </c>
      <c r="AB691" s="255">
        <f>(ASINH(FMS_Ranking4[[#This Row],[Road Closures Raw]]))*(10)/(ASINH(AA$4))</f>
        <v>0</v>
      </c>
      <c r="AC691" s="256">
        <f>FMS_Ranking4[[#This Row],[Road closures, ArcSinh (0-10)]]*AA$5*10</f>
        <v>0</v>
      </c>
      <c r="AD691" s="253">
        <f>_xlfn.XLOOKUP(FMS_Ranking4[[#This Row],[FMS ID]],FMS_Input[FMS_ID],FMS_Input[ROAD_MILES100])</f>
        <v>1</v>
      </c>
      <c r="AE691" s="255">
        <f>(ASINH(FMS_Ranking4[[#This Row],[Road Miles Raw]]))*(10)/(ASINH(AD$4))</f>
        <v>0.9393017565219649</v>
      </c>
      <c r="AF691" s="256">
        <f>FMS_Ranking4[[#This Row],[Length of roads at risk, ArcSinh (0-10)]]*AD$5*10</f>
        <v>0.93930175652196501</v>
      </c>
      <c r="AG691" s="253">
        <f>_xlfn.XLOOKUP(FMS_Ranking4[[#This Row],[FMS ID]],FMS_Input[FMS_ID],FMS_Input[FARMACRE100])</f>
        <v>118.14279937744141</v>
      </c>
      <c r="AH691" s="255">
        <f>(ASINH(FMS_Ranking4[[#This Row],[Ag Land Raw]]))*(10)/(ASINH(AG$4))</f>
        <v>3.5500011514712426</v>
      </c>
      <c r="AI691" s="260">
        <f>FMS_Ranking4[[#This Row],[Farm &amp; ranch land, ArcSinh (0-10)]]*AG$5*10</f>
        <v>1.7750005757356213</v>
      </c>
      <c r="AJ691" s="258">
        <f>_xlfn.XLOOKUP(FMS_Ranking4[[#This Row],[FMS ID]],FMS_Input[FMS_ID],FMS_Input[REDSTRUCT100])</f>
        <v>0</v>
      </c>
      <c r="AK691" s="253">
        <f>_xlfn.XLOOKUP(FMS_Ranking4[[#This Row],[FMS ID]],FMS_Input[FMS_ID],FMS_Input[REMSTRC100])</f>
        <v>0</v>
      </c>
      <c r="AL691" s="255">
        <f>(ASINH(FMS_Ranking4[[#This Row],[Structures Removed Raw]]))*(10)/(ASINH(AK$4))</f>
        <v>0</v>
      </c>
      <c r="AM691" s="262">
        <f>FMS_Ranking4[[#This Row],[Structures removed, ArcSinh (0-10)]]*AK$5*10</f>
        <v>0</v>
      </c>
      <c r="AN691" s="253">
        <f>_xlfn.XLOOKUP(FMS_Ranking4[[#This Row],[FMS ID]],FMS_Input[FMS_ID],FMS_Input[REMRESSTRC100])</f>
        <v>0</v>
      </c>
      <c r="AO691" s="261">
        <f>FMS_Ranking4[[#This Row],[ArcSinh Res struct removed 0-10]]*AN$5*10</f>
        <v>0</v>
      </c>
      <c r="AP691" s="260">
        <f>ASINH(FMS_Ranking4[[#This Row],[Residential Structures Removed Raw]])/AP$4*AN$5*100</f>
        <v>0</v>
      </c>
      <c r="AQ691" s="258">
        <f>(ASINH(FMS_Ranking4[[#This Row],[Residential Structures Removed Raw]]))*(10)/(ASINH(AN$4))</f>
        <v>0</v>
      </c>
      <c r="AR691" s="253">
        <f>_xlfn.XLOOKUP(FMS_Ranking4[[#This Row],[FMS ID]],FMS_Input[FMS_ID],FMS_Input[REMPOP100])</f>
        <v>0</v>
      </c>
      <c r="AS691" s="255">
        <f>(ASINH(FMS_Ranking4[[#This Row],[Removed Pop Raw]]))*(10)/(ASINH(AR$4))</f>
        <v>0</v>
      </c>
      <c r="AT691" s="262">
        <f>FMS_Ranking4[[#This Row],[Removed population, ArcSinh (0-10)]]*AR$5*10</f>
        <v>0</v>
      </c>
      <c r="AU691" s="264">
        <f>_xlfn.XLOOKUP(FMS_Ranking4[[#This Row],[FMS ID]],FMS_Input[FMS_ID],FMS_Input[REMCRITFAC100])</f>
        <v>0</v>
      </c>
      <c r="AV691" s="264">
        <f>_xlfn.XLOOKUP(FMS_Ranking4[[#This Row],[FMS ID]],FMS_Input[FMS_ID],FMS_Input[REMLWC100])</f>
        <v>0</v>
      </c>
      <c r="AW691" s="264">
        <f>_xlfn.XLOOKUP(FMS_Ranking4[[#This Row],[FMS ID]],FMS_Input[FMS_ID],FMS_Input[REMROADCLS])</f>
        <v>0</v>
      </c>
      <c r="AX691" s="264">
        <f>_xlfn.XLOOKUP(FMS_Ranking4[[#This Row],[FMS ID]],FMS_Input[FMS_ID],FMS_Input[REMFRMACRE100])</f>
        <v>0</v>
      </c>
      <c r="AY691" s="258">
        <f>_xlfn.XLOOKUP(FMS_Ranking4[[#This Row],[FMS ID]],FMS_Input[FMS_ID],FMS_Input[COSTSTRUCT])</f>
        <v>0</v>
      </c>
      <c r="AZ691" s="253">
        <f>_xlfn.XLOOKUP(FMS_Ranking4[[#This Row],[FMS ID]],FMS_Input[FMS_ID],FMS_Input[NATURE])</f>
        <v>0</v>
      </c>
      <c r="BA691" s="262">
        <f>(((FMS_Ranking4[[#This Row],[% NBS Raw]]/AZ$4)*100)*AZ$5)</f>
        <v>0</v>
      </c>
      <c r="BB691" s="251" t="str">
        <f>_xlfn.XLOOKUP(FMS_Ranking4[[#This Row],[FMS ID]],FMS_Input[FMS_ID],FMS_Input[WATER_SUP])</f>
        <v>No</v>
      </c>
      <c r="BC691" s="265">
        <f>IF(FMS_Ranking4[[#This Row],[Water Supply Raw]]="Yes",10,0)</f>
        <v>0</v>
      </c>
      <c r="BD691" s="266">
        <f>_xlfn.XLOOKUP(FMS_Ranking4[[#This Row],[FMS Type]],FMS_TYPE[FMS_Type],FMS_TYPE[Score])</f>
        <v>6</v>
      </c>
      <c r="BE691" s="267">
        <f>FMS_Ranking4[[#This Row],[FMS_Type Score]]*$BD$5*10</f>
        <v>1.5000000000000002</v>
      </c>
      <c r="BF69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3.7178267103420374E-3</v>
      </c>
      <c r="BG691" s="321">
        <f>_xlfn.RANK.EQ(BF691,$BF$8:$BF$870,0)+COUNTIF($BF$8:BF691,BF691)-1</f>
        <v>700</v>
      </c>
      <c r="BH691" s="294">
        <f>(((FMS_Ranking4[[#This Row],[Structures Removed Raw]]/AK$4)*100)*AK$5)+(((FMS_Ranking4[[#This Row],[Removed Pop Raw]]/AR$4)*100)*AR$5)</f>
        <v>0</v>
      </c>
      <c r="BI69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1.5037178267103422</v>
      </c>
      <c r="BJ691" s="251">
        <f>_xlfn.RANK.EQ(FMS_Ranking4[[#This Row],[Total Score 
(with linear
normalization)]],FMS_Ranking4[Total Score 
(with linear
normalization)],0)</f>
        <v>600</v>
      </c>
      <c r="BK691" s="251" t="e">
        <f>_xlfn.XLOOKUP(FMS_Ranking4[[#This Row],[FMS ID]],#REF!,#REF!)</f>
        <v>#REF!</v>
      </c>
      <c r="BL69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8.5934144893426954</v>
      </c>
      <c r="BM691" s="324">
        <f>FMS_Ranking4[[#This Row],[ArcSinh Score Based on Normalized Reported Factors]]+FMS_Ranking4[[#This Row],[% NBS Score (Normalized)]]+(FMS_Ranking4[[#This Row],[Water Supply Score (Normalized)]]*10*$BB$5)+FMS_Ranking4[[#This Row],[FMS_Type Score Weighted]]</f>
        <v>10.093414489342695</v>
      </c>
      <c r="BN691" s="251">
        <f>_xlfn.RANK.EQ(FMS_Ranking4[[#This Row],[Total Score (with ArcSinh normalization of select criteria)]],FMS_Ranking4[Total Score (with ArcSinh normalization of select criteria)],0)</f>
        <v>684</v>
      </c>
      <c r="BO691" s="270" t="str">
        <f>_xlfn.XLOOKUP(FMS_Ranking4[[#This Row],[FMS ID]],FMS_Input[FMS_ID],FMS_Input[FMS_RANK_YEAR])</f>
        <v>2023 Amended Plan</v>
      </c>
      <c r="BP691" s="204">
        <f>_xlfn.XLOOKUP(FMS_Ranking4[[#This Row],[FMS ID]],Prev_Rank[FMS ID],Prev_Rank[Prev Rank])</f>
        <v>613</v>
      </c>
      <c r="BQ691" s="251" t="e">
        <f>_xlfn.XLOOKUP(FMS_Ranking4[[#This Row],[FMS ID]],#REF!,#REF!)</f>
        <v>#REF!</v>
      </c>
      <c r="BR691" s="199" t="e">
        <f>SUM(#REF!,#REF!,#REF!,#REF!,#REF!,#REF!,#REF!,#REF!,#REF!,FMS_Ranking4[[#This Row],[ArcSinh Res struct removed 0-10]],#REF!)</f>
        <v>#REF!</v>
      </c>
      <c r="BS691" s="199" t="e">
        <f>FMS_Ranking4[[#This Row],[Log Score Based on Normalized Reported Factors]]+FMS_Ranking4[[#This Row],[% NBS Score (Normalized)]]+(FMS_Ranking4[[#This Row],[Water Supply Score (Normalized)]]*10*$BB$5)+(FMS_Ranking4[[#This Row],[FMS_Type Score Weighted]])</f>
        <v>#REF!</v>
      </c>
      <c r="BT691" s="200" t="e">
        <f>_xlfn.RANK.EQ(FMS_Ranking4[[#This Row],[Log Total Score]],FMS_Ranking4[Log Total Score],0)</f>
        <v>#REF!</v>
      </c>
      <c r="BU691" s="200" t="e">
        <f>_xlfn.XLOOKUP(FMS_Ranking4[[#This Row],[FMS ID]],#REF!,#REF!)</f>
        <v>#REF!</v>
      </c>
      <c r="BV691" s="200">
        <f>FMS_Ranking4[[#This Row],[Region Number]]</f>
        <v>4</v>
      </c>
      <c r="BW691" s="200">
        <f>FMS_Ranking4[[#This Row],[Rank (with ArcSinh normalization of select criteria)]]-FMS_Ranking4[[#This Row],[Rank
(with linear
normalization)]]</f>
        <v>84</v>
      </c>
      <c r="BX691" s="200" t="e">
        <f>FMS_Ranking4[[#This Row],[Log Rank]]-FMS_Ranking4[[#This Row],[Rank
(with linear
normalization)]]</f>
        <v>#REF!</v>
      </c>
      <c r="BY691" s="200" t="str">
        <f>IF(FMS_Ranking4[[#This Row],[FMS Type]]="Flood Measurement and Warning",FMS_Ranking4[[#This Row],[Rank (with ArcSinh normalization of select criteria)]],"")</f>
        <v/>
      </c>
      <c r="BZ691" s="200" t="str">
        <f>IF(FMS_Ranking4[[#This Row],[FMS Type]]="Regulatory and Guidance",FMS_Ranking4[[#This Row],[Rank (with ArcSinh normalization of select criteria)]],"")</f>
        <v/>
      </c>
      <c r="CA691" s="200">
        <f>IF(FMS_Ranking4[[#This Row],[FMS Type]]="Education and Outreach",FMS_Ranking4[[#This Row],[Rank (with ArcSinh normalization of select criteria)]],"")</f>
        <v>684</v>
      </c>
      <c r="CB691" s="200" t="str">
        <f>IF(FMS_Ranking4[[#This Row],[FMS Type]]="Property Acquisition and Structural Elevation",FMS_Ranking4[[#This Row],[Rank (with ArcSinh normalization of select criteria)]],"")</f>
        <v/>
      </c>
      <c r="CC691" s="200" t="str">
        <f>IF(FMS_Ranking4[[#This Row],[FMS Type]]="Infrastructure Projects",FMS_Ranking4[[#This Row],[Rank (with ArcSinh normalization of select criteria)]],"")</f>
        <v/>
      </c>
      <c r="CD691" s="200" t="str">
        <f>IF(FMS_Ranking4[[#This Row],[FMS Type]]="Other",FMS_Ranking4[[#This Row],[Rank (with ArcSinh normalization of select criteria)]],"")</f>
        <v/>
      </c>
      <c r="CE691" s="201"/>
      <c r="CF691" s="206"/>
      <c r="CG691" s="206"/>
      <c r="CH691" s="206"/>
      <c r="CI691" s="206"/>
      <c r="CJ691" s="206"/>
      <c r="CK691" s="206"/>
      <c r="CL691" s="206"/>
      <c r="CM691" s="206"/>
      <c r="CN691" s="206"/>
      <c r="CO691" s="206"/>
      <c r="CP691" s="206"/>
      <c r="CQ691" s="206"/>
      <c r="CR691" s="206"/>
    </row>
    <row r="692" spans="2:96" ht="45" x14ac:dyDescent="0.25">
      <c r="B692" s="341" t="s">
        <v>3153</v>
      </c>
      <c r="C692" s="246">
        <f>_xlfn.XLOOKUP(FMS_Ranking4[[#This Row],[FMS ID]],FMS_Input[FMS_ID],FMS_Input[RFPG_NUM])</f>
        <v>7</v>
      </c>
      <c r="D692" s="309" t="str">
        <f>_xlfn.XLOOKUP(FMS_Ranking4[[#This Row],[FMS ID]],FMS_Input[FMS_ID],FMS_Input[FMS_NAME])</f>
        <v>Borden County NFIP Participation</v>
      </c>
      <c r="E692" s="308" t="str">
        <f>_xlfn.XLOOKUP(FMS_Ranking4[[#This Row],[FMS ID]],FMS_Input[FMS_ID],FMS_Input[SPONSOR])</f>
        <v>00000115</v>
      </c>
      <c r="F692" s="309" t="str">
        <f>_xlfn.XLOOKUP(FMS_Ranking4[[#This Row],[FMS ID]],Sponsor[FMS_ID],Sponsor[SPONSOR NAME])</f>
        <v>Borden</v>
      </c>
      <c r="G692" s="309" t="str">
        <f>_xlfn.XLOOKUP(FMS_Ranking4[[#This Row],[FMS ID]],FMS_Input[FMS_ID],FMS_Input[FMS_DESCR])</f>
        <v>Application to join NFIP or adoption of equivalent standards.</v>
      </c>
      <c r="H692" s="248" t="str">
        <f>_xlfn.XLOOKUP(FMS_Ranking4[[#This Row],[FMS ID]],FMS_Input[FMS_ID],FMS_Input[FMS_TYPE])</f>
        <v>Regulatory and Guidance</v>
      </c>
      <c r="I692" s="249">
        <f>_xlfn.XLOOKUP(FMS_Ranking4[[#This Row],[FMS ID]],FMS_Input[FMS_ID],FMS_Input[NRNC_COST])</f>
        <v>50000</v>
      </c>
      <c r="J692" s="250">
        <f>_xlfn.XLOOKUP(FMS_Ranking4[[#This Row],[FMS ID]],FMS_Input[FMS_ID],FMS_Input[FMS_COST])</f>
        <v>50000</v>
      </c>
      <c r="K692" s="251" t="str">
        <f>_xlfn.XLOOKUP(FMS_Ranking4[[#This Row],[FMS ID]],FMS_Input[FMS_ID],FMS_Input[EMER_NEED])</f>
        <v>No</v>
      </c>
      <c r="L692" s="252">
        <f t="shared" si="10"/>
        <v>0</v>
      </c>
      <c r="M692" s="253">
        <f>_xlfn.XLOOKUP(FMS_Ranking4[[#This Row],[FMS ID]],FMS_Input[FMS_ID],FMS_Input[STRUCT_100])</f>
        <v>10</v>
      </c>
      <c r="N692" s="255">
        <f>(ASINH(FMS_Ranking4[[#This Row],[Structure at Risk Raw]]))*(10)/(ASINH(M$4))</f>
        <v>2.3570496549962385</v>
      </c>
      <c r="O692" s="256">
        <f>FMS_Ranking4[[#This Row],[Structures at risk, ArcSinh (0-10)]]*M$5*10</f>
        <v>2.3570496549962385</v>
      </c>
      <c r="P692" s="253">
        <f>_xlfn.XLOOKUP(FMS_Ranking4[[#This Row],[FMS ID]],FMS_Input[FMS_ID],FMS_Input[RES_STRUCT100])</f>
        <v>0</v>
      </c>
      <c r="Q692" s="257">
        <f>ASINH(FMS_Ranking4[[#This Row],[Res Structure Raw]])/Q$4*P$5*100</f>
        <v>0</v>
      </c>
      <c r="R692" s="253">
        <f>_xlfn.XLOOKUP(FMS_Ranking4[[#This Row],[FMS ID]],FMS_Input[FMS_ID],FMS_Input[POP100])</f>
        <v>1</v>
      </c>
      <c r="S692" s="255">
        <f>(ASINH(FMS_Ranking4[[#This Row],[Pop at Risk Raw]]))*(10)/(ASINH(R$4))</f>
        <v>0.60846349886646833</v>
      </c>
      <c r="T692" s="256">
        <f>FMS_Ranking4[[#This Row],[Population at risk, ArcSinh (0-10)]]*R$5*10</f>
        <v>0.60846349886646833</v>
      </c>
      <c r="U692" s="253">
        <f>_xlfn.XLOOKUP(FMS_Ranking4[[#This Row],[FMS ID]],FMS_Input[FMS_ID],FMS_Input[CRITFAC100])</f>
        <v>0</v>
      </c>
      <c r="V692" s="255">
        <f>(ASINH(FMS_Ranking4[[#This Row],[Critical Facilities Raw]]))*(10)/(ASINH(U$4))</f>
        <v>0</v>
      </c>
      <c r="W692" s="256">
        <f>FMS_Ranking4[[#This Row],[Critical facilities at risk, ArcSinh (0-10)]]*U$5*10</f>
        <v>0</v>
      </c>
      <c r="X692" s="253">
        <f>_xlfn.XLOOKUP(FMS_Ranking4[[#This Row],[FMS ID]],FMS_Input[FMS_ID],FMS_Input[LWC])</f>
        <v>0</v>
      </c>
      <c r="Y692" s="255">
        <f>(ASINH(FMS_Ranking4[[#This Row],[LWC Raw]]))*(10)/(ASINH(X$4))</f>
        <v>0</v>
      </c>
      <c r="Z692" s="256">
        <f>FMS_Ranking4[[#This Row],[LWC, ArcSInh (0-10)]]*X$5*10</f>
        <v>0</v>
      </c>
      <c r="AA692" s="253">
        <f>_xlfn.XLOOKUP(FMS_Ranking4[[#This Row],[FMS ID]],FMS_Input[FMS_ID],FMS_Input[ROADCLS])</f>
        <v>0</v>
      </c>
      <c r="AB692" s="255">
        <f>(ASINH(FMS_Ranking4[[#This Row],[Road Closures Raw]]))*(10)/(ASINH(AA$4))</f>
        <v>0</v>
      </c>
      <c r="AC692" s="256">
        <f>FMS_Ranking4[[#This Row],[Road closures, ArcSinh (0-10)]]*AA$5*10</f>
        <v>0</v>
      </c>
      <c r="AD692" s="253">
        <f>_xlfn.XLOOKUP(FMS_Ranking4[[#This Row],[FMS ID]],FMS_Input[FMS_ID],FMS_Input[ROAD_MILES100])</f>
        <v>5</v>
      </c>
      <c r="AE692" s="255">
        <f>(ASINH(FMS_Ranking4[[#This Row],[Road Miles Raw]]))*(10)/(ASINH(AD$4))</f>
        <v>2.4644230639487872</v>
      </c>
      <c r="AF692" s="256">
        <f>FMS_Ranking4[[#This Row],[Length of roads at risk, ArcSinh (0-10)]]*AD$5*10</f>
        <v>2.4644230639487876</v>
      </c>
      <c r="AG692" s="253">
        <f>_xlfn.XLOOKUP(FMS_Ranking4[[#This Row],[FMS ID]],FMS_Input[FMS_ID],FMS_Input[FARMACRE100])</f>
        <v>1591.717895507812</v>
      </c>
      <c r="AH692" s="255">
        <f>(ASINH(FMS_Ranking4[[#This Row],[Ag Land Raw]]))*(10)/(ASINH(AG$4))</f>
        <v>5.239339928786789</v>
      </c>
      <c r="AI692" s="260">
        <f>FMS_Ranking4[[#This Row],[Farm &amp; ranch land, ArcSinh (0-10)]]*AG$5*10</f>
        <v>2.6196699643933945</v>
      </c>
      <c r="AJ692" s="258">
        <f>_xlfn.XLOOKUP(FMS_Ranking4[[#This Row],[FMS ID]],FMS_Input[FMS_ID],FMS_Input[REDSTRUCT100])</f>
        <v>0</v>
      </c>
      <c r="AK692" s="253">
        <f>_xlfn.XLOOKUP(FMS_Ranking4[[#This Row],[FMS ID]],FMS_Input[FMS_ID],FMS_Input[REMSTRC100])</f>
        <v>0</v>
      </c>
      <c r="AL692" s="255">
        <f>(ASINH(FMS_Ranking4[[#This Row],[Structures Removed Raw]]))*(10)/(ASINH(AK$4))</f>
        <v>0</v>
      </c>
      <c r="AM692" s="262">
        <f>FMS_Ranking4[[#This Row],[Structures removed, ArcSinh (0-10)]]*AK$5*10</f>
        <v>0</v>
      </c>
      <c r="AN692" s="253">
        <f>_xlfn.XLOOKUP(FMS_Ranking4[[#This Row],[FMS ID]],FMS_Input[FMS_ID],FMS_Input[REMRESSTRC100])</f>
        <v>0</v>
      </c>
      <c r="AO692" s="261">
        <f>FMS_Ranking4[[#This Row],[ArcSinh Res struct removed 0-10]]*AN$5*10</f>
        <v>0</v>
      </c>
      <c r="AP692" s="260">
        <f>ASINH(FMS_Ranking4[[#This Row],[Residential Structures Removed Raw]])/AP$4*AN$5*100</f>
        <v>0</v>
      </c>
      <c r="AQ692" s="258">
        <f>(ASINH(FMS_Ranking4[[#This Row],[Residential Structures Removed Raw]]))*(10)/(ASINH(AN$4))</f>
        <v>0</v>
      </c>
      <c r="AR692" s="253">
        <f>_xlfn.XLOOKUP(FMS_Ranking4[[#This Row],[FMS ID]],FMS_Input[FMS_ID],FMS_Input[REMPOP100])</f>
        <v>0</v>
      </c>
      <c r="AS692" s="255">
        <f>(ASINH(FMS_Ranking4[[#This Row],[Removed Pop Raw]]))*(10)/(ASINH(AR$4))</f>
        <v>0</v>
      </c>
      <c r="AT692" s="262">
        <f>FMS_Ranking4[[#This Row],[Removed population, ArcSinh (0-10)]]*AR$5*10</f>
        <v>0</v>
      </c>
      <c r="AU692" s="264">
        <f>_xlfn.XLOOKUP(FMS_Ranking4[[#This Row],[FMS ID]],FMS_Input[FMS_ID],FMS_Input[REMCRITFAC100])</f>
        <v>0</v>
      </c>
      <c r="AV692" s="264">
        <f>_xlfn.XLOOKUP(FMS_Ranking4[[#This Row],[FMS ID]],FMS_Input[FMS_ID],FMS_Input[REMLWC100])</f>
        <v>0</v>
      </c>
      <c r="AW692" s="264">
        <f>_xlfn.XLOOKUP(FMS_Ranking4[[#This Row],[FMS ID]],FMS_Input[FMS_ID],FMS_Input[REMROADCLS])</f>
        <v>0</v>
      </c>
      <c r="AX692" s="264">
        <f>_xlfn.XLOOKUP(FMS_Ranking4[[#This Row],[FMS ID]],FMS_Input[FMS_ID],FMS_Input[REMFRMACRE100])</f>
        <v>0</v>
      </c>
      <c r="AY692" s="258">
        <f>_xlfn.XLOOKUP(FMS_Ranking4[[#This Row],[FMS ID]],FMS_Input[FMS_ID],FMS_Input[COSTSTRUCT])</f>
        <v>0</v>
      </c>
      <c r="AZ692" s="253">
        <f>_xlfn.XLOOKUP(FMS_Ranking4[[#This Row],[FMS ID]],FMS_Input[FMS_ID],FMS_Input[NATURE])</f>
        <v>0</v>
      </c>
      <c r="BA692" s="262">
        <f>(((FMS_Ranking4[[#This Row],[% NBS Raw]]/AZ$4)*100)*AZ$5)</f>
        <v>0</v>
      </c>
      <c r="BB692" s="251" t="str">
        <f>_xlfn.XLOOKUP(FMS_Ranking4[[#This Row],[FMS ID]],FMS_Input[FMS_ID],FMS_Input[WATER_SUP])</f>
        <v>No</v>
      </c>
      <c r="BC692" s="265">
        <f>IF(FMS_Ranking4[[#This Row],[Water Supply Raw]]="Yes",10,0)</f>
        <v>0</v>
      </c>
      <c r="BD692" s="266">
        <f>_xlfn.XLOOKUP(FMS_Ranking4[[#This Row],[FMS Type]],FMS_TYPE[FMS_Type],FMS_TYPE[Score])</f>
        <v>8</v>
      </c>
      <c r="BE692" s="267">
        <f>FMS_Ranking4[[#This Row],[FMS_Type Score]]*$BD$5*10</f>
        <v>2</v>
      </c>
      <c r="BF69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1.2301847204393788E-2</v>
      </c>
      <c r="BG692" s="321">
        <f>_xlfn.RANK.EQ(BF692,$BF$8:$BF$870,0)+COUNTIF($BF$8:BF692,BF692)-1</f>
        <v>662</v>
      </c>
      <c r="BH692" s="294">
        <f>(((FMS_Ranking4[[#This Row],[Structures Removed Raw]]/AK$4)*100)*AK$5)+(((FMS_Ranking4[[#This Row],[Removed Pop Raw]]/AR$4)*100)*AR$5)</f>
        <v>0</v>
      </c>
      <c r="BI69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2.0123018472043936</v>
      </c>
      <c r="BJ692" s="251">
        <f>_xlfn.RANK.EQ(FMS_Ranking4[[#This Row],[Total Score 
(with linear
normalization)]],FMS_Ranking4[Total Score 
(with linear
normalization)],0)</f>
        <v>420</v>
      </c>
      <c r="BK692" s="251" t="e">
        <f>_xlfn.XLOOKUP(FMS_Ranking4[[#This Row],[FMS ID]],#REF!,#REF!)</f>
        <v>#REF!</v>
      </c>
      <c r="BL69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8.0496061822048901</v>
      </c>
      <c r="BM692" s="324">
        <f>FMS_Ranking4[[#This Row],[ArcSinh Score Based on Normalized Reported Factors]]+FMS_Ranking4[[#This Row],[% NBS Score (Normalized)]]+(FMS_Ranking4[[#This Row],[Water Supply Score (Normalized)]]*10*$BB$5)+FMS_Ranking4[[#This Row],[FMS_Type Score Weighted]]</f>
        <v>10.04960618220489</v>
      </c>
      <c r="BN692" s="251">
        <f>_xlfn.RANK.EQ(FMS_Ranking4[[#This Row],[Total Score (with ArcSinh normalization of select criteria)]],FMS_Ranking4[Total Score (with ArcSinh normalization of select criteria)],0)</f>
        <v>685</v>
      </c>
      <c r="BO692" s="270" t="str">
        <f>_xlfn.XLOOKUP(FMS_Ranking4[[#This Row],[FMS ID]],FMS_Input[FMS_ID],FMS_Input[FMS_RANK_YEAR])</f>
        <v>2023 Amended Plan</v>
      </c>
      <c r="BP692" s="204">
        <f>_xlfn.XLOOKUP(FMS_Ranking4[[#This Row],[FMS ID]],Prev_Rank[FMS ID],Prev_Rank[Prev Rank])</f>
        <v>614</v>
      </c>
      <c r="BQ692" s="251" t="e">
        <f>_xlfn.XLOOKUP(FMS_Ranking4[[#This Row],[FMS ID]],#REF!,#REF!)</f>
        <v>#REF!</v>
      </c>
      <c r="BR692" s="199" t="e">
        <f>SUM(#REF!,#REF!,#REF!,#REF!,#REF!,#REF!,#REF!,#REF!,#REF!,FMS_Ranking4[[#This Row],[ArcSinh Res struct removed 0-10]],#REF!)</f>
        <v>#REF!</v>
      </c>
      <c r="BS692" s="199" t="e">
        <f>FMS_Ranking4[[#This Row],[Log Score Based on Normalized Reported Factors]]+FMS_Ranking4[[#This Row],[% NBS Score (Normalized)]]+(FMS_Ranking4[[#This Row],[Water Supply Score (Normalized)]]*10*$BB$5)+(FMS_Ranking4[[#This Row],[FMS_Type Score Weighted]])</f>
        <v>#REF!</v>
      </c>
      <c r="BT692" s="200" t="e">
        <f>_xlfn.RANK.EQ(FMS_Ranking4[[#This Row],[Log Total Score]],FMS_Ranking4[Log Total Score],0)</f>
        <v>#REF!</v>
      </c>
      <c r="BU692" s="200" t="e">
        <f>_xlfn.XLOOKUP(FMS_Ranking4[[#This Row],[FMS ID]],#REF!,#REF!)</f>
        <v>#REF!</v>
      </c>
      <c r="BV692" s="200">
        <f>FMS_Ranking4[[#This Row],[Region Number]]</f>
        <v>7</v>
      </c>
      <c r="BW692" s="200">
        <f>FMS_Ranking4[[#This Row],[Rank (with ArcSinh normalization of select criteria)]]-FMS_Ranking4[[#This Row],[Rank
(with linear
normalization)]]</f>
        <v>265</v>
      </c>
      <c r="BX692" s="200" t="e">
        <f>FMS_Ranking4[[#This Row],[Log Rank]]-FMS_Ranking4[[#This Row],[Rank
(with linear
normalization)]]</f>
        <v>#REF!</v>
      </c>
      <c r="BY692" s="200" t="str">
        <f>IF(FMS_Ranking4[[#This Row],[FMS Type]]="Flood Measurement and Warning",FMS_Ranking4[[#This Row],[Rank (with ArcSinh normalization of select criteria)]],"")</f>
        <v/>
      </c>
      <c r="BZ692" s="200">
        <f>IF(FMS_Ranking4[[#This Row],[FMS Type]]="Regulatory and Guidance",FMS_Ranking4[[#This Row],[Rank (with ArcSinh normalization of select criteria)]],"")</f>
        <v>685</v>
      </c>
      <c r="CA692" s="200" t="str">
        <f>IF(FMS_Ranking4[[#This Row],[FMS Type]]="Education and Outreach",FMS_Ranking4[[#This Row],[Rank (with ArcSinh normalization of select criteria)]],"")</f>
        <v/>
      </c>
      <c r="CB692" s="200" t="str">
        <f>IF(FMS_Ranking4[[#This Row],[FMS Type]]="Property Acquisition and Structural Elevation",FMS_Ranking4[[#This Row],[Rank (with ArcSinh normalization of select criteria)]],"")</f>
        <v/>
      </c>
      <c r="CC692" s="200" t="str">
        <f>IF(FMS_Ranking4[[#This Row],[FMS Type]]="Infrastructure Projects",FMS_Ranking4[[#This Row],[Rank (with ArcSinh normalization of select criteria)]],"")</f>
        <v/>
      </c>
      <c r="CD692" s="200" t="str">
        <f>IF(FMS_Ranking4[[#This Row],[FMS Type]]="Other",FMS_Ranking4[[#This Row],[Rank (with ArcSinh normalization of select criteria)]],"")</f>
        <v/>
      </c>
      <c r="CE692" s="201"/>
      <c r="CF692" s="206"/>
      <c r="CG692" s="206"/>
      <c r="CH692" s="206"/>
      <c r="CI692" s="206"/>
      <c r="CJ692" s="206"/>
      <c r="CK692" s="206"/>
      <c r="CL692" s="206"/>
      <c r="CM692" s="206"/>
      <c r="CN692" s="206"/>
      <c r="CO692" s="206"/>
      <c r="CP692" s="206"/>
      <c r="CQ692" s="206"/>
      <c r="CR692" s="206"/>
    </row>
    <row r="693" spans="2:96" ht="45" x14ac:dyDescent="0.25">
      <c r="B693" s="341" t="s">
        <v>2298</v>
      </c>
      <c r="C693" s="246">
        <f>_xlfn.XLOOKUP(FMS_Ranking4[[#This Row],[FMS ID]],FMS_Input[FMS_ID],FMS_Input[RFPG_NUM])</f>
        <v>3</v>
      </c>
      <c r="D693" s="309" t="str">
        <f>_xlfn.XLOOKUP(FMS_Ranking4[[#This Row],[FMS ID]],FMS_Input[FMS_ID],FMS_Input[FMS_NAME])</f>
        <v>City of Alma NFIP Floodplain Ordinance</v>
      </c>
      <c r="E693" s="308" t="str">
        <f>_xlfn.XLOOKUP(FMS_Ranking4[[#This Row],[FMS ID]],FMS_Input[FMS_ID],FMS_Input[SPONSOR])</f>
        <v>Alma</v>
      </c>
      <c r="F693" s="309" t="str">
        <f>_xlfn.XLOOKUP(FMS_Ranking4[[#This Row],[FMS ID]],Sponsor[FMS_ID],Sponsor[SPONSOR NAME])</f>
        <v>Alma</v>
      </c>
      <c r="G693" s="309" t="str">
        <f>_xlfn.XLOOKUP(FMS_Ranking4[[#This Row],[FMS ID]],FMS_Input[FMS_ID],FMS_Input[FMS_DESCR])</f>
        <v>Develop a floodplain ordinance that meets or exceeds FEMA's minimum standards</v>
      </c>
      <c r="H693" s="248" t="str">
        <f>_xlfn.XLOOKUP(FMS_Ranking4[[#This Row],[FMS ID]],FMS_Input[FMS_ID],FMS_Input[FMS_TYPE])</f>
        <v>Regulatory and Guidance</v>
      </c>
      <c r="I693" s="249">
        <f>_xlfn.XLOOKUP(FMS_Ranking4[[#This Row],[FMS ID]],FMS_Input[FMS_ID],FMS_Input[NRNC_COST])</f>
        <v>100000</v>
      </c>
      <c r="J693" s="250">
        <f>_xlfn.XLOOKUP(FMS_Ranking4[[#This Row],[FMS ID]],FMS_Input[FMS_ID],FMS_Input[FMS_COST])</f>
        <v>100000</v>
      </c>
      <c r="K693" s="251" t="str">
        <f>_xlfn.XLOOKUP(FMS_Ranking4[[#This Row],[FMS ID]],FMS_Input[FMS_ID],FMS_Input[EMER_NEED])</f>
        <v>No</v>
      </c>
      <c r="L693" s="252">
        <f t="shared" si="10"/>
        <v>0</v>
      </c>
      <c r="M693" s="253">
        <f>_xlfn.XLOOKUP(FMS_Ranking4[[#This Row],[FMS ID]],FMS_Input[FMS_ID],FMS_Input[STRUCT_100])</f>
        <v>6</v>
      </c>
      <c r="N693" s="255">
        <f>(ASINH(FMS_Ranking4[[#This Row],[Structure at Risk Raw]]))*(10)/(ASINH(M$4))</f>
        <v>1.9589099741296994</v>
      </c>
      <c r="O693" s="256">
        <f>FMS_Ranking4[[#This Row],[Structures at risk, ArcSinh (0-10)]]*M$5*10</f>
        <v>1.9589099741296994</v>
      </c>
      <c r="P693" s="253">
        <f>_xlfn.XLOOKUP(FMS_Ranking4[[#This Row],[FMS ID]],FMS_Input[FMS_ID],FMS_Input[RES_STRUCT100])</f>
        <v>4</v>
      </c>
      <c r="Q693" s="257">
        <f>ASINH(FMS_Ranking4[[#This Row],[Res Structure Raw]])/Q$4*P$5*100</f>
        <v>0</v>
      </c>
      <c r="R693" s="253">
        <f>_xlfn.XLOOKUP(FMS_Ranking4[[#This Row],[FMS ID]],FMS_Input[FMS_ID],FMS_Input[POP100])</f>
        <v>14</v>
      </c>
      <c r="S693" s="259">
        <f>(ASINH(FMS_Ranking4[[#This Row],[Pop at Risk Raw]]))*(10)/(ASINH(R$4))</f>
        <v>2.3012936463949329</v>
      </c>
      <c r="T693" s="256">
        <f>FMS_Ranking4[[#This Row],[Population at risk, ArcSinh (0-10)]]*R$5*10</f>
        <v>2.3012936463949329</v>
      </c>
      <c r="U693" s="253">
        <f>_xlfn.XLOOKUP(FMS_Ranking4[[#This Row],[FMS ID]],FMS_Input[FMS_ID],FMS_Input[CRITFAC100])</f>
        <v>0</v>
      </c>
      <c r="V693" s="259">
        <f>(ASINH(FMS_Ranking4[[#This Row],[Critical Facilities Raw]]))*(10)/(ASINH(U$4))</f>
        <v>0</v>
      </c>
      <c r="W693" s="256">
        <f>FMS_Ranking4[[#This Row],[Critical facilities at risk, ArcSinh (0-10)]]*U$5*10</f>
        <v>0</v>
      </c>
      <c r="X693" s="253">
        <f>_xlfn.XLOOKUP(FMS_Ranking4[[#This Row],[FMS ID]],FMS_Input[FMS_ID],FMS_Input[LWC])</f>
        <v>0</v>
      </c>
      <c r="Y693" s="259">
        <f>(ASINH(FMS_Ranking4[[#This Row],[LWC Raw]]))*(10)/(ASINH(X$4))</f>
        <v>0</v>
      </c>
      <c r="Z693" s="256">
        <f>FMS_Ranking4[[#This Row],[LWC, ArcSInh (0-10)]]*X$5*10</f>
        <v>0</v>
      </c>
      <c r="AA693" s="253">
        <f>_xlfn.XLOOKUP(FMS_Ranking4[[#This Row],[FMS ID]],FMS_Input[FMS_ID],FMS_Input[ROADCLS])</f>
        <v>0</v>
      </c>
      <c r="AB693" s="255">
        <f>(ASINH(FMS_Ranking4[[#This Row],[Road Closures Raw]]))*(10)/(ASINH(AA$4))</f>
        <v>0</v>
      </c>
      <c r="AC693" s="256">
        <f>FMS_Ranking4[[#This Row],[Road closures, ArcSinh (0-10)]]*AA$5*10</f>
        <v>0</v>
      </c>
      <c r="AD693" s="253">
        <f>_xlfn.XLOOKUP(FMS_Ranking4[[#This Row],[FMS ID]],FMS_Input[FMS_ID],FMS_Input[ROAD_MILES100])</f>
        <v>2</v>
      </c>
      <c r="AE693" s="259">
        <f>(ASINH(FMS_Ranking4[[#This Row],[Road Miles Raw]]))*(10)/(ASINH(AD$4))</f>
        <v>1.5385182374234352</v>
      </c>
      <c r="AF693" s="256">
        <f>FMS_Ranking4[[#This Row],[Length of roads at risk, ArcSinh (0-10)]]*AD$5*10</f>
        <v>1.5385182374234352</v>
      </c>
      <c r="AG693" s="253">
        <f>_xlfn.XLOOKUP(FMS_Ranking4[[#This Row],[FMS ID]],FMS_Input[FMS_ID],FMS_Input[FARMACRE100])</f>
        <v>363.41070556640619</v>
      </c>
      <c r="AH693" s="255">
        <f>(ASINH(FMS_Ranking4[[#This Row],[Ag Land Raw]]))*(10)/(ASINH(AG$4))</f>
        <v>4.2798861816572868</v>
      </c>
      <c r="AI693" s="260">
        <f>FMS_Ranking4[[#This Row],[Farm &amp; ranch land, ArcSinh (0-10)]]*AG$5*10</f>
        <v>2.1399430908286434</v>
      </c>
      <c r="AJ693" s="258">
        <f>_xlfn.XLOOKUP(FMS_Ranking4[[#This Row],[FMS ID]],FMS_Input[FMS_ID],FMS_Input[REDSTRUCT100])</f>
        <v>0</v>
      </c>
      <c r="AK693" s="253">
        <f>_xlfn.XLOOKUP(FMS_Ranking4[[#This Row],[FMS ID]],FMS_Input[FMS_ID],FMS_Input[REMSTRC100])</f>
        <v>0</v>
      </c>
      <c r="AL693" s="259">
        <f>(ASINH(FMS_Ranking4[[#This Row],[Structures Removed Raw]]))*(10)/(ASINH(AK$4))</f>
        <v>0</v>
      </c>
      <c r="AM693" s="262">
        <f>FMS_Ranking4[[#This Row],[Structures removed, ArcSinh (0-10)]]*AK$5*10</f>
        <v>0</v>
      </c>
      <c r="AN693" s="253">
        <f>_xlfn.XLOOKUP(FMS_Ranking4[[#This Row],[FMS ID]],FMS_Input[FMS_ID],FMS_Input[REMRESSTRC100])</f>
        <v>0</v>
      </c>
      <c r="AO693" s="261">
        <f>FMS_Ranking4[[#This Row],[ArcSinh Res struct removed 0-10]]*AN$5*10</f>
        <v>0</v>
      </c>
      <c r="AP693" s="260">
        <f>ASINH(FMS_Ranking4[[#This Row],[Residential Structures Removed Raw]])/AP$4*AN$5*100</f>
        <v>0</v>
      </c>
      <c r="AQ693" s="254">
        <f>(ASINH(FMS_Ranking4[[#This Row],[Residential Structures Removed Raw]]))*(10)/(ASINH(AN$4))</f>
        <v>0</v>
      </c>
      <c r="AR693" s="253">
        <f>_xlfn.XLOOKUP(FMS_Ranking4[[#This Row],[FMS ID]],FMS_Input[FMS_ID],FMS_Input[REMPOP100])</f>
        <v>0</v>
      </c>
      <c r="AS693" s="259">
        <f>(ASINH(FMS_Ranking4[[#This Row],[Removed Pop Raw]]))*(10)/(ASINH(AR$4))</f>
        <v>0</v>
      </c>
      <c r="AT693" s="262">
        <f>FMS_Ranking4[[#This Row],[Removed population, ArcSinh (0-10)]]*AR$5*10</f>
        <v>0</v>
      </c>
      <c r="AU693" s="264">
        <f>_xlfn.XLOOKUP(FMS_Ranking4[[#This Row],[FMS ID]],FMS_Input[FMS_ID],FMS_Input[REMCRITFAC100])</f>
        <v>0</v>
      </c>
      <c r="AV693" s="264">
        <f>_xlfn.XLOOKUP(FMS_Ranking4[[#This Row],[FMS ID]],FMS_Input[FMS_ID],FMS_Input[REMLWC100])</f>
        <v>0</v>
      </c>
      <c r="AW693" s="264">
        <f>_xlfn.XLOOKUP(FMS_Ranking4[[#This Row],[FMS ID]],FMS_Input[FMS_ID],FMS_Input[REMROADCLS])</f>
        <v>0</v>
      </c>
      <c r="AX693" s="264">
        <f>_xlfn.XLOOKUP(FMS_Ranking4[[#This Row],[FMS ID]],FMS_Input[FMS_ID],FMS_Input[REMFRMACRE100])</f>
        <v>0</v>
      </c>
      <c r="AY693" s="258">
        <f>_xlfn.XLOOKUP(FMS_Ranking4[[#This Row],[FMS ID]],FMS_Input[FMS_ID],FMS_Input[COSTSTRUCT])</f>
        <v>0</v>
      </c>
      <c r="AZ693" s="253">
        <f>_xlfn.XLOOKUP(FMS_Ranking4[[#This Row],[FMS ID]],FMS_Input[FMS_ID],FMS_Input[NATURE])</f>
        <v>0</v>
      </c>
      <c r="BA693" s="262">
        <f>(((FMS_Ranking4[[#This Row],[% NBS Raw]]/AZ$4)*100)*AZ$5)</f>
        <v>0</v>
      </c>
      <c r="BB693" s="251" t="str">
        <f>_xlfn.XLOOKUP(FMS_Ranking4[[#This Row],[FMS ID]],FMS_Input[FMS_ID],FMS_Input[WATER_SUP])</f>
        <v>No</v>
      </c>
      <c r="BC693" s="265">
        <f>IF(FMS_Ranking4[[#This Row],[Water Supply Raw]]="Yes",10,0)</f>
        <v>0</v>
      </c>
      <c r="BD693" s="266">
        <f>_xlfn.XLOOKUP(FMS_Ranking4[[#This Row],[FMS Type]],FMS_TYPE[FMS_Type],FMS_TYPE[Score])</f>
        <v>8</v>
      </c>
      <c r="BE693" s="267">
        <f>FMS_Ranking4[[#This Row],[FMS_Type Score]]*$BD$5*10</f>
        <v>2</v>
      </c>
      <c r="BF69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4.6161273577714976E-3</v>
      </c>
      <c r="BG693" s="271">
        <f>_xlfn.RANK.EQ(BF693,$BF$8:$BF$870,0)+COUNTIF($BF$8:BF693,BF693)-1</f>
        <v>692</v>
      </c>
      <c r="BH693" s="268">
        <f>(((FMS_Ranking4[[#This Row],[Structures Removed Raw]]/AK$4)*100)*AK$5)+(((FMS_Ranking4[[#This Row],[Removed Pop Raw]]/AR$4)*100)*AR$5)</f>
        <v>0</v>
      </c>
      <c r="BI69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2.0046161273577714</v>
      </c>
      <c r="BJ693" s="205">
        <f>_xlfn.RANK.EQ(FMS_Ranking4[[#This Row],[Total Score 
(with linear
normalization)]],FMS_Ranking4[Total Score 
(with linear
normalization)],0)</f>
        <v>437</v>
      </c>
      <c r="BK693" s="205" t="e">
        <f>_xlfn.XLOOKUP(FMS_Ranking4[[#This Row],[FMS ID]],#REF!,#REF!)</f>
        <v>#REF!</v>
      </c>
      <c r="BL69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7.9386649487767116</v>
      </c>
      <c r="BM693" s="272">
        <f>FMS_Ranking4[[#This Row],[ArcSinh Score Based on Normalized Reported Factors]]+FMS_Ranking4[[#This Row],[% NBS Score (Normalized)]]+(FMS_Ranking4[[#This Row],[Water Supply Score (Normalized)]]*10*$BB$5)+FMS_Ranking4[[#This Row],[FMS_Type Score Weighted]]</f>
        <v>9.9386649487767116</v>
      </c>
      <c r="BN693" s="205">
        <f>_xlfn.RANK.EQ(FMS_Ranking4[[#This Row],[Total Score (with ArcSinh normalization of select criteria)]],FMS_Ranking4[Total Score (with ArcSinh normalization of select criteria)],0)</f>
        <v>686</v>
      </c>
      <c r="BO693" s="270" t="str">
        <f>_xlfn.XLOOKUP(FMS_Ranking4[[#This Row],[FMS ID]],FMS_Input[FMS_ID],FMS_Input[FMS_RANK_YEAR])</f>
        <v>2023 Amended Plan</v>
      </c>
      <c r="BP693" s="204">
        <f>_xlfn.XLOOKUP(FMS_Ranking4[[#This Row],[FMS ID]],Prev_Rank[FMS ID],Prev_Rank[Prev Rank])</f>
        <v>615</v>
      </c>
      <c r="BQ693" s="205" t="e">
        <f>_xlfn.XLOOKUP(FMS_Ranking4[[#This Row],[FMS ID]],#REF!,#REF!)</f>
        <v>#REF!</v>
      </c>
      <c r="BR693" s="199" t="e">
        <f>SUM(#REF!,#REF!,#REF!,#REF!,#REF!,#REF!,#REF!,#REF!,#REF!,FMS_Ranking4[[#This Row],[ArcSinh Res struct removed 0-10]],#REF!)</f>
        <v>#REF!</v>
      </c>
      <c r="BS693" s="199" t="e">
        <f>FMS_Ranking4[[#This Row],[Log Score Based on Normalized Reported Factors]]+FMS_Ranking4[[#This Row],[% NBS Score (Normalized)]]+(FMS_Ranking4[[#This Row],[Water Supply Score (Normalized)]]*10*$BB$5)+(FMS_Ranking4[[#This Row],[FMS_Type Score Weighted]])</f>
        <v>#REF!</v>
      </c>
      <c r="BT693" s="200" t="e">
        <f>_xlfn.RANK.EQ(FMS_Ranking4[[#This Row],[Log Total Score]],FMS_Ranking4[Log Total Score],0)</f>
        <v>#REF!</v>
      </c>
      <c r="BU693" s="200" t="e">
        <f>_xlfn.XLOOKUP(FMS_Ranking4[[#This Row],[FMS ID]],#REF!,#REF!)</f>
        <v>#REF!</v>
      </c>
      <c r="BV693" s="200">
        <f>FMS_Ranking4[[#This Row],[Region Number]]</f>
        <v>3</v>
      </c>
      <c r="BW693" s="200">
        <f>FMS_Ranking4[[#This Row],[Rank (with ArcSinh normalization of select criteria)]]-FMS_Ranking4[[#This Row],[Rank
(with linear
normalization)]]</f>
        <v>249</v>
      </c>
      <c r="BX693" s="200" t="e">
        <f>FMS_Ranking4[[#This Row],[Log Rank]]-FMS_Ranking4[[#This Row],[Rank
(with linear
normalization)]]</f>
        <v>#REF!</v>
      </c>
      <c r="BY693" s="200" t="str">
        <f>IF(FMS_Ranking4[[#This Row],[FMS Type]]="Flood Measurement and Warning",FMS_Ranking4[[#This Row],[Rank (with ArcSinh normalization of select criteria)]],"")</f>
        <v/>
      </c>
      <c r="BZ693" s="200">
        <f>IF(FMS_Ranking4[[#This Row],[FMS Type]]="Regulatory and Guidance",FMS_Ranking4[[#This Row],[Rank (with ArcSinh normalization of select criteria)]],"")</f>
        <v>686</v>
      </c>
      <c r="CA693" s="200" t="str">
        <f>IF(FMS_Ranking4[[#This Row],[FMS Type]]="Education and Outreach",FMS_Ranking4[[#This Row],[Rank (with ArcSinh normalization of select criteria)]],"")</f>
        <v/>
      </c>
      <c r="CB693" s="200" t="str">
        <f>IF(FMS_Ranking4[[#This Row],[FMS Type]]="Property Acquisition and Structural Elevation",FMS_Ranking4[[#This Row],[Rank (with ArcSinh normalization of select criteria)]],"")</f>
        <v/>
      </c>
      <c r="CC693" s="200" t="str">
        <f>IF(FMS_Ranking4[[#This Row],[FMS Type]]="Infrastructure Projects",FMS_Ranking4[[#This Row],[Rank (with ArcSinh normalization of select criteria)]],"")</f>
        <v/>
      </c>
      <c r="CD693" s="200" t="str">
        <f>IF(FMS_Ranking4[[#This Row],[FMS Type]]="Other",FMS_Ranking4[[#This Row],[Rank (with ArcSinh normalization of select criteria)]],"")</f>
        <v/>
      </c>
      <c r="CE693" s="201"/>
      <c r="CF693" s="206"/>
      <c r="CG693" s="206"/>
      <c r="CH693" s="206"/>
      <c r="CI693" s="206"/>
      <c r="CJ693" s="206"/>
      <c r="CK693" s="206"/>
      <c r="CL693" s="206"/>
      <c r="CM693" s="206"/>
      <c r="CN693" s="206"/>
      <c r="CO693" s="206"/>
      <c r="CP693" s="206"/>
      <c r="CQ693" s="206"/>
      <c r="CR693" s="206"/>
    </row>
    <row r="694" spans="2:96" ht="45" x14ac:dyDescent="0.25">
      <c r="B694" s="341" t="s">
        <v>2421</v>
      </c>
      <c r="C694" s="246">
        <f>_xlfn.XLOOKUP(FMS_Ranking4[[#This Row],[FMS ID]],FMS_Input[FMS_ID],FMS_Input[RFPG_NUM])</f>
        <v>3</v>
      </c>
      <c r="D694" s="309" t="str">
        <f>_xlfn.XLOOKUP(FMS_Ranking4[[#This Row],[FMS ID]],FMS_Input[FMS_ID],FMS_Input[FMS_NAME])</f>
        <v>Oak Valley NFIP Floodplain Ordinance</v>
      </c>
      <c r="E694" s="308" t="str">
        <f>_xlfn.XLOOKUP(FMS_Ranking4[[#This Row],[FMS ID]],FMS_Input[FMS_ID],FMS_Input[SPONSOR])</f>
        <v>Oak Valley</v>
      </c>
      <c r="F694" s="309" t="str">
        <f>_xlfn.XLOOKUP(FMS_Ranking4[[#This Row],[FMS ID]],Sponsor[FMS_ID],Sponsor[SPONSOR NAME])</f>
        <v>Oak Valley</v>
      </c>
      <c r="G694" s="309" t="str">
        <f>_xlfn.XLOOKUP(FMS_Ranking4[[#This Row],[FMS ID]],FMS_Input[FMS_ID],FMS_Input[FMS_DESCR])</f>
        <v>Develop a floodplain ordinance that meets or exceeds FEMA's minimum standards</v>
      </c>
      <c r="H694" s="248" t="str">
        <f>_xlfn.XLOOKUP(FMS_Ranking4[[#This Row],[FMS ID]],FMS_Input[FMS_ID],FMS_Input[FMS_TYPE])</f>
        <v>Regulatory and Guidance</v>
      </c>
      <c r="I694" s="249">
        <f>_xlfn.XLOOKUP(FMS_Ranking4[[#This Row],[FMS ID]],FMS_Input[FMS_ID],FMS_Input[NRNC_COST])</f>
        <v>100000</v>
      </c>
      <c r="J694" s="250">
        <f>_xlfn.XLOOKUP(FMS_Ranking4[[#This Row],[FMS ID]],FMS_Input[FMS_ID],FMS_Input[FMS_COST])</f>
        <v>100000</v>
      </c>
      <c r="K694" s="251" t="str">
        <f>_xlfn.XLOOKUP(FMS_Ranking4[[#This Row],[FMS ID]],FMS_Input[FMS_ID],FMS_Input[EMER_NEED])</f>
        <v>No</v>
      </c>
      <c r="L694" s="252">
        <f t="shared" si="10"/>
        <v>0</v>
      </c>
      <c r="M694" s="253">
        <f>_xlfn.XLOOKUP(FMS_Ranking4[[#This Row],[FMS ID]],FMS_Input[FMS_ID],FMS_Input[STRUCT_100])</f>
        <v>11</v>
      </c>
      <c r="N694" s="255">
        <f>(ASINH(FMS_Ranking4[[#This Row],[Structure at Risk Raw]]))*(10)/(ASINH(M$4))</f>
        <v>2.4316388682796601</v>
      </c>
      <c r="O694" s="256">
        <f>FMS_Ranking4[[#This Row],[Structures at risk, ArcSinh (0-10)]]*M$5*10</f>
        <v>2.4316388682796601</v>
      </c>
      <c r="P694" s="253">
        <f>_xlfn.XLOOKUP(FMS_Ranking4[[#This Row],[FMS ID]],FMS_Input[FMS_ID],FMS_Input[RES_STRUCT100])</f>
        <v>9</v>
      </c>
      <c r="Q694" s="257">
        <f>ASINH(FMS_Ranking4[[#This Row],[Res Structure Raw]])/Q$4*P$5*100</f>
        <v>0</v>
      </c>
      <c r="R694" s="253">
        <f>_xlfn.XLOOKUP(FMS_Ranking4[[#This Row],[FMS ID]],FMS_Input[FMS_ID],FMS_Input[POP100])</f>
        <v>25</v>
      </c>
      <c r="S694" s="255">
        <f>(ASINH(FMS_Ranking4[[#This Row],[Pop at Risk Raw]]))*(10)/(ASINH(R$4))</f>
        <v>2.7009732082816753</v>
      </c>
      <c r="T694" s="256">
        <f>FMS_Ranking4[[#This Row],[Population at risk, ArcSinh (0-10)]]*R$5*10</f>
        <v>2.7009732082816758</v>
      </c>
      <c r="U694" s="253">
        <f>_xlfn.XLOOKUP(FMS_Ranking4[[#This Row],[FMS ID]],FMS_Input[FMS_ID],FMS_Input[CRITFAC100])</f>
        <v>0</v>
      </c>
      <c r="V694" s="255">
        <f>(ASINH(FMS_Ranking4[[#This Row],[Critical Facilities Raw]]))*(10)/(ASINH(U$4))</f>
        <v>0</v>
      </c>
      <c r="W694" s="256">
        <f>FMS_Ranking4[[#This Row],[Critical facilities at risk, ArcSinh (0-10)]]*U$5*10</f>
        <v>0</v>
      </c>
      <c r="X694" s="253">
        <f>_xlfn.XLOOKUP(FMS_Ranking4[[#This Row],[FMS ID]],FMS_Input[FMS_ID],FMS_Input[LWC])</f>
        <v>0</v>
      </c>
      <c r="Y694" s="255">
        <f>(ASINH(FMS_Ranking4[[#This Row],[LWC Raw]]))*(10)/(ASINH(X$4))</f>
        <v>0</v>
      </c>
      <c r="Z694" s="256">
        <f>FMS_Ranking4[[#This Row],[LWC, ArcSInh (0-10)]]*X$5*10</f>
        <v>0</v>
      </c>
      <c r="AA694" s="253">
        <f>_xlfn.XLOOKUP(FMS_Ranking4[[#This Row],[FMS ID]],FMS_Input[FMS_ID],FMS_Input[ROADCLS])</f>
        <v>0</v>
      </c>
      <c r="AB694" s="255">
        <f>(ASINH(FMS_Ranking4[[#This Row],[Road Closures Raw]]))*(10)/(ASINH(AA$4))</f>
        <v>0</v>
      </c>
      <c r="AC694" s="256">
        <f>FMS_Ranking4[[#This Row],[Road closures, ArcSinh (0-10)]]*AA$5*10</f>
        <v>0</v>
      </c>
      <c r="AD694" s="253">
        <f>_xlfn.XLOOKUP(FMS_Ranking4[[#This Row],[FMS ID]],FMS_Input[FMS_ID],FMS_Input[ROAD_MILES100])</f>
        <v>1</v>
      </c>
      <c r="AE694" s="255">
        <f>(ASINH(FMS_Ranking4[[#This Row],[Road Miles Raw]]))*(10)/(ASINH(AD$4))</f>
        <v>0.9393017565219649</v>
      </c>
      <c r="AF694" s="256">
        <f>FMS_Ranking4[[#This Row],[Length of roads at risk, ArcSinh (0-10)]]*AD$5*10</f>
        <v>0.93930175652196501</v>
      </c>
      <c r="AG694" s="253">
        <f>_xlfn.XLOOKUP(FMS_Ranking4[[#This Row],[FMS ID]],FMS_Input[FMS_ID],FMS_Input[FARMACRE100])</f>
        <v>71.415847778320313</v>
      </c>
      <c r="AH694" s="255">
        <f>(ASINH(FMS_Ranking4[[#This Row],[Ag Land Raw]]))*(10)/(ASINH(AG$4))</f>
        <v>3.2230387675363299</v>
      </c>
      <c r="AI694" s="260">
        <f>FMS_Ranking4[[#This Row],[Farm &amp; ranch land, ArcSinh (0-10)]]*AG$5*10</f>
        <v>1.6115193837681652</v>
      </c>
      <c r="AJ694" s="258">
        <f>_xlfn.XLOOKUP(FMS_Ranking4[[#This Row],[FMS ID]],FMS_Input[FMS_ID],FMS_Input[REDSTRUCT100])</f>
        <v>0</v>
      </c>
      <c r="AK694" s="253">
        <f>_xlfn.XLOOKUP(FMS_Ranking4[[#This Row],[FMS ID]],FMS_Input[FMS_ID],FMS_Input[REMSTRC100])</f>
        <v>0</v>
      </c>
      <c r="AL694" s="255">
        <f>(ASINH(FMS_Ranking4[[#This Row],[Structures Removed Raw]]))*(10)/(ASINH(AK$4))</f>
        <v>0</v>
      </c>
      <c r="AM694" s="262">
        <f>FMS_Ranking4[[#This Row],[Structures removed, ArcSinh (0-10)]]*AK$5*10</f>
        <v>0</v>
      </c>
      <c r="AN694" s="253">
        <f>_xlfn.XLOOKUP(FMS_Ranking4[[#This Row],[FMS ID]],FMS_Input[FMS_ID],FMS_Input[REMRESSTRC100])</f>
        <v>0</v>
      </c>
      <c r="AO694" s="261">
        <f>FMS_Ranking4[[#This Row],[ArcSinh Res struct removed 0-10]]*AN$5*10</f>
        <v>0</v>
      </c>
      <c r="AP694" s="260">
        <f>ASINH(FMS_Ranking4[[#This Row],[Residential Structures Removed Raw]])/AP$4*AN$5*100</f>
        <v>0</v>
      </c>
      <c r="AQ694" s="258">
        <f>(ASINH(FMS_Ranking4[[#This Row],[Residential Structures Removed Raw]]))*(10)/(ASINH(AN$4))</f>
        <v>0</v>
      </c>
      <c r="AR694" s="253">
        <f>_xlfn.XLOOKUP(FMS_Ranking4[[#This Row],[FMS ID]],FMS_Input[FMS_ID],FMS_Input[REMPOP100])</f>
        <v>0</v>
      </c>
      <c r="AS694" s="255">
        <f>(ASINH(FMS_Ranking4[[#This Row],[Removed Pop Raw]]))*(10)/(ASINH(AR$4))</f>
        <v>0</v>
      </c>
      <c r="AT694" s="262">
        <f>FMS_Ranking4[[#This Row],[Removed population, ArcSinh (0-10)]]*AR$5*10</f>
        <v>0</v>
      </c>
      <c r="AU694" s="264">
        <f>_xlfn.XLOOKUP(FMS_Ranking4[[#This Row],[FMS ID]],FMS_Input[FMS_ID],FMS_Input[REMCRITFAC100])</f>
        <v>0</v>
      </c>
      <c r="AV694" s="264">
        <f>_xlfn.XLOOKUP(FMS_Ranking4[[#This Row],[FMS ID]],FMS_Input[FMS_ID],FMS_Input[REMLWC100])</f>
        <v>0</v>
      </c>
      <c r="AW694" s="264">
        <f>_xlfn.XLOOKUP(FMS_Ranking4[[#This Row],[FMS ID]],FMS_Input[FMS_ID],FMS_Input[REMROADCLS])</f>
        <v>0</v>
      </c>
      <c r="AX694" s="264">
        <f>_xlfn.XLOOKUP(FMS_Ranking4[[#This Row],[FMS ID]],FMS_Input[FMS_ID],FMS_Input[REMFRMACRE100])</f>
        <v>0</v>
      </c>
      <c r="AY694" s="258">
        <f>_xlfn.XLOOKUP(FMS_Ranking4[[#This Row],[FMS ID]],FMS_Input[FMS_ID],FMS_Input[COSTSTRUCT])</f>
        <v>0</v>
      </c>
      <c r="AZ694" s="253">
        <f>_xlfn.XLOOKUP(FMS_Ranking4[[#This Row],[FMS ID]],FMS_Input[FMS_ID],FMS_Input[NATURE])</f>
        <v>0</v>
      </c>
      <c r="BA694" s="262">
        <f>(((FMS_Ranking4[[#This Row],[% NBS Raw]]/AZ$4)*100)*AZ$5)</f>
        <v>0</v>
      </c>
      <c r="BB694" s="251" t="str">
        <f>_xlfn.XLOOKUP(FMS_Ranking4[[#This Row],[FMS ID]],FMS_Input[FMS_ID],FMS_Input[WATER_SUP])</f>
        <v>No</v>
      </c>
      <c r="BC694" s="265">
        <f>IF(FMS_Ranking4[[#This Row],[Water Supply Raw]]="Yes",10,0)</f>
        <v>0</v>
      </c>
      <c r="BD694" s="266">
        <f>_xlfn.XLOOKUP(FMS_Ranking4[[#This Row],[FMS Type]],FMS_TYPE[FMS_Type],FMS_TYPE[Score])</f>
        <v>8</v>
      </c>
      <c r="BE694" s="267">
        <f>FMS_Ranking4[[#This Row],[FMS_Type Score]]*$BD$5*10</f>
        <v>2</v>
      </c>
      <c r="BF694"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2.7433377641951228E-3</v>
      </c>
      <c r="BG694" s="321">
        <f>_xlfn.RANK.EQ(BF694,$BF$8:$BF$870,0)+COUNTIF($BF$8:BF694,BF694)-1</f>
        <v>717</v>
      </c>
      <c r="BH694" s="294">
        <f>(((FMS_Ranking4[[#This Row],[Structures Removed Raw]]/AK$4)*100)*AK$5)+(((FMS_Ranking4[[#This Row],[Removed Pop Raw]]/AR$4)*100)*AR$5)</f>
        <v>0</v>
      </c>
      <c r="BI69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2.002743337764195</v>
      </c>
      <c r="BJ694" s="251">
        <f>_xlfn.RANK.EQ(FMS_Ranking4[[#This Row],[Total Score 
(with linear
normalization)]],FMS_Ranking4[Total Score 
(with linear
normalization)],0)</f>
        <v>448</v>
      </c>
      <c r="BK694" s="251" t="e">
        <f>_xlfn.XLOOKUP(FMS_Ranking4[[#This Row],[FMS ID]],#REF!,#REF!)</f>
        <v>#REF!</v>
      </c>
      <c r="BL694"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7.6834332168514656</v>
      </c>
      <c r="BM694" s="324">
        <f>FMS_Ranking4[[#This Row],[ArcSinh Score Based on Normalized Reported Factors]]+FMS_Ranking4[[#This Row],[% NBS Score (Normalized)]]+(FMS_Ranking4[[#This Row],[Water Supply Score (Normalized)]]*10*$BB$5)+FMS_Ranking4[[#This Row],[FMS_Type Score Weighted]]</f>
        <v>9.6834332168514656</v>
      </c>
      <c r="BN694" s="251">
        <f>_xlfn.RANK.EQ(FMS_Ranking4[[#This Row],[Total Score (with ArcSinh normalization of select criteria)]],FMS_Ranking4[Total Score (with ArcSinh normalization of select criteria)],0)</f>
        <v>687</v>
      </c>
      <c r="BO694" s="270" t="str">
        <f>_xlfn.XLOOKUP(FMS_Ranking4[[#This Row],[FMS ID]],FMS_Input[FMS_ID],FMS_Input[FMS_RANK_YEAR])</f>
        <v>2023 Amended Plan</v>
      </c>
      <c r="BP694" s="204">
        <f>_xlfn.XLOOKUP(FMS_Ranking4[[#This Row],[FMS ID]],Prev_Rank[FMS ID],Prev_Rank[Prev Rank])</f>
        <v>617</v>
      </c>
      <c r="BQ694" s="251" t="e">
        <f>_xlfn.XLOOKUP(FMS_Ranking4[[#This Row],[FMS ID]],#REF!,#REF!)</f>
        <v>#REF!</v>
      </c>
      <c r="BR694" s="199" t="e">
        <f>SUM(#REF!,#REF!,#REF!,#REF!,#REF!,#REF!,#REF!,#REF!,#REF!,FMS_Ranking4[[#This Row],[ArcSinh Res struct removed 0-10]],#REF!)</f>
        <v>#REF!</v>
      </c>
      <c r="BS694" s="199" t="e">
        <f>FMS_Ranking4[[#This Row],[Log Score Based on Normalized Reported Factors]]+FMS_Ranking4[[#This Row],[% NBS Score (Normalized)]]+(FMS_Ranking4[[#This Row],[Water Supply Score (Normalized)]]*10*$BB$5)+(FMS_Ranking4[[#This Row],[FMS_Type Score Weighted]])</f>
        <v>#REF!</v>
      </c>
      <c r="BT694" s="200" t="e">
        <f>_xlfn.RANK.EQ(FMS_Ranking4[[#This Row],[Log Total Score]],FMS_Ranking4[Log Total Score],0)</f>
        <v>#REF!</v>
      </c>
      <c r="BU694" s="200" t="e">
        <f>_xlfn.XLOOKUP(FMS_Ranking4[[#This Row],[FMS ID]],#REF!,#REF!)</f>
        <v>#REF!</v>
      </c>
      <c r="BV694" s="200">
        <f>FMS_Ranking4[[#This Row],[Region Number]]</f>
        <v>3</v>
      </c>
      <c r="BW694" s="200">
        <f>FMS_Ranking4[[#This Row],[Rank (with ArcSinh normalization of select criteria)]]-FMS_Ranking4[[#This Row],[Rank
(with linear
normalization)]]</f>
        <v>239</v>
      </c>
      <c r="BX694" s="200" t="e">
        <f>FMS_Ranking4[[#This Row],[Log Rank]]-FMS_Ranking4[[#This Row],[Rank
(with linear
normalization)]]</f>
        <v>#REF!</v>
      </c>
      <c r="BY694" s="200" t="str">
        <f>IF(FMS_Ranking4[[#This Row],[FMS Type]]="Flood Measurement and Warning",FMS_Ranking4[[#This Row],[Rank (with ArcSinh normalization of select criteria)]],"")</f>
        <v/>
      </c>
      <c r="BZ694" s="200">
        <f>IF(FMS_Ranking4[[#This Row],[FMS Type]]="Regulatory and Guidance",FMS_Ranking4[[#This Row],[Rank (with ArcSinh normalization of select criteria)]],"")</f>
        <v>687</v>
      </c>
      <c r="CA694" s="200" t="str">
        <f>IF(FMS_Ranking4[[#This Row],[FMS Type]]="Education and Outreach",FMS_Ranking4[[#This Row],[Rank (with ArcSinh normalization of select criteria)]],"")</f>
        <v/>
      </c>
      <c r="CB694" s="200" t="str">
        <f>IF(FMS_Ranking4[[#This Row],[FMS Type]]="Property Acquisition and Structural Elevation",FMS_Ranking4[[#This Row],[Rank (with ArcSinh normalization of select criteria)]],"")</f>
        <v/>
      </c>
      <c r="CC694" s="200" t="str">
        <f>IF(FMS_Ranking4[[#This Row],[FMS Type]]="Infrastructure Projects",FMS_Ranking4[[#This Row],[Rank (with ArcSinh normalization of select criteria)]],"")</f>
        <v/>
      </c>
      <c r="CD694" s="200" t="str">
        <f>IF(FMS_Ranking4[[#This Row],[FMS Type]]="Other",FMS_Ranking4[[#This Row],[Rank (with ArcSinh normalization of select criteria)]],"")</f>
        <v/>
      </c>
      <c r="CE694" s="201"/>
      <c r="CF694" s="206"/>
      <c r="CG694" s="206"/>
      <c r="CH694" s="206"/>
      <c r="CI694" s="206"/>
      <c r="CJ694" s="206"/>
      <c r="CK694" s="206"/>
      <c r="CL694" s="206"/>
      <c r="CM694" s="206"/>
      <c r="CN694" s="206"/>
      <c r="CO694" s="206"/>
      <c r="CP694" s="206"/>
      <c r="CQ694" s="206"/>
      <c r="CR694" s="206"/>
    </row>
    <row r="695" spans="2:96" ht="60" x14ac:dyDescent="0.25">
      <c r="B695" s="341" t="s">
        <v>4789</v>
      </c>
      <c r="C695" s="246">
        <f>_xlfn.XLOOKUP(FMS_Ranking4[[#This Row],[FMS ID]],FMS_Input[FMS_ID],FMS_Input[RFPG_NUM])</f>
        <v>4</v>
      </c>
      <c r="D695" s="309" t="str">
        <f>_xlfn.XLOOKUP(FMS_Ranking4[[#This Row],[FMS ID]],FMS_Input[FMS_ID],FMS_Input[FMS_NAME])</f>
        <v>City of Fruitvale Flood Emergency Notification System</v>
      </c>
      <c r="E695" s="308" t="str">
        <f>_xlfn.XLOOKUP(FMS_Ranking4[[#This Row],[FMS ID]],FMS_Input[FMS_ID],FMS_Input[SPONSOR])</f>
        <v>04002537</v>
      </c>
      <c r="F695" s="309" t="str">
        <f>_xlfn.XLOOKUP(FMS_Ranking4[[#This Row],[FMS ID]],Sponsor[FMS_ID],Sponsor[SPONSOR NAME])</f>
        <v>Fruitvale</v>
      </c>
      <c r="G695" s="309" t="str">
        <f>_xlfn.XLOOKUP(FMS_Ranking4[[#This Row],[FMS ID]],FMS_Input[FMS_ID],FMS_Input[FMS_DESCR])</f>
        <v>Implement and enhance an area-wide telephone Emergency Notification System (“Reverse 911”).</v>
      </c>
      <c r="H695" s="248" t="str">
        <f>_xlfn.XLOOKUP(FMS_Ranking4[[#This Row],[FMS ID]],FMS_Input[FMS_ID],FMS_Input[FMS_TYPE])</f>
        <v>Flood Measurement and Warning</v>
      </c>
      <c r="I695" s="249">
        <f>_xlfn.XLOOKUP(FMS_Ranking4[[#This Row],[FMS ID]],FMS_Input[FMS_ID],FMS_Input[NRNC_COST])</f>
        <v>10000</v>
      </c>
      <c r="J695" s="250">
        <f>_xlfn.XLOOKUP(FMS_Ranking4[[#This Row],[FMS ID]],FMS_Input[FMS_ID],FMS_Input[FMS_COST])</f>
        <v>10000</v>
      </c>
      <c r="K695" s="251" t="str">
        <f>_xlfn.XLOOKUP(FMS_Ranking4[[#This Row],[FMS ID]],FMS_Input[FMS_ID],FMS_Input[EMER_NEED])</f>
        <v>No</v>
      </c>
      <c r="L695" s="252">
        <f t="shared" si="10"/>
        <v>0</v>
      </c>
      <c r="M695" s="253">
        <f>_xlfn.XLOOKUP(FMS_Ranking4[[#This Row],[FMS ID]],FMS_Input[FMS_ID],FMS_Input[STRUCT_100])</f>
        <v>4</v>
      </c>
      <c r="N695" s="255">
        <f>(ASINH(FMS_Ranking4[[#This Row],[Structure at Risk Raw]]))*(10)/(ASINH(M$4))</f>
        <v>1.6467559513369034</v>
      </c>
      <c r="O695" s="256">
        <f>FMS_Ranking4[[#This Row],[Structures at risk, ArcSinh (0-10)]]*M$5*10</f>
        <v>1.6467559513369034</v>
      </c>
      <c r="P695" s="253">
        <f>_xlfn.XLOOKUP(FMS_Ranking4[[#This Row],[FMS ID]],FMS_Input[FMS_ID],FMS_Input[RES_STRUCT100])</f>
        <v>1</v>
      </c>
      <c r="Q695" s="257">
        <f>ASINH(FMS_Ranking4[[#This Row],[Res Structure Raw]])/Q$4*P$5*100</f>
        <v>0</v>
      </c>
      <c r="R695" s="253">
        <f>_xlfn.XLOOKUP(FMS_Ranking4[[#This Row],[FMS ID]],FMS_Input[FMS_ID],FMS_Input[POP100])</f>
        <v>12</v>
      </c>
      <c r="S695" s="259">
        <f>(ASINH(FMS_Ranking4[[#This Row],[Pop at Risk Raw]]))*(10)/(ASINH(R$4))</f>
        <v>2.1951910081741675</v>
      </c>
      <c r="T695" s="256">
        <f>FMS_Ranking4[[#This Row],[Population at risk, ArcSinh (0-10)]]*R$5*10</f>
        <v>2.1951910081741675</v>
      </c>
      <c r="U695" s="253">
        <f>_xlfn.XLOOKUP(FMS_Ranking4[[#This Row],[FMS ID]],FMS_Input[FMS_ID],FMS_Input[CRITFAC100])</f>
        <v>0</v>
      </c>
      <c r="V695" s="259">
        <f>(ASINH(FMS_Ranking4[[#This Row],[Critical Facilities Raw]]))*(10)/(ASINH(U$4))</f>
        <v>0</v>
      </c>
      <c r="W695" s="256">
        <f>FMS_Ranking4[[#This Row],[Critical facilities at risk, ArcSinh (0-10)]]*U$5*10</f>
        <v>0</v>
      </c>
      <c r="X695" s="253">
        <f>_xlfn.XLOOKUP(FMS_Ranking4[[#This Row],[FMS ID]],FMS_Input[FMS_ID],FMS_Input[LWC])</f>
        <v>0</v>
      </c>
      <c r="Y695" s="259">
        <f>(ASINH(FMS_Ranking4[[#This Row],[LWC Raw]]))*(10)/(ASINH(X$4))</f>
        <v>0</v>
      </c>
      <c r="Z695" s="256">
        <f>FMS_Ranking4[[#This Row],[LWC, ArcSInh (0-10)]]*X$5*10</f>
        <v>0</v>
      </c>
      <c r="AA695" s="253">
        <f>_xlfn.XLOOKUP(FMS_Ranking4[[#This Row],[FMS ID]],FMS_Input[FMS_ID],FMS_Input[ROADCLS])</f>
        <v>0</v>
      </c>
      <c r="AB695" s="255">
        <f>(ASINH(FMS_Ranking4[[#This Row],[Road Closures Raw]]))*(10)/(ASINH(AA$4))</f>
        <v>0</v>
      </c>
      <c r="AC695" s="256">
        <f>FMS_Ranking4[[#This Row],[Road closures, ArcSinh (0-10)]]*AA$5*10</f>
        <v>0</v>
      </c>
      <c r="AD695" s="253">
        <f>_xlfn.XLOOKUP(FMS_Ranking4[[#This Row],[FMS ID]],FMS_Input[FMS_ID],FMS_Input[ROAD_MILES100])</f>
        <v>2</v>
      </c>
      <c r="AE695" s="259">
        <f>(ASINH(FMS_Ranking4[[#This Row],[Road Miles Raw]]))*(10)/(ASINH(AD$4))</f>
        <v>1.5385182374234352</v>
      </c>
      <c r="AF695" s="256">
        <f>FMS_Ranking4[[#This Row],[Length of roads at risk, ArcSinh (0-10)]]*AD$5*10</f>
        <v>1.5385182374234352</v>
      </c>
      <c r="AG695" s="253">
        <f>_xlfn.XLOOKUP(FMS_Ranking4[[#This Row],[FMS ID]],FMS_Input[FMS_ID],FMS_Input[FARMACRE100])</f>
        <v>126.89296722412109</v>
      </c>
      <c r="AH695" s="255">
        <f>(ASINH(FMS_Ranking4[[#This Row],[Ag Land Raw]]))*(10)/(ASINH(AG$4))</f>
        <v>3.5964121309135355</v>
      </c>
      <c r="AI695" s="260">
        <f>FMS_Ranking4[[#This Row],[Farm &amp; ranch land, ArcSinh (0-10)]]*AG$5*10</f>
        <v>1.7982060654567678</v>
      </c>
      <c r="AJ695" s="258">
        <f>_xlfn.XLOOKUP(FMS_Ranking4[[#This Row],[FMS ID]],FMS_Input[FMS_ID],FMS_Input[REDSTRUCT100])</f>
        <v>0</v>
      </c>
      <c r="AK695" s="253">
        <f>_xlfn.XLOOKUP(FMS_Ranking4[[#This Row],[FMS ID]],FMS_Input[FMS_ID],FMS_Input[REMSTRC100])</f>
        <v>0</v>
      </c>
      <c r="AL695" s="259">
        <f>(ASINH(FMS_Ranking4[[#This Row],[Structures Removed Raw]]))*(10)/(ASINH(AK$4))</f>
        <v>0</v>
      </c>
      <c r="AM695" s="262">
        <f>FMS_Ranking4[[#This Row],[Structures removed, ArcSinh (0-10)]]*AK$5*10</f>
        <v>0</v>
      </c>
      <c r="AN695" s="253">
        <f>_xlfn.XLOOKUP(FMS_Ranking4[[#This Row],[FMS ID]],FMS_Input[FMS_ID],FMS_Input[REMRESSTRC100])</f>
        <v>0</v>
      </c>
      <c r="AO695" s="261">
        <f>FMS_Ranking4[[#This Row],[ArcSinh Res struct removed 0-10]]*AN$5*10</f>
        <v>0</v>
      </c>
      <c r="AP695" s="260">
        <f>ASINH(FMS_Ranking4[[#This Row],[Residential Structures Removed Raw]])/AP$4*AN$5*100</f>
        <v>0</v>
      </c>
      <c r="AQ695" s="254">
        <f>(ASINH(FMS_Ranking4[[#This Row],[Residential Structures Removed Raw]]))*(10)/(ASINH(AN$4))</f>
        <v>0</v>
      </c>
      <c r="AR695" s="253">
        <f>_xlfn.XLOOKUP(FMS_Ranking4[[#This Row],[FMS ID]],FMS_Input[FMS_ID],FMS_Input[REMPOP100])</f>
        <v>0</v>
      </c>
      <c r="AS695" s="259">
        <f>(ASINH(FMS_Ranking4[[#This Row],[Removed Pop Raw]]))*(10)/(ASINH(AR$4))</f>
        <v>0</v>
      </c>
      <c r="AT695" s="262">
        <f>FMS_Ranking4[[#This Row],[Removed population, ArcSinh (0-10)]]*AR$5*10</f>
        <v>0</v>
      </c>
      <c r="AU695" s="264">
        <f>_xlfn.XLOOKUP(FMS_Ranking4[[#This Row],[FMS ID]],FMS_Input[FMS_ID],FMS_Input[REMCRITFAC100])</f>
        <v>0</v>
      </c>
      <c r="AV695" s="264">
        <f>_xlfn.XLOOKUP(FMS_Ranking4[[#This Row],[FMS ID]],FMS_Input[FMS_ID],FMS_Input[REMLWC100])</f>
        <v>0</v>
      </c>
      <c r="AW695" s="264">
        <f>_xlfn.XLOOKUP(FMS_Ranking4[[#This Row],[FMS ID]],FMS_Input[FMS_ID],FMS_Input[REMROADCLS])</f>
        <v>0</v>
      </c>
      <c r="AX695" s="264">
        <f>_xlfn.XLOOKUP(FMS_Ranking4[[#This Row],[FMS ID]],FMS_Input[FMS_ID],FMS_Input[REMFRMACRE100])</f>
        <v>0</v>
      </c>
      <c r="AY695" s="258">
        <f>_xlfn.XLOOKUP(FMS_Ranking4[[#This Row],[FMS ID]],FMS_Input[FMS_ID],FMS_Input[COSTSTRUCT])</f>
        <v>0</v>
      </c>
      <c r="AZ695" s="253">
        <f>_xlfn.XLOOKUP(FMS_Ranking4[[#This Row],[FMS ID]],FMS_Input[FMS_ID],FMS_Input[NATURE])</f>
        <v>0</v>
      </c>
      <c r="BA695" s="262">
        <f>(((FMS_Ranking4[[#This Row],[% NBS Raw]]/AZ$4)*100)*AZ$5)</f>
        <v>0</v>
      </c>
      <c r="BB695" s="251" t="str">
        <f>_xlfn.XLOOKUP(FMS_Ranking4[[#This Row],[FMS ID]],FMS_Input[FMS_ID],FMS_Input[WATER_SUP])</f>
        <v>No</v>
      </c>
      <c r="BC695" s="265">
        <f>IF(FMS_Ranking4[[#This Row],[Water Supply Raw]]="Yes",10,0)</f>
        <v>0</v>
      </c>
      <c r="BD695" s="266">
        <f>_xlfn.XLOOKUP(FMS_Ranking4[[#This Row],[FMS Type]],FMS_TYPE[FMS_Type],FMS_TYPE[Score])</f>
        <v>10</v>
      </c>
      <c r="BE695" s="267">
        <f>FMS_Ranking4[[#This Row],[FMS_Type Score]]*$BD$5*10</f>
        <v>2.5</v>
      </c>
      <c r="BF69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3.9884066481471452E-3</v>
      </c>
      <c r="BG695" s="271">
        <f>_xlfn.RANK.EQ(BF695,$BF$8:$BF$870,0)+COUNTIF($BF$8:BF695,BF695)-1</f>
        <v>698</v>
      </c>
      <c r="BH695" s="268">
        <f>(((FMS_Ranking4[[#This Row],[Structures Removed Raw]]/AK$4)*100)*AK$5)+(((FMS_Ranking4[[#This Row],[Removed Pop Raw]]/AR$4)*100)*AR$5)</f>
        <v>0</v>
      </c>
      <c r="BI69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2.5039884066481473</v>
      </c>
      <c r="BJ695" s="205">
        <f>_xlfn.RANK.EQ(FMS_Ranking4[[#This Row],[Total Score 
(with linear
normalization)]],FMS_Ranking4[Total Score 
(with linear
normalization)],0)</f>
        <v>252</v>
      </c>
      <c r="BK695" s="205" t="e">
        <f>_xlfn.XLOOKUP(FMS_Ranking4[[#This Row],[FMS ID]],#REF!,#REF!)</f>
        <v>#REF!</v>
      </c>
      <c r="BL69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7.1786712623912736</v>
      </c>
      <c r="BM695" s="272">
        <f>FMS_Ranking4[[#This Row],[ArcSinh Score Based on Normalized Reported Factors]]+FMS_Ranking4[[#This Row],[% NBS Score (Normalized)]]+(FMS_Ranking4[[#This Row],[Water Supply Score (Normalized)]]*10*$BB$5)+FMS_Ranking4[[#This Row],[FMS_Type Score Weighted]]</f>
        <v>9.6786712623912727</v>
      </c>
      <c r="BN695" s="205">
        <f>_xlfn.RANK.EQ(FMS_Ranking4[[#This Row],[Total Score (with ArcSinh normalization of select criteria)]],FMS_Ranking4[Total Score (with ArcSinh normalization of select criteria)],0)</f>
        <v>688</v>
      </c>
      <c r="BO695" s="270" t="str">
        <f>_xlfn.XLOOKUP(FMS_Ranking4[[#This Row],[FMS ID]],FMS_Input[FMS_ID],FMS_Input[FMS_RANK_YEAR])</f>
        <v>2023 Amended Plan</v>
      </c>
      <c r="BP695" s="204">
        <f>_xlfn.XLOOKUP(FMS_Ranking4[[#This Row],[FMS ID]],Prev_Rank[FMS ID],Prev_Rank[Prev Rank])</f>
        <v>618</v>
      </c>
      <c r="BQ695" s="205" t="e">
        <f>_xlfn.XLOOKUP(FMS_Ranking4[[#This Row],[FMS ID]],#REF!,#REF!)</f>
        <v>#REF!</v>
      </c>
      <c r="BR695" s="199" t="e">
        <f>SUM(#REF!,#REF!,#REF!,#REF!,#REF!,#REF!,#REF!,#REF!,#REF!,FMS_Ranking4[[#This Row],[ArcSinh Res struct removed 0-10]],#REF!)</f>
        <v>#REF!</v>
      </c>
      <c r="BS695" s="199" t="e">
        <f>FMS_Ranking4[[#This Row],[Log Score Based on Normalized Reported Factors]]+FMS_Ranking4[[#This Row],[% NBS Score (Normalized)]]+(FMS_Ranking4[[#This Row],[Water Supply Score (Normalized)]]*10*$BB$5)+(FMS_Ranking4[[#This Row],[FMS_Type Score Weighted]])</f>
        <v>#REF!</v>
      </c>
      <c r="BT695" s="200" t="e">
        <f>_xlfn.RANK.EQ(FMS_Ranking4[[#This Row],[Log Total Score]],FMS_Ranking4[Log Total Score],0)</f>
        <v>#REF!</v>
      </c>
      <c r="BU695" s="200" t="e">
        <f>_xlfn.XLOOKUP(FMS_Ranking4[[#This Row],[FMS ID]],#REF!,#REF!)</f>
        <v>#REF!</v>
      </c>
      <c r="BV695" s="200">
        <f>FMS_Ranking4[[#This Row],[Region Number]]</f>
        <v>4</v>
      </c>
      <c r="BW695" s="200">
        <f>FMS_Ranking4[[#This Row],[Rank (with ArcSinh normalization of select criteria)]]-FMS_Ranking4[[#This Row],[Rank
(with linear
normalization)]]</f>
        <v>436</v>
      </c>
      <c r="BX695" s="200" t="e">
        <f>FMS_Ranking4[[#This Row],[Log Rank]]-FMS_Ranking4[[#This Row],[Rank
(with linear
normalization)]]</f>
        <v>#REF!</v>
      </c>
      <c r="BY695" s="200">
        <f>IF(FMS_Ranking4[[#This Row],[FMS Type]]="Flood Measurement and Warning",FMS_Ranking4[[#This Row],[Rank (with ArcSinh normalization of select criteria)]],"")</f>
        <v>688</v>
      </c>
      <c r="BZ695" s="200" t="str">
        <f>IF(FMS_Ranking4[[#This Row],[FMS Type]]="Regulatory and Guidance",FMS_Ranking4[[#This Row],[Rank (with ArcSinh normalization of select criteria)]],"")</f>
        <v/>
      </c>
      <c r="CA695" s="200" t="str">
        <f>IF(FMS_Ranking4[[#This Row],[FMS Type]]="Education and Outreach",FMS_Ranking4[[#This Row],[Rank (with ArcSinh normalization of select criteria)]],"")</f>
        <v/>
      </c>
      <c r="CB695" s="200" t="str">
        <f>IF(FMS_Ranking4[[#This Row],[FMS Type]]="Property Acquisition and Structural Elevation",FMS_Ranking4[[#This Row],[Rank (with ArcSinh normalization of select criteria)]],"")</f>
        <v/>
      </c>
      <c r="CC695" s="200" t="str">
        <f>IF(FMS_Ranking4[[#This Row],[FMS Type]]="Infrastructure Projects",FMS_Ranking4[[#This Row],[Rank (with ArcSinh normalization of select criteria)]],"")</f>
        <v/>
      </c>
      <c r="CD695" s="200" t="str">
        <f>IF(FMS_Ranking4[[#This Row],[FMS Type]]="Other",FMS_Ranking4[[#This Row],[Rank (with ArcSinh normalization of select criteria)]],"")</f>
        <v/>
      </c>
      <c r="CE695" s="201"/>
      <c r="CF695" s="206"/>
      <c r="CG695" s="206"/>
      <c r="CH695" s="206"/>
      <c r="CI695" s="206"/>
      <c r="CJ695" s="206"/>
      <c r="CK695" s="206"/>
      <c r="CL695" s="206"/>
      <c r="CM695" s="206"/>
      <c r="CN695" s="206"/>
      <c r="CO695" s="206"/>
      <c r="CP695" s="206"/>
      <c r="CQ695" s="206"/>
      <c r="CR695" s="206"/>
    </row>
    <row r="696" spans="2:96" ht="45" x14ac:dyDescent="0.25">
      <c r="B696" s="341" t="s">
        <v>2352</v>
      </c>
      <c r="C696" s="246">
        <f>_xlfn.XLOOKUP(FMS_Ranking4[[#This Row],[FMS ID]],FMS_Input[FMS_ID],FMS_Input[RFPG_NUM])</f>
        <v>3</v>
      </c>
      <c r="D696" s="309" t="str">
        <f>_xlfn.XLOOKUP(FMS_Ranking4[[#This Row],[FMS ID]],FMS_Input[FMS_ID],FMS_Input[FMS_NAME])</f>
        <v>City of Eureka NFIP Floodplain Ordinance</v>
      </c>
      <c r="E696" s="308" t="str">
        <f>_xlfn.XLOOKUP(FMS_Ranking4[[#This Row],[FMS ID]],FMS_Input[FMS_ID],FMS_Input[SPONSOR])</f>
        <v>Eureka</v>
      </c>
      <c r="F696" s="309" t="str">
        <f>_xlfn.XLOOKUP(FMS_Ranking4[[#This Row],[FMS ID]],Sponsor[FMS_ID],Sponsor[SPONSOR NAME])</f>
        <v>Eureka</v>
      </c>
      <c r="G696" s="309" t="str">
        <f>_xlfn.XLOOKUP(FMS_Ranking4[[#This Row],[FMS ID]],FMS_Input[FMS_ID],FMS_Input[FMS_DESCR])</f>
        <v>Develop a floodplain ordinance that meets or exceeds FEMA's minimum standards</v>
      </c>
      <c r="H696" s="248" t="str">
        <f>_xlfn.XLOOKUP(FMS_Ranking4[[#This Row],[FMS ID]],FMS_Input[FMS_ID],FMS_Input[FMS_TYPE])</f>
        <v>Regulatory and Guidance</v>
      </c>
      <c r="I696" s="249">
        <f>_xlfn.XLOOKUP(FMS_Ranking4[[#This Row],[FMS ID]],FMS_Input[FMS_ID],FMS_Input[NRNC_COST])</f>
        <v>100000</v>
      </c>
      <c r="J696" s="250">
        <f>_xlfn.XLOOKUP(FMS_Ranking4[[#This Row],[FMS ID]],FMS_Input[FMS_ID],FMS_Input[FMS_COST])</f>
        <v>100000</v>
      </c>
      <c r="K696" s="251" t="str">
        <f>_xlfn.XLOOKUP(FMS_Ranking4[[#This Row],[FMS ID]],FMS_Input[FMS_ID],FMS_Input[EMER_NEED])</f>
        <v>No</v>
      </c>
      <c r="L696" s="252">
        <f t="shared" si="10"/>
        <v>0</v>
      </c>
      <c r="M696" s="253">
        <f>_xlfn.XLOOKUP(FMS_Ranking4[[#This Row],[FMS ID]],FMS_Input[FMS_ID],FMS_Input[STRUCT_100])</f>
        <v>2</v>
      </c>
      <c r="N696" s="255">
        <f>(ASINH(FMS_Ranking4[[#This Row],[Structure at Risk Raw]]))*(10)/(ASINH(M$4))</f>
        <v>1.134912431502926</v>
      </c>
      <c r="O696" s="256">
        <f>FMS_Ranking4[[#This Row],[Structures at risk, ArcSinh (0-10)]]*M$5*10</f>
        <v>1.134912431502926</v>
      </c>
      <c r="P696" s="253">
        <f>_xlfn.XLOOKUP(FMS_Ranking4[[#This Row],[FMS ID]],FMS_Input[FMS_ID],FMS_Input[RES_STRUCT100])</f>
        <v>2</v>
      </c>
      <c r="Q696" s="257">
        <f>ASINH(FMS_Ranking4[[#This Row],[Res Structure Raw]])/Q$4*P$5*100</f>
        <v>0</v>
      </c>
      <c r="R696" s="253">
        <f>_xlfn.XLOOKUP(FMS_Ranking4[[#This Row],[FMS ID]],FMS_Input[FMS_ID],FMS_Input[POP100])</f>
        <v>3</v>
      </c>
      <c r="S696" s="259">
        <f>(ASINH(FMS_Ranking4[[#This Row],[Pop at Risk Raw]]))*(10)/(ASINH(R$4))</f>
        <v>1.2553794569988064</v>
      </c>
      <c r="T696" s="256">
        <f>FMS_Ranking4[[#This Row],[Population at risk, ArcSinh (0-10)]]*R$5*10</f>
        <v>1.2553794569988064</v>
      </c>
      <c r="U696" s="253">
        <f>_xlfn.XLOOKUP(FMS_Ranking4[[#This Row],[FMS ID]],FMS_Input[FMS_ID],FMS_Input[CRITFAC100])</f>
        <v>0</v>
      </c>
      <c r="V696" s="259">
        <f>(ASINH(FMS_Ranking4[[#This Row],[Critical Facilities Raw]]))*(10)/(ASINH(U$4))</f>
        <v>0</v>
      </c>
      <c r="W696" s="256">
        <f>FMS_Ranking4[[#This Row],[Critical facilities at risk, ArcSinh (0-10)]]*U$5*10</f>
        <v>0</v>
      </c>
      <c r="X696" s="253">
        <f>_xlfn.XLOOKUP(FMS_Ranking4[[#This Row],[FMS ID]],FMS_Input[FMS_ID],FMS_Input[LWC])</f>
        <v>2</v>
      </c>
      <c r="Y696" s="259">
        <f>(ASINH(FMS_Ranking4[[#This Row],[LWC Raw]]))*(10)/(ASINH(X$4))</f>
        <v>1.9557475158633808</v>
      </c>
      <c r="Z696" s="256">
        <f>FMS_Ranking4[[#This Row],[LWC, ArcSInh (0-10)]]*X$5*10</f>
        <v>1.9557475158633808</v>
      </c>
      <c r="AA696" s="253">
        <f>_xlfn.XLOOKUP(FMS_Ranking4[[#This Row],[FMS ID]],FMS_Input[FMS_ID],FMS_Input[ROADCLS])</f>
        <v>0</v>
      </c>
      <c r="AB696" s="255">
        <f>(ASINH(FMS_Ranking4[[#This Row],[Road Closures Raw]]))*(10)/(ASINH(AA$4))</f>
        <v>0</v>
      </c>
      <c r="AC696" s="256">
        <f>FMS_Ranking4[[#This Row],[Road closures, ArcSinh (0-10)]]*AA$5*10</f>
        <v>0</v>
      </c>
      <c r="AD696" s="253">
        <f>_xlfn.XLOOKUP(FMS_Ranking4[[#This Row],[FMS ID]],FMS_Input[FMS_ID],FMS_Input[ROAD_MILES100])</f>
        <v>2</v>
      </c>
      <c r="AE696" s="259">
        <f>(ASINH(FMS_Ranking4[[#This Row],[Road Miles Raw]]))*(10)/(ASINH(AD$4))</f>
        <v>1.5385182374234352</v>
      </c>
      <c r="AF696" s="256">
        <f>FMS_Ranking4[[#This Row],[Length of roads at risk, ArcSinh (0-10)]]*AD$5*10</f>
        <v>1.5385182374234352</v>
      </c>
      <c r="AG696" s="253">
        <f>_xlfn.XLOOKUP(FMS_Ranking4[[#This Row],[FMS ID]],FMS_Input[FMS_ID],FMS_Input[FARMACRE100])</f>
        <v>90.129310607910156</v>
      </c>
      <c r="AH696" s="255">
        <f>(ASINH(FMS_Ranking4[[#This Row],[Ag Land Raw]]))*(10)/(ASINH(AG$4))</f>
        <v>3.3742011704606756</v>
      </c>
      <c r="AI696" s="260">
        <f>FMS_Ranking4[[#This Row],[Farm &amp; ranch land, ArcSinh (0-10)]]*AG$5*10</f>
        <v>1.6871005852303378</v>
      </c>
      <c r="AJ696" s="258">
        <f>_xlfn.XLOOKUP(FMS_Ranking4[[#This Row],[FMS ID]],FMS_Input[FMS_ID],FMS_Input[REDSTRUCT100])</f>
        <v>0</v>
      </c>
      <c r="AK696" s="253">
        <f>_xlfn.XLOOKUP(FMS_Ranking4[[#This Row],[FMS ID]],FMS_Input[FMS_ID],FMS_Input[REMSTRC100])</f>
        <v>0</v>
      </c>
      <c r="AL696" s="259">
        <f>(ASINH(FMS_Ranking4[[#This Row],[Structures Removed Raw]]))*(10)/(ASINH(AK$4))</f>
        <v>0</v>
      </c>
      <c r="AM696" s="262">
        <f>FMS_Ranking4[[#This Row],[Structures removed, ArcSinh (0-10)]]*AK$5*10</f>
        <v>0</v>
      </c>
      <c r="AN696" s="253">
        <f>_xlfn.XLOOKUP(FMS_Ranking4[[#This Row],[FMS ID]],FMS_Input[FMS_ID],FMS_Input[REMRESSTRC100])</f>
        <v>0</v>
      </c>
      <c r="AO696" s="261">
        <f>FMS_Ranking4[[#This Row],[ArcSinh Res struct removed 0-10]]*AN$5*10</f>
        <v>0</v>
      </c>
      <c r="AP696" s="260">
        <f>ASINH(FMS_Ranking4[[#This Row],[Residential Structures Removed Raw]])/AP$4*AN$5*100</f>
        <v>0</v>
      </c>
      <c r="AQ696" s="254">
        <f>(ASINH(FMS_Ranking4[[#This Row],[Residential Structures Removed Raw]]))*(10)/(ASINH(AN$4))</f>
        <v>0</v>
      </c>
      <c r="AR696" s="253">
        <f>_xlfn.XLOOKUP(FMS_Ranking4[[#This Row],[FMS ID]],FMS_Input[FMS_ID],FMS_Input[REMPOP100])</f>
        <v>0</v>
      </c>
      <c r="AS696" s="259">
        <f>(ASINH(FMS_Ranking4[[#This Row],[Removed Pop Raw]]))*(10)/(ASINH(AR$4))</f>
        <v>0</v>
      </c>
      <c r="AT696" s="262">
        <f>FMS_Ranking4[[#This Row],[Removed population, ArcSinh (0-10)]]*AR$5*10</f>
        <v>0</v>
      </c>
      <c r="AU696" s="264">
        <f>_xlfn.XLOOKUP(FMS_Ranking4[[#This Row],[FMS ID]],FMS_Input[FMS_ID],FMS_Input[REMCRITFAC100])</f>
        <v>0</v>
      </c>
      <c r="AV696" s="264">
        <f>_xlfn.XLOOKUP(FMS_Ranking4[[#This Row],[FMS ID]],FMS_Input[FMS_ID],FMS_Input[REMLWC100])</f>
        <v>0</v>
      </c>
      <c r="AW696" s="264">
        <f>_xlfn.XLOOKUP(FMS_Ranking4[[#This Row],[FMS ID]],FMS_Input[FMS_ID],FMS_Input[REMROADCLS])</f>
        <v>0</v>
      </c>
      <c r="AX696" s="264">
        <f>_xlfn.XLOOKUP(FMS_Ranking4[[#This Row],[FMS ID]],FMS_Input[FMS_ID],FMS_Input[REMFRMACRE100])</f>
        <v>0</v>
      </c>
      <c r="AY696" s="258">
        <f>_xlfn.XLOOKUP(FMS_Ranking4[[#This Row],[FMS ID]],FMS_Input[FMS_ID],FMS_Input[COSTSTRUCT])</f>
        <v>0</v>
      </c>
      <c r="AZ696" s="253">
        <f>_xlfn.XLOOKUP(FMS_Ranking4[[#This Row],[FMS ID]],FMS_Input[FMS_ID],FMS_Input[NATURE])</f>
        <v>0</v>
      </c>
      <c r="BA696" s="262">
        <f>(((FMS_Ranking4[[#This Row],[% NBS Raw]]/AZ$4)*100)*AZ$5)</f>
        <v>0</v>
      </c>
      <c r="BB696" s="251" t="str">
        <f>_xlfn.XLOOKUP(FMS_Ranking4[[#This Row],[FMS ID]],FMS_Input[FMS_ID],FMS_Input[WATER_SUP])</f>
        <v>No</v>
      </c>
      <c r="BC696" s="265">
        <f>IF(FMS_Ranking4[[#This Row],[Water Supply Raw]]="Yes",10,0)</f>
        <v>0</v>
      </c>
      <c r="BD696" s="266">
        <f>_xlfn.XLOOKUP(FMS_Ranking4[[#This Row],[FMS Type]],FMS_TYPE[FMS_Type],FMS_TYPE[Score])</f>
        <v>8</v>
      </c>
      <c r="BE696" s="267">
        <f>FMS_Ranking4[[#This Row],[FMS_Type Score]]*$BD$5*10</f>
        <v>2</v>
      </c>
      <c r="BF69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2.8607475343780456E-2</v>
      </c>
      <c r="BG696" s="271">
        <f>_xlfn.RANK.EQ(BF696,$BF$8:$BF$870,0)+COUNTIF($BF$8:BF696,BF696)-1</f>
        <v>606</v>
      </c>
      <c r="BH696" s="268">
        <f>(((FMS_Ranking4[[#This Row],[Structures Removed Raw]]/AK$4)*100)*AK$5)+(((FMS_Ranking4[[#This Row],[Removed Pop Raw]]/AR$4)*100)*AR$5)</f>
        <v>0</v>
      </c>
      <c r="BI69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2.0286074753437804</v>
      </c>
      <c r="BJ696" s="205">
        <f>_xlfn.RANK.EQ(FMS_Ranking4[[#This Row],[Total Score 
(with linear
normalization)]],FMS_Ranking4[Total Score 
(with linear
normalization)],0)</f>
        <v>403</v>
      </c>
      <c r="BK696" s="205" t="e">
        <f>_xlfn.XLOOKUP(FMS_Ranking4[[#This Row],[FMS ID]],#REF!,#REF!)</f>
        <v>#REF!</v>
      </c>
      <c r="BL69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7.5716582270188866</v>
      </c>
      <c r="BM696" s="272">
        <f>FMS_Ranking4[[#This Row],[ArcSinh Score Based on Normalized Reported Factors]]+FMS_Ranking4[[#This Row],[% NBS Score (Normalized)]]+(FMS_Ranking4[[#This Row],[Water Supply Score (Normalized)]]*10*$BB$5)+FMS_Ranking4[[#This Row],[FMS_Type Score Weighted]]</f>
        <v>9.5716582270188866</v>
      </c>
      <c r="BN696" s="205">
        <f>_xlfn.RANK.EQ(FMS_Ranking4[[#This Row],[Total Score (with ArcSinh normalization of select criteria)]],FMS_Ranking4[Total Score (with ArcSinh normalization of select criteria)],0)</f>
        <v>689</v>
      </c>
      <c r="BO696" s="270" t="str">
        <f>_xlfn.XLOOKUP(FMS_Ranking4[[#This Row],[FMS ID]],FMS_Input[FMS_ID],FMS_Input[FMS_RANK_YEAR])</f>
        <v>2023 Amended Plan</v>
      </c>
      <c r="BP696" s="204">
        <f>_xlfn.XLOOKUP(FMS_Ranking4[[#This Row],[FMS ID]],Prev_Rank[FMS ID],Prev_Rank[Prev Rank])</f>
        <v>621</v>
      </c>
      <c r="BQ696" s="205" t="e">
        <f>_xlfn.XLOOKUP(FMS_Ranking4[[#This Row],[FMS ID]],#REF!,#REF!)</f>
        <v>#REF!</v>
      </c>
      <c r="BR696" s="199" t="e">
        <f>SUM(#REF!,#REF!,#REF!,#REF!,#REF!,#REF!,#REF!,#REF!,#REF!,FMS_Ranking4[[#This Row],[ArcSinh Res struct removed 0-10]],#REF!)</f>
        <v>#REF!</v>
      </c>
      <c r="BS696" s="199" t="e">
        <f>FMS_Ranking4[[#This Row],[Log Score Based on Normalized Reported Factors]]+FMS_Ranking4[[#This Row],[% NBS Score (Normalized)]]+(FMS_Ranking4[[#This Row],[Water Supply Score (Normalized)]]*10*$BB$5)+(FMS_Ranking4[[#This Row],[FMS_Type Score Weighted]])</f>
        <v>#REF!</v>
      </c>
      <c r="BT696" s="200" t="e">
        <f>_xlfn.RANK.EQ(FMS_Ranking4[[#This Row],[Log Total Score]],FMS_Ranking4[Log Total Score],0)</f>
        <v>#REF!</v>
      </c>
      <c r="BU696" s="200" t="e">
        <f>_xlfn.XLOOKUP(FMS_Ranking4[[#This Row],[FMS ID]],#REF!,#REF!)</f>
        <v>#REF!</v>
      </c>
      <c r="BV696" s="200">
        <f>FMS_Ranking4[[#This Row],[Region Number]]</f>
        <v>3</v>
      </c>
      <c r="BW696" s="200">
        <f>FMS_Ranking4[[#This Row],[Rank (with ArcSinh normalization of select criteria)]]-FMS_Ranking4[[#This Row],[Rank
(with linear
normalization)]]</f>
        <v>286</v>
      </c>
      <c r="BX696" s="200" t="e">
        <f>FMS_Ranking4[[#This Row],[Log Rank]]-FMS_Ranking4[[#This Row],[Rank
(with linear
normalization)]]</f>
        <v>#REF!</v>
      </c>
      <c r="BY696" s="200" t="str">
        <f>IF(FMS_Ranking4[[#This Row],[FMS Type]]="Flood Measurement and Warning",FMS_Ranking4[[#This Row],[Rank (with ArcSinh normalization of select criteria)]],"")</f>
        <v/>
      </c>
      <c r="BZ696" s="200">
        <f>IF(FMS_Ranking4[[#This Row],[FMS Type]]="Regulatory and Guidance",FMS_Ranking4[[#This Row],[Rank (with ArcSinh normalization of select criteria)]],"")</f>
        <v>689</v>
      </c>
      <c r="CA696" s="200" t="str">
        <f>IF(FMS_Ranking4[[#This Row],[FMS Type]]="Education and Outreach",FMS_Ranking4[[#This Row],[Rank (with ArcSinh normalization of select criteria)]],"")</f>
        <v/>
      </c>
      <c r="CB696" s="200" t="str">
        <f>IF(FMS_Ranking4[[#This Row],[FMS Type]]="Property Acquisition and Structural Elevation",FMS_Ranking4[[#This Row],[Rank (with ArcSinh normalization of select criteria)]],"")</f>
        <v/>
      </c>
      <c r="CC696" s="200" t="str">
        <f>IF(FMS_Ranking4[[#This Row],[FMS Type]]="Infrastructure Projects",FMS_Ranking4[[#This Row],[Rank (with ArcSinh normalization of select criteria)]],"")</f>
        <v/>
      </c>
      <c r="CD696" s="200" t="str">
        <f>IF(FMS_Ranking4[[#This Row],[FMS Type]]="Other",FMS_Ranking4[[#This Row],[Rank (with ArcSinh normalization of select criteria)]],"")</f>
        <v/>
      </c>
      <c r="CE696" s="201"/>
      <c r="CF696" s="206"/>
      <c r="CG696" s="206"/>
      <c r="CH696" s="206"/>
      <c r="CI696" s="206"/>
      <c r="CJ696" s="206"/>
      <c r="CK696" s="206"/>
      <c r="CL696" s="206"/>
      <c r="CM696" s="206"/>
      <c r="CN696" s="206"/>
      <c r="CO696" s="206"/>
      <c r="CP696" s="206"/>
      <c r="CQ696" s="206"/>
      <c r="CR696" s="206"/>
    </row>
    <row r="697" spans="2:96" ht="45" x14ac:dyDescent="0.25">
      <c r="B697" s="341" t="s">
        <v>3341</v>
      </c>
      <c r="C697" s="246">
        <f>_xlfn.XLOOKUP(FMS_Ranking4[[#This Row],[FMS ID]],FMS_Input[FMS_ID],FMS_Input[RFPG_NUM])</f>
        <v>7</v>
      </c>
      <c r="D697" s="309" t="str">
        <f>_xlfn.XLOOKUP(FMS_Ranking4[[#This Row],[FMS ID]],FMS_Input[FMS_ID],FMS_Input[FMS_NAME])</f>
        <v>Town of Rochester NFIP Participation</v>
      </c>
      <c r="E697" s="308" t="str">
        <f>_xlfn.XLOOKUP(FMS_Ranking4[[#This Row],[FMS ID]],FMS_Input[FMS_ID],FMS_Input[SPONSOR])</f>
        <v>07002899</v>
      </c>
      <c r="F697" s="309" t="str">
        <f>_xlfn.XLOOKUP(FMS_Ranking4[[#This Row],[FMS ID]],Sponsor[FMS_ID],Sponsor[SPONSOR NAME])</f>
        <v>Rochester</v>
      </c>
      <c r="G697" s="309" t="str">
        <f>_xlfn.XLOOKUP(FMS_Ranking4[[#This Row],[FMS ID]],FMS_Input[FMS_ID],FMS_Input[FMS_DESCR])</f>
        <v>Application to join NFIP or adoption of equivalent standards.</v>
      </c>
      <c r="H697" s="248" t="str">
        <f>_xlfn.XLOOKUP(FMS_Ranking4[[#This Row],[FMS ID]],FMS_Input[FMS_ID],FMS_Input[FMS_TYPE])</f>
        <v>Regulatory and Guidance</v>
      </c>
      <c r="I697" s="249">
        <f>_xlfn.XLOOKUP(FMS_Ranking4[[#This Row],[FMS ID]],FMS_Input[FMS_ID],FMS_Input[NRNC_COST])</f>
        <v>75000</v>
      </c>
      <c r="J697" s="250">
        <f>_xlfn.XLOOKUP(FMS_Ranking4[[#This Row],[FMS ID]],FMS_Input[FMS_ID],FMS_Input[FMS_COST])</f>
        <v>75000</v>
      </c>
      <c r="K697" s="251" t="str">
        <f>_xlfn.XLOOKUP(FMS_Ranking4[[#This Row],[FMS ID]],FMS_Input[FMS_ID],FMS_Input[EMER_NEED])</f>
        <v>No</v>
      </c>
      <c r="L697" s="252">
        <f t="shared" si="10"/>
        <v>0</v>
      </c>
      <c r="M697" s="253">
        <f>_xlfn.XLOOKUP(FMS_Ranking4[[#This Row],[FMS ID]],FMS_Input[FMS_ID],FMS_Input[STRUCT_100])</f>
        <v>27</v>
      </c>
      <c r="N697" s="255">
        <f>(ASINH(FMS_Ranking4[[#This Row],[Structure at Risk Raw]]))*(10)/(ASINH(M$4))</f>
        <v>3.1362048544087462</v>
      </c>
      <c r="O697" s="256">
        <f>FMS_Ranking4[[#This Row],[Structures at risk, ArcSinh (0-10)]]*M$5*10</f>
        <v>3.1362048544087462</v>
      </c>
      <c r="P697" s="253">
        <f>_xlfn.XLOOKUP(FMS_Ranking4[[#This Row],[FMS ID]],FMS_Input[FMS_ID],FMS_Input[RES_STRUCT100])</f>
        <v>20</v>
      </c>
      <c r="Q697" s="257">
        <f>ASINH(FMS_Ranking4[[#This Row],[Res Structure Raw]])/Q$4*P$5*100</f>
        <v>0</v>
      </c>
      <c r="R697" s="253">
        <f>_xlfn.XLOOKUP(FMS_Ranking4[[#This Row],[FMS ID]],FMS_Input[FMS_ID],FMS_Input[POP100])</f>
        <v>26</v>
      </c>
      <c r="S697" s="255">
        <f>(ASINH(FMS_Ranking4[[#This Row],[Pop at Risk Raw]]))*(10)/(ASINH(R$4))</f>
        <v>2.7280287406509007</v>
      </c>
      <c r="T697" s="256">
        <f>FMS_Ranking4[[#This Row],[Population at risk, ArcSinh (0-10)]]*R$5*10</f>
        <v>2.7280287406509007</v>
      </c>
      <c r="U697" s="253">
        <f>_xlfn.XLOOKUP(FMS_Ranking4[[#This Row],[FMS ID]],FMS_Input[FMS_ID],FMS_Input[CRITFAC100])</f>
        <v>0</v>
      </c>
      <c r="V697" s="255">
        <f>(ASINH(FMS_Ranking4[[#This Row],[Critical Facilities Raw]]))*(10)/(ASINH(U$4))</f>
        <v>0</v>
      </c>
      <c r="W697" s="256">
        <f>FMS_Ranking4[[#This Row],[Critical facilities at risk, ArcSinh (0-10)]]*U$5*10</f>
        <v>0</v>
      </c>
      <c r="X697" s="253">
        <f>_xlfn.XLOOKUP(FMS_Ranking4[[#This Row],[FMS ID]],FMS_Input[FMS_ID],FMS_Input[LWC])</f>
        <v>0</v>
      </c>
      <c r="Y697" s="255">
        <f>(ASINH(FMS_Ranking4[[#This Row],[LWC Raw]]))*(10)/(ASINH(X$4))</f>
        <v>0</v>
      </c>
      <c r="Z697" s="256">
        <f>FMS_Ranking4[[#This Row],[LWC, ArcSInh (0-10)]]*X$5*10</f>
        <v>0</v>
      </c>
      <c r="AA697" s="253">
        <f>_xlfn.XLOOKUP(FMS_Ranking4[[#This Row],[FMS ID]],FMS_Input[FMS_ID],FMS_Input[ROADCLS])</f>
        <v>0</v>
      </c>
      <c r="AB697" s="255">
        <f>(ASINH(FMS_Ranking4[[#This Row],[Road Closures Raw]]))*(10)/(ASINH(AA$4))</f>
        <v>0</v>
      </c>
      <c r="AC697" s="256">
        <f>FMS_Ranking4[[#This Row],[Road closures, ArcSinh (0-10)]]*AA$5*10</f>
        <v>0</v>
      </c>
      <c r="AD697" s="253">
        <f>_xlfn.XLOOKUP(FMS_Ranking4[[#This Row],[FMS ID]],FMS_Input[FMS_ID],FMS_Input[ROAD_MILES100])</f>
        <v>1</v>
      </c>
      <c r="AE697" s="255">
        <f>(ASINH(FMS_Ranking4[[#This Row],[Road Miles Raw]]))*(10)/(ASINH(AD$4))</f>
        <v>0.9393017565219649</v>
      </c>
      <c r="AF697" s="256">
        <f>FMS_Ranking4[[#This Row],[Length of roads at risk, ArcSinh (0-10)]]*AD$5*10</f>
        <v>0.93930175652196501</v>
      </c>
      <c r="AG697" s="253">
        <f>_xlfn.XLOOKUP(FMS_Ranking4[[#This Row],[FMS ID]],FMS_Input[FMS_ID],FMS_Input[FARMACRE100])</f>
        <v>4.5785374641418457</v>
      </c>
      <c r="AH697" s="255">
        <f>(ASINH(FMS_Ranking4[[#This Row],[Ag Land Raw]]))*(10)/(ASINH(AG$4))</f>
        <v>1.4461273125715008</v>
      </c>
      <c r="AI697" s="260">
        <f>FMS_Ranking4[[#This Row],[Farm &amp; ranch land, ArcSinh (0-10)]]*AG$5*10</f>
        <v>0.72306365628575053</v>
      </c>
      <c r="AJ697" s="258">
        <f>_xlfn.XLOOKUP(FMS_Ranking4[[#This Row],[FMS ID]],FMS_Input[FMS_ID],FMS_Input[REDSTRUCT100])</f>
        <v>0</v>
      </c>
      <c r="AK697" s="253">
        <f>_xlfn.XLOOKUP(FMS_Ranking4[[#This Row],[FMS ID]],FMS_Input[FMS_ID],FMS_Input[REMSTRC100])</f>
        <v>0</v>
      </c>
      <c r="AL697" s="255">
        <f>(ASINH(FMS_Ranking4[[#This Row],[Structures Removed Raw]]))*(10)/(ASINH(AK$4))</f>
        <v>0</v>
      </c>
      <c r="AM697" s="262">
        <f>FMS_Ranking4[[#This Row],[Structures removed, ArcSinh (0-10)]]*AK$5*10</f>
        <v>0</v>
      </c>
      <c r="AN697" s="253">
        <f>_xlfn.XLOOKUP(FMS_Ranking4[[#This Row],[FMS ID]],FMS_Input[FMS_ID],FMS_Input[REMRESSTRC100])</f>
        <v>0</v>
      </c>
      <c r="AO697" s="261">
        <f>FMS_Ranking4[[#This Row],[ArcSinh Res struct removed 0-10]]*AN$5*10</f>
        <v>0</v>
      </c>
      <c r="AP697" s="260">
        <f>ASINH(FMS_Ranking4[[#This Row],[Residential Structures Removed Raw]])/AP$4*AN$5*100</f>
        <v>0</v>
      </c>
      <c r="AQ697" s="258">
        <f>(ASINH(FMS_Ranking4[[#This Row],[Residential Structures Removed Raw]]))*(10)/(ASINH(AN$4))</f>
        <v>0</v>
      </c>
      <c r="AR697" s="253">
        <f>_xlfn.XLOOKUP(FMS_Ranking4[[#This Row],[FMS ID]],FMS_Input[FMS_ID],FMS_Input[REMPOP100])</f>
        <v>0</v>
      </c>
      <c r="AS697" s="255">
        <f>(ASINH(FMS_Ranking4[[#This Row],[Removed Pop Raw]]))*(10)/(ASINH(AR$4))</f>
        <v>0</v>
      </c>
      <c r="AT697" s="262">
        <f>FMS_Ranking4[[#This Row],[Removed population, ArcSinh (0-10)]]*AR$5*10</f>
        <v>0</v>
      </c>
      <c r="AU697" s="264">
        <f>_xlfn.XLOOKUP(FMS_Ranking4[[#This Row],[FMS ID]],FMS_Input[FMS_ID],FMS_Input[REMCRITFAC100])</f>
        <v>0</v>
      </c>
      <c r="AV697" s="264">
        <f>_xlfn.XLOOKUP(FMS_Ranking4[[#This Row],[FMS ID]],FMS_Input[FMS_ID],FMS_Input[REMLWC100])</f>
        <v>0</v>
      </c>
      <c r="AW697" s="264">
        <f>_xlfn.XLOOKUP(FMS_Ranking4[[#This Row],[FMS ID]],FMS_Input[FMS_ID],FMS_Input[REMROADCLS])</f>
        <v>0</v>
      </c>
      <c r="AX697" s="264">
        <f>_xlfn.XLOOKUP(FMS_Ranking4[[#This Row],[FMS ID]],FMS_Input[FMS_ID],FMS_Input[REMFRMACRE100])</f>
        <v>0</v>
      </c>
      <c r="AY697" s="258">
        <f>_xlfn.XLOOKUP(FMS_Ranking4[[#This Row],[FMS ID]],FMS_Input[FMS_ID],FMS_Input[COSTSTRUCT])</f>
        <v>0</v>
      </c>
      <c r="AZ697" s="253">
        <f>_xlfn.XLOOKUP(FMS_Ranking4[[#This Row],[FMS ID]],FMS_Input[FMS_ID],FMS_Input[NATURE])</f>
        <v>0</v>
      </c>
      <c r="BA697" s="262">
        <f>(((FMS_Ranking4[[#This Row],[% NBS Raw]]/AZ$4)*100)*AZ$5)</f>
        <v>0</v>
      </c>
      <c r="BB697" s="251" t="str">
        <f>_xlfn.XLOOKUP(FMS_Ranking4[[#This Row],[FMS ID]],FMS_Input[FMS_ID],FMS_Input[WATER_SUP])</f>
        <v>No</v>
      </c>
      <c r="BC697" s="265">
        <f>IF(FMS_Ranking4[[#This Row],[Water Supply Raw]]="Yes",10,0)</f>
        <v>0</v>
      </c>
      <c r="BD697" s="266">
        <f>_xlfn.XLOOKUP(FMS_Ranking4[[#This Row],[FMS Type]],FMS_TYPE[FMS_Type],FMS_TYPE[Score])</f>
        <v>8</v>
      </c>
      <c r="BE697" s="267">
        <f>FMS_Ranking4[[#This Row],[FMS_Type Score]]*$BD$5*10</f>
        <v>2</v>
      </c>
      <c r="BF697"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3.5725716566552919E-3</v>
      </c>
      <c r="BG697" s="321">
        <f>_xlfn.RANK.EQ(BF697,$BF$8:$BF$870,0)+COUNTIF($BF$8:BF697,BF697)-1</f>
        <v>705</v>
      </c>
      <c r="BH697" s="294">
        <f>(((FMS_Ranking4[[#This Row],[Structures Removed Raw]]/AK$4)*100)*AK$5)+(((FMS_Ranking4[[#This Row],[Removed Pop Raw]]/AR$4)*100)*AR$5)</f>
        <v>0</v>
      </c>
      <c r="BI69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2.0035725716566555</v>
      </c>
      <c r="BJ697" s="251">
        <f>_xlfn.RANK.EQ(FMS_Ranking4[[#This Row],[Total Score 
(with linear
normalization)]],FMS_Ranking4[Total Score 
(with linear
normalization)],0)</f>
        <v>443</v>
      </c>
      <c r="BK697" s="251" t="e">
        <f>_xlfn.XLOOKUP(FMS_Ranking4[[#This Row],[FMS ID]],#REF!,#REF!)</f>
        <v>#REF!</v>
      </c>
      <c r="BL697"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7.5265990078673628</v>
      </c>
      <c r="BM697" s="324">
        <f>FMS_Ranking4[[#This Row],[ArcSinh Score Based on Normalized Reported Factors]]+FMS_Ranking4[[#This Row],[% NBS Score (Normalized)]]+(FMS_Ranking4[[#This Row],[Water Supply Score (Normalized)]]*10*$BB$5)+FMS_Ranking4[[#This Row],[FMS_Type Score Weighted]]</f>
        <v>9.5265990078673628</v>
      </c>
      <c r="BN697" s="251">
        <f>_xlfn.RANK.EQ(FMS_Ranking4[[#This Row],[Total Score (with ArcSinh normalization of select criteria)]],FMS_Ranking4[Total Score (with ArcSinh normalization of select criteria)],0)</f>
        <v>690</v>
      </c>
      <c r="BO697" s="270" t="str">
        <f>_xlfn.XLOOKUP(FMS_Ranking4[[#This Row],[FMS ID]],FMS_Input[FMS_ID],FMS_Input[FMS_RANK_YEAR])</f>
        <v>2023 Amended Plan</v>
      </c>
      <c r="BP697" s="204">
        <f>_xlfn.XLOOKUP(FMS_Ranking4[[#This Row],[FMS ID]],Prev_Rank[FMS ID],Prev_Rank[Prev Rank])</f>
        <v>619</v>
      </c>
      <c r="BQ697" s="251" t="e">
        <f>_xlfn.XLOOKUP(FMS_Ranking4[[#This Row],[FMS ID]],#REF!,#REF!)</f>
        <v>#REF!</v>
      </c>
      <c r="BR697" s="199" t="e">
        <f>SUM(#REF!,#REF!,#REF!,#REF!,#REF!,#REF!,#REF!,#REF!,#REF!,FMS_Ranking4[[#This Row],[ArcSinh Res struct removed 0-10]],#REF!)</f>
        <v>#REF!</v>
      </c>
      <c r="BS697" s="199" t="e">
        <f>FMS_Ranking4[[#This Row],[Log Score Based on Normalized Reported Factors]]+FMS_Ranking4[[#This Row],[% NBS Score (Normalized)]]+(FMS_Ranking4[[#This Row],[Water Supply Score (Normalized)]]*10*$BB$5)+(FMS_Ranking4[[#This Row],[FMS_Type Score Weighted]])</f>
        <v>#REF!</v>
      </c>
      <c r="BT697" s="200" t="e">
        <f>_xlfn.RANK.EQ(FMS_Ranking4[[#This Row],[Log Total Score]],FMS_Ranking4[Log Total Score],0)</f>
        <v>#REF!</v>
      </c>
      <c r="BU697" s="200" t="e">
        <f>_xlfn.XLOOKUP(FMS_Ranking4[[#This Row],[FMS ID]],#REF!,#REF!)</f>
        <v>#REF!</v>
      </c>
      <c r="BV697" s="200">
        <f>FMS_Ranking4[[#This Row],[Region Number]]</f>
        <v>7</v>
      </c>
      <c r="BW697" s="200">
        <f>FMS_Ranking4[[#This Row],[Rank (with ArcSinh normalization of select criteria)]]-FMS_Ranking4[[#This Row],[Rank
(with linear
normalization)]]</f>
        <v>247</v>
      </c>
      <c r="BX697" s="200" t="e">
        <f>FMS_Ranking4[[#This Row],[Log Rank]]-FMS_Ranking4[[#This Row],[Rank
(with linear
normalization)]]</f>
        <v>#REF!</v>
      </c>
      <c r="BY697" s="200" t="str">
        <f>IF(FMS_Ranking4[[#This Row],[FMS Type]]="Flood Measurement and Warning",FMS_Ranking4[[#This Row],[Rank (with ArcSinh normalization of select criteria)]],"")</f>
        <v/>
      </c>
      <c r="BZ697" s="200">
        <f>IF(FMS_Ranking4[[#This Row],[FMS Type]]="Regulatory and Guidance",FMS_Ranking4[[#This Row],[Rank (with ArcSinh normalization of select criteria)]],"")</f>
        <v>690</v>
      </c>
      <c r="CA697" s="200" t="str">
        <f>IF(FMS_Ranking4[[#This Row],[FMS Type]]="Education and Outreach",FMS_Ranking4[[#This Row],[Rank (with ArcSinh normalization of select criteria)]],"")</f>
        <v/>
      </c>
      <c r="CB697" s="200" t="str">
        <f>IF(FMS_Ranking4[[#This Row],[FMS Type]]="Property Acquisition and Structural Elevation",FMS_Ranking4[[#This Row],[Rank (with ArcSinh normalization of select criteria)]],"")</f>
        <v/>
      </c>
      <c r="CC697" s="200" t="str">
        <f>IF(FMS_Ranking4[[#This Row],[FMS Type]]="Infrastructure Projects",FMS_Ranking4[[#This Row],[Rank (with ArcSinh normalization of select criteria)]],"")</f>
        <v/>
      </c>
      <c r="CD697" s="200" t="str">
        <f>IF(FMS_Ranking4[[#This Row],[FMS Type]]="Other",FMS_Ranking4[[#This Row],[Rank (with ArcSinh normalization of select criteria)]],"")</f>
        <v/>
      </c>
      <c r="CE697" s="201"/>
      <c r="CF697" s="206"/>
      <c r="CG697" s="206"/>
      <c r="CH697" s="206"/>
      <c r="CI697" s="206"/>
      <c r="CJ697" s="206"/>
      <c r="CK697" s="206"/>
      <c r="CL697" s="206"/>
      <c r="CM697" s="206"/>
      <c r="CN697" s="206"/>
      <c r="CO697" s="206"/>
      <c r="CP697" s="206"/>
      <c r="CQ697" s="206"/>
      <c r="CR697" s="206"/>
    </row>
    <row r="698" spans="2:96" ht="75" x14ac:dyDescent="0.25">
      <c r="B698" s="341" t="s">
        <v>2128</v>
      </c>
      <c r="C698" s="246">
        <f>_xlfn.XLOOKUP(FMS_Ranking4[[#This Row],[FMS ID]],FMS_Input[FMS_ID],FMS_Input[RFPG_NUM])</f>
        <v>3</v>
      </c>
      <c r="D698" s="309" t="str">
        <f>_xlfn.XLOOKUP(FMS_Ranking4[[#This Row],[FMS ID]],FMS_Input[FMS_ID],FMS_Input[FMS_NAME])</f>
        <v>Montague County Floodplain Policy Update</v>
      </c>
      <c r="E698" s="308" t="str">
        <f>_xlfn.XLOOKUP(FMS_Ranking4[[#This Row],[FMS ID]],FMS_Input[FMS_ID],FMS_Input[SPONSOR])</f>
        <v>Montague County</v>
      </c>
      <c r="F698" s="309" t="str">
        <f>_xlfn.XLOOKUP(FMS_Ranking4[[#This Row],[FMS ID]],Sponsor[FMS_ID],Sponsor[SPONSOR NAME])</f>
        <v>Montague County</v>
      </c>
      <c r="G698" s="309" t="str">
        <f>_xlfn.XLOOKUP(FMS_Ranking4[[#This Row],[FMS ID]],FMS_Input[FMS_ID],FMS_Input[FMS_DESCR])</f>
        <v>Increase freeboard requirements for permitting structures in the SFHA; Update local flood ordinance to prohibit granting of variance in SFHA</v>
      </c>
      <c r="H698" s="248" t="str">
        <f>_xlfn.XLOOKUP(FMS_Ranking4[[#This Row],[FMS ID]],FMS_Input[FMS_ID],FMS_Input[FMS_TYPE])</f>
        <v>Regulatory and Guidance</v>
      </c>
      <c r="I698" s="249">
        <f>_xlfn.XLOOKUP(FMS_Ranking4[[#This Row],[FMS ID]],FMS_Input[FMS_ID],FMS_Input[NRNC_COST])</f>
        <v>100000</v>
      </c>
      <c r="J698" s="250">
        <f>_xlfn.XLOOKUP(FMS_Ranking4[[#This Row],[FMS ID]],FMS_Input[FMS_ID],FMS_Input[FMS_COST])</f>
        <v>100000</v>
      </c>
      <c r="K698" s="251" t="str">
        <f>_xlfn.XLOOKUP(FMS_Ranking4[[#This Row],[FMS ID]],FMS_Input[FMS_ID],FMS_Input[EMER_NEED])</f>
        <v>No</v>
      </c>
      <c r="L698" s="252">
        <f t="shared" si="10"/>
        <v>0</v>
      </c>
      <c r="M698" s="253">
        <f>_xlfn.XLOOKUP(FMS_Ranking4[[#This Row],[FMS ID]],FMS_Input[FMS_ID],FMS_Input[STRUCT_100])</f>
        <v>0</v>
      </c>
      <c r="N698" s="255">
        <f>(ASINH(FMS_Ranking4[[#This Row],[Structure at Risk Raw]]))*(10)/(ASINH(M$4))</f>
        <v>0</v>
      </c>
      <c r="O698" s="256">
        <f>FMS_Ranking4[[#This Row],[Structures at risk, ArcSinh (0-10)]]*M$5*10</f>
        <v>0</v>
      </c>
      <c r="P698" s="253">
        <f>_xlfn.XLOOKUP(FMS_Ranking4[[#This Row],[FMS ID]],FMS_Input[FMS_ID],FMS_Input[RES_STRUCT100])</f>
        <v>0</v>
      </c>
      <c r="Q698" s="257">
        <f>ASINH(FMS_Ranking4[[#This Row],[Res Structure Raw]])/Q$4*P$5*100</f>
        <v>0</v>
      </c>
      <c r="R698" s="253">
        <f>_xlfn.XLOOKUP(FMS_Ranking4[[#This Row],[FMS ID]],FMS_Input[FMS_ID],FMS_Input[POP100])</f>
        <v>0</v>
      </c>
      <c r="S698" s="259">
        <f>(ASINH(FMS_Ranking4[[#This Row],[Pop at Risk Raw]]))*(10)/(ASINH(R$4))</f>
        <v>0</v>
      </c>
      <c r="T698" s="256">
        <f>FMS_Ranking4[[#This Row],[Population at risk, ArcSinh (0-10)]]*R$5*10</f>
        <v>0</v>
      </c>
      <c r="U698" s="253">
        <f>_xlfn.XLOOKUP(FMS_Ranking4[[#This Row],[FMS ID]],FMS_Input[FMS_ID],FMS_Input[CRITFAC100])</f>
        <v>0</v>
      </c>
      <c r="V698" s="259">
        <f>(ASINH(FMS_Ranking4[[#This Row],[Critical Facilities Raw]]))*(10)/(ASINH(U$4))</f>
        <v>0</v>
      </c>
      <c r="W698" s="256">
        <f>FMS_Ranking4[[#This Row],[Critical facilities at risk, ArcSinh (0-10)]]*U$5*10</f>
        <v>0</v>
      </c>
      <c r="X698" s="253">
        <f>_xlfn.XLOOKUP(FMS_Ranking4[[#This Row],[FMS ID]],FMS_Input[FMS_ID],FMS_Input[LWC])</f>
        <v>3</v>
      </c>
      <c r="Y698" s="259">
        <f>(ASINH(FMS_Ranking4[[#This Row],[LWC Raw]]))*(10)/(ASINH(X$4))</f>
        <v>2.4635181155638843</v>
      </c>
      <c r="Z698" s="256">
        <f>FMS_Ranking4[[#This Row],[LWC, ArcSInh (0-10)]]*X$5*10</f>
        <v>2.4635181155638843</v>
      </c>
      <c r="AA698" s="253">
        <f>_xlfn.XLOOKUP(FMS_Ranking4[[#This Row],[FMS ID]],FMS_Input[FMS_ID],FMS_Input[ROADCLS])</f>
        <v>0</v>
      </c>
      <c r="AB698" s="255">
        <f>(ASINH(FMS_Ranking4[[#This Row],[Road Closures Raw]]))*(10)/(ASINH(AA$4))</f>
        <v>0</v>
      </c>
      <c r="AC698" s="256">
        <f>FMS_Ranking4[[#This Row],[Road closures, ArcSinh (0-10)]]*AA$5*10</f>
        <v>0</v>
      </c>
      <c r="AD698" s="253">
        <f>_xlfn.XLOOKUP(FMS_Ranking4[[#This Row],[FMS ID]],FMS_Input[FMS_ID],FMS_Input[ROAD_MILES100])</f>
        <v>57</v>
      </c>
      <c r="AE698" s="259">
        <f>(ASINH(FMS_Ranking4[[#This Row],[Road Miles Raw]]))*(10)/(ASINH(AD$4))</f>
        <v>5.0475664975813634</v>
      </c>
      <c r="AF698" s="256">
        <f>FMS_Ranking4[[#This Row],[Length of roads at risk, ArcSinh (0-10)]]*AD$5*10</f>
        <v>5.0475664975813643</v>
      </c>
      <c r="AG698" s="253">
        <f>_xlfn.XLOOKUP(FMS_Ranking4[[#This Row],[FMS ID]],FMS_Input[FMS_ID],FMS_Input[FARMACRE100])</f>
        <v>0</v>
      </c>
      <c r="AH698" s="255">
        <f>(ASINH(FMS_Ranking4[[#This Row],[Ag Land Raw]]))*(10)/(ASINH(AG$4))</f>
        <v>0</v>
      </c>
      <c r="AI698" s="260">
        <f>FMS_Ranking4[[#This Row],[Farm &amp; ranch land, ArcSinh (0-10)]]*AG$5*10</f>
        <v>0</v>
      </c>
      <c r="AJ698" s="258">
        <f>_xlfn.XLOOKUP(FMS_Ranking4[[#This Row],[FMS ID]],FMS_Input[FMS_ID],FMS_Input[REDSTRUCT100])</f>
        <v>0</v>
      </c>
      <c r="AK698" s="253">
        <f>_xlfn.XLOOKUP(FMS_Ranking4[[#This Row],[FMS ID]],FMS_Input[FMS_ID],FMS_Input[REMSTRC100])</f>
        <v>0</v>
      </c>
      <c r="AL698" s="259">
        <f>(ASINH(FMS_Ranking4[[#This Row],[Structures Removed Raw]]))*(10)/(ASINH(AK$4))</f>
        <v>0</v>
      </c>
      <c r="AM698" s="262">
        <f>FMS_Ranking4[[#This Row],[Structures removed, ArcSinh (0-10)]]*AK$5*10</f>
        <v>0</v>
      </c>
      <c r="AN698" s="253">
        <f>_xlfn.XLOOKUP(FMS_Ranking4[[#This Row],[FMS ID]],FMS_Input[FMS_ID],FMS_Input[REMRESSTRC100])</f>
        <v>0</v>
      </c>
      <c r="AO698" s="261">
        <f>FMS_Ranking4[[#This Row],[ArcSinh Res struct removed 0-10]]*AN$5*10</f>
        <v>0</v>
      </c>
      <c r="AP698" s="260">
        <f>ASINH(FMS_Ranking4[[#This Row],[Residential Structures Removed Raw]])/AP$4*AN$5*100</f>
        <v>0</v>
      </c>
      <c r="AQ698" s="254">
        <f>(ASINH(FMS_Ranking4[[#This Row],[Residential Structures Removed Raw]]))*(10)/(ASINH(AN$4))</f>
        <v>0</v>
      </c>
      <c r="AR698" s="253">
        <f>_xlfn.XLOOKUP(FMS_Ranking4[[#This Row],[FMS ID]],FMS_Input[FMS_ID],FMS_Input[REMPOP100])</f>
        <v>0</v>
      </c>
      <c r="AS698" s="259">
        <f>(ASINH(FMS_Ranking4[[#This Row],[Removed Pop Raw]]))*(10)/(ASINH(AR$4))</f>
        <v>0</v>
      </c>
      <c r="AT698" s="262">
        <f>FMS_Ranking4[[#This Row],[Removed population, ArcSinh (0-10)]]*AR$5*10</f>
        <v>0</v>
      </c>
      <c r="AU698" s="264">
        <f>_xlfn.XLOOKUP(FMS_Ranking4[[#This Row],[FMS ID]],FMS_Input[FMS_ID],FMS_Input[REMCRITFAC100])</f>
        <v>0</v>
      </c>
      <c r="AV698" s="264">
        <f>_xlfn.XLOOKUP(FMS_Ranking4[[#This Row],[FMS ID]],FMS_Input[FMS_ID],FMS_Input[REMLWC100])</f>
        <v>0</v>
      </c>
      <c r="AW698" s="264">
        <f>_xlfn.XLOOKUP(FMS_Ranking4[[#This Row],[FMS ID]],FMS_Input[FMS_ID],FMS_Input[REMROADCLS])</f>
        <v>0</v>
      </c>
      <c r="AX698" s="264">
        <f>_xlfn.XLOOKUP(FMS_Ranking4[[#This Row],[FMS ID]],FMS_Input[FMS_ID],FMS_Input[REMFRMACRE100])</f>
        <v>0</v>
      </c>
      <c r="AY698" s="258">
        <f>_xlfn.XLOOKUP(FMS_Ranking4[[#This Row],[FMS ID]],FMS_Input[FMS_ID],FMS_Input[COSTSTRUCT])</f>
        <v>0</v>
      </c>
      <c r="AZ698" s="253">
        <f>_xlfn.XLOOKUP(FMS_Ranking4[[#This Row],[FMS ID]],FMS_Input[FMS_ID],FMS_Input[NATURE])</f>
        <v>0</v>
      </c>
      <c r="BA698" s="262">
        <f>(((FMS_Ranking4[[#This Row],[% NBS Raw]]/AZ$4)*100)*AZ$5)</f>
        <v>0</v>
      </c>
      <c r="BB698" s="251" t="str">
        <f>_xlfn.XLOOKUP(FMS_Ranking4[[#This Row],[FMS ID]],FMS_Input[FMS_ID],FMS_Input[WATER_SUP])</f>
        <v>No</v>
      </c>
      <c r="BC698" s="265">
        <f>IF(FMS_Ranking4[[#This Row],[Water Supply Raw]]="Yes",10,0)</f>
        <v>0</v>
      </c>
      <c r="BD698" s="266">
        <f>_xlfn.XLOOKUP(FMS_Ranking4[[#This Row],[FMS Type]],FMS_TYPE[FMS_Type],FMS_TYPE[Score])</f>
        <v>8</v>
      </c>
      <c r="BE698" s="267">
        <f>FMS_Ranking4[[#This Row],[FMS_Type Score]]*$BD$5*10</f>
        <v>2</v>
      </c>
      <c r="BF69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0.13325492056202431</v>
      </c>
      <c r="BG698" s="271">
        <f>_xlfn.RANK.EQ(BF698,$BF$8:$BF$870,0)+COUNTIF($BF$8:BF698,BF698)-1</f>
        <v>432</v>
      </c>
      <c r="BH698" s="268">
        <f>(((FMS_Ranking4[[#This Row],[Structures Removed Raw]]/AK$4)*100)*AK$5)+(((FMS_Ranking4[[#This Row],[Removed Pop Raw]]/AR$4)*100)*AR$5)</f>
        <v>0</v>
      </c>
      <c r="BI69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2.1332549205620244</v>
      </c>
      <c r="BJ698" s="205">
        <f>_xlfn.RANK.EQ(FMS_Ranking4[[#This Row],[Total Score 
(with linear
normalization)]],FMS_Ranking4[Total Score 
(with linear
normalization)],0)</f>
        <v>349</v>
      </c>
      <c r="BK698" s="205" t="e">
        <f>_xlfn.XLOOKUP(FMS_Ranking4[[#This Row],[FMS ID]],#REF!,#REF!)</f>
        <v>#REF!</v>
      </c>
      <c r="BL69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7.5110846131452487</v>
      </c>
      <c r="BM698" s="272">
        <f>FMS_Ranking4[[#This Row],[ArcSinh Score Based on Normalized Reported Factors]]+FMS_Ranking4[[#This Row],[% NBS Score (Normalized)]]+(FMS_Ranking4[[#This Row],[Water Supply Score (Normalized)]]*10*$BB$5)+FMS_Ranking4[[#This Row],[FMS_Type Score Weighted]]</f>
        <v>9.5110846131452487</v>
      </c>
      <c r="BN698" s="205">
        <f>_xlfn.RANK.EQ(FMS_Ranking4[[#This Row],[Total Score (with ArcSinh normalization of select criteria)]],FMS_Ranking4[Total Score (with ArcSinh normalization of select criteria)],0)</f>
        <v>691</v>
      </c>
      <c r="BO698" s="270" t="str">
        <f>_xlfn.XLOOKUP(FMS_Ranking4[[#This Row],[FMS ID]],FMS_Input[FMS_ID],FMS_Input[FMS_RANK_YEAR])</f>
        <v>2023 Amended Plan</v>
      </c>
      <c r="BP698" s="204">
        <f>_xlfn.XLOOKUP(FMS_Ranking4[[#This Row],[FMS ID]],Prev_Rank[FMS ID],Prev_Rank[Prev Rank])</f>
        <v>623</v>
      </c>
      <c r="BQ698" s="205" t="e">
        <f>_xlfn.XLOOKUP(FMS_Ranking4[[#This Row],[FMS ID]],#REF!,#REF!)</f>
        <v>#REF!</v>
      </c>
      <c r="BR698" s="199" t="e">
        <f>SUM(#REF!,#REF!,#REF!,#REF!,#REF!,#REF!,#REF!,#REF!,#REF!,FMS_Ranking4[[#This Row],[ArcSinh Res struct removed 0-10]],#REF!)</f>
        <v>#REF!</v>
      </c>
      <c r="BS698" s="199" t="e">
        <f>FMS_Ranking4[[#This Row],[Log Score Based on Normalized Reported Factors]]+FMS_Ranking4[[#This Row],[% NBS Score (Normalized)]]+(FMS_Ranking4[[#This Row],[Water Supply Score (Normalized)]]*10*$BB$5)+(FMS_Ranking4[[#This Row],[FMS_Type Score Weighted]])</f>
        <v>#REF!</v>
      </c>
      <c r="BT698" s="200" t="e">
        <f>_xlfn.RANK.EQ(FMS_Ranking4[[#This Row],[Log Total Score]],FMS_Ranking4[Log Total Score],0)</f>
        <v>#REF!</v>
      </c>
      <c r="BU698" s="200" t="e">
        <f>_xlfn.XLOOKUP(FMS_Ranking4[[#This Row],[FMS ID]],#REF!,#REF!)</f>
        <v>#REF!</v>
      </c>
      <c r="BV698" s="200">
        <f>FMS_Ranking4[[#This Row],[Region Number]]</f>
        <v>3</v>
      </c>
      <c r="BW698" s="200">
        <f>FMS_Ranking4[[#This Row],[Rank (with ArcSinh normalization of select criteria)]]-FMS_Ranking4[[#This Row],[Rank
(with linear
normalization)]]</f>
        <v>342</v>
      </c>
      <c r="BX698" s="200" t="e">
        <f>FMS_Ranking4[[#This Row],[Log Rank]]-FMS_Ranking4[[#This Row],[Rank
(with linear
normalization)]]</f>
        <v>#REF!</v>
      </c>
      <c r="BY698" s="200" t="str">
        <f>IF(FMS_Ranking4[[#This Row],[FMS Type]]="Flood Measurement and Warning",FMS_Ranking4[[#This Row],[Rank (with ArcSinh normalization of select criteria)]],"")</f>
        <v/>
      </c>
      <c r="BZ698" s="200">
        <f>IF(FMS_Ranking4[[#This Row],[FMS Type]]="Regulatory and Guidance",FMS_Ranking4[[#This Row],[Rank (with ArcSinh normalization of select criteria)]],"")</f>
        <v>691</v>
      </c>
      <c r="CA698" s="200" t="str">
        <f>IF(FMS_Ranking4[[#This Row],[FMS Type]]="Education and Outreach",FMS_Ranking4[[#This Row],[Rank (with ArcSinh normalization of select criteria)]],"")</f>
        <v/>
      </c>
      <c r="CB698" s="200" t="str">
        <f>IF(FMS_Ranking4[[#This Row],[FMS Type]]="Property Acquisition and Structural Elevation",FMS_Ranking4[[#This Row],[Rank (with ArcSinh normalization of select criteria)]],"")</f>
        <v/>
      </c>
      <c r="CC698" s="200" t="str">
        <f>IF(FMS_Ranking4[[#This Row],[FMS Type]]="Infrastructure Projects",FMS_Ranking4[[#This Row],[Rank (with ArcSinh normalization of select criteria)]],"")</f>
        <v/>
      </c>
      <c r="CD698" s="200" t="str">
        <f>IF(FMS_Ranking4[[#This Row],[FMS Type]]="Other",FMS_Ranking4[[#This Row],[Rank (with ArcSinh normalization of select criteria)]],"")</f>
        <v/>
      </c>
      <c r="CE698" s="201"/>
      <c r="CF698" s="206"/>
      <c r="CG698" s="206"/>
      <c r="CH698" s="206"/>
      <c r="CI698" s="206"/>
      <c r="CJ698" s="206"/>
      <c r="CK698" s="206"/>
      <c r="CL698" s="206"/>
      <c r="CM698" s="206"/>
      <c r="CN698" s="206"/>
      <c r="CO698" s="206"/>
      <c r="CP698" s="206"/>
      <c r="CQ698" s="206"/>
      <c r="CR698" s="206"/>
    </row>
    <row r="699" spans="2:96" ht="75" x14ac:dyDescent="0.25">
      <c r="B699" s="341" t="s">
        <v>3061</v>
      </c>
      <c r="C699" s="246">
        <f>_xlfn.XLOOKUP(FMS_Ranking4[[#This Row],[FMS ID]],FMS_Input[FMS_ID],FMS_Input[RFPG_NUM])</f>
        <v>7</v>
      </c>
      <c r="D699" s="309" t="str">
        <f>_xlfn.XLOOKUP(FMS_Ranking4[[#This Row],[FMS ID]],FMS_Input[FMS_ID],FMS_Input[FMS_NAME])</f>
        <v>City of Sweetwater Turn Around, Don't Drown</v>
      </c>
      <c r="E699" s="308" t="str">
        <f>_xlfn.XLOOKUP(FMS_Ranking4[[#This Row],[FMS ID]],FMS_Input[FMS_ID],FMS_Input[SPONSOR])</f>
        <v>07002583</v>
      </c>
      <c r="F699" s="309" t="str">
        <f>_xlfn.XLOOKUP(FMS_Ranking4[[#This Row],[FMS ID]],Sponsor[FMS_ID],Sponsor[SPONSOR NAME])</f>
        <v>Sweetwater</v>
      </c>
      <c r="G699" s="309" t="str">
        <f>_xlfn.XLOOKUP(FMS_Ranking4[[#This Row],[FMS ID]],FMS_Input[FMS_ID],FMS_Input[FMS_DESCR])</f>
        <v>Encourage annual public outreach and education activities to improve awareness of flood hazards using Turn Around, Don't Drown program</v>
      </c>
      <c r="H699" s="248" t="str">
        <f>_xlfn.XLOOKUP(FMS_Ranking4[[#This Row],[FMS ID]],FMS_Input[FMS_ID],FMS_Input[FMS_TYPE])</f>
        <v>Education and Outreach</v>
      </c>
      <c r="I699" s="249">
        <f>_xlfn.XLOOKUP(FMS_Ranking4[[#This Row],[FMS ID]],FMS_Input[FMS_ID],FMS_Input[NRNC_COST])</f>
        <v>50000</v>
      </c>
      <c r="J699" s="250">
        <f>_xlfn.XLOOKUP(FMS_Ranking4[[#This Row],[FMS ID]],FMS_Input[FMS_ID],FMS_Input[FMS_COST])</f>
        <v>50000</v>
      </c>
      <c r="K699" s="251" t="str">
        <f>_xlfn.XLOOKUP(FMS_Ranking4[[#This Row],[FMS ID]],FMS_Input[FMS_ID],FMS_Input[EMER_NEED])</f>
        <v>No</v>
      </c>
      <c r="L699" s="252">
        <f t="shared" si="10"/>
        <v>0</v>
      </c>
      <c r="M699" s="253">
        <f>_xlfn.XLOOKUP(FMS_Ranking4[[#This Row],[FMS ID]],FMS_Input[FMS_ID],FMS_Input[STRUCT_100])</f>
        <v>8</v>
      </c>
      <c r="N699" s="255">
        <f>(ASINH(FMS_Ranking4[[#This Row],[Structure at Risk Raw]]))*(10)/(ASINH(M$4))</f>
        <v>2.1827206114662263</v>
      </c>
      <c r="O699" s="256">
        <f>FMS_Ranking4[[#This Row],[Structures at risk, ArcSinh (0-10)]]*M$5*10</f>
        <v>2.1827206114662263</v>
      </c>
      <c r="P699" s="253">
        <f>_xlfn.XLOOKUP(FMS_Ranking4[[#This Row],[FMS ID]],FMS_Input[FMS_ID],FMS_Input[RES_STRUCT100])</f>
        <v>5</v>
      </c>
      <c r="Q699" s="257">
        <f>ASINH(FMS_Ranking4[[#This Row],[Res Structure Raw]])/Q$4*P$5*100</f>
        <v>0</v>
      </c>
      <c r="R699" s="253">
        <f>_xlfn.XLOOKUP(FMS_Ranking4[[#This Row],[FMS ID]],FMS_Input[FMS_ID],FMS_Input[POP100])</f>
        <v>4</v>
      </c>
      <c r="S699" s="259">
        <f>(ASINH(FMS_Ranking4[[#This Row],[Pop at Risk Raw]]))*(10)/(ASINH(R$4))</f>
        <v>1.4461020212053632</v>
      </c>
      <c r="T699" s="256">
        <f>FMS_Ranking4[[#This Row],[Population at risk, ArcSinh (0-10)]]*R$5*10</f>
        <v>1.4461020212053632</v>
      </c>
      <c r="U699" s="253">
        <f>_xlfn.XLOOKUP(FMS_Ranking4[[#This Row],[FMS ID]],FMS_Input[FMS_ID],FMS_Input[CRITFAC100])</f>
        <v>0</v>
      </c>
      <c r="V699" s="259">
        <f>(ASINH(FMS_Ranking4[[#This Row],[Critical Facilities Raw]]))*(10)/(ASINH(U$4))</f>
        <v>0</v>
      </c>
      <c r="W699" s="256">
        <f>FMS_Ranking4[[#This Row],[Critical facilities at risk, ArcSinh (0-10)]]*U$5*10</f>
        <v>0</v>
      </c>
      <c r="X699" s="253">
        <f>_xlfn.XLOOKUP(FMS_Ranking4[[#This Row],[FMS ID]],FMS_Input[FMS_ID],FMS_Input[LWC])</f>
        <v>4</v>
      </c>
      <c r="Y699" s="259">
        <f>(ASINH(FMS_Ranking4[[#This Row],[LWC Raw]]))*(10)/(ASINH(X$4))</f>
        <v>2.8377862217928165</v>
      </c>
      <c r="Z699" s="256">
        <f>FMS_Ranking4[[#This Row],[LWC, ArcSInh (0-10)]]*X$5*10</f>
        <v>2.8377862217928169</v>
      </c>
      <c r="AA699" s="253">
        <f>_xlfn.XLOOKUP(FMS_Ranking4[[#This Row],[FMS ID]],FMS_Input[FMS_ID],FMS_Input[ROADCLS])</f>
        <v>0</v>
      </c>
      <c r="AB699" s="255">
        <f>(ASINH(FMS_Ranking4[[#This Row],[Road Closures Raw]]))*(10)/(ASINH(AA$4))</f>
        <v>0</v>
      </c>
      <c r="AC699" s="256">
        <f>FMS_Ranking4[[#This Row],[Road closures, ArcSinh (0-10)]]*AA$5*10</f>
        <v>0</v>
      </c>
      <c r="AD699" s="253">
        <f>_xlfn.XLOOKUP(FMS_Ranking4[[#This Row],[FMS ID]],FMS_Input[FMS_ID],FMS_Input[ROAD_MILES100])</f>
        <v>2</v>
      </c>
      <c r="AE699" s="259">
        <f>(ASINH(FMS_Ranking4[[#This Row],[Road Miles Raw]]))*(10)/(ASINH(AD$4))</f>
        <v>1.5385182374234352</v>
      </c>
      <c r="AF699" s="256">
        <f>FMS_Ranking4[[#This Row],[Length of roads at risk, ArcSinh (0-10)]]*AD$5*10</f>
        <v>1.5385182374234352</v>
      </c>
      <c r="AG699" s="253">
        <f>_xlfn.XLOOKUP(FMS_Ranking4[[#This Row],[FMS ID]],FMS_Input[FMS_ID],FMS_Input[FARMACRE100])</f>
        <v>0</v>
      </c>
      <c r="AH699" s="255">
        <f>(ASINH(FMS_Ranking4[[#This Row],[Ag Land Raw]]))*(10)/(ASINH(AG$4))</f>
        <v>0</v>
      </c>
      <c r="AI699" s="260">
        <f>FMS_Ranking4[[#This Row],[Farm &amp; ranch land, ArcSinh (0-10)]]*AG$5*10</f>
        <v>0</v>
      </c>
      <c r="AJ699" s="258">
        <f>_xlfn.XLOOKUP(FMS_Ranking4[[#This Row],[FMS ID]],FMS_Input[FMS_ID],FMS_Input[REDSTRUCT100])</f>
        <v>0</v>
      </c>
      <c r="AK699" s="253">
        <f>_xlfn.XLOOKUP(FMS_Ranking4[[#This Row],[FMS ID]],FMS_Input[FMS_ID],FMS_Input[REMSTRC100])</f>
        <v>0</v>
      </c>
      <c r="AL699" s="259">
        <f>(ASINH(FMS_Ranking4[[#This Row],[Structures Removed Raw]]))*(10)/(ASINH(AK$4))</f>
        <v>0</v>
      </c>
      <c r="AM699" s="262">
        <f>FMS_Ranking4[[#This Row],[Structures removed, ArcSinh (0-10)]]*AK$5*10</f>
        <v>0</v>
      </c>
      <c r="AN699" s="253">
        <f>_xlfn.XLOOKUP(FMS_Ranking4[[#This Row],[FMS ID]],FMS_Input[FMS_ID],FMS_Input[REMRESSTRC100])</f>
        <v>0</v>
      </c>
      <c r="AO699" s="261">
        <f>FMS_Ranking4[[#This Row],[ArcSinh Res struct removed 0-10]]*AN$5*10</f>
        <v>0</v>
      </c>
      <c r="AP699" s="260">
        <f>ASINH(FMS_Ranking4[[#This Row],[Residential Structures Removed Raw]])/AP$4*AN$5*100</f>
        <v>0</v>
      </c>
      <c r="AQ699" s="254">
        <f>(ASINH(FMS_Ranking4[[#This Row],[Residential Structures Removed Raw]]))*(10)/(ASINH(AN$4))</f>
        <v>0</v>
      </c>
      <c r="AR699" s="253">
        <f>_xlfn.XLOOKUP(FMS_Ranking4[[#This Row],[FMS ID]],FMS_Input[FMS_ID],FMS_Input[REMPOP100])</f>
        <v>0</v>
      </c>
      <c r="AS699" s="259">
        <f>(ASINH(FMS_Ranking4[[#This Row],[Removed Pop Raw]]))*(10)/(ASINH(AR$4))</f>
        <v>0</v>
      </c>
      <c r="AT699" s="262">
        <f>FMS_Ranking4[[#This Row],[Removed population, ArcSinh (0-10)]]*AR$5*10</f>
        <v>0</v>
      </c>
      <c r="AU699" s="264">
        <f>_xlfn.XLOOKUP(FMS_Ranking4[[#This Row],[FMS ID]],FMS_Input[FMS_ID],FMS_Input[REMCRITFAC100])</f>
        <v>0</v>
      </c>
      <c r="AV699" s="264">
        <f>_xlfn.XLOOKUP(FMS_Ranking4[[#This Row],[FMS ID]],FMS_Input[FMS_ID],FMS_Input[REMLWC100])</f>
        <v>0</v>
      </c>
      <c r="AW699" s="264">
        <f>_xlfn.XLOOKUP(FMS_Ranking4[[#This Row],[FMS ID]],FMS_Input[FMS_ID],FMS_Input[REMROADCLS])</f>
        <v>0</v>
      </c>
      <c r="AX699" s="264">
        <f>_xlfn.XLOOKUP(FMS_Ranking4[[#This Row],[FMS ID]],FMS_Input[FMS_ID],FMS_Input[REMFRMACRE100])</f>
        <v>0</v>
      </c>
      <c r="AY699" s="258">
        <f>_xlfn.XLOOKUP(FMS_Ranking4[[#This Row],[FMS ID]],FMS_Input[FMS_ID],FMS_Input[COSTSTRUCT])</f>
        <v>0</v>
      </c>
      <c r="AZ699" s="253">
        <f>_xlfn.XLOOKUP(FMS_Ranking4[[#This Row],[FMS ID]],FMS_Input[FMS_ID],FMS_Input[NATURE])</f>
        <v>0</v>
      </c>
      <c r="BA699" s="262">
        <f>(((FMS_Ranking4[[#This Row],[% NBS Raw]]/AZ$4)*100)*AZ$5)</f>
        <v>0</v>
      </c>
      <c r="BB699" s="251" t="str">
        <f>_xlfn.XLOOKUP(FMS_Ranking4[[#This Row],[FMS ID]],FMS_Input[FMS_ID],FMS_Input[WATER_SUP])</f>
        <v>No</v>
      </c>
      <c r="BC699" s="265">
        <f>IF(FMS_Ranking4[[#This Row],[Water Supply Raw]]="Yes",10,0)</f>
        <v>0</v>
      </c>
      <c r="BD699" s="266">
        <f>_xlfn.XLOOKUP(FMS_Ranking4[[#This Row],[FMS Type]],FMS_TYPE[FMS_Type],FMS_TYPE[Score])</f>
        <v>6</v>
      </c>
      <c r="BE699" s="267">
        <f>FMS_Ranking4[[#This Row],[FMS_Type Score]]*$BD$5*10</f>
        <v>1.5000000000000002</v>
      </c>
      <c r="BF69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5.3697286306997077E-2</v>
      </c>
      <c r="BG699" s="271">
        <f>_xlfn.RANK.EQ(BF699,$BF$8:$BF$870,0)+COUNTIF($BF$8:BF699,BF699)-1</f>
        <v>548</v>
      </c>
      <c r="BH699" s="268">
        <f>(((FMS_Ranking4[[#This Row],[Structures Removed Raw]]/AK$4)*100)*AK$5)+(((FMS_Ranking4[[#This Row],[Removed Pop Raw]]/AR$4)*100)*AR$5)</f>
        <v>0</v>
      </c>
      <c r="BI69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1.5536972863069973</v>
      </c>
      <c r="BJ699" s="205">
        <f>_xlfn.RANK.EQ(FMS_Ranking4[[#This Row],[Total Score 
(with linear
normalization)]],FMS_Ranking4[Total Score 
(with linear
normalization)],0)</f>
        <v>578</v>
      </c>
      <c r="BK699" s="205" t="e">
        <f>_xlfn.XLOOKUP(FMS_Ranking4[[#This Row],[FMS ID]],#REF!,#REF!)</f>
        <v>#REF!</v>
      </c>
      <c r="BL69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8.0051270918878412</v>
      </c>
      <c r="BM699" s="272">
        <f>FMS_Ranking4[[#This Row],[ArcSinh Score Based on Normalized Reported Factors]]+FMS_Ranking4[[#This Row],[% NBS Score (Normalized)]]+(FMS_Ranking4[[#This Row],[Water Supply Score (Normalized)]]*10*$BB$5)+FMS_Ranking4[[#This Row],[FMS_Type Score Weighted]]</f>
        <v>9.5051270918878412</v>
      </c>
      <c r="BN699" s="205">
        <f>_xlfn.RANK.EQ(FMS_Ranking4[[#This Row],[Total Score (with ArcSinh normalization of select criteria)]],FMS_Ranking4[Total Score (with ArcSinh normalization of select criteria)],0)</f>
        <v>692</v>
      </c>
      <c r="BO699" s="270" t="str">
        <f>_xlfn.XLOOKUP(FMS_Ranking4[[#This Row],[FMS ID]],FMS_Input[FMS_ID],FMS_Input[FMS_RANK_YEAR])</f>
        <v>2023 Amended Plan</v>
      </c>
      <c r="BP699" s="204">
        <f>_xlfn.XLOOKUP(FMS_Ranking4[[#This Row],[FMS ID]],Prev_Rank[FMS ID],Prev_Rank[Prev Rank])</f>
        <v>622</v>
      </c>
      <c r="BQ699" s="205" t="e">
        <f>_xlfn.XLOOKUP(FMS_Ranking4[[#This Row],[FMS ID]],#REF!,#REF!)</f>
        <v>#REF!</v>
      </c>
      <c r="BR699" s="199" t="e">
        <f>SUM(#REF!,#REF!,#REF!,#REF!,#REF!,#REF!,#REF!,#REF!,#REF!,FMS_Ranking4[[#This Row],[ArcSinh Res struct removed 0-10]],#REF!)</f>
        <v>#REF!</v>
      </c>
      <c r="BS699" s="199" t="e">
        <f>FMS_Ranking4[[#This Row],[Log Score Based on Normalized Reported Factors]]+FMS_Ranking4[[#This Row],[% NBS Score (Normalized)]]+(FMS_Ranking4[[#This Row],[Water Supply Score (Normalized)]]*10*$BB$5)+(FMS_Ranking4[[#This Row],[FMS_Type Score Weighted]])</f>
        <v>#REF!</v>
      </c>
      <c r="BT699" s="200" t="e">
        <f>_xlfn.RANK.EQ(FMS_Ranking4[[#This Row],[Log Total Score]],FMS_Ranking4[Log Total Score],0)</f>
        <v>#REF!</v>
      </c>
      <c r="BU699" s="200" t="e">
        <f>_xlfn.XLOOKUP(FMS_Ranking4[[#This Row],[FMS ID]],#REF!,#REF!)</f>
        <v>#REF!</v>
      </c>
      <c r="BV699" s="200">
        <f>FMS_Ranking4[[#This Row],[Region Number]]</f>
        <v>7</v>
      </c>
      <c r="BW699" s="200">
        <f>FMS_Ranking4[[#This Row],[Rank (with ArcSinh normalization of select criteria)]]-FMS_Ranking4[[#This Row],[Rank
(with linear
normalization)]]</f>
        <v>114</v>
      </c>
      <c r="BX699" s="200" t="e">
        <f>FMS_Ranking4[[#This Row],[Log Rank]]-FMS_Ranking4[[#This Row],[Rank
(with linear
normalization)]]</f>
        <v>#REF!</v>
      </c>
      <c r="BY699" s="200" t="str">
        <f>IF(FMS_Ranking4[[#This Row],[FMS Type]]="Flood Measurement and Warning",FMS_Ranking4[[#This Row],[Rank (with ArcSinh normalization of select criteria)]],"")</f>
        <v/>
      </c>
      <c r="BZ699" s="200" t="str">
        <f>IF(FMS_Ranking4[[#This Row],[FMS Type]]="Regulatory and Guidance",FMS_Ranking4[[#This Row],[Rank (with ArcSinh normalization of select criteria)]],"")</f>
        <v/>
      </c>
      <c r="CA699" s="200">
        <f>IF(FMS_Ranking4[[#This Row],[FMS Type]]="Education and Outreach",FMS_Ranking4[[#This Row],[Rank (with ArcSinh normalization of select criteria)]],"")</f>
        <v>692</v>
      </c>
      <c r="CB699" s="200" t="str">
        <f>IF(FMS_Ranking4[[#This Row],[FMS Type]]="Property Acquisition and Structural Elevation",FMS_Ranking4[[#This Row],[Rank (with ArcSinh normalization of select criteria)]],"")</f>
        <v/>
      </c>
      <c r="CC699" s="200" t="str">
        <f>IF(FMS_Ranking4[[#This Row],[FMS Type]]="Infrastructure Projects",FMS_Ranking4[[#This Row],[Rank (with ArcSinh normalization of select criteria)]],"")</f>
        <v/>
      </c>
      <c r="CD699" s="200" t="str">
        <f>IF(FMS_Ranking4[[#This Row],[FMS Type]]="Other",FMS_Ranking4[[#This Row],[Rank (with ArcSinh normalization of select criteria)]],"")</f>
        <v/>
      </c>
      <c r="CE699" s="201"/>
      <c r="CF699" s="206"/>
      <c r="CG699" s="206"/>
      <c r="CH699" s="206"/>
      <c r="CI699" s="206"/>
      <c r="CJ699" s="206"/>
      <c r="CK699" s="206"/>
      <c r="CL699" s="206"/>
      <c r="CM699" s="206"/>
      <c r="CN699" s="206"/>
      <c r="CO699" s="206"/>
      <c r="CP699" s="206"/>
      <c r="CQ699" s="206"/>
      <c r="CR699" s="206"/>
    </row>
    <row r="700" spans="2:96" ht="105" x14ac:dyDescent="0.25">
      <c r="B700" s="341" t="s">
        <v>2844</v>
      </c>
      <c r="C700" s="246">
        <f>_xlfn.XLOOKUP(FMS_Ranking4[[#This Row],[FMS ID]],FMS_Input[FMS_ID],FMS_Input[RFPG_NUM])</f>
        <v>5</v>
      </c>
      <c r="D700" s="309" t="str">
        <f>_xlfn.XLOOKUP(FMS_Ranking4[[#This Row],[FMS ID]],FMS_Input[FMS_ID],FMS_Input[FMS_NAME])</f>
        <v>City of San Augustine and City of Broaddus County Facilities Hazard Hardening Retrofit</v>
      </c>
      <c r="E700" s="308" t="str">
        <f>_xlfn.XLOOKUP(FMS_Ranking4[[#This Row],[FMS ID]],FMS_Input[FMS_ID],FMS_Input[SPONSOR])</f>
        <v>05003487</v>
      </c>
      <c r="F700" s="309" t="str">
        <f>_xlfn.XLOOKUP(FMS_Ranking4[[#This Row],[FMS ID]],Sponsor[FMS_ID],Sponsor[SPONSOR NAME])</f>
        <v>San Augustine</v>
      </c>
      <c r="G700" s="309" t="str">
        <f>_xlfn.XLOOKUP(FMS_Ranking4[[#This Row],[FMS ID]],FMS_Input[FMS_ID],FMS_Input[FMS_DESCR])</f>
        <v>Construct flood protection, winter storm-hardening, and expansive soils mitigation projects for water distribution networks and wastewater facilities for Cities of Broaddus and San Augustine.</v>
      </c>
      <c r="H700" s="248" t="str">
        <f>_xlfn.XLOOKUP(FMS_Ranking4[[#This Row],[FMS ID]],FMS_Input[FMS_ID],FMS_Input[FMS_TYPE])</f>
        <v>Infrastructure Projects</v>
      </c>
      <c r="I700" s="249">
        <f>_xlfn.XLOOKUP(FMS_Ranking4[[#This Row],[FMS ID]],FMS_Input[FMS_ID],FMS_Input[NRNC_COST])</f>
        <v>100000</v>
      </c>
      <c r="J700" s="250">
        <f>_xlfn.XLOOKUP(FMS_Ranking4[[#This Row],[FMS ID]],FMS_Input[FMS_ID],FMS_Input[FMS_COST])</f>
        <v>1000000</v>
      </c>
      <c r="K700" s="251" t="str">
        <f>_xlfn.XLOOKUP(FMS_Ranking4[[#This Row],[FMS ID]],FMS_Input[FMS_ID],FMS_Input[EMER_NEED])</f>
        <v>Yes</v>
      </c>
      <c r="L700" s="252">
        <f t="shared" si="10"/>
        <v>1</v>
      </c>
      <c r="M700" s="253">
        <f>_xlfn.XLOOKUP(FMS_Ranking4[[#This Row],[FMS ID]],FMS_Input[FMS_ID],FMS_Input[STRUCT_100])</f>
        <v>34</v>
      </c>
      <c r="N700" s="255">
        <f>(ASINH(FMS_Ranking4[[#This Row],[Structure at Risk Raw]]))*(10)/(ASINH(M$4))</f>
        <v>3.3173312735282243</v>
      </c>
      <c r="O700" s="256">
        <f>FMS_Ranking4[[#This Row],[Structures at risk, ArcSinh (0-10)]]*M$5*10</f>
        <v>3.3173312735282243</v>
      </c>
      <c r="P700" s="253">
        <f>_xlfn.XLOOKUP(FMS_Ranking4[[#This Row],[FMS ID]],FMS_Input[FMS_ID],FMS_Input[RES_STRUCT100])</f>
        <v>17</v>
      </c>
      <c r="Q700" s="257">
        <f>ASINH(FMS_Ranking4[[#This Row],[Res Structure Raw]])/Q$4*P$5*100</f>
        <v>0</v>
      </c>
      <c r="R700" s="253">
        <f>_xlfn.XLOOKUP(FMS_Ranking4[[#This Row],[FMS ID]],FMS_Input[FMS_ID],FMS_Input[POP100])</f>
        <v>114</v>
      </c>
      <c r="S700" s="255">
        <f>(ASINH(FMS_Ranking4[[#This Row],[Pop at Risk Raw]]))*(10)/(ASINH(R$4))</f>
        <v>3.748206652760314</v>
      </c>
      <c r="T700" s="256">
        <f>FMS_Ranking4[[#This Row],[Population at risk, ArcSinh (0-10)]]*R$5*10</f>
        <v>3.748206652760314</v>
      </c>
      <c r="U700" s="253">
        <f>_xlfn.XLOOKUP(FMS_Ranking4[[#This Row],[FMS ID]],FMS_Input[FMS_ID],FMS_Input[CRITFAC100])</f>
        <v>0</v>
      </c>
      <c r="V700" s="255">
        <f>(ASINH(FMS_Ranking4[[#This Row],[Critical Facilities Raw]]))*(10)/(ASINH(U$4))</f>
        <v>0</v>
      </c>
      <c r="W700" s="256">
        <f>FMS_Ranking4[[#This Row],[Critical facilities at risk, ArcSinh (0-10)]]*U$5*10</f>
        <v>0</v>
      </c>
      <c r="X700" s="253">
        <f>_xlfn.XLOOKUP(FMS_Ranking4[[#This Row],[FMS ID]],FMS_Input[FMS_ID],FMS_Input[LWC])</f>
        <v>0</v>
      </c>
      <c r="Y700" s="255">
        <f>(ASINH(FMS_Ranking4[[#This Row],[LWC Raw]]))*(10)/(ASINH(X$4))</f>
        <v>0</v>
      </c>
      <c r="Z700" s="256">
        <f>FMS_Ranking4[[#This Row],[LWC, ArcSInh (0-10)]]*X$5*10</f>
        <v>0</v>
      </c>
      <c r="AA700" s="253">
        <f>_xlfn.XLOOKUP(FMS_Ranking4[[#This Row],[FMS ID]],FMS_Input[FMS_ID],FMS_Input[ROADCLS])</f>
        <v>0</v>
      </c>
      <c r="AB700" s="255">
        <f>(ASINH(FMS_Ranking4[[#This Row],[Road Closures Raw]]))*(10)/(ASINH(AA$4))</f>
        <v>0</v>
      </c>
      <c r="AC700" s="256">
        <f>FMS_Ranking4[[#This Row],[Road closures, ArcSinh (0-10)]]*AA$5*10</f>
        <v>0</v>
      </c>
      <c r="AD700" s="253">
        <f>_xlfn.XLOOKUP(FMS_Ranking4[[#This Row],[FMS ID]],FMS_Input[FMS_ID],FMS_Input[ROAD_MILES100])</f>
        <v>1</v>
      </c>
      <c r="AE700" s="255">
        <f>(ASINH(FMS_Ranking4[[#This Row],[Road Miles Raw]]))*(10)/(ASINH(AD$4))</f>
        <v>0.9393017565219649</v>
      </c>
      <c r="AF700" s="256">
        <f>FMS_Ranking4[[#This Row],[Length of roads at risk, ArcSinh (0-10)]]*AD$5*10</f>
        <v>0.93930175652196501</v>
      </c>
      <c r="AG700" s="253">
        <f>_xlfn.XLOOKUP(FMS_Ranking4[[#This Row],[FMS ID]],FMS_Input[FMS_ID],FMS_Input[FARMACRE100])</f>
        <v>1.999566316604614</v>
      </c>
      <c r="AH700" s="255">
        <f>(ASINH(FMS_Ranking4[[#This Row],[Ag Land Raw]]))*(10)/(ASINH(AG$4))</f>
        <v>0.93763285644565064</v>
      </c>
      <c r="AI700" s="260">
        <f>FMS_Ranking4[[#This Row],[Farm &amp; ranch land, ArcSinh (0-10)]]*AG$5*10</f>
        <v>0.46881642822282532</v>
      </c>
      <c r="AJ700" s="258">
        <f>_xlfn.XLOOKUP(FMS_Ranking4[[#This Row],[FMS ID]],FMS_Input[FMS_ID],FMS_Input[REDSTRUCT100])</f>
        <v>0</v>
      </c>
      <c r="AK700" s="253">
        <f>_xlfn.XLOOKUP(FMS_Ranking4[[#This Row],[FMS ID]],FMS_Input[FMS_ID],FMS_Input[REMSTRC100])</f>
        <v>0</v>
      </c>
      <c r="AL700" s="255">
        <f>(ASINH(FMS_Ranking4[[#This Row],[Structures Removed Raw]]))*(10)/(ASINH(AK$4))</f>
        <v>0</v>
      </c>
      <c r="AM700" s="262">
        <f>FMS_Ranking4[[#This Row],[Structures removed, ArcSinh (0-10)]]*AK$5*10</f>
        <v>0</v>
      </c>
      <c r="AN700" s="253">
        <f>_xlfn.XLOOKUP(FMS_Ranking4[[#This Row],[FMS ID]],FMS_Input[FMS_ID],FMS_Input[REMRESSTRC100])</f>
        <v>0</v>
      </c>
      <c r="AO700" s="261">
        <f>FMS_Ranking4[[#This Row],[ArcSinh Res struct removed 0-10]]*AN$5*10</f>
        <v>0</v>
      </c>
      <c r="AP700" s="260">
        <f>ASINH(FMS_Ranking4[[#This Row],[Residential Structures Removed Raw]])/AP$4*AN$5*100</f>
        <v>0</v>
      </c>
      <c r="AQ700" s="258">
        <f>(ASINH(FMS_Ranking4[[#This Row],[Residential Structures Removed Raw]]))*(10)/(ASINH(AN$4))</f>
        <v>0</v>
      </c>
      <c r="AR700" s="253">
        <f>_xlfn.XLOOKUP(FMS_Ranking4[[#This Row],[FMS ID]],FMS_Input[FMS_ID],FMS_Input[REMPOP100])</f>
        <v>0</v>
      </c>
      <c r="AS700" s="255">
        <f>(ASINH(FMS_Ranking4[[#This Row],[Removed Pop Raw]]))*(10)/(ASINH(AR$4))</f>
        <v>0</v>
      </c>
      <c r="AT700" s="262">
        <f>FMS_Ranking4[[#This Row],[Removed population, ArcSinh (0-10)]]*AR$5*10</f>
        <v>0</v>
      </c>
      <c r="AU700" s="264">
        <f>_xlfn.XLOOKUP(FMS_Ranking4[[#This Row],[FMS ID]],FMS_Input[FMS_ID],FMS_Input[REMCRITFAC100])</f>
        <v>0</v>
      </c>
      <c r="AV700" s="264">
        <f>_xlfn.XLOOKUP(FMS_Ranking4[[#This Row],[FMS ID]],FMS_Input[FMS_ID],FMS_Input[REMLWC100])</f>
        <v>0</v>
      </c>
      <c r="AW700" s="264">
        <f>_xlfn.XLOOKUP(FMS_Ranking4[[#This Row],[FMS ID]],FMS_Input[FMS_ID],FMS_Input[REMROADCLS])</f>
        <v>0</v>
      </c>
      <c r="AX700" s="264">
        <f>_xlfn.XLOOKUP(FMS_Ranking4[[#This Row],[FMS ID]],FMS_Input[FMS_ID],FMS_Input[REMFRMACRE100])</f>
        <v>0</v>
      </c>
      <c r="AY700" s="258">
        <f>_xlfn.XLOOKUP(FMS_Ranking4[[#This Row],[FMS ID]],FMS_Input[FMS_ID],FMS_Input[COSTSTRUCT])</f>
        <v>0</v>
      </c>
      <c r="AZ700" s="253">
        <f>_xlfn.XLOOKUP(FMS_Ranking4[[#This Row],[FMS ID]],FMS_Input[FMS_ID],FMS_Input[NATURE])</f>
        <v>0</v>
      </c>
      <c r="BA700" s="262">
        <f>(((FMS_Ranking4[[#This Row],[% NBS Raw]]/AZ$4)*100)*AZ$5)</f>
        <v>0</v>
      </c>
      <c r="BB700" s="251" t="str">
        <f>_xlfn.XLOOKUP(FMS_Ranking4[[#This Row],[FMS ID]],FMS_Input[FMS_ID],FMS_Input[WATER_SUP])</f>
        <v>No</v>
      </c>
      <c r="BC700" s="265">
        <f>IF(FMS_Ranking4[[#This Row],[Water Supply Raw]]="Yes",10,0)</f>
        <v>0</v>
      </c>
      <c r="BD700" s="266">
        <f>_xlfn.XLOOKUP(FMS_Ranking4[[#This Row],[FMS Type]],FMS_TYPE[FMS_Type],FMS_TYPE[Score])</f>
        <v>4</v>
      </c>
      <c r="BE700" s="267">
        <f>FMS_Ranking4[[#This Row],[FMS_Type Score]]*$BD$5*10</f>
        <v>1</v>
      </c>
      <c r="BF70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4.8867112290775583E-3</v>
      </c>
      <c r="BG700" s="321">
        <f>_xlfn.RANK.EQ(BF700,$BF$8:$BF$870,0)+COUNTIF($BF$8:BF700,BF700)-1</f>
        <v>689</v>
      </c>
      <c r="BH700" s="294">
        <f>(((FMS_Ranking4[[#This Row],[Structures Removed Raw]]/AK$4)*100)*AK$5)+(((FMS_Ranking4[[#This Row],[Removed Pop Raw]]/AR$4)*100)*AR$5)</f>
        <v>0</v>
      </c>
      <c r="BI70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1.0048867112290776</v>
      </c>
      <c r="BJ700" s="251">
        <f>_xlfn.RANK.EQ(FMS_Ranking4[[#This Row],[Total Score 
(with linear
normalization)]],FMS_Ranking4[Total Score 
(with linear
normalization)],0)</f>
        <v>732</v>
      </c>
      <c r="BK700" s="251" t="e">
        <f>_xlfn.XLOOKUP(FMS_Ranking4[[#This Row],[FMS ID]],#REF!,#REF!)</f>
        <v>#REF!</v>
      </c>
      <c r="BL70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8.4736561110333284</v>
      </c>
      <c r="BM700" s="324">
        <f>FMS_Ranking4[[#This Row],[ArcSinh Score Based on Normalized Reported Factors]]+FMS_Ranking4[[#This Row],[% NBS Score (Normalized)]]+(FMS_Ranking4[[#This Row],[Water Supply Score (Normalized)]]*10*$BB$5)+FMS_Ranking4[[#This Row],[FMS_Type Score Weighted]]</f>
        <v>9.4736561110333284</v>
      </c>
      <c r="BN700" s="251">
        <f>_xlfn.RANK.EQ(FMS_Ranking4[[#This Row],[Total Score (with ArcSinh normalization of select criteria)]],FMS_Ranking4[Total Score (with ArcSinh normalization of select criteria)],0)</f>
        <v>693</v>
      </c>
      <c r="BO700" s="270" t="str">
        <f>_xlfn.XLOOKUP(FMS_Ranking4[[#This Row],[FMS ID]],FMS_Input[FMS_ID],FMS_Input[FMS_RANK_YEAR])</f>
        <v>2023 Amended Plan</v>
      </c>
      <c r="BP700" s="204">
        <f>_xlfn.XLOOKUP(FMS_Ranking4[[#This Row],[FMS ID]],Prev_Rank[FMS ID],Prev_Rank[Prev Rank])</f>
        <v>620</v>
      </c>
      <c r="BQ700" s="251" t="e">
        <f>_xlfn.XLOOKUP(FMS_Ranking4[[#This Row],[FMS ID]],#REF!,#REF!)</f>
        <v>#REF!</v>
      </c>
      <c r="BR700" s="199" t="e">
        <f>SUM(#REF!,#REF!,#REF!,#REF!,#REF!,#REF!,#REF!,#REF!,#REF!,FMS_Ranking4[[#This Row],[ArcSinh Res struct removed 0-10]],#REF!)</f>
        <v>#REF!</v>
      </c>
      <c r="BS700" s="199" t="e">
        <f>FMS_Ranking4[[#This Row],[Log Score Based on Normalized Reported Factors]]+FMS_Ranking4[[#This Row],[% NBS Score (Normalized)]]+(FMS_Ranking4[[#This Row],[Water Supply Score (Normalized)]]*10*$BB$5)+(FMS_Ranking4[[#This Row],[FMS_Type Score Weighted]])</f>
        <v>#REF!</v>
      </c>
      <c r="BT700" s="200" t="e">
        <f>_xlfn.RANK.EQ(FMS_Ranking4[[#This Row],[Log Total Score]],FMS_Ranking4[Log Total Score],0)</f>
        <v>#REF!</v>
      </c>
      <c r="BU700" s="200" t="e">
        <f>_xlfn.XLOOKUP(FMS_Ranking4[[#This Row],[FMS ID]],#REF!,#REF!)</f>
        <v>#REF!</v>
      </c>
      <c r="BV700" s="200">
        <f>FMS_Ranking4[[#This Row],[Region Number]]</f>
        <v>5</v>
      </c>
      <c r="BW700" s="200">
        <f>FMS_Ranking4[[#This Row],[Rank (with ArcSinh normalization of select criteria)]]-FMS_Ranking4[[#This Row],[Rank
(with linear
normalization)]]</f>
        <v>-39</v>
      </c>
      <c r="BX700" s="200" t="e">
        <f>FMS_Ranking4[[#This Row],[Log Rank]]-FMS_Ranking4[[#This Row],[Rank
(with linear
normalization)]]</f>
        <v>#REF!</v>
      </c>
      <c r="BY700" s="200" t="str">
        <f>IF(FMS_Ranking4[[#This Row],[FMS Type]]="Flood Measurement and Warning",FMS_Ranking4[[#This Row],[Rank (with ArcSinh normalization of select criteria)]],"")</f>
        <v/>
      </c>
      <c r="BZ700" s="200" t="str">
        <f>IF(FMS_Ranking4[[#This Row],[FMS Type]]="Regulatory and Guidance",FMS_Ranking4[[#This Row],[Rank (with ArcSinh normalization of select criteria)]],"")</f>
        <v/>
      </c>
      <c r="CA700" s="200" t="str">
        <f>IF(FMS_Ranking4[[#This Row],[FMS Type]]="Education and Outreach",FMS_Ranking4[[#This Row],[Rank (with ArcSinh normalization of select criteria)]],"")</f>
        <v/>
      </c>
      <c r="CB700" s="200" t="str">
        <f>IF(FMS_Ranking4[[#This Row],[FMS Type]]="Property Acquisition and Structural Elevation",FMS_Ranking4[[#This Row],[Rank (with ArcSinh normalization of select criteria)]],"")</f>
        <v/>
      </c>
      <c r="CC700" s="200">
        <f>IF(FMS_Ranking4[[#This Row],[FMS Type]]="Infrastructure Projects",FMS_Ranking4[[#This Row],[Rank (with ArcSinh normalization of select criteria)]],"")</f>
        <v>693</v>
      </c>
      <c r="CD700" s="200" t="str">
        <f>IF(FMS_Ranking4[[#This Row],[FMS Type]]="Other",FMS_Ranking4[[#This Row],[Rank (with ArcSinh normalization of select criteria)]],"")</f>
        <v/>
      </c>
      <c r="CE700" s="201"/>
      <c r="CF700" s="206"/>
      <c r="CG700" s="206"/>
      <c r="CH700" s="206"/>
      <c r="CI700" s="206"/>
      <c r="CJ700" s="206"/>
      <c r="CK700" s="206"/>
      <c r="CL700" s="206"/>
      <c r="CM700" s="206"/>
      <c r="CN700" s="206"/>
      <c r="CO700" s="206"/>
      <c r="CP700" s="206"/>
      <c r="CQ700" s="206"/>
      <c r="CR700" s="206"/>
    </row>
    <row r="701" spans="2:96" ht="60" x14ac:dyDescent="0.25">
      <c r="B701" s="341" t="s">
        <v>4615</v>
      </c>
      <c r="C701" s="246">
        <f>_xlfn.XLOOKUP(FMS_Ranking4[[#This Row],[FMS ID]],FMS_Input[FMS_ID],FMS_Input[RFPG_NUM])</f>
        <v>6</v>
      </c>
      <c r="D701" s="309" t="str">
        <f>_xlfn.XLOOKUP(FMS_Ranking4[[#This Row],[FMS ID]],FMS_Input[FMS_ID],FMS_Input[FMS_NAME])</f>
        <v>Cypress Creek Headwater Acquisition and PReservation</v>
      </c>
      <c r="E701" s="308" t="str">
        <f>_xlfn.XLOOKUP(FMS_Ranking4[[#This Row],[FMS ID]],FMS_Input[FMS_ID],FMS_Input[SPONSOR])</f>
        <v>00004002</v>
      </c>
      <c r="F701" s="309" t="str">
        <f>_xlfn.XLOOKUP(FMS_Ranking4[[#This Row],[FMS ID]],Sponsor[FMS_ID],Sponsor[SPONSOR NAME])</f>
        <v>Coastal Prairie Conservancy</v>
      </c>
      <c r="G701" s="309" t="str">
        <f>_xlfn.XLOOKUP(FMS_Ranking4[[#This Row],[FMS ID]],FMS_Input[FMS_ID],FMS_Input[FMS_DESCR])</f>
        <v>Acquisition and restoration of 1,074-acres of ag and natural lands at the headwaters of Cypress Creek.</v>
      </c>
      <c r="H701" s="248" t="str">
        <f>_xlfn.XLOOKUP(FMS_Ranking4[[#This Row],[FMS ID]],FMS_Input[FMS_ID],FMS_Input[FMS_TYPE])</f>
        <v>Property Acquisition and Structural Elevation</v>
      </c>
      <c r="I701" s="249">
        <f>_xlfn.XLOOKUP(FMS_Ranking4[[#This Row],[FMS ID]],FMS_Input[FMS_ID],FMS_Input[NRNC_COST])</f>
        <v>1800000</v>
      </c>
      <c r="J701" s="250">
        <f>_xlfn.XLOOKUP(FMS_Ranking4[[#This Row],[FMS ID]],FMS_Input[FMS_ID],FMS_Input[FMS_COST])</f>
        <v>18000000</v>
      </c>
      <c r="K701" s="251" t="str">
        <f>_xlfn.XLOOKUP(FMS_Ranking4[[#This Row],[FMS ID]],FMS_Input[FMS_ID],FMS_Input[EMER_NEED])</f>
        <v>No</v>
      </c>
      <c r="L701" s="252">
        <f t="shared" si="10"/>
        <v>0</v>
      </c>
      <c r="M701" s="253">
        <f>_xlfn.XLOOKUP(FMS_Ranking4[[#This Row],[FMS ID]],FMS_Input[FMS_ID],FMS_Input[STRUCT_100])</f>
        <v>0</v>
      </c>
      <c r="N701" s="255">
        <f>(ASINH(FMS_Ranking4[[#This Row],[Structure at Risk Raw]]))*(10)/(ASINH(M$4))</f>
        <v>0</v>
      </c>
      <c r="O701" s="256">
        <f>FMS_Ranking4[[#This Row],[Structures at risk, ArcSinh (0-10)]]*M$5*10</f>
        <v>0</v>
      </c>
      <c r="P701" s="253">
        <f>_xlfn.XLOOKUP(FMS_Ranking4[[#This Row],[FMS ID]],FMS_Input[FMS_ID],FMS_Input[RES_STRUCT100])</f>
        <v>0</v>
      </c>
      <c r="Q701" s="257">
        <f>ASINH(FMS_Ranking4[[#This Row],[Res Structure Raw]])/Q$4*P$5*100</f>
        <v>0</v>
      </c>
      <c r="R701" s="253">
        <f>_xlfn.XLOOKUP(FMS_Ranking4[[#This Row],[FMS ID]],FMS_Input[FMS_ID],FMS_Input[POP100])</f>
        <v>0</v>
      </c>
      <c r="S701" s="259">
        <f>(ASINH(FMS_Ranking4[[#This Row],[Pop at Risk Raw]]))*(10)/(ASINH(R$4))</f>
        <v>0</v>
      </c>
      <c r="T701" s="256">
        <f>FMS_Ranking4[[#This Row],[Population at risk, ArcSinh (0-10)]]*R$5*10</f>
        <v>0</v>
      </c>
      <c r="U701" s="253">
        <f>_xlfn.XLOOKUP(FMS_Ranking4[[#This Row],[FMS ID]],FMS_Input[FMS_ID],FMS_Input[CRITFAC100])</f>
        <v>0</v>
      </c>
      <c r="V701" s="259">
        <f>(ASINH(FMS_Ranking4[[#This Row],[Critical Facilities Raw]]))*(10)/(ASINH(U$4))</f>
        <v>0</v>
      </c>
      <c r="W701" s="256">
        <f>FMS_Ranking4[[#This Row],[Critical facilities at risk, ArcSinh (0-10)]]*U$5*10</f>
        <v>0</v>
      </c>
      <c r="X701" s="253">
        <f>_xlfn.XLOOKUP(FMS_Ranking4[[#This Row],[FMS ID]],FMS_Input[FMS_ID],FMS_Input[LWC])</f>
        <v>0</v>
      </c>
      <c r="Y701" s="259">
        <f>(ASINH(FMS_Ranking4[[#This Row],[LWC Raw]]))*(10)/(ASINH(X$4))</f>
        <v>0</v>
      </c>
      <c r="Z701" s="256">
        <f>FMS_Ranking4[[#This Row],[LWC, ArcSInh (0-10)]]*X$5*10</f>
        <v>0</v>
      </c>
      <c r="AA701" s="253">
        <f>_xlfn.XLOOKUP(FMS_Ranking4[[#This Row],[FMS ID]],FMS_Input[FMS_ID],FMS_Input[ROADCLS])</f>
        <v>0</v>
      </c>
      <c r="AB701" s="255">
        <f>(ASINH(FMS_Ranking4[[#This Row],[Road Closures Raw]]))*(10)/(ASINH(AA$4))</f>
        <v>0</v>
      </c>
      <c r="AC701" s="256">
        <f>FMS_Ranking4[[#This Row],[Road closures, ArcSinh (0-10)]]*AA$5*10</f>
        <v>0</v>
      </c>
      <c r="AD701" s="253">
        <f>_xlfn.XLOOKUP(FMS_Ranking4[[#This Row],[FMS ID]],FMS_Input[FMS_ID],FMS_Input[ROAD_MILES100])</f>
        <v>0</v>
      </c>
      <c r="AE701" s="259">
        <f>(ASINH(FMS_Ranking4[[#This Row],[Road Miles Raw]]))*(10)/(ASINH(AD$4))</f>
        <v>0</v>
      </c>
      <c r="AF701" s="256">
        <f>FMS_Ranking4[[#This Row],[Length of roads at risk, ArcSinh (0-10)]]*AD$5*10</f>
        <v>0</v>
      </c>
      <c r="AG701" s="253">
        <f>_xlfn.XLOOKUP(FMS_Ranking4[[#This Row],[FMS ID]],FMS_Input[FMS_ID],FMS_Input[FARMACRE100])</f>
        <v>8.8682165145874023</v>
      </c>
      <c r="AH701" s="255">
        <f>(ASINH(FMS_Ranking4[[#This Row],[Ag Land Raw]]))*(10)/(ASINH(AG$4))</f>
        <v>1.8700051738161738</v>
      </c>
      <c r="AI701" s="260">
        <f>FMS_Ranking4[[#This Row],[Farm &amp; ranch land, ArcSinh (0-10)]]*AG$5*10</f>
        <v>0.93500258690808691</v>
      </c>
      <c r="AJ701" s="258">
        <f>_xlfn.XLOOKUP(FMS_Ranking4[[#This Row],[FMS ID]],FMS_Input[FMS_ID],FMS_Input[REDSTRUCT100])</f>
        <v>0</v>
      </c>
      <c r="AK701" s="253">
        <f>_xlfn.XLOOKUP(FMS_Ranking4[[#This Row],[FMS ID]],FMS_Input[FMS_ID],FMS_Input[REMSTRC100])</f>
        <v>0</v>
      </c>
      <c r="AL701" s="259">
        <f>(ASINH(FMS_Ranking4[[#This Row],[Structures Removed Raw]]))*(10)/(ASINH(AK$4))</f>
        <v>0</v>
      </c>
      <c r="AM701" s="262">
        <f>FMS_Ranking4[[#This Row],[Structures removed, ArcSinh (0-10)]]*AK$5*10</f>
        <v>0</v>
      </c>
      <c r="AN701" s="253">
        <f>_xlfn.XLOOKUP(FMS_Ranking4[[#This Row],[FMS ID]],FMS_Input[FMS_ID],FMS_Input[REMRESSTRC100])</f>
        <v>0</v>
      </c>
      <c r="AO701" s="261">
        <f>FMS_Ranking4[[#This Row],[ArcSinh Res struct removed 0-10]]*AN$5*10</f>
        <v>0</v>
      </c>
      <c r="AP701" s="260">
        <f>ASINH(FMS_Ranking4[[#This Row],[Residential Structures Removed Raw]])/AP$4*AN$5*100</f>
        <v>0</v>
      </c>
      <c r="AQ701" s="254">
        <f>(ASINH(FMS_Ranking4[[#This Row],[Residential Structures Removed Raw]]))*(10)/(ASINH(AN$4))</f>
        <v>0</v>
      </c>
      <c r="AR701" s="253">
        <f>_xlfn.XLOOKUP(FMS_Ranking4[[#This Row],[FMS ID]],FMS_Input[FMS_ID],FMS_Input[REMPOP100])</f>
        <v>0</v>
      </c>
      <c r="AS701" s="259">
        <f>(ASINH(FMS_Ranking4[[#This Row],[Removed Pop Raw]]))*(10)/(ASINH(AR$4))</f>
        <v>0</v>
      </c>
      <c r="AT701" s="262">
        <f>FMS_Ranking4[[#This Row],[Removed population, ArcSinh (0-10)]]*AR$5*10</f>
        <v>0</v>
      </c>
      <c r="AU701" s="264">
        <f>_xlfn.XLOOKUP(FMS_Ranking4[[#This Row],[FMS ID]],FMS_Input[FMS_ID],FMS_Input[REMCRITFAC100])</f>
        <v>0</v>
      </c>
      <c r="AV701" s="264">
        <f>_xlfn.XLOOKUP(FMS_Ranking4[[#This Row],[FMS ID]],FMS_Input[FMS_ID],FMS_Input[REMLWC100])</f>
        <v>0</v>
      </c>
      <c r="AW701" s="264">
        <f>_xlfn.XLOOKUP(FMS_Ranking4[[#This Row],[FMS ID]],FMS_Input[FMS_ID],FMS_Input[REMROADCLS])</f>
        <v>0</v>
      </c>
      <c r="AX701" s="264">
        <f>_xlfn.XLOOKUP(FMS_Ranking4[[#This Row],[FMS ID]],FMS_Input[FMS_ID],FMS_Input[REMFRMACRE100])</f>
        <v>0</v>
      </c>
      <c r="AY701" s="258">
        <f>_xlfn.XLOOKUP(FMS_Ranking4[[#This Row],[FMS ID]],FMS_Input[FMS_ID],FMS_Input[COSTSTRUCT])</f>
        <v>0</v>
      </c>
      <c r="AZ701" s="253">
        <f>_xlfn.XLOOKUP(FMS_Ranking4[[#This Row],[FMS ID]],FMS_Input[FMS_ID],FMS_Input[NATURE])</f>
        <v>100</v>
      </c>
      <c r="BA701" s="262">
        <f>(((FMS_Ranking4[[#This Row],[% NBS Raw]]/AZ$4)*100)*AZ$5)</f>
        <v>7.5</v>
      </c>
      <c r="BB701" s="251" t="str">
        <f>_xlfn.XLOOKUP(FMS_Ranking4[[#This Row],[FMS ID]],FMS_Input[FMS_ID],FMS_Input[WATER_SUP])</f>
        <v>No</v>
      </c>
      <c r="BC701" s="265">
        <f>IF(FMS_Ranking4[[#This Row],[Water Supply Raw]]="Yes",10,0)</f>
        <v>0</v>
      </c>
      <c r="BD701" s="266">
        <f>_xlfn.XLOOKUP(FMS_Ranking4[[#This Row],[FMS Type]],FMS_TYPE[FMS_Type],FMS_TYPE[Score])</f>
        <v>4</v>
      </c>
      <c r="BE701" s="267">
        <f>FMS_Ranking4[[#This Row],[FMS_Type Score]]*$BD$5*10</f>
        <v>1</v>
      </c>
      <c r="BF70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1.828427752288191E-5</v>
      </c>
      <c r="BG701" s="271">
        <f>_xlfn.RANK.EQ(BF701,$BF$8:$BF$870,0)+COUNTIF($BF$8:BF701,BF701)-1</f>
        <v>791</v>
      </c>
      <c r="BH701" s="268">
        <f>(((FMS_Ranking4[[#This Row],[Structures Removed Raw]]/AK$4)*100)*AK$5)+(((FMS_Ranking4[[#This Row],[Removed Pop Raw]]/AR$4)*100)*AR$5)</f>
        <v>0</v>
      </c>
      <c r="BI70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8.5000182842775232</v>
      </c>
      <c r="BJ701" s="205">
        <f>_xlfn.RANK.EQ(FMS_Ranking4[[#This Row],[Total Score 
(with linear
normalization)]],FMS_Ranking4[Total Score 
(with linear
normalization)],0)</f>
        <v>83</v>
      </c>
      <c r="BK701" s="205" t="e">
        <f>_xlfn.XLOOKUP(FMS_Ranking4[[#This Row],[FMS ID]],#REF!,#REF!)</f>
        <v>#REF!</v>
      </c>
      <c r="BL70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0.93500258690808691</v>
      </c>
      <c r="BM701" s="272">
        <f>FMS_Ranking4[[#This Row],[ArcSinh Score Based on Normalized Reported Factors]]+FMS_Ranking4[[#This Row],[% NBS Score (Normalized)]]+(FMS_Ranking4[[#This Row],[Water Supply Score (Normalized)]]*10*$BB$5)+FMS_Ranking4[[#This Row],[FMS_Type Score Weighted]]</f>
        <v>9.4350025869080874</v>
      </c>
      <c r="BN701" s="205">
        <f>_xlfn.RANK.EQ(FMS_Ranking4[[#This Row],[Total Score (with ArcSinh normalization of select criteria)]],FMS_Ranking4[Total Score (with ArcSinh normalization of select criteria)],0)</f>
        <v>694</v>
      </c>
      <c r="BO701" s="270" t="str">
        <f>_xlfn.XLOOKUP(FMS_Ranking4[[#This Row],[FMS ID]],FMS_Input[FMS_ID],FMS_Input[FMS_RANK_YEAR])</f>
        <v>2023 Amended Plan</v>
      </c>
      <c r="BP701" s="204">
        <f>_xlfn.XLOOKUP(FMS_Ranking4[[#This Row],[FMS ID]],Prev_Rank[FMS ID],Prev_Rank[Prev Rank])</f>
        <v>624</v>
      </c>
      <c r="BQ701" s="205" t="e">
        <f>_xlfn.XLOOKUP(FMS_Ranking4[[#This Row],[FMS ID]],#REF!,#REF!)</f>
        <v>#REF!</v>
      </c>
      <c r="BR701" s="199" t="e">
        <f>SUM(#REF!,#REF!,#REF!,#REF!,#REF!,#REF!,#REF!,#REF!,#REF!,FMS_Ranking4[[#This Row],[ArcSinh Res struct removed 0-10]],#REF!)</f>
        <v>#REF!</v>
      </c>
      <c r="BS701" s="199" t="e">
        <f>FMS_Ranking4[[#This Row],[Log Score Based on Normalized Reported Factors]]+FMS_Ranking4[[#This Row],[% NBS Score (Normalized)]]+(FMS_Ranking4[[#This Row],[Water Supply Score (Normalized)]]*10*$BB$5)+(FMS_Ranking4[[#This Row],[FMS_Type Score Weighted]])</f>
        <v>#REF!</v>
      </c>
      <c r="BT701" s="200" t="e">
        <f>_xlfn.RANK.EQ(FMS_Ranking4[[#This Row],[Log Total Score]],FMS_Ranking4[Log Total Score],0)</f>
        <v>#REF!</v>
      </c>
      <c r="BU701" s="200" t="e">
        <f>_xlfn.XLOOKUP(FMS_Ranking4[[#This Row],[FMS ID]],#REF!,#REF!)</f>
        <v>#REF!</v>
      </c>
      <c r="BV701" s="200">
        <f>FMS_Ranking4[[#This Row],[Region Number]]</f>
        <v>6</v>
      </c>
      <c r="BW701" s="200">
        <f>FMS_Ranking4[[#This Row],[Rank (with ArcSinh normalization of select criteria)]]-FMS_Ranking4[[#This Row],[Rank
(with linear
normalization)]]</f>
        <v>611</v>
      </c>
      <c r="BX701" s="200" t="e">
        <f>FMS_Ranking4[[#This Row],[Log Rank]]-FMS_Ranking4[[#This Row],[Rank
(with linear
normalization)]]</f>
        <v>#REF!</v>
      </c>
      <c r="BY701" s="200" t="str">
        <f>IF(FMS_Ranking4[[#This Row],[FMS Type]]="Flood Measurement and Warning",FMS_Ranking4[[#This Row],[Rank (with ArcSinh normalization of select criteria)]],"")</f>
        <v/>
      </c>
      <c r="BZ701" s="200" t="str">
        <f>IF(FMS_Ranking4[[#This Row],[FMS Type]]="Regulatory and Guidance",FMS_Ranking4[[#This Row],[Rank (with ArcSinh normalization of select criteria)]],"")</f>
        <v/>
      </c>
      <c r="CA701" s="200" t="str">
        <f>IF(FMS_Ranking4[[#This Row],[FMS Type]]="Education and Outreach",FMS_Ranking4[[#This Row],[Rank (with ArcSinh normalization of select criteria)]],"")</f>
        <v/>
      </c>
      <c r="CB701" s="200">
        <f>IF(FMS_Ranking4[[#This Row],[FMS Type]]="Property Acquisition and Structural Elevation",FMS_Ranking4[[#This Row],[Rank (with ArcSinh normalization of select criteria)]],"")</f>
        <v>694</v>
      </c>
      <c r="CC701" s="200" t="str">
        <f>IF(FMS_Ranking4[[#This Row],[FMS Type]]="Infrastructure Projects",FMS_Ranking4[[#This Row],[Rank (with ArcSinh normalization of select criteria)]],"")</f>
        <v/>
      </c>
      <c r="CD701" s="200" t="str">
        <f>IF(FMS_Ranking4[[#This Row],[FMS Type]]="Other",FMS_Ranking4[[#This Row],[Rank (with ArcSinh normalization of select criteria)]],"")</f>
        <v/>
      </c>
      <c r="CE701" s="201"/>
      <c r="CF701" s="206"/>
      <c r="CG701" s="206"/>
      <c r="CH701" s="206"/>
      <c r="CI701" s="206"/>
      <c r="CJ701" s="206"/>
      <c r="CK701" s="206"/>
      <c r="CL701" s="206"/>
      <c r="CM701" s="206"/>
      <c r="CN701" s="206"/>
      <c r="CO701" s="206"/>
      <c r="CP701" s="206"/>
      <c r="CQ701" s="206"/>
      <c r="CR701" s="206"/>
    </row>
    <row r="702" spans="2:96" ht="45" x14ac:dyDescent="0.25">
      <c r="B702" s="341" t="s">
        <v>3297</v>
      </c>
      <c r="C702" s="246">
        <f>_xlfn.XLOOKUP(FMS_Ranking4[[#This Row],[FMS ID]],FMS_Input[FMS_ID],FMS_Input[RFPG_NUM])</f>
        <v>7</v>
      </c>
      <c r="D702" s="309" t="str">
        <f>_xlfn.XLOOKUP(FMS_Ranking4[[#This Row],[FMS ID]],FMS_Input[FMS_ID],FMS_Input[FMS_NAME])</f>
        <v>City of Amherst NFIP Participation</v>
      </c>
      <c r="E702" s="308" t="str">
        <f>_xlfn.XLOOKUP(FMS_Ranking4[[#This Row],[FMS ID]],FMS_Input[FMS_ID],FMS_Input[SPONSOR])</f>
        <v>07002968</v>
      </c>
      <c r="F702" s="309" t="str">
        <f>_xlfn.XLOOKUP(FMS_Ranking4[[#This Row],[FMS ID]],Sponsor[FMS_ID],Sponsor[SPONSOR NAME])</f>
        <v>Amherst</v>
      </c>
      <c r="G702" s="309" t="str">
        <f>_xlfn.XLOOKUP(FMS_Ranking4[[#This Row],[FMS ID]],FMS_Input[FMS_ID],FMS_Input[FMS_DESCR])</f>
        <v>Application to join NFIP or adoption of equivalent standards.</v>
      </c>
      <c r="H702" s="248" t="str">
        <f>_xlfn.XLOOKUP(FMS_Ranking4[[#This Row],[FMS ID]],FMS_Input[FMS_ID],FMS_Input[FMS_TYPE])</f>
        <v>Regulatory and Guidance</v>
      </c>
      <c r="I702" s="249">
        <f>_xlfn.XLOOKUP(FMS_Ranking4[[#This Row],[FMS ID]],FMS_Input[FMS_ID],FMS_Input[NRNC_COST])</f>
        <v>50000</v>
      </c>
      <c r="J702" s="250">
        <f>_xlfn.XLOOKUP(FMS_Ranking4[[#This Row],[FMS ID]],FMS_Input[FMS_ID],FMS_Input[FMS_COST])</f>
        <v>50000</v>
      </c>
      <c r="K702" s="251" t="str">
        <f>_xlfn.XLOOKUP(FMS_Ranking4[[#This Row],[FMS ID]],FMS_Input[FMS_ID],FMS_Input[EMER_NEED])</f>
        <v>No</v>
      </c>
      <c r="L702" s="252">
        <f t="shared" si="10"/>
        <v>0</v>
      </c>
      <c r="M702" s="253">
        <f>_xlfn.XLOOKUP(FMS_Ranking4[[#This Row],[FMS ID]],FMS_Input[FMS_ID],FMS_Input[STRUCT_100])</f>
        <v>13</v>
      </c>
      <c r="N702" s="255">
        <f>(ASINH(FMS_Ranking4[[#This Row],[Structure at Risk Raw]]))*(10)/(ASINH(M$4))</f>
        <v>2.5625093585555985</v>
      </c>
      <c r="O702" s="256">
        <f>FMS_Ranking4[[#This Row],[Structures at risk, ArcSinh (0-10)]]*M$5*10</f>
        <v>2.5625093585555985</v>
      </c>
      <c r="P702" s="253">
        <f>_xlfn.XLOOKUP(FMS_Ranking4[[#This Row],[FMS ID]],FMS_Input[FMS_ID],FMS_Input[RES_STRUCT100])</f>
        <v>10</v>
      </c>
      <c r="Q702" s="257">
        <f>ASINH(FMS_Ranking4[[#This Row],[Res Structure Raw]])/Q$4*P$5*100</f>
        <v>0</v>
      </c>
      <c r="R702" s="253">
        <f>_xlfn.XLOOKUP(FMS_Ranking4[[#This Row],[FMS ID]],FMS_Input[FMS_ID],FMS_Input[POP100])</f>
        <v>6</v>
      </c>
      <c r="S702" s="259">
        <f>(ASINH(FMS_Ranking4[[#This Row],[Pop at Risk Raw]]))*(10)/(ASINH(R$4))</f>
        <v>1.7202206985488866</v>
      </c>
      <c r="T702" s="256">
        <f>FMS_Ranking4[[#This Row],[Population at risk, ArcSinh (0-10)]]*R$5*10</f>
        <v>1.7202206985488866</v>
      </c>
      <c r="U702" s="253">
        <f>_xlfn.XLOOKUP(FMS_Ranking4[[#This Row],[FMS ID]],FMS_Input[FMS_ID],FMS_Input[CRITFAC100])</f>
        <v>0</v>
      </c>
      <c r="V702" s="259">
        <f>(ASINH(FMS_Ranking4[[#This Row],[Critical Facilities Raw]]))*(10)/(ASINH(U$4))</f>
        <v>0</v>
      </c>
      <c r="W702" s="256">
        <f>FMS_Ranking4[[#This Row],[Critical facilities at risk, ArcSinh (0-10)]]*U$5*10</f>
        <v>0</v>
      </c>
      <c r="X702" s="253">
        <f>_xlfn.XLOOKUP(FMS_Ranking4[[#This Row],[FMS ID]],FMS_Input[FMS_ID],FMS_Input[LWC])</f>
        <v>0</v>
      </c>
      <c r="Y702" s="259">
        <f>(ASINH(FMS_Ranking4[[#This Row],[LWC Raw]]))*(10)/(ASINH(X$4))</f>
        <v>0</v>
      </c>
      <c r="Z702" s="256">
        <f>FMS_Ranking4[[#This Row],[LWC, ArcSInh (0-10)]]*X$5*10</f>
        <v>0</v>
      </c>
      <c r="AA702" s="253">
        <f>_xlfn.XLOOKUP(FMS_Ranking4[[#This Row],[FMS ID]],FMS_Input[FMS_ID],FMS_Input[ROADCLS])</f>
        <v>0</v>
      </c>
      <c r="AB702" s="255">
        <f>(ASINH(FMS_Ranking4[[#This Row],[Road Closures Raw]]))*(10)/(ASINH(AA$4))</f>
        <v>0</v>
      </c>
      <c r="AC702" s="256">
        <f>FMS_Ranking4[[#This Row],[Road closures, ArcSinh (0-10)]]*AA$5*10</f>
        <v>0</v>
      </c>
      <c r="AD702" s="253">
        <f>_xlfn.XLOOKUP(FMS_Ranking4[[#This Row],[FMS ID]],FMS_Input[FMS_ID],FMS_Input[ROAD_MILES100])</f>
        <v>3</v>
      </c>
      <c r="AE702" s="259">
        <f>(ASINH(FMS_Ranking4[[#This Row],[Road Miles Raw]]))*(10)/(ASINH(AD$4))</f>
        <v>1.937963626835977</v>
      </c>
      <c r="AF702" s="256">
        <f>FMS_Ranking4[[#This Row],[Length of roads at risk, ArcSinh (0-10)]]*AD$5*10</f>
        <v>1.937963626835977</v>
      </c>
      <c r="AG702" s="253">
        <f>_xlfn.XLOOKUP(FMS_Ranking4[[#This Row],[FMS ID]],FMS_Input[FMS_ID],FMS_Input[FARMACRE100])</f>
        <v>13.94162559509277</v>
      </c>
      <c r="AH702" s="255">
        <f>(ASINH(FMS_Ranking4[[#This Row],[Ag Land Raw]]))*(10)/(ASINH(AG$4))</f>
        <v>2.1626580375581348</v>
      </c>
      <c r="AI702" s="260">
        <f>FMS_Ranking4[[#This Row],[Farm &amp; ranch land, ArcSinh (0-10)]]*AG$5*10</f>
        <v>1.0813290187790674</v>
      </c>
      <c r="AJ702" s="258">
        <f>_xlfn.XLOOKUP(FMS_Ranking4[[#This Row],[FMS ID]],FMS_Input[FMS_ID],FMS_Input[REDSTRUCT100])</f>
        <v>0</v>
      </c>
      <c r="AK702" s="253">
        <f>_xlfn.XLOOKUP(FMS_Ranking4[[#This Row],[FMS ID]],FMS_Input[FMS_ID],FMS_Input[REMSTRC100])</f>
        <v>0</v>
      </c>
      <c r="AL702" s="259">
        <f>(ASINH(FMS_Ranking4[[#This Row],[Structures Removed Raw]]))*(10)/(ASINH(AK$4))</f>
        <v>0</v>
      </c>
      <c r="AM702" s="262">
        <f>FMS_Ranking4[[#This Row],[Structures removed, ArcSinh (0-10)]]*AK$5*10</f>
        <v>0</v>
      </c>
      <c r="AN702" s="253">
        <f>_xlfn.XLOOKUP(FMS_Ranking4[[#This Row],[FMS ID]],FMS_Input[FMS_ID],FMS_Input[REMRESSTRC100])</f>
        <v>0</v>
      </c>
      <c r="AO702" s="261">
        <f>FMS_Ranking4[[#This Row],[ArcSinh Res struct removed 0-10]]*AN$5*10</f>
        <v>0</v>
      </c>
      <c r="AP702" s="260">
        <f>ASINH(FMS_Ranking4[[#This Row],[Residential Structures Removed Raw]])/AP$4*AN$5*100</f>
        <v>0</v>
      </c>
      <c r="AQ702" s="254">
        <f>(ASINH(FMS_Ranking4[[#This Row],[Residential Structures Removed Raw]]))*(10)/(ASINH(AN$4))</f>
        <v>0</v>
      </c>
      <c r="AR702" s="253">
        <f>_xlfn.XLOOKUP(FMS_Ranking4[[#This Row],[FMS ID]],FMS_Input[FMS_ID],FMS_Input[REMPOP100])</f>
        <v>0</v>
      </c>
      <c r="AS702" s="259">
        <f>(ASINH(FMS_Ranking4[[#This Row],[Removed Pop Raw]]))*(10)/(ASINH(AR$4))</f>
        <v>0</v>
      </c>
      <c r="AT702" s="262">
        <f>FMS_Ranking4[[#This Row],[Removed population, ArcSinh (0-10)]]*AR$5*10</f>
        <v>0</v>
      </c>
      <c r="AU702" s="264">
        <f>_xlfn.XLOOKUP(FMS_Ranking4[[#This Row],[FMS ID]],FMS_Input[FMS_ID],FMS_Input[REMCRITFAC100])</f>
        <v>0</v>
      </c>
      <c r="AV702" s="264">
        <f>_xlfn.XLOOKUP(FMS_Ranking4[[#This Row],[FMS ID]],FMS_Input[FMS_ID],FMS_Input[REMLWC100])</f>
        <v>0</v>
      </c>
      <c r="AW702" s="264">
        <f>_xlfn.XLOOKUP(FMS_Ranking4[[#This Row],[FMS ID]],FMS_Input[FMS_ID],FMS_Input[REMROADCLS])</f>
        <v>0</v>
      </c>
      <c r="AX702" s="264">
        <f>_xlfn.XLOOKUP(FMS_Ranking4[[#This Row],[FMS ID]],FMS_Input[FMS_ID],FMS_Input[REMFRMACRE100])</f>
        <v>0</v>
      </c>
      <c r="AY702" s="258">
        <f>_xlfn.XLOOKUP(FMS_Ranking4[[#This Row],[FMS ID]],FMS_Input[FMS_ID],FMS_Input[COSTSTRUCT])</f>
        <v>0</v>
      </c>
      <c r="AZ702" s="253">
        <f>_xlfn.XLOOKUP(FMS_Ranking4[[#This Row],[FMS ID]],FMS_Input[FMS_ID],FMS_Input[NATURE])</f>
        <v>0</v>
      </c>
      <c r="BA702" s="262">
        <f>(((FMS_Ranking4[[#This Row],[% NBS Raw]]/AZ$4)*100)*AZ$5)</f>
        <v>0</v>
      </c>
      <c r="BB702" s="251" t="str">
        <f>_xlfn.XLOOKUP(FMS_Ranking4[[#This Row],[FMS ID]],FMS_Input[FMS_ID],FMS_Input[WATER_SUP])</f>
        <v>No</v>
      </c>
      <c r="BC702" s="265">
        <f>IF(FMS_Ranking4[[#This Row],[Water Supply Raw]]="Yes",10,0)</f>
        <v>0</v>
      </c>
      <c r="BD702" s="266">
        <f>_xlfn.XLOOKUP(FMS_Ranking4[[#This Row],[FMS Type]],FMS_TYPE[FMS_Type],FMS_TYPE[Score])</f>
        <v>8</v>
      </c>
      <c r="BE702" s="267">
        <f>FMS_Ranking4[[#This Row],[FMS_Type Score]]*$BD$5*10</f>
        <v>2</v>
      </c>
      <c r="BF70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5.9146732534917784E-3</v>
      </c>
      <c r="BG702" s="271">
        <f>_xlfn.RANK.EQ(BF702,$BF$8:$BF$870,0)+COUNTIF($BF$8:BF702,BF702)-1</f>
        <v>682</v>
      </c>
      <c r="BH702" s="268">
        <f>(((FMS_Ranking4[[#This Row],[Structures Removed Raw]]/AK$4)*100)*AK$5)+(((FMS_Ranking4[[#This Row],[Removed Pop Raw]]/AR$4)*100)*AR$5)</f>
        <v>0</v>
      </c>
      <c r="BI70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2.0059146732534918</v>
      </c>
      <c r="BJ702" s="205">
        <f>_xlfn.RANK.EQ(FMS_Ranking4[[#This Row],[Total Score 
(with linear
normalization)]],FMS_Ranking4[Total Score 
(with linear
normalization)],0)</f>
        <v>431</v>
      </c>
      <c r="BK702" s="205" t="e">
        <f>_xlfn.XLOOKUP(FMS_Ranking4[[#This Row],[FMS ID]],#REF!,#REF!)</f>
        <v>#REF!</v>
      </c>
      <c r="BL70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7.3020227027195297</v>
      </c>
      <c r="BM702" s="272">
        <f>FMS_Ranking4[[#This Row],[ArcSinh Score Based on Normalized Reported Factors]]+FMS_Ranking4[[#This Row],[% NBS Score (Normalized)]]+(FMS_Ranking4[[#This Row],[Water Supply Score (Normalized)]]*10*$BB$5)+FMS_Ranking4[[#This Row],[FMS_Type Score Weighted]]</f>
        <v>9.3020227027195297</v>
      </c>
      <c r="BN702" s="205">
        <f>_xlfn.RANK.EQ(FMS_Ranking4[[#This Row],[Total Score (with ArcSinh normalization of select criteria)]],FMS_Ranking4[Total Score (with ArcSinh normalization of select criteria)],0)</f>
        <v>695</v>
      </c>
      <c r="BO702" s="270" t="str">
        <f>_xlfn.XLOOKUP(FMS_Ranking4[[#This Row],[FMS ID]],FMS_Input[FMS_ID],FMS_Input[FMS_RANK_YEAR])</f>
        <v>2023 Amended Plan</v>
      </c>
      <c r="BP702" s="204">
        <f>_xlfn.XLOOKUP(FMS_Ranking4[[#This Row],[FMS ID]],Prev_Rank[FMS ID],Prev_Rank[Prev Rank])</f>
        <v>626</v>
      </c>
      <c r="BQ702" s="205" t="e">
        <f>_xlfn.XLOOKUP(FMS_Ranking4[[#This Row],[FMS ID]],#REF!,#REF!)</f>
        <v>#REF!</v>
      </c>
      <c r="BR702" s="199" t="e">
        <f>SUM(#REF!,#REF!,#REF!,#REF!,#REF!,#REF!,#REF!,#REF!,#REF!,FMS_Ranking4[[#This Row],[ArcSinh Res struct removed 0-10]],#REF!)</f>
        <v>#REF!</v>
      </c>
      <c r="BS702" s="199" t="e">
        <f>FMS_Ranking4[[#This Row],[Log Score Based on Normalized Reported Factors]]+FMS_Ranking4[[#This Row],[% NBS Score (Normalized)]]+(FMS_Ranking4[[#This Row],[Water Supply Score (Normalized)]]*10*$BB$5)+(FMS_Ranking4[[#This Row],[FMS_Type Score Weighted]])</f>
        <v>#REF!</v>
      </c>
      <c r="BT702" s="200" t="e">
        <f>_xlfn.RANK.EQ(FMS_Ranking4[[#This Row],[Log Total Score]],FMS_Ranking4[Log Total Score],0)</f>
        <v>#REF!</v>
      </c>
      <c r="BU702" s="200" t="e">
        <f>_xlfn.XLOOKUP(FMS_Ranking4[[#This Row],[FMS ID]],#REF!,#REF!)</f>
        <v>#REF!</v>
      </c>
      <c r="BV702" s="200">
        <f>FMS_Ranking4[[#This Row],[Region Number]]</f>
        <v>7</v>
      </c>
      <c r="BW702" s="200">
        <f>FMS_Ranking4[[#This Row],[Rank (with ArcSinh normalization of select criteria)]]-FMS_Ranking4[[#This Row],[Rank
(with linear
normalization)]]</f>
        <v>264</v>
      </c>
      <c r="BX702" s="200" t="e">
        <f>FMS_Ranking4[[#This Row],[Log Rank]]-FMS_Ranking4[[#This Row],[Rank
(with linear
normalization)]]</f>
        <v>#REF!</v>
      </c>
      <c r="BY702" s="200" t="str">
        <f>IF(FMS_Ranking4[[#This Row],[FMS Type]]="Flood Measurement and Warning",FMS_Ranking4[[#This Row],[Rank (with ArcSinh normalization of select criteria)]],"")</f>
        <v/>
      </c>
      <c r="BZ702" s="200">
        <f>IF(FMS_Ranking4[[#This Row],[FMS Type]]="Regulatory and Guidance",FMS_Ranking4[[#This Row],[Rank (with ArcSinh normalization of select criteria)]],"")</f>
        <v>695</v>
      </c>
      <c r="CA702" s="200" t="str">
        <f>IF(FMS_Ranking4[[#This Row],[FMS Type]]="Education and Outreach",FMS_Ranking4[[#This Row],[Rank (with ArcSinh normalization of select criteria)]],"")</f>
        <v/>
      </c>
      <c r="CB702" s="200" t="str">
        <f>IF(FMS_Ranking4[[#This Row],[FMS Type]]="Property Acquisition and Structural Elevation",FMS_Ranking4[[#This Row],[Rank (with ArcSinh normalization of select criteria)]],"")</f>
        <v/>
      </c>
      <c r="CC702" s="200" t="str">
        <f>IF(FMS_Ranking4[[#This Row],[FMS Type]]="Infrastructure Projects",FMS_Ranking4[[#This Row],[Rank (with ArcSinh normalization of select criteria)]],"")</f>
        <v/>
      </c>
      <c r="CD702" s="200" t="str">
        <f>IF(FMS_Ranking4[[#This Row],[FMS Type]]="Other",FMS_Ranking4[[#This Row],[Rank (with ArcSinh normalization of select criteria)]],"")</f>
        <v/>
      </c>
      <c r="CE702" s="201"/>
      <c r="CF702" s="206"/>
      <c r="CG702" s="206"/>
      <c r="CH702" s="206"/>
      <c r="CI702" s="206"/>
      <c r="CJ702" s="206"/>
      <c r="CK702" s="206"/>
      <c r="CL702" s="206"/>
      <c r="CM702" s="206"/>
      <c r="CN702" s="206"/>
      <c r="CO702" s="206"/>
      <c r="CP702" s="206"/>
      <c r="CQ702" s="206"/>
      <c r="CR702" s="206"/>
    </row>
    <row r="703" spans="2:96" ht="60" x14ac:dyDescent="0.25">
      <c r="B703" s="341" t="s">
        <v>4801</v>
      </c>
      <c r="C703" s="246">
        <f>_xlfn.XLOOKUP(FMS_Ranking4[[#This Row],[FMS ID]],FMS_Input[FMS_ID],FMS_Input[RFPG_NUM])</f>
        <v>4</v>
      </c>
      <c r="D703" s="309" t="str">
        <f>_xlfn.XLOOKUP(FMS_Ranking4[[#This Row],[FMS ID]],FMS_Input[FMS_ID],FMS_Input[FMS_NAME])</f>
        <v>City of Wills Point Flood Emergency Notification System</v>
      </c>
      <c r="E703" s="308" t="str">
        <f>_xlfn.XLOOKUP(FMS_Ranking4[[#This Row],[FMS ID]],FMS_Input[FMS_ID],FMS_Input[SPONSOR])</f>
        <v>00002589</v>
      </c>
      <c r="F703" s="309" t="str">
        <f>_xlfn.XLOOKUP(FMS_Ranking4[[#This Row],[FMS ID]],Sponsor[FMS_ID],Sponsor[SPONSOR NAME])</f>
        <v>Wills Point</v>
      </c>
      <c r="G703" s="309" t="str">
        <f>_xlfn.XLOOKUP(FMS_Ranking4[[#This Row],[FMS ID]],FMS_Input[FMS_ID],FMS_Input[FMS_DESCR])</f>
        <v>Implement and enhance an area-wide telephone Emergency Notification System (“Reverse 911”).</v>
      </c>
      <c r="H703" s="248" t="str">
        <f>_xlfn.XLOOKUP(FMS_Ranking4[[#This Row],[FMS ID]],FMS_Input[FMS_ID],FMS_Input[FMS_TYPE])</f>
        <v>Flood Measurement and Warning</v>
      </c>
      <c r="I703" s="249">
        <f>_xlfn.XLOOKUP(FMS_Ranking4[[#This Row],[FMS ID]],FMS_Input[FMS_ID],FMS_Input[NRNC_COST])</f>
        <v>10200</v>
      </c>
      <c r="J703" s="250">
        <f>_xlfn.XLOOKUP(FMS_Ranking4[[#This Row],[FMS ID]],FMS_Input[FMS_ID],FMS_Input[FMS_COST])</f>
        <v>10200</v>
      </c>
      <c r="K703" s="251" t="str">
        <f>_xlfn.XLOOKUP(FMS_Ranking4[[#This Row],[FMS ID]],FMS_Input[FMS_ID],FMS_Input[EMER_NEED])</f>
        <v>No</v>
      </c>
      <c r="L703" s="252">
        <f t="shared" si="10"/>
        <v>0</v>
      </c>
      <c r="M703" s="253">
        <f>_xlfn.XLOOKUP(FMS_Ranking4[[#This Row],[FMS ID]],FMS_Input[FMS_ID],FMS_Input[STRUCT_100])</f>
        <v>12</v>
      </c>
      <c r="N703" s="255">
        <f>(ASINH(FMS_Ranking4[[#This Row],[Structure at Risk Raw]]))*(10)/(ASINH(M$4))</f>
        <v>2.4997848035776333</v>
      </c>
      <c r="O703" s="256">
        <f>FMS_Ranking4[[#This Row],[Structures at risk, ArcSinh (0-10)]]*M$5*10</f>
        <v>2.4997848035776333</v>
      </c>
      <c r="P703" s="253">
        <f>_xlfn.XLOOKUP(FMS_Ranking4[[#This Row],[FMS ID]],FMS_Input[FMS_ID],FMS_Input[RES_STRUCT100])</f>
        <v>4</v>
      </c>
      <c r="Q703" s="257">
        <f>ASINH(FMS_Ranking4[[#This Row],[Res Structure Raw]])/Q$4*P$5*100</f>
        <v>0</v>
      </c>
      <c r="R703" s="253">
        <f>_xlfn.XLOOKUP(FMS_Ranking4[[#This Row],[FMS ID]],FMS_Input[FMS_ID],FMS_Input[POP100])</f>
        <v>29</v>
      </c>
      <c r="S703" s="259">
        <f>(ASINH(FMS_Ranking4[[#This Row],[Pop at Risk Raw]]))*(10)/(ASINH(R$4))</f>
        <v>2.8033653287721343</v>
      </c>
      <c r="T703" s="256">
        <f>FMS_Ranking4[[#This Row],[Population at risk, ArcSinh (0-10)]]*R$5*10</f>
        <v>2.8033653287721343</v>
      </c>
      <c r="U703" s="253">
        <f>_xlfn.XLOOKUP(FMS_Ranking4[[#This Row],[FMS ID]],FMS_Input[FMS_ID],FMS_Input[CRITFAC100])</f>
        <v>0</v>
      </c>
      <c r="V703" s="259">
        <f>(ASINH(FMS_Ranking4[[#This Row],[Critical Facilities Raw]]))*(10)/(ASINH(U$4))</f>
        <v>0</v>
      </c>
      <c r="W703" s="256">
        <f>FMS_Ranking4[[#This Row],[Critical facilities at risk, ArcSinh (0-10)]]*U$5*10</f>
        <v>0</v>
      </c>
      <c r="X703" s="253">
        <f>_xlfn.XLOOKUP(FMS_Ranking4[[#This Row],[FMS ID]],FMS_Input[FMS_ID],FMS_Input[LWC])</f>
        <v>0</v>
      </c>
      <c r="Y703" s="259">
        <f>(ASINH(FMS_Ranking4[[#This Row],[LWC Raw]]))*(10)/(ASINH(X$4))</f>
        <v>0</v>
      </c>
      <c r="Z703" s="256">
        <f>FMS_Ranking4[[#This Row],[LWC, ArcSInh (0-10)]]*X$5*10</f>
        <v>0</v>
      </c>
      <c r="AA703" s="253">
        <f>_xlfn.XLOOKUP(FMS_Ranking4[[#This Row],[FMS ID]],FMS_Input[FMS_ID],FMS_Input[ROADCLS])</f>
        <v>0</v>
      </c>
      <c r="AB703" s="255">
        <f>(ASINH(FMS_Ranking4[[#This Row],[Road Closures Raw]]))*(10)/(ASINH(AA$4))</f>
        <v>0</v>
      </c>
      <c r="AC703" s="256">
        <f>FMS_Ranking4[[#This Row],[Road closures, ArcSinh (0-10)]]*AA$5*10</f>
        <v>0</v>
      </c>
      <c r="AD703" s="253">
        <f>_xlfn.XLOOKUP(FMS_Ranking4[[#This Row],[FMS ID]],FMS_Input[FMS_ID],FMS_Input[ROAD_MILES100])</f>
        <v>0</v>
      </c>
      <c r="AE703" s="259">
        <f>(ASINH(FMS_Ranking4[[#This Row],[Road Miles Raw]]))*(10)/(ASINH(AD$4))</f>
        <v>0</v>
      </c>
      <c r="AF703" s="256">
        <f>FMS_Ranking4[[#This Row],[Length of roads at risk, ArcSinh (0-10)]]*AD$5*10</f>
        <v>0</v>
      </c>
      <c r="AG703" s="253">
        <f>_xlfn.XLOOKUP(FMS_Ranking4[[#This Row],[FMS ID]],FMS_Input[FMS_ID],FMS_Input[FARMACRE100])</f>
        <v>47.200588226318359</v>
      </c>
      <c r="AH703" s="255">
        <f>(ASINH(FMS_Ranking4[[#This Row],[Ag Land Raw]]))*(10)/(ASINH(AG$4))</f>
        <v>2.9540793869352382</v>
      </c>
      <c r="AI703" s="260">
        <f>FMS_Ranking4[[#This Row],[Farm &amp; ranch land, ArcSinh (0-10)]]*AG$5*10</f>
        <v>1.4770396934676191</v>
      </c>
      <c r="AJ703" s="258">
        <f>_xlfn.XLOOKUP(FMS_Ranking4[[#This Row],[FMS ID]],FMS_Input[FMS_ID],FMS_Input[REDSTRUCT100])</f>
        <v>0</v>
      </c>
      <c r="AK703" s="253">
        <f>_xlfn.XLOOKUP(FMS_Ranking4[[#This Row],[FMS ID]],FMS_Input[FMS_ID],FMS_Input[REMSTRC100])</f>
        <v>0</v>
      </c>
      <c r="AL703" s="259">
        <f>(ASINH(FMS_Ranking4[[#This Row],[Structures Removed Raw]]))*(10)/(ASINH(AK$4))</f>
        <v>0</v>
      </c>
      <c r="AM703" s="262">
        <f>FMS_Ranking4[[#This Row],[Structures removed, ArcSinh (0-10)]]*AK$5*10</f>
        <v>0</v>
      </c>
      <c r="AN703" s="253">
        <f>_xlfn.XLOOKUP(FMS_Ranking4[[#This Row],[FMS ID]],FMS_Input[FMS_ID],FMS_Input[REMRESSTRC100])</f>
        <v>0</v>
      </c>
      <c r="AO703" s="261">
        <f>FMS_Ranking4[[#This Row],[ArcSinh Res struct removed 0-10]]*AN$5*10</f>
        <v>0</v>
      </c>
      <c r="AP703" s="260">
        <f>ASINH(FMS_Ranking4[[#This Row],[Residential Structures Removed Raw]])/AP$4*AN$5*100</f>
        <v>0</v>
      </c>
      <c r="AQ703" s="254">
        <f>(ASINH(FMS_Ranking4[[#This Row],[Residential Structures Removed Raw]]))*(10)/(ASINH(AN$4))</f>
        <v>0</v>
      </c>
      <c r="AR703" s="253">
        <f>_xlfn.XLOOKUP(FMS_Ranking4[[#This Row],[FMS ID]],FMS_Input[FMS_ID],FMS_Input[REMPOP100])</f>
        <v>0</v>
      </c>
      <c r="AS703" s="259">
        <f>(ASINH(FMS_Ranking4[[#This Row],[Removed Pop Raw]]))*(10)/(ASINH(AR$4))</f>
        <v>0</v>
      </c>
      <c r="AT703" s="262">
        <f>FMS_Ranking4[[#This Row],[Removed population, ArcSinh (0-10)]]*AR$5*10</f>
        <v>0</v>
      </c>
      <c r="AU703" s="264">
        <f>_xlfn.XLOOKUP(FMS_Ranking4[[#This Row],[FMS ID]],FMS_Input[FMS_ID],FMS_Input[REMCRITFAC100])</f>
        <v>0</v>
      </c>
      <c r="AV703" s="264">
        <f>_xlfn.XLOOKUP(FMS_Ranking4[[#This Row],[FMS ID]],FMS_Input[FMS_ID],FMS_Input[REMLWC100])</f>
        <v>0</v>
      </c>
      <c r="AW703" s="264">
        <f>_xlfn.XLOOKUP(FMS_Ranking4[[#This Row],[FMS ID]],FMS_Input[FMS_ID],FMS_Input[REMROADCLS])</f>
        <v>0</v>
      </c>
      <c r="AX703" s="264">
        <f>_xlfn.XLOOKUP(FMS_Ranking4[[#This Row],[FMS ID]],FMS_Input[FMS_ID],FMS_Input[REMFRMACRE100])</f>
        <v>0</v>
      </c>
      <c r="AY703" s="258">
        <f>_xlfn.XLOOKUP(FMS_Ranking4[[#This Row],[FMS ID]],FMS_Input[FMS_ID],FMS_Input[COSTSTRUCT])</f>
        <v>0</v>
      </c>
      <c r="AZ703" s="253">
        <f>_xlfn.XLOOKUP(FMS_Ranking4[[#This Row],[FMS ID]],FMS_Input[FMS_ID],FMS_Input[NATURE])</f>
        <v>0</v>
      </c>
      <c r="BA703" s="262">
        <f>(((FMS_Ranking4[[#This Row],[% NBS Raw]]/AZ$4)*100)*AZ$5)</f>
        <v>0</v>
      </c>
      <c r="BB703" s="251" t="str">
        <f>_xlfn.XLOOKUP(FMS_Ranking4[[#This Row],[FMS ID]],FMS_Input[FMS_ID],FMS_Input[WATER_SUP])</f>
        <v>No</v>
      </c>
      <c r="BC703" s="265">
        <f>IF(FMS_Ranking4[[#This Row],[Water Supply Raw]]="Yes",10,0)</f>
        <v>0</v>
      </c>
      <c r="BD703" s="266">
        <f>_xlfn.XLOOKUP(FMS_Ranking4[[#This Row],[FMS Type]],FMS_TYPE[FMS_Type],FMS_TYPE[Score])</f>
        <v>10</v>
      </c>
      <c r="BE703" s="267">
        <f>FMS_Ranking4[[#This Row],[FMS_Type Score]]*$BD$5*10</f>
        <v>2.5</v>
      </c>
      <c r="BF70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1.1117906012142087E-3</v>
      </c>
      <c r="BG703" s="271">
        <f>_xlfn.RANK.EQ(BF703,$BF$8:$BF$870,0)+COUNTIF($BF$8:BF703,BF703)-1</f>
        <v>744</v>
      </c>
      <c r="BH703" s="268">
        <f>(((FMS_Ranking4[[#This Row],[Structures Removed Raw]]/AK$4)*100)*AK$5)+(((FMS_Ranking4[[#This Row],[Removed Pop Raw]]/AR$4)*100)*AR$5)</f>
        <v>0</v>
      </c>
      <c r="BI70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2.5011117906012141</v>
      </c>
      <c r="BJ703" s="205">
        <f>_xlfn.RANK.EQ(FMS_Ranking4[[#This Row],[Total Score 
(with linear
normalization)]],FMS_Ranking4[Total Score 
(with linear
normalization)],0)</f>
        <v>254</v>
      </c>
      <c r="BK703" s="205" t="e">
        <f>_xlfn.XLOOKUP(FMS_Ranking4[[#This Row],[FMS ID]],#REF!,#REF!)</f>
        <v>#REF!</v>
      </c>
      <c r="BL70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6.7801898258173861</v>
      </c>
      <c r="BM703" s="272">
        <f>FMS_Ranking4[[#This Row],[ArcSinh Score Based on Normalized Reported Factors]]+FMS_Ranking4[[#This Row],[% NBS Score (Normalized)]]+(FMS_Ranking4[[#This Row],[Water Supply Score (Normalized)]]*10*$BB$5)+FMS_Ranking4[[#This Row],[FMS_Type Score Weighted]]</f>
        <v>9.2801898258173861</v>
      </c>
      <c r="BN703" s="205">
        <f>_xlfn.RANK.EQ(FMS_Ranking4[[#This Row],[Total Score (with ArcSinh normalization of select criteria)]],FMS_Ranking4[Total Score (with ArcSinh normalization of select criteria)],0)</f>
        <v>696</v>
      </c>
      <c r="BO703" s="270" t="str">
        <f>_xlfn.XLOOKUP(FMS_Ranking4[[#This Row],[FMS ID]],FMS_Input[FMS_ID],FMS_Input[FMS_RANK_YEAR])</f>
        <v>2023 Amended Plan</v>
      </c>
      <c r="BP703" s="204">
        <f>_xlfn.XLOOKUP(FMS_Ranking4[[#This Row],[FMS ID]],Prev_Rank[FMS ID],Prev_Rank[Prev Rank])</f>
        <v>625</v>
      </c>
      <c r="BQ703" s="205" t="e">
        <f>_xlfn.XLOOKUP(FMS_Ranking4[[#This Row],[FMS ID]],#REF!,#REF!)</f>
        <v>#REF!</v>
      </c>
      <c r="BR703" s="199" t="e">
        <f>SUM(#REF!,#REF!,#REF!,#REF!,#REF!,#REF!,#REF!,#REF!,#REF!,FMS_Ranking4[[#This Row],[ArcSinh Res struct removed 0-10]],#REF!)</f>
        <v>#REF!</v>
      </c>
      <c r="BS703" s="199" t="e">
        <f>FMS_Ranking4[[#This Row],[Log Score Based on Normalized Reported Factors]]+FMS_Ranking4[[#This Row],[% NBS Score (Normalized)]]+(FMS_Ranking4[[#This Row],[Water Supply Score (Normalized)]]*10*$BB$5)+(FMS_Ranking4[[#This Row],[FMS_Type Score Weighted]])</f>
        <v>#REF!</v>
      </c>
      <c r="BT703" s="200" t="e">
        <f>_xlfn.RANK.EQ(FMS_Ranking4[[#This Row],[Log Total Score]],FMS_Ranking4[Log Total Score],0)</f>
        <v>#REF!</v>
      </c>
      <c r="BU703" s="200" t="e">
        <f>_xlfn.XLOOKUP(FMS_Ranking4[[#This Row],[FMS ID]],#REF!,#REF!)</f>
        <v>#REF!</v>
      </c>
      <c r="BV703" s="200">
        <f>FMS_Ranking4[[#This Row],[Region Number]]</f>
        <v>4</v>
      </c>
      <c r="BW703" s="200">
        <f>FMS_Ranking4[[#This Row],[Rank (with ArcSinh normalization of select criteria)]]-FMS_Ranking4[[#This Row],[Rank
(with linear
normalization)]]</f>
        <v>442</v>
      </c>
      <c r="BX703" s="200" t="e">
        <f>FMS_Ranking4[[#This Row],[Log Rank]]-FMS_Ranking4[[#This Row],[Rank
(with linear
normalization)]]</f>
        <v>#REF!</v>
      </c>
      <c r="BY703" s="200">
        <f>IF(FMS_Ranking4[[#This Row],[FMS Type]]="Flood Measurement and Warning",FMS_Ranking4[[#This Row],[Rank (with ArcSinh normalization of select criteria)]],"")</f>
        <v>696</v>
      </c>
      <c r="BZ703" s="200" t="str">
        <f>IF(FMS_Ranking4[[#This Row],[FMS Type]]="Regulatory and Guidance",FMS_Ranking4[[#This Row],[Rank (with ArcSinh normalization of select criteria)]],"")</f>
        <v/>
      </c>
      <c r="CA703" s="200" t="str">
        <f>IF(FMS_Ranking4[[#This Row],[FMS Type]]="Education and Outreach",FMS_Ranking4[[#This Row],[Rank (with ArcSinh normalization of select criteria)]],"")</f>
        <v/>
      </c>
      <c r="CB703" s="200" t="str">
        <f>IF(FMS_Ranking4[[#This Row],[FMS Type]]="Property Acquisition and Structural Elevation",FMS_Ranking4[[#This Row],[Rank (with ArcSinh normalization of select criteria)]],"")</f>
        <v/>
      </c>
      <c r="CC703" s="200" t="str">
        <f>IF(FMS_Ranking4[[#This Row],[FMS Type]]="Infrastructure Projects",FMS_Ranking4[[#This Row],[Rank (with ArcSinh normalization of select criteria)]],"")</f>
        <v/>
      </c>
      <c r="CD703" s="200" t="str">
        <f>IF(FMS_Ranking4[[#This Row],[FMS Type]]="Other",FMS_Ranking4[[#This Row],[Rank (with ArcSinh normalization of select criteria)]],"")</f>
        <v/>
      </c>
      <c r="CE703" s="201"/>
      <c r="CF703" s="206"/>
      <c r="CG703" s="206"/>
      <c r="CH703" s="206"/>
      <c r="CI703" s="206"/>
      <c r="CJ703" s="206"/>
      <c r="CK703" s="206"/>
      <c r="CL703" s="206"/>
      <c r="CM703" s="206"/>
      <c r="CN703" s="206"/>
      <c r="CO703" s="206"/>
      <c r="CP703" s="206"/>
      <c r="CQ703" s="206"/>
      <c r="CR703" s="206"/>
    </row>
    <row r="704" spans="2:96" ht="120" x14ac:dyDescent="0.25">
      <c r="B704" s="341" t="s">
        <v>808</v>
      </c>
      <c r="C704" s="246">
        <f>_xlfn.XLOOKUP(FMS_Ranking4[[#This Row],[FMS ID]],FMS_Input[FMS_ID],FMS_Input[RFPG_NUM])</f>
        <v>9</v>
      </c>
      <c r="D704" s="309" t="str">
        <f>_xlfn.XLOOKUP(FMS_Ranking4[[#This Row],[FMS ID]],FMS_Input[FMS_ID],FMS_Input[FMS_NAME])</f>
        <v>City of Winters Flood Awareness Program</v>
      </c>
      <c r="E704" s="308" t="str">
        <f>_xlfn.XLOOKUP(FMS_Ranking4[[#This Row],[FMS ID]],FMS_Input[FMS_ID],FMS_Input[SPONSOR])</f>
        <v>00000145</v>
      </c>
      <c r="F704" s="309" t="str">
        <f>_xlfn.XLOOKUP(FMS_Ranking4[[#This Row],[FMS ID]],Sponsor[FMS_ID],Sponsor[SPONSOR NAME])</f>
        <v>Runnels</v>
      </c>
      <c r="G704" s="309" t="str">
        <f>_xlfn.XLOOKUP(FMS_Ranking4[[#This Row],[FMS ID]],FMS_Input[FMS_ID],FMS_Input[FMS_DESCR])</f>
        <v xml:space="preserve">Implement education and awareness program utilizing media, social media, bulletins, flyers, etc. to educate citizens of hazards that can threaten the area and mitigation measures to reduce injuries, fatalities, and property damages.  </v>
      </c>
      <c r="H704" s="248" t="str">
        <f>_xlfn.XLOOKUP(FMS_Ranking4[[#This Row],[FMS ID]],FMS_Input[FMS_ID],FMS_Input[FMS_TYPE])</f>
        <v>Other</v>
      </c>
      <c r="I704" s="249">
        <f>_xlfn.XLOOKUP(FMS_Ranking4[[#This Row],[FMS ID]],FMS_Input[FMS_ID],FMS_Input[NRNC_COST])</f>
        <v>5000</v>
      </c>
      <c r="J704" s="250">
        <f>_xlfn.XLOOKUP(FMS_Ranking4[[#This Row],[FMS ID]],FMS_Input[FMS_ID],FMS_Input[FMS_COST])</f>
        <v>30000</v>
      </c>
      <c r="K704" s="251" t="str">
        <f>_xlfn.XLOOKUP(FMS_Ranking4[[#This Row],[FMS ID]],FMS_Input[FMS_ID],FMS_Input[EMER_NEED])</f>
        <v>No</v>
      </c>
      <c r="L704" s="252">
        <f t="shared" si="10"/>
        <v>0</v>
      </c>
      <c r="M704" s="253">
        <f>_xlfn.XLOOKUP(FMS_Ranking4[[#This Row],[FMS ID]],FMS_Input[FMS_ID],FMS_Input[STRUCT_100])</f>
        <v>1</v>
      </c>
      <c r="N704" s="255">
        <f>(ASINH(FMS_Ranking4[[#This Row],[Structure at Risk Raw]]))*(10)/(ASINH(M$4))</f>
        <v>0.69289087024057039</v>
      </c>
      <c r="O704" s="256">
        <f>FMS_Ranking4[[#This Row],[Structures at risk, ArcSinh (0-10)]]*M$5*10</f>
        <v>0.6928908702405705</v>
      </c>
      <c r="P704" s="253">
        <f>_xlfn.XLOOKUP(FMS_Ranking4[[#This Row],[FMS ID]],FMS_Input[FMS_ID],FMS_Input[RES_STRUCT100])</f>
        <v>1</v>
      </c>
      <c r="Q704" s="257">
        <f>ASINH(FMS_Ranking4[[#This Row],[Res Structure Raw]])/Q$4*P$5*100</f>
        <v>0</v>
      </c>
      <c r="R704" s="253">
        <f>_xlfn.XLOOKUP(FMS_Ranking4[[#This Row],[FMS ID]],FMS_Input[FMS_ID],FMS_Input[POP100])</f>
        <v>14</v>
      </c>
      <c r="S704" s="259">
        <f>(ASINH(FMS_Ranking4[[#This Row],[Pop at Risk Raw]]))*(10)/(ASINH(R$4))</f>
        <v>2.3012936463949329</v>
      </c>
      <c r="T704" s="256">
        <f>FMS_Ranking4[[#This Row],[Population at risk, ArcSinh (0-10)]]*R$5*10</f>
        <v>2.3012936463949329</v>
      </c>
      <c r="U704" s="253">
        <f>_xlfn.XLOOKUP(FMS_Ranking4[[#This Row],[FMS ID]],FMS_Input[FMS_ID],FMS_Input[CRITFAC100])</f>
        <v>0</v>
      </c>
      <c r="V704" s="259">
        <f>(ASINH(FMS_Ranking4[[#This Row],[Critical Facilities Raw]]))*(10)/(ASINH(U$4))</f>
        <v>0</v>
      </c>
      <c r="W704" s="256">
        <f>FMS_Ranking4[[#This Row],[Critical facilities at risk, ArcSinh (0-10)]]*U$5*10</f>
        <v>0</v>
      </c>
      <c r="X704" s="253">
        <f>_xlfn.XLOOKUP(FMS_Ranking4[[#This Row],[FMS ID]],FMS_Input[FMS_ID],FMS_Input[LWC])</f>
        <v>0</v>
      </c>
      <c r="Y704" s="259">
        <f>(ASINH(FMS_Ranking4[[#This Row],[LWC Raw]]))*(10)/(ASINH(X$4))</f>
        <v>0</v>
      </c>
      <c r="Z704" s="256">
        <f>FMS_Ranking4[[#This Row],[LWC, ArcSInh (0-10)]]*X$5*10</f>
        <v>0</v>
      </c>
      <c r="AA704" s="253">
        <f>_xlfn.XLOOKUP(FMS_Ranking4[[#This Row],[FMS ID]],FMS_Input[FMS_ID],FMS_Input[ROADCLS])</f>
        <v>0</v>
      </c>
      <c r="AB704" s="255">
        <f>(ASINH(FMS_Ranking4[[#This Row],[Road Closures Raw]]))*(10)/(ASINH(AA$4))</f>
        <v>0</v>
      </c>
      <c r="AC704" s="256">
        <f>FMS_Ranking4[[#This Row],[Road closures, ArcSinh (0-10)]]*AA$5*10</f>
        <v>0</v>
      </c>
      <c r="AD704" s="253">
        <f>_xlfn.XLOOKUP(FMS_Ranking4[[#This Row],[FMS ID]],FMS_Input[FMS_ID],FMS_Input[ROAD_MILES100])</f>
        <v>2</v>
      </c>
      <c r="AE704" s="259">
        <f>(ASINH(FMS_Ranking4[[#This Row],[Road Miles Raw]]))*(10)/(ASINH(AD$4))</f>
        <v>1.5385182374234352</v>
      </c>
      <c r="AF704" s="256">
        <f>FMS_Ranking4[[#This Row],[Length of roads at risk, ArcSinh (0-10)]]*AD$5*10</f>
        <v>1.5385182374234352</v>
      </c>
      <c r="AG704" s="253">
        <f>_xlfn.XLOOKUP(FMS_Ranking4[[#This Row],[FMS ID]],FMS_Input[FMS_ID],FMS_Input[FARMACRE100])</f>
        <v>33.343765258789063</v>
      </c>
      <c r="AH704" s="255">
        <f>(ASINH(FMS_Ranking4[[#This Row],[Ag Land Raw]]))*(10)/(ASINH(AG$4))</f>
        <v>2.728399870091565</v>
      </c>
      <c r="AI704" s="260">
        <f>FMS_Ranking4[[#This Row],[Farm &amp; ranch land, ArcSinh (0-10)]]*AG$5*10</f>
        <v>1.3641999350457825</v>
      </c>
      <c r="AJ704" s="258">
        <f>_xlfn.XLOOKUP(FMS_Ranking4[[#This Row],[FMS ID]],FMS_Input[FMS_ID],FMS_Input[REDSTRUCT100])</f>
        <v>1</v>
      </c>
      <c r="AK704" s="253">
        <f>_xlfn.XLOOKUP(FMS_Ranking4[[#This Row],[FMS ID]],FMS_Input[FMS_ID],FMS_Input[REMSTRC100])</f>
        <v>1</v>
      </c>
      <c r="AL704" s="259">
        <f>(ASINH(FMS_Ranking4[[#This Row],[Structures Removed Raw]]))*(10)/(ASINH(AK$4))</f>
        <v>1.0035067418235621</v>
      </c>
      <c r="AM704" s="262">
        <f>FMS_Ranking4[[#This Row],[Structures removed, ArcSinh (0-10)]]*AK$5*10</f>
        <v>1.0035067418235621</v>
      </c>
      <c r="AN704" s="253">
        <f>_xlfn.XLOOKUP(FMS_Ranking4[[#This Row],[FMS ID]],FMS_Input[FMS_ID],FMS_Input[REMRESSTRC100])</f>
        <v>0</v>
      </c>
      <c r="AO704" s="261">
        <f>FMS_Ranking4[[#This Row],[ArcSinh Res struct removed 0-10]]*AN$5*10</f>
        <v>0</v>
      </c>
      <c r="AP704" s="260">
        <f>ASINH(FMS_Ranking4[[#This Row],[Residential Structures Removed Raw]])/AP$4*AN$5*100</f>
        <v>0</v>
      </c>
      <c r="AQ704" s="254">
        <f>(ASINH(FMS_Ranking4[[#This Row],[Residential Structures Removed Raw]]))*(10)/(ASINH(AN$4))</f>
        <v>0</v>
      </c>
      <c r="AR704" s="253">
        <f>_xlfn.XLOOKUP(FMS_Ranking4[[#This Row],[FMS ID]],FMS_Input[FMS_ID],FMS_Input[REMPOP100])</f>
        <v>3</v>
      </c>
      <c r="AS704" s="259">
        <f>(ASINH(FMS_Ranking4[[#This Row],[Removed Pop Raw]]))*(10)/(ASINH(AR$4))</f>
        <v>1.7850242185191216</v>
      </c>
      <c r="AT704" s="262">
        <f>FMS_Ranking4[[#This Row],[Removed population, ArcSinh (0-10)]]*AR$5*10</f>
        <v>1.7850242185191219</v>
      </c>
      <c r="AU704" s="264">
        <f>_xlfn.XLOOKUP(FMS_Ranking4[[#This Row],[FMS ID]],FMS_Input[FMS_ID],FMS_Input[REMCRITFAC100])</f>
        <v>0</v>
      </c>
      <c r="AV704" s="264">
        <f>_xlfn.XLOOKUP(FMS_Ranking4[[#This Row],[FMS ID]],FMS_Input[FMS_ID],FMS_Input[REMLWC100])</f>
        <v>0</v>
      </c>
      <c r="AW704" s="264">
        <f>_xlfn.XLOOKUP(FMS_Ranking4[[#This Row],[FMS ID]],FMS_Input[FMS_ID],FMS_Input[REMROADCLS])</f>
        <v>0</v>
      </c>
      <c r="AX704" s="264">
        <f>_xlfn.XLOOKUP(FMS_Ranking4[[#This Row],[FMS ID]],FMS_Input[FMS_ID],FMS_Input[REMFRMACRE100])</f>
        <v>8.3359413146972656</v>
      </c>
      <c r="AY704" s="258">
        <f>_xlfn.XLOOKUP(FMS_Ranking4[[#This Row],[FMS ID]],FMS_Input[FMS_ID],FMS_Input[COSTSTRUCT])</f>
        <v>25000</v>
      </c>
      <c r="AZ704" s="253">
        <f>_xlfn.XLOOKUP(FMS_Ranking4[[#This Row],[FMS ID]],FMS_Input[FMS_ID],FMS_Input[NATURE])</f>
        <v>0</v>
      </c>
      <c r="BA704" s="262">
        <f>(((FMS_Ranking4[[#This Row],[% NBS Raw]]/AZ$4)*100)*AZ$5)</f>
        <v>0</v>
      </c>
      <c r="BB704" s="251" t="str">
        <f>_xlfn.XLOOKUP(FMS_Ranking4[[#This Row],[FMS ID]],FMS_Input[FMS_ID],FMS_Input[WATER_SUP])</f>
        <v>No</v>
      </c>
      <c r="BC704" s="265">
        <f>IF(FMS_Ranking4[[#This Row],[Water Supply Raw]]="Yes",10,0)</f>
        <v>0</v>
      </c>
      <c r="BD704" s="266">
        <f>_xlfn.XLOOKUP(FMS_Ranking4[[#This Row],[FMS Type]],FMS_TYPE[FMS_Type],FMS_TYPE[Score])</f>
        <v>2</v>
      </c>
      <c r="BE704" s="267">
        <f>FMS_Ranking4[[#This Row],[FMS_Type Score]]*$BD$5*10</f>
        <v>0.5</v>
      </c>
      <c r="BF70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3.6366030606309247E-3</v>
      </c>
      <c r="BG704" s="271">
        <f>_xlfn.RANK.EQ(BF704,$BF$8:$BF$870,0)+COUNTIF($BF$8:BF704,BF704)-1</f>
        <v>702</v>
      </c>
      <c r="BH704" s="268">
        <f>(((FMS_Ranking4[[#This Row],[Structures Removed Raw]]/AK$4)*100)*AK$5)+(((FMS_Ranking4[[#This Row],[Removed Pop Raw]]/AR$4)*100)*AR$5)</f>
        <v>5.3254100541497507E-3</v>
      </c>
      <c r="BI70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0.50896201311478073</v>
      </c>
      <c r="BJ704" s="205">
        <f>_xlfn.RANK.EQ(FMS_Ranking4[[#This Row],[Total Score 
(with linear
normalization)]],FMS_Ranking4[Total Score 
(with linear
normalization)],0)</f>
        <v>847</v>
      </c>
      <c r="BK704" s="205" t="e">
        <f>_xlfn.XLOOKUP(FMS_Ranking4[[#This Row],[FMS ID]],#REF!,#REF!)</f>
        <v>#REF!</v>
      </c>
      <c r="BL70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8.685433649447404</v>
      </c>
      <c r="BM704" s="272">
        <f>FMS_Ranking4[[#This Row],[ArcSinh Score Based on Normalized Reported Factors]]+FMS_Ranking4[[#This Row],[% NBS Score (Normalized)]]+(FMS_Ranking4[[#This Row],[Water Supply Score (Normalized)]]*10*$BB$5)+FMS_Ranking4[[#This Row],[FMS_Type Score Weighted]]</f>
        <v>9.185433649447404</v>
      </c>
      <c r="BN704" s="205">
        <f>_xlfn.RANK.EQ(FMS_Ranking4[[#This Row],[Total Score (with ArcSinh normalization of select criteria)]],FMS_Ranking4[Total Score (with ArcSinh normalization of select criteria)],0)</f>
        <v>697</v>
      </c>
      <c r="BO704" s="270" t="str">
        <f>_xlfn.XLOOKUP(FMS_Ranking4[[#This Row],[FMS ID]],FMS_Input[FMS_ID],FMS_Input[FMS_RANK_YEAR])</f>
        <v>2023 Amended Plan</v>
      </c>
      <c r="BP704" s="204">
        <f>_xlfn.XLOOKUP(FMS_Ranking4[[#This Row],[FMS ID]],Prev_Rank[FMS ID],Prev_Rank[Prev Rank])</f>
        <v>632</v>
      </c>
      <c r="BQ704" s="205" t="e">
        <f>_xlfn.XLOOKUP(FMS_Ranking4[[#This Row],[FMS ID]],#REF!,#REF!)</f>
        <v>#REF!</v>
      </c>
      <c r="BR704" s="199" t="e">
        <f>SUM(#REF!,#REF!,#REF!,#REF!,#REF!,#REF!,#REF!,#REF!,#REF!,FMS_Ranking4[[#This Row],[ArcSinh Res struct removed 0-10]],#REF!)</f>
        <v>#REF!</v>
      </c>
      <c r="BS704" s="199" t="e">
        <f>FMS_Ranking4[[#This Row],[Log Score Based on Normalized Reported Factors]]+FMS_Ranking4[[#This Row],[% NBS Score (Normalized)]]+(FMS_Ranking4[[#This Row],[Water Supply Score (Normalized)]]*10*$BB$5)+(FMS_Ranking4[[#This Row],[FMS_Type Score Weighted]])</f>
        <v>#REF!</v>
      </c>
      <c r="BT704" s="200" t="e">
        <f>_xlfn.RANK.EQ(FMS_Ranking4[[#This Row],[Log Total Score]],FMS_Ranking4[Log Total Score],0)</f>
        <v>#REF!</v>
      </c>
      <c r="BU704" s="200" t="e">
        <f>_xlfn.XLOOKUP(FMS_Ranking4[[#This Row],[FMS ID]],#REF!,#REF!)</f>
        <v>#REF!</v>
      </c>
      <c r="BV704" s="200">
        <f>FMS_Ranking4[[#This Row],[Region Number]]</f>
        <v>9</v>
      </c>
      <c r="BW704" s="200">
        <f>FMS_Ranking4[[#This Row],[Rank (with ArcSinh normalization of select criteria)]]-FMS_Ranking4[[#This Row],[Rank
(with linear
normalization)]]</f>
        <v>-150</v>
      </c>
      <c r="BX704" s="200" t="e">
        <f>FMS_Ranking4[[#This Row],[Log Rank]]-FMS_Ranking4[[#This Row],[Rank
(with linear
normalization)]]</f>
        <v>#REF!</v>
      </c>
      <c r="BY704" s="200" t="str">
        <f>IF(FMS_Ranking4[[#This Row],[FMS Type]]="Flood Measurement and Warning",FMS_Ranking4[[#This Row],[Rank (with ArcSinh normalization of select criteria)]],"")</f>
        <v/>
      </c>
      <c r="BZ704" s="200" t="str">
        <f>IF(FMS_Ranking4[[#This Row],[FMS Type]]="Regulatory and Guidance",FMS_Ranking4[[#This Row],[Rank (with ArcSinh normalization of select criteria)]],"")</f>
        <v/>
      </c>
      <c r="CA704" s="200" t="str">
        <f>IF(FMS_Ranking4[[#This Row],[FMS Type]]="Education and Outreach",FMS_Ranking4[[#This Row],[Rank (with ArcSinh normalization of select criteria)]],"")</f>
        <v/>
      </c>
      <c r="CB704" s="200" t="str">
        <f>IF(FMS_Ranking4[[#This Row],[FMS Type]]="Property Acquisition and Structural Elevation",FMS_Ranking4[[#This Row],[Rank (with ArcSinh normalization of select criteria)]],"")</f>
        <v/>
      </c>
      <c r="CC704" s="200" t="str">
        <f>IF(FMS_Ranking4[[#This Row],[FMS Type]]="Infrastructure Projects",FMS_Ranking4[[#This Row],[Rank (with ArcSinh normalization of select criteria)]],"")</f>
        <v/>
      </c>
      <c r="CD704" s="200">
        <f>IF(FMS_Ranking4[[#This Row],[FMS Type]]="Other",FMS_Ranking4[[#This Row],[Rank (with ArcSinh normalization of select criteria)]],"")</f>
        <v>697</v>
      </c>
      <c r="CE704" s="201"/>
      <c r="CF704" s="206"/>
      <c r="CG704" s="206"/>
      <c r="CH704" s="206"/>
      <c r="CI704" s="206"/>
      <c r="CJ704" s="206"/>
      <c r="CK704" s="206"/>
      <c r="CL704" s="206"/>
      <c r="CM704" s="206"/>
      <c r="CN704" s="206"/>
      <c r="CO704" s="206"/>
      <c r="CP704" s="206"/>
      <c r="CQ704" s="206"/>
      <c r="CR704" s="206"/>
    </row>
    <row r="705" spans="2:96" ht="45" x14ac:dyDescent="0.25">
      <c r="B705" s="341" t="s">
        <v>4782</v>
      </c>
      <c r="C705" s="246">
        <f>_xlfn.XLOOKUP(FMS_Ranking4[[#This Row],[FMS ID]],FMS_Input[FMS_ID],FMS_Input[RFPG_NUM])</f>
        <v>4</v>
      </c>
      <c r="D705" s="309" t="str">
        <f>_xlfn.XLOOKUP(FMS_Ranking4[[#This Row],[FMS ID]],FMS_Input[FMS_ID],FMS_Input[FMS_NAME])</f>
        <v>City of Fruitvale "StormReady" Program</v>
      </c>
      <c r="E705" s="308" t="str">
        <f>_xlfn.XLOOKUP(FMS_Ranking4[[#This Row],[FMS ID]],FMS_Input[FMS_ID],FMS_Input[SPONSOR])</f>
        <v>04002537</v>
      </c>
      <c r="F705" s="309" t="str">
        <f>_xlfn.XLOOKUP(FMS_Ranking4[[#This Row],[FMS ID]],Sponsor[FMS_ID],Sponsor[SPONSOR NAME])</f>
        <v>Fruitvale</v>
      </c>
      <c r="G705" s="309" t="str">
        <f>_xlfn.XLOOKUP(FMS_Ranking4[[#This Row],[FMS ID]],FMS_Input[FMS_ID],FMS_Input[FMS_DESCR])</f>
        <v>Obtain certification in the National Weather Service StormReady Program.</v>
      </c>
      <c r="H705" s="248" t="str">
        <f>_xlfn.XLOOKUP(FMS_Ranking4[[#This Row],[FMS ID]],FMS_Input[FMS_ID],FMS_Input[FMS_TYPE])</f>
        <v>Regulatory and Guidance</v>
      </c>
      <c r="I705" s="249">
        <f>_xlfn.XLOOKUP(FMS_Ranking4[[#This Row],[FMS ID]],FMS_Input[FMS_ID],FMS_Input[NRNC_COST])</f>
        <v>10000</v>
      </c>
      <c r="J705" s="250">
        <f>_xlfn.XLOOKUP(FMS_Ranking4[[#This Row],[FMS ID]],FMS_Input[FMS_ID],FMS_Input[FMS_COST])</f>
        <v>10000</v>
      </c>
      <c r="K705" s="251" t="str">
        <f>_xlfn.XLOOKUP(FMS_Ranking4[[#This Row],[FMS ID]],FMS_Input[FMS_ID],FMS_Input[EMER_NEED])</f>
        <v>No</v>
      </c>
      <c r="L705" s="252">
        <f t="shared" si="10"/>
        <v>0</v>
      </c>
      <c r="M705" s="253">
        <f>_xlfn.XLOOKUP(FMS_Ranking4[[#This Row],[FMS ID]],FMS_Input[FMS_ID],FMS_Input[STRUCT_100])</f>
        <v>4</v>
      </c>
      <c r="N705" s="255">
        <f>(ASINH(FMS_Ranking4[[#This Row],[Structure at Risk Raw]]))*(10)/(ASINH(M$4))</f>
        <v>1.6467559513369034</v>
      </c>
      <c r="O705" s="256">
        <f>FMS_Ranking4[[#This Row],[Structures at risk, ArcSinh (0-10)]]*M$5*10</f>
        <v>1.6467559513369034</v>
      </c>
      <c r="P705" s="253">
        <f>_xlfn.XLOOKUP(FMS_Ranking4[[#This Row],[FMS ID]],FMS_Input[FMS_ID],FMS_Input[RES_STRUCT100])</f>
        <v>1</v>
      </c>
      <c r="Q705" s="257">
        <f>ASINH(FMS_Ranking4[[#This Row],[Res Structure Raw]])/Q$4*P$5*100</f>
        <v>0</v>
      </c>
      <c r="R705" s="253">
        <f>_xlfn.XLOOKUP(FMS_Ranking4[[#This Row],[FMS ID]],FMS_Input[FMS_ID],FMS_Input[POP100])</f>
        <v>12</v>
      </c>
      <c r="S705" s="259">
        <f>(ASINH(FMS_Ranking4[[#This Row],[Pop at Risk Raw]]))*(10)/(ASINH(R$4))</f>
        <v>2.1951910081741675</v>
      </c>
      <c r="T705" s="256">
        <f>FMS_Ranking4[[#This Row],[Population at risk, ArcSinh (0-10)]]*R$5*10</f>
        <v>2.1951910081741675</v>
      </c>
      <c r="U705" s="253">
        <f>_xlfn.XLOOKUP(FMS_Ranking4[[#This Row],[FMS ID]],FMS_Input[FMS_ID],FMS_Input[CRITFAC100])</f>
        <v>0</v>
      </c>
      <c r="V705" s="259">
        <f>(ASINH(FMS_Ranking4[[#This Row],[Critical Facilities Raw]]))*(10)/(ASINH(U$4))</f>
        <v>0</v>
      </c>
      <c r="W705" s="256">
        <f>FMS_Ranking4[[#This Row],[Critical facilities at risk, ArcSinh (0-10)]]*U$5*10</f>
        <v>0</v>
      </c>
      <c r="X705" s="253">
        <f>_xlfn.XLOOKUP(FMS_Ranking4[[#This Row],[FMS ID]],FMS_Input[FMS_ID],FMS_Input[LWC])</f>
        <v>0</v>
      </c>
      <c r="Y705" s="259">
        <f>(ASINH(FMS_Ranking4[[#This Row],[LWC Raw]]))*(10)/(ASINH(X$4))</f>
        <v>0</v>
      </c>
      <c r="Z705" s="256">
        <f>FMS_Ranking4[[#This Row],[LWC, ArcSInh (0-10)]]*X$5*10</f>
        <v>0</v>
      </c>
      <c r="AA705" s="253">
        <f>_xlfn.XLOOKUP(FMS_Ranking4[[#This Row],[FMS ID]],FMS_Input[FMS_ID],FMS_Input[ROADCLS])</f>
        <v>0</v>
      </c>
      <c r="AB705" s="255">
        <f>(ASINH(FMS_Ranking4[[#This Row],[Road Closures Raw]]))*(10)/(ASINH(AA$4))</f>
        <v>0</v>
      </c>
      <c r="AC705" s="256">
        <f>FMS_Ranking4[[#This Row],[Road closures, ArcSinh (0-10)]]*AA$5*10</f>
        <v>0</v>
      </c>
      <c r="AD705" s="253">
        <f>_xlfn.XLOOKUP(FMS_Ranking4[[#This Row],[FMS ID]],FMS_Input[FMS_ID],FMS_Input[ROAD_MILES100])</f>
        <v>2</v>
      </c>
      <c r="AE705" s="259">
        <f>(ASINH(FMS_Ranking4[[#This Row],[Road Miles Raw]]))*(10)/(ASINH(AD$4))</f>
        <v>1.5385182374234352</v>
      </c>
      <c r="AF705" s="256">
        <f>FMS_Ranking4[[#This Row],[Length of roads at risk, ArcSinh (0-10)]]*AD$5*10</f>
        <v>1.5385182374234352</v>
      </c>
      <c r="AG705" s="253">
        <f>_xlfn.XLOOKUP(FMS_Ranking4[[#This Row],[FMS ID]],FMS_Input[FMS_ID],FMS_Input[FARMACRE100])</f>
        <v>126.89296722412109</v>
      </c>
      <c r="AH705" s="255">
        <f>(ASINH(FMS_Ranking4[[#This Row],[Ag Land Raw]]))*(10)/(ASINH(AG$4))</f>
        <v>3.5964121309135355</v>
      </c>
      <c r="AI705" s="260">
        <f>FMS_Ranking4[[#This Row],[Farm &amp; ranch land, ArcSinh (0-10)]]*AG$5*10</f>
        <v>1.7982060654567678</v>
      </c>
      <c r="AJ705" s="258">
        <f>_xlfn.XLOOKUP(FMS_Ranking4[[#This Row],[FMS ID]],FMS_Input[FMS_ID],FMS_Input[REDSTRUCT100])</f>
        <v>0</v>
      </c>
      <c r="AK705" s="253">
        <f>_xlfn.XLOOKUP(FMS_Ranking4[[#This Row],[FMS ID]],FMS_Input[FMS_ID],FMS_Input[REMSTRC100])</f>
        <v>0</v>
      </c>
      <c r="AL705" s="259">
        <f>(ASINH(FMS_Ranking4[[#This Row],[Structures Removed Raw]]))*(10)/(ASINH(AK$4))</f>
        <v>0</v>
      </c>
      <c r="AM705" s="262">
        <f>FMS_Ranking4[[#This Row],[Structures removed, ArcSinh (0-10)]]*AK$5*10</f>
        <v>0</v>
      </c>
      <c r="AN705" s="253">
        <f>_xlfn.XLOOKUP(FMS_Ranking4[[#This Row],[FMS ID]],FMS_Input[FMS_ID],FMS_Input[REMRESSTRC100])</f>
        <v>0</v>
      </c>
      <c r="AO705" s="261">
        <f>FMS_Ranking4[[#This Row],[ArcSinh Res struct removed 0-10]]*AN$5*10</f>
        <v>0</v>
      </c>
      <c r="AP705" s="260">
        <f>ASINH(FMS_Ranking4[[#This Row],[Residential Structures Removed Raw]])/AP$4*AN$5*100</f>
        <v>0</v>
      </c>
      <c r="AQ705" s="254">
        <f>(ASINH(FMS_Ranking4[[#This Row],[Residential Structures Removed Raw]]))*(10)/(ASINH(AN$4))</f>
        <v>0</v>
      </c>
      <c r="AR705" s="253">
        <f>_xlfn.XLOOKUP(FMS_Ranking4[[#This Row],[FMS ID]],FMS_Input[FMS_ID],FMS_Input[REMPOP100])</f>
        <v>0</v>
      </c>
      <c r="AS705" s="259">
        <f>(ASINH(FMS_Ranking4[[#This Row],[Removed Pop Raw]]))*(10)/(ASINH(AR$4))</f>
        <v>0</v>
      </c>
      <c r="AT705" s="262">
        <f>FMS_Ranking4[[#This Row],[Removed population, ArcSinh (0-10)]]*AR$5*10</f>
        <v>0</v>
      </c>
      <c r="AU705" s="264">
        <f>_xlfn.XLOOKUP(FMS_Ranking4[[#This Row],[FMS ID]],FMS_Input[FMS_ID],FMS_Input[REMCRITFAC100])</f>
        <v>0</v>
      </c>
      <c r="AV705" s="264">
        <f>_xlfn.XLOOKUP(FMS_Ranking4[[#This Row],[FMS ID]],FMS_Input[FMS_ID],FMS_Input[REMLWC100])</f>
        <v>0</v>
      </c>
      <c r="AW705" s="264">
        <f>_xlfn.XLOOKUP(FMS_Ranking4[[#This Row],[FMS ID]],FMS_Input[FMS_ID],FMS_Input[REMROADCLS])</f>
        <v>0</v>
      </c>
      <c r="AX705" s="264">
        <f>_xlfn.XLOOKUP(FMS_Ranking4[[#This Row],[FMS ID]],FMS_Input[FMS_ID],FMS_Input[REMFRMACRE100])</f>
        <v>0</v>
      </c>
      <c r="AY705" s="258">
        <f>_xlfn.XLOOKUP(FMS_Ranking4[[#This Row],[FMS ID]],FMS_Input[FMS_ID],FMS_Input[COSTSTRUCT])</f>
        <v>0</v>
      </c>
      <c r="AZ705" s="253">
        <f>_xlfn.XLOOKUP(FMS_Ranking4[[#This Row],[FMS ID]],FMS_Input[FMS_ID],FMS_Input[NATURE])</f>
        <v>0</v>
      </c>
      <c r="BA705" s="262">
        <f>(((FMS_Ranking4[[#This Row],[% NBS Raw]]/AZ$4)*100)*AZ$5)</f>
        <v>0</v>
      </c>
      <c r="BB705" s="251" t="str">
        <f>_xlfn.XLOOKUP(FMS_Ranking4[[#This Row],[FMS ID]],FMS_Input[FMS_ID],FMS_Input[WATER_SUP])</f>
        <v>No</v>
      </c>
      <c r="BC705" s="265">
        <f>IF(FMS_Ranking4[[#This Row],[Water Supply Raw]]="Yes",10,0)</f>
        <v>0</v>
      </c>
      <c r="BD705" s="266">
        <f>_xlfn.XLOOKUP(FMS_Ranking4[[#This Row],[FMS Type]],FMS_TYPE[FMS_Type],FMS_TYPE[Score])</f>
        <v>8</v>
      </c>
      <c r="BE705" s="267">
        <f>FMS_Ranking4[[#This Row],[FMS_Type Score]]*$BD$5*10</f>
        <v>2</v>
      </c>
      <c r="BF70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3.9884066481471452E-3</v>
      </c>
      <c r="BG705" s="271">
        <f>_xlfn.RANK.EQ(BF705,$BF$8:$BF$870,0)+COUNTIF($BF$8:BF705,BF705)-1</f>
        <v>699</v>
      </c>
      <c r="BH705" s="268">
        <f>(((FMS_Ranking4[[#This Row],[Structures Removed Raw]]/AK$4)*100)*AK$5)+(((FMS_Ranking4[[#This Row],[Removed Pop Raw]]/AR$4)*100)*AR$5)</f>
        <v>0</v>
      </c>
      <c r="BI70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2.0039884066481473</v>
      </c>
      <c r="BJ705" s="205">
        <f>_xlfn.RANK.EQ(FMS_Ranking4[[#This Row],[Total Score 
(with linear
normalization)]],FMS_Ranking4[Total Score 
(with linear
normalization)],0)</f>
        <v>442</v>
      </c>
      <c r="BK705" s="205" t="e">
        <f>_xlfn.XLOOKUP(FMS_Ranking4[[#This Row],[FMS ID]],#REF!,#REF!)</f>
        <v>#REF!</v>
      </c>
      <c r="BL70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7.1786712623912736</v>
      </c>
      <c r="BM705" s="272">
        <f>FMS_Ranking4[[#This Row],[ArcSinh Score Based on Normalized Reported Factors]]+FMS_Ranking4[[#This Row],[% NBS Score (Normalized)]]+(FMS_Ranking4[[#This Row],[Water Supply Score (Normalized)]]*10*$BB$5)+FMS_Ranking4[[#This Row],[FMS_Type Score Weighted]]</f>
        <v>9.1786712623912727</v>
      </c>
      <c r="BN705" s="205">
        <f>_xlfn.RANK.EQ(FMS_Ranking4[[#This Row],[Total Score (with ArcSinh normalization of select criteria)]],FMS_Ranking4[Total Score (with ArcSinh normalization of select criteria)],0)</f>
        <v>698</v>
      </c>
      <c r="BO705" s="270" t="str">
        <f>_xlfn.XLOOKUP(FMS_Ranking4[[#This Row],[FMS ID]],FMS_Input[FMS_ID],FMS_Input[FMS_RANK_YEAR])</f>
        <v>2023 Amended Plan</v>
      </c>
      <c r="BP705" s="204">
        <f>_xlfn.XLOOKUP(FMS_Ranking4[[#This Row],[FMS ID]],Prev_Rank[FMS ID],Prev_Rank[Prev Rank])</f>
        <v>627</v>
      </c>
      <c r="BQ705" s="205" t="e">
        <f>_xlfn.XLOOKUP(FMS_Ranking4[[#This Row],[FMS ID]],#REF!,#REF!)</f>
        <v>#REF!</v>
      </c>
      <c r="BR705" s="199" t="e">
        <f>SUM(#REF!,#REF!,#REF!,#REF!,#REF!,#REF!,#REF!,#REF!,#REF!,FMS_Ranking4[[#This Row],[ArcSinh Res struct removed 0-10]],#REF!)</f>
        <v>#REF!</v>
      </c>
      <c r="BS705" s="199" t="e">
        <f>FMS_Ranking4[[#This Row],[Log Score Based on Normalized Reported Factors]]+FMS_Ranking4[[#This Row],[% NBS Score (Normalized)]]+(FMS_Ranking4[[#This Row],[Water Supply Score (Normalized)]]*10*$BB$5)+(FMS_Ranking4[[#This Row],[FMS_Type Score Weighted]])</f>
        <v>#REF!</v>
      </c>
      <c r="BT705" s="200" t="e">
        <f>_xlfn.RANK.EQ(FMS_Ranking4[[#This Row],[Log Total Score]],FMS_Ranking4[Log Total Score],0)</f>
        <v>#REF!</v>
      </c>
      <c r="BU705" s="200" t="e">
        <f>_xlfn.XLOOKUP(FMS_Ranking4[[#This Row],[FMS ID]],#REF!,#REF!)</f>
        <v>#REF!</v>
      </c>
      <c r="BV705" s="200">
        <f>FMS_Ranking4[[#This Row],[Region Number]]</f>
        <v>4</v>
      </c>
      <c r="BW705" s="200">
        <f>FMS_Ranking4[[#This Row],[Rank (with ArcSinh normalization of select criteria)]]-FMS_Ranking4[[#This Row],[Rank
(with linear
normalization)]]</f>
        <v>256</v>
      </c>
      <c r="BX705" s="200" t="e">
        <f>FMS_Ranking4[[#This Row],[Log Rank]]-FMS_Ranking4[[#This Row],[Rank
(with linear
normalization)]]</f>
        <v>#REF!</v>
      </c>
      <c r="BY705" s="200" t="str">
        <f>IF(FMS_Ranking4[[#This Row],[FMS Type]]="Flood Measurement and Warning",FMS_Ranking4[[#This Row],[Rank (with ArcSinh normalization of select criteria)]],"")</f>
        <v/>
      </c>
      <c r="BZ705" s="200">
        <f>IF(FMS_Ranking4[[#This Row],[FMS Type]]="Regulatory and Guidance",FMS_Ranking4[[#This Row],[Rank (with ArcSinh normalization of select criteria)]],"")</f>
        <v>698</v>
      </c>
      <c r="CA705" s="200" t="str">
        <f>IF(FMS_Ranking4[[#This Row],[FMS Type]]="Education and Outreach",FMS_Ranking4[[#This Row],[Rank (with ArcSinh normalization of select criteria)]],"")</f>
        <v/>
      </c>
      <c r="CB705" s="200" t="str">
        <f>IF(FMS_Ranking4[[#This Row],[FMS Type]]="Property Acquisition and Structural Elevation",FMS_Ranking4[[#This Row],[Rank (with ArcSinh normalization of select criteria)]],"")</f>
        <v/>
      </c>
      <c r="CC705" s="200" t="str">
        <f>IF(FMS_Ranking4[[#This Row],[FMS Type]]="Infrastructure Projects",FMS_Ranking4[[#This Row],[Rank (with ArcSinh normalization of select criteria)]],"")</f>
        <v/>
      </c>
      <c r="CD705" s="200" t="str">
        <f>IF(FMS_Ranking4[[#This Row],[FMS Type]]="Other",FMS_Ranking4[[#This Row],[Rank (with ArcSinh normalization of select criteria)]],"")</f>
        <v/>
      </c>
      <c r="CE705" s="201"/>
      <c r="CF705" s="206"/>
      <c r="CG705" s="206"/>
      <c r="CH705" s="206"/>
      <c r="CI705" s="206"/>
      <c r="CJ705" s="206"/>
      <c r="CK705" s="206"/>
      <c r="CL705" s="206"/>
      <c r="CM705" s="206"/>
      <c r="CN705" s="206"/>
      <c r="CO705" s="206"/>
      <c r="CP705" s="206"/>
      <c r="CQ705" s="206"/>
      <c r="CR705" s="206"/>
    </row>
    <row r="706" spans="2:96" ht="75" x14ac:dyDescent="0.25">
      <c r="B706" s="341" t="s">
        <v>2546</v>
      </c>
      <c r="C706" s="246">
        <f>_xlfn.XLOOKUP(FMS_Ranking4[[#This Row],[FMS ID]],FMS_Input[FMS_ID],FMS_Input[RFPG_NUM])</f>
        <v>4</v>
      </c>
      <c r="D706" s="309" t="str">
        <f>_xlfn.XLOOKUP(FMS_Ranking4[[#This Row],[FMS ID]],FMS_Input[FMS_ID],FMS_Input[FMS_NAME])</f>
        <v>City of Clarksville City Flood Infrastructure Inspection and Maintenance Program</v>
      </c>
      <c r="E706" s="308" t="str">
        <f>_xlfn.XLOOKUP(FMS_Ranking4[[#This Row],[FMS ID]],FMS_Input[FMS_ID],FMS_Input[SPONSOR])</f>
        <v>04003052</v>
      </c>
      <c r="F706" s="309" t="str">
        <f>_xlfn.XLOOKUP(FMS_Ranking4[[#This Row],[FMS ID]],Sponsor[FMS_ID],Sponsor[SPONSOR NAME])</f>
        <v>Clarksville City</v>
      </c>
      <c r="G706" s="309" t="str">
        <f>_xlfn.XLOOKUP(FMS_Ranking4[[#This Row],[FMS ID]],FMS_Input[FMS_ID],FMS_Input[FMS_DESCR])</f>
        <v>Monitor flood-prone areas and remove debris from drainage culverts when needed to alleviate potential flooding hazards.</v>
      </c>
      <c r="H706" s="248" t="str">
        <f>_xlfn.XLOOKUP(FMS_Ranking4[[#This Row],[FMS ID]],FMS_Input[FMS_ID],FMS_Input[FMS_TYPE])</f>
        <v>Other</v>
      </c>
      <c r="I706" s="249">
        <f>_xlfn.XLOOKUP(FMS_Ranking4[[#This Row],[FMS ID]],FMS_Input[FMS_ID],FMS_Input[NRNC_COST])</f>
        <v>20000</v>
      </c>
      <c r="J706" s="250">
        <f>_xlfn.XLOOKUP(FMS_Ranking4[[#This Row],[FMS ID]],FMS_Input[FMS_ID],FMS_Input[FMS_COST])</f>
        <v>20000</v>
      </c>
      <c r="K706" s="251" t="str">
        <f>_xlfn.XLOOKUP(FMS_Ranking4[[#This Row],[FMS ID]],FMS_Input[FMS_ID],FMS_Input[EMER_NEED])</f>
        <v>No</v>
      </c>
      <c r="L706" s="252">
        <f t="shared" si="10"/>
        <v>0</v>
      </c>
      <c r="M706" s="253">
        <f>_xlfn.XLOOKUP(FMS_Ranking4[[#This Row],[FMS ID]],FMS_Input[FMS_ID],FMS_Input[STRUCT_100])</f>
        <v>25</v>
      </c>
      <c r="N706" s="255">
        <f>(ASINH(FMS_Ranking4[[#This Row],[Structure at Risk Raw]]))*(10)/(ASINH(M$4))</f>
        <v>3.0757468283129747</v>
      </c>
      <c r="O706" s="256">
        <f>FMS_Ranking4[[#This Row],[Structures at risk, ArcSinh (0-10)]]*M$5*10</f>
        <v>3.0757468283129752</v>
      </c>
      <c r="P706" s="253">
        <f>_xlfn.XLOOKUP(FMS_Ranking4[[#This Row],[FMS ID]],FMS_Input[FMS_ID],FMS_Input[RES_STRUCT100])</f>
        <v>9</v>
      </c>
      <c r="Q706" s="257">
        <f>ASINH(FMS_Ranking4[[#This Row],[Res Structure Raw]])/Q$4*P$5*100</f>
        <v>0</v>
      </c>
      <c r="R706" s="253">
        <f>_xlfn.XLOOKUP(FMS_Ranking4[[#This Row],[FMS ID]],FMS_Input[FMS_ID],FMS_Input[POP100])</f>
        <v>29</v>
      </c>
      <c r="S706" s="259">
        <f>(ASINH(FMS_Ranking4[[#This Row],[Pop at Risk Raw]]))*(10)/(ASINH(R$4))</f>
        <v>2.8033653287721343</v>
      </c>
      <c r="T706" s="256">
        <f>FMS_Ranking4[[#This Row],[Population at risk, ArcSinh (0-10)]]*R$5*10</f>
        <v>2.8033653287721343</v>
      </c>
      <c r="U706" s="253">
        <f>_xlfn.XLOOKUP(FMS_Ranking4[[#This Row],[FMS ID]],FMS_Input[FMS_ID],FMS_Input[CRITFAC100])</f>
        <v>0</v>
      </c>
      <c r="V706" s="259">
        <f>(ASINH(FMS_Ranking4[[#This Row],[Critical Facilities Raw]]))*(10)/(ASINH(U$4))</f>
        <v>0</v>
      </c>
      <c r="W706" s="256">
        <f>FMS_Ranking4[[#This Row],[Critical facilities at risk, ArcSinh (0-10)]]*U$5*10</f>
        <v>0</v>
      </c>
      <c r="X706" s="253">
        <f>_xlfn.XLOOKUP(FMS_Ranking4[[#This Row],[FMS ID]],FMS_Input[FMS_ID],FMS_Input[LWC])</f>
        <v>0</v>
      </c>
      <c r="Y706" s="259">
        <f>(ASINH(FMS_Ranking4[[#This Row],[LWC Raw]]))*(10)/(ASINH(X$4))</f>
        <v>0</v>
      </c>
      <c r="Z706" s="256">
        <f>FMS_Ranking4[[#This Row],[LWC, ArcSInh (0-10)]]*X$5*10</f>
        <v>0</v>
      </c>
      <c r="AA706" s="253">
        <f>_xlfn.XLOOKUP(FMS_Ranking4[[#This Row],[FMS ID]],FMS_Input[FMS_ID],FMS_Input[ROADCLS])</f>
        <v>0</v>
      </c>
      <c r="AB706" s="255">
        <f>(ASINH(FMS_Ranking4[[#This Row],[Road Closures Raw]]))*(10)/(ASINH(AA$4))</f>
        <v>0</v>
      </c>
      <c r="AC706" s="256">
        <f>FMS_Ranking4[[#This Row],[Road closures, ArcSinh (0-10)]]*AA$5*10</f>
        <v>0</v>
      </c>
      <c r="AD706" s="253">
        <f>_xlfn.XLOOKUP(FMS_Ranking4[[#This Row],[FMS ID]],FMS_Input[FMS_ID],FMS_Input[ROAD_MILES100])</f>
        <v>1</v>
      </c>
      <c r="AE706" s="259">
        <f>(ASINH(FMS_Ranking4[[#This Row],[Road Miles Raw]]))*(10)/(ASINH(AD$4))</f>
        <v>0.9393017565219649</v>
      </c>
      <c r="AF706" s="256">
        <f>FMS_Ranking4[[#This Row],[Length of roads at risk, ArcSinh (0-10)]]*AD$5*10</f>
        <v>0.93930175652196501</v>
      </c>
      <c r="AG706" s="253">
        <f>_xlfn.XLOOKUP(FMS_Ranking4[[#This Row],[FMS ID]],FMS_Input[FMS_ID],FMS_Input[FARMACRE100])</f>
        <v>118.14279937744141</v>
      </c>
      <c r="AH706" s="255">
        <f>(ASINH(FMS_Ranking4[[#This Row],[Ag Land Raw]]))*(10)/(ASINH(AG$4))</f>
        <v>3.5500011514712426</v>
      </c>
      <c r="AI706" s="260">
        <f>FMS_Ranking4[[#This Row],[Farm &amp; ranch land, ArcSinh (0-10)]]*AG$5*10</f>
        <v>1.7750005757356213</v>
      </c>
      <c r="AJ706" s="258">
        <f>_xlfn.XLOOKUP(FMS_Ranking4[[#This Row],[FMS ID]],FMS_Input[FMS_ID],FMS_Input[REDSTRUCT100])</f>
        <v>0</v>
      </c>
      <c r="AK706" s="253">
        <f>_xlfn.XLOOKUP(FMS_Ranking4[[#This Row],[FMS ID]],FMS_Input[FMS_ID],FMS_Input[REMSTRC100])</f>
        <v>0</v>
      </c>
      <c r="AL706" s="259">
        <f>(ASINH(FMS_Ranking4[[#This Row],[Structures Removed Raw]]))*(10)/(ASINH(AK$4))</f>
        <v>0</v>
      </c>
      <c r="AM706" s="262">
        <f>FMS_Ranking4[[#This Row],[Structures removed, ArcSinh (0-10)]]*AK$5*10</f>
        <v>0</v>
      </c>
      <c r="AN706" s="253">
        <f>_xlfn.XLOOKUP(FMS_Ranking4[[#This Row],[FMS ID]],FMS_Input[FMS_ID],FMS_Input[REMRESSTRC100])</f>
        <v>0</v>
      </c>
      <c r="AO706" s="261">
        <f>FMS_Ranking4[[#This Row],[ArcSinh Res struct removed 0-10]]*AN$5*10</f>
        <v>0</v>
      </c>
      <c r="AP706" s="260">
        <f>ASINH(FMS_Ranking4[[#This Row],[Residential Structures Removed Raw]])/AP$4*AN$5*100</f>
        <v>0</v>
      </c>
      <c r="AQ706" s="254">
        <f>(ASINH(FMS_Ranking4[[#This Row],[Residential Structures Removed Raw]]))*(10)/(ASINH(AN$4))</f>
        <v>0</v>
      </c>
      <c r="AR706" s="253">
        <f>_xlfn.XLOOKUP(FMS_Ranking4[[#This Row],[FMS ID]],FMS_Input[FMS_ID],FMS_Input[REMPOP100])</f>
        <v>0</v>
      </c>
      <c r="AS706" s="259">
        <f>(ASINH(FMS_Ranking4[[#This Row],[Removed Pop Raw]]))*(10)/(ASINH(AR$4))</f>
        <v>0</v>
      </c>
      <c r="AT706" s="262">
        <f>FMS_Ranking4[[#This Row],[Removed population, ArcSinh (0-10)]]*AR$5*10</f>
        <v>0</v>
      </c>
      <c r="AU706" s="264">
        <f>_xlfn.XLOOKUP(FMS_Ranking4[[#This Row],[FMS ID]],FMS_Input[FMS_ID],FMS_Input[REMCRITFAC100])</f>
        <v>0</v>
      </c>
      <c r="AV706" s="264">
        <f>_xlfn.XLOOKUP(FMS_Ranking4[[#This Row],[FMS ID]],FMS_Input[FMS_ID],FMS_Input[REMLWC100])</f>
        <v>0</v>
      </c>
      <c r="AW706" s="264">
        <f>_xlfn.XLOOKUP(FMS_Ranking4[[#This Row],[FMS ID]],FMS_Input[FMS_ID],FMS_Input[REMROADCLS])</f>
        <v>0</v>
      </c>
      <c r="AX706" s="264">
        <f>_xlfn.XLOOKUP(FMS_Ranking4[[#This Row],[FMS ID]],FMS_Input[FMS_ID],FMS_Input[REMFRMACRE100])</f>
        <v>0</v>
      </c>
      <c r="AY706" s="258">
        <f>_xlfn.XLOOKUP(FMS_Ranking4[[#This Row],[FMS ID]],FMS_Input[FMS_ID],FMS_Input[COSTSTRUCT])</f>
        <v>0</v>
      </c>
      <c r="AZ706" s="253">
        <f>_xlfn.XLOOKUP(FMS_Ranking4[[#This Row],[FMS ID]],FMS_Input[FMS_ID],FMS_Input[NATURE])</f>
        <v>0</v>
      </c>
      <c r="BA706" s="262">
        <f>(((FMS_Ranking4[[#This Row],[% NBS Raw]]/AZ$4)*100)*AZ$5)</f>
        <v>0</v>
      </c>
      <c r="BB706" s="251" t="str">
        <f>_xlfn.XLOOKUP(FMS_Ranking4[[#This Row],[FMS ID]],FMS_Input[FMS_ID],FMS_Input[WATER_SUP])</f>
        <v>No</v>
      </c>
      <c r="BC706" s="265">
        <f>IF(FMS_Ranking4[[#This Row],[Water Supply Raw]]="Yes",10,0)</f>
        <v>0</v>
      </c>
      <c r="BD706" s="266">
        <f>_xlfn.XLOOKUP(FMS_Ranking4[[#This Row],[FMS Type]],FMS_TYPE[FMS_Type],FMS_TYPE[Score])</f>
        <v>2</v>
      </c>
      <c r="BE706" s="267">
        <f>FMS_Ranking4[[#This Row],[FMS_Type Score]]*$BD$5*10</f>
        <v>0.5</v>
      </c>
      <c r="BF70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3.7178267103420374E-3</v>
      </c>
      <c r="BG706" s="271">
        <f>_xlfn.RANK.EQ(BF706,$BF$8:$BF$870,0)+COUNTIF($BF$8:BF706,BF706)-1</f>
        <v>701</v>
      </c>
      <c r="BH706" s="268">
        <f>(((FMS_Ranking4[[#This Row],[Structures Removed Raw]]/AK$4)*100)*AK$5)+(((FMS_Ranking4[[#This Row],[Removed Pop Raw]]/AR$4)*100)*AR$5)</f>
        <v>0</v>
      </c>
      <c r="BI70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0.50371782671034204</v>
      </c>
      <c r="BJ706" s="205">
        <f>_xlfn.RANK.EQ(FMS_Ranking4[[#This Row],[Total Score 
(with linear
normalization)]],FMS_Ranking4[Total Score 
(with linear
normalization)],0)</f>
        <v>853</v>
      </c>
      <c r="BK706" s="205" t="e">
        <f>_xlfn.XLOOKUP(FMS_Ranking4[[#This Row],[FMS ID]],#REF!,#REF!)</f>
        <v>#REF!</v>
      </c>
      <c r="BL70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8.5934144893426954</v>
      </c>
      <c r="BM706" s="272">
        <f>FMS_Ranking4[[#This Row],[ArcSinh Score Based on Normalized Reported Factors]]+FMS_Ranking4[[#This Row],[% NBS Score (Normalized)]]+(FMS_Ranking4[[#This Row],[Water Supply Score (Normalized)]]*10*$BB$5)+FMS_Ranking4[[#This Row],[FMS_Type Score Weighted]]</f>
        <v>9.0934144893426954</v>
      </c>
      <c r="BN706" s="205">
        <f>_xlfn.RANK.EQ(FMS_Ranking4[[#This Row],[Total Score (with ArcSinh normalization of select criteria)]],FMS_Ranking4[Total Score (with ArcSinh normalization of select criteria)],0)</f>
        <v>699</v>
      </c>
      <c r="BO706" s="270" t="str">
        <f>_xlfn.XLOOKUP(FMS_Ranking4[[#This Row],[FMS ID]],FMS_Input[FMS_ID],FMS_Input[FMS_RANK_YEAR])</f>
        <v>2023 Amended Plan</v>
      </c>
      <c r="BP706" s="204">
        <f>_xlfn.XLOOKUP(FMS_Ranking4[[#This Row],[FMS ID]],Prev_Rank[FMS ID],Prev_Rank[Prev Rank])</f>
        <v>628</v>
      </c>
      <c r="BQ706" s="205" t="e">
        <f>_xlfn.XLOOKUP(FMS_Ranking4[[#This Row],[FMS ID]],#REF!,#REF!)</f>
        <v>#REF!</v>
      </c>
      <c r="BR706" s="199" t="e">
        <f>SUM(#REF!,#REF!,#REF!,#REF!,#REF!,#REF!,#REF!,#REF!,#REF!,FMS_Ranking4[[#This Row],[ArcSinh Res struct removed 0-10]],#REF!)</f>
        <v>#REF!</v>
      </c>
      <c r="BS706" s="199" t="e">
        <f>FMS_Ranking4[[#This Row],[Log Score Based on Normalized Reported Factors]]+FMS_Ranking4[[#This Row],[% NBS Score (Normalized)]]+(FMS_Ranking4[[#This Row],[Water Supply Score (Normalized)]]*10*$BB$5)+(FMS_Ranking4[[#This Row],[FMS_Type Score Weighted]])</f>
        <v>#REF!</v>
      </c>
      <c r="BT706" s="200" t="e">
        <f>_xlfn.RANK.EQ(FMS_Ranking4[[#This Row],[Log Total Score]],FMS_Ranking4[Log Total Score],0)</f>
        <v>#REF!</v>
      </c>
      <c r="BU706" s="200" t="e">
        <f>_xlfn.XLOOKUP(FMS_Ranking4[[#This Row],[FMS ID]],#REF!,#REF!)</f>
        <v>#REF!</v>
      </c>
      <c r="BV706" s="200">
        <f>FMS_Ranking4[[#This Row],[Region Number]]</f>
        <v>4</v>
      </c>
      <c r="BW706" s="200">
        <f>FMS_Ranking4[[#This Row],[Rank (with ArcSinh normalization of select criteria)]]-FMS_Ranking4[[#This Row],[Rank
(with linear
normalization)]]</f>
        <v>-154</v>
      </c>
      <c r="BX706" s="200" t="e">
        <f>FMS_Ranking4[[#This Row],[Log Rank]]-FMS_Ranking4[[#This Row],[Rank
(with linear
normalization)]]</f>
        <v>#REF!</v>
      </c>
      <c r="BY706" s="200" t="str">
        <f>IF(FMS_Ranking4[[#This Row],[FMS Type]]="Flood Measurement and Warning",FMS_Ranking4[[#This Row],[Rank (with ArcSinh normalization of select criteria)]],"")</f>
        <v/>
      </c>
      <c r="BZ706" s="200" t="str">
        <f>IF(FMS_Ranking4[[#This Row],[FMS Type]]="Regulatory and Guidance",FMS_Ranking4[[#This Row],[Rank (with ArcSinh normalization of select criteria)]],"")</f>
        <v/>
      </c>
      <c r="CA706" s="200" t="str">
        <f>IF(FMS_Ranking4[[#This Row],[FMS Type]]="Education and Outreach",FMS_Ranking4[[#This Row],[Rank (with ArcSinh normalization of select criteria)]],"")</f>
        <v/>
      </c>
      <c r="CB706" s="200" t="str">
        <f>IF(FMS_Ranking4[[#This Row],[FMS Type]]="Property Acquisition and Structural Elevation",FMS_Ranking4[[#This Row],[Rank (with ArcSinh normalization of select criteria)]],"")</f>
        <v/>
      </c>
      <c r="CC706" s="200" t="str">
        <f>IF(FMS_Ranking4[[#This Row],[FMS Type]]="Infrastructure Projects",FMS_Ranking4[[#This Row],[Rank (with ArcSinh normalization of select criteria)]],"")</f>
        <v/>
      </c>
      <c r="CD706" s="200">
        <f>IF(FMS_Ranking4[[#This Row],[FMS Type]]="Other",FMS_Ranking4[[#This Row],[Rank (with ArcSinh normalization of select criteria)]],"")</f>
        <v>699</v>
      </c>
      <c r="CE706" s="201"/>
      <c r="CF706" s="206"/>
      <c r="CG706" s="206"/>
      <c r="CH706" s="206"/>
      <c r="CI706" s="206"/>
      <c r="CJ706" s="206"/>
      <c r="CK706" s="206"/>
      <c r="CL706" s="206"/>
      <c r="CM706" s="206"/>
      <c r="CN706" s="206"/>
      <c r="CO706" s="206"/>
      <c r="CP706" s="206"/>
      <c r="CQ706" s="206"/>
      <c r="CR706" s="206"/>
    </row>
    <row r="707" spans="2:96" ht="105" x14ac:dyDescent="0.25">
      <c r="B707" s="341" t="s">
        <v>2048</v>
      </c>
      <c r="C707" s="246">
        <f>_xlfn.XLOOKUP(FMS_Ranking4[[#This Row],[FMS ID]],FMS_Input[FMS_ID],FMS_Input[RFPG_NUM])</f>
        <v>3</v>
      </c>
      <c r="D707" s="309" t="str">
        <f>_xlfn.XLOOKUP(FMS_Ranking4[[#This Row],[FMS ID]],FMS_Input[FMS_ID],FMS_Input[FMS_NAME])</f>
        <v>Lavon Warning System</v>
      </c>
      <c r="E707" s="308" t="str">
        <f>_xlfn.XLOOKUP(FMS_Ranking4[[#This Row],[FMS ID]],FMS_Input[FMS_ID],FMS_Input[SPONSOR])</f>
        <v>Lavon</v>
      </c>
      <c r="F707" s="309" t="str">
        <f>_xlfn.XLOOKUP(FMS_Ranking4[[#This Row],[FMS ID]],Sponsor[FMS_ID],Sponsor[SPONSOR NAME])</f>
        <v>Lavon</v>
      </c>
      <c r="G707" s="309" t="str">
        <f>_xlfn.XLOOKUP(FMS_Ranking4[[#This Row],[FMS ID]],FMS_Input[FMS_ID],FMS_Input[FMS_DESCR])</f>
        <v>Expand the Early Warning Sirens and Local Warning System to notify new populations of impending severe weather or imminent hazards to reduce the loss of life and mitigate the effects of the hazards</v>
      </c>
      <c r="H707" s="248" t="str">
        <f>_xlfn.XLOOKUP(FMS_Ranking4[[#This Row],[FMS ID]],FMS_Input[FMS_ID],FMS_Input[FMS_TYPE])</f>
        <v>Flood Measurement and Warning</v>
      </c>
      <c r="I707" s="249">
        <f>_xlfn.XLOOKUP(FMS_Ranking4[[#This Row],[FMS ID]],FMS_Input[FMS_ID],FMS_Input[NRNC_COST])</f>
        <v>25000</v>
      </c>
      <c r="J707" s="250">
        <f>_xlfn.XLOOKUP(FMS_Ranking4[[#This Row],[FMS ID]],FMS_Input[FMS_ID],FMS_Input[FMS_COST])</f>
        <v>250000</v>
      </c>
      <c r="K707" s="251" t="str">
        <f>_xlfn.XLOOKUP(FMS_Ranking4[[#This Row],[FMS ID]],FMS_Input[FMS_ID],FMS_Input[EMER_NEED])</f>
        <v>No</v>
      </c>
      <c r="L707" s="252">
        <f t="shared" si="10"/>
        <v>0</v>
      </c>
      <c r="M707" s="253">
        <f>_xlfn.XLOOKUP(FMS_Ranking4[[#This Row],[FMS ID]],FMS_Input[FMS_ID],FMS_Input[STRUCT_100])</f>
        <v>4</v>
      </c>
      <c r="N707" s="255">
        <f>(ASINH(FMS_Ranking4[[#This Row],[Structure at Risk Raw]]))*(10)/(ASINH(M$4))</f>
        <v>1.6467559513369034</v>
      </c>
      <c r="O707" s="256">
        <f>FMS_Ranking4[[#This Row],[Structures at risk, ArcSinh (0-10)]]*M$5*10</f>
        <v>1.6467559513369034</v>
      </c>
      <c r="P707" s="253">
        <f>_xlfn.XLOOKUP(FMS_Ranking4[[#This Row],[FMS ID]],FMS_Input[FMS_ID],FMS_Input[RES_STRUCT100])</f>
        <v>4</v>
      </c>
      <c r="Q707" s="257">
        <f>ASINH(FMS_Ranking4[[#This Row],[Res Structure Raw]])/Q$4*P$5*100</f>
        <v>0</v>
      </c>
      <c r="R707" s="253">
        <f>_xlfn.XLOOKUP(FMS_Ranking4[[#This Row],[FMS ID]],FMS_Input[FMS_ID],FMS_Input[POP100])</f>
        <v>4</v>
      </c>
      <c r="S707" s="259">
        <f>(ASINH(FMS_Ranking4[[#This Row],[Pop at Risk Raw]]))*(10)/(ASINH(R$4))</f>
        <v>1.4461020212053632</v>
      </c>
      <c r="T707" s="256">
        <f>FMS_Ranking4[[#This Row],[Population at risk, ArcSinh (0-10)]]*R$5*10</f>
        <v>1.4461020212053632</v>
      </c>
      <c r="U707" s="253">
        <f>_xlfn.XLOOKUP(FMS_Ranking4[[#This Row],[FMS ID]],FMS_Input[FMS_ID],FMS_Input[CRITFAC100])</f>
        <v>0</v>
      </c>
      <c r="V707" s="259">
        <f>(ASINH(FMS_Ranking4[[#This Row],[Critical Facilities Raw]]))*(10)/(ASINH(U$4))</f>
        <v>0</v>
      </c>
      <c r="W707" s="256">
        <f>FMS_Ranking4[[#This Row],[Critical facilities at risk, ArcSinh (0-10)]]*U$5*10</f>
        <v>0</v>
      </c>
      <c r="X707" s="253">
        <f>_xlfn.XLOOKUP(FMS_Ranking4[[#This Row],[FMS ID]],FMS_Input[FMS_ID],FMS_Input[LWC])</f>
        <v>1</v>
      </c>
      <c r="Y707" s="259">
        <f>(ASINH(FMS_Ranking4[[#This Row],[LWC Raw]]))*(10)/(ASINH(X$4))</f>
        <v>1.1940300948531093</v>
      </c>
      <c r="Z707" s="256">
        <f>FMS_Ranking4[[#This Row],[LWC, ArcSInh (0-10)]]*X$5*10</f>
        <v>1.1940300948531093</v>
      </c>
      <c r="AA707" s="253">
        <f>_xlfn.XLOOKUP(FMS_Ranking4[[#This Row],[FMS ID]],FMS_Input[FMS_ID],FMS_Input[ROADCLS])</f>
        <v>0</v>
      </c>
      <c r="AB707" s="255">
        <f>(ASINH(FMS_Ranking4[[#This Row],[Road Closures Raw]]))*(10)/(ASINH(AA$4))</f>
        <v>0</v>
      </c>
      <c r="AC707" s="256">
        <f>FMS_Ranking4[[#This Row],[Road closures, ArcSinh (0-10)]]*AA$5*10</f>
        <v>0</v>
      </c>
      <c r="AD707" s="253">
        <f>_xlfn.XLOOKUP(FMS_Ranking4[[#This Row],[FMS ID]],FMS_Input[FMS_ID],FMS_Input[ROAD_MILES100])</f>
        <v>1</v>
      </c>
      <c r="AE707" s="259">
        <f>(ASINH(FMS_Ranking4[[#This Row],[Road Miles Raw]]))*(10)/(ASINH(AD$4))</f>
        <v>0.9393017565219649</v>
      </c>
      <c r="AF707" s="256">
        <f>FMS_Ranking4[[#This Row],[Length of roads at risk, ArcSinh (0-10)]]*AD$5*10</f>
        <v>0.93930175652196501</v>
      </c>
      <c r="AG707" s="253">
        <f>_xlfn.XLOOKUP(FMS_Ranking4[[#This Row],[FMS ID]],FMS_Input[FMS_ID],FMS_Input[FARMACRE100])</f>
        <v>31.52216911315918</v>
      </c>
      <c r="AH707" s="255">
        <f>(ASINH(FMS_Ranking4[[#This Row],[Ag Land Raw]]))*(10)/(ASINH(AG$4))</f>
        <v>2.6919239176741008</v>
      </c>
      <c r="AI707" s="260">
        <f>FMS_Ranking4[[#This Row],[Farm &amp; ranch land, ArcSinh (0-10)]]*AG$5*10</f>
        <v>1.3459619588370506</v>
      </c>
      <c r="AJ707" s="258">
        <f>_xlfn.XLOOKUP(FMS_Ranking4[[#This Row],[FMS ID]],FMS_Input[FMS_ID],FMS_Input[REDSTRUCT100])</f>
        <v>0</v>
      </c>
      <c r="AK707" s="253">
        <f>_xlfn.XLOOKUP(FMS_Ranking4[[#This Row],[FMS ID]],FMS_Input[FMS_ID],FMS_Input[REMSTRC100])</f>
        <v>0</v>
      </c>
      <c r="AL707" s="259">
        <f>(ASINH(FMS_Ranking4[[#This Row],[Structures Removed Raw]]))*(10)/(ASINH(AK$4))</f>
        <v>0</v>
      </c>
      <c r="AM707" s="262">
        <f>FMS_Ranking4[[#This Row],[Structures removed, ArcSinh (0-10)]]*AK$5*10</f>
        <v>0</v>
      </c>
      <c r="AN707" s="253">
        <f>_xlfn.XLOOKUP(FMS_Ranking4[[#This Row],[FMS ID]],FMS_Input[FMS_ID],FMS_Input[REMRESSTRC100])</f>
        <v>0</v>
      </c>
      <c r="AO707" s="261">
        <f>FMS_Ranking4[[#This Row],[ArcSinh Res struct removed 0-10]]*AN$5*10</f>
        <v>0</v>
      </c>
      <c r="AP707" s="260">
        <f>ASINH(FMS_Ranking4[[#This Row],[Residential Structures Removed Raw]])/AP$4*AN$5*100</f>
        <v>0</v>
      </c>
      <c r="AQ707" s="254">
        <f>(ASINH(FMS_Ranking4[[#This Row],[Residential Structures Removed Raw]]))*(10)/(ASINH(AN$4))</f>
        <v>0</v>
      </c>
      <c r="AR707" s="253">
        <f>_xlfn.XLOOKUP(FMS_Ranking4[[#This Row],[FMS ID]],FMS_Input[FMS_ID],FMS_Input[REMPOP100])</f>
        <v>0</v>
      </c>
      <c r="AS707" s="259">
        <f>(ASINH(FMS_Ranking4[[#This Row],[Removed Pop Raw]]))*(10)/(ASINH(AR$4))</f>
        <v>0</v>
      </c>
      <c r="AT707" s="262">
        <f>FMS_Ranking4[[#This Row],[Removed population, ArcSinh (0-10)]]*AR$5*10</f>
        <v>0</v>
      </c>
      <c r="AU707" s="264">
        <f>_xlfn.XLOOKUP(FMS_Ranking4[[#This Row],[FMS ID]],FMS_Input[FMS_ID],FMS_Input[REMCRITFAC100])</f>
        <v>0</v>
      </c>
      <c r="AV707" s="264">
        <f>_xlfn.XLOOKUP(FMS_Ranking4[[#This Row],[FMS ID]],FMS_Input[FMS_ID],FMS_Input[REMLWC100])</f>
        <v>0</v>
      </c>
      <c r="AW707" s="264">
        <f>_xlfn.XLOOKUP(FMS_Ranking4[[#This Row],[FMS ID]],FMS_Input[FMS_ID],FMS_Input[REMROADCLS])</f>
        <v>0</v>
      </c>
      <c r="AX707" s="264">
        <f>_xlfn.XLOOKUP(FMS_Ranking4[[#This Row],[FMS ID]],FMS_Input[FMS_ID],FMS_Input[REMFRMACRE100])</f>
        <v>0</v>
      </c>
      <c r="AY707" s="258">
        <f>_xlfn.XLOOKUP(FMS_Ranking4[[#This Row],[FMS ID]],FMS_Input[FMS_ID],FMS_Input[COSTSTRUCT])</f>
        <v>0</v>
      </c>
      <c r="AZ707" s="253">
        <f>_xlfn.XLOOKUP(FMS_Ranking4[[#This Row],[FMS ID]],FMS_Input[FMS_ID],FMS_Input[NATURE])</f>
        <v>0</v>
      </c>
      <c r="BA707" s="262">
        <f>(((FMS_Ranking4[[#This Row],[% NBS Raw]]/AZ$4)*100)*AZ$5)</f>
        <v>0</v>
      </c>
      <c r="BB707" s="251" t="str">
        <f>_xlfn.XLOOKUP(FMS_Ranking4[[#This Row],[FMS ID]],FMS_Input[FMS_ID],FMS_Input[WATER_SUP])</f>
        <v>No</v>
      </c>
      <c r="BC707" s="265">
        <f>IF(FMS_Ranking4[[#This Row],[Water Supply Raw]]="Yes",10,0)</f>
        <v>0</v>
      </c>
      <c r="BD707" s="266">
        <f>_xlfn.XLOOKUP(FMS_Ranking4[[#This Row],[FMS Type]],FMS_TYPE[FMS_Type],FMS_TYPE[Score])</f>
        <v>10</v>
      </c>
      <c r="BE707" s="267">
        <f>FMS_Ranking4[[#This Row],[FMS_Type Score]]*$BD$5*10</f>
        <v>2.5</v>
      </c>
      <c r="BF70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1.4480808700602503E-2</v>
      </c>
      <c r="BG707" s="271">
        <f>_xlfn.RANK.EQ(BF707,$BF$8:$BF$870,0)+COUNTIF($BF$8:BF707,BF707)-1</f>
        <v>653</v>
      </c>
      <c r="BH707" s="268">
        <f>(((FMS_Ranking4[[#This Row],[Structures Removed Raw]]/AK$4)*100)*AK$5)+(((FMS_Ranking4[[#This Row],[Removed Pop Raw]]/AR$4)*100)*AR$5)</f>
        <v>0</v>
      </c>
      <c r="BI70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2.5144808087006023</v>
      </c>
      <c r="BJ707" s="205">
        <f>_xlfn.RANK.EQ(FMS_Ranking4[[#This Row],[Total Score 
(with linear
normalization)]],FMS_Ranking4[Total Score 
(with linear
normalization)],0)</f>
        <v>248</v>
      </c>
      <c r="BK707" s="205" t="e">
        <f>_xlfn.XLOOKUP(FMS_Ranking4[[#This Row],[FMS ID]],#REF!,#REF!)</f>
        <v>#REF!</v>
      </c>
      <c r="BL70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6.5721517827543918</v>
      </c>
      <c r="BM707" s="272">
        <f>FMS_Ranking4[[#This Row],[ArcSinh Score Based on Normalized Reported Factors]]+FMS_Ranking4[[#This Row],[% NBS Score (Normalized)]]+(FMS_Ranking4[[#This Row],[Water Supply Score (Normalized)]]*10*$BB$5)+FMS_Ranking4[[#This Row],[FMS_Type Score Weighted]]</f>
        <v>9.0721517827543927</v>
      </c>
      <c r="BN707" s="205">
        <f>_xlfn.RANK.EQ(FMS_Ranking4[[#This Row],[Total Score (with ArcSinh normalization of select criteria)]],FMS_Ranking4[Total Score (with ArcSinh normalization of select criteria)],0)</f>
        <v>700</v>
      </c>
      <c r="BO707" s="270" t="str">
        <f>_xlfn.XLOOKUP(FMS_Ranking4[[#This Row],[FMS ID]],FMS_Input[FMS_ID],FMS_Input[FMS_RANK_YEAR])</f>
        <v>2023 Amended Plan</v>
      </c>
      <c r="BP707" s="204">
        <f>_xlfn.XLOOKUP(FMS_Ranking4[[#This Row],[FMS ID]],Prev_Rank[FMS ID],Prev_Rank[Prev Rank])</f>
        <v>629</v>
      </c>
      <c r="BQ707" s="205" t="e">
        <f>_xlfn.XLOOKUP(FMS_Ranking4[[#This Row],[FMS ID]],#REF!,#REF!)</f>
        <v>#REF!</v>
      </c>
      <c r="BR707" s="199" t="e">
        <f>SUM(#REF!,#REF!,#REF!,#REF!,#REF!,#REF!,#REF!,#REF!,#REF!,FMS_Ranking4[[#This Row],[ArcSinh Res struct removed 0-10]],#REF!)</f>
        <v>#REF!</v>
      </c>
      <c r="BS707" s="199" t="e">
        <f>FMS_Ranking4[[#This Row],[Log Score Based on Normalized Reported Factors]]+FMS_Ranking4[[#This Row],[% NBS Score (Normalized)]]+(FMS_Ranking4[[#This Row],[Water Supply Score (Normalized)]]*10*$BB$5)+(FMS_Ranking4[[#This Row],[FMS_Type Score Weighted]])</f>
        <v>#REF!</v>
      </c>
      <c r="BT707" s="200" t="e">
        <f>_xlfn.RANK.EQ(FMS_Ranking4[[#This Row],[Log Total Score]],FMS_Ranking4[Log Total Score],0)</f>
        <v>#REF!</v>
      </c>
      <c r="BU707" s="200" t="e">
        <f>_xlfn.XLOOKUP(FMS_Ranking4[[#This Row],[FMS ID]],#REF!,#REF!)</f>
        <v>#REF!</v>
      </c>
      <c r="BV707" s="200">
        <f>FMS_Ranking4[[#This Row],[Region Number]]</f>
        <v>3</v>
      </c>
      <c r="BW707" s="200">
        <f>FMS_Ranking4[[#This Row],[Rank (with ArcSinh normalization of select criteria)]]-FMS_Ranking4[[#This Row],[Rank
(with linear
normalization)]]</f>
        <v>452</v>
      </c>
      <c r="BX707" s="200" t="e">
        <f>FMS_Ranking4[[#This Row],[Log Rank]]-FMS_Ranking4[[#This Row],[Rank
(with linear
normalization)]]</f>
        <v>#REF!</v>
      </c>
      <c r="BY707" s="200">
        <f>IF(FMS_Ranking4[[#This Row],[FMS Type]]="Flood Measurement and Warning",FMS_Ranking4[[#This Row],[Rank (with ArcSinh normalization of select criteria)]],"")</f>
        <v>700</v>
      </c>
      <c r="BZ707" s="200" t="str">
        <f>IF(FMS_Ranking4[[#This Row],[FMS Type]]="Regulatory and Guidance",FMS_Ranking4[[#This Row],[Rank (with ArcSinh normalization of select criteria)]],"")</f>
        <v/>
      </c>
      <c r="CA707" s="200" t="str">
        <f>IF(FMS_Ranking4[[#This Row],[FMS Type]]="Education and Outreach",FMS_Ranking4[[#This Row],[Rank (with ArcSinh normalization of select criteria)]],"")</f>
        <v/>
      </c>
      <c r="CB707" s="200" t="str">
        <f>IF(FMS_Ranking4[[#This Row],[FMS Type]]="Property Acquisition and Structural Elevation",FMS_Ranking4[[#This Row],[Rank (with ArcSinh normalization of select criteria)]],"")</f>
        <v/>
      </c>
      <c r="CC707" s="200" t="str">
        <f>IF(FMS_Ranking4[[#This Row],[FMS Type]]="Infrastructure Projects",FMS_Ranking4[[#This Row],[Rank (with ArcSinh normalization of select criteria)]],"")</f>
        <v/>
      </c>
      <c r="CD707" s="200" t="str">
        <f>IF(FMS_Ranking4[[#This Row],[FMS Type]]="Other",FMS_Ranking4[[#This Row],[Rank (with ArcSinh normalization of select criteria)]],"")</f>
        <v/>
      </c>
      <c r="CE707" s="201"/>
      <c r="CF707" s="206"/>
      <c r="CG707" s="206"/>
      <c r="CH707" s="206"/>
      <c r="CI707" s="206"/>
      <c r="CJ707" s="206"/>
      <c r="CK707" s="206"/>
      <c r="CL707" s="206"/>
      <c r="CM707" s="206"/>
      <c r="CN707" s="206"/>
      <c r="CO707" s="206"/>
      <c r="CP707" s="206"/>
      <c r="CQ707" s="206"/>
      <c r="CR707" s="206"/>
    </row>
    <row r="708" spans="2:96" ht="45" x14ac:dyDescent="0.25">
      <c r="B708" s="341" t="s">
        <v>3278</v>
      </c>
      <c r="C708" s="246">
        <f>_xlfn.XLOOKUP(FMS_Ranking4[[#This Row],[FMS ID]],FMS_Input[FMS_ID],FMS_Input[RFPG_NUM])</f>
        <v>7</v>
      </c>
      <c r="D708" s="309" t="str">
        <f>_xlfn.XLOOKUP(FMS_Ranking4[[#This Row],[FMS ID]],FMS_Input[FMS_ID],FMS_Input[FMS_NAME])</f>
        <v>City of Benjamin NFIP Participation</v>
      </c>
      <c r="E708" s="308" t="str">
        <f>_xlfn.XLOOKUP(FMS_Ranking4[[#This Row],[FMS ID]],FMS_Input[FMS_ID],FMS_Input[SPONSOR])</f>
        <v>07002771</v>
      </c>
      <c r="F708" s="309" t="str">
        <f>_xlfn.XLOOKUP(FMS_Ranking4[[#This Row],[FMS ID]],Sponsor[FMS_ID],Sponsor[SPONSOR NAME])</f>
        <v>Benjamin</v>
      </c>
      <c r="G708" s="309" t="str">
        <f>_xlfn.XLOOKUP(FMS_Ranking4[[#This Row],[FMS ID]],FMS_Input[FMS_ID],FMS_Input[FMS_DESCR])</f>
        <v>Application to join NFIP or adoption of equivalent standards.</v>
      </c>
      <c r="H708" s="248" t="str">
        <f>_xlfn.XLOOKUP(FMS_Ranking4[[#This Row],[FMS ID]],FMS_Input[FMS_ID],FMS_Input[FMS_TYPE])</f>
        <v>Regulatory and Guidance</v>
      </c>
      <c r="I708" s="249">
        <f>_xlfn.XLOOKUP(FMS_Ranking4[[#This Row],[FMS ID]],FMS_Input[FMS_ID],FMS_Input[NRNC_COST])</f>
        <v>50000</v>
      </c>
      <c r="J708" s="250">
        <f>_xlfn.XLOOKUP(FMS_Ranking4[[#This Row],[FMS ID]],FMS_Input[FMS_ID],FMS_Input[FMS_COST])</f>
        <v>50000</v>
      </c>
      <c r="K708" s="251" t="str">
        <f>_xlfn.XLOOKUP(FMS_Ranking4[[#This Row],[FMS ID]],FMS_Input[FMS_ID],FMS_Input[EMER_NEED])</f>
        <v>No</v>
      </c>
      <c r="L708" s="252">
        <f t="shared" si="10"/>
        <v>0</v>
      </c>
      <c r="M708" s="253">
        <f>_xlfn.XLOOKUP(FMS_Ranking4[[#This Row],[FMS ID]],FMS_Input[FMS_ID],FMS_Input[STRUCT_100])</f>
        <v>16</v>
      </c>
      <c r="N708" s="255">
        <f>(ASINH(FMS_Ranking4[[#This Row],[Structure at Risk Raw]]))*(10)/(ASINH(M$4))</f>
        <v>2.7253510466944326</v>
      </c>
      <c r="O708" s="256">
        <f>FMS_Ranking4[[#This Row],[Structures at risk, ArcSinh (0-10)]]*M$5*10</f>
        <v>2.7253510466944326</v>
      </c>
      <c r="P708" s="253">
        <f>_xlfn.XLOOKUP(FMS_Ranking4[[#This Row],[FMS ID]],FMS_Input[FMS_ID],FMS_Input[RES_STRUCT100])</f>
        <v>9</v>
      </c>
      <c r="Q708" s="257">
        <f>ASINH(FMS_Ranking4[[#This Row],[Res Structure Raw]])/Q$4*P$5*100</f>
        <v>0</v>
      </c>
      <c r="R708" s="253">
        <f>_xlfn.XLOOKUP(FMS_Ranking4[[#This Row],[FMS ID]],FMS_Input[FMS_ID],FMS_Input[POP100])</f>
        <v>10</v>
      </c>
      <c r="S708" s="259">
        <f>(ASINH(FMS_Ranking4[[#This Row],[Pop at Risk Raw]]))*(10)/(ASINH(R$4))</f>
        <v>2.0698478529282238</v>
      </c>
      <c r="T708" s="256">
        <f>FMS_Ranking4[[#This Row],[Population at risk, ArcSinh (0-10)]]*R$5*10</f>
        <v>2.0698478529282238</v>
      </c>
      <c r="U708" s="253">
        <f>_xlfn.XLOOKUP(FMS_Ranking4[[#This Row],[FMS ID]],FMS_Input[FMS_ID],FMS_Input[CRITFAC100])</f>
        <v>0</v>
      </c>
      <c r="V708" s="259">
        <f>(ASINH(FMS_Ranking4[[#This Row],[Critical Facilities Raw]]))*(10)/(ASINH(U$4))</f>
        <v>0</v>
      </c>
      <c r="W708" s="256">
        <f>FMS_Ranking4[[#This Row],[Critical facilities at risk, ArcSinh (0-10)]]*U$5*10</f>
        <v>0</v>
      </c>
      <c r="X708" s="253">
        <f>_xlfn.XLOOKUP(FMS_Ranking4[[#This Row],[FMS ID]],FMS_Input[FMS_ID],FMS_Input[LWC])</f>
        <v>0</v>
      </c>
      <c r="Y708" s="259">
        <f>(ASINH(FMS_Ranking4[[#This Row],[LWC Raw]]))*(10)/(ASINH(X$4))</f>
        <v>0</v>
      </c>
      <c r="Z708" s="256">
        <f>FMS_Ranking4[[#This Row],[LWC, ArcSInh (0-10)]]*X$5*10</f>
        <v>0</v>
      </c>
      <c r="AA708" s="253">
        <f>_xlfn.XLOOKUP(FMS_Ranking4[[#This Row],[FMS ID]],FMS_Input[FMS_ID],FMS_Input[ROADCLS])</f>
        <v>0</v>
      </c>
      <c r="AB708" s="255">
        <f>(ASINH(FMS_Ranking4[[#This Row],[Road Closures Raw]]))*(10)/(ASINH(AA$4))</f>
        <v>0</v>
      </c>
      <c r="AC708" s="256">
        <f>FMS_Ranking4[[#This Row],[Road closures, ArcSinh (0-10)]]*AA$5*10</f>
        <v>0</v>
      </c>
      <c r="AD708" s="253">
        <f>_xlfn.XLOOKUP(FMS_Ranking4[[#This Row],[FMS ID]],FMS_Input[FMS_ID],FMS_Input[ROAD_MILES100])</f>
        <v>1</v>
      </c>
      <c r="AE708" s="259">
        <f>(ASINH(FMS_Ranking4[[#This Row],[Road Miles Raw]]))*(10)/(ASINH(AD$4))</f>
        <v>0.9393017565219649</v>
      </c>
      <c r="AF708" s="256">
        <f>FMS_Ranking4[[#This Row],[Length of roads at risk, ArcSinh (0-10)]]*AD$5*10</f>
        <v>0.93930175652196501</v>
      </c>
      <c r="AG708" s="253">
        <f>_xlfn.XLOOKUP(FMS_Ranking4[[#This Row],[FMS ID]],FMS_Input[FMS_ID],FMS_Input[FARMACRE100])</f>
        <v>23.128959655761719</v>
      </c>
      <c r="AH708" s="255">
        <f>(ASINH(FMS_Ranking4[[#This Row],[Ag Land Raw]]))*(10)/(ASINH(AG$4))</f>
        <v>2.4909498556757188</v>
      </c>
      <c r="AI708" s="260">
        <f>FMS_Ranking4[[#This Row],[Farm &amp; ranch land, ArcSinh (0-10)]]*AG$5*10</f>
        <v>1.2454749278378594</v>
      </c>
      <c r="AJ708" s="258">
        <f>_xlfn.XLOOKUP(FMS_Ranking4[[#This Row],[FMS ID]],FMS_Input[FMS_ID],FMS_Input[REDSTRUCT100])</f>
        <v>0</v>
      </c>
      <c r="AK708" s="253">
        <f>_xlfn.XLOOKUP(FMS_Ranking4[[#This Row],[FMS ID]],FMS_Input[FMS_ID],FMS_Input[REMSTRC100])</f>
        <v>0</v>
      </c>
      <c r="AL708" s="259">
        <f>(ASINH(FMS_Ranking4[[#This Row],[Structures Removed Raw]]))*(10)/(ASINH(AK$4))</f>
        <v>0</v>
      </c>
      <c r="AM708" s="262">
        <f>FMS_Ranking4[[#This Row],[Structures removed, ArcSinh (0-10)]]*AK$5*10</f>
        <v>0</v>
      </c>
      <c r="AN708" s="253">
        <f>_xlfn.XLOOKUP(FMS_Ranking4[[#This Row],[FMS ID]],FMS_Input[FMS_ID],FMS_Input[REMRESSTRC100])</f>
        <v>0</v>
      </c>
      <c r="AO708" s="261">
        <f>FMS_Ranking4[[#This Row],[ArcSinh Res struct removed 0-10]]*AN$5*10</f>
        <v>0</v>
      </c>
      <c r="AP708" s="260">
        <f>ASINH(FMS_Ranking4[[#This Row],[Residential Structures Removed Raw]])/AP$4*AN$5*100</f>
        <v>0</v>
      </c>
      <c r="AQ708" s="254">
        <f>(ASINH(FMS_Ranking4[[#This Row],[Residential Structures Removed Raw]]))*(10)/(ASINH(AN$4))</f>
        <v>0</v>
      </c>
      <c r="AR708" s="253">
        <f>_xlfn.XLOOKUP(FMS_Ranking4[[#This Row],[FMS ID]],FMS_Input[FMS_ID],FMS_Input[REMPOP100])</f>
        <v>0</v>
      </c>
      <c r="AS708" s="259">
        <f>(ASINH(FMS_Ranking4[[#This Row],[Removed Pop Raw]]))*(10)/(ASINH(AR$4))</f>
        <v>0</v>
      </c>
      <c r="AT708" s="262">
        <f>FMS_Ranking4[[#This Row],[Removed population, ArcSinh (0-10)]]*AR$5*10</f>
        <v>0</v>
      </c>
      <c r="AU708" s="264">
        <f>_xlfn.XLOOKUP(FMS_Ranking4[[#This Row],[FMS ID]],FMS_Input[FMS_ID],FMS_Input[REMCRITFAC100])</f>
        <v>0</v>
      </c>
      <c r="AV708" s="264">
        <f>_xlfn.XLOOKUP(FMS_Ranking4[[#This Row],[FMS ID]],FMS_Input[FMS_ID],FMS_Input[REMLWC100])</f>
        <v>0</v>
      </c>
      <c r="AW708" s="264">
        <f>_xlfn.XLOOKUP(FMS_Ranking4[[#This Row],[FMS ID]],FMS_Input[FMS_ID],FMS_Input[REMROADCLS])</f>
        <v>0</v>
      </c>
      <c r="AX708" s="264">
        <f>_xlfn.XLOOKUP(FMS_Ranking4[[#This Row],[FMS ID]],FMS_Input[FMS_ID],FMS_Input[REMFRMACRE100])</f>
        <v>0</v>
      </c>
      <c r="AY708" s="258">
        <f>_xlfn.XLOOKUP(FMS_Ranking4[[#This Row],[FMS ID]],FMS_Input[FMS_ID],FMS_Input[COSTSTRUCT])</f>
        <v>0</v>
      </c>
      <c r="AZ708" s="253">
        <f>_xlfn.XLOOKUP(FMS_Ranking4[[#This Row],[FMS ID]],FMS_Input[FMS_ID],FMS_Input[NATURE])</f>
        <v>0</v>
      </c>
      <c r="BA708" s="262">
        <f>(((FMS_Ranking4[[#This Row],[% NBS Raw]]/AZ$4)*100)*AZ$5)</f>
        <v>0</v>
      </c>
      <c r="BB708" s="251" t="str">
        <f>_xlfn.XLOOKUP(FMS_Ranking4[[#This Row],[FMS ID]],FMS_Input[FMS_ID],FMS_Input[WATER_SUP])</f>
        <v>No</v>
      </c>
      <c r="BC708" s="265">
        <f>IF(FMS_Ranking4[[#This Row],[Water Supply Raw]]="Yes",10,0)</f>
        <v>0</v>
      </c>
      <c r="BD708" s="266">
        <f>_xlfn.XLOOKUP(FMS_Ranking4[[#This Row],[FMS Type]],FMS_TYPE[FMS_Type],FMS_TYPE[Score])</f>
        <v>8</v>
      </c>
      <c r="BE708" s="267">
        <f>FMS_Ranking4[[#This Row],[FMS_Type Score]]*$BD$5*10</f>
        <v>2</v>
      </c>
      <c r="BF70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2.7892260443710096E-3</v>
      </c>
      <c r="BG708" s="271">
        <f>_xlfn.RANK.EQ(BF708,$BF$8:$BF$870,0)+COUNTIF($BF$8:BF708,BF708)-1</f>
        <v>716</v>
      </c>
      <c r="BH708" s="268">
        <f>(((FMS_Ranking4[[#This Row],[Structures Removed Raw]]/AK$4)*100)*AK$5)+(((FMS_Ranking4[[#This Row],[Removed Pop Raw]]/AR$4)*100)*AR$5)</f>
        <v>0</v>
      </c>
      <c r="BI70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2.0027892260443712</v>
      </c>
      <c r="BJ708" s="205">
        <f>_xlfn.RANK.EQ(FMS_Ranking4[[#This Row],[Total Score 
(with linear
normalization)]],FMS_Ranking4[Total Score 
(with linear
normalization)],0)</f>
        <v>447</v>
      </c>
      <c r="BK708" s="205" t="e">
        <f>_xlfn.XLOOKUP(FMS_Ranking4[[#This Row],[FMS ID]],#REF!,#REF!)</f>
        <v>#REF!</v>
      </c>
      <c r="BL70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6.9799755839824815</v>
      </c>
      <c r="BM708" s="272">
        <f>FMS_Ranking4[[#This Row],[ArcSinh Score Based on Normalized Reported Factors]]+FMS_Ranking4[[#This Row],[% NBS Score (Normalized)]]+(FMS_Ranking4[[#This Row],[Water Supply Score (Normalized)]]*10*$BB$5)+FMS_Ranking4[[#This Row],[FMS_Type Score Weighted]]</f>
        <v>8.9799755839824815</v>
      </c>
      <c r="BN708" s="205">
        <f>_xlfn.RANK.EQ(FMS_Ranking4[[#This Row],[Total Score (with ArcSinh normalization of select criteria)]],FMS_Ranking4[Total Score (with ArcSinh normalization of select criteria)],0)</f>
        <v>701</v>
      </c>
      <c r="BO708" s="270" t="str">
        <f>_xlfn.XLOOKUP(FMS_Ranking4[[#This Row],[FMS ID]],FMS_Input[FMS_ID],FMS_Input[FMS_RANK_YEAR])</f>
        <v>2023 Amended Plan</v>
      </c>
      <c r="BP708" s="204">
        <f>_xlfn.XLOOKUP(FMS_Ranking4[[#This Row],[FMS ID]],Prev_Rank[FMS ID],Prev_Rank[Prev Rank])</f>
        <v>630</v>
      </c>
      <c r="BQ708" s="205" t="e">
        <f>_xlfn.XLOOKUP(FMS_Ranking4[[#This Row],[FMS ID]],#REF!,#REF!)</f>
        <v>#REF!</v>
      </c>
      <c r="BR708" s="199" t="e">
        <f>SUM(#REF!,#REF!,#REF!,#REF!,#REF!,#REF!,#REF!,#REF!,#REF!,FMS_Ranking4[[#This Row],[ArcSinh Res struct removed 0-10]],#REF!)</f>
        <v>#REF!</v>
      </c>
      <c r="BS708" s="199" t="e">
        <f>FMS_Ranking4[[#This Row],[Log Score Based on Normalized Reported Factors]]+FMS_Ranking4[[#This Row],[% NBS Score (Normalized)]]+(FMS_Ranking4[[#This Row],[Water Supply Score (Normalized)]]*10*$BB$5)+(FMS_Ranking4[[#This Row],[FMS_Type Score Weighted]])</f>
        <v>#REF!</v>
      </c>
      <c r="BT708" s="200" t="e">
        <f>_xlfn.RANK.EQ(FMS_Ranking4[[#This Row],[Log Total Score]],FMS_Ranking4[Log Total Score],0)</f>
        <v>#REF!</v>
      </c>
      <c r="BU708" s="200" t="e">
        <f>_xlfn.XLOOKUP(FMS_Ranking4[[#This Row],[FMS ID]],#REF!,#REF!)</f>
        <v>#REF!</v>
      </c>
      <c r="BV708" s="200">
        <f>FMS_Ranking4[[#This Row],[Region Number]]</f>
        <v>7</v>
      </c>
      <c r="BW708" s="200">
        <f>FMS_Ranking4[[#This Row],[Rank (with ArcSinh normalization of select criteria)]]-FMS_Ranking4[[#This Row],[Rank
(with linear
normalization)]]</f>
        <v>254</v>
      </c>
      <c r="BX708" s="200" t="e">
        <f>FMS_Ranking4[[#This Row],[Log Rank]]-FMS_Ranking4[[#This Row],[Rank
(with linear
normalization)]]</f>
        <v>#REF!</v>
      </c>
      <c r="BY708" s="200" t="str">
        <f>IF(FMS_Ranking4[[#This Row],[FMS Type]]="Flood Measurement and Warning",FMS_Ranking4[[#This Row],[Rank (with ArcSinh normalization of select criteria)]],"")</f>
        <v/>
      </c>
      <c r="BZ708" s="200">
        <f>IF(FMS_Ranking4[[#This Row],[FMS Type]]="Regulatory and Guidance",FMS_Ranking4[[#This Row],[Rank (with ArcSinh normalization of select criteria)]],"")</f>
        <v>701</v>
      </c>
      <c r="CA708" s="200" t="str">
        <f>IF(FMS_Ranking4[[#This Row],[FMS Type]]="Education and Outreach",FMS_Ranking4[[#This Row],[Rank (with ArcSinh normalization of select criteria)]],"")</f>
        <v/>
      </c>
      <c r="CB708" s="200" t="str">
        <f>IF(FMS_Ranking4[[#This Row],[FMS Type]]="Property Acquisition and Structural Elevation",FMS_Ranking4[[#This Row],[Rank (with ArcSinh normalization of select criteria)]],"")</f>
        <v/>
      </c>
      <c r="CC708" s="200" t="str">
        <f>IF(FMS_Ranking4[[#This Row],[FMS Type]]="Infrastructure Projects",FMS_Ranking4[[#This Row],[Rank (with ArcSinh normalization of select criteria)]],"")</f>
        <v/>
      </c>
      <c r="CD708" s="200" t="str">
        <f>IF(FMS_Ranking4[[#This Row],[FMS Type]]="Other",FMS_Ranking4[[#This Row],[Rank (with ArcSinh normalization of select criteria)]],"")</f>
        <v/>
      </c>
      <c r="CE708" s="201"/>
      <c r="CF708" s="206"/>
      <c r="CG708" s="206"/>
      <c r="CH708" s="206"/>
      <c r="CI708" s="206"/>
      <c r="CJ708" s="206"/>
      <c r="CK708" s="206"/>
      <c r="CL708" s="206"/>
      <c r="CM708" s="206"/>
      <c r="CN708" s="206"/>
      <c r="CO708" s="206"/>
      <c r="CP708" s="206"/>
      <c r="CQ708" s="206"/>
      <c r="CR708" s="206"/>
    </row>
    <row r="709" spans="2:96" ht="45" x14ac:dyDescent="0.25">
      <c r="B709" s="341" t="s">
        <v>2432</v>
      </c>
      <c r="C709" s="246">
        <f>_xlfn.XLOOKUP(FMS_Ranking4[[#This Row],[FMS ID]],FMS_Input[FMS_ID],FMS_Input[RFPG_NUM])</f>
        <v>3</v>
      </c>
      <c r="D709" s="309" t="str">
        <f>_xlfn.XLOOKUP(FMS_Ranking4[[#This Row],[FMS ID]],FMS_Input[FMS_ID],FMS_Input[FMS_NAME])</f>
        <v>Post Oak Bend NFIP Floodplain Ordinance</v>
      </c>
      <c r="E709" s="308" t="str">
        <f>_xlfn.XLOOKUP(FMS_Ranking4[[#This Row],[FMS ID]],FMS_Input[FMS_ID],FMS_Input[SPONSOR])</f>
        <v>Post Oak Bend</v>
      </c>
      <c r="F709" s="309" t="str">
        <f>_xlfn.XLOOKUP(FMS_Ranking4[[#This Row],[FMS ID]],Sponsor[FMS_ID],Sponsor[SPONSOR NAME])</f>
        <v>Post Oak Bend</v>
      </c>
      <c r="G709" s="309" t="str">
        <f>_xlfn.XLOOKUP(FMS_Ranking4[[#This Row],[FMS ID]],FMS_Input[FMS_ID],FMS_Input[FMS_DESCR])</f>
        <v>Develop a floodplain ordinance that meets or exceeds FEMA's minimum standards</v>
      </c>
      <c r="H709" s="248" t="str">
        <f>_xlfn.XLOOKUP(FMS_Ranking4[[#This Row],[FMS ID]],FMS_Input[FMS_ID],FMS_Input[FMS_TYPE])</f>
        <v>Regulatory and Guidance</v>
      </c>
      <c r="I709" s="249">
        <f>_xlfn.XLOOKUP(FMS_Ranking4[[#This Row],[FMS ID]],FMS_Input[FMS_ID],FMS_Input[NRNC_COST])</f>
        <v>100000</v>
      </c>
      <c r="J709" s="250">
        <f>_xlfn.XLOOKUP(FMS_Ranking4[[#This Row],[FMS ID]],FMS_Input[FMS_ID],FMS_Input[FMS_COST])</f>
        <v>100000</v>
      </c>
      <c r="K709" s="251" t="str">
        <f>_xlfn.XLOOKUP(FMS_Ranking4[[#This Row],[FMS ID]],FMS_Input[FMS_ID],FMS_Input[EMER_NEED])</f>
        <v>No</v>
      </c>
      <c r="L709" s="252">
        <f t="shared" si="10"/>
        <v>0</v>
      </c>
      <c r="M709" s="253">
        <f>_xlfn.XLOOKUP(FMS_Ranking4[[#This Row],[FMS ID]],FMS_Input[FMS_ID],FMS_Input[STRUCT_100])</f>
        <v>6</v>
      </c>
      <c r="N709" s="255">
        <f>(ASINH(FMS_Ranking4[[#This Row],[Structure at Risk Raw]]))*(10)/(ASINH(M$4))</f>
        <v>1.9589099741296994</v>
      </c>
      <c r="O709" s="256">
        <f>FMS_Ranking4[[#This Row],[Structures at risk, ArcSinh (0-10)]]*M$5*10</f>
        <v>1.9589099741296994</v>
      </c>
      <c r="P709" s="253">
        <f>_xlfn.XLOOKUP(FMS_Ranking4[[#This Row],[FMS ID]],FMS_Input[FMS_ID],FMS_Input[RES_STRUCT100])</f>
        <v>5</v>
      </c>
      <c r="Q709" s="257">
        <f>ASINH(FMS_Ranking4[[#This Row],[Res Structure Raw]])/Q$4*P$5*100</f>
        <v>0</v>
      </c>
      <c r="R709" s="253">
        <f>_xlfn.XLOOKUP(FMS_Ranking4[[#This Row],[FMS ID]],FMS_Input[FMS_ID],FMS_Input[POP100])</f>
        <v>4</v>
      </c>
      <c r="S709" s="255">
        <f>(ASINH(FMS_Ranking4[[#This Row],[Pop at Risk Raw]]))*(10)/(ASINH(R$4))</f>
        <v>1.4461020212053632</v>
      </c>
      <c r="T709" s="256">
        <f>FMS_Ranking4[[#This Row],[Population at risk, ArcSinh (0-10)]]*R$5*10</f>
        <v>1.4461020212053632</v>
      </c>
      <c r="U709" s="253">
        <f>_xlfn.XLOOKUP(FMS_Ranking4[[#This Row],[FMS ID]],FMS_Input[FMS_ID],FMS_Input[CRITFAC100])</f>
        <v>1</v>
      </c>
      <c r="V709" s="255">
        <f>(ASINH(FMS_Ranking4[[#This Row],[Critical Facilities Raw]]))*(10)/(ASINH(U$4))</f>
        <v>1.0433384451410745</v>
      </c>
      <c r="W709" s="256">
        <f>FMS_Ranking4[[#This Row],[Critical facilities at risk, ArcSinh (0-10)]]*U$5*10</f>
        <v>1.0433384451410745</v>
      </c>
      <c r="X709" s="253">
        <f>_xlfn.XLOOKUP(FMS_Ranking4[[#This Row],[FMS ID]],FMS_Input[FMS_ID],FMS_Input[LWC])</f>
        <v>0</v>
      </c>
      <c r="Y709" s="255">
        <f>(ASINH(FMS_Ranking4[[#This Row],[LWC Raw]]))*(10)/(ASINH(X$4))</f>
        <v>0</v>
      </c>
      <c r="Z709" s="256">
        <f>FMS_Ranking4[[#This Row],[LWC, ArcSInh (0-10)]]*X$5*10</f>
        <v>0</v>
      </c>
      <c r="AA709" s="253">
        <f>_xlfn.XLOOKUP(FMS_Ranking4[[#This Row],[FMS ID]],FMS_Input[FMS_ID],FMS_Input[ROADCLS])</f>
        <v>0</v>
      </c>
      <c r="AB709" s="255">
        <f>(ASINH(FMS_Ranking4[[#This Row],[Road Closures Raw]]))*(10)/(ASINH(AA$4))</f>
        <v>0</v>
      </c>
      <c r="AC709" s="256">
        <f>FMS_Ranking4[[#This Row],[Road closures, ArcSinh (0-10)]]*AA$5*10</f>
        <v>0</v>
      </c>
      <c r="AD709" s="253">
        <f>_xlfn.XLOOKUP(FMS_Ranking4[[#This Row],[FMS ID]],FMS_Input[FMS_ID],FMS_Input[ROAD_MILES100])</f>
        <v>1</v>
      </c>
      <c r="AE709" s="255">
        <f>(ASINH(FMS_Ranking4[[#This Row],[Road Miles Raw]]))*(10)/(ASINH(AD$4))</f>
        <v>0.9393017565219649</v>
      </c>
      <c r="AF709" s="256">
        <f>FMS_Ranking4[[#This Row],[Length of roads at risk, ArcSinh (0-10)]]*AD$5*10</f>
        <v>0.93930175652196501</v>
      </c>
      <c r="AG709" s="253">
        <f>_xlfn.XLOOKUP(FMS_Ranking4[[#This Row],[FMS ID]],FMS_Input[FMS_ID],FMS_Input[FARMACRE100])</f>
        <v>58.238410949707031</v>
      </c>
      <c r="AH709" s="255">
        <f>(ASINH(FMS_Ranking4[[#This Row],[Ag Land Raw]]))*(10)/(ASINH(AG$4))</f>
        <v>3.0905566292560422</v>
      </c>
      <c r="AI709" s="260">
        <f>FMS_Ranking4[[#This Row],[Farm &amp; ranch land, ArcSinh (0-10)]]*AG$5*10</f>
        <v>1.5452783146280213</v>
      </c>
      <c r="AJ709" s="258">
        <f>_xlfn.XLOOKUP(FMS_Ranking4[[#This Row],[FMS ID]],FMS_Input[FMS_ID],FMS_Input[REDSTRUCT100])</f>
        <v>0</v>
      </c>
      <c r="AK709" s="253">
        <f>_xlfn.XLOOKUP(FMS_Ranking4[[#This Row],[FMS ID]],FMS_Input[FMS_ID],FMS_Input[REMSTRC100])</f>
        <v>0</v>
      </c>
      <c r="AL709" s="255">
        <f>(ASINH(FMS_Ranking4[[#This Row],[Structures Removed Raw]]))*(10)/(ASINH(AK$4))</f>
        <v>0</v>
      </c>
      <c r="AM709" s="262">
        <f>FMS_Ranking4[[#This Row],[Structures removed, ArcSinh (0-10)]]*AK$5*10</f>
        <v>0</v>
      </c>
      <c r="AN709" s="253">
        <f>_xlfn.XLOOKUP(FMS_Ranking4[[#This Row],[FMS ID]],FMS_Input[FMS_ID],FMS_Input[REMRESSTRC100])</f>
        <v>0</v>
      </c>
      <c r="AO709" s="261">
        <f>FMS_Ranking4[[#This Row],[ArcSinh Res struct removed 0-10]]*AN$5*10</f>
        <v>0</v>
      </c>
      <c r="AP709" s="260">
        <f>ASINH(FMS_Ranking4[[#This Row],[Residential Structures Removed Raw]])/AP$4*AN$5*100</f>
        <v>0</v>
      </c>
      <c r="AQ709" s="258">
        <f>(ASINH(FMS_Ranking4[[#This Row],[Residential Structures Removed Raw]]))*(10)/(ASINH(AN$4))</f>
        <v>0</v>
      </c>
      <c r="AR709" s="253">
        <f>_xlfn.XLOOKUP(FMS_Ranking4[[#This Row],[FMS ID]],FMS_Input[FMS_ID],FMS_Input[REMPOP100])</f>
        <v>0</v>
      </c>
      <c r="AS709" s="255">
        <f>(ASINH(FMS_Ranking4[[#This Row],[Removed Pop Raw]]))*(10)/(ASINH(AR$4))</f>
        <v>0</v>
      </c>
      <c r="AT709" s="262">
        <f>FMS_Ranking4[[#This Row],[Removed population, ArcSinh (0-10)]]*AR$5*10</f>
        <v>0</v>
      </c>
      <c r="AU709" s="264">
        <f>_xlfn.XLOOKUP(FMS_Ranking4[[#This Row],[FMS ID]],FMS_Input[FMS_ID],FMS_Input[REMCRITFAC100])</f>
        <v>0</v>
      </c>
      <c r="AV709" s="264">
        <f>_xlfn.XLOOKUP(FMS_Ranking4[[#This Row],[FMS ID]],FMS_Input[FMS_ID],FMS_Input[REMLWC100])</f>
        <v>0</v>
      </c>
      <c r="AW709" s="264">
        <f>_xlfn.XLOOKUP(FMS_Ranking4[[#This Row],[FMS ID]],FMS_Input[FMS_ID],FMS_Input[REMROADCLS])</f>
        <v>0</v>
      </c>
      <c r="AX709" s="264">
        <f>_xlfn.XLOOKUP(FMS_Ranking4[[#This Row],[FMS ID]],FMS_Input[FMS_ID],FMS_Input[REMFRMACRE100])</f>
        <v>0</v>
      </c>
      <c r="AY709" s="258">
        <f>_xlfn.XLOOKUP(FMS_Ranking4[[#This Row],[FMS ID]],FMS_Input[FMS_ID],FMS_Input[COSTSTRUCT])</f>
        <v>0</v>
      </c>
      <c r="AZ709" s="253">
        <f>_xlfn.XLOOKUP(FMS_Ranking4[[#This Row],[FMS ID]],FMS_Input[FMS_ID],FMS_Input[NATURE])</f>
        <v>0</v>
      </c>
      <c r="BA709" s="262">
        <f>(((FMS_Ranking4[[#This Row],[% NBS Raw]]/AZ$4)*100)*AZ$5)</f>
        <v>0</v>
      </c>
      <c r="BB709" s="251" t="str">
        <f>_xlfn.XLOOKUP(FMS_Ranking4[[#This Row],[FMS ID]],FMS_Input[FMS_ID],FMS_Input[WATER_SUP])</f>
        <v>No</v>
      </c>
      <c r="BC709" s="265">
        <f>IF(FMS_Ranking4[[#This Row],[Water Supply Raw]]="Yes",10,0)</f>
        <v>0</v>
      </c>
      <c r="BD709" s="266">
        <f>_xlfn.XLOOKUP(FMS_Ranking4[[#This Row],[FMS Type]],FMS_TYPE[FMS_Type],FMS_TYPE[Score])</f>
        <v>8</v>
      </c>
      <c r="BE709" s="267">
        <f>FMS_Ranking4[[#This Row],[FMS_Type Score]]*$BD$5*10</f>
        <v>2</v>
      </c>
      <c r="BF70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6.4903562098998883E-3</v>
      </c>
      <c r="BG709" s="321">
        <f>_xlfn.RANK.EQ(BF709,$BF$8:$BF$870,0)+COUNTIF($BF$8:BF709,BF709)-1</f>
        <v>675</v>
      </c>
      <c r="BH709" s="294">
        <f>(((FMS_Ranking4[[#This Row],[Structures Removed Raw]]/AK$4)*100)*AK$5)+(((FMS_Ranking4[[#This Row],[Removed Pop Raw]]/AR$4)*100)*AR$5)</f>
        <v>0</v>
      </c>
      <c r="BI70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2.0064903562098997</v>
      </c>
      <c r="BJ709" s="251">
        <f>_xlfn.RANK.EQ(FMS_Ranking4[[#This Row],[Total Score 
(with linear
normalization)]],FMS_Ranking4[Total Score 
(with linear
normalization)],0)</f>
        <v>428</v>
      </c>
      <c r="BK709" s="251" t="e">
        <f>_xlfn.XLOOKUP(FMS_Ranking4[[#This Row],[FMS ID]],#REF!,#REF!)</f>
        <v>#REF!</v>
      </c>
      <c r="BL70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6.9329305116261235</v>
      </c>
      <c r="BM709" s="324">
        <f>FMS_Ranking4[[#This Row],[ArcSinh Score Based on Normalized Reported Factors]]+FMS_Ranking4[[#This Row],[% NBS Score (Normalized)]]+(FMS_Ranking4[[#This Row],[Water Supply Score (Normalized)]]*10*$BB$5)+FMS_Ranking4[[#This Row],[FMS_Type Score Weighted]]</f>
        <v>8.9329305116261235</v>
      </c>
      <c r="BN709" s="251">
        <f>_xlfn.RANK.EQ(FMS_Ranking4[[#This Row],[Total Score (with ArcSinh normalization of select criteria)]],FMS_Ranking4[Total Score (with ArcSinh normalization of select criteria)],0)</f>
        <v>702</v>
      </c>
      <c r="BO709" s="270" t="str">
        <f>_xlfn.XLOOKUP(FMS_Ranking4[[#This Row],[FMS ID]],FMS_Input[FMS_ID],FMS_Input[FMS_RANK_YEAR])</f>
        <v>2023 Amended Plan</v>
      </c>
      <c r="BP709" s="204">
        <f>_xlfn.XLOOKUP(FMS_Ranking4[[#This Row],[FMS ID]],Prev_Rank[FMS ID],Prev_Rank[Prev Rank])</f>
        <v>634</v>
      </c>
      <c r="BQ709" s="251" t="e">
        <f>_xlfn.XLOOKUP(FMS_Ranking4[[#This Row],[FMS ID]],#REF!,#REF!)</f>
        <v>#REF!</v>
      </c>
      <c r="BR709" s="199" t="e">
        <f>SUM(#REF!,#REF!,#REF!,#REF!,#REF!,#REF!,#REF!,#REF!,#REF!,FMS_Ranking4[[#This Row],[ArcSinh Res struct removed 0-10]],#REF!)</f>
        <v>#REF!</v>
      </c>
      <c r="BS709" s="199" t="e">
        <f>FMS_Ranking4[[#This Row],[Log Score Based on Normalized Reported Factors]]+FMS_Ranking4[[#This Row],[% NBS Score (Normalized)]]+(FMS_Ranking4[[#This Row],[Water Supply Score (Normalized)]]*10*$BB$5)+(FMS_Ranking4[[#This Row],[FMS_Type Score Weighted]])</f>
        <v>#REF!</v>
      </c>
      <c r="BT709" s="200" t="e">
        <f>_xlfn.RANK.EQ(FMS_Ranking4[[#This Row],[Log Total Score]],FMS_Ranking4[Log Total Score],0)</f>
        <v>#REF!</v>
      </c>
      <c r="BU709" s="200" t="e">
        <f>_xlfn.XLOOKUP(FMS_Ranking4[[#This Row],[FMS ID]],#REF!,#REF!)</f>
        <v>#REF!</v>
      </c>
      <c r="BV709" s="200">
        <f>FMS_Ranking4[[#This Row],[Region Number]]</f>
        <v>3</v>
      </c>
      <c r="BW709" s="200">
        <f>FMS_Ranking4[[#This Row],[Rank (with ArcSinh normalization of select criteria)]]-FMS_Ranking4[[#This Row],[Rank
(with linear
normalization)]]</f>
        <v>274</v>
      </c>
      <c r="BX709" s="200" t="e">
        <f>FMS_Ranking4[[#This Row],[Log Rank]]-FMS_Ranking4[[#This Row],[Rank
(with linear
normalization)]]</f>
        <v>#REF!</v>
      </c>
      <c r="BY709" s="200" t="str">
        <f>IF(FMS_Ranking4[[#This Row],[FMS Type]]="Flood Measurement and Warning",FMS_Ranking4[[#This Row],[Rank (with ArcSinh normalization of select criteria)]],"")</f>
        <v/>
      </c>
      <c r="BZ709" s="200">
        <f>IF(FMS_Ranking4[[#This Row],[FMS Type]]="Regulatory and Guidance",FMS_Ranking4[[#This Row],[Rank (with ArcSinh normalization of select criteria)]],"")</f>
        <v>702</v>
      </c>
      <c r="CA709" s="200" t="str">
        <f>IF(FMS_Ranking4[[#This Row],[FMS Type]]="Education and Outreach",FMS_Ranking4[[#This Row],[Rank (with ArcSinh normalization of select criteria)]],"")</f>
        <v/>
      </c>
      <c r="CB709" s="200" t="str">
        <f>IF(FMS_Ranking4[[#This Row],[FMS Type]]="Property Acquisition and Structural Elevation",FMS_Ranking4[[#This Row],[Rank (with ArcSinh normalization of select criteria)]],"")</f>
        <v/>
      </c>
      <c r="CC709" s="200" t="str">
        <f>IF(FMS_Ranking4[[#This Row],[FMS Type]]="Infrastructure Projects",FMS_Ranking4[[#This Row],[Rank (with ArcSinh normalization of select criteria)]],"")</f>
        <v/>
      </c>
      <c r="CD709" s="200" t="str">
        <f>IF(FMS_Ranking4[[#This Row],[FMS Type]]="Other",FMS_Ranking4[[#This Row],[Rank (with ArcSinh normalization of select criteria)]],"")</f>
        <v/>
      </c>
      <c r="CE709" s="201"/>
      <c r="CF709" s="206"/>
      <c r="CG709" s="206"/>
      <c r="CH709" s="206"/>
      <c r="CI709" s="206"/>
      <c r="CJ709" s="206"/>
      <c r="CK709" s="206"/>
      <c r="CL709" s="206"/>
      <c r="CM709" s="206"/>
      <c r="CN709" s="206"/>
      <c r="CO709" s="206"/>
      <c r="CP709" s="206"/>
      <c r="CQ709" s="206"/>
      <c r="CR709" s="206"/>
    </row>
    <row r="710" spans="2:96" ht="105" x14ac:dyDescent="0.25">
      <c r="B710" s="341" t="s">
        <v>1002</v>
      </c>
      <c r="C710" s="246">
        <f>_xlfn.XLOOKUP(FMS_Ranking4[[#This Row],[FMS ID]],FMS_Input[FMS_ID],FMS_Input[RFPG_NUM])</f>
        <v>9</v>
      </c>
      <c r="D710" s="309" t="str">
        <f>_xlfn.XLOOKUP(FMS_Ranking4[[#This Row],[FMS ID]],FMS_Input[FMS_ID],FMS_Input[FMS_NAME])</f>
        <v>City of Blackwell Warning System</v>
      </c>
      <c r="E710" s="308" t="str">
        <f>_xlfn.XLOOKUP(FMS_Ranking4[[#This Row],[FMS ID]],FMS_Input[FMS_ID],FMS_Input[SPONSOR])</f>
        <v>09000147</v>
      </c>
      <c r="F710" s="309" t="str">
        <f>_xlfn.XLOOKUP(FMS_Ranking4[[#This Row],[FMS ID]],Sponsor[FMS_ID],Sponsor[SPONSOR NAME])</f>
        <v>Coke</v>
      </c>
      <c r="G710" s="309" t="str">
        <f>_xlfn.XLOOKUP(FMS_Ranking4[[#This Row],[FMS ID]],FMS_Input[FMS_ID],FMS_Input[FMS_DESCR])</f>
        <v>Install a warning system including outdoor siren to notify residents of severe weather events and implement area-wide telephone Emergency Notification System (“Reverse 911”).</v>
      </c>
      <c r="H710" s="248" t="str">
        <f>_xlfn.XLOOKUP(FMS_Ranking4[[#This Row],[FMS ID]],FMS_Input[FMS_ID],FMS_Input[FMS_TYPE])</f>
        <v>Other</v>
      </c>
      <c r="I710" s="249">
        <f>_xlfn.XLOOKUP(FMS_Ranking4[[#This Row],[FMS ID]],FMS_Input[FMS_ID],FMS_Input[NRNC_COST])</f>
        <v>35000</v>
      </c>
      <c r="J710" s="250">
        <f>_xlfn.XLOOKUP(FMS_Ranking4[[#This Row],[FMS ID]],FMS_Input[FMS_ID],FMS_Input[FMS_COST])</f>
        <v>60000</v>
      </c>
      <c r="K710" s="251" t="str">
        <f>_xlfn.XLOOKUP(FMS_Ranking4[[#This Row],[FMS ID]],FMS_Input[FMS_ID],FMS_Input[EMER_NEED])</f>
        <v>No</v>
      </c>
      <c r="L710" s="252">
        <f t="shared" si="10"/>
        <v>0</v>
      </c>
      <c r="M710" s="253">
        <f>_xlfn.XLOOKUP(FMS_Ranking4[[#This Row],[FMS ID]],FMS_Input[FMS_ID],FMS_Input[STRUCT_100])</f>
        <v>9</v>
      </c>
      <c r="N710" s="255">
        <f>(ASINH(FMS_Ranking4[[#This Row],[Structure at Risk Raw]]))*(10)/(ASINH(M$4))</f>
        <v>2.2746777880562381</v>
      </c>
      <c r="O710" s="256">
        <f>FMS_Ranking4[[#This Row],[Structures at risk, ArcSinh (0-10)]]*M$5*10</f>
        <v>2.2746777880562381</v>
      </c>
      <c r="P710" s="253">
        <f>_xlfn.XLOOKUP(FMS_Ranking4[[#This Row],[FMS ID]],FMS_Input[FMS_ID],FMS_Input[RES_STRUCT100])</f>
        <v>3</v>
      </c>
      <c r="Q710" s="257">
        <f>ASINH(FMS_Ranking4[[#This Row],[Res Structure Raw]])/Q$4*P$5*100</f>
        <v>0</v>
      </c>
      <c r="R710" s="253">
        <f>_xlfn.XLOOKUP(FMS_Ranking4[[#This Row],[FMS ID]],FMS_Input[FMS_ID],FMS_Input[POP100])</f>
        <v>14</v>
      </c>
      <c r="S710" s="259">
        <f>(ASINH(FMS_Ranking4[[#This Row],[Pop at Risk Raw]]))*(10)/(ASINH(R$4))</f>
        <v>2.3012936463949329</v>
      </c>
      <c r="T710" s="256">
        <f>FMS_Ranking4[[#This Row],[Population at risk, ArcSinh (0-10)]]*R$5*10</f>
        <v>2.3012936463949329</v>
      </c>
      <c r="U710" s="253">
        <f>_xlfn.XLOOKUP(FMS_Ranking4[[#This Row],[FMS ID]],FMS_Input[FMS_ID],FMS_Input[CRITFAC100])</f>
        <v>0</v>
      </c>
      <c r="V710" s="259">
        <f>(ASINH(FMS_Ranking4[[#This Row],[Critical Facilities Raw]]))*(10)/(ASINH(U$4))</f>
        <v>0</v>
      </c>
      <c r="W710" s="256">
        <f>FMS_Ranking4[[#This Row],[Critical facilities at risk, ArcSinh (0-10)]]*U$5*10</f>
        <v>0</v>
      </c>
      <c r="X710" s="253">
        <f>_xlfn.XLOOKUP(FMS_Ranking4[[#This Row],[FMS ID]],FMS_Input[FMS_ID],FMS_Input[LWC])</f>
        <v>0</v>
      </c>
      <c r="Y710" s="259">
        <f>(ASINH(FMS_Ranking4[[#This Row],[LWC Raw]]))*(10)/(ASINH(X$4))</f>
        <v>0</v>
      </c>
      <c r="Z710" s="256">
        <f>FMS_Ranking4[[#This Row],[LWC, ArcSInh (0-10)]]*X$5*10</f>
        <v>0</v>
      </c>
      <c r="AA710" s="253">
        <f>_xlfn.XLOOKUP(FMS_Ranking4[[#This Row],[FMS ID]],FMS_Input[FMS_ID],FMS_Input[ROADCLS])</f>
        <v>0</v>
      </c>
      <c r="AB710" s="255">
        <f>(ASINH(FMS_Ranking4[[#This Row],[Road Closures Raw]]))*(10)/(ASINH(AA$4))</f>
        <v>0</v>
      </c>
      <c r="AC710" s="256">
        <f>FMS_Ranking4[[#This Row],[Road closures, ArcSinh (0-10)]]*AA$5*10</f>
        <v>0</v>
      </c>
      <c r="AD710" s="253">
        <f>_xlfn.XLOOKUP(FMS_Ranking4[[#This Row],[FMS ID]],FMS_Input[FMS_ID],FMS_Input[ROAD_MILES100])</f>
        <v>0</v>
      </c>
      <c r="AE710" s="259">
        <f>(ASINH(FMS_Ranking4[[#This Row],[Road Miles Raw]]))*(10)/(ASINH(AD$4))</f>
        <v>0</v>
      </c>
      <c r="AF710" s="256">
        <f>FMS_Ranking4[[#This Row],[Length of roads at risk, ArcSinh (0-10)]]*AD$5*10</f>
        <v>0</v>
      </c>
      <c r="AG710" s="253">
        <f>_xlfn.XLOOKUP(FMS_Ranking4[[#This Row],[FMS ID]],FMS_Input[FMS_ID],FMS_Input[FARMACRE100])</f>
        <v>5.9681897982954979E-4</v>
      </c>
      <c r="AH710" s="255">
        <f>(ASINH(FMS_Ranking4[[#This Row],[Ag Land Raw]]))*(10)/(ASINH(AG$4))</f>
        <v>3.8768252681814296E-4</v>
      </c>
      <c r="AI710" s="260">
        <f>FMS_Ranking4[[#This Row],[Farm &amp; ranch land, ArcSinh (0-10)]]*AG$5*10</f>
        <v>1.9384126340907151E-4</v>
      </c>
      <c r="AJ710" s="258">
        <f>_xlfn.XLOOKUP(FMS_Ranking4[[#This Row],[FMS ID]],FMS_Input[FMS_ID],FMS_Input[REDSTRUCT100])</f>
        <v>3</v>
      </c>
      <c r="AK710" s="253">
        <f>_xlfn.XLOOKUP(FMS_Ranking4[[#This Row],[FMS ID]],FMS_Input[FMS_ID],FMS_Input[REMSTRC100])</f>
        <v>3</v>
      </c>
      <c r="AL710" s="259">
        <f>(ASINH(FMS_Ranking4[[#This Row],[Structures Removed Raw]]))*(10)/(ASINH(AK$4))</f>
        <v>2.0704310956893948</v>
      </c>
      <c r="AM710" s="262">
        <f>FMS_Ranking4[[#This Row],[Structures removed, ArcSinh (0-10)]]*AK$5*10</f>
        <v>2.0704310956893948</v>
      </c>
      <c r="AN710" s="253">
        <f>_xlfn.XLOOKUP(FMS_Ranking4[[#This Row],[FMS ID]],FMS_Input[FMS_ID],FMS_Input[REMRESSTRC100])</f>
        <v>0</v>
      </c>
      <c r="AO710" s="261">
        <f>FMS_Ranking4[[#This Row],[ArcSinh Res struct removed 0-10]]*AN$5*10</f>
        <v>0</v>
      </c>
      <c r="AP710" s="260">
        <f>ASINH(FMS_Ranking4[[#This Row],[Residential Structures Removed Raw]])/AP$4*AN$5*100</f>
        <v>0</v>
      </c>
      <c r="AQ710" s="254">
        <f>(ASINH(FMS_Ranking4[[#This Row],[Residential Structures Removed Raw]]))*(10)/(ASINH(AN$4))</f>
        <v>0</v>
      </c>
      <c r="AR710" s="253">
        <f>_xlfn.XLOOKUP(FMS_Ranking4[[#This Row],[FMS ID]],FMS_Input[FMS_ID],FMS_Input[REMPOP100])</f>
        <v>3</v>
      </c>
      <c r="AS710" s="259">
        <f>(ASINH(FMS_Ranking4[[#This Row],[Removed Pop Raw]]))*(10)/(ASINH(AR$4))</f>
        <v>1.7850242185191216</v>
      </c>
      <c r="AT710" s="262">
        <f>FMS_Ranking4[[#This Row],[Removed population, ArcSinh (0-10)]]*AR$5*10</f>
        <v>1.7850242185191219</v>
      </c>
      <c r="AU710" s="264">
        <f>_xlfn.XLOOKUP(FMS_Ranking4[[#This Row],[FMS ID]],FMS_Input[FMS_ID],FMS_Input[REMCRITFAC100])</f>
        <v>0</v>
      </c>
      <c r="AV710" s="264">
        <f>_xlfn.XLOOKUP(FMS_Ranking4[[#This Row],[FMS ID]],FMS_Input[FMS_ID],FMS_Input[REMLWC100])</f>
        <v>0</v>
      </c>
      <c r="AW710" s="264">
        <f>_xlfn.XLOOKUP(FMS_Ranking4[[#This Row],[FMS ID]],FMS_Input[FMS_ID],FMS_Input[REMROADCLS])</f>
        <v>0</v>
      </c>
      <c r="AX710" s="264">
        <f>_xlfn.XLOOKUP(FMS_Ranking4[[#This Row],[FMS ID]],FMS_Input[FMS_ID],FMS_Input[REMFRMACRE100])</f>
        <v>1.4920500689186161E-4</v>
      </c>
      <c r="AY710" s="258">
        <f>_xlfn.XLOOKUP(FMS_Ranking4[[#This Row],[FMS ID]],FMS_Input[FMS_ID],FMS_Input[COSTSTRUCT])</f>
        <v>25000</v>
      </c>
      <c r="AZ710" s="253">
        <f>_xlfn.XLOOKUP(FMS_Ranking4[[#This Row],[FMS ID]],FMS_Input[FMS_ID],FMS_Input[NATURE])</f>
        <v>0</v>
      </c>
      <c r="BA710" s="262">
        <f>(((FMS_Ranking4[[#This Row],[% NBS Raw]]/AZ$4)*100)*AZ$5)</f>
        <v>0</v>
      </c>
      <c r="BB710" s="251" t="str">
        <f>_xlfn.XLOOKUP(FMS_Ranking4[[#This Row],[FMS ID]],FMS_Input[FMS_ID],FMS_Input[WATER_SUP])</f>
        <v>No</v>
      </c>
      <c r="BC710" s="265">
        <f>IF(FMS_Ranking4[[#This Row],[Water Supply Raw]]="Yes",10,0)</f>
        <v>0</v>
      </c>
      <c r="BD710" s="266">
        <f>_xlfn.XLOOKUP(FMS_Ranking4[[#This Row],[FMS Type]],FMS_TYPE[FMS_Type],FMS_TYPE[Score])</f>
        <v>2</v>
      </c>
      <c r="BE710" s="267">
        <f>FMS_Ranking4[[#This Row],[FMS_Type Score]]*$BD$5*10</f>
        <v>0.5</v>
      </c>
      <c r="BF71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6.8151958950991127E-4</v>
      </c>
      <c r="BG710" s="271">
        <f>_xlfn.RANK.EQ(BF710,$BF$8:$BF$870,0)+COUNTIF($BF$8:BF710,BF710)-1</f>
        <v>752</v>
      </c>
      <c r="BH710" s="268">
        <f>(((FMS_Ranking4[[#This Row],[Structures Removed Raw]]/AK$4)*100)*AK$5)+(((FMS_Ranking4[[#This Row],[Removed Pop Raw]]/AR$4)*100)*AR$5)</f>
        <v>1.145849806396269E-2</v>
      </c>
      <c r="BI71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0.51214001765347261</v>
      </c>
      <c r="BJ710" s="205">
        <f>_xlfn.RANK.EQ(FMS_Ranking4[[#This Row],[Total Score 
(with linear
normalization)]],FMS_Ranking4[Total Score 
(with linear
normalization)],0)</f>
        <v>845</v>
      </c>
      <c r="BK710" s="205" t="e">
        <f>_xlfn.XLOOKUP(FMS_Ranking4[[#This Row],[FMS ID]],#REF!,#REF!)</f>
        <v>#REF!</v>
      </c>
      <c r="BL71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8.4316205899230958</v>
      </c>
      <c r="BM710" s="272">
        <f>FMS_Ranking4[[#This Row],[ArcSinh Score Based on Normalized Reported Factors]]+FMS_Ranking4[[#This Row],[% NBS Score (Normalized)]]+(FMS_Ranking4[[#This Row],[Water Supply Score (Normalized)]]*10*$BB$5)+FMS_Ranking4[[#This Row],[FMS_Type Score Weighted]]</f>
        <v>8.9316205899230958</v>
      </c>
      <c r="BN710" s="205">
        <f>_xlfn.RANK.EQ(FMS_Ranking4[[#This Row],[Total Score (with ArcSinh normalization of select criteria)]],FMS_Ranking4[Total Score (with ArcSinh normalization of select criteria)],0)</f>
        <v>703</v>
      </c>
      <c r="BO710" s="270" t="str">
        <f>_xlfn.XLOOKUP(FMS_Ranking4[[#This Row],[FMS ID]],FMS_Input[FMS_ID],FMS_Input[FMS_RANK_YEAR])</f>
        <v>2023 Amended Plan</v>
      </c>
      <c r="BP710" s="204">
        <f>_xlfn.XLOOKUP(FMS_Ranking4[[#This Row],[FMS ID]],Prev_Rank[FMS ID],Prev_Rank[Prev Rank])</f>
        <v>637</v>
      </c>
      <c r="BQ710" s="205" t="e">
        <f>_xlfn.XLOOKUP(FMS_Ranking4[[#This Row],[FMS ID]],#REF!,#REF!)</f>
        <v>#REF!</v>
      </c>
      <c r="BR710" s="199" t="e">
        <f>SUM(#REF!,#REF!,#REF!,#REF!,#REF!,#REF!,#REF!,#REF!,#REF!,FMS_Ranking4[[#This Row],[ArcSinh Res struct removed 0-10]],#REF!)</f>
        <v>#REF!</v>
      </c>
      <c r="BS710" s="199" t="e">
        <f>FMS_Ranking4[[#This Row],[Log Score Based on Normalized Reported Factors]]+FMS_Ranking4[[#This Row],[% NBS Score (Normalized)]]+(FMS_Ranking4[[#This Row],[Water Supply Score (Normalized)]]*10*$BB$5)+(FMS_Ranking4[[#This Row],[FMS_Type Score Weighted]])</f>
        <v>#REF!</v>
      </c>
      <c r="BT710" s="200" t="e">
        <f>_xlfn.RANK.EQ(FMS_Ranking4[[#This Row],[Log Total Score]],FMS_Ranking4[Log Total Score],0)</f>
        <v>#REF!</v>
      </c>
      <c r="BU710" s="200" t="e">
        <f>_xlfn.XLOOKUP(FMS_Ranking4[[#This Row],[FMS ID]],#REF!,#REF!)</f>
        <v>#REF!</v>
      </c>
      <c r="BV710" s="200">
        <f>FMS_Ranking4[[#This Row],[Region Number]]</f>
        <v>9</v>
      </c>
      <c r="BW710" s="200">
        <f>FMS_Ranking4[[#This Row],[Rank (with ArcSinh normalization of select criteria)]]-FMS_Ranking4[[#This Row],[Rank
(with linear
normalization)]]</f>
        <v>-142</v>
      </c>
      <c r="BX710" s="200" t="e">
        <f>FMS_Ranking4[[#This Row],[Log Rank]]-FMS_Ranking4[[#This Row],[Rank
(with linear
normalization)]]</f>
        <v>#REF!</v>
      </c>
      <c r="BY710" s="200" t="str">
        <f>IF(FMS_Ranking4[[#This Row],[FMS Type]]="Flood Measurement and Warning",FMS_Ranking4[[#This Row],[Rank (with ArcSinh normalization of select criteria)]],"")</f>
        <v/>
      </c>
      <c r="BZ710" s="200" t="str">
        <f>IF(FMS_Ranking4[[#This Row],[FMS Type]]="Regulatory and Guidance",FMS_Ranking4[[#This Row],[Rank (with ArcSinh normalization of select criteria)]],"")</f>
        <v/>
      </c>
      <c r="CA710" s="200" t="str">
        <f>IF(FMS_Ranking4[[#This Row],[FMS Type]]="Education and Outreach",FMS_Ranking4[[#This Row],[Rank (with ArcSinh normalization of select criteria)]],"")</f>
        <v/>
      </c>
      <c r="CB710" s="200" t="str">
        <f>IF(FMS_Ranking4[[#This Row],[FMS Type]]="Property Acquisition and Structural Elevation",FMS_Ranking4[[#This Row],[Rank (with ArcSinh normalization of select criteria)]],"")</f>
        <v/>
      </c>
      <c r="CC710" s="200" t="str">
        <f>IF(FMS_Ranking4[[#This Row],[FMS Type]]="Infrastructure Projects",FMS_Ranking4[[#This Row],[Rank (with ArcSinh normalization of select criteria)]],"")</f>
        <v/>
      </c>
      <c r="CD710" s="200">
        <f>IF(FMS_Ranking4[[#This Row],[FMS Type]]="Other",FMS_Ranking4[[#This Row],[Rank (with ArcSinh normalization of select criteria)]],"")</f>
        <v>703</v>
      </c>
      <c r="CE710" s="201"/>
      <c r="CF710" s="206"/>
      <c r="CG710" s="206"/>
      <c r="CH710" s="206"/>
      <c r="CI710" s="206"/>
      <c r="CJ710" s="206"/>
      <c r="CK710" s="206"/>
      <c r="CL710" s="206"/>
      <c r="CM710" s="206"/>
      <c r="CN710" s="206"/>
      <c r="CO710" s="206"/>
      <c r="CP710" s="206"/>
      <c r="CQ710" s="206"/>
      <c r="CR710" s="206"/>
    </row>
    <row r="711" spans="2:96" ht="45" x14ac:dyDescent="0.25">
      <c r="B711" s="341" t="s">
        <v>1011</v>
      </c>
      <c r="C711" s="246">
        <f>_xlfn.XLOOKUP(FMS_Ranking4[[#This Row],[FMS ID]],FMS_Input[FMS_ID],FMS_Input[RFPG_NUM])</f>
        <v>9</v>
      </c>
      <c r="D711" s="309" t="str">
        <f>_xlfn.XLOOKUP(FMS_Ranking4[[#This Row],[FMS ID]],FMS_Input[FMS_ID],FMS_Input[FMS_NAME])</f>
        <v>City of Blackwell Debris Program</v>
      </c>
      <c r="E711" s="308" t="str">
        <f>_xlfn.XLOOKUP(FMS_Ranking4[[#This Row],[FMS ID]],FMS_Input[FMS_ID],FMS_Input[SPONSOR])</f>
        <v>09000147</v>
      </c>
      <c r="F711" s="309" t="str">
        <f>_xlfn.XLOOKUP(FMS_Ranking4[[#This Row],[FMS ID]],Sponsor[FMS_ID],Sponsor[SPONSOR NAME])</f>
        <v>Coke</v>
      </c>
      <c r="G711" s="309" t="str">
        <f>_xlfn.XLOOKUP(FMS_Ranking4[[#This Row],[FMS ID]],FMS_Input[FMS_ID],FMS_Input[FMS_DESCR])</f>
        <v>Implement maintenance program for clearing debris from drains/culverts.</v>
      </c>
      <c r="H711" s="248" t="str">
        <f>_xlfn.XLOOKUP(FMS_Ranking4[[#This Row],[FMS ID]],FMS_Input[FMS_ID],FMS_Input[FMS_TYPE])</f>
        <v>Other</v>
      </c>
      <c r="I711" s="249">
        <f>_xlfn.XLOOKUP(FMS_Ranking4[[#This Row],[FMS ID]],FMS_Input[FMS_ID],FMS_Input[NRNC_COST])</f>
        <v>35000</v>
      </c>
      <c r="J711" s="250">
        <f>_xlfn.XLOOKUP(FMS_Ranking4[[#This Row],[FMS ID]],FMS_Input[FMS_ID],FMS_Input[FMS_COST])</f>
        <v>60000</v>
      </c>
      <c r="K711" s="251" t="str">
        <f>_xlfn.XLOOKUP(FMS_Ranking4[[#This Row],[FMS ID]],FMS_Input[FMS_ID],FMS_Input[EMER_NEED])</f>
        <v>No</v>
      </c>
      <c r="L711" s="252">
        <f t="shared" si="10"/>
        <v>0</v>
      </c>
      <c r="M711" s="253">
        <f>_xlfn.XLOOKUP(FMS_Ranking4[[#This Row],[FMS ID]],FMS_Input[FMS_ID],FMS_Input[STRUCT_100])</f>
        <v>9</v>
      </c>
      <c r="N711" s="255">
        <f>(ASINH(FMS_Ranking4[[#This Row],[Structure at Risk Raw]]))*(10)/(ASINH(M$4))</f>
        <v>2.2746777880562381</v>
      </c>
      <c r="O711" s="256">
        <f>FMS_Ranking4[[#This Row],[Structures at risk, ArcSinh (0-10)]]*M$5*10</f>
        <v>2.2746777880562381</v>
      </c>
      <c r="P711" s="253">
        <f>_xlfn.XLOOKUP(FMS_Ranking4[[#This Row],[FMS ID]],FMS_Input[FMS_ID],FMS_Input[RES_STRUCT100])</f>
        <v>3</v>
      </c>
      <c r="Q711" s="257">
        <f>ASINH(FMS_Ranking4[[#This Row],[Res Structure Raw]])/Q$4*P$5*100</f>
        <v>0</v>
      </c>
      <c r="R711" s="253">
        <f>_xlfn.XLOOKUP(FMS_Ranking4[[#This Row],[FMS ID]],FMS_Input[FMS_ID],FMS_Input[POP100])</f>
        <v>14</v>
      </c>
      <c r="S711" s="255">
        <f>(ASINH(FMS_Ranking4[[#This Row],[Pop at Risk Raw]]))*(10)/(ASINH(R$4))</f>
        <v>2.3012936463949329</v>
      </c>
      <c r="T711" s="256">
        <f>FMS_Ranking4[[#This Row],[Population at risk, ArcSinh (0-10)]]*R$5*10</f>
        <v>2.3012936463949329</v>
      </c>
      <c r="U711" s="253">
        <f>_xlfn.XLOOKUP(FMS_Ranking4[[#This Row],[FMS ID]],FMS_Input[FMS_ID],FMS_Input[CRITFAC100])</f>
        <v>0</v>
      </c>
      <c r="V711" s="255">
        <f>(ASINH(FMS_Ranking4[[#This Row],[Critical Facilities Raw]]))*(10)/(ASINH(U$4))</f>
        <v>0</v>
      </c>
      <c r="W711" s="256">
        <f>FMS_Ranking4[[#This Row],[Critical facilities at risk, ArcSinh (0-10)]]*U$5*10</f>
        <v>0</v>
      </c>
      <c r="X711" s="253">
        <f>_xlfn.XLOOKUP(FMS_Ranking4[[#This Row],[FMS ID]],FMS_Input[FMS_ID],FMS_Input[LWC])</f>
        <v>0</v>
      </c>
      <c r="Y711" s="255">
        <f>(ASINH(FMS_Ranking4[[#This Row],[LWC Raw]]))*(10)/(ASINH(X$4))</f>
        <v>0</v>
      </c>
      <c r="Z711" s="256">
        <f>FMS_Ranking4[[#This Row],[LWC, ArcSInh (0-10)]]*X$5*10</f>
        <v>0</v>
      </c>
      <c r="AA711" s="253">
        <f>_xlfn.XLOOKUP(FMS_Ranking4[[#This Row],[FMS ID]],FMS_Input[FMS_ID],FMS_Input[ROADCLS])</f>
        <v>0</v>
      </c>
      <c r="AB711" s="255">
        <f>(ASINH(FMS_Ranking4[[#This Row],[Road Closures Raw]]))*(10)/(ASINH(AA$4))</f>
        <v>0</v>
      </c>
      <c r="AC711" s="256">
        <f>FMS_Ranking4[[#This Row],[Road closures, ArcSinh (0-10)]]*AA$5*10</f>
        <v>0</v>
      </c>
      <c r="AD711" s="253">
        <f>_xlfn.XLOOKUP(FMS_Ranking4[[#This Row],[FMS ID]],FMS_Input[FMS_ID],FMS_Input[ROAD_MILES100])</f>
        <v>0</v>
      </c>
      <c r="AE711" s="255">
        <f>(ASINH(FMS_Ranking4[[#This Row],[Road Miles Raw]]))*(10)/(ASINH(AD$4))</f>
        <v>0</v>
      </c>
      <c r="AF711" s="256">
        <f>FMS_Ranking4[[#This Row],[Length of roads at risk, ArcSinh (0-10)]]*AD$5*10</f>
        <v>0</v>
      </c>
      <c r="AG711" s="253">
        <f>_xlfn.XLOOKUP(FMS_Ranking4[[#This Row],[FMS ID]],FMS_Input[FMS_ID],FMS_Input[FARMACRE100])</f>
        <v>5.9681897982954979E-4</v>
      </c>
      <c r="AH711" s="255">
        <f>(ASINH(FMS_Ranking4[[#This Row],[Ag Land Raw]]))*(10)/(ASINH(AG$4))</f>
        <v>3.8768252681814296E-4</v>
      </c>
      <c r="AI711" s="260">
        <f>FMS_Ranking4[[#This Row],[Farm &amp; ranch land, ArcSinh (0-10)]]*AG$5*10</f>
        <v>1.9384126340907151E-4</v>
      </c>
      <c r="AJ711" s="258">
        <f>_xlfn.XLOOKUP(FMS_Ranking4[[#This Row],[FMS ID]],FMS_Input[FMS_ID],FMS_Input[REDSTRUCT100])</f>
        <v>3</v>
      </c>
      <c r="AK711" s="253">
        <f>_xlfn.XLOOKUP(FMS_Ranking4[[#This Row],[FMS ID]],FMS_Input[FMS_ID],FMS_Input[REMSTRC100])</f>
        <v>3</v>
      </c>
      <c r="AL711" s="255">
        <f>(ASINH(FMS_Ranking4[[#This Row],[Structures Removed Raw]]))*(10)/(ASINH(AK$4))</f>
        <v>2.0704310956893948</v>
      </c>
      <c r="AM711" s="262">
        <f>FMS_Ranking4[[#This Row],[Structures removed, ArcSinh (0-10)]]*AK$5*10</f>
        <v>2.0704310956893948</v>
      </c>
      <c r="AN711" s="253">
        <f>_xlfn.XLOOKUP(FMS_Ranking4[[#This Row],[FMS ID]],FMS_Input[FMS_ID],FMS_Input[REMRESSTRC100])</f>
        <v>0</v>
      </c>
      <c r="AO711" s="261">
        <f>FMS_Ranking4[[#This Row],[ArcSinh Res struct removed 0-10]]*AN$5*10</f>
        <v>0</v>
      </c>
      <c r="AP711" s="260">
        <f>ASINH(FMS_Ranking4[[#This Row],[Residential Structures Removed Raw]])/AP$4*AN$5*100</f>
        <v>0</v>
      </c>
      <c r="AQ711" s="258">
        <f>(ASINH(FMS_Ranking4[[#This Row],[Residential Structures Removed Raw]]))*(10)/(ASINH(AN$4))</f>
        <v>0</v>
      </c>
      <c r="AR711" s="253">
        <f>_xlfn.XLOOKUP(FMS_Ranking4[[#This Row],[FMS ID]],FMS_Input[FMS_ID],FMS_Input[REMPOP100])</f>
        <v>3</v>
      </c>
      <c r="AS711" s="255">
        <f>(ASINH(FMS_Ranking4[[#This Row],[Removed Pop Raw]]))*(10)/(ASINH(AR$4))</f>
        <v>1.7850242185191216</v>
      </c>
      <c r="AT711" s="262">
        <f>FMS_Ranking4[[#This Row],[Removed population, ArcSinh (0-10)]]*AR$5*10</f>
        <v>1.7850242185191219</v>
      </c>
      <c r="AU711" s="264">
        <f>_xlfn.XLOOKUP(FMS_Ranking4[[#This Row],[FMS ID]],FMS_Input[FMS_ID],FMS_Input[REMCRITFAC100])</f>
        <v>0</v>
      </c>
      <c r="AV711" s="264">
        <f>_xlfn.XLOOKUP(FMS_Ranking4[[#This Row],[FMS ID]],FMS_Input[FMS_ID],FMS_Input[REMLWC100])</f>
        <v>0</v>
      </c>
      <c r="AW711" s="264">
        <f>_xlfn.XLOOKUP(FMS_Ranking4[[#This Row],[FMS ID]],FMS_Input[FMS_ID],FMS_Input[REMROADCLS])</f>
        <v>0</v>
      </c>
      <c r="AX711" s="264">
        <f>_xlfn.XLOOKUP(FMS_Ranking4[[#This Row],[FMS ID]],FMS_Input[FMS_ID],FMS_Input[REMFRMACRE100])</f>
        <v>1.4920500689186161E-4</v>
      </c>
      <c r="AY711" s="258">
        <f>_xlfn.XLOOKUP(FMS_Ranking4[[#This Row],[FMS ID]],FMS_Input[FMS_ID],FMS_Input[COSTSTRUCT])</f>
        <v>25000</v>
      </c>
      <c r="AZ711" s="253">
        <f>_xlfn.XLOOKUP(FMS_Ranking4[[#This Row],[FMS ID]],FMS_Input[FMS_ID],FMS_Input[NATURE])</f>
        <v>0</v>
      </c>
      <c r="BA711" s="262">
        <f>(((FMS_Ranking4[[#This Row],[% NBS Raw]]/AZ$4)*100)*AZ$5)</f>
        <v>0</v>
      </c>
      <c r="BB711" s="251" t="str">
        <f>_xlfn.XLOOKUP(FMS_Ranking4[[#This Row],[FMS ID]],FMS_Input[FMS_ID],FMS_Input[WATER_SUP])</f>
        <v>No</v>
      </c>
      <c r="BC711" s="265">
        <f>IF(FMS_Ranking4[[#This Row],[Water Supply Raw]]="Yes",10,0)</f>
        <v>0</v>
      </c>
      <c r="BD711" s="266">
        <f>_xlfn.XLOOKUP(FMS_Ranking4[[#This Row],[FMS Type]],FMS_TYPE[FMS_Type],FMS_TYPE[Score])</f>
        <v>2</v>
      </c>
      <c r="BE711" s="267">
        <f>FMS_Ranking4[[#This Row],[FMS_Type Score]]*$BD$5*10</f>
        <v>0.5</v>
      </c>
      <c r="BF71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6.8151958950991127E-4</v>
      </c>
      <c r="BG711" s="321">
        <f>_xlfn.RANK.EQ(BF711,$BF$8:$BF$870,0)+COUNTIF($BF$8:BF711,BF711)-1</f>
        <v>753</v>
      </c>
      <c r="BH711" s="294">
        <f>(((FMS_Ranking4[[#This Row],[Structures Removed Raw]]/AK$4)*100)*AK$5)+(((FMS_Ranking4[[#This Row],[Removed Pop Raw]]/AR$4)*100)*AR$5)</f>
        <v>1.145849806396269E-2</v>
      </c>
      <c r="BI71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0.51214001765347261</v>
      </c>
      <c r="BJ711" s="251">
        <f>_xlfn.RANK.EQ(FMS_Ranking4[[#This Row],[Total Score 
(with linear
normalization)]],FMS_Ranking4[Total Score 
(with linear
normalization)],0)</f>
        <v>845</v>
      </c>
      <c r="BK711" s="251" t="e">
        <f>_xlfn.XLOOKUP(FMS_Ranking4[[#This Row],[FMS ID]],#REF!,#REF!)</f>
        <v>#REF!</v>
      </c>
      <c r="BL71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8.4316205899230958</v>
      </c>
      <c r="BM711" s="324">
        <f>FMS_Ranking4[[#This Row],[ArcSinh Score Based on Normalized Reported Factors]]+FMS_Ranking4[[#This Row],[% NBS Score (Normalized)]]+(FMS_Ranking4[[#This Row],[Water Supply Score (Normalized)]]*10*$BB$5)+FMS_Ranking4[[#This Row],[FMS_Type Score Weighted]]</f>
        <v>8.9316205899230958</v>
      </c>
      <c r="BN711" s="251">
        <f>_xlfn.RANK.EQ(FMS_Ranking4[[#This Row],[Total Score (with ArcSinh normalization of select criteria)]],FMS_Ranking4[Total Score (with ArcSinh normalization of select criteria)],0)</f>
        <v>703</v>
      </c>
      <c r="BO711" s="270" t="str">
        <f>_xlfn.XLOOKUP(FMS_Ranking4[[#This Row],[FMS ID]],FMS_Input[FMS_ID],FMS_Input[FMS_RANK_YEAR])</f>
        <v>2023 Amended Plan</v>
      </c>
      <c r="BP711" s="204">
        <f>_xlfn.XLOOKUP(FMS_Ranking4[[#This Row],[FMS ID]],Prev_Rank[FMS ID],Prev_Rank[Prev Rank])</f>
        <v>637</v>
      </c>
      <c r="BQ711" s="251" t="e">
        <f>_xlfn.XLOOKUP(FMS_Ranking4[[#This Row],[FMS ID]],#REF!,#REF!)</f>
        <v>#REF!</v>
      </c>
      <c r="BR711" s="199" t="e">
        <f>SUM(#REF!,#REF!,#REF!,#REF!,#REF!,#REF!,#REF!,#REF!,#REF!,FMS_Ranking4[[#This Row],[ArcSinh Res struct removed 0-10]],#REF!)</f>
        <v>#REF!</v>
      </c>
      <c r="BS711" s="199" t="e">
        <f>FMS_Ranking4[[#This Row],[Log Score Based on Normalized Reported Factors]]+FMS_Ranking4[[#This Row],[% NBS Score (Normalized)]]+(FMS_Ranking4[[#This Row],[Water Supply Score (Normalized)]]*10*$BB$5)+(FMS_Ranking4[[#This Row],[FMS_Type Score Weighted]])</f>
        <v>#REF!</v>
      </c>
      <c r="BT711" s="200" t="e">
        <f>_xlfn.RANK.EQ(FMS_Ranking4[[#This Row],[Log Total Score]],FMS_Ranking4[Log Total Score],0)</f>
        <v>#REF!</v>
      </c>
      <c r="BU711" s="200" t="e">
        <f>_xlfn.XLOOKUP(FMS_Ranking4[[#This Row],[FMS ID]],#REF!,#REF!)</f>
        <v>#REF!</v>
      </c>
      <c r="BV711" s="200">
        <f>FMS_Ranking4[[#This Row],[Region Number]]</f>
        <v>9</v>
      </c>
      <c r="BW711" s="200">
        <f>FMS_Ranking4[[#This Row],[Rank (with ArcSinh normalization of select criteria)]]-FMS_Ranking4[[#This Row],[Rank
(with linear
normalization)]]</f>
        <v>-142</v>
      </c>
      <c r="BX711" s="200" t="e">
        <f>FMS_Ranking4[[#This Row],[Log Rank]]-FMS_Ranking4[[#This Row],[Rank
(with linear
normalization)]]</f>
        <v>#REF!</v>
      </c>
      <c r="BY711" s="200" t="str">
        <f>IF(FMS_Ranking4[[#This Row],[FMS Type]]="Flood Measurement and Warning",FMS_Ranking4[[#This Row],[Rank (with ArcSinh normalization of select criteria)]],"")</f>
        <v/>
      </c>
      <c r="BZ711" s="200" t="str">
        <f>IF(FMS_Ranking4[[#This Row],[FMS Type]]="Regulatory and Guidance",FMS_Ranking4[[#This Row],[Rank (with ArcSinh normalization of select criteria)]],"")</f>
        <v/>
      </c>
      <c r="CA711" s="200" t="str">
        <f>IF(FMS_Ranking4[[#This Row],[FMS Type]]="Education and Outreach",FMS_Ranking4[[#This Row],[Rank (with ArcSinh normalization of select criteria)]],"")</f>
        <v/>
      </c>
      <c r="CB711" s="200" t="str">
        <f>IF(FMS_Ranking4[[#This Row],[FMS Type]]="Property Acquisition and Structural Elevation",FMS_Ranking4[[#This Row],[Rank (with ArcSinh normalization of select criteria)]],"")</f>
        <v/>
      </c>
      <c r="CC711" s="200" t="str">
        <f>IF(FMS_Ranking4[[#This Row],[FMS Type]]="Infrastructure Projects",FMS_Ranking4[[#This Row],[Rank (with ArcSinh normalization of select criteria)]],"")</f>
        <v/>
      </c>
      <c r="CD711" s="200">
        <f>IF(FMS_Ranking4[[#This Row],[FMS Type]]="Other",FMS_Ranking4[[#This Row],[Rank (with ArcSinh normalization of select criteria)]],"")</f>
        <v>703</v>
      </c>
      <c r="CE711" s="201"/>
      <c r="CF711" s="206"/>
      <c r="CG711" s="206"/>
      <c r="CH711" s="206"/>
      <c r="CI711" s="206"/>
      <c r="CJ711" s="206"/>
      <c r="CK711" s="206"/>
      <c r="CL711" s="206"/>
      <c r="CM711" s="206"/>
      <c r="CN711" s="206"/>
      <c r="CO711" s="206"/>
      <c r="CP711" s="206"/>
      <c r="CQ711" s="206"/>
      <c r="CR711" s="206"/>
    </row>
    <row r="712" spans="2:96" ht="45" x14ac:dyDescent="0.25">
      <c r="B712" s="341" t="s">
        <v>2362</v>
      </c>
      <c r="C712" s="246">
        <f>_xlfn.XLOOKUP(FMS_Ranking4[[#This Row],[FMS ID]],FMS_Input[FMS_ID],FMS_Input[RFPG_NUM])</f>
        <v>3</v>
      </c>
      <c r="D712" s="309" t="str">
        <f>_xlfn.XLOOKUP(FMS_Ranking4[[#This Row],[FMS ID]],FMS_Input[FMS_ID],FMS_Input[FMS_NAME])</f>
        <v>Grays Prairie NFIP Floodplain Ordinance</v>
      </c>
      <c r="E712" s="308" t="str">
        <f>_xlfn.XLOOKUP(FMS_Ranking4[[#This Row],[FMS ID]],FMS_Input[FMS_ID],FMS_Input[SPONSOR])</f>
        <v>Grays Prairie</v>
      </c>
      <c r="F712" s="309" t="str">
        <f>_xlfn.XLOOKUP(FMS_Ranking4[[#This Row],[FMS ID]],Sponsor[FMS_ID],Sponsor[SPONSOR NAME])</f>
        <v>Grays Prairie</v>
      </c>
      <c r="G712" s="309" t="str">
        <f>_xlfn.XLOOKUP(FMS_Ranking4[[#This Row],[FMS ID]],FMS_Input[FMS_ID],FMS_Input[FMS_DESCR])</f>
        <v>Develop a floodplain ordinance that meets or exceeds FEMA's minimum standards</v>
      </c>
      <c r="H712" s="248" t="str">
        <f>_xlfn.XLOOKUP(FMS_Ranking4[[#This Row],[FMS ID]],FMS_Input[FMS_ID],FMS_Input[FMS_TYPE])</f>
        <v>Regulatory and Guidance</v>
      </c>
      <c r="I712" s="249">
        <f>_xlfn.XLOOKUP(FMS_Ranking4[[#This Row],[FMS ID]],FMS_Input[FMS_ID],FMS_Input[NRNC_COST])</f>
        <v>100000</v>
      </c>
      <c r="J712" s="250">
        <f>_xlfn.XLOOKUP(FMS_Ranking4[[#This Row],[FMS ID]],FMS_Input[FMS_ID],FMS_Input[FMS_COST])</f>
        <v>100000</v>
      </c>
      <c r="K712" s="251" t="str">
        <f>_xlfn.XLOOKUP(FMS_Ranking4[[#This Row],[FMS ID]],FMS_Input[FMS_ID],FMS_Input[EMER_NEED])</f>
        <v>No</v>
      </c>
      <c r="L712" s="252">
        <f t="shared" ref="L712:L775" si="11">IF(K712="Yes",1,0)</f>
        <v>0</v>
      </c>
      <c r="M712" s="253">
        <f>_xlfn.XLOOKUP(FMS_Ranking4[[#This Row],[FMS ID]],FMS_Input[FMS_ID],FMS_Input[STRUCT_100])</f>
        <v>18</v>
      </c>
      <c r="N712" s="255">
        <f>(ASINH(FMS_Ranking4[[#This Row],[Structure at Risk Raw]]))*(10)/(ASINH(M$4))</f>
        <v>2.8177853439774103</v>
      </c>
      <c r="O712" s="256">
        <f>FMS_Ranking4[[#This Row],[Structures at risk, ArcSinh (0-10)]]*M$5*10</f>
        <v>2.8177853439774103</v>
      </c>
      <c r="P712" s="253">
        <f>_xlfn.XLOOKUP(FMS_Ranking4[[#This Row],[FMS ID]],FMS_Input[FMS_ID],FMS_Input[RES_STRUCT100])</f>
        <v>11</v>
      </c>
      <c r="Q712" s="257">
        <f>ASINH(FMS_Ranking4[[#This Row],[Res Structure Raw]])/Q$4*P$5*100</f>
        <v>0</v>
      </c>
      <c r="R712" s="253">
        <f>_xlfn.XLOOKUP(FMS_Ranking4[[#This Row],[FMS ID]],FMS_Input[FMS_ID],FMS_Input[POP100])</f>
        <v>18</v>
      </c>
      <c r="S712" s="255">
        <f>(ASINH(FMS_Ranking4[[#This Row],[Pop at Risk Raw]]))*(10)/(ASINH(R$4))</f>
        <v>2.4744438166083387</v>
      </c>
      <c r="T712" s="256">
        <f>FMS_Ranking4[[#This Row],[Population at risk, ArcSinh (0-10)]]*R$5*10</f>
        <v>2.4744438166083387</v>
      </c>
      <c r="U712" s="253">
        <f>_xlfn.XLOOKUP(FMS_Ranking4[[#This Row],[FMS ID]],FMS_Input[FMS_ID],FMS_Input[CRITFAC100])</f>
        <v>0</v>
      </c>
      <c r="V712" s="255">
        <f>(ASINH(FMS_Ranking4[[#This Row],[Critical Facilities Raw]]))*(10)/(ASINH(U$4))</f>
        <v>0</v>
      </c>
      <c r="W712" s="256">
        <f>FMS_Ranking4[[#This Row],[Critical facilities at risk, ArcSinh (0-10)]]*U$5*10</f>
        <v>0</v>
      </c>
      <c r="X712" s="253">
        <f>_xlfn.XLOOKUP(FMS_Ranking4[[#This Row],[FMS ID]],FMS_Input[FMS_ID],FMS_Input[LWC])</f>
        <v>0</v>
      </c>
      <c r="Y712" s="255">
        <f>(ASINH(FMS_Ranking4[[#This Row],[LWC Raw]]))*(10)/(ASINH(X$4))</f>
        <v>0</v>
      </c>
      <c r="Z712" s="256">
        <f>FMS_Ranking4[[#This Row],[LWC, ArcSInh (0-10)]]*X$5*10</f>
        <v>0</v>
      </c>
      <c r="AA712" s="253">
        <f>_xlfn.XLOOKUP(FMS_Ranking4[[#This Row],[FMS ID]],FMS_Input[FMS_ID],FMS_Input[ROADCLS])</f>
        <v>0</v>
      </c>
      <c r="AB712" s="255">
        <f>(ASINH(FMS_Ranking4[[#This Row],[Road Closures Raw]]))*(10)/(ASINH(AA$4))</f>
        <v>0</v>
      </c>
      <c r="AC712" s="256">
        <f>FMS_Ranking4[[#This Row],[Road closures, ArcSinh (0-10)]]*AA$5*10</f>
        <v>0</v>
      </c>
      <c r="AD712" s="253">
        <f>_xlfn.XLOOKUP(FMS_Ranking4[[#This Row],[FMS ID]],FMS_Input[FMS_ID],FMS_Input[ROAD_MILES100])</f>
        <v>0</v>
      </c>
      <c r="AE712" s="255">
        <f>(ASINH(FMS_Ranking4[[#This Row],[Road Miles Raw]]))*(10)/(ASINH(AD$4))</f>
        <v>0</v>
      </c>
      <c r="AF712" s="256">
        <f>FMS_Ranking4[[#This Row],[Length of roads at risk, ArcSinh (0-10)]]*AD$5*10</f>
        <v>0</v>
      </c>
      <c r="AG712" s="253">
        <f>_xlfn.XLOOKUP(FMS_Ranking4[[#This Row],[FMS ID]],FMS_Input[FMS_ID],FMS_Input[FARMACRE100])</f>
        <v>75.9007568359375</v>
      </c>
      <c r="AH712" s="255">
        <f>(ASINH(FMS_Ranking4[[#This Row],[Ag Land Raw]]))*(10)/(ASINH(AG$4))</f>
        <v>3.2625990796729387</v>
      </c>
      <c r="AI712" s="260">
        <f>FMS_Ranking4[[#This Row],[Farm &amp; ranch land, ArcSinh (0-10)]]*AG$5*10</f>
        <v>1.6312995398364694</v>
      </c>
      <c r="AJ712" s="258">
        <f>_xlfn.XLOOKUP(FMS_Ranking4[[#This Row],[FMS ID]],FMS_Input[FMS_ID],FMS_Input[REDSTRUCT100])</f>
        <v>0</v>
      </c>
      <c r="AK712" s="253">
        <f>_xlfn.XLOOKUP(FMS_Ranking4[[#This Row],[FMS ID]],FMS_Input[FMS_ID],FMS_Input[REMSTRC100])</f>
        <v>0</v>
      </c>
      <c r="AL712" s="255">
        <f>(ASINH(FMS_Ranking4[[#This Row],[Structures Removed Raw]]))*(10)/(ASINH(AK$4))</f>
        <v>0</v>
      </c>
      <c r="AM712" s="262">
        <f>FMS_Ranking4[[#This Row],[Structures removed, ArcSinh (0-10)]]*AK$5*10</f>
        <v>0</v>
      </c>
      <c r="AN712" s="253">
        <f>_xlfn.XLOOKUP(FMS_Ranking4[[#This Row],[FMS ID]],FMS_Input[FMS_ID],FMS_Input[REMRESSTRC100])</f>
        <v>0</v>
      </c>
      <c r="AO712" s="261">
        <f>FMS_Ranking4[[#This Row],[ArcSinh Res struct removed 0-10]]*AN$5*10</f>
        <v>0</v>
      </c>
      <c r="AP712" s="260">
        <f>ASINH(FMS_Ranking4[[#This Row],[Residential Structures Removed Raw]])/AP$4*AN$5*100</f>
        <v>0</v>
      </c>
      <c r="AQ712" s="258">
        <f>(ASINH(FMS_Ranking4[[#This Row],[Residential Structures Removed Raw]]))*(10)/(ASINH(AN$4))</f>
        <v>0</v>
      </c>
      <c r="AR712" s="253">
        <f>_xlfn.XLOOKUP(FMS_Ranking4[[#This Row],[FMS ID]],FMS_Input[FMS_ID],FMS_Input[REMPOP100])</f>
        <v>0</v>
      </c>
      <c r="AS712" s="255">
        <f>(ASINH(FMS_Ranking4[[#This Row],[Removed Pop Raw]]))*(10)/(ASINH(AR$4))</f>
        <v>0</v>
      </c>
      <c r="AT712" s="262">
        <f>FMS_Ranking4[[#This Row],[Removed population, ArcSinh (0-10)]]*AR$5*10</f>
        <v>0</v>
      </c>
      <c r="AU712" s="264">
        <f>_xlfn.XLOOKUP(FMS_Ranking4[[#This Row],[FMS ID]],FMS_Input[FMS_ID],FMS_Input[REMCRITFAC100])</f>
        <v>0</v>
      </c>
      <c r="AV712" s="264">
        <f>_xlfn.XLOOKUP(FMS_Ranking4[[#This Row],[FMS ID]],FMS_Input[FMS_ID],FMS_Input[REMLWC100])</f>
        <v>0</v>
      </c>
      <c r="AW712" s="264">
        <f>_xlfn.XLOOKUP(FMS_Ranking4[[#This Row],[FMS ID]],FMS_Input[FMS_ID],FMS_Input[REMROADCLS])</f>
        <v>0</v>
      </c>
      <c r="AX712" s="264">
        <f>_xlfn.XLOOKUP(FMS_Ranking4[[#This Row],[FMS ID]],FMS_Input[FMS_ID],FMS_Input[REMFRMACRE100])</f>
        <v>0</v>
      </c>
      <c r="AY712" s="258">
        <f>_xlfn.XLOOKUP(FMS_Ranking4[[#This Row],[FMS ID]],FMS_Input[FMS_ID],FMS_Input[COSTSTRUCT])</f>
        <v>0</v>
      </c>
      <c r="AZ712" s="253">
        <f>_xlfn.XLOOKUP(FMS_Ranking4[[#This Row],[FMS ID]],FMS_Input[FMS_ID],FMS_Input[NATURE])</f>
        <v>0</v>
      </c>
      <c r="BA712" s="262">
        <f>(((FMS_Ranking4[[#This Row],[% NBS Raw]]/AZ$4)*100)*AZ$5)</f>
        <v>0</v>
      </c>
      <c r="BB712" s="251" t="str">
        <f>_xlfn.XLOOKUP(FMS_Ranking4[[#This Row],[FMS ID]],FMS_Input[FMS_ID],FMS_Input[WATER_SUP])</f>
        <v>No</v>
      </c>
      <c r="BC712" s="265">
        <f>IF(FMS_Ranking4[[#This Row],[Water Supply Raw]]="Yes",10,0)</f>
        <v>0</v>
      </c>
      <c r="BD712" s="266">
        <f>_xlfn.XLOOKUP(FMS_Ranking4[[#This Row],[FMS Type]],FMS_TYPE[FMS_Type],FMS_TYPE[Score])</f>
        <v>8</v>
      </c>
      <c r="BE712" s="267">
        <f>FMS_Ranking4[[#This Row],[FMS_Type Score]]*$BD$5*10</f>
        <v>2</v>
      </c>
      <c r="BF71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1.4171570181955801E-3</v>
      </c>
      <c r="BG712" s="321">
        <f>_xlfn.RANK.EQ(BF712,$BF$8:$BF$870,0)+COUNTIF($BF$8:BF712,BF712)-1</f>
        <v>740</v>
      </c>
      <c r="BH712" s="294">
        <f>(((FMS_Ranking4[[#This Row],[Structures Removed Raw]]/AK$4)*100)*AK$5)+(((FMS_Ranking4[[#This Row],[Removed Pop Raw]]/AR$4)*100)*AR$5)</f>
        <v>0</v>
      </c>
      <c r="BI71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2.0014171570181958</v>
      </c>
      <c r="BJ712" s="251">
        <f>_xlfn.RANK.EQ(FMS_Ranking4[[#This Row],[Total Score 
(with linear
normalization)]],FMS_Ranking4[Total Score 
(with linear
normalization)],0)</f>
        <v>460</v>
      </c>
      <c r="BK712" s="251" t="e">
        <f>_xlfn.XLOOKUP(FMS_Ranking4[[#This Row],[FMS ID]],#REF!,#REF!)</f>
        <v>#REF!</v>
      </c>
      <c r="BL71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6.9235287004222181</v>
      </c>
      <c r="BM712" s="324">
        <f>FMS_Ranking4[[#This Row],[ArcSinh Score Based on Normalized Reported Factors]]+FMS_Ranking4[[#This Row],[% NBS Score (Normalized)]]+(FMS_Ranking4[[#This Row],[Water Supply Score (Normalized)]]*10*$BB$5)+FMS_Ranking4[[#This Row],[FMS_Type Score Weighted]]</f>
        <v>8.9235287004222172</v>
      </c>
      <c r="BN712" s="251">
        <f>_xlfn.RANK.EQ(FMS_Ranking4[[#This Row],[Total Score (with ArcSinh normalization of select criteria)]],FMS_Ranking4[Total Score (with ArcSinh normalization of select criteria)],0)</f>
        <v>705</v>
      </c>
      <c r="BO712" s="270" t="str">
        <f>_xlfn.XLOOKUP(FMS_Ranking4[[#This Row],[FMS ID]],FMS_Input[FMS_ID],FMS_Input[FMS_RANK_YEAR])</f>
        <v>2023 Amended Plan</v>
      </c>
      <c r="BP712" s="204">
        <f>_xlfn.XLOOKUP(FMS_Ranking4[[#This Row],[FMS ID]],Prev_Rank[FMS ID],Prev_Rank[Prev Rank])</f>
        <v>631</v>
      </c>
      <c r="BQ712" s="251" t="e">
        <f>_xlfn.XLOOKUP(FMS_Ranking4[[#This Row],[FMS ID]],#REF!,#REF!)</f>
        <v>#REF!</v>
      </c>
      <c r="BR712" s="199" t="e">
        <f>SUM(#REF!,#REF!,#REF!,#REF!,#REF!,#REF!,#REF!,#REF!,#REF!,FMS_Ranking4[[#This Row],[ArcSinh Res struct removed 0-10]],#REF!)</f>
        <v>#REF!</v>
      </c>
      <c r="BS712" s="199" t="e">
        <f>FMS_Ranking4[[#This Row],[Log Score Based on Normalized Reported Factors]]+FMS_Ranking4[[#This Row],[% NBS Score (Normalized)]]+(FMS_Ranking4[[#This Row],[Water Supply Score (Normalized)]]*10*$BB$5)+(FMS_Ranking4[[#This Row],[FMS_Type Score Weighted]])</f>
        <v>#REF!</v>
      </c>
      <c r="BT712" s="200" t="e">
        <f>_xlfn.RANK.EQ(FMS_Ranking4[[#This Row],[Log Total Score]],FMS_Ranking4[Log Total Score],0)</f>
        <v>#REF!</v>
      </c>
      <c r="BU712" s="200" t="e">
        <f>_xlfn.XLOOKUP(FMS_Ranking4[[#This Row],[FMS ID]],#REF!,#REF!)</f>
        <v>#REF!</v>
      </c>
      <c r="BV712" s="200">
        <f>FMS_Ranking4[[#This Row],[Region Number]]</f>
        <v>3</v>
      </c>
      <c r="BW712" s="200">
        <f>FMS_Ranking4[[#This Row],[Rank (with ArcSinh normalization of select criteria)]]-FMS_Ranking4[[#This Row],[Rank
(with linear
normalization)]]</f>
        <v>245</v>
      </c>
      <c r="BX712" s="200" t="e">
        <f>FMS_Ranking4[[#This Row],[Log Rank]]-FMS_Ranking4[[#This Row],[Rank
(with linear
normalization)]]</f>
        <v>#REF!</v>
      </c>
      <c r="BY712" s="200" t="str">
        <f>IF(FMS_Ranking4[[#This Row],[FMS Type]]="Flood Measurement and Warning",FMS_Ranking4[[#This Row],[Rank (with ArcSinh normalization of select criteria)]],"")</f>
        <v/>
      </c>
      <c r="BZ712" s="200">
        <f>IF(FMS_Ranking4[[#This Row],[FMS Type]]="Regulatory and Guidance",FMS_Ranking4[[#This Row],[Rank (with ArcSinh normalization of select criteria)]],"")</f>
        <v>705</v>
      </c>
      <c r="CA712" s="200" t="str">
        <f>IF(FMS_Ranking4[[#This Row],[FMS Type]]="Education and Outreach",FMS_Ranking4[[#This Row],[Rank (with ArcSinh normalization of select criteria)]],"")</f>
        <v/>
      </c>
      <c r="CB712" s="200" t="str">
        <f>IF(FMS_Ranking4[[#This Row],[FMS Type]]="Property Acquisition and Structural Elevation",FMS_Ranking4[[#This Row],[Rank (with ArcSinh normalization of select criteria)]],"")</f>
        <v/>
      </c>
      <c r="CC712" s="200" t="str">
        <f>IF(FMS_Ranking4[[#This Row],[FMS Type]]="Infrastructure Projects",FMS_Ranking4[[#This Row],[Rank (with ArcSinh normalization of select criteria)]],"")</f>
        <v/>
      </c>
      <c r="CD712" s="200" t="str">
        <f>IF(FMS_Ranking4[[#This Row],[FMS Type]]="Other",FMS_Ranking4[[#This Row],[Rank (with ArcSinh normalization of select criteria)]],"")</f>
        <v/>
      </c>
      <c r="CE712" s="201"/>
      <c r="CF712" s="206"/>
      <c r="CG712" s="206"/>
      <c r="CH712" s="206"/>
      <c r="CI712" s="206"/>
      <c r="CJ712" s="206"/>
      <c r="CK712" s="206"/>
      <c r="CL712" s="206"/>
      <c r="CM712" s="206"/>
      <c r="CN712" s="206"/>
      <c r="CO712" s="206"/>
      <c r="CP712" s="206"/>
      <c r="CQ712" s="206"/>
      <c r="CR712" s="206"/>
    </row>
    <row r="713" spans="2:96" ht="90" x14ac:dyDescent="0.25">
      <c r="B713" s="341" t="s">
        <v>4576</v>
      </c>
      <c r="C713" s="246">
        <f>_xlfn.XLOOKUP(FMS_Ranking4[[#This Row],[FMS ID]],FMS_Input[FMS_ID],FMS_Input[RFPG_NUM])</f>
        <v>4</v>
      </c>
      <c r="D713" s="309" t="str">
        <f>_xlfn.XLOOKUP(FMS_Ranking4[[#This Row],[FMS ID]],FMS_Input[FMS_ID],FMS_Input[FMS_NAME])</f>
        <v>Wills Point Structure Permitting Requirement Update</v>
      </c>
      <c r="E713" s="308" t="str">
        <f>_xlfn.XLOOKUP(FMS_Ranking4[[#This Row],[FMS ID]],FMS_Input[FMS_ID],FMS_Input[SPONSOR])</f>
        <v>00002589</v>
      </c>
      <c r="F713" s="309" t="str">
        <f>_xlfn.XLOOKUP(FMS_Ranking4[[#This Row],[FMS ID]],Sponsor[FMS_ID],Sponsor[SPONSOR NAME])</f>
        <v>Wills Point</v>
      </c>
      <c r="G713" s="309" t="str">
        <f>_xlfn.XLOOKUP(FMS_Ranking4[[#This Row],[FMS ID]],FMS_Input[FMS_ID],FMS_Input[FMS_DESCR])</f>
        <v>Increase freeboard requirements for permitting structures in the SFHA; Adopt a “no-rise” in BFE in the 100-year floodplain; Update local flood ordinance</v>
      </c>
      <c r="H713" s="248" t="str">
        <f>_xlfn.XLOOKUP(FMS_Ranking4[[#This Row],[FMS ID]],FMS_Input[FMS_ID],FMS_Input[FMS_TYPE])</f>
        <v>Regulatory and Guidance</v>
      </c>
      <c r="I713" s="249">
        <f>_xlfn.XLOOKUP(FMS_Ranking4[[#This Row],[FMS ID]],FMS_Input[FMS_ID],FMS_Input[NRNC_COST])</f>
        <v>100000</v>
      </c>
      <c r="J713" s="250">
        <f>_xlfn.XLOOKUP(FMS_Ranking4[[#This Row],[FMS ID]],FMS_Input[FMS_ID],FMS_Input[FMS_COST])</f>
        <v>100000</v>
      </c>
      <c r="K713" s="251" t="str">
        <f>_xlfn.XLOOKUP(FMS_Ranking4[[#This Row],[FMS ID]],FMS_Input[FMS_ID],FMS_Input[EMER_NEED])</f>
        <v>No</v>
      </c>
      <c r="L713" s="252">
        <f t="shared" si="11"/>
        <v>0</v>
      </c>
      <c r="M713" s="253">
        <f>_xlfn.XLOOKUP(FMS_Ranking4[[#This Row],[FMS ID]],FMS_Input[FMS_ID],FMS_Input[STRUCT_100])</f>
        <v>12</v>
      </c>
      <c r="N713" s="255">
        <f>(ASINH(FMS_Ranking4[[#This Row],[Structure at Risk Raw]]))*(10)/(ASINH(M$4))</f>
        <v>2.4997848035776333</v>
      </c>
      <c r="O713" s="256">
        <f>FMS_Ranking4[[#This Row],[Structures at risk, ArcSinh (0-10)]]*M$5*10</f>
        <v>2.4997848035776333</v>
      </c>
      <c r="P713" s="253">
        <f>_xlfn.XLOOKUP(FMS_Ranking4[[#This Row],[FMS ID]],FMS_Input[FMS_ID],FMS_Input[RES_STRUCT100])</f>
        <v>4</v>
      </c>
      <c r="Q713" s="257">
        <f>ASINH(FMS_Ranking4[[#This Row],[Res Structure Raw]])/Q$4*P$5*100</f>
        <v>0</v>
      </c>
      <c r="R713" s="253">
        <f>_xlfn.XLOOKUP(FMS_Ranking4[[#This Row],[FMS ID]],FMS_Input[FMS_ID],FMS_Input[POP100])</f>
        <v>36</v>
      </c>
      <c r="S713" s="259">
        <f>(ASINH(FMS_Ranking4[[#This Row],[Pop at Risk Raw]]))*(10)/(ASINH(R$4))</f>
        <v>2.9525647330465778</v>
      </c>
      <c r="T713" s="256">
        <f>FMS_Ranking4[[#This Row],[Population at risk, ArcSinh (0-10)]]*R$5*10</f>
        <v>2.9525647330465783</v>
      </c>
      <c r="U713" s="253">
        <f>_xlfn.XLOOKUP(FMS_Ranking4[[#This Row],[FMS ID]],FMS_Input[FMS_ID],FMS_Input[CRITFAC100])</f>
        <v>0</v>
      </c>
      <c r="V713" s="259">
        <f>(ASINH(FMS_Ranking4[[#This Row],[Critical Facilities Raw]]))*(10)/(ASINH(U$4))</f>
        <v>0</v>
      </c>
      <c r="W713" s="256">
        <f>FMS_Ranking4[[#This Row],[Critical facilities at risk, ArcSinh (0-10)]]*U$5*10</f>
        <v>0</v>
      </c>
      <c r="X713" s="253">
        <f>_xlfn.XLOOKUP(FMS_Ranking4[[#This Row],[FMS ID]],FMS_Input[FMS_ID],FMS_Input[LWC])</f>
        <v>0</v>
      </c>
      <c r="Y713" s="259">
        <f>(ASINH(FMS_Ranking4[[#This Row],[LWC Raw]]))*(10)/(ASINH(X$4))</f>
        <v>0</v>
      </c>
      <c r="Z713" s="256">
        <f>FMS_Ranking4[[#This Row],[LWC, ArcSInh (0-10)]]*X$5*10</f>
        <v>0</v>
      </c>
      <c r="AA713" s="253">
        <f>_xlfn.XLOOKUP(FMS_Ranking4[[#This Row],[FMS ID]],FMS_Input[FMS_ID],FMS_Input[ROADCLS])</f>
        <v>0</v>
      </c>
      <c r="AB713" s="255">
        <f>(ASINH(FMS_Ranking4[[#This Row],[Road Closures Raw]]))*(10)/(ASINH(AA$4))</f>
        <v>0</v>
      </c>
      <c r="AC713" s="256">
        <f>FMS_Ranking4[[#This Row],[Road closures, ArcSinh (0-10)]]*AA$5*10</f>
        <v>0</v>
      </c>
      <c r="AD713" s="253">
        <f>_xlfn.XLOOKUP(FMS_Ranking4[[#This Row],[FMS ID]],FMS_Input[FMS_ID],FMS_Input[ROAD_MILES100])</f>
        <v>0</v>
      </c>
      <c r="AE713" s="259">
        <f>(ASINH(FMS_Ranking4[[#This Row],[Road Miles Raw]]))*(10)/(ASINH(AD$4))</f>
        <v>0</v>
      </c>
      <c r="AF713" s="256">
        <f>FMS_Ranking4[[#This Row],[Length of roads at risk, ArcSinh (0-10)]]*AD$5*10</f>
        <v>0</v>
      </c>
      <c r="AG713" s="253">
        <f>_xlfn.XLOOKUP(FMS_Ranking4[[#This Row],[FMS ID]],FMS_Input[FMS_ID],FMS_Input[FARMACRE100])</f>
        <v>42.700000762939453</v>
      </c>
      <c r="AH713" s="255">
        <f>(ASINH(FMS_Ranking4[[#This Row],[Ag Land Raw]]))*(10)/(ASINH(AG$4))</f>
        <v>2.8890026752162079</v>
      </c>
      <c r="AI713" s="260">
        <f>FMS_Ranking4[[#This Row],[Farm &amp; ranch land, ArcSinh (0-10)]]*AG$5*10</f>
        <v>1.444501337608104</v>
      </c>
      <c r="AJ713" s="258">
        <f>_xlfn.XLOOKUP(FMS_Ranking4[[#This Row],[FMS ID]],FMS_Input[FMS_ID],FMS_Input[REDSTRUCT100])</f>
        <v>0</v>
      </c>
      <c r="AK713" s="253">
        <f>_xlfn.XLOOKUP(FMS_Ranking4[[#This Row],[FMS ID]],FMS_Input[FMS_ID],FMS_Input[REMSTRC100])</f>
        <v>0</v>
      </c>
      <c r="AL713" s="259">
        <f>(ASINH(FMS_Ranking4[[#This Row],[Structures Removed Raw]]))*(10)/(ASINH(AK$4))</f>
        <v>0</v>
      </c>
      <c r="AM713" s="262">
        <f>FMS_Ranking4[[#This Row],[Structures removed, ArcSinh (0-10)]]*AK$5*10</f>
        <v>0</v>
      </c>
      <c r="AN713" s="253">
        <f>_xlfn.XLOOKUP(FMS_Ranking4[[#This Row],[FMS ID]],FMS_Input[FMS_ID],FMS_Input[REMRESSTRC100])</f>
        <v>0</v>
      </c>
      <c r="AO713" s="261">
        <f>FMS_Ranking4[[#This Row],[ArcSinh Res struct removed 0-10]]*AN$5*10</f>
        <v>0</v>
      </c>
      <c r="AP713" s="260">
        <f>ASINH(FMS_Ranking4[[#This Row],[Residential Structures Removed Raw]])/AP$4*AN$5*100</f>
        <v>0</v>
      </c>
      <c r="AQ713" s="254">
        <f>(ASINH(FMS_Ranking4[[#This Row],[Residential Structures Removed Raw]]))*(10)/(ASINH(AN$4))</f>
        <v>0</v>
      </c>
      <c r="AR713" s="253">
        <f>_xlfn.XLOOKUP(FMS_Ranking4[[#This Row],[FMS ID]],FMS_Input[FMS_ID],FMS_Input[REMPOP100])</f>
        <v>0</v>
      </c>
      <c r="AS713" s="259">
        <f>(ASINH(FMS_Ranking4[[#This Row],[Removed Pop Raw]]))*(10)/(ASINH(AR$4))</f>
        <v>0</v>
      </c>
      <c r="AT713" s="262">
        <f>FMS_Ranking4[[#This Row],[Removed population, ArcSinh (0-10)]]*AR$5*10</f>
        <v>0</v>
      </c>
      <c r="AU713" s="264">
        <f>_xlfn.XLOOKUP(FMS_Ranking4[[#This Row],[FMS ID]],FMS_Input[FMS_ID],FMS_Input[REMCRITFAC100])</f>
        <v>0</v>
      </c>
      <c r="AV713" s="264">
        <f>_xlfn.XLOOKUP(FMS_Ranking4[[#This Row],[FMS ID]],FMS_Input[FMS_ID],FMS_Input[REMLWC100])</f>
        <v>0</v>
      </c>
      <c r="AW713" s="264">
        <f>_xlfn.XLOOKUP(FMS_Ranking4[[#This Row],[FMS ID]],FMS_Input[FMS_ID],FMS_Input[REMROADCLS])</f>
        <v>0</v>
      </c>
      <c r="AX713" s="264">
        <f>_xlfn.XLOOKUP(FMS_Ranking4[[#This Row],[FMS ID]],FMS_Input[FMS_ID],FMS_Input[REMFRMACRE100])</f>
        <v>0</v>
      </c>
      <c r="AY713" s="258">
        <f>_xlfn.XLOOKUP(FMS_Ranking4[[#This Row],[FMS ID]],FMS_Input[FMS_ID],FMS_Input[COSTSTRUCT])</f>
        <v>0</v>
      </c>
      <c r="AZ713" s="253">
        <f>_xlfn.XLOOKUP(FMS_Ranking4[[#This Row],[FMS ID]],FMS_Input[FMS_ID],FMS_Input[NATURE])</f>
        <v>0</v>
      </c>
      <c r="BA713" s="262">
        <f>(((FMS_Ranking4[[#This Row],[% NBS Raw]]/AZ$4)*100)*AZ$5)</f>
        <v>0</v>
      </c>
      <c r="BB713" s="251" t="str">
        <f>_xlfn.XLOOKUP(FMS_Ranking4[[#This Row],[FMS ID]],FMS_Input[FMS_ID],FMS_Input[WATER_SUP])</f>
        <v>No</v>
      </c>
      <c r="BC713" s="265">
        <f>IF(FMS_Ranking4[[#This Row],[Water Supply Raw]]="Yes",10,0)</f>
        <v>0</v>
      </c>
      <c r="BD713" s="266">
        <f>_xlfn.XLOOKUP(FMS_Ranking4[[#This Row],[FMS Type]],FMS_TYPE[FMS_Type],FMS_TYPE[Score])</f>
        <v>8</v>
      </c>
      <c r="BE713" s="267">
        <f>FMS_Ranking4[[#This Row],[FMS_Type Score]]*$BD$5*10</f>
        <v>2</v>
      </c>
      <c r="BF71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1.1741704475428574E-3</v>
      </c>
      <c r="BG713" s="271">
        <f>_xlfn.RANK.EQ(BF713,$BF$8:$BF$870,0)+COUNTIF($BF$8:BF713,BF713)-1</f>
        <v>743</v>
      </c>
      <c r="BH713" s="268">
        <f>(((FMS_Ranking4[[#This Row],[Structures Removed Raw]]/AK$4)*100)*AK$5)+(((FMS_Ranking4[[#This Row],[Removed Pop Raw]]/AR$4)*100)*AR$5)</f>
        <v>0</v>
      </c>
      <c r="BI71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2.001174170447543</v>
      </c>
      <c r="BJ713" s="205">
        <f>_xlfn.RANK.EQ(FMS_Ranking4[[#This Row],[Total Score 
(with linear
normalization)]],FMS_Ranking4[Total Score 
(with linear
normalization)],0)</f>
        <v>461</v>
      </c>
      <c r="BK713" s="205" t="e">
        <f>_xlfn.XLOOKUP(FMS_Ranking4[[#This Row],[FMS ID]],#REF!,#REF!)</f>
        <v>#REF!</v>
      </c>
      <c r="BL71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6.8968508742323156</v>
      </c>
      <c r="BM713" s="272">
        <f>FMS_Ranking4[[#This Row],[ArcSinh Score Based on Normalized Reported Factors]]+FMS_Ranking4[[#This Row],[% NBS Score (Normalized)]]+(FMS_Ranking4[[#This Row],[Water Supply Score (Normalized)]]*10*$BB$5)+FMS_Ranking4[[#This Row],[FMS_Type Score Weighted]]</f>
        <v>8.8968508742323156</v>
      </c>
      <c r="BN713" s="205">
        <f>_xlfn.RANK.EQ(FMS_Ranking4[[#This Row],[Total Score (with ArcSinh normalization of select criteria)]],FMS_Ranking4[Total Score (with ArcSinh normalization of select criteria)],0)</f>
        <v>706</v>
      </c>
      <c r="BO713" s="270" t="str">
        <f>_xlfn.XLOOKUP(FMS_Ranking4[[#This Row],[FMS ID]],FMS_Input[FMS_ID],FMS_Input[FMS_RANK_YEAR])</f>
        <v>2023 Amended Plan</v>
      </c>
      <c r="BP713" s="204">
        <f>_xlfn.XLOOKUP(FMS_Ranking4[[#This Row],[FMS ID]],Prev_Rank[FMS ID],Prev_Rank[Prev Rank])</f>
        <v>636</v>
      </c>
      <c r="BQ713" s="205" t="e">
        <f>_xlfn.XLOOKUP(FMS_Ranking4[[#This Row],[FMS ID]],#REF!,#REF!)</f>
        <v>#REF!</v>
      </c>
      <c r="BR713" s="199" t="e">
        <f>SUM(#REF!,#REF!,#REF!,#REF!,#REF!,#REF!,#REF!,#REF!,#REF!,FMS_Ranking4[[#This Row],[ArcSinh Res struct removed 0-10]],#REF!)</f>
        <v>#REF!</v>
      </c>
      <c r="BS713" s="199" t="e">
        <f>FMS_Ranking4[[#This Row],[Log Score Based on Normalized Reported Factors]]+FMS_Ranking4[[#This Row],[% NBS Score (Normalized)]]+(FMS_Ranking4[[#This Row],[Water Supply Score (Normalized)]]*10*$BB$5)+(FMS_Ranking4[[#This Row],[FMS_Type Score Weighted]])</f>
        <v>#REF!</v>
      </c>
      <c r="BT713" s="200" t="e">
        <f>_xlfn.RANK.EQ(FMS_Ranking4[[#This Row],[Log Total Score]],FMS_Ranking4[Log Total Score],0)</f>
        <v>#REF!</v>
      </c>
      <c r="BU713" s="200" t="e">
        <f>_xlfn.XLOOKUP(FMS_Ranking4[[#This Row],[FMS ID]],#REF!,#REF!)</f>
        <v>#REF!</v>
      </c>
      <c r="BV713" s="200">
        <f>FMS_Ranking4[[#This Row],[Region Number]]</f>
        <v>4</v>
      </c>
      <c r="BW713" s="200">
        <f>FMS_Ranking4[[#This Row],[Rank (with ArcSinh normalization of select criteria)]]-FMS_Ranking4[[#This Row],[Rank
(with linear
normalization)]]</f>
        <v>245</v>
      </c>
      <c r="BX713" s="200" t="e">
        <f>FMS_Ranking4[[#This Row],[Log Rank]]-FMS_Ranking4[[#This Row],[Rank
(with linear
normalization)]]</f>
        <v>#REF!</v>
      </c>
      <c r="BY713" s="200" t="str">
        <f>IF(FMS_Ranking4[[#This Row],[FMS Type]]="Flood Measurement and Warning",FMS_Ranking4[[#This Row],[Rank (with ArcSinh normalization of select criteria)]],"")</f>
        <v/>
      </c>
      <c r="BZ713" s="200">
        <f>IF(FMS_Ranking4[[#This Row],[FMS Type]]="Regulatory and Guidance",FMS_Ranking4[[#This Row],[Rank (with ArcSinh normalization of select criteria)]],"")</f>
        <v>706</v>
      </c>
      <c r="CA713" s="200" t="str">
        <f>IF(FMS_Ranking4[[#This Row],[FMS Type]]="Education and Outreach",FMS_Ranking4[[#This Row],[Rank (with ArcSinh normalization of select criteria)]],"")</f>
        <v/>
      </c>
      <c r="CB713" s="200" t="str">
        <f>IF(FMS_Ranking4[[#This Row],[FMS Type]]="Property Acquisition and Structural Elevation",FMS_Ranking4[[#This Row],[Rank (with ArcSinh normalization of select criteria)]],"")</f>
        <v/>
      </c>
      <c r="CC713" s="200" t="str">
        <f>IF(FMS_Ranking4[[#This Row],[FMS Type]]="Infrastructure Projects",FMS_Ranking4[[#This Row],[Rank (with ArcSinh normalization of select criteria)]],"")</f>
        <v/>
      </c>
      <c r="CD713" s="200" t="str">
        <f>IF(FMS_Ranking4[[#This Row],[FMS Type]]="Other",FMS_Ranking4[[#This Row],[Rank (with ArcSinh normalization of select criteria)]],"")</f>
        <v/>
      </c>
      <c r="CE713" s="201"/>
      <c r="CF713" s="206"/>
      <c r="CG713" s="206"/>
      <c r="CH713" s="206"/>
      <c r="CI713" s="206"/>
      <c r="CJ713" s="206"/>
      <c r="CK713" s="206"/>
      <c r="CL713" s="206"/>
      <c r="CM713" s="206"/>
      <c r="CN713" s="206"/>
      <c r="CO713" s="206"/>
      <c r="CP713" s="206"/>
      <c r="CQ713" s="206"/>
      <c r="CR713" s="206"/>
    </row>
    <row r="714" spans="2:96" ht="105" x14ac:dyDescent="0.25">
      <c r="B714" s="341" t="s">
        <v>3449</v>
      </c>
      <c r="C714" s="246">
        <f>_xlfn.XLOOKUP(FMS_Ranking4[[#This Row],[FMS ID]],FMS_Input[FMS_ID],FMS_Input[RFPG_NUM])</f>
        <v>12</v>
      </c>
      <c r="D714" s="309" t="str">
        <f>_xlfn.XLOOKUP(FMS_Ranking4[[#This Row],[FMS ID]],FMS_Input[FMS_ID],FMS_Input[FMS_NAME])</f>
        <v>San Antonio River drainage ownership mapping</v>
      </c>
      <c r="E714" s="308" t="str">
        <f>_xlfn.XLOOKUP(FMS_Ranking4[[#This Row],[FMS ID]],FMS_Input[FMS_ID],FMS_Input[SPONSOR])</f>
        <v>12002756</v>
      </c>
      <c r="F714" s="309" t="str">
        <f>_xlfn.XLOOKUP(FMS_Ranking4[[#This Row],[FMS ID]],Sponsor[FMS_ID],Sponsor[SPONSOR NAME])</f>
        <v>Karnes City</v>
      </c>
      <c r="G714" s="309" t="str">
        <f>_xlfn.XLOOKUP(FMS_Ranking4[[#This Row],[FMS ID]],FMS_Input[FMS_ID],FMS_Input[FMS_DESCR])</f>
        <v>Develop ownership and access understanding parcels fronting the San Antonio River and major tributaries to have better agreements and access to areas that need flood control mitigation and erosion control</v>
      </c>
      <c r="H714" s="248" t="str">
        <f>_xlfn.XLOOKUP(FMS_Ranking4[[#This Row],[FMS ID]],FMS_Input[FMS_ID],FMS_Input[FMS_TYPE])</f>
        <v>Education and Outreach</v>
      </c>
      <c r="I714" s="249">
        <f>_xlfn.XLOOKUP(FMS_Ranking4[[#This Row],[FMS ID]],FMS_Input[FMS_ID],FMS_Input[NRNC_COST])</f>
        <v>30000</v>
      </c>
      <c r="J714" s="250">
        <f>_xlfn.XLOOKUP(FMS_Ranking4[[#This Row],[FMS ID]],FMS_Input[FMS_ID],FMS_Input[FMS_COST])</f>
        <v>30000</v>
      </c>
      <c r="K714" s="251" t="str">
        <f>_xlfn.XLOOKUP(FMS_Ranking4[[#This Row],[FMS ID]],FMS_Input[FMS_ID],FMS_Input[EMER_NEED])</f>
        <v>No</v>
      </c>
      <c r="L714" s="252">
        <f t="shared" si="11"/>
        <v>0</v>
      </c>
      <c r="M714" s="253">
        <f>_xlfn.XLOOKUP(FMS_Ranking4[[#This Row],[FMS ID]],FMS_Input[FMS_ID],FMS_Input[STRUCT_100])</f>
        <v>6</v>
      </c>
      <c r="N714" s="255">
        <f>(ASINH(FMS_Ranking4[[#This Row],[Structure at Risk Raw]]))*(10)/(ASINH(M$4))</f>
        <v>1.9589099741296994</v>
      </c>
      <c r="O714" s="256">
        <f>FMS_Ranking4[[#This Row],[Structures at risk, ArcSinh (0-10)]]*M$5*10</f>
        <v>1.9589099741296994</v>
      </c>
      <c r="P714" s="253">
        <f>_xlfn.XLOOKUP(FMS_Ranking4[[#This Row],[FMS ID]],FMS_Input[FMS_ID],FMS_Input[RES_STRUCT100])</f>
        <v>5</v>
      </c>
      <c r="Q714" s="257">
        <f>ASINH(FMS_Ranking4[[#This Row],[Res Structure Raw]])/Q$4*P$5*100</f>
        <v>0</v>
      </c>
      <c r="R714" s="253">
        <f>_xlfn.XLOOKUP(FMS_Ranking4[[#This Row],[FMS ID]],FMS_Input[FMS_ID],FMS_Input[POP100])</f>
        <v>159</v>
      </c>
      <c r="S714" s="259">
        <f>(ASINH(FMS_Ranking4[[#This Row],[Pop at Risk Raw]]))*(10)/(ASINH(R$4))</f>
        <v>3.9778863509914486</v>
      </c>
      <c r="T714" s="256">
        <f>FMS_Ranking4[[#This Row],[Population at risk, ArcSinh (0-10)]]*R$5*10</f>
        <v>3.9778863509914486</v>
      </c>
      <c r="U714" s="253">
        <f>_xlfn.XLOOKUP(FMS_Ranking4[[#This Row],[FMS ID]],FMS_Input[FMS_ID],FMS_Input[CRITFAC100])</f>
        <v>0</v>
      </c>
      <c r="V714" s="259">
        <f>(ASINH(FMS_Ranking4[[#This Row],[Critical Facilities Raw]]))*(10)/(ASINH(U$4))</f>
        <v>0</v>
      </c>
      <c r="W714" s="256">
        <f>FMS_Ranking4[[#This Row],[Critical facilities at risk, ArcSinh (0-10)]]*U$5*10</f>
        <v>0</v>
      </c>
      <c r="X714" s="253">
        <f>_xlfn.XLOOKUP(FMS_Ranking4[[#This Row],[FMS ID]],FMS_Input[FMS_ID],FMS_Input[LWC])</f>
        <v>0</v>
      </c>
      <c r="Y714" s="259">
        <f>(ASINH(FMS_Ranking4[[#This Row],[LWC Raw]]))*(10)/(ASINH(X$4))</f>
        <v>0</v>
      </c>
      <c r="Z714" s="256">
        <f>FMS_Ranking4[[#This Row],[LWC, ArcSInh (0-10)]]*X$5*10</f>
        <v>0</v>
      </c>
      <c r="AA714" s="253">
        <f>_xlfn.XLOOKUP(FMS_Ranking4[[#This Row],[FMS ID]],FMS_Input[FMS_ID],FMS_Input[ROADCLS])</f>
        <v>5</v>
      </c>
      <c r="AB714" s="255">
        <f>(ASINH(FMS_Ranking4[[#This Row],[Road Closures Raw]]))*(10)/(ASINH(AA$4))</f>
        <v>2.4081922896382904</v>
      </c>
      <c r="AC714" s="256">
        <f>FMS_Ranking4[[#This Row],[Road closures, ArcSinh (0-10)]]*AA$5*10</f>
        <v>1.2040961448191452</v>
      </c>
      <c r="AD714" s="253">
        <f>_xlfn.XLOOKUP(FMS_Ranking4[[#This Row],[FMS ID]],FMS_Input[FMS_ID],FMS_Input[ROAD_MILES100])</f>
        <v>0</v>
      </c>
      <c r="AE714" s="259">
        <f>(ASINH(FMS_Ranking4[[#This Row],[Road Miles Raw]]))*(10)/(ASINH(AD$4))</f>
        <v>0</v>
      </c>
      <c r="AF714" s="256">
        <f>FMS_Ranking4[[#This Row],[Length of roads at risk, ArcSinh (0-10)]]*AD$5*10</f>
        <v>0</v>
      </c>
      <c r="AG714" s="253">
        <f>_xlfn.XLOOKUP(FMS_Ranking4[[#This Row],[FMS ID]],FMS_Input[FMS_ID],FMS_Input[FARMACRE100])</f>
        <v>0.69999998807907104</v>
      </c>
      <c r="AH714" s="255">
        <f>(ASINH(FMS_Ranking4[[#This Row],[Ag Land Raw]]))*(10)/(ASINH(AG$4))</f>
        <v>0.42396010062502609</v>
      </c>
      <c r="AI714" s="260">
        <f>FMS_Ranking4[[#This Row],[Farm &amp; ranch land, ArcSinh (0-10)]]*AG$5*10</f>
        <v>0.21198005031251305</v>
      </c>
      <c r="AJ714" s="258">
        <f>_xlfn.XLOOKUP(FMS_Ranking4[[#This Row],[FMS ID]],FMS_Input[FMS_ID],FMS_Input[REDSTRUCT100])</f>
        <v>0</v>
      </c>
      <c r="AK714" s="253">
        <f>_xlfn.XLOOKUP(FMS_Ranking4[[#This Row],[FMS ID]],FMS_Input[FMS_ID],FMS_Input[REMSTRC100])</f>
        <v>0</v>
      </c>
      <c r="AL714" s="259">
        <f>(ASINH(FMS_Ranking4[[#This Row],[Structures Removed Raw]]))*(10)/(ASINH(AK$4))</f>
        <v>0</v>
      </c>
      <c r="AM714" s="262">
        <f>FMS_Ranking4[[#This Row],[Structures removed, ArcSinh (0-10)]]*AK$5*10</f>
        <v>0</v>
      </c>
      <c r="AN714" s="253">
        <f>_xlfn.XLOOKUP(FMS_Ranking4[[#This Row],[FMS ID]],FMS_Input[FMS_ID],FMS_Input[REMRESSTRC100])</f>
        <v>0</v>
      </c>
      <c r="AO714" s="261">
        <f>FMS_Ranking4[[#This Row],[ArcSinh Res struct removed 0-10]]*AN$5*10</f>
        <v>0</v>
      </c>
      <c r="AP714" s="260">
        <f>ASINH(FMS_Ranking4[[#This Row],[Residential Structures Removed Raw]])/AP$4*AN$5*100</f>
        <v>0</v>
      </c>
      <c r="AQ714" s="254">
        <f>(ASINH(FMS_Ranking4[[#This Row],[Residential Structures Removed Raw]]))*(10)/(ASINH(AN$4))</f>
        <v>0</v>
      </c>
      <c r="AR714" s="253">
        <f>_xlfn.XLOOKUP(FMS_Ranking4[[#This Row],[FMS ID]],FMS_Input[FMS_ID],FMS_Input[REMPOP100])</f>
        <v>0</v>
      </c>
      <c r="AS714" s="259">
        <f>(ASINH(FMS_Ranking4[[#This Row],[Removed Pop Raw]]))*(10)/(ASINH(AR$4))</f>
        <v>0</v>
      </c>
      <c r="AT714" s="262">
        <f>FMS_Ranking4[[#This Row],[Removed population, ArcSinh (0-10)]]*AR$5*10</f>
        <v>0</v>
      </c>
      <c r="AU714" s="264">
        <f>_xlfn.XLOOKUP(FMS_Ranking4[[#This Row],[FMS ID]],FMS_Input[FMS_ID],FMS_Input[REMCRITFAC100])</f>
        <v>0</v>
      </c>
      <c r="AV714" s="264">
        <f>_xlfn.XLOOKUP(FMS_Ranking4[[#This Row],[FMS ID]],FMS_Input[FMS_ID],FMS_Input[REMLWC100])</f>
        <v>0</v>
      </c>
      <c r="AW714" s="264">
        <f>_xlfn.XLOOKUP(FMS_Ranking4[[#This Row],[FMS ID]],FMS_Input[FMS_ID],FMS_Input[REMROADCLS])</f>
        <v>0</v>
      </c>
      <c r="AX714" s="264">
        <f>_xlfn.XLOOKUP(FMS_Ranking4[[#This Row],[FMS ID]],FMS_Input[FMS_ID],FMS_Input[REMFRMACRE100])</f>
        <v>0</v>
      </c>
      <c r="AY714" s="258">
        <f>_xlfn.XLOOKUP(FMS_Ranking4[[#This Row],[FMS ID]],FMS_Input[FMS_ID],FMS_Input[COSTSTRUCT])</f>
        <v>0</v>
      </c>
      <c r="AZ714" s="253">
        <f>_xlfn.XLOOKUP(FMS_Ranking4[[#This Row],[FMS ID]],FMS_Input[FMS_ID],FMS_Input[NATURE])</f>
        <v>0</v>
      </c>
      <c r="BA714" s="262">
        <f>(((FMS_Ranking4[[#This Row],[% NBS Raw]]/AZ$4)*100)*AZ$5)</f>
        <v>0</v>
      </c>
      <c r="BB714" s="251" t="str">
        <f>_xlfn.XLOOKUP(FMS_Ranking4[[#This Row],[FMS ID]],FMS_Input[FMS_ID],FMS_Input[WATER_SUP])</f>
        <v>No</v>
      </c>
      <c r="BC714" s="265">
        <f>IF(FMS_Ranking4[[#This Row],[Water Supply Raw]]="Yes",10,0)</f>
        <v>0</v>
      </c>
      <c r="BD714" s="266">
        <f>_xlfn.XLOOKUP(FMS_Ranking4[[#This Row],[FMS Type]],FMS_TYPE[FMS_Type],FMS_TYPE[Score])</f>
        <v>6</v>
      </c>
      <c r="BE714" s="267">
        <f>FMS_Ranking4[[#This Row],[FMS_Type Score]]*$BD$5*10</f>
        <v>1.5000000000000002</v>
      </c>
      <c r="BF71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5.3663059371855965E-3</v>
      </c>
      <c r="BG714" s="271">
        <f>_xlfn.RANK.EQ(BF714,$BF$8:$BF$870,0)+COUNTIF($BF$8:BF714,BF714)-1</f>
        <v>687</v>
      </c>
      <c r="BH714" s="268">
        <f>(((FMS_Ranking4[[#This Row],[Structures Removed Raw]]/AK$4)*100)*AK$5)+(((FMS_Ranking4[[#This Row],[Removed Pop Raw]]/AR$4)*100)*AR$5)</f>
        <v>0</v>
      </c>
      <c r="BI71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1.5053663059371858</v>
      </c>
      <c r="BJ714" s="205">
        <f>_xlfn.RANK.EQ(FMS_Ranking4[[#This Row],[Total Score 
(with linear
normalization)]],FMS_Ranking4[Total Score 
(with linear
normalization)],0)</f>
        <v>599</v>
      </c>
      <c r="BK714" s="205" t="e">
        <f>_xlfn.XLOOKUP(FMS_Ranking4[[#This Row],[FMS ID]],#REF!,#REF!)</f>
        <v>#REF!</v>
      </c>
      <c r="BL71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7.3528725202528058</v>
      </c>
      <c r="BM714" s="272">
        <f>FMS_Ranking4[[#This Row],[ArcSinh Score Based on Normalized Reported Factors]]+FMS_Ranking4[[#This Row],[% NBS Score (Normalized)]]+(FMS_Ranking4[[#This Row],[Water Supply Score (Normalized)]]*10*$BB$5)+FMS_Ranking4[[#This Row],[FMS_Type Score Weighted]]</f>
        <v>8.8528725202528058</v>
      </c>
      <c r="BN714" s="205">
        <f>_xlfn.RANK.EQ(FMS_Ranking4[[#This Row],[Total Score (with ArcSinh normalization of select criteria)]],FMS_Ranking4[Total Score (with ArcSinh normalization of select criteria)],0)</f>
        <v>707</v>
      </c>
      <c r="BO714" s="270" t="str">
        <f>_xlfn.XLOOKUP(FMS_Ranking4[[#This Row],[FMS ID]],FMS_Input[FMS_ID],FMS_Input[FMS_RANK_YEAR])</f>
        <v>2023 Amended Plan</v>
      </c>
      <c r="BP714" s="204">
        <f>_xlfn.XLOOKUP(FMS_Ranking4[[#This Row],[FMS ID]],Prev_Rank[FMS ID],Prev_Rank[Prev Rank])</f>
        <v>633</v>
      </c>
      <c r="BQ714" s="205" t="e">
        <f>_xlfn.XLOOKUP(FMS_Ranking4[[#This Row],[FMS ID]],#REF!,#REF!)</f>
        <v>#REF!</v>
      </c>
      <c r="BR714" s="199" t="e">
        <f>SUM(#REF!,#REF!,#REF!,#REF!,#REF!,#REF!,#REF!,#REF!,#REF!,FMS_Ranking4[[#This Row],[ArcSinh Res struct removed 0-10]],#REF!)</f>
        <v>#REF!</v>
      </c>
      <c r="BS714" s="199" t="e">
        <f>FMS_Ranking4[[#This Row],[Log Score Based on Normalized Reported Factors]]+FMS_Ranking4[[#This Row],[% NBS Score (Normalized)]]+(FMS_Ranking4[[#This Row],[Water Supply Score (Normalized)]]*10*$BB$5)+(FMS_Ranking4[[#This Row],[FMS_Type Score Weighted]])</f>
        <v>#REF!</v>
      </c>
      <c r="BT714" s="200" t="e">
        <f>_xlfn.RANK.EQ(FMS_Ranking4[[#This Row],[Log Total Score]],FMS_Ranking4[Log Total Score],0)</f>
        <v>#REF!</v>
      </c>
      <c r="BU714" s="200" t="e">
        <f>_xlfn.XLOOKUP(FMS_Ranking4[[#This Row],[FMS ID]],#REF!,#REF!)</f>
        <v>#REF!</v>
      </c>
      <c r="BV714" s="200">
        <f>FMS_Ranking4[[#This Row],[Region Number]]</f>
        <v>12</v>
      </c>
      <c r="BW714" s="200">
        <f>FMS_Ranking4[[#This Row],[Rank (with ArcSinh normalization of select criteria)]]-FMS_Ranking4[[#This Row],[Rank
(with linear
normalization)]]</f>
        <v>108</v>
      </c>
      <c r="BX714" s="200" t="e">
        <f>FMS_Ranking4[[#This Row],[Log Rank]]-FMS_Ranking4[[#This Row],[Rank
(with linear
normalization)]]</f>
        <v>#REF!</v>
      </c>
      <c r="BY714" s="200" t="str">
        <f>IF(FMS_Ranking4[[#This Row],[FMS Type]]="Flood Measurement and Warning",FMS_Ranking4[[#This Row],[Rank (with ArcSinh normalization of select criteria)]],"")</f>
        <v/>
      </c>
      <c r="BZ714" s="200" t="str">
        <f>IF(FMS_Ranking4[[#This Row],[FMS Type]]="Regulatory and Guidance",FMS_Ranking4[[#This Row],[Rank (with ArcSinh normalization of select criteria)]],"")</f>
        <v/>
      </c>
      <c r="CA714" s="200">
        <f>IF(FMS_Ranking4[[#This Row],[FMS Type]]="Education and Outreach",FMS_Ranking4[[#This Row],[Rank (with ArcSinh normalization of select criteria)]],"")</f>
        <v>707</v>
      </c>
      <c r="CB714" s="200" t="str">
        <f>IF(FMS_Ranking4[[#This Row],[FMS Type]]="Property Acquisition and Structural Elevation",FMS_Ranking4[[#This Row],[Rank (with ArcSinh normalization of select criteria)]],"")</f>
        <v/>
      </c>
      <c r="CC714" s="200" t="str">
        <f>IF(FMS_Ranking4[[#This Row],[FMS Type]]="Infrastructure Projects",FMS_Ranking4[[#This Row],[Rank (with ArcSinh normalization of select criteria)]],"")</f>
        <v/>
      </c>
      <c r="CD714" s="200" t="str">
        <f>IF(FMS_Ranking4[[#This Row],[FMS Type]]="Other",FMS_Ranking4[[#This Row],[Rank (with ArcSinh normalization of select criteria)]],"")</f>
        <v/>
      </c>
      <c r="CE714" s="201"/>
      <c r="CF714" s="206"/>
      <c r="CG714" s="206"/>
      <c r="CH714" s="206"/>
      <c r="CI714" s="206"/>
      <c r="CJ714" s="206"/>
      <c r="CK714" s="206"/>
      <c r="CL714" s="206"/>
      <c r="CM714" s="206"/>
      <c r="CN714" s="206"/>
      <c r="CO714" s="206"/>
      <c r="CP714" s="206"/>
      <c r="CQ714" s="206"/>
      <c r="CR714" s="206"/>
    </row>
    <row r="715" spans="2:96" ht="45" x14ac:dyDescent="0.25">
      <c r="B715" s="341" t="s">
        <v>4799</v>
      </c>
      <c r="C715" s="246">
        <f>_xlfn.XLOOKUP(FMS_Ranking4[[#This Row],[FMS ID]],FMS_Input[FMS_ID],FMS_Input[RFPG_NUM])</f>
        <v>4</v>
      </c>
      <c r="D715" s="309" t="str">
        <f>_xlfn.XLOOKUP(FMS_Ranking4[[#This Row],[FMS ID]],FMS_Input[FMS_ID],FMS_Input[FMS_NAME])</f>
        <v>City of Wills Point "StormReady" Program</v>
      </c>
      <c r="E715" s="308" t="str">
        <f>_xlfn.XLOOKUP(FMS_Ranking4[[#This Row],[FMS ID]],FMS_Input[FMS_ID],FMS_Input[SPONSOR])</f>
        <v>00002589</v>
      </c>
      <c r="F715" s="309" t="str">
        <f>_xlfn.XLOOKUP(FMS_Ranking4[[#This Row],[FMS ID]],Sponsor[FMS_ID],Sponsor[SPONSOR NAME])</f>
        <v>Wills Point</v>
      </c>
      <c r="G715" s="309" t="str">
        <f>_xlfn.XLOOKUP(FMS_Ranking4[[#This Row],[FMS ID]],FMS_Input[FMS_ID],FMS_Input[FMS_DESCR])</f>
        <v>Obtain certification in the National Weather Service StormReady Program.</v>
      </c>
      <c r="H715" s="248" t="str">
        <f>_xlfn.XLOOKUP(FMS_Ranking4[[#This Row],[FMS ID]],FMS_Input[FMS_ID],FMS_Input[FMS_TYPE])</f>
        <v>Regulatory and Guidance</v>
      </c>
      <c r="I715" s="249">
        <f>_xlfn.XLOOKUP(FMS_Ranking4[[#This Row],[FMS ID]],FMS_Input[FMS_ID],FMS_Input[NRNC_COST])</f>
        <v>10000</v>
      </c>
      <c r="J715" s="250">
        <f>_xlfn.XLOOKUP(FMS_Ranking4[[#This Row],[FMS ID]],FMS_Input[FMS_ID],FMS_Input[FMS_COST])</f>
        <v>10000</v>
      </c>
      <c r="K715" s="251" t="str">
        <f>_xlfn.XLOOKUP(FMS_Ranking4[[#This Row],[FMS ID]],FMS_Input[FMS_ID],FMS_Input[EMER_NEED])</f>
        <v>No</v>
      </c>
      <c r="L715" s="252">
        <f t="shared" si="11"/>
        <v>0</v>
      </c>
      <c r="M715" s="253">
        <f>_xlfn.XLOOKUP(FMS_Ranking4[[#This Row],[FMS ID]],FMS_Input[FMS_ID],FMS_Input[STRUCT_100])</f>
        <v>12</v>
      </c>
      <c r="N715" s="255">
        <f>(ASINH(FMS_Ranking4[[#This Row],[Structure at Risk Raw]]))*(10)/(ASINH(M$4))</f>
        <v>2.4997848035776333</v>
      </c>
      <c r="O715" s="256">
        <f>FMS_Ranking4[[#This Row],[Structures at risk, ArcSinh (0-10)]]*M$5*10</f>
        <v>2.4997848035776333</v>
      </c>
      <c r="P715" s="253">
        <f>_xlfn.XLOOKUP(FMS_Ranking4[[#This Row],[FMS ID]],FMS_Input[FMS_ID],FMS_Input[RES_STRUCT100])</f>
        <v>4</v>
      </c>
      <c r="Q715" s="257">
        <f>ASINH(FMS_Ranking4[[#This Row],[Res Structure Raw]])/Q$4*P$5*100</f>
        <v>0</v>
      </c>
      <c r="R715" s="253">
        <f>_xlfn.XLOOKUP(FMS_Ranking4[[#This Row],[FMS ID]],FMS_Input[FMS_ID],FMS_Input[POP100])</f>
        <v>29</v>
      </c>
      <c r="S715" s="259">
        <f>(ASINH(FMS_Ranking4[[#This Row],[Pop at Risk Raw]]))*(10)/(ASINH(R$4))</f>
        <v>2.8033653287721343</v>
      </c>
      <c r="T715" s="256">
        <f>FMS_Ranking4[[#This Row],[Population at risk, ArcSinh (0-10)]]*R$5*10</f>
        <v>2.8033653287721343</v>
      </c>
      <c r="U715" s="253">
        <f>_xlfn.XLOOKUP(FMS_Ranking4[[#This Row],[FMS ID]],FMS_Input[FMS_ID],FMS_Input[CRITFAC100])</f>
        <v>0</v>
      </c>
      <c r="V715" s="259">
        <f>(ASINH(FMS_Ranking4[[#This Row],[Critical Facilities Raw]]))*(10)/(ASINH(U$4))</f>
        <v>0</v>
      </c>
      <c r="W715" s="256">
        <f>FMS_Ranking4[[#This Row],[Critical facilities at risk, ArcSinh (0-10)]]*U$5*10</f>
        <v>0</v>
      </c>
      <c r="X715" s="253">
        <f>_xlfn.XLOOKUP(FMS_Ranking4[[#This Row],[FMS ID]],FMS_Input[FMS_ID],FMS_Input[LWC])</f>
        <v>0</v>
      </c>
      <c r="Y715" s="259">
        <f>(ASINH(FMS_Ranking4[[#This Row],[LWC Raw]]))*(10)/(ASINH(X$4))</f>
        <v>0</v>
      </c>
      <c r="Z715" s="256">
        <f>FMS_Ranking4[[#This Row],[LWC, ArcSInh (0-10)]]*X$5*10</f>
        <v>0</v>
      </c>
      <c r="AA715" s="253">
        <f>_xlfn.XLOOKUP(FMS_Ranking4[[#This Row],[FMS ID]],FMS_Input[FMS_ID],FMS_Input[ROADCLS])</f>
        <v>0</v>
      </c>
      <c r="AB715" s="255">
        <f>(ASINH(FMS_Ranking4[[#This Row],[Road Closures Raw]]))*(10)/(ASINH(AA$4))</f>
        <v>0</v>
      </c>
      <c r="AC715" s="256">
        <f>FMS_Ranking4[[#This Row],[Road closures, ArcSinh (0-10)]]*AA$5*10</f>
        <v>0</v>
      </c>
      <c r="AD715" s="253">
        <f>_xlfn.XLOOKUP(FMS_Ranking4[[#This Row],[FMS ID]],FMS_Input[FMS_ID],FMS_Input[ROAD_MILES100])</f>
        <v>0</v>
      </c>
      <c r="AE715" s="259">
        <f>(ASINH(FMS_Ranking4[[#This Row],[Road Miles Raw]]))*(10)/(ASINH(AD$4))</f>
        <v>0</v>
      </c>
      <c r="AF715" s="256">
        <f>FMS_Ranking4[[#This Row],[Length of roads at risk, ArcSinh (0-10)]]*AD$5*10</f>
        <v>0</v>
      </c>
      <c r="AG715" s="253">
        <f>_xlfn.XLOOKUP(FMS_Ranking4[[#This Row],[FMS ID]],FMS_Input[FMS_ID],FMS_Input[FARMACRE100])</f>
        <v>47.200588226318359</v>
      </c>
      <c r="AH715" s="255">
        <f>(ASINH(FMS_Ranking4[[#This Row],[Ag Land Raw]]))*(10)/(ASINH(AG$4))</f>
        <v>2.9540793869352382</v>
      </c>
      <c r="AI715" s="260">
        <f>FMS_Ranking4[[#This Row],[Farm &amp; ranch land, ArcSinh (0-10)]]*AG$5*10</f>
        <v>1.4770396934676191</v>
      </c>
      <c r="AJ715" s="258">
        <f>_xlfn.XLOOKUP(FMS_Ranking4[[#This Row],[FMS ID]],FMS_Input[FMS_ID],FMS_Input[REDSTRUCT100])</f>
        <v>0</v>
      </c>
      <c r="AK715" s="253">
        <f>_xlfn.XLOOKUP(FMS_Ranking4[[#This Row],[FMS ID]],FMS_Input[FMS_ID],FMS_Input[REMSTRC100])</f>
        <v>0</v>
      </c>
      <c r="AL715" s="259">
        <f>(ASINH(FMS_Ranking4[[#This Row],[Structures Removed Raw]]))*(10)/(ASINH(AK$4))</f>
        <v>0</v>
      </c>
      <c r="AM715" s="262">
        <f>FMS_Ranking4[[#This Row],[Structures removed, ArcSinh (0-10)]]*AK$5*10</f>
        <v>0</v>
      </c>
      <c r="AN715" s="253">
        <f>_xlfn.XLOOKUP(FMS_Ranking4[[#This Row],[FMS ID]],FMS_Input[FMS_ID],FMS_Input[REMRESSTRC100])</f>
        <v>0</v>
      </c>
      <c r="AO715" s="261">
        <f>FMS_Ranking4[[#This Row],[ArcSinh Res struct removed 0-10]]*AN$5*10</f>
        <v>0</v>
      </c>
      <c r="AP715" s="260">
        <f>ASINH(FMS_Ranking4[[#This Row],[Residential Structures Removed Raw]])/AP$4*AN$5*100</f>
        <v>0</v>
      </c>
      <c r="AQ715" s="254">
        <f>(ASINH(FMS_Ranking4[[#This Row],[Residential Structures Removed Raw]]))*(10)/(ASINH(AN$4))</f>
        <v>0</v>
      </c>
      <c r="AR715" s="253">
        <f>_xlfn.XLOOKUP(FMS_Ranking4[[#This Row],[FMS ID]],FMS_Input[FMS_ID],FMS_Input[REMPOP100])</f>
        <v>0</v>
      </c>
      <c r="AS715" s="259">
        <f>(ASINH(FMS_Ranking4[[#This Row],[Removed Pop Raw]]))*(10)/(ASINH(AR$4))</f>
        <v>0</v>
      </c>
      <c r="AT715" s="262">
        <f>FMS_Ranking4[[#This Row],[Removed population, ArcSinh (0-10)]]*AR$5*10</f>
        <v>0</v>
      </c>
      <c r="AU715" s="264">
        <f>_xlfn.XLOOKUP(FMS_Ranking4[[#This Row],[FMS ID]],FMS_Input[FMS_ID],FMS_Input[REMCRITFAC100])</f>
        <v>0</v>
      </c>
      <c r="AV715" s="264">
        <f>_xlfn.XLOOKUP(FMS_Ranking4[[#This Row],[FMS ID]],FMS_Input[FMS_ID],FMS_Input[REMLWC100])</f>
        <v>0</v>
      </c>
      <c r="AW715" s="264">
        <f>_xlfn.XLOOKUP(FMS_Ranking4[[#This Row],[FMS ID]],FMS_Input[FMS_ID],FMS_Input[REMROADCLS])</f>
        <v>0</v>
      </c>
      <c r="AX715" s="264">
        <f>_xlfn.XLOOKUP(FMS_Ranking4[[#This Row],[FMS ID]],FMS_Input[FMS_ID],FMS_Input[REMFRMACRE100])</f>
        <v>0</v>
      </c>
      <c r="AY715" s="258">
        <f>_xlfn.XLOOKUP(FMS_Ranking4[[#This Row],[FMS ID]],FMS_Input[FMS_ID],FMS_Input[COSTSTRUCT])</f>
        <v>0</v>
      </c>
      <c r="AZ715" s="253">
        <f>_xlfn.XLOOKUP(FMS_Ranking4[[#This Row],[FMS ID]],FMS_Input[FMS_ID],FMS_Input[NATURE])</f>
        <v>0</v>
      </c>
      <c r="BA715" s="262">
        <f>(((FMS_Ranking4[[#This Row],[% NBS Raw]]/AZ$4)*100)*AZ$5)</f>
        <v>0</v>
      </c>
      <c r="BB715" s="251" t="str">
        <f>_xlfn.XLOOKUP(FMS_Ranking4[[#This Row],[FMS ID]],FMS_Input[FMS_ID],FMS_Input[WATER_SUP])</f>
        <v>No</v>
      </c>
      <c r="BC715" s="265">
        <f>IF(FMS_Ranking4[[#This Row],[Water Supply Raw]]="Yes",10,0)</f>
        <v>0</v>
      </c>
      <c r="BD715" s="266">
        <f>_xlfn.XLOOKUP(FMS_Ranking4[[#This Row],[FMS Type]],FMS_TYPE[FMS_Type],FMS_TYPE[Score])</f>
        <v>8</v>
      </c>
      <c r="BE715" s="267">
        <f>FMS_Ranking4[[#This Row],[FMS_Type Score]]*$BD$5*10</f>
        <v>2</v>
      </c>
      <c r="BF71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1.1117906012142087E-3</v>
      </c>
      <c r="BG715" s="271">
        <f>_xlfn.RANK.EQ(BF715,$BF$8:$BF$870,0)+COUNTIF($BF$8:BF715,BF715)-1</f>
        <v>745</v>
      </c>
      <c r="BH715" s="268">
        <f>(((FMS_Ranking4[[#This Row],[Structures Removed Raw]]/AK$4)*100)*AK$5)+(((FMS_Ranking4[[#This Row],[Removed Pop Raw]]/AR$4)*100)*AR$5)</f>
        <v>0</v>
      </c>
      <c r="BI71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2.0011117906012141</v>
      </c>
      <c r="BJ715" s="205">
        <f>_xlfn.RANK.EQ(FMS_Ranking4[[#This Row],[Total Score 
(with linear
normalization)]],FMS_Ranking4[Total Score 
(with linear
normalization)],0)</f>
        <v>462</v>
      </c>
      <c r="BK715" s="205" t="e">
        <f>_xlfn.XLOOKUP(FMS_Ranking4[[#This Row],[FMS ID]],#REF!,#REF!)</f>
        <v>#REF!</v>
      </c>
      <c r="BL71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6.7801898258173861</v>
      </c>
      <c r="BM715" s="272">
        <f>FMS_Ranking4[[#This Row],[ArcSinh Score Based on Normalized Reported Factors]]+FMS_Ranking4[[#This Row],[% NBS Score (Normalized)]]+(FMS_Ranking4[[#This Row],[Water Supply Score (Normalized)]]*10*$BB$5)+FMS_Ranking4[[#This Row],[FMS_Type Score Weighted]]</f>
        <v>8.7801898258173861</v>
      </c>
      <c r="BN715" s="205">
        <f>_xlfn.RANK.EQ(FMS_Ranking4[[#This Row],[Total Score (with ArcSinh normalization of select criteria)]],FMS_Ranking4[Total Score (with ArcSinh normalization of select criteria)],0)</f>
        <v>708</v>
      </c>
      <c r="BO715" s="270" t="str">
        <f>_xlfn.XLOOKUP(FMS_Ranking4[[#This Row],[FMS ID]],FMS_Input[FMS_ID],FMS_Input[FMS_RANK_YEAR])</f>
        <v>2023 Amended Plan</v>
      </c>
      <c r="BP715" s="204">
        <f>_xlfn.XLOOKUP(FMS_Ranking4[[#This Row],[FMS ID]],Prev_Rank[FMS ID],Prev_Rank[Prev Rank])</f>
        <v>635</v>
      </c>
      <c r="BQ715" s="205" t="e">
        <f>_xlfn.XLOOKUP(FMS_Ranking4[[#This Row],[FMS ID]],#REF!,#REF!)</f>
        <v>#REF!</v>
      </c>
      <c r="BR715" s="199" t="e">
        <f>SUM(#REF!,#REF!,#REF!,#REF!,#REF!,#REF!,#REF!,#REF!,#REF!,FMS_Ranking4[[#This Row],[ArcSinh Res struct removed 0-10]],#REF!)</f>
        <v>#REF!</v>
      </c>
      <c r="BS715" s="199" t="e">
        <f>FMS_Ranking4[[#This Row],[Log Score Based on Normalized Reported Factors]]+FMS_Ranking4[[#This Row],[% NBS Score (Normalized)]]+(FMS_Ranking4[[#This Row],[Water Supply Score (Normalized)]]*10*$BB$5)+(FMS_Ranking4[[#This Row],[FMS_Type Score Weighted]])</f>
        <v>#REF!</v>
      </c>
      <c r="BT715" s="200" t="e">
        <f>_xlfn.RANK.EQ(FMS_Ranking4[[#This Row],[Log Total Score]],FMS_Ranking4[Log Total Score],0)</f>
        <v>#REF!</v>
      </c>
      <c r="BU715" s="200" t="e">
        <f>_xlfn.XLOOKUP(FMS_Ranking4[[#This Row],[FMS ID]],#REF!,#REF!)</f>
        <v>#REF!</v>
      </c>
      <c r="BV715" s="200">
        <f>FMS_Ranking4[[#This Row],[Region Number]]</f>
        <v>4</v>
      </c>
      <c r="BW715" s="200">
        <f>FMS_Ranking4[[#This Row],[Rank (with ArcSinh normalization of select criteria)]]-FMS_Ranking4[[#This Row],[Rank
(with linear
normalization)]]</f>
        <v>246</v>
      </c>
      <c r="BX715" s="200" t="e">
        <f>FMS_Ranking4[[#This Row],[Log Rank]]-FMS_Ranking4[[#This Row],[Rank
(with linear
normalization)]]</f>
        <v>#REF!</v>
      </c>
      <c r="BY715" s="200" t="str">
        <f>IF(FMS_Ranking4[[#This Row],[FMS Type]]="Flood Measurement and Warning",FMS_Ranking4[[#This Row],[Rank (with ArcSinh normalization of select criteria)]],"")</f>
        <v/>
      </c>
      <c r="BZ715" s="200">
        <f>IF(FMS_Ranking4[[#This Row],[FMS Type]]="Regulatory and Guidance",FMS_Ranking4[[#This Row],[Rank (with ArcSinh normalization of select criteria)]],"")</f>
        <v>708</v>
      </c>
      <c r="CA715" s="200" t="str">
        <f>IF(FMS_Ranking4[[#This Row],[FMS Type]]="Education and Outreach",FMS_Ranking4[[#This Row],[Rank (with ArcSinh normalization of select criteria)]],"")</f>
        <v/>
      </c>
      <c r="CB715" s="200" t="str">
        <f>IF(FMS_Ranking4[[#This Row],[FMS Type]]="Property Acquisition and Structural Elevation",FMS_Ranking4[[#This Row],[Rank (with ArcSinh normalization of select criteria)]],"")</f>
        <v/>
      </c>
      <c r="CC715" s="200" t="str">
        <f>IF(FMS_Ranking4[[#This Row],[FMS Type]]="Infrastructure Projects",FMS_Ranking4[[#This Row],[Rank (with ArcSinh normalization of select criteria)]],"")</f>
        <v/>
      </c>
      <c r="CD715" s="200" t="str">
        <f>IF(FMS_Ranking4[[#This Row],[FMS Type]]="Other",FMS_Ranking4[[#This Row],[Rank (with ArcSinh normalization of select criteria)]],"")</f>
        <v/>
      </c>
      <c r="CE715" s="201"/>
      <c r="CF715" s="206"/>
      <c r="CG715" s="206"/>
      <c r="CH715" s="206"/>
      <c r="CI715" s="206"/>
      <c r="CJ715" s="206"/>
      <c r="CK715" s="206"/>
      <c r="CL715" s="206"/>
      <c r="CM715" s="206"/>
      <c r="CN715" s="206"/>
      <c r="CO715" s="206"/>
      <c r="CP715" s="206"/>
      <c r="CQ715" s="206"/>
      <c r="CR715" s="206"/>
    </row>
    <row r="716" spans="2:96" ht="90" x14ac:dyDescent="0.25">
      <c r="B716" s="341" t="s">
        <v>3813</v>
      </c>
      <c r="C716" s="246">
        <f>_xlfn.XLOOKUP(FMS_Ranking4[[#This Row],[FMS ID]],FMS_Input[FMS_ID],FMS_Input[RFPG_NUM])</f>
        <v>13</v>
      </c>
      <c r="D716" s="309" t="str">
        <f>_xlfn.XLOOKUP(FMS_Ranking4[[#This Row],[FMS ID]],FMS_Input[FMS_ID],FMS_Input[FMS_NAME])</f>
        <v xml:space="preserve">Duval County Master Plan- Refine City of Freer Earthen Channel Maintenance Program </v>
      </c>
      <c r="E716" s="308" t="str">
        <f>_xlfn.XLOOKUP(FMS_Ranking4[[#This Row],[FMS ID]],FMS_Input[FMS_ID],FMS_Input[SPONSOR])</f>
        <v>13000079</v>
      </c>
      <c r="F716" s="309" t="str">
        <f>_xlfn.XLOOKUP(FMS_Ranking4[[#This Row],[FMS ID]],Sponsor[FMS_ID],Sponsor[SPONSOR NAME])</f>
        <v>Duval</v>
      </c>
      <c r="G716" s="309" t="str">
        <f>_xlfn.XLOOKUP(FMS_Ranking4[[#This Row],[FMS ID]],FMS_Input[FMS_ID],FMS_Input[FMS_DESCR])</f>
        <v>Revamp maintenance program for clearing excess debris and vegetation from the earthen channel. Prioritize the cross drains on the upstream side of the earthen channel.</v>
      </c>
      <c r="H716" s="248" t="str">
        <f>_xlfn.XLOOKUP(FMS_Ranking4[[#This Row],[FMS ID]],FMS_Input[FMS_ID],FMS_Input[FMS_TYPE])</f>
        <v>Other</v>
      </c>
      <c r="I716" s="249">
        <f>_xlfn.XLOOKUP(FMS_Ranking4[[#This Row],[FMS ID]],FMS_Input[FMS_ID],FMS_Input[NRNC_COST])</f>
        <v>40000</v>
      </c>
      <c r="J716" s="250">
        <f>_xlfn.XLOOKUP(FMS_Ranking4[[#This Row],[FMS ID]],FMS_Input[FMS_ID],FMS_Input[FMS_COST])</f>
        <v>40000</v>
      </c>
      <c r="K716" s="251" t="str">
        <f>_xlfn.XLOOKUP(FMS_Ranking4[[#This Row],[FMS ID]],FMS_Input[FMS_ID],FMS_Input[EMER_NEED])</f>
        <v>Yes</v>
      </c>
      <c r="L716" s="252">
        <f t="shared" si="11"/>
        <v>1</v>
      </c>
      <c r="M716" s="253">
        <f>_xlfn.XLOOKUP(FMS_Ranking4[[#This Row],[FMS ID]],FMS_Input[FMS_ID],FMS_Input[STRUCT_100])</f>
        <v>37</v>
      </c>
      <c r="N716" s="255">
        <f>(ASINH(FMS_Ranking4[[#This Row],[Structure at Risk Raw]]))*(10)/(ASINH(M$4))</f>
        <v>3.3837795341027657</v>
      </c>
      <c r="O716" s="256">
        <f>FMS_Ranking4[[#This Row],[Structures at risk, ArcSinh (0-10)]]*M$5*10</f>
        <v>3.3837795341027661</v>
      </c>
      <c r="P716" s="253">
        <f>_xlfn.XLOOKUP(FMS_Ranking4[[#This Row],[FMS ID]],FMS_Input[FMS_ID],FMS_Input[RES_STRUCT100])</f>
        <v>28</v>
      </c>
      <c r="Q716" s="257">
        <f>ASINH(FMS_Ranking4[[#This Row],[Res Structure Raw]])/Q$4*P$5*100</f>
        <v>0</v>
      </c>
      <c r="R716" s="253">
        <f>_xlfn.XLOOKUP(FMS_Ranking4[[#This Row],[FMS ID]],FMS_Input[FMS_ID],FMS_Input[POP100])</f>
        <v>46</v>
      </c>
      <c r="S716" s="259">
        <f>(ASINH(FMS_Ranking4[[#This Row],[Pop at Risk Raw]]))*(10)/(ASINH(R$4))</f>
        <v>3.1217354535239523</v>
      </c>
      <c r="T716" s="256">
        <f>FMS_Ranking4[[#This Row],[Population at risk, ArcSinh (0-10)]]*R$5*10</f>
        <v>3.1217354535239528</v>
      </c>
      <c r="U716" s="253">
        <f>_xlfn.XLOOKUP(FMS_Ranking4[[#This Row],[FMS ID]],FMS_Input[FMS_ID],FMS_Input[CRITFAC100])</f>
        <v>0</v>
      </c>
      <c r="V716" s="259">
        <f>(ASINH(FMS_Ranking4[[#This Row],[Critical Facilities Raw]]))*(10)/(ASINH(U$4))</f>
        <v>0</v>
      </c>
      <c r="W716" s="256">
        <f>FMS_Ranking4[[#This Row],[Critical facilities at risk, ArcSinh (0-10)]]*U$5*10</f>
        <v>0</v>
      </c>
      <c r="X716" s="253">
        <f>_xlfn.XLOOKUP(FMS_Ranking4[[#This Row],[FMS ID]],FMS_Input[FMS_ID],FMS_Input[LWC])</f>
        <v>0</v>
      </c>
      <c r="Y716" s="259">
        <f>(ASINH(FMS_Ranking4[[#This Row],[LWC Raw]]))*(10)/(ASINH(X$4))</f>
        <v>0</v>
      </c>
      <c r="Z716" s="256">
        <f>FMS_Ranking4[[#This Row],[LWC, ArcSInh (0-10)]]*X$5*10</f>
        <v>0</v>
      </c>
      <c r="AA716" s="253">
        <f>_xlfn.XLOOKUP(FMS_Ranking4[[#This Row],[FMS ID]],FMS_Input[FMS_ID],FMS_Input[ROADCLS])</f>
        <v>9</v>
      </c>
      <c r="AB716" s="255">
        <f>(ASINH(FMS_Ranking4[[#This Row],[Road Closures Raw]]))*(10)/(ASINH(AA$4))</f>
        <v>3.013256341994186</v>
      </c>
      <c r="AC716" s="256">
        <f>FMS_Ranking4[[#This Row],[Road closures, ArcSinh (0-10)]]*AA$5*10</f>
        <v>1.506628170997093</v>
      </c>
      <c r="AD716" s="253">
        <f>_xlfn.XLOOKUP(FMS_Ranking4[[#This Row],[FMS ID]],FMS_Input[FMS_ID],FMS_Input[ROAD_MILES100])</f>
        <v>0</v>
      </c>
      <c r="AE716" s="259">
        <f>(ASINH(FMS_Ranking4[[#This Row],[Road Miles Raw]]))*(10)/(ASINH(AD$4))</f>
        <v>0</v>
      </c>
      <c r="AF716" s="256">
        <f>FMS_Ranking4[[#This Row],[Length of roads at risk, ArcSinh (0-10)]]*AD$5*10</f>
        <v>0</v>
      </c>
      <c r="AG716" s="253">
        <f>_xlfn.XLOOKUP(FMS_Ranking4[[#This Row],[FMS ID]],FMS_Input[FMS_ID],FMS_Input[FARMACRE100])</f>
        <v>0</v>
      </c>
      <c r="AH716" s="255">
        <f>(ASINH(FMS_Ranking4[[#This Row],[Ag Land Raw]]))*(10)/(ASINH(AG$4))</f>
        <v>0</v>
      </c>
      <c r="AI716" s="260">
        <f>FMS_Ranking4[[#This Row],[Farm &amp; ranch land, ArcSinh (0-10)]]*AG$5*10</f>
        <v>0</v>
      </c>
      <c r="AJ716" s="258">
        <f>_xlfn.XLOOKUP(FMS_Ranking4[[#This Row],[FMS ID]],FMS_Input[FMS_ID],FMS_Input[REDSTRUCT100])</f>
        <v>0</v>
      </c>
      <c r="AK716" s="253">
        <f>_xlfn.XLOOKUP(FMS_Ranking4[[#This Row],[FMS ID]],FMS_Input[FMS_ID],FMS_Input[REMSTRC100])</f>
        <v>0</v>
      </c>
      <c r="AL716" s="259">
        <f>(ASINH(FMS_Ranking4[[#This Row],[Structures Removed Raw]]))*(10)/(ASINH(AK$4))</f>
        <v>0</v>
      </c>
      <c r="AM716" s="262">
        <f>FMS_Ranking4[[#This Row],[Structures removed, ArcSinh (0-10)]]*AK$5*10</f>
        <v>0</v>
      </c>
      <c r="AN716" s="253">
        <f>_xlfn.XLOOKUP(FMS_Ranking4[[#This Row],[FMS ID]],FMS_Input[FMS_ID],FMS_Input[REMRESSTRC100])</f>
        <v>0</v>
      </c>
      <c r="AO716" s="261">
        <f>FMS_Ranking4[[#This Row],[ArcSinh Res struct removed 0-10]]*AN$5*10</f>
        <v>0</v>
      </c>
      <c r="AP716" s="260">
        <f>ASINH(FMS_Ranking4[[#This Row],[Residential Structures Removed Raw]])/AP$4*AN$5*100</f>
        <v>0</v>
      </c>
      <c r="AQ716" s="254">
        <f>(ASINH(FMS_Ranking4[[#This Row],[Residential Structures Removed Raw]]))*(10)/(ASINH(AN$4))</f>
        <v>0</v>
      </c>
      <c r="AR716" s="253">
        <f>_xlfn.XLOOKUP(FMS_Ranking4[[#This Row],[FMS ID]],FMS_Input[FMS_ID],FMS_Input[REMPOP100])</f>
        <v>0</v>
      </c>
      <c r="AS716" s="259">
        <f>(ASINH(FMS_Ranking4[[#This Row],[Removed Pop Raw]]))*(10)/(ASINH(AR$4))</f>
        <v>0</v>
      </c>
      <c r="AT716" s="262">
        <f>FMS_Ranking4[[#This Row],[Removed population, ArcSinh (0-10)]]*AR$5*10</f>
        <v>0</v>
      </c>
      <c r="AU716" s="264">
        <f>_xlfn.XLOOKUP(FMS_Ranking4[[#This Row],[FMS ID]],FMS_Input[FMS_ID],FMS_Input[REMCRITFAC100])</f>
        <v>0</v>
      </c>
      <c r="AV716" s="264">
        <f>_xlfn.XLOOKUP(FMS_Ranking4[[#This Row],[FMS ID]],FMS_Input[FMS_ID],FMS_Input[REMLWC100])</f>
        <v>0</v>
      </c>
      <c r="AW716" s="264">
        <f>_xlfn.XLOOKUP(FMS_Ranking4[[#This Row],[FMS ID]],FMS_Input[FMS_ID],FMS_Input[REMROADCLS])</f>
        <v>0</v>
      </c>
      <c r="AX716" s="264">
        <f>_xlfn.XLOOKUP(FMS_Ranking4[[#This Row],[FMS ID]],FMS_Input[FMS_ID],FMS_Input[REMFRMACRE100])</f>
        <v>0</v>
      </c>
      <c r="AY716" s="258">
        <f>_xlfn.XLOOKUP(FMS_Ranking4[[#This Row],[FMS ID]],FMS_Input[FMS_ID],FMS_Input[COSTSTRUCT])</f>
        <v>0</v>
      </c>
      <c r="AZ716" s="253">
        <f>_xlfn.XLOOKUP(FMS_Ranking4[[#This Row],[FMS ID]],FMS_Input[FMS_ID],FMS_Input[NATURE])</f>
        <v>0</v>
      </c>
      <c r="BA716" s="262">
        <f>(((FMS_Ranking4[[#This Row],[% NBS Raw]]/AZ$4)*100)*AZ$5)</f>
        <v>0</v>
      </c>
      <c r="BB716" s="251" t="str">
        <f>_xlfn.XLOOKUP(FMS_Ranking4[[#This Row],[FMS ID]],FMS_Input[FMS_ID],FMS_Input[WATER_SUP])</f>
        <v>No</v>
      </c>
      <c r="BC716" s="265">
        <f>IF(FMS_Ranking4[[#This Row],[Water Supply Raw]]="Yes",10,0)</f>
        <v>0</v>
      </c>
      <c r="BD716" s="266">
        <f>_xlfn.XLOOKUP(FMS_Ranking4[[#This Row],[FMS Type]],FMS_TYPE[FMS_Type],FMS_TYPE[Score])</f>
        <v>2</v>
      </c>
      <c r="BE716" s="267">
        <f>FMS_Ranking4[[#This Row],[FMS_Type Score]]*$BD$5*10</f>
        <v>0.5</v>
      </c>
      <c r="BF71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8.7645844738913885E-3</v>
      </c>
      <c r="BG716" s="271">
        <f>_xlfn.RANK.EQ(BF716,$BF$8:$BF$870,0)+COUNTIF($BF$8:BF716,BF716)-1</f>
        <v>670</v>
      </c>
      <c r="BH716" s="268">
        <f>(((FMS_Ranking4[[#This Row],[Structures Removed Raw]]/AK$4)*100)*AK$5)+(((FMS_Ranking4[[#This Row],[Removed Pop Raw]]/AR$4)*100)*AR$5)</f>
        <v>0</v>
      </c>
      <c r="BI71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0.50876458447389139</v>
      </c>
      <c r="BJ716" s="205">
        <f>_xlfn.RANK.EQ(FMS_Ranking4[[#This Row],[Total Score 
(with linear
normalization)]],FMS_Ranking4[Total Score 
(with linear
normalization)],0)</f>
        <v>848</v>
      </c>
      <c r="BK716" s="205" t="e">
        <f>_xlfn.XLOOKUP(FMS_Ranking4[[#This Row],[FMS ID]],#REF!,#REF!)</f>
        <v>#REF!</v>
      </c>
      <c r="BL71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8.012143158623811</v>
      </c>
      <c r="BM716" s="272">
        <f>FMS_Ranking4[[#This Row],[ArcSinh Score Based on Normalized Reported Factors]]+FMS_Ranking4[[#This Row],[% NBS Score (Normalized)]]+(FMS_Ranking4[[#This Row],[Water Supply Score (Normalized)]]*10*$BB$5)+FMS_Ranking4[[#This Row],[FMS_Type Score Weighted]]</f>
        <v>8.512143158623811</v>
      </c>
      <c r="BN716" s="205">
        <f>_xlfn.RANK.EQ(FMS_Ranking4[[#This Row],[Total Score (with ArcSinh normalization of select criteria)]],FMS_Ranking4[Total Score (with ArcSinh normalization of select criteria)],0)</f>
        <v>709</v>
      </c>
      <c r="BO716" s="270" t="str">
        <f>_xlfn.XLOOKUP(FMS_Ranking4[[#This Row],[FMS ID]],FMS_Input[FMS_ID],FMS_Input[FMS_RANK_YEAR])</f>
        <v>2023 Amended Plan</v>
      </c>
      <c r="BP716" s="204">
        <f>_xlfn.XLOOKUP(FMS_Ranking4[[#This Row],[FMS ID]],Prev_Rank[FMS ID],Prev_Rank[Prev Rank])</f>
        <v>639</v>
      </c>
      <c r="BQ716" s="205" t="e">
        <f>_xlfn.XLOOKUP(FMS_Ranking4[[#This Row],[FMS ID]],#REF!,#REF!)</f>
        <v>#REF!</v>
      </c>
      <c r="BR716" s="199" t="e">
        <f>SUM(#REF!,#REF!,#REF!,#REF!,#REF!,#REF!,#REF!,#REF!,#REF!,FMS_Ranking4[[#This Row],[ArcSinh Res struct removed 0-10]],#REF!)</f>
        <v>#REF!</v>
      </c>
      <c r="BS716" s="199" t="e">
        <f>FMS_Ranking4[[#This Row],[Log Score Based on Normalized Reported Factors]]+FMS_Ranking4[[#This Row],[% NBS Score (Normalized)]]+(FMS_Ranking4[[#This Row],[Water Supply Score (Normalized)]]*10*$BB$5)+(FMS_Ranking4[[#This Row],[FMS_Type Score Weighted]])</f>
        <v>#REF!</v>
      </c>
      <c r="BT716" s="200" t="e">
        <f>_xlfn.RANK.EQ(FMS_Ranking4[[#This Row],[Log Total Score]],FMS_Ranking4[Log Total Score],0)</f>
        <v>#REF!</v>
      </c>
      <c r="BU716" s="200" t="e">
        <f>_xlfn.XLOOKUP(FMS_Ranking4[[#This Row],[FMS ID]],#REF!,#REF!)</f>
        <v>#REF!</v>
      </c>
      <c r="BV716" s="200">
        <f>FMS_Ranking4[[#This Row],[Region Number]]</f>
        <v>13</v>
      </c>
      <c r="BW716" s="200">
        <f>FMS_Ranking4[[#This Row],[Rank (with ArcSinh normalization of select criteria)]]-FMS_Ranking4[[#This Row],[Rank
(with linear
normalization)]]</f>
        <v>-139</v>
      </c>
      <c r="BX716" s="200" t="e">
        <f>FMS_Ranking4[[#This Row],[Log Rank]]-FMS_Ranking4[[#This Row],[Rank
(with linear
normalization)]]</f>
        <v>#REF!</v>
      </c>
      <c r="BY716" s="200" t="str">
        <f>IF(FMS_Ranking4[[#This Row],[FMS Type]]="Flood Measurement and Warning",FMS_Ranking4[[#This Row],[Rank (with ArcSinh normalization of select criteria)]],"")</f>
        <v/>
      </c>
      <c r="BZ716" s="200" t="str">
        <f>IF(FMS_Ranking4[[#This Row],[FMS Type]]="Regulatory and Guidance",FMS_Ranking4[[#This Row],[Rank (with ArcSinh normalization of select criteria)]],"")</f>
        <v/>
      </c>
      <c r="CA716" s="200" t="str">
        <f>IF(FMS_Ranking4[[#This Row],[FMS Type]]="Education and Outreach",FMS_Ranking4[[#This Row],[Rank (with ArcSinh normalization of select criteria)]],"")</f>
        <v/>
      </c>
      <c r="CB716" s="200" t="str">
        <f>IF(FMS_Ranking4[[#This Row],[FMS Type]]="Property Acquisition and Structural Elevation",FMS_Ranking4[[#This Row],[Rank (with ArcSinh normalization of select criteria)]],"")</f>
        <v/>
      </c>
      <c r="CC716" s="200" t="str">
        <f>IF(FMS_Ranking4[[#This Row],[FMS Type]]="Infrastructure Projects",FMS_Ranking4[[#This Row],[Rank (with ArcSinh normalization of select criteria)]],"")</f>
        <v/>
      </c>
      <c r="CD716" s="200">
        <f>IF(FMS_Ranking4[[#This Row],[FMS Type]]="Other",FMS_Ranking4[[#This Row],[Rank (with ArcSinh normalization of select criteria)]],"")</f>
        <v>709</v>
      </c>
      <c r="CE716" s="201"/>
      <c r="CF716" s="206"/>
      <c r="CG716" s="206"/>
      <c r="CH716" s="206"/>
      <c r="CI716" s="206"/>
      <c r="CJ716" s="206"/>
      <c r="CK716" s="206"/>
      <c r="CL716" s="206"/>
      <c r="CM716" s="206"/>
      <c r="CN716" s="206"/>
      <c r="CO716" s="206"/>
      <c r="CP716" s="206"/>
      <c r="CQ716" s="206"/>
      <c r="CR716" s="206"/>
    </row>
    <row r="717" spans="2:96" ht="45" x14ac:dyDescent="0.25">
      <c r="B717" s="341" t="s">
        <v>2568</v>
      </c>
      <c r="C717" s="246">
        <f>_xlfn.XLOOKUP(FMS_Ranking4[[#This Row],[FMS ID]],FMS_Input[FMS_ID],FMS_Input[RFPG_NUM])</f>
        <v>4</v>
      </c>
      <c r="D717" s="309" t="str">
        <f>_xlfn.XLOOKUP(FMS_Ranking4[[#This Row],[FMS ID]],FMS_Input[FMS_ID],FMS_Input[FMS_NAME])</f>
        <v>City of Edgewood Flood Infrastructure Maintenance</v>
      </c>
      <c r="E717" s="308" t="str">
        <f>_xlfn.XLOOKUP(FMS_Ranking4[[#This Row],[FMS ID]],FMS_Input[FMS_ID],FMS_Input[SPONSOR])</f>
        <v>04002462</v>
      </c>
      <c r="F717" s="309" t="str">
        <f>_xlfn.XLOOKUP(FMS_Ranking4[[#This Row],[FMS ID]],Sponsor[FMS_ID],Sponsor[SPONSOR NAME])</f>
        <v>Edgewood</v>
      </c>
      <c r="G717" s="309" t="str">
        <f>_xlfn.XLOOKUP(FMS_Ranking4[[#This Row],[FMS ID]],FMS_Input[FMS_ID],FMS_Input[FMS_DESCR])</f>
        <v>Adopt and implement a program for clearing debris from bridges, drains, and culverts</v>
      </c>
      <c r="H717" s="248" t="str">
        <f>_xlfn.XLOOKUP(FMS_Ranking4[[#This Row],[FMS ID]],FMS_Input[FMS_ID],FMS_Input[FMS_TYPE])</f>
        <v>Other</v>
      </c>
      <c r="I717" s="249">
        <f>_xlfn.XLOOKUP(FMS_Ranking4[[#This Row],[FMS ID]],FMS_Input[FMS_ID],FMS_Input[NRNC_COST])</f>
        <v>100000</v>
      </c>
      <c r="J717" s="250">
        <f>_xlfn.XLOOKUP(FMS_Ranking4[[#This Row],[FMS ID]],FMS_Input[FMS_ID],FMS_Input[FMS_COST])</f>
        <v>100000</v>
      </c>
      <c r="K717" s="251" t="str">
        <f>_xlfn.XLOOKUP(FMS_Ranking4[[#This Row],[FMS ID]],FMS_Input[FMS_ID],FMS_Input[EMER_NEED])</f>
        <v>No</v>
      </c>
      <c r="L717" s="252">
        <f t="shared" si="11"/>
        <v>0</v>
      </c>
      <c r="M717" s="253">
        <f>_xlfn.XLOOKUP(FMS_Ranking4[[#This Row],[FMS ID]],FMS_Input[FMS_ID],FMS_Input[STRUCT_100])</f>
        <v>27</v>
      </c>
      <c r="N717" s="255">
        <f>(ASINH(FMS_Ranking4[[#This Row],[Structure at Risk Raw]]))*(10)/(ASINH(M$4))</f>
        <v>3.1362048544087462</v>
      </c>
      <c r="O717" s="256">
        <f>FMS_Ranking4[[#This Row],[Structures at risk, ArcSinh (0-10)]]*M$5*10</f>
        <v>3.1362048544087462</v>
      </c>
      <c r="P717" s="253">
        <f>_xlfn.XLOOKUP(FMS_Ranking4[[#This Row],[FMS ID]],FMS_Input[FMS_ID],FMS_Input[RES_STRUCT100])</f>
        <v>11</v>
      </c>
      <c r="Q717" s="257">
        <f>ASINH(FMS_Ranking4[[#This Row],[Res Structure Raw]])/Q$4*P$5*100</f>
        <v>0</v>
      </c>
      <c r="R717" s="253">
        <f>_xlfn.XLOOKUP(FMS_Ranking4[[#This Row],[FMS ID]],FMS_Input[FMS_ID],FMS_Input[POP100])</f>
        <v>22</v>
      </c>
      <c r="S717" s="259">
        <f>(ASINH(FMS_Ranking4[[#This Row],[Pop at Risk Raw]]))*(10)/(ASINH(R$4))</f>
        <v>2.6128027260073838</v>
      </c>
      <c r="T717" s="256">
        <f>FMS_Ranking4[[#This Row],[Population at risk, ArcSinh (0-10)]]*R$5*10</f>
        <v>2.6128027260073838</v>
      </c>
      <c r="U717" s="253">
        <f>_xlfn.XLOOKUP(FMS_Ranking4[[#This Row],[FMS ID]],FMS_Input[FMS_ID],FMS_Input[CRITFAC100])</f>
        <v>0</v>
      </c>
      <c r="V717" s="259">
        <f>(ASINH(FMS_Ranking4[[#This Row],[Critical Facilities Raw]]))*(10)/(ASINH(U$4))</f>
        <v>0</v>
      </c>
      <c r="W717" s="256">
        <f>FMS_Ranking4[[#This Row],[Critical facilities at risk, ArcSinh (0-10)]]*U$5*10</f>
        <v>0</v>
      </c>
      <c r="X717" s="253">
        <f>_xlfn.XLOOKUP(FMS_Ranking4[[#This Row],[FMS ID]],FMS_Input[FMS_ID],FMS_Input[LWC])</f>
        <v>0</v>
      </c>
      <c r="Y717" s="259">
        <f>(ASINH(FMS_Ranking4[[#This Row],[LWC Raw]]))*(10)/(ASINH(X$4))</f>
        <v>0</v>
      </c>
      <c r="Z717" s="256">
        <f>FMS_Ranking4[[#This Row],[LWC, ArcSInh (0-10)]]*X$5*10</f>
        <v>0</v>
      </c>
      <c r="AA717" s="253">
        <f>_xlfn.XLOOKUP(FMS_Ranking4[[#This Row],[FMS ID]],FMS_Input[FMS_ID],FMS_Input[ROADCLS])</f>
        <v>0</v>
      </c>
      <c r="AB717" s="255">
        <f>(ASINH(FMS_Ranking4[[#This Row],[Road Closures Raw]]))*(10)/(ASINH(AA$4))</f>
        <v>0</v>
      </c>
      <c r="AC717" s="256">
        <f>FMS_Ranking4[[#This Row],[Road closures, ArcSinh (0-10)]]*AA$5*10</f>
        <v>0</v>
      </c>
      <c r="AD717" s="253">
        <f>_xlfn.XLOOKUP(FMS_Ranking4[[#This Row],[FMS ID]],FMS_Input[FMS_ID],FMS_Input[ROAD_MILES100])</f>
        <v>1</v>
      </c>
      <c r="AE717" s="259">
        <f>(ASINH(FMS_Ranking4[[#This Row],[Road Miles Raw]]))*(10)/(ASINH(AD$4))</f>
        <v>0.9393017565219649</v>
      </c>
      <c r="AF717" s="256">
        <f>FMS_Ranking4[[#This Row],[Length of roads at risk, ArcSinh (0-10)]]*AD$5*10</f>
        <v>0.93930175652196501</v>
      </c>
      <c r="AG717" s="253">
        <f>_xlfn.XLOOKUP(FMS_Ranking4[[#This Row],[FMS ID]],FMS_Input[FMS_ID],FMS_Input[FARMACRE100])</f>
        <v>28.89719200134277</v>
      </c>
      <c r="AH717" s="255">
        <f>(ASINH(FMS_Ranking4[[#This Row],[Ag Land Raw]]))*(10)/(ASINH(AG$4))</f>
        <v>2.635475998904699</v>
      </c>
      <c r="AI717" s="260">
        <f>FMS_Ranking4[[#This Row],[Farm &amp; ranch land, ArcSinh (0-10)]]*AG$5*10</f>
        <v>1.3177379994523495</v>
      </c>
      <c r="AJ717" s="258">
        <f>_xlfn.XLOOKUP(FMS_Ranking4[[#This Row],[FMS ID]],FMS_Input[FMS_ID],FMS_Input[REDSTRUCT100])</f>
        <v>0</v>
      </c>
      <c r="AK717" s="253">
        <f>_xlfn.XLOOKUP(FMS_Ranking4[[#This Row],[FMS ID]],FMS_Input[FMS_ID],FMS_Input[REMSTRC100])</f>
        <v>0</v>
      </c>
      <c r="AL717" s="259">
        <f>(ASINH(FMS_Ranking4[[#This Row],[Structures Removed Raw]]))*(10)/(ASINH(AK$4))</f>
        <v>0</v>
      </c>
      <c r="AM717" s="262">
        <f>FMS_Ranking4[[#This Row],[Structures removed, ArcSinh (0-10)]]*AK$5*10</f>
        <v>0</v>
      </c>
      <c r="AN717" s="253">
        <f>_xlfn.XLOOKUP(FMS_Ranking4[[#This Row],[FMS ID]],FMS_Input[FMS_ID],FMS_Input[REMRESSTRC100])</f>
        <v>0</v>
      </c>
      <c r="AO717" s="261">
        <f>FMS_Ranking4[[#This Row],[ArcSinh Res struct removed 0-10]]*AN$5*10</f>
        <v>0</v>
      </c>
      <c r="AP717" s="260">
        <f>ASINH(FMS_Ranking4[[#This Row],[Residential Structures Removed Raw]])/AP$4*AN$5*100</f>
        <v>0</v>
      </c>
      <c r="AQ717" s="254">
        <f>(ASINH(FMS_Ranking4[[#This Row],[Residential Structures Removed Raw]]))*(10)/(ASINH(AN$4))</f>
        <v>0</v>
      </c>
      <c r="AR717" s="253">
        <f>_xlfn.XLOOKUP(FMS_Ranking4[[#This Row],[FMS ID]],FMS_Input[FMS_ID],FMS_Input[REMPOP100])</f>
        <v>0</v>
      </c>
      <c r="AS717" s="259">
        <f>(ASINH(FMS_Ranking4[[#This Row],[Removed Pop Raw]]))*(10)/(ASINH(AR$4))</f>
        <v>0</v>
      </c>
      <c r="AT717" s="262">
        <f>FMS_Ranking4[[#This Row],[Removed population, ArcSinh (0-10)]]*AR$5*10</f>
        <v>0</v>
      </c>
      <c r="AU717" s="264">
        <f>_xlfn.XLOOKUP(FMS_Ranking4[[#This Row],[FMS ID]],FMS_Input[FMS_ID],FMS_Input[REMCRITFAC100])</f>
        <v>0</v>
      </c>
      <c r="AV717" s="264">
        <f>_xlfn.XLOOKUP(FMS_Ranking4[[#This Row],[FMS ID]],FMS_Input[FMS_ID],FMS_Input[REMLWC100])</f>
        <v>0</v>
      </c>
      <c r="AW717" s="264">
        <f>_xlfn.XLOOKUP(FMS_Ranking4[[#This Row],[FMS ID]],FMS_Input[FMS_ID],FMS_Input[REMROADCLS])</f>
        <v>0</v>
      </c>
      <c r="AX717" s="264">
        <f>_xlfn.XLOOKUP(FMS_Ranking4[[#This Row],[FMS ID]],FMS_Input[FMS_ID],FMS_Input[REMFRMACRE100])</f>
        <v>0</v>
      </c>
      <c r="AY717" s="258">
        <f>_xlfn.XLOOKUP(FMS_Ranking4[[#This Row],[FMS ID]],FMS_Input[FMS_ID],FMS_Input[COSTSTRUCT])</f>
        <v>0</v>
      </c>
      <c r="AZ717" s="253">
        <f>_xlfn.XLOOKUP(FMS_Ranking4[[#This Row],[FMS ID]],FMS_Input[FMS_ID],FMS_Input[NATURE])</f>
        <v>0</v>
      </c>
      <c r="BA717" s="262">
        <f>(((FMS_Ranking4[[#This Row],[% NBS Raw]]/AZ$4)*100)*AZ$5)</f>
        <v>0</v>
      </c>
      <c r="BB717" s="251" t="str">
        <f>_xlfn.XLOOKUP(FMS_Ranking4[[#This Row],[FMS ID]],FMS_Input[FMS_ID],FMS_Input[WATER_SUP])</f>
        <v>No</v>
      </c>
      <c r="BC717" s="265">
        <f>IF(FMS_Ranking4[[#This Row],[Water Supply Raw]]="Yes",10,0)</f>
        <v>0</v>
      </c>
      <c r="BD717" s="266">
        <f>_xlfn.XLOOKUP(FMS_Ranking4[[#This Row],[FMS Type]],FMS_TYPE[FMS_Type],FMS_TYPE[Score])</f>
        <v>2</v>
      </c>
      <c r="BE717" s="267">
        <f>FMS_Ranking4[[#This Row],[FMS_Type Score]]*$BD$5*10</f>
        <v>0.5</v>
      </c>
      <c r="BF71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3.5817632504217675E-3</v>
      </c>
      <c r="BG717" s="271">
        <f>_xlfn.RANK.EQ(BF717,$BF$8:$BF$870,0)+COUNTIF($BF$8:BF717,BF717)-1</f>
        <v>704</v>
      </c>
      <c r="BH717" s="268">
        <f>(((FMS_Ranking4[[#This Row],[Structures Removed Raw]]/AK$4)*100)*AK$5)+(((FMS_Ranking4[[#This Row],[Removed Pop Raw]]/AR$4)*100)*AR$5)</f>
        <v>0</v>
      </c>
      <c r="BI71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0.50358176325042181</v>
      </c>
      <c r="BJ717" s="205">
        <f>_xlfn.RANK.EQ(FMS_Ranking4[[#This Row],[Total Score 
(with linear
normalization)]],FMS_Ranking4[Total Score 
(with linear
normalization)],0)</f>
        <v>854</v>
      </c>
      <c r="BK717" s="205" t="e">
        <f>_xlfn.XLOOKUP(FMS_Ranking4[[#This Row],[FMS ID]],#REF!,#REF!)</f>
        <v>#REF!</v>
      </c>
      <c r="BL71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8.006047336390445</v>
      </c>
      <c r="BM717" s="272">
        <f>FMS_Ranking4[[#This Row],[ArcSinh Score Based on Normalized Reported Factors]]+FMS_Ranking4[[#This Row],[% NBS Score (Normalized)]]+(FMS_Ranking4[[#This Row],[Water Supply Score (Normalized)]]*10*$BB$5)+FMS_Ranking4[[#This Row],[FMS_Type Score Weighted]]</f>
        <v>8.506047336390445</v>
      </c>
      <c r="BN717" s="205">
        <f>_xlfn.RANK.EQ(FMS_Ranking4[[#This Row],[Total Score (with ArcSinh normalization of select criteria)]],FMS_Ranking4[Total Score (with ArcSinh normalization of select criteria)],0)</f>
        <v>710</v>
      </c>
      <c r="BO717" s="270" t="str">
        <f>_xlfn.XLOOKUP(FMS_Ranking4[[#This Row],[FMS ID]],FMS_Input[FMS_ID],FMS_Input[FMS_RANK_YEAR])</f>
        <v>2023 Amended Plan</v>
      </c>
      <c r="BP717" s="204">
        <f>_xlfn.XLOOKUP(FMS_Ranking4[[#This Row],[FMS ID]],Prev_Rank[FMS ID],Prev_Rank[Prev Rank])</f>
        <v>640</v>
      </c>
      <c r="BQ717" s="205" t="e">
        <f>_xlfn.XLOOKUP(FMS_Ranking4[[#This Row],[FMS ID]],#REF!,#REF!)</f>
        <v>#REF!</v>
      </c>
      <c r="BR717" s="199" t="e">
        <f>SUM(#REF!,#REF!,#REF!,#REF!,#REF!,#REF!,#REF!,#REF!,#REF!,FMS_Ranking4[[#This Row],[ArcSinh Res struct removed 0-10]],#REF!)</f>
        <v>#REF!</v>
      </c>
      <c r="BS717" s="199" t="e">
        <f>FMS_Ranking4[[#This Row],[Log Score Based on Normalized Reported Factors]]+FMS_Ranking4[[#This Row],[% NBS Score (Normalized)]]+(FMS_Ranking4[[#This Row],[Water Supply Score (Normalized)]]*10*$BB$5)+(FMS_Ranking4[[#This Row],[FMS_Type Score Weighted]])</f>
        <v>#REF!</v>
      </c>
      <c r="BT717" s="200" t="e">
        <f>_xlfn.RANK.EQ(FMS_Ranking4[[#This Row],[Log Total Score]],FMS_Ranking4[Log Total Score],0)</f>
        <v>#REF!</v>
      </c>
      <c r="BU717" s="200" t="e">
        <f>_xlfn.XLOOKUP(FMS_Ranking4[[#This Row],[FMS ID]],#REF!,#REF!)</f>
        <v>#REF!</v>
      </c>
      <c r="BV717" s="200">
        <f>FMS_Ranking4[[#This Row],[Region Number]]</f>
        <v>4</v>
      </c>
      <c r="BW717" s="200">
        <f>FMS_Ranking4[[#This Row],[Rank (with ArcSinh normalization of select criteria)]]-FMS_Ranking4[[#This Row],[Rank
(with linear
normalization)]]</f>
        <v>-144</v>
      </c>
      <c r="BX717" s="200" t="e">
        <f>FMS_Ranking4[[#This Row],[Log Rank]]-FMS_Ranking4[[#This Row],[Rank
(with linear
normalization)]]</f>
        <v>#REF!</v>
      </c>
      <c r="BY717" s="200" t="str">
        <f>IF(FMS_Ranking4[[#This Row],[FMS Type]]="Flood Measurement and Warning",FMS_Ranking4[[#This Row],[Rank (with ArcSinh normalization of select criteria)]],"")</f>
        <v/>
      </c>
      <c r="BZ717" s="200" t="str">
        <f>IF(FMS_Ranking4[[#This Row],[FMS Type]]="Regulatory and Guidance",FMS_Ranking4[[#This Row],[Rank (with ArcSinh normalization of select criteria)]],"")</f>
        <v/>
      </c>
      <c r="CA717" s="200" t="str">
        <f>IF(FMS_Ranking4[[#This Row],[FMS Type]]="Education and Outreach",FMS_Ranking4[[#This Row],[Rank (with ArcSinh normalization of select criteria)]],"")</f>
        <v/>
      </c>
      <c r="CB717" s="200" t="str">
        <f>IF(FMS_Ranking4[[#This Row],[FMS Type]]="Property Acquisition and Structural Elevation",FMS_Ranking4[[#This Row],[Rank (with ArcSinh normalization of select criteria)]],"")</f>
        <v/>
      </c>
      <c r="CC717" s="200" t="str">
        <f>IF(FMS_Ranking4[[#This Row],[FMS Type]]="Infrastructure Projects",FMS_Ranking4[[#This Row],[Rank (with ArcSinh normalization of select criteria)]],"")</f>
        <v/>
      </c>
      <c r="CD717" s="200">
        <f>IF(FMS_Ranking4[[#This Row],[FMS Type]]="Other",FMS_Ranking4[[#This Row],[Rank (with ArcSinh normalization of select criteria)]],"")</f>
        <v>710</v>
      </c>
      <c r="CE717" s="201"/>
      <c r="CF717" s="206"/>
      <c r="CG717" s="206"/>
      <c r="CH717" s="206"/>
      <c r="CI717" s="206"/>
      <c r="CJ717" s="206"/>
      <c r="CK717" s="206"/>
      <c r="CL717" s="206"/>
      <c r="CM717" s="206"/>
      <c r="CN717" s="206"/>
      <c r="CO717" s="206"/>
      <c r="CP717" s="206"/>
      <c r="CQ717" s="206"/>
      <c r="CR717" s="206"/>
    </row>
    <row r="718" spans="2:96" ht="45" x14ac:dyDescent="0.25">
      <c r="B718" s="341" t="s">
        <v>3089</v>
      </c>
      <c r="C718" s="246">
        <f>_xlfn.XLOOKUP(FMS_Ranking4[[#This Row],[FMS ID]],FMS_Input[FMS_ID],FMS_Input[RFPG_NUM])</f>
        <v>7</v>
      </c>
      <c r="D718" s="309" t="str">
        <f>_xlfn.XLOOKUP(FMS_Ranking4[[#This Row],[FMS ID]],FMS_Input[FMS_ID],FMS_Input[FMS_NAME])</f>
        <v>Town of Impact NFIP Participation</v>
      </c>
      <c r="E718" s="308" t="str">
        <f>_xlfn.XLOOKUP(FMS_Ranking4[[#This Row],[FMS ID]],FMS_Input[FMS_ID],FMS_Input[SPONSOR])</f>
        <v>07003516</v>
      </c>
      <c r="F718" s="309" t="str">
        <f>_xlfn.XLOOKUP(FMS_Ranking4[[#This Row],[FMS ID]],Sponsor[FMS_ID],Sponsor[SPONSOR NAME])</f>
        <v>Impact</v>
      </c>
      <c r="G718" s="309" t="str">
        <f>_xlfn.XLOOKUP(FMS_Ranking4[[#This Row],[FMS ID]],FMS_Input[FMS_ID],FMS_Input[FMS_DESCR])</f>
        <v>Application to join NFIP or adoption of equivalent standards.</v>
      </c>
      <c r="H718" s="248" t="str">
        <f>_xlfn.XLOOKUP(FMS_Ranking4[[#This Row],[FMS ID]],FMS_Input[FMS_ID],FMS_Input[FMS_TYPE])</f>
        <v>Regulatory and Guidance</v>
      </c>
      <c r="I718" s="249">
        <f>_xlfn.XLOOKUP(FMS_Ranking4[[#This Row],[FMS ID]],FMS_Input[FMS_ID],FMS_Input[NRNC_COST])</f>
        <v>50000</v>
      </c>
      <c r="J718" s="250">
        <f>_xlfn.XLOOKUP(FMS_Ranking4[[#This Row],[FMS ID]],FMS_Input[FMS_ID],FMS_Input[FMS_COST])</f>
        <v>50000</v>
      </c>
      <c r="K718" s="251" t="str">
        <f>_xlfn.XLOOKUP(FMS_Ranking4[[#This Row],[FMS ID]],FMS_Input[FMS_ID],FMS_Input[EMER_NEED])</f>
        <v>No</v>
      </c>
      <c r="L718" s="252">
        <f t="shared" si="11"/>
        <v>0</v>
      </c>
      <c r="M718" s="253">
        <f>_xlfn.XLOOKUP(FMS_Ranking4[[#This Row],[FMS ID]],FMS_Input[FMS_ID],FMS_Input[STRUCT_100])</f>
        <v>18</v>
      </c>
      <c r="N718" s="255">
        <f>(ASINH(FMS_Ranking4[[#This Row],[Structure at Risk Raw]]))*(10)/(ASINH(M$4))</f>
        <v>2.8177853439774103</v>
      </c>
      <c r="O718" s="256">
        <f>FMS_Ranking4[[#This Row],[Structures at risk, ArcSinh (0-10)]]*M$5*10</f>
        <v>2.8177853439774103</v>
      </c>
      <c r="P718" s="253">
        <f>_xlfn.XLOOKUP(FMS_Ranking4[[#This Row],[FMS ID]],FMS_Input[FMS_ID],FMS_Input[RES_STRUCT100])</f>
        <v>16</v>
      </c>
      <c r="Q718" s="257">
        <f>ASINH(FMS_Ranking4[[#This Row],[Res Structure Raw]])/Q$4*P$5*100</f>
        <v>0</v>
      </c>
      <c r="R718" s="253">
        <f>_xlfn.XLOOKUP(FMS_Ranking4[[#This Row],[FMS ID]],FMS_Input[FMS_ID],FMS_Input[POP100])</f>
        <v>24</v>
      </c>
      <c r="S718" s="259">
        <f>(ASINH(FMS_Ranking4[[#This Row],[Pop at Risk Raw]]))*(10)/(ASINH(R$4))</f>
        <v>2.6728148709004498</v>
      </c>
      <c r="T718" s="256">
        <f>FMS_Ranking4[[#This Row],[Population at risk, ArcSinh (0-10)]]*R$5*10</f>
        <v>2.6728148709004502</v>
      </c>
      <c r="U718" s="253">
        <f>_xlfn.XLOOKUP(FMS_Ranking4[[#This Row],[FMS ID]],FMS_Input[FMS_ID],FMS_Input[CRITFAC100])</f>
        <v>0</v>
      </c>
      <c r="V718" s="259">
        <f>(ASINH(FMS_Ranking4[[#This Row],[Critical Facilities Raw]]))*(10)/(ASINH(U$4))</f>
        <v>0</v>
      </c>
      <c r="W718" s="256">
        <f>FMS_Ranking4[[#This Row],[Critical facilities at risk, ArcSinh (0-10)]]*U$5*10</f>
        <v>0</v>
      </c>
      <c r="X718" s="253">
        <f>_xlfn.XLOOKUP(FMS_Ranking4[[#This Row],[FMS ID]],FMS_Input[FMS_ID],FMS_Input[LWC])</f>
        <v>0</v>
      </c>
      <c r="Y718" s="259">
        <f>(ASINH(FMS_Ranking4[[#This Row],[LWC Raw]]))*(10)/(ASINH(X$4))</f>
        <v>0</v>
      </c>
      <c r="Z718" s="256">
        <f>FMS_Ranking4[[#This Row],[LWC, ArcSInh (0-10)]]*X$5*10</f>
        <v>0</v>
      </c>
      <c r="AA718" s="253">
        <f>_xlfn.XLOOKUP(FMS_Ranking4[[#This Row],[FMS ID]],FMS_Input[FMS_ID],FMS_Input[ROADCLS])</f>
        <v>0</v>
      </c>
      <c r="AB718" s="255">
        <f>(ASINH(FMS_Ranking4[[#This Row],[Road Closures Raw]]))*(10)/(ASINH(AA$4))</f>
        <v>0</v>
      </c>
      <c r="AC718" s="256">
        <f>FMS_Ranking4[[#This Row],[Road closures, ArcSinh (0-10)]]*AA$5*10</f>
        <v>0</v>
      </c>
      <c r="AD718" s="253">
        <f>_xlfn.XLOOKUP(FMS_Ranking4[[#This Row],[FMS ID]],FMS_Input[FMS_ID],FMS_Input[ROAD_MILES100])</f>
        <v>1</v>
      </c>
      <c r="AE718" s="259">
        <f>(ASINH(FMS_Ranking4[[#This Row],[Road Miles Raw]]))*(10)/(ASINH(AD$4))</f>
        <v>0.9393017565219649</v>
      </c>
      <c r="AF718" s="256">
        <f>FMS_Ranking4[[#This Row],[Length of roads at risk, ArcSinh (0-10)]]*AD$5*10</f>
        <v>0.93930175652196501</v>
      </c>
      <c r="AG718" s="253">
        <f>_xlfn.XLOOKUP(FMS_Ranking4[[#This Row],[FMS ID]],FMS_Input[FMS_ID],FMS_Input[FARMACRE100])</f>
        <v>0</v>
      </c>
      <c r="AH718" s="255">
        <f>(ASINH(FMS_Ranking4[[#This Row],[Ag Land Raw]]))*(10)/(ASINH(AG$4))</f>
        <v>0</v>
      </c>
      <c r="AI718" s="260">
        <f>FMS_Ranking4[[#This Row],[Farm &amp; ranch land, ArcSinh (0-10)]]*AG$5*10</f>
        <v>0</v>
      </c>
      <c r="AJ718" s="258">
        <f>_xlfn.XLOOKUP(FMS_Ranking4[[#This Row],[FMS ID]],FMS_Input[FMS_ID],FMS_Input[REDSTRUCT100])</f>
        <v>0</v>
      </c>
      <c r="AK718" s="253">
        <f>_xlfn.XLOOKUP(FMS_Ranking4[[#This Row],[FMS ID]],FMS_Input[FMS_ID],FMS_Input[REMSTRC100])</f>
        <v>0</v>
      </c>
      <c r="AL718" s="259">
        <f>(ASINH(FMS_Ranking4[[#This Row],[Structures Removed Raw]]))*(10)/(ASINH(AK$4))</f>
        <v>0</v>
      </c>
      <c r="AM718" s="262">
        <f>FMS_Ranking4[[#This Row],[Structures removed, ArcSinh (0-10)]]*AK$5*10</f>
        <v>0</v>
      </c>
      <c r="AN718" s="253">
        <f>_xlfn.XLOOKUP(FMS_Ranking4[[#This Row],[FMS ID]],FMS_Input[FMS_ID],FMS_Input[REMRESSTRC100])</f>
        <v>0</v>
      </c>
      <c r="AO718" s="261">
        <f>FMS_Ranking4[[#This Row],[ArcSinh Res struct removed 0-10]]*AN$5*10</f>
        <v>0</v>
      </c>
      <c r="AP718" s="260">
        <f>ASINH(FMS_Ranking4[[#This Row],[Residential Structures Removed Raw]])/AP$4*AN$5*100</f>
        <v>0</v>
      </c>
      <c r="AQ718" s="254">
        <f>(ASINH(FMS_Ranking4[[#This Row],[Residential Structures Removed Raw]]))*(10)/(ASINH(AN$4))</f>
        <v>0</v>
      </c>
      <c r="AR718" s="253">
        <f>_xlfn.XLOOKUP(FMS_Ranking4[[#This Row],[FMS ID]],FMS_Input[FMS_ID],FMS_Input[REMPOP100])</f>
        <v>0</v>
      </c>
      <c r="AS718" s="259">
        <f>(ASINH(FMS_Ranking4[[#This Row],[Removed Pop Raw]]))*(10)/(ASINH(AR$4))</f>
        <v>0</v>
      </c>
      <c r="AT718" s="262">
        <f>FMS_Ranking4[[#This Row],[Removed population, ArcSinh (0-10)]]*AR$5*10</f>
        <v>0</v>
      </c>
      <c r="AU718" s="264">
        <f>_xlfn.XLOOKUP(FMS_Ranking4[[#This Row],[FMS ID]],FMS_Input[FMS_ID],FMS_Input[REMCRITFAC100])</f>
        <v>0</v>
      </c>
      <c r="AV718" s="264">
        <f>_xlfn.XLOOKUP(FMS_Ranking4[[#This Row],[FMS ID]],FMS_Input[FMS_ID],FMS_Input[REMLWC100])</f>
        <v>0</v>
      </c>
      <c r="AW718" s="264">
        <f>_xlfn.XLOOKUP(FMS_Ranking4[[#This Row],[FMS ID]],FMS_Input[FMS_ID],FMS_Input[REMROADCLS])</f>
        <v>0</v>
      </c>
      <c r="AX718" s="264">
        <f>_xlfn.XLOOKUP(FMS_Ranking4[[#This Row],[FMS ID]],FMS_Input[FMS_ID],FMS_Input[REMFRMACRE100])</f>
        <v>0</v>
      </c>
      <c r="AY718" s="258">
        <f>_xlfn.XLOOKUP(FMS_Ranking4[[#This Row],[FMS ID]],FMS_Input[FMS_ID],FMS_Input[COSTSTRUCT])</f>
        <v>0</v>
      </c>
      <c r="AZ718" s="253">
        <f>_xlfn.XLOOKUP(FMS_Ranking4[[#This Row],[FMS ID]],FMS_Input[FMS_ID],FMS_Input[NATURE])</f>
        <v>0</v>
      </c>
      <c r="BA718" s="262">
        <f>(((FMS_Ranking4[[#This Row],[% NBS Raw]]/AZ$4)*100)*AZ$5)</f>
        <v>0</v>
      </c>
      <c r="BB718" s="251" t="str">
        <f>_xlfn.XLOOKUP(FMS_Ranking4[[#This Row],[FMS ID]],FMS_Input[FMS_ID],FMS_Input[WATER_SUP])</f>
        <v>No</v>
      </c>
      <c r="BC718" s="265">
        <f>IF(FMS_Ranking4[[#This Row],[Water Supply Raw]]="Yes",10,0)</f>
        <v>0</v>
      </c>
      <c r="BD718" s="266">
        <f>_xlfn.XLOOKUP(FMS_Ranking4[[#This Row],[FMS Type]],FMS_TYPE[FMS_Type],FMS_TYPE[Score])</f>
        <v>8</v>
      </c>
      <c r="BE718" s="267">
        <f>FMS_Ranking4[[#This Row],[FMS_Type Score]]*$BD$5*10</f>
        <v>2</v>
      </c>
      <c r="BF71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3.0044574644791525E-3</v>
      </c>
      <c r="BG718" s="269">
        <f>_xlfn.RANK.EQ(BF718,$BF$8:$BF$870,0)+COUNTIF($BF$8:BF718,BF718)-1</f>
        <v>712</v>
      </c>
      <c r="BH718" s="268">
        <f>(((FMS_Ranking4[[#This Row],[Structures Removed Raw]]/AK$4)*100)*AK$5)+(((FMS_Ranking4[[#This Row],[Removed Pop Raw]]/AR$4)*100)*AR$5)</f>
        <v>0</v>
      </c>
      <c r="BI71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2.003004457464479</v>
      </c>
      <c r="BJ718" s="204">
        <f>_xlfn.RANK.EQ(FMS_Ranking4[[#This Row],[Total Score 
(with linear
normalization)]],FMS_Ranking4[Total Score 
(with linear
normalization)],0)</f>
        <v>445</v>
      </c>
      <c r="BK718" s="204" t="e">
        <f>_xlfn.XLOOKUP(FMS_Ranking4[[#This Row],[FMS ID]],#REF!,#REF!)</f>
        <v>#REF!</v>
      </c>
      <c r="BL718"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6.4299019713998256</v>
      </c>
      <c r="BM718" s="270">
        <f>FMS_Ranking4[[#This Row],[ArcSinh Score Based on Normalized Reported Factors]]+FMS_Ranking4[[#This Row],[% NBS Score (Normalized)]]+(FMS_Ranking4[[#This Row],[Water Supply Score (Normalized)]]*10*$BB$5)+FMS_Ranking4[[#This Row],[FMS_Type Score Weighted]]</f>
        <v>8.4299019713998256</v>
      </c>
      <c r="BN718" s="204">
        <f>_xlfn.RANK.EQ(FMS_Ranking4[[#This Row],[Total Score (with ArcSinh normalization of select criteria)]],FMS_Ranking4[Total Score (with ArcSinh normalization of select criteria)],0)</f>
        <v>711</v>
      </c>
      <c r="BO718" s="270" t="str">
        <f>_xlfn.XLOOKUP(FMS_Ranking4[[#This Row],[FMS ID]],FMS_Input[FMS_ID],FMS_Input[FMS_RANK_YEAR])</f>
        <v>2023 Amended Plan</v>
      </c>
      <c r="BP718" s="204">
        <f>_xlfn.XLOOKUP(FMS_Ranking4[[#This Row],[FMS ID]],Prev_Rank[FMS ID],Prev_Rank[Prev Rank])</f>
        <v>641</v>
      </c>
      <c r="BQ718" s="204" t="e">
        <f>_xlfn.XLOOKUP(FMS_Ranking4[[#This Row],[FMS ID]],#REF!,#REF!)</f>
        <v>#REF!</v>
      </c>
      <c r="BR718" s="199" t="e">
        <f>SUM(#REF!,#REF!,#REF!,#REF!,#REF!,#REF!,#REF!,#REF!,#REF!,FMS_Ranking4[[#This Row],[ArcSinh Res struct removed 0-10]],#REF!)</f>
        <v>#REF!</v>
      </c>
      <c r="BS718" s="199" t="e">
        <f>FMS_Ranking4[[#This Row],[Log Score Based on Normalized Reported Factors]]+FMS_Ranking4[[#This Row],[% NBS Score (Normalized)]]+(FMS_Ranking4[[#This Row],[Water Supply Score (Normalized)]]*10*$BB$5)+(FMS_Ranking4[[#This Row],[FMS_Type Score Weighted]])</f>
        <v>#REF!</v>
      </c>
      <c r="BT718" s="200" t="e">
        <f>_xlfn.RANK.EQ(FMS_Ranking4[[#This Row],[Log Total Score]],FMS_Ranking4[Log Total Score],0)</f>
        <v>#REF!</v>
      </c>
      <c r="BU718" s="200" t="e">
        <f>_xlfn.XLOOKUP(FMS_Ranking4[[#This Row],[FMS ID]],#REF!,#REF!)</f>
        <v>#REF!</v>
      </c>
      <c r="BV718" s="200">
        <f>FMS_Ranking4[[#This Row],[Region Number]]</f>
        <v>7</v>
      </c>
      <c r="BW718" s="200">
        <f>FMS_Ranking4[[#This Row],[Rank (with ArcSinh normalization of select criteria)]]-FMS_Ranking4[[#This Row],[Rank
(with linear
normalization)]]</f>
        <v>266</v>
      </c>
      <c r="BX718" s="200" t="e">
        <f>FMS_Ranking4[[#This Row],[Log Rank]]-FMS_Ranking4[[#This Row],[Rank
(with linear
normalization)]]</f>
        <v>#REF!</v>
      </c>
      <c r="BY718" s="200" t="str">
        <f>IF(FMS_Ranking4[[#This Row],[FMS Type]]="Flood Measurement and Warning",FMS_Ranking4[[#This Row],[Rank (with ArcSinh normalization of select criteria)]],"")</f>
        <v/>
      </c>
      <c r="BZ718" s="200">
        <f>IF(FMS_Ranking4[[#This Row],[FMS Type]]="Regulatory and Guidance",FMS_Ranking4[[#This Row],[Rank (with ArcSinh normalization of select criteria)]],"")</f>
        <v>711</v>
      </c>
      <c r="CA718" s="200" t="str">
        <f>IF(FMS_Ranking4[[#This Row],[FMS Type]]="Education and Outreach",FMS_Ranking4[[#This Row],[Rank (with ArcSinh normalization of select criteria)]],"")</f>
        <v/>
      </c>
      <c r="CB718" s="200" t="str">
        <f>IF(FMS_Ranking4[[#This Row],[FMS Type]]="Property Acquisition and Structural Elevation",FMS_Ranking4[[#This Row],[Rank (with ArcSinh normalization of select criteria)]],"")</f>
        <v/>
      </c>
      <c r="CC718" s="200" t="str">
        <f>IF(FMS_Ranking4[[#This Row],[FMS Type]]="Infrastructure Projects",FMS_Ranking4[[#This Row],[Rank (with ArcSinh normalization of select criteria)]],"")</f>
        <v/>
      </c>
      <c r="CD718" s="200" t="str">
        <f>IF(FMS_Ranking4[[#This Row],[FMS Type]]="Other",FMS_Ranking4[[#This Row],[Rank (with ArcSinh normalization of select criteria)]],"")</f>
        <v/>
      </c>
      <c r="CE718" s="201"/>
      <c r="CF718" s="206"/>
      <c r="CG718" s="206"/>
      <c r="CH718" s="206"/>
      <c r="CI718" s="206"/>
      <c r="CJ718" s="206"/>
      <c r="CK718" s="206"/>
      <c r="CL718" s="206"/>
      <c r="CM718" s="206"/>
      <c r="CN718" s="206"/>
      <c r="CO718" s="206"/>
      <c r="CP718" s="206"/>
      <c r="CQ718" s="206"/>
      <c r="CR718" s="206"/>
    </row>
    <row r="719" spans="2:96" ht="105" x14ac:dyDescent="0.25">
      <c r="B719" s="341" t="s">
        <v>2223</v>
      </c>
      <c r="C719" s="246">
        <f>_xlfn.XLOOKUP(FMS_Ranking4[[#This Row],[FMS ID]],FMS_Input[FMS_ID],FMS_Input[RFPG_NUM])</f>
        <v>3</v>
      </c>
      <c r="D719" s="309" t="str">
        <f>_xlfn.XLOOKUP(FMS_Ranking4[[#This Row],[FMS ID]],FMS_Input[FMS_ID],FMS_Input[FMS_NAME])</f>
        <v>City of Chico Property Acquisition Program</v>
      </c>
      <c r="E719" s="308" t="str">
        <f>_xlfn.XLOOKUP(FMS_Ranking4[[#This Row],[FMS ID]],FMS_Input[FMS_ID],FMS_Input[SPONSOR])</f>
        <v>Chico</v>
      </c>
      <c r="F719" s="309" t="str">
        <f>_xlfn.XLOOKUP(FMS_Ranking4[[#This Row],[FMS ID]],Sponsor[FMS_ID],Sponsor[SPONSOR NAME])</f>
        <v>Chico</v>
      </c>
      <c r="G719" s="309" t="str">
        <f>_xlfn.XLOOKUP(FMS_Ranking4[[#This Row],[FMS ID]],FMS_Input[FMS_ID],FMS_Input[FMS_DESCR])</f>
        <v>City will acquire property and structures in the flood zone along Dry Creek and its tributaries and remove structures to prevent loss of life and property during flooding events.</v>
      </c>
      <c r="H719" s="248" t="str">
        <f>_xlfn.XLOOKUP(FMS_Ranking4[[#This Row],[FMS ID]],FMS_Input[FMS_ID],FMS_Input[FMS_TYPE])</f>
        <v>Property Acquisition and Structural Elevation</v>
      </c>
      <c r="I719" s="249">
        <f>_xlfn.XLOOKUP(FMS_Ranking4[[#This Row],[FMS ID]],FMS_Input[FMS_ID],FMS_Input[NRNC_COST])</f>
        <v>500000</v>
      </c>
      <c r="J719" s="250">
        <f>_xlfn.XLOOKUP(FMS_Ranking4[[#This Row],[FMS ID]],FMS_Input[FMS_ID],FMS_Input[FMS_COST])</f>
        <v>5000000</v>
      </c>
      <c r="K719" s="251" t="str">
        <f>_xlfn.XLOOKUP(FMS_Ranking4[[#This Row],[FMS ID]],FMS_Input[FMS_ID],FMS_Input[EMER_NEED])</f>
        <v>No</v>
      </c>
      <c r="L719" s="252">
        <f t="shared" si="11"/>
        <v>0</v>
      </c>
      <c r="M719" s="253">
        <f>_xlfn.XLOOKUP(FMS_Ranking4[[#This Row],[FMS ID]],FMS_Input[FMS_ID],FMS_Input[STRUCT_100])</f>
        <v>0</v>
      </c>
      <c r="N719" s="255">
        <f>(ASINH(FMS_Ranking4[[#This Row],[Structure at Risk Raw]]))*(10)/(ASINH(M$4))</f>
        <v>0</v>
      </c>
      <c r="O719" s="256">
        <f>FMS_Ranking4[[#This Row],[Structures at risk, ArcSinh (0-10)]]*M$5*10</f>
        <v>0</v>
      </c>
      <c r="P719" s="253">
        <f>_xlfn.XLOOKUP(FMS_Ranking4[[#This Row],[FMS ID]],FMS_Input[FMS_ID],FMS_Input[RES_STRUCT100])</f>
        <v>0</v>
      </c>
      <c r="Q719" s="257">
        <f>ASINH(FMS_Ranking4[[#This Row],[Res Structure Raw]])/Q$4*P$5*100</f>
        <v>0</v>
      </c>
      <c r="R719" s="253">
        <f>_xlfn.XLOOKUP(FMS_Ranking4[[#This Row],[FMS ID]],FMS_Input[FMS_ID],FMS_Input[POP100])</f>
        <v>0</v>
      </c>
      <c r="S719" s="259">
        <f>(ASINH(FMS_Ranking4[[#This Row],[Pop at Risk Raw]]))*(10)/(ASINH(R$4))</f>
        <v>0</v>
      </c>
      <c r="T719" s="256">
        <f>FMS_Ranking4[[#This Row],[Population at risk, ArcSinh (0-10)]]*R$5*10</f>
        <v>0</v>
      </c>
      <c r="U719" s="253">
        <f>_xlfn.XLOOKUP(FMS_Ranking4[[#This Row],[FMS ID]],FMS_Input[FMS_ID],FMS_Input[CRITFAC100])</f>
        <v>1</v>
      </c>
      <c r="V719" s="259">
        <f>(ASINH(FMS_Ranking4[[#This Row],[Critical Facilities Raw]]))*(10)/(ASINH(U$4))</f>
        <v>1.0433384451410745</v>
      </c>
      <c r="W719" s="256">
        <f>FMS_Ranking4[[#This Row],[Critical facilities at risk, ArcSinh (0-10)]]*U$5*10</f>
        <v>1.0433384451410745</v>
      </c>
      <c r="X719" s="253">
        <f>_xlfn.XLOOKUP(FMS_Ranking4[[#This Row],[FMS ID]],FMS_Input[FMS_ID],FMS_Input[LWC])</f>
        <v>17</v>
      </c>
      <c r="Y719" s="259">
        <f>(ASINH(FMS_Ranking4[[#This Row],[LWC Raw]]))*(10)/(ASINH(X$4))</f>
        <v>4.7784642222450291</v>
      </c>
      <c r="Z719" s="256">
        <f>FMS_Ranking4[[#This Row],[LWC, ArcSInh (0-10)]]*X$5*10</f>
        <v>4.7784642222450291</v>
      </c>
      <c r="AA719" s="253">
        <f>_xlfn.XLOOKUP(FMS_Ranking4[[#This Row],[FMS ID]],FMS_Input[FMS_ID],FMS_Input[ROADCLS])</f>
        <v>0</v>
      </c>
      <c r="AB719" s="255">
        <f>(ASINH(FMS_Ranking4[[#This Row],[Road Closures Raw]]))*(10)/(ASINH(AA$4))</f>
        <v>0</v>
      </c>
      <c r="AC719" s="256">
        <f>FMS_Ranking4[[#This Row],[Road closures, ArcSinh (0-10)]]*AA$5*10</f>
        <v>0</v>
      </c>
      <c r="AD719" s="253">
        <f>_xlfn.XLOOKUP(FMS_Ranking4[[#This Row],[FMS ID]],FMS_Input[FMS_ID],FMS_Input[ROAD_MILES100])</f>
        <v>2</v>
      </c>
      <c r="AE719" s="259">
        <f>(ASINH(FMS_Ranking4[[#This Row],[Road Miles Raw]]))*(10)/(ASINH(AD$4))</f>
        <v>1.5385182374234352</v>
      </c>
      <c r="AF719" s="256">
        <f>FMS_Ranking4[[#This Row],[Length of roads at risk, ArcSinh (0-10)]]*AD$5*10</f>
        <v>1.5385182374234352</v>
      </c>
      <c r="AG719" s="253">
        <f>_xlfn.XLOOKUP(FMS_Ranking4[[#This Row],[FMS ID]],FMS_Input[FMS_ID],FMS_Input[FARMACRE100])</f>
        <v>0</v>
      </c>
      <c r="AH719" s="255">
        <f>(ASINH(FMS_Ranking4[[#This Row],[Ag Land Raw]]))*(10)/(ASINH(AG$4))</f>
        <v>0</v>
      </c>
      <c r="AI719" s="260">
        <f>FMS_Ranking4[[#This Row],[Farm &amp; ranch land, ArcSinh (0-10)]]*AG$5*10</f>
        <v>0</v>
      </c>
      <c r="AJ719" s="258">
        <f>_xlfn.XLOOKUP(FMS_Ranking4[[#This Row],[FMS ID]],FMS_Input[FMS_ID],FMS_Input[REDSTRUCT100])</f>
        <v>0</v>
      </c>
      <c r="AK719" s="253">
        <f>_xlfn.XLOOKUP(FMS_Ranking4[[#This Row],[FMS ID]],FMS_Input[FMS_ID],FMS_Input[REMSTRC100])</f>
        <v>0</v>
      </c>
      <c r="AL719" s="259">
        <f>(ASINH(FMS_Ranking4[[#This Row],[Structures Removed Raw]]))*(10)/(ASINH(AK$4))</f>
        <v>0</v>
      </c>
      <c r="AM719" s="262">
        <f>FMS_Ranking4[[#This Row],[Structures removed, ArcSinh (0-10)]]*AK$5*10</f>
        <v>0</v>
      </c>
      <c r="AN719" s="253">
        <f>_xlfn.XLOOKUP(FMS_Ranking4[[#This Row],[FMS ID]],FMS_Input[FMS_ID],FMS_Input[REMRESSTRC100])</f>
        <v>0</v>
      </c>
      <c r="AO719" s="261">
        <f>FMS_Ranking4[[#This Row],[ArcSinh Res struct removed 0-10]]*AN$5*10</f>
        <v>0</v>
      </c>
      <c r="AP719" s="260">
        <f>ASINH(FMS_Ranking4[[#This Row],[Residential Structures Removed Raw]])/AP$4*AN$5*100</f>
        <v>0</v>
      </c>
      <c r="AQ719" s="254">
        <f>(ASINH(FMS_Ranking4[[#This Row],[Residential Structures Removed Raw]]))*(10)/(ASINH(AN$4))</f>
        <v>0</v>
      </c>
      <c r="AR719" s="253">
        <f>_xlfn.XLOOKUP(FMS_Ranking4[[#This Row],[FMS ID]],FMS_Input[FMS_ID],FMS_Input[REMPOP100])</f>
        <v>0</v>
      </c>
      <c r="AS719" s="259">
        <f>(ASINH(FMS_Ranking4[[#This Row],[Removed Pop Raw]]))*(10)/(ASINH(AR$4))</f>
        <v>0</v>
      </c>
      <c r="AT719" s="262">
        <f>FMS_Ranking4[[#This Row],[Removed population, ArcSinh (0-10)]]*AR$5*10</f>
        <v>0</v>
      </c>
      <c r="AU719" s="264">
        <f>_xlfn.XLOOKUP(FMS_Ranking4[[#This Row],[FMS ID]],FMS_Input[FMS_ID],FMS_Input[REMCRITFAC100])</f>
        <v>0</v>
      </c>
      <c r="AV719" s="264">
        <f>_xlfn.XLOOKUP(FMS_Ranking4[[#This Row],[FMS ID]],FMS_Input[FMS_ID],FMS_Input[REMLWC100])</f>
        <v>0</v>
      </c>
      <c r="AW719" s="264">
        <f>_xlfn.XLOOKUP(FMS_Ranking4[[#This Row],[FMS ID]],FMS_Input[FMS_ID],FMS_Input[REMROADCLS])</f>
        <v>0</v>
      </c>
      <c r="AX719" s="264">
        <f>_xlfn.XLOOKUP(FMS_Ranking4[[#This Row],[FMS ID]],FMS_Input[FMS_ID],FMS_Input[REMFRMACRE100])</f>
        <v>0</v>
      </c>
      <c r="AY719" s="258">
        <f>_xlfn.XLOOKUP(FMS_Ranking4[[#This Row],[FMS ID]],FMS_Input[FMS_ID],FMS_Input[COSTSTRUCT])</f>
        <v>0</v>
      </c>
      <c r="AZ719" s="253">
        <f>_xlfn.XLOOKUP(FMS_Ranking4[[#This Row],[FMS ID]],FMS_Input[FMS_ID],FMS_Input[NATURE])</f>
        <v>0</v>
      </c>
      <c r="BA719" s="262">
        <f>(((FMS_Ranking4[[#This Row],[% NBS Raw]]/AZ$4)*100)*AZ$5)</f>
        <v>0</v>
      </c>
      <c r="BB719" s="251" t="str">
        <f>_xlfn.XLOOKUP(FMS_Ranking4[[#This Row],[FMS ID]],FMS_Input[FMS_ID],FMS_Input[WATER_SUP])</f>
        <v>No</v>
      </c>
      <c r="BC719" s="265">
        <f>IF(FMS_Ranking4[[#This Row],[Water Supply Raw]]="Yes",10,0)</f>
        <v>0</v>
      </c>
      <c r="BD719" s="266">
        <f>_xlfn.XLOOKUP(FMS_Ranking4[[#This Row],[FMS Type]],FMS_TYPE[FMS_Type],FMS_TYPE[Score])</f>
        <v>4</v>
      </c>
      <c r="BE719" s="267">
        <f>FMS_Ranking4[[#This Row],[FMS_Type Score]]*$BD$5*10</f>
        <v>1</v>
      </c>
      <c r="BF71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0.21935900433305525</v>
      </c>
      <c r="BG719" s="271">
        <f>_xlfn.RANK.EQ(BF719,$BF$8:$BF$870,0)+COUNTIF($BF$8:BF719,BF719)-1</f>
        <v>347</v>
      </c>
      <c r="BH719" s="268">
        <f>(((FMS_Ranking4[[#This Row],[Structures Removed Raw]]/AK$4)*100)*AK$5)+(((FMS_Ranking4[[#This Row],[Removed Pop Raw]]/AR$4)*100)*AR$5)</f>
        <v>0</v>
      </c>
      <c r="BI71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1.2193590043330553</v>
      </c>
      <c r="BJ719" s="205">
        <f>_xlfn.RANK.EQ(FMS_Ranking4[[#This Row],[Total Score 
(with linear
normalization)]],FMS_Ranking4[Total Score 
(with linear
normalization)],0)</f>
        <v>642</v>
      </c>
      <c r="BK719" s="205" t="e">
        <f>_xlfn.XLOOKUP(FMS_Ranking4[[#This Row],[FMS ID]],#REF!,#REF!)</f>
        <v>#REF!</v>
      </c>
      <c r="BL71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7.360320904809539</v>
      </c>
      <c r="BM719" s="272">
        <f>FMS_Ranking4[[#This Row],[ArcSinh Score Based on Normalized Reported Factors]]+FMS_Ranking4[[#This Row],[% NBS Score (Normalized)]]+(FMS_Ranking4[[#This Row],[Water Supply Score (Normalized)]]*10*$BB$5)+FMS_Ranking4[[#This Row],[FMS_Type Score Weighted]]</f>
        <v>8.360320904809539</v>
      </c>
      <c r="BN719" s="205">
        <f>_xlfn.RANK.EQ(FMS_Ranking4[[#This Row],[Total Score (with ArcSinh normalization of select criteria)]],FMS_Ranking4[Total Score (with ArcSinh normalization of select criteria)],0)</f>
        <v>712</v>
      </c>
      <c r="BO719" s="270" t="str">
        <f>_xlfn.XLOOKUP(FMS_Ranking4[[#This Row],[FMS ID]],FMS_Input[FMS_ID],FMS_Input[FMS_RANK_YEAR])</f>
        <v>2023 Amended Plan</v>
      </c>
      <c r="BP719" s="204">
        <f>_xlfn.XLOOKUP(FMS_Ranking4[[#This Row],[FMS ID]],Prev_Rank[FMS ID],Prev_Rank[Prev Rank])</f>
        <v>650</v>
      </c>
      <c r="BQ719" s="205" t="e">
        <f>_xlfn.XLOOKUP(FMS_Ranking4[[#This Row],[FMS ID]],#REF!,#REF!)</f>
        <v>#REF!</v>
      </c>
      <c r="BR719" s="199" t="e">
        <f>SUM(#REF!,#REF!,#REF!,#REF!,#REF!,#REF!,#REF!,#REF!,#REF!,FMS_Ranking4[[#This Row],[ArcSinh Res struct removed 0-10]],#REF!)</f>
        <v>#REF!</v>
      </c>
      <c r="BS719" s="199" t="e">
        <f>FMS_Ranking4[[#This Row],[Log Score Based on Normalized Reported Factors]]+FMS_Ranking4[[#This Row],[% NBS Score (Normalized)]]+(FMS_Ranking4[[#This Row],[Water Supply Score (Normalized)]]*10*$BB$5)+(FMS_Ranking4[[#This Row],[FMS_Type Score Weighted]])</f>
        <v>#REF!</v>
      </c>
      <c r="BT719" s="200" t="e">
        <f>_xlfn.RANK.EQ(FMS_Ranking4[[#This Row],[Log Total Score]],FMS_Ranking4[Log Total Score],0)</f>
        <v>#REF!</v>
      </c>
      <c r="BU719" s="200" t="e">
        <f>_xlfn.XLOOKUP(FMS_Ranking4[[#This Row],[FMS ID]],#REF!,#REF!)</f>
        <v>#REF!</v>
      </c>
      <c r="BV719" s="200">
        <f>FMS_Ranking4[[#This Row],[Region Number]]</f>
        <v>3</v>
      </c>
      <c r="BW719" s="200">
        <f>FMS_Ranking4[[#This Row],[Rank (with ArcSinh normalization of select criteria)]]-FMS_Ranking4[[#This Row],[Rank
(with linear
normalization)]]</f>
        <v>70</v>
      </c>
      <c r="BX719" s="200" t="e">
        <f>FMS_Ranking4[[#This Row],[Log Rank]]-FMS_Ranking4[[#This Row],[Rank
(with linear
normalization)]]</f>
        <v>#REF!</v>
      </c>
      <c r="BY719" s="200" t="str">
        <f>IF(FMS_Ranking4[[#This Row],[FMS Type]]="Flood Measurement and Warning",FMS_Ranking4[[#This Row],[Rank (with ArcSinh normalization of select criteria)]],"")</f>
        <v/>
      </c>
      <c r="BZ719" s="200" t="str">
        <f>IF(FMS_Ranking4[[#This Row],[FMS Type]]="Regulatory and Guidance",FMS_Ranking4[[#This Row],[Rank (with ArcSinh normalization of select criteria)]],"")</f>
        <v/>
      </c>
      <c r="CA719" s="200" t="str">
        <f>IF(FMS_Ranking4[[#This Row],[FMS Type]]="Education and Outreach",FMS_Ranking4[[#This Row],[Rank (with ArcSinh normalization of select criteria)]],"")</f>
        <v/>
      </c>
      <c r="CB719" s="200">
        <f>IF(FMS_Ranking4[[#This Row],[FMS Type]]="Property Acquisition and Structural Elevation",FMS_Ranking4[[#This Row],[Rank (with ArcSinh normalization of select criteria)]],"")</f>
        <v>712</v>
      </c>
      <c r="CC719" s="200" t="str">
        <f>IF(FMS_Ranking4[[#This Row],[FMS Type]]="Infrastructure Projects",FMS_Ranking4[[#This Row],[Rank (with ArcSinh normalization of select criteria)]],"")</f>
        <v/>
      </c>
      <c r="CD719" s="200" t="str">
        <f>IF(FMS_Ranking4[[#This Row],[FMS Type]]="Other",FMS_Ranking4[[#This Row],[Rank (with ArcSinh normalization of select criteria)]],"")</f>
        <v/>
      </c>
      <c r="CE719" s="201"/>
      <c r="CF719" s="206"/>
      <c r="CG719" s="206"/>
      <c r="CH719" s="206"/>
      <c r="CI719" s="206"/>
      <c r="CJ719" s="206"/>
      <c r="CK719" s="206"/>
      <c r="CL719" s="206"/>
      <c r="CM719" s="206"/>
      <c r="CN719" s="206"/>
      <c r="CO719" s="206"/>
      <c r="CP719" s="206"/>
      <c r="CQ719" s="206"/>
      <c r="CR719" s="206"/>
    </row>
    <row r="720" spans="2:96" ht="45" x14ac:dyDescent="0.25">
      <c r="B720" s="341" t="s">
        <v>2293</v>
      </c>
      <c r="C720" s="246">
        <f>_xlfn.XLOOKUP(FMS_Ranking4[[#This Row],[FMS ID]],FMS_Input[FMS_ID],FMS_Input[RFPG_NUM])</f>
        <v>3</v>
      </c>
      <c r="D720" s="309" t="str">
        <f>_xlfn.XLOOKUP(FMS_Ranking4[[#This Row],[FMS ID]],FMS_Input[FMS_ID],FMS_Input[FMS_NAME])</f>
        <v>City of Streetman NFIP Floodplain Ordinance</v>
      </c>
      <c r="E720" s="308" t="str">
        <f>_xlfn.XLOOKUP(FMS_Ranking4[[#This Row],[FMS ID]],FMS_Input[FMS_ID],FMS_Input[SPONSOR])</f>
        <v>Streetman</v>
      </c>
      <c r="F720" s="309" t="str">
        <f>_xlfn.XLOOKUP(FMS_Ranking4[[#This Row],[FMS ID]],Sponsor[FMS_ID],Sponsor[SPONSOR NAME])</f>
        <v>Streetman</v>
      </c>
      <c r="G720" s="309" t="str">
        <f>_xlfn.XLOOKUP(FMS_Ranking4[[#This Row],[FMS ID]],FMS_Input[FMS_ID],FMS_Input[FMS_DESCR])</f>
        <v>Develop a floodplain ordinance that meets or exceeds FEMA's minimum standards</v>
      </c>
      <c r="H720" s="248" t="str">
        <f>_xlfn.XLOOKUP(FMS_Ranking4[[#This Row],[FMS ID]],FMS_Input[FMS_ID],FMS_Input[FMS_TYPE])</f>
        <v>Regulatory and Guidance</v>
      </c>
      <c r="I720" s="249">
        <f>_xlfn.XLOOKUP(FMS_Ranking4[[#This Row],[FMS ID]],FMS_Input[FMS_ID],FMS_Input[NRNC_COST])</f>
        <v>100000</v>
      </c>
      <c r="J720" s="250">
        <f>_xlfn.XLOOKUP(FMS_Ranking4[[#This Row],[FMS ID]],FMS_Input[FMS_ID],FMS_Input[FMS_COST])</f>
        <v>100000</v>
      </c>
      <c r="K720" s="251" t="str">
        <f>_xlfn.XLOOKUP(FMS_Ranking4[[#This Row],[FMS ID]],FMS_Input[FMS_ID],FMS_Input[EMER_NEED])</f>
        <v>No</v>
      </c>
      <c r="L720" s="252">
        <f t="shared" si="11"/>
        <v>0</v>
      </c>
      <c r="M720" s="253">
        <f>_xlfn.XLOOKUP(FMS_Ranking4[[#This Row],[FMS ID]],FMS_Input[FMS_ID],FMS_Input[STRUCT_100])</f>
        <v>4</v>
      </c>
      <c r="N720" s="255">
        <f>(ASINH(FMS_Ranking4[[#This Row],[Structure at Risk Raw]]))*(10)/(ASINH(M$4))</f>
        <v>1.6467559513369034</v>
      </c>
      <c r="O720" s="256">
        <f>FMS_Ranking4[[#This Row],[Structures at risk, ArcSinh (0-10)]]*M$5*10</f>
        <v>1.6467559513369034</v>
      </c>
      <c r="P720" s="253">
        <f>_xlfn.XLOOKUP(FMS_Ranking4[[#This Row],[FMS ID]],FMS_Input[FMS_ID],FMS_Input[RES_STRUCT100])</f>
        <v>3</v>
      </c>
      <c r="Q720" s="257">
        <f>ASINH(FMS_Ranking4[[#This Row],[Res Structure Raw]])/Q$4*P$5*100</f>
        <v>0</v>
      </c>
      <c r="R720" s="253">
        <f>_xlfn.XLOOKUP(FMS_Ranking4[[#This Row],[FMS ID]],FMS_Input[FMS_ID],FMS_Input[POP100])</f>
        <v>3</v>
      </c>
      <c r="S720" s="255">
        <f>(ASINH(FMS_Ranking4[[#This Row],[Pop at Risk Raw]]))*(10)/(ASINH(R$4))</f>
        <v>1.2553794569988064</v>
      </c>
      <c r="T720" s="256">
        <f>FMS_Ranking4[[#This Row],[Population at risk, ArcSinh (0-10)]]*R$5*10</f>
        <v>1.2553794569988064</v>
      </c>
      <c r="U720" s="253">
        <f>_xlfn.XLOOKUP(FMS_Ranking4[[#This Row],[FMS ID]],FMS_Input[FMS_ID],FMS_Input[CRITFAC100])</f>
        <v>0</v>
      </c>
      <c r="V720" s="255">
        <f>(ASINH(FMS_Ranking4[[#This Row],[Critical Facilities Raw]]))*(10)/(ASINH(U$4))</f>
        <v>0</v>
      </c>
      <c r="W720" s="256">
        <f>FMS_Ranking4[[#This Row],[Critical facilities at risk, ArcSinh (0-10)]]*U$5*10</f>
        <v>0</v>
      </c>
      <c r="X720" s="253">
        <f>_xlfn.XLOOKUP(FMS_Ranking4[[#This Row],[FMS ID]],FMS_Input[FMS_ID],FMS_Input[LWC])</f>
        <v>0</v>
      </c>
      <c r="Y720" s="255">
        <f>(ASINH(FMS_Ranking4[[#This Row],[LWC Raw]]))*(10)/(ASINH(X$4))</f>
        <v>0</v>
      </c>
      <c r="Z720" s="256">
        <f>FMS_Ranking4[[#This Row],[LWC, ArcSInh (0-10)]]*X$5*10</f>
        <v>0</v>
      </c>
      <c r="AA720" s="253">
        <f>_xlfn.XLOOKUP(FMS_Ranking4[[#This Row],[FMS ID]],FMS_Input[FMS_ID],FMS_Input[ROADCLS])</f>
        <v>0</v>
      </c>
      <c r="AB720" s="255">
        <f>(ASINH(FMS_Ranking4[[#This Row],[Road Closures Raw]]))*(10)/(ASINH(AA$4))</f>
        <v>0</v>
      </c>
      <c r="AC720" s="256">
        <f>FMS_Ranking4[[#This Row],[Road closures, ArcSinh (0-10)]]*AA$5*10</f>
        <v>0</v>
      </c>
      <c r="AD720" s="253">
        <f>_xlfn.XLOOKUP(FMS_Ranking4[[#This Row],[FMS ID]],FMS_Input[FMS_ID],FMS_Input[ROAD_MILES100])</f>
        <v>3</v>
      </c>
      <c r="AE720" s="255">
        <f>(ASINH(FMS_Ranking4[[#This Row],[Road Miles Raw]]))*(10)/(ASINH(AD$4))</f>
        <v>1.937963626835977</v>
      </c>
      <c r="AF720" s="256">
        <f>FMS_Ranking4[[#This Row],[Length of roads at risk, ArcSinh (0-10)]]*AD$5*10</f>
        <v>1.937963626835977</v>
      </c>
      <c r="AG720" s="253">
        <f>_xlfn.XLOOKUP(FMS_Ranking4[[#This Row],[FMS ID]],FMS_Input[FMS_ID],FMS_Input[FARMACRE100])</f>
        <v>50.739658355712891</v>
      </c>
      <c r="AH720" s="255">
        <f>(ASINH(FMS_Ranking4[[#This Row],[Ag Land Raw]]))*(10)/(ASINH(AG$4))</f>
        <v>3.0010352687897499</v>
      </c>
      <c r="AI720" s="260">
        <f>FMS_Ranking4[[#This Row],[Farm &amp; ranch land, ArcSinh (0-10)]]*AG$5*10</f>
        <v>1.5005176343948752</v>
      </c>
      <c r="AJ720" s="258">
        <f>_xlfn.XLOOKUP(FMS_Ranking4[[#This Row],[FMS ID]],FMS_Input[FMS_ID],FMS_Input[REDSTRUCT100])</f>
        <v>0</v>
      </c>
      <c r="AK720" s="253">
        <f>_xlfn.XLOOKUP(FMS_Ranking4[[#This Row],[FMS ID]],FMS_Input[FMS_ID],FMS_Input[REMSTRC100])</f>
        <v>0</v>
      </c>
      <c r="AL720" s="255">
        <f>(ASINH(FMS_Ranking4[[#This Row],[Structures Removed Raw]]))*(10)/(ASINH(AK$4))</f>
        <v>0</v>
      </c>
      <c r="AM720" s="262">
        <f>FMS_Ranking4[[#This Row],[Structures removed, ArcSinh (0-10)]]*AK$5*10</f>
        <v>0</v>
      </c>
      <c r="AN720" s="253">
        <f>_xlfn.XLOOKUP(FMS_Ranking4[[#This Row],[FMS ID]],FMS_Input[FMS_ID],FMS_Input[REMRESSTRC100])</f>
        <v>0</v>
      </c>
      <c r="AO720" s="261">
        <f>FMS_Ranking4[[#This Row],[ArcSinh Res struct removed 0-10]]*AN$5*10</f>
        <v>0</v>
      </c>
      <c r="AP720" s="260">
        <f>ASINH(FMS_Ranking4[[#This Row],[Residential Structures Removed Raw]])/AP$4*AN$5*100</f>
        <v>0</v>
      </c>
      <c r="AQ720" s="258">
        <f>(ASINH(FMS_Ranking4[[#This Row],[Residential Structures Removed Raw]]))*(10)/(ASINH(AN$4))</f>
        <v>0</v>
      </c>
      <c r="AR720" s="253">
        <f>_xlfn.XLOOKUP(FMS_Ranking4[[#This Row],[FMS ID]],FMS_Input[FMS_ID],FMS_Input[REMPOP100])</f>
        <v>0</v>
      </c>
      <c r="AS720" s="255">
        <f>(ASINH(FMS_Ranking4[[#This Row],[Removed Pop Raw]]))*(10)/(ASINH(AR$4))</f>
        <v>0</v>
      </c>
      <c r="AT720" s="262">
        <f>FMS_Ranking4[[#This Row],[Removed population, ArcSinh (0-10)]]*AR$5*10</f>
        <v>0</v>
      </c>
      <c r="AU720" s="264">
        <f>_xlfn.XLOOKUP(FMS_Ranking4[[#This Row],[FMS ID]],FMS_Input[FMS_ID],FMS_Input[REMCRITFAC100])</f>
        <v>0</v>
      </c>
      <c r="AV720" s="264">
        <f>_xlfn.XLOOKUP(FMS_Ranking4[[#This Row],[FMS ID]],FMS_Input[FMS_ID],FMS_Input[REMLWC100])</f>
        <v>0</v>
      </c>
      <c r="AW720" s="264">
        <f>_xlfn.XLOOKUP(FMS_Ranking4[[#This Row],[FMS ID]],FMS_Input[FMS_ID],FMS_Input[REMROADCLS])</f>
        <v>0</v>
      </c>
      <c r="AX720" s="264">
        <f>_xlfn.XLOOKUP(FMS_Ranking4[[#This Row],[FMS ID]],FMS_Input[FMS_ID],FMS_Input[REMFRMACRE100])</f>
        <v>0</v>
      </c>
      <c r="AY720" s="258">
        <f>_xlfn.XLOOKUP(FMS_Ranking4[[#This Row],[FMS ID]],FMS_Input[FMS_ID],FMS_Input[COSTSTRUCT])</f>
        <v>0</v>
      </c>
      <c r="AZ720" s="253">
        <f>_xlfn.XLOOKUP(FMS_Ranking4[[#This Row],[FMS ID]],FMS_Input[FMS_ID],FMS_Input[NATURE])</f>
        <v>0</v>
      </c>
      <c r="BA720" s="262">
        <f>(((FMS_Ranking4[[#This Row],[% NBS Raw]]/AZ$4)*100)*AZ$5)</f>
        <v>0</v>
      </c>
      <c r="BB720" s="251" t="str">
        <f>_xlfn.XLOOKUP(FMS_Ranking4[[#This Row],[FMS ID]],FMS_Input[FMS_ID],FMS_Input[WATER_SUP])</f>
        <v>No</v>
      </c>
      <c r="BC720" s="265">
        <f>IF(FMS_Ranking4[[#This Row],[Water Supply Raw]]="Yes",10,0)</f>
        <v>0</v>
      </c>
      <c r="BD720" s="266">
        <f>_xlfn.XLOOKUP(FMS_Ranking4[[#This Row],[FMS Type]],FMS_TYPE[FMS_Type],FMS_TYPE[Score])</f>
        <v>8</v>
      </c>
      <c r="BE720" s="267">
        <f>FMS_Ranking4[[#This Row],[FMS_Type Score]]*$BD$5*10</f>
        <v>2</v>
      </c>
      <c r="BF72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5.4216312808101604E-3</v>
      </c>
      <c r="BG720" s="321">
        <f>_xlfn.RANK.EQ(BF720,$BF$8:$BF$870,0)+COUNTIF($BF$8:BF720,BF720)-1</f>
        <v>685</v>
      </c>
      <c r="BH720" s="294">
        <f>(((FMS_Ranking4[[#This Row],[Structures Removed Raw]]/AK$4)*100)*AK$5)+(((FMS_Ranking4[[#This Row],[Removed Pop Raw]]/AR$4)*100)*AR$5)</f>
        <v>0</v>
      </c>
      <c r="BI72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2.00542163128081</v>
      </c>
      <c r="BJ720" s="251">
        <f>_xlfn.RANK.EQ(FMS_Ranking4[[#This Row],[Total Score 
(with linear
normalization)]],FMS_Ranking4[Total Score 
(with linear
normalization)],0)</f>
        <v>434</v>
      </c>
      <c r="BK720" s="251" t="e">
        <f>_xlfn.XLOOKUP(FMS_Ranking4[[#This Row],[FMS ID]],#REF!,#REF!)</f>
        <v>#REF!</v>
      </c>
      <c r="BL72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6.3406166695665611</v>
      </c>
      <c r="BM720" s="324">
        <f>FMS_Ranking4[[#This Row],[ArcSinh Score Based on Normalized Reported Factors]]+FMS_Ranking4[[#This Row],[% NBS Score (Normalized)]]+(FMS_Ranking4[[#This Row],[Water Supply Score (Normalized)]]*10*$BB$5)+FMS_Ranking4[[#This Row],[FMS_Type Score Weighted]]</f>
        <v>8.3406166695665611</v>
      </c>
      <c r="BN720" s="251">
        <f>_xlfn.RANK.EQ(FMS_Ranking4[[#This Row],[Total Score (with ArcSinh normalization of select criteria)]],FMS_Ranking4[Total Score (with ArcSinh normalization of select criteria)],0)</f>
        <v>713</v>
      </c>
      <c r="BO720" s="270" t="str">
        <f>_xlfn.XLOOKUP(FMS_Ranking4[[#This Row],[FMS ID]],FMS_Input[FMS_ID],FMS_Input[FMS_RANK_YEAR])</f>
        <v>2023 Amended Plan</v>
      </c>
      <c r="BP720" s="204">
        <f>_xlfn.XLOOKUP(FMS_Ranking4[[#This Row],[FMS ID]],Prev_Rank[FMS ID],Prev_Rank[Prev Rank])</f>
        <v>645</v>
      </c>
      <c r="BQ720" s="251" t="e">
        <f>_xlfn.XLOOKUP(FMS_Ranking4[[#This Row],[FMS ID]],#REF!,#REF!)</f>
        <v>#REF!</v>
      </c>
      <c r="BR720" s="199" t="e">
        <f>SUM(#REF!,#REF!,#REF!,#REF!,#REF!,#REF!,#REF!,#REF!,#REF!,FMS_Ranking4[[#This Row],[ArcSinh Res struct removed 0-10]],#REF!)</f>
        <v>#REF!</v>
      </c>
      <c r="BS720" s="199" t="e">
        <f>FMS_Ranking4[[#This Row],[Log Score Based on Normalized Reported Factors]]+FMS_Ranking4[[#This Row],[% NBS Score (Normalized)]]+(FMS_Ranking4[[#This Row],[Water Supply Score (Normalized)]]*10*$BB$5)+(FMS_Ranking4[[#This Row],[FMS_Type Score Weighted]])</f>
        <v>#REF!</v>
      </c>
      <c r="BT720" s="200" t="e">
        <f>_xlfn.RANK.EQ(FMS_Ranking4[[#This Row],[Log Total Score]],FMS_Ranking4[Log Total Score],0)</f>
        <v>#REF!</v>
      </c>
      <c r="BU720" s="200" t="e">
        <f>_xlfn.XLOOKUP(FMS_Ranking4[[#This Row],[FMS ID]],#REF!,#REF!)</f>
        <v>#REF!</v>
      </c>
      <c r="BV720" s="200">
        <f>FMS_Ranking4[[#This Row],[Region Number]]</f>
        <v>3</v>
      </c>
      <c r="BW720" s="200">
        <f>FMS_Ranking4[[#This Row],[Rank (with ArcSinh normalization of select criteria)]]-FMS_Ranking4[[#This Row],[Rank
(with linear
normalization)]]</f>
        <v>279</v>
      </c>
      <c r="BX720" s="200" t="e">
        <f>FMS_Ranking4[[#This Row],[Log Rank]]-FMS_Ranking4[[#This Row],[Rank
(with linear
normalization)]]</f>
        <v>#REF!</v>
      </c>
      <c r="BY720" s="200" t="str">
        <f>IF(FMS_Ranking4[[#This Row],[FMS Type]]="Flood Measurement and Warning",FMS_Ranking4[[#This Row],[Rank (with ArcSinh normalization of select criteria)]],"")</f>
        <v/>
      </c>
      <c r="BZ720" s="200">
        <f>IF(FMS_Ranking4[[#This Row],[FMS Type]]="Regulatory and Guidance",FMS_Ranking4[[#This Row],[Rank (with ArcSinh normalization of select criteria)]],"")</f>
        <v>713</v>
      </c>
      <c r="CA720" s="200" t="str">
        <f>IF(FMS_Ranking4[[#This Row],[FMS Type]]="Education and Outreach",FMS_Ranking4[[#This Row],[Rank (with ArcSinh normalization of select criteria)]],"")</f>
        <v/>
      </c>
      <c r="CB720" s="200" t="str">
        <f>IF(FMS_Ranking4[[#This Row],[FMS Type]]="Property Acquisition and Structural Elevation",FMS_Ranking4[[#This Row],[Rank (with ArcSinh normalization of select criteria)]],"")</f>
        <v/>
      </c>
      <c r="CC720" s="200" t="str">
        <f>IF(FMS_Ranking4[[#This Row],[FMS Type]]="Infrastructure Projects",FMS_Ranking4[[#This Row],[Rank (with ArcSinh normalization of select criteria)]],"")</f>
        <v/>
      </c>
      <c r="CD720" s="200" t="str">
        <f>IF(FMS_Ranking4[[#This Row],[FMS Type]]="Other",FMS_Ranking4[[#This Row],[Rank (with ArcSinh normalization of select criteria)]],"")</f>
        <v/>
      </c>
      <c r="CE720" s="201"/>
      <c r="CF720" s="206"/>
      <c r="CG720" s="206"/>
      <c r="CH720" s="206"/>
      <c r="CI720" s="206"/>
      <c r="CJ720" s="206"/>
      <c r="CK720" s="206"/>
      <c r="CL720" s="206"/>
      <c r="CM720" s="206"/>
      <c r="CN720" s="206"/>
      <c r="CO720" s="206"/>
      <c r="CP720" s="206"/>
      <c r="CQ720" s="206"/>
      <c r="CR720" s="206"/>
    </row>
    <row r="721" spans="2:96" ht="75" x14ac:dyDescent="0.25">
      <c r="B721" s="341" t="s">
        <v>66</v>
      </c>
      <c r="C721" s="246">
        <f>_xlfn.XLOOKUP(FMS_Ranking4[[#This Row],[FMS ID]],FMS_Input[FMS_ID],FMS_Input[RFPG_NUM])</f>
        <v>6</v>
      </c>
      <c r="D721" s="309" t="str">
        <f>_xlfn.XLOOKUP(FMS_Ranking4[[#This Row],[FMS ID]],FMS_Input[FMS_ID],FMS_Input[FMS_NAME])</f>
        <v>Promotion of Flood Insurance in City of Arcola</v>
      </c>
      <c r="E721" s="308" t="str">
        <f>_xlfn.XLOOKUP(FMS_Ranking4[[#This Row],[FMS ID]],FMS_Input[FMS_ID],FMS_Input[SPONSOR])</f>
        <v>00002557</v>
      </c>
      <c r="F721" s="309" t="str">
        <f>_xlfn.XLOOKUP(FMS_Ranking4[[#This Row],[FMS ID]],Sponsor[FMS_ID],Sponsor[SPONSOR NAME])</f>
        <v>Arcola</v>
      </c>
      <c r="G721" s="309" t="str">
        <f>_xlfn.XLOOKUP(FMS_Ranking4[[#This Row],[FMS ID]],FMS_Input[FMS_ID],FMS_Input[FMS_DESCR])</f>
        <v>Promote the purchase of flood insurance. Advertise the availability, cost, and coverage of flood insurance through the NFIP.</v>
      </c>
      <c r="H721" s="248" t="str">
        <f>_xlfn.XLOOKUP(FMS_Ranking4[[#This Row],[FMS ID]],FMS_Input[FMS_ID],FMS_Input[FMS_TYPE])</f>
        <v>Education and Outreach</v>
      </c>
      <c r="I721" s="249">
        <f>_xlfn.XLOOKUP(FMS_Ranking4[[#This Row],[FMS ID]],FMS_Input[FMS_ID],FMS_Input[NRNC_COST])</f>
        <v>2500</v>
      </c>
      <c r="J721" s="250">
        <f>_xlfn.XLOOKUP(FMS_Ranking4[[#This Row],[FMS ID]],FMS_Input[FMS_ID],FMS_Input[FMS_COST])</f>
        <v>50000</v>
      </c>
      <c r="K721" s="251" t="str">
        <f>_xlfn.XLOOKUP(FMS_Ranking4[[#This Row],[FMS ID]],FMS_Input[FMS_ID],FMS_Input[EMER_NEED])</f>
        <v>No</v>
      </c>
      <c r="L721" s="252">
        <f t="shared" si="11"/>
        <v>0</v>
      </c>
      <c r="M721" s="253">
        <f>_xlfn.XLOOKUP(FMS_Ranking4[[#This Row],[FMS ID]],FMS_Input[FMS_ID],FMS_Input[STRUCT_100])</f>
        <v>41</v>
      </c>
      <c r="N721" s="255">
        <f>(ASINH(FMS_Ranking4[[#This Row],[Structure at Risk Raw]]))*(10)/(ASINH(M$4))</f>
        <v>3.4644543512028521</v>
      </c>
      <c r="O721" s="256">
        <f>FMS_Ranking4[[#This Row],[Structures at risk, ArcSinh (0-10)]]*M$5*10</f>
        <v>3.4644543512028525</v>
      </c>
      <c r="P721" s="253">
        <f>_xlfn.XLOOKUP(FMS_Ranking4[[#This Row],[FMS ID]],FMS_Input[FMS_ID],FMS_Input[RES_STRUCT100])</f>
        <v>37</v>
      </c>
      <c r="Q721" s="257">
        <f>ASINH(FMS_Ranking4[[#This Row],[Res Structure Raw]])/Q$4*P$5*100</f>
        <v>0</v>
      </c>
      <c r="R721" s="253">
        <f>_xlfn.XLOOKUP(FMS_Ranking4[[#This Row],[FMS ID]],FMS_Input[FMS_ID],FMS_Input[POP100])</f>
        <v>39</v>
      </c>
      <c r="S721" s="259">
        <f>(ASINH(FMS_Ranking4[[#This Row],[Pop at Risk Raw]]))*(10)/(ASINH(R$4))</f>
        <v>3.0078031847802769</v>
      </c>
      <c r="T721" s="256">
        <f>FMS_Ranking4[[#This Row],[Population at risk, ArcSinh (0-10)]]*R$5*10</f>
        <v>3.0078031847802773</v>
      </c>
      <c r="U721" s="253">
        <f>_xlfn.XLOOKUP(FMS_Ranking4[[#This Row],[FMS ID]],FMS_Input[FMS_ID],FMS_Input[CRITFAC100])</f>
        <v>0</v>
      </c>
      <c r="V721" s="259">
        <f>(ASINH(FMS_Ranking4[[#This Row],[Critical Facilities Raw]]))*(10)/(ASINH(U$4))</f>
        <v>0</v>
      </c>
      <c r="W721" s="256">
        <f>FMS_Ranking4[[#This Row],[Critical facilities at risk, ArcSinh (0-10)]]*U$5*10</f>
        <v>0</v>
      </c>
      <c r="X721" s="253">
        <f>_xlfn.XLOOKUP(FMS_Ranking4[[#This Row],[FMS ID]],FMS_Input[FMS_ID],FMS_Input[LWC])</f>
        <v>0</v>
      </c>
      <c r="Y721" s="259">
        <f>(ASINH(FMS_Ranking4[[#This Row],[LWC Raw]]))*(10)/(ASINH(X$4))</f>
        <v>0</v>
      </c>
      <c r="Z721" s="256">
        <f>FMS_Ranking4[[#This Row],[LWC, ArcSInh (0-10)]]*X$5*10</f>
        <v>0</v>
      </c>
      <c r="AA721" s="253">
        <f>_xlfn.XLOOKUP(FMS_Ranking4[[#This Row],[FMS ID]],FMS_Input[FMS_ID],FMS_Input[ROADCLS])</f>
        <v>0</v>
      </c>
      <c r="AB721" s="255">
        <f>(ASINH(FMS_Ranking4[[#This Row],[Road Closures Raw]]))*(10)/(ASINH(AA$4))</f>
        <v>0</v>
      </c>
      <c r="AC721" s="256">
        <f>FMS_Ranking4[[#This Row],[Road closures, ArcSinh (0-10)]]*AA$5*10</f>
        <v>0</v>
      </c>
      <c r="AD721" s="253">
        <f>_xlfn.XLOOKUP(FMS_Ranking4[[#This Row],[FMS ID]],FMS_Input[FMS_ID],FMS_Input[ROAD_MILES100])</f>
        <v>0</v>
      </c>
      <c r="AE721" s="259">
        <f>(ASINH(FMS_Ranking4[[#This Row],[Road Miles Raw]]))*(10)/(ASINH(AD$4))</f>
        <v>0</v>
      </c>
      <c r="AF721" s="256">
        <f>FMS_Ranking4[[#This Row],[Length of roads at risk, ArcSinh (0-10)]]*AD$5*10</f>
        <v>0</v>
      </c>
      <c r="AG721" s="253">
        <f>_xlfn.XLOOKUP(FMS_Ranking4[[#This Row],[FMS ID]],FMS_Input[FMS_ID],FMS_Input[FARMACRE100])</f>
        <v>1.227403044700623</v>
      </c>
      <c r="AH721" s="255">
        <f>(ASINH(FMS_Ranking4[[#This Row],[Ag Land Raw]]))*(10)/(ASINH(AG$4))</f>
        <v>0.67127659192423073</v>
      </c>
      <c r="AI721" s="260">
        <f>FMS_Ranking4[[#This Row],[Farm &amp; ranch land, ArcSinh (0-10)]]*AG$5*10</f>
        <v>0.33563829596211536</v>
      </c>
      <c r="AJ721" s="258">
        <f>_xlfn.XLOOKUP(FMS_Ranking4[[#This Row],[FMS ID]],FMS_Input[FMS_ID],FMS_Input[REDSTRUCT100])</f>
        <v>0</v>
      </c>
      <c r="AK721" s="253">
        <f>_xlfn.XLOOKUP(FMS_Ranking4[[#This Row],[FMS ID]],FMS_Input[FMS_ID],FMS_Input[REMSTRC100])</f>
        <v>0</v>
      </c>
      <c r="AL721" s="259">
        <f>(ASINH(FMS_Ranking4[[#This Row],[Structures Removed Raw]]))*(10)/(ASINH(AK$4))</f>
        <v>0</v>
      </c>
      <c r="AM721" s="262">
        <f>FMS_Ranking4[[#This Row],[Structures removed, ArcSinh (0-10)]]*AK$5*10</f>
        <v>0</v>
      </c>
      <c r="AN721" s="253">
        <f>_xlfn.XLOOKUP(FMS_Ranking4[[#This Row],[FMS ID]],FMS_Input[FMS_ID],FMS_Input[REMRESSTRC100])</f>
        <v>0</v>
      </c>
      <c r="AO721" s="261">
        <f>FMS_Ranking4[[#This Row],[ArcSinh Res struct removed 0-10]]*AN$5*10</f>
        <v>0</v>
      </c>
      <c r="AP721" s="260">
        <f>ASINH(FMS_Ranking4[[#This Row],[Residential Structures Removed Raw]])/AP$4*AN$5*100</f>
        <v>0</v>
      </c>
      <c r="AQ721" s="254">
        <f>(ASINH(FMS_Ranking4[[#This Row],[Residential Structures Removed Raw]]))*(10)/(ASINH(AN$4))</f>
        <v>0</v>
      </c>
      <c r="AR721" s="253">
        <f>_xlfn.XLOOKUP(FMS_Ranking4[[#This Row],[FMS ID]],FMS_Input[FMS_ID],FMS_Input[REMPOP100])</f>
        <v>0</v>
      </c>
      <c r="AS721" s="259">
        <f>(ASINH(FMS_Ranking4[[#This Row],[Removed Pop Raw]]))*(10)/(ASINH(AR$4))</f>
        <v>0</v>
      </c>
      <c r="AT721" s="262">
        <f>FMS_Ranking4[[#This Row],[Removed population, ArcSinh (0-10)]]*AR$5*10</f>
        <v>0</v>
      </c>
      <c r="AU721" s="264">
        <f>_xlfn.XLOOKUP(FMS_Ranking4[[#This Row],[FMS ID]],FMS_Input[FMS_ID],FMS_Input[REMCRITFAC100])</f>
        <v>0</v>
      </c>
      <c r="AV721" s="264">
        <f>_xlfn.XLOOKUP(FMS_Ranking4[[#This Row],[FMS ID]],FMS_Input[FMS_ID],FMS_Input[REMLWC100])</f>
        <v>0</v>
      </c>
      <c r="AW721" s="264">
        <f>_xlfn.XLOOKUP(FMS_Ranking4[[#This Row],[FMS ID]],FMS_Input[FMS_ID],FMS_Input[REMROADCLS])</f>
        <v>0</v>
      </c>
      <c r="AX721" s="264">
        <f>_xlfn.XLOOKUP(FMS_Ranking4[[#This Row],[FMS ID]],FMS_Input[FMS_ID],FMS_Input[REMFRMACRE100])</f>
        <v>0</v>
      </c>
      <c r="AY721" s="258">
        <f>_xlfn.XLOOKUP(FMS_Ranking4[[#This Row],[FMS ID]],FMS_Input[FMS_ID],FMS_Input[COSTSTRUCT])</f>
        <v>0</v>
      </c>
      <c r="AZ721" s="253">
        <f>_xlfn.XLOOKUP(FMS_Ranking4[[#This Row],[FMS ID]],FMS_Input[FMS_ID],FMS_Input[NATURE])</f>
        <v>0</v>
      </c>
      <c r="BA721" s="262">
        <f>(((FMS_Ranking4[[#This Row],[% NBS Raw]]/AZ$4)*100)*AZ$5)</f>
        <v>0</v>
      </c>
      <c r="BB721" s="251" t="str">
        <f>_xlfn.XLOOKUP(FMS_Ranking4[[#This Row],[FMS ID]],FMS_Input[FMS_ID],FMS_Input[WATER_SUP])</f>
        <v>No</v>
      </c>
      <c r="BC721" s="265">
        <f>IF(FMS_Ranking4[[#This Row],[Water Supply Raw]]="Yes",10,0)</f>
        <v>0</v>
      </c>
      <c r="BD721" s="266">
        <f>_xlfn.XLOOKUP(FMS_Ranking4[[#This Row],[FMS Type]],FMS_TYPE[FMS_Type],FMS_TYPE[Score])</f>
        <v>6</v>
      </c>
      <c r="BE721" s="267">
        <f>FMS_Ranking4[[#This Row],[FMS_Type Score]]*$BD$5*10</f>
        <v>1.5000000000000002</v>
      </c>
      <c r="BF72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2.8535750876475048E-3</v>
      </c>
      <c r="BG721" s="271">
        <f>_xlfn.RANK.EQ(BF721,$BF$8:$BF$870,0)+COUNTIF($BF$8:BF721,BF721)-1</f>
        <v>714</v>
      </c>
      <c r="BH721" s="268">
        <f>(((FMS_Ranking4[[#This Row],[Structures Removed Raw]]/AK$4)*100)*AK$5)+(((FMS_Ranking4[[#This Row],[Removed Pop Raw]]/AR$4)*100)*AR$5)</f>
        <v>0</v>
      </c>
      <c r="BI72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1.5028535750876477</v>
      </c>
      <c r="BJ721" s="205">
        <f>_xlfn.RANK.EQ(FMS_Ranking4[[#This Row],[Total Score 
(with linear
normalization)]],FMS_Ranking4[Total Score 
(with linear
normalization)],0)</f>
        <v>602</v>
      </c>
      <c r="BK721" s="205" t="e">
        <f>_xlfn.XLOOKUP(FMS_Ranking4[[#This Row],[FMS ID]],#REF!,#REF!)</f>
        <v>#REF!</v>
      </c>
      <c r="BL72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6.8078958319452454</v>
      </c>
      <c r="BM721" s="272">
        <f>FMS_Ranking4[[#This Row],[ArcSinh Score Based on Normalized Reported Factors]]+FMS_Ranking4[[#This Row],[% NBS Score (Normalized)]]+(FMS_Ranking4[[#This Row],[Water Supply Score (Normalized)]]*10*$BB$5)+FMS_Ranking4[[#This Row],[FMS_Type Score Weighted]]</f>
        <v>8.3078958319452454</v>
      </c>
      <c r="BN721" s="205">
        <f>_xlfn.RANK.EQ(FMS_Ranking4[[#This Row],[Total Score (with ArcSinh normalization of select criteria)]],FMS_Ranking4[Total Score (with ArcSinh normalization of select criteria)],0)</f>
        <v>714</v>
      </c>
      <c r="BO721" s="270" t="str">
        <f>_xlfn.XLOOKUP(FMS_Ranking4[[#This Row],[FMS ID]],FMS_Input[FMS_ID],FMS_Input[FMS_RANK_YEAR])</f>
        <v>2023 Amended Plan</v>
      </c>
      <c r="BP721" s="204">
        <f>_xlfn.XLOOKUP(FMS_Ranking4[[#This Row],[FMS ID]],Prev_Rank[FMS ID],Prev_Rank[Prev Rank])</f>
        <v>642</v>
      </c>
      <c r="BQ721" s="205" t="e">
        <f>_xlfn.XLOOKUP(FMS_Ranking4[[#This Row],[FMS ID]],#REF!,#REF!)</f>
        <v>#REF!</v>
      </c>
      <c r="BR721" s="199" t="e">
        <f>SUM(#REF!,#REF!,#REF!,#REF!,#REF!,#REF!,#REF!,#REF!,#REF!,FMS_Ranking4[[#This Row],[ArcSinh Res struct removed 0-10]],#REF!)</f>
        <v>#REF!</v>
      </c>
      <c r="BS721" s="199" t="e">
        <f>FMS_Ranking4[[#This Row],[Log Score Based on Normalized Reported Factors]]+FMS_Ranking4[[#This Row],[% NBS Score (Normalized)]]+(FMS_Ranking4[[#This Row],[Water Supply Score (Normalized)]]*10*$BB$5)+(FMS_Ranking4[[#This Row],[FMS_Type Score Weighted]])</f>
        <v>#REF!</v>
      </c>
      <c r="BT721" s="200" t="e">
        <f>_xlfn.RANK.EQ(FMS_Ranking4[[#This Row],[Log Total Score]],FMS_Ranking4[Log Total Score],0)</f>
        <v>#REF!</v>
      </c>
      <c r="BU721" s="200" t="e">
        <f>_xlfn.XLOOKUP(FMS_Ranking4[[#This Row],[FMS ID]],#REF!,#REF!)</f>
        <v>#REF!</v>
      </c>
      <c r="BV721" s="200">
        <f>FMS_Ranking4[[#This Row],[Region Number]]</f>
        <v>6</v>
      </c>
      <c r="BW721" s="200">
        <f>FMS_Ranking4[[#This Row],[Rank (with ArcSinh normalization of select criteria)]]-FMS_Ranking4[[#This Row],[Rank
(with linear
normalization)]]</f>
        <v>112</v>
      </c>
      <c r="BX721" s="200" t="e">
        <f>FMS_Ranking4[[#This Row],[Log Rank]]-FMS_Ranking4[[#This Row],[Rank
(with linear
normalization)]]</f>
        <v>#REF!</v>
      </c>
      <c r="BY721" s="200" t="str">
        <f>IF(FMS_Ranking4[[#This Row],[FMS Type]]="Flood Measurement and Warning",FMS_Ranking4[[#This Row],[Rank (with ArcSinh normalization of select criteria)]],"")</f>
        <v/>
      </c>
      <c r="BZ721" s="200" t="str">
        <f>IF(FMS_Ranking4[[#This Row],[FMS Type]]="Regulatory and Guidance",FMS_Ranking4[[#This Row],[Rank (with ArcSinh normalization of select criteria)]],"")</f>
        <v/>
      </c>
      <c r="CA721" s="200">
        <f>IF(FMS_Ranking4[[#This Row],[FMS Type]]="Education and Outreach",FMS_Ranking4[[#This Row],[Rank (with ArcSinh normalization of select criteria)]],"")</f>
        <v>714</v>
      </c>
      <c r="CB721" s="200" t="str">
        <f>IF(FMS_Ranking4[[#This Row],[FMS Type]]="Property Acquisition and Structural Elevation",FMS_Ranking4[[#This Row],[Rank (with ArcSinh normalization of select criteria)]],"")</f>
        <v/>
      </c>
      <c r="CC721" s="200" t="str">
        <f>IF(FMS_Ranking4[[#This Row],[FMS Type]]="Infrastructure Projects",FMS_Ranking4[[#This Row],[Rank (with ArcSinh normalization of select criteria)]],"")</f>
        <v/>
      </c>
      <c r="CD721" s="200" t="str">
        <f>IF(FMS_Ranking4[[#This Row],[FMS Type]]="Other",FMS_Ranking4[[#This Row],[Rank (with ArcSinh normalization of select criteria)]],"")</f>
        <v/>
      </c>
      <c r="CE721" s="201"/>
      <c r="CF721" s="206"/>
      <c r="CG721" s="206"/>
      <c r="CH721" s="206"/>
      <c r="CI721" s="206"/>
      <c r="CJ721" s="206"/>
      <c r="CK721" s="206"/>
      <c r="CL721" s="206"/>
      <c r="CM721" s="206"/>
      <c r="CN721" s="206"/>
      <c r="CO721" s="206"/>
      <c r="CP721" s="206"/>
      <c r="CQ721" s="206"/>
      <c r="CR721" s="206"/>
    </row>
    <row r="722" spans="2:96" ht="75" x14ac:dyDescent="0.25">
      <c r="B722" s="341" t="s">
        <v>75</v>
      </c>
      <c r="C722" s="246">
        <f>_xlfn.XLOOKUP(FMS_Ranking4[[#This Row],[FMS ID]],FMS_Input[FMS_ID],FMS_Input[RFPG_NUM])</f>
        <v>6</v>
      </c>
      <c r="D722" s="309" t="str">
        <f>_xlfn.XLOOKUP(FMS_Ranking4[[#This Row],[FMS ID]],FMS_Input[FMS_ID],FMS_Input[FMS_NAME])</f>
        <v>Increase Public Awareness of Hazards in City of Arcola</v>
      </c>
      <c r="E722" s="308" t="str">
        <f>_xlfn.XLOOKUP(FMS_Ranking4[[#This Row],[FMS ID]],FMS_Input[FMS_ID],FMS_Input[SPONSOR])</f>
        <v>00002557</v>
      </c>
      <c r="F722" s="309" t="str">
        <f>_xlfn.XLOOKUP(FMS_Ranking4[[#This Row],[FMS ID]],Sponsor[FMS_ID],Sponsor[SPONSOR NAME])</f>
        <v>Arcola</v>
      </c>
      <c r="G722" s="309" t="str">
        <f>_xlfn.XLOOKUP(FMS_Ranking4[[#This Row],[FMS ID]],FMS_Input[FMS_ID],FMS_Input[FMS_DESCR])</f>
        <v>Increase public awareness of hazards and hazardous areas. Distribute public awareness information regarding flood hazards.</v>
      </c>
      <c r="H722" s="248" t="str">
        <f>_xlfn.XLOOKUP(FMS_Ranking4[[#This Row],[FMS ID]],FMS_Input[FMS_ID],FMS_Input[FMS_TYPE])</f>
        <v>Education and Outreach</v>
      </c>
      <c r="I722" s="249">
        <f>_xlfn.XLOOKUP(FMS_Ranking4[[#This Row],[FMS ID]],FMS_Input[FMS_ID],FMS_Input[NRNC_COST])</f>
        <v>2500</v>
      </c>
      <c r="J722" s="250">
        <f>_xlfn.XLOOKUP(FMS_Ranking4[[#This Row],[FMS ID]],FMS_Input[FMS_ID],FMS_Input[FMS_COST])</f>
        <v>50000</v>
      </c>
      <c r="K722" s="251" t="str">
        <f>_xlfn.XLOOKUP(FMS_Ranking4[[#This Row],[FMS ID]],FMS_Input[FMS_ID],FMS_Input[EMER_NEED])</f>
        <v>No</v>
      </c>
      <c r="L722" s="252">
        <f t="shared" si="11"/>
        <v>0</v>
      </c>
      <c r="M722" s="253">
        <f>_xlfn.XLOOKUP(FMS_Ranking4[[#This Row],[FMS ID]],FMS_Input[FMS_ID],FMS_Input[STRUCT_100])</f>
        <v>41</v>
      </c>
      <c r="N722" s="255">
        <f>(ASINH(FMS_Ranking4[[#This Row],[Structure at Risk Raw]]))*(10)/(ASINH(M$4))</f>
        <v>3.4644543512028521</v>
      </c>
      <c r="O722" s="256">
        <f>FMS_Ranking4[[#This Row],[Structures at risk, ArcSinh (0-10)]]*M$5*10</f>
        <v>3.4644543512028525</v>
      </c>
      <c r="P722" s="253">
        <f>_xlfn.XLOOKUP(FMS_Ranking4[[#This Row],[FMS ID]],FMS_Input[FMS_ID],FMS_Input[RES_STRUCT100])</f>
        <v>37</v>
      </c>
      <c r="Q722" s="257">
        <f>ASINH(FMS_Ranking4[[#This Row],[Res Structure Raw]])/Q$4*P$5*100</f>
        <v>0</v>
      </c>
      <c r="R722" s="253">
        <f>_xlfn.XLOOKUP(FMS_Ranking4[[#This Row],[FMS ID]],FMS_Input[FMS_ID],FMS_Input[POP100])</f>
        <v>39</v>
      </c>
      <c r="S722" s="259">
        <f>(ASINH(FMS_Ranking4[[#This Row],[Pop at Risk Raw]]))*(10)/(ASINH(R$4))</f>
        <v>3.0078031847802769</v>
      </c>
      <c r="T722" s="256">
        <f>FMS_Ranking4[[#This Row],[Population at risk, ArcSinh (0-10)]]*R$5*10</f>
        <v>3.0078031847802773</v>
      </c>
      <c r="U722" s="253">
        <f>_xlfn.XLOOKUP(FMS_Ranking4[[#This Row],[FMS ID]],FMS_Input[FMS_ID],FMS_Input[CRITFAC100])</f>
        <v>0</v>
      </c>
      <c r="V722" s="259">
        <f>(ASINH(FMS_Ranking4[[#This Row],[Critical Facilities Raw]]))*(10)/(ASINH(U$4))</f>
        <v>0</v>
      </c>
      <c r="W722" s="256">
        <f>FMS_Ranking4[[#This Row],[Critical facilities at risk, ArcSinh (0-10)]]*U$5*10</f>
        <v>0</v>
      </c>
      <c r="X722" s="253">
        <f>_xlfn.XLOOKUP(FMS_Ranking4[[#This Row],[FMS ID]],FMS_Input[FMS_ID],FMS_Input[LWC])</f>
        <v>0</v>
      </c>
      <c r="Y722" s="259">
        <f>(ASINH(FMS_Ranking4[[#This Row],[LWC Raw]]))*(10)/(ASINH(X$4))</f>
        <v>0</v>
      </c>
      <c r="Z722" s="256">
        <f>FMS_Ranking4[[#This Row],[LWC, ArcSInh (0-10)]]*X$5*10</f>
        <v>0</v>
      </c>
      <c r="AA722" s="253">
        <f>_xlfn.XLOOKUP(FMS_Ranking4[[#This Row],[FMS ID]],FMS_Input[FMS_ID],FMS_Input[ROADCLS])</f>
        <v>0</v>
      </c>
      <c r="AB722" s="255">
        <f>(ASINH(FMS_Ranking4[[#This Row],[Road Closures Raw]]))*(10)/(ASINH(AA$4))</f>
        <v>0</v>
      </c>
      <c r="AC722" s="256">
        <f>FMS_Ranking4[[#This Row],[Road closures, ArcSinh (0-10)]]*AA$5*10</f>
        <v>0</v>
      </c>
      <c r="AD722" s="253">
        <f>_xlfn.XLOOKUP(FMS_Ranking4[[#This Row],[FMS ID]],FMS_Input[FMS_ID],FMS_Input[ROAD_MILES100])</f>
        <v>0</v>
      </c>
      <c r="AE722" s="259">
        <f>(ASINH(FMS_Ranking4[[#This Row],[Road Miles Raw]]))*(10)/(ASINH(AD$4))</f>
        <v>0</v>
      </c>
      <c r="AF722" s="256">
        <f>FMS_Ranking4[[#This Row],[Length of roads at risk, ArcSinh (0-10)]]*AD$5*10</f>
        <v>0</v>
      </c>
      <c r="AG722" s="253">
        <f>_xlfn.XLOOKUP(FMS_Ranking4[[#This Row],[FMS ID]],FMS_Input[FMS_ID],FMS_Input[FARMACRE100])</f>
        <v>1.227403044700623</v>
      </c>
      <c r="AH722" s="255">
        <f>(ASINH(FMS_Ranking4[[#This Row],[Ag Land Raw]]))*(10)/(ASINH(AG$4))</f>
        <v>0.67127659192423073</v>
      </c>
      <c r="AI722" s="260">
        <f>FMS_Ranking4[[#This Row],[Farm &amp; ranch land, ArcSinh (0-10)]]*AG$5*10</f>
        <v>0.33563829596211536</v>
      </c>
      <c r="AJ722" s="258">
        <f>_xlfn.XLOOKUP(FMS_Ranking4[[#This Row],[FMS ID]],FMS_Input[FMS_ID],FMS_Input[REDSTRUCT100])</f>
        <v>0</v>
      </c>
      <c r="AK722" s="253">
        <f>_xlfn.XLOOKUP(FMS_Ranking4[[#This Row],[FMS ID]],FMS_Input[FMS_ID],FMS_Input[REMSTRC100])</f>
        <v>0</v>
      </c>
      <c r="AL722" s="259">
        <f>(ASINH(FMS_Ranking4[[#This Row],[Structures Removed Raw]]))*(10)/(ASINH(AK$4))</f>
        <v>0</v>
      </c>
      <c r="AM722" s="262">
        <f>FMS_Ranking4[[#This Row],[Structures removed, ArcSinh (0-10)]]*AK$5*10</f>
        <v>0</v>
      </c>
      <c r="AN722" s="253">
        <f>_xlfn.XLOOKUP(FMS_Ranking4[[#This Row],[FMS ID]],FMS_Input[FMS_ID],FMS_Input[REMRESSTRC100])</f>
        <v>0</v>
      </c>
      <c r="AO722" s="261">
        <f>FMS_Ranking4[[#This Row],[ArcSinh Res struct removed 0-10]]*AN$5*10</f>
        <v>0</v>
      </c>
      <c r="AP722" s="260">
        <f>ASINH(FMS_Ranking4[[#This Row],[Residential Structures Removed Raw]])/AP$4*AN$5*100</f>
        <v>0</v>
      </c>
      <c r="AQ722" s="254">
        <f>(ASINH(FMS_Ranking4[[#This Row],[Residential Structures Removed Raw]]))*(10)/(ASINH(AN$4))</f>
        <v>0</v>
      </c>
      <c r="AR722" s="253">
        <f>_xlfn.XLOOKUP(FMS_Ranking4[[#This Row],[FMS ID]],FMS_Input[FMS_ID],FMS_Input[REMPOP100])</f>
        <v>0</v>
      </c>
      <c r="AS722" s="259">
        <f>(ASINH(FMS_Ranking4[[#This Row],[Removed Pop Raw]]))*(10)/(ASINH(AR$4))</f>
        <v>0</v>
      </c>
      <c r="AT722" s="262">
        <f>FMS_Ranking4[[#This Row],[Removed population, ArcSinh (0-10)]]*AR$5*10</f>
        <v>0</v>
      </c>
      <c r="AU722" s="264">
        <f>_xlfn.XLOOKUP(FMS_Ranking4[[#This Row],[FMS ID]],FMS_Input[FMS_ID],FMS_Input[REMCRITFAC100])</f>
        <v>0</v>
      </c>
      <c r="AV722" s="264">
        <f>_xlfn.XLOOKUP(FMS_Ranking4[[#This Row],[FMS ID]],FMS_Input[FMS_ID],FMS_Input[REMLWC100])</f>
        <v>0</v>
      </c>
      <c r="AW722" s="264">
        <f>_xlfn.XLOOKUP(FMS_Ranking4[[#This Row],[FMS ID]],FMS_Input[FMS_ID],FMS_Input[REMROADCLS])</f>
        <v>0</v>
      </c>
      <c r="AX722" s="264">
        <f>_xlfn.XLOOKUP(FMS_Ranking4[[#This Row],[FMS ID]],FMS_Input[FMS_ID],FMS_Input[REMFRMACRE100])</f>
        <v>0</v>
      </c>
      <c r="AY722" s="258">
        <f>_xlfn.XLOOKUP(FMS_Ranking4[[#This Row],[FMS ID]],FMS_Input[FMS_ID],FMS_Input[COSTSTRUCT])</f>
        <v>0</v>
      </c>
      <c r="AZ722" s="253">
        <f>_xlfn.XLOOKUP(FMS_Ranking4[[#This Row],[FMS ID]],FMS_Input[FMS_ID],FMS_Input[NATURE])</f>
        <v>0</v>
      </c>
      <c r="BA722" s="262">
        <f>(((FMS_Ranking4[[#This Row],[% NBS Raw]]/AZ$4)*100)*AZ$5)</f>
        <v>0</v>
      </c>
      <c r="BB722" s="251" t="str">
        <f>_xlfn.XLOOKUP(FMS_Ranking4[[#This Row],[FMS ID]],FMS_Input[FMS_ID],FMS_Input[WATER_SUP])</f>
        <v>No</v>
      </c>
      <c r="BC722" s="265">
        <f>IF(FMS_Ranking4[[#This Row],[Water Supply Raw]]="Yes",10,0)</f>
        <v>0</v>
      </c>
      <c r="BD722" s="266">
        <f>_xlfn.XLOOKUP(FMS_Ranking4[[#This Row],[FMS Type]],FMS_TYPE[FMS_Type],FMS_TYPE[Score])</f>
        <v>6</v>
      </c>
      <c r="BE722" s="267">
        <f>FMS_Ranking4[[#This Row],[FMS_Type Score]]*$BD$5*10</f>
        <v>1.5000000000000002</v>
      </c>
      <c r="BF72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2.8535750876475048E-3</v>
      </c>
      <c r="BG722" s="271">
        <f>_xlfn.RANK.EQ(BF722,$BF$8:$BF$870,0)+COUNTIF($BF$8:BF722,BF722)-1</f>
        <v>715</v>
      </c>
      <c r="BH722" s="268">
        <f>(((FMS_Ranking4[[#This Row],[Structures Removed Raw]]/AK$4)*100)*AK$5)+(((FMS_Ranking4[[#This Row],[Removed Pop Raw]]/AR$4)*100)*AR$5)</f>
        <v>0</v>
      </c>
      <c r="BI72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1.5028535750876477</v>
      </c>
      <c r="BJ722" s="205">
        <f>_xlfn.RANK.EQ(FMS_Ranking4[[#This Row],[Total Score 
(with linear
normalization)]],FMS_Ranking4[Total Score 
(with linear
normalization)],0)</f>
        <v>602</v>
      </c>
      <c r="BK722" s="205" t="e">
        <f>_xlfn.XLOOKUP(FMS_Ranking4[[#This Row],[FMS ID]],#REF!,#REF!)</f>
        <v>#REF!</v>
      </c>
      <c r="BL72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6.8078958319452454</v>
      </c>
      <c r="BM722" s="272">
        <f>FMS_Ranking4[[#This Row],[ArcSinh Score Based on Normalized Reported Factors]]+FMS_Ranking4[[#This Row],[% NBS Score (Normalized)]]+(FMS_Ranking4[[#This Row],[Water Supply Score (Normalized)]]*10*$BB$5)+FMS_Ranking4[[#This Row],[FMS_Type Score Weighted]]</f>
        <v>8.3078958319452454</v>
      </c>
      <c r="BN722" s="205">
        <f>_xlfn.RANK.EQ(FMS_Ranking4[[#This Row],[Total Score (with ArcSinh normalization of select criteria)]],FMS_Ranking4[Total Score (with ArcSinh normalization of select criteria)],0)</f>
        <v>714</v>
      </c>
      <c r="BO722" s="270" t="str">
        <f>_xlfn.XLOOKUP(FMS_Ranking4[[#This Row],[FMS ID]],FMS_Input[FMS_ID],FMS_Input[FMS_RANK_YEAR])</f>
        <v>2023 Amended Plan</v>
      </c>
      <c r="BP722" s="204">
        <f>_xlfn.XLOOKUP(FMS_Ranking4[[#This Row],[FMS ID]],Prev_Rank[FMS ID],Prev_Rank[Prev Rank])</f>
        <v>642</v>
      </c>
      <c r="BQ722" s="205" t="e">
        <f>_xlfn.XLOOKUP(FMS_Ranking4[[#This Row],[FMS ID]],#REF!,#REF!)</f>
        <v>#REF!</v>
      </c>
      <c r="BR722" s="199" t="e">
        <f>SUM(#REF!,#REF!,#REF!,#REF!,#REF!,#REF!,#REF!,#REF!,#REF!,FMS_Ranking4[[#This Row],[ArcSinh Res struct removed 0-10]],#REF!)</f>
        <v>#REF!</v>
      </c>
      <c r="BS722" s="199" t="e">
        <f>FMS_Ranking4[[#This Row],[Log Score Based on Normalized Reported Factors]]+FMS_Ranking4[[#This Row],[% NBS Score (Normalized)]]+(FMS_Ranking4[[#This Row],[Water Supply Score (Normalized)]]*10*$BB$5)+(FMS_Ranking4[[#This Row],[FMS_Type Score Weighted]])</f>
        <v>#REF!</v>
      </c>
      <c r="BT722" s="200" t="e">
        <f>_xlfn.RANK.EQ(FMS_Ranking4[[#This Row],[Log Total Score]],FMS_Ranking4[Log Total Score],0)</f>
        <v>#REF!</v>
      </c>
      <c r="BU722" s="200" t="e">
        <f>_xlfn.XLOOKUP(FMS_Ranking4[[#This Row],[FMS ID]],#REF!,#REF!)</f>
        <v>#REF!</v>
      </c>
      <c r="BV722" s="200">
        <f>FMS_Ranking4[[#This Row],[Region Number]]</f>
        <v>6</v>
      </c>
      <c r="BW722" s="200">
        <f>FMS_Ranking4[[#This Row],[Rank (with ArcSinh normalization of select criteria)]]-FMS_Ranking4[[#This Row],[Rank
(with linear
normalization)]]</f>
        <v>112</v>
      </c>
      <c r="BX722" s="200" t="e">
        <f>FMS_Ranking4[[#This Row],[Log Rank]]-FMS_Ranking4[[#This Row],[Rank
(with linear
normalization)]]</f>
        <v>#REF!</v>
      </c>
      <c r="BY722" s="200" t="str">
        <f>IF(FMS_Ranking4[[#This Row],[FMS Type]]="Flood Measurement and Warning",FMS_Ranking4[[#This Row],[Rank (with ArcSinh normalization of select criteria)]],"")</f>
        <v/>
      </c>
      <c r="BZ722" s="200" t="str">
        <f>IF(FMS_Ranking4[[#This Row],[FMS Type]]="Regulatory and Guidance",FMS_Ranking4[[#This Row],[Rank (with ArcSinh normalization of select criteria)]],"")</f>
        <v/>
      </c>
      <c r="CA722" s="200">
        <f>IF(FMS_Ranking4[[#This Row],[FMS Type]]="Education and Outreach",FMS_Ranking4[[#This Row],[Rank (with ArcSinh normalization of select criteria)]],"")</f>
        <v>714</v>
      </c>
      <c r="CB722" s="200" t="str">
        <f>IF(FMS_Ranking4[[#This Row],[FMS Type]]="Property Acquisition and Structural Elevation",FMS_Ranking4[[#This Row],[Rank (with ArcSinh normalization of select criteria)]],"")</f>
        <v/>
      </c>
      <c r="CC722" s="200" t="str">
        <f>IF(FMS_Ranking4[[#This Row],[FMS Type]]="Infrastructure Projects",FMS_Ranking4[[#This Row],[Rank (with ArcSinh normalization of select criteria)]],"")</f>
        <v/>
      </c>
      <c r="CD722" s="200" t="str">
        <f>IF(FMS_Ranking4[[#This Row],[FMS Type]]="Other",FMS_Ranking4[[#This Row],[Rank (with ArcSinh normalization of select criteria)]],"")</f>
        <v/>
      </c>
      <c r="CE722" s="201"/>
      <c r="CF722" s="206"/>
      <c r="CG722" s="206"/>
      <c r="CH722" s="206"/>
      <c r="CI722" s="206"/>
      <c r="CJ722" s="206"/>
      <c r="CK722" s="206"/>
      <c r="CL722" s="206"/>
      <c r="CM722" s="206"/>
      <c r="CN722" s="206"/>
      <c r="CO722" s="206"/>
      <c r="CP722" s="206"/>
      <c r="CQ722" s="206"/>
      <c r="CR722" s="206"/>
    </row>
    <row r="723" spans="2:96" ht="45" x14ac:dyDescent="0.25">
      <c r="B723" s="341" t="s">
        <v>2392</v>
      </c>
      <c r="C723" s="246">
        <f>_xlfn.XLOOKUP(FMS_Ranking4[[#This Row],[FMS ID]],FMS_Input[FMS_ID],FMS_Input[RFPG_NUM])</f>
        <v>3</v>
      </c>
      <c r="D723" s="309" t="str">
        <f>_xlfn.XLOOKUP(FMS_Ranking4[[#This Row],[FMS ID]],FMS_Input[FMS_ID],FMS_Input[FMS_NAME])</f>
        <v>City of Leona NFIP Floodplain Ordinance</v>
      </c>
      <c r="E723" s="308" t="str">
        <f>_xlfn.XLOOKUP(FMS_Ranking4[[#This Row],[FMS ID]],FMS_Input[FMS_ID],FMS_Input[SPONSOR])</f>
        <v>Leona</v>
      </c>
      <c r="F723" s="309" t="str">
        <f>_xlfn.XLOOKUP(FMS_Ranking4[[#This Row],[FMS ID]],Sponsor[FMS_ID],Sponsor[SPONSOR NAME])</f>
        <v>Leona</v>
      </c>
      <c r="G723" s="309" t="str">
        <f>_xlfn.XLOOKUP(FMS_Ranking4[[#This Row],[FMS ID]],FMS_Input[FMS_ID],FMS_Input[FMS_DESCR])</f>
        <v>Develop a floodplain ordinance that meets or exceeds FEMA's minimum standards</v>
      </c>
      <c r="H723" s="248" t="str">
        <f>_xlfn.XLOOKUP(FMS_Ranking4[[#This Row],[FMS ID]],FMS_Input[FMS_ID],FMS_Input[FMS_TYPE])</f>
        <v>Regulatory and Guidance</v>
      </c>
      <c r="I723" s="249">
        <f>_xlfn.XLOOKUP(FMS_Ranking4[[#This Row],[FMS ID]],FMS_Input[FMS_ID],FMS_Input[NRNC_COST])</f>
        <v>100000</v>
      </c>
      <c r="J723" s="250">
        <f>_xlfn.XLOOKUP(FMS_Ranking4[[#This Row],[FMS ID]],FMS_Input[FMS_ID],FMS_Input[FMS_COST])</f>
        <v>100000</v>
      </c>
      <c r="K723" s="251" t="str">
        <f>_xlfn.XLOOKUP(FMS_Ranking4[[#This Row],[FMS ID]],FMS_Input[FMS_ID],FMS_Input[EMER_NEED])</f>
        <v>No</v>
      </c>
      <c r="L723" s="252">
        <f t="shared" si="11"/>
        <v>0</v>
      </c>
      <c r="M723" s="253">
        <f>_xlfn.XLOOKUP(FMS_Ranking4[[#This Row],[FMS ID]],FMS_Input[FMS_ID],FMS_Input[STRUCT_100])</f>
        <v>9</v>
      </c>
      <c r="N723" s="255">
        <f>(ASINH(FMS_Ranking4[[#This Row],[Structure at Risk Raw]]))*(10)/(ASINH(M$4))</f>
        <v>2.2746777880562381</v>
      </c>
      <c r="O723" s="256">
        <f>FMS_Ranking4[[#This Row],[Structures at risk, ArcSinh (0-10)]]*M$5*10</f>
        <v>2.2746777880562381</v>
      </c>
      <c r="P723" s="253">
        <f>_xlfn.XLOOKUP(FMS_Ranking4[[#This Row],[FMS ID]],FMS_Input[FMS_ID],FMS_Input[RES_STRUCT100])</f>
        <v>8</v>
      </c>
      <c r="Q723" s="257">
        <f>ASINH(FMS_Ranking4[[#This Row],[Res Structure Raw]])/Q$4*P$5*100</f>
        <v>0</v>
      </c>
      <c r="R723" s="253">
        <f>_xlfn.XLOOKUP(FMS_Ranking4[[#This Row],[FMS ID]],FMS_Input[FMS_ID],FMS_Input[POP100])</f>
        <v>3</v>
      </c>
      <c r="S723" s="259">
        <f>(ASINH(FMS_Ranking4[[#This Row],[Pop at Risk Raw]]))*(10)/(ASINH(R$4))</f>
        <v>1.2553794569988064</v>
      </c>
      <c r="T723" s="256">
        <f>FMS_Ranking4[[#This Row],[Population at risk, ArcSinh (0-10)]]*R$5*10</f>
        <v>1.2553794569988064</v>
      </c>
      <c r="U723" s="253">
        <f>_xlfn.XLOOKUP(FMS_Ranking4[[#This Row],[FMS ID]],FMS_Input[FMS_ID],FMS_Input[CRITFAC100])</f>
        <v>1</v>
      </c>
      <c r="V723" s="259">
        <f>(ASINH(FMS_Ranking4[[#This Row],[Critical Facilities Raw]]))*(10)/(ASINH(U$4))</f>
        <v>1.0433384451410745</v>
      </c>
      <c r="W723" s="256">
        <f>FMS_Ranking4[[#This Row],[Critical facilities at risk, ArcSinh (0-10)]]*U$5*10</f>
        <v>1.0433384451410745</v>
      </c>
      <c r="X723" s="253">
        <f>_xlfn.XLOOKUP(FMS_Ranking4[[#This Row],[FMS ID]],FMS_Input[FMS_ID],FMS_Input[LWC])</f>
        <v>0</v>
      </c>
      <c r="Y723" s="259">
        <f>(ASINH(FMS_Ranking4[[#This Row],[LWC Raw]]))*(10)/(ASINH(X$4))</f>
        <v>0</v>
      </c>
      <c r="Z723" s="256">
        <f>FMS_Ranking4[[#This Row],[LWC, ArcSInh (0-10)]]*X$5*10</f>
        <v>0</v>
      </c>
      <c r="AA723" s="253">
        <f>_xlfn.XLOOKUP(FMS_Ranking4[[#This Row],[FMS ID]],FMS_Input[FMS_ID],FMS_Input[ROADCLS])</f>
        <v>0</v>
      </c>
      <c r="AB723" s="255">
        <f>(ASINH(FMS_Ranking4[[#This Row],[Road Closures Raw]]))*(10)/(ASINH(AA$4))</f>
        <v>0</v>
      </c>
      <c r="AC723" s="256">
        <f>FMS_Ranking4[[#This Row],[Road closures, ArcSinh (0-10)]]*AA$5*10</f>
        <v>0</v>
      </c>
      <c r="AD723" s="253">
        <f>_xlfn.XLOOKUP(FMS_Ranking4[[#This Row],[FMS ID]],FMS_Input[FMS_ID],FMS_Input[ROAD_MILES100])</f>
        <v>0</v>
      </c>
      <c r="AE723" s="259">
        <f>(ASINH(FMS_Ranking4[[#This Row],[Road Miles Raw]]))*(10)/(ASINH(AD$4))</f>
        <v>0</v>
      </c>
      <c r="AF723" s="256">
        <f>FMS_Ranking4[[#This Row],[Length of roads at risk, ArcSinh (0-10)]]*AD$5*10</f>
        <v>0</v>
      </c>
      <c r="AG723" s="253">
        <f>_xlfn.XLOOKUP(FMS_Ranking4[[#This Row],[FMS ID]],FMS_Input[FMS_ID],FMS_Input[FARMACRE100])</f>
        <v>100.02960205078119</v>
      </c>
      <c r="AH723" s="255">
        <f>(ASINH(FMS_Ranking4[[#This Row],[Ag Land Raw]]))*(10)/(ASINH(AG$4))</f>
        <v>3.4418972701613288</v>
      </c>
      <c r="AI723" s="260">
        <f>FMS_Ranking4[[#This Row],[Farm &amp; ranch land, ArcSinh (0-10)]]*AG$5*10</f>
        <v>1.7209486350806646</v>
      </c>
      <c r="AJ723" s="258">
        <f>_xlfn.XLOOKUP(FMS_Ranking4[[#This Row],[FMS ID]],FMS_Input[FMS_ID],FMS_Input[REDSTRUCT100])</f>
        <v>0</v>
      </c>
      <c r="AK723" s="253">
        <f>_xlfn.XLOOKUP(FMS_Ranking4[[#This Row],[FMS ID]],FMS_Input[FMS_ID],FMS_Input[REMSTRC100])</f>
        <v>0</v>
      </c>
      <c r="AL723" s="259">
        <f>(ASINH(FMS_Ranking4[[#This Row],[Structures Removed Raw]]))*(10)/(ASINH(AK$4))</f>
        <v>0</v>
      </c>
      <c r="AM723" s="262">
        <f>FMS_Ranking4[[#This Row],[Structures removed, ArcSinh (0-10)]]*AK$5*10</f>
        <v>0</v>
      </c>
      <c r="AN723" s="253">
        <f>_xlfn.XLOOKUP(FMS_Ranking4[[#This Row],[FMS ID]],FMS_Input[FMS_ID],FMS_Input[REMRESSTRC100])</f>
        <v>0</v>
      </c>
      <c r="AO723" s="261">
        <f>FMS_Ranking4[[#This Row],[ArcSinh Res struct removed 0-10]]*AN$5*10</f>
        <v>0</v>
      </c>
      <c r="AP723" s="260">
        <f>ASINH(FMS_Ranking4[[#This Row],[Residential Structures Removed Raw]])/AP$4*AN$5*100</f>
        <v>0</v>
      </c>
      <c r="AQ723" s="254">
        <f>(ASINH(FMS_Ranking4[[#This Row],[Residential Structures Removed Raw]]))*(10)/(ASINH(AN$4))</f>
        <v>0</v>
      </c>
      <c r="AR723" s="253">
        <f>_xlfn.XLOOKUP(FMS_Ranking4[[#This Row],[FMS ID]],FMS_Input[FMS_ID],FMS_Input[REMPOP100])</f>
        <v>0</v>
      </c>
      <c r="AS723" s="259">
        <f>(ASINH(FMS_Ranking4[[#This Row],[Removed Pop Raw]]))*(10)/(ASINH(AR$4))</f>
        <v>0</v>
      </c>
      <c r="AT723" s="262">
        <f>FMS_Ranking4[[#This Row],[Removed population, ArcSinh (0-10)]]*AR$5*10</f>
        <v>0</v>
      </c>
      <c r="AU723" s="264">
        <f>_xlfn.XLOOKUP(FMS_Ranking4[[#This Row],[FMS ID]],FMS_Input[FMS_ID],FMS_Input[REMCRITFAC100])</f>
        <v>0</v>
      </c>
      <c r="AV723" s="264">
        <f>_xlfn.XLOOKUP(FMS_Ranking4[[#This Row],[FMS ID]],FMS_Input[FMS_ID],FMS_Input[REMLWC100])</f>
        <v>0</v>
      </c>
      <c r="AW723" s="264">
        <f>_xlfn.XLOOKUP(FMS_Ranking4[[#This Row],[FMS ID]],FMS_Input[FMS_ID],FMS_Input[REMROADCLS])</f>
        <v>0</v>
      </c>
      <c r="AX723" s="264">
        <f>_xlfn.XLOOKUP(FMS_Ranking4[[#This Row],[FMS ID]],FMS_Input[FMS_ID],FMS_Input[REMFRMACRE100])</f>
        <v>0</v>
      </c>
      <c r="AY723" s="258">
        <f>_xlfn.XLOOKUP(FMS_Ranking4[[#This Row],[FMS ID]],FMS_Input[FMS_ID],FMS_Input[COSTSTRUCT])</f>
        <v>0</v>
      </c>
      <c r="AZ723" s="253">
        <f>_xlfn.XLOOKUP(FMS_Ranking4[[#This Row],[FMS ID]],FMS_Input[FMS_ID],FMS_Input[NATURE])</f>
        <v>0</v>
      </c>
      <c r="BA723" s="262">
        <f>(((FMS_Ranking4[[#This Row],[% NBS Raw]]/AZ$4)*100)*AZ$5)</f>
        <v>0</v>
      </c>
      <c r="BB723" s="251" t="str">
        <f>_xlfn.XLOOKUP(FMS_Ranking4[[#This Row],[FMS ID]],FMS_Input[FMS_ID],FMS_Input[WATER_SUP])</f>
        <v>No</v>
      </c>
      <c r="BC723" s="265">
        <f>IF(FMS_Ranking4[[#This Row],[Water Supply Raw]]="Yes",10,0)</f>
        <v>0</v>
      </c>
      <c r="BD723" s="266">
        <f>_xlfn.XLOOKUP(FMS_Ranking4[[#This Row],[FMS Type]],FMS_TYPE[FMS_Type],FMS_TYPE[Score])</f>
        <v>8</v>
      </c>
      <c r="BE723" s="267">
        <f>FMS_Ranking4[[#This Row],[FMS_Type Score]]*$BD$5*10</f>
        <v>2</v>
      </c>
      <c r="BF72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5.0633145957152802E-3</v>
      </c>
      <c r="BG723" s="271">
        <f>_xlfn.RANK.EQ(BF723,$BF$8:$BF$870,0)+COUNTIF($BF$8:BF723,BF723)-1</f>
        <v>688</v>
      </c>
      <c r="BH723" s="268">
        <f>(((FMS_Ranking4[[#This Row],[Structures Removed Raw]]/AK$4)*100)*AK$5)+(((FMS_Ranking4[[#This Row],[Removed Pop Raw]]/AR$4)*100)*AR$5)</f>
        <v>0</v>
      </c>
      <c r="BI72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2.0050633145957151</v>
      </c>
      <c r="BJ723" s="205">
        <f>_xlfn.RANK.EQ(FMS_Ranking4[[#This Row],[Total Score 
(with linear
normalization)]],FMS_Ranking4[Total Score 
(with linear
normalization)],0)</f>
        <v>436</v>
      </c>
      <c r="BK723" s="205" t="e">
        <f>_xlfn.XLOOKUP(FMS_Ranking4[[#This Row],[FMS ID]],#REF!,#REF!)</f>
        <v>#REF!</v>
      </c>
      <c r="BL72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6.294344325276783</v>
      </c>
      <c r="BM723" s="272">
        <f>FMS_Ranking4[[#This Row],[ArcSinh Score Based on Normalized Reported Factors]]+FMS_Ranking4[[#This Row],[% NBS Score (Normalized)]]+(FMS_Ranking4[[#This Row],[Water Supply Score (Normalized)]]*10*$BB$5)+FMS_Ranking4[[#This Row],[FMS_Type Score Weighted]]</f>
        <v>8.2943443252767821</v>
      </c>
      <c r="BN723" s="205">
        <f>_xlfn.RANK.EQ(FMS_Ranking4[[#This Row],[Total Score (with ArcSinh normalization of select criteria)]],FMS_Ranking4[Total Score (with ArcSinh normalization of select criteria)],0)</f>
        <v>716</v>
      </c>
      <c r="BO723" s="270" t="str">
        <f>_xlfn.XLOOKUP(FMS_Ranking4[[#This Row],[FMS ID]],FMS_Input[FMS_ID],FMS_Input[FMS_RANK_YEAR])</f>
        <v>2023 Amended Plan</v>
      </c>
      <c r="BP723" s="204">
        <f>_xlfn.XLOOKUP(FMS_Ranking4[[#This Row],[FMS ID]],Prev_Rank[FMS ID],Prev_Rank[Prev Rank])</f>
        <v>648</v>
      </c>
      <c r="BQ723" s="205" t="e">
        <f>_xlfn.XLOOKUP(FMS_Ranking4[[#This Row],[FMS ID]],#REF!,#REF!)</f>
        <v>#REF!</v>
      </c>
      <c r="BR723" s="199" t="e">
        <f>SUM(#REF!,#REF!,#REF!,#REF!,#REF!,#REF!,#REF!,#REF!,#REF!,FMS_Ranking4[[#This Row],[ArcSinh Res struct removed 0-10]],#REF!)</f>
        <v>#REF!</v>
      </c>
      <c r="BS723" s="199" t="e">
        <f>FMS_Ranking4[[#This Row],[Log Score Based on Normalized Reported Factors]]+FMS_Ranking4[[#This Row],[% NBS Score (Normalized)]]+(FMS_Ranking4[[#This Row],[Water Supply Score (Normalized)]]*10*$BB$5)+(FMS_Ranking4[[#This Row],[FMS_Type Score Weighted]])</f>
        <v>#REF!</v>
      </c>
      <c r="BT723" s="200" t="e">
        <f>_xlfn.RANK.EQ(FMS_Ranking4[[#This Row],[Log Total Score]],FMS_Ranking4[Log Total Score],0)</f>
        <v>#REF!</v>
      </c>
      <c r="BU723" s="200" t="e">
        <f>_xlfn.XLOOKUP(FMS_Ranking4[[#This Row],[FMS ID]],#REF!,#REF!)</f>
        <v>#REF!</v>
      </c>
      <c r="BV723" s="200">
        <f>FMS_Ranking4[[#This Row],[Region Number]]</f>
        <v>3</v>
      </c>
      <c r="BW723" s="200">
        <f>FMS_Ranking4[[#This Row],[Rank (with ArcSinh normalization of select criteria)]]-FMS_Ranking4[[#This Row],[Rank
(with linear
normalization)]]</f>
        <v>280</v>
      </c>
      <c r="BX723" s="200" t="e">
        <f>FMS_Ranking4[[#This Row],[Log Rank]]-FMS_Ranking4[[#This Row],[Rank
(with linear
normalization)]]</f>
        <v>#REF!</v>
      </c>
      <c r="BY723" s="200" t="str">
        <f>IF(FMS_Ranking4[[#This Row],[FMS Type]]="Flood Measurement and Warning",FMS_Ranking4[[#This Row],[Rank (with ArcSinh normalization of select criteria)]],"")</f>
        <v/>
      </c>
      <c r="BZ723" s="200">
        <f>IF(FMS_Ranking4[[#This Row],[FMS Type]]="Regulatory and Guidance",FMS_Ranking4[[#This Row],[Rank (with ArcSinh normalization of select criteria)]],"")</f>
        <v>716</v>
      </c>
      <c r="CA723" s="200" t="str">
        <f>IF(FMS_Ranking4[[#This Row],[FMS Type]]="Education and Outreach",FMS_Ranking4[[#This Row],[Rank (with ArcSinh normalization of select criteria)]],"")</f>
        <v/>
      </c>
      <c r="CB723" s="200" t="str">
        <f>IF(FMS_Ranking4[[#This Row],[FMS Type]]="Property Acquisition and Structural Elevation",FMS_Ranking4[[#This Row],[Rank (with ArcSinh normalization of select criteria)]],"")</f>
        <v/>
      </c>
      <c r="CC723" s="200" t="str">
        <f>IF(FMS_Ranking4[[#This Row],[FMS Type]]="Infrastructure Projects",FMS_Ranking4[[#This Row],[Rank (with ArcSinh normalization of select criteria)]],"")</f>
        <v/>
      </c>
      <c r="CD723" s="200" t="str">
        <f>IF(FMS_Ranking4[[#This Row],[FMS Type]]="Other",FMS_Ranking4[[#This Row],[Rank (with ArcSinh normalization of select criteria)]],"")</f>
        <v/>
      </c>
      <c r="CE723" s="201"/>
      <c r="CF723" s="206"/>
      <c r="CG723" s="206"/>
      <c r="CH723" s="206"/>
      <c r="CI723" s="206"/>
      <c r="CJ723" s="206"/>
      <c r="CK723" s="206"/>
      <c r="CL723" s="206"/>
      <c r="CM723" s="206"/>
      <c r="CN723" s="206"/>
      <c r="CO723" s="206"/>
      <c r="CP723" s="206"/>
      <c r="CQ723" s="206"/>
      <c r="CR723" s="206"/>
    </row>
    <row r="724" spans="2:96" ht="90" x14ac:dyDescent="0.25">
      <c r="B724" s="341" t="s">
        <v>4803</v>
      </c>
      <c r="C724" s="246">
        <f>_xlfn.XLOOKUP(FMS_Ranking4[[#This Row],[FMS ID]],FMS_Input[FMS_ID],FMS_Input[RFPG_NUM])</f>
        <v>4</v>
      </c>
      <c r="D724" s="309" t="str">
        <f>_xlfn.XLOOKUP(FMS_Ranking4[[#This Row],[FMS ID]],FMS_Input[FMS_ID],FMS_Input[FMS_NAME])</f>
        <v>City of Wills Point Flood Awareness Program</v>
      </c>
      <c r="E724" s="308" t="str">
        <f>_xlfn.XLOOKUP(FMS_Ranking4[[#This Row],[FMS ID]],FMS_Input[FMS_ID],FMS_Input[SPONSOR])</f>
        <v>00002589</v>
      </c>
      <c r="F724" s="309" t="str">
        <f>_xlfn.XLOOKUP(FMS_Ranking4[[#This Row],[FMS ID]],Sponsor[FMS_ID],Sponsor[SPONSOR NAME])</f>
        <v>Wills Point</v>
      </c>
      <c r="G724" s="309" t="str">
        <f>_xlfn.XLOOKUP(FMS_Ranking4[[#This Row],[FMS ID]],FMS_Input[FMS_ID],FMS_Input[FMS_DESCR])</f>
        <v>Educate community on the dangers of low water crossings through the installation of warning signs and promotion of “Turn Around, Don’t Drown” Program.</v>
      </c>
      <c r="H724" s="248" t="str">
        <f>_xlfn.XLOOKUP(FMS_Ranking4[[#This Row],[FMS ID]],FMS_Input[FMS_ID],FMS_Input[FMS_TYPE])</f>
        <v>Education and Outreach</v>
      </c>
      <c r="I724" s="249">
        <f>_xlfn.XLOOKUP(FMS_Ranking4[[#This Row],[FMS ID]],FMS_Input[FMS_ID],FMS_Input[NRNC_COST])</f>
        <v>10200</v>
      </c>
      <c r="J724" s="250">
        <f>_xlfn.XLOOKUP(FMS_Ranking4[[#This Row],[FMS ID]],FMS_Input[FMS_ID],FMS_Input[FMS_COST])</f>
        <v>10200</v>
      </c>
      <c r="K724" s="251" t="str">
        <f>_xlfn.XLOOKUP(FMS_Ranking4[[#This Row],[FMS ID]],FMS_Input[FMS_ID],FMS_Input[EMER_NEED])</f>
        <v>No</v>
      </c>
      <c r="L724" s="252">
        <f t="shared" si="11"/>
        <v>0</v>
      </c>
      <c r="M724" s="253">
        <f>_xlfn.XLOOKUP(FMS_Ranking4[[#This Row],[FMS ID]],FMS_Input[FMS_ID],FMS_Input[STRUCT_100])</f>
        <v>12</v>
      </c>
      <c r="N724" s="255">
        <f>(ASINH(FMS_Ranking4[[#This Row],[Structure at Risk Raw]]))*(10)/(ASINH(M$4))</f>
        <v>2.4997848035776333</v>
      </c>
      <c r="O724" s="256">
        <f>FMS_Ranking4[[#This Row],[Structures at risk, ArcSinh (0-10)]]*M$5*10</f>
        <v>2.4997848035776333</v>
      </c>
      <c r="P724" s="253">
        <f>_xlfn.XLOOKUP(FMS_Ranking4[[#This Row],[FMS ID]],FMS_Input[FMS_ID],FMS_Input[RES_STRUCT100])</f>
        <v>4</v>
      </c>
      <c r="Q724" s="257">
        <f>ASINH(FMS_Ranking4[[#This Row],[Res Structure Raw]])/Q$4*P$5*100</f>
        <v>0</v>
      </c>
      <c r="R724" s="253">
        <f>_xlfn.XLOOKUP(FMS_Ranking4[[#This Row],[FMS ID]],FMS_Input[FMS_ID],FMS_Input[POP100])</f>
        <v>29</v>
      </c>
      <c r="S724" s="259">
        <f>(ASINH(FMS_Ranking4[[#This Row],[Pop at Risk Raw]]))*(10)/(ASINH(R$4))</f>
        <v>2.8033653287721343</v>
      </c>
      <c r="T724" s="256">
        <f>FMS_Ranking4[[#This Row],[Population at risk, ArcSinh (0-10)]]*R$5*10</f>
        <v>2.8033653287721343</v>
      </c>
      <c r="U724" s="253">
        <f>_xlfn.XLOOKUP(FMS_Ranking4[[#This Row],[FMS ID]],FMS_Input[FMS_ID],FMS_Input[CRITFAC100])</f>
        <v>0</v>
      </c>
      <c r="V724" s="259">
        <f>(ASINH(FMS_Ranking4[[#This Row],[Critical Facilities Raw]]))*(10)/(ASINH(U$4))</f>
        <v>0</v>
      </c>
      <c r="W724" s="256">
        <f>FMS_Ranking4[[#This Row],[Critical facilities at risk, ArcSinh (0-10)]]*U$5*10</f>
        <v>0</v>
      </c>
      <c r="X724" s="253">
        <f>_xlfn.XLOOKUP(FMS_Ranking4[[#This Row],[FMS ID]],FMS_Input[FMS_ID],FMS_Input[LWC])</f>
        <v>0</v>
      </c>
      <c r="Y724" s="259">
        <f>(ASINH(FMS_Ranking4[[#This Row],[LWC Raw]]))*(10)/(ASINH(X$4))</f>
        <v>0</v>
      </c>
      <c r="Z724" s="256">
        <f>FMS_Ranking4[[#This Row],[LWC, ArcSInh (0-10)]]*X$5*10</f>
        <v>0</v>
      </c>
      <c r="AA724" s="253">
        <f>_xlfn.XLOOKUP(FMS_Ranking4[[#This Row],[FMS ID]],FMS_Input[FMS_ID],FMS_Input[ROADCLS])</f>
        <v>0</v>
      </c>
      <c r="AB724" s="255">
        <f>(ASINH(FMS_Ranking4[[#This Row],[Road Closures Raw]]))*(10)/(ASINH(AA$4))</f>
        <v>0</v>
      </c>
      <c r="AC724" s="256">
        <f>FMS_Ranking4[[#This Row],[Road closures, ArcSinh (0-10)]]*AA$5*10</f>
        <v>0</v>
      </c>
      <c r="AD724" s="253">
        <f>_xlfn.XLOOKUP(FMS_Ranking4[[#This Row],[FMS ID]],FMS_Input[FMS_ID],FMS_Input[ROAD_MILES100])</f>
        <v>0</v>
      </c>
      <c r="AE724" s="259">
        <f>(ASINH(FMS_Ranking4[[#This Row],[Road Miles Raw]]))*(10)/(ASINH(AD$4))</f>
        <v>0</v>
      </c>
      <c r="AF724" s="256">
        <f>FMS_Ranking4[[#This Row],[Length of roads at risk, ArcSinh (0-10)]]*AD$5*10</f>
        <v>0</v>
      </c>
      <c r="AG724" s="253">
        <f>_xlfn.XLOOKUP(FMS_Ranking4[[#This Row],[FMS ID]],FMS_Input[FMS_ID],FMS_Input[FARMACRE100])</f>
        <v>47.200588226318359</v>
      </c>
      <c r="AH724" s="255">
        <f>(ASINH(FMS_Ranking4[[#This Row],[Ag Land Raw]]))*(10)/(ASINH(AG$4))</f>
        <v>2.9540793869352382</v>
      </c>
      <c r="AI724" s="260">
        <f>FMS_Ranking4[[#This Row],[Farm &amp; ranch land, ArcSinh (0-10)]]*AG$5*10</f>
        <v>1.4770396934676191</v>
      </c>
      <c r="AJ724" s="258">
        <f>_xlfn.XLOOKUP(FMS_Ranking4[[#This Row],[FMS ID]],FMS_Input[FMS_ID],FMS_Input[REDSTRUCT100])</f>
        <v>0</v>
      </c>
      <c r="AK724" s="253">
        <f>_xlfn.XLOOKUP(FMS_Ranking4[[#This Row],[FMS ID]],FMS_Input[FMS_ID],FMS_Input[REMSTRC100])</f>
        <v>0</v>
      </c>
      <c r="AL724" s="259">
        <f>(ASINH(FMS_Ranking4[[#This Row],[Structures Removed Raw]]))*(10)/(ASINH(AK$4))</f>
        <v>0</v>
      </c>
      <c r="AM724" s="262">
        <f>FMS_Ranking4[[#This Row],[Structures removed, ArcSinh (0-10)]]*AK$5*10</f>
        <v>0</v>
      </c>
      <c r="AN724" s="253">
        <f>_xlfn.XLOOKUP(FMS_Ranking4[[#This Row],[FMS ID]],FMS_Input[FMS_ID],FMS_Input[REMRESSTRC100])</f>
        <v>0</v>
      </c>
      <c r="AO724" s="261">
        <f>FMS_Ranking4[[#This Row],[ArcSinh Res struct removed 0-10]]*AN$5*10</f>
        <v>0</v>
      </c>
      <c r="AP724" s="260">
        <f>ASINH(FMS_Ranking4[[#This Row],[Residential Structures Removed Raw]])/AP$4*AN$5*100</f>
        <v>0</v>
      </c>
      <c r="AQ724" s="254">
        <f>(ASINH(FMS_Ranking4[[#This Row],[Residential Structures Removed Raw]]))*(10)/(ASINH(AN$4))</f>
        <v>0</v>
      </c>
      <c r="AR724" s="253">
        <f>_xlfn.XLOOKUP(FMS_Ranking4[[#This Row],[FMS ID]],FMS_Input[FMS_ID],FMS_Input[REMPOP100])</f>
        <v>0</v>
      </c>
      <c r="AS724" s="259">
        <f>(ASINH(FMS_Ranking4[[#This Row],[Removed Pop Raw]]))*(10)/(ASINH(AR$4))</f>
        <v>0</v>
      </c>
      <c r="AT724" s="262">
        <f>FMS_Ranking4[[#This Row],[Removed population, ArcSinh (0-10)]]*AR$5*10</f>
        <v>0</v>
      </c>
      <c r="AU724" s="264">
        <f>_xlfn.XLOOKUP(FMS_Ranking4[[#This Row],[FMS ID]],FMS_Input[FMS_ID],FMS_Input[REMCRITFAC100])</f>
        <v>0</v>
      </c>
      <c r="AV724" s="264">
        <f>_xlfn.XLOOKUP(FMS_Ranking4[[#This Row],[FMS ID]],FMS_Input[FMS_ID],FMS_Input[REMLWC100])</f>
        <v>0</v>
      </c>
      <c r="AW724" s="264">
        <f>_xlfn.XLOOKUP(FMS_Ranking4[[#This Row],[FMS ID]],FMS_Input[FMS_ID],FMS_Input[REMROADCLS])</f>
        <v>0</v>
      </c>
      <c r="AX724" s="264">
        <f>_xlfn.XLOOKUP(FMS_Ranking4[[#This Row],[FMS ID]],FMS_Input[FMS_ID],FMS_Input[REMFRMACRE100])</f>
        <v>0</v>
      </c>
      <c r="AY724" s="258">
        <f>_xlfn.XLOOKUP(FMS_Ranking4[[#This Row],[FMS ID]],FMS_Input[FMS_ID],FMS_Input[COSTSTRUCT])</f>
        <v>0</v>
      </c>
      <c r="AZ724" s="253">
        <f>_xlfn.XLOOKUP(FMS_Ranking4[[#This Row],[FMS ID]],FMS_Input[FMS_ID],FMS_Input[NATURE])</f>
        <v>0</v>
      </c>
      <c r="BA724" s="262">
        <f>(((FMS_Ranking4[[#This Row],[% NBS Raw]]/AZ$4)*100)*AZ$5)</f>
        <v>0</v>
      </c>
      <c r="BB724" s="251" t="str">
        <f>_xlfn.XLOOKUP(FMS_Ranking4[[#This Row],[FMS ID]],FMS_Input[FMS_ID],FMS_Input[WATER_SUP])</f>
        <v>No</v>
      </c>
      <c r="BC724" s="265">
        <f>IF(FMS_Ranking4[[#This Row],[Water Supply Raw]]="Yes",10,0)</f>
        <v>0</v>
      </c>
      <c r="BD724" s="266">
        <f>_xlfn.XLOOKUP(FMS_Ranking4[[#This Row],[FMS Type]],FMS_TYPE[FMS_Type],FMS_TYPE[Score])</f>
        <v>6</v>
      </c>
      <c r="BE724" s="267">
        <f>FMS_Ranking4[[#This Row],[FMS_Type Score]]*$BD$5*10</f>
        <v>1.5000000000000002</v>
      </c>
      <c r="BF72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1.1117906012142087E-3</v>
      </c>
      <c r="BG724" s="271">
        <f>_xlfn.RANK.EQ(BF724,$BF$8:$BF$870,0)+COUNTIF($BF$8:BF724,BF724)-1</f>
        <v>746</v>
      </c>
      <c r="BH724" s="268">
        <f>(((FMS_Ranking4[[#This Row],[Structures Removed Raw]]/AK$4)*100)*AK$5)+(((FMS_Ranking4[[#This Row],[Removed Pop Raw]]/AR$4)*100)*AR$5)</f>
        <v>0</v>
      </c>
      <c r="BI72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1.5011117906012144</v>
      </c>
      <c r="BJ724" s="205">
        <f>_xlfn.RANK.EQ(FMS_Ranking4[[#This Row],[Total Score 
(with linear
normalization)]],FMS_Ranking4[Total Score 
(with linear
normalization)],0)</f>
        <v>606</v>
      </c>
      <c r="BK724" s="205" t="e">
        <f>_xlfn.XLOOKUP(FMS_Ranking4[[#This Row],[FMS ID]],#REF!,#REF!)</f>
        <v>#REF!</v>
      </c>
      <c r="BL72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6.7801898258173861</v>
      </c>
      <c r="BM724" s="272">
        <f>FMS_Ranking4[[#This Row],[ArcSinh Score Based on Normalized Reported Factors]]+FMS_Ranking4[[#This Row],[% NBS Score (Normalized)]]+(FMS_Ranking4[[#This Row],[Water Supply Score (Normalized)]]*10*$BB$5)+FMS_Ranking4[[#This Row],[FMS_Type Score Weighted]]</f>
        <v>8.2801898258173861</v>
      </c>
      <c r="BN724" s="205">
        <f>_xlfn.RANK.EQ(FMS_Ranking4[[#This Row],[Total Score (with ArcSinh normalization of select criteria)]],FMS_Ranking4[Total Score (with ArcSinh normalization of select criteria)],0)</f>
        <v>717</v>
      </c>
      <c r="BO724" s="270" t="str">
        <f>_xlfn.XLOOKUP(FMS_Ranking4[[#This Row],[FMS ID]],FMS_Input[FMS_ID],FMS_Input[FMS_RANK_YEAR])</f>
        <v>2023 Amended Plan</v>
      </c>
      <c r="BP724" s="204">
        <f>_xlfn.XLOOKUP(FMS_Ranking4[[#This Row],[FMS ID]],Prev_Rank[FMS ID],Prev_Rank[Prev Rank])</f>
        <v>646</v>
      </c>
      <c r="BQ724" s="205" t="e">
        <f>_xlfn.XLOOKUP(FMS_Ranking4[[#This Row],[FMS ID]],#REF!,#REF!)</f>
        <v>#REF!</v>
      </c>
      <c r="BR724" s="199" t="e">
        <f>SUM(#REF!,#REF!,#REF!,#REF!,#REF!,#REF!,#REF!,#REF!,#REF!,FMS_Ranking4[[#This Row],[ArcSinh Res struct removed 0-10]],#REF!)</f>
        <v>#REF!</v>
      </c>
      <c r="BS724" s="199" t="e">
        <f>FMS_Ranking4[[#This Row],[Log Score Based on Normalized Reported Factors]]+FMS_Ranking4[[#This Row],[% NBS Score (Normalized)]]+(FMS_Ranking4[[#This Row],[Water Supply Score (Normalized)]]*10*$BB$5)+(FMS_Ranking4[[#This Row],[FMS_Type Score Weighted]])</f>
        <v>#REF!</v>
      </c>
      <c r="BT724" s="200" t="e">
        <f>_xlfn.RANK.EQ(FMS_Ranking4[[#This Row],[Log Total Score]],FMS_Ranking4[Log Total Score],0)</f>
        <v>#REF!</v>
      </c>
      <c r="BU724" s="200" t="e">
        <f>_xlfn.XLOOKUP(FMS_Ranking4[[#This Row],[FMS ID]],#REF!,#REF!)</f>
        <v>#REF!</v>
      </c>
      <c r="BV724" s="200">
        <f>FMS_Ranking4[[#This Row],[Region Number]]</f>
        <v>4</v>
      </c>
      <c r="BW724" s="200">
        <f>FMS_Ranking4[[#This Row],[Rank (with ArcSinh normalization of select criteria)]]-FMS_Ranking4[[#This Row],[Rank
(with linear
normalization)]]</f>
        <v>111</v>
      </c>
      <c r="BX724" s="200" t="e">
        <f>FMS_Ranking4[[#This Row],[Log Rank]]-FMS_Ranking4[[#This Row],[Rank
(with linear
normalization)]]</f>
        <v>#REF!</v>
      </c>
      <c r="BY724" s="200" t="str">
        <f>IF(FMS_Ranking4[[#This Row],[FMS Type]]="Flood Measurement and Warning",FMS_Ranking4[[#This Row],[Rank (with ArcSinh normalization of select criteria)]],"")</f>
        <v/>
      </c>
      <c r="BZ724" s="200" t="str">
        <f>IF(FMS_Ranking4[[#This Row],[FMS Type]]="Regulatory and Guidance",FMS_Ranking4[[#This Row],[Rank (with ArcSinh normalization of select criteria)]],"")</f>
        <v/>
      </c>
      <c r="CA724" s="200">
        <f>IF(FMS_Ranking4[[#This Row],[FMS Type]]="Education and Outreach",FMS_Ranking4[[#This Row],[Rank (with ArcSinh normalization of select criteria)]],"")</f>
        <v>717</v>
      </c>
      <c r="CB724" s="200" t="str">
        <f>IF(FMS_Ranking4[[#This Row],[FMS Type]]="Property Acquisition and Structural Elevation",FMS_Ranking4[[#This Row],[Rank (with ArcSinh normalization of select criteria)]],"")</f>
        <v/>
      </c>
      <c r="CC724" s="200" t="str">
        <f>IF(FMS_Ranking4[[#This Row],[FMS Type]]="Infrastructure Projects",FMS_Ranking4[[#This Row],[Rank (with ArcSinh normalization of select criteria)]],"")</f>
        <v/>
      </c>
      <c r="CD724" s="200" t="str">
        <f>IF(FMS_Ranking4[[#This Row],[FMS Type]]="Other",FMS_Ranking4[[#This Row],[Rank (with ArcSinh normalization of select criteria)]],"")</f>
        <v/>
      </c>
      <c r="CE724" s="201"/>
      <c r="CF724" s="206"/>
      <c r="CG724" s="206"/>
      <c r="CH724" s="206"/>
      <c r="CI724" s="206"/>
      <c r="CJ724" s="206"/>
      <c r="CK724" s="206"/>
      <c r="CL724" s="206"/>
      <c r="CM724" s="206"/>
      <c r="CN724" s="206"/>
      <c r="CO724" s="206"/>
      <c r="CP724" s="206"/>
      <c r="CQ724" s="206"/>
      <c r="CR724" s="206"/>
    </row>
    <row r="725" spans="2:96" ht="30" x14ac:dyDescent="0.25">
      <c r="B725" s="341" t="s">
        <v>1213</v>
      </c>
      <c r="C725" s="246">
        <f>_xlfn.XLOOKUP(FMS_Ranking4[[#This Row],[FMS ID]],FMS_Input[FMS_ID],FMS_Input[RFPG_NUM])</f>
        <v>1</v>
      </c>
      <c r="D725" s="309" t="str">
        <f>_xlfn.XLOOKUP(FMS_Ranking4[[#This Row],[FMS ID]],FMS_Input[FMS_ID],FMS_Input[FMS_NAME])</f>
        <v>Dodson NFIP Involvement</v>
      </c>
      <c r="E725" s="308" t="str">
        <f>_xlfn.XLOOKUP(FMS_Ranking4[[#This Row],[FMS ID]],FMS_Input[FMS_ID],FMS_Input[SPONSOR])</f>
        <v>01003419</v>
      </c>
      <c r="F725" s="309" t="str">
        <f>_xlfn.XLOOKUP(FMS_Ranking4[[#This Row],[FMS ID]],Sponsor[FMS_ID],Sponsor[SPONSOR NAME])</f>
        <v>Dodson</v>
      </c>
      <c r="G725" s="309" t="str">
        <f>_xlfn.XLOOKUP(FMS_Ranking4[[#This Row],[FMS ID]],FMS_Input[FMS_ID],FMS_Input[FMS_DESCR])</f>
        <v>Application to join NFIP or adopt equivalent standards</v>
      </c>
      <c r="H725" s="248" t="str">
        <f>_xlfn.XLOOKUP(FMS_Ranking4[[#This Row],[FMS ID]],FMS_Input[FMS_ID],FMS_Input[FMS_TYPE])</f>
        <v>Regulatory and Guidance</v>
      </c>
      <c r="I725" s="249">
        <f>_xlfn.XLOOKUP(FMS_Ranking4[[#This Row],[FMS ID]],FMS_Input[FMS_ID],FMS_Input[NRNC_COST])</f>
        <v>100000</v>
      </c>
      <c r="J725" s="250">
        <f>_xlfn.XLOOKUP(FMS_Ranking4[[#This Row],[FMS ID]],FMS_Input[FMS_ID],FMS_Input[FMS_COST])</f>
        <v>100000</v>
      </c>
      <c r="K725" s="251" t="str">
        <f>_xlfn.XLOOKUP(FMS_Ranking4[[#This Row],[FMS ID]],FMS_Input[FMS_ID],FMS_Input[EMER_NEED])</f>
        <v>No</v>
      </c>
      <c r="L725" s="252">
        <f t="shared" si="11"/>
        <v>0</v>
      </c>
      <c r="M725" s="253">
        <f>_xlfn.XLOOKUP(FMS_Ranking4[[#This Row],[FMS ID]],FMS_Input[FMS_ID],FMS_Input[STRUCT_100])</f>
        <v>10</v>
      </c>
      <c r="N725" s="255">
        <f>(ASINH(FMS_Ranking4[[#This Row],[Structure at Risk Raw]]))*(10)/(ASINH(M$4))</f>
        <v>2.3570496549962385</v>
      </c>
      <c r="O725" s="256">
        <f>FMS_Ranking4[[#This Row],[Structures at risk, ArcSinh (0-10)]]*M$5*10</f>
        <v>2.3570496549962385</v>
      </c>
      <c r="P725" s="253">
        <f>_xlfn.XLOOKUP(FMS_Ranking4[[#This Row],[FMS ID]],FMS_Input[FMS_ID],FMS_Input[RES_STRUCT100])</f>
        <v>5</v>
      </c>
      <c r="Q725" s="257">
        <f>ASINH(FMS_Ranking4[[#This Row],[Res Structure Raw]])/Q$4*P$5*100</f>
        <v>0</v>
      </c>
      <c r="R725" s="253">
        <f>_xlfn.XLOOKUP(FMS_Ranking4[[#This Row],[FMS ID]],FMS_Input[FMS_ID],FMS_Input[POP100])</f>
        <v>14</v>
      </c>
      <c r="S725" s="259">
        <f>(ASINH(FMS_Ranking4[[#This Row],[Pop at Risk Raw]]))*(10)/(ASINH(R$4))</f>
        <v>2.3012936463949329</v>
      </c>
      <c r="T725" s="256">
        <f>FMS_Ranking4[[#This Row],[Population at risk, ArcSinh (0-10)]]*R$5*10</f>
        <v>2.3012936463949329</v>
      </c>
      <c r="U725" s="253">
        <f>_xlfn.XLOOKUP(FMS_Ranking4[[#This Row],[FMS ID]],FMS_Input[FMS_ID],FMS_Input[CRITFAC100])</f>
        <v>0</v>
      </c>
      <c r="V725" s="259">
        <f>(ASINH(FMS_Ranking4[[#This Row],[Critical Facilities Raw]]))*(10)/(ASINH(U$4))</f>
        <v>0</v>
      </c>
      <c r="W725" s="256">
        <f>FMS_Ranking4[[#This Row],[Critical facilities at risk, ArcSinh (0-10)]]*U$5*10</f>
        <v>0</v>
      </c>
      <c r="X725" s="253">
        <f>_xlfn.XLOOKUP(FMS_Ranking4[[#This Row],[FMS ID]],FMS_Input[FMS_ID],FMS_Input[LWC])</f>
        <v>0</v>
      </c>
      <c r="Y725" s="259">
        <f>(ASINH(FMS_Ranking4[[#This Row],[LWC Raw]]))*(10)/(ASINH(X$4))</f>
        <v>0</v>
      </c>
      <c r="Z725" s="256">
        <f>FMS_Ranking4[[#This Row],[LWC, ArcSInh (0-10)]]*X$5*10</f>
        <v>0</v>
      </c>
      <c r="AA725" s="253">
        <f>_xlfn.XLOOKUP(FMS_Ranking4[[#This Row],[FMS ID]],FMS_Input[FMS_ID],FMS_Input[ROADCLS])</f>
        <v>0</v>
      </c>
      <c r="AB725" s="255">
        <f>(ASINH(FMS_Ranking4[[#This Row],[Road Closures Raw]]))*(10)/(ASINH(AA$4))</f>
        <v>0</v>
      </c>
      <c r="AC725" s="256">
        <f>FMS_Ranking4[[#This Row],[Road closures, ArcSinh (0-10)]]*AA$5*10</f>
        <v>0</v>
      </c>
      <c r="AD725" s="253">
        <f>_xlfn.XLOOKUP(FMS_Ranking4[[#This Row],[FMS ID]],FMS_Input[FMS_ID],FMS_Input[ROAD_MILES100])</f>
        <v>2</v>
      </c>
      <c r="AE725" s="259">
        <f>(ASINH(FMS_Ranking4[[#This Row],[Road Miles Raw]]))*(10)/(ASINH(AD$4))</f>
        <v>1.5385182374234352</v>
      </c>
      <c r="AF725" s="256">
        <f>FMS_Ranking4[[#This Row],[Length of roads at risk, ArcSinh (0-10)]]*AD$5*10</f>
        <v>1.5385182374234352</v>
      </c>
      <c r="AG725" s="253">
        <f>_xlfn.XLOOKUP(FMS_Ranking4[[#This Row],[FMS ID]],FMS_Input[FMS_ID],FMS_Input[FARMACRE100])</f>
        <v>0.23315039277076721</v>
      </c>
      <c r="AH725" s="255">
        <f>(ASINH(FMS_Ranking4[[#This Row],[Ag Land Raw]]))*(10)/(ASINH(AG$4))</f>
        <v>0.15011057546054019</v>
      </c>
      <c r="AI725" s="260">
        <f>FMS_Ranking4[[#This Row],[Farm &amp; ranch land, ArcSinh (0-10)]]*AG$5*10</f>
        <v>7.5055287730270093E-2</v>
      </c>
      <c r="AJ725" s="258">
        <f>_xlfn.XLOOKUP(FMS_Ranking4[[#This Row],[FMS ID]],FMS_Input[FMS_ID],FMS_Input[REDSTRUCT100])</f>
        <v>0</v>
      </c>
      <c r="AK725" s="253">
        <f>_xlfn.XLOOKUP(FMS_Ranking4[[#This Row],[FMS ID]],FMS_Input[FMS_ID],FMS_Input[REMSTRC100])</f>
        <v>0</v>
      </c>
      <c r="AL725" s="259">
        <f>(ASINH(FMS_Ranking4[[#This Row],[Structures Removed Raw]]))*(10)/(ASINH(AK$4))</f>
        <v>0</v>
      </c>
      <c r="AM725" s="262">
        <f>FMS_Ranking4[[#This Row],[Structures removed, ArcSinh (0-10)]]*AK$5*10</f>
        <v>0</v>
      </c>
      <c r="AN725" s="253">
        <f>_xlfn.XLOOKUP(FMS_Ranking4[[#This Row],[FMS ID]],FMS_Input[FMS_ID],FMS_Input[REMRESSTRC100])</f>
        <v>0</v>
      </c>
      <c r="AO725" s="261">
        <f>FMS_Ranking4[[#This Row],[ArcSinh Res struct removed 0-10]]*AN$5*10</f>
        <v>0</v>
      </c>
      <c r="AP725" s="260">
        <f>ASINH(FMS_Ranking4[[#This Row],[Residential Structures Removed Raw]])/AP$4*AN$5*100</f>
        <v>0</v>
      </c>
      <c r="AQ725" s="254">
        <f>(ASINH(FMS_Ranking4[[#This Row],[Residential Structures Removed Raw]]))*(10)/(ASINH(AN$4))</f>
        <v>0</v>
      </c>
      <c r="AR725" s="253">
        <f>_xlfn.XLOOKUP(FMS_Ranking4[[#This Row],[FMS ID]],FMS_Input[FMS_ID],FMS_Input[REMPOP100])</f>
        <v>0</v>
      </c>
      <c r="AS725" s="259">
        <f>(ASINH(FMS_Ranking4[[#This Row],[Removed Pop Raw]]))*(10)/(ASINH(AR$4))</f>
        <v>0</v>
      </c>
      <c r="AT725" s="262">
        <f>FMS_Ranking4[[#This Row],[Removed population, ArcSinh (0-10)]]*AR$5*10</f>
        <v>0</v>
      </c>
      <c r="AU725" s="264">
        <f>_xlfn.XLOOKUP(FMS_Ranking4[[#This Row],[FMS ID]],FMS_Input[FMS_ID],FMS_Input[REMCRITFAC100])</f>
        <v>0</v>
      </c>
      <c r="AV725" s="264">
        <f>_xlfn.XLOOKUP(FMS_Ranking4[[#This Row],[FMS ID]],FMS_Input[FMS_ID],FMS_Input[REMLWC100])</f>
        <v>0</v>
      </c>
      <c r="AW725" s="264">
        <f>_xlfn.XLOOKUP(FMS_Ranking4[[#This Row],[FMS ID]],FMS_Input[FMS_ID],FMS_Input[REMROADCLS])</f>
        <v>0</v>
      </c>
      <c r="AX725" s="264">
        <f>_xlfn.XLOOKUP(FMS_Ranking4[[#This Row],[FMS ID]],FMS_Input[FMS_ID],FMS_Input[REMFRMACRE100])</f>
        <v>0</v>
      </c>
      <c r="AY725" s="258">
        <f>_xlfn.XLOOKUP(FMS_Ranking4[[#This Row],[FMS ID]],FMS_Input[FMS_ID],FMS_Input[COSTSTRUCT])</f>
        <v>0</v>
      </c>
      <c r="AZ725" s="253">
        <f>_xlfn.XLOOKUP(FMS_Ranking4[[#This Row],[FMS ID]],FMS_Input[FMS_ID],FMS_Input[NATURE])</f>
        <v>0</v>
      </c>
      <c r="BA725" s="262">
        <f>(((FMS_Ranking4[[#This Row],[% NBS Raw]]/AZ$4)*100)*AZ$5)</f>
        <v>0</v>
      </c>
      <c r="BB725" s="251" t="str">
        <f>_xlfn.XLOOKUP(FMS_Ranking4[[#This Row],[FMS ID]],FMS_Input[FMS_ID],FMS_Input[WATER_SUP])</f>
        <v>No</v>
      </c>
      <c r="BC725" s="265">
        <f>IF(FMS_Ranking4[[#This Row],[Water Supply Raw]]="Yes",10,0)</f>
        <v>0</v>
      </c>
      <c r="BD725" s="266">
        <f>_xlfn.XLOOKUP(FMS_Ranking4[[#This Row],[FMS Type]],FMS_TYPE[FMS_Type],FMS_TYPE[Score])</f>
        <v>8</v>
      </c>
      <c r="BE725" s="267">
        <f>FMS_Ranking4[[#This Row],[FMS_Type Score]]*$BD$5*10</f>
        <v>2</v>
      </c>
      <c r="BF72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4.1065366421027998E-3</v>
      </c>
      <c r="BG725" s="271">
        <f>_xlfn.RANK.EQ(BF725,$BF$8:$BF$870,0)+COUNTIF($BF$8:BF725,BF725)-1</f>
        <v>697</v>
      </c>
      <c r="BH725" s="268">
        <f>(((FMS_Ranking4[[#This Row],[Structures Removed Raw]]/AK$4)*100)*AK$5)+(((FMS_Ranking4[[#This Row],[Removed Pop Raw]]/AR$4)*100)*AR$5)</f>
        <v>0</v>
      </c>
      <c r="BI72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2.0041065366421029</v>
      </c>
      <c r="BJ725" s="205">
        <f>_xlfn.RANK.EQ(FMS_Ranking4[[#This Row],[Total Score 
(with linear
normalization)]],FMS_Ranking4[Total Score 
(with linear
normalization)],0)</f>
        <v>441</v>
      </c>
      <c r="BK725" s="205" t="e">
        <f>_xlfn.XLOOKUP(FMS_Ranking4[[#This Row],[FMS ID]],#REF!,#REF!)</f>
        <v>#REF!</v>
      </c>
      <c r="BL72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6.271916826544877</v>
      </c>
      <c r="BM725" s="272">
        <f>FMS_Ranking4[[#This Row],[ArcSinh Score Based on Normalized Reported Factors]]+FMS_Ranking4[[#This Row],[% NBS Score (Normalized)]]+(FMS_Ranking4[[#This Row],[Water Supply Score (Normalized)]]*10*$BB$5)+FMS_Ranking4[[#This Row],[FMS_Type Score Weighted]]</f>
        <v>8.2719168265448779</v>
      </c>
      <c r="BN725" s="205">
        <f>_xlfn.RANK.EQ(FMS_Ranking4[[#This Row],[Total Score (with ArcSinh normalization of select criteria)]],FMS_Ranking4[Total Score (with ArcSinh normalization of select criteria)],0)</f>
        <v>718</v>
      </c>
      <c r="BO725" s="270" t="str">
        <f>_xlfn.XLOOKUP(FMS_Ranking4[[#This Row],[FMS ID]],FMS_Input[FMS_ID],FMS_Input[FMS_RANK_YEAR])</f>
        <v>2023 Amended Plan</v>
      </c>
      <c r="BP725" s="204">
        <f>_xlfn.XLOOKUP(FMS_Ranking4[[#This Row],[FMS ID]],Prev_Rank[FMS ID],Prev_Rank[Prev Rank])</f>
        <v>647</v>
      </c>
      <c r="BQ725" s="205" t="e">
        <f>_xlfn.XLOOKUP(FMS_Ranking4[[#This Row],[FMS ID]],#REF!,#REF!)</f>
        <v>#REF!</v>
      </c>
      <c r="BR725" s="199" t="e">
        <f>SUM(#REF!,#REF!,#REF!,#REF!,#REF!,#REF!,#REF!,#REF!,#REF!,FMS_Ranking4[[#This Row],[ArcSinh Res struct removed 0-10]],#REF!)</f>
        <v>#REF!</v>
      </c>
      <c r="BS725" s="199" t="e">
        <f>FMS_Ranking4[[#This Row],[Log Score Based on Normalized Reported Factors]]+FMS_Ranking4[[#This Row],[% NBS Score (Normalized)]]+(FMS_Ranking4[[#This Row],[Water Supply Score (Normalized)]]*10*$BB$5)+(FMS_Ranking4[[#This Row],[FMS_Type Score Weighted]])</f>
        <v>#REF!</v>
      </c>
      <c r="BT725" s="200" t="e">
        <f>_xlfn.RANK.EQ(FMS_Ranking4[[#This Row],[Log Total Score]],FMS_Ranking4[Log Total Score],0)</f>
        <v>#REF!</v>
      </c>
      <c r="BU725" s="200" t="e">
        <f>_xlfn.XLOOKUP(FMS_Ranking4[[#This Row],[FMS ID]],#REF!,#REF!)</f>
        <v>#REF!</v>
      </c>
      <c r="BV725" s="200">
        <f>FMS_Ranking4[[#This Row],[Region Number]]</f>
        <v>1</v>
      </c>
      <c r="BW725" s="200">
        <f>FMS_Ranking4[[#This Row],[Rank (with ArcSinh normalization of select criteria)]]-FMS_Ranking4[[#This Row],[Rank
(with linear
normalization)]]</f>
        <v>277</v>
      </c>
      <c r="BX725" s="200" t="e">
        <f>FMS_Ranking4[[#This Row],[Log Rank]]-FMS_Ranking4[[#This Row],[Rank
(with linear
normalization)]]</f>
        <v>#REF!</v>
      </c>
      <c r="BY725" s="200" t="str">
        <f>IF(FMS_Ranking4[[#This Row],[FMS Type]]="Flood Measurement and Warning",FMS_Ranking4[[#This Row],[Rank (with ArcSinh normalization of select criteria)]],"")</f>
        <v/>
      </c>
      <c r="BZ725" s="200">
        <f>IF(FMS_Ranking4[[#This Row],[FMS Type]]="Regulatory and Guidance",FMS_Ranking4[[#This Row],[Rank (with ArcSinh normalization of select criteria)]],"")</f>
        <v>718</v>
      </c>
      <c r="CA725" s="200" t="str">
        <f>IF(FMS_Ranking4[[#This Row],[FMS Type]]="Education and Outreach",FMS_Ranking4[[#This Row],[Rank (with ArcSinh normalization of select criteria)]],"")</f>
        <v/>
      </c>
      <c r="CB725" s="200" t="str">
        <f>IF(FMS_Ranking4[[#This Row],[FMS Type]]="Property Acquisition and Structural Elevation",FMS_Ranking4[[#This Row],[Rank (with ArcSinh normalization of select criteria)]],"")</f>
        <v/>
      </c>
      <c r="CC725" s="200" t="str">
        <f>IF(FMS_Ranking4[[#This Row],[FMS Type]]="Infrastructure Projects",FMS_Ranking4[[#This Row],[Rank (with ArcSinh normalization of select criteria)]],"")</f>
        <v/>
      </c>
      <c r="CD725" s="200" t="str">
        <f>IF(FMS_Ranking4[[#This Row],[FMS Type]]="Other",FMS_Ranking4[[#This Row],[Rank (with ArcSinh normalization of select criteria)]],"")</f>
        <v/>
      </c>
      <c r="CE725" s="201"/>
      <c r="CF725" s="206"/>
      <c r="CG725" s="206"/>
      <c r="CH725" s="206"/>
      <c r="CI725" s="206"/>
      <c r="CJ725" s="206"/>
      <c r="CK725" s="206"/>
      <c r="CL725" s="206"/>
      <c r="CM725" s="206"/>
      <c r="CN725" s="206"/>
      <c r="CO725" s="206"/>
      <c r="CP725" s="206"/>
      <c r="CQ725" s="206"/>
      <c r="CR725" s="206"/>
    </row>
    <row r="726" spans="2:96" ht="45" x14ac:dyDescent="0.25">
      <c r="B726" s="341" t="s">
        <v>2356</v>
      </c>
      <c r="C726" s="246">
        <f>_xlfn.XLOOKUP(FMS_Ranking4[[#This Row],[FMS ID]],FMS_Input[FMS_ID],FMS_Input[RFPG_NUM])</f>
        <v>3</v>
      </c>
      <c r="D726" s="309" t="str">
        <f>_xlfn.XLOOKUP(FMS_Ranking4[[#This Row],[FMS ID]],FMS_Input[FMS_ID],FMS_Input[FMS_NAME])</f>
        <v>City of Goodlow NFIP Floodplain Ordinance</v>
      </c>
      <c r="E726" s="308" t="str">
        <f>_xlfn.XLOOKUP(FMS_Ranking4[[#This Row],[FMS ID]],FMS_Input[FMS_ID],FMS_Input[SPONSOR])</f>
        <v>Goodlow</v>
      </c>
      <c r="F726" s="309" t="str">
        <f>_xlfn.XLOOKUP(FMS_Ranking4[[#This Row],[FMS ID]],Sponsor[FMS_ID],Sponsor[SPONSOR NAME])</f>
        <v>Goodlow</v>
      </c>
      <c r="G726" s="309" t="str">
        <f>_xlfn.XLOOKUP(FMS_Ranking4[[#This Row],[FMS ID]],FMS_Input[FMS_ID],FMS_Input[FMS_DESCR])</f>
        <v>Develop a floodplain ordinance that meets or exceeds FEMA's minimum standards</v>
      </c>
      <c r="H726" s="248" t="str">
        <f>_xlfn.XLOOKUP(FMS_Ranking4[[#This Row],[FMS ID]],FMS_Input[FMS_ID],FMS_Input[FMS_TYPE])</f>
        <v>Regulatory and Guidance</v>
      </c>
      <c r="I726" s="249">
        <f>_xlfn.XLOOKUP(FMS_Ranking4[[#This Row],[FMS ID]],FMS_Input[FMS_ID],FMS_Input[NRNC_COST])</f>
        <v>100000</v>
      </c>
      <c r="J726" s="250">
        <f>_xlfn.XLOOKUP(FMS_Ranking4[[#This Row],[FMS ID]],FMS_Input[FMS_ID],FMS_Input[FMS_COST])</f>
        <v>100000</v>
      </c>
      <c r="K726" s="251" t="str">
        <f>_xlfn.XLOOKUP(FMS_Ranking4[[#This Row],[FMS ID]],FMS_Input[FMS_ID],FMS_Input[EMER_NEED])</f>
        <v>No</v>
      </c>
      <c r="L726" s="252">
        <f t="shared" si="11"/>
        <v>0</v>
      </c>
      <c r="M726" s="253">
        <f>_xlfn.XLOOKUP(FMS_Ranking4[[#This Row],[FMS ID]],FMS_Input[FMS_ID],FMS_Input[STRUCT_100])</f>
        <v>12</v>
      </c>
      <c r="N726" s="255">
        <f>(ASINH(FMS_Ranking4[[#This Row],[Structure at Risk Raw]]))*(10)/(ASINH(M$4))</f>
        <v>2.4997848035776333</v>
      </c>
      <c r="O726" s="256">
        <f>FMS_Ranking4[[#This Row],[Structures at risk, ArcSinh (0-10)]]*M$5*10</f>
        <v>2.4997848035776333</v>
      </c>
      <c r="P726" s="253">
        <f>_xlfn.XLOOKUP(FMS_Ranking4[[#This Row],[FMS ID]],FMS_Input[FMS_ID],FMS_Input[RES_STRUCT100])</f>
        <v>12</v>
      </c>
      <c r="Q726" s="257">
        <f>ASINH(FMS_Ranking4[[#This Row],[Res Structure Raw]])/Q$4*P$5*100</f>
        <v>0</v>
      </c>
      <c r="R726" s="253">
        <f>_xlfn.XLOOKUP(FMS_Ranking4[[#This Row],[FMS ID]],FMS_Input[FMS_ID],FMS_Input[POP100])</f>
        <v>10</v>
      </c>
      <c r="S726" s="259">
        <f>(ASINH(FMS_Ranking4[[#This Row],[Pop at Risk Raw]]))*(10)/(ASINH(R$4))</f>
        <v>2.0698478529282238</v>
      </c>
      <c r="T726" s="256">
        <f>FMS_Ranking4[[#This Row],[Population at risk, ArcSinh (0-10)]]*R$5*10</f>
        <v>2.0698478529282238</v>
      </c>
      <c r="U726" s="253">
        <f>_xlfn.XLOOKUP(FMS_Ranking4[[#This Row],[FMS ID]],FMS_Input[FMS_ID],FMS_Input[CRITFAC100])</f>
        <v>0</v>
      </c>
      <c r="V726" s="259">
        <f>(ASINH(FMS_Ranking4[[#This Row],[Critical Facilities Raw]]))*(10)/(ASINH(U$4))</f>
        <v>0</v>
      </c>
      <c r="W726" s="256">
        <f>FMS_Ranking4[[#This Row],[Critical facilities at risk, ArcSinh (0-10)]]*U$5*10</f>
        <v>0</v>
      </c>
      <c r="X726" s="253">
        <f>_xlfn.XLOOKUP(FMS_Ranking4[[#This Row],[FMS ID]],FMS_Input[FMS_ID],FMS_Input[LWC])</f>
        <v>0</v>
      </c>
      <c r="Y726" s="259">
        <f>(ASINH(FMS_Ranking4[[#This Row],[LWC Raw]]))*(10)/(ASINH(X$4))</f>
        <v>0</v>
      </c>
      <c r="Z726" s="256">
        <f>FMS_Ranking4[[#This Row],[LWC, ArcSInh (0-10)]]*X$5*10</f>
        <v>0</v>
      </c>
      <c r="AA726" s="253">
        <f>_xlfn.XLOOKUP(FMS_Ranking4[[#This Row],[FMS ID]],FMS_Input[FMS_ID],FMS_Input[ROADCLS])</f>
        <v>0</v>
      </c>
      <c r="AB726" s="255">
        <f>(ASINH(FMS_Ranking4[[#This Row],[Road Closures Raw]]))*(10)/(ASINH(AA$4))</f>
        <v>0</v>
      </c>
      <c r="AC726" s="256">
        <f>FMS_Ranking4[[#This Row],[Road closures, ArcSinh (0-10)]]*AA$5*10</f>
        <v>0</v>
      </c>
      <c r="AD726" s="253">
        <f>_xlfn.XLOOKUP(FMS_Ranking4[[#This Row],[FMS ID]],FMS_Input[FMS_ID],FMS_Input[ROAD_MILES100])</f>
        <v>0</v>
      </c>
      <c r="AE726" s="259">
        <f>(ASINH(FMS_Ranking4[[#This Row],[Road Miles Raw]]))*(10)/(ASINH(AD$4))</f>
        <v>0</v>
      </c>
      <c r="AF726" s="256">
        <f>FMS_Ranking4[[#This Row],[Length of roads at risk, ArcSinh (0-10)]]*AD$5*10</f>
        <v>0</v>
      </c>
      <c r="AG726" s="253">
        <f>_xlfn.XLOOKUP(FMS_Ranking4[[#This Row],[FMS ID]],FMS_Input[FMS_ID],FMS_Input[FARMACRE100])</f>
        <v>91.799369812011719</v>
      </c>
      <c r="AH726" s="255">
        <f>(ASINH(FMS_Ranking4[[#This Row],[Ag Land Raw]]))*(10)/(ASINH(AG$4))</f>
        <v>3.3861267714688923</v>
      </c>
      <c r="AI726" s="260">
        <f>FMS_Ranking4[[#This Row],[Farm &amp; ranch land, ArcSinh (0-10)]]*AG$5*10</f>
        <v>1.6930633857344461</v>
      </c>
      <c r="AJ726" s="258">
        <f>_xlfn.XLOOKUP(FMS_Ranking4[[#This Row],[FMS ID]],FMS_Input[FMS_ID],FMS_Input[REDSTRUCT100])</f>
        <v>0</v>
      </c>
      <c r="AK726" s="253">
        <f>_xlfn.XLOOKUP(FMS_Ranking4[[#This Row],[FMS ID]],FMS_Input[FMS_ID],FMS_Input[REMSTRC100])</f>
        <v>0</v>
      </c>
      <c r="AL726" s="259">
        <f>(ASINH(FMS_Ranking4[[#This Row],[Structures Removed Raw]]))*(10)/(ASINH(AK$4))</f>
        <v>0</v>
      </c>
      <c r="AM726" s="262">
        <f>FMS_Ranking4[[#This Row],[Structures removed, ArcSinh (0-10)]]*AK$5*10</f>
        <v>0</v>
      </c>
      <c r="AN726" s="253">
        <f>_xlfn.XLOOKUP(FMS_Ranking4[[#This Row],[FMS ID]],FMS_Input[FMS_ID],FMS_Input[REMRESSTRC100])</f>
        <v>0</v>
      </c>
      <c r="AO726" s="261">
        <f>FMS_Ranking4[[#This Row],[ArcSinh Res struct removed 0-10]]*AN$5*10</f>
        <v>0</v>
      </c>
      <c r="AP726" s="260">
        <f>ASINH(FMS_Ranking4[[#This Row],[Residential Structures Removed Raw]])/AP$4*AN$5*100</f>
        <v>0</v>
      </c>
      <c r="AQ726" s="254">
        <f>(ASINH(FMS_Ranking4[[#This Row],[Residential Structures Removed Raw]]))*(10)/(ASINH(AN$4))</f>
        <v>0</v>
      </c>
      <c r="AR726" s="253">
        <f>_xlfn.XLOOKUP(FMS_Ranking4[[#This Row],[FMS ID]],FMS_Input[FMS_ID],FMS_Input[REMPOP100])</f>
        <v>0</v>
      </c>
      <c r="AS726" s="259">
        <f>(ASINH(FMS_Ranking4[[#This Row],[Removed Pop Raw]]))*(10)/(ASINH(AR$4))</f>
        <v>0</v>
      </c>
      <c r="AT726" s="262">
        <f>FMS_Ranking4[[#This Row],[Removed population, ArcSinh (0-10)]]*AR$5*10</f>
        <v>0</v>
      </c>
      <c r="AU726" s="264">
        <f>_xlfn.XLOOKUP(FMS_Ranking4[[#This Row],[FMS ID]],FMS_Input[FMS_ID],FMS_Input[REMCRITFAC100])</f>
        <v>0</v>
      </c>
      <c r="AV726" s="264">
        <f>_xlfn.XLOOKUP(FMS_Ranking4[[#This Row],[FMS ID]],FMS_Input[FMS_ID],FMS_Input[REMLWC100])</f>
        <v>0</v>
      </c>
      <c r="AW726" s="264">
        <f>_xlfn.XLOOKUP(FMS_Ranking4[[#This Row],[FMS ID]],FMS_Input[FMS_ID],FMS_Input[REMROADCLS])</f>
        <v>0</v>
      </c>
      <c r="AX726" s="264">
        <f>_xlfn.XLOOKUP(FMS_Ranking4[[#This Row],[FMS ID]],FMS_Input[FMS_ID],FMS_Input[REMFRMACRE100])</f>
        <v>0</v>
      </c>
      <c r="AY726" s="258">
        <f>_xlfn.XLOOKUP(FMS_Ranking4[[#This Row],[FMS ID]],FMS_Input[FMS_ID],FMS_Input[COSTSTRUCT])</f>
        <v>0</v>
      </c>
      <c r="AZ726" s="253">
        <f>_xlfn.XLOOKUP(FMS_Ranking4[[#This Row],[FMS ID]],FMS_Input[FMS_ID],FMS_Input[NATURE])</f>
        <v>0</v>
      </c>
      <c r="BA726" s="262">
        <f>(((FMS_Ranking4[[#This Row],[% NBS Raw]]/AZ$4)*100)*AZ$5)</f>
        <v>0</v>
      </c>
      <c r="BB726" s="251" t="str">
        <f>_xlfn.XLOOKUP(FMS_Ranking4[[#This Row],[FMS ID]],FMS_Input[FMS_ID],FMS_Input[WATER_SUP])</f>
        <v>No</v>
      </c>
      <c r="BC726" s="265">
        <f>IF(FMS_Ranking4[[#This Row],[Water Supply Raw]]="Yes",10,0)</f>
        <v>0</v>
      </c>
      <c r="BD726" s="266">
        <f>_xlfn.XLOOKUP(FMS_Ranking4[[#This Row],[FMS Type]],FMS_TYPE[FMS_Type],FMS_TYPE[Score])</f>
        <v>8</v>
      </c>
      <c r="BE726" s="267">
        <f>FMS_Ranking4[[#This Row],[FMS_Type Score]]*$BD$5*10</f>
        <v>2</v>
      </c>
      <c r="BF72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1.0092401698943896E-3</v>
      </c>
      <c r="BG726" s="271">
        <f>_xlfn.RANK.EQ(BF726,$BF$8:$BF$870,0)+COUNTIF($BF$8:BF726,BF726)-1</f>
        <v>748</v>
      </c>
      <c r="BH726" s="268">
        <f>(((FMS_Ranking4[[#This Row],[Structures Removed Raw]]/AK$4)*100)*AK$5)+(((FMS_Ranking4[[#This Row],[Removed Pop Raw]]/AR$4)*100)*AR$5)</f>
        <v>0</v>
      </c>
      <c r="BI72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2.0010092401698945</v>
      </c>
      <c r="BJ726" s="205">
        <f>_xlfn.RANK.EQ(FMS_Ranking4[[#This Row],[Total Score 
(with linear
normalization)]],FMS_Ranking4[Total Score 
(with linear
normalization)],0)</f>
        <v>463</v>
      </c>
      <c r="BK726" s="205" t="e">
        <f>_xlfn.XLOOKUP(FMS_Ranking4[[#This Row],[FMS ID]],#REF!,#REF!)</f>
        <v>#REF!</v>
      </c>
      <c r="BL72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6.2626960422403037</v>
      </c>
      <c r="BM726" s="272">
        <f>FMS_Ranking4[[#This Row],[ArcSinh Score Based on Normalized Reported Factors]]+FMS_Ranking4[[#This Row],[% NBS Score (Normalized)]]+(FMS_Ranking4[[#This Row],[Water Supply Score (Normalized)]]*10*$BB$5)+FMS_Ranking4[[#This Row],[FMS_Type Score Weighted]]</f>
        <v>8.2626960422403037</v>
      </c>
      <c r="BN726" s="205">
        <f>_xlfn.RANK.EQ(FMS_Ranking4[[#This Row],[Total Score (with ArcSinh normalization of select criteria)]],FMS_Ranking4[Total Score (with ArcSinh normalization of select criteria)],0)</f>
        <v>719</v>
      </c>
      <c r="BO726" s="270" t="str">
        <f>_xlfn.XLOOKUP(FMS_Ranking4[[#This Row],[FMS ID]],FMS_Input[FMS_ID],FMS_Input[FMS_RANK_YEAR])</f>
        <v>2023 Amended Plan</v>
      </c>
      <c r="BP726" s="204">
        <f>_xlfn.XLOOKUP(FMS_Ranking4[[#This Row],[FMS ID]],Prev_Rank[FMS ID],Prev_Rank[Prev Rank])</f>
        <v>644</v>
      </c>
      <c r="BQ726" s="205" t="e">
        <f>_xlfn.XLOOKUP(FMS_Ranking4[[#This Row],[FMS ID]],#REF!,#REF!)</f>
        <v>#REF!</v>
      </c>
      <c r="BR726" s="199" t="e">
        <f>SUM(#REF!,#REF!,#REF!,#REF!,#REF!,#REF!,#REF!,#REF!,#REF!,FMS_Ranking4[[#This Row],[ArcSinh Res struct removed 0-10]],#REF!)</f>
        <v>#REF!</v>
      </c>
      <c r="BS726" s="199" t="e">
        <f>FMS_Ranking4[[#This Row],[Log Score Based on Normalized Reported Factors]]+FMS_Ranking4[[#This Row],[% NBS Score (Normalized)]]+(FMS_Ranking4[[#This Row],[Water Supply Score (Normalized)]]*10*$BB$5)+(FMS_Ranking4[[#This Row],[FMS_Type Score Weighted]])</f>
        <v>#REF!</v>
      </c>
      <c r="BT726" s="200" t="e">
        <f>_xlfn.RANK.EQ(FMS_Ranking4[[#This Row],[Log Total Score]],FMS_Ranking4[Log Total Score],0)</f>
        <v>#REF!</v>
      </c>
      <c r="BU726" s="200" t="e">
        <f>_xlfn.XLOOKUP(FMS_Ranking4[[#This Row],[FMS ID]],#REF!,#REF!)</f>
        <v>#REF!</v>
      </c>
      <c r="BV726" s="200">
        <f>FMS_Ranking4[[#This Row],[Region Number]]</f>
        <v>3</v>
      </c>
      <c r="BW726" s="200">
        <f>FMS_Ranking4[[#This Row],[Rank (with ArcSinh normalization of select criteria)]]-FMS_Ranking4[[#This Row],[Rank
(with linear
normalization)]]</f>
        <v>256</v>
      </c>
      <c r="BX726" s="200" t="e">
        <f>FMS_Ranking4[[#This Row],[Log Rank]]-FMS_Ranking4[[#This Row],[Rank
(with linear
normalization)]]</f>
        <v>#REF!</v>
      </c>
      <c r="BY726" s="200" t="str">
        <f>IF(FMS_Ranking4[[#This Row],[FMS Type]]="Flood Measurement and Warning",FMS_Ranking4[[#This Row],[Rank (with ArcSinh normalization of select criteria)]],"")</f>
        <v/>
      </c>
      <c r="BZ726" s="200">
        <f>IF(FMS_Ranking4[[#This Row],[FMS Type]]="Regulatory and Guidance",FMS_Ranking4[[#This Row],[Rank (with ArcSinh normalization of select criteria)]],"")</f>
        <v>719</v>
      </c>
      <c r="CA726" s="200" t="str">
        <f>IF(FMS_Ranking4[[#This Row],[FMS Type]]="Education and Outreach",FMS_Ranking4[[#This Row],[Rank (with ArcSinh normalization of select criteria)]],"")</f>
        <v/>
      </c>
      <c r="CB726" s="200" t="str">
        <f>IF(FMS_Ranking4[[#This Row],[FMS Type]]="Property Acquisition and Structural Elevation",FMS_Ranking4[[#This Row],[Rank (with ArcSinh normalization of select criteria)]],"")</f>
        <v/>
      </c>
      <c r="CC726" s="200" t="str">
        <f>IF(FMS_Ranking4[[#This Row],[FMS Type]]="Infrastructure Projects",FMS_Ranking4[[#This Row],[Rank (with ArcSinh normalization of select criteria)]],"")</f>
        <v/>
      </c>
      <c r="CD726" s="200" t="str">
        <f>IF(FMS_Ranking4[[#This Row],[FMS Type]]="Other",FMS_Ranking4[[#This Row],[Rank (with ArcSinh normalization of select criteria)]],"")</f>
        <v/>
      </c>
      <c r="CE726" s="201"/>
      <c r="CF726" s="206"/>
      <c r="CG726" s="206"/>
      <c r="CH726" s="206"/>
      <c r="CI726" s="206"/>
      <c r="CJ726" s="206"/>
      <c r="CK726" s="206"/>
      <c r="CL726" s="206"/>
      <c r="CM726" s="206"/>
      <c r="CN726" s="206"/>
      <c r="CO726" s="206"/>
      <c r="CP726" s="206"/>
      <c r="CQ726" s="206"/>
      <c r="CR726" s="206"/>
    </row>
    <row r="727" spans="2:96" ht="45" x14ac:dyDescent="0.25">
      <c r="B727" s="341" t="s">
        <v>3329</v>
      </c>
      <c r="C727" s="246">
        <f>_xlfn.XLOOKUP(FMS_Ranking4[[#This Row],[FMS ID]],FMS_Input[FMS_ID],FMS_Input[RFPG_NUM])</f>
        <v>7</v>
      </c>
      <c r="D727" s="309" t="str">
        <f>_xlfn.XLOOKUP(FMS_Ranking4[[#This Row],[FMS ID]],FMS_Input[FMS_ID],FMS_Input[FMS_NAME])</f>
        <v>City of Moran NFIP Participation</v>
      </c>
      <c r="E727" s="308" t="str">
        <f>_xlfn.XLOOKUP(FMS_Ranking4[[#This Row],[FMS ID]],FMS_Input[FMS_ID],FMS_Input[SPONSOR])</f>
        <v>07003395</v>
      </c>
      <c r="F727" s="309" t="str">
        <f>_xlfn.XLOOKUP(FMS_Ranking4[[#This Row],[FMS ID]],Sponsor[FMS_ID],Sponsor[SPONSOR NAME])</f>
        <v>Moran</v>
      </c>
      <c r="G727" s="309" t="str">
        <f>_xlfn.XLOOKUP(FMS_Ranking4[[#This Row],[FMS ID]],FMS_Input[FMS_ID],FMS_Input[FMS_DESCR])</f>
        <v>Application to join NFIP or adoption of equivalent standards.</v>
      </c>
      <c r="H727" s="248" t="str">
        <f>_xlfn.XLOOKUP(FMS_Ranking4[[#This Row],[FMS ID]],FMS_Input[FMS_ID],FMS_Input[FMS_TYPE])</f>
        <v>Regulatory and Guidance</v>
      </c>
      <c r="I727" s="249">
        <f>_xlfn.XLOOKUP(FMS_Ranking4[[#This Row],[FMS ID]],FMS_Input[FMS_ID],FMS_Input[NRNC_COST])</f>
        <v>50000</v>
      </c>
      <c r="J727" s="250">
        <f>_xlfn.XLOOKUP(FMS_Ranking4[[#This Row],[FMS ID]],FMS_Input[FMS_ID],FMS_Input[FMS_COST])</f>
        <v>50000</v>
      </c>
      <c r="K727" s="251" t="str">
        <f>_xlfn.XLOOKUP(FMS_Ranking4[[#This Row],[FMS ID]],FMS_Input[FMS_ID],FMS_Input[EMER_NEED])</f>
        <v>No</v>
      </c>
      <c r="L727" s="252">
        <f t="shared" si="11"/>
        <v>0</v>
      </c>
      <c r="M727" s="253">
        <f>_xlfn.XLOOKUP(FMS_Ranking4[[#This Row],[FMS ID]],FMS_Input[FMS_ID],FMS_Input[STRUCT_100])</f>
        <v>18</v>
      </c>
      <c r="N727" s="255">
        <f>(ASINH(FMS_Ranking4[[#This Row],[Structure at Risk Raw]]))*(10)/(ASINH(M$4))</f>
        <v>2.8177853439774103</v>
      </c>
      <c r="O727" s="256">
        <f>FMS_Ranking4[[#This Row],[Structures at risk, ArcSinh (0-10)]]*M$5*10</f>
        <v>2.8177853439774103</v>
      </c>
      <c r="P727" s="253">
        <f>_xlfn.XLOOKUP(FMS_Ranking4[[#This Row],[FMS ID]],FMS_Input[FMS_ID],FMS_Input[RES_STRUCT100])</f>
        <v>11</v>
      </c>
      <c r="Q727" s="257">
        <f>ASINH(FMS_Ranking4[[#This Row],[Res Structure Raw]])/Q$4*P$5*100</f>
        <v>0</v>
      </c>
      <c r="R727" s="253">
        <f>_xlfn.XLOOKUP(FMS_Ranking4[[#This Row],[FMS ID]],FMS_Input[FMS_ID],FMS_Input[POP100])</f>
        <v>16</v>
      </c>
      <c r="S727" s="259">
        <f>(ASINH(FMS_Ranking4[[#This Row],[Pop at Risk Raw]]))*(10)/(ASINH(R$4))</f>
        <v>2.3932724541966266</v>
      </c>
      <c r="T727" s="256">
        <f>FMS_Ranking4[[#This Row],[Population at risk, ArcSinh (0-10)]]*R$5*10</f>
        <v>2.3932724541966266</v>
      </c>
      <c r="U727" s="253">
        <f>_xlfn.XLOOKUP(FMS_Ranking4[[#This Row],[FMS ID]],FMS_Input[FMS_ID],FMS_Input[CRITFAC100])</f>
        <v>0</v>
      </c>
      <c r="V727" s="259">
        <f>(ASINH(FMS_Ranking4[[#This Row],[Critical Facilities Raw]]))*(10)/(ASINH(U$4))</f>
        <v>0</v>
      </c>
      <c r="W727" s="256">
        <f>FMS_Ranking4[[#This Row],[Critical facilities at risk, ArcSinh (0-10)]]*U$5*10</f>
        <v>0</v>
      </c>
      <c r="X727" s="253">
        <f>_xlfn.XLOOKUP(FMS_Ranking4[[#This Row],[FMS ID]],FMS_Input[FMS_ID],FMS_Input[LWC])</f>
        <v>0</v>
      </c>
      <c r="Y727" s="259">
        <f>(ASINH(FMS_Ranking4[[#This Row],[LWC Raw]]))*(10)/(ASINH(X$4))</f>
        <v>0</v>
      </c>
      <c r="Z727" s="256">
        <f>FMS_Ranking4[[#This Row],[LWC, ArcSInh (0-10)]]*X$5*10</f>
        <v>0</v>
      </c>
      <c r="AA727" s="253">
        <f>_xlfn.XLOOKUP(FMS_Ranking4[[#This Row],[FMS ID]],FMS_Input[FMS_ID],FMS_Input[ROADCLS])</f>
        <v>0</v>
      </c>
      <c r="AB727" s="255">
        <f>(ASINH(FMS_Ranking4[[#This Row],[Road Closures Raw]]))*(10)/(ASINH(AA$4))</f>
        <v>0</v>
      </c>
      <c r="AC727" s="256">
        <f>FMS_Ranking4[[#This Row],[Road closures, ArcSinh (0-10)]]*AA$5*10</f>
        <v>0</v>
      </c>
      <c r="AD727" s="253">
        <f>_xlfn.XLOOKUP(FMS_Ranking4[[#This Row],[FMS ID]],FMS_Input[FMS_ID],FMS_Input[ROAD_MILES100])</f>
        <v>1</v>
      </c>
      <c r="AE727" s="259">
        <f>(ASINH(FMS_Ranking4[[#This Row],[Road Miles Raw]]))*(10)/(ASINH(AD$4))</f>
        <v>0.9393017565219649</v>
      </c>
      <c r="AF727" s="256">
        <f>FMS_Ranking4[[#This Row],[Length of roads at risk, ArcSinh (0-10)]]*AD$5*10</f>
        <v>0.93930175652196501</v>
      </c>
      <c r="AG727" s="253">
        <f>_xlfn.XLOOKUP(FMS_Ranking4[[#This Row],[FMS ID]],FMS_Input[FMS_ID],FMS_Input[FARMACRE100])</f>
        <v>0</v>
      </c>
      <c r="AH727" s="255">
        <f>(ASINH(FMS_Ranking4[[#This Row],[Ag Land Raw]]))*(10)/(ASINH(AG$4))</f>
        <v>0</v>
      </c>
      <c r="AI727" s="260">
        <f>FMS_Ranking4[[#This Row],[Farm &amp; ranch land, ArcSinh (0-10)]]*AG$5*10</f>
        <v>0</v>
      </c>
      <c r="AJ727" s="258">
        <f>_xlfn.XLOOKUP(FMS_Ranking4[[#This Row],[FMS ID]],FMS_Input[FMS_ID],FMS_Input[REDSTRUCT100])</f>
        <v>0</v>
      </c>
      <c r="AK727" s="253">
        <f>_xlfn.XLOOKUP(FMS_Ranking4[[#This Row],[FMS ID]],FMS_Input[FMS_ID],FMS_Input[REMSTRC100])</f>
        <v>0</v>
      </c>
      <c r="AL727" s="259">
        <f>(ASINH(FMS_Ranking4[[#This Row],[Structures Removed Raw]]))*(10)/(ASINH(AK$4))</f>
        <v>0</v>
      </c>
      <c r="AM727" s="262">
        <f>FMS_Ranking4[[#This Row],[Structures removed, ArcSinh (0-10)]]*AK$5*10</f>
        <v>0</v>
      </c>
      <c r="AN727" s="253">
        <f>_xlfn.XLOOKUP(FMS_Ranking4[[#This Row],[FMS ID]],FMS_Input[FMS_ID],FMS_Input[REMRESSTRC100])</f>
        <v>0</v>
      </c>
      <c r="AO727" s="261">
        <f>FMS_Ranking4[[#This Row],[ArcSinh Res struct removed 0-10]]*AN$5*10</f>
        <v>0</v>
      </c>
      <c r="AP727" s="260">
        <f>ASINH(FMS_Ranking4[[#This Row],[Residential Structures Removed Raw]])/AP$4*AN$5*100</f>
        <v>0</v>
      </c>
      <c r="AQ727" s="254">
        <f>(ASINH(FMS_Ranking4[[#This Row],[Residential Structures Removed Raw]]))*(10)/(ASINH(AN$4))</f>
        <v>0</v>
      </c>
      <c r="AR727" s="253">
        <f>_xlfn.XLOOKUP(FMS_Ranking4[[#This Row],[FMS ID]],FMS_Input[FMS_ID],FMS_Input[REMPOP100])</f>
        <v>0</v>
      </c>
      <c r="AS727" s="259">
        <f>(ASINH(FMS_Ranking4[[#This Row],[Removed Pop Raw]]))*(10)/(ASINH(AR$4))</f>
        <v>0</v>
      </c>
      <c r="AT727" s="262">
        <f>FMS_Ranking4[[#This Row],[Removed population, ArcSinh (0-10)]]*AR$5*10</f>
        <v>0</v>
      </c>
      <c r="AU727" s="264">
        <f>_xlfn.XLOOKUP(FMS_Ranking4[[#This Row],[FMS ID]],FMS_Input[FMS_ID],FMS_Input[REMCRITFAC100])</f>
        <v>0</v>
      </c>
      <c r="AV727" s="264">
        <f>_xlfn.XLOOKUP(FMS_Ranking4[[#This Row],[FMS ID]],FMS_Input[FMS_ID],FMS_Input[REMLWC100])</f>
        <v>0</v>
      </c>
      <c r="AW727" s="264">
        <f>_xlfn.XLOOKUP(FMS_Ranking4[[#This Row],[FMS ID]],FMS_Input[FMS_ID],FMS_Input[REMROADCLS])</f>
        <v>0</v>
      </c>
      <c r="AX727" s="264">
        <f>_xlfn.XLOOKUP(FMS_Ranking4[[#This Row],[FMS ID]],FMS_Input[FMS_ID],FMS_Input[REMFRMACRE100])</f>
        <v>0</v>
      </c>
      <c r="AY727" s="258">
        <f>_xlfn.XLOOKUP(FMS_Ranking4[[#This Row],[FMS ID]],FMS_Input[FMS_ID],FMS_Input[COSTSTRUCT])</f>
        <v>0</v>
      </c>
      <c r="AZ727" s="253">
        <f>_xlfn.XLOOKUP(FMS_Ranking4[[#This Row],[FMS ID]],FMS_Input[FMS_ID],FMS_Input[NATURE])</f>
        <v>0</v>
      </c>
      <c r="BA727" s="262">
        <f>(((FMS_Ranking4[[#This Row],[% NBS Raw]]/AZ$4)*100)*AZ$5)</f>
        <v>0</v>
      </c>
      <c r="BB727" s="251" t="str">
        <f>_xlfn.XLOOKUP(FMS_Ranking4[[#This Row],[FMS ID]],FMS_Input[FMS_ID],FMS_Input[WATER_SUP])</f>
        <v>No</v>
      </c>
      <c r="BC727" s="265">
        <f>IF(FMS_Ranking4[[#This Row],[Water Supply Raw]]="Yes",10,0)</f>
        <v>0</v>
      </c>
      <c r="BD727" s="266">
        <f>_xlfn.XLOOKUP(FMS_Ranking4[[#This Row],[FMS Type]],FMS_TYPE[FMS_Type],FMS_TYPE[Score])</f>
        <v>8</v>
      </c>
      <c r="BE727" s="267">
        <f>FMS_Ranking4[[#This Row],[FMS_Type Score]]*$BD$5*10</f>
        <v>2</v>
      </c>
      <c r="BF72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2.9225614069553615E-3</v>
      </c>
      <c r="BG727" s="271">
        <f>_xlfn.RANK.EQ(BF727,$BF$8:$BF$870,0)+COUNTIF($BF$8:BF727,BF727)-1</f>
        <v>713</v>
      </c>
      <c r="BH727" s="268">
        <f>(((FMS_Ranking4[[#This Row],[Structures Removed Raw]]/AK$4)*100)*AK$5)+(((FMS_Ranking4[[#This Row],[Removed Pop Raw]]/AR$4)*100)*AR$5)</f>
        <v>0</v>
      </c>
      <c r="BI72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2.0029225614069555</v>
      </c>
      <c r="BJ727" s="205">
        <f>_xlfn.RANK.EQ(FMS_Ranking4[[#This Row],[Total Score 
(with linear
normalization)]],FMS_Ranking4[Total Score 
(with linear
normalization)],0)</f>
        <v>446</v>
      </c>
      <c r="BK727" s="205" t="e">
        <f>_xlfn.XLOOKUP(FMS_Ranking4[[#This Row],[FMS ID]],#REF!,#REF!)</f>
        <v>#REF!</v>
      </c>
      <c r="BL72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6.1503595546960028</v>
      </c>
      <c r="BM727" s="272">
        <f>FMS_Ranking4[[#This Row],[ArcSinh Score Based on Normalized Reported Factors]]+FMS_Ranking4[[#This Row],[% NBS Score (Normalized)]]+(FMS_Ranking4[[#This Row],[Water Supply Score (Normalized)]]*10*$BB$5)+FMS_Ranking4[[#This Row],[FMS_Type Score Weighted]]</f>
        <v>8.1503595546960028</v>
      </c>
      <c r="BN727" s="205">
        <f>_xlfn.RANK.EQ(FMS_Ranking4[[#This Row],[Total Score (with ArcSinh normalization of select criteria)]],FMS_Ranking4[Total Score (with ArcSinh normalization of select criteria)],0)</f>
        <v>720</v>
      </c>
      <c r="BO727" s="270" t="str">
        <f>_xlfn.XLOOKUP(FMS_Ranking4[[#This Row],[FMS ID]],FMS_Input[FMS_ID],FMS_Input[FMS_RANK_YEAR])</f>
        <v>2023 Amended Plan</v>
      </c>
      <c r="BP727" s="204">
        <f>_xlfn.XLOOKUP(FMS_Ranking4[[#This Row],[FMS ID]],Prev_Rank[FMS ID],Prev_Rank[Prev Rank])</f>
        <v>649</v>
      </c>
      <c r="BQ727" s="205" t="e">
        <f>_xlfn.XLOOKUP(FMS_Ranking4[[#This Row],[FMS ID]],#REF!,#REF!)</f>
        <v>#REF!</v>
      </c>
      <c r="BR727" s="199" t="e">
        <f>SUM(#REF!,#REF!,#REF!,#REF!,#REF!,#REF!,#REF!,#REF!,#REF!,FMS_Ranking4[[#This Row],[ArcSinh Res struct removed 0-10]],#REF!)</f>
        <v>#REF!</v>
      </c>
      <c r="BS727" s="199" t="e">
        <f>FMS_Ranking4[[#This Row],[Log Score Based on Normalized Reported Factors]]+FMS_Ranking4[[#This Row],[% NBS Score (Normalized)]]+(FMS_Ranking4[[#This Row],[Water Supply Score (Normalized)]]*10*$BB$5)+(FMS_Ranking4[[#This Row],[FMS_Type Score Weighted]])</f>
        <v>#REF!</v>
      </c>
      <c r="BT727" s="200" t="e">
        <f>_xlfn.RANK.EQ(FMS_Ranking4[[#This Row],[Log Total Score]],FMS_Ranking4[Log Total Score],0)</f>
        <v>#REF!</v>
      </c>
      <c r="BU727" s="200" t="e">
        <f>_xlfn.XLOOKUP(FMS_Ranking4[[#This Row],[FMS ID]],#REF!,#REF!)</f>
        <v>#REF!</v>
      </c>
      <c r="BV727" s="200">
        <f>FMS_Ranking4[[#This Row],[Region Number]]</f>
        <v>7</v>
      </c>
      <c r="BW727" s="200">
        <f>FMS_Ranking4[[#This Row],[Rank (with ArcSinh normalization of select criteria)]]-FMS_Ranking4[[#This Row],[Rank
(with linear
normalization)]]</f>
        <v>274</v>
      </c>
      <c r="BX727" s="200" t="e">
        <f>FMS_Ranking4[[#This Row],[Log Rank]]-FMS_Ranking4[[#This Row],[Rank
(with linear
normalization)]]</f>
        <v>#REF!</v>
      </c>
      <c r="BY727" s="200" t="str">
        <f>IF(FMS_Ranking4[[#This Row],[FMS Type]]="Flood Measurement and Warning",FMS_Ranking4[[#This Row],[Rank (with ArcSinh normalization of select criteria)]],"")</f>
        <v/>
      </c>
      <c r="BZ727" s="200">
        <f>IF(FMS_Ranking4[[#This Row],[FMS Type]]="Regulatory and Guidance",FMS_Ranking4[[#This Row],[Rank (with ArcSinh normalization of select criteria)]],"")</f>
        <v>720</v>
      </c>
      <c r="CA727" s="200" t="str">
        <f>IF(FMS_Ranking4[[#This Row],[FMS Type]]="Education and Outreach",FMS_Ranking4[[#This Row],[Rank (with ArcSinh normalization of select criteria)]],"")</f>
        <v/>
      </c>
      <c r="CB727" s="200" t="str">
        <f>IF(FMS_Ranking4[[#This Row],[FMS Type]]="Property Acquisition and Structural Elevation",FMS_Ranking4[[#This Row],[Rank (with ArcSinh normalization of select criteria)]],"")</f>
        <v/>
      </c>
      <c r="CC727" s="200" t="str">
        <f>IF(FMS_Ranking4[[#This Row],[FMS Type]]="Infrastructure Projects",FMS_Ranking4[[#This Row],[Rank (with ArcSinh normalization of select criteria)]],"")</f>
        <v/>
      </c>
      <c r="CD727" s="200" t="str">
        <f>IF(FMS_Ranking4[[#This Row],[FMS Type]]="Other",FMS_Ranking4[[#This Row],[Rank (with ArcSinh normalization of select criteria)]],"")</f>
        <v/>
      </c>
      <c r="CE727" s="201"/>
      <c r="CF727" s="206"/>
      <c r="CG727" s="206"/>
      <c r="CH727" s="206"/>
      <c r="CI727" s="206"/>
      <c r="CJ727" s="206"/>
      <c r="CK727" s="206"/>
      <c r="CL727" s="206"/>
      <c r="CM727" s="206"/>
      <c r="CN727" s="206"/>
      <c r="CO727" s="206"/>
      <c r="CP727" s="206"/>
      <c r="CQ727" s="206"/>
      <c r="CR727" s="206"/>
    </row>
    <row r="728" spans="2:96" ht="90" x14ac:dyDescent="0.25">
      <c r="B728" s="341" t="s">
        <v>2199</v>
      </c>
      <c r="C728" s="246">
        <f>_xlfn.XLOOKUP(FMS_Ranking4[[#This Row],[FMS ID]],FMS_Input[FMS_ID],FMS_Input[RFPG_NUM])</f>
        <v>3</v>
      </c>
      <c r="D728" s="309" t="str">
        <f>_xlfn.XLOOKUP(FMS_Ranking4[[#This Row],[FMS ID]],FMS_Input[FMS_ID],FMS_Input[FMS_NAME])</f>
        <v>Montague County Sewage Treatment Plants and Sewage Lift Stations Flood-Proofing Program</v>
      </c>
      <c r="E728" s="308" t="str">
        <f>_xlfn.XLOOKUP(FMS_Ranking4[[#This Row],[FMS ID]],FMS_Input[FMS_ID],FMS_Input[SPONSOR])</f>
        <v>Montague County</v>
      </c>
      <c r="F728" s="309" t="str">
        <f>_xlfn.XLOOKUP(FMS_Ranking4[[#This Row],[FMS ID]],Sponsor[FMS_ID],Sponsor[SPONSOR NAME])</f>
        <v>Montague County</v>
      </c>
      <c r="G728" s="309" t="str">
        <f>_xlfn.XLOOKUP(FMS_Ranking4[[#This Row],[FMS ID]],FMS_Input[FMS_ID],FMS_Input[FMS_DESCR])</f>
        <v>Flood-proof sewage treatment plants in flood hazard / low-lying areas within Region 3. Raise electrical components of sewage lift stations above the Base Flood Elevation (BFE)</v>
      </c>
      <c r="H728" s="248" t="str">
        <f>_xlfn.XLOOKUP(FMS_Ranking4[[#This Row],[FMS ID]],FMS_Input[FMS_ID],FMS_Input[FMS_TYPE])</f>
        <v>Other</v>
      </c>
      <c r="I728" s="249">
        <f>_xlfn.XLOOKUP(FMS_Ranking4[[#This Row],[FMS ID]],FMS_Input[FMS_ID],FMS_Input[NRNC_COST])</f>
        <v>50000</v>
      </c>
      <c r="J728" s="250">
        <f>_xlfn.XLOOKUP(FMS_Ranking4[[#This Row],[FMS ID]],FMS_Input[FMS_ID],FMS_Input[FMS_COST])</f>
        <v>500000</v>
      </c>
      <c r="K728" s="251" t="str">
        <f>_xlfn.XLOOKUP(FMS_Ranking4[[#This Row],[FMS ID]],FMS_Input[FMS_ID],FMS_Input[EMER_NEED])</f>
        <v>No</v>
      </c>
      <c r="L728" s="252">
        <f t="shared" si="11"/>
        <v>0</v>
      </c>
      <c r="M728" s="253">
        <f>_xlfn.XLOOKUP(FMS_Ranking4[[#This Row],[FMS ID]],FMS_Input[FMS_ID],FMS_Input[STRUCT_100])</f>
        <v>0</v>
      </c>
      <c r="N728" s="255">
        <f>(ASINH(FMS_Ranking4[[#This Row],[Structure at Risk Raw]]))*(10)/(ASINH(M$4))</f>
        <v>0</v>
      </c>
      <c r="O728" s="256">
        <f>FMS_Ranking4[[#This Row],[Structures at risk, ArcSinh (0-10)]]*M$5*10</f>
        <v>0</v>
      </c>
      <c r="P728" s="253">
        <f>_xlfn.XLOOKUP(FMS_Ranking4[[#This Row],[FMS ID]],FMS_Input[FMS_ID],FMS_Input[RES_STRUCT100])</f>
        <v>0</v>
      </c>
      <c r="Q728" s="257">
        <f>ASINH(FMS_Ranking4[[#This Row],[Res Structure Raw]])/Q$4*P$5*100</f>
        <v>0</v>
      </c>
      <c r="R728" s="253">
        <f>_xlfn.XLOOKUP(FMS_Ranking4[[#This Row],[FMS ID]],FMS_Input[FMS_ID],FMS_Input[POP100])</f>
        <v>0</v>
      </c>
      <c r="S728" s="255">
        <f>(ASINH(FMS_Ranking4[[#This Row],[Pop at Risk Raw]]))*(10)/(ASINH(R$4))</f>
        <v>0</v>
      </c>
      <c r="T728" s="256">
        <f>FMS_Ranking4[[#This Row],[Population at risk, ArcSinh (0-10)]]*R$5*10</f>
        <v>0</v>
      </c>
      <c r="U728" s="253">
        <f>_xlfn.XLOOKUP(FMS_Ranking4[[#This Row],[FMS ID]],FMS_Input[FMS_ID],FMS_Input[CRITFAC100])</f>
        <v>0</v>
      </c>
      <c r="V728" s="255">
        <f>(ASINH(FMS_Ranking4[[#This Row],[Critical Facilities Raw]]))*(10)/(ASINH(U$4))</f>
        <v>0</v>
      </c>
      <c r="W728" s="256">
        <f>FMS_Ranking4[[#This Row],[Critical facilities at risk, ArcSinh (0-10)]]*U$5*10</f>
        <v>0</v>
      </c>
      <c r="X728" s="253">
        <f>_xlfn.XLOOKUP(FMS_Ranking4[[#This Row],[FMS ID]],FMS_Input[FMS_ID],FMS_Input[LWC])</f>
        <v>3</v>
      </c>
      <c r="Y728" s="255">
        <f>(ASINH(FMS_Ranking4[[#This Row],[LWC Raw]]))*(10)/(ASINH(X$4))</f>
        <v>2.4635181155638843</v>
      </c>
      <c r="Z728" s="256">
        <f>FMS_Ranking4[[#This Row],[LWC, ArcSInh (0-10)]]*X$5*10</f>
        <v>2.4635181155638843</v>
      </c>
      <c r="AA728" s="253">
        <f>_xlfn.XLOOKUP(FMS_Ranking4[[#This Row],[FMS ID]],FMS_Input[FMS_ID],FMS_Input[ROADCLS])</f>
        <v>0</v>
      </c>
      <c r="AB728" s="255">
        <f>(ASINH(FMS_Ranking4[[#This Row],[Road Closures Raw]]))*(10)/(ASINH(AA$4))</f>
        <v>0</v>
      </c>
      <c r="AC728" s="256">
        <f>FMS_Ranking4[[#This Row],[Road closures, ArcSinh (0-10)]]*AA$5*10</f>
        <v>0</v>
      </c>
      <c r="AD728" s="253">
        <f>_xlfn.XLOOKUP(FMS_Ranking4[[#This Row],[FMS ID]],FMS_Input[FMS_ID],FMS_Input[ROAD_MILES100])</f>
        <v>57</v>
      </c>
      <c r="AE728" s="255">
        <f>(ASINH(FMS_Ranking4[[#This Row],[Road Miles Raw]]))*(10)/(ASINH(AD$4))</f>
        <v>5.0475664975813634</v>
      </c>
      <c r="AF728" s="256">
        <f>FMS_Ranking4[[#This Row],[Length of roads at risk, ArcSinh (0-10)]]*AD$5*10</f>
        <v>5.0475664975813643</v>
      </c>
      <c r="AG728" s="253">
        <f>_xlfn.XLOOKUP(FMS_Ranking4[[#This Row],[FMS ID]],FMS_Input[FMS_ID],FMS_Input[FARMACRE100])</f>
        <v>0</v>
      </c>
      <c r="AH728" s="255">
        <f>(ASINH(FMS_Ranking4[[#This Row],[Ag Land Raw]]))*(10)/(ASINH(AG$4))</f>
        <v>0</v>
      </c>
      <c r="AI728" s="260">
        <f>FMS_Ranking4[[#This Row],[Farm &amp; ranch land, ArcSinh (0-10)]]*AG$5*10</f>
        <v>0</v>
      </c>
      <c r="AJ728" s="258">
        <f>_xlfn.XLOOKUP(FMS_Ranking4[[#This Row],[FMS ID]],FMS_Input[FMS_ID],FMS_Input[REDSTRUCT100])</f>
        <v>0</v>
      </c>
      <c r="AK728" s="253">
        <f>_xlfn.XLOOKUP(FMS_Ranking4[[#This Row],[FMS ID]],FMS_Input[FMS_ID],FMS_Input[REMSTRC100])</f>
        <v>0</v>
      </c>
      <c r="AL728" s="255">
        <f>(ASINH(FMS_Ranking4[[#This Row],[Structures Removed Raw]]))*(10)/(ASINH(AK$4))</f>
        <v>0</v>
      </c>
      <c r="AM728" s="262">
        <f>FMS_Ranking4[[#This Row],[Structures removed, ArcSinh (0-10)]]*AK$5*10</f>
        <v>0</v>
      </c>
      <c r="AN728" s="253">
        <f>_xlfn.XLOOKUP(FMS_Ranking4[[#This Row],[FMS ID]],FMS_Input[FMS_ID],FMS_Input[REMRESSTRC100])</f>
        <v>0</v>
      </c>
      <c r="AO728" s="261">
        <f>FMS_Ranking4[[#This Row],[ArcSinh Res struct removed 0-10]]*AN$5*10</f>
        <v>0</v>
      </c>
      <c r="AP728" s="260">
        <f>ASINH(FMS_Ranking4[[#This Row],[Residential Structures Removed Raw]])/AP$4*AN$5*100</f>
        <v>0</v>
      </c>
      <c r="AQ728" s="258">
        <f>(ASINH(FMS_Ranking4[[#This Row],[Residential Structures Removed Raw]]))*(10)/(ASINH(AN$4))</f>
        <v>0</v>
      </c>
      <c r="AR728" s="253">
        <f>_xlfn.XLOOKUP(FMS_Ranking4[[#This Row],[FMS ID]],FMS_Input[FMS_ID],FMS_Input[REMPOP100])</f>
        <v>0</v>
      </c>
      <c r="AS728" s="255">
        <f>(ASINH(FMS_Ranking4[[#This Row],[Removed Pop Raw]]))*(10)/(ASINH(AR$4))</f>
        <v>0</v>
      </c>
      <c r="AT728" s="262">
        <f>FMS_Ranking4[[#This Row],[Removed population, ArcSinh (0-10)]]*AR$5*10</f>
        <v>0</v>
      </c>
      <c r="AU728" s="264">
        <f>_xlfn.XLOOKUP(FMS_Ranking4[[#This Row],[FMS ID]],FMS_Input[FMS_ID],FMS_Input[REMCRITFAC100])</f>
        <v>0</v>
      </c>
      <c r="AV728" s="264">
        <f>_xlfn.XLOOKUP(FMS_Ranking4[[#This Row],[FMS ID]],FMS_Input[FMS_ID],FMS_Input[REMLWC100])</f>
        <v>0</v>
      </c>
      <c r="AW728" s="264">
        <f>_xlfn.XLOOKUP(FMS_Ranking4[[#This Row],[FMS ID]],FMS_Input[FMS_ID],FMS_Input[REMROADCLS])</f>
        <v>0</v>
      </c>
      <c r="AX728" s="264">
        <f>_xlfn.XLOOKUP(FMS_Ranking4[[#This Row],[FMS ID]],FMS_Input[FMS_ID],FMS_Input[REMFRMACRE100])</f>
        <v>0</v>
      </c>
      <c r="AY728" s="258">
        <f>_xlfn.XLOOKUP(FMS_Ranking4[[#This Row],[FMS ID]],FMS_Input[FMS_ID],FMS_Input[COSTSTRUCT])</f>
        <v>0</v>
      </c>
      <c r="AZ728" s="253">
        <f>_xlfn.XLOOKUP(FMS_Ranking4[[#This Row],[FMS ID]],FMS_Input[FMS_ID],FMS_Input[NATURE])</f>
        <v>0</v>
      </c>
      <c r="BA728" s="262">
        <f>(((FMS_Ranking4[[#This Row],[% NBS Raw]]/AZ$4)*100)*AZ$5)</f>
        <v>0</v>
      </c>
      <c r="BB728" s="251" t="str">
        <f>_xlfn.XLOOKUP(FMS_Ranking4[[#This Row],[FMS ID]],FMS_Input[FMS_ID],FMS_Input[WATER_SUP])</f>
        <v>No</v>
      </c>
      <c r="BC728" s="265">
        <f>IF(FMS_Ranking4[[#This Row],[Water Supply Raw]]="Yes",10,0)</f>
        <v>0</v>
      </c>
      <c r="BD728" s="266">
        <f>_xlfn.XLOOKUP(FMS_Ranking4[[#This Row],[FMS Type]],FMS_TYPE[FMS_Type],FMS_TYPE[Score])</f>
        <v>2</v>
      </c>
      <c r="BE728" s="267">
        <f>FMS_Ranking4[[#This Row],[FMS_Type Score]]*$BD$5*10</f>
        <v>0.5</v>
      </c>
      <c r="BF72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0.13325492056202431</v>
      </c>
      <c r="BG728" s="321">
        <f>_xlfn.RANK.EQ(BF728,$BF$8:$BF$870,0)+COUNTIF($BF$8:BF728,BF728)-1</f>
        <v>433</v>
      </c>
      <c r="BH728" s="294">
        <f>(((FMS_Ranking4[[#This Row],[Structures Removed Raw]]/AK$4)*100)*AK$5)+(((FMS_Ranking4[[#This Row],[Removed Pop Raw]]/AR$4)*100)*AR$5)</f>
        <v>0</v>
      </c>
      <c r="BI72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0.63325492056202437</v>
      </c>
      <c r="BJ728" s="251">
        <f>_xlfn.RANK.EQ(FMS_Ranking4[[#This Row],[Total Score 
(with linear
normalization)]],FMS_Ranking4[Total Score 
(with linear
normalization)],0)</f>
        <v>815</v>
      </c>
      <c r="BK728" s="251" t="e">
        <f>_xlfn.XLOOKUP(FMS_Ranking4[[#This Row],[FMS ID]],#REF!,#REF!)</f>
        <v>#REF!</v>
      </c>
      <c r="BL72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7.5110846131452487</v>
      </c>
      <c r="BM728" s="324">
        <f>FMS_Ranking4[[#This Row],[ArcSinh Score Based on Normalized Reported Factors]]+FMS_Ranking4[[#This Row],[% NBS Score (Normalized)]]+(FMS_Ranking4[[#This Row],[Water Supply Score (Normalized)]]*10*$BB$5)+FMS_Ranking4[[#This Row],[FMS_Type Score Weighted]]</f>
        <v>8.0110846131452487</v>
      </c>
      <c r="BN728" s="251">
        <f>_xlfn.RANK.EQ(FMS_Ranking4[[#This Row],[Total Score (with ArcSinh normalization of select criteria)]],FMS_Ranking4[Total Score (with ArcSinh normalization of select criteria)],0)</f>
        <v>721</v>
      </c>
      <c r="BO728" s="270" t="str">
        <f>_xlfn.XLOOKUP(FMS_Ranking4[[#This Row],[FMS ID]],FMS_Input[FMS_ID],FMS_Input[FMS_RANK_YEAR])</f>
        <v>2023 Amended Plan</v>
      </c>
      <c r="BP728" s="204">
        <f>_xlfn.XLOOKUP(FMS_Ranking4[[#This Row],[FMS ID]],Prev_Rank[FMS ID],Prev_Rank[Prev Rank])</f>
        <v>653</v>
      </c>
      <c r="BQ728" s="251" t="e">
        <f>_xlfn.XLOOKUP(FMS_Ranking4[[#This Row],[FMS ID]],#REF!,#REF!)</f>
        <v>#REF!</v>
      </c>
      <c r="BR728" s="199" t="e">
        <f>SUM(#REF!,#REF!,#REF!,#REF!,#REF!,#REF!,#REF!,#REF!,#REF!,FMS_Ranking4[[#This Row],[ArcSinh Res struct removed 0-10]],#REF!)</f>
        <v>#REF!</v>
      </c>
      <c r="BS728" s="199" t="e">
        <f>FMS_Ranking4[[#This Row],[Log Score Based on Normalized Reported Factors]]+FMS_Ranking4[[#This Row],[% NBS Score (Normalized)]]+(FMS_Ranking4[[#This Row],[Water Supply Score (Normalized)]]*10*$BB$5)+(FMS_Ranking4[[#This Row],[FMS_Type Score Weighted]])</f>
        <v>#REF!</v>
      </c>
      <c r="BT728" s="200" t="e">
        <f>_xlfn.RANK.EQ(FMS_Ranking4[[#This Row],[Log Total Score]],FMS_Ranking4[Log Total Score],0)</f>
        <v>#REF!</v>
      </c>
      <c r="BU728" s="200" t="e">
        <f>_xlfn.XLOOKUP(FMS_Ranking4[[#This Row],[FMS ID]],#REF!,#REF!)</f>
        <v>#REF!</v>
      </c>
      <c r="BV728" s="200">
        <f>FMS_Ranking4[[#This Row],[Region Number]]</f>
        <v>3</v>
      </c>
      <c r="BW728" s="200">
        <f>FMS_Ranking4[[#This Row],[Rank (with ArcSinh normalization of select criteria)]]-FMS_Ranking4[[#This Row],[Rank
(with linear
normalization)]]</f>
        <v>-94</v>
      </c>
      <c r="BX728" s="200" t="e">
        <f>FMS_Ranking4[[#This Row],[Log Rank]]-FMS_Ranking4[[#This Row],[Rank
(with linear
normalization)]]</f>
        <v>#REF!</v>
      </c>
      <c r="BY728" s="200" t="str">
        <f>IF(FMS_Ranking4[[#This Row],[FMS Type]]="Flood Measurement and Warning",FMS_Ranking4[[#This Row],[Rank (with ArcSinh normalization of select criteria)]],"")</f>
        <v/>
      </c>
      <c r="BZ728" s="200" t="str">
        <f>IF(FMS_Ranking4[[#This Row],[FMS Type]]="Regulatory and Guidance",FMS_Ranking4[[#This Row],[Rank (with ArcSinh normalization of select criteria)]],"")</f>
        <v/>
      </c>
      <c r="CA728" s="200" t="str">
        <f>IF(FMS_Ranking4[[#This Row],[FMS Type]]="Education and Outreach",FMS_Ranking4[[#This Row],[Rank (with ArcSinh normalization of select criteria)]],"")</f>
        <v/>
      </c>
      <c r="CB728" s="200" t="str">
        <f>IF(FMS_Ranking4[[#This Row],[FMS Type]]="Property Acquisition and Structural Elevation",FMS_Ranking4[[#This Row],[Rank (with ArcSinh normalization of select criteria)]],"")</f>
        <v/>
      </c>
      <c r="CC728" s="200" t="str">
        <f>IF(FMS_Ranking4[[#This Row],[FMS Type]]="Infrastructure Projects",FMS_Ranking4[[#This Row],[Rank (with ArcSinh normalization of select criteria)]],"")</f>
        <v/>
      </c>
      <c r="CD728" s="200">
        <f>IF(FMS_Ranking4[[#This Row],[FMS Type]]="Other",FMS_Ranking4[[#This Row],[Rank (with ArcSinh normalization of select criteria)]],"")</f>
        <v>721</v>
      </c>
      <c r="CE728" s="201"/>
      <c r="CF728" s="206"/>
      <c r="CG728" s="206"/>
      <c r="CH728" s="206"/>
      <c r="CI728" s="206"/>
      <c r="CJ728" s="206"/>
      <c r="CK728" s="206"/>
      <c r="CL728" s="206"/>
      <c r="CM728" s="206"/>
      <c r="CN728" s="206"/>
      <c r="CO728" s="206"/>
      <c r="CP728" s="206"/>
      <c r="CQ728" s="206"/>
      <c r="CR728" s="206"/>
    </row>
    <row r="729" spans="2:96" ht="45" x14ac:dyDescent="0.25">
      <c r="B729" s="341" t="s">
        <v>4921</v>
      </c>
      <c r="C729" s="246">
        <f>_xlfn.XLOOKUP(FMS_Ranking4[[#This Row],[FMS ID]],FMS_Input[FMS_ID],FMS_Input[RFPG_NUM])</f>
        <v>8</v>
      </c>
      <c r="D729" s="309" t="str">
        <f>_xlfn.XLOOKUP(FMS_Ranking4[[#This Row],[FMS ID]],FMS_Input[FMS_ID],FMS_Input[FMS_NAME])</f>
        <v>City of Hutto Acquire Flood Prone Land</v>
      </c>
      <c r="E729" s="308" t="str">
        <f>_xlfn.XLOOKUP(FMS_Ranking4[[#This Row],[FMS ID]],FMS_Input[FMS_ID],FMS_Input[SPONSOR])</f>
        <v>08002577</v>
      </c>
      <c r="F729" s="309" t="str">
        <f>_xlfn.XLOOKUP(FMS_Ranking4[[#This Row],[FMS ID]],Sponsor[FMS_ID],Sponsor[SPONSOR NAME])</f>
        <v>Hutto</v>
      </c>
      <c r="G729" s="309" t="str">
        <f>_xlfn.XLOOKUP(FMS_Ranking4[[#This Row],[FMS ID]],FMS_Input[FMS_ID],FMS_Input[FMS_DESCR])</f>
        <v>Dedicate acquired, undeveloped land to open space areas to prevent development.</v>
      </c>
      <c r="H729" s="248" t="str">
        <f>_xlfn.XLOOKUP(FMS_Ranking4[[#This Row],[FMS ID]],FMS_Input[FMS_ID],FMS_Input[FMS_TYPE])</f>
        <v>Other</v>
      </c>
      <c r="I729" s="249">
        <f>_xlfn.XLOOKUP(FMS_Ranking4[[#This Row],[FMS ID]],FMS_Input[FMS_ID],FMS_Input[NRNC_COST])</f>
        <v>1000000</v>
      </c>
      <c r="J729" s="250">
        <f>_xlfn.XLOOKUP(FMS_Ranking4[[#This Row],[FMS ID]],FMS_Input[FMS_ID],FMS_Input[FMS_COST])</f>
        <v>1000000</v>
      </c>
      <c r="K729" s="251" t="str">
        <f>_xlfn.XLOOKUP(FMS_Ranking4[[#This Row],[FMS ID]],FMS_Input[FMS_ID],FMS_Input[EMER_NEED])</f>
        <v>No</v>
      </c>
      <c r="L729" s="252">
        <f t="shared" si="11"/>
        <v>0</v>
      </c>
      <c r="M729" s="253">
        <f>_xlfn.XLOOKUP(FMS_Ranking4[[#This Row],[FMS ID]],FMS_Input[FMS_ID],FMS_Input[STRUCT_100])</f>
        <v>0</v>
      </c>
      <c r="N729" s="255">
        <f>(ASINH(FMS_Ranking4[[#This Row],[Structure at Risk Raw]]))*(10)/(ASINH(M$4))</f>
        <v>0</v>
      </c>
      <c r="O729" s="256">
        <f>FMS_Ranking4[[#This Row],[Structures at risk, ArcSinh (0-10)]]*M$5*10</f>
        <v>0</v>
      </c>
      <c r="P729" s="253">
        <f>_xlfn.XLOOKUP(FMS_Ranking4[[#This Row],[FMS ID]],FMS_Input[FMS_ID],FMS_Input[RES_STRUCT100])</f>
        <v>0</v>
      </c>
      <c r="Q729" s="257">
        <f>ASINH(FMS_Ranking4[[#This Row],[Res Structure Raw]])/Q$4*P$5*100</f>
        <v>0</v>
      </c>
      <c r="R729" s="253">
        <f>_xlfn.XLOOKUP(FMS_Ranking4[[#This Row],[FMS ID]],FMS_Input[FMS_ID],FMS_Input[POP100])</f>
        <v>0</v>
      </c>
      <c r="S729" s="259">
        <f>(ASINH(FMS_Ranking4[[#This Row],[Pop at Risk Raw]]))*(10)/(ASINH(R$4))</f>
        <v>0</v>
      </c>
      <c r="T729" s="256">
        <f>FMS_Ranking4[[#This Row],[Population at risk, ArcSinh (0-10)]]*R$5*10</f>
        <v>0</v>
      </c>
      <c r="U729" s="253">
        <f>_xlfn.XLOOKUP(FMS_Ranking4[[#This Row],[FMS ID]],FMS_Input[FMS_ID],FMS_Input[CRITFAC100])</f>
        <v>0</v>
      </c>
      <c r="V729" s="259">
        <f>(ASINH(FMS_Ranking4[[#This Row],[Critical Facilities Raw]]))*(10)/(ASINH(U$4))</f>
        <v>0</v>
      </c>
      <c r="W729" s="256">
        <f>FMS_Ranking4[[#This Row],[Critical facilities at risk, ArcSinh (0-10)]]*U$5*10</f>
        <v>0</v>
      </c>
      <c r="X729" s="253">
        <f>_xlfn.XLOOKUP(FMS_Ranking4[[#This Row],[FMS ID]],FMS_Input[FMS_ID],FMS_Input[LWC])</f>
        <v>0</v>
      </c>
      <c r="Y729" s="259">
        <f>(ASINH(FMS_Ranking4[[#This Row],[LWC Raw]]))*(10)/(ASINH(X$4))</f>
        <v>0</v>
      </c>
      <c r="Z729" s="256">
        <f>FMS_Ranking4[[#This Row],[LWC, ArcSInh (0-10)]]*X$5*10</f>
        <v>0</v>
      </c>
      <c r="AA729" s="253">
        <f>_xlfn.XLOOKUP(FMS_Ranking4[[#This Row],[FMS ID]],FMS_Input[FMS_ID],FMS_Input[ROADCLS])</f>
        <v>0</v>
      </c>
      <c r="AB729" s="255">
        <f>(ASINH(FMS_Ranking4[[#This Row],[Road Closures Raw]]))*(10)/(ASINH(AA$4))</f>
        <v>0</v>
      </c>
      <c r="AC729" s="256">
        <f>FMS_Ranking4[[#This Row],[Road closures, ArcSinh (0-10)]]*AA$5*10</f>
        <v>0</v>
      </c>
      <c r="AD729" s="253">
        <f>_xlfn.XLOOKUP(FMS_Ranking4[[#This Row],[FMS ID]],FMS_Input[FMS_ID],FMS_Input[ROAD_MILES100])</f>
        <v>0</v>
      </c>
      <c r="AE729" s="259">
        <f>(ASINH(FMS_Ranking4[[#This Row],[Road Miles Raw]]))*(10)/(ASINH(AD$4))</f>
        <v>0</v>
      </c>
      <c r="AF729" s="256">
        <f>FMS_Ranking4[[#This Row],[Length of roads at risk, ArcSinh (0-10)]]*AD$5*10</f>
        <v>0</v>
      </c>
      <c r="AG729" s="253">
        <f>_xlfn.XLOOKUP(FMS_Ranking4[[#This Row],[FMS ID]],FMS_Input[FMS_ID],FMS_Input[FARMACRE100])</f>
        <v>0</v>
      </c>
      <c r="AH729" s="255">
        <f>(ASINH(FMS_Ranking4[[#This Row],[Ag Land Raw]]))*(10)/(ASINH(AG$4))</f>
        <v>0</v>
      </c>
      <c r="AI729" s="260">
        <f>FMS_Ranking4[[#This Row],[Farm &amp; ranch land, ArcSinh (0-10)]]*AG$5*10</f>
        <v>0</v>
      </c>
      <c r="AJ729" s="258">
        <f>_xlfn.XLOOKUP(FMS_Ranking4[[#This Row],[FMS ID]],FMS_Input[FMS_ID],FMS_Input[REDSTRUCT100])</f>
        <v>0</v>
      </c>
      <c r="AK729" s="253">
        <f>_xlfn.XLOOKUP(FMS_Ranking4[[#This Row],[FMS ID]],FMS_Input[FMS_ID],FMS_Input[REMSTRC100])</f>
        <v>0</v>
      </c>
      <c r="AL729" s="259">
        <f>(ASINH(FMS_Ranking4[[#This Row],[Structures Removed Raw]]))*(10)/(ASINH(AK$4))</f>
        <v>0</v>
      </c>
      <c r="AM729" s="262">
        <f>FMS_Ranking4[[#This Row],[Structures removed, ArcSinh (0-10)]]*AK$5*10</f>
        <v>0</v>
      </c>
      <c r="AN729" s="253">
        <f>_xlfn.XLOOKUP(FMS_Ranking4[[#This Row],[FMS ID]],FMS_Input[FMS_ID],FMS_Input[REMRESSTRC100])</f>
        <v>0</v>
      </c>
      <c r="AO729" s="261">
        <f>FMS_Ranking4[[#This Row],[ArcSinh Res struct removed 0-10]]*AN$5*10</f>
        <v>0</v>
      </c>
      <c r="AP729" s="260">
        <f>ASINH(FMS_Ranking4[[#This Row],[Residential Structures Removed Raw]])/AP$4*AN$5*100</f>
        <v>0</v>
      </c>
      <c r="AQ729" s="254">
        <f>(ASINH(FMS_Ranking4[[#This Row],[Residential Structures Removed Raw]]))*(10)/(ASINH(AN$4))</f>
        <v>0</v>
      </c>
      <c r="AR729" s="253">
        <f>_xlfn.XLOOKUP(FMS_Ranking4[[#This Row],[FMS ID]],FMS_Input[FMS_ID],FMS_Input[REMPOP100])</f>
        <v>0</v>
      </c>
      <c r="AS729" s="259">
        <f>(ASINH(FMS_Ranking4[[#This Row],[Removed Pop Raw]]))*(10)/(ASINH(AR$4))</f>
        <v>0</v>
      </c>
      <c r="AT729" s="262">
        <f>FMS_Ranking4[[#This Row],[Removed population, ArcSinh (0-10)]]*AR$5*10</f>
        <v>0</v>
      </c>
      <c r="AU729" s="264">
        <f>_xlfn.XLOOKUP(FMS_Ranking4[[#This Row],[FMS ID]],FMS_Input[FMS_ID],FMS_Input[REMCRITFAC100])</f>
        <v>0</v>
      </c>
      <c r="AV729" s="264">
        <f>_xlfn.XLOOKUP(FMS_Ranking4[[#This Row],[FMS ID]],FMS_Input[FMS_ID],FMS_Input[REMLWC100])</f>
        <v>0</v>
      </c>
      <c r="AW729" s="264">
        <f>_xlfn.XLOOKUP(FMS_Ranking4[[#This Row],[FMS ID]],FMS_Input[FMS_ID],FMS_Input[REMROADCLS])</f>
        <v>0</v>
      </c>
      <c r="AX729" s="264">
        <f>_xlfn.XLOOKUP(FMS_Ranking4[[#This Row],[FMS ID]],FMS_Input[FMS_ID],FMS_Input[REMFRMACRE100])</f>
        <v>0</v>
      </c>
      <c r="AY729" s="258">
        <f>_xlfn.XLOOKUP(FMS_Ranking4[[#This Row],[FMS ID]],FMS_Input[FMS_ID],FMS_Input[COSTSTRUCT])</f>
        <v>0</v>
      </c>
      <c r="AZ729" s="253">
        <f>_xlfn.XLOOKUP(FMS_Ranking4[[#This Row],[FMS ID]],FMS_Input[FMS_ID],FMS_Input[NATURE])</f>
        <v>100</v>
      </c>
      <c r="BA729" s="262">
        <f>(((FMS_Ranking4[[#This Row],[% NBS Raw]]/AZ$4)*100)*AZ$5)</f>
        <v>7.5</v>
      </c>
      <c r="BB729" s="251" t="str">
        <f>_xlfn.XLOOKUP(FMS_Ranking4[[#This Row],[FMS ID]],FMS_Input[FMS_ID],FMS_Input[WATER_SUP])</f>
        <v>No</v>
      </c>
      <c r="BC729" s="265">
        <f>IF(FMS_Ranking4[[#This Row],[Water Supply Raw]]="Yes",10,0)</f>
        <v>0</v>
      </c>
      <c r="BD729" s="266">
        <f>_xlfn.XLOOKUP(FMS_Ranking4[[#This Row],[FMS Type]],FMS_TYPE[FMS_Type],FMS_TYPE[Score])</f>
        <v>2</v>
      </c>
      <c r="BE729" s="267">
        <f>FMS_Ranking4[[#This Row],[FMS_Type Score]]*$BD$5*10</f>
        <v>0.5</v>
      </c>
      <c r="BF72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729" s="271">
        <f>_xlfn.RANK.EQ(BF729,$BF$8:$BF$870,0)+COUNTIF($BF$8:BF729,BF729)-1</f>
        <v>814</v>
      </c>
      <c r="BH729" s="268">
        <f>(((FMS_Ranking4[[#This Row],[Structures Removed Raw]]/AK$4)*100)*AK$5)+(((FMS_Ranking4[[#This Row],[Removed Pop Raw]]/AR$4)*100)*AR$5)</f>
        <v>0</v>
      </c>
      <c r="BI72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8</v>
      </c>
      <c r="BJ729" s="205">
        <f>_xlfn.RANK.EQ(FMS_Ranking4[[#This Row],[Total Score 
(with linear
normalization)]],FMS_Ranking4[Total Score 
(with linear
normalization)],0)</f>
        <v>89</v>
      </c>
      <c r="BK729" s="205" t="e">
        <f>_xlfn.XLOOKUP(FMS_Ranking4[[#This Row],[FMS ID]],#REF!,#REF!)</f>
        <v>#REF!</v>
      </c>
      <c r="BL72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729" s="272">
        <f>FMS_Ranking4[[#This Row],[ArcSinh Score Based on Normalized Reported Factors]]+FMS_Ranking4[[#This Row],[% NBS Score (Normalized)]]+(FMS_Ranking4[[#This Row],[Water Supply Score (Normalized)]]*10*$BB$5)+FMS_Ranking4[[#This Row],[FMS_Type Score Weighted]]</f>
        <v>8</v>
      </c>
      <c r="BN729" s="205">
        <f>_xlfn.RANK.EQ(FMS_Ranking4[[#This Row],[Total Score (with ArcSinh normalization of select criteria)]],FMS_Ranking4[Total Score (with ArcSinh normalization of select criteria)],0)</f>
        <v>722</v>
      </c>
      <c r="BO729" s="270" t="str">
        <f>_xlfn.XLOOKUP(FMS_Ranking4[[#This Row],[FMS ID]],FMS_Input[FMS_ID],FMS_Input[FMS_RANK_YEAR])</f>
        <v>2023 Amended Plan</v>
      </c>
      <c r="BP729" s="204">
        <f>_xlfn.XLOOKUP(FMS_Ranking4[[#This Row],[FMS ID]],Prev_Rank[FMS ID],Prev_Rank[Prev Rank])</f>
        <v>652</v>
      </c>
      <c r="BQ729" s="205" t="e">
        <f>_xlfn.XLOOKUP(FMS_Ranking4[[#This Row],[FMS ID]],#REF!,#REF!)</f>
        <v>#REF!</v>
      </c>
      <c r="BR729" s="199" t="e">
        <f>SUM(#REF!,#REF!,#REF!,#REF!,#REF!,#REF!,#REF!,#REF!,#REF!,FMS_Ranking4[[#This Row],[ArcSinh Res struct removed 0-10]],#REF!)</f>
        <v>#REF!</v>
      </c>
      <c r="BS729" s="199" t="e">
        <f>FMS_Ranking4[[#This Row],[Log Score Based on Normalized Reported Factors]]+FMS_Ranking4[[#This Row],[% NBS Score (Normalized)]]+(FMS_Ranking4[[#This Row],[Water Supply Score (Normalized)]]*10*$BB$5)+(FMS_Ranking4[[#This Row],[FMS_Type Score Weighted]])</f>
        <v>#REF!</v>
      </c>
      <c r="BT729" s="200" t="e">
        <f>_xlfn.RANK.EQ(FMS_Ranking4[[#This Row],[Log Total Score]],FMS_Ranking4[Log Total Score],0)</f>
        <v>#REF!</v>
      </c>
      <c r="BU729" s="200" t="e">
        <f>_xlfn.XLOOKUP(FMS_Ranking4[[#This Row],[FMS ID]],#REF!,#REF!)</f>
        <v>#REF!</v>
      </c>
      <c r="BV729" s="200">
        <f>FMS_Ranking4[[#This Row],[Region Number]]</f>
        <v>8</v>
      </c>
      <c r="BW729" s="200">
        <f>FMS_Ranking4[[#This Row],[Rank (with ArcSinh normalization of select criteria)]]-FMS_Ranking4[[#This Row],[Rank
(with linear
normalization)]]</f>
        <v>633</v>
      </c>
      <c r="BX729" s="200" t="e">
        <f>FMS_Ranking4[[#This Row],[Log Rank]]-FMS_Ranking4[[#This Row],[Rank
(with linear
normalization)]]</f>
        <v>#REF!</v>
      </c>
      <c r="BY729" s="200" t="str">
        <f>IF(FMS_Ranking4[[#This Row],[FMS Type]]="Flood Measurement and Warning",FMS_Ranking4[[#This Row],[Rank (with ArcSinh normalization of select criteria)]],"")</f>
        <v/>
      </c>
      <c r="BZ729" s="200" t="str">
        <f>IF(FMS_Ranking4[[#This Row],[FMS Type]]="Regulatory and Guidance",FMS_Ranking4[[#This Row],[Rank (with ArcSinh normalization of select criteria)]],"")</f>
        <v/>
      </c>
      <c r="CA729" s="200" t="str">
        <f>IF(FMS_Ranking4[[#This Row],[FMS Type]]="Education and Outreach",FMS_Ranking4[[#This Row],[Rank (with ArcSinh normalization of select criteria)]],"")</f>
        <v/>
      </c>
      <c r="CB729" s="200" t="str">
        <f>IF(FMS_Ranking4[[#This Row],[FMS Type]]="Property Acquisition and Structural Elevation",FMS_Ranking4[[#This Row],[Rank (with ArcSinh normalization of select criteria)]],"")</f>
        <v/>
      </c>
      <c r="CC729" s="200" t="str">
        <f>IF(FMS_Ranking4[[#This Row],[FMS Type]]="Infrastructure Projects",FMS_Ranking4[[#This Row],[Rank (with ArcSinh normalization of select criteria)]],"")</f>
        <v/>
      </c>
      <c r="CD729" s="200">
        <f>IF(FMS_Ranking4[[#This Row],[FMS Type]]="Other",FMS_Ranking4[[#This Row],[Rank (with ArcSinh normalization of select criteria)]],"")</f>
        <v>722</v>
      </c>
      <c r="CE729" s="201"/>
      <c r="CF729" s="206"/>
      <c r="CG729" s="206"/>
      <c r="CH729" s="206"/>
      <c r="CI729" s="206"/>
      <c r="CJ729" s="206"/>
      <c r="CK729" s="206"/>
      <c r="CL729" s="206"/>
      <c r="CM729" s="206"/>
      <c r="CN729" s="206"/>
      <c r="CO729" s="206"/>
      <c r="CP729" s="206"/>
      <c r="CQ729" s="206"/>
      <c r="CR729" s="206"/>
    </row>
    <row r="730" spans="2:96" ht="45" x14ac:dyDescent="0.25">
      <c r="B730" s="341" t="s">
        <v>3311</v>
      </c>
      <c r="C730" s="246">
        <f>_xlfn.XLOOKUP(FMS_Ranking4[[#This Row],[FMS ID]],FMS_Input[FMS_ID],FMS_Input[RFPG_NUM])</f>
        <v>7</v>
      </c>
      <c r="D730" s="309" t="str">
        <f>_xlfn.XLOOKUP(FMS_Ranking4[[#This Row],[FMS ID]],FMS_Input[FMS_ID],FMS_Input[FMS_NAME])</f>
        <v>Town of Smyer NFIP Participation</v>
      </c>
      <c r="E730" s="308" t="str">
        <f>_xlfn.XLOOKUP(FMS_Ranking4[[#This Row],[FMS ID]],FMS_Input[FMS_ID],FMS_Input[SPONSOR])</f>
        <v>07003435</v>
      </c>
      <c r="F730" s="309" t="str">
        <f>_xlfn.XLOOKUP(FMS_Ranking4[[#This Row],[FMS ID]],Sponsor[FMS_ID],Sponsor[SPONSOR NAME])</f>
        <v>Smyer</v>
      </c>
      <c r="G730" s="309" t="str">
        <f>_xlfn.XLOOKUP(FMS_Ranking4[[#This Row],[FMS ID]],FMS_Input[FMS_ID],FMS_Input[FMS_DESCR])</f>
        <v>Application to join NFIP or adoption of equivalent standards.</v>
      </c>
      <c r="H730" s="248" t="str">
        <f>_xlfn.XLOOKUP(FMS_Ranking4[[#This Row],[FMS ID]],FMS_Input[FMS_ID],FMS_Input[FMS_TYPE])</f>
        <v>Regulatory and Guidance</v>
      </c>
      <c r="I730" s="249">
        <f>_xlfn.XLOOKUP(FMS_Ranking4[[#This Row],[FMS ID]],FMS_Input[FMS_ID],FMS_Input[NRNC_COST])</f>
        <v>50000</v>
      </c>
      <c r="J730" s="250">
        <f>_xlfn.XLOOKUP(FMS_Ranking4[[#This Row],[FMS ID]],FMS_Input[FMS_ID],FMS_Input[FMS_COST])</f>
        <v>50000</v>
      </c>
      <c r="K730" s="251" t="str">
        <f>_xlfn.XLOOKUP(FMS_Ranking4[[#This Row],[FMS ID]],FMS_Input[FMS_ID],FMS_Input[EMER_NEED])</f>
        <v>No</v>
      </c>
      <c r="L730" s="252">
        <f t="shared" si="11"/>
        <v>0</v>
      </c>
      <c r="M730" s="253">
        <f>_xlfn.XLOOKUP(FMS_Ranking4[[#This Row],[FMS ID]],FMS_Input[FMS_ID],FMS_Input[STRUCT_100])</f>
        <v>6</v>
      </c>
      <c r="N730" s="255">
        <f>(ASINH(FMS_Ranking4[[#This Row],[Structure at Risk Raw]]))*(10)/(ASINH(M$4))</f>
        <v>1.9589099741296994</v>
      </c>
      <c r="O730" s="256">
        <f>FMS_Ranking4[[#This Row],[Structures at risk, ArcSinh (0-10)]]*M$5*10</f>
        <v>1.9589099741296994</v>
      </c>
      <c r="P730" s="253">
        <f>_xlfn.XLOOKUP(FMS_Ranking4[[#This Row],[FMS ID]],FMS_Input[FMS_ID],FMS_Input[RES_STRUCT100])</f>
        <v>3</v>
      </c>
      <c r="Q730" s="257">
        <f>ASINH(FMS_Ranking4[[#This Row],[Res Structure Raw]])/Q$4*P$5*100</f>
        <v>0</v>
      </c>
      <c r="R730" s="253">
        <f>_xlfn.XLOOKUP(FMS_Ranking4[[#This Row],[FMS ID]],FMS_Input[FMS_ID],FMS_Input[POP100])</f>
        <v>11</v>
      </c>
      <c r="S730" s="259">
        <f>(ASINH(FMS_Ranking4[[#This Row],[Pop at Risk Raw]]))*(10)/(ASINH(R$4))</f>
        <v>2.1353485192544674</v>
      </c>
      <c r="T730" s="256">
        <f>FMS_Ranking4[[#This Row],[Population at risk, ArcSinh (0-10)]]*R$5*10</f>
        <v>2.1353485192544674</v>
      </c>
      <c r="U730" s="253">
        <f>_xlfn.XLOOKUP(FMS_Ranking4[[#This Row],[FMS ID]],FMS_Input[FMS_ID],FMS_Input[CRITFAC100])</f>
        <v>0</v>
      </c>
      <c r="V730" s="259">
        <f>(ASINH(FMS_Ranking4[[#This Row],[Critical Facilities Raw]]))*(10)/(ASINH(U$4))</f>
        <v>0</v>
      </c>
      <c r="W730" s="256">
        <f>FMS_Ranking4[[#This Row],[Critical facilities at risk, ArcSinh (0-10)]]*U$5*10</f>
        <v>0</v>
      </c>
      <c r="X730" s="253">
        <f>_xlfn.XLOOKUP(FMS_Ranking4[[#This Row],[FMS ID]],FMS_Input[FMS_ID],FMS_Input[LWC])</f>
        <v>0</v>
      </c>
      <c r="Y730" s="259">
        <f>(ASINH(FMS_Ranking4[[#This Row],[LWC Raw]]))*(10)/(ASINH(X$4))</f>
        <v>0</v>
      </c>
      <c r="Z730" s="256">
        <f>FMS_Ranking4[[#This Row],[LWC, ArcSInh (0-10)]]*X$5*10</f>
        <v>0</v>
      </c>
      <c r="AA730" s="253">
        <f>_xlfn.XLOOKUP(FMS_Ranking4[[#This Row],[FMS ID]],FMS_Input[FMS_ID],FMS_Input[ROADCLS])</f>
        <v>0</v>
      </c>
      <c r="AB730" s="255">
        <f>(ASINH(FMS_Ranking4[[#This Row],[Road Closures Raw]]))*(10)/(ASINH(AA$4))</f>
        <v>0</v>
      </c>
      <c r="AC730" s="256">
        <f>FMS_Ranking4[[#This Row],[Road closures, ArcSinh (0-10)]]*AA$5*10</f>
        <v>0</v>
      </c>
      <c r="AD730" s="253">
        <f>_xlfn.XLOOKUP(FMS_Ranking4[[#This Row],[FMS ID]],FMS_Input[FMS_ID],FMS_Input[ROAD_MILES100])</f>
        <v>1</v>
      </c>
      <c r="AE730" s="259">
        <f>(ASINH(FMS_Ranking4[[#This Row],[Road Miles Raw]]))*(10)/(ASINH(AD$4))</f>
        <v>0.9393017565219649</v>
      </c>
      <c r="AF730" s="256">
        <f>FMS_Ranking4[[#This Row],[Length of roads at risk, ArcSinh (0-10)]]*AD$5*10</f>
        <v>0.93930175652196501</v>
      </c>
      <c r="AG730" s="253">
        <f>_xlfn.XLOOKUP(FMS_Ranking4[[#This Row],[FMS ID]],FMS_Input[FMS_ID],FMS_Input[FARMACRE100])</f>
        <v>9.2234220504760742</v>
      </c>
      <c r="AH730" s="255">
        <f>(ASINH(FMS_Ranking4[[#This Row],[Ag Land Raw]]))*(10)/(ASINH(AG$4))</f>
        <v>1.8953612431184703</v>
      </c>
      <c r="AI730" s="260">
        <f>FMS_Ranking4[[#This Row],[Farm &amp; ranch land, ArcSinh (0-10)]]*AG$5*10</f>
        <v>0.94768062155923527</v>
      </c>
      <c r="AJ730" s="258">
        <f>_xlfn.XLOOKUP(FMS_Ranking4[[#This Row],[FMS ID]],FMS_Input[FMS_ID],FMS_Input[REDSTRUCT100])</f>
        <v>0</v>
      </c>
      <c r="AK730" s="253">
        <f>_xlfn.XLOOKUP(FMS_Ranking4[[#This Row],[FMS ID]],FMS_Input[FMS_ID],FMS_Input[REMSTRC100])</f>
        <v>0</v>
      </c>
      <c r="AL730" s="259">
        <f>(ASINH(FMS_Ranking4[[#This Row],[Structures Removed Raw]]))*(10)/(ASINH(AK$4))</f>
        <v>0</v>
      </c>
      <c r="AM730" s="262">
        <f>FMS_Ranking4[[#This Row],[Structures removed, ArcSinh (0-10)]]*AK$5*10</f>
        <v>0</v>
      </c>
      <c r="AN730" s="253">
        <f>_xlfn.XLOOKUP(FMS_Ranking4[[#This Row],[FMS ID]],FMS_Input[FMS_ID],FMS_Input[REMRESSTRC100])</f>
        <v>0</v>
      </c>
      <c r="AO730" s="261">
        <f>FMS_Ranking4[[#This Row],[ArcSinh Res struct removed 0-10]]*AN$5*10</f>
        <v>0</v>
      </c>
      <c r="AP730" s="260">
        <f>ASINH(FMS_Ranking4[[#This Row],[Residential Structures Removed Raw]])/AP$4*AN$5*100</f>
        <v>0</v>
      </c>
      <c r="AQ730" s="254">
        <f>(ASINH(FMS_Ranking4[[#This Row],[Residential Structures Removed Raw]]))*(10)/(ASINH(AN$4))</f>
        <v>0</v>
      </c>
      <c r="AR730" s="253">
        <f>_xlfn.XLOOKUP(FMS_Ranking4[[#This Row],[FMS ID]],FMS_Input[FMS_ID],FMS_Input[REMPOP100])</f>
        <v>0</v>
      </c>
      <c r="AS730" s="259">
        <f>(ASINH(FMS_Ranking4[[#This Row],[Removed Pop Raw]]))*(10)/(ASINH(AR$4))</f>
        <v>0</v>
      </c>
      <c r="AT730" s="262">
        <f>FMS_Ranking4[[#This Row],[Removed population, ArcSinh (0-10)]]*AR$5*10</f>
        <v>0</v>
      </c>
      <c r="AU730" s="264">
        <f>_xlfn.XLOOKUP(FMS_Ranking4[[#This Row],[FMS ID]],FMS_Input[FMS_ID],FMS_Input[REMCRITFAC100])</f>
        <v>0</v>
      </c>
      <c r="AV730" s="264">
        <f>_xlfn.XLOOKUP(FMS_Ranking4[[#This Row],[FMS ID]],FMS_Input[FMS_ID],FMS_Input[REMLWC100])</f>
        <v>0</v>
      </c>
      <c r="AW730" s="264">
        <f>_xlfn.XLOOKUP(FMS_Ranking4[[#This Row],[FMS ID]],FMS_Input[FMS_ID],FMS_Input[REMROADCLS])</f>
        <v>0</v>
      </c>
      <c r="AX730" s="264">
        <f>_xlfn.XLOOKUP(FMS_Ranking4[[#This Row],[FMS ID]],FMS_Input[FMS_ID],FMS_Input[REMFRMACRE100])</f>
        <v>0</v>
      </c>
      <c r="AY730" s="258">
        <f>_xlfn.XLOOKUP(FMS_Ranking4[[#This Row],[FMS ID]],FMS_Input[FMS_ID],FMS_Input[COSTSTRUCT])</f>
        <v>0</v>
      </c>
      <c r="AZ730" s="253">
        <f>_xlfn.XLOOKUP(FMS_Ranking4[[#This Row],[FMS ID]],FMS_Input[FMS_ID],FMS_Input[NATURE])</f>
        <v>0</v>
      </c>
      <c r="BA730" s="262">
        <f>(((FMS_Ranking4[[#This Row],[% NBS Raw]]/AZ$4)*100)*AZ$5)</f>
        <v>0</v>
      </c>
      <c r="BB730" s="251" t="str">
        <f>_xlfn.XLOOKUP(FMS_Ranking4[[#This Row],[FMS ID]],FMS_Input[FMS_ID],FMS_Input[WATER_SUP])</f>
        <v>No</v>
      </c>
      <c r="BC730" s="265">
        <f>IF(FMS_Ranking4[[#This Row],[Water Supply Raw]]="Yes",10,0)</f>
        <v>0</v>
      </c>
      <c r="BD730" s="266">
        <f>_xlfn.XLOOKUP(FMS_Ranking4[[#This Row],[FMS Type]],FMS_TYPE[FMS_Type],FMS_TYPE[Score])</f>
        <v>8</v>
      </c>
      <c r="BE730" s="267">
        <f>FMS_Ranking4[[#This Row],[FMS_Type Score]]*$BD$5*10</f>
        <v>2</v>
      </c>
      <c r="BF73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2.1727926583887669E-3</v>
      </c>
      <c r="BG730" s="269">
        <f>_xlfn.RANK.EQ(BF730,$BF$8:$BF$870,0)+COUNTIF($BF$8:BF730,BF730)-1</f>
        <v>721</v>
      </c>
      <c r="BH730" s="268">
        <f>(((FMS_Ranking4[[#This Row],[Structures Removed Raw]]/AK$4)*100)*AK$5)+(((FMS_Ranking4[[#This Row],[Removed Pop Raw]]/AR$4)*100)*AR$5)</f>
        <v>0</v>
      </c>
      <c r="BI73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2.0021727926583885</v>
      </c>
      <c r="BJ730" s="204">
        <f>_xlfn.RANK.EQ(FMS_Ranking4[[#This Row],[Total Score 
(with linear
normalization)]],FMS_Ranking4[Total Score 
(with linear
normalization)],0)</f>
        <v>452</v>
      </c>
      <c r="BK730" s="204" t="e">
        <f>_xlfn.XLOOKUP(FMS_Ranking4[[#This Row],[FMS ID]],#REF!,#REF!)</f>
        <v>#REF!</v>
      </c>
      <c r="BL730"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5.981240871465368</v>
      </c>
      <c r="BM730" s="270">
        <f>FMS_Ranking4[[#This Row],[ArcSinh Score Based on Normalized Reported Factors]]+FMS_Ranking4[[#This Row],[% NBS Score (Normalized)]]+(FMS_Ranking4[[#This Row],[Water Supply Score (Normalized)]]*10*$BB$5)+FMS_Ranking4[[#This Row],[FMS_Type Score Weighted]]</f>
        <v>7.981240871465368</v>
      </c>
      <c r="BN730" s="204">
        <f>_xlfn.RANK.EQ(FMS_Ranking4[[#This Row],[Total Score (with ArcSinh normalization of select criteria)]],FMS_Ranking4[Total Score (with ArcSinh normalization of select criteria)],0)</f>
        <v>723</v>
      </c>
      <c r="BO730" s="270" t="str">
        <f>_xlfn.XLOOKUP(FMS_Ranking4[[#This Row],[FMS ID]],FMS_Input[FMS_ID],FMS_Input[FMS_RANK_YEAR])</f>
        <v>2023 Amended Plan</v>
      </c>
      <c r="BP730" s="204">
        <f>_xlfn.XLOOKUP(FMS_Ranking4[[#This Row],[FMS ID]],Prev_Rank[FMS ID],Prev_Rank[Prev Rank])</f>
        <v>651</v>
      </c>
      <c r="BQ730" s="204" t="e">
        <f>_xlfn.XLOOKUP(FMS_Ranking4[[#This Row],[FMS ID]],#REF!,#REF!)</f>
        <v>#REF!</v>
      </c>
      <c r="BR730" s="199" t="e">
        <f>SUM(#REF!,#REF!,#REF!,#REF!,#REF!,#REF!,#REF!,#REF!,#REF!,FMS_Ranking4[[#This Row],[ArcSinh Res struct removed 0-10]],#REF!)</f>
        <v>#REF!</v>
      </c>
      <c r="BS730" s="199" t="e">
        <f>FMS_Ranking4[[#This Row],[Log Score Based on Normalized Reported Factors]]+FMS_Ranking4[[#This Row],[% NBS Score (Normalized)]]+(FMS_Ranking4[[#This Row],[Water Supply Score (Normalized)]]*10*$BB$5)+(FMS_Ranking4[[#This Row],[FMS_Type Score Weighted]])</f>
        <v>#REF!</v>
      </c>
      <c r="BT730" s="200" t="e">
        <f>_xlfn.RANK.EQ(FMS_Ranking4[[#This Row],[Log Total Score]],FMS_Ranking4[Log Total Score],0)</f>
        <v>#REF!</v>
      </c>
      <c r="BU730" s="200" t="e">
        <f>_xlfn.XLOOKUP(FMS_Ranking4[[#This Row],[FMS ID]],#REF!,#REF!)</f>
        <v>#REF!</v>
      </c>
      <c r="BV730" s="200">
        <f>FMS_Ranking4[[#This Row],[Region Number]]</f>
        <v>7</v>
      </c>
      <c r="BW730" s="200">
        <f>FMS_Ranking4[[#This Row],[Rank (with ArcSinh normalization of select criteria)]]-FMS_Ranking4[[#This Row],[Rank
(with linear
normalization)]]</f>
        <v>271</v>
      </c>
      <c r="BX730" s="200" t="e">
        <f>FMS_Ranking4[[#This Row],[Log Rank]]-FMS_Ranking4[[#This Row],[Rank
(with linear
normalization)]]</f>
        <v>#REF!</v>
      </c>
      <c r="BY730" s="200" t="str">
        <f>IF(FMS_Ranking4[[#This Row],[FMS Type]]="Flood Measurement and Warning",FMS_Ranking4[[#This Row],[Rank (with ArcSinh normalization of select criteria)]],"")</f>
        <v/>
      </c>
      <c r="BZ730" s="200">
        <f>IF(FMS_Ranking4[[#This Row],[FMS Type]]="Regulatory and Guidance",FMS_Ranking4[[#This Row],[Rank (with ArcSinh normalization of select criteria)]],"")</f>
        <v>723</v>
      </c>
      <c r="CA730" s="200" t="str">
        <f>IF(FMS_Ranking4[[#This Row],[FMS Type]]="Education and Outreach",FMS_Ranking4[[#This Row],[Rank (with ArcSinh normalization of select criteria)]],"")</f>
        <v/>
      </c>
      <c r="CB730" s="200" t="str">
        <f>IF(FMS_Ranking4[[#This Row],[FMS Type]]="Property Acquisition and Structural Elevation",FMS_Ranking4[[#This Row],[Rank (with ArcSinh normalization of select criteria)]],"")</f>
        <v/>
      </c>
      <c r="CC730" s="200" t="str">
        <f>IF(FMS_Ranking4[[#This Row],[FMS Type]]="Infrastructure Projects",FMS_Ranking4[[#This Row],[Rank (with ArcSinh normalization of select criteria)]],"")</f>
        <v/>
      </c>
      <c r="CD730" s="200" t="str">
        <f>IF(FMS_Ranking4[[#This Row],[FMS Type]]="Other",FMS_Ranking4[[#This Row],[Rank (with ArcSinh normalization of select criteria)]],"")</f>
        <v/>
      </c>
      <c r="CE730" s="201"/>
      <c r="CF730" s="206"/>
      <c r="CG730" s="206"/>
      <c r="CH730" s="206"/>
      <c r="CI730" s="206"/>
      <c r="CJ730" s="206"/>
      <c r="CK730" s="206"/>
      <c r="CL730" s="206"/>
      <c r="CM730" s="206"/>
      <c r="CN730" s="206"/>
      <c r="CO730" s="206"/>
      <c r="CP730" s="206"/>
      <c r="CQ730" s="206"/>
      <c r="CR730" s="206"/>
    </row>
    <row r="731" spans="2:96" ht="45" x14ac:dyDescent="0.25">
      <c r="B731" s="341" t="s">
        <v>3239</v>
      </c>
      <c r="C731" s="246">
        <f>_xlfn.XLOOKUP(FMS_Ranking4[[#This Row],[FMS ID]],FMS_Input[FMS_ID],FMS_Input[RFPG_NUM])</f>
        <v>7</v>
      </c>
      <c r="D731" s="309" t="str">
        <f>_xlfn.XLOOKUP(FMS_Ranking4[[#This Row],[FMS ID]],FMS_Input[FMS_ID],FMS_Input[FMS_NAME])</f>
        <v>Town of Lockney NFIP Participation</v>
      </c>
      <c r="E731" s="308" t="str">
        <f>_xlfn.XLOOKUP(FMS_Ranking4[[#This Row],[FMS ID]],FMS_Input[FMS_ID],FMS_Input[SPONSOR])</f>
        <v>00003100</v>
      </c>
      <c r="F731" s="309" t="str">
        <f>_xlfn.XLOOKUP(FMS_Ranking4[[#This Row],[FMS ID]],Sponsor[FMS_ID],Sponsor[SPONSOR NAME])</f>
        <v>Lockney</v>
      </c>
      <c r="G731" s="309" t="str">
        <f>_xlfn.XLOOKUP(FMS_Ranking4[[#This Row],[FMS ID]],FMS_Input[FMS_ID],FMS_Input[FMS_DESCR])</f>
        <v>Application to join NFIP or adoption of equivalent standards.</v>
      </c>
      <c r="H731" s="248" t="str">
        <f>_xlfn.XLOOKUP(FMS_Ranking4[[#This Row],[FMS ID]],FMS_Input[FMS_ID],FMS_Input[FMS_TYPE])</f>
        <v>Regulatory and Guidance</v>
      </c>
      <c r="I731" s="249">
        <f>_xlfn.XLOOKUP(FMS_Ranking4[[#This Row],[FMS ID]],FMS_Input[FMS_ID],FMS_Input[NRNC_COST])</f>
        <v>50000</v>
      </c>
      <c r="J731" s="250">
        <f>_xlfn.XLOOKUP(FMS_Ranking4[[#This Row],[FMS ID]],FMS_Input[FMS_ID],FMS_Input[FMS_COST])</f>
        <v>50000</v>
      </c>
      <c r="K731" s="251" t="str">
        <f>_xlfn.XLOOKUP(FMS_Ranking4[[#This Row],[FMS ID]],FMS_Input[FMS_ID],FMS_Input[EMER_NEED])</f>
        <v>No</v>
      </c>
      <c r="L731" s="252">
        <f t="shared" si="11"/>
        <v>0</v>
      </c>
      <c r="M731" s="253">
        <f>_xlfn.XLOOKUP(FMS_Ranking4[[#This Row],[FMS ID]],FMS_Input[FMS_ID],FMS_Input[STRUCT_100])</f>
        <v>7</v>
      </c>
      <c r="N731" s="255">
        <f>(ASINH(FMS_Ranking4[[#This Row],[Structure at Risk Raw]]))*(10)/(ASINH(M$4))</f>
        <v>2.0786726107217111</v>
      </c>
      <c r="O731" s="256">
        <f>FMS_Ranking4[[#This Row],[Structures at risk, ArcSinh (0-10)]]*M$5*10</f>
        <v>2.0786726107217115</v>
      </c>
      <c r="P731" s="253">
        <f>_xlfn.XLOOKUP(FMS_Ranking4[[#This Row],[FMS ID]],FMS_Input[FMS_ID],FMS_Input[RES_STRUCT100])</f>
        <v>2</v>
      </c>
      <c r="Q731" s="257">
        <f>ASINH(FMS_Ranking4[[#This Row],[Res Structure Raw]])/Q$4*P$5*100</f>
        <v>0</v>
      </c>
      <c r="R731" s="253">
        <f>_xlfn.XLOOKUP(FMS_Ranking4[[#This Row],[FMS ID]],FMS_Input[FMS_ID],FMS_Input[POP100])</f>
        <v>7</v>
      </c>
      <c r="S731" s="259">
        <f>(ASINH(FMS_Ranking4[[#This Row],[Pop at Risk Raw]]))*(10)/(ASINH(R$4))</f>
        <v>1.8253904965994052</v>
      </c>
      <c r="T731" s="256">
        <f>FMS_Ranking4[[#This Row],[Population at risk, ArcSinh (0-10)]]*R$5*10</f>
        <v>1.8253904965994052</v>
      </c>
      <c r="U731" s="253">
        <f>_xlfn.XLOOKUP(FMS_Ranking4[[#This Row],[FMS ID]],FMS_Input[FMS_ID],FMS_Input[CRITFAC100])</f>
        <v>0</v>
      </c>
      <c r="V731" s="259">
        <f>(ASINH(FMS_Ranking4[[#This Row],[Critical Facilities Raw]]))*(10)/(ASINH(U$4))</f>
        <v>0</v>
      </c>
      <c r="W731" s="256">
        <f>FMS_Ranking4[[#This Row],[Critical facilities at risk, ArcSinh (0-10)]]*U$5*10</f>
        <v>0</v>
      </c>
      <c r="X731" s="253">
        <f>_xlfn.XLOOKUP(FMS_Ranking4[[#This Row],[FMS ID]],FMS_Input[FMS_ID],FMS_Input[LWC])</f>
        <v>0</v>
      </c>
      <c r="Y731" s="259">
        <f>(ASINH(FMS_Ranking4[[#This Row],[LWC Raw]]))*(10)/(ASINH(X$4))</f>
        <v>0</v>
      </c>
      <c r="Z731" s="256">
        <f>FMS_Ranking4[[#This Row],[LWC, ArcSInh (0-10)]]*X$5*10</f>
        <v>0</v>
      </c>
      <c r="AA731" s="253">
        <f>_xlfn.XLOOKUP(FMS_Ranking4[[#This Row],[FMS ID]],FMS_Input[FMS_ID],FMS_Input[ROADCLS])</f>
        <v>0</v>
      </c>
      <c r="AB731" s="255">
        <f>(ASINH(FMS_Ranking4[[#This Row],[Road Closures Raw]]))*(10)/(ASINH(AA$4))</f>
        <v>0</v>
      </c>
      <c r="AC731" s="256">
        <f>FMS_Ranking4[[#This Row],[Road closures, ArcSinh (0-10)]]*AA$5*10</f>
        <v>0</v>
      </c>
      <c r="AD731" s="253">
        <f>_xlfn.XLOOKUP(FMS_Ranking4[[#This Row],[FMS ID]],FMS_Input[FMS_ID],FMS_Input[ROAD_MILES100])</f>
        <v>3</v>
      </c>
      <c r="AE731" s="259">
        <f>(ASINH(FMS_Ranking4[[#This Row],[Road Miles Raw]]))*(10)/(ASINH(AD$4))</f>
        <v>1.937963626835977</v>
      </c>
      <c r="AF731" s="256">
        <f>FMS_Ranking4[[#This Row],[Length of roads at risk, ArcSinh (0-10)]]*AD$5*10</f>
        <v>1.937963626835977</v>
      </c>
      <c r="AG731" s="253">
        <f>_xlfn.XLOOKUP(FMS_Ranking4[[#This Row],[FMS ID]],FMS_Input[FMS_ID],FMS_Input[FARMACRE100])</f>
        <v>0</v>
      </c>
      <c r="AH731" s="255">
        <f>(ASINH(FMS_Ranking4[[#This Row],[Ag Land Raw]]))*(10)/(ASINH(AG$4))</f>
        <v>0</v>
      </c>
      <c r="AI731" s="260">
        <f>FMS_Ranking4[[#This Row],[Farm &amp; ranch land, ArcSinh (0-10)]]*AG$5*10</f>
        <v>0</v>
      </c>
      <c r="AJ731" s="258">
        <f>_xlfn.XLOOKUP(FMS_Ranking4[[#This Row],[FMS ID]],FMS_Input[FMS_ID],FMS_Input[REDSTRUCT100])</f>
        <v>0</v>
      </c>
      <c r="AK731" s="253">
        <f>_xlfn.XLOOKUP(FMS_Ranking4[[#This Row],[FMS ID]],FMS_Input[FMS_ID],FMS_Input[REMSTRC100])</f>
        <v>0</v>
      </c>
      <c r="AL731" s="259">
        <f>(ASINH(FMS_Ranking4[[#This Row],[Structures Removed Raw]]))*(10)/(ASINH(AK$4))</f>
        <v>0</v>
      </c>
      <c r="AM731" s="262">
        <f>FMS_Ranking4[[#This Row],[Structures removed, ArcSinh (0-10)]]*AK$5*10</f>
        <v>0</v>
      </c>
      <c r="AN731" s="253">
        <f>_xlfn.XLOOKUP(FMS_Ranking4[[#This Row],[FMS ID]],FMS_Input[FMS_ID],FMS_Input[REMRESSTRC100])</f>
        <v>0</v>
      </c>
      <c r="AO731" s="261">
        <f>FMS_Ranking4[[#This Row],[ArcSinh Res struct removed 0-10]]*AN$5*10</f>
        <v>0</v>
      </c>
      <c r="AP731" s="260">
        <f>ASINH(FMS_Ranking4[[#This Row],[Residential Structures Removed Raw]])/AP$4*AN$5*100</f>
        <v>0</v>
      </c>
      <c r="AQ731" s="254">
        <f>(ASINH(FMS_Ranking4[[#This Row],[Residential Structures Removed Raw]]))*(10)/(ASINH(AN$4))</f>
        <v>0</v>
      </c>
      <c r="AR731" s="253">
        <f>_xlfn.XLOOKUP(FMS_Ranking4[[#This Row],[FMS ID]],FMS_Input[FMS_ID],FMS_Input[REMPOP100])</f>
        <v>0</v>
      </c>
      <c r="AS731" s="259">
        <f>(ASINH(FMS_Ranking4[[#This Row],[Removed Pop Raw]]))*(10)/(ASINH(AR$4))</f>
        <v>0</v>
      </c>
      <c r="AT731" s="262">
        <f>FMS_Ranking4[[#This Row],[Removed population, ArcSinh (0-10)]]*AR$5*10</f>
        <v>0</v>
      </c>
      <c r="AU731" s="264">
        <f>_xlfn.XLOOKUP(FMS_Ranking4[[#This Row],[FMS ID]],FMS_Input[FMS_ID],FMS_Input[REMCRITFAC100])</f>
        <v>0</v>
      </c>
      <c r="AV731" s="264">
        <f>_xlfn.XLOOKUP(FMS_Ranking4[[#This Row],[FMS ID]],FMS_Input[FMS_ID],FMS_Input[REMLWC100])</f>
        <v>0</v>
      </c>
      <c r="AW731" s="264">
        <f>_xlfn.XLOOKUP(FMS_Ranking4[[#This Row],[FMS ID]],FMS_Input[FMS_ID],FMS_Input[REMROADCLS])</f>
        <v>0</v>
      </c>
      <c r="AX731" s="264">
        <f>_xlfn.XLOOKUP(FMS_Ranking4[[#This Row],[FMS ID]],FMS_Input[FMS_ID],FMS_Input[REMFRMACRE100])</f>
        <v>0</v>
      </c>
      <c r="AY731" s="258">
        <f>_xlfn.XLOOKUP(FMS_Ranking4[[#This Row],[FMS ID]],FMS_Input[FMS_ID],FMS_Input[COSTSTRUCT])</f>
        <v>0</v>
      </c>
      <c r="AZ731" s="253">
        <f>_xlfn.XLOOKUP(FMS_Ranking4[[#This Row],[FMS ID]],FMS_Input[FMS_ID],FMS_Input[NATURE])</f>
        <v>0</v>
      </c>
      <c r="BA731" s="262">
        <f>(((FMS_Ranking4[[#This Row],[% NBS Raw]]/AZ$4)*100)*AZ$5)</f>
        <v>0</v>
      </c>
      <c r="BB731" s="251" t="str">
        <f>_xlfn.XLOOKUP(FMS_Ranking4[[#This Row],[FMS ID]],FMS_Input[FMS_ID],FMS_Input[WATER_SUP])</f>
        <v>No</v>
      </c>
      <c r="BC731" s="265">
        <f>IF(FMS_Ranking4[[#This Row],[Water Supply Raw]]="Yes",10,0)</f>
        <v>0</v>
      </c>
      <c r="BD731" s="266">
        <f>_xlfn.XLOOKUP(FMS_Ranking4[[#This Row],[FMS Type]],FMS_TYPE[FMS_Type],FMS_TYPE[Score])</f>
        <v>8</v>
      </c>
      <c r="BE731" s="267">
        <f>FMS_Ranking4[[#This Row],[FMS_Type Score]]*$BD$5*10</f>
        <v>2</v>
      </c>
      <c r="BF73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5.5373655769680088E-3</v>
      </c>
      <c r="BG731" s="271">
        <f>_xlfn.RANK.EQ(BF731,$BF$8:$BF$870,0)+COUNTIF($BF$8:BF731,BF731)-1</f>
        <v>684</v>
      </c>
      <c r="BH731" s="268">
        <f>(((FMS_Ranking4[[#This Row],[Structures Removed Raw]]/AK$4)*100)*AK$5)+(((FMS_Ranking4[[#This Row],[Removed Pop Raw]]/AR$4)*100)*AR$5)</f>
        <v>0</v>
      </c>
      <c r="BI73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2.0055373655769682</v>
      </c>
      <c r="BJ731" s="205">
        <f>_xlfn.RANK.EQ(FMS_Ranking4[[#This Row],[Total Score 
(with linear
normalization)]],FMS_Ranking4[Total Score 
(with linear
normalization)],0)</f>
        <v>433</v>
      </c>
      <c r="BK731" s="205" t="e">
        <f>_xlfn.XLOOKUP(FMS_Ranking4[[#This Row],[FMS ID]],#REF!,#REF!)</f>
        <v>#REF!</v>
      </c>
      <c r="BL73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5.8420267341570939</v>
      </c>
      <c r="BM731" s="272">
        <f>FMS_Ranking4[[#This Row],[ArcSinh Score Based on Normalized Reported Factors]]+FMS_Ranking4[[#This Row],[% NBS Score (Normalized)]]+(FMS_Ranking4[[#This Row],[Water Supply Score (Normalized)]]*10*$BB$5)+FMS_Ranking4[[#This Row],[FMS_Type Score Weighted]]</f>
        <v>7.8420267341570939</v>
      </c>
      <c r="BN731" s="205">
        <f>_xlfn.RANK.EQ(FMS_Ranking4[[#This Row],[Total Score (with ArcSinh normalization of select criteria)]],FMS_Ranking4[Total Score (with ArcSinh normalization of select criteria)],0)</f>
        <v>724</v>
      </c>
      <c r="BO731" s="270" t="str">
        <f>_xlfn.XLOOKUP(FMS_Ranking4[[#This Row],[FMS ID]],FMS_Input[FMS_ID],FMS_Input[FMS_RANK_YEAR])</f>
        <v>2023 Amended Plan</v>
      </c>
      <c r="BP731" s="204">
        <f>_xlfn.XLOOKUP(FMS_Ranking4[[#This Row],[FMS ID]],Prev_Rank[FMS ID],Prev_Rank[Prev Rank])</f>
        <v>655</v>
      </c>
      <c r="BQ731" s="205" t="e">
        <f>_xlfn.XLOOKUP(FMS_Ranking4[[#This Row],[FMS ID]],#REF!,#REF!)</f>
        <v>#REF!</v>
      </c>
      <c r="BR731" s="199" t="e">
        <f>SUM(#REF!,#REF!,#REF!,#REF!,#REF!,#REF!,#REF!,#REF!,#REF!,FMS_Ranking4[[#This Row],[ArcSinh Res struct removed 0-10]],#REF!)</f>
        <v>#REF!</v>
      </c>
      <c r="BS731" s="199" t="e">
        <f>FMS_Ranking4[[#This Row],[Log Score Based on Normalized Reported Factors]]+FMS_Ranking4[[#This Row],[% NBS Score (Normalized)]]+(FMS_Ranking4[[#This Row],[Water Supply Score (Normalized)]]*10*$BB$5)+(FMS_Ranking4[[#This Row],[FMS_Type Score Weighted]])</f>
        <v>#REF!</v>
      </c>
      <c r="BT731" s="200" t="e">
        <f>_xlfn.RANK.EQ(FMS_Ranking4[[#This Row],[Log Total Score]],FMS_Ranking4[Log Total Score],0)</f>
        <v>#REF!</v>
      </c>
      <c r="BU731" s="200" t="e">
        <f>_xlfn.XLOOKUP(FMS_Ranking4[[#This Row],[FMS ID]],#REF!,#REF!)</f>
        <v>#REF!</v>
      </c>
      <c r="BV731" s="200">
        <f>FMS_Ranking4[[#This Row],[Region Number]]</f>
        <v>7</v>
      </c>
      <c r="BW731" s="200">
        <f>FMS_Ranking4[[#This Row],[Rank (with ArcSinh normalization of select criteria)]]-FMS_Ranking4[[#This Row],[Rank
(with linear
normalization)]]</f>
        <v>291</v>
      </c>
      <c r="BX731" s="200" t="e">
        <f>FMS_Ranking4[[#This Row],[Log Rank]]-FMS_Ranking4[[#This Row],[Rank
(with linear
normalization)]]</f>
        <v>#REF!</v>
      </c>
      <c r="BY731" s="200" t="str">
        <f>IF(FMS_Ranking4[[#This Row],[FMS Type]]="Flood Measurement and Warning",FMS_Ranking4[[#This Row],[Rank (with ArcSinh normalization of select criteria)]],"")</f>
        <v/>
      </c>
      <c r="BZ731" s="200">
        <f>IF(FMS_Ranking4[[#This Row],[FMS Type]]="Regulatory and Guidance",FMS_Ranking4[[#This Row],[Rank (with ArcSinh normalization of select criteria)]],"")</f>
        <v>724</v>
      </c>
      <c r="CA731" s="200" t="str">
        <f>IF(FMS_Ranking4[[#This Row],[FMS Type]]="Education and Outreach",FMS_Ranking4[[#This Row],[Rank (with ArcSinh normalization of select criteria)]],"")</f>
        <v/>
      </c>
      <c r="CB731" s="200" t="str">
        <f>IF(FMS_Ranking4[[#This Row],[FMS Type]]="Property Acquisition and Structural Elevation",FMS_Ranking4[[#This Row],[Rank (with ArcSinh normalization of select criteria)]],"")</f>
        <v/>
      </c>
      <c r="CC731" s="200" t="str">
        <f>IF(FMS_Ranking4[[#This Row],[FMS Type]]="Infrastructure Projects",FMS_Ranking4[[#This Row],[Rank (with ArcSinh normalization of select criteria)]],"")</f>
        <v/>
      </c>
      <c r="CD731" s="200" t="str">
        <f>IF(FMS_Ranking4[[#This Row],[FMS Type]]="Other",FMS_Ranking4[[#This Row],[Rank (with ArcSinh normalization of select criteria)]],"")</f>
        <v/>
      </c>
      <c r="CE731" s="201"/>
      <c r="CF731" s="206"/>
      <c r="CG731" s="206"/>
      <c r="CH731" s="206"/>
      <c r="CI731" s="206"/>
      <c r="CJ731" s="206"/>
      <c r="CK731" s="206"/>
      <c r="CL731" s="206"/>
      <c r="CM731" s="206"/>
      <c r="CN731" s="206"/>
      <c r="CO731" s="206"/>
      <c r="CP731" s="206"/>
      <c r="CQ731" s="206"/>
      <c r="CR731" s="206"/>
    </row>
    <row r="732" spans="2:96" ht="60" x14ac:dyDescent="0.25">
      <c r="B732" s="341" t="s">
        <v>4101</v>
      </c>
      <c r="C732" s="246">
        <f>_xlfn.XLOOKUP(FMS_Ranking4[[#This Row],[FMS ID]],FMS_Input[FMS_ID],FMS_Input[RFPG_NUM])</f>
        <v>15</v>
      </c>
      <c r="D732" s="309" t="str">
        <f>_xlfn.XLOOKUP(FMS_Ranking4[[#This Row],[FMS ID]],FMS_Input[FMS_ID],FMS_Input[FMS_NAME])</f>
        <v>Sewer Manhole Rainguards</v>
      </c>
      <c r="E732" s="308" t="str">
        <f>_xlfn.XLOOKUP(FMS_Ranking4[[#This Row],[FMS ID]],FMS_Input[FMS_ID],FMS_Input[SPONSOR])</f>
        <v>15000004</v>
      </c>
      <c r="F732" s="309" t="str">
        <f>_xlfn.XLOOKUP(FMS_Ranking4[[#This Row],[FMS ID]],Sponsor[FMS_ID],Sponsor[SPONSOR NAME])</f>
        <v>Hidalgo</v>
      </c>
      <c r="G732" s="309" t="str">
        <f>_xlfn.XLOOKUP(FMS_Ranking4[[#This Row],[FMS ID]],FMS_Input[FMS_ID],FMS_Input[FMS_DESCR])</f>
        <v>Installation of rainguards in existing manholes will keep rainwater from entering sewer collection system.</v>
      </c>
      <c r="H732" s="248" t="str">
        <f>_xlfn.XLOOKUP(FMS_Ranking4[[#This Row],[FMS ID]],FMS_Input[FMS_ID],FMS_Input[FMS_TYPE])</f>
        <v>Infrastructure Projects</v>
      </c>
      <c r="I732" s="249">
        <f>_xlfn.XLOOKUP(FMS_Ranking4[[#This Row],[FMS ID]],FMS_Input[FMS_ID],FMS_Input[NRNC_COST])</f>
        <v>50000</v>
      </c>
      <c r="J732" s="250">
        <f>_xlfn.XLOOKUP(FMS_Ranking4[[#This Row],[FMS ID]],FMS_Input[FMS_ID],FMS_Input[FMS_COST])</f>
        <v>200000</v>
      </c>
      <c r="K732" s="251" t="str">
        <f>_xlfn.XLOOKUP(FMS_Ranking4[[#This Row],[FMS ID]],FMS_Input[FMS_ID],FMS_Input[EMER_NEED])</f>
        <v>Yes</v>
      </c>
      <c r="L732" s="252">
        <f t="shared" si="11"/>
        <v>1</v>
      </c>
      <c r="M732" s="253">
        <f>_xlfn.XLOOKUP(FMS_Ranking4[[#This Row],[FMS ID]],FMS_Input[FMS_ID],FMS_Input[STRUCT_100])</f>
        <v>3</v>
      </c>
      <c r="N732" s="255">
        <f>(ASINH(FMS_Ranking4[[#This Row],[Structure at Risk Raw]]))*(10)/(ASINH(M$4))</f>
        <v>1.4295696719071895</v>
      </c>
      <c r="O732" s="256">
        <f>FMS_Ranking4[[#This Row],[Structures at risk, ArcSinh (0-10)]]*M$5*10</f>
        <v>1.4295696719071895</v>
      </c>
      <c r="P732" s="253">
        <f>_xlfn.XLOOKUP(FMS_Ranking4[[#This Row],[FMS ID]],FMS_Input[FMS_ID],FMS_Input[RES_STRUCT100])</f>
        <v>0</v>
      </c>
      <c r="Q732" s="257">
        <f>ASINH(FMS_Ranking4[[#This Row],[Res Structure Raw]])/Q$4*P$5*100</f>
        <v>0</v>
      </c>
      <c r="R732" s="253">
        <f>_xlfn.XLOOKUP(FMS_Ranking4[[#This Row],[FMS ID]],FMS_Input[FMS_ID],FMS_Input[POP100])</f>
        <v>20</v>
      </c>
      <c r="S732" s="255">
        <f>(ASINH(FMS_Ranking4[[#This Row],[Pop at Risk Raw]]))*(10)/(ASINH(R$4))</f>
        <v>2.5470793160455631</v>
      </c>
      <c r="T732" s="256">
        <f>FMS_Ranking4[[#This Row],[Population at risk, ArcSinh (0-10)]]*R$5*10</f>
        <v>2.5470793160455636</v>
      </c>
      <c r="U732" s="253">
        <f>_xlfn.XLOOKUP(FMS_Ranking4[[#This Row],[FMS ID]],FMS_Input[FMS_ID],FMS_Input[CRITFAC100])</f>
        <v>0</v>
      </c>
      <c r="V732" s="255">
        <f>(ASINH(FMS_Ranking4[[#This Row],[Critical Facilities Raw]]))*(10)/(ASINH(U$4))</f>
        <v>0</v>
      </c>
      <c r="W732" s="256">
        <f>FMS_Ranking4[[#This Row],[Critical facilities at risk, ArcSinh (0-10)]]*U$5*10</f>
        <v>0</v>
      </c>
      <c r="X732" s="253">
        <f>_xlfn.XLOOKUP(FMS_Ranking4[[#This Row],[FMS ID]],FMS_Input[FMS_ID],FMS_Input[LWC])</f>
        <v>4</v>
      </c>
      <c r="Y732" s="255">
        <f>(ASINH(FMS_Ranking4[[#This Row],[LWC Raw]]))*(10)/(ASINH(X$4))</f>
        <v>2.8377862217928165</v>
      </c>
      <c r="Z732" s="256">
        <f>FMS_Ranking4[[#This Row],[LWC, ArcSInh (0-10)]]*X$5*10</f>
        <v>2.8377862217928169</v>
      </c>
      <c r="AA732" s="253">
        <f>_xlfn.XLOOKUP(FMS_Ranking4[[#This Row],[FMS ID]],FMS_Input[FMS_ID],FMS_Input[ROADCLS])</f>
        <v>0</v>
      </c>
      <c r="AB732" s="255">
        <f>(ASINH(FMS_Ranking4[[#This Row],[Road Closures Raw]]))*(10)/(ASINH(AA$4))</f>
        <v>0</v>
      </c>
      <c r="AC732" s="256">
        <f>FMS_Ranking4[[#This Row],[Road closures, ArcSinh (0-10)]]*AA$5*10</f>
        <v>0</v>
      </c>
      <c r="AD732" s="253">
        <f>_xlfn.XLOOKUP(FMS_Ranking4[[#This Row],[FMS ID]],FMS_Input[FMS_ID],FMS_Input[ROAD_MILES100])</f>
        <v>0</v>
      </c>
      <c r="AE732" s="255">
        <f>(ASINH(FMS_Ranking4[[#This Row],[Road Miles Raw]]))*(10)/(ASINH(AD$4))</f>
        <v>0</v>
      </c>
      <c r="AF732" s="256">
        <f>FMS_Ranking4[[#This Row],[Length of roads at risk, ArcSinh (0-10)]]*AD$5*10</f>
        <v>0</v>
      </c>
      <c r="AG732" s="253">
        <f>_xlfn.XLOOKUP(FMS_Ranking4[[#This Row],[FMS ID]],FMS_Input[FMS_ID],FMS_Input[FARMACRE100])</f>
        <v>0</v>
      </c>
      <c r="AH732" s="255">
        <f>(ASINH(FMS_Ranking4[[#This Row],[Ag Land Raw]]))*(10)/(ASINH(AG$4))</f>
        <v>0</v>
      </c>
      <c r="AI732" s="260">
        <f>FMS_Ranking4[[#This Row],[Farm &amp; ranch land, ArcSinh (0-10)]]*AG$5*10</f>
        <v>0</v>
      </c>
      <c r="AJ732" s="258">
        <f>_xlfn.XLOOKUP(FMS_Ranking4[[#This Row],[FMS ID]],FMS_Input[FMS_ID],FMS_Input[REDSTRUCT100])</f>
        <v>0</v>
      </c>
      <c r="AK732" s="253">
        <f>_xlfn.XLOOKUP(FMS_Ranking4[[#This Row],[FMS ID]],FMS_Input[FMS_ID],FMS_Input[REMSTRC100])</f>
        <v>0</v>
      </c>
      <c r="AL732" s="255">
        <f>(ASINH(FMS_Ranking4[[#This Row],[Structures Removed Raw]]))*(10)/(ASINH(AK$4))</f>
        <v>0</v>
      </c>
      <c r="AM732" s="262">
        <f>FMS_Ranking4[[#This Row],[Structures removed, ArcSinh (0-10)]]*AK$5*10</f>
        <v>0</v>
      </c>
      <c r="AN732" s="253">
        <f>_xlfn.XLOOKUP(FMS_Ranking4[[#This Row],[FMS ID]],FMS_Input[FMS_ID],FMS_Input[REMRESSTRC100])</f>
        <v>0</v>
      </c>
      <c r="AO732" s="261">
        <f>FMS_Ranking4[[#This Row],[ArcSinh Res struct removed 0-10]]*AN$5*10</f>
        <v>0</v>
      </c>
      <c r="AP732" s="260">
        <f>ASINH(FMS_Ranking4[[#This Row],[Residential Structures Removed Raw]])/AP$4*AN$5*100</f>
        <v>0</v>
      </c>
      <c r="AQ732" s="258">
        <f>(ASINH(FMS_Ranking4[[#This Row],[Residential Structures Removed Raw]]))*(10)/(ASINH(AN$4))</f>
        <v>0</v>
      </c>
      <c r="AR732" s="253">
        <f>_xlfn.XLOOKUP(FMS_Ranking4[[#This Row],[FMS ID]],FMS_Input[FMS_ID],FMS_Input[REMPOP100])</f>
        <v>0</v>
      </c>
      <c r="AS732" s="255">
        <f>(ASINH(FMS_Ranking4[[#This Row],[Removed Pop Raw]]))*(10)/(ASINH(AR$4))</f>
        <v>0</v>
      </c>
      <c r="AT732" s="262">
        <f>FMS_Ranking4[[#This Row],[Removed population, ArcSinh (0-10)]]*AR$5*10</f>
        <v>0</v>
      </c>
      <c r="AU732" s="264">
        <f>_xlfn.XLOOKUP(FMS_Ranking4[[#This Row],[FMS ID]],FMS_Input[FMS_ID],FMS_Input[REMCRITFAC100])</f>
        <v>0</v>
      </c>
      <c r="AV732" s="264">
        <f>_xlfn.XLOOKUP(FMS_Ranking4[[#This Row],[FMS ID]],FMS_Input[FMS_ID],FMS_Input[REMLWC100])</f>
        <v>0</v>
      </c>
      <c r="AW732" s="264">
        <f>_xlfn.XLOOKUP(FMS_Ranking4[[#This Row],[FMS ID]],FMS_Input[FMS_ID],FMS_Input[REMROADCLS])</f>
        <v>0</v>
      </c>
      <c r="AX732" s="264">
        <f>_xlfn.XLOOKUP(FMS_Ranking4[[#This Row],[FMS ID]],FMS_Input[FMS_ID],FMS_Input[REMFRMACRE100])</f>
        <v>0</v>
      </c>
      <c r="AY732" s="258">
        <f>_xlfn.XLOOKUP(FMS_Ranking4[[#This Row],[FMS ID]],FMS_Input[FMS_ID],FMS_Input[COSTSTRUCT])</f>
        <v>0</v>
      </c>
      <c r="AZ732" s="253">
        <f>_xlfn.XLOOKUP(FMS_Ranking4[[#This Row],[FMS ID]],FMS_Input[FMS_ID],FMS_Input[NATURE])</f>
        <v>0</v>
      </c>
      <c r="BA732" s="262">
        <f>(((FMS_Ranking4[[#This Row],[% NBS Raw]]/AZ$4)*100)*AZ$5)</f>
        <v>0</v>
      </c>
      <c r="BB732" s="251" t="str">
        <f>_xlfn.XLOOKUP(FMS_Ranking4[[#This Row],[FMS ID]],FMS_Input[FMS_ID],FMS_Input[WATER_SUP])</f>
        <v>No</v>
      </c>
      <c r="BC732" s="265">
        <f>IF(FMS_Ranking4[[#This Row],[Water Supply Raw]]="Yes",10,0)</f>
        <v>0</v>
      </c>
      <c r="BD732" s="266">
        <f>_xlfn.XLOOKUP(FMS_Ranking4[[#This Row],[FMS Type]],FMS_TYPE[FMS_Type],FMS_TYPE[Score])</f>
        <v>4</v>
      </c>
      <c r="BE732" s="267">
        <f>FMS_Ranking4[[#This Row],[FMS_Type Score]]*$BD$5*10</f>
        <v>1</v>
      </c>
      <c r="BF732"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5.0197340728053527E-2</v>
      </c>
      <c r="BG732" s="321">
        <f>_xlfn.RANK.EQ(BF732,$BF$8:$BF$870,0)+COUNTIF($BF$8:BF732,BF732)-1</f>
        <v>563</v>
      </c>
      <c r="BH732" s="294">
        <f>(((FMS_Ranking4[[#This Row],[Structures Removed Raw]]/AK$4)*100)*AK$5)+(((FMS_Ranking4[[#This Row],[Removed Pop Raw]]/AR$4)*100)*AR$5)</f>
        <v>0</v>
      </c>
      <c r="BI73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1.0501973407280536</v>
      </c>
      <c r="BJ732" s="251">
        <f>_xlfn.RANK.EQ(FMS_Ranking4[[#This Row],[Total Score 
(with linear
normalization)]],FMS_Ranking4[Total Score 
(with linear
normalization)],0)</f>
        <v>697</v>
      </c>
      <c r="BK732" s="251" t="e">
        <f>_xlfn.XLOOKUP(FMS_Ranking4[[#This Row],[FMS ID]],#REF!,#REF!)</f>
        <v>#REF!</v>
      </c>
      <c r="BL732"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6.8144352097455698</v>
      </c>
      <c r="BM732" s="324">
        <f>FMS_Ranking4[[#This Row],[ArcSinh Score Based on Normalized Reported Factors]]+FMS_Ranking4[[#This Row],[% NBS Score (Normalized)]]+(FMS_Ranking4[[#This Row],[Water Supply Score (Normalized)]]*10*$BB$5)+FMS_Ranking4[[#This Row],[FMS_Type Score Weighted]]</f>
        <v>7.8144352097455698</v>
      </c>
      <c r="BN732" s="251">
        <f>_xlfn.RANK.EQ(FMS_Ranking4[[#This Row],[Total Score (with ArcSinh normalization of select criteria)]],FMS_Ranking4[Total Score (with ArcSinh normalization of select criteria)],0)</f>
        <v>725</v>
      </c>
      <c r="BO732" s="270" t="str">
        <f>_xlfn.XLOOKUP(FMS_Ranking4[[#This Row],[FMS ID]],FMS_Input[FMS_ID],FMS_Input[FMS_RANK_YEAR])</f>
        <v>2023 Amended Plan</v>
      </c>
      <c r="BP732" s="204">
        <f>_xlfn.XLOOKUP(FMS_Ranking4[[#This Row],[FMS ID]],Prev_Rank[FMS ID],Prev_Rank[Prev Rank])</f>
        <v>656</v>
      </c>
      <c r="BQ732" s="251" t="e">
        <f>_xlfn.XLOOKUP(FMS_Ranking4[[#This Row],[FMS ID]],#REF!,#REF!)</f>
        <v>#REF!</v>
      </c>
      <c r="BR732" s="199" t="e">
        <f>SUM(#REF!,#REF!,#REF!,#REF!,#REF!,#REF!,#REF!,#REF!,#REF!,FMS_Ranking4[[#This Row],[ArcSinh Res struct removed 0-10]],#REF!)</f>
        <v>#REF!</v>
      </c>
      <c r="BS732" s="199" t="e">
        <f>FMS_Ranking4[[#This Row],[Log Score Based on Normalized Reported Factors]]+FMS_Ranking4[[#This Row],[% NBS Score (Normalized)]]+(FMS_Ranking4[[#This Row],[Water Supply Score (Normalized)]]*10*$BB$5)+(FMS_Ranking4[[#This Row],[FMS_Type Score Weighted]])</f>
        <v>#REF!</v>
      </c>
      <c r="BT732" s="200" t="e">
        <f>_xlfn.RANK.EQ(FMS_Ranking4[[#This Row],[Log Total Score]],FMS_Ranking4[Log Total Score],0)</f>
        <v>#REF!</v>
      </c>
      <c r="BU732" s="200" t="e">
        <f>_xlfn.XLOOKUP(FMS_Ranking4[[#This Row],[FMS ID]],#REF!,#REF!)</f>
        <v>#REF!</v>
      </c>
      <c r="BV732" s="200">
        <f>FMS_Ranking4[[#This Row],[Region Number]]</f>
        <v>15</v>
      </c>
      <c r="BW732" s="200">
        <f>FMS_Ranking4[[#This Row],[Rank (with ArcSinh normalization of select criteria)]]-FMS_Ranking4[[#This Row],[Rank
(with linear
normalization)]]</f>
        <v>28</v>
      </c>
      <c r="BX732" s="200" t="e">
        <f>FMS_Ranking4[[#This Row],[Log Rank]]-FMS_Ranking4[[#This Row],[Rank
(with linear
normalization)]]</f>
        <v>#REF!</v>
      </c>
      <c r="BY732" s="200" t="str">
        <f>IF(FMS_Ranking4[[#This Row],[FMS Type]]="Flood Measurement and Warning",FMS_Ranking4[[#This Row],[Rank (with ArcSinh normalization of select criteria)]],"")</f>
        <v/>
      </c>
      <c r="BZ732" s="200" t="str">
        <f>IF(FMS_Ranking4[[#This Row],[FMS Type]]="Regulatory and Guidance",FMS_Ranking4[[#This Row],[Rank (with ArcSinh normalization of select criteria)]],"")</f>
        <v/>
      </c>
      <c r="CA732" s="200" t="str">
        <f>IF(FMS_Ranking4[[#This Row],[FMS Type]]="Education and Outreach",FMS_Ranking4[[#This Row],[Rank (with ArcSinh normalization of select criteria)]],"")</f>
        <v/>
      </c>
      <c r="CB732" s="200" t="str">
        <f>IF(FMS_Ranking4[[#This Row],[FMS Type]]="Property Acquisition and Structural Elevation",FMS_Ranking4[[#This Row],[Rank (with ArcSinh normalization of select criteria)]],"")</f>
        <v/>
      </c>
      <c r="CC732" s="200">
        <f>IF(FMS_Ranking4[[#This Row],[FMS Type]]="Infrastructure Projects",FMS_Ranking4[[#This Row],[Rank (with ArcSinh normalization of select criteria)]],"")</f>
        <v>725</v>
      </c>
      <c r="CD732" s="200" t="str">
        <f>IF(FMS_Ranking4[[#This Row],[FMS Type]]="Other",FMS_Ranking4[[#This Row],[Rank (with ArcSinh normalization of select criteria)]],"")</f>
        <v/>
      </c>
      <c r="CE732" s="201"/>
      <c r="CF732" s="206"/>
      <c r="CG732" s="206"/>
      <c r="CH732" s="206"/>
      <c r="CI732" s="206"/>
      <c r="CJ732" s="206"/>
      <c r="CK732" s="206"/>
      <c r="CL732" s="206"/>
      <c r="CM732" s="206"/>
      <c r="CN732" s="206"/>
      <c r="CO732" s="206"/>
      <c r="CP732" s="206"/>
      <c r="CQ732" s="206"/>
      <c r="CR732" s="206"/>
    </row>
    <row r="733" spans="2:96" ht="45" x14ac:dyDescent="0.25">
      <c r="B733" s="341" t="s">
        <v>2335</v>
      </c>
      <c r="C733" s="246">
        <f>_xlfn.XLOOKUP(FMS_Ranking4[[#This Row],[FMS ID]],FMS_Input[FMS_ID],FMS_Input[RFPG_NUM])</f>
        <v>3</v>
      </c>
      <c r="D733" s="309" t="str">
        <f>_xlfn.XLOOKUP(FMS_Ranking4[[#This Row],[FMS ID]],FMS_Input[FMS_ID],FMS_Input[FMS_NAME])</f>
        <v>Cayote Flats NFIP Floodplain Ordinance</v>
      </c>
      <c r="E733" s="308" t="str">
        <f>_xlfn.XLOOKUP(FMS_Ranking4[[#This Row],[FMS ID]],FMS_Input[FMS_ID],FMS_Input[SPONSOR])</f>
        <v>Coyote Flats</v>
      </c>
      <c r="F733" s="309" t="str">
        <f>_xlfn.XLOOKUP(FMS_Ranking4[[#This Row],[FMS ID]],Sponsor[FMS_ID],Sponsor[SPONSOR NAME])</f>
        <v>Coyote Flats</v>
      </c>
      <c r="G733" s="309" t="str">
        <f>_xlfn.XLOOKUP(FMS_Ranking4[[#This Row],[FMS ID]],FMS_Input[FMS_ID],FMS_Input[FMS_DESCR])</f>
        <v>Develop a floodplain ordinance that meets or exceeds FEMA's minimum standards</v>
      </c>
      <c r="H733" s="248" t="str">
        <f>_xlfn.XLOOKUP(FMS_Ranking4[[#This Row],[FMS ID]],FMS_Input[FMS_ID],FMS_Input[FMS_TYPE])</f>
        <v>Regulatory and Guidance</v>
      </c>
      <c r="I733" s="249">
        <f>_xlfn.XLOOKUP(FMS_Ranking4[[#This Row],[FMS ID]],FMS_Input[FMS_ID],FMS_Input[NRNC_COST])</f>
        <v>100000</v>
      </c>
      <c r="J733" s="250">
        <f>_xlfn.XLOOKUP(FMS_Ranking4[[#This Row],[FMS ID]],FMS_Input[FMS_ID],FMS_Input[FMS_COST])</f>
        <v>100000</v>
      </c>
      <c r="K733" s="251" t="str">
        <f>_xlfn.XLOOKUP(FMS_Ranking4[[#This Row],[FMS ID]],FMS_Input[FMS_ID],FMS_Input[EMER_NEED])</f>
        <v>No</v>
      </c>
      <c r="L733" s="252">
        <f t="shared" si="11"/>
        <v>0</v>
      </c>
      <c r="M733" s="253">
        <f>_xlfn.XLOOKUP(FMS_Ranking4[[#This Row],[FMS ID]],FMS_Input[FMS_ID],FMS_Input[STRUCT_100])</f>
        <v>7</v>
      </c>
      <c r="N733" s="255">
        <f>(ASINH(FMS_Ranking4[[#This Row],[Structure at Risk Raw]]))*(10)/(ASINH(M$4))</f>
        <v>2.0786726107217111</v>
      </c>
      <c r="O733" s="256">
        <f>FMS_Ranking4[[#This Row],[Structures at risk, ArcSinh (0-10)]]*M$5*10</f>
        <v>2.0786726107217115</v>
      </c>
      <c r="P733" s="253">
        <f>_xlfn.XLOOKUP(FMS_Ranking4[[#This Row],[FMS ID]],FMS_Input[FMS_ID],FMS_Input[RES_STRUCT100])</f>
        <v>5</v>
      </c>
      <c r="Q733" s="257">
        <f>ASINH(FMS_Ranking4[[#This Row],[Res Structure Raw]])/Q$4*P$5*100</f>
        <v>0</v>
      </c>
      <c r="R733" s="253">
        <f>_xlfn.XLOOKUP(FMS_Ranking4[[#This Row],[FMS ID]],FMS_Input[FMS_ID],FMS_Input[POP100])</f>
        <v>16</v>
      </c>
      <c r="S733" s="259">
        <f>(ASINH(FMS_Ranking4[[#This Row],[Pop at Risk Raw]]))*(10)/(ASINH(R$4))</f>
        <v>2.3932724541966266</v>
      </c>
      <c r="T733" s="256">
        <f>FMS_Ranking4[[#This Row],[Population at risk, ArcSinh (0-10)]]*R$5*10</f>
        <v>2.3932724541966266</v>
      </c>
      <c r="U733" s="253">
        <f>_xlfn.XLOOKUP(FMS_Ranking4[[#This Row],[FMS ID]],FMS_Input[FMS_ID],FMS_Input[CRITFAC100])</f>
        <v>0</v>
      </c>
      <c r="V733" s="259">
        <f>(ASINH(FMS_Ranking4[[#This Row],[Critical Facilities Raw]]))*(10)/(ASINH(U$4))</f>
        <v>0</v>
      </c>
      <c r="W733" s="256">
        <f>FMS_Ranking4[[#This Row],[Critical facilities at risk, ArcSinh (0-10)]]*U$5*10</f>
        <v>0</v>
      </c>
      <c r="X733" s="253">
        <f>_xlfn.XLOOKUP(FMS_Ranking4[[#This Row],[FMS ID]],FMS_Input[FMS_ID],FMS_Input[LWC])</f>
        <v>0</v>
      </c>
      <c r="Y733" s="259">
        <f>(ASINH(FMS_Ranking4[[#This Row],[LWC Raw]]))*(10)/(ASINH(X$4))</f>
        <v>0</v>
      </c>
      <c r="Z733" s="256">
        <f>FMS_Ranking4[[#This Row],[LWC, ArcSInh (0-10)]]*X$5*10</f>
        <v>0</v>
      </c>
      <c r="AA733" s="253">
        <f>_xlfn.XLOOKUP(FMS_Ranking4[[#This Row],[FMS ID]],FMS_Input[FMS_ID],FMS_Input[ROADCLS])</f>
        <v>0</v>
      </c>
      <c r="AB733" s="255">
        <f>(ASINH(FMS_Ranking4[[#This Row],[Road Closures Raw]]))*(10)/(ASINH(AA$4))</f>
        <v>0</v>
      </c>
      <c r="AC733" s="256">
        <f>FMS_Ranking4[[#This Row],[Road closures, ArcSinh (0-10)]]*AA$5*10</f>
        <v>0</v>
      </c>
      <c r="AD733" s="253">
        <f>_xlfn.XLOOKUP(FMS_Ranking4[[#This Row],[FMS ID]],FMS_Input[FMS_ID],FMS_Input[ROAD_MILES100])</f>
        <v>0</v>
      </c>
      <c r="AE733" s="259">
        <f>(ASINH(FMS_Ranking4[[#This Row],[Road Miles Raw]]))*(10)/(ASINH(AD$4))</f>
        <v>0</v>
      </c>
      <c r="AF733" s="256">
        <f>FMS_Ranking4[[#This Row],[Length of roads at risk, ArcSinh (0-10)]]*AD$5*10</f>
        <v>0</v>
      </c>
      <c r="AG733" s="253">
        <f>_xlfn.XLOOKUP(FMS_Ranking4[[#This Row],[FMS ID]],FMS_Input[FMS_ID],FMS_Input[FARMACRE100])</f>
        <v>15.780659675598139</v>
      </c>
      <c r="AH733" s="255">
        <f>(ASINH(FMS_Ranking4[[#This Row],[Ag Land Raw]]))*(10)/(ASINH(AG$4))</f>
        <v>2.2429623890851795</v>
      </c>
      <c r="AI733" s="260">
        <f>FMS_Ranking4[[#This Row],[Farm &amp; ranch land, ArcSinh (0-10)]]*AG$5*10</f>
        <v>1.1214811945425898</v>
      </c>
      <c r="AJ733" s="258">
        <f>_xlfn.XLOOKUP(FMS_Ranking4[[#This Row],[FMS ID]],FMS_Input[FMS_ID],FMS_Input[REDSTRUCT100])</f>
        <v>0</v>
      </c>
      <c r="AK733" s="253">
        <f>_xlfn.XLOOKUP(FMS_Ranking4[[#This Row],[FMS ID]],FMS_Input[FMS_ID],FMS_Input[REMSTRC100])</f>
        <v>0</v>
      </c>
      <c r="AL733" s="259">
        <f>(ASINH(FMS_Ranking4[[#This Row],[Structures Removed Raw]]))*(10)/(ASINH(AK$4))</f>
        <v>0</v>
      </c>
      <c r="AM733" s="262">
        <f>FMS_Ranking4[[#This Row],[Structures removed, ArcSinh (0-10)]]*AK$5*10</f>
        <v>0</v>
      </c>
      <c r="AN733" s="253">
        <f>_xlfn.XLOOKUP(FMS_Ranking4[[#This Row],[FMS ID]],FMS_Input[FMS_ID],FMS_Input[REMRESSTRC100])</f>
        <v>0</v>
      </c>
      <c r="AO733" s="261">
        <f>FMS_Ranking4[[#This Row],[ArcSinh Res struct removed 0-10]]*AN$5*10</f>
        <v>0</v>
      </c>
      <c r="AP733" s="260">
        <f>ASINH(FMS_Ranking4[[#This Row],[Residential Structures Removed Raw]])/AP$4*AN$5*100</f>
        <v>0</v>
      </c>
      <c r="AQ733" s="254">
        <f>(ASINH(FMS_Ranking4[[#This Row],[Residential Structures Removed Raw]]))*(10)/(ASINH(AN$4))</f>
        <v>0</v>
      </c>
      <c r="AR733" s="253">
        <f>_xlfn.XLOOKUP(FMS_Ranking4[[#This Row],[FMS ID]],FMS_Input[FMS_ID],FMS_Input[REMPOP100])</f>
        <v>0</v>
      </c>
      <c r="AS733" s="259">
        <f>(ASINH(FMS_Ranking4[[#This Row],[Removed Pop Raw]]))*(10)/(ASINH(AR$4))</f>
        <v>0</v>
      </c>
      <c r="AT733" s="262">
        <f>FMS_Ranking4[[#This Row],[Removed population, ArcSinh (0-10)]]*AR$5*10</f>
        <v>0</v>
      </c>
      <c r="AU733" s="264">
        <f>_xlfn.XLOOKUP(FMS_Ranking4[[#This Row],[FMS ID]],FMS_Input[FMS_ID],FMS_Input[REMCRITFAC100])</f>
        <v>0</v>
      </c>
      <c r="AV733" s="264">
        <f>_xlfn.XLOOKUP(FMS_Ranking4[[#This Row],[FMS ID]],FMS_Input[FMS_ID],FMS_Input[REMLWC100])</f>
        <v>0</v>
      </c>
      <c r="AW733" s="264">
        <f>_xlfn.XLOOKUP(FMS_Ranking4[[#This Row],[FMS ID]],FMS_Input[FMS_ID],FMS_Input[REMROADCLS])</f>
        <v>0</v>
      </c>
      <c r="AX733" s="264">
        <f>_xlfn.XLOOKUP(FMS_Ranking4[[#This Row],[FMS ID]],FMS_Input[FMS_ID],FMS_Input[REMFRMACRE100])</f>
        <v>0</v>
      </c>
      <c r="AY733" s="258">
        <f>_xlfn.XLOOKUP(FMS_Ranking4[[#This Row],[FMS ID]],FMS_Input[FMS_ID],FMS_Input[COSTSTRUCT])</f>
        <v>0</v>
      </c>
      <c r="AZ733" s="253">
        <f>_xlfn.XLOOKUP(FMS_Ranking4[[#This Row],[FMS ID]],FMS_Input[FMS_ID],FMS_Input[NATURE])</f>
        <v>0</v>
      </c>
      <c r="BA733" s="262">
        <f>(((FMS_Ranking4[[#This Row],[% NBS Raw]]/AZ$4)*100)*AZ$5)</f>
        <v>0</v>
      </c>
      <c r="BB733" s="251" t="str">
        <f>_xlfn.XLOOKUP(FMS_Ranking4[[#This Row],[FMS ID]],FMS_Input[FMS_ID],FMS_Input[WATER_SUP])</f>
        <v>No</v>
      </c>
      <c r="BC733" s="265">
        <f>IF(FMS_Ranking4[[#This Row],[Water Supply Raw]]="Yes",10,0)</f>
        <v>0</v>
      </c>
      <c r="BD733" s="266">
        <f>_xlfn.XLOOKUP(FMS_Ranking4[[#This Row],[FMS Type]],FMS_TYPE[FMS_Type],FMS_TYPE[Score])</f>
        <v>8</v>
      </c>
      <c r="BE733" s="267">
        <f>FMS_Ranking4[[#This Row],[FMS_Type Score]]*$BD$5*10</f>
        <v>2</v>
      </c>
      <c r="BF73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6.1492850411769859E-4</v>
      </c>
      <c r="BG733" s="271">
        <f>_xlfn.RANK.EQ(BF733,$BF$8:$BF$870,0)+COUNTIF($BF$8:BF733,BF733)-1</f>
        <v>755</v>
      </c>
      <c r="BH733" s="268">
        <f>(((FMS_Ranking4[[#This Row],[Structures Removed Raw]]/AK$4)*100)*AK$5)+(((FMS_Ranking4[[#This Row],[Removed Pop Raw]]/AR$4)*100)*AR$5)</f>
        <v>0</v>
      </c>
      <c r="BI73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2.0006149285041177</v>
      </c>
      <c r="BJ733" s="205">
        <f>_xlfn.RANK.EQ(FMS_Ranking4[[#This Row],[Total Score 
(with linear
normalization)]],FMS_Ranking4[Total Score 
(with linear
normalization)],0)</f>
        <v>467</v>
      </c>
      <c r="BK733" s="205" t="e">
        <f>_xlfn.XLOOKUP(FMS_Ranking4[[#This Row],[FMS ID]],#REF!,#REF!)</f>
        <v>#REF!</v>
      </c>
      <c r="BL73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5.5934262594609283</v>
      </c>
      <c r="BM733" s="272">
        <f>FMS_Ranking4[[#This Row],[ArcSinh Score Based on Normalized Reported Factors]]+FMS_Ranking4[[#This Row],[% NBS Score (Normalized)]]+(FMS_Ranking4[[#This Row],[Water Supply Score (Normalized)]]*10*$BB$5)+FMS_Ranking4[[#This Row],[FMS_Type Score Weighted]]</f>
        <v>7.5934262594609283</v>
      </c>
      <c r="BN733" s="205">
        <f>_xlfn.RANK.EQ(FMS_Ranking4[[#This Row],[Total Score (with ArcSinh normalization of select criteria)]],FMS_Ranking4[Total Score (with ArcSinh normalization of select criteria)],0)</f>
        <v>726</v>
      </c>
      <c r="BO733" s="270" t="str">
        <f>_xlfn.XLOOKUP(FMS_Ranking4[[#This Row],[FMS ID]],FMS_Input[FMS_ID],FMS_Input[FMS_RANK_YEAR])</f>
        <v>2023 Amended Plan</v>
      </c>
      <c r="BP733" s="204">
        <f>_xlfn.XLOOKUP(FMS_Ranking4[[#This Row],[FMS ID]],Prev_Rank[FMS ID],Prev_Rank[Prev Rank])</f>
        <v>658</v>
      </c>
      <c r="BQ733" s="205" t="e">
        <f>_xlfn.XLOOKUP(FMS_Ranking4[[#This Row],[FMS ID]],#REF!,#REF!)</f>
        <v>#REF!</v>
      </c>
      <c r="BR733" s="199" t="e">
        <f>SUM(#REF!,#REF!,#REF!,#REF!,#REF!,#REF!,#REF!,#REF!,#REF!,FMS_Ranking4[[#This Row],[ArcSinh Res struct removed 0-10]],#REF!)</f>
        <v>#REF!</v>
      </c>
      <c r="BS733" s="199" t="e">
        <f>FMS_Ranking4[[#This Row],[Log Score Based on Normalized Reported Factors]]+FMS_Ranking4[[#This Row],[% NBS Score (Normalized)]]+(FMS_Ranking4[[#This Row],[Water Supply Score (Normalized)]]*10*$BB$5)+(FMS_Ranking4[[#This Row],[FMS_Type Score Weighted]])</f>
        <v>#REF!</v>
      </c>
      <c r="BT733" s="200" t="e">
        <f>_xlfn.RANK.EQ(FMS_Ranking4[[#This Row],[Log Total Score]],FMS_Ranking4[Log Total Score],0)</f>
        <v>#REF!</v>
      </c>
      <c r="BU733" s="200" t="e">
        <f>_xlfn.XLOOKUP(FMS_Ranking4[[#This Row],[FMS ID]],#REF!,#REF!)</f>
        <v>#REF!</v>
      </c>
      <c r="BV733" s="200">
        <f>FMS_Ranking4[[#This Row],[Region Number]]</f>
        <v>3</v>
      </c>
      <c r="BW733" s="200">
        <f>FMS_Ranking4[[#This Row],[Rank (with ArcSinh normalization of select criteria)]]-FMS_Ranking4[[#This Row],[Rank
(with linear
normalization)]]</f>
        <v>259</v>
      </c>
      <c r="BX733" s="200" t="e">
        <f>FMS_Ranking4[[#This Row],[Log Rank]]-FMS_Ranking4[[#This Row],[Rank
(with linear
normalization)]]</f>
        <v>#REF!</v>
      </c>
      <c r="BY733" s="200" t="str">
        <f>IF(FMS_Ranking4[[#This Row],[FMS Type]]="Flood Measurement and Warning",FMS_Ranking4[[#This Row],[Rank (with ArcSinh normalization of select criteria)]],"")</f>
        <v/>
      </c>
      <c r="BZ733" s="200">
        <f>IF(FMS_Ranking4[[#This Row],[FMS Type]]="Regulatory and Guidance",FMS_Ranking4[[#This Row],[Rank (with ArcSinh normalization of select criteria)]],"")</f>
        <v>726</v>
      </c>
      <c r="CA733" s="200" t="str">
        <f>IF(FMS_Ranking4[[#This Row],[FMS Type]]="Education and Outreach",FMS_Ranking4[[#This Row],[Rank (with ArcSinh normalization of select criteria)]],"")</f>
        <v/>
      </c>
      <c r="CB733" s="200" t="str">
        <f>IF(FMS_Ranking4[[#This Row],[FMS Type]]="Property Acquisition and Structural Elevation",FMS_Ranking4[[#This Row],[Rank (with ArcSinh normalization of select criteria)]],"")</f>
        <v/>
      </c>
      <c r="CC733" s="200" t="str">
        <f>IF(FMS_Ranking4[[#This Row],[FMS Type]]="Infrastructure Projects",FMS_Ranking4[[#This Row],[Rank (with ArcSinh normalization of select criteria)]],"")</f>
        <v/>
      </c>
      <c r="CD733" s="200" t="str">
        <f>IF(FMS_Ranking4[[#This Row],[FMS Type]]="Other",FMS_Ranking4[[#This Row],[Rank (with ArcSinh normalization of select criteria)]],"")</f>
        <v/>
      </c>
      <c r="CE733" s="201"/>
      <c r="CF733" s="206"/>
      <c r="CG733" s="206"/>
      <c r="CH733" s="206"/>
      <c r="CI733" s="206"/>
      <c r="CJ733" s="206"/>
      <c r="CK733" s="206"/>
      <c r="CL733" s="206"/>
      <c r="CM733" s="206"/>
      <c r="CN733" s="206"/>
      <c r="CO733" s="206"/>
      <c r="CP733" s="206"/>
      <c r="CQ733" s="206"/>
      <c r="CR733" s="206"/>
    </row>
    <row r="734" spans="2:96" ht="45" x14ac:dyDescent="0.25">
      <c r="B734" s="341" t="s">
        <v>2326</v>
      </c>
      <c r="C734" s="246">
        <f>_xlfn.XLOOKUP(FMS_Ranking4[[#This Row],[FMS ID]],FMS_Input[FMS_ID],FMS_Input[RFPG_NUM])</f>
        <v>3</v>
      </c>
      <c r="D734" s="309" t="str">
        <f>_xlfn.XLOOKUP(FMS_Ranking4[[#This Row],[FMS ID]],FMS_Input[FMS_ID],FMS_Input[FMS_NAME])</f>
        <v>Carl's Corner NFIP Floodplain Ordinance</v>
      </c>
      <c r="E734" s="308" t="str">
        <f>_xlfn.XLOOKUP(FMS_Ranking4[[#This Row],[FMS ID]],FMS_Input[FMS_ID],FMS_Input[SPONSOR])</f>
        <v>Carl's Corner</v>
      </c>
      <c r="F734" s="309" t="str">
        <f>_xlfn.XLOOKUP(FMS_Ranking4[[#This Row],[FMS ID]],Sponsor[FMS_ID],Sponsor[SPONSOR NAME])</f>
        <v>Carl's Corner</v>
      </c>
      <c r="G734" s="309" t="str">
        <f>_xlfn.XLOOKUP(FMS_Ranking4[[#This Row],[FMS ID]],FMS_Input[FMS_ID],FMS_Input[FMS_DESCR])</f>
        <v>Develop a floodplain ordinance that meets or exceeds FEMA's minimum standards</v>
      </c>
      <c r="H734" s="248" t="str">
        <f>_xlfn.XLOOKUP(FMS_Ranking4[[#This Row],[FMS ID]],FMS_Input[FMS_ID],FMS_Input[FMS_TYPE])</f>
        <v>Regulatory and Guidance</v>
      </c>
      <c r="I734" s="249">
        <f>_xlfn.XLOOKUP(FMS_Ranking4[[#This Row],[FMS ID]],FMS_Input[FMS_ID],FMS_Input[NRNC_COST])</f>
        <v>100000</v>
      </c>
      <c r="J734" s="250">
        <f>_xlfn.XLOOKUP(FMS_Ranking4[[#This Row],[FMS ID]],FMS_Input[FMS_ID],FMS_Input[FMS_COST])</f>
        <v>100000</v>
      </c>
      <c r="K734" s="251" t="str">
        <f>_xlfn.XLOOKUP(FMS_Ranking4[[#This Row],[FMS ID]],FMS_Input[FMS_ID],FMS_Input[EMER_NEED])</f>
        <v>No</v>
      </c>
      <c r="L734" s="252">
        <f t="shared" si="11"/>
        <v>0</v>
      </c>
      <c r="M734" s="253">
        <f>_xlfn.XLOOKUP(FMS_Ranking4[[#This Row],[FMS ID]],FMS_Input[FMS_ID],FMS_Input[STRUCT_100])</f>
        <v>7</v>
      </c>
      <c r="N734" s="255">
        <f>(ASINH(FMS_Ranking4[[#This Row],[Structure at Risk Raw]]))*(10)/(ASINH(M$4))</f>
        <v>2.0786726107217111</v>
      </c>
      <c r="O734" s="256">
        <f>FMS_Ranking4[[#This Row],[Structures at risk, ArcSinh (0-10)]]*M$5*10</f>
        <v>2.0786726107217115</v>
      </c>
      <c r="P734" s="253">
        <f>_xlfn.XLOOKUP(FMS_Ranking4[[#This Row],[FMS ID]],FMS_Input[FMS_ID],FMS_Input[RES_STRUCT100])</f>
        <v>6</v>
      </c>
      <c r="Q734" s="257">
        <f>ASINH(FMS_Ranking4[[#This Row],[Res Structure Raw]])/Q$4*P$5*100</f>
        <v>0</v>
      </c>
      <c r="R734" s="253">
        <f>_xlfn.XLOOKUP(FMS_Ranking4[[#This Row],[FMS ID]],FMS_Input[FMS_ID],FMS_Input[POP100])</f>
        <v>12</v>
      </c>
      <c r="S734" s="259">
        <f>(ASINH(FMS_Ranking4[[#This Row],[Pop at Risk Raw]]))*(10)/(ASINH(R$4))</f>
        <v>2.1951910081741675</v>
      </c>
      <c r="T734" s="256">
        <f>FMS_Ranking4[[#This Row],[Population at risk, ArcSinh (0-10)]]*R$5*10</f>
        <v>2.1951910081741675</v>
      </c>
      <c r="U734" s="253">
        <f>_xlfn.XLOOKUP(FMS_Ranking4[[#This Row],[FMS ID]],FMS_Input[FMS_ID],FMS_Input[CRITFAC100])</f>
        <v>0</v>
      </c>
      <c r="V734" s="259">
        <f>(ASINH(FMS_Ranking4[[#This Row],[Critical Facilities Raw]]))*(10)/(ASINH(U$4))</f>
        <v>0</v>
      </c>
      <c r="W734" s="256">
        <f>FMS_Ranking4[[#This Row],[Critical facilities at risk, ArcSinh (0-10)]]*U$5*10</f>
        <v>0</v>
      </c>
      <c r="X734" s="253">
        <f>_xlfn.XLOOKUP(FMS_Ranking4[[#This Row],[FMS ID]],FMS_Input[FMS_ID],FMS_Input[LWC])</f>
        <v>0</v>
      </c>
      <c r="Y734" s="259">
        <f>(ASINH(FMS_Ranking4[[#This Row],[LWC Raw]]))*(10)/(ASINH(X$4))</f>
        <v>0</v>
      </c>
      <c r="Z734" s="256">
        <f>FMS_Ranking4[[#This Row],[LWC, ArcSInh (0-10)]]*X$5*10</f>
        <v>0</v>
      </c>
      <c r="AA734" s="253">
        <f>_xlfn.XLOOKUP(FMS_Ranking4[[#This Row],[FMS ID]],FMS_Input[FMS_ID],FMS_Input[ROADCLS])</f>
        <v>0</v>
      </c>
      <c r="AB734" s="255">
        <f>(ASINH(FMS_Ranking4[[#This Row],[Road Closures Raw]]))*(10)/(ASINH(AA$4))</f>
        <v>0</v>
      </c>
      <c r="AC734" s="256">
        <f>FMS_Ranking4[[#This Row],[Road closures, ArcSinh (0-10)]]*AA$5*10</f>
        <v>0</v>
      </c>
      <c r="AD734" s="253">
        <f>_xlfn.XLOOKUP(FMS_Ranking4[[#This Row],[FMS ID]],FMS_Input[FMS_ID],FMS_Input[ROAD_MILES100])</f>
        <v>0</v>
      </c>
      <c r="AE734" s="259">
        <f>(ASINH(FMS_Ranking4[[#This Row],[Road Miles Raw]]))*(10)/(ASINH(AD$4))</f>
        <v>0</v>
      </c>
      <c r="AF734" s="256">
        <f>FMS_Ranking4[[#This Row],[Length of roads at risk, ArcSinh (0-10)]]*AD$5*10</f>
        <v>0</v>
      </c>
      <c r="AG734" s="253">
        <f>_xlfn.XLOOKUP(FMS_Ranking4[[#This Row],[FMS ID]],FMS_Input[FMS_ID],FMS_Input[FARMACRE100])</f>
        <v>28.191680908203121</v>
      </c>
      <c r="AH734" s="255">
        <f>(ASINH(FMS_Ranking4[[#This Row],[Ag Land Raw]]))*(10)/(ASINH(AG$4))</f>
        <v>2.6194298174811035</v>
      </c>
      <c r="AI734" s="260">
        <f>FMS_Ranking4[[#This Row],[Farm &amp; ranch land, ArcSinh (0-10)]]*AG$5*10</f>
        <v>1.3097149087405517</v>
      </c>
      <c r="AJ734" s="258">
        <f>_xlfn.XLOOKUP(FMS_Ranking4[[#This Row],[FMS ID]],FMS_Input[FMS_ID],FMS_Input[REDSTRUCT100])</f>
        <v>0</v>
      </c>
      <c r="AK734" s="253">
        <f>_xlfn.XLOOKUP(FMS_Ranking4[[#This Row],[FMS ID]],FMS_Input[FMS_ID],FMS_Input[REMSTRC100])</f>
        <v>0</v>
      </c>
      <c r="AL734" s="259">
        <f>(ASINH(FMS_Ranking4[[#This Row],[Structures Removed Raw]]))*(10)/(ASINH(AK$4))</f>
        <v>0</v>
      </c>
      <c r="AM734" s="262">
        <f>FMS_Ranking4[[#This Row],[Structures removed, ArcSinh (0-10)]]*AK$5*10</f>
        <v>0</v>
      </c>
      <c r="AN734" s="253">
        <f>_xlfn.XLOOKUP(FMS_Ranking4[[#This Row],[FMS ID]],FMS_Input[FMS_ID],FMS_Input[REMRESSTRC100])</f>
        <v>0</v>
      </c>
      <c r="AO734" s="261">
        <f>FMS_Ranking4[[#This Row],[ArcSinh Res struct removed 0-10]]*AN$5*10</f>
        <v>0</v>
      </c>
      <c r="AP734" s="260">
        <f>ASINH(FMS_Ranking4[[#This Row],[Residential Structures Removed Raw]])/AP$4*AN$5*100</f>
        <v>0</v>
      </c>
      <c r="AQ734" s="254">
        <f>(ASINH(FMS_Ranking4[[#This Row],[Residential Structures Removed Raw]]))*(10)/(ASINH(AN$4))</f>
        <v>0</v>
      </c>
      <c r="AR734" s="253">
        <f>_xlfn.XLOOKUP(FMS_Ranking4[[#This Row],[FMS ID]],FMS_Input[FMS_ID],FMS_Input[REMPOP100])</f>
        <v>0</v>
      </c>
      <c r="AS734" s="259">
        <f>(ASINH(FMS_Ranking4[[#This Row],[Removed Pop Raw]]))*(10)/(ASINH(AR$4))</f>
        <v>0</v>
      </c>
      <c r="AT734" s="262">
        <f>FMS_Ranking4[[#This Row],[Removed population, ArcSinh (0-10)]]*AR$5*10</f>
        <v>0</v>
      </c>
      <c r="AU734" s="264">
        <f>_xlfn.XLOOKUP(FMS_Ranking4[[#This Row],[FMS ID]],FMS_Input[FMS_ID],FMS_Input[REMCRITFAC100])</f>
        <v>0</v>
      </c>
      <c r="AV734" s="264">
        <f>_xlfn.XLOOKUP(FMS_Ranking4[[#This Row],[FMS ID]],FMS_Input[FMS_ID],FMS_Input[REMLWC100])</f>
        <v>0</v>
      </c>
      <c r="AW734" s="264">
        <f>_xlfn.XLOOKUP(FMS_Ranking4[[#This Row],[FMS ID]],FMS_Input[FMS_ID],FMS_Input[REMROADCLS])</f>
        <v>0</v>
      </c>
      <c r="AX734" s="264">
        <f>_xlfn.XLOOKUP(FMS_Ranking4[[#This Row],[FMS ID]],FMS_Input[FMS_ID],FMS_Input[REMFRMACRE100])</f>
        <v>0</v>
      </c>
      <c r="AY734" s="258">
        <f>_xlfn.XLOOKUP(FMS_Ranking4[[#This Row],[FMS ID]],FMS_Input[FMS_ID],FMS_Input[COSTSTRUCT])</f>
        <v>0</v>
      </c>
      <c r="AZ734" s="253">
        <f>_xlfn.XLOOKUP(FMS_Ranking4[[#This Row],[FMS ID]],FMS_Input[FMS_ID],FMS_Input[NATURE])</f>
        <v>0</v>
      </c>
      <c r="BA734" s="262">
        <f>(((FMS_Ranking4[[#This Row],[% NBS Raw]]/AZ$4)*100)*AZ$5)</f>
        <v>0</v>
      </c>
      <c r="BB734" s="251" t="str">
        <f>_xlfn.XLOOKUP(FMS_Ranking4[[#This Row],[FMS ID]],FMS_Input[FMS_ID],FMS_Input[WATER_SUP])</f>
        <v>No</v>
      </c>
      <c r="BC734" s="265">
        <f>IF(FMS_Ranking4[[#This Row],[Water Supply Raw]]="Yes",10,0)</f>
        <v>0</v>
      </c>
      <c r="BD734" s="266">
        <f>_xlfn.XLOOKUP(FMS_Ranking4[[#This Row],[FMS Type]],FMS_TYPE[FMS_Type],FMS_TYPE[Score])</f>
        <v>8</v>
      </c>
      <c r="BE734" s="267">
        <f>FMS_Ranking4[[#This Row],[FMS_Type Score]]*$BD$5*10</f>
        <v>2</v>
      </c>
      <c r="BF73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5.995692232383178E-4</v>
      </c>
      <c r="BG734" s="271">
        <f>_xlfn.RANK.EQ(BF734,$BF$8:$BF$870,0)+COUNTIF($BF$8:BF734,BF734)-1</f>
        <v>757</v>
      </c>
      <c r="BH734" s="268">
        <f>(((FMS_Ranking4[[#This Row],[Structures Removed Raw]]/AK$4)*100)*AK$5)+(((FMS_Ranking4[[#This Row],[Removed Pop Raw]]/AR$4)*100)*AR$5)</f>
        <v>0</v>
      </c>
      <c r="BI73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2.0005995692232381</v>
      </c>
      <c r="BJ734" s="205">
        <f>_xlfn.RANK.EQ(FMS_Ranking4[[#This Row],[Total Score 
(with linear
normalization)]],FMS_Ranking4[Total Score 
(with linear
normalization)],0)</f>
        <v>468</v>
      </c>
      <c r="BK734" s="205" t="e">
        <f>_xlfn.XLOOKUP(FMS_Ranking4[[#This Row],[FMS ID]],#REF!,#REF!)</f>
        <v>#REF!</v>
      </c>
      <c r="BL73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5.5835785276364307</v>
      </c>
      <c r="BM734" s="272">
        <f>FMS_Ranking4[[#This Row],[ArcSinh Score Based on Normalized Reported Factors]]+FMS_Ranking4[[#This Row],[% NBS Score (Normalized)]]+(FMS_Ranking4[[#This Row],[Water Supply Score (Normalized)]]*10*$BB$5)+FMS_Ranking4[[#This Row],[FMS_Type Score Weighted]]</f>
        <v>7.5835785276364307</v>
      </c>
      <c r="BN734" s="205">
        <f>_xlfn.RANK.EQ(FMS_Ranking4[[#This Row],[Total Score (with ArcSinh normalization of select criteria)]],FMS_Ranking4[Total Score (with ArcSinh normalization of select criteria)],0)</f>
        <v>727</v>
      </c>
      <c r="BO734" s="270" t="str">
        <f>_xlfn.XLOOKUP(FMS_Ranking4[[#This Row],[FMS ID]],FMS_Input[FMS_ID],FMS_Input[FMS_RANK_YEAR])</f>
        <v>2023 Amended Plan</v>
      </c>
      <c r="BP734" s="204">
        <f>_xlfn.XLOOKUP(FMS_Ranking4[[#This Row],[FMS ID]],Prev_Rank[FMS ID],Prev_Rank[Prev Rank])</f>
        <v>654</v>
      </c>
      <c r="BQ734" s="205" t="e">
        <f>_xlfn.XLOOKUP(FMS_Ranking4[[#This Row],[FMS ID]],#REF!,#REF!)</f>
        <v>#REF!</v>
      </c>
      <c r="BR734" s="199" t="e">
        <f>SUM(#REF!,#REF!,#REF!,#REF!,#REF!,#REF!,#REF!,#REF!,#REF!,FMS_Ranking4[[#This Row],[ArcSinh Res struct removed 0-10]],#REF!)</f>
        <v>#REF!</v>
      </c>
      <c r="BS734" s="199" t="e">
        <f>FMS_Ranking4[[#This Row],[Log Score Based on Normalized Reported Factors]]+FMS_Ranking4[[#This Row],[% NBS Score (Normalized)]]+(FMS_Ranking4[[#This Row],[Water Supply Score (Normalized)]]*10*$BB$5)+(FMS_Ranking4[[#This Row],[FMS_Type Score Weighted]])</f>
        <v>#REF!</v>
      </c>
      <c r="BT734" s="200" t="e">
        <f>_xlfn.RANK.EQ(FMS_Ranking4[[#This Row],[Log Total Score]],FMS_Ranking4[Log Total Score],0)</f>
        <v>#REF!</v>
      </c>
      <c r="BU734" s="200" t="e">
        <f>_xlfn.XLOOKUP(FMS_Ranking4[[#This Row],[FMS ID]],#REF!,#REF!)</f>
        <v>#REF!</v>
      </c>
      <c r="BV734" s="200">
        <f>FMS_Ranking4[[#This Row],[Region Number]]</f>
        <v>3</v>
      </c>
      <c r="BW734" s="200">
        <f>FMS_Ranking4[[#This Row],[Rank (with ArcSinh normalization of select criteria)]]-FMS_Ranking4[[#This Row],[Rank
(with linear
normalization)]]</f>
        <v>259</v>
      </c>
      <c r="BX734" s="200" t="e">
        <f>FMS_Ranking4[[#This Row],[Log Rank]]-FMS_Ranking4[[#This Row],[Rank
(with linear
normalization)]]</f>
        <v>#REF!</v>
      </c>
      <c r="BY734" s="200" t="str">
        <f>IF(FMS_Ranking4[[#This Row],[FMS Type]]="Flood Measurement and Warning",FMS_Ranking4[[#This Row],[Rank (with ArcSinh normalization of select criteria)]],"")</f>
        <v/>
      </c>
      <c r="BZ734" s="200">
        <f>IF(FMS_Ranking4[[#This Row],[FMS Type]]="Regulatory and Guidance",FMS_Ranking4[[#This Row],[Rank (with ArcSinh normalization of select criteria)]],"")</f>
        <v>727</v>
      </c>
      <c r="CA734" s="200" t="str">
        <f>IF(FMS_Ranking4[[#This Row],[FMS Type]]="Education and Outreach",FMS_Ranking4[[#This Row],[Rank (with ArcSinh normalization of select criteria)]],"")</f>
        <v/>
      </c>
      <c r="CB734" s="200" t="str">
        <f>IF(FMS_Ranking4[[#This Row],[FMS Type]]="Property Acquisition and Structural Elevation",FMS_Ranking4[[#This Row],[Rank (with ArcSinh normalization of select criteria)]],"")</f>
        <v/>
      </c>
      <c r="CC734" s="200" t="str">
        <f>IF(FMS_Ranking4[[#This Row],[FMS Type]]="Infrastructure Projects",FMS_Ranking4[[#This Row],[Rank (with ArcSinh normalization of select criteria)]],"")</f>
        <v/>
      </c>
      <c r="CD734" s="200" t="str">
        <f>IF(FMS_Ranking4[[#This Row],[FMS Type]]="Other",FMS_Ranking4[[#This Row],[Rank (with ArcSinh normalization of select criteria)]],"")</f>
        <v/>
      </c>
      <c r="CE734" s="201"/>
      <c r="CF734" s="206"/>
      <c r="CG734" s="206"/>
      <c r="CH734" s="206"/>
      <c r="CI734" s="206"/>
      <c r="CJ734" s="206"/>
      <c r="CK734" s="206"/>
      <c r="CL734" s="206"/>
      <c r="CM734" s="206"/>
      <c r="CN734" s="206"/>
      <c r="CO734" s="206"/>
      <c r="CP734" s="206"/>
      <c r="CQ734" s="206"/>
      <c r="CR734" s="206"/>
    </row>
    <row r="735" spans="2:96" ht="30" x14ac:dyDescent="0.25">
      <c r="B735" s="341" t="s">
        <v>1128</v>
      </c>
      <c r="C735" s="246">
        <f>_xlfn.XLOOKUP(FMS_Ranking4[[#This Row],[FMS ID]],FMS_Input[FMS_ID],FMS_Input[RFPG_NUM])</f>
        <v>1</v>
      </c>
      <c r="D735" s="309" t="str">
        <f>_xlfn.XLOOKUP(FMS_Ranking4[[#This Row],[FMS ID]],FMS_Input[FMS_ID],FMS_Input[FMS_NAME])</f>
        <v>Hedley NFIP Involvement</v>
      </c>
      <c r="E735" s="308" t="str">
        <f>_xlfn.XLOOKUP(FMS_Ranking4[[#This Row],[FMS ID]],FMS_Input[FMS_ID],FMS_Input[SPONSOR])</f>
        <v>01002569</v>
      </c>
      <c r="F735" s="309" t="str">
        <f>_xlfn.XLOOKUP(FMS_Ranking4[[#This Row],[FMS ID]],Sponsor[FMS_ID],Sponsor[SPONSOR NAME])</f>
        <v>Hedley</v>
      </c>
      <c r="G735" s="309" t="str">
        <f>_xlfn.XLOOKUP(FMS_Ranking4[[#This Row],[FMS ID]],FMS_Input[FMS_ID],FMS_Input[FMS_DESCR])</f>
        <v>Application to join NFIP or adopt equivalent standards</v>
      </c>
      <c r="H735" s="248" t="str">
        <f>_xlfn.XLOOKUP(FMS_Ranking4[[#This Row],[FMS ID]],FMS_Input[FMS_ID],FMS_Input[FMS_TYPE])</f>
        <v>Regulatory and Guidance</v>
      </c>
      <c r="I735" s="249">
        <f>_xlfn.XLOOKUP(FMS_Ranking4[[#This Row],[FMS ID]],FMS_Input[FMS_ID],FMS_Input[NRNC_COST])</f>
        <v>100000</v>
      </c>
      <c r="J735" s="250">
        <f>_xlfn.XLOOKUP(FMS_Ranking4[[#This Row],[FMS ID]],FMS_Input[FMS_ID],FMS_Input[FMS_COST])</f>
        <v>100000</v>
      </c>
      <c r="K735" s="251" t="str">
        <f>_xlfn.XLOOKUP(FMS_Ranking4[[#This Row],[FMS ID]],FMS_Input[FMS_ID],FMS_Input[EMER_NEED])</f>
        <v>No</v>
      </c>
      <c r="L735" s="252">
        <f t="shared" si="11"/>
        <v>0</v>
      </c>
      <c r="M735" s="253">
        <f>_xlfn.XLOOKUP(FMS_Ranking4[[#This Row],[FMS ID]],FMS_Input[FMS_ID],FMS_Input[STRUCT_100])</f>
        <v>2</v>
      </c>
      <c r="N735" s="255">
        <f>(ASINH(FMS_Ranking4[[#This Row],[Structure at Risk Raw]]))*(10)/(ASINH(M$4))</f>
        <v>1.134912431502926</v>
      </c>
      <c r="O735" s="256">
        <f>FMS_Ranking4[[#This Row],[Structures at risk, ArcSinh (0-10)]]*M$5*10</f>
        <v>1.134912431502926</v>
      </c>
      <c r="P735" s="253">
        <f>_xlfn.XLOOKUP(FMS_Ranking4[[#This Row],[FMS ID]],FMS_Input[FMS_ID],FMS_Input[RES_STRUCT100])</f>
        <v>0</v>
      </c>
      <c r="Q735" s="257">
        <f>ASINH(FMS_Ranking4[[#This Row],[Res Structure Raw]])/Q$4*P$5*100</f>
        <v>0</v>
      </c>
      <c r="R735" s="253">
        <f>_xlfn.XLOOKUP(FMS_Ranking4[[#This Row],[FMS ID]],FMS_Input[FMS_ID],FMS_Input[POP100])</f>
        <v>137</v>
      </c>
      <c r="S735" s="259">
        <f>(ASINH(FMS_Ranking4[[#This Row],[Pop at Risk Raw]]))*(10)/(ASINH(R$4))</f>
        <v>3.8750783118202299</v>
      </c>
      <c r="T735" s="256">
        <f>FMS_Ranking4[[#This Row],[Population at risk, ArcSinh (0-10)]]*R$5*10</f>
        <v>3.8750783118202303</v>
      </c>
      <c r="U735" s="253">
        <f>_xlfn.XLOOKUP(FMS_Ranking4[[#This Row],[FMS ID]],FMS_Input[FMS_ID],FMS_Input[CRITFAC100])</f>
        <v>0</v>
      </c>
      <c r="V735" s="259">
        <f>(ASINH(FMS_Ranking4[[#This Row],[Critical Facilities Raw]]))*(10)/(ASINH(U$4))</f>
        <v>0</v>
      </c>
      <c r="W735" s="256">
        <f>FMS_Ranking4[[#This Row],[Critical facilities at risk, ArcSinh (0-10)]]*U$5*10</f>
        <v>0</v>
      </c>
      <c r="X735" s="253">
        <f>_xlfn.XLOOKUP(FMS_Ranking4[[#This Row],[FMS ID]],FMS_Input[FMS_ID],FMS_Input[LWC])</f>
        <v>0</v>
      </c>
      <c r="Y735" s="259">
        <f>(ASINH(FMS_Ranking4[[#This Row],[LWC Raw]]))*(10)/(ASINH(X$4))</f>
        <v>0</v>
      </c>
      <c r="Z735" s="256">
        <f>FMS_Ranking4[[#This Row],[LWC, ArcSInh (0-10)]]*X$5*10</f>
        <v>0</v>
      </c>
      <c r="AA735" s="253">
        <f>_xlfn.XLOOKUP(FMS_Ranking4[[#This Row],[FMS ID]],FMS_Input[FMS_ID],FMS_Input[ROADCLS])</f>
        <v>0</v>
      </c>
      <c r="AB735" s="255">
        <f>(ASINH(FMS_Ranking4[[#This Row],[Road Closures Raw]]))*(10)/(ASINH(AA$4))</f>
        <v>0</v>
      </c>
      <c r="AC735" s="256">
        <f>FMS_Ranking4[[#This Row],[Road closures, ArcSinh (0-10)]]*AA$5*10</f>
        <v>0</v>
      </c>
      <c r="AD735" s="253">
        <f>_xlfn.XLOOKUP(FMS_Ranking4[[#This Row],[FMS ID]],FMS_Input[FMS_ID],FMS_Input[ROAD_MILES100])</f>
        <v>0</v>
      </c>
      <c r="AE735" s="259">
        <f>(ASINH(FMS_Ranking4[[#This Row],[Road Miles Raw]]))*(10)/(ASINH(AD$4))</f>
        <v>0</v>
      </c>
      <c r="AF735" s="256">
        <f>FMS_Ranking4[[#This Row],[Length of roads at risk, ArcSinh (0-10)]]*AD$5*10</f>
        <v>0</v>
      </c>
      <c r="AG735" s="253">
        <f>_xlfn.XLOOKUP(FMS_Ranking4[[#This Row],[FMS ID]],FMS_Input[FMS_ID],FMS_Input[FARMACRE100])</f>
        <v>2.439860582351685</v>
      </c>
      <c r="AH735" s="255">
        <f>(ASINH(FMS_Ranking4[[#This Row],[Ag Land Raw]]))*(10)/(ASINH(AG$4))</f>
        <v>1.0553499085472495</v>
      </c>
      <c r="AI735" s="260">
        <f>FMS_Ranking4[[#This Row],[Farm &amp; ranch land, ArcSinh (0-10)]]*AG$5*10</f>
        <v>0.52767495427362476</v>
      </c>
      <c r="AJ735" s="258">
        <f>_xlfn.XLOOKUP(FMS_Ranking4[[#This Row],[FMS ID]],FMS_Input[FMS_ID],FMS_Input[REDSTRUCT100])</f>
        <v>0</v>
      </c>
      <c r="AK735" s="253">
        <f>_xlfn.XLOOKUP(FMS_Ranking4[[#This Row],[FMS ID]],FMS_Input[FMS_ID],FMS_Input[REMSTRC100])</f>
        <v>0</v>
      </c>
      <c r="AL735" s="259">
        <f>(ASINH(FMS_Ranking4[[#This Row],[Structures Removed Raw]]))*(10)/(ASINH(AK$4))</f>
        <v>0</v>
      </c>
      <c r="AM735" s="262">
        <f>FMS_Ranking4[[#This Row],[Structures removed, ArcSinh (0-10)]]*AK$5*10</f>
        <v>0</v>
      </c>
      <c r="AN735" s="253">
        <f>_xlfn.XLOOKUP(FMS_Ranking4[[#This Row],[FMS ID]],FMS_Input[FMS_ID],FMS_Input[REMRESSTRC100])</f>
        <v>0</v>
      </c>
      <c r="AO735" s="261">
        <f>FMS_Ranking4[[#This Row],[ArcSinh Res struct removed 0-10]]*AN$5*10</f>
        <v>0</v>
      </c>
      <c r="AP735" s="260">
        <f>ASINH(FMS_Ranking4[[#This Row],[Residential Structures Removed Raw]])/AP$4*AN$5*100</f>
        <v>0</v>
      </c>
      <c r="AQ735" s="254">
        <f>(ASINH(FMS_Ranking4[[#This Row],[Residential Structures Removed Raw]]))*(10)/(ASINH(AN$4))</f>
        <v>0</v>
      </c>
      <c r="AR735" s="253">
        <f>_xlfn.XLOOKUP(FMS_Ranking4[[#This Row],[FMS ID]],FMS_Input[FMS_ID],FMS_Input[REMPOP100])</f>
        <v>0</v>
      </c>
      <c r="AS735" s="259">
        <f>(ASINH(FMS_Ranking4[[#This Row],[Removed Pop Raw]]))*(10)/(ASINH(AR$4))</f>
        <v>0</v>
      </c>
      <c r="AT735" s="262">
        <f>FMS_Ranking4[[#This Row],[Removed population, ArcSinh (0-10)]]*AR$5*10</f>
        <v>0</v>
      </c>
      <c r="AU735" s="264">
        <f>_xlfn.XLOOKUP(FMS_Ranking4[[#This Row],[FMS ID]],FMS_Input[FMS_ID],FMS_Input[REMCRITFAC100])</f>
        <v>0</v>
      </c>
      <c r="AV735" s="264">
        <f>_xlfn.XLOOKUP(FMS_Ranking4[[#This Row],[FMS ID]],FMS_Input[FMS_ID],FMS_Input[REMLWC100])</f>
        <v>0</v>
      </c>
      <c r="AW735" s="264">
        <f>_xlfn.XLOOKUP(FMS_Ranking4[[#This Row],[FMS ID]],FMS_Input[FMS_ID],FMS_Input[REMROADCLS])</f>
        <v>0</v>
      </c>
      <c r="AX735" s="264">
        <f>_xlfn.XLOOKUP(FMS_Ranking4[[#This Row],[FMS ID]],FMS_Input[FMS_ID],FMS_Input[REMFRMACRE100])</f>
        <v>0</v>
      </c>
      <c r="AY735" s="258">
        <f>_xlfn.XLOOKUP(FMS_Ranking4[[#This Row],[FMS ID]],FMS_Input[FMS_ID],FMS_Input[COSTSTRUCT])</f>
        <v>0</v>
      </c>
      <c r="AZ735" s="253">
        <f>_xlfn.XLOOKUP(FMS_Ranking4[[#This Row],[FMS ID]],FMS_Input[FMS_ID],FMS_Input[NATURE])</f>
        <v>0</v>
      </c>
      <c r="BA735" s="262">
        <f>(((FMS_Ranking4[[#This Row],[% NBS Raw]]/AZ$4)*100)*AZ$5)</f>
        <v>0</v>
      </c>
      <c r="BB735" s="251" t="str">
        <f>_xlfn.XLOOKUP(FMS_Ranking4[[#This Row],[FMS ID]],FMS_Input[FMS_ID],FMS_Input[WATER_SUP])</f>
        <v>No</v>
      </c>
      <c r="BC735" s="265">
        <f>IF(FMS_Ranking4[[#This Row],[Water Supply Raw]]="Yes",10,0)</f>
        <v>0</v>
      </c>
      <c r="BD735" s="266">
        <f>_xlfn.XLOOKUP(FMS_Ranking4[[#This Row],[FMS Type]],FMS_TYPE[FMS_Type],FMS_TYPE[Score])</f>
        <v>8</v>
      </c>
      <c r="BE735" s="267">
        <f>FMS_Ranking4[[#This Row],[FMS_Type Score]]*$BD$5*10</f>
        <v>2</v>
      </c>
      <c r="BF73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1.5271004889215096E-3</v>
      </c>
      <c r="BG735" s="271">
        <f>_xlfn.RANK.EQ(BF735,$BF$8:$BF$870,0)+COUNTIF($BF$8:BF735,BF735)-1</f>
        <v>739</v>
      </c>
      <c r="BH735" s="268">
        <f>(((FMS_Ranking4[[#This Row],[Structures Removed Raw]]/AK$4)*100)*AK$5)+(((FMS_Ranking4[[#This Row],[Removed Pop Raw]]/AR$4)*100)*AR$5)</f>
        <v>0</v>
      </c>
      <c r="BI73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2.0015271004889215</v>
      </c>
      <c r="BJ735" s="205">
        <f>_xlfn.RANK.EQ(FMS_Ranking4[[#This Row],[Total Score 
(with linear
normalization)]],FMS_Ranking4[Total Score 
(with linear
normalization)],0)</f>
        <v>459</v>
      </c>
      <c r="BK735" s="205" t="e">
        <f>_xlfn.XLOOKUP(FMS_Ranking4[[#This Row],[FMS ID]],#REF!,#REF!)</f>
        <v>#REF!</v>
      </c>
      <c r="BL73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5.5376656975967808</v>
      </c>
      <c r="BM735" s="272">
        <f>FMS_Ranking4[[#This Row],[ArcSinh Score Based on Normalized Reported Factors]]+FMS_Ranking4[[#This Row],[% NBS Score (Normalized)]]+(FMS_Ranking4[[#This Row],[Water Supply Score (Normalized)]]*10*$BB$5)+FMS_Ranking4[[#This Row],[FMS_Type Score Weighted]]</f>
        <v>7.5376656975967808</v>
      </c>
      <c r="BN735" s="205">
        <f>_xlfn.RANK.EQ(FMS_Ranking4[[#This Row],[Total Score (with ArcSinh normalization of select criteria)]],FMS_Ranking4[Total Score (with ArcSinh normalization of select criteria)],0)</f>
        <v>728</v>
      </c>
      <c r="BO735" s="270" t="str">
        <f>_xlfn.XLOOKUP(FMS_Ranking4[[#This Row],[FMS ID]],FMS_Input[FMS_ID],FMS_Input[FMS_RANK_YEAR])</f>
        <v>2023 Amended Plan</v>
      </c>
      <c r="BP735" s="204">
        <f>_xlfn.XLOOKUP(FMS_Ranking4[[#This Row],[FMS ID]],Prev_Rank[FMS ID],Prev_Rank[Prev Rank])</f>
        <v>657</v>
      </c>
      <c r="BQ735" s="205" t="e">
        <f>_xlfn.XLOOKUP(FMS_Ranking4[[#This Row],[FMS ID]],#REF!,#REF!)</f>
        <v>#REF!</v>
      </c>
      <c r="BR735" s="199" t="e">
        <f>SUM(#REF!,#REF!,#REF!,#REF!,#REF!,#REF!,#REF!,#REF!,#REF!,FMS_Ranking4[[#This Row],[ArcSinh Res struct removed 0-10]],#REF!)</f>
        <v>#REF!</v>
      </c>
      <c r="BS735" s="199" t="e">
        <f>FMS_Ranking4[[#This Row],[Log Score Based on Normalized Reported Factors]]+FMS_Ranking4[[#This Row],[% NBS Score (Normalized)]]+(FMS_Ranking4[[#This Row],[Water Supply Score (Normalized)]]*10*$BB$5)+(FMS_Ranking4[[#This Row],[FMS_Type Score Weighted]])</f>
        <v>#REF!</v>
      </c>
      <c r="BT735" s="200" t="e">
        <f>_xlfn.RANK.EQ(FMS_Ranking4[[#This Row],[Log Total Score]],FMS_Ranking4[Log Total Score],0)</f>
        <v>#REF!</v>
      </c>
      <c r="BU735" s="200" t="e">
        <f>_xlfn.XLOOKUP(FMS_Ranking4[[#This Row],[FMS ID]],#REF!,#REF!)</f>
        <v>#REF!</v>
      </c>
      <c r="BV735" s="200">
        <f>FMS_Ranking4[[#This Row],[Region Number]]</f>
        <v>1</v>
      </c>
      <c r="BW735" s="200">
        <f>FMS_Ranking4[[#This Row],[Rank (with ArcSinh normalization of select criteria)]]-FMS_Ranking4[[#This Row],[Rank
(with linear
normalization)]]</f>
        <v>269</v>
      </c>
      <c r="BX735" s="200" t="e">
        <f>FMS_Ranking4[[#This Row],[Log Rank]]-FMS_Ranking4[[#This Row],[Rank
(with linear
normalization)]]</f>
        <v>#REF!</v>
      </c>
      <c r="BY735" s="200" t="str">
        <f>IF(FMS_Ranking4[[#This Row],[FMS Type]]="Flood Measurement and Warning",FMS_Ranking4[[#This Row],[Rank (with ArcSinh normalization of select criteria)]],"")</f>
        <v/>
      </c>
      <c r="BZ735" s="200">
        <f>IF(FMS_Ranking4[[#This Row],[FMS Type]]="Regulatory and Guidance",FMS_Ranking4[[#This Row],[Rank (with ArcSinh normalization of select criteria)]],"")</f>
        <v>728</v>
      </c>
      <c r="CA735" s="200" t="str">
        <f>IF(FMS_Ranking4[[#This Row],[FMS Type]]="Education and Outreach",FMS_Ranking4[[#This Row],[Rank (with ArcSinh normalization of select criteria)]],"")</f>
        <v/>
      </c>
      <c r="CB735" s="200" t="str">
        <f>IF(FMS_Ranking4[[#This Row],[FMS Type]]="Property Acquisition and Structural Elevation",FMS_Ranking4[[#This Row],[Rank (with ArcSinh normalization of select criteria)]],"")</f>
        <v/>
      </c>
      <c r="CC735" s="200" t="str">
        <f>IF(FMS_Ranking4[[#This Row],[FMS Type]]="Infrastructure Projects",FMS_Ranking4[[#This Row],[Rank (with ArcSinh normalization of select criteria)]],"")</f>
        <v/>
      </c>
      <c r="CD735" s="200" t="str">
        <f>IF(FMS_Ranking4[[#This Row],[FMS Type]]="Other",FMS_Ranking4[[#This Row],[Rank (with ArcSinh normalization of select criteria)]],"")</f>
        <v/>
      </c>
      <c r="CE735" s="201"/>
      <c r="CF735" s="206"/>
      <c r="CG735" s="206"/>
      <c r="CH735" s="206"/>
      <c r="CI735" s="206"/>
      <c r="CJ735" s="206"/>
      <c r="CK735" s="206"/>
      <c r="CL735" s="206"/>
      <c r="CM735" s="206"/>
      <c r="CN735" s="206"/>
      <c r="CO735" s="206"/>
      <c r="CP735" s="206"/>
      <c r="CQ735" s="206"/>
      <c r="CR735" s="206"/>
    </row>
    <row r="736" spans="2:96" ht="60" x14ac:dyDescent="0.25">
      <c r="B736" s="341" t="s">
        <v>688</v>
      </c>
      <c r="C736" s="246">
        <f>_xlfn.XLOOKUP(FMS_Ranking4[[#This Row],[FMS ID]],FMS_Input[FMS_ID],FMS_Input[RFPG_NUM])</f>
        <v>9</v>
      </c>
      <c r="D736" s="309" t="str">
        <f>_xlfn.XLOOKUP(FMS_Ranking4[[#This Row],[FMS ID]],FMS_Input[FMS_ID],FMS_Input[FMS_NAME])</f>
        <v xml:space="preserve">City of Blackwell </v>
      </c>
      <c r="E736" s="308" t="str">
        <f>_xlfn.XLOOKUP(FMS_Ranking4[[#This Row],[FMS ID]],FMS_Input[FMS_ID],FMS_Input[SPONSOR])</f>
        <v>09000147</v>
      </c>
      <c r="F736" s="309" t="str">
        <f>_xlfn.XLOOKUP(FMS_Ranking4[[#This Row],[FMS ID]],Sponsor[FMS_ID],Sponsor[SPONSOR NAME])</f>
        <v>Coke</v>
      </c>
      <c r="G736" s="309" t="str">
        <f>_xlfn.XLOOKUP(FMS_Ranking4[[#This Row],[FMS ID]],FMS_Input[FMS_ID],FMS_Input[FMS_DESCR])</f>
        <v xml:space="preserve">Establish, adopt and implement a “green infrastructure” program for parks, nature preserves, greenbelts, etc. </v>
      </c>
      <c r="H736" s="248" t="str">
        <f>_xlfn.XLOOKUP(FMS_Ranking4[[#This Row],[FMS ID]],FMS_Input[FMS_ID],FMS_Input[FMS_TYPE])</f>
        <v>Other</v>
      </c>
      <c r="I736" s="249">
        <f>_xlfn.XLOOKUP(FMS_Ranking4[[#This Row],[FMS ID]],FMS_Input[FMS_ID],FMS_Input[NRNC_COST])</f>
        <v>5000</v>
      </c>
      <c r="J736" s="250">
        <f>_xlfn.XLOOKUP(FMS_Ranking4[[#This Row],[FMS ID]],FMS_Input[FMS_ID],FMS_Input[FMS_COST])</f>
        <v>30000</v>
      </c>
      <c r="K736" s="251" t="str">
        <f>_xlfn.XLOOKUP(FMS_Ranking4[[#This Row],[FMS ID]],FMS_Input[FMS_ID],FMS_Input[EMER_NEED])</f>
        <v>No</v>
      </c>
      <c r="L736" s="252">
        <f t="shared" si="11"/>
        <v>0</v>
      </c>
      <c r="M736" s="253">
        <f>_xlfn.XLOOKUP(FMS_Ranking4[[#This Row],[FMS ID]],FMS_Input[FMS_ID],FMS_Input[STRUCT_100])</f>
        <v>2</v>
      </c>
      <c r="N736" s="255">
        <f>(ASINH(FMS_Ranking4[[#This Row],[Structure at Risk Raw]]))*(10)/(ASINH(M$4))</f>
        <v>1.134912431502926</v>
      </c>
      <c r="O736" s="256">
        <f>FMS_Ranking4[[#This Row],[Structures at risk, ArcSinh (0-10)]]*M$5*10</f>
        <v>1.134912431502926</v>
      </c>
      <c r="P736" s="253">
        <f>_xlfn.XLOOKUP(FMS_Ranking4[[#This Row],[FMS ID]],FMS_Input[FMS_ID],FMS_Input[RES_STRUCT100])</f>
        <v>3</v>
      </c>
      <c r="Q736" s="257">
        <f>ASINH(FMS_Ranking4[[#This Row],[Res Structure Raw]])/Q$4*P$5*100</f>
        <v>0</v>
      </c>
      <c r="R736" s="253">
        <f>_xlfn.XLOOKUP(FMS_Ranking4[[#This Row],[FMS ID]],FMS_Input[FMS_ID],FMS_Input[POP100])</f>
        <v>14</v>
      </c>
      <c r="S736" s="259">
        <f>(ASINH(FMS_Ranking4[[#This Row],[Pop at Risk Raw]]))*(10)/(ASINH(R$4))</f>
        <v>2.3012936463949329</v>
      </c>
      <c r="T736" s="256">
        <f>FMS_Ranking4[[#This Row],[Population at risk, ArcSinh (0-10)]]*R$5*10</f>
        <v>2.3012936463949329</v>
      </c>
      <c r="U736" s="253">
        <f>_xlfn.XLOOKUP(FMS_Ranking4[[#This Row],[FMS ID]],FMS_Input[FMS_ID],FMS_Input[CRITFAC100])</f>
        <v>0</v>
      </c>
      <c r="V736" s="259">
        <f>(ASINH(FMS_Ranking4[[#This Row],[Critical Facilities Raw]]))*(10)/(ASINH(U$4))</f>
        <v>0</v>
      </c>
      <c r="W736" s="256">
        <f>FMS_Ranking4[[#This Row],[Critical facilities at risk, ArcSinh (0-10)]]*U$5*10</f>
        <v>0</v>
      </c>
      <c r="X736" s="253">
        <f>_xlfn.XLOOKUP(FMS_Ranking4[[#This Row],[FMS ID]],FMS_Input[FMS_ID],FMS_Input[LWC])</f>
        <v>0</v>
      </c>
      <c r="Y736" s="259">
        <f>(ASINH(FMS_Ranking4[[#This Row],[LWC Raw]]))*(10)/(ASINH(X$4))</f>
        <v>0</v>
      </c>
      <c r="Z736" s="256">
        <f>FMS_Ranking4[[#This Row],[LWC, ArcSInh (0-10)]]*X$5*10</f>
        <v>0</v>
      </c>
      <c r="AA736" s="253">
        <f>_xlfn.XLOOKUP(FMS_Ranking4[[#This Row],[FMS ID]],FMS_Input[FMS_ID],FMS_Input[ROADCLS])</f>
        <v>0</v>
      </c>
      <c r="AB736" s="255">
        <f>(ASINH(FMS_Ranking4[[#This Row],[Road Closures Raw]]))*(10)/(ASINH(AA$4))</f>
        <v>0</v>
      </c>
      <c r="AC736" s="256">
        <f>FMS_Ranking4[[#This Row],[Road closures, ArcSinh (0-10)]]*AA$5*10</f>
        <v>0</v>
      </c>
      <c r="AD736" s="253">
        <f>_xlfn.XLOOKUP(FMS_Ranking4[[#This Row],[FMS ID]],FMS_Input[FMS_ID],FMS_Input[ROAD_MILES100])</f>
        <v>0</v>
      </c>
      <c r="AE736" s="259">
        <f>(ASINH(FMS_Ranking4[[#This Row],[Road Miles Raw]]))*(10)/(ASINH(AD$4))</f>
        <v>0</v>
      </c>
      <c r="AF736" s="256">
        <f>FMS_Ranking4[[#This Row],[Length of roads at risk, ArcSinh (0-10)]]*AD$5*10</f>
        <v>0</v>
      </c>
      <c r="AG736" s="253">
        <f>_xlfn.XLOOKUP(FMS_Ranking4[[#This Row],[FMS ID]],FMS_Input[FMS_ID],FMS_Input[FARMACRE100])</f>
        <v>0</v>
      </c>
      <c r="AH736" s="255">
        <f>(ASINH(FMS_Ranking4[[#This Row],[Ag Land Raw]]))*(10)/(ASINH(AG$4))</f>
        <v>0</v>
      </c>
      <c r="AI736" s="260">
        <f>FMS_Ranking4[[#This Row],[Farm &amp; ranch land, ArcSinh (0-10)]]*AG$5*10</f>
        <v>0</v>
      </c>
      <c r="AJ736" s="258">
        <f>_xlfn.XLOOKUP(FMS_Ranking4[[#This Row],[FMS ID]],FMS_Input[FMS_ID],FMS_Input[REDSTRUCT100])</f>
        <v>1</v>
      </c>
      <c r="AK736" s="253">
        <f>_xlfn.XLOOKUP(FMS_Ranking4[[#This Row],[FMS ID]],FMS_Input[FMS_ID],FMS_Input[REMSTRC100])</f>
        <v>1</v>
      </c>
      <c r="AL736" s="259">
        <f>(ASINH(FMS_Ranking4[[#This Row],[Structures Removed Raw]]))*(10)/(ASINH(AK$4))</f>
        <v>1.0035067418235621</v>
      </c>
      <c r="AM736" s="262">
        <f>FMS_Ranking4[[#This Row],[Structures removed, ArcSinh (0-10)]]*AK$5*10</f>
        <v>1.0035067418235621</v>
      </c>
      <c r="AN736" s="253">
        <f>_xlfn.XLOOKUP(FMS_Ranking4[[#This Row],[FMS ID]],FMS_Input[FMS_ID],FMS_Input[REMRESSTRC100])</f>
        <v>0</v>
      </c>
      <c r="AO736" s="261">
        <f>FMS_Ranking4[[#This Row],[ArcSinh Res struct removed 0-10]]*AN$5*10</f>
        <v>0</v>
      </c>
      <c r="AP736" s="260">
        <f>ASINH(FMS_Ranking4[[#This Row],[Residential Structures Removed Raw]])/AP$4*AN$5*100</f>
        <v>0</v>
      </c>
      <c r="AQ736" s="254">
        <f>(ASINH(FMS_Ranking4[[#This Row],[Residential Structures Removed Raw]]))*(10)/(ASINH(AN$4))</f>
        <v>0</v>
      </c>
      <c r="AR736" s="253">
        <f>_xlfn.XLOOKUP(FMS_Ranking4[[#This Row],[FMS ID]],FMS_Input[FMS_ID],FMS_Input[REMPOP100])</f>
        <v>3</v>
      </c>
      <c r="AS736" s="259">
        <f>(ASINH(FMS_Ranking4[[#This Row],[Removed Pop Raw]]))*(10)/(ASINH(AR$4))</f>
        <v>1.7850242185191216</v>
      </c>
      <c r="AT736" s="262">
        <f>FMS_Ranking4[[#This Row],[Removed population, ArcSinh (0-10)]]*AR$5*10</f>
        <v>1.7850242185191219</v>
      </c>
      <c r="AU736" s="264">
        <f>_xlfn.XLOOKUP(FMS_Ranking4[[#This Row],[FMS ID]],FMS_Input[FMS_ID],FMS_Input[REMCRITFAC100])</f>
        <v>0</v>
      </c>
      <c r="AV736" s="264">
        <f>_xlfn.XLOOKUP(FMS_Ranking4[[#This Row],[FMS ID]],FMS_Input[FMS_ID],FMS_Input[REMLWC100])</f>
        <v>0</v>
      </c>
      <c r="AW736" s="264">
        <f>_xlfn.XLOOKUP(FMS_Ranking4[[#This Row],[FMS ID]],FMS_Input[FMS_ID],FMS_Input[REMROADCLS])</f>
        <v>0</v>
      </c>
      <c r="AX736" s="264">
        <f>_xlfn.XLOOKUP(FMS_Ranking4[[#This Row],[FMS ID]],FMS_Input[FMS_ID],FMS_Input[REMFRMACRE100])</f>
        <v>0</v>
      </c>
      <c r="AY736" s="258">
        <f>_xlfn.XLOOKUP(FMS_Ranking4[[#This Row],[FMS ID]],FMS_Input[FMS_ID],FMS_Input[COSTSTRUCT])</f>
        <v>25000</v>
      </c>
      <c r="AZ736" s="253">
        <f>_xlfn.XLOOKUP(FMS_Ranking4[[#This Row],[FMS ID]],FMS_Input[FMS_ID],FMS_Input[NATURE])</f>
        <v>10</v>
      </c>
      <c r="BA736" s="262">
        <f>(((FMS_Ranking4[[#This Row],[% NBS Raw]]/AZ$4)*100)*AZ$5)</f>
        <v>0.75</v>
      </c>
      <c r="BB736" s="251" t="str">
        <f>_xlfn.XLOOKUP(FMS_Ranking4[[#This Row],[FMS ID]],FMS_Input[FMS_ID],FMS_Input[WATER_SUP])</f>
        <v>No</v>
      </c>
      <c r="BC736" s="265">
        <f>IF(FMS_Ranking4[[#This Row],[Water Supply Raw]]="Yes",10,0)</f>
        <v>0</v>
      </c>
      <c r="BD736" s="266">
        <f>_xlfn.XLOOKUP(FMS_Ranking4[[#This Row],[FMS Type]],FMS_TYPE[FMS_Type],FMS_TYPE[Score])</f>
        <v>2</v>
      </c>
      <c r="BE736" s="267">
        <f>FMS_Ranking4[[#This Row],[FMS_Type Score]]*$BD$5*10</f>
        <v>0.5</v>
      </c>
      <c r="BF73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2.6291815807466144E-4</v>
      </c>
      <c r="BG736" s="271">
        <f>_xlfn.RANK.EQ(BF736,$BF$8:$BF$870,0)+COUNTIF($BF$8:BF736,BF736)-1</f>
        <v>768</v>
      </c>
      <c r="BH736" s="268">
        <f>(((FMS_Ranking4[[#This Row],[Structures Removed Raw]]/AK$4)*100)*AK$5)+(((FMS_Ranking4[[#This Row],[Removed Pop Raw]]/AR$4)*100)*AR$5)</f>
        <v>5.3254100541497507E-3</v>
      </c>
      <c r="BI73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1.2555883282122244</v>
      </c>
      <c r="BJ736" s="205">
        <f>_xlfn.RANK.EQ(FMS_Ranking4[[#This Row],[Total Score 
(with linear
normalization)]],FMS_Ranking4[Total Score 
(with linear
normalization)],0)</f>
        <v>639</v>
      </c>
      <c r="BK736" s="205" t="e">
        <f>_xlfn.XLOOKUP(FMS_Ranking4[[#This Row],[FMS ID]],#REF!,#REF!)</f>
        <v>#REF!</v>
      </c>
      <c r="BL73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6.2247370382405434</v>
      </c>
      <c r="BM736" s="272">
        <f>FMS_Ranking4[[#This Row],[ArcSinh Score Based on Normalized Reported Factors]]+FMS_Ranking4[[#This Row],[% NBS Score (Normalized)]]+(FMS_Ranking4[[#This Row],[Water Supply Score (Normalized)]]*10*$BB$5)+FMS_Ranking4[[#This Row],[FMS_Type Score Weighted]]</f>
        <v>7.4747370382405434</v>
      </c>
      <c r="BN736" s="205">
        <f>_xlfn.RANK.EQ(FMS_Ranking4[[#This Row],[Total Score (with ArcSinh normalization of select criteria)]],FMS_Ranking4[Total Score (with ArcSinh normalization of select criteria)],0)</f>
        <v>729</v>
      </c>
      <c r="BO736" s="270" t="str">
        <f>_xlfn.XLOOKUP(FMS_Ranking4[[#This Row],[FMS ID]],FMS_Input[FMS_ID],FMS_Input[FMS_RANK_YEAR])</f>
        <v>2023 Amended Plan</v>
      </c>
      <c r="BP736" s="204">
        <f>_xlfn.XLOOKUP(FMS_Ranking4[[#This Row],[FMS ID]],Prev_Rank[FMS ID],Prev_Rank[Prev Rank])</f>
        <v>664</v>
      </c>
      <c r="BQ736" s="205" t="e">
        <f>_xlfn.XLOOKUP(FMS_Ranking4[[#This Row],[FMS ID]],#REF!,#REF!)</f>
        <v>#REF!</v>
      </c>
      <c r="BR736" s="199" t="e">
        <f>SUM(#REF!,#REF!,#REF!,#REF!,#REF!,#REF!,#REF!,#REF!,#REF!,FMS_Ranking4[[#This Row],[ArcSinh Res struct removed 0-10]],#REF!)</f>
        <v>#REF!</v>
      </c>
      <c r="BS736" s="199" t="e">
        <f>FMS_Ranking4[[#This Row],[Log Score Based on Normalized Reported Factors]]+FMS_Ranking4[[#This Row],[% NBS Score (Normalized)]]+(FMS_Ranking4[[#This Row],[Water Supply Score (Normalized)]]*10*$BB$5)+(FMS_Ranking4[[#This Row],[FMS_Type Score Weighted]])</f>
        <v>#REF!</v>
      </c>
      <c r="BT736" s="200" t="e">
        <f>_xlfn.RANK.EQ(FMS_Ranking4[[#This Row],[Log Total Score]],FMS_Ranking4[Log Total Score],0)</f>
        <v>#REF!</v>
      </c>
      <c r="BU736" s="200" t="e">
        <f>_xlfn.XLOOKUP(FMS_Ranking4[[#This Row],[FMS ID]],#REF!,#REF!)</f>
        <v>#REF!</v>
      </c>
      <c r="BV736" s="200">
        <f>FMS_Ranking4[[#This Row],[Region Number]]</f>
        <v>9</v>
      </c>
      <c r="BW736" s="200">
        <f>FMS_Ranking4[[#This Row],[Rank (with ArcSinh normalization of select criteria)]]-FMS_Ranking4[[#This Row],[Rank
(with linear
normalization)]]</f>
        <v>90</v>
      </c>
      <c r="BX736" s="200" t="e">
        <f>FMS_Ranking4[[#This Row],[Log Rank]]-FMS_Ranking4[[#This Row],[Rank
(with linear
normalization)]]</f>
        <v>#REF!</v>
      </c>
      <c r="BY736" s="200" t="str">
        <f>IF(FMS_Ranking4[[#This Row],[FMS Type]]="Flood Measurement and Warning",FMS_Ranking4[[#This Row],[Rank (with ArcSinh normalization of select criteria)]],"")</f>
        <v/>
      </c>
      <c r="BZ736" s="200" t="str">
        <f>IF(FMS_Ranking4[[#This Row],[FMS Type]]="Regulatory and Guidance",FMS_Ranking4[[#This Row],[Rank (with ArcSinh normalization of select criteria)]],"")</f>
        <v/>
      </c>
      <c r="CA736" s="200" t="str">
        <f>IF(FMS_Ranking4[[#This Row],[FMS Type]]="Education and Outreach",FMS_Ranking4[[#This Row],[Rank (with ArcSinh normalization of select criteria)]],"")</f>
        <v/>
      </c>
      <c r="CB736" s="200" t="str">
        <f>IF(FMS_Ranking4[[#This Row],[FMS Type]]="Property Acquisition and Structural Elevation",FMS_Ranking4[[#This Row],[Rank (with ArcSinh normalization of select criteria)]],"")</f>
        <v/>
      </c>
      <c r="CC736" s="200" t="str">
        <f>IF(FMS_Ranking4[[#This Row],[FMS Type]]="Infrastructure Projects",FMS_Ranking4[[#This Row],[Rank (with ArcSinh normalization of select criteria)]],"")</f>
        <v/>
      </c>
      <c r="CD736" s="200">
        <f>IF(FMS_Ranking4[[#This Row],[FMS Type]]="Other",FMS_Ranking4[[#This Row],[Rank (with ArcSinh normalization of select criteria)]],"")</f>
        <v>729</v>
      </c>
      <c r="CE736" s="201"/>
      <c r="CF736" s="206"/>
      <c r="CG736" s="206"/>
      <c r="CH736" s="206"/>
      <c r="CI736" s="206"/>
      <c r="CJ736" s="206"/>
      <c r="CK736" s="206"/>
      <c r="CL736" s="206"/>
      <c r="CM736" s="206"/>
      <c r="CN736" s="206"/>
      <c r="CO736" s="206"/>
      <c r="CP736" s="206"/>
      <c r="CQ736" s="206"/>
      <c r="CR736" s="206"/>
    </row>
    <row r="737" spans="2:96" ht="30" x14ac:dyDescent="0.25">
      <c r="B737" s="341" t="s">
        <v>1155</v>
      </c>
      <c r="C737" s="246">
        <f>_xlfn.XLOOKUP(FMS_Ranking4[[#This Row],[FMS ID]],FMS_Input[FMS_ID],FMS_Input[RFPG_NUM])</f>
        <v>1</v>
      </c>
      <c r="D737" s="309" t="str">
        <f>_xlfn.XLOOKUP(FMS_Ranking4[[#This Row],[FMS ID]],FMS_Input[FMS_ID],FMS_Input[FMS_NAME])</f>
        <v>Lakeview NFIP Involvement</v>
      </c>
      <c r="E737" s="308" t="str">
        <f>_xlfn.XLOOKUP(FMS_Ranking4[[#This Row],[FMS ID]],FMS_Input[FMS_ID],FMS_Input[SPONSOR])</f>
        <v>01002383</v>
      </c>
      <c r="F737" s="309" t="str">
        <f>_xlfn.XLOOKUP(FMS_Ranking4[[#This Row],[FMS ID]],Sponsor[FMS_ID],Sponsor[SPONSOR NAME])</f>
        <v>Lakeview</v>
      </c>
      <c r="G737" s="309" t="str">
        <f>_xlfn.XLOOKUP(FMS_Ranking4[[#This Row],[FMS ID]],FMS_Input[FMS_ID],FMS_Input[FMS_DESCR])</f>
        <v>Application to join NFIP or adopt equivalent standards</v>
      </c>
      <c r="H737" s="248" t="str">
        <f>_xlfn.XLOOKUP(FMS_Ranking4[[#This Row],[FMS ID]],FMS_Input[FMS_ID],FMS_Input[FMS_TYPE])</f>
        <v>Regulatory and Guidance</v>
      </c>
      <c r="I737" s="249">
        <f>_xlfn.XLOOKUP(FMS_Ranking4[[#This Row],[FMS ID]],FMS_Input[FMS_ID],FMS_Input[NRNC_COST])</f>
        <v>100000</v>
      </c>
      <c r="J737" s="250">
        <f>_xlfn.XLOOKUP(FMS_Ranking4[[#This Row],[FMS ID]],FMS_Input[FMS_ID],FMS_Input[FMS_COST])</f>
        <v>100000</v>
      </c>
      <c r="K737" s="251" t="str">
        <f>_xlfn.XLOOKUP(FMS_Ranking4[[#This Row],[FMS ID]],FMS_Input[FMS_ID],FMS_Input[EMER_NEED])</f>
        <v>No</v>
      </c>
      <c r="L737" s="252">
        <f t="shared" si="11"/>
        <v>0</v>
      </c>
      <c r="M737" s="253">
        <f>_xlfn.XLOOKUP(FMS_Ranking4[[#This Row],[FMS ID]],FMS_Input[FMS_ID],FMS_Input[STRUCT_100])</f>
        <v>10</v>
      </c>
      <c r="N737" s="255">
        <f>(ASINH(FMS_Ranking4[[#This Row],[Structure at Risk Raw]]))*(10)/(ASINH(M$4))</f>
        <v>2.3570496549962385</v>
      </c>
      <c r="O737" s="256">
        <f>FMS_Ranking4[[#This Row],[Structures at risk, ArcSinh (0-10)]]*M$5*10</f>
        <v>2.3570496549962385</v>
      </c>
      <c r="P737" s="253">
        <f>_xlfn.XLOOKUP(FMS_Ranking4[[#This Row],[FMS ID]],FMS_Input[FMS_ID],FMS_Input[RES_STRUCT100])</f>
        <v>3</v>
      </c>
      <c r="Q737" s="257">
        <f>ASINH(FMS_Ranking4[[#This Row],[Res Structure Raw]])/Q$4*P$5*100</f>
        <v>0</v>
      </c>
      <c r="R737" s="253">
        <f>_xlfn.XLOOKUP(FMS_Ranking4[[#This Row],[FMS ID]],FMS_Input[FMS_ID],FMS_Input[POP100])</f>
        <v>5</v>
      </c>
      <c r="S737" s="259">
        <f>(ASINH(FMS_Ranking4[[#This Row],[Pop at Risk Raw]]))*(10)/(ASINH(R$4))</f>
        <v>1.596410812356909</v>
      </c>
      <c r="T737" s="256">
        <f>FMS_Ranking4[[#This Row],[Population at risk, ArcSinh (0-10)]]*R$5*10</f>
        <v>1.596410812356909</v>
      </c>
      <c r="U737" s="253">
        <f>_xlfn.XLOOKUP(FMS_Ranking4[[#This Row],[FMS ID]],FMS_Input[FMS_ID],FMS_Input[CRITFAC100])</f>
        <v>0</v>
      </c>
      <c r="V737" s="259">
        <f>(ASINH(FMS_Ranking4[[#This Row],[Critical Facilities Raw]]))*(10)/(ASINH(U$4))</f>
        <v>0</v>
      </c>
      <c r="W737" s="256">
        <f>FMS_Ranking4[[#This Row],[Critical facilities at risk, ArcSinh (0-10)]]*U$5*10</f>
        <v>0</v>
      </c>
      <c r="X737" s="253">
        <f>_xlfn.XLOOKUP(FMS_Ranking4[[#This Row],[FMS ID]],FMS_Input[FMS_ID],FMS_Input[LWC])</f>
        <v>0</v>
      </c>
      <c r="Y737" s="259">
        <f>(ASINH(FMS_Ranking4[[#This Row],[LWC Raw]]))*(10)/(ASINH(X$4))</f>
        <v>0</v>
      </c>
      <c r="Z737" s="256">
        <f>FMS_Ranking4[[#This Row],[LWC, ArcSInh (0-10)]]*X$5*10</f>
        <v>0</v>
      </c>
      <c r="AA737" s="253">
        <f>_xlfn.XLOOKUP(FMS_Ranking4[[#This Row],[FMS ID]],FMS_Input[FMS_ID],FMS_Input[ROADCLS])</f>
        <v>0</v>
      </c>
      <c r="AB737" s="255">
        <f>(ASINH(FMS_Ranking4[[#This Row],[Road Closures Raw]]))*(10)/(ASINH(AA$4))</f>
        <v>0</v>
      </c>
      <c r="AC737" s="256">
        <f>FMS_Ranking4[[#This Row],[Road closures, ArcSinh (0-10)]]*AA$5*10</f>
        <v>0</v>
      </c>
      <c r="AD737" s="253">
        <f>_xlfn.XLOOKUP(FMS_Ranking4[[#This Row],[FMS ID]],FMS_Input[FMS_ID],FMS_Input[ROAD_MILES100])</f>
        <v>1</v>
      </c>
      <c r="AE737" s="259">
        <f>(ASINH(FMS_Ranking4[[#This Row],[Road Miles Raw]]))*(10)/(ASINH(AD$4))</f>
        <v>0.9393017565219649</v>
      </c>
      <c r="AF737" s="256">
        <f>FMS_Ranking4[[#This Row],[Length of roads at risk, ArcSinh (0-10)]]*AD$5*10</f>
        <v>0.93930175652196501</v>
      </c>
      <c r="AG737" s="253">
        <f>_xlfn.XLOOKUP(FMS_Ranking4[[#This Row],[FMS ID]],FMS_Input[FMS_ID],FMS_Input[FARMACRE100])</f>
        <v>2.4817047119140621</v>
      </c>
      <c r="AH737" s="255">
        <f>(ASINH(FMS_Ranking4[[#This Row],[Ag Land Raw]]))*(10)/(ASINH(AG$4))</f>
        <v>1.0655831410164767</v>
      </c>
      <c r="AI737" s="260">
        <f>FMS_Ranking4[[#This Row],[Farm &amp; ranch land, ArcSinh (0-10)]]*AG$5*10</f>
        <v>0.53279157050823844</v>
      </c>
      <c r="AJ737" s="258">
        <f>_xlfn.XLOOKUP(FMS_Ranking4[[#This Row],[FMS ID]],FMS_Input[FMS_ID],FMS_Input[REDSTRUCT100])</f>
        <v>0</v>
      </c>
      <c r="AK737" s="253">
        <f>_xlfn.XLOOKUP(FMS_Ranking4[[#This Row],[FMS ID]],FMS_Input[FMS_ID],FMS_Input[REMSTRC100])</f>
        <v>0</v>
      </c>
      <c r="AL737" s="259">
        <f>(ASINH(FMS_Ranking4[[#This Row],[Structures Removed Raw]]))*(10)/(ASINH(AK$4))</f>
        <v>0</v>
      </c>
      <c r="AM737" s="262">
        <f>FMS_Ranking4[[#This Row],[Structures removed, ArcSinh (0-10)]]*AK$5*10</f>
        <v>0</v>
      </c>
      <c r="AN737" s="253">
        <f>_xlfn.XLOOKUP(FMS_Ranking4[[#This Row],[FMS ID]],FMS_Input[FMS_ID],FMS_Input[REMRESSTRC100])</f>
        <v>0</v>
      </c>
      <c r="AO737" s="261">
        <f>FMS_Ranking4[[#This Row],[ArcSinh Res struct removed 0-10]]*AN$5*10</f>
        <v>0</v>
      </c>
      <c r="AP737" s="260">
        <f>ASINH(FMS_Ranking4[[#This Row],[Residential Structures Removed Raw]])/AP$4*AN$5*100</f>
        <v>0</v>
      </c>
      <c r="AQ737" s="254">
        <f>(ASINH(FMS_Ranking4[[#This Row],[Residential Structures Removed Raw]]))*(10)/(ASINH(AN$4))</f>
        <v>0</v>
      </c>
      <c r="AR737" s="253">
        <f>_xlfn.XLOOKUP(FMS_Ranking4[[#This Row],[FMS ID]],FMS_Input[FMS_ID],FMS_Input[REMPOP100])</f>
        <v>0</v>
      </c>
      <c r="AS737" s="259">
        <f>(ASINH(FMS_Ranking4[[#This Row],[Removed Pop Raw]]))*(10)/(ASINH(AR$4))</f>
        <v>0</v>
      </c>
      <c r="AT737" s="262">
        <f>FMS_Ranking4[[#This Row],[Removed population, ArcSinh (0-10)]]*AR$5*10</f>
        <v>0</v>
      </c>
      <c r="AU737" s="264">
        <f>_xlfn.XLOOKUP(FMS_Ranking4[[#This Row],[FMS ID]],FMS_Input[FMS_ID],FMS_Input[REMCRITFAC100])</f>
        <v>0</v>
      </c>
      <c r="AV737" s="264">
        <f>_xlfn.XLOOKUP(FMS_Ranking4[[#This Row],[FMS ID]],FMS_Input[FMS_ID],FMS_Input[REMLWC100])</f>
        <v>0</v>
      </c>
      <c r="AW737" s="264">
        <f>_xlfn.XLOOKUP(FMS_Ranking4[[#This Row],[FMS ID]],FMS_Input[FMS_ID],FMS_Input[REMROADCLS])</f>
        <v>0</v>
      </c>
      <c r="AX737" s="264">
        <f>_xlfn.XLOOKUP(FMS_Ranking4[[#This Row],[FMS ID]],FMS_Input[FMS_ID],FMS_Input[REMFRMACRE100])</f>
        <v>0</v>
      </c>
      <c r="AY737" s="258">
        <f>_xlfn.XLOOKUP(FMS_Ranking4[[#This Row],[FMS ID]],FMS_Input[FMS_ID],FMS_Input[COSTSTRUCT])</f>
        <v>0</v>
      </c>
      <c r="AZ737" s="253">
        <f>_xlfn.XLOOKUP(FMS_Ranking4[[#This Row],[FMS ID]],FMS_Input[FMS_ID],FMS_Input[NATURE])</f>
        <v>0</v>
      </c>
      <c r="BA737" s="262">
        <f>(((FMS_Ranking4[[#This Row],[% NBS Raw]]/AZ$4)*100)*AZ$5)</f>
        <v>0</v>
      </c>
      <c r="BB737" s="251" t="str">
        <f>_xlfn.XLOOKUP(FMS_Ranking4[[#This Row],[FMS ID]],FMS_Input[FMS_ID],FMS_Input[WATER_SUP])</f>
        <v>No</v>
      </c>
      <c r="BC737" s="265">
        <f>IF(FMS_Ranking4[[#This Row],[Water Supply Raw]]="Yes",10,0)</f>
        <v>0</v>
      </c>
      <c r="BD737" s="266">
        <f>_xlfn.XLOOKUP(FMS_Ranking4[[#This Row],[FMS Type]],FMS_TYPE[FMS_Type],FMS_TYPE[Score])</f>
        <v>8</v>
      </c>
      <c r="BE737" s="267">
        <f>FMS_Ranking4[[#This Row],[FMS_Type Score]]*$BD$5*10</f>
        <v>2</v>
      </c>
      <c r="BF73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2.3366708178759908E-3</v>
      </c>
      <c r="BG737" s="271">
        <f>_xlfn.RANK.EQ(BF737,$BF$8:$BF$870,0)+COUNTIF($BF$8:BF737,BF737)-1</f>
        <v>718</v>
      </c>
      <c r="BH737" s="268">
        <f>(((FMS_Ranking4[[#This Row],[Structures Removed Raw]]/AK$4)*100)*AK$5)+(((FMS_Ranking4[[#This Row],[Removed Pop Raw]]/AR$4)*100)*AR$5)</f>
        <v>0</v>
      </c>
      <c r="BI73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2.002336670817876</v>
      </c>
      <c r="BJ737" s="205">
        <f>_xlfn.RANK.EQ(FMS_Ranking4[[#This Row],[Total Score 
(with linear
normalization)]],FMS_Ranking4[Total Score 
(with linear
normalization)],0)</f>
        <v>449</v>
      </c>
      <c r="BK737" s="205" t="e">
        <f>_xlfn.XLOOKUP(FMS_Ranking4[[#This Row],[FMS ID]],#REF!,#REF!)</f>
        <v>#REF!</v>
      </c>
      <c r="BL73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5.4255537943833509</v>
      </c>
      <c r="BM737" s="272">
        <f>FMS_Ranking4[[#This Row],[ArcSinh Score Based on Normalized Reported Factors]]+FMS_Ranking4[[#This Row],[% NBS Score (Normalized)]]+(FMS_Ranking4[[#This Row],[Water Supply Score (Normalized)]]*10*$BB$5)+FMS_Ranking4[[#This Row],[FMS_Type Score Weighted]]</f>
        <v>7.4255537943833509</v>
      </c>
      <c r="BN737" s="205">
        <f>_xlfn.RANK.EQ(FMS_Ranking4[[#This Row],[Total Score (with ArcSinh normalization of select criteria)]],FMS_Ranking4[Total Score (with ArcSinh normalization of select criteria)],0)</f>
        <v>730</v>
      </c>
      <c r="BO737" s="270" t="str">
        <f>_xlfn.XLOOKUP(FMS_Ranking4[[#This Row],[FMS ID]],FMS_Input[FMS_ID],FMS_Input[FMS_RANK_YEAR])</f>
        <v>2023 Amended Plan</v>
      </c>
      <c r="BP737" s="204">
        <f>_xlfn.XLOOKUP(FMS_Ranking4[[#This Row],[FMS ID]],Prev_Rank[FMS ID],Prev_Rank[Prev Rank])</f>
        <v>659</v>
      </c>
      <c r="BQ737" s="205" t="e">
        <f>_xlfn.XLOOKUP(FMS_Ranking4[[#This Row],[FMS ID]],#REF!,#REF!)</f>
        <v>#REF!</v>
      </c>
      <c r="BR737" s="199" t="e">
        <f>SUM(#REF!,#REF!,#REF!,#REF!,#REF!,#REF!,#REF!,#REF!,#REF!,FMS_Ranking4[[#This Row],[ArcSinh Res struct removed 0-10]],#REF!)</f>
        <v>#REF!</v>
      </c>
      <c r="BS737" s="199" t="e">
        <f>FMS_Ranking4[[#This Row],[Log Score Based on Normalized Reported Factors]]+FMS_Ranking4[[#This Row],[% NBS Score (Normalized)]]+(FMS_Ranking4[[#This Row],[Water Supply Score (Normalized)]]*10*$BB$5)+(FMS_Ranking4[[#This Row],[FMS_Type Score Weighted]])</f>
        <v>#REF!</v>
      </c>
      <c r="BT737" s="200" t="e">
        <f>_xlfn.RANK.EQ(FMS_Ranking4[[#This Row],[Log Total Score]],FMS_Ranking4[Log Total Score],0)</f>
        <v>#REF!</v>
      </c>
      <c r="BU737" s="200" t="e">
        <f>_xlfn.XLOOKUP(FMS_Ranking4[[#This Row],[FMS ID]],#REF!,#REF!)</f>
        <v>#REF!</v>
      </c>
      <c r="BV737" s="200">
        <f>FMS_Ranking4[[#This Row],[Region Number]]</f>
        <v>1</v>
      </c>
      <c r="BW737" s="200">
        <f>FMS_Ranking4[[#This Row],[Rank (with ArcSinh normalization of select criteria)]]-FMS_Ranking4[[#This Row],[Rank
(with linear
normalization)]]</f>
        <v>281</v>
      </c>
      <c r="BX737" s="200" t="e">
        <f>FMS_Ranking4[[#This Row],[Log Rank]]-FMS_Ranking4[[#This Row],[Rank
(with linear
normalization)]]</f>
        <v>#REF!</v>
      </c>
      <c r="BY737" s="200" t="str">
        <f>IF(FMS_Ranking4[[#This Row],[FMS Type]]="Flood Measurement and Warning",FMS_Ranking4[[#This Row],[Rank (with ArcSinh normalization of select criteria)]],"")</f>
        <v/>
      </c>
      <c r="BZ737" s="200">
        <f>IF(FMS_Ranking4[[#This Row],[FMS Type]]="Regulatory and Guidance",FMS_Ranking4[[#This Row],[Rank (with ArcSinh normalization of select criteria)]],"")</f>
        <v>730</v>
      </c>
      <c r="CA737" s="200" t="str">
        <f>IF(FMS_Ranking4[[#This Row],[FMS Type]]="Education and Outreach",FMS_Ranking4[[#This Row],[Rank (with ArcSinh normalization of select criteria)]],"")</f>
        <v/>
      </c>
      <c r="CB737" s="200" t="str">
        <f>IF(FMS_Ranking4[[#This Row],[FMS Type]]="Property Acquisition and Structural Elevation",FMS_Ranking4[[#This Row],[Rank (with ArcSinh normalization of select criteria)]],"")</f>
        <v/>
      </c>
      <c r="CC737" s="200" t="str">
        <f>IF(FMS_Ranking4[[#This Row],[FMS Type]]="Infrastructure Projects",FMS_Ranking4[[#This Row],[Rank (with ArcSinh normalization of select criteria)]],"")</f>
        <v/>
      </c>
      <c r="CD737" s="200" t="str">
        <f>IF(FMS_Ranking4[[#This Row],[FMS Type]]="Other",FMS_Ranking4[[#This Row],[Rank (with ArcSinh normalization of select criteria)]],"")</f>
        <v/>
      </c>
      <c r="CE737" s="201"/>
      <c r="CF737" s="206"/>
      <c r="CG737" s="206"/>
      <c r="CH737" s="206"/>
      <c r="CI737" s="206"/>
      <c r="CJ737" s="206"/>
      <c r="CK737" s="206"/>
      <c r="CL737" s="206"/>
      <c r="CM737" s="206"/>
      <c r="CN737" s="206"/>
      <c r="CO737" s="206"/>
      <c r="CP737" s="206"/>
      <c r="CQ737" s="206"/>
      <c r="CR737" s="206"/>
    </row>
    <row r="738" spans="2:96" ht="30" x14ac:dyDescent="0.25">
      <c r="B738" s="341" t="s">
        <v>1311</v>
      </c>
      <c r="C738" s="246">
        <f>_xlfn.XLOOKUP(FMS_Ranking4[[#This Row],[FMS ID]],FMS_Input[FMS_ID],FMS_Input[RFPG_NUM])</f>
        <v>1</v>
      </c>
      <c r="D738" s="309" t="str">
        <f>_xlfn.XLOOKUP(FMS_Ranking4[[#This Row],[FMS ID]],FMS_Input[FMS_ID],FMS_Input[FMS_NAME])</f>
        <v>Matador NFIP Involvement</v>
      </c>
      <c r="E738" s="308" t="str">
        <f>_xlfn.XLOOKUP(FMS_Ranking4[[#This Row],[FMS ID]],FMS_Input[FMS_ID],FMS_Input[SPONSOR])</f>
        <v>01002470</v>
      </c>
      <c r="F738" s="309" t="str">
        <f>_xlfn.XLOOKUP(FMS_Ranking4[[#This Row],[FMS ID]],Sponsor[FMS_ID],Sponsor[SPONSOR NAME])</f>
        <v>Matador</v>
      </c>
      <c r="G738" s="309" t="str">
        <f>_xlfn.XLOOKUP(FMS_Ranking4[[#This Row],[FMS ID]],FMS_Input[FMS_ID],FMS_Input[FMS_DESCR])</f>
        <v>Application to join NFIP or adopt equivalent standards</v>
      </c>
      <c r="H738" s="248" t="str">
        <f>_xlfn.XLOOKUP(FMS_Ranking4[[#This Row],[FMS ID]],FMS_Input[FMS_ID],FMS_Input[FMS_TYPE])</f>
        <v>Regulatory and Guidance</v>
      </c>
      <c r="I738" s="249">
        <f>_xlfn.XLOOKUP(FMS_Ranking4[[#This Row],[FMS ID]],FMS_Input[FMS_ID],FMS_Input[NRNC_COST])</f>
        <v>100000</v>
      </c>
      <c r="J738" s="250">
        <f>_xlfn.XLOOKUP(FMS_Ranking4[[#This Row],[FMS ID]],FMS_Input[FMS_ID],FMS_Input[FMS_COST])</f>
        <v>100000</v>
      </c>
      <c r="K738" s="251" t="str">
        <f>_xlfn.XLOOKUP(FMS_Ranking4[[#This Row],[FMS ID]],FMS_Input[FMS_ID],FMS_Input[EMER_NEED])</f>
        <v>No</v>
      </c>
      <c r="L738" s="252">
        <f t="shared" si="11"/>
        <v>0</v>
      </c>
      <c r="M738" s="253">
        <f>_xlfn.XLOOKUP(FMS_Ranking4[[#This Row],[FMS ID]],FMS_Input[FMS_ID],FMS_Input[STRUCT_100])</f>
        <v>8</v>
      </c>
      <c r="N738" s="255">
        <f>(ASINH(FMS_Ranking4[[#This Row],[Structure at Risk Raw]]))*(10)/(ASINH(M$4))</f>
        <v>2.1827206114662263</v>
      </c>
      <c r="O738" s="256">
        <f>FMS_Ranking4[[#This Row],[Structures at risk, ArcSinh (0-10)]]*M$5*10</f>
        <v>2.1827206114662263</v>
      </c>
      <c r="P738" s="253">
        <f>_xlfn.XLOOKUP(FMS_Ranking4[[#This Row],[FMS ID]],FMS_Input[FMS_ID],FMS_Input[RES_STRUCT100])</f>
        <v>0</v>
      </c>
      <c r="Q738" s="257">
        <f>ASINH(FMS_Ranking4[[#This Row],[Res Structure Raw]])/Q$4*P$5*100</f>
        <v>0</v>
      </c>
      <c r="R738" s="253">
        <f>_xlfn.XLOOKUP(FMS_Ranking4[[#This Row],[FMS ID]],FMS_Input[FMS_ID],FMS_Input[POP100])</f>
        <v>10</v>
      </c>
      <c r="S738" s="255">
        <f>(ASINH(FMS_Ranking4[[#This Row],[Pop at Risk Raw]]))*(10)/(ASINH(R$4))</f>
        <v>2.0698478529282238</v>
      </c>
      <c r="T738" s="256">
        <f>FMS_Ranking4[[#This Row],[Population at risk, ArcSinh (0-10)]]*R$5*10</f>
        <v>2.0698478529282238</v>
      </c>
      <c r="U738" s="253">
        <f>_xlfn.XLOOKUP(FMS_Ranking4[[#This Row],[FMS ID]],FMS_Input[FMS_ID],FMS_Input[CRITFAC100])</f>
        <v>0</v>
      </c>
      <c r="V738" s="255">
        <f>(ASINH(FMS_Ranking4[[#This Row],[Critical Facilities Raw]]))*(10)/(ASINH(U$4))</f>
        <v>0</v>
      </c>
      <c r="W738" s="256">
        <f>FMS_Ranking4[[#This Row],[Critical facilities at risk, ArcSinh (0-10)]]*U$5*10</f>
        <v>0</v>
      </c>
      <c r="X738" s="253">
        <f>_xlfn.XLOOKUP(FMS_Ranking4[[#This Row],[FMS ID]],FMS_Input[FMS_ID],FMS_Input[LWC])</f>
        <v>0</v>
      </c>
      <c r="Y738" s="255">
        <f>(ASINH(FMS_Ranking4[[#This Row],[LWC Raw]]))*(10)/(ASINH(X$4))</f>
        <v>0</v>
      </c>
      <c r="Z738" s="256">
        <f>FMS_Ranking4[[#This Row],[LWC, ArcSInh (0-10)]]*X$5*10</f>
        <v>0</v>
      </c>
      <c r="AA738" s="253">
        <f>_xlfn.XLOOKUP(FMS_Ranking4[[#This Row],[FMS ID]],FMS_Input[FMS_ID],FMS_Input[ROADCLS])</f>
        <v>0</v>
      </c>
      <c r="AB738" s="255">
        <f>(ASINH(FMS_Ranking4[[#This Row],[Road Closures Raw]]))*(10)/(ASINH(AA$4))</f>
        <v>0</v>
      </c>
      <c r="AC738" s="256">
        <f>FMS_Ranking4[[#This Row],[Road closures, ArcSinh (0-10)]]*AA$5*10</f>
        <v>0</v>
      </c>
      <c r="AD738" s="253">
        <f>_xlfn.XLOOKUP(FMS_Ranking4[[#This Row],[FMS ID]],FMS_Input[FMS_ID],FMS_Input[ROAD_MILES100])</f>
        <v>1</v>
      </c>
      <c r="AE738" s="255">
        <f>(ASINH(FMS_Ranking4[[#This Row],[Road Miles Raw]]))*(10)/(ASINH(AD$4))</f>
        <v>0.9393017565219649</v>
      </c>
      <c r="AF738" s="256">
        <f>FMS_Ranking4[[#This Row],[Length of roads at risk, ArcSinh (0-10)]]*AD$5*10</f>
        <v>0.93930175652196501</v>
      </c>
      <c r="AG738" s="253">
        <f>_xlfn.XLOOKUP(FMS_Ranking4[[#This Row],[FMS ID]],FMS_Input[FMS_ID],FMS_Input[FARMACRE100])</f>
        <v>0.57105487585067749</v>
      </c>
      <c r="AH738" s="255">
        <f>(ASINH(FMS_Ranking4[[#This Row],[Ag Land Raw]]))*(10)/(ASINH(AG$4))</f>
        <v>0.35327277070652685</v>
      </c>
      <c r="AI738" s="260">
        <f>FMS_Ranking4[[#This Row],[Farm &amp; ranch land, ArcSinh (0-10)]]*AG$5*10</f>
        <v>0.17663638535326345</v>
      </c>
      <c r="AJ738" s="258">
        <f>_xlfn.XLOOKUP(FMS_Ranking4[[#This Row],[FMS ID]],FMS_Input[FMS_ID],FMS_Input[REDSTRUCT100])</f>
        <v>0</v>
      </c>
      <c r="AK738" s="253">
        <f>_xlfn.XLOOKUP(FMS_Ranking4[[#This Row],[FMS ID]],FMS_Input[FMS_ID],FMS_Input[REMSTRC100])</f>
        <v>0</v>
      </c>
      <c r="AL738" s="255">
        <f>(ASINH(FMS_Ranking4[[#This Row],[Structures Removed Raw]]))*(10)/(ASINH(AK$4))</f>
        <v>0</v>
      </c>
      <c r="AM738" s="262">
        <f>FMS_Ranking4[[#This Row],[Structures removed, ArcSinh (0-10)]]*AK$5*10</f>
        <v>0</v>
      </c>
      <c r="AN738" s="253">
        <f>_xlfn.XLOOKUP(FMS_Ranking4[[#This Row],[FMS ID]],FMS_Input[FMS_ID],FMS_Input[REMRESSTRC100])</f>
        <v>0</v>
      </c>
      <c r="AO738" s="261">
        <f>FMS_Ranking4[[#This Row],[ArcSinh Res struct removed 0-10]]*AN$5*10</f>
        <v>0</v>
      </c>
      <c r="AP738" s="260">
        <f>ASINH(FMS_Ranking4[[#This Row],[Residential Structures Removed Raw]])/AP$4*AN$5*100</f>
        <v>0</v>
      </c>
      <c r="AQ738" s="258">
        <f>(ASINH(FMS_Ranking4[[#This Row],[Residential Structures Removed Raw]]))*(10)/(ASINH(AN$4))</f>
        <v>0</v>
      </c>
      <c r="AR738" s="253">
        <f>_xlfn.XLOOKUP(FMS_Ranking4[[#This Row],[FMS ID]],FMS_Input[FMS_ID],FMS_Input[REMPOP100])</f>
        <v>0</v>
      </c>
      <c r="AS738" s="255">
        <f>(ASINH(FMS_Ranking4[[#This Row],[Removed Pop Raw]]))*(10)/(ASINH(AR$4))</f>
        <v>0</v>
      </c>
      <c r="AT738" s="262">
        <f>FMS_Ranking4[[#This Row],[Removed population, ArcSinh (0-10)]]*AR$5*10</f>
        <v>0</v>
      </c>
      <c r="AU738" s="264">
        <f>_xlfn.XLOOKUP(FMS_Ranking4[[#This Row],[FMS ID]],FMS_Input[FMS_ID],FMS_Input[REMCRITFAC100])</f>
        <v>0</v>
      </c>
      <c r="AV738" s="264">
        <f>_xlfn.XLOOKUP(FMS_Ranking4[[#This Row],[FMS ID]],FMS_Input[FMS_ID],FMS_Input[REMLWC100])</f>
        <v>0</v>
      </c>
      <c r="AW738" s="264">
        <f>_xlfn.XLOOKUP(FMS_Ranking4[[#This Row],[FMS ID]],FMS_Input[FMS_ID],FMS_Input[REMROADCLS])</f>
        <v>0</v>
      </c>
      <c r="AX738" s="264">
        <f>_xlfn.XLOOKUP(FMS_Ranking4[[#This Row],[FMS ID]],FMS_Input[FMS_ID],FMS_Input[REMFRMACRE100])</f>
        <v>0</v>
      </c>
      <c r="AY738" s="258">
        <f>_xlfn.XLOOKUP(FMS_Ranking4[[#This Row],[FMS ID]],FMS_Input[FMS_ID],FMS_Input[COSTSTRUCT])</f>
        <v>0</v>
      </c>
      <c r="AZ738" s="253">
        <f>_xlfn.XLOOKUP(FMS_Ranking4[[#This Row],[FMS ID]],FMS_Input[FMS_ID],FMS_Input[NATURE])</f>
        <v>0</v>
      </c>
      <c r="BA738" s="262">
        <f>(((FMS_Ranking4[[#This Row],[% NBS Raw]]/AZ$4)*100)*AZ$5)</f>
        <v>0</v>
      </c>
      <c r="BB738" s="251" t="str">
        <f>_xlfn.XLOOKUP(FMS_Ranking4[[#This Row],[FMS ID]],FMS_Input[FMS_ID],FMS_Input[WATER_SUP])</f>
        <v>No</v>
      </c>
      <c r="BC738" s="265">
        <f>IF(FMS_Ranking4[[#This Row],[Water Supply Raw]]="Yes",10,0)</f>
        <v>0</v>
      </c>
      <c r="BD738" s="266">
        <f>_xlfn.XLOOKUP(FMS_Ranking4[[#This Row],[FMS Type]],FMS_TYPE[FMS_Type],FMS_TYPE[Score])</f>
        <v>8</v>
      </c>
      <c r="BE738" s="267">
        <f>FMS_Ranking4[[#This Row],[FMS_Type Score]]*$BD$5*10</f>
        <v>2</v>
      </c>
      <c r="BF738"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2.2643164641099217E-3</v>
      </c>
      <c r="BG738" s="321">
        <f>_xlfn.RANK.EQ(BF738,$BF$8:$BF$870,0)+COUNTIF($BF$8:BF738,BF738)-1</f>
        <v>719</v>
      </c>
      <c r="BH738" s="294">
        <f>(((FMS_Ranking4[[#This Row],[Structures Removed Raw]]/AK$4)*100)*AK$5)+(((FMS_Ranking4[[#This Row],[Removed Pop Raw]]/AR$4)*100)*AR$5)</f>
        <v>0</v>
      </c>
      <c r="BI73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2.0022643164641099</v>
      </c>
      <c r="BJ738" s="251">
        <f>_xlfn.RANK.EQ(FMS_Ranking4[[#This Row],[Total Score 
(with linear
normalization)]],FMS_Ranking4[Total Score 
(with linear
normalization)],0)</f>
        <v>450</v>
      </c>
      <c r="BK738" s="251" t="e">
        <f>_xlfn.XLOOKUP(FMS_Ranking4[[#This Row],[FMS ID]],#REF!,#REF!)</f>
        <v>#REF!</v>
      </c>
      <c r="BL738"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5.3685066062696789</v>
      </c>
      <c r="BM738" s="324">
        <f>FMS_Ranking4[[#This Row],[ArcSinh Score Based on Normalized Reported Factors]]+FMS_Ranking4[[#This Row],[% NBS Score (Normalized)]]+(FMS_Ranking4[[#This Row],[Water Supply Score (Normalized)]]*10*$BB$5)+FMS_Ranking4[[#This Row],[FMS_Type Score Weighted]]</f>
        <v>7.3685066062696789</v>
      </c>
      <c r="BN738" s="251">
        <f>_xlfn.RANK.EQ(FMS_Ranking4[[#This Row],[Total Score (with ArcSinh normalization of select criteria)]],FMS_Ranking4[Total Score (with ArcSinh normalization of select criteria)],0)</f>
        <v>731</v>
      </c>
      <c r="BO738" s="270" t="str">
        <f>_xlfn.XLOOKUP(FMS_Ranking4[[#This Row],[FMS ID]],FMS_Input[FMS_ID],FMS_Input[FMS_RANK_YEAR])</f>
        <v>2023 Amended Plan</v>
      </c>
      <c r="BP738" s="204">
        <f>_xlfn.XLOOKUP(FMS_Ranking4[[#This Row],[FMS ID]],Prev_Rank[FMS ID],Prev_Rank[Prev Rank])</f>
        <v>660</v>
      </c>
      <c r="BQ738" s="251" t="e">
        <f>_xlfn.XLOOKUP(FMS_Ranking4[[#This Row],[FMS ID]],#REF!,#REF!)</f>
        <v>#REF!</v>
      </c>
      <c r="BR738" s="199" t="e">
        <f>SUM(#REF!,#REF!,#REF!,#REF!,#REF!,#REF!,#REF!,#REF!,#REF!,FMS_Ranking4[[#This Row],[ArcSinh Res struct removed 0-10]],#REF!)</f>
        <v>#REF!</v>
      </c>
      <c r="BS738" s="199" t="e">
        <f>FMS_Ranking4[[#This Row],[Log Score Based on Normalized Reported Factors]]+FMS_Ranking4[[#This Row],[% NBS Score (Normalized)]]+(FMS_Ranking4[[#This Row],[Water Supply Score (Normalized)]]*10*$BB$5)+(FMS_Ranking4[[#This Row],[FMS_Type Score Weighted]])</f>
        <v>#REF!</v>
      </c>
      <c r="BT738" s="200" t="e">
        <f>_xlfn.RANK.EQ(FMS_Ranking4[[#This Row],[Log Total Score]],FMS_Ranking4[Log Total Score],0)</f>
        <v>#REF!</v>
      </c>
      <c r="BU738" s="200" t="e">
        <f>_xlfn.XLOOKUP(FMS_Ranking4[[#This Row],[FMS ID]],#REF!,#REF!)</f>
        <v>#REF!</v>
      </c>
      <c r="BV738" s="200">
        <f>FMS_Ranking4[[#This Row],[Region Number]]</f>
        <v>1</v>
      </c>
      <c r="BW738" s="200">
        <f>FMS_Ranking4[[#This Row],[Rank (with ArcSinh normalization of select criteria)]]-FMS_Ranking4[[#This Row],[Rank
(with linear
normalization)]]</f>
        <v>281</v>
      </c>
      <c r="BX738" s="200" t="e">
        <f>FMS_Ranking4[[#This Row],[Log Rank]]-FMS_Ranking4[[#This Row],[Rank
(with linear
normalization)]]</f>
        <v>#REF!</v>
      </c>
      <c r="BY738" s="200" t="str">
        <f>IF(FMS_Ranking4[[#This Row],[FMS Type]]="Flood Measurement and Warning",FMS_Ranking4[[#This Row],[Rank (with ArcSinh normalization of select criteria)]],"")</f>
        <v/>
      </c>
      <c r="BZ738" s="200">
        <f>IF(FMS_Ranking4[[#This Row],[FMS Type]]="Regulatory and Guidance",FMS_Ranking4[[#This Row],[Rank (with ArcSinh normalization of select criteria)]],"")</f>
        <v>731</v>
      </c>
      <c r="CA738" s="200" t="str">
        <f>IF(FMS_Ranking4[[#This Row],[FMS Type]]="Education and Outreach",FMS_Ranking4[[#This Row],[Rank (with ArcSinh normalization of select criteria)]],"")</f>
        <v/>
      </c>
      <c r="CB738" s="200" t="str">
        <f>IF(FMS_Ranking4[[#This Row],[FMS Type]]="Property Acquisition and Structural Elevation",FMS_Ranking4[[#This Row],[Rank (with ArcSinh normalization of select criteria)]],"")</f>
        <v/>
      </c>
      <c r="CC738" s="200" t="str">
        <f>IF(FMS_Ranking4[[#This Row],[FMS Type]]="Infrastructure Projects",FMS_Ranking4[[#This Row],[Rank (with ArcSinh normalization of select criteria)]],"")</f>
        <v/>
      </c>
      <c r="CD738" s="200" t="str">
        <f>IF(FMS_Ranking4[[#This Row],[FMS Type]]="Other",FMS_Ranking4[[#This Row],[Rank (with ArcSinh normalization of select criteria)]],"")</f>
        <v/>
      </c>
      <c r="CE738" s="201"/>
      <c r="CF738" s="206"/>
      <c r="CG738" s="206"/>
      <c r="CH738" s="206"/>
      <c r="CI738" s="206"/>
      <c r="CJ738" s="206"/>
      <c r="CK738" s="206"/>
      <c r="CL738" s="206"/>
      <c r="CM738" s="206"/>
      <c r="CN738" s="206"/>
      <c r="CO738" s="206"/>
      <c r="CP738" s="206"/>
      <c r="CQ738" s="206"/>
      <c r="CR738" s="206"/>
    </row>
    <row r="739" spans="2:96" ht="75" x14ac:dyDescent="0.25">
      <c r="B739" s="346" t="s">
        <v>60</v>
      </c>
      <c r="C739" s="246">
        <f>_xlfn.XLOOKUP(FMS_Ranking4[[#This Row],[FMS ID]],FMS_Input[FMS_ID],FMS_Input[RFPG_NUM])</f>
        <v>6</v>
      </c>
      <c r="D739" s="309" t="str">
        <f>_xlfn.XLOOKUP(FMS_Ranking4[[#This Row],[FMS ID]],FMS_Input[FMS_ID],FMS_Input[FMS_NAME])</f>
        <v>Public Information and Awareness in City of New Waverly</v>
      </c>
      <c r="E739" s="308" t="str">
        <f>_xlfn.XLOOKUP(FMS_Ranking4[[#This Row],[FMS ID]],FMS_Input[FMS_ID],FMS_Input[SPONSOR])</f>
        <v>06003391</v>
      </c>
      <c r="F739" s="309" t="str">
        <f>_xlfn.XLOOKUP(FMS_Ranking4[[#This Row],[FMS ID]],Sponsor[FMS_ID],Sponsor[SPONSOR NAME])</f>
        <v>New Waverly</v>
      </c>
      <c r="G739" s="309" t="str">
        <f>_xlfn.XLOOKUP(FMS_Ranking4[[#This Row],[FMS ID]],FMS_Input[FMS_ID],FMS_Input[FMS_DESCR])</f>
        <v>Rewrite, improve, and implement new local floodplain regulations, to include a public information campaign on regulatory awareness.</v>
      </c>
      <c r="H739" s="248" t="str">
        <f>_xlfn.XLOOKUP(FMS_Ranking4[[#This Row],[FMS ID]],FMS_Input[FMS_ID],FMS_Input[FMS_TYPE])</f>
        <v>Education and Outreach</v>
      </c>
      <c r="I739" s="249">
        <f>_xlfn.XLOOKUP(FMS_Ranking4[[#This Row],[FMS ID]],FMS_Input[FMS_ID],FMS_Input[NRNC_COST])</f>
        <v>500</v>
      </c>
      <c r="J739" s="250">
        <f>_xlfn.XLOOKUP(FMS_Ranking4[[#This Row],[FMS ID]],FMS_Input[FMS_ID],FMS_Input[FMS_COST])</f>
        <v>10000</v>
      </c>
      <c r="K739" s="251" t="str">
        <f>_xlfn.XLOOKUP(FMS_Ranking4[[#This Row],[FMS ID]],FMS_Input[FMS_ID],FMS_Input[EMER_NEED])</f>
        <v>No</v>
      </c>
      <c r="L739" s="252">
        <f t="shared" si="11"/>
        <v>0</v>
      </c>
      <c r="M739" s="253">
        <f>_xlfn.XLOOKUP(FMS_Ranking4[[#This Row],[FMS ID]],FMS_Input[FMS_ID],FMS_Input[STRUCT_100])</f>
        <v>23</v>
      </c>
      <c r="N739" s="255">
        <f>(ASINH(FMS_Ranking4[[#This Row],[Structure at Risk Raw]]))*(10)/(ASINH(M$4))</f>
        <v>3.0102534605031352</v>
      </c>
      <c r="O739" s="256">
        <f>FMS_Ranking4[[#This Row],[Structures at risk, ArcSinh (0-10)]]*M$5*10</f>
        <v>3.0102534605031357</v>
      </c>
      <c r="P739" s="253">
        <f>_xlfn.XLOOKUP(FMS_Ranking4[[#This Row],[FMS ID]],FMS_Input[FMS_ID],FMS_Input[RES_STRUCT100])</f>
        <v>18</v>
      </c>
      <c r="Q739" s="257">
        <f>ASINH(FMS_Ranking4[[#This Row],[Res Structure Raw]])/Q$4*P$5*100</f>
        <v>0</v>
      </c>
      <c r="R739" s="253">
        <f>_xlfn.XLOOKUP(FMS_Ranking4[[#This Row],[FMS ID]],FMS_Input[FMS_ID],FMS_Input[POP100])</f>
        <v>19</v>
      </c>
      <c r="S739" s="255">
        <f>(ASINH(FMS_Ranking4[[#This Row],[Pop at Risk Raw]]))*(10)/(ASINH(R$4))</f>
        <v>2.5117150903432548</v>
      </c>
      <c r="T739" s="256">
        <f>FMS_Ranking4[[#This Row],[Population at risk, ArcSinh (0-10)]]*R$5*10</f>
        <v>2.5117150903432552</v>
      </c>
      <c r="U739" s="253">
        <f>_xlfn.XLOOKUP(FMS_Ranking4[[#This Row],[FMS ID]],FMS_Input[FMS_ID],FMS_Input[CRITFAC100])</f>
        <v>0</v>
      </c>
      <c r="V739" s="255">
        <f>(ASINH(FMS_Ranking4[[#This Row],[Critical Facilities Raw]]))*(10)/(ASINH(U$4))</f>
        <v>0</v>
      </c>
      <c r="W739" s="256">
        <f>FMS_Ranking4[[#This Row],[Critical facilities at risk, ArcSinh (0-10)]]*U$5*10</f>
        <v>0</v>
      </c>
      <c r="X739" s="253">
        <f>_xlfn.XLOOKUP(FMS_Ranking4[[#This Row],[FMS ID]],FMS_Input[FMS_ID],FMS_Input[LWC])</f>
        <v>0</v>
      </c>
      <c r="Y739" s="255">
        <f>(ASINH(FMS_Ranking4[[#This Row],[LWC Raw]]))*(10)/(ASINH(X$4))</f>
        <v>0</v>
      </c>
      <c r="Z739" s="256">
        <f>FMS_Ranking4[[#This Row],[LWC, ArcSInh (0-10)]]*X$5*10</f>
        <v>0</v>
      </c>
      <c r="AA739" s="253">
        <f>_xlfn.XLOOKUP(FMS_Ranking4[[#This Row],[FMS ID]],FMS_Input[FMS_ID],FMS_Input[ROADCLS])</f>
        <v>0</v>
      </c>
      <c r="AB739" s="255">
        <f>(ASINH(FMS_Ranking4[[#This Row],[Road Closures Raw]]))*(10)/(ASINH(AA$4))</f>
        <v>0</v>
      </c>
      <c r="AC739" s="256">
        <f>FMS_Ranking4[[#This Row],[Road closures, ArcSinh (0-10)]]*AA$5*10</f>
        <v>0</v>
      </c>
      <c r="AD739" s="253">
        <f>_xlfn.XLOOKUP(FMS_Ranking4[[#This Row],[FMS ID]],FMS_Input[FMS_ID],FMS_Input[ROAD_MILES100])</f>
        <v>0</v>
      </c>
      <c r="AE739" s="255">
        <f>(ASINH(FMS_Ranking4[[#This Row],[Road Miles Raw]]))*(10)/(ASINH(AD$4))</f>
        <v>0</v>
      </c>
      <c r="AF739" s="256">
        <f>FMS_Ranking4[[#This Row],[Length of roads at risk, ArcSinh (0-10)]]*AD$5*10</f>
        <v>0</v>
      </c>
      <c r="AG739" s="253">
        <f>_xlfn.XLOOKUP(FMS_Ranking4[[#This Row],[FMS ID]],FMS_Input[FMS_ID],FMS_Input[FARMACRE100])</f>
        <v>0.90334498882293701</v>
      </c>
      <c r="AH739" s="255">
        <f>(ASINH(FMS_Ranking4[[#This Row],[Ag Land Raw]]))*(10)/(ASINH(AG$4))</f>
        <v>0.52703869128499825</v>
      </c>
      <c r="AI739" s="260">
        <f>FMS_Ranking4[[#This Row],[Farm &amp; ranch land, ArcSinh (0-10)]]*AG$5*10</f>
        <v>0.26351934564249913</v>
      </c>
      <c r="AJ739" s="258">
        <f>_xlfn.XLOOKUP(FMS_Ranking4[[#This Row],[FMS ID]],FMS_Input[FMS_ID],FMS_Input[REDSTRUCT100])</f>
        <v>0</v>
      </c>
      <c r="AK739" s="253">
        <f>_xlfn.XLOOKUP(FMS_Ranking4[[#This Row],[FMS ID]],FMS_Input[FMS_ID],FMS_Input[REMSTRC100])</f>
        <v>0</v>
      </c>
      <c r="AL739" s="255">
        <f>(ASINH(FMS_Ranking4[[#This Row],[Structures Removed Raw]]))*(10)/(ASINH(AK$4))</f>
        <v>0</v>
      </c>
      <c r="AM739" s="262">
        <f>FMS_Ranking4[[#This Row],[Structures removed, ArcSinh (0-10)]]*AK$5*10</f>
        <v>0</v>
      </c>
      <c r="AN739" s="253">
        <f>_xlfn.XLOOKUP(FMS_Ranking4[[#This Row],[FMS ID]],FMS_Input[FMS_ID],FMS_Input[REMRESSTRC100])</f>
        <v>0</v>
      </c>
      <c r="AO739" s="261">
        <f>FMS_Ranking4[[#This Row],[ArcSinh Res struct removed 0-10]]*AN$5*10</f>
        <v>0</v>
      </c>
      <c r="AP739" s="260">
        <f>ASINH(FMS_Ranking4[[#This Row],[Residential Structures Removed Raw]])/AP$4*AN$5*100</f>
        <v>0</v>
      </c>
      <c r="AQ739" s="258">
        <f>(ASINH(FMS_Ranking4[[#This Row],[Residential Structures Removed Raw]]))*(10)/(ASINH(AN$4))</f>
        <v>0</v>
      </c>
      <c r="AR739" s="253">
        <f>_xlfn.XLOOKUP(FMS_Ranking4[[#This Row],[FMS ID]],FMS_Input[FMS_ID],FMS_Input[REMPOP100])</f>
        <v>0</v>
      </c>
      <c r="AS739" s="255">
        <f>(ASINH(FMS_Ranking4[[#This Row],[Removed Pop Raw]]))*(10)/(ASINH(AR$4))</f>
        <v>0</v>
      </c>
      <c r="AT739" s="262">
        <f>FMS_Ranking4[[#This Row],[Removed population, ArcSinh (0-10)]]*AR$5*10</f>
        <v>0</v>
      </c>
      <c r="AU739" s="264">
        <f>_xlfn.XLOOKUP(FMS_Ranking4[[#This Row],[FMS ID]],FMS_Input[FMS_ID],FMS_Input[REMCRITFAC100])</f>
        <v>0</v>
      </c>
      <c r="AV739" s="264">
        <f>_xlfn.XLOOKUP(FMS_Ranking4[[#This Row],[FMS ID]],FMS_Input[FMS_ID],FMS_Input[REMLWC100])</f>
        <v>0</v>
      </c>
      <c r="AW739" s="264">
        <f>_xlfn.XLOOKUP(FMS_Ranking4[[#This Row],[FMS ID]],FMS_Input[FMS_ID],FMS_Input[REMROADCLS])</f>
        <v>0</v>
      </c>
      <c r="AX739" s="264">
        <f>_xlfn.XLOOKUP(FMS_Ranking4[[#This Row],[FMS ID]],FMS_Input[FMS_ID],FMS_Input[REMFRMACRE100])</f>
        <v>0</v>
      </c>
      <c r="AY739" s="258">
        <f>_xlfn.XLOOKUP(FMS_Ranking4[[#This Row],[FMS ID]],FMS_Input[FMS_ID],FMS_Input[COSTSTRUCT])</f>
        <v>0</v>
      </c>
      <c r="AZ739" s="253">
        <f>_xlfn.XLOOKUP(FMS_Ranking4[[#This Row],[FMS ID]],FMS_Input[FMS_ID],FMS_Input[NATURE])</f>
        <v>0</v>
      </c>
      <c r="BA739" s="262">
        <f>(((FMS_Ranking4[[#This Row],[% NBS Raw]]/AZ$4)*100)*AZ$5)</f>
        <v>0</v>
      </c>
      <c r="BB739" s="251" t="str">
        <f>_xlfn.XLOOKUP(FMS_Ranking4[[#This Row],[FMS ID]],FMS_Input[FMS_ID],FMS_Input[WATER_SUP])</f>
        <v>No</v>
      </c>
      <c r="BC739" s="265">
        <f>IF(FMS_Ranking4[[#This Row],[Water Supply Raw]]="Yes",10,0)</f>
        <v>0</v>
      </c>
      <c r="BD739" s="266">
        <f>_xlfn.XLOOKUP(FMS_Ranking4[[#This Row],[FMS Type]],FMS_TYPE[FMS_Type],FMS_TYPE[Score])</f>
        <v>6</v>
      </c>
      <c r="BE739" s="267">
        <f>FMS_Ranking4[[#This Row],[FMS_Type Score]]*$BD$5*10</f>
        <v>1.5000000000000002</v>
      </c>
      <c r="BF739"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1.5717662919869143E-3</v>
      </c>
      <c r="BG739" s="293">
        <f>_xlfn.RANK.EQ(BF739,$BF$8:$BF$870,0)+COUNTIF($BF$8:BF739,BF739)-1</f>
        <v>735</v>
      </c>
      <c r="BH739" s="294">
        <f>(((FMS_Ranking4[[#This Row],[Structures Removed Raw]]/AK$4)*100)*AK$5)+(((FMS_Ranking4[[#This Row],[Removed Pop Raw]]/AR$4)*100)*AR$5)</f>
        <v>0</v>
      </c>
      <c r="BI73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1.5015717662919872</v>
      </c>
      <c r="BJ739" s="251">
        <f>_xlfn.RANK.EQ(FMS_Ranking4[[#This Row],[Total Score 
(with linear
normalization)]],FMS_Ranking4[Total Score 
(with linear
normalization)],0)</f>
        <v>604</v>
      </c>
      <c r="BK739" s="251" t="e">
        <f>_xlfn.XLOOKUP(FMS_Ranking4[[#This Row],[FMS ID]],#REF!,#REF!)</f>
        <v>#REF!</v>
      </c>
      <c r="BL739"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5.7854878964888901</v>
      </c>
      <c r="BM739" s="324">
        <f>FMS_Ranking4[[#This Row],[ArcSinh Score Based on Normalized Reported Factors]]+FMS_Ranking4[[#This Row],[% NBS Score (Normalized)]]+(FMS_Ranking4[[#This Row],[Water Supply Score (Normalized)]]*10*$BB$5)+FMS_Ranking4[[#This Row],[FMS_Type Score Weighted]]</f>
        <v>7.2854878964888901</v>
      </c>
      <c r="BN739" s="251">
        <f>_xlfn.RANK.EQ(FMS_Ranking4[[#This Row],[Total Score (with ArcSinh normalization of select criteria)]],FMS_Ranking4[Total Score (with ArcSinh normalization of select criteria)],0)</f>
        <v>732</v>
      </c>
      <c r="BO739" s="270" t="str">
        <f>_xlfn.XLOOKUP(FMS_Ranking4[[#This Row],[FMS ID]],FMS_Input[FMS_ID],FMS_Input[FMS_RANK_YEAR])</f>
        <v>2023 Amended Plan</v>
      </c>
      <c r="BP739" s="324">
        <f>_xlfn.XLOOKUP(FMS_Ranking4[[#This Row],[FMS ID]],Prev_Rank[FMS ID],Prev_Rank[Prev Rank])</f>
        <v>662</v>
      </c>
      <c r="BQ739" s="251" t="e">
        <f>_xlfn.XLOOKUP(FMS_Ranking4[[#This Row],[FMS ID]],#REF!,#REF!)</f>
        <v>#REF!</v>
      </c>
      <c r="BR739" s="199" t="e">
        <f>SUM(#REF!,#REF!,#REF!,#REF!,#REF!,#REF!,#REF!,#REF!,#REF!,FMS_Ranking4[[#This Row],[ArcSinh Res struct removed 0-10]],#REF!)</f>
        <v>#REF!</v>
      </c>
      <c r="BS739" s="199" t="e">
        <f>FMS_Ranking4[[#This Row],[Log Score Based on Normalized Reported Factors]]+FMS_Ranking4[[#This Row],[% NBS Score (Normalized)]]+(FMS_Ranking4[[#This Row],[Water Supply Score (Normalized)]]*10*$BB$5)+(FMS_Ranking4[[#This Row],[FMS_Type Score Weighted]])</f>
        <v>#REF!</v>
      </c>
      <c r="BT739" s="200" t="e">
        <f>_xlfn.RANK.EQ(FMS_Ranking4[[#This Row],[Log Total Score]],FMS_Ranking4[Log Total Score],0)</f>
        <v>#REF!</v>
      </c>
      <c r="BU739" s="200" t="e">
        <f>_xlfn.XLOOKUP(FMS_Ranking4[[#This Row],[FMS ID]],#REF!,#REF!)</f>
        <v>#REF!</v>
      </c>
      <c r="BV739" s="200">
        <f>FMS_Ranking4[[#This Row],[Region Number]]</f>
        <v>6</v>
      </c>
      <c r="BW739" s="200">
        <f>FMS_Ranking4[[#This Row],[Rank (with ArcSinh normalization of select criteria)]]-FMS_Ranking4[[#This Row],[Rank
(with linear
normalization)]]</f>
        <v>128</v>
      </c>
      <c r="BX739" s="200" t="e">
        <f>FMS_Ranking4[[#This Row],[Log Rank]]-FMS_Ranking4[[#This Row],[Rank
(with linear
normalization)]]</f>
        <v>#REF!</v>
      </c>
      <c r="BY739" s="200" t="str">
        <f>IF(FMS_Ranking4[[#This Row],[FMS Type]]="Flood Measurement and Warning",FMS_Ranking4[[#This Row],[Rank (with ArcSinh normalization of select criteria)]],"")</f>
        <v/>
      </c>
      <c r="BZ739" s="200" t="str">
        <f>IF(FMS_Ranking4[[#This Row],[FMS Type]]="Regulatory and Guidance",FMS_Ranking4[[#This Row],[Rank (with ArcSinh normalization of select criteria)]],"")</f>
        <v/>
      </c>
      <c r="CA739" s="200">
        <f>IF(FMS_Ranking4[[#This Row],[FMS Type]]="Education and Outreach",FMS_Ranking4[[#This Row],[Rank (with ArcSinh normalization of select criteria)]],"")</f>
        <v>732</v>
      </c>
      <c r="CB739" s="200" t="str">
        <f>IF(FMS_Ranking4[[#This Row],[FMS Type]]="Property Acquisition and Structural Elevation",FMS_Ranking4[[#This Row],[Rank (with ArcSinh normalization of select criteria)]],"")</f>
        <v/>
      </c>
      <c r="CC739" s="200" t="str">
        <f>IF(FMS_Ranking4[[#This Row],[FMS Type]]="Infrastructure Projects",FMS_Ranking4[[#This Row],[Rank (with ArcSinh normalization of select criteria)]],"")</f>
        <v/>
      </c>
      <c r="CD739" s="200" t="str">
        <f>IF(FMS_Ranking4[[#This Row],[FMS Type]]="Other",FMS_Ranking4[[#This Row],[Rank (with ArcSinh normalization of select criteria)]],"")</f>
        <v/>
      </c>
      <c r="CE739" s="201"/>
      <c r="CF739" s="206"/>
      <c r="CG739" s="206"/>
      <c r="CH739" s="206"/>
      <c r="CI739" s="206"/>
      <c r="CJ739" s="206"/>
      <c r="CK739" s="206"/>
      <c r="CL739" s="206"/>
      <c r="CM739" s="206"/>
      <c r="CN739" s="206"/>
      <c r="CO739" s="206"/>
      <c r="CP739" s="206"/>
      <c r="CQ739" s="206"/>
      <c r="CR739" s="206"/>
    </row>
    <row r="740" spans="2:96" ht="45" x14ac:dyDescent="0.25">
      <c r="B740" s="341" t="s">
        <v>2534</v>
      </c>
      <c r="C740" s="246">
        <f>_xlfn.XLOOKUP(FMS_Ranking4[[#This Row],[FMS ID]],FMS_Input[FMS_ID],FMS_Input[RFPG_NUM])</f>
        <v>4</v>
      </c>
      <c r="D740" s="309" t="str">
        <f>_xlfn.XLOOKUP(FMS_Ranking4[[#This Row],[FMS ID]],FMS_Input[FMS_ID],FMS_Input[FMS_NAME])</f>
        <v>City of Wills Point Flood Infrastructure Maintenance</v>
      </c>
      <c r="E740" s="308" t="str">
        <f>_xlfn.XLOOKUP(FMS_Ranking4[[#This Row],[FMS ID]],FMS_Input[FMS_ID],FMS_Input[SPONSOR])</f>
        <v>00002589</v>
      </c>
      <c r="F740" s="309" t="str">
        <f>_xlfn.XLOOKUP(FMS_Ranking4[[#This Row],[FMS ID]],Sponsor[FMS_ID],Sponsor[SPONSOR NAME])</f>
        <v>Wills Point</v>
      </c>
      <c r="G740" s="309" t="str">
        <f>_xlfn.XLOOKUP(FMS_Ranking4[[#This Row],[FMS ID]],FMS_Input[FMS_ID],FMS_Input[FMS_DESCR])</f>
        <v>Adopt and implement a program for clearing debris from bridges, drains and culverts.</v>
      </c>
      <c r="H740" s="248" t="str">
        <f>_xlfn.XLOOKUP(FMS_Ranking4[[#This Row],[FMS ID]],FMS_Input[FMS_ID],FMS_Input[FMS_TYPE])</f>
        <v>Other</v>
      </c>
      <c r="I740" s="249">
        <f>_xlfn.XLOOKUP(FMS_Ranking4[[#This Row],[FMS ID]],FMS_Input[FMS_ID],FMS_Input[NRNC_COST])</f>
        <v>51000</v>
      </c>
      <c r="J740" s="250">
        <f>_xlfn.XLOOKUP(FMS_Ranking4[[#This Row],[FMS ID]],FMS_Input[FMS_ID],FMS_Input[FMS_COST])</f>
        <v>51000</v>
      </c>
      <c r="K740" s="251" t="str">
        <f>_xlfn.XLOOKUP(FMS_Ranking4[[#This Row],[FMS ID]],FMS_Input[FMS_ID],FMS_Input[EMER_NEED])</f>
        <v>No</v>
      </c>
      <c r="L740" s="252">
        <f t="shared" si="11"/>
        <v>0</v>
      </c>
      <c r="M740" s="253">
        <f>_xlfn.XLOOKUP(FMS_Ranking4[[#This Row],[FMS ID]],FMS_Input[FMS_ID],FMS_Input[STRUCT_100])</f>
        <v>12</v>
      </c>
      <c r="N740" s="255">
        <f>(ASINH(FMS_Ranking4[[#This Row],[Structure at Risk Raw]]))*(10)/(ASINH(M$4))</f>
        <v>2.4997848035776333</v>
      </c>
      <c r="O740" s="256">
        <f>FMS_Ranking4[[#This Row],[Structures at risk, ArcSinh (0-10)]]*M$5*10</f>
        <v>2.4997848035776333</v>
      </c>
      <c r="P740" s="253">
        <f>_xlfn.XLOOKUP(FMS_Ranking4[[#This Row],[FMS ID]],FMS_Input[FMS_ID],FMS_Input[RES_STRUCT100])</f>
        <v>4</v>
      </c>
      <c r="Q740" s="257">
        <f>ASINH(FMS_Ranking4[[#This Row],[Res Structure Raw]])/Q$4*P$5*100</f>
        <v>0</v>
      </c>
      <c r="R740" s="253">
        <f>_xlfn.XLOOKUP(FMS_Ranking4[[#This Row],[FMS ID]],FMS_Input[FMS_ID],FMS_Input[POP100])</f>
        <v>29</v>
      </c>
      <c r="S740" s="259">
        <f>(ASINH(FMS_Ranking4[[#This Row],[Pop at Risk Raw]]))*(10)/(ASINH(R$4))</f>
        <v>2.8033653287721343</v>
      </c>
      <c r="T740" s="256">
        <f>FMS_Ranking4[[#This Row],[Population at risk, ArcSinh (0-10)]]*R$5*10</f>
        <v>2.8033653287721343</v>
      </c>
      <c r="U740" s="253">
        <f>_xlfn.XLOOKUP(FMS_Ranking4[[#This Row],[FMS ID]],FMS_Input[FMS_ID],FMS_Input[CRITFAC100])</f>
        <v>0</v>
      </c>
      <c r="V740" s="259">
        <f>(ASINH(FMS_Ranking4[[#This Row],[Critical Facilities Raw]]))*(10)/(ASINH(U$4))</f>
        <v>0</v>
      </c>
      <c r="W740" s="256">
        <f>FMS_Ranking4[[#This Row],[Critical facilities at risk, ArcSinh (0-10)]]*U$5*10</f>
        <v>0</v>
      </c>
      <c r="X740" s="253">
        <f>_xlfn.XLOOKUP(FMS_Ranking4[[#This Row],[FMS ID]],FMS_Input[FMS_ID],FMS_Input[LWC])</f>
        <v>0</v>
      </c>
      <c r="Y740" s="259">
        <f>(ASINH(FMS_Ranking4[[#This Row],[LWC Raw]]))*(10)/(ASINH(X$4))</f>
        <v>0</v>
      </c>
      <c r="Z740" s="256">
        <f>FMS_Ranking4[[#This Row],[LWC, ArcSInh (0-10)]]*X$5*10</f>
        <v>0</v>
      </c>
      <c r="AA740" s="253">
        <f>_xlfn.XLOOKUP(FMS_Ranking4[[#This Row],[FMS ID]],FMS_Input[FMS_ID],FMS_Input[ROADCLS])</f>
        <v>0</v>
      </c>
      <c r="AB740" s="255">
        <f>(ASINH(FMS_Ranking4[[#This Row],[Road Closures Raw]]))*(10)/(ASINH(AA$4))</f>
        <v>0</v>
      </c>
      <c r="AC740" s="256">
        <f>FMS_Ranking4[[#This Row],[Road closures, ArcSinh (0-10)]]*AA$5*10</f>
        <v>0</v>
      </c>
      <c r="AD740" s="253">
        <f>_xlfn.XLOOKUP(FMS_Ranking4[[#This Row],[FMS ID]],FMS_Input[FMS_ID],FMS_Input[ROAD_MILES100])</f>
        <v>0</v>
      </c>
      <c r="AE740" s="259">
        <f>(ASINH(FMS_Ranking4[[#This Row],[Road Miles Raw]]))*(10)/(ASINH(AD$4))</f>
        <v>0</v>
      </c>
      <c r="AF740" s="256">
        <f>FMS_Ranking4[[#This Row],[Length of roads at risk, ArcSinh (0-10)]]*AD$5*10</f>
        <v>0</v>
      </c>
      <c r="AG740" s="253">
        <f>_xlfn.XLOOKUP(FMS_Ranking4[[#This Row],[FMS ID]],FMS_Input[FMS_ID],FMS_Input[FARMACRE100])</f>
        <v>47.200588226318359</v>
      </c>
      <c r="AH740" s="255">
        <f>(ASINH(FMS_Ranking4[[#This Row],[Ag Land Raw]]))*(10)/(ASINH(AG$4))</f>
        <v>2.9540793869352382</v>
      </c>
      <c r="AI740" s="260">
        <f>FMS_Ranking4[[#This Row],[Farm &amp; ranch land, ArcSinh (0-10)]]*AG$5*10</f>
        <v>1.4770396934676191</v>
      </c>
      <c r="AJ740" s="258">
        <f>_xlfn.XLOOKUP(FMS_Ranking4[[#This Row],[FMS ID]],FMS_Input[FMS_ID],FMS_Input[REDSTRUCT100])</f>
        <v>0</v>
      </c>
      <c r="AK740" s="253">
        <f>_xlfn.XLOOKUP(FMS_Ranking4[[#This Row],[FMS ID]],FMS_Input[FMS_ID],FMS_Input[REMSTRC100])</f>
        <v>0</v>
      </c>
      <c r="AL740" s="259">
        <f>(ASINH(FMS_Ranking4[[#This Row],[Structures Removed Raw]]))*(10)/(ASINH(AK$4))</f>
        <v>0</v>
      </c>
      <c r="AM740" s="262">
        <f>FMS_Ranking4[[#This Row],[Structures removed, ArcSinh (0-10)]]*AK$5*10</f>
        <v>0</v>
      </c>
      <c r="AN740" s="253">
        <f>_xlfn.XLOOKUP(FMS_Ranking4[[#This Row],[FMS ID]],FMS_Input[FMS_ID],FMS_Input[REMRESSTRC100])</f>
        <v>0</v>
      </c>
      <c r="AO740" s="261">
        <f>FMS_Ranking4[[#This Row],[ArcSinh Res struct removed 0-10]]*AN$5*10</f>
        <v>0</v>
      </c>
      <c r="AP740" s="260">
        <f>ASINH(FMS_Ranking4[[#This Row],[Residential Structures Removed Raw]])/AP$4*AN$5*100</f>
        <v>0</v>
      </c>
      <c r="AQ740" s="254">
        <f>(ASINH(FMS_Ranking4[[#This Row],[Residential Structures Removed Raw]]))*(10)/(ASINH(AN$4))</f>
        <v>0</v>
      </c>
      <c r="AR740" s="253">
        <f>_xlfn.XLOOKUP(FMS_Ranking4[[#This Row],[FMS ID]],FMS_Input[FMS_ID],FMS_Input[REMPOP100])</f>
        <v>0</v>
      </c>
      <c r="AS740" s="259">
        <f>(ASINH(FMS_Ranking4[[#This Row],[Removed Pop Raw]]))*(10)/(ASINH(AR$4))</f>
        <v>0</v>
      </c>
      <c r="AT740" s="262">
        <f>FMS_Ranking4[[#This Row],[Removed population, ArcSinh (0-10)]]*AR$5*10</f>
        <v>0</v>
      </c>
      <c r="AU740" s="264">
        <f>_xlfn.XLOOKUP(FMS_Ranking4[[#This Row],[FMS ID]],FMS_Input[FMS_ID],FMS_Input[REMCRITFAC100])</f>
        <v>0</v>
      </c>
      <c r="AV740" s="264">
        <f>_xlfn.XLOOKUP(FMS_Ranking4[[#This Row],[FMS ID]],FMS_Input[FMS_ID],FMS_Input[REMLWC100])</f>
        <v>0</v>
      </c>
      <c r="AW740" s="264">
        <f>_xlfn.XLOOKUP(FMS_Ranking4[[#This Row],[FMS ID]],FMS_Input[FMS_ID],FMS_Input[REMROADCLS])</f>
        <v>0</v>
      </c>
      <c r="AX740" s="264">
        <f>_xlfn.XLOOKUP(FMS_Ranking4[[#This Row],[FMS ID]],FMS_Input[FMS_ID],FMS_Input[REMFRMACRE100])</f>
        <v>0</v>
      </c>
      <c r="AY740" s="258">
        <f>_xlfn.XLOOKUP(FMS_Ranking4[[#This Row],[FMS ID]],FMS_Input[FMS_ID],FMS_Input[COSTSTRUCT])</f>
        <v>0</v>
      </c>
      <c r="AZ740" s="253">
        <f>_xlfn.XLOOKUP(FMS_Ranking4[[#This Row],[FMS ID]],FMS_Input[FMS_ID],FMS_Input[NATURE])</f>
        <v>0</v>
      </c>
      <c r="BA740" s="262">
        <f>(((FMS_Ranking4[[#This Row],[% NBS Raw]]/AZ$4)*100)*AZ$5)</f>
        <v>0</v>
      </c>
      <c r="BB740" s="251" t="str">
        <f>_xlfn.XLOOKUP(FMS_Ranking4[[#This Row],[FMS ID]],FMS_Input[FMS_ID],FMS_Input[WATER_SUP])</f>
        <v>No</v>
      </c>
      <c r="BC740" s="265">
        <f>IF(FMS_Ranking4[[#This Row],[Water Supply Raw]]="Yes",10,0)</f>
        <v>0</v>
      </c>
      <c r="BD740" s="266">
        <f>_xlfn.XLOOKUP(FMS_Ranking4[[#This Row],[FMS Type]],FMS_TYPE[FMS_Type],FMS_TYPE[Score])</f>
        <v>2</v>
      </c>
      <c r="BE740" s="267">
        <f>FMS_Ranking4[[#This Row],[FMS_Type Score]]*$BD$5*10</f>
        <v>0.5</v>
      </c>
      <c r="BF740"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1.1117906012142087E-3</v>
      </c>
      <c r="BG740" s="271">
        <f>_xlfn.RANK.EQ(BF740,$BF$8:$BF$870,0)+COUNTIF($BF$8:BF740,BF740)-1</f>
        <v>747</v>
      </c>
      <c r="BH740" s="268">
        <f>(((FMS_Ranking4[[#This Row],[Structures Removed Raw]]/AK$4)*100)*AK$5)+(((FMS_Ranking4[[#This Row],[Removed Pop Raw]]/AR$4)*100)*AR$5)</f>
        <v>0</v>
      </c>
      <c r="BI74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0.50111179060121425</v>
      </c>
      <c r="BJ740" s="205">
        <f>_xlfn.RANK.EQ(FMS_Ranking4[[#This Row],[Total Score 
(with linear
normalization)]],FMS_Ranking4[Total Score 
(with linear
normalization)],0)</f>
        <v>855</v>
      </c>
      <c r="BK740" s="205" t="e">
        <f>_xlfn.XLOOKUP(FMS_Ranking4[[#This Row],[FMS ID]],#REF!,#REF!)</f>
        <v>#REF!</v>
      </c>
      <c r="BL740"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6.7801898258173861</v>
      </c>
      <c r="BM740" s="272">
        <f>FMS_Ranking4[[#This Row],[ArcSinh Score Based on Normalized Reported Factors]]+FMS_Ranking4[[#This Row],[% NBS Score (Normalized)]]+(FMS_Ranking4[[#This Row],[Water Supply Score (Normalized)]]*10*$BB$5)+FMS_Ranking4[[#This Row],[FMS_Type Score Weighted]]</f>
        <v>7.2801898258173861</v>
      </c>
      <c r="BN740" s="205">
        <f>_xlfn.RANK.EQ(FMS_Ranking4[[#This Row],[Total Score (with ArcSinh normalization of select criteria)]],FMS_Ranking4[Total Score (with ArcSinh normalization of select criteria)],0)</f>
        <v>733</v>
      </c>
      <c r="BO740" s="270" t="str">
        <f>_xlfn.XLOOKUP(FMS_Ranking4[[#This Row],[FMS ID]],FMS_Input[FMS_ID],FMS_Input[FMS_RANK_YEAR])</f>
        <v>2023 Amended Plan</v>
      </c>
      <c r="BP740" s="204">
        <f>_xlfn.XLOOKUP(FMS_Ranking4[[#This Row],[FMS ID]],Prev_Rank[FMS ID],Prev_Rank[Prev Rank])</f>
        <v>661</v>
      </c>
      <c r="BQ740" s="205" t="e">
        <f>_xlfn.XLOOKUP(FMS_Ranking4[[#This Row],[FMS ID]],#REF!,#REF!)</f>
        <v>#REF!</v>
      </c>
      <c r="BR740" s="199" t="e">
        <f>SUM(#REF!,#REF!,#REF!,#REF!,#REF!,#REF!,#REF!,#REF!,#REF!,FMS_Ranking4[[#This Row],[ArcSinh Res struct removed 0-10]],#REF!)</f>
        <v>#REF!</v>
      </c>
      <c r="BS740" s="199" t="e">
        <f>FMS_Ranking4[[#This Row],[Log Score Based on Normalized Reported Factors]]+FMS_Ranking4[[#This Row],[% NBS Score (Normalized)]]+(FMS_Ranking4[[#This Row],[Water Supply Score (Normalized)]]*10*$BB$5)+(FMS_Ranking4[[#This Row],[FMS_Type Score Weighted]])</f>
        <v>#REF!</v>
      </c>
      <c r="BT740" s="200" t="e">
        <f>_xlfn.RANK.EQ(FMS_Ranking4[[#This Row],[Log Total Score]],FMS_Ranking4[Log Total Score],0)</f>
        <v>#REF!</v>
      </c>
      <c r="BU740" s="200" t="e">
        <f>_xlfn.XLOOKUP(FMS_Ranking4[[#This Row],[FMS ID]],#REF!,#REF!)</f>
        <v>#REF!</v>
      </c>
      <c r="BV740" s="200">
        <f>FMS_Ranking4[[#This Row],[Region Number]]</f>
        <v>4</v>
      </c>
      <c r="BW740" s="200">
        <f>FMS_Ranking4[[#This Row],[Rank (with ArcSinh normalization of select criteria)]]-FMS_Ranking4[[#This Row],[Rank
(with linear
normalization)]]</f>
        <v>-122</v>
      </c>
      <c r="BX740" s="200" t="e">
        <f>FMS_Ranking4[[#This Row],[Log Rank]]-FMS_Ranking4[[#This Row],[Rank
(with linear
normalization)]]</f>
        <v>#REF!</v>
      </c>
      <c r="BY740" s="200" t="str">
        <f>IF(FMS_Ranking4[[#This Row],[FMS Type]]="Flood Measurement and Warning",FMS_Ranking4[[#This Row],[Rank (with ArcSinh normalization of select criteria)]],"")</f>
        <v/>
      </c>
      <c r="BZ740" s="200" t="str">
        <f>IF(FMS_Ranking4[[#This Row],[FMS Type]]="Regulatory and Guidance",FMS_Ranking4[[#This Row],[Rank (with ArcSinh normalization of select criteria)]],"")</f>
        <v/>
      </c>
      <c r="CA740" s="200" t="str">
        <f>IF(FMS_Ranking4[[#This Row],[FMS Type]]="Education and Outreach",FMS_Ranking4[[#This Row],[Rank (with ArcSinh normalization of select criteria)]],"")</f>
        <v/>
      </c>
      <c r="CB740" s="200" t="str">
        <f>IF(FMS_Ranking4[[#This Row],[FMS Type]]="Property Acquisition and Structural Elevation",FMS_Ranking4[[#This Row],[Rank (with ArcSinh normalization of select criteria)]],"")</f>
        <v/>
      </c>
      <c r="CC740" s="200" t="str">
        <f>IF(FMS_Ranking4[[#This Row],[FMS Type]]="Infrastructure Projects",FMS_Ranking4[[#This Row],[Rank (with ArcSinh normalization of select criteria)]],"")</f>
        <v/>
      </c>
      <c r="CD740" s="200">
        <f>IF(FMS_Ranking4[[#This Row],[FMS Type]]="Other",FMS_Ranking4[[#This Row],[Rank (with ArcSinh normalization of select criteria)]],"")</f>
        <v>733</v>
      </c>
      <c r="CE740" s="201"/>
      <c r="CF740" s="206"/>
      <c r="CG740" s="206"/>
      <c r="CH740" s="206"/>
      <c r="CI740" s="206"/>
      <c r="CJ740" s="206"/>
      <c r="CK740" s="206"/>
      <c r="CL740" s="206"/>
      <c r="CM740" s="206"/>
      <c r="CN740" s="206"/>
      <c r="CO740" s="206"/>
      <c r="CP740" s="206"/>
      <c r="CQ740" s="206"/>
      <c r="CR740" s="206"/>
    </row>
    <row r="741" spans="2:96" ht="90" x14ac:dyDescent="0.25">
      <c r="B741" s="341" t="s">
        <v>2110</v>
      </c>
      <c r="C741" s="246">
        <f>_xlfn.XLOOKUP(FMS_Ranking4[[#This Row],[FMS ID]],FMS_Input[FMS_ID],FMS_Input[RFPG_NUM])</f>
        <v>3</v>
      </c>
      <c r="D741" s="309" t="str">
        <f>_xlfn.XLOOKUP(FMS_Ranking4[[#This Row],[FMS ID]],FMS_Input[FMS_ID],FMS_Input[FMS_NAME])</f>
        <v>Caney City Floodproofing Ordinances</v>
      </c>
      <c r="E741" s="308" t="str">
        <f>_xlfn.XLOOKUP(FMS_Ranking4[[#This Row],[FMS ID]],FMS_Input[FMS_ID],FMS_Input[SPONSOR])</f>
        <v>Caney City</v>
      </c>
      <c r="F741" s="309" t="str">
        <f>_xlfn.XLOOKUP(FMS_Ranking4[[#This Row],[FMS ID]],Sponsor[FMS_ID],Sponsor[SPONSOR NAME])</f>
        <v>Caney City</v>
      </c>
      <c r="G741" s="309" t="str">
        <f>_xlfn.XLOOKUP(FMS_Ranking4[[#This Row],[FMS ID]],FMS_Input[FMS_ID],FMS_Input[FMS_DESCR])</f>
        <v>Implement ordinances to ensure new housing developments meet current floodproofing, as well as ensure that critical facilities owned by jurisdiction are protected from flood.</v>
      </c>
      <c r="H741" s="248" t="str">
        <f>_xlfn.XLOOKUP(FMS_Ranking4[[#This Row],[FMS ID]],FMS_Input[FMS_ID],FMS_Input[FMS_TYPE])</f>
        <v>Regulatory and Guidance</v>
      </c>
      <c r="I741" s="249">
        <f>_xlfn.XLOOKUP(FMS_Ranking4[[#This Row],[FMS ID]],FMS_Input[FMS_ID],FMS_Input[NRNC_COST])</f>
        <v>100000</v>
      </c>
      <c r="J741" s="250">
        <f>_xlfn.XLOOKUP(FMS_Ranking4[[#This Row],[FMS ID]],FMS_Input[FMS_ID],FMS_Input[FMS_COST])</f>
        <v>100000</v>
      </c>
      <c r="K741" s="251" t="str">
        <f>_xlfn.XLOOKUP(FMS_Ranking4[[#This Row],[FMS ID]],FMS_Input[FMS_ID],FMS_Input[EMER_NEED])</f>
        <v>No</v>
      </c>
      <c r="L741" s="252">
        <f t="shared" si="11"/>
        <v>0</v>
      </c>
      <c r="M741" s="253">
        <f>_xlfn.XLOOKUP(FMS_Ranking4[[#This Row],[FMS ID]],FMS_Input[FMS_ID],FMS_Input[STRUCT_100])</f>
        <v>8</v>
      </c>
      <c r="N741" s="255">
        <f>(ASINH(FMS_Ranking4[[#This Row],[Structure at Risk Raw]]))*(10)/(ASINH(M$4))</f>
        <v>2.1827206114662263</v>
      </c>
      <c r="O741" s="256">
        <f>FMS_Ranking4[[#This Row],[Structures at risk, ArcSinh (0-10)]]*M$5*10</f>
        <v>2.1827206114662263</v>
      </c>
      <c r="P741" s="253">
        <f>_xlfn.XLOOKUP(FMS_Ranking4[[#This Row],[FMS ID]],FMS_Input[FMS_ID],FMS_Input[RES_STRUCT100])</f>
        <v>5</v>
      </c>
      <c r="Q741" s="257">
        <f>ASINH(FMS_Ranking4[[#This Row],[Res Structure Raw]])/Q$4*P$5*100</f>
        <v>0</v>
      </c>
      <c r="R741" s="253">
        <f>_xlfn.XLOOKUP(FMS_Ranking4[[#This Row],[FMS ID]],FMS_Input[FMS_ID],FMS_Input[POP100])</f>
        <v>4</v>
      </c>
      <c r="S741" s="259">
        <f>(ASINH(FMS_Ranking4[[#This Row],[Pop at Risk Raw]]))*(10)/(ASINH(R$4))</f>
        <v>1.4461020212053632</v>
      </c>
      <c r="T741" s="256">
        <f>FMS_Ranking4[[#This Row],[Population at risk, ArcSinh (0-10)]]*R$5*10</f>
        <v>1.4461020212053632</v>
      </c>
      <c r="U741" s="253">
        <f>_xlfn.XLOOKUP(FMS_Ranking4[[#This Row],[FMS ID]],FMS_Input[FMS_ID],FMS_Input[CRITFAC100])</f>
        <v>0</v>
      </c>
      <c r="V741" s="259">
        <f>(ASINH(FMS_Ranking4[[#This Row],[Critical Facilities Raw]]))*(10)/(ASINH(U$4))</f>
        <v>0</v>
      </c>
      <c r="W741" s="256">
        <f>FMS_Ranking4[[#This Row],[Critical facilities at risk, ArcSinh (0-10)]]*U$5*10</f>
        <v>0</v>
      </c>
      <c r="X741" s="253">
        <f>_xlfn.XLOOKUP(FMS_Ranking4[[#This Row],[FMS ID]],FMS_Input[FMS_ID],FMS_Input[LWC])</f>
        <v>0</v>
      </c>
      <c r="Y741" s="259">
        <f>(ASINH(FMS_Ranking4[[#This Row],[LWC Raw]]))*(10)/(ASINH(X$4))</f>
        <v>0</v>
      </c>
      <c r="Z741" s="256">
        <f>FMS_Ranking4[[#This Row],[LWC, ArcSInh (0-10)]]*X$5*10</f>
        <v>0</v>
      </c>
      <c r="AA741" s="253">
        <f>_xlfn.XLOOKUP(FMS_Ranking4[[#This Row],[FMS ID]],FMS_Input[FMS_ID],FMS_Input[ROADCLS])</f>
        <v>0</v>
      </c>
      <c r="AB741" s="255">
        <f>(ASINH(FMS_Ranking4[[#This Row],[Road Closures Raw]]))*(10)/(ASINH(AA$4))</f>
        <v>0</v>
      </c>
      <c r="AC741" s="256">
        <f>FMS_Ranking4[[#This Row],[Road closures, ArcSinh (0-10)]]*AA$5*10</f>
        <v>0</v>
      </c>
      <c r="AD741" s="253">
        <f>_xlfn.XLOOKUP(FMS_Ranking4[[#This Row],[FMS ID]],FMS_Input[FMS_ID],FMS_Input[ROAD_MILES100])</f>
        <v>1</v>
      </c>
      <c r="AE741" s="259">
        <f>(ASINH(FMS_Ranking4[[#This Row],[Road Miles Raw]]))*(10)/(ASINH(AD$4))</f>
        <v>0.9393017565219649</v>
      </c>
      <c r="AF741" s="256">
        <f>FMS_Ranking4[[#This Row],[Length of roads at risk, ArcSinh (0-10)]]*AD$5*10</f>
        <v>0.93930175652196501</v>
      </c>
      <c r="AG741" s="253">
        <f>_xlfn.XLOOKUP(FMS_Ranking4[[#This Row],[FMS ID]],FMS_Input[FMS_ID],FMS_Input[FARMACRE100])</f>
        <v>4.056757926940918</v>
      </c>
      <c r="AH741" s="255">
        <f>(ASINH(FMS_Ranking4[[#This Row],[Ag Land Raw]]))*(10)/(ASINH(AG$4))</f>
        <v>1.3695692760950355</v>
      </c>
      <c r="AI741" s="260">
        <f>FMS_Ranking4[[#This Row],[Farm &amp; ranch land, ArcSinh (0-10)]]*AG$5*10</f>
        <v>0.68478463804751777</v>
      </c>
      <c r="AJ741" s="258">
        <f>_xlfn.XLOOKUP(FMS_Ranking4[[#This Row],[FMS ID]],FMS_Input[FMS_ID],FMS_Input[REDSTRUCT100])</f>
        <v>0</v>
      </c>
      <c r="AK741" s="253">
        <f>_xlfn.XLOOKUP(FMS_Ranking4[[#This Row],[FMS ID]],FMS_Input[FMS_ID],FMS_Input[REMSTRC100])</f>
        <v>0</v>
      </c>
      <c r="AL741" s="259">
        <f>(ASINH(FMS_Ranking4[[#This Row],[Structures Removed Raw]]))*(10)/(ASINH(AK$4))</f>
        <v>0</v>
      </c>
      <c r="AM741" s="262">
        <f>FMS_Ranking4[[#This Row],[Structures removed, ArcSinh (0-10)]]*AK$5*10</f>
        <v>0</v>
      </c>
      <c r="AN741" s="253">
        <f>_xlfn.XLOOKUP(FMS_Ranking4[[#This Row],[FMS ID]],FMS_Input[FMS_ID],FMS_Input[REMRESSTRC100])</f>
        <v>0</v>
      </c>
      <c r="AO741" s="261">
        <f>FMS_Ranking4[[#This Row],[ArcSinh Res struct removed 0-10]]*AN$5*10</f>
        <v>0</v>
      </c>
      <c r="AP741" s="260">
        <f>ASINH(FMS_Ranking4[[#This Row],[Residential Structures Removed Raw]])/AP$4*AN$5*100</f>
        <v>0</v>
      </c>
      <c r="AQ741" s="254">
        <f>(ASINH(FMS_Ranking4[[#This Row],[Residential Structures Removed Raw]]))*(10)/(ASINH(AN$4))</f>
        <v>0</v>
      </c>
      <c r="AR741" s="253">
        <f>_xlfn.XLOOKUP(FMS_Ranking4[[#This Row],[FMS ID]],FMS_Input[FMS_ID],FMS_Input[REMPOP100])</f>
        <v>0</v>
      </c>
      <c r="AS741" s="259">
        <f>(ASINH(FMS_Ranking4[[#This Row],[Removed Pop Raw]]))*(10)/(ASINH(AR$4))</f>
        <v>0</v>
      </c>
      <c r="AT741" s="262">
        <f>FMS_Ranking4[[#This Row],[Removed population, ArcSinh (0-10)]]*AR$5*10</f>
        <v>0</v>
      </c>
      <c r="AU741" s="264">
        <f>_xlfn.XLOOKUP(FMS_Ranking4[[#This Row],[FMS ID]],FMS_Input[FMS_ID],FMS_Input[REMCRITFAC100])</f>
        <v>0</v>
      </c>
      <c r="AV741" s="264">
        <f>_xlfn.XLOOKUP(FMS_Ranking4[[#This Row],[FMS ID]],FMS_Input[FMS_ID],FMS_Input[REMLWC100])</f>
        <v>0</v>
      </c>
      <c r="AW741" s="264">
        <f>_xlfn.XLOOKUP(FMS_Ranking4[[#This Row],[FMS ID]],FMS_Input[FMS_ID],FMS_Input[REMROADCLS])</f>
        <v>0</v>
      </c>
      <c r="AX741" s="264">
        <f>_xlfn.XLOOKUP(FMS_Ranking4[[#This Row],[FMS ID]],FMS_Input[FMS_ID],FMS_Input[REMFRMACRE100])</f>
        <v>0</v>
      </c>
      <c r="AY741" s="258">
        <f>_xlfn.XLOOKUP(FMS_Ranking4[[#This Row],[FMS ID]],FMS_Input[FMS_ID],FMS_Input[COSTSTRUCT])</f>
        <v>0</v>
      </c>
      <c r="AZ741" s="253">
        <f>_xlfn.XLOOKUP(FMS_Ranking4[[#This Row],[FMS ID]],FMS_Input[FMS_ID],FMS_Input[NATURE])</f>
        <v>0</v>
      </c>
      <c r="BA741" s="262">
        <f>(((FMS_Ranking4[[#This Row],[% NBS Raw]]/AZ$4)*100)*AZ$5)</f>
        <v>0</v>
      </c>
      <c r="BB741" s="251" t="str">
        <f>_xlfn.XLOOKUP(FMS_Ranking4[[#This Row],[FMS ID]],FMS_Input[FMS_ID],FMS_Input[WATER_SUP])</f>
        <v>No</v>
      </c>
      <c r="BC741" s="265">
        <f>IF(FMS_Ranking4[[#This Row],[Water Supply Raw]]="Yes",10,0)</f>
        <v>0</v>
      </c>
      <c r="BD741" s="266">
        <f>_xlfn.XLOOKUP(FMS_Ranking4[[#This Row],[FMS Type]],FMS_TYPE[FMS_Type],FMS_TYPE[Score])</f>
        <v>8</v>
      </c>
      <c r="BE741" s="267">
        <f>FMS_Ranking4[[#This Row],[FMS_Type Score]]*$BD$5*10</f>
        <v>2</v>
      </c>
      <c r="BF741"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2.2100811604702981E-3</v>
      </c>
      <c r="BG741" s="271">
        <f>_xlfn.RANK.EQ(BF741,$BF$8:$BF$870,0)+COUNTIF($BF$8:BF741,BF741)-1</f>
        <v>720</v>
      </c>
      <c r="BH741" s="268">
        <f>(((FMS_Ranking4[[#This Row],[Structures Removed Raw]]/AK$4)*100)*AK$5)+(((FMS_Ranking4[[#This Row],[Removed Pop Raw]]/AR$4)*100)*AR$5)</f>
        <v>0</v>
      </c>
      <c r="BI74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2.0022100811604702</v>
      </c>
      <c r="BJ741" s="205">
        <f>_xlfn.RANK.EQ(FMS_Ranking4[[#This Row],[Total Score 
(with linear
normalization)]],FMS_Ranking4[Total Score 
(with linear
normalization)],0)</f>
        <v>451</v>
      </c>
      <c r="BK741" s="205" t="e">
        <f>_xlfn.XLOOKUP(FMS_Ranking4[[#This Row],[FMS ID]],#REF!,#REF!)</f>
        <v>#REF!</v>
      </c>
      <c r="BL741"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5.2529090272410723</v>
      </c>
      <c r="BM741" s="272">
        <f>FMS_Ranking4[[#This Row],[ArcSinh Score Based on Normalized Reported Factors]]+FMS_Ranking4[[#This Row],[% NBS Score (Normalized)]]+(FMS_Ranking4[[#This Row],[Water Supply Score (Normalized)]]*10*$BB$5)+FMS_Ranking4[[#This Row],[FMS_Type Score Weighted]]</f>
        <v>7.2529090272410723</v>
      </c>
      <c r="BN741" s="205">
        <f>_xlfn.RANK.EQ(FMS_Ranking4[[#This Row],[Total Score (with ArcSinh normalization of select criteria)]],FMS_Ranking4[Total Score (with ArcSinh normalization of select criteria)],0)</f>
        <v>734</v>
      </c>
      <c r="BO741" s="270" t="str">
        <f>_xlfn.XLOOKUP(FMS_Ranking4[[#This Row],[FMS ID]],FMS_Input[FMS_ID],FMS_Input[FMS_RANK_YEAR])</f>
        <v>2023 Amended Plan</v>
      </c>
      <c r="BP741" s="204">
        <f>_xlfn.XLOOKUP(FMS_Ranking4[[#This Row],[FMS ID]],Prev_Rank[FMS ID],Prev_Rank[Prev Rank])</f>
        <v>663</v>
      </c>
      <c r="BQ741" s="205" t="e">
        <f>_xlfn.XLOOKUP(FMS_Ranking4[[#This Row],[FMS ID]],#REF!,#REF!)</f>
        <v>#REF!</v>
      </c>
      <c r="BR741" s="199" t="e">
        <f>SUM(#REF!,#REF!,#REF!,#REF!,#REF!,#REF!,#REF!,#REF!,#REF!,FMS_Ranking4[[#This Row],[ArcSinh Res struct removed 0-10]],#REF!)</f>
        <v>#REF!</v>
      </c>
      <c r="BS741" s="199" t="e">
        <f>FMS_Ranking4[[#This Row],[Log Score Based on Normalized Reported Factors]]+FMS_Ranking4[[#This Row],[% NBS Score (Normalized)]]+(FMS_Ranking4[[#This Row],[Water Supply Score (Normalized)]]*10*$BB$5)+(FMS_Ranking4[[#This Row],[FMS_Type Score Weighted]])</f>
        <v>#REF!</v>
      </c>
      <c r="BT741" s="200" t="e">
        <f>_xlfn.RANK.EQ(FMS_Ranking4[[#This Row],[Log Total Score]],FMS_Ranking4[Log Total Score],0)</f>
        <v>#REF!</v>
      </c>
      <c r="BU741" s="200" t="e">
        <f>_xlfn.XLOOKUP(FMS_Ranking4[[#This Row],[FMS ID]],#REF!,#REF!)</f>
        <v>#REF!</v>
      </c>
      <c r="BV741" s="200">
        <f>FMS_Ranking4[[#This Row],[Region Number]]</f>
        <v>3</v>
      </c>
      <c r="BW741" s="200">
        <f>FMS_Ranking4[[#This Row],[Rank (with ArcSinh normalization of select criteria)]]-FMS_Ranking4[[#This Row],[Rank
(with linear
normalization)]]</f>
        <v>283</v>
      </c>
      <c r="BX741" s="200" t="e">
        <f>FMS_Ranking4[[#This Row],[Log Rank]]-FMS_Ranking4[[#This Row],[Rank
(with linear
normalization)]]</f>
        <v>#REF!</v>
      </c>
      <c r="BY741" s="200" t="str">
        <f>IF(FMS_Ranking4[[#This Row],[FMS Type]]="Flood Measurement and Warning",FMS_Ranking4[[#This Row],[Rank (with ArcSinh normalization of select criteria)]],"")</f>
        <v/>
      </c>
      <c r="BZ741" s="200">
        <f>IF(FMS_Ranking4[[#This Row],[FMS Type]]="Regulatory and Guidance",FMS_Ranking4[[#This Row],[Rank (with ArcSinh normalization of select criteria)]],"")</f>
        <v>734</v>
      </c>
      <c r="CA741" s="200" t="str">
        <f>IF(FMS_Ranking4[[#This Row],[FMS Type]]="Education and Outreach",FMS_Ranking4[[#This Row],[Rank (with ArcSinh normalization of select criteria)]],"")</f>
        <v/>
      </c>
      <c r="CB741" s="200" t="str">
        <f>IF(FMS_Ranking4[[#This Row],[FMS Type]]="Property Acquisition and Structural Elevation",FMS_Ranking4[[#This Row],[Rank (with ArcSinh normalization of select criteria)]],"")</f>
        <v/>
      </c>
      <c r="CC741" s="200" t="str">
        <f>IF(FMS_Ranking4[[#This Row],[FMS Type]]="Infrastructure Projects",FMS_Ranking4[[#This Row],[Rank (with ArcSinh normalization of select criteria)]],"")</f>
        <v/>
      </c>
      <c r="CD741" s="200" t="str">
        <f>IF(FMS_Ranking4[[#This Row],[FMS Type]]="Other",FMS_Ranking4[[#This Row],[Rank (with ArcSinh normalization of select criteria)]],"")</f>
        <v/>
      </c>
      <c r="CE741" s="201"/>
      <c r="CF741" s="206"/>
      <c r="CG741" s="206"/>
      <c r="CH741" s="206"/>
      <c r="CI741" s="206"/>
      <c r="CJ741" s="206"/>
      <c r="CK741" s="206"/>
      <c r="CL741" s="206"/>
      <c r="CM741" s="206"/>
      <c r="CN741" s="206"/>
      <c r="CO741" s="206"/>
      <c r="CP741" s="206"/>
      <c r="CQ741" s="206"/>
      <c r="CR741" s="206"/>
    </row>
    <row r="742" spans="2:96" ht="30" x14ac:dyDescent="0.25">
      <c r="B742" s="341" t="s">
        <v>1102</v>
      </c>
      <c r="C742" s="246">
        <f>_xlfn.XLOOKUP(FMS_Ranking4[[#This Row],[FMS ID]],FMS_Input[FMS_ID],FMS_Input[RFPG_NUM])</f>
        <v>1</v>
      </c>
      <c r="D742" s="309" t="str">
        <f>_xlfn.XLOOKUP(FMS_Ranking4[[#This Row],[FMS ID]],FMS_Input[FMS_ID],FMS_Input[FMS_NAME])</f>
        <v>Dean NFIP Involvement</v>
      </c>
      <c r="E742" s="308" t="str">
        <f>_xlfn.XLOOKUP(FMS_Ranking4[[#This Row],[FMS ID]],FMS_Input[FMS_ID],FMS_Input[SPONSOR])</f>
        <v>01002549</v>
      </c>
      <c r="F742" s="309" t="str">
        <f>_xlfn.XLOOKUP(FMS_Ranking4[[#This Row],[FMS ID]],Sponsor[FMS_ID],Sponsor[SPONSOR NAME])</f>
        <v>Dean</v>
      </c>
      <c r="G742" s="309" t="str">
        <f>_xlfn.XLOOKUP(FMS_Ranking4[[#This Row],[FMS ID]],FMS_Input[FMS_ID],FMS_Input[FMS_DESCR])</f>
        <v>Application to join NFIP or adopt equivalent standards</v>
      </c>
      <c r="H742" s="248" t="str">
        <f>_xlfn.XLOOKUP(FMS_Ranking4[[#This Row],[FMS ID]],FMS_Input[FMS_ID],FMS_Input[FMS_TYPE])</f>
        <v>Regulatory and Guidance</v>
      </c>
      <c r="I742" s="249">
        <f>_xlfn.XLOOKUP(FMS_Ranking4[[#This Row],[FMS ID]],FMS_Input[FMS_ID],FMS_Input[NRNC_COST])</f>
        <v>100000</v>
      </c>
      <c r="J742" s="250">
        <f>_xlfn.XLOOKUP(FMS_Ranking4[[#This Row],[FMS ID]],FMS_Input[FMS_ID],FMS_Input[FMS_COST])</f>
        <v>100000</v>
      </c>
      <c r="K742" s="251" t="str">
        <f>_xlfn.XLOOKUP(FMS_Ranking4[[#This Row],[FMS ID]],FMS_Input[FMS_ID],FMS_Input[EMER_NEED])</f>
        <v>No</v>
      </c>
      <c r="L742" s="252">
        <f t="shared" si="11"/>
        <v>0</v>
      </c>
      <c r="M742" s="253">
        <f>_xlfn.XLOOKUP(FMS_Ranking4[[#This Row],[FMS ID]],FMS_Input[FMS_ID],FMS_Input[STRUCT_100])</f>
        <v>3</v>
      </c>
      <c r="N742" s="255">
        <f>(ASINH(FMS_Ranking4[[#This Row],[Structure at Risk Raw]]))*(10)/(ASINH(M$4))</f>
        <v>1.4295696719071895</v>
      </c>
      <c r="O742" s="256">
        <f>FMS_Ranking4[[#This Row],[Structures at risk, ArcSinh (0-10)]]*M$5*10</f>
        <v>1.4295696719071895</v>
      </c>
      <c r="P742" s="253">
        <f>_xlfn.XLOOKUP(FMS_Ranking4[[#This Row],[FMS ID]],FMS_Input[FMS_ID],FMS_Input[RES_STRUCT100])</f>
        <v>0</v>
      </c>
      <c r="Q742" s="257">
        <f>ASINH(FMS_Ranking4[[#This Row],[Res Structure Raw]])/Q$4*P$5*100</f>
        <v>0</v>
      </c>
      <c r="R742" s="253">
        <f>_xlfn.XLOOKUP(FMS_Ranking4[[#This Row],[FMS ID]],FMS_Input[FMS_ID],FMS_Input[POP100])</f>
        <v>2</v>
      </c>
      <c r="S742" s="259">
        <f>(ASINH(FMS_Ranking4[[#This Row],[Pop at Risk Raw]]))*(10)/(ASINH(R$4))</f>
        <v>0.9966256139867492</v>
      </c>
      <c r="T742" s="256">
        <f>FMS_Ranking4[[#This Row],[Population at risk, ArcSinh (0-10)]]*R$5*10</f>
        <v>0.9966256139867492</v>
      </c>
      <c r="U742" s="253">
        <f>_xlfn.XLOOKUP(FMS_Ranking4[[#This Row],[FMS ID]],FMS_Input[FMS_ID],FMS_Input[CRITFAC100])</f>
        <v>0</v>
      </c>
      <c r="V742" s="259">
        <f>(ASINH(FMS_Ranking4[[#This Row],[Critical Facilities Raw]]))*(10)/(ASINH(U$4))</f>
        <v>0</v>
      </c>
      <c r="W742" s="256">
        <f>FMS_Ranking4[[#This Row],[Critical facilities at risk, ArcSinh (0-10)]]*U$5*10</f>
        <v>0</v>
      </c>
      <c r="X742" s="253">
        <f>_xlfn.XLOOKUP(FMS_Ranking4[[#This Row],[FMS ID]],FMS_Input[FMS_ID],FMS_Input[LWC])</f>
        <v>1</v>
      </c>
      <c r="Y742" s="259">
        <f>(ASINH(FMS_Ranking4[[#This Row],[LWC Raw]]))*(10)/(ASINH(X$4))</f>
        <v>1.1940300948531093</v>
      </c>
      <c r="Z742" s="256">
        <f>FMS_Ranking4[[#This Row],[LWC, ArcSInh (0-10)]]*X$5*10</f>
        <v>1.1940300948531093</v>
      </c>
      <c r="AA742" s="253">
        <f>_xlfn.XLOOKUP(FMS_Ranking4[[#This Row],[FMS ID]],FMS_Input[FMS_ID],FMS_Input[ROADCLS])</f>
        <v>2</v>
      </c>
      <c r="AB742" s="255">
        <f>(ASINH(FMS_Ranking4[[#This Row],[Road Closures Raw]]))*(10)/(ASINH(AA$4))</f>
        <v>1.5034138460359754</v>
      </c>
      <c r="AC742" s="256">
        <f>FMS_Ranking4[[#This Row],[Road closures, ArcSinh (0-10)]]*AA$5*10</f>
        <v>0.7517069230179878</v>
      </c>
      <c r="AD742" s="253">
        <f>_xlfn.XLOOKUP(FMS_Ranking4[[#This Row],[FMS ID]],FMS_Input[FMS_ID],FMS_Input[ROAD_MILES100])</f>
        <v>0</v>
      </c>
      <c r="AE742" s="259">
        <f>(ASINH(FMS_Ranking4[[#This Row],[Road Miles Raw]]))*(10)/(ASINH(AD$4))</f>
        <v>0</v>
      </c>
      <c r="AF742" s="256">
        <f>FMS_Ranking4[[#This Row],[Length of roads at risk, ArcSinh (0-10)]]*AD$5*10</f>
        <v>0</v>
      </c>
      <c r="AG742" s="253">
        <f>_xlfn.XLOOKUP(FMS_Ranking4[[#This Row],[FMS ID]],FMS_Input[FMS_ID],FMS_Input[FARMACRE100])</f>
        <v>6.4257159233093262</v>
      </c>
      <c r="AH742" s="255">
        <f>(ASINH(FMS_Ranking4[[#This Row],[Ag Land Raw]]))*(10)/(ASINH(AG$4))</f>
        <v>1.6625750147037797</v>
      </c>
      <c r="AI742" s="260">
        <f>FMS_Ranking4[[#This Row],[Farm &amp; ranch land, ArcSinh (0-10)]]*AG$5*10</f>
        <v>0.83128750735188994</v>
      </c>
      <c r="AJ742" s="258">
        <f>_xlfn.XLOOKUP(FMS_Ranking4[[#This Row],[FMS ID]],FMS_Input[FMS_ID],FMS_Input[REDSTRUCT100])</f>
        <v>0</v>
      </c>
      <c r="AK742" s="253">
        <f>_xlfn.XLOOKUP(FMS_Ranking4[[#This Row],[FMS ID]],FMS_Input[FMS_ID],FMS_Input[REMSTRC100])</f>
        <v>0</v>
      </c>
      <c r="AL742" s="259">
        <f>(ASINH(FMS_Ranking4[[#This Row],[Structures Removed Raw]]))*(10)/(ASINH(AK$4))</f>
        <v>0</v>
      </c>
      <c r="AM742" s="262">
        <f>FMS_Ranking4[[#This Row],[Structures removed, ArcSinh (0-10)]]*AK$5*10</f>
        <v>0</v>
      </c>
      <c r="AN742" s="253">
        <f>_xlfn.XLOOKUP(FMS_Ranking4[[#This Row],[FMS ID]],FMS_Input[FMS_ID],FMS_Input[REMRESSTRC100])</f>
        <v>0</v>
      </c>
      <c r="AO742" s="261">
        <f>FMS_Ranking4[[#This Row],[ArcSinh Res struct removed 0-10]]*AN$5*10</f>
        <v>0</v>
      </c>
      <c r="AP742" s="260">
        <f>ASINH(FMS_Ranking4[[#This Row],[Residential Structures Removed Raw]])/AP$4*AN$5*100</f>
        <v>0</v>
      </c>
      <c r="AQ742" s="254">
        <f>(ASINH(FMS_Ranking4[[#This Row],[Residential Structures Removed Raw]]))*(10)/(ASINH(AN$4))</f>
        <v>0</v>
      </c>
      <c r="AR742" s="253">
        <f>_xlfn.XLOOKUP(FMS_Ranking4[[#This Row],[FMS ID]],FMS_Input[FMS_ID],FMS_Input[REMPOP100])</f>
        <v>0</v>
      </c>
      <c r="AS742" s="259">
        <f>(ASINH(FMS_Ranking4[[#This Row],[Removed Pop Raw]]))*(10)/(ASINH(AR$4))</f>
        <v>0</v>
      </c>
      <c r="AT742" s="262">
        <f>FMS_Ranking4[[#This Row],[Removed population, ArcSinh (0-10)]]*AR$5*10</f>
        <v>0</v>
      </c>
      <c r="AU742" s="264">
        <f>_xlfn.XLOOKUP(FMS_Ranking4[[#This Row],[FMS ID]],FMS_Input[FMS_ID],FMS_Input[REMCRITFAC100])</f>
        <v>0</v>
      </c>
      <c r="AV742" s="264">
        <f>_xlfn.XLOOKUP(FMS_Ranking4[[#This Row],[FMS ID]],FMS_Input[FMS_ID],FMS_Input[REMLWC100])</f>
        <v>0</v>
      </c>
      <c r="AW742" s="264">
        <f>_xlfn.XLOOKUP(FMS_Ranking4[[#This Row],[FMS ID]],FMS_Input[FMS_ID],FMS_Input[REMROADCLS])</f>
        <v>0</v>
      </c>
      <c r="AX742" s="264">
        <f>_xlfn.XLOOKUP(FMS_Ranking4[[#This Row],[FMS ID]],FMS_Input[FMS_ID],FMS_Input[REMFRMACRE100])</f>
        <v>0</v>
      </c>
      <c r="AY742" s="258">
        <f>_xlfn.XLOOKUP(FMS_Ranking4[[#This Row],[FMS ID]],FMS_Input[FMS_ID],FMS_Input[COSTSTRUCT])</f>
        <v>0</v>
      </c>
      <c r="AZ742" s="253">
        <f>_xlfn.XLOOKUP(FMS_Ranking4[[#This Row],[FMS ID]],FMS_Input[FMS_ID],FMS_Input[NATURE])</f>
        <v>0</v>
      </c>
      <c r="BA742" s="262">
        <f>(((FMS_Ranking4[[#This Row],[% NBS Raw]]/AZ$4)*100)*AZ$5)</f>
        <v>0</v>
      </c>
      <c r="BB742" s="251" t="str">
        <f>_xlfn.XLOOKUP(FMS_Ranking4[[#This Row],[FMS ID]],FMS_Input[FMS_ID],FMS_Input[WATER_SUP])</f>
        <v>No</v>
      </c>
      <c r="BC742" s="265">
        <f>IF(FMS_Ranking4[[#This Row],[Water Supply Raw]]="Yes",10,0)</f>
        <v>0</v>
      </c>
      <c r="BD742" s="266">
        <f>_xlfn.XLOOKUP(FMS_Ranking4[[#This Row],[FMS Type]],FMS_TYPE[FMS_Type],FMS_TYPE[Score])</f>
        <v>8</v>
      </c>
      <c r="BE742" s="267">
        <f>FMS_Ranking4[[#This Row],[FMS_Type Score]]*$BD$5*10</f>
        <v>2</v>
      </c>
      <c r="BF74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1.4017773964374156E-2</v>
      </c>
      <c r="BG742" s="271">
        <f>_xlfn.RANK.EQ(BF742,$BF$8:$BF$870,0)+COUNTIF($BF$8:BF742,BF742)-1</f>
        <v>660</v>
      </c>
      <c r="BH742" s="268">
        <f>(((FMS_Ranking4[[#This Row],[Structures Removed Raw]]/AK$4)*100)*AK$5)+(((FMS_Ranking4[[#This Row],[Removed Pop Raw]]/AR$4)*100)*AR$5)</f>
        <v>0</v>
      </c>
      <c r="BI74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2.0140177739643743</v>
      </c>
      <c r="BJ742" s="205">
        <f>_xlfn.RANK.EQ(FMS_Ranking4[[#This Row],[Total Score 
(with linear
normalization)]],FMS_Ranking4[Total Score 
(with linear
normalization)],0)</f>
        <v>419</v>
      </c>
      <c r="BK742" s="205" t="e">
        <f>_xlfn.XLOOKUP(FMS_Ranking4[[#This Row],[FMS ID]],#REF!,#REF!)</f>
        <v>#REF!</v>
      </c>
      <c r="BL74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5.2032198111169254</v>
      </c>
      <c r="BM742" s="272">
        <f>FMS_Ranking4[[#This Row],[ArcSinh Score Based on Normalized Reported Factors]]+FMS_Ranking4[[#This Row],[% NBS Score (Normalized)]]+(FMS_Ranking4[[#This Row],[Water Supply Score (Normalized)]]*10*$BB$5)+FMS_Ranking4[[#This Row],[FMS_Type Score Weighted]]</f>
        <v>7.2032198111169254</v>
      </c>
      <c r="BN742" s="205">
        <f>_xlfn.RANK.EQ(FMS_Ranking4[[#This Row],[Total Score (with ArcSinh normalization of select criteria)]],FMS_Ranking4[Total Score (with ArcSinh normalization of select criteria)],0)</f>
        <v>735</v>
      </c>
      <c r="BO742" s="270" t="str">
        <f>_xlfn.XLOOKUP(FMS_Ranking4[[#This Row],[FMS ID]],FMS_Input[FMS_ID],FMS_Input[FMS_RANK_YEAR])</f>
        <v>2023 Amended Plan</v>
      </c>
      <c r="BP742" s="204">
        <f>_xlfn.XLOOKUP(FMS_Ranking4[[#This Row],[FMS ID]],Prev_Rank[FMS ID],Prev_Rank[Prev Rank])</f>
        <v>666</v>
      </c>
      <c r="BQ742" s="205" t="e">
        <f>_xlfn.XLOOKUP(FMS_Ranking4[[#This Row],[FMS ID]],#REF!,#REF!)</f>
        <v>#REF!</v>
      </c>
      <c r="BR742" s="199" t="e">
        <f>SUM(#REF!,#REF!,#REF!,#REF!,#REF!,#REF!,#REF!,#REF!,#REF!,FMS_Ranking4[[#This Row],[ArcSinh Res struct removed 0-10]],#REF!)</f>
        <v>#REF!</v>
      </c>
      <c r="BS742" s="199" t="e">
        <f>FMS_Ranking4[[#This Row],[Log Score Based on Normalized Reported Factors]]+FMS_Ranking4[[#This Row],[% NBS Score (Normalized)]]+(FMS_Ranking4[[#This Row],[Water Supply Score (Normalized)]]*10*$BB$5)+(FMS_Ranking4[[#This Row],[FMS_Type Score Weighted]])</f>
        <v>#REF!</v>
      </c>
      <c r="BT742" s="200" t="e">
        <f>_xlfn.RANK.EQ(FMS_Ranking4[[#This Row],[Log Total Score]],FMS_Ranking4[Log Total Score],0)</f>
        <v>#REF!</v>
      </c>
      <c r="BU742" s="200" t="e">
        <f>_xlfn.XLOOKUP(FMS_Ranking4[[#This Row],[FMS ID]],#REF!,#REF!)</f>
        <v>#REF!</v>
      </c>
      <c r="BV742" s="200">
        <f>FMS_Ranking4[[#This Row],[Region Number]]</f>
        <v>1</v>
      </c>
      <c r="BW742" s="200">
        <f>FMS_Ranking4[[#This Row],[Rank (with ArcSinh normalization of select criteria)]]-FMS_Ranking4[[#This Row],[Rank
(with linear
normalization)]]</f>
        <v>316</v>
      </c>
      <c r="BX742" s="200" t="e">
        <f>FMS_Ranking4[[#This Row],[Log Rank]]-FMS_Ranking4[[#This Row],[Rank
(with linear
normalization)]]</f>
        <v>#REF!</v>
      </c>
      <c r="BY742" s="200" t="str">
        <f>IF(FMS_Ranking4[[#This Row],[FMS Type]]="Flood Measurement and Warning",FMS_Ranking4[[#This Row],[Rank (with ArcSinh normalization of select criteria)]],"")</f>
        <v/>
      </c>
      <c r="BZ742" s="200">
        <f>IF(FMS_Ranking4[[#This Row],[FMS Type]]="Regulatory and Guidance",FMS_Ranking4[[#This Row],[Rank (with ArcSinh normalization of select criteria)]],"")</f>
        <v>735</v>
      </c>
      <c r="CA742" s="200" t="str">
        <f>IF(FMS_Ranking4[[#This Row],[FMS Type]]="Education and Outreach",FMS_Ranking4[[#This Row],[Rank (with ArcSinh normalization of select criteria)]],"")</f>
        <v/>
      </c>
      <c r="CB742" s="200" t="str">
        <f>IF(FMS_Ranking4[[#This Row],[FMS Type]]="Property Acquisition and Structural Elevation",FMS_Ranking4[[#This Row],[Rank (with ArcSinh normalization of select criteria)]],"")</f>
        <v/>
      </c>
      <c r="CC742" s="200" t="str">
        <f>IF(FMS_Ranking4[[#This Row],[FMS Type]]="Infrastructure Projects",FMS_Ranking4[[#This Row],[Rank (with ArcSinh normalization of select criteria)]],"")</f>
        <v/>
      </c>
      <c r="CD742" s="200" t="str">
        <f>IF(FMS_Ranking4[[#This Row],[FMS Type]]="Other",FMS_Ranking4[[#This Row],[Rank (with ArcSinh normalization of select criteria)]],"")</f>
        <v/>
      </c>
      <c r="CE742" s="201"/>
      <c r="CF742" s="206"/>
      <c r="CG742" s="206"/>
      <c r="CH742" s="206"/>
      <c r="CI742" s="206"/>
      <c r="CJ742" s="206"/>
      <c r="CK742" s="206"/>
      <c r="CL742" s="206"/>
      <c r="CM742" s="206"/>
      <c r="CN742" s="206"/>
      <c r="CO742" s="206"/>
      <c r="CP742" s="206"/>
      <c r="CQ742" s="206"/>
      <c r="CR742" s="206"/>
    </row>
    <row r="743" spans="2:96" ht="60" x14ac:dyDescent="0.25">
      <c r="B743" s="346" t="s">
        <v>71</v>
      </c>
      <c r="C743" s="246">
        <f>_xlfn.XLOOKUP(FMS_Ranking4[[#This Row],[FMS ID]],FMS_Input[FMS_ID],FMS_Input[RFPG_NUM])</f>
        <v>6</v>
      </c>
      <c r="D743" s="309" t="str">
        <f>_xlfn.XLOOKUP(FMS_Ranking4[[#This Row],[FMS ID]],FMS_Input[FMS_ID],FMS_Input[FMS_NAME])</f>
        <v>City of Todd Mission Public Outreach &amp; Education</v>
      </c>
      <c r="E743" s="308" t="str">
        <f>_xlfn.XLOOKUP(FMS_Ranking4[[#This Row],[FMS ID]],FMS_Input[FMS_ID],FMS_Input[SPONSOR])</f>
        <v>06003415</v>
      </c>
      <c r="F743" s="309" t="str">
        <f>_xlfn.XLOOKUP(FMS_Ranking4[[#This Row],[FMS ID]],Sponsor[FMS_ID],Sponsor[SPONSOR NAME])</f>
        <v>Todd Mission</v>
      </c>
      <c r="G743" s="309" t="str">
        <f>_xlfn.XLOOKUP(FMS_Ranking4[[#This Row],[FMS ID]],FMS_Input[FMS_ID],FMS_Input[FMS_DESCR])</f>
        <v>Provide educational information related to preparedness, mitigation, response, and recovery to the public.</v>
      </c>
      <c r="H743" s="248" t="str">
        <f>_xlfn.XLOOKUP(FMS_Ranking4[[#This Row],[FMS ID]],FMS_Input[FMS_ID],FMS_Input[FMS_TYPE])</f>
        <v>Education and Outreach</v>
      </c>
      <c r="I743" s="249">
        <f>_xlfn.XLOOKUP(FMS_Ranking4[[#This Row],[FMS ID]],FMS_Input[FMS_ID],FMS_Input[NRNC_COST])</f>
        <v>1000</v>
      </c>
      <c r="J743" s="250">
        <f>_xlfn.XLOOKUP(FMS_Ranking4[[#This Row],[FMS ID]],FMS_Input[FMS_ID],FMS_Input[FMS_COST])</f>
        <v>20000</v>
      </c>
      <c r="K743" s="251" t="str">
        <f>_xlfn.XLOOKUP(FMS_Ranking4[[#This Row],[FMS ID]],FMS_Input[FMS_ID],FMS_Input[EMER_NEED])</f>
        <v>No</v>
      </c>
      <c r="L743" s="252">
        <f t="shared" si="11"/>
        <v>0</v>
      </c>
      <c r="M743" s="253">
        <f>_xlfn.XLOOKUP(FMS_Ranking4[[#This Row],[FMS ID]],FMS_Input[FMS_ID],FMS_Input[STRUCT_100])</f>
        <v>20</v>
      </c>
      <c r="N743" s="255">
        <f>(ASINH(FMS_Ranking4[[#This Row],[Structure at Risk Raw]]))*(10)/(ASINH(M$4))</f>
        <v>2.9004993843581</v>
      </c>
      <c r="O743" s="256">
        <f>FMS_Ranking4[[#This Row],[Structures at risk, ArcSinh (0-10)]]*M$5*10</f>
        <v>2.9004993843581</v>
      </c>
      <c r="P743" s="253">
        <f>_xlfn.XLOOKUP(FMS_Ranking4[[#This Row],[FMS ID]],FMS_Input[FMS_ID],FMS_Input[RES_STRUCT100])</f>
        <v>11</v>
      </c>
      <c r="Q743" s="257">
        <f>ASINH(FMS_Ranking4[[#This Row],[Res Structure Raw]])/Q$4*P$5*100</f>
        <v>0</v>
      </c>
      <c r="R743" s="253">
        <f>_xlfn.XLOOKUP(FMS_Ranking4[[#This Row],[FMS ID]],FMS_Input[FMS_ID],FMS_Input[POP100])</f>
        <v>16</v>
      </c>
      <c r="S743" s="255">
        <f>(ASINH(FMS_Ranking4[[#This Row],[Pop at Risk Raw]]))*(10)/(ASINH(R$4))</f>
        <v>2.3932724541966266</v>
      </c>
      <c r="T743" s="256">
        <f>FMS_Ranking4[[#This Row],[Population at risk, ArcSinh (0-10)]]*R$5*10</f>
        <v>2.3932724541966266</v>
      </c>
      <c r="U743" s="253">
        <f>_xlfn.XLOOKUP(FMS_Ranking4[[#This Row],[FMS ID]],FMS_Input[FMS_ID],FMS_Input[CRITFAC100])</f>
        <v>0</v>
      </c>
      <c r="V743" s="255">
        <f>(ASINH(FMS_Ranking4[[#This Row],[Critical Facilities Raw]]))*(10)/(ASINH(U$4))</f>
        <v>0</v>
      </c>
      <c r="W743" s="256">
        <f>FMS_Ranking4[[#This Row],[Critical facilities at risk, ArcSinh (0-10)]]*U$5*10</f>
        <v>0</v>
      </c>
      <c r="X743" s="253">
        <f>_xlfn.XLOOKUP(FMS_Ranking4[[#This Row],[FMS ID]],FMS_Input[FMS_ID],FMS_Input[LWC])</f>
        <v>0</v>
      </c>
      <c r="Y743" s="255">
        <f>(ASINH(FMS_Ranking4[[#This Row],[LWC Raw]]))*(10)/(ASINH(X$4))</f>
        <v>0</v>
      </c>
      <c r="Z743" s="256">
        <f>FMS_Ranking4[[#This Row],[LWC, ArcSInh (0-10)]]*X$5*10</f>
        <v>0</v>
      </c>
      <c r="AA743" s="253">
        <f>_xlfn.XLOOKUP(FMS_Ranking4[[#This Row],[FMS ID]],FMS_Input[FMS_ID],FMS_Input[ROADCLS])</f>
        <v>0</v>
      </c>
      <c r="AB743" s="255">
        <f>(ASINH(FMS_Ranking4[[#This Row],[Road Closures Raw]]))*(10)/(ASINH(AA$4))</f>
        <v>0</v>
      </c>
      <c r="AC743" s="256">
        <f>FMS_Ranking4[[#This Row],[Road closures, ArcSinh (0-10)]]*AA$5*10</f>
        <v>0</v>
      </c>
      <c r="AD743" s="253">
        <f>_xlfn.XLOOKUP(FMS_Ranking4[[#This Row],[FMS ID]],FMS_Input[FMS_ID],FMS_Input[ROAD_MILES100])</f>
        <v>0</v>
      </c>
      <c r="AE743" s="255">
        <f>(ASINH(FMS_Ranking4[[#This Row],[Road Miles Raw]]))*(10)/(ASINH(AD$4))</f>
        <v>0</v>
      </c>
      <c r="AF743" s="256">
        <f>FMS_Ranking4[[#This Row],[Length of roads at risk, ArcSinh (0-10)]]*AD$5*10</f>
        <v>0</v>
      </c>
      <c r="AG743" s="253">
        <f>_xlfn.XLOOKUP(FMS_Ranking4[[#This Row],[FMS ID]],FMS_Input[FMS_ID],FMS_Input[FARMACRE100])</f>
        <v>1.2848939895629881</v>
      </c>
      <c r="AH743" s="255">
        <f>(ASINH(FMS_Ranking4[[#This Row],[Ag Land Raw]]))*(10)/(ASINH(AG$4))</f>
        <v>0.69453707195979852</v>
      </c>
      <c r="AI743" s="260">
        <f>FMS_Ranking4[[#This Row],[Farm &amp; ranch land, ArcSinh (0-10)]]*AG$5*10</f>
        <v>0.34726853597989932</v>
      </c>
      <c r="AJ743" s="258">
        <f>_xlfn.XLOOKUP(FMS_Ranking4[[#This Row],[FMS ID]],FMS_Input[FMS_ID],FMS_Input[REDSTRUCT100])</f>
        <v>0</v>
      </c>
      <c r="AK743" s="253">
        <f>_xlfn.XLOOKUP(FMS_Ranking4[[#This Row],[FMS ID]],FMS_Input[FMS_ID],FMS_Input[REMSTRC100])</f>
        <v>0</v>
      </c>
      <c r="AL743" s="255">
        <f>(ASINH(FMS_Ranking4[[#This Row],[Structures Removed Raw]]))*(10)/(ASINH(AK$4))</f>
        <v>0</v>
      </c>
      <c r="AM743" s="262">
        <f>FMS_Ranking4[[#This Row],[Structures removed, ArcSinh (0-10)]]*AK$5*10</f>
        <v>0</v>
      </c>
      <c r="AN743" s="253">
        <f>_xlfn.XLOOKUP(FMS_Ranking4[[#This Row],[FMS ID]],FMS_Input[FMS_ID],FMS_Input[REMRESSTRC100])</f>
        <v>0</v>
      </c>
      <c r="AO743" s="261">
        <f>FMS_Ranking4[[#This Row],[ArcSinh Res struct removed 0-10]]*AN$5*10</f>
        <v>0</v>
      </c>
      <c r="AP743" s="260">
        <f>ASINH(FMS_Ranking4[[#This Row],[Residential Structures Removed Raw]])/AP$4*AN$5*100</f>
        <v>0</v>
      </c>
      <c r="AQ743" s="258">
        <f>(ASINH(FMS_Ranking4[[#This Row],[Residential Structures Removed Raw]]))*(10)/(ASINH(AN$4))</f>
        <v>0</v>
      </c>
      <c r="AR743" s="253">
        <f>_xlfn.XLOOKUP(FMS_Ranking4[[#This Row],[FMS ID]],FMS_Input[FMS_ID],FMS_Input[REMPOP100])</f>
        <v>0</v>
      </c>
      <c r="AS743" s="255">
        <f>(ASINH(FMS_Ranking4[[#This Row],[Removed Pop Raw]]))*(10)/(ASINH(AR$4))</f>
        <v>0</v>
      </c>
      <c r="AT743" s="262">
        <f>FMS_Ranking4[[#This Row],[Removed population, ArcSinh (0-10)]]*AR$5*10</f>
        <v>0</v>
      </c>
      <c r="AU743" s="264">
        <f>_xlfn.XLOOKUP(FMS_Ranking4[[#This Row],[FMS ID]],FMS_Input[FMS_ID],FMS_Input[REMCRITFAC100])</f>
        <v>0</v>
      </c>
      <c r="AV743" s="264">
        <f>_xlfn.XLOOKUP(FMS_Ranking4[[#This Row],[FMS ID]],FMS_Input[FMS_ID],FMS_Input[REMLWC100])</f>
        <v>0</v>
      </c>
      <c r="AW743" s="264">
        <f>_xlfn.XLOOKUP(FMS_Ranking4[[#This Row],[FMS ID]],FMS_Input[FMS_ID],FMS_Input[REMROADCLS])</f>
        <v>0</v>
      </c>
      <c r="AX743" s="264">
        <f>_xlfn.XLOOKUP(FMS_Ranking4[[#This Row],[FMS ID]],FMS_Input[FMS_ID],FMS_Input[REMFRMACRE100])</f>
        <v>0</v>
      </c>
      <c r="AY743" s="258">
        <f>_xlfn.XLOOKUP(FMS_Ranking4[[#This Row],[FMS ID]],FMS_Input[FMS_ID],FMS_Input[COSTSTRUCT])</f>
        <v>0</v>
      </c>
      <c r="AZ743" s="253">
        <f>_xlfn.XLOOKUP(FMS_Ranking4[[#This Row],[FMS ID]],FMS_Input[FMS_ID],FMS_Input[NATURE])</f>
        <v>0</v>
      </c>
      <c r="BA743" s="262">
        <f>(((FMS_Ranking4[[#This Row],[% NBS Raw]]/AZ$4)*100)*AZ$5)</f>
        <v>0</v>
      </c>
      <c r="BB743" s="251" t="str">
        <f>_xlfn.XLOOKUP(FMS_Ranking4[[#This Row],[FMS ID]],FMS_Input[FMS_ID],FMS_Input[WATER_SUP])</f>
        <v>No</v>
      </c>
      <c r="BC743" s="265">
        <f>IF(FMS_Ranking4[[#This Row],[Water Supply Raw]]="Yes",10,0)</f>
        <v>0</v>
      </c>
      <c r="BD743" s="266">
        <f>_xlfn.XLOOKUP(FMS_Ranking4[[#This Row],[FMS Type]],FMS_TYPE[FMS_Type],FMS_TYPE[Score])</f>
        <v>6</v>
      </c>
      <c r="BE743" s="267">
        <f>FMS_Ranking4[[#This Row],[FMS_Type Score]]*$BD$5*10</f>
        <v>1.5000000000000002</v>
      </c>
      <c r="BF743"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1.3624418529427018E-3</v>
      </c>
      <c r="BG743" s="293">
        <f>_xlfn.RANK.EQ(BF743,$BF$8:$BF$870,0)+COUNTIF($BF$8:BF743,BF743)-1</f>
        <v>741</v>
      </c>
      <c r="BH743" s="294">
        <f>(((FMS_Ranking4[[#This Row],[Structures Removed Raw]]/AK$4)*100)*AK$5)+(((FMS_Ranking4[[#This Row],[Removed Pop Raw]]/AR$4)*100)*AR$5)</f>
        <v>0</v>
      </c>
      <c r="BI74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1.501362441852943</v>
      </c>
      <c r="BJ743" s="251">
        <f>_xlfn.RANK.EQ(FMS_Ranking4[[#This Row],[Total Score 
(with linear
normalization)]],FMS_Ranking4[Total Score 
(with linear
normalization)],0)</f>
        <v>605</v>
      </c>
      <c r="BK743" s="251" t="e">
        <f>_xlfn.XLOOKUP(FMS_Ranking4[[#This Row],[FMS ID]],#REF!,#REF!)</f>
        <v>#REF!</v>
      </c>
      <c r="BL743"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5.6410403745346258</v>
      </c>
      <c r="BM743" s="324">
        <f>FMS_Ranking4[[#This Row],[ArcSinh Score Based on Normalized Reported Factors]]+FMS_Ranking4[[#This Row],[% NBS Score (Normalized)]]+(FMS_Ranking4[[#This Row],[Water Supply Score (Normalized)]]*10*$BB$5)+FMS_Ranking4[[#This Row],[FMS_Type Score Weighted]]</f>
        <v>7.1410403745346258</v>
      </c>
      <c r="BN743" s="251">
        <f>_xlfn.RANK.EQ(FMS_Ranking4[[#This Row],[Total Score (with ArcSinh normalization of select criteria)]],FMS_Ranking4[Total Score (with ArcSinh normalization of select criteria)],0)</f>
        <v>736</v>
      </c>
      <c r="BO743" s="270" t="str">
        <f>_xlfn.XLOOKUP(FMS_Ranking4[[#This Row],[FMS ID]],FMS_Input[FMS_ID],FMS_Input[FMS_RANK_YEAR])</f>
        <v>2023 Amended Plan</v>
      </c>
      <c r="BP743" s="324">
        <f>_xlfn.XLOOKUP(FMS_Ranking4[[#This Row],[FMS ID]],Prev_Rank[FMS ID],Prev_Rank[Prev Rank])</f>
        <v>665</v>
      </c>
      <c r="BQ743" s="251" t="e">
        <f>_xlfn.XLOOKUP(FMS_Ranking4[[#This Row],[FMS ID]],#REF!,#REF!)</f>
        <v>#REF!</v>
      </c>
      <c r="BR743" s="199" t="e">
        <f>SUM(#REF!,#REF!,#REF!,#REF!,#REF!,#REF!,#REF!,#REF!,#REF!,FMS_Ranking4[[#This Row],[ArcSinh Res struct removed 0-10]],#REF!)</f>
        <v>#REF!</v>
      </c>
      <c r="BS743" s="199" t="e">
        <f>FMS_Ranking4[[#This Row],[Log Score Based on Normalized Reported Factors]]+FMS_Ranking4[[#This Row],[% NBS Score (Normalized)]]+(FMS_Ranking4[[#This Row],[Water Supply Score (Normalized)]]*10*$BB$5)+(FMS_Ranking4[[#This Row],[FMS_Type Score Weighted]])</f>
        <v>#REF!</v>
      </c>
      <c r="BT743" s="200" t="e">
        <f>_xlfn.RANK.EQ(FMS_Ranking4[[#This Row],[Log Total Score]],FMS_Ranking4[Log Total Score],0)</f>
        <v>#REF!</v>
      </c>
      <c r="BU743" s="200" t="e">
        <f>_xlfn.XLOOKUP(FMS_Ranking4[[#This Row],[FMS ID]],#REF!,#REF!)</f>
        <v>#REF!</v>
      </c>
      <c r="BV743" s="200">
        <f>FMS_Ranking4[[#This Row],[Region Number]]</f>
        <v>6</v>
      </c>
      <c r="BW743" s="200">
        <f>FMS_Ranking4[[#This Row],[Rank (with ArcSinh normalization of select criteria)]]-FMS_Ranking4[[#This Row],[Rank
(with linear
normalization)]]</f>
        <v>131</v>
      </c>
      <c r="BX743" s="200" t="e">
        <f>FMS_Ranking4[[#This Row],[Log Rank]]-FMS_Ranking4[[#This Row],[Rank
(with linear
normalization)]]</f>
        <v>#REF!</v>
      </c>
      <c r="BY743" s="200" t="str">
        <f>IF(FMS_Ranking4[[#This Row],[FMS Type]]="Flood Measurement and Warning",FMS_Ranking4[[#This Row],[Rank (with ArcSinh normalization of select criteria)]],"")</f>
        <v/>
      </c>
      <c r="BZ743" s="200" t="str">
        <f>IF(FMS_Ranking4[[#This Row],[FMS Type]]="Regulatory and Guidance",FMS_Ranking4[[#This Row],[Rank (with ArcSinh normalization of select criteria)]],"")</f>
        <v/>
      </c>
      <c r="CA743" s="200">
        <f>IF(FMS_Ranking4[[#This Row],[FMS Type]]="Education and Outreach",FMS_Ranking4[[#This Row],[Rank (with ArcSinh normalization of select criteria)]],"")</f>
        <v>736</v>
      </c>
      <c r="CB743" s="200" t="str">
        <f>IF(FMS_Ranking4[[#This Row],[FMS Type]]="Property Acquisition and Structural Elevation",FMS_Ranking4[[#This Row],[Rank (with ArcSinh normalization of select criteria)]],"")</f>
        <v/>
      </c>
      <c r="CC743" s="200" t="str">
        <f>IF(FMS_Ranking4[[#This Row],[FMS Type]]="Infrastructure Projects",FMS_Ranking4[[#This Row],[Rank (with ArcSinh normalization of select criteria)]],"")</f>
        <v/>
      </c>
      <c r="CD743" s="200" t="str">
        <f>IF(FMS_Ranking4[[#This Row],[FMS Type]]="Other",FMS_Ranking4[[#This Row],[Rank (with ArcSinh normalization of select criteria)]],"")</f>
        <v/>
      </c>
      <c r="CE743" s="201"/>
      <c r="CF743" s="206"/>
      <c r="CG743" s="206"/>
      <c r="CH743" s="206"/>
      <c r="CI743" s="206"/>
      <c r="CJ743" s="206"/>
      <c r="CK743" s="206"/>
      <c r="CL743" s="206"/>
      <c r="CM743" s="206"/>
      <c r="CN743" s="206"/>
      <c r="CO743" s="206"/>
      <c r="CP743" s="206"/>
      <c r="CQ743" s="206"/>
      <c r="CR743" s="206"/>
    </row>
    <row r="744" spans="2:96" ht="45" x14ac:dyDescent="0.25">
      <c r="B744" s="341" t="s">
        <v>1535</v>
      </c>
      <c r="C744" s="246">
        <f>_xlfn.XLOOKUP(FMS_Ranking4[[#This Row],[FMS ID]],FMS_Input[FMS_ID],FMS_Input[RFPG_NUM])</f>
        <v>2</v>
      </c>
      <c r="D744" s="309" t="str">
        <f>_xlfn.XLOOKUP(FMS_Ranking4[[#This Row],[FMS ID]],FMS_Input[FMS_ID],FMS_Input[FMS_NAME])</f>
        <v>City of Cooper NFIP Involvement</v>
      </c>
      <c r="E744" s="308" t="str">
        <f>_xlfn.XLOOKUP(FMS_Ranking4[[#This Row],[FMS ID]],FMS_Input[FMS_ID],FMS_Input[SPONSOR])</f>
        <v>City of Cooper</v>
      </c>
      <c r="F744" s="309" t="str">
        <f>_xlfn.XLOOKUP(FMS_Ranking4[[#This Row],[FMS ID]],Sponsor[FMS_ID],Sponsor[SPONSOR NAME])</f>
        <v>City of Cooper</v>
      </c>
      <c r="G744" s="309" t="str">
        <f>_xlfn.XLOOKUP(FMS_Ranking4[[#This Row],[FMS ID]],FMS_Input[FMS_ID],FMS_Input[FMS_DESCR])</f>
        <v xml:space="preserve">Application to join NFIP or adoption of equivalent standards </v>
      </c>
      <c r="H744" s="248" t="str">
        <f>_xlfn.XLOOKUP(FMS_Ranking4[[#This Row],[FMS ID]],FMS_Input[FMS_ID],FMS_Input[FMS_TYPE])</f>
        <v>Regulatory and Guidance</v>
      </c>
      <c r="I744" s="249">
        <f>_xlfn.XLOOKUP(FMS_Ranking4[[#This Row],[FMS ID]],FMS_Input[FMS_ID],FMS_Input[NRNC_COST])</f>
        <v>100000</v>
      </c>
      <c r="J744" s="250">
        <f>_xlfn.XLOOKUP(FMS_Ranking4[[#This Row],[FMS ID]],FMS_Input[FMS_ID],FMS_Input[FMS_COST])</f>
        <v>100000</v>
      </c>
      <c r="K744" s="251" t="str">
        <f>_xlfn.XLOOKUP(FMS_Ranking4[[#This Row],[FMS ID]],FMS_Input[FMS_ID],FMS_Input[EMER_NEED])</f>
        <v>No</v>
      </c>
      <c r="L744" s="252">
        <f t="shared" si="11"/>
        <v>0</v>
      </c>
      <c r="M744" s="253">
        <f>_xlfn.XLOOKUP(FMS_Ranking4[[#This Row],[FMS ID]],FMS_Input[FMS_ID],FMS_Input[STRUCT_100])</f>
        <v>6</v>
      </c>
      <c r="N744" s="255">
        <f>(ASINH(FMS_Ranking4[[#This Row],[Structure at Risk Raw]]))*(10)/(ASINH(M$4))</f>
        <v>1.9589099741296994</v>
      </c>
      <c r="O744" s="256">
        <f>FMS_Ranking4[[#This Row],[Structures at risk, ArcSinh (0-10)]]*M$5*10</f>
        <v>1.9589099741296994</v>
      </c>
      <c r="P744" s="253">
        <f>_xlfn.XLOOKUP(FMS_Ranking4[[#This Row],[FMS ID]],FMS_Input[FMS_ID],FMS_Input[RES_STRUCT100])</f>
        <v>4</v>
      </c>
      <c r="Q744" s="257">
        <f>ASINH(FMS_Ranking4[[#This Row],[Res Structure Raw]])/Q$4*P$5*100</f>
        <v>0</v>
      </c>
      <c r="R744" s="253">
        <f>_xlfn.XLOOKUP(FMS_Ranking4[[#This Row],[FMS ID]],FMS_Input[FMS_ID],FMS_Input[POP100])</f>
        <v>11</v>
      </c>
      <c r="S744" s="259">
        <f>(ASINH(FMS_Ranking4[[#This Row],[Pop at Risk Raw]]))*(10)/(ASINH(R$4))</f>
        <v>2.1353485192544674</v>
      </c>
      <c r="T744" s="256">
        <f>FMS_Ranking4[[#This Row],[Population at risk, ArcSinh (0-10)]]*R$5*10</f>
        <v>2.1353485192544674</v>
      </c>
      <c r="U744" s="253">
        <f>_xlfn.XLOOKUP(FMS_Ranking4[[#This Row],[FMS ID]],FMS_Input[FMS_ID],FMS_Input[CRITFAC100])</f>
        <v>0</v>
      </c>
      <c r="V744" s="259">
        <f>(ASINH(FMS_Ranking4[[#This Row],[Critical Facilities Raw]]))*(10)/(ASINH(U$4))</f>
        <v>0</v>
      </c>
      <c r="W744" s="256">
        <f>FMS_Ranking4[[#This Row],[Critical facilities at risk, ArcSinh (0-10)]]*U$5*10</f>
        <v>0</v>
      </c>
      <c r="X744" s="253">
        <f>_xlfn.XLOOKUP(FMS_Ranking4[[#This Row],[FMS ID]],FMS_Input[FMS_ID],FMS_Input[LWC])</f>
        <v>0</v>
      </c>
      <c r="Y744" s="259">
        <f>(ASINH(FMS_Ranking4[[#This Row],[LWC Raw]]))*(10)/(ASINH(X$4))</f>
        <v>0</v>
      </c>
      <c r="Z744" s="256">
        <f>FMS_Ranking4[[#This Row],[LWC, ArcSInh (0-10)]]*X$5*10</f>
        <v>0</v>
      </c>
      <c r="AA744" s="253">
        <f>_xlfn.XLOOKUP(FMS_Ranking4[[#This Row],[FMS ID]],FMS_Input[FMS_ID],FMS_Input[ROADCLS])</f>
        <v>0</v>
      </c>
      <c r="AB744" s="255">
        <f>(ASINH(FMS_Ranking4[[#This Row],[Road Closures Raw]]))*(10)/(ASINH(AA$4))</f>
        <v>0</v>
      </c>
      <c r="AC744" s="256">
        <f>FMS_Ranking4[[#This Row],[Road closures, ArcSinh (0-10)]]*AA$5*10</f>
        <v>0</v>
      </c>
      <c r="AD744" s="253">
        <f>_xlfn.XLOOKUP(FMS_Ranking4[[#This Row],[FMS ID]],FMS_Input[FMS_ID],FMS_Input[ROAD_MILES100])</f>
        <v>0</v>
      </c>
      <c r="AE744" s="259">
        <f>(ASINH(FMS_Ranking4[[#This Row],[Road Miles Raw]]))*(10)/(ASINH(AD$4))</f>
        <v>0</v>
      </c>
      <c r="AF744" s="256">
        <f>FMS_Ranking4[[#This Row],[Length of roads at risk, ArcSinh (0-10)]]*AD$5*10</f>
        <v>0</v>
      </c>
      <c r="AG744" s="253">
        <f>_xlfn.XLOOKUP(FMS_Ranking4[[#This Row],[FMS ID]],FMS_Input[FMS_ID],FMS_Input[FARMACRE100])</f>
        <v>8.2010488510131836</v>
      </c>
      <c r="AH744" s="255">
        <f>(ASINH(FMS_Ranking4[[#This Row],[Ag Land Raw]]))*(10)/(ASINH(AG$4))</f>
        <v>1.8195463913411933</v>
      </c>
      <c r="AI744" s="260">
        <f>FMS_Ranking4[[#This Row],[Farm &amp; ranch land, ArcSinh (0-10)]]*AG$5*10</f>
        <v>0.90977319567059678</v>
      </c>
      <c r="AJ744" s="258">
        <f>_xlfn.XLOOKUP(FMS_Ranking4[[#This Row],[FMS ID]],FMS_Input[FMS_ID],FMS_Input[REDSTRUCT100])</f>
        <v>0</v>
      </c>
      <c r="AK744" s="253">
        <f>_xlfn.XLOOKUP(FMS_Ranking4[[#This Row],[FMS ID]],FMS_Input[FMS_ID],FMS_Input[REMSTRC100])</f>
        <v>0</v>
      </c>
      <c r="AL744" s="259">
        <f>(ASINH(FMS_Ranking4[[#This Row],[Structures Removed Raw]]))*(10)/(ASINH(AK$4))</f>
        <v>0</v>
      </c>
      <c r="AM744" s="262">
        <f>FMS_Ranking4[[#This Row],[Structures removed, ArcSinh (0-10)]]*AK$5*10</f>
        <v>0</v>
      </c>
      <c r="AN744" s="253">
        <f>_xlfn.XLOOKUP(FMS_Ranking4[[#This Row],[FMS ID]],FMS_Input[FMS_ID],FMS_Input[REMRESSTRC100])</f>
        <v>0</v>
      </c>
      <c r="AO744" s="261">
        <f>FMS_Ranking4[[#This Row],[ArcSinh Res struct removed 0-10]]*AN$5*10</f>
        <v>0</v>
      </c>
      <c r="AP744" s="260">
        <f>ASINH(FMS_Ranking4[[#This Row],[Residential Structures Removed Raw]])/AP$4*AN$5*100</f>
        <v>0</v>
      </c>
      <c r="AQ744" s="254">
        <f>(ASINH(FMS_Ranking4[[#This Row],[Residential Structures Removed Raw]]))*(10)/(ASINH(AN$4))</f>
        <v>0</v>
      </c>
      <c r="AR744" s="253">
        <f>_xlfn.XLOOKUP(FMS_Ranking4[[#This Row],[FMS ID]],FMS_Input[FMS_ID],FMS_Input[REMPOP100])</f>
        <v>0</v>
      </c>
      <c r="AS744" s="259">
        <f>(ASINH(FMS_Ranking4[[#This Row],[Removed Pop Raw]]))*(10)/(ASINH(AR$4))</f>
        <v>0</v>
      </c>
      <c r="AT744" s="262">
        <f>FMS_Ranking4[[#This Row],[Removed population, ArcSinh (0-10)]]*AR$5*10</f>
        <v>0</v>
      </c>
      <c r="AU744" s="264">
        <f>_xlfn.XLOOKUP(FMS_Ranking4[[#This Row],[FMS ID]],FMS_Input[FMS_ID],FMS_Input[REMCRITFAC100])</f>
        <v>0</v>
      </c>
      <c r="AV744" s="264">
        <f>_xlfn.XLOOKUP(FMS_Ranking4[[#This Row],[FMS ID]],FMS_Input[FMS_ID],FMS_Input[REMLWC100])</f>
        <v>0</v>
      </c>
      <c r="AW744" s="264">
        <f>_xlfn.XLOOKUP(FMS_Ranking4[[#This Row],[FMS ID]],FMS_Input[FMS_ID],FMS_Input[REMROADCLS])</f>
        <v>0</v>
      </c>
      <c r="AX744" s="264">
        <f>_xlfn.XLOOKUP(FMS_Ranking4[[#This Row],[FMS ID]],FMS_Input[FMS_ID],FMS_Input[REMFRMACRE100])</f>
        <v>0</v>
      </c>
      <c r="AY744" s="258">
        <f>_xlfn.XLOOKUP(FMS_Ranking4[[#This Row],[FMS ID]],FMS_Input[FMS_ID],FMS_Input[COSTSTRUCT])</f>
        <v>0</v>
      </c>
      <c r="AZ744" s="253">
        <f>_xlfn.XLOOKUP(FMS_Ranking4[[#This Row],[FMS ID]],FMS_Input[FMS_ID],FMS_Input[NATURE])</f>
        <v>0</v>
      </c>
      <c r="BA744" s="262">
        <f>(((FMS_Ranking4[[#This Row],[% NBS Raw]]/AZ$4)*100)*AZ$5)</f>
        <v>0</v>
      </c>
      <c r="BB744" s="251" t="str">
        <f>_xlfn.XLOOKUP(FMS_Ranking4[[#This Row],[FMS ID]],FMS_Input[FMS_ID],FMS_Input[WATER_SUP])</f>
        <v>No</v>
      </c>
      <c r="BC744" s="265">
        <f>IF(FMS_Ranking4[[#This Row],[Water Supply Raw]]="Yes",10,0)</f>
        <v>0</v>
      </c>
      <c r="BD744" s="266">
        <f>_xlfn.XLOOKUP(FMS_Ranking4[[#This Row],[FMS Type]],FMS_TYPE[FMS_Type],FMS_TYPE[Score])</f>
        <v>8</v>
      </c>
      <c r="BE744" s="267">
        <f>FMS_Ranking4[[#This Row],[FMS_Type Score]]*$BD$5*10</f>
        <v>2</v>
      </c>
      <c r="BF74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4.8831597844881233E-4</v>
      </c>
      <c r="BG744" s="269">
        <f>_xlfn.RANK.EQ(BF744,$BF$8:$BF$870,0)+COUNTIF($BF$8:BF744,BF744)-1</f>
        <v>758</v>
      </c>
      <c r="BH744" s="268">
        <f>(((FMS_Ranking4[[#This Row],[Structures Removed Raw]]/AK$4)*100)*AK$5)+(((FMS_Ranking4[[#This Row],[Removed Pop Raw]]/AR$4)*100)*AR$5)</f>
        <v>0</v>
      </c>
      <c r="BI74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2.000488315978449</v>
      </c>
      <c r="BJ744" s="204">
        <f>_xlfn.RANK.EQ(FMS_Ranking4[[#This Row],[Total Score 
(with linear
normalization)]],FMS_Ranking4[Total Score 
(with linear
normalization)],0)</f>
        <v>469</v>
      </c>
      <c r="BK744" s="204" t="e">
        <f>_xlfn.XLOOKUP(FMS_Ranking4[[#This Row],[FMS ID]],#REF!,#REF!)</f>
        <v>#REF!</v>
      </c>
      <c r="BL744" s="270">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5.0040316890547638</v>
      </c>
      <c r="BM744" s="270">
        <f>FMS_Ranking4[[#This Row],[ArcSinh Score Based on Normalized Reported Factors]]+FMS_Ranking4[[#This Row],[% NBS Score (Normalized)]]+(FMS_Ranking4[[#This Row],[Water Supply Score (Normalized)]]*10*$BB$5)+FMS_Ranking4[[#This Row],[FMS_Type Score Weighted]]</f>
        <v>7.0040316890547638</v>
      </c>
      <c r="BN744" s="204">
        <f>_xlfn.RANK.EQ(FMS_Ranking4[[#This Row],[Total Score (with ArcSinh normalization of select criteria)]],FMS_Ranking4[Total Score (with ArcSinh normalization of select criteria)],0)</f>
        <v>737</v>
      </c>
      <c r="BO744" s="270" t="str">
        <f>_xlfn.XLOOKUP(FMS_Ranking4[[#This Row],[FMS ID]],FMS_Input[FMS_ID],FMS_Input[FMS_RANK_YEAR])</f>
        <v>2023 Amended Plan</v>
      </c>
      <c r="BP744" s="204">
        <f>_xlfn.XLOOKUP(FMS_Ranking4[[#This Row],[FMS ID]],Prev_Rank[FMS ID],Prev_Rank[Prev Rank])</f>
        <v>667</v>
      </c>
      <c r="BQ744" s="204" t="e">
        <f>_xlfn.XLOOKUP(FMS_Ranking4[[#This Row],[FMS ID]],#REF!,#REF!)</f>
        <v>#REF!</v>
      </c>
      <c r="BR744" s="199" t="e">
        <f>SUM(#REF!,#REF!,#REF!,#REF!,#REF!,#REF!,#REF!,#REF!,#REF!,FMS_Ranking4[[#This Row],[ArcSinh Res struct removed 0-10]],#REF!)</f>
        <v>#REF!</v>
      </c>
      <c r="BS744" s="199" t="e">
        <f>FMS_Ranking4[[#This Row],[Log Score Based on Normalized Reported Factors]]+FMS_Ranking4[[#This Row],[% NBS Score (Normalized)]]+(FMS_Ranking4[[#This Row],[Water Supply Score (Normalized)]]*10*$BB$5)+(FMS_Ranking4[[#This Row],[FMS_Type Score Weighted]])</f>
        <v>#REF!</v>
      </c>
      <c r="BT744" s="200" t="e">
        <f>_xlfn.RANK.EQ(FMS_Ranking4[[#This Row],[Log Total Score]],FMS_Ranking4[Log Total Score],0)</f>
        <v>#REF!</v>
      </c>
      <c r="BU744" s="200" t="e">
        <f>_xlfn.XLOOKUP(FMS_Ranking4[[#This Row],[FMS ID]],#REF!,#REF!)</f>
        <v>#REF!</v>
      </c>
      <c r="BV744" s="200">
        <f>FMS_Ranking4[[#This Row],[Region Number]]</f>
        <v>2</v>
      </c>
      <c r="BW744" s="200">
        <f>FMS_Ranking4[[#This Row],[Rank (with ArcSinh normalization of select criteria)]]-FMS_Ranking4[[#This Row],[Rank
(with linear
normalization)]]</f>
        <v>268</v>
      </c>
      <c r="BX744" s="200" t="e">
        <f>FMS_Ranking4[[#This Row],[Log Rank]]-FMS_Ranking4[[#This Row],[Rank
(with linear
normalization)]]</f>
        <v>#REF!</v>
      </c>
      <c r="BY744" s="200" t="str">
        <f>IF(FMS_Ranking4[[#This Row],[FMS Type]]="Flood Measurement and Warning",FMS_Ranking4[[#This Row],[Rank (with ArcSinh normalization of select criteria)]],"")</f>
        <v/>
      </c>
      <c r="BZ744" s="200">
        <f>IF(FMS_Ranking4[[#This Row],[FMS Type]]="Regulatory and Guidance",FMS_Ranking4[[#This Row],[Rank (with ArcSinh normalization of select criteria)]],"")</f>
        <v>737</v>
      </c>
      <c r="CA744" s="200" t="str">
        <f>IF(FMS_Ranking4[[#This Row],[FMS Type]]="Education and Outreach",FMS_Ranking4[[#This Row],[Rank (with ArcSinh normalization of select criteria)]],"")</f>
        <v/>
      </c>
      <c r="CB744" s="200" t="str">
        <f>IF(FMS_Ranking4[[#This Row],[FMS Type]]="Property Acquisition and Structural Elevation",FMS_Ranking4[[#This Row],[Rank (with ArcSinh normalization of select criteria)]],"")</f>
        <v/>
      </c>
      <c r="CC744" s="200" t="str">
        <f>IF(FMS_Ranking4[[#This Row],[FMS Type]]="Infrastructure Projects",FMS_Ranking4[[#This Row],[Rank (with ArcSinh normalization of select criteria)]],"")</f>
        <v/>
      </c>
      <c r="CD744" s="200" t="str">
        <f>IF(FMS_Ranking4[[#This Row],[FMS Type]]="Other",FMS_Ranking4[[#This Row],[Rank (with ArcSinh normalization of select criteria)]],"")</f>
        <v/>
      </c>
      <c r="CE744" s="201"/>
      <c r="CF744" s="206"/>
      <c r="CG744" s="206"/>
      <c r="CH744" s="206"/>
      <c r="CI744" s="206"/>
      <c r="CJ744" s="206"/>
      <c r="CK744" s="206"/>
      <c r="CL744" s="206"/>
      <c r="CM744" s="206"/>
      <c r="CN744" s="206"/>
      <c r="CO744" s="206"/>
      <c r="CP744" s="206"/>
      <c r="CQ744" s="206"/>
      <c r="CR744" s="206"/>
    </row>
    <row r="745" spans="2:96" ht="45" x14ac:dyDescent="0.25">
      <c r="B745" s="341" t="s">
        <v>3318</v>
      </c>
      <c r="C745" s="246">
        <f>_xlfn.XLOOKUP(FMS_Ranking4[[#This Row],[FMS ID]],FMS_Input[FMS_ID],FMS_Input[RFPG_NUM])</f>
        <v>7</v>
      </c>
      <c r="D745" s="309" t="str">
        <f>_xlfn.XLOOKUP(FMS_Ranking4[[#This Row],[FMS ID]],FMS_Input[FMS_ID],FMS_Input[FMS_NAME])</f>
        <v>City of Weinert NFIP Participation</v>
      </c>
      <c r="E745" s="308" t="str">
        <f>_xlfn.XLOOKUP(FMS_Ranking4[[#This Row],[FMS ID]],FMS_Input[FMS_ID],FMS_Input[SPONSOR])</f>
        <v>07003539</v>
      </c>
      <c r="F745" s="309" t="str">
        <f>_xlfn.XLOOKUP(FMS_Ranking4[[#This Row],[FMS ID]],Sponsor[FMS_ID],Sponsor[SPONSOR NAME])</f>
        <v>Weinert</v>
      </c>
      <c r="G745" s="309" t="str">
        <f>_xlfn.XLOOKUP(FMS_Ranking4[[#This Row],[FMS ID]],FMS_Input[FMS_ID],FMS_Input[FMS_DESCR])</f>
        <v>Application to join NFIP or adoption of equivalent standards.</v>
      </c>
      <c r="H745" s="248" t="str">
        <f>_xlfn.XLOOKUP(FMS_Ranking4[[#This Row],[FMS ID]],FMS_Input[FMS_ID],FMS_Input[FMS_TYPE])</f>
        <v>Regulatory and Guidance</v>
      </c>
      <c r="I745" s="249">
        <f>_xlfn.XLOOKUP(FMS_Ranking4[[#This Row],[FMS ID]],FMS_Input[FMS_ID],FMS_Input[NRNC_COST])</f>
        <v>50000</v>
      </c>
      <c r="J745" s="250">
        <f>_xlfn.XLOOKUP(FMS_Ranking4[[#This Row],[FMS ID]],FMS_Input[FMS_ID],FMS_Input[FMS_COST])</f>
        <v>50000</v>
      </c>
      <c r="K745" s="251" t="str">
        <f>_xlfn.XLOOKUP(FMS_Ranking4[[#This Row],[FMS ID]],FMS_Input[FMS_ID],FMS_Input[EMER_NEED])</f>
        <v>No</v>
      </c>
      <c r="L745" s="252">
        <f t="shared" si="11"/>
        <v>0</v>
      </c>
      <c r="M745" s="253">
        <f>_xlfn.XLOOKUP(FMS_Ranking4[[#This Row],[FMS ID]],FMS_Input[FMS_ID],FMS_Input[STRUCT_100])</f>
        <v>11</v>
      </c>
      <c r="N745" s="255">
        <f>(ASINH(FMS_Ranking4[[#This Row],[Structure at Risk Raw]]))*(10)/(ASINH(M$4))</f>
        <v>2.4316388682796601</v>
      </c>
      <c r="O745" s="256">
        <f>FMS_Ranking4[[#This Row],[Structures at risk, ArcSinh (0-10)]]*M$5*10</f>
        <v>2.4316388682796601</v>
      </c>
      <c r="P745" s="253">
        <f>_xlfn.XLOOKUP(FMS_Ranking4[[#This Row],[FMS ID]],FMS_Input[FMS_ID],FMS_Input[RES_STRUCT100])</f>
        <v>5</v>
      </c>
      <c r="Q745" s="257">
        <f>ASINH(FMS_Ranking4[[#This Row],[Res Structure Raw]])/Q$4*P$5*100</f>
        <v>0</v>
      </c>
      <c r="R745" s="253">
        <f>_xlfn.XLOOKUP(FMS_Ranking4[[#This Row],[FMS ID]],FMS_Input[FMS_ID],FMS_Input[POP100])</f>
        <v>15</v>
      </c>
      <c r="S745" s="255">
        <f>(ASINH(FMS_Ranking4[[#This Row],[Pop at Risk Raw]]))*(10)/(ASINH(R$4))</f>
        <v>2.3488103526295672</v>
      </c>
      <c r="T745" s="256">
        <f>FMS_Ranking4[[#This Row],[Population at risk, ArcSinh (0-10)]]*R$5*10</f>
        <v>2.3488103526295672</v>
      </c>
      <c r="U745" s="253">
        <f>_xlfn.XLOOKUP(FMS_Ranking4[[#This Row],[FMS ID]],FMS_Input[FMS_ID],FMS_Input[CRITFAC100])</f>
        <v>0</v>
      </c>
      <c r="V745" s="255">
        <f>(ASINH(FMS_Ranking4[[#This Row],[Critical Facilities Raw]]))*(10)/(ASINH(U$4))</f>
        <v>0</v>
      </c>
      <c r="W745" s="256">
        <f>FMS_Ranking4[[#This Row],[Critical facilities at risk, ArcSinh (0-10)]]*U$5*10</f>
        <v>0</v>
      </c>
      <c r="X745" s="253">
        <f>_xlfn.XLOOKUP(FMS_Ranking4[[#This Row],[FMS ID]],FMS_Input[FMS_ID],FMS_Input[LWC])</f>
        <v>0</v>
      </c>
      <c r="Y745" s="255">
        <f>(ASINH(FMS_Ranking4[[#This Row],[LWC Raw]]))*(10)/(ASINH(X$4))</f>
        <v>0</v>
      </c>
      <c r="Z745" s="256">
        <f>FMS_Ranking4[[#This Row],[LWC, ArcSInh (0-10)]]*X$5*10</f>
        <v>0</v>
      </c>
      <c r="AA745" s="253">
        <f>_xlfn.XLOOKUP(FMS_Ranking4[[#This Row],[FMS ID]],FMS_Input[FMS_ID],FMS_Input[ROADCLS])</f>
        <v>0</v>
      </c>
      <c r="AB745" s="255">
        <f>(ASINH(FMS_Ranking4[[#This Row],[Road Closures Raw]]))*(10)/(ASINH(AA$4))</f>
        <v>0</v>
      </c>
      <c r="AC745" s="256">
        <f>FMS_Ranking4[[#This Row],[Road closures, ArcSinh (0-10)]]*AA$5*10</f>
        <v>0</v>
      </c>
      <c r="AD745" s="253">
        <f>_xlfn.XLOOKUP(FMS_Ranking4[[#This Row],[FMS ID]],FMS_Input[FMS_ID],FMS_Input[ROAD_MILES100])</f>
        <v>0</v>
      </c>
      <c r="AE745" s="255">
        <f>(ASINH(FMS_Ranking4[[#This Row],[Road Miles Raw]]))*(10)/(ASINH(AD$4))</f>
        <v>0</v>
      </c>
      <c r="AF745" s="256">
        <f>FMS_Ranking4[[#This Row],[Length of roads at risk, ArcSinh (0-10)]]*AD$5*10</f>
        <v>0</v>
      </c>
      <c r="AG745" s="253">
        <f>_xlfn.XLOOKUP(FMS_Ranking4[[#This Row],[FMS ID]],FMS_Input[FMS_ID],FMS_Input[FARMACRE100])</f>
        <v>0.45483499765396118</v>
      </c>
      <c r="AH745" s="255">
        <f>(ASINH(FMS_Ranking4[[#This Row],[Ag Land Raw]]))*(10)/(ASINH(AG$4))</f>
        <v>0.28611128350136444</v>
      </c>
      <c r="AI745" s="260">
        <f>FMS_Ranking4[[#This Row],[Farm &amp; ranch land, ArcSinh (0-10)]]*AG$5*10</f>
        <v>0.14305564175068225</v>
      </c>
      <c r="AJ745" s="258">
        <f>_xlfn.XLOOKUP(FMS_Ranking4[[#This Row],[FMS ID]],FMS_Input[FMS_ID],FMS_Input[REDSTRUCT100])</f>
        <v>0</v>
      </c>
      <c r="AK745" s="253">
        <f>_xlfn.XLOOKUP(FMS_Ranking4[[#This Row],[FMS ID]],FMS_Input[FMS_ID],FMS_Input[REMSTRC100])</f>
        <v>0</v>
      </c>
      <c r="AL745" s="255">
        <f>(ASINH(FMS_Ranking4[[#This Row],[Structures Removed Raw]]))*(10)/(ASINH(AK$4))</f>
        <v>0</v>
      </c>
      <c r="AM745" s="262">
        <f>FMS_Ranking4[[#This Row],[Structures removed, ArcSinh (0-10)]]*AK$5*10</f>
        <v>0</v>
      </c>
      <c r="AN745" s="253">
        <f>_xlfn.XLOOKUP(FMS_Ranking4[[#This Row],[FMS ID]],FMS_Input[FMS_ID],FMS_Input[REMRESSTRC100])</f>
        <v>0</v>
      </c>
      <c r="AO745" s="261">
        <f>FMS_Ranking4[[#This Row],[ArcSinh Res struct removed 0-10]]*AN$5*10</f>
        <v>0</v>
      </c>
      <c r="AP745" s="260">
        <f>ASINH(FMS_Ranking4[[#This Row],[Residential Structures Removed Raw]])/AP$4*AN$5*100</f>
        <v>0</v>
      </c>
      <c r="AQ745" s="258">
        <f>(ASINH(FMS_Ranking4[[#This Row],[Residential Structures Removed Raw]]))*(10)/(ASINH(AN$4))</f>
        <v>0</v>
      </c>
      <c r="AR745" s="253">
        <f>_xlfn.XLOOKUP(FMS_Ranking4[[#This Row],[FMS ID]],FMS_Input[FMS_ID],FMS_Input[REMPOP100])</f>
        <v>0</v>
      </c>
      <c r="AS745" s="255">
        <f>(ASINH(FMS_Ranking4[[#This Row],[Removed Pop Raw]]))*(10)/(ASINH(AR$4))</f>
        <v>0</v>
      </c>
      <c r="AT745" s="262">
        <f>FMS_Ranking4[[#This Row],[Removed population, ArcSinh (0-10)]]*AR$5*10</f>
        <v>0</v>
      </c>
      <c r="AU745" s="264">
        <f>_xlfn.XLOOKUP(FMS_Ranking4[[#This Row],[FMS ID]],FMS_Input[FMS_ID],FMS_Input[REMCRITFAC100])</f>
        <v>0</v>
      </c>
      <c r="AV745" s="264">
        <f>_xlfn.XLOOKUP(FMS_Ranking4[[#This Row],[FMS ID]],FMS_Input[FMS_ID],FMS_Input[REMLWC100])</f>
        <v>0</v>
      </c>
      <c r="AW745" s="264">
        <f>_xlfn.XLOOKUP(FMS_Ranking4[[#This Row],[FMS ID]],FMS_Input[FMS_ID],FMS_Input[REMROADCLS])</f>
        <v>0</v>
      </c>
      <c r="AX745" s="264">
        <f>_xlfn.XLOOKUP(FMS_Ranking4[[#This Row],[FMS ID]],FMS_Input[FMS_ID],FMS_Input[REMFRMACRE100])</f>
        <v>0</v>
      </c>
      <c r="AY745" s="258">
        <f>_xlfn.XLOOKUP(FMS_Ranking4[[#This Row],[FMS ID]],FMS_Input[FMS_ID],FMS_Input[COSTSTRUCT])</f>
        <v>0</v>
      </c>
      <c r="AZ745" s="253">
        <f>_xlfn.XLOOKUP(FMS_Ranking4[[#This Row],[FMS ID]],FMS_Input[FMS_ID],FMS_Input[NATURE])</f>
        <v>0</v>
      </c>
      <c r="BA745" s="262">
        <f>(((FMS_Ranking4[[#This Row],[% NBS Raw]]/AZ$4)*100)*AZ$5)</f>
        <v>0</v>
      </c>
      <c r="BB745" s="251" t="str">
        <f>_xlfn.XLOOKUP(FMS_Ranking4[[#This Row],[FMS ID]],FMS_Input[FMS_ID],FMS_Input[WATER_SUP])</f>
        <v>No</v>
      </c>
      <c r="BC745" s="265">
        <f>IF(FMS_Ranking4[[#This Row],[Water Supply Raw]]="Yes",10,0)</f>
        <v>0</v>
      </c>
      <c r="BD745" s="266">
        <f>_xlfn.XLOOKUP(FMS_Ranking4[[#This Row],[FMS Type]],FMS_TYPE[FMS_Type],FMS_TYPE[Score])</f>
        <v>8</v>
      </c>
      <c r="BE745" s="267">
        <f>FMS_Ranking4[[#This Row],[FMS_Type Score]]*$BD$5*10</f>
        <v>2</v>
      </c>
      <c r="BF745"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8.1229319156289463E-4</v>
      </c>
      <c r="BG745" s="321">
        <f>_xlfn.RANK.EQ(BF745,$BF$8:$BF$870,0)+COUNTIF($BF$8:BF745,BF745)-1</f>
        <v>750</v>
      </c>
      <c r="BH745" s="294">
        <f>(((FMS_Ranking4[[#This Row],[Structures Removed Raw]]/AK$4)*100)*AK$5)+(((FMS_Ranking4[[#This Row],[Removed Pop Raw]]/AR$4)*100)*AR$5)</f>
        <v>0</v>
      </c>
      <c r="BI74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2.0008122931915628</v>
      </c>
      <c r="BJ745" s="251">
        <f>_xlfn.RANK.EQ(FMS_Ranking4[[#This Row],[Total Score 
(with linear
normalization)]],FMS_Ranking4[Total Score 
(with linear
normalization)],0)</f>
        <v>465</v>
      </c>
      <c r="BK745" s="251" t="e">
        <f>_xlfn.XLOOKUP(FMS_Ranking4[[#This Row],[FMS ID]],#REF!,#REF!)</f>
        <v>#REF!</v>
      </c>
      <c r="BL745"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4.9235048626599101</v>
      </c>
      <c r="BM745" s="324">
        <f>FMS_Ranking4[[#This Row],[ArcSinh Score Based on Normalized Reported Factors]]+FMS_Ranking4[[#This Row],[% NBS Score (Normalized)]]+(FMS_Ranking4[[#This Row],[Water Supply Score (Normalized)]]*10*$BB$5)+FMS_Ranking4[[#This Row],[FMS_Type Score Weighted]]</f>
        <v>6.9235048626599101</v>
      </c>
      <c r="BN745" s="251">
        <f>_xlfn.RANK.EQ(FMS_Ranking4[[#This Row],[Total Score (with ArcSinh normalization of select criteria)]],FMS_Ranking4[Total Score (with ArcSinh normalization of select criteria)],0)</f>
        <v>738</v>
      </c>
      <c r="BO745" s="270" t="str">
        <f>_xlfn.XLOOKUP(FMS_Ranking4[[#This Row],[FMS ID]],FMS_Input[FMS_ID],FMS_Input[FMS_RANK_YEAR])</f>
        <v>2023 Amended Plan</v>
      </c>
      <c r="BP745" s="204">
        <f>_xlfn.XLOOKUP(FMS_Ranking4[[#This Row],[FMS ID]],Prev_Rank[FMS ID],Prev_Rank[Prev Rank])</f>
        <v>668</v>
      </c>
      <c r="BQ745" s="251" t="e">
        <f>_xlfn.XLOOKUP(FMS_Ranking4[[#This Row],[FMS ID]],#REF!,#REF!)</f>
        <v>#REF!</v>
      </c>
      <c r="BR745" s="199" t="e">
        <f>SUM(#REF!,#REF!,#REF!,#REF!,#REF!,#REF!,#REF!,#REF!,#REF!,FMS_Ranking4[[#This Row],[ArcSinh Res struct removed 0-10]],#REF!)</f>
        <v>#REF!</v>
      </c>
      <c r="BS745" s="199" t="e">
        <f>FMS_Ranking4[[#This Row],[Log Score Based on Normalized Reported Factors]]+FMS_Ranking4[[#This Row],[% NBS Score (Normalized)]]+(FMS_Ranking4[[#This Row],[Water Supply Score (Normalized)]]*10*$BB$5)+(FMS_Ranking4[[#This Row],[FMS_Type Score Weighted]])</f>
        <v>#REF!</v>
      </c>
      <c r="BT745" s="200" t="e">
        <f>_xlfn.RANK.EQ(FMS_Ranking4[[#This Row],[Log Total Score]],FMS_Ranking4[Log Total Score],0)</f>
        <v>#REF!</v>
      </c>
      <c r="BU745" s="200" t="e">
        <f>_xlfn.XLOOKUP(FMS_Ranking4[[#This Row],[FMS ID]],#REF!,#REF!)</f>
        <v>#REF!</v>
      </c>
      <c r="BV745" s="200">
        <f>FMS_Ranking4[[#This Row],[Region Number]]</f>
        <v>7</v>
      </c>
      <c r="BW745" s="200">
        <f>FMS_Ranking4[[#This Row],[Rank (with ArcSinh normalization of select criteria)]]-FMS_Ranking4[[#This Row],[Rank
(with linear
normalization)]]</f>
        <v>273</v>
      </c>
      <c r="BX745" s="200" t="e">
        <f>FMS_Ranking4[[#This Row],[Log Rank]]-FMS_Ranking4[[#This Row],[Rank
(with linear
normalization)]]</f>
        <v>#REF!</v>
      </c>
      <c r="BY745" s="200" t="str">
        <f>IF(FMS_Ranking4[[#This Row],[FMS Type]]="Flood Measurement and Warning",FMS_Ranking4[[#This Row],[Rank (with ArcSinh normalization of select criteria)]],"")</f>
        <v/>
      </c>
      <c r="BZ745" s="200">
        <f>IF(FMS_Ranking4[[#This Row],[FMS Type]]="Regulatory and Guidance",FMS_Ranking4[[#This Row],[Rank (with ArcSinh normalization of select criteria)]],"")</f>
        <v>738</v>
      </c>
      <c r="CA745" s="200" t="str">
        <f>IF(FMS_Ranking4[[#This Row],[FMS Type]]="Education and Outreach",FMS_Ranking4[[#This Row],[Rank (with ArcSinh normalization of select criteria)]],"")</f>
        <v/>
      </c>
      <c r="CB745" s="200" t="str">
        <f>IF(FMS_Ranking4[[#This Row],[FMS Type]]="Property Acquisition and Structural Elevation",FMS_Ranking4[[#This Row],[Rank (with ArcSinh normalization of select criteria)]],"")</f>
        <v/>
      </c>
      <c r="CC745" s="200" t="str">
        <f>IF(FMS_Ranking4[[#This Row],[FMS Type]]="Infrastructure Projects",FMS_Ranking4[[#This Row],[Rank (with ArcSinh normalization of select criteria)]],"")</f>
        <v/>
      </c>
      <c r="CD745" s="200" t="str">
        <f>IF(FMS_Ranking4[[#This Row],[FMS Type]]="Other",FMS_Ranking4[[#This Row],[Rank (with ArcSinh normalization of select criteria)]],"")</f>
        <v/>
      </c>
      <c r="CE745" s="201"/>
      <c r="CF745" s="206"/>
      <c r="CG745" s="206"/>
      <c r="CH745" s="206"/>
      <c r="CI745" s="206"/>
      <c r="CJ745" s="206"/>
      <c r="CK745" s="206"/>
      <c r="CL745" s="206"/>
      <c r="CM745" s="206"/>
      <c r="CN745" s="206"/>
      <c r="CO745" s="206"/>
      <c r="CP745" s="206"/>
      <c r="CQ745" s="206"/>
      <c r="CR745" s="206"/>
    </row>
    <row r="746" spans="2:96" ht="60" x14ac:dyDescent="0.25">
      <c r="B746" s="341" t="s">
        <v>4844</v>
      </c>
      <c r="C746" s="246">
        <f>_xlfn.XLOOKUP(FMS_Ranking4[[#This Row],[FMS ID]],FMS_Input[FMS_ID],FMS_Input[RFPG_NUM])</f>
        <v>4</v>
      </c>
      <c r="D746" s="309" t="str">
        <f>_xlfn.XLOOKUP(FMS_Ranking4[[#This Row],[FMS ID]],FMS_Input[FMS_ID],FMS_Input[FMS_NAME])</f>
        <v>City of Winona Flood Awareness Program</v>
      </c>
      <c r="E746" s="308" t="str">
        <f>_xlfn.XLOOKUP(FMS_Ranking4[[#This Row],[FMS ID]],FMS_Input[FMS_ID],FMS_Input[SPONSOR])</f>
        <v>04003179</v>
      </c>
      <c r="F746" s="309" t="str">
        <f>_xlfn.XLOOKUP(FMS_Ranking4[[#This Row],[FMS ID]],Sponsor[FMS_ID],Sponsor[SPONSOR NAME])</f>
        <v>Winona</v>
      </c>
      <c r="G746" s="309" t="str">
        <f>_xlfn.XLOOKUP(FMS_Ranking4[[#This Row],[FMS ID]],FMS_Input[FMS_ID],FMS_Input[FMS_DESCR])</f>
        <v xml:space="preserve">Conduct public outreach to homeowners and residents on flood mitigation measures for their residents. </v>
      </c>
      <c r="H746" s="248" t="str">
        <f>_xlfn.XLOOKUP(FMS_Ranking4[[#This Row],[FMS ID]],FMS_Input[FMS_ID],FMS_Input[FMS_TYPE])</f>
        <v>Education and Outreach</v>
      </c>
      <c r="I746" s="249">
        <f>_xlfn.XLOOKUP(FMS_Ranking4[[#This Row],[FMS ID]],FMS_Input[FMS_ID],FMS_Input[NRNC_COST])</f>
        <v>104000</v>
      </c>
      <c r="J746" s="250">
        <f>_xlfn.XLOOKUP(FMS_Ranking4[[#This Row],[FMS ID]],FMS_Input[FMS_ID],FMS_Input[FMS_COST])</f>
        <v>104000</v>
      </c>
      <c r="K746" s="251" t="str">
        <f>_xlfn.XLOOKUP(FMS_Ranking4[[#This Row],[FMS ID]],FMS_Input[FMS_ID],FMS_Input[EMER_NEED])</f>
        <v>No</v>
      </c>
      <c r="L746" s="252">
        <f t="shared" si="11"/>
        <v>0</v>
      </c>
      <c r="M746" s="253">
        <f>_xlfn.XLOOKUP(FMS_Ranking4[[#This Row],[FMS ID]],FMS_Input[FMS_ID],FMS_Input[STRUCT_100])</f>
        <v>8</v>
      </c>
      <c r="N746" s="255">
        <f>(ASINH(FMS_Ranking4[[#This Row],[Structure at Risk Raw]]))*(10)/(ASINH(M$4))</f>
        <v>2.1827206114662263</v>
      </c>
      <c r="O746" s="256">
        <f>FMS_Ranking4[[#This Row],[Structures at risk, ArcSinh (0-10)]]*M$5*10</f>
        <v>2.1827206114662263</v>
      </c>
      <c r="P746" s="253">
        <f>_xlfn.XLOOKUP(FMS_Ranking4[[#This Row],[FMS ID]],FMS_Input[FMS_ID],FMS_Input[RES_STRUCT100])</f>
        <v>4</v>
      </c>
      <c r="Q746" s="257">
        <f>ASINH(FMS_Ranking4[[#This Row],[Res Structure Raw]])/Q$4*P$5*100</f>
        <v>0</v>
      </c>
      <c r="R746" s="253">
        <f>_xlfn.XLOOKUP(FMS_Ranking4[[#This Row],[FMS ID]],FMS_Input[FMS_ID],FMS_Input[POP100])</f>
        <v>8</v>
      </c>
      <c r="S746" s="259">
        <f>(ASINH(FMS_Ranking4[[#This Row],[Pop at Risk Raw]]))*(10)/(ASINH(R$4))</f>
        <v>1.9167604558558862</v>
      </c>
      <c r="T746" s="256">
        <f>FMS_Ranking4[[#This Row],[Population at risk, ArcSinh (0-10)]]*R$5*10</f>
        <v>1.9167604558558862</v>
      </c>
      <c r="U746" s="253">
        <f>_xlfn.XLOOKUP(FMS_Ranking4[[#This Row],[FMS ID]],FMS_Input[FMS_ID],FMS_Input[CRITFAC100])</f>
        <v>0</v>
      </c>
      <c r="V746" s="259">
        <f>(ASINH(FMS_Ranking4[[#This Row],[Critical Facilities Raw]]))*(10)/(ASINH(U$4))</f>
        <v>0</v>
      </c>
      <c r="W746" s="256">
        <f>FMS_Ranking4[[#This Row],[Critical facilities at risk, ArcSinh (0-10)]]*U$5*10</f>
        <v>0</v>
      </c>
      <c r="X746" s="253">
        <f>_xlfn.XLOOKUP(FMS_Ranking4[[#This Row],[FMS ID]],FMS_Input[FMS_ID],FMS_Input[LWC])</f>
        <v>0</v>
      </c>
      <c r="Y746" s="259">
        <f>(ASINH(FMS_Ranking4[[#This Row],[LWC Raw]]))*(10)/(ASINH(X$4))</f>
        <v>0</v>
      </c>
      <c r="Z746" s="256">
        <f>FMS_Ranking4[[#This Row],[LWC, ArcSInh (0-10)]]*X$5*10</f>
        <v>0</v>
      </c>
      <c r="AA746" s="253">
        <f>_xlfn.XLOOKUP(FMS_Ranking4[[#This Row],[FMS ID]],FMS_Input[FMS_ID],FMS_Input[ROADCLS])</f>
        <v>0</v>
      </c>
      <c r="AB746" s="255">
        <f>(ASINH(FMS_Ranking4[[#This Row],[Road Closures Raw]]))*(10)/(ASINH(AA$4))</f>
        <v>0</v>
      </c>
      <c r="AC746" s="256">
        <f>FMS_Ranking4[[#This Row],[Road closures, ArcSinh (0-10)]]*AA$5*10</f>
        <v>0</v>
      </c>
      <c r="AD746" s="253">
        <f>_xlfn.XLOOKUP(FMS_Ranking4[[#This Row],[FMS ID]],FMS_Input[FMS_ID],FMS_Input[ROAD_MILES100])</f>
        <v>0</v>
      </c>
      <c r="AE746" s="259">
        <f>(ASINH(FMS_Ranking4[[#This Row],[Road Miles Raw]]))*(10)/(ASINH(AD$4))</f>
        <v>0</v>
      </c>
      <c r="AF746" s="256">
        <f>FMS_Ranking4[[#This Row],[Length of roads at risk, ArcSinh (0-10)]]*AD$5*10</f>
        <v>0</v>
      </c>
      <c r="AG746" s="253">
        <f>_xlfn.XLOOKUP(FMS_Ranking4[[#This Row],[FMS ID]],FMS_Input[FMS_ID],FMS_Input[FARMACRE100])</f>
        <v>25.93487548828125</v>
      </c>
      <c r="AH746" s="255">
        <f>(ASINH(FMS_Ranking4[[#This Row],[Ag Land Raw]]))*(10)/(ASINH(AG$4))</f>
        <v>2.5652668980659525</v>
      </c>
      <c r="AI746" s="260">
        <f>FMS_Ranking4[[#This Row],[Farm &amp; ranch land, ArcSinh (0-10)]]*AG$5*10</f>
        <v>1.2826334490329763</v>
      </c>
      <c r="AJ746" s="258">
        <f>_xlfn.XLOOKUP(FMS_Ranking4[[#This Row],[FMS ID]],FMS_Input[FMS_ID],FMS_Input[REDSTRUCT100])</f>
        <v>0</v>
      </c>
      <c r="AK746" s="253">
        <f>_xlfn.XLOOKUP(FMS_Ranking4[[#This Row],[FMS ID]],FMS_Input[FMS_ID],FMS_Input[REMSTRC100])</f>
        <v>0</v>
      </c>
      <c r="AL746" s="259">
        <f>(ASINH(FMS_Ranking4[[#This Row],[Structures Removed Raw]]))*(10)/(ASINH(AK$4))</f>
        <v>0</v>
      </c>
      <c r="AM746" s="262">
        <f>FMS_Ranking4[[#This Row],[Structures removed, ArcSinh (0-10)]]*AK$5*10</f>
        <v>0</v>
      </c>
      <c r="AN746" s="253">
        <f>_xlfn.XLOOKUP(FMS_Ranking4[[#This Row],[FMS ID]],FMS_Input[FMS_ID],FMS_Input[REMRESSTRC100])</f>
        <v>0</v>
      </c>
      <c r="AO746" s="261">
        <f>FMS_Ranking4[[#This Row],[ArcSinh Res struct removed 0-10]]*AN$5*10</f>
        <v>0</v>
      </c>
      <c r="AP746" s="260">
        <f>ASINH(FMS_Ranking4[[#This Row],[Residential Structures Removed Raw]])/AP$4*AN$5*100</f>
        <v>0</v>
      </c>
      <c r="AQ746" s="254">
        <f>(ASINH(FMS_Ranking4[[#This Row],[Residential Structures Removed Raw]]))*(10)/(ASINH(AN$4))</f>
        <v>0</v>
      </c>
      <c r="AR746" s="253">
        <f>_xlfn.XLOOKUP(FMS_Ranking4[[#This Row],[FMS ID]],FMS_Input[FMS_ID],FMS_Input[REMPOP100])</f>
        <v>0</v>
      </c>
      <c r="AS746" s="259">
        <f>(ASINH(FMS_Ranking4[[#This Row],[Removed Pop Raw]]))*(10)/(ASINH(AR$4))</f>
        <v>0</v>
      </c>
      <c r="AT746" s="262">
        <f>FMS_Ranking4[[#This Row],[Removed population, ArcSinh (0-10)]]*AR$5*10</f>
        <v>0</v>
      </c>
      <c r="AU746" s="264">
        <f>_xlfn.XLOOKUP(FMS_Ranking4[[#This Row],[FMS ID]],FMS_Input[FMS_ID],FMS_Input[REMCRITFAC100])</f>
        <v>0</v>
      </c>
      <c r="AV746" s="264">
        <f>_xlfn.XLOOKUP(FMS_Ranking4[[#This Row],[FMS ID]],FMS_Input[FMS_ID],FMS_Input[REMLWC100])</f>
        <v>0</v>
      </c>
      <c r="AW746" s="264">
        <f>_xlfn.XLOOKUP(FMS_Ranking4[[#This Row],[FMS ID]],FMS_Input[FMS_ID],FMS_Input[REMROADCLS])</f>
        <v>0</v>
      </c>
      <c r="AX746" s="264">
        <f>_xlfn.XLOOKUP(FMS_Ranking4[[#This Row],[FMS ID]],FMS_Input[FMS_ID],FMS_Input[REMFRMACRE100])</f>
        <v>0</v>
      </c>
      <c r="AY746" s="258">
        <f>_xlfn.XLOOKUP(FMS_Ranking4[[#This Row],[FMS ID]],FMS_Input[FMS_ID],FMS_Input[COSTSTRUCT])</f>
        <v>0</v>
      </c>
      <c r="AZ746" s="253">
        <f>_xlfn.XLOOKUP(FMS_Ranking4[[#This Row],[FMS ID]],FMS_Input[FMS_ID],FMS_Input[NATURE])</f>
        <v>0</v>
      </c>
      <c r="BA746" s="262">
        <f>(((FMS_Ranking4[[#This Row],[% NBS Raw]]/AZ$4)*100)*AZ$5)</f>
        <v>0</v>
      </c>
      <c r="BB746" s="251" t="str">
        <f>_xlfn.XLOOKUP(FMS_Ranking4[[#This Row],[FMS ID]],FMS_Input[FMS_ID],FMS_Input[WATER_SUP])</f>
        <v>No</v>
      </c>
      <c r="BC746" s="265">
        <f>IF(FMS_Ranking4[[#This Row],[Water Supply Raw]]="Yes",10,0)</f>
        <v>0</v>
      </c>
      <c r="BD746" s="266">
        <f>_xlfn.XLOOKUP(FMS_Ranking4[[#This Row],[FMS Type]],FMS_TYPE[FMS_Type],FMS_TYPE[Score])</f>
        <v>6</v>
      </c>
      <c r="BE746" s="267">
        <f>FMS_Ranking4[[#This Row],[FMS_Type Score]]*$BD$5*10</f>
        <v>1.5000000000000002</v>
      </c>
      <c r="BF746"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6.1376819553444649E-4</v>
      </c>
      <c r="BG746" s="271">
        <f>_xlfn.RANK.EQ(BF746,$BF$8:$BF$870,0)+COUNTIF($BF$8:BF746,BF746)-1</f>
        <v>756</v>
      </c>
      <c r="BH746" s="268">
        <f>(((FMS_Ranking4[[#This Row],[Structures Removed Raw]]/AK$4)*100)*AK$5)+(((FMS_Ranking4[[#This Row],[Removed Pop Raw]]/AR$4)*100)*AR$5)</f>
        <v>0</v>
      </c>
      <c r="BI74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1.5006137681955347</v>
      </c>
      <c r="BJ746" s="205">
        <f>_xlfn.RANK.EQ(FMS_Ranking4[[#This Row],[Total Score 
(with linear
normalization)]],FMS_Ranking4[Total Score 
(with linear
normalization)],0)</f>
        <v>607</v>
      </c>
      <c r="BK746" s="205" t="e">
        <f>_xlfn.XLOOKUP(FMS_Ranking4[[#This Row],[FMS ID]],#REF!,#REF!)</f>
        <v>#REF!</v>
      </c>
      <c r="BL746"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5.3821145163550881</v>
      </c>
      <c r="BM746" s="272">
        <f>FMS_Ranking4[[#This Row],[ArcSinh Score Based on Normalized Reported Factors]]+FMS_Ranking4[[#This Row],[% NBS Score (Normalized)]]+(FMS_Ranking4[[#This Row],[Water Supply Score (Normalized)]]*10*$BB$5)+FMS_Ranking4[[#This Row],[FMS_Type Score Weighted]]</f>
        <v>6.8821145163550881</v>
      </c>
      <c r="BN746" s="205">
        <f>_xlfn.RANK.EQ(FMS_Ranking4[[#This Row],[Total Score (with ArcSinh normalization of select criteria)]],FMS_Ranking4[Total Score (with ArcSinh normalization of select criteria)],0)</f>
        <v>739</v>
      </c>
      <c r="BO746" s="270" t="str">
        <f>_xlfn.XLOOKUP(FMS_Ranking4[[#This Row],[FMS ID]],FMS_Input[FMS_ID],FMS_Input[FMS_RANK_YEAR])</f>
        <v>2023 Amended Plan</v>
      </c>
      <c r="BP746" s="204">
        <f>_xlfn.XLOOKUP(FMS_Ranking4[[#This Row],[FMS ID]],Prev_Rank[FMS ID],Prev_Rank[Prev Rank])</f>
        <v>669</v>
      </c>
      <c r="BQ746" s="205" t="e">
        <f>_xlfn.XLOOKUP(FMS_Ranking4[[#This Row],[FMS ID]],#REF!,#REF!)</f>
        <v>#REF!</v>
      </c>
      <c r="BR746" s="199" t="e">
        <f>SUM(#REF!,#REF!,#REF!,#REF!,#REF!,#REF!,#REF!,#REF!,#REF!,FMS_Ranking4[[#This Row],[ArcSinh Res struct removed 0-10]],#REF!)</f>
        <v>#REF!</v>
      </c>
      <c r="BS746" s="199" t="e">
        <f>FMS_Ranking4[[#This Row],[Log Score Based on Normalized Reported Factors]]+FMS_Ranking4[[#This Row],[% NBS Score (Normalized)]]+(FMS_Ranking4[[#This Row],[Water Supply Score (Normalized)]]*10*$BB$5)+(FMS_Ranking4[[#This Row],[FMS_Type Score Weighted]])</f>
        <v>#REF!</v>
      </c>
      <c r="BT746" s="200" t="e">
        <f>_xlfn.RANK.EQ(FMS_Ranking4[[#This Row],[Log Total Score]],FMS_Ranking4[Log Total Score],0)</f>
        <v>#REF!</v>
      </c>
      <c r="BU746" s="200" t="e">
        <f>_xlfn.XLOOKUP(FMS_Ranking4[[#This Row],[FMS ID]],#REF!,#REF!)</f>
        <v>#REF!</v>
      </c>
      <c r="BV746" s="200">
        <f>FMS_Ranking4[[#This Row],[Region Number]]</f>
        <v>4</v>
      </c>
      <c r="BW746" s="200">
        <f>FMS_Ranking4[[#This Row],[Rank (with ArcSinh normalization of select criteria)]]-FMS_Ranking4[[#This Row],[Rank
(with linear
normalization)]]</f>
        <v>132</v>
      </c>
      <c r="BX746" s="200" t="e">
        <f>FMS_Ranking4[[#This Row],[Log Rank]]-FMS_Ranking4[[#This Row],[Rank
(with linear
normalization)]]</f>
        <v>#REF!</v>
      </c>
      <c r="BY746" s="200" t="str">
        <f>IF(FMS_Ranking4[[#This Row],[FMS Type]]="Flood Measurement and Warning",FMS_Ranking4[[#This Row],[Rank (with ArcSinh normalization of select criteria)]],"")</f>
        <v/>
      </c>
      <c r="BZ746" s="200" t="str">
        <f>IF(FMS_Ranking4[[#This Row],[FMS Type]]="Regulatory and Guidance",FMS_Ranking4[[#This Row],[Rank (with ArcSinh normalization of select criteria)]],"")</f>
        <v/>
      </c>
      <c r="CA746" s="200">
        <f>IF(FMS_Ranking4[[#This Row],[FMS Type]]="Education and Outreach",FMS_Ranking4[[#This Row],[Rank (with ArcSinh normalization of select criteria)]],"")</f>
        <v>739</v>
      </c>
      <c r="CB746" s="200" t="str">
        <f>IF(FMS_Ranking4[[#This Row],[FMS Type]]="Property Acquisition and Structural Elevation",FMS_Ranking4[[#This Row],[Rank (with ArcSinh normalization of select criteria)]],"")</f>
        <v/>
      </c>
      <c r="CC746" s="200" t="str">
        <f>IF(FMS_Ranking4[[#This Row],[FMS Type]]="Infrastructure Projects",FMS_Ranking4[[#This Row],[Rank (with ArcSinh normalization of select criteria)]],"")</f>
        <v/>
      </c>
      <c r="CD746" s="200" t="str">
        <f>IF(FMS_Ranking4[[#This Row],[FMS Type]]="Other",FMS_Ranking4[[#This Row],[Rank (with ArcSinh normalization of select criteria)]],"")</f>
        <v/>
      </c>
      <c r="CE746" s="201"/>
      <c r="CF746" s="206"/>
      <c r="CG746" s="206"/>
      <c r="CH746" s="206"/>
      <c r="CI746" s="206"/>
      <c r="CJ746" s="206"/>
      <c r="CK746" s="206"/>
      <c r="CL746" s="206"/>
      <c r="CM746" s="206"/>
      <c r="CN746" s="206"/>
      <c r="CO746" s="206"/>
      <c r="CP746" s="206"/>
      <c r="CQ746" s="206"/>
      <c r="CR746" s="206"/>
    </row>
    <row r="747" spans="2:96" ht="105" x14ac:dyDescent="0.25">
      <c r="B747" s="341" t="s">
        <v>3463</v>
      </c>
      <c r="C747" s="246">
        <f>_xlfn.XLOOKUP(FMS_Ranking4[[#This Row],[FMS ID]],FMS_Input[FMS_ID],FMS_Input[RFPG_NUM])</f>
        <v>12</v>
      </c>
      <c r="D747" s="309" t="str">
        <f>_xlfn.XLOOKUP(FMS_Ranking4[[#This Row],[FMS ID]],FMS_Input[FMS_ID],FMS_Input[FMS_NAME])</f>
        <v>San Antonio River drainage ownership mapping</v>
      </c>
      <c r="E747" s="308" t="str">
        <f>_xlfn.XLOOKUP(FMS_Ranking4[[#This Row],[FMS ID]],FMS_Input[FMS_ID],FMS_Input[SPONSOR])</f>
        <v>12002757</v>
      </c>
      <c r="F747" s="309" t="str">
        <f>_xlfn.XLOOKUP(FMS_Ranking4[[#This Row],[FMS ID]],Sponsor[FMS_ID],Sponsor[SPONSOR NAME])</f>
        <v>Runge</v>
      </c>
      <c r="G747" s="309" t="str">
        <f>_xlfn.XLOOKUP(FMS_Ranking4[[#This Row],[FMS ID]],FMS_Input[FMS_ID],FMS_Input[FMS_DESCR])</f>
        <v>Develop ownership and access understanding parcels fronting the San Antonio River and major tributaries to have better agreements and access to areas that need flood control mitigation and erosion control</v>
      </c>
      <c r="H747" s="248" t="str">
        <f>_xlfn.XLOOKUP(FMS_Ranking4[[#This Row],[FMS ID]],FMS_Input[FMS_ID],FMS_Input[FMS_TYPE])</f>
        <v>Education and Outreach</v>
      </c>
      <c r="I747" s="249">
        <f>_xlfn.XLOOKUP(FMS_Ranking4[[#This Row],[FMS ID]],FMS_Input[FMS_ID],FMS_Input[NRNC_COST])</f>
        <v>30000</v>
      </c>
      <c r="J747" s="250">
        <f>_xlfn.XLOOKUP(FMS_Ranking4[[#This Row],[FMS ID]],FMS_Input[FMS_ID],FMS_Input[FMS_COST])</f>
        <v>30000</v>
      </c>
      <c r="K747" s="251" t="str">
        <f>_xlfn.XLOOKUP(FMS_Ranking4[[#This Row],[FMS ID]],FMS_Input[FMS_ID],FMS_Input[EMER_NEED])</f>
        <v>No</v>
      </c>
      <c r="L747" s="252">
        <f t="shared" si="11"/>
        <v>0</v>
      </c>
      <c r="M747" s="253">
        <f>_xlfn.XLOOKUP(FMS_Ranking4[[#This Row],[FMS ID]],FMS_Input[FMS_ID],FMS_Input[STRUCT_100])</f>
        <v>4</v>
      </c>
      <c r="N747" s="255">
        <f>(ASINH(FMS_Ranking4[[#This Row],[Structure at Risk Raw]]))*(10)/(ASINH(M$4))</f>
        <v>1.6467559513369034</v>
      </c>
      <c r="O747" s="256">
        <f>FMS_Ranking4[[#This Row],[Structures at risk, ArcSinh (0-10)]]*M$5*10</f>
        <v>1.6467559513369034</v>
      </c>
      <c r="P747" s="253">
        <f>_xlfn.XLOOKUP(FMS_Ranking4[[#This Row],[FMS ID]],FMS_Input[FMS_ID],FMS_Input[RES_STRUCT100])</f>
        <v>3</v>
      </c>
      <c r="Q747" s="257">
        <f>ASINH(FMS_Ranking4[[#This Row],[Res Structure Raw]])/Q$4*P$5*100</f>
        <v>0</v>
      </c>
      <c r="R747" s="253">
        <f>_xlfn.XLOOKUP(FMS_Ranking4[[#This Row],[FMS ID]],FMS_Input[FMS_ID],FMS_Input[POP100])</f>
        <v>14</v>
      </c>
      <c r="S747" s="259">
        <f>(ASINH(FMS_Ranking4[[#This Row],[Pop at Risk Raw]]))*(10)/(ASINH(R$4))</f>
        <v>2.3012936463949329</v>
      </c>
      <c r="T747" s="256">
        <f>FMS_Ranking4[[#This Row],[Population at risk, ArcSinh (0-10)]]*R$5*10</f>
        <v>2.3012936463949329</v>
      </c>
      <c r="U747" s="253">
        <f>_xlfn.XLOOKUP(FMS_Ranking4[[#This Row],[FMS ID]],FMS_Input[FMS_ID],FMS_Input[CRITFAC100])</f>
        <v>0</v>
      </c>
      <c r="V747" s="259">
        <f>(ASINH(FMS_Ranking4[[#This Row],[Critical Facilities Raw]]))*(10)/(ASINH(U$4))</f>
        <v>0</v>
      </c>
      <c r="W747" s="256">
        <f>FMS_Ranking4[[#This Row],[Critical facilities at risk, ArcSinh (0-10)]]*U$5*10</f>
        <v>0</v>
      </c>
      <c r="X747" s="253">
        <f>_xlfn.XLOOKUP(FMS_Ranking4[[#This Row],[FMS ID]],FMS_Input[FMS_ID],FMS_Input[LWC])</f>
        <v>0</v>
      </c>
      <c r="Y747" s="259">
        <f>(ASINH(FMS_Ranking4[[#This Row],[LWC Raw]]))*(10)/(ASINH(X$4))</f>
        <v>0</v>
      </c>
      <c r="Z747" s="256">
        <f>FMS_Ranking4[[#This Row],[LWC, ArcSInh (0-10)]]*X$5*10</f>
        <v>0</v>
      </c>
      <c r="AA747" s="253">
        <f>_xlfn.XLOOKUP(FMS_Ranking4[[#This Row],[FMS ID]],FMS_Input[FMS_ID],FMS_Input[ROADCLS])</f>
        <v>4</v>
      </c>
      <c r="AB747" s="255">
        <f>(ASINH(FMS_Ranking4[[#This Row],[Road Closures Raw]]))*(10)/(ASINH(AA$4))</f>
        <v>2.1814508587270351</v>
      </c>
      <c r="AC747" s="256">
        <f>FMS_Ranking4[[#This Row],[Road closures, ArcSinh (0-10)]]*AA$5*10</f>
        <v>1.0907254293635176</v>
      </c>
      <c r="AD747" s="253">
        <f>_xlfn.XLOOKUP(FMS_Ranking4[[#This Row],[FMS ID]],FMS_Input[FMS_ID],FMS_Input[ROAD_MILES100])</f>
        <v>0</v>
      </c>
      <c r="AE747" s="259">
        <f>(ASINH(FMS_Ranking4[[#This Row],[Road Miles Raw]]))*(10)/(ASINH(AD$4))</f>
        <v>0</v>
      </c>
      <c r="AF747" s="256">
        <f>FMS_Ranking4[[#This Row],[Length of roads at risk, ArcSinh (0-10)]]*AD$5*10</f>
        <v>0</v>
      </c>
      <c r="AG747" s="253">
        <f>_xlfn.XLOOKUP(FMS_Ranking4[[#This Row],[FMS ID]],FMS_Input[FMS_ID],FMS_Input[FARMACRE100])</f>
        <v>1.0900000333786011</v>
      </c>
      <c r="AH747" s="255">
        <f>(ASINH(FMS_Ranking4[[#This Row],[Ag Land Raw]]))*(10)/(ASINH(AG$4))</f>
        <v>0.61294731626589838</v>
      </c>
      <c r="AI747" s="260">
        <f>FMS_Ranking4[[#This Row],[Farm &amp; ranch land, ArcSinh (0-10)]]*AG$5*10</f>
        <v>0.30647365813294919</v>
      </c>
      <c r="AJ747" s="258">
        <f>_xlfn.XLOOKUP(FMS_Ranking4[[#This Row],[FMS ID]],FMS_Input[FMS_ID],FMS_Input[REDSTRUCT100])</f>
        <v>0</v>
      </c>
      <c r="AK747" s="253">
        <f>_xlfn.XLOOKUP(FMS_Ranking4[[#This Row],[FMS ID]],FMS_Input[FMS_ID],FMS_Input[REMSTRC100])</f>
        <v>0</v>
      </c>
      <c r="AL747" s="259">
        <f>(ASINH(FMS_Ranking4[[#This Row],[Structures Removed Raw]]))*(10)/(ASINH(AK$4))</f>
        <v>0</v>
      </c>
      <c r="AM747" s="262">
        <f>FMS_Ranking4[[#This Row],[Structures removed, ArcSinh (0-10)]]*AK$5*10</f>
        <v>0</v>
      </c>
      <c r="AN747" s="253">
        <f>_xlfn.XLOOKUP(FMS_Ranking4[[#This Row],[FMS ID]],FMS_Input[FMS_ID],FMS_Input[REMRESSTRC100])</f>
        <v>0</v>
      </c>
      <c r="AO747" s="261">
        <f>FMS_Ranking4[[#This Row],[ArcSinh Res struct removed 0-10]]*AN$5*10</f>
        <v>0</v>
      </c>
      <c r="AP747" s="260">
        <f>ASINH(FMS_Ranking4[[#This Row],[Residential Structures Removed Raw]])/AP$4*AN$5*100</f>
        <v>0</v>
      </c>
      <c r="AQ747" s="254">
        <f>(ASINH(FMS_Ranking4[[#This Row],[Residential Structures Removed Raw]]))*(10)/(ASINH(AN$4))</f>
        <v>0</v>
      </c>
      <c r="AR747" s="253">
        <f>_xlfn.XLOOKUP(FMS_Ranking4[[#This Row],[FMS ID]],FMS_Input[FMS_ID],FMS_Input[REMPOP100])</f>
        <v>0</v>
      </c>
      <c r="AS747" s="259">
        <f>(ASINH(FMS_Ranking4[[#This Row],[Removed Pop Raw]]))*(10)/(ASINH(AR$4))</f>
        <v>0</v>
      </c>
      <c r="AT747" s="262">
        <f>FMS_Ranking4[[#This Row],[Removed population, ArcSinh (0-10)]]*AR$5*10</f>
        <v>0</v>
      </c>
      <c r="AU747" s="264">
        <f>_xlfn.XLOOKUP(FMS_Ranking4[[#This Row],[FMS ID]],FMS_Input[FMS_ID],FMS_Input[REMCRITFAC100])</f>
        <v>0</v>
      </c>
      <c r="AV747" s="264">
        <f>_xlfn.XLOOKUP(FMS_Ranking4[[#This Row],[FMS ID]],FMS_Input[FMS_ID],FMS_Input[REMLWC100])</f>
        <v>0</v>
      </c>
      <c r="AW747" s="264">
        <f>_xlfn.XLOOKUP(FMS_Ranking4[[#This Row],[FMS ID]],FMS_Input[FMS_ID],FMS_Input[REMROADCLS])</f>
        <v>0</v>
      </c>
      <c r="AX747" s="264">
        <f>_xlfn.XLOOKUP(FMS_Ranking4[[#This Row],[FMS ID]],FMS_Input[FMS_ID],FMS_Input[REMFRMACRE100])</f>
        <v>0</v>
      </c>
      <c r="AY747" s="258">
        <f>_xlfn.XLOOKUP(FMS_Ranking4[[#This Row],[FMS ID]],FMS_Input[FMS_ID],FMS_Input[COSTSTRUCT])</f>
        <v>0</v>
      </c>
      <c r="AZ747" s="253">
        <f>_xlfn.XLOOKUP(FMS_Ranking4[[#This Row],[FMS ID]],FMS_Input[FMS_ID],FMS_Input[NATURE])</f>
        <v>0</v>
      </c>
      <c r="BA747" s="262">
        <f>(((FMS_Ranking4[[#This Row],[% NBS Raw]]/AZ$4)*100)*AZ$5)</f>
        <v>0</v>
      </c>
      <c r="BB747" s="251" t="str">
        <f>_xlfn.XLOOKUP(FMS_Ranking4[[#This Row],[FMS ID]],FMS_Input[FMS_ID],FMS_Input[WATER_SUP])</f>
        <v>No</v>
      </c>
      <c r="BC747" s="265">
        <f>IF(FMS_Ranking4[[#This Row],[Water Supply Raw]]="Yes",10,0)</f>
        <v>0</v>
      </c>
      <c r="BD747" s="266">
        <f>_xlfn.XLOOKUP(FMS_Ranking4[[#This Row],[FMS Type]],FMS_TYPE[FMS_Type],FMS_TYPE[Score])</f>
        <v>6</v>
      </c>
      <c r="BE747" s="267">
        <f>FMS_Ranking4[[#This Row],[FMS_Type Score]]*$BD$5*10</f>
        <v>1.5000000000000002</v>
      </c>
      <c r="BF747"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3.0874682542847602E-3</v>
      </c>
      <c r="BG747" s="271">
        <f>_xlfn.RANK.EQ(BF747,$BF$8:$BF$870,0)+COUNTIF($BF$8:BF747,BF747)-1</f>
        <v>711</v>
      </c>
      <c r="BH747" s="268">
        <f>(((FMS_Ranking4[[#This Row],[Structures Removed Raw]]/AK$4)*100)*AK$5)+(((FMS_Ranking4[[#This Row],[Removed Pop Raw]]/AR$4)*100)*AR$5)</f>
        <v>0</v>
      </c>
      <c r="BI74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1.503087468254285</v>
      </c>
      <c r="BJ747" s="205">
        <f>_xlfn.RANK.EQ(FMS_Ranking4[[#This Row],[Total Score 
(with linear
normalization)]],FMS_Ranking4[Total Score 
(with linear
normalization)],0)</f>
        <v>601</v>
      </c>
      <c r="BK747" s="205" t="e">
        <f>_xlfn.XLOOKUP(FMS_Ranking4[[#This Row],[FMS ID]],#REF!,#REF!)</f>
        <v>#REF!</v>
      </c>
      <c r="BL747"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5.3452486852283041</v>
      </c>
      <c r="BM747" s="272">
        <f>FMS_Ranking4[[#This Row],[ArcSinh Score Based on Normalized Reported Factors]]+FMS_Ranking4[[#This Row],[% NBS Score (Normalized)]]+(FMS_Ranking4[[#This Row],[Water Supply Score (Normalized)]]*10*$BB$5)+FMS_Ranking4[[#This Row],[FMS_Type Score Weighted]]</f>
        <v>6.8452486852283041</v>
      </c>
      <c r="BN747" s="205">
        <f>_xlfn.RANK.EQ(FMS_Ranking4[[#This Row],[Total Score (with ArcSinh normalization of select criteria)]],FMS_Ranking4[Total Score (with ArcSinh normalization of select criteria)],0)</f>
        <v>740</v>
      </c>
      <c r="BO747" s="270" t="str">
        <f>_xlfn.XLOOKUP(FMS_Ranking4[[#This Row],[FMS ID]],FMS_Input[FMS_ID],FMS_Input[FMS_RANK_YEAR])</f>
        <v>2023 Amended Plan</v>
      </c>
      <c r="BP747" s="204">
        <f>_xlfn.XLOOKUP(FMS_Ranking4[[#This Row],[FMS ID]],Prev_Rank[FMS ID],Prev_Rank[Prev Rank])</f>
        <v>670</v>
      </c>
      <c r="BQ747" s="205" t="e">
        <f>_xlfn.XLOOKUP(FMS_Ranking4[[#This Row],[FMS ID]],#REF!,#REF!)</f>
        <v>#REF!</v>
      </c>
      <c r="BR747" s="199" t="e">
        <f>SUM(#REF!,#REF!,#REF!,#REF!,#REF!,#REF!,#REF!,#REF!,#REF!,FMS_Ranking4[[#This Row],[ArcSinh Res struct removed 0-10]],#REF!)</f>
        <v>#REF!</v>
      </c>
      <c r="BS747" s="199" t="e">
        <f>FMS_Ranking4[[#This Row],[Log Score Based on Normalized Reported Factors]]+FMS_Ranking4[[#This Row],[% NBS Score (Normalized)]]+(FMS_Ranking4[[#This Row],[Water Supply Score (Normalized)]]*10*$BB$5)+(FMS_Ranking4[[#This Row],[FMS_Type Score Weighted]])</f>
        <v>#REF!</v>
      </c>
      <c r="BT747" s="200" t="e">
        <f>_xlfn.RANK.EQ(FMS_Ranking4[[#This Row],[Log Total Score]],FMS_Ranking4[Log Total Score],0)</f>
        <v>#REF!</v>
      </c>
      <c r="BU747" s="200" t="e">
        <f>_xlfn.XLOOKUP(FMS_Ranking4[[#This Row],[FMS ID]],#REF!,#REF!)</f>
        <v>#REF!</v>
      </c>
      <c r="BV747" s="200">
        <f>FMS_Ranking4[[#This Row],[Region Number]]</f>
        <v>12</v>
      </c>
      <c r="BW747" s="200">
        <f>FMS_Ranking4[[#This Row],[Rank (with ArcSinh normalization of select criteria)]]-FMS_Ranking4[[#This Row],[Rank
(with linear
normalization)]]</f>
        <v>139</v>
      </c>
      <c r="BX747" s="200" t="e">
        <f>FMS_Ranking4[[#This Row],[Log Rank]]-FMS_Ranking4[[#This Row],[Rank
(with linear
normalization)]]</f>
        <v>#REF!</v>
      </c>
      <c r="BY747" s="200" t="str">
        <f>IF(FMS_Ranking4[[#This Row],[FMS Type]]="Flood Measurement and Warning",FMS_Ranking4[[#This Row],[Rank (with ArcSinh normalization of select criteria)]],"")</f>
        <v/>
      </c>
      <c r="BZ747" s="200" t="str">
        <f>IF(FMS_Ranking4[[#This Row],[FMS Type]]="Regulatory and Guidance",FMS_Ranking4[[#This Row],[Rank (with ArcSinh normalization of select criteria)]],"")</f>
        <v/>
      </c>
      <c r="CA747" s="200">
        <f>IF(FMS_Ranking4[[#This Row],[FMS Type]]="Education and Outreach",FMS_Ranking4[[#This Row],[Rank (with ArcSinh normalization of select criteria)]],"")</f>
        <v>740</v>
      </c>
      <c r="CB747" s="200" t="str">
        <f>IF(FMS_Ranking4[[#This Row],[FMS Type]]="Property Acquisition and Structural Elevation",FMS_Ranking4[[#This Row],[Rank (with ArcSinh normalization of select criteria)]],"")</f>
        <v/>
      </c>
      <c r="CC747" s="200" t="str">
        <f>IF(FMS_Ranking4[[#This Row],[FMS Type]]="Infrastructure Projects",FMS_Ranking4[[#This Row],[Rank (with ArcSinh normalization of select criteria)]],"")</f>
        <v/>
      </c>
      <c r="CD747" s="200" t="str">
        <f>IF(FMS_Ranking4[[#This Row],[FMS Type]]="Other",FMS_Ranking4[[#This Row],[Rank (with ArcSinh normalization of select criteria)]],"")</f>
        <v/>
      </c>
      <c r="CE747" s="201"/>
      <c r="CF747" s="206"/>
      <c r="CG747" s="206"/>
      <c r="CH747" s="206"/>
      <c r="CI747" s="206"/>
      <c r="CJ747" s="206"/>
      <c r="CK747" s="206"/>
      <c r="CL747" s="206"/>
      <c r="CM747" s="206"/>
      <c r="CN747" s="206"/>
      <c r="CO747" s="206"/>
      <c r="CP747" s="206"/>
      <c r="CQ747" s="206"/>
      <c r="CR747" s="206"/>
    </row>
    <row r="748" spans="2:96" ht="45" x14ac:dyDescent="0.25">
      <c r="B748" s="341" t="s">
        <v>2412</v>
      </c>
      <c r="C748" s="246">
        <f>_xlfn.XLOOKUP(FMS_Ranking4[[#This Row],[FMS ID]],FMS_Input[FMS_ID],FMS_Input[RFPG_NUM])</f>
        <v>3</v>
      </c>
      <c r="D748" s="309" t="str">
        <f>_xlfn.XLOOKUP(FMS_Ranking4[[#This Row],[FMS ID]],FMS_Input[FMS_ID],FMS_Input[FMS_NAME])</f>
        <v>City of Nevada NFIP Floodplain Ordinance</v>
      </c>
      <c r="E748" s="308" t="str">
        <f>_xlfn.XLOOKUP(FMS_Ranking4[[#This Row],[FMS ID]],FMS_Input[FMS_ID],FMS_Input[SPONSOR])</f>
        <v>Nevada</v>
      </c>
      <c r="F748" s="309" t="str">
        <f>_xlfn.XLOOKUP(FMS_Ranking4[[#This Row],[FMS ID]],Sponsor[FMS_ID],Sponsor[SPONSOR NAME])</f>
        <v>Nevada</v>
      </c>
      <c r="G748" s="309" t="str">
        <f>_xlfn.XLOOKUP(FMS_Ranking4[[#This Row],[FMS ID]],FMS_Input[FMS_ID],FMS_Input[FMS_DESCR])</f>
        <v>Develop a floodplain ordinance that meets or exceeds FEMA's minimum standards</v>
      </c>
      <c r="H748" s="248" t="str">
        <f>_xlfn.XLOOKUP(FMS_Ranking4[[#This Row],[FMS ID]],FMS_Input[FMS_ID],FMS_Input[FMS_TYPE])</f>
        <v>Regulatory and Guidance</v>
      </c>
      <c r="I748" s="249">
        <f>_xlfn.XLOOKUP(FMS_Ranking4[[#This Row],[FMS ID]],FMS_Input[FMS_ID],FMS_Input[NRNC_COST])</f>
        <v>100000</v>
      </c>
      <c r="J748" s="250">
        <f>_xlfn.XLOOKUP(FMS_Ranking4[[#This Row],[FMS ID]],FMS_Input[FMS_ID],FMS_Input[FMS_COST])</f>
        <v>100000</v>
      </c>
      <c r="K748" s="251" t="str">
        <f>_xlfn.XLOOKUP(FMS_Ranking4[[#This Row],[FMS ID]],FMS_Input[FMS_ID],FMS_Input[EMER_NEED])</f>
        <v>No</v>
      </c>
      <c r="L748" s="252">
        <f t="shared" si="11"/>
        <v>0</v>
      </c>
      <c r="M748" s="253">
        <f>_xlfn.XLOOKUP(FMS_Ranking4[[#This Row],[FMS ID]],FMS_Input[FMS_ID],FMS_Input[STRUCT_100])</f>
        <v>4</v>
      </c>
      <c r="N748" s="255">
        <f>(ASINH(FMS_Ranking4[[#This Row],[Structure at Risk Raw]]))*(10)/(ASINH(M$4))</f>
        <v>1.6467559513369034</v>
      </c>
      <c r="O748" s="256">
        <f>FMS_Ranking4[[#This Row],[Structures at risk, ArcSinh (0-10)]]*M$5*10</f>
        <v>1.6467559513369034</v>
      </c>
      <c r="P748" s="253">
        <f>_xlfn.XLOOKUP(FMS_Ranking4[[#This Row],[FMS ID]],FMS_Input[FMS_ID],FMS_Input[RES_STRUCT100])</f>
        <v>4</v>
      </c>
      <c r="Q748" s="257">
        <f>ASINH(FMS_Ranking4[[#This Row],[Res Structure Raw]])/Q$4*P$5*100</f>
        <v>0</v>
      </c>
      <c r="R748" s="253">
        <f>_xlfn.XLOOKUP(FMS_Ranking4[[#This Row],[FMS ID]],FMS_Input[FMS_ID],FMS_Input[POP100])</f>
        <v>7</v>
      </c>
      <c r="S748" s="259">
        <f>(ASINH(FMS_Ranking4[[#This Row],[Pop at Risk Raw]]))*(10)/(ASINH(R$4))</f>
        <v>1.8253904965994052</v>
      </c>
      <c r="T748" s="256">
        <f>FMS_Ranking4[[#This Row],[Population at risk, ArcSinh (0-10)]]*R$5*10</f>
        <v>1.8253904965994052</v>
      </c>
      <c r="U748" s="253">
        <f>_xlfn.XLOOKUP(FMS_Ranking4[[#This Row],[FMS ID]],FMS_Input[FMS_ID],FMS_Input[CRITFAC100])</f>
        <v>0</v>
      </c>
      <c r="V748" s="259">
        <f>(ASINH(FMS_Ranking4[[#This Row],[Critical Facilities Raw]]))*(10)/(ASINH(U$4))</f>
        <v>0</v>
      </c>
      <c r="W748" s="256">
        <f>FMS_Ranking4[[#This Row],[Critical facilities at risk, ArcSinh (0-10)]]*U$5*10</f>
        <v>0</v>
      </c>
      <c r="X748" s="253">
        <f>_xlfn.XLOOKUP(FMS_Ranking4[[#This Row],[FMS ID]],FMS_Input[FMS_ID],FMS_Input[LWC])</f>
        <v>0</v>
      </c>
      <c r="Y748" s="259">
        <f>(ASINH(FMS_Ranking4[[#This Row],[LWC Raw]]))*(10)/(ASINH(X$4))</f>
        <v>0</v>
      </c>
      <c r="Z748" s="256">
        <f>FMS_Ranking4[[#This Row],[LWC, ArcSInh (0-10)]]*X$5*10</f>
        <v>0</v>
      </c>
      <c r="AA748" s="253">
        <f>_xlfn.XLOOKUP(FMS_Ranking4[[#This Row],[FMS ID]],FMS_Input[FMS_ID],FMS_Input[ROADCLS])</f>
        <v>0</v>
      </c>
      <c r="AB748" s="255">
        <f>(ASINH(FMS_Ranking4[[#This Row],[Road Closures Raw]]))*(10)/(ASINH(AA$4))</f>
        <v>0</v>
      </c>
      <c r="AC748" s="256">
        <f>FMS_Ranking4[[#This Row],[Road closures, ArcSinh (0-10)]]*AA$5*10</f>
        <v>0</v>
      </c>
      <c r="AD748" s="253">
        <f>_xlfn.XLOOKUP(FMS_Ranking4[[#This Row],[FMS ID]],FMS_Input[FMS_ID],FMS_Input[ROAD_MILES100])</f>
        <v>0</v>
      </c>
      <c r="AE748" s="259">
        <f>(ASINH(FMS_Ranking4[[#This Row],[Road Miles Raw]]))*(10)/(ASINH(AD$4))</f>
        <v>0</v>
      </c>
      <c r="AF748" s="256">
        <f>FMS_Ranking4[[#This Row],[Length of roads at risk, ArcSinh (0-10)]]*AD$5*10</f>
        <v>0</v>
      </c>
      <c r="AG748" s="253">
        <f>_xlfn.XLOOKUP(FMS_Ranking4[[#This Row],[FMS ID]],FMS_Input[FMS_ID],FMS_Input[FARMACRE100])</f>
        <v>32.042629241943359</v>
      </c>
      <c r="AH748" s="255">
        <f>(ASINH(FMS_Ranking4[[#This Row],[Ag Land Raw]]))*(10)/(ASINH(AG$4))</f>
        <v>2.7025562668412477</v>
      </c>
      <c r="AI748" s="260">
        <f>FMS_Ranking4[[#This Row],[Farm &amp; ranch land, ArcSinh (0-10)]]*AG$5*10</f>
        <v>1.3512781334206239</v>
      </c>
      <c r="AJ748" s="258">
        <f>_xlfn.XLOOKUP(FMS_Ranking4[[#This Row],[FMS ID]],FMS_Input[FMS_ID],FMS_Input[REDSTRUCT100])</f>
        <v>0</v>
      </c>
      <c r="AK748" s="253">
        <f>_xlfn.XLOOKUP(FMS_Ranking4[[#This Row],[FMS ID]],FMS_Input[FMS_ID],FMS_Input[REMSTRC100])</f>
        <v>0</v>
      </c>
      <c r="AL748" s="259">
        <f>(ASINH(FMS_Ranking4[[#This Row],[Structures Removed Raw]]))*(10)/(ASINH(AK$4))</f>
        <v>0</v>
      </c>
      <c r="AM748" s="262">
        <f>FMS_Ranking4[[#This Row],[Structures removed, ArcSinh (0-10)]]*AK$5*10</f>
        <v>0</v>
      </c>
      <c r="AN748" s="253">
        <f>_xlfn.XLOOKUP(FMS_Ranking4[[#This Row],[FMS ID]],FMS_Input[FMS_ID],FMS_Input[REMRESSTRC100])</f>
        <v>0</v>
      </c>
      <c r="AO748" s="261">
        <f>FMS_Ranking4[[#This Row],[ArcSinh Res struct removed 0-10]]*AN$5*10</f>
        <v>0</v>
      </c>
      <c r="AP748" s="260">
        <f>ASINH(FMS_Ranking4[[#This Row],[Residential Structures Removed Raw]])/AP$4*AN$5*100</f>
        <v>0</v>
      </c>
      <c r="AQ748" s="254">
        <f>(ASINH(FMS_Ranking4[[#This Row],[Residential Structures Removed Raw]]))*(10)/(ASINH(AN$4))</f>
        <v>0</v>
      </c>
      <c r="AR748" s="253">
        <f>_xlfn.XLOOKUP(FMS_Ranking4[[#This Row],[FMS ID]],FMS_Input[FMS_ID],FMS_Input[REMPOP100])</f>
        <v>0</v>
      </c>
      <c r="AS748" s="259">
        <f>(ASINH(FMS_Ranking4[[#This Row],[Removed Pop Raw]]))*(10)/(ASINH(AR$4))</f>
        <v>0</v>
      </c>
      <c r="AT748" s="262">
        <f>FMS_Ranking4[[#This Row],[Removed population, ArcSinh (0-10)]]*AR$5*10</f>
        <v>0</v>
      </c>
      <c r="AU748" s="264">
        <f>_xlfn.XLOOKUP(FMS_Ranking4[[#This Row],[FMS ID]],FMS_Input[FMS_ID],FMS_Input[REMCRITFAC100])</f>
        <v>0</v>
      </c>
      <c r="AV748" s="264">
        <f>_xlfn.XLOOKUP(FMS_Ranking4[[#This Row],[FMS ID]],FMS_Input[FMS_ID],FMS_Input[REMLWC100])</f>
        <v>0</v>
      </c>
      <c r="AW748" s="264">
        <f>_xlfn.XLOOKUP(FMS_Ranking4[[#This Row],[FMS ID]],FMS_Input[FMS_ID],FMS_Input[REMROADCLS])</f>
        <v>0</v>
      </c>
      <c r="AX748" s="264">
        <f>_xlfn.XLOOKUP(FMS_Ranking4[[#This Row],[FMS ID]],FMS_Input[FMS_ID],FMS_Input[REMFRMACRE100])</f>
        <v>0</v>
      </c>
      <c r="AY748" s="258">
        <f>_xlfn.XLOOKUP(FMS_Ranking4[[#This Row],[FMS ID]],FMS_Input[FMS_ID],FMS_Input[COSTSTRUCT])</f>
        <v>0</v>
      </c>
      <c r="AZ748" s="253">
        <f>_xlfn.XLOOKUP(FMS_Ranking4[[#This Row],[FMS ID]],FMS_Input[FMS_ID],FMS_Input[NATURE])</f>
        <v>0</v>
      </c>
      <c r="BA748" s="262">
        <f>(((FMS_Ranking4[[#This Row],[% NBS Raw]]/AZ$4)*100)*AZ$5)</f>
        <v>0</v>
      </c>
      <c r="BB748" s="251" t="str">
        <f>_xlfn.XLOOKUP(FMS_Ranking4[[#This Row],[FMS ID]],FMS_Input[FMS_ID],FMS_Input[WATER_SUP])</f>
        <v>No</v>
      </c>
      <c r="BC748" s="265">
        <f>IF(FMS_Ranking4[[#This Row],[Water Supply Raw]]="Yes",10,0)</f>
        <v>0</v>
      </c>
      <c r="BD748" s="266">
        <f>_xlfn.XLOOKUP(FMS_Ranking4[[#This Row],[FMS Type]],FMS_TYPE[FMS_Type],FMS_TYPE[Score])</f>
        <v>8</v>
      </c>
      <c r="BE748" s="267">
        <f>FMS_Ranking4[[#This Row],[FMS_Type Score]]*$BD$5*10</f>
        <v>2</v>
      </c>
      <c r="BF748"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3.7692389469885822E-4</v>
      </c>
      <c r="BG748" s="271">
        <f>_xlfn.RANK.EQ(BF748,$BF$8:$BF$870,0)+COUNTIF($BF$8:BF748,BF748)-1</f>
        <v>761</v>
      </c>
      <c r="BH748" s="268">
        <f>(((FMS_Ranking4[[#This Row],[Structures Removed Raw]]/AK$4)*100)*AK$5)+(((FMS_Ranking4[[#This Row],[Removed Pop Raw]]/AR$4)*100)*AR$5)</f>
        <v>0</v>
      </c>
      <c r="BI74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2.0003769238946987</v>
      </c>
      <c r="BJ748" s="205">
        <f>_xlfn.RANK.EQ(FMS_Ranking4[[#This Row],[Total Score 
(with linear
normalization)]],FMS_Ranking4[Total Score 
(with linear
normalization)],0)</f>
        <v>471</v>
      </c>
      <c r="BK748" s="205" t="e">
        <f>_xlfn.XLOOKUP(FMS_Ranking4[[#This Row],[FMS ID]],#REF!,#REF!)</f>
        <v>#REF!</v>
      </c>
      <c r="BL748"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4.8234245813569325</v>
      </c>
      <c r="BM748" s="272">
        <f>FMS_Ranking4[[#This Row],[ArcSinh Score Based on Normalized Reported Factors]]+FMS_Ranking4[[#This Row],[% NBS Score (Normalized)]]+(FMS_Ranking4[[#This Row],[Water Supply Score (Normalized)]]*10*$BB$5)+FMS_Ranking4[[#This Row],[FMS_Type Score Weighted]]</f>
        <v>6.8234245813569325</v>
      </c>
      <c r="BN748" s="205">
        <f>_xlfn.RANK.EQ(FMS_Ranking4[[#This Row],[Total Score (with ArcSinh normalization of select criteria)]],FMS_Ranking4[Total Score (with ArcSinh normalization of select criteria)],0)</f>
        <v>741</v>
      </c>
      <c r="BO748" s="270" t="str">
        <f>_xlfn.XLOOKUP(FMS_Ranking4[[#This Row],[FMS ID]],FMS_Input[FMS_ID],FMS_Input[FMS_RANK_YEAR])</f>
        <v>2023 Amended Plan</v>
      </c>
      <c r="BP748" s="204">
        <f>_xlfn.XLOOKUP(FMS_Ranking4[[#This Row],[FMS ID]],Prev_Rank[FMS ID],Prev_Rank[Prev Rank])</f>
        <v>671</v>
      </c>
      <c r="BQ748" s="205" t="e">
        <f>_xlfn.XLOOKUP(FMS_Ranking4[[#This Row],[FMS ID]],#REF!,#REF!)</f>
        <v>#REF!</v>
      </c>
      <c r="BR748" s="199" t="e">
        <f>SUM(#REF!,#REF!,#REF!,#REF!,#REF!,#REF!,#REF!,#REF!,#REF!,FMS_Ranking4[[#This Row],[ArcSinh Res struct removed 0-10]],#REF!)</f>
        <v>#REF!</v>
      </c>
      <c r="BS748" s="199" t="e">
        <f>FMS_Ranking4[[#This Row],[Log Score Based on Normalized Reported Factors]]+FMS_Ranking4[[#This Row],[% NBS Score (Normalized)]]+(FMS_Ranking4[[#This Row],[Water Supply Score (Normalized)]]*10*$BB$5)+(FMS_Ranking4[[#This Row],[FMS_Type Score Weighted]])</f>
        <v>#REF!</v>
      </c>
      <c r="BT748" s="200" t="e">
        <f>_xlfn.RANK.EQ(FMS_Ranking4[[#This Row],[Log Total Score]],FMS_Ranking4[Log Total Score],0)</f>
        <v>#REF!</v>
      </c>
      <c r="BU748" s="200" t="e">
        <f>_xlfn.XLOOKUP(FMS_Ranking4[[#This Row],[FMS ID]],#REF!,#REF!)</f>
        <v>#REF!</v>
      </c>
      <c r="BV748" s="200">
        <f>FMS_Ranking4[[#This Row],[Region Number]]</f>
        <v>3</v>
      </c>
      <c r="BW748" s="200">
        <f>FMS_Ranking4[[#This Row],[Rank (with ArcSinh normalization of select criteria)]]-FMS_Ranking4[[#This Row],[Rank
(with linear
normalization)]]</f>
        <v>270</v>
      </c>
      <c r="BX748" s="200" t="e">
        <f>FMS_Ranking4[[#This Row],[Log Rank]]-FMS_Ranking4[[#This Row],[Rank
(with linear
normalization)]]</f>
        <v>#REF!</v>
      </c>
      <c r="BY748" s="200" t="str">
        <f>IF(FMS_Ranking4[[#This Row],[FMS Type]]="Flood Measurement and Warning",FMS_Ranking4[[#This Row],[Rank (with ArcSinh normalization of select criteria)]],"")</f>
        <v/>
      </c>
      <c r="BZ748" s="200">
        <f>IF(FMS_Ranking4[[#This Row],[FMS Type]]="Regulatory and Guidance",FMS_Ranking4[[#This Row],[Rank (with ArcSinh normalization of select criteria)]],"")</f>
        <v>741</v>
      </c>
      <c r="CA748" s="200" t="str">
        <f>IF(FMS_Ranking4[[#This Row],[FMS Type]]="Education and Outreach",FMS_Ranking4[[#This Row],[Rank (with ArcSinh normalization of select criteria)]],"")</f>
        <v/>
      </c>
      <c r="CB748" s="200" t="str">
        <f>IF(FMS_Ranking4[[#This Row],[FMS Type]]="Property Acquisition and Structural Elevation",FMS_Ranking4[[#This Row],[Rank (with ArcSinh normalization of select criteria)]],"")</f>
        <v/>
      </c>
      <c r="CC748" s="200" t="str">
        <f>IF(FMS_Ranking4[[#This Row],[FMS Type]]="Infrastructure Projects",FMS_Ranking4[[#This Row],[Rank (with ArcSinh normalization of select criteria)]],"")</f>
        <v/>
      </c>
      <c r="CD748" s="200" t="str">
        <f>IF(FMS_Ranking4[[#This Row],[FMS Type]]="Other",FMS_Ranking4[[#This Row],[Rank (with ArcSinh normalization of select criteria)]],"")</f>
        <v/>
      </c>
      <c r="CE748" s="201"/>
      <c r="CF748" s="206"/>
      <c r="CG748" s="206"/>
      <c r="CH748" s="206"/>
      <c r="CI748" s="206"/>
      <c r="CJ748" s="206"/>
      <c r="CK748" s="206"/>
      <c r="CL748" s="206"/>
      <c r="CM748" s="206"/>
      <c r="CN748" s="206"/>
      <c r="CO748" s="206"/>
      <c r="CP748" s="206"/>
      <c r="CQ748" s="206"/>
      <c r="CR748" s="206"/>
    </row>
    <row r="749" spans="2:96" ht="45" x14ac:dyDescent="0.25">
      <c r="B749" s="341" t="s">
        <v>3335</v>
      </c>
      <c r="C749" s="246">
        <f>_xlfn.XLOOKUP(FMS_Ranking4[[#This Row],[FMS ID]],FMS_Input[FMS_ID],FMS_Input[RFPG_NUM])</f>
        <v>7</v>
      </c>
      <c r="D749" s="309" t="str">
        <f>_xlfn.XLOOKUP(FMS_Ranking4[[#This Row],[FMS ID]],FMS_Input[FMS_ID],FMS_Input[FMS_NAME])</f>
        <v>City of Ropesville NFIP Participation</v>
      </c>
      <c r="E749" s="308" t="str">
        <f>_xlfn.XLOOKUP(FMS_Ranking4[[#This Row],[FMS ID]],FMS_Input[FMS_ID],FMS_Input[SPONSOR])</f>
        <v>07003168</v>
      </c>
      <c r="F749" s="309" t="str">
        <f>_xlfn.XLOOKUP(FMS_Ranking4[[#This Row],[FMS ID]],Sponsor[FMS_ID],Sponsor[SPONSOR NAME])</f>
        <v>Ropesville</v>
      </c>
      <c r="G749" s="309" t="str">
        <f>_xlfn.XLOOKUP(FMS_Ranking4[[#This Row],[FMS ID]],FMS_Input[FMS_ID],FMS_Input[FMS_DESCR])</f>
        <v>Application to join NFIP or adoption of equivalent standards.</v>
      </c>
      <c r="H749" s="248" t="str">
        <f>_xlfn.XLOOKUP(FMS_Ranking4[[#This Row],[FMS ID]],FMS_Input[FMS_ID],FMS_Input[FMS_TYPE])</f>
        <v>Regulatory and Guidance</v>
      </c>
      <c r="I749" s="249">
        <f>_xlfn.XLOOKUP(FMS_Ranking4[[#This Row],[FMS ID]],FMS_Input[FMS_ID],FMS_Input[NRNC_COST])</f>
        <v>50000</v>
      </c>
      <c r="J749" s="250">
        <f>_xlfn.XLOOKUP(FMS_Ranking4[[#This Row],[FMS ID]],FMS_Input[FMS_ID],FMS_Input[FMS_COST])</f>
        <v>50000</v>
      </c>
      <c r="K749" s="251" t="str">
        <f>_xlfn.XLOOKUP(FMS_Ranking4[[#This Row],[FMS ID]],FMS_Input[FMS_ID],FMS_Input[EMER_NEED])</f>
        <v>No</v>
      </c>
      <c r="L749" s="252">
        <f t="shared" si="11"/>
        <v>0</v>
      </c>
      <c r="M749" s="253">
        <f>_xlfn.XLOOKUP(FMS_Ranking4[[#This Row],[FMS ID]],FMS_Input[FMS_ID],FMS_Input[STRUCT_100])</f>
        <v>12</v>
      </c>
      <c r="N749" s="255">
        <f>(ASINH(FMS_Ranking4[[#This Row],[Structure at Risk Raw]]))*(10)/(ASINH(M$4))</f>
        <v>2.4997848035776333</v>
      </c>
      <c r="O749" s="256">
        <f>FMS_Ranking4[[#This Row],[Structures at risk, ArcSinh (0-10)]]*M$5*10</f>
        <v>2.4997848035776333</v>
      </c>
      <c r="P749" s="253">
        <f>_xlfn.XLOOKUP(FMS_Ranking4[[#This Row],[FMS ID]],FMS_Input[FMS_ID],FMS_Input[RES_STRUCT100])</f>
        <v>9</v>
      </c>
      <c r="Q749" s="257">
        <f>ASINH(FMS_Ranking4[[#This Row],[Res Structure Raw]])/Q$4*P$5*100</f>
        <v>0</v>
      </c>
      <c r="R749" s="253">
        <f>_xlfn.XLOOKUP(FMS_Ranking4[[#This Row],[FMS ID]],FMS_Input[FMS_ID],FMS_Input[POP100])</f>
        <v>13</v>
      </c>
      <c r="S749" s="259">
        <f>(ASINH(FMS_Ranking4[[#This Row],[Pop at Risk Raw]]))*(10)/(ASINH(R$4))</f>
        <v>2.2502727011592172</v>
      </c>
      <c r="T749" s="256">
        <f>FMS_Ranking4[[#This Row],[Population at risk, ArcSinh (0-10)]]*R$5*10</f>
        <v>2.2502727011592172</v>
      </c>
      <c r="U749" s="253">
        <f>_xlfn.XLOOKUP(FMS_Ranking4[[#This Row],[FMS ID]],FMS_Input[FMS_ID],FMS_Input[CRITFAC100])</f>
        <v>0</v>
      </c>
      <c r="V749" s="259">
        <f>(ASINH(FMS_Ranking4[[#This Row],[Critical Facilities Raw]]))*(10)/(ASINH(U$4))</f>
        <v>0</v>
      </c>
      <c r="W749" s="256">
        <f>FMS_Ranking4[[#This Row],[Critical facilities at risk, ArcSinh (0-10)]]*U$5*10</f>
        <v>0</v>
      </c>
      <c r="X749" s="253">
        <f>_xlfn.XLOOKUP(FMS_Ranking4[[#This Row],[FMS ID]],FMS_Input[FMS_ID],FMS_Input[LWC])</f>
        <v>0</v>
      </c>
      <c r="Y749" s="259">
        <f>(ASINH(FMS_Ranking4[[#This Row],[LWC Raw]]))*(10)/(ASINH(X$4))</f>
        <v>0</v>
      </c>
      <c r="Z749" s="256">
        <f>FMS_Ranking4[[#This Row],[LWC, ArcSInh (0-10)]]*X$5*10</f>
        <v>0</v>
      </c>
      <c r="AA749" s="253">
        <f>_xlfn.XLOOKUP(FMS_Ranking4[[#This Row],[FMS ID]],FMS_Input[FMS_ID],FMS_Input[ROADCLS])</f>
        <v>0</v>
      </c>
      <c r="AB749" s="255">
        <f>(ASINH(FMS_Ranking4[[#This Row],[Road Closures Raw]]))*(10)/(ASINH(AA$4))</f>
        <v>0</v>
      </c>
      <c r="AC749" s="256">
        <f>FMS_Ranking4[[#This Row],[Road closures, ArcSinh (0-10)]]*AA$5*10</f>
        <v>0</v>
      </c>
      <c r="AD749" s="253">
        <f>_xlfn.XLOOKUP(FMS_Ranking4[[#This Row],[FMS ID]],FMS_Input[FMS_ID],FMS_Input[ROAD_MILES100])</f>
        <v>0</v>
      </c>
      <c r="AE749" s="259">
        <f>(ASINH(FMS_Ranking4[[#This Row],[Road Miles Raw]]))*(10)/(ASINH(AD$4))</f>
        <v>0</v>
      </c>
      <c r="AF749" s="256">
        <f>FMS_Ranking4[[#This Row],[Length of roads at risk, ArcSinh (0-10)]]*AD$5*10</f>
        <v>0</v>
      </c>
      <c r="AG749" s="253">
        <f>_xlfn.XLOOKUP(FMS_Ranking4[[#This Row],[FMS ID]],FMS_Input[FMS_ID],FMS_Input[FARMACRE100])</f>
        <v>0</v>
      </c>
      <c r="AH749" s="255">
        <f>(ASINH(FMS_Ranking4[[#This Row],[Ag Land Raw]]))*(10)/(ASINH(AG$4))</f>
        <v>0</v>
      </c>
      <c r="AI749" s="260">
        <f>FMS_Ranking4[[#This Row],[Farm &amp; ranch land, ArcSinh (0-10)]]*AG$5*10</f>
        <v>0</v>
      </c>
      <c r="AJ749" s="258">
        <f>_xlfn.XLOOKUP(FMS_Ranking4[[#This Row],[FMS ID]],FMS_Input[FMS_ID],FMS_Input[REDSTRUCT100])</f>
        <v>0</v>
      </c>
      <c r="AK749" s="253">
        <f>_xlfn.XLOOKUP(FMS_Ranking4[[#This Row],[FMS ID]],FMS_Input[FMS_ID],FMS_Input[REMSTRC100])</f>
        <v>0</v>
      </c>
      <c r="AL749" s="259">
        <f>(ASINH(FMS_Ranking4[[#This Row],[Structures Removed Raw]]))*(10)/(ASINH(AK$4))</f>
        <v>0</v>
      </c>
      <c r="AM749" s="262">
        <f>FMS_Ranking4[[#This Row],[Structures removed, ArcSinh (0-10)]]*AK$5*10</f>
        <v>0</v>
      </c>
      <c r="AN749" s="253">
        <f>_xlfn.XLOOKUP(FMS_Ranking4[[#This Row],[FMS ID]],FMS_Input[FMS_ID],FMS_Input[REMRESSTRC100])</f>
        <v>0</v>
      </c>
      <c r="AO749" s="261">
        <f>FMS_Ranking4[[#This Row],[ArcSinh Res struct removed 0-10]]*AN$5*10</f>
        <v>0</v>
      </c>
      <c r="AP749" s="260">
        <f>ASINH(FMS_Ranking4[[#This Row],[Residential Structures Removed Raw]])/AP$4*AN$5*100</f>
        <v>0</v>
      </c>
      <c r="AQ749" s="254">
        <f>(ASINH(FMS_Ranking4[[#This Row],[Residential Structures Removed Raw]]))*(10)/(ASINH(AN$4))</f>
        <v>0</v>
      </c>
      <c r="AR749" s="253">
        <f>_xlfn.XLOOKUP(FMS_Ranking4[[#This Row],[FMS ID]],FMS_Input[FMS_ID],FMS_Input[REMPOP100])</f>
        <v>0</v>
      </c>
      <c r="AS749" s="259">
        <f>(ASINH(FMS_Ranking4[[#This Row],[Removed Pop Raw]]))*(10)/(ASINH(AR$4))</f>
        <v>0</v>
      </c>
      <c r="AT749" s="262">
        <f>FMS_Ranking4[[#This Row],[Removed population, ArcSinh (0-10)]]*AR$5*10</f>
        <v>0</v>
      </c>
      <c r="AU749" s="264">
        <f>_xlfn.XLOOKUP(FMS_Ranking4[[#This Row],[FMS ID]],FMS_Input[FMS_ID],FMS_Input[REMCRITFAC100])</f>
        <v>0</v>
      </c>
      <c r="AV749" s="264">
        <f>_xlfn.XLOOKUP(FMS_Ranking4[[#This Row],[FMS ID]],FMS_Input[FMS_ID],FMS_Input[REMLWC100])</f>
        <v>0</v>
      </c>
      <c r="AW749" s="264">
        <f>_xlfn.XLOOKUP(FMS_Ranking4[[#This Row],[FMS ID]],FMS_Input[FMS_ID],FMS_Input[REMROADCLS])</f>
        <v>0</v>
      </c>
      <c r="AX749" s="264">
        <f>_xlfn.XLOOKUP(FMS_Ranking4[[#This Row],[FMS ID]],FMS_Input[FMS_ID],FMS_Input[REMFRMACRE100])</f>
        <v>0</v>
      </c>
      <c r="AY749" s="258">
        <f>_xlfn.XLOOKUP(FMS_Ranking4[[#This Row],[FMS ID]],FMS_Input[FMS_ID],FMS_Input[COSTSTRUCT])</f>
        <v>0</v>
      </c>
      <c r="AZ749" s="253">
        <f>_xlfn.XLOOKUP(FMS_Ranking4[[#This Row],[FMS ID]],FMS_Input[FMS_ID],FMS_Input[NATURE])</f>
        <v>0</v>
      </c>
      <c r="BA749" s="262">
        <f>(((FMS_Ranking4[[#This Row],[% NBS Raw]]/AZ$4)*100)*AZ$5)</f>
        <v>0</v>
      </c>
      <c r="BB749" s="251" t="str">
        <f>_xlfn.XLOOKUP(FMS_Ranking4[[#This Row],[FMS ID]],FMS_Input[FMS_ID],FMS_Input[WATER_SUP])</f>
        <v>No</v>
      </c>
      <c r="BC749" s="265">
        <f>IF(FMS_Ranking4[[#This Row],[Water Supply Raw]]="Yes",10,0)</f>
        <v>0</v>
      </c>
      <c r="BD749" s="266">
        <f>_xlfn.XLOOKUP(FMS_Ranking4[[#This Row],[FMS Type]],FMS_TYPE[FMS_Type],FMS_TYPE[Score])</f>
        <v>8</v>
      </c>
      <c r="BE749" s="267">
        <f>FMS_Ranking4[[#This Row],[FMS_Type Score]]*$BD$5*10</f>
        <v>2</v>
      </c>
      <c r="BF749"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8.5068143792432543E-4</v>
      </c>
      <c r="BG749" s="271">
        <f>_xlfn.RANK.EQ(BF749,$BF$8:$BF$870,0)+COUNTIF($BF$8:BF749,BF749)-1</f>
        <v>749</v>
      </c>
      <c r="BH749" s="268">
        <f>(((FMS_Ranking4[[#This Row],[Structures Removed Raw]]/AK$4)*100)*AK$5)+(((FMS_Ranking4[[#This Row],[Removed Pop Raw]]/AR$4)*100)*AR$5)</f>
        <v>0</v>
      </c>
      <c r="BI74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2.0008506814379241</v>
      </c>
      <c r="BJ749" s="205">
        <f>_xlfn.RANK.EQ(FMS_Ranking4[[#This Row],[Total Score 
(with linear
normalization)]],FMS_Ranking4[Total Score 
(with linear
normalization)],0)</f>
        <v>464</v>
      </c>
      <c r="BK749" s="205" t="e">
        <f>_xlfn.XLOOKUP(FMS_Ranking4[[#This Row],[FMS ID]],#REF!,#REF!)</f>
        <v>#REF!</v>
      </c>
      <c r="BL749"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4.7500575047368505</v>
      </c>
      <c r="BM749" s="272">
        <f>FMS_Ranking4[[#This Row],[ArcSinh Score Based on Normalized Reported Factors]]+FMS_Ranking4[[#This Row],[% NBS Score (Normalized)]]+(FMS_Ranking4[[#This Row],[Water Supply Score (Normalized)]]*10*$BB$5)+FMS_Ranking4[[#This Row],[FMS_Type Score Weighted]]</f>
        <v>6.7500575047368505</v>
      </c>
      <c r="BN749" s="205">
        <f>_xlfn.RANK.EQ(FMS_Ranking4[[#This Row],[Total Score (with ArcSinh normalization of select criteria)]],FMS_Ranking4[Total Score (with ArcSinh normalization of select criteria)],0)</f>
        <v>742</v>
      </c>
      <c r="BO749" s="270" t="str">
        <f>_xlfn.XLOOKUP(FMS_Ranking4[[#This Row],[FMS ID]],FMS_Input[FMS_ID],FMS_Input[FMS_RANK_YEAR])</f>
        <v>2023 Amended Plan</v>
      </c>
      <c r="BP749" s="204">
        <f>_xlfn.XLOOKUP(FMS_Ranking4[[#This Row],[FMS ID]],Prev_Rank[FMS ID],Prev_Rank[Prev Rank])</f>
        <v>672</v>
      </c>
      <c r="BQ749" s="205" t="e">
        <f>_xlfn.XLOOKUP(FMS_Ranking4[[#This Row],[FMS ID]],#REF!,#REF!)</f>
        <v>#REF!</v>
      </c>
      <c r="BR749" s="199" t="e">
        <f>SUM(#REF!,#REF!,#REF!,#REF!,#REF!,#REF!,#REF!,#REF!,#REF!,FMS_Ranking4[[#This Row],[ArcSinh Res struct removed 0-10]],#REF!)</f>
        <v>#REF!</v>
      </c>
      <c r="BS749" s="199" t="e">
        <f>FMS_Ranking4[[#This Row],[Log Score Based on Normalized Reported Factors]]+FMS_Ranking4[[#This Row],[% NBS Score (Normalized)]]+(FMS_Ranking4[[#This Row],[Water Supply Score (Normalized)]]*10*$BB$5)+(FMS_Ranking4[[#This Row],[FMS_Type Score Weighted]])</f>
        <v>#REF!</v>
      </c>
      <c r="BT749" s="200" t="e">
        <f>_xlfn.RANK.EQ(FMS_Ranking4[[#This Row],[Log Total Score]],FMS_Ranking4[Log Total Score],0)</f>
        <v>#REF!</v>
      </c>
      <c r="BU749" s="200" t="e">
        <f>_xlfn.XLOOKUP(FMS_Ranking4[[#This Row],[FMS ID]],#REF!,#REF!)</f>
        <v>#REF!</v>
      </c>
      <c r="BV749" s="200">
        <f>FMS_Ranking4[[#This Row],[Region Number]]</f>
        <v>7</v>
      </c>
      <c r="BW749" s="200">
        <f>FMS_Ranking4[[#This Row],[Rank (with ArcSinh normalization of select criteria)]]-FMS_Ranking4[[#This Row],[Rank
(with linear
normalization)]]</f>
        <v>278</v>
      </c>
      <c r="BX749" s="200" t="e">
        <f>FMS_Ranking4[[#This Row],[Log Rank]]-FMS_Ranking4[[#This Row],[Rank
(with linear
normalization)]]</f>
        <v>#REF!</v>
      </c>
      <c r="BY749" s="200" t="str">
        <f>IF(FMS_Ranking4[[#This Row],[FMS Type]]="Flood Measurement and Warning",FMS_Ranking4[[#This Row],[Rank (with ArcSinh normalization of select criteria)]],"")</f>
        <v/>
      </c>
      <c r="BZ749" s="200">
        <f>IF(FMS_Ranking4[[#This Row],[FMS Type]]="Regulatory and Guidance",FMS_Ranking4[[#This Row],[Rank (with ArcSinh normalization of select criteria)]],"")</f>
        <v>742</v>
      </c>
      <c r="CA749" s="200" t="str">
        <f>IF(FMS_Ranking4[[#This Row],[FMS Type]]="Education and Outreach",FMS_Ranking4[[#This Row],[Rank (with ArcSinh normalization of select criteria)]],"")</f>
        <v/>
      </c>
      <c r="CB749" s="200" t="str">
        <f>IF(FMS_Ranking4[[#This Row],[FMS Type]]="Property Acquisition and Structural Elevation",FMS_Ranking4[[#This Row],[Rank (with ArcSinh normalization of select criteria)]],"")</f>
        <v/>
      </c>
      <c r="CC749" s="200" t="str">
        <f>IF(FMS_Ranking4[[#This Row],[FMS Type]]="Infrastructure Projects",FMS_Ranking4[[#This Row],[Rank (with ArcSinh normalization of select criteria)]],"")</f>
        <v/>
      </c>
      <c r="CD749" s="200" t="str">
        <f>IF(FMS_Ranking4[[#This Row],[FMS Type]]="Other",FMS_Ranking4[[#This Row],[Rank (with ArcSinh normalization of select criteria)]],"")</f>
        <v/>
      </c>
      <c r="CE749" s="201"/>
      <c r="CF749" s="206"/>
      <c r="CG749" s="206"/>
      <c r="CH749" s="206"/>
      <c r="CI749" s="206"/>
      <c r="CJ749" s="206"/>
      <c r="CK749" s="206"/>
      <c r="CL749" s="206"/>
      <c r="CM749" s="206"/>
      <c r="CN749" s="206"/>
      <c r="CO749" s="206"/>
      <c r="CP749" s="206"/>
      <c r="CQ749" s="206"/>
      <c r="CR749" s="206"/>
    </row>
    <row r="750" spans="2:96" ht="30" x14ac:dyDescent="0.25">
      <c r="B750" s="341" t="s">
        <v>463</v>
      </c>
      <c r="C750" s="246">
        <f>_xlfn.XLOOKUP(FMS_Ranking4[[#This Row],[FMS ID]],FMS_Input[FMS_ID],FMS_Input[RFPG_NUM])</f>
        <v>9</v>
      </c>
      <c r="D750" s="309" t="str">
        <f>_xlfn.XLOOKUP(FMS_Ranking4[[#This Row],[FMS ID]],FMS_Input[FMS_ID],FMS_Input[FMS_NAME])</f>
        <v>City of Blackwell NFIP Application</v>
      </c>
      <c r="E750" s="308" t="str">
        <f>_xlfn.XLOOKUP(FMS_Ranking4[[#This Row],[FMS ID]],FMS_Input[FMS_ID],FMS_Input[SPONSOR])</f>
        <v>09000147</v>
      </c>
      <c r="F750" s="309" t="str">
        <f>_xlfn.XLOOKUP(FMS_Ranking4[[#This Row],[FMS ID]],Sponsor[FMS_ID],Sponsor[SPONSOR NAME])</f>
        <v>Coke</v>
      </c>
      <c r="G750" s="309" t="str">
        <f>_xlfn.XLOOKUP(FMS_Ranking4[[#This Row],[FMS ID]],FMS_Input[FMS_ID],FMS_Input[FMS_DESCR])</f>
        <v>Join the NFIP.</v>
      </c>
      <c r="H750" s="248" t="str">
        <f>_xlfn.XLOOKUP(FMS_Ranking4[[#This Row],[FMS ID]],FMS_Input[FMS_ID],FMS_Input[FMS_TYPE])</f>
        <v>Other</v>
      </c>
      <c r="I750" s="249">
        <f>_xlfn.XLOOKUP(FMS_Ranking4[[#This Row],[FMS ID]],FMS_Input[FMS_ID],FMS_Input[NRNC_COST])</f>
        <v>5000</v>
      </c>
      <c r="J750" s="250">
        <f>_xlfn.XLOOKUP(FMS_Ranking4[[#This Row],[FMS ID]],FMS_Input[FMS_ID],FMS_Input[FMS_COST])</f>
        <v>30000</v>
      </c>
      <c r="K750" s="251" t="str">
        <f>_xlfn.XLOOKUP(FMS_Ranking4[[#This Row],[FMS ID]],FMS_Input[FMS_ID],FMS_Input[EMER_NEED])</f>
        <v>No</v>
      </c>
      <c r="L750" s="252">
        <f t="shared" si="11"/>
        <v>0</v>
      </c>
      <c r="M750" s="253">
        <f>_xlfn.XLOOKUP(FMS_Ranking4[[#This Row],[FMS ID]],FMS_Input[FMS_ID],FMS_Input[STRUCT_100])</f>
        <v>2</v>
      </c>
      <c r="N750" s="255">
        <f>(ASINH(FMS_Ranking4[[#This Row],[Structure at Risk Raw]]))*(10)/(ASINH(M$4))</f>
        <v>1.134912431502926</v>
      </c>
      <c r="O750" s="256">
        <f>FMS_Ranking4[[#This Row],[Structures at risk, ArcSinh (0-10)]]*M$5*10</f>
        <v>1.134912431502926</v>
      </c>
      <c r="P750" s="253">
        <f>_xlfn.XLOOKUP(FMS_Ranking4[[#This Row],[FMS ID]],FMS_Input[FMS_ID],FMS_Input[RES_STRUCT100])</f>
        <v>3</v>
      </c>
      <c r="Q750" s="257">
        <f>ASINH(FMS_Ranking4[[#This Row],[Res Structure Raw]])/Q$4*P$5*100</f>
        <v>0</v>
      </c>
      <c r="R750" s="253">
        <f>_xlfn.XLOOKUP(FMS_Ranking4[[#This Row],[FMS ID]],FMS_Input[FMS_ID],FMS_Input[POP100])</f>
        <v>14</v>
      </c>
      <c r="S750" s="255">
        <f>(ASINH(FMS_Ranking4[[#This Row],[Pop at Risk Raw]]))*(10)/(ASINH(R$4))</f>
        <v>2.3012936463949329</v>
      </c>
      <c r="T750" s="256">
        <f>FMS_Ranking4[[#This Row],[Population at risk, ArcSinh (0-10)]]*R$5*10</f>
        <v>2.3012936463949329</v>
      </c>
      <c r="U750" s="253">
        <f>_xlfn.XLOOKUP(FMS_Ranking4[[#This Row],[FMS ID]],FMS_Input[FMS_ID],FMS_Input[CRITFAC100])</f>
        <v>0</v>
      </c>
      <c r="V750" s="255">
        <f>(ASINH(FMS_Ranking4[[#This Row],[Critical Facilities Raw]]))*(10)/(ASINH(U$4))</f>
        <v>0</v>
      </c>
      <c r="W750" s="256">
        <f>FMS_Ranking4[[#This Row],[Critical facilities at risk, ArcSinh (0-10)]]*U$5*10</f>
        <v>0</v>
      </c>
      <c r="X750" s="253">
        <f>_xlfn.XLOOKUP(FMS_Ranking4[[#This Row],[FMS ID]],FMS_Input[FMS_ID],FMS_Input[LWC])</f>
        <v>0</v>
      </c>
      <c r="Y750" s="255">
        <f>(ASINH(FMS_Ranking4[[#This Row],[LWC Raw]]))*(10)/(ASINH(X$4))</f>
        <v>0</v>
      </c>
      <c r="Z750" s="256">
        <f>FMS_Ranking4[[#This Row],[LWC, ArcSInh (0-10)]]*X$5*10</f>
        <v>0</v>
      </c>
      <c r="AA750" s="253">
        <f>_xlfn.XLOOKUP(FMS_Ranking4[[#This Row],[FMS ID]],FMS_Input[FMS_ID],FMS_Input[ROADCLS])</f>
        <v>0</v>
      </c>
      <c r="AB750" s="255">
        <f>(ASINH(FMS_Ranking4[[#This Row],[Road Closures Raw]]))*(10)/(ASINH(AA$4))</f>
        <v>0</v>
      </c>
      <c r="AC750" s="256">
        <f>FMS_Ranking4[[#This Row],[Road closures, ArcSinh (0-10)]]*AA$5*10</f>
        <v>0</v>
      </c>
      <c r="AD750" s="253">
        <f>_xlfn.XLOOKUP(FMS_Ranking4[[#This Row],[FMS ID]],FMS_Input[FMS_ID],FMS_Input[ROAD_MILES100])</f>
        <v>0</v>
      </c>
      <c r="AE750" s="255">
        <f>(ASINH(FMS_Ranking4[[#This Row],[Road Miles Raw]]))*(10)/(ASINH(AD$4))</f>
        <v>0</v>
      </c>
      <c r="AF750" s="256">
        <f>FMS_Ranking4[[#This Row],[Length of roads at risk, ArcSinh (0-10)]]*AD$5*10</f>
        <v>0</v>
      </c>
      <c r="AG750" s="253">
        <f>_xlfn.XLOOKUP(FMS_Ranking4[[#This Row],[FMS ID]],FMS_Input[FMS_ID],FMS_Input[FARMACRE100])</f>
        <v>5.9681897982954979E-4</v>
      </c>
      <c r="AH750" s="255">
        <f>(ASINH(FMS_Ranking4[[#This Row],[Ag Land Raw]]))*(10)/(ASINH(AG$4))</f>
        <v>3.8768252681814296E-4</v>
      </c>
      <c r="AI750" s="260">
        <f>FMS_Ranking4[[#This Row],[Farm &amp; ranch land, ArcSinh (0-10)]]*AG$5*10</f>
        <v>1.9384126340907151E-4</v>
      </c>
      <c r="AJ750" s="258">
        <f>_xlfn.XLOOKUP(FMS_Ranking4[[#This Row],[FMS ID]],FMS_Input[FMS_ID],FMS_Input[REDSTRUCT100])</f>
        <v>1</v>
      </c>
      <c r="AK750" s="253">
        <f>_xlfn.XLOOKUP(FMS_Ranking4[[#This Row],[FMS ID]],FMS_Input[FMS_ID],FMS_Input[REMSTRC100])</f>
        <v>1</v>
      </c>
      <c r="AL750" s="255">
        <f>(ASINH(FMS_Ranking4[[#This Row],[Structures Removed Raw]]))*(10)/(ASINH(AK$4))</f>
        <v>1.0035067418235621</v>
      </c>
      <c r="AM750" s="262">
        <f>FMS_Ranking4[[#This Row],[Structures removed, ArcSinh (0-10)]]*AK$5*10</f>
        <v>1.0035067418235621</v>
      </c>
      <c r="AN750" s="253">
        <f>_xlfn.XLOOKUP(FMS_Ranking4[[#This Row],[FMS ID]],FMS_Input[FMS_ID],FMS_Input[REMRESSTRC100])</f>
        <v>0</v>
      </c>
      <c r="AO750" s="261">
        <f>FMS_Ranking4[[#This Row],[ArcSinh Res struct removed 0-10]]*AN$5*10</f>
        <v>0</v>
      </c>
      <c r="AP750" s="260">
        <f>ASINH(FMS_Ranking4[[#This Row],[Residential Structures Removed Raw]])/AP$4*AN$5*100</f>
        <v>0</v>
      </c>
      <c r="AQ750" s="258">
        <f>(ASINH(FMS_Ranking4[[#This Row],[Residential Structures Removed Raw]]))*(10)/(ASINH(AN$4))</f>
        <v>0</v>
      </c>
      <c r="AR750" s="253">
        <f>_xlfn.XLOOKUP(FMS_Ranking4[[#This Row],[FMS ID]],FMS_Input[FMS_ID],FMS_Input[REMPOP100])</f>
        <v>3</v>
      </c>
      <c r="AS750" s="255">
        <f>(ASINH(FMS_Ranking4[[#This Row],[Removed Pop Raw]]))*(10)/(ASINH(AR$4))</f>
        <v>1.7850242185191216</v>
      </c>
      <c r="AT750" s="262">
        <f>FMS_Ranking4[[#This Row],[Removed population, ArcSinh (0-10)]]*AR$5*10</f>
        <v>1.7850242185191219</v>
      </c>
      <c r="AU750" s="264">
        <f>_xlfn.XLOOKUP(FMS_Ranking4[[#This Row],[FMS ID]],FMS_Input[FMS_ID],FMS_Input[REMCRITFAC100])</f>
        <v>0</v>
      </c>
      <c r="AV750" s="264">
        <f>_xlfn.XLOOKUP(FMS_Ranking4[[#This Row],[FMS ID]],FMS_Input[FMS_ID],FMS_Input[REMLWC100])</f>
        <v>0</v>
      </c>
      <c r="AW750" s="264">
        <f>_xlfn.XLOOKUP(FMS_Ranking4[[#This Row],[FMS ID]],FMS_Input[FMS_ID],FMS_Input[REMROADCLS])</f>
        <v>0</v>
      </c>
      <c r="AX750" s="264">
        <f>_xlfn.XLOOKUP(FMS_Ranking4[[#This Row],[FMS ID]],FMS_Input[FMS_ID],FMS_Input[REMFRMACRE100])</f>
        <v>1.4920500689186161E-4</v>
      </c>
      <c r="AY750" s="258">
        <f>_xlfn.XLOOKUP(FMS_Ranking4[[#This Row],[FMS ID]],FMS_Input[FMS_ID],FMS_Input[COSTSTRUCT])</f>
        <v>25000</v>
      </c>
      <c r="AZ750" s="253">
        <f>_xlfn.XLOOKUP(FMS_Ranking4[[#This Row],[FMS ID]],FMS_Input[FMS_ID],FMS_Input[NATURE])</f>
        <v>0</v>
      </c>
      <c r="BA750" s="262">
        <f>(((FMS_Ranking4[[#This Row],[% NBS Raw]]/AZ$4)*100)*AZ$5)</f>
        <v>0</v>
      </c>
      <c r="BB750" s="251" t="str">
        <f>_xlfn.XLOOKUP(FMS_Ranking4[[#This Row],[FMS ID]],FMS_Input[FMS_ID],FMS_Input[WATER_SUP])</f>
        <v>No</v>
      </c>
      <c r="BC750" s="265">
        <f>IF(FMS_Ranking4[[#This Row],[Water Supply Raw]]="Yes",10,0)</f>
        <v>0</v>
      </c>
      <c r="BD750" s="266">
        <f>_xlfn.XLOOKUP(FMS_Ranking4[[#This Row],[FMS Type]],FMS_TYPE[FMS_Type],FMS_TYPE[Score])</f>
        <v>2</v>
      </c>
      <c r="BE750" s="267">
        <f>FMS_Ranking4[[#This Row],[FMS_Type Score]]*$BD$5*10</f>
        <v>0.5</v>
      </c>
      <c r="BF750"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2.6291938858181475E-4</v>
      </c>
      <c r="BG750" s="321">
        <f>_xlfn.RANK.EQ(BF750,$BF$8:$BF$870,0)+COUNTIF($BF$8:BF750,BF750)-1</f>
        <v>767</v>
      </c>
      <c r="BH750" s="294">
        <f>(((FMS_Ranking4[[#This Row],[Structures Removed Raw]]/AK$4)*100)*AK$5)+(((FMS_Ranking4[[#This Row],[Removed Pop Raw]]/AR$4)*100)*AR$5)</f>
        <v>5.3254100541497507E-3</v>
      </c>
      <c r="BI75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0.50558832944273158</v>
      </c>
      <c r="BJ750" s="251">
        <f>_xlfn.RANK.EQ(FMS_Ranking4[[#This Row],[Total Score 
(with linear
normalization)]],FMS_Ranking4[Total Score 
(with linear
normalization)],0)</f>
        <v>851</v>
      </c>
      <c r="BK750" s="251" t="e">
        <f>_xlfn.XLOOKUP(FMS_Ranking4[[#This Row],[FMS ID]],#REF!,#REF!)</f>
        <v>#REF!</v>
      </c>
      <c r="BL750"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6.224930879503952</v>
      </c>
      <c r="BM750" s="324">
        <f>FMS_Ranking4[[#This Row],[ArcSinh Score Based on Normalized Reported Factors]]+FMS_Ranking4[[#This Row],[% NBS Score (Normalized)]]+(FMS_Ranking4[[#This Row],[Water Supply Score (Normalized)]]*10*$BB$5)+FMS_Ranking4[[#This Row],[FMS_Type Score Weighted]]</f>
        <v>6.724930879503952</v>
      </c>
      <c r="BN750" s="251">
        <f>_xlfn.RANK.EQ(FMS_Ranking4[[#This Row],[Total Score (with ArcSinh normalization of select criteria)]],FMS_Ranking4[Total Score (with ArcSinh normalization of select criteria)],0)</f>
        <v>743</v>
      </c>
      <c r="BO750" s="270" t="str">
        <f>_xlfn.XLOOKUP(FMS_Ranking4[[#This Row],[FMS ID]],FMS_Input[FMS_ID],FMS_Input[FMS_RANK_YEAR])</f>
        <v>2023 Amended Plan</v>
      </c>
      <c r="BP750" s="204">
        <f>_xlfn.XLOOKUP(FMS_Ranking4[[#This Row],[FMS ID]],Prev_Rank[FMS ID],Prev_Rank[Prev Rank])</f>
        <v>675</v>
      </c>
      <c r="BQ750" s="251" t="e">
        <f>_xlfn.XLOOKUP(FMS_Ranking4[[#This Row],[FMS ID]],#REF!,#REF!)</f>
        <v>#REF!</v>
      </c>
      <c r="BR750" s="199" t="e">
        <f>SUM(#REF!,#REF!,#REF!,#REF!,#REF!,#REF!,#REF!,#REF!,#REF!,FMS_Ranking4[[#This Row],[ArcSinh Res struct removed 0-10]],#REF!)</f>
        <v>#REF!</v>
      </c>
      <c r="BS750" s="199" t="e">
        <f>FMS_Ranking4[[#This Row],[Log Score Based on Normalized Reported Factors]]+FMS_Ranking4[[#This Row],[% NBS Score (Normalized)]]+(FMS_Ranking4[[#This Row],[Water Supply Score (Normalized)]]*10*$BB$5)+(FMS_Ranking4[[#This Row],[FMS_Type Score Weighted]])</f>
        <v>#REF!</v>
      </c>
      <c r="BT750" s="200" t="e">
        <f>_xlfn.RANK.EQ(FMS_Ranking4[[#This Row],[Log Total Score]],FMS_Ranking4[Log Total Score],0)</f>
        <v>#REF!</v>
      </c>
      <c r="BU750" s="200" t="e">
        <f>_xlfn.XLOOKUP(FMS_Ranking4[[#This Row],[FMS ID]],#REF!,#REF!)</f>
        <v>#REF!</v>
      </c>
      <c r="BV750" s="200">
        <f>FMS_Ranking4[[#This Row],[Region Number]]</f>
        <v>9</v>
      </c>
      <c r="BW750" s="200">
        <f>FMS_Ranking4[[#This Row],[Rank (with ArcSinh normalization of select criteria)]]-FMS_Ranking4[[#This Row],[Rank
(with linear
normalization)]]</f>
        <v>-108</v>
      </c>
      <c r="BX750" s="200" t="e">
        <f>FMS_Ranking4[[#This Row],[Log Rank]]-FMS_Ranking4[[#This Row],[Rank
(with linear
normalization)]]</f>
        <v>#REF!</v>
      </c>
      <c r="BY750" s="200" t="str">
        <f>IF(FMS_Ranking4[[#This Row],[FMS Type]]="Flood Measurement and Warning",FMS_Ranking4[[#This Row],[Rank (with ArcSinh normalization of select criteria)]],"")</f>
        <v/>
      </c>
      <c r="BZ750" s="200" t="str">
        <f>IF(FMS_Ranking4[[#This Row],[FMS Type]]="Regulatory and Guidance",FMS_Ranking4[[#This Row],[Rank (with ArcSinh normalization of select criteria)]],"")</f>
        <v/>
      </c>
      <c r="CA750" s="200" t="str">
        <f>IF(FMS_Ranking4[[#This Row],[FMS Type]]="Education and Outreach",FMS_Ranking4[[#This Row],[Rank (with ArcSinh normalization of select criteria)]],"")</f>
        <v/>
      </c>
      <c r="CB750" s="200" t="str">
        <f>IF(FMS_Ranking4[[#This Row],[FMS Type]]="Property Acquisition and Structural Elevation",FMS_Ranking4[[#This Row],[Rank (with ArcSinh normalization of select criteria)]],"")</f>
        <v/>
      </c>
      <c r="CC750" s="200" t="str">
        <f>IF(FMS_Ranking4[[#This Row],[FMS Type]]="Infrastructure Projects",FMS_Ranking4[[#This Row],[Rank (with ArcSinh normalization of select criteria)]],"")</f>
        <v/>
      </c>
      <c r="CD750" s="200">
        <f>IF(FMS_Ranking4[[#This Row],[FMS Type]]="Other",FMS_Ranking4[[#This Row],[Rank (with ArcSinh normalization of select criteria)]],"")</f>
        <v>743</v>
      </c>
      <c r="CE750" s="201"/>
      <c r="CF750" s="206"/>
      <c r="CG750" s="206"/>
      <c r="CH750" s="206"/>
      <c r="CI750" s="206"/>
      <c r="CJ750" s="206"/>
      <c r="CK750" s="206"/>
      <c r="CL750" s="206"/>
      <c r="CM750" s="206"/>
      <c r="CN750" s="206"/>
      <c r="CO750" s="206"/>
      <c r="CP750" s="206"/>
      <c r="CQ750" s="206"/>
      <c r="CR750" s="206"/>
    </row>
    <row r="751" spans="2:96" ht="45" x14ac:dyDescent="0.25">
      <c r="B751" s="341" t="s">
        <v>778</v>
      </c>
      <c r="C751" s="246">
        <f>_xlfn.XLOOKUP(FMS_Ranking4[[#This Row],[FMS ID]],FMS_Input[FMS_ID],FMS_Input[RFPG_NUM])</f>
        <v>9</v>
      </c>
      <c r="D751" s="309" t="str">
        <f>_xlfn.XLOOKUP(FMS_Ranking4[[#This Row],[FMS ID]],FMS_Input[FMS_ID],FMS_Input[FMS_NAME])</f>
        <v>City of Blackwell Flood Insurance Awareness Program</v>
      </c>
      <c r="E751" s="308" t="str">
        <f>_xlfn.XLOOKUP(FMS_Ranking4[[#This Row],[FMS ID]],FMS_Input[FMS_ID],FMS_Input[SPONSOR])</f>
        <v>09000147</v>
      </c>
      <c r="F751" s="309" t="str">
        <f>_xlfn.XLOOKUP(FMS_Ranking4[[#This Row],[FMS ID]],Sponsor[FMS_ID],Sponsor[SPONSOR NAME])</f>
        <v>Coke</v>
      </c>
      <c r="G751" s="309" t="str">
        <f>_xlfn.XLOOKUP(FMS_Ranking4[[#This Row],[FMS ID]],FMS_Input[FMS_ID],FMS_Input[FMS_DESCR])</f>
        <v xml:space="preserve">Implement a public awareness program regarding availability of flood insurance. </v>
      </c>
      <c r="H751" s="248" t="str">
        <f>_xlfn.XLOOKUP(FMS_Ranking4[[#This Row],[FMS ID]],FMS_Input[FMS_ID],FMS_Input[FMS_TYPE])</f>
        <v>Other</v>
      </c>
      <c r="I751" s="249">
        <f>_xlfn.XLOOKUP(FMS_Ranking4[[#This Row],[FMS ID]],FMS_Input[FMS_ID],FMS_Input[NRNC_COST])</f>
        <v>5000</v>
      </c>
      <c r="J751" s="250">
        <f>_xlfn.XLOOKUP(FMS_Ranking4[[#This Row],[FMS ID]],FMS_Input[FMS_ID],FMS_Input[FMS_COST])</f>
        <v>30000</v>
      </c>
      <c r="K751" s="251" t="str">
        <f>_xlfn.XLOOKUP(FMS_Ranking4[[#This Row],[FMS ID]],FMS_Input[FMS_ID],FMS_Input[EMER_NEED])</f>
        <v>No</v>
      </c>
      <c r="L751" s="252">
        <f t="shared" si="11"/>
        <v>0</v>
      </c>
      <c r="M751" s="253">
        <f>_xlfn.XLOOKUP(FMS_Ranking4[[#This Row],[FMS ID]],FMS_Input[FMS_ID],FMS_Input[STRUCT_100])</f>
        <v>2</v>
      </c>
      <c r="N751" s="255">
        <f>(ASINH(FMS_Ranking4[[#This Row],[Structure at Risk Raw]]))*(10)/(ASINH(M$4))</f>
        <v>1.134912431502926</v>
      </c>
      <c r="O751" s="256">
        <f>FMS_Ranking4[[#This Row],[Structures at risk, ArcSinh (0-10)]]*M$5*10</f>
        <v>1.134912431502926</v>
      </c>
      <c r="P751" s="253">
        <f>_xlfn.XLOOKUP(FMS_Ranking4[[#This Row],[FMS ID]],FMS_Input[FMS_ID],FMS_Input[RES_STRUCT100])</f>
        <v>3</v>
      </c>
      <c r="Q751" s="257">
        <f>ASINH(FMS_Ranking4[[#This Row],[Res Structure Raw]])/Q$4*P$5*100</f>
        <v>0</v>
      </c>
      <c r="R751" s="253">
        <f>_xlfn.XLOOKUP(FMS_Ranking4[[#This Row],[FMS ID]],FMS_Input[FMS_ID],FMS_Input[POP100])</f>
        <v>14</v>
      </c>
      <c r="S751" s="255">
        <f>(ASINH(FMS_Ranking4[[#This Row],[Pop at Risk Raw]]))*(10)/(ASINH(R$4))</f>
        <v>2.3012936463949329</v>
      </c>
      <c r="T751" s="256">
        <f>FMS_Ranking4[[#This Row],[Population at risk, ArcSinh (0-10)]]*R$5*10</f>
        <v>2.3012936463949329</v>
      </c>
      <c r="U751" s="253">
        <f>_xlfn.XLOOKUP(FMS_Ranking4[[#This Row],[FMS ID]],FMS_Input[FMS_ID],FMS_Input[CRITFAC100])</f>
        <v>0</v>
      </c>
      <c r="V751" s="255">
        <f>(ASINH(FMS_Ranking4[[#This Row],[Critical Facilities Raw]]))*(10)/(ASINH(U$4))</f>
        <v>0</v>
      </c>
      <c r="W751" s="256">
        <f>FMS_Ranking4[[#This Row],[Critical facilities at risk, ArcSinh (0-10)]]*U$5*10</f>
        <v>0</v>
      </c>
      <c r="X751" s="253">
        <f>_xlfn.XLOOKUP(FMS_Ranking4[[#This Row],[FMS ID]],FMS_Input[FMS_ID],FMS_Input[LWC])</f>
        <v>0</v>
      </c>
      <c r="Y751" s="255">
        <f>(ASINH(FMS_Ranking4[[#This Row],[LWC Raw]]))*(10)/(ASINH(X$4))</f>
        <v>0</v>
      </c>
      <c r="Z751" s="256">
        <f>FMS_Ranking4[[#This Row],[LWC, ArcSInh (0-10)]]*X$5*10</f>
        <v>0</v>
      </c>
      <c r="AA751" s="253">
        <f>_xlfn.XLOOKUP(FMS_Ranking4[[#This Row],[FMS ID]],FMS_Input[FMS_ID],FMS_Input[ROADCLS])</f>
        <v>0</v>
      </c>
      <c r="AB751" s="255">
        <f>(ASINH(FMS_Ranking4[[#This Row],[Road Closures Raw]]))*(10)/(ASINH(AA$4))</f>
        <v>0</v>
      </c>
      <c r="AC751" s="256">
        <f>FMS_Ranking4[[#This Row],[Road closures, ArcSinh (0-10)]]*AA$5*10</f>
        <v>0</v>
      </c>
      <c r="AD751" s="253">
        <f>_xlfn.XLOOKUP(FMS_Ranking4[[#This Row],[FMS ID]],FMS_Input[FMS_ID],FMS_Input[ROAD_MILES100])</f>
        <v>0</v>
      </c>
      <c r="AE751" s="255">
        <f>(ASINH(FMS_Ranking4[[#This Row],[Road Miles Raw]]))*(10)/(ASINH(AD$4))</f>
        <v>0</v>
      </c>
      <c r="AF751" s="256">
        <f>FMS_Ranking4[[#This Row],[Length of roads at risk, ArcSinh (0-10)]]*AD$5*10</f>
        <v>0</v>
      </c>
      <c r="AG751" s="253">
        <f>_xlfn.XLOOKUP(FMS_Ranking4[[#This Row],[FMS ID]],FMS_Input[FMS_ID],FMS_Input[FARMACRE100])</f>
        <v>0</v>
      </c>
      <c r="AH751" s="255">
        <f>(ASINH(FMS_Ranking4[[#This Row],[Ag Land Raw]]))*(10)/(ASINH(AG$4))</f>
        <v>0</v>
      </c>
      <c r="AI751" s="260">
        <f>FMS_Ranking4[[#This Row],[Farm &amp; ranch land, ArcSinh (0-10)]]*AG$5*10</f>
        <v>0</v>
      </c>
      <c r="AJ751" s="258">
        <f>_xlfn.XLOOKUP(FMS_Ranking4[[#This Row],[FMS ID]],FMS_Input[FMS_ID],FMS_Input[REDSTRUCT100])</f>
        <v>1</v>
      </c>
      <c r="AK751" s="253">
        <f>_xlfn.XLOOKUP(FMS_Ranking4[[#This Row],[FMS ID]],FMS_Input[FMS_ID],FMS_Input[REMSTRC100])</f>
        <v>1</v>
      </c>
      <c r="AL751" s="255">
        <f>(ASINH(FMS_Ranking4[[#This Row],[Structures Removed Raw]]))*(10)/(ASINH(AK$4))</f>
        <v>1.0035067418235621</v>
      </c>
      <c r="AM751" s="262">
        <f>FMS_Ranking4[[#This Row],[Structures removed, ArcSinh (0-10)]]*AK$5*10</f>
        <v>1.0035067418235621</v>
      </c>
      <c r="AN751" s="253">
        <f>_xlfn.XLOOKUP(FMS_Ranking4[[#This Row],[FMS ID]],FMS_Input[FMS_ID],FMS_Input[REMRESSTRC100])</f>
        <v>0</v>
      </c>
      <c r="AO751" s="261">
        <f>FMS_Ranking4[[#This Row],[ArcSinh Res struct removed 0-10]]*AN$5*10</f>
        <v>0</v>
      </c>
      <c r="AP751" s="260">
        <f>ASINH(FMS_Ranking4[[#This Row],[Residential Structures Removed Raw]])/AP$4*AN$5*100</f>
        <v>0</v>
      </c>
      <c r="AQ751" s="258">
        <f>(ASINH(FMS_Ranking4[[#This Row],[Residential Structures Removed Raw]]))*(10)/(ASINH(AN$4))</f>
        <v>0</v>
      </c>
      <c r="AR751" s="253">
        <f>_xlfn.XLOOKUP(FMS_Ranking4[[#This Row],[FMS ID]],FMS_Input[FMS_ID],FMS_Input[REMPOP100])</f>
        <v>3</v>
      </c>
      <c r="AS751" s="255">
        <f>(ASINH(FMS_Ranking4[[#This Row],[Removed Pop Raw]]))*(10)/(ASINH(AR$4))</f>
        <v>1.7850242185191216</v>
      </c>
      <c r="AT751" s="262">
        <f>FMS_Ranking4[[#This Row],[Removed population, ArcSinh (0-10)]]*AR$5*10</f>
        <v>1.7850242185191219</v>
      </c>
      <c r="AU751" s="264">
        <f>_xlfn.XLOOKUP(FMS_Ranking4[[#This Row],[FMS ID]],FMS_Input[FMS_ID],FMS_Input[REMCRITFAC100])</f>
        <v>0</v>
      </c>
      <c r="AV751" s="264">
        <f>_xlfn.XLOOKUP(FMS_Ranking4[[#This Row],[FMS ID]],FMS_Input[FMS_ID],FMS_Input[REMLWC100])</f>
        <v>0</v>
      </c>
      <c r="AW751" s="264">
        <f>_xlfn.XLOOKUP(FMS_Ranking4[[#This Row],[FMS ID]],FMS_Input[FMS_ID],FMS_Input[REMROADCLS])</f>
        <v>0</v>
      </c>
      <c r="AX751" s="264">
        <f>_xlfn.XLOOKUP(FMS_Ranking4[[#This Row],[FMS ID]],FMS_Input[FMS_ID],FMS_Input[REMFRMACRE100])</f>
        <v>0</v>
      </c>
      <c r="AY751" s="258">
        <f>_xlfn.XLOOKUP(FMS_Ranking4[[#This Row],[FMS ID]],FMS_Input[FMS_ID],FMS_Input[COSTSTRUCT])</f>
        <v>25000</v>
      </c>
      <c r="AZ751" s="253">
        <f>_xlfn.XLOOKUP(FMS_Ranking4[[#This Row],[FMS ID]],FMS_Input[FMS_ID],FMS_Input[NATURE])</f>
        <v>0</v>
      </c>
      <c r="BA751" s="262">
        <f>(((FMS_Ranking4[[#This Row],[% NBS Raw]]/AZ$4)*100)*AZ$5)</f>
        <v>0</v>
      </c>
      <c r="BB751" s="251" t="str">
        <f>_xlfn.XLOOKUP(FMS_Ranking4[[#This Row],[FMS ID]],FMS_Input[FMS_ID],FMS_Input[WATER_SUP])</f>
        <v>No</v>
      </c>
      <c r="BC751" s="265">
        <f>IF(FMS_Ranking4[[#This Row],[Water Supply Raw]]="Yes",10,0)</f>
        <v>0</v>
      </c>
      <c r="BD751" s="266">
        <f>_xlfn.XLOOKUP(FMS_Ranking4[[#This Row],[FMS Type]],FMS_TYPE[FMS_Type],FMS_TYPE[Score])</f>
        <v>2</v>
      </c>
      <c r="BE751" s="267">
        <f>FMS_Ranking4[[#This Row],[FMS_Type Score]]*$BD$5*10</f>
        <v>0.5</v>
      </c>
      <c r="BF751" s="294">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2.6291815807466144E-4</v>
      </c>
      <c r="BG751" s="321">
        <f>_xlfn.RANK.EQ(BF751,$BF$8:$BF$870,0)+COUNTIF($BF$8:BF751,BF751)-1</f>
        <v>769</v>
      </c>
      <c r="BH751" s="294">
        <f>(((FMS_Ranking4[[#This Row],[Structures Removed Raw]]/AK$4)*100)*AK$5)+(((FMS_Ranking4[[#This Row],[Removed Pop Raw]]/AR$4)*100)*AR$5)</f>
        <v>5.3254100541497507E-3</v>
      </c>
      <c r="BI75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0.50558832821222444</v>
      </c>
      <c r="BJ751" s="251">
        <f>_xlfn.RANK.EQ(FMS_Ranking4[[#This Row],[Total Score 
(with linear
normalization)]],FMS_Ranking4[Total Score 
(with linear
normalization)],0)</f>
        <v>852</v>
      </c>
      <c r="BK751" s="251" t="e">
        <f>_xlfn.XLOOKUP(FMS_Ranking4[[#This Row],[FMS ID]],#REF!,#REF!)</f>
        <v>#REF!</v>
      </c>
      <c r="BL751" s="324">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6.2247370382405434</v>
      </c>
      <c r="BM751" s="324">
        <f>FMS_Ranking4[[#This Row],[ArcSinh Score Based on Normalized Reported Factors]]+FMS_Ranking4[[#This Row],[% NBS Score (Normalized)]]+(FMS_Ranking4[[#This Row],[Water Supply Score (Normalized)]]*10*$BB$5)+FMS_Ranking4[[#This Row],[FMS_Type Score Weighted]]</f>
        <v>6.7247370382405434</v>
      </c>
      <c r="BN751" s="251">
        <f>_xlfn.RANK.EQ(FMS_Ranking4[[#This Row],[Total Score (with ArcSinh normalization of select criteria)]],FMS_Ranking4[Total Score (with ArcSinh normalization of select criteria)],0)</f>
        <v>744</v>
      </c>
      <c r="BO751" s="270" t="str">
        <f>_xlfn.XLOOKUP(FMS_Ranking4[[#This Row],[FMS ID]],FMS_Input[FMS_ID],FMS_Input[FMS_RANK_YEAR])</f>
        <v>2023 Amended Plan</v>
      </c>
      <c r="BP751" s="204">
        <f>_xlfn.XLOOKUP(FMS_Ranking4[[#This Row],[FMS ID]],Prev_Rank[FMS ID],Prev_Rank[Prev Rank])</f>
        <v>676</v>
      </c>
      <c r="BQ751" s="251" t="e">
        <f>_xlfn.XLOOKUP(FMS_Ranking4[[#This Row],[FMS ID]],#REF!,#REF!)</f>
        <v>#REF!</v>
      </c>
      <c r="BR751" s="199" t="e">
        <f>SUM(#REF!,#REF!,#REF!,#REF!,#REF!,#REF!,#REF!,#REF!,#REF!,FMS_Ranking4[[#This Row],[ArcSinh Res struct removed 0-10]],#REF!)</f>
        <v>#REF!</v>
      </c>
      <c r="BS751" s="199" t="e">
        <f>FMS_Ranking4[[#This Row],[Log Score Based on Normalized Reported Factors]]+FMS_Ranking4[[#This Row],[% NBS Score (Normalized)]]+(FMS_Ranking4[[#This Row],[Water Supply Score (Normalized)]]*10*$BB$5)+(FMS_Ranking4[[#This Row],[FMS_Type Score Weighted]])</f>
        <v>#REF!</v>
      </c>
      <c r="BT751" s="200" t="e">
        <f>_xlfn.RANK.EQ(FMS_Ranking4[[#This Row],[Log Total Score]],FMS_Ranking4[Log Total Score],0)</f>
        <v>#REF!</v>
      </c>
      <c r="BU751" s="200" t="e">
        <f>_xlfn.XLOOKUP(FMS_Ranking4[[#This Row],[FMS ID]],#REF!,#REF!)</f>
        <v>#REF!</v>
      </c>
      <c r="BV751" s="200">
        <f>FMS_Ranking4[[#This Row],[Region Number]]</f>
        <v>9</v>
      </c>
      <c r="BW751" s="200">
        <f>FMS_Ranking4[[#This Row],[Rank (with ArcSinh normalization of select criteria)]]-FMS_Ranking4[[#This Row],[Rank
(with linear
normalization)]]</f>
        <v>-108</v>
      </c>
      <c r="BX751" s="200" t="e">
        <f>FMS_Ranking4[[#This Row],[Log Rank]]-FMS_Ranking4[[#This Row],[Rank
(with linear
normalization)]]</f>
        <v>#REF!</v>
      </c>
      <c r="BY751" s="200" t="str">
        <f>IF(FMS_Ranking4[[#This Row],[FMS Type]]="Flood Measurement and Warning",FMS_Ranking4[[#This Row],[Rank (with ArcSinh normalization of select criteria)]],"")</f>
        <v/>
      </c>
      <c r="BZ751" s="200" t="str">
        <f>IF(FMS_Ranking4[[#This Row],[FMS Type]]="Regulatory and Guidance",FMS_Ranking4[[#This Row],[Rank (with ArcSinh normalization of select criteria)]],"")</f>
        <v/>
      </c>
      <c r="CA751" s="200" t="str">
        <f>IF(FMS_Ranking4[[#This Row],[FMS Type]]="Education and Outreach",FMS_Ranking4[[#This Row],[Rank (with ArcSinh normalization of select criteria)]],"")</f>
        <v/>
      </c>
      <c r="CB751" s="200" t="str">
        <f>IF(FMS_Ranking4[[#This Row],[FMS Type]]="Property Acquisition and Structural Elevation",FMS_Ranking4[[#This Row],[Rank (with ArcSinh normalization of select criteria)]],"")</f>
        <v/>
      </c>
      <c r="CC751" s="200" t="str">
        <f>IF(FMS_Ranking4[[#This Row],[FMS Type]]="Infrastructure Projects",FMS_Ranking4[[#This Row],[Rank (with ArcSinh normalization of select criteria)]],"")</f>
        <v/>
      </c>
      <c r="CD751" s="200">
        <f>IF(FMS_Ranking4[[#This Row],[FMS Type]]="Other",FMS_Ranking4[[#This Row],[Rank (with ArcSinh normalization of select criteria)]],"")</f>
        <v>744</v>
      </c>
      <c r="CE751" s="201"/>
      <c r="CF751" s="206"/>
      <c r="CG751" s="206"/>
      <c r="CH751" s="206"/>
      <c r="CI751" s="206"/>
      <c r="CJ751" s="206"/>
      <c r="CK751" s="206"/>
      <c r="CL751" s="206"/>
      <c r="CM751" s="206"/>
      <c r="CN751" s="206"/>
      <c r="CO751" s="206"/>
      <c r="CP751" s="206"/>
      <c r="CQ751" s="206"/>
      <c r="CR751" s="206"/>
    </row>
    <row r="752" spans="2:96" ht="45" x14ac:dyDescent="0.25">
      <c r="B752" s="341" t="s">
        <v>1573</v>
      </c>
      <c r="C752" s="246">
        <f>_xlfn.XLOOKUP(FMS_Ranking4[[#This Row],[FMS ID]],FMS_Input[FMS_ID],FMS_Input[RFPG_NUM])</f>
        <v>2</v>
      </c>
      <c r="D752" s="309" t="str">
        <f>_xlfn.XLOOKUP(FMS_Ranking4[[#This Row],[FMS ID]],FMS_Input[FMS_ID],FMS_Input[FMS_NAME])</f>
        <v>City of Wolfe NFIP Involvement</v>
      </c>
      <c r="E752" s="308" t="str">
        <f>_xlfn.XLOOKUP(FMS_Ranking4[[#This Row],[FMS ID]],FMS_Input[FMS_ID],FMS_Input[SPONSOR])</f>
        <v>City of Wolfe</v>
      </c>
      <c r="F752" s="309" t="str">
        <f>_xlfn.XLOOKUP(FMS_Ranking4[[#This Row],[FMS ID]],Sponsor[FMS_ID],Sponsor[SPONSOR NAME])</f>
        <v>City of Wolfe</v>
      </c>
      <c r="G752" s="309" t="str">
        <f>_xlfn.XLOOKUP(FMS_Ranking4[[#This Row],[FMS ID]],FMS_Input[FMS_ID],FMS_Input[FMS_DESCR])</f>
        <v xml:space="preserve">Application to join NFIP or adoption of equivalent standards </v>
      </c>
      <c r="H752" s="248" t="str">
        <f>_xlfn.XLOOKUP(FMS_Ranking4[[#This Row],[FMS ID]],FMS_Input[FMS_ID],FMS_Input[FMS_TYPE])</f>
        <v>Regulatory and Guidance</v>
      </c>
      <c r="I752" s="249">
        <f>_xlfn.XLOOKUP(FMS_Ranking4[[#This Row],[FMS ID]],FMS_Input[FMS_ID],FMS_Input[NRNC_COST])</f>
        <v>100000</v>
      </c>
      <c r="J752" s="250">
        <f>_xlfn.XLOOKUP(FMS_Ranking4[[#This Row],[FMS ID]],FMS_Input[FMS_ID],FMS_Input[FMS_COST])</f>
        <v>100000</v>
      </c>
      <c r="K752" s="251" t="str">
        <f>_xlfn.XLOOKUP(FMS_Ranking4[[#This Row],[FMS ID]],FMS_Input[FMS_ID],FMS_Input[EMER_NEED])</f>
        <v>No</v>
      </c>
      <c r="L752" s="252">
        <f t="shared" si="11"/>
        <v>0</v>
      </c>
      <c r="M752" s="253">
        <f>_xlfn.XLOOKUP(FMS_Ranking4[[#This Row],[FMS ID]],FMS_Input[FMS_ID],FMS_Input[STRUCT_100])</f>
        <v>9</v>
      </c>
      <c r="N752" s="255">
        <f>(ASINH(FMS_Ranking4[[#This Row],[Structure at Risk Raw]]))*(10)/(ASINH(M$4))</f>
        <v>2.2746777880562381</v>
      </c>
      <c r="O752" s="256">
        <f>FMS_Ranking4[[#This Row],[Structures at risk, ArcSinh (0-10)]]*M$5*10</f>
        <v>2.2746777880562381</v>
      </c>
      <c r="P752" s="253">
        <f>_xlfn.XLOOKUP(FMS_Ranking4[[#This Row],[FMS ID]],FMS_Input[FMS_ID],FMS_Input[RES_STRUCT100])</f>
        <v>8</v>
      </c>
      <c r="Q752" s="257">
        <f>ASINH(FMS_Ranking4[[#This Row],[Res Structure Raw]])/Q$4*P$5*100</f>
        <v>0</v>
      </c>
      <c r="R752" s="253">
        <f>_xlfn.XLOOKUP(FMS_Ranking4[[#This Row],[FMS ID]],FMS_Input[FMS_ID],FMS_Input[POP100])</f>
        <v>16</v>
      </c>
      <c r="S752" s="259">
        <f>(ASINH(FMS_Ranking4[[#This Row],[Pop at Risk Raw]]))*(10)/(ASINH(R$4))</f>
        <v>2.3932724541966266</v>
      </c>
      <c r="T752" s="256">
        <f>FMS_Ranking4[[#This Row],[Population at risk, ArcSinh (0-10)]]*R$5*10</f>
        <v>2.3932724541966266</v>
      </c>
      <c r="U752" s="253">
        <f>_xlfn.XLOOKUP(FMS_Ranking4[[#This Row],[FMS ID]],FMS_Input[FMS_ID],FMS_Input[CRITFAC100])</f>
        <v>0</v>
      </c>
      <c r="V752" s="259">
        <f>(ASINH(FMS_Ranking4[[#This Row],[Critical Facilities Raw]]))*(10)/(ASINH(U$4))</f>
        <v>0</v>
      </c>
      <c r="W752" s="256">
        <f>FMS_Ranking4[[#This Row],[Critical facilities at risk, ArcSinh (0-10)]]*U$5*10</f>
        <v>0</v>
      </c>
      <c r="X752" s="253">
        <f>_xlfn.XLOOKUP(FMS_Ranking4[[#This Row],[FMS ID]],FMS_Input[FMS_ID],FMS_Input[LWC])</f>
        <v>0</v>
      </c>
      <c r="Y752" s="259">
        <f>(ASINH(FMS_Ranking4[[#This Row],[LWC Raw]]))*(10)/(ASINH(X$4))</f>
        <v>0</v>
      </c>
      <c r="Z752" s="256">
        <f>FMS_Ranking4[[#This Row],[LWC, ArcSInh (0-10)]]*X$5*10</f>
        <v>0</v>
      </c>
      <c r="AA752" s="253">
        <f>_xlfn.XLOOKUP(FMS_Ranking4[[#This Row],[FMS ID]],FMS_Input[FMS_ID],FMS_Input[ROADCLS])</f>
        <v>0</v>
      </c>
      <c r="AB752" s="255">
        <f>(ASINH(FMS_Ranking4[[#This Row],[Road Closures Raw]]))*(10)/(ASINH(AA$4))</f>
        <v>0</v>
      </c>
      <c r="AC752" s="256">
        <f>FMS_Ranking4[[#This Row],[Road closures, ArcSinh (0-10)]]*AA$5*10</f>
        <v>0</v>
      </c>
      <c r="AD752" s="253">
        <f>_xlfn.XLOOKUP(FMS_Ranking4[[#This Row],[FMS ID]],FMS_Input[FMS_ID],FMS_Input[ROAD_MILES100])</f>
        <v>0</v>
      </c>
      <c r="AE752" s="259">
        <f>(ASINH(FMS_Ranking4[[#This Row],[Road Miles Raw]]))*(10)/(ASINH(AD$4))</f>
        <v>0</v>
      </c>
      <c r="AF752" s="256">
        <f>FMS_Ranking4[[#This Row],[Length of roads at risk, ArcSinh (0-10)]]*AD$5*10</f>
        <v>0</v>
      </c>
      <c r="AG752" s="253">
        <f>_xlfn.XLOOKUP(FMS_Ranking4[[#This Row],[FMS ID]],FMS_Input[FMS_ID],FMS_Input[FARMACRE100])</f>
        <v>6.586967408657074E-2</v>
      </c>
      <c r="AH752" s="255">
        <f>(ASINH(FMS_Ranking4[[#This Row],[Ag Land Raw]]))*(10)/(ASINH(AG$4))</f>
        <v>4.2756838606878927E-2</v>
      </c>
      <c r="AI752" s="260">
        <f>FMS_Ranking4[[#This Row],[Farm &amp; ranch land, ArcSinh (0-10)]]*AG$5*10</f>
        <v>2.1378419303439464E-2</v>
      </c>
      <c r="AJ752" s="258">
        <f>_xlfn.XLOOKUP(FMS_Ranking4[[#This Row],[FMS ID]],FMS_Input[FMS_ID],FMS_Input[REDSTRUCT100])</f>
        <v>0</v>
      </c>
      <c r="AK752" s="253">
        <f>_xlfn.XLOOKUP(FMS_Ranking4[[#This Row],[FMS ID]],FMS_Input[FMS_ID],FMS_Input[REMSTRC100])</f>
        <v>0</v>
      </c>
      <c r="AL752" s="259">
        <f>(ASINH(FMS_Ranking4[[#This Row],[Structures Removed Raw]]))*(10)/(ASINH(AK$4))</f>
        <v>0</v>
      </c>
      <c r="AM752" s="262">
        <f>FMS_Ranking4[[#This Row],[Structures removed, ArcSinh (0-10)]]*AK$5*10</f>
        <v>0</v>
      </c>
      <c r="AN752" s="253">
        <f>_xlfn.XLOOKUP(FMS_Ranking4[[#This Row],[FMS ID]],FMS_Input[FMS_ID],FMS_Input[REMRESSTRC100])</f>
        <v>0</v>
      </c>
      <c r="AO752" s="261">
        <f>FMS_Ranking4[[#This Row],[ArcSinh Res struct removed 0-10]]*AN$5*10</f>
        <v>0</v>
      </c>
      <c r="AP752" s="260">
        <f>ASINH(FMS_Ranking4[[#This Row],[Residential Structures Removed Raw]])/AP$4*AN$5*100</f>
        <v>0</v>
      </c>
      <c r="AQ752" s="254">
        <f>(ASINH(FMS_Ranking4[[#This Row],[Residential Structures Removed Raw]]))*(10)/(ASINH(AN$4))</f>
        <v>0</v>
      </c>
      <c r="AR752" s="253">
        <f>_xlfn.XLOOKUP(FMS_Ranking4[[#This Row],[FMS ID]],FMS_Input[FMS_ID],FMS_Input[REMPOP100])</f>
        <v>0</v>
      </c>
      <c r="AS752" s="259">
        <f>(ASINH(FMS_Ranking4[[#This Row],[Removed Pop Raw]]))*(10)/(ASINH(AR$4))</f>
        <v>0</v>
      </c>
      <c r="AT752" s="262">
        <f>FMS_Ranking4[[#This Row],[Removed population, ArcSinh (0-10)]]*AR$5*10</f>
        <v>0</v>
      </c>
      <c r="AU752" s="264">
        <f>_xlfn.XLOOKUP(FMS_Ranking4[[#This Row],[FMS ID]],FMS_Input[FMS_ID],FMS_Input[REMCRITFAC100])</f>
        <v>0</v>
      </c>
      <c r="AV752" s="264">
        <f>_xlfn.XLOOKUP(FMS_Ranking4[[#This Row],[FMS ID]],FMS_Input[FMS_ID],FMS_Input[REMLWC100])</f>
        <v>0</v>
      </c>
      <c r="AW752" s="264">
        <f>_xlfn.XLOOKUP(FMS_Ranking4[[#This Row],[FMS ID]],FMS_Input[FMS_ID],FMS_Input[REMROADCLS])</f>
        <v>0</v>
      </c>
      <c r="AX752" s="264">
        <f>_xlfn.XLOOKUP(FMS_Ranking4[[#This Row],[FMS ID]],FMS_Input[FMS_ID],FMS_Input[REMFRMACRE100])</f>
        <v>0</v>
      </c>
      <c r="AY752" s="258">
        <f>_xlfn.XLOOKUP(FMS_Ranking4[[#This Row],[FMS ID]],FMS_Input[FMS_ID],FMS_Input[COSTSTRUCT])</f>
        <v>0</v>
      </c>
      <c r="AZ752" s="253">
        <f>_xlfn.XLOOKUP(FMS_Ranking4[[#This Row],[FMS ID]],FMS_Input[FMS_ID],FMS_Input[NATURE])</f>
        <v>0</v>
      </c>
      <c r="BA752" s="262">
        <f>(((FMS_Ranking4[[#This Row],[% NBS Raw]]/AZ$4)*100)*AZ$5)</f>
        <v>0</v>
      </c>
      <c r="BB752" s="251" t="str">
        <f>_xlfn.XLOOKUP(FMS_Ranking4[[#This Row],[FMS ID]],FMS_Input[FMS_ID],FMS_Input[WATER_SUP])</f>
        <v>No</v>
      </c>
      <c r="BC752" s="265">
        <f>IF(FMS_Ranking4[[#This Row],[Water Supply Raw]]="Yes",10,0)</f>
        <v>0</v>
      </c>
      <c r="BD752" s="266">
        <f>_xlfn.XLOOKUP(FMS_Ranking4[[#This Row],[FMS Type]],FMS_TYPE[FMS_Type],FMS_TYPE[Score])</f>
        <v>8</v>
      </c>
      <c r="BE752" s="267">
        <f>FMS_Ranking4[[#This Row],[FMS_Type Score]]*$BD$5*10</f>
        <v>2</v>
      </c>
      <c r="BF752"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7.0212818190838028E-4</v>
      </c>
      <c r="BG752" s="271">
        <f>_xlfn.RANK.EQ(BF752,$BF$8:$BF$870,0)+COUNTIF($BF$8:BF752,BF752)-1</f>
        <v>751</v>
      </c>
      <c r="BH752" s="268">
        <f>(((FMS_Ranking4[[#This Row],[Structures Removed Raw]]/AK$4)*100)*AK$5)+(((FMS_Ranking4[[#This Row],[Removed Pop Raw]]/AR$4)*100)*AR$5)</f>
        <v>0</v>
      </c>
      <c r="BI75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2.0007021281819082</v>
      </c>
      <c r="BJ752" s="205">
        <f>_xlfn.RANK.EQ(FMS_Ranking4[[#This Row],[Total Score 
(with linear
normalization)]],FMS_Ranking4[Total Score 
(with linear
normalization)],0)</f>
        <v>466</v>
      </c>
      <c r="BK752" s="205" t="e">
        <f>_xlfn.XLOOKUP(FMS_Ranking4[[#This Row],[FMS ID]],#REF!,#REF!)</f>
        <v>#REF!</v>
      </c>
      <c r="BL752"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4.6893286615563037</v>
      </c>
      <c r="BM752" s="272">
        <f>FMS_Ranking4[[#This Row],[ArcSinh Score Based on Normalized Reported Factors]]+FMS_Ranking4[[#This Row],[% NBS Score (Normalized)]]+(FMS_Ranking4[[#This Row],[Water Supply Score (Normalized)]]*10*$BB$5)+FMS_Ranking4[[#This Row],[FMS_Type Score Weighted]]</f>
        <v>6.6893286615563037</v>
      </c>
      <c r="BN752" s="205">
        <f>_xlfn.RANK.EQ(FMS_Ranking4[[#This Row],[Total Score (with ArcSinh normalization of select criteria)]],FMS_Ranking4[Total Score (with ArcSinh normalization of select criteria)],0)</f>
        <v>745</v>
      </c>
      <c r="BO752" s="270" t="str">
        <f>_xlfn.XLOOKUP(FMS_Ranking4[[#This Row],[FMS ID]],FMS_Input[FMS_ID],FMS_Input[FMS_RANK_YEAR])</f>
        <v>2023 Amended Plan</v>
      </c>
      <c r="BP752" s="204">
        <f>_xlfn.XLOOKUP(FMS_Ranking4[[#This Row],[FMS ID]],Prev_Rank[FMS ID],Prev_Rank[Prev Rank])</f>
        <v>673</v>
      </c>
      <c r="BQ752" s="205" t="e">
        <f>_xlfn.XLOOKUP(FMS_Ranking4[[#This Row],[FMS ID]],#REF!,#REF!)</f>
        <v>#REF!</v>
      </c>
      <c r="BR752" s="199" t="e">
        <f>SUM(#REF!,#REF!,#REF!,#REF!,#REF!,#REF!,#REF!,#REF!,#REF!,FMS_Ranking4[[#This Row],[ArcSinh Res struct removed 0-10]],#REF!)</f>
        <v>#REF!</v>
      </c>
      <c r="BS752" s="199" t="e">
        <f>FMS_Ranking4[[#This Row],[Log Score Based on Normalized Reported Factors]]+FMS_Ranking4[[#This Row],[% NBS Score (Normalized)]]+(FMS_Ranking4[[#This Row],[Water Supply Score (Normalized)]]*10*$BB$5)+(FMS_Ranking4[[#This Row],[FMS_Type Score Weighted]])</f>
        <v>#REF!</v>
      </c>
      <c r="BT752" s="200" t="e">
        <f>_xlfn.RANK.EQ(FMS_Ranking4[[#This Row],[Log Total Score]],FMS_Ranking4[Log Total Score],0)</f>
        <v>#REF!</v>
      </c>
      <c r="BU752" s="200" t="e">
        <f>_xlfn.XLOOKUP(FMS_Ranking4[[#This Row],[FMS ID]],#REF!,#REF!)</f>
        <v>#REF!</v>
      </c>
      <c r="BV752" s="200">
        <f>FMS_Ranking4[[#This Row],[Region Number]]</f>
        <v>2</v>
      </c>
      <c r="BW752" s="200">
        <f>FMS_Ranking4[[#This Row],[Rank (with ArcSinh normalization of select criteria)]]-FMS_Ranking4[[#This Row],[Rank
(with linear
normalization)]]</f>
        <v>279</v>
      </c>
      <c r="BX752" s="200" t="e">
        <f>FMS_Ranking4[[#This Row],[Log Rank]]-FMS_Ranking4[[#This Row],[Rank
(with linear
normalization)]]</f>
        <v>#REF!</v>
      </c>
      <c r="BY752" s="200" t="str">
        <f>IF(FMS_Ranking4[[#This Row],[FMS Type]]="Flood Measurement and Warning",FMS_Ranking4[[#This Row],[Rank (with ArcSinh normalization of select criteria)]],"")</f>
        <v/>
      </c>
      <c r="BZ752" s="200">
        <f>IF(FMS_Ranking4[[#This Row],[FMS Type]]="Regulatory and Guidance",FMS_Ranking4[[#This Row],[Rank (with ArcSinh normalization of select criteria)]],"")</f>
        <v>745</v>
      </c>
      <c r="CA752" s="200" t="str">
        <f>IF(FMS_Ranking4[[#This Row],[FMS Type]]="Education and Outreach",FMS_Ranking4[[#This Row],[Rank (with ArcSinh normalization of select criteria)]],"")</f>
        <v/>
      </c>
      <c r="CB752" s="200" t="str">
        <f>IF(FMS_Ranking4[[#This Row],[FMS Type]]="Property Acquisition and Structural Elevation",FMS_Ranking4[[#This Row],[Rank (with ArcSinh normalization of select criteria)]],"")</f>
        <v/>
      </c>
      <c r="CC752" s="200" t="str">
        <f>IF(FMS_Ranking4[[#This Row],[FMS Type]]="Infrastructure Projects",FMS_Ranking4[[#This Row],[Rank (with ArcSinh normalization of select criteria)]],"")</f>
        <v/>
      </c>
      <c r="CD752" s="200" t="str">
        <f>IF(FMS_Ranking4[[#This Row],[FMS Type]]="Other",FMS_Ranking4[[#This Row],[Rank (with ArcSinh normalization of select criteria)]],"")</f>
        <v/>
      </c>
      <c r="CE752" s="201"/>
      <c r="CF752" s="206"/>
      <c r="CG752" s="206"/>
      <c r="CH752" s="206"/>
      <c r="CI752" s="206"/>
      <c r="CJ752" s="206"/>
      <c r="CK752" s="206"/>
      <c r="CL752" s="206"/>
      <c r="CM752" s="206"/>
      <c r="CN752" s="206"/>
      <c r="CO752" s="206"/>
      <c r="CP752" s="206"/>
      <c r="CQ752" s="206"/>
      <c r="CR752" s="206"/>
    </row>
    <row r="753" spans="2:96" ht="90" x14ac:dyDescent="0.25">
      <c r="B753" s="341" t="s">
        <v>164</v>
      </c>
      <c r="C753" s="246">
        <f>_xlfn.XLOOKUP(FMS_Ranking4[[#This Row],[FMS ID]],FMS_Input[FMS_ID],FMS_Input[RFPG_NUM])</f>
        <v>6</v>
      </c>
      <c r="D753" s="309" t="str">
        <f>_xlfn.XLOOKUP(FMS_Ranking4[[#This Row],[FMS ID]],FMS_Input[FMS_ID],FMS_Input[FMS_NAME])</f>
        <v>Hardening of Critical Facilites in City of Mission Todd</v>
      </c>
      <c r="E753" s="308" t="str">
        <f>_xlfn.XLOOKUP(FMS_Ranking4[[#This Row],[FMS ID]],FMS_Input[FMS_ID],FMS_Input[SPONSOR])</f>
        <v>06003415</v>
      </c>
      <c r="F753" s="309" t="str">
        <f>_xlfn.XLOOKUP(FMS_Ranking4[[#This Row],[FMS ID]],Sponsor[FMS_ID],Sponsor[SPONSOR NAME])</f>
        <v>Todd Mission</v>
      </c>
      <c r="G753" s="309" t="str">
        <f>_xlfn.XLOOKUP(FMS_Ranking4[[#This Row],[FMS ID]],FMS_Input[FMS_ID],FMS_Input[FMS_DESCR])</f>
        <v xml:space="preserve">Protecting critical facilities such as hospitals, fire stations, police stations and water treatment plants can help keep them operational during severe storms. </v>
      </c>
      <c r="H753" s="248" t="str">
        <f>_xlfn.XLOOKUP(FMS_Ranking4[[#This Row],[FMS ID]],FMS_Input[FMS_ID],FMS_Input[FMS_TYPE])</f>
        <v>Infrastructure Projects</v>
      </c>
      <c r="I753" s="249">
        <f>_xlfn.XLOOKUP(FMS_Ranking4[[#This Row],[FMS ID]],FMS_Input[FMS_ID],FMS_Input[NRNC_COST])</f>
        <v>1250</v>
      </c>
      <c r="J753" s="250">
        <f>_xlfn.XLOOKUP(FMS_Ranking4[[#This Row],[FMS ID]],FMS_Input[FMS_ID],FMS_Input[FMS_COST])</f>
        <v>25000</v>
      </c>
      <c r="K753" s="251" t="str">
        <f>_xlfn.XLOOKUP(FMS_Ranking4[[#This Row],[FMS ID]],FMS_Input[FMS_ID],FMS_Input[EMER_NEED])</f>
        <v>Yes</v>
      </c>
      <c r="L753" s="252">
        <f t="shared" si="11"/>
        <v>1</v>
      </c>
      <c r="M753" s="253">
        <f>_xlfn.XLOOKUP(FMS_Ranking4[[#This Row],[FMS ID]],FMS_Input[FMS_ID],FMS_Input[STRUCT_100])</f>
        <v>17</v>
      </c>
      <c r="N753" s="255">
        <f>(ASINH(FMS_Ranking4[[#This Row],[Structure at Risk Raw]]))*(10)/(ASINH(M$4))</f>
        <v>2.7729236035479534</v>
      </c>
      <c r="O753" s="256">
        <f>FMS_Ranking4[[#This Row],[Structures at risk, ArcSinh (0-10)]]*M$5*10</f>
        <v>2.7729236035479539</v>
      </c>
      <c r="P753" s="253">
        <f>_xlfn.XLOOKUP(FMS_Ranking4[[#This Row],[FMS ID]],FMS_Input[FMS_ID],FMS_Input[RES_STRUCT100])</f>
        <v>11</v>
      </c>
      <c r="Q753" s="257">
        <f>ASINH(FMS_Ranking4[[#This Row],[Res Structure Raw]])/Q$4*P$5*100</f>
        <v>0</v>
      </c>
      <c r="R753" s="253">
        <f>_xlfn.XLOOKUP(FMS_Ranking4[[#This Row],[FMS ID]],FMS_Input[FMS_ID],FMS_Input[POP100])</f>
        <v>16</v>
      </c>
      <c r="S753" s="259">
        <f>(ASINH(FMS_Ranking4[[#This Row],[Pop at Risk Raw]]))*(10)/(ASINH(R$4))</f>
        <v>2.3932724541966266</v>
      </c>
      <c r="T753" s="256">
        <f>FMS_Ranking4[[#This Row],[Population at risk, ArcSinh (0-10)]]*R$5*10</f>
        <v>2.3932724541966266</v>
      </c>
      <c r="U753" s="253">
        <f>_xlfn.XLOOKUP(FMS_Ranking4[[#This Row],[FMS ID]],FMS_Input[FMS_ID],FMS_Input[CRITFAC100])</f>
        <v>0</v>
      </c>
      <c r="V753" s="259">
        <f>(ASINH(FMS_Ranking4[[#This Row],[Critical Facilities Raw]]))*(10)/(ASINH(U$4))</f>
        <v>0</v>
      </c>
      <c r="W753" s="256">
        <f>FMS_Ranking4[[#This Row],[Critical facilities at risk, ArcSinh (0-10)]]*U$5*10</f>
        <v>0</v>
      </c>
      <c r="X753" s="253">
        <f>_xlfn.XLOOKUP(FMS_Ranking4[[#This Row],[FMS ID]],FMS_Input[FMS_ID],FMS_Input[LWC])</f>
        <v>0</v>
      </c>
      <c r="Y753" s="259">
        <f>(ASINH(FMS_Ranking4[[#This Row],[LWC Raw]]))*(10)/(ASINH(X$4))</f>
        <v>0</v>
      </c>
      <c r="Z753" s="256">
        <f>FMS_Ranking4[[#This Row],[LWC, ArcSInh (0-10)]]*X$5*10</f>
        <v>0</v>
      </c>
      <c r="AA753" s="253">
        <f>_xlfn.XLOOKUP(FMS_Ranking4[[#This Row],[FMS ID]],FMS_Input[FMS_ID],FMS_Input[ROADCLS])</f>
        <v>0</v>
      </c>
      <c r="AB753" s="255">
        <f>(ASINH(FMS_Ranking4[[#This Row],[Road Closures Raw]]))*(10)/(ASINH(AA$4))</f>
        <v>0</v>
      </c>
      <c r="AC753" s="256">
        <f>FMS_Ranking4[[#This Row],[Road closures, ArcSinh (0-10)]]*AA$5*10</f>
        <v>0</v>
      </c>
      <c r="AD753" s="253">
        <f>_xlfn.XLOOKUP(FMS_Ranking4[[#This Row],[FMS ID]],FMS_Input[FMS_ID],FMS_Input[ROAD_MILES100])</f>
        <v>0</v>
      </c>
      <c r="AE753" s="259">
        <f>(ASINH(FMS_Ranking4[[#This Row],[Road Miles Raw]]))*(10)/(ASINH(AD$4))</f>
        <v>0</v>
      </c>
      <c r="AF753" s="256">
        <f>FMS_Ranking4[[#This Row],[Length of roads at risk, ArcSinh (0-10)]]*AD$5*10</f>
        <v>0</v>
      </c>
      <c r="AG753" s="253">
        <f>_xlfn.XLOOKUP(FMS_Ranking4[[#This Row],[FMS ID]],FMS_Input[FMS_ID],FMS_Input[FARMACRE100])</f>
        <v>1.11601197719574</v>
      </c>
      <c r="AH753" s="255">
        <f>(ASINH(FMS_Ranking4[[#This Row],[Ag Land Raw]]))*(10)/(ASINH(AG$4))</f>
        <v>0.62429648784926317</v>
      </c>
      <c r="AI753" s="260">
        <f>FMS_Ranking4[[#This Row],[Farm &amp; ranch land, ArcSinh (0-10)]]*AG$5*10</f>
        <v>0.31214824392463159</v>
      </c>
      <c r="AJ753" s="258">
        <f>_xlfn.XLOOKUP(FMS_Ranking4[[#This Row],[FMS ID]],FMS_Input[FMS_ID],FMS_Input[REDSTRUCT100])</f>
        <v>0</v>
      </c>
      <c r="AK753" s="253">
        <f>_xlfn.XLOOKUP(FMS_Ranking4[[#This Row],[FMS ID]],FMS_Input[FMS_ID],FMS_Input[REMSTRC100])</f>
        <v>0</v>
      </c>
      <c r="AL753" s="259">
        <f>(ASINH(FMS_Ranking4[[#This Row],[Structures Removed Raw]]))*(10)/(ASINH(AK$4))</f>
        <v>0</v>
      </c>
      <c r="AM753" s="262">
        <f>FMS_Ranking4[[#This Row],[Structures removed, ArcSinh (0-10)]]*AK$5*10</f>
        <v>0</v>
      </c>
      <c r="AN753" s="253">
        <f>_xlfn.XLOOKUP(FMS_Ranking4[[#This Row],[FMS ID]],FMS_Input[FMS_ID],FMS_Input[REMRESSTRC100])</f>
        <v>0</v>
      </c>
      <c r="AO753" s="261">
        <f>FMS_Ranking4[[#This Row],[ArcSinh Res struct removed 0-10]]*AN$5*10</f>
        <v>0</v>
      </c>
      <c r="AP753" s="260">
        <f>ASINH(FMS_Ranking4[[#This Row],[Residential Structures Removed Raw]])/AP$4*AN$5*100</f>
        <v>0</v>
      </c>
      <c r="AQ753" s="254">
        <f>(ASINH(FMS_Ranking4[[#This Row],[Residential Structures Removed Raw]]))*(10)/(ASINH(AN$4))</f>
        <v>0</v>
      </c>
      <c r="AR753" s="253">
        <f>_xlfn.XLOOKUP(FMS_Ranking4[[#This Row],[FMS ID]],FMS_Input[FMS_ID],FMS_Input[REMPOP100])</f>
        <v>0</v>
      </c>
      <c r="AS753" s="259">
        <f>(ASINH(FMS_Ranking4[[#This Row],[Removed Pop Raw]]))*(10)/(ASINH(AR$4))</f>
        <v>0</v>
      </c>
      <c r="AT753" s="262">
        <f>FMS_Ranking4[[#This Row],[Removed population, ArcSinh (0-10)]]*AR$5*10</f>
        <v>0</v>
      </c>
      <c r="AU753" s="264">
        <f>_xlfn.XLOOKUP(FMS_Ranking4[[#This Row],[FMS ID]],FMS_Input[FMS_ID],FMS_Input[REMCRITFAC100])</f>
        <v>0</v>
      </c>
      <c r="AV753" s="264">
        <f>_xlfn.XLOOKUP(FMS_Ranking4[[#This Row],[FMS ID]],FMS_Input[FMS_ID],FMS_Input[REMLWC100])</f>
        <v>0</v>
      </c>
      <c r="AW753" s="264">
        <f>_xlfn.XLOOKUP(FMS_Ranking4[[#This Row],[FMS ID]],FMS_Input[FMS_ID],FMS_Input[REMROADCLS])</f>
        <v>0</v>
      </c>
      <c r="AX753" s="264">
        <f>_xlfn.XLOOKUP(FMS_Ranking4[[#This Row],[FMS ID]],FMS_Input[FMS_ID],FMS_Input[REMFRMACRE100])</f>
        <v>0</v>
      </c>
      <c r="AY753" s="258">
        <f>_xlfn.XLOOKUP(FMS_Ranking4[[#This Row],[FMS ID]],FMS_Input[FMS_ID],FMS_Input[COSTSTRUCT])</f>
        <v>0</v>
      </c>
      <c r="AZ753" s="253">
        <f>_xlfn.XLOOKUP(FMS_Ranking4[[#This Row],[FMS ID]],FMS_Input[FMS_ID],FMS_Input[NATURE])</f>
        <v>0</v>
      </c>
      <c r="BA753" s="262">
        <f>(((FMS_Ranking4[[#This Row],[% NBS Raw]]/AZ$4)*100)*AZ$5)</f>
        <v>0</v>
      </c>
      <c r="BB753" s="251" t="str">
        <f>_xlfn.XLOOKUP(FMS_Ranking4[[#This Row],[FMS ID]],FMS_Input[FMS_ID],FMS_Input[WATER_SUP])</f>
        <v>No</v>
      </c>
      <c r="BC753" s="265">
        <f>IF(FMS_Ranking4[[#This Row],[Water Supply Raw]]="Yes",10,0)</f>
        <v>0</v>
      </c>
      <c r="BD753" s="266">
        <f>_xlfn.XLOOKUP(FMS_Ranking4[[#This Row],[FMS Type]],FMS_TYPE[FMS_Type],FMS_TYPE[Score])</f>
        <v>4</v>
      </c>
      <c r="BE753" s="267">
        <f>FMS_Ranking4[[#This Row],[FMS_Type Score]]*$BD$5*10</f>
        <v>1</v>
      </c>
      <c r="BF753"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1.1826935699212069E-3</v>
      </c>
      <c r="BG753" s="271">
        <f>_xlfn.RANK.EQ(BF753,$BF$8:$BF$870,0)+COUNTIF($BF$8:BF753,BF753)-1</f>
        <v>742</v>
      </c>
      <c r="BH753" s="268">
        <f>(((FMS_Ranking4[[#This Row],[Structures Removed Raw]]/AK$4)*100)*AK$5)+(((FMS_Ranking4[[#This Row],[Removed Pop Raw]]/AR$4)*100)*AR$5)</f>
        <v>0</v>
      </c>
      <c r="BI75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1.0011826935699213</v>
      </c>
      <c r="BJ753" s="205">
        <f>_xlfn.RANK.EQ(FMS_Ranking4[[#This Row],[Total Score 
(with linear
normalization)]],FMS_Ranking4[Total Score 
(with linear
normalization)],0)</f>
        <v>739</v>
      </c>
      <c r="BK753" s="205" t="e">
        <f>_xlfn.XLOOKUP(FMS_Ranking4[[#This Row],[FMS ID]],#REF!,#REF!)</f>
        <v>#REF!</v>
      </c>
      <c r="BL753"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5.4783443016692113</v>
      </c>
      <c r="BM753" s="272">
        <f>FMS_Ranking4[[#This Row],[ArcSinh Score Based on Normalized Reported Factors]]+FMS_Ranking4[[#This Row],[% NBS Score (Normalized)]]+(FMS_Ranking4[[#This Row],[Water Supply Score (Normalized)]]*10*$BB$5)+FMS_Ranking4[[#This Row],[FMS_Type Score Weighted]]</f>
        <v>6.4783443016692113</v>
      </c>
      <c r="BN753" s="205">
        <f>_xlfn.RANK.EQ(FMS_Ranking4[[#This Row],[Total Score (with ArcSinh normalization of select criteria)]],FMS_Ranking4[Total Score (with ArcSinh normalization of select criteria)],0)</f>
        <v>746</v>
      </c>
      <c r="BO753" s="270" t="str">
        <f>_xlfn.XLOOKUP(FMS_Ranking4[[#This Row],[FMS ID]],FMS_Input[FMS_ID],FMS_Input[FMS_RANK_YEAR])</f>
        <v>2023 Amended Plan</v>
      </c>
      <c r="BP753" s="204">
        <f>_xlfn.XLOOKUP(FMS_Ranking4[[#This Row],[FMS ID]],Prev_Rank[FMS ID],Prev_Rank[Prev Rank])</f>
        <v>674</v>
      </c>
      <c r="BQ753" s="205" t="e">
        <f>_xlfn.XLOOKUP(FMS_Ranking4[[#This Row],[FMS ID]],#REF!,#REF!)</f>
        <v>#REF!</v>
      </c>
      <c r="BR753" s="199" t="e">
        <f>SUM(#REF!,#REF!,#REF!,#REF!,#REF!,#REF!,#REF!,#REF!,#REF!,FMS_Ranking4[[#This Row],[ArcSinh Res struct removed 0-10]],#REF!)</f>
        <v>#REF!</v>
      </c>
      <c r="BS753" s="199" t="e">
        <f>FMS_Ranking4[[#This Row],[Log Score Based on Normalized Reported Factors]]+FMS_Ranking4[[#This Row],[% NBS Score (Normalized)]]+(FMS_Ranking4[[#This Row],[Water Supply Score (Normalized)]]*10*$BB$5)+(FMS_Ranking4[[#This Row],[FMS_Type Score Weighted]])</f>
        <v>#REF!</v>
      </c>
      <c r="BT753" s="200" t="e">
        <f>_xlfn.RANK.EQ(FMS_Ranking4[[#This Row],[Log Total Score]],FMS_Ranking4[Log Total Score],0)</f>
        <v>#REF!</v>
      </c>
      <c r="BU753" s="200" t="e">
        <f>_xlfn.XLOOKUP(FMS_Ranking4[[#This Row],[FMS ID]],#REF!,#REF!)</f>
        <v>#REF!</v>
      </c>
      <c r="BV753" s="200">
        <f>FMS_Ranking4[[#This Row],[Region Number]]</f>
        <v>6</v>
      </c>
      <c r="BW753" s="200">
        <f>FMS_Ranking4[[#This Row],[Rank (with ArcSinh normalization of select criteria)]]-FMS_Ranking4[[#This Row],[Rank
(with linear
normalization)]]</f>
        <v>7</v>
      </c>
      <c r="BX753" s="200" t="e">
        <f>FMS_Ranking4[[#This Row],[Log Rank]]-FMS_Ranking4[[#This Row],[Rank
(with linear
normalization)]]</f>
        <v>#REF!</v>
      </c>
      <c r="BY753" s="200" t="str">
        <f>IF(FMS_Ranking4[[#This Row],[FMS Type]]="Flood Measurement and Warning",FMS_Ranking4[[#This Row],[Rank (with ArcSinh normalization of select criteria)]],"")</f>
        <v/>
      </c>
      <c r="BZ753" s="200" t="str">
        <f>IF(FMS_Ranking4[[#This Row],[FMS Type]]="Regulatory and Guidance",FMS_Ranking4[[#This Row],[Rank (with ArcSinh normalization of select criteria)]],"")</f>
        <v/>
      </c>
      <c r="CA753" s="200" t="str">
        <f>IF(FMS_Ranking4[[#This Row],[FMS Type]]="Education and Outreach",FMS_Ranking4[[#This Row],[Rank (with ArcSinh normalization of select criteria)]],"")</f>
        <v/>
      </c>
      <c r="CB753" s="200" t="str">
        <f>IF(FMS_Ranking4[[#This Row],[FMS Type]]="Property Acquisition and Structural Elevation",FMS_Ranking4[[#This Row],[Rank (with ArcSinh normalization of select criteria)]],"")</f>
        <v/>
      </c>
      <c r="CC753" s="200">
        <f>IF(FMS_Ranking4[[#This Row],[FMS Type]]="Infrastructure Projects",FMS_Ranking4[[#This Row],[Rank (with ArcSinh normalization of select criteria)]],"")</f>
        <v>746</v>
      </c>
      <c r="CD753" s="200" t="str">
        <f>IF(FMS_Ranking4[[#This Row],[FMS Type]]="Other",FMS_Ranking4[[#This Row],[Rank (with ArcSinh normalization of select criteria)]],"")</f>
        <v/>
      </c>
      <c r="CE753" s="201"/>
      <c r="CF753" s="206"/>
      <c r="CG753" s="206"/>
      <c r="CH753" s="206"/>
      <c r="CI753" s="206"/>
      <c r="CJ753" s="206"/>
      <c r="CK753" s="206"/>
      <c r="CL753" s="206"/>
      <c r="CM753" s="206"/>
      <c r="CN753" s="206"/>
      <c r="CO753" s="206"/>
      <c r="CP753" s="206"/>
      <c r="CQ753" s="206"/>
      <c r="CR753" s="206"/>
    </row>
    <row r="754" spans="2:96" ht="60" x14ac:dyDescent="0.25">
      <c r="B754" s="341" t="s">
        <v>3609</v>
      </c>
      <c r="C754" s="246">
        <f>_xlfn.XLOOKUP(FMS_Ranking4[[#This Row],[FMS ID]],FMS_Input[FMS_ID],FMS_Input[RFPG_NUM])</f>
        <v>13</v>
      </c>
      <c r="D754" s="309" t="str">
        <f>_xlfn.XLOOKUP(FMS_Ranking4[[#This Row],[FMS ID]],FMS_Input[FMS_ID],FMS_Input[FMS_NAME])</f>
        <v>Atascosa McMullen Hazard Mitigation Plan - City of Charlotte Action #7</v>
      </c>
      <c r="E754" s="308" t="str">
        <f>_xlfn.XLOOKUP(FMS_Ranking4[[#This Row],[FMS ID]],FMS_Input[FMS_ID],FMS_Input[SPONSOR])</f>
        <v>13003214</v>
      </c>
      <c r="F754" s="309" t="str">
        <f>_xlfn.XLOOKUP(FMS_Ranking4[[#This Row],[FMS ID]],Sponsor[FMS_ID],Sponsor[SPONSOR NAME])</f>
        <v>Charlotte</v>
      </c>
      <c r="G754" s="309" t="str">
        <f>_xlfn.XLOOKUP(FMS_Ranking4[[#This Row],[FMS ID]],FMS_Input[FMS_ID],FMS_Input[FMS_DESCR])</f>
        <v>The enforcement of the flood damage prevention ordinance</v>
      </c>
      <c r="H754" s="248" t="str">
        <f>_xlfn.XLOOKUP(FMS_Ranking4[[#This Row],[FMS ID]],FMS_Input[FMS_ID],FMS_Input[FMS_TYPE])</f>
        <v>Regulatory and Guidance</v>
      </c>
      <c r="I754" s="249">
        <f>_xlfn.XLOOKUP(FMS_Ranking4[[#This Row],[FMS ID]],FMS_Input[FMS_ID],FMS_Input[NRNC_COST])</f>
        <v>75000</v>
      </c>
      <c r="J754" s="250">
        <f>_xlfn.XLOOKUP(FMS_Ranking4[[#This Row],[FMS ID]],FMS_Input[FMS_ID],FMS_Input[FMS_COST])</f>
        <v>75000</v>
      </c>
      <c r="K754" s="251" t="str">
        <f>_xlfn.XLOOKUP(FMS_Ranking4[[#This Row],[FMS ID]],FMS_Input[FMS_ID],FMS_Input[EMER_NEED])</f>
        <v>Yes</v>
      </c>
      <c r="L754" s="252">
        <f t="shared" si="11"/>
        <v>1</v>
      </c>
      <c r="M754" s="253">
        <f>_xlfn.XLOOKUP(FMS_Ranking4[[#This Row],[FMS ID]],FMS_Input[FMS_ID],FMS_Input[STRUCT_100])</f>
        <v>3</v>
      </c>
      <c r="N754" s="255">
        <f>(ASINH(FMS_Ranking4[[#This Row],[Structure at Risk Raw]]))*(10)/(ASINH(M$4))</f>
        <v>1.4295696719071895</v>
      </c>
      <c r="O754" s="256">
        <f>FMS_Ranking4[[#This Row],[Structures at risk, ArcSinh (0-10)]]*M$5*10</f>
        <v>1.4295696719071895</v>
      </c>
      <c r="P754" s="253">
        <f>_xlfn.XLOOKUP(FMS_Ranking4[[#This Row],[FMS ID]],FMS_Input[FMS_ID],FMS_Input[RES_STRUCT100])</f>
        <v>3</v>
      </c>
      <c r="Q754" s="257">
        <f>ASINH(FMS_Ranking4[[#This Row],[Res Structure Raw]])/Q$4*P$5*100</f>
        <v>0</v>
      </c>
      <c r="R754" s="253">
        <f>_xlfn.XLOOKUP(FMS_Ranking4[[#This Row],[FMS ID]],FMS_Input[FMS_ID],FMS_Input[POP100])</f>
        <v>4</v>
      </c>
      <c r="S754" s="259">
        <f>(ASINH(FMS_Ranking4[[#This Row],[Pop at Risk Raw]]))*(10)/(ASINH(R$4))</f>
        <v>1.4461020212053632</v>
      </c>
      <c r="T754" s="256">
        <f>FMS_Ranking4[[#This Row],[Population at risk, ArcSinh (0-10)]]*R$5*10</f>
        <v>1.4461020212053632</v>
      </c>
      <c r="U754" s="253">
        <f>_xlfn.XLOOKUP(FMS_Ranking4[[#This Row],[FMS ID]],FMS_Input[FMS_ID],FMS_Input[CRITFAC100])</f>
        <v>0</v>
      </c>
      <c r="V754" s="259">
        <f>(ASINH(FMS_Ranking4[[#This Row],[Critical Facilities Raw]]))*(10)/(ASINH(U$4))</f>
        <v>0</v>
      </c>
      <c r="W754" s="256">
        <f>FMS_Ranking4[[#This Row],[Critical facilities at risk, ArcSinh (0-10)]]*U$5*10</f>
        <v>0</v>
      </c>
      <c r="X754" s="253">
        <f>_xlfn.XLOOKUP(FMS_Ranking4[[#This Row],[FMS ID]],FMS_Input[FMS_ID],FMS_Input[LWC])</f>
        <v>0</v>
      </c>
      <c r="Y754" s="259">
        <f>(ASINH(FMS_Ranking4[[#This Row],[LWC Raw]]))*(10)/(ASINH(X$4))</f>
        <v>0</v>
      </c>
      <c r="Z754" s="256">
        <f>FMS_Ranking4[[#This Row],[LWC, ArcSInh (0-10)]]*X$5*10</f>
        <v>0</v>
      </c>
      <c r="AA754" s="253">
        <f>_xlfn.XLOOKUP(FMS_Ranking4[[#This Row],[FMS ID]],FMS_Input[FMS_ID],FMS_Input[ROADCLS])</f>
        <v>10</v>
      </c>
      <c r="AB754" s="255">
        <f>(ASINH(FMS_Ranking4[[#This Row],[Road Closures Raw]]))*(10)/(ASINH(AA$4))</f>
        <v>3.1223740164895069</v>
      </c>
      <c r="AC754" s="256">
        <f>FMS_Ranking4[[#This Row],[Road closures, ArcSinh (0-10)]]*AA$5*10</f>
        <v>1.5611870082447534</v>
      </c>
      <c r="AD754" s="253">
        <f>_xlfn.XLOOKUP(FMS_Ranking4[[#This Row],[FMS ID]],FMS_Input[FMS_ID],FMS_Input[ROAD_MILES100])</f>
        <v>0</v>
      </c>
      <c r="AE754" s="259">
        <f>(ASINH(FMS_Ranking4[[#This Row],[Road Miles Raw]]))*(10)/(ASINH(AD$4))</f>
        <v>0</v>
      </c>
      <c r="AF754" s="256">
        <f>FMS_Ranking4[[#This Row],[Length of roads at risk, ArcSinh (0-10)]]*AD$5*10</f>
        <v>0</v>
      </c>
      <c r="AG754" s="253">
        <f>_xlfn.XLOOKUP(FMS_Ranking4[[#This Row],[FMS ID]],FMS_Input[FMS_ID],FMS_Input[FARMACRE100])</f>
        <v>0</v>
      </c>
      <c r="AH754" s="255">
        <f>(ASINH(FMS_Ranking4[[#This Row],[Ag Land Raw]]))*(10)/(ASINH(AG$4))</f>
        <v>0</v>
      </c>
      <c r="AI754" s="260">
        <f>FMS_Ranking4[[#This Row],[Farm &amp; ranch land, ArcSinh (0-10)]]*AG$5*10</f>
        <v>0</v>
      </c>
      <c r="AJ754" s="258">
        <f>_xlfn.XLOOKUP(FMS_Ranking4[[#This Row],[FMS ID]],FMS_Input[FMS_ID],FMS_Input[REDSTRUCT100])</f>
        <v>0</v>
      </c>
      <c r="AK754" s="253">
        <f>_xlfn.XLOOKUP(FMS_Ranking4[[#This Row],[FMS ID]],FMS_Input[FMS_ID],FMS_Input[REMSTRC100])</f>
        <v>0</v>
      </c>
      <c r="AL754" s="259">
        <f>(ASINH(FMS_Ranking4[[#This Row],[Structures Removed Raw]]))*(10)/(ASINH(AK$4))</f>
        <v>0</v>
      </c>
      <c r="AM754" s="262">
        <f>FMS_Ranking4[[#This Row],[Structures removed, ArcSinh (0-10)]]*AK$5*10</f>
        <v>0</v>
      </c>
      <c r="AN754" s="253">
        <f>_xlfn.XLOOKUP(FMS_Ranking4[[#This Row],[FMS ID]],FMS_Input[FMS_ID],FMS_Input[REMRESSTRC100])</f>
        <v>0</v>
      </c>
      <c r="AO754" s="261">
        <f>FMS_Ranking4[[#This Row],[ArcSinh Res struct removed 0-10]]*AN$5*10</f>
        <v>0</v>
      </c>
      <c r="AP754" s="260">
        <f>ASINH(FMS_Ranking4[[#This Row],[Residential Structures Removed Raw]])/AP$4*AN$5*100</f>
        <v>0</v>
      </c>
      <c r="AQ754" s="254">
        <f>(ASINH(FMS_Ranking4[[#This Row],[Residential Structures Removed Raw]]))*(10)/(ASINH(AN$4))</f>
        <v>0</v>
      </c>
      <c r="AR754" s="253">
        <f>_xlfn.XLOOKUP(FMS_Ranking4[[#This Row],[FMS ID]],FMS_Input[FMS_ID],FMS_Input[REMPOP100])</f>
        <v>0</v>
      </c>
      <c r="AS754" s="259">
        <f>(ASINH(FMS_Ranking4[[#This Row],[Removed Pop Raw]]))*(10)/(ASINH(AR$4))</f>
        <v>0</v>
      </c>
      <c r="AT754" s="262">
        <f>FMS_Ranking4[[#This Row],[Removed population, ArcSinh (0-10)]]*AR$5*10</f>
        <v>0</v>
      </c>
      <c r="AU754" s="264">
        <f>_xlfn.XLOOKUP(FMS_Ranking4[[#This Row],[FMS ID]],FMS_Input[FMS_ID],FMS_Input[REMCRITFAC100])</f>
        <v>0</v>
      </c>
      <c r="AV754" s="264">
        <f>_xlfn.XLOOKUP(FMS_Ranking4[[#This Row],[FMS ID]],FMS_Input[FMS_ID],FMS_Input[REMLWC100])</f>
        <v>0</v>
      </c>
      <c r="AW754" s="264">
        <f>_xlfn.XLOOKUP(FMS_Ranking4[[#This Row],[FMS ID]],FMS_Input[FMS_ID],FMS_Input[REMROADCLS])</f>
        <v>0</v>
      </c>
      <c r="AX754" s="264">
        <f>_xlfn.XLOOKUP(FMS_Ranking4[[#This Row],[FMS ID]],FMS_Input[FMS_ID],FMS_Input[REMFRMACRE100])</f>
        <v>0</v>
      </c>
      <c r="AY754" s="258">
        <f>_xlfn.XLOOKUP(FMS_Ranking4[[#This Row],[FMS ID]],FMS_Input[FMS_ID],FMS_Input[COSTSTRUCT])</f>
        <v>0</v>
      </c>
      <c r="AZ754" s="253">
        <f>_xlfn.XLOOKUP(FMS_Ranking4[[#This Row],[FMS ID]],FMS_Input[FMS_ID],FMS_Input[NATURE])</f>
        <v>0</v>
      </c>
      <c r="BA754" s="262">
        <f>(((FMS_Ranking4[[#This Row],[% NBS Raw]]/AZ$4)*100)*AZ$5)</f>
        <v>0</v>
      </c>
      <c r="BB754" s="251" t="str">
        <f>_xlfn.XLOOKUP(FMS_Ranking4[[#This Row],[FMS ID]],FMS_Input[FMS_ID],FMS_Input[WATER_SUP])</f>
        <v>No</v>
      </c>
      <c r="BC754" s="265">
        <f>IF(FMS_Ranking4[[#This Row],[Water Supply Raw]]="Yes",10,0)</f>
        <v>0</v>
      </c>
      <c r="BD754" s="266">
        <f>_xlfn.XLOOKUP(FMS_Ranking4[[#This Row],[FMS Type]],FMS_TYPE[FMS_Type],FMS_TYPE[Score])</f>
        <v>8</v>
      </c>
      <c r="BE754" s="267">
        <f>FMS_Ranking4[[#This Row],[FMS_Type Score]]*$BD$5*10</f>
        <v>2</v>
      </c>
      <c r="BF754"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6.9771048716306943E-3</v>
      </c>
      <c r="BG754" s="271">
        <f>_xlfn.RANK.EQ(BF754,$BF$8:$BF$870,0)+COUNTIF($BF$8:BF754,BF754)-1</f>
        <v>673</v>
      </c>
      <c r="BH754" s="268">
        <f>(((FMS_Ranking4[[#This Row],[Structures Removed Raw]]/AK$4)*100)*AK$5)+(((FMS_Ranking4[[#This Row],[Removed Pop Raw]]/AR$4)*100)*AR$5)</f>
        <v>0</v>
      </c>
      <c r="BI75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2.0069771048716305</v>
      </c>
      <c r="BJ754" s="205">
        <f>_xlfn.RANK.EQ(FMS_Ranking4[[#This Row],[Total Score 
(with linear
normalization)]],FMS_Ranking4[Total Score 
(with linear
normalization)],0)</f>
        <v>427</v>
      </c>
      <c r="BK754" s="205" t="e">
        <f>_xlfn.XLOOKUP(FMS_Ranking4[[#This Row],[FMS ID]],#REF!,#REF!)</f>
        <v>#REF!</v>
      </c>
      <c r="BL754"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4.4368587013573064</v>
      </c>
      <c r="BM754" s="272">
        <f>FMS_Ranking4[[#This Row],[ArcSinh Score Based on Normalized Reported Factors]]+FMS_Ranking4[[#This Row],[% NBS Score (Normalized)]]+(FMS_Ranking4[[#This Row],[Water Supply Score (Normalized)]]*10*$BB$5)+FMS_Ranking4[[#This Row],[FMS_Type Score Weighted]]</f>
        <v>6.4368587013573064</v>
      </c>
      <c r="BN754" s="205">
        <f>_xlfn.RANK.EQ(FMS_Ranking4[[#This Row],[Total Score (with ArcSinh normalization of select criteria)]],FMS_Ranking4[Total Score (with ArcSinh normalization of select criteria)],0)</f>
        <v>747</v>
      </c>
      <c r="BO754" s="270" t="str">
        <f>_xlfn.XLOOKUP(FMS_Ranking4[[#This Row],[FMS ID]],FMS_Input[FMS_ID],FMS_Input[FMS_RANK_YEAR])</f>
        <v>2023 Amended Plan</v>
      </c>
      <c r="BP754" s="204">
        <f>_xlfn.XLOOKUP(FMS_Ranking4[[#This Row],[FMS ID]],Prev_Rank[FMS ID],Prev_Rank[Prev Rank])</f>
        <v>677</v>
      </c>
      <c r="BQ754" s="205" t="e">
        <f>_xlfn.XLOOKUP(FMS_Ranking4[[#This Row],[FMS ID]],#REF!,#REF!)</f>
        <v>#REF!</v>
      </c>
      <c r="BR754" s="199" t="e">
        <f>SUM(#REF!,#REF!,#REF!,#REF!,#REF!,#REF!,#REF!,#REF!,#REF!,FMS_Ranking4[[#This Row],[ArcSinh Res struct removed 0-10]],#REF!)</f>
        <v>#REF!</v>
      </c>
      <c r="BS754" s="199" t="e">
        <f>FMS_Ranking4[[#This Row],[Log Score Based on Normalized Reported Factors]]+FMS_Ranking4[[#This Row],[% NBS Score (Normalized)]]+(FMS_Ranking4[[#This Row],[Water Supply Score (Normalized)]]*10*$BB$5)+(FMS_Ranking4[[#This Row],[FMS_Type Score Weighted]])</f>
        <v>#REF!</v>
      </c>
      <c r="BT754" s="200" t="e">
        <f>_xlfn.RANK.EQ(FMS_Ranking4[[#This Row],[Log Total Score]],FMS_Ranking4[Log Total Score],0)</f>
        <v>#REF!</v>
      </c>
      <c r="BU754" s="200" t="e">
        <f>_xlfn.XLOOKUP(FMS_Ranking4[[#This Row],[FMS ID]],#REF!,#REF!)</f>
        <v>#REF!</v>
      </c>
      <c r="BV754" s="200">
        <f>FMS_Ranking4[[#This Row],[Region Number]]</f>
        <v>13</v>
      </c>
      <c r="BW754" s="200">
        <f>FMS_Ranking4[[#This Row],[Rank (with ArcSinh normalization of select criteria)]]-FMS_Ranking4[[#This Row],[Rank
(with linear
normalization)]]</f>
        <v>320</v>
      </c>
      <c r="BX754" s="200" t="e">
        <f>FMS_Ranking4[[#This Row],[Log Rank]]-FMS_Ranking4[[#This Row],[Rank
(with linear
normalization)]]</f>
        <v>#REF!</v>
      </c>
      <c r="BY754" s="200" t="str">
        <f>IF(FMS_Ranking4[[#This Row],[FMS Type]]="Flood Measurement and Warning",FMS_Ranking4[[#This Row],[Rank (with ArcSinh normalization of select criteria)]],"")</f>
        <v/>
      </c>
      <c r="BZ754" s="200">
        <f>IF(FMS_Ranking4[[#This Row],[FMS Type]]="Regulatory and Guidance",FMS_Ranking4[[#This Row],[Rank (with ArcSinh normalization of select criteria)]],"")</f>
        <v>747</v>
      </c>
      <c r="CA754" s="200" t="str">
        <f>IF(FMS_Ranking4[[#This Row],[FMS Type]]="Education and Outreach",FMS_Ranking4[[#This Row],[Rank (with ArcSinh normalization of select criteria)]],"")</f>
        <v/>
      </c>
      <c r="CB754" s="200" t="str">
        <f>IF(FMS_Ranking4[[#This Row],[FMS Type]]="Property Acquisition and Structural Elevation",FMS_Ranking4[[#This Row],[Rank (with ArcSinh normalization of select criteria)]],"")</f>
        <v/>
      </c>
      <c r="CC754" s="200" t="str">
        <f>IF(FMS_Ranking4[[#This Row],[FMS Type]]="Infrastructure Projects",FMS_Ranking4[[#This Row],[Rank (with ArcSinh normalization of select criteria)]],"")</f>
        <v/>
      </c>
      <c r="CD754" s="200" t="str">
        <f>IF(FMS_Ranking4[[#This Row],[FMS Type]]="Other",FMS_Ranking4[[#This Row],[Rank (with ArcSinh normalization of select criteria)]],"")</f>
        <v/>
      </c>
      <c r="CE754" s="201"/>
      <c r="CF754" s="206"/>
      <c r="CG754" s="206"/>
      <c r="CH754" s="206"/>
      <c r="CI754" s="206"/>
      <c r="CJ754" s="206"/>
      <c r="CK754" s="206"/>
      <c r="CL754" s="206"/>
      <c r="CM754" s="206"/>
      <c r="CN754" s="206"/>
      <c r="CO754" s="206"/>
      <c r="CP754" s="206"/>
      <c r="CQ754" s="206"/>
      <c r="CR754" s="206"/>
    </row>
    <row r="755" spans="2:96" ht="45" x14ac:dyDescent="0.25">
      <c r="B755" s="341" t="s">
        <v>3283</v>
      </c>
      <c r="C755" s="246">
        <f>_xlfn.XLOOKUP(FMS_Ranking4[[#This Row],[FMS ID]],FMS_Input[FMS_ID],FMS_Input[RFPG_NUM])</f>
        <v>7</v>
      </c>
      <c r="D755" s="309" t="str">
        <f>_xlfn.XLOOKUP(FMS_Ranking4[[#This Row],[FMS ID]],FMS_Input[FMS_ID],FMS_Input[FMS_NAME])</f>
        <v>City of Putnam NFIP Participation</v>
      </c>
      <c r="E755" s="308" t="str">
        <f>_xlfn.XLOOKUP(FMS_Ranking4[[#This Row],[FMS ID]],FMS_Input[FMS_ID],FMS_Input[SPONSOR])</f>
        <v>07002763</v>
      </c>
      <c r="F755" s="309" t="str">
        <f>_xlfn.XLOOKUP(FMS_Ranking4[[#This Row],[FMS ID]],Sponsor[FMS_ID],Sponsor[SPONSOR NAME])</f>
        <v>Putnam</v>
      </c>
      <c r="G755" s="309" t="str">
        <f>_xlfn.XLOOKUP(FMS_Ranking4[[#This Row],[FMS ID]],FMS_Input[FMS_ID],FMS_Input[FMS_DESCR])</f>
        <v>Application to join NFIP or adoption of equivalent standards.</v>
      </c>
      <c r="H755" s="248" t="str">
        <f>_xlfn.XLOOKUP(FMS_Ranking4[[#This Row],[FMS ID]],FMS_Input[FMS_ID],FMS_Input[FMS_TYPE])</f>
        <v>Regulatory and Guidance</v>
      </c>
      <c r="I755" s="249">
        <f>_xlfn.XLOOKUP(FMS_Ranking4[[#This Row],[FMS ID]],FMS_Input[FMS_ID],FMS_Input[NRNC_COST])</f>
        <v>50000</v>
      </c>
      <c r="J755" s="250">
        <f>_xlfn.XLOOKUP(FMS_Ranking4[[#This Row],[FMS ID]],FMS_Input[FMS_ID],FMS_Input[FMS_COST])</f>
        <v>50000</v>
      </c>
      <c r="K755" s="251" t="str">
        <f>_xlfn.XLOOKUP(FMS_Ranking4[[#This Row],[FMS ID]],FMS_Input[FMS_ID],FMS_Input[EMER_NEED])</f>
        <v>No</v>
      </c>
      <c r="L755" s="252">
        <f t="shared" si="11"/>
        <v>0</v>
      </c>
      <c r="M755" s="253">
        <f>_xlfn.XLOOKUP(FMS_Ranking4[[#This Row],[FMS ID]],FMS_Input[FMS_ID],FMS_Input[STRUCT_100])</f>
        <v>4</v>
      </c>
      <c r="N755" s="255">
        <f>(ASINH(FMS_Ranking4[[#This Row],[Structure at Risk Raw]]))*(10)/(ASINH(M$4))</f>
        <v>1.6467559513369034</v>
      </c>
      <c r="O755" s="256">
        <f>FMS_Ranking4[[#This Row],[Structures at risk, ArcSinh (0-10)]]*M$5*10</f>
        <v>1.6467559513369034</v>
      </c>
      <c r="P755" s="253">
        <f>_xlfn.XLOOKUP(FMS_Ranking4[[#This Row],[FMS ID]],FMS_Input[FMS_ID],FMS_Input[RES_STRUCT100])</f>
        <v>1</v>
      </c>
      <c r="Q755" s="257">
        <f>ASINH(FMS_Ranking4[[#This Row],[Res Structure Raw]])/Q$4*P$5*100</f>
        <v>0</v>
      </c>
      <c r="R755" s="253">
        <f>_xlfn.XLOOKUP(FMS_Ranking4[[#This Row],[FMS ID]],FMS_Input[FMS_ID],FMS_Input[POP100])</f>
        <v>7</v>
      </c>
      <c r="S755" s="259">
        <f>(ASINH(FMS_Ranking4[[#This Row],[Pop at Risk Raw]]))*(10)/(ASINH(R$4))</f>
        <v>1.8253904965994052</v>
      </c>
      <c r="T755" s="256">
        <f>FMS_Ranking4[[#This Row],[Population at risk, ArcSinh (0-10)]]*R$5*10</f>
        <v>1.8253904965994052</v>
      </c>
      <c r="U755" s="253">
        <f>_xlfn.XLOOKUP(FMS_Ranking4[[#This Row],[FMS ID]],FMS_Input[FMS_ID],FMS_Input[CRITFAC100])</f>
        <v>0</v>
      </c>
      <c r="V755" s="259">
        <f>(ASINH(FMS_Ranking4[[#This Row],[Critical Facilities Raw]]))*(10)/(ASINH(U$4))</f>
        <v>0</v>
      </c>
      <c r="W755" s="256">
        <f>FMS_Ranking4[[#This Row],[Critical facilities at risk, ArcSinh (0-10)]]*U$5*10</f>
        <v>0</v>
      </c>
      <c r="X755" s="253">
        <f>_xlfn.XLOOKUP(FMS_Ranking4[[#This Row],[FMS ID]],FMS_Input[FMS_ID],FMS_Input[LWC])</f>
        <v>0</v>
      </c>
      <c r="Y755" s="259">
        <f>(ASINH(FMS_Ranking4[[#This Row],[LWC Raw]]))*(10)/(ASINH(X$4))</f>
        <v>0</v>
      </c>
      <c r="Z755" s="256">
        <f>FMS_Ranking4[[#This Row],[LWC, ArcSInh (0-10)]]*X$5*10</f>
        <v>0</v>
      </c>
      <c r="AA755" s="253">
        <f>_xlfn.XLOOKUP(FMS_Ranking4[[#This Row],[FMS ID]],FMS_Input[FMS_ID],FMS_Input[ROADCLS])</f>
        <v>0</v>
      </c>
      <c r="AB755" s="255">
        <f>(ASINH(FMS_Ranking4[[#This Row],[Road Closures Raw]]))*(10)/(ASINH(AA$4))</f>
        <v>0</v>
      </c>
      <c r="AC755" s="256">
        <f>FMS_Ranking4[[#This Row],[Road closures, ArcSinh (0-10)]]*AA$5*10</f>
        <v>0</v>
      </c>
      <c r="AD755" s="253">
        <f>_xlfn.XLOOKUP(FMS_Ranking4[[#This Row],[FMS ID]],FMS_Input[FMS_ID],FMS_Input[ROAD_MILES100])</f>
        <v>1</v>
      </c>
      <c r="AE755" s="259">
        <f>(ASINH(FMS_Ranking4[[#This Row],[Road Miles Raw]]))*(10)/(ASINH(AD$4))</f>
        <v>0.9393017565219649</v>
      </c>
      <c r="AF755" s="256">
        <f>FMS_Ranking4[[#This Row],[Length of roads at risk, ArcSinh (0-10)]]*AD$5*10</f>
        <v>0.93930175652196501</v>
      </c>
      <c r="AG755" s="253">
        <f>_xlfn.XLOOKUP(FMS_Ranking4[[#This Row],[FMS ID]],FMS_Input[FMS_ID],FMS_Input[FARMACRE100])</f>
        <v>0</v>
      </c>
      <c r="AH755" s="255">
        <f>(ASINH(FMS_Ranking4[[#This Row],[Ag Land Raw]]))*(10)/(ASINH(AG$4))</f>
        <v>0</v>
      </c>
      <c r="AI755" s="260">
        <f>FMS_Ranking4[[#This Row],[Farm &amp; ranch land, ArcSinh (0-10)]]*AG$5*10</f>
        <v>0</v>
      </c>
      <c r="AJ755" s="258">
        <f>_xlfn.XLOOKUP(FMS_Ranking4[[#This Row],[FMS ID]],FMS_Input[FMS_ID],FMS_Input[REDSTRUCT100])</f>
        <v>0</v>
      </c>
      <c r="AK755" s="253">
        <f>_xlfn.XLOOKUP(FMS_Ranking4[[#This Row],[FMS ID]],FMS_Input[FMS_ID],FMS_Input[REMSTRC100])</f>
        <v>0</v>
      </c>
      <c r="AL755" s="259">
        <f>(ASINH(FMS_Ranking4[[#This Row],[Structures Removed Raw]]))*(10)/(ASINH(AK$4))</f>
        <v>0</v>
      </c>
      <c r="AM755" s="260">
        <f>FMS_Ranking4[[#This Row],[Structures removed, ArcSinh (0-10)]]*AK$5*10</f>
        <v>0</v>
      </c>
      <c r="AN755" s="253">
        <f>_xlfn.XLOOKUP(FMS_Ranking4[[#This Row],[FMS ID]],FMS_Input[FMS_ID],FMS_Input[REMRESSTRC100])</f>
        <v>0</v>
      </c>
      <c r="AO755" s="261">
        <f>FMS_Ranking4[[#This Row],[ArcSinh Res struct removed 0-10]]*AN$5*10</f>
        <v>0</v>
      </c>
      <c r="AP755" s="260">
        <f>ASINH(FMS_Ranking4[[#This Row],[Residential Structures Removed Raw]])/AP$4*AN$5*100</f>
        <v>0</v>
      </c>
      <c r="AQ755" s="254">
        <f>(ASINH(FMS_Ranking4[[#This Row],[Residential Structures Removed Raw]]))*(10)/(ASINH(AN$4))</f>
        <v>0</v>
      </c>
      <c r="AR755" s="253">
        <f>_xlfn.XLOOKUP(FMS_Ranking4[[#This Row],[FMS ID]],FMS_Input[FMS_ID],FMS_Input[REMPOP100])</f>
        <v>0</v>
      </c>
      <c r="AS755" s="259">
        <f>(ASINH(FMS_Ranking4[[#This Row],[Removed Pop Raw]]))*(10)/(ASINH(AR$4))</f>
        <v>0</v>
      </c>
      <c r="AT755" s="262">
        <f>FMS_Ranking4[[#This Row],[Removed population, ArcSinh (0-10)]]*AR$5*10</f>
        <v>0</v>
      </c>
      <c r="AU755" s="264">
        <f>_xlfn.XLOOKUP(FMS_Ranking4[[#This Row],[FMS ID]],FMS_Input[FMS_ID],FMS_Input[REMCRITFAC100])</f>
        <v>0</v>
      </c>
      <c r="AV755" s="264">
        <f>_xlfn.XLOOKUP(FMS_Ranking4[[#This Row],[FMS ID]],FMS_Input[FMS_ID],FMS_Input[REMLWC100])</f>
        <v>0</v>
      </c>
      <c r="AW755" s="264">
        <f>_xlfn.XLOOKUP(FMS_Ranking4[[#This Row],[FMS ID]],FMS_Input[FMS_ID],FMS_Input[REMROADCLS])</f>
        <v>0</v>
      </c>
      <c r="AX755" s="264">
        <f>_xlfn.XLOOKUP(FMS_Ranking4[[#This Row],[FMS ID]],FMS_Input[FMS_ID],FMS_Input[REMFRMACRE100])</f>
        <v>0</v>
      </c>
      <c r="AY755" s="258">
        <f>_xlfn.XLOOKUP(FMS_Ranking4[[#This Row],[FMS ID]],FMS_Input[FMS_ID],FMS_Input[COSTSTRUCT])</f>
        <v>0</v>
      </c>
      <c r="AZ755" s="253">
        <f>_xlfn.XLOOKUP(FMS_Ranking4[[#This Row],[FMS ID]],FMS_Input[FMS_ID],FMS_Input[NATURE])</f>
        <v>0</v>
      </c>
      <c r="BA755" s="262">
        <f>(((FMS_Ranking4[[#This Row],[% NBS Raw]]/AZ$4)*100)*AZ$5)</f>
        <v>0</v>
      </c>
      <c r="BB755" s="251" t="str">
        <f>_xlfn.XLOOKUP(FMS_Ranking4[[#This Row],[FMS ID]],FMS_Input[FMS_ID],FMS_Input[WATER_SUP])</f>
        <v>No</v>
      </c>
      <c r="BC755" s="265">
        <f>IF(FMS_Ranking4[[#This Row],[Water Supply Raw]]="Yes",10,0)</f>
        <v>0</v>
      </c>
      <c r="BD755" s="266">
        <f>_xlfn.XLOOKUP(FMS_Ranking4[[#This Row],[FMS Type]],FMS_TYPE[FMS_Type],FMS_TYPE[Score])</f>
        <v>8</v>
      </c>
      <c r="BE755" s="267">
        <f>FMS_Ranking4[[#This Row],[FMS_Type Score]]*$BD$5*10</f>
        <v>2</v>
      </c>
      <c r="BF755" s="268">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1.9932279403849038E-3</v>
      </c>
      <c r="BG755" s="271">
        <f>_xlfn.RANK.EQ(BF755,$BF$8:$BF$870,0)+COUNTIF($BF$8:BF755,BF755)-1</f>
        <v>723</v>
      </c>
      <c r="BH755" s="268">
        <f>(((FMS_Ranking4[[#This Row],[Structures Removed Raw]]/AK$4)*100)*AK$5)+(((FMS_Ranking4[[#This Row],[Removed Pop Raw]]/AR$4)*100)*AR$5)</f>
        <v>0</v>
      </c>
      <c r="BI75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2.0019932279403849</v>
      </c>
      <c r="BJ755" s="205">
        <f>_xlfn.RANK.EQ(FMS_Ranking4[[#This Row],[Total Score 
(with linear
normalization)]],FMS_Ranking4[Total Score 
(with linear
normalization)],0)</f>
        <v>453</v>
      </c>
      <c r="BK755" s="205" t="e">
        <f>_xlfn.XLOOKUP(FMS_Ranking4[[#This Row],[FMS ID]],#REF!,#REF!)</f>
        <v>#REF!</v>
      </c>
      <c r="BL755" s="272">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4.4114482044582743</v>
      </c>
      <c r="BM755" s="272">
        <f>FMS_Ranking4[[#This Row],[ArcSinh Score Based on Normalized Reported Factors]]+FMS_Ranking4[[#This Row],[% NBS Score (Normalized)]]+(FMS_Ranking4[[#This Row],[Water Supply Score (Normalized)]]*10*$BB$5)+FMS_Ranking4[[#This Row],[FMS_Type Score Weighted]]</f>
        <v>6.4114482044582743</v>
      </c>
      <c r="BN755" s="205">
        <f>_xlfn.RANK.EQ(FMS_Ranking4[[#This Row],[Total Score (with ArcSinh normalization of select criteria)]],FMS_Ranking4[Total Score (with ArcSinh normalization of select criteria)],0)</f>
        <v>748</v>
      </c>
      <c r="BO755" s="270" t="str">
        <f>_xlfn.XLOOKUP(FMS_Ranking4[[#This Row],[FMS ID]],FMS_Input[FMS_ID],FMS_Input[FMS_RANK_YEAR])</f>
        <v>2023 Amended Plan</v>
      </c>
      <c r="BP755" s="204">
        <f>_xlfn.XLOOKUP(FMS_Ranking4[[#This Row],[FMS ID]],Prev_Rank[FMS ID],Prev_Rank[Prev Rank])</f>
        <v>678</v>
      </c>
      <c r="BQ755" s="205" t="e">
        <f>_xlfn.XLOOKUP(FMS_Ranking4[[#This Row],[FMS ID]],#REF!,#REF!)</f>
        <v>#REF!</v>
      </c>
      <c r="BR755" s="199" t="e">
        <f>SUM(#REF!,#REF!,#REF!,#REF!,#REF!,#REF!,#REF!,#REF!,#REF!,FMS_Ranking4[[#This Row],[ArcSinh Res struct removed 0-10]],#REF!)</f>
        <v>#REF!</v>
      </c>
      <c r="BS755" s="199" t="e">
        <f>FMS_Ranking4[[#This Row],[Log Score Based on Normalized Reported Factors]]+FMS_Ranking4[[#This Row],[% NBS Score (Normalized)]]+(FMS_Ranking4[[#This Row],[Water Supply Score (Normalized)]]*10*$BB$5)+(FMS_Ranking4[[#This Row],[FMS_Type Score Weighted]])</f>
        <v>#REF!</v>
      </c>
      <c r="BT755" s="200" t="e">
        <f>_xlfn.RANK.EQ(FMS_Ranking4[[#This Row],[Log Total Score]],FMS_Ranking4[Log Total Score],0)</f>
        <v>#REF!</v>
      </c>
      <c r="BU755" s="200" t="e">
        <f>_xlfn.XLOOKUP(FMS_Ranking4[[#This Row],[FMS ID]],#REF!,#REF!)</f>
        <v>#REF!</v>
      </c>
      <c r="BV755" s="200">
        <f>FMS_Ranking4[[#This Row],[Region Number]]</f>
        <v>7</v>
      </c>
      <c r="BW755" s="200">
        <f>FMS_Ranking4[[#This Row],[Rank (with ArcSinh normalization of select criteria)]]-FMS_Ranking4[[#This Row],[Rank
(with linear
normalization)]]</f>
        <v>295</v>
      </c>
      <c r="BX755" s="200" t="e">
        <f>FMS_Ranking4[[#This Row],[Log Rank]]-FMS_Ranking4[[#This Row],[Rank
(with linear
normalization)]]</f>
        <v>#REF!</v>
      </c>
      <c r="BY755" s="200" t="str">
        <f>IF(FMS_Ranking4[[#This Row],[FMS Type]]="Flood Measurement and Warning",FMS_Ranking4[[#This Row],[Rank (with ArcSinh normalization of select criteria)]],"")</f>
        <v/>
      </c>
      <c r="BZ755" s="200">
        <f>IF(FMS_Ranking4[[#This Row],[FMS Type]]="Regulatory and Guidance",FMS_Ranking4[[#This Row],[Rank (with ArcSinh normalization of select criteria)]],"")</f>
        <v>748</v>
      </c>
      <c r="CA755" s="200" t="str">
        <f>IF(FMS_Ranking4[[#This Row],[FMS Type]]="Education and Outreach",FMS_Ranking4[[#This Row],[Rank (with ArcSinh normalization of select criteria)]],"")</f>
        <v/>
      </c>
      <c r="CB755" s="200" t="str">
        <f>IF(FMS_Ranking4[[#This Row],[FMS Type]]="Property Acquisition and Structural Elevation",FMS_Ranking4[[#This Row],[Rank (with ArcSinh normalization of select criteria)]],"")</f>
        <v/>
      </c>
      <c r="CC755" s="200" t="str">
        <f>IF(FMS_Ranking4[[#This Row],[FMS Type]]="Infrastructure Projects",FMS_Ranking4[[#This Row],[Rank (with ArcSinh normalization of select criteria)]],"")</f>
        <v/>
      </c>
      <c r="CD755" s="200" t="str">
        <f>IF(FMS_Ranking4[[#This Row],[FMS Type]]="Other",FMS_Ranking4[[#This Row],[Rank (with ArcSinh normalization of select criteria)]],"")</f>
        <v/>
      </c>
      <c r="CE755" s="201"/>
      <c r="CF755" s="206"/>
      <c r="CG755" s="206"/>
      <c r="CH755" s="206"/>
      <c r="CI755" s="206"/>
      <c r="CJ755" s="206"/>
      <c r="CK755" s="206"/>
      <c r="CL755" s="206"/>
      <c r="CM755" s="206"/>
      <c r="CN755" s="206"/>
      <c r="CO755" s="206"/>
      <c r="CP755" s="206"/>
      <c r="CQ755" s="206"/>
      <c r="CR755" s="206"/>
    </row>
    <row r="756" spans="2:96" ht="60" x14ac:dyDescent="0.25">
      <c r="B756" s="342" t="s">
        <v>1986</v>
      </c>
      <c r="C756" s="287">
        <f>_xlfn.XLOOKUP(FMS_Ranking4[[#This Row],[FMS ID]],FMS_Input[FMS_ID],FMS_Input[RFPG_NUM])</f>
        <v>3</v>
      </c>
      <c r="D756" s="309" t="str">
        <f>_xlfn.XLOOKUP(FMS_Ranking4[[#This Row],[FMS ID]],FMS_Input[FMS_ID],FMS_Input[FMS_NAME])</f>
        <v>Midway Property Acquisition and Elevation Program</v>
      </c>
      <c r="E756" s="308" t="str">
        <f>_xlfn.XLOOKUP(FMS_Ranking4[[#This Row],[FMS ID]],FMS_Input[FMS_ID],FMS_Input[SPONSOR])</f>
        <v>Midway</v>
      </c>
      <c r="F756" s="309" t="str">
        <f>_xlfn.XLOOKUP(FMS_Ranking4[[#This Row],[FMS ID]],Sponsor[FMS_ID],Sponsor[SPONSOR NAME])</f>
        <v>Midway</v>
      </c>
      <c r="G756" s="309" t="str">
        <f>_xlfn.XLOOKUP(FMS_Ranking4[[#This Row],[FMS ID]],FMS_Input[FMS_ID],FMS_Input[FMS_DESCR])</f>
        <v>Acquire existing homes located in the identified special flood hazard area (the 100-year floodplain).</v>
      </c>
      <c r="H756" s="247" t="str">
        <f>_xlfn.XLOOKUP(FMS_Ranking4[[#This Row],[FMS ID]],FMS_Input[FMS_ID],FMS_Input[FMS_TYPE])</f>
        <v>Property Acquisition and Structural Elevation</v>
      </c>
      <c r="I756" s="288">
        <f>_xlfn.XLOOKUP(FMS_Ranking4[[#This Row],[FMS ID]],FMS_Input[FMS_ID],FMS_Input[NRNC_COST])</f>
        <v>500000</v>
      </c>
      <c r="J756" s="250">
        <f>_xlfn.XLOOKUP(FMS_Ranking4[[#This Row],[FMS ID]],FMS_Input[FMS_ID],FMS_Input[FMS_COST])</f>
        <v>5000000</v>
      </c>
      <c r="K756" s="289" t="str">
        <f>_xlfn.XLOOKUP(FMS_Ranking4[[#This Row],[FMS ID]],FMS_Input[FMS_ID],FMS_Input[EMER_NEED])</f>
        <v>No</v>
      </c>
      <c r="L756" s="252">
        <f t="shared" si="11"/>
        <v>0</v>
      </c>
      <c r="M756" s="253">
        <f>_xlfn.XLOOKUP(FMS_Ranking4[[#This Row],[FMS ID]],FMS_Input[FMS_ID],FMS_Input[STRUCT_100])</f>
        <v>2</v>
      </c>
      <c r="N756" s="255">
        <f>(ASINH(FMS_Ranking4[[#This Row],[Structure at Risk Raw]]))*(10)/(ASINH(M$4))</f>
        <v>1.134912431502926</v>
      </c>
      <c r="O756" s="255">
        <f>FMS_Ranking4[[#This Row],[Structures at risk, ArcSinh (0-10)]]*M$5*10</f>
        <v>1.134912431502926</v>
      </c>
      <c r="P756" s="259">
        <f>_xlfn.XLOOKUP(FMS_Ranking4[[#This Row],[FMS ID]],FMS_Input[FMS_ID],FMS_Input[RES_STRUCT100])</f>
        <v>2</v>
      </c>
      <c r="Q756" s="257">
        <f>ASINH(FMS_Ranking4[[#This Row],[Res Structure Raw]])/Q$4*P$5*100</f>
        <v>0</v>
      </c>
      <c r="R756" s="259">
        <f>_xlfn.XLOOKUP(FMS_Ranking4[[#This Row],[FMS ID]],FMS_Input[FMS_ID],FMS_Input[POP100])</f>
        <v>6</v>
      </c>
      <c r="S756" s="259">
        <f>(ASINH(FMS_Ranking4[[#This Row],[Pop at Risk Raw]]))*(10)/(ASINH(R$4))</f>
        <v>1.7202206985488866</v>
      </c>
      <c r="T756" s="257">
        <f>FMS_Ranking4[[#This Row],[Population at risk, ArcSinh (0-10)]]*R$5*10</f>
        <v>1.7202206985488866</v>
      </c>
      <c r="U756" s="259">
        <f>_xlfn.XLOOKUP(FMS_Ranking4[[#This Row],[FMS ID]],FMS_Input[FMS_ID],FMS_Input[CRITFAC100])</f>
        <v>1</v>
      </c>
      <c r="V756" s="259">
        <f>(ASINH(FMS_Ranking4[[#This Row],[Critical Facilities Raw]]))*(10)/(ASINH(U$4))</f>
        <v>1.0433384451410745</v>
      </c>
      <c r="W756" s="257">
        <f>FMS_Ranking4[[#This Row],[Critical facilities at risk, ArcSinh (0-10)]]*U$5*10</f>
        <v>1.0433384451410745</v>
      </c>
      <c r="X756" s="259">
        <f>_xlfn.XLOOKUP(FMS_Ranking4[[#This Row],[FMS ID]],FMS_Input[FMS_ID],FMS_Input[LWC])</f>
        <v>0</v>
      </c>
      <c r="Y756" s="259">
        <f>(ASINH(FMS_Ranking4[[#This Row],[LWC Raw]]))*(10)/(ASINH(X$4))</f>
        <v>0</v>
      </c>
      <c r="Z756" s="257">
        <f>FMS_Ranking4[[#This Row],[LWC, ArcSInh (0-10)]]*X$5*10</f>
        <v>0</v>
      </c>
      <c r="AA756" s="259">
        <f>_xlfn.XLOOKUP(FMS_Ranking4[[#This Row],[FMS ID]],FMS_Input[FMS_ID],FMS_Input[ROADCLS])</f>
        <v>0</v>
      </c>
      <c r="AB756" s="255">
        <f>(ASINH(FMS_Ranking4[[#This Row],[Road Closures Raw]]))*(10)/(ASINH(AA$4))</f>
        <v>0</v>
      </c>
      <c r="AC756" s="255">
        <f>FMS_Ranking4[[#This Row],[Road closures, ArcSinh (0-10)]]*AA$5*10</f>
        <v>0</v>
      </c>
      <c r="AD756" s="259">
        <f>_xlfn.XLOOKUP(FMS_Ranking4[[#This Row],[FMS ID]],FMS_Input[FMS_ID],FMS_Input[ROAD_MILES100])</f>
        <v>0</v>
      </c>
      <c r="AE756" s="259">
        <f>(ASINH(FMS_Ranking4[[#This Row],[Road Miles Raw]]))*(10)/(ASINH(AD$4))</f>
        <v>0</v>
      </c>
      <c r="AF756" s="257">
        <f>FMS_Ranking4[[#This Row],[Length of roads at risk, ArcSinh (0-10)]]*AD$5*10</f>
        <v>0</v>
      </c>
      <c r="AG756" s="259">
        <f>_xlfn.XLOOKUP(FMS_Ranking4[[#This Row],[FMS ID]],FMS_Input[FMS_ID],FMS_Input[FARMACRE100])</f>
        <v>41.816291809082031</v>
      </c>
      <c r="AH756" s="255">
        <f>(ASINH(FMS_Ranking4[[#This Row],[Ag Land Raw]]))*(10)/(ASINH(AG$4))</f>
        <v>2.8754218337317261</v>
      </c>
      <c r="AI756" s="254">
        <f>FMS_Ranking4[[#This Row],[Farm &amp; ranch land, ArcSinh (0-10)]]*AG$5*10</f>
        <v>1.4377109168658631</v>
      </c>
      <c r="AJ756" s="258">
        <f>_xlfn.XLOOKUP(FMS_Ranking4[[#This Row],[FMS ID]],FMS_Input[FMS_ID],FMS_Input[REDSTRUCT100])</f>
        <v>0</v>
      </c>
      <c r="AK756" s="253">
        <f>_xlfn.XLOOKUP(FMS_Ranking4[[#This Row],[FMS ID]],FMS_Input[FMS_ID],FMS_Input[REMSTRC100])</f>
        <v>0</v>
      </c>
      <c r="AL756" s="259">
        <f>(ASINH(FMS_Ranking4[[#This Row],[Structures Removed Raw]]))*(10)/(ASINH(AK$4))</f>
        <v>0</v>
      </c>
      <c r="AM756" s="254">
        <f>FMS_Ranking4[[#This Row],[Structures removed, ArcSinh (0-10)]]*AK$5*10</f>
        <v>0</v>
      </c>
      <c r="AN756" s="253">
        <f>_xlfn.XLOOKUP(FMS_Ranking4[[#This Row],[FMS ID]],FMS_Input[FMS_ID],FMS_Input[REMRESSTRC100])</f>
        <v>0</v>
      </c>
      <c r="AO756" s="258">
        <f>FMS_Ranking4[[#This Row],[ArcSinh Res struct removed 0-10]]*AN$5*10</f>
        <v>0</v>
      </c>
      <c r="AP756" s="254">
        <f>ASINH(FMS_Ranking4[[#This Row],[Residential Structures Removed Raw]])/AP$4*AN$5*100</f>
        <v>0</v>
      </c>
      <c r="AQ756" s="260">
        <f>(ASINH(FMS_Ranking4[[#This Row],[Residential Structures Removed Raw]]))*(10)/(ASINH(AN$4))</f>
        <v>0</v>
      </c>
      <c r="AR756" s="253">
        <f>_xlfn.XLOOKUP(FMS_Ranking4[[#This Row],[FMS ID]],FMS_Input[FMS_ID],FMS_Input[REMPOP100])</f>
        <v>0</v>
      </c>
      <c r="AS756" s="259">
        <f>(ASINH(FMS_Ranking4[[#This Row],[Removed Pop Raw]]))*(10)/(ASINH(AR$4))</f>
        <v>0</v>
      </c>
      <c r="AT756" s="263">
        <f>FMS_Ranking4[[#This Row],[Removed population, ArcSinh (0-10)]]*AR$5*10</f>
        <v>0</v>
      </c>
      <c r="AU756" s="264">
        <f>_xlfn.XLOOKUP(FMS_Ranking4[[#This Row],[FMS ID]],FMS_Input[FMS_ID],FMS_Input[REMCRITFAC100])</f>
        <v>0</v>
      </c>
      <c r="AV756" s="264">
        <f>_xlfn.XLOOKUP(FMS_Ranking4[[#This Row],[FMS ID]],FMS_Input[FMS_ID],FMS_Input[REMLWC100])</f>
        <v>0</v>
      </c>
      <c r="AW756" s="264">
        <f>_xlfn.XLOOKUP(FMS_Ranking4[[#This Row],[FMS ID]],FMS_Input[FMS_ID],FMS_Input[REMROADCLS])</f>
        <v>0</v>
      </c>
      <c r="AX756" s="264">
        <f>_xlfn.XLOOKUP(FMS_Ranking4[[#This Row],[FMS ID]],FMS_Input[FMS_ID],FMS_Input[REMFRMACRE100])</f>
        <v>0</v>
      </c>
      <c r="AY756" s="258">
        <f>_xlfn.XLOOKUP(FMS_Ranking4[[#This Row],[FMS ID]],FMS_Input[FMS_ID],FMS_Input[COSTSTRUCT])</f>
        <v>0</v>
      </c>
      <c r="AZ756" s="258">
        <f>_xlfn.XLOOKUP(FMS_Ranking4[[#This Row],[FMS ID]],FMS_Input[FMS_ID],FMS_Input[NATURE])</f>
        <v>0</v>
      </c>
      <c r="BA756" s="290">
        <f>(((FMS_Ranking4[[#This Row],[% NBS Raw]]/AZ$4)*100)*AZ$5)</f>
        <v>0</v>
      </c>
      <c r="BB756" s="251" t="str">
        <f>_xlfn.XLOOKUP(FMS_Ranking4[[#This Row],[FMS ID]],FMS_Input[FMS_ID],FMS_Input[WATER_SUP])</f>
        <v>No</v>
      </c>
      <c r="BC756" s="265">
        <f>IF(FMS_Ranking4[[#This Row],[Water Supply Raw]]="Yes",10,0)</f>
        <v>0</v>
      </c>
      <c r="BD756" s="251">
        <f>_xlfn.XLOOKUP(FMS_Ranking4[[#This Row],[FMS Type]],FMS_TYPE[FMS_Type],FMS_TYPE[Score])</f>
        <v>4</v>
      </c>
      <c r="BE756" s="267">
        <f>FMS_Ranking4[[#This Row],[FMS_Type Score]]*$BD$5*10</f>
        <v>1</v>
      </c>
      <c r="BF756"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4.5554026002451262E-3</v>
      </c>
      <c r="BG756" s="271">
        <f>_xlfn.RANK.EQ(BF756,$BF$8:$BF$870,0)+COUNTIF($BF$8:BF756,BF756)-1</f>
        <v>694</v>
      </c>
      <c r="BH756" s="268">
        <f>(((FMS_Ranking4[[#This Row],[Structures Removed Raw]]/AK$4)*100)*AK$5)+(((FMS_Ranking4[[#This Row],[Removed Pop Raw]]/AR$4)*100)*AR$5)</f>
        <v>0</v>
      </c>
      <c r="BI75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1.0045554026002452</v>
      </c>
      <c r="BJ756" s="325">
        <f>_xlfn.RANK.EQ(FMS_Ranking4[[#This Row],[Total Score 
(with linear
normalization)]],FMS_Ranking4[Total Score 
(with linear
normalization)],0)</f>
        <v>733</v>
      </c>
      <c r="BK756" s="327" t="e">
        <f>_xlfn.XLOOKUP(FMS_Ranking4[[#This Row],[FMS ID]],#REF!,#REF!)</f>
        <v>#REF!</v>
      </c>
      <c r="BL756"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5.3361824920587502</v>
      </c>
      <c r="BM756" s="330">
        <f>FMS_Ranking4[[#This Row],[ArcSinh Score Based on Normalized Reported Factors]]+FMS_Ranking4[[#This Row],[% NBS Score (Normalized)]]+(FMS_Ranking4[[#This Row],[Water Supply Score (Normalized)]]*10*$BB$5)+FMS_Ranking4[[#This Row],[FMS_Type Score Weighted]]</f>
        <v>6.3361824920587502</v>
      </c>
      <c r="BN756" s="327">
        <f>_xlfn.RANK.EQ(FMS_Ranking4[[#This Row],[Total Score (with ArcSinh normalization of select criteria)]],FMS_Ranking4[Total Score (with ArcSinh normalization of select criteria)],0)</f>
        <v>749</v>
      </c>
      <c r="BO756" s="270" t="str">
        <f>_xlfn.XLOOKUP(FMS_Ranking4[[#This Row],[FMS ID]],FMS_Input[FMS_ID],FMS_Input[FMS_RANK_YEAR])</f>
        <v>2023 Amended Plan</v>
      </c>
      <c r="BP756" s="204">
        <f>_xlfn.XLOOKUP(FMS_Ranking4[[#This Row],[FMS ID]],Prev_Rank[FMS ID],Prev_Rank[Prev Rank])</f>
        <v>679</v>
      </c>
      <c r="BQ756" s="334" t="e">
        <f>_xlfn.XLOOKUP(FMS_Ranking4[[#This Row],[FMS ID]],#REF!,#REF!)</f>
        <v>#REF!</v>
      </c>
      <c r="BR756" s="199" t="e">
        <f>SUM(#REF!,#REF!,#REF!,#REF!,#REF!,#REF!,#REF!,#REF!,#REF!,FMS_Ranking4[[#This Row],[ArcSinh Res struct removed 0-10]],#REF!)</f>
        <v>#REF!</v>
      </c>
      <c r="BS756" s="199" t="e">
        <f>FMS_Ranking4[[#This Row],[Log Score Based on Normalized Reported Factors]]+FMS_Ranking4[[#This Row],[% NBS Score (Normalized)]]+(FMS_Ranking4[[#This Row],[Water Supply Score (Normalized)]]*10*$BB$5)+(FMS_Ranking4[[#This Row],[FMS_Type Score Weighted]])</f>
        <v>#REF!</v>
      </c>
      <c r="BT756" s="200" t="e">
        <f>_xlfn.RANK.EQ(FMS_Ranking4[[#This Row],[Log Total Score]],FMS_Ranking4[Log Total Score],0)</f>
        <v>#REF!</v>
      </c>
      <c r="BU756" s="200" t="e">
        <f>_xlfn.XLOOKUP(FMS_Ranking4[[#This Row],[FMS ID]],#REF!,#REF!)</f>
        <v>#REF!</v>
      </c>
      <c r="BV756" s="200">
        <f>FMS_Ranking4[[#This Row],[Region Number]]</f>
        <v>3</v>
      </c>
      <c r="BW756" s="200">
        <f>FMS_Ranking4[[#This Row],[Rank (with ArcSinh normalization of select criteria)]]-FMS_Ranking4[[#This Row],[Rank
(with linear
normalization)]]</f>
        <v>16</v>
      </c>
      <c r="BX756" s="200" t="e">
        <f>FMS_Ranking4[[#This Row],[Log Rank]]-FMS_Ranking4[[#This Row],[Rank
(with linear
normalization)]]</f>
        <v>#REF!</v>
      </c>
      <c r="BY756" s="200" t="str">
        <f>IF(FMS_Ranking4[[#This Row],[FMS Type]]="Flood Measurement and Warning",FMS_Ranking4[[#This Row],[Rank (with ArcSinh normalization of select criteria)]],"")</f>
        <v/>
      </c>
      <c r="BZ756" s="200" t="str">
        <f>IF(FMS_Ranking4[[#This Row],[FMS Type]]="Regulatory and Guidance",FMS_Ranking4[[#This Row],[Rank (with ArcSinh normalization of select criteria)]],"")</f>
        <v/>
      </c>
      <c r="CA756" s="200" t="str">
        <f>IF(FMS_Ranking4[[#This Row],[FMS Type]]="Education and Outreach",FMS_Ranking4[[#This Row],[Rank (with ArcSinh normalization of select criteria)]],"")</f>
        <v/>
      </c>
      <c r="CB756" s="200">
        <f>IF(FMS_Ranking4[[#This Row],[FMS Type]]="Property Acquisition and Structural Elevation",FMS_Ranking4[[#This Row],[Rank (with ArcSinh normalization of select criteria)]],"")</f>
        <v>749</v>
      </c>
      <c r="CC756" s="200" t="str">
        <f>IF(FMS_Ranking4[[#This Row],[FMS Type]]="Infrastructure Projects",FMS_Ranking4[[#This Row],[Rank (with ArcSinh normalization of select criteria)]],"")</f>
        <v/>
      </c>
      <c r="CD756" s="200" t="str">
        <f>IF(FMS_Ranking4[[#This Row],[FMS Type]]="Other",FMS_Ranking4[[#This Row],[Rank (with ArcSinh normalization of select criteria)]],"")</f>
        <v/>
      </c>
    </row>
    <row r="757" spans="2:96" ht="45" x14ac:dyDescent="0.25">
      <c r="B757" s="342" t="s">
        <v>2398</v>
      </c>
      <c r="C757" s="287">
        <f>_xlfn.XLOOKUP(FMS_Ranking4[[#This Row],[FMS ID]],FMS_Input[FMS_ID],FMS_Input[RFPG_NUM])</f>
        <v>3</v>
      </c>
      <c r="D757" s="309" t="str">
        <f>_xlfn.XLOOKUP(FMS_Ranking4[[#This Row],[FMS ID]],FMS_Input[FMS_ID],FMS_Input[FMS_NAME])</f>
        <v>City of Midway NFIP Floodplain Ordinance</v>
      </c>
      <c r="E757" s="308" t="str">
        <f>_xlfn.XLOOKUP(FMS_Ranking4[[#This Row],[FMS ID]],FMS_Input[FMS_ID],FMS_Input[SPONSOR])</f>
        <v>Midway</v>
      </c>
      <c r="F757" s="309" t="str">
        <f>_xlfn.XLOOKUP(FMS_Ranking4[[#This Row],[FMS ID]],Sponsor[FMS_ID],Sponsor[SPONSOR NAME])</f>
        <v>Midway</v>
      </c>
      <c r="G757" s="309" t="str">
        <f>_xlfn.XLOOKUP(FMS_Ranking4[[#This Row],[FMS ID]],FMS_Input[FMS_ID],FMS_Input[FMS_DESCR])</f>
        <v>Develop a floodplain ordinance that meets or exceeds FEMA's minimum standards</v>
      </c>
      <c r="H757" s="247" t="str">
        <f>_xlfn.XLOOKUP(FMS_Ranking4[[#This Row],[FMS ID]],FMS_Input[FMS_ID],FMS_Input[FMS_TYPE])</f>
        <v>Regulatory and Guidance</v>
      </c>
      <c r="I757" s="288">
        <f>_xlfn.XLOOKUP(FMS_Ranking4[[#This Row],[FMS ID]],FMS_Input[FMS_ID],FMS_Input[NRNC_COST])</f>
        <v>100000</v>
      </c>
      <c r="J757" s="250">
        <f>_xlfn.XLOOKUP(FMS_Ranking4[[#This Row],[FMS ID]],FMS_Input[FMS_ID],FMS_Input[FMS_COST])</f>
        <v>100000</v>
      </c>
      <c r="K757" s="289" t="str">
        <f>_xlfn.XLOOKUP(FMS_Ranking4[[#This Row],[FMS ID]],FMS_Input[FMS_ID],FMS_Input[EMER_NEED])</f>
        <v>No</v>
      </c>
      <c r="L757" s="252">
        <f t="shared" si="11"/>
        <v>0</v>
      </c>
      <c r="M757" s="253">
        <f>_xlfn.XLOOKUP(FMS_Ranking4[[#This Row],[FMS ID]],FMS_Input[FMS_ID],FMS_Input[STRUCT_100])</f>
        <v>2</v>
      </c>
      <c r="N757" s="255">
        <f>(ASINH(FMS_Ranking4[[#This Row],[Structure at Risk Raw]]))*(10)/(ASINH(M$4))</f>
        <v>1.134912431502926</v>
      </c>
      <c r="O757" s="255">
        <f>FMS_Ranking4[[#This Row],[Structures at risk, ArcSinh (0-10)]]*M$5*10</f>
        <v>1.134912431502926</v>
      </c>
      <c r="P757" s="259">
        <f>_xlfn.XLOOKUP(FMS_Ranking4[[#This Row],[FMS ID]],FMS_Input[FMS_ID],FMS_Input[RES_STRUCT100])</f>
        <v>2</v>
      </c>
      <c r="Q757" s="257">
        <f>ASINH(FMS_Ranking4[[#This Row],[Res Structure Raw]])/Q$4*P$5*100</f>
        <v>0</v>
      </c>
      <c r="R757" s="259">
        <f>_xlfn.XLOOKUP(FMS_Ranking4[[#This Row],[FMS ID]],FMS_Input[FMS_ID],FMS_Input[POP100])</f>
        <v>6</v>
      </c>
      <c r="S757" s="259">
        <f>(ASINH(FMS_Ranking4[[#This Row],[Pop at Risk Raw]]))*(10)/(ASINH(R$4))</f>
        <v>1.7202206985488866</v>
      </c>
      <c r="T757" s="257">
        <f>FMS_Ranking4[[#This Row],[Population at risk, ArcSinh (0-10)]]*R$5*10</f>
        <v>1.7202206985488866</v>
      </c>
      <c r="U757" s="259">
        <f>_xlfn.XLOOKUP(FMS_Ranking4[[#This Row],[FMS ID]],FMS_Input[FMS_ID],FMS_Input[CRITFAC100])</f>
        <v>0</v>
      </c>
      <c r="V757" s="259">
        <f>(ASINH(FMS_Ranking4[[#This Row],[Critical Facilities Raw]]))*(10)/(ASINH(U$4))</f>
        <v>0</v>
      </c>
      <c r="W757" s="257">
        <f>FMS_Ranking4[[#This Row],[Critical facilities at risk, ArcSinh (0-10)]]*U$5*10</f>
        <v>0</v>
      </c>
      <c r="X757" s="259">
        <f>_xlfn.XLOOKUP(FMS_Ranking4[[#This Row],[FMS ID]],FMS_Input[FMS_ID],FMS_Input[LWC])</f>
        <v>0</v>
      </c>
      <c r="Y757" s="259">
        <f>(ASINH(FMS_Ranking4[[#This Row],[LWC Raw]]))*(10)/(ASINH(X$4))</f>
        <v>0</v>
      </c>
      <c r="Z757" s="257">
        <f>FMS_Ranking4[[#This Row],[LWC, ArcSInh (0-10)]]*X$5*10</f>
        <v>0</v>
      </c>
      <c r="AA757" s="259">
        <f>_xlfn.XLOOKUP(FMS_Ranking4[[#This Row],[FMS ID]],FMS_Input[FMS_ID],FMS_Input[ROADCLS])</f>
        <v>0</v>
      </c>
      <c r="AB757" s="255">
        <f>(ASINH(FMS_Ranking4[[#This Row],[Road Closures Raw]]))*(10)/(ASINH(AA$4))</f>
        <v>0</v>
      </c>
      <c r="AC757" s="255">
        <f>FMS_Ranking4[[#This Row],[Road closures, ArcSinh (0-10)]]*AA$5*10</f>
        <v>0</v>
      </c>
      <c r="AD757" s="259">
        <f>_xlfn.XLOOKUP(FMS_Ranking4[[#This Row],[FMS ID]],FMS_Input[FMS_ID],FMS_Input[ROAD_MILES100])</f>
        <v>0</v>
      </c>
      <c r="AE757" s="259">
        <f>(ASINH(FMS_Ranking4[[#This Row],[Road Miles Raw]]))*(10)/(ASINH(AD$4))</f>
        <v>0</v>
      </c>
      <c r="AF757" s="257">
        <f>FMS_Ranking4[[#This Row],[Length of roads at risk, ArcSinh (0-10)]]*AD$5*10</f>
        <v>0</v>
      </c>
      <c r="AG757" s="259">
        <f>_xlfn.XLOOKUP(FMS_Ranking4[[#This Row],[FMS ID]],FMS_Input[FMS_ID],FMS_Input[FARMACRE100])</f>
        <v>41.811180114746087</v>
      </c>
      <c r="AH757" s="255">
        <f>(ASINH(FMS_Ranking4[[#This Row],[Ag Land Raw]]))*(10)/(ASINH(AG$4))</f>
        <v>2.8753424456389256</v>
      </c>
      <c r="AI757" s="254">
        <f>FMS_Ranking4[[#This Row],[Farm &amp; ranch land, ArcSinh (0-10)]]*AG$5*10</f>
        <v>1.437671222819463</v>
      </c>
      <c r="AJ757" s="258">
        <f>_xlfn.XLOOKUP(FMS_Ranking4[[#This Row],[FMS ID]],FMS_Input[FMS_ID],FMS_Input[REDSTRUCT100])</f>
        <v>0</v>
      </c>
      <c r="AK757" s="253">
        <f>_xlfn.XLOOKUP(FMS_Ranking4[[#This Row],[FMS ID]],FMS_Input[FMS_ID],FMS_Input[REMSTRC100])</f>
        <v>0</v>
      </c>
      <c r="AL757" s="259">
        <f>(ASINH(FMS_Ranking4[[#This Row],[Structures Removed Raw]]))*(10)/(ASINH(AK$4))</f>
        <v>0</v>
      </c>
      <c r="AM757" s="254">
        <f>FMS_Ranking4[[#This Row],[Structures removed, ArcSinh (0-10)]]*AK$5*10</f>
        <v>0</v>
      </c>
      <c r="AN757" s="253">
        <f>_xlfn.XLOOKUP(FMS_Ranking4[[#This Row],[FMS ID]],FMS_Input[FMS_ID],FMS_Input[REMRESSTRC100])</f>
        <v>0</v>
      </c>
      <c r="AO757" s="258">
        <f>FMS_Ranking4[[#This Row],[ArcSinh Res struct removed 0-10]]*AN$5*10</f>
        <v>0</v>
      </c>
      <c r="AP757" s="254">
        <f>ASINH(FMS_Ranking4[[#This Row],[Residential Structures Removed Raw]])/AP$4*AN$5*100</f>
        <v>0</v>
      </c>
      <c r="AQ757" s="260">
        <f>(ASINH(FMS_Ranking4[[#This Row],[Residential Structures Removed Raw]]))*(10)/(ASINH(AN$4))</f>
        <v>0</v>
      </c>
      <c r="AR757" s="253">
        <f>_xlfn.XLOOKUP(FMS_Ranking4[[#This Row],[FMS ID]],FMS_Input[FMS_ID],FMS_Input[REMPOP100])</f>
        <v>0</v>
      </c>
      <c r="AS757" s="259">
        <f>(ASINH(FMS_Ranking4[[#This Row],[Removed Pop Raw]]))*(10)/(ASINH(AR$4))</f>
        <v>0</v>
      </c>
      <c r="AT757" s="263">
        <f>FMS_Ranking4[[#This Row],[Removed population, ArcSinh (0-10)]]*AR$5*10</f>
        <v>0</v>
      </c>
      <c r="AU757" s="264">
        <f>_xlfn.XLOOKUP(FMS_Ranking4[[#This Row],[FMS ID]],FMS_Input[FMS_ID],FMS_Input[REMCRITFAC100])</f>
        <v>0</v>
      </c>
      <c r="AV757" s="264">
        <f>_xlfn.XLOOKUP(FMS_Ranking4[[#This Row],[FMS ID]],FMS_Input[FMS_ID],FMS_Input[REMLWC100])</f>
        <v>0</v>
      </c>
      <c r="AW757" s="264">
        <f>_xlfn.XLOOKUP(FMS_Ranking4[[#This Row],[FMS ID]],FMS_Input[FMS_ID],FMS_Input[REMROADCLS])</f>
        <v>0</v>
      </c>
      <c r="AX757" s="264">
        <f>_xlfn.XLOOKUP(FMS_Ranking4[[#This Row],[FMS ID]],FMS_Input[FMS_ID],FMS_Input[REMFRMACRE100])</f>
        <v>0</v>
      </c>
      <c r="AY757" s="258">
        <f>_xlfn.XLOOKUP(FMS_Ranking4[[#This Row],[FMS ID]],FMS_Input[FMS_ID],FMS_Input[COSTSTRUCT])</f>
        <v>0</v>
      </c>
      <c r="AZ757" s="258">
        <f>_xlfn.XLOOKUP(FMS_Ranking4[[#This Row],[FMS ID]],FMS_Input[FMS_ID],FMS_Input[NATURE])</f>
        <v>0</v>
      </c>
      <c r="BA757" s="290">
        <f>(((FMS_Ranking4[[#This Row],[% NBS Raw]]/AZ$4)*100)*AZ$5)</f>
        <v>0</v>
      </c>
      <c r="BB757" s="251" t="str">
        <f>_xlfn.XLOOKUP(FMS_Ranking4[[#This Row],[FMS ID]],FMS_Input[FMS_ID],FMS_Input[WATER_SUP])</f>
        <v>No</v>
      </c>
      <c r="BC757" s="265">
        <f>IF(FMS_Ranking4[[#This Row],[Water Supply Raw]]="Yes",10,0)</f>
        <v>0</v>
      </c>
      <c r="BD757" s="251">
        <f>_xlfn.XLOOKUP(FMS_Ranking4[[#This Row],[FMS Type]],FMS_TYPE[FMS_Type],FMS_TYPE[Score])</f>
        <v>8</v>
      </c>
      <c r="BE757" s="267">
        <f>FMS_Ranking4[[#This Row],[FMS_Type Score]]*$BD$5*10</f>
        <v>2</v>
      </c>
      <c r="BF75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2.6722739555237491E-4</v>
      </c>
      <c r="BG757" s="271">
        <f>_xlfn.RANK.EQ(BF757,$BF$8:$BF$870,0)+COUNTIF($BF$8:BF757,BF757)-1</f>
        <v>766</v>
      </c>
      <c r="BH757" s="268">
        <f>(((FMS_Ranking4[[#This Row],[Structures Removed Raw]]/AK$4)*100)*AK$5)+(((FMS_Ranking4[[#This Row],[Removed Pop Raw]]/AR$4)*100)*AR$5)</f>
        <v>0</v>
      </c>
      <c r="BI75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2.0002672273955522</v>
      </c>
      <c r="BJ757" s="325">
        <f>_xlfn.RANK.EQ(FMS_Ranking4[[#This Row],[Total Score 
(with linear
normalization)]],FMS_Ranking4[Total Score 
(with linear
normalization)],0)</f>
        <v>475</v>
      </c>
      <c r="BK757" s="327" t="e">
        <f>_xlfn.XLOOKUP(FMS_Ranking4[[#This Row],[FMS ID]],#REF!,#REF!)</f>
        <v>#REF!</v>
      </c>
      <c r="BL75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4.2928043528712756</v>
      </c>
      <c r="BM757" s="330">
        <f>FMS_Ranking4[[#This Row],[ArcSinh Score Based on Normalized Reported Factors]]+FMS_Ranking4[[#This Row],[% NBS Score (Normalized)]]+(FMS_Ranking4[[#This Row],[Water Supply Score (Normalized)]]*10*$BB$5)+FMS_Ranking4[[#This Row],[FMS_Type Score Weighted]]</f>
        <v>6.2928043528712756</v>
      </c>
      <c r="BN757" s="327">
        <f>_xlfn.RANK.EQ(FMS_Ranking4[[#This Row],[Total Score (with ArcSinh normalization of select criteria)]],FMS_Ranking4[Total Score (with ArcSinh normalization of select criteria)],0)</f>
        <v>750</v>
      </c>
      <c r="BO757" s="270" t="str">
        <f>_xlfn.XLOOKUP(FMS_Ranking4[[#This Row],[FMS ID]],FMS_Input[FMS_ID],FMS_Input[FMS_RANK_YEAR])</f>
        <v>2023 Amended Plan</v>
      </c>
      <c r="BP757" s="204">
        <f>_xlfn.XLOOKUP(FMS_Ranking4[[#This Row],[FMS ID]],Prev_Rank[FMS ID],Prev_Rank[Prev Rank])</f>
        <v>680</v>
      </c>
      <c r="BQ757" s="334" t="e">
        <f>_xlfn.XLOOKUP(FMS_Ranking4[[#This Row],[FMS ID]],#REF!,#REF!)</f>
        <v>#REF!</v>
      </c>
      <c r="BR757" s="199" t="e">
        <f>SUM(#REF!,#REF!,#REF!,#REF!,#REF!,#REF!,#REF!,#REF!,#REF!,FMS_Ranking4[[#This Row],[ArcSinh Res struct removed 0-10]],#REF!)</f>
        <v>#REF!</v>
      </c>
      <c r="BS757" s="199" t="e">
        <f>FMS_Ranking4[[#This Row],[Log Score Based on Normalized Reported Factors]]+FMS_Ranking4[[#This Row],[% NBS Score (Normalized)]]+(FMS_Ranking4[[#This Row],[Water Supply Score (Normalized)]]*10*$BB$5)+(FMS_Ranking4[[#This Row],[FMS_Type Score Weighted]])</f>
        <v>#REF!</v>
      </c>
      <c r="BT757" s="200" t="e">
        <f>_xlfn.RANK.EQ(FMS_Ranking4[[#This Row],[Log Total Score]],FMS_Ranking4[Log Total Score],0)</f>
        <v>#REF!</v>
      </c>
      <c r="BU757" s="200" t="e">
        <f>_xlfn.XLOOKUP(FMS_Ranking4[[#This Row],[FMS ID]],#REF!,#REF!)</f>
        <v>#REF!</v>
      </c>
      <c r="BV757" s="200">
        <f>FMS_Ranking4[[#This Row],[Region Number]]</f>
        <v>3</v>
      </c>
      <c r="BW757" s="200">
        <f>FMS_Ranking4[[#This Row],[Rank (with ArcSinh normalization of select criteria)]]-FMS_Ranking4[[#This Row],[Rank
(with linear
normalization)]]</f>
        <v>275</v>
      </c>
      <c r="BX757" s="200" t="e">
        <f>FMS_Ranking4[[#This Row],[Log Rank]]-FMS_Ranking4[[#This Row],[Rank
(with linear
normalization)]]</f>
        <v>#REF!</v>
      </c>
      <c r="BY757" s="200" t="str">
        <f>IF(FMS_Ranking4[[#This Row],[FMS Type]]="Flood Measurement and Warning",FMS_Ranking4[[#This Row],[Rank (with ArcSinh normalization of select criteria)]],"")</f>
        <v/>
      </c>
      <c r="BZ757" s="200">
        <f>IF(FMS_Ranking4[[#This Row],[FMS Type]]="Regulatory and Guidance",FMS_Ranking4[[#This Row],[Rank (with ArcSinh normalization of select criteria)]],"")</f>
        <v>750</v>
      </c>
      <c r="CA757" s="200" t="str">
        <f>IF(FMS_Ranking4[[#This Row],[FMS Type]]="Education and Outreach",FMS_Ranking4[[#This Row],[Rank (with ArcSinh normalization of select criteria)]],"")</f>
        <v/>
      </c>
      <c r="CB757" s="200" t="str">
        <f>IF(FMS_Ranking4[[#This Row],[FMS Type]]="Property Acquisition and Structural Elevation",FMS_Ranking4[[#This Row],[Rank (with ArcSinh normalization of select criteria)]],"")</f>
        <v/>
      </c>
      <c r="CC757" s="200" t="str">
        <f>IF(FMS_Ranking4[[#This Row],[FMS Type]]="Infrastructure Projects",FMS_Ranking4[[#This Row],[Rank (with ArcSinh normalization of select criteria)]],"")</f>
        <v/>
      </c>
      <c r="CD757" s="200" t="str">
        <f>IF(FMS_Ranking4[[#This Row],[FMS Type]]="Other",FMS_Ranking4[[#This Row],[Rank (with ArcSinh normalization of select criteria)]],"")</f>
        <v/>
      </c>
    </row>
    <row r="758" spans="2:96" ht="45" x14ac:dyDescent="0.25">
      <c r="B758" s="342" t="s">
        <v>2317</v>
      </c>
      <c r="C758" s="287">
        <f>_xlfn.XLOOKUP(FMS_Ranking4[[#This Row],[FMS ID]],FMS_Input[FMS_ID],FMS_Input[RFPG_NUM])</f>
        <v>3</v>
      </c>
      <c r="D758" s="309" t="str">
        <f>_xlfn.XLOOKUP(FMS_Ranking4[[#This Row],[FMS ID]],FMS_Input[FMS_ID],FMS_Input[FMS_NAME])</f>
        <v>City of Bedias NFIP Floodplain Ordinance</v>
      </c>
      <c r="E758" s="308" t="str">
        <f>_xlfn.XLOOKUP(FMS_Ranking4[[#This Row],[FMS ID]],FMS_Input[FMS_ID],FMS_Input[SPONSOR])</f>
        <v>Bedias</v>
      </c>
      <c r="F758" s="309" t="str">
        <f>_xlfn.XLOOKUP(FMS_Ranking4[[#This Row],[FMS ID]],Sponsor[FMS_ID],Sponsor[SPONSOR NAME])</f>
        <v>Bedias</v>
      </c>
      <c r="G758" s="309" t="str">
        <f>_xlfn.XLOOKUP(FMS_Ranking4[[#This Row],[FMS ID]],FMS_Input[FMS_ID],FMS_Input[FMS_DESCR])</f>
        <v>Develop a floodplain ordinance that meets or exceeds FEMA's minimum standards</v>
      </c>
      <c r="H758" s="247" t="str">
        <f>_xlfn.XLOOKUP(FMS_Ranking4[[#This Row],[FMS ID]],FMS_Input[FMS_ID],FMS_Input[FMS_TYPE])</f>
        <v>Regulatory and Guidance</v>
      </c>
      <c r="I758" s="288">
        <f>_xlfn.XLOOKUP(FMS_Ranking4[[#This Row],[FMS ID]],FMS_Input[FMS_ID],FMS_Input[NRNC_COST])</f>
        <v>100000</v>
      </c>
      <c r="J758" s="250">
        <f>_xlfn.XLOOKUP(FMS_Ranking4[[#This Row],[FMS ID]],FMS_Input[FMS_ID],FMS_Input[FMS_COST])</f>
        <v>100000</v>
      </c>
      <c r="K758" s="289" t="str">
        <f>_xlfn.XLOOKUP(FMS_Ranking4[[#This Row],[FMS ID]],FMS_Input[FMS_ID],FMS_Input[EMER_NEED])</f>
        <v>No</v>
      </c>
      <c r="L758" s="252">
        <f t="shared" si="11"/>
        <v>0</v>
      </c>
      <c r="M758" s="253">
        <f>_xlfn.XLOOKUP(FMS_Ranking4[[#This Row],[FMS ID]],FMS_Input[FMS_ID],FMS_Input[STRUCT_100])</f>
        <v>5</v>
      </c>
      <c r="N758" s="255">
        <f>(ASINH(FMS_Ranking4[[#This Row],[Structure at Risk Raw]]))*(10)/(ASINH(M$4))</f>
        <v>1.8179208433966958</v>
      </c>
      <c r="O758" s="255">
        <f>FMS_Ranking4[[#This Row],[Structures at risk, ArcSinh (0-10)]]*M$5*10</f>
        <v>1.817920843396696</v>
      </c>
      <c r="P758" s="259">
        <f>_xlfn.XLOOKUP(FMS_Ranking4[[#This Row],[FMS ID]],FMS_Input[FMS_ID],FMS_Input[RES_STRUCT100])</f>
        <v>4</v>
      </c>
      <c r="Q758" s="257">
        <f>ASINH(FMS_Ranking4[[#This Row],[Res Structure Raw]])/Q$4*P$5*100</f>
        <v>0</v>
      </c>
      <c r="R758" s="259">
        <f>_xlfn.XLOOKUP(FMS_Ranking4[[#This Row],[FMS ID]],FMS_Input[FMS_ID],FMS_Input[POP100])</f>
        <v>3</v>
      </c>
      <c r="S758" s="259">
        <f>(ASINH(FMS_Ranking4[[#This Row],[Pop at Risk Raw]]))*(10)/(ASINH(R$4))</f>
        <v>1.2553794569988064</v>
      </c>
      <c r="T758" s="257">
        <f>FMS_Ranking4[[#This Row],[Population at risk, ArcSinh (0-10)]]*R$5*10</f>
        <v>1.2553794569988064</v>
      </c>
      <c r="U758" s="259">
        <f>_xlfn.XLOOKUP(FMS_Ranking4[[#This Row],[FMS ID]],FMS_Input[FMS_ID],FMS_Input[CRITFAC100])</f>
        <v>0</v>
      </c>
      <c r="V758" s="259">
        <f>(ASINH(FMS_Ranking4[[#This Row],[Critical Facilities Raw]]))*(10)/(ASINH(U$4))</f>
        <v>0</v>
      </c>
      <c r="W758" s="257">
        <f>FMS_Ranking4[[#This Row],[Critical facilities at risk, ArcSinh (0-10)]]*U$5*10</f>
        <v>0</v>
      </c>
      <c r="X758" s="259">
        <f>_xlfn.XLOOKUP(FMS_Ranking4[[#This Row],[FMS ID]],FMS_Input[FMS_ID],FMS_Input[LWC])</f>
        <v>0</v>
      </c>
      <c r="Y758" s="259">
        <f>(ASINH(FMS_Ranking4[[#This Row],[LWC Raw]]))*(10)/(ASINH(X$4))</f>
        <v>0</v>
      </c>
      <c r="Z758" s="257">
        <f>FMS_Ranking4[[#This Row],[LWC, ArcSInh (0-10)]]*X$5*10</f>
        <v>0</v>
      </c>
      <c r="AA758" s="259">
        <f>_xlfn.XLOOKUP(FMS_Ranking4[[#This Row],[FMS ID]],FMS_Input[FMS_ID],FMS_Input[ROADCLS])</f>
        <v>0</v>
      </c>
      <c r="AB758" s="255">
        <f>(ASINH(FMS_Ranking4[[#This Row],[Road Closures Raw]]))*(10)/(ASINH(AA$4))</f>
        <v>0</v>
      </c>
      <c r="AC758" s="255">
        <f>FMS_Ranking4[[#This Row],[Road closures, ArcSinh (0-10)]]*AA$5*10</f>
        <v>0</v>
      </c>
      <c r="AD758" s="259">
        <f>_xlfn.XLOOKUP(FMS_Ranking4[[#This Row],[FMS ID]],FMS_Input[FMS_ID],FMS_Input[ROAD_MILES100])</f>
        <v>0</v>
      </c>
      <c r="AE758" s="259">
        <f>(ASINH(FMS_Ranking4[[#This Row],[Road Miles Raw]]))*(10)/(ASINH(AD$4))</f>
        <v>0</v>
      </c>
      <c r="AF758" s="257">
        <f>FMS_Ranking4[[#This Row],[Length of roads at risk, ArcSinh (0-10)]]*AD$5*10</f>
        <v>0</v>
      </c>
      <c r="AG758" s="259">
        <f>_xlfn.XLOOKUP(FMS_Ranking4[[#This Row],[FMS ID]],FMS_Input[FMS_ID],FMS_Input[FARMACRE100])</f>
        <v>19.52272987365723</v>
      </c>
      <c r="AH758" s="255">
        <f>(ASINH(FMS_Ranking4[[#This Row],[Ag Land Raw]]))*(10)/(ASINH(AG$4))</f>
        <v>2.3809641534295229</v>
      </c>
      <c r="AI758" s="254">
        <f>FMS_Ranking4[[#This Row],[Farm &amp; ranch land, ArcSinh (0-10)]]*AG$5*10</f>
        <v>1.1904820767147615</v>
      </c>
      <c r="AJ758" s="258">
        <f>_xlfn.XLOOKUP(FMS_Ranking4[[#This Row],[FMS ID]],FMS_Input[FMS_ID],FMS_Input[REDSTRUCT100])</f>
        <v>0</v>
      </c>
      <c r="AK758" s="253">
        <f>_xlfn.XLOOKUP(FMS_Ranking4[[#This Row],[FMS ID]],FMS_Input[FMS_ID],FMS_Input[REMSTRC100])</f>
        <v>0</v>
      </c>
      <c r="AL758" s="259">
        <f>(ASINH(FMS_Ranking4[[#This Row],[Structures Removed Raw]]))*(10)/(ASINH(AK$4))</f>
        <v>0</v>
      </c>
      <c r="AM758" s="254">
        <f>FMS_Ranking4[[#This Row],[Structures removed, ArcSinh (0-10)]]*AK$5*10</f>
        <v>0</v>
      </c>
      <c r="AN758" s="253">
        <f>_xlfn.XLOOKUP(FMS_Ranking4[[#This Row],[FMS ID]],FMS_Input[FMS_ID],FMS_Input[REMRESSTRC100])</f>
        <v>0</v>
      </c>
      <c r="AO758" s="258">
        <f>FMS_Ranking4[[#This Row],[ArcSinh Res struct removed 0-10]]*AN$5*10</f>
        <v>0</v>
      </c>
      <c r="AP758" s="254">
        <f>ASINH(FMS_Ranking4[[#This Row],[Residential Structures Removed Raw]])/AP$4*AN$5*100</f>
        <v>0</v>
      </c>
      <c r="AQ758" s="260">
        <f>(ASINH(FMS_Ranking4[[#This Row],[Residential Structures Removed Raw]]))*(10)/(ASINH(AN$4))</f>
        <v>0</v>
      </c>
      <c r="AR758" s="253">
        <f>_xlfn.XLOOKUP(FMS_Ranking4[[#This Row],[FMS ID]],FMS_Input[FMS_ID],FMS_Input[REMPOP100])</f>
        <v>0</v>
      </c>
      <c r="AS758" s="259">
        <f>(ASINH(FMS_Ranking4[[#This Row],[Removed Pop Raw]]))*(10)/(ASINH(AR$4))</f>
        <v>0</v>
      </c>
      <c r="AT758" s="263">
        <f>FMS_Ranking4[[#This Row],[Removed population, ArcSinh (0-10)]]*AR$5*10</f>
        <v>0</v>
      </c>
      <c r="AU758" s="264">
        <f>_xlfn.XLOOKUP(FMS_Ranking4[[#This Row],[FMS ID]],FMS_Input[FMS_ID],FMS_Input[REMCRITFAC100])</f>
        <v>0</v>
      </c>
      <c r="AV758" s="264">
        <f>_xlfn.XLOOKUP(FMS_Ranking4[[#This Row],[FMS ID]],FMS_Input[FMS_ID],FMS_Input[REMLWC100])</f>
        <v>0</v>
      </c>
      <c r="AW758" s="264">
        <f>_xlfn.XLOOKUP(FMS_Ranking4[[#This Row],[FMS ID]],FMS_Input[FMS_ID],FMS_Input[REMROADCLS])</f>
        <v>0</v>
      </c>
      <c r="AX758" s="264">
        <f>_xlfn.XLOOKUP(FMS_Ranking4[[#This Row],[FMS ID]],FMS_Input[FMS_ID],FMS_Input[REMFRMACRE100])</f>
        <v>0</v>
      </c>
      <c r="AY758" s="258">
        <f>_xlfn.XLOOKUP(FMS_Ranking4[[#This Row],[FMS ID]],FMS_Input[FMS_ID],FMS_Input[COSTSTRUCT])</f>
        <v>0</v>
      </c>
      <c r="AZ758" s="258">
        <f>_xlfn.XLOOKUP(FMS_Ranking4[[#This Row],[FMS ID]],FMS_Input[FMS_ID],FMS_Input[NATURE])</f>
        <v>0</v>
      </c>
      <c r="BA758" s="290">
        <f>(((FMS_Ranking4[[#This Row],[% NBS Raw]]/AZ$4)*100)*AZ$5)</f>
        <v>0</v>
      </c>
      <c r="BB758" s="251" t="str">
        <f>_xlfn.XLOOKUP(FMS_Ranking4[[#This Row],[FMS ID]],FMS_Input[FMS_ID],FMS_Input[WATER_SUP])</f>
        <v>No</v>
      </c>
      <c r="BC758" s="265">
        <f>IF(FMS_Ranking4[[#This Row],[Water Supply Raw]]="Yes",10,0)</f>
        <v>0</v>
      </c>
      <c r="BD758" s="251">
        <f>_xlfn.XLOOKUP(FMS_Ranking4[[#This Row],[FMS Type]],FMS_TYPE[FMS_Type],FMS_TYPE[Score])</f>
        <v>8</v>
      </c>
      <c r="BE758" s="267">
        <f>FMS_Ranking4[[#This Row],[FMS_Type Score]]*$BD$5*10</f>
        <v>2</v>
      </c>
      <c r="BF75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3.6996266441235629E-4</v>
      </c>
      <c r="BG758" s="271">
        <f>_xlfn.RANK.EQ(BF758,$BF$8:$BF$870,0)+COUNTIF($BF$8:BF758,BF758)-1</f>
        <v>762</v>
      </c>
      <c r="BH758" s="268">
        <f>(((FMS_Ranking4[[#This Row],[Structures Removed Raw]]/AK$4)*100)*AK$5)+(((FMS_Ranking4[[#This Row],[Removed Pop Raw]]/AR$4)*100)*AR$5)</f>
        <v>0</v>
      </c>
      <c r="BI75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2.0003699626644122</v>
      </c>
      <c r="BJ758" s="325">
        <f>_xlfn.RANK.EQ(FMS_Ranking4[[#This Row],[Total Score 
(with linear
normalization)]],FMS_Ranking4[Total Score 
(with linear
normalization)],0)</f>
        <v>472</v>
      </c>
      <c r="BK758" s="327" t="e">
        <f>_xlfn.XLOOKUP(FMS_Ranking4[[#This Row],[FMS ID]],#REF!,#REF!)</f>
        <v>#REF!</v>
      </c>
      <c r="BL75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4.2637823771102639</v>
      </c>
      <c r="BM758" s="330">
        <f>FMS_Ranking4[[#This Row],[ArcSinh Score Based on Normalized Reported Factors]]+FMS_Ranking4[[#This Row],[% NBS Score (Normalized)]]+(FMS_Ranking4[[#This Row],[Water Supply Score (Normalized)]]*10*$BB$5)+FMS_Ranking4[[#This Row],[FMS_Type Score Weighted]]</f>
        <v>6.2637823771102639</v>
      </c>
      <c r="BN758" s="327">
        <f>_xlfn.RANK.EQ(FMS_Ranking4[[#This Row],[Total Score (with ArcSinh normalization of select criteria)]],FMS_Ranking4[Total Score (with ArcSinh normalization of select criteria)],0)</f>
        <v>751</v>
      </c>
      <c r="BO758" s="270" t="str">
        <f>_xlfn.XLOOKUP(FMS_Ranking4[[#This Row],[FMS ID]],FMS_Input[FMS_ID],FMS_Input[FMS_RANK_YEAR])</f>
        <v>2023 Amended Plan</v>
      </c>
      <c r="BP758" s="204">
        <f>_xlfn.XLOOKUP(FMS_Ranking4[[#This Row],[FMS ID]],Prev_Rank[FMS ID],Prev_Rank[Prev Rank])</f>
        <v>681</v>
      </c>
      <c r="BQ758" s="334" t="e">
        <f>_xlfn.XLOOKUP(FMS_Ranking4[[#This Row],[FMS ID]],#REF!,#REF!)</f>
        <v>#REF!</v>
      </c>
      <c r="BR758" s="199" t="e">
        <f>SUM(#REF!,#REF!,#REF!,#REF!,#REF!,#REF!,#REF!,#REF!,#REF!,FMS_Ranking4[[#This Row],[ArcSinh Res struct removed 0-10]],#REF!)</f>
        <v>#REF!</v>
      </c>
      <c r="BS758" s="199" t="e">
        <f>FMS_Ranking4[[#This Row],[Log Score Based on Normalized Reported Factors]]+FMS_Ranking4[[#This Row],[% NBS Score (Normalized)]]+(FMS_Ranking4[[#This Row],[Water Supply Score (Normalized)]]*10*$BB$5)+(FMS_Ranking4[[#This Row],[FMS_Type Score Weighted]])</f>
        <v>#REF!</v>
      </c>
      <c r="BT758" s="200" t="e">
        <f>_xlfn.RANK.EQ(FMS_Ranking4[[#This Row],[Log Total Score]],FMS_Ranking4[Log Total Score],0)</f>
        <v>#REF!</v>
      </c>
      <c r="BU758" s="200" t="e">
        <f>_xlfn.XLOOKUP(FMS_Ranking4[[#This Row],[FMS ID]],#REF!,#REF!)</f>
        <v>#REF!</v>
      </c>
      <c r="BV758" s="200">
        <f>FMS_Ranking4[[#This Row],[Region Number]]</f>
        <v>3</v>
      </c>
      <c r="BW758" s="200">
        <f>FMS_Ranking4[[#This Row],[Rank (with ArcSinh normalization of select criteria)]]-FMS_Ranking4[[#This Row],[Rank
(with linear
normalization)]]</f>
        <v>279</v>
      </c>
      <c r="BX758" s="200" t="e">
        <f>FMS_Ranking4[[#This Row],[Log Rank]]-FMS_Ranking4[[#This Row],[Rank
(with linear
normalization)]]</f>
        <v>#REF!</v>
      </c>
      <c r="BY758" s="200" t="str">
        <f>IF(FMS_Ranking4[[#This Row],[FMS Type]]="Flood Measurement and Warning",FMS_Ranking4[[#This Row],[Rank (with ArcSinh normalization of select criteria)]],"")</f>
        <v/>
      </c>
      <c r="BZ758" s="200">
        <f>IF(FMS_Ranking4[[#This Row],[FMS Type]]="Regulatory and Guidance",FMS_Ranking4[[#This Row],[Rank (with ArcSinh normalization of select criteria)]],"")</f>
        <v>751</v>
      </c>
      <c r="CA758" s="200" t="str">
        <f>IF(FMS_Ranking4[[#This Row],[FMS Type]]="Education and Outreach",FMS_Ranking4[[#This Row],[Rank (with ArcSinh normalization of select criteria)]],"")</f>
        <v/>
      </c>
      <c r="CB758" s="200" t="str">
        <f>IF(FMS_Ranking4[[#This Row],[FMS Type]]="Property Acquisition and Structural Elevation",FMS_Ranking4[[#This Row],[Rank (with ArcSinh normalization of select criteria)]],"")</f>
        <v/>
      </c>
      <c r="CC758" s="200" t="str">
        <f>IF(FMS_Ranking4[[#This Row],[FMS Type]]="Infrastructure Projects",FMS_Ranking4[[#This Row],[Rank (with ArcSinh normalization of select criteria)]],"")</f>
        <v/>
      </c>
      <c r="CD758" s="200" t="str">
        <f>IF(FMS_Ranking4[[#This Row],[FMS Type]]="Other",FMS_Ranking4[[#This Row],[Rank (with ArcSinh normalization of select criteria)]],"")</f>
        <v/>
      </c>
    </row>
    <row r="759" spans="2:96" ht="30" x14ac:dyDescent="0.25">
      <c r="B759" s="342" t="s">
        <v>472</v>
      </c>
      <c r="C759" s="287">
        <f>_xlfn.XLOOKUP(FMS_Ranking4[[#This Row],[FMS ID]],FMS_Input[FMS_ID],FMS_Input[RFPG_NUM])</f>
        <v>9</v>
      </c>
      <c r="D759" s="309" t="str">
        <f>_xlfn.XLOOKUP(FMS_Ranking4[[#This Row],[FMS ID]],FMS_Input[FMS_ID],FMS_Input[FMS_NAME])</f>
        <v>City of Westbrook NFIP Application</v>
      </c>
      <c r="E759" s="308" t="str">
        <f>_xlfn.XLOOKUP(FMS_Ranking4[[#This Row],[FMS ID]],FMS_Input[FMS_ID],FMS_Input[SPONSOR])</f>
        <v>00000172</v>
      </c>
      <c r="F759" s="309" t="str">
        <f>_xlfn.XLOOKUP(FMS_Ranking4[[#This Row],[FMS ID]],Sponsor[FMS_ID],Sponsor[SPONSOR NAME])</f>
        <v>Mitchell</v>
      </c>
      <c r="G759" s="309" t="str">
        <f>_xlfn.XLOOKUP(FMS_Ranking4[[#This Row],[FMS ID]],FMS_Input[FMS_ID],FMS_Input[FMS_DESCR])</f>
        <v>Join the NFIP</v>
      </c>
      <c r="H759" s="247" t="str">
        <f>_xlfn.XLOOKUP(FMS_Ranking4[[#This Row],[FMS ID]],FMS_Input[FMS_ID],FMS_Input[FMS_TYPE])</f>
        <v>Other</v>
      </c>
      <c r="I759" s="288">
        <f>_xlfn.XLOOKUP(FMS_Ranking4[[#This Row],[FMS ID]],FMS_Input[FMS_ID],FMS_Input[NRNC_COST])</f>
        <v>5000</v>
      </c>
      <c r="J759" s="250">
        <f>_xlfn.XLOOKUP(FMS_Ranking4[[#This Row],[FMS ID]],FMS_Input[FMS_ID],FMS_Input[FMS_COST])</f>
        <v>30000</v>
      </c>
      <c r="K759" s="289" t="str">
        <f>_xlfn.XLOOKUP(FMS_Ranking4[[#This Row],[FMS ID]],FMS_Input[FMS_ID],FMS_Input[EMER_NEED])</f>
        <v>No</v>
      </c>
      <c r="L759" s="252">
        <f t="shared" si="11"/>
        <v>0</v>
      </c>
      <c r="M759" s="253">
        <f>_xlfn.XLOOKUP(FMS_Ranking4[[#This Row],[FMS ID]],FMS_Input[FMS_ID],FMS_Input[STRUCT_100])</f>
        <v>2</v>
      </c>
      <c r="N759" s="255">
        <f>(ASINH(FMS_Ranking4[[#This Row],[Structure at Risk Raw]]))*(10)/(ASINH(M$4))</f>
        <v>1.134912431502926</v>
      </c>
      <c r="O759" s="255">
        <f>FMS_Ranking4[[#This Row],[Structures at risk, ArcSinh (0-10)]]*M$5*10</f>
        <v>1.134912431502926</v>
      </c>
      <c r="P759" s="259">
        <f>_xlfn.XLOOKUP(FMS_Ranking4[[#This Row],[FMS ID]],FMS_Input[FMS_ID],FMS_Input[RES_STRUCT100])</f>
        <v>2</v>
      </c>
      <c r="Q759" s="257">
        <f>ASINH(FMS_Ranking4[[#This Row],[Res Structure Raw]])/Q$4*P$5*100</f>
        <v>0</v>
      </c>
      <c r="R759" s="259">
        <f>_xlfn.XLOOKUP(FMS_Ranking4[[#This Row],[FMS ID]],FMS_Input[FMS_ID],FMS_Input[POP100])</f>
        <v>5</v>
      </c>
      <c r="S759" s="259">
        <f>(ASINH(FMS_Ranking4[[#This Row],[Pop at Risk Raw]]))*(10)/(ASINH(R$4))</f>
        <v>1.596410812356909</v>
      </c>
      <c r="T759" s="257">
        <f>FMS_Ranking4[[#This Row],[Population at risk, ArcSinh (0-10)]]*R$5*10</f>
        <v>1.596410812356909</v>
      </c>
      <c r="U759" s="259">
        <f>_xlfn.XLOOKUP(FMS_Ranking4[[#This Row],[FMS ID]],FMS_Input[FMS_ID],FMS_Input[CRITFAC100])</f>
        <v>0</v>
      </c>
      <c r="V759" s="259">
        <f>(ASINH(FMS_Ranking4[[#This Row],[Critical Facilities Raw]]))*(10)/(ASINH(U$4))</f>
        <v>0</v>
      </c>
      <c r="W759" s="257">
        <f>FMS_Ranking4[[#This Row],[Critical facilities at risk, ArcSinh (0-10)]]*U$5*10</f>
        <v>0</v>
      </c>
      <c r="X759" s="259">
        <f>_xlfn.XLOOKUP(FMS_Ranking4[[#This Row],[FMS ID]],FMS_Input[FMS_ID],FMS_Input[LWC])</f>
        <v>0</v>
      </c>
      <c r="Y759" s="259">
        <f>(ASINH(FMS_Ranking4[[#This Row],[LWC Raw]]))*(10)/(ASINH(X$4))</f>
        <v>0</v>
      </c>
      <c r="Z759" s="257">
        <f>FMS_Ranking4[[#This Row],[LWC, ArcSInh (0-10)]]*X$5*10</f>
        <v>0</v>
      </c>
      <c r="AA759" s="259">
        <f>_xlfn.XLOOKUP(FMS_Ranking4[[#This Row],[FMS ID]],FMS_Input[FMS_ID],FMS_Input[ROADCLS])</f>
        <v>0</v>
      </c>
      <c r="AB759" s="255">
        <f>(ASINH(FMS_Ranking4[[#This Row],[Road Closures Raw]]))*(10)/(ASINH(AA$4))</f>
        <v>0</v>
      </c>
      <c r="AC759" s="255">
        <f>FMS_Ranking4[[#This Row],[Road closures, ArcSinh (0-10)]]*AA$5*10</f>
        <v>0</v>
      </c>
      <c r="AD759" s="259">
        <f>_xlfn.XLOOKUP(FMS_Ranking4[[#This Row],[FMS ID]],FMS_Input[FMS_ID],FMS_Input[ROAD_MILES100])</f>
        <v>1</v>
      </c>
      <c r="AE759" s="259">
        <f>(ASINH(FMS_Ranking4[[#This Row],[Road Miles Raw]]))*(10)/(ASINH(AD$4))</f>
        <v>0.9393017565219649</v>
      </c>
      <c r="AF759" s="257">
        <f>FMS_Ranking4[[#This Row],[Length of roads at risk, ArcSinh (0-10)]]*AD$5*10</f>
        <v>0.93930175652196501</v>
      </c>
      <c r="AG759" s="259">
        <f>_xlfn.XLOOKUP(FMS_Ranking4[[#This Row],[FMS ID]],FMS_Input[FMS_ID],FMS_Input[FARMACRE100])</f>
        <v>0.50498467683792114</v>
      </c>
      <c r="AH759" s="255">
        <f>(ASINH(FMS_Ranking4[[#This Row],[Ag Land Raw]]))*(10)/(ASINH(AG$4))</f>
        <v>0.31547950716311768</v>
      </c>
      <c r="AI759" s="254">
        <f>FMS_Ranking4[[#This Row],[Farm &amp; ranch land, ArcSinh (0-10)]]*AG$5*10</f>
        <v>0.15773975358155887</v>
      </c>
      <c r="AJ759" s="258">
        <f>_xlfn.XLOOKUP(FMS_Ranking4[[#This Row],[FMS ID]],FMS_Input[FMS_ID],FMS_Input[REDSTRUCT100])</f>
        <v>1</v>
      </c>
      <c r="AK759" s="253">
        <f>_xlfn.XLOOKUP(FMS_Ranking4[[#This Row],[FMS ID]],FMS_Input[FMS_ID],FMS_Input[REMSTRC100])</f>
        <v>1</v>
      </c>
      <c r="AL759" s="259">
        <f>(ASINH(FMS_Ranking4[[#This Row],[Structures Removed Raw]]))*(10)/(ASINH(AK$4))</f>
        <v>1.0035067418235621</v>
      </c>
      <c r="AM759" s="254">
        <f>FMS_Ranking4[[#This Row],[Structures removed, ArcSinh (0-10)]]*AK$5*10</f>
        <v>1.0035067418235621</v>
      </c>
      <c r="AN759" s="253">
        <f>_xlfn.XLOOKUP(FMS_Ranking4[[#This Row],[FMS ID]],FMS_Input[FMS_ID],FMS_Input[REMRESSTRC100])</f>
        <v>0</v>
      </c>
      <c r="AO759" s="258">
        <f>FMS_Ranking4[[#This Row],[ArcSinh Res struct removed 0-10]]*AN$5*10</f>
        <v>0</v>
      </c>
      <c r="AP759" s="254">
        <f>ASINH(FMS_Ranking4[[#This Row],[Residential Structures Removed Raw]])/AP$4*AN$5*100</f>
        <v>0</v>
      </c>
      <c r="AQ759" s="260">
        <f>(ASINH(FMS_Ranking4[[#This Row],[Residential Structures Removed Raw]]))*(10)/(ASINH(AN$4))</f>
        <v>0</v>
      </c>
      <c r="AR759" s="253">
        <f>_xlfn.XLOOKUP(FMS_Ranking4[[#This Row],[FMS ID]],FMS_Input[FMS_ID],FMS_Input[REMPOP100])</f>
        <v>1</v>
      </c>
      <c r="AS759" s="259">
        <f>(ASINH(FMS_Ranking4[[#This Row],[Removed Pop Raw]]))*(10)/(ASINH(AR$4))</f>
        <v>0.86517433076217742</v>
      </c>
      <c r="AT759" s="263">
        <f>FMS_Ranking4[[#This Row],[Removed population, ArcSinh (0-10)]]*AR$5*10</f>
        <v>0.86517433076217742</v>
      </c>
      <c r="AU759" s="264">
        <f>_xlfn.XLOOKUP(FMS_Ranking4[[#This Row],[FMS ID]],FMS_Input[FMS_ID],FMS_Input[REMCRITFAC100])</f>
        <v>0</v>
      </c>
      <c r="AV759" s="264">
        <f>_xlfn.XLOOKUP(FMS_Ranking4[[#This Row],[FMS ID]],FMS_Input[FMS_ID],FMS_Input[REMLWC100])</f>
        <v>0</v>
      </c>
      <c r="AW759" s="264">
        <f>_xlfn.XLOOKUP(FMS_Ranking4[[#This Row],[FMS ID]],FMS_Input[FMS_ID],FMS_Input[REMROADCLS])</f>
        <v>0</v>
      </c>
      <c r="AX759" s="264">
        <f>_xlfn.XLOOKUP(FMS_Ranking4[[#This Row],[FMS ID]],FMS_Input[FMS_ID],FMS_Input[REMFRMACRE100])</f>
        <v>0.12624616920948031</v>
      </c>
      <c r="AY759" s="258">
        <f>_xlfn.XLOOKUP(FMS_Ranking4[[#This Row],[FMS ID]],FMS_Input[FMS_ID],FMS_Input[COSTSTRUCT])</f>
        <v>25000</v>
      </c>
      <c r="AZ759" s="258">
        <f>_xlfn.XLOOKUP(FMS_Ranking4[[#This Row],[FMS ID]],FMS_Input[FMS_ID],FMS_Input[NATURE])</f>
        <v>0</v>
      </c>
      <c r="BA759" s="290">
        <f>(((FMS_Ranking4[[#This Row],[% NBS Raw]]/AZ$4)*100)*AZ$5)</f>
        <v>0</v>
      </c>
      <c r="BB759" s="251" t="str">
        <f>_xlfn.XLOOKUP(FMS_Ranking4[[#This Row],[FMS ID]],FMS_Input[FMS_ID],FMS_Input[WATER_SUP])</f>
        <v>No</v>
      </c>
      <c r="BC759" s="265">
        <f>IF(FMS_Ranking4[[#This Row],[Water Supply Raw]]="Yes",10,0)</f>
        <v>0</v>
      </c>
      <c r="BD759" s="251">
        <f>_xlfn.XLOOKUP(FMS_Ranking4[[#This Row],[FMS Type]],FMS_TYPE[FMS_Type],FMS_TYPE[Score])</f>
        <v>2</v>
      </c>
      <c r="BE759" s="267">
        <f>FMS_Ranking4[[#This Row],[FMS_Type Score]]*$BD$5*10</f>
        <v>0.5</v>
      </c>
      <c r="BF759"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1.8541950339712799E-3</v>
      </c>
      <c r="BG759" s="271">
        <f>_xlfn.RANK.EQ(BF759,$BF$8:$BF$870,0)+COUNTIF($BF$8:BF759,BF759)-1</f>
        <v>728</v>
      </c>
      <c r="BH759" s="268">
        <f>(((FMS_Ranking4[[#This Row],[Structures Removed Raw]]/AK$4)*100)*AK$5)+(((FMS_Ranking4[[#This Row],[Removed Pop Raw]]/AR$4)*100)*AR$5)</f>
        <v>3.8194993546542305E-3</v>
      </c>
      <c r="BI75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0.50567369438862553</v>
      </c>
      <c r="BJ759" s="325">
        <f>_xlfn.RANK.EQ(FMS_Ranking4[[#This Row],[Total Score 
(with linear
normalization)]],FMS_Ranking4[Total Score 
(with linear
normalization)],0)</f>
        <v>850</v>
      </c>
      <c r="BK759" s="327" t="e">
        <f>_xlfn.XLOOKUP(FMS_Ranking4[[#This Row],[FMS ID]],#REF!,#REF!)</f>
        <v>#REF!</v>
      </c>
      <c r="BL759"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5.6970458265490986</v>
      </c>
      <c r="BM759" s="330">
        <f>FMS_Ranking4[[#This Row],[ArcSinh Score Based on Normalized Reported Factors]]+FMS_Ranking4[[#This Row],[% NBS Score (Normalized)]]+(FMS_Ranking4[[#This Row],[Water Supply Score (Normalized)]]*10*$BB$5)+FMS_Ranking4[[#This Row],[FMS_Type Score Weighted]]</f>
        <v>6.1970458265490986</v>
      </c>
      <c r="BN759" s="327">
        <f>_xlfn.RANK.EQ(FMS_Ranking4[[#This Row],[Total Score (with ArcSinh normalization of select criteria)]],FMS_Ranking4[Total Score (with ArcSinh normalization of select criteria)],0)</f>
        <v>752</v>
      </c>
      <c r="BO759" s="270" t="str">
        <f>_xlfn.XLOOKUP(FMS_Ranking4[[#This Row],[FMS ID]],FMS_Input[FMS_ID],FMS_Input[FMS_RANK_YEAR])</f>
        <v>2023 Amended Plan</v>
      </c>
      <c r="BP759" s="204">
        <f>_xlfn.XLOOKUP(FMS_Ranking4[[#This Row],[FMS ID]],Prev_Rank[FMS ID],Prev_Rank[Prev Rank])</f>
        <v>683</v>
      </c>
      <c r="BQ759" s="334" t="e">
        <f>_xlfn.XLOOKUP(FMS_Ranking4[[#This Row],[FMS ID]],#REF!,#REF!)</f>
        <v>#REF!</v>
      </c>
      <c r="BR759" s="199" t="e">
        <f>SUM(#REF!,#REF!,#REF!,#REF!,#REF!,#REF!,#REF!,#REF!,#REF!,FMS_Ranking4[[#This Row],[ArcSinh Res struct removed 0-10]],#REF!)</f>
        <v>#REF!</v>
      </c>
      <c r="BS759" s="199" t="e">
        <f>FMS_Ranking4[[#This Row],[Log Score Based on Normalized Reported Factors]]+FMS_Ranking4[[#This Row],[% NBS Score (Normalized)]]+(FMS_Ranking4[[#This Row],[Water Supply Score (Normalized)]]*10*$BB$5)+(FMS_Ranking4[[#This Row],[FMS_Type Score Weighted]])</f>
        <v>#REF!</v>
      </c>
      <c r="BT759" s="200" t="e">
        <f>_xlfn.RANK.EQ(FMS_Ranking4[[#This Row],[Log Total Score]],FMS_Ranking4[Log Total Score],0)</f>
        <v>#REF!</v>
      </c>
      <c r="BU759" s="200" t="e">
        <f>_xlfn.XLOOKUP(FMS_Ranking4[[#This Row],[FMS ID]],#REF!,#REF!)</f>
        <v>#REF!</v>
      </c>
      <c r="BV759" s="200">
        <f>FMS_Ranking4[[#This Row],[Region Number]]</f>
        <v>9</v>
      </c>
      <c r="BW759" s="200">
        <f>FMS_Ranking4[[#This Row],[Rank (with ArcSinh normalization of select criteria)]]-FMS_Ranking4[[#This Row],[Rank
(with linear
normalization)]]</f>
        <v>-98</v>
      </c>
      <c r="BX759" s="200" t="e">
        <f>FMS_Ranking4[[#This Row],[Log Rank]]-FMS_Ranking4[[#This Row],[Rank
(with linear
normalization)]]</f>
        <v>#REF!</v>
      </c>
      <c r="BY759" s="200" t="str">
        <f>IF(FMS_Ranking4[[#This Row],[FMS Type]]="Flood Measurement and Warning",FMS_Ranking4[[#This Row],[Rank (with ArcSinh normalization of select criteria)]],"")</f>
        <v/>
      </c>
      <c r="BZ759" s="200" t="str">
        <f>IF(FMS_Ranking4[[#This Row],[FMS Type]]="Regulatory and Guidance",FMS_Ranking4[[#This Row],[Rank (with ArcSinh normalization of select criteria)]],"")</f>
        <v/>
      </c>
      <c r="CA759" s="200" t="str">
        <f>IF(FMS_Ranking4[[#This Row],[FMS Type]]="Education and Outreach",FMS_Ranking4[[#This Row],[Rank (with ArcSinh normalization of select criteria)]],"")</f>
        <v/>
      </c>
      <c r="CB759" s="200" t="str">
        <f>IF(FMS_Ranking4[[#This Row],[FMS Type]]="Property Acquisition and Structural Elevation",FMS_Ranking4[[#This Row],[Rank (with ArcSinh normalization of select criteria)]],"")</f>
        <v/>
      </c>
      <c r="CC759" s="200" t="str">
        <f>IF(FMS_Ranking4[[#This Row],[FMS Type]]="Infrastructure Projects",FMS_Ranking4[[#This Row],[Rank (with ArcSinh normalization of select criteria)]],"")</f>
        <v/>
      </c>
      <c r="CD759" s="200">
        <f>IF(FMS_Ranking4[[#This Row],[FMS Type]]="Other",FMS_Ranking4[[#This Row],[Rank (with ArcSinh normalization of select criteria)]],"")</f>
        <v>752</v>
      </c>
    </row>
    <row r="760" spans="2:96" ht="45" x14ac:dyDescent="0.25">
      <c r="B760" s="342" t="s">
        <v>2373</v>
      </c>
      <c r="C760" s="287">
        <f>_xlfn.XLOOKUP(FMS_Ranking4[[#This Row],[FMS ID]],FMS_Input[FMS_ID],FMS_Input[RFPG_NUM])</f>
        <v>3</v>
      </c>
      <c r="D760" s="309" t="str">
        <f>_xlfn.XLOOKUP(FMS_Ranking4[[#This Row],[FMS ID]],FMS_Input[FMS_ID],FMS_Input[FMS_NAME])</f>
        <v>City of Iola NFIP Floodplain Ordinance</v>
      </c>
      <c r="E760" s="308" t="str">
        <f>_xlfn.XLOOKUP(FMS_Ranking4[[#This Row],[FMS ID]],FMS_Input[FMS_ID],FMS_Input[SPONSOR])</f>
        <v>Iola</v>
      </c>
      <c r="F760" s="309" t="str">
        <f>_xlfn.XLOOKUP(FMS_Ranking4[[#This Row],[FMS ID]],Sponsor[FMS_ID],Sponsor[SPONSOR NAME])</f>
        <v>Iola</v>
      </c>
      <c r="G760" s="309" t="str">
        <f>_xlfn.XLOOKUP(FMS_Ranking4[[#This Row],[FMS ID]],FMS_Input[FMS_ID],FMS_Input[FMS_DESCR])</f>
        <v>Develop a floodplain ordinance that meets or exceeds FEMA's minimum standards</v>
      </c>
      <c r="H760" s="247" t="str">
        <f>_xlfn.XLOOKUP(FMS_Ranking4[[#This Row],[FMS ID]],FMS_Input[FMS_ID],FMS_Input[FMS_TYPE])</f>
        <v>Regulatory and Guidance</v>
      </c>
      <c r="I760" s="288">
        <f>_xlfn.XLOOKUP(FMS_Ranking4[[#This Row],[FMS ID]],FMS_Input[FMS_ID],FMS_Input[NRNC_COST])</f>
        <v>100000</v>
      </c>
      <c r="J760" s="250">
        <f>_xlfn.XLOOKUP(FMS_Ranking4[[#This Row],[FMS ID]],FMS_Input[FMS_ID],FMS_Input[FMS_COST])</f>
        <v>100000</v>
      </c>
      <c r="K760" s="289" t="str">
        <f>_xlfn.XLOOKUP(FMS_Ranking4[[#This Row],[FMS ID]],FMS_Input[FMS_ID],FMS_Input[EMER_NEED])</f>
        <v>No</v>
      </c>
      <c r="L760" s="252">
        <f t="shared" si="11"/>
        <v>0</v>
      </c>
      <c r="M760" s="253">
        <f>_xlfn.XLOOKUP(FMS_Ranking4[[#This Row],[FMS ID]],FMS_Input[FMS_ID],FMS_Input[STRUCT_100])</f>
        <v>6</v>
      </c>
      <c r="N760" s="255">
        <f>(ASINH(FMS_Ranking4[[#This Row],[Structure at Risk Raw]]))*(10)/(ASINH(M$4))</f>
        <v>1.9589099741296994</v>
      </c>
      <c r="O760" s="255">
        <f>FMS_Ranking4[[#This Row],[Structures at risk, ArcSinh (0-10)]]*M$5*10</f>
        <v>1.9589099741296994</v>
      </c>
      <c r="P760" s="259">
        <f>_xlfn.XLOOKUP(FMS_Ranking4[[#This Row],[FMS ID]],FMS_Input[FMS_ID],FMS_Input[RES_STRUCT100])</f>
        <v>4</v>
      </c>
      <c r="Q760" s="257">
        <f>ASINH(FMS_Ranking4[[#This Row],[Res Structure Raw]])/Q$4*P$5*100</f>
        <v>0</v>
      </c>
      <c r="R760" s="259">
        <f>_xlfn.XLOOKUP(FMS_Ranking4[[#This Row],[FMS ID]],FMS_Input[FMS_ID],FMS_Input[POP100])</f>
        <v>2</v>
      </c>
      <c r="S760" s="259">
        <f>(ASINH(FMS_Ranking4[[#This Row],[Pop at Risk Raw]]))*(10)/(ASINH(R$4))</f>
        <v>0.9966256139867492</v>
      </c>
      <c r="T760" s="257">
        <f>FMS_Ranking4[[#This Row],[Population at risk, ArcSinh (0-10)]]*R$5*10</f>
        <v>0.9966256139867492</v>
      </c>
      <c r="U760" s="259">
        <f>_xlfn.XLOOKUP(FMS_Ranking4[[#This Row],[FMS ID]],FMS_Input[FMS_ID],FMS_Input[CRITFAC100])</f>
        <v>0</v>
      </c>
      <c r="V760" s="259">
        <f>(ASINH(FMS_Ranking4[[#This Row],[Critical Facilities Raw]]))*(10)/(ASINH(U$4))</f>
        <v>0</v>
      </c>
      <c r="W760" s="257">
        <f>FMS_Ranking4[[#This Row],[Critical facilities at risk, ArcSinh (0-10)]]*U$5*10</f>
        <v>0</v>
      </c>
      <c r="X760" s="259">
        <f>_xlfn.XLOOKUP(FMS_Ranking4[[#This Row],[FMS ID]],FMS_Input[FMS_ID],FMS_Input[LWC])</f>
        <v>0</v>
      </c>
      <c r="Y760" s="259">
        <f>(ASINH(FMS_Ranking4[[#This Row],[LWC Raw]]))*(10)/(ASINH(X$4))</f>
        <v>0</v>
      </c>
      <c r="Z760" s="257">
        <f>FMS_Ranking4[[#This Row],[LWC, ArcSInh (0-10)]]*X$5*10</f>
        <v>0</v>
      </c>
      <c r="AA760" s="259">
        <f>_xlfn.XLOOKUP(FMS_Ranking4[[#This Row],[FMS ID]],FMS_Input[FMS_ID],FMS_Input[ROADCLS])</f>
        <v>0</v>
      </c>
      <c r="AB760" s="255">
        <f>(ASINH(FMS_Ranking4[[#This Row],[Road Closures Raw]]))*(10)/(ASINH(AA$4))</f>
        <v>0</v>
      </c>
      <c r="AC760" s="255">
        <f>FMS_Ranking4[[#This Row],[Road closures, ArcSinh (0-10)]]*AA$5*10</f>
        <v>0</v>
      </c>
      <c r="AD760" s="259">
        <f>_xlfn.XLOOKUP(FMS_Ranking4[[#This Row],[FMS ID]],FMS_Input[FMS_ID],FMS_Input[ROAD_MILES100])</f>
        <v>0</v>
      </c>
      <c r="AE760" s="259">
        <f>(ASINH(FMS_Ranking4[[#This Row],[Road Miles Raw]]))*(10)/(ASINH(AD$4))</f>
        <v>0</v>
      </c>
      <c r="AF760" s="257">
        <f>FMS_Ranking4[[#This Row],[Length of roads at risk, ArcSinh (0-10)]]*AD$5*10</f>
        <v>0</v>
      </c>
      <c r="AG760" s="259">
        <f>_xlfn.XLOOKUP(FMS_Ranking4[[#This Row],[FMS ID]],FMS_Input[FMS_ID],FMS_Input[FARMACRE100])</f>
        <v>21.034599304199219</v>
      </c>
      <c r="AH760" s="255">
        <f>(ASINH(FMS_Ranking4[[#This Row],[Ag Land Raw]]))*(10)/(ASINH(AG$4))</f>
        <v>2.4293570053922893</v>
      </c>
      <c r="AI760" s="254">
        <f>FMS_Ranking4[[#This Row],[Farm &amp; ranch land, ArcSinh (0-10)]]*AG$5*10</f>
        <v>1.2146785026961446</v>
      </c>
      <c r="AJ760" s="258">
        <f>_xlfn.XLOOKUP(FMS_Ranking4[[#This Row],[FMS ID]],FMS_Input[FMS_ID],FMS_Input[REDSTRUCT100])</f>
        <v>0</v>
      </c>
      <c r="AK760" s="253">
        <f>_xlfn.XLOOKUP(FMS_Ranking4[[#This Row],[FMS ID]],FMS_Input[FMS_ID],FMS_Input[REMSTRC100])</f>
        <v>0</v>
      </c>
      <c r="AL760" s="259">
        <f>(ASINH(FMS_Ranking4[[#This Row],[Structures Removed Raw]]))*(10)/(ASINH(AK$4))</f>
        <v>0</v>
      </c>
      <c r="AM760" s="254">
        <f>FMS_Ranking4[[#This Row],[Structures removed, ArcSinh (0-10)]]*AK$5*10</f>
        <v>0</v>
      </c>
      <c r="AN760" s="253">
        <f>_xlfn.XLOOKUP(FMS_Ranking4[[#This Row],[FMS ID]],FMS_Input[FMS_ID],FMS_Input[REMRESSTRC100])</f>
        <v>0</v>
      </c>
      <c r="AO760" s="258">
        <f>FMS_Ranking4[[#This Row],[ArcSinh Res struct removed 0-10]]*AN$5*10</f>
        <v>0</v>
      </c>
      <c r="AP760" s="254">
        <f>ASINH(FMS_Ranking4[[#This Row],[Residential Structures Removed Raw]])/AP$4*AN$5*100</f>
        <v>0</v>
      </c>
      <c r="AQ760" s="260">
        <f>(ASINH(FMS_Ranking4[[#This Row],[Residential Structures Removed Raw]]))*(10)/(ASINH(AN$4))</f>
        <v>0</v>
      </c>
      <c r="AR760" s="253">
        <f>_xlfn.XLOOKUP(FMS_Ranking4[[#This Row],[FMS ID]],FMS_Input[FMS_ID],FMS_Input[REMPOP100])</f>
        <v>0</v>
      </c>
      <c r="AS760" s="259">
        <f>(ASINH(FMS_Ranking4[[#This Row],[Removed Pop Raw]]))*(10)/(ASINH(AR$4))</f>
        <v>0</v>
      </c>
      <c r="AT760" s="263">
        <f>FMS_Ranking4[[#This Row],[Removed population, ArcSinh (0-10)]]*AR$5*10</f>
        <v>0</v>
      </c>
      <c r="AU760" s="264">
        <f>_xlfn.XLOOKUP(FMS_Ranking4[[#This Row],[FMS ID]],FMS_Input[FMS_ID],FMS_Input[REMCRITFAC100])</f>
        <v>0</v>
      </c>
      <c r="AV760" s="264">
        <f>_xlfn.XLOOKUP(FMS_Ranking4[[#This Row],[FMS ID]],FMS_Input[FMS_ID],FMS_Input[REMLWC100])</f>
        <v>0</v>
      </c>
      <c r="AW760" s="264">
        <f>_xlfn.XLOOKUP(FMS_Ranking4[[#This Row],[FMS ID]],FMS_Input[FMS_ID],FMS_Input[REMROADCLS])</f>
        <v>0</v>
      </c>
      <c r="AX760" s="264">
        <f>_xlfn.XLOOKUP(FMS_Ranking4[[#This Row],[FMS ID]],FMS_Input[FMS_ID],FMS_Input[REMFRMACRE100])</f>
        <v>0</v>
      </c>
      <c r="AY760" s="258">
        <f>_xlfn.XLOOKUP(FMS_Ranking4[[#This Row],[FMS ID]],FMS_Input[FMS_ID],FMS_Input[COSTSTRUCT])</f>
        <v>0</v>
      </c>
      <c r="AZ760" s="258">
        <f>_xlfn.XLOOKUP(FMS_Ranking4[[#This Row],[FMS ID]],FMS_Input[FMS_ID],FMS_Input[NATURE])</f>
        <v>0</v>
      </c>
      <c r="BA760" s="290">
        <f>(((FMS_Ranking4[[#This Row],[% NBS Raw]]/AZ$4)*100)*AZ$5)</f>
        <v>0</v>
      </c>
      <c r="BB760" s="251" t="str">
        <f>_xlfn.XLOOKUP(FMS_Ranking4[[#This Row],[FMS ID]],FMS_Input[FMS_ID],FMS_Input[WATER_SUP])</f>
        <v>No</v>
      </c>
      <c r="BC760" s="265">
        <f>IF(FMS_Ranking4[[#This Row],[Water Supply Raw]]="Yes",10,0)</f>
        <v>0</v>
      </c>
      <c r="BD760" s="251">
        <f>_xlfn.XLOOKUP(FMS_Ranking4[[#This Row],[FMS Type]],FMS_TYPE[FMS_Type],FMS_TYPE[Score])</f>
        <v>8</v>
      </c>
      <c r="BE760" s="267">
        <f>FMS_Ranking4[[#This Row],[FMS_Type Score]]*$BD$5*10</f>
        <v>2</v>
      </c>
      <c r="BF760"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4.2264282229721961E-4</v>
      </c>
      <c r="BG760" s="271">
        <f>_xlfn.RANK.EQ(BF760,$BF$8:$BF$870,0)+COUNTIF($BF$8:BF760,BF760)-1</f>
        <v>759</v>
      </c>
      <c r="BH760" s="268">
        <f>(((FMS_Ranking4[[#This Row],[Structures Removed Raw]]/AK$4)*100)*AK$5)+(((FMS_Ranking4[[#This Row],[Removed Pop Raw]]/AR$4)*100)*AR$5)</f>
        <v>0</v>
      </c>
      <c r="BI76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2.0004226428222971</v>
      </c>
      <c r="BJ760" s="325">
        <f>_xlfn.RANK.EQ(FMS_Ranking4[[#This Row],[Total Score 
(with linear
normalization)]],FMS_Ranking4[Total Score 
(with linear
normalization)],0)</f>
        <v>470</v>
      </c>
      <c r="BK760" s="327" t="e">
        <f>_xlfn.XLOOKUP(FMS_Ranking4[[#This Row],[FMS ID]],#REF!,#REF!)</f>
        <v>#REF!</v>
      </c>
      <c r="BL760"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4.1702140908125935</v>
      </c>
      <c r="BM760" s="330">
        <f>FMS_Ranking4[[#This Row],[ArcSinh Score Based on Normalized Reported Factors]]+FMS_Ranking4[[#This Row],[% NBS Score (Normalized)]]+(FMS_Ranking4[[#This Row],[Water Supply Score (Normalized)]]*10*$BB$5)+FMS_Ranking4[[#This Row],[FMS_Type Score Weighted]]</f>
        <v>6.1702140908125935</v>
      </c>
      <c r="BN760" s="327">
        <f>_xlfn.RANK.EQ(FMS_Ranking4[[#This Row],[Total Score (with ArcSinh normalization of select criteria)]],FMS_Ranking4[Total Score (with ArcSinh normalization of select criteria)],0)</f>
        <v>753</v>
      </c>
      <c r="BO760" s="270" t="str">
        <f>_xlfn.XLOOKUP(FMS_Ranking4[[#This Row],[FMS ID]],FMS_Input[FMS_ID],FMS_Input[FMS_RANK_YEAR])</f>
        <v>2023 Amended Plan</v>
      </c>
      <c r="BP760" s="204">
        <f>_xlfn.XLOOKUP(FMS_Ranking4[[#This Row],[FMS ID]],Prev_Rank[FMS ID],Prev_Rank[Prev Rank])</f>
        <v>682</v>
      </c>
      <c r="BQ760" s="334" t="e">
        <f>_xlfn.XLOOKUP(FMS_Ranking4[[#This Row],[FMS ID]],#REF!,#REF!)</f>
        <v>#REF!</v>
      </c>
      <c r="BR760" s="199" t="e">
        <f>SUM(#REF!,#REF!,#REF!,#REF!,#REF!,#REF!,#REF!,#REF!,#REF!,FMS_Ranking4[[#This Row],[ArcSinh Res struct removed 0-10]],#REF!)</f>
        <v>#REF!</v>
      </c>
      <c r="BS760" s="199" t="e">
        <f>FMS_Ranking4[[#This Row],[Log Score Based on Normalized Reported Factors]]+FMS_Ranking4[[#This Row],[% NBS Score (Normalized)]]+(FMS_Ranking4[[#This Row],[Water Supply Score (Normalized)]]*10*$BB$5)+(FMS_Ranking4[[#This Row],[FMS_Type Score Weighted]])</f>
        <v>#REF!</v>
      </c>
      <c r="BT760" s="200" t="e">
        <f>_xlfn.RANK.EQ(FMS_Ranking4[[#This Row],[Log Total Score]],FMS_Ranking4[Log Total Score],0)</f>
        <v>#REF!</v>
      </c>
      <c r="BU760" s="200" t="e">
        <f>_xlfn.XLOOKUP(FMS_Ranking4[[#This Row],[FMS ID]],#REF!,#REF!)</f>
        <v>#REF!</v>
      </c>
      <c r="BV760" s="200">
        <f>FMS_Ranking4[[#This Row],[Region Number]]</f>
        <v>3</v>
      </c>
      <c r="BW760" s="200">
        <f>FMS_Ranking4[[#This Row],[Rank (with ArcSinh normalization of select criteria)]]-FMS_Ranking4[[#This Row],[Rank
(with linear
normalization)]]</f>
        <v>283</v>
      </c>
      <c r="BX760" s="200" t="e">
        <f>FMS_Ranking4[[#This Row],[Log Rank]]-FMS_Ranking4[[#This Row],[Rank
(with linear
normalization)]]</f>
        <v>#REF!</v>
      </c>
      <c r="BY760" s="200" t="str">
        <f>IF(FMS_Ranking4[[#This Row],[FMS Type]]="Flood Measurement and Warning",FMS_Ranking4[[#This Row],[Rank (with ArcSinh normalization of select criteria)]],"")</f>
        <v/>
      </c>
      <c r="BZ760" s="200">
        <f>IF(FMS_Ranking4[[#This Row],[FMS Type]]="Regulatory and Guidance",FMS_Ranking4[[#This Row],[Rank (with ArcSinh normalization of select criteria)]],"")</f>
        <v>753</v>
      </c>
      <c r="CA760" s="200" t="str">
        <f>IF(FMS_Ranking4[[#This Row],[FMS Type]]="Education and Outreach",FMS_Ranking4[[#This Row],[Rank (with ArcSinh normalization of select criteria)]],"")</f>
        <v/>
      </c>
      <c r="CB760" s="200" t="str">
        <f>IF(FMS_Ranking4[[#This Row],[FMS Type]]="Property Acquisition and Structural Elevation",FMS_Ranking4[[#This Row],[Rank (with ArcSinh normalization of select criteria)]],"")</f>
        <v/>
      </c>
      <c r="CC760" s="200" t="str">
        <f>IF(FMS_Ranking4[[#This Row],[FMS Type]]="Infrastructure Projects",FMS_Ranking4[[#This Row],[Rank (with ArcSinh normalization of select criteria)]],"")</f>
        <v/>
      </c>
      <c r="CD760" s="200" t="str">
        <f>IF(FMS_Ranking4[[#This Row],[FMS Type]]="Other",FMS_Ranking4[[#This Row],[Rank (with ArcSinh normalization of select criteria)]],"")</f>
        <v/>
      </c>
    </row>
    <row r="761" spans="2:96" ht="105" x14ac:dyDescent="0.25">
      <c r="B761" s="342" t="s">
        <v>2162</v>
      </c>
      <c r="C761" s="287">
        <f>_xlfn.XLOOKUP(FMS_Ranking4[[#This Row],[FMS ID]],FMS_Input[FMS_ID],FMS_Input[RFPG_NUM])</f>
        <v>3</v>
      </c>
      <c r="D761" s="309" t="str">
        <f>_xlfn.XLOOKUP(FMS_Ranking4[[#This Row],[FMS ID]],FMS_Input[FMS_ID],FMS_Input[FMS_NAME])</f>
        <v>Itasca Zoning Regulations and Land Use Planning Mechanisms</v>
      </c>
      <c r="E761" s="308" t="str">
        <f>_xlfn.XLOOKUP(FMS_Ranking4[[#This Row],[FMS ID]],FMS_Input[FMS_ID],FMS_Input[SPONSOR])</f>
        <v>Itasca</v>
      </c>
      <c r="F761" s="309" t="str">
        <f>_xlfn.XLOOKUP(FMS_Ranking4[[#This Row],[FMS ID]],Sponsor[FMS_ID],Sponsor[SPONSOR NAME])</f>
        <v>Itasca</v>
      </c>
      <c r="G761" s="309" t="str">
        <f>_xlfn.XLOOKUP(FMS_Ranking4[[#This Row],[FMS ID]],FMS_Input[FMS_ID],FMS_Input[FMS_DESCR])</f>
        <v>Establish zoning regulations to prohibit residential construction in flood prone areas. Implement strategic land-use planning mechanisms to ensure flood-resistant development occurs in flood-prone areas</v>
      </c>
      <c r="H761" s="247" t="str">
        <f>_xlfn.XLOOKUP(FMS_Ranking4[[#This Row],[FMS ID]],FMS_Input[FMS_ID],FMS_Input[FMS_TYPE])</f>
        <v>Regulatory and Guidance</v>
      </c>
      <c r="I761" s="288">
        <f>_xlfn.XLOOKUP(FMS_Ranking4[[#This Row],[FMS ID]],FMS_Input[FMS_ID],FMS_Input[NRNC_COST])</f>
        <v>100000</v>
      </c>
      <c r="J761" s="250">
        <f>_xlfn.XLOOKUP(FMS_Ranking4[[#This Row],[FMS ID]],FMS_Input[FMS_ID],FMS_Input[FMS_COST])</f>
        <v>100000</v>
      </c>
      <c r="K761" s="289" t="str">
        <f>_xlfn.XLOOKUP(FMS_Ranking4[[#This Row],[FMS ID]],FMS_Input[FMS_ID],FMS_Input[EMER_NEED])</f>
        <v>No</v>
      </c>
      <c r="L761" s="252">
        <f t="shared" si="11"/>
        <v>0</v>
      </c>
      <c r="M761" s="253">
        <f>_xlfn.XLOOKUP(FMS_Ranking4[[#This Row],[FMS ID]],FMS_Input[FMS_ID],FMS_Input[STRUCT_100])</f>
        <v>4</v>
      </c>
      <c r="N761" s="255">
        <f>(ASINH(FMS_Ranking4[[#This Row],[Structure at Risk Raw]]))*(10)/(ASINH(M$4))</f>
        <v>1.6467559513369034</v>
      </c>
      <c r="O761" s="255">
        <f>FMS_Ranking4[[#This Row],[Structures at risk, ArcSinh (0-10)]]*M$5*10</f>
        <v>1.6467559513369034</v>
      </c>
      <c r="P761" s="259">
        <f>_xlfn.XLOOKUP(FMS_Ranking4[[#This Row],[FMS ID]],FMS_Input[FMS_ID],FMS_Input[RES_STRUCT100])</f>
        <v>0</v>
      </c>
      <c r="Q761" s="257">
        <f>ASINH(FMS_Ranking4[[#This Row],[Res Structure Raw]])/Q$4*P$5*100</f>
        <v>0</v>
      </c>
      <c r="R761" s="259">
        <f>_xlfn.XLOOKUP(FMS_Ranking4[[#This Row],[FMS ID]],FMS_Input[FMS_ID],FMS_Input[POP100])</f>
        <v>2</v>
      </c>
      <c r="S761" s="259">
        <f>(ASINH(FMS_Ranking4[[#This Row],[Pop at Risk Raw]]))*(10)/(ASINH(R$4))</f>
        <v>0.9966256139867492</v>
      </c>
      <c r="T761" s="257">
        <f>FMS_Ranking4[[#This Row],[Population at risk, ArcSinh (0-10)]]*R$5*10</f>
        <v>0.9966256139867492</v>
      </c>
      <c r="U761" s="259">
        <f>_xlfn.XLOOKUP(FMS_Ranking4[[#This Row],[FMS ID]],FMS_Input[FMS_ID],FMS_Input[CRITFAC100])</f>
        <v>0</v>
      </c>
      <c r="V761" s="259">
        <f>(ASINH(FMS_Ranking4[[#This Row],[Critical Facilities Raw]]))*(10)/(ASINH(U$4))</f>
        <v>0</v>
      </c>
      <c r="W761" s="257">
        <f>FMS_Ranking4[[#This Row],[Critical facilities at risk, ArcSinh (0-10)]]*U$5*10</f>
        <v>0</v>
      </c>
      <c r="X761" s="259">
        <f>_xlfn.XLOOKUP(FMS_Ranking4[[#This Row],[FMS ID]],FMS_Input[FMS_ID],FMS_Input[LWC])</f>
        <v>0</v>
      </c>
      <c r="Y761" s="259">
        <f>(ASINH(FMS_Ranking4[[#This Row],[LWC Raw]]))*(10)/(ASINH(X$4))</f>
        <v>0</v>
      </c>
      <c r="Z761" s="257">
        <f>FMS_Ranking4[[#This Row],[LWC, ArcSInh (0-10)]]*X$5*10</f>
        <v>0</v>
      </c>
      <c r="AA761" s="259">
        <f>_xlfn.XLOOKUP(FMS_Ranking4[[#This Row],[FMS ID]],FMS_Input[FMS_ID],FMS_Input[ROADCLS])</f>
        <v>0</v>
      </c>
      <c r="AB761" s="255">
        <f>(ASINH(FMS_Ranking4[[#This Row],[Road Closures Raw]]))*(10)/(ASINH(AA$4))</f>
        <v>0</v>
      </c>
      <c r="AC761" s="255">
        <f>FMS_Ranking4[[#This Row],[Road closures, ArcSinh (0-10)]]*AA$5*10</f>
        <v>0</v>
      </c>
      <c r="AD761" s="259">
        <f>_xlfn.XLOOKUP(FMS_Ranking4[[#This Row],[FMS ID]],FMS_Input[FMS_ID],FMS_Input[ROAD_MILES100])</f>
        <v>0</v>
      </c>
      <c r="AE761" s="259">
        <f>(ASINH(FMS_Ranking4[[#This Row],[Road Miles Raw]]))*(10)/(ASINH(AD$4))</f>
        <v>0</v>
      </c>
      <c r="AF761" s="257">
        <f>FMS_Ranking4[[#This Row],[Length of roads at risk, ArcSinh (0-10)]]*AD$5*10</f>
        <v>0</v>
      </c>
      <c r="AG761" s="259">
        <f>_xlfn.XLOOKUP(FMS_Ranking4[[#This Row],[FMS ID]],FMS_Input[FMS_ID],FMS_Input[FARMACRE100])</f>
        <v>25.802450180053711</v>
      </c>
      <c r="AH761" s="255">
        <f>(ASINH(FMS_Ranking4[[#This Row],[Ag Land Raw]]))*(10)/(ASINH(AG$4))</f>
        <v>2.5619440741115462</v>
      </c>
      <c r="AI761" s="254">
        <f>FMS_Ranking4[[#This Row],[Farm &amp; ranch land, ArcSinh (0-10)]]*AG$5*10</f>
        <v>1.2809720370557731</v>
      </c>
      <c r="AJ761" s="258">
        <f>_xlfn.XLOOKUP(FMS_Ranking4[[#This Row],[FMS ID]],FMS_Input[FMS_ID],FMS_Input[REDSTRUCT100])</f>
        <v>0</v>
      </c>
      <c r="AK761" s="253">
        <f>_xlfn.XLOOKUP(FMS_Ranking4[[#This Row],[FMS ID]],FMS_Input[FMS_ID],FMS_Input[REMSTRC100])</f>
        <v>0</v>
      </c>
      <c r="AL761" s="259">
        <f>(ASINH(FMS_Ranking4[[#This Row],[Structures Removed Raw]]))*(10)/(ASINH(AK$4))</f>
        <v>0</v>
      </c>
      <c r="AM761" s="254">
        <f>FMS_Ranking4[[#This Row],[Structures removed, ArcSinh (0-10)]]*AK$5*10</f>
        <v>0</v>
      </c>
      <c r="AN761" s="253">
        <f>_xlfn.XLOOKUP(FMS_Ranking4[[#This Row],[FMS ID]],FMS_Input[FMS_ID],FMS_Input[REMRESSTRC100])</f>
        <v>0</v>
      </c>
      <c r="AO761" s="258">
        <f>FMS_Ranking4[[#This Row],[ArcSinh Res struct removed 0-10]]*AN$5*10</f>
        <v>0</v>
      </c>
      <c r="AP761" s="254">
        <f>ASINH(FMS_Ranking4[[#This Row],[Residential Structures Removed Raw]])/AP$4*AN$5*100</f>
        <v>0</v>
      </c>
      <c r="AQ761" s="260">
        <f>(ASINH(FMS_Ranking4[[#This Row],[Residential Structures Removed Raw]]))*(10)/(ASINH(AN$4))</f>
        <v>0</v>
      </c>
      <c r="AR761" s="253">
        <f>_xlfn.XLOOKUP(FMS_Ranking4[[#This Row],[FMS ID]],FMS_Input[FMS_ID],FMS_Input[REMPOP100])</f>
        <v>0</v>
      </c>
      <c r="AS761" s="259">
        <f>(ASINH(FMS_Ranking4[[#This Row],[Removed Pop Raw]]))*(10)/(ASINH(AR$4))</f>
        <v>0</v>
      </c>
      <c r="AT761" s="263">
        <f>FMS_Ranking4[[#This Row],[Removed population, ArcSinh (0-10)]]*AR$5*10</f>
        <v>0</v>
      </c>
      <c r="AU761" s="264">
        <f>_xlfn.XLOOKUP(FMS_Ranking4[[#This Row],[FMS ID]],FMS_Input[FMS_ID],FMS_Input[REMCRITFAC100])</f>
        <v>0</v>
      </c>
      <c r="AV761" s="264">
        <f>_xlfn.XLOOKUP(FMS_Ranking4[[#This Row],[FMS ID]],FMS_Input[FMS_ID],FMS_Input[REMLWC100])</f>
        <v>0</v>
      </c>
      <c r="AW761" s="264">
        <f>_xlfn.XLOOKUP(FMS_Ranking4[[#This Row],[FMS ID]],FMS_Input[FMS_ID],FMS_Input[REMROADCLS])</f>
        <v>0</v>
      </c>
      <c r="AX761" s="264">
        <f>_xlfn.XLOOKUP(FMS_Ranking4[[#This Row],[FMS ID]],FMS_Input[FMS_ID],FMS_Input[REMFRMACRE100])</f>
        <v>0</v>
      </c>
      <c r="AY761" s="258">
        <f>_xlfn.XLOOKUP(FMS_Ranking4[[#This Row],[FMS ID]],FMS_Input[FMS_ID],FMS_Input[COSTSTRUCT])</f>
        <v>0</v>
      </c>
      <c r="AZ761" s="258">
        <f>_xlfn.XLOOKUP(FMS_Ranking4[[#This Row],[FMS ID]],FMS_Input[FMS_ID],FMS_Input[NATURE])</f>
        <v>0</v>
      </c>
      <c r="BA761" s="290">
        <f>(((FMS_Ranking4[[#This Row],[% NBS Raw]]/AZ$4)*100)*AZ$5)</f>
        <v>0</v>
      </c>
      <c r="BB761" s="251" t="str">
        <f>_xlfn.XLOOKUP(FMS_Ranking4[[#This Row],[FMS ID]],FMS_Input[FMS_ID],FMS_Input[WATER_SUP])</f>
        <v>No</v>
      </c>
      <c r="BC761" s="265">
        <f>IF(FMS_Ranking4[[#This Row],[Water Supply Raw]]="Yes",10,0)</f>
        <v>0</v>
      </c>
      <c r="BD761" s="251">
        <f>_xlfn.XLOOKUP(FMS_Ranking4[[#This Row],[FMS Type]],FMS_TYPE[FMS_Type],FMS_TYPE[Score])</f>
        <v>8</v>
      </c>
      <c r="BE761" s="267">
        <f>FMS_Ranking4[[#This Row],[FMS_Type Score]]*$BD$5*10</f>
        <v>2</v>
      </c>
      <c r="BF761"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3.1287300623010218E-4</v>
      </c>
      <c r="BG761" s="269">
        <f>_xlfn.RANK.EQ(BF761,$BF$8:$BF$870,0)+COUNTIF($BF$8:BF761,BF761)-1</f>
        <v>765</v>
      </c>
      <c r="BH761" s="268">
        <f>(((FMS_Ranking4[[#This Row],[Structures Removed Raw]]/AK$4)*100)*AK$5)+(((FMS_Ranking4[[#This Row],[Removed Pop Raw]]/AR$4)*100)*AR$5)</f>
        <v>0</v>
      </c>
      <c r="BI76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2.0003128730062301</v>
      </c>
      <c r="BJ761" s="326">
        <f>_xlfn.RANK.EQ(FMS_Ranking4[[#This Row],[Total Score 
(with linear
normalization)]],FMS_Ranking4[Total Score 
(with linear
normalization)],0)</f>
        <v>474</v>
      </c>
      <c r="BK761" s="269" t="e">
        <f>_xlfn.XLOOKUP(FMS_Ranking4[[#This Row],[FMS ID]],#REF!,#REF!)</f>
        <v>#REF!</v>
      </c>
      <c r="BL761"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3.9243536023794254</v>
      </c>
      <c r="BM761" s="331">
        <f>FMS_Ranking4[[#This Row],[ArcSinh Score Based on Normalized Reported Factors]]+FMS_Ranking4[[#This Row],[% NBS Score (Normalized)]]+(FMS_Ranking4[[#This Row],[Water Supply Score (Normalized)]]*10*$BB$5)+FMS_Ranking4[[#This Row],[FMS_Type Score Weighted]]</f>
        <v>5.9243536023794254</v>
      </c>
      <c r="BN761" s="269">
        <f>_xlfn.RANK.EQ(FMS_Ranking4[[#This Row],[Total Score (with ArcSinh normalization of select criteria)]],FMS_Ranking4[Total Score (with ArcSinh normalization of select criteria)],0)</f>
        <v>754</v>
      </c>
      <c r="BO761" s="270" t="str">
        <f>_xlfn.XLOOKUP(FMS_Ranking4[[#This Row],[FMS ID]],FMS_Input[FMS_ID],FMS_Input[FMS_RANK_YEAR])</f>
        <v>2023 Amended Plan</v>
      </c>
      <c r="BP761" s="204">
        <f>_xlfn.XLOOKUP(FMS_Ranking4[[#This Row],[FMS ID]],Prev_Rank[FMS ID],Prev_Rank[Prev Rank])</f>
        <v>684</v>
      </c>
      <c r="BQ761" s="335" t="e">
        <f>_xlfn.XLOOKUP(FMS_Ranking4[[#This Row],[FMS ID]],#REF!,#REF!)</f>
        <v>#REF!</v>
      </c>
      <c r="BR761" s="199" t="e">
        <f>SUM(#REF!,#REF!,#REF!,#REF!,#REF!,#REF!,#REF!,#REF!,#REF!,FMS_Ranking4[[#This Row],[ArcSinh Res struct removed 0-10]],#REF!)</f>
        <v>#REF!</v>
      </c>
      <c r="BS761" s="199" t="e">
        <f>FMS_Ranking4[[#This Row],[Log Score Based on Normalized Reported Factors]]+FMS_Ranking4[[#This Row],[% NBS Score (Normalized)]]+(FMS_Ranking4[[#This Row],[Water Supply Score (Normalized)]]*10*$BB$5)+(FMS_Ranking4[[#This Row],[FMS_Type Score Weighted]])</f>
        <v>#REF!</v>
      </c>
      <c r="BT761" s="200" t="e">
        <f>_xlfn.RANK.EQ(FMS_Ranking4[[#This Row],[Log Total Score]],FMS_Ranking4[Log Total Score],0)</f>
        <v>#REF!</v>
      </c>
      <c r="BU761" s="200" t="e">
        <f>_xlfn.XLOOKUP(FMS_Ranking4[[#This Row],[FMS ID]],#REF!,#REF!)</f>
        <v>#REF!</v>
      </c>
      <c r="BV761" s="200">
        <f>FMS_Ranking4[[#This Row],[Region Number]]</f>
        <v>3</v>
      </c>
      <c r="BW761" s="200">
        <f>FMS_Ranking4[[#This Row],[Rank (with ArcSinh normalization of select criteria)]]-FMS_Ranking4[[#This Row],[Rank
(with linear
normalization)]]</f>
        <v>280</v>
      </c>
      <c r="BX761" s="200" t="e">
        <f>FMS_Ranking4[[#This Row],[Log Rank]]-FMS_Ranking4[[#This Row],[Rank
(with linear
normalization)]]</f>
        <v>#REF!</v>
      </c>
      <c r="BY761" s="200" t="str">
        <f>IF(FMS_Ranking4[[#This Row],[FMS Type]]="Flood Measurement and Warning",FMS_Ranking4[[#This Row],[Rank (with ArcSinh normalization of select criteria)]],"")</f>
        <v/>
      </c>
      <c r="BZ761" s="200">
        <f>IF(FMS_Ranking4[[#This Row],[FMS Type]]="Regulatory and Guidance",FMS_Ranking4[[#This Row],[Rank (with ArcSinh normalization of select criteria)]],"")</f>
        <v>754</v>
      </c>
      <c r="CA761" s="200" t="str">
        <f>IF(FMS_Ranking4[[#This Row],[FMS Type]]="Education and Outreach",FMS_Ranking4[[#This Row],[Rank (with ArcSinh normalization of select criteria)]],"")</f>
        <v/>
      </c>
      <c r="CB761" s="200" t="str">
        <f>IF(FMS_Ranking4[[#This Row],[FMS Type]]="Property Acquisition and Structural Elevation",FMS_Ranking4[[#This Row],[Rank (with ArcSinh normalization of select criteria)]],"")</f>
        <v/>
      </c>
      <c r="CC761" s="200" t="str">
        <f>IF(FMS_Ranking4[[#This Row],[FMS Type]]="Infrastructure Projects",FMS_Ranking4[[#This Row],[Rank (with ArcSinh normalization of select criteria)]],"")</f>
        <v/>
      </c>
      <c r="CD761" s="200" t="str">
        <f>IF(FMS_Ranking4[[#This Row],[FMS Type]]="Other",FMS_Ranking4[[#This Row],[Rank (with ArcSinh normalization of select criteria)]],"")</f>
        <v/>
      </c>
    </row>
    <row r="762" spans="2:96" ht="45" x14ac:dyDescent="0.25">
      <c r="B762" s="342" t="s">
        <v>3167</v>
      </c>
      <c r="C762" s="287">
        <f>_xlfn.XLOOKUP(FMS_Ranking4[[#This Row],[FMS ID]],FMS_Input[FMS_ID],FMS_Input[RFPG_NUM])</f>
        <v>7</v>
      </c>
      <c r="D762" s="309" t="str">
        <f>_xlfn.XLOOKUP(FMS_Ranking4[[#This Row],[FMS ID]],FMS_Input[FMS_ID],FMS_Input[FMS_NAME])</f>
        <v>Dawson County NFIP Participation</v>
      </c>
      <c r="E762" s="308" t="str">
        <f>_xlfn.XLOOKUP(FMS_Ranking4[[#This Row],[FMS ID]],FMS_Input[FMS_ID],FMS_Input[SPONSOR])</f>
        <v>00000117</v>
      </c>
      <c r="F762" s="309" t="str">
        <f>_xlfn.XLOOKUP(FMS_Ranking4[[#This Row],[FMS ID]],Sponsor[FMS_ID],Sponsor[SPONSOR NAME])</f>
        <v>Dawson</v>
      </c>
      <c r="G762" s="309" t="str">
        <f>_xlfn.XLOOKUP(FMS_Ranking4[[#This Row],[FMS ID]],FMS_Input[FMS_ID],FMS_Input[FMS_DESCR])</f>
        <v>Application to join NFIP or adoption of equivalent standards.</v>
      </c>
      <c r="H762" s="247" t="str">
        <f>_xlfn.XLOOKUP(FMS_Ranking4[[#This Row],[FMS ID]],FMS_Input[FMS_ID],FMS_Input[FMS_TYPE])</f>
        <v>Regulatory and Guidance</v>
      </c>
      <c r="I762" s="288">
        <f>_xlfn.XLOOKUP(FMS_Ranking4[[#This Row],[FMS ID]],FMS_Input[FMS_ID],FMS_Input[NRNC_COST])</f>
        <v>50000</v>
      </c>
      <c r="J762" s="250">
        <f>_xlfn.XLOOKUP(FMS_Ranking4[[#This Row],[FMS ID]],FMS_Input[FMS_ID],FMS_Input[FMS_COST])</f>
        <v>50000</v>
      </c>
      <c r="K762" s="289" t="str">
        <f>_xlfn.XLOOKUP(FMS_Ranking4[[#This Row],[FMS ID]],FMS_Input[FMS_ID],FMS_Input[EMER_NEED])</f>
        <v>No</v>
      </c>
      <c r="L762" s="252">
        <f t="shared" si="11"/>
        <v>0</v>
      </c>
      <c r="M762" s="253">
        <f>_xlfn.XLOOKUP(FMS_Ranking4[[#This Row],[FMS ID]],FMS_Input[FMS_ID],FMS_Input[STRUCT_100])</f>
        <v>0</v>
      </c>
      <c r="N762" s="255">
        <f>(ASINH(FMS_Ranking4[[#This Row],[Structure at Risk Raw]]))*(10)/(ASINH(M$4))</f>
        <v>0</v>
      </c>
      <c r="O762" s="255">
        <f>FMS_Ranking4[[#This Row],[Structures at risk, ArcSinh (0-10)]]*M$5*10</f>
        <v>0</v>
      </c>
      <c r="P762" s="259">
        <f>_xlfn.XLOOKUP(FMS_Ranking4[[#This Row],[FMS ID]],FMS_Input[FMS_ID],FMS_Input[RES_STRUCT100])</f>
        <v>0</v>
      </c>
      <c r="Q762" s="257">
        <f>ASINH(FMS_Ranking4[[#This Row],[Res Structure Raw]])/Q$4*P$5*100</f>
        <v>0</v>
      </c>
      <c r="R762" s="259">
        <f>_xlfn.XLOOKUP(FMS_Ranking4[[#This Row],[FMS ID]],FMS_Input[FMS_ID],FMS_Input[POP100])</f>
        <v>0</v>
      </c>
      <c r="S762" s="259">
        <f>(ASINH(FMS_Ranking4[[#This Row],[Pop at Risk Raw]]))*(10)/(ASINH(R$4))</f>
        <v>0</v>
      </c>
      <c r="T762" s="257">
        <f>FMS_Ranking4[[#This Row],[Population at risk, ArcSinh (0-10)]]*R$5*10</f>
        <v>0</v>
      </c>
      <c r="U762" s="259">
        <f>_xlfn.XLOOKUP(FMS_Ranking4[[#This Row],[FMS ID]],FMS_Input[FMS_ID],FMS_Input[CRITFAC100])</f>
        <v>0</v>
      </c>
      <c r="V762" s="259">
        <f>(ASINH(FMS_Ranking4[[#This Row],[Critical Facilities Raw]]))*(10)/(ASINH(U$4))</f>
        <v>0</v>
      </c>
      <c r="W762" s="257">
        <f>FMS_Ranking4[[#This Row],[Critical facilities at risk, ArcSinh (0-10)]]*U$5*10</f>
        <v>0</v>
      </c>
      <c r="X762" s="259">
        <f>_xlfn.XLOOKUP(FMS_Ranking4[[#This Row],[FMS ID]],FMS_Input[FMS_ID],FMS_Input[LWC])</f>
        <v>0</v>
      </c>
      <c r="Y762" s="259">
        <f>(ASINH(FMS_Ranking4[[#This Row],[LWC Raw]]))*(10)/(ASINH(X$4))</f>
        <v>0</v>
      </c>
      <c r="Z762" s="257">
        <f>FMS_Ranking4[[#This Row],[LWC, ArcSInh (0-10)]]*X$5*10</f>
        <v>0</v>
      </c>
      <c r="AA762" s="259">
        <f>_xlfn.XLOOKUP(FMS_Ranking4[[#This Row],[FMS ID]],FMS_Input[FMS_ID],FMS_Input[ROADCLS])</f>
        <v>0</v>
      </c>
      <c r="AB762" s="255">
        <f>(ASINH(FMS_Ranking4[[#This Row],[Road Closures Raw]]))*(10)/(ASINH(AA$4))</f>
        <v>0</v>
      </c>
      <c r="AC762" s="255">
        <f>FMS_Ranking4[[#This Row],[Road closures, ArcSinh (0-10)]]*AA$5*10</f>
        <v>0</v>
      </c>
      <c r="AD762" s="259">
        <f>_xlfn.XLOOKUP(FMS_Ranking4[[#This Row],[FMS ID]],FMS_Input[FMS_ID],FMS_Input[ROAD_MILES100])</f>
        <v>3</v>
      </c>
      <c r="AE762" s="259">
        <f>(ASINH(FMS_Ranking4[[#This Row],[Road Miles Raw]]))*(10)/(ASINH(AD$4))</f>
        <v>1.937963626835977</v>
      </c>
      <c r="AF762" s="257">
        <f>FMS_Ranking4[[#This Row],[Length of roads at risk, ArcSinh (0-10)]]*AD$5*10</f>
        <v>1.937963626835977</v>
      </c>
      <c r="AG762" s="259">
        <f>_xlfn.XLOOKUP(FMS_Ranking4[[#This Row],[FMS ID]],FMS_Input[FMS_ID],FMS_Input[FARMACRE100])</f>
        <v>158.498046875</v>
      </c>
      <c r="AH762" s="255">
        <f>(ASINH(FMS_Ranking4[[#This Row],[Ag Land Raw]]))*(10)/(ASINH(AG$4))</f>
        <v>3.740874335633241</v>
      </c>
      <c r="AI762" s="254">
        <f>FMS_Ranking4[[#This Row],[Farm &amp; ranch land, ArcSinh (0-10)]]*AG$5*10</f>
        <v>1.8704371678166207</v>
      </c>
      <c r="AJ762" s="258">
        <f>_xlfn.XLOOKUP(FMS_Ranking4[[#This Row],[FMS ID]],FMS_Input[FMS_ID],FMS_Input[REDSTRUCT100])</f>
        <v>0</v>
      </c>
      <c r="AK762" s="253">
        <f>_xlfn.XLOOKUP(FMS_Ranking4[[#This Row],[FMS ID]],FMS_Input[FMS_ID],FMS_Input[REMSTRC100])</f>
        <v>0</v>
      </c>
      <c r="AL762" s="259">
        <f>(ASINH(FMS_Ranking4[[#This Row],[Structures Removed Raw]]))*(10)/(ASINH(AK$4))</f>
        <v>0</v>
      </c>
      <c r="AM762" s="254">
        <f>FMS_Ranking4[[#This Row],[Structures removed, ArcSinh (0-10)]]*AK$5*10</f>
        <v>0</v>
      </c>
      <c r="AN762" s="253">
        <f>_xlfn.XLOOKUP(FMS_Ranking4[[#This Row],[FMS ID]],FMS_Input[FMS_ID],FMS_Input[REMRESSTRC100])</f>
        <v>0</v>
      </c>
      <c r="AO762" s="258">
        <f>FMS_Ranking4[[#This Row],[ArcSinh Res struct removed 0-10]]*AN$5*10</f>
        <v>0</v>
      </c>
      <c r="AP762" s="254">
        <f>ASINH(FMS_Ranking4[[#This Row],[Residential Structures Removed Raw]])/AP$4*AN$5*100</f>
        <v>0</v>
      </c>
      <c r="AQ762" s="260">
        <f>(ASINH(FMS_Ranking4[[#This Row],[Residential Structures Removed Raw]]))*(10)/(ASINH(AN$4))</f>
        <v>0</v>
      </c>
      <c r="AR762" s="253">
        <f>_xlfn.XLOOKUP(FMS_Ranking4[[#This Row],[FMS ID]],FMS_Input[FMS_ID],FMS_Input[REMPOP100])</f>
        <v>0</v>
      </c>
      <c r="AS762" s="259">
        <f>(ASINH(FMS_Ranking4[[#This Row],[Removed Pop Raw]]))*(10)/(ASINH(AR$4))</f>
        <v>0</v>
      </c>
      <c r="AT762" s="263">
        <f>FMS_Ranking4[[#This Row],[Removed population, ArcSinh (0-10)]]*AR$5*10</f>
        <v>0</v>
      </c>
      <c r="AU762" s="264">
        <f>_xlfn.XLOOKUP(FMS_Ranking4[[#This Row],[FMS ID]],FMS_Input[FMS_ID],FMS_Input[REMCRITFAC100])</f>
        <v>0</v>
      </c>
      <c r="AV762" s="264">
        <f>_xlfn.XLOOKUP(FMS_Ranking4[[#This Row],[FMS ID]],FMS_Input[FMS_ID],FMS_Input[REMLWC100])</f>
        <v>0</v>
      </c>
      <c r="AW762" s="264">
        <f>_xlfn.XLOOKUP(FMS_Ranking4[[#This Row],[FMS ID]],FMS_Input[FMS_ID],FMS_Input[REMROADCLS])</f>
        <v>0</v>
      </c>
      <c r="AX762" s="264">
        <f>_xlfn.XLOOKUP(FMS_Ranking4[[#This Row],[FMS ID]],FMS_Input[FMS_ID],FMS_Input[REMFRMACRE100])</f>
        <v>0</v>
      </c>
      <c r="AY762" s="258">
        <f>_xlfn.XLOOKUP(FMS_Ranking4[[#This Row],[FMS ID]],FMS_Input[FMS_ID],FMS_Input[COSTSTRUCT])</f>
        <v>0</v>
      </c>
      <c r="AZ762" s="258">
        <f>_xlfn.XLOOKUP(FMS_Ranking4[[#This Row],[FMS ID]],FMS_Input[FMS_ID],FMS_Input[NATURE])</f>
        <v>0</v>
      </c>
      <c r="BA762" s="290">
        <f>(((FMS_Ranking4[[#This Row],[% NBS Raw]]/AZ$4)*100)*AZ$5)</f>
        <v>0</v>
      </c>
      <c r="BB762" s="251" t="str">
        <f>_xlfn.XLOOKUP(FMS_Ranking4[[#This Row],[FMS ID]],FMS_Input[FMS_ID],FMS_Input[WATER_SUP])</f>
        <v>No</v>
      </c>
      <c r="BC762" s="265">
        <f>IF(FMS_Ranking4[[#This Row],[Water Supply Raw]]="Yes",10,0)</f>
        <v>0</v>
      </c>
      <c r="BD762" s="251">
        <f>_xlfn.XLOOKUP(FMS_Ranking4[[#This Row],[FMS Type]],FMS_TYPE[FMS_Type],FMS_TYPE[Score])</f>
        <v>8</v>
      </c>
      <c r="BE762" s="267">
        <f>FMS_Ranking4[[#This Row],[FMS_Type Score]]*$BD$5*10</f>
        <v>2</v>
      </c>
      <c r="BF762"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5.3738938225082649E-3</v>
      </c>
      <c r="BG762" s="271">
        <f>_xlfn.RANK.EQ(BF762,$BF$8:$BF$870,0)+COUNTIF($BF$8:BF762,BF762)-1</f>
        <v>686</v>
      </c>
      <c r="BH762" s="268">
        <f>(((FMS_Ranking4[[#This Row],[Structures Removed Raw]]/AK$4)*100)*AK$5)+(((FMS_Ranking4[[#This Row],[Removed Pop Raw]]/AR$4)*100)*AR$5)</f>
        <v>0</v>
      </c>
      <c r="BI76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2.0053738938225081</v>
      </c>
      <c r="BJ762" s="325">
        <f>_xlfn.RANK.EQ(FMS_Ranking4[[#This Row],[Total Score 
(with linear
normalization)]],FMS_Ranking4[Total Score 
(with linear
normalization)],0)</f>
        <v>435</v>
      </c>
      <c r="BK762" s="327" t="e">
        <f>_xlfn.XLOOKUP(FMS_Ranking4[[#This Row],[FMS ID]],#REF!,#REF!)</f>
        <v>#REF!</v>
      </c>
      <c r="BL762"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3.8084007946525977</v>
      </c>
      <c r="BM762" s="330">
        <f>FMS_Ranking4[[#This Row],[ArcSinh Score Based on Normalized Reported Factors]]+FMS_Ranking4[[#This Row],[% NBS Score (Normalized)]]+(FMS_Ranking4[[#This Row],[Water Supply Score (Normalized)]]*10*$BB$5)+FMS_Ranking4[[#This Row],[FMS_Type Score Weighted]]</f>
        <v>5.8084007946525977</v>
      </c>
      <c r="BN762" s="327">
        <f>_xlfn.RANK.EQ(FMS_Ranking4[[#This Row],[Total Score (with ArcSinh normalization of select criteria)]],FMS_Ranking4[Total Score (with ArcSinh normalization of select criteria)],0)</f>
        <v>755</v>
      </c>
      <c r="BO762" s="270" t="str">
        <f>_xlfn.XLOOKUP(FMS_Ranking4[[#This Row],[FMS ID]],FMS_Input[FMS_ID],FMS_Input[FMS_RANK_YEAR])</f>
        <v>2023 Amended Plan</v>
      </c>
      <c r="BP762" s="204">
        <f>_xlfn.XLOOKUP(FMS_Ranking4[[#This Row],[FMS ID]],Prev_Rank[FMS ID],Prev_Rank[Prev Rank])</f>
        <v>685</v>
      </c>
      <c r="BQ762" s="334" t="e">
        <f>_xlfn.XLOOKUP(FMS_Ranking4[[#This Row],[FMS ID]],#REF!,#REF!)</f>
        <v>#REF!</v>
      </c>
      <c r="BR762" s="199" t="e">
        <f>SUM(#REF!,#REF!,#REF!,#REF!,#REF!,#REF!,#REF!,#REF!,#REF!,FMS_Ranking4[[#This Row],[ArcSinh Res struct removed 0-10]],#REF!)</f>
        <v>#REF!</v>
      </c>
      <c r="BS762" s="199" t="e">
        <f>FMS_Ranking4[[#This Row],[Log Score Based on Normalized Reported Factors]]+FMS_Ranking4[[#This Row],[% NBS Score (Normalized)]]+(FMS_Ranking4[[#This Row],[Water Supply Score (Normalized)]]*10*$BB$5)+(FMS_Ranking4[[#This Row],[FMS_Type Score Weighted]])</f>
        <v>#REF!</v>
      </c>
      <c r="BT762" s="200" t="e">
        <f>_xlfn.RANK.EQ(FMS_Ranking4[[#This Row],[Log Total Score]],FMS_Ranking4[Log Total Score],0)</f>
        <v>#REF!</v>
      </c>
      <c r="BU762" s="200" t="e">
        <f>_xlfn.XLOOKUP(FMS_Ranking4[[#This Row],[FMS ID]],#REF!,#REF!)</f>
        <v>#REF!</v>
      </c>
      <c r="BV762" s="200">
        <f>FMS_Ranking4[[#This Row],[Region Number]]</f>
        <v>7</v>
      </c>
      <c r="BW762" s="200">
        <f>FMS_Ranking4[[#This Row],[Rank (with ArcSinh normalization of select criteria)]]-FMS_Ranking4[[#This Row],[Rank
(with linear
normalization)]]</f>
        <v>320</v>
      </c>
      <c r="BX762" s="200" t="e">
        <f>FMS_Ranking4[[#This Row],[Log Rank]]-FMS_Ranking4[[#This Row],[Rank
(with linear
normalization)]]</f>
        <v>#REF!</v>
      </c>
      <c r="BY762" s="200" t="str">
        <f>IF(FMS_Ranking4[[#This Row],[FMS Type]]="Flood Measurement and Warning",FMS_Ranking4[[#This Row],[Rank (with ArcSinh normalization of select criteria)]],"")</f>
        <v/>
      </c>
      <c r="BZ762" s="200">
        <f>IF(FMS_Ranking4[[#This Row],[FMS Type]]="Regulatory and Guidance",FMS_Ranking4[[#This Row],[Rank (with ArcSinh normalization of select criteria)]],"")</f>
        <v>755</v>
      </c>
      <c r="CA762" s="200" t="str">
        <f>IF(FMS_Ranking4[[#This Row],[FMS Type]]="Education and Outreach",FMS_Ranking4[[#This Row],[Rank (with ArcSinh normalization of select criteria)]],"")</f>
        <v/>
      </c>
      <c r="CB762" s="200" t="str">
        <f>IF(FMS_Ranking4[[#This Row],[FMS Type]]="Property Acquisition and Structural Elevation",FMS_Ranking4[[#This Row],[Rank (with ArcSinh normalization of select criteria)]],"")</f>
        <v/>
      </c>
      <c r="CC762" s="200" t="str">
        <f>IF(FMS_Ranking4[[#This Row],[FMS Type]]="Infrastructure Projects",FMS_Ranking4[[#This Row],[Rank (with ArcSinh normalization of select criteria)]],"")</f>
        <v/>
      </c>
      <c r="CD762" s="200" t="str">
        <f>IF(FMS_Ranking4[[#This Row],[FMS Type]]="Other",FMS_Ranking4[[#This Row],[Rank (with ArcSinh normalization of select criteria)]],"")</f>
        <v/>
      </c>
    </row>
    <row r="763" spans="2:96" ht="30" x14ac:dyDescent="0.25">
      <c r="B763" s="342" t="s">
        <v>1726</v>
      </c>
      <c r="C763" s="287">
        <f>_xlfn.XLOOKUP(FMS_Ranking4[[#This Row],[FMS ID]],FMS_Input[FMS_ID],FMS_Input[RFPG_NUM])</f>
        <v>2</v>
      </c>
      <c r="D763" s="309" t="str">
        <f>_xlfn.XLOOKUP(FMS_Ranking4[[#This Row],[FMS ID]],FMS_Input[FMS_ID],FMS_Input[FMS_NAME])</f>
        <v>City of Winfield NFIP</v>
      </c>
      <c r="E763" s="308" t="str">
        <f>_xlfn.XLOOKUP(FMS_Ranking4[[#This Row],[FMS ID]],FMS_Input[FMS_ID],FMS_Input[SPONSOR])</f>
        <v>Titus County</v>
      </c>
      <c r="F763" s="309" t="str">
        <f>_xlfn.XLOOKUP(FMS_Ranking4[[#This Row],[FMS ID]],Sponsor[FMS_ID],Sponsor[SPONSOR NAME])</f>
        <v>Titus County</v>
      </c>
      <c r="G763" s="309" t="str">
        <f>_xlfn.XLOOKUP(FMS_Ranking4[[#This Row],[FMS ID]],FMS_Input[FMS_ID],FMS_Input[FMS_DESCR])</f>
        <v>Participate in NFIP</v>
      </c>
      <c r="H763" s="247" t="str">
        <f>_xlfn.XLOOKUP(FMS_Ranking4[[#This Row],[FMS ID]],FMS_Input[FMS_ID],FMS_Input[FMS_TYPE])</f>
        <v>Regulatory and Guidance</v>
      </c>
      <c r="I763" s="288">
        <f>_xlfn.XLOOKUP(FMS_Ranking4[[#This Row],[FMS ID]],FMS_Input[FMS_ID],FMS_Input[NRNC_COST])</f>
        <v>50000</v>
      </c>
      <c r="J763" s="250">
        <f>_xlfn.XLOOKUP(FMS_Ranking4[[#This Row],[FMS ID]],FMS_Input[FMS_ID],FMS_Input[FMS_COST])</f>
        <v>50000</v>
      </c>
      <c r="K763" s="289" t="str">
        <f>_xlfn.XLOOKUP(FMS_Ranking4[[#This Row],[FMS ID]],FMS_Input[FMS_ID],FMS_Input[EMER_NEED])</f>
        <v>No</v>
      </c>
      <c r="L763" s="252">
        <f t="shared" si="11"/>
        <v>0</v>
      </c>
      <c r="M763" s="253">
        <f>_xlfn.XLOOKUP(FMS_Ranking4[[#This Row],[FMS ID]],FMS_Input[FMS_ID],FMS_Input[STRUCT_100])</f>
        <v>4</v>
      </c>
      <c r="N763" s="255">
        <f>(ASINH(FMS_Ranking4[[#This Row],[Structure at Risk Raw]]))*(10)/(ASINH(M$4))</f>
        <v>1.6467559513369034</v>
      </c>
      <c r="O763" s="255">
        <f>FMS_Ranking4[[#This Row],[Structures at risk, ArcSinh (0-10)]]*M$5*10</f>
        <v>1.6467559513369034</v>
      </c>
      <c r="P763" s="259">
        <f>_xlfn.XLOOKUP(FMS_Ranking4[[#This Row],[FMS ID]],FMS_Input[FMS_ID],FMS_Input[RES_STRUCT100])</f>
        <v>3</v>
      </c>
      <c r="Q763" s="257">
        <f>ASINH(FMS_Ranking4[[#This Row],[Res Structure Raw]])/Q$4*P$5*100</f>
        <v>0</v>
      </c>
      <c r="R763" s="259">
        <f>_xlfn.XLOOKUP(FMS_Ranking4[[#This Row],[FMS ID]],FMS_Input[FMS_ID],FMS_Input[POP100])</f>
        <v>0</v>
      </c>
      <c r="S763" s="259">
        <f>(ASINH(FMS_Ranking4[[#This Row],[Pop at Risk Raw]]))*(10)/(ASINH(R$4))</f>
        <v>0</v>
      </c>
      <c r="T763" s="257">
        <f>FMS_Ranking4[[#This Row],[Population at risk, ArcSinh (0-10)]]*R$5*10</f>
        <v>0</v>
      </c>
      <c r="U763" s="259">
        <f>_xlfn.XLOOKUP(FMS_Ranking4[[#This Row],[FMS ID]],FMS_Input[FMS_ID],FMS_Input[CRITFAC100])</f>
        <v>1</v>
      </c>
      <c r="V763" s="259">
        <f>(ASINH(FMS_Ranking4[[#This Row],[Critical Facilities Raw]]))*(10)/(ASINH(U$4))</f>
        <v>1.0433384451410745</v>
      </c>
      <c r="W763" s="257">
        <f>FMS_Ranking4[[#This Row],[Critical facilities at risk, ArcSinh (0-10)]]*U$5*10</f>
        <v>1.0433384451410745</v>
      </c>
      <c r="X763" s="259">
        <f>_xlfn.XLOOKUP(FMS_Ranking4[[#This Row],[FMS ID]],FMS_Input[FMS_ID],FMS_Input[LWC])</f>
        <v>0</v>
      </c>
      <c r="Y763" s="259">
        <f>(ASINH(FMS_Ranking4[[#This Row],[LWC Raw]]))*(10)/(ASINH(X$4))</f>
        <v>0</v>
      </c>
      <c r="Z763" s="257">
        <f>FMS_Ranking4[[#This Row],[LWC, ArcSInh (0-10)]]*X$5*10</f>
        <v>0</v>
      </c>
      <c r="AA763" s="259">
        <f>_xlfn.XLOOKUP(FMS_Ranking4[[#This Row],[FMS ID]],FMS_Input[FMS_ID],FMS_Input[ROADCLS])</f>
        <v>0</v>
      </c>
      <c r="AB763" s="255">
        <f>(ASINH(FMS_Ranking4[[#This Row],[Road Closures Raw]]))*(10)/(ASINH(AA$4))</f>
        <v>0</v>
      </c>
      <c r="AC763" s="255">
        <f>FMS_Ranking4[[#This Row],[Road closures, ArcSinh (0-10)]]*AA$5*10</f>
        <v>0</v>
      </c>
      <c r="AD763" s="259">
        <f>_xlfn.XLOOKUP(FMS_Ranking4[[#This Row],[FMS ID]],FMS_Input[FMS_ID],FMS_Input[ROAD_MILES100])</f>
        <v>1</v>
      </c>
      <c r="AE763" s="259">
        <f>(ASINH(FMS_Ranking4[[#This Row],[Road Miles Raw]]))*(10)/(ASINH(AD$4))</f>
        <v>0.9393017565219649</v>
      </c>
      <c r="AF763" s="257">
        <f>FMS_Ranking4[[#This Row],[Length of roads at risk, ArcSinh (0-10)]]*AD$5*10</f>
        <v>0.93930175652196501</v>
      </c>
      <c r="AG763" s="259">
        <f>_xlfn.XLOOKUP(FMS_Ranking4[[#This Row],[FMS ID]],FMS_Input[FMS_ID],FMS_Input[FARMACRE100])</f>
        <v>0.32938718795776373</v>
      </c>
      <c r="AH763" s="255">
        <f>(ASINH(FMS_Ranking4[[#This Row],[Ag Land Raw]]))*(10)/(ASINH(AG$4))</f>
        <v>0.21027231366460691</v>
      </c>
      <c r="AI763" s="254">
        <f>FMS_Ranking4[[#This Row],[Farm &amp; ranch land, ArcSinh (0-10)]]*AG$5*10</f>
        <v>0.10513615683230346</v>
      </c>
      <c r="AJ763" s="258">
        <f>_xlfn.XLOOKUP(FMS_Ranking4[[#This Row],[FMS ID]],FMS_Input[FMS_ID],FMS_Input[REDSTRUCT100])</f>
        <v>0</v>
      </c>
      <c r="AK763" s="253">
        <f>_xlfn.XLOOKUP(FMS_Ranking4[[#This Row],[FMS ID]],FMS_Input[FMS_ID],FMS_Input[REMSTRC100])</f>
        <v>0</v>
      </c>
      <c r="AL763" s="259">
        <f>(ASINH(FMS_Ranking4[[#This Row],[Structures Removed Raw]]))*(10)/(ASINH(AK$4))</f>
        <v>0</v>
      </c>
      <c r="AM763" s="254">
        <f>FMS_Ranking4[[#This Row],[Structures removed, ArcSinh (0-10)]]*AK$5*10</f>
        <v>0</v>
      </c>
      <c r="AN763" s="253">
        <f>_xlfn.XLOOKUP(FMS_Ranking4[[#This Row],[FMS ID]],FMS_Input[FMS_ID],FMS_Input[REMRESSTRC100])</f>
        <v>0</v>
      </c>
      <c r="AO763" s="258">
        <f>FMS_Ranking4[[#This Row],[ArcSinh Res struct removed 0-10]]*AN$5*10</f>
        <v>0</v>
      </c>
      <c r="AP763" s="254">
        <f>ASINH(FMS_Ranking4[[#This Row],[Residential Structures Removed Raw]])/AP$4*AN$5*100</f>
        <v>0</v>
      </c>
      <c r="AQ763" s="260">
        <f>(ASINH(FMS_Ranking4[[#This Row],[Residential Structures Removed Raw]]))*(10)/(ASINH(AN$4))</f>
        <v>0</v>
      </c>
      <c r="AR763" s="253">
        <f>_xlfn.XLOOKUP(FMS_Ranking4[[#This Row],[FMS ID]],FMS_Input[FMS_ID],FMS_Input[REMPOP100])</f>
        <v>0</v>
      </c>
      <c r="AS763" s="259">
        <f>(ASINH(FMS_Ranking4[[#This Row],[Removed Pop Raw]]))*(10)/(ASINH(AR$4))</f>
        <v>0</v>
      </c>
      <c r="AT763" s="263">
        <f>FMS_Ranking4[[#This Row],[Removed population, ArcSinh (0-10)]]*AR$5*10</f>
        <v>0</v>
      </c>
      <c r="AU763" s="264">
        <f>_xlfn.XLOOKUP(FMS_Ranking4[[#This Row],[FMS ID]],FMS_Input[FMS_ID],FMS_Input[REMCRITFAC100])</f>
        <v>0</v>
      </c>
      <c r="AV763" s="264">
        <f>_xlfn.XLOOKUP(FMS_Ranking4[[#This Row],[FMS ID]],FMS_Input[FMS_ID],FMS_Input[REMLWC100])</f>
        <v>0</v>
      </c>
      <c r="AW763" s="264">
        <f>_xlfn.XLOOKUP(FMS_Ranking4[[#This Row],[FMS ID]],FMS_Input[FMS_ID],FMS_Input[REMROADCLS])</f>
        <v>0</v>
      </c>
      <c r="AX763" s="264">
        <f>_xlfn.XLOOKUP(FMS_Ranking4[[#This Row],[FMS ID]],FMS_Input[FMS_ID],FMS_Input[REMFRMACRE100])</f>
        <v>0</v>
      </c>
      <c r="AY763" s="258">
        <f>_xlfn.XLOOKUP(FMS_Ranking4[[#This Row],[FMS ID]],FMS_Input[FMS_ID],FMS_Input[COSTSTRUCT])</f>
        <v>0</v>
      </c>
      <c r="AZ763" s="258">
        <f>_xlfn.XLOOKUP(FMS_Ranking4[[#This Row],[FMS ID]],FMS_Input[FMS_ID],FMS_Input[NATURE])</f>
        <v>0</v>
      </c>
      <c r="BA763" s="290">
        <f>(((FMS_Ranking4[[#This Row],[% NBS Raw]]/AZ$4)*100)*AZ$5)</f>
        <v>0</v>
      </c>
      <c r="BB763" s="251" t="str">
        <f>_xlfn.XLOOKUP(FMS_Ranking4[[#This Row],[FMS ID]],FMS_Input[FMS_ID],FMS_Input[WATER_SUP])</f>
        <v>No</v>
      </c>
      <c r="BC763" s="265">
        <f>IF(FMS_Ranking4[[#This Row],[Water Supply Raw]]="Yes",10,0)</f>
        <v>0</v>
      </c>
      <c r="BD763" s="251">
        <f>_xlfn.XLOOKUP(FMS_Ranking4[[#This Row],[FMS Type]],FMS_TYPE[FMS_Type],FMS_TYPE[Score])</f>
        <v>8</v>
      </c>
      <c r="BE763" s="267">
        <f>FMS_Ranking4[[#This Row],[FMS_Type Score]]*$BD$5*10</f>
        <v>2</v>
      </c>
      <c r="BF763"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6.2104126782311642E-3</v>
      </c>
      <c r="BG763" s="271">
        <f>_xlfn.RANK.EQ(BF763,$BF$8:$BF$870,0)+COUNTIF($BF$8:BF763,BF763)-1</f>
        <v>678</v>
      </c>
      <c r="BH763" s="268">
        <f>(((FMS_Ranking4[[#This Row],[Structures Removed Raw]]/AK$4)*100)*AK$5)+(((FMS_Ranking4[[#This Row],[Removed Pop Raw]]/AR$4)*100)*AR$5)</f>
        <v>0</v>
      </c>
      <c r="BI76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2.006210412678231</v>
      </c>
      <c r="BJ763" s="325">
        <f>_xlfn.RANK.EQ(FMS_Ranking4[[#This Row],[Total Score 
(with linear
normalization)]],FMS_Ranking4[Total Score 
(with linear
normalization)],0)</f>
        <v>429</v>
      </c>
      <c r="BK763" s="327" t="e">
        <f>_xlfn.XLOOKUP(FMS_Ranking4[[#This Row],[FMS ID]],#REF!,#REF!)</f>
        <v>#REF!</v>
      </c>
      <c r="BL763"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3.7345323098322463</v>
      </c>
      <c r="BM763" s="330">
        <f>FMS_Ranking4[[#This Row],[ArcSinh Score Based on Normalized Reported Factors]]+FMS_Ranking4[[#This Row],[% NBS Score (Normalized)]]+(FMS_Ranking4[[#This Row],[Water Supply Score (Normalized)]]*10*$BB$5)+FMS_Ranking4[[#This Row],[FMS_Type Score Weighted]]</f>
        <v>5.7345323098322467</v>
      </c>
      <c r="BN763" s="327">
        <f>_xlfn.RANK.EQ(FMS_Ranking4[[#This Row],[Total Score (with ArcSinh normalization of select criteria)]],FMS_Ranking4[Total Score (with ArcSinh normalization of select criteria)],0)</f>
        <v>756</v>
      </c>
      <c r="BO763" s="270" t="str">
        <f>_xlfn.XLOOKUP(FMS_Ranking4[[#This Row],[FMS ID]],FMS_Input[FMS_ID],FMS_Input[FMS_RANK_YEAR])</f>
        <v>2023 Amended Plan</v>
      </c>
      <c r="BP763" s="204">
        <f>_xlfn.XLOOKUP(FMS_Ranking4[[#This Row],[FMS ID]],Prev_Rank[FMS ID],Prev_Rank[Prev Rank])</f>
        <v>686</v>
      </c>
      <c r="BQ763" s="334" t="e">
        <f>_xlfn.XLOOKUP(FMS_Ranking4[[#This Row],[FMS ID]],#REF!,#REF!)</f>
        <v>#REF!</v>
      </c>
      <c r="BR763" s="199" t="e">
        <f>SUM(#REF!,#REF!,#REF!,#REF!,#REF!,#REF!,#REF!,#REF!,#REF!,FMS_Ranking4[[#This Row],[ArcSinh Res struct removed 0-10]],#REF!)</f>
        <v>#REF!</v>
      </c>
      <c r="BS763" s="199" t="e">
        <f>FMS_Ranking4[[#This Row],[Log Score Based on Normalized Reported Factors]]+FMS_Ranking4[[#This Row],[% NBS Score (Normalized)]]+(FMS_Ranking4[[#This Row],[Water Supply Score (Normalized)]]*10*$BB$5)+(FMS_Ranking4[[#This Row],[FMS_Type Score Weighted]])</f>
        <v>#REF!</v>
      </c>
      <c r="BT763" s="200" t="e">
        <f>_xlfn.RANK.EQ(FMS_Ranking4[[#This Row],[Log Total Score]],FMS_Ranking4[Log Total Score],0)</f>
        <v>#REF!</v>
      </c>
      <c r="BU763" s="200" t="e">
        <f>_xlfn.XLOOKUP(FMS_Ranking4[[#This Row],[FMS ID]],#REF!,#REF!)</f>
        <v>#REF!</v>
      </c>
      <c r="BV763" s="200">
        <f>FMS_Ranking4[[#This Row],[Region Number]]</f>
        <v>2</v>
      </c>
      <c r="BW763" s="200">
        <f>FMS_Ranking4[[#This Row],[Rank (with ArcSinh normalization of select criteria)]]-FMS_Ranking4[[#This Row],[Rank
(with linear
normalization)]]</f>
        <v>327</v>
      </c>
      <c r="BX763" s="200" t="e">
        <f>FMS_Ranking4[[#This Row],[Log Rank]]-FMS_Ranking4[[#This Row],[Rank
(with linear
normalization)]]</f>
        <v>#REF!</v>
      </c>
      <c r="BY763" s="200" t="str">
        <f>IF(FMS_Ranking4[[#This Row],[FMS Type]]="Flood Measurement and Warning",FMS_Ranking4[[#This Row],[Rank (with ArcSinh normalization of select criteria)]],"")</f>
        <v/>
      </c>
      <c r="BZ763" s="200">
        <f>IF(FMS_Ranking4[[#This Row],[FMS Type]]="Regulatory and Guidance",FMS_Ranking4[[#This Row],[Rank (with ArcSinh normalization of select criteria)]],"")</f>
        <v>756</v>
      </c>
      <c r="CA763" s="200" t="str">
        <f>IF(FMS_Ranking4[[#This Row],[FMS Type]]="Education and Outreach",FMS_Ranking4[[#This Row],[Rank (with ArcSinh normalization of select criteria)]],"")</f>
        <v/>
      </c>
      <c r="CB763" s="200" t="str">
        <f>IF(FMS_Ranking4[[#This Row],[FMS Type]]="Property Acquisition and Structural Elevation",FMS_Ranking4[[#This Row],[Rank (with ArcSinh normalization of select criteria)]],"")</f>
        <v/>
      </c>
      <c r="CC763" s="200" t="str">
        <f>IF(FMS_Ranking4[[#This Row],[FMS Type]]="Infrastructure Projects",FMS_Ranking4[[#This Row],[Rank (with ArcSinh normalization of select criteria)]],"")</f>
        <v/>
      </c>
      <c r="CD763" s="200" t="str">
        <f>IF(FMS_Ranking4[[#This Row],[FMS Type]]="Other",FMS_Ranking4[[#This Row],[Rank (with ArcSinh normalization of select criteria)]],"")</f>
        <v/>
      </c>
    </row>
    <row r="764" spans="2:96" ht="45" x14ac:dyDescent="0.25">
      <c r="B764" s="342" t="s">
        <v>2417</v>
      </c>
      <c r="C764" s="287">
        <f>_xlfn.XLOOKUP(FMS_Ranking4[[#This Row],[FMS ID]],FMS_Input[FMS_ID],FMS_Input[RFPG_NUM])</f>
        <v>3</v>
      </c>
      <c r="D764" s="309" t="str">
        <f>_xlfn.XLOOKUP(FMS_Ranking4[[#This Row],[FMS ID]],FMS_Input[FMS_ID],FMS_Input[FMS_NAME])</f>
        <v>Oak Grove NFIP Floodplain Ordinance</v>
      </c>
      <c r="E764" s="308" t="str">
        <f>_xlfn.XLOOKUP(FMS_Ranking4[[#This Row],[FMS ID]],FMS_Input[FMS_ID],FMS_Input[SPONSOR])</f>
        <v>Oak Grove</v>
      </c>
      <c r="F764" s="309" t="str">
        <f>_xlfn.XLOOKUP(FMS_Ranking4[[#This Row],[FMS ID]],Sponsor[FMS_ID],Sponsor[SPONSOR NAME])</f>
        <v>Oak Grove</v>
      </c>
      <c r="G764" s="309" t="str">
        <f>_xlfn.XLOOKUP(FMS_Ranking4[[#This Row],[FMS ID]],FMS_Input[FMS_ID],FMS_Input[FMS_DESCR])</f>
        <v>Develop a floodplain ordinance that meets or exceeds FEMA's minimum standards</v>
      </c>
      <c r="H764" s="247" t="str">
        <f>_xlfn.XLOOKUP(FMS_Ranking4[[#This Row],[FMS ID]],FMS_Input[FMS_ID],FMS_Input[FMS_TYPE])</f>
        <v>Regulatory and Guidance</v>
      </c>
      <c r="I764" s="288">
        <f>_xlfn.XLOOKUP(FMS_Ranking4[[#This Row],[FMS ID]],FMS_Input[FMS_ID],FMS_Input[NRNC_COST])</f>
        <v>100000</v>
      </c>
      <c r="J764" s="250">
        <f>_xlfn.XLOOKUP(FMS_Ranking4[[#This Row],[FMS ID]],FMS_Input[FMS_ID],FMS_Input[FMS_COST])</f>
        <v>100000</v>
      </c>
      <c r="K764" s="289" t="str">
        <f>_xlfn.XLOOKUP(FMS_Ranking4[[#This Row],[FMS ID]],FMS_Input[FMS_ID],FMS_Input[EMER_NEED])</f>
        <v>No</v>
      </c>
      <c r="L764" s="252">
        <f t="shared" si="11"/>
        <v>0</v>
      </c>
      <c r="M764" s="253">
        <f>_xlfn.XLOOKUP(FMS_Ranking4[[#This Row],[FMS ID]],FMS_Input[FMS_ID],FMS_Input[STRUCT_100])</f>
        <v>3</v>
      </c>
      <c r="N764" s="255">
        <f>(ASINH(FMS_Ranking4[[#This Row],[Structure at Risk Raw]]))*(10)/(ASINH(M$4))</f>
        <v>1.4295696719071895</v>
      </c>
      <c r="O764" s="255">
        <f>FMS_Ranking4[[#This Row],[Structures at risk, ArcSinh (0-10)]]*M$5*10</f>
        <v>1.4295696719071895</v>
      </c>
      <c r="P764" s="259">
        <f>_xlfn.XLOOKUP(FMS_Ranking4[[#This Row],[FMS ID]],FMS_Input[FMS_ID],FMS_Input[RES_STRUCT100])</f>
        <v>1</v>
      </c>
      <c r="Q764" s="257">
        <f>ASINH(FMS_Ranking4[[#This Row],[Res Structure Raw]])/Q$4*P$5*100</f>
        <v>0</v>
      </c>
      <c r="R764" s="259">
        <f>_xlfn.XLOOKUP(FMS_Ranking4[[#This Row],[FMS ID]],FMS_Input[FMS_ID],FMS_Input[POP100])</f>
        <v>1</v>
      </c>
      <c r="S764" s="259">
        <f>(ASINH(FMS_Ranking4[[#This Row],[Pop at Risk Raw]]))*(10)/(ASINH(R$4))</f>
        <v>0.60846349886646833</v>
      </c>
      <c r="T764" s="257">
        <f>FMS_Ranking4[[#This Row],[Population at risk, ArcSinh (0-10)]]*R$5*10</f>
        <v>0.60846349886646833</v>
      </c>
      <c r="U764" s="259">
        <f>_xlfn.XLOOKUP(FMS_Ranking4[[#This Row],[FMS ID]],FMS_Input[FMS_ID],FMS_Input[CRITFAC100])</f>
        <v>0</v>
      </c>
      <c r="V764" s="259">
        <f>(ASINH(FMS_Ranking4[[#This Row],[Critical Facilities Raw]]))*(10)/(ASINH(U$4))</f>
        <v>0</v>
      </c>
      <c r="W764" s="257">
        <f>FMS_Ranking4[[#This Row],[Critical facilities at risk, ArcSinh (0-10)]]*U$5*10</f>
        <v>0</v>
      </c>
      <c r="X764" s="259">
        <f>_xlfn.XLOOKUP(FMS_Ranking4[[#This Row],[FMS ID]],FMS_Input[FMS_ID],FMS_Input[LWC])</f>
        <v>0</v>
      </c>
      <c r="Y764" s="259">
        <f>(ASINH(FMS_Ranking4[[#This Row],[LWC Raw]]))*(10)/(ASINH(X$4))</f>
        <v>0</v>
      </c>
      <c r="Z764" s="257">
        <f>FMS_Ranking4[[#This Row],[LWC, ArcSInh (0-10)]]*X$5*10</f>
        <v>0</v>
      </c>
      <c r="AA764" s="259">
        <f>_xlfn.XLOOKUP(FMS_Ranking4[[#This Row],[FMS ID]],FMS_Input[FMS_ID],FMS_Input[ROADCLS])</f>
        <v>0</v>
      </c>
      <c r="AB764" s="255">
        <f>(ASINH(FMS_Ranking4[[#This Row],[Road Closures Raw]]))*(10)/(ASINH(AA$4))</f>
        <v>0</v>
      </c>
      <c r="AC764" s="255">
        <f>FMS_Ranking4[[#This Row],[Road closures, ArcSinh (0-10)]]*AA$5*10</f>
        <v>0</v>
      </c>
      <c r="AD764" s="259">
        <f>_xlfn.XLOOKUP(FMS_Ranking4[[#This Row],[FMS ID]],FMS_Input[FMS_ID],FMS_Input[ROAD_MILES100])</f>
        <v>0</v>
      </c>
      <c r="AE764" s="259">
        <f>(ASINH(FMS_Ranking4[[#This Row],[Road Miles Raw]]))*(10)/(ASINH(AD$4))</f>
        <v>0</v>
      </c>
      <c r="AF764" s="257">
        <f>FMS_Ranking4[[#This Row],[Length of roads at risk, ArcSinh (0-10)]]*AD$5*10</f>
        <v>0</v>
      </c>
      <c r="AG764" s="259">
        <f>_xlfn.XLOOKUP(FMS_Ranking4[[#This Row],[FMS ID]],FMS_Input[FMS_ID],FMS_Input[FARMACRE100])</f>
        <v>66.183273315429688</v>
      </c>
      <c r="AH764" s="255">
        <f>(ASINH(FMS_Ranking4[[#This Row],[Ag Land Raw]]))*(10)/(ASINH(AG$4))</f>
        <v>3.1736160211654871</v>
      </c>
      <c r="AI764" s="254">
        <f>FMS_Ranking4[[#This Row],[Farm &amp; ranch land, ArcSinh (0-10)]]*AG$5*10</f>
        <v>1.5868080105827436</v>
      </c>
      <c r="AJ764" s="258">
        <f>_xlfn.XLOOKUP(FMS_Ranking4[[#This Row],[FMS ID]],FMS_Input[FMS_ID],FMS_Input[REDSTRUCT100])</f>
        <v>0</v>
      </c>
      <c r="AK764" s="253">
        <f>_xlfn.XLOOKUP(FMS_Ranking4[[#This Row],[FMS ID]],FMS_Input[FMS_ID],FMS_Input[REMSTRC100])</f>
        <v>0</v>
      </c>
      <c r="AL764" s="259">
        <f>(ASINH(FMS_Ranking4[[#This Row],[Structures Removed Raw]]))*(10)/(ASINH(AK$4))</f>
        <v>0</v>
      </c>
      <c r="AM764" s="254">
        <f>FMS_Ranking4[[#This Row],[Structures removed, ArcSinh (0-10)]]*AK$5*10</f>
        <v>0</v>
      </c>
      <c r="AN764" s="253">
        <f>_xlfn.XLOOKUP(FMS_Ranking4[[#This Row],[FMS ID]],FMS_Input[FMS_ID],FMS_Input[REMRESSTRC100])</f>
        <v>0</v>
      </c>
      <c r="AO764" s="258">
        <f>FMS_Ranking4[[#This Row],[ArcSinh Res struct removed 0-10]]*AN$5*10</f>
        <v>0</v>
      </c>
      <c r="AP764" s="254">
        <f>ASINH(FMS_Ranking4[[#This Row],[Residential Structures Removed Raw]])/AP$4*AN$5*100</f>
        <v>0</v>
      </c>
      <c r="AQ764" s="260">
        <f>(ASINH(FMS_Ranking4[[#This Row],[Residential Structures Removed Raw]]))*(10)/(ASINH(AN$4))</f>
        <v>0</v>
      </c>
      <c r="AR764" s="253">
        <f>_xlfn.XLOOKUP(FMS_Ranking4[[#This Row],[FMS ID]],FMS_Input[FMS_ID],FMS_Input[REMPOP100])</f>
        <v>0</v>
      </c>
      <c r="AS764" s="259">
        <f>(ASINH(FMS_Ranking4[[#This Row],[Removed Pop Raw]]))*(10)/(ASINH(AR$4))</f>
        <v>0</v>
      </c>
      <c r="AT764" s="263">
        <f>FMS_Ranking4[[#This Row],[Removed population, ArcSinh (0-10)]]*AR$5*10</f>
        <v>0</v>
      </c>
      <c r="AU764" s="264">
        <f>_xlfn.XLOOKUP(FMS_Ranking4[[#This Row],[FMS ID]],FMS_Input[FMS_ID],FMS_Input[REMCRITFAC100])</f>
        <v>0</v>
      </c>
      <c r="AV764" s="264">
        <f>_xlfn.XLOOKUP(FMS_Ranking4[[#This Row],[FMS ID]],FMS_Input[FMS_ID],FMS_Input[REMLWC100])</f>
        <v>0</v>
      </c>
      <c r="AW764" s="264">
        <f>_xlfn.XLOOKUP(FMS_Ranking4[[#This Row],[FMS ID]],FMS_Input[FMS_ID],FMS_Input[REMROADCLS])</f>
        <v>0</v>
      </c>
      <c r="AX764" s="264">
        <f>_xlfn.XLOOKUP(FMS_Ranking4[[#This Row],[FMS ID]],FMS_Input[FMS_ID],FMS_Input[REMFRMACRE100])</f>
        <v>0</v>
      </c>
      <c r="AY764" s="258">
        <f>_xlfn.XLOOKUP(FMS_Ranking4[[#This Row],[FMS ID]],FMS_Input[FMS_ID],FMS_Input[COSTSTRUCT])</f>
        <v>0</v>
      </c>
      <c r="AZ764" s="258">
        <f>_xlfn.XLOOKUP(FMS_Ranking4[[#This Row],[FMS ID]],FMS_Input[FMS_ID],FMS_Input[NATURE])</f>
        <v>0</v>
      </c>
      <c r="BA764" s="290">
        <f>(((FMS_Ranking4[[#This Row],[% NBS Raw]]/AZ$4)*100)*AZ$5)</f>
        <v>0</v>
      </c>
      <c r="BB764" s="251" t="str">
        <f>_xlfn.XLOOKUP(FMS_Ranking4[[#This Row],[FMS ID]],FMS_Input[FMS_ID],FMS_Input[WATER_SUP])</f>
        <v>No</v>
      </c>
      <c r="BC764" s="265">
        <f>IF(FMS_Ranking4[[#This Row],[Water Supply Raw]]="Yes",10,0)</f>
        <v>0</v>
      </c>
      <c r="BD764" s="251">
        <f>_xlfn.XLOOKUP(FMS_Ranking4[[#This Row],[FMS Type]],FMS_TYPE[FMS_Type],FMS_TYPE[Score])</f>
        <v>8</v>
      </c>
      <c r="BE764" s="267">
        <f>FMS_Ranking4[[#This Row],[FMS_Type Score]]*$BD$5*10</f>
        <v>2</v>
      </c>
      <c r="BF76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3.2609218939557241E-4</v>
      </c>
      <c r="BG764" s="271">
        <f>_xlfn.RANK.EQ(BF764,$BF$8:$BF$870,0)+COUNTIF($BF$8:BF764,BF764)-1</f>
        <v>763</v>
      </c>
      <c r="BH764" s="268">
        <f>(((FMS_Ranking4[[#This Row],[Structures Removed Raw]]/AK$4)*100)*AK$5)+(((FMS_Ranking4[[#This Row],[Removed Pop Raw]]/AR$4)*100)*AR$5)</f>
        <v>0</v>
      </c>
      <c r="BI76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2.0003260921893955</v>
      </c>
      <c r="BJ764" s="325">
        <f>_xlfn.RANK.EQ(FMS_Ranking4[[#This Row],[Total Score 
(with linear
normalization)]],FMS_Ranking4[Total Score 
(with linear
normalization)],0)</f>
        <v>473</v>
      </c>
      <c r="BK764" s="327" t="e">
        <f>_xlfn.XLOOKUP(FMS_Ranking4[[#This Row],[FMS ID]],#REF!,#REF!)</f>
        <v>#REF!</v>
      </c>
      <c r="BL764"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3.6248411813564014</v>
      </c>
      <c r="BM764" s="330">
        <f>FMS_Ranking4[[#This Row],[ArcSinh Score Based on Normalized Reported Factors]]+FMS_Ranking4[[#This Row],[% NBS Score (Normalized)]]+(FMS_Ranking4[[#This Row],[Water Supply Score (Normalized)]]*10*$BB$5)+FMS_Ranking4[[#This Row],[FMS_Type Score Weighted]]</f>
        <v>5.6248411813564019</v>
      </c>
      <c r="BN764" s="327">
        <f>_xlfn.RANK.EQ(FMS_Ranking4[[#This Row],[Total Score (with ArcSinh normalization of select criteria)]],FMS_Ranking4[Total Score (with ArcSinh normalization of select criteria)],0)</f>
        <v>757</v>
      </c>
      <c r="BO764" s="270" t="str">
        <f>_xlfn.XLOOKUP(FMS_Ranking4[[#This Row],[FMS ID]],FMS_Input[FMS_ID],FMS_Input[FMS_RANK_YEAR])</f>
        <v>2023 Amended Plan</v>
      </c>
      <c r="BP764" s="204">
        <f>_xlfn.XLOOKUP(FMS_Ranking4[[#This Row],[FMS ID]],Prev_Rank[FMS ID],Prev_Rank[Prev Rank])</f>
        <v>688</v>
      </c>
      <c r="BQ764" s="334" t="e">
        <f>_xlfn.XLOOKUP(FMS_Ranking4[[#This Row],[FMS ID]],#REF!,#REF!)</f>
        <v>#REF!</v>
      </c>
      <c r="BR764" s="199" t="e">
        <f>SUM(#REF!,#REF!,#REF!,#REF!,#REF!,#REF!,#REF!,#REF!,#REF!,FMS_Ranking4[[#This Row],[ArcSinh Res struct removed 0-10]],#REF!)</f>
        <v>#REF!</v>
      </c>
      <c r="BS764" s="199" t="e">
        <f>FMS_Ranking4[[#This Row],[Log Score Based on Normalized Reported Factors]]+FMS_Ranking4[[#This Row],[% NBS Score (Normalized)]]+(FMS_Ranking4[[#This Row],[Water Supply Score (Normalized)]]*10*$BB$5)+(FMS_Ranking4[[#This Row],[FMS_Type Score Weighted]])</f>
        <v>#REF!</v>
      </c>
      <c r="BT764" s="200" t="e">
        <f>_xlfn.RANK.EQ(FMS_Ranking4[[#This Row],[Log Total Score]],FMS_Ranking4[Log Total Score],0)</f>
        <v>#REF!</v>
      </c>
      <c r="BU764" s="200" t="e">
        <f>_xlfn.XLOOKUP(FMS_Ranking4[[#This Row],[FMS ID]],#REF!,#REF!)</f>
        <v>#REF!</v>
      </c>
      <c r="BV764" s="200">
        <f>FMS_Ranking4[[#This Row],[Region Number]]</f>
        <v>3</v>
      </c>
      <c r="BW764" s="200">
        <f>FMS_Ranking4[[#This Row],[Rank (with ArcSinh normalization of select criteria)]]-FMS_Ranking4[[#This Row],[Rank
(with linear
normalization)]]</f>
        <v>284</v>
      </c>
      <c r="BX764" s="200" t="e">
        <f>FMS_Ranking4[[#This Row],[Log Rank]]-FMS_Ranking4[[#This Row],[Rank
(with linear
normalization)]]</f>
        <v>#REF!</v>
      </c>
      <c r="BY764" s="200" t="str">
        <f>IF(FMS_Ranking4[[#This Row],[FMS Type]]="Flood Measurement and Warning",FMS_Ranking4[[#This Row],[Rank (with ArcSinh normalization of select criteria)]],"")</f>
        <v/>
      </c>
      <c r="BZ764" s="200">
        <f>IF(FMS_Ranking4[[#This Row],[FMS Type]]="Regulatory and Guidance",FMS_Ranking4[[#This Row],[Rank (with ArcSinh normalization of select criteria)]],"")</f>
        <v>757</v>
      </c>
      <c r="CA764" s="200" t="str">
        <f>IF(FMS_Ranking4[[#This Row],[FMS Type]]="Education and Outreach",FMS_Ranking4[[#This Row],[Rank (with ArcSinh normalization of select criteria)]],"")</f>
        <v/>
      </c>
      <c r="CB764" s="200" t="str">
        <f>IF(FMS_Ranking4[[#This Row],[FMS Type]]="Property Acquisition and Structural Elevation",FMS_Ranking4[[#This Row],[Rank (with ArcSinh normalization of select criteria)]],"")</f>
        <v/>
      </c>
      <c r="CC764" s="200" t="str">
        <f>IF(FMS_Ranking4[[#This Row],[FMS Type]]="Infrastructure Projects",FMS_Ranking4[[#This Row],[Rank (with ArcSinh normalization of select criteria)]],"")</f>
        <v/>
      </c>
      <c r="CD764" s="200" t="str">
        <f>IF(FMS_Ranking4[[#This Row],[FMS Type]]="Other",FMS_Ranking4[[#This Row],[Rank (with ArcSinh normalization of select criteria)]],"")</f>
        <v/>
      </c>
    </row>
    <row r="765" spans="2:96" ht="45" x14ac:dyDescent="0.25">
      <c r="B765" s="342" t="s">
        <v>1513</v>
      </c>
      <c r="C765" s="287">
        <f>_xlfn.XLOOKUP(FMS_Ranking4[[#This Row],[FMS ID]],FMS_Input[FMS_ID],FMS_Input[RFPG_NUM])</f>
        <v>2</v>
      </c>
      <c r="D765" s="309" t="str">
        <f>_xlfn.XLOOKUP(FMS_Ranking4[[#This Row],[FMS ID]],FMS_Input[FMS_ID],FMS_Input[FMS_NAME])</f>
        <v>City of Avinger NFIP Involvement</v>
      </c>
      <c r="E765" s="308" t="str">
        <f>_xlfn.XLOOKUP(FMS_Ranking4[[#This Row],[FMS ID]],FMS_Input[FMS_ID],FMS_Input[SPONSOR])</f>
        <v>City of Avinger</v>
      </c>
      <c r="F765" s="309" t="str">
        <f>_xlfn.XLOOKUP(FMS_Ranking4[[#This Row],[FMS ID]],Sponsor[FMS_ID],Sponsor[SPONSOR NAME])</f>
        <v>City of Avinger</v>
      </c>
      <c r="G765" s="309" t="str">
        <f>_xlfn.XLOOKUP(FMS_Ranking4[[#This Row],[FMS ID]],FMS_Input[FMS_ID],FMS_Input[FMS_DESCR])</f>
        <v xml:space="preserve">Application to join NFIP or adoption of equivalent standards </v>
      </c>
      <c r="H765" s="247" t="str">
        <f>_xlfn.XLOOKUP(FMS_Ranking4[[#This Row],[FMS ID]],FMS_Input[FMS_ID],FMS_Input[FMS_TYPE])</f>
        <v>Regulatory and Guidance</v>
      </c>
      <c r="I765" s="288">
        <f>_xlfn.XLOOKUP(FMS_Ranking4[[#This Row],[FMS ID]],FMS_Input[FMS_ID],FMS_Input[NRNC_COST])</f>
        <v>100000</v>
      </c>
      <c r="J765" s="250">
        <f>_xlfn.XLOOKUP(FMS_Ranking4[[#This Row],[FMS ID]],FMS_Input[FMS_ID],FMS_Input[FMS_COST])</f>
        <v>100000</v>
      </c>
      <c r="K765" s="289" t="str">
        <f>_xlfn.XLOOKUP(FMS_Ranking4[[#This Row],[FMS ID]],FMS_Input[FMS_ID],FMS_Input[EMER_NEED])</f>
        <v>No</v>
      </c>
      <c r="L765" s="252">
        <f t="shared" si="11"/>
        <v>0</v>
      </c>
      <c r="M765" s="253">
        <f>_xlfn.XLOOKUP(FMS_Ranking4[[#This Row],[FMS ID]],FMS_Input[FMS_ID],FMS_Input[STRUCT_100])</f>
        <v>1</v>
      </c>
      <c r="N765" s="255">
        <f>(ASINH(FMS_Ranking4[[#This Row],[Structure at Risk Raw]]))*(10)/(ASINH(M$4))</f>
        <v>0.69289087024057039</v>
      </c>
      <c r="O765" s="255">
        <f>FMS_Ranking4[[#This Row],[Structures at risk, ArcSinh (0-10)]]*M$5*10</f>
        <v>0.6928908702405705</v>
      </c>
      <c r="P765" s="259">
        <f>_xlfn.XLOOKUP(FMS_Ranking4[[#This Row],[FMS ID]],FMS_Input[FMS_ID],FMS_Input[RES_STRUCT100])</f>
        <v>0</v>
      </c>
      <c r="Q765" s="257">
        <f>ASINH(FMS_Ranking4[[#This Row],[Res Structure Raw]])/Q$4*P$5*100</f>
        <v>0</v>
      </c>
      <c r="R765" s="259">
        <f>_xlfn.XLOOKUP(FMS_Ranking4[[#This Row],[FMS ID]],FMS_Input[FMS_ID],FMS_Input[POP100])</f>
        <v>8</v>
      </c>
      <c r="S765" s="259">
        <f>(ASINH(FMS_Ranking4[[#This Row],[Pop at Risk Raw]]))*(10)/(ASINH(R$4))</f>
        <v>1.9167604558558862</v>
      </c>
      <c r="T765" s="257">
        <f>FMS_Ranking4[[#This Row],[Population at risk, ArcSinh (0-10)]]*R$5*10</f>
        <v>1.9167604558558862</v>
      </c>
      <c r="U765" s="259">
        <f>_xlfn.XLOOKUP(FMS_Ranking4[[#This Row],[FMS ID]],FMS_Input[FMS_ID],FMS_Input[CRITFAC100])</f>
        <v>0</v>
      </c>
      <c r="V765" s="259">
        <f>(ASINH(FMS_Ranking4[[#This Row],[Critical Facilities Raw]]))*(10)/(ASINH(U$4))</f>
        <v>0</v>
      </c>
      <c r="W765" s="257">
        <f>FMS_Ranking4[[#This Row],[Critical facilities at risk, ArcSinh (0-10)]]*U$5*10</f>
        <v>0</v>
      </c>
      <c r="X765" s="259">
        <f>_xlfn.XLOOKUP(FMS_Ranking4[[#This Row],[FMS ID]],FMS_Input[FMS_ID],FMS_Input[LWC])</f>
        <v>0</v>
      </c>
      <c r="Y765" s="259">
        <f>(ASINH(FMS_Ranking4[[#This Row],[LWC Raw]]))*(10)/(ASINH(X$4))</f>
        <v>0</v>
      </c>
      <c r="Z765" s="257">
        <f>FMS_Ranking4[[#This Row],[LWC, ArcSInh (0-10)]]*X$5*10</f>
        <v>0</v>
      </c>
      <c r="AA765" s="259">
        <f>_xlfn.XLOOKUP(FMS_Ranking4[[#This Row],[FMS ID]],FMS_Input[FMS_ID],FMS_Input[ROADCLS])</f>
        <v>0</v>
      </c>
      <c r="AB765" s="255">
        <f>(ASINH(FMS_Ranking4[[#This Row],[Road Closures Raw]]))*(10)/(ASINH(AA$4))</f>
        <v>0</v>
      </c>
      <c r="AC765" s="255">
        <f>FMS_Ranking4[[#This Row],[Road closures, ArcSinh (0-10)]]*AA$5*10</f>
        <v>0</v>
      </c>
      <c r="AD765" s="259">
        <f>_xlfn.XLOOKUP(FMS_Ranking4[[#This Row],[FMS ID]],FMS_Input[FMS_ID],FMS_Input[ROAD_MILES100])</f>
        <v>1</v>
      </c>
      <c r="AE765" s="259">
        <f>(ASINH(FMS_Ranking4[[#This Row],[Road Miles Raw]]))*(10)/(ASINH(AD$4))</f>
        <v>0.9393017565219649</v>
      </c>
      <c r="AF765" s="257">
        <f>FMS_Ranking4[[#This Row],[Length of roads at risk, ArcSinh (0-10)]]*AD$5*10</f>
        <v>0.93930175652196501</v>
      </c>
      <c r="AG765" s="259">
        <f>_xlfn.XLOOKUP(FMS_Ranking4[[#This Row],[FMS ID]],FMS_Input[FMS_ID],FMS_Input[FARMACRE100])</f>
        <v>0.16391254961490631</v>
      </c>
      <c r="AH765" s="255">
        <f>(ASINH(FMS_Ranking4[[#This Row],[Ag Land Raw]]))*(10)/(ASINH(AG$4))</f>
        <v>0.10600344764882344</v>
      </c>
      <c r="AI765" s="254">
        <f>FMS_Ranking4[[#This Row],[Farm &amp; ranch land, ArcSinh (0-10)]]*AG$5*10</f>
        <v>5.300172382441172E-2</v>
      </c>
      <c r="AJ765" s="258">
        <f>_xlfn.XLOOKUP(FMS_Ranking4[[#This Row],[FMS ID]],FMS_Input[FMS_ID],FMS_Input[REDSTRUCT100])</f>
        <v>0</v>
      </c>
      <c r="AK765" s="253">
        <f>_xlfn.XLOOKUP(FMS_Ranking4[[#This Row],[FMS ID]],FMS_Input[FMS_ID],FMS_Input[REMSTRC100])</f>
        <v>0</v>
      </c>
      <c r="AL765" s="259">
        <f>(ASINH(FMS_Ranking4[[#This Row],[Structures Removed Raw]]))*(10)/(ASINH(AK$4))</f>
        <v>0</v>
      </c>
      <c r="AM765" s="254">
        <f>FMS_Ranking4[[#This Row],[Structures removed, ArcSinh (0-10)]]*AK$5*10</f>
        <v>0</v>
      </c>
      <c r="AN765" s="253">
        <f>_xlfn.XLOOKUP(FMS_Ranking4[[#This Row],[FMS ID]],FMS_Input[FMS_ID],FMS_Input[REMRESSTRC100])</f>
        <v>0</v>
      </c>
      <c r="AO765" s="258">
        <f>FMS_Ranking4[[#This Row],[ArcSinh Res struct removed 0-10]]*AN$5*10</f>
        <v>0</v>
      </c>
      <c r="AP765" s="254">
        <f>ASINH(FMS_Ranking4[[#This Row],[Residential Structures Removed Raw]])/AP$4*AN$5*100</f>
        <v>0</v>
      </c>
      <c r="AQ765" s="260">
        <f>(ASINH(FMS_Ranking4[[#This Row],[Residential Structures Removed Raw]]))*(10)/(ASINH(AN$4))</f>
        <v>0</v>
      </c>
      <c r="AR765" s="253">
        <f>_xlfn.XLOOKUP(FMS_Ranking4[[#This Row],[FMS ID]],FMS_Input[FMS_ID],FMS_Input[REMPOP100])</f>
        <v>0</v>
      </c>
      <c r="AS765" s="259">
        <f>(ASINH(FMS_Ranking4[[#This Row],[Removed Pop Raw]]))*(10)/(ASINH(AR$4))</f>
        <v>0</v>
      </c>
      <c r="AT765" s="263">
        <f>FMS_Ranking4[[#This Row],[Removed population, ArcSinh (0-10)]]*AR$5*10</f>
        <v>0</v>
      </c>
      <c r="AU765" s="264">
        <f>_xlfn.XLOOKUP(FMS_Ranking4[[#This Row],[FMS ID]],FMS_Input[FMS_ID],FMS_Input[REMCRITFAC100])</f>
        <v>0</v>
      </c>
      <c r="AV765" s="264">
        <f>_xlfn.XLOOKUP(FMS_Ranking4[[#This Row],[FMS ID]],FMS_Input[FMS_ID],FMS_Input[REMLWC100])</f>
        <v>0</v>
      </c>
      <c r="AW765" s="264">
        <f>_xlfn.XLOOKUP(FMS_Ranking4[[#This Row],[FMS ID]],FMS_Input[FMS_ID],FMS_Input[REMROADCLS])</f>
        <v>0</v>
      </c>
      <c r="AX765" s="264">
        <f>_xlfn.XLOOKUP(FMS_Ranking4[[#This Row],[FMS ID]],FMS_Input[FMS_ID],FMS_Input[REMFRMACRE100])</f>
        <v>0</v>
      </c>
      <c r="AY765" s="258">
        <f>_xlfn.XLOOKUP(FMS_Ranking4[[#This Row],[FMS ID]],FMS_Input[FMS_ID],FMS_Input[COSTSTRUCT])</f>
        <v>0</v>
      </c>
      <c r="AZ765" s="258">
        <f>_xlfn.XLOOKUP(FMS_Ranking4[[#This Row],[FMS ID]],FMS_Input[FMS_ID],FMS_Input[NATURE])</f>
        <v>0</v>
      </c>
      <c r="BA765" s="290">
        <f>(((FMS_Ranking4[[#This Row],[% NBS Raw]]/AZ$4)*100)*AZ$5)</f>
        <v>0</v>
      </c>
      <c r="BB765" s="251" t="str">
        <f>_xlfn.XLOOKUP(FMS_Ranking4[[#This Row],[FMS ID]],FMS_Input[FMS_ID],FMS_Input[WATER_SUP])</f>
        <v>No</v>
      </c>
      <c r="BC765" s="265">
        <f>IF(FMS_Ranking4[[#This Row],[Water Supply Raw]]="Yes",10,0)</f>
        <v>0</v>
      </c>
      <c r="BD765" s="251">
        <f>_xlfn.XLOOKUP(FMS_Ranking4[[#This Row],[FMS Type]],FMS_TYPE[FMS_Type],FMS_TYPE[Score])</f>
        <v>8</v>
      </c>
      <c r="BE765" s="267">
        <f>FMS_Ranking4[[#This Row],[FMS_Type Score]]*$BD$5*10</f>
        <v>2</v>
      </c>
      <c r="BF765"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1.8244028124528857E-3</v>
      </c>
      <c r="BG765" s="271">
        <f>_xlfn.RANK.EQ(BF765,$BF$8:$BF$870,0)+COUNTIF($BF$8:BF765,BF765)-1</f>
        <v>729</v>
      </c>
      <c r="BH765" s="268">
        <f>(((FMS_Ranking4[[#This Row],[Structures Removed Raw]]/AK$4)*100)*AK$5)+(((FMS_Ranking4[[#This Row],[Removed Pop Raw]]/AR$4)*100)*AR$5)</f>
        <v>0</v>
      </c>
      <c r="BI76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2.0018244028124528</v>
      </c>
      <c r="BJ765" s="325">
        <f>_xlfn.RANK.EQ(FMS_Ranking4[[#This Row],[Total Score 
(with linear
normalization)]],FMS_Ranking4[Total Score 
(with linear
normalization)],0)</f>
        <v>454</v>
      </c>
      <c r="BK765" s="327" t="e">
        <f>_xlfn.XLOOKUP(FMS_Ranking4[[#This Row],[FMS ID]],#REF!,#REF!)</f>
        <v>#REF!</v>
      </c>
      <c r="BL765"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3.6019548064428335</v>
      </c>
      <c r="BM765" s="330">
        <f>FMS_Ranking4[[#This Row],[ArcSinh Score Based on Normalized Reported Factors]]+FMS_Ranking4[[#This Row],[% NBS Score (Normalized)]]+(FMS_Ranking4[[#This Row],[Water Supply Score (Normalized)]]*10*$BB$5)+FMS_Ranking4[[#This Row],[FMS_Type Score Weighted]]</f>
        <v>5.6019548064428335</v>
      </c>
      <c r="BN765" s="327">
        <f>_xlfn.RANK.EQ(FMS_Ranking4[[#This Row],[Total Score (with ArcSinh normalization of select criteria)]],FMS_Ranking4[Total Score (with ArcSinh normalization of select criteria)],0)</f>
        <v>758</v>
      </c>
      <c r="BO765" s="270" t="str">
        <f>_xlfn.XLOOKUP(FMS_Ranking4[[#This Row],[FMS ID]],FMS_Input[FMS_ID],FMS_Input[FMS_RANK_YEAR])</f>
        <v>2023 Amended Plan</v>
      </c>
      <c r="BP765" s="204">
        <f>_xlfn.XLOOKUP(FMS_Ranking4[[#This Row],[FMS ID]],Prev_Rank[FMS ID],Prev_Rank[Prev Rank])</f>
        <v>687</v>
      </c>
      <c r="BQ765" s="334" t="e">
        <f>_xlfn.XLOOKUP(FMS_Ranking4[[#This Row],[FMS ID]],#REF!,#REF!)</f>
        <v>#REF!</v>
      </c>
      <c r="BR765" s="199" t="e">
        <f>SUM(#REF!,#REF!,#REF!,#REF!,#REF!,#REF!,#REF!,#REF!,#REF!,FMS_Ranking4[[#This Row],[ArcSinh Res struct removed 0-10]],#REF!)</f>
        <v>#REF!</v>
      </c>
      <c r="BS765" s="199" t="e">
        <f>FMS_Ranking4[[#This Row],[Log Score Based on Normalized Reported Factors]]+FMS_Ranking4[[#This Row],[% NBS Score (Normalized)]]+(FMS_Ranking4[[#This Row],[Water Supply Score (Normalized)]]*10*$BB$5)+(FMS_Ranking4[[#This Row],[FMS_Type Score Weighted]])</f>
        <v>#REF!</v>
      </c>
      <c r="BT765" s="200" t="e">
        <f>_xlfn.RANK.EQ(FMS_Ranking4[[#This Row],[Log Total Score]],FMS_Ranking4[Log Total Score],0)</f>
        <v>#REF!</v>
      </c>
      <c r="BU765" s="200" t="e">
        <f>_xlfn.XLOOKUP(FMS_Ranking4[[#This Row],[FMS ID]],#REF!,#REF!)</f>
        <v>#REF!</v>
      </c>
      <c r="BV765" s="200">
        <f>FMS_Ranking4[[#This Row],[Region Number]]</f>
        <v>2</v>
      </c>
      <c r="BW765" s="200">
        <f>FMS_Ranking4[[#This Row],[Rank (with ArcSinh normalization of select criteria)]]-FMS_Ranking4[[#This Row],[Rank
(with linear
normalization)]]</f>
        <v>304</v>
      </c>
      <c r="BX765" s="200" t="e">
        <f>FMS_Ranking4[[#This Row],[Log Rank]]-FMS_Ranking4[[#This Row],[Rank
(with linear
normalization)]]</f>
        <v>#REF!</v>
      </c>
      <c r="BY765" s="200" t="str">
        <f>IF(FMS_Ranking4[[#This Row],[FMS Type]]="Flood Measurement and Warning",FMS_Ranking4[[#This Row],[Rank (with ArcSinh normalization of select criteria)]],"")</f>
        <v/>
      </c>
      <c r="BZ765" s="200">
        <f>IF(FMS_Ranking4[[#This Row],[FMS Type]]="Regulatory and Guidance",FMS_Ranking4[[#This Row],[Rank (with ArcSinh normalization of select criteria)]],"")</f>
        <v>758</v>
      </c>
      <c r="CA765" s="200" t="str">
        <f>IF(FMS_Ranking4[[#This Row],[FMS Type]]="Education and Outreach",FMS_Ranking4[[#This Row],[Rank (with ArcSinh normalization of select criteria)]],"")</f>
        <v/>
      </c>
      <c r="CB765" s="200" t="str">
        <f>IF(FMS_Ranking4[[#This Row],[FMS Type]]="Property Acquisition and Structural Elevation",FMS_Ranking4[[#This Row],[Rank (with ArcSinh normalization of select criteria)]],"")</f>
        <v/>
      </c>
      <c r="CC765" s="200" t="str">
        <f>IF(FMS_Ranking4[[#This Row],[FMS Type]]="Infrastructure Projects",FMS_Ranking4[[#This Row],[Rank (with ArcSinh normalization of select criteria)]],"")</f>
        <v/>
      </c>
      <c r="CD765" s="200" t="str">
        <f>IF(FMS_Ranking4[[#This Row],[FMS Type]]="Other",FMS_Ranking4[[#This Row],[Rank (with ArcSinh normalization of select criteria)]],"")</f>
        <v/>
      </c>
    </row>
    <row r="766" spans="2:96" ht="60" x14ac:dyDescent="0.25">
      <c r="B766" s="342" t="s">
        <v>1716</v>
      </c>
      <c r="C766" s="287">
        <f>_xlfn.XLOOKUP(FMS_Ranking4[[#This Row],[FMS ID]],FMS_Input[FMS_ID],FMS_Input[RFPG_NUM])</f>
        <v>2</v>
      </c>
      <c r="D766" s="309" t="str">
        <f>_xlfn.XLOOKUP(FMS_Ranking4[[#This Row],[FMS ID]],FMS_Input[FMS_ID],FMS_Input[FMS_NAME])</f>
        <v xml:space="preserve">City of Sadler Lift Station Flood-Proofing </v>
      </c>
      <c r="E766" s="308" t="str">
        <f>_xlfn.XLOOKUP(FMS_Ranking4[[#This Row],[FMS ID]],FMS_Input[FMS_ID],FMS_Input[SPONSOR])</f>
        <v>City of Sadler</v>
      </c>
      <c r="F766" s="309" t="str">
        <f>_xlfn.XLOOKUP(FMS_Ranking4[[#This Row],[FMS ID]],Sponsor[FMS_ID],Sponsor[SPONSOR NAME])</f>
        <v>City of Sadler</v>
      </c>
      <c r="G766" s="309" t="str">
        <f>_xlfn.XLOOKUP(FMS_Ranking4[[#This Row],[FMS ID]],FMS_Input[FMS_ID],FMS_Input[FMS_DESCR])</f>
        <v>Raise electrical panels and connections on lift stations above expected flood levels in flood-prone areas.</v>
      </c>
      <c r="H766" s="247" t="str">
        <f>_xlfn.XLOOKUP(FMS_Ranking4[[#This Row],[FMS ID]],FMS_Input[FMS_ID],FMS_Input[FMS_TYPE])</f>
        <v>Property Acquisition and Structural Elevation</v>
      </c>
      <c r="I766" s="288">
        <f>_xlfn.XLOOKUP(FMS_Ranking4[[#This Row],[FMS ID]],FMS_Input[FMS_ID],FMS_Input[NRNC_COST])</f>
        <v>100000</v>
      </c>
      <c r="J766" s="250">
        <f>_xlfn.XLOOKUP(FMS_Ranking4[[#This Row],[FMS ID]],FMS_Input[FMS_ID],FMS_Input[FMS_COST])</f>
        <v>100000</v>
      </c>
      <c r="K766" s="289" t="str">
        <f>_xlfn.XLOOKUP(FMS_Ranking4[[#This Row],[FMS ID]],FMS_Input[FMS_ID],FMS_Input[EMER_NEED])</f>
        <v>No</v>
      </c>
      <c r="L766" s="252">
        <f t="shared" si="11"/>
        <v>0</v>
      </c>
      <c r="M766" s="253">
        <f>_xlfn.XLOOKUP(FMS_Ranking4[[#This Row],[FMS ID]],FMS_Input[FMS_ID],FMS_Input[STRUCT_100])</f>
        <v>6</v>
      </c>
      <c r="N766" s="255">
        <f>(ASINH(FMS_Ranking4[[#This Row],[Structure at Risk Raw]]))*(10)/(ASINH(M$4))</f>
        <v>1.9589099741296994</v>
      </c>
      <c r="O766" s="255">
        <f>FMS_Ranking4[[#This Row],[Structures at risk, ArcSinh (0-10)]]*M$5*10</f>
        <v>1.9589099741296994</v>
      </c>
      <c r="P766" s="259">
        <f>_xlfn.XLOOKUP(FMS_Ranking4[[#This Row],[FMS ID]],FMS_Input[FMS_ID],FMS_Input[RES_STRUCT100])</f>
        <v>5</v>
      </c>
      <c r="Q766" s="257">
        <f>ASINH(FMS_Ranking4[[#This Row],[Res Structure Raw]])/Q$4*P$5*100</f>
        <v>0</v>
      </c>
      <c r="R766" s="259">
        <f>_xlfn.XLOOKUP(FMS_Ranking4[[#This Row],[FMS ID]],FMS_Input[FMS_ID],FMS_Input[POP100])</f>
        <v>2</v>
      </c>
      <c r="S766" s="255">
        <f>(ASINH(FMS_Ranking4[[#This Row],[Pop at Risk Raw]]))*(10)/(ASINH(R$4))</f>
        <v>0.9966256139867492</v>
      </c>
      <c r="T766" s="257">
        <f>FMS_Ranking4[[#This Row],[Population at risk, ArcSinh (0-10)]]*R$5*10</f>
        <v>0.9966256139867492</v>
      </c>
      <c r="U766" s="259">
        <f>_xlfn.XLOOKUP(FMS_Ranking4[[#This Row],[FMS ID]],FMS_Input[FMS_ID],FMS_Input[CRITFAC100])</f>
        <v>0</v>
      </c>
      <c r="V766" s="255">
        <f>(ASINH(FMS_Ranking4[[#This Row],[Critical Facilities Raw]]))*(10)/(ASINH(U$4))</f>
        <v>0</v>
      </c>
      <c r="W766" s="257">
        <f>FMS_Ranking4[[#This Row],[Critical facilities at risk, ArcSinh (0-10)]]*U$5*10</f>
        <v>0</v>
      </c>
      <c r="X766" s="259">
        <f>_xlfn.XLOOKUP(FMS_Ranking4[[#This Row],[FMS ID]],FMS_Input[FMS_ID],FMS_Input[LWC])</f>
        <v>0</v>
      </c>
      <c r="Y766" s="255">
        <f>(ASINH(FMS_Ranking4[[#This Row],[LWC Raw]]))*(10)/(ASINH(X$4))</f>
        <v>0</v>
      </c>
      <c r="Z766" s="257">
        <f>FMS_Ranking4[[#This Row],[LWC, ArcSInh (0-10)]]*X$5*10</f>
        <v>0</v>
      </c>
      <c r="AA766" s="259">
        <f>_xlfn.XLOOKUP(FMS_Ranking4[[#This Row],[FMS ID]],FMS_Input[FMS_ID],FMS_Input[ROADCLS])</f>
        <v>0</v>
      </c>
      <c r="AB766" s="255">
        <f>(ASINH(FMS_Ranking4[[#This Row],[Road Closures Raw]]))*(10)/(ASINH(AA$4))</f>
        <v>0</v>
      </c>
      <c r="AC766" s="255">
        <f>FMS_Ranking4[[#This Row],[Road closures, ArcSinh (0-10)]]*AA$5*10</f>
        <v>0</v>
      </c>
      <c r="AD766" s="259">
        <f>_xlfn.XLOOKUP(FMS_Ranking4[[#This Row],[FMS ID]],FMS_Input[FMS_ID],FMS_Input[ROAD_MILES100])</f>
        <v>1</v>
      </c>
      <c r="AE766" s="255">
        <f>(ASINH(FMS_Ranking4[[#This Row],[Road Miles Raw]]))*(10)/(ASINH(AD$4))</f>
        <v>0.9393017565219649</v>
      </c>
      <c r="AF766" s="257">
        <f>FMS_Ranking4[[#This Row],[Length of roads at risk, ArcSinh (0-10)]]*AD$5*10</f>
        <v>0.93930175652196501</v>
      </c>
      <c r="AG766" s="259">
        <f>_xlfn.XLOOKUP(FMS_Ranking4[[#This Row],[FMS ID]],FMS_Input[FMS_ID],FMS_Input[FARMACRE100])</f>
        <v>3.107637882232666</v>
      </c>
      <c r="AH766" s="255">
        <f>(ASINH(FMS_Ranking4[[#This Row],[Ag Land Raw]]))*(10)/(ASINH(AG$4))</f>
        <v>1.2029897503989953</v>
      </c>
      <c r="AI766" s="254">
        <f>FMS_Ranking4[[#This Row],[Farm &amp; ranch land, ArcSinh (0-10)]]*AG$5*10</f>
        <v>0.60149487519949763</v>
      </c>
      <c r="AJ766" s="258">
        <f>_xlfn.XLOOKUP(FMS_Ranking4[[#This Row],[FMS ID]],FMS_Input[FMS_ID],FMS_Input[REDSTRUCT100])</f>
        <v>0</v>
      </c>
      <c r="AK766" s="253">
        <f>_xlfn.XLOOKUP(FMS_Ranking4[[#This Row],[FMS ID]],FMS_Input[FMS_ID],FMS_Input[REMSTRC100])</f>
        <v>0</v>
      </c>
      <c r="AL766" s="255">
        <f>(ASINH(FMS_Ranking4[[#This Row],[Structures Removed Raw]]))*(10)/(ASINH(AK$4))</f>
        <v>0</v>
      </c>
      <c r="AM766" s="254">
        <f>FMS_Ranking4[[#This Row],[Structures removed, ArcSinh (0-10)]]*AK$5*10</f>
        <v>0</v>
      </c>
      <c r="AN766" s="253">
        <f>_xlfn.XLOOKUP(FMS_Ranking4[[#This Row],[FMS ID]],FMS_Input[FMS_ID],FMS_Input[REMRESSTRC100])</f>
        <v>0</v>
      </c>
      <c r="AO766" s="258">
        <f>FMS_Ranking4[[#This Row],[ArcSinh Res struct removed 0-10]]*AN$5*10</f>
        <v>0</v>
      </c>
      <c r="AP766" s="254">
        <f>ASINH(FMS_Ranking4[[#This Row],[Residential Structures Removed Raw]])/AP$4*AN$5*100</f>
        <v>0</v>
      </c>
      <c r="AQ766" s="261">
        <f>(ASINH(FMS_Ranking4[[#This Row],[Residential Structures Removed Raw]]))*(10)/(ASINH(AN$4))</f>
        <v>0</v>
      </c>
      <c r="AR766" s="253">
        <f>_xlfn.XLOOKUP(FMS_Ranking4[[#This Row],[FMS ID]],FMS_Input[FMS_ID],FMS_Input[REMPOP100])</f>
        <v>0</v>
      </c>
      <c r="AS766" s="255">
        <f>(ASINH(FMS_Ranking4[[#This Row],[Removed Pop Raw]]))*(10)/(ASINH(AR$4))</f>
        <v>0</v>
      </c>
      <c r="AT766" s="263">
        <f>FMS_Ranking4[[#This Row],[Removed population, ArcSinh (0-10)]]*AR$5*10</f>
        <v>0</v>
      </c>
      <c r="AU766" s="264">
        <f>_xlfn.XLOOKUP(FMS_Ranking4[[#This Row],[FMS ID]],FMS_Input[FMS_ID],FMS_Input[REMCRITFAC100])</f>
        <v>0</v>
      </c>
      <c r="AV766" s="264">
        <f>_xlfn.XLOOKUP(FMS_Ranking4[[#This Row],[FMS ID]],FMS_Input[FMS_ID],FMS_Input[REMLWC100])</f>
        <v>0</v>
      </c>
      <c r="AW766" s="264">
        <f>_xlfn.XLOOKUP(FMS_Ranking4[[#This Row],[FMS ID]],FMS_Input[FMS_ID],FMS_Input[REMROADCLS])</f>
        <v>0</v>
      </c>
      <c r="AX766" s="264">
        <f>_xlfn.XLOOKUP(FMS_Ranking4[[#This Row],[FMS ID]],FMS_Input[FMS_ID],FMS_Input[REMFRMACRE100])</f>
        <v>0</v>
      </c>
      <c r="AY766" s="258">
        <f>_xlfn.XLOOKUP(FMS_Ranking4[[#This Row],[FMS ID]],FMS_Input[FMS_ID],FMS_Input[COSTSTRUCT])</f>
        <v>0</v>
      </c>
      <c r="AZ766" s="258">
        <f>_xlfn.XLOOKUP(FMS_Ranking4[[#This Row],[FMS ID]],FMS_Input[FMS_ID],FMS_Input[NATURE])</f>
        <v>0</v>
      </c>
      <c r="BA766" s="290">
        <f>(((FMS_Ranking4[[#This Row],[% NBS Raw]]/AZ$4)*100)*AZ$5)</f>
        <v>0</v>
      </c>
      <c r="BB766" s="251" t="str">
        <f>_xlfn.XLOOKUP(FMS_Ranking4[[#This Row],[FMS ID]],FMS_Input[FMS_ID],FMS_Input[WATER_SUP])</f>
        <v>No</v>
      </c>
      <c r="BC766" s="265">
        <f>IF(FMS_Ranking4[[#This Row],[Water Supply Raw]]="Yes",10,0)</f>
        <v>0</v>
      </c>
      <c r="BD766" s="251">
        <f>_xlfn.XLOOKUP(FMS_Ranking4[[#This Row],[FMS Type]],FMS_TYPE[FMS_Type],FMS_TYPE[Score])</f>
        <v>4</v>
      </c>
      <c r="BE766" s="267">
        <f>FMS_Ranking4[[#This Row],[FMS_Type Score]]*$BD$5*10</f>
        <v>1</v>
      </c>
      <c r="BF766"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2.0680502155861038E-3</v>
      </c>
      <c r="BG766" s="321">
        <f>_xlfn.RANK.EQ(BF766,$BF$8:$BF$870,0)+COUNTIF($BF$8:BF766,BF766)-1</f>
        <v>722</v>
      </c>
      <c r="BH766" s="294">
        <f>(((FMS_Ranking4[[#This Row],[Structures Removed Raw]]/AK$4)*100)*AK$5)+(((FMS_Ranking4[[#This Row],[Removed Pop Raw]]/AR$4)*100)*AR$5)</f>
        <v>0</v>
      </c>
      <c r="BI76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1.0020680502155861</v>
      </c>
      <c r="BJ766" s="296">
        <f>_xlfn.RANK.EQ(FMS_Ranking4[[#This Row],[Total Score 
(with linear
normalization)]],FMS_Ranking4[Total Score 
(with linear
normalization)],0)</f>
        <v>734</v>
      </c>
      <c r="BK766" s="292" t="e">
        <f>_xlfn.XLOOKUP(FMS_Ranking4[[#This Row],[FMS ID]],#REF!,#REF!)</f>
        <v>#REF!</v>
      </c>
      <c r="BL766"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4.4963322198379112</v>
      </c>
      <c r="BM766" s="298">
        <f>FMS_Ranking4[[#This Row],[ArcSinh Score Based on Normalized Reported Factors]]+FMS_Ranking4[[#This Row],[% NBS Score (Normalized)]]+(FMS_Ranking4[[#This Row],[Water Supply Score (Normalized)]]*10*$BB$5)+FMS_Ranking4[[#This Row],[FMS_Type Score Weighted]]</f>
        <v>5.4963322198379112</v>
      </c>
      <c r="BN766" s="292">
        <f>_xlfn.RANK.EQ(FMS_Ranking4[[#This Row],[Total Score (with ArcSinh normalization of select criteria)]],FMS_Ranking4[Total Score (with ArcSinh normalization of select criteria)],0)</f>
        <v>759</v>
      </c>
      <c r="BO766" s="270" t="str">
        <f>_xlfn.XLOOKUP(FMS_Ranking4[[#This Row],[FMS ID]],FMS_Input[FMS_ID],FMS_Input[FMS_RANK_YEAR])</f>
        <v>2023 Amended Plan</v>
      </c>
      <c r="BP766" s="204">
        <f>_xlfn.XLOOKUP(FMS_Ranking4[[#This Row],[FMS ID]],Prev_Rank[FMS ID],Prev_Rank[Prev Rank])</f>
        <v>689</v>
      </c>
      <c r="BQ766" s="265" t="e">
        <f>_xlfn.XLOOKUP(FMS_Ranking4[[#This Row],[FMS ID]],#REF!,#REF!)</f>
        <v>#REF!</v>
      </c>
      <c r="BR766" s="199" t="e">
        <f>SUM(#REF!,#REF!,#REF!,#REF!,#REF!,#REF!,#REF!,#REF!,#REF!,FMS_Ranking4[[#This Row],[ArcSinh Res struct removed 0-10]],#REF!)</f>
        <v>#REF!</v>
      </c>
      <c r="BS766" s="199" t="e">
        <f>FMS_Ranking4[[#This Row],[Log Score Based on Normalized Reported Factors]]+FMS_Ranking4[[#This Row],[% NBS Score (Normalized)]]+(FMS_Ranking4[[#This Row],[Water Supply Score (Normalized)]]*10*$BB$5)+(FMS_Ranking4[[#This Row],[FMS_Type Score Weighted]])</f>
        <v>#REF!</v>
      </c>
      <c r="BT766" s="200" t="e">
        <f>_xlfn.RANK.EQ(FMS_Ranking4[[#This Row],[Log Total Score]],FMS_Ranking4[Log Total Score],0)</f>
        <v>#REF!</v>
      </c>
      <c r="BU766" s="200" t="e">
        <f>_xlfn.XLOOKUP(FMS_Ranking4[[#This Row],[FMS ID]],#REF!,#REF!)</f>
        <v>#REF!</v>
      </c>
      <c r="BV766" s="200">
        <f>FMS_Ranking4[[#This Row],[Region Number]]</f>
        <v>2</v>
      </c>
      <c r="BW766" s="200">
        <f>FMS_Ranking4[[#This Row],[Rank (with ArcSinh normalization of select criteria)]]-FMS_Ranking4[[#This Row],[Rank
(with linear
normalization)]]</f>
        <v>25</v>
      </c>
      <c r="BX766" s="200" t="e">
        <f>FMS_Ranking4[[#This Row],[Log Rank]]-FMS_Ranking4[[#This Row],[Rank
(with linear
normalization)]]</f>
        <v>#REF!</v>
      </c>
      <c r="BY766" s="200" t="str">
        <f>IF(FMS_Ranking4[[#This Row],[FMS Type]]="Flood Measurement and Warning",FMS_Ranking4[[#This Row],[Rank (with ArcSinh normalization of select criteria)]],"")</f>
        <v/>
      </c>
      <c r="BZ766" s="200" t="str">
        <f>IF(FMS_Ranking4[[#This Row],[FMS Type]]="Regulatory and Guidance",FMS_Ranking4[[#This Row],[Rank (with ArcSinh normalization of select criteria)]],"")</f>
        <v/>
      </c>
      <c r="CA766" s="200" t="str">
        <f>IF(FMS_Ranking4[[#This Row],[FMS Type]]="Education and Outreach",FMS_Ranking4[[#This Row],[Rank (with ArcSinh normalization of select criteria)]],"")</f>
        <v/>
      </c>
      <c r="CB766" s="200">
        <f>IF(FMS_Ranking4[[#This Row],[FMS Type]]="Property Acquisition and Structural Elevation",FMS_Ranking4[[#This Row],[Rank (with ArcSinh normalization of select criteria)]],"")</f>
        <v>759</v>
      </c>
      <c r="CC766" s="200" t="str">
        <f>IF(FMS_Ranking4[[#This Row],[FMS Type]]="Infrastructure Projects",FMS_Ranking4[[#This Row],[Rank (with ArcSinh normalization of select criteria)]],"")</f>
        <v/>
      </c>
      <c r="CD766" s="200" t="str">
        <f>IF(FMS_Ranking4[[#This Row],[FMS Type]]="Other",FMS_Ranking4[[#This Row],[Rank (with ArcSinh normalization of select criteria)]],"")</f>
        <v/>
      </c>
    </row>
    <row r="767" spans="2:96" ht="45" x14ac:dyDescent="0.25">
      <c r="B767" s="342" t="s">
        <v>2345</v>
      </c>
      <c r="C767" s="287">
        <f>_xlfn.XLOOKUP(FMS_Ranking4[[#This Row],[FMS ID]],FMS_Input[FMS_ID],FMS_Input[RFPG_NUM])</f>
        <v>3</v>
      </c>
      <c r="D767" s="309" t="str">
        <f>_xlfn.XLOOKUP(FMS_Ranking4[[#This Row],[FMS ID]],FMS_Input[FMS_ID],FMS_Input[FMS_NAME])</f>
        <v>City of Emhouse NFIP Floodplain Ordinance</v>
      </c>
      <c r="E767" s="308" t="str">
        <f>_xlfn.XLOOKUP(FMS_Ranking4[[#This Row],[FMS ID]],FMS_Input[FMS_ID],FMS_Input[SPONSOR])</f>
        <v>Emhouse</v>
      </c>
      <c r="F767" s="309" t="str">
        <f>_xlfn.XLOOKUP(FMS_Ranking4[[#This Row],[FMS ID]],Sponsor[FMS_ID],Sponsor[SPONSOR NAME])</f>
        <v>Emhouse</v>
      </c>
      <c r="G767" s="309" t="str">
        <f>_xlfn.XLOOKUP(FMS_Ranking4[[#This Row],[FMS ID]],FMS_Input[FMS_ID],FMS_Input[FMS_DESCR])</f>
        <v>Develop a floodplain ordinance that meets or exceeds FEMA's minimum standards</v>
      </c>
      <c r="H767" s="247" t="str">
        <f>_xlfn.XLOOKUP(FMS_Ranking4[[#This Row],[FMS ID]],FMS_Input[FMS_ID],FMS_Input[FMS_TYPE])</f>
        <v>Regulatory and Guidance</v>
      </c>
      <c r="I767" s="288">
        <f>_xlfn.XLOOKUP(FMS_Ranking4[[#This Row],[FMS ID]],FMS_Input[FMS_ID],FMS_Input[NRNC_COST])</f>
        <v>100000</v>
      </c>
      <c r="J767" s="250">
        <f>_xlfn.XLOOKUP(FMS_Ranking4[[#This Row],[FMS ID]],FMS_Input[FMS_ID],FMS_Input[FMS_COST])</f>
        <v>100000</v>
      </c>
      <c r="K767" s="289" t="str">
        <f>_xlfn.XLOOKUP(FMS_Ranking4[[#This Row],[FMS ID]],FMS_Input[FMS_ID],FMS_Input[EMER_NEED])</f>
        <v>No</v>
      </c>
      <c r="L767" s="252">
        <f t="shared" si="11"/>
        <v>0</v>
      </c>
      <c r="M767" s="253">
        <f>_xlfn.XLOOKUP(FMS_Ranking4[[#This Row],[FMS ID]],FMS_Input[FMS_ID],FMS_Input[STRUCT_100])</f>
        <v>3</v>
      </c>
      <c r="N767" s="255">
        <f>(ASINH(FMS_Ranking4[[#This Row],[Structure at Risk Raw]]))*(10)/(ASINH(M$4))</f>
        <v>1.4295696719071895</v>
      </c>
      <c r="O767" s="255">
        <f>FMS_Ranking4[[#This Row],[Structures at risk, ArcSinh (0-10)]]*M$5*10</f>
        <v>1.4295696719071895</v>
      </c>
      <c r="P767" s="259">
        <f>_xlfn.XLOOKUP(FMS_Ranking4[[#This Row],[FMS ID]],FMS_Input[FMS_ID],FMS_Input[RES_STRUCT100])</f>
        <v>3</v>
      </c>
      <c r="Q767" s="257">
        <f>ASINH(FMS_Ranking4[[#This Row],[Res Structure Raw]])/Q$4*P$5*100</f>
        <v>0</v>
      </c>
      <c r="R767" s="259">
        <f>_xlfn.XLOOKUP(FMS_Ranking4[[#This Row],[FMS ID]],FMS_Input[FMS_ID],FMS_Input[POP100])</f>
        <v>2</v>
      </c>
      <c r="S767" s="259">
        <f>(ASINH(FMS_Ranking4[[#This Row],[Pop at Risk Raw]]))*(10)/(ASINH(R$4))</f>
        <v>0.9966256139867492</v>
      </c>
      <c r="T767" s="257">
        <f>FMS_Ranking4[[#This Row],[Population at risk, ArcSinh (0-10)]]*R$5*10</f>
        <v>0.9966256139867492</v>
      </c>
      <c r="U767" s="259">
        <f>_xlfn.XLOOKUP(FMS_Ranking4[[#This Row],[FMS ID]],FMS_Input[FMS_ID],FMS_Input[CRITFAC100])</f>
        <v>0</v>
      </c>
      <c r="V767" s="259">
        <f>(ASINH(FMS_Ranking4[[#This Row],[Critical Facilities Raw]]))*(10)/(ASINH(U$4))</f>
        <v>0</v>
      </c>
      <c r="W767" s="257">
        <f>FMS_Ranking4[[#This Row],[Critical facilities at risk, ArcSinh (0-10)]]*U$5*10</f>
        <v>0</v>
      </c>
      <c r="X767" s="259">
        <f>_xlfn.XLOOKUP(FMS_Ranking4[[#This Row],[FMS ID]],FMS_Input[FMS_ID],FMS_Input[LWC])</f>
        <v>0</v>
      </c>
      <c r="Y767" s="259">
        <f>(ASINH(FMS_Ranking4[[#This Row],[LWC Raw]]))*(10)/(ASINH(X$4))</f>
        <v>0</v>
      </c>
      <c r="Z767" s="257">
        <f>FMS_Ranking4[[#This Row],[LWC, ArcSInh (0-10)]]*X$5*10</f>
        <v>0</v>
      </c>
      <c r="AA767" s="259">
        <f>_xlfn.XLOOKUP(FMS_Ranking4[[#This Row],[FMS ID]],FMS_Input[FMS_ID],FMS_Input[ROADCLS])</f>
        <v>0</v>
      </c>
      <c r="AB767" s="255">
        <f>(ASINH(FMS_Ranking4[[#This Row],[Road Closures Raw]]))*(10)/(ASINH(AA$4))</f>
        <v>0</v>
      </c>
      <c r="AC767" s="255">
        <f>FMS_Ranking4[[#This Row],[Road closures, ArcSinh (0-10)]]*AA$5*10</f>
        <v>0</v>
      </c>
      <c r="AD767" s="259">
        <f>_xlfn.XLOOKUP(FMS_Ranking4[[#This Row],[FMS ID]],FMS_Input[FMS_ID],FMS_Input[ROAD_MILES100])</f>
        <v>0</v>
      </c>
      <c r="AE767" s="259">
        <f>(ASINH(FMS_Ranking4[[#This Row],[Road Miles Raw]]))*(10)/(ASINH(AD$4))</f>
        <v>0</v>
      </c>
      <c r="AF767" s="257">
        <f>FMS_Ranking4[[#This Row],[Length of roads at risk, ArcSinh (0-10)]]*AD$5*10</f>
        <v>0</v>
      </c>
      <c r="AG767" s="259">
        <f>_xlfn.XLOOKUP(FMS_Ranking4[[#This Row],[FMS ID]],FMS_Input[FMS_ID],FMS_Input[FARMACRE100])</f>
        <v>10.030240058898929</v>
      </c>
      <c r="AH767" s="255">
        <f>(ASINH(FMS_Ranking4[[#This Row],[Ag Land Raw]]))*(10)/(ASINH(AG$4))</f>
        <v>1.9495417386564051</v>
      </c>
      <c r="AI767" s="254">
        <f>FMS_Ranking4[[#This Row],[Farm &amp; ranch land, ArcSinh (0-10)]]*AG$5*10</f>
        <v>0.97477086932820256</v>
      </c>
      <c r="AJ767" s="258">
        <f>_xlfn.XLOOKUP(FMS_Ranking4[[#This Row],[FMS ID]],FMS_Input[FMS_ID],FMS_Input[REDSTRUCT100])</f>
        <v>0</v>
      </c>
      <c r="AK767" s="253">
        <f>_xlfn.XLOOKUP(FMS_Ranking4[[#This Row],[FMS ID]],FMS_Input[FMS_ID],FMS_Input[REMSTRC100])</f>
        <v>0</v>
      </c>
      <c r="AL767" s="259">
        <f>(ASINH(FMS_Ranking4[[#This Row],[Structures Removed Raw]]))*(10)/(ASINH(AK$4))</f>
        <v>0</v>
      </c>
      <c r="AM767" s="254">
        <f>FMS_Ranking4[[#This Row],[Structures removed, ArcSinh (0-10)]]*AK$5*10</f>
        <v>0</v>
      </c>
      <c r="AN767" s="253">
        <f>_xlfn.XLOOKUP(FMS_Ranking4[[#This Row],[FMS ID]],FMS_Input[FMS_ID],FMS_Input[REMRESSTRC100])</f>
        <v>0</v>
      </c>
      <c r="AO767" s="258">
        <f>FMS_Ranking4[[#This Row],[ArcSinh Res struct removed 0-10]]*AN$5*10</f>
        <v>0</v>
      </c>
      <c r="AP767" s="254">
        <f>ASINH(FMS_Ranking4[[#This Row],[Residential Structures Removed Raw]])/AP$4*AN$5*100</f>
        <v>0</v>
      </c>
      <c r="AQ767" s="260">
        <f>(ASINH(FMS_Ranking4[[#This Row],[Residential Structures Removed Raw]]))*(10)/(ASINH(AN$4))</f>
        <v>0</v>
      </c>
      <c r="AR767" s="253">
        <f>_xlfn.XLOOKUP(FMS_Ranking4[[#This Row],[FMS ID]],FMS_Input[FMS_ID],FMS_Input[REMPOP100])</f>
        <v>0</v>
      </c>
      <c r="AS767" s="259">
        <f>(ASINH(FMS_Ranking4[[#This Row],[Removed Pop Raw]]))*(10)/(ASINH(AR$4))</f>
        <v>0</v>
      </c>
      <c r="AT767" s="263">
        <f>FMS_Ranking4[[#This Row],[Removed population, ArcSinh (0-10)]]*AR$5*10</f>
        <v>0</v>
      </c>
      <c r="AU767" s="264">
        <f>_xlfn.XLOOKUP(FMS_Ranking4[[#This Row],[FMS ID]],FMS_Input[FMS_ID],FMS_Input[REMCRITFAC100])</f>
        <v>0</v>
      </c>
      <c r="AV767" s="264">
        <f>_xlfn.XLOOKUP(FMS_Ranking4[[#This Row],[FMS ID]],FMS_Input[FMS_ID],FMS_Input[REMLWC100])</f>
        <v>0</v>
      </c>
      <c r="AW767" s="264">
        <f>_xlfn.XLOOKUP(FMS_Ranking4[[#This Row],[FMS ID]],FMS_Input[FMS_ID],FMS_Input[REMROADCLS])</f>
        <v>0</v>
      </c>
      <c r="AX767" s="264">
        <f>_xlfn.XLOOKUP(FMS_Ranking4[[#This Row],[FMS ID]],FMS_Input[FMS_ID],FMS_Input[REMFRMACRE100])</f>
        <v>0</v>
      </c>
      <c r="AY767" s="258">
        <f>_xlfn.XLOOKUP(FMS_Ranking4[[#This Row],[FMS ID]],FMS_Input[FMS_ID],FMS_Input[COSTSTRUCT])</f>
        <v>0</v>
      </c>
      <c r="AZ767" s="258">
        <f>_xlfn.XLOOKUP(FMS_Ranking4[[#This Row],[FMS ID]],FMS_Input[FMS_ID],FMS_Input[NATURE])</f>
        <v>0</v>
      </c>
      <c r="BA767" s="290">
        <f>(((FMS_Ranking4[[#This Row],[% NBS Raw]]/AZ$4)*100)*AZ$5)</f>
        <v>0</v>
      </c>
      <c r="BB767" s="251" t="str">
        <f>_xlfn.XLOOKUP(FMS_Ranking4[[#This Row],[FMS ID]],FMS_Input[FMS_ID],FMS_Input[WATER_SUP])</f>
        <v>No</v>
      </c>
      <c r="BC767" s="265">
        <f>IF(FMS_Ranking4[[#This Row],[Water Supply Raw]]="Yes",10,0)</f>
        <v>0</v>
      </c>
      <c r="BD767" s="251">
        <f>_xlfn.XLOOKUP(FMS_Ranking4[[#This Row],[FMS Type]],FMS_TYPE[FMS_Type],FMS_TYPE[Score])</f>
        <v>8</v>
      </c>
      <c r="BE767" s="267">
        <f>FMS_Ranking4[[#This Row],[FMS_Type Score]]*$BD$5*10</f>
        <v>2</v>
      </c>
      <c r="BF76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2.2055421047410714E-4</v>
      </c>
      <c r="BG767" s="271">
        <f>_xlfn.RANK.EQ(BF767,$BF$8:$BF$870,0)+COUNTIF($BF$8:BF767,BF767)-1</f>
        <v>771</v>
      </c>
      <c r="BH767" s="268">
        <f>(((FMS_Ranking4[[#This Row],[Structures Removed Raw]]/AK$4)*100)*AK$5)+(((FMS_Ranking4[[#This Row],[Removed Pop Raw]]/AR$4)*100)*AR$5)</f>
        <v>0</v>
      </c>
      <c r="BI76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2.0002205542104741</v>
      </c>
      <c r="BJ767" s="325">
        <f>_xlfn.RANK.EQ(FMS_Ranking4[[#This Row],[Total Score 
(with linear
normalization)]],FMS_Ranking4[Total Score 
(with linear
normalization)],0)</f>
        <v>476</v>
      </c>
      <c r="BK767" s="327" t="e">
        <f>_xlfn.XLOOKUP(FMS_Ranking4[[#This Row],[FMS ID]],#REF!,#REF!)</f>
        <v>#REF!</v>
      </c>
      <c r="BL76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3.4009661552221413</v>
      </c>
      <c r="BM767" s="330">
        <f>FMS_Ranking4[[#This Row],[ArcSinh Score Based on Normalized Reported Factors]]+FMS_Ranking4[[#This Row],[% NBS Score (Normalized)]]+(FMS_Ranking4[[#This Row],[Water Supply Score (Normalized)]]*10*$BB$5)+FMS_Ranking4[[#This Row],[FMS_Type Score Weighted]]</f>
        <v>5.4009661552221413</v>
      </c>
      <c r="BN767" s="327">
        <f>_xlfn.RANK.EQ(FMS_Ranking4[[#This Row],[Total Score (with ArcSinh normalization of select criteria)]],FMS_Ranking4[Total Score (with ArcSinh normalization of select criteria)],0)</f>
        <v>760</v>
      </c>
      <c r="BO767" s="270" t="str">
        <f>_xlfn.XLOOKUP(FMS_Ranking4[[#This Row],[FMS ID]],FMS_Input[FMS_ID],FMS_Input[FMS_RANK_YEAR])</f>
        <v>2023 Amended Plan</v>
      </c>
      <c r="BP767" s="204">
        <f>_xlfn.XLOOKUP(FMS_Ranking4[[#This Row],[FMS ID]],Prev_Rank[FMS ID],Prev_Rank[Prev Rank])</f>
        <v>690</v>
      </c>
      <c r="BQ767" s="334" t="e">
        <f>_xlfn.XLOOKUP(FMS_Ranking4[[#This Row],[FMS ID]],#REF!,#REF!)</f>
        <v>#REF!</v>
      </c>
      <c r="BR767" s="199" t="e">
        <f>SUM(#REF!,#REF!,#REF!,#REF!,#REF!,#REF!,#REF!,#REF!,#REF!,FMS_Ranking4[[#This Row],[ArcSinh Res struct removed 0-10]],#REF!)</f>
        <v>#REF!</v>
      </c>
      <c r="BS767" s="199" t="e">
        <f>FMS_Ranking4[[#This Row],[Log Score Based on Normalized Reported Factors]]+FMS_Ranking4[[#This Row],[% NBS Score (Normalized)]]+(FMS_Ranking4[[#This Row],[Water Supply Score (Normalized)]]*10*$BB$5)+(FMS_Ranking4[[#This Row],[FMS_Type Score Weighted]])</f>
        <v>#REF!</v>
      </c>
      <c r="BT767" s="200" t="e">
        <f>_xlfn.RANK.EQ(FMS_Ranking4[[#This Row],[Log Total Score]],FMS_Ranking4[Log Total Score],0)</f>
        <v>#REF!</v>
      </c>
      <c r="BU767" s="200" t="e">
        <f>_xlfn.XLOOKUP(FMS_Ranking4[[#This Row],[FMS ID]],#REF!,#REF!)</f>
        <v>#REF!</v>
      </c>
      <c r="BV767" s="200">
        <f>FMS_Ranking4[[#This Row],[Region Number]]</f>
        <v>3</v>
      </c>
      <c r="BW767" s="200">
        <f>FMS_Ranking4[[#This Row],[Rank (with ArcSinh normalization of select criteria)]]-FMS_Ranking4[[#This Row],[Rank
(with linear
normalization)]]</f>
        <v>284</v>
      </c>
      <c r="BX767" s="200" t="e">
        <f>FMS_Ranking4[[#This Row],[Log Rank]]-FMS_Ranking4[[#This Row],[Rank
(with linear
normalization)]]</f>
        <v>#REF!</v>
      </c>
      <c r="BY767" s="200" t="str">
        <f>IF(FMS_Ranking4[[#This Row],[FMS Type]]="Flood Measurement and Warning",FMS_Ranking4[[#This Row],[Rank (with ArcSinh normalization of select criteria)]],"")</f>
        <v/>
      </c>
      <c r="BZ767" s="200">
        <f>IF(FMS_Ranking4[[#This Row],[FMS Type]]="Regulatory and Guidance",FMS_Ranking4[[#This Row],[Rank (with ArcSinh normalization of select criteria)]],"")</f>
        <v>760</v>
      </c>
      <c r="CA767" s="200" t="str">
        <f>IF(FMS_Ranking4[[#This Row],[FMS Type]]="Education and Outreach",FMS_Ranking4[[#This Row],[Rank (with ArcSinh normalization of select criteria)]],"")</f>
        <v/>
      </c>
      <c r="CB767" s="200" t="str">
        <f>IF(FMS_Ranking4[[#This Row],[FMS Type]]="Property Acquisition and Structural Elevation",FMS_Ranking4[[#This Row],[Rank (with ArcSinh normalization of select criteria)]],"")</f>
        <v/>
      </c>
      <c r="CC767" s="200" t="str">
        <f>IF(FMS_Ranking4[[#This Row],[FMS Type]]="Infrastructure Projects",FMS_Ranking4[[#This Row],[Rank (with ArcSinh normalization of select criteria)]],"")</f>
        <v/>
      </c>
      <c r="CD767" s="200" t="str">
        <f>IF(FMS_Ranking4[[#This Row],[FMS Type]]="Other",FMS_Ranking4[[#This Row],[Rank (with ArcSinh normalization of select criteria)]],"")</f>
        <v/>
      </c>
    </row>
    <row r="768" spans="2:96" ht="45" x14ac:dyDescent="0.25">
      <c r="B768" s="342" t="s">
        <v>1551</v>
      </c>
      <c r="C768" s="287">
        <f>_xlfn.XLOOKUP(FMS_Ranking4[[#This Row],[FMS ID]],FMS_Input[FMS_ID],FMS_Input[RFPG_NUM])</f>
        <v>2</v>
      </c>
      <c r="D768" s="309" t="str">
        <f>_xlfn.XLOOKUP(FMS_Ranking4[[#This Row],[FMS ID]],FMS_Input[FMS_ID],FMS_Input[FMS_NAME])</f>
        <v>City of Douglassville NFIP Involvement</v>
      </c>
      <c r="E768" s="308" t="str">
        <f>_xlfn.XLOOKUP(FMS_Ranking4[[#This Row],[FMS ID]],FMS_Input[FMS_ID],FMS_Input[SPONSOR])</f>
        <v>City of Douglassville</v>
      </c>
      <c r="F768" s="309" t="str">
        <f>_xlfn.XLOOKUP(FMS_Ranking4[[#This Row],[FMS ID]],Sponsor[FMS_ID],Sponsor[SPONSOR NAME])</f>
        <v>City of Douglassville</v>
      </c>
      <c r="G768" s="309" t="str">
        <f>_xlfn.XLOOKUP(FMS_Ranking4[[#This Row],[FMS ID]],FMS_Input[FMS_ID],FMS_Input[FMS_DESCR])</f>
        <v xml:space="preserve">Application to join NFIP or adoption of equivalent standards </v>
      </c>
      <c r="H768" s="247" t="str">
        <f>_xlfn.XLOOKUP(FMS_Ranking4[[#This Row],[FMS ID]],FMS_Input[FMS_ID],FMS_Input[FMS_TYPE])</f>
        <v>Regulatory and Guidance</v>
      </c>
      <c r="I768" s="288">
        <f>_xlfn.XLOOKUP(FMS_Ranking4[[#This Row],[FMS ID]],FMS_Input[FMS_ID],FMS_Input[NRNC_COST])</f>
        <v>100000</v>
      </c>
      <c r="J768" s="250">
        <f>_xlfn.XLOOKUP(FMS_Ranking4[[#This Row],[FMS ID]],FMS_Input[FMS_ID],FMS_Input[FMS_COST])</f>
        <v>100000</v>
      </c>
      <c r="K768" s="289" t="str">
        <f>_xlfn.XLOOKUP(FMS_Ranking4[[#This Row],[FMS ID]],FMS_Input[FMS_ID],FMS_Input[EMER_NEED])</f>
        <v>No</v>
      </c>
      <c r="L768" s="252">
        <f t="shared" si="11"/>
        <v>0</v>
      </c>
      <c r="M768" s="253">
        <f>_xlfn.XLOOKUP(FMS_Ranking4[[#This Row],[FMS ID]],FMS_Input[FMS_ID],FMS_Input[STRUCT_100])</f>
        <v>1</v>
      </c>
      <c r="N768" s="255">
        <f>(ASINH(FMS_Ranking4[[#This Row],[Structure at Risk Raw]]))*(10)/(ASINH(M$4))</f>
        <v>0.69289087024057039</v>
      </c>
      <c r="O768" s="255">
        <f>FMS_Ranking4[[#This Row],[Structures at risk, ArcSinh (0-10)]]*M$5*10</f>
        <v>0.6928908702405705</v>
      </c>
      <c r="P768" s="259">
        <f>_xlfn.XLOOKUP(FMS_Ranking4[[#This Row],[FMS ID]],FMS_Input[FMS_ID],FMS_Input[RES_STRUCT100])</f>
        <v>0</v>
      </c>
      <c r="Q768" s="257">
        <f>ASINH(FMS_Ranking4[[#This Row],[Res Structure Raw]])/Q$4*P$5*100</f>
        <v>0</v>
      </c>
      <c r="R768" s="259">
        <f>_xlfn.XLOOKUP(FMS_Ranking4[[#This Row],[FMS ID]],FMS_Input[FMS_ID],FMS_Input[POP100])</f>
        <v>2</v>
      </c>
      <c r="S768" s="259">
        <f>(ASINH(FMS_Ranking4[[#This Row],[Pop at Risk Raw]]))*(10)/(ASINH(R$4))</f>
        <v>0.9966256139867492</v>
      </c>
      <c r="T768" s="257">
        <f>FMS_Ranking4[[#This Row],[Population at risk, ArcSinh (0-10)]]*R$5*10</f>
        <v>0.9966256139867492</v>
      </c>
      <c r="U768" s="259">
        <f>_xlfn.XLOOKUP(FMS_Ranking4[[#This Row],[FMS ID]],FMS_Input[FMS_ID],FMS_Input[CRITFAC100])</f>
        <v>0</v>
      </c>
      <c r="V768" s="259">
        <f>(ASINH(FMS_Ranking4[[#This Row],[Critical Facilities Raw]]))*(10)/(ASINH(U$4))</f>
        <v>0</v>
      </c>
      <c r="W768" s="257">
        <f>FMS_Ranking4[[#This Row],[Critical facilities at risk, ArcSinh (0-10)]]*U$5*10</f>
        <v>0</v>
      </c>
      <c r="X768" s="259">
        <f>_xlfn.XLOOKUP(FMS_Ranking4[[#This Row],[FMS ID]],FMS_Input[FMS_ID],FMS_Input[LWC])</f>
        <v>0</v>
      </c>
      <c r="Y768" s="259">
        <f>(ASINH(FMS_Ranking4[[#This Row],[LWC Raw]]))*(10)/(ASINH(X$4))</f>
        <v>0</v>
      </c>
      <c r="Z768" s="257">
        <f>FMS_Ranking4[[#This Row],[LWC, ArcSInh (0-10)]]*X$5*10</f>
        <v>0</v>
      </c>
      <c r="AA768" s="259">
        <f>_xlfn.XLOOKUP(FMS_Ranking4[[#This Row],[FMS ID]],FMS_Input[FMS_ID],FMS_Input[ROADCLS])</f>
        <v>0</v>
      </c>
      <c r="AB768" s="255">
        <f>(ASINH(FMS_Ranking4[[#This Row],[Road Closures Raw]]))*(10)/(ASINH(AA$4))</f>
        <v>0</v>
      </c>
      <c r="AC768" s="255">
        <f>FMS_Ranking4[[#This Row],[Road closures, ArcSinh (0-10)]]*AA$5*10</f>
        <v>0</v>
      </c>
      <c r="AD768" s="259">
        <f>_xlfn.XLOOKUP(FMS_Ranking4[[#This Row],[FMS ID]],FMS_Input[FMS_ID],FMS_Input[ROAD_MILES100])</f>
        <v>1</v>
      </c>
      <c r="AE768" s="259">
        <f>(ASINH(FMS_Ranking4[[#This Row],[Road Miles Raw]]))*(10)/(ASINH(AD$4))</f>
        <v>0.9393017565219649</v>
      </c>
      <c r="AF768" s="257">
        <f>FMS_Ranking4[[#This Row],[Length of roads at risk, ArcSinh (0-10)]]*AD$5*10</f>
        <v>0.93930175652196501</v>
      </c>
      <c r="AG768" s="259">
        <f>_xlfn.XLOOKUP(FMS_Ranking4[[#This Row],[FMS ID]],FMS_Input[FMS_ID],FMS_Input[FARMACRE100])</f>
        <v>5.1777949333190918</v>
      </c>
      <c r="AH768" s="255">
        <f>(ASINH(FMS_Ranking4[[#This Row],[Ag Land Raw]]))*(10)/(ASINH(AG$4))</f>
        <v>1.5243882248877425</v>
      </c>
      <c r="AI768" s="254">
        <f>FMS_Ranking4[[#This Row],[Farm &amp; ranch land, ArcSinh (0-10)]]*AG$5*10</f>
        <v>0.76219411244387136</v>
      </c>
      <c r="AJ768" s="258">
        <f>_xlfn.XLOOKUP(FMS_Ranking4[[#This Row],[FMS ID]],FMS_Input[FMS_ID],FMS_Input[REDSTRUCT100])</f>
        <v>0</v>
      </c>
      <c r="AK768" s="253">
        <f>_xlfn.XLOOKUP(FMS_Ranking4[[#This Row],[FMS ID]],FMS_Input[FMS_ID],FMS_Input[REMSTRC100])</f>
        <v>0</v>
      </c>
      <c r="AL768" s="259">
        <f>(ASINH(FMS_Ranking4[[#This Row],[Structures Removed Raw]]))*(10)/(ASINH(AK$4))</f>
        <v>0</v>
      </c>
      <c r="AM768" s="254">
        <f>FMS_Ranking4[[#This Row],[Structures removed, ArcSinh (0-10)]]*AK$5*10</f>
        <v>0</v>
      </c>
      <c r="AN768" s="253">
        <f>_xlfn.XLOOKUP(FMS_Ranking4[[#This Row],[FMS ID]],FMS_Input[FMS_ID],FMS_Input[REMRESSTRC100])</f>
        <v>0</v>
      </c>
      <c r="AO768" s="258">
        <f>FMS_Ranking4[[#This Row],[ArcSinh Res struct removed 0-10]]*AN$5*10</f>
        <v>0</v>
      </c>
      <c r="AP768" s="254">
        <f>ASINH(FMS_Ranking4[[#This Row],[Residential Structures Removed Raw]])/AP$4*AN$5*100</f>
        <v>0</v>
      </c>
      <c r="AQ768" s="260">
        <f>(ASINH(FMS_Ranking4[[#This Row],[Residential Structures Removed Raw]]))*(10)/(ASINH(AN$4))</f>
        <v>0</v>
      </c>
      <c r="AR768" s="253">
        <f>_xlfn.XLOOKUP(FMS_Ranking4[[#This Row],[FMS ID]],FMS_Input[FMS_ID],FMS_Input[REMPOP100])</f>
        <v>0</v>
      </c>
      <c r="AS768" s="259">
        <f>(ASINH(FMS_Ranking4[[#This Row],[Removed Pop Raw]]))*(10)/(ASINH(AR$4))</f>
        <v>0</v>
      </c>
      <c r="AT768" s="263">
        <f>FMS_Ranking4[[#This Row],[Removed population, ArcSinh (0-10)]]*AR$5*10</f>
        <v>0</v>
      </c>
      <c r="AU768" s="264">
        <f>_xlfn.XLOOKUP(FMS_Ranking4[[#This Row],[FMS ID]],FMS_Input[FMS_ID],FMS_Input[REMCRITFAC100])</f>
        <v>0</v>
      </c>
      <c r="AV768" s="264">
        <f>_xlfn.XLOOKUP(FMS_Ranking4[[#This Row],[FMS ID]],FMS_Input[FMS_ID],FMS_Input[REMLWC100])</f>
        <v>0</v>
      </c>
      <c r="AW768" s="264">
        <f>_xlfn.XLOOKUP(FMS_Ranking4[[#This Row],[FMS ID]],FMS_Input[FMS_ID],FMS_Input[REMROADCLS])</f>
        <v>0</v>
      </c>
      <c r="AX768" s="264">
        <f>_xlfn.XLOOKUP(FMS_Ranking4[[#This Row],[FMS ID]],FMS_Input[FMS_ID],FMS_Input[REMFRMACRE100])</f>
        <v>0</v>
      </c>
      <c r="AY768" s="258">
        <f>_xlfn.XLOOKUP(FMS_Ranking4[[#This Row],[FMS ID]],FMS_Input[FMS_ID],FMS_Input[COSTSTRUCT])</f>
        <v>0</v>
      </c>
      <c r="AZ768" s="258">
        <f>_xlfn.XLOOKUP(FMS_Ranking4[[#This Row],[FMS ID]],FMS_Input[FMS_ID],FMS_Input[NATURE])</f>
        <v>0</v>
      </c>
      <c r="BA768" s="290">
        <f>(((FMS_Ranking4[[#This Row],[% NBS Raw]]/AZ$4)*100)*AZ$5)</f>
        <v>0</v>
      </c>
      <c r="BB768" s="251" t="str">
        <f>_xlfn.XLOOKUP(FMS_Ranking4[[#This Row],[FMS ID]],FMS_Input[FMS_ID],FMS_Input[WATER_SUP])</f>
        <v>No</v>
      </c>
      <c r="BC768" s="265">
        <f>IF(FMS_Ranking4[[#This Row],[Water Supply Raw]]="Yes",10,0)</f>
        <v>0</v>
      </c>
      <c r="BD768" s="251">
        <f>_xlfn.XLOOKUP(FMS_Ranking4[[#This Row],[FMS Type]],FMS_TYPE[FMS_Type],FMS_TYPE[Score])</f>
        <v>8</v>
      </c>
      <c r="BE768" s="267">
        <f>FMS_Ranking4[[#This Row],[FMS_Type Score]]*$BD$5*10</f>
        <v>2</v>
      </c>
      <c r="BF76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1.7733182725520912E-3</v>
      </c>
      <c r="BG768" s="271">
        <f>_xlfn.RANK.EQ(BF768,$BF$8:$BF$870,0)+COUNTIF($BF$8:BF768,BF768)-1</f>
        <v>730</v>
      </c>
      <c r="BH768" s="268">
        <f>(((FMS_Ranking4[[#This Row],[Structures Removed Raw]]/AK$4)*100)*AK$5)+(((FMS_Ranking4[[#This Row],[Removed Pop Raw]]/AR$4)*100)*AR$5)</f>
        <v>0</v>
      </c>
      <c r="BI76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2.0017733182725519</v>
      </c>
      <c r="BJ768" s="325">
        <f>_xlfn.RANK.EQ(FMS_Ranking4[[#This Row],[Total Score 
(with linear
normalization)]],FMS_Ranking4[Total Score 
(with linear
normalization)],0)</f>
        <v>455</v>
      </c>
      <c r="BK768" s="327" t="e">
        <f>_xlfn.XLOOKUP(FMS_Ranking4[[#This Row],[FMS ID]],#REF!,#REF!)</f>
        <v>#REF!</v>
      </c>
      <c r="BL76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3.3910123531931564</v>
      </c>
      <c r="BM768" s="330">
        <f>FMS_Ranking4[[#This Row],[ArcSinh Score Based on Normalized Reported Factors]]+FMS_Ranking4[[#This Row],[% NBS Score (Normalized)]]+(FMS_Ranking4[[#This Row],[Water Supply Score (Normalized)]]*10*$BB$5)+FMS_Ranking4[[#This Row],[FMS_Type Score Weighted]]</f>
        <v>5.3910123531931564</v>
      </c>
      <c r="BN768" s="327">
        <f>_xlfn.RANK.EQ(FMS_Ranking4[[#This Row],[Total Score (with ArcSinh normalization of select criteria)]],FMS_Ranking4[Total Score (with ArcSinh normalization of select criteria)],0)</f>
        <v>761</v>
      </c>
      <c r="BO768" s="270" t="str">
        <f>_xlfn.XLOOKUP(FMS_Ranking4[[#This Row],[FMS ID]],FMS_Input[FMS_ID],FMS_Input[FMS_RANK_YEAR])</f>
        <v>2023 Amended Plan</v>
      </c>
      <c r="BP768" s="204">
        <f>_xlfn.XLOOKUP(FMS_Ranking4[[#This Row],[FMS ID]],Prev_Rank[FMS ID],Prev_Rank[Prev Rank])</f>
        <v>691</v>
      </c>
      <c r="BQ768" s="334" t="e">
        <f>_xlfn.XLOOKUP(FMS_Ranking4[[#This Row],[FMS ID]],#REF!,#REF!)</f>
        <v>#REF!</v>
      </c>
      <c r="BR768" s="199" t="e">
        <f>SUM(#REF!,#REF!,#REF!,#REF!,#REF!,#REF!,#REF!,#REF!,#REF!,FMS_Ranking4[[#This Row],[ArcSinh Res struct removed 0-10]],#REF!)</f>
        <v>#REF!</v>
      </c>
      <c r="BS768" s="199" t="e">
        <f>FMS_Ranking4[[#This Row],[Log Score Based on Normalized Reported Factors]]+FMS_Ranking4[[#This Row],[% NBS Score (Normalized)]]+(FMS_Ranking4[[#This Row],[Water Supply Score (Normalized)]]*10*$BB$5)+(FMS_Ranking4[[#This Row],[FMS_Type Score Weighted]])</f>
        <v>#REF!</v>
      </c>
      <c r="BT768" s="200" t="e">
        <f>_xlfn.RANK.EQ(FMS_Ranking4[[#This Row],[Log Total Score]],FMS_Ranking4[Log Total Score],0)</f>
        <v>#REF!</v>
      </c>
      <c r="BU768" s="200" t="e">
        <f>_xlfn.XLOOKUP(FMS_Ranking4[[#This Row],[FMS ID]],#REF!,#REF!)</f>
        <v>#REF!</v>
      </c>
      <c r="BV768" s="200">
        <f>FMS_Ranking4[[#This Row],[Region Number]]</f>
        <v>2</v>
      </c>
      <c r="BW768" s="200">
        <f>FMS_Ranking4[[#This Row],[Rank (with ArcSinh normalization of select criteria)]]-FMS_Ranking4[[#This Row],[Rank
(with linear
normalization)]]</f>
        <v>306</v>
      </c>
      <c r="BX768" s="200" t="e">
        <f>FMS_Ranking4[[#This Row],[Log Rank]]-FMS_Ranking4[[#This Row],[Rank
(with linear
normalization)]]</f>
        <v>#REF!</v>
      </c>
      <c r="BY768" s="200" t="str">
        <f>IF(FMS_Ranking4[[#This Row],[FMS Type]]="Flood Measurement and Warning",FMS_Ranking4[[#This Row],[Rank (with ArcSinh normalization of select criteria)]],"")</f>
        <v/>
      </c>
      <c r="BZ768" s="200">
        <f>IF(FMS_Ranking4[[#This Row],[FMS Type]]="Regulatory and Guidance",FMS_Ranking4[[#This Row],[Rank (with ArcSinh normalization of select criteria)]],"")</f>
        <v>761</v>
      </c>
      <c r="CA768" s="200" t="str">
        <f>IF(FMS_Ranking4[[#This Row],[FMS Type]]="Education and Outreach",FMS_Ranking4[[#This Row],[Rank (with ArcSinh normalization of select criteria)]],"")</f>
        <v/>
      </c>
      <c r="CB768" s="200" t="str">
        <f>IF(FMS_Ranking4[[#This Row],[FMS Type]]="Property Acquisition and Structural Elevation",FMS_Ranking4[[#This Row],[Rank (with ArcSinh normalization of select criteria)]],"")</f>
        <v/>
      </c>
      <c r="CC768" s="200" t="str">
        <f>IF(FMS_Ranking4[[#This Row],[FMS Type]]="Infrastructure Projects",FMS_Ranking4[[#This Row],[Rank (with ArcSinh normalization of select criteria)]],"")</f>
        <v/>
      </c>
      <c r="CD768" s="200" t="str">
        <f>IF(FMS_Ranking4[[#This Row],[FMS Type]]="Other",FMS_Ranking4[[#This Row],[Rank (with ArcSinh normalization of select criteria)]],"")</f>
        <v/>
      </c>
    </row>
    <row r="769" spans="2:82" ht="30" x14ac:dyDescent="0.25">
      <c r="B769" s="342" t="s">
        <v>510</v>
      </c>
      <c r="C769" s="287">
        <f>_xlfn.XLOOKUP(FMS_Ranking4[[#This Row],[FMS ID]],FMS_Input[FMS_ID],FMS_Input[RFPG_NUM])</f>
        <v>9</v>
      </c>
      <c r="D769" s="309" t="str">
        <f>_xlfn.XLOOKUP(FMS_Ranking4[[#This Row],[FMS ID]],FMS_Input[FMS_ID],FMS_Input[FMS_NAME])</f>
        <v>City of Ackerly NFIP Application</v>
      </c>
      <c r="E769" s="308" t="str">
        <f>_xlfn.XLOOKUP(FMS_Ranking4[[#This Row],[FMS ID]],FMS_Input[FMS_ID],FMS_Input[SPONSOR])</f>
        <v>00000117</v>
      </c>
      <c r="F769" s="309" t="str">
        <f>_xlfn.XLOOKUP(FMS_Ranking4[[#This Row],[FMS ID]],Sponsor[FMS_ID],Sponsor[SPONSOR NAME])</f>
        <v>Dawson</v>
      </c>
      <c r="G769" s="309" t="str">
        <f>_xlfn.XLOOKUP(FMS_Ranking4[[#This Row],[FMS ID]],FMS_Input[FMS_ID],FMS_Input[FMS_DESCR])</f>
        <v>Application to join the NFIP.</v>
      </c>
      <c r="H769" s="247" t="str">
        <f>_xlfn.XLOOKUP(FMS_Ranking4[[#This Row],[FMS ID]],FMS_Input[FMS_ID],FMS_Input[FMS_TYPE])</f>
        <v>Other</v>
      </c>
      <c r="I769" s="288">
        <f>_xlfn.XLOOKUP(FMS_Ranking4[[#This Row],[FMS ID]],FMS_Input[FMS_ID],FMS_Input[NRNC_COST])</f>
        <v>5000</v>
      </c>
      <c r="J769" s="250">
        <f>_xlfn.XLOOKUP(FMS_Ranking4[[#This Row],[FMS ID]],FMS_Input[FMS_ID],FMS_Input[FMS_COST])</f>
        <v>30000</v>
      </c>
      <c r="K769" s="289" t="str">
        <f>_xlfn.XLOOKUP(FMS_Ranking4[[#This Row],[FMS ID]],FMS_Input[FMS_ID],FMS_Input[EMER_NEED])</f>
        <v>No</v>
      </c>
      <c r="L769" s="252">
        <f t="shared" si="11"/>
        <v>0</v>
      </c>
      <c r="M769" s="253">
        <f>_xlfn.XLOOKUP(FMS_Ranking4[[#This Row],[FMS ID]],FMS_Input[FMS_ID],FMS_Input[STRUCT_100])</f>
        <v>2</v>
      </c>
      <c r="N769" s="255">
        <f>(ASINH(FMS_Ranking4[[#This Row],[Structure at Risk Raw]]))*(10)/(ASINH(M$4))</f>
        <v>1.134912431502926</v>
      </c>
      <c r="O769" s="255">
        <f>FMS_Ranking4[[#This Row],[Structures at risk, ArcSinh (0-10)]]*M$5*10</f>
        <v>1.134912431502926</v>
      </c>
      <c r="P769" s="259">
        <f>_xlfn.XLOOKUP(FMS_Ranking4[[#This Row],[FMS ID]],FMS_Input[FMS_ID],FMS_Input[RES_STRUCT100])</f>
        <v>2</v>
      </c>
      <c r="Q769" s="257">
        <f>ASINH(FMS_Ranking4[[#This Row],[Res Structure Raw]])/Q$4*P$5*100</f>
        <v>0</v>
      </c>
      <c r="R769" s="259">
        <f>_xlfn.XLOOKUP(FMS_Ranking4[[#This Row],[FMS ID]],FMS_Input[FMS_ID],FMS_Input[POP100])</f>
        <v>2</v>
      </c>
      <c r="S769" s="255">
        <f>(ASINH(FMS_Ranking4[[#This Row],[Pop at Risk Raw]]))*(10)/(ASINH(R$4))</f>
        <v>0.9966256139867492</v>
      </c>
      <c r="T769" s="257">
        <f>FMS_Ranking4[[#This Row],[Population at risk, ArcSinh (0-10)]]*R$5*10</f>
        <v>0.9966256139867492</v>
      </c>
      <c r="U769" s="259">
        <f>_xlfn.XLOOKUP(FMS_Ranking4[[#This Row],[FMS ID]],FMS_Input[FMS_ID],FMS_Input[CRITFAC100])</f>
        <v>0</v>
      </c>
      <c r="V769" s="255">
        <f>(ASINH(FMS_Ranking4[[#This Row],[Critical Facilities Raw]]))*(10)/(ASINH(U$4))</f>
        <v>0</v>
      </c>
      <c r="W769" s="257">
        <f>FMS_Ranking4[[#This Row],[Critical facilities at risk, ArcSinh (0-10)]]*U$5*10</f>
        <v>0</v>
      </c>
      <c r="X769" s="259">
        <f>_xlfn.XLOOKUP(FMS_Ranking4[[#This Row],[FMS ID]],FMS_Input[FMS_ID],FMS_Input[LWC])</f>
        <v>0</v>
      </c>
      <c r="Y769" s="255">
        <f>(ASINH(FMS_Ranking4[[#This Row],[LWC Raw]]))*(10)/(ASINH(X$4))</f>
        <v>0</v>
      </c>
      <c r="Z769" s="257">
        <f>FMS_Ranking4[[#This Row],[LWC, ArcSInh (0-10)]]*X$5*10</f>
        <v>0</v>
      </c>
      <c r="AA769" s="259">
        <f>_xlfn.XLOOKUP(FMS_Ranking4[[#This Row],[FMS ID]],FMS_Input[FMS_ID],FMS_Input[ROADCLS])</f>
        <v>0</v>
      </c>
      <c r="AB769" s="255">
        <f>(ASINH(FMS_Ranking4[[#This Row],[Road Closures Raw]]))*(10)/(ASINH(AA$4))</f>
        <v>0</v>
      </c>
      <c r="AC769" s="255">
        <f>FMS_Ranking4[[#This Row],[Road closures, ArcSinh (0-10)]]*AA$5*10</f>
        <v>0</v>
      </c>
      <c r="AD769" s="259">
        <f>_xlfn.XLOOKUP(FMS_Ranking4[[#This Row],[FMS ID]],FMS_Input[FMS_ID],FMS_Input[ROAD_MILES100])</f>
        <v>2</v>
      </c>
      <c r="AE769" s="255">
        <f>(ASINH(FMS_Ranking4[[#This Row],[Road Miles Raw]]))*(10)/(ASINH(AD$4))</f>
        <v>1.5385182374234352</v>
      </c>
      <c r="AF769" s="257">
        <f>FMS_Ranking4[[#This Row],[Length of roads at risk, ArcSinh (0-10)]]*AD$5*10</f>
        <v>1.5385182374234352</v>
      </c>
      <c r="AG769" s="259">
        <f>_xlfn.XLOOKUP(FMS_Ranking4[[#This Row],[FMS ID]],FMS_Input[FMS_ID],FMS_Input[FARMACRE100])</f>
        <v>0.29141616821289063</v>
      </c>
      <c r="AH769" s="255">
        <f>(ASINH(FMS_Ranking4[[#This Row],[Ag Land Raw]]))*(10)/(ASINH(AG$4))</f>
        <v>0.18671672767343925</v>
      </c>
      <c r="AI769" s="254">
        <f>FMS_Ranking4[[#This Row],[Farm &amp; ranch land, ArcSinh (0-10)]]*AG$5*10</f>
        <v>9.3358363836719624E-2</v>
      </c>
      <c r="AJ769" s="258">
        <f>_xlfn.XLOOKUP(FMS_Ranking4[[#This Row],[FMS ID]],FMS_Input[FMS_ID],FMS_Input[REDSTRUCT100])</f>
        <v>1</v>
      </c>
      <c r="AK769" s="253">
        <f>_xlfn.XLOOKUP(FMS_Ranking4[[#This Row],[FMS ID]],FMS_Input[FMS_ID],FMS_Input[REMSTRC100])</f>
        <v>1</v>
      </c>
      <c r="AL769" s="255">
        <f>(ASINH(FMS_Ranking4[[#This Row],[Structures Removed Raw]]))*(10)/(ASINH(AK$4))</f>
        <v>1.0035067418235621</v>
      </c>
      <c r="AM769" s="254">
        <f>FMS_Ranking4[[#This Row],[Structures removed, ArcSinh (0-10)]]*AK$5*10</f>
        <v>1.0035067418235621</v>
      </c>
      <c r="AN769" s="253">
        <f>_xlfn.XLOOKUP(FMS_Ranking4[[#This Row],[FMS ID]],FMS_Input[FMS_ID],FMS_Input[REMRESSTRC100])</f>
        <v>0</v>
      </c>
      <c r="AO769" s="258">
        <f>FMS_Ranking4[[#This Row],[ArcSinh Res struct removed 0-10]]*AN$5*10</f>
        <v>0</v>
      </c>
      <c r="AP769" s="254">
        <f>ASINH(FMS_Ranking4[[#This Row],[Residential Structures Removed Raw]])/AP$4*AN$5*100</f>
        <v>0</v>
      </c>
      <c r="AQ769" s="261">
        <f>(ASINH(FMS_Ranking4[[#This Row],[Residential Structures Removed Raw]]))*(10)/(ASINH(AN$4))</f>
        <v>0</v>
      </c>
      <c r="AR769" s="253">
        <f>_xlfn.XLOOKUP(FMS_Ranking4[[#This Row],[FMS ID]],FMS_Input[FMS_ID],FMS_Input[REMPOP100])</f>
        <v>0</v>
      </c>
      <c r="AS769" s="255">
        <f>(ASINH(FMS_Ranking4[[#This Row],[Removed Pop Raw]]))*(10)/(ASINH(AR$4))</f>
        <v>0</v>
      </c>
      <c r="AT769" s="263">
        <f>FMS_Ranking4[[#This Row],[Removed population, ArcSinh (0-10)]]*AR$5*10</f>
        <v>0</v>
      </c>
      <c r="AU769" s="264">
        <f>_xlfn.XLOOKUP(FMS_Ranking4[[#This Row],[FMS ID]],FMS_Input[FMS_ID],FMS_Input[REMCRITFAC100])</f>
        <v>0</v>
      </c>
      <c r="AV769" s="264">
        <f>_xlfn.XLOOKUP(FMS_Ranking4[[#This Row],[FMS ID]],FMS_Input[FMS_ID],FMS_Input[REMLWC100])</f>
        <v>0</v>
      </c>
      <c r="AW769" s="264">
        <f>_xlfn.XLOOKUP(FMS_Ranking4[[#This Row],[FMS ID]],FMS_Input[FMS_ID],FMS_Input[REMROADCLS])</f>
        <v>0</v>
      </c>
      <c r="AX769" s="264">
        <f>_xlfn.XLOOKUP(FMS_Ranking4[[#This Row],[FMS ID]],FMS_Input[FMS_ID],FMS_Input[REMFRMACRE100])</f>
        <v>7.2854042053222656E-2</v>
      </c>
      <c r="AY769" s="258">
        <f>_xlfn.XLOOKUP(FMS_Ranking4[[#This Row],[FMS ID]],FMS_Input[FMS_ID],FMS_Input[COSTSTRUCT])</f>
        <v>25000</v>
      </c>
      <c r="AZ769" s="258">
        <f>_xlfn.XLOOKUP(FMS_Ranking4[[#This Row],[FMS ID]],FMS_Input[FMS_ID],FMS_Input[NATURE])</f>
        <v>0</v>
      </c>
      <c r="BA769" s="290">
        <f>(((FMS_Ranking4[[#This Row],[% NBS Raw]]/AZ$4)*100)*AZ$5)</f>
        <v>0</v>
      </c>
      <c r="BB769" s="251" t="str">
        <f>_xlfn.XLOOKUP(FMS_Ranking4[[#This Row],[FMS ID]],FMS_Input[FMS_ID],FMS_Input[WATER_SUP])</f>
        <v>No</v>
      </c>
      <c r="BC769" s="265">
        <f>IF(FMS_Ranking4[[#This Row],[Water Supply Raw]]="Yes",10,0)</f>
        <v>0</v>
      </c>
      <c r="BD769" s="251">
        <f>_xlfn.XLOOKUP(FMS_Ranking4[[#This Row],[FMS Type]],FMS_TYPE[FMS_Type],FMS_TYPE[Score])</f>
        <v>2</v>
      </c>
      <c r="BE769" s="267">
        <f>FMS_Ranking4[[#This Row],[FMS_Type Score]]*$BD$5*10</f>
        <v>0.5</v>
      </c>
      <c r="BF769"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3.5054124571726165E-3</v>
      </c>
      <c r="BG769" s="321">
        <f>_xlfn.RANK.EQ(BF769,$BF$8:$BF$870,0)+COUNTIF($BF$8:BF769,BF769)-1</f>
        <v>706</v>
      </c>
      <c r="BH769" s="294">
        <f>(((FMS_Ranking4[[#This Row],[Structures Removed Raw]]/AK$4)*100)*AK$5)+(((FMS_Ranking4[[#This Row],[Removed Pop Raw]]/AR$4)*100)*AR$5)</f>
        <v>3.0665440049064707E-3</v>
      </c>
      <c r="BI76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0.50657195646207909</v>
      </c>
      <c r="BJ769" s="296">
        <f>_xlfn.RANK.EQ(FMS_Ranking4[[#This Row],[Total Score 
(with linear
normalization)]],FMS_Ranking4[Total Score 
(with linear
normalization)],0)</f>
        <v>849</v>
      </c>
      <c r="BK769" s="292" t="e">
        <f>_xlfn.XLOOKUP(FMS_Ranking4[[#This Row],[FMS ID]],#REF!,#REF!)</f>
        <v>#REF!</v>
      </c>
      <c r="BL769"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4.7669213885733921</v>
      </c>
      <c r="BM769" s="298">
        <f>FMS_Ranking4[[#This Row],[ArcSinh Score Based on Normalized Reported Factors]]+FMS_Ranking4[[#This Row],[% NBS Score (Normalized)]]+(FMS_Ranking4[[#This Row],[Water Supply Score (Normalized)]]*10*$BB$5)+FMS_Ranking4[[#This Row],[FMS_Type Score Weighted]]</f>
        <v>5.2669213885733921</v>
      </c>
      <c r="BN769" s="292">
        <f>_xlfn.RANK.EQ(FMS_Ranking4[[#This Row],[Total Score (with ArcSinh normalization of select criteria)]],FMS_Ranking4[Total Score (with ArcSinh normalization of select criteria)],0)</f>
        <v>762</v>
      </c>
      <c r="BO769" s="270" t="str">
        <f>_xlfn.XLOOKUP(FMS_Ranking4[[#This Row],[FMS ID]],FMS_Input[FMS_ID],FMS_Input[FMS_RANK_YEAR])</f>
        <v>2023 Amended Plan</v>
      </c>
      <c r="BP769" s="204">
        <f>_xlfn.XLOOKUP(FMS_Ranking4[[#This Row],[FMS ID]],Prev_Rank[FMS ID],Prev_Rank[Prev Rank])</f>
        <v>692</v>
      </c>
      <c r="BQ769" s="265" t="e">
        <f>_xlfn.XLOOKUP(FMS_Ranking4[[#This Row],[FMS ID]],#REF!,#REF!)</f>
        <v>#REF!</v>
      </c>
      <c r="BR769" s="199" t="e">
        <f>SUM(#REF!,#REF!,#REF!,#REF!,#REF!,#REF!,#REF!,#REF!,#REF!,FMS_Ranking4[[#This Row],[ArcSinh Res struct removed 0-10]],#REF!)</f>
        <v>#REF!</v>
      </c>
      <c r="BS769" s="199" t="e">
        <f>FMS_Ranking4[[#This Row],[Log Score Based on Normalized Reported Factors]]+FMS_Ranking4[[#This Row],[% NBS Score (Normalized)]]+(FMS_Ranking4[[#This Row],[Water Supply Score (Normalized)]]*10*$BB$5)+(FMS_Ranking4[[#This Row],[FMS_Type Score Weighted]])</f>
        <v>#REF!</v>
      </c>
      <c r="BT769" s="200" t="e">
        <f>_xlfn.RANK.EQ(FMS_Ranking4[[#This Row],[Log Total Score]],FMS_Ranking4[Log Total Score],0)</f>
        <v>#REF!</v>
      </c>
      <c r="BU769" s="200" t="e">
        <f>_xlfn.XLOOKUP(FMS_Ranking4[[#This Row],[FMS ID]],#REF!,#REF!)</f>
        <v>#REF!</v>
      </c>
      <c r="BV769" s="200">
        <f>FMS_Ranking4[[#This Row],[Region Number]]</f>
        <v>9</v>
      </c>
      <c r="BW769" s="200">
        <f>FMS_Ranking4[[#This Row],[Rank (with ArcSinh normalization of select criteria)]]-FMS_Ranking4[[#This Row],[Rank
(with linear
normalization)]]</f>
        <v>-87</v>
      </c>
      <c r="BX769" s="200" t="e">
        <f>FMS_Ranking4[[#This Row],[Log Rank]]-FMS_Ranking4[[#This Row],[Rank
(with linear
normalization)]]</f>
        <v>#REF!</v>
      </c>
      <c r="BY769" s="200" t="str">
        <f>IF(FMS_Ranking4[[#This Row],[FMS Type]]="Flood Measurement and Warning",FMS_Ranking4[[#This Row],[Rank (with ArcSinh normalization of select criteria)]],"")</f>
        <v/>
      </c>
      <c r="BZ769" s="200" t="str">
        <f>IF(FMS_Ranking4[[#This Row],[FMS Type]]="Regulatory and Guidance",FMS_Ranking4[[#This Row],[Rank (with ArcSinh normalization of select criteria)]],"")</f>
        <v/>
      </c>
      <c r="CA769" s="200" t="str">
        <f>IF(FMS_Ranking4[[#This Row],[FMS Type]]="Education and Outreach",FMS_Ranking4[[#This Row],[Rank (with ArcSinh normalization of select criteria)]],"")</f>
        <v/>
      </c>
      <c r="CB769" s="200" t="str">
        <f>IF(FMS_Ranking4[[#This Row],[FMS Type]]="Property Acquisition and Structural Elevation",FMS_Ranking4[[#This Row],[Rank (with ArcSinh normalization of select criteria)]],"")</f>
        <v/>
      </c>
      <c r="CC769" s="200" t="str">
        <f>IF(FMS_Ranking4[[#This Row],[FMS Type]]="Infrastructure Projects",FMS_Ranking4[[#This Row],[Rank (with ArcSinh normalization of select criteria)]],"")</f>
        <v/>
      </c>
      <c r="CD769" s="200">
        <f>IF(FMS_Ranking4[[#This Row],[FMS Type]]="Other",FMS_Ranking4[[#This Row],[Rank (with ArcSinh normalization of select criteria)]],"")</f>
        <v>762</v>
      </c>
    </row>
    <row r="770" spans="2:82" ht="45" x14ac:dyDescent="0.25">
      <c r="B770" s="342" t="s">
        <v>4587</v>
      </c>
      <c r="C770" s="287">
        <f>_xlfn.XLOOKUP(FMS_Ranking4[[#This Row],[FMS ID]],FMS_Input[FMS_ID],FMS_Input[RFPG_NUM])</f>
        <v>4</v>
      </c>
      <c r="D770" s="309" t="str">
        <f>_xlfn.XLOOKUP(FMS_Ranking4[[#This Row],[FMS ID]],FMS_Input[FMS_ID],FMS_Input[FMS_NAME])</f>
        <v>City of Nevada NFIP Floodplain Ordinance</v>
      </c>
      <c r="E770" s="308" t="str">
        <f>_xlfn.XLOOKUP(FMS_Ranking4[[#This Row],[FMS ID]],FMS_Input[FMS_ID],FMS_Input[SPONSOR])</f>
        <v>00002657</v>
      </c>
      <c r="F770" s="309" t="str">
        <f>_xlfn.XLOOKUP(FMS_Ranking4[[#This Row],[FMS ID]],Sponsor[FMS_ID],Sponsor[SPONSOR NAME])</f>
        <v>Nevada</v>
      </c>
      <c r="G770" s="309" t="str">
        <f>_xlfn.XLOOKUP(FMS_Ranking4[[#This Row],[FMS ID]],FMS_Input[FMS_ID],FMS_Input[FMS_DESCR])</f>
        <v>Develop a floodplain ordinance that meets or exceeds FEMA's minimum standards</v>
      </c>
      <c r="H770" s="247" t="str">
        <f>_xlfn.XLOOKUP(FMS_Ranking4[[#This Row],[FMS ID]],FMS_Input[FMS_ID],FMS_Input[FMS_TYPE])</f>
        <v>Regulatory and Guidance</v>
      </c>
      <c r="I770" s="288">
        <f>_xlfn.XLOOKUP(FMS_Ranking4[[#This Row],[FMS ID]],FMS_Input[FMS_ID],FMS_Input[NRNC_COST])</f>
        <v>100000</v>
      </c>
      <c r="J770" s="250">
        <f>_xlfn.XLOOKUP(FMS_Ranking4[[#This Row],[FMS ID]],FMS_Input[FMS_ID],FMS_Input[FMS_COST])</f>
        <v>100000</v>
      </c>
      <c r="K770" s="289" t="str">
        <f>_xlfn.XLOOKUP(FMS_Ranking4[[#This Row],[FMS ID]],FMS_Input[FMS_ID],FMS_Input[EMER_NEED])</f>
        <v>No</v>
      </c>
      <c r="L770" s="252">
        <f t="shared" si="11"/>
        <v>0</v>
      </c>
      <c r="M770" s="253">
        <f>_xlfn.XLOOKUP(FMS_Ranking4[[#This Row],[FMS ID]],FMS_Input[FMS_ID],FMS_Input[STRUCT_100])</f>
        <v>1</v>
      </c>
      <c r="N770" s="255">
        <f>(ASINH(FMS_Ranking4[[#This Row],[Structure at Risk Raw]]))*(10)/(ASINH(M$4))</f>
        <v>0.69289087024057039</v>
      </c>
      <c r="O770" s="255">
        <f>FMS_Ranking4[[#This Row],[Structures at risk, ArcSinh (0-10)]]*M$5*10</f>
        <v>0.6928908702405705</v>
      </c>
      <c r="P770" s="259">
        <f>_xlfn.XLOOKUP(FMS_Ranking4[[#This Row],[FMS ID]],FMS_Input[FMS_ID],FMS_Input[RES_STRUCT100])</f>
        <v>1</v>
      </c>
      <c r="Q770" s="257">
        <f>ASINH(FMS_Ranking4[[#This Row],[Res Structure Raw]])/Q$4*P$5*100</f>
        <v>0</v>
      </c>
      <c r="R770" s="259">
        <f>_xlfn.XLOOKUP(FMS_Ranking4[[#This Row],[FMS ID]],FMS_Input[FMS_ID],FMS_Input[POP100])</f>
        <v>3</v>
      </c>
      <c r="S770" s="259">
        <f>(ASINH(FMS_Ranking4[[#This Row],[Pop at Risk Raw]]))*(10)/(ASINH(R$4))</f>
        <v>1.2553794569988064</v>
      </c>
      <c r="T770" s="257">
        <f>FMS_Ranking4[[#This Row],[Population at risk, ArcSinh (0-10)]]*R$5*10</f>
        <v>1.2553794569988064</v>
      </c>
      <c r="U770" s="259">
        <f>_xlfn.XLOOKUP(FMS_Ranking4[[#This Row],[FMS ID]],FMS_Input[FMS_ID],FMS_Input[CRITFAC100])</f>
        <v>0</v>
      </c>
      <c r="V770" s="259">
        <f>(ASINH(FMS_Ranking4[[#This Row],[Critical Facilities Raw]]))*(10)/(ASINH(U$4))</f>
        <v>0</v>
      </c>
      <c r="W770" s="257">
        <f>FMS_Ranking4[[#This Row],[Critical facilities at risk, ArcSinh (0-10)]]*U$5*10</f>
        <v>0</v>
      </c>
      <c r="X770" s="259">
        <f>_xlfn.XLOOKUP(FMS_Ranking4[[#This Row],[FMS ID]],FMS_Input[FMS_ID],FMS_Input[LWC])</f>
        <v>0</v>
      </c>
      <c r="Y770" s="259">
        <f>(ASINH(FMS_Ranking4[[#This Row],[LWC Raw]]))*(10)/(ASINH(X$4))</f>
        <v>0</v>
      </c>
      <c r="Z770" s="257">
        <f>FMS_Ranking4[[#This Row],[LWC, ArcSInh (0-10)]]*X$5*10</f>
        <v>0</v>
      </c>
      <c r="AA770" s="259">
        <f>_xlfn.XLOOKUP(FMS_Ranking4[[#This Row],[FMS ID]],FMS_Input[FMS_ID],FMS_Input[ROADCLS])</f>
        <v>0</v>
      </c>
      <c r="AB770" s="255">
        <f>(ASINH(FMS_Ranking4[[#This Row],[Road Closures Raw]]))*(10)/(ASINH(AA$4))</f>
        <v>0</v>
      </c>
      <c r="AC770" s="255">
        <f>FMS_Ranking4[[#This Row],[Road closures, ArcSinh (0-10)]]*AA$5*10</f>
        <v>0</v>
      </c>
      <c r="AD770" s="259">
        <f>_xlfn.XLOOKUP(FMS_Ranking4[[#This Row],[FMS ID]],FMS_Input[FMS_ID],FMS_Input[ROAD_MILES100])</f>
        <v>0</v>
      </c>
      <c r="AE770" s="259">
        <f>(ASINH(FMS_Ranking4[[#This Row],[Road Miles Raw]]))*(10)/(ASINH(AD$4))</f>
        <v>0</v>
      </c>
      <c r="AF770" s="257">
        <f>FMS_Ranking4[[#This Row],[Length of roads at risk, ArcSinh (0-10)]]*AD$5*10</f>
        <v>0</v>
      </c>
      <c r="AG770" s="259">
        <f>_xlfn.XLOOKUP(FMS_Ranking4[[#This Row],[FMS ID]],FMS_Input[FMS_ID],FMS_Input[FARMACRE100])</f>
        <v>10.55000019073486</v>
      </c>
      <c r="AH770" s="255">
        <f>(ASINH(FMS_Ranking4[[#This Row],[Ag Land Raw]]))*(10)/(ASINH(AG$4))</f>
        <v>1.9822054273558332</v>
      </c>
      <c r="AI770" s="254">
        <f>FMS_Ranking4[[#This Row],[Farm &amp; ranch land, ArcSinh (0-10)]]*AG$5*10</f>
        <v>0.99110271367791658</v>
      </c>
      <c r="AJ770" s="258">
        <f>_xlfn.XLOOKUP(FMS_Ranking4[[#This Row],[FMS ID]],FMS_Input[FMS_ID],FMS_Input[REDSTRUCT100])</f>
        <v>0</v>
      </c>
      <c r="AK770" s="253">
        <f>_xlfn.XLOOKUP(FMS_Ranking4[[#This Row],[FMS ID]],FMS_Input[FMS_ID],FMS_Input[REMSTRC100])</f>
        <v>0</v>
      </c>
      <c r="AL770" s="259">
        <f>(ASINH(FMS_Ranking4[[#This Row],[Structures Removed Raw]]))*(10)/(ASINH(AK$4))</f>
        <v>0</v>
      </c>
      <c r="AM770" s="254">
        <f>FMS_Ranking4[[#This Row],[Structures removed, ArcSinh (0-10)]]*AK$5*10</f>
        <v>0</v>
      </c>
      <c r="AN770" s="253">
        <f>_xlfn.XLOOKUP(FMS_Ranking4[[#This Row],[FMS ID]],FMS_Input[FMS_ID],FMS_Input[REMRESSTRC100])</f>
        <v>0</v>
      </c>
      <c r="AO770" s="258">
        <f>FMS_Ranking4[[#This Row],[ArcSinh Res struct removed 0-10]]*AN$5*10</f>
        <v>0</v>
      </c>
      <c r="AP770" s="254">
        <f>ASINH(FMS_Ranking4[[#This Row],[Residential Structures Removed Raw]])/AP$4*AN$5*100</f>
        <v>0</v>
      </c>
      <c r="AQ770" s="260">
        <f>(ASINH(FMS_Ranking4[[#This Row],[Residential Structures Removed Raw]]))*(10)/(ASINH(AN$4))</f>
        <v>0</v>
      </c>
      <c r="AR770" s="253">
        <f>_xlfn.XLOOKUP(FMS_Ranking4[[#This Row],[FMS ID]],FMS_Input[FMS_ID],FMS_Input[REMPOP100])</f>
        <v>0</v>
      </c>
      <c r="AS770" s="259">
        <f>(ASINH(FMS_Ranking4[[#This Row],[Removed Pop Raw]]))*(10)/(ASINH(AR$4))</f>
        <v>0</v>
      </c>
      <c r="AT770" s="263">
        <f>FMS_Ranking4[[#This Row],[Removed population, ArcSinh (0-10)]]*AR$5*10</f>
        <v>0</v>
      </c>
      <c r="AU770" s="264">
        <f>_xlfn.XLOOKUP(FMS_Ranking4[[#This Row],[FMS ID]],FMS_Input[FMS_ID],FMS_Input[REMCRITFAC100])</f>
        <v>0</v>
      </c>
      <c r="AV770" s="264">
        <f>_xlfn.XLOOKUP(FMS_Ranking4[[#This Row],[FMS ID]],FMS_Input[FMS_ID],FMS_Input[REMLWC100])</f>
        <v>0</v>
      </c>
      <c r="AW770" s="264">
        <f>_xlfn.XLOOKUP(FMS_Ranking4[[#This Row],[FMS ID]],FMS_Input[FMS_ID],FMS_Input[REMROADCLS])</f>
        <v>0</v>
      </c>
      <c r="AX770" s="264">
        <f>_xlfn.XLOOKUP(FMS_Ranking4[[#This Row],[FMS ID]],FMS_Input[FMS_ID],FMS_Input[REMFRMACRE100])</f>
        <v>0</v>
      </c>
      <c r="AY770" s="258">
        <f>_xlfn.XLOOKUP(FMS_Ranking4[[#This Row],[FMS ID]],FMS_Input[FMS_ID],FMS_Input[COSTSTRUCT])</f>
        <v>0</v>
      </c>
      <c r="AZ770" s="258">
        <f>_xlfn.XLOOKUP(FMS_Ranking4[[#This Row],[FMS ID]],FMS_Input[FMS_ID],FMS_Input[NATURE])</f>
        <v>0</v>
      </c>
      <c r="BA770" s="290">
        <f>(((FMS_Ranking4[[#This Row],[% NBS Raw]]/AZ$4)*100)*AZ$5)</f>
        <v>0</v>
      </c>
      <c r="BB770" s="251" t="str">
        <f>_xlfn.XLOOKUP(FMS_Ranking4[[#This Row],[FMS ID]],FMS_Input[FMS_ID],FMS_Input[WATER_SUP])</f>
        <v>No</v>
      </c>
      <c r="BC770" s="265">
        <f>IF(FMS_Ranking4[[#This Row],[Water Supply Raw]]="Yes",10,0)</f>
        <v>0</v>
      </c>
      <c r="BD770" s="251">
        <f>_xlfn.XLOOKUP(FMS_Ranking4[[#This Row],[FMS Type]],FMS_TYPE[FMS_Type],FMS_TYPE[Score])</f>
        <v>8</v>
      </c>
      <c r="BE770" s="267">
        <f>FMS_Ranking4[[#This Row],[FMS_Type Score]]*$BD$5*10</f>
        <v>2</v>
      </c>
      <c r="BF770"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1.1226278931299175E-4</v>
      </c>
      <c r="BG770" s="271">
        <f>_xlfn.RANK.EQ(BF770,$BF$8:$BF$870,0)+COUNTIF($BF$8:BF770,BF770)-1</f>
        <v>778</v>
      </c>
      <c r="BH770" s="268">
        <f>(((FMS_Ranking4[[#This Row],[Structures Removed Raw]]/AK$4)*100)*AK$5)+(((FMS_Ranking4[[#This Row],[Removed Pop Raw]]/AR$4)*100)*AR$5)</f>
        <v>0</v>
      </c>
      <c r="BI77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2.0001122627893131</v>
      </c>
      <c r="BJ770" s="325">
        <f>_xlfn.RANK.EQ(FMS_Ranking4[[#This Row],[Total Score 
(with linear
normalization)]],FMS_Ranking4[Total Score 
(with linear
normalization)],0)</f>
        <v>480</v>
      </c>
      <c r="BK770" s="327" t="e">
        <f>_xlfn.XLOOKUP(FMS_Ranking4[[#This Row],[FMS ID]],#REF!,#REF!)</f>
        <v>#REF!</v>
      </c>
      <c r="BL770"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2.9393730409172933</v>
      </c>
      <c r="BM770" s="330">
        <f>FMS_Ranking4[[#This Row],[ArcSinh Score Based on Normalized Reported Factors]]+FMS_Ranking4[[#This Row],[% NBS Score (Normalized)]]+(FMS_Ranking4[[#This Row],[Water Supply Score (Normalized)]]*10*$BB$5)+FMS_Ranking4[[#This Row],[FMS_Type Score Weighted]]</f>
        <v>4.9393730409172933</v>
      </c>
      <c r="BN770" s="327">
        <f>_xlfn.RANK.EQ(FMS_Ranking4[[#This Row],[Total Score (with ArcSinh normalization of select criteria)]],FMS_Ranking4[Total Score (with ArcSinh normalization of select criteria)],0)</f>
        <v>763</v>
      </c>
      <c r="BO770" s="270" t="str">
        <f>_xlfn.XLOOKUP(FMS_Ranking4[[#This Row],[FMS ID]],FMS_Input[FMS_ID],FMS_Input[FMS_RANK_YEAR])</f>
        <v>2023 Amended Plan</v>
      </c>
      <c r="BP770" s="204">
        <f>_xlfn.XLOOKUP(FMS_Ranking4[[#This Row],[FMS ID]],Prev_Rank[FMS ID],Prev_Rank[Prev Rank])</f>
        <v>693</v>
      </c>
      <c r="BQ770" s="334" t="e">
        <f>_xlfn.XLOOKUP(FMS_Ranking4[[#This Row],[FMS ID]],#REF!,#REF!)</f>
        <v>#REF!</v>
      </c>
      <c r="BR770" s="199" t="e">
        <f>SUM(#REF!,#REF!,#REF!,#REF!,#REF!,#REF!,#REF!,#REF!,#REF!,FMS_Ranking4[[#This Row],[ArcSinh Res struct removed 0-10]],#REF!)</f>
        <v>#REF!</v>
      </c>
      <c r="BS770" s="199" t="e">
        <f>FMS_Ranking4[[#This Row],[Log Score Based on Normalized Reported Factors]]+FMS_Ranking4[[#This Row],[% NBS Score (Normalized)]]+(FMS_Ranking4[[#This Row],[Water Supply Score (Normalized)]]*10*$BB$5)+(FMS_Ranking4[[#This Row],[FMS_Type Score Weighted]])</f>
        <v>#REF!</v>
      </c>
      <c r="BT770" s="200" t="e">
        <f>_xlfn.RANK.EQ(FMS_Ranking4[[#This Row],[Log Total Score]],FMS_Ranking4[Log Total Score],0)</f>
        <v>#REF!</v>
      </c>
      <c r="BU770" s="200" t="e">
        <f>_xlfn.XLOOKUP(FMS_Ranking4[[#This Row],[FMS ID]],#REF!,#REF!)</f>
        <v>#REF!</v>
      </c>
      <c r="BV770" s="200">
        <f>FMS_Ranking4[[#This Row],[Region Number]]</f>
        <v>4</v>
      </c>
      <c r="BW770" s="200">
        <f>FMS_Ranking4[[#This Row],[Rank (with ArcSinh normalization of select criteria)]]-FMS_Ranking4[[#This Row],[Rank
(with linear
normalization)]]</f>
        <v>283</v>
      </c>
      <c r="BX770" s="200" t="e">
        <f>FMS_Ranking4[[#This Row],[Log Rank]]-FMS_Ranking4[[#This Row],[Rank
(with linear
normalization)]]</f>
        <v>#REF!</v>
      </c>
      <c r="BY770" s="200" t="str">
        <f>IF(FMS_Ranking4[[#This Row],[FMS Type]]="Flood Measurement and Warning",FMS_Ranking4[[#This Row],[Rank (with ArcSinh normalization of select criteria)]],"")</f>
        <v/>
      </c>
      <c r="BZ770" s="200">
        <f>IF(FMS_Ranking4[[#This Row],[FMS Type]]="Regulatory and Guidance",FMS_Ranking4[[#This Row],[Rank (with ArcSinh normalization of select criteria)]],"")</f>
        <v>763</v>
      </c>
      <c r="CA770" s="200" t="str">
        <f>IF(FMS_Ranking4[[#This Row],[FMS Type]]="Education and Outreach",FMS_Ranking4[[#This Row],[Rank (with ArcSinh normalization of select criteria)]],"")</f>
        <v/>
      </c>
      <c r="CB770" s="200" t="str">
        <f>IF(FMS_Ranking4[[#This Row],[FMS Type]]="Property Acquisition and Structural Elevation",FMS_Ranking4[[#This Row],[Rank (with ArcSinh normalization of select criteria)]],"")</f>
        <v/>
      </c>
      <c r="CC770" s="200" t="str">
        <f>IF(FMS_Ranking4[[#This Row],[FMS Type]]="Infrastructure Projects",FMS_Ranking4[[#This Row],[Rank (with ArcSinh normalization of select criteria)]],"")</f>
        <v/>
      </c>
      <c r="CD770" s="200" t="str">
        <f>IF(FMS_Ranking4[[#This Row],[FMS Type]]="Other",FMS_Ranking4[[#This Row],[Rank (with ArcSinh normalization of select criteria)]],"")</f>
        <v/>
      </c>
    </row>
    <row r="771" spans="2:82" ht="60" x14ac:dyDescent="0.25">
      <c r="B771" s="342" t="s">
        <v>4913</v>
      </c>
      <c r="C771" s="287">
        <f>_xlfn.XLOOKUP(FMS_Ranking4[[#This Row],[FMS ID]],FMS_Input[FMS_ID],FMS_Input[RFPG_NUM])</f>
        <v>8</v>
      </c>
      <c r="D771" s="309" t="str">
        <f>_xlfn.XLOOKUP(FMS_Ranking4[[#This Row],[FMS ID]],FMS_Input[FMS_ID],FMS_Input[FMS_NAME])</f>
        <v>Project Brazos</v>
      </c>
      <c r="E771" s="308" t="str">
        <f>_xlfn.XLOOKUP(FMS_Ranking4[[#This Row],[FMS ID]],FMS_Input[FMS_ID],FMS_Input[SPONSOR])</f>
        <v>00000009</v>
      </c>
      <c r="F771" s="309" t="str">
        <f>_xlfn.XLOOKUP(FMS_Ranking4[[#This Row],[FMS ID]],Sponsor[FMS_ID],Sponsor[SPONSOR NAME])</f>
        <v>Fort Bend</v>
      </c>
      <c r="G771" s="309" t="str">
        <f>_xlfn.XLOOKUP(FMS_Ranking4[[#This Row],[FMS ID]],FMS_Input[FMS_ID],FMS_Input[FMS_DESCR])</f>
        <v>Stabilization efforts for 11 identified locations along the Brazos River throughout Fort Bend County</v>
      </c>
      <c r="H771" s="247" t="str">
        <f>_xlfn.XLOOKUP(FMS_Ranking4[[#This Row],[FMS ID]],FMS_Input[FMS_ID],FMS_Input[FMS_TYPE])</f>
        <v>Infrastructure Projects</v>
      </c>
      <c r="I771" s="288">
        <f>_xlfn.XLOOKUP(FMS_Ranking4[[#This Row],[FMS ID]],FMS_Input[FMS_ID],FMS_Input[NRNC_COST])</f>
        <v>100000</v>
      </c>
      <c r="J771" s="250">
        <f>_xlfn.XLOOKUP(FMS_Ranking4[[#This Row],[FMS ID]],FMS_Input[FMS_ID],FMS_Input[FMS_COST])</f>
        <v>360000000</v>
      </c>
      <c r="K771" s="289" t="str">
        <f>_xlfn.XLOOKUP(FMS_Ranking4[[#This Row],[FMS ID]],FMS_Input[FMS_ID],FMS_Input[EMER_NEED])</f>
        <v>No</v>
      </c>
      <c r="L771" s="252">
        <f t="shared" si="11"/>
        <v>0</v>
      </c>
      <c r="M771" s="253">
        <f>_xlfn.XLOOKUP(FMS_Ranking4[[#This Row],[FMS ID]],FMS_Input[FMS_ID],FMS_Input[STRUCT_100])</f>
        <v>0</v>
      </c>
      <c r="N771" s="255">
        <f>(ASINH(FMS_Ranking4[[#This Row],[Structure at Risk Raw]]))*(10)/(ASINH(M$4))</f>
        <v>0</v>
      </c>
      <c r="O771" s="255">
        <f>FMS_Ranking4[[#This Row],[Structures at risk, ArcSinh (0-10)]]*M$5*10</f>
        <v>0</v>
      </c>
      <c r="P771" s="259">
        <f>_xlfn.XLOOKUP(FMS_Ranking4[[#This Row],[FMS ID]],FMS_Input[FMS_ID],FMS_Input[RES_STRUCT100])</f>
        <v>0</v>
      </c>
      <c r="Q771" s="257">
        <f>ASINH(FMS_Ranking4[[#This Row],[Res Structure Raw]])/Q$4*P$5*100</f>
        <v>0</v>
      </c>
      <c r="R771" s="259">
        <f>_xlfn.XLOOKUP(FMS_Ranking4[[#This Row],[FMS ID]],FMS_Input[FMS_ID],FMS_Input[POP100])</f>
        <v>0</v>
      </c>
      <c r="S771" s="259">
        <f>(ASINH(FMS_Ranking4[[#This Row],[Pop at Risk Raw]]))*(10)/(ASINH(R$4))</f>
        <v>0</v>
      </c>
      <c r="T771" s="257">
        <f>FMS_Ranking4[[#This Row],[Population at risk, ArcSinh (0-10)]]*R$5*10</f>
        <v>0</v>
      </c>
      <c r="U771" s="259">
        <f>_xlfn.XLOOKUP(FMS_Ranking4[[#This Row],[FMS ID]],FMS_Input[FMS_ID],FMS_Input[CRITFAC100])</f>
        <v>0</v>
      </c>
      <c r="V771" s="259">
        <f>(ASINH(FMS_Ranking4[[#This Row],[Critical Facilities Raw]]))*(10)/(ASINH(U$4))</f>
        <v>0</v>
      </c>
      <c r="W771" s="257">
        <f>FMS_Ranking4[[#This Row],[Critical facilities at risk, ArcSinh (0-10)]]*U$5*10</f>
        <v>0</v>
      </c>
      <c r="X771" s="259">
        <f>_xlfn.XLOOKUP(FMS_Ranking4[[#This Row],[FMS ID]],FMS_Input[FMS_ID],FMS_Input[LWC])</f>
        <v>0</v>
      </c>
      <c r="Y771" s="259">
        <f>(ASINH(FMS_Ranking4[[#This Row],[LWC Raw]]))*(10)/(ASINH(X$4))</f>
        <v>0</v>
      </c>
      <c r="Z771" s="257">
        <f>FMS_Ranking4[[#This Row],[LWC, ArcSInh (0-10)]]*X$5*10</f>
        <v>0</v>
      </c>
      <c r="AA771" s="259">
        <f>_xlfn.XLOOKUP(FMS_Ranking4[[#This Row],[FMS ID]],FMS_Input[FMS_ID],FMS_Input[ROADCLS])</f>
        <v>0</v>
      </c>
      <c r="AB771" s="255">
        <f>(ASINH(FMS_Ranking4[[#This Row],[Road Closures Raw]]))*(10)/(ASINH(AA$4))</f>
        <v>0</v>
      </c>
      <c r="AC771" s="255">
        <f>FMS_Ranking4[[#This Row],[Road closures, ArcSinh (0-10)]]*AA$5*10</f>
        <v>0</v>
      </c>
      <c r="AD771" s="259">
        <f>_xlfn.XLOOKUP(FMS_Ranking4[[#This Row],[FMS ID]],FMS_Input[FMS_ID],FMS_Input[ROAD_MILES100])</f>
        <v>0</v>
      </c>
      <c r="AE771" s="259">
        <f>(ASINH(FMS_Ranking4[[#This Row],[Road Miles Raw]]))*(10)/(ASINH(AD$4))</f>
        <v>0</v>
      </c>
      <c r="AF771" s="257">
        <f>FMS_Ranking4[[#This Row],[Length of roads at risk, ArcSinh (0-10)]]*AD$5*10</f>
        <v>0</v>
      </c>
      <c r="AG771" s="259">
        <f>_xlfn.XLOOKUP(FMS_Ranking4[[#This Row],[FMS ID]],FMS_Input[FMS_ID],FMS_Input[FARMACRE100])</f>
        <v>0</v>
      </c>
      <c r="AH771" s="255">
        <f>(ASINH(FMS_Ranking4[[#This Row],[Ag Land Raw]]))*(10)/(ASINH(AG$4))</f>
        <v>0</v>
      </c>
      <c r="AI771" s="254">
        <f>FMS_Ranking4[[#This Row],[Farm &amp; ranch land, ArcSinh (0-10)]]*AG$5*10</f>
        <v>0</v>
      </c>
      <c r="AJ771" s="258">
        <f>_xlfn.XLOOKUP(FMS_Ranking4[[#This Row],[FMS ID]],FMS_Input[FMS_ID],FMS_Input[REDSTRUCT100])</f>
        <v>0</v>
      </c>
      <c r="AK771" s="253">
        <f>_xlfn.XLOOKUP(FMS_Ranking4[[#This Row],[FMS ID]],FMS_Input[FMS_ID],FMS_Input[REMSTRC100])</f>
        <v>0</v>
      </c>
      <c r="AL771" s="259">
        <f>(ASINH(FMS_Ranking4[[#This Row],[Structures Removed Raw]]))*(10)/(ASINH(AK$4))</f>
        <v>0</v>
      </c>
      <c r="AM771" s="254">
        <f>FMS_Ranking4[[#This Row],[Structures removed, ArcSinh (0-10)]]*AK$5*10</f>
        <v>0</v>
      </c>
      <c r="AN771" s="253">
        <f>_xlfn.XLOOKUP(FMS_Ranking4[[#This Row],[FMS ID]],FMS_Input[FMS_ID],FMS_Input[REMRESSTRC100])</f>
        <v>0</v>
      </c>
      <c r="AO771" s="258">
        <f>FMS_Ranking4[[#This Row],[ArcSinh Res struct removed 0-10]]*AN$5*10</f>
        <v>0</v>
      </c>
      <c r="AP771" s="254">
        <f>ASINH(FMS_Ranking4[[#This Row],[Residential Structures Removed Raw]])/AP$4*AN$5*100</f>
        <v>0</v>
      </c>
      <c r="AQ771" s="260">
        <f>(ASINH(FMS_Ranking4[[#This Row],[Residential Structures Removed Raw]]))*(10)/(ASINH(AN$4))</f>
        <v>0</v>
      </c>
      <c r="AR771" s="253">
        <f>_xlfn.XLOOKUP(FMS_Ranking4[[#This Row],[FMS ID]],FMS_Input[FMS_ID],FMS_Input[REMPOP100])</f>
        <v>0</v>
      </c>
      <c r="AS771" s="259">
        <f>(ASINH(FMS_Ranking4[[#This Row],[Removed Pop Raw]]))*(10)/(ASINH(AR$4))</f>
        <v>0</v>
      </c>
      <c r="AT771" s="263">
        <f>FMS_Ranking4[[#This Row],[Removed population, ArcSinh (0-10)]]*AR$5*10</f>
        <v>0</v>
      </c>
      <c r="AU771" s="264">
        <f>_xlfn.XLOOKUP(FMS_Ranking4[[#This Row],[FMS ID]],FMS_Input[FMS_ID],FMS_Input[REMCRITFAC100])</f>
        <v>0</v>
      </c>
      <c r="AV771" s="264">
        <f>_xlfn.XLOOKUP(FMS_Ranking4[[#This Row],[FMS ID]],FMS_Input[FMS_ID],FMS_Input[REMLWC100])</f>
        <v>0</v>
      </c>
      <c r="AW771" s="264">
        <f>_xlfn.XLOOKUP(FMS_Ranking4[[#This Row],[FMS ID]],FMS_Input[FMS_ID],FMS_Input[REMROADCLS])</f>
        <v>0</v>
      </c>
      <c r="AX771" s="264">
        <f>_xlfn.XLOOKUP(FMS_Ranking4[[#This Row],[FMS ID]],FMS_Input[FMS_ID],FMS_Input[REMFRMACRE100])</f>
        <v>0</v>
      </c>
      <c r="AY771" s="258">
        <f>_xlfn.XLOOKUP(FMS_Ranking4[[#This Row],[FMS ID]],FMS_Input[FMS_ID],FMS_Input[COSTSTRUCT])</f>
        <v>0</v>
      </c>
      <c r="AZ771" s="258">
        <f>_xlfn.XLOOKUP(FMS_Ranking4[[#This Row],[FMS ID]],FMS_Input[FMS_ID],FMS_Input[NATURE])</f>
        <v>50</v>
      </c>
      <c r="BA771" s="290">
        <f>(((FMS_Ranking4[[#This Row],[% NBS Raw]]/AZ$4)*100)*AZ$5)</f>
        <v>3.75</v>
      </c>
      <c r="BB771" s="251" t="str">
        <f>_xlfn.XLOOKUP(FMS_Ranking4[[#This Row],[FMS ID]],FMS_Input[FMS_ID],FMS_Input[WATER_SUP])</f>
        <v>No</v>
      </c>
      <c r="BC771" s="265">
        <f>IF(FMS_Ranking4[[#This Row],[Water Supply Raw]]="Yes",10,0)</f>
        <v>0</v>
      </c>
      <c r="BD771" s="251">
        <f>_xlfn.XLOOKUP(FMS_Ranking4[[#This Row],[FMS Type]],FMS_TYPE[FMS_Type],FMS_TYPE[Score])</f>
        <v>4</v>
      </c>
      <c r="BE771" s="267">
        <f>FMS_Ranking4[[#This Row],[FMS_Type Score]]*$BD$5*10</f>
        <v>1</v>
      </c>
      <c r="BF771"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771" s="271">
        <f>_xlfn.RANK.EQ(BF771,$BF$8:$BF$870,0)+COUNTIF($BF$8:BF771,BF771)-1</f>
        <v>815</v>
      </c>
      <c r="BH771" s="268">
        <f>(((FMS_Ranking4[[#This Row],[Structures Removed Raw]]/AK$4)*100)*AK$5)+(((FMS_Ranking4[[#This Row],[Removed Pop Raw]]/AR$4)*100)*AR$5)</f>
        <v>0</v>
      </c>
      <c r="BI77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4.75</v>
      </c>
      <c r="BJ771" s="325">
        <f>_xlfn.RANK.EQ(FMS_Ranking4[[#This Row],[Total Score 
(with linear
normalization)]],FMS_Ranking4[Total Score 
(with linear
normalization)],0)</f>
        <v>122</v>
      </c>
      <c r="BK771" s="327" t="e">
        <f>_xlfn.XLOOKUP(FMS_Ranking4[[#This Row],[FMS ID]],#REF!,#REF!)</f>
        <v>#REF!</v>
      </c>
      <c r="BL771"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771" s="330">
        <f>FMS_Ranking4[[#This Row],[ArcSinh Score Based on Normalized Reported Factors]]+FMS_Ranking4[[#This Row],[% NBS Score (Normalized)]]+(FMS_Ranking4[[#This Row],[Water Supply Score (Normalized)]]*10*$BB$5)+FMS_Ranking4[[#This Row],[FMS_Type Score Weighted]]</f>
        <v>4.75</v>
      </c>
      <c r="BN771" s="327">
        <f>_xlfn.RANK.EQ(FMS_Ranking4[[#This Row],[Total Score (with ArcSinh normalization of select criteria)]],FMS_Ranking4[Total Score (with ArcSinh normalization of select criteria)],0)</f>
        <v>764</v>
      </c>
      <c r="BO771" s="270" t="str">
        <f>_xlfn.XLOOKUP(FMS_Ranking4[[#This Row],[FMS ID]],FMS_Input[FMS_ID],FMS_Input[FMS_RANK_YEAR])</f>
        <v>2023 Amended Plan</v>
      </c>
      <c r="BP771" s="204">
        <f>_xlfn.XLOOKUP(FMS_Ranking4[[#This Row],[FMS ID]],Prev_Rank[FMS ID],Prev_Rank[Prev Rank])</f>
        <v>694</v>
      </c>
      <c r="BQ771" s="334" t="e">
        <f>_xlfn.XLOOKUP(FMS_Ranking4[[#This Row],[FMS ID]],#REF!,#REF!)</f>
        <v>#REF!</v>
      </c>
      <c r="BR771" s="199" t="e">
        <f>SUM(#REF!,#REF!,#REF!,#REF!,#REF!,#REF!,#REF!,#REF!,#REF!,FMS_Ranking4[[#This Row],[ArcSinh Res struct removed 0-10]],#REF!)</f>
        <v>#REF!</v>
      </c>
      <c r="BS771" s="199" t="e">
        <f>FMS_Ranking4[[#This Row],[Log Score Based on Normalized Reported Factors]]+FMS_Ranking4[[#This Row],[% NBS Score (Normalized)]]+(FMS_Ranking4[[#This Row],[Water Supply Score (Normalized)]]*10*$BB$5)+(FMS_Ranking4[[#This Row],[FMS_Type Score Weighted]])</f>
        <v>#REF!</v>
      </c>
      <c r="BT771" s="200" t="e">
        <f>_xlfn.RANK.EQ(FMS_Ranking4[[#This Row],[Log Total Score]],FMS_Ranking4[Log Total Score],0)</f>
        <v>#REF!</v>
      </c>
      <c r="BU771" s="200" t="e">
        <f>_xlfn.XLOOKUP(FMS_Ranking4[[#This Row],[FMS ID]],#REF!,#REF!)</f>
        <v>#REF!</v>
      </c>
      <c r="BV771" s="200">
        <f>FMS_Ranking4[[#This Row],[Region Number]]</f>
        <v>8</v>
      </c>
      <c r="BW771" s="200">
        <f>FMS_Ranking4[[#This Row],[Rank (with ArcSinh normalization of select criteria)]]-FMS_Ranking4[[#This Row],[Rank
(with linear
normalization)]]</f>
        <v>642</v>
      </c>
      <c r="BX771" s="200" t="e">
        <f>FMS_Ranking4[[#This Row],[Log Rank]]-FMS_Ranking4[[#This Row],[Rank
(with linear
normalization)]]</f>
        <v>#REF!</v>
      </c>
      <c r="BY771" s="200" t="str">
        <f>IF(FMS_Ranking4[[#This Row],[FMS Type]]="Flood Measurement and Warning",FMS_Ranking4[[#This Row],[Rank (with ArcSinh normalization of select criteria)]],"")</f>
        <v/>
      </c>
      <c r="BZ771" s="200" t="str">
        <f>IF(FMS_Ranking4[[#This Row],[FMS Type]]="Regulatory and Guidance",FMS_Ranking4[[#This Row],[Rank (with ArcSinh normalization of select criteria)]],"")</f>
        <v/>
      </c>
      <c r="CA771" s="200" t="str">
        <f>IF(FMS_Ranking4[[#This Row],[FMS Type]]="Education and Outreach",FMS_Ranking4[[#This Row],[Rank (with ArcSinh normalization of select criteria)]],"")</f>
        <v/>
      </c>
      <c r="CB771" s="200" t="str">
        <f>IF(FMS_Ranking4[[#This Row],[FMS Type]]="Property Acquisition and Structural Elevation",FMS_Ranking4[[#This Row],[Rank (with ArcSinh normalization of select criteria)]],"")</f>
        <v/>
      </c>
      <c r="CC771" s="200">
        <f>IF(FMS_Ranking4[[#This Row],[FMS Type]]="Infrastructure Projects",FMS_Ranking4[[#This Row],[Rank (with ArcSinh normalization of select criteria)]],"")</f>
        <v>764</v>
      </c>
      <c r="CD771" s="200" t="str">
        <f>IF(FMS_Ranking4[[#This Row],[FMS Type]]="Other",FMS_Ranking4[[#This Row],[Rank (with ArcSinh normalization of select criteria)]],"")</f>
        <v/>
      </c>
    </row>
    <row r="772" spans="2:82" ht="45" x14ac:dyDescent="0.25">
      <c r="B772" s="342" t="s">
        <v>1735</v>
      </c>
      <c r="C772" s="287">
        <f>_xlfn.XLOOKUP(FMS_Ranking4[[#This Row],[FMS ID]],FMS_Input[FMS_ID],FMS_Input[RFPG_NUM])</f>
        <v>2</v>
      </c>
      <c r="D772" s="309" t="str">
        <f>_xlfn.XLOOKUP(FMS_Ranking4[[#This Row],[FMS ID]],FMS_Input[FMS_ID],FMS_Input[FMS_NAME])</f>
        <v>City of Tom Bean NFIP Involvement</v>
      </c>
      <c r="E772" s="308" t="str">
        <f>_xlfn.XLOOKUP(FMS_Ranking4[[#This Row],[FMS ID]],FMS_Input[FMS_ID],FMS_Input[SPONSOR])</f>
        <v>City of Tom Bean</v>
      </c>
      <c r="F772" s="309" t="str">
        <f>_xlfn.XLOOKUP(FMS_Ranking4[[#This Row],[FMS ID]],Sponsor[FMS_ID],Sponsor[SPONSOR NAME])</f>
        <v>City of Tom Bean</v>
      </c>
      <c r="G772" s="309" t="str">
        <f>_xlfn.XLOOKUP(FMS_Ranking4[[#This Row],[FMS ID]],FMS_Input[FMS_ID],FMS_Input[FMS_DESCR])</f>
        <v xml:space="preserve">Application to join NFIP or adoption of equivalent standards </v>
      </c>
      <c r="H772" s="247" t="str">
        <f>_xlfn.XLOOKUP(FMS_Ranking4[[#This Row],[FMS ID]],FMS_Input[FMS_ID],FMS_Input[FMS_TYPE])</f>
        <v>Regulatory and Guidance</v>
      </c>
      <c r="I772" s="288">
        <f>_xlfn.XLOOKUP(FMS_Ranking4[[#This Row],[FMS ID]],FMS_Input[FMS_ID],FMS_Input[NRNC_COST])</f>
        <v>100000</v>
      </c>
      <c r="J772" s="250">
        <f>_xlfn.XLOOKUP(FMS_Ranking4[[#This Row],[FMS ID]],FMS_Input[FMS_ID],FMS_Input[FMS_COST])</f>
        <v>100000</v>
      </c>
      <c r="K772" s="289" t="str">
        <f>_xlfn.XLOOKUP(FMS_Ranking4[[#This Row],[FMS ID]],FMS_Input[FMS_ID],FMS_Input[EMER_NEED])</f>
        <v>No</v>
      </c>
      <c r="L772" s="252">
        <f t="shared" si="11"/>
        <v>0</v>
      </c>
      <c r="M772" s="253">
        <f>_xlfn.XLOOKUP(FMS_Ranking4[[#This Row],[FMS ID]],FMS_Input[FMS_ID],FMS_Input[STRUCT_100])</f>
        <v>1</v>
      </c>
      <c r="N772" s="255">
        <f>(ASINH(FMS_Ranking4[[#This Row],[Structure at Risk Raw]]))*(10)/(ASINH(M$4))</f>
        <v>0.69289087024057039</v>
      </c>
      <c r="O772" s="255">
        <f>FMS_Ranking4[[#This Row],[Structures at risk, ArcSinh (0-10)]]*M$5*10</f>
        <v>0.6928908702405705</v>
      </c>
      <c r="P772" s="259">
        <f>_xlfn.XLOOKUP(FMS_Ranking4[[#This Row],[FMS ID]],FMS_Input[FMS_ID],FMS_Input[RES_STRUCT100])</f>
        <v>1</v>
      </c>
      <c r="Q772" s="257">
        <f>ASINH(FMS_Ranking4[[#This Row],[Res Structure Raw]])/Q$4*P$5*100</f>
        <v>0</v>
      </c>
      <c r="R772" s="259">
        <f>_xlfn.XLOOKUP(FMS_Ranking4[[#This Row],[FMS ID]],FMS_Input[FMS_ID],FMS_Input[POP100])</f>
        <v>3</v>
      </c>
      <c r="S772" s="259">
        <f>(ASINH(FMS_Ranking4[[#This Row],[Pop at Risk Raw]]))*(10)/(ASINH(R$4))</f>
        <v>1.2553794569988064</v>
      </c>
      <c r="T772" s="257">
        <f>FMS_Ranking4[[#This Row],[Population at risk, ArcSinh (0-10)]]*R$5*10</f>
        <v>1.2553794569988064</v>
      </c>
      <c r="U772" s="259">
        <f>_xlfn.XLOOKUP(FMS_Ranking4[[#This Row],[FMS ID]],FMS_Input[FMS_ID],FMS_Input[CRITFAC100])</f>
        <v>0</v>
      </c>
      <c r="V772" s="259">
        <f>(ASINH(FMS_Ranking4[[#This Row],[Critical Facilities Raw]]))*(10)/(ASINH(U$4))</f>
        <v>0</v>
      </c>
      <c r="W772" s="257">
        <f>FMS_Ranking4[[#This Row],[Critical facilities at risk, ArcSinh (0-10)]]*U$5*10</f>
        <v>0</v>
      </c>
      <c r="X772" s="259">
        <f>_xlfn.XLOOKUP(FMS_Ranking4[[#This Row],[FMS ID]],FMS_Input[FMS_ID],FMS_Input[LWC])</f>
        <v>0</v>
      </c>
      <c r="Y772" s="259">
        <f>(ASINH(FMS_Ranking4[[#This Row],[LWC Raw]]))*(10)/(ASINH(X$4))</f>
        <v>0</v>
      </c>
      <c r="Z772" s="257">
        <f>FMS_Ranking4[[#This Row],[LWC, ArcSInh (0-10)]]*X$5*10</f>
        <v>0</v>
      </c>
      <c r="AA772" s="259">
        <f>_xlfn.XLOOKUP(FMS_Ranking4[[#This Row],[FMS ID]],FMS_Input[FMS_ID],FMS_Input[ROADCLS])</f>
        <v>0</v>
      </c>
      <c r="AB772" s="255">
        <f>(ASINH(FMS_Ranking4[[#This Row],[Road Closures Raw]]))*(10)/(ASINH(AA$4))</f>
        <v>0</v>
      </c>
      <c r="AC772" s="255">
        <f>FMS_Ranking4[[#This Row],[Road closures, ArcSinh (0-10)]]*AA$5*10</f>
        <v>0</v>
      </c>
      <c r="AD772" s="259">
        <f>_xlfn.XLOOKUP(FMS_Ranking4[[#This Row],[FMS ID]],FMS_Input[FMS_ID],FMS_Input[ROAD_MILES100])</f>
        <v>0</v>
      </c>
      <c r="AE772" s="259">
        <f>(ASINH(FMS_Ranking4[[#This Row],[Road Miles Raw]]))*(10)/(ASINH(AD$4))</f>
        <v>0</v>
      </c>
      <c r="AF772" s="257">
        <f>FMS_Ranking4[[#This Row],[Length of roads at risk, ArcSinh (0-10)]]*AD$5*10</f>
        <v>0</v>
      </c>
      <c r="AG772" s="259">
        <f>_xlfn.XLOOKUP(FMS_Ranking4[[#This Row],[FMS ID]],FMS_Input[FMS_ID],FMS_Input[FARMACRE100])</f>
        <v>3.8855686187744141</v>
      </c>
      <c r="AH772" s="255">
        <f>(ASINH(FMS_Ranking4[[#This Row],[Ag Land Raw]]))*(10)/(ASINH(AG$4))</f>
        <v>1.3424111660028815</v>
      </c>
      <c r="AI772" s="254">
        <f>FMS_Ranking4[[#This Row],[Farm &amp; ranch land, ArcSinh (0-10)]]*AG$5*10</f>
        <v>0.67120558300144073</v>
      </c>
      <c r="AJ772" s="258">
        <f>_xlfn.XLOOKUP(FMS_Ranking4[[#This Row],[FMS ID]],FMS_Input[FMS_ID],FMS_Input[REDSTRUCT100])</f>
        <v>0</v>
      </c>
      <c r="AK772" s="253">
        <f>_xlfn.XLOOKUP(FMS_Ranking4[[#This Row],[FMS ID]],FMS_Input[FMS_ID],FMS_Input[REMSTRC100])</f>
        <v>0</v>
      </c>
      <c r="AL772" s="259">
        <f>(ASINH(FMS_Ranking4[[#This Row],[Structures Removed Raw]]))*(10)/(ASINH(AK$4))</f>
        <v>0</v>
      </c>
      <c r="AM772" s="254">
        <f>FMS_Ranking4[[#This Row],[Structures removed, ArcSinh (0-10)]]*AK$5*10</f>
        <v>0</v>
      </c>
      <c r="AN772" s="253">
        <f>_xlfn.XLOOKUP(FMS_Ranking4[[#This Row],[FMS ID]],FMS_Input[FMS_ID],FMS_Input[REMRESSTRC100])</f>
        <v>0</v>
      </c>
      <c r="AO772" s="258">
        <f>FMS_Ranking4[[#This Row],[ArcSinh Res struct removed 0-10]]*AN$5*10</f>
        <v>0</v>
      </c>
      <c r="AP772" s="254">
        <f>ASINH(FMS_Ranking4[[#This Row],[Residential Structures Removed Raw]])/AP$4*AN$5*100</f>
        <v>0</v>
      </c>
      <c r="AQ772" s="260">
        <f>(ASINH(FMS_Ranking4[[#This Row],[Residential Structures Removed Raw]]))*(10)/(ASINH(AN$4))</f>
        <v>0</v>
      </c>
      <c r="AR772" s="253">
        <f>_xlfn.XLOOKUP(FMS_Ranking4[[#This Row],[FMS ID]],FMS_Input[FMS_ID],FMS_Input[REMPOP100])</f>
        <v>0</v>
      </c>
      <c r="AS772" s="259">
        <f>(ASINH(FMS_Ranking4[[#This Row],[Removed Pop Raw]]))*(10)/(ASINH(AR$4))</f>
        <v>0</v>
      </c>
      <c r="AT772" s="263">
        <f>FMS_Ranking4[[#This Row],[Removed population, ArcSinh (0-10)]]*AR$5*10</f>
        <v>0</v>
      </c>
      <c r="AU772" s="264">
        <f>_xlfn.XLOOKUP(FMS_Ranking4[[#This Row],[FMS ID]],FMS_Input[FMS_ID],FMS_Input[REMCRITFAC100])</f>
        <v>0</v>
      </c>
      <c r="AV772" s="264">
        <f>_xlfn.XLOOKUP(FMS_Ranking4[[#This Row],[FMS ID]],FMS_Input[FMS_ID],FMS_Input[REMLWC100])</f>
        <v>0</v>
      </c>
      <c r="AW772" s="264">
        <f>_xlfn.XLOOKUP(FMS_Ranking4[[#This Row],[FMS ID]],FMS_Input[FMS_ID],FMS_Input[REMROADCLS])</f>
        <v>0</v>
      </c>
      <c r="AX772" s="264">
        <f>_xlfn.XLOOKUP(FMS_Ranking4[[#This Row],[FMS ID]],FMS_Input[FMS_ID],FMS_Input[REMFRMACRE100])</f>
        <v>0</v>
      </c>
      <c r="AY772" s="258">
        <f>_xlfn.XLOOKUP(FMS_Ranking4[[#This Row],[FMS ID]],FMS_Input[FMS_ID],FMS_Input[COSTSTRUCT])</f>
        <v>0</v>
      </c>
      <c r="AZ772" s="258">
        <f>_xlfn.XLOOKUP(FMS_Ranking4[[#This Row],[FMS ID]],FMS_Input[FMS_ID],FMS_Input[NATURE])</f>
        <v>0</v>
      </c>
      <c r="BA772" s="290">
        <f>(((FMS_Ranking4[[#This Row],[% NBS Raw]]/AZ$4)*100)*AZ$5)</f>
        <v>0</v>
      </c>
      <c r="BB772" s="251" t="str">
        <f>_xlfn.XLOOKUP(FMS_Ranking4[[#This Row],[FMS ID]],FMS_Input[FMS_ID],FMS_Input[WATER_SUP])</f>
        <v>No</v>
      </c>
      <c r="BC772" s="265">
        <f>IF(FMS_Ranking4[[#This Row],[Water Supply Raw]]="Yes",10,0)</f>
        <v>0</v>
      </c>
      <c r="BD772" s="251">
        <f>_xlfn.XLOOKUP(FMS_Ranking4[[#This Row],[FMS Type]],FMS_TYPE[FMS_Type],FMS_TYPE[Score])</f>
        <v>8</v>
      </c>
      <c r="BE772" s="267">
        <f>FMS_Ranking4[[#This Row],[FMS_Type Score]]*$BD$5*10</f>
        <v>2</v>
      </c>
      <c r="BF772"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9.852222307923529E-5</v>
      </c>
      <c r="BG772" s="271">
        <f>_xlfn.RANK.EQ(BF772,$BF$8:$BF$870,0)+COUNTIF($BF$8:BF772,BF772)-1</f>
        <v>780</v>
      </c>
      <c r="BH772" s="268">
        <f>(((FMS_Ranking4[[#This Row],[Structures Removed Raw]]/AK$4)*100)*AK$5)+(((FMS_Ranking4[[#This Row],[Removed Pop Raw]]/AR$4)*100)*AR$5)</f>
        <v>0</v>
      </c>
      <c r="BI77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2.0000985222230794</v>
      </c>
      <c r="BJ772" s="325">
        <f>_xlfn.RANK.EQ(FMS_Ranking4[[#This Row],[Total Score 
(with linear
normalization)]],FMS_Ranking4[Total Score 
(with linear
normalization)],0)</f>
        <v>481</v>
      </c>
      <c r="BK772" s="327" t="e">
        <f>_xlfn.XLOOKUP(FMS_Ranking4[[#This Row],[FMS ID]],#REF!,#REF!)</f>
        <v>#REF!</v>
      </c>
      <c r="BL772"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2.6194759102408174</v>
      </c>
      <c r="BM772" s="330">
        <f>FMS_Ranking4[[#This Row],[ArcSinh Score Based on Normalized Reported Factors]]+FMS_Ranking4[[#This Row],[% NBS Score (Normalized)]]+(FMS_Ranking4[[#This Row],[Water Supply Score (Normalized)]]*10*$BB$5)+FMS_Ranking4[[#This Row],[FMS_Type Score Weighted]]</f>
        <v>4.6194759102408174</v>
      </c>
      <c r="BN772" s="327">
        <f>_xlfn.RANK.EQ(FMS_Ranking4[[#This Row],[Total Score (with ArcSinh normalization of select criteria)]],FMS_Ranking4[Total Score (with ArcSinh normalization of select criteria)],0)</f>
        <v>765</v>
      </c>
      <c r="BO772" s="270" t="str">
        <f>_xlfn.XLOOKUP(FMS_Ranking4[[#This Row],[FMS ID]],FMS_Input[FMS_ID],FMS_Input[FMS_RANK_YEAR])</f>
        <v>2023 Amended Plan</v>
      </c>
      <c r="BP772" s="204">
        <f>_xlfn.XLOOKUP(FMS_Ranking4[[#This Row],[FMS ID]],Prev_Rank[FMS ID],Prev_Rank[Prev Rank])</f>
        <v>695</v>
      </c>
      <c r="BQ772" s="334" t="e">
        <f>_xlfn.XLOOKUP(FMS_Ranking4[[#This Row],[FMS ID]],#REF!,#REF!)</f>
        <v>#REF!</v>
      </c>
      <c r="BR772" s="199" t="e">
        <f>SUM(#REF!,#REF!,#REF!,#REF!,#REF!,#REF!,#REF!,#REF!,#REF!,FMS_Ranking4[[#This Row],[ArcSinh Res struct removed 0-10]],#REF!)</f>
        <v>#REF!</v>
      </c>
      <c r="BS772" s="199" t="e">
        <f>FMS_Ranking4[[#This Row],[Log Score Based on Normalized Reported Factors]]+FMS_Ranking4[[#This Row],[% NBS Score (Normalized)]]+(FMS_Ranking4[[#This Row],[Water Supply Score (Normalized)]]*10*$BB$5)+(FMS_Ranking4[[#This Row],[FMS_Type Score Weighted]])</f>
        <v>#REF!</v>
      </c>
      <c r="BT772" s="200" t="e">
        <f>_xlfn.RANK.EQ(FMS_Ranking4[[#This Row],[Log Total Score]],FMS_Ranking4[Log Total Score],0)</f>
        <v>#REF!</v>
      </c>
      <c r="BU772" s="200" t="e">
        <f>_xlfn.XLOOKUP(FMS_Ranking4[[#This Row],[FMS ID]],#REF!,#REF!)</f>
        <v>#REF!</v>
      </c>
      <c r="BV772" s="200">
        <f>FMS_Ranking4[[#This Row],[Region Number]]</f>
        <v>2</v>
      </c>
      <c r="BW772" s="200">
        <f>FMS_Ranking4[[#This Row],[Rank (with ArcSinh normalization of select criteria)]]-FMS_Ranking4[[#This Row],[Rank
(with linear
normalization)]]</f>
        <v>284</v>
      </c>
      <c r="BX772" s="200" t="e">
        <f>FMS_Ranking4[[#This Row],[Log Rank]]-FMS_Ranking4[[#This Row],[Rank
(with linear
normalization)]]</f>
        <v>#REF!</v>
      </c>
      <c r="BY772" s="200" t="str">
        <f>IF(FMS_Ranking4[[#This Row],[FMS Type]]="Flood Measurement and Warning",FMS_Ranking4[[#This Row],[Rank (with ArcSinh normalization of select criteria)]],"")</f>
        <v/>
      </c>
      <c r="BZ772" s="200">
        <f>IF(FMS_Ranking4[[#This Row],[FMS Type]]="Regulatory and Guidance",FMS_Ranking4[[#This Row],[Rank (with ArcSinh normalization of select criteria)]],"")</f>
        <v>765</v>
      </c>
      <c r="CA772" s="200" t="str">
        <f>IF(FMS_Ranking4[[#This Row],[FMS Type]]="Education and Outreach",FMS_Ranking4[[#This Row],[Rank (with ArcSinh normalization of select criteria)]],"")</f>
        <v/>
      </c>
      <c r="CB772" s="200" t="str">
        <f>IF(FMS_Ranking4[[#This Row],[FMS Type]]="Property Acquisition and Structural Elevation",FMS_Ranking4[[#This Row],[Rank (with ArcSinh normalization of select criteria)]],"")</f>
        <v/>
      </c>
      <c r="CC772" s="200" t="str">
        <f>IF(FMS_Ranking4[[#This Row],[FMS Type]]="Infrastructure Projects",FMS_Ranking4[[#This Row],[Rank (with ArcSinh normalization of select criteria)]],"")</f>
        <v/>
      </c>
      <c r="CD772" s="200" t="str">
        <f>IF(FMS_Ranking4[[#This Row],[FMS Type]]="Other",FMS_Ranking4[[#This Row],[Rank (with ArcSinh normalization of select criteria)]],"")</f>
        <v/>
      </c>
    </row>
    <row r="773" spans="2:82" ht="75" x14ac:dyDescent="0.25">
      <c r="B773" s="342" t="s">
        <v>4862</v>
      </c>
      <c r="C773" s="287">
        <f>_xlfn.XLOOKUP(FMS_Ranking4[[#This Row],[FMS ID]],FMS_Input[FMS_ID],FMS_Input[RFPG_NUM])</f>
        <v>4</v>
      </c>
      <c r="D773" s="309" t="str">
        <f>_xlfn.XLOOKUP(FMS_Ranking4[[#This Row],[FMS ID]],FMS_Input[FMS_ID],FMS_Input[FMS_NAME])</f>
        <v>City of Como Flood Awareness Program</v>
      </c>
      <c r="E773" s="308" t="str">
        <f>_xlfn.XLOOKUP(FMS_Ranking4[[#This Row],[FMS ID]],FMS_Input[FMS_ID],FMS_Input[SPONSOR])</f>
        <v>00003418</v>
      </c>
      <c r="F773" s="309" t="str">
        <f>_xlfn.XLOOKUP(FMS_Ranking4[[#This Row],[FMS ID]],Sponsor[FMS_ID],Sponsor[SPONSOR NAME])</f>
        <v>Como</v>
      </c>
      <c r="G773" s="309" t="str">
        <f>_xlfn.XLOOKUP(FMS_Ranking4[[#This Row],[FMS ID]],FMS_Input[FMS_ID],FMS_Input[FMS_DESCR])</f>
        <v>Disseminate PSA’s, Newspaper Articles through local media about dangers of flooded county roads and to “Turn Around; Don’t Drown.”</v>
      </c>
      <c r="H773" s="247" t="str">
        <f>_xlfn.XLOOKUP(FMS_Ranking4[[#This Row],[FMS ID]],FMS_Input[FMS_ID],FMS_Input[FMS_TYPE])</f>
        <v>Education and Outreach</v>
      </c>
      <c r="I773" s="288">
        <f>_xlfn.XLOOKUP(FMS_Ranking4[[#This Row],[FMS ID]],FMS_Input[FMS_ID],FMS_Input[NRNC_COST])</f>
        <v>10000</v>
      </c>
      <c r="J773" s="250">
        <f>_xlfn.XLOOKUP(FMS_Ranking4[[#This Row],[FMS ID]],FMS_Input[FMS_ID],FMS_Input[FMS_COST])</f>
        <v>10000</v>
      </c>
      <c r="K773" s="289" t="str">
        <f>_xlfn.XLOOKUP(FMS_Ranking4[[#This Row],[FMS ID]],FMS_Input[FMS_ID],FMS_Input[EMER_NEED])</f>
        <v>No</v>
      </c>
      <c r="L773" s="252">
        <f t="shared" si="11"/>
        <v>0</v>
      </c>
      <c r="M773" s="253">
        <f>_xlfn.XLOOKUP(FMS_Ranking4[[#This Row],[FMS ID]],FMS_Input[FMS_ID],FMS_Input[STRUCT_100])</f>
        <v>3</v>
      </c>
      <c r="N773" s="255">
        <f>(ASINH(FMS_Ranking4[[#This Row],[Structure at Risk Raw]]))*(10)/(ASINH(M$4))</f>
        <v>1.4295696719071895</v>
      </c>
      <c r="O773" s="255">
        <f>FMS_Ranking4[[#This Row],[Structures at risk, ArcSinh (0-10)]]*M$5*10</f>
        <v>1.4295696719071895</v>
      </c>
      <c r="P773" s="259">
        <f>_xlfn.XLOOKUP(FMS_Ranking4[[#This Row],[FMS ID]],FMS_Input[FMS_ID],FMS_Input[RES_STRUCT100])</f>
        <v>2</v>
      </c>
      <c r="Q773" s="257">
        <f>ASINH(FMS_Ranking4[[#This Row],[Res Structure Raw]])/Q$4*P$5*100</f>
        <v>0</v>
      </c>
      <c r="R773" s="259">
        <f>_xlfn.XLOOKUP(FMS_Ranking4[[#This Row],[FMS ID]],FMS_Input[FMS_ID],FMS_Input[POP100])</f>
        <v>1</v>
      </c>
      <c r="S773" s="259">
        <f>(ASINH(FMS_Ranking4[[#This Row],[Pop at Risk Raw]]))*(10)/(ASINH(R$4))</f>
        <v>0.60846349886646833</v>
      </c>
      <c r="T773" s="257">
        <f>FMS_Ranking4[[#This Row],[Population at risk, ArcSinh (0-10)]]*R$5*10</f>
        <v>0.60846349886646833</v>
      </c>
      <c r="U773" s="259">
        <f>_xlfn.XLOOKUP(FMS_Ranking4[[#This Row],[FMS ID]],FMS_Input[FMS_ID],FMS_Input[CRITFAC100])</f>
        <v>0</v>
      </c>
      <c r="V773" s="259">
        <f>(ASINH(FMS_Ranking4[[#This Row],[Critical Facilities Raw]]))*(10)/(ASINH(U$4))</f>
        <v>0</v>
      </c>
      <c r="W773" s="257">
        <f>FMS_Ranking4[[#This Row],[Critical facilities at risk, ArcSinh (0-10)]]*U$5*10</f>
        <v>0</v>
      </c>
      <c r="X773" s="259">
        <f>_xlfn.XLOOKUP(FMS_Ranking4[[#This Row],[FMS ID]],FMS_Input[FMS_ID],FMS_Input[LWC])</f>
        <v>0</v>
      </c>
      <c r="Y773" s="259">
        <f>(ASINH(FMS_Ranking4[[#This Row],[LWC Raw]]))*(10)/(ASINH(X$4))</f>
        <v>0</v>
      </c>
      <c r="Z773" s="257">
        <f>FMS_Ranking4[[#This Row],[LWC, ArcSInh (0-10)]]*X$5*10</f>
        <v>0</v>
      </c>
      <c r="AA773" s="259">
        <f>_xlfn.XLOOKUP(FMS_Ranking4[[#This Row],[FMS ID]],FMS_Input[FMS_ID],FMS_Input[ROADCLS])</f>
        <v>0</v>
      </c>
      <c r="AB773" s="255">
        <f>(ASINH(FMS_Ranking4[[#This Row],[Road Closures Raw]]))*(10)/(ASINH(AA$4))</f>
        <v>0</v>
      </c>
      <c r="AC773" s="255">
        <f>FMS_Ranking4[[#This Row],[Road closures, ArcSinh (0-10)]]*AA$5*10</f>
        <v>0</v>
      </c>
      <c r="AD773" s="259">
        <f>_xlfn.XLOOKUP(FMS_Ranking4[[#This Row],[FMS ID]],FMS_Input[FMS_ID],FMS_Input[ROAD_MILES100])</f>
        <v>0</v>
      </c>
      <c r="AE773" s="259">
        <f>(ASINH(FMS_Ranking4[[#This Row],[Road Miles Raw]]))*(10)/(ASINH(AD$4))</f>
        <v>0</v>
      </c>
      <c r="AF773" s="257">
        <f>FMS_Ranking4[[#This Row],[Length of roads at risk, ArcSinh (0-10)]]*AD$5*10</f>
        <v>0</v>
      </c>
      <c r="AG773" s="259">
        <f>_xlfn.XLOOKUP(FMS_Ranking4[[#This Row],[FMS ID]],FMS_Input[FMS_ID],FMS_Input[FARMACRE100])</f>
        <v>10.66470146179199</v>
      </c>
      <c r="AH773" s="255">
        <f>(ASINH(FMS_Ranking4[[#This Row],[Ag Land Raw]]))*(10)/(ASINH(AG$4))</f>
        <v>1.9891986549847531</v>
      </c>
      <c r="AI773" s="254">
        <f>FMS_Ranking4[[#This Row],[Farm &amp; ranch land, ArcSinh (0-10)]]*AG$5*10</f>
        <v>0.99459932749237656</v>
      </c>
      <c r="AJ773" s="258">
        <f>_xlfn.XLOOKUP(FMS_Ranking4[[#This Row],[FMS ID]],FMS_Input[FMS_ID],FMS_Input[REDSTRUCT100])</f>
        <v>0</v>
      </c>
      <c r="AK773" s="253">
        <f>_xlfn.XLOOKUP(FMS_Ranking4[[#This Row],[FMS ID]],FMS_Input[FMS_ID],FMS_Input[REMSTRC100])</f>
        <v>0</v>
      </c>
      <c r="AL773" s="259">
        <f>(ASINH(FMS_Ranking4[[#This Row],[Structures Removed Raw]]))*(10)/(ASINH(AK$4))</f>
        <v>0</v>
      </c>
      <c r="AM773" s="254">
        <f>FMS_Ranking4[[#This Row],[Structures removed, ArcSinh (0-10)]]*AK$5*10</f>
        <v>0</v>
      </c>
      <c r="AN773" s="253">
        <f>_xlfn.XLOOKUP(FMS_Ranking4[[#This Row],[FMS ID]],FMS_Input[FMS_ID],FMS_Input[REMRESSTRC100])</f>
        <v>0</v>
      </c>
      <c r="AO773" s="258">
        <f>FMS_Ranking4[[#This Row],[ArcSinh Res struct removed 0-10]]*AN$5*10</f>
        <v>0</v>
      </c>
      <c r="AP773" s="254">
        <f>ASINH(FMS_Ranking4[[#This Row],[Residential Structures Removed Raw]])/AP$4*AN$5*100</f>
        <v>0</v>
      </c>
      <c r="AQ773" s="260">
        <f>(ASINH(FMS_Ranking4[[#This Row],[Residential Structures Removed Raw]]))*(10)/(ASINH(AN$4))</f>
        <v>0</v>
      </c>
      <c r="AR773" s="253">
        <f>_xlfn.XLOOKUP(FMS_Ranking4[[#This Row],[FMS ID]],FMS_Input[FMS_ID],FMS_Input[REMPOP100])</f>
        <v>0</v>
      </c>
      <c r="AS773" s="259">
        <f>(ASINH(FMS_Ranking4[[#This Row],[Removed Pop Raw]]))*(10)/(ASINH(AR$4))</f>
        <v>0</v>
      </c>
      <c r="AT773" s="263">
        <f>FMS_Ranking4[[#This Row],[Removed population, ArcSinh (0-10)]]*AR$5*10</f>
        <v>0</v>
      </c>
      <c r="AU773" s="264">
        <f>_xlfn.XLOOKUP(FMS_Ranking4[[#This Row],[FMS ID]],FMS_Input[FMS_ID],FMS_Input[REMCRITFAC100])</f>
        <v>0</v>
      </c>
      <c r="AV773" s="264">
        <f>_xlfn.XLOOKUP(FMS_Ranking4[[#This Row],[FMS ID]],FMS_Input[FMS_ID],FMS_Input[REMLWC100])</f>
        <v>0</v>
      </c>
      <c r="AW773" s="264">
        <f>_xlfn.XLOOKUP(FMS_Ranking4[[#This Row],[FMS ID]],FMS_Input[FMS_ID],FMS_Input[REMROADCLS])</f>
        <v>0</v>
      </c>
      <c r="AX773" s="264">
        <f>_xlfn.XLOOKUP(FMS_Ranking4[[#This Row],[FMS ID]],FMS_Input[FMS_ID],FMS_Input[REMFRMACRE100])</f>
        <v>0</v>
      </c>
      <c r="AY773" s="258">
        <f>_xlfn.XLOOKUP(FMS_Ranking4[[#This Row],[FMS ID]],FMS_Input[FMS_ID],FMS_Input[COSTSTRUCT])</f>
        <v>0</v>
      </c>
      <c r="AZ773" s="258">
        <f>_xlfn.XLOOKUP(FMS_Ranking4[[#This Row],[FMS ID]],FMS_Input[FMS_ID],FMS_Input[NATURE])</f>
        <v>0</v>
      </c>
      <c r="BA773" s="290">
        <f>(((FMS_Ranking4[[#This Row],[% NBS Raw]]/AZ$4)*100)*AZ$5)</f>
        <v>0</v>
      </c>
      <c r="BB773" s="251" t="str">
        <f>_xlfn.XLOOKUP(FMS_Ranking4[[#This Row],[FMS ID]],FMS_Input[FMS_ID],FMS_Input[WATER_SUP])</f>
        <v>No</v>
      </c>
      <c r="BC773" s="265">
        <f>IF(FMS_Ranking4[[#This Row],[Water Supply Raw]]="Yes",10,0)</f>
        <v>0</v>
      </c>
      <c r="BD773" s="251">
        <f>_xlfn.XLOOKUP(FMS_Ranking4[[#This Row],[FMS Type]],FMS_TYPE[FMS_Type],FMS_TYPE[Score])</f>
        <v>6</v>
      </c>
      <c r="BE773" s="267">
        <f>FMS_Ranking4[[#This Row],[FMS_Type Score]]*$BD$5*10</f>
        <v>1.5000000000000002</v>
      </c>
      <c r="BF773"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2.1162532068795824E-4</v>
      </c>
      <c r="BG773" s="271">
        <f>_xlfn.RANK.EQ(BF773,$BF$8:$BF$870,0)+COUNTIF($BF$8:BF773,BF773)-1</f>
        <v>773</v>
      </c>
      <c r="BH773" s="268">
        <f>(((FMS_Ranking4[[#This Row],[Structures Removed Raw]]/AK$4)*100)*AK$5)+(((FMS_Ranking4[[#This Row],[Removed Pop Raw]]/AR$4)*100)*AR$5)</f>
        <v>0</v>
      </c>
      <c r="BI77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1.5002116253206881</v>
      </c>
      <c r="BJ773" s="325">
        <f>_xlfn.RANK.EQ(FMS_Ranking4[[#This Row],[Total Score 
(with linear
normalization)]],FMS_Ranking4[Total Score 
(with linear
normalization)],0)</f>
        <v>608</v>
      </c>
      <c r="BK773" s="327" t="e">
        <f>_xlfn.XLOOKUP(FMS_Ranking4[[#This Row],[FMS ID]],#REF!,#REF!)</f>
        <v>#REF!</v>
      </c>
      <c r="BL773"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3.0326324982660342</v>
      </c>
      <c r="BM773" s="330">
        <f>FMS_Ranking4[[#This Row],[ArcSinh Score Based on Normalized Reported Factors]]+FMS_Ranking4[[#This Row],[% NBS Score (Normalized)]]+(FMS_Ranking4[[#This Row],[Water Supply Score (Normalized)]]*10*$BB$5)+FMS_Ranking4[[#This Row],[FMS_Type Score Weighted]]</f>
        <v>4.5326324982660342</v>
      </c>
      <c r="BN773" s="327">
        <f>_xlfn.RANK.EQ(FMS_Ranking4[[#This Row],[Total Score (with ArcSinh normalization of select criteria)]],FMS_Ranking4[Total Score (with ArcSinh normalization of select criteria)],0)</f>
        <v>766</v>
      </c>
      <c r="BO773" s="270" t="str">
        <f>_xlfn.XLOOKUP(FMS_Ranking4[[#This Row],[FMS ID]],FMS_Input[FMS_ID],FMS_Input[FMS_RANK_YEAR])</f>
        <v>2023 Amended Plan</v>
      </c>
      <c r="BP773" s="204">
        <f>_xlfn.XLOOKUP(FMS_Ranking4[[#This Row],[FMS ID]],Prev_Rank[FMS ID],Prev_Rank[Prev Rank])</f>
        <v>696</v>
      </c>
      <c r="BQ773" s="334" t="e">
        <f>_xlfn.XLOOKUP(FMS_Ranking4[[#This Row],[FMS ID]],#REF!,#REF!)</f>
        <v>#REF!</v>
      </c>
      <c r="BR773" s="199" t="e">
        <f>SUM(#REF!,#REF!,#REF!,#REF!,#REF!,#REF!,#REF!,#REF!,#REF!,FMS_Ranking4[[#This Row],[ArcSinh Res struct removed 0-10]],#REF!)</f>
        <v>#REF!</v>
      </c>
      <c r="BS773" s="199" t="e">
        <f>FMS_Ranking4[[#This Row],[Log Score Based on Normalized Reported Factors]]+FMS_Ranking4[[#This Row],[% NBS Score (Normalized)]]+(FMS_Ranking4[[#This Row],[Water Supply Score (Normalized)]]*10*$BB$5)+(FMS_Ranking4[[#This Row],[FMS_Type Score Weighted]])</f>
        <v>#REF!</v>
      </c>
      <c r="BT773" s="200" t="e">
        <f>_xlfn.RANK.EQ(FMS_Ranking4[[#This Row],[Log Total Score]],FMS_Ranking4[Log Total Score],0)</f>
        <v>#REF!</v>
      </c>
      <c r="BU773" s="200" t="e">
        <f>_xlfn.XLOOKUP(FMS_Ranking4[[#This Row],[FMS ID]],#REF!,#REF!)</f>
        <v>#REF!</v>
      </c>
      <c r="BV773" s="200">
        <f>FMS_Ranking4[[#This Row],[Region Number]]</f>
        <v>4</v>
      </c>
      <c r="BW773" s="200">
        <f>FMS_Ranking4[[#This Row],[Rank (with ArcSinh normalization of select criteria)]]-FMS_Ranking4[[#This Row],[Rank
(with linear
normalization)]]</f>
        <v>158</v>
      </c>
      <c r="BX773" s="200" t="e">
        <f>FMS_Ranking4[[#This Row],[Log Rank]]-FMS_Ranking4[[#This Row],[Rank
(with linear
normalization)]]</f>
        <v>#REF!</v>
      </c>
      <c r="BY773" s="200" t="str">
        <f>IF(FMS_Ranking4[[#This Row],[FMS Type]]="Flood Measurement and Warning",FMS_Ranking4[[#This Row],[Rank (with ArcSinh normalization of select criteria)]],"")</f>
        <v/>
      </c>
      <c r="BZ773" s="200" t="str">
        <f>IF(FMS_Ranking4[[#This Row],[FMS Type]]="Regulatory and Guidance",FMS_Ranking4[[#This Row],[Rank (with ArcSinh normalization of select criteria)]],"")</f>
        <v/>
      </c>
      <c r="CA773" s="200">
        <f>IF(FMS_Ranking4[[#This Row],[FMS Type]]="Education and Outreach",FMS_Ranking4[[#This Row],[Rank (with ArcSinh normalization of select criteria)]],"")</f>
        <v>766</v>
      </c>
      <c r="CB773" s="200" t="str">
        <f>IF(FMS_Ranking4[[#This Row],[FMS Type]]="Property Acquisition and Structural Elevation",FMS_Ranking4[[#This Row],[Rank (with ArcSinh normalization of select criteria)]],"")</f>
        <v/>
      </c>
      <c r="CC773" s="200" t="str">
        <f>IF(FMS_Ranking4[[#This Row],[FMS Type]]="Infrastructure Projects",FMS_Ranking4[[#This Row],[Rank (with ArcSinh normalization of select criteria)]],"")</f>
        <v/>
      </c>
      <c r="CD773" s="200" t="str">
        <f>IF(FMS_Ranking4[[#This Row],[FMS Type]]="Other",FMS_Ranking4[[#This Row],[Rank (with ArcSinh normalization of select criteria)]],"")</f>
        <v/>
      </c>
    </row>
    <row r="774" spans="2:82" ht="45" x14ac:dyDescent="0.25">
      <c r="B774" s="342" t="s">
        <v>2814</v>
      </c>
      <c r="C774" s="287">
        <f>_xlfn.XLOOKUP(FMS_Ranking4[[#This Row],[FMS ID]],FMS_Input[FMS_ID],FMS_Input[RFPG_NUM])</f>
        <v>5</v>
      </c>
      <c r="D774" s="309" t="str">
        <f>_xlfn.XLOOKUP(FMS_Ranking4[[#This Row],[FMS ID]],FMS_Input[FMS_ID],FMS_Input[FMS_NAME])</f>
        <v>City of Alto Culvert Improvements</v>
      </c>
      <c r="E774" s="308" t="str">
        <f>_xlfn.XLOOKUP(FMS_Ranking4[[#This Row],[FMS ID]],FMS_Input[FMS_ID],FMS_Input[SPONSOR])</f>
        <v>05002862</v>
      </c>
      <c r="F774" s="309" t="str">
        <f>_xlfn.XLOOKUP(FMS_Ranking4[[#This Row],[FMS ID]],Sponsor[FMS_ID],Sponsor[SPONSOR NAME])</f>
        <v>Alto</v>
      </c>
      <c r="G774" s="309" t="str">
        <f>_xlfn.XLOOKUP(FMS_Ranking4[[#This Row],[FMS ID]],FMS_Input[FMS_ID],FMS_Input[FMS_DESCR])</f>
        <v>Develop plan to increase drainage capacity in sites that are prone to flooding.</v>
      </c>
      <c r="H774" s="247" t="str">
        <f>_xlfn.XLOOKUP(FMS_Ranking4[[#This Row],[FMS ID]],FMS_Input[FMS_ID],FMS_Input[FMS_TYPE])</f>
        <v>Infrastructure Projects</v>
      </c>
      <c r="I774" s="288">
        <f>_xlfn.XLOOKUP(FMS_Ranking4[[#This Row],[FMS ID]],FMS_Input[FMS_ID],FMS_Input[NRNC_COST])</f>
        <v>5000</v>
      </c>
      <c r="J774" s="250">
        <f>_xlfn.XLOOKUP(FMS_Ranking4[[#This Row],[FMS ID]],FMS_Input[FMS_ID],FMS_Input[FMS_COST])</f>
        <v>1000000</v>
      </c>
      <c r="K774" s="289" t="str">
        <f>_xlfn.XLOOKUP(FMS_Ranking4[[#This Row],[FMS ID]],FMS_Input[FMS_ID],FMS_Input[EMER_NEED])</f>
        <v>Yes</v>
      </c>
      <c r="L774" s="252">
        <f t="shared" si="11"/>
        <v>1</v>
      </c>
      <c r="M774" s="253">
        <f>_xlfn.XLOOKUP(FMS_Ranking4[[#This Row],[FMS ID]],FMS_Input[FMS_ID],FMS_Input[STRUCT_100])</f>
        <v>11</v>
      </c>
      <c r="N774" s="255">
        <f>(ASINH(FMS_Ranking4[[#This Row],[Structure at Risk Raw]]))*(10)/(ASINH(M$4))</f>
        <v>2.4316388682796601</v>
      </c>
      <c r="O774" s="255">
        <f>FMS_Ranking4[[#This Row],[Structures at risk, ArcSinh (0-10)]]*M$5*10</f>
        <v>2.4316388682796601</v>
      </c>
      <c r="P774" s="259">
        <f>_xlfn.XLOOKUP(FMS_Ranking4[[#This Row],[FMS ID]],FMS_Input[FMS_ID],FMS_Input[RES_STRUCT100])</f>
        <v>2</v>
      </c>
      <c r="Q774" s="257">
        <f>ASINH(FMS_Ranking4[[#This Row],[Res Structure Raw]])/Q$4*P$5*100</f>
        <v>0</v>
      </c>
      <c r="R774" s="259">
        <f>_xlfn.XLOOKUP(FMS_Ranking4[[#This Row],[FMS ID]],FMS_Input[FMS_ID],FMS_Input[POP100])</f>
        <v>2</v>
      </c>
      <c r="S774" s="259">
        <f>(ASINH(FMS_Ranking4[[#This Row],[Pop at Risk Raw]]))*(10)/(ASINH(R$4))</f>
        <v>0.9966256139867492</v>
      </c>
      <c r="T774" s="257">
        <f>FMS_Ranking4[[#This Row],[Population at risk, ArcSinh (0-10)]]*R$5*10</f>
        <v>0.9966256139867492</v>
      </c>
      <c r="U774" s="259">
        <f>_xlfn.XLOOKUP(FMS_Ranking4[[#This Row],[FMS ID]],FMS_Input[FMS_ID],FMS_Input[CRITFAC100])</f>
        <v>0</v>
      </c>
      <c r="V774" s="259">
        <f>(ASINH(FMS_Ranking4[[#This Row],[Critical Facilities Raw]]))*(10)/(ASINH(U$4))</f>
        <v>0</v>
      </c>
      <c r="W774" s="257">
        <f>FMS_Ranking4[[#This Row],[Critical facilities at risk, ArcSinh (0-10)]]*U$5*10</f>
        <v>0</v>
      </c>
      <c r="X774" s="259">
        <f>_xlfn.XLOOKUP(FMS_Ranking4[[#This Row],[FMS ID]],FMS_Input[FMS_ID],FMS_Input[LWC])</f>
        <v>0</v>
      </c>
      <c r="Y774" s="259">
        <f>(ASINH(FMS_Ranking4[[#This Row],[LWC Raw]]))*(10)/(ASINH(X$4))</f>
        <v>0</v>
      </c>
      <c r="Z774" s="257">
        <f>FMS_Ranking4[[#This Row],[LWC, ArcSInh (0-10)]]*X$5*10</f>
        <v>0</v>
      </c>
      <c r="AA774" s="259">
        <f>_xlfn.XLOOKUP(FMS_Ranking4[[#This Row],[FMS ID]],FMS_Input[FMS_ID],FMS_Input[ROADCLS])</f>
        <v>0</v>
      </c>
      <c r="AB774" s="255">
        <f>(ASINH(FMS_Ranking4[[#This Row],[Road Closures Raw]]))*(10)/(ASINH(AA$4))</f>
        <v>0</v>
      </c>
      <c r="AC774" s="255">
        <f>FMS_Ranking4[[#This Row],[Road closures, ArcSinh (0-10)]]*AA$5*10</f>
        <v>0</v>
      </c>
      <c r="AD774" s="259">
        <f>_xlfn.XLOOKUP(FMS_Ranking4[[#This Row],[FMS ID]],FMS_Input[FMS_ID],FMS_Input[ROAD_MILES100])</f>
        <v>0</v>
      </c>
      <c r="AE774" s="259">
        <f>(ASINH(FMS_Ranking4[[#This Row],[Road Miles Raw]]))*(10)/(ASINH(AD$4))</f>
        <v>0</v>
      </c>
      <c r="AF774" s="257">
        <f>FMS_Ranking4[[#This Row],[Length of roads at risk, ArcSinh (0-10)]]*AD$5*10</f>
        <v>0</v>
      </c>
      <c r="AG774" s="259">
        <f>_xlfn.XLOOKUP(FMS_Ranking4[[#This Row],[FMS ID]],FMS_Input[FMS_ID],FMS_Input[FARMACRE100])</f>
        <v>6.9406971335411072E-2</v>
      </c>
      <c r="AH774" s="255">
        <f>(ASINH(FMS_Ranking4[[#This Row],[Ag Land Raw]]))*(10)/(ASINH(AG$4))</f>
        <v>4.5049362077395592E-2</v>
      </c>
      <c r="AI774" s="254">
        <f>FMS_Ranking4[[#This Row],[Farm &amp; ranch land, ArcSinh (0-10)]]*AG$5*10</f>
        <v>2.2524681038697796E-2</v>
      </c>
      <c r="AJ774" s="258">
        <f>_xlfn.XLOOKUP(FMS_Ranking4[[#This Row],[FMS ID]],FMS_Input[FMS_ID],FMS_Input[REDSTRUCT100])</f>
        <v>0</v>
      </c>
      <c r="AK774" s="253">
        <f>_xlfn.XLOOKUP(FMS_Ranking4[[#This Row],[FMS ID]],FMS_Input[FMS_ID],FMS_Input[REMSTRC100])</f>
        <v>0</v>
      </c>
      <c r="AL774" s="259">
        <f>(ASINH(FMS_Ranking4[[#This Row],[Structures Removed Raw]]))*(10)/(ASINH(AK$4))</f>
        <v>0</v>
      </c>
      <c r="AM774" s="254">
        <f>FMS_Ranking4[[#This Row],[Structures removed, ArcSinh (0-10)]]*AK$5*10</f>
        <v>0</v>
      </c>
      <c r="AN774" s="253">
        <f>_xlfn.XLOOKUP(FMS_Ranking4[[#This Row],[FMS ID]],FMS_Input[FMS_ID],FMS_Input[REMRESSTRC100])</f>
        <v>0</v>
      </c>
      <c r="AO774" s="258">
        <f>FMS_Ranking4[[#This Row],[ArcSinh Res struct removed 0-10]]*AN$5*10</f>
        <v>0</v>
      </c>
      <c r="AP774" s="254">
        <f>ASINH(FMS_Ranking4[[#This Row],[Residential Structures Removed Raw]])/AP$4*AN$5*100</f>
        <v>0</v>
      </c>
      <c r="AQ774" s="260">
        <f>(ASINH(FMS_Ranking4[[#This Row],[Residential Structures Removed Raw]]))*(10)/(ASINH(AN$4))</f>
        <v>0</v>
      </c>
      <c r="AR774" s="253">
        <f>_xlfn.XLOOKUP(FMS_Ranking4[[#This Row],[FMS ID]],FMS_Input[FMS_ID],FMS_Input[REMPOP100])</f>
        <v>0</v>
      </c>
      <c r="AS774" s="259">
        <f>(ASINH(FMS_Ranking4[[#This Row],[Removed Pop Raw]]))*(10)/(ASINH(AR$4))</f>
        <v>0</v>
      </c>
      <c r="AT774" s="263">
        <f>FMS_Ranking4[[#This Row],[Removed population, ArcSinh (0-10)]]*AR$5*10</f>
        <v>0</v>
      </c>
      <c r="AU774" s="264">
        <f>_xlfn.XLOOKUP(FMS_Ranking4[[#This Row],[FMS ID]],FMS_Input[FMS_ID],FMS_Input[REMCRITFAC100])</f>
        <v>0</v>
      </c>
      <c r="AV774" s="264">
        <f>_xlfn.XLOOKUP(FMS_Ranking4[[#This Row],[FMS ID]],FMS_Input[FMS_ID],FMS_Input[REMLWC100])</f>
        <v>0</v>
      </c>
      <c r="AW774" s="264">
        <f>_xlfn.XLOOKUP(FMS_Ranking4[[#This Row],[FMS ID]],FMS_Input[FMS_ID],FMS_Input[REMROADCLS])</f>
        <v>0</v>
      </c>
      <c r="AX774" s="264">
        <f>_xlfn.XLOOKUP(FMS_Ranking4[[#This Row],[FMS ID]],FMS_Input[FMS_ID],FMS_Input[REMFRMACRE100])</f>
        <v>0</v>
      </c>
      <c r="AY774" s="258">
        <f>_xlfn.XLOOKUP(FMS_Ranking4[[#This Row],[FMS ID]],FMS_Input[FMS_ID],FMS_Input[COSTSTRUCT])</f>
        <v>0</v>
      </c>
      <c r="AZ774" s="258">
        <f>_xlfn.XLOOKUP(FMS_Ranking4[[#This Row],[FMS ID]],FMS_Input[FMS_ID],FMS_Input[NATURE])</f>
        <v>0</v>
      </c>
      <c r="BA774" s="290">
        <f>(((FMS_Ranking4[[#This Row],[% NBS Raw]]/AZ$4)*100)*AZ$5)</f>
        <v>0</v>
      </c>
      <c r="BB774" s="251" t="str">
        <f>_xlfn.XLOOKUP(FMS_Ranking4[[#This Row],[FMS ID]],FMS_Input[FMS_ID],FMS_Input[WATER_SUP])</f>
        <v>No</v>
      </c>
      <c r="BC774" s="265">
        <f>IF(FMS_Ranking4[[#This Row],[Water Supply Raw]]="Yes",10,0)</f>
        <v>0</v>
      </c>
      <c r="BD774" s="251">
        <f>_xlfn.XLOOKUP(FMS_Ranking4[[#This Row],[FMS Type]],FMS_TYPE[FMS_Type],FMS_TYPE[Score])</f>
        <v>4</v>
      </c>
      <c r="BE774" s="267">
        <f>FMS_Ranking4[[#This Row],[FMS_Type Score]]*$BD$5*10</f>
        <v>1</v>
      </c>
      <c r="BF77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6.7841743176496477E-4</v>
      </c>
      <c r="BG774" s="271">
        <f>_xlfn.RANK.EQ(BF774,$BF$8:$BF$870,0)+COUNTIF($BF$8:BF774,BF774)-1</f>
        <v>754</v>
      </c>
      <c r="BH774" s="268">
        <f>(((FMS_Ranking4[[#This Row],[Structures Removed Raw]]/AK$4)*100)*AK$5)+(((FMS_Ranking4[[#This Row],[Removed Pop Raw]]/AR$4)*100)*AR$5)</f>
        <v>0</v>
      </c>
      <c r="BI77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1.0006784174317649</v>
      </c>
      <c r="BJ774" s="325">
        <f>_xlfn.RANK.EQ(FMS_Ranking4[[#This Row],[Total Score 
(with linear
normalization)]],FMS_Ranking4[Total Score 
(with linear
normalization)],0)</f>
        <v>740</v>
      </c>
      <c r="BK774" s="327" t="e">
        <f>_xlfn.XLOOKUP(FMS_Ranking4[[#This Row],[FMS ID]],#REF!,#REF!)</f>
        <v>#REF!</v>
      </c>
      <c r="BL774"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3.4507891633051071</v>
      </c>
      <c r="BM774" s="330">
        <f>FMS_Ranking4[[#This Row],[ArcSinh Score Based on Normalized Reported Factors]]+FMS_Ranking4[[#This Row],[% NBS Score (Normalized)]]+(FMS_Ranking4[[#This Row],[Water Supply Score (Normalized)]]*10*$BB$5)+FMS_Ranking4[[#This Row],[FMS_Type Score Weighted]]</f>
        <v>4.4507891633051067</v>
      </c>
      <c r="BN774" s="327">
        <f>_xlfn.RANK.EQ(FMS_Ranking4[[#This Row],[Total Score (with ArcSinh normalization of select criteria)]],FMS_Ranking4[Total Score (with ArcSinh normalization of select criteria)],0)</f>
        <v>767</v>
      </c>
      <c r="BO774" s="270" t="str">
        <f>_xlfn.XLOOKUP(FMS_Ranking4[[#This Row],[FMS ID]],FMS_Input[FMS_ID],FMS_Input[FMS_RANK_YEAR])</f>
        <v>2023 Amended Plan</v>
      </c>
      <c r="BP774" s="204">
        <f>_xlfn.XLOOKUP(FMS_Ranking4[[#This Row],[FMS ID]],Prev_Rank[FMS ID],Prev_Rank[Prev Rank])</f>
        <v>697</v>
      </c>
      <c r="BQ774" s="334" t="e">
        <f>_xlfn.XLOOKUP(FMS_Ranking4[[#This Row],[FMS ID]],#REF!,#REF!)</f>
        <v>#REF!</v>
      </c>
      <c r="BR774" s="199" t="e">
        <f>SUM(#REF!,#REF!,#REF!,#REF!,#REF!,#REF!,#REF!,#REF!,#REF!,FMS_Ranking4[[#This Row],[ArcSinh Res struct removed 0-10]],#REF!)</f>
        <v>#REF!</v>
      </c>
      <c r="BS774" s="199" t="e">
        <f>FMS_Ranking4[[#This Row],[Log Score Based on Normalized Reported Factors]]+FMS_Ranking4[[#This Row],[% NBS Score (Normalized)]]+(FMS_Ranking4[[#This Row],[Water Supply Score (Normalized)]]*10*$BB$5)+(FMS_Ranking4[[#This Row],[FMS_Type Score Weighted]])</f>
        <v>#REF!</v>
      </c>
      <c r="BT774" s="200" t="e">
        <f>_xlfn.RANK.EQ(FMS_Ranking4[[#This Row],[Log Total Score]],FMS_Ranking4[Log Total Score],0)</f>
        <v>#REF!</v>
      </c>
      <c r="BU774" s="200" t="e">
        <f>_xlfn.XLOOKUP(FMS_Ranking4[[#This Row],[FMS ID]],#REF!,#REF!)</f>
        <v>#REF!</v>
      </c>
      <c r="BV774" s="200">
        <f>FMS_Ranking4[[#This Row],[Region Number]]</f>
        <v>5</v>
      </c>
      <c r="BW774" s="200">
        <f>FMS_Ranking4[[#This Row],[Rank (with ArcSinh normalization of select criteria)]]-FMS_Ranking4[[#This Row],[Rank
(with linear
normalization)]]</f>
        <v>27</v>
      </c>
      <c r="BX774" s="200" t="e">
        <f>FMS_Ranking4[[#This Row],[Log Rank]]-FMS_Ranking4[[#This Row],[Rank
(with linear
normalization)]]</f>
        <v>#REF!</v>
      </c>
      <c r="BY774" s="200" t="str">
        <f>IF(FMS_Ranking4[[#This Row],[FMS Type]]="Flood Measurement and Warning",FMS_Ranking4[[#This Row],[Rank (with ArcSinh normalization of select criteria)]],"")</f>
        <v/>
      </c>
      <c r="BZ774" s="200" t="str">
        <f>IF(FMS_Ranking4[[#This Row],[FMS Type]]="Regulatory and Guidance",FMS_Ranking4[[#This Row],[Rank (with ArcSinh normalization of select criteria)]],"")</f>
        <v/>
      </c>
      <c r="CA774" s="200" t="str">
        <f>IF(FMS_Ranking4[[#This Row],[FMS Type]]="Education and Outreach",FMS_Ranking4[[#This Row],[Rank (with ArcSinh normalization of select criteria)]],"")</f>
        <v/>
      </c>
      <c r="CB774" s="200" t="str">
        <f>IF(FMS_Ranking4[[#This Row],[FMS Type]]="Property Acquisition and Structural Elevation",FMS_Ranking4[[#This Row],[Rank (with ArcSinh normalization of select criteria)]],"")</f>
        <v/>
      </c>
      <c r="CC774" s="200">
        <f>IF(FMS_Ranking4[[#This Row],[FMS Type]]="Infrastructure Projects",FMS_Ranking4[[#This Row],[Rank (with ArcSinh normalization of select criteria)]],"")</f>
        <v>767</v>
      </c>
      <c r="CD774" s="200" t="str">
        <f>IF(FMS_Ranking4[[#This Row],[FMS Type]]="Other",FMS_Ranking4[[#This Row],[Rank (with ArcSinh normalization of select criteria)]],"")</f>
        <v/>
      </c>
    </row>
    <row r="775" spans="2:82" ht="75" x14ac:dyDescent="0.25">
      <c r="B775" s="342" t="s">
        <v>2871</v>
      </c>
      <c r="C775" s="287">
        <f>_xlfn.XLOOKUP(FMS_Ranking4[[#This Row],[FMS ID]],FMS_Input[FMS_ID],FMS_Input[RFPG_NUM])</f>
        <v>5</v>
      </c>
      <c r="D775" s="309" t="str">
        <f>_xlfn.XLOOKUP(FMS_Ranking4[[#This Row],[FMS ID]],FMS_Input[FMS_ID],FMS_Input[FMS_NAME])</f>
        <v>City of Kountze General Drainage Improvements</v>
      </c>
      <c r="E775" s="308" t="str">
        <f>_xlfn.XLOOKUP(FMS_Ranking4[[#This Row],[FMS ID]],FMS_Input[FMS_ID],FMS_Input[SPONSOR])</f>
        <v>05003028</v>
      </c>
      <c r="F775" s="309" t="str">
        <f>_xlfn.XLOOKUP(FMS_Ranking4[[#This Row],[FMS ID]],Sponsor[FMS_ID],Sponsor[SPONSOR NAME])</f>
        <v>Kountze</v>
      </c>
      <c r="G775" s="309" t="str">
        <f>_xlfn.XLOOKUP(FMS_Ranking4[[#This Row],[FMS ID]],FMS_Input[FMS_ID],FMS_Input[FMS_DESCR])</f>
        <v>Increase drainage capacity; add stormwater detention basins and stormwater pumping stations where gravity flow is not feasible.</v>
      </c>
      <c r="H775" s="247" t="str">
        <f>_xlfn.XLOOKUP(FMS_Ranking4[[#This Row],[FMS ID]],FMS_Input[FMS_ID],FMS_Input[FMS_TYPE])</f>
        <v>Infrastructure Projects</v>
      </c>
      <c r="I775" s="288">
        <f>_xlfn.XLOOKUP(FMS_Ranking4[[#This Row],[FMS ID]],FMS_Input[FMS_ID],FMS_Input[NRNC_COST])</f>
        <v>100000</v>
      </c>
      <c r="J775" s="250">
        <f>_xlfn.XLOOKUP(FMS_Ranking4[[#This Row],[FMS ID]],FMS_Input[FMS_ID],FMS_Input[FMS_COST])</f>
        <v>1500000</v>
      </c>
      <c r="K775" s="289" t="str">
        <f>_xlfn.XLOOKUP(FMS_Ranking4[[#This Row],[FMS ID]],FMS_Input[FMS_ID],FMS_Input[EMER_NEED])</f>
        <v>Yes</v>
      </c>
      <c r="L775" s="252">
        <f t="shared" si="11"/>
        <v>1</v>
      </c>
      <c r="M775" s="253">
        <f>_xlfn.XLOOKUP(FMS_Ranking4[[#This Row],[FMS ID]],FMS_Input[FMS_ID],FMS_Input[STRUCT_100])</f>
        <v>3</v>
      </c>
      <c r="N775" s="255">
        <f>(ASINH(FMS_Ranking4[[#This Row],[Structure at Risk Raw]]))*(10)/(ASINH(M$4))</f>
        <v>1.4295696719071895</v>
      </c>
      <c r="O775" s="255">
        <f>FMS_Ranking4[[#This Row],[Structures at risk, ArcSinh (0-10)]]*M$5*10</f>
        <v>1.4295696719071895</v>
      </c>
      <c r="P775" s="259">
        <f>_xlfn.XLOOKUP(FMS_Ranking4[[#This Row],[FMS ID]],FMS_Input[FMS_ID],FMS_Input[RES_STRUCT100])</f>
        <v>2</v>
      </c>
      <c r="Q775" s="257">
        <f>ASINH(FMS_Ranking4[[#This Row],[Res Structure Raw]])/Q$4*P$5*100</f>
        <v>0</v>
      </c>
      <c r="R775" s="259">
        <f>_xlfn.XLOOKUP(FMS_Ranking4[[#This Row],[FMS ID]],FMS_Input[FMS_ID],FMS_Input[POP100])</f>
        <v>2</v>
      </c>
      <c r="S775" s="259">
        <f>(ASINH(FMS_Ranking4[[#This Row],[Pop at Risk Raw]]))*(10)/(ASINH(R$4))</f>
        <v>0.9966256139867492</v>
      </c>
      <c r="T775" s="257">
        <f>FMS_Ranking4[[#This Row],[Population at risk, ArcSinh (0-10)]]*R$5*10</f>
        <v>0.9966256139867492</v>
      </c>
      <c r="U775" s="259">
        <f>_xlfn.XLOOKUP(FMS_Ranking4[[#This Row],[FMS ID]],FMS_Input[FMS_ID],FMS_Input[CRITFAC100])</f>
        <v>0</v>
      </c>
      <c r="V775" s="259">
        <f>(ASINH(FMS_Ranking4[[#This Row],[Critical Facilities Raw]]))*(10)/(ASINH(U$4))</f>
        <v>0</v>
      </c>
      <c r="W775" s="257">
        <f>FMS_Ranking4[[#This Row],[Critical facilities at risk, ArcSinh (0-10)]]*U$5*10</f>
        <v>0</v>
      </c>
      <c r="X775" s="259">
        <f>_xlfn.XLOOKUP(FMS_Ranking4[[#This Row],[FMS ID]],FMS_Input[FMS_ID],FMS_Input[LWC])</f>
        <v>0</v>
      </c>
      <c r="Y775" s="259">
        <f>(ASINH(FMS_Ranking4[[#This Row],[LWC Raw]]))*(10)/(ASINH(X$4))</f>
        <v>0</v>
      </c>
      <c r="Z775" s="257">
        <f>FMS_Ranking4[[#This Row],[LWC, ArcSInh (0-10)]]*X$5*10</f>
        <v>0</v>
      </c>
      <c r="AA775" s="259">
        <f>_xlfn.XLOOKUP(FMS_Ranking4[[#This Row],[FMS ID]],FMS_Input[FMS_ID],FMS_Input[ROADCLS])</f>
        <v>0</v>
      </c>
      <c r="AB775" s="255">
        <f>(ASINH(FMS_Ranking4[[#This Row],[Road Closures Raw]]))*(10)/(ASINH(AA$4))</f>
        <v>0</v>
      </c>
      <c r="AC775" s="255">
        <f>FMS_Ranking4[[#This Row],[Road closures, ArcSinh (0-10)]]*AA$5*10</f>
        <v>0</v>
      </c>
      <c r="AD775" s="259">
        <f>_xlfn.XLOOKUP(FMS_Ranking4[[#This Row],[FMS ID]],FMS_Input[FMS_ID],FMS_Input[ROAD_MILES100])</f>
        <v>1</v>
      </c>
      <c r="AE775" s="259">
        <f>(ASINH(FMS_Ranking4[[#This Row],[Road Miles Raw]]))*(10)/(ASINH(AD$4))</f>
        <v>0.9393017565219649</v>
      </c>
      <c r="AF775" s="257">
        <f>FMS_Ranking4[[#This Row],[Length of roads at risk, ArcSinh (0-10)]]*AD$5*10</f>
        <v>0.93930175652196501</v>
      </c>
      <c r="AG775" s="259">
        <f>_xlfn.XLOOKUP(FMS_Ranking4[[#This Row],[FMS ID]],FMS_Input[FMS_ID],FMS_Input[FARMACRE100])</f>
        <v>4.4087089598178857E-2</v>
      </c>
      <c r="AH775" s="255">
        <f>(ASINH(FMS_Ranking4[[#This Row],[Ag Land Raw]]))*(10)/(ASINH(AG$4))</f>
        <v>2.8628887349369119E-2</v>
      </c>
      <c r="AI775" s="254">
        <f>FMS_Ranking4[[#This Row],[Farm &amp; ranch land, ArcSinh (0-10)]]*AG$5*10</f>
        <v>1.4314443674684561E-2</v>
      </c>
      <c r="AJ775" s="258">
        <f>_xlfn.XLOOKUP(FMS_Ranking4[[#This Row],[FMS ID]],FMS_Input[FMS_ID],FMS_Input[REDSTRUCT100])</f>
        <v>0</v>
      </c>
      <c r="AK775" s="253">
        <f>_xlfn.XLOOKUP(FMS_Ranking4[[#This Row],[FMS ID]],FMS_Input[FMS_ID],FMS_Input[REMSTRC100])</f>
        <v>0</v>
      </c>
      <c r="AL775" s="259">
        <f>(ASINH(FMS_Ranking4[[#This Row],[Structures Removed Raw]]))*(10)/(ASINH(AK$4))</f>
        <v>0</v>
      </c>
      <c r="AM775" s="254">
        <f>FMS_Ranking4[[#This Row],[Structures removed, ArcSinh (0-10)]]*AK$5*10</f>
        <v>0</v>
      </c>
      <c r="AN775" s="253">
        <f>_xlfn.XLOOKUP(FMS_Ranking4[[#This Row],[FMS ID]],FMS_Input[FMS_ID],FMS_Input[REMRESSTRC100])</f>
        <v>0</v>
      </c>
      <c r="AO775" s="258">
        <f>FMS_Ranking4[[#This Row],[ArcSinh Res struct removed 0-10]]*AN$5*10</f>
        <v>0</v>
      </c>
      <c r="AP775" s="254">
        <f>ASINH(FMS_Ranking4[[#This Row],[Residential Structures Removed Raw]])/AP$4*AN$5*100</f>
        <v>0</v>
      </c>
      <c r="AQ775" s="260">
        <f>(ASINH(FMS_Ranking4[[#This Row],[Residential Structures Removed Raw]]))*(10)/(ASINH(AN$4))</f>
        <v>0</v>
      </c>
      <c r="AR775" s="253">
        <f>_xlfn.XLOOKUP(FMS_Ranking4[[#This Row],[FMS ID]],FMS_Input[FMS_ID],FMS_Input[REMPOP100])</f>
        <v>0</v>
      </c>
      <c r="AS775" s="259">
        <f>(ASINH(FMS_Ranking4[[#This Row],[Removed Pop Raw]]))*(10)/(ASINH(AR$4))</f>
        <v>0</v>
      </c>
      <c r="AT775" s="263">
        <f>FMS_Ranking4[[#This Row],[Removed population, ArcSinh (0-10)]]*AR$5*10</f>
        <v>0</v>
      </c>
      <c r="AU775" s="264">
        <f>_xlfn.XLOOKUP(FMS_Ranking4[[#This Row],[FMS ID]],FMS_Input[FMS_ID],FMS_Input[REMCRITFAC100])</f>
        <v>0</v>
      </c>
      <c r="AV775" s="264">
        <f>_xlfn.XLOOKUP(FMS_Ranking4[[#This Row],[FMS ID]],FMS_Input[FMS_ID],FMS_Input[REMLWC100])</f>
        <v>0</v>
      </c>
      <c r="AW775" s="264">
        <f>_xlfn.XLOOKUP(FMS_Ranking4[[#This Row],[FMS ID]],FMS_Input[FMS_ID],FMS_Input[REMROADCLS])</f>
        <v>0</v>
      </c>
      <c r="AX775" s="264">
        <f>_xlfn.XLOOKUP(FMS_Ranking4[[#This Row],[FMS ID]],FMS_Input[FMS_ID],FMS_Input[REMFRMACRE100])</f>
        <v>0</v>
      </c>
      <c r="AY775" s="258">
        <f>_xlfn.XLOOKUP(FMS_Ranking4[[#This Row],[FMS ID]],FMS_Input[FMS_ID],FMS_Input[COSTSTRUCT])</f>
        <v>0</v>
      </c>
      <c r="AZ775" s="258">
        <f>_xlfn.XLOOKUP(FMS_Ranking4[[#This Row],[FMS ID]],FMS_Input[FMS_ID],FMS_Input[NATURE])</f>
        <v>0</v>
      </c>
      <c r="BA775" s="290">
        <f>(((FMS_Ranking4[[#This Row],[% NBS Raw]]/AZ$4)*100)*AZ$5)</f>
        <v>0</v>
      </c>
      <c r="BB775" s="251" t="str">
        <f>_xlfn.XLOOKUP(FMS_Ranking4[[#This Row],[FMS ID]],FMS_Input[FMS_ID],FMS_Input[WATER_SUP])</f>
        <v>No</v>
      </c>
      <c r="BC775" s="265">
        <f>IF(FMS_Ranking4[[#This Row],[Water Supply Raw]]="Yes",10,0)</f>
        <v>0</v>
      </c>
      <c r="BD775" s="251">
        <f>_xlfn.XLOOKUP(FMS_Ranking4[[#This Row],[FMS Type]],FMS_TYPE[FMS_Type],FMS_TYPE[Score])</f>
        <v>4</v>
      </c>
      <c r="BE775" s="267">
        <f>FMS_Ranking4[[#This Row],[FMS_Type Score]]*$BD$5*10</f>
        <v>1</v>
      </c>
      <c r="BF775"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1.8823337734394712E-3</v>
      </c>
      <c r="BG775" s="271">
        <f>_xlfn.RANK.EQ(BF775,$BF$8:$BF$870,0)+COUNTIF($BF$8:BF775,BF775)-1</f>
        <v>725</v>
      </c>
      <c r="BH775" s="268">
        <f>(((FMS_Ranking4[[#This Row],[Structures Removed Raw]]/AK$4)*100)*AK$5)+(((FMS_Ranking4[[#This Row],[Removed Pop Raw]]/AR$4)*100)*AR$5)</f>
        <v>0</v>
      </c>
      <c r="BI77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1.0018823337734395</v>
      </c>
      <c r="BJ775" s="325">
        <f>_xlfn.RANK.EQ(FMS_Ranking4[[#This Row],[Total Score 
(with linear
normalization)]],FMS_Ranking4[Total Score 
(with linear
normalization)],0)</f>
        <v>735</v>
      </c>
      <c r="BK775" s="327" t="e">
        <f>_xlfn.XLOOKUP(FMS_Ranking4[[#This Row],[FMS ID]],#REF!,#REF!)</f>
        <v>#REF!</v>
      </c>
      <c r="BL775"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3.3798114860905883</v>
      </c>
      <c r="BM775" s="330">
        <f>FMS_Ranking4[[#This Row],[ArcSinh Score Based on Normalized Reported Factors]]+FMS_Ranking4[[#This Row],[% NBS Score (Normalized)]]+(FMS_Ranking4[[#This Row],[Water Supply Score (Normalized)]]*10*$BB$5)+FMS_Ranking4[[#This Row],[FMS_Type Score Weighted]]</f>
        <v>4.3798114860905883</v>
      </c>
      <c r="BN775" s="327">
        <f>_xlfn.RANK.EQ(FMS_Ranking4[[#This Row],[Total Score (with ArcSinh normalization of select criteria)]],FMS_Ranking4[Total Score (with ArcSinh normalization of select criteria)],0)</f>
        <v>768</v>
      </c>
      <c r="BO775" s="270" t="str">
        <f>_xlfn.XLOOKUP(FMS_Ranking4[[#This Row],[FMS ID]],FMS_Input[FMS_ID],FMS_Input[FMS_RANK_YEAR])</f>
        <v>2023 Amended Plan</v>
      </c>
      <c r="BP775" s="204">
        <f>_xlfn.XLOOKUP(FMS_Ranking4[[#This Row],[FMS ID]],Prev_Rank[FMS ID],Prev_Rank[Prev Rank])</f>
        <v>698</v>
      </c>
      <c r="BQ775" s="334" t="e">
        <f>_xlfn.XLOOKUP(FMS_Ranking4[[#This Row],[FMS ID]],#REF!,#REF!)</f>
        <v>#REF!</v>
      </c>
      <c r="BR775" s="199" t="e">
        <f>SUM(#REF!,#REF!,#REF!,#REF!,#REF!,#REF!,#REF!,#REF!,#REF!,FMS_Ranking4[[#This Row],[ArcSinh Res struct removed 0-10]],#REF!)</f>
        <v>#REF!</v>
      </c>
      <c r="BS775" s="199" t="e">
        <f>FMS_Ranking4[[#This Row],[Log Score Based on Normalized Reported Factors]]+FMS_Ranking4[[#This Row],[% NBS Score (Normalized)]]+(FMS_Ranking4[[#This Row],[Water Supply Score (Normalized)]]*10*$BB$5)+(FMS_Ranking4[[#This Row],[FMS_Type Score Weighted]])</f>
        <v>#REF!</v>
      </c>
      <c r="BT775" s="200" t="e">
        <f>_xlfn.RANK.EQ(FMS_Ranking4[[#This Row],[Log Total Score]],FMS_Ranking4[Log Total Score],0)</f>
        <v>#REF!</v>
      </c>
      <c r="BU775" s="200" t="e">
        <f>_xlfn.XLOOKUP(FMS_Ranking4[[#This Row],[FMS ID]],#REF!,#REF!)</f>
        <v>#REF!</v>
      </c>
      <c r="BV775" s="200">
        <f>FMS_Ranking4[[#This Row],[Region Number]]</f>
        <v>5</v>
      </c>
      <c r="BW775" s="200">
        <f>FMS_Ranking4[[#This Row],[Rank (with ArcSinh normalization of select criteria)]]-FMS_Ranking4[[#This Row],[Rank
(with linear
normalization)]]</f>
        <v>33</v>
      </c>
      <c r="BX775" s="200" t="e">
        <f>FMS_Ranking4[[#This Row],[Log Rank]]-FMS_Ranking4[[#This Row],[Rank
(with linear
normalization)]]</f>
        <v>#REF!</v>
      </c>
      <c r="BY775" s="200" t="str">
        <f>IF(FMS_Ranking4[[#This Row],[FMS Type]]="Flood Measurement and Warning",FMS_Ranking4[[#This Row],[Rank (with ArcSinh normalization of select criteria)]],"")</f>
        <v/>
      </c>
      <c r="BZ775" s="200" t="str">
        <f>IF(FMS_Ranking4[[#This Row],[FMS Type]]="Regulatory and Guidance",FMS_Ranking4[[#This Row],[Rank (with ArcSinh normalization of select criteria)]],"")</f>
        <v/>
      </c>
      <c r="CA775" s="200" t="str">
        <f>IF(FMS_Ranking4[[#This Row],[FMS Type]]="Education and Outreach",FMS_Ranking4[[#This Row],[Rank (with ArcSinh normalization of select criteria)]],"")</f>
        <v/>
      </c>
      <c r="CB775" s="200" t="str">
        <f>IF(FMS_Ranking4[[#This Row],[FMS Type]]="Property Acquisition and Structural Elevation",FMS_Ranking4[[#This Row],[Rank (with ArcSinh normalization of select criteria)]],"")</f>
        <v/>
      </c>
      <c r="CC775" s="200">
        <f>IF(FMS_Ranking4[[#This Row],[FMS Type]]="Infrastructure Projects",FMS_Ranking4[[#This Row],[Rank (with ArcSinh normalization of select criteria)]],"")</f>
        <v>768</v>
      </c>
      <c r="CD775" s="200" t="str">
        <f>IF(FMS_Ranking4[[#This Row],[FMS Type]]="Other",FMS_Ranking4[[#This Row],[Rank (with ArcSinh normalization of select criteria)]],"")</f>
        <v/>
      </c>
    </row>
    <row r="776" spans="2:82" ht="60" x14ac:dyDescent="0.25">
      <c r="B776" s="342" t="s">
        <v>2883</v>
      </c>
      <c r="C776" s="287">
        <f>_xlfn.XLOOKUP(FMS_Ranking4[[#This Row],[FMS ID]],FMS_Input[FMS_ID],FMS_Input[RFPG_NUM])</f>
        <v>5</v>
      </c>
      <c r="D776" s="309" t="str">
        <f>_xlfn.XLOOKUP(FMS_Ranking4[[#This Row],[FMS ID]],FMS_Input[FMS_ID],FMS_Input[FMS_NAME])</f>
        <v>City of Kountze Elevate Roads and Bridges</v>
      </c>
      <c r="E776" s="308" t="str">
        <f>_xlfn.XLOOKUP(FMS_Ranking4[[#This Row],[FMS ID]],FMS_Input[FMS_ID],FMS_Input[SPONSOR])</f>
        <v>05003028</v>
      </c>
      <c r="F776" s="309" t="str">
        <f>_xlfn.XLOOKUP(FMS_Ranking4[[#This Row],[FMS ID]],Sponsor[FMS_ID],Sponsor[SPONSOR NAME])</f>
        <v>Kountze</v>
      </c>
      <c r="G776" s="309" t="str">
        <f>_xlfn.XLOOKUP(FMS_Ranking4[[#This Row],[FMS ID]],FMS_Input[FMS_ID],FMS_Input[FMS_DESCR])</f>
        <v>Develop a program to elevate roads and bridges including installing, upsizing culverts and headwalls, and bridge upgrades.</v>
      </c>
      <c r="H776" s="247" t="str">
        <f>_xlfn.XLOOKUP(FMS_Ranking4[[#This Row],[FMS ID]],FMS_Input[FMS_ID],FMS_Input[FMS_TYPE])</f>
        <v>Infrastructure Projects</v>
      </c>
      <c r="I776" s="288">
        <f>_xlfn.XLOOKUP(FMS_Ranking4[[#This Row],[FMS ID]],FMS_Input[FMS_ID],FMS_Input[NRNC_COST])</f>
        <v>100000</v>
      </c>
      <c r="J776" s="250">
        <f>_xlfn.XLOOKUP(FMS_Ranking4[[#This Row],[FMS ID]],FMS_Input[FMS_ID],FMS_Input[FMS_COST])</f>
        <v>2000000</v>
      </c>
      <c r="K776" s="289" t="str">
        <f>_xlfn.XLOOKUP(FMS_Ranking4[[#This Row],[FMS ID]],FMS_Input[FMS_ID],FMS_Input[EMER_NEED])</f>
        <v>Yes</v>
      </c>
      <c r="L776" s="252">
        <f t="shared" ref="L776:L839" si="12">IF(K776="Yes",1,0)</f>
        <v>1</v>
      </c>
      <c r="M776" s="253">
        <f>_xlfn.XLOOKUP(FMS_Ranking4[[#This Row],[FMS ID]],FMS_Input[FMS_ID],FMS_Input[STRUCT_100])</f>
        <v>3</v>
      </c>
      <c r="N776" s="255">
        <f>(ASINH(FMS_Ranking4[[#This Row],[Structure at Risk Raw]]))*(10)/(ASINH(M$4))</f>
        <v>1.4295696719071895</v>
      </c>
      <c r="O776" s="255">
        <f>FMS_Ranking4[[#This Row],[Structures at risk, ArcSinh (0-10)]]*M$5*10</f>
        <v>1.4295696719071895</v>
      </c>
      <c r="P776" s="259">
        <f>_xlfn.XLOOKUP(FMS_Ranking4[[#This Row],[FMS ID]],FMS_Input[FMS_ID],FMS_Input[RES_STRUCT100])</f>
        <v>2</v>
      </c>
      <c r="Q776" s="257">
        <f>ASINH(FMS_Ranking4[[#This Row],[Res Structure Raw]])/Q$4*P$5*100</f>
        <v>0</v>
      </c>
      <c r="R776" s="259">
        <f>_xlfn.XLOOKUP(FMS_Ranking4[[#This Row],[FMS ID]],FMS_Input[FMS_ID],FMS_Input[POP100])</f>
        <v>2</v>
      </c>
      <c r="S776" s="255">
        <f>(ASINH(FMS_Ranking4[[#This Row],[Pop at Risk Raw]]))*(10)/(ASINH(R$4))</f>
        <v>0.9966256139867492</v>
      </c>
      <c r="T776" s="257">
        <f>FMS_Ranking4[[#This Row],[Population at risk, ArcSinh (0-10)]]*R$5*10</f>
        <v>0.9966256139867492</v>
      </c>
      <c r="U776" s="259">
        <f>_xlfn.XLOOKUP(FMS_Ranking4[[#This Row],[FMS ID]],FMS_Input[FMS_ID],FMS_Input[CRITFAC100])</f>
        <v>0</v>
      </c>
      <c r="V776" s="255">
        <f>(ASINH(FMS_Ranking4[[#This Row],[Critical Facilities Raw]]))*(10)/(ASINH(U$4))</f>
        <v>0</v>
      </c>
      <c r="W776" s="257">
        <f>FMS_Ranking4[[#This Row],[Critical facilities at risk, ArcSinh (0-10)]]*U$5*10</f>
        <v>0</v>
      </c>
      <c r="X776" s="259">
        <f>_xlfn.XLOOKUP(FMS_Ranking4[[#This Row],[FMS ID]],FMS_Input[FMS_ID],FMS_Input[LWC])</f>
        <v>0</v>
      </c>
      <c r="Y776" s="255">
        <f>(ASINH(FMS_Ranking4[[#This Row],[LWC Raw]]))*(10)/(ASINH(X$4))</f>
        <v>0</v>
      </c>
      <c r="Z776" s="257">
        <f>FMS_Ranking4[[#This Row],[LWC, ArcSInh (0-10)]]*X$5*10</f>
        <v>0</v>
      </c>
      <c r="AA776" s="259">
        <f>_xlfn.XLOOKUP(FMS_Ranking4[[#This Row],[FMS ID]],FMS_Input[FMS_ID],FMS_Input[ROADCLS])</f>
        <v>0</v>
      </c>
      <c r="AB776" s="255">
        <f>(ASINH(FMS_Ranking4[[#This Row],[Road Closures Raw]]))*(10)/(ASINH(AA$4))</f>
        <v>0</v>
      </c>
      <c r="AC776" s="255">
        <f>FMS_Ranking4[[#This Row],[Road closures, ArcSinh (0-10)]]*AA$5*10</f>
        <v>0</v>
      </c>
      <c r="AD776" s="259">
        <f>_xlfn.XLOOKUP(FMS_Ranking4[[#This Row],[FMS ID]],FMS_Input[FMS_ID],FMS_Input[ROAD_MILES100])</f>
        <v>1</v>
      </c>
      <c r="AE776" s="255">
        <f>(ASINH(FMS_Ranking4[[#This Row],[Road Miles Raw]]))*(10)/(ASINH(AD$4))</f>
        <v>0.9393017565219649</v>
      </c>
      <c r="AF776" s="257">
        <f>FMS_Ranking4[[#This Row],[Length of roads at risk, ArcSinh (0-10)]]*AD$5*10</f>
        <v>0.93930175652196501</v>
      </c>
      <c r="AG776" s="259">
        <f>_xlfn.XLOOKUP(FMS_Ranking4[[#This Row],[FMS ID]],FMS_Input[FMS_ID],FMS_Input[FARMACRE100])</f>
        <v>4.4087089598178857E-2</v>
      </c>
      <c r="AH776" s="255">
        <f>(ASINH(FMS_Ranking4[[#This Row],[Ag Land Raw]]))*(10)/(ASINH(AG$4))</f>
        <v>2.8628887349369119E-2</v>
      </c>
      <c r="AI776" s="254">
        <f>FMS_Ranking4[[#This Row],[Farm &amp; ranch land, ArcSinh (0-10)]]*AG$5*10</f>
        <v>1.4314443674684561E-2</v>
      </c>
      <c r="AJ776" s="258">
        <f>_xlfn.XLOOKUP(FMS_Ranking4[[#This Row],[FMS ID]],FMS_Input[FMS_ID],FMS_Input[REDSTRUCT100])</f>
        <v>0</v>
      </c>
      <c r="AK776" s="253">
        <f>_xlfn.XLOOKUP(FMS_Ranking4[[#This Row],[FMS ID]],FMS_Input[FMS_ID],FMS_Input[REMSTRC100])</f>
        <v>0</v>
      </c>
      <c r="AL776" s="255">
        <f>(ASINH(FMS_Ranking4[[#This Row],[Structures Removed Raw]]))*(10)/(ASINH(AK$4))</f>
        <v>0</v>
      </c>
      <c r="AM776" s="254">
        <f>FMS_Ranking4[[#This Row],[Structures removed, ArcSinh (0-10)]]*AK$5*10</f>
        <v>0</v>
      </c>
      <c r="AN776" s="253">
        <f>_xlfn.XLOOKUP(FMS_Ranking4[[#This Row],[FMS ID]],FMS_Input[FMS_ID],FMS_Input[REMRESSTRC100])</f>
        <v>0</v>
      </c>
      <c r="AO776" s="258">
        <f>FMS_Ranking4[[#This Row],[ArcSinh Res struct removed 0-10]]*AN$5*10</f>
        <v>0</v>
      </c>
      <c r="AP776" s="254">
        <f>ASINH(FMS_Ranking4[[#This Row],[Residential Structures Removed Raw]])/AP$4*AN$5*100</f>
        <v>0</v>
      </c>
      <c r="AQ776" s="261">
        <f>(ASINH(FMS_Ranking4[[#This Row],[Residential Structures Removed Raw]]))*(10)/(ASINH(AN$4))</f>
        <v>0</v>
      </c>
      <c r="AR776" s="253">
        <f>_xlfn.XLOOKUP(FMS_Ranking4[[#This Row],[FMS ID]],FMS_Input[FMS_ID],FMS_Input[REMPOP100])</f>
        <v>0</v>
      </c>
      <c r="AS776" s="255">
        <f>(ASINH(FMS_Ranking4[[#This Row],[Removed Pop Raw]]))*(10)/(ASINH(AR$4))</f>
        <v>0</v>
      </c>
      <c r="AT776" s="263">
        <f>FMS_Ranking4[[#This Row],[Removed population, ArcSinh (0-10)]]*AR$5*10</f>
        <v>0</v>
      </c>
      <c r="AU776" s="264">
        <f>_xlfn.XLOOKUP(FMS_Ranking4[[#This Row],[FMS ID]],FMS_Input[FMS_ID],FMS_Input[REMCRITFAC100])</f>
        <v>0</v>
      </c>
      <c r="AV776" s="264">
        <f>_xlfn.XLOOKUP(FMS_Ranking4[[#This Row],[FMS ID]],FMS_Input[FMS_ID],FMS_Input[REMLWC100])</f>
        <v>0</v>
      </c>
      <c r="AW776" s="264">
        <f>_xlfn.XLOOKUP(FMS_Ranking4[[#This Row],[FMS ID]],FMS_Input[FMS_ID],FMS_Input[REMROADCLS])</f>
        <v>0</v>
      </c>
      <c r="AX776" s="264">
        <f>_xlfn.XLOOKUP(FMS_Ranking4[[#This Row],[FMS ID]],FMS_Input[FMS_ID],FMS_Input[REMFRMACRE100])</f>
        <v>0</v>
      </c>
      <c r="AY776" s="258">
        <f>_xlfn.XLOOKUP(FMS_Ranking4[[#This Row],[FMS ID]],FMS_Input[FMS_ID],FMS_Input[COSTSTRUCT])</f>
        <v>0</v>
      </c>
      <c r="AZ776" s="258">
        <f>_xlfn.XLOOKUP(FMS_Ranking4[[#This Row],[FMS ID]],FMS_Input[FMS_ID],FMS_Input[NATURE])</f>
        <v>0</v>
      </c>
      <c r="BA776" s="290">
        <f>(((FMS_Ranking4[[#This Row],[% NBS Raw]]/AZ$4)*100)*AZ$5)</f>
        <v>0</v>
      </c>
      <c r="BB776" s="251" t="str">
        <f>_xlfn.XLOOKUP(FMS_Ranking4[[#This Row],[FMS ID]],FMS_Input[FMS_ID],FMS_Input[WATER_SUP])</f>
        <v>No</v>
      </c>
      <c r="BC776" s="265">
        <f>IF(FMS_Ranking4[[#This Row],[Water Supply Raw]]="Yes",10,0)</f>
        <v>0</v>
      </c>
      <c r="BD776" s="251">
        <f>_xlfn.XLOOKUP(FMS_Ranking4[[#This Row],[FMS Type]],FMS_TYPE[FMS_Type],FMS_TYPE[Score])</f>
        <v>4</v>
      </c>
      <c r="BE776" s="267">
        <f>FMS_Ranking4[[#This Row],[FMS_Type Score]]*$BD$5*10</f>
        <v>1</v>
      </c>
      <c r="BF776"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1.8823337734394712E-3</v>
      </c>
      <c r="BG776" s="321">
        <f>_xlfn.RANK.EQ(BF776,$BF$8:$BF$870,0)+COUNTIF($BF$8:BF776,BF776)-1</f>
        <v>726</v>
      </c>
      <c r="BH776" s="294">
        <f>(((FMS_Ranking4[[#This Row],[Structures Removed Raw]]/AK$4)*100)*AK$5)+(((FMS_Ranking4[[#This Row],[Removed Pop Raw]]/AR$4)*100)*AR$5)</f>
        <v>0</v>
      </c>
      <c r="BI77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1.0018823337734395</v>
      </c>
      <c r="BJ776" s="296">
        <f>_xlfn.RANK.EQ(FMS_Ranking4[[#This Row],[Total Score 
(with linear
normalization)]],FMS_Ranking4[Total Score 
(with linear
normalization)],0)</f>
        <v>735</v>
      </c>
      <c r="BK776" s="292" t="e">
        <f>_xlfn.XLOOKUP(FMS_Ranking4[[#This Row],[FMS ID]],#REF!,#REF!)</f>
        <v>#REF!</v>
      </c>
      <c r="BL776"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3.3798114860905883</v>
      </c>
      <c r="BM776" s="298">
        <f>FMS_Ranking4[[#This Row],[ArcSinh Score Based on Normalized Reported Factors]]+FMS_Ranking4[[#This Row],[% NBS Score (Normalized)]]+(FMS_Ranking4[[#This Row],[Water Supply Score (Normalized)]]*10*$BB$5)+FMS_Ranking4[[#This Row],[FMS_Type Score Weighted]]</f>
        <v>4.3798114860905883</v>
      </c>
      <c r="BN776" s="292">
        <f>_xlfn.RANK.EQ(FMS_Ranking4[[#This Row],[Total Score (with ArcSinh normalization of select criteria)]],FMS_Ranking4[Total Score (with ArcSinh normalization of select criteria)],0)</f>
        <v>768</v>
      </c>
      <c r="BO776" s="270" t="str">
        <f>_xlfn.XLOOKUP(FMS_Ranking4[[#This Row],[FMS ID]],FMS_Input[FMS_ID],FMS_Input[FMS_RANK_YEAR])</f>
        <v>2023 Amended Plan</v>
      </c>
      <c r="BP776" s="204">
        <f>_xlfn.XLOOKUP(FMS_Ranking4[[#This Row],[FMS ID]],Prev_Rank[FMS ID],Prev_Rank[Prev Rank])</f>
        <v>698</v>
      </c>
      <c r="BQ776" s="265" t="e">
        <f>_xlfn.XLOOKUP(FMS_Ranking4[[#This Row],[FMS ID]],#REF!,#REF!)</f>
        <v>#REF!</v>
      </c>
      <c r="BR776" s="199" t="e">
        <f>SUM(#REF!,#REF!,#REF!,#REF!,#REF!,#REF!,#REF!,#REF!,#REF!,FMS_Ranking4[[#This Row],[ArcSinh Res struct removed 0-10]],#REF!)</f>
        <v>#REF!</v>
      </c>
      <c r="BS776" s="199" t="e">
        <f>FMS_Ranking4[[#This Row],[Log Score Based on Normalized Reported Factors]]+FMS_Ranking4[[#This Row],[% NBS Score (Normalized)]]+(FMS_Ranking4[[#This Row],[Water Supply Score (Normalized)]]*10*$BB$5)+(FMS_Ranking4[[#This Row],[FMS_Type Score Weighted]])</f>
        <v>#REF!</v>
      </c>
      <c r="BT776" s="200" t="e">
        <f>_xlfn.RANK.EQ(FMS_Ranking4[[#This Row],[Log Total Score]],FMS_Ranking4[Log Total Score],0)</f>
        <v>#REF!</v>
      </c>
      <c r="BU776" s="200" t="e">
        <f>_xlfn.XLOOKUP(FMS_Ranking4[[#This Row],[FMS ID]],#REF!,#REF!)</f>
        <v>#REF!</v>
      </c>
      <c r="BV776" s="200">
        <f>FMS_Ranking4[[#This Row],[Region Number]]</f>
        <v>5</v>
      </c>
      <c r="BW776" s="200">
        <f>FMS_Ranking4[[#This Row],[Rank (with ArcSinh normalization of select criteria)]]-FMS_Ranking4[[#This Row],[Rank
(with linear
normalization)]]</f>
        <v>33</v>
      </c>
      <c r="BX776" s="200" t="e">
        <f>FMS_Ranking4[[#This Row],[Log Rank]]-FMS_Ranking4[[#This Row],[Rank
(with linear
normalization)]]</f>
        <v>#REF!</v>
      </c>
      <c r="BY776" s="200" t="str">
        <f>IF(FMS_Ranking4[[#This Row],[FMS Type]]="Flood Measurement and Warning",FMS_Ranking4[[#This Row],[Rank (with ArcSinh normalization of select criteria)]],"")</f>
        <v/>
      </c>
      <c r="BZ776" s="200" t="str">
        <f>IF(FMS_Ranking4[[#This Row],[FMS Type]]="Regulatory and Guidance",FMS_Ranking4[[#This Row],[Rank (with ArcSinh normalization of select criteria)]],"")</f>
        <v/>
      </c>
      <c r="CA776" s="200" t="str">
        <f>IF(FMS_Ranking4[[#This Row],[FMS Type]]="Education and Outreach",FMS_Ranking4[[#This Row],[Rank (with ArcSinh normalization of select criteria)]],"")</f>
        <v/>
      </c>
      <c r="CB776" s="200" t="str">
        <f>IF(FMS_Ranking4[[#This Row],[FMS Type]]="Property Acquisition and Structural Elevation",FMS_Ranking4[[#This Row],[Rank (with ArcSinh normalization of select criteria)]],"")</f>
        <v/>
      </c>
      <c r="CC776" s="200">
        <f>IF(FMS_Ranking4[[#This Row],[FMS Type]]="Infrastructure Projects",FMS_Ranking4[[#This Row],[Rank (with ArcSinh normalization of select criteria)]],"")</f>
        <v>768</v>
      </c>
      <c r="CD776" s="200" t="str">
        <f>IF(FMS_Ranking4[[#This Row],[FMS Type]]="Other",FMS_Ranking4[[#This Row],[Rank (with ArcSinh normalization of select criteria)]],"")</f>
        <v/>
      </c>
    </row>
    <row r="777" spans="2:82" ht="45" x14ac:dyDescent="0.25">
      <c r="B777" s="342" t="s">
        <v>2885</v>
      </c>
      <c r="C777" s="287">
        <f>_xlfn.XLOOKUP(FMS_Ranking4[[#This Row],[FMS ID]],FMS_Input[FMS_ID],FMS_Input[RFPG_NUM])</f>
        <v>5</v>
      </c>
      <c r="D777" s="309" t="str">
        <f>_xlfn.XLOOKUP(FMS_Ranking4[[#This Row],[FMS ID]],FMS_Input[FMS_ID],FMS_Input[FMS_NAME])</f>
        <v>City of Kountze Culverts and Ditches</v>
      </c>
      <c r="E777" s="308" t="str">
        <f>_xlfn.XLOOKUP(FMS_Ranking4[[#This Row],[FMS ID]],FMS_Input[FMS_ID],FMS_Input[SPONSOR])</f>
        <v>05003028</v>
      </c>
      <c r="F777" s="309" t="str">
        <f>_xlfn.XLOOKUP(FMS_Ranking4[[#This Row],[FMS ID]],Sponsor[FMS_ID],Sponsor[SPONSOR NAME])</f>
        <v>Kountze</v>
      </c>
      <c r="G777" s="309" t="str">
        <f>_xlfn.XLOOKUP(FMS_Ranking4[[#This Row],[FMS ID]],FMS_Input[FMS_ID],FMS_Input[FMS_DESCR])</f>
        <v>Develop plan to increase drainage capacity in sites that are prone to flooding.</v>
      </c>
      <c r="H777" s="247" t="str">
        <f>_xlfn.XLOOKUP(FMS_Ranking4[[#This Row],[FMS ID]],FMS_Input[FMS_ID],FMS_Input[FMS_TYPE])</f>
        <v>Infrastructure Projects</v>
      </c>
      <c r="I777" s="288">
        <f>_xlfn.XLOOKUP(FMS_Ranking4[[#This Row],[FMS ID]],FMS_Input[FMS_ID],FMS_Input[NRNC_COST])</f>
        <v>80000</v>
      </c>
      <c r="J777" s="250">
        <f>_xlfn.XLOOKUP(FMS_Ranking4[[#This Row],[FMS ID]],FMS_Input[FMS_ID],FMS_Input[FMS_COST])</f>
        <v>3000000</v>
      </c>
      <c r="K777" s="289" t="str">
        <f>_xlfn.XLOOKUP(FMS_Ranking4[[#This Row],[FMS ID]],FMS_Input[FMS_ID],FMS_Input[EMER_NEED])</f>
        <v>Yes</v>
      </c>
      <c r="L777" s="252">
        <f t="shared" si="12"/>
        <v>1</v>
      </c>
      <c r="M777" s="253">
        <f>_xlfn.XLOOKUP(FMS_Ranking4[[#This Row],[FMS ID]],FMS_Input[FMS_ID],FMS_Input[STRUCT_100])</f>
        <v>3</v>
      </c>
      <c r="N777" s="255">
        <f>(ASINH(FMS_Ranking4[[#This Row],[Structure at Risk Raw]]))*(10)/(ASINH(M$4))</f>
        <v>1.4295696719071895</v>
      </c>
      <c r="O777" s="255">
        <f>FMS_Ranking4[[#This Row],[Structures at risk, ArcSinh (0-10)]]*M$5*10</f>
        <v>1.4295696719071895</v>
      </c>
      <c r="P777" s="259">
        <f>_xlfn.XLOOKUP(FMS_Ranking4[[#This Row],[FMS ID]],FMS_Input[FMS_ID],FMS_Input[RES_STRUCT100])</f>
        <v>2</v>
      </c>
      <c r="Q777" s="257">
        <f>ASINH(FMS_Ranking4[[#This Row],[Res Structure Raw]])/Q$4*P$5*100</f>
        <v>0</v>
      </c>
      <c r="R777" s="259">
        <f>_xlfn.XLOOKUP(FMS_Ranking4[[#This Row],[FMS ID]],FMS_Input[FMS_ID],FMS_Input[POP100])</f>
        <v>2</v>
      </c>
      <c r="S777" s="259">
        <f>(ASINH(FMS_Ranking4[[#This Row],[Pop at Risk Raw]]))*(10)/(ASINH(R$4))</f>
        <v>0.9966256139867492</v>
      </c>
      <c r="T777" s="257">
        <f>FMS_Ranking4[[#This Row],[Population at risk, ArcSinh (0-10)]]*R$5*10</f>
        <v>0.9966256139867492</v>
      </c>
      <c r="U777" s="259">
        <f>_xlfn.XLOOKUP(FMS_Ranking4[[#This Row],[FMS ID]],FMS_Input[FMS_ID],FMS_Input[CRITFAC100])</f>
        <v>0</v>
      </c>
      <c r="V777" s="259">
        <f>(ASINH(FMS_Ranking4[[#This Row],[Critical Facilities Raw]]))*(10)/(ASINH(U$4))</f>
        <v>0</v>
      </c>
      <c r="W777" s="257">
        <f>FMS_Ranking4[[#This Row],[Critical facilities at risk, ArcSinh (0-10)]]*U$5*10</f>
        <v>0</v>
      </c>
      <c r="X777" s="259">
        <f>_xlfn.XLOOKUP(FMS_Ranking4[[#This Row],[FMS ID]],FMS_Input[FMS_ID],FMS_Input[LWC])</f>
        <v>0</v>
      </c>
      <c r="Y777" s="259">
        <f>(ASINH(FMS_Ranking4[[#This Row],[LWC Raw]]))*(10)/(ASINH(X$4))</f>
        <v>0</v>
      </c>
      <c r="Z777" s="257">
        <f>FMS_Ranking4[[#This Row],[LWC, ArcSInh (0-10)]]*X$5*10</f>
        <v>0</v>
      </c>
      <c r="AA777" s="259">
        <f>_xlfn.XLOOKUP(FMS_Ranking4[[#This Row],[FMS ID]],FMS_Input[FMS_ID],FMS_Input[ROADCLS])</f>
        <v>0</v>
      </c>
      <c r="AB777" s="255">
        <f>(ASINH(FMS_Ranking4[[#This Row],[Road Closures Raw]]))*(10)/(ASINH(AA$4))</f>
        <v>0</v>
      </c>
      <c r="AC777" s="255">
        <f>FMS_Ranking4[[#This Row],[Road closures, ArcSinh (0-10)]]*AA$5*10</f>
        <v>0</v>
      </c>
      <c r="AD777" s="259">
        <f>_xlfn.XLOOKUP(FMS_Ranking4[[#This Row],[FMS ID]],FMS_Input[FMS_ID],FMS_Input[ROAD_MILES100])</f>
        <v>1</v>
      </c>
      <c r="AE777" s="259">
        <f>(ASINH(FMS_Ranking4[[#This Row],[Road Miles Raw]]))*(10)/(ASINH(AD$4))</f>
        <v>0.9393017565219649</v>
      </c>
      <c r="AF777" s="257">
        <f>FMS_Ranking4[[#This Row],[Length of roads at risk, ArcSinh (0-10)]]*AD$5*10</f>
        <v>0.93930175652196501</v>
      </c>
      <c r="AG777" s="259">
        <f>_xlfn.XLOOKUP(FMS_Ranking4[[#This Row],[FMS ID]],FMS_Input[FMS_ID],FMS_Input[FARMACRE100])</f>
        <v>4.4087089598178857E-2</v>
      </c>
      <c r="AH777" s="255">
        <f>(ASINH(FMS_Ranking4[[#This Row],[Ag Land Raw]]))*(10)/(ASINH(AG$4))</f>
        <v>2.8628887349369119E-2</v>
      </c>
      <c r="AI777" s="254">
        <f>FMS_Ranking4[[#This Row],[Farm &amp; ranch land, ArcSinh (0-10)]]*AG$5*10</f>
        <v>1.4314443674684561E-2</v>
      </c>
      <c r="AJ777" s="258">
        <f>_xlfn.XLOOKUP(FMS_Ranking4[[#This Row],[FMS ID]],FMS_Input[FMS_ID],FMS_Input[REDSTRUCT100])</f>
        <v>0</v>
      </c>
      <c r="AK777" s="253">
        <f>_xlfn.XLOOKUP(FMS_Ranking4[[#This Row],[FMS ID]],FMS_Input[FMS_ID],FMS_Input[REMSTRC100])</f>
        <v>0</v>
      </c>
      <c r="AL777" s="259">
        <f>(ASINH(FMS_Ranking4[[#This Row],[Structures Removed Raw]]))*(10)/(ASINH(AK$4))</f>
        <v>0</v>
      </c>
      <c r="AM777" s="254">
        <f>FMS_Ranking4[[#This Row],[Structures removed, ArcSinh (0-10)]]*AK$5*10</f>
        <v>0</v>
      </c>
      <c r="AN777" s="253">
        <f>_xlfn.XLOOKUP(FMS_Ranking4[[#This Row],[FMS ID]],FMS_Input[FMS_ID],FMS_Input[REMRESSTRC100])</f>
        <v>0</v>
      </c>
      <c r="AO777" s="258">
        <f>FMS_Ranking4[[#This Row],[ArcSinh Res struct removed 0-10]]*AN$5*10</f>
        <v>0</v>
      </c>
      <c r="AP777" s="254">
        <f>ASINH(FMS_Ranking4[[#This Row],[Residential Structures Removed Raw]])/AP$4*AN$5*100</f>
        <v>0</v>
      </c>
      <c r="AQ777" s="260">
        <f>(ASINH(FMS_Ranking4[[#This Row],[Residential Structures Removed Raw]]))*(10)/(ASINH(AN$4))</f>
        <v>0</v>
      </c>
      <c r="AR777" s="253">
        <f>_xlfn.XLOOKUP(FMS_Ranking4[[#This Row],[FMS ID]],FMS_Input[FMS_ID],FMS_Input[REMPOP100])</f>
        <v>0</v>
      </c>
      <c r="AS777" s="259">
        <f>(ASINH(FMS_Ranking4[[#This Row],[Removed Pop Raw]]))*(10)/(ASINH(AR$4))</f>
        <v>0</v>
      </c>
      <c r="AT777" s="263">
        <f>FMS_Ranking4[[#This Row],[Removed population, ArcSinh (0-10)]]*AR$5*10</f>
        <v>0</v>
      </c>
      <c r="AU777" s="264">
        <f>_xlfn.XLOOKUP(FMS_Ranking4[[#This Row],[FMS ID]],FMS_Input[FMS_ID],FMS_Input[REMCRITFAC100])</f>
        <v>0</v>
      </c>
      <c r="AV777" s="264">
        <f>_xlfn.XLOOKUP(FMS_Ranking4[[#This Row],[FMS ID]],FMS_Input[FMS_ID],FMS_Input[REMLWC100])</f>
        <v>0</v>
      </c>
      <c r="AW777" s="264">
        <f>_xlfn.XLOOKUP(FMS_Ranking4[[#This Row],[FMS ID]],FMS_Input[FMS_ID],FMS_Input[REMROADCLS])</f>
        <v>0</v>
      </c>
      <c r="AX777" s="264">
        <f>_xlfn.XLOOKUP(FMS_Ranking4[[#This Row],[FMS ID]],FMS_Input[FMS_ID],FMS_Input[REMFRMACRE100])</f>
        <v>0</v>
      </c>
      <c r="AY777" s="258">
        <f>_xlfn.XLOOKUP(FMS_Ranking4[[#This Row],[FMS ID]],FMS_Input[FMS_ID],FMS_Input[COSTSTRUCT])</f>
        <v>0</v>
      </c>
      <c r="AZ777" s="258">
        <f>_xlfn.XLOOKUP(FMS_Ranking4[[#This Row],[FMS ID]],FMS_Input[FMS_ID],FMS_Input[NATURE])</f>
        <v>0</v>
      </c>
      <c r="BA777" s="290">
        <f>(((FMS_Ranking4[[#This Row],[% NBS Raw]]/AZ$4)*100)*AZ$5)</f>
        <v>0</v>
      </c>
      <c r="BB777" s="251" t="str">
        <f>_xlfn.XLOOKUP(FMS_Ranking4[[#This Row],[FMS ID]],FMS_Input[FMS_ID],FMS_Input[WATER_SUP])</f>
        <v>No</v>
      </c>
      <c r="BC777" s="265">
        <f>IF(FMS_Ranking4[[#This Row],[Water Supply Raw]]="Yes",10,0)</f>
        <v>0</v>
      </c>
      <c r="BD777" s="251">
        <f>_xlfn.XLOOKUP(FMS_Ranking4[[#This Row],[FMS Type]],FMS_TYPE[FMS_Type],FMS_TYPE[Score])</f>
        <v>4</v>
      </c>
      <c r="BE777" s="267">
        <f>FMS_Ranking4[[#This Row],[FMS_Type Score]]*$BD$5*10</f>
        <v>1</v>
      </c>
      <c r="BF77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1.8823337734394712E-3</v>
      </c>
      <c r="BG777" s="271">
        <f>_xlfn.RANK.EQ(BF777,$BF$8:$BF$870,0)+COUNTIF($BF$8:BF777,BF777)-1</f>
        <v>727</v>
      </c>
      <c r="BH777" s="268">
        <f>(((FMS_Ranking4[[#This Row],[Structures Removed Raw]]/AK$4)*100)*AK$5)+(((FMS_Ranking4[[#This Row],[Removed Pop Raw]]/AR$4)*100)*AR$5)</f>
        <v>0</v>
      </c>
      <c r="BI77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1.0018823337734395</v>
      </c>
      <c r="BJ777" s="325">
        <f>_xlfn.RANK.EQ(FMS_Ranking4[[#This Row],[Total Score 
(with linear
normalization)]],FMS_Ranking4[Total Score 
(with linear
normalization)],0)</f>
        <v>735</v>
      </c>
      <c r="BK777" s="327" t="e">
        <f>_xlfn.XLOOKUP(FMS_Ranking4[[#This Row],[FMS ID]],#REF!,#REF!)</f>
        <v>#REF!</v>
      </c>
      <c r="BL77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3.3798114860905883</v>
      </c>
      <c r="BM777" s="330">
        <f>FMS_Ranking4[[#This Row],[ArcSinh Score Based on Normalized Reported Factors]]+FMS_Ranking4[[#This Row],[% NBS Score (Normalized)]]+(FMS_Ranking4[[#This Row],[Water Supply Score (Normalized)]]*10*$BB$5)+FMS_Ranking4[[#This Row],[FMS_Type Score Weighted]]</f>
        <v>4.3798114860905883</v>
      </c>
      <c r="BN777" s="327">
        <f>_xlfn.RANK.EQ(FMS_Ranking4[[#This Row],[Total Score (with ArcSinh normalization of select criteria)]],FMS_Ranking4[Total Score (with ArcSinh normalization of select criteria)],0)</f>
        <v>768</v>
      </c>
      <c r="BO777" s="270" t="str">
        <f>_xlfn.XLOOKUP(FMS_Ranking4[[#This Row],[FMS ID]],FMS_Input[FMS_ID],FMS_Input[FMS_RANK_YEAR])</f>
        <v>2023 Amended Plan</v>
      </c>
      <c r="BP777" s="204">
        <f>_xlfn.XLOOKUP(FMS_Ranking4[[#This Row],[FMS ID]],Prev_Rank[FMS ID],Prev_Rank[Prev Rank])</f>
        <v>698</v>
      </c>
      <c r="BQ777" s="334" t="e">
        <f>_xlfn.XLOOKUP(FMS_Ranking4[[#This Row],[FMS ID]],#REF!,#REF!)</f>
        <v>#REF!</v>
      </c>
      <c r="BR777" s="199" t="e">
        <f>SUM(#REF!,#REF!,#REF!,#REF!,#REF!,#REF!,#REF!,#REF!,#REF!,FMS_Ranking4[[#This Row],[ArcSinh Res struct removed 0-10]],#REF!)</f>
        <v>#REF!</v>
      </c>
      <c r="BS777" s="199" t="e">
        <f>FMS_Ranking4[[#This Row],[Log Score Based on Normalized Reported Factors]]+FMS_Ranking4[[#This Row],[% NBS Score (Normalized)]]+(FMS_Ranking4[[#This Row],[Water Supply Score (Normalized)]]*10*$BB$5)+(FMS_Ranking4[[#This Row],[FMS_Type Score Weighted]])</f>
        <v>#REF!</v>
      </c>
      <c r="BT777" s="200" t="e">
        <f>_xlfn.RANK.EQ(FMS_Ranking4[[#This Row],[Log Total Score]],FMS_Ranking4[Log Total Score],0)</f>
        <v>#REF!</v>
      </c>
      <c r="BU777" s="200" t="e">
        <f>_xlfn.XLOOKUP(FMS_Ranking4[[#This Row],[FMS ID]],#REF!,#REF!)</f>
        <v>#REF!</v>
      </c>
      <c r="BV777" s="200">
        <f>FMS_Ranking4[[#This Row],[Region Number]]</f>
        <v>5</v>
      </c>
      <c r="BW777" s="200">
        <f>FMS_Ranking4[[#This Row],[Rank (with ArcSinh normalization of select criteria)]]-FMS_Ranking4[[#This Row],[Rank
(with linear
normalization)]]</f>
        <v>33</v>
      </c>
      <c r="BX777" s="200" t="e">
        <f>FMS_Ranking4[[#This Row],[Log Rank]]-FMS_Ranking4[[#This Row],[Rank
(with linear
normalization)]]</f>
        <v>#REF!</v>
      </c>
      <c r="BY777" s="200" t="str">
        <f>IF(FMS_Ranking4[[#This Row],[FMS Type]]="Flood Measurement and Warning",FMS_Ranking4[[#This Row],[Rank (with ArcSinh normalization of select criteria)]],"")</f>
        <v/>
      </c>
      <c r="BZ777" s="200" t="str">
        <f>IF(FMS_Ranking4[[#This Row],[FMS Type]]="Regulatory and Guidance",FMS_Ranking4[[#This Row],[Rank (with ArcSinh normalization of select criteria)]],"")</f>
        <v/>
      </c>
      <c r="CA777" s="200" t="str">
        <f>IF(FMS_Ranking4[[#This Row],[FMS Type]]="Education and Outreach",FMS_Ranking4[[#This Row],[Rank (with ArcSinh normalization of select criteria)]],"")</f>
        <v/>
      </c>
      <c r="CB777" s="200" t="str">
        <f>IF(FMS_Ranking4[[#This Row],[FMS Type]]="Property Acquisition and Structural Elevation",FMS_Ranking4[[#This Row],[Rank (with ArcSinh normalization of select criteria)]],"")</f>
        <v/>
      </c>
      <c r="CC777" s="200">
        <f>IF(FMS_Ranking4[[#This Row],[FMS Type]]="Infrastructure Projects",FMS_Ranking4[[#This Row],[Rank (with ArcSinh normalization of select criteria)]],"")</f>
        <v>768</v>
      </c>
      <c r="CD777" s="200" t="str">
        <f>IF(FMS_Ranking4[[#This Row],[FMS Type]]="Other",FMS_Ranking4[[#This Row],[Rank (with ArcSinh normalization of select criteria)]],"")</f>
        <v/>
      </c>
    </row>
    <row r="778" spans="2:82" ht="45" x14ac:dyDescent="0.25">
      <c r="B778" s="342" t="s">
        <v>3245</v>
      </c>
      <c r="C778" s="287">
        <f>_xlfn.XLOOKUP(FMS_Ranking4[[#This Row],[FMS ID]],FMS_Input[FMS_ID],FMS_Input[RFPG_NUM])</f>
        <v>7</v>
      </c>
      <c r="D778" s="309" t="str">
        <f>_xlfn.XLOOKUP(FMS_Ranking4[[#This Row],[FMS ID]],FMS_Input[FMS_ID],FMS_Input[FMS_NAME])</f>
        <v>City of Goree NFIP Participation</v>
      </c>
      <c r="E778" s="308" t="str">
        <f>_xlfn.XLOOKUP(FMS_Ranking4[[#This Row],[FMS ID]],FMS_Input[FMS_ID],FMS_Input[SPONSOR])</f>
        <v>07003324</v>
      </c>
      <c r="F778" s="309" t="str">
        <f>_xlfn.XLOOKUP(FMS_Ranking4[[#This Row],[FMS ID]],Sponsor[FMS_ID],Sponsor[SPONSOR NAME])</f>
        <v>Goree</v>
      </c>
      <c r="G778" s="309" t="str">
        <f>_xlfn.XLOOKUP(FMS_Ranking4[[#This Row],[FMS ID]],FMS_Input[FMS_ID],FMS_Input[FMS_DESCR])</f>
        <v>Application to join NFIP or adoption of equivalent standards.</v>
      </c>
      <c r="H778" s="247" t="str">
        <f>_xlfn.XLOOKUP(FMS_Ranking4[[#This Row],[FMS ID]],FMS_Input[FMS_ID],FMS_Input[FMS_TYPE])</f>
        <v>Regulatory and Guidance</v>
      </c>
      <c r="I778" s="288">
        <f>_xlfn.XLOOKUP(FMS_Ranking4[[#This Row],[FMS ID]],FMS_Input[FMS_ID],FMS_Input[NRNC_COST])</f>
        <v>50000</v>
      </c>
      <c r="J778" s="250">
        <f>_xlfn.XLOOKUP(FMS_Ranking4[[#This Row],[FMS ID]],FMS_Input[FMS_ID],FMS_Input[FMS_COST])</f>
        <v>50000</v>
      </c>
      <c r="K778" s="289" t="str">
        <f>_xlfn.XLOOKUP(FMS_Ranking4[[#This Row],[FMS ID]],FMS_Input[FMS_ID],FMS_Input[EMER_NEED])</f>
        <v>No</v>
      </c>
      <c r="L778" s="252">
        <f t="shared" si="12"/>
        <v>0</v>
      </c>
      <c r="M778" s="253">
        <f>_xlfn.XLOOKUP(FMS_Ranking4[[#This Row],[FMS ID]],FMS_Input[FMS_ID],FMS_Input[STRUCT_100])</f>
        <v>0</v>
      </c>
      <c r="N778" s="255">
        <f>(ASINH(FMS_Ranking4[[#This Row],[Structure at Risk Raw]]))*(10)/(ASINH(M$4))</f>
        <v>0</v>
      </c>
      <c r="O778" s="255">
        <f>FMS_Ranking4[[#This Row],[Structures at risk, ArcSinh (0-10)]]*M$5*10</f>
        <v>0</v>
      </c>
      <c r="P778" s="259">
        <f>_xlfn.XLOOKUP(FMS_Ranking4[[#This Row],[FMS ID]],FMS_Input[FMS_ID],FMS_Input[RES_STRUCT100])</f>
        <v>0</v>
      </c>
      <c r="Q778" s="257">
        <f>ASINH(FMS_Ranking4[[#This Row],[Res Structure Raw]])/Q$4*P$5*100</f>
        <v>0</v>
      </c>
      <c r="R778" s="259">
        <f>_xlfn.XLOOKUP(FMS_Ranking4[[#This Row],[FMS ID]],FMS_Input[FMS_ID],FMS_Input[POP100])</f>
        <v>0</v>
      </c>
      <c r="S778" s="259">
        <f>(ASINH(FMS_Ranking4[[#This Row],[Pop at Risk Raw]]))*(10)/(ASINH(R$4))</f>
        <v>0</v>
      </c>
      <c r="T778" s="257">
        <f>FMS_Ranking4[[#This Row],[Population at risk, ArcSinh (0-10)]]*R$5*10</f>
        <v>0</v>
      </c>
      <c r="U778" s="259">
        <f>_xlfn.XLOOKUP(FMS_Ranking4[[#This Row],[FMS ID]],FMS_Input[FMS_ID],FMS_Input[CRITFAC100])</f>
        <v>0</v>
      </c>
      <c r="V778" s="259">
        <f>(ASINH(FMS_Ranking4[[#This Row],[Critical Facilities Raw]]))*(10)/(ASINH(U$4))</f>
        <v>0</v>
      </c>
      <c r="W778" s="257">
        <f>FMS_Ranking4[[#This Row],[Critical facilities at risk, ArcSinh (0-10)]]*U$5*10</f>
        <v>0</v>
      </c>
      <c r="X778" s="259">
        <f>_xlfn.XLOOKUP(FMS_Ranking4[[#This Row],[FMS ID]],FMS_Input[FMS_ID],FMS_Input[LWC])</f>
        <v>0</v>
      </c>
      <c r="Y778" s="259">
        <f>(ASINH(FMS_Ranking4[[#This Row],[LWC Raw]]))*(10)/(ASINH(X$4))</f>
        <v>0</v>
      </c>
      <c r="Z778" s="257">
        <f>FMS_Ranking4[[#This Row],[LWC, ArcSInh (0-10)]]*X$5*10</f>
        <v>0</v>
      </c>
      <c r="AA778" s="259">
        <f>_xlfn.XLOOKUP(FMS_Ranking4[[#This Row],[FMS ID]],FMS_Input[FMS_ID],FMS_Input[ROADCLS])</f>
        <v>0</v>
      </c>
      <c r="AB778" s="255">
        <f>(ASINH(FMS_Ranking4[[#This Row],[Road Closures Raw]]))*(10)/(ASINH(AA$4))</f>
        <v>0</v>
      </c>
      <c r="AC778" s="255">
        <f>FMS_Ranking4[[#This Row],[Road closures, ArcSinh (0-10)]]*AA$5*10</f>
        <v>0</v>
      </c>
      <c r="AD778" s="259">
        <f>_xlfn.XLOOKUP(FMS_Ranking4[[#This Row],[FMS ID]],FMS_Input[FMS_ID],FMS_Input[ROAD_MILES100])</f>
        <v>1</v>
      </c>
      <c r="AE778" s="259">
        <f>(ASINH(FMS_Ranking4[[#This Row],[Road Miles Raw]]))*(10)/(ASINH(AD$4))</f>
        <v>0.9393017565219649</v>
      </c>
      <c r="AF778" s="257">
        <f>FMS_Ranking4[[#This Row],[Length of roads at risk, ArcSinh (0-10)]]*AD$5*10</f>
        <v>0.93930175652196501</v>
      </c>
      <c r="AG778" s="259">
        <f>_xlfn.XLOOKUP(FMS_Ranking4[[#This Row],[FMS ID]],FMS_Input[FMS_ID],FMS_Input[FARMACRE100])</f>
        <v>20.344755172729489</v>
      </c>
      <c r="AH778" s="255">
        <f>(ASINH(FMS_Ranking4[[#This Row],[Ag Land Raw]]))*(10)/(ASINH(AG$4))</f>
        <v>2.4077216415405331</v>
      </c>
      <c r="AI778" s="254">
        <f>FMS_Ranking4[[#This Row],[Farm &amp; ranch land, ArcSinh (0-10)]]*AG$5*10</f>
        <v>1.2038608207702666</v>
      </c>
      <c r="AJ778" s="258">
        <f>_xlfn.XLOOKUP(FMS_Ranking4[[#This Row],[FMS ID]],FMS_Input[FMS_ID],FMS_Input[REDSTRUCT100])</f>
        <v>0</v>
      </c>
      <c r="AK778" s="253">
        <f>_xlfn.XLOOKUP(FMS_Ranking4[[#This Row],[FMS ID]],FMS_Input[FMS_ID],FMS_Input[REMSTRC100])</f>
        <v>0</v>
      </c>
      <c r="AL778" s="259">
        <f>(ASINH(FMS_Ranking4[[#This Row],[Structures Removed Raw]]))*(10)/(ASINH(AK$4))</f>
        <v>0</v>
      </c>
      <c r="AM778" s="254">
        <f>FMS_Ranking4[[#This Row],[Structures removed, ArcSinh (0-10)]]*AK$5*10</f>
        <v>0</v>
      </c>
      <c r="AN778" s="253">
        <f>_xlfn.XLOOKUP(FMS_Ranking4[[#This Row],[FMS ID]],FMS_Input[FMS_ID],FMS_Input[REMRESSTRC100])</f>
        <v>0</v>
      </c>
      <c r="AO778" s="258">
        <f>FMS_Ranking4[[#This Row],[ArcSinh Res struct removed 0-10]]*AN$5*10</f>
        <v>0</v>
      </c>
      <c r="AP778" s="254">
        <f>ASINH(FMS_Ranking4[[#This Row],[Residential Structures Removed Raw]])/AP$4*AN$5*100</f>
        <v>0</v>
      </c>
      <c r="AQ778" s="260">
        <f>(ASINH(FMS_Ranking4[[#This Row],[Residential Structures Removed Raw]]))*(10)/(ASINH(AN$4))</f>
        <v>0</v>
      </c>
      <c r="AR778" s="253">
        <f>_xlfn.XLOOKUP(FMS_Ranking4[[#This Row],[FMS ID]],FMS_Input[FMS_ID],FMS_Input[REMPOP100])</f>
        <v>0</v>
      </c>
      <c r="AS778" s="259">
        <f>(ASINH(FMS_Ranking4[[#This Row],[Removed Pop Raw]]))*(10)/(ASINH(AR$4))</f>
        <v>0</v>
      </c>
      <c r="AT778" s="263">
        <f>FMS_Ranking4[[#This Row],[Removed population, ArcSinh (0-10)]]*AR$5*10</f>
        <v>0</v>
      </c>
      <c r="AU778" s="264">
        <f>_xlfn.XLOOKUP(FMS_Ranking4[[#This Row],[FMS ID]],FMS_Input[FMS_ID],FMS_Input[REMCRITFAC100])</f>
        <v>0</v>
      </c>
      <c r="AV778" s="264">
        <f>_xlfn.XLOOKUP(FMS_Ranking4[[#This Row],[FMS ID]],FMS_Input[FMS_ID],FMS_Input[REMLWC100])</f>
        <v>0</v>
      </c>
      <c r="AW778" s="264">
        <f>_xlfn.XLOOKUP(FMS_Ranking4[[#This Row],[FMS ID]],FMS_Input[FMS_ID],FMS_Input[REMROADCLS])</f>
        <v>0</v>
      </c>
      <c r="AX778" s="264">
        <f>_xlfn.XLOOKUP(FMS_Ranking4[[#This Row],[FMS ID]],FMS_Input[FMS_ID],FMS_Input[REMFRMACRE100])</f>
        <v>0</v>
      </c>
      <c r="AY778" s="258">
        <f>_xlfn.XLOOKUP(FMS_Ranking4[[#This Row],[FMS ID]],FMS_Input[FMS_ID],FMS_Input[COSTSTRUCT])</f>
        <v>0</v>
      </c>
      <c r="AZ778" s="258">
        <f>_xlfn.XLOOKUP(FMS_Ranking4[[#This Row],[FMS ID]],FMS_Input[FMS_ID],FMS_Input[NATURE])</f>
        <v>0</v>
      </c>
      <c r="BA778" s="290">
        <f>(((FMS_Ranking4[[#This Row],[% NBS Raw]]/AZ$4)*100)*AZ$5)</f>
        <v>0</v>
      </c>
      <c r="BB778" s="251" t="str">
        <f>_xlfn.XLOOKUP(FMS_Ranking4[[#This Row],[FMS ID]],FMS_Input[FMS_ID],FMS_Input[WATER_SUP])</f>
        <v>No</v>
      </c>
      <c r="BC778" s="265">
        <f>IF(FMS_Ranking4[[#This Row],[Water Supply Raw]]="Yes",10,0)</f>
        <v>0</v>
      </c>
      <c r="BD778" s="251">
        <f>_xlfn.XLOOKUP(FMS_Ranking4[[#This Row],[FMS Type]],FMS_TYPE[FMS_Type],FMS_TYPE[Score])</f>
        <v>8</v>
      </c>
      <c r="BE778" s="267">
        <f>FMS_Ranking4[[#This Row],[FMS_Type Score]]*$BD$5*10</f>
        <v>2</v>
      </c>
      <c r="BF77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1.7243151067331205E-3</v>
      </c>
      <c r="BG778" s="271">
        <f>_xlfn.RANK.EQ(BF778,$BF$8:$BF$870,0)+COUNTIF($BF$8:BF778,BF778)-1</f>
        <v>732</v>
      </c>
      <c r="BH778" s="268">
        <f>(((FMS_Ranking4[[#This Row],[Structures Removed Raw]]/AK$4)*100)*AK$5)+(((FMS_Ranking4[[#This Row],[Removed Pop Raw]]/AR$4)*100)*AR$5)</f>
        <v>0</v>
      </c>
      <c r="BI77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2.001724315106733</v>
      </c>
      <c r="BJ778" s="325">
        <f>_xlfn.RANK.EQ(FMS_Ranking4[[#This Row],[Total Score 
(with linear
normalization)]],FMS_Ranking4[Total Score 
(with linear
normalization)],0)</f>
        <v>456</v>
      </c>
      <c r="BK778" s="327" t="e">
        <f>_xlfn.XLOOKUP(FMS_Ranking4[[#This Row],[FMS ID]],#REF!,#REF!)</f>
        <v>#REF!</v>
      </c>
      <c r="BL77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2.1431625772922316</v>
      </c>
      <c r="BM778" s="330">
        <f>FMS_Ranking4[[#This Row],[ArcSinh Score Based on Normalized Reported Factors]]+FMS_Ranking4[[#This Row],[% NBS Score (Normalized)]]+(FMS_Ranking4[[#This Row],[Water Supply Score (Normalized)]]*10*$BB$5)+FMS_Ranking4[[#This Row],[FMS_Type Score Weighted]]</f>
        <v>4.143162577292232</v>
      </c>
      <c r="BN778" s="327">
        <f>_xlfn.RANK.EQ(FMS_Ranking4[[#This Row],[Total Score (with ArcSinh normalization of select criteria)]],FMS_Ranking4[Total Score (with ArcSinh normalization of select criteria)],0)</f>
        <v>771</v>
      </c>
      <c r="BO778" s="270" t="str">
        <f>_xlfn.XLOOKUP(FMS_Ranking4[[#This Row],[FMS ID]],FMS_Input[FMS_ID],FMS_Input[FMS_RANK_YEAR])</f>
        <v>2023 Amended Plan</v>
      </c>
      <c r="BP778" s="204">
        <f>_xlfn.XLOOKUP(FMS_Ranking4[[#This Row],[FMS ID]],Prev_Rank[FMS ID],Prev_Rank[Prev Rank])</f>
        <v>701</v>
      </c>
      <c r="BQ778" s="334" t="e">
        <f>_xlfn.XLOOKUP(FMS_Ranking4[[#This Row],[FMS ID]],#REF!,#REF!)</f>
        <v>#REF!</v>
      </c>
      <c r="BR778" s="199" t="e">
        <f>SUM(#REF!,#REF!,#REF!,#REF!,#REF!,#REF!,#REF!,#REF!,#REF!,FMS_Ranking4[[#This Row],[ArcSinh Res struct removed 0-10]],#REF!)</f>
        <v>#REF!</v>
      </c>
      <c r="BS778" s="199" t="e">
        <f>FMS_Ranking4[[#This Row],[Log Score Based on Normalized Reported Factors]]+FMS_Ranking4[[#This Row],[% NBS Score (Normalized)]]+(FMS_Ranking4[[#This Row],[Water Supply Score (Normalized)]]*10*$BB$5)+(FMS_Ranking4[[#This Row],[FMS_Type Score Weighted]])</f>
        <v>#REF!</v>
      </c>
      <c r="BT778" s="200" t="e">
        <f>_xlfn.RANK.EQ(FMS_Ranking4[[#This Row],[Log Total Score]],FMS_Ranking4[Log Total Score],0)</f>
        <v>#REF!</v>
      </c>
      <c r="BU778" s="200" t="e">
        <f>_xlfn.XLOOKUP(FMS_Ranking4[[#This Row],[FMS ID]],#REF!,#REF!)</f>
        <v>#REF!</v>
      </c>
      <c r="BV778" s="200">
        <f>FMS_Ranking4[[#This Row],[Region Number]]</f>
        <v>7</v>
      </c>
      <c r="BW778" s="200">
        <f>FMS_Ranking4[[#This Row],[Rank (with ArcSinh normalization of select criteria)]]-FMS_Ranking4[[#This Row],[Rank
(with linear
normalization)]]</f>
        <v>315</v>
      </c>
      <c r="BX778" s="200" t="e">
        <f>FMS_Ranking4[[#This Row],[Log Rank]]-FMS_Ranking4[[#This Row],[Rank
(with linear
normalization)]]</f>
        <v>#REF!</v>
      </c>
      <c r="BY778" s="200" t="str">
        <f>IF(FMS_Ranking4[[#This Row],[FMS Type]]="Flood Measurement and Warning",FMS_Ranking4[[#This Row],[Rank (with ArcSinh normalization of select criteria)]],"")</f>
        <v/>
      </c>
      <c r="BZ778" s="200">
        <f>IF(FMS_Ranking4[[#This Row],[FMS Type]]="Regulatory and Guidance",FMS_Ranking4[[#This Row],[Rank (with ArcSinh normalization of select criteria)]],"")</f>
        <v>771</v>
      </c>
      <c r="CA778" s="200" t="str">
        <f>IF(FMS_Ranking4[[#This Row],[FMS Type]]="Education and Outreach",FMS_Ranking4[[#This Row],[Rank (with ArcSinh normalization of select criteria)]],"")</f>
        <v/>
      </c>
      <c r="CB778" s="200" t="str">
        <f>IF(FMS_Ranking4[[#This Row],[FMS Type]]="Property Acquisition and Structural Elevation",FMS_Ranking4[[#This Row],[Rank (with ArcSinh normalization of select criteria)]],"")</f>
        <v/>
      </c>
      <c r="CC778" s="200" t="str">
        <f>IF(FMS_Ranking4[[#This Row],[FMS Type]]="Infrastructure Projects",FMS_Ranking4[[#This Row],[Rank (with ArcSinh normalization of select criteria)]],"")</f>
        <v/>
      </c>
      <c r="CD778" s="200" t="str">
        <f>IF(FMS_Ranking4[[#This Row],[FMS Type]]="Other",FMS_Ranking4[[#This Row],[Rank (with ArcSinh normalization of select criteria)]],"")</f>
        <v/>
      </c>
    </row>
    <row r="779" spans="2:82" ht="45" x14ac:dyDescent="0.25">
      <c r="B779" s="342" t="s">
        <v>3271</v>
      </c>
      <c r="C779" s="287">
        <f>_xlfn.XLOOKUP(FMS_Ranking4[[#This Row],[FMS ID]],FMS_Input[FMS_ID],FMS_Input[RFPG_NUM])</f>
        <v>7</v>
      </c>
      <c r="D779" s="309" t="str">
        <f>_xlfn.XLOOKUP(FMS_Ranking4[[#This Row],[FMS ID]],FMS_Input[FMS_ID],FMS_Input[FMS_NAME])</f>
        <v>City of Bovina NFIP Participation</v>
      </c>
      <c r="E779" s="322" t="str">
        <f>_xlfn.XLOOKUP(FMS_Ranking4[[#This Row],[FMS ID]],FMS_Input[FMS_ID],FMS_Input[SPONSOR])</f>
        <v>07002801</v>
      </c>
      <c r="F779" s="309" t="str">
        <f>_xlfn.XLOOKUP(FMS_Ranking4[[#This Row],[FMS ID]],Sponsor[FMS_ID],Sponsor[SPONSOR NAME])</f>
        <v>Bovina</v>
      </c>
      <c r="G779" s="309" t="str">
        <f>_xlfn.XLOOKUP(FMS_Ranking4[[#This Row],[FMS ID]],FMS_Input[FMS_ID],FMS_Input[FMS_DESCR])</f>
        <v>Application to join NFIP or adoption of equivalent standards.</v>
      </c>
      <c r="H779" s="247" t="str">
        <f>_xlfn.XLOOKUP(FMS_Ranking4[[#This Row],[FMS ID]],FMS_Input[FMS_ID],FMS_Input[FMS_TYPE])</f>
        <v>Regulatory and Guidance</v>
      </c>
      <c r="I779" s="288">
        <f>_xlfn.XLOOKUP(FMS_Ranking4[[#This Row],[FMS ID]],FMS_Input[FMS_ID],FMS_Input[NRNC_COST])</f>
        <v>50000</v>
      </c>
      <c r="J779" s="250">
        <f>_xlfn.XLOOKUP(FMS_Ranking4[[#This Row],[FMS ID]],FMS_Input[FMS_ID],FMS_Input[FMS_COST])</f>
        <v>50000</v>
      </c>
      <c r="K779" s="289" t="str">
        <f>_xlfn.XLOOKUP(FMS_Ranking4[[#This Row],[FMS ID]],FMS_Input[FMS_ID],FMS_Input[EMER_NEED])</f>
        <v>No</v>
      </c>
      <c r="L779" s="252">
        <f t="shared" si="12"/>
        <v>0</v>
      </c>
      <c r="M779" s="253">
        <f>_xlfn.XLOOKUP(FMS_Ranking4[[#This Row],[FMS ID]],FMS_Input[FMS_ID],FMS_Input[STRUCT_100])</f>
        <v>3</v>
      </c>
      <c r="N779" s="255">
        <f>(ASINH(FMS_Ranking4[[#This Row],[Structure at Risk Raw]]))*(10)/(ASINH(M$4))</f>
        <v>1.4295696719071895</v>
      </c>
      <c r="O779" s="255">
        <f>FMS_Ranking4[[#This Row],[Structures at risk, ArcSinh (0-10)]]*M$5*10</f>
        <v>1.4295696719071895</v>
      </c>
      <c r="P779" s="259">
        <f>_xlfn.XLOOKUP(FMS_Ranking4[[#This Row],[FMS ID]],FMS_Input[FMS_ID],FMS_Input[RES_STRUCT100])</f>
        <v>0</v>
      </c>
      <c r="Q779" s="257">
        <f>ASINH(FMS_Ranking4[[#This Row],[Res Structure Raw]])/Q$4*P$5*100</f>
        <v>0</v>
      </c>
      <c r="R779" s="259">
        <f>_xlfn.XLOOKUP(FMS_Ranking4[[#This Row],[FMS ID]],FMS_Input[FMS_ID],FMS_Input[POP100])</f>
        <v>1</v>
      </c>
      <c r="S779" s="259">
        <f>(ASINH(FMS_Ranking4[[#This Row],[Pop at Risk Raw]]))*(10)/(ASINH(R$4))</f>
        <v>0.60846349886646833</v>
      </c>
      <c r="T779" s="257">
        <f>FMS_Ranking4[[#This Row],[Population at risk, ArcSinh (0-10)]]*R$5*10</f>
        <v>0.60846349886646833</v>
      </c>
      <c r="U779" s="259">
        <f>_xlfn.XLOOKUP(FMS_Ranking4[[#This Row],[FMS ID]],FMS_Input[FMS_ID],FMS_Input[CRITFAC100])</f>
        <v>0</v>
      </c>
      <c r="V779" s="259">
        <f>(ASINH(FMS_Ranking4[[#This Row],[Critical Facilities Raw]]))*(10)/(ASINH(U$4))</f>
        <v>0</v>
      </c>
      <c r="W779" s="257">
        <f>FMS_Ranking4[[#This Row],[Critical facilities at risk, ArcSinh (0-10)]]*U$5*10</f>
        <v>0</v>
      </c>
      <c r="X779" s="259">
        <f>_xlfn.XLOOKUP(FMS_Ranking4[[#This Row],[FMS ID]],FMS_Input[FMS_ID],FMS_Input[LWC])</f>
        <v>0</v>
      </c>
      <c r="Y779" s="259">
        <f>(ASINH(FMS_Ranking4[[#This Row],[LWC Raw]]))*(10)/(ASINH(X$4))</f>
        <v>0</v>
      </c>
      <c r="Z779" s="257">
        <f>FMS_Ranking4[[#This Row],[LWC, ArcSInh (0-10)]]*X$5*10</f>
        <v>0</v>
      </c>
      <c r="AA779" s="259">
        <f>_xlfn.XLOOKUP(FMS_Ranking4[[#This Row],[FMS ID]],FMS_Input[FMS_ID],FMS_Input[ROADCLS])</f>
        <v>0</v>
      </c>
      <c r="AB779" s="255">
        <f>(ASINH(FMS_Ranking4[[#This Row],[Road Closures Raw]]))*(10)/(ASINH(AA$4))</f>
        <v>0</v>
      </c>
      <c r="AC779" s="255">
        <f>FMS_Ranking4[[#This Row],[Road closures, ArcSinh (0-10)]]*AA$5*10</f>
        <v>0</v>
      </c>
      <c r="AD779" s="259">
        <f>_xlfn.XLOOKUP(FMS_Ranking4[[#This Row],[FMS ID]],FMS_Input[FMS_ID],FMS_Input[ROAD_MILES100])</f>
        <v>0</v>
      </c>
      <c r="AE779" s="259">
        <f>(ASINH(FMS_Ranking4[[#This Row],[Road Miles Raw]]))*(10)/(ASINH(AD$4))</f>
        <v>0</v>
      </c>
      <c r="AF779" s="257">
        <f>FMS_Ranking4[[#This Row],[Length of roads at risk, ArcSinh (0-10)]]*AD$5*10</f>
        <v>0</v>
      </c>
      <c r="AG779" s="259">
        <f>_xlfn.XLOOKUP(FMS_Ranking4[[#This Row],[FMS ID]],FMS_Input[FMS_ID],FMS_Input[FARMACRE100])</f>
        <v>0</v>
      </c>
      <c r="AH779" s="255">
        <f>(ASINH(FMS_Ranking4[[#This Row],[Ag Land Raw]]))*(10)/(ASINH(AG$4))</f>
        <v>0</v>
      </c>
      <c r="AI779" s="254">
        <f>FMS_Ranking4[[#This Row],[Farm &amp; ranch land, ArcSinh (0-10)]]*AG$5*10</f>
        <v>0</v>
      </c>
      <c r="AJ779" s="258">
        <f>_xlfn.XLOOKUP(FMS_Ranking4[[#This Row],[FMS ID]],FMS_Input[FMS_ID],FMS_Input[REDSTRUCT100])</f>
        <v>0</v>
      </c>
      <c r="AK779" s="253">
        <f>_xlfn.XLOOKUP(FMS_Ranking4[[#This Row],[FMS ID]],FMS_Input[FMS_ID],FMS_Input[REMSTRC100])</f>
        <v>0</v>
      </c>
      <c r="AL779" s="259">
        <f>(ASINH(FMS_Ranking4[[#This Row],[Structures Removed Raw]]))*(10)/(ASINH(AK$4))</f>
        <v>0</v>
      </c>
      <c r="AM779" s="254">
        <f>FMS_Ranking4[[#This Row],[Structures removed, ArcSinh (0-10)]]*AK$5*10</f>
        <v>0</v>
      </c>
      <c r="AN779" s="253">
        <f>_xlfn.XLOOKUP(FMS_Ranking4[[#This Row],[FMS ID]],FMS_Input[FMS_ID],FMS_Input[REMRESSTRC100])</f>
        <v>0</v>
      </c>
      <c r="AO779" s="258">
        <f>FMS_Ranking4[[#This Row],[ArcSinh Res struct removed 0-10]]*AN$5*10</f>
        <v>0</v>
      </c>
      <c r="AP779" s="254">
        <f>ASINH(FMS_Ranking4[[#This Row],[Residential Structures Removed Raw]])/AP$4*AN$5*100</f>
        <v>0</v>
      </c>
      <c r="AQ779" s="260">
        <f>(ASINH(FMS_Ranking4[[#This Row],[Residential Structures Removed Raw]]))*(10)/(ASINH(AN$4))</f>
        <v>0</v>
      </c>
      <c r="AR779" s="253">
        <f>_xlfn.XLOOKUP(FMS_Ranking4[[#This Row],[FMS ID]],FMS_Input[FMS_ID],FMS_Input[REMPOP100])</f>
        <v>0</v>
      </c>
      <c r="AS779" s="259">
        <f>(ASINH(FMS_Ranking4[[#This Row],[Removed Pop Raw]]))*(10)/(ASINH(AR$4))</f>
        <v>0</v>
      </c>
      <c r="AT779" s="263">
        <f>FMS_Ranking4[[#This Row],[Removed population, ArcSinh (0-10)]]*AR$5*10</f>
        <v>0</v>
      </c>
      <c r="AU779" s="264">
        <f>_xlfn.XLOOKUP(FMS_Ranking4[[#This Row],[FMS ID]],FMS_Input[FMS_ID],FMS_Input[REMCRITFAC100])</f>
        <v>0</v>
      </c>
      <c r="AV779" s="264">
        <f>_xlfn.XLOOKUP(FMS_Ranking4[[#This Row],[FMS ID]],FMS_Input[FMS_ID],FMS_Input[REMLWC100])</f>
        <v>0</v>
      </c>
      <c r="AW779" s="264">
        <f>_xlfn.XLOOKUP(FMS_Ranking4[[#This Row],[FMS ID]],FMS_Input[FMS_ID],FMS_Input[REMROADCLS])</f>
        <v>0</v>
      </c>
      <c r="AX779" s="264">
        <f>_xlfn.XLOOKUP(FMS_Ranking4[[#This Row],[FMS ID]],FMS_Input[FMS_ID],FMS_Input[REMFRMACRE100])</f>
        <v>0</v>
      </c>
      <c r="AY779" s="258">
        <f>_xlfn.XLOOKUP(FMS_Ranking4[[#This Row],[FMS ID]],FMS_Input[FMS_ID],FMS_Input[COSTSTRUCT])</f>
        <v>0</v>
      </c>
      <c r="AZ779" s="258">
        <f>_xlfn.XLOOKUP(FMS_Ranking4[[#This Row],[FMS ID]],FMS_Input[FMS_ID],FMS_Input[NATURE])</f>
        <v>0</v>
      </c>
      <c r="BA779" s="290">
        <f>(((FMS_Ranking4[[#This Row],[% NBS Raw]]/AZ$4)*100)*AZ$5)</f>
        <v>0</v>
      </c>
      <c r="BB779" s="251" t="str">
        <f>_xlfn.XLOOKUP(FMS_Ranking4[[#This Row],[FMS ID]],FMS_Input[FMS_ID],FMS_Input[WATER_SUP])</f>
        <v>No</v>
      </c>
      <c r="BC779" s="265">
        <f>IF(FMS_Ranking4[[#This Row],[Water Supply Raw]]="Yes",10,0)</f>
        <v>0</v>
      </c>
      <c r="BD779" s="251">
        <f>_xlfn.XLOOKUP(FMS_Ranking4[[#This Row],[FMS Type]],FMS_TYPE[FMS_Type],FMS_TYPE[Score])</f>
        <v>8</v>
      </c>
      <c r="BE779" s="267">
        <f>FMS_Ranking4[[#This Row],[FMS_Type Score]]*$BD$5*10</f>
        <v>2</v>
      </c>
      <c r="BF779"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1.896370933025152E-4</v>
      </c>
      <c r="BG779" s="269">
        <f>_xlfn.RANK.EQ(BF779,$BF$8:$BF$870,0)+COUNTIF($BF$8:BF779,BF779)-1</f>
        <v>776</v>
      </c>
      <c r="BH779" s="268">
        <f>(((FMS_Ranking4[[#This Row],[Structures Removed Raw]]/AK$4)*100)*AK$5)+(((FMS_Ranking4[[#This Row],[Removed Pop Raw]]/AR$4)*100)*AR$5)</f>
        <v>0</v>
      </c>
      <c r="BI77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2.0001896370933023</v>
      </c>
      <c r="BJ779" s="326">
        <f>_xlfn.RANK.EQ(FMS_Ranking4[[#This Row],[Total Score 
(with linear
normalization)]],FMS_Ranking4[Total Score 
(with linear
normalization)],0)</f>
        <v>478</v>
      </c>
      <c r="BK779" s="269" t="e">
        <f>_xlfn.XLOOKUP(FMS_Ranking4[[#This Row],[FMS ID]],#REF!,#REF!)</f>
        <v>#REF!</v>
      </c>
      <c r="BL779"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2.0380331707736579</v>
      </c>
      <c r="BM779" s="331">
        <f>FMS_Ranking4[[#This Row],[ArcSinh Score Based on Normalized Reported Factors]]+FMS_Ranking4[[#This Row],[% NBS Score (Normalized)]]+(FMS_Ranking4[[#This Row],[Water Supply Score (Normalized)]]*10*$BB$5)+FMS_Ranking4[[#This Row],[FMS_Type Score Weighted]]</f>
        <v>4.0380331707736579</v>
      </c>
      <c r="BN779" s="333">
        <f>_xlfn.RANK.EQ(FMS_Ranking4[[#This Row],[Total Score (with ArcSinh normalization of select criteria)]],FMS_Ranking4[Total Score (with ArcSinh normalization of select criteria)],0)</f>
        <v>772</v>
      </c>
      <c r="BO779" s="270" t="str">
        <f>_xlfn.XLOOKUP(FMS_Ranking4[[#This Row],[FMS ID]],FMS_Input[FMS_ID],FMS_Input[FMS_RANK_YEAR])</f>
        <v>2023 Amended Plan</v>
      </c>
      <c r="BP779" s="204">
        <f>_xlfn.XLOOKUP(FMS_Ranking4[[#This Row],[FMS ID]],Prev_Rank[FMS ID],Prev_Rank[Prev Rank])</f>
        <v>703</v>
      </c>
      <c r="BQ779" s="335" t="e">
        <f>_xlfn.XLOOKUP(FMS_Ranking4[[#This Row],[FMS ID]],#REF!,#REF!)</f>
        <v>#REF!</v>
      </c>
      <c r="BR779" s="199" t="e">
        <f>SUM(#REF!,#REF!,#REF!,#REF!,#REF!,#REF!,#REF!,#REF!,#REF!,FMS_Ranking4[[#This Row],[ArcSinh Res struct removed 0-10]],#REF!)</f>
        <v>#REF!</v>
      </c>
      <c r="BS779" s="199" t="e">
        <f>FMS_Ranking4[[#This Row],[Log Score Based on Normalized Reported Factors]]+FMS_Ranking4[[#This Row],[% NBS Score (Normalized)]]+(FMS_Ranking4[[#This Row],[Water Supply Score (Normalized)]]*10*$BB$5)+(FMS_Ranking4[[#This Row],[FMS_Type Score Weighted]])</f>
        <v>#REF!</v>
      </c>
      <c r="BT779" s="200" t="e">
        <f>_xlfn.RANK.EQ(FMS_Ranking4[[#This Row],[Log Total Score]],FMS_Ranking4[Log Total Score],0)</f>
        <v>#REF!</v>
      </c>
      <c r="BU779" s="200" t="e">
        <f>_xlfn.XLOOKUP(FMS_Ranking4[[#This Row],[FMS ID]],#REF!,#REF!)</f>
        <v>#REF!</v>
      </c>
      <c r="BV779" s="200">
        <f>FMS_Ranking4[[#This Row],[Region Number]]</f>
        <v>7</v>
      </c>
      <c r="BW779" s="200">
        <f>FMS_Ranking4[[#This Row],[Rank (with ArcSinh normalization of select criteria)]]-FMS_Ranking4[[#This Row],[Rank
(with linear
normalization)]]</f>
        <v>294</v>
      </c>
      <c r="BX779" s="200" t="e">
        <f>FMS_Ranking4[[#This Row],[Log Rank]]-FMS_Ranking4[[#This Row],[Rank
(with linear
normalization)]]</f>
        <v>#REF!</v>
      </c>
      <c r="BY779" s="200" t="str">
        <f>IF(FMS_Ranking4[[#This Row],[FMS Type]]="Flood Measurement and Warning",FMS_Ranking4[[#This Row],[Rank (with ArcSinh normalization of select criteria)]],"")</f>
        <v/>
      </c>
      <c r="BZ779" s="200">
        <f>IF(FMS_Ranking4[[#This Row],[FMS Type]]="Regulatory and Guidance",FMS_Ranking4[[#This Row],[Rank (with ArcSinh normalization of select criteria)]],"")</f>
        <v>772</v>
      </c>
      <c r="CA779" s="200" t="str">
        <f>IF(FMS_Ranking4[[#This Row],[FMS Type]]="Education and Outreach",FMS_Ranking4[[#This Row],[Rank (with ArcSinh normalization of select criteria)]],"")</f>
        <v/>
      </c>
      <c r="CB779" s="200" t="str">
        <f>IF(FMS_Ranking4[[#This Row],[FMS Type]]="Property Acquisition and Structural Elevation",FMS_Ranking4[[#This Row],[Rank (with ArcSinh normalization of select criteria)]],"")</f>
        <v/>
      </c>
      <c r="CC779" s="200" t="str">
        <f>IF(FMS_Ranking4[[#This Row],[FMS Type]]="Infrastructure Projects",FMS_Ranking4[[#This Row],[Rank (with ArcSinh normalization of select criteria)]],"")</f>
        <v/>
      </c>
      <c r="CD779" s="200" t="str">
        <f>IF(FMS_Ranking4[[#This Row],[FMS Type]]="Other",FMS_Ranking4[[#This Row],[Rank (with ArcSinh normalization of select criteria)]],"")</f>
        <v/>
      </c>
    </row>
    <row r="780" spans="2:82" ht="45" x14ac:dyDescent="0.25">
      <c r="B780" s="342" t="s">
        <v>3366</v>
      </c>
      <c r="C780" s="287">
        <f>_xlfn.XLOOKUP(FMS_Ranking4[[#This Row],[FMS ID]],FMS_Input[FMS_ID],FMS_Input[RFPG_NUM])</f>
        <v>7</v>
      </c>
      <c r="D780" s="309" t="str">
        <f>_xlfn.XLOOKUP(FMS_Ranking4[[#This Row],[FMS ID]],FMS_Input[FMS_ID],FMS_Input[FMS_NAME])</f>
        <v>McMillian Dam High Risk Repairs</v>
      </c>
      <c r="E780" s="322" t="str">
        <f>_xlfn.XLOOKUP(FMS_Ranking4[[#This Row],[FMS ID]],FMS_Input[FMS_ID],FMS_Input[SPONSOR])</f>
        <v>07000222</v>
      </c>
      <c r="F780" s="309" t="str">
        <f>_xlfn.XLOOKUP(FMS_Ranking4[[#This Row],[FMS ID]],Sponsor[FMS_ID],Sponsor[SPONSOR NAME])</f>
        <v>Lubbock</v>
      </c>
      <c r="G780" s="309" t="str">
        <f>_xlfn.XLOOKUP(FMS_Ranking4[[#This Row],[FMS ID]],FMS_Input[FMS_ID],FMS_Input[FMS_DESCR])</f>
        <v>Make repairs to McMillan Dam as identified as high risk by TCEQ to prevent failure.</v>
      </c>
      <c r="H780" s="247" t="str">
        <f>_xlfn.XLOOKUP(FMS_Ranking4[[#This Row],[FMS ID]],FMS_Input[FMS_ID],FMS_Input[FMS_TYPE])</f>
        <v>Infrastructure Projects</v>
      </c>
      <c r="I780" s="288">
        <f>_xlfn.XLOOKUP(FMS_Ranking4[[#This Row],[FMS ID]],FMS_Input[FMS_ID],FMS_Input[NRNC_COST])</f>
        <v>58000</v>
      </c>
      <c r="J780" s="250">
        <f>_xlfn.XLOOKUP(FMS_Ranking4[[#This Row],[FMS ID]],FMS_Input[FMS_ID],FMS_Input[FMS_COST])</f>
        <v>58000</v>
      </c>
      <c r="K780" s="289" t="str">
        <f>_xlfn.XLOOKUP(FMS_Ranking4[[#This Row],[FMS ID]],FMS_Input[FMS_ID],FMS_Input[EMER_NEED])</f>
        <v>No</v>
      </c>
      <c r="L780" s="252">
        <f t="shared" si="12"/>
        <v>0</v>
      </c>
      <c r="M780" s="253">
        <f>_xlfn.XLOOKUP(FMS_Ranking4[[#This Row],[FMS ID]],FMS_Input[FMS_ID],FMS_Input[STRUCT_100])</f>
        <v>3</v>
      </c>
      <c r="N780" s="255">
        <f>(ASINH(FMS_Ranking4[[#This Row],[Structure at Risk Raw]]))*(10)/(ASINH(M$4))</f>
        <v>1.4295696719071895</v>
      </c>
      <c r="O780" s="255">
        <f>FMS_Ranking4[[#This Row],[Structures at risk, ArcSinh (0-10)]]*M$5*10</f>
        <v>1.4295696719071895</v>
      </c>
      <c r="P780" s="259">
        <f>_xlfn.XLOOKUP(FMS_Ranking4[[#This Row],[FMS ID]],FMS_Input[FMS_ID],FMS_Input[RES_STRUCT100])</f>
        <v>3</v>
      </c>
      <c r="Q780" s="257">
        <f>ASINH(FMS_Ranking4[[#This Row],[Res Structure Raw]])/Q$4*P$5*100</f>
        <v>0</v>
      </c>
      <c r="R780" s="259">
        <f>_xlfn.XLOOKUP(FMS_Ranking4[[#This Row],[FMS ID]],FMS_Input[FMS_ID],FMS_Input[POP100])</f>
        <v>5</v>
      </c>
      <c r="S780" s="259">
        <f>(ASINH(FMS_Ranking4[[#This Row],[Pop at Risk Raw]]))*(10)/(ASINH(R$4))</f>
        <v>1.596410812356909</v>
      </c>
      <c r="T780" s="257">
        <f>FMS_Ranking4[[#This Row],[Population at risk, ArcSinh (0-10)]]*R$5*10</f>
        <v>1.596410812356909</v>
      </c>
      <c r="U780" s="259">
        <f>_xlfn.XLOOKUP(FMS_Ranking4[[#This Row],[FMS ID]],FMS_Input[FMS_ID],FMS_Input[CRITFAC100])</f>
        <v>0</v>
      </c>
      <c r="V780" s="259">
        <f>(ASINH(FMS_Ranking4[[#This Row],[Critical Facilities Raw]]))*(10)/(ASINH(U$4))</f>
        <v>0</v>
      </c>
      <c r="W780" s="257">
        <f>FMS_Ranking4[[#This Row],[Critical facilities at risk, ArcSinh (0-10)]]*U$5*10</f>
        <v>0</v>
      </c>
      <c r="X780" s="259">
        <f>_xlfn.XLOOKUP(FMS_Ranking4[[#This Row],[FMS ID]],FMS_Input[FMS_ID],FMS_Input[LWC])</f>
        <v>0</v>
      </c>
      <c r="Y780" s="259">
        <f>(ASINH(FMS_Ranking4[[#This Row],[LWC Raw]]))*(10)/(ASINH(X$4))</f>
        <v>0</v>
      </c>
      <c r="Z780" s="257">
        <f>FMS_Ranking4[[#This Row],[LWC, ArcSInh (0-10)]]*X$5*10</f>
        <v>0</v>
      </c>
      <c r="AA780" s="259">
        <f>_xlfn.XLOOKUP(FMS_Ranking4[[#This Row],[FMS ID]],FMS_Input[FMS_ID],FMS_Input[ROADCLS])</f>
        <v>0</v>
      </c>
      <c r="AB780" s="255">
        <f>(ASINH(FMS_Ranking4[[#This Row],[Road Closures Raw]]))*(10)/(ASINH(AA$4))</f>
        <v>0</v>
      </c>
      <c r="AC780" s="255">
        <f>FMS_Ranking4[[#This Row],[Road closures, ArcSinh (0-10)]]*AA$5*10</f>
        <v>0</v>
      </c>
      <c r="AD780" s="259">
        <f>_xlfn.XLOOKUP(FMS_Ranking4[[#This Row],[FMS ID]],FMS_Input[FMS_ID],FMS_Input[ROAD_MILES100])</f>
        <v>0</v>
      </c>
      <c r="AE780" s="259">
        <f>(ASINH(FMS_Ranking4[[#This Row],[Road Miles Raw]]))*(10)/(ASINH(AD$4))</f>
        <v>0</v>
      </c>
      <c r="AF780" s="257">
        <f>FMS_Ranking4[[#This Row],[Length of roads at risk, ArcSinh (0-10)]]*AD$5*10</f>
        <v>0</v>
      </c>
      <c r="AG780" s="259">
        <f>_xlfn.XLOOKUP(FMS_Ranking4[[#This Row],[FMS ID]],FMS_Input[FMS_ID],FMS_Input[FARMACRE100])</f>
        <v>0</v>
      </c>
      <c r="AH780" s="255">
        <f>(ASINH(FMS_Ranking4[[#This Row],[Ag Land Raw]]))*(10)/(ASINH(AG$4))</f>
        <v>0</v>
      </c>
      <c r="AI780" s="254">
        <f>FMS_Ranking4[[#This Row],[Farm &amp; ranch land, ArcSinh (0-10)]]*AG$5*10</f>
        <v>0</v>
      </c>
      <c r="AJ780" s="258">
        <f>_xlfn.XLOOKUP(FMS_Ranking4[[#This Row],[FMS ID]],FMS_Input[FMS_ID],FMS_Input[REDSTRUCT100])</f>
        <v>0</v>
      </c>
      <c r="AK780" s="253">
        <f>_xlfn.XLOOKUP(FMS_Ranking4[[#This Row],[FMS ID]],FMS_Input[FMS_ID],FMS_Input[REMSTRC100])</f>
        <v>0</v>
      </c>
      <c r="AL780" s="259">
        <f>(ASINH(FMS_Ranking4[[#This Row],[Structures Removed Raw]]))*(10)/(ASINH(AK$4))</f>
        <v>0</v>
      </c>
      <c r="AM780" s="254">
        <f>FMS_Ranking4[[#This Row],[Structures removed, ArcSinh (0-10)]]*AK$5*10</f>
        <v>0</v>
      </c>
      <c r="AN780" s="253">
        <f>_xlfn.XLOOKUP(FMS_Ranking4[[#This Row],[FMS ID]],FMS_Input[FMS_ID],FMS_Input[REMRESSTRC100])</f>
        <v>0</v>
      </c>
      <c r="AO780" s="258">
        <f>FMS_Ranking4[[#This Row],[ArcSinh Res struct removed 0-10]]*AN$5*10</f>
        <v>0</v>
      </c>
      <c r="AP780" s="254">
        <f>ASINH(FMS_Ranking4[[#This Row],[Residential Structures Removed Raw]])/AP$4*AN$5*100</f>
        <v>0</v>
      </c>
      <c r="AQ780" s="260">
        <f>(ASINH(FMS_Ranking4[[#This Row],[Residential Structures Removed Raw]]))*(10)/(ASINH(AN$4))</f>
        <v>0</v>
      </c>
      <c r="AR780" s="253">
        <f>_xlfn.XLOOKUP(FMS_Ranking4[[#This Row],[FMS ID]],FMS_Input[FMS_ID],FMS_Input[REMPOP100])</f>
        <v>0</v>
      </c>
      <c r="AS780" s="259">
        <f>(ASINH(FMS_Ranking4[[#This Row],[Removed Pop Raw]]))*(10)/(ASINH(AR$4))</f>
        <v>0</v>
      </c>
      <c r="AT780" s="263">
        <f>FMS_Ranking4[[#This Row],[Removed population, ArcSinh (0-10)]]*AR$5*10</f>
        <v>0</v>
      </c>
      <c r="AU780" s="264">
        <f>_xlfn.XLOOKUP(FMS_Ranking4[[#This Row],[FMS ID]],FMS_Input[FMS_ID],FMS_Input[REMCRITFAC100])</f>
        <v>0</v>
      </c>
      <c r="AV780" s="264">
        <f>_xlfn.XLOOKUP(FMS_Ranking4[[#This Row],[FMS ID]],FMS_Input[FMS_ID],FMS_Input[REMLWC100])</f>
        <v>0</v>
      </c>
      <c r="AW780" s="264">
        <f>_xlfn.XLOOKUP(FMS_Ranking4[[#This Row],[FMS ID]],FMS_Input[FMS_ID],FMS_Input[REMROADCLS])</f>
        <v>0</v>
      </c>
      <c r="AX780" s="264">
        <f>_xlfn.XLOOKUP(FMS_Ranking4[[#This Row],[FMS ID]],FMS_Input[FMS_ID],FMS_Input[REMFRMACRE100])</f>
        <v>0</v>
      </c>
      <c r="AY780" s="258">
        <f>_xlfn.XLOOKUP(FMS_Ranking4[[#This Row],[FMS ID]],FMS_Input[FMS_ID],FMS_Input[COSTSTRUCT])</f>
        <v>0</v>
      </c>
      <c r="AZ780" s="258">
        <f>_xlfn.XLOOKUP(FMS_Ranking4[[#This Row],[FMS ID]],FMS_Input[FMS_ID],FMS_Input[NATURE])</f>
        <v>0</v>
      </c>
      <c r="BA780" s="290">
        <f>(((FMS_Ranking4[[#This Row],[% NBS Raw]]/AZ$4)*100)*AZ$5)</f>
        <v>0</v>
      </c>
      <c r="BB780" s="251" t="str">
        <f>_xlfn.XLOOKUP(FMS_Ranking4[[#This Row],[FMS ID]],FMS_Input[FMS_ID],FMS_Input[WATER_SUP])</f>
        <v>No</v>
      </c>
      <c r="BC780" s="265">
        <f>IF(FMS_Ranking4[[#This Row],[Water Supply Raw]]="Yes",10,0)</f>
        <v>0</v>
      </c>
      <c r="BD780" s="251">
        <f>_xlfn.XLOOKUP(FMS_Ranking4[[#This Row],[FMS Type]],FMS_TYPE[FMS_Type],FMS_TYPE[Score])</f>
        <v>4</v>
      </c>
      <c r="BE780" s="267">
        <f>FMS_Ranking4[[#This Row],[FMS_Type Score]]*$BD$5*10</f>
        <v>1</v>
      </c>
      <c r="BF780"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2.3058512206441061E-4</v>
      </c>
      <c r="BG780" s="271">
        <f>_xlfn.RANK.EQ(BF780,$BF$8:$BF$870,0)+COUNTIF($BF$8:BF780,BF780)-1</f>
        <v>770</v>
      </c>
      <c r="BH780" s="268">
        <f>(((FMS_Ranking4[[#This Row],[Structures Removed Raw]]/AK$4)*100)*AK$5)+(((FMS_Ranking4[[#This Row],[Removed Pop Raw]]/AR$4)*100)*AR$5)</f>
        <v>0</v>
      </c>
      <c r="BI78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1.0002305851220643</v>
      </c>
      <c r="BJ780" s="325">
        <f>_xlfn.RANK.EQ(FMS_Ranking4[[#This Row],[Total Score 
(with linear
normalization)]],FMS_Ranking4[Total Score 
(with linear
normalization)],0)</f>
        <v>742</v>
      </c>
      <c r="BK780" s="327" t="e">
        <f>_xlfn.XLOOKUP(FMS_Ranking4[[#This Row],[FMS ID]],#REF!,#REF!)</f>
        <v>#REF!</v>
      </c>
      <c r="BL780"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3.0259804842640987</v>
      </c>
      <c r="BM780" s="330">
        <f>FMS_Ranking4[[#This Row],[ArcSinh Score Based on Normalized Reported Factors]]+FMS_Ranking4[[#This Row],[% NBS Score (Normalized)]]+(FMS_Ranking4[[#This Row],[Water Supply Score (Normalized)]]*10*$BB$5)+FMS_Ranking4[[#This Row],[FMS_Type Score Weighted]]</f>
        <v>4.0259804842640987</v>
      </c>
      <c r="BN780" s="332">
        <f>_xlfn.RANK.EQ(FMS_Ranking4[[#This Row],[Total Score (with ArcSinh normalization of select criteria)]],FMS_Ranking4[Total Score (with ArcSinh normalization of select criteria)],0)</f>
        <v>773</v>
      </c>
      <c r="BO780" s="270" t="str">
        <f>_xlfn.XLOOKUP(FMS_Ranking4[[#This Row],[FMS ID]],FMS_Input[FMS_ID],FMS_Input[FMS_RANK_YEAR])</f>
        <v>2023 Amended Plan</v>
      </c>
      <c r="BP780" s="204">
        <f>_xlfn.XLOOKUP(FMS_Ranking4[[#This Row],[FMS ID]],Prev_Rank[FMS ID],Prev_Rank[Prev Rank])</f>
        <v>702</v>
      </c>
      <c r="BQ780" s="334" t="e">
        <f>_xlfn.XLOOKUP(FMS_Ranking4[[#This Row],[FMS ID]],#REF!,#REF!)</f>
        <v>#REF!</v>
      </c>
      <c r="BR780" s="199" t="e">
        <f>SUM(#REF!,#REF!,#REF!,#REF!,#REF!,#REF!,#REF!,#REF!,#REF!,FMS_Ranking4[[#This Row],[ArcSinh Res struct removed 0-10]],#REF!)</f>
        <v>#REF!</v>
      </c>
      <c r="BS780" s="199" t="e">
        <f>FMS_Ranking4[[#This Row],[Log Score Based on Normalized Reported Factors]]+FMS_Ranking4[[#This Row],[% NBS Score (Normalized)]]+(FMS_Ranking4[[#This Row],[Water Supply Score (Normalized)]]*10*$BB$5)+(FMS_Ranking4[[#This Row],[FMS_Type Score Weighted]])</f>
        <v>#REF!</v>
      </c>
      <c r="BT780" s="200" t="e">
        <f>_xlfn.RANK.EQ(FMS_Ranking4[[#This Row],[Log Total Score]],FMS_Ranking4[Log Total Score],0)</f>
        <v>#REF!</v>
      </c>
      <c r="BU780" s="200" t="e">
        <f>_xlfn.XLOOKUP(FMS_Ranking4[[#This Row],[FMS ID]],#REF!,#REF!)</f>
        <v>#REF!</v>
      </c>
      <c r="BV780" s="200">
        <f>FMS_Ranking4[[#This Row],[Region Number]]</f>
        <v>7</v>
      </c>
      <c r="BW780" s="200">
        <f>FMS_Ranking4[[#This Row],[Rank (with ArcSinh normalization of select criteria)]]-FMS_Ranking4[[#This Row],[Rank
(with linear
normalization)]]</f>
        <v>31</v>
      </c>
      <c r="BX780" s="200" t="e">
        <f>FMS_Ranking4[[#This Row],[Log Rank]]-FMS_Ranking4[[#This Row],[Rank
(with linear
normalization)]]</f>
        <v>#REF!</v>
      </c>
      <c r="BY780" s="200" t="str">
        <f>IF(FMS_Ranking4[[#This Row],[FMS Type]]="Flood Measurement and Warning",FMS_Ranking4[[#This Row],[Rank (with ArcSinh normalization of select criteria)]],"")</f>
        <v/>
      </c>
      <c r="BZ780" s="200" t="str">
        <f>IF(FMS_Ranking4[[#This Row],[FMS Type]]="Regulatory and Guidance",FMS_Ranking4[[#This Row],[Rank (with ArcSinh normalization of select criteria)]],"")</f>
        <v/>
      </c>
      <c r="CA780" s="200" t="str">
        <f>IF(FMS_Ranking4[[#This Row],[FMS Type]]="Education and Outreach",FMS_Ranking4[[#This Row],[Rank (with ArcSinh normalization of select criteria)]],"")</f>
        <v/>
      </c>
      <c r="CB780" s="200" t="str">
        <f>IF(FMS_Ranking4[[#This Row],[FMS Type]]="Property Acquisition and Structural Elevation",FMS_Ranking4[[#This Row],[Rank (with ArcSinh normalization of select criteria)]],"")</f>
        <v/>
      </c>
      <c r="CC780" s="200">
        <f>IF(FMS_Ranking4[[#This Row],[FMS Type]]="Infrastructure Projects",FMS_Ranking4[[#This Row],[Rank (with ArcSinh normalization of select criteria)]],"")</f>
        <v>773</v>
      </c>
      <c r="CD780" s="200" t="str">
        <f>IF(FMS_Ranking4[[#This Row],[FMS Type]]="Other",FMS_Ranking4[[#This Row],[Rank (with ArcSinh normalization of select criteria)]],"")</f>
        <v/>
      </c>
    </row>
    <row r="781" spans="2:82" ht="75" x14ac:dyDescent="0.25">
      <c r="B781" s="342" t="s">
        <v>3346</v>
      </c>
      <c r="C781" s="287">
        <f>_xlfn.XLOOKUP(FMS_Ranking4[[#This Row],[FMS ID]],FMS_Input[FMS_ID],FMS_Input[RFPG_NUM])</f>
        <v>7</v>
      </c>
      <c r="D781" s="309" t="str">
        <f>_xlfn.XLOOKUP(FMS_Ranking4[[#This Row],[FMS ID]],FMS_Input[FMS_ID],FMS_Input[FMS_NAME])</f>
        <v>John T. Montford Dam Rehab</v>
      </c>
      <c r="E781" s="322" t="str">
        <f>_xlfn.XLOOKUP(FMS_Ranking4[[#This Row],[FMS ID]],FMS_Input[FMS_ID],FMS_Input[SPONSOR])</f>
        <v>00000183, 07000222</v>
      </c>
      <c r="F781" s="309" t="str">
        <f>_xlfn.XLOOKUP(FMS_Ranking4[[#This Row],[FMS ID]],Sponsor[FMS_ID],Sponsor[SPONSOR NAME])</f>
        <v>Garza, Lubbock</v>
      </c>
      <c r="G781" s="309" t="str">
        <f>_xlfn.XLOOKUP(FMS_Ranking4[[#This Row],[FMS ID]],FMS_Input[FMS_ID],FMS_Input[FMS_DESCR])</f>
        <v>Enhance lake capacity and harden dam structure.  Placeholder for anticipated construction cost.  Detailed costs following FME.</v>
      </c>
      <c r="H781" s="247" t="str">
        <f>_xlfn.XLOOKUP(FMS_Ranking4[[#This Row],[FMS ID]],FMS_Input[FMS_ID],FMS_Input[FMS_TYPE])</f>
        <v>Infrastructure Projects</v>
      </c>
      <c r="I781" s="288">
        <f>_xlfn.XLOOKUP(FMS_Ranking4[[#This Row],[FMS ID]],FMS_Input[FMS_ID],FMS_Input[NRNC_COST])</f>
        <v>4500000</v>
      </c>
      <c r="J781" s="250">
        <f>_xlfn.XLOOKUP(FMS_Ranking4[[#This Row],[FMS ID]],FMS_Input[FMS_ID],FMS_Input[FMS_COST])</f>
        <v>4950000</v>
      </c>
      <c r="K781" s="289" t="str">
        <f>_xlfn.XLOOKUP(FMS_Ranking4[[#This Row],[FMS ID]],FMS_Input[FMS_ID],FMS_Input[EMER_NEED])</f>
        <v>No</v>
      </c>
      <c r="L781" s="252">
        <f t="shared" si="12"/>
        <v>0</v>
      </c>
      <c r="M781" s="253">
        <f>_xlfn.XLOOKUP(FMS_Ranking4[[#This Row],[FMS ID]],FMS_Input[FMS_ID],FMS_Input[STRUCT_100])</f>
        <v>2</v>
      </c>
      <c r="N781" s="255">
        <f>(ASINH(FMS_Ranking4[[#This Row],[Structure at Risk Raw]]))*(10)/(ASINH(M$4))</f>
        <v>1.134912431502926</v>
      </c>
      <c r="O781" s="255">
        <f>FMS_Ranking4[[#This Row],[Structures at risk, ArcSinh (0-10)]]*M$5*10</f>
        <v>1.134912431502926</v>
      </c>
      <c r="P781" s="259">
        <f>_xlfn.XLOOKUP(FMS_Ranking4[[#This Row],[FMS ID]],FMS_Input[FMS_ID],FMS_Input[RES_STRUCT100])</f>
        <v>0</v>
      </c>
      <c r="Q781" s="257">
        <f>ASINH(FMS_Ranking4[[#This Row],[Res Structure Raw]])/Q$4*P$5*100</f>
        <v>0</v>
      </c>
      <c r="R781" s="259">
        <f>_xlfn.XLOOKUP(FMS_Ranking4[[#This Row],[FMS ID]],FMS_Input[FMS_ID],FMS_Input[POP100])</f>
        <v>0</v>
      </c>
      <c r="S781" s="255">
        <f>(ASINH(FMS_Ranking4[[#This Row],[Pop at Risk Raw]]))*(10)/(ASINH(R$4))</f>
        <v>0</v>
      </c>
      <c r="T781" s="257">
        <f>FMS_Ranking4[[#This Row],[Population at risk, ArcSinh (0-10)]]*R$5*10</f>
        <v>0</v>
      </c>
      <c r="U781" s="259">
        <f>_xlfn.XLOOKUP(FMS_Ranking4[[#This Row],[FMS ID]],FMS_Input[FMS_ID],FMS_Input[CRITFAC100])</f>
        <v>0</v>
      </c>
      <c r="V781" s="255">
        <f>(ASINH(FMS_Ranking4[[#This Row],[Critical Facilities Raw]]))*(10)/(ASINH(U$4))</f>
        <v>0</v>
      </c>
      <c r="W781" s="257">
        <f>FMS_Ranking4[[#This Row],[Critical facilities at risk, ArcSinh (0-10)]]*U$5*10</f>
        <v>0</v>
      </c>
      <c r="X781" s="259">
        <f>_xlfn.XLOOKUP(FMS_Ranking4[[#This Row],[FMS ID]],FMS_Input[FMS_ID],FMS_Input[LWC])</f>
        <v>0</v>
      </c>
      <c r="Y781" s="255">
        <f>(ASINH(FMS_Ranking4[[#This Row],[LWC Raw]]))*(10)/(ASINH(X$4))</f>
        <v>0</v>
      </c>
      <c r="Z781" s="257">
        <f>FMS_Ranking4[[#This Row],[LWC, ArcSInh (0-10)]]*X$5*10</f>
        <v>0</v>
      </c>
      <c r="AA781" s="259">
        <f>_xlfn.XLOOKUP(FMS_Ranking4[[#This Row],[FMS ID]],FMS_Input[FMS_ID],FMS_Input[ROADCLS])</f>
        <v>0</v>
      </c>
      <c r="AB781" s="255">
        <f>(ASINH(FMS_Ranking4[[#This Row],[Road Closures Raw]]))*(10)/(ASINH(AA$4))</f>
        <v>0</v>
      </c>
      <c r="AC781" s="255">
        <f>FMS_Ranking4[[#This Row],[Road closures, ArcSinh (0-10)]]*AA$5*10</f>
        <v>0</v>
      </c>
      <c r="AD781" s="259">
        <f>_xlfn.XLOOKUP(FMS_Ranking4[[#This Row],[FMS ID]],FMS_Input[FMS_ID],FMS_Input[ROAD_MILES100])</f>
        <v>0</v>
      </c>
      <c r="AE781" s="255">
        <f>(ASINH(FMS_Ranking4[[#This Row],[Road Miles Raw]]))*(10)/(ASINH(AD$4))</f>
        <v>0</v>
      </c>
      <c r="AF781" s="257">
        <f>FMS_Ranking4[[#This Row],[Length of roads at risk, ArcSinh (0-10)]]*AD$5*10</f>
        <v>0</v>
      </c>
      <c r="AG781" s="259">
        <f>_xlfn.XLOOKUP(FMS_Ranking4[[#This Row],[FMS ID]],FMS_Input[FMS_ID],FMS_Input[FARMACRE100])</f>
        <v>140.4732971191406</v>
      </c>
      <c r="AH781" s="255">
        <f>(ASINH(FMS_Ranking4[[#This Row],[Ag Land Raw]]))*(10)/(ASINH(AG$4))</f>
        <v>3.6624554715618864</v>
      </c>
      <c r="AI781" s="254">
        <f>FMS_Ranking4[[#This Row],[Farm &amp; ranch land, ArcSinh (0-10)]]*AG$5*10</f>
        <v>1.8312277357809434</v>
      </c>
      <c r="AJ781" s="258">
        <f>_xlfn.XLOOKUP(FMS_Ranking4[[#This Row],[FMS ID]],FMS_Input[FMS_ID],FMS_Input[REDSTRUCT100])</f>
        <v>0</v>
      </c>
      <c r="AK781" s="253">
        <f>_xlfn.XLOOKUP(FMS_Ranking4[[#This Row],[FMS ID]],FMS_Input[FMS_ID],FMS_Input[REMSTRC100])</f>
        <v>0</v>
      </c>
      <c r="AL781" s="255">
        <f>(ASINH(FMS_Ranking4[[#This Row],[Structures Removed Raw]]))*(10)/(ASINH(AK$4))</f>
        <v>0</v>
      </c>
      <c r="AM781" s="254">
        <f>FMS_Ranking4[[#This Row],[Structures removed, ArcSinh (0-10)]]*AK$5*10</f>
        <v>0</v>
      </c>
      <c r="AN781" s="253">
        <f>_xlfn.XLOOKUP(FMS_Ranking4[[#This Row],[FMS ID]],FMS_Input[FMS_ID],FMS_Input[REMRESSTRC100])</f>
        <v>0</v>
      </c>
      <c r="AO781" s="258">
        <f>FMS_Ranking4[[#This Row],[ArcSinh Res struct removed 0-10]]*AN$5*10</f>
        <v>0</v>
      </c>
      <c r="AP781" s="254">
        <f>ASINH(FMS_Ranking4[[#This Row],[Residential Structures Removed Raw]])/AP$4*AN$5*100</f>
        <v>0</v>
      </c>
      <c r="AQ781" s="261">
        <f>(ASINH(FMS_Ranking4[[#This Row],[Residential Structures Removed Raw]]))*(10)/(ASINH(AN$4))</f>
        <v>0</v>
      </c>
      <c r="AR781" s="253">
        <f>_xlfn.XLOOKUP(FMS_Ranking4[[#This Row],[FMS ID]],FMS_Input[FMS_ID],FMS_Input[REMPOP100])</f>
        <v>0</v>
      </c>
      <c r="AS781" s="255">
        <f>(ASINH(FMS_Ranking4[[#This Row],[Removed Pop Raw]]))*(10)/(ASINH(AR$4))</f>
        <v>0</v>
      </c>
      <c r="AT781" s="263">
        <f>FMS_Ranking4[[#This Row],[Removed population, ArcSinh (0-10)]]*AR$5*10</f>
        <v>0</v>
      </c>
      <c r="AU781" s="264">
        <f>_xlfn.XLOOKUP(FMS_Ranking4[[#This Row],[FMS ID]],FMS_Input[FMS_ID],FMS_Input[REMCRITFAC100])</f>
        <v>0</v>
      </c>
      <c r="AV781" s="264">
        <f>_xlfn.XLOOKUP(FMS_Ranking4[[#This Row],[FMS ID]],FMS_Input[FMS_ID],FMS_Input[REMLWC100])</f>
        <v>0</v>
      </c>
      <c r="AW781" s="264">
        <f>_xlfn.XLOOKUP(FMS_Ranking4[[#This Row],[FMS ID]],FMS_Input[FMS_ID],FMS_Input[REMROADCLS])</f>
        <v>0</v>
      </c>
      <c r="AX781" s="264">
        <f>_xlfn.XLOOKUP(FMS_Ranking4[[#This Row],[FMS ID]],FMS_Input[FMS_ID],FMS_Input[REMFRMACRE100])</f>
        <v>0</v>
      </c>
      <c r="AY781" s="258">
        <f>_xlfn.XLOOKUP(FMS_Ranking4[[#This Row],[FMS ID]],FMS_Input[FMS_ID],FMS_Input[COSTSTRUCT])</f>
        <v>0</v>
      </c>
      <c r="AZ781" s="258">
        <f>_xlfn.XLOOKUP(FMS_Ranking4[[#This Row],[FMS ID]],FMS_Input[FMS_ID],FMS_Input[NATURE])</f>
        <v>0</v>
      </c>
      <c r="BA781" s="290">
        <f>(((FMS_Ranking4[[#This Row],[% NBS Raw]]/AZ$4)*100)*AZ$5)</f>
        <v>0</v>
      </c>
      <c r="BB781" s="251" t="str">
        <f>_xlfn.XLOOKUP(FMS_Ranking4[[#This Row],[FMS ID]],FMS_Input[FMS_ID],FMS_Input[WATER_SUP])</f>
        <v>No</v>
      </c>
      <c r="BC781" s="265">
        <f>IF(FMS_Ranking4[[#This Row],[Water Supply Raw]]="Yes",10,0)</f>
        <v>0</v>
      </c>
      <c r="BD781" s="251">
        <f>_xlfn.XLOOKUP(FMS_Ranking4[[#This Row],[FMS Type]],FMS_TYPE[FMS_Type],FMS_TYPE[Score])</f>
        <v>4</v>
      </c>
      <c r="BE781" s="267">
        <f>FMS_Ranking4[[#This Row],[FMS_Type Score]]*$BD$5*10</f>
        <v>1</v>
      </c>
      <c r="BF781"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4.0922455460605436E-4</v>
      </c>
      <c r="BG781" s="321">
        <f>_xlfn.RANK.EQ(BF781,$BF$8:$BF$870,0)+COUNTIF($BF$8:BF781,BF781)-1</f>
        <v>760</v>
      </c>
      <c r="BH781" s="294">
        <f>(((FMS_Ranking4[[#This Row],[Structures Removed Raw]]/AK$4)*100)*AK$5)+(((FMS_Ranking4[[#This Row],[Removed Pop Raw]]/AR$4)*100)*AR$5)</f>
        <v>0</v>
      </c>
      <c r="BI78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1.0004092245546061</v>
      </c>
      <c r="BJ781" s="296">
        <f>_xlfn.RANK.EQ(FMS_Ranking4[[#This Row],[Total Score 
(with linear
normalization)]],FMS_Ranking4[Total Score 
(with linear
normalization)],0)</f>
        <v>741</v>
      </c>
      <c r="BK781" s="292" t="e">
        <f>_xlfn.XLOOKUP(FMS_Ranking4[[#This Row],[FMS ID]],#REF!,#REF!)</f>
        <v>#REF!</v>
      </c>
      <c r="BL781"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2.9661401672838696</v>
      </c>
      <c r="BM781" s="298">
        <f>FMS_Ranking4[[#This Row],[ArcSinh Score Based on Normalized Reported Factors]]+FMS_Ranking4[[#This Row],[% NBS Score (Normalized)]]+(FMS_Ranking4[[#This Row],[Water Supply Score (Normalized)]]*10*$BB$5)+FMS_Ranking4[[#This Row],[FMS_Type Score Weighted]]</f>
        <v>3.9661401672838696</v>
      </c>
      <c r="BN781" s="323">
        <f>_xlfn.RANK.EQ(FMS_Ranking4[[#This Row],[Total Score (with ArcSinh normalization of select criteria)]],FMS_Ranking4[Total Score (with ArcSinh normalization of select criteria)],0)</f>
        <v>774</v>
      </c>
      <c r="BO781" s="270" t="str">
        <f>_xlfn.XLOOKUP(FMS_Ranking4[[#This Row],[FMS ID]],FMS_Input[FMS_ID],FMS_Input[FMS_RANK_YEAR])</f>
        <v>2023 Amended Plan</v>
      </c>
      <c r="BP781" s="204">
        <f>_xlfn.XLOOKUP(FMS_Ranking4[[#This Row],[FMS ID]],Prev_Rank[FMS ID],Prev_Rank[Prev Rank])</f>
        <v>705</v>
      </c>
      <c r="BQ781" s="265" t="e">
        <f>_xlfn.XLOOKUP(FMS_Ranking4[[#This Row],[FMS ID]],#REF!,#REF!)</f>
        <v>#REF!</v>
      </c>
      <c r="BR781" s="199" t="e">
        <f>SUM(#REF!,#REF!,#REF!,#REF!,#REF!,#REF!,#REF!,#REF!,#REF!,FMS_Ranking4[[#This Row],[ArcSinh Res struct removed 0-10]],#REF!)</f>
        <v>#REF!</v>
      </c>
      <c r="BS781" s="199" t="e">
        <f>FMS_Ranking4[[#This Row],[Log Score Based on Normalized Reported Factors]]+FMS_Ranking4[[#This Row],[% NBS Score (Normalized)]]+(FMS_Ranking4[[#This Row],[Water Supply Score (Normalized)]]*10*$BB$5)+(FMS_Ranking4[[#This Row],[FMS_Type Score Weighted]])</f>
        <v>#REF!</v>
      </c>
      <c r="BT781" s="200" t="e">
        <f>_xlfn.RANK.EQ(FMS_Ranking4[[#This Row],[Log Total Score]],FMS_Ranking4[Log Total Score],0)</f>
        <v>#REF!</v>
      </c>
      <c r="BU781" s="200" t="e">
        <f>_xlfn.XLOOKUP(FMS_Ranking4[[#This Row],[FMS ID]],#REF!,#REF!)</f>
        <v>#REF!</v>
      </c>
      <c r="BV781" s="200">
        <f>FMS_Ranking4[[#This Row],[Region Number]]</f>
        <v>7</v>
      </c>
      <c r="BW781" s="200">
        <f>FMS_Ranking4[[#This Row],[Rank (with ArcSinh normalization of select criteria)]]-FMS_Ranking4[[#This Row],[Rank
(with linear
normalization)]]</f>
        <v>33</v>
      </c>
      <c r="BX781" s="200" t="e">
        <f>FMS_Ranking4[[#This Row],[Log Rank]]-FMS_Ranking4[[#This Row],[Rank
(with linear
normalization)]]</f>
        <v>#REF!</v>
      </c>
      <c r="BY781" s="200" t="str">
        <f>IF(FMS_Ranking4[[#This Row],[FMS Type]]="Flood Measurement and Warning",FMS_Ranking4[[#This Row],[Rank (with ArcSinh normalization of select criteria)]],"")</f>
        <v/>
      </c>
      <c r="BZ781" s="200" t="str">
        <f>IF(FMS_Ranking4[[#This Row],[FMS Type]]="Regulatory and Guidance",FMS_Ranking4[[#This Row],[Rank (with ArcSinh normalization of select criteria)]],"")</f>
        <v/>
      </c>
      <c r="CA781" s="200" t="str">
        <f>IF(FMS_Ranking4[[#This Row],[FMS Type]]="Education and Outreach",FMS_Ranking4[[#This Row],[Rank (with ArcSinh normalization of select criteria)]],"")</f>
        <v/>
      </c>
      <c r="CB781" s="200" t="str">
        <f>IF(FMS_Ranking4[[#This Row],[FMS Type]]="Property Acquisition and Structural Elevation",FMS_Ranking4[[#This Row],[Rank (with ArcSinh normalization of select criteria)]],"")</f>
        <v/>
      </c>
      <c r="CC781" s="200">
        <f>IF(FMS_Ranking4[[#This Row],[FMS Type]]="Infrastructure Projects",FMS_Ranking4[[#This Row],[Rank (with ArcSinh normalization of select criteria)]],"")</f>
        <v>774</v>
      </c>
      <c r="CD781" s="200" t="str">
        <f>IF(FMS_Ranking4[[#This Row],[FMS Type]]="Other",FMS_Ranking4[[#This Row],[Rank (with ArcSinh normalization of select criteria)]],"")</f>
        <v/>
      </c>
    </row>
    <row r="782" spans="2:82" ht="135" x14ac:dyDescent="0.25">
      <c r="B782" s="342" t="s">
        <v>3778</v>
      </c>
      <c r="C782" s="287">
        <f>_xlfn.XLOOKUP(FMS_Ranking4[[#This Row],[FMS ID]],FMS_Input[FMS_ID],FMS_Input[RFPG_NUM])</f>
        <v>13</v>
      </c>
      <c r="D782" s="309" t="str">
        <f>_xlfn.XLOOKUP(FMS_Ranking4[[#This Row],[FMS ID]],FMS_Input[FMS_ID],FMS_Input[FMS_NAME])</f>
        <v>Shell Point Ranch Wetlands Protection</v>
      </c>
      <c r="E782" s="322" t="str">
        <f>_xlfn.XLOOKUP(FMS_Ranking4[[#This Row],[FMS ID]],FMS_Input[FMS_ID],FMS_Input[SPONSOR])</f>
        <v>00003593</v>
      </c>
      <c r="F782" s="309" t="str">
        <f>_xlfn.XLOOKUP(FMS_Ranking4[[#This Row],[FMS ID]],Sponsor[FMS_ID],Sponsor[SPONSOR NAME])</f>
        <v>Texas Parks and Wildlife Department</v>
      </c>
      <c r="G782" s="309" t="str">
        <f>_xlfn.XLOOKUP(FMS_Ranking4[[#This Row],[FMS ID]],FMS_Input[FMS_ID],FMS_Input[FMS_DESCR])</f>
        <v>Texas Coastal Resiliency Master Plan - R3-5: Acquisition of approx 400 acres of coastal habitats and the southernmost extents of mima mounds at Shell Point Ranch. The acquisition also would mitigate flooding and storm surge damage to the area.</v>
      </c>
      <c r="H782" s="247" t="str">
        <f>_xlfn.XLOOKUP(FMS_Ranking4[[#This Row],[FMS ID]],FMS_Input[FMS_ID],FMS_Input[FMS_TYPE])</f>
        <v>Property Acquisition and Structural Elevation</v>
      </c>
      <c r="I782" s="288">
        <f>_xlfn.XLOOKUP(FMS_Ranking4[[#This Row],[FMS ID]],FMS_Input[FMS_ID],FMS_Input[NRNC_COST])</f>
        <v>100000</v>
      </c>
      <c r="J782" s="250">
        <f>_xlfn.XLOOKUP(FMS_Ranking4[[#This Row],[FMS ID]],FMS_Input[FMS_ID],FMS_Input[FMS_COST])</f>
        <v>5100000</v>
      </c>
      <c r="K782" s="289" t="str">
        <f>_xlfn.XLOOKUP(FMS_Ranking4[[#This Row],[FMS ID]],FMS_Input[FMS_ID],FMS_Input[EMER_NEED])</f>
        <v>Yes</v>
      </c>
      <c r="L782" s="252">
        <f t="shared" si="12"/>
        <v>1</v>
      </c>
      <c r="M782" s="253">
        <f>_xlfn.XLOOKUP(FMS_Ranking4[[#This Row],[FMS ID]],FMS_Input[FMS_ID],FMS_Input[STRUCT_100])</f>
        <v>1</v>
      </c>
      <c r="N782" s="255">
        <f>(ASINH(FMS_Ranking4[[#This Row],[Structure at Risk Raw]]))*(10)/(ASINH(M$4))</f>
        <v>0.69289087024057039</v>
      </c>
      <c r="O782" s="255">
        <f>FMS_Ranking4[[#This Row],[Structures at risk, ArcSinh (0-10)]]*M$5*10</f>
        <v>0.6928908702405705</v>
      </c>
      <c r="P782" s="259">
        <f>_xlfn.XLOOKUP(FMS_Ranking4[[#This Row],[FMS ID]],FMS_Input[FMS_ID],FMS_Input[RES_STRUCT100])</f>
        <v>1</v>
      </c>
      <c r="Q782" s="257">
        <f>ASINH(FMS_Ranking4[[#This Row],[Res Structure Raw]])/Q$4*P$5*100</f>
        <v>0</v>
      </c>
      <c r="R782" s="259">
        <f>_xlfn.XLOOKUP(FMS_Ranking4[[#This Row],[FMS ID]],FMS_Input[FMS_ID],FMS_Input[POP100])</f>
        <v>1</v>
      </c>
      <c r="S782" s="259">
        <f>(ASINH(FMS_Ranking4[[#This Row],[Pop at Risk Raw]]))*(10)/(ASINH(R$4))</f>
        <v>0.60846349886646833</v>
      </c>
      <c r="T782" s="257">
        <f>FMS_Ranking4[[#This Row],[Population at risk, ArcSinh (0-10)]]*R$5*10</f>
        <v>0.60846349886646833</v>
      </c>
      <c r="U782" s="259">
        <f>_xlfn.XLOOKUP(FMS_Ranking4[[#This Row],[FMS ID]],FMS_Input[FMS_ID],FMS_Input[CRITFAC100])</f>
        <v>0</v>
      </c>
      <c r="V782" s="259">
        <f>(ASINH(FMS_Ranking4[[#This Row],[Critical Facilities Raw]]))*(10)/(ASINH(U$4))</f>
        <v>0</v>
      </c>
      <c r="W782" s="257">
        <f>FMS_Ranking4[[#This Row],[Critical facilities at risk, ArcSinh (0-10)]]*U$5*10</f>
        <v>0</v>
      </c>
      <c r="X782" s="259">
        <f>_xlfn.XLOOKUP(FMS_Ranking4[[#This Row],[FMS ID]],FMS_Input[FMS_ID],FMS_Input[LWC])</f>
        <v>0</v>
      </c>
      <c r="Y782" s="259">
        <f>(ASINH(FMS_Ranking4[[#This Row],[LWC Raw]]))*(10)/(ASINH(X$4))</f>
        <v>0</v>
      </c>
      <c r="Z782" s="257">
        <f>FMS_Ranking4[[#This Row],[LWC, ArcSInh (0-10)]]*X$5*10</f>
        <v>0</v>
      </c>
      <c r="AA782" s="259">
        <f>_xlfn.XLOOKUP(FMS_Ranking4[[#This Row],[FMS ID]],FMS_Input[FMS_ID],FMS_Input[ROADCLS])</f>
        <v>0</v>
      </c>
      <c r="AB782" s="255">
        <f>(ASINH(FMS_Ranking4[[#This Row],[Road Closures Raw]]))*(10)/(ASINH(AA$4))</f>
        <v>0</v>
      </c>
      <c r="AC782" s="255">
        <f>FMS_Ranking4[[#This Row],[Road closures, ArcSinh (0-10)]]*AA$5*10</f>
        <v>0</v>
      </c>
      <c r="AD782" s="259">
        <f>_xlfn.XLOOKUP(FMS_Ranking4[[#This Row],[FMS ID]],FMS_Input[FMS_ID],FMS_Input[ROAD_MILES100])</f>
        <v>1</v>
      </c>
      <c r="AE782" s="259">
        <f>(ASINH(FMS_Ranking4[[#This Row],[Road Miles Raw]]))*(10)/(ASINH(AD$4))</f>
        <v>0.9393017565219649</v>
      </c>
      <c r="AF782" s="257">
        <f>FMS_Ranking4[[#This Row],[Length of roads at risk, ArcSinh (0-10)]]*AD$5*10</f>
        <v>0.93930175652196501</v>
      </c>
      <c r="AG782" s="259">
        <f>_xlfn.XLOOKUP(FMS_Ranking4[[#This Row],[FMS ID]],FMS_Input[FMS_ID],FMS_Input[FARMACRE100])</f>
        <v>4.5507192611694336</v>
      </c>
      <c r="AH782" s="255">
        <f>(ASINH(FMS_Ranking4[[#This Row],[Ag Land Raw]]))*(10)/(ASINH(AG$4))</f>
        <v>1.4422602694022548</v>
      </c>
      <c r="AI782" s="254">
        <f>FMS_Ranking4[[#This Row],[Farm &amp; ranch land, ArcSinh (0-10)]]*AG$5*10</f>
        <v>0.72113013470112741</v>
      </c>
      <c r="AJ782" s="258">
        <f>_xlfn.XLOOKUP(FMS_Ranking4[[#This Row],[FMS ID]],FMS_Input[FMS_ID],FMS_Input[REDSTRUCT100])</f>
        <v>0</v>
      </c>
      <c r="AK782" s="253">
        <f>_xlfn.XLOOKUP(FMS_Ranking4[[#This Row],[FMS ID]],FMS_Input[FMS_ID],FMS_Input[REMSTRC100])</f>
        <v>0</v>
      </c>
      <c r="AL782" s="259">
        <f>(ASINH(FMS_Ranking4[[#This Row],[Structures Removed Raw]]))*(10)/(ASINH(AK$4))</f>
        <v>0</v>
      </c>
      <c r="AM782" s="254">
        <f>FMS_Ranking4[[#This Row],[Structures removed, ArcSinh (0-10)]]*AK$5*10</f>
        <v>0</v>
      </c>
      <c r="AN782" s="253">
        <f>_xlfn.XLOOKUP(FMS_Ranking4[[#This Row],[FMS ID]],FMS_Input[FMS_ID],FMS_Input[REMRESSTRC100])</f>
        <v>0</v>
      </c>
      <c r="AO782" s="258">
        <f>FMS_Ranking4[[#This Row],[ArcSinh Res struct removed 0-10]]*AN$5*10</f>
        <v>0</v>
      </c>
      <c r="AP782" s="254">
        <f>ASINH(FMS_Ranking4[[#This Row],[Residential Structures Removed Raw]])/AP$4*AN$5*100</f>
        <v>0</v>
      </c>
      <c r="AQ782" s="260">
        <f>(ASINH(FMS_Ranking4[[#This Row],[Residential Structures Removed Raw]]))*(10)/(ASINH(AN$4))</f>
        <v>0</v>
      </c>
      <c r="AR782" s="253">
        <f>_xlfn.XLOOKUP(FMS_Ranking4[[#This Row],[FMS ID]],FMS_Input[FMS_ID],FMS_Input[REMPOP100])</f>
        <v>0</v>
      </c>
      <c r="AS782" s="259">
        <f>(ASINH(FMS_Ranking4[[#This Row],[Removed Pop Raw]]))*(10)/(ASINH(AR$4))</f>
        <v>0</v>
      </c>
      <c r="AT782" s="263">
        <f>FMS_Ranking4[[#This Row],[Removed population, ArcSinh (0-10)]]*AR$5*10</f>
        <v>0</v>
      </c>
      <c r="AU782" s="264">
        <f>_xlfn.XLOOKUP(FMS_Ranking4[[#This Row],[FMS ID]],FMS_Input[FMS_ID],FMS_Input[REMCRITFAC100])</f>
        <v>0</v>
      </c>
      <c r="AV782" s="264">
        <f>_xlfn.XLOOKUP(FMS_Ranking4[[#This Row],[FMS ID]],FMS_Input[FMS_ID],FMS_Input[REMLWC100])</f>
        <v>0</v>
      </c>
      <c r="AW782" s="264">
        <f>_xlfn.XLOOKUP(FMS_Ranking4[[#This Row],[FMS ID]],FMS_Input[FMS_ID],FMS_Input[REMROADCLS])</f>
        <v>0</v>
      </c>
      <c r="AX782" s="264">
        <f>_xlfn.XLOOKUP(FMS_Ranking4[[#This Row],[FMS ID]],FMS_Input[FMS_ID],FMS_Input[REMFRMACRE100])</f>
        <v>0</v>
      </c>
      <c r="AY782" s="258">
        <f>_xlfn.XLOOKUP(FMS_Ranking4[[#This Row],[FMS ID]],FMS_Input[FMS_ID],FMS_Input[COSTSTRUCT])</f>
        <v>0</v>
      </c>
      <c r="AZ782" s="258">
        <f>_xlfn.XLOOKUP(FMS_Ranking4[[#This Row],[FMS ID]],FMS_Input[FMS_ID],FMS_Input[NATURE])</f>
        <v>0</v>
      </c>
      <c r="BA782" s="290">
        <f>(((FMS_Ranking4[[#This Row],[% NBS Raw]]/AZ$4)*100)*AZ$5)</f>
        <v>0</v>
      </c>
      <c r="BB782" s="251" t="str">
        <f>_xlfn.XLOOKUP(FMS_Ranking4[[#This Row],[FMS ID]],FMS_Input[FMS_ID],FMS_Input[WATER_SUP])</f>
        <v>No</v>
      </c>
      <c r="BC782" s="265">
        <f>IF(FMS_Ranking4[[#This Row],[Water Supply Raw]]="Yes",10,0)</f>
        <v>0</v>
      </c>
      <c r="BD782" s="251">
        <f>_xlfn.XLOOKUP(FMS_Ranking4[[#This Row],[FMS Type]],FMS_TYPE[FMS_Type],FMS_TYPE[Score])</f>
        <v>4</v>
      </c>
      <c r="BE782" s="267">
        <f>FMS_Ranking4[[#This Row],[FMS_Type Score]]*$BD$5*10</f>
        <v>1</v>
      </c>
      <c r="BF782"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1.7617883756809729E-3</v>
      </c>
      <c r="BG782" s="269">
        <f>_xlfn.RANK.EQ(BF782,$BF$8:$BF$870,0)+COUNTIF($BF$8:BF782,BF782)-1</f>
        <v>731</v>
      </c>
      <c r="BH782" s="268">
        <f>(((FMS_Ranking4[[#This Row],[Structures Removed Raw]]/AK$4)*100)*AK$5)+(((FMS_Ranking4[[#This Row],[Removed Pop Raw]]/AR$4)*100)*AR$5)</f>
        <v>0</v>
      </c>
      <c r="BI78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1.0017617883756811</v>
      </c>
      <c r="BJ782" s="326">
        <f>_xlfn.RANK.EQ(FMS_Ranking4[[#This Row],[Total Score 
(with linear
normalization)]],FMS_Ranking4[Total Score 
(with linear
normalization)],0)</f>
        <v>738</v>
      </c>
      <c r="BK782" s="269" t="e">
        <f>_xlfn.XLOOKUP(FMS_Ranking4[[#This Row],[FMS ID]],#REF!,#REF!)</f>
        <v>#REF!</v>
      </c>
      <c r="BL782"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2.9617862603301308</v>
      </c>
      <c r="BM782" s="331">
        <f>FMS_Ranking4[[#This Row],[ArcSinh Score Based on Normalized Reported Factors]]+FMS_Ranking4[[#This Row],[% NBS Score (Normalized)]]+(FMS_Ranking4[[#This Row],[Water Supply Score (Normalized)]]*10*$BB$5)+FMS_Ranking4[[#This Row],[FMS_Type Score Weighted]]</f>
        <v>3.9617862603301308</v>
      </c>
      <c r="BN782" s="333">
        <f>_xlfn.RANK.EQ(FMS_Ranking4[[#This Row],[Total Score (with ArcSinh normalization of select criteria)]],FMS_Ranking4[Total Score (with ArcSinh normalization of select criteria)],0)</f>
        <v>775</v>
      </c>
      <c r="BO782" s="270" t="str">
        <f>_xlfn.XLOOKUP(FMS_Ranking4[[#This Row],[FMS ID]],FMS_Input[FMS_ID],FMS_Input[FMS_RANK_YEAR])</f>
        <v>2023 Amended Plan</v>
      </c>
      <c r="BP782" s="204">
        <f>_xlfn.XLOOKUP(FMS_Ranking4[[#This Row],[FMS ID]],Prev_Rank[FMS ID],Prev_Rank[Prev Rank])</f>
        <v>704</v>
      </c>
      <c r="BQ782" s="335" t="e">
        <f>_xlfn.XLOOKUP(FMS_Ranking4[[#This Row],[FMS ID]],#REF!,#REF!)</f>
        <v>#REF!</v>
      </c>
      <c r="BR782" s="199" t="e">
        <f>SUM(#REF!,#REF!,#REF!,#REF!,#REF!,#REF!,#REF!,#REF!,#REF!,FMS_Ranking4[[#This Row],[ArcSinh Res struct removed 0-10]],#REF!)</f>
        <v>#REF!</v>
      </c>
      <c r="BS782" s="199" t="e">
        <f>FMS_Ranking4[[#This Row],[Log Score Based on Normalized Reported Factors]]+FMS_Ranking4[[#This Row],[% NBS Score (Normalized)]]+(FMS_Ranking4[[#This Row],[Water Supply Score (Normalized)]]*10*$BB$5)+(FMS_Ranking4[[#This Row],[FMS_Type Score Weighted]])</f>
        <v>#REF!</v>
      </c>
      <c r="BT782" s="200" t="e">
        <f>_xlfn.RANK.EQ(FMS_Ranking4[[#This Row],[Log Total Score]],FMS_Ranking4[Log Total Score],0)</f>
        <v>#REF!</v>
      </c>
      <c r="BU782" s="200" t="e">
        <f>_xlfn.XLOOKUP(FMS_Ranking4[[#This Row],[FMS ID]],#REF!,#REF!)</f>
        <v>#REF!</v>
      </c>
      <c r="BV782" s="200">
        <f>FMS_Ranking4[[#This Row],[Region Number]]</f>
        <v>13</v>
      </c>
      <c r="BW782" s="200">
        <f>FMS_Ranking4[[#This Row],[Rank (with ArcSinh normalization of select criteria)]]-FMS_Ranking4[[#This Row],[Rank
(with linear
normalization)]]</f>
        <v>37</v>
      </c>
      <c r="BX782" s="200" t="e">
        <f>FMS_Ranking4[[#This Row],[Log Rank]]-FMS_Ranking4[[#This Row],[Rank
(with linear
normalization)]]</f>
        <v>#REF!</v>
      </c>
      <c r="BY782" s="200" t="str">
        <f>IF(FMS_Ranking4[[#This Row],[FMS Type]]="Flood Measurement and Warning",FMS_Ranking4[[#This Row],[Rank (with ArcSinh normalization of select criteria)]],"")</f>
        <v/>
      </c>
      <c r="BZ782" s="200" t="str">
        <f>IF(FMS_Ranking4[[#This Row],[FMS Type]]="Regulatory and Guidance",FMS_Ranking4[[#This Row],[Rank (with ArcSinh normalization of select criteria)]],"")</f>
        <v/>
      </c>
      <c r="CA782" s="200" t="str">
        <f>IF(FMS_Ranking4[[#This Row],[FMS Type]]="Education and Outreach",FMS_Ranking4[[#This Row],[Rank (with ArcSinh normalization of select criteria)]],"")</f>
        <v/>
      </c>
      <c r="CB782" s="200">
        <f>IF(FMS_Ranking4[[#This Row],[FMS Type]]="Property Acquisition and Structural Elevation",FMS_Ranking4[[#This Row],[Rank (with ArcSinh normalization of select criteria)]],"")</f>
        <v>775</v>
      </c>
      <c r="CC782" s="200" t="str">
        <f>IF(FMS_Ranking4[[#This Row],[FMS Type]]="Infrastructure Projects",FMS_Ranking4[[#This Row],[Rank (with ArcSinh normalization of select criteria)]],"")</f>
        <v/>
      </c>
      <c r="CD782" s="200" t="str">
        <f>IF(FMS_Ranking4[[#This Row],[FMS Type]]="Other",FMS_Ranking4[[#This Row],[Rank (with ArcSinh normalization of select criteria)]],"")</f>
        <v/>
      </c>
    </row>
    <row r="783" spans="2:82" ht="30" x14ac:dyDescent="0.25">
      <c r="B783" s="342" t="s">
        <v>1089</v>
      </c>
      <c r="C783" s="287">
        <f>_xlfn.XLOOKUP(FMS_Ranking4[[#This Row],[FMS ID]],FMS_Input[FMS_ID],FMS_Input[RFPG_NUM])</f>
        <v>1</v>
      </c>
      <c r="D783" s="309" t="str">
        <f>_xlfn.XLOOKUP(FMS_Ranking4[[#This Row],[FMS ID]],FMS_Input[FMS_ID],FMS_Input[FMS_NAME])</f>
        <v>Quitaque NFIP Involvement</v>
      </c>
      <c r="E783" s="322" t="str">
        <f>_xlfn.XLOOKUP(FMS_Ranking4[[#This Row],[FMS ID]],FMS_Input[FMS_ID],FMS_Input[SPONSOR])</f>
        <v>01002682</v>
      </c>
      <c r="F783" s="309" t="str">
        <f>_xlfn.XLOOKUP(FMS_Ranking4[[#This Row],[FMS ID]],Sponsor[FMS_ID],Sponsor[SPONSOR NAME])</f>
        <v>Quitaque</v>
      </c>
      <c r="G783" s="309" t="str">
        <f>_xlfn.XLOOKUP(FMS_Ranking4[[#This Row],[FMS ID]],FMS_Input[FMS_ID],FMS_Input[FMS_DESCR])</f>
        <v>Application to join NFIP or adopt equivalent standards</v>
      </c>
      <c r="H783" s="247" t="str">
        <f>_xlfn.XLOOKUP(FMS_Ranking4[[#This Row],[FMS ID]],FMS_Input[FMS_ID],FMS_Input[FMS_TYPE])</f>
        <v>Regulatory and Guidance</v>
      </c>
      <c r="I783" s="288">
        <f>_xlfn.XLOOKUP(FMS_Ranking4[[#This Row],[FMS ID]],FMS_Input[FMS_ID],FMS_Input[NRNC_COST])</f>
        <v>100000</v>
      </c>
      <c r="J783" s="250">
        <f>_xlfn.XLOOKUP(FMS_Ranking4[[#This Row],[FMS ID]],FMS_Input[FMS_ID],FMS_Input[FMS_COST])</f>
        <v>100000</v>
      </c>
      <c r="K783" s="289" t="str">
        <f>_xlfn.XLOOKUP(FMS_Ranking4[[#This Row],[FMS ID]],FMS_Input[FMS_ID],FMS_Input[EMER_NEED])</f>
        <v>No</v>
      </c>
      <c r="L783" s="252">
        <f t="shared" si="12"/>
        <v>0</v>
      </c>
      <c r="M783" s="253">
        <f>_xlfn.XLOOKUP(FMS_Ranking4[[#This Row],[FMS ID]],FMS_Input[FMS_ID],FMS_Input[STRUCT_100])</f>
        <v>2</v>
      </c>
      <c r="N783" s="255">
        <f>(ASINH(FMS_Ranking4[[#This Row],[Structure at Risk Raw]]))*(10)/(ASINH(M$4))</f>
        <v>1.134912431502926</v>
      </c>
      <c r="O783" s="255">
        <f>FMS_Ranking4[[#This Row],[Structures at risk, ArcSinh (0-10)]]*M$5*10</f>
        <v>1.134912431502926</v>
      </c>
      <c r="P783" s="259">
        <f>_xlfn.XLOOKUP(FMS_Ranking4[[#This Row],[FMS ID]],FMS_Input[FMS_ID],FMS_Input[RES_STRUCT100])</f>
        <v>0</v>
      </c>
      <c r="Q783" s="257">
        <f>ASINH(FMS_Ranking4[[#This Row],[Res Structure Raw]])/Q$4*P$5*100</f>
        <v>0</v>
      </c>
      <c r="R783" s="259">
        <f>_xlfn.XLOOKUP(FMS_Ranking4[[#This Row],[FMS ID]],FMS_Input[FMS_ID],FMS_Input[POP100])</f>
        <v>1</v>
      </c>
      <c r="S783" s="255">
        <f>(ASINH(FMS_Ranking4[[#This Row],[Pop at Risk Raw]]))*(10)/(ASINH(R$4))</f>
        <v>0.60846349886646833</v>
      </c>
      <c r="T783" s="257">
        <f>FMS_Ranking4[[#This Row],[Population at risk, ArcSinh (0-10)]]*R$5*10</f>
        <v>0.60846349886646833</v>
      </c>
      <c r="U783" s="259">
        <f>_xlfn.XLOOKUP(FMS_Ranking4[[#This Row],[FMS ID]],FMS_Input[FMS_ID],FMS_Input[CRITFAC100])</f>
        <v>0</v>
      </c>
      <c r="V783" s="255">
        <f>(ASINH(FMS_Ranking4[[#This Row],[Critical Facilities Raw]]))*(10)/(ASINH(U$4))</f>
        <v>0</v>
      </c>
      <c r="W783" s="257">
        <f>FMS_Ranking4[[#This Row],[Critical facilities at risk, ArcSinh (0-10)]]*U$5*10</f>
        <v>0</v>
      </c>
      <c r="X783" s="259">
        <f>_xlfn.XLOOKUP(FMS_Ranking4[[#This Row],[FMS ID]],FMS_Input[FMS_ID],FMS_Input[LWC])</f>
        <v>0</v>
      </c>
      <c r="Y783" s="255">
        <f>(ASINH(FMS_Ranking4[[#This Row],[LWC Raw]]))*(10)/(ASINH(X$4))</f>
        <v>0</v>
      </c>
      <c r="Z783" s="257">
        <f>FMS_Ranking4[[#This Row],[LWC, ArcSInh (0-10)]]*X$5*10</f>
        <v>0</v>
      </c>
      <c r="AA783" s="259">
        <f>_xlfn.XLOOKUP(FMS_Ranking4[[#This Row],[FMS ID]],FMS_Input[FMS_ID],FMS_Input[ROADCLS])</f>
        <v>0</v>
      </c>
      <c r="AB783" s="255">
        <f>(ASINH(FMS_Ranking4[[#This Row],[Road Closures Raw]]))*(10)/(ASINH(AA$4))</f>
        <v>0</v>
      </c>
      <c r="AC783" s="255">
        <f>FMS_Ranking4[[#This Row],[Road closures, ArcSinh (0-10)]]*AA$5*10</f>
        <v>0</v>
      </c>
      <c r="AD783" s="259">
        <f>_xlfn.XLOOKUP(FMS_Ranking4[[#This Row],[FMS ID]],FMS_Input[FMS_ID],FMS_Input[ROAD_MILES100])</f>
        <v>0</v>
      </c>
      <c r="AE783" s="255">
        <f>(ASINH(FMS_Ranking4[[#This Row],[Road Miles Raw]]))*(10)/(ASINH(AD$4))</f>
        <v>0</v>
      </c>
      <c r="AF783" s="257">
        <f>FMS_Ranking4[[#This Row],[Length of roads at risk, ArcSinh (0-10)]]*AD$5*10</f>
        <v>0</v>
      </c>
      <c r="AG783" s="259">
        <f>_xlfn.XLOOKUP(FMS_Ranking4[[#This Row],[FMS ID]],FMS_Input[FMS_ID],FMS_Input[FARMACRE100])</f>
        <v>0.2907356321811676</v>
      </c>
      <c r="AH783" s="255">
        <f>(ASINH(FMS_Ranking4[[#This Row],[Ag Land Raw]]))*(10)/(ASINH(AG$4))</f>
        <v>0.18629227928898032</v>
      </c>
      <c r="AI783" s="254">
        <f>FMS_Ranking4[[#This Row],[Farm &amp; ranch land, ArcSinh (0-10)]]*AG$5*10</f>
        <v>9.3146139644490172E-2</v>
      </c>
      <c r="AJ783" s="258">
        <f>_xlfn.XLOOKUP(FMS_Ranking4[[#This Row],[FMS ID]],FMS_Input[FMS_ID],FMS_Input[REDSTRUCT100])</f>
        <v>0</v>
      </c>
      <c r="AK783" s="253">
        <f>_xlfn.XLOOKUP(FMS_Ranking4[[#This Row],[FMS ID]],FMS_Input[FMS_ID],FMS_Input[REMSTRC100])</f>
        <v>0</v>
      </c>
      <c r="AL783" s="255">
        <f>(ASINH(FMS_Ranking4[[#This Row],[Structures Removed Raw]]))*(10)/(ASINH(AK$4))</f>
        <v>0</v>
      </c>
      <c r="AM783" s="254">
        <f>FMS_Ranking4[[#This Row],[Structures removed, ArcSinh (0-10)]]*AK$5*10</f>
        <v>0</v>
      </c>
      <c r="AN783" s="253">
        <f>_xlfn.XLOOKUP(FMS_Ranking4[[#This Row],[FMS ID]],FMS_Input[FMS_ID],FMS_Input[REMRESSTRC100])</f>
        <v>0</v>
      </c>
      <c r="AO783" s="258">
        <f>FMS_Ranking4[[#This Row],[ArcSinh Res struct removed 0-10]]*AN$5*10</f>
        <v>0</v>
      </c>
      <c r="AP783" s="254">
        <f>ASINH(FMS_Ranking4[[#This Row],[Residential Structures Removed Raw]])/AP$4*AN$5*100</f>
        <v>0</v>
      </c>
      <c r="AQ783" s="261">
        <f>(ASINH(FMS_Ranking4[[#This Row],[Residential Structures Removed Raw]]))*(10)/(ASINH(AN$4))</f>
        <v>0</v>
      </c>
      <c r="AR783" s="253">
        <f>_xlfn.XLOOKUP(FMS_Ranking4[[#This Row],[FMS ID]],FMS_Input[FMS_ID],FMS_Input[REMPOP100])</f>
        <v>0</v>
      </c>
      <c r="AS783" s="255">
        <f>(ASINH(FMS_Ranking4[[#This Row],[Removed Pop Raw]]))*(10)/(ASINH(AR$4))</f>
        <v>0</v>
      </c>
      <c r="AT783" s="263">
        <f>FMS_Ranking4[[#This Row],[Removed population, ArcSinh (0-10)]]*AR$5*10</f>
        <v>0</v>
      </c>
      <c r="AU783" s="264">
        <f>_xlfn.XLOOKUP(FMS_Ranking4[[#This Row],[FMS ID]],FMS_Input[FMS_ID],FMS_Input[REMCRITFAC100])</f>
        <v>0</v>
      </c>
      <c r="AV783" s="264">
        <f>_xlfn.XLOOKUP(FMS_Ranking4[[#This Row],[FMS ID]],FMS_Input[FMS_ID],FMS_Input[REMLWC100])</f>
        <v>0</v>
      </c>
      <c r="AW783" s="264">
        <f>_xlfn.XLOOKUP(FMS_Ranking4[[#This Row],[FMS ID]],FMS_Input[FMS_ID],FMS_Input[REMROADCLS])</f>
        <v>0</v>
      </c>
      <c r="AX783" s="264">
        <f>_xlfn.XLOOKUP(FMS_Ranking4[[#This Row],[FMS ID]],FMS_Input[FMS_ID],FMS_Input[REMFRMACRE100])</f>
        <v>0</v>
      </c>
      <c r="AY783" s="258">
        <f>_xlfn.XLOOKUP(FMS_Ranking4[[#This Row],[FMS ID]],FMS_Input[FMS_ID],FMS_Input[COSTSTRUCT])</f>
        <v>0</v>
      </c>
      <c r="AZ783" s="258">
        <f>_xlfn.XLOOKUP(FMS_Ranking4[[#This Row],[FMS ID]],FMS_Input[FMS_ID],FMS_Input[NATURE])</f>
        <v>0</v>
      </c>
      <c r="BA783" s="290">
        <f>(((FMS_Ranking4[[#This Row],[% NBS Raw]]/AZ$4)*100)*AZ$5)</f>
        <v>0</v>
      </c>
      <c r="BB783" s="251" t="str">
        <f>_xlfn.XLOOKUP(FMS_Ranking4[[#This Row],[FMS ID]],FMS_Input[FMS_ID],FMS_Input[WATER_SUP])</f>
        <v>No</v>
      </c>
      <c r="BC783" s="265">
        <f>IF(FMS_Ranking4[[#This Row],[Water Supply Raw]]="Yes",10,0)</f>
        <v>0</v>
      </c>
      <c r="BD783" s="251">
        <f>_xlfn.XLOOKUP(FMS_Ranking4[[#This Row],[FMS Type]],FMS_TYPE[FMS_Type],FMS_TYPE[Score])</f>
        <v>8</v>
      </c>
      <c r="BE783" s="267">
        <f>FMS_Ranking4[[#This Row],[FMS_Type Score]]*$BD$5*10</f>
        <v>2</v>
      </c>
      <c r="BF783"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1.3043649639810247E-4</v>
      </c>
      <c r="BG783" s="321">
        <f>_xlfn.RANK.EQ(BF783,$BF$8:$BF$870,0)+COUNTIF($BF$8:BF783,BF783)-1</f>
        <v>777</v>
      </c>
      <c r="BH783" s="294">
        <f>(((FMS_Ranking4[[#This Row],[Structures Removed Raw]]/AK$4)*100)*AK$5)+(((FMS_Ranking4[[#This Row],[Removed Pop Raw]]/AR$4)*100)*AR$5)</f>
        <v>0</v>
      </c>
      <c r="BI78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2.0001304364963981</v>
      </c>
      <c r="BJ783" s="296">
        <f>_xlfn.RANK.EQ(FMS_Ranking4[[#This Row],[Total Score 
(with linear
normalization)]],FMS_Ranking4[Total Score 
(with linear
normalization)],0)</f>
        <v>479</v>
      </c>
      <c r="BK783" s="292" t="e">
        <f>_xlfn.XLOOKUP(FMS_Ranking4[[#This Row],[FMS ID]],#REF!,#REF!)</f>
        <v>#REF!</v>
      </c>
      <c r="BL783"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1.8365220700138845</v>
      </c>
      <c r="BM783" s="298">
        <f>FMS_Ranking4[[#This Row],[ArcSinh Score Based on Normalized Reported Factors]]+FMS_Ranking4[[#This Row],[% NBS Score (Normalized)]]+(FMS_Ranking4[[#This Row],[Water Supply Score (Normalized)]]*10*$BB$5)+FMS_Ranking4[[#This Row],[FMS_Type Score Weighted]]</f>
        <v>3.8365220700138845</v>
      </c>
      <c r="BN783" s="323">
        <f>_xlfn.RANK.EQ(FMS_Ranking4[[#This Row],[Total Score (with ArcSinh normalization of select criteria)]],FMS_Ranking4[Total Score (with ArcSinh normalization of select criteria)],0)</f>
        <v>776</v>
      </c>
      <c r="BO783" s="270" t="str">
        <f>_xlfn.XLOOKUP(FMS_Ranking4[[#This Row],[FMS ID]],FMS_Input[FMS_ID],FMS_Input[FMS_RANK_YEAR])</f>
        <v>2023 Amended Plan</v>
      </c>
      <c r="BP783" s="204">
        <f>_xlfn.XLOOKUP(FMS_Ranking4[[#This Row],[FMS ID]],Prev_Rank[FMS ID],Prev_Rank[Prev Rank])</f>
        <v>706</v>
      </c>
      <c r="BQ783" s="265" t="e">
        <f>_xlfn.XLOOKUP(FMS_Ranking4[[#This Row],[FMS ID]],#REF!,#REF!)</f>
        <v>#REF!</v>
      </c>
      <c r="BR783" s="199" t="e">
        <f>SUM(#REF!,#REF!,#REF!,#REF!,#REF!,#REF!,#REF!,#REF!,#REF!,FMS_Ranking4[[#This Row],[ArcSinh Res struct removed 0-10]],#REF!)</f>
        <v>#REF!</v>
      </c>
      <c r="BS783" s="199" t="e">
        <f>FMS_Ranking4[[#This Row],[Log Score Based on Normalized Reported Factors]]+FMS_Ranking4[[#This Row],[% NBS Score (Normalized)]]+(FMS_Ranking4[[#This Row],[Water Supply Score (Normalized)]]*10*$BB$5)+(FMS_Ranking4[[#This Row],[FMS_Type Score Weighted]])</f>
        <v>#REF!</v>
      </c>
      <c r="BT783" s="200" t="e">
        <f>_xlfn.RANK.EQ(FMS_Ranking4[[#This Row],[Log Total Score]],FMS_Ranking4[Log Total Score],0)</f>
        <v>#REF!</v>
      </c>
      <c r="BU783" s="200" t="e">
        <f>_xlfn.XLOOKUP(FMS_Ranking4[[#This Row],[FMS ID]],#REF!,#REF!)</f>
        <v>#REF!</v>
      </c>
      <c r="BV783" s="200">
        <f>FMS_Ranking4[[#This Row],[Region Number]]</f>
        <v>1</v>
      </c>
      <c r="BW783" s="200">
        <f>FMS_Ranking4[[#This Row],[Rank (with ArcSinh normalization of select criteria)]]-FMS_Ranking4[[#This Row],[Rank
(with linear
normalization)]]</f>
        <v>297</v>
      </c>
      <c r="BX783" s="200" t="e">
        <f>FMS_Ranking4[[#This Row],[Log Rank]]-FMS_Ranking4[[#This Row],[Rank
(with linear
normalization)]]</f>
        <v>#REF!</v>
      </c>
      <c r="BY783" s="200" t="str">
        <f>IF(FMS_Ranking4[[#This Row],[FMS Type]]="Flood Measurement and Warning",FMS_Ranking4[[#This Row],[Rank (with ArcSinh normalization of select criteria)]],"")</f>
        <v/>
      </c>
      <c r="BZ783" s="200">
        <f>IF(FMS_Ranking4[[#This Row],[FMS Type]]="Regulatory and Guidance",FMS_Ranking4[[#This Row],[Rank (with ArcSinh normalization of select criteria)]],"")</f>
        <v>776</v>
      </c>
      <c r="CA783" s="200" t="str">
        <f>IF(FMS_Ranking4[[#This Row],[FMS Type]]="Education and Outreach",FMS_Ranking4[[#This Row],[Rank (with ArcSinh normalization of select criteria)]],"")</f>
        <v/>
      </c>
      <c r="CB783" s="200" t="str">
        <f>IF(FMS_Ranking4[[#This Row],[FMS Type]]="Property Acquisition and Structural Elevation",FMS_Ranking4[[#This Row],[Rank (with ArcSinh normalization of select criteria)]],"")</f>
        <v/>
      </c>
      <c r="CC783" s="200" t="str">
        <f>IF(FMS_Ranking4[[#This Row],[FMS Type]]="Infrastructure Projects",FMS_Ranking4[[#This Row],[Rank (with ArcSinh normalization of select criteria)]],"")</f>
        <v/>
      </c>
      <c r="CD783" s="200" t="str">
        <f>IF(FMS_Ranking4[[#This Row],[FMS Type]]="Other",FMS_Ranking4[[#This Row],[Rank (with ArcSinh normalization of select criteria)]],"")</f>
        <v/>
      </c>
    </row>
    <row r="784" spans="2:82" ht="45" x14ac:dyDescent="0.25">
      <c r="B784" s="342" t="s">
        <v>2427</v>
      </c>
      <c r="C784" s="287">
        <f>_xlfn.XLOOKUP(FMS_Ranking4[[#This Row],[FMS ID]],FMS_Input[FMS_ID],FMS_Input[RFPG_NUM])</f>
        <v>3</v>
      </c>
      <c r="D784" s="309" t="str">
        <f>_xlfn.XLOOKUP(FMS_Ranking4[[#This Row],[FMS ID]],FMS_Input[FMS_ID],FMS_Input[FMS_NAME])</f>
        <v>City of Penelope NFIP Floodplain Ordinance</v>
      </c>
      <c r="E784" s="322" t="str">
        <f>_xlfn.XLOOKUP(FMS_Ranking4[[#This Row],[FMS ID]],FMS_Input[FMS_ID],FMS_Input[SPONSOR])</f>
        <v>Penelope</v>
      </c>
      <c r="F784" s="309" t="str">
        <f>_xlfn.XLOOKUP(FMS_Ranking4[[#This Row],[FMS ID]],Sponsor[FMS_ID],Sponsor[SPONSOR NAME])</f>
        <v>Penelope</v>
      </c>
      <c r="G784" s="309" t="str">
        <f>_xlfn.XLOOKUP(FMS_Ranking4[[#This Row],[FMS ID]],FMS_Input[FMS_ID],FMS_Input[FMS_DESCR])</f>
        <v>Develop a floodplain ordinance that meets or exceeds FEMA's minimum standards</v>
      </c>
      <c r="H784" s="247" t="str">
        <f>_xlfn.XLOOKUP(FMS_Ranking4[[#This Row],[FMS ID]],FMS_Input[FMS_ID],FMS_Input[FMS_TYPE])</f>
        <v>Regulatory and Guidance</v>
      </c>
      <c r="I784" s="288">
        <f>_xlfn.XLOOKUP(FMS_Ranking4[[#This Row],[FMS ID]],FMS_Input[FMS_ID],FMS_Input[NRNC_COST])</f>
        <v>100000</v>
      </c>
      <c r="J784" s="250">
        <f>_xlfn.XLOOKUP(FMS_Ranking4[[#This Row],[FMS ID]],FMS_Input[FMS_ID],FMS_Input[FMS_COST])</f>
        <v>100000</v>
      </c>
      <c r="K784" s="289" t="str">
        <f>_xlfn.XLOOKUP(FMS_Ranking4[[#This Row],[FMS ID]],FMS_Input[FMS_ID],FMS_Input[EMER_NEED])</f>
        <v>No</v>
      </c>
      <c r="L784" s="252">
        <f t="shared" si="12"/>
        <v>0</v>
      </c>
      <c r="M784" s="253">
        <f>_xlfn.XLOOKUP(FMS_Ranking4[[#This Row],[FMS ID]],FMS_Input[FMS_ID],FMS_Input[STRUCT_100])</f>
        <v>0</v>
      </c>
      <c r="N784" s="255">
        <f>(ASINH(FMS_Ranking4[[#This Row],[Structure at Risk Raw]]))*(10)/(ASINH(M$4))</f>
        <v>0</v>
      </c>
      <c r="O784" s="255">
        <f>FMS_Ranking4[[#This Row],[Structures at risk, ArcSinh (0-10)]]*M$5*10</f>
        <v>0</v>
      </c>
      <c r="P784" s="259">
        <f>_xlfn.XLOOKUP(FMS_Ranking4[[#This Row],[FMS ID]],FMS_Input[FMS_ID],FMS_Input[RES_STRUCT100])</f>
        <v>0</v>
      </c>
      <c r="Q784" s="257">
        <f>ASINH(FMS_Ranking4[[#This Row],[Res Structure Raw]])/Q$4*P$5*100</f>
        <v>0</v>
      </c>
      <c r="R784" s="259">
        <f>_xlfn.XLOOKUP(FMS_Ranking4[[#This Row],[FMS ID]],FMS_Input[FMS_ID],FMS_Input[POP100])</f>
        <v>0</v>
      </c>
      <c r="S784" s="259">
        <f>(ASINH(FMS_Ranking4[[#This Row],[Pop at Risk Raw]]))*(10)/(ASINH(R$4))</f>
        <v>0</v>
      </c>
      <c r="T784" s="257">
        <f>FMS_Ranking4[[#This Row],[Population at risk, ArcSinh (0-10)]]*R$5*10</f>
        <v>0</v>
      </c>
      <c r="U784" s="259">
        <f>_xlfn.XLOOKUP(FMS_Ranking4[[#This Row],[FMS ID]],FMS_Input[FMS_ID],FMS_Input[CRITFAC100])</f>
        <v>0</v>
      </c>
      <c r="V784" s="259">
        <f>(ASINH(FMS_Ranking4[[#This Row],[Critical Facilities Raw]]))*(10)/(ASINH(U$4))</f>
        <v>0</v>
      </c>
      <c r="W784" s="257">
        <f>FMS_Ranking4[[#This Row],[Critical facilities at risk, ArcSinh (0-10)]]*U$5*10</f>
        <v>0</v>
      </c>
      <c r="X784" s="259">
        <f>_xlfn.XLOOKUP(FMS_Ranking4[[#This Row],[FMS ID]],FMS_Input[FMS_ID],FMS_Input[LWC])</f>
        <v>0</v>
      </c>
      <c r="Y784" s="259">
        <f>(ASINH(FMS_Ranking4[[#This Row],[LWC Raw]]))*(10)/(ASINH(X$4))</f>
        <v>0</v>
      </c>
      <c r="Z784" s="257">
        <f>FMS_Ranking4[[#This Row],[LWC, ArcSInh (0-10)]]*X$5*10</f>
        <v>0</v>
      </c>
      <c r="AA784" s="259">
        <f>_xlfn.XLOOKUP(FMS_Ranking4[[#This Row],[FMS ID]],FMS_Input[FMS_ID],FMS_Input[ROADCLS])</f>
        <v>0</v>
      </c>
      <c r="AB784" s="255">
        <f>(ASINH(FMS_Ranking4[[#This Row],[Road Closures Raw]]))*(10)/(ASINH(AA$4))</f>
        <v>0</v>
      </c>
      <c r="AC784" s="255">
        <f>FMS_Ranking4[[#This Row],[Road closures, ArcSinh (0-10)]]*AA$5*10</f>
        <v>0</v>
      </c>
      <c r="AD784" s="259">
        <f>_xlfn.XLOOKUP(FMS_Ranking4[[#This Row],[FMS ID]],FMS_Input[FMS_ID],FMS_Input[ROAD_MILES100])</f>
        <v>0</v>
      </c>
      <c r="AE784" s="259">
        <f>(ASINH(FMS_Ranking4[[#This Row],[Road Miles Raw]]))*(10)/(ASINH(AD$4))</f>
        <v>0</v>
      </c>
      <c r="AF784" s="257">
        <f>FMS_Ranking4[[#This Row],[Length of roads at risk, ArcSinh (0-10)]]*AD$5*10</f>
        <v>0</v>
      </c>
      <c r="AG784" s="259">
        <f>_xlfn.XLOOKUP(FMS_Ranking4[[#This Row],[FMS ID]],FMS_Input[FMS_ID],FMS_Input[FARMACRE100])</f>
        <v>105.4654006958008</v>
      </c>
      <c r="AH784" s="255">
        <f>(ASINH(FMS_Ranking4[[#This Row],[Ag Land Raw]]))*(10)/(ASINH(AG$4))</f>
        <v>3.4762694006952146</v>
      </c>
      <c r="AI784" s="254">
        <f>FMS_Ranking4[[#This Row],[Farm &amp; ranch land, ArcSinh (0-10)]]*AG$5*10</f>
        <v>1.7381347003476075</v>
      </c>
      <c r="AJ784" s="258">
        <f>_xlfn.XLOOKUP(FMS_Ranking4[[#This Row],[FMS ID]],FMS_Input[FMS_ID],FMS_Input[REDSTRUCT100])</f>
        <v>0</v>
      </c>
      <c r="AK784" s="253">
        <f>_xlfn.XLOOKUP(FMS_Ranking4[[#This Row],[FMS ID]],FMS_Input[FMS_ID],FMS_Input[REMSTRC100])</f>
        <v>0</v>
      </c>
      <c r="AL784" s="259">
        <f>(ASINH(FMS_Ranking4[[#This Row],[Structures Removed Raw]]))*(10)/(ASINH(AK$4))</f>
        <v>0</v>
      </c>
      <c r="AM784" s="254">
        <f>FMS_Ranking4[[#This Row],[Structures removed, ArcSinh (0-10)]]*AK$5*10</f>
        <v>0</v>
      </c>
      <c r="AN784" s="253">
        <f>_xlfn.XLOOKUP(FMS_Ranking4[[#This Row],[FMS ID]],FMS_Input[FMS_ID],FMS_Input[REMRESSTRC100])</f>
        <v>0</v>
      </c>
      <c r="AO784" s="258">
        <f>FMS_Ranking4[[#This Row],[ArcSinh Res struct removed 0-10]]*AN$5*10</f>
        <v>0</v>
      </c>
      <c r="AP784" s="254">
        <f>ASINH(FMS_Ranking4[[#This Row],[Residential Structures Removed Raw]])/AP$4*AN$5*100</f>
        <v>0</v>
      </c>
      <c r="AQ784" s="260">
        <f>(ASINH(FMS_Ranking4[[#This Row],[Residential Structures Removed Raw]]))*(10)/(ASINH(AN$4))</f>
        <v>0</v>
      </c>
      <c r="AR784" s="253">
        <f>_xlfn.XLOOKUP(FMS_Ranking4[[#This Row],[FMS ID]],FMS_Input[FMS_ID],FMS_Input[REMPOP100])</f>
        <v>0</v>
      </c>
      <c r="AS784" s="259">
        <f>(ASINH(FMS_Ranking4[[#This Row],[Removed Pop Raw]]))*(10)/(ASINH(AR$4))</f>
        <v>0</v>
      </c>
      <c r="AT784" s="263">
        <f>FMS_Ranking4[[#This Row],[Removed population, ArcSinh (0-10)]]*AR$5*10</f>
        <v>0</v>
      </c>
      <c r="AU784" s="264">
        <f>_xlfn.XLOOKUP(FMS_Ranking4[[#This Row],[FMS ID]],FMS_Input[FMS_ID],FMS_Input[REMCRITFAC100])</f>
        <v>0</v>
      </c>
      <c r="AV784" s="264">
        <f>_xlfn.XLOOKUP(FMS_Ranking4[[#This Row],[FMS ID]],FMS_Input[FMS_ID],FMS_Input[REMLWC100])</f>
        <v>0</v>
      </c>
      <c r="AW784" s="264">
        <f>_xlfn.XLOOKUP(FMS_Ranking4[[#This Row],[FMS ID]],FMS_Input[FMS_ID],FMS_Input[REMROADCLS])</f>
        <v>0</v>
      </c>
      <c r="AX784" s="264">
        <f>_xlfn.XLOOKUP(FMS_Ranking4[[#This Row],[FMS ID]],FMS_Input[FMS_ID],FMS_Input[REMFRMACRE100])</f>
        <v>0</v>
      </c>
      <c r="AY784" s="258">
        <f>_xlfn.XLOOKUP(FMS_Ranking4[[#This Row],[FMS ID]],FMS_Input[FMS_ID],FMS_Input[COSTSTRUCT])</f>
        <v>0</v>
      </c>
      <c r="AZ784" s="258">
        <f>_xlfn.XLOOKUP(FMS_Ranking4[[#This Row],[FMS ID]],FMS_Input[FMS_ID],FMS_Input[NATURE])</f>
        <v>0</v>
      </c>
      <c r="BA784" s="290">
        <f>(((FMS_Ranking4[[#This Row],[% NBS Raw]]/AZ$4)*100)*AZ$5)</f>
        <v>0</v>
      </c>
      <c r="BB784" s="251" t="str">
        <f>_xlfn.XLOOKUP(FMS_Ranking4[[#This Row],[FMS ID]],FMS_Input[FMS_ID],FMS_Input[WATER_SUP])</f>
        <v>No</v>
      </c>
      <c r="BC784" s="265">
        <f>IF(FMS_Ranking4[[#This Row],[Water Supply Raw]]="Yes",10,0)</f>
        <v>0</v>
      </c>
      <c r="BD784" s="251">
        <f>_xlfn.XLOOKUP(FMS_Ranking4[[#This Row],[FMS Type]],FMS_TYPE[FMS_Type],FMS_TYPE[Score])</f>
        <v>8</v>
      </c>
      <c r="BE784" s="267">
        <f>FMS_Ranking4[[#This Row],[FMS_Type Score]]*$BD$5*10</f>
        <v>2</v>
      </c>
      <c r="BF78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2.1744605042197507E-4</v>
      </c>
      <c r="BG784" s="271">
        <f>_xlfn.RANK.EQ(BF784,$BF$8:$BF$870,0)+COUNTIF($BF$8:BF784,BF784)-1</f>
        <v>772</v>
      </c>
      <c r="BH784" s="268">
        <f>(((FMS_Ranking4[[#This Row],[Structures Removed Raw]]/AK$4)*100)*AK$5)+(((FMS_Ranking4[[#This Row],[Removed Pop Raw]]/AR$4)*100)*AR$5)</f>
        <v>0</v>
      </c>
      <c r="BI78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2.0002174460504221</v>
      </c>
      <c r="BJ784" s="325">
        <f>_xlfn.RANK.EQ(FMS_Ranking4[[#This Row],[Total Score 
(with linear
normalization)]],FMS_Ranking4[Total Score 
(with linear
normalization)],0)</f>
        <v>477</v>
      </c>
      <c r="BK784" s="327" t="e">
        <f>_xlfn.XLOOKUP(FMS_Ranking4[[#This Row],[FMS ID]],#REF!,#REF!)</f>
        <v>#REF!</v>
      </c>
      <c r="BL784"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1.7381347003476075</v>
      </c>
      <c r="BM784" s="330">
        <f>FMS_Ranking4[[#This Row],[ArcSinh Score Based on Normalized Reported Factors]]+FMS_Ranking4[[#This Row],[% NBS Score (Normalized)]]+(FMS_Ranking4[[#This Row],[Water Supply Score (Normalized)]]*10*$BB$5)+FMS_Ranking4[[#This Row],[FMS_Type Score Weighted]]</f>
        <v>3.7381347003476075</v>
      </c>
      <c r="BN784" s="332">
        <f>_xlfn.RANK.EQ(FMS_Ranking4[[#This Row],[Total Score (with ArcSinh normalization of select criteria)]],FMS_Ranking4[Total Score (with ArcSinh normalization of select criteria)],0)</f>
        <v>777</v>
      </c>
      <c r="BO784" s="270" t="str">
        <f>_xlfn.XLOOKUP(FMS_Ranking4[[#This Row],[FMS ID]],FMS_Input[FMS_ID],FMS_Input[FMS_RANK_YEAR])</f>
        <v>2023 Amended Plan</v>
      </c>
      <c r="BP784" s="204">
        <f>_xlfn.XLOOKUP(FMS_Ranking4[[#This Row],[FMS ID]],Prev_Rank[FMS ID],Prev_Rank[Prev Rank])</f>
        <v>707</v>
      </c>
      <c r="BQ784" s="334" t="e">
        <f>_xlfn.XLOOKUP(FMS_Ranking4[[#This Row],[FMS ID]],#REF!,#REF!)</f>
        <v>#REF!</v>
      </c>
      <c r="BR784" s="199" t="e">
        <f>SUM(#REF!,#REF!,#REF!,#REF!,#REF!,#REF!,#REF!,#REF!,#REF!,FMS_Ranking4[[#This Row],[ArcSinh Res struct removed 0-10]],#REF!)</f>
        <v>#REF!</v>
      </c>
      <c r="BS784" s="199" t="e">
        <f>FMS_Ranking4[[#This Row],[Log Score Based on Normalized Reported Factors]]+FMS_Ranking4[[#This Row],[% NBS Score (Normalized)]]+(FMS_Ranking4[[#This Row],[Water Supply Score (Normalized)]]*10*$BB$5)+(FMS_Ranking4[[#This Row],[FMS_Type Score Weighted]])</f>
        <v>#REF!</v>
      </c>
      <c r="BT784" s="200" t="e">
        <f>_xlfn.RANK.EQ(FMS_Ranking4[[#This Row],[Log Total Score]],FMS_Ranking4[Log Total Score],0)</f>
        <v>#REF!</v>
      </c>
      <c r="BU784" s="200" t="e">
        <f>_xlfn.XLOOKUP(FMS_Ranking4[[#This Row],[FMS ID]],#REF!,#REF!)</f>
        <v>#REF!</v>
      </c>
      <c r="BV784" s="200">
        <f>FMS_Ranking4[[#This Row],[Region Number]]</f>
        <v>3</v>
      </c>
      <c r="BW784" s="200">
        <f>FMS_Ranking4[[#This Row],[Rank (with ArcSinh normalization of select criteria)]]-FMS_Ranking4[[#This Row],[Rank
(with linear
normalization)]]</f>
        <v>300</v>
      </c>
      <c r="BX784" s="200" t="e">
        <f>FMS_Ranking4[[#This Row],[Log Rank]]-FMS_Ranking4[[#This Row],[Rank
(with linear
normalization)]]</f>
        <v>#REF!</v>
      </c>
      <c r="BY784" s="200" t="str">
        <f>IF(FMS_Ranking4[[#This Row],[FMS Type]]="Flood Measurement and Warning",FMS_Ranking4[[#This Row],[Rank (with ArcSinh normalization of select criteria)]],"")</f>
        <v/>
      </c>
      <c r="BZ784" s="200">
        <f>IF(FMS_Ranking4[[#This Row],[FMS Type]]="Regulatory and Guidance",FMS_Ranking4[[#This Row],[Rank (with ArcSinh normalization of select criteria)]],"")</f>
        <v>777</v>
      </c>
      <c r="CA784" s="200" t="str">
        <f>IF(FMS_Ranking4[[#This Row],[FMS Type]]="Education and Outreach",FMS_Ranking4[[#This Row],[Rank (with ArcSinh normalization of select criteria)]],"")</f>
        <v/>
      </c>
      <c r="CB784" s="200" t="str">
        <f>IF(FMS_Ranking4[[#This Row],[FMS Type]]="Property Acquisition and Structural Elevation",FMS_Ranking4[[#This Row],[Rank (with ArcSinh normalization of select criteria)]],"")</f>
        <v/>
      </c>
      <c r="CC784" s="200" t="str">
        <f>IF(FMS_Ranking4[[#This Row],[FMS Type]]="Infrastructure Projects",FMS_Ranking4[[#This Row],[Rank (with ArcSinh normalization of select criteria)]],"")</f>
        <v/>
      </c>
      <c r="CD784" s="200" t="str">
        <f>IF(FMS_Ranking4[[#This Row],[FMS Type]]="Other",FMS_Ranking4[[#This Row],[Rank (with ArcSinh normalization of select criteria)]],"")</f>
        <v/>
      </c>
    </row>
    <row r="785" spans="2:82" ht="45" x14ac:dyDescent="0.25">
      <c r="B785" s="342" t="s">
        <v>2305</v>
      </c>
      <c r="C785" s="287">
        <f>_xlfn.XLOOKUP(FMS_Ranking4[[#This Row],[FMS ID]],FMS_Input[FMS_ID],FMS_Input[RFPG_NUM])</f>
        <v>3</v>
      </c>
      <c r="D785" s="309" t="str">
        <f>_xlfn.XLOOKUP(FMS_Ranking4[[#This Row],[FMS ID]],FMS_Input[FMS_ID],FMS_Input[FMS_NAME])</f>
        <v>City of Alvord NFIP Floodplain Ordinance</v>
      </c>
      <c r="E785" s="322" t="str">
        <f>_xlfn.XLOOKUP(FMS_Ranking4[[#This Row],[FMS ID]],FMS_Input[FMS_ID],FMS_Input[SPONSOR])</f>
        <v>Alvord</v>
      </c>
      <c r="F785" s="309" t="str">
        <f>_xlfn.XLOOKUP(FMS_Ranking4[[#This Row],[FMS ID]],Sponsor[FMS_ID],Sponsor[SPONSOR NAME])</f>
        <v>Alvord</v>
      </c>
      <c r="G785" s="309" t="str">
        <f>_xlfn.XLOOKUP(FMS_Ranking4[[#This Row],[FMS ID]],FMS_Input[FMS_ID],FMS_Input[FMS_DESCR])</f>
        <v>Develop a floodplain ordinance that meets or exceeds FEMA's minimum standards</v>
      </c>
      <c r="H785" s="247" t="str">
        <f>_xlfn.XLOOKUP(FMS_Ranking4[[#This Row],[FMS ID]],FMS_Input[FMS_ID],FMS_Input[FMS_TYPE])</f>
        <v>Regulatory and Guidance</v>
      </c>
      <c r="I785" s="288">
        <f>_xlfn.XLOOKUP(FMS_Ranking4[[#This Row],[FMS ID]],FMS_Input[FMS_ID],FMS_Input[NRNC_COST])</f>
        <v>100000</v>
      </c>
      <c r="J785" s="250">
        <f>_xlfn.XLOOKUP(FMS_Ranking4[[#This Row],[FMS ID]],FMS_Input[FMS_ID],FMS_Input[FMS_COST])</f>
        <v>100000</v>
      </c>
      <c r="K785" s="289" t="str">
        <f>_xlfn.XLOOKUP(FMS_Ranking4[[#This Row],[FMS ID]],FMS_Input[FMS_ID],FMS_Input[EMER_NEED])</f>
        <v>No</v>
      </c>
      <c r="L785" s="252">
        <f t="shared" si="12"/>
        <v>0</v>
      </c>
      <c r="M785" s="253">
        <f>_xlfn.XLOOKUP(FMS_Ranking4[[#This Row],[FMS ID]],FMS_Input[FMS_ID],FMS_Input[STRUCT_100])</f>
        <v>0</v>
      </c>
      <c r="N785" s="255">
        <f>(ASINH(FMS_Ranking4[[#This Row],[Structure at Risk Raw]]))*(10)/(ASINH(M$4))</f>
        <v>0</v>
      </c>
      <c r="O785" s="255">
        <f>FMS_Ranking4[[#This Row],[Structures at risk, ArcSinh (0-10)]]*M$5*10</f>
        <v>0</v>
      </c>
      <c r="P785" s="259">
        <f>_xlfn.XLOOKUP(FMS_Ranking4[[#This Row],[FMS ID]],FMS_Input[FMS_ID],FMS_Input[RES_STRUCT100])</f>
        <v>0</v>
      </c>
      <c r="Q785" s="257">
        <f>ASINH(FMS_Ranking4[[#This Row],[Res Structure Raw]])/Q$4*P$5*100</f>
        <v>0</v>
      </c>
      <c r="R785" s="259">
        <f>_xlfn.XLOOKUP(FMS_Ranking4[[#This Row],[FMS ID]],FMS_Input[FMS_ID],FMS_Input[POP100])</f>
        <v>0</v>
      </c>
      <c r="S785" s="259">
        <f>(ASINH(FMS_Ranking4[[#This Row],[Pop at Risk Raw]]))*(10)/(ASINH(R$4))</f>
        <v>0</v>
      </c>
      <c r="T785" s="257">
        <f>FMS_Ranking4[[#This Row],[Population at risk, ArcSinh (0-10)]]*R$5*10</f>
        <v>0</v>
      </c>
      <c r="U785" s="259">
        <f>_xlfn.XLOOKUP(FMS_Ranking4[[#This Row],[FMS ID]],FMS_Input[FMS_ID],FMS_Input[CRITFAC100])</f>
        <v>0</v>
      </c>
      <c r="V785" s="259">
        <f>(ASINH(FMS_Ranking4[[#This Row],[Critical Facilities Raw]]))*(10)/(ASINH(U$4))</f>
        <v>0</v>
      </c>
      <c r="W785" s="257">
        <f>FMS_Ranking4[[#This Row],[Critical facilities at risk, ArcSinh (0-10)]]*U$5*10</f>
        <v>0</v>
      </c>
      <c r="X785" s="259">
        <f>_xlfn.XLOOKUP(FMS_Ranking4[[#This Row],[FMS ID]],FMS_Input[FMS_ID],FMS_Input[LWC])</f>
        <v>0</v>
      </c>
      <c r="Y785" s="259">
        <f>(ASINH(FMS_Ranking4[[#This Row],[LWC Raw]]))*(10)/(ASINH(X$4))</f>
        <v>0</v>
      </c>
      <c r="Z785" s="257">
        <f>FMS_Ranking4[[#This Row],[LWC, ArcSInh (0-10)]]*X$5*10</f>
        <v>0</v>
      </c>
      <c r="AA785" s="259">
        <f>_xlfn.XLOOKUP(FMS_Ranking4[[#This Row],[FMS ID]],FMS_Input[FMS_ID],FMS_Input[ROADCLS])</f>
        <v>0</v>
      </c>
      <c r="AB785" s="255">
        <f>(ASINH(FMS_Ranking4[[#This Row],[Road Closures Raw]]))*(10)/(ASINH(AA$4))</f>
        <v>0</v>
      </c>
      <c r="AC785" s="255">
        <f>FMS_Ranking4[[#This Row],[Road closures, ArcSinh (0-10)]]*AA$5*10</f>
        <v>0</v>
      </c>
      <c r="AD785" s="259">
        <f>_xlfn.XLOOKUP(FMS_Ranking4[[#This Row],[FMS ID]],FMS_Input[FMS_ID],FMS_Input[ROAD_MILES100])</f>
        <v>2</v>
      </c>
      <c r="AE785" s="259">
        <f>(ASINH(FMS_Ranking4[[#This Row],[Road Miles Raw]]))*(10)/(ASINH(AD$4))</f>
        <v>1.5385182374234352</v>
      </c>
      <c r="AF785" s="257">
        <f>FMS_Ranking4[[#This Row],[Length of roads at risk, ArcSinh (0-10)]]*AD$5*10</f>
        <v>1.5385182374234352</v>
      </c>
      <c r="AG785" s="259">
        <f>_xlfn.XLOOKUP(FMS_Ranking4[[#This Row],[FMS ID]],FMS_Input[FMS_ID],FMS_Input[FARMACRE100])</f>
        <v>0</v>
      </c>
      <c r="AH785" s="255">
        <f>(ASINH(FMS_Ranking4[[#This Row],[Ag Land Raw]]))*(10)/(ASINH(AG$4))</f>
        <v>0</v>
      </c>
      <c r="AI785" s="254">
        <f>FMS_Ranking4[[#This Row],[Farm &amp; ranch land, ArcSinh (0-10)]]*AG$5*10</f>
        <v>0</v>
      </c>
      <c r="AJ785" s="258">
        <f>_xlfn.XLOOKUP(FMS_Ranking4[[#This Row],[FMS ID]],FMS_Input[FMS_ID],FMS_Input[REDSTRUCT100])</f>
        <v>0</v>
      </c>
      <c r="AK785" s="253">
        <f>_xlfn.XLOOKUP(FMS_Ranking4[[#This Row],[FMS ID]],FMS_Input[FMS_ID],FMS_Input[REMSTRC100])</f>
        <v>0</v>
      </c>
      <c r="AL785" s="259">
        <f>(ASINH(FMS_Ranking4[[#This Row],[Structures Removed Raw]]))*(10)/(ASINH(AK$4))</f>
        <v>0</v>
      </c>
      <c r="AM785" s="254">
        <f>FMS_Ranking4[[#This Row],[Structures removed, ArcSinh (0-10)]]*AK$5*10</f>
        <v>0</v>
      </c>
      <c r="AN785" s="253">
        <f>_xlfn.XLOOKUP(FMS_Ranking4[[#This Row],[FMS ID]],FMS_Input[FMS_ID],FMS_Input[REMRESSTRC100])</f>
        <v>0</v>
      </c>
      <c r="AO785" s="258">
        <f>FMS_Ranking4[[#This Row],[ArcSinh Res struct removed 0-10]]*AN$5*10</f>
        <v>0</v>
      </c>
      <c r="AP785" s="254">
        <f>ASINH(FMS_Ranking4[[#This Row],[Residential Structures Removed Raw]])/AP$4*AN$5*100</f>
        <v>0</v>
      </c>
      <c r="AQ785" s="260">
        <f>(ASINH(FMS_Ranking4[[#This Row],[Residential Structures Removed Raw]]))*(10)/(ASINH(AN$4))</f>
        <v>0</v>
      </c>
      <c r="AR785" s="253">
        <f>_xlfn.XLOOKUP(FMS_Ranking4[[#This Row],[FMS ID]],FMS_Input[FMS_ID],FMS_Input[REMPOP100])</f>
        <v>0</v>
      </c>
      <c r="AS785" s="259">
        <f>(ASINH(FMS_Ranking4[[#This Row],[Removed Pop Raw]]))*(10)/(ASINH(AR$4))</f>
        <v>0</v>
      </c>
      <c r="AT785" s="263">
        <f>FMS_Ranking4[[#This Row],[Removed population, ArcSinh (0-10)]]*AR$5*10</f>
        <v>0</v>
      </c>
      <c r="AU785" s="264">
        <f>_xlfn.XLOOKUP(FMS_Ranking4[[#This Row],[FMS ID]],FMS_Input[FMS_ID],FMS_Input[REMCRITFAC100])</f>
        <v>0</v>
      </c>
      <c r="AV785" s="264">
        <f>_xlfn.XLOOKUP(FMS_Ranking4[[#This Row],[FMS ID]],FMS_Input[FMS_ID],FMS_Input[REMLWC100])</f>
        <v>0</v>
      </c>
      <c r="AW785" s="264">
        <f>_xlfn.XLOOKUP(FMS_Ranking4[[#This Row],[FMS ID]],FMS_Input[FMS_ID],FMS_Input[REMROADCLS])</f>
        <v>0</v>
      </c>
      <c r="AX785" s="264">
        <f>_xlfn.XLOOKUP(FMS_Ranking4[[#This Row],[FMS ID]],FMS_Input[FMS_ID],FMS_Input[REMFRMACRE100])</f>
        <v>0</v>
      </c>
      <c r="AY785" s="258">
        <f>_xlfn.XLOOKUP(FMS_Ranking4[[#This Row],[FMS ID]],FMS_Input[FMS_ID],FMS_Input[COSTSTRUCT])</f>
        <v>0</v>
      </c>
      <c r="AZ785" s="258">
        <f>_xlfn.XLOOKUP(FMS_Ranking4[[#This Row],[FMS ID]],FMS_Input[FMS_ID],FMS_Input[NATURE])</f>
        <v>0</v>
      </c>
      <c r="BA785" s="290">
        <f>(((FMS_Ranking4[[#This Row],[% NBS Raw]]/AZ$4)*100)*AZ$5)</f>
        <v>0</v>
      </c>
      <c r="BB785" s="251" t="str">
        <f>_xlfn.XLOOKUP(FMS_Ranking4[[#This Row],[FMS ID]],FMS_Input[FMS_ID],FMS_Input[WATER_SUP])</f>
        <v>No</v>
      </c>
      <c r="BC785" s="265">
        <f>IF(FMS_Ranking4[[#This Row],[Water Supply Raw]]="Yes",10,0)</f>
        <v>0</v>
      </c>
      <c r="BD785" s="251">
        <f>_xlfn.XLOOKUP(FMS_Ranking4[[#This Row],[FMS Type]],FMS_TYPE[FMS_Type],FMS_TYPE[Score])</f>
        <v>8</v>
      </c>
      <c r="BE785" s="267">
        <f>FMS_Ranking4[[#This Row],[FMS_Type Score]]*$BD$5*10</f>
        <v>2</v>
      </c>
      <c r="BF785"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3.3647375504710637E-3</v>
      </c>
      <c r="BG785" s="271">
        <f>_xlfn.RANK.EQ(BF785,$BF$8:$BF$870,0)+COUNTIF($BF$8:BF785,BF785)-1</f>
        <v>707</v>
      </c>
      <c r="BH785" s="268">
        <f>(((FMS_Ranking4[[#This Row],[Structures Removed Raw]]/AK$4)*100)*AK$5)+(((FMS_Ranking4[[#This Row],[Removed Pop Raw]]/AR$4)*100)*AR$5)</f>
        <v>0</v>
      </c>
      <c r="BI78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2.0033647375504708</v>
      </c>
      <c r="BJ785" s="325">
        <f>_xlfn.RANK.EQ(FMS_Ranking4[[#This Row],[Total Score 
(with linear
normalization)]],FMS_Ranking4[Total Score 
(with linear
normalization)],0)</f>
        <v>444</v>
      </c>
      <c r="BK785" s="327" t="e">
        <f>_xlfn.XLOOKUP(FMS_Ranking4[[#This Row],[FMS ID]],#REF!,#REF!)</f>
        <v>#REF!</v>
      </c>
      <c r="BL785"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1.5385182374234352</v>
      </c>
      <c r="BM785" s="330">
        <f>FMS_Ranking4[[#This Row],[ArcSinh Score Based on Normalized Reported Factors]]+FMS_Ranking4[[#This Row],[% NBS Score (Normalized)]]+(FMS_Ranking4[[#This Row],[Water Supply Score (Normalized)]]*10*$BB$5)+FMS_Ranking4[[#This Row],[FMS_Type Score Weighted]]</f>
        <v>3.5385182374234354</v>
      </c>
      <c r="BN785" s="332">
        <f>_xlfn.RANK.EQ(FMS_Ranking4[[#This Row],[Total Score (with ArcSinh normalization of select criteria)]],FMS_Ranking4[Total Score (with ArcSinh normalization of select criteria)],0)</f>
        <v>778</v>
      </c>
      <c r="BO785" s="270" t="str">
        <f>_xlfn.XLOOKUP(FMS_Ranking4[[#This Row],[FMS ID]],FMS_Input[FMS_ID],FMS_Input[FMS_RANK_YEAR])</f>
        <v>2023 Amended Plan</v>
      </c>
      <c r="BP785" s="204">
        <f>_xlfn.XLOOKUP(FMS_Ranking4[[#This Row],[FMS ID]],Prev_Rank[FMS ID],Prev_Rank[Prev Rank])</f>
        <v>708</v>
      </c>
      <c r="BQ785" s="334" t="e">
        <f>_xlfn.XLOOKUP(FMS_Ranking4[[#This Row],[FMS ID]],#REF!,#REF!)</f>
        <v>#REF!</v>
      </c>
      <c r="BR785" s="199" t="e">
        <f>SUM(#REF!,#REF!,#REF!,#REF!,#REF!,#REF!,#REF!,#REF!,#REF!,FMS_Ranking4[[#This Row],[ArcSinh Res struct removed 0-10]],#REF!)</f>
        <v>#REF!</v>
      </c>
      <c r="BS785" s="199" t="e">
        <f>FMS_Ranking4[[#This Row],[Log Score Based on Normalized Reported Factors]]+FMS_Ranking4[[#This Row],[% NBS Score (Normalized)]]+(FMS_Ranking4[[#This Row],[Water Supply Score (Normalized)]]*10*$BB$5)+(FMS_Ranking4[[#This Row],[FMS_Type Score Weighted]])</f>
        <v>#REF!</v>
      </c>
      <c r="BT785" s="200" t="e">
        <f>_xlfn.RANK.EQ(FMS_Ranking4[[#This Row],[Log Total Score]],FMS_Ranking4[Log Total Score],0)</f>
        <v>#REF!</v>
      </c>
      <c r="BU785" s="200" t="e">
        <f>_xlfn.XLOOKUP(FMS_Ranking4[[#This Row],[FMS ID]],#REF!,#REF!)</f>
        <v>#REF!</v>
      </c>
      <c r="BV785" s="200">
        <f>FMS_Ranking4[[#This Row],[Region Number]]</f>
        <v>3</v>
      </c>
      <c r="BW785" s="200">
        <f>FMS_Ranking4[[#This Row],[Rank (with ArcSinh normalization of select criteria)]]-FMS_Ranking4[[#This Row],[Rank
(with linear
normalization)]]</f>
        <v>334</v>
      </c>
      <c r="BX785" s="200" t="e">
        <f>FMS_Ranking4[[#This Row],[Log Rank]]-FMS_Ranking4[[#This Row],[Rank
(with linear
normalization)]]</f>
        <v>#REF!</v>
      </c>
      <c r="BY785" s="200" t="str">
        <f>IF(FMS_Ranking4[[#This Row],[FMS Type]]="Flood Measurement and Warning",FMS_Ranking4[[#This Row],[Rank (with ArcSinh normalization of select criteria)]],"")</f>
        <v/>
      </c>
      <c r="BZ785" s="200">
        <f>IF(FMS_Ranking4[[#This Row],[FMS Type]]="Regulatory and Guidance",FMS_Ranking4[[#This Row],[Rank (with ArcSinh normalization of select criteria)]],"")</f>
        <v>778</v>
      </c>
      <c r="CA785" s="200" t="str">
        <f>IF(FMS_Ranking4[[#This Row],[FMS Type]]="Education and Outreach",FMS_Ranking4[[#This Row],[Rank (with ArcSinh normalization of select criteria)]],"")</f>
        <v/>
      </c>
      <c r="CB785" s="200" t="str">
        <f>IF(FMS_Ranking4[[#This Row],[FMS Type]]="Property Acquisition and Structural Elevation",FMS_Ranking4[[#This Row],[Rank (with ArcSinh normalization of select criteria)]],"")</f>
        <v/>
      </c>
      <c r="CC785" s="200" t="str">
        <f>IF(FMS_Ranking4[[#This Row],[FMS Type]]="Infrastructure Projects",FMS_Ranking4[[#This Row],[Rank (with ArcSinh normalization of select criteria)]],"")</f>
        <v/>
      </c>
      <c r="CD785" s="200" t="str">
        <f>IF(FMS_Ranking4[[#This Row],[FMS Type]]="Other",FMS_Ranking4[[#This Row],[Rank (with ArcSinh normalization of select criteria)]],"")</f>
        <v/>
      </c>
    </row>
    <row r="786" spans="2:82" ht="75" x14ac:dyDescent="0.25">
      <c r="B786" s="342" t="s">
        <v>2868</v>
      </c>
      <c r="C786" s="287">
        <f>_xlfn.XLOOKUP(FMS_Ranking4[[#This Row],[FMS ID]],FMS_Input[FMS_ID],FMS_Input[RFPG_NUM])</f>
        <v>5</v>
      </c>
      <c r="D786" s="309" t="str">
        <f>_xlfn.XLOOKUP(FMS_Ranking4[[#This Row],[FMS ID]],FMS_Input[FMS_ID],FMS_Input[FMS_NAME])</f>
        <v>City of Groveton Flood Infrastructure Upgrades</v>
      </c>
      <c r="E786" s="322" t="str">
        <f>_xlfn.XLOOKUP(FMS_Ranking4[[#This Row],[FMS ID]],FMS_Input[FMS_ID],FMS_Input[SPONSOR])</f>
        <v>00003580</v>
      </c>
      <c r="F786" s="309" t="str">
        <f>_xlfn.XLOOKUP(FMS_Ranking4[[#This Row],[FMS ID]],Sponsor[FMS_ID],Sponsor[SPONSOR NAME])</f>
        <v>Groveton</v>
      </c>
      <c r="G786" s="309" t="str">
        <f>_xlfn.XLOOKUP(FMS_Ranking4[[#This Row],[FMS ID]],FMS_Input[FMS_ID],FMS_Input[FMS_DESCR])</f>
        <v>Within the city, develop a plan to install/improve culverts and headwalls in addition to expanding stormwater ditches and canals</v>
      </c>
      <c r="H786" s="247" t="str">
        <f>_xlfn.XLOOKUP(FMS_Ranking4[[#This Row],[FMS ID]],FMS_Input[FMS_ID],FMS_Input[FMS_TYPE])</f>
        <v>Infrastructure Projects</v>
      </c>
      <c r="I786" s="288">
        <f>_xlfn.XLOOKUP(FMS_Ranking4[[#This Row],[FMS ID]],FMS_Input[FMS_ID],FMS_Input[NRNC_COST])</f>
        <v>100000</v>
      </c>
      <c r="J786" s="250">
        <f>_xlfn.XLOOKUP(FMS_Ranking4[[#This Row],[FMS ID]],FMS_Input[FMS_ID],FMS_Input[FMS_COST])</f>
        <v>750000</v>
      </c>
      <c r="K786" s="289" t="str">
        <f>_xlfn.XLOOKUP(FMS_Ranking4[[#This Row],[FMS ID]],FMS_Input[FMS_ID],FMS_Input[EMER_NEED])</f>
        <v>Yes</v>
      </c>
      <c r="L786" s="252">
        <f t="shared" si="12"/>
        <v>1</v>
      </c>
      <c r="M786" s="253">
        <f>_xlfn.XLOOKUP(FMS_Ranking4[[#This Row],[FMS ID]],FMS_Input[FMS_ID],FMS_Input[STRUCT_100])</f>
        <v>3</v>
      </c>
      <c r="N786" s="255">
        <f>(ASINH(FMS_Ranking4[[#This Row],[Structure at Risk Raw]]))*(10)/(ASINH(M$4))</f>
        <v>1.4295696719071895</v>
      </c>
      <c r="O786" s="255">
        <f>FMS_Ranking4[[#This Row],[Structures at risk, ArcSinh (0-10)]]*M$5*10</f>
        <v>1.4295696719071895</v>
      </c>
      <c r="P786" s="259">
        <f>_xlfn.XLOOKUP(FMS_Ranking4[[#This Row],[FMS ID]],FMS_Input[FMS_ID],FMS_Input[RES_STRUCT100])</f>
        <v>3</v>
      </c>
      <c r="Q786" s="257">
        <f>ASINH(FMS_Ranking4[[#This Row],[Res Structure Raw]])/Q$4*P$5*100</f>
        <v>0</v>
      </c>
      <c r="R786" s="259">
        <f>_xlfn.XLOOKUP(FMS_Ranking4[[#This Row],[FMS ID]],FMS_Input[FMS_ID],FMS_Input[POP100])</f>
        <v>2</v>
      </c>
      <c r="S786" s="255">
        <f>(ASINH(FMS_Ranking4[[#This Row],[Pop at Risk Raw]]))*(10)/(ASINH(R$4))</f>
        <v>0.9966256139867492</v>
      </c>
      <c r="T786" s="257">
        <f>FMS_Ranking4[[#This Row],[Population at risk, ArcSinh (0-10)]]*R$5*10</f>
        <v>0.9966256139867492</v>
      </c>
      <c r="U786" s="259">
        <f>_xlfn.XLOOKUP(FMS_Ranking4[[#This Row],[FMS ID]],FMS_Input[FMS_ID],FMS_Input[CRITFAC100])</f>
        <v>0</v>
      </c>
      <c r="V786" s="255">
        <f>(ASINH(FMS_Ranking4[[#This Row],[Critical Facilities Raw]]))*(10)/(ASINH(U$4))</f>
        <v>0</v>
      </c>
      <c r="W786" s="257">
        <f>FMS_Ranking4[[#This Row],[Critical facilities at risk, ArcSinh (0-10)]]*U$5*10</f>
        <v>0</v>
      </c>
      <c r="X786" s="259">
        <f>_xlfn.XLOOKUP(FMS_Ranking4[[#This Row],[FMS ID]],FMS_Input[FMS_ID],FMS_Input[LWC])</f>
        <v>0</v>
      </c>
      <c r="Y786" s="255">
        <f>(ASINH(FMS_Ranking4[[#This Row],[LWC Raw]]))*(10)/(ASINH(X$4))</f>
        <v>0</v>
      </c>
      <c r="Z786" s="257">
        <f>FMS_Ranking4[[#This Row],[LWC, ArcSInh (0-10)]]*X$5*10</f>
        <v>0</v>
      </c>
      <c r="AA786" s="259">
        <f>_xlfn.XLOOKUP(FMS_Ranking4[[#This Row],[FMS ID]],FMS_Input[FMS_ID],FMS_Input[ROADCLS])</f>
        <v>0</v>
      </c>
      <c r="AB786" s="255">
        <f>(ASINH(FMS_Ranking4[[#This Row],[Road Closures Raw]]))*(10)/(ASINH(AA$4))</f>
        <v>0</v>
      </c>
      <c r="AC786" s="255">
        <f>FMS_Ranking4[[#This Row],[Road closures, ArcSinh (0-10)]]*AA$5*10</f>
        <v>0</v>
      </c>
      <c r="AD786" s="259">
        <f>_xlfn.XLOOKUP(FMS_Ranking4[[#This Row],[FMS ID]],FMS_Input[FMS_ID],FMS_Input[ROAD_MILES100])</f>
        <v>0</v>
      </c>
      <c r="AE786" s="255">
        <f>(ASINH(FMS_Ranking4[[#This Row],[Road Miles Raw]]))*(10)/(ASINH(AD$4))</f>
        <v>0</v>
      </c>
      <c r="AF786" s="257">
        <f>FMS_Ranking4[[#This Row],[Length of roads at risk, ArcSinh (0-10)]]*AD$5*10</f>
        <v>0</v>
      </c>
      <c r="AG786" s="259">
        <f>_xlfn.XLOOKUP(FMS_Ranking4[[#This Row],[FMS ID]],FMS_Input[FMS_ID],FMS_Input[FARMACRE100])</f>
        <v>0</v>
      </c>
      <c r="AH786" s="255">
        <f>(ASINH(FMS_Ranking4[[#This Row],[Ag Land Raw]]))*(10)/(ASINH(AG$4))</f>
        <v>0</v>
      </c>
      <c r="AI786" s="254">
        <f>FMS_Ranking4[[#This Row],[Farm &amp; ranch land, ArcSinh (0-10)]]*AG$5*10</f>
        <v>0</v>
      </c>
      <c r="AJ786" s="258">
        <f>_xlfn.XLOOKUP(FMS_Ranking4[[#This Row],[FMS ID]],FMS_Input[FMS_ID],FMS_Input[REDSTRUCT100])</f>
        <v>0</v>
      </c>
      <c r="AK786" s="253">
        <f>_xlfn.XLOOKUP(FMS_Ranking4[[#This Row],[FMS ID]],FMS_Input[FMS_ID],FMS_Input[REMSTRC100])</f>
        <v>0</v>
      </c>
      <c r="AL786" s="255">
        <f>(ASINH(FMS_Ranking4[[#This Row],[Structures Removed Raw]]))*(10)/(ASINH(AK$4))</f>
        <v>0</v>
      </c>
      <c r="AM786" s="254">
        <f>FMS_Ranking4[[#This Row],[Structures removed, ArcSinh (0-10)]]*AK$5*10</f>
        <v>0</v>
      </c>
      <c r="AN786" s="253">
        <f>_xlfn.XLOOKUP(FMS_Ranking4[[#This Row],[FMS ID]],FMS_Input[FMS_ID],FMS_Input[REMRESSTRC100])</f>
        <v>0</v>
      </c>
      <c r="AO786" s="258">
        <f>FMS_Ranking4[[#This Row],[ArcSinh Res struct removed 0-10]]*AN$5*10</f>
        <v>0</v>
      </c>
      <c r="AP786" s="254">
        <f>ASINH(FMS_Ranking4[[#This Row],[Residential Structures Removed Raw]])/AP$4*AN$5*100</f>
        <v>0</v>
      </c>
      <c r="AQ786" s="261">
        <f>(ASINH(FMS_Ranking4[[#This Row],[Residential Structures Removed Raw]]))*(10)/(ASINH(AN$4))</f>
        <v>0</v>
      </c>
      <c r="AR786" s="253">
        <f>_xlfn.XLOOKUP(FMS_Ranking4[[#This Row],[FMS ID]],FMS_Input[FMS_ID],FMS_Input[REMPOP100])</f>
        <v>0</v>
      </c>
      <c r="AS786" s="255">
        <f>(ASINH(FMS_Ranking4[[#This Row],[Removed Pop Raw]]))*(10)/(ASINH(AR$4))</f>
        <v>0</v>
      </c>
      <c r="AT786" s="263">
        <f>FMS_Ranking4[[#This Row],[Removed population, ArcSinh (0-10)]]*AR$5*10</f>
        <v>0</v>
      </c>
      <c r="AU786" s="264">
        <f>_xlfn.XLOOKUP(FMS_Ranking4[[#This Row],[FMS ID]],FMS_Input[FMS_ID],FMS_Input[REMCRITFAC100])</f>
        <v>0</v>
      </c>
      <c r="AV786" s="264">
        <f>_xlfn.XLOOKUP(FMS_Ranking4[[#This Row],[FMS ID]],FMS_Input[FMS_ID],FMS_Input[REMLWC100])</f>
        <v>0</v>
      </c>
      <c r="AW786" s="264">
        <f>_xlfn.XLOOKUP(FMS_Ranking4[[#This Row],[FMS ID]],FMS_Input[FMS_ID],FMS_Input[REMROADCLS])</f>
        <v>0</v>
      </c>
      <c r="AX786" s="264">
        <f>_xlfn.XLOOKUP(FMS_Ranking4[[#This Row],[FMS ID]],FMS_Input[FMS_ID],FMS_Input[REMFRMACRE100])</f>
        <v>0</v>
      </c>
      <c r="AY786" s="258">
        <f>_xlfn.XLOOKUP(FMS_Ranking4[[#This Row],[FMS ID]],FMS_Input[FMS_ID],FMS_Input[COSTSTRUCT])</f>
        <v>0</v>
      </c>
      <c r="AZ786" s="258">
        <f>_xlfn.XLOOKUP(FMS_Ranking4[[#This Row],[FMS ID]],FMS_Input[FMS_ID],FMS_Input[NATURE])</f>
        <v>0</v>
      </c>
      <c r="BA786" s="290">
        <f>(((FMS_Ranking4[[#This Row],[% NBS Raw]]/AZ$4)*100)*AZ$5)</f>
        <v>0</v>
      </c>
      <c r="BB786" s="251" t="str">
        <f>_xlfn.XLOOKUP(FMS_Ranking4[[#This Row],[FMS ID]],FMS_Input[FMS_ID],FMS_Input[WATER_SUP])</f>
        <v>No</v>
      </c>
      <c r="BC786" s="265">
        <f>IF(FMS_Ranking4[[#This Row],[Water Supply Raw]]="Yes",10,0)</f>
        <v>0</v>
      </c>
      <c r="BD786" s="251">
        <f>_xlfn.XLOOKUP(FMS_Ranking4[[#This Row],[FMS Type]],FMS_TYPE[FMS_Type],FMS_TYPE[Score])</f>
        <v>4</v>
      </c>
      <c r="BE786" s="267">
        <f>FMS_Ranking4[[#This Row],[FMS_Type Score]]*$BD$5*10</f>
        <v>1</v>
      </c>
      <c r="BF786"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1.9987410049298904E-4</v>
      </c>
      <c r="BG786" s="321">
        <f>_xlfn.RANK.EQ(BF786,$BF$8:$BF$870,0)+COUNTIF($BF$8:BF786,BF786)-1</f>
        <v>775</v>
      </c>
      <c r="BH786" s="294">
        <f>(((FMS_Ranking4[[#This Row],[Structures Removed Raw]]/AK$4)*100)*AK$5)+(((FMS_Ranking4[[#This Row],[Removed Pop Raw]]/AR$4)*100)*AR$5)</f>
        <v>0</v>
      </c>
      <c r="BI78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1.0001998741004929</v>
      </c>
      <c r="BJ786" s="296">
        <f>_xlfn.RANK.EQ(FMS_Ranking4[[#This Row],[Total Score 
(with linear
normalization)]],FMS_Ranking4[Total Score 
(with linear
normalization)],0)</f>
        <v>743</v>
      </c>
      <c r="BK786" s="292" t="e">
        <f>_xlfn.XLOOKUP(FMS_Ranking4[[#This Row],[FMS ID]],#REF!,#REF!)</f>
        <v>#REF!</v>
      </c>
      <c r="BL786"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2.4261952858939386</v>
      </c>
      <c r="BM786" s="298">
        <f>FMS_Ranking4[[#This Row],[ArcSinh Score Based on Normalized Reported Factors]]+FMS_Ranking4[[#This Row],[% NBS Score (Normalized)]]+(FMS_Ranking4[[#This Row],[Water Supply Score (Normalized)]]*10*$BB$5)+FMS_Ranking4[[#This Row],[FMS_Type Score Weighted]]</f>
        <v>3.4261952858939386</v>
      </c>
      <c r="BN786" s="323">
        <f>_xlfn.RANK.EQ(FMS_Ranking4[[#This Row],[Total Score (with ArcSinh normalization of select criteria)]],FMS_Ranking4[Total Score (with ArcSinh normalization of select criteria)],0)</f>
        <v>779</v>
      </c>
      <c r="BO786" s="270" t="str">
        <f>_xlfn.XLOOKUP(FMS_Ranking4[[#This Row],[FMS ID]],FMS_Input[FMS_ID],FMS_Input[FMS_RANK_YEAR])</f>
        <v>2023 Amended Plan</v>
      </c>
      <c r="BP786" s="204">
        <f>_xlfn.XLOOKUP(FMS_Ranking4[[#This Row],[FMS ID]],Prev_Rank[FMS ID],Prev_Rank[Prev Rank])</f>
        <v>709</v>
      </c>
      <c r="BQ786" s="265" t="e">
        <f>_xlfn.XLOOKUP(FMS_Ranking4[[#This Row],[FMS ID]],#REF!,#REF!)</f>
        <v>#REF!</v>
      </c>
      <c r="BR786" s="199" t="e">
        <f>SUM(#REF!,#REF!,#REF!,#REF!,#REF!,#REF!,#REF!,#REF!,#REF!,FMS_Ranking4[[#This Row],[ArcSinh Res struct removed 0-10]],#REF!)</f>
        <v>#REF!</v>
      </c>
      <c r="BS786" s="199" t="e">
        <f>FMS_Ranking4[[#This Row],[Log Score Based on Normalized Reported Factors]]+FMS_Ranking4[[#This Row],[% NBS Score (Normalized)]]+(FMS_Ranking4[[#This Row],[Water Supply Score (Normalized)]]*10*$BB$5)+(FMS_Ranking4[[#This Row],[FMS_Type Score Weighted]])</f>
        <v>#REF!</v>
      </c>
      <c r="BT786" s="200" t="e">
        <f>_xlfn.RANK.EQ(FMS_Ranking4[[#This Row],[Log Total Score]],FMS_Ranking4[Log Total Score],0)</f>
        <v>#REF!</v>
      </c>
      <c r="BU786" s="200" t="e">
        <f>_xlfn.XLOOKUP(FMS_Ranking4[[#This Row],[FMS ID]],#REF!,#REF!)</f>
        <v>#REF!</v>
      </c>
      <c r="BV786" s="200">
        <f>FMS_Ranking4[[#This Row],[Region Number]]</f>
        <v>5</v>
      </c>
      <c r="BW786" s="200">
        <f>FMS_Ranking4[[#This Row],[Rank (with ArcSinh normalization of select criteria)]]-FMS_Ranking4[[#This Row],[Rank
(with linear
normalization)]]</f>
        <v>36</v>
      </c>
      <c r="BX786" s="200" t="e">
        <f>FMS_Ranking4[[#This Row],[Log Rank]]-FMS_Ranking4[[#This Row],[Rank
(with linear
normalization)]]</f>
        <v>#REF!</v>
      </c>
      <c r="BY786" s="200" t="str">
        <f>IF(FMS_Ranking4[[#This Row],[FMS Type]]="Flood Measurement and Warning",FMS_Ranking4[[#This Row],[Rank (with ArcSinh normalization of select criteria)]],"")</f>
        <v/>
      </c>
      <c r="BZ786" s="200" t="str">
        <f>IF(FMS_Ranking4[[#This Row],[FMS Type]]="Regulatory and Guidance",FMS_Ranking4[[#This Row],[Rank (with ArcSinh normalization of select criteria)]],"")</f>
        <v/>
      </c>
      <c r="CA786" s="200" t="str">
        <f>IF(FMS_Ranking4[[#This Row],[FMS Type]]="Education and Outreach",FMS_Ranking4[[#This Row],[Rank (with ArcSinh normalization of select criteria)]],"")</f>
        <v/>
      </c>
      <c r="CB786" s="200" t="str">
        <f>IF(FMS_Ranking4[[#This Row],[FMS Type]]="Property Acquisition and Structural Elevation",FMS_Ranking4[[#This Row],[Rank (with ArcSinh normalization of select criteria)]],"")</f>
        <v/>
      </c>
      <c r="CC786" s="200">
        <f>IF(FMS_Ranking4[[#This Row],[FMS Type]]="Infrastructure Projects",FMS_Ranking4[[#This Row],[Rank (with ArcSinh normalization of select criteria)]],"")</f>
        <v>779</v>
      </c>
      <c r="CD786" s="200" t="str">
        <f>IF(FMS_Ranking4[[#This Row],[FMS Type]]="Other",FMS_Ranking4[[#This Row],[Rank (with ArcSinh normalization of select criteria)]],"")</f>
        <v/>
      </c>
    </row>
    <row r="787" spans="2:82" ht="45" x14ac:dyDescent="0.25">
      <c r="B787" s="342" t="s">
        <v>3224</v>
      </c>
      <c r="C787" s="287">
        <f>_xlfn.XLOOKUP(FMS_Ranking4[[#This Row],[FMS ID]],FMS_Input[FMS_ID],FMS_Input[RFPG_NUM])</f>
        <v>7</v>
      </c>
      <c r="D787" s="309" t="str">
        <f>_xlfn.XLOOKUP(FMS_Ranking4[[#This Row],[FMS ID]],FMS_Input[FMS_ID],FMS_Input[FMS_NAME])</f>
        <v>Town of Aspermont NFIP Participation</v>
      </c>
      <c r="E787" s="322" t="str">
        <f>_xlfn.XLOOKUP(FMS_Ranking4[[#This Row],[FMS ID]],FMS_Input[FMS_ID],FMS_Input[SPONSOR])</f>
        <v>07002782</v>
      </c>
      <c r="F787" s="309" t="str">
        <f>_xlfn.XLOOKUP(FMS_Ranking4[[#This Row],[FMS ID]],Sponsor[FMS_ID],Sponsor[SPONSOR NAME])</f>
        <v>Aspermont</v>
      </c>
      <c r="G787" s="309" t="str">
        <f>_xlfn.XLOOKUP(FMS_Ranking4[[#This Row],[FMS ID]],FMS_Input[FMS_ID],FMS_Input[FMS_DESCR])</f>
        <v>Application to join NFIP or adoption of equivalent standards.</v>
      </c>
      <c r="H787" s="247" t="str">
        <f>_xlfn.XLOOKUP(FMS_Ranking4[[#This Row],[FMS ID]],FMS_Input[FMS_ID],FMS_Input[FMS_TYPE])</f>
        <v>Regulatory and Guidance</v>
      </c>
      <c r="I787" s="288">
        <f>_xlfn.XLOOKUP(FMS_Ranking4[[#This Row],[FMS ID]],FMS_Input[FMS_ID],FMS_Input[NRNC_COST])</f>
        <v>50000</v>
      </c>
      <c r="J787" s="250">
        <f>_xlfn.XLOOKUP(FMS_Ranking4[[#This Row],[FMS ID]],FMS_Input[FMS_ID],FMS_Input[FMS_COST])</f>
        <v>50000</v>
      </c>
      <c r="K787" s="289" t="str">
        <f>_xlfn.XLOOKUP(FMS_Ranking4[[#This Row],[FMS ID]],FMS_Input[FMS_ID],FMS_Input[EMER_NEED])</f>
        <v>No</v>
      </c>
      <c r="L787" s="252">
        <f t="shared" si="12"/>
        <v>0</v>
      </c>
      <c r="M787" s="253">
        <f>_xlfn.XLOOKUP(FMS_Ranking4[[#This Row],[FMS ID]],FMS_Input[FMS_ID],FMS_Input[STRUCT_100])</f>
        <v>0</v>
      </c>
      <c r="N787" s="255">
        <f>(ASINH(FMS_Ranking4[[#This Row],[Structure at Risk Raw]]))*(10)/(ASINH(M$4))</f>
        <v>0</v>
      </c>
      <c r="O787" s="255">
        <f>FMS_Ranking4[[#This Row],[Structures at risk, ArcSinh (0-10)]]*M$5*10</f>
        <v>0</v>
      </c>
      <c r="P787" s="259">
        <f>_xlfn.XLOOKUP(FMS_Ranking4[[#This Row],[FMS ID]],FMS_Input[FMS_ID],FMS_Input[RES_STRUCT100])</f>
        <v>0</v>
      </c>
      <c r="Q787" s="257">
        <f>ASINH(FMS_Ranking4[[#This Row],[Res Structure Raw]])/Q$4*P$5*100</f>
        <v>0</v>
      </c>
      <c r="R787" s="259">
        <f>_xlfn.XLOOKUP(FMS_Ranking4[[#This Row],[FMS ID]],FMS_Input[FMS_ID],FMS_Input[POP100])</f>
        <v>0</v>
      </c>
      <c r="S787" s="259">
        <f>(ASINH(FMS_Ranking4[[#This Row],[Pop at Risk Raw]]))*(10)/(ASINH(R$4))</f>
        <v>0</v>
      </c>
      <c r="T787" s="257">
        <f>FMS_Ranking4[[#This Row],[Population at risk, ArcSinh (0-10)]]*R$5*10</f>
        <v>0</v>
      </c>
      <c r="U787" s="259">
        <f>_xlfn.XLOOKUP(FMS_Ranking4[[#This Row],[FMS ID]],FMS_Input[FMS_ID],FMS_Input[CRITFAC100])</f>
        <v>0</v>
      </c>
      <c r="V787" s="259">
        <f>(ASINH(FMS_Ranking4[[#This Row],[Critical Facilities Raw]]))*(10)/(ASINH(U$4))</f>
        <v>0</v>
      </c>
      <c r="W787" s="257">
        <f>FMS_Ranking4[[#This Row],[Critical facilities at risk, ArcSinh (0-10)]]*U$5*10</f>
        <v>0</v>
      </c>
      <c r="X787" s="259">
        <f>_xlfn.XLOOKUP(FMS_Ranking4[[#This Row],[FMS ID]],FMS_Input[FMS_ID],FMS_Input[LWC])</f>
        <v>0</v>
      </c>
      <c r="Y787" s="259">
        <f>(ASINH(FMS_Ranking4[[#This Row],[LWC Raw]]))*(10)/(ASINH(X$4))</f>
        <v>0</v>
      </c>
      <c r="Z787" s="257">
        <f>FMS_Ranking4[[#This Row],[LWC, ArcSInh (0-10)]]*X$5*10</f>
        <v>0</v>
      </c>
      <c r="AA787" s="259">
        <f>_xlfn.XLOOKUP(FMS_Ranking4[[#This Row],[FMS ID]],FMS_Input[FMS_ID],FMS_Input[ROADCLS])</f>
        <v>0</v>
      </c>
      <c r="AB787" s="255">
        <f>(ASINH(FMS_Ranking4[[#This Row],[Road Closures Raw]]))*(10)/(ASINH(AA$4))</f>
        <v>0</v>
      </c>
      <c r="AC787" s="255">
        <f>FMS_Ranking4[[#This Row],[Road closures, ArcSinh (0-10)]]*AA$5*10</f>
        <v>0</v>
      </c>
      <c r="AD787" s="259">
        <f>_xlfn.XLOOKUP(FMS_Ranking4[[#This Row],[FMS ID]],FMS_Input[FMS_ID],FMS_Input[ROAD_MILES100])</f>
        <v>1</v>
      </c>
      <c r="AE787" s="259">
        <f>(ASINH(FMS_Ranking4[[#This Row],[Road Miles Raw]]))*(10)/(ASINH(AD$4))</f>
        <v>0.9393017565219649</v>
      </c>
      <c r="AF787" s="257">
        <f>FMS_Ranking4[[#This Row],[Length of roads at risk, ArcSinh (0-10)]]*AD$5*10</f>
        <v>0.93930175652196501</v>
      </c>
      <c r="AG787" s="259">
        <f>_xlfn.XLOOKUP(FMS_Ranking4[[#This Row],[FMS ID]],FMS_Input[FMS_ID],FMS_Input[FARMACRE100])</f>
        <v>1.9955098628997801</v>
      </c>
      <c r="AH787" s="255">
        <f>(ASINH(FMS_Ranking4[[#This Row],[Ag Land Raw]]))*(10)/(ASINH(AG$4))</f>
        <v>0.93645328821278384</v>
      </c>
      <c r="AI787" s="254">
        <f>FMS_Ranking4[[#This Row],[Farm &amp; ranch land, ArcSinh (0-10)]]*AG$5*10</f>
        <v>0.46822664410639198</v>
      </c>
      <c r="AJ787" s="258">
        <f>_xlfn.XLOOKUP(FMS_Ranking4[[#This Row],[FMS ID]],FMS_Input[FMS_ID],FMS_Input[REDSTRUCT100])</f>
        <v>0</v>
      </c>
      <c r="AK787" s="253">
        <f>_xlfn.XLOOKUP(FMS_Ranking4[[#This Row],[FMS ID]],FMS_Input[FMS_ID],FMS_Input[REMSTRC100])</f>
        <v>0</v>
      </c>
      <c r="AL787" s="259">
        <f>(ASINH(FMS_Ranking4[[#This Row],[Structures Removed Raw]]))*(10)/(ASINH(AK$4))</f>
        <v>0</v>
      </c>
      <c r="AM787" s="254">
        <f>FMS_Ranking4[[#This Row],[Structures removed, ArcSinh (0-10)]]*AK$5*10</f>
        <v>0</v>
      </c>
      <c r="AN787" s="253">
        <f>_xlfn.XLOOKUP(FMS_Ranking4[[#This Row],[FMS ID]],FMS_Input[FMS_ID],FMS_Input[REMRESSTRC100])</f>
        <v>0</v>
      </c>
      <c r="AO787" s="258">
        <f>FMS_Ranking4[[#This Row],[ArcSinh Res struct removed 0-10]]*AN$5*10</f>
        <v>0</v>
      </c>
      <c r="AP787" s="254">
        <f>ASINH(FMS_Ranking4[[#This Row],[Residential Structures Removed Raw]])/AP$4*AN$5*100</f>
        <v>0</v>
      </c>
      <c r="AQ787" s="260">
        <f>(ASINH(FMS_Ranking4[[#This Row],[Residential Structures Removed Raw]]))*(10)/(ASINH(AN$4))</f>
        <v>0</v>
      </c>
      <c r="AR787" s="253">
        <f>_xlfn.XLOOKUP(FMS_Ranking4[[#This Row],[FMS ID]],FMS_Input[FMS_ID],FMS_Input[REMPOP100])</f>
        <v>0</v>
      </c>
      <c r="AS787" s="259">
        <f>(ASINH(FMS_Ranking4[[#This Row],[Removed Pop Raw]]))*(10)/(ASINH(AR$4))</f>
        <v>0</v>
      </c>
      <c r="AT787" s="263">
        <f>FMS_Ranking4[[#This Row],[Removed population, ArcSinh (0-10)]]*AR$5*10</f>
        <v>0</v>
      </c>
      <c r="AU787" s="264">
        <f>_xlfn.XLOOKUP(FMS_Ranking4[[#This Row],[FMS ID]],FMS_Input[FMS_ID],FMS_Input[REMCRITFAC100])</f>
        <v>0</v>
      </c>
      <c r="AV787" s="264">
        <f>_xlfn.XLOOKUP(FMS_Ranking4[[#This Row],[FMS ID]],FMS_Input[FMS_ID],FMS_Input[REMLWC100])</f>
        <v>0</v>
      </c>
      <c r="AW787" s="264">
        <f>_xlfn.XLOOKUP(FMS_Ranking4[[#This Row],[FMS ID]],FMS_Input[FMS_ID],FMS_Input[REMROADCLS])</f>
        <v>0</v>
      </c>
      <c r="AX787" s="264">
        <f>_xlfn.XLOOKUP(FMS_Ranking4[[#This Row],[FMS ID]],FMS_Input[FMS_ID],FMS_Input[REMFRMACRE100])</f>
        <v>0</v>
      </c>
      <c r="AY787" s="258">
        <f>_xlfn.XLOOKUP(FMS_Ranking4[[#This Row],[FMS ID]],FMS_Input[FMS_ID],FMS_Input[COSTSTRUCT])</f>
        <v>0</v>
      </c>
      <c r="AZ787" s="258">
        <f>_xlfn.XLOOKUP(FMS_Ranking4[[#This Row],[FMS ID]],FMS_Input[FMS_ID],FMS_Input[NATURE])</f>
        <v>0</v>
      </c>
      <c r="BA787" s="290">
        <f>(((FMS_Ranking4[[#This Row],[% NBS Raw]]/AZ$4)*100)*AZ$5)</f>
        <v>0</v>
      </c>
      <c r="BB787" s="251" t="str">
        <f>_xlfn.XLOOKUP(FMS_Ranking4[[#This Row],[FMS ID]],FMS_Input[FMS_ID],FMS_Input[WATER_SUP])</f>
        <v>No</v>
      </c>
      <c r="BC787" s="265">
        <f>IF(FMS_Ranking4[[#This Row],[Water Supply Raw]]="Yes",10,0)</f>
        <v>0</v>
      </c>
      <c r="BD787" s="251">
        <f>_xlfn.XLOOKUP(FMS_Ranking4[[#This Row],[FMS Type]],FMS_TYPE[FMS_Type],FMS_TYPE[Score])</f>
        <v>8</v>
      </c>
      <c r="BE787" s="267">
        <f>FMS_Ranking4[[#This Row],[FMS_Type Score]]*$BD$5*10</f>
        <v>2</v>
      </c>
      <c r="BF78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1.686483069927468E-3</v>
      </c>
      <c r="BG787" s="271">
        <f>_xlfn.RANK.EQ(BF787,$BF$8:$BF$870,0)+COUNTIF($BF$8:BF787,BF787)-1</f>
        <v>733</v>
      </c>
      <c r="BH787" s="268">
        <f>(((FMS_Ranking4[[#This Row],[Structures Removed Raw]]/AK$4)*100)*AK$5)+(((FMS_Ranking4[[#This Row],[Removed Pop Raw]]/AR$4)*100)*AR$5)</f>
        <v>0</v>
      </c>
      <c r="BI78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2.0016864830699275</v>
      </c>
      <c r="BJ787" s="325">
        <f>_xlfn.RANK.EQ(FMS_Ranking4[[#This Row],[Total Score 
(with linear
normalization)]],FMS_Ranking4[Total Score 
(with linear
normalization)],0)</f>
        <v>457</v>
      </c>
      <c r="BK787" s="327" t="e">
        <f>_xlfn.XLOOKUP(FMS_Ranking4[[#This Row],[FMS ID]],#REF!,#REF!)</f>
        <v>#REF!</v>
      </c>
      <c r="BL78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1.407528400628357</v>
      </c>
      <c r="BM787" s="330">
        <f>FMS_Ranking4[[#This Row],[ArcSinh Score Based on Normalized Reported Factors]]+FMS_Ranking4[[#This Row],[% NBS Score (Normalized)]]+(FMS_Ranking4[[#This Row],[Water Supply Score (Normalized)]]*10*$BB$5)+FMS_Ranking4[[#This Row],[FMS_Type Score Weighted]]</f>
        <v>3.4075284006283573</v>
      </c>
      <c r="BN787" s="332">
        <f>_xlfn.RANK.EQ(FMS_Ranking4[[#This Row],[Total Score (with ArcSinh normalization of select criteria)]],FMS_Ranking4[Total Score (with ArcSinh normalization of select criteria)],0)</f>
        <v>780</v>
      </c>
      <c r="BO787" s="270" t="str">
        <f>_xlfn.XLOOKUP(FMS_Ranking4[[#This Row],[FMS ID]],FMS_Input[FMS_ID],FMS_Input[FMS_RANK_YEAR])</f>
        <v>2023 Amended Plan</v>
      </c>
      <c r="BP787" s="204">
        <f>_xlfn.XLOOKUP(FMS_Ranking4[[#This Row],[FMS ID]],Prev_Rank[FMS ID],Prev_Rank[Prev Rank])</f>
        <v>710</v>
      </c>
      <c r="BQ787" s="334" t="e">
        <f>_xlfn.XLOOKUP(FMS_Ranking4[[#This Row],[FMS ID]],#REF!,#REF!)</f>
        <v>#REF!</v>
      </c>
      <c r="BR787" s="199" t="e">
        <f>SUM(#REF!,#REF!,#REF!,#REF!,#REF!,#REF!,#REF!,#REF!,#REF!,FMS_Ranking4[[#This Row],[ArcSinh Res struct removed 0-10]],#REF!)</f>
        <v>#REF!</v>
      </c>
      <c r="BS787" s="199" t="e">
        <f>FMS_Ranking4[[#This Row],[Log Score Based on Normalized Reported Factors]]+FMS_Ranking4[[#This Row],[% NBS Score (Normalized)]]+(FMS_Ranking4[[#This Row],[Water Supply Score (Normalized)]]*10*$BB$5)+(FMS_Ranking4[[#This Row],[FMS_Type Score Weighted]])</f>
        <v>#REF!</v>
      </c>
      <c r="BT787" s="200" t="e">
        <f>_xlfn.RANK.EQ(FMS_Ranking4[[#This Row],[Log Total Score]],FMS_Ranking4[Log Total Score],0)</f>
        <v>#REF!</v>
      </c>
      <c r="BU787" s="200" t="e">
        <f>_xlfn.XLOOKUP(FMS_Ranking4[[#This Row],[FMS ID]],#REF!,#REF!)</f>
        <v>#REF!</v>
      </c>
      <c r="BV787" s="200">
        <f>FMS_Ranking4[[#This Row],[Region Number]]</f>
        <v>7</v>
      </c>
      <c r="BW787" s="200">
        <f>FMS_Ranking4[[#This Row],[Rank (with ArcSinh normalization of select criteria)]]-FMS_Ranking4[[#This Row],[Rank
(with linear
normalization)]]</f>
        <v>323</v>
      </c>
      <c r="BX787" s="200" t="e">
        <f>FMS_Ranking4[[#This Row],[Log Rank]]-FMS_Ranking4[[#This Row],[Rank
(with linear
normalization)]]</f>
        <v>#REF!</v>
      </c>
      <c r="BY787" s="200" t="str">
        <f>IF(FMS_Ranking4[[#This Row],[FMS Type]]="Flood Measurement and Warning",FMS_Ranking4[[#This Row],[Rank (with ArcSinh normalization of select criteria)]],"")</f>
        <v/>
      </c>
      <c r="BZ787" s="200">
        <f>IF(FMS_Ranking4[[#This Row],[FMS Type]]="Regulatory and Guidance",FMS_Ranking4[[#This Row],[Rank (with ArcSinh normalization of select criteria)]],"")</f>
        <v>780</v>
      </c>
      <c r="CA787" s="200" t="str">
        <f>IF(FMS_Ranking4[[#This Row],[FMS Type]]="Education and Outreach",FMS_Ranking4[[#This Row],[Rank (with ArcSinh normalization of select criteria)]],"")</f>
        <v/>
      </c>
      <c r="CB787" s="200" t="str">
        <f>IF(FMS_Ranking4[[#This Row],[FMS Type]]="Property Acquisition and Structural Elevation",FMS_Ranking4[[#This Row],[Rank (with ArcSinh normalization of select criteria)]],"")</f>
        <v/>
      </c>
      <c r="CC787" s="200" t="str">
        <f>IF(FMS_Ranking4[[#This Row],[FMS Type]]="Infrastructure Projects",FMS_Ranking4[[#This Row],[Rank (with ArcSinh normalization of select criteria)]],"")</f>
        <v/>
      </c>
      <c r="CD787" s="200" t="str">
        <f>IF(FMS_Ranking4[[#This Row],[FMS Type]]="Other",FMS_Ranking4[[#This Row],[Rank (with ArcSinh normalization of select criteria)]],"")</f>
        <v/>
      </c>
    </row>
    <row r="788" spans="2:82" ht="60" x14ac:dyDescent="0.25">
      <c r="B788" s="342" t="s">
        <v>4084</v>
      </c>
      <c r="C788" s="287">
        <f>_xlfn.XLOOKUP(FMS_Ranking4[[#This Row],[FMS ID]],FMS_Input[FMS_ID],FMS_Input[RFPG_NUM])</f>
        <v>15</v>
      </c>
      <c r="D788" s="309" t="str">
        <f>_xlfn.XLOOKUP(FMS_Ranking4[[#This Row],[FMS ID]],FMS_Input[FMS_ID],FMS_Input[FMS_NAME])</f>
        <v>Willacy County Drainage District - Re-negotiate El Sauz contractual agreement</v>
      </c>
      <c r="E788" s="322" t="str">
        <f>_xlfn.XLOOKUP(FMS_Ranking4[[#This Row],[FMS ID]],FMS_Input[FMS_ID],FMS_Input[SPONSOR])</f>
        <v>15000021</v>
      </c>
      <c r="F788" s="309" t="str">
        <f>_xlfn.XLOOKUP(FMS_Ranking4[[#This Row],[FMS ID]],Sponsor[FMS_ID],Sponsor[SPONSOR NAME])</f>
        <v>Willacy County Drainage District 1</v>
      </c>
      <c r="G788" s="309" t="str">
        <f>_xlfn.XLOOKUP(FMS_Ranking4[[#This Row],[FMS ID]],FMS_Input[FMS_ID],FMS_Input[FMS_DESCR])</f>
        <v>Re-negotiate agreement with El Sauz Ranch to facilitate more outfall volume</v>
      </c>
      <c r="H788" s="247" t="str">
        <f>_xlfn.XLOOKUP(FMS_Ranking4[[#This Row],[FMS ID]],FMS_Input[FMS_ID],FMS_Input[FMS_TYPE])</f>
        <v>Other</v>
      </c>
      <c r="I788" s="288">
        <f>_xlfn.XLOOKUP(FMS_Ranking4[[#This Row],[FMS ID]],FMS_Input[FMS_ID],FMS_Input[NRNC_COST])</f>
        <v>25000</v>
      </c>
      <c r="J788" s="250">
        <f>_xlfn.XLOOKUP(FMS_Ranking4[[#This Row],[FMS ID]],FMS_Input[FMS_ID],FMS_Input[FMS_COST])</f>
        <v>500000</v>
      </c>
      <c r="K788" s="289" t="str">
        <f>_xlfn.XLOOKUP(FMS_Ranking4[[#This Row],[FMS ID]],FMS_Input[FMS_ID],FMS_Input[EMER_NEED])</f>
        <v>Yes</v>
      </c>
      <c r="L788" s="252">
        <f t="shared" si="12"/>
        <v>1</v>
      </c>
      <c r="M788" s="253">
        <f>_xlfn.XLOOKUP(FMS_Ranking4[[#This Row],[FMS ID]],FMS_Input[FMS_ID],FMS_Input[STRUCT_100])</f>
        <v>5</v>
      </c>
      <c r="N788" s="255">
        <f>(ASINH(FMS_Ranking4[[#This Row],[Structure at Risk Raw]]))*(10)/(ASINH(M$4))</f>
        <v>1.8179208433966958</v>
      </c>
      <c r="O788" s="255">
        <f>FMS_Ranking4[[#This Row],[Structures at risk, ArcSinh (0-10)]]*M$5*10</f>
        <v>1.817920843396696</v>
      </c>
      <c r="P788" s="259">
        <f>_xlfn.XLOOKUP(FMS_Ranking4[[#This Row],[FMS ID]],FMS_Input[FMS_ID],FMS_Input[RES_STRUCT100])</f>
        <v>0</v>
      </c>
      <c r="Q788" s="257">
        <f>ASINH(FMS_Ranking4[[#This Row],[Res Structure Raw]])/Q$4*P$5*100</f>
        <v>0</v>
      </c>
      <c r="R788" s="259">
        <f>_xlfn.XLOOKUP(FMS_Ranking4[[#This Row],[FMS ID]],FMS_Input[FMS_ID],FMS_Input[POP100])</f>
        <v>0</v>
      </c>
      <c r="S788" s="255">
        <f>(ASINH(FMS_Ranking4[[#This Row],[Pop at Risk Raw]]))*(10)/(ASINH(R$4))</f>
        <v>0</v>
      </c>
      <c r="T788" s="257">
        <f>FMS_Ranking4[[#This Row],[Population at risk, ArcSinh (0-10)]]*R$5*10</f>
        <v>0</v>
      </c>
      <c r="U788" s="259">
        <f>_xlfn.XLOOKUP(FMS_Ranking4[[#This Row],[FMS ID]],FMS_Input[FMS_ID],FMS_Input[CRITFAC100])</f>
        <v>0</v>
      </c>
      <c r="V788" s="255">
        <f>(ASINH(FMS_Ranking4[[#This Row],[Critical Facilities Raw]]))*(10)/(ASINH(U$4))</f>
        <v>0</v>
      </c>
      <c r="W788" s="257">
        <f>FMS_Ranking4[[#This Row],[Critical facilities at risk, ArcSinh (0-10)]]*U$5*10</f>
        <v>0</v>
      </c>
      <c r="X788" s="259">
        <f>_xlfn.XLOOKUP(FMS_Ranking4[[#This Row],[FMS ID]],FMS_Input[FMS_ID],FMS_Input[LWC])</f>
        <v>0</v>
      </c>
      <c r="Y788" s="255">
        <f>(ASINH(FMS_Ranking4[[#This Row],[LWC Raw]]))*(10)/(ASINH(X$4))</f>
        <v>0</v>
      </c>
      <c r="Z788" s="257">
        <f>FMS_Ranking4[[#This Row],[LWC, ArcSInh (0-10)]]*X$5*10</f>
        <v>0</v>
      </c>
      <c r="AA788" s="259">
        <f>_xlfn.XLOOKUP(FMS_Ranking4[[#This Row],[FMS ID]],FMS_Input[FMS_ID],FMS_Input[ROADCLS])</f>
        <v>0</v>
      </c>
      <c r="AB788" s="255">
        <f>(ASINH(FMS_Ranking4[[#This Row],[Road Closures Raw]]))*(10)/(ASINH(AA$4))</f>
        <v>0</v>
      </c>
      <c r="AC788" s="255">
        <f>FMS_Ranking4[[#This Row],[Road closures, ArcSinh (0-10)]]*AA$5*10</f>
        <v>0</v>
      </c>
      <c r="AD788" s="259">
        <f>_xlfn.XLOOKUP(FMS_Ranking4[[#This Row],[FMS ID]],FMS_Input[FMS_ID],FMS_Input[ROAD_MILES100])</f>
        <v>0</v>
      </c>
      <c r="AE788" s="255">
        <f>(ASINH(FMS_Ranking4[[#This Row],[Road Miles Raw]]))*(10)/(ASINH(AD$4))</f>
        <v>0</v>
      </c>
      <c r="AF788" s="257">
        <f>FMS_Ranking4[[#This Row],[Length of roads at risk, ArcSinh (0-10)]]*AD$5*10</f>
        <v>0</v>
      </c>
      <c r="AG788" s="259">
        <f>_xlfn.XLOOKUP(FMS_Ranking4[[#This Row],[FMS ID]],FMS_Input[FMS_ID],FMS_Input[FARMACRE100])</f>
        <v>12.719705581665041</v>
      </c>
      <c r="AH788" s="255">
        <f>(ASINH(FMS_Ranking4[[#This Row],[Ag Land Raw]]))*(10)/(ASINH(AG$4))</f>
        <v>2.1032416617169734</v>
      </c>
      <c r="AI788" s="254">
        <f>FMS_Ranking4[[#This Row],[Farm &amp; ranch land, ArcSinh (0-10)]]*AG$5*10</f>
        <v>1.0516208308584867</v>
      </c>
      <c r="AJ788" s="258">
        <f>_xlfn.XLOOKUP(FMS_Ranking4[[#This Row],[FMS ID]],FMS_Input[FMS_ID],FMS_Input[REDSTRUCT100])</f>
        <v>0</v>
      </c>
      <c r="AK788" s="253">
        <f>_xlfn.XLOOKUP(FMS_Ranking4[[#This Row],[FMS ID]],FMS_Input[FMS_ID],FMS_Input[REMSTRC100])</f>
        <v>0</v>
      </c>
      <c r="AL788" s="255">
        <f>(ASINH(FMS_Ranking4[[#This Row],[Structures Removed Raw]]))*(10)/(ASINH(AK$4))</f>
        <v>0</v>
      </c>
      <c r="AM788" s="254">
        <f>FMS_Ranking4[[#This Row],[Structures removed, ArcSinh (0-10)]]*AK$5*10</f>
        <v>0</v>
      </c>
      <c r="AN788" s="253">
        <f>_xlfn.XLOOKUP(FMS_Ranking4[[#This Row],[FMS ID]],FMS_Input[FMS_ID],FMS_Input[REMRESSTRC100])</f>
        <v>0</v>
      </c>
      <c r="AO788" s="258">
        <f>FMS_Ranking4[[#This Row],[ArcSinh Res struct removed 0-10]]*AN$5*10</f>
        <v>0</v>
      </c>
      <c r="AP788" s="254">
        <f>ASINH(FMS_Ranking4[[#This Row],[Residential Structures Removed Raw]])/AP$4*AN$5*100</f>
        <v>0</v>
      </c>
      <c r="AQ788" s="261">
        <f>(ASINH(FMS_Ranking4[[#This Row],[Residential Structures Removed Raw]]))*(10)/(ASINH(AN$4))</f>
        <v>0</v>
      </c>
      <c r="AR788" s="253">
        <f>_xlfn.XLOOKUP(FMS_Ranking4[[#This Row],[FMS ID]],FMS_Input[FMS_ID],FMS_Input[REMPOP100])</f>
        <v>0</v>
      </c>
      <c r="AS788" s="255">
        <f>(ASINH(FMS_Ranking4[[#This Row],[Removed Pop Raw]]))*(10)/(ASINH(AR$4))</f>
        <v>0</v>
      </c>
      <c r="AT788" s="263">
        <f>FMS_Ranking4[[#This Row],[Removed population, ArcSinh (0-10)]]*AR$5*10</f>
        <v>0</v>
      </c>
      <c r="AU788" s="264">
        <f>_xlfn.XLOOKUP(FMS_Ranking4[[#This Row],[FMS ID]],FMS_Input[FMS_ID],FMS_Input[REMCRITFAC100])</f>
        <v>0</v>
      </c>
      <c r="AV788" s="264">
        <f>_xlfn.XLOOKUP(FMS_Ranking4[[#This Row],[FMS ID]],FMS_Input[FMS_ID],FMS_Input[REMLWC100])</f>
        <v>0</v>
      </c>
      <c r="AW788" s="264">
        <f>_xlfn.XLOOKUP(FMS_Ranking4[[#This Row],[FMS ID]],FMS_Input[FMS_ID],FMS_Input[REMROADCLS])</f>
        <v>0</v>
      </c>
      <c r="AX788" s="264">
        <f>_xlfn.XLOOKUP(FMS_Ranking4[[#This Row],[FMS ID]],FMS_Input[FMS_ID],FMS_Input[REMFRMACRE100])</f>
        <v>0</v>
      </c>
      <c r="AY788" s="258">
        <f>_xlfn.XLOOKUP(FMS_Ranking4[[#This Row],[FMS ID]],FMS_Input[FMS_ID],FMS_Input[COSTSTRUCT])</f>
        <v>0</v>
      </c>
      <c r="AZ788" s="258">
        <f>_xlfn.XLOOKUP(FMS_Ranking4[[#This Row],[FMS ID]],FMS_Input[FMS_ID],FMS_Input[NATURE])</f>
        <v>0</v>
      </c>
      <c r="BA788" s="290">
        <f>(((FMS_Ranking4[[#This Row],[% NBS Raw]]/AZ$4)*100)*AZ$5)</f>
        <v>0</v>
      </c>
      <c r="BB788" s="251" t="str">
        <f>_xlfn.XLOOKUP(FMS_Ranking4[[#This Row],[FMS ID]],FMS_Input[FMS_ID],FMS_Input[WATER_SUP])</f>
        <v>No</v>
      </c>
      <c r="BC788" s="265">
        <f>IF(FMS_Ranking4[[#This Row],[Water Supply Raw]]="Yes",10,0)</f>
        <v>0</v>
      </c>
      <c r="BD788" s="251">
        <f>_xlfn.XLOOKUP(FMS_Ranking4[[#This Row],[FMS Type]],FMS_TYPE[FMS_Type],FMS_TYPE[Score])</f>
        <v>2</v>
      </c>
      <c r="BE788" s="267">
        <f>FMS_Ranking4[[#This Row],[FMS_Type Score]]*$BD$5*10</f>
        <v>0.5</v>
      </c>
      <c r="BF788"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3.2522532943901394E-4</v>
      </c>
      <c r="BG788" s="321">
        <f>_xlfn.RANK.EQ(BF788,$BF$8:$BF$870,0)+COUNTIF($BF$8:BF788,BF788)-1</f>
        <v>764</v>
      </c>
      <c r="BH788" s="294">
        <f>(((FMS_Ranking4[[#This Row],[Structures Removed Raw]]/AK$4)*100)*AK$5)+(((FMS_Ranking4[[#This Row],[Removed Pop Raw]]/AR$4)*100)*AR$5)</f>
        <v>0</v>
      </c>
      <c r="BI78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0.50032522532943902</v>
      </c>
      <c r="BJ788" s="296">
        <f>_xlfn.RANK.EQ(FMS_Ranking4[[#This Row],[Total Score 
(with linear
normalization)]],FMS_Ranking4[Total Score 
(with linear
normalization)],0)</f>
        <v>856</v>
      </c>
      <c r="BK788" s="292" t="e">
        <f>_xlfn.XLOOKUP(FMS_Ranking4[[#This Row],[FMS ID]],#REF!,#REF!)</f>
        <v>#REF!</v>
      </c>
      <c r="BL788"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2.8695416742551827</v>
      </c>
      <c r="BM788" s="298">
        <f>FMS_Ranking4[[#This Row],[ArcSinh Score Based on Normalized Reported Factors]]+FMS_Ranking4[[#This Row],[% NBS Score (Normalized)]]+(FMS_Ranking4[[#This Row],[Water Supply Score (Normalized)]]*10*$BB$5)+FMS_Ranking4[[#This Row],[FMS_Type Score Weighted]]</f>
        <v>3.3695416742551827</v>
      </c>
      <c r="BN788" s="323">
        <f>_xlfn.RANK.EQ(FMS_Ranking4[[#This Row],[Total Score (with ArcSinh normalization of select criteria)]],FMS_Ranking4[Total Score (with ArcSinh normalization of select criteria)],0)</f>
        <v>781</v>
      </c>
      <c r="BO788" s="270" t="str">
        <f>_xlfn.XLOOKUP(FMS_Ranking4[[#This Row],[FMS ID]],FMS_Input[FMS_ID],FMS_Input[FMS_RANK_YEAR])</f>
        <v>2023 Amended Plan</v>
      </c>
      <c r="BP788" s="204">
        <f>_xlfn.XLOOKUP(FMS_Ranking4[[#This Row],[FMS ID]],Prev_Rank[FMS ID],Prev_Rank[Prev Rank])</f>
        <v>711</v>
      </c>
      <c r="BQ788" s="265" t="e">
        <f>_xlfn.XLOOKUP(FMS_Ranking4[[#This Row],[FMS ID]],#REF!,#REF!)</f>
        <v>#REF!</v>
      </c>
      <c r="BR788" s="199" t="e">
        <f>SUM(#REF!,#REF!,#REF!,#REF!,#REF!,#REF!,#REF!,#REF!,#REF!,FMS_Ranking4[[#This Row],[ArcSinh Res struct removed 0-10]],#REF!)</f>
        <v>#REF!</v>
      </c>
      <c r="BS788" s="199" t="e">
        <f>FMS_Ranking4[[#This Row],[Log Score Based on Normalized Reported Factors]]+FMS_Ranking4[[#This Row],[% NBS Score (Normalized)]]+(FMS_Ranking4[[#This Row],[Water Supply Score (Normalized)]]*10*$BB$5)+(FMS_Ranking4[[#This Row],[FMS_Type Score Weighted]])</f>
        <v>#REF!</v>
      </c>
      <c r="BT788" s="200" t="e">
        <f>_xlfn.RANK.EQ(FMS_Ranking4[[#This Row],[Log Total Score]],FMS_Ranking4[Log Total Score],0)</f>
        <v>#REF!</v>
      </c>
      <c r="BU788" s="200" t="e">
        <f>_xlfn.XLOOKUP(FMS_Ranking4[[#This Row],[FMS ID]],#REF!,#REF!)</f>
        <v>#REF!</v>
      </c>
      <c r="BV788" s="200">
        <f>FMS_Ranking4[[#This Row],[Region Number]]</f>
        <v>15</v>
      </c>
      <c r="BW788" s="200">
        <f>FMS_Ranking4[[#This Row],[Rank (with ArcSinh normalization of select criteria)]]-FMS_Ranking4[[#This Row],[Rank
(with linear
normalization)]]</f>
        <v>-75</v>
      </c>
      <c r="BX788" s="200" t="e">
        <f>FMS_Ranking4[[#This Row],[Log Rank]]-FMS_Ranking4[[#This Row],[Rank
(with linear
normalization)]]</f>
        <v>#REF!</v>
      </c>
      <c r="BY788" s="200" t="str">
        <f>IF(FMS_Ranking4[[#This Row],[FMS Type]]="Flood Measurement and Warning",FMS_Ranking4[[#This Row],[Rank (with ArcSinh normalization of select criteria)]],"")</f>
        <v/>
      </c>
      <c r="BZ788" s="200" t="str">
        <f>IF(FMS_Ranking4[[#This Row],[FMS Type]]="Regulatory and Guidance",FMS_Ranking4[[#This Row],[Rank (with ArcSinh normalization of select criteria)]],"")</f>
        <v/>
      </c>
      <c r="CA788" s="200" t="str">
        <f>IF(FMS_Ranking4[[#This Row],[FMS Type]]="Education and Outreach",FMS_Ranking4[[#This Row],[Rank (with ArcSinh normalization of select criteria)]],"")</f>
        <v/>
      </c>
      <c r="CB788" s="200" t="str">
        <f>IF(FMS_Ranking4[[#This Row],[FMS Type]]="Property Acquisition and Structural Elevation",FMS_Ranking4[[#This Row],[Rank (with ArcSinh normalization of select criteria)]],"")</f>
        <v/>
      </c>
      <c r="CC788" s="200" t="str">
        <f>IF(FMS_Ranking4[[#This Row],[FMS Type]]="Infrastructure Projects",FMS_Ranking4[[#This Row],[Rank (with ArcSinh normalization of select criteria)]],"")</f>
        <v/>
      </c>
      <c r="CD788" s="200">
        <f>IF(FMS_Ranking4[[#This Row],[FMS Type]]="Other",FMS_Ranking4[[#This Row],[Rank (with ArcSinh normalization of select criteria)]],"")</f>
        <v>781</v>
      </c>
    </row>
    <row r="789" spans="2:82" ht="45" x14ac:dyDescent="0.25">
      <c r="B789" s="342" t="s">
        <v>2340</v>
      </c>
      <c r="C789" s="287">
        <f>_xlfn.XLOOKUP(FMS_Ranking4[[#This Row],[FMS ID]],FMS_Input[FMS_ID],FMS_Input[RFPG_NUM])</f>
        <v>3</v>
      </c>
      <c r="D789" s="309" t="str">
        <f>_xlfn.XLOOKUP(FMS_Ranking4[[#This Row],[FMS ID]],FMS_Input[FMS_ID],FMS_Input[FMS_NAME])</f>
        <v>City of Dorchester NFIP Floodplain Ordinance</v>
      </c>
      <c r="E789" s="322" t="str">
        <f>_xlfn.XLOOKUP(FMS_Ranking4[[#This Row],[FMS ID]],FMS_Input[FMS_ID],FMS_Input[SPONSOR])</f>
        <v>Dorchester</v>
      </c>
      <c r="F789" s="309" t="str">
        <f>_xlfn.XLOOKUP(FMS_Ranking4[[#This Row],[FMS ID]],Sponsor[FMS_ID],Sponsor[SPONSOR NAME])</f>
        <v>Dorchester</v>
      </c>
      <c r="G789" s="309" t="str">
        <f>_xlfn.XLOOKUP(FMS_Ranking4[[#This Row],[FMS ID]],FMS_Input[FMS_ID],FMS_Input[FMS_DESCR])</f>
        <v>Develop a floodplain ordinance that meets or exceeds FEMA's minimum standards</v>
      </c>
      <c r="H789" s="247" t="str">
        <f>_xlfn.XLOOKUP(FMS_Ranking4[[#This Row],[FMS ID]],FMS_Input[FMS_ID],FMS_Input[FMS_TYPE])</f>
        <v>Regulatory and Guidance</v>
      </c>
      <c r="I789" s="288">
        <f>_xlfn.XLOOKUP(FMS_Ranking4[[#This Row],[FMS ID]],FMS_Input[FMS_ID],FMS_Input[NRNC_COST])</f>
        <v>100000</v>
      </c>
      <c r="J789" s="250">
        <f>_xlfn.XLOOKUP(FMS_Ranking4[[#This Row],[FMS ID]],FMS_Input[FMS_ID],FMS_Input[FMS_COST])</f>
        <v>100000</v>
      </c>
      <c r="K789" s="289" t="str">
        <f>_xlfn.XLOOKUP(FMS_Ranking4[[#This Row],[FMS ID]],FMS_Input[FMS_ID],FMS_Input[EMER_NEED])</f>
        <v>No</v>
      </c>
      <c r="L789" s="252">
        <f t="shared" si="12"/>
        <v>0</v>
      </c>
      <c r="M789" s="253">
        <f>_xlfn.XLOOKUP(FMS_Ranking4[[#This Row],[FMS ID]],FMS_Input[FMS_ID],FMS_Input[STRUCT_100])</f>
        <v>0</v>
      </c>
      <c r="N789" s="255">
        <f>(ASINH(FMS_Ranking4[[#This Row],[Structure at Risk Raw]]))*(10)/(ASINH(M$4))</f>
        <v>0</v>
      </c>
      <c r="O789" s="255">
        <f>FMS_Ranking4[[#This Row],[Structures at risk, ArcSinh (0-10)]]*M$5*10</f>
        <v>0</v>
      </c>
      <c r="P789" s="259">
        <f>_xlfn.XLOOKUP(FMS_Ranking4[[#This Row],[FMS ID]],FMS_Input[FMS_ID],FMS_Input[RES_STRUCT100])</f>
        <v>0</v>
      </c>
      <c r="Q789" s="257">
        <f>ASINH(FMS_Ranking4[[#This Row],[Res Structure Raw]])/Q$4*P$5*100</f>
        <v>0</v>
      </c>
      <c r="R789" s="259">
        <f>_xlfn.XLOOKUP(FMS_Ranking4[[#This Row],[FMS ID]],FMS_Input[FMS_ID],FMS_Input[POP100])</f>
        <v>0</v>
      </c>
      <c r="S789" s="259">
        <f>(ASINH(FMS_Ranking4[[#This Row],[Pop at Risk Raw]]))*(10)/(ASINH(R$4))</f>
        <v>0</v>
      </c>
      <c r="T789" s="257">
        <f>FMS_Ranking4[[#This Row],[Population at risk, ArcSinh (0-10)]]*R$5*10</f>
        <v>0</v>
      </c>
      <c r="U789" s="259">
        <f>_xlfn.XLOOKUP(FMS_Ranking4[[#This Row],[FMS ID]],FMS_Input[FMS_ID],FMS_Input[CRITFAC100])</f>
        <v>0</v>
      </c>
      <c r="V789" s="259">
        <f>(ASINH(FMS_Ranking4[[#This Row],[Critical Facilities Raw]]))*(10)/(ASINH(U$4))</f>
        <v>0</v>
      </c>
      <c r="W789" s="257">
        <f>FMS_Ranking4[[#This Row],[Critical facilities at risk, ArcSinh (0-10)]]*U$5*10</f>
        <v>0</v>
      </c>
      <c r="X789" s="259">
        <f>_xlfn.XLOOKUP(FMS_Ranking4[[#This Row],[FMS ID]],FMS_Input[FMS_ID],FMS_Input[LWC])</f>
        <v>0</v>
      </c>
      <c r="Y789" s="259">
        <f>(ASINH(FMS_Ranking4[[#This Row],[LWC Raw]]))*(10)/(ASINH(X$4))</f>
        <v>0</v>
      </c>
      <c r="Z789" s="257">
        <f>FMS_Ranking4[[#This Row],[LWC, ArcSInh (0-10)]]*X$5*10</f>
        <v>0</v>
      </c>
      <c r="AA789" s="259">
        <f>_xlfn.XLOOKUP(FMS_Ranking4[[#This Row],[FMS ID]],FMS_Input[FMS_ID],FMS_Input[ROADCLS])</f>
        <v>0</v>
      </c>
      <c r="AB789" s="255">
        <f>(ASINH(FMS_Ranking4[[#This Row],[Road Closures Raw]]))*(10)/(ASINH(AA$4))</f>
        <v>0</v>
      </c>
      <c r="AC789" s="255">
        <f>FMS_Ranking4[[#This Row],[Road closures, ArcSinh (0-10)]]*AA$5*10</f>
        <v>0</v>
      </c>
      <c r="AD789" s="259">
        <f>_xlfn.XLOOKUP(FMS_Ranking4[[#This Row],[FMS ID]],FMS_Input[FMS_ID],FMS_Input[ROAD_MILES100])</f>
        <v>0</v>
      </c>
      <c r="AE789" s="259">
        <f>(ASINH(FMS_Ranking4[[#This Row],[Road Miles Raw]]))*(10)/(ASINH(AD$4))</f>
        <v>0</v>
      </c>
      <c r="AF789" s="257">
        <f>FMS_Ranking4[[#This Row],[Length of roads at risk, ArcSinh (0-10)]]*AD$5*10</f>
        <v>0</v>
      </c>
      <c r="AG789" s="259">
        <f>_xlfn.XLOOKUP(FMS_Ranking4[[#This Row],[FMS ID]],FMS_Input[FMS_ID],FMS_Input[FARMACRE100])</f>
        <v>31.516939163208011</v>
      </c>
      <c r="AH789" s="255">
        <f>(ASINH(FMS_Ranking4[[#This Row],[Ag Land Raw]]))*(10)/(ASINH(AG$4))</f>
        <v>2.6918161886728234</v>
      </c>
      <c r="AI789" s="254">
        <f>FMS_Ranking4[[#This Row],[Farm &amp; ranch land, ArcSinh (0-10)]]*AG$5*10</f>
        <v>1.3459080943364119</v>
      </c>
      <c r="AJ789" s="258">
        <f>_xlfn.XLOOKUP(FMS_Ranking4[[#This Row],[FMS ID]],FMS_Input[FMS_ID],FMS_Input[REDSTRUCT100])</f>
        <v>0</v>
      </c>
      <c r="AK789" s="253">
        <f>_xlfn.XLOOKUP(FMS_Ranking4[[#This Row],[FMS ID]],FMS_Input[FMS_ID],FMS_Input[REMSTRC100])</f>
        <v>0</v>
      </c>
      <c r="AL789" s="259">
        <f>(ASINH(FMS_Ranking4[[#This Row],[Structures Removed Raw]]))*(10)/(ASINH(AK$4))</f>
        <v>0</v>
      </c>
      <c r="AM789" s="254">
        <f>FMS_Ranking4[[#This Row],[Structures removed, ArcSinh (0-10)]]*AK$5*10</f>
        <v>0</v>
      </c>
      <c r="AN789" s="253">
        <f>_xlfn.XLOOKUP(FMS_Ranking4[[#This Row],[FMS ID]],FMS_Input[FMS_ID],FMS_Input[REMRESSTRC100])</f>
        <v>0</v>
      </c>
      <c r="AO789" s="258">
        <f>FMS_Ranking4[[#This Row],[ArcSinh Res struct removed 0-10]]*AN$5*10</f>
        <v>0</v>
      </c>
      <c r="AP789" s="254">
        <f>ASINH(FMS_Ranking4[[#This Row],[Residential Structures Removed Raw]])/AP$4*AN$5*100</f>
        <v>0</v>
      </c>
      <c r="AQ789" s="260">
        <f>(ASINH(FMS_Ranking4[[#This Row],[Residential Structures Removed Raw]]))*(10)/(ASINH(AN$4))</f>
        <v>0</v>
      </c>
      <c r="AR789" s="253">
        <f>_xlfn.XLOOKUP(FMS_Ranking4[[#This Row],[FMS ID]],FMS_Input[FMS_ID],FMS_Input[REMPOP100])</f>
        <v>0</v>
      </c>
      <c r="AS789" s="259">
        <f>(ASINH(FMS_Ranking4[[#This Row],[Removed Pop Raw]]))*(10)/(ASINH(AR$4))</f>
        <v>0</v>
      </c>
      <c r="AT789" s="263">
        <f>FMS_Ranking4[[#This Row],[Removed population, ArcSinh (0-10)]]*AR$5*10</f>
        <v>0</v>
      </c>
      <c r="AU789" s="264">
        <f>_xlfn.XLOOKUP(FMS_Ranking4[[#This Row],[FMS ID]],FMS_Input[FMS_ID],FMS_Input[REMCRITFAC100])</f>
        <v>0</v>
      </c>
      <c r="AV789" s="264">
        <f>_xlfn.XLOOKUP(FMS_Ranking4[[#This Row],[FMS ID]],FMS_Input[FMS_ID],FMS_Input[REMLWC100])</f>
        <v>0</v>
      </c>
      <c r="AW789" s="264">
        <f>_xlfn.XLOOKUP(FMS_Ranking4[[#This Row],[FMS ID]],FMS_Input[FMS_ID],FMS_Input[REMROADCLS])</f>
        <v>0</v>
      </c>
      <c r="AX789" s="264">
        <f>_xlfn.XLOOKUP(FMS_Ranking4[[#This Row],[FMS ID]],FMS_Input[FMS_ID],FMS_Input[REMFRMACRE100])</f>
        <v>0</v>
      </c>
      <c r="AY789" s="258">
        <f>_xlfn.XLOOKUP(FMS_Ranking4[[#This Row],[FMS ID]],FMS_Input[FMS_ID],FMS_Input[COSTSTRUCT])</f>
        <v>0</v>
      </c>
      <c r="AZ789" s="258">
        <f>_xlfn.XLOOKUP(FMS_Ranking4[[#This Row],[FMS ID]],FMS_Input[FMS_ID],FMS_Input[NATURE])</f>
        <v>0</v>
      </c>
      <c r="BA789" s="290">
        <f>(((FMS_Ranking4[[#This Row],[% NBS Raw]]/AZ$4)*100)*AZ$5)</f>
        <v>0</v>
      </c>
      <c r="BB789" s="251" t="str">
        <f>_xlfn.XLOOKUP(FMS_Ranking4[[#This Row],[FMS ID]],FMS_Input[FMS_ID],FMS_Input[WATER_SUP])</f>
        <v>No</v>
      </c>
      <c r="BC789" s="265">
        <f>IF(FMS_Ranking4[[#This Row],[Water Supply Raw]]="Yes",10,0)</f>
        <v>0</v>
      </c>
      <c r="BD789" s="251">
        <f>_xlfn.XLOOKUP(FMS_Ranking4[[#This Row],[FMS Type]],FMS_TYPE[FMS_Type],FMS_TYPE[Score])</f>
        <v>8</v>
      </c>
      <c r="BE789" s="267">
        <f>FMS_Ranking4[[#This Row],[FMS_Type Score]]*$BD$5*10</f>
        <v>2</v>
      </c>
      <c r="BF789"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6.4980874269812718E-5</v>
      </c>
      <c r="BG789" s="271">
        <f>_xlfn.RANK.EQ(BF789,$BF$8:$BF$870,0)+COUNTIF($BF$8:BF789,BF789)-1</f>
        <v>784</v>
      </c>
      <c r="BH789" s="268">
        <f>(((FMS_Ranking4[[#This Row],[Structures Removed Raw]]/AK$4)*100)*AK$5)+(((FMS_Ranking4[[#This Row],[Removed Pop Raw]]/AR$4)*100)*AR$5)</f>
        <v>0</v>
      </c>
      <c r="BI78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2.0000649808742699</v>
      </c>
      <c r="BJ789" s="325">
        <f>_xlfn.RANK.EQ(FMS_Ranking4[[#This Row],[Total Score 
(with linear
normalization)]],FMS_Ranking4[Total Score 
(with linear
normalization)],0)</f>
        <v>483</v>
      </c>
      <c r="BK789" s="327" t="e">
        <f>_xlfn.XLOOKUP(FMS_Ranking4[[#This Row],[FMS ID]],#REF!,#REF!)</f>
        <v>#REF!</v>
      </c>
      <c r="BL789"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1.3459080943364119</v>
      </c>
      <c r="BM789" s="330">
        <f>FMS_Ranking4[[#This Row],[ArcSinh Score Based on Normalized Reported Factors]]+FMS_Ranking4[[#This Row],[% NBS Score (Normalized)]]+(FMS_Ranking4[[#This Row],[Water Supply Score (Normalized)]]*10*$BB$5)+FMS_Ranking4[[#This Row],[FMS_Type Score Weighted]]</f>
        <v>3.3459080943364121</v>
      </c>
      <c r="BN789" s="332">
        <f>_xlfn.RANK.EQ(FMS_Ranking4[[#This Row],[Total Score (with ArcSinh normalization of select criteria)]],FMS_Ranking4[Total Score (with ArcSinh normalization of select criteria)],0)</f>
        <v>782</v>
      </c>
      <c r="BO789" s="270" t="str">
        <f>_xlfn.XLOOKUP(FMS_Ranking4[[#This Row],[FMS ID]],FMS_Input[FMS_ID],FMS_Input[FMS_RANK_YEAR])</f>
        <v>2023 Amended Plan</v>
      </c>
      <c r="BP789" s="204">
        <f>_xlfn.XLOOKUP(FMS_Ranking4[[#This Row],[FMS ID]],Prev_Rank[FMS ID],Prev_Rank[Prev Rank])</f>
        <v>712</v>
      </c>
      <c r="BQ789" s="334" t="e">
        <f>_xlfn.XLOOKUP(FMS_Ranking4[[#This Row],[FMS ID]],#REF!,#REF!)</f>
        <v>#REF!</v>
      </c>
      <c r="BR789" s="199" t="e">
        <f>SUM(#REF!,#REF!,#REF!,#REF!,#REF!,#REF!,#REF!,#REF!,#REF!,FMS_Ranking4[[#This Row],[ArcSinh Res struct removed 0-10]],#REF!)</f>
        <v>#REF!</v>
      </c>
      <c r="BS789" s="199" t="e">
        <f>FMS_Ranking4[[#This Row],[Log Score Based on Normalized Reported Factors]]+FMS_Ranking4[[#This Row],[% NBS Score (Normalized)]]+(FMS_Ranking4[[#This Row],[Water Supply Score (Normalized)]]*10*$BB$5)+(FMS_Ranking4[[#This Row],[FMS_Type Score Weighted]])</f>
        <v>#REF!</v>
      </c>
      <c r="BT789" s="200" t="e">
        <f>_xlfn.RANK.EQ(FMS_Ranking4[[#This Row],[Log Total Score]],FMS_Ranking4[Log Total Score],0)</f>
        <v>#REF!</v>
      </c>
      <c r="BU789" s="200" t="e">
        <f>_xlfn.XLOOKUP(FMS_Ranking4[[#This Row],[FMS ID]],#REF!,#REF!)</f>
        <v>#REF!</v>
      </c>
      <c r="BV789" s="200">
        <f>FMS_Ranking4[[#This Row],[Region Number]]</f>
        <v>3</v>
      </c>
      <c r="BW789" s="200">
        <f>FMS_Ranking4[[#This Row],[Rank (with ArcSinh normalization of select criteria)]]-FMS_Ranking4[[#This Row],[Rank
(with linear
normalization)]]</f>
        <v>299</v>
      </c>
      <c r="BX789" s="200" t="e">
        <f>FMS_Ranking4[[#This Row],[Log Rank]]-FMS_Ranking4[[#This Row],[Rank
(with linear
normalization)]]</f>
        <v>#REF!</v>
      </c>
      <c r="BY789" s="200" t="str">
        <f>IF(FMS_Ranking4[[#This Row],[FMS Type]]="Flood Measurement and Warning",FMS_Ranking4[[#This Row],[Rank (with ArcSinh normalization of select criteria)]],"")</f>
        <v/>
      </c>
      <c r="BZ789" s="200">
        <f>IF(FMS_Ranking4[[#This Row],[FMS Type]]="Regulatory and Guidance",FMS_Ranking4[[#This Row],[Rank (with ArcSinh normalization of select criteria)]],"")</f>
        <v>782</v>
      </c>
      <c r="CA789" s="200" t="str">
        <f>IF(FMS_Ranking4[[#This Row],[FMS Type]]="Education and Outreach",FMS_Ranking4[[#This Row],[Rank (with ArcSinh normalization of select criteria)]],"")</f>
        <v/>
      </c>
      <c r="CB789" s="200" t="str">
        <f>IF(FMS_Ranking4[[#This Row],[FMS Type]]="Property Acquisition and Structural Elevation",FMS_Ranking4[[#This Row],[Rank (with ArcSinh normalization of select criteria)]],"")</f>
        <v/>
      </c>
      <c r="CC789" s="200" t="str">
        <f>IF(FMS_Ranking4[[#This Row],[FMS Type]]="Infrastructure Projects",FMS_Ranking4[[#This Row],[Rank (with ArcSinh normalization of select criteria)]],"")</f>
        <v/>
      </c>
      <c r="CD789" s="200" t="str">
        <f>IF(FMS_Ranking4[[#This Row],[FMS Type]]="Other",FMS_Ranking4[[#This Row],[Rank (with ArcSinh normalization of select criteria)]],"")</f>
        <v/>
      </c>
    </row>
    <row r="790" spans="2:82" ht="45" x14ac:dyDescent="0.25">
      <c r="B790" s="342" t="s">
        <v>3232</v>
      </c>
      <c r="C790" s="287">
        <f>_xlfn.XLOOKUP(FMS_Ranking4[[#This Row],[FMS ID]],FMS_Input[FMS_ID],FMS_Input[RFPG_NUM])</f>
        <v>7</v>
      </c>
      <c r="D790" s="309" t="str">
        <f>_xlfn.XLOOKUP(FMS_Ranking4[[#This Row],[FMS ID]],FMS_Input[FMS_ID],FMS_Input[FMS_NAME])</f>
        <v>City of Jayton NFIP Participation</v>
      </c>
      <c r="E790" s="322" t="str">
        <f>_xlfn.XLOOKUP(FMS_Ranking4[[#This Row],[FMS ID]],FMS_Input[FMS_ID],FMS_Input[SPONSOR])</f>
        <v>07002528</v>
      </c>
      <c r="F790" s="309" t="str">
        <f>_xlfn.XLOOKUP(FMS_Ranking4[[#This Row],[FMS ID]],Sponsor[FMS_ID],Sponsor[SPONSOR NAME])</f>
        <v>Jayton</v>
      </c>
      <c r="G790" s="309" t="str">
        <f>_xlfn.XLOOKUP(FMS_Ranking4[[#This Row],[FMS ID]],FMS_Input[FMS_ID],FMS_Input[FMS_DESCR])</f>
        <v>Application to join NFIP or adoption of equivalent standards.</v>
      </c>
      <c r="H790" s="247" t="str">
        <f>_xlfn.XLOOKUP(FMS_Ranking4[[#This Row],[FMS ID]],FMS_Input[FMS_ID],FMS_Input[FMS_TYPE])</f>
        <v>Regulatory and Guidance</v>
      </c>
      <c r="I790" s="288">
        <f>_xlfn.XLOOKUP(FMS_Ranking4[[#This Row],[FMS ID]],FMS_Input[FMS_ID],FMS_Input[NRNC_COST])</f>
        <v>50000</v>
      </c>
      <c r="J790" s="250">
        <f>_xlfn.XLOOKUP(FMS_Ranking4[[#This Row],[FMS ID]],FMS_Input[FMS_ID],FMS_Input[FMS_COST])</f>
        <v>50000</v>
      </c>
      <c r="K790" s="289" t="str">
        <f>_xlfn.XLOOKUP(FMS_Ranking4[[#This Row],[FMS ID]],FMS_Input[FMS_ID],FMS_Input[EMER_NEED])</f>
        <v>No</v>
      </c>
      <c r="L790" s="252">
        <f t="shared" si="12"/>
        <v>0</v>
      </c>
      <c r="M790" s="253">
        <f>_xlfn.XLOOKUP(FMS_Ranking4[[#This Row],[FMS ID]],FMS_Input[FMS_ID],FMS_Input[STRUCT_100])</f>
        <v>1</v>
      </c>
      <c r="N790" s="255">
        <f>(ASINH(FMS_Ranking4[[#This Row],[Structure at Risk Raw]]))*(10)/(ASINH(M$4))</f>
        <v>0.69289087024057039</v>
      </c>
      <c r="O790" s="255">
        <f>FMS_Ranking4[[#This Row],[Structures at risk, ArcSinh (0-10)]]*M$5*10</f>
        <v>0.6928908702405705</v>
      </c>
      <c r="P790" s="259">
        <f>_xlfn.XLOOKUP(FMS_Ranking4[[#This Row],[FMS ID]],FMS_Input[FMS_ID],FMS_Input[RES_STRUCT100])</f>
        <v>0</v>
      </c>
      <c r="Q790" s="257">
        <f>ASINH(FMS_Ranking4[[#This Row],[Res Structure Raw]])/Q$4*P$5*100</f>
        <v>0</v>
      </c>
      <c r="R790" s="259">
        <f>_xlfn.XLOOKUP(FMS_Ranking4[[#This Row],[FMS ID]],FMS_Input[FMS_ID],FMS_Input[POP100])</f>
        <v>1</v>
      </c>
      <c r="S790" s="259">
        <f>(ASINH(FMS_Ranking4[[#This Row],[Pop at Risk Raw]]))*(10)/(ASINH(R$4))</f>
        <v>0.60846349886646833</v>
      </c>
      <c r="T790" s="257">
        <f>FMS_Ranking4[[#This Row],[Population at risk, ArcSinh (0-10)]]*R$5*10</f>
        <v>0.60846349886646833</v>
      </c>
      <c r="U790" s="259">
        <f>_xlfn.XLOOKUP(FMS_Ranking4[[#This Row],[FMS ID]],FMS_Input[FMS_ID],FMS_Input[CRITFAC100])</f>
        <v>0</v>
      </c>
      <c r="V790" s="259">
        <f>(ASINH(FMS_Ranking4[[#This Row],[Critical Facilities Raw]]))*(10)/(ASINH(U$4))</f>
        <v>0</v>
      </c>
      <c r="W790" s="257">
        <f>FMS_Ranking4[[#This Row],[Critical facilities at risk, ArcSinh (0-10)]]*U$5*10</f>
        <v>0</v>
      </c>
      <c r="X790" s="259">
        <f>_xlfn.XLOOKUP(FMS_Ranking4[[#This Row],[FMS ID]],FMS_Input[FMS_ID],FMS_Input[LWC])</f>
        <v>0</v>
      </c>
      <c r="Y790" s="259">
        <f>(ASINH(FMS_Ranking4[[#This Row],[LWC Raw]]))*(10)/(ASINH(X$4))</f>
        <v>0</v>
      </c>
      <c r="Z790" s="257">
        <f>FMS_Ranking4[[#This Row],[LWC, ArcSInh (0-10)]]*X$5*10</f>
        <v>0</v>
      </c>
      <c r="AA790" s="259">
        <f>_xlfn.XLOOKUP(FMS_Ranking4[[#This Row],[FMS ID]],FMS_Input[FMS_ID],FMS_Input[ROADCLS])</f>
        <v>0</v>
      </c>
      <c r="AB790" s="255">
        <f>(ASINH(FMS_Ranking4[[#This Row],[Road Closures Raw]]))*(10)/(ASINH(AA$4))</f>
        <v>0</v>
      </c>
      <c r="AC790" s="255">
        <f>FMS_Ranking4[[#This Row],[Road closures, ArcSinh (0-10)]]*AA$5*10</f>
        <v>0</v>
      </c>
      <c r="AD790" s="259">
        <f>_xlfn.XLOOKUP(FMS_Ranking4[[#This Row],[FMS ID]],FMS_Input[FMS_ID],FMS_Input[ROAD_MILES100])</f>
        <v>0</v>
      </c>
      <c r="AE790" s="259">
        <f>(ASINH(FMS_Ranking4[[#This Row],[Road Miles Raw]]))*(10)/(ASINH(AD$4))</f>
        <v>0</v>
      </c>
      <c r="AF790" s="257">
        <f>FMS_Ranking4[[#This Row],[Length of roads at risk, ArcSinh (0-10)]]*AD$5*10</f>
        <v>0</v>
      </c>
      <c r="AG790" s="259">
        <f>_xlfn.XLOOKUP(FMS_Ranking4[[#This Row],[FMS ID]],FMS_Input[FMS_ID],FMS_Input[FARMACRE100])</f>
        <v>0</v>
      </c>
      <c r="AH790" s="255">
        <f>(ASINH(FMS_Ranking4[[#This Row],[Ag Land Raw]]))*(10)/(ASINH(AG$4))</f>
        <v>0</v>
      </c>
      <c r="AI790" s="254">
        <f>FMS_Ranking4[[#This Row],[Farm &amp; ranch land, ArcSinh (0-10)]]*AG$5*10</f>
        <v>0</v>
      </c>
      <c r="AJ790" s="258">
        <f>_xlfn.XLOOKUP(FMS_Ranking4[[#This Row],[FMS ID]],FMS_Input[FMS_ID],FMS_Input[REDSTRUCT100])</f>
        <v>0</v>
      </c>
      <c r="AK790" s="253">
        <f>_xlfn.XLOOKUP(FMS_Ranking4[[#This Row],[FMS ID]],FMS_Input[FMS_ID],FMS_Input[REMSTRC100])</f>
        <v>0</v>
      </c>
      <c r="AL790" s="259">
        <f>(ASINH(FMS_Ranking4[[#This Row],[Structures Removed Raw]]))*(10)/(ASINH(AK$4))</f>
        <v>0</v>
      </c>
      <c r="AM790" s="254">
        <f>FMS_Ranking4[[#This Row],[Structures removed, ArcSinh (0-10)]]*AK$5*10</f>
        <v>0</v>
      </c>
      <c r="AN790" s="253">
        <f>_xlfn.XLOOKUP(FMS_Ranking4[[#This Row],[FMS ID]],FMS_Input[FMS_ID],FMS_Input[REMRESSTRC100])</f>
        <v>0</v>
      </c>
      <c r="AO790" s="258">
        <f>FMS_Ranking4[[#This Row],[ArcSinh Res struct removed 0-10]]*AN$5*10</f>
        <v>0</v>
      </c>
      <c r="AP790" s="254">
        <f>ASINH(FMS_Ranking4[[#This Row],[Residential Structures Removed Raw]])/AP$4*AN$5*100</f>
        <v>0</v>
      </c>
      <c r="AQ790" s="260">
        <f>(ASINH(FMS_Ranking4[[#This Row],[Residential Structures Removed Raw]]))*(10)/(ASINH(AN$4))</f>
        <v>0</v>
      </c>
      <c r="AR790" s="253">
        <f>_xlfn.XLOOKUP(FMS_Ranking4[[#This Row],[FMS ID]],FMS_Input[FMS_ID],FMS_Input[REMPOP100])</f>
        <v>0</v>
      </c>
      <c r="AS790" s="259">
        <f>(ASINH(FMS_Ranking4[[#This Row],[Removed Pop Raw]]))*(10)/(ASINH(AR$4))</f>
        <v>0</v>
      </c>
      <c r="AT790" s="263">
        <f>FMS_Ranking4[[#This Row],[Removed population, ArcSinh (0-10)]]*AR$5*10</f>
        <v>0</v>
      </c>
      <c r="AU790" s="264">
        <f>_xlfn.XLOOKUP(FMS_Ranking4[[#This Row],[FMS ID]],FMS_Input[FMS_ID],FMS_Input[REMCRITFAC100])</f>
        <v>0</v>
      </c>
      <c r="AV790" s="264">
        <f>_xlfn.XLOOKUP(FMS_Ranking4[[#This Row],[FMS ID]],FMS_Input[FMS_ID],FMS_Input[REMLWC100])</f>
        <v>0</v>
      </c>
      <c r="AW790" s="264">
        <f>_xlfn.XLOOKUP(FMS_Ranking4[[#This Row],[FMS ID]],FMS_Input[FMS_ID],FMS_Input[REMROADCLS])</f>
        <v>0</v>
      </c>
      <c r="AX790" s="264">
        <f>_xlfn.XLOOKUP(FMS_Ranking4[[#This Row],[FMS ID]],FMS_Input[FMS_ID],FMS_Input[REMFRMACRE100])</f>
        <v>0</v>
      </c>
      <c r="AY790" s="258">
        <f>_xlfn.XLOOKUP(FMS_Ranking4[[#This Row],[FMS ID]],FMS_Input[FMS_ID],FMS_Input[COSTSTRUCT])</f>
        <v>0</v>
      </c>
      <c r="AZ790" s="258">
        <f>_xlfn.XLOOKUP(FMS_Ranking4[[#This Row],[FMS ID]],FMS_Input[FMS_ID],FMS_Input[NATURE])</f>
        <v>0</v>
      </c>
      <c r="BA790" s="290">
        <f>(((FMS_Ranking4[[#This Row],[% NBS Raw]]/AZ$4)*100)*AZ$5)</f>
        <v>0</v>
      </c>
      <c r="BB790" s="251" t="str">
        <f>_xlfn.XLOOKUP(FMS_Ranking4[[#This Row],[FMS ID]],FMS_Input[FMS_ID],FMS_Input[WATER_SUP])</f>
        <v>No</v>
      </c>
      <c r="BC790" s="265">
        <f>IF(FMS_Ranking4[[#This Row],[Water Supply Raw]]="Yes",10,0)</f>
        <v>0</v>
      </c>
      <c r="BD790" s="251">
        <f>_xlfn.XLOOKUP(FMS_Ranking4[[#This Row],[FMS Type]],FMS_TYPE[FMS_Type],FMS_TYPE[Score])</f>
        <v>8</v>
      </c>
      <c r="BE790" s="267">
        <f>FMS_Ranking4[[#This Row],[FMS_Type Score]]*$BD$5*10</f>
        <v>2</v>
      </c>
      <c r="BF790"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7.0037035894487625E-5</v>
      </c>
      <c r="BG790" s="269">
        <f>_xlfn.RANK.EQ(BF790,$BF$8:$BF$870,0)+COUNTIF($BF$8:BF790,BF790)-1</f>
        <v>783</v>
      </c>
      <c r="BH790" s="268">
        <f>(((FMS_Ranking4[[#This Row],[Structures Removed Raw]]/AK$4)*100)*AK$5)+(((FMS_Ranking4[[#This Row],[Removed Pop Raw]]/AR$4)*100)*AR$5)</f>
        <v>0</v>
      </c>
      <c r="BI79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2.0000700370358944</v>
      </c>
      <c r="BJ790" s="326">
        <f>_xlfn.RANK.EQ(FMS_Ranking4[[#This Row],[Total Score 
(with linear
normalization)]],FMS_Ranking4[Total Score 
(with linear
normalization)],0)</f>
        <v>482</v>
      </c>
      <c r="BK790" s="269" t="e">
        <f>_xlfn.XLOOKUP(FMS_Ranking4[[#This Row],[FMS ID]],#REF!,#REF!)</f>
        <v>#REF!</v>
      </c>
      <c r="BL790"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1.3013543691070388</v>
      </c>
      <c r="BM790" s="331">
        <f>FMS_Ranking4[[#This Row],[ArcSinh Score Based on Normalized Reported Factors]]+FMS_Ranking4[[#This Row],[% NBS Score (Normalized)]]+(FMS_Ranking4[[#This Row],[Water Supply Score (Normalized)]]*10*$BB$5)+FMS_Ranking4[[#This Row],[FMS_Type Score Weighted]]</f>
        <v>3.3013543691070391</v>
      </c>
      <c r="BN790" s="333">
        <f>_xlfn.RANK.EQ(FMS_Ranking4[[#This Row],[Total Score (with ArcSinh normalization of select criteria)]],FMS_Ranking4[Total Score (with ArcSinh normalization of select criteria)],0)</f>
        <v>783</v>
      </c>
      <c r="BO790" s="270" t="str">
        <f>_xlfn.XLOOKUP(FMS_Ranking4[[#This Row],[FMS ID]],FMS_Input[FMS_ID],FMS_Input[FMS_RANK_YEAR])</f>
        <v>2023 Amended Plan</v>
      </c>
      <c r="BP790" s="204">
        <f>_xlfn.XLOOKUP(FMS_Ranking4[[#This Row],[FMS ID]],Prev_Rank[FMS ID],Prev_Rank[Prev Rank])</f>
        <v>713</v>
      </c>
      <c r="BQ790" s="335" t="e">
        <f>_xlfn.XLOOKUP(FMS_Ranking4[[#This Row],[FMS ID]],#REF!,#REF!)</f>
        <v>#REF!</v>
      </c>
      <c r="BR790" s="199" t="e">
        <f>SUM(#REF!,#REF!,#REF!,#REF!,#REF!,#REF!,#REF!,#REF!,#REF!,FMS_Ranking4[[#This Row],[ArcSinh Res struct removed 0-10]],#REF!)</f>
        <v>#REF!</v>
      </c>
      <c r="BS790" s="199" t="e">
        <f>FMS_Ranking4[[#This Row],[Log Score Based on Normalized Reported Factors]]+FMS_Ranking4[[#This Row],[% NBS Score (Normalized)]]+(FMS_Ranking4[[#This Row],[Water Supply Score (Normalized)]]*10*$BB$5)+(FMS_Ranking4[[#This Row],[FMS_Type Score Weighted]])</f>
        <v>#REF!</v>
      </c>
      <c r="BT790" s="200" t="e">
        <f>_xlfn.RANK.EQ(FMS_Ranking4[[#This Row],[Log Total Score]],FMS_Ranking4[Log Total Score],0)</f>
        <v>#REF!</v>
      </c>
      <c r="BU790" s="200" t="e">
        <f>_xlfn.XLOOKUP(FMS_Ranking4[[#This Row],[FMS ID]],#REF!,#REF!)</f>
        <v>#REF!</v>
      </c>
      <c r="BV790" s="200">
        <f>FMS_Ranking4[[#This Row],[Region Number]]</f>
        <v>7</v>
      </c>
      <c r="BW790" s="200">
        <f>FMS_Ranking4[[#This Row],[Rank (with ArcSinh normalization of select criteria)]]-FMS_Ranking4[[#This Row],[Rank
(with linear
normalization)]]</f>
        <v>301</v>
      </c>
      <c r="BX790" s="200" t="e">
        <f>FMS_Ranking4[[#This Row],[Log Rank]]-FMS_Ranking4[[#This Row],[Rank
(with linear
normalization)]]</f>
        <v>#REF!</v>
      </c>
      <c r="BY790" s="200" t="str">
        <f>IF(FMS_Ranking4[[#This Row],[FMS Type]]="Flood Measurement and Warning",FMS_Ranking4[[#This Row],[Rank (with ArcSinh normalization of select criteria)]],"")</f>
        <v/>
      </c>
      <c r="BZ790" s="200">
        <f>IF(FMS_Ranking4[[#This Row],[FMS Type]]="Regulatory and Guidance",FMS_Ranking4[[#This Row],[Rank (with ArcSinh normalization of select criteria)]],"")</f>
        <v>783</v>
      </c>
      <c r="CA790" s="200" t="str">
        <f>IF(FMS_Ranking4[[#This Row],[FMS Type]]="Education and Outreach",FMS_Ranking4[[#This Row],[Rank (with ArcSinh normalization of select criteria)]],"")</f>
        <v/>
      </c>
      <c r="CB790" s="200" t="str">
        <f>IF(FMS_Ranking4[[#This Row],[FMS Type]]="Property Acquisition and Structural Elevation",FMS_Ranking4[[#This Row],[Rank (with ArcSinh normalization of select criteria)]],"")</f>
        <v/>
      </c>
      <c r="CC790" s="200" t="str">
        <f>IF(FMS_Ranking4[[#This Row],[FMS Type]]="Infrastructure Projects",FMS_Ranking4[[#This Row],[Rank (with ArcSinh normalization of select criteria)]],"")</f>
        <v/>
      </c>
      <c r="CD790" s="200" t="str">
        <f>IF(FMS_Ranking4[[#This Row],[FMS Type]]="Other",FMS_Ranking4[[#This Row],[Rank (with ArcSinh normalization of select criteria)]],"")</f>
        <v/>
      </c>
    </row>
    <row r="791" spans="2:82" ht="30" x14ac:dyDescent="0.25">
      <c r="B791" s="342" t="s">
        <v>1119</v>
      </c>
      <c r="C791" s="287">
        <f>_xlfn.XLOOKUP(FMS_Ranking4[[#This Row],[FMS ID]],FMS_Input[FMS_ID],FMS_Input[RFPG_NUM])</f>
        <v>1</v>
      </c>
      <c r="D791" s="309" t="str">
        <f>_xlfn.XLOOKUP(FMS_Ranking4[[#This Row],[FMS ID]],FMS_Input[FMS_ID],FMS_Input[FMS_NAME])</f>
        <v>Mobeetie NFIP Involvement</v>
      </c>
      <c r="E791" s="322" t="str">
        <f>_xlfn.XLOOKUP(FMS_Ranking4[[#This Row],[FMS ID]],FMS_Input[FMS_ID],FMS_Input[SPONSOR])</f>
        <v>01003342</v>
      </c>
      <c r="F791" s="309" t="str">
        <f>_xlfn.XLOOKUP(FMS_Ranking4[[#This Row],[FMS ID]],Sponsor[FMS_ID],Sponsor[SPONSOR NAME])</f>
        <v>Mobeetie</v>
      </c>
      <c r="G791" s="309" t="str">
        <f>_xlfn.XLOOKUP(FMS_Ranking4[[#This Row],[FMS ID]],FMS_Input[FMS_ID],FMS_Input[FMS_DESCR])</f>
        <v>Application to join NFIP or adopt equivalent standards</v>
      </c>
      <c r="H791" s="247" t="str">
        <f>_xlfn.XLOOKUP(FMS_Ranking4[[#This Row],[FMS ID]],FMS_Input[FMS_ID],FMS_Input[FMS_TYPE])</f>
        <v>Regulatory and Guidance</v>
      </c>
      <c r="I791" s="288">
        <f>_xlfn.XLOOKUP(FMS_Ranking4[[#This Row],[FMS ID]],FMS_Input[FMS_ID],FMS_Input[NRNC_COST])</f>
        <v>100000</v>
      </c>
      <c r="J791" s="250">
        <f>_xlfn.XLOOKUP(FMS_Ranking4[[#This Row],[FMS ID]],FMS_Input[FMS_ID],FMS_Input[FMS_COST])</f>
        <v>100000</v>
      </c>
      <c r="K791" s="289" t="str">
        <f>_xlfn.XLOOKUP(FMS_Ranking4[[#This Row],[FMS ID]],FMS_Input[FMS_ID],FMS_Input[EMER_NEED])</f>
        <v>No</v>
      </c>
      <c r="L791" s="252">
        <f t="shared" si="12"/>
        <v>0</v>
      </c>
      <c r="M791" s="253">
        <f>_xlfn.XLOOKUP(FMS_Ranking4[[#This Row],[FMS ID]],FMS_Input[FMS_ID],FMS_Input[STRUCT_100])</f>
        <v>1</v>
      </c>
      <c r="N791" s="255">
        <f>(ASINH(FMS_Ranking4[[#This Row],[Structure at Risk Raw]]))*(10)/(ASINH(M$4))</f>
        <v>0.69289087024057039</v>
      </c>
      <c r="O791" s="255">
        <f>FMS_Ranking4[[#This Row],[Structures at risk, ArcSinh (0-10)]]*M$5*10</f>
        <v>0.6928908702405705</v>
      </c>
      <c r="P791" s="259">
        <f>_xlfn.XLOOKUP(FMS_Ranking4[[#This Row],[FMS ID]],FMS_Input[FMS_ID],FMS_Input[RES_STRUCT100])</f>
        <v>0</v>
      </c>
      <c r="Q791" s="257">
        <f>ASINH(FMS_Ranking4[[#This Row],[Res Structure Raw]])/Q$4*P$5*100</f>
        <v>0</v>
      </c>
      <c r="R791" s="259">
        <f>_xlfn.XLOOKUP(FMS_Ranking4[[#This Row],[FMS ID]],FMS_Input[FMS_ID],FMS_Input[POP100])</f>
        <v>0</v>
      </c>
      <c r="S791" s="259">
        <f>(ASINH(FMS_Ranking4[[#This Row],[Pop at Risk Raw]]))*(10)/(ASINH(R$4))</f>
        <v>0</v>
      </c>
      <c r="T791" s="257">
        <f>FMS_Ranking4[[#This Row],[Population at risk, ArcSinh (0-10)]]*R$5*10</f>
        <v>0</v>
      </c>
      <c r="U791" s="259">
        <f>_xlfn.XLOOKUP(FMS_Ranking4[[#This Row],[FMS ID]],FMS_Input[FMS_ID],FMS_Input[CRITFAC100])</f>
        <v>0</v>
      </c>
      <c r="V791" s="259">
        <f>(ASINH(FMS_Ranking4[[#This Row],[Critical Facilities Raw]]))*(10)/(ASINH(U$4))</f>
        <v>0</v>
      </c>
      <c r="W791" s="257">
        <f>FMS_Ranking4[[#This Row],[Critical facilities at risk, ArcSinh (0-10)]]*U$5*10</f>
        <v>0</v>
      </c>
      <c r="X791" s="259">
        <f>_xlfn.XLOOKUP(FMS_Ranking4[[#This Row],[FMS ID]],FMS_Input[FMS_ID],FMS_Input[LWC])</f>
        <v>0</v>
      </c>
      <c r="Y791" s="259">
        <f>(ASINH(FMS_Ranking4[[#This Row],[LWC Raw]]))*(10)/(ASINH(X$4))</f>
        <v>0</v>
      </c>
      <c r="Z791" s="257">
        <f>FMS_Ranking4[[#This Row],[LWC, ArcSInh (0-10)]]*X$5*10</f>
        <v>0</v>
      </c>
      <c r="AA791" s="259">
        <f>_xlfn.XLOOKUP(FMS_Ranking4[[#This Row],[FMS ID]],FMS_Input[FMS_ID],FMS_Input[ROADCLS])</f>
        <v>0</v>
      </c>
      <c r="AB791" s="255">
        <f>(ASINH(FMS_Ranking4[[#This Row],[Road Closures Raw]]))*(10)/(ASINH(AA$4))</f>
        <v>0</v>
      </c>
      <c r="AC791" s="255">
        <f>FMS_Ranking4[[#This Row],[Road closures, ArcSinh (0-10)]]*AA$5*10</f>
        <v>0</v>
      </c>
      <c r="AD791" s="259">
        <f>_xlfn.XLOOKUP(FMS_Ranking4[[#This Row],[FMS ID]],FMS_Input[FMS_ID],FMS_Input[ROAD_MILES100])</f>
        <v>0</v>
      </c>
      <c r="AE791" s="259">
        <f>(ASINH(FMS_Ranking4[[#This Row],[Road Miles Raw]]))*(10)/(ASINH(AD$4))</f>
        <v>0</v>
      </c>
      <c r="AF791" s="257">
        <f>FMS_Ranking4[[#This Row],[Length of roads at risk, ArcSinh (0-10)]]*AD$5*10</f>
        <v>0</v>
      </c>
      <c r="AG791" s="259">
        <f>_xlfn.XLOOKUP(FMS_Ranking4[[#This Row],[FMS ID]],FMS_Input[FMS_ID],FMS_Input[FARMACRE100])</f>
        <v>1.905529379844666</v>
      </c>
      <c r="AH791" s="255">
        <f>(ASINH(FMS_Ranking4[[#This Row],[Ag Land Raw]]))*(10)/(ASINH(AG$4))</f>
        <v>0.90978478841708488</v>
      </c>
      <c r="AI791" s="254">
        <f>FMS_Ranking4[[#This Row],[Farm &amp; ranch land, ArcSinh (0-10)]]*AG$5*10</f>
        <v>0.45489239420854249</v>
      </c>
      <c r="AJ791" s="258">
        <f>_xlfn.XLOOKUP(FMS_Ranking4[[#This Row],[FMS ID]],FMS_Input[FMS_ID],FMS_Input[REDSTRUCT100])</f>
        <v>0</v>
      </c>
      <c r="AK791" s="253">
        <f>_xlfn.XLOOKUP(FMS_Ranking4[[#This Row],[FMS ID]],FMS_Input[FMS_ID],FMS_Input[REMSTRC100])</f>
        <v>0</v>
      </c>
      <c r="AL791" s="259">
        <f>(ASINH(FMS_Ranking4[[#This Row],[Structures Removed Raw]]))*(10)/(ASINH(AK$4))</f>
        <v>0</v>
      </c>
      <c r="AM791" s="254">
        <f>FMS_Ranking4[[#This Row],[Structures removed, ArcSinh (0-10)]]*AK$5*10</f>
        <v>0</v>
      </c>
      <c r="AN791" s="253">
        <f>_xlfn.XLOOKUP(FMS_Ranking4[[#This Row],[FMS ID]],FMS_Input[FMS_ID],FMS_Input[REMRESSTRC100])</f>
        <v>0</v>
      </c>
      <c r="AO791" s="258">
        <f>FMS_Ranking4[[#This Row],[ArcSinh Res struct removed 0-10]]*AN$5*10</f>
        <v>0</v>
      </c>
      <c r="AP791" s="254">
        <f>ASINH(FMS_Ranking4[[#This Row],[Residential Structures Removed Raw]])/AP$4*AN$5*100</f>
        <v>0</v>
      </c>
      <c r="AQ791" s="260">
        <f>(ASINH(FMS_Ranking4[[#This Row],[Residential Structures Removed Raw]]))*(10)/(ASINH(AN$4))</f>
        <v>0</v>
      </c>
      <c r="AR791" s="253">
        <f>_xlfn.XLOOKUP(FMS_Ranking4[[#This Row],[FMS ID]],FMS_Input[FMS_ID],FMS_Input[REMPOP100])</f>
        <v>0</v>
      </c>
      <c r="AS791" s="259">
        <f>(ASINH(FMS_Ranking4[[#This Row],[Removed Pop Raw]]))*(10)/(ASINH(AR$4))</f>
        <v>0</v>
      </c>
      <c r="AT791" s="263">
        <f>FMS_Ranking4[[#This Row],[Removed population, ArcSinh (0-10)]]*AR$5*10</f>
        <v>0</v>
      </c>
      <c r="AU791" s="264">
        <f>_xlfn.XLOOKUP(FMS_Ranking4[[#This Row],[FMS ID]],FMS_Input[FMS_ID],FMS_Input[REMCRITFAC100])</f>
        <v>0</v>
      </c>
      <c r="AV791" s="264">
        <f>_xlfn.XLOOKUP(FMS_Ranking4[[#This Row],[FMS ID]],FMS_Input[FMS_ID],FMS_Input[REMLWC100])</f>
        <v>0</v>
      </c>
      <c r="AW791" s="264">
        <f>_xlfn.XLOOKUP(FMS_Ranking4[[#This Row],[FMS ID]],FMS_Input[FMS_ID],FMS_Input[REMROADCLS])</f>
        <v>0</v>
      </c>
      <c r="AX791" s="264">
        <f>_xlfn.XLOOKUP(FMS_Ranking4[[#This Row],[FMS ID]],FMS_Input[FMS_ID],FMS_Input[REMFRMACRE100])</f>
        <v>0</v>
      </c>
      <c r="AY791" s="258">
        <f>_xlfn.XLOOKUP(FMS_Ranking4[[#This Row],[FMS ID]],FMS_Input[FMS_ID],FMS_Input[COSTSTRUCT])</f>
        <v>0</v>
      </c>
      <c r="AZ791" s="258">
        <f>_xlfn.XLOOKUP(FMS_Ranking4[[#This Row],[FMS ID]],FMS_Input[FMS_ID],FMS_Input[NATURE])</f>
        <v>0</v>
      </c>
      <c r="BA791" s="290">
        <f>(((FMS_Ranking4[[#This Row],[% NBS Raw]]/AZ$4)*100)*AZ$5)</f>
        <v>0</v>
      </c>
      <c r="BB791" s="251" t="str">
        <f>_xlfn.XLOOKUP(FMS_Ranking4[[#This Row],[FMS ID]],FMS_Input[FMS_ID],FMS_Input[WATER_SUP])</f>
        <v>No</v>
      </c>
      <c r="BC791" s="265">
        <f>IF(FMS_Ranking4[[#This Row],[Water Supply Raw]]="Yes",10,0)</f>
        <v>0</v>
      </c>
      <c r="BD791" s="251">
        <f>_xlfn.XLOOKUP(FMS_Ranking4[[#This Row],[FMS Type]],FMS_TYPE[FMS_Type],FMS_TYPE[Score])</f>
        <v>8</v>
      </c>
      <c r="BE791" s="267">
        <f>FMS_Ranking4[[#This Row],[FMS_Type Score]]*$BD$5*10</f>
        <v>2</v>
      </c>
      <c r="BF791"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6.372880377978852E-5</v>
      </c>
      <c r="BG791" s="271">
        <f>_xlfn.RANK.EQ(BF791,$BF$8:$BF$870,0)+COUNTIF($BF$8:BF791,BF791)-1</f>
        <v>785</v>
      </c>
      <c r="BH791" s="268">
        <f>(((FMS_Ranking4[[#This Row],[Structures Removed Raw]]/AK$4)*100)*AK$5)+(((FMS_Ranking4[[#This Row],[Removed Pop Raw]]/AR$4)*100)*AR$5)</f>
        <v>0</v>
      </c>
      <c r="BI79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2.0000637288037799</v>
      </c>
      <c r="BJ791" s="325">
        <f>_xlfn.RANK.EQ(FMS_Ranking4[[#This Row],[Total Score 
(with linear
normalization)]],FMS_Ranking4[Total Score 
(with linear
normalization)],0)</f>
        <v>484</v>
      </c>
      <c r="BK791" s="327" t="e">
        <f>_xlfn.XLOOKUP(FMS_Ranking4[[#This Row],[FMS ID]],#REF!,#REF!)</f>
        <v>#REF!</v>
      </c>
      <c r="BL791"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1.147783264449113</v>
      </c>
      <c r="BM791" s="330">
        <f>FMS_Ranking4[[#This Row],[ArcSinh Score Based on Normalized Reported Factors]]+FMS_Ranking4[[#This Row],[% NBS Score (Normalized)]]+(FMS_Ranking4[[#This Row],[Water Supply Score (Normalized)]]*10*$BB$5)+FMS_Ranking4[[#This Row],[FMS_Type Score Weighted]]</f>
        <v>3.1477832644491128</v>
      </c>
      <c r="BN791" s="332">
        <f>_xlfn.RANK.EQ(FMS_Ranking4[[#This Row],[Total Score (with ArcSinh normalization of select criteria)]],FMS_Ranking4[Total Score (with ArcSinh normalization of select criteria)],0)</f>
        <v>784</v>
      </c>
      <c r="BO791" s="270" t="str">
        <f>_xlfn.XLOOKUP(FMS_Ranking4[[#This Row],[FMS ID]],FMS_Input[FMS_ID],FMS_Input[FMS_RANK_YEAR])</f>
        <v>2023 Amended Plan</v>
      </c>
      <c r="BP791" s="204">
        <f>_xlfn.XLOOKUP(FMS_Ranking4[[#This Row],[FMS ID]],Prev_Rank[FMS ID],Prev_Rank[Prev Rank])</f>
        <v>714</v>
      </c>
      <c r="BQ791" s="334" t="e">
        <f>_xlfn.XLOOKUP(FMS_Ranking4[[#This Row],[FMS ID]],#REF!,#REF!)</f>
        <v>#REF!</v>
      </c>
      <c r="BR791" s="199" t="e">
        <f>SUM(#REF!,#REF!,#REF!,#REF!,#REF!,#REF!,#REF!,#REF!,#REF!,FMS_Ranking4[[#This Row],[ArcSinh Res struct removed 0-10]],#REF!)</f>
        <v>#REF!</v>
      </c>
      <c r="BS791" s="199" t="e">
        <f>FMS_Ranking4[[#This Row],[Log Score Based on Normalized Reported Factors]]+FMS_Ranking4[[#This Row],[% NBS Score (Normalized)]]+(FMS_Ranking4[[#This Row],[Water Supply Score (Normalized)]]*10*$BB$5)+(FMS_Ranking4[[#This Row],[FMS_Type Score Weighted]])</f>
        <v>#REF!</v>
      </c>
      <c r="BT791" s="200" t="e">
        <f>_xlfn.RANK.EQ(FMS_Ranking4[[#This Row],[Log Total Score]],FMS_Ranking4[Log Total Score],0)</f>
        <v>#REF!</v>
      </c>
      <c r="BU791" s="200" t="e">
        <f>_xlfn.XLOOKUP(FMS_Ranking4[[#This Row],[FMS ID]],#REF!,#REF!)</f>
        <v>#REF!</v>
      </c>
      <c r="BV791" s="200">
        <f>FMS_Ranking4[[#This Row],[Region Number]]</f>
        <v>1</v>
      </c>
      <c r="BW791" s="200">
        <f>FMS_Ranking4[[#This Row],[Rank (with ArcSinh normalization of select criteria)]]-FMS_Ranking4[[#This Row],[Rank
(with linear
normalization)]]</f>
        <v>300</v>
      </c>
      <c r="BX791" s="200" t="e">
        <f>FMS_Ranking4[[#This Row],[Log Rank]]-FMS_Ranking4[[#This Row],[Rank
(with linear
normalization)]]</f>
        <v>#REF!</v>
      </c>
      <c r="BY791" s="200" t="str">
        <f>IF(FMS_Ranking4[[#This Row],[FMS Type]]="Flood Measurement and Warning",FMS_Ranking4[[#This Row],[Rank (with ArcSinh normalization of select criteria)]],"")</f>
        <v/>
      </c>
      <c r="BZ791" s="200">
        <f>IF(FMS_Ranking4[[#This Row],[FMS Type]]="Regulatory and Guidance",FMS_Ranking4[[#This Row],[Rank (with ArcSinh normalization of select criteria)]],"")</f>
        <v>784</v>
      </c>
      <c r="CA791" s="200" t="str">
        <f>IF(FMS_Ranking4[[#This Row],[FMS Type]]="Education and Outreach",FMS_Ranking4[[#This Row],[Rank (with ArcSinh normalization of select criteria)]],"")</f>
        <v/>
      </c>
      <c r="CB791" s="200" t="str">
        <f>IF(FMS_Ranking4[[#This Row],[FMS Type]]="Property Acquisition and Structural Elevation",FMS_Ranking4[[#This Row],[Rank (with ArcSinh normalization of select criteria)]],"")</f>
        <v/>
      </c>
      <c r="CC791" s="200" t="str">
        <f>IF(FMS_Ranking4[[#This Row],[FMS Type]]="Infrastructure Projects",FMS_Ranking4[[#This Row],[Rank (with ArcSinh normalization of select criteria)]],"")</f>
        <v/>
      </c>
      <c r="CD791" s="200" t="str">
        <f>IF(FMS_Ranking4[[#This Row],[FMS Type]]="Other",FMS_Ranking4[[#This Row],[Rank (with ArcSinh normalization of select criteria)]],"")</f>
        <v/>
      </c>
    </row>
    <row r="792" spans="2:82" ht="45" x14ac:dyDescent="0.25">
      <c r="B792" s="342" t="s">
        <v>1543</v>
      </c>
      <c r="C792" s="287">
        <f>_xlfn.XLOOKUP(FMS_Ranking4[[#This Row],[FMS ID]],FMS_Input[FMS_ID],FMS_Input[RFPG_NUM])</f>
        <v>2</v>
      </c>
      <c r="D792" s="309" t="str">
        <f>_xlfn.XLOOKUP(FMS_Ranking4[[#This Row],[FMS ID]],FMS_Input[FMS_ID],FMS_Input[FMS_NAME])</f>
        <v>City of Domino NFIP Involvement</v>
      </c>
      <c r="E792" s="322" t="str">
        <f>_xlfn.XLOOKUP(FMS_Ranking4[[#This Row],[FMS ID]],FMS_Input[FMS_ID],FMS_Input[SPONSOR])</f>
        <v>City of Domino</v>
      </c>
      <c r="F792" s="309" t="str">
        <f>_xlfn.XLOOKUP(FMS_Ranking4[[#This Row],[FMS ID]],Sponsor[FMS_ID],Sponsor[SPONSOR NAME])</f>
        <v>City of Domino</v>
      </c>
      <c r="G792" s="309" t="str">
        <f>_xlfn.XLOOKUP(FMS_Ranking4[[#This Row],[FMS ID]],FMS_Input[FMS_ID],FMS_Input[FMS_DESCR])</f>
        <v xml:space="preserve">Application to join NFIP or adoption of equivalent standards </v>
      </c>
      <c r="H792" s="247" t="str">
        <f>_xlfn.XLOOKUP(FMS_Ranking4[[#This Row],[FMS ID]],FMS_Input[FMS_ID],FMS_Input[FMS_TYPE])</f>
        <v>Regulatory and Guidance</v>
      </c>
      <c r="I792" s="288">
        <f>_xlfn.XLOOKUP(FMS_Ranking4[[#This Row],[FMS ID]],FMS_Input[FMS_ID],FMS_Input[NRNC_COST])</f>
        <v>100000</v>
      </c>
      <c r="J792" s="250">
        <f>_xlfn.XLOOKUP(FMS_Ranking4[[#This Row],[FMS ID]],FMS_Input[FMS_ID],FMS_Input[FMS_COST])</f>
        <v>100000</v>
      </c>
      <c r="K792" s="289" t="str">
        <f>_xlfn.XLOOKUP(FMS_Ranking4[[#This Row],[FMS ID]],FMS_Input[FMS_ID],FMS_Input[EMER_NEED])</f>
        <v>No</v>
      </c>
      <c r="L792" s="252">
        <f t="shared" si="12"/>
        <v>0</v>
      </c>
      <c r="M792" s="253">
        <f>_xlfn.XLOOKUP(FMS_Ranking4[[#This Row],[FMS ID]],FMS_Input[FMS_ID],FMS_Input[STRUCT_100])</f>
        <v>0</v>
      </c>
      <c r="N792" s="255">
        <f>(ASINH(FMS_Ranking4[[#This Row],[Structure at Risk Raw]]))*(10)/(ASINH(M$4))</f>
        <v>0</v>
      </c>
      <c r="O792" s="255">
        <f>FMS_Ranking4[[#This Row],[Structures at risk, ArcSinh (0-10)]]*M$5*10</f>
        <v>0</v>
      </c>
      <c r="P792" s="259">
        <f>_xlfn.XLOOKUP(FMS_Ranking4[[#This Row],[FMS ID]],FMS_Input[FMS_ID],FMS_Input[RES_STRUCT100])</f>
        <v>0</v>
      </c>
      <c r="Q792" s="257">
        <f>ASINH(FMS_Ranking4[[#This Row],[Res Structure Raw]])/Q$4*P$5*100</f>
        <v>0</v>
      </c>
      <c r="R792" s="259">
        <f>_xlfn.XLOOKUP(FMS_Ranking4[[#This Row],[FMS ID]],FMS_Input[FMS_ID],FMS_Input[POP100])</f>
        <v>0</v>
      </c>
      <c r="S792" s="255">
        <f>(ASINH(FMS_Ranking4[[#This Row],[Pop at Risk Raw]]))*(10)/(ASINH(R$4))</f>
        <v>0</v>
      </c>
      <c r="T792" s="257">
        <f>FMS_Ranking4[[#This Row],[Population at risk, ArcSinh (0-10)]]*R$5*10</f>
        <v>0</v>
      </c>
      <c r="U792" s="259">
        <f>_xlfn.XLOOKUP(FMS_Ranking4[[#This Row],[FMS ID]],FMS_Input[FMS_ID],FMS_Input[CRITFAC100])</f>
        <v>0</v>
      </c>
      <c r="V792" s="255">
        <f>(ASINH(FMS_Ranking4[[#This Row],[Critical Facilities Raw]]))*(10)/(ASINH(U$4))</f>
        <v>0</v>
      </c>
      <c r="W792" s="257">
        <f>FMS_Ranking4[[#This Row],[Critical facilities at risk, ArcSinh (0-10)]]*U$5*10</f>
        <v>0</v>
      </c>
      <c r="X792" s="259">
        <f>_xlfn.XLOOKUP(FMS_Ranking4[[#This Row],[FMS ID]],FMS_Input[FMS_ID],FMS_Input[LWC])</f>
        <v>0</v>
      </c>
      <c r="Y792" s="255">
        <f>(ASINH(FMS_Ranking4[[#This Row],[LWC Raw]]))*(10)/(ASINH(X$4))</f>
        <v>0</v>
      </c>
      <c r="Z792" s="257">
        <f>FMS_Ranking4[[#This Row],[LWC, ArcSInh (0-10)]]*X$5*10</f>
        <v>0</v>
      </c>
      <c r="AA792" s="259">
        <f>_xlfn.XLOOKUP(FMS_Ranking4[[#This Row],[FMS ID]],FMS_Input[FMS_ID],FMS_Input[ROADCLS])</f>
        <v>0</v>
      </c>
      <c r="AB792" s="255">
        <f>(ASINH(FMS_Ranking4[[#This Row],[Road Closures Raw]]))*(10)/(ASINH(AA$4))</f>
        <v>0</v>
      </c>
      <c r="AC792" s="255">
        <f>FMS_Ranking4[[#This Row],[Road closures, ArcSinh (0-10)]]*AA$5*10</f>
        <v>0</v>
      </c>
      <c r="AD792" s="259">
        <f>_xlfn.XLOOKUP(FMS_Ranking4[[#This Row],[FMS ID]],FMS_Input[FMS_ID],FMS_Input[ROAD_MILES100])</f>
        <v>1</v>
      </c>
      <c r="AE792" s="255">
        <f>(ASINH(FMS_Ranking4[[#This Row],[Road Miles Raw]]))*(10)/(ASINH(AD$4))</f>
        <v>0.9393017565219649</v>
      </c>
      <c r="AF792" s="257">
        <f>FMS_Ranking4[[#This Row],[Length of roads at risk, ArcSinh (0-10)]]*AD$5*10</f>
        <v>0.93930175652196501</v>
      </c>
      <c r="AG792" s="259">
        <f>_xlfn.XLOOKUP(FMS_Ranking4[[#This Row],[FMS ID]],FMS_Input[FMS_ID],FMS_Input[FARMACRE100])</f>
        <v>0</v>
      </c>
      <c r="AH792" s="255">
        <f>(ASINH(FMS_Ranking4[[#This Row],[Ag Land Raw]]))*(10)/(ASINH(AG$4))</f>
        <v>0</v>
      </c>
      <c r="AI792" s="254">
        <f>FMS_Ranking4[[#This Row],[Farm &amp; ranch land, ArcSinh (0-10)]]*AG$5*10</f>
        <v>0</v>
      </c>
      <c r="AJ792" s="258">
        <f>_xlfn.XLOOKUP(FMS_Ranking4[[#This Row],[FMS ID]],FMS_Input[FMS_ID],FMS_Input[REDSTRUCT100])</f>
        <v>0</v>
      </c>
      <c r="AK792" s="253">
        <f>_xlfn.XLOOKUP(FMS_Ranking4[[#This Row],[FMS ID]],FMS_Input[FMS_ID],FMS_Input[REMSTRC100])</f>
        <v>0</v>
      </c>
      <c r="AL792" s="255">
        <f>(ASINH(FMS_Ranking4[[#This Row],[Structures Removed Raw]]))*(10)/(ASINH(AK$4))</f>
        <v>0</v>
      </c>
      <c r="AM792" s="254">
        <f>FMS_Ranking4[[#This Row],[Structures removed, ArcSinh (0-10)]]*AK$5*10</f>
        <v>0</v>
      </c>
      <c r="AN792" s="253">
        <f>_xlfn.XLOOKUP(FMS_Ranking4[[#This Row],[FMS ID]],FMS_Input[FMS_ID],FMS_Input[REMRESSTRC100])</f>
        <v>0</v>
      </c>
      <c r="AO792" s="258">
        <f>FMS_Ranking4[[#This Row],[ArcSinh Res struct removed 0-10]]*AN$5*10</f>
        <v>0</v>
      </c>
      <c r="AP792" s="254">
        <f>ASINH(FMS_Ranking4[[#This Row],[Residential Structures Removed Raw]])/AP$4*AN$5*100</f>
        <v>0</v>
      </c>
      <c r="AQ792" s="261">
        <f>(ASINH(FMS_Ranking4[[#This Row],[Residential Structures Removed Raw]]))*(10)/(ASINH(AN$4))</f>
        <v>0</v>
      </c>
      <c r="AR792" s="253">
        <f>_xlfn.XLOOKUP(FMS_Ranking4[[#This Row],[FMS ID]],FMS_Input[FMS_ID],FMS_Input[REMPOP100])</f>
        <v>0</v>
      </c>
      <c r="AS792" s="255">
        <f>(ASINH(FMS_Ranking4[[#This Row],[Removed Pop Raw]]))*(10)/(ASINH(AR$4))</f>
        <v>0</v>
      </c>
      <c r="AT792" s="263">
        <f>FMS_Ranking4[[#This Row],[Removed population, ArcSinh (0-10)]]*AR$5*10</f>
        <v>0</v>
      </c>
      <c r="AU792" s="264">
        <f>_xlfn.XLOOKUP(FMS_Ranking4[[#This Row],[FMS ID]],FMS_Input[FMS_ID],FMS_Input[REMCRITFAC100])</f>
        <v>0</v>
      </c>
      <c r="AV792" s="264">
        <f>_xlfn.XLOOKUP(FMS_Ranking4[[#This Row],[FMS ID]],FMS_Input[FMS_ID],FMS_Input[REMLWC100])</f>
        <v>0</v>
      </c>
      <c r="AW792" s="264">
        <f>_xlfn.XLOOKUP(FMS_Ranking4[[#This Row],[FMS ID]],FMS_Input[FMS_ID],FMS_Input[REMROADCLS])</f>
        <v>0</v>
      </c>
      <c r="AX792" s="264">
        <f>_xlfn.XLOOKUP(FMS_Ranking4[[#This Row],[FMS ID]],FMS_Input[FMS_ID],FMS_Input[REMFRMACRE100])</f>
        <v>0</v>
      </c>
      <c r="AY792" s="258">
        <f>_xlfn.XLOOKUP(FMS_Ranking4[[#This Row],[FMS ID]],FMS_Input[FMS_ID],FMS_Input[COSTSTRUCT])</f>
        <v>0</v>
      </c>
      <c r="AZ792" s="258">
        <f>_xlfn.XLOOKUP(FMS_Ranking4[[#This Row],[FMS ID]],FMS_Input[FMS_ID],FMS_Input[NATURE])</f>
        <v>0</v>
      </c>
      <c r="BA792" s="290">
        <f>(((FMS_Ranking4[[#This Row],[% NBS Raw]]/AZ$4)*100)*AZ$5)</f>
        <v>0</v>
      </c>
      <c r="BB792" s="251" t="str">
        <f>_xlfn.XLOOKUP(FMS_Ranking4[[#This Row],[FMS ID]],FMS_Input[FMS_ID],FMS_Input[WATER_SUP])</f>
        <v>No</v>
      </c>
      <c r="BC792" s="265">
        <f>IF(FMS_Ranking4[[#This Row],[Water Supply Raw]]="Yes",10,0)</f>
        <v>0</v>
      </c>
      <c r="BD792" s="251">
        <f>_xlfn.XLOOKUP(FMS_Ranking4[[#This Row],[FMS Type]],FMS_TYPE[FMS_Type],FMS_TYPE[Score])</f>
        <v>8</v>
      </c>
      <c r="BE792" s="267">
        <f>FMS_Ranking4[[#This Row],[FMS_Type Score]]*$BD$5*10</f>
        <v>2</v>
      </c>
      <c r="BF792"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1.6823687752355319E-3</v>
      </c>
      <c r="BG792" s="321">
        <f>_xlfn.RANK.EQ(BF792,$BF$8:$BF$870,0)+COUNTIF($BF$8:BF792,BF792)-1</f>
        <v>734</v>
      </c>
      <c r="BH792" s="294">
        <f>(((FMS_Ranking4[[#This Row],[Structures Removed Raw]]/AK$4)*100)*AK$5)+(((FMS_Ranking4[[#This Row],[Removed Pop Raw]]/AR$4)*100)*AR$5)</f>
        <v>0</v>
      </c>
      <c r="BI79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2.0016823687752354</v>
      </c>
      <c r="BJ792" s="296">
        <f>_xlfn.RANK.EQ(FMS_Ranking4[[#This Row],[Total Score 
(with linear
normalization)]],FMS_Ranking4[Total Score 
(with linear
normalization)],0)</f>
        <v>458</v>
      </c>
      <c r="BK792" s="292" t="e">
        <f>_xlfn.XLOOKUP(FMS_Ranking4[[#This Row],[FMS ID]],#REF!,#REF!)</f>
        <v>#REF!</v>
      </c>
      <c r="BL792"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0.93930175652196501</v>
      </c>
      <c r="BM792" s="298">
        <f>FMS_Ranking4[[#This Row],[ArcSinh Score Based on Normalized Reported Factors]]+FMS_Ranking4[[#This Row],[% NBS Score (Normalized)]]+(FMS_Ranking4[[#This Row],[Water Supply Score (Normalized)]]*10*$BB$5)+FMS_Ranking4[[#This Row],[FMS_Type Score Weighted]]</f>
        <v>2.939301756521965</v>
      </c>
      <c r="BN792" s="323">
        <f>_xlfn.RANK.EQ(FMS_Ranking4[[#This Row],[Total Score (with ArcSinh normalization of select criteria)]],FMS_Ranking4[Total Score (with ArcSinh normalization of select criteria)],0)</f>
        <v>785</v>
      </c>
      <c r="BO792" s="270" t="str">
        <f>_xlfn.XLOOKUP(FMS_Ranking4[[#This Row],[FMS ID]],FMS_Input[FMS_ID],FMS_Input[FMS_RANK_YEAR])</f>
        <v>2023 Amended Plan</v>
      </c>
      <c r="BP792" s="204">
        <f>_xlfn.XLOOKUP(FMS_Ranking4[[#This Row],[FMS ID]],Prev_Rank[FMS ID],Prev_Rank[Prev Rank])</f>
        <v>715</v>
      </c>
      <c r="BQ792" s="265" t="e">
        <f>_xlfn.XLOOKUP(FMS_Ranking4[[#This Row],[FMS ID]],#REF!,#REF!)</f>
        <v>#REF!</v>
      </c>
      <c r="BR792" s="199" t="e">
        <f>SUM(#REF!,#REF!,#REF!,#REF!,#REF!,#REF!,#REF!,#REF!,#REF!,FMS_Ranking4[[#This Row],[ArcSinh Res struct removed 0-10]],#REF!)</f>
        <v>#REF!</v>
      </c>
      <c r="BS792" s="199" t="e">
        <f>FMS_Ranking4[[#This Row],[Log Score Based on Normalized Reported Factors]]+FMS_Ranking4[[#This Row],[% NBS Score (Normalized)]]+(FMS_Ranking4[[#This Row],[Water Supply Score (Normalized)]]*10*$BB$5)+(FMS_Ranking4[[#This Row],[FMS_Type Score Weighted]])</f>
        <v>#REF!</v>
      </c>
      <c r="BT792" s="200" t="e">
        <f>_xlfn.RANK.EQ(FMS_Ranking4[[#This Row],[Log Total Score]],FMS_Ranking4[Log Total Score],0)</f>
        <v>#REF!</v>
      </c>
      <c r="BU792" s="200" t="e">
        <f>_xlfn.XLOOKUP(FMS_Ranking4[[#This Row],[FMS ID]],#REF!,#REF!)</f>
        <v>#REF!</v>
      </c>
      <c r="BV792" s="200">
        <f>FMS_Ranking4[[#This Row],[Region Number]]</f>
        <v>2</v>
      </c>
      <c r="BW792" s="200">
        <f>FMS_Ranking4[[#This Row],[Rank (with ArcSinh normalization of select criteria)]]-FMS_Ranking4[[#This Row],[Rank
(with linear
normalization)]]</f>
        <v>327</v>
      </c>
      <c r="BX792" s="200" t="e">
        <f>FMS_Ranking4[[#This Row],[Log Rank]]-FMS_Ranking4[[#This Row],[Rank
(with linear
normalization)]]</f>
        <v>#REF!</v>
      </c>
      <c r="BY792" s="200" t="str">
        <f>IF(FMS_Ranking4[[#This Row],[FMS Type]]="Flood Measurement and Warning",FMS_Ranking4[[#This Row],[Rank (with ArcSinh normalization of select criteria)]],"")</f>
        <v/>
      </c>
      <c r="BZ792" s="200">
        <f>IF(FMS_Ranking4[[#This Row],[FMS Type]]="Regulatory and Guidance",FMS_Ranking4[[#This Row],[Rank (with ArcSinh normalization of select criteria)]],"")</f>
        <v>785</v>
      </c>
      <c r="CA792" s="200" t="str">
        <f>IF(FMS_Ranking4[[#This Row],[FMS Type]]="Education and Outreach",FMS_Ranking4[[#This Row],[Rank (with ArcSinh normalization of select criteria)]],"")</f>
        <v/>
      </c>
      <c r="CB792" s="200" t="str">
        <f>IF(FMS_Ranking4[[#This Row],[FMS Type]]="Property Acquisition and Structural Elevation",FMS_Ranking4[[#This Row],[Rank (with ArcSinh normalization of select criteria)]],"")</f>
        <v/>
      </c>
      <c r="CC792" s="200" t="str">
        <f>IF(FMS_Ranking4[[#This Row],[FMS Type]]="Infrastructure Projects",FMS_Ranking4[[#This Row],[Rank (with ArcSinh normalization of select criteria)]],"")</f>
        <v/>
      </c>
      <c r="CD792" s="200" t="str">
        <f>IF(FMS_Ranking4[[#This Row],[FMS Type]]="Other",FMS_Ranking4[[#This Row],[Rank (with ArcSinh normalization of select criteria)]],"")</f>
        <v/>
      </c>
    </row>
    <row r="793" spans="2:82" ht="45" x14ac:dyDescent="0.25">
      <c r="B793" s="342" t="s">
        <v>3252</v>
      </c>
      <c r="C793" s="287">
        <f>_xlfn.XLOOKUP(FMS_Ranking4[[#This Row],[FMS ID]],FMS_Input[FMS_ID],FMS_Input[RFPG_NUM])</f>
        <v>7</v>
      </c>
      <c r="D793" s="309" t="str">
        <f>_xlfn.XLOOKUP(FMS_Ranking4[[#This Row],[FMS ID]],FMS_Input[FMS_ID],FMS_Input[FMS_NAME])</f>
        <v>City of Hale Center NFIP Participation</v>
      </c>
      <c r="E793" s="322" t="str">
        <f>_xlfn.XLOOKUP(FMS_Ranking4[[#This Row],[FMS ID]],FMS_Input[FMS_ID],FMS_Input[SPONSOR])</f>
        <v>07003157</v>
      </c>
      <c r="F793" s="309" t="str">
        <f>_xlfn.XLOOKUP(FMS_Ranking4[[#This Row],[FMS ID]],Sponsor[FMS_ID],Sponsor[SPONSOR NAME])</f>
        <v>Hale Center</v>
      </c>
      <c r="G793" s="309" t="str">
        <f>_xlfn.XLOOKUP(FMS_Ranking4[[#This Row],[FMS ID]],FMS_Input[FMS_ID],FMS_Input[FMS_DESCR])</f>
        <v>Application to join NFIP or adoption of equivalent standards.</v>
      </c>
      <c r="H793" s="247" t="str">
        <f>_xlfn.XLOOKUP(FMS_Ranking4[[#This Row],[FMS ID]],FMS_Input[FMS_ID],FMS_Input[FMS_TYPE])</f>
        <v>Regulatory and Guidance</v>
      </c>
      <c r="I793" s="288">
        <f>_xlfn.XLOOKUP(FMS_Ranking4[[#This Row],[FMS ID]],FMS_Input[FMS_ID],FMS_Input[NRNC_COST])</f>
        <v>50000</v>
      </c>
      <c r="J793" s="250">
        <f>_xlfn.XLOOKUP(FMS_Ranking4[[#This Row],[FMS ID]],FMS_Input[FMS_ID],FMS_Input[FMS_COST])</f>
        <v>50000</v>
      </c>
      <c r="K793" s="289" t="str">
        <f>_xlfn.XLOOKUP(FMS_Ranking4[[#This Row],[FMS ID]],FMS_Input[FMS_ID],FMS_Input[EMER_NEED])</f>
        <v>No</v>
      </c>
      <c r="L793" s="252">
        <f t="shared" si="12"/>
        <v>0</v>
      </c>
      <c r="M793" s="253">
        <f>_xlfn.XLOOKUP(FMS_Ranking4[[#This Row],[FMS ID]],FMS_Input[FMS_ID],FMS_Input[STRUCT_100])</f>
        <v>0</v>
      </c>
      <c r="N793" s="255">
        <f>(ASINH(FMS_Ranking4[[#This Row],[Structure at Risk Raw]]))*(10)/(ASINH(M$4))</f>
        <v>0</v>
      </c>
      <c r="O793" s="255">
        <f>FMS_Ranking4[[#This Row],[Structures at risk, ArcSinh (0-10)]]*M$5*10</f>
        <v>0</v>
      </c>
      <c r="P793" s="259">
        <f>_xlfn.XLOOKUP(FMS_Ranking4[[#This Row],[FMS ID]],FMS_Input[FMS_ID],FMS_Input[RES_STRUCT100])</f>
        <v>0</v>
      </c>
      <c r="Q793" s="257">
        <f>ASINH(FMS_Ranking4[[#This Row],[Res Structure Raw]])/Q$4*P$5*100</f>
        <v>0</v>
      </c>
      <c r="R793" s="259">
        <f>_xlfn.XLOOKUP(FMS_Ranking4[[#This Row],[FMS ID]],FMS_Input[FMS_ID],FMS_Input[POP100])</f>
        <v>0</v>
      </c>
      <c r="S793" s="255">
        <f>(ASINH(FMS_Ranking4[[#This Row],[Pop at Risk Raw]]))*(10)/(ASINH(R$4))</f>
        <v>0</v>
      </c>
      <c r="T793" s="257">
        <f>FMS_Ranking4[[#This Row],[Population at risk, ArcSinh (0-10)]]*R$5*10</f>
        <v>0</v>
      </c>
      <c r="U793" s="259">
        <f>_xlfn.XLOOKUP(FMS_Ranking4[[#This Row],[FMS ID]],FMS_Input[FMS_ID],FMS_Input[CRITFAC100])</f>
        <v>0</v>
      </c>
      <c r="V793" s="255">
        <f>(ASINH(FMS_Ranking4[[#This Row],[Critical Facilities Raw]]))*(10)/(ASINH(U$4))</f>
        <v>0</v>
      </c>
      <c r="W793" s="257">
        <f>FMS_Ranking4[[#This Row],[Critical facilities at risk, ArcSinh (0-10)]]*U$5*10</f>
        <v>0</v>
      </c>
      <c r="X793" s="259">
        <f>_xlfn.XLOOKUP(FMS_Ranking4[[#This Row],[FMS ID]],FMS_Input[FMS_ID],FMS_Input[LWC])</f>
        <v>0</v>
      </c>
      <c r="Y793" s="255">
        <f>(ASINH(FMS_Ranking4[[#This Row],[LWC Raw]]))*(10)/(ASINH(X$4))</f>
        <v>0</v>
      </c>
      <c r="Z793" s="257">
        <f>FMS_Ranking4[[#This Row],[LWC, ArcSInh (0-10)]]*X$5*10</f>
        <v>0</v>
      </c>
      <c r="AA793" s="259">
        <f>_xlfn.XLOOKUP(FMS_Ranking4[[#This Row],[FMS ID]],FMS_Input[FMS_ID],FMS_Input[ROADCLS])</f>
        <v>0</v>
      </c>
      <c r="AB793" s="255">
        <f>(ASINH(FMS_Ranking4[[#This Row],[Road Closures Raw]]))*(10)/(ASINH(AA$4))</f>
        <v>0</v>
      </c>
      <c r="AC793" s="255">
        <f>FMS_Ranking4[[#This Row],[Road closures, ArcSinh (0-10)]]*AA$5*10</f>
        <v>0</v>
      </c>
      <c r="AD793" s="259">
        <f>_xlfn.XLOOKUP(FMS_Ranking4[[#This Row],[FMS ID]],FMS_Input[FMS_ID],FMS_Input[ROAD_MILES100])</f>
        <v>0</v>
      </c>
      <c r="AE793" s="255">
        <f>(ASINH(FMS_Ranking4[[#This Row],[Road Miles Raw]]))*(10)/(ASINH(AD$4))</f>
        <v>0</v>
      </c>
      <c r="AF793" s="257">
        <f>FMS_Ranking4[[#This Row],[Length of roads at risk, ArcSinh (0-10)]]*AD$5*10</f>
        <v>0</v>
      </c>
      <c r="AG793" s="259">
        <f>_xlfn.XLOOKUP(FMS_Ranking4[[#This Row],[FMS ID]],FMS_Input[FMS_ID],FMS_Input[FARMACRE100])</f>
        <v>8.0437793731689453</v>
      </c>
      <c r="AH793" s="255">
        <f>(ASINH(FMS_Ranking4[[#This Row],[Ag Land Raw]]))*(10)/(ASINH(AG$4))</f>
        <v>1.8070628075350355</v>
      </c>
      <c r="AI793" s="254">
        <f>FMS_Ranking4[[#This Row],[Farm &amp; ranch land, ArcSinh (0-10)]]*AG$5*10</f>
        <v>0.90353140376751784</v>
      </c>
      <c r="AJ793" s="258">
        <f>_xlfn.XLOOKUP(FMS_Ranking4[[#This Row],[FMS ID]],FMS_Input[FMS_ID],FMS_Input[REDSTRUCT100])</f>
        <v>0</v>
      </c>
      <c r="AK793" s="253">
        <f>_xlfn.XLOOKUP(FMS_Ranking4[[#This Row],[FMS ID]],FMS_Input[FMS_ID],FMS_Input[REMSTRC100])</f>
        <v>0</v>
      </c>
      <c r="AL793" s="255">
        <f>(ASINH(FMS_Ranking4[[#This Row],[Structures Removed Raw]]))*(10)/(ASINH(AK$4))</f>
        <v>0</v>
      </c>
      <c r="AM793" s="254">
        <f>FMS_Ranking4[[#This Row],[Structures removed, ArcSinh (0-10)]]*AK$5*10</f>
        <v>0</v>
      </c>
      <c r="AN793" s="253">
        <f>_xlfn.XLOOKUP(FMS_Ranking4[[#This Row],[FMS ID]],FMS_Input[FMS_ID],FMS_Input[REMRESSTRC100])</f>
        <v>0</v>
      </c>
      <c r="AO793" s="258">
        <f>FMS_Ranking4[[#This Row],[ArcSinh Res struct removed 0-10]]*AN$5*10</f>
        <v>0</v>
      </c>
      <c r="AP793" s="254">
        <f>ASINH(FMS_Ranking4[[#This Row],[Residential Structures Removed Raw]])/AP$4*AN$5*100</f>
        <v>0</v>
      </c>
      <c r="AQ793" s="261">
        <f>(ASINH(FMS_Ranking4[[#This Row],[Residential Structures Removed Raw]]))*(10)/(ASINH(AN$4))</f>
        <v>0</v>
      </c>
      <c r="AR793" s="253">
        <f>_xlfn.XLOOKUP(FMS_Ranking4[[#This Row],[FMS ID]],FMS_Input[FMS_ID],FMS_Input[REMPOP100])</f>
        <v>0</v>
      </c>
      <c r="AS793" s="255">
        <f>(ASINH(FMS_Ranking4[[#This Row],[Removed Pop Raw]]))*(10)/(ASINH(AR$4))</f>
        <v>0</v>
      </c>
      <c r="AT793" s="263">
        <f>FMS_Ranking4[[#This Row],[Removed population, ArcSinh (0-10)]]*AR$5*10</f>
        <v>0</v>
      </c>
      <c r="AU793" s="264">
        <f>_xlfn.XLOOKUP(FMS_Ranking4[[#This Row],[FMS ID]],FMS_Input[FMS_ID],FMS_Input[REMCRITFAC100])</f>
        <v>0</v>
      </c>
      <c r="AV793" s="264">
        <f>_xlfn.XLOOKUP(FMS_Ranking4[[#This Row],[FMS ID]],FMS_Input[FMS_ID],FMS_Input[REMLWC100])</f>
        <v>0</v>
      </c>
      <c r="AW793" s="264">
        <f>_xlfn.XLOOKUP(FMS_Ranking4[[#This Row],[FMS ID]],FMS_Input[FMS_ID],FMS_Input[REMROADCLS])</f>
        <v>0</v>
      </c>
      <c r="AX793" s="264">
        <f>_xlfn.XLOOKUP(FMS_Ranking4[[#This Row],[FMS ID]],FMS_Input[FMS_ID],FMS_Input[REMFRMACRE100])</f>
        <v>0</v>
      </c>
      <c r="AY793" s="258">
        <f>_xlfn.XLOOKUP(FMS_Ranking4[[#This Row],[FMS ID]],FMS_Input[FMS_ID],FMS_Input[COSTSTRUCT])</f>
        <v>0</v>
      </c>
      <c r="AZ793" s="258">
        <f>_xlfn.XLOOKUP(FMS_Ranking4[[#This Row],[FMS ID]],FMS_Input[FMS_ID],FMS_Input[NATURE])</f>
        <v>0</v>
      </c>
      <c r="BA793" s="290">
        <f>(((FMS_Ranking4[[#This Row],[% NBS Raw]]/AZ$4)*100)*AZ$5)</f>
        <v>0</v>
      </c>
      <c r="BB793" s="251" t="str">
        <f>_xlfn.XLOOKUP(FMS_Ranking4[[#This Row],[FMS ID]],FMS_Input[FMS_ID],FMS_Input[WATER_SUP])</f>
        <v>No</v>
      </c>
      <c r="BC793" s="265">
        <f>IF(FMS_Ranking4[[#This Row],[Water Supply Raw]]="Yes",10,0)</f>
        <v>0</v>
      </c>
      <c r="BD793" s="251">
        <f>_xlfn.XLOOKUP(FMS_Ranking4[[#This Row],[FMS Type]],FMS_TYPE[FMS_Type],FMS_TYPE[Score])</f>
        <v>8</v>
      </c>
      <c r="BE793" s="267">
        <f>FMS_Ranking4[[#This Row],[FMS_Type Score]]*$BD$5*10</f>
        <v>2</v>
      </c>
      <c r="BF793"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1.6584472667072311E-5</v>
      </c>
      <c r="BG793" s="321">
        <f>_xlfn.RANK.EQ(BF793,$BF$8:$BF$870,0)+COUNTIF($BF$8:BF793,BF793)-1</f>
        <v>792</v>
      </c>
      <c r="BH793" s="294">
        <f>(((FMS_Ranking4[[#This Row],[Structures Removed Raw]]/AK$4)*100)*AK$5)+(((FMS_Ranking4[[#This Row],[Removed Pop Raw]]/AR$4)*100)*AR$5)</f>
        <v>0</v>
      </c>
      <c r="BI79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2.0000165844726672</v>
      </c>
      <c r="BJ793" s="296">
        <f>_xlfn.RANK.EQ(FMS_Ranking4[[#This Row],[Total Score 
(with linear
normalization)]],FMS_Ranking4[Total Score 
(with linear
normalization)],0)</f>
        <v>486</v>
      </c>
      <c r="BK793" s="292" t="e">
        <f>_xlfn.XLOOKUP(FMS_Ranking4[[#This Row],[FMS ID]],#REF!,#REF!)</f>
        <v>#REF!</v>
      </c>
      <c r="BL793"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0.90353140376751784</v>
      </c>
      <c r="BM793" s="298">
        <f>FMS_Ranking4[[#This Row],[ArcSinh Score Based on Normalized Reported Factors]]+FMS_Ranking4[[#This Row],[% NBS Score (Normalized)]]+(FMS_Ranking4[[#This Row],[Water Supply Score (Normalized)]]*10*$BB$5)+FMS_Ranking4[[#This Row],[FMS_Type Score Weighted]]</f>
        <v>2.9035314037675177</v>
      </c>
      <c r="BN793" s="323">
        <f>_xlfn.RANK.EQ(FMS_Ranking4[[#This Row],[Total Score (with ArcSinh normalization of select criteria)]],FMS_Ranking4[Total Score (with ArcSinh normalization of select criteria)],0)</f>
        <v>786</v>
      </c>
      <c r="BO793" s="270" t="str">
        <f>_xlfn.XLOOKUP(FMS_Ranking4[[#This Row],[FMS ID]],FMS_Input[FMS_ID],FMS_Input[FMS_RANK_YEAR])</f>
        <v>2023 Amended Plan</v>
      </c>
      <c r="BP793" s="204">
        <f>_xlfn.XLOOKUP(FMS_Ranking4[[#This Row],[FMS ID]],Prev_Rank[FMS ID],Prev_Rank[Prev Rank])</f>
        <v>716</v>
      </c>
      <c r="BQ793" s="265" t="e">
        <f>_xlfn.XLOOKUP(FMS_Ranking4[[#This Row],[FMS ID]],#REF!,#REF!)</f>
        <v>#REF!</v>
      </c>
      <c r="BR793" s="199" t="e">
        <f>SUM(#REF!,#REF!,#REF!,#REF!,#REF!,#REF!,#REF!,#REF!,#REF!,FMS_Ranking4[[#This Row],[ArcSinh Res struct removed 0-10]],#REF!)</f>
        <v>#REF!</v>
      </c>
      <c r="BS793" s="199" t="e">
        <f>FMS_Ranking4[[#This Row],[Log Score Based on Normalized Reported Factors]]+FMS_Ranking4[[#This Row],[% NBS Score (Normalized)]]+(FMS_Ranking4[[#This Row],[Water Supply Score (Normalized)]]*10*$BB$5)+(FMS_Ranking4[[#This Row],[FMS_Type Score Weighted]])</f>
        <v>#REF!</v>
      </c>
      <c r="BT793" s="200" t="e">
        <f>_xlfn.RANK.EQ(FMS_Ranking4[[#This Row],[Log Total Score]],FMS_Ranking4[Log Total Score],0)</f>
        <v>#REF!</v>
      </c>
      <c r="BU793" s="200" t="e">
        <f>_xlfn.XLOOKUP(FMS_Ranking4[[#This Row],[FMS ID]],#REF!,#REF!)</f>
        <v>#REF!</v>
      </c>
      <c r="BV793" s="200">
        <f>FMS_Ranking4[[#This Row],[Region Number]]</f>
        <v>7</v>
      </c>
      <c r="BW793" s="200">
        <f>FMS_Ranking4[[#This Row],[Rank (with ArcSinh normalization of select criteria)]]-FMS_Ranking4[[#This Row],[Rank
(with linear
normalization)]]</f>
        <v>300</v>
      </c>
      <c r="BX793" s="200" t="e">
        <f>FMS_Ranking4[[#This Row],[Log Rank]]-FMS_Ranking4[[#This Row],[Rank
(with linear
normalization)]]</f>
        <v>#REF!</v>
      </c>
      <c r="BY793" s="200" t="str">
        <f>IF(FMS_Ranking4[[#This Row],[FMS Type]]="Flood Measurement and Warning",FMS_Ranking4[[#This Row],[Rank (with ArcSinh normalization of select criteria)]],"")</f>
        <v/>
      </c>
      <c r="BZ793" s="200">
        <f>IF(FMS_Ranking4[[#This Row],[FMS Type]]="Regulatory and Guidance",FMS_Ranking4[[#This Row],[Rank (with ArcSinh normalization of select criteria)]],"")</f>
        <v>786</v>
      </c>
      <c r="CA793" s="200" t="str">
        <f>IF(FMS_Ranking4[[#This Row],[FMS Type]]="Education and Outreach",FMS_Ranking4[[#This Row],[Rank (with ArcSinh normalization of select criteria)]],"")</f>
        <v/>
      </c>
      <c r="CB793" s="200" t="str">
        <f>IF(FMS_Ranking4[[#This Row],[FMS Type]]="Property Acquisition and Structural Elevation",FMS_Ranking4[[#This Row],[Rank (with ArcSinh normalization of select criteria)]],"")</f>
        <v/>
      </c>
      <c r="CC793" s="200" t="str">
        <f>IF(FMS_Ranking4[[#This Row],[FMS Type]]="Infrastructure Projects",FMS_Ranking4[[#This Row],[Rank (with ArcSinh normalization of select criteria)]],"")</f>
        <v/>
      </c>
      <c r="CD793" s="200" t="str">
        <f>IF(FMS_Ranking4[[#This Row],[FMS Type]]="Other",FMS_Ranking4[[#This Row],[Rank (with ArcSinh normalization of select criteria)]],"")</f>
        <v/>
      </c>
    </row>
    <row r="794" spans="2:82" ht="30" x14ac:dyDescent="0.25">
      <c r="B794" s="342" t="s">
        <v>1204</v>
      </c>
      <c r="C794" s="287">
        <f>_xlfn.XLOOKUP(FMS_Ranking4[[#This Row],[FMS ID]],FMS_Input[FMS_ID],FMS_Input[RFPG_NUM])</f>
        <v>1</v>
      </c>
      <c r="D794" s="309" t="str">
        <f>_xlfn.XLOOKUP(FMS_Ranking4[[#This Row],[FMS ID]],FMS_Input[FMS_ID],FMS_Input[FMS_NAME])</f>
        <v>Cashion NFIP Involvement</v>
      </c>
      <c r="E794" s="322" t="str">
        <f>_xlfn.XLOOKUP(FMS_Ranking4[[#This Row],[FMS ID]],FMS_Input[FMS_ID],FMS_Input[SPONSOR])</f>
        <v>01003332</v>
      </c>
      <c r="F794" s="309" t="str">
        <f>_xlfn.XLOOKUP(FMS_Ranking4[[#This Row],[FMS ID]],Sponsor[FMS_ID],Sponsor[SPONSOR NAME])</f>
        <v>Cashion Community</v>
      </c>
      <c r="G794" s="309" t="str">
        <f>_xlfn.XLOOKUP(FMS_Ranking4[[#This Row],[FMS ID]],FMS_Input[FMS_ID],FMS_Input[FMS_DESCR])</f>
        <v>Application to join NFIP or adopt equivalent standards</v>
      </c>
      <c r="H794" s="247" t="str">
        <f>_xlfn.XLOOKUP(FMS_Ranking4[[#This Row],[FMS ID]],FMS_Input[FMS_ID],FMS_Input[FMS_TYPE])</f>
        <v>Regulatory and Guidance</v>
      </c>
      <c r="I794" s="288">
        <f>_xlfn.XLOOKUP(FMS_Ranking4[[#This Row],[FMS ID]],FMS_Input[FMS_ID],FMS_Input[NRNC_COST])</f>
        <v>100000</v>
      </c>
      <c r="J794" s="250">
        <f>_xlfn.XLOOKUP(FMS_Ranking4[[#This Row],[FMS ID]],FMS_Input[FMS_ID],FMS_Input[FMS_COST])</f>
        <v>100000</v>
      </c>
      <c r="K794" s="289" t="str">
        <f>_xlfn.XLOOKUP(FMS_Ranking4[[#This Row],[FMS ID]],FMS_Input[FMS_ID],FMS_Input[EMER_NEED])</f>
        <v>No</v>
      </c>
      <c r="L794" s="252">
        <f t="shared" si="12"/>
        <v>0</v>
      </c>
      <c r="M794" s="253">
        <f>_xlfn.XLOOKUP(FMS_Ranking4[[#This Row],[FMS ID]],FMS_Input[FMS_ID],FMS_Input[STRUCT_100])</f>
        <v>0</v>
      </c>
      <c r="N794" s="255">
        <f>(ASINH(FMS_Ranking4[[#This Row],[Structure at Risk Raw]]))*(10)/(ASINH(M$4))</f>
        <v>0</v>
      </c>
      <c r="O794" s="255">
        <f>FMS_Ranking4[[#This Row],[Structures at risk, ArcSinh (0-10)]]*M$5*10</f>
        <v>0</v>
      </c>
      <c r="P794" s="259">
        <f>_xlfn.XLOOKUP(FMS_Ranking4[[#This Row],[FMS ID]],FMS_Input[FMS_ID],FMS_Input[RES_STRUCT100])</f>
        <v>0</v>
      </c>
      <c r="Q794" s="257">
        <f>ASINH(FMS_Ranking4[[#This Row],[Res Structure Raw]])/Q$4*P$5*100</f>
        <v>0</v>
      </c>
      <c r="R794" s="259">
        <f>_xlfn.XLOOKUP(FMS_Ranking4[[#This Row],[FMS ID]],FMS_Input[FMS_ID],FMS_Input[POP100])</f>
        <v>0</v>
      </c>
      <c r="S794" s="259">
        <f>(ASINH(FMS_Ranking4[[#This Row],[Pop at Risk Raw]]))*(10)/(ASINH(R$4))</f>
        <v>0</v>
      </c>
      <c r="T794" s="257">
        <f>FMS_Ranking4[[#This Row],[Population at risk, ArcSinh (0-10)]]*R$5*10</f>
        <v>0</v>
      </c>
      <c r="U794" s="259">
        <f>_xlfn.XLOOKUP(FMS_Ranking4[[#This Row],[FMS ID]],FMS_Input[FMS_ID],FMS_Input[CRITFAC100])</f>
        <v>0</v>
      </c>
      <c r="V794" s="259">
        <f>(ASINH(FMS_Ranking4[[#This Row],[Critical Facilities Raw]]))*(10)/(ASINH(U$4))</f>
        <v>0</v>
      </c>
      <c r="W794" s="257">
        <f>FMS_Ranking4[[#This Row],[Critical facilities at risk, ArcSinh (0-10)]]*U$5*10</f>
        <v>0</v>
      </c>
      <c r="X794" s="259">
        <f>_xlfn.XLOOKUP(FMS_Ranking4[[#This Row],[FMS ID]],FMS_Input[FMS_ID],FMS_Input[LWC])</f>
        <v>0</v>
      </c>
      <c r="Y794" s="259">
        <f>(ASINH(FMS_Ranking4[[#This Row],[LWC Raw]]))*(10)/(ASINH(X$4))</f>
        <v>0</v>
      </c>
      <c r="Z794" s="257">
        <f>FMS_Ranking4[[#This Row],[LWC, ArcSInh (0-10)]]*X$5*10</f>
        <v>0</v>
      </c>
      <c r="AA794" s="259">
        <f>_xlfn.XLOOKUP(FMS_Ranking4[[#This Row],[FMS ID]],FMS_Input[FMS_ID],FMS_Input[ROADCLS])</f>
        <v>0</v>
      </c>
      <c r="AB794" s="255">
        <f>(ASINH(FMS_Ranking4[[#This Row],[Road Closures Raw]]))*(10)/(ASINH(AA$4))</f>
        <v>0</v>
      </c>
      <c r="AC794" s="255">
        <f>FMS_Ranking4[[#This Row],[Road closures, ArcSinh (0-10)]]*AA$5*10</f>
        <v>0</v>
      </c>
      <c r="AD794" s="259">
        <f>_xlfn.XLOOKUP(FMS_Ranking4[[#This Row],[FMS ID]],FMS_Input[FMS_ID],FMS_Input[ROAD_MILES100])</f>
        <v>0</v>
      </c>
      <c r="AE794" s="259">
        <f>(ASINH(FMS_Ranking4[[#This Row],[Road Miles Raw]]))*(10)/(ASINH(AD$4))</f>
        <v>0</v>
      </c>
      <c r="AF794" s="257">
        <f>FMS_Ranking4[[#This Row],[Length of roads at risk, ArcSinh (0-10)]]*AD$5*10</f>
        <v>0</v>
      </c>
      <c r="AG794" s="259">
        <f>_xlfn.XLOOKUP(FMS_Ranking4[[#This Row],[FMS ID]],FMS_Input[FMS_ID],FMS_Input[FARMACRE100])</f>
        <v>5.8499259948730469</v>
      </c>
      <c r="AH794" s="255">
        <f>(ASINH(FMS_Ranking4[[#This Row],[Ag Land Raw]]))*(10)/(ASINH(AG$4))</f>
        <v>1.6023893452487463</v>
      </c>
      <c r="AI794" s="254">
        <f>FMS_Ranking4[[#This Row],[Farm &amp; ranch land, ArcSinh (0-10)]]*AG$5*10</f>
        <v>0.80119467262437327</v>
      </c>
      <c r="AJ794" s="258">
        <f>_xlfn.XLOOKUP(FMS_Ranking4[[#This Row],[FMS ID]],FMS_Input[FMS_ID],FMS_Input[REDSTRUCT100])</f>
        <v>0</v>
      </c>
      <c r="AK794" s="253">
        <f>_xlfn.XLOOKUP(FMS_Ranking4[[#This Row],[FMS ID]],FMS_Input[FMS_ID],FMS_Input[REMSTRC100])</f>
        <v>0</v>
      </c>
      <c r="AL794" s="259">
        <f>(ASINH(FMS_Ranking4[[#This Row],[Structures Removed Raw]]))*(10)/(ASINH(AK$4))</f>
        <v>0</v>
      </c>
      <c r="AM794" s="254">
        <f>FMS_Ranking4[[#This Row],[Structures removed, ArcSinh (0-10)]]*AK$5*10</f>
        <v>0</v>
      </c>
      <c r="AN794" s="253">
        <f>_xlfn.XLOOKUP(FMS_Ranking4[[#This Row],[FMS ID]],FMS_Input[FMS_ID],FMS_Input[REMRESSTRC100])</f>
        <v>0</v>
      </c>
      <c r="AO794" s="258">
        <f>FMS_Ranking4[[#This Row],[ArcSinh Res struct removed 0-10]]*AN$5*10</f>
        <v>0</v>
      </c>
      <c r="AP794" s="254">
        <f>ASINH(FMS_Ranking4[[#This Row],[Residential Structures Removed Raw]])/AP$4*AN$5*100</f>
        <v>0</v>
      </c>
      <c r="AQ794" s="260">
        <f>(ASINH(FMS_Ranking4[[#This Row],[Residential Structures Removed Raw]]))*(10)/(ASINH(AN$4))</f>
        <v>0</v>
      </c>
      <c r="AR794" s="253">
        <f>_xlfn.XLOOKUP(FMS_Ranking4[[#This Row],[FMS ID]],FMS_Input[FMS_ID],FMS_Input[REMPOP100])</f>
        <v>0</v>
      </c>
      <c r="AS794" s="259">
        <f>(ASINH(FMS_Ranking4[[#This Row],[Removed Pop Raw]]))*(10)/(ASINH(AR$4))</f>
        <v>0</v>
      </c>
      <c r="AT794" s="263">
        <f>FMS_Ranking4[[#This Row],[Removed population, ArcSinh (0-10)]]*AR$5*10</f>
        <v>0</v>
      </c>
      <c r="AU794" s="264">
        <f>_xlfn.XLOOKUP(FMS_Ranking4[[#This Row],[FMS ID]],FMS_Input[FMS_ID],FMS_Input[REMCRITFAC100])</f>
        <v>0</v>
      </c>
      <c r="AV794" s="264">
        <f>_xlfn.XLOOKUP(FMS_Ranking4[[#This Row],[FMS ID]],FMS_Input[FMS_ID],FMS_Input[REMLWC100])</f>
        <v>0</v>
      </c>
      <c r="AW794" s="264">
        <f>_xlfn.XLOOKUP(FMS_Ranking4[[#This Row],[FMS ID]],FMS_Input[FMS_ID],FMS_Input[REMROADCLS])</f>
        <v>0</v>
      </c>
      <c r="AX794" s="264">
        <f>_xlfn.XLOOKUP(FMS_Ranking4[[#This Row],[FMS ID]],FMS_Input[FMS_ID],FMS_Input[REMFRMACRE100])</f>
        <v>0</v>
      </c>
      <c r="AY794" s="258">
        <f>_xlfn.XLOOKUP(FMS_Ranking4[[#This Row],[FMS ID]],FMS_Input[FMS_ID],FMS_Input[COSTSTRUCT])</f>
        <v>0</v>
      </c>
      <c r="AZ794" s="258">
        <f>_xlfn.XLOOKUP(FMS_Ranking4[[#This Row],[FMS ID]],FMS_Input[FMS_ID],FMS_Input[NATURE])</f>
        <v>0</v>
      </c>
      <c r="BA794" s="290">
        <f>(((FMS_Ranking4[[#This Row],[% NBS Raw]]/AZ$4)*100)*AZ$5)</f>
        <v>0</v>
      </c>
      <c r="BB794" s="251" t="str">
        <f>_xlfn.XLOOKUP(FMS_Ranking4[[#This Row],[FMS ID]],FMS_Input[FMS_ID],FMS_Input[WATER_SUP])</f>
        <v>No</v>
      </c>
      <c r="BC794" s="265">
        <f>IF(FMS_Ranking4[[#This Row],[Water Supply Raw]]="Yes",10,0)</f>
        <v>0</v>
      </c>
      <c r="BD794" s="251">
        <f>_xlfn.XLOOKUP(FMS_Ranking4[[#This Row],[FMS Type]],FMS_TYPE[FMS_Type],FMS_TYPE[Score])</f>
        <v>8</v>
      </c>
      <c r="BE794" s="267">
        <f>FMS_Ranking4[[#This Row],[FMS_Type Score]]*$BD$5*10</f>
        <v>2</v>
      </c>
      <c r="BF79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1.2061238040663271E-5</v>
      </c>
      <c r="BG794" s="269">
        <f>_xlfn.RANK.EQ(BF794,$BF$8:$BF$870,0)+COUNTIF($BF$8:BF794,BF794)-1</f>
        <v>793</v>
      </c>
      <c r="BH794" s="268">
        <f>(((FMS_Ranking4[[#This Row],[Structures Removed Raw]]/AK$4)*100)*AK$5)+(((FMS_Ranking4[[#This Row],[Removed Pop Raw]]/AR$4)*100)*AR$5)</f>
        <v>0</v>
      </c>
      <c r="BI79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2.0000120612380408</v>
      </c>
      <c r="BJ794" s="326">
        <f>_xlfn.RANK.EQ(FMS_Ranking4[[#This Row],[Total Score 
(with linear
normalization)]],FMS_Ranking4[Total Score 
(with linear
normalization)],0)</f>
        <v>487</v>
      </c>
      <c r="BK794" s="269" t="e">
        <f>_xlfn.XLOOKUP(FMS_Ranking4[[#This Row],[FMS ID]],#REF!,#REF!)</f>
        <v>#REF!</v>
      </c>
      <c r="BL794"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0.80119467262437327</v>
      </c>
      <c r="BM794" s="331">
        <f>FMS_Ranking4[[#This Row],[ArcSinh Score Based on Normalized Reported Factors]]+FMS_Ranking4[[#This Row],[% NBS Score (Normalized)]]+(FMS_Ranking4[[#This Row],[Water Supply Score (Normalized)]]*10*$BB$5)+FMS_Ranking4[[#This Row],[FMS_Type Score Weighted]]</f>
        <v>2.8011946726243733</v>
      </c>
      <c r="BN794" s="333">
        <f>_xlfn.RANK.EQ(FMS_Ranking4[[#This Row],[Total Score (with ArcSinh normalization of select criteria)]],FMS_Ranking4[Total Score (with ArcSinh normalization of select criteria)],0)</f>
        <v>787</v>
      </c>
      <c r="BO794" s="270" t="str">
        <f>_xlfn.XLOOKUP(FMS_Ranking4[[#This Row],[FMS ID]],FMS_Input[FMS_ID],FMS_Input[FMS_RANK_YEAR])</f>
        <v>2023 Amended Plan</v>
      </c>
      <c r="BP794" s="204">
        <f>_xlfn.XLOOKUP(FMS_Ranking4[[#This Row],[FMS ID]],Prev_Rank[FMS ID],Prev_Rank[Prev Rank])</f>
        <v>717</v>
      </c>
      <c r="BQ794" s="335" t="e">
        <f>_xlfn.XLOOKUP(FMS_Ranking4[[#This Row],[FMS ID]],#REF!,#REF!)</f>
        <v>#REF!</v>
      </c>
      <c r="BR794" s="199" t="e">
        <f>SUM(#REF!,#REF!,#REF!,#REF!,#REF!,#REF!,#REF!,#REF!,#REF!,FMS_Ranking4[[#This Row],[ArcSinh Res struct removed 0-10]],#REF!)</f>
        <v>#REF!</v>
      </c>
      <c r="BS794" s="199" t="e">
        <f>FMS_Ranking4[[#This Row],[Log Score Based on Normalized Reported Factors]]+FMS_Ranking4[[#This Row],[% NBS Score (Normalized)]]+(FMS_Ranking4[[#This Row],[Water Supply Score (Normalized)]]*10*$BB$5)+(FMS_Ranking4[[#This Row],[FMS_Type Score Weighted]])</f>
        <v>#REF!</v>
      </c>
      <c r="BT794" s="200" t="e">
        <f>_xlfn.RANK.EQ(FMS_Ranking4[[#This Row],[Log Total Score]],FMS_Ranking4[Log Total Score],0)</f>
        <v>#REF!</v>
      </c>
      <c r="BU794" s="200" t="e">
        <f>_xlfn.XLOOKUP(FMS_Ranking4[[#This Row],[FMS ID]],#REF!,#REF!)</f>
        <v>#REF!</v>
      </c>
      <c r="BV794" s="200">
        <f>FMS_Ranking4[[#This Row],[Region Number]]</f>
        <v>1</v>
      </c>
      <c r="BW794" s="200">
        <f>FMS_Ranking4[[#This Row],[Rank (with ArcSinh normalization of select criteria)]]-FMS_Ranking4[[#This Row],[Rank
(with linear
normalization)]]</f>
        <v>300</v>
      </c>
      <c r="BX794" s="200" t="e">
        <f>FMS_Ranking4[[#This Row],[Log Rank]]-FMS_Ranking4[[#This Row],[Rank
(with linear
normalization)]]</f>
        <v>#REF!</v>
      </c>
      <c r="BY794" s="200" t="str">
        <f>IF(FMS_Ranking4[[#This Row],[FMS Type]]="Flood Measurement and Warning",FMS_Ranking4[[#This Row],[Rank (with ArcSinh normalization of select criteria)]],"")</f>
        <v/>
      </c>
      <c r="BZ794" s="200">
        <f>IF(FMS_Ranking4[[#This Row],[FMS Type]]="Regulatory and Guidance",FMS_Ranking4[[#This Row],[Rank (with ArcSinh normalization of select criteria)]],"")</f>
        <v>787</v>
      </c>
      <c r="CA794" s="200" t="str">
        <f>IF(FMS_Ranking4[[#This Row],[FMS Type]]="Education and Outreach",FMS_Ranking4[[#This Row],[Rank (with ArcSinh normalization of select criteria)]],"")</f>
        <v/>
      </c>
      <c r="CB794" s="200" t="str">
        <f>IF(FMS_Ranking4[[#This Row],[FMS Type]]="Property Acquisition and Structural Elevation",FMS_Ranking4[[#This Row],[Rank (with ArcSinh normalization of select criteria)]],"")</f>
        <v/>
      </c>
      <c r="CC794" s="200" t="str">
        <f>IF(FMS_Ranking4[[#This Row],[FMS Type]]="Infrastructure Projects",FMS_Ranking4[[#This Row],[Rank (with ArcSinh normalization of select criteria)]],"")</f>
        <v/>
      </c>
      <c r="CD794" s="200" t="str">
        <f>IF(FMS_Ranking4[[#This Row],[FMS Type]]="Other",FMS_Ranking4[[#This Row],[Rank (with ArcSinh normalization of select criteria)]],"")</f>
        <v/>
      </c>
    </row>
    <row r="795" spans="2:82" ht="45" x14ac:dyDescent="0.25">
      <c r="B795" s="342" t="s">
        <v>1558</v>
      </c>
      <c r="C795" s="287">
        <f>_xlfn.XLOOKUP(FMS_Ranking4[[#This Row],[FMS ID]],FMS_Input[FMS_ID],FMS_Input[RFPG_NUM])</f>
        <v>2</v>
      </c>
      <c r="D795" s="309" t="str">
        <f>_xlfn.XLOOKUP(FMS_Ranking4[[#This Row],[FMS ID]],FMS_Input[FMS_ID],FMS_Input[FMS_NAME])</f>
        <v>City of Marietta NFIP Involvement</v>
      </c>
      <c r="E795" s="322" t="str">
        <f>_xlfn.XLOOKUP(FMS_Ranking4[[#This Row],[FMS ID]],FMS_Input[FMS_ID],FMS_Input[SPONSOR])</f>
        <v>City of Marietta</v>
      </c>
      <c r="F795" s="309" t="str">
        <f>_xlfn.XLOOKUP(FMS_Ranking4[[#This Row],[FMS ID]],Sponsor[FMS_ID],Sponsor[SPONSOR NAME])</f>
        <v>City of Marietta</v>
      </c>
      <c r="G795" s="309" t="str">
        <f>_xlfn.XLOOKUP(FMS_Ranking4[[#This Row],[FMS ID]],FMS_Input[FMS_ID],FMS_Input[FMS_DESCR])</f>
        <v xml:space="preserve">Application to join NFIP or adoption of equivalent standards </v>
      </c>
      <c r="H795" s="247" t="str">
        <f>_xlfn.XLOOKUP(FMS_Ranking4[[#This Row],[FMS ID]],FMS_Input[FMS_ID],FMS_Input[FMS_TYPE])</f>
        <v>Regulatory and Guidance</v>
      </c>
      <c r="I795" s="288">
        <f>_xlfn.XLOOKUP(FMS_Ranking4[[#This Row],[FMS ID]],FMS_Input[FMS_ID],FMS_Input[NRNC_COST])</f>
        <v>100000</v>
      </c>
      <c r="J795" s="250">
        <f>_xlfn.XLOOKUP(FMS_Ranking4[[#This Row],[FMS ID]],FMS_Input[FMS_ID],FMS_Input[FMS_COST])</f>
        <v>100000</v>
      </c>
      <c r="K795" s="289" t="str">
        <f>_xlfn.XLOOKUP(FMS_Ranking4[[#This Row],[FMS ID]],FMS_Input[FMS_ID],FMS_Input[EMER_NEED])</f>
        <v>No</v>
      </c>
      <c r="L795" s="252">
        <f t="shared" si="12"/>
        <v>0</v>
      </c>
      <c r="M795" s="253">
        <f>_xlfn.XLOOKUP(FMS_Ranking4[[#This Row],[FMS ID]],FMS_Input[FMS_ID],FMS_Input[STRUCT_100])</f>
        <v>1</v>
      </c>
      <c r="N795" s="255">
        <f>(ASINH(FMS_Ranking4[[#This Row],[Structure at Risk Raw]]))*(10)/(ASINH(M$4))</f>
        <v>0.69289087024057039</v>
      </c>
      <c r="O795" s="255">
        <f>FMS_Ranking4[[#This Row],[Structures at risk, ArcSinh (0-10)]]*M$5*10</f>
        <v>0.6928908702405705</v>
      </c>
      <c r="P795" s="259">
        <f>_xlfn.XLOOKUP(FMS_Ranking4[[#This Row],[FMS ID]],FMS_Input[FMS_ID],FMS_Input[RES_STRUCT100])</f>
        <v>1</v>
      </c>
      <c r="Q795" s="257">
        <f>ASINH(FMS_Ranking4[[#This Row],[Res Structure Raw]])/Q$4*P$5*100</f>
        <v>0</v>
      </c>
      <c r="R795" s="259">
        <f>_xlfn.XLOOKUP(FMS_Ranking4[[#This Row],[FMS ID]],FMS_Input[FMS_ID],FMS_Input[POP100])</f>
        <v>0</v>
      </c>
      <c r="S795" s="259">
        <f>(ASINH(FMS_Ranking4[[#This Row],[Pop at Risk Raw]]))*(10)/(ASINH(R$4))</f>
        <v>0</v>
      </c>
      <c r="T795" s="257">
        <f>FMS_Ranking4[[#This Row],[Population at risk, ArcSinh (0-10)]]*R$5*10</f>
        <v>0</v>
      </c>
      <c r="U795" s="259">
        <f>_xlfn.XLOOKUP(FMS_Ranking4[[#This Row],[FMS ID]],FMS_Input[FMS_ID],FMS_Input[CRITFAC100])</f>
        <v>0</v>
      </c>
      <c r="V795" s="259">
        <f>(ASINH(FMS_Ranking4[[#This Row],[Critical Facilities Raw]]))*(10)/(ASINH(U$4))</f>
        <v>0</v>
      </c>
      <c r="W795" s="257">
        <f>FMS_Ranking4[[#This Row],[Critical facilities at risk, ArcSinh (0-10)]]*U$5*10</f>
        <v>0</v>
      </c>
      <c r="X795" s="259">
        <f>_xlfn.XLOOKUP(FMS_Ranking4[[#This Row],[FMS ID]],FMS_Input[FMS_ID],FMS_Input[LWC])</f>
        <v>0</v>
      </c>
      <c r="Y795" s="259">
        <f>(ASINH(FMS_Ranking4[[#This Row],[LWC Raw]]))*(10)/(ASINH(X$4))</f>
        <v>0</v>
      </c>
      <c r="Z795" s="257">
        <f>FMS_Ranking4[[#This Row],[LWC, ArcSInh (0-10)]]*X$5*10</f>
        <v>0</v>
      </c>
      <c r="AA795" s="259">
        <f>_xlfn.XLOOKUP(FMS_Ranking4[[#This Row],[FMS ID]],FMS_Input[FMS_ID],FMS_Input[ROADCLS])</f>
        <v>0</v>
      </c>
      <c r="AB795" s="255">
        <f>(ASINH(FMS_Ranking4[[#This Row],[Road Closures Raw]]))*(10)/(ASINH(AA$4))</f>
        <v>0</v>
      </c>
      <c r="AC795" s="255">
        <f>FMS_Ranking4[[#This Row],[Road closures, ArcSinh (0-10)]]*AA$5*10</f>
        <v>0</v>
      </c>
      <c r="AD795" s="259">
        <f>_xlfn.XLOOKUP(FMS_Ranking4[[#This Row],[FMS ID]],FMS_Input[FMS_ID],FMS_Input[ROAD_MILES100])</f>
        <v>0</v>
      </c>
      <c r="AE795" s="259">
        <f>(ASINH(FMS_Ranking4[[#This Row],[Road Miles Raw]]))*(10)/(ASINH(AD$4))</f>
        <v>0</v>
      </c>
      <c r="AF795" s="257">
        <f>FMS_Ranking4[[#This Row],[Length of roads at risk, ArcSinh (0-10)]]*AD$5*10</f>
        <v>0</v>
      </c>
      <c r="AG795" s="259">
        <f>_xlfn.XLOOKUP(FMS_Ranking4[[#This Row],[FMS ID]],FMS_Input[FMS_ID],FMS_Input[FARMACRE100])</f>
        <v>0.30389770865440369</v>
      </c>
      <c r="AH795" s="255">
        <f>(ASINH(FMS_Ranking4[[#This Row],[Ag Land Raw]]))*(10)/(ASINH(AG$4))</f>
        <v>0.19448752822549928</v>
      </c>
      <c r="AI795" s="254">
        <f>FMS_Ranking4[[#This Row],[Farm &amp; ranch land, ArcSinh (0-10)]]*AG$5*10</f>
        <v>9.7243764112749653E-2</v>
      </c>
      <c r="AJ795" s="258">
        <f>_xlfn.XLOOKUP(FMS_Ranking4[[#This Row],[FMS ID]],FMS_Input[FMS_ID],FMS_Input[REDSTRUCT100])</f>
        <v>0</v>
      </c>
      <c r="AK795" s="253">
        <f>_xlfn.XLOOKUP(FMS_Ranking4[[#This Row],[FMS ID]],FMS_Input[FMS_ID],FMS_Input[REMSTRC100])</f>
        <v>0</v>
      </c>
      <c r="AL795" s="259">
        <f>(ASINH(FMS_Ranking4[[#This Row],[Structures Removed Raw]]))*(10)/(ASINH(AK$4))</f>
        <v>0</v>
      </c>
      <c r="AM795" s="254">
        <f>FMS_Ranking4[[#This Row],[Structures removed, ArcSinh (0-10)]]*AK$5*10</f>
        <v>0</v>
      </c>
      <c r="AN795" s="253">
        <f>_xlfn.XLOOKUP(FMS_Ranking4[[#This Row],[FMS ID]],FMS_Input[FMS_ID],FMS_Input[REMRESSTRC100])</f>
        <v>0</v>
      </c>
      <c r="AO795" s="258">
        <f>FMS_Ranking4[[#This Row],[ArcSinh Res struct removed 0-10]]*AN$5*10</f>
        <v>0</v>
      </c>
      <c r="AP795" s="254">
        <f>ASINH(FMS_Ranking4[[#This Row],[Residential Structures Removed Raw]])/AP$4*AN$5*100</f>
        <v>0</v>
      </c>
      <c r="AQ795" s="260">
        <f>(ASINH(FMS_Ranking4[[#This Row],[Residential Structures Removed Raw]]))*(10)/(ASINH(AN$4))</f>
        <v>0</v>
      </c>
      <c r="AR795" s="253">
        <f>_xlfn.XLOOKUP(FMS_Ranking4[[#This Row],[FMS ID]],FMS_Input[FMS_ID],FMS_Input[REMPOP100])</f>
        <v>0</v>
      </c>
      <c r="AS795" s="259">
        <f>(ASINH(FMS_Ranking4[[#This Row],[Removed Pop Raw]]))*(10)/(ASINH(AR$4))</f>
        <v>0</v>
      </c>
      <c r="AT795" s="263">
        <f>FMS_Ranking4[[#This Row],[Removed population, ArcSinh (0-10)]]*AR$5*10</f>
        <v>0</v>
      </c>
      <c r="AU795" s="264">
        <f>_xlfn.XLOOKUP(FMS_Ranking4[[#This Row],[FMS ID]],FMS_Input[FMS_ID],FMS_Input[REMCRITFAC100])</f>
        <v>0</v>
      </c>
      <c r="AV795" s="264">
        <f>_xlfn.XLOOKUP(FMS_Ranking4[[#This Row],[FMS ID]],FMS_Input[FMS_ID],FMS_Input[REMLWC100])</f>
        <v>0</v>
      </c>
      <c r="AW795" s="264">
        <f>_xlfn.XLOOKUP(FMS_Ranking4[[#This Row],[FMS ID]],FMS_Input[FMS_ID],FMS_Input[REMROADCLS])</f>
        <v>0</v>
      </c>
      <c r="AX795" s="264">
        <f>_xlfn.XLOOKUP(FMS_Ranking4[[#This Row],[FMS ID]],FMS_Input[FMS_ID],FMS_Input[REMFRMACRE100])</f>
        <v>0</v>
      </c>
      <c r="AY795" s="258">
        <f>_xlfn.XLOOKUP(FMS_Ranking4[[#This Row],[FMS ID]],FMS_Input[FMS_ID],FMS_Input[COSTSTRUCT])</f>
        <v>0</v>
      </c>
      <c r="AZ795" s="258">
        <f>_xlfn.XLOOKUP(FMS_Ranking4[[#This Row],[FMS ID]],FMS_Input[FMS_ID],FMS_Input[NATURE])</f>
        <v>0</v>
      </c>
      <c r="BA795" s="290">
        <f>(((FMS_Ranking4[[#This Row],[% NBS Raw]]/AZ$4)*100)*AZ$5)</f>
        <v>0</v>
      </c>
      <c r="BB795" s="251" t="str">
        <f>_xlfn.XLOOKUP(FMS_Ranking4[[#This Row],[FMS ID]],FMS_Input[FMS_ID],FMS_Input[WATER_SUP])</f>
        <v>No</v>
      </c>
      <c r="BC795" s="265">
        <f>IF(FMS_Ranking4[[#This Row],[Water Supply Raw]]="Yes",10,0)</f>
        <v>0</v>
      </c>
      <c r="BD795" s="251">
        <f>_xlfn.XLOOKUP(FMS_Ranking4[[#This Row],[FMS Type]],FMS_TYPE[FMS_Type],FMS_TYPE[Score])</f>
        <v>8</v>
      </c>
      <c r="BE795" s="267">
        <f>FMS_Ranking4[[#This Row],[FMS_Type Score]]*$BD$5*10</f>
        <v>2</v>
      </c>
      <c r="BF795"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6.0426597759298461E-5</v>
      </c>
      <c r="BG795" s="271">
        <f>_xlfn.RANK.EQ(BF795,$BF$8:$BF$870,0)+COUNTIF($BF$8:BF795,BF795)-1</f>
        <v>788</v>
      </c>
      <c r="BH795" s="268">
        <f>(((FMS_Ranking4[[#This Row],[Structures Removed Raw]]/AK$4)*100)*AK$5)+(((FMS_Ranking4[[#This Row],[Removed Pop Raw]]/AR$4)*100)*AR$5)</f>
        <v>0</v>
      </c>
      <c r="BI79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2.0000604265977593</v>
      </c>
      <c r="BJ795" s="325">
        <f>_xlfn.RANK.EQ(FMS_Ranking4[[#This Row],[Total Score 
(with linear
normalization)]],FMS_Ranking4[Total Score 
(with linear
normalization)],0)</f>
        <v>485</v>
      </c>
      <c r="BK795" s="327" t="e">
        <f>_xlfn.XLOOKUP(FMS_Ranking4[[#This Row],[FMS ID]],#REF!,#REF!)</f>
        <v>#REF!</v>
      </c>
      <c r="BL795"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0.79013463435332021</v>
      </c>
      <c r="BM795" s="330">
        <f>FMS_Ranking4[[#This Row],[ArcSinh Score Based on Normalized Reported Factors]]+FMS_Ranking4[[#This Row],[% NBS Score (Normalized)]]+(FMS_Ranking4[[#This Row],[Water Supply Score (Normalized)]]*10*$BB$5)+FMS_Ranking4[[#This Row],[FMS_Type Score Weighted]]</f>
        <v>2.7901346343533202</v>
      </c>
      <c r="BN795" s="332">
        <f>_xlfn.RANK.EQ(FMS_Ranking4[[#This Row],[Total Score (with ArcSinh normalization of select criteria)]],FMS_Ranking4[Total Score (with ArcSinh normalization of select criteria)],0)</f>
        <v>788</v>
      </c>
      <c r="BO795" s="270" t="str">
        <f>_xlfn.XLOOKUP(FMS_Ranking4[[#This Row],[FMS ID]],FMS_Input[FMS_ID],FMS_Input[FMS_RANK_YEAR])</f>
        <v>2023 Amended Plan</v>
      </c>
      <c r="BP795" s="204">
        <f>_xlfn.XLOOKUP(FMS_Ranking4[[#This Row],[FMS ID]],Prev_Rank[FMS ID],Prev_Rank[Prev Rank])</f>
        <v>718</v>
      </c>
      <c r="BQ795" s="334" t="e">
        <f>_xlfn.XLOOKUP(FMS_Ranking4[[#This Row],[FMS ID]],#REF!,#REF!)</f>
        <v>#REF!</v>
      </c>
      <c r="BR795" s="199" t="e">
        <f>SUM(#REF!,#REF!,#REF!,#REF!,#REF!,#REF!,#REF!,#REF!,#REF!,FMS_Ranking4[[#This Row],[ArcSinh Res struct removed 0-10]],#REF!)</f>
        <v>#REF!</v>
      </c>
      <c r="BS795" s="199" t="e">
        <f>FMS_Ranking4[[#This Row],[Log Score Based on Normalized Reported Factors]]+FMS_Ranking4[[#This Row],[% NBS Score (Normalized)]]+(FMS_Ranking4[[#This Row],[Water Supply Score (Normalized)]]*10*$BB$5)+(FMS_Ranking4[[#This Row],[FMS_Type Score Weighted]])</f>
        <v>#REF!</v>
      </c>
      <c r="BT795" s="200" t="e">
        <f>_xlfn.RANK.EQ(FMS_Ranking4[[#This Row],[Log Total Score]],FMS_Ranking4[Log Total Score],0)</f>
        <v>#REF!</v>
      </c>
      <c r="BU795" s="200" t="e">
        <f>_xlfn.XLOOKUP(FMS_Ranking4[[#This Row],[FMS ID]],#REF!,#REF!)</f>
        <v>#REF!</v>
      </c>
      <c r="BV795" s="200">
        <f>FMS_Ranking4[[#This Row],[Region Number]]</f>
        <v>2</v>
      </c>
      <c r="BW795" s="200">
        <f>FMS_Ranking4[[#This Row],[Rank (with ArcSinh normalization of select criteria)]]-FMS_Ranking4[[#This Row],[Rank
(with linear
normalization)]]</f>
        <v>303</v>
      </c>
      <c r="BX795" s="200" t="e">
        <f>FMS_Ranking4[[#This Row],[Log Rank]]-FMS_Ranking4[[#This Row],[Rank
(with linear
normalization)]]</f>
        <v>#REF!</v>
      </c>
      <c r="BY795" s="200" t="str">
        <f>IF(FMS_Ranking4[[#This Row],[FMS Type]]="Flood Measurement and Warning",FMS_Ranking4[[#This Row],[Rank (with ArcSinh normalization of select criteria)]],"")</f>
        <v/>
      </c>
      <c r="BZ795" s="200">
        <f>IF(FMS_Ranking4[[#This Row],[FMS Type]]="Regulatory and Guidance",FMS_Ranking4[[#This Row],[Rank (with ArcSinh normalization of select criteria)]],"")</f>
        <v>788</v>
      </c>
      <c r="CA795" s="200" t="str">
        <f>IF(FMS_Ranking4[[#This Row],[FMS Type]]="Education and Outreach",FMS_Ranking4[[#This Row],[Rank (with ArcSinh normalization of select criteria)]],"")</f>
        <v/>
      </c>
      <c r="CB795" s="200" t="str">
        <f>IF(FMS_Ranking4[[#This Row],[FMS Type]]="Property Acquisition and Structural Elevation",FMS_Ranking4[[#This Row],[Rank (with ArcSinh normalization of select criteria)]],"")</f>
        <v/>
      </c>
      <c r="CC795" s="200" t="str">
        <f>IF(FMS_Ranking4[[#This Row],[FMS Type]]="Infrastructure Projects",FMS_Ranking4[[#This Row],[Rank (with ArcSinh normalization of select criteria)]],"")</f>
        <v/>
      </c>
      <c r="CD795" s="200" t="str">
        <f>IF(FMS_Ranking4[[#This Row],[FMS Type]]="Other",FMS_Ranking4[[#This Row],[Rank (with ArcSinh normalization of select criteria)]],"")</f>
        <v/>
      </c>
    </row>
    <row r="796" spans="2:82" ht="45" x14ac:dyDescent="0.25">
      <c r="B796" s="342" t="s">
        <v>2407</v>
      </c>
      <c r="C796" s="287">
        <f>_xlfn.XLOOKUP(FMS_Ranking4[[#This Row],[FMS ID]],FMS_Input[FMS_ID],FMS_Input[RFPG_NUM])</f>
        <v>3</v>
      </c>
      <c r="D796" s="309" t="str">
        <f>_xlfn.XLOOKUP(FMS_Ranking4[[#This Row],[FMS ID]],FMS_Input[FMS_ID],FMS_Input[FMS_NAME])</f>
        <v>City of Mustang NFIP Floodplain Ordinance</v>
      </c>
      <c r="E796" s="322" t="str">
        <f>_xlfn.XLOOKUP(FMS_Ranking4[[#This Row],[FMS ID]],FMS_Input[FMS_ID],FMS_Input[SPONSOR])</f>
        <v>Mustang</v>
      </c>
      <c r="F796" s="309" t="str">
        <f>_xlfn.XLOOKUP(FMS_Ranking4[[#This Row],[FMS ID]],Sponsor[FMS_ID],Sponsor[SPONSOR NAME])</f>
        <v>Mustang</v>
      </c>
      <c r="G796" s="309" t="str">
        <f>_xlfn.XLOOKUP(FMS_Ranking4[[#This Row],[FMS ID]],FMS_Input[FMS_ID],FMS_Input[FMS_DESCR])</f>
        <v>Develop a floodplain ordinance that meets or exceeds FEMA's minimum standards</v>
      </c>
      <c r="H796" s="247" t="str">
        <f>_xlfn.XLOOKUP(FMS_Ranking4[[#This Row],[FMS ID]],FMS_Input[FMS_ID],FMS_Input[FMS_TYPE])</f>
        <v>Regulatory and Guidance</v>
      </c>
      <c r="I796" s="288">
        <f>_xlfn.XLOOKUP(FMS_Ranking4[[#This Row],[FMS ID]],FMS_Input[FMS_ID],FMS_Input[NRNC_COST])</f>
        <v>100000</v>
      </c>
      <c r="J796" s="250">
        <f>_xlfn.XLOOKUP(FMS_Ranking4[[#This Row],[FMS ID]],FMS_Input[FMS_ID],FMS_Input[FMS_COST])</f>
        <v>100000</v>
      </c>
      <c r="K796" s="289" t="str">
        <f>_xlfn.XLOOKUP(FMS_Ranking4[[#This Row],[FMS ID]],FMS_Input[FMS_ID],FMS_Input[EMER_NEED])</f>
        <v>No</v>
      </c>
      <c r="L796" s="252">
        <f t="shared" si="12"/>
        <v>0</v>
      </c>
      <c r="M796" s="253">
        <f>_xlfn.XLOOKUP(FMS_Ranking4[[#This Row],[FMS ID]],FMS_Input[FMS_ID],FMS_Input[STRUCT_100])</f>
        <v>0</v>
      </c>
      <c r="N796" s="255">
        <f>(ASINH(FMS_Ranking4[[#This Row],[Structure at Risk Raw]]))*(10)/(ASINH(M$4))</f>
        <v>0</v>
      </c>
      <c r="O796" s="255">
        <f>FMS_Ranking4[[#This Row],[Structures at risk, ArcSinh (0-10)]]*M$5*10</f>
        <v>0</v>
      </c>
      <c r="P796" s="259">
        <f>_xlfn.XLOOKUP(FMS_Ranking4[[#This Row],[FMS ID]],FMS_Input[FMS_ID],FMS_Input[RES_STRUCT100])</f>
        <v>0</v>
      </c>
      <c r="Q796" s="257">
        <f>ASINH(FMS_Ranking4[[#This Row],[Res Structure Raw]])/Q$4*P$5*100</f>
        <v>0</v>
      </c>
      <c r="R796" s="259">
        <f>_xlfn.XLOOKUP(FMS_Ranking4[[#This Row],[FMS ID]],FMS_Input[FMS_ID],FMS_Input[POP100])</f>
        <v>0</v>
      </c>
      <c r="S796" s="259">
        <f>(ASINH(FMS_Ranking4[[#This Row],[Pop at Risk Raw]]))*(10)/(ASINH(R$4))</f>
        <v>0</v>
      </c>
      <c r="T796" s="257">
        <f>FMS_Ranking4[[#This Row],[Population at risk, ArcSinh (0-10)]]*R$5*10</f>
        <v>0</v>
      </c>
      <c r="U796" s="259">
        <f>_xlfn.XLOOKUP(FMS_Ranking4[[#This Row],[FMS ID]],FMS_Input[FMS_ID],FMS_Input[CRITFAC100])</f>
        <v>0</v>
      </c>
      <c r="V796" s="259">
        <f>(ASINH(FMS_Ranking4[[#This Row],[Critical Facilities Raw]]))*(10)/(ASINH(U$4))</f>
        <v>0</v>
      </c>
      <c r="W796" s="257">
        <f>FMS_Ranking4[[#This Row],[Critical facilities at risk, ArcSinh (0-10)]]*U$5*10</f>
        <v>0</v>
      </c>
      <c r="X796" s="259">
        <f>_xlfn.XLOOKUP(FMS_Ranking4[[#This Row],[FMS ID]],FMS_Input[FMS_ID],FMS_Input[LWC])</f>
        <v>0</v>
      </c>
      <c r="Y796" s="259">
        <f>(ASINH(FMS_Ranking4[[#This Row],[LWC Raw]]))*(10)/(ASINH(X$4))</f>
        <v>0</v>
      </c>
      <c r="Z796" s="257">
        <f>FMS_Ranking4[[#This Row],[LWC, ArcSInh (0-10)]]*X$5*10</f>
        <v>0</v>
      </c>
      <c r="AA796" s="259">
        <f>_xlfn.XLOOKUP(FMS_Ranking4[[#This Row],[FMS ID]],FMS_Input[FMS_ID],FMS_Input[ROADCLS])</f>
        <v>0</v>
      </c>
      <c r="AB796" s="255">
        <f>(ASINH(FMS_Ranking4[[#This Row],[Road Closures Raw]]))*(10)/(ASINH(AA$4))</f>
        <v>0</v>
      </c>
      <c r="AC796" s="255">
        <f>FMS_Ranking4[[#This Row],[Road closures, ArcSinh (0-10)]]*AA$5*10</f>
        <v>0</v>
      </c>
      <c r="AD796" s="259">
        <f>_xlfn.XLOOKUP(FMS_Ranking4[[#This Row],[FMS ID]],FMS_Input[FMS_ID],FMS_Input[ROAD_MILES100])</f>
        <v>0</v>
      </c>
      <c r="AE796" s="259">
        <f>(ASINH(FMS_Ranking4[[#This Row],[Road Miles Raw]]))*(10)/(ASINH(AD$4))</f>
        <v>0</v>
      </c>
      <c r="AF796" s="257">
        <f>FMS_Ranking4[[#This Row],[Length of roads at risk, ArcSinh (0-10)]]*AD$5*10</f>
        <v>0</v>
      </c>
      <c r="AG796" s="259">
        <f>_xlfn.XLOOKUP(FMS_Ranking4[[#This Row],[FMS ID]],FMS_Input[FMS_ID],FMS_Input[FARMACRE100])</f>
        <v>5.5152459144592294</v>
      </c>
      <c r="AH796" s="255">
        <f>(ASINH(FMS_Ranking4[[#This Row],[Ag Land Raw]]))*(10)/(ASINH(AG$4))</f>
        <v>1.564700634624306</v>
      </c>
      <c r="AI796" s="254">
        <f>FMS_Ranking4[[#This Row],[Farm &amp; ranch land, ArcSinh (0-10)]]*AG$5*10</f>
        <v>0.7823503173121531</v>
      </c>
      <c r="AJ796" s="258">
        <f>_xlfn.XLOOKUP(FMS_Ranking4[[#This Row],[FMS ID]],FMS_Input[FMS_ID],FMS_Input[REDSTRUCT100])</f>
        <v>0</v>
      </c>
      <c r="AK796" s="253">
        <f>_xlfn.XLOOKUP(FMS_Ranking4[[#This Row],[FMS ID]],FMS_Input[FMS_ID],FMS_Input[REMSTRC100])</f>
        <v>0</v>
      </c>
      <c r="AL796" s="259">
        <f>(ASINH(FMS_Ranking4[[#This Row],[Structures Removed Raw]]))*(10)/(ASINH(AK$4))</f>
        <v>0</v>
      </c>
      <c r="AM796" s="254">
        <f>FMS_Ranking4[[#This Row],[Structures removed, ArcSinh (0-10)]]*AK$5*10</f>
        <v>0</v>
      </c>
      <c r="AN796" s="253">
        <f>_xlfn.XLOOKUP(FMS_Ranking4[[#This Row],[FMS ID]],FMS_Input[FMS_ID],FMS_Input[REMRESSTRC100])</f>
        <v>0</v>
      </c>
      <c r="AO796" s="258">
        <f>FMS_Ranking4[[#This Row],[ArcSinh Res struct removed 0-10]]*AN$5*10</f>
        <v>0</v>
      </c>
      <c r="AP796" s="254">
        <f>ASINH(FMS_Ranking4[[#This Row],[Residential Structures Removed Raw]])/AP$4*AN$5*100</f>
        <v>0</v>
      </c>
      <c r="AQ796" s="260">
        <f>(ASINH(FMS_Ranking4[[#This Row],[Residential Structures Removed Raw]]))*(10)/(ASINH(AN$4))</f>
        <v>0</v>
      </c>
      <c r="AR796" s="253">
        <f>_xlfn.XLOOKUP(FMS_Ranking4[[#This Row],[FMS ID]],FMS_Input[FMS_ID],FMS_Input[REMPOP100])</f>
        <v>0</v>
      </c>
      <c r="AS796" s="259">
        <f>(ASINH(FMS_Ranking4[[#This Row],[Removed Pop Raw]]))*(10)/(ASINH(AR$4))</f>
        <v>0</v>
      </c>
      <c r="AT796" s="263">
        <f>FMS_Ranking4[[#This Row],[Removed population, ArcSinh (0-10)]]*AR$5*10</f>
        <v>0</v>
      </c>
      <c r="AU796" s="264">
        <f>_xlfn.XLOOKUP(FMS_Ranking4[[#This Row],[FMS ID]],FMS_Input[FMS_ID],FMS_Input[REMCRITFAC100])</f>
        <v>0</v>
      </c>
      <c r="AV796" s="264">
        <f>_xlfn.XLOOKUP(FMS_Ranking4[[#This Row],[FMS ID]],FMS_Input[FMS_ID],FMS_Input[REMLWC100])</f>
        <v>0</v>
      </c>
      <c r="AW796" s="264">
        <f>_xlfn.XLOOKUP(FMS_Ranking4[[#This Row],[FMS ID]],FMS_Input[FMS_ID],FMS_Input[REMROADCLS])</f>
        <v>0</v>
      </c>
      <c r="AX796" s="264">
        <f>_xlfn.XLOOKUP(FMS_Ranking4[[#This Row],[FMS ID]],FMS_Input[FMS_ID],FMS_Input[REMFRMACRE100])</f>
        <v>0</v>
      </c>
      <c r="AY796" s="258">
        <f>_xlfn.XLOOKUP(FMS_Ranking4[[#This Row],[FMS ID]],FMS_Input[FMS_ID],FMS_Input[COSTSTRUCT])</f>
        <v>0</v>
      </c>
      <c r="AZ796" s="258">
        <f>_xlfn.XLOOKUP(FMS_Ranking4[[#This Row],[FMS ID]],FMS_Input[FMS_ID],FMS_Input[NATURE])</f>
        <v>0</v>
      </c>
      <c r="BA796" s="290">
        <f>(((FMS_Ranking4[[#This Row],[% NBS Raw]]/AZ$4)*100)*AZ$5)</f>
        <v>0</v>
      </c>
      <c r="BB796" s="251" t="str">
        <f>_xlfn.XLOOKUP(FMS_Ranking4[[#This Row],[FMS ID]],FMS_Input[FMS_ID],FMS_Input[WATER_SUP])</f>
        <v>No</v>
      </c>
      <c r="BC796" s="265">
        <f>IF(FMS_Ranking4[[#This Row],[Water Supply Raw]]="Yes",10,0)</f>
        <v>0</v>
      </c>
      <c r="BD796" s="251">
        <f>_xlfn.XLOOKUP(FMS_Ranking4[[#This Row],[FMS Type]],FMS_TYPE[FMS_Type],FMS_TYPE[Score])</f>
        <v>8</v>
      </c>
      <c r="BE796" s="267">
        <f>FMS_Ranking4[[#This Row],[FMS_Type Score]]*$BD$5*10</f>
        <v>2</v>
      </c>
      <c r="BF796"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1.1371202624680718E-5</v>
      </c>
      <c r="BG796" s="269">
        <f>_xlfn.RANK.EQ(BF796,$BF$8:$BF$870,0)+COUNTIF($BF$8:BF796,BF796)-1</f>
        <v>794</v>
      </c>
      <c r="BH796" s="268">
        <f>(((FMS_Ranking4[[#This Row],[Structures Removed Raw]]/AK$4)*100)*AK$5)+(((FMS_Ranking4[[#This Row],[Removed Pop Raw]]/AR$4)*100)*AR$5)</f>
        <v>0</v>
      </c>
      <c r="BI79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2.0000113712026248</v>
      </c>
      <c r="BJ796" s="326">
        <f>_xlfn.RANK.EQ(FMS_Ranking4[[#This Row],[Total Score 
(with linear
normalization)]],FMS_Ranking4[Total Score 
(with linear
normalization)],0)</f>
        <v>488</v>
      </c>
      <c r="BK796" s="269" t="e">
        <f>_xlfn.XLOOKUP(FMS_Ranking4[[#This Row],[FMS ID]],#REF!,#REF!)</f>
        <v>#REF!</v>
      </c>
      <c r="BL796"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0.7823503173121531</v>
      </c>
      <c r="BM796" s="331">
        <f>FMS_Ranking4[[#This Row],[ArcSinh Score Based on Normalized Reported Factors]]+FMS_Ranking4[[#This Row],[% NBS Score (Normalized)]]+(FMS_Ranking4[[#This Row],[Water Supply Score (Normalized)]]*10*$BB$5)+FMS_Ranking4[[#This Row],[FMS_Type Score Weighted]]</f>
        <v>2.7823503173121531</v>
      </c>
      <c r="BN796" s="333">
        <f>_xlfn.RANK.EQ(FMS_Ranking4[[#This Row],[Total Score (with ArcSinh normalization of select criteria)]],FMS_Ranking4[Total Score (with ArcSinh normalization of select criteria)],0)</f>
        <v>789</v>
      </c>
      <c r="BO796" s="270" t="str">
        <f>_xlfn.XLOOKUP(FMS_Ranking4[[#This Row],[FMS ID]],FMS_Input[FMS_ID],FMS_Input[FMS_RANK_YEAR])</f>
        <v>2023 Amended Plan</v>
      </c>
      <c r="BP796" s="204">
        <f>_xlfn.XLOOKUP(FMS_Ranking4[[#This Row],[FMS ID]],Prev_Rank[FMS ID],Prev_Rank[Prev Rank])</f>
        <v>719</v>
      </c>
      <c r="BQ796" s="335" t="e">
        <f>_xlfn.XLOOKUP(FMS_Ranking4[[#This Row],[FMS ID]],#REF!,#REF!)</f>
        <v>#REF!</v>
      </c>
      <c r="BR796" s="199" t="e">
        <f>SUM(#REF!,#REF!,#REF!,#REF!,#REF!,#REF!,#REF!,#REF!,#REF!,FMS_Ranking4[[#This Row],[ArcSinh Res struct removed 0-10]],#REF!)</f>
        <v>#REF!</v>
      </c>
      <c r="BS796" s="199" t="e">
        <f>FMS_Ranking4[[#This Row],[Log Score Based on Normalized Reported Factors]]+FMS_Ranking4[[#This Row],[% NBS Score (Normalized)]]+(FMS_Ranking4[[#This Row],[Water Supply Score (Normalized)]]*10*$BB$5)+(FMS_Ranking4[[#This Row],[FMS_Type Score Weighted]])</f>
        <v>#REF!</v>
      </c>
      <c r="BT796" s="200" t="e">
        <f>_xlfn.RANK.EQ(FMS_Ranking4[[#This Row],[Log Total Score]],FMS_Ranking4[Log Total Score],0)</f>
        <v>#REF!</v>
      </c>
      <c r="BU796" s="200" t="e">
        <f>_xlfn.XLOOKUP(FMS_Ranking4[[#This Row],[FMS ID]],#REF!,#REF!)</f>
        <v>#REF!</v>
      </c>
      <c r="BV796" s="200">
        <f>FMS_Ranking4[[#This Row],[Region Number]]</f>
        <v>3</v>
      </c>
      <c r="BW796" s="200">
        <f>FMS_Ranking4[[#This Row],[Rank (with ArcSinh normalization of select criteria)]]-FMS_Ranking4[[#This Row],[Rank
(with linear
normalization)]]</f>
        <v>301</v>
      </c>
      <c r="BX796" s="200" t="e">
        <f>FMS_Ranking4[[#This Row],[Log Rank]]-FMS_Ranking4[[#This Row],[Rank
(with linear
normalization)]]</f>
        <v>#REF!</v>
      </c>
      <c r="BY796" s="200" t="str">
        <f>IF(FMS_Ranking4[[#This Row],[FMS Type]]="Flood Measurement and Warning",FMS_Ranking4[[#This Row],[Rank (with ArcSinh normalization of select criteria)]],"")</f>
        <v/>
      </c>
      <c r="BZ796" s="200">
        <f>IF(FMS_Ranking4[[#This Row],[FMS Type]]="Regulatory and Guidance",FMS_Ranking4[[#This Row],[Rank (with ArcSinh normalization of select criteria)]],"")</f>
        <v>789</v>
      </c>
      <c r="CA796" s="200" t="str">
        <f>IF(FMS_Ranking4[[#This Row],[FMS Type]]="Education and Outreach",FMS_Ranking4[[#This Row],[Rank (with ArcSinh normalization of select criteria)]],"")</f>
        <v/>
      </c>
      <c r="CB796" s="200" t="str">
        <f>IF(FMS_Ranking4[[#This Row],[FMS Type]]="Property Acquisition and Structural Elevation",FMS_Ranking4[[#This Row],[Rank (with ArcSinh normalization of select criteria)]],"")</f>
        <v/>
      </c>
      <c r="CC796" s="200" t="str">
        <f>IF(FMS_Ranking4[[#This Row],[FMS Type]]="Infrastructure Projects",FMS_Ranking4[[#This Row],[Rank (with ArcSinh normalization of select criteria)]],"")</f>
        <v/>
      </c>
      <c r="CD796" s="200" t="str">
        <f>IF(FMS_Ranking4[[#This Row],[FMS Type]]="Other",FMS_Ranking4[[#This Row],[Rank (with ArcSinh normalization of select criteria)]],"")</f>
        <v/>
      </c>
    </row>
    <row r="797" spans="2:82" ht="30" x14ac:dyDescent="0.25">
      <c r="B797" s="342" t="s">
        <v>1187</v>
      </c>
      <c r="C797" s="287">
        <f>_xlfn.XLOOKUP(FMS_Ranking4[[#This Row],[FMS ID]],FMS_Input[FMS_ID],FMS_Input[RFPG_NUM])</f>
        <v>1</v>
      </c>
      <c r="D797" s="309" t="str">
        <f>_xlfn.XLOOKUP(FMS_Ranking4[[#This Row],[FMS ID]],FMS_Input[FMS_ID],FMS_Input[FMS_NAME])</f>
        <v>Bellevue NFIP Involvement</v>
      </c>
      <c r="E797" s="322" t="str">
        <f>_xlfn.XLOOKUP(FMS_Ranking4[[#This Row],[FMS ID]],FMS_Input[FMS_ID],FMS_Input[SPONSOR])</f>
        <v>01002547</v>
      </c>
      <c r="F797" s="309" t="str">
        <f>_xlfn.XLOOKUP(FMS_Ranking4[[#This Row],[FMS ID]],Sponsor[FMS_ID],Sponsor[SPONSOR NAME])</f>
        <v>Bellevue</v>
      </c>
      <c r="G797" s="309" t="str">
        <f>_xlfn.XLOOKUP(FMS_Ranking4[[#This Row],[FMS ID]],FMS_Input[FMS_ID],FMS_Input[FMS_DESCR])</f>
        <v>Application to join NFIP or adopt equivalent standards</v>
      </c>
      <c r="H797" s="247" t="str">
        <f>_xlfn.XLOOKUP(FMS_Ranking4[[#This Row],[FMS ID]],FMS_Input[FMS_ID],FMS_Input[FMS_TYPE])</f>
        <v>Regulatory and Guidance</v>
      </c>
      <c r="I797" s="288">
        <f>_xlfn.XLOOKUP(FMS_Ranking4[[#This Row],[FMS ID]],FMS_Input[FMS_ID],FMS_Input[NRNC_COST])</f>
        <v>100000</v>
      </c>
      <c r="J797" s="250">
        <f>_xlfn.XLOOKUP(FMS_Ranking4[[#This Row],[FMS ID]],FMS_Input[FMS_ID],FMS_Input[FMS_COST])</f>
        <v>100000</v>
      </c>
      <c r="K797" s="289" t="str">
        <f>_xlfn.XLOOKUP(FMS_Ranking4[[#This Row],[FMS ID]],FMS_Input[FMS_ID],FMS_Input[EMER_NEED])</f>
        <v>No</v>
      </c>
      <c r="L797" s="252">
        <f t="shared" si="12"/>
        <v>0</v>
      </c>
      <c r="M797" s="253">
        <f>_xlfn.XLOOKUP(FMS_Ranking4[[#This Row],[FMS ID]],FMS_Input[FMS_ID],FMS_Input[STRUCT_100])</f>
        <v>0</v>
      </c>
      <c r="N797" s="255">
        <f>(ASINH(FMS_Ranking4[[#This Row],[Structure at Risk Raw]]))*(10)/(ASINH(M$4))</f>
        <v>0</v>
      </c>
      <c r="O797" s="255">
        <f>FMS_Ranking4[[#This Row],[Structures at risk, ArcSinh (0-10)]]*M$5*10</f>
        <v>0</v>
      </c>
      <c r="P797" s="259">
        <f>_xlfn.XLOOKUP(FMS_Ranking4[[#This Row],[FMS ID]],FMS_Input[FMS_ID],FMS_Input[RES_STRUCT100])</f>
        <v>0</v>
      </c>
      <c r="Q797" s="257">
        <f>ASINH(FMS_Ranking4[[#This Row],[Res Structure Raw]])/Q$4*P$5*100</f>
        <v>0</v>
      </c>
      <c r="R797" s="259">
        <f>_xlfn.XLOOKUP(FMS_Ranking4[[#This Row],[FMS ID]],FMS_Input[FMS_ID],FMS_Input[POP100])</f>
        <v>0</v>
      </c>
      <c r="S797" s="255">
        <f>(ASINH(FMS_Ranking4[[#This Row],[Pop at Risk Raw]]))*(10)/(ASINH(R$4))</f>
        <v>0</v>
      </c>
      <c r="T797" s="257">
        <f>FMS_Ranking4[[#This Row],[Population at risk, ArcSinh (0-10)]]*R$5*10</f>
        <v>0</v>
      </c>
      <c r="U797" s="259">
        <f>_xlfn.XLOOKUP(FMS_Ranking4[[#This Row],[FMS ID]],FMS_Input[FMS_ID],FMS_Input[CRITFAC100])</f>
        <v>0</v>
      </c>
      <c r="V797" s="255">
        <f>(ASINH(FMS_Ranking4[[#This Row],[Critical Facilities Raw]]))*(10)/(ASINH(U$4))</f>
        <v>0</v>
      </c>
      <c r="W797" s="257">
        <f>FMS_Ranking4[[#This Row],[Critical facilities at risk, ArcSinh (0-10)]]*U$5*10</f>
        <v>0</v>
      </c>
      <c r="X797" s="259">
        <f>_xlfn.XLOOKUP(FMS_Ranking4[[#This Row],[FMS ID]],FMS_Input[FMS_ID],FMS_Input[LWC])</f>
        <v>0</v>
      </c>
      <c r="Y797" s="255">
        <f>(ASINH(FMS_Ranking4[[#This Row],[LWC Raw]]))*(10)/(ASINH(X$4))</f>
        <v>0</v>
      </c>
      <c r="Z797" s="257">
        <f>FMS_Ranking4[[#This Row],[LWC, ArcSInh (0-10)]]*X$5*10</f>
        <v>0</v>
      </c>
      <c r="AA797" s="259">
        <f>_xlfn.XLOOKUP(FMS_Ranking4[[#This Row],[FMS ID]],FMS_Input[FMS_ID],FMS_Input[ROADCLS])</f>
        <v>0</v>
      </c>
      <c r="AB797" s="255">
        <f>(ASINH(FMS_Ranking4[[#This Row],[Road Closures Raw]]))*(10)/(ASINH(AA$4))</f>
        <v>0</v>
      </c>
      <c r="AC797" s="255">
        <f>FMS_Ranking4[[#This Row],[Road closures, ArcSinh (0-10)]]*AA$5*10</f>
        <v>0</v>
      </c>
      <c r="AD797" s="259">
        <f>_xlfn.XLOOKUP(FMS_Ranking4[[#This Row],[FMS ID]],FMS_Input[FMS_ID],FMS_Input[ROAD_MILES100])</f>
        <v>0</v>
      </c>
      <c r="AE797" s="255">
        <f>(ASINH(FMS_Ranking4[[#This Row],[Road Miles Raw]]))*(10)/(ASINH(AD$4))</f>
        <v>0</v>
      </c>
      <c r="AF797" s="257">
        <f>FMS_Ranking4[[#This Row],[Length of roads at risk, ArcSinh (0-10)]]*AD$5*10</f>
        <v>0</v>
      </c>
      <c r="AG797" s="259">
        <f>_xlfn.XLOOKUP(FMS_Ranking4[[#This Row],[FMS ID]],FMS_Input[FMS_ID],FMS_Input[FARMACRE100])</f>
        <v>2.786890029907227</v>
      </c>
      <c r="AH797" s="255">
        <f>(ASINH(FMS_Ranking4[[#This Row],[Ag Land Raw]]))*(10)/(ASINH(AG$4))</f>
        <v>1.1359948047131965</v>
      </c>
      <c r="AI797" s="254">
        <f>FMS_Ranking4[[#This Row],[Farm &amp; ranch land, ArcSinh (0-10)]]*AG$5*10</f>
        <v>0.56799740235659824</v>
      </c>
      <c r="AJ797" s="258">
        <f>_xlfn.XLOOKUP(FMS_Ranking4[[#This Row],[FMS ID]],FMS_Input[FMS_ID],FMS_Input[REDSTRUCT100])</f>
        <v>0</v>
      </c>
      <c r="AK797" s="253">
        <f>_xlfn.XLOOKUP(FMS_Ranking4[[#This Row],[FMS ID]],FMS_Input[FMS_ID],FMS_Input[REMSTRC100])</f>
        <v>0</v>
      </c>
      <c r="AL797" s="255">
        <f>(ASINH(FMS_Ranking4[[#This Row],[Structures Removed Raw]]))*(10)/(ASINH(AK$4))</f>
        <v>0</v>
      </c>
      <c r="AM797" s="254">
        <f>FMS_Ranking4[[#This Row],[Structures removed, ArcSinh (0-10)]]*AK$5*10</f>
        <v>0</v>
      </c>
      <c r="AN797" s="253">
        <f>_xlfn.XLOOKUP(FMS_Ranking4[[#This Row],[FMS ID]],FMS_Input[FMS_ID],FMS_Input[REMRESSTRC100])</f>
        <v>0</v>
      </c>
      <c r="AO797" s="258">
        <f>FMS_Ranking4[[#This Row],[ArcSinh Res struct removed 0-10]]*AN$5*10</f>
        <v>0</v>
      </c>
      <c r="AP797" s="254">
        <f>ASINH(FMS_Ranking4[[#This Row],[Residential Structures Removed Raw]])/AP$4*AN$5*100</f>
        <v>0</v>
      </c>
      <c r="AQ797" s="261">
        <f>(ASINH(FMS_Ranking4[[#This Row],[Residential Structures Removed Raw]]))*(10)/(ASINH(AN$4))</f>
        <v>0</v>
      </c>
      <c r="AR797" s="253">
        <f>_xlfn.XLOOKUP(FMS_Ranking4[[#This Row],[FMS ID]],FMS_Input[FMS_ID],FMS_Input[REMPOP100])</f>
        <v>0</v>
      </c>
      <c r="AS797" s="255">
        <f>(ASINH(FMS_Ranking4[[#This Row],[Removed Pop Raw]]))*(10)/(ASINH(AR$4))</f>
        <v>0</v>
      </c>
      <c r="AT797" s="263">
        <f>FMS_Ranking4[[#This Row],[Removed population, ArcSinh (0-10)]]*AR$5*10</f>
        <v>0</v>
      </c>
      <c r="AU797" s="264">
        <f>_xlfn.XLOOKUP(FMS_Ranking4[[#This Row],[FMS ID]],FMS_Input[FMS_ID],FMS_Input[REMCRITFAC100])</f>
        <v>0</v>
      </c>
      <c r="AV797" s="264">
        <f>_xlfn.XLOOKUP(FMS_Ranking4[[#This Row],[FMS ID]],FMS_Input[FMS_ID],FMS_Input[REMLWC100])</f>
        <v>0</v>
      </c>
      <c r="AW797" s="264">
        <f>_xlfn.XLOOKUP(FMS_Ranking4[[#This Row],[FMS ID]],FMS_Input[FMS_ID],FMS_Input[REMROADCLS])</f>
        <v>0</v>
      </c>
      <c r="AX797" s="264">
        <f>_xlfn.XLOOKUP(FMS_Ranking4[[#This Row],[FMS ID]],FMS_Input[FMS_ID],FMS_Input[REMFRMACRE100])</f>
        <v>0</v>
      </c>
      <c r="AY797" s="258">
        <f>_xlfn.XLOOKUP(FMS_Ranking4[[#This Row],[FMS ID]],FMS_Input[FMS_ID],FMS_Input[COSTSTRUCT])</f>
        <v>0</v>
      </c>
      <c r="AZ797" s="258">
        <f>_xlfn.XLOOKUP(FMS_Ranking4[[#This Row],[FMS ID]],FMS_Input[FMS_ID],FMS_Input[NATURE])</f>
        <v>0</v>
      </c>
      <c r="BA797" s="290">
        <f>(((FMS_Ranking4[[#This Row],[% NBS Raw]]/AZ$4)*100)*AZ$5)</f>
        <v>0</v>
      </c>
      <c r="BB797" s="251" t="str">
        <f>_xlfn.XLOOKUP(FMS_Ranking4[[#This Row],[FMS ID]],FMS_Input[FMS_ID],FMS_Input[WATER_SUP])</f>
        <v>No</v>
      </c>
      <c r="BC797" s="265">
        <f>IF(FMS_Ranking4[[#This Row],[Water Supply Raw]]="Yes",10,0)</f>
        <v>0</v>
      </c>
      <c r="BD797" s="251">
        <f>_xlfn.XLOOKUP(FMS_Ranking4[[#This Row],[FMS Type]],FMS_TYPE[FMS_Type],FMS_TYPE[Score])</f>
        <v>8</v>
      </c>
      <c r="BE797" s="267">
        <f>FMS_Ranking4[[#This Row],[FMS_Type Score]]*$BD$5*10</f>
        <v>2</v>
      </c>
      <c r="BF797"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5.745943465493655E-6</v>
      </c>
      <c r="BG797" s="321">
        <f>_xlfn.RANK.EQ(BF797,$BF$8:$BF$870,0)+COUNTIF($BF$8:BF797,BF797)-1</f>
        <v>797</v>
      </c>
      <c r="BH797" s="294">
        <f>(((FMS_Ranking4[[#This Row],[Structures Removed Raw]]/AK$4)*100)*AK$5)+(((FMS_Ranking4[[#This Row],[Removed Pop Raw]]/AR$4)*100)*AR$5)</f>
        <v>0</v>
      </c>
      <c r="BI797"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2.0000057459434655</v>
      </c>
      <c r="BJ797" s="296">
        <f>_xlfn.RANK.EQ(FMS_Ranking4[[#This Row],[Total Score 
(with linear
normalization)]],FMS_Ranking4[Total Score 
(with linear
normalization)],0)</f>
        <v>489</v>
      </c>
      <c r="BK797" s="292" t="e">
        <f>_xlfn.XLOOKUP(FMS_Ranking4[[#This Row],[FMS ID]],#REF!,#REF!)</f>
        <v>#REF!</v>
      </c>
      <c r="BL797"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0.56799740235659824</v>
      </c>
      <c r="BM797" s="298">
        <f>FMS_Ranking4[[#This Row],[ArcSinh Score Based on Normalized Reported Factors]]+FMS_Ranking4[[#This Row],[% NBS Score (Normalized)]]+(FMS_Ranking4[[#This Row],[Water Supply Score (Normalized)]]*10*$BB$5)+FMS_Ranking4[[#This Row],[FMS_Type Score Weighted]]</f>
        <v>2.5679974023565983</v>
      </c>
      <c r="BN797" s="323">
        <f>_xlfn.RANK.EQ(FMS_Ranking4[[#This Row],[Total Score (with ArcSinh normalization of select criteria)]],FMS_Ranking4[Total Score (with ArcSinh normalization of select criteria)],0)</f>
        <v>790</v>
      </c>
      <c r="BO797" s="270" t="str">
        <f>_xlfn.XLOOKUP(FMS_Ranking4[[#This Row],[FMS ID]],FMS_Input[FMS_ID],FMS_Input[FMS_RANK_YEAR])</f>
        <v>2023 Amended Plan</v>
      </c>
      <c r="BP797" s="204">
        <f>_xlfn.XLOOKUP(FMS_Ranking4[[#This Row],[FMS ID]],Prev_Rank[FMS ID],Prev_Rank[Prev Rank])</f>
        <v>720</v>
      </c>
      <c r="BQ797" s="265" t="e">
        <f>_xlfn.XLOOKUP(FMS_Ranking4[[#This Row],[FMS ID]],#REF!,#REF!)</f>
        <v>#REF!</v>
      </c>
      <c r="BR797" s="199" t="e">
        <f>SUM(#REF!,#REF!,#REF!,#REF!,#REF!,#REF!,#REF!,#REF!,#REF!,FMS_Ranking4[[#This Row],[ArcSinh Res struct removed 0-10]],#REF!)</f>
        <v>#REF!</v>
      </c>
      <c r="BS797" s="199" t="e">
        <f>FMS_Ranking4[[#This Row],[Log Score Based on Normalized Reported Factors]]+FMS_Ranking4[[#This Row],[% NBS Score (Normalized)]]+(FMS_Ranking4[[#This Row],[Water Supply Score (Normalized)]]*10*$BB$5)+(FMS_Ranking4[[#This Row],[FMS_Type Score Weighted]])</f>
        <v>#REF!</v>
      </c>
      <c r="BT797" s="200" t="e">
        <f>_xlfn.RANK.EQ(FMS_Ranking4[[#This Row],[Log Total Score]],FMS_Ranking4[Log Total Score],0)</f>
        <v>#REF!</v>
      </c>
      <c r="BU797" s="200" t="e">
        <f>_xlfn.XLOOKUP(FMS_Ranking4[[#This Row],[FMS ID]],#REF!,#REF!)</f>
        <v>#REF!</v>
      </c>
      <c r="BV797" s="200">
        <f>FMS_Ranking4[[#This Row],[Region Number]]</f>
        <v>1</v>
      </c>
      <c r="BW797" s="200">
        <f>FMS_Ranking4[[#This Row],[Rank (with ArcSinh normalization of select criteria)]]-FMS_Ranking4[[#This Row],[Rank
(with linear
normalization)]]</f>
        <v>301</v>
      </c>
      <c r="BX797" s="200" t="e">
        <f>FMS_Ranking4[[#This Row],[Log Rank]]-FMS_Ranking4[[#This Row],[Rank
(with linear
normalization)]]</f>
        <v>#REF!</v>
      </c>
      <c r="BY797" s="200" t="str">
        <f>IF(FMS_Ranking4[[#This Row],[FMS Type]]="Flood Measurement and Warning",FMS_Ranking4[[#This Row],[Rank (with ArcSinh normalization of select criteria)]],"")</f>
        <v/>
      </c>
      <c r="BZ797" s="200">
        <f>IF(FMS_Ranking4[[#This Row],[FMS Type]]="Regulatory and Guidance",FMS_Ranking4[[#This Row],[Rank (with ArcSinh normalization of select criteria)]],"")</f>
        <v>790</v>
      </c>
      <c r="CA797" s="200" t="str">
        <f>IF(FMS_Ranking4[[#This Row],[FMS Type]]="Education and Outreach",FMS_Ranking4[[#This Row],[Rank (with ArcSinh normalization of select criteria)]],"")</f>
        <v/>
      </c>
      <c r="CB797" s="200" t="str">
        <f>IF(FMS_Ranking4[[#This Row],[FMS Type]]="Property Acquisition and Structural Elevation",FMS_Ranking4[[#This Row],[Rank (with ArcSinh normalization of select criteria)]],"")</f>
        <v/>
      </c>
      <c r="CC797" s="200" t="str">
        <f>IF(FMS_Ranking4[[#This Row],[FMS Type]]="Infrastructure Projects",FMS_Ranking4[[#This Row],[Rank (with ArcSinh normalization of select criteria)]],"")</f>
        <v/>
      </c>
      <c r="CD797" s="200" t="str">
        <f>IF(FMS_Ranking4[[#This Row],[FMS Type]]="Other",FMS_Ranking4[[#This Row],[Rank (with ArcSinh normalization of select criteria)]],"")</f>
        <v/>
      </c>
    </row>
    <row r="798" spans="2:82" ht="30" x14ac:dyDescent="0.25">
      <c r="B798" s="342" t="s">
        <v>1271</v>
      </c>
      <c r="C798" s="287">
        <f>_xlfn.XLOOKUP(FMS_Ranking4[[#This Row],[FMS ID]],FMS_Input[FMS_ID],FMS_Input[RFPG_NUM])</f>
        <v>1</v>
      </c>
      <c r="D798" s="309" t="str">
        <f>_xlfn.XLOOKUP(FMS_Ranking4[[#This Row],[FMS ID]],FMS_Input[FMS_ID],FMS_Input[FMS_NAME])</f>
        <v>Sanford NFIP Involvement</v>
      </c>
      <c r="E798" s="322" t="str">
        <f>_xlfn.XLOOKUP(FMS_Ranking4[[#This Row],[FMS ID]],FMS_Input[FMS_ID],FMS_Input[SPONSOR])</f>
        <v>01002813</v>
      </c>
      <c r="F798" s="309" t="str">
        <f>_xlfn.XLOOKUP(FMS_Ranking4[[#This Row],[FMS ID]],Sponsor[FMS_ID],Sponsor[SPONSOR NAME])</f>
        <v>Sanford</v>
      </c>
      <c r="G798" s="309" t="str">
        <f>_xlfn.XLOOKUP(FMS_Ranking4[[#This Row],[FMS ID]],FMS_Input[FMS_ID],FMS_Input[FMS_DESCR])</f>
        <v>Application to join NFIP or adopt equivalent standards</v>
      </c>
      <c r="H798" s="247" t="str">
        <f>_xlfn.XLOOKUP(FMS_Ranking4[[#This Row],[FMS ID]],FMS_Input[FMS_ID],FMS_Input[FMS_TYPE])</f>
        <v>Regulatory and Guidance</v>
      </c>
      <c r="I798" s="288">
        <f>_xlfn.XLOOKUP(FMS_Ranking4[[#This Row],[FMS ID]],FMS_Input[FMS_ID],FMS_Input[NRNC_COST])</f>
        <v>100000</v>
      </c>
      <c r="J798" s="250">
        <f>_xlfn.XLOOKUP(FMS_Ranking4[[#This Row],[FMS ID]],FMS_Input[FMS_ID],FMS_Input[FMS_COST])</f>
        <v>100000</v>
      </c>
      <c r="K798" s="289" t="str">
        <f>_xlfn.XLOOKUP(FMS_Ranking4[[#This Row],[FMS ID]],FMS_Input[FMS_ID],FMS_Input[EMER_NEED])</f>
        <v>No</v>
      </c>
      <c r="L798" s="252">
        <f t="shared" si="12"/>
        <v>0</v>
      </c>
      <c r="M798" s="253">
        <f>_xlfn.XLOOKUP(FMS_Ranking4[[#This Row],[FMS ID]],FMS_Input[FMS_ID],FMS_Input[STRUCT_100])</f>
        <v>0</v>
      </c>
      <c r="N798" s="255">
        <f>(ASINH(FMS_Ranking4[[#This Row],[Structure at Risk Raw]]))*(10)/(ASINH(M$4))</f>
        <v>0</v>
      </c>
      <c r="O798" s="255">
        <f>FMS_Ranking4[[#This Row],[Structures at risk, ArcSinh (0-10)]]*M$5*10</f>
        <v>0</v>
      </c>
      <c r="P798" s="259">
        <f>_xlfn.XLOOKUP(FMS_Ranking4[[#This Row],[FMS ID]],FMS_Input[FMS_ID],FMS_Input[RES_STRUCT100])</f>
        <v>0</v>
      </c>
      <c r="Q798" s="257">
        <f>ASINH(FMS_Ranking4[[#This Row],[Res Structure Raw]])/Q$4*P$5*100</f>
        <v>0</v>
      </c>
      <c r="R798" s="259">
        <f>_xlfn.XLOOKUP(FMS_Ranking4[[#This Row],[FMS ID]],FMS_Input[FMS_ID],FMS_Input[POP100])</f>
        <v>0</v>
      </c>
      <c r="S798" s="259">
        <f>(ASINH(FMS_Ranking4[[#This Row],[Pop at Risk Raw]]))*(10)/(ASINH(R$4))</f>
        <v>0</v>
      </c>
      <c r="T798" s="257">
        <f>FMS_Ranking4[[#This Row],[Population at risk, ArcSinh (0-10)]]*R$5*10</f>
        <v>0</v>
      </c>
      <c r="U798" s="259">
        <f>_xlfn.XLOOKUP(FMS_Ranking4[[#This Row],[FMS ID]],FMS_Input[FMS_ID],FMS_Input[CRITFAC100])</f>
        <v>0</v>
      </c>
      <c r="V798" s="259">
        <f>(ASINH(FMS_Ranking4[[#This Row],[Critical Facilities Raw]]))*(10)/(ASINH(U$4))</f>
        <v>0</v>
      </c>
      <c r="W798" s="257">
        <f>FMS_Ranking4[[#This Row],[Critical facilities at risk, ArcSinh (0-10)]]*U$5*10</f>
        <v>0</v>
      </c>
      <c r="X798" s="259">
        <f>_xlfn.XLOOKUP(FMS_Ranking4[[#This Row],[FMS ID]],FMS_Input[FMS_ID],FMS_Input[LWC])</f>
        <v>0</v>
      </c>
      <c r="Y798" s="259">
        <f>(ASINH(FMS_Ranking4[[#This Row],[LWC Raw]]))*(10)/(ASINH(X$4))</f>
        <v>0</v>
      </c>
      <c r="Z798" s="257">
        <f>FMS_Ranking4[[#This Row],[LWC, ArcSInh (0-10)]]*X$5*10</f>
        <v>0</v>
      </c>
      <c r="AA798" s="259">
        <f>_xlfn.XLOOKUP(FMS_Ranking4[[#This Row],[FMS ID]],FMS_Input[FMS_ID],FMS_Input[ROADCLS])</f>
        <v>0</v>
      </c>
      <c r="AB798" s="255">
        <f>(ASINH(FMS_Ranking4[[#This Row],[Road Closures Raw]]))*(10)/(ASINH(AA$4))</f>
        <v>0</v>
      </c>
      <c r="AC798" s="255">
        <f>FMS_Ranking4[[#This Row],[Road closures, ArcSinh (0-10)]]*AA$5*10</f>
        <v>0</v>
      </c>
      <c r="AD798" s="259">
        <f>_xlfn.XLOOKUP(FMS_Ranking4[[#This Row],[FMS ID]],FMS_Input[FMS_ID],FMS_Input[ROAD_MILES100])</f>
        <v>0</v>
      </c>
      <c r="AE798" s="259">
        <f>(ASINH(FMS_Ranking4[[#This Row],[Road Miles Raw]]))*(10)/(ASINH(AD$4))</f>
        <v>0</v>
      </c>
      <c r="AF798" s="257">
        <f>FMS_Ranking4[[#This Row],[Length of roads at risk, ArcSinh (0-10)]]*AD$5*10</f>
        <v>0</v>
      </c>
      <c r="AG798" s="259">
        <f>_xlfn.XLOOKUP(FMS_Ranking4[[#This Row],[FMS ID]],FMS_Input[FMS_ID],FMS_Input[FARMACRE100])</f>
        <v>2.7072031497955318</v>
      </c>
      <c r="AH798" s="255">
        <f>(ASINH(FMS_Ranking4[[#This Row],[Ag Land Raw]]))*(10)/(ASINH(AG$4))</f>
        <v>1.1182874190607262</v>
      </c>
      <c r="AI798" s="254">
        <f>FMS_Ranking4[[#This Row],[Farm &amp; ranch land, ArcSinh (0-10)]]*AG$5*10</f>
        <v>0.55914370953036308</v>
      </c>
      <c r="AJ798" s="258">
        <f>_xlfn.XLOOKUP(FMS_Ranking4[[#This Row],[FMS ID]],FMS_Input[FMS_ID],FMS_Input[REDSTRUCT100])</f>
        <v>0</v>
      </c>
      <c r="AK798" s="253">
        <f>_xlfn.XLOOKUP(FMS_Ranking4[[#This Row],[FMS ID]],FMS_Input[FMS_ID],FMS_Input[REMSTRC100])</f>
        <v>0</v>
      </c>
      <c r="AL798" s="259">
        <f>(ASINH(FMS_Ranking4[[#This Row],[Structures Removed Raw]]))*(10)/(ASINH(AK$4))</f>
        <v>0</v>
      </c>
      <c r="AM798" s="254">
        <f>FMS_Ranking4[[#This Row],[Structures removed, ArcSinh (0-10)]]*AK$5*10</f>
        <v>0</v>
      </c>
      <c r="AN798" s="253">
        <f>_xlfn.XLOOKUP(FMS_Ranking4[[#This Row],[FMS ID]],FMS_Input[FMS_ID],FMS_Input[REMRESSTRC100])</f>
        <v>0</v>
      </c>
      <c r="AO798" s="258">
        <f>FMS_Ranking4[[#This Row],[ArcSinh Res struct removed 0-10]]*AN$5*10</f>
        <v>0</v>
      </c>
      <c r="AP798" s="254">
        <f>ASINH(FMS_Ranking4[[#This Row],[Residential Structures Removed Raw]])/AP$4*AN$5*100</f>
        <v>0</v>
      </c>
      <c r="AQ798" s="260">
        <f>(ASINH(FMS_Ranking4[[#This Row],[Residential Structures Removed Raw]]))*(10)/(ASINH(AN$4))</f>
        <v>0</v>
      </c>
      <c r="AR798" s="253">
        <f>_xlfn.XLOOKUP(FMS_Ranking4[[#This Row],[FMS ID]],FMS_Input[FMS_ID],FMS_Input[REMPOP100])</f>
        <v>0</v>
      </c>
      <c r="AS798" s="259">
        <f>(ASINH(FMS_Ranking4[[#This Row],[Removed Pop Raw]]))*(10)/(ASINH(AR$4))</f>
        <v>0</v>
      </c>
      <c r="AT798" s="263">
        <f>FMS_Ranking4[[#This Row],[Removed population, ArcSinh (0-10)]]*AR$5*10</f>
        <v>0</v>
      </c>
      <c r="AU798" s="264">
        <f>_xlfn.XLOOKUP(FMS_Ranking4[[#This Row],[FMS ID]],FMS_Input[FMS_ID],FMS_Input[REMCRITFAC100])</f>
        <v>0</v>
      </c>
      <c r="AV798" s="264">
        <f>_xlfn.XLOOKUP(FMS_Ranking4[[#This Row],[FMS ID]],FMS_Input[FMS_ID],FMS_Input[REMLWC100])</f>
        <v>0</v>
      </c>
      <c r="AW798" s="264">
        <f>_xlfn.XLOOKUP(FMS_Ranking4[[#This Row],[FMS ID]],FMS_Input[FMS_ID],FMS_Input[REMROADCLS])</f>
        <v>0</v>
      </c>
      <c r="AX798" s="264">
        <f>_xlfn.XLOOKUP(FMS_Ranking4[[#This Row],[FMS ID]],FMS_Input[FMS_ID],FMS_Input[REMFRMACRE100])</f>
        <v>0</v>
      </c>
      <c r="AY798" s="258">
        <f>_xlfn.XLOOKUP(FMS_Ranking4[[#This Row],[FMS ID]],FMS_Input[FMS_ID],FMS_Input[COSTSTRUCT])</f>
        <v>0</v>
      </c>
      <c r="AZ798" s="258">
        <f>_xlfn.XLOOKUP(FMS_Ranking4[[#This Row],[FMS ID]],FMS_Input[FMS_ID],FMS_Input[NATURE])</f>
        <v>0</v>
      </c>
      <c r="BA798" s="290">
        <f>(((FMS_Ranking4[[#This Row],[% NBS Raw]]/AZ$4)*100)*AZ$5)</f>
        <v>0</v>
      </c>
      <c r="BB798" s="251" t="str">
        <f>_xlfn.XLOOKUP(FMS_Ranking4[[#This Row],[FMS ID]],FMS_Input[FMS_ID],FMS_Input[WATER_SUP])</f>
        <v>No</v>
      </c>
      <c r="BC798" s="265">
        <f>IF(FMS_Ranking4[[#This Row],[Water Supply Raw]]="Yes",10,0)</f>
        <v>0</v>
      </c>
      <c r="BD798" s="251">
        <f>_xlfn.XLOOKUP(FMS_Ranking4[[#This Row],[FMS Type]],FMS_TYPE[FMS_Type],FMS_TYPE[Score])</f>
        <v>8</v>
      </c>
      <c r="BE798" s="267">
        <f>FMS_Ranking4[[#This Row],[FMS_Type Score]]*$BD$5*10</f>
        <v>2</v>
      </c>
      <c r="BF79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5.5816469546339804E-6</v>
      </c>
      <c r="BG798" s="271">
        <f>_xlfn.RANK.EQ(BF798,$BF$8:$BF$870,0)+COUNTIF($BF$8:BF798,BF798)-1</f>
        <v>798</v>
      </c>
      <c r="BH798" s="268">
        <f>(((FMS_Ranking4[[#This Row],[Structures Removed Raw]]/AK$4)*100)*AK$5)+(((FMS_Ranking4[[#This Row],[Removed Pop Raw]]/AR$4)*100)*AR$5)</f>
        <v>0</v>
      </c>
      <c r="BI79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2.0000055816469549</v>
      </c>
      <c r="BJ798" s="325">
        <f>_xlfn.RANK.EQ(FMS_Ranking4[[#This Row],[Total Score 
(with linear
normalization)]],FMS_Ranking4[Total Score 
(with linear
normalization)],0)</f>
        <v>490</v>
      </c>
      <c r="BK798" s="327" t="e">
        <f>_xlfn.XLOOKUP(FMS_Ranking4[[#This Row],[FMS ID]],#REF!,#REF!)</f>
        <v>#REF!</v>
      </c>
      <c r="BL79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0.55914370953036308</v>
      </c>
      <c r="BM798" s="330">
        <f>FMS_Ranking4[[#This Row],[ArcSinh Score Based on Normalized Reported Factors]]+FMS_Ranking4[[#This Row],[% NBS Score (Normalized)]]+(FMS_Ranking4[[#This Row],[Water Supply Score (Normalized)]]*10*$BB$5)+FMS_Ranking4[[#This Row],[FMS_Type Score Weighted]]</f>
        <v>2.5591437095303631</v>
      </c>
      <c r="BN798" s="332">
        <f>_xlfn.RANK.EQ(FMS_Ranking4[[#This Row],[Total Score (with ArcSinh normalization of select criteria)]],FMS_Ranking4[Total Score (with ArcSinh normalization of select criteria)],0)</f>
        <v>791</v>
      </c>
      <c r="BO798" s="270" t="str">
        <f>_xlfn.XLOOKUP(FMS_Ranking4[[#This Row],[FMS ID]],FMS_Input[FMS_ID],FMS_Input[FMS_RANK_YEAR])</f>
        <v>2023 Amended Plan</v>
      </c>
      <c r="BP798" s="204">
        <f>_xlfn.XLOOKUP(FMS_Ranking4[[#This Row],[FMS ID]],Prev_Rank[FMS ID],Prev_Rank[Prev Rank])</f>
        <v>721</v>
      </c>
      <c r="BQ798" s="334" t="e">
        <f>_xlfn.XLOOKUP(FMS_Ranking4[[#This Row],[FMS ID]],#REF!,#REF!)</f>
        <v>#REF!</v>
      </c>
      <c r="BR798" s="199" t="e">
        <f>SUM(#REF!,#REF!,#REF!,#REF!,#REF!,#REF!,#REF!,#REF!,#REF!,FMS_Ranking4[[#This Row],[ArcSinh Res struct removed 0-10]],#REF!)</f>
        <v>#REF!</v>
      </c>
      <c r="BS798" s="199" t="e">
        <f>FMS_Ranking4[[#This Row],[Log Score Based on Normalized Reported Factors]]+FMS_Ranking4[[#This Row],[% NBS Score (Normalized)]]+(FMS_Ranking4[[#This Row],[Water Supply Score (Normalized)]]*10*$BB$5)+(FMS_Ranking4[[#This Row],[FMS_Type Score Weighted]])</f>
        <v>#REF!</v>
      </c>
      <c r="BT798" s="200" t="e">
        <f>_xlfn.RANK.EQ(FMS_Ranking4[[#This Row],[Log Total Score]],FMS_Ranking4[Log Total Score],0)</f>
        <v>#REF!</v>
      </c>
      <c r="BU798" s="200" t="e">
        <f>_xlfn.XLOOKUP(FMS_Ranking4[[#This Row],[FMS ID]],#REF!,#REF!)</f>
        <v>#REF!</v>
      </c>
      <c r="BV798" s="200">
        <f>FMS_Ranking4[[#This Row],[Region Number]]</f>
        <v>1</v>
      </c>
      <c r="BW798" s="200">
        <f>FMS_Ranking4[[#This Row],[Rank (with ArcSinh normalization of select criteria)]]-FMS_Ranking4[[#This Row],[Rank
(with linear
normalization)]]</f>
        <v>301</v>
      </c>
      <c r="BX798" s="200" t="e">
        <f>FMS_Ranking4[[#This Row],[Log Rank]]-FMS_Ranking4[[#This Row],[Rank
(with linear
normalization)]]</f>
        <v>#REF!</v>
      </c>
      <c r="BY798" s="200" t="str">
        <f>IF(FMS_Ranking4[[#This Row],[FMS Type]]="Flood Measurement and Warning",FMS_Ranking4[[#This Row],[Rank (with ArcSinh normalization of select criteria)]],"")</f>
        <v/>
      </c>
      <c r="BZ798" s="200">
        <f>IF(FMS_Ranking4[[#This Row],[FMS Type]]="Regulatory and Guidance",FMS_Ranking4[[#This Row],[Rank (with ArcSinh normalization of select criteria)]],"")</f>
        <v>791</v>
      </c>
      <c r="CA798" s="200" t="str">
        <f>IF(FMS_Ranking4[[#This Row],[FMS Type]]="Education and Outreach",FMS_Ranking4[[#This Row],[Rank (with ArcSinh normalization of select criteria)]],"")</f>
        <v/>
      </c>
      <c r="CB798" s="200" t="str">
        <f>IF(FMS_Ranking4[[#This Row],[FMS Type]]="Property Acquisition and Structural Elevation",FMS_Ranking4[[#This Row],[Rank (with ArcSinh normalization of select criteria)]],"")</f>
        <v/>
      </c>
      <c r="CC798" s="200" t="str">
        <f>IF(FMS_Ranking4[[#This Row],[FMS Type]]="Infrastructure Projects",FMS_Ranking4[[#This Row],[Rank (with ArcSinh normalization of select criteria)]],"")</f>
        <v/>
      </c>
      <c r="CD798" s="200" t="str">
        <f>IF(FMS_Ranking4[[#This Row],[FMS Type]]="Other",FMS_Ranking4[[#This Row],[Rank (with ArcSinh normalization of select criteria)]],"")</f>
        <v/>
      </c>
    </row>
    <row r="799" spans="2:82" ht="45" x14ac:dyDescent="0.25">
      <c r="B799" s="342" t="s">
        <v>4907</v>
      </c>
      <c r="C799" s="287">
        <f>_xlfn.XLOOKUP(FMS_Ranking4[[#This Row],[FMS ID]],FMS_Input[FMS_ID],FMS_Input[RFPG_NUM])</f>
        <v>8</v>
      </c>
      <c r="D799" s="309" t="str">
        <f>_xlfn.XLOOKUP(FMS_Ranking4[[#This Row],[FMS ID]],FMS_Input[FMS_ID],FMS_Input[FMS_NAME])</f>
        <v>Sugar Land MDP - Early Flood Warning System</v>
      </c>
      <c r="E799" s="322" t="str">
        <f>_xlfn.XLOOKUP(FMS_Ranking4[[#This Row],[FMS ID]],FMS_Input[FMS_ID],FMS_Input[SPONSOR])</f>
        <v>00002517</v>
      </c>
      <c r="F799" s="309" t="str">
        <f>_xlfn.XLOOKUP(FMS_Ranking4[[#This Row],[FMS ID]],Sponsor[FMS_ID],Sponsor[SPONSOR NAME])</f>
        <v>Sugar Land</v>
      </c>
      <c r="G799" s="309" t="str">
        <f>_xlfn.XLOOKUP(FMS_Ranking4[[#This Row],[FMS ID]],FMS_Input[FMS_ID],FMS_Input[FMS_DESCR])</f>
        <v>Engage regional partners in developing a flood warning system.</v>
      </c>
      <c r="H799" s="247" t="str">
        <f>_xlfn.XLOOKUP(FMS_Ranking4[[#This Row],[FMS ID]],FMS_Input[FMS_ID],FMS_Input[FMS_TYPE])</f>
        <v>Flood Measurement and Warning</v>
      </c>
      <c r="I799" s="288">
        <f>_xlfn.XLOOKUP(FMS_Ranking4[[#This Row],[FMS ID]],FMS_Input[FMS_ID],FMS_Input[NRNC_COST])</f>
        <v>500000</v>
      </c>
      <c r="J799" s="250">
        <f>_xlfn.XLOOKUP(FMS_Ranking4[[#This Row],[FMS ID]],FMS_Input[FMS_ID],FMS_Input[FMS_COST])</f>
        <v>500000</v>
      </c>
      <c r="K799" s="289" t="str">
        <f>_xlfn.XLOOKUP(FMS_Ranking4[[#This Row],[FMS ID]],FMS_Input[FMS_ID],FMS_Input[EMER_NEED])</f>
        <v>No</v>
      </c>
      <c r="L799" s="252">
        <f t="shared" si="12"/>
        <v>0</v>
      </c>
      <c r="M799" s="253">
        <f>_xlfn.XLOOKUP(FMS_Ranking4[[#This Row],[FMS ID]],FMS_Input[FMS_ID],FMS_Input[STRUCT_100])</f>
        <v>0</v>
      </c>
      <c r="N799" s="255">
        <f>(ASINH(FMS_Ranking4[[#This Row],[Structure at Risk Raw]]))*(10)/(ASINH(M$4))</f>
        <v>0</v>
      </c>
      <c r="O799" s="255">
        <f>FMS_Ranking4[[#This Row],[Structures at risk, ArcSinh (0-10)]]*M$5*10</f>
        <v>0</v>
      </c>
      <c r="P799" s="259">
        <f>_xlfn.XLOOKUP(FMS_Ranking4[[#This Row],[FMS ID]],FMS_Input[FMS_ID],FMS_Input[RES_STRUCT100])</f>
        <v>0</v>
      </c>
      <c r="Q799" s="257">
        <f>ASINH(FMS_Ranking4[[#This Row],[Res Structure Raw]])/Q$4*P$5*100</f>
        <v>0</v>
      </c>
      <c r="R799" s="259">
        <f>_xlfn.XLOOKUP(FMS_Ranking4[[#This Row],[FMS ID]],FMS_Input[FMS_ID],FMS_Input[POP100])</f>
        <v>0</v>
      </c>
      <c r="S799" s="259">
        <f>(ASINH(FMS_Ranking4[[#This Row],[Pop at Risk Raw]]))*(10)/(ASINH(R$4))</f>
        <v>0</v>
      </c>
      <c r="T799" s="257">
        <f>FMS_Ranking4[[#This Row],[Population at risk, ArcSinh (0-10)]]*R$5*10</f>
        <v>0</v>
      </c>
      <c r="U799" s="259">
        <f>_xlfn.XLOOKUP(FMS_Ranking4[[#This Row],[FMS ID]],FMS_Input[FMS_ID],FMS_Input[CRITFAC100])</f>
        <v>0</v>
      </c>
      <c r="V799" s="259">
        <f>(ASINH(FMS_Ranking4[[#This Row],[Critical Facilities Raw]]))*(10)/(ASINH(U$4))</f>
        <v>0</v>
      </c>
      <c r="W799" s="257">
        <f>FMS_Ranking4[[#This Row],[Critical facilities at risk, ArcSinh (0-10)]]*U$5*10</f>
        <v>0</v>
      </c>
      <c r="X799" s="259">
        <f>_xlfn.XLOOKUP(FMS_Ranking4[[#This Row],[FMS ID]],FMS_Input[FMS_ID],FMS_Input[LWC])</f>
        <v>0</v>
      </c>
      <c r="Y799" s="259">
        <f>(ASINH(FMS_Ranking4[[#This Row],[LWC Raw]]))*(10)/(ASINH(X$4))</f>
        <v>0</v>
      </c>
      <c r="Z799" s="257">
        <f>FMS_Ranking4[[#This Row],[LWC, ArcSInh (0-10)]]*X$5*10</f>
        <v>0</v>
      </c>
      <c r="AA799" s="259">
        <f>_xlfn.XLOOKUP(FMS_Ranking4[[#This Row],[FMS ID]],FMS_Input[FMS_ID],FMS_Input[ROADCLS])</f>
        <v>0</v>
      </c>
      <c r="AB799" s="255">
        <f>(ASINH(FMS_Ranking4[[#This Row],[Road Closures Raw]]))*(10)/(ASINH(AA$4))</f>
        <v>0</v>
      </c>
      <c r="AC799" s="255">
        <f>FMS_Ranking4[[#This Row],[Road closures, ArcSinh (0-10)]]*AA$5*10</f>
        <v>0</v>
      </c>
      <c r="AD799" s="259">
        <f>_xlfn.XLOOKUP(FMS_Ranking4[[#This Row],[FMS ID]],FMS_Input[FMS_ID],FMS_Input[ROAD_MILES100])</f>
        <v>0</v>
      </c>
      <c r="AE799" s="259">
        <f>(ASINH(FMS_Ranking4[[#This Row],[Road Miles Raw]]))*(10)/(ASINH(AD$4))</f>
        <v>0</v>
      </c>
      <c r="AF799" s="257">
        <f>FMS_Ranking4[[#This Row],[Length of roads at risk, ArcSinh (0-10)]]*AD$5*10</f>
        <v>0</v>
      </c>
      <c r="AG799" s="259">
        <f>_xlfn.XLOOKUP(FMS_Ranking4[[#This Row],[FMS ID]],FMS_Input[FMS_ID],FMS_Input[FARMACRE100])</f>
        <v>0</v>
      </c>
      <c r="AH799" s="255">
        <f>(ASINH(FMS_Ranking4[[#This Row],[Ag Land Raw]]))*(10)/(ASINH(AG$4))</f>
        <v>0</v>
      </c>
      <c r="AI799" s="254">
        <f>FMS_Ranking4[[#This Row],[Farm &amp; ranch land, ArcSinh (0-10)]]*AG$5*10</f>
        <v>0</v>
      </c>
      <c r="AJ799" s="258">
        <f>_xlfn.XLOOKUP(FMS_Ranking4[[#This Row],[FMS ID]],FMS_Input[FMS_ID],FMS_Input[REDSTRUCT100])</f>
        <v>0</v>
      </c>
      <c r="AK799" s="253">
        <f>_xlfn.XLOOKUP(FMS_Ranking4[[#This Row],[FMS ID]],FMS_Input[FMS_ID],FMS_Input[REMSTRC100])</f>
        <v>0</v>
      </c>
      <c r="AL799" s="259">
        <f>(ASINH(FMS_Ranking4[[#This Row],[Structures Removed Raw]]))*(10)/(ASINH(AK$4))</f>
        <v>0</v>
      </c>
      <c r="AM799" s="254">
        <f>FMS_Ranking4[[#This Row],[Structures removed, ArcSinh (0-10)]]*AK$5*10</f>
        <v>0</v>
      </c>
      <c r="AN799" s="253">
        <f>_xlfn.XLOOKUP(FMS_Ranking4[[#This Row],[FMS ID]],FMS_Input[FMS_ID],FMS_Input[REMRESSTRC100])</f>
        <v>0</v>
      </c>
      <c r="AO799" s="258">
        <f>FMS_Ranking4[[#This Row],[ArcSinh Res struct removed 0-10]]*AN$5*10</f>
        <v>0</v>
      </c>
      <c r="AP799" s="254">
        <f>ASINH(FMS_Ranking4[[#This Row],[Residential Structures Removed Raw]])/AP$4*AN$5*100</f>
        <v>0</v>
      </c>
      <c r="AQ799" s="260">
        <f>(ASINH(FMS_Ranking4[[#This Row],[Residential Structures Removed Raw]]))*(10)/(ASINH(AN$4))</f>
        <v>0</v>
      </c>
      <c r="AR799" s="253">
        <f>_xlfn.XLOOKUP(FMS_Ranking4[[#This Row],[FMS ID]],FMS_Input[FMS_ID],FMS_Input[REMPOP100])</f>
        <v>0</v>
      </c>
      <c r="AS799" s="259">
        <f>(ASINH(FMS_Ranking4[[#This Row],[Removed Pop Raw]]))*(10)/(ASINH(AR$4))</f>
        <v>0</v>
      </c>
      <c r="AT799" s="263">
        <f>FMS_Ranking4[[#This Row],[Removed population, ArcSinh (0-10)]]*AR$5*10</f>
        <v>0</v>
      </c>
      <c r="AU799" s="264">
        <f>_xlfn.XLOOKUP(FMS_Ranking4[[#This Row],[FMS ID]],FMS_Input[FMS_ID],FMS_Input[REMCRITFAC100])</f>
        <v>0</v>
      </c>
      <c r="AV799" s="264">
        <f>_xlfn.XLOOKUP(FMS_Ranking4[[#This Row],[FMS ID]],FMS_Input[FMS_ID],FMS_Input[REMLWC100])</f>
        <v>0</v>
      </c>
      <c r="AW799" s="264">
        <f>_xlfn.XLOOKUP(FMS_Ranking4[[#This Row],[FMS ID]],FMS_Input[FMS_ID],FMS_Input[REMROADCLS])</f>
        <v>0</v>
      </c>
      <c r="AX799" s="264">
        <f>_xlfn.XLOOKUP(FMS_Ranking4[[#This Row],[FMS ID]],FMS_Input[FMS_ID],FMS_Input[REMFRMACRE100])</f>
        <v>0</v>
      </c>
      <c r="AY799" s="258">
        <f>_xlfn.XLOOKUP(FMS_Ranking4[[#This Row],[FMS ID]],FMS_Input[FMS_ID],FMS_Input[COSTSTRUCT])</f>
        <v>0</v>
      </c>
      <c r="AZ799" s="258">
        <f>_xlfn.XLOOKUP(FMS_Ranking4[[#This Row],[FMS ID]],FMS_Input[FMS_ID],FMS_Input[NATURE])</f>
        <v>0</v>
      </c>
      <c r="BA799" s="290">
        <f>(((FMS_Ranking4[[#This Row],[% NBS Raw]]/AZ$4)*100)*AZ$5)</f>
        <v>0</v>
      </c>
      <c r="BB799" s="251" t="str">
        <f>_xlfn.XLOOKUP(FMS_Ranking4[[#This Row],[FMS ID]],FMS_Input[FMS_ID],FMS_Input[WATER_SUP])</f>
        <v>No</v>
      </c>
      <c r="BC799" s="265">
        <f>IF(FMS_Ranking4[[#This Row],[Water Supply Raw]]="Yes",10,0)</f>
        <v>0</v>
      </c>
      <c r="BD799" s="251">
        <f>_xlfn.XLOOKUP(FMS_Ranking4[[#This Row],[FMS Type]],FMS_TYPE[FMS_Type],FMS_TYPE[Score])</f>
        <v>10</v>
      </c>
      <c r="BE799" s="267">
        <f>FMS_Ranking4[[#This Row],[FMS_Type Score]]*$BD$5*10</f>
        <v>2.5</v>
      </c>
      <c r="BF799"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799" s="269">
        <f>_xlfn.RANK.EQ(BF799,$BF$8:$BF$870,0)+COUNTIF($BF$8:BF799,BF799)-1</f>
        <v>816</v>
      </c>
      <c r="BH799" s="268">
        <f>(((FMS_Ranking4[[#This Row],[Structures Removed Raw]]/AK$4)*100)*AK$5)+(((FMS_Ranking4[[#This Row],[Removed Pop Raw]]/AR$4)*100)*AR$5)</f>
        <v>0</v>
      </c>
      <c r="BI79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v>
      </c>
      <c r="BJ799" s="326">
        <f>_xlfn.RANK.EQ(FMS_Ranking4[[#This Row],[Total Score 
(with linear
normalization)]],FMS_Ranking4[Total Score 
(with linear
normalization)],0)</f>
        <v>255</v>
      </c>
      <c r="BK799" s="269" t="e">
        <f>_xlfn.XLOOKUP(FMS_Ranking4[[#This Row],[FMS ID]],#REF!,#REF!)</f>
        <v>#REF!</v>
      </c>
      <c r="BL799"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799" s="331">
        <f>FMS_Ranking4[[#This Row],[ArcSinh Score Based on Normalized Reported Factors]]+FMS_Ranking4[[#This Row],[% NBS Score (Normalized)]]+(FMS_Ranking4[[#This Row],[Water Supply Score (Normalized)]]*10*$BB$5)+FMS_Ranking4[[#This Row],[FMS_Type Score Weighted]]</f>
        <v>2.5</v>
      </c>
      <c r="BN799" s="333">
        <f>_xlfn.RANK.EQ(FMS_Ranking4[[#This Row],[Total Score (with ArcSinh normalization of select criteria)]],FMS_Ranking4[Total Score (with ArcSinh normalization of select criteria)],0)</f>
        <v>792</v>
      </c>
      <c r="BO799" s="270" t="str">
        <f>_xlfn.XLOOKUP(FMS_Ranking4[[#This Row],[FMS ID]],FMS_Input[FMS_ID],FMS_Input[FMS_RANK_YEAR])</f>
        <v>2023 Amended Plan</v>
      </c>
      <c r="BP799" s="204">
        <f>_xlfn.XLOOKUP(FMS_Ranking4[[#This Row],[FMS ID]],Prev_Rank[FMS ID],Prev_Rank[Prev Rank])</f>
        <v>723</v>
      </c>
      <c r="BQ799" s="335" t="e">
        <f>_xlfn.XLOOKUP(FMS_Ranking4[[#This Row],[FMS ID]],#REF!,#REF!)</f>
        <v>#REF!</v>
      </c>
      <c r="BR799" s="199" t="e">
        <f>SUM(#REF!,#REF!,#REF!,#REF!,#REF!,#REF!,#REF!,#REF!,#REF!,FMS_Ranking4[[#This Row],[ArcSinh Res struct removed 0-10]],#REF!)</f>
        <v>#REF!</v>
      </c>
      <c r="BS799" s="199" t="e">
        <f>FMS_Ranking4[[#This Row],[Log Score Based on Normalized Reported Factors]]+FMS_Ranking4[[#This Row],[% NBS Score (Normalized)]]+(FMS_Ranking4[[#This Row],[Water Supply Score (Normalized)]]*10*$BB$5)+(FMS_Ranking4[[#This Row],[FMS_Type Score Weighted]])</f>
        <v>#REF!</v>
      </c>
      <c r="BT799" s="200" t="e">
        <f>_xlfn.RANK.EQ(FMS_Ranking4[[#This Row],[Log Total Score]],FMS_Ranking4[Log Total Score],0)</f>
        <v>#REF!</v>
      </c>
      <c r="BU799" s="200" t="e">
        <f>_xlfn.XLOOKUP(FMS_Ranking4[[#This Row],[FMS ID]],#REF!,#REF!)</f>
        <v>#REF!</v>
      </c>
      <c r="BV799" s="200">
        <f>FMS_Ranking4[[#This Row],[Region Number]]</f>
        <v>8</v>
      </c>
      <c r="BW799" s="200">
        <f>FMS_Ranking4[[#This Row],[Rank (with ArcSinh normalization of select criteria)]]-FMS_Ranking4[[#This Row],[Rank
(with linear
normalization)]]</f>
        <v>537</v>
      </c>
      <c r="BX799" s="200" t="e">
        <f>FMS_Ranking4[[#This Row],[Log Rank]]-FMS_Ranking4[[#This Row],[Rank
(with linear
normalization)]]</f>
        <v>#REF!</v>
      </c>
      <c r="BY799" s="200">
        <f>IF(FMS_Ranking4[[#This Row],[FMS Type]]="Flood Measurement and Warning",FMS_Ranking4[[#This Row],[Rank (with ArcSinh normalization of select criteria)]],"")</f>
        <v>792</v>
      </c>
      <c r="BZ799" s="200" t="str">
        <f>IF(FMS_Ranking4[[#This Row],[FMS Type]]="Regulatory and Guidance",FMS_Ranking4[[#This Row],[Rank (with ArcSinh normalization of select criteria)]],"")</f>
        <v/>
      </c>
      <c r="CA799" s="200" t="str">
        <f>IF(FMS_Ranking4[[#This Row],[FMS Type]]="Education and Outreach",FMS_Ranking4[[#This Row],[Rank (with ArcSinh normalization of select criteria)]],"")</f>
        <v/>
      </c>
      <c r="CB799" s="200" t="str">
        <f>IF(FMS_Ranking4[[#This Row],[FMS Type]]="Property Acquisition and Structural Elevation",FMS_Ranking4[[#This Row],[Rank (with ArcSinh normalization of select criteria)]],"")</f>
        <v/>
      </c>
      <c r="CC799" s="200" t="str">
        <f>IF(FMS_Ranking4[[#This Row],[FMS Type]]="Infrastructure Projects",FMS_Ranking4[[#This Row],[Rank (with ArcSinh normalization of select criteria)]],"")</f>
        <v/>
      </c>
      <c r="CD799" s="200" t="str">
        <f>IF(FMS_Ranking4[[#This Row],[FMS Type]]="Other",FMS_Ranking4[[#This Row],[Rank (with ArcSinh normalization of select criteria)]],"")</f>
        <v/>
      </c>
    </row>
    <row r="800" spans="2:82" ht="75" x14ac:dyDescent="0.25">
      <c r="B800" s="342" t="s">
        <v>4932</v>
      </c>
      <c r="C800" s="287">
        <f>_xlfn.XLOOKUP(FMS_Ranking4[[#This Row],[FMS ID]],FMS_Input[FMS_ID],FMS_Input[RFPG_NUM])</f>
        <v>8</v>
      </c>
      <c r="D800" s="309" t="str">
        <f>_xlfn.XLOOKUP(FMS_Ranking4[[#This Row],[FMS ID]],FMS_Input[FMS_ID],FMS_Input[FMS_NAME])</f>
        <v>City of College Station Early Flood Warning System</v>
      </c>
      <c r="E800" s="322" t="str">
        <f>_xlfn.XLOOKUP(FMS_Ranking4[[#This Row],[FMS ID]],FMS_Input[FMS_ID],FMS_Input[SPONSOR])</f>
        <v>08003439</v>
      </c>
      <c r="F800" s="309" t="str">
        <f>_xlfn.XLOOKUP(FMS_Ranking4[[#This Row],[FMS ID]],Sponsor[FMS_ID],Sponsor[SPONSOR NAME])</f>
        <v>College Station</v>
      </c>
      <c r="G800" s="309" t="str">
        <f>_xlfn.XLOOKUP(FMS_Ranking4[[#This Row],[FMS ID]],FMS_Input[FMS_ID],FMS_Input[FMS_DESCR])</f>
        <v>Implement system to monitor flood waters, notify public officials of flooded roadways, and trigger automatic warnings for road users.</v>
      </c>
      <c r="H800" s="247" t="str">
        <f>_xlfn.XLOOKUP(FMS_Ranking4[[#This Row],[FMS ID]],FMS_Input[FMS_ID],FMS_Input[FMS_TYPE])</f>
        <v>Flood Measurement and Warning</v>
      </c>
      <c r="I800" s="288">
        <f>_xlfn.XLOOKUP(FMS_Ranking4[[#This Row],[FMS ID]],FMS_Input[FMS_ID],FMS_Input[NRNC_COST])</f>
        <v>500000</v>
      </c>
      <c r="J800" s="250">
        <f>_xlfn.XLOOKUP(FMS_Ranking4[[#This Row],[FMS ID]],FMS_Input[FMS_ID],FMS_Input[FMS_COST])</f>
        <v>500000</v>
      </c>
      <c r="K800" s="289" t="str">
        <f>_xlfn.XLOOKUP(FMS_Ranking4[[#This Row],[FMS ID]],FMS_Input[FMS_ID],FMS_Input[EMER_NEED])</f>
        <v>No</v>
      </c>
      <c r="L800" s="252">
        <f t="shared" si="12"/>
        <v>0</v>
      </c>
      <c r="M800" s="253">
        <f>_xlfn.XLOOKUP(FMS_Ranking4[[#This Row],[FMS ID]],FMS_Input[FMS_ID],FMS_Input[STRUCT_100])</f>
        <v>0</v>
      </c>
      <c r="N800" s="255">
        <f>(ASINH(FMS_Ranking4[[#This Row],[Structure at Risk Raw]]))*(10)/(ASINH(M$4))</f>
        <v>0</v>
      </c>
      <c r="O800" s="255">
        <f>FMS_Ranking4[[#This Row],[Structures at risk, ArcSinh (0-10)]]*M$5*10</f>
        <v>0</v>
      </c>
      <c r="P800" s="259">
        <f>_xlfn.XLOOKUP(FMS_Ranking4[[#This Row],[FMS ID]],FMS_Input[FMS_ID],FMS_Input[RES_STRUCT100])</f>
        <v>0</v>
      </c>
      <c r="Q800" s="257">
        <f>ASINH(FMS_Ranking4[[#This Row],[Res Structure Raw]])/Q$4*P$5*100</f>
        <v>0</v>
      </c>
      <c r="R800" s="259">
        <f>_xlfn.XLOOKUP(FMS_Ranking4[[#This Row],[FMS ID]],FMS_Input[FMS_ID],FMS_Input[POP100])</f>
        <v>0</v>
      </c>
      <c r="S800" s="259">
        <f>(ASINH(FMS_Ranking4[[#This Row],[Pop at Risk Raw]]))*(10)/(ASINH(R$4))</f>
        <v>0</v>
      </c>
      <c r="T800" s="257">
        <f>FMS_Ranking4[[#This Row],[Population at risk, ArcSinh (0-10)]]*R$5*10</f>
        <v>0</v>
      </c>
      <c r="U800" s="259">
        <f>_xlfn.XLOOKUP(FMS_Ranking4[[#This Row],[FMS ID]],FMS_Input[FMS_ID],FMS_Input[CRITFAC100])</f>
        <v>0</v>
      </c>
      <c r="V800" s="259">
        <f>(ASINH(FMS_Ranking4[[#This Row],[Critical Facilities Raw]]))*(10)/(ASINH(U$4))</f>
        <v>0</v>
      </c>
      <c r="W800" s="257">
        <f>FMS_Ranking4[[#This Row],[Critical facilities at risk, ArcSinh (0-10)]]*U$5*10</f>
        <v>0</v>
      </c>
      <c r="X800" s="259">
        <f>_xlfn.XLOOKUP(FMS_Ranking4[[#This Row],[FMS ID]],FMS_Input[FMS_ID],FMS_Input[LWC])</f>
        <v>0</v>
      </c>
      <c r="Y800" s="259">
        <f>(ASINH(FMS_Ranking4[[#This Row],[LWC Raw]]))*(10)/(ASINH(X$4))</f>
        <v>0</v>
      </c>
      <c r="Z800" s="257">
        <f>FMS_Ranking4[[#This Row],[LWC, ArcSInh (0-10)]]*X$5*10</f>
        <v>0</v>
      </c>
      <c r="AA800" s="259">
        <f>_xlfn.XLOOKUP(FMS_Ranking4[[#This Row],[FMS ID]],FMS_Input[FMS_ID],FMS_Input[ROADCLS])</f>
        <v>0</v>
      </c>
      <c r="AB800" s="255">
        <f>(ASINH(FMS_Ranking4[[#This Row],[Road Closures Raw]]))*(10)/(ASINH(AA$4))</f>
        <v>0</v>
      </c>
      <c r="AC800" s="255">
        <f>FMS_Ranking4[[#This Row],[Road closures, ArcSinh (0-10)]]*AA$5*10</f>
        <v>0</v>
      </c>
      <c r="AD800" s="259">
        <f>_xlfn.XLOOKUP(FMS_Ranking4[[#This Row],[FMS ID]],FMS_Input[FMS_ID],FMS_Input[ROAD_MILES100])</f>
        <v>0</v>
      </c>
      <c r="AE800" s="259">
        <f>(ASINH(FMS_Ranking4[[#This Row],[Road Miles Raw]]))*(10)/(ASINH(AD$4))</f>
        <v>0</v>
      </c>
      <c r="AF800" s="257">
        <f>FMS_Ranking4[[#This Row],[Length of roads at risk, ArcSinh (0-10)]]*AD$5*10</f>
        <v>0</v>
      </c>
      <c r="AG800" s="259">
        <f>_xlfn.XLOOKUP(FMS_Ranking4[[#This Row],[FMS ID]],FMS_Input[FMS_ID],FMS_Input[FARMACRE100])</f>
        <v>0</v>
      </c>
      <c r="AH800" s="255">
        <f>(ASINH(FMS_Ranking4[[#This Row],[Ag Land Raw]]))*(10)/(ASINH(AG$4))</f>
        <v>0</v>
      </c>
      <c r="AI800" s="254">
        <f>FMS_Ranking4[[#This Row],[Farm &amp; ranch land, ArcSinh (0-10)]]*AG$5*10</f>
        <v>0</v>
      </c>
      <c r="AJ800" s="258">
        <f>_xlfn.XLOOKUP(FMS_Ranking4[[#This Row],[FMS ID]],FMS_Input[FMS_ID],FMS_Input[REDSTRUCT100])</f>
        <v>0</v>
      </c>
      <c r="AK800" s="253">
        <f>_xlfn.XLOOKUP(FMS_Ranking4[[#This Row],[FMS ID]],FMS_Input[FMS_ID],FMS_Input[REMSTRC100])</f>
        <v>0</v>
      </c>
      <c r="AL800" s="259">
        <f>(ASINH(FMS_Ranking4[[#This Row],[Structures Removed Raw]]))*(10)/(ASINH(AK$4))</f>
        <v>0</v>
      </c>
      <c r="AM800" s="254">
        <f>FMS_Ranking4[[#This Row],[Structures removed, ArcSinh (0-10)]]*AK$5*10</f>
        <v>0</v>
      </c>
      <c r="AN800" s="253">
        <f>_xlfn.XLOOKUP(FMS_Ranking4[[#This Row],[FMS ID]],FMS_Input[FMS_ID],FMS_Input[REMRESSTRC100])</f>
        <v>0</v>
      </c>
      <c r="AO800" s="258">
        <f>FMS_Ranking4[[#This Row],[ArcSinh Res struct removed 0-10]]*AN$5*10</f>
        <v>0</v>
      </c>
      <c r="AP800" s="254">
        <f>ASINH(FMS_Ranking4[[#This Row],[Residential Structures Removed Raw]])/AP$4*AN$5*100</f>
        <v>0</v>
      </c>
      <c r="AQ800" s="260">
        <f>(ASINH(FMS_Ranking4[[#This Row],[Residential Structures Removed Raw]]))*(10)/(ASINH(AN$4))</f>
        <v>0</v>
      </c>
      <c r="AR800" s="253">
        <f>_xlfn.XLOOKUP(FMS_Ranking4[[#This Row],[FMS ID]],FMS_Input[FMS_ID],FMS_Input[REMPOP100])</f>
        <v>0</v>
      </c>
      <c r="AS800" s="259">
        <f>(ASINH(FMS_Ranking4[[#This Row],[Removed Pop Raw]]))*(10)/(ASINH(AR$4))</f>
        <v>0</v>
      </c>
      <c r="AT800" s="263">
        <f>FMS_Ranking4[[#This Row],[Removed population, ArcSinh (0-10)]]*AR$5*10</f>
        <v>0</v>
      </c>
      <c r="AU800" s="264">
        <f>_xlfn.XLOOKUP(FMS_Ranking4[[#This Row],[FMS ID]],FMS_Input[FMS_ID],FMS_Input[REMCRITFAC100])</f>
        <v>0</v>
      </c>
      <c r="AV800" s="264">
        <f>_xlfn.XLOOKUP(FMS_Ranking4[[#This Row],[FMS ID]],FMS_Input[FMS_ID],FMS_Input[REMLWC100])</f>
        <v>0</v>
      </c>
      <c r="AW800" s="264">
        <f>_xlfn.XLOOKUP(FMS_Ranking4[[#This Row],[FMS ID]],FMS_Input[FMS_ID],FMS_Input[REMROADCLS])</f>
        <v>0</v>
      </c>
      <c r="AX800" s="264">
        <f>_xlfn.XLOOKUP(FMS_Ranking4[[#This Row],[FMS ID]],FMS_Input[FMS_ID],FMS_Input[REMFRMACRE100])</f>
        <v>0</v>
      </c>
      <c r="AY800" s="258">
        <f>_xlfn.XLOOKUP(FMS_Ranking4[[#This Row],[FMS ID]],FMS_Input[FMS_ID],FMS_Input[COSTSTRUCT])</f>
        <v>0</v>
      </c>
      <c r="AZ800" s="258">
        <f>_xlfn.XLOOKUP(FMS_Ranking4[[#This Row],[FMS ID]],FMS_Input[FMS_ID],FMS_Input[NATURE])</f>
        <v>0</v>
      </c>
      <c r="BA800" s="290">
        <f>(((FMS_Ranking4[[#This Row],[% NBS Raw]]/AZ$4)*100)*AZ$5)</f>
        <v>0</v>
      </c>
      <c r="BB800" s="251" t="str">
        <f>_xlfn.XLOOKUP(FMS_Ranking4[[#This Row],[FMS ID]],FMS_Input[FMS_ID],FMS_Input[WATER_SUP])</f>
        <v>No</v>
      </c>
      <c r="BC800" s="265">
        <f>IF(FMS_Ranking4[[#This Row],[Water Supply Raw]]="Yes",10,0)</f>
        <v>0</v>
      </c>
      <c r="BD800" s="251">
        <f>_xlfn.XLOOKUP(FMS_Ranking4[[#This Row],[FMS Type]],FMS_TYPE[FMS_Type],FMS_TYPE[Score])</f>
        <v>10</v>
      </c>
      <c r="BE800" s="267">
        <f>FMS_Ranking4[[#This Row],[FMS_Type Score]]*$BD$5*10</f>
        <v>2.5</v>
      </c>
      <c r="BF800"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00" s="271">
        <f>_xlfn.RANK.EQ(BF800,$BF$8:$BF$870,0)+COUNTIF($BF$8:BF800,BF800)-1</f>
        <v>817</v>
      </c>
      <c r="BH800" s="268">
        <f>(((FMS_Ranking4[[#This Row],[Structures Removed Raw]]/AK$4)*100)*AK$5)+(((FMS_Ranking4[[#This Row],[Removed Pop Raw]]/AR$4)*100)*AR$5)</f>
        <v>0</v>
      </c>
      <c r="BI80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v>
      </c>
      <c r="BJ800" s="325">
        <f>_xlfn.RANK.EQ(FMS_Ranking4[[#This Row],[Total Score 
(with linear
normalization)]],FMS_Ranking4[Total Score 
(with linear
normalization)],0)</f>
        <v>255</v>
      </c>
      <c r="BK800" s="327" t="e">
        <f>_xlfn.XLOOKUP(FMS_Ranking4[[#This Row],[FMS ID]],#REF!,#REF!)</f>
        <v>#REF!</v>
      </c>
      <c r="BL800"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00" s="330">
        <f>FMS_Ranking4[[#This Row],[ArcSinh Score Based on Normalized Reported Factors]]+FMS_Ranking4[[#This Row],[% NBS Score (Normalized)]]+(FMS_Ranking4[[#This Row],[Water Supply Score (Normalized)]]*10*$BB$5)+FMS_Ranking4[[#This Row],[FMS_Type Score Weighted]]</f>
        <v>2.5</v>
      </c>
      <c r="BN800" s="332">
        <f>_xlfn.RANK.EQ(FMS_Ranking4[[#This Row],[Total Score (with ArcSinh normalization of select criteria)]],FMS_Ranking4[Total Score (with ArcSinh normalization of select criteria)],0)</f>
        <v>792</v>
      </c>
      <c r="BO800" s="270" t="str">
        <f>_xlfn.XLOOKUP(FMS_Ranking4[[#This Row],[FMS ID]],FMS_Input[FMS_ID],FMS_Input[FMS_RANK_YEAR])</f>
        <v>2023 Amended Plan</v>
      </c>
      <c r="BP800" s="204">
        <f>_xlfn.XLOOKUP(FMS_Ranking4[[#This Row],[FMS ID]],Prev_Rank[FMS ID],Prev_Rank[Prev Rank])</f>
        <v>723</v>
      </c>
      <c r="BQ800" s="334" t="e">
        <f>_xlfn.XLOOKUP(FMS_Ranking4[[#This Row],[FMS ID]],#REF!,#REF!)</f>
        <v>#REF!</v>
      </c>
      <c r="BR800" s="199" t="e">
        <f>SUM(#REF!,#REF!,#REF!,#REF!,#REF!,#REF!,#REF!,#REF!,#REF!,FMS_Ranking4[[#This Row],[ArcSinh Res struct removed 0-10]],#REF!)</f>
        <v>#REF!</v>
      </c>
      <c r="BS800" s="199" t="e">
        <f>FMS_Ranking4[[#This Row],[Log Score Based on Normalized Reported Factors]]+FMS_Ranking4[[#This Row],[% NBS Score (Normalized)]]+(FMS_Ranking4[[#This Row],[Water Supply Score (Normalized)]]*10*$BB$5)+(FMS_Ranking4[[#This Row],[FMS_Type Score Weighted]])</f>
        <v>#REF!</v>
      </c>
      <c r="BT800" s="200" t="e">
        <f>_xlfn.RANK.EQ(FMS_Ranking4[[#This Row],[Log Total Score]],FMS_Ranking4[Log Total Score],0)</f>
        <v>#REF!</v>
      </c>
      <c r="BU800" s="200" t="e">
        <f>_xlfn.XLOOKUP(FMS_Ranking4[[#This Row],[FMS ID]],#REF!,#REF!)</f>
        <v>#REF!</v>
      </c>
      <c r="BV800" s="200">
        <f>FMS_Ranking4[[#This Row],[Region Number]]</f>
        <v>8</v>
      </c>
      <c r="BW800" s="200">
        <f>FMS_Ranking4[[#This Row],[Rank (with ArcSinh normalization of select criteria)]]-FMS_Ranking4[[#This Row],[Rank
(with linear
normalization)]]</f>
        <v>537</v>
      </c>
      <c r="BX800" s="200" t="e">
        <f>FMS_Ranking4[[#This Row],[Log Rank]]-FMS_Ranking4[[#This Row],[Rank
(with linear
normalization)]]</f>
        <v>#REF!</v>
      </c>
      <c r="BY800" s="200">
        <f>IF(FMS_Ranking4[[#This Row],[FMS Type]]="Flood Measurement and Warning",FMS_Ranking4[[#This Row],[Rank (with ArcSinh normalization of select criteria)]],"")</f>
        <v>792</v>
      </c>
      <c r="BZ800" s="200" t="str">
        <f>IF(FMS_Ranking4[[#This Row],[FMS Type]]="Regulatory and Guidance",FMS_Ranking4[[#This Row],[Rank (with ArcSinh normalization of select criteria)]],"")</f>
        <v/>
      </c>
      <c r="CA800" s="200" t="str">
        <f>IF(FMS_Ranking4[[#This Row],[FMS Type]]="Education and Outreach",FMS_Ranking4[[#This Row],[Rank (with ArcSinh normalization of select criteria)]],"")</f>
        <v/>
      </c>
      <c r="CB800" s="200" t="str">
        <f>IF(FMS_Ranking4[[#This Row],[FMS Type]]="Property Acquisition and Structural Elevation",FMS_Ranking4[[#This Row],[Rank (with ArcSinh normalization of select criteria)]],"")</f>
        <v/>
      </c>
      <c r="CC800" s="200" t="str">
        <f>IF(FMS_Ranking4[[#This Row],[FMS Type]]="Infrastructure Projects",FMS_Ranking4[[#This Row],[Rank (with ArcSinh normalization of select criteria)]],"")</f>
        <v/>
      </c>
      <c r="CD800" s="200" t="str">
        <f>IF(FMS_Ranking4[[#This Row],[FMS Type]]="Other",FMS_Ranking4[[#This Row],[Rank (with ArcSinh normalization of select criteria)]],"")</f>
        <v/>
      </c>
    </row>
    <row r="801" spans="2:82" ht="135" x14ac:dyDescent="0.25">
      <c r="B801" s="342" t="s">
        <v>12492</v>
      </c>
      <c r="C801" s="287">
        <f>_xlfn.XLOOKUP(FMS_Ranking4[[#This Row],[FMS ID]],FMS_Input[FMS_ID],FMS_Input[RFPG_NUM])</f>
        <v>8</v>
      </c>
      <c r="D801" s="309" t="str">
        <f>_xlfn.XLOOKUP(FMS_Ranking4[[#This Row],[FMS ID]],FMS_Input[FMS_ID],FMS_Input[FMS_NAME])</f>
        <v>Brazos County Early Flood Warning System</v>
      </c>
      <c r="E801" s="322" t="str">
        <f>_xlfn.XLOOKUP(FMS_Ranking4[[#This Row],[FMS ID]],FMS_Input[FMS_ID],FMS_Input[SPONSOR])</f>
        <v>08000048</v>
      </c>
      <c r="F801" s="309" t="str">
        <f>_xlfn.XLOOKUP(FMS_Ranking4[[#This Row],[FMS ID]],Sponsor[FMS_ID],Sponsor[SPONSOR NAME])</f>
        <v>Brazos</v>
      </c>
      <c r="G801" s="309" t="str">
        <f>_xlfn.XLOOKUP(FMS_Ranking4[[#This Row],[FMS ID]],FMS_Input[FMS_ID],FMS_Input[FMS_DESCR])</f>
        <v>Development of an early flood warning system for Brazos County including identification of potential gauge placements, development of any necessary software and GUI to monitor risk at gauged locations, and incorporation with County's existing systems.</v>
      </c>
      <c r="H801" s="247" t="str">
        <f>_xlfn.XLOOKUP(FMS_Ranking4[[#This Row],[FMS ID]],FMS_Input[FMS_ID],FMS_Input[FMS_TYPE])</f>
        <v>Flood Measurement and Warning</v>
      </c>
      <c r="I801" s="288">
        <f>_xlfn.XLOOKUP(FMS_Ranking4[[#This Row],[FMS ID]],FMS_Input[FMS_ID],FMS_Input[NRNC_COST])</f>
        <v>500000</v>
      </c>
      <c r="J801" s="250">
        <f>_xlfn.XLOOKUP(FMS_Ranking4[[#This Row],[FMS ID]],FMS_Input[FMS_ID],FMS_Input[FMS_COST])</f>
        <v>500000</v>
      </c>
      <c r="K801" s="289" t="str">
        <f>_xlfn.XLOOKUP(FMS_Ranking4[[#This Row],[FMS ID]],FMS_Input[FMS_ID],FMS_Input[EMER_NEED])</f>
        <v>No</v>
      </c>
      <c r="L801" s="252">
        <f t="shared" si="12"/>
        <v>0</v>
      </c>
      <c r="M801" s="253">
        <f>_xlfn.XLOOKUP(FMS_Ranking4[[#This Row],[FMS ID]],FMS_Input[FMS_ID],FMS_Input[STRUCT_100])</f>
        <v>0</v>
      </c>
      <c r="N801" s="255">
        <f>(ASINH(FMS_Ranking4[[#This Row],[Structure at Risk Raw]]))*(10)/(ASINH(M$4))</f>
        <v>0</v>
      </c>
      <c r="O801" s="255">
        <f>FMS_Ranking4[[#This Row],[Structures at risk, ArcSinh (0-10)]]*M$5*10</f>
        <v>0</v>
      </c>
      <c r="P801" s="259">
        <f>_xlfn.XLOOKUP(FMS_Ranking4[[#This Row],[FMS ID]],FMS_Input[FMS_ID],FMS_Input[RES_STRUCT100])</f>
        <v>0</v>
      </c>
      <c r="Q801" s="257">
        <f>ASINH(FMS_Ranking4[[#This Row],[Res Structure Raw]])/Q$4*P$5*100</f>
        <v>0</v>
      </c>
      <c r="R801" s="259">
        <f>_xlfn.XLOOKUP(FMS_Ranking4[[#This Row],[FMS ID]],FMS_Input[FMS_ID],FMS_Input[POP100])</f>
        <v>0</v>
      </c>
      <c r="S801" s="259">
        <f>(ASINH(FMS_Ranking4[[#This Row],[Pop at Risk Raw]]))*(10)/(ASINH(R$4))</f>
        <v>0</v>
      </c>
      <c r="T801" s="257">
        <f>FMS_Ranking4[[#This Row],[Population at risk, ArcSinh (0-10)]]*R$5*10</f>
        <v>0</v>
      </c>
      <c r="U801" s="259">
        <f>_xlfn.XLOOKUP(FMS_Ranking4[[#This Row],[FMS ID]],FMS_Input[FMS_ID],FMS_Input[CRITFAC100])</f>
        <v>0</v>
      </c>
      <c r="V801" s="259">
        <f>(ASINH(FMS_Ranking4[[#This Row],[Critical Facilities Raw]]))*(10)/(ASINH(U$4))</f>
        <v>0</v>
      </c>
      <c r="W801" s="257">
        <f>FMS_Ranking4[[#This Row],[Critical facilities at risk, ArcSinh (0-10)]]*U$5*10</f>
        <v>0</v>
      </c>
      <c r="X801" s="259">
        <f>_xlfn.XLOOKUP(FMS_Ranking4[[#This Row],[FMS ID]],FMS_Input[FMS_ID],FMS_Input[LWC])</f>
        <v>0</v>
      </c>
      <c r="Y801" s="259">
        <f>(ASINH(FMS_Ranking4[[#This Row],[LWC Raw]]))*(10)/(ASINH(X$4))</f>
        <v>0</v>
      </c>
      <c r="Z801" s="257">
        <f>FMS_Ranking4[[#This Row],[LWC, ArcSInh (0-10)]]*X$5*10</f>
        <v>0</v>
      </c>
      <c r="AA801" s="259">
        <f>_xlfn.XLOOKUP(FMS_Ranking4[[#This Row],[FMS ID]],FMS_Input[FMS_ID],FMS_Input[ROADCLS])</f>
        <v>0</v>
      </c>
      <c r="AB801" s="255">
        <f>(ASINH(FMS_Ranking4[[#This Row],[Road Closures Raw]]))*(10)/(ASINH(AA$4))</f>
        <v>0</v>
      </c>
      <c r="AC801" s="255">
        <f>FMS_Ranking4[[#This Row],[Road closures, ArcSinh (0-10)]]*AA$5*10</f>
        <v>0</v>
      </c>
      <c r="AD801" s="259">
        <f>_xlfn.XLOOKUP(FMS_Ranking4[[#This Row],[FMS ID]],FMS_Input[FMS_ID],FMS_Input[ROAD_MILES100])</f>
        <v>0</v>
      </c>
      <c r="AE801" s="259">
        <f>(ASINH(FMS_Ranking4[[#This Row],[Road Miles Raw]]))*(10)/(ASINH(AD$4))</f>
        <v>0</v>
      </c>
      <c r="AF801" s="257">
        <f>FMS_Ranking4[[#This Row],[Length of roads at risk, ArcSinh (0-10)]]*AD$5*10</f>
        <v>0</v>
      </c>
      <c r="AG801" s="259">
        <f>_xlfn.XLOOKUP(FMS_Ranking4[[#This Row],[FMS ID]],FMS_Input[FMS_ID],FMS_Input[FARMACRE100])</f>
        <v>0</v>
      </c>
      <c r="AH801" s="255">
        <f>(ASINH(FMS_Ranking4[[#This Row],[Ag Land Raw]]))*(10)/(ASINH(AG$4))</f>
        <v>0</v>
      </c>
      <c r="AI801" s="254">
        <f>FMS_Ranking4[[#This Row],[Farm &amp; ranch land, ArcSinh (0-10)]]*AG$5*10</f>
        <v>0</v>
      </c>
      <c r="AJ801" s="258">
        <f>_xlfn.XLOOKUP(FMS_Ranking4[[#This Row],[FMS ID]],FMS_Input[FMS_ID],FMS_Input[REDSTRUCT100])</f>
        <v>0</v>
      </c>
      <c r="AK801" s="253">
        <f>_xlfn.XLOOKUP(FMS_Ranking4[[#This Row],[FMS ID]],FMS_Input[FMS_ID],FMS_Input[REMSTRC100])</f>
        <v>0</v>
      </c>
      <c r="AL801" s="259">
        <f>(ASINH(FMS_Ranking4[[#This Row],[Structures Removed Raw]]))*(10)/(ASINH(AK$4))</f>
        <v>0</v>
      </c>
      <c r="AM801" s="254">
        <f>FMS_Ranking4[[#This Row],[Structures removed, ArcSinh (0-10)]]*AK$5*10</f>
        <v>0</v>
      </c>
      <c r="AN801" s="253">
        <f>_xlfn.XLOOKUP(FMS_Ranking4[[#This Row],[FMS ID]],FMS_Input[FMS_ID],FMS_Input[REMRESSTRC100])</f>
        <v>0</v>
      </c>
      <c r="AO801" s="258">
        <f>FMS_Ranking4[[#This Row],[ArcSinh Res struct removed 0-10]]*AN$5*10</f>
        <v>0</v>
      </c>
      <c r="AP801" s="254">
        <f>ASINH(FMS_Ranking4[[#This Row],[Residential Structures Removed Raw]])/AP$4*AN$5*100</f>
        <v>0</v>
      </c>
      <c r="AQ801" s="260">
        <f>(ASINH(FMS_Ranking4[[#This Row],[Residential Structures Removed Raw]]))*(10)/(ASINH(AN$4))</f>
        <v>0</v>
      </c>
      <c r="AR801" s="253">
        <f>_xlfn.XLOOKUP(FMS_Ranking4[[#This Row],[FMS ID]],FMS_Input[FMS_ID],FMS_Input[REMPOP100])</f>
        <v>0</v>
      </c>
      <c r="AS801" s="259">
        <f>(ASINH(FMS_Ranking4[[#This Row],[Removed Pop Raw]]))*(10)/(ASINH(AR$4))</f>
        <v>0</v>
      </c>
      <c r="AT801" s="263">
        <f>FMS_Ranking4[[#This Row],[Removed population, ArcSinh (0-10)]]*AR$5*10</f>
        <v>0</v>
      </c>
      <c r="AU801" s="264">
        <f>_xlfn.XLOOKUP(FMS_Ranking4[[#This Row],[FMS ID]],FMS_Input[FMS_ID],FMS_Input[REMCRITFAC100])</f>
        <v>0</v>
      </c>
      <c r="AV801" s="264">
        <f>_xlfn.XLOOKUP(FMS_Ranking4[[#This Row],[FMS ID]],FMS_Input[FMS_ID],FMS_Input[REMLWC100])</f>
        <v>0</v>
      </c>
      <c r="AW801" s="264">
        <f>_xlfn.XLOOKUP(FMS_Ranking4[[#This Row],[FMS ID]],FMS_Input[FMS_ID],FMS_Input[REMROADCLS])</f>
        <v>0</v>
      </c>
      <c r="AX801" s="264">
        <f>_xlfn.XLOOKUP(FMS_Ranking4[[#This Row],[FMS ID]],FMS_Input[FMS_ID],FMS_Input[REMFRMACRE100])</f>
        <v>0</v>
      </c>
      <c r="AY801" s="258">
        <f>_xlfn.XLOOKUP(FMS_Ranking4[[#This Row],[FMS ID]],FMS_Input[FMS_ID],FMS_Input[COSTSTRUCT])</f>
        <v>0</v>
      </c>
      <c r="AZ801" s="258">
        <f>_xlfn.XLOOKUP(FMS_Ranking4[[#This Row],[FMS ID]],FMS_Input[FMS_ID],FMS_Input[NATURE])</f>
        <v>0</v>
      </c>
      <c r="BA801" s="290">
        <f>(((FMS_Ranking4[[#This Row],[% NBS Raw]]/AZ$4)*100)*AZ$5)</f>
        <v>0</v>
      </c>
      <c r="BB801" s="251" t="str">
        <f>_xlfn.XLOOKUP(FMS_Ranking4[[#This Row],[FMS ID]],FMS_Input[FMS_ID],FMS_Input[WATER_SUP])</f>
        <v>No</v>
      </c>
      <c r="BC801" s="265">
        <f>IF(FMS_Ranking4[[#This Row],[Water Supply Raw]]="Yes",10,0)</f>
        <v>0</v>
      </c>
      <c r="BD801" s="251">
        <f>_xlfn.XLOOKUP(FMS_Ranking4[[#This Row],[FMS Type]],FMS_TYPE[FMS_Type],FMS_TYPE[Score])</f>
        <v>10</v>
      </c>
      <c r="BE801" s="352">
        <f>FMS_Ranking4[[#This Row],[FMS_Type Score]]*$BD$5*10</f>
        <v>2.5</v>
      </c>
      <c r="BF801"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01" s="271">
        <f>_xlfn.RANK.EQ(BF801,$BF$8:$BF$870,0)+COUNTIF($BF$8:BF801,BF801)-1</f>
        <v>818</v>
      </c>
      <c r="BH801" s="268">
        <f>(((FMS_Ranking4[[#This Row],[Structures Removed Raw]]/AK$4)*100)*AK$5)+(((FMS_Ranking4[[#This Row],[Removed Pop Raw]]/AR$4)*100)*AR$5)</f>
        <v>0</v>
      </c>
      <c r="BI80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v>
      </c>
      <c r="BJ801" s="325">
        <f>_xlfn.RANK.EQ(FMS_Ranking4[[#This Row],[Total Score 
(with linear
normalization)]],FMS_Ranking4[Total Score 
(with linear
normalization)],0)</f>
        <v>255</v>
      </c>
      <c r="BK801" s="327" t="e">
        <f>_xlfn.XLOOKUP(FMS_Ranking4[[#This Row],[FMS ID]],#REF!,#REF!)</f>
        <v>#REF!</v>
      </c>
      <c r="BL801"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01" s="330">
        <f>FMS_Ranking4[[#This Row],[ArcSinh Score Based on Normalized Reported Factors]]+FMS_Ranking4[[#This Row],[% NBS Score (Normalized)]]+(FMS_Ranking4[[#This Row],[Water Supply Score (Normalized)]]*10*$BB$5)+FMS_Ranking4[[#This Row],[FMS_Type Score Weighted]]</f>
        <v>2.5</v>
      </c>
      <c r="BN801" s="332">
        <f>_xlfn.RANK.EQ(FMS_Ranking4[[#This Row],[Total Score (with ArcSinh normalization of select criteria)]],FMS_Ranking4[Total Score (with ArcSinh normalization of select criteria)],0)</f>
        <v>792</v>
      </c>
      <c r="BO801" s="270" t="str">
        <f>_xlfn.XLOOKUP(FMS_Ranking4[[#This Row],[FMS ID]],FMS_Input[FMS_ID],FMS_Input[FMS_RANK_YEAR])</f>
        <v>2025 Amended Plan</v>
      </c>
      <c r="BP801" s="204" t="e">
        <f>_xlfn.XLOOKUP(FMS_Ranking4[[#This Row],[FMS ID]],Prev_Rank[FMS ID],Prev_Rank[Prev Rank])</f>
        <v>#N/A</v>
      </c>
      <c r="BQ801" s="334" t="e">
        <f>_xlfn.XLOOKUP(FMS_Ranking4[[#This Row],[FMS ID]],#REF!,#REF!)</f>
        <v>#REF!</v>
      </c>
      <c r="BR801" s="199" t="e">
        <f>SUM(#REF!,#REF!,#REF!,#REF!,#REF!,#REF!,#REF!,#REF!,#REF!,FMS_Ranking4[[#This Row],[ArcSinh Res struct removed 0-10]],#REF!)</f>
        <v>#REF!</v>
      </c>
      <c r="BS801" s="199" t="e">
        <f>FMS_Ranking4[[#This Row],[Log Score Based on Normalized Reported Factors]]+FMS_Ranking4[[#This Row],[% NBS Score (Normalized)]]+(FMS_Ranking4[[#This Row],[Water Supply Score (Normalized)]]*10*$BB$5)+(FMS_Ranking4[[#This Row],[FMS_Type Score Weighted]])</f>
        <v>#REF!</v>
      </c>
      <c r="BT801" s="200" t="e">
        <f>_xlfn.RANK.EQ(FMS_Ranking4[[#This Row],[Log Total Score]],FMS_Ranking4[Log Total Score],0)</f>
        <v>#REF!</v>
      </c>
      <c r="BU801" s="200" t="e">
        <f>_xlfn.XLOOKUP(FMS_Ranking4[[#This Row],[FMS ID]],#REF!,#REF!)</f>
        <v>#REF!</v>
      </c>
      <c r="BV801" s="200">
        <f>FMS_Ranking4[[#This Row],[Region Number]]</f>
        <v>8</v>
      </c>
      <c r="BW801" s="200">
        <f>FMS_Ranking4[[#This Row],[Rank (with ArcSinh normalization of select criteria)]]-FMS_Ranking4[[#This Row],[Rank
(with linear
normalization)]]</f>
        <v>537</v>
      </c>
      <c r="BX801" s="200" t="e">
        <f>FMS_Ranking4[[#This Row],[Log Rank]]-FMS_Ranking4[[#This Row],[Rank
(with linear
normalization)]]</f>
        <v>#REF!</v>
      </c>
      <c r="BY801" s="200">
        <f>IF(FMS_Ranking4[[#This Row],[FMS Type]]="Flood Measurement and Warning",FMS_Ranking4[[#This Row],[Rank (with ArcSinh normalization of select criteria)]],"")</f>
        <v>792</v>
      </c>
      <c r="BZ801" s="200" t="str">
        <f>IF(FMS_Ranking4[[#This Row],[FMS Type]]="Regulatory and Guidance",FMS_Ranking4[[#This Row],[Rank (with ArcSinh normalization of select criteria)]],"")</f>
        <v/>
      </c>
      <c r="CA801" s="200" t="str">
        <f>IF(FMS_Ranking4[[#This Row],[FMS Type]]="Education and Outreach",FMS_Ranking4[[#This Row],[Rank (with ArcSinh normalization of select criteria)]],"")</f>
        <v/>
      </c>
      <c r="CB801" s="200" t="str">
        <f>IF(FMS_Ranking4[[#This Row],[FMS Type]]="Property Acquisition and Structural Elevation",FMS_Ranking4[[#This Row],[Rank (with ArcSinh normalization of select criteria)]],"")</f>
        <v/>
      </c>
      <c r="CC801" s="200" t="str">
        <f>IF(FMS_Ranking4[[#This Row],[FMS Type]]="Infrastructure Projects",FMS_Ranking4[[#This Row],[Rank (with ArcSinh normalization of select criteria)]],"")</f>
        <v/>
      </c>
      <c r="CD801" s="200" t="str">
        <f>IF(FMS_Ranking4[[#This Row],[FMS Type]]="Other",FMS_Ranking4[[#This Row],[Rank (with ArcSinh normalization of select criteria)]],"")</f>
        <v/>
      </c>
    </row>
    <row r="802" spans="2:82" ht="135" x14ac:dyDescent="0.25">
      <c r="B802" s="342" t="s">
        <v>12504</v>
      </c>
      <c r="C802" s="287">
        <f>_xlfn.XLOOKUP(FMS_Ranking4[[#This Row],[FMS ID]],FMS_Input[FMS_ID],FMS_Input[RFPG_NUM])</f>
        <v>8</v>
      </c>
      <c r="D802" s="309" t="str">
        <f>_xlfn.XLOOKUP(FMS_Ranking4[[#This Row],[FMS ID]],FMS_Input[FMS_ID],FMS_Input[FMS_NAME])</f>
        <v>City of Killeen Stream Gauge Installation - Emergency Management</v>
      </c>
      <c r="E802" s="322" t="str">
        <f>_xlfn.XLOOKUP(FMS_Ranking4[[#This Row],[FMS ID]],FMS_Input[FMS_ID],FMS_Input[SPONSOR])</f>
        <v>08003530</v>
      </c>
      <c r="F802" s="309" t="str">
        <f>_xlfn.XLOOKUP(FMS_Ranking4[[#This Row],[FMS ID]],Sponsor[FMS_ID],Sponsor[SPONSOR NAME])</f>
        <v>Killeen</v>
      </c>
      <c r="G802" s="309" t="str">
        <f>_xlfn.XLOOKUP(FMS_Ranking4[[#This Row],[FMS ID]],FMS_Input[FMS_ID],FMS_Input[FMS_DESCR])</f>
        <v>Install stream gauges at multiple locations along the Little Nolan and South Nolan Creeks. Gauges would be used to monitor water levels and start the development of a city-wide flood alert system to assist emergency management decisions.</v>
      </c>
      <c r="H802" s="247" t="str">
        <f>_xlfn.XLOOKUP(FMS_Ranking4[[#This Row],[FMS ID]],FMS_Input[FMS_ID],FMS_Input[FMS_TYPE])</f>
        <v>Flood Measurement and Warning</v>
      </c>
      <c r="I802" s="288">
        <f>_xlfn.XLOOKUP(FMS_Ranking4[[#This Row],[FMS ID]],FMS_Input[FMS_ID],FMS_Input[NRNC_COST])</f>
        <v>500000</v>
      </c>
      <c r="J802" s="250">
        <f>_xlfn.XLOOKUP(FMS_Ranking4[[#This Row],[FMS ID]],FMS_Input[FMS_ID],FMS_Input[FMS_COST])</f>
        <v>500000</v>
      </c>
      <c r="K802" s="289" t="str">
        <f>_xlfn.XLOOKUP(FMS_Ranking4[[#This Row],[FMS ID]],FMS_Input[FMS_ID],FMS_Input[EMER_NEED])</f>
        <v>No</v>
      </c>
      <c r="L802" s="252">
        <f t="shared" si="12"/>
        <v>0</v>
      </c>
      <c r="M802" s="253">
        <f>_xlfn.XLOOKUP(FMS_Ranking4[[#This Row],[FMS ID]],FMS_Input[FMS_ID],FMS_Input[STRUCT_100])</f>
        <v>0</v>
      </c>
      <c r="N802" s="255">
        <f>(ASINH(FMS_Ranking4[[#This Row],[Structure at Risk Raw]]))*(10)/(ASINH(M$4))</f>
        <v>0</v>
      </c>
      <c r="O802" s="255">
        <f>FMS_Ranking4[[#This Row],[Structures at risk, ArcSinh (0-10)]]*M$5*10</f>
        <v>0</v>
      </c>
      <c r="P802" s="259">
        <f>_xlfn.XLOOKUP(FMS_Ranking4[[#This Row],[FMS ID]],FMS_Input[FMS_ID],FMS_Input[RES_STRUCT100])</f>
        <v>0</v>
      </c>
      <c r="Q802" s="257">
        <f>ASINH(FMS_Ranking4[[#This Row],[Res Structure Raw]])/Q$4*P$5*100</f>
        <v>0</v>
      </c>
      <c r="R802" s="259">
        <f>_xlfn.XLOOKUP(FMS_Ranking4[[#This Row],[FMS ID]],FMS_Input[FMS_ID],FMS_Input[POP100])</f>
        <v>0</v>
      </c>
      <c r="S802" s="259">
        <f>(ASINH(FMS_Ranking4[[#This Row],[Pop at Risk Raw]]))*(10)/(ASINH(R$4))</f>
        <v>0</v>
      </c>
      <c r="T802" s="257">
        <f>FMS_Ranking4[[#This Row],[Population at risk, ArcSinh (0-10)]]*R$5*10</f>
        <v>0</v>
      </c>
      <c r="U802" s="259">
        <f>_xlfn.XLOOKUP(FMS_Ranking4[[#This Row],[FMS ID]],FMS_Input[FMS_ID],FMS_Input[CRITFAC100])</f>
        <v>0</v>
      </c>
      <c r="V802" s="259">
        <f>(ASINH(FMS_Ranking4[[#This Row],[Critical Facilities Raw]]))*(10)/(ASINH(U$4))</f>
        <v>0</v>
      </c>
      <c r="W802" s="257">
        <f>FMS_Ranking4[[#This Row],[Critical facilities at risk, ArcSinh (0-10)]]*U$5*10</f>
        <v>0</v>
      </c>
      <c r="X802" s="259">
        <f>_xlfn.XLOOKUP(FMS_Ranking4[[#This Row],[FMS ID]],FMS_Input[FMS_ID],FMS_Input[LWC])</f>
        <v>0</v>
      </c>
      <c r="Y802" s="259">
        <f>(ASINH(FMS_Ranking4[[#This Row],[LWC Raw]]))*(10)/(ASINH(X$4))</f>
        <v>0</v>
      </c>
      <c r="Z802" s="257">
        <f>FMS_Ranking4[[#This Row],[LWC, ArcSInh (0-10)]]*X$5*10</f>
        <v>0</v>
      </c>
      <c r="AA802" s="259">
        <f>_xlfn.XLOOKUP(FMS_Ranking4[[#This Row],[FMS ID]],FMS_Input[FMS_ID],FMS_Input[ROADCLS])</f>
        <v>0</v>
      </c>
      <c r="AB802" s="255">
        <f>(ASINH(FMS_Ranking4[[#This Row],[Road Closures Raw]]))*(10)/(ASINH(AA$4))</f>
        <v>0</v>
      </c>
      <c r="AC802" s="255">
        <f>FMS_Ranking4[[#This Row],[Road closures, ArcSinh (0-10)]]*AA$5*10</f>
        <v>0</v>
      </c>
      <c r="AD802" s="259">
        <f>_xlfn.XLOOKUP(FMS_Ranking4[[#This Row],[FMS ID]],FMS_Input[FMS_ID],FMS_Input[ROAD_MILES100])</f>
        <v>0</v>
      </c>
      <c r="AE802" s="259">
        <f>(ASINH(FMS_Ranking4[[#This Row],[Road Miles Raw]]))*(10)/(ASINH(AD$4))</f>
        <v>0</v>
      </c>
      <c r="AF802" s="257">
        <f>FMS_Ranking4[[#This Row],[Length of roads at risk, ArcSinh (0-10)]]*AD$5*10</f>
        <v>0</v>
      </c>
      <c r="AG802" s="259">
        <f>_xlfn.XLOOKUP(FMS_Ranking4[[#This Row],[FMS ID]],FMS_Input[FMS_ID],FMS_Input[FARMACRE100])</f>
        <v>0</v>
      </c>
      <c r="AH802" s="255">
        <f>(ASINH(FMS_Ranking4[[#This Row],[Ag Land Raw]]))*(10)/(ASINH(AG$4))</f>
        <v>0</v>
      </c>
      <c r="AI802" s="254">
        <f>FMS_Ranking4[[#This Row],[Farm &amp; ranch land, ArcSinh (0-10)]]*AG$5*10</f>
        <v>0</v>
      </c>
      <c r="AJ802" s="258">
        <f>_xlfn.XLOOKUP(FMS_Ranking4[[#This Row],[FMS ID]],FMS_Input[FMS_ID],FMS_Input[REDSTRUCT100])</f>
        <v>0</v>
      </c>
      <c r="AK802" s="253">
        <f>_xlfn.XLOOKUP(FMS_Ranking4[[#This Row],[FMS ID]],FMS_Input[FMS_ID],FMS_Input[REMSTRC100])</f>
        <v>0</v>
      </c>
      <c r="AL802" s="259">
        <f>(ASINH(FMS_Ranking4[[#This Row],[Structures Removed Raw]]))*(10)/(ASINH(AK$4))</f>
        <v>0</v>
      </c>
      <c r="AM802" s="254">
        <f>FMS_Ranking4[[#This Row],[Structures removed, ArcSinh (0-10)]]*AK$5*10</f>
        <v>0</v>
      </c>
      <c r="AN802" s="253">
        <f>_xlfn.XLOOKUP(FMS_Ranking4[[#This Row],[FMS ID]],FMS_Input[FMS_ID],FMS_Input[REMRESSTRC100])</f>
        <v>0</v>
      </c>
      <c r="AO802" s="258">
        <f>FMS_Ranking4[[#This Row],[ArcSinh Res struct removed 0-10]]*AN$5*10</f>
        <v>0</v>
      </c>
      <c r="AP802" s="254">
        <f>ASINH(FMS_Ranking4[[#This Row],[Residential Structures Removed Raw]])/AP$4*AN$5*100</f>
        <v>0</v>
      </c>
      <c r="AQ802" s="260">
        <f>(ASINH(FMS_Ranking4[[#This Row],[Residential Structures Removed Raw]]))*(10)/(ASINH(AN$4))</f>
        <v>0</v>
      </c>
      <c r="AR802" s="253">
        <f>_xlfn.XLOOKUP(FMS_Ranking4[[#This Row],[FMS ID]],FMS_Input[FMS_ID],FMS_Input[REMPOP100])</f>
        <v>0</v>
      </c>
      <c r="AS802" s="259">
        <f>(ASINH(FMS_Ranking4[[#This Row],[Removed Pop Raw]]))*(10)/(ASINH(AR$4))</f>
        <v>0</v>
      </c>
      <c r="AT802" s="263">
        <f>FMS_Ranking4[[#This Row],[Removed population, ArcSinh (0-10)]]*AR$5*10</f>
        <v>0</v>
      </c>
      <c r="AU802" s="264">
        <f>_xlfn.XLOOKUP(FMS_Ranking4[[#This Row],[FMS ID]],FMS_Input[FMS_ID],FMS_Input[REMCRITFAC100])</f>
        <v>0</v>
      </c>
      <c r="AV802" s="264">
        <f>_xlfn.XLOOKUP(FMS_Ranking4[[#This Row],[FMS ID]],FMS_Input[FMS_ID],FMS_Input[REMLWC100])</f>
        <v>0</v>
      </c>
      <c r="AW802" s="264">
        <f>_xlfn.XLOOKUP(FMS_Ranking4[[#This Row],[FMS ID]],FMS_Input[FMS_ID],FMS_Input[REMROADCLS])</f>
        <v>0</v>
      </c>
      <c r="AX802" s="264">
        <f>_xlfn.XLOOKUP(FMS_Ranking4[[#This Row],[FMS ID]],FMS_Input[FMS_ID],FMS_Input[REMFRMACRE100])</f>
        <v>0</v>
      </c>
      <c r="AY802" s="258">
        <f>_xlfn.XLOOKUP(FMS_Ranking4[[#This Row],[FMS ID]],FMS_Input[FMS_ID],FMS_Input[COSTSTRUCT])</f>
        <v>0</v>
      </c>
      <c r="AZ802" s="258">
        <f>_xlfn.XLOOKUP(FMS_Ranking4[[#This Row],[FMS ID]],FMS_Input[FMS_ID],FMS_Input[NATURE])</f>
        <v>0</v>
      </c>
      <c r="BA802" s="290">
        <f>(((FMS_Ranking4[[#This Row],[% NBS Raw]]/AZ$4)*100)*AZ$5)</f>
        <v>0</v>
      </c>
      <c r="BB802" s="251" t="str">
        <f>_xlfn.XLOOKUP(FMS_Ranking4[[#This Row],[FMS ID]],FMS_Input[FMS_ID],FMS_Input[WATER_SUP])</f>
        <v>No</v>
      </c>
      <c r="BC802" s="265">
        <f>IF(FMS_Ranking4[[#This Row],[Water Supply Raw]]="Yes",10,0)</f>
        <v>0</v>
      </c>
      <c r="BD802" s="251">
        <f>_xlfn.XLOOKUP(FMS_Ranking4[[#This Row],[FMS Type]],FMS_TYPE[FMS_Type],FMS_TYPE[Score])</f>
        <v>10</v>
      </c>
      <c r="BE802" s="352">
        <f>FMS_Ranking4[[#This Row],[FMS_Type Score]]*$BD$5*10</f>
        <v>2.5</v>
      </c>
      <c r="BF802"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02" s="271">
        <f>_xlfn.RANK.EQ(BF802,$BF$8:$BF$870,0)+COUNTIF($BF$8:BF802,BF802)-1</f>
        <v>819</v>
      </c>
      <c r="BH802" s="268">
        <f>(((FMS_Ranking4[[#This Row],[Structures Removed Raw]]/AK$4)*100)*AK$5)+(((FMS_Ranking4[[#This Row],[Removed Pop Raw]]/AR$4)*100)*AR$5)</f>
        <v>0</v>
      </c>
      <c r="BI80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v>
      </c>
      <c r="BJ802" s="325">
        <f>_xlfn.RANK.EQ(FMS_Ranking4[[#This Row],[Total Score 
(with linear
normalization)]],FMS_Ranking4[Total Score 
(with linear
normalization)],0)</f>
        <v>255</v>
      </c>
      <c r="BK802" s="327" t="e">
        <f>_xlfn.XLOOKUP(FMS_Ranking4[[#This Row],[FMS ID]],#REF!,#REF!)</f>
        <v>#REF!</v>
      </c>
      <c r="BL802"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02" s="330">
        <f>FMS_Ranking4[[#This Row],[ArcSinh Score Based on Normalized Reported Factors]]+FMS_Ranking4[[#This Row],[% NBS Score (Normalized)]]+(FMS_Ranking4[[#This Row],[Water Supply Score (Normalized)]]*10*$BB$5)+FMS_Ranking4[[#This Row],[FMS_Type Score Weighted]]</f>
        <v>2.5</v>
      </c>
      <c r="BN802" s="332">
        <f>_xlfn.RANK.EQ(FMS_Ranking4[[#This Row],[Total Score (with ArcSinh normalization of select criteria)]],FMS_Ranking4[Total Score (with ArcSinh normalization of select criteria)],0)</f>
        <v>792</v>
      </c>
      <c r="BO802" s="270" t="str">
        <f>_xlfn.XLOOKUP(FMS_Ranking4[[#This Row],[FMS ID]],FMS_Input[FMS_ID],FMS_Input[FMS_RANK_YEAR])</f>
        <v>2025 Amended Plan</v>
      </c>
      <c r="BP802" s="204" t="e">
        <f>_xlfn.XLOOKUP(FMS_Ranking4[[#This Row],[FMS ID]],Prev_Rank[FMS ID],Prev_Rank[Prev Rank])</f>
        <v>#N/A</v>
      </c>
      <c r="BQ802" s="334" t="e">
        <f>_xlfn.XLOOKUP(FMS_Ranking4[[#This Row],[FMS ID]],#REF!,#REF!)</f>
        <v>#REF!</v>
      </c>
      <c r="BR802" s="199" t="e">
        <f>SUM(#REF!,#REF!,#REF!,#REF!,#REF!,#REF!,#REF!,#REF!,#REF!,FMS_Ranking4[[#This Row],[ArcSinh Res struct removed 0-10]],#REF!)</f>
        <v>#REF!</v>
      </c>
      <c r="BS802" s="199" t="e">
        <f>FMS_Ranking4[[#This Row],[Log Score Based on Normalized Reported Factors]]+FMS_Ranking4[[#This Row],[% NBS Score (Normalized)]]+(FMS_Ranking4[[#This Row],[Water Supply Score (Normalized)]]*10*$BB$5)+(FMS_Ranking4[[#This Row],[FMS_Type Score Weighted]])</f>
        <v>#REF!</v>
      </c>
      <c r="BT802" s="200" t="e">
        <f>_xlfn.RANK.EQ(FMS_Ranking4[[#This Row],[Log Total Score]],FMS_Ranking4[Log Total Score],0)</f>
        <v>#REF!</v>
      </c>
      <c r="BU802" s="200" t="e">
        <f>_xlfn.XLOOKUP(FMS_Ranking4[[#This Row],[FMS ID]],#REF!,#REF!)</f>
        <v>#REF!</v>
      </c>
      <c r="BV802" s="200">
        <f>FMS_Ranking4[[#This Row],[Region Number]]</f>
        <v>8</v>
      </c>
      <c r="BW802" s="200">
        <f>FMS_Ranking4[[#This Row],[Rank (with ArcSinh normalization of select criteria)]]-FMS_Ranking4[[#This Row],[Rank
(with linear
normalization)]]</f>
        <v>537</v>
      </c>
      <c r="BX802" s="200" t="e">
        <f>FMS_Ranking4[[#This Row],[Log Rank]]-FMS_Ranking4[[#This Row],[Rank
(with linear
normalization)]]</f>
        <v>#REF!</v>
      </c>
      <c r="BY802" s="200">
        <f>IF(FMS_Ranking4[[#This Row],[FMS Type]]="Flood Measurement and Warning",FMS_Ranking4[[#This Row],[Rank (with ArcSinh normalization of select criteria)]],"")</f>
        <v>792</v>
      </c>
      <c r="BZ802" s="200" t="str">
        <f>IF(FMS_Ranking4[[#This Row],[FMS Type]]="Regulatory and Guidance",FMS_Ranking4[[#This Row],[Rank (with ArcSinh normalization of select criteria)]],"")</f>
        <v/>
      </c>
      <c r="CA802" s="200" t="str">
        <f>IF(FMS_Ranking4[[#This Row],[FMS Type]]="Education and Outreach",FMS_Ranking4[[#This Row],[Rank (with ArcSinh normalization of select criteria)]],"")</f>
        <v/>
      </c>
      <c r="CB802" s="200" t="str">
        <f>IF(FMS_Ranking4[[#This Row],[FMS Type]]="Property Acquisition and Structural Elevation",FMS_Ranking4[[#This Row],[Rank (with ArcSinh normalization of select criteria)]],"")</f>
        <v/>
      </c>
      <c r="CC802" s="200" t="str">
        <f>IF(FMS_Ranking4[[#This Row],[FMS Type]]="Infrastructure Projects",FMS_Ranking4[[#This Row],[Rank (with ArcSinh normalization of select criteria)]],"")</f>
        <v/>
      </c>
      <c r="CD802" s="200" t="str">
        <f>IF(FMS_Ranking4[[#This Row],[FMS Type]]="Other",FMS_Ranking4[[#This Row],[Rank (with ArcSinh normalization of select criteria)]],"")</f>
        <v/>
      </c>
    </row>
    <row r="803" spans="2:82" ht="135" x14ac:dyDescent="0.25">
      <c r="B803" s="342" t="s">
        <v>12524</v>
      </c>
      <c r="C803" s="287">
        <f>_xlfn.XLOOKUP(FMS_Ranking4[[#This Row],[FMS ID]],FMS_Input[FMS_ID],FMS_Input[RFPG_NUM])</f>
        <v>8</v>
      </c>
      <c r="D803" s="309" t="str">
        <f>_xlfn.XLOOKUP(FMS_Ranking4[[#This Row],[FMS ID]],FMS_Input[FMS_ID],FMS_Input[FMS_NAME])</f>
        <v>Cedar Park Early Flood Warning System</v>
      </c>
      <c r="E803" s="322" t="str">
        <f>_xlfn.XLOOKUP(FMS_Ranking4[[#This Row],[FMS ID]],FMS_Input[FMS_ID],FMS_Input[SPONSOR])</f>
        <v>00003454</v>
      </c>
      <c r="F803" s="309" t="str">
        <f>_xlfn.XLOOKUP(FMS_Ranking4[[#This Row],[FMS ID]],Sponsor[FMS_ID],Sponsor[SPONSOR NAME])</f>
        <v>Cedar Park</v>
      </c>
      <c r="G803" s="309" t="str">
        <f>_xlfn.XLOOKUP(FMS_Ranking4[[#This Row],[FMS ID]],FMS_Input[FMS_ID],FMS_Input[FMS_DESCR])</f>
        <v>Development of an early flood warning system for City of Cedar Park including identification of potential gauge placements, development of necessary software and GUI to monitor risk at gauged locations, and incorporation with existing systems.</v>
      </c>
      <c r="H803" s="247" t="str">
        <f>_xlfn.XLOOKUP(FMS_Ranking4[[#This Row],[FMS ID]],FMS_Input[FMS_ID],FMS_Input[FMS_TYPE])</f>
        <v>Flood Measurement and Warning</v>
      </c>
      <c r="I803" s="288">
        <f>_xlfn.XLOOKUP(FMS_Ranking4[[#This Row],[FMS ID]],FMS_Input[FMS_ID],FMS_Input[NRNC_COST])</f>
        <v>500000</v>
      </c>
      <c r="J803" s="250">
        <f>_xlfn.XLOOKUP(FMS_Ranking4[[#This Row],[FMS ID]],FMS_Input[FMS_ID],FMS_Input[FMS_COST])</f>
        <v>500000</v>
      </c>
      <c r="K803" s="289" t="str">
        <f>_xlfn.XLOOKUP(FMS_Ranking4[[#This Row],[FMS ID]],FMS_Input[FMS_ID],FMS_Input[EMER_NEED])</f>
        <v>No</v>
      </c>
      <c r="L803" s="252">
        <f t="shared" si="12"/>
        <v>0</v>
      </c>
      <c r="M803" s="253">
        <f>_xlfn.XLOOKUP(FMS_Ranking4[[#This Row],[FMS ID]],FMS_Input[FMS_ID],FMS_Input[STRUCT_100])</f>
        <v>0</v>
      </c>
      <c r="N803" s="255">
        <f>(ASINH(FMS_Ranking4[[#This Row],[Structure at Risk Raw]]))*(10)/(ASINH(M$4))</f>
        <v>0</v>
      </c>
      <c r="O803" s="255">
        <f>FMS_Ranking4[[#This Row],[Structures at risk, ArcSinh (0-10)]]*M$5*10</f>
        <v>0</v>
      </c>
      <c r="P803" s="259">
        <f>_xlfn.XLOOKUP(FMS_Ranking4[[#This Row],[FMS ID]],FMS_Input[FMS_ID],FMS_Input[RES_STRUCT100])</f>
        <v>0</v>
      </c>
      <c r="Q803" s="257">
        <f>ASINH(FMS_Ranking4[[#This Row],[Res Structure Raw]])/Q$4*P$5*100</f>
        <v>0</v>
      </c>
      <c r="R803" s="259">
        <f>_xlfn.XLOOKUP(FMS_Ranking4[[#This Row],[FMS ID]],FMS_Input[FMS_ID],FMS_Input[POP100])</f>
        <v>0</v>
      </c>
      <c r="S803" s="255">
        <f>(ASINH(FMS_Ranking4[[#This Row],[Pop at Risk Raw]]))*(10)/(ASINH(R$4))</f>
        <v>0</v>
      </c>
      <c r="T803" s="257">
        <f>FMS_Ranking4[[#This Row],[Population at risk, ArcSinh (0-10)]]*R$5*10</f>
        <v>0</v>
      </c>
      <c r="U803" s="259">
        <f>_xlfn.XLOOKUP(FMS_Ranking4[[#This Row],[FMS ID]],FMS_Input[FMS_ID],FMS_Input[CRITFAC100])</f>
        <v>0</v>
      </c>
      <c r="V803" s="255">
        <f>(ASINH(FMS_Ranking4[[#This Row],[Critical Facilities Raw]]))*(10)/(ASINH(U$4))</f>
        <v>0</v>
      </c>
      <c r="W803" s="257">
        <f>FMS_Ranking4[[#This Row],[Critical facilities at risk, ArcSinh (0-10)]]*U$5*10</f>
        <v>0</v>
      </c>
      <c r="X803" s="259">
        <f>_xlfn.XLOOKUP(FMS_Ranking4[[#This Row],[FMS ID]],FMS_Input[FMS_ID],FMS_Input[LWC])</f>
        <v>0</v>
      </c>
      <c r="Y803" s="255">
        <f>(ASINH(FMS_Ranking4[[#This Row],[LWC Raw]]))*(10)/(ASINH(X$4))</f>
        <v>0</v>
      </c>
      <c r="Z803" s="257">
        <f>FMS_Ranking4[[#This Row],[LWC, ArcSInh (0-10)]]*X$5*10</f>
        <v>0</v>
      </c>
      <c r="AA803" s="259">
        <f>_xlfn.XLOOKUP(FMS_Ranking4[[#This Row],[FMS ID]],FMS_Input[FMS_ID],FMS_Input[ROADCLS])</f>
        <v>0</v>
      </c>
      <c r="AB803" s="255">
        <f>(ASINH(FMS_Ranking4[[#This Row],[Road Closures Raw]]))*(10)/(ASINH(AA$4))</f>
        <v>0</v>
      </c>
      <c r="AC803" s="255">
        <f>FMS_Ranking4[[#This Row],[Road closures, ArcSinh (0-10)]]*AA$5*10</f>
        <v>0</v>
      </c>
      <c r="AD803" s="259">
        <f>_xlfn.XLOOKUP(FMS_Ranking4[[#This Row],[FMS ID]],FMS_Input[FMS_ID],FMS_Input[ROAD_MILES100])</f>
        <v>0</v>
      </c>
      <c r="AE803" s="255">
        <f>(ASINH(FMS_Ranking4[[#This Row],[Road Miles Raw]]))*(10)/(ASINH(AD$4))</f>
        <v>0</v>
      </c>
      <c r="AF803" s="257">
        <f>FMS_Ranking4[[#This Row],[Length of roads at risk, ArcSinh (0-10)]]*AD$5*10</f>
        <v>0</v>
      </c>
      <c r="AG803" s="259">
        <f>_xlfn.XLOOKUP(FMS_Ranking4[[#This Row],[FMS ID]],FMS_Input[FMS_ID],FMS_Input[FARMACRE100])</f>
        <v>0</v>
      </c>
      <c r="AH803" s="255">
        <f>(ASINH(FMS_Ranking4[[#This Row],[Ag Land Raw]]))*(10)/(ASINH(AG$4))</f>
        <v>0</v>
      </c>
      <c r="AI803" s="254">
        <f>FMS_Ranking4[[#This Row],[Farm &amp; ranch land, ArcSinh (0-10)]]*AG$5*10</f>
        <v>0</v>
      </c>
      <c r="AJ803" s="258">
        <f>_xlfn.XLOOKUP(FMS_Ranking4[[#This Row],[FMS ID]],FMS_Input[FMS_ID],FMS_Input[REDSTRUCT100])</f>
        <v>0</v>
      </c>
      <c r="AK803" s="253">
        <f>_xlfn.XLOOKUP(FMS_Ranking4[[#This Row],[FMS ID]],FMS_Input[FMS_ID],FMS_Input[REMSTRC100])</f>
        <v>0</v>
      </c>
      <c r="AL803" s="255">
        <f>(ASINH(FMS_Ranking4[[#This Row],[Structures Removed Raw]]))*(10)/(ASINH(AK$4))</f>
        <v>0</v>
      </c>
      <c r="AM803" s="254">
        <f>FMS_Ranking4[[#This Row],[Structures removed, ArcSinh (0-10)]]*AK$5*10</f>
        <v>0</v>
      </c>
      <c r="AN803" s="253">
        <f>_xlfn.XLOOKUP(FMS_Ranking4[[#This Row],[FMS ID]],FMS_Input[FMS_ID],FMS_Input[REMRESSTRC100])</f>
        <v>0</v>
      </c>
      <c r="AO803" s="258">
        <f>FMS_Ranking4[[#This Row],[ArcSinh Res struct removed 0-10]]*AN$5*10</f>
        <v>0</v>
      </c>
      <c r="AP803" s="254">
        <f>ASINH(FMS_Ranking4[[#This Row],[Residential Structures Removed Raw]])/AP$4*AN$5*100</f>
        <v>0</v>
      </c>
      <c r="AQ803" s="261">
        <f>(ASINH(FMS_Ranking4[[#This Row],[Residential Structures Removed Raw]]))*(10)/(ASINH(AN$4))</f>
        <v>0</v>
      </c>
      <c r="AR803" s="253">
        <f>_xlfn.XLOOKUP(FMS_Ranking4[[#This Row],[FMS ID]],FMS_Input[FMS_ID],FMS_Input[REMPOP100])</f>
        <v>0</v>
      </c>
      <c r="AS803" s="255">
        <f>(ASINH(FMS_Ranking4[[#This Row],[Removed Pop Raw]]))*(10)/(ASINH(AR$4))</f>
        <v>0</v>
      </c>
      <c r="AT803" s="263">
        <f>FMS_Ranking4[[#This Row],[Removed population, ArcSinh (0-10)]]*AR$5*10</f>
        <v>0</v>
      </c>
      <c r="AU803" s="264">
        <f>_xlfn.XLOOKUP(FMS_Ranking4[[#This Row],[FMS ID]],FMS_Input[FMS_ID],FMS_Input[REMCRITFAC100])</f>
        <v>0</v>
      </c>
      <c r="AV803" s="264">
        <f>_xlfn.XLOOKUP(FMS_Ranking4[[#This Row],[FMS ID]],FMS_Input[FMS_ID],FMS_Input[REMLWC100])</f>
        <v>0</v>
      </c>
      <c r="AW803" s="264">
        <f>_xlfn.XLOOKUP(FMS_Ranking4[[#This Row],[FMS ID]],FMS_Input[FMS_ID],FMS_Input[REMROADCLS])</f>
        <v>0</v>
      </c>
      <c r="AX803" s="264">
        <f>_xlfn.XLOOKUP(FMS_Ranking4[[#This Row],[FMS ID]],FMS_Input[FMS_ID],FMS_Input[REMFRMACRE100])</f>
        <v>0</v>
      </c>
      <c r="AY803" s="258">
        <f>_xlfn.XLOOKUP(FMS_Ranking4[[#This Row],[FMS ID]],FMS_Input[FMS_ID],FMS_Input[COSTSTRUCT])</f>
        <v>0</v>
      </c>
      <c r="AZ803" s="258">
        <f>_xlfn.XLOOKUP(FMS_Ranking4[[#This Row],[FMS ID]],FMS_Input[FMS_ID],FMS_Input[NATURE])</f>
        <v>0</v>
      </c>
      <c r="BA803" s="290">
        <f>(((FMS_Ranking4[[#This Row],[% NBS Raw]]/AZ$4)*100)*AZ$5)</f>
        <v>0</v>
      </c>
      <c r="BB803" s="251" t="str">
        <f>_xlfn.XLOOKUP(FMS_Ranking4[[#This Row],[FMS ID]],FMS_Input[FMS_ID],FMS_Input[WATER_SUP])</f>
        <v>No</v>
      </c>
      <c r="BC803" s="265">
        <f>IF(FMS_Ranking4[[#This Row],[Water Supply Raw]]="Yes",10,0)</f>
        <v>0</v>
      </c>
      <c r="BD803" s="251">
        <f>_xlfn.XLOOKUP(FMS_Ranking4[[#This Row],[FMS Type]],FMS_TYPE[FMS_Type],FMS_TYPE[Score])</f>
        <v>10</v>
      </c>
      <c r="BE803" s="352">
        <f>FMS_Ranking4[[#This Row],[FMS_Type Score]]*$BD$5*10</f>
        <v>2.5</v>
      </c>
      <c r="BF803"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03" s="321">
        <f>_xlfn.RANK.EQ(BF803,$BF$8:$BF$870,0)+COUNTIF($BF$8:BF803,BF803)-1</f>
        <v>820</v>
      </c>
      <c r="BH803" s="294">
        <f>(((FMS_Ranking4[[#This Row],[Structures Removed Raw]]/AK$4)*100)*AK$5)+(((FMS_Ranking4[[#This Row],[Removed Pop Raw]]/AR$4)*100)*AR$5)</f>
        <v>0</v>
      </c>
      <c r="BI803"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v>
      </c>
      <c r="BJ803" s="296">
        <f>_xlfn.RANK.EQ(FMS_Ranking4[[#This Row],[Total Score 
(with linear
normalization)]],FMS_Ranking4[Total Score 
(with linear
normalization)],0)</f>
        <v>255</v>
      </c>
      <c r="BK803" s="292" t="e">
        <f>_xlfn.XLOOKUP(FMS_Ranking4[[#This Row],[FMS ID]],#REF!,#REF!)</f>
        <v>#REF!</v>
      </c>
      <c r="BL803"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03" s="298">
        <f>FMS_Ranking4[[#This Row],[ArcSinh Score Based on Normalized Reported Factors]]+FMS_Ranking4[[#This Row],[% NBS Score (Normalized)]]+(FMS_Ranking4[[#This Row],[Water Supply Score (Normalized)]]*10*$BB$5)+FMS_Ranking4[[#This Row],[FMS_Type Score Weighted]]</f>
        <v>2.5</v>
      </c>
      <c r="BN803" s="323">
        <f>_xlfn.RANK.EQ(FMS_Ranking4[[#This Row],[Total Score (with ArcSinh normalization of select criteria)]],FMS_Ranking4[Total Score (with ArcSinh normalization of select criteria)],0)</f>
        <v>792</v>
      </c>
      <c r="BO803" s="270" t="str">
        <f>_xlfn.XLOOKUP(FMS_Ranking4[[#This Row],[FMS ID]],FMS_Input[FMS_ID],FMS_Input[FMS_RANK_YEAR])</f>
        <v>2025 Amended Plan</v>
      </c>
      <c r="BP803" s="204" t="e">
        <f>_xlfn.XLOOKUP(FMS_Ranking4[[#This Row],[FMS ID]],Prev_Rank[FMS ID],Prev_Rank[Prev Rank])</f>
        <v>#N/A</v>
      </c>
      <c r="BQ803" s="265" t="e">
        <f>_xlfn.XLOOKUP(FMS_Ranking4[[#This Row],[FMS ID]],#REF!,#REF!)</f>
        <v>#REF!</v>
      </c>
      <c r="BR803" s="199" t="e">
        <f>SUM(#REF!,#REF!,#REF!,#REF!,#REF!,#REF!,#REF!,#REF!,#REF!,FMS_Ranking4[[#This Row],[ArcSinh Res struct removed 0-10]],#REF!)</f>
        <v>#REF!</v>
      </c>
      <c r="BS803" s="199" t="e">
        <f>FMS_Ranking4[[#This Row],[Log Score Based on Normalized Reported Factors]]+FMS_Ranking4[[#This Row],[% NBS Score (Normalized)]]+(FMS_Ranking4[[#This Row],[Water Supply Score (Normalized)]]*10*$BB$5)+(FMS_Ranking4[[#This Row],[FMS_Type Score Weighted]])</f>
        <v>#REF!</v>
      </c>
      <c r="BT803" s="200" t="e">
        <f>_xlfn.RANK.EQ(FMS_Ranking4[[#This Row],[Log Total Score]],FMS_Ranking4[Log Total Score],0)</f>
        <v>#REF!</v>
      </c>
      <c r="BU803" s="200" t="e">
        <f>_xlfn.XLOOKUP(FMS_Ranking4[[#This Row],[FMS ID]],#REF!,#REF!)</f>
        <v>#REF!</v>
      </c>
      <c r="BV803" s="200">
        <f>FMS_Ranking4[[#This Row],[Region Number]]</f>
        <v>8</v>
      </c>
      <c r="BW803" s="200">
        <f>FMS_Ranking4[[#This Row],[Rank (with ArcSinh normalization of select criteria)]]-FMS_Ranking4[[#This Row],[Rank
(with linear
normalization)]]</f>
        <v>537</v>
      </c>
      <c r="BX803" s="200" t="e">
        <f>FMS_Ranking4[[#This Row],[Log Rank]]-FMS_Ranking4[[#This Row],[Rank
(with linear
normalization)]]</f>
        <v>#REF!</v>
      </c>
      <c r="BY803" s="200">
        <f>IF(FMS_Ranking4[[#This Row],[FMS Type]]="Flood Measurement and Warning",FMS_Ranking4[[#This Row],[Rank (with ArcSinh normalization of select criteria)]],"")</f>
        <v>792</v>
      </c>
      <c r="BZ803" s="200" t="str">
        <f>IF(FMS_Ranking4[[#This Row],[FMS Type]]="Regulatory and Guidance",FMS_Ranking4[[#This Row],[Rank (with ArcSinh normalization of select criteria)]],"")</f>
        <v/>
      </c>
      <c r="CA803" s="200" t="str">
        <f>IF(FMS_Ranking4[[#This Row],[FMS Type]]="Education and Outreach",FMS_Ranking4[[#This Row],[Rank (with ArcSinh normalization of select criteria)]],"")</f>
        <v/>
      </c>
      <c r="CB803" s="200" t="str">
        <f>IF(FMS_Ranking4[[#This Row],[FMS Type]]="Property Acquisition and Structural Elevation",FMS_Ranking4[[#This Row],[Rank (with ArcSinh normalization of select criteria)]],"")</f>
        <v/>
      </c>
      <c r="CC803" s="200" t="str">
        <f>IF(FMS_Ranking4[[#This Row],[FMS Type]]="Infrastructure Projects",FMS_Ranking4[[#This Row],[Rank (with ArcSinh normalization of select criteria)]],"")</f>
        <v/>
      </c>
      <c r="CD803" s="200" t="str">
        <f>IF(FMS_Ranking4[[#This Row],[FMS Type]]="Other",FMS_Ranking4[[#This Row],[Rank (with ArcSinh normalization of select criteria)]],"")</f>
        <v/>
      </c>
    </row>
    <row r="804" spans="2:82" ht="105" x14ac:dyDescent="0.25">
      <c r="B804" s="342" t="s">
        <v>12495</v>
      </c>
      <c r="C804" s="287">
        <f>_xlfn.XLOOKUP(FMS_Ranking4[[#This Row],[FMS ID]],FMS_Input[FMS_ID],FMS_Input[RFPG_NUM])</f>
        <v>8</v>
      </c>
      <c r="D804" s="309" t="str">
        <f>_xlfn.XLOOKUP(FMS_Ranking4[[#This Row],[FMS ID]],FMS_Input[FMS_ID],FMS_Input[FMS_NAME])</f>
        <v>City of Bryan - Flood Early Warning System ("B-FEWS") Phase 2</v>
      </c>
      <c r="E804" s="322" t="str">
        <f>_xlfn.XLOOKUP(FMS_Ranking4[[#This Row],[FMS ID]],FMS_Input[FMS_ID],FMS_Input[SPONSOR])</f>
        <v>08003438</v>
      </c>
      <c r="F804" s="309" t="str">
        <f>_xlfn.XLOOKUP(FMS_Ranking4[[#This Row],[FMS ID]],Sponsor[FMS_ID],Sponsor[SPONSOR NAME])</f>
        <v>Bryan</v>
      </c>
      <c r="G804" s="309" t="str">
        <f>_xlfn.XLOOKUP(FMS_Ranking4[[#This Row],[FMS ID]],FMS_Input[FMS_ID],FMS_Input[FMS_DESCR])</f>
        <v>Gauging improvements and upgrades (software and hardware) to the existing flood early warning system with the potential for additional sensors in newly identified areas of need.</v>
      </c>
      <c r="H804" s="247" t="str">
        <f>_xlfn.XLOOKUP(FMS_Ranking4[[#This Row],[FMS ID]],FMS_Input[FMS_ID],FMS_Input[FMS_TYPE])</f>
        <v>Flood Measurement and Warning</v>
      </c>
      <c r="I804" s="288">
        <f>_xlfn.XLOOKUP(FMS_Ranking4[[#This Row],[FMS ID]],FMS_Input[FMS_ID],FMS_Input[NRNC_COST])</f>
        <v>350000</v>
      </c>
      <c r="J804" s="250">
        <f>_xlfn.XLOOKUP(FMS_Ranking4[[#This Row],[FMS ID]],FMS_Input[FMS_ID],FMS_Input[FMS_COST])</f>
        <v>350000</v>
      </c>
      <c r="K804" s="289" t="str">
        <f>_xlfn.XLOOKUP(FMS_Ranking4[[#This Row],[FMS ID]],FMS_Input[FMS_ID],FMS_Input[EMER_NEED])</f>
        <v>No</v>
      </c>
      <c r="L804" s="252">
        <f t="shared" si="12"/>
        <v>0</v>
      </c>
      <c r="M804" s="253">
        <f>_xlfn.XLOOKUP(FMS_Ranking4[[#This Row],[FMS ID]],FMS_Input[FMS_ID],FMS_Input[STRUCT_100])</f>
        <v>0</v>
      </c>
      <c r="N804" s="255">
        <f>(ASINH(FMS_Ranking4[[#This Row],[Structure at Risk Raw]]))*(10)/(ASINH(M$4))</f>
        <v>0</v>
      </c>
      <c r="O804" s="255">
        <f>FMS_Ranking4[[#This Row],[Structures at risk, ArcSinh (0-10)]]*M$5*10</f>
        <v>0</v>
      </c>
      <c r="P804" s="259">
        <f>_xlfn.XLOOKUP(FMS_Ranking4[[#This Row],[FMS ID]],FMS_Input[FMS_ID],FMS_Input[RES_STRUCT100])</f>
        <v>0</v>
      </c>
      <c r="Q804" s="257">
        <f>ASINH(FMS_Ranking4[[#This Row],[Res Structure Raw]])/Q$4*P$5*100</f>
        <v>0</v>
      </c>
      <c r="R804" s="259">
        <f>_xlfn.XLOOKUP(FMS_Ranking4[[#This Row],[FMS ID]],FMS_Input[FMS_ID],FMS_Input[POP100])</f>
        <v>0</v>
      </c>
      <c r="S804" s="255">
        <f>(ASINH(FMS_Ranking4[[#This Row],[Pop at Risk Raw]]))*(10)/(ASINH(R$4))</f>
        <v>0</v>
      </c>
      <c r="T804" s="257">
        <f>FMS_Ranking4[[#This Row],[Population at risk, ArcSinh (0-10)]]*R$5*10</f>
        <v>0</v>
      </c>
      <c r="U804" s="259">
        <f>_xlfn.XLOOKUP(FMS_Ranking4[[#This Row],[FMS ID]],FMS_Input[FMS_ID],FMS_Input[CRITFAC100])</f>
        <v>0</v>
      </c>
      <c r="V804" s="255">
        <f>(ASINH(FMS_Ranking4[[#This Row],[Critical Facilities Raw]]))*(10)/(ASINH(U$4))</f>
        <v>0</v>
      </c>
      <c r="W804" s="257">
        <f>FMS_Ranking4[[#This Row],[Critical facilities at risk, ArcSinh (0-10)]]*U$5*10</f>
        <v>0</v>
      </c>
      <c r="X804" s="259">
        <f>_xlfn.XLOOKUP(FMS_Ranking4[[#This Row],[FMS ID]],FMS_Input[FMS_ID],FMS_Input[LWC])</f>
        <v>0</v>
      </c>
      <c r="Y804" s="255">
        <f>(ASINH(FMS_Ranking4[[#This Row],[LWC Raw]]))*(10)/(ASINH(X$4))</f>
        <v>0</v>
      </c>
      <c r="Z804" s="257">
        <f>FMS_Ranking4[[#This Row],[LWC, ArcSInh (0-10)]]*X$5*10</f>
        <v>0</v>
      </c>
      <c r="AA804" s="259">
        <f>_xlfn.XLOOKUP(FMS_Ranking4[[#This Row],[FMS ID]],FMS_Input[FMS_ID],FMS_Input[ROADCLS])</f>
        <v>0</v>
      </c>
      <c r="AB804" s="255">
        <f>(ASINH(FMS_Ranking4[[#This Row],[Road Closures Raw]]))*(10)/(ASINH(AA$4))</f>
        <v>0</v>
      </c>
      <c r="AC804" s="255">
        <f>FMS_Ranking4[[#This Row],[Road closures, ArcSinh (0-10)]]*AA$5*10</f>
        <v>0</v>
      </c>
      <c r="AD804" s="259">
        <f>_xlfn.XLOOKUP(FMS_Ranking4[[#This Row],[FMS ID]],FMS_Input[FMS_ID],FMS_Input[ROAD_MILES100])</f>
        <v>0</v>
      </c>
      <c r="AE804" s="255">
        <f>(ASINH(FMS_Ranking4[[#This Row],[Road Miles Raw]]))*(10)/(ASINH(AD$4))</f>
        <v>0</v>
      </c>
      <c r="AF804" s="257">
        <f>FMS_Ranking4[[#This Row],[Length of roads at risk, ArcSinh (0-10)]]*AD$5*10</f>
        <v>0</v>
      </c>
      <c r="AG804" s="259">
        <f>_xlfn.XLOOKUP(FMS_Ranking4[[#This Row],[FMS ID]],FMS_Input[FMS_ID],FMS_Input[FARMACRE100])</f>
        <v>0</v>
      </c>
      <c r="AH804" s="255">
        <f>(ASINH(FMS_Ranking4[[#This Row],[Ag Land Raw]]))*(10)/(ASINH(AG$4))</f>
        <v>0</v>
      </c>
      <c r="AI804" s="254">
        <f>FMS_Ranking4[[#This Row],[Farm &amp; ranch land, ArcSinh (0-10)]]*AG$5*10</f>
        <v>0</v>
      </c>
      <c r="AJ804" s="258">
        <f>_xlfn.XLOOKUP(FMS_Ranking4[[#This Row],[FMS ID]],FMS_Input[FMS_ID],FMS_Input[REDSTRUCT100])</f>
        <v>0</v>
      </c>
      <c r="AK804" s="253">
        <f>_xlfn.XLOOKUP(FMS_Ranking4[[#This Row],[FMS ID]],FMS_Input[FMS_ID],FMS_Input[REMSTRC100])</f>
        <v>0</v>
      </c>
      <c r="AL804" s="255">
        <f>(ASINH(FMS_Ranking4[[#This Row],[Structures Removed Raw]]))*(10)/(ASINH(AK$4))</f>
        <v>0</v>
      </c>
      <c r="AM804" s="254">
        <f>FMS_Ranking4[[#This Row],[Structures removed, ArcSinh (0-10)]]*AK$5*10</f>
        <v>0</v>
      </c>
      <c r="AN804" s="253">
        <f>_xlfn.XLOOKUP(FMS_Ranking4[[#This Row],[FMS ID]],FMS_Input[FMS_ID],FMS_Input[REMRESSTRC100])</f>
        <v>0</v>
      </c>
      <c r="AO804" s="258">
        <f>FMS_Ranking4[[#This Row],[ArcSinh Res struct removed 0-10]]*AN$5*10</f>
        <v>0</v>
      </c>
      <c r="AP804" s="254">
        <f>ASINH(FMS_Ranking4[[#This Row],[Residential Structures Removed Raw]])/AP$4*AN$5*100</f>
        <v>0</v>
      </c>
      <c r="AQ804" s="261">
        <f>(ASINH(FMS_Ranking4[[#This Row],[Residential Structures Removed Raw]]))*(10)/(ASINH(AN$4))</f>
        <v>0</v>
      </c>
      <c r="AR804" s="253">
        <f>_xlfn.XLOOKUP(FMS_Ranking4[[#This Row],[FMS ID]],FMS_Input[FMS_ID],FMS_Input[REMPOP100])</f>
        <v>0</v>
      </c>
      <c r="AS804" s="255">
        <f>(ASINH(FMS_Ranking4[[#This Row],[Removed Pop Raw]]))*(10)/(ASINH(AR$4))</f>
        <v>0</v>
      </c>
      <c r="AT804" s="263">
        <f>FMS_Ranking4[[#This Row],[Removed population, ArcSinh (0-10)]]*AR$5*10</f>
        <v>0</v>
      </c>
      <c r="AU804" s="264">
        <f>_xlfn.XLOOKUP(FMS_Ranking4[[#This Row],[FMS ID]],FMS_Input[FMS_ID],FMS_Input[REMCRITFAC100])</f>
        <v>0</v>
      </c>
      <c r="AV804" s="264">
        <f>_xlfn.XLOOKUP(FMS_Ranking4[[#This Row],[FMS ID]],FMS_Input[FMS_ID],FMS_Input[REMLWC100])</f>
        <v>0</v>
      </c>
      <c r="AW804" s="264">
        <f>_xlfn.XLOOKUP(FMS_Ranking4[[#This Row],[FMS ID]],FMS_Input[FMS_ID],FMS_Input[REMROADCLS])</f>
        <v>0</v>
      </c>
      <c r="AX804" s="264">
        <f>_xlfn.XLOOKUP(FMS_Ranking4[[#This Row],[FMS ID]],FMS_Input[FMS_ID],FMS_Input[REMFRMACRE100])</f>
        <v>0</v>
      </c>
      <c r="AY804" s="258">
        <f>_xlfn.XLOOKUP(FMS_Ranking4[[#This Row],[FMS ID]],FMS_Input[FMS_ID],FMS_Input[COSTSTRUCT])</f>
        <v>0</v>
      </c>
      <c r="AZ804" s="258">
        <f>_xlfn.XLOOKUP(FMS_Ranking4[[#This Row],[FMS ID]],FMS_Input[FMS_ID],FMS_Input[NATURE])</f>
        <v>0</v>
      </c>
      <c r="BA804" s="290">
        <f>(((FMS_Ranking4[[#This Row],[% NBS Raw]]/AZ$4)*100)*AZ$5)</f>
        <v>0</v>
      </c>
      <c r="BB804" s="251" t="str">
        <f>_xlfn.XLOOKUP(FMS_Ranking4[[#This Row],[FMS ID]],FMS_Input[FMS_ID],FMS_Input[WATER_SUP])</f>
        <v>No</v>
      </c>
      <c r="BC804" s="265">
        <f>IF(FMS_Ranking4[[#This Row],[Water Supply Raw]]="Yes",10,0)</f>
        <v>0</v>
      </c>
      <c r="BD804" s="251">
        <f>_xlfn.XLOOKUP(FMS_Ranking4[[#This Row],[FMS Type]],FMS_TYPE[FMS_Type],FMS_TYPE[Score])</f>
        <v>10</v>
      </c>
      <c r="BE804" s="352">
        <f>FMS_Ranking4[[#This Row],[FMS_Type Score]]*$BD$5*10</f>
        <v>2.5</v>
      </c>
      <c r="BF804"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04" s="321">
        <f>_xlfn.RANK.EQ(BF804,$BF$8:$BF$870,0)+COUNTIF($BF$8:BF804,BF804)-1</f>
        <v>821</v>
      </c>
      <c r="BH804" s="294">
        <f>(((FMS_Ranking4[[#This Row],[Structures Removed Raw]]/AK$4)*100)*AK$5)+(((FMS_Ranking4[[#This Row],[Removed Pop Raw]]/AR$4)*100)*AR$5)</f>
        <v>0</v>
      </c>
      <c r="BI804"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v>
      </c>
      <c r="BJ804" s="296">
        <f>_xlfn.RANK.EQ(FMS_Ranking4[[#This Row],[Total Score 
(with linear
normalization)]],FMS_Ranking4[Total Score 
(with linear
normalization)],0)</f>
        <v>255</v>
      </c>
      <c r="BK804" s="292" t="e">
        <f>_xlfn.XLOOKUP(FMS_Ranking4[[#This Row],[FMS ID]],#REF!,#REF!)</f>
        <v>#REF!</v>
      </c>
      <c r="BL804"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04" s="298">
        <f>FMS_Ranking4[[#This Row],[ArcSinh Score Based on Normalized Reported Factors]]+FMS_Ranking4[[#This Row],[% NBS Score (Normalized)]]+(FMS_Ranking4[[#This Row],[Water Supply Score (Normalized)]]*10*$BB$5)+FMS_Ranking4[[#This Row],[FMS_Type Score Weighted]]</f>
        <v>2.5</v>
      </c>
      <c r="BN804" s="323">
        <f>_xlfn.RANK.EQ(FMS_Ranking4[[#This Row],[Total Score (with ArcSinh normalization of select criteria)]],FMS_Ranking4[Total Score (with ArcSinh normalization of select criteria)],0)</f>
        <v>792</v>
      </c>
      <c r="BO804" s="270" t="str">
        <f>_xlfn.XLOOKUP(FMS_Ranking4[[#This Row],[FMS ID]],FMS_Input[FMS_ID],FMS_Input[FMS_RANK_YEAR])</f>
        <v>2025 Amended Plan</v>
      </c>
      <c r="BP804" s="204" t="e">
        <f>_xlfn.XLOOKUP(FMS_Ranking4[[#This Row],[FMS ID]],Prev_Rank[FMS ID],Prev_Rank[Prev Rank])</f>
        <v>#N/A</v>
      </c>
      <c r="BQ804" s="265" t="e">
        <f>_xlfn.XLOOKUP(FMS_Ranking4[[#This Row],[FMS ID]],#REF!,#REF!)</f>
        <v>#REF!</v>
      </c>
      <c r="BR804" s="199" t="e">
        <f>SUM(#REF!,#REF!,#REF!,#REF!,#REF!,#REF!,#REF!,#REF!,#REF!,FMS_Ranking4[[#This Row],[ArcSinh Res struct removed 0-10]],#REF!)</f>
        <v>#REF!</v>
      </c>
      <c r="BS804" s="199" t="e">
        <f>FMS_Ranking4[[#This Row],[Log Score Based on Normalized Reported Factors]]+FMS_Ranking4[[#This Row],[% NBS Score (Normalized)]]+(FMS_Ranking4[[#This Row],[Water Supply Score (Normalized)]]*10*$BB$5)+(FMS_Ranking4[[#This Row],[FMS_Type Score Weighted]])</f>
        <v>#REF!</v>
      </c>
      <c r="BT804" s="200" t="e">
        <f>_xlfn.RANK.EQ(FMS_Ranking4[[#This Row],[Log Total Score]],FMS_Ranking4[Log Total Score],0)</f>
        <v>#REF!</v>
      </c>
      <c r="BU804" s="200" t="e">
        <f>_xlfn.XLOOKUP(FMS_Ranking4[[#This Row],[FMS ID]],#REF!,#REF!)</f>
        <v>#REF!</v>
      </c>
      <c r="BV804" s="200">
        <f>FMS_Ranking4[[#This Row],[Region Number]]</f>
        <v>8</v>
      </c>
      <c r="BW804" s="200">
        <f>FMS_Ranking4[[#This Row],[Rank (with ArcSinh normalization of select criteria)]]-FMS_Ranking4[[#This Row],[Rank
(with linear
normalization)]]</f>
        <v>537</v>
      </c>
      <c r="BX804" s="200" t="e">
        <f>FMS_Ranking4[[#This Row],[Log Rank]]-FMS_Ranking4[[#This Row],[Rank
(with linear
normalization)]]</f>
        <v>#REF!</v>
      </c>
      <c r="BY804" s="200">
        <f>IF(FMS_Ranking4[[#This Row],[FMS Type]]="Flood Measurement and Warning",FMS_Ranking4[[#This Row],[Rank (with ArcSinh normalization of select criteria)]],"")</f>
        <v>792</v>
      </c>
      <c r="BZ804" s="200" t="str">
        <f>IF(FMS_Ranking4[[#This Row],[FMS Type]]="Regulatory and Guidance",FMS_Ranking4[[#This Row],[Rank (with ArcSinh normalization of select criteria)]],"")</f>
        <v/>
      </c>
      <c r="CA804" s="200" t="str">
        <f>IF(FMS_Ranking4[[#This Row],[FMS Type]]="Education and Outreach",FMS_Ranking4[[#This Row],[Rank (with ArcSinh normalization of select criteria)]],"")</f>
        <v/>
      </c>
      <c r="CB804" s="200" t="str">
        <f>IF(FMS_Ranking4[[#This Row],[FMS Type]]="Property Acquisition and Structural Elevation",FMS_Ranking4[[#This Row],[Rank (with ArcSinh normalization of select criteria)]],"")</f>
        <v/>
      </c>
      <c r="CC804" s="200" t="str">
        <f>IF(FMS_Ranking4[[#This Row],[FMS Type]]="Infrastructure Projects",FMS_Ranking4[[#This Row],[Rank (with ArcSinh normalization of select criteria)]],"")</f>
        <v/>
      </c>
      <c r="CD804" s="200" t="str">
        <f>IF(FMS_Ranking4[[#This Row],[FMS Type]]="Other",FMS_Ranking4[[#This Row],[Rank (with ArcSinh normalization of select criteria)]],"")</f>
        <v/>
      </c>
    </row>
    <row r="805" spans="2:82" ht="120" x14ac:dyDescent="0.25">
      <c r="B805" s="342" t="s">
        <v>12467</v>
      </c>
      <c r="C805" s="287">
        <f>_xlfn.XLOOKUP(FMS_Ranking4[[#This Row],[FMS ID]],FMS_Input[FMS_ID],FMS_Input[RFPG_NUM])</f>
        <v>8</v>
      </c>
      <c r="D805" s="309" t="str">
        <f>_xlfn.XLOOKUP(FMS_Ranking4[[#This Row],[FMS ID]],FMS_Input[FMS_ID],FMS_Input[FMS_NAME])</f>
        <v>EWS Implementation Study and Installation Gages and Repeater</v>
      </c>
      <c r="E805" s="322" t="str">
        <f>_xlfn.XLOOKUP(FMS_Ranking4[[#This Row],[FMS ID]],FMS_Input[FMS_ID],FMS_Input[SPONSOR])</f>
        <v>00000044</v>
      </c>
      <c r="F805" s="309" t="str">
        <f>_xlfn.XLOOKUP(FMS_Ranking4[[#This Row],[FMS ID]],Sponsor[FMS_ID],Sponsor[SPONSOR NAME])</f>
        <v>Grimes</v>
      </c>
      <c r="G805" s="309" t="str">
        <f>_xlfn.XLOOKUP(FMS_Ranking4[[#This Row],[FMS ID]],FMS_Input[FMS_ID],FMS_Input[FMS_DESCR])</f>
        <v>Study to determine optimal placement of gages and repeater within the County. Includes coordination with Harris County Flood Control District to integrate proposed gages into their early flood warning system.</v>
      </c>
      <c r="H805" s="247" t="str">
        <f>_xlfn.XLOOKUP(FMS_Ranking4[[#This Row],[FMS ID]],FMS_Input[FMS_ID],FMS_Input[FMS_TYPE])</f>
        <v>Flood Measurement and Warning</v>
      </c>
      <c r="I805" s="288">
        <f>_xlfn.XLOOKUP(FMS_Ranking4[[#This Row],[FMS ID]],FMS_Input[FMS_ID],FMS_Input[NRNC_COST])</f>
        <v>200000</v>
      </c>
      <c r="J805" s="250">
        <f>_xlfn.XLOOKUP(FMS_Ranking4[[#This Row],[FMS ID]],FMS_Input[FMS_ID],FMS_Input[FMS_COST])</f>
        <v>200000</v>
      </c>
      <c r="K805" s="289" t="str">
        <f>_xlfn.XLOOKUP(FMS_Ranking4[[#This Row],[FMS ID]],FMS_Input[FMS_ID],FMS_Input[EMER_NEED])</f>
        <v>No</v>
      </c>
      <c r="L805" s="252">
        <f t="shared" si="12"/>
        <v>0</v>
      </c>
      <c r="M805" s="253">
        <f>_xlfn.XLOOKUP(FMS_Ranking4[[#This Row],[FMS ID]],FMS_Input[FMS_ID],FMS_Input[STRUCT_100])</f>
        <v>0</v>
      </c>
      <c r="N805" s="255">
        <f>(ASINH(FMS_Ranking4[[#This Row],[Structure at Risk Raw]]))*(10)/(ASINH(M$4))</f>
        <v>0</v>
      </c>
      <c r="O805" s="255">
        <f>FMS_Ranking4[[#This Row],[Structures at risk, ArcSinh (0-10)]]*M$5*10</f>
        <v>0</v>
      </c>
      <c r="P805" s="259">
        <f>_xlfn.XLOOKUP(FMS_Ranking4[[#This Row],[FMS ID]],FMS_Input[FMS_ID],FMS_Input[RES_STRUCT100])</f>
        <v>0</v>
      </c>
      <c r="Q805" s="257">
        <f>ASINH(FMS_Ranking4[[#This Row],[Res Structure Raw]])/Q$4*P$5*100</f>
        <v>0</v>
      </c>
      <c r="R805" s="259">
        <f>_xlfn.XLOOKUP(FMS_Ranking4[[#This Row],[FMS ID]],FMS_Input[FMS_ID],FMS_Input[POP100])</f>
        <v>0</v>
      </c>
      <c r="S805" s="259">
        <f>(ASINH(FMS_Ranking4[[#This Row],[Pop at Risk Raw]]))*(10)/(ASINH(R$4))</f>
        <v>0</v>
      </c>
      <c r="T805" s="257">
        <f>FMS_Ranking4[[#This Row],[Population at risk, ArcSinh (0-10)]]*R$5*10</f>
        <v>0</v>
      </c>
      <c r="U805" s="259">
        <f>_xlfn.XLOOKUP(FMS_Ranking4[[#This Row],[FMS ID]],FMS_Input[FMS_ID],FMS_Input[CRITFAC100])</f>
        <v>0</v>
      </c>
      <c r="V805" s="259">
        <f>(ASINH(FMS_Ranking4[[#This Row],[Critical Facilities Raw]]))*(10)/(ASINH(U$4))</f>
        <v>0</v>
      </c>
      <c r="W805" s="257">
        <f>FMS_Ranking4[[#This Row],[Critical facilities at risk, ArcSinh (0-10)]]*U$5*10</f>
        <v>0</v>
      </c>
      <c r="X805" s="259">
        <f>_xlfn.XLOOKUP(FMS_Ranking4[[#This Row],[FMS ID]],FMS_Input[FMS_ID],FMS_Input[LWC])</f>
        <v>0</v>
      </c>
      <c r="Y805" s="259">
        <f>(ASINH(FMS_Ranking4[[#This Row],[LWC Raw]]))*(10)/(ASINH(X$4))</f>
        <v>0</v>
      </c>
      <c r="Z805" s="257">
        <f>FMS_Ranking4[[#This Row],[LWC, ArcSInh (0-10)]]*X$5*10</f>
        <v>0</v>
      </c>
      <c r="AA805" s="259">
        <f>_xlfn.XLOOKUP(FMS_Ranking4[[#This Row],[FMS ID]],FMS_Input[FMS_ID],FMS_Input[ROADCLS])</f>
        <v>0</v>
      </c>
      <c r="AB805" s="255">
        <f>(ASINH(FMS_Ranking4[[#This Row],[Road Closures Raw]]))*(10)/(ASINH(AA$4))</f>
        <v>0</v>
      </c>
      <c r="AC805" s="255">
        <f>FMS_Ranking4[[#This Row],[Road closures, ArcSinh (0-10)]]*AA$5*10</f>
        <v>0</v>
      </c>
      <c r="AD805" s="259">
        <f>_xlfn.XLOOKUP(FMS_Ranking4[[#This Row],[FMS ID]],FMS_Input[FMS_ID],FMS_Input[ROAD_MILES100])</f>
        <v>0</v>
      </c>
      <c r="AE805" s="259">
        <f>(ASINH(FMS_Ranking4[[#This Row],[Road Miles Raw]]))*(10)/(ASINH(AD$4))</f>
        <v>0</v>
      </c>
      <c r="AF805" s="257">
        <f>FMS_Ranking4[[#This Row],[Length of roads at risk, ArcSinh (0-10)]]*AD$5*10</f>
        <v>0</v>
      </c>
      <c r="AG805" s="259">
        <f>_xlfn.XLOOKUP(FMS_Ranking4[[#This Row],[FMS ID]],FMS_Input[FMS_ID],FMS_Input[FARMACRE100])</f>
        <v>0</v>
      </c>
      <c r="AH805" s="255">
        <f>(ASINH(FMS_Ranking4[[#This Row],[Ag Land Raw]]))*(10)/(ASINH(AG$4))</f>
        <v>0</v>
      </c>
      <c r="AI805" s="254">
        <f>FMS_Ranking4[[#This Row],[Farm &amp; ranch land, ArcSinh (0-10)]]*AG$5*10</f>
        <v>0</v>
      </c>
      <c r="AJ805" s="258">
        <f>_xlfn.XLOOKUP(FMS_Ranking4[[#This Row],[FMS ID]],FMS_Input[FMS_ID],FMS_Input[REDSTRUCT100])</f>
        <v>0</v>
      </c>
      <c r="AK805" s="253">
        <f>_xlfn.XLOOKUP(FMS_Ranking4[[#This Row],[FMS ID]],FMS_Input[FMS_ID],FMS_Input[REMSTRC100])</f>
        <v>0</v>
      </c>
      <c r="AL805" s="259">
        <f>(ASINH(FMS_Ranking4[[#This Row],[Structures Removed Raw]]))*(10)/(ASINH(AK$4))</f>
        <v>0</v>
      </c>
      <c r="AM805" s="254">
        <f>FMS_Ranking4[[#This Row],[Structures removed, ArcSinh (0-10)]]*AK$5*10</f>
        <v>0</v>
      </c>
      <c r="AN805" s="253">
        <f>_xlfn.XLOOKUP(FMS_Ranking4[[#This Row],[FMS ID]],FMS_Input[FMS_ID],FMS_Input[REMRESSTRC100])</f>
        <v>0</v>
      </c>
      <c r="AO805" s="258">
        <f>FMS_Ranking4[[#This Row],[ArcSinh Res struct removed 0-10]]*AN$5*10</f>
        <v>0</v>
      </c>
      <c r="AP805" s="254">
        <f>ASINH(FMS_Ranking4[[#This Row],[Residential Structures Removed Raw]])/AP$4*AN$5*100</f>
        <v>0</v>
      </c>
      <c r="AQ805" s="260">
        <f>(ASINH(FMS_Ranking4[[#This Row],[Residential Structures Removed Raw]]))*(10)/(ASINH(AN$4))</f>
        <v>0</v>
      </c>
      <c r="AR805" s="253">
        <f>_xlfn.XLOOKUP(FMS_Ranking4[[#This Row],[FMS ID]],FMS_Input[FMS_ID],FMS_Input[REMPOP100])</f>
        <v>0</v>
      </c>
      <c r="AS805" s="259">
        <f>(ASINH(FMS_Ranking4[[#This Row],[Removed Pop Raw]]))*(10)/(ASINH(AR$4))</f>
        <v>0</v>
      </c>
      <c r="AT805" s="263">
        <f>FMS_Ranking4[[#This Row],[Removed population, ArcSinh (0-10)]]*AR$5*10</f>
        <v>0</v>
      </c>
      <c r="AU805" s="264">
        <f>_xlfn.XLOOKUP(FMS_Ranking4[[#This Row],[FMS ID]],FMS_Input[FMS_ID],FMS_Input[REMCRITFAC100])</f>
        <v>0</v>
      </c>
      <c r="AV805" s="264">
        <f>_xlfn.XLOOKUP(FMS_Ranking4[[#This Row],[FMS ID]],FMS_Input[FMS_ID],FMS_Input[REMLWC100])</f>
        <v>0</v>
      </c>
      <c r="AW805" s="264">
        <f>_xlfn.XLOOKUP(FMS_Ranking4[[#This Row],[FMS ID]],FMS_Input[FMS_ID],FMS_Input[REMROADCLS])</f>
        <v>0</v>
      </c>
      <c r="AX805" s="264">
        <f>_xlfn.XLOOKUP(FMS_Ranking4[[#This Row],[FMS ID]],FMS_Input[FMS_ID],FMS_Input[REMFRMACRE100])</f>
        <v>0</v>
      </c>
      <c r="AY805" s="258">
        <f>_xlfn.XLOOKUP(FMS_Ranking4[[#This Row],[FMS ID]],FMS_Input[FMS_ID],FMS_Input[COSTSTRUCT])</f>
        <v>0</v>
      </c>
      <c r="AZ805" s="258">
        <f>_xlfn.XLOOKUP(FMS_Ranking4[[#This Row],[FMS ID]],FMS_Input[FMS_ID],FMS_Input[NATURE])</f>
        <v>0</v>
      </c>
      <c r="BA805" s="290">
        <f>(((FMS_Ranking4[[#This Row],[% NBS Raw]]/AZ$4)*100)*AZ$5)</f>
        <v>0</v>
      </c>
      <c r="BB805" s="251" t="str">
        <f>_xlfn.XLOOKUP(FMS_Ranking4[[#This Row],[FMS ID]],FMS_Input[FMS_ID],FMS_Input[WATER_SUP])</f>
        <v>No</v>
      </c>
      <c r="BC805" s="265">
        <f>IF(FMS_Ranking4[[#This Row],[Water Supply Raw]]="Yes",10,0)</f>
        <v>0</v>
      </c>
      <c r="BD805" s="251">
        <f>_xlfn.XLOOKUP(FMS_Ranking4[[#This Row],[FMS Type]],FMS_TYPE[FMS_Type],FMS_TYPE[Score])</f>
        <v>10</v>
      </c>
      <c r="BE805" s="352">
        <f>FMS_Ranking4[[#This Row],[FMS_Type Score]]*$BD$5*10</f>
        <v>2.5</v>
      </c>
      <c r="BF805"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05" s="269">
        <f>_xlfn.RANK.EQ(BF805,$BF$8:$BF$870,0)+COUNTIF($BF$8:BF805,BF805)-1</f>
        <v>822</v>
      </c>
      <c r="BH805" s="268">
        <f>(((FMS_Ranking4[[#This Row],[Structures Removed Raw]]/AK$4)*100)*AK$5)+(((FMS_Ranking4[[#This Row],[Removed Pop Raw]]/AR$4)*100)*AR$5)</f>
        <v>0</v>
      </c>
      <c r="BI80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v>
      </c>
      <c r="BJ805" s="326">
        <f>_xlfn.RANK.EQ(FMS_Ranking4[[#This Row],[Total Score 
(with linear
normalization)]],FMS_Ranking4[Total Score 
(with linear
normalization)],0)</f>
        <v>255</v>
      </c>
      <c r="BK805" s="269" t="e">
        <f>_xlfn.XLOOKUP(FMS_Ranking4[[#This Row],[FMS ID]],#REF!,#REF!)</f>
        <v>#REF!</v>
      </c>
      <c r="BL805"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05" s="331">
        <f>FMS_Ranking4[[#This Row],[ArcSinh Score Based on Normalized Reported Factors]]+FMS_Ranking4[[#This Row],[% NBS Score (Normalized)]]+(FMS_Ranking4[[#This Row],[Water Supply Score (Normalized)]]*10*$BB$5)+FMS_Ranking4[[#This Row],[FMS_Type Score Weighted]]</f>
        <v>2.5</v>
      </c>
      <c r="BN805" s="333">
        <f>_xlfn.RANK.EQ(FMS_Ranking4[[#This Row],[Total Score (with ArcSinh normalization of select criteria)]],FMS_Ranking4[Total Score (with ArcSinh normalization of select criteria)],0)</f>
        <v>792</v>
      </c>
      <c r="BO805" s="270" t="str">
        <f>_xlfn.XLOOKUP(FMS_Ranking4[[#This Row],[FMS ID]],FMS_Input[FMS_ID],FMS_Input[FMS_RANK_YEAR])</f>
        <v>2025 Amended Plan</v>
      </c>
      <c r="BP805" s="204" t="e">
        <f>_xlfn.XLOOKUP(FMS_Ranking4[[#This Row],[FMS ID]],Prev_Rank[FMS ID],Prev_Rank[Prev Rank])</f>
        <v>#N/A</v>
      </c>
      <c r="BQ805" s="335" t="e">
        <f>_xlfn.XLOOKUP(FMS_Ranking4[[#This Row],[FMS ID]],#REF!,#REF!)</f>
        <v>#REF!</v>
      </c>
      <c r="BR805" s="199" t="e">
        <f>SUM(#REF!,#REF!,#REF!,#REF!,#REF!,#REF!,#REF!,#REF!,#REF!,FMS_Ranking4[[#This Row],[ArcSinh Res struct removed 0-10]],#REF!)</f>
        <v>#REF!</v>
      </c>
      <c r="BS805" s="199" t="e">
        <f>FMS_Ranking4[[#This Row],[Log Score Based on Normalized Reported Factors]]+FMS_Ranking4[[#This Row],[% NBS Score (Normalized)]]+(FMS_Ranking4[[#This Row],[Water Supply Score (Normalized)]]*10*$BB$5)+(FMS_Ranking4[[#This Row],[FMS_Type Score Weighted]])</f>
        <v>#REF!</v>
      </c>
      <c r="BT805" s="200" t="e">
        <f>_xlfn.RANK.EQ(FMS_Ranking4[[#This Row],[Log Total Score]],FMS_Ranking4[Log Total Score],0)</f>
        <v>#REF!</v>
      </c>
      <c r="BU805" s="200" t="e">
        <f>_xlfn.XLOOKUP(FMS_Ranking4[[#This Row],[FMS ID]],#REF!,#REF!)</f>
        <v>#REF!</v>
      </c>
      <c r="BV805" s="200">
        <f>FMS_Ranking4[[#This Row],[Region Number]]</f>
        <v>8</v>
      </c>
      <c r="BW805" s="200">
        <f>FMS_Ranking4[[#This Row],[Rank (with ArcSinh normalization of select criteria)]]-FMS_Ranking4[[#This Row],[Rank
(with linear
normalization)]]</f>
        <v>537</v>
      </c>
      <c r="BX805" s="200" t="e">
        <f>FMS_Ranking4[[#This Row],[Log Rank]]-FMS_Ranking4[[#This Row],[Rank
(with linear
normalization)]]</f>
        <v>#REF!</v>
      </c>
      <c r="BY805" s="200">
        <f>IF(FMS_Ranking4[[#This Row],[FMS Type]]="Flood Measurement and Warning",FMS_Ranking4[[#This Row],[Rank (with ArcSinh normalization of select criteria)]],"")</f>
        <v>792</v>
      </c>
      <c r="BZ805" s="200" t="str">
        <f>IF(FMS_Ranking4[[#This Row],[FMS Type]]="Regulatory and Guidance",FMS_Ranking4[[#This Row],[Rank (with ArcSinh normalization of select criteria)]],"")</f>
        <v/>
      </c>
      <c r="CA805" s="200" t="str">
        <f>IF(FMS_Ranking4[[#This Row],[FMS Type]]="Education and Outreach",FMS_Ranking4[[#This Row],[Rank (with ArcSinh normalization of select criteria)]],"")</f>
        <v/>
      </c>
      <c r="CB805" s="200" t="str">
        <f>IF(FMS_Ranking4[[#This Row],[FMS Type]]="Property Acquisition and Structural Elevation",FMS_Ranking4[[#This Row],[Rank (with ArcSinh normalization of select criteria)]],"")</f>
        <v/>
      </c>
      <c r="CC805" s="200" t="str">
        <f>IF(FMS_Ranking4[[#This Row],[FMS Type]]="Infrastructure Projects",FMS_Ranking4[[#This Row],[Rank (with ArcSinh normalization of select criteria)]],"")</f>
        <v/>
      </c>
      <c r="CD805" s="200" t="str">
        <f>IF(FMS_Ranking4[[#This Row],[FMS Type]]="Other",FMS_Ranking4[[#This Row],[Rank (with ArcSinh normalization of select criteria)]],"")</f>
        <v/>
      </c>
    </row>
    <row r="806" spans="2:82" ht="60" x14ac:dyDescent="0.25">
      <c r="B806" s="342" t="s">
        <v>3372</v>
      </c>
      <c r="C806" s="287">
        <f>_xlfn.XLOOKUP(FMS_Ranking4[[#This Row],[FMS ID]],FMS_Input[FMS_ID],FMS_Input[RFPG_NUM])</f>
        <v>7</v>
      </c>
      <c r="D806" s="309" t="str">
        <f>_xlfn.XLOOKUP(FMS_Ranking4[[#This Row],[FMS ID]],FMS_Input[FMS_ID],FMS_Input[FMS_NAME])</f>
        <v>McMillan Dam Warning System</v>
      </c>
      <c r="E806" s="322" t="str">
        <f>_xlfn.XLOOKUP(FMS_Ranking4[[#This Row],[FMS ID]],FMS_Input[FMS_ID],FMS_Input[SPONSOR])</f>
        <v>07003505, 07003508</v>
      </c>
      <c r="F806" s="309" t="str">
        <f>_xlfn.XLOOKUP(FMS_Ranking4[[#This Row],[FMS ID]],Sponsor[FMS_ID],Sponsor[SPONSOR NAME])</f>
        <v>Buffalo Springs, Ransom Canyon</v>
      </c>
      <c r="G806" s="309" t="str">
        <f>_xlfn.XLOOKUP(FMS_Ranking4[[#This Row],[FMS ID]],FMS_Input[FMS_ID],FMS_Input[FMS_DESCR])</f>
        <v>Enhance and expand existing limited alert system equipment currently in place at McMillan Dam</v>
      </c>
      <c r="H806" s="247" t="str">
        <f>_xlfn.XLOOKUP(FMS_Ranking4[[#This Row],[FMS ID]],FMS_Input[FMS_ID],FMS_Input[FMS_TYPE])</f>
        <v>Flood Measurement and Warning</v>
      </c>
      <c r="I806" s="288">
        <f>_xlfn.XLOOKUP(FMS_Ranking4[[#This Row],[FMS ID]],FMS_Input[FMS_ID],FMS_Input[NRNC_COST])</f>
        <v>50000</v>
      </c>
      <c r="J806" s="250">
        <f>_xlfn.XLOOKUP(FMS_Ranking4[[#This Row],[FMS ID]],FMS_Input[FMS_ID],FMS_Input[FMS_COST])</f>
        <v>50000</v>
      </c>
      <c r="K806" s="289" t="str">
        <f>_xlfn.XLOOKUP(FMS_Ranking4[[#This Row],[FMS ID]],FMS_Input[FMS_ID],FMS_Input[EMER_NEED])</f>
        <v>No</v>
      </c>
      <c r="L806" s="252">
        <f t="shared" si="12"/>
        <v>0</v>
      </c>
      <c r="M806" s="253">
        <f>_xlfn.XLOOKUP(FMS_Ranking4[[#This Row],[FMS ID]],FMS_Input[FMS_ID],FMS_Input[STRUCT_100])</f>
        <v>0</v>
      </c>
      <c r="N806" s="255">
        <f>(ASINH(FMS_Ranking4[[#This Row],[Structure at Risk Raw]]))*(10)/(ASINH(M$4))</f>
        <v>0</v>
      </c>
      <c r="O806" s="255">
        <f>FMS_Ranking4[[#This Row],[Structures at risk, ArcSinh (0-10)]]*M$5*10</f>
        <v>0</v>
      </c>
      <c r="P806" s="259">
        <f>_xlfn.XLOOKUP(FMS_Ranking4[[#This Row],[FMS ID]],FMS_Input[FMS_ID],FMS_Input[RES_STRUCT100])</f>
        <v>0</v>
      </c>
      <c r="Q806" s="257">
        <f>ASINH(FMS_Ranking4[[#This Row],[Res Structure Raw]])/Q$4*P$5*100</f>
        <v>0</v>
      </c>
      <c r="R806" s="259">
        <f>_xlfn.XLOOKUP(FMS_Ranking4[[#This Row],[FMS ID]],FMS_Input[FMS_ID],FMS_Input[POP100])</f>
        <v>0</v>
      </c>
      <c r="S806" s="259">
        <f>(ASINH(FMS_Ranking4[[#This Row],[Pop at Risk Raw]]))*(10)/(ASINH(R$4))</f>
        <v>0</v>
      </c>
      <c r="T806" s="257">
        <f>FMS_Ranking4[[#This Row],[Population at risk, ArcSinh (0-10)]]*R$5*10</f>
        <v>0</v>
      </c>
      <c r="U806" s="259">
        <f>_xlfn.XLOOKUP(FMS_Ranking4[[#This Row],[FMS ID]],FMS_Input[FMS_ID],FMS_Input[CRITFAC100])</f>
        <v>0</v>
      </c>
      <c r="V806" s="259">
        <f>(ASINH(FMS_Ranking4[[#This Row],[Critical Facilities Raw]]))*(10)/(ASINH(U$4))</f>
        <v>0</v>
      </c>
      <c r="W806" s="257">
        <f>FMS_Ranking4[[#This Row],[Critical facilities at risk, ArcSinh (0-10)]]*U$5*10</f>
        <v>0</v>
      </c>
      <c r="X806" s="259">
        <f>_xlfn.XLOOKUP(FMS_Ranking4[[#This Row],[FMS ID]],FMS_Input[FMS_ID],FMS_Input[LWC])</f>
        <v>0</v>
      </c>
      <c r="Y806" s="259">
        <f>(ASINH(FMS_Ranking4[[#This Row],[LWC Raw]]))*(10)/(ASINH(X$4))</f>
        <v>0</v>
      </c>
      <c r="Z806" s="257">
        <f>FMS_Ranking4[[#This Row],[LWC, ArcSInh (0-10)]]*X$5*10</f>
        <v>0</v>
      </c>
      <c r="AA806" s="259">
        <f>_xlfn.XLOOKUP(FMS_Ranking4[[#This Row],[FMS ID]],FMS_Input[FMS_ID],FMS_Input[ROADCLS])</f>
        <v>0</v>
      </c>
      <c r="AB806" s="255">
        <f>(ASINH(FMS_Ranking4[[#This Row],[Road Closures Raw]]))*(10)/(ASINH(AA$4))</f>
        <v>0</v>
      </c>
      <c r="AC806" s="255">
        <f>FMS_Ranking4[[#This Row],[Road closures, ArcSinh (0-10)]]*AA$5*10</f>
        <v>0</v>
      </c>
      <c r="AD806" s="259">
        <f>_xlfn.XLOOKUP(FMS_Ranking4[[#This Row],[FMS ID]],FMS_Input[FMS_ID],FMS_Input[ROAD_MILES100])</f>
        <v>0</v>
      </c>
      <c r="AE806" s="259">
        <f>(ASINH(FMS_Ranking4[[#This Row],[Road Miles Raw]]))*(10)/(ASINH(AD$4))</f>
        <v>0</v>
      </c>
      <c r="AF806" s="257">
        <f>FMS_Ranking4[[#This Row],[Length of roads at risk, ArcSinh (0-10)]]*AD$5*10</f>
        <v>0</v>
      </c>
      <c r="AG806" s="259">
        <f>_xlfn.XLOOKUP(FMS_Ranking4[[#This Row],[FMS ID]],FMS_Input[FMS_ID],FMS_Input[FARMACRE100])</f>
        <v>0</v>
      </c>
      <c r="AH806" s="255">
        <f>(ASINH(FMS_Ranking4[[#This Row],[Ag Land Raw]]))*(10)/(ASINH(AG$4))</f>
        <v>0</v>
      </c>
      <c r="AI806" s="254">
        <f>FMS_Ranking4[[#This Row],[Farm &amp; ranch land, ArcSinh (0-10)]]*AG$5*10</f>
        <v>0</v>
      </c>
      <c r="AJ806" s="258">
        <f>_xlfn.XLOOKUP(FMS_Ranking4[[#This Row],[FMS ID]],FMS_Input[FMS_ID],FMS_Input[REDSTRUCT100])</f>
        <v>0</v>
      </c>
      <c r="AK806" s="253">
        <f>_xlfn.XLOOKUP(FMS_Ranking4[[#This Row],[FMS ID]],FMS_Input[FMS_ID],FMS_Input[REMSTRC100])</f>
        <v>0</v>
      </c>
      <c r="AL806" s="259">
        <f>(ASINH(FMS_Ranking4[[#This Row],[Structures Removed Raw]]))*(10)/(ASINH(AK$4))</f>
        <v>0</v>
      </c>
      <c r="AM806" s="254">
        <f>FMS_Ranking4[[#This Row],[Structures removed, ArcSinh (0-10)]]*AK$5*10</f>
        <v>0</v>
      </c>
      <c r="AN806" s="253">
        <f>_xlfn.XLOOKUP(FMS_Ranking4[[#This Row],[FMS ID]],FMS_Input[FMS_ID],FMS_Input[REMRESSTRC100])</f>
        <v>0</v>
      </c>
      <c r="AO806" s="258">
        <f>FMS_Ranking4[[#This Row],[ArcSinh Res struct removed 0-10]]*AN$5*10</f>
        <v>0</v>
      </c>
      <c r="AP806" s="254">
        <f>ASINH(FMS_Ranking4[[#This Row],[Residential Structures Removed Raw]])/AP$4*AN$5*100</f>
        <v>0</v>
      </c>
      <c r="AQ806" s="260">
        <f>(ASINH(FMS_Ranking4[[#This Row],[Residential Structures Removed Raw]]))*(10)/(ASINH(AN$4))</f>
        <v>0</v>
      </c>
      <c r="AR806" s="253">
        <f>_xlfn.XLOOKUP(FMS_Ranking4[[#This Row],[FMS ID]],FMS_Input[FMS_ID],FMS_Input[REMPOP100])</f>
        <v>0</v>
      </c>
      <c r="AS806" s="259">
        <f>(ASINH(FMS_Ranking4[[#This Row],[Removed Pop Raw]]))*(10)/(ASINH(AR$4))</f>
        <v>0</v>
      </c>
      <c r="AT806" s="263">
        <f>FMS_Ranking4[[#This Row],[Removed population, ArcSinh (0-10)]]*AR$5*10</f>
        <v>0</v>
      </c>
      <c r="AU806" s="264">
        <f>_xlfn.XLOOKUP(FMS_Ranking4[[#This Row],[FMS ID]],FMS_Input[FMS_ID],FMS_Input[REMCRITFAC100])</f>
        <v>0</v>
      </c>
      <c r="AV806" s="264">
        <f>_xlfn.XLOOKUP(FMS_Ranking4[[#This Row],[FMS ID]],FMS_Input[FMS_ID],FMS_Input[REMLWC100])</f>
        <v>0</v>
      </c>
      <c r="AW806" s="264">
        <f>_xlfn.XLOOKUP(FMS_Ranking4[[#This Row],[FMS ID]],FMS_Input[FMS_ID],FMS_Input[REMROADCLS])</f>
        <v>0</v>
      </c>
      <c r="AX806" s="264">
        <f>_xlfn.XLOOKUP(FMS_Ranking4[[#This Row],[FMS ID]],FMS_Input[FMS_ID],FMS_Input[REMFRMACRE100])</f>
        <v>0</v>
      </c>
      <c r="AY806" s="258">
        <f>_xlfn.XLOOKUP(FMS_Ranking4[[#This Row],[FMS ID]],FMS_Input[FMS_ID],FMS_Input[COSTSTRUCT])</f>
        <v>0</v>
      </c>
      <c r="AZ806" s="258">
        <f>_xlfn.XLOOKUP(FMS_Ranking4[[#This Row],[FMS ID]],FMS_Input[FMS_ID],FMS_Input[NATURE])</f>
        <v>0</v>
      </c>
      <c r="BA806" s="290">
        <f>(((FMS_Ranking4[[#This Row],[% NBS Raw]]/AZ$4)*100)*AZ$5)</f>
        <v>0</v>
      </c>
      <c r="BB806" s="251" t="str">
        <f>_xlfn.XLOOKUP(FMS_Ranking4[[#This Row],[FMS ID]],FMS_Input[FMS_ID],FMS_Input[WATER_SUP])</f>
        <v>No</v>
      </c>
      <c r="BC806" s="265">
        <f>IF(FMS_Ranking4[[#This Row],[Water Supply Raw]]="Yes",10,0)</f>
        <v>0</v>
      </c>
      <c r="BD806" s="251">
        <f>_xlfn.XLOOKUP(FMS_Ranking4[[#This Row],[FMS Type]],FMS_TYPE[FMS_Type],FMS_TYPE[Score])</f>
        <v>10</v>
      </c>
      <c r="BE806" s="267">
        <f>FMS_Ranking4[[#This Row],[FMS_Type Score]]*$BD$5*10</f>
        <v>2.5</v>
      </c>
      <c r="BF806"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06" s="271">
        <f>_xlfn.RANK.EQ(BF806,$BF$8:$BF$870,0)+COUNTIF($BF$8:BF806,BF806)-1</f>
        <v>823</v>
      </c>
      <c r="BH806" s="268">
        <f>(((FMS_Ranking4[[#This Row],[Structures Removed Raw]]/AK$4)*100)*AK$5)+(((FMS_Ranking4[[#This Row],[Removed Pop Raw]]/AR$4)*100)*AR$5)</f>
        <v>0</v>
      </c>
      <c r="BI80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2.5</v>
      </c>
      <c r="BJ806" s="325">
        <f>_xlfn.RANK.EQ(FMS_Ranking4[[#This Row],[Total Score 
(with linear
normalization)]],FMS_Ranking4[Total Score 
(with linear
normalization)],0)</f>
        <v>255</v>
      </c>
      <c r="BK806" s="327" t="e">
        <f>_xlfn.XLOOKUP(FMS_Ranking4[[#This Row],[FMS ID]],#REF!,#REF!)</f>
        <v>#REF!</v>
      </c>
      <c r="BL806"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06" s="330">
        <f>FMS_Ranking4[[#This Row],[ArcSinh Score Based on Normalized Reported Factors]]+FMS_Ranking4[[#This Row],[% NBS Score (Normalized)]]+(FMS_Ranking4[[#This Row],[Water Supply Score (Normalized)]]*10*$BB$5)+FMS_Ranking4[[#This Row],[FMS_Type Score Weighted]]</f>
        <v>2.5</v>
      </c>
      <c r="BN806" s="332">
        <f>_xlfn.RANK.EQ(FMS_Ranking4[[#This Row],[Total Score (with ArcSinh normalization of select criteria)]],FMS_Ranking4[Total Score (with ArcSinh normalization of select criteria)],0)</f>
        <v>792</v>
      </c>
      <c r="BO806" s="270" t="str">
        <f>_xlfn.XLOOKUP(FMS_Ranking4[[#This Row],[FMS ID]],FMS_Input[FMS_ID],FMS_Input[FMS_RANK_YEAR])</f>
        <v>2023 Amended Plan</v>
      </c>
      <c r="BP806" s="204">
        <f>_xlfn.XLOOKUP(FMS_Ranking4[[#This Row],[FMS ID]],Prev_Rank[FMS ID],Prev_Rank[Prev Rank])</f>
        <v>723</v>
      </c>
      <c r="BQ806" s="334" t="e">
        <f>_xlfn.XLOOKUP(FMS_Ranking4[[#This Row],[FMS ID]],#REF!,#REF!)</f>
        <v>#REF!</v>
      </c>
      <c r="BR806" s="199" t="e">
        <f>SUM(#REF!,#REF!,#REF!,#REF!,#REF!,#REF!,#REF!,#REF!,#REF!,FMS_Ranking4[[#This Row],[ArcSinh Res struct removed 0-10]],#REF!)</f>
        <v>#REF!</v>
      </c>
      <c r="BS806" s="199" t="e">
        <f>FMS_Ranking4[[#This Row],[Log Score Based on Normalized Reported Factors]]+FMS_Ranking4[[#This Row],[% NBS Score (Normalized)]]+(FMS_Ranking4[[#This Row],[Water Supply Score (Normalized)]]*10*$BB$5)+(FMS_Ranking4[[#This Row],[FMS_Type Score Weighted]])</f>
        <v>#REF!</v>
      </c>
      <c r="BT806" s="200" t="e">
        <f>_xlfn.RANK.EQ(FMS_Ranking4[[#This Row],[Log Total Score]],FMS_Ranking4[Log Total Score],0)</f>
        <v>#REF!</v>
      </c>
      <c r="BU806" s="200" t="e">
        <f>_xlfn.XLOOKUP(FMS_Ranking4[[#This Row],[FMS ID]],#REF!,#REF!)</f>
        <v>#REF!</v>
      </c>
      <c r="BV806" s="200">
        <f>FMS_Ranking4[[#This Row],[Region Number]]</f>
        <v>7</v>
      </c>
      <c r="BW806" s="200">
        <f>FMS_Ranking4[[#This Row],[Rank (with ArcSinh normalization of select criteria)]]-FMS_Ranking4[[#This Row],[Rank
(with linear
normalization)]]</f>
        <v>537</v>
      </c>
      <c r="BX806" s="200" t="e">
        <f>FMS_Ranking4[[#This Row],[Log Rank]]-FMS_Ranking4[[#This Row],[Rank
(with linear
normalization)]]</f>
        <v>#REF!</v>
      </c>
      <c r="BY806" s="200">
        <f>IF(FMS_Ranking4[[#This Row],[FMS Type]]="Flood Measurement and Warning",FMS_Ranking4[[#This Row],[Rank (with ArcSinh normalization of select criteria)]],"")</f>
        <v>792</v>
      </c>
      <c r="BZ806" s="200" t="str">
        <f>IF(FMS_Ranking4[[#This Row],[FMS Type]]="Regulatory and Guidance",FMS_Ranking4[[#This Row],[Rank (with ArcSinh normalization of select criteria)]],"")</f>
        <v/>
      </c>
      <c r="CA806" s="200" t="str">
        <f>IF(FMS_Ranking4[[#This Row],[FMS Type]]="Education and Outreach",FMS_Ranking4[[#This Row],[Rank (with ArcSinh normalization of select criteria)]],"")</f>
        <v/>
      </c>
      <c r="CB806" s="200" t="str">
        <f>IF(FMS_Ranking4[[#This Row],[FMS Type]]="Property Acquisition and Structural Elevation",FMS_Ranking4[[#This Row],[Rank (with ArcSinh normalization of select criteria)]],"")</f>
        <v/>
      </c>
      <c r="CC806" s="200" t="str">
        <f>IF(FMS_Ranking4[[#This Row],[FMS Type]]="Infrastructure Projects",FMS_Ranking4[[#This Row],[Rank (with ArcSinh normalization of select criteria)]],"")</f>
        <v/>
      </c>
      <c r="CD806" s="200" t="str">
        <f>IF(FMS_Ranking4[[#This Row],[FMS Type]]="Other",FMS_Ranking4[[#This Row],[Rank (with ArcSinh normalization of select criteria)]],"")</f>
        <v/>
      </c>
    </row>
    <row r="807" spans="2:82" ht="75" x14ac:dyDescent="0.25">
      <c r="B807" s="342" t="s">
        <v>4047</v>
      </c>
      <c r="C807" s="287">
        <f>_xlfn.XLOOKUP(FMS_Ranking4[[#This Row],[FMS ID]],FMS_Input[FMS_ID],FMS_Input[RFPG_NUM])</f>
        <v>15</v>
      </c>
      <c r="D807" s="309" t="str">
        <f>_xlfn.XLOOKUP(FMS_Ranking4[[#This Row],[FMS ID]],FMS_Input[FMS_ID],FMS_Input[FMS_NAME])</f>
        <v>Starr County Hazard Mittigation Plan Action #2</v>
      </c>
      <c r="E807" s="322" t="str">
        <f>_xlfn.XLOOKUP(FMS_Ranking4[[#This Row],[FMS ID]],FMS_Input[FMS_ID],FMS_Input[SPONSOR])</f>
        <v>15000003</v>
      </c>
      <c r="F807" s="309" t="str">
        <f>_xlfn.XLOOKUP(FMS_Ranking4[[#This Row],[FMS ID]],Sponsor[FMS_ID],Sponsor[SPONSOR NAME])</f>
        <v>Starr</v>
      </c>
      <c r="G807" s="309" t="str">
        <f>_xlfn.XLOOKUP(FMS_Ranking4[[#This Row],[FMS ID]],FMS_Input[FMS_ID],FMS_Input[FMS_DESCR])</f>
        <v>Develop needs assessment to identify and fund improvements to flood proof critical facilities such as lift stations and treatment plants.</v>
      </c>
      <c r="H807" s="247" t="str">
        <f>_xlfn.XLOOKUP(FMS_Ranking4[[#This Row],[FMS ID]],FMS_Input[FMS_ID],FMS_Input[FMS_TYPE])</f>
        <v>Infrastructure Projects</v>
      </c>
      <c r="I807" s="288">
        <f>_xlfn.XLOOKUP(FMS_Ranking4[[#This Row],[FMS ID]],FMS_Input[FMS_ID],FMS_Input[NRNC_COST])</f>
        <v>500000</v>
      </c>
      <c r="J807" s="250">
        <f>_xlfn.XLOOKUP(FMS_Ranking4[[#This Row],[FMS ID]],FMS_Input[FMS_ID],FMS_Input[FMS_COST])</f>
        <v>20000000</v>
      </c>
      <c r="K807" s="289" t="str">
        <f>_xlfn.XLOOKUP(FMS_Ranking4[[#This Row],[FMS ID]],FMS_Input[FMS_ID],FMS_Input[EMER_NEED])</f>
        <v>Yes</v>
      </c>
      <c r="L807" s="252">
        <f t="shared" si="12"/>
        <v>1</v>
      </c>
      <c r="M807" s="253">
        <f>_xlfn.XLOOKUP(FMS_Ranking4[[#This Row],[FMS ID]],FMS_Input[FMS_ID],FMS_Input[STRUCT_100])</f>
        <v>1</v>
      </c>
      <c r="N807" s="255">
        <f>(ASINH(FMS_Ranking4[[#This Row],[Structure at Risk Raw]]))*(10)/(ASINH(M$4))</f>
        <v>0.69289087024057039</v>
      </c>
      <c r="O807" s="255">
        <f>FMS_Ranking4[[#This Row],[Structures at risk, ArcSinh (0-10)]]*M$5*10</f>
        <v>0.6928908702405705</v>
      </c>
      <c r="P807" s="259">
        <f>_xlfn.XLOOKUP(FMS_Ranking4[[#This Row],[FMS ID]],FMS_Input[FMS_ID],FMS_Input[RES_STRUCT100])</f>
        <v>0</v>
      </c>
      <c r="Q807" s="257">
        <f>ASINH(FMS_Ranking4[[#This Row],[Res Structure Raw]])/Q$4*P$5*100</f>
        <v>0</v>
      </c>
      <c r="R807" s="259">
        <f>_xlfn.XLOOKUP(FMS_Ranking4[[#This Row],[FMS ID]],FMS_Input[FMS_ID],FMS_Input[POP100])</f>
        <v>1</v>
      </c>
      <c r="S807" s="259">
        <f>(ASINH(FMS_Ranking4[[#This Row],[Pop at Risk Raw]]))*(10)/(ASINH(R$4))</f>
        <v>0.60846349886646833</v>
      </c>
      <c r="T807" s="257">
        <f>FMS_Ranking4[[#This Row],[Population at risk, ArcSinh (0-10)]]*R$5*10</f>
        <v>0.60846349886646833</v>
      </c>
      <c r="U807" s="259">
        <f>_xlfn.XLOOKUP(FMS_Ranking4[[#This Row],[FMS ID]],FMS_Input[FMS_ID],FMS_Input[CRITFAC100])</f>
        <v>0</v>
      </c>
      <c r="V807" s="259">
        <f>(ASINH(FMS_Ranking4[[#This Row],[Critical Facilities Raw]]))*(10)/(ASINH(U$4))</f>
        <v>0</v>
      </c>
      <c r="W807" s="257">
        <f>FMS_Ranking4[[#This Row],[Critical facilities at risk, ArcSinh (0-10)]]*U$5*10</f>
        <v>0</v>
      </c>
      <c r="X807" s="259">
        <f>_xlfn.XLOOKUP(FMS_Ranking4[[#This Row],[FMS ID]],FMS_Input[FMS_ID],FMS_Input[LWC])</f>
        <v>0</v>
      </c>
      <c r="Y807" s="259">
        <f>(ASINH(FMS_Ranking4[[#This Row],[LWC Raw]]))*(10)/(ASINH(X$4))</f>
        <v>0</v>
      </c>
      <c r="Z807" s="257">
        <f>FMS_Ranking4[[#This Row],[LWC, ArcSInh (0-10)]]*X$5*10</f>
        <v>0</v>
      </c>
      <c r="AA807" s="259">
        <f>_xlfn.XLOOKUP(FMS_Ranking4[[#This Row],[FMS ID]],FMS_Input[FMS_ID],FMS_Input[ROADCLS])</f>
        <v>0</v>
      </c>
      <c r="AB807" s="255">
        <f>(ASINH(FMS_Ranking4[[#This Row],[Road Closures Raw]]))*(10)/(ASINH(AA$4))</f>
        <v>0</v>
      </c>
      <c r="AC807" s="255">
        <f>FMS_Ranking4[[#This Row],[Road closures, ArcSinh (0-10)]]*AA$5*10</f>
        <v>0</v>
      </c>
      <c r="AD807" s="259">
        <f>_xlfn.XLOOKUP(FMS_Ranking4[[#This Row],[FMS ID]],FMS_Input[FMS_ID],FMS_Input[ROAD_MILES100])</f>
        <v>0</v>
      </c>
      <c r="AE807" s="259">
        <f>(ASINH(FMS_Ranking4[[#This Row],[Road Miles Raw]]))*(10)/(ASINH(AD$4))</f>
        <v>0</v>
      </c>
      <c r="AF807" s="257">
        <f>FMS_Ranking4[[#This Row],[Length of roads at risk, ArcSinh (0-10)]]*AD$5*10</f>
        <v>0</v>
      </c>
      <c r="AG807" s="259">
        <f>_xlfn.XLOOKUP(FMS_Ranking4[[#This Row],[FMS ID]],FMS_Input[FMS_ID],FMS_Input[FARMACRE100])</f>
        <v>0.63404428958892822</v>
      </c>
      <c r="AH807" s="255">
        <f>(ASINH(FMS_Ranking4[[#This Row],[Ag Land Raw]]))*(10)/(ASINH(AG$4))</f>
        <v>0.38831826205892622</v>
      </c>
      <c r="AI807" s="254">
        <f>FMS_Ranking4[[#This Row],[Farm &amp; ranch land, ArcSinh (0-10)]]*AG$5*10</f>
        <v>0.19415913102946311</v>
      </c>
      <c r="AJ807" s="258">
        <f>_xlfn.XLOOKUP(FMS_Ranking4[[#This Row],[FMS ID]],FMS_Input[FMS_ID],FMS_Input[REDSTRUCT100])</f>
        <v>0</v>
      </c>
      <c r="AK807" s="253">
        <f>_xlfn.XLOOKUP(FMS_Ranking4[[#This Row],[FMS ID]],FMS_Input[FMS_ID],FMS_Input[REMSTRC100])</f>
        <v>0</v>
      </c>
      <c r="AL807" s="259">
        <f>(ASINH(FMS_Ranking4[[#This Row],[Structures Removed Raw]]))*(10)/(ASINH(AK$4))</f>
        <v>0</v>
      </c>
      <c r="AM807" s="254">
        <f>FMS_Ranking4[[#This Row],[Structures removed, ArcSinh (0-10)]]*AK$5*10</f>
        <v>0</v>
      </c>
      <c r="AN807" s="253">
        <f>_xlfn.XLOOKUP(FMS_Ranking4[[#This Row],[FMS ID]],FMS_Input[FMS_ID],FMS_Input[REMRESSTRC100])</f>
        <v>0</v>
      </c>
      <c r="AO807" s="258">
        <f>FMS_Ranking4[[#This Row],[ArcSinh Res struct removed 0-10]]*AN$5*10</f>
        <v>0</v>
      </c>
      <c r="AP807" s="254">
        <f>ASINH(FMS_Ranking4[[#This Row],[Residential Structures Removed Raw]])/AP$4*AN$5*100</f>
        <v>0</v>
      </c>
      <c r="AQ807" s="260">
        <f>(ASINH(FMS_Ranking4[[#This Row],[Residential Structures Removed Raw]]))*(10)/(ASINH(AN$4))</f>
        <v>0</v>
      </c>
      <c r="AR807" s="253">
        <f>_xlfn.XLOOKUP(FMS_Ranking4[[#This Row],[FMS ID]],FMS_Input[FMS_ID],FMS_Input[REMPOP100])</f>
        <v>0</v>
      </c>
      <c r="AS807" s="259">
        <f>(ASINH(FMS_Ranking4[[#This Row],[Removed Pop Raw]]))*(10)/(ASINH(AR$4))</f>
        <v>0</v>
      </c>
      <c r="AT807" s="263">
        <f>FMS_Ranking4[[#This Row],[Removed population, ArcSinh (0-10)]]*AR$5*10</f>
        <v>0</v>
      </c>
      <c r="AU807" s="264">
        <f>_xlfn.XLOOKUP(FMS_Ranking4[[#This Row],[FMS ID]],FMS_Input[FMS_ID],FMS_Input[REMCRITFAC100])</f>
        <v>0</v>
      </c>
      <c r="AV807" s="264">
        <f>_xlfn.XLOOKUP(FMS_Ranking4[[#This Row],[FMS ID]],FMS_Input[FMS_ID],FMS_Input[REMLWC100])</f>
        <v>0</v>
      </c>
      <c r="AW807" s="264">
        <f>_xlfn.XLOOKUP(FMS_Ranking4[[#This Row],[FMS ID]],FMS_Input[FMS_ID],FMS_Input[REMROADCLS])</f>
        <v>0</v>
      </c>
      <c r="AX807" s="264">
        <f>_xlfn.XLOOKUP(FMS_Ranking4[[#This Row],[FMS ID]],FMS_Input[FMS_ID],FMS_Input[REMFRMACRE100])</f>
        <v>0</v>
      </c>
      <c r="AY807" s="258">
        <f>_xlfn.XLOOKUP(FMS_Ranking4[[#This Row],[FMS ID]],FMS_Input[FMS_ID],FMS_Input[COSTSTRUCT])</f>
        <v>0</v>
      </c>
      <c r="AZ807" s="258">
        <f>_xlfn.XLOOKUP(FMS_Ranking4[[#This Row],[FMS ID]],FMS_Input[FMS_ID],FMS_Input[NATURE])</f>
        <v>0</v>
      </c>
      <c r="BA807" s="290">
        <f>(((FMS_Ranking4[[#This Row],[% NBS Raw]]/AZ$4)*100)*AZ$5)</f>
        <v>0</v>
      </c>
      <c r="BB807" s="251" t="str">
        <f>_xlfn.XLOOKUP(FMS_Ranking4[[#This Row],[FMS ID]],FMS_Input[FMS_ID],FMS_Input[WATER_SUP])</f>
        <v>No</v>
      </c>
      <c r="BC807" s="265">
        <f>IF(FMS_Ranking4[[#This Row],[Water Supply Raw]]="Yes",10,0)</f>
        <v>0</v>
      </c>
      <c r="BD807" s="251">
        <f>_xlfn.XLOOKUP(FMS_Ranking4[[#This Row],[FMS Type]],FMS_TYPE[FMS_Type],FMS_TYPE[Score])</f>
        <v>4</v>
      </c>
      <c r="BE807" s="267">
        <f>FMS_Ranking4[[#This Row],[FMS_Type Score]]*$BD$5*10</f>
        <v>1</v>
      </c>
      <c r="BF80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7.1344293304539917E-5</v>
      </c>
      <c r="BG807" s="271">
        <f>_xlfn.RANK.EQ(BF807,$BF$8:$BF$870,0)+COUNTIF($BF$8:BF807,BF807)-1</f>
        <v>782</v>
      </c>
      <c r="BH807" s="268">
        <f>(((FMS_Ranking4[[#This Row],[Structures Removed Raw]]/AK$4)*100)*AK$5)+(((FMS_Ranking4[[#This Row],[Removed Pop Raw]]/AR$4)*100)*AR$5)</f>
        <v>0</v>
      </c>
      <c r="BI80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1.0000713442933045</v>
      </c>
      <c r="BJ807" s="325">
        <f>_xlfn.RANK.EQ(FMS_Ranking4[[#This Row],[Total Score 
(with linear
normalization)]],FMS_Ranking4[Total Score 
(with linear
normalization)],0)</f>
        <v>745</v>
      </c>
      <c r="BK807" s="327" t="e">
        <f>_xlfn.XLOOKUP(FMS_Ranking4[[#This Row],[FMS ID]],#REF!,#REF!)</f>
        <v>#REF!</v>
      </c>
      <c r="BL80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1.4955135001365019</v>
      </c>
      <c r="BM807" s="330">
        <f>FMS_Ranking4[[#This Row],[ArcSinh Score Based on Normalized Reported Factors]]+FMS_Ranking4[[#This Row],[% NBS Score (Normalized)]]+(FMS_Ranking4[[#This Row],[Water Supply Score (Normalized)]]*10*$BB$5)+FMS_Ranking4[[#This Row],[FMS_Type Score Weighted]]</f>
        <v>2.4955135001365019</v>
      </c>
      <c r="BN807" s="332">
        <f>_xlfn.RANK.EQ(FMS_Ranking4[[#This Row],[Total Score (with ArcSinh normalization of select criteria)]],FMS_Ranking4[Total Score (with ArcSinh normalization of select criteria)],0)</f>
        <v>800</v>
      </c>
      <c r="BO807" s="270" t="str">
        <f>_xlfn.XLOOKUP(FMS_Ranking4[[#This Row],[FMS ID]],FMS_Input[FMS_ID],FMS_Input[FMS_RANK_YEAR])</f>
        <v>2023 Amended Plan</v>
      </c>
      <c r="BP807" s="204">
        <f>_xlfn.XLOOKUP(FMS_Ranking4[[#This Row],[FMS ID]],Prev_Rank[FMS ID],Prev_Rank[Prev Rank])</f>
        <v>722</v>
      </c>
      <c r="BQ807" s="334" t="e">
        <f>_xlfn.XLOOKUP(FMS_Ranking4[[#This Row],[FMS ID]],#REF!,#REF!)</f>
        <v>#REF!</v>
      </c>
      <c r="BR807" s="199" t="e">
        <f>SUM(#REF!,#REF!,#REF!,#REF!,#REF!,#REF!,#REF!,#REF!,#REF!,FMS_Ranking4[[#This Row],[ArcSinh Res struct removed 0-10]],#REF!)</f>
        <v>#REF!</v>
      </c>
      <c r="BS807" s="199" t="e">
        <f>FMS_Ranking4[[#This Row],[Log Score Based on Normalized Reported Factors]]+FMS_Ranking4[[#This Row],[% NBS Score (Normalized)]]+(FMS_Ranking4[[#This Row],[Water Supply Score (Normalized)]]*10*$BB$5)+(FMS_Ranking4[[#This Row],[FMS_Type Score Weighted]])</f>
        <v>#REF!</v>
      </c>
      <c r="BT807" s="200" t="e">
        <f>_xlfn.RANK.EQ(FMS_Ranking4[[#This Row],[Log Total Score]],FMS_Ranking4[Log Total Score],0)</f>
        <v>#REF!</v>
      </c>
      <c r="BU807" s="200" t="e">
        <f>_xlfn.XLOOKUP(FMS_Ranking4[[#This Row],[FMS ID]],#REF!,#REF!)</f>
        <v>#REF!</v>
      </c>
      <c r="BV807" s="200">
        <f>FMS_Ranking4[[#This Row],[Region Number]]</f>
        <v>15</v>
      </c>
      <c r="BW807" s="200">
        <f>FMS_Ranking4[[#This Row],[Rank (with ArcSinh normalization of select criteria)]]-FMS_Ranking4[[#This Row],[Rank
(with linear
normalization)]]</f>
        <v>55</v>
      </c>
      <c r="BX807" s="200" t="e">
        <f>FMS_Ranking4[[#This Row],[Log Rank]]-FMS_Ranking4[[#This Row],[Rank
(with linear
normalization)]]</f>
        <v>#REF!</v>
      </c>
      <c r="BY807" s="200" t="str">
        <f>IF(FMS_Ranking4[[#This Row],[FMS Type]]="Flood Measurement and Warning",FMS_Ranking4[[#This Row],[Rank (with ArcSinh normalization of select criteria)]],"")</f>
        <v/>
      </c>
      <c r="BZ807" s="200" t="str">
        <f>IF(FMS_Ranking4[[#This Row],[FMS Type]]="Regulatory and Guidance",FMS_Ranking4[[#This Row],[Rank (with ArcSinh normalization of select criteria)]],"")</f>
        <v/>
      </c>
      <c r="CA807" s="200" t="str">
        <f>IF(FMS_Ranking4[[#This Row],[FMS Type]]="Education and Outreach",FMS_Ranking4[[#This Row],[Rank (with ArcSinh normalization of select criteria)]],"")</f>
        <v/>
      </c>
      <c r="CB807" s="200" t="str">
        <f>IF(FMS_Ranking4[[#This Row],[FMS Type]]="Property Acquisition and Structural Elevation",FMS_Ranking4[[#This Row],[Rank (with ArcSinh normalization of select criteria)]],"")</f>
        <v/>
      </c>
      <c r="CC807" s="200">
        <f>IF(FMS_Ranking4[[#This Row],[FMS Type]]="Infrastructure Projects",FMS_Ranking4[[#This Row],[Rank (with ArcSinh normalization of select criteria)]],"")</f>
        <v>800</v>
      </c>
      <c r="CD807" s="200" t="str">
        <f>IF(FMS_Ranking4[[#This Row],[FMS Type]]="Other",FMS_Ranking4[[#This Row],[Rank (with ArcSinh normalization of select criteria)]],"")</f>
        <v/>
      </c>
    </row>
    <row r="808" spans="2:82" ht="30" x14ac:dyDescent="0.25">
      <c r="B808" s="342" t="s">
        <v>1146</v>
      </c>
      <c r="C808" s="287">
        <f>_xlfn.XLOOKUP(FMS_Ranking4[[#This Row],[FMS ID]],FMS_Input[FMS_ID],FMS_Input[RFPG_NUM])</f>
        <v>1</v>
      </c>
      <c r="D808" s="309" t="str">
        <f>_xlfn.XLOOKUP(FMS_Ranking4[[#This Row],[FMS ID]],FMS_Input[FMS_ID],FMS_Input[FMS_NAME])</f>
        <v>Texhoma NFIP Involvement</v>
      </c>
      <c r="E808" s="322" t="str">
        <f>_xlfn.XLOOKUP(FMS_Ranking4[[#This Row],[FMS ID]],FMS_Input[FMS_ID],FMS_Input[SPONSOR])</f>
        <v>01002804</v>
      </c>
      <c r="F808" s="309" t="str">
        <f>_xlfn.XLOOKUP(FMS_Ranking4[[#This Row],[FMS ID]],Sponsor[FMS_ID],Sponsor[SPONSOR NAME])</f>
        <v>Texhoma</v>
      </c>
      <c r="G808" s="309" t="str">
        <f>_xlfn.XLOOKUP(FMS_Ranking4[[#This Row],[FMS ID]],FMS_Input[FMS_ID],FMS_Input[FMS_DESCR])</f>
        <v>Application to join NFIP or adopt equivalent standards</v>
      </c>
      <c r="H808" s="247" t="str">
        <f>_xlfn.XLOOKUP(FMS_Ranking4[[#This Row],[FMS ID]],FMS_Input[FMS_ID],FMS_Input[FMS_TYPE])</f>
        <v>Regulatory and Guidance</v>
      </c>
      <c r="I808" s="288">
        <f>_xlfn.XLOOKUP(FMS_Ranking4[[#This Row],[FMS ID]],FMS_Input[FMS_ID],FMS_Input[NRNC_COST])</f>
        <v>100000</v>
      </c>
      <c r="J808" s="250">
        <f>_xlfn.XLOOKUP(FMS_Ranking4[[#This Row],[FMS ID]],FMS_Input[FMS_ID],FMS_Input[FMS_COST])</f>
        <v>100000</v>
      </c>
      <c r="K808" s="289" t="str">
        <f>_xlfn.XLOOKUP(FMS_Ranking4[[#This Row],[FMS ID]],FMS_Input[FMS_ID],FMS_Input[EMER_NEED])</f>
        <v>No</v>
      </c>
      <c r="L808" s="252">
        <f t="shared" si="12"/>
        <v>0</v>
      </c>
      <c r="M808" s="253">
        <f>_xlfn.XLOOKUP(FMS_Ranking4[[#This Row],[FMS ID]],FMS_Input[FMS_ID],FMS_Input[STRUCT_100])</f>
        <v>0</v>
      </c>
      <c r="N808" s="255">
        <f>(ASINH(FMS_Ranking4[[#This Row],[Structure at Risk Raw]]))*(10)/(ASINH(M$4))</f>
        <v>0</v>
      </c>
      <c r="O808" s="255">
        <f>FMS_Ranking4[[#This Row],[Structures at risk, ArcSinh (0-10)]]*M$5*10</f>
        <v>0</v>
      </c>
      <c r="P808" s="259">
        <f>_xlfn.XLOOKUP(FMS_Ranking4[[#This Row],[FMS ID]],FMS_Input[FMS_ID],FMS_Input[RES_STRUCT100])</f>
        <v>0</v>
      </c>
      <c r="Q808" s="257">
        <f>ASINH(FMS_Ranking4[[#This Row],[Res Structure Raw]])/Q$4*P$5*100</f>
        <v>0</v>
      </c>
      <c r="R808" s="259">
        <f>_xlfn.XLOOKUP(FMS_Ranking4[[#This Row],[FMS ID]],FMS_Input[FMS_ID],FMS_Input[POP100])</f>
        <v>0</v>
      </c>
      <c r="S808" s="259">
        <f>(ASINH(FMS_Ranking4[[#This Row],[Pop at Risk Raw]]))*(10)/(ASINH(R$4))</f>
        <v>0</v>
      </c>
      <c r="T808" s="257">
        <f>FMS_Ranking4[[#This Row],[Population at risk, ArcSinh (0-10)]]*R$5*10</f>
        <v>0</v>
      </c>
      <c r="U808" s="259">
        <f>_xlfn.XLOOKUP(FMS_Ranking4[[#This Row],[FMS ID]],FMS_Input[FMS_ID],FMS_Input[CRITFAC100])</f>
        <v>0</v>
      </c>
      <c r="V808" s="259">
        <f>(ASINH(FMS_Ranking4[[#This Row],[Critical Facilities Raw]]))*(10)/(ASINH(U$4))</f>
        <v>0</v>
      </c>
      <c r="W808" s="257">
        <f>FMS_Ranking4[[#This Row],[Critical facilities at risk, ArcSinh (0-10)]]*U$5*10</f>
        <v>0</v>
      </c>
      <c r="X808" s="259">
        <f>_xlfn.XLOOKUP(FMS_Ranking4[[#This Row],[FMS ID]],FMS_Input[FMS_ID],FMS_Input[LWC])</f>
        <v>0</v>
      </c>
      <c r="Y808" s="259">
        <f>(ASINH(FMS_Ranking4[[#This Row],[LWC Raw]]))*(10)/(ASINH(X$4))</f>
        <v>0</v>
      </c>
      <c r="Z808" s="257">
        <f>FMS_Ranking4[[#This Row],[LWC, ArcSInh (0-10)]]*X$5*10</f>
        <v>0</v>
      </c>
      <c r="AA808" s="259">
        <f>_xlfn.XLOOKUP(FMS_Ranking4[[#This Row],[FMS ID]],FMS_Input[FMS_ID],FMS_Input[ROADCLS])</f>
        <v>0</v>
      </c>
      <c r="AB808" s="255">
        <f>(ASINH(FMS_Ranking4[[#This Row],[Road Closures Raw]]))*(10)/(ASINH(AA$4))</f>
        <v>0</v>
      </c>
      <c r="AC808" s="255">
        <f>FMS_Ranking4[[#This Row],[Road closures, ArcSinh (0-10)]]*AA$5*10</f>
        <v>0</v>
      </c>
      <c r="AD808" s="259">
        <f>_xlfn.XLOOKUP(FMS_Ranking4[[#This Row],[FMS ID]],FMS_Input[FMS_ID],FMS_Input[ROAD_MILES100])</f>
        <v>0</v>
      </c>
      <c r="AE808" s="259">
        <f>(ASINH(FMS_Ranking4[[#This Row],[Road Miles Raw]]))*(10)/(ASINH(AD$4))</f>
        <v>0</v>
      </c>
      <c r="AF808" s="257">
        <f>FMS_Ranking4[[#This Row],[Length of roads at risk, ArcSinh (0-10)]]*AD$5*10</f>
        <v>0</v>
      </c>
      <c r="AG808" s="259">
        <f>_xlfn.XLOOKUP(FMS_Ranking4[[#This Row],[FMS ID]],FMS_Input[FMS_ID],FMS_Input[FARMACRE100])</f>
        <v>1.781919479370117</v>
      </c>
      <c r="AH808" s="255">
        <f>(ASINH(FMS_Ranking4[[#This Row],[Ag Land Raw]]))*(10)/(ASINH(AG$4))</f>
        <v>0.87149552995125223</v>
      </c>
      <c r="AI808" s="254">
        <f>FMS_Ranking4[[#This Row],[Farm &amp; ranch land, ArcSinh (0-10)]]*AG$5*10</f>
        <v>0.43574776497562612</v>
      </c>
      <c r="AJ808" s="258">
        <f>_xlfn.XLOOKUP(FMS_Ranking4[[#This Row],[FMS ID]],FMS_Input[FMS_ID],FMS_Input[REDSTRUCT100])</f>
        <v>0</v>
      </c>
      <c r="AK808" s="253">
        <f>_xlfn.XLOOKUP(FMS_Ranking4[[#This Row],[FMS ID]],FMS_Input[FMS_ID],FMS_Input[REMSTRC100])</f>
        <v>0</v>
      </c>
      <c r="AL808" s="259">
        <f>(ASINH(FMS_Ranking4[[#This Row],[Structures Removed Raw]]))*(10)/(ASINH(AK$4))</f>
        <v>0</v>
      </c>
      <c r="AM808" s="254">
        <f>FMS_Ranking4[[#This Row],[Structures removed, ArcSinh (0-10)]]*AK$5*10</f>
        <v>0</v>
      </c>
      <c r="AN808" s="253">
        <f>_xlfn.XLOOKUP(FMS_Ranking4[[#This Row],[FMS ID]],FMS_Input[FMS_ID],FMS_Input[REMRESSTRC100])</f>
        <v>0</v>
      </c>
      <c r="AO808" s="258">
        <f>FMS_Ranking4[[#This Row],[ArcSinh Res struct removed 0-10]]*AN$5*10</f>
        <v>0</v>
      </c>
      <c r="AP808" s="254">
        <f>ASINH(FMS_Ranking4[[#This Row],[Residential Structures Removed Raw]])/AP$4*AN$5*100</f>
        <v>0</v>
      </c>
      <c r="AQ808" s="260">
        <f>(ASINH(FMS_Ranking4[[#This Row],[Residential Structures Removed Raw]]))*(10)/(ASINH(AN$4))</f>
        <v>0</v>
      </c>
      <c r="AR808" s="253">
        <f>_xlfn.XLOOKUP(FMS_Ranking4[[#This Row],[FMS ID]],FMS_Input[FMS_ID],FMS_Input[REMPOP100])</f>
        <v>0</v>
      </c>
      <c r="AS808" s="259">
        <f>(ASINH(FMS_Ranking4[[#This Row],[Removed Pop Raw]]))*(10)/(ASINH(AR$4))</f>
        <v>0</v>
      </c>
      <c r="AT808" s="263">
        <f>FMS_Ranking4[[#This Row],[Removed population, ArcSinh (0-10)]]*AR$5*10</f>
        <v>0</v>
      </c>
      <c r="AU808" s="264">
        <f>_xlfn.XLOOKUP(FMS_Ranking4[[#This Row],[FMS ID]],FMS_Input[FMS_ID],FMS_Input[REMCRITFAC100])</f>
        <v>0</v>
      </c>
      <c r="AV808" s="264">
        <f>_xlfn.XLOOKUP(FMS_Ranking4[[#This Row],[FMS ID]],FMS_Input[FMS_ID],FMS_Input[REMLWC100])</f>
        <v>0</v>
      </c>
      <c r="AW808" s="264">
        <f>_xlfn.XLOOKUP(FMS_Ranking4[[#This Row],[FMS ID]],FMS_Input[FMS_ID],FMS_Input[REMROADCLS])</f>
        <v>0</v>
      </c>
      <c r="AX808" s="264">
        <f>_xlfn.XLOOKUP(FMS_Ranking4[[#This Row],[FMS ID]],FMS_Input[FMS_ID],FMS_Input[REMFRMACRE100])</f>
        <v>0</v>
      </c>
      <c r="AY808" s="258">
        <f>_xlfn.XLOOKUP(FMS_Ranking4[[#This Row],[FMS ID]],FMS_Input[FMS_ID],FMS_Input[COSTSTRUCT])</f>
        <v>0</v>
      </c>
      <c r="AZ808" s="258">
        <f>_xlfn.XLOOKUP(FMS_Ranking4[[#This Row],[FMS ID]],FMS_Input[FMS_ID],FMS_Input[NATURE])</f>
        <v>0</v>
      </c>
      <c r="BA808" s="290">
        <f>(((FMS_Ranking4[[#This Row],[% NBS Raw]]/AZ$4)*100)*AZ$5)</f>
        <v>0</v>
      </c>
      <c r="BB808" s="251" t="str">
        <f>_xlfn.XLOOKUP(FMS_Ranking4[[#This Row],[FMS ID]],FMS_Input[FMS_ID],FMS_Input[WATER_SUP])</f>
        <v>No</v>
      </c>
      <c r="BC808" s="265">
        <f>IF(FMS_Ranking4[[#This Row],[Water Supply Raw]]="Yes",10,0)</f>
        <v>0</v>
      </c>
      <c r="BD808" s="251">
        <f>_xlfn.XLOOKUP(FMS_Ranking4[[#This Row],[FMS Type]],FMS_TYPE[FMS_Type],FMS_TYPE[Score])</f>
        <v>8</v>
      </c>
      <c r="BE808" s="267">
        <f>FMS_Ranking4[[#This Row],[FMS_Type Score]]*$BD$5*10</f>
        <v>2</v>
      </c>
      <c r="BF80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3.6739191280049971E-6</v>
      </c>
      <c r="BG808" s="271">
        <f>_xlfn.RANK.EQ(BF808,$BF$8:$BF$870,0)+COUNTIF($BF$8:BF808,BF808)-1</f>
        <v>799</v>
      </c>
      <c r="BH808" s="268">
        <f>(((FMS_Ranking4[[#This Row],[Structures Removed Raw]]/AK$4)*100)*AK$5)+(((FMS_Ranking4[[#This Row],[Removed Pop Raw]]/AR$4)*100)*AR$5)</f>
        <v>0</v>
      </c>
      <c r="BI80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2.000003673919128</v>
      </c>
      <c r="BJ808" s="325">
        <f>_xlfn.RANK.EQ(FMS_Ranking4[[#This Row],[Total Score 
(with linear
normalization)]],FMS_Ranking4[Total Score 
(with linear
normalization)],0)</f>
        <v>491</v>
      </c>
      <c r="BK808" s="327" t="e">
        <f>_xlfn.XLOOKUP(FMS_Ranking4[[#This Row],[FMS ID]],#REF!,#REF!)</f>
        <v>#REF!</v>
      </c>
      <c r="BL80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0.43574776497562612</v>
      </c>
      <c r="BM808" s="330">
        <f>FMS_Ranking4[[#This Row],[ArcSinh Score Based on Normalized Reported Factors]]+FMS_Ranking4[[#This Row],[% NBS Score (Normalized)]]+(FMS_Ranking4[[#This Row],[Water Supply Score (Normalized)]]*10*$BB$5)+FMS_Ranking4[[#This Row],[FMS_Type Score Weighted]]</f>
        <v>2.4357477649756261</v>
      </c>
      <c r="BN808" s="332">
        <f>_xlfn.RANK.EQ(FMS_Ranking4[[#This Row],[Total Score (with ArcSinh normalization of select criteria)]],FMS_Ranking4[Total Score (with ArcSinh normalization of select criteria)],0)</f>
        <v>801</v>
      </c>
      <c r="BO808" s="270" t="str">
        <f>_xlfn.XLOOKUP(FMS_Ranking4[[#This Row],[FMS ID]],FMS_Input[FMS_ID],FMS_Input[FMS_RANK_YEAR])</f>
        <v>2023 Amended Plan</v>
      </c>
      <c r="BP808" s="204">
        <f>_xlfn.XLOOKUP(FMS_Ranking4[[#This Row],[FMS ID]],Prev_Rank[FMS ID],Prev_Rank[Prev Rank])</f>
        <v>726</v>
      </c>
      <c r="BQ808" s="334" t="e">
        <f>_xlfn.XLOOKUP(FMS_Ranking4[[#This Row],[FMS ID]],#REF!,#REF!)</f>
        <v>#REF!</v>
      </c>
      <c r="BR808" s="199" t="e">
        <f>SUM(#REF!,#REF!,#REF!,#REF!,#REF!,#REF!,#REF!,#REF!,#REF!,FMS_Ranking4[[#This Row],[ArcSinh Res struct removed 0-10]],#REF!)</f>
        <v>#REF!</v>
      </c>
      <c r="BS808" s="199" t="e">
        <f>FMS_Ranking4[[#This Row],[Log Score Based on Normalized Reported Factors]]+FMS_Ranking4[[#This Row],[% NBS Score (Normalized)]]+(FMS_Ranking4[[#This Row],[Water Supply Score (Normalized)]]*10*$BB$5)+(FMS_Ranking4[[#This Row],[FMS_Type Score Weighted]])</f>
        <v>#REF!</v>
      </c>
      <c r="BT808" s="200" t="e">
        <f>_xlfn.RANK.EQ(FMS_Ranking4[[#This Row],[Log Total Score]],FMS_Ranking4[Log Total Score],0)</f>
        <v>#REF!</v>
      </c>
      <c r="BU808" s="200" t="e">
        <f>_xlfn.XLOOKUP(FMS_Ranking4[[#This Row],[FMS ID]],#REF!,#REF!)</f>
        <v>#REF!</v>
      </c>
      <c r="BV808" s="200">
        <f>FMS_Ranking4[[#This Row],[Region Number]]</f>
        <v>1</v>
      </c>
      <c r="BW808" s="200">
        <f>FMS_Ranking4[[#This Row],[Rank (with ArcSinh normalization of select criteria)]]-FMS_Ranking4[[#This Row],[Rank
(with linear
normalization)]]</f>
        <v>310</v>
      </c>
      <c r="BX808" s="200" t="e">
        <f>FMS_Ranking4[[#This Row],[Log Rank]]-FMS_Ranking4[[#This Row],[Rank
(with linear
normalization)]]</f>
        <v>#REF!</v>
      </c>
      <c r="BY808" s="200" t="str">
        <f>IF(FMS_Ranking4[[#This Row],[FMS Type]]="Flood Measurement and Warning",FMS_Ranking4[[#This Row],[Rank (with ArcSinh normalization of select criteria)]],"")</f>
        <v/>
      </c>
      <c r="BZ808" s="200">
        <f>IF(FMS_Ranking4[[#This Row],[FMS Type]]="Regulatory and Guidance",FMS_Ranking4[[#This Row],[Rank (with ArcSinh normalization of select criteria)]],"")</f>
        <v>801</v>
      </c>
      <c r="CA808" s="200" t="str">
        <f>IF(FMS_Ranking4[[#This Row],[FMS Type]]="Education and Outreach",FMS_Ranking4[[#This Row],[Rank (with ArcSinh normalization of select criteria)]],"")</f>
        <v/>
      </c>
      <c r="CB808" s="200" t="str">
        <f>IF(FMS_Ranking4[[#This Row],[FMS Type]]="Property Acquisition and Structural Elevation",FMS_Ranking4[[#This Row],[Rank (with ArcSinh normalization of select criteria)]],"")</f>
        <v/>
      </c>
      <c r="CC808" s="200" t="str">
        <f>IF(FMS_Ranking4[[#This Row],[FMS Type]]="Infrastructure Projects",FMS_Ranking4[[#This Row],[Rank (with ArcSinh normalization of select criteria)]],"")</f>
        <v/>
      </c>
      <c r="CD808" s="200" t="str">
        <f>IF(FMS_Ranking4[[#This Row],[FMS Type]]="Other",FMS_Ranking4[[#This Row],[Rank (with ArcSinh normalization of select criteria)]],"")</f>
        <v/>
      </c>
    </row>
    <row r="809" spans="2:82" ht="135" x14ac:dyDescent="0.25">
      <c r="B809" s="342" t="s">
        <v>99</v>
      </c>
      <c r="C809" s="287">
        <f>_xlfn.XLOOKUP(FMS_Ranking4[[#This Row],[FMS ID]],FMS_Input[FMS_ID],FMS_Input[RFPG_NUM])</f>
        <v>6</v>
      </c>
      <c r="D809" s="309" t="str">
        <f>_xlfn.XLOOKUP(FMS_Ranking4[[#This Row],[FMS ID]],FMS_Input[FMS_ID],FMS_Input[FMS_NAME])</f>
        <v>Natural Infrastructure Project Mound Creek Conservation</v>
      </c>
      <c r="E809" s="322" t="str">
        <f>_xlfn.XLOOKUP(FMS_Ranking4[[#This Row],[FMS ID]],FMS_Input[FMS_ID],FMS_Input[SPONSOR])</f>
        <v>00004002</v>
      </c>
      <c r="F809" s="309" t="str">
        <f>_xlfn.XLOOKUP(FMS_Ranking4[[#This Row],[FMS ID]],Sponsor[FMS_ID],Sponsor[SPONSOR NAME])</f>
        <v>Coastal Prairie Conservancy</v>
      </c>
      <c r="G809" s="309" t="str">
        <f>_xlfn.XLOOKUP(FMS_Ranking4[[#This Row],[FMS ID]],FMS_Input[FMS_ID],FMS_Input[FMS_DESCR])</f>
        <v>Purhase conservation easement from landowner to permanently conserve as agricultural/natural areas. KPC to ensure land remains undeveloped agriculutural land and maintain conservation. Would provide multiple benefits such as flood mitigation, and more.</v>
      </c>
      <c r="H809" s="247" t="str">
        <f>_xlfn.XLOOKUP(FMS_Ranking4[[#This Row],[FMS ID]],FMS_Input[FMS_ID],FMS_Input[FMS_TYPE])</f>
        <v>Property Acquisition and Structural Elevation</v>
      </c>
      <c r="I809" s="288">
        <f>_xlfn.XLOOKUP(FMS_Ranking4[[#This Row],[FMS ID]],FMS_Input[FMS_ID],FMS_Input[NRNC_COST])</f>
        <v>1600000</v>
      </c>
      <c r="J809" s="250">
        <f>_xlfn.XLOOKUP(FMS_Ranking4[[#This Row],[FMS ID]],FMS_Input[FMS_ID],FMS_Input[FMS_COST])</f>
        <v>32000000</v>
      </c>
      <c r="K809" s="289" t="str">
        <f>_xlfn.XLOOKUP(FMS_Ranking4[[#This Row],[FMS ID]],FMS_Input[FMS_ID],FMS_Input[EMER_NEED])</f>
        <v>No</v>
      </c>
      <c r="L809" s="252">
        <f t="shared" si="12"/>
        <v>0</v>
      </c>
      <c r="M809" s="253">
        <f>_xlfn.XLOOKUP(FMS_Ranking4[[#This Row],[FMS ID]],FMS_Input[FMS_ID],FMS_Input[STRUCT_100])</f>
        <v>0</v>
      </c>
      <c r="N809" s="255">
        <f>(ASINH(FMS_Ranking4[[#This Row],[Structure at Risk Raw]]))*(10)/(ASINH(M$4))</f>
        <v>0</v>
      </c>
      <c r="O809" s="255">
        <f>FMS_Ranking4[[#This Row],[Structures at risk, ArcSinh (0-10)]]*M$5*10</f>
        <v>0</v>
      </c>
      <c r="P809" s="259">
        <f>_xlfn.XLOOKUP(FMS_Ranking4[[#This Row],[FMS ID]],FMS_Input[FMS_ID],FMS_Input[RES_STRUCT100])</f>
        <v>0</v>
      </c>
      <c r="Q809" s="257">
        <f>ASINH(FMS_Ranking4[[#This Row],[Res Structure Raw]])/Q$4*P$5*100</f>
        <v>0</v>
      </c>
      <c r="R809" s="259">
        <f>_xlfn.XLOOKUP(FMS_Ranking4[[#This Row],[FMS ID]],FMS_Input[FMS_ID],FMS_Input[POP100])</f>
        <v>0</v>
      </c>
      <c r="S809" s="259">
        <f>(ASINH(FMS_Ranking4[[#This Row],[Pop at Risk Raw]]))*(10)/(ASINH(R$4))</f>
        <v>0</v>
      </c>
      <c r="T809" s="257">
        <f>FMS_Ranking4[[#This Row],[Population at risk, ArcSinh (0-10)]]*R$5*10</f>
        <v>0</v>
      </c>
      <c r="U809" s="259">
        <f>_xlfn.XLOOKUP(FMS_Ranking4[[#This Row],[FMS ID]],FMS_Input[FMS_ID],FMS_Input[CRITFAC100])</f>
        <v>0</v>
      </c>
      <c r="V809" s="259">
        <f>(ASINH(FMS_Ranking4[[#This Row],[Critical Facilities Raw]]))*(10)/(ASINH(U$4))</f>
        <v>0</v>
      </c>
      <c r="W809" s="257">
        <f>FMS_Ranking4[[#This Row],[Critical facilities at risk, ArcSinh (0-10)]]*U$5*10</f>
        <v>0</v>
      </c>
      <c r="X809" s="259">
        <f>_xlfn.XLOOKUP(FMS_Ranking4[[#This Row],[FMS ID]],FMS_Input[FMS_ID],FMS_Input[LWC])</f>
        <v>0</v>
      </c>
      <c r="Y809" s="259">
        <f>(ASINH(FMS_Ranking4[[#This Row],[LWC Raw]]))*(10)/(ASINH(X$4))</f>
        <v>0</v>
      </c>
      <c r="Z809" s="257">
        <f>FMS_Ranking4[[#This Row],[LWC, ArcSInh (0-10)]]*X$5*10</f>
        <v>0</v>
      </c>
      <c r="AA809" s="259">
        <f>_xlfn.XLOOKUP(FMS_Ranking4[[#This Row],[FMS ID]],FMS_Input[FMS_ID],FMS_Input[ROADCLS])</f>
        <v>0</v>
      </c>
      <c r="AB809" s="255">
        <f>(ASINH(FMS_Ranking4[[#This Row],[Road Closures Raw]]))*(10)/(ASINH(AA$4))</f>
        <v>0</v>
      </c>
      <c r="AC809" s="255">
        <f>FMS_Ranking4[[#This Row],[Road closures, ArcSinh (0-10)]]*AA$5*10</f>
        <v>0</v>
      </c>
      <c r="AD809" s="259">
        <f>_xlfn.XLOOKUP(FMS_Ranking4[[#This Row],[FMS ID]],FMS_Input[FMS_ID],FMS_Input[ROAD_MILES100])</f>
        <v>0</v>
      </c>
      <c r="AE809" s="259">
        <f>(ASINH(FMS_Ranking4[[#This Row],[Road Miles Raw]]))*(10)/(ASINH(AD$4))</f>
        <v>0</v>
      </c>
      <c r="AF809" s="257">
        <f>FMS_Ranking4[[#This Row],[Length of roads at risk, ArcSinh (0-10)]]*AD$5*10</f>
        <v>0</v>
      </c>
      <c r="AG809" s="259">
        <f>_xlfn.XLOOKUP(FMS_Ranking4[[#This Row],[FMS ID]],FMS_Input[FMS_ID],FMS_Input[FARMACRE100])</f>
        <v>41.386463165283203</v>
      </c>
      <c r="AH809" s="255">
        <f>(ASINH(FMS_Ranking4[[#This Row],[Ag Land Raw]]))*(10)/(ASINH(AG$4))</f>
        <v>2.8687121863916509</v>
      </c>
      <c r="AI809" s="254">
        <f>FMS_Ranking4[[#This Row],[Farm &amp; ranch land, ArcSinh (0-10)]]*AG$5*10</f>
        <v>1.4343560931958255</v>
      </c>
      <c r="AJ809" s="258">
        <f>_xlfn.XLOOKUP(FMS_Ranking4[[#This Row],[FMS ID]],FMS_Input[FMS_ID],FMS_Input[REDSTRUCT100])</f>
        <v>0</v>
      </c>
      <c r="AK809" s="253">
        <f>_xlfn.XLOOKUP(FMS_Ranking4[[#This Row],[FMS ID]],FMS_Input[FMS_ID],FMS_Input[REMSTRC100])</f>
        <v>0</v>
      </c>
      <c r="AL809" s="259">
        <f>(ASINH(FMS_Ranking4[[#This Row],[Structures Removed Raw]]))*(10)/(ASINH(AK$4))</f>
        <v>0</v>
      </c>
      <c r="AM809" s="254">
        <f>FMS_Ranking4[[#This Row],[Structures removed, ArcSinh (0-10)]]*AK$5*10</f>
        <v>0</v>
      </c>
      <c r="AN809" s="253">
        <f>_xlfn.XLOOKUP(FMS_Ranking4[[#This Row],[FMS ID]],FMS_Input[FMS_ID],FMS_Input[REMRESSTRC100])</f>
        <v>0</v>
      </c>
      <c r="AO809" s="258">
        <f>FMS_Ranking4[[#This Row],[ArcSinh Res struct removed 0-10]]*AN$5*10</f>
        <v>0</v>
      </c>
      <c r="AP809" s="254">
        <f>ASINH(FMS_Ranking4[[#This Row],[Residential Structures Removed Raw]])/AP$4*AN$5*100</f>
        <v>0</v>
      </c>
      <c r="AQ809" s="260">
        <f>(ASINH(FMS_Ranking4[[#This Row],[Residential Structures Removed Raw]]))*(10)/(ASINH(AN$4))</f>
        <v>0</v>
      </c>
      <c r="AR809" s="253">
        <f>_xlfn.XLOOKUP(FMS_Ranking4[[#This Row],[FMS ID]],FMS_Input[FMS_ID],FMS_Input[REMPOP100])</f>
        <v>0</v>
      </c>
      <c r="AS809" s="259">
        <f>(ASINH(FMS_Ranking4[[#This Row],[Removed Pop Raw]]))*(10)/(ASINH(AR$4))</f>
        <v>0</v>
      </c>
      <c r="AT809" s="263">
        <f>FMS_Ranking4[[#This Row],[Removed population, ArcSinh (0-10)]]*AR$5*10</f>
        <v>0</v>
      </c>
      <c r="AU809" s="264">
        <f>_xlfn.XLOOKUP(FMS_Ranking4[[#This Row],[FMS ID]],FMS_Input[FMS_ID],FMS_Input[REMCRITFAC100])</f>
        <v>0</v>
      </c>
      <c r="AV809" s="264">
        <f>_xlfn.XLOOKUP(FMS_Ranking4[[#This Row],[FMS ID]],FMS_Input[FMS_ID],FMS_Input[REMLWC100])</f>
        <v>0</v>
      </c>
      <c r="AW809" s="264">
        <f>_xlfn.XLOOKUP(FMS_Ranking4[[#This Row],[FMS ID]],FMS_Input[FMS_ID],FMS_Input[REMROADCLS])</f>
        <v>0</v>
      </c>
      <c r="AX809" s="264">
        <f>_xlfn.XLOOKUP(FMS_Ranking4[[#This Row],[FMS ID]],FMS_Input[FMS_ID],FMS_Input[REMFRMACRE100])</f>
        <v>0</v>
      </c>
      <c r="AY809" s="258">
        <f>_xlfn.XLOOKUP(FMS_Ranking4[[#This Row],[FMS ID]],FMS_Input[FMS_ID],FMS_Input[COSTSTRUCT])</f>
        <v>0</v>
      </c>
      <c r="AZ809" s="258">
        <f>_xlfn.XLOOKUP(FMS_Ranking4[[#This Row],[FMS ID]],FMS_Input[FMS_ID],FMS_Input[NATURE])</f>
        <v>0</v>
      </c>
      <c r="BA809" s="290">
        <f>(((FMS_Ranking4[[#This Row],[% NBS Raw]]/AZ$4)*100)*AZ$5)</f>
        <v>0</v>
      </c>
      <c r="BB809" s="251" t="str">
        <f>_xlfn.XLOOKUP(FMS_Ranking4[[#This Row],[FMS ID]],FMS_Input[FMS_ID],FMS_Input[WATER_SUP])</f>
        <v>No</v>
      </c>
      <c r="BC809" s="265">
        <f>IF(FMS_Ranking4[[#This Row],[Water Supply Raw]]="Yes",10,0)</f>
        <v>0</v>
      </c>
      <c r="BD809" s="251">
        <f>_xlfn.XLOOKUP(FMS_Ranking4[[#This Row],[FMS Type]],FMS_TYPE[FMS_Type],FMS_TYPE[Score])</f>
        <v>4</v>
      </c>
      <c r="BE809" s="267">
        <f>FMS_Ranking4[[#This Row],[FMS_Type Score]]*$BD$5*10</f>
        <v>1</v>
      </c>
      <c r="BF809"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8.5329623714061351E-5</v>
      </c>
      <c r="BG809" s="271">
        <f>_xlfn.RANK.EQ(BF809,$BF$8:$BF$870,0)+COUNTIF($BF$8:BF809,BF809)-1</f>
        <v>781</v>
      </c>
      <c r="BH809" s="268">
        <f>(((FMS_Ranking4[[#This Row],[Structures Removed Raw]]/AK$4)*100)*AK$5)+(((FMS_Ranking4[[#This Row],[Removed Pop Raw]]/AR$4)*100)*AR$5)</f>
        <v>0</v>
      </c>
      <c r="BI80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1.000085329623714</v>
      </c>
      <c r="BJ809" s="325">
        <f>_xlfn.RANK.EQ(FMS_Ranking4[[#This Row],[Total Score 
(with linear
normalization)]],FMS_Ranking4[Total Score 
(with linear
normalization)],0)</f>
        <v>744</v>
      </c>
      <c r="BK809" s="327" t="e">
        <f>_xlfn.XLOOKUP(FMS_Ranking4[[#This Row],[FMS ID]],#REF!,#REF!)</f>
        <v>#REF!</v>
      </c>
      <c r="BL809"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1.4343560931958255</v>
      </c>
      <c r="BM809" s="330">
        <f>FMS_Ranking4[[#This Row],[ArcSinh Score Based on Normalized Reported Factors]]+FMS_Ranking4[[#This Row],[% NBS Score (Normalized)]]+(FMS_Ranking4[[#This Row],[Water Supply Score (Normalized)]]*10*$BB$5)+FMS_Ranking4[[#This Row],[FMS_Type Score Weighted]]</f>
        <v>2.4343560931958255</v>
      </c>
      <c r="BN809" s="332">
        <f>_xlfn.RANK.EQ(FMS_Ranking4[[#This Row],[Total Score (with ArcSinh normalization of select criteria)]],FMS_Ranking4[Total Score (with ArcSinh normalization of select criteria)],0)</f>
        <v>802</v>
      </c>
      <c r="BO809" s="270" t="str">
        <f>_xlfn.XLOOKUP(FMS_Ranking4[[#This Row],[FMS ID]],FMS_Input[FMS_ID],FMS_Input[FMS_RANK_YEAR])</f>
        <v>2023 Amended Plan</v>
      </c>
      <c r="BP809" s="204">
        <f>_xlfn.XLOOKUP(FMS_Ranking4[[#This Row],[FMS ID]],Prev_Rank[FMS ID],Prev_Rank[Prev Rank])</f>
        <v>727</v>
      </c>
      <c r="BQ809" s="334" t="e">
        <f>_xlfn.XLOOKUP(FMS_Ranking4[[#This Row],[FMS ID]],#REF!,#REF!)</f>
        <v>#REF!</v>
      </c>
      <c r="BR809" s="199" t="e">
        <f>SUM(#REF!,#REF!,#REF!,#REF!,#REF!,#REF!,#REF!,#REF!,#REF!,FMS_Ranking4[[#This Row],[ArcSinh Res struct removed 0-10]],#REF!)</f>
        <v>#REF!</v>
      </c>
      <c r="BS809" s="199" t="e">
        <f>FMS_Ranking4[[#This Row],[Log Score Based on Normalized Reported Factors]]+FMS_Ranking4[[#This Row],[% NBS Score (Normalized)]]+(FMS_Ranking4[[#This Row],[Water Supply Score (Normalized)]]*10*$BB$5)+(FMS_Ranking4[[#This Row],[FMS_Type Score Weighted]])</f>
        <v>#REF!</v>
      </c>
      <c r="BT809" s="200" t="e">
        <f>_xlfn.RANK.EQ(FMS_Ranking4[[#This Row],[Log Total Score]],FMS_Ranking4[Log Total Score],0)</f>
        <v>#REF!</v>
      </c>
      <c r="BU809" s="200" t="e">
        <f>_xlfn.XLOOKUP(FMS_Ranking4[[#This Row],[FMS ID]],#REF!,#REF!)</f>
        <v>#REF!</v>
      </c>
      <c r="BV809" s="200">
        <f>FMS_Ranking4[[#This Row],[Region Number]]</f>
        <v>6</v>
      </c>
      <c r="BW809" s="200">
        <f>FMS_Ranking4[[#This Row],[Rank (with ArcSinh normalization of select criteria)]]-FMS_Ranking4[[#This Row],[Rank
(with linear
normalization)]]</f>
        <v>58</v>
      </c>
      <c r="BX809" s="200" t="e">
        <f>FMS_Ranking4[[#This Row],[Log Rank]]-FMS_Ranking4[[#This Row],[Rank
(with linear
normalization)]]</f>
        <v>#REF!</v>
      </c>
      <c r="BY809" s="200" t="str">
        <f>IF(FMS_Ranking4[[#This Row],[FMS Type]]="Flood Measurement and Warning",FMS_Ranking4[[#This Row],[Rank (with ArcSinh normalization of select criteria)]],"")</f>
        <v/>
      </c>
      <c r="BZ809" s="200" t="str">
        <f>IF(FMS_Ranking4[[#This Row],[FMS Type]]="Regulatory and Guidance",FMS_Ranking4[[#This Row],[Rank (with ArcSinh normalization of select criteria)]],"")</f>
        <v/>
      </c>
      <c r="CA809" s="200" t="str">
        <f>IF(FMS_Ranking4[[#This Row],[FMS Type]]="Education and Outreach",FMS_Ranking4[[#This Row],[Rank (with ArcSinh normalization of select criteria)]],"")</f>
        <v/>
      </c>
      <c r="CB809" s="200">
        <f>IF(FMS_Ranking4[[#This Row],[FMS Type]]="Property Acquisition and Structural Elevation",FMS_Ranking4[[#This Row],[Rank (with ArcSinh normalization of select criteria)]],"")</f>
        <v>802</v>
      </c>
      <c r="CC809" s="200" t="str">
        <f>IF(FMS_Ranking4[[#This Row],[FMS Type]]="Infrastructure Projects",FMS_Ranking4[[#This Row],[Rank (with ArcSinh normalization of select criteria)]],"")</f>
        <v/>
      </c>
      <c r="CD809" s="200" t="str">
        <f>IF(FMS_Ranking4[[#This Row],[FMS Type]]="Other",FMS_Ranking4[[#This Row],[Rank (with ArcSinh normalization of select criteria)]],"")</f>
        <v/>
      </c>
    </row>
    <row r="810" spans="2:82" ht="30" x14ac:dyDescent="0.25">
      <c r="B810" s="342" t="s">
        <v>1195</v>
      </c>
      <c r="C810" s="287">
        <f>_xlfn.XLOOKUP(FMS_Ranking4[[#This Row],[FMS ID]],FMS_Input[FMS_ID],FMS_Input[RFPG_NUM])</f>
        <v>1</v>
      </c>
      <c r="D810" s="309" t="str">
        <f>_xlfn.XLOOKUP(FMS_Ranking4[[#This Row],[FMS ID]],FMS_Input[FMS_ID],FMS_Input[FMS_NAME])</f>
        <v>Adrian NFIP Involvement</v>
      </c>
      <c r="E810" s="322" t="str">
        <f>_xlfn.XLOOKUP(FMS_Ranking4[[#This Row],[FMS ID]],FMS_Input[FMS_ID],FMS_Input[SPONSOR])</f>
        <v>01002845</v>
      </c>
      <c r="F810" s="309" t="str">
        <f>_xlfn.XLOOKUP(FMS_Ranking4[[#This Row],[FMS ID]],Sponsor[FMS_ID],Sponsor[SPONSOR NAME])</f>
        <v>Adrian</v>
      </c>
      <c r="G810" s="309" t="str">
        <f>_xlfn.XLOOKUP(FMS_Ranking4[[#This Row],[FMS ID]],FMS_Input[FMS_ID],FMS_Input[FMS_DESCR])</f>
        <v>Application to join NFIP or adopt equivalent standards</v>
      </c>
      <c r="H810" s="247" t="str">
        <f>_xlfn.XLOOKUP(FMS_Ranking4[[#This Row],[FMS ID]],FMS_Input[FMS_ID],FMS_Input[FMS_TYPE])</f>
        <v>Regulatory and Guidance</v>
      </c>
      <c r="I810" s="288">
        <f>_xlfn.XLOOKUP(FMS_Ranking4[[#This Row],[FMS ID]],FMS_Input[FMS_ID],FMS_Input[NRNC_COST])</f>
        <v>100000</v>
      </c>
      <c r="J810" s="250">
        <f>_xlfn.XLOOKUP(FMS_Ranking4[[#This Row],[FMS ID]],FMS_Input[FMS_ID],FMS_Input[FMS_COST])</f>
        <v>100000</v>
      </c>
      <c r="K810" s="289" t="str">
        <f>_xlfn.XLOOKUP(FMS_Ranking4[[#This Row],[FMS ID]],FMS_Input[FMS_ID],FMS_Input[EMER_NEED])</f>
        <v>No</v>
      </c>
      <c r="L810" s="252">
        <f t="shared" si="12"/>
        <v>0</v>
      </c>
      <c r="M810" s="253">
        <f>_xlfn.XLOOKUP(FMS_Ranking4[[#This Row],[FMS ID]],FMS_Input[FMS_ID],FMS_Input[STRUCT_100])</f>
        <v>0</v>
      </c>
      <c r="N810" s="255">
        <f>(ASINH(FMS_Ranking4[[#This Row],[Structure at Risk Raw]]))*(10)/(ASINH(M$4))</f>
        <v>0</v>
      </c>
      <c r="O810" s="255">
        <f>FMS_Ranking4[[#This Row],[Structures at risk, ArcSinh (0-10)]]*M$5*10</f>
        <v>0</v>
      </c>
      <c r="P810" s="259">
        <f>_xlfn.XLOOKUP(FMS_Ranking4[[#This Row],[FMS ID]],FMS_Input[FMS_ID],FMS_Input[RES_STRUCT100])</f>
        <v>0</v>
      </c>
      <c r="Q810" s="257">
        <f>ASINH(FMS_Ranking4[[#This Row],[Res Structure Raw]])/Q$4*P$5*100</f>
        <v>0</v>
      </c>
      <c r="R810" s="259">
        <f>_xlfn.XLOOKUP(FMS_Ranking4[[#This Row],[FMS ID]],FMS_Input[FMS_ID],FMS_Input[POP100])</f>
        <v>0</v>
      </c>
      <c r="S810" s="255">
        <f>(ASINH(FMS_Ranking4[[#This Row],[Pop at Risk Raw]]))*(10)/(ASINH(R$4))</f>
        <v>0</v>
      </c>
      <c r="T810" s="257">
        <f>FMS_Ranking4[[#This Row],[Population at risk, ArcSinh (0-10)]]*R$5*10</f>
        <v>0</v>
      </c>
      <c r="U810" s="259">
        <f>_xlfn.XLOOKUP(FMS_Ranking4[[#This Row],[FMS ID]],FMS_Input[FMS_ID],FMS_Input[CRITFAC100])</f>
        <v>0</v>
      </c>
      <c r="V810" s="255">
        <f>(ASINH(FMS_Ranking4[[#This Row],[Critical Facilities Raw]]))*(10)/(ASINH(U$4))</f>
        <v>0</v>
      </c>
      <c r="W810" s="257">
        <f>FMS_Ranking4[[#This Row],[Critical facilities at risk, ArcSinh (0-10)]]*U$5*10</f>
        <v>0</v>
      </c>
      <c r="X810" s="259">
        <f>_xlfn.XLOOKUP(FMS_Ranking4[[#This Row],[FMS ID]],FMS_Input[FMS_ID],FMS_Input[LWC])</f>
        <v>0</v>
      </c>
      <c r="Y810" s="255">
        <f>(ASINH(FMS_Ranking4[[#This Row],[LWC Raw]]))*(10)/(ASINH(X$4))</f>
        <v>0</v>
      </c>
      <c r="Z810" s="257">
        <f>FMS_Ranking4[[#This Row],[LWC, ArcSInh (0-10)]]*X$5*10</f>
        <v>0</v>
      </c>
      <c r="AA810" s="259">
        <f>_xlfn.XLOOKUP(FMS_Ranking4[[#This Row],[FMS ID]],FMS_Input[FMS_ID],FMS_Input[ROADCLS])</f>
        <v>0</v>
      </c>
      <c r="AB810" s="255">
        <f>(ASINH(FMS_Ranking4[[#This Row],[Road Closures Raw]]))*(10)/(ASINH(AA$4))</f>
        <v>0</v>
      </c>
      <c r="AC810" s="255">
        <f>FMS_Ranking4[[#This Row],[Road closures, ArcSinh (0-10)]]*AA$5*10</f>
        <v>0</v>
      </c>
      <c r="AD810" s="259">
        <f>_xlfn.XLOOKUP(FMS_Ranking4[[#This Row],[FMS ID]],FMS_Input[FMS_ID],FMS_Input[ROAD_MILES100])</f>
        <v>0</v>
      </c>
      <c r="AE810" s="255">
        <f>(ASINH(FMS_Ranking4[[#This Row],[Road Miles Raw]]))*(10)/(ASINH(AD$4))</f>
        <v>0</v>
      </c>
      <c r="AF810" s="257">
        <f>FMS_Ranking4[[#This Row],[Length of roads at risk, ArcSinh (0-10)]]*AD$5*10</f>
        <v>0</v>
      </c>
      <c r="AG810" s="259">
        <f>_xlfn.XLOOKUP(FMS_Ranking4[[#This Row],[FMS ID]],FMS_Input[FMS_ID],FMS_Input[FARMACRE100])</f>
        <v>0.89353829622268677</v>
      </c>
      <c r="AH810" s="255">
        <f>(ASINH(FMS_Ranking4[[#This Row],[Ag Land Raw]]))*(10)/(ASINH(AG$4))</f>
        <v>0.52230005122030609</v>
      </c>
      <c r="AI810" s="254">
        <f>FMS_Ranking4[[#This Row],[Farm &amp; ranch land, ArcSinh (0-10)]]*AG$5*10</f>
        <v>0.26115002561015305</v>
      </c>
      <c r="AJ810" s="258">
        <f>_xlfn.XLOOKUP(FMS_Ranking4[[#This Row],[FMS ID]],FMS_Input[FMS_ID],FMS_Input[REDSTRUCT100])</f>
        <v>0</v>
      </c>
      <c r="AK810" s="253">
        <f>_xlfn.XLOOKUP(FMS_Ranking4[[#This Row],[FMS ID]],FMS_Input[FMS_ID],FMS_Input[REMSTRC100])</f>
        <v>0</v>
      </c>
      <c r="AL810" s="255">
        <f>(ASINH(FMS_Ranking4[[#This Row],[Structures Removed Raw]]))*(10)/(ASINH(AK$4))</f>
        <v>0</v>
      </c>
      <c r="AM810" s="254">
        <f>FMS_Ranking4[[#This Row],[Structures removed, ArcSinh (0-10)]]*AK$5*10</f>
        <v>0</v>
      </c>
      <c r="AN810" s="253">
        <f>_xlfn.XLOOKUP(FMS_Ranking4[[#This Row],[FMS ID]],FMS_Input[FMS_ID],FMS_Input[REMRESSTRC100])</f>
        <v>0</v>
      </c>
      <c r="AO810" s="258">
        <f>FMS_Ranking4[[#This Row],[ArcSinh Res struct removed 0-10]]*AN$5*10</f>
        <v>0</v>
      </c>
      <c r="AP810" s="254">
        <f>ASINH(FMS_Ranking4[[#This Row],[Residential Structures Removed Raw]])/AP$4*AN$5*100</f>
        <v>0</v>
      </c>
      <c r="AQ810" s="261">
        <f>(ASINH(FMS_Ranking4[[#This Row],[Residential Structures Removed Raw]]))*(10)/(ASINH(AN$4))</f>
        <v>0</v>
      </c>
      <c r="AR810" s="253">
        <f>_xlfn.XLOOKUP(FMS_Ranking4[[#This Row],[FMS ID]],FMS_Input[FMS_ID],FMS_Input[REMPOP100])</f>
        <v>0</v>
      </c>
      <c r="AS810" s="255">
        <f>(ASINH(FMS_Ranking4[[#This Row],[Removed Pop Raw]]))*(10)/(ASINH(AR$4))</f>
        <v>0</v>
      </c>
      <c r="AT810" s="263">
        <f>FMS_Ranking4[[#This Row],[Removed population, ArcSinh (0-10)]]*AR$5*10</f>
        <v>0</v>
      </c>
      <c r="AU810" s="264">
        <f>_xlfn.XLOOKUP(FMS_Ranking4[[#This Row],[FMS ID]],FMS_Input[FMS_ID],FMS_Input[REMCRITFAC100])</f>
        <v>0</v>
      </c>
      <c r="AV810" s="264">
        <f>_xlfn.XLOOKUP(FMS_Ranking4[[#This Row],[FMS ID]],FMS_Input[FMS_ID],FMS_Input[REMLWC100])</f>
        <v>0</v>
      </c>
      <c r="AW810" s="264">
        <f>_xlfn.XLOOKUP(FMS_Ranking4[[#This Row],[FMS ID]],FMS_Input[FMS_ID],FMS_Input[REMROADCLS])</f>
        <v>0</v>
      </c>
      <c r="AX810" s="264">
        <f>_xlfn.XLOOKUP(FMS_Ranking4[[#This Row],[FMS ID]],FMS_Input[FMS_ID],FMS_Input[REMFRMACRE100])</f>
        <v>0</v>
      </c>
      <c r="AY810" s="258">
        <f>_xlfn.XLOOKUP(FMS_Ranking4[[#This Row],[FMS ID]],FMS_Input[FMS_ID],FMS_Input[COSTSTRUCT])</f>
        <v>0</v>
      </c>
      <c r="AZ810" s="258">
        <f>_xlfn.XLOOKUP(FMS_Ranking4[[#This Row],[FMS ID]],FMS_Input[FMS_ID],FMS_Input[NATURE])</f>
        <v>0</v>
      </c>
      <c r="BA810" s="290">
        <f>(((FMS_Ranking4[[#This Row],[% NBS Raw]]/AZ$4)*100)*AZ$5)</f>
        <v>0</v>
      </c>
      <c r="BB810" s="251" t="str">
        <f>_xlfn.XLOOKUP(FMS_Ranking4[[#This Row],[FMS ID]],FMS_Input[FMS_ID],FMS_Input[WATER_SUP])</f>
        <v>No</v>
      </c>
      <c r="BC810" s="265">
        <f>IF(FMS_Ranking4[[#This Row],[Water Supply Raw]]="Yes",10,0)</f>
        <v>0</v>
      </c>
      <c r="BD810" s="251">
        <f>_xlfn.XLOOKUP(FMS_Ranking4[[#This Row],[FMS Type]],FMS_TYPE[FMS_Type],FMS_TYPE[Score])</f>
        <v>8</v>
      </c>
      <c r="BE810" s="267">
        <f>FMS_Ranking4[[#This Row],[FMS_Type Score]]*$BD$5*10</f>
        <v>2</v>
      </c>
      <c r="BF810"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1.842275970437195E-6</v>
      </c>
      <c r="BG810" s="321">
        <f>_xlfn.RANK.EQ(BF810,$BF$8:$BF$870,0)+COUNTIF($BF$8:BF810,BF810)-1</f>
        <v>800</v>
      </c>
      <c r="BH810" s="294">
        <f>(((FMS_Ranking4[[#This Row],[Structures Removed Raw]]/AK$4)*100)*AK$5)+(((FMS_Ranking4[[#This Row],[Removed Pop Raw]]/AR$4)*100)*AR$5)</f>
        <v>0</v>
      </c>
      <c r="BI81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2.0000018422759704</v>
      </c>
      <c r="BJ810" s="296">
        <f>_xlfn.RANK.EQ(FMS_Ranking4[[#This Row],[Total Score 
(with linear
normalization)]],FMS_Ranking4[Total Score 
(with linear
normalization)],0)</f>
        <v>492</v>
      </c>
      <c r="BK810" s="292" t="e">
        <f>_xlfn.XLOOKUP(FMS_Ranking4[[#This Row],[FMS ID]],#REF!,#REF!)</f>
        <v>#REF!</v>
      </c>
      <c r="BL810"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0.26115002561015305</v>
      </c>
      <c r="BM810" s="298">
        <f>FMS_Ranking4[[#This Row],[ArcSinh Score Based on Normalized Reported Factors]]+FMS_Ranking4[[#This Row],[% NBS Score (Normalized)]]+(FMS_Ranking4[[#This Row],[Water Supply Score (Normalized)]]*10*$BB$5)+FMS_Ranking4[[#This Row],[FMS_Type Score Weighted]]</f>
        <v>2.2611500256101529</v>
      </c>
      <c r="BN810" s="323">
        <f>_xlfn.RANK.EQ(FMS_Ranking4[[#This Row],[Total Score (with ArcSinh normalization of select criteria)]],FMS_Ranking4[Total Score (with ArcSinh normalization of select criteria)],0)</f>
        <v>803</v>
      </c>
      <c r="BO810" s="270" t="str">
        <f>_xlfn.XLOOKUP(FMS_Ranking4[[#This Row],[FMS ID]],FMS_Input[FMS_ID],FMS_Input[FMS_RANK_YEAR])</f>
        <v>2023 Amended Plan</v>
      </c>
      <c r="BP810" s="204">
        <f>_xlfn.XLOOKUP(FMS_Ranking4[[#This Row],[FMS ID]],Prev_Rank[FMS ID],Prev_Rank[Prev Rank])</f>
        <v>728</v>
      </c>
      <c r="BQ810" s="265" t="e">
        <f>_xlfn.XLOOKUP(FMS_Ranking4[[#This Row],[FMS ID]],#REF!,#REF!)</f>
        <v>#REF!</v>
      </c>
      <c r="BR810" s="199" t="e">
        <f>SUM(#REF!,#REF!,#REF!,#REF!,#REF!,#REF!,#REF!,#REF!,#REF!,FMS_Ranking4[[#This Row],[ArcSinh Res struct removed 0-10]],#REF!)</f>
        <v>#REF!</v>
      </c>
      <c r="BS810" s="199" t="e">
        <f>FMS_Ranking4[[#This Row],[Log Score Based on Normalized Reported Factors]]+FMS_Ranking4[[#This Row],[% NBS Score (Normalized)]]+(FMS_Ranking4[[#This Row],[Water Supply Score (Normalized)]]*10*$BB$5)+(FMS_Ranking4[[#This Row],[FMS_Type Score Weighted]])</f>
        <v>#REF!</v>
      </c>
      <c r="BT810" s="200" t="e">
        <f>_xlfn.RANK.EQ(FMS_Ranking4[[#This Row],[Log Total Score]],FMS_Ranking4[Log Total Score],0)</f>
        <v>#REF!</v>
      </c>
      <c r="BU810" s="200" t="e">
        <f>_xlfn.XLOOKUP(FMS_Ranking4[[#This Row],[FMS ID]],#REF!,#REF!)</f>
        <v>#REF!</v>
      </c>
      <c r="BV810" s="200">
        <f>FMS_Ranking4[[#This Row],[Region Number]]</f>
        <v>1</v>
      </c>
      <c r="BW810" s="200">
        <f>FMS_Ranking4[[#This Row],[Rank (with ArcSinh normalization of select criteria)]]-FMS_Ranking4[[#This Row],[Rank
(with linear
normalization)]]</f>
        <v>311</v>
      </c>
      <c r="BX810" s="200" t="e">
        <f>FMS_Ranking4[[#This Row],[Log Rank]]-FMS_Ranking4[[#This Row],[Rank
(with linear
normalization)]]</f>
        <v>#REF!</v>
      </c>
      <c r="BY810" s="200" t="str">
        <f>IF(FMS_Ranking4[[#This Row],[FMS Type]]="Flood Measurement and Warning",FMS_Ranking4[[#This Row],[Rank (with ArcSinh normalization of select criteria)]],"")</f>
        <v/>
      </c>
      <c r="BZ810" s="200">
        <f>IF(FMS_Ranking4[[#This Row],[FMS Type]]="Regulatory and Guidance",FMS_Ranking4[[#This Row],[Rank (with ArcSinh normalization of select criteria)]],"")</f>
        <v>803</v>
      </c>
      <c r="CA810" s="200" t="str">
        <f>IF(FMS_Ranking4[[#This Row],[FMS Type]]="Education and Outreach",FMS_Ranking4[[#This Row],[Rank (with ArcSinh normalization of select criteria)]],"")</f>
        <v/>
      </c>
      <c r="CB810" s="200" t="str">
        <f>IF(FMS_Ranking4[[#This Row],[FMS Type]]="Property Acquisition and Structural Elevation",FMS_Ranking4[[#This Row],[Rank (with ArcSinh normalization of select criteria)]],"")</f>
        <v/>
      </c>
      <c r="CC810" s="200" t="str">
        <f>IF(FMS_Ranking4[[#This Row],[FMS Type]]="Infrastructure Projects",FMS_Ranking4[[#This Row],[Rank (with ArcSinh normalization of select criteria)]],"")</f>
        <v/>
      </c>
      <c r="CD810" s="200" t="str">
        <f>IF(FMS_Ranking4[[#This Row],[FMS Type]]="Other",FMS_Ranking4[[#This Row],[Rank (with ArcSinh normalization of select criteria)]],"")</f>
        <v/>
      </c>
    </row>
    <row r="811" spans="2:82" ht="45" x14ac:dyDescent="0.25">
      <c r="B811" s="342" t="s">
        <v>2378</v>
      </c>
      <c r="C811" s="287">
        <f>_xlfn.XLOOKUP(FMS_Ranking4[[#This Row],[FMS ID]],FMS_Input[FMS_ID],FMS_Input[RFPG_NUM])</f>
        <v>3</v>
      </c>
      <c r="D811" s="309" t="str">
        <f>_xlfn.XLOOKUP(FMS_Ranking4[[#This Row],[FMS ID]],FMS_Input[FMS_ID],FMS_Input[FMS_NAME])</f>
        <v>City of Kirvin NFIP Floodplain Ordinance</v>
      </c>
      <c r="E811" s="322" t="str">
        <f>_xlfn.XLOOKUP(FMS_Ranking4[[#This Row],[FMS ID]],FMS_Input[FMS_ID],FMS_Input[SPONSOR])</f>
        <v>Kirvin</v>
      </c>
      <c r="F811" s="309" t="str">
        <f>_xlfn.XLOOKUP(FMS_Ranking4[[#This Row],[FMS ID]],Sponsor[FMS_ID],Sponsor[SPONSOR NAME])</f>
        <v>Kirvin</v>
      </c>
      <c r="G811" s="309" t="str">
        <f>_xlfn.XLOOKUP(FMS_Ranking4[[#This Row],[FMS ID]],FMS_Input[FMS_ID],FMS_Input[FMS_DESCR])</f>
        <v>Develop a floodplain ordinance that meets or exceeds FEMA's minimum standards</v>
      </c>
      <c r="H811" s="247" t="str">
        <f>_xlfn.XLOOKUP(FMS_Ranking4[[#This Row],[FMS ID]],FMS_Input[FMS_ID],FMS_Input[FMS_TYPE])</f>
        <v>Regulatory and Guidance</v>
      </c>
      <c r="I811" s="288">
        <f>_xlfn.XLOOKUP(FMS_Ranking4[[#This Row],[FMS ID]],FMS_Input[FMS_ID],FMS_Input[NRNC_COST])</f>
        <v>100000</v>
      </c>
      <c r="J811" s="250">
        <f>_xlfn.XLOOKUP(FMS_Ranking4[[#This Row],[FMS ID]],FMS_Input[FMS_ID],FMS_Input[FMS_COST])</f>
        <v>100000</v>
      </c>
      <c r="K811" s="289" t="str">
        <f>_xlfn.XLOOKUP(FMS_Ranking4[[#This Row],[FMS ID]],FMS_Input[FMS_ID],FMS_Input[EMER_NEED])</f>
        <v>No</v>
      </c>
      <c r="L811" s="252">
        <f t="shared" si="12"/>
        <v>0</v>
      </c>
      <c r="M811" s="253">
        <f>_xlfn.XLOOKUP(FMS_Ranking4[[#This Row],[FMS ID]],FMS_Input[FMS_ID],FMS_Input[STRUCT_100])</f>
        <v>0</v>
      </c>
      <c r="N811" s="255">
        <f>(ASINH(FMS_Ranking4[[#This Row],[Structure at Risk Raw]]))*(10)/(ASINH(M$4))</f>
        <v>0</v>
      </c>
      <c r="O811" s="255">
        <f>FMS_Ranking4[[#This Row],[Structures at risk, ArcSinh (0-10)]]*M$5*10</f>
        <v>0</v>
      </c>
      <c r="P811" s="259">
        <f>_xlfn.XLOOKUP(FMS_Ranking4[[#This Row],[FMS ID]],FMS_Input[FMS_ID],FMS_Input[RES_STRUCT100])</f>
        <v>0</v>
      </c>
      <c r="Q811" s="257">
        <f>ASINH(FMS_Ranking4[[#This Row],[Res Structure Raw]])/Q$4*P$5*100</f>
        <v>0</v>
      </c>
      <c r="R811" s="259">
        <f>_xlfn.XLOOKUP(FMS_Ranking4[[#This Row],[FMS ID]],FMS_Input[FMS_ID],FMS_Input[POP100])</f>
        <v>0</v>
      </c>
      <c r="S811" s="255">
        <f>(ASINH(FMS_Ranking4[[#This Row],[Pop at Risk Raw]]))*(10)/(ASINH(R$4))</f>
        <v>0</v>
      </c>
      <c r="T811" s="257">
        <f>FMS_Ranking4[[#This Row],[Population at risk, ArcSinh (0-10)]]*R$5*10</f>
        <v>0</v>
      </c>
      <c r="U811" s="259">
        <f>_xlfn.XLOOKUP(FMS_Ranking4[[#This Row],[FMS ID]],FMS_Input[FMS_ID],FMS_Input[CRITFAC100])</f>
        <v>0</v>
      </c>
      <c r="V811" s="255">
        <f>(ASINH(FMS_Ranking4[[#This Row],[Critical Facilities Raw]]))*(10)/(ASINH(U$4))</f>
        <v>0</v>
      </c>
      <c r="W811" s="257">
        <f>FMS_Ranking4[[#This Row],[Critical facilities at risk, ArcSinh (0-10)]]*U$5*10</f>
        <v>0</v>
      </c>
      <c r="X811" s="259">
        <f>_xlfn.XLOOKUP(FMS_Ranking4[[#This Row],[FMS ID]],FMS_Input[FMS_ID],FMS_Input[LWC])</f>
        <v>0</v>
      </c>
      <c r="Y811" s="255">
        <f>(ASINH(FMS_Ranking4[[#This Row],[LWC Raw]]))*(10)/(ASINH(X$4))</f>
        <v>0</v>
      </c>
      <c r="Z811" s="257">
        <f>FMS_Ranking4[[#This Row],[LWC, ArcSInh (0-10)]]*X$5*10</f>
        <v>0</v>
      </c>
      <c r="AA811" s="259">
        <f>_xlfn.XLOOKUP(FMS_Ranking4[[#This Row],[FMS ID]],FMS_Input[FMS_ID],FMS_Input[ROADCLS])</f>
        <v>0</v>
      </c>
      <c r="AB811" s="255">
        <f>(ASINH(FMS_Ranking4[[#This Row],[Road Closures Raw]]))*(10)/(ASINH(AA$4))</f>
        <v>0</v>
      </c>
      <c r="AC811" s="255">
        <f>FMS_Ranking4[[#This Row],[Road closures, ArcSinh (0-10)]]*AA$5*10</f>
        <v>0</v>
      </c>
      <c r="AD811" s="259">
        <f>_xlfn.XLOOKUP(FMS_Ranking4[[#This Row],[FMS ID]],FMS_Input[FMS_ID],FMS_Input[ROAD_MILES100])</f>
        <v>0</v>
      </c>
      <c r="AE811" s="255">
        <f>(ASINH(FMS_Ranking4[[#This Row],[Road Miles Raw]]))*(10)/(ASINH(AD$4))</f>
        <v>0</v>
      </c>
      <c r="AF811" s="257">
        <f>FMS_Ranking4[[#This Row],[Length of roads at risk, ArcSinh (0-10)]]*AD$5*10</f>
        <v>0</v>
      </c>
      <c r="AG811" s="259">
        <f>_xlfn.XLOOKUP(FMS_Ranking4[[#This Row],[FMS ID]],FMS_Input[FMS_ID],FMS_Input[FARMACRE100])</f>
        <v>0.844482421875</v>
      </c>
      <c r="AH811" s="255">
        <f>(ASINH(FMS_Ranking4[[#This Row],[Ag Land Raw]]))*(10)/(ASINH(AG$4))</f>
        <v>0.49824694605027731</v>
      </c>
      <c r="AI811" s="254">
        <f>FMS_Ranking4[[#This Row],[Farm &amp; ranch land, ArcSinh (0-10)]]*AG$5*10</f>
        <v>0.24912347302513865</v>
      </c>
      <c r="AJ811" s="258">
        <f>_xlfn.XLOOKUP(FMS_Ranking4[[#This Row],[FMS ID]],FMS_Input[FMS_ID],FMS_Input[REDSTRUCT100])</f>
        <v>0</v>
      </c>
      <c r="AK811" s="253">
        <f>_xlfn.XLOOKUP(FMS_Ranking4[[#This Row],[FMS ID]],FMS_Input[FMS_ID],FMS_Input[REMSTRC100])</f>
        <v>0</v>
      </c>
      <c r="AL811" s="255">
        <f>(ASINH(FMS_Ranking4[[#This Row],[Structures Removed Raw]]))*(10)/(ASINH(AK$4))</f>
        <v>0</v>
      </c>
      <c r="AM811" s="254">
        <f>FMS_Ranking4[[#This Row],[Structures removed, ArcSinh (0-10)]]*AK$5*10</f>
        <v>0</v>
      </c>
      <c r="AN811" s="253">
        <f>_xlfn.XLOOKUP(FMS_Ranking4[[#This Row],[FMS ID]],FMS_Input[FMS_ID],FMS_Input[REMRESSTRC100])</f>
        <v>0</v>
      </c>
      <c r="AO811" s="258">
        <f>FMS_Ranking4[[#This Row],[ArcSinh Res struct removed 0-10]]*AN$5*10</f>
        <v>0</v>
      </c>
      <c r="AP811" s="254">
        <f>ASINH(FMS_Ranking4[[#This Row],[Residential Structures Removed Raw]])/AP$4*AN$5*100</f>
        <v>0</v>
      </c>
      <c r="AQ811" s="261">
        <f>(ASINH(FMS_Ranking4[[#This Row],[Residential Structures Removed Raw]]))*(10)/(ASINH(AN$4))</f>
        <v>0</v>
      </c>
      <c r="AR811" s="253">
        <f>_xlfn.XLOOKUP(FMS_Ranking4[[#This Row],[FMS ID]],FMS_Input[FMS_ID],FMS_Input[REMPOP100])</f>
        <v>0</v>
      </c>
      <c r="AS811" s="255">
        <f>(ASINH(FMS_Ranking4[[#This Row],[Removed Pop Raw]]))*(10)/(ASINH(AR$4))</f>
        <v>0</v>
      </c>
      <c r="AT811" s="263">
        <f>FMS_Ranking4[[#This Row],[Removed population, ArcSinh (0-10)]]*AR$5*10</f>
        <v>0</v>
      </c>
      <c r="AU811" s="264">
        <f>_xlfn.XLOOKUP(FMS_Ranking4[[#This Row],[FMS ID]],FMS_Input[FMS_ID],FMS_Input[REMCRITFAC100])</f>
        <v>0</v>
      </c>
      <c r="AV811" s="264">
        <f>_xlfn.XLOOKUP(FMS_Ranking4[[#This Row],[FMS ID]],FMS_Input[FMS_ID],FMS_Input[REMLWC100])</f>
        <v>0</v>
      </c>
      <c r="AW811" s="264">
        <f>_xlfn.XLOOKUP(FMS_Ranking4[[#This Row],[FMS ID]],FMS_Input[FMS_ID],FMS_Input[REMROADCLS])</f>
        <v>0</v>
      </c>
      <c r="AX811" s="264">
        <f>_xlfn.XLOOKUP(FMS_Ranking4[[#This Row],[FMS ID]],FMS_Input[FMS_ID],FMS_Input[REMFRMACRE100])</f>
        <v>0</v>
      </c>
      <c r="AY811" s="258">
        <f>_xlfn.XLOOKUP(FMS_Ranking4[[#This Row],[FMS ID]],FMS_Input[FMS_ID],FMS_Input[COSTSTRUCT])</f>
        <v>0</v>
      </c>
      <c r="AZ811" s="258">
        <f>_xlfn.XLOOKUP(FMS_Ranking4[[#This Row],[FMS ID]],FMS_Input[FMS_ID],FMS_Input[NATURE])</f>
        <v>0</v>
      </c>
      <c r="BA811" s="290">
        <f>(((FMS_Ranking4[[#This Row],[% NBS Raw]]/AZ$4)*100)*AZ$5)</f>
        <v>0</v>
      </c>
      <c r="BB811" s="251" t="str">
        <f>_xlfn.XLOOKUP(FMS_Ranking4[[#This Row],[FMS ID]],FMS_Input[FMS_ID],FMS_Input[WATER_SUP])</f>
        <v>No</v>
      </c>
      <c r="BC811" s="265">
        <f>IF(FMS_Ranking4[[#This Row],[Water Supply Raw]]="Yes",10,0)</f>
        <v>0</v>
      </c>
      <c r="BD811" s="251">
        <f>_xlfn.XLOOKUP(FMS_Ranking4[[#This Row],[FMS Type]],FMS_TYPE[FMS_Type],FMS_TYPE[Score])</f>
        <v>8</v>
      </c>
      <c r="BE811" s="267">
        <f>FMS_Ranking4[[#This Row],[FMS_Type Score]]*$BD$5*10</f>
        <v>2</v>
      </c>
      <c r="BF811"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1.7411337374723903E-6</v>
      </c>
      <c r="BG811" s="321">
        <f>_xlfn.RANK.EQ(BF811,$BF$8:$BF$870,0)+COUNTIF($BF$8:BF811,BF811)-1</f>
        <v>801</v>
      </c>
      <c r="BH811" s="294">
        <f>(((FMS_Ranking4[[#This Row],[Structures Removed Raw]]/AK$4)*100)*AK$5)+(((FMS_Ranking4[[#This Row],[Removed Pop Raw]]/AR$4)*100)*AR$5)</f>
        <v>0</v>
      </c>
      <c r="BI81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2.0000017411337376</v>
      </c>
      <c r="BJ811" s="296">
        <f>_xlfn.RANK.EQ(FMS_Ranking4[[#This Row],[Total Score 
(with linear
normalization)]],FMS_Ranking4[Total Score 
(with linear
normalization)],0)</f>
        <v>493</v>
      </c>
      <c r="BK811" s="292" t="e">
        <f>_xlfn.XLOOKUP(FMS_Ranking4[[#This Row],[FMS ID]],#REF!,#REF!)</f>
        <v>#REF!</v>
      </c>
      <c r="BL811"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0.24912347302513865</v>
      </c>
      <c r="BM811" s="298">
        <f>FMS_Ranking4[[#This Row],[ArcSinh Score Based on Normalized Reported Factors]]+FMS_Ranking4[[#This Row],[% NBS Score (Normalized)]]+(FMS_Ranking4[[#This Row],[Water Supply Score (Normalized)]]*10*$BB$5)+FMS_Ranking4[[#This Row],[FMS_Type Score Weighted]]</f>
        <v>2.2491234730251386</v>
      </c>
      <c r="BN811" s="323">
        <f>_xlfn.RANK.EQ(FMS_Ranking4[[#This Row],[Total Score (with ArcSinh normalization of select criteria)]],FMS_Ranking4[Total Score (with ArcSinh normalization of select criteria)],0)</f>
        <v>804</v>
      </c>
      <c r="BO811" s="270" t="str">
        <f>_xlfn.XLOOKUP(FMS_Ranking4[[#This Row],[FMS ID]],FMS_Input[FMS_ID],FMS_Input[FMS_RANK_YEAR])</f>
        <v>2023 Amended Plan</v>
      </c>
      <c r="BP811" s="204">
        <f>_xlfn.XLOOKUP(FMS_Ranking4[[#This Row],[FMS ID]],Prev_Rank[FMS ID],Prev_Rank[Prev Rank])</f>
        <v>729</v>
      </c>
      <c r="BQ811" s="265" t="e">
        <f>_xlfn.XLOOKUP(FMS_Ranking4[[#This Row],[FMS ID]],#REF!,#REF!)</f>
        <v>#REF!</v>
      </c>
      <c r="BR811" s="199" t="e">
        <f>SUM(#REF!,#REF!,#REF!,#REF!,#REF!,#REF!,#REF!,#REF!,#REF!,FMS_Ranking4[[#This Row],[ArcSinh Res struct removed 0-10]],#REF!)</f>
        <v>#REF!</v>
      </c>
      <c r="BS811" s="199" t="e">
        <f>FMS_Ranking4[[#This Row],[Log Score Based on Normalized Reported Factors]]+FMS_Ranking4[[#This Row],[% NBS Score (Normalized)]]+(FMS_Ranking4[[#This Row],[Water Supply Score (Normalized)]]*10*$BB$5)+(FMS_Ranking4[[#This Row],[FMS_Type Score Weighted]])</f>
        <v>#REF!</v>
      </c>
      <c r="BT811" s="200" t="e">
        <f>_xlfn.RANK.EQ(FMS_Ranking4[[#This Row],[Log Total Score]],FMS_Ranking4[Log Total Score],0)</f>
        <v>#REF!</v>
      </c>
      <c r="BU811" s="200" t="e">
        <f>_xlfn.XLOOKUP(FMS_Ranking4[[#This Row],[FMS ID]],#REF!,#REF!)</f>
        <v>#REF!</v>
      </c>
      <c r="BV811" s="200">
        <f>FMS_Ranking4[[#This Row],[Region Number]]</f>
        <v>3</v>
      </c>
      <c r="BW811" s="200">
        <f>FMS_Ranking4[[#This Row],[Rank (with ArcSinh normalization of select criteria)]]-FMS_Ranking4[[#This Row],[Rank
(with linear
normalization)]]</f>
        <v>311</v>
      </c>
      <c r="BX811" s="200" t="e">
        <f>FMS_Ranking4[[#This Row],[Log Rank]]-FMS_Ranking4[[#This Row],[Rank
(with linear
normalization)]]</f>
        <v>#REF!</v>
      </c>
      <c r="BY811" s="200" t="str">
        <f>IF(FMS_Ranking4[[#This Row],[FMS Type]]="Flood Measurement and Warning",FMS_Ranking4[[#This Row],[Rank (with ArcSinh normalization of select criteria)]],"")</f>
        <v/>
      </c>
      <c r="BZ811" s="200">
        <f>IF(FMS_Ranking4[[#This Row],[FMS Type]]="Regulatory and Guidance",FMS_Ranking4[[#This Row],[Rank (with ArcSinh normalization of select criteria)]],"")</f>
        <v>804</v>
      </c>
      <c r="CA811" s="200" t="str">
        <f>IF(FMS_Ranking4[[#This Row],[FMS Type]]="Education and Outreach",FMS_Ranking4[[#This Row],[Rank (with ArcSinh normalization of select criteria)]],"")</f>
        <v/>
      </c>
      <c r="CB811" s="200" t="str">
        <f>IF(FMS_Ranking4[[#This Row],[FMS Type]]="Property Acquisition and Structural Elevation",FMS_Ranking4[[#This Row],[Rank (with ArcSinh normalization of select criteria)]],"")</f>
        <v/>
      </c>
      <c r="CC811" s="200" t="str">
        <f>IF(FMS_Ranking4[[#This Row],[FMS Type]]="Infrastructure Projects",FMS_Ranking4[[#This Row],[Rank (with ArcSinh normalization of select criteria)]],"")</f>
        <v/>
      </c>
      <c r="CD811" s="200" t="str">
        <f>IF(FMS_Ranking4[[#This Row],[FMS Type]]="Other",FMS_Ranking4[[#This Row],[Rank (with ArcSinh normalization of select criteria)]],"")</f>
        <v/>
      </c>
    </row>
    <row r="812" spans="2:82" ht="60" x14ac:dyDescent="0.25">
      <c r="B812" s="342" t="s">
        <v>4875</v>
      </c>
      <c r="C812" s="287">
        <f>_xlfn.XLOOKUP(FMS_Ranking4[[#This Row],[FMS ID]],FMS_Input[FMS_ID],FMS_Input[RFPG_NUM])</f>
        <v>4</v>
      </c>
      <c r="D812" s="309" t="str">
        <f>_xlfn.XLOOKUP(FMS_Ranking4[[#This Row],[FMS ID]],FMS_Input[FMS_ID],FMS_Input[FMS_NAME])</f>
        <v>City of Cumby Flood Awareness Program</v>
      </c>
      <c r="E812" s="322" t="str">
        <f>_xlfn.XLOOKUP(FMS_Ranking4[[#This Row],[FMS ID]],FMS_Input[FMS_ID],FMS_Input[SPONSOR])</f>
        <v>00003433</v>
      </c>
      <c r="F812" s="309" t="str">
        <f>_xlfn.XLOOKUP(FMS_Ranking4[[#This Row],[FMS ID]],Sponsor[FMS_ID],Sponsor[SPONSOR NAME])</f>
        <v>Cumby</v>
      </c>
      <c r="G812" s="309" t="str">
        <f>_xlfn.XLOOKUP(FMS_Ranking4[[#This Row],[FMS ID]],FMS_Input[FMS_ID],FMS_Input[FMS_DESCR])</f>
        <v>Disseminate PSA’s, Newspaper Articles through local media about dangers of flooded county roads</v>
      </c>
      <c r="H812" s="247" t="str">
        <f>_xlfn.XLOOKUP(FMS_Ranking4[[#This Row],[FMS ID]],FMS_Input[FMS_ID],FMS_Input[FMS_TYPE])</f>
        <v>Education and Outreach</v>
      </c>
      <c r="I812" s="288">
        <f>_xlfn.XLOOKUP(FMS_Ranking4[[#This Row],[FMS ID]],FMS_Input[FMS_ID],FMS_Input[NRNC_COST])</f>
        <v>11500</v>
      </c>
      <c r="J812" s="250">
        <f>_xlfn.XLOOKUP(FMS_Ranking4[[#This Row],[FMS ID]],FMS_Input[FMS_ID],FMS_Input[FMS_COST])</f>
        <v>11500</v>
      </c>
      <c r="K812" s="289" t="str">
        <f>_xlfn.XLOOKUP(FMS_Ranking4[[#This Row],[FMS ID]],FMS_Input[FMS_ID],FMS_Input[EMER_NEED])</f>
        <v>No</v>
      </c>
      <c r="L812" s="252">
        <f t="shared" si="12"/>
        <v>0</v>
      </c>
      <c r="M812" s="253">
        <f>_xlfn.XLOOKUP(FMS_Ranking4[[#This Row],[FMS ID]],FMS_Input[FMS_ID],FMS_Input[STRUCT_100])</f>
        <v>0</v>
      </c>
      <c r="N812" s="255">
        <f>(ASINH(FMS_Ranking4[[#This Row],[Structure at Risk Raw]]))*(10)/(ASINH(M$4))</f>
        <v>0</v>
      </c>
      <c r="O812" s="255">
        <f>FMS_Ranking4[[#This Row],[Structures at risk, ArcSinh (0-10)]]*M$5*10</f>
        <v>0</v>
      </c>
      <c r="P812" s="259">
        <f>_xlfn.XLOOKUP(FMS_Ranking4[[#This Row],[FMS ID]],FMS_Input[FMS_ID],FMS_Input[RES_STRUCT100])</f>
        <v>0</v>
      </c>
      <c r="Q812" s="257">
        <f>ASINH(FMS_Ranking4[[#This Row],[Res Structure Raw]])/Q$4*P$5*100</f>
        <v>0</v>
      </c>
      <c r="R812" s="259">
        <f>_xlfn.XLOOKUP(FMS_Ranking4[[#This Row],[FMS ID]],FMS_Input[FMS_ID],FMS_Input[POP100])</f>
        <v>0</v>
      </c>
      <c r="S812" s="259">
        <f>(ASINH(FMS_Ranking4[[#This Row],[Pop at Risk Raw]]))*(10)/(ASINH(R$4))</f>
        <v>0</v>
      </c>
      <c r="T812" s="257">
        <f>FMS_Ranking4[[#This Row],[Population at risk, ArcSinh (0-10)]]*R$5*10</f>
        <v>0</v>
      </c>
      <c r="U812" s="259">
        <f>_xlfn.XLOOKUP(FMS_Ranking4[[#This Row],[FMS ID]],FMS_Input[FMS_ID],FMS_Input[CRITFAC100])</f>
        <v>0</v>
      </c>
      <c r="V812" s="259">
        <f>(ASINH(FMS_Ranking4[[#This Row],[Critical Facilities Raw]]))*(10)/(ASINH(U$4))</f>
        <v>0</v>
      </c>
      <c r="W812" s="257">
        <f>FMS_Ranking4[[#This Row],[Critical facilities at risk, ArcSinh (0-10)]]*U$5*10</f>
        <v>0</v>
      </c>
      <c r="X812" s="259">
        <f>_xlfn.XLOOKUP(FMS_Ranking4[[#This Row],[FMS ID]],FMS_Input[FMS_ID],FMS_Input[LWC])</f>
        <v>0</v>
      </c>
      <c r="Y812" s="259">
        <f>(ASINH(FMS_Ranking4[[#This Row],[LWC Raw]]))*(10)/(ASINH(X$4))</f>
        <v>0</v>
      </c>
      <c r="Z812" s="257">
        <f>FMS_Ranking4[[#This Row],[LWC, ArcSInh (0-10)]]*X$5*10</f>
        <v>0</v>
      </c>
      <c r="AA812" s="259">
        <f>_xlfn.XLOOKUP(FMS_Ranking4[[#This Row],[FMS ID]],FMS_Input[FMS_ID],FMS_Input[ROADCLS])</f>
        <v>0</v>
      </c>
      <c r="AB812" s="255">
        <f>(ASINH(FMS_Ranking4[[#This Row],[Road Closures Raw]]))*(10)/(ASINH(AA$4))</f>
        <v>0</v>
      </c>
      <c r="AC812" s="255">
        <f>FMS_Ranking4[[#This Row],[Road closures, ArcSinh (0-10)]]*AA$5*10</f>
        <v>0</v>
      </c>
      <c r="AD812" s="259">
        <f>_xlfn.XLOOKUP(FMS_Ranking4[[#This Row],[FMS ID]],FMS_Input[FMS_ID],FMS_Input[ROAD_MILES100])</f>
        <v>0</v>
      </c>
      <c r="AE812" s="259">
        <f>(ASINH(FMS_Ranking4[[#This Row],[Road Miles Raw]]))*(10)/(ASINH(AD$4))</f>
        <v>0</v>
      </c>
      <c r="AF812" s="257">
        <f>FMS_Ranking4[[#This Row],[Length of roads at risk, ArcSinh (0-10)]]*AD$5*10</f>
        <v>0</v>
      </c>
      <c r="AG812" s="259">
        <f>_xlfn.XLOOKUP(FMS_Ranking4[[#This Row],[FMS ID]],FMS_Input[FMS_ID],FMS_Input[FARMACRE100])</f>
        <v>4.2725052833557129</v>
      </c>
      <c r="AH812" s="255">
        <f>(ASINH(FMS_Ranking4[[#This Row],[Ag Land Raw]]))*(10)/(ASINH(AG$4))</f>
        <v>1.4022969077736922</v>
      </c>
      <c r="AI812" s="254">
        <f>FMS_Ranking4[[#This Row],[Farm &amp; ranch land, ArcSinh (0-10)]]*AG$5*10</f>
        <v>0.7011484538868461</v>
      </c>
      <c r="AJ812" s="258">
        <f>_xlfn.XLOOKUP(FMS_Ranking4[[#This Row],[FMS ID]],FMS_Input[FMS_ID],FMS_Input[REDSTRUCT100])</f>
        <v>0</v>
      </c>
      <c r="AK812" s="253">
        <f>_xlfn.XLOOKUP(FMS_Ranking4[[#This Row],[FMS ID]],FMS_Input[FMS_ID],FMS_Input[REMSTRC100])</f>
        <v>0</v>
      </c>
      <c r="AL812" s="259">
        <f>(ASINH(FMS_Ranking4[[#This Row],[Structures Removed Raw]]))*(10)/(ASINH(AK$4))</f>
        <v>0</v>
      </c>
      <c r="AM812" s="254">
        <f>FMS_Ranking4[[#This Row],[Structures removed, ArcSinh (0-10)]]*AK$5*10</f>
        <v>0</v>
      </c>
      <c r="AN812" s="253">
        <f>_xlfn.XLOOKUP(FMS_Ranking4[[#This Row],[FMS ID]],FMS_Input[FMS_ID],FMS_Input[REMRESSTRC100])</f>
        <v>0</v>
      </c>
      <c r="AO812" s="258">
        <f>FMS_Ranking4[[#This Row],[ArcSinh Res struct removed 0-10]]*AN$5*10</f>
        <v>0</v>
      </c>
      <c r="AP812" s="254">
        <f>ASINH(FMS_Ranking4[[#This Row],[Residential Structures Removed Raw]])/AP$4*AN$5*100</f>
        <v>0</v>
      </c>
      <c r="AQ812" s="260">
        <f>(ASINH(FMS_Ranking4[[#This Row],[Residential Structures Removed Raw]]))*(10)/(ASINH(AN$4))</f>
        <v>0</v>
      </c>
      <c r="AR812" s="253">
        <f>_xlfn.XLOOKUP(FMS_Ranking4[[#This Row],[FMS ID]],FMS_Input[FMS_ID],FMS_Input[REMPOP100])</f>
        <v>0</v>
      </c>
      <c r="AS812" s="259">
        <f>(ASINH(FMS_Ranking4[[#This Row],[Removed Pop Raw]]))*(10)/(ASINH(AR$4))</f>
        <v>0</v>
      </c>
      <c r="AT812" s="263">
        <f>FMS_Ranking4[[#This Row],[Removed population, ArcSinh (0-10)]]*AR$5*10</f>
        <v>0</v>
      </c>
      <c r="AU812" s="264">
        <f>_xlfn.XLOOKUP(FMS_Ranking4[[#This Row],[FMS ID]],FMS_Input[FMS_ID],FMS_Input[REMCRITFAC100])</f>
        <v>0</v>
      </c>
      <c r="AV812" s="264">
        <f>_xlfn.XLOOKUP(FMS_Ranking4[[#This Row],[FMS ID]],FMS_Input[FMS_ID],FMS_Input[REMLWC100])</f>
        <v>0</v>
      </c>
      <c r="AW812" s="264">
        <f>_xlfn.XLOOKUP(FMS_Ranking4[[#This Row],[FMS ID]],FMS_Input[FMS_ID],FMS_Input[REMROADCLS])</f>
        <v>0</v>
      </c>
      <c r="AX812" s="264">
        <f>_xlfn.XLOOKUP(FMS_Ranking4[[#This Row],[FMS ID]],FMS_Input[FMS_ID],FMS_Input[REMFRMACRE100])</f>
        <v>0</v>
      </c>
      <c r="AY812" s="258">
        <f>_xlfn.XLOOKUP(FMS_Ranking4[[#This Row],[FMS ID]],FMS_Input[FMS_ID],FMS_Input[COSTSTRUCT])</f>
        <v>0</v>
      </c>
      <c r="AZ812" s="258">
        <f>_xlfn.XLOOKUP(FMS_Ranking4[[#This Row],[FMS ID]],FMS_Input[FMS_ID],FMS_Input[NATURE])</f>
        <v>0</v>
      </c>
      <c r="BA812" s="290">
        <f>(((FMS_Ranking4[[#This Row],[% NBS Raw]]/AZ$4)*100)*AZ$5)</f>
        <v>0</v>
      </c>
      <c r="BB812" s="251" t="str">
        <f>_xlfn.XLOOKUP(FMS_Ranking4[[#This Row],[FMS ID]],FMS_Input[FMS_ID],FMS_Input[WATER_SUP])</f>
        <v>No</v>
      </c>
      <c r="BC812" s="265">
        <f>IF(FMS_Ranking4[[#This Row],[Water Supply Raw]]="Yes",10,0)</f>
        <v>0</v>
      </c>
      <c r="BD812" s="251">
        <f>_xlfn.XLOOKUP(FMS_Ranking4[[#This Row],[FMS Type]],FMS_TYPE[FMS_Type],FMS_TYPE[Score])</f>
        <v>6</v>
      </c>
      <c r="BE812" s="267">
        <f>FMS_Ranking4[[#This Row],[FMS_Type Score]]*$BD$5*10</f>
        <v>1.5000000000000002</v>
      </c>
      <c r="BF812"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8.8089495999962747E-6</v>
      </c>
      <c r="BG812" s="269">
        <f>_xlfn.RANK.EQ(BF812,$BF$8:$BF$870,0)+COUNTIF($BF$8:BF812,BF812)-1</f>
        <v>795</v>
      </c>
      <c r="BH812" s="268">
        <f>(((FMS_Ranking4[[#This Row],[Structures Removed Raw]]/AK$4)*100)*AK$5)+(((FMS_Ranking4[[#This Row],[Removed Pop Raw]]/AR$4)*100)*AR$5)</f>
        <v>0</v>
      </c>
      <c r="BI81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1.5000088089496002</v>
      </c>
      <c r="BJ812" s="326">
        <f>_xlfn.RANK.EQ(FMS_Ranking4[[#This Row],[Total Score 
(with linear
normalization)]],FMS_Ranking4[Total Score 
(with linear
normalization)],0)</f>
        <v>609</v>
      </c>
      <c r="BK812" s="269" t="e">
        <f>_xlfn.XLOOKUP(FMS_Ranking4[[#This Row],[FMS ID]],#REF!,#REF!)</f>
        <v>#REF!</v>
      </c>
      <c r="BL812"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0.7011484538868461</v>
      </c>
      <c r="BM812" s="331">
        <f>FMS_Ranking4[[#This Row],[ArcSinh Score Based on Normalized Reported Factors]]+FMS_Ranking4[[#This Row],[% NBS Score (Normalized)]]+(FMS_Ranking4[[#This Row],[Water Supply Score (Normalized)]]*10*$BB$5)+FMS_Ranking4[[#This Row],[FMS_Type Score Weighted]]</f>
        <v>2.2011484538868462</v>
      </c>
      <c r="BN812" s="333">
        <f>_xlfn.RANK.EQ(FMS_Ranking4[[#This Row],[Total Score (with ArcSinh normalization of select criteria)]],FMS_Ranking4[Total Score (with ArcSinh normalization of select criteria)],0)</f>
        <v>805</v>
      </c>
      <c r="BO812" s="270" t="str">
        <f>_xlfn.XLOOKUP(FMS_Ranking4[[#This Row],[FMS ID]],FMS_Input[FMS_ID],FMS_Input[FMS_RANK_YEAR])</f>
        <v>2023 Amended Plan</v>
      </c>
      <c r="BP812" s="204">
        <f>_xlfn.XLOOKUP(FMS_Ranking4[[#This Row],[FMS ID]],Prev_Rank[FMS ID],Prev_Rank[Prev Rank])</f>
        <v>730</v>
      </c>
      <c r="BQ812" s="335" t="e">
        <f>_xlfn.XLOOKUP(FMS_Ranking4[[#This Row],[FMS ID]],#REF!,#REF!)</f>
        <v>#REF!</v>
      </c>
      <c r="BR812" s="199" t="e">
        <f>SUM(#REF!,#REF!,#REF!,#REF!,#REF!,#REF!,#REF!,#REF!,#REF!,FMS_Ranking4[[#This Row],[ArcSinh Res struct removed 0-10]],#REF!)</f>
        <v>#REF!</v>
      </c>
      <c r="BS812" s="199" t="e">
        <f>FMS_Ranking4[[#This Row],[Log Score Based on Normalized Reported Factors]]+FMS_Ranking4[[#This Row],[% NBS Score (Normalized)]]+(FMS_Ranking4[[#This Row],[Water Supply Score (Normalized)]]*10*$BB$5)+(FMS_Ranking4[[#This Row],[FMS_Type Score Weighted]])</f>
        <v>#REF!</v>
      </c>
      <c r="BT812" s="200" t="e">
        <f>_xlfn.RANK.EQ(FMS_Ranking4[[#This Row],[Log Total Score]],FMS_Ranking4[Log Total Score],0)</f>
        <v>#REF!</v>
      </c>
      <c r="BU812" s="200" t="e">
        <f>_xlfn.XLOOKUP(FMS_Ranking4[[#This Row],[FMS ID]],#REF!,#REF!)</f>
        <v>#REF!</v>
      </c>
      <c r="BV812" s="200">
        <f>FMS_Ranking4[[#This Row],[Region Number]]</f>
        <v>4</v>
      </c>
      <c r="BW812" s="200">
        <f>FMS_Ranking4[[#This Row],[Rank (with ArcSinh normalization of select criteria)]]-FMS_Ranking4[[#This Row],[Rank
(with linear
normalization)]]</f>
        <v>196</v>
      </c>
      <c r="BX812" s="200" t="e">
        <f>FMS_Ranking4[[#This Row],[Log Rank]]-FMS_Ranking4[[#This Row],[Rank
(with linear
normalization)]]</f>
        <v>#REF!</v>
      </c>
      <c r="BY812" s="200" t="str">
        <f>IF(FMS_Ranking4[[#This Row],[FMS Type]]="Flood Measurement and Warning",FMS_Ranking4[[#This Row],[Rank (with ArcSinh normalization of select criteria)]],"")</f>
        <v/>
      </c>
      <c r="BZ812" s="200" t="str">
        <f>IF(FMS_Ranking4[[#This Row],[FMS Type]]="Regulatory and Guidance",FMS_Ranking4[[#This Row],[Rank (with ArcSinh normalization of select criteria)]],"")</f>
        <v/>
      </c>
      <c r="CA812" s="200">
        <f>IF(FMS_Ranking4[[#This Row],[FMS Type]]="Education and Outreach",FMS_Ranking4[[#This Row],[Rank (with ArcSinh normalization of select criteria)]],"")</f>
        <v>805</v>
      </c>
      <c r="CB812" s="200" t="str">
        <f>IF(FMS_Ranking4[[#This Row],[FMS Type]]="Property Acquisition and Structural Elevation",FMS_Ranking4[[#This Row],[Rank (with ArcSinh normalization of select criteria)]],"")</f>
        <v/>
      </c>
      <c r="CC812" s="200" t="str">
        <f>IF(FMS_Ranking4[[#This Row],[FMS Type]]="Infrastructure Projects",FMS_Ranking4[[#This Row],[Rank (with ArcSinh normalization of select criteria)]],"")</f>
        <v/>
      </c>
      <c r="CD812" s="200" t="str">
        <f>IF(FMS_Ranking4[[#This Row],[FMS Type]]="Other",FMS_Ranking4[[#This Row],[Rank (with ArcSinh normalization of select criteria)]],"")</f>
        <v/>
      </c>
    </row>
    <row r="813" spans="2:82" ht="45" x14ac:dyDescent="0.25">
      <c r="B813" s="342" t="s">
        <v>12082</v>
      </c>
      <c r="C813" s="287">
        <f>_xlfn.XLOOKUP(FMS_Ranking4[[#This Row],[FMS ID]],FMS_Input[FMS_ID],FMS_Input[RFPG_NUM])</f>
        <v>4</v>
      </c>
      <c r="D813" s="309" t="str">
        <f>_xlfn.XLOOKUP(FMS_Ranking4[[#This Row],[FMS ID]],FMS_Input[FMS_ID],FMS_Input[FMS_NAME])</f>
        <v>City of Cumby Flood Awareness Program</v>
      </c>
      <c r="E813" s="322" t="str">
        <f>_xlfn.XLOOKUP(FMS_Ranking4[[#This Row],[FMS ID]],FMS_Input[FMS_ID],FMS_Input[SPONSOR])</f>
        <v>00003433</v>
      </c>
      <c r="F813" s="309" t="str">
        <f>_xlfn.XLOOKUP(FMS_Ranking4[[#This Row],[FMS ID]],Sponsor[FMS_ID],Sponsor[SPONSOR NAME])</f>
        <v>Cumby</v>
      </c>
      <c r="G813" s="309" t="str">
        <f>_xlfn.XLOOKUP(FMS_Ranking4[[#This Row],[FMS ID]],FMS_Input[FMS_ID],FMS_Input[FMS_DESCR])</f>
        <v>Develop and implement the "Turn Around, Don’t Drown Program"</v>
      </c>
      <c r="H813" s="247" t="str">
        <f>_xlfn.XLOOKUP(FMS_Ranking4[[#This Row],[FMS ID]],FMS_Input[FMS_ID],FMS_Input[FMS_TYPE])</f>
        <v>Education and Outreach</v>
      </c>
      <c r="I813" s="288">
        <f>_xlfn.XLOOKUP(FMS_Ranking4[[#This Row],[FMS ID]],FMS_Input[FMS_ID],FMS_Input[NRNC_COST])</f>
        <v>10000</v>
      </c>
      <c r="J813" s="250">
        <f>_xlfn.XLOOKUP(FMS_Ranking4[[#This Row],[FMS ID]],FMS_Input[FMS_ID],FMS_Input[FMS_COST])</f>
        <v>10000</v>
      </c>
      <c r="K813" s="289" t="str">
        <f>_xlfn.XLOOKUP(FMS_Ranking4[[#This Row],[FMS ID]],FMS_Input[FMS_ID],FMS_Input[EMER_NEED])</f>
        <v>No</v>
      </c>
      <c r="L813" s="252">
        <f t="shared" si="12"/>
        <v>0</v>
      </c>
      <c r="M813" s="253">
        <f>_xlfn.XLOOKUP(FMS_Ranking4[[#This Row],[FMS ID]],FMS_Input[FMS_ID],FMS_Input[STRUCT_100])</f>
        <v>0</v>
      </c>
      <c r="N813" s="255">
        <f>(ASINH(FMS_Ranking4[[#This Row],[Structure at Risk Raw]]))*(10)/(ASINH(M$4))</f>
        <v>0</v>
      </c>
      <c r="O813" s="255">
        <f>FMS_Ranking4[[#This Row],[Structures at risk, ArcSinh (0-10)]]*M$5*10</f>
        <v>0</v>
      </c>
      <c r="P813" s="259">
        <f>_xlfn.XLOOKUP(FMS_Ranking4[[#This Row],[FMS ID]],FMS_Input[FMS_ID],FMS_Input[RES_STRUCT100])</f>
        <v>0</v>
      </c>
      <c r="Q813" s="257">
        <f>ASINH(FMS_Ranking4[[#This Row],[Res Structure Raw]])/Q$4*P$5*100</f>
        <v>0</v>
      </c>
      <c r="R813" s="259">
        <f>_xlfn.XLOOKUP(FMS_Ranking4[[#This Row],[FMS ID]],FMS_Input[FMS_ID],FMS_Input[POP100])</f>
        <v>0</v>
      </c>
      <c r="S813" s="259">
        <f>(ASINH(FMS_Ranking4[[#This Row],[Pop at Risk Raw]]))*(10)/(ASINH(R$4))</f>
        <v>0</v>
      </c>
      <c r="T813" s="257">
        <f>FMS_Ranking4[[#This Row],[Population at risk, ArcSinh (0-10)]]*R$5*10</f>
        <v>0</v>
      </c>
      <c r="U813" s="259">
        <f>_xlfn.XLOOKUP(FMS_Ranking4[[#This Row],[FMS ID]],FMS_Input[FMS_ID],FMS_Input[CRITFAC100])</f>
        <v>0</v>
      </c>
      <c r="V813" s="259">
        <f>(ASINH(FMS_Ranking4[[#This Row],[Critical Facilities Raw]]))*(10)/(ASINH(U$4))</f>
        <v>0</v>
      </c>
      <c r="W813" s="257">
        <f>FMS_Ranking4[[#This Row],[Critical facilities at risk, ArcSinh (0-10)]]*U$5*10</f>
        <v>0</v>
      </c>
      <c r="X813" s="259">
        <f>_xlfn.XLOOKUP(FMS_Ranking4[[#This Row],[FMS ID]],FMS_Input[FMS_ID],FMS_Input[LWC])</f>
        <v>0</v>
      </c>
      <c r="Y813" s="259">
        <f>(ASINH(FMS_Ranking4[[#This Row],[LWC Raw]]))*(10)/(ASINH(X$4))</f>
        <v>0</v>
      </c>
      <c r="Z813" s="257">
        <f>FMS_Ranking4[[#This Row],[LWC, ArcSInh (0-10)]]*X$5*10</f>
        <v>0</v>
      </c>
      <c r="AA813" s="259">
        <f>_xlfn.XLOOKUP(FMS_Ranking4[[#This Row],[FMS ID]],FMS_Input[FMS_ID],FMS_Input[ROADCLS])</f>
        <v>0</v>
      </c>
      <c r="AB813" s="255">
        <f>(ASINH(FMS_Ranking4[[#This Row],[Road Closures Raw]]))*(10)/(ASINH(AA$4))</f>
        <v>0</v>
      </c>
      <c r="AC813" s="255">
        <f>FMS_Ranking4[[#This Row],[Road closures, ArcSinh (0-10)]]*AA$5*10</f>
        <v>0</v>
      </c>
      <c r="AD813" s="259">
        <f>_xlfn.XLOOKUP(FMS_Ranking4[[#This Row],[FMS ID]],FMS_Input[FMS_ID],FMS_Input[ROAD_MILES100])</f>
        <v>0</v>
      </c>
      <c r="AE813" s="259">
        <f>(ASINH(FMS_Ranking4[[#This Row],[Road Miles Raw]]))*(10)/(ASINH(AD$4))</f>
        <v>0</v>
      </c>
      <c r="AF813" s="257">
        <f>FMS_Ranking4[[#This Row],[Length of roads at risk, ArcSinh (0-10)]]*AD$5*10</f>
        <v>0</v>
      </c>
      <c r="AG813" s="259">
        <f>_xlfn.XLOOKUP(FMS_Ranking4[[#This Row],[FMS ID]],FMS_Input[FMS_ID],FMS_Input[FARMACRE100])</f>
        <v>4.2725052833557129</v>
      </c>
      <c r="AH813" s="255">
        <f>(ASINH(FMS_Ranking4[[#This Row],[Ag Land Raw]]))*(10)/(ASINH(AG$4))</f>
        <v>1.4022969077736922</v>
      </c>
      <c r="AI813" s="254">
        <f>FMS_Ranking4[[#This Row],[Farm &amp; ranch land, ArcSinh (0-10)]]*AG$5*10</f>
        <v>0.7011484538868461</v>
      </c>
      <c r="AJ813" s="258">
        <f>_xlfn.XLOOKUP(FMS_Ranking4[[#This Row],[FMS ID]],FMS_Input[FMS_ID],FMS_Input[REDSTRUCT100])</f>
        <v>0</v>
      </c>
      <c r="AK813" s="253">
        <f>_xlfn.XLOOKUP(FMS_Ranking4[[#This Row],[FMS ID]],FMS_Input[FMS_ID],FMS_Input[REMSTRC100])</f>
        <v>0</v>
      </c>
      <c r="AL813" s="259">
        <f>(ASINH(FMS_Ranking4[[#This Row],[Structures Removed Raw]]))*(10)/(ASINH(AK$4))</f>
        <v>0</v>
      </c>
      <c r="AM813" s="254">
        <f>FMS_Ranking4[[#This Row],[Structures removed, ArcSinh (0-10)]]*AK$5*10</f>
        <v>0</v>
      </c>
      <c r="AN813" s="253">
        <f>_xlfn.XLOOKUP(FMS_Ranking4[[#This Row],[FMS ID]],FMS_Input[FMS_ID],FMS_Input[REMRESSTRC100])</f>
        <v>0</v>
      </c>
      <c r="AO813" s="258">
        <f>FMS_Ranking4[[#This Row],[ArcSinh Res struct removed 0-10]]*AN$5*10</f>
        <v>0</v>
      </c>
      <c r="AP813" s="254">
        <f>ASINH(FMS_Ranking4[[#This Row],[Residential Structures Removed Raw]])/AP$4*AN$5*100</f>
        <v>0</v>
      </c>
      <c r="AQ813" s="260">
        <f>(ASINH(FMS_Ranking4[[#This Row],[Residential Structures Removed Raw]]))*(10)/(ASINH(AN$4))</f>
        <v>0</v>
      </c>
      <c r="AR813" s="253">
        <f>_xlfn.XLOOKUP(FMS_Ranking4[[#This Row],[FMS ID]],FMS_Input[FMS_ID],FMS_Input[REMPOP100])</f>
        <v>0</v>
      </c>
      <c r="AS813" s="259">
        <f>(ASINH(FMS_Ranking4[[#This Row],[Removed Pop Raw]]))*(10)/(ASINH(AR$4))</f>
        <v>0</v>
      </c>
      <c r="AT813" s="263">
        <f>FMS_Ranking4[[#This Row],[Removed population, ArcSinh (0-10)]]*AR$5*10</f>
        <v>0</v>
      </c>
      <c r="AU813" s="264">
        <f>_xlfn.XLOOKUP(FMS_Ranking4[[#This Row],[FMS ID]],FMS_Input[FMS_ID],FMS_Input[REMCRITFAC100])</f>
        <v>0</v>
      </c>
      <c r="AV813" s="264">
        <f>_xlfn.XLOOKUP(FMS_Ranking4[[#This Row],[FMS ID]],FMS_Input[FMS_ID],FMS_Input[REMLWC100])</f>
        <v>0</v>
      </c>
      <c r="AW813" s="264">
        <f>_xlfn.XLOOKUP(FMS_Ranking4[[#This Row],[FMS ID]],FMS_Input[FMS_ID],FMS_Input[REMROADCLS])</f>
        <v>0</v>
      </c>
      <c r="AX813" s="264">
        <f>_xlfn.XLOOKUP(FMS_Ranking4[[#This Row],[FMS ID]],FMS_Input[FMS_ID],FMS_Input[REMFRMACRE100])</f>
        <v>0</v>
      </c>
      <c r="AY813" s="258">
        <f>_xlfn.XLOOKUP(FMS_Ranking4[[#This Row],[FMS ID]],FMS_Input[FMS_ID],FMS_Input[COSTSTRUCT])</f>
        <v>0</v>
      </c>
      <c r="AZ813" s="258">
        <f>_xlfn.XLOOKUP(FMS_Ranking4[[#This Row],[FMS ID]],FMS_Input[FMS_ID],FMS_Input[NATURE])</f>
        <v>0</v>
      </c>
      <c r="BA813" s="290">
        <f>(((FMS_Ranking4[[#This Row],[% NBS Raw]]/AZ$4)*100)*AZ$5)</f>
        <v>0</v>
      </c>
      <c r="BB813" s="251" t="str">
        <f>_xlfn.XLOOKUP(FMS_Ranking4[[#This Row],[FMS ID]],FMS_Input[FMS_ID],FMS_Input[WATER_SUP])</f>
        <v>No</v>
      </c>
      <c r="BC813" s="265">
        <f>IF(FMS_Ranking4[[#This Row],[Water Supply Raw]]="Yes",10,0)</f>
        <v>0</v>
      </c>
      <c r="BD813" s="251">
        <f>_xlfn.XLOOKUP(FMS_Ranking4[[#This Row],[FMS Type]],FMS_TYPE[FMS_Type],FMS_TYPE[Score])</f>
        <v>6</v>
      </c>
      <c r="BE813" s="267">
        <f>FMS_Ranking4[[#This Row],[FMS_Type Score]]*$BD$5*10</f>
        <v>1.5000000000000002</v>
      </c>
      <c r="BF813"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8.8089495999962747E-6</v>
      </c>
      <c r="BG813" s="271">
        <f>_xlfn.RANK.EQ(BF813,$BF$8:$BF$870,0)+COUNTIF($BF$8:BF813,BF813)-1</f>
        <v>796</v>
      </c>
      <c r="BH813" s="268">
        <f>(((FMS_Ranking4[[#This Row],[Structures Removed Raw]]/AK$4)*100)*AK$5)+(((FMS_Ranking4[[#This Row],[Removed Pop Raw]]/AR$4)*100)*AR$5)</f>
        <v>0</v>
      </c>
      <c r="BI81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1.5000088089496002</v>
      </c>
      <c r="BJ813" s="325">
        <f>_xlfn.RANK.EQ(FMS_Ranking4[[#This Row],[Total Score 
(with linear
normalization)]],FMS_Ranking4[Total Score 
(with linear
normalization)],0)</f>
        <v>609</v>
      </c>
      <c r="BK813" s="327" t="e">
        <f>_xlfn.XLOOKUP(FMS_Ranking4[[#This Row],[FMS ID]],#REF!,#REF!)</f>
        <v>#REF!</v>
      </c>
      <c r="BL813"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0.7011484538868461</v>
      </c>
      <c r="BM813" s="330">
        <f>FMS_Ranking4[[#This Row],[ArcSinh Score Based on Normalized Reported Factors]]+FMS_Ranking4[[#This Row],[% NBS Score (Normalized)]]+(FMS_Ranking4[[#This Row],[Water Supply Score (Normalized)]]*10*$BB$5)+FMS_Ranking4[[#This Row],[FMS_Type Score Weighted]]</f>
        <v>2.2011484538868462</v>
      </c>
      <c r="BN813" s="332">
        <f>_xlfn.RANK.EQ(FMS_Ranking4[[#This Row],[Total Score (with ArcSinh normalization of select criteria)]],FMS_Ranking4[Total Score (with ArcSinh normalization of select criteria)],0)</f>
        <v>805</v>
      </c>
      <c r="BO813" s="270" t="str">
        <f>_xlfn.XLOOKUP(FMS_Ranking4[[#This Row],[FMS ID]],FMS_Input[FMS_ID],FMS_Input[FMS_RANK_YEAR])</f>
        <v>2023 Amended Plan</v>
      </c>
      <c r="BP813" s="204" t="e">
        <f>_xlfn.XLOOKUP(FMS_Ranking4[[#This Row],[FMS ID]],Prev_Rank[FMS ID],Prev_Rank[Prev Rank])</f>
        <v>#N/A</v>
      </c>
      <c r="BQ813" s="334" t="e">
        <f>_xlfn.XLOOKUP(FMS_Ranking4[[#This Row],[FMS ID]],#REF!,#REF!)</f>
        <v>#REF!</v>
      </c>
      <c r="BR813" s="199" t="e">
        <f>SUM(#REF!,#REF!,#REF!,#REF!,#REF!,#REF!,#REF!,#REF!,#REF!,FMS_Ranking4[[#This Row],[ArcSinh Res struct removed 0-10]],#REF!)</f>
        <v>#REF!</v>
      </c>
      <c r="BS813" s="199" t="e">
        <f>FMS_Ranking4[[#This Row],[Log Score Based on Normalized Reported Factors]]+FMS_Ranking4[[#This Row],[% NBS Score (Normalized)]]+(FMS_Ranking4[[#This Row],[Water Supply Score (Normalized)]]*10*$BB$5)+(FMS_Ranking4[[#This Row],[FMS_Type Score Weighted]])</f>
        <v>#REF!</v>
      </c>
      <c r="BT813" s="200" t="e">
        <f>_xlfn.RANK.EQ(FMS_Ranking4[[#This Row],[Log Total Score]],FMS_Ranking4[Log Total Score],0)</f>
        <v>#REF!</v>
      </c>
      <c r="BU813" s="200" t="e">
        <f>_xlfn.XLOOKUP(FMS_Ranking4[[#This Row],[FMS ID]],#REF!,#REF!)</f>
        <v>#REF!</v>
      </c>
      <c r="BV813" s="200">
        <f>FMS_Ranking4[[#This Row],[Region Number]]</f>
        <v>4</v>
      </c>
      <c r="BW813" s="200">
        <f>FMS_Ranking4[[#This Row],[Rank (with ArcSinh normalization of select criteria)]]-FMS_Ranking4[[#This Row],[Rank
(with linear
normalization)]]</f>
        <v>196</v>
      </c>
      <c r="BX813" s="200" t="e">
        <f>FMS_Ranking4[[#This Row],[Log Rank]]-FMS_Ranking4[[#This Row],[Rank
(with linear
normalization)]]</f>
        <v>#REF!</v>
      </c>
      <c r="BY813" s="200" t="str">
        <f>IF(FMS_Ranking4[[#This Row],[FMS Type]]="Flood Measurement and Warning",FMS_Ranking4[[#This Row],[Rank (with ArcSinh normalization of select criteria)]],"")</f>
        <v/>
      </c>
      <c r="BZ813" s="200" t="str">
        <f>IF(FMS_Ranking4[[#This Row],[FMS Type]]="Regulatory and Guidance",FMS_Ranking4[[#This Row],[Rank (with ArcSinh normalization of select criteria)]],"")</f>
        <v/>
      </c>
      <c r="CA813" s="200">
        <f>IF(FMS_Ranking4[[#This Row],[FMS Type]]="Education and Outreach",FMS_Ranking4[[#This Row],[Rank (with ArcSinh normalization of select criteria)]],"")</f>
        <v>805</v>
      </c>
      <c r="CB813" s="200" t="str">
        <f>IF(FMS_Ranking4[[#This Row],[FMS Type]]="Property Acquisition and Structural Elevation",FMS_Ranking4[[#This Row],[Rank (with ArcSinh normalization of select criteria)]],"")</f>
        <v/>
      </c>
      <c r="CC813" s="200" t="str">
        <f>IF(FMS_Ranking4[[#This Row],[FMS Type]]="Infrastructure Projects",FMS_Ranking4[[#This Row],[Rank (with ArcSinh normalization of select criteria)]],"")</f>
        <v/>
      </c>
      <c r="CD813" s="200" t="str">
        <f>IF(FMS_Ranking4[[#This Row],[FMS Type]]="Other",FMS_Ranking4[[#This Row],[Rank (with ArcSinh normalization of select criteria)]],"")</f>
        <v/>
      </c>
    </row>
    <row r="814" spans="2:82" ht="30" x14ac:dyDescent="0.25">
      <c r="B814" s="342" t="s">
        <v>1179</v>
      </c>
      <c r="C814" s="287">
        <f>_xlfn.XLOOKUP(FMS_Ranking4[[#This Row],[FMS ID]],FMS_Input[FMS_ID],FMS_Input[RFPG_NUM])</f>
        <v>1</v>
      </c>
      <c r="D814" s="309" t="str">
        <f>_xlfn.XLOOKUP(FMS_Ranking4[[#This Row],[FMS ID]],FMS_Input[FMS_ID],FMS_Input[FMS_NAME])</f>
        <v>Windthorst NFIP Involvement</v>
      </c>
      <c r="E814" s="322" t="str">
        <f>_xlfn.XLOOKUP(FMS_Ranking4[[#This Row],[FMS ID]],FMS_Input[FMS_ID],FMS_Input[SPONSOR])</f>
        <v>01002591</v>
      </c>
      <c r="F814" s="309" t="str">
        <f>_xlfn.XLOOKUP(FMS_Ranking4[[#This Row],[FMS ID]],Sponsor[FMS_ID],Sponsor[SPONSOR NAME])</f>
        <v>Windthorst</v>
      </c>
      <c r="G814" s="309" t="str">
        <f>_xlfn.XLOOKUP(FMS_Ranking4[[#This Row],[FMS ID]],FMS_Input[FMS_ID],FMS_Input[FMS_DESCR])</f>
        <v>Application to join NFIP or adopt equivalent standards</v>
      </c>
      <c r="H814" s="247" t="str">
        <f>_xlfn.XLOOKUP(FMS_Ranking4[[#This Row],[FMS ID]],FMS_Input[FMS_ID],FMS_Input[FMS_TYPE])</f>
        <v>Regulatory and Guidance</v>
      </c>
      <c r="I814" s="288">
        <f>_xlfn.XLOOKUP(FMS_Ranking4[[#This Row],[FMS ID]],FMS_Input[FMS_ID],FMS_Input[NRNC_COST])</f>
        <v>100000</v>
      </c>
      <c r="J814" s="250">
        <f>_xlfn.XLOOKUP(FMS_Ranking4[[#This Row],[FMS ID]],FMS_Input[FMS_ID],FMS_Input[FMS_COST])</f>
        <v>100000</v>
      </c>
      <c r="K814" s="289" t="str">
        <f>_xlfn.XLOOKUP(FMS_Ranking4[[#This Row],[FMS ID]],FMS_Input[FMS_ID],FMS_Input[EMER_NEED])</f>
        <v>No</v>
      </c>
      <c r="L814" s="252">
        <f t="shared" si="12"/>
        <v>0</v>
      </c>
      <c r="M814" s="253">
        <f>_xlfn.XLOOKUP(FMS_Ranking4[[#This Row],[FMS ID]],FMS_Input[FMS_ID],FMS_Input[STRUCT_100])</f>
        <v>0</v>
      </c>
      <c r="N814" s="255">
        <f>(ASINH(FMS_Ranking4[[#This Row],[Structure at Risk Raw]]))*(10)/(ASINH(M$4))</f>
        <v>0</v>
      </c>
      <c r="O814" s="255">
        <f>FMS_Ranking4[[#This Row],[Structures at risk, ArcSinh (0-10)]]*M$5*10</f>
        <v>0</v>
      </c>
      <c r="P814" s="259">
        <f>_xlfn.XLOOKUP(FMS_Ranking4[[#This Row],[FMS ID]],FMS_Input[FMS_ID],FMS_Input[RES_STRUCT100])</f>
        <v>0</v>
      </c>
      <c r="Q814" s="257">
        <f>ASINH(FMS_Ranking4[[#This Row],[Res Structure Raw]])/Q$4*P$5*100</f>
        <v>0</v>
      </c>
      <c r="R814" s="259">
        <f>_xlfn.XLOOKUP(FMS_Ranking4[[#This Row],[FMS ID]],FMS_Input[FMS_ID],FMS_Input[POP100])</f>
        <v>0</v>
      </c>
      <c r="S814" s="259">
        <f>(ASINH(FMS_Ranking4[[#This Row],[Pop at Risk Raw]]))*(10)/(ASINH(R$4))</f>
        <v>0</v>
      </c>
      <c r="T814" s="257">
        <f>FMS_Ranking4[[#This Row],[Population at risk, ArcSinh (0-10)]]*R$5*10</f>
        <v>0</v>
      </c>
      <c r="U814" s="259">
        <f>_xlfn.XLOOKUP(FMS_Ranking4[[#This Row],[FMS ID]],FMS_Input[FMS_ID],FMS_Input[CRITFAC100])</f>
        <v>0</v>
      </c>
      <c r="V814" s="259">
        <f>(ASINH(FMS_Ranking4[[#This Row],[Critical Facilities Raw]]))*(10)/(ASINH(U$4))</f>
        <v>0</v>
      </c>
      <c r="W814" s="257">
        <f>FMS_Ranking4[[#This Row],[Critical facilities at risk, ArcSinh (0-10)]]*U$5*10</f>
        <v>0</v>
      </c>
      <c r="X814" s="259">
        <f>_xlfn.XLOOKUP(FMS_Ranking4[[#This Row],[FMS ID]],FMS_Input[FMS_ID],FMS_Input[LWC])</f>
        <v>0</v>
      </c>
      <c r="Y814" s="259">
        <f>(ASINH(FMS_Ranking4[[#This Row],[LWC Raw]]))*(10)/(ASINH(X$4))</f>
        <v>0</v>
      </c>
      <c r="Z814" s="257">
        <f>FMS_Ranking4[[#This Row],[LWC, ArcSInh (0-10)]]*X$5*10</f>
        <v>0</v>
      </c>
      <c r="AA814" s="259">
        <f>_xlfn.XLOOKUP(FMS_Ranking4[[#This Row],[FMS ID]],FMS_Input[FMS_ID],FMS_Input[ROADCLS])</f>
        <v>0</v>
      </c>
      <c r="AB814" s="255">
        <f>(ASINH(FMS_Ranking4[[#This Row],[Road Closures Raw]]))*(10)/(ASINH(AA$4))</f>
        <v>0</v>
      </c>
      <c r="AC814" s="255">
        <f>FMS_Ranking4[[#This Row],[Road closures, ArcSinh (0-10)]]*AA$5*10</f>
        <v>0</v>
      </c>
      <c r="AD814" s="259">
        <f>_xlfn.XLOOKUP(FMS_Ranking4[[#This Row],[FMS ID]],FMS_Input[FMS_ID],FMS_Input[ROAD_MILES100])</f>
        <v>0</v>
      </c>
      <c r="AE814" s="259">
        <f>(ASINH(FMS_Ranking4[[#This Row],[Road Miles Raw]]))*(10)/(ASINH(AD$4))</f>
        <v>0</v>
      </c>
      <c r="AF814" s="257">
        <f>FMS_Ranking4[[#This Row],[Length of roads at risk, ArcSinh (0-10)]]*AD$5*10</f>
        <v>0</v>
      </c>
      <c r="AG814" s="259">
        <f>_xlfn.XLOOKUP(FMS_Ranking4[[#This Row],[FMS ID]],FMS_Input[FMS_ID],FMS_Input[FARMACRE100])</f>
        <v>0.59399408102035522</v>
      </c>
      <c r="AH814" s="255">
        <f>(ASINH(FMS_Ranking4[[#This Row],[Ag Land Raw]]))*(10)/(ASINH(AG$4))</f>
        <v>0.36614831851000468</v>
      </c>
      <c r="AI814" s="254">
        <f>FMS_Ranking4[[#This Row],[Farm &amp; ranch land, ArcSinh (0-10)]]*AG$5*10</f>
        <v>0.18307415925500237</v>
      </c>
      <c r="AJ814" s="258">
        <f>_xlfn.XLOOKUP(FMS_Ranking4[[#This Row],[FMS ID]],FMS_Input[FMS_ID],FMS_Input[REDSTRUCT100])</f>
        <v>0</v>
      </c>
      <c r="AK814" s="253">
        <f>_xlfn.XLOOKUP(FMS_Ranking4[[#This Row],[FMS ID]],FMS_Input[FMS_ID],FMS_Input[REMSTRC100])</f>
        <v>0</v>
      </c>
      <c r="AL814" s="259">
        <f>(ASINH(FMS_Ranking4[[#This Row],[Structures Removed Raw]]))*(10)/(ASINH(AK$4))</f>
        <v>0</v>
      </c>
      <c r="AM814" s="254">
        <f>FMS_Ranking4[[#This Row],[Structures removed, ArcSinh (0-10)]]*AK$5*10</f>
        <v>0</v>
      </c>
      <c r="AN814" s="253">
        <f>_xlfn.XLOOKUP(FMS_Ranking4[[#This Row],[FMS ID]],FMS_Input[FMS_ID],FMS_Input[REMRESSTRC100])</f>
        <v>0</v>
      </c>
      <c r="AO814" s="258">
        <f>FMS_Ranking4[[#This Row],[ArcSinh Res struct removed 0-10]]*AN$5*10</f>
        <v>0</v>
      </c>
      <c r="AP814" s="254">
        <f>ASINH(FMS_Ranking4[[#This Row],[Residential Structures Removed Raw]])/AP$4*AN$5*100</f>
        <v>0</v>
      </c>
      <c r="AQ814" s="260">
        <f>(ASINH(FMS_Ranking4[[#This Row],[Residential Structures Removed Raw]]))*(10)/(ASINH(AN$4))</f>
        <v>0</v>
      </c>
      <c r="AR814" s="253">
        <f>_xlfn.XLOOKUP(FMS_Ranking4[[#This Row],[FMS ID]],FMS_Input[FMS_ID],FMS_Input[REMPOP100])</f>
        <v>0</v>
      </c>
      <c r="AS814" s="259">
        <f>(ASINH(FMS_Ranking4[[#This Row],[Removed Pop Raw]]))*(10)/(ASINH(AR$4))</f>
        <v>0</v>
      </c>
      <c r="AT814" s="263">
        <f>FMS_Ranking4[[#This Row],[Removed population, ArcSinh (0-10)]]*AR$5*10</f>
        <v>0</v>
      </c>
      <c r="AU814" s="264">
        <f>_xlfn.XLOOKUP(FMS_Ranking4[[#This Row],[FMS ID]],FMS_Input[FMS_ID],FMS_Input[REMCRITFAC100])</f>
        <v>0</v>
      </c>
      <c r="AV814" s="264">
        <f>_xlfn.XLOOKUP(FMS_Ranking4[[#This Row],[FMS ID]],FMS_Input[FMS_ID],FMS_Input[REMLWC100])</f>
        <v>0</v>
      </c>
      <c r="AW814" s="264">
        <f>_xlfn.XLOOKUP(FMS_Ranking4[[#This Row],[FMS ID]],FMS_Input[FMS_ID],FMS_Input[REMROADCLS])</f>
        <v>0</v>
      </c>
      <c r="AX814" s="264">
        <f>_xlfn.XLOOKUP(FMS_Ranking4[[#This Row],[FMS ID]],FMS_Input[FMS_ID],FMS_Input[REMFRMACRE100])</f>
        <v>0</v>
      </c>
      <c r="AY814" s="258">
        <f>_xlfn.XLOOKUP(FMS_Ranking4[[#This Row],[FMS ID]],FMS_Input[FMS_ID],FMS_Input[COSTSTRUCT])</f>
        <v>0</v>
      </c>
      <c r="AZ814" s="258">
        <f>_xlfn.XLOOKUP(FMS_Ranking4[[#This Row],[FMS ID]],FMS_Input[FMS_ID],FMS_Input[NATURE])</f>
        <v>0</v>
      </c>
      <c r="BA814" s="290">
        <f>(((FMS_Ranking4[[#This Row],[% NBS Raw]]/AZ$4)*100)*AZ$5)</f>
        <v>0</v>
      </c>
      <c r="BB814" s="251" t="str">
        <f>_xlfn.XLOOKUP(FMS_Ranking4[[#This Row],[FMS ID]],FMS_Input[FMS_ID],FMS_Input[WATER_SUP])</f>
        <v>No</v>
      </c>
      <c r="BC814" s="265">
        <f>IF(FMS_Ranking4[[#This Row],[Water Supply Raw]]="Yes",10,0)</f>
        <v>0</v>
      </c>
      <c r="BD814" s="251">
        <f>_xlfn.XLOOKUP(FMS_Ranking4[[#This Row],[FMS Type]],FMS_TYPE[FMS_Type],FMS_TYPE[Score])</f>
        <v>8</v>
      </c>
      <c r="BE814" s="267">
        <f>FMS_Ranking4[[#This Row],[FMS_Type Score]]*$BD$5*10</f>
        <v>2</v>
      </c>
      <c r="BF81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1.2246828442292125E-6</v>
      </c>
      <c r="BG814" s="271">
        <f>_xlfn.RANK.EQ(BF814,$BF$8:$BF$870,0)+COUNTIF($BF$8:BF814,BF814)-1</f>
        <v>802</v>
      </c>
      <c r="BH814" s="268">
        <f>(((FMS_Ranking4[[#This Row],[Structures Removed Raw]]/AK$4)*100)*AK$5)+(((FMS_Ranking4[[#This Row],[Removed Pop Raw]]/AR$4)*100)*AR$5)</f>
        <v>0</v>
      </c>
      <c r="BI81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2.000001224682844</v>
      </c>
      <c r="BJ814" s="325">
        <f>_xlfn.RANK.EQ(FMS_Ranking4[[#This Row],[Total Score 
(with linear
normalization)]],FMS_Ranking4[Total Score 
(with linear
normalization)],0)</f>
        <v>494</v>
      </c>
      <c r="BK814" s="327" t="e">
        <f>_xlfn.XLOOKUP(FMS_Ranking4[[#This Row],[FMS ID]],#REF!,#REF!)</f>
        <v>#REF!</v>
      </c>
      <c r="BL814"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0.18307415925500237</v>
      </c>
      <c r="BM814" s="330">
        <f>FMS_Ranking4[[#This Row],[ArcSinh Score Based on Normalized Reported Factors]]+FMS_Ranking4[[#This Row],[% NBS Score (Normalized)]]+(FMS_Ranking4[[#This Row],[Water Supply Score (Normalized)]]*10*$BB$5)+FMS_Ranking4[[#This Row],[FMS_Type Score Weighted]]</f>
        <v>2.1830741592550025</v>
      </c>
      <c r="BN814" s="332">
        <f>_xlfn.RANK.EQ(FMS_Ranking4[[#This Row],[Total Score (with ArcSinh normalization of select criteria)]],FMS_Ranking4[Total Score (with ArcSinh normalization of select criteria)],0)</f>
        <v>807</v>
      </c>
      <c r="BO814" s="270" t="str">
        <f>_xlfn.XLOOKUP(FMS_Ranking4[[#This Row],[FMS ID]],FMS_Input[FMS_ID],FMS_Input[FMS_RANK_YEAR])</f>
        <v>2023 Amended Plan</v>
      </c>
      <c r="BP814" s="204">
        <f>_xlfn.XLOOKUP(FMS_Ranking4[[#This Row],[FMS ID]],Prev_Rank[FMS ID],Prev_Rank[Prev Rank])</f>
        <v>731</v>
      </c>
      <c r="BQ814" s="334" t="e">
        <f>_xlfn.XLOOKUP(FMS_Ranking4[[#This Row],[FMS ID]],#REF!,#REF!)</f>
        <v>#REF!</v>
      </c>
      <c r="BR814" s="199" t="e">
        <f>SUM(#REF!,#REF!,#REF!,#REF!,#REF!,#REF!,#REF!,#REF!,#REF!,FMS_Ranking4[[#This Row],[ArcSinh Res struct removed 0-10]],#REF!)</f>
        <v>#REF!</v>
      </c>
      <c r="BS814" s="199" t="e">
        <f>FMS_Ranking4[[#This Row],[Log Score Based on Normalized Reported Factors]]+FMS_Ranking4[[#This Row],[% NBS Score (Normalized)]]+(FMS_Ranking4[[#This Row],[Water Supply Score (Normalized)]]*10*$BB$5)+(FMS_Ranking4[[#This Row],[FMS_Type Score Weighted]])</f>
        <v>#REF!</v>
      </c>
      <c r="BT814" s="200" t="e">
        <f>_xlfn.RANK.EQ(FMS_Ranking4[[#This Row],[Log Total Score]],FMS_Ranking4[Log Total Score],0)</f>
        <v>#REF!</v>
      </c>
      <c r="BU814" s="200" t="e">
        <f>_xlfn.XLOOKUP(FMS_Ranking4[[#This Row],[FMS ID]],#REF!,#REF!)</f>
        <v>#REF!</v>
      </c>
      <c r="BV814" s="200">
        <f>FMS_Ranking4[[#This Row],[Region Number]]</f>
        <v>1</v>
      </c>
      <c r="BW814" s="200">
        <f>FMS_Ranking4[[#This Row],[Rank (with ArcSinh normalization of select criteria)]]-FMS_Ranking4[[#This Row],[Rank
(with linear
normalization)]]</f>
        <v>313</v>
      </c>
      <c r="BX814" s="200" t="e">
        <f>FMS_Ranking4[[#This Row],[Log Rank]]-FMS_Ranking4[[#This Row],[Rank
(with linear
normalization)]]</f>
        <v>#REF!</v>
      </c>
      <c r="BY814" s="200" t="str">
        <f>IF(FMS_Ranking4[[#This Row],[FMS Type]]="Flood Measurement and Warning",FMS_Ranking4[[#This Row],[Rank (with ArcSinh normalization of select criteria)]],"")</f>
        <v/>
      </c>
      <c r="BZ814" s="200">
        <f>IF(FMS_Ranking4[[#This Row],[FMS Type]]="Regulatory and Guidance",FMS_Ranking4[[#This Row],[Rank (with ArcSinh normalization of select criteria)]],"")</f>
        <v>807</v>
      </c>
      <c r="CA814" s="200" t="str">
        <f>IF(FMS_Ranking4[[#This Row],[FMS Type]]="Education and Outreach",FMS_Ranking4[[#This Row],[Rank (with ArcSinh normalization of select criteria)]],"")</f>
        <v/>
      </c>
      <c r="CB814" s="200" t="str">
        <f>IF(FMS_Ranking4[[#This Row],[FMS Type]]="Property Acquisition and Structural Elevation",FMS_Ranking4[[#This Row],[Rank (with ArcSinh normalization of select criteria)]],"")</f>
        <v/>
      </c>
      <c r="CC814" s="200" t="str">
        <f>IF(FMS_Ranking4[[#This Row],[FMS Type]]="Infrastructure Projects",FMS_Ranking4[[#This Row],[Rank (with ArcSinh normalization of select criteria)]],"")</f>
        <v/>
      </c>
      <c r="CD814" s="200" t="str">
        <f>IF(FMS_Ranking4[[#This Row],[FMS Type]]="Other",FMS_Ranking4[[#This Row],[Rank (with ArcSinh normalization of select criteria)]],"")</f>
        <v/>
      </c>
    </row>
    <row r="815" spans="2:82" ht="45" x14ac:dyDescent="0.25">
      <c r="B815" s="342" t="s">
        <v>2321</v>
      </c>
      <c r="C815" s="287">
        <f>_xlfn.XLOOKUP(FMS_Ranking4[[#This Row],[FMS ID]],FMS_Input[FMS_ID],FMS_Input[RFPG_NUM])</f>
        <v>3</v>
      </c>
      <c r="D815" s="309" t="str">
        <f>_xlfn.XLOOKUP(FMS_Ranking4[[#This Row],[FMS ID]],FMS_Input[FMS_ID],FMS_Input[FMS_NAME])</f>
        <v>City of Bynum NFIP Floodplain Ordinance</v>
      </c>
      <c r="E815" s="322" t="str">
        <f>_xlfn.XLOOKUP(FMS_Ranking4[[#This Row],[FMS ID]],FMS_Input[FMS_ID],FMS_Input[SPONSOR])</f>
        <v>Bynum</v>
      </c>
      <c r="F815" s="309" t="str">
        <f>_xlfn.XLOOKUP(FMS_Ranking4[[#This Row],[FMS ID]],Sponsor[FMS_ID],Sponsor[SPONSOR NAME])</f>
        <v>Bynum</v>
      </c>
      <c r="G815" s="309" t="str">
        <f>_xlfn.XLOOKUP(FMS_Ranking4[[#This Row],[FMS ID]],FMS_Input[FMS_ID],FMS_Input[FMS_DESCR])</f>
        <v>Develop a floodplain ordinance that meets or exceeds FEMA's minimum standards</v>
      </c>
      <c r="H815" s="247" t="str">
        <f>_xlfn.XLOOKUP(FMS_Ranking4[[#This Row],[FMS ID]],FMS_Input[FMS_ID],FMS_Input[FMS_TYPE])</f>
        <v>Regulatory and Guidance</v>
      </c>
      <c r="I815" s="288">
        <f>_xlfn.XLOOKUP(FMS_Ranking4[[#This Row],[FMS ID]],FMS_Input[FMS_ID],FMS_Input[NRNC_COST])</f>
        <v>100000</v>
      </c>
      <c r="J815" s="250">
        <f>_xlfn.XLOOKUP(FMS_Ranking4[[#This Row],[FMS ID]],FMS_Input[FMS_ID],FMS_Input[FMS_COST])</f>
        <v>100000</v>
      </c>
      <c r="K815" s="289" t="str">
        <f>_xlfn.XLOOKUP(FMS_Ranking4[[#This Row],[FMS ID]],FMS_Input[FMS_ID],FMS_Input[EMER_NEED])</f>
        <v>No</v>
      </c>
      <c r="L815" s="252">
        <f t="shared" si="12"/>
        <v>0</v>
      </c>
      <c r="M815" s="253">
        <f>_xlfn.XLOOKUP(FMS_Ranking4[[#This Row],[FMS ID]],FMS_Input[FMS_ID],FMS_Input[STRUCT_100])</f>
        <v>0</v>
      </c>
      <c r="N815" s="255">
        <f>(ASINH(FMS_Ranking4[[#This Row],[Structure at Risk Raw]]))*(10)/(ASINH(M$4))</f>
        <v>0</v>
      </c>
      <c r="O815" s="255">
        <f>FMS_Ranking4[[#This Row],[Structures at risk, ArcSinh (0-10)]]*M$5*10</f>
        <v>0</v>
      </c>
      <c r="P815" s="259">
        <f>_xlfn.XLOOKUP(FMS_Ranking4[[#This Row],[FMS ID]],FMS_Input[FMS_ID],FMS_Input[RES_STRUCT100])</f>
        <v>0</v>
      </c>
      <c r="Q815" s="257">
        <f>ASINH(FMS_Ranking4[[#This Row],[Res Structure Raw]])/Q$4*P$5*100</f>
        <v>0</v>
      </c>
      <c r="R815" s="259">
        <f>_xlfn.XLOOKUP(FMS_Ranking4[[#This Row],[FMS ID]],FMS_Input[FMS_ID],FMS_Input[POP100])</f>
        <v>0</v>
      </c>
      <c r="S815" s="255">
        <f>(ASINH(FMS_Ranking4[[#This Row],[Pop at Risk Raw]]))*(10)/(ASINH(R$4))</f>
        <v>0</v>
      </c>
      <c r="T815" s="257">
        <f>FMS_Ranking4[[#This Row],[Population at risk, ArcSinh (0-10)]]*R$5*10</f>
        <v>0</v>
      </c>
      <c r="U815" s="259">
        <f>_xlfn.XLOOKUP(FMS_Ranking4[[#This Row],[FMS ID]],FMS_Input[FMS_ID],FMS_Input[CRITFAC100])</f>
        <v>0</v>
      </c>
      <c r="V815" s="255">
        <f>(ASINH(FMS_Ranking4[[#This Row],[Critical Facilities Raw]]))*(10)/(ASINH(U$4))</f>
        <v>0</v>
      </c>
      <c r="W815" s="257">
        <f>FMS_Ranking4[[#This Row],[Critical facilities at risk, ArcSinh (0-10)]]*U$5*10</f>
        <v>0</v>
      </c>
      <c r="X815" s="259">
        <f>_xlfn.XLOOKUP(FMS_Ranking4[[#This Row],[FMS ID]],FMS_Input[FMS_ID],FMS_Input[LWC])</f>
        <v>0</v>
      </c>
      <c r="Y815" s="255">
        <f>(ASINH(FMS_Ranking4[[#This Row],[LWC Raw]]))*(10)/(ASINH(X$4))</f>
        <v>0</v>
      </c>
      <c r="Z815" s="257">
        <f>FMS_Ranking4[[#This Row],[LWC, ArcSInh (0-10)]]*X$5*10</f>
        <v>0</v>
      </c>
      <c r="AA815" s="259">
        <f>_xlfn.XLOOKUP(FMS_Ranking4[[#This Row],[FMS ID]],FMS_Input[FMS_ID],FMS_Input[ROADCLS])</f>
        <v>0</v>
      </c>
      <c r="AB815" s="255">
        <f>(ASINH(FMS_Ranking4[[#This Row],[Road Closures Raw]]))*(10)/(ASINH(AA$4))</f>
        <v>0</v>
      </c>
      <c r="AC815" s="255">
        <f>FMS_Ranking4[[#This Row],[Road closures, ArcSinh (0-10)]]*AA$5*10</f>
        <v>0</v>
      </c>
      <c r="AD815" s="259">
        <f>_xlfn.XLOOKUP(FMS_Ranking4[[#This Row],[FMS ID]],FMS_Input[FMS_ID],FMS_Input[ROAD_MILES100])</f>
        <v>0</v>
      </c>
      <c r="AE815" s="255">
        <f>(ASINH(FMS_Ranking4[[#This Row],[Road Miles Raw]]))*(10)/(ASINH(AD$4))</f>
        <v>0</v>
      </c>
      <c r="AF815" s="257">
        <f>FMS_Ranking4[[#This Row],[Length of roads at risk, ArcSinh (0-10)]]*AD$5*10</f>
        <v>0</v>
      </c>
      <c r="AG815" s="259">
        <f>_xlfn.XLOOKUP(FMS_Ranking4[[#This Row],[FMS ID]],FMS_Input[FMS_ID],FMS_Input[FARMACRE100])</f>
        <v>0.56415760517120361</v>
      </c>
      <c r="AH815" s="255">
        <f>(ASINH(FMS_Ranking4[[#This Row],[Ag Land Raw]]))*(10)/(ASINH(AG$4))</f>
        <v>0.34937634904923093</v>
      </c>
      <c r="AI815" s="254">
        <f>FMS_Ranking4[[#This Row],[Farm &amp; ranch land, ArcSinh (0-10)]]*AG$5*10</f>
        <v>0.17468817452461549</v>
      </c>
      <c r="AJ815" s="258">
        <f>_xlfn.XLOOKUP(FMS_Ranking4[[#This Row],[FMS ID]],FMS_Input[FMS_ID],FMS_Input[REDSTRUCT100])</f>
        <v>0</v>
      </c>
      <c r="AK815" s="253">
        <f>_xlfn.XLOOKUP(FMS_Ranking4[[#This Row],[FMS ID]],FMS_Input[FMS_ID],FMS_Input[REMSTRC100])</f>
        <v>0</v>
      </c>
      <c r="AL815" s="255">
        <f>(ASINH(FMS_Ranking4[[#This Row],[Structures Removed Raw]]))*(10)/(ASINH(AK$4))</f>
        <v>0</v>
      </c>
      <c r="AM815" s="254">
        <f>FMS_Ranking4[[#This Row],[Structures removed, ArcSinh (0-10)]]*AK$5*10</f>
        <v>0</v>
      </c>
      <c r="AN815" s="253">
        <f>_xlfn.XLOOKUP(FMS_Ranking4[[#This Row],[FMS ID]],FMS_Input[FMS_ID],FMS_Input[REMRESSTRC100])</f>
        <v>0</v>
      </c>
      <c r="AO815" s="258">
        <f>FMS_Ranking4[[#This Row],[ArcSinh Res struct removed 0-10]]*AN$5*10</f>
        <v>0</v>
      </c>
      <c r="AP815" s="254">
        <f>ASINH(FMS_Ranking4[[#This Row],[Residential Structures Removed Raw]])/AP$4*AN$5*100</f>
        <v>0</v>
      </c>
      <c r="AQ815" s="261">
        <f>(ASINH(FMS_Ranking4[[#This Row],[Residential Structures Removed Raw]]))*(10)/(ASINH(AN$4))</f>
        <v>0</v>
      </c>
      <c r="AR815" s="253">
        <f>_xlfn.XLOOKUP(FMS_Ranking4[[#This Row],[FMS ID]],FMS_Input[FMS_ID],FMS_Input[REMPOP100])</f>
        <v>0</v>
      </c>
      <c r="AS815" s="255">
        <f>(ASINH(FMS_Ranking4[[#This Row],[Removed Pop Raw]]))*(10)/(ASINH(AR$4))</f>
        <v>0</v>
      </c>
      <c r="AT815" s="263">
        <f>FMS_Ranking4[[#This Row],[Removed population, ArcSinh (0-10)]]*AR$5*10</f>
        <v>0</v>
      </c>
      <c r="AU815" s="264">
        <f>_xlfn.XLOOKUP(FMS_Ranking4[[#This Row],[FMS ID]],FMS_Input[FMS_ID],FMS_Input[REMCRITFAC100])</f>
        <v>0</v>
      </c>
      <c r="AV815" s="264">
        <f>_xlfn.XLOOKUP(FMS_Ranking4[[#This Row],[FMS ID]],FMS_Input[FMS_ID],FMS_Input[REMLWC100])</f>
        <v>0</v>
      </c>
      <c r="AW815" s="264">
        <f>_xlfn.XLOOKUP(FMS_Ranking4[[#This Row],[FMS ID]],FMS_Input[FMS_ID],FMS_Input[REMROADCLS])</f>
        <v>0</v>
      </c>
      <c r="AX815" s="264">
        <f>_xlfn.XLOOKUP(FMS_Ranking4[[#This Row],[FMS ID]],FMS_Input[FMS_ID],FMS_Input[REMFRMACRE100])</f>
        <v>0</v>
      </c>
      <c r="AY815" s="258">
        <f>_xlfn.XLOOKUP(FMS_Ranking4[[#This Row],[FMS ID]],FMS_Input[FMS_ID],FMS_Input[COSTSTRUCT])</f>
        <v>0</v>
      </c>
      <c r="AZ815" s="258">
        <f>_xlfn.XLOOKUP(FMS_Ranking4[[#This Row],[FMS ID]],FMS_Input[FMS_ID],FMS_Input[NATURE])</f>
        <v>0</v>
      </c>
      <c r="BA815" s="290">
        <f>(((FMS_Ranking4[[#This Row],[% NBS Raw]]/AZ$4)*100)*AZ$5)</f>
        <v>0</v>
      </c>
      <c r="BB815" s="251" t="str">
        <f>_xlfn.XLOOKUP(FMS_Ranking4[[#This Row],[FMS ID]],FMS_Input[FMS_ID],FMS_Input[WATER_SUP])</f>
        <v>No</v>
      </c>
      <c r="BC815" s="265">
        <f>IF(FMS_Ranking4[[#This Row],[Water Supply Raw]]="Yes",10,0)</f>
        <v>0</v>
      </c>
      <c r="BD815" s="251">
        <f>_xlfn.XLOOKUP(FMS_Ranking4[[#This Row],[FMS Type]],FMS_TYPE[FMS_Type],FMS_TYPE[Score])</f>
        <v>8</v>
      </c>
      <c r="BE815" s="267">
        <f>FMS_Ranking4[[#This Row],[FMS_Type Score]]*$BD$5*10</f>
        <v>2</v>
      </c>
      <c r="BF815"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1.1631667091829731E-6</v>
      </c>
      <c r="BG815" s="321">
        <f>_xlfn.RANK.EQ(BF815,$BF$8:$BF$870,0)+COUNTIF($BF$8:BF815,BF815)-1</f>
        <v>803</v>
      </c>
      <c r="BH815" s="294">
        <f>(((FMS_Ranking4[[#This Row],[Structures Removed Raw]]/AK$4)*100)*AK$5)+(((FMS_Ranking4[[#This Row],[Removed Pop Raw]]/AR$4)*100)*AR$5)</f>
        <v>0</v>
      </c>
      <c r="BI81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2.0000011631667092</v>
      </c>
      <c r="BJ815" s="296">
        <f>_xlfn.RANK.EQ(FMS_Ranking4[[#This Row],[Total Score 
(with linear
normalization)]],FMS_Ranking4[Total Score 
(with linear
normalization)],0)</f>
        <v>495</v>
      </c>
      <c r="BK815" s="292" t="e">
        <f>_xlfn.XLOOKUP(FMS_Ranking4[[#This Row],[FMS ID]],#REF!,#REF!)</f>
        <v>#REF!</v>
      </c>
      <c r="BL815"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0.17468817452461549</v>
      </c>
      <c r="BM815" s="298">
        <f>FMS_Ranking4[[#This Row],[ArcSinh Score Based on Normalized Reported Factors]]+FMS_Ranking4[[#This Row],[% NBS Score (Normalized)]]+(FMS_Ranking4[[#This Row],[Water Supply Score (Normalized)]]*10*$BB$5)+FMS_Ranking4[[#This Row],[FMS_Type Score Weighted]]</f>
        <v>2.1746881745246154</v>
      </c>
      <c r="BN815" s="323">
        <f>_xlfn.RANK.EQ(FMS_Ranking4[[#This Row],[Total Score (with ArcSinh normalization of select criteria)]],FMS_Ranking4[Total Score (with ArcSinh normalization of select criteria)],0)</f>
        <v>808</v>
      </c>
      <c r="BO815" s="270" t="str">
        <f>_xlfn.XLOOKUP(FMS_Ranking4[[#This Row],[FMS ID]],FMS_Input[FMS_ID],FMS_Input[FMS_RANK_YEAR])</f>
        <v>2023 Amended Plan</v>
      </c>
      <c r="BP815" s="204">
        <f>_xlfn.XLOOKUP(FMS_Ranking4[[#This Row],[FMS ID]],Prev_Rank[FMS ID],Prev_Rank[Prev Rank])</f>
        <v>732</v>
      </c>
      <c r="BQ815" s="265" t="e">
        <f>_xlfn.XLOOKUP(FMS_Ranking4[[#This Row],[FMS ID]],#REF!,#REF!)</f>
        <v>#REF!</v>
      </c>
      <c r="BR815" s="199" t="e">
        <f>SUM(#REF!,#REF!,#REF!,#REF!,#REF!,#REF!,#REF!,#REF!,#REF!,FMS_Ranking4[[#This Row],[ArcSinh Res struct removed 0-10]],#REF!)</f>
        <v>#REF!</v>
      </c>
      <c r="BS815" s="199" t="e">
        <f>FMS_Ranking4[[#This Row],[Log Score Based on Normalized Reported Factors]]+FMS_Ranking4[[#This Row],[% NBS Score (Normalized)]]+(FMS_Ranking4[[#This Row],[Water Supply Score (Normalized)]]*10*$BB$5)+(FMS_Ranking4[[#This Row],[FMS_Type Score Weighted]])</f>
        <v>#REF!</v>
      </c>
      <c r="BT815" s="200" t="e">
        <f>_xlfn.RANK.EQ(FMS_Ranking4[[#This Row],[Log Total Score]],FMS_Ranking4[Log Total Score],0)</f>
        <v>#REF!</v>
      </c>
      <c r="BU815" s="200" t="e">
        <f>_xlfn.XLOOKUP(FMS_Ranking4[[#This Row],[FMS ID]],#REF!,#REF!)</f>
        <v>#REF!</v>
      </c>
      <c r="BV815" s="200">
        <f>FMS_Ranking4[[#This Row],[Region Number]]</f>
        <v>3</v>
      </c>
      <c r="BW815" s="200">
        <f>FMS_Ranking4[[#This Row],[Rank (with ArcSinh normalization of select criteria)]]-FMS_Ranking4[[#This Row],[Rank
(with linear
normalization)]]</f>
        <v>313</v>
      </c>
      <c r="BX815" s="200" t="e">
        <f>FMS_Ranking4[[#This Row],[Log Rank]]-FMS_Ranking4[[#This Row],[Rank
(with linear
normalization)]]</f>
        <v>#REF!</v>
      </c>
      <c r="BY815" s="200" t="str">
        <f>IF(FMS_Ranking4[[#This Row],[FMS Type]]="Flood Measurement and Warning",FMS_Ranking4[[#This Row],[Rank (with ArcSinh normalization of select criteria)]],"")</f>
        <v/>
      </c>
      <c r="BZ815" s="200">
        <f>IF(FMS_Ranking4[[#This Row],[FMS Type]]="Regulatory and Guidance",FMS_Ranking4[[#This Row],[Rank (with ArcSinh normalization of select criteria)]],"")</f>
        <v>808</v>
      </c>
      <c r="CA815" s="200" t="str">
        <f>IF(FMS_Ranking4[[#This Row],[FMS Type]]="Education and Outreach",FMS_Ranking4[[#This Row],[Rank (with ArcSinh normalization of select criteria)]],"")</f>
        <v/>
      </c>
      <c r="CB815" s="200" t="str">
        <f>IF(FMS_Ranking4[[#This Row],[FMS Type]]="Property Acquisition and Structural Elevation",FMS_Ranking4[[#This Row],[Rank (with ArcSinh normalization of select criteria)]],"")</f>
        <v/>
      </c>
      <c r="CC815" s="200" t="str">
        <f>IF(FMS_Ranking4[[#This Row],[FMS Type]]="Infrastructure Projects",FMS_Ranking4[[#This Row],[Rank (with ArcSinh normalization of select criteria)]],"")</f>
        <v/>
      </c>
      <c r="CD815" s="200" t="str">
        <f>IF(FMS_Ranking4[[#This Row],[FMS Type]]="Other",FMS_Ranking4[[#This Row],[Rank (with ArcSinh normalization of select criteria)]],"")</f>
        <v/>
      </c>
    </row>
    <row r="816" spans="2:82" ht="45" x14ac:dyDescent="0.25">
      <c r="B816" s="342" t="s">
        <v>4793</v>
      </c>
      <c r="C816" s="287">
        <f>_xlfn.XLOOKUP(FMS_Ranking4[[#This Row],[FMS ID]],FMS_Input[FMS_ID],FMS_Input[RFPG_NUM])</f>
        <v>4</v>
      </c>
      <c r="D816" s="309" t="str">
        <f>_xlfn.XLOOKUP(FMS_Ranking4[[#This Row],[FMS ID]],FMS_Input[FMS_ID],FMS_Input[FMS_NAME])</f>
        <v>City of Van "StormReady" Program</v>
      </c>
      <c r="E816" s="322" t="str">
        <f>_xlfn.XLOOKUP(FMS_Ranking4[[#This Row],[FMS ID]],FMS_Input[FMS_ID],FMS_Input[SPONSOR])</f>
        <v>00002538</v>
      </c>
      <c r="F816" s="309" t="str">
        <f>_xlfn.XLOOKUP(FMS_Ranking4[[#This Row],[FMS ID]],Sponsor[FMS_ID],Sponsor[SPONSOR NAME])</f>
        <v>Van</v>
      </c>
      <c r="G816" s="309" t="str">
        <f>_xlfn.XLOOKUP(FMS_Ranking4[[#This Row],[FMS ID]],FMS_Input[FMS_ID],FMS_Input[FMS_DESCR])</f>
        <v>Obtain certification in the National Weather Service StormReady Program.</v>
      </c>
      <c r="H816" s="247" t="str">
        <f>_xlfn.XLOOKUP(FMS_Ranking4[[#This Row],[FMS ID]],FMS_Input[FMS_ID],FMS_Input[FMS_TYPE])</f>
        <v>Regulatory and Guidance</v>
      </c>
      <c r="I816" s="288">
        <f>_xlfn.XLOOKUP(FMS_Ranking4[[#This Row],[FMS ID]],FMS_Input[FMS_ID],FMS_Input[NRNC_COST])</f>
        <v>10000</v>
      </c>
      <c r="J816" s="250">
        <f>_xlfn.XLOOKUP(FMS_Ranking4[[#This Row],[FMS ID]],FMS_Input[FMS_ID],FMS_Input[FMS_COST])</f>
        <v>10000</v>
      </c>
      <c r="K816" s="289" t="str">
        <f>_xlfn.XLOOKUP(FMS_Ranking4[[#This Row],[FMS ID]],FMS_Input[FMS_ID],FMS_Input[EMER_NEED])</f>
        <v>No</v>
      </c>
      <c r="L816" s="252">
        <f t="shared" si="12"/>
        <v>0</v>
      </c>
      <c r="M816" s="253">
        <f>_xlfn.XLOOKUP(FMS_Ranking4[[#This Row],[FMS ID]],FMS_Input[FMS_ID],FMS_Input[STRUCT_100])</f>
        <v>0</v>
      </c>
      <c r="N816" s="255">
        <f>(ASINH(FMS_Ranking4[[#This Row],[Structure at Risk Raw]]))*(10)/(ASINH(M$4))</f>
        <v>0</v>
      </c>
      <c r="O816" s="255">
        <f>FMS_Ranking4[[#This Row],[Structures at risk, ArcSinh (0-10)]]*M$5*10</f>
        <v>0</v>
      </c>
      <c r="P816" s="259">
        <f>_xlfn.XLOOKUP(FMS_Ranking4[[#This Row],[FMS ID]],FMS_Input[FMS_ID],FMS_Input[RES_STRUCT100])</f>
        <v>0</v>
      </c>
      <c r="Q816" s="257">
        <f>ASINH(FMS_Ranking4[[#This Row],[Res Structure Raw]])/Q$4*P$5*100</f>
        <v>0</v>
      </c>
      <c r="R816" s="259">
        <f>_xlfn.XLOOKUP(FMS_Ranking4[[#This Row],[FMS ID]],FMS_Input[FMS_ID],FMS_Input[POP100])</f>
        <v>0</v>
      </c>
      <c r="S816" s="259">
        <f>(ASINH(FMS_Ranking4[[#This Row],[Pop at Risk Raw]]))*(10)/(ASINH(R$4))</f>
        <v>0</v>
      </c>
      <c r="T816" s="257">
        <f>FMS_Ranking4[[#This Row],[Population at risk, ArcSinh (0-10)]]*R$5*10</f>
        <v>0</v>
      </c>
      <c r="U816" s="259">
        <f>_xlfn.XLOOKUP(FMS_Ranking4[[#This Row],[FMS ID]],FMS_Input[FMS_ID],FMS_Input[CRITFAC100])</f>
        <v>0</v>
      </c>
      <c r="V816" s="259">
        <f>(ASINH(FMS_Ranking4[[#This Row],[Critical Facilities Raw]]))*(10)/(ASINH(U$4))</f>
        <v>0</v>
      </c>
      <c r="W816" s="257">
        <f>FMS_Ranking4[[#This Row],[Critical facilities at risk, ArcSinh (0-10)]]*U$5*10</f>
        <v>0</v>
      </c>
      <c r="X816" s="259">
        <f>_xlfn.XLOOKUP(FMS_Ranking4[[#This Row],[FMS ID]],FMS_Input[FMS_ID],FMS_Input[LWC])</f>
        <v>0</v>
      </c>
      <c r="Y816" s="259">
        <f>(ASINH(FMS_Ranking4[[#This Row],[LWC Raw]]))*(10)/(ASINH(X$4))</f>
        <v>0</v>
      </c>
      <c r="Z816" s="257">
        <f>FMS_Ranking4[[#This Row],[LWC, ArcSInh (0-10)]]*X$5*10</f>
        <v>0</v>
      </c>
      <c r="AA816" s="259">
        <f>_xlfn.XLOOKUP(FMS_Ranking4[[#This Row],[FMS ID]],FMS_Input[FMS_ID],FMS_Input[ROADCLS])</f>
        <v>0</v>
      </c>
      <c r="AB816" s="255">
        <f>(ASINH(FMS_Ranking4[[#This Row],[Road Closures Raw]]))*(10)/(ASINH(AA$4))</f>
        <v>0</v>
      </c>
      <c r="AC816" s="255">
        <f>FMS_Ranking4[[#This Row],[Road closures, ArcSinh (0-10)]]*AA$5*10</f>
        <v>0</v>
      </c>
      <c r="AD816" s="259">
        <f>_xlfn.XLOOKUP(FMS_Ranking4[[#This Row],[FMS ID]],FMS_Input[FMS_ID],FMS_Input[ROAD_MILES100])</f>
        <v>0</v>
      </c>
      <c r="AE816" s="259">
        <f>(ASINH(FMS_Ranking4[[#This Row],[Road Miles Raw]]))*(10)/(ASINH(AD$4))</f>
        <v>0</v>
      </c>
      <c r="AF816" s="257">
        <f>FMS_Ranking4[[#This Row],[Length of roads at risk, ArcSinh (0-10)]]*AD$5*10</f>
        <v>0</v>
      </c>
      <c r="AG816" s="259">
        <f>_xlfn.XLOOKUP(FMS_Ranking4[[#This Row],[FMS ID]],FMS_Input[FMS_ID],FMS_Input[FARMACRE100])</f>
        <v>0.38747164607048029</v>
      </c>
      <c r="AH816" s="255">
        <f>(ASINH(FMS_Ranking4[[#This Row],[Ag Land Raw]]))*(10)/(ASINH(AG$4))</f>
        <v>0.24578737907627221</v>
      </c>
      <c r="AI816" s="254">
        <f>FMS_Ranking4[[#This Row],[Farm &amp; ranch land, ArcSinh (0-10)]]*AG$5*10</f>
        <v>0.12289368953813612</v>
      </c>
      <c r="AJ816" s="258">
        <f>_xlfn.XLOOKUP(FMS_Ranking4[[#This Row],[FMS ID]],FMS_Input[FMS_ID],FMS_Input[REDSTRUCT100])</f>
        <v>0</v>
      </c>
      <c r="AK816" s="253">
        <f>_xlfn.XLOOKUP(FMS_Ranking4[[#This Row],[FMS ID]],FMS_Input[FMS_ID],FMS_Input[REMSTRC100])</f>
        <v>0</v>
      </c>
      <c r="AL816" s="259">
        <f>(ASINH(FMS_Ranking4[[#This Row],[Structures Removed Raw]]))*(10)/(ASINH(AK$4))</f>
        <v>0</v>
      </c>
      <c r="AM816" s="254">
        <f>FMS_Ranking4[[#This Row],[Structures removed, ArcSinh (0-10)]]*AK$5*10</f>
        <v>0</v>
      </c>
      <c r="AN816" s="253">
        <f>_xlfn.XLOOKUP(FMS_Ranking4[[#This Row],[FMS ID]],FMS_Input[FMS_ID],FMS_Input[REMRESSTRC100])</f>
        <v>0</v>
      </c>
      <c r="AO816" s="258">
        <f>FMS_Ranking4[[#This Row],[ArcSinh Res struct removed 0-10]]*AN$5*10</f>
        <v>0</v>
      </c>
      <c r="AP816" s="254">
        <f>ASINH(FMS_Ranking4[[#This Row],[Residential Structures Removed Raw]])/AP$4*AN$5*100</f>
        <v>0</v>
      </c>
      <c r="AQ816" s="260">
        <f>(ASINH(FMS_Ranking4[[#This Row],[Residential Structures Removed Raw]]))*(10)/(ASINH(AN$4))</f>
        <v>0</v>
      </c>
      <c r="AR816" s="253">
        <f>_xlfn.XLOOKUP(FMS_Ranking4[[#This Row],[FMS ID]],FMS_Input[FMS_ID],FMS_Input[REMPOP100])</f>
        <v>0</v>
      </c>
      <c r="AS816" s="259">
        <f>(ASINH(FMS_Ranking4[[#This Row],[Removed Pop Raw]]))*(10)/(ASINH(AR$4))</f>
        <v>0</v>
      </c>
      <c r="AT816" s="263">
        <f>FMS_Ranking4[[#This Row],[Removed population, ArcSinh (0-10)]]*AR$5*10</f>
        <v>0</v>
      </c>
      <c r="AU816" s="264">
        <f>_xlfn.XLOOKUP(FMS_Ranking4[[#This Row],[FMS ID]],FMS_Input[FMS_ID],FMS_Input[REMCRITFAC100])</f>
        <v>0</v>
      </c>
      <c r="AV816" s="264">
        <f>_xlfn.XLOOKUP(FMS_Ranking4[[#This Row],[FMS ID]],FMS_Input[FMS_ID],FMS_Input[REMLWC100])</f>
        <v>0</v>
      </c>
      <c r="AW816" s="264">
        <f>_xlfn.XLOOKUP(FMS_Ranking4[[#This Row],[FMS ID]],FMS_Input[FMS_ID],FMS_Input[REMROADCLS])</f>
        <v>0</v>
      </c>
      <c r="AX816" s="264">
        <f>_xlfn.XLOOKUP(FMS_Ranking4[[#This Row],[FMS ID]],FMS_Input[FMS_ID],FMS_Input[REMFRMACRE100])</f>
        <v>0</v>
      </c>
      <c r="AY816" s="258">
        <f>_xlfn.XLOOKUP(FMS_Ranking4[[#This Row],[FMS ID]],FMS_Input[FMS_ID],FMS_Input[COSTSTRUCT])</f>
        <v>0</v>
      </c>
      <c r="AZ816" s="258">
        <f>_xlfn.XLOOKUP(FMS_Ranking4[[#This Row],[FMS ID]],FMS_Input[FMS_ID],FMS_Input[NATURE])</f>
        <v>0</v>
      </c>
      <c r="BA816" s="290">
        <f>(((FMS_Ranking4[[#This Row],[% NBS Raw]]/AZ$4)*100)*AZ$5)</f>
        <v>0</v>
      </c>
      <c r="BB816" s="251" t="str">
        <f>_xlfn.XLOOKUP(FMS_Ranking4[[#This Row],[FMS ID]],FMS_Input[FMS_ID],FMS_Input[WATER_SUP])</f>
        <v>No</v>
      </c>
      <c r="BC816" s="265">
        <f>IF(FMS_Ranking4[[#This Row],[Water Supply Raw]]="Yes",10,0)</f>
        <v>0</v>
      </c>
      <c r="BD816" s="251">
        <f>_xlfn.XLOOKUP(FMS_Ranking4[[#This Row],[FMS Type]],FMS_TYPE[FMS_Type],FMS_TYPE[Score])</f>
        <v>8</v>
      </c>
      <c r="BE816" s="267">
        <f>FMS_Ranking4[[#This Row],[FMS_Type Score]]*$BD$5*10</f>
        <v>2</v>
      </c>
      <c r="BF816"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7.9887980828467095E-7</v>
      </c>
      <c r="BG816" s="271">
        <f>_xlfn.RANK.EQ(BF816,$BF$8:$BF$870,0)+COUNTIF($BF$8:BF816,BF816)-1</f>
        <v>805</v>
      </c>
      <c r="BH816" s="268">
        <f>(((FMS_Ranking4[[#This Row],[Structures Removed Raw]]/AK$4)*100)*AK$5)+(((FMS_Ranking4[[#This Row],[Removed Pop Raw]]/AR$4)*100)*AR$5)</f>
        <v>0</v>
      </c>
      <c r="BI81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2.0000007988798081</v>
      </c>
      <c r="BJ816" s="325">
        <f>_xlfn.RANK.EQ(FMS_Ranking4[[#This Row],[Total Score 
(with linear
normalization)]],FMS_Ranking4[Total Score 
(with linear
normalization)],0)</f>
        <v>496</v>
      </c>
      <c r="BK816" s="327" t="e">
        <f>_xlfn.XLOOKUP(FMS_Ranking4[[#This Row],[FMS ID]],#REF!,#REF!)</f>
        <v>#REF!</v>
      </c>
      <c r="BL816"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0.12289368953813612</v>
      </c>
      <c r="BM816" s="330">
        <f>FMS_Ranking4[[#This Row],[ArcSinh Score Based on Normalized Reported Factors]]+FMS_Ranking4[[#This Row],[% NBS Score (Normalized)]]+(FMS_Ranking4[[#This Row],[Water Supply Score (Normalized)]]*10*$BB$5)+FMS_Ranking4[[#This Row],[FMS_Type Score Weighted]]</f>
        <v>2.1228936895381363</v>
      </c>
      <c r="BN816" s="332">
        <f>_xlfn.RANK.EQ(FMS_Ranking4[[#This Row],[Total Score (with ArcSinh normalization of select criteria)]],FMS_Ranking4[Total Score (with ArcSinh normalization of select criteria)],0)</f>
        <v>809</v>
      </c>
      <c r="BO816" s="270" t="str">
        <f>_xlfn.XLOOKUP(FMS_Ranking4[[#This Row],[FMS ID]],FMS_Input[FMS_ID],FMS_Input[FMS_RANK_YEAR])</f>
        <v>2023 Amended Plan</v>
      </c>
      <c r="BP816" s="204">
        <f>_xlfn.XLOOKUP(FMS_Ranking4[[#This Row],[FMS ID]],Prev_Rank[FMS ID],Prev_Rank[Prev Rank])</f>
        <v>733</v>
      </c>
      <c r="BQ816" s="334" t="e">
        <f>_xlfn.XLOOKUP(FMS_Ranking4[[#This Row],[FMS ID]],#REF!,#REF!)</f>
        <v>#REF!</v>
      </c>
      <c r="BR816" s="199" t="e">
        <f>SUM(#REF!,#REF!,#REF!,#REF!,#REF!,#REF!,#REF!,#REF!,#REF!,FMS_Ranking4[[#This Row],[ArcSinh Res struct removed 0-10]],#REF!)</f>
        <v>#REF!</v>
      </c>
      <c r="BS816" s="199" t="e">
        <f>FMS_Ranking4[[#This Row],[Log Score Based on Normalized Reported Factors]]+FMS_Ranking4[[#This Row],[% NBS Score (Normalized)]]+(FMS_Ranking4[[#This Row],[Water Supply Score (Normalized)]]*10*$BB$5)+(FMS_Ranking4[[#This Row],[FMS_Type Score Weighted]])</f>
        <v>#REF!</v>
      </c>
      <c r="BT816" s="200" t="e">
        <f>_xlfn.RANK.EQ(FMS_Ranking4[[#This Row],[Log Total Score]],FMS_Ranking4[Log Total Score],0)</f>
        <v>#REF!</v>
      </c>
      <c r="BU816" s="200" t="e">
        <f>_xlfn.XLOOKUP(FMS_Ranking4[[#This Row],[FMS ID]],#REF!,#REF!)</f>
        <v>#REF!</v>
      </c>
      <c r="BV816" s="200">
        <f>FMS_Ranking4[[#This Row],[Region Number]]</f>
        <v>4</v>
      </c>
      <c r="BW816" s="200">
        <f>FMS_Ranking4[[#This Row],[Rank (with ArcSinh normalization of select criteria)]]-FMS_Ranking4[[#This Row],[Rank
(with linear
normalization)]]</f>
        <v>313</v>
      </c>
      <c r="BX816" s="200" t="e">
        <f>FMS_Ranking4[[#This Row],[Log Rank]]-FMS_Ranking4[[#This Row],[Rank
(with linear
normalization)]]</f>
        <v>#REF!</v>
      </c>
      <c r="BY816" s="200" t="str">
        <f>IF(FMS_Ranking4[[#This Row],[FMS Type]]="Flood Measurement and Warning",FMS_Ranking4[[#This Row],[Rank (with ArcSinh normalization of select criteria)]],"")</f>
        <v/>
      </c>
      <c r="BZ816" s="200">
        <f>IF(FMS_Ranking4[[#This Row],[FMS Type]]="Regulatory and Guidance",FMS_Ranking4[[#This Row],[Rank (with ArcSinh normalization of select criteria)]],"")</f>
        <v>809</v>
      </c>
      <c r="CA816" s="200" t="str">
        <f>IF(FMS_Ranking4[[#This Row],[FMS Type]]="Education and Outreach",FMS_Ranking4[[#This Row],[Rank (with ArcSinh normalization of select criteria)]],"")</f>
        <v/>
      </c>
      <c r="CB816" s="200" t="str">
        <f>IF(FMS_Ranking4[[#This Row],[FMS Type]]="Property Acquisition and Structural Elevation",FMS_Ranking4[[#This Row],[Rank (with ArcSinh normalization of select criteria)]],"")</f>
        <v/>
      </c>
      <c r="CC816" s="200" t="str">
        <f>IF(FMS_Ranking4[[#This Row],[FMS Type]]="Infrastructure Projects",FMS_Ranking4[[#This Row],[Rank (with ArcSinh normalization of select criteria)]],"")</f>
        <v/>
      </c>
      <c r="CD816" s="200" t="str">
        <f>IF(FMS_Ranking4[[#This Row],[FMS Type]]="Other",FMS_Ranking4[[#This Row],[Rank (with ArcSinh normalization of select criteria)]],"")</f>
        <v/>
      </c>
    </row>
    <row r="817" spans="2:82" ht="30" x14ac:dyDescent="0.25">
      <c r="B817" s="342" t="s">
        <v>1245</v>
      </c>
      <c r="C817" s="287">
        <f>_xlfn.XLOOKUP(FMS_Ranking4[[#This Row],[FMS ID]],FMS_Input[FMS_ID],FMS_Input[RFPG_NUM])</f>
        <v>1</v>
      </c>
      <c r="D817" s="309" t="str">
        <f>_xlfn.XLOOKUP(FMS_Ranking4[[#This Row],[FMS ID]],FMS_Input[FMS_ID],FMS_Input[FMS_NAME])</f>
        <v>Vega NFIP Involvement</v>
      </c>
      <c r="E817" s="322" t="str">
        <f>_xlfn.XLOOKUP(FMS_Ranking4[[#This Row],[FMS ID]],FMS_Input[FMS_ID],FMS_Input[SPONSOR])</f>
        <v>01002846</v>
      </c>
      <c r="F817" s="309" t="str">
        <f>_xlfn.XLOOKUP(FMS_Ranking4[[#This Row],[FMS ID]],Sponsor[FMS_ID],Sponsor[SPONSOR NAME])</f>
        <v>Vega</v>
      </c>
      <c r="G817" s="309" t="str">
        <f>_xlfn.XLOOKUP(FMS_Ranking4[[#This Row],[FMS ID]],FMS_Input[FMS_ID],FMS_Input[FMS_DESCR])</f>
        <v>Application to join NFIP or adopt equivalent standards</v>
      </c>
      <c r="H817" s="247" t="str">
        <f>_xlfn.XLOOKUP(FMS_Ranking4[[#This Row],[FMS ID]],FMS_Input[FMS_ID],FMS_Input[FMS_TYPE])</f>
        <v>Regulatory and Guidance</v>
      </c>
      <c r="I817" s="288">
        <f>_xlfn.XLOOKUP(FMS_Ranking4[[#This Row],[FMS ID]],FMS_Input[FMS_ID],FMS_Input[NRNC_COST])</f>
        <v>100000</v>
      </c>
      <c r="J817" s="250">
        <f>_xlfn.XLOOKUP(FMS_Ranking4[[#This Row],[FMS ID]],FMS_Input[FMS_ID],FMS_Input[FMS_COST])</f>
        <v>100000</v>
      </c>
      <c r="K817" s="289" t="str">
        <f>_xlfn.XLOOKUP(FMS_Ranking4[[#This Row],[FMS ID]],FMS_Input[FMS_ID],FMS_Input[EMER_NEED])</f>
        <v>No</v>
      </c>
      <c r="L817" s="252">
        <f t="shared" si="12"/>
        <v>0</v>
      </c>
      <c r="M817" s="253">
        <f>_xlfn.XLOOKUP(FMS_Ranking4[[#This Row],[FMS ID]],FMS_Input[FMS_ID],FMS_Input[STRUCT_100])</f>
        <v>0</v>
      </c>
      <c r="N817" s="255">
        <f>(ASINH(FMS_Ranking4[[#This Row],[Structure at Risk Raw]]))*(10)/(ASINH(M$4))</f>
        <v>0</v>
      </c>
      <c r="O817" s="255">
        <f>FMS_Ranking4[[#This Row],[Structures at risk, ArcSinh (0-10)]]*M$5*10</f>
        <v>0</v>
      </c>
      <c r="P817" s="259">
        <f>_xlfn.XLOOKUP(FMS_Ranking4[[#This Row],[FMS ID]],FMS_Input[FMS_ID],FMS_Input[RES_STRUCT100])</f>
        <v>0</v>
      </c>
      <c r="Q817" s="257">
        <f>ASINH(FMS_Ranking4[[#This Row],[Res Structure Raw]])/Q$4*P$5*100</f>
        <v>0</v>
      </c>
      <c r="R817" s="259">
        <f>_xlfn.XLOOKUP(FMS_Ranking4[[#This Row],[FMS ID]],FMS_Input[FMS_ID],FMS_Input[POP100])</f>
        <v>0</v>
      </c>
      <c r="S817" s="259">
        <f>(ASINH(FMS_Ranking4[[#This Row],[Pop at Risk Raw]]))*(10)/(ASINH(R$4))</f>
        <v>0</v>
      </c>
      <c r="T817" s="257">
        <f>FMS_Ranking4[[#This Row],[Population at risk, ArcSinh (0-10)]]*R$5*10</f>
        <v>0</v>
      </c>
      <c r="U817" s="259">
        <f>_xlfn.XLOOKUP(FMS_Ranking4[[#This Row],[FMS ID]],FMS_Input[FMS_ID],FMS_Input[CRITFAC100])</f>
        <v>0</v>
      </c>
      <c r="V817" s="259">
        <f>(ASINH(FMS_Ranking4[[#This Row],[Critical Facilities Raw]]))*(10)/(ASINH(U$4))</f>
        <v>0</v>
      </c>
      <c r="W817" s="257">
        <f>FMS_Ranking4[[#This Row],[Critical facilities at risk, ArcSinh (0-10)]]*U$5*10</f>
        <v>0</v>
      </c>
      <c r="X817" s="259">
        <f>_xlfn.XLOOKUP(FMS_Ranking4[[#This Row],[FMS ID]],FMS_Input[FMS_ID],FMS_Input[LWC])</f>
        <v>0</v>
      </c>
      <c r="Y817" s="259">
        <f>(ASINH(FMS_Ranking4[[#This Row],[LWC Raw]]))*(10)/(ASINH(X$4))</f>
        <v>0</v>
      </c>
      <c r="Z817" s="257">
        <f>FMS_Ranking4[[#This Row],[LWC, ArcSInh (0-10)]]*X$5*10</f>
        <v>0</v>
      </c>
      <c r="AA817" s="259">
        <f>_xlfn.XLOOKUP(FMS_Ranking4[[#This Row],[FMS ID]],FMS_Input[FMS_ID],FMS_Input[ROADCLS])</f>
        <v>0</v>
      </c>
      <c r="AB817" s="255">
        <f>(ASINH(FMS_Ranking4[[#This Row],[Road Closures Raw]]))*(10)/(ASINH(AA$4))</f>
        <v>0</v>
      </c>
      <c r="AC817" s="255">
        <f>FMS_Ranking4[[#This Row],[Road closures, ArcSinh (0-10)]]*AA$5*10</f>
        <v>0</v>
      </c>
      <c r="AD817" s="259">
        <f>_xlfn.XLOOKUP(FMS_Ranking4[[#This Row],[FMS ID]],FMS_Input[FMS_ID],FMS_Input[ROAD_MILES100])</f>
        <v>0</v>
      </c>
      <c r="AE817" s="259">
        <f>(ASINH(FMS_Ranking4[[#This Row],[Road Miles Raw]]))*(10)/(ASINH(AD$4))</f>
        <v>0</v>
      </c>
      <c r="AF817" s="257">
        <f>FMS_Ranking4[[#This Row],[Length of roads at risk, ArcSinh (0-10)]]*AD$5*10</f>
        <v>0</v>
      </c>
      <c r="AG817" s="259">
        <f>_xlfn.XLOOKUP(FMS_Ranking4[[#This Row],[FMS ID]],FMS_Input[FMS_ID],FMS_Input[FARMACRE100])</f>
        <v>0.28004387021064758</v>
      </c>
      <c r="AH817" s="255">
        <f>(ASINH(FMS_Ranking4[[#This Row],[Ag Land Raw]]))*(10)/(ASINH(AG$4))</f>
        <v>0.17961378212619422</v>
      </c>
      <c r="AI817" s="254">
        <f>FMS_Ranking4[[#This Row],[Farm &amp; ranch land, ArcSinh (0-10)]]*AG$5*10</f>
        <v>8.9806891063097111E-2</v>
      </c>
      <c r="AJ817" s="258">
        <f>_xlfn.XLOOKUP(FMS_Ranking4[[#This Row],[FMS ID]],FMS_Input[FMS_ID],FMS_Input[REDSTRUCT100])</f>
        <v>0</v>
      </c>
      <c r="AK817" s="253">
        <f>_xlfn.XLOOKUP(FMS_Ranking4[[#This Row],[FMS ID]],FMS_Input[FMS_ID],FMS_Input[REMSTRC100])</f>
        <v>0</v>
      </c>
      <c r="AL817" s="259">
        <f>(ASINH(FMS_Ranking4[[#This Row],[Structures Removed Raw]]))*(10)/(ASINH(AK$4))</f>
        <v>0</v>
      </c>
      <c r="AM817" s="254">
        <f>FMS_Ranking4[[#This Row],[Structures removed, ArcSinh (0-10)]]*AK$5*10</f>
        <v>0</v>
      </c>
      <c r="AN817" s="253">
        <f>_xlfn.XLOOKUP(FMS_Ranking4[[#This Row],[FMS ID]],FMS_Input[FMS_ID],FMS_Input[REMRESSTRC100])</f>
        <v>0</v>
      </c>
      <c r="AO817" s="258">
        <f>FMS_Ranking4[[#This Row],[ArcSinh Res struct removed 0-10]]*AN$5*10</f>
        <v>0</v>
      </c>
      <c r="AP817" s="254">
        <f>ASINH(FMS_Ranking4[[#This Row],[Residential Structures Removed Raw]])/AP$4*AN$5*100</f>
        <v>0</v>
      </c>
      <c r="AQ817" s="260">
        <f>(ASINH(FMS_Ranking4[[#This Row],[Residential Structures Removed Raw]]))*(10)/(ASINH(AN$4))</f>
        <v>0</v>
      </c>
      <c r="AR817" s="253">
        <f>_xlfn.XLOOKUP(FMS_Ranking4[[#This Row],[FMS ID]],FMS_Input[FMS_ID],FMS_Input[REMPOP100])</f>
        <v>0</v>
      </c>
      <c r="AS817" s="259">
        <f>(ASINH(FMS_Ranking4[[#This Row],[Removed Pop Raw]]))*(10)/(ASINH(AR$4))</f>
        <v>0</v>
      </c>
      <c r="AT817" s="263">
        <f>FMS_Ranking4[[#This Row],[Removed population, ArcSinh (0-10)]]*AR$5*10</f>
        <v>0</v>
      </c>
      <c r="AU817" s="264">
        <f>_xlfn.XLOOKUP(FMS_Ranking4[[#This Row],[FMS ID]],FMS_Input[FMS_ID],FMS_Input[REMCRITFAC100])</f>
        <v>0</v>
      </c>
      <c r="AV817" s="264">
        <f>_xlfn.XLOOKUP(FMS_Ranking4[[#This Row],[FMS ID]],FMS_Input[FMS_ID],FMS_Input[REMLWC100])</f>
        <v>0</v>
      </c>
      <c r="AW817" s="264">
        <f>_xlfn.XLOOKUP(FMS_Ranking4[[#This Row],[FMS ID]],FMS_Input[FMS_ID],FMS_Input[REMROADCLS])</f>
        <v>0</v>
      </c>
      <c r="AX817" s="264">
        <f>_xlfn.XLOOKUP(FMS_Ranking4[[#This Row],[FMS ID]],FMS_Input[FMS_ID],FMS_Input[REMFRMACRE100])</f>
        <v>0</v>
      </c>
      <c r="AY817" s="258">
        <f>_xlfn.XLOOKUP(FMS_Ranking4[[#This Row],[FMS ID]],FMS_Input[FMS_ID],FMS_Input[COSTSTRUCT])</f>
        <v>0</v>
      </c>
      <c r="AZ817" s="258">
        <f>_xlfn.XLOOKUP(FMS_Ranking4[[#This Row],[FMS ID]],FMS_Input[FMS_ID],FMS_Input[NATURE])</f>
        <v>0</v>
      </c>
      <c r="BA817" s="290">
        <f>(((FMS_Ranking4[[#This Row],[% NBS Raw]]/AZ$4)*100)*AZ$5)</f>
        <v>0</v>
      </c>
      <c r="BB817" s="251" t="str">
        <f>_xlfn.XLOOKUP(FMS_Ranking4[[#This Row],[FMS ID]],FMS_Input[FMS_ID],FMS_Input[WATER_SUP])</f>
        <v>No</v>
      </c>
      <c r="BC817" s="265">
        <f>IF(FMS_Ranking4[[#This Row],[Water Supply Raw]]="Yes",10,0)</f>
        <v>0</v>
      </c>
      <c r="BD817" s="251">
        <f>_xlfn.XLOOKUP(FMS_Ranking4[[#This Row],[FMS Type]],FMS_TYPE[FMS_Type],FMS_TYPE[Score])</f>
        <v>8</v>
      </c>
      <c r="BE817" s="267">
        <f>FMS_Ranking4[[#This Row],[FMS_Type Score]]*$BD$5*10</f>
        <v>2</v>
      </c>
      <c r="BF81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5.7738777950344504E-7</v>
      </c>
      <c r="BG817" s="271">
        <f>_xlfn.RANK.EQ(BF817,$BF$8:$BF$870,0)+COUNTIF($BF$8:BF817,BF817)-1</f>
        <v>807</v>
      </c>
      <c r="BH817" s="268">
        <f>(((FMS_Ranking4[[#This Row],[Structures Removed Raw]]/AK$4)*100)*AK$5)+(((FMS_Ranking4[[#This Row],[Removed Pop Raw]]/AR$4)*100)*AR$5)</f>
        <v>0</v>
      </c>
      <c r="BI81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2.0000005773877794</v>
      </c>
      <c r="BJ817" s="325">
        <f>_xlfn.RANK.EQ(FMS_Ranking4[[#This Row],[Total Score 
(with linear
normalization)]],FMS_Ranking4[Total Score 
(with linear
normalization)],0)</f>
        <v>497</v>
      </c>
      <c r="BK817" s="327" t="e">
        <f>_xlfn.XLOOKUP(FMS_Ranking4[[#This Row],[FMS ID]],#REF!,#REF!)</f>
        <v>#REF!</v>
      </c>
      <c r="BL81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8.9806891063097111E-2</v>
      </c>
      <c r="BM817" s="330">
        <f>FMS_Ranking4[[#This Row],[ArcSinh Score Based on Normalized Reported Factors]]+FMS_Ranking4[[#This Row],[% NBS Score (Normalized)]]+(FMS_Ranking4[[#This Row],[Water Supply Score (Normalized)]]*10*$BB$5)+FMS_Ranking4[[#This Row],[FMS_Type Score Weighted]]</f>
        <v>2.0898068910630969</v>
      </c>
      <c r="BN817" s="332">
        <f>_xlfn.RANK.EQ(FMS_Ranking4[[#This Row],[Total Score (with ArcSinh normalization of select criteria)]],FMS_Ranking4[Total Score (with ArcSinh normalization of select criteria)],0)</f>
        <v>810</v>
      </c>
      <c r="BO817" s="270" t="str">
        <f>_xlfn.XLOOKUP(FMS_Ranking4[[#This Row],[FMS ID]],FMS_Input[FMS_ID],FMS_Input[FMS_RANK_YEAR])</f>
        <v>2023 Amended Plan</v>
      </c>
      <c r="BP817" s="204">
        <f>_xlfn.XLOOKUP(FMS_Ranking4[[#This Row],[FMS ID]],Prev_Rank[FMS ID],Prev_Rank[Prev Rank])</f>
        <v>734</v>
      </c>
      <c r="BQ817" s="334" t="e">
        <f>_xlfn.XLOOKUP(FMS_Ranking4[[#This Row],[FMS ID]],#REF!,#REF!)</f>
        <v>#REF!</v>
      </c>
      <c r="BR817" s="199" t="e">
        <f>SUM(#REF!,#REF!,#REF!,#REF!,#REF!,#REF!,#REF!,#REF!,#REF!,FMS_Ranking4[[#This Row],[ArcSinh Res struct removed 0-10]],#REF!)</f>
        <v>#REF!</v>
      </c>
      <c r="BS817" s="199" t="e">
        <f>FMS_Ranking4[[#This Row],[Log Score Based on Normalized Reported Factors]]+FMS_Ranking4[[#This Row],[% NBS Score (Normalized)]]+(FMS_Ranking4[[#This Row],[Water Supply Score (Normalized)]]*10*$BB$5)+(FMS_Ranking4[[#This Row],[FMS_Type Score Weighted]])</f>
        <v>#REF!</v>
      </c>
      <c r="BT817" s="200" t="e">
        <f>_xlfn.RANK.EQ(FMS_Ranking4[[#This Row],[Log Total Score]],FMS_Ranking4[Log Total Score],0)</f>
        <v>#REF!</v>
      </c>
      <c r="BU817" s="200" t="e">
        <f>_xlfn.XLOOKUP(FMS_Ranking4[[#This Row],[FMS ID]],#REF!,#REF!)</f>
        <v>#REF!</v>
      </c>
      <c r="BV817" s="200">
        <f>FMS_Ranking4[[#This Row],[Region Number]]</f>
        <v>1</v>
      </c>
      <c r="BW817" s="200">
        <f>FMS_Ranking4[[#This Row],[Rank (with ArcSinh normalization of select criteria)]]-FMS_Ranking4[[#This Row],[Rank
(with linear
normalization)]]</f>
        <v>313</v>
      </c>
      <c r="BX817" s="200" t="e">
        <f>FMS_Ranking4[[#This Row],[Log Rank]]-FMS_Ranking4[[#This Row],[Rank
(with linear
normalization)]]</f>
        <v>#REF!</v>
      </c>
      <c r="BY817" s="200" t="str">
        <f>IF(FMS_Ranking4[[#This Row],[FMS Type]]="Flood Measurement and Warning",FMS_Ranking4[[#This Row],[Rank (with ArcSinh normalization of select criteria)]],"")</f>
        <v/>
      </c>
      <c r="BZ817" s="200">
        <f>IF(FMS_Ranking4[[#This Row],[FMS Type]]="Regulatory and Guidance",FMS_Ranking4[[#This Row],[Rank (with ArcSinh normalization of select criteria)]],"")</f>
        <v>810</v>
      </c>
      <c r="CA817" s="200" t="str">
        <f>IF(FMS_Ranking4[[#This Row],[FMS Type]]="Education and Outreach",FMS_Ranking4[[#This Row],[Rank (with ArcSinh normalization of select criteria)]],"")</f>
        <v/>
      </c>
      <c r="CB817" s="200" t="str">
        <f>IF(FMS_Ranking4[[#This Row],[FMS Type]]="Property Acquisition and Structural Elevation",FMS_Ranking4[[#This Row],[Rank (with ArcSinh normalization of select criteria)]],"")</f>
        <v/>
      </c>
      <c r="CC817" s="200" t="str">
        <f>IF(FMS_Ranking4[[#This Row],[FMS Type]]="Infrastructure Projects",FMS_Ranking4[[#This Row],[Rank (with ArcSinh normalization of select criteria)]],"")</f>
        <v/>
      </c>
      <c r="CD817" s="200" t="str">
        <f>IF(FMS_Ranking4[[#This Row],[FMS Type]]="Other",FMS_Ranking4[[#This Row],[Rank (with ArcSinh normalization of select criteria)]],"")</f>
        <v/>
      </c>
    </row>
    <row r="818" spans="2:82" ht="60" x14ac:dyDescent="0.25">
      <c r="B818" s="342" t="s">
        <v>4125</v>
      </c>
      <c r="C818" s="287">
        <f>_xlfn.XLOOKUP(FMS_Ranking4[[#This Row],[FMS ID]],FMS_Input[FMS_ID],FMS_Input[RFPG_NUM])</f>
        <v>15</v>
      </c>
      <c r="D818" s="309" t="str">
        <f>_xlfn.XLOOKUP(FMS_Ranking4[[#This Row],[FMS ID]],FMS_Input[FMS_ID],FMS_Input[FMS_NAME])</f>
        <v>Cameron County Drainage District No.1 - Ditch 1 outfall dredging</v>
      </c>
      <c r="E818" s="322" t="str">
        <f>_xlfn.XLOOKUP(FMS_Ranking4[[#This Row],[FMS ID]],FMS_Input[FMS_ID],FMS_Input[SPONSOR])</f>
        <v>15000029</v>
      </c>
      <c r="F818" s="309" t="str">
        <f>_xlfn.XLOOKUP(FMS_Ranking4[[#This Row],[FMS ID]],Sponsor[FMS_ID],Sponsor[SPONSOR NAME])</f>
        <v>Cameron County Drainage District 1</v>
      </c>
      <c r="G818" s="309" t="str">
        <f>_xlfn.XLOOKUP(FMS_Ranking4[[#This Row],[FMS ID]],FMS_Input[FMS_ID],FMS_Input[FMS_DESCR])</f>
        <v>Develop plan to fund and dredge sediment from outfall in Bahia Grande ( in Navigation dist/port of Brownsville)</v>
      </c>
      <c r="H818" s="247" t="str">
        <f>_xlfn.XLOOKUP(FMS_Ranking4[[#This Row],[FMS ID]],FMS_Input[FMS_ID],FMS_Input[FMS_TYPE])</f>
        <v>Infrastructure Projects</v>
      </c>
      <c r="I818" s="288">
        <f>_xlfn.XLOOKUP(FMS_Ranking4[[#This Row],[FMS ID]],FMS_Input[FMS_ID],FMS_Input[NRNC_COST])</f>
        <v>120000</v>
      </c>
      <c r="J818" s="250">
        <f>_xlfn.XLOOKUP(FMS_Ranking4[[#This Row],[FMS ID]],FMS_Input[FMS_ID],FMS_Input[FMS_COST])</f>
        <v>1200000</v>
      </c>
      <c r="K818" s="289" t="str">
        <f>_xlfn.XLOOKUP(FMS_Ranking4[[#This Row],[FMS ID]],FMS_Input[FMS_ID],FMS_Input[EMER_NEED])</f>
        <v>Yes</v>
      </c>
      <c r="L818" s="252">
        <f t="shared" si="12"/>
        <v>1</v>
      </c>
      <c r="M818" s="253">
        <f>_xlfn.XLOOKUP(FMS_Ranking4[[#This Row],[FMS ID]],FMS_Input[FMS_ID],FMS_Input[STRUCT_100])</f>
        <v>0</v>
      </c>
      <c r="N818" s="255">
        <f>(ASINH(FMS_Ranking4[[#This Row],[Structure at Risk Raw]]))*(10)/(ASINH(M$4))</f>
        <v>0</v>
      </c>
      <c r="O818" s="255">
        <f>FMS_Ranking4[[#This Row],[Structures at risk, ArcSinh (0-10)]]*M$5*10</f>
        <v>0</v>
      </c>
      <c r="P818" s="259">
        <f>_xlfn.XLOOKUP(FMS_Ranking4[[#This Row],[FMS ID]],FMS_Input[FMS_ID],FMS_Input[RES_STRUCT100])</f>
        <v>0</v>
      </c>
      <c r="Q818" s="257">
        <f>ASINH(FMS_Ranking4[[#This Row],[Res Structure Raw]])/Q$4*P$5*100</f>
        <v>0</v>
      </c>
      <c r="R818" s="259">
        <f>_xlfn.XLOOKUP(FMS_Ranking4[[#This Row],[FMS ID]],FMS_Input[FMS_ID],FMS_Input[POP100])</f>
        <v>0</v>
      </c>
      <c r="S818" s="255">
        <f>(ASINH(FMS_Ranking4[[#This Row],[Pop at Risk Raw]]))*(10)/(ASINH(R$4))</f>
        <v>0</v>
      </c>
      <c r="T818" s="257">
        <f>FMS_Ranking4[[#This Row],[Population at risk, ArcSinh (0-10)]]*R$5*10</f>
        <v>0</v>
      </c>
      <c r="U818" s="259">
        <f>_xlfn.XLOOKUP(FMS_Ranking4[[#This Row],[FMS ID]],FMS_Input[FMS_ID],FMS_Input[CRITFAC100])</f>
        <v>0</v>
      </c>
      <c r="V818" s="255">
        <f>(ASINH(FMS_Ranking4[[#This Row],[Critical Facilities Raw]]))*(10)/(ASINH(U$4))</f>
        <v>0</v>
      </c>
      <c r="W818" s="257">
        <f>FMS_Ranking4[[#This Row],[Critical facilities at risk, ArcSinh (0-10)]]*U$5*10</f>
        <v>0</v>
      </c>
      <c r="X818" s="259">
        <f>_xlfn.XLOOKUP(FMS_Ranking4[[#This Row],[FMS ID]],FMS_Input[FMS_ID],FMS_Input[LWC])</f>
        <v>0</v>
      </c>
      <c r="Y818" s="255">
        <f>(ASINH(FMS_Ranking4[[#This Row],[LWC Raw]]))*(10)/(ASINH(X$4))</f>
        <v>0</v>
      </c>
      <c r="Z818" s="257">
        <f>FMS_Ranking4[[#This Row],[LWC, ArcSInh (0-10)]]*X$5*10</f>
        <v>0</v>
      </c>
      <c r="AA818" s="259">
        <f>_xlfn.XLOOKUP(FMS_Ranking4[[#This Row],[FMS ID]],FMS_Input[FMS_ID],FMS_Input[ROADCLS])</f>
        <v>0</v>
      </c>
      <c r="AB818" s="255">
        <f>(ASINH(FMS_Ranking4[[#This Row],[Road Closures Raw]]))*(10)/(ASINH(AA$4))</f>
        <v>0</v>
      </c>
      <c r="AC818" s="255">
        <f>FMS_Ranking4[[#This Row],[Road closures, ArcSinh (0-10)]]*AA$5*10</f>
        <v>0</v>
      </c>
      <c r="AD818" s="259">
        <f>_xlfn.XLOOKUP(FMS_Ranking4[[#This Row],[FMS ID]],FMS_Input[FMS_ID],FMS_Input[ROAD_MILES100])</f>
        <v>0</v>
      </c>
      <c r="AE818" s="255">
        <f>(ASINH(FMS_Ranking4[[#This Row],[Road Miles Raw]]))*(10)/(ASINH(AD$4))</f>
        <v>0</v>
      </c>
      <c r="AF818" s="257">
        <f>FMS_Ranking4[[#This Row],[Length of roads at risk, ArcSinh (0-10)]]*AD$5*10</f>
        <v>0</v>
      </c>
      <c r="AG818" s="259">
        <f>_xlfn.XLOOKUP(FMS_Ranking4[[#This Row],[FMS ID]],FMS_Input[FMS_ID],FMS_Input[FARMACRE100])</f>
        <v>13.69368743896484</v>
      </c>
      <c r="AH818" s="255">
        <f>(ASINH(FMS_Ranking4[[#This Row],[Ag Land Raw]]))*(10)/(ASINH(AG$4))</f>
        <v>2.1510323206383695</v>
      </c>
      <c r="AI818" s="254">
        <f>FMS_Ranking4[[#This Row],[Farm &amp; ranch land, ArcSinh (0-10)]]*AG$5*10</f>
        <v>1.075516160319185</v>
      </c>
      <c r="AJ818" s="258">
        <f>_xlfn.XLOOKUP(FMS_Ranking4[[#This Row],[FMS ID]],FMS_Input[FMS_ID],FMS_Input[REDSTRUCT100])</f>
        <v>0</v>
      </c>
      <c r="AK818" s="253">
        <f>_xlfn.XLOOKUP(FMS_Ranking4[[#This Row],[FMS ID]],FMS_Input[FMS_ID],FMS_Input[REMSTRC100])</f>
        <v>0</v>
      </c>
      <c r="AL818" s="255">
        <f>(ASINH(FMS_Ranking4[[#This Row],[Structures Removed Raw]]))*(10)/(ASINH(AK$4))</f>
        <v>0</v>
      </c>
      <c r="AM818" s="254">
        <f>FMS_Ranking4[[#This Row],[Structures removed, ArcSinh (0-10)]]*AK$5*10</f>
        <v>0</v>
      </c>
      <c r="AN818" s="253">
        <f>_xlfn.XLOOKUP(FMS_Ranking4[[#This Row],[FMS ID]],FMS_Input[FMS_ID],FMS_Input[REMRESSTRC100])</f>
        <v>0</v>
      </c>
      <c r="AO818" s="258">
        <f>FMS_Ranking4[[#This Row],[ArcSinh Res struct removed 0-10]]*AN$5*10</f>
        <v>0</v>
      </c>
      <c r="AP818" s="254">
        <f>ASINH(FMS_Ranking4[[#This Row],[Residential Structures Removed Raw]])/AP$4*AN$5*100</f>
        <v>0</v>
      </c>
      <c r="AQ818" s="261">
        <f>(ASINH(FMS_Ranking4[[#This Row],[Residential Structures Removed Raw]]))*(10)/(ASINH(AN$4))</f>
        <v>0</v>
      </c>
      <c r="AR818" s="253">
        <f>_xlfn.XLOOKUP(FMS_Ranking4[[#This Row],[FMS ID]],FMS_Input[FMS_ID],FMS_Input[REMPOP100])</f>
        <v>0</v>
      </c>
      <c r="AS818" s="255">
        <f>(ASINH(FMS_Ranking4[[#This Row],[Removed Pop Raw]]))*(10)/(ASINH(AR$4))</f>
        <v>0</v>
      </c>
      <c r="AT818" s="263">
        <f>FMS_Ranking4[[#This Row],[Removed population, ArcSinh (0-10)]]*AR$5*10</f>
        <v>0</v>
      </c>
      <c r="AU818" s="264">
        <f>_xlfn.XLOOKUP(FMS_Ranking4[[#This Row],[FMS ID]],FMS_Input[FMS_ID],FMS_Input[REMCRITFAC100])</f>
        <v>0</v>
      </c>
      <c r="AV818" s="264">
        <f>_xlfn.XLOOKUP(FMS_Ranking4[[#This Row],[FMS ID]],FMS_Input[FMS_ID],FMS_Input[REMLWC100])</f>
        <v>0</v>
      </c>
      <c r="AW818" s="264">
        <f>_xlfn.XLOOKUP(FMS_Ranking4[[#This Row],[FMS ID]],FMS_Input[FMS_ID],FMS_Input[REMROADCLS])</f>
        <v>0</v>
      </c>
      <c r="AX818" s="264">
        <f>_xlfn.XLOOKUP(FMS_Ranking4[[#This Row],[FMS ID]],FMS_Input[FMS_ID],FMS_Input[REMFRMACRE100])</f>
        <v>0</v>
      </c>
      <c r="AY818" s="258">
        <f>_xlfn.XLOOKUP(FMS_Ranking4[[#This Row],[FMS ID]],FMS_Input[FMS_ID],FMS_Input[COSTSTRUCT])</f>
        <v>0</v>
      </c>
      <c r="AZ818" s="258">
        <f>_xlfn.XLOOKUP(FMS_Ranking4[[#This Row],[FMS ID]],FMS_Input[FMS_ID],FMS_Input[NATURE])</f>
        <v>0</v>
      </c>
      <c r="BA818" s="290">
        <f>(((FMS_Ranking4[[#This Row],[% NBS Raw]]/AZ$4)*100)*AZ$5)</f>
        <v>0</v>
      </c>
      <c r="BB818" s="251" t="str">
        <f>_xlfn.XLOOKUP(FMS_Ranking4[[#This Row],[FMS ID]],FMS_Input[FMS_ID],FMS_Input[WATER_SUP])</f>
        <v>No</v>
      </c>
      <c r="BC818" s="265">
        <f>IF(FMS_Ranking4[[#This Row],[Water Supply Raw]]="Yes",10,0)</f>
        <v>0</v>
      </c>
      <c r="BD818" s="251">
        <f>_xlfn.XLOOKUP(FMS_Ranking4[[#This Row],[FMS Type]],FMS_TYPE[FMS_Type],FMS_TYPE[Score])</f>
        <v>4</v>
      </c>
      <c r="BE818" s="267">
        <f>FMS_Ranking4[[#This Row],[FMS_Type Score]]*$BD$5*10</f>
        <v>1</v>
      </c>
      <c r="BF818"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2.8233318507028371E-5</v>
      </c>
      <c r="BG818" s="321">
        <f>_xlfn.RANK.EQ(BF818,$BF$8:$BF$870,0)+COUNTIF($BF$8:BF818,BF818)-1</f>
        <v>790</v>
      </c>
      <c r="BH818" s="294">
        <f>(((FMS_Ranking4[[#This Row],[Structures Removed Raw]]/AK$4)*100)*AK$5)+(((FMS_Ranking4[[#This Row],[Removed Pop Raw]]/AR$4)*100)*AR$5)</f>
        <v>0</v>
      </c>
      <c r="BI818"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1.0000282333185071</v>
      </c>
      <c r="BJ818" s="296">
        <f>_xlfn.RANK.EQ(FMS_Ranking4[[#This Row],[Total Score 
(with linear
normalization)]],FMS_Ranking4[Total Score 
(with linear
normalization)],0)</f>
        <v>749</v>
      </c>
      <c r="BK818" s="292" t="e">
        <f>_xlfn.XLOOKUP(FMS_Ranking4[[#This Row],[FMS ID]],#REF!,#REF!)</f>
        <v>#REF!</v>
      </c>
      <c r="BL818"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1.075516160319185</v>
      </c>
      <c r="BM818" s="298">
        <f>FMS_Ranking4[[#This Row],[ArcSinh Score Based on Normalized Reported Factors]]+FMS_Ranking4[[#This Row],[% NBS Score (Normalized)]]+(FMS_Ranking4[[#This Row],[Water Supply Score (Normalized)]]*10*$BB$5)+FMS_Ranking4[[#This Row],[FMS_Type Score Weighted]]</f>
        <v>2.075516160319185</v>
      </c>
      <c r="BN818" s="323">
        <f>_xlfn.RANK.EQ(FMS_Ranking4[[#This Row],[Total Score (with ArcSinh normalization of select criteria)]],FMS_Ranking4[Total Score (with ArcSinh normalization of select criteria)],0)</f>
        <v>811</v>
      </c>
      <c r="BO818" s="270" t="str">
        <f>_xlfn.XLOOKUP(FMS_Ranking4[[#This Row],[FMS ID]],FMS_Input[FMS_ID],FMS_Input[FMS_RANK_YEAR])</f>
        <v>2023 Amended Plan</v>
      </c>
      <c r="BP818" s="204">
        <f>_xlfn.XLOOKUP(FMS_Ranking4[[#This Row],[FMS ID]],Prev_Rank[FMS ID],Prev_Rank[Prev Rank])</f>
        <v>736</v>
      </c>
      <c r="BQ818" s="265" t="e">
        <f>_xlfn.XLOOKUP(FMS_Ranking4[[#This Row],[FMS ID]],#REF!,#REF!)</f>
        <v>#REF!</v>
      </c>
      <c r="BR818" s="199" t="e">
        <f>SUM(#REF!,#REF!,#REF!,#REF!,#REF!,#REF!,#REF!,#REF!,#REF!,FMS_Ranking4[[#This Row],[ArcSinh Res struct removed 0-10]],#REF!)</f>
        <v>#REF!</v>
      </c>
      <c r="BS818" s="199" t="e">
        <f>FMS_Ranking4[[#This Row],[Log Score Based on Normalized Reported Factors]]+FMS_Ranking4[[#This Row],[% NBS Score (Normalized)]]+(FMS_Ranking4[[#This Row],[Water Supply Score (Normalized)]]*10*$BB$5)+(FMS_Ranking4[[#This Row],[FMS_Type Score Weighted]])</f>
        <v>#REF!</v>
      </c>
      <c r="BT818" s="200" t="e">
        <f>_xlfn.RANK.EQ(FMS_Ranking4[[#This Row],[Log Total Score]],FMS_Ranking4[Log Total Score],0)</f>
        <v>#REF!</v>
      </c>
      <c r="BU818" s="200" t="e">
        <f>_xlfn.XLOOKUP(FMS_Ranking4[[#This Row],[FMS ID]],#REF!,#REF!)</f>
        <v>#REF!</v>
      </c>
      <c r="BV818" s="200">
        <f>FMS_Ranking4[[#This Row],[Region Number]]</f>
        <v>15</v>
      </c>
      <c r="BW818" s="200">
        <f>FMS_Ranking4[[#This Row],[Rank (with ArcSinh normalization of select criteria)]]-FMS_Ranking4[[#This Row],[Rank
(with linear
normalization)]]</f>
        <v>62</v>
      </c>
      <c r="BX818" s="200" t="e">
        <f>FMS_Ranking4[[#This Row],[Log Rank]]-FMS_Ranking4[[#This Row],[Rank
(with linear
normalization)]]</f>
        <v>#REF!</v>
      </c>
      <c r="BY818" s="200" t="str">
        <f>IF(FMS_Ranking4[[#This Row],[FMS Type]]="Flood Measurement and Warning",FMS_Ranking4[[#This Row],[Rank (with ArcSinh normalization of select criteria)]],"")</f>
        <v/>
      </c>
      <c r="BZ818" s="200" t="str">
        <f>IF(FMS_Ranking4[[#This Row],[FMS Type]]="Regulatory and Guidance",FMS_Ranking4[[#This Row],[Rank (with ArcSinh normalization of select criteria)]],"")</f>
        <v/>
      </c>
      <c r="CA818" s="200" t="str">
        <f>IF(FMS_Ranking4[[#This Row],[FMS Type]]="Education and Outreach",FMS_Ranking4[[#This Row],[Rank (with ArcSinh normalization of select criteria)]],"")</f>
        <v/>
      </c>
      <c r="CB818" s="200" t="str">
        <f>IF(FMS_Ranking4[[#This Row],[FMS Type]]="Property Acquisition and Structural Elevation",FMS_Ranking4[[#This Row],[Rank (with ArcSinh normalization of select criteria)]],"")</f>
        <v/>
      </c>
      <c r="CC818" s="200">
        <f>IF(FMS_Ranking4[[#This Row],[FMS Type]]="Infrastructure Projects",FMS_Ranking4[[#This Row],[Rank (with ArcSinh normalization of select criteria)]],"")</f>
        <v>811</v>
      </c>
      <c r="CD818" s="200" t="str">
        <f>IF(FMS_Ranking4[[#This Row],[FMS Type]]="Other",FMS_Ranking4[[#This Row],[Rank (with ArcSinh normalization of select criteria)]],"")</f>
        <v/>
      </c>
    </row>
    <row r="819" spans="2:82" ht="30" x14ac:dyDescent="0.25">
      <c r="B819" s="342" t="s">
        <v>1237</v>
      </c>
      <c r="C819" s="287">
        <f>_xlfn.XLOOKUP(FMS_Ranking4[[#This Row],[FMS ID]],FMS_Input[FMS_ID],FMS_Input[RFPG_NUM])</f>
        <v>1</v>
      </c>
      <c r="D819" s="309" t="str">
        <f>_xlfn.XLOOKUP(FMS_Ranking4[[#This Row],[FMS ID]],FMS_Input[FMS_ID],FMS_Input[FMS_NAME])</f>
        <v>Chillicothe NFIP Involvement</v>
      </c>
      <c r="E819" s="322" t="str">
        <f>_xlfn.XLOOKUP(FMS_Ranking4[[#This Row],[FMS ID]],FMS_Input[FMS_ID],FMS_Input[SPONSOR])</f>
        <v>01003222</v>
      </c>
      <c r="F819" s="309" t="str">
        <f>_xlfn.XLOOKUP(FMS_Ranking4[[#This Row],[FMS ID]],Sponsor[FMS_ID],Sponsor[SPONSOR NAME])</f>
        <v>Chillicothe</v>
      </c>
      <c r="G819" s="309" t="str">
        <f>_xlfn.XLOOKUP(FMS_Ranking4[[#This Row],[FMS ID]],FMS_Input[FMS_ID],FMS_Input[FMS_DESCR])</f>
        <v>Application to join NFIP or adopt equivalent standards</v>
      </c>
      <c r="H819" s="247" t="str">
        <f>_xlfn.XLOOKUP(FMS_Ranking4[[#This Row],[FMS ID]],FMS_Input[FMS_ID],FMS_Input[FMS_TYPE])</f>
        <v>Regulatory and Guidance</v>
      </c>
      <c r="I819" s="288">
        <f>_xlfn.XLOOKUP(FMS_Ranking4[[#This Row],[FMS ID]],FMS_Input[FMS_ID],FMS_Input[NRNC_COST])</f>
        <v>100000</v>
      </c>
      <c r="J819" s="250">
        <f>_xlfn.XLOOKUP(FMS_Ranking4[[#This Row],[FMS ID]],FMS_Input[FMS_ID],FMS_Input[FMS_COST])</f>
        <v>100000</v>
      </c>
      <c r="K819" s="289" t="str">
        <f>_xlfn.XLOOKUP(FMS_Ranking4[[#This Row],[FMS ID]],FMS_Input[FMS_ID],FMS_Input[EMER_NEED])</f>
        <v>No</v>
      </c>
      <c r="L819" s="252">
        <f t="shared" si="12"/>
        <v>0</v>
      </c>
      <c r="M819" s="253">
        <f>_xlfn.XLOOKUP(FMS_Ranking4[[#This Row],[FMS ID]],FMS_Input[FMS_ID],FMS_Input[STRUCT_100])</f>
        <v>0</v>
      </c>
      <c r="N819" s="255">
        <f>(ASINH(FMS_Ranking4[[#This Row],[Structure at Risk Raw]]))*(10)/(ASINH(M$4))</f>
        <v>0</v>
      </c>
      <c r="O819" s="255">
        <f>FMS_Ranking4[[#This Row],[Structures at risk, ArcSinh (0-10)]]*M$5*10</f>
        <v>0</v>
      </c>
      <c r="P819" s="259">
        <f>_xlfn.XLOOKUP(FMS_Ranking4[[#This Row],[FMS ID]],FMS_Input[FMS_ID],FMS_Input[RES_STRUCT100])</f>
        <v>0</v>
      </c>
      <c r="Q819" s="257">
        <f>ASINH(FMS_Ranking4[[#This Row],[Res Structure Raw]])/Q$4*P$5*100</f>
        <v>0</v>
      </c>
      <c r="R819" s="259">
        <f>_xlfn.XLOOKUP(FMS_Ranking4[[#This Row],[FMS ID]],FMS_Input[FMS_ID],FMS_Input[POP100])</f>
        <v>0</v>
      </c>
      <c r="S819" s="259">
        <f>(ASINH(FMS_Ranking4[[#This Row],[Pop at Risk Raw]]))*(10)/(ASINH(R$4))</f>
        <v>0</v>
      </c>
      <c r="T819" s="257">
        <f>FMS_Ranking4[[#This Row],[Population at risk, ArcSinh (0-10)]]*R$5*10</f>
        <v>0</v>
      </c>
      <c r="U819" s="259">
        <f>_xlfn.XLOOKUP(FMS_Ranking4[[#This Row],[FMS ID]],FMS_Input[FMS_ID],FMS_Input[CRITFAC100])</f>
        <v>0</v>
      </c>
      <c r="V819" s="259">
        <f>(ASINH(FMS_Ranking4[[#This Row],[Critical Facilities Raw]]))*(10)/(ASINH(U$4))</f>
        <v>0</v>
      </c>
      <c r="W819" s="257">
        <f>FMS_Ranking4[[#This Row],[Critical facilities at risk, ArcSinh (0-10)]]*U$5*10</f>
        <v>0</v>
      </c>
      <c r="X819" s="259">
        <f>_xlfn.XLOOKUP(FMS_Ranking4[[#This Row],[FMS ID]],FMS_Input[FMS_ID],FMS_Input[LWC])</f>
        <v>0</v>
      </c>
      <c r="Y819" s="259">
        <f>(ASINH(FMS_Ranking4[[#This Row],[LWC Raw]]))*(10)/(ASINH(X$4))</f>
        <v>0</v>
      </c>
      <c r="Z819" s="257">
        <f>FMS_Ranking4[[#This Row],[LWC, ArcSInh (0-10)]]*X$5*10</f>
        <v>0</v>
      </c>
      <c r="AA819" s="259">
        <f>_xlfn.XLOOKUP(FMS_Ranking4[[#This Row],[FMS ID]],FMS_Input[FMS_ID],FMS_Input[ROADCLS])</f>
        <v>0</v>
      </c>
      <c r="AB819" s="255">
        <f>(ASINH(FMS_Ranking4[[#This Row],[Road Closures Raw]]))*(10)/(ASINH(AA$4))</f>
        <v>0</v>
      </c>
      <c r="AC819" s="255">
        <f>FMS_Ranking4[[#This Row],[Road closures, ArcSinh (0-10)]]*AA$5*10</f>
        <v>0</v>
      </c>
      <c r="AD819" s="259">
        <f>_xlfn.XLOOKUP(FMS_Ranking4[[#This Row],[FMS ID]],FMS_Input[FMS_ID],FMS_Input[ROAD_MILES100])</f>
        <v>0</v>
      </c>
      <c r="AE819" s="259">
        <f>(ASINH(FMS_Ranking4[[#This Row],[Road Miles Raw]]))*(10)/(ASINH(AD$4))</f>
        <v>0</v>
      </c>
      <c r="AF819" s="257">
        <f>FMS_Ranking4[[#This Row],[Length of roads at risk, ArcSinh (0-10)]]*AD$5*10</f>
        <v>0</v>
      </c>
      <c r="AG819" s="259">
        <f>_xlfn.XLOOKUP(FMS_Ranking4[[#This Row],[FMS ID]],FMS_Input[FMS_ID],FMS_Input[FARMACRE100])</f>
        <v>0.22888702154159549</v>
      </c>
      <c r="AH819" s="255">
        <f>(ASINH(FMS_Ranking4[[#This Row],[Ag Land Raw]]))*(10)/(ASINH(AG$4))</f>
        <v>0.14741223892732669</v>
      </c>
      <c r="AI819" s="254">
        <f>FMS_Ranking4[[#This Row],[Farm &amp; ranch land, ArcSinh (0-10)]]*AG$5*10</f>
        <v>7.3706119463663344E-2</v>
      </c>
      <c r="AJ819" s="258">
        <f>_xlfn.XLOOKUP(FMS_Ranking4[[#This Row],[FMS ID]],FMS_Input[FMS_ID],FMS_Input[REDSTRUCT100])</f>
        <v>0</v>
      </c>
      <c r="AK819" s="253">
        <f>_xlfn.XLOOKUP(FMS_Ranking4[[#This Row],[FMS ID]],FMS_Input[FMS_ID],FMS_Input[REMSTRC100])</f>
        <v>0</v>
      </c>
      <c r="AL819" s="259">
        <f>(ASINH(FMS_Ranking4[[#This Row],[Structures Removed Raw]]))*(10)/(ASINH(AK$4))</f>
        <v>0</v>
      </c>
      <c r="AM819" s="254">
        <f>FMS_Ranking4[[#This Row],[Structures removed, ArcSinh (0-10)]]*AK$5*10</f>
        <v>0</v>
      </c>
      <c r="AN819" s="253">
        <f>_xlfn.XLOOKUP(FMS_Ranking4[[#This Row],[FMS ID]],FMS_Input[FMS_ID],FMS_Input[REMRESSTRC100])</f>
        <v>0</v>
      </c>
      <c r="AO819" s="258">
        <f>FMS_Ranking4[[#This Row],[ArcSinh Res struct removed 0-10]]*AN$5*10</f>
        <v>0</v>
      </c>
      <c r="AP819" s="254">
        <f>ASINH(FMS_Ranking4[[#This Row],[Residential Structures Removed Raw]])/AP$4*AN$5*100</f>
        <v>0</v>
      </c>
      <c r="AQ819" s="260">
        <f>(ASINH(FMS_Ranking4[[#This Row],[Residential Structures Removed Raw]]))*(10)/(ASINH(AN$4))</f>
        <v>0</v>
      </c>
      <c r="AR819" s="253">
        <f>_xlfn.XLOOKUP(FMS_Ranking4[[#This Row],[FMS ID]],FMS_Input[FMS_ID],FMS_Input[REMPOP100])</f>
        <v>0</v>
      </c>
      <c r="AS819" s="259">
        <f>(ASINH(FMS_Ranking4[[#This Row],[Removed Pop Raw]]))*(10)/(ASINH(AR$4))</f>
        <v>0</v>
      </c>
      <c r="AT819" s="263">
        <f>FMS_Ranking4[[#This Row],[Removed population, ArcSinh (0-10)]]*AR$5*10</f>
        <v>0</v>
      </c>
      <c r="AU819" s="264">
        <f>_xlfn.XLOOKUP(FMS_Ranking4[[#This Row],[FMS ID]],FMS_Input[FMS_ID],FMS_Input[REMCRITFAC100])</f>
        <v>0</v>
      </c>
      <c r="AV819" s="264">
        <f>_xlfn.XLOOKUP(FMS_Ranking4[[#This Row],[FMS ID]],FMS_Input[FMS_ID],FMS_Input[REMLWC100])</f>
        <v>0</v>
      </c>
      <c r="AW819" s="264">
        <f>_xlfn.XLOOKUP(FMS_Ranking4[[#This Row],[FMS ID]],FMS_Input[FMS_ID],FMS_Input[REMROADCLS])</f>
        <v>0</v>
      </c>
      <c r="AX819" s="264">
        <f>_xlfn.XLOOKUP(FMS_Ranking4[[#This Row],[FMS ID]],FMS_Input[FMS_ID],FMS_Input[REMFRMACRE100])</f>
        <v>0</v>
      </c>
      <c r="AY819" s="258">
        <f>_xlfn.XLOOKUP(FMS_Ranking4[[#This Row],[FMS ID]],FMS_Input[FMS_ID],FMS_Input[COSTSTRUCT])</f>
        <v>0</v>
      </c>
      <c r="AZ819" s="258">
        <f>_xlfn.XLOOKUP(FMS_Ranking4[[#This Row],[FMS ID]],FMS_Input[FMS_ID],FMS_Input[NATURE])</f>
        <v>0</v>
      </c>
      <c r="BA819" s="290">
        <f>(((FMS_Ranking4[[#This Row],[% NBS Raw]]/AZ$4)*100)*AZ$5)</f>
        <v>0</v>
      </c>
      <c r="BB819" s="251" t="str">
        <f>_xlfn.XLOOKUP(FMS_Ranking4[[#This Row],[FMS ID]],FMS_Input[FMS_ID],FMS_Input[WATER_SUP])</f>
        <v>No</v>
      </c>
      <c r="BC819" s="265">
        <f>IF(FMS_Ranking4[[#This Row],[Water Supply Raw]]="Yes",10,0)</f>
        <v>0</v>
      </c>
      <c r="BD819" s="251">
        <f>_xlfn.XLOOKUP(FMS_Ranking4[[#This Row],[FMS Type]],FMS_TYPE[FMS_Type],FMS_TYPE[Score])</f>
        <v>8</v>
      </c>
      <c r="BE819" s="267">
        <f>FMS_Ranking4[[#This Row],[FMS_Type Score]]*$BD$5*10</f>
        <v>2</v>
      </c>
      <c r="BF819"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4.719138077389501E-7</v>
      </c>
      <c r="BG819" s="271">
        <f>_xlfn.RANK.EQ(BF819,$BF$8:$BF$870,0)+COUNTIF($BF$8:BF819,BF819)-1</f>
        <v>808</v>
      </c>
      <c r="BH819" s="268">
        <f>(((FMS_Ranking4[[#This Row],[Structures Removed Raw]]/AK$4)*100)*AK$5)+(((FMS_Ranking4[[#This Row],[Removed Pop Raw]]/AR$4)*100)*AR$5)</f>
        <v>0</v>
      </c>
      <c r="BI81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2.0000004719138076</v>
      </c>
      <c r="BJ819" s="325">
        <f>_xlfn.RANK.EQ(FMS_Ranking4[[#This Row],[Total Score 
(with linear
normalization)]],FMS_Ranking4[Total Score 
(with linear
normalization)],0)</f>
        <v>498</v>
      </c>
      <c r="BK819" s="327" t="e">
        <f>_xlfn.XLOOKUP(FMS_Ranking4[[#This Row],[FMS ID]],#REF!,#REF!)</f>
        <v>#REF!</v>
      </c>
      <c r="BL819"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7.3706119463663344E-2</v>
      </c>
      <c r="BM819" s="330">
        <f>FMS_Ranking4[[#This Row],[ArcSinh Score Based on Normalized Reported Factors]]+FMS_Ranking4[[#This Row],[% NBS Score (Normalized)]]+(FMS_Ranking4[[#This Row],[Water Supply Score (Normalized)]]*10*$BB$5)+FMS_Ranking4[[#This Row],[FMS_Type Score Weighted]]</f>
        <v>2.0737061194636635</v>
      </c>
      <c r="BN819" s="332">
        <f>_xlfn.RANK.EQ(FMS_Ranking4[[#This Row],[Total Score (with ArcSinh normalization of select criteria)]],FMS_Ranking4[Total Score (with ArcSinh normalization of select criteria)],0)</f>
        <v>812</v>
      </c>
      <c r="BO819" s="270" t="str">
        <f>_xlfn.XLOOKUP(FMS_Ranking4[[#This Row],[FMS ID]],FMS_Input[FMS_ID],FMS_Input[FMS_RANK_YEAR])</f>
        <v>2023 Amended Plan</v>
      </c>
      <c r="BP819" s="204">
        <f>_xlfn.XLOOKUP(FMS_Ranking4[[#This Row],[FMS ID]],Prev_Rank[FMS ID],Prev_Rank[Prev Rank])</f>
        <v>735</v>
      </c>
      <c r="BQ819" s="334" t="e">
        <f>_xlfn.XLOOKUP(FMS_Ranking4[[#This Row],[FMS ID]],#REF!,#REF!)</f>
        <v>#REF!</v>
      </c>
      <c r="BR819" s="199" t="e">
        <f>SUM(#REF!,#REF!,#REF!,#REF!,#REF!,#REF!,#REF!,#REF!,#REF!,FMS_Ranking4[[#This Row],[ArcSinh Res struct removed 0-10]],#REF!)</f>
        <v>#REF!</v>
      </c>
      <c r="BS819" s="199" t="e">
        <f>FMS_Ranking4[[#This Row],[Log Score Based on Normalized Reported Factors]]+FMS_Ranking4[[#This Row],[% NBS Score (Normalized)]]+(FMS_Ranking4[[#This Row],[Water Supply Score (Normalized)]]*10*$BB$5)+(FMS_Ranking4[[#This Row],[FMS_Type Score Weighted]])</f>
        <v>#REF!</v>
      </c>
      <c r="BT819" s="200" t="e">
        <f>_xlfn.RANK.EQ(FMS_Ranking4[[#This Row],[Log Total Score]],FMS_Ranking4[Log Total Score],0)</f>
        <v>#REF!</v>
      </c>
      <c r="BU819" s="200" t="e">
        <f>_xlfn.XLOOKUP(FMS_Ranking4[[#This Row],[FMS ID]],#REF!,#REF!)</f>
        <v>#REF!</v>
      </c>
      <c r="BV819" s="200">
        <f>FMS_Ranking4[[#This Row],[Region Number]]</f>
        <v>1</v>
      </c>
      <c r="BW819" s="200">
        <f>FMS_Ranking4[[#This Row],[Rank (with ArcSinh normalization of select criteria)]]-FMS_Ranking4[[#This Row],[Rank
(with linear
normalization)]]</f>
        <v>314</v>
      </c>
      <c r="BX819" s="200" t="e">
        <f>FMS_Ranking4[[#This Row],[Log Rank]]-FMS_Ranking4[[#This Row],[Rank
(with linear
normalization)]]</f>
        <v>#REF!</v>
      </c>
      <c r="BY819" s="200" t="str">
        <f>IF(FMS_Ranking4[[#This Row],[FMS Type]]="Flood Measurement and Warning",FMS_Ranking4[[#This Row],[Rank (with ArcSinh normalization of select criteria)]],"")</f>
        <v/>
      </c>
      <c r="BZ819" s="200">
        <f>IF(FMS_Ranking4[[#This Row],[FMS Type]]="Regulatory and Guidance",FMS_Ranking4[[#This Row],[Rank (with ArcSinh normalization of select criteria)]],"")</f>
        <v>812</v>
      </c>
      <c r="CA819" s="200" t="str">
        <f>IF(FMS_Ranking4[[#This Row],[FMS Type]]="Education and Outreach",FMS_Ranking4[[#This Row],[Rank (with ArcSinh normalization of select criteria)]],"")</f>
        <v/>
      </c>
      <c r="CB819" s="200" t="str">
        <f>IF(FMS_Ranking4[[#This Row],[FMS Type]]="Property Acquisition and Structural Elevation",FMS_Ranking4[[#This Row],[Rank (with ArcSinh normalization of select criteria)]],"")</f>
        <v/>
      </c>
      <c r="CC819" s="200" t="str">
        <f>IF(FMS_Ranking4[[#This Row],[FMS Type]]="Infrastructure Projects",FMS_Ranking4[[#This Row],[Rank (with ArcSinh normalization of select criteria)]],"")</f>
        <v/>
      </c>
      <c r="CD819" s="200" t="str">
        <f>IF(FMS_Ranking4[[#This Row],[FMS Type]]="Other",FMS_Ranking4[[#This Row],[Rank (with ArcSinh normalization of select criteria)]],"")</f>
        <v/>
      </c>
    </row>
    <row r="820" spans="2:82" ht="45" x14ac:dyDescent="0.25">
      <c r="B820" s="342" t="s">
        <v>2368</v>
      </c>
      <c r="C820" s="287">
        <f>_xlfn.XLOOKUP(FMS_Ranking4[[#This Row],[FMS ID]],FMS_Input[FMS_ID],FMS_Input[RFPG_NUM])</f>
        <v>3</v>
      </c>
      <c r="D820" s="309" t="str">
        <f>_xlfn.XLOOKUP(FMS_Ranking4[[#This Row],[FMS ID]],FMS_Input[FMS_ID],FMS_Input[FMS_NAME])</f>
        <v>City of Hebron NFIP Floodplain Ordinance</v>
      </c>
      <c r="E820" s="322" t="str">
        <f>_xlfn.XLOOKUP(FMS_Ranking4[[#This Row],[FMS ID]],FMS_Input[FMS_ID],FMS_Input[SPONSOR])</f>
        <v>Hebron</v>
      </c>
      <c r="F820" s="309" t="str">
        <f>_xlfn.XLOOKUP(FMS_Ranking4[[#This Row],[FMS ID]],Sponsor[FMS_ID],Sponsor[SPONSOR NAME])</f>
        <v>Hebron</v>
      </c>
      <c r="G820" s="309" t="str">
        <f>_xlfn.XLOOKUP(FMS_Ranking4[[#This Row],[FMS ID]],FMS_Input[FMS_ID],FMS_Input[FMS_DESCR])</f>
        <v>Develop a floodplain ordinance that meets or exceeds FEMA's minimum standards</v>
      </c>
      <c r="H820" s="247" t="str">
        <f>_xlfn.XLOOKUP(FMS_Ranking4[[#This Row],[FMS ID]],FMS_Input[FMS_ID],FMS_Input[FMS_TYPE])</f>
        <v>Regulatory and Guidance</v>
      </c>
      <c r="I820" s="288">
        <f>_xlfn.XLOOKUP(FMS_Ranking4[[#This Row],[FMS ID]],FMS_Input[FMS_ID],FMS_Input[NRNC_COST])</f>
        <v>100000</v>
      </c>
      <c r="J820" s="250">
        <f>_xlfn.XLOOKUP(FMS_Ranking4[[#This Row],[FMS ID]],FMS_Input[FMS_ID],FMS_Input[FMS_COST])</f>
        <v>100000</v>
      </c>
      <c r="K820" s="289" t="str">
        <f>_xlfn.XLOOKUP(FMS_Ranking4[[#This Row],[FMS ID]],FMS_Input[FMS_ID],FMS_Input[EMER_NEED])</f>
        <v>No</v>
      </c>
      <c r="L820" s="252">
        <f t="shared" si="12"/>
        <v>0</v>
      </c>
      <c r="M820" s="253">
        <f>_xlfn.XLOOKUP(FMS_Ranking4[[#This Row],[FMS ID]],FMS_Input[FMS_ID],FMS_Input[STRUCT_100])</f>
        <v>0</v>
      </c>
      <c r="N820" s="255">
        <f>(ASINH(FMS_Ranking4[[#This Row],[Structure at Risk Raw]]))*(10)/(ASINH(M$4))</f>
        <v>0</v>
      </c>
      <c r="O820" s="255">
        <f>FMS_Ranking4[[#This Row],[Structures at risk, ArcSinh (0-10)]]*M$5*10</f>
        <v>0</v>
      </c>
      <c r="P820" s="259">
        <f>_xlfn.XLOOKUP(FMS_Ranking4[[#This Row],[FMS ID]],FMS_Input[FMS_ID],FMS_Input[RES_STRUCT100])</f>
        <v>0</v>
      </c>
      <c r="Q820" s="257">
        <f>ASINH(FMS_Ranking4[[#This Row],[Res Structure Raw]])/Q$4*P$5*100</f>
        <v>0</v>
      </c>
      <c r="R820" s="259">
        <f>_xlfn.XLOOKUP(FMS_Ranking4[[#This Row],[FMS ID]],FMS_Input[FMS_ID],FMS_Input[POP100])</f>
        <v>0</v>
      </c>
      <c r="S820" s="259">
        <f>(ASINH(FMS_Ranking4[[#This Row],[Pop at Risk Raw]]))*(10)/(ASINH(R$4))</f>
        <v>0</v>
      </c>
      <c r="T820" s="257">
        <f>FMS_Ranking4[[#This Row],[Population at risk, ArcSinh (0-10)]]*R$5*10</f>
        <v>0</v>
      </c>
      <c r="U820" s="259">
        <f>_xlfn.XLOOKUP(FMS_Ranking4[[#This Row],[FMS ID]],FMS_Input[FMS_ID],FMS_Input[CRITFAC100])</f>
        <v>0</v>
      </c>
      <c r="V820" s="259">
        <f>(ASINH(FMS_Ranking4[[#This Row],[Critical Facilities Raw]]))*(10)/(ASINH(U$4))</f>
        <v>0</v>
      </c>
      <c r="W820" s="257">
        <f>FMS_Ranking4[[#This Row],[Critical facilities at risk, ArcSinh (0-10)]]*U$5*10</f>
        <v>0</v>
      </c>
      <c r="X820" s="259">
        <f>_xlfn.XLOOKUP(FMS_Ranking4[[#This Row],[FMS ID]],FMS_Input[FMS_ID],FMS_Input[LWC])</f>
        <v>0</v>
      </c>
      <c r="Y820" s="259">
        <f>(ASINH(FMS_Ranking4[[#This Row],[LWC Raw]]))*(10)/(ASINH(X$4))</f>
        <v>0</v>
      </c>
      <c r="Z820" s="257">
        <f>FMS_Ranking4[[#This Row],[LWC, ArcSInh (0-10)]]*X$5*10</f>
        <v>0</v>
      </c>
      <c r="AA820" s="259">
        <f>_xlfn.XLOOKUP(FMS_Ranking4[[#This Row],[FMS ID]],FMS_Input[FMS_ID],FMS_Input[ROADCLS])</f>
        <v>0</v>
      </c>
      <c r="AB820" s="255">
        <f>(ASINH(FMS_Ranking4[[#This Row],[Road Closures Raw]]))*(10)/(ASINH(AA$4))</f>
        <v>0</v>
      </c>
      <c r="AC820" s="255">
        <f>FMS_Ranking4[[#This Row],[Road closures, ArcSinh (0-10)]]*AA$5*10</f>
        <v>0</v>
      </c>
      <c r="AD820" s="259">
        <f>_xlfn.XLOOKUP(FMS_Ranking4[[#This Row],[FMS ID]],FMS_Input[FMS_ID],FMS_Input[ROAD_MILES100])</f>
        <v>0</v>
      </c>
      <c r="AE820" s="259">
        <f>(ASINH(FMS_Ranking4[[#This Row],[Road Miles Raw]]))*(10)/(ASINH(AD$4))</f>
        <v>0</v>
      </c>
      <c r="AF820" s="257">
        <f>FMS_Ranking4[[#This Row],[Length of roads at risk, ArcSinh (0-10)]]*AD$5*10</f>
        <v>0</v>
      </c>
      <c r="AG820" s="259">
        <f>_xlfn.XLOOKUP(FMS_Ranking4[[#This Row],[FMS ID]],FMS_Input[FMS_ID],FMS_Input[FARMACRE100])</f>
        <v>0.227081298828125</v>
      </c>
      <c r="AH820" s="255">
        <f>(ASINH(FMS_Ranking4[[#This Row],[Ag Land Raw]]))*(10)/(ASINH(AG$4))</f>
        <v>0.1462686193956361</v>
      </c>
      <c r="AI820" s="254">
        <f>FMS_Ranking4[[#This Row],[Farm &amp; ranch land, ArcSinh (0-10)]]*AG$5*10</f>
        <v>7.3134309697818048E-2</v>
      </c>
      <c r="AJ820" s="258">
        <f>_xlfn.XLOOKUP(FMS_Ranking4[[#This Row],[FMS ID]],FMS_Input[FMS_ID],FMS_Input[REDSTRUCT100])</f>
        <v>0</v>
      </c>
      <c r="AK820" s="253">
        <f>_xlfn.XLOOKUP(FMS_Ranking4[[#This Row],[FMS ID]],FMS_Input[FMS_ID],FMS_Input[REMSTRC100])</f>
        <v>0</v>
      </c>
      <c r="AL820" s="259">
        <f>(ASINH(FMS_Ranking4[[#This Row],[Structures Removed Raw]]))*(10)/(ASINH(AK$4))</f>
        <v>0</v>
      </c>
      <c r="AM820" s="254">
        <f>FMS_Ranking4[[#This Row],[Structures removed, ArcSinh (0-10)]]*AK$5*10</f>
        <v>0</v>
      </c>
      <c r="AN820" s="253">
        <f>_xlfn.XLOOKUP(FMS_Ranking4[[#This Row],[FMS ID]],FMS_Input[FMS_ID],FMS_Input[REMRESSTRC100])</f>
        <v>0</v>
      </c>
      <c r="AO820" s="258">
        <f>FMS_Ranking4[[#This Row],[ArcSinh Res struct removed 0-10]]*AN$5*10</f>
        <v>0</v>
      </c>
      <c r="AP820" s="254">
        <f>ASINH(FMS_Ranking4[[#This Row],[Residential Structures Removed Raw]])/AP$4*AN$5*100</f>
        <v>0</v>
      </c>
      <c r="AQ820" s="260">
        <f>(ASINH(FMS_Ranking4[[#This Row],[Residential Structures Removed Raw]]))*(10)/(ASINH(AN$4))</f>
        <v>0</v>
      </c>
      <c r="AR820" s="253">
        <f>_xlfn.XLOOKUP(FMS_Ranking4[[#This Row],[FMS ID]],FMS_Input[FMS_ID],FMS_Input[REMPOP100])</f>
        <v>0</v>
      </c>
      <c r="AS820" s="259">
        <f>(ASINH(FMS_Ranking4[[#This Row],[Removed Pop Raw]]))*(10)/(ASINH(AR$4))</f>
        <v>0</v>
      </c>
      <c r="AT820" s="263">
        <f>FMS_Ranking4[[#This Row],[Removed population, ArcSinh (0-10)]]*AR$5*10</f>
        <v>0</v>
      </c>
      <c r="AU820" s="264">
        <f>_xlfn.XLOOKUP(FMS_Ranking4[[#This Row],[FMS ID]],FMS_Input[FMS_ID],FMS_Input[REMCRITFAC100])</f>
        <v>0</v>
      </c>
      <c r="AV820" s="264">
        <f>_xlfn.XLOOKUP(FMS_Ranking4[[#This Row],[FMS ID]],FMS_Input[FMS_ID],FMS_Input[REMLWC100])</f>
        <v>0</v>
      </c>
      <c r="AW820" s="264">
        <f>_xlfn.XLOOKUP(FMS_Ranking4[[#This Row],[FMS ID]],FMS_Input[FMS_ID],FMS_Input[REMROADCLS])</f>
        <v>0</v>
      </c>
      <c r="AX820" s="264">
        <f>_xlfn.XLOOKUP(FMS_Ranking4[[#This Row],[FMS ID]],FMS_Input[FMS_ID],FMS_Input[REMFRMACRE100])</f>
        <v>0</v>
      </c>
      <c r="AY820" s="258">
        <f>_xlfn.XLOOKUP(FMS_Ranking4[[#This Row],[FMS ID]],FMS_Input[FMS_ID],FMS_Input[COSTSTRUCT])</f>
        <v>0</v>
      </c>
      <c r="AZ820" s="258">
        <f>_xlfn.XLOOKUP(FMS_Ranking4[[#This Row],[FMS ID]],FMS_Input[FMS_ID],FMS_Input[NATURE])</f>
        <v>0</v>
      </c>
      <c r="BA820" s="290">
        <f>(((FMS_Ranking4[[#This Row],[% NBS Raw]]/AZ$4)*100)*AZ$5)</f>
        <v>0</v>
      </c>
      <c r="BB820" s="251" t="str">
        <f>_xlfn.XLOOKUP(FMS_Ranking4[[#This Row],[FMS ID]],FMS_Input[FMS_ID],FMS_Input[WATER_SUP])</f>
        <v>No</v>
      </c>
      <c r="BC820" s="265">
        <f>IF(FMS_Ranking4[[#This Row],[Water Supply Raw]]="Yes",10,0)</f>
        <v>0</v>
      </c>
      <c r="BD820" s="251">
        <f>_xlfn.XLOOKUP(FMS_Ranking4[[#This Row],[FMS Type]],FMS_TYPE[FMS_Type],FMS_TYPE[Score])</f>
        <v>8</v>
      </c>
      <c r="BE820" s="267">
        <f>FMS_Ranking4[[#This Row],[FMS_Type Score]]*$BD$5*10</f>
        <v>2</v>
      </c>
      <c r="BF820"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4.6819081166999336E-7</v>
      </c>
      <c r="BG820" s="271">
        <f>_xlfn.RANK.EQ(BF820,$BF$8:$BF$870,0)+COUNTIF($BF$8:BF820,BF820)-1</f>
        <v>809</v>
      </c>
      <c r="BH820" s="268">
        <f>(((FMS_Ranking4[[#This Row],[Structures Removed Raw]]/AK$4)*100)*AK$5)+(((FMS_Ranking4[[#This Row],[Removed Pop Raw]]/AR$4)*100)*AR$5)</f>
        <v>0</v>
      </c>
      <c r="BI82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2.0000004681908115</v>
      </c>
      <c r="BJ820" s="325">
        <f>_xlfn.RANK.EQ(FMS_Ranking4[[#This Row],[Total Score 
(with linear
normalization)]],FMS_Ranking4[Total Score 
(with linear
normalization)],0)</f>
        <v>499</v>
      </c>
      <c r="BK820" s="327" t="e">
        <f>_xlfn.XLOOKUP(FMS_Ranking4[[#This Row],[FMS ID]],#REF!,#REF!)</f>
        <v>#REF!</v>
      </c>
      <c r="BL820"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7.3134309697818048E-2</v>
      </c>
      <c r="BM820" s="330">
        <f>FMS_Ranking4[[#This Row],[ArcSinh Score Based on Normalized Reported Factors]]+FMS_Ranking4[[#This Row],[% NBS Score (Normalized)]]+(FMS_Ranking4[[#This Row],[Water Supply Score (Normalized)]]*10*$BB$5)+FMS_Ranking4[[#This Row],[FMS_Type Score Weighted]]</f>
        <v>2.0731343096978181</v>
      </c>
      <c r="BN820" s="332">
        <f>_xlfn.RANK.EQ(FMS_Ranking4[[#This Row],[Total Score (with ArcSinh normalization of select criteria)]],FMS_Ranking4[Total Score (with ArcSinh normalization of select criteria)],0)</f>
        <v>813</v>
      </c>
      <c r="BO820" s="270" t="str">
        <f>_xlfn.XLOOKUP(FMS_Ranking4[[#This Row],[FMS ID]],FMS_Input[FMS_ID],FMS_Input[FMS_RANK_YEAR])</f>
        <v>2023 Amended Plan</v>
      </c>
      <c r="BP820" s="204">
        <f>_xlfn.XLOOKUP(FMS_Ranking4[[#This Row],[FMS ID]],Prev_Rank[FMS ID],Prev_Rank[Prev Rank])</f>
        <v>737</v>
      </c>
      <c r="BQ820" s="334" t="e">
        <f>_xlfn.XLOOKUP(FMS_Ranking4[[#This Row],[FMS ID]],#REF!,#REF!)</f>
        <v>#REF!</v>
      </c>
      <c r="BR820" s="199" t="e">
        <f>SUM(#REF!,#REF!,#REF!,#REF!,#REF!,#REF!,#REF!,#REF!,#REF!,FMS_Ranking4[[#This Row],[ArcSinh Res struct removed 0-10]],#REF!)</f>
        <v>#REF!</v>
      </c>
      <c r="BS820" s="199" t="e">
        <f>FMS_Ranking4[[#This Row],[Log Score Based on Normalized Reported Factors]]+FMS_Ranking4[[#This Row],[% NBS Score (Normalized)]]+(FMS_Ranking4[[#This Row],[Water Supply Score (Normalized)]]*10*$BB$5)+(FMS_Ranking4[[#This Row],[FMS_Type Score Weighted]])</f>
        <v>#REF!</v>
      </c>
      <c r="BT820" s="200" t="e">
        <f>_xlfn.RANK.EQ(FMS_Ranking4[[#This Row],[Log Total Score]],FMS_Ranking4[Log Total Score],0)</f>
        <v>#REF!</v>
      </c>
      <c r="BU820" s="200" t="e">
        <f>_xlfn.XLOOKUP(FMS_Ranking4[[#This Row],[FMS ID]],#REF!,#REF!)</f>
        <v>#REF!</v>
      </c>
      <c r="BV820" s="200">
        <f>FMS_Ranking4[[#This Row],[Region Number]]</f>
        <v>3</v>
      </c>
      <c r="BW820" s="200">
        <f>FMS_Ranking4[[#This Row],[Rank (with ArcSinh normalization of select criteria)]]-FMS_Ranking4[[#This Row],[Rank
(with linear
normalization)]]</f>
        <v>314</v>
      </c>
      <c r="BX820" s="200" t="e">
        <f>FMS_Ranking4[[#This Row],[Log Rank]]-FMS_Ranking4[[#This Row],[Rank
(with linear
normalization)]]</f>
        <v>#REF!</v>
      </c>
      <c r="BY820" s="200" t="str">
        <f>IF(FMS_Ranking4[[#This Row],[FMS Type]]="Flood Measurement and Warning",FMS_Ranking4[[#This Row],[Rank (with ArcSinh normalization of select criteria)]],"")</f>
        <v/>
      </c>
      <c r="BZ820" s="200">
        <f>IF(FMS_Ranking4[[#This Row],[FMS Type]]="Regulatory and Guidance",FMS_Ranking4[[#This Row],[Rank (with ArcSinh normalization of select criteria)]],"")</f>
        <v>813</v>
      </c>
      <c r="CA820" s="200" t="str">
        <f>IF(FMS_Ranking4[[#This Row],[FMS Type]]="Education and Outreach",FMS_Ranking4[[#This Row],[Rank (with ArcSinh normalization of select criteria)]],"")</f>
        <v/>
      </c>
      <c r="CB820" s="200" t="str">
        <f>IF(FMS_Ranking4[[#This Row],[FMS Type]]="Property Acquisition and Structural Elevation",FMS_Ranking4[[#This Row],[Rank (with ArcSinh normalization of select criteria)]],"")</f>
        <v/>
      </c>
      <c r="CC820" s="200" t="str">
        <f>IF(FMS_Ranking4[[#This Row],[FMS Type]]="Infrastructure Projects",FMS_Ranking4[[#This Row],[Rank (with ArcSinh normalization of select criteria)]],"")</f>
        <v/>
      </c>
      <c r="CD820" s="200" t="str">
        <f>IF(FMS_Ranking4[[#This Row],[FMS Type]]="Other",FMS_Ranking4[[#This Row],[Rank (with ArcSinh normalization of select criteria)]],"")</f>
        <v/>
      </c>
    </row>
    <row r="821" spans="2:82" ht="30" x14ac:dyDescent="0.25">
      <c r="B821" s="342" t="s">
        <v>1430</v>
      </c>
      <c r="C821" s="287">
        <f>_xlfn.XLOOKUP(FMS_Ranking4[[#This Row],[FMS ID]],FMS_Input[FMS_ID],FMS_Input[RFPG_NUM])</f>
        <v>1</v>
      </c>
      <c r="D821" s="309" t="str">
        <f>_xlfn.XLOOKUP(FMS_Ranking4[[#This Row],[FMS ID]],FMS_Input[FMS_ID],FMS_Input[FMS_NAME])</f>
        <v>Channing NFIP Involvement</v>
      </c>
      <c r="E821" s="322" t="str">
        <f>_xlfn.XLOOKUP(FMS_Ranking4[[#This Row],[FMS ID]],FMS_Input[FMS_ID],FMS_Input[SPONSOR])</f>
        <v>01002382</v>
      </c>
      <c r="F821" s="309" t="str">
        <f>_xlfn.XLOOKUP(FMS_Ranking4[[#This Row],[FMS ID]],Sponsor[FMS_ID],Sponsor[SPONSOR NAME])</f>
        <v>Channing</v>
      </c>
      <c r="G821" s="309" t="str">
        <f>_xlfn.XLOOKUP(FMS_Ranking4[[#This Row],[FMS ID]],FMS_Input[FMS_ID],FMS_Input[FMS_DESCR])</f>
        <v>Application to join NFIP or adopt equivalent standards</v>
      </c>
      <c r="H821" s="247" t="str">
        <f>_xlfn.XLOOKUP(FMS_Ranking4[[#This Row],[FMS ID]],FMS_Input[FMS_ID],FMS_Input[FMS_TYPE])</f>
        <v>Regulatory and Guidance</v>
      </c>
      <c r="I821" s="288">
        <f>_xlfn.XLOOKUP(FMS_Ranking4[[#This Row],[FMS ID]],FMS_Input[FMS_ID],FMS_Input[NRNC_COST])</f>
        <v>100000</v>
      </c>
      <c r="J821" s="250">
        <f>_xlfn.XLOOKUP(FMS_Ranking4[[#This Row],[FMS ID]],FMS_Input[FMS_ID],FMS_Input[FMS_COST])</f>
        <v>100000</v>
      </c>
      <c r="K821" s="289" t="str">
        <f>_xlfn.XLOOKUP(FMS_Ranking4[[#This Row],[FMS ID]],FMS_Input[FMS_ID],FMS_Input[EMER_NEED])</f>
        <v>No</v>
      </c>
      <c r="L821" s="252">
        <f t="shared" si="12"/>
        <v>0</v>
      </c>
      <c r="M821" s="253">
        <f>_xlfn.XLOOKUP(FMS_Ranking4[[#This Row],[FMS ID]],FMS_Input[FMS_ID],FMS_Input[STRUCT_100])</f>
        <v>0</v>
      </c>
      <c r="N821" s="255">
        <f>(ASINH(FMS_Ranking4[[#This Row],[Structure at Risk Raw]]))*(10)/(ASINH(M$4))</f>
        <v>0</v>
      </c>
      <c r="O821" s="255">
        <f>FMS_Ranking4[[#This Row],[Structures at risk, ArcSinh (0-10)]]*M$5*10</f>
        <v>0</v>
      </c>
      <c r="P821" s="259">
        <f>_xlfn.XLOOKUP(FMS_Ranking4[[#This Row],[FMS ID]],FMS_Input[FMS_ID],FMS_Input[RES_STRUCT100])</f>
        <v>0</v>
      </c>
      <c r="Q821" s="257">
        <f>ASINH(FMS_Ranking4[[#This Row],[Res Structure Raw]])/Q$4*P$5*100</f>
        <v>0</v>
      </c>
      <c r="R821" s="259">
        <f>_xlfn.XLOOKUP(FMS_Ranking4[[#This Row],[FMS ID]],FMS_Input[FMS_ID],FMS_Input[POP100])</f>
        <v>0</v>
      </c>
      <c r="S821" s="255">
        <f>(ASINH(FMS_Ranking4[[#This Row],[Pop at Risk Raw]]))*(10)/(ASINH(R$4))</f>
        <v>0</v>
      </c>
      <c r="T821" s="257">
        <f>FMS_Ranking4[[#This Row],[Population at risk, ArcSinh (0-10)]]*R$5*10</f>
        <v>0</v>
      </c>
      <c r="U821" s="259">
        <f>_xlfn.XLOOKUP(FMS_Ranking4[[#This Row],[FMS ID]],FMS_Input[FMS_ID],FMS_Input[CRITFAC100])</f>
        <v>0</v>
      </c>
      <c r="V821" s="255">
        <f>(ASINH(FMS_Ranking4[[#This Row],[Critical Facilities Raw]]))*(10)/(ASINH(U$4))</f>
        <v>0</v>
      </c>
      <c r="W821" s="257">
        <f>FMS_Ranking4[[#This Row],[Critical facilities at risk, ArcSinh (0-10)]]*U$5*10</f>
        <v>0</v>
      </c>
      <c r="X821" s="259">
        <f>_xlfn.XLOOKUP(FMS_Ranking4[[#This Row],[FMS ID]],FMS_Input[FMS_ID],FMS_Input[LWC])</f>
        <v>0</v>
      </c>
      <c r="Y821" s="255">
        <f>(ASINH(FMS_Ranking4[[#This Row],[LWC Raw]]))*(10)/(ASINH(X$4))</f>
        <v>0</v>
      </c>
      <c r="Z821" s="257">
        <f>FMS_Ranking4[[#This Row],[LWC, ArcSInh (0-10)]]*X$5*10</f>
        <v>0</v>
      </c>
      <c r="AA821" s="259">
        <f>_xlfn.XLOOKUP(FMS_Ranking4[[#This Row],[FMS ID]],FMS_Input[FMS_ID],FMS_Input[ROADCLS])</f>
        <v>0</v>
      </c>
      <c r="AB821" s="255">
        <f>(ASINH(FMS_Ranking4[[#This Row],[Road Closures Raw]]))*(10)/(ASINH(AA$4))</f>
        <v>0</v>
      </c>
      <c r="AC821" s="255">
        <f>FMS_Ranking4[[#This Row],[Road closures, ArcSinh (0-10)]]*AA$5*10</f>
        <v>0</v>
      </c>
      <c r="AD821" s="259">
        <f>_xlfn.XLOOKUP(FMS_Ranking4[[#This Row],[FMS ID]],FMS_Input[FMS_ID],FMS_Input[ROAD_MILES100])</f>
        <v>0</v>
      </c>
      <c r="AE821" s="255">
        <f>(ASINH(FMS_Ranking4[[#This Row],[Road Miles Raw]]))*(10)/(ASINH(AD$4))</f>
        <v>0</v>
      </c>
      <c r="AF821" s="257">
        <f>FMS_Ranking4[[#This Row],[Length of roads at risk, ArcSinh (0-10)]]*AD$5*10</f>
        <v>0</v>
      </c>
      <c r="AG821" s="259">
        <f>_xlfn.XLOOKUP(FMS_Ranking4[[#This Row],[FMS ID]],FMS_Input[FMS_ID],FMS_Input[FARMACRE100])</f>
        <v>0.21655842661857599</v>
      </c>
      <c r="AH821" s="255">
        <f>(ASINH(FMS_Ranking4[[#This Row],[Ag Land Raw]]))*(10)/(ASINH(AG$4))</f>
        <v>0.13959538617672215</v>
      </c>
      <c r="AI821" s="254">
        <f>FMS_Ranking4[[#This Row],[Farm &amp; ranch land, ArcSinh (0-10)]]*AG$5*10</f>
        <v>6.9797693088361076E-2</v>
      </c>
      <c r="AJ821" s="258">
        <f>_xlfn.XLOOKUP(FMS_Ranking4[[#This Row],[FMS ID]],FMS_Input[FMS_ID],FMS_Input[REDSTRUCT100])</f>
        <v>0</v>
      </c>
      <c r="AK821" s="253">
        <f>_xlfn.XLOOKUP(FMS_Ranking4[[#This Row],[FMS ID]],FMS_Input[FMS_ID],FMS_Input[REMSTRC100])</f>
        <v>0</v>
      </c>
      <c r="AL821" s="255">
        <f>(ASINH(FMS_Ranking4[[#This Row],[Structures Removed Raw]]))*(10)/(ASINH(AK$4))</f>
        <v>0</v>
      </c>
      <c r="AM821" s="254">
        <f>FMS_Ranking4[[#This Row],[Structures removed, ArcSinh (0-10)]]*AK$5*10</f>
        <v>0</v>
      </c>
      <c r="AN821" s="253">
        <f>_xlfn.XLOOKUP(FMS_Ranking4[[#This Row],[FMS ID]],FMS_Input[FMS_ID],FMS_Input[REMRESSTRC100])</f>
        <v>0</v>
      </c>
      <c r="AO821" s="258">
        <f>FMS_Ranking4[[#This Row],[ArcSinh Res struct removed 0-10]]*AN$5*10</f>
        <v>0</v>
      </c>
      <c r="AP821" s="254">
        <f>ASINH(FMS_Ranking4[[#This Row],[Residential Structures Removed Raw]])/AP$4*AN$5*100</f>
        <v>0</v>
      </c>
      <c r="AQ821" s="261">
        <f>(ASINH(FMS_Ranking4[[#This Row],[Residential Structures Removed Raw]]))*(10)/(ASINH(AN$4))</f>
        <v>0</v>
      </c>
      <c r="AR821" s="253">
        <f>_xlfn.XLOOKUP(FMS_Ranking4[[#This Row],[FMS ID]],FMS_Input[FMS_ID],FMS_Input[REMPOP100])</f>
        <v>0</v>
      </c>
      <c r="AS821" s="255">
        <f>(ASINH(FMS_Ranking4[[#This Row],[Removed Pop Raw]]))*(10)/(ASINH(AR$4))</f>
        <v>0</v>
      </c>
      <c r="AT821" s="263">
        <f>FMS_Ranking4[[#This Row],[Removed population, ArcSinh (0-10)]]*AR$5*10</f>
        <v>0</v>
      </c>
      <c r="AU821" s="264">
        <f>_xlfn.XLOOKUP(FMS_Ranking4[[#This Row],[FMS ID]],FMS_Input[FMS_ID],FMS_Input[REMCRITFAC100])</f>
        <v>0</v>
      </c>
      <c r="AV821" s="264">
        <f>_xlfn.XLOOKUP(FMS_Ranking4[[#This Row],[FMS ID]],FMS_Input[FMS_ID],FMS_Input[REMLWC100])</f>
        <v>0</v>
      </c>
      <c r="AW821" s="264">
        <f>_xlfn.XLOOKUP(FMS_Ranking4[[#This Row],[FMS ID]],FMS_Input[FMS_ID],FMS_Input[REMROADCLS])</f>
        <v>0</v>
      </c>
      <c r="AX821" s="264">
        <f>_xlfn.XLOOKUP(FMS_Ranking4[[#This Row],[FMS ID]],FMS_Input[FMS_ID],FMS_Input[REMFRMACRE100])</f>
        <v>0</v>
      </c>
      <c r="AY821" s="258">
        <f>_xlfn.XLOOKUP(FMS_Ranking4[[#This Row],[FMS ID]],FMS_Input[FMS_ID],FMS_Input[COSTSTRUCT])</f>
        <v>0</v>
      </c>
      <c r="AZ821" s="258">
        <f>_xlfn.XLOOKUP(FMS_Ranking4[[#This Row],[FMS ID]],FMS_Input[FMS_ID],FMS_Input[NATURE])</f>
        <v>0</v>
      </c>
      <c r="BA821" s="290">
        <f>(((FMS_Ranking4[[#This Row],[% NBS Raw]]/AZ$4)*100)*AZ$5)</f>
        <v>0</v>
      </c>
      <c r="BB821" s="251" t="str">
        <f>_xlfn.XLOOKUP(FMS_Ranking4[[#This Row],[FMS ID]],FMS_Input[FMS_ID],FMS_Input[WATER_SUP])</f>
        <v>No</v>
      </c>
      <c r="BC821" s="265">
        <f>IF(FMS_Ranking4[[#This Row],[Water Supply Raw]]="Yes",10,0)</f>
        <v>0</v>
      </c>
      <c r="BD821" s="251">
        <f>_xlfn.XLOOKUP(FMS_Ranking4[[#This Row],[FMS Type]],FMS_TYPE[FMS_Type],FMS_TYPE[Score])</f>
        <v>8</v>
      </c>
      <c r="BE821" s="267">
        <f>FMS_Ranking4[[#This Row],[FMS_Type Score]]*$BD$5*10</f>
        <v>2</v>
      </c>
      <c r="BF821"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4.4649500445771677E-7</v>
      </c>
      <c r="BG821" s="321">
        <f>_xlfn.RANK.EQ(BF821,$BF$8:$BF$870,0)+COUNTIF($BF$8:BF821,BF821)-1</f>
        <v>810</v>
      </c>
      <c r="BH821" s="294">
        <f>(((FMS_Ranking4[[#This Row],[Structures Removed Raw]]/AK$4)*100)*AK$5)+(((FMS_Ranking4[[#This Row],[Removed Pop Raw]]/AR$4)*100)*AR$5)</f>
        <v>0</v>
      </c>
      <c r="BI82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2.0000004464950045</v>
      </c>
      <c r="BJ821" s="296">
        <f>_xlfn.RANK.EQ(FMS_Ranking4[[#This Row],[Total Score 
(with linear
normalization)]],FMS_Ranking4[Total Score 
(with linear
normalization)],0)</f>
        <v>500</v>
      </c>
      <c r="BK821" s="292" t="e">
        <f>_xlfn.XLOOKUP(FMS_Ranking4[[#This Row],[FMS ID]],#REF!,#REF!)</f>
        <v>#REF!</v>
      </c>
      <c r="BL821"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6.9797693088361076E-2</v>
      </c>
      <c r="BM821" s="298">
        <f>FMS_Ranking4[[#This Row],[ArcSinh Score Based on Normalized Reported Factors]]+FMS_Ranking4[[#This Row],[% NBS Score (Normalized)]]+(FMS_Ranking4[[#This Row],[Water Supply Score (Normalized)]]*10*$BB$5)+FMS_Ranking4[[#This Row],[FMS_Type Score Weighted]]</f>
        <v>2.0697976930883613</v>
      </c>
      <c r="BN821" s="323">
        <f>_xlfn.RANK.EQ(FMS_Ranking4[[#This Row],[Total Score (with ArcSinh normalization of select criteria)]],FMS_Ranking4[Total Score (with ArcSinh normalization of select criteria)],0)</f>
        <v>814</v>
      </c>
      <c r="BO821" s="270" t="str">
        <f>_xlfn.XLOOKUP(FMS_Ranking4[[#This Row],[FMS ID]],FMS_Input[FMS_ID],FMS_Input[FMS_RANK_YEAR])</f>
        <v>2023 Amended Plan</v>
      </c>
      <c r="BP821" s="204">
        <f>_xlfn.XLOOKUP(FMS_Ranking4[[#This Row],[FMS ID]],Prev_Rank[FMS ID],Prev_Rank[Prev Rank])</f>
        <v>738</v>
      </c>
      <c r="BQ821" s="265" t="e">
        <f>_xlfn.XLOOKUP(FMS_Ranking4[[#This Row],[FMS ID]],#REF!,#REF!)</f>
        <v>#REF!</v>
      </c>
      <c r="BR821" s="199" t="e">
        <f>SUM(#REF!,#REF!,#REF!,#REF!,#REF!,#REF!,#REF!,#REF!,#REF!,FMS_Ranking4[[#This Row],[ArcSinh Res struct removed 0-10]],#REF!)</f>
        <v>#REF!</v>
      </c>
      <c r="BS821" s="199" t="e">
        <f>FMS_Ranking4[[#This Row],[Log Score Based on Normalized Reported Factors]]+FMS_Ranking4[[#This Row],[% NBS Score (Normalized)]]+(FMS_Ranking4[[#This Row],[Water Supply Score (Normalized)]]*10*$BB$5)+(FMS_Ranking4[[#This Row],[FMS_Type Score Weighted]])</f>
        <v>#REF!</v>
      </c>
      <c r="BT821" s="200" t="e">
        <f>_xlfn.RANK.EQ(FMS_Ranking4[[#This Row],[Log Total Score]],FMS_Ranking4[Log Total Score],0)</f>
        <v>#REF!</v>
      </c>
      <c r="BU821" s="200" t="e">
        <f>_xlfn.XLOOKUP(FMS_Ranking4[[#This Row],[FMS ID]],#REF!,#REF!)</f>
        <v>#REF!</v>
      </c>
      <c r="BV821" s="200">
        <f>FMS_Ranking4[[#This Row],[Region Number]]</f>
        <v>1</v>
      </c>
      <c r="BW821" s="200">
        <f>FMS_Ranking4[[#This Row],[Rank (with ArcSinh normalization of select criteria)]]-FMS_Ranking4[[#This Row],[Rank
(with linear
normalization)]]</f>
        <v>314</v>
      </c>
      <c r="BX821" s="200" t="e">
        <f>FMS_Ranking4[[#This Row],[Log Rank]]-FMS_Ranking4[[#This Row],[Rank
(with linear
normalization)]]</f>
        <v>#REF!</v>
      </c>
      <c r="BY821" s="200" t="str">
        <f>IF(FMS_Ranking4[[#This Row],[FMS Type]]="Flood Measurement and Warning",FMS_Ranking4[[#This Row],[Rank (with ArcSinh normalization of select criteria)]],"")</f>
        <v/>
      </c>
      <c r="BZ821" s="200">
        <f>IF(FMS_Ranking4[[#This Row],[FMS Type]]="Regulatory and Guidance",FMS_Ranking4[[#This Row],[Rank (with ArcSinh normalization of select criteria)]],"")</f>
        <v>814</v>
      </c>
      <c r="CA821" s="200" t="str">
        <f>IF(FMS_Ranking4[[#This Row],[FMS Type]]="Education and Outreach",FMS_Ranking4[[#This Row],[Rank (with ArcSinh normalization of select criteria)]],"")</f>
        <v/>
      </c>
      <c r="CB821" s="200" t="str">
        <f>IF(FMS_Ranking4[[#This Row],[FMS Type]]="Property Acquisition and Structural Elevation",FMS_Ranking4[[#This Row],[Rank (with ArcSinh normalization of select criteria)]],"")</f>
        <v/>
      </c>
      <c r="CC821" s="200" t="str">
        <f>IF(FMS_Ranking4[[#This Row],[FMS Type]]="Infrastructure Projects",FMS_Ranking4[[#This Row],[Rank (with ArcSinh normalization of select criteria)]],"")</f>
        <v/>
      </c>
      <c r="CD821" s="200" t="str">
        <f>IF(FMS_Ranking4[[#This Row],[FMS Type]]="Other",FMS_Ranking4[[#This Row],[Rank (with ArcSinh normalization of select criteria)]],"")</f>
        <v/>
      </c>
    </row>
    <row r="822" spans="2:82" ht="30" x14ac:dyDescent="0.25">
      <c r="B822" s="342" t="s">
        <v>1164</v>
      </c>
      <c r="C822" s="287">
        <f>_xlfn.XLOOKUP(FMS_Ranking4[[#This Row],[FMS ID]],FMS_Input[FMS_ID],FMS_Input[RFPG_NUM])</f>
        <v>1</v>
      </c>
      <c r="D822" s="309" t="str">
        <f>_xlfn.XLOOKUP(FMS_Ranking4[[#This Row],[FMS ID]],FMS_Input[FMS_ID],FMS_Input[FMS_NAME])</f>
        <v>Estelline NFIP Involvement</v>
      </c>
      <c r="E822" s="322" t="str">
        <f>_xlfn.XLOOKUP(FMS_Ranking4[[#This Row],[FMS ID]],FMS_Input[FMS_ID],FMS_Input[SPONSOR])</f>
        <v>01002928</v>
      </c>
      <c r="F822" s="309" t="str">
        <f>_xlfn.XLOOKUP(FMS_Ranking4[[#This Row],[FMS ID]],Sponsor[FMS_ID],Sponsor[SPONSOR NAME])</f>
        <v>Estelline</v>
      </c>
      <c r="G822" s="309" t="str">
        <f>_xlfn.XLOOKUP(FMS_Ranking4[[#This Row],[FMS ID]],FMS_Input[FMS_ID],FMS_Input[FMS_DESCR])</f>
        <v>Application to join NFIP or adopt equivalent standards</v>
      </c>
      <c r="H822" s="247" t="str">
        <f>_xlfn.XLOOKUP(FMS_Ranking4[[#This Row],[FMS ID]],FMS_Input[FMS_ID],FMS_Input[FMS_TYPE])</f>
        <v>Regulatory and Guidance</v>
      </c>
      <c r="I822" s="288">
        <f>_xlfn.XLOOKUP(FMS_Ranking4[[#This Row],[FMS ID]],FMS_Input[FMS_ID],FMS_Input[NRNC_COST])</f>
        <v>100000</v>
      </c>
      <c r="J822" s="250">
        <f>_xlfn.XLOOKUP(FMS_Ranking4[[#This Row],[FMS ID]],FMS_Input[FMS_ID],FMS_Input[FMS_COST])</f>
        <v>100000</v>
      </c>
      <c r="K822" s="289" t="str">
        <f>_xlfn.XLOOKUP(FMS_Ranking4[[#This Row],[FMS ID]],FMS_Input[FMS_ID],FMS_Input[EMER_NEED])</f>
        <v>No</v>
      </c>
      <c r="L822" s="252">
        <f t="shared" si="12"/>
        <v>0</v>
      </c>
      <c r="M822" s="253">
        <f>_xlfn.XLOOKUP(FMS_Ranking4[[#This Row],[FMS ID]],FMS_Input[FMS_ID],FMS_Input[STRUCT_100])</f>
        <v>0</v>
      </c>
      <c r="N822" s="255">
        <f>(ASINH(FMS_Ranking4[[#This Row],[Structure at Risk Raw]]))*(10)/(ASINH(M$4))</f>
        <v>0</v>
      </c>
      <c r="O822" s="255">
        <f>FMS_Ranking4[[#This Row],[Structures at risk, ArcSinh (0-10)]]*M$5*10</f>
        <v>0</v>
      </c>
      <c r="P822" s="259">
        <f>_xlfn.XLOOKUP(FMS_Ranking4[[#This Row],[FMS ID]],FMS_Input[FMS_ID],FMS_Input[RES_STRUCT100])</f>
        <v>0</v>
      </c>
      <c r="Q822" s="257">
        <f>ASINH(FMS_Ranking4[[#This Row],[Res Structure Raw]])/Q$4*P$5*100</f>
        <v>0</v>
      </c>
      <c r="R822" s="259">
        <f>_xlfn.XLOOKUP(FMS_Ranking4[[#This Row],[FMS ID]],FMS_Input[FMS_ID],FMS_Input[POP100])</f>
        <v>0</v>
      </c>
      <c r="S822" s="259">
        <f>(ASINH(FMS_Ranking4[[#This Row],[Pop at Risk Raw]]))*(10)/(ASINH(R$4))</f>
        <v>0</v>
      </c>
      <c r="T822" s="257">
        <f>FMS_Ranking4[[#This Row],[Population at risk, ArcSinh (0-10)]]*R$5*10</f>
        <v>0</v>
      </c>
      <c r="U822" s="259">
        <f>_xlfn.XLOOKUP(FMS_Ranking4[[#This Row],[FMS ID]],FMS_Input[FMS_ID],FMS_Input[CRITFAC100])</f>
        <v>0</v>
      </c>
      <c r="V822" s="259">
        <f>(ASINH(FMS_Ranking4[[#This Row],[Critical Facilities Raw]]))*(10)/(ASINH(U$4))</f>
        <v>0</v>
      </c>
      <c r="W822" s="257">
        <f>FMS_Ranking4[[#This Row],[Critical facilities at risk, ArcSinh (0-10)]]*U$5*10</f>
        <v>0</v>
      </c>
      <c r="X822" s="259">
        <f>_xlfn.XLOOKUP(FMS_Ranking4[[#This Row],[FMS ID]],FMS_Input[FMS_ID],FMS_Input[LWC])</f>
        <v>0</v>
      </c>
      <c r="Y822" s="259">
        <f>(ASINH(FMS_Ranking4[[#This Row],[LWC Raw]]))*(10)/(ASINH(X$4))</f>
        <v>0</v>
      </c>
      <c r="Z822" s="257">
        <f>FMS_Ranking4[[#This Row],[LWC, ArcSInh (0-10)]]*X$5*10</f>
        <v>0</v>
      </c>
      <c r="AA822" s="259">
        <f>_xlfn.XLOOKUP(FMS_Ranking4[[#This Row],[FMS ID]],FMS_Input[FMS_ID],FMS_Input[ROADCLS])</f>
        <v>0</v>
      </c>
      <c r="AB822" s="255">
        <f>(ASINH(FMS_Ranking4[[#This Row],[Road Closures Raw]]))*(10)/(ASINH(AA$4))</f>
        <v>0</v>
      </c>
      <c r="AC822" s="255">
        <f>FMS_Ranking4[[#This Row],[Road closures, ArcSinh (0-10)]]*AA$5*10</f>
        <v>0</v>
      </c>
      <c r="AD822" s="259">
        <f>_xlfn.XLOOKUP(FMS_Ranking4[[#This Row],[FMS ID]],FMS_Input[FMS_ID],FMS_Input[ROAD_MILES100])</f>
        <v>0</v>
      </c>
      <c r="AE822" s="259">
        <f>(ASINH(FMS_Ranking4[[#This Row],[Road Miles Raw]]))*(10)/(ASINH(AD$4))</f>
        <v>0</v>
      </c>
      <c r="AF822" s="257">
        <f>FMS_Ranking4[[#This Row],[Length of roads at risk, ArcSinh (0-10)]]*AD$5*10</f>
        <v>0</v>
      </c>
      <c r="AG822" s="259">
        <f>_xlfn.XLOOKUP(FMS_Ranking4[[#This Row],[FMS ID]],FMS_Input[FMS_ID],FMS_Input[FARMACRE100])</f>
        <v>7.0173867046833038E-2</v>
      </c>
      <c r="AH822" s="255">
        <f>(ASINH(FMS_Ranking4[[#This Row],[Ag Land Raw]]))*(10)/(ASINH(AG$4))</f>
        <v>4.5546314524787898E-2</v>
      </c>
      <c r="AI822" s="254">
        <f>FMS_Ranking4[[#This Row],[Farm &amp; ranch land, ArcSinh (0-10)]]*AG$5*10</f>
        <v>2.2773157262393949E-2</v>
      </c>
      <c r="AJ822" s="258">
        <f>_xlfn.XLOOKUP(FMS_Ranking4[[#This Row],[FMS ID]],FMS_Input[FMS_ID],FMS_Input[REDSTRUCT100])</f>
        <v>0</v>
      </c>
      <c r="AK822" s="253">
        <f>_xlfn.XLOOKUP(FMS_Ranking4[[#This Row],[FMS ID]],FMS_Input[FMS_ID],FMS_Input[REMSTRC100])</f>
        <v>0</v>
      </c>
      <c r="AL822" s="259">
        <f>(ASINH(FMS_Ranking4[[#This Row],[Structures Removed Raw]]))*(10)/(ASINH(AK$4))</f>
        <v>0</v>
      </c>
      <c r="AM822" s="254">
        <f>FMS_Ranking4[[#This Row],[Structures removed, ArcSinh (0-10)]]*AK$5*10</f>
        <v>0</v>
      </c>
      <c r="AN822" s="253">
        <f>_xlfn.XLOOKUP(FMS_Ranking4[[#This Row],[FMS ID]],FMS_Input[FMS_ID],FMS_Input[REMRESSTRC100])</f>
        <v>0</v>
      </c>
      <c r="AO822" s="258">
        <f>FMS_Ranking4[[#This Row],[ArcSinh Res struct removed 0-10]]*AN$5*10</f>
        <v>0</v>
      </c>
      <c r="AP822" s="254">
        <f>ASINH(FMS_Ranking4[[#This Row],[Residential Structures Removed Raw]])/AP$4*AN$5*100</f>
        <v>0</v>
      </c>
      <c r="AQ822" s="260">
        <f>(ASINH(FMS_Ranking4[[#This Row],[Residential Structures Removed Raw]]))*(10)/(ASINH(AN$4))</f>
        <v>0</v>
      </c>
      <c r="AR822" s="253">
        <f>_xlfn.XLOOKUP(FMS_Ranking4[[#This Row],[FMS ID]],FMS_Input[FMS_ID],FMS_Input[REMPOP100])</f>
        <v>0</v>
      </c>
      <c r="AS822" s="259">
        <f>(ASINH(FMS_Ranking4[[#This Row],[Removed Pop Raw]]))*(10)/(ASINH(AR$4))</f>
        <v>0</v>
      </c>
      <c r="AT822" s="263">
        <f>FMS_Ranking4[[#This Row],[Removed population, ArcSinh (0-10)]]*AR$5*10</f>
        <v>0</v>
      </c>
      <c r="AU822" s="264">
        <f>_xlfn.XLOOKUP(FMS_Ranking4[[#This Row],[FMS ID]],FMS_Input[FMS_ID],FMS_Input[REMCRITFAC100])</f>
        <v>0</v>
      </c>
      <c r="AV822" s="264">
        <f>_xlfn.XLOOKUP(FMS_Ranking4[[#This Row],[FMS ID]],FMS_Input[FMS_ID],FMS_Input[REMLWC100])</f>
        <v>0</v>
      </c>
      <c r="AW822" s="264">
        <f>_xlfn.XLOOKUP(FMS_Ranking4[[#This Row],[FMS ID]],FMS_Input[FMS_ID],FMS_Input[REMROADCLS])</f>
        <v>0</v>
      </c>
      <c r="AX822" s="264">
        <f>_xlfn.XLOOKUP(FMS_Ranking4[[#This Row],[FMS ID]],FMS_Input[FMS_ID],FMS_Input[REMFRMACRE100])</f>
        <v>0</v>
      </c>
      <c r="AY822" s="258">
        <f>_xlfn.XLOOKUP(FMS_Ranking4[[#This Row],[FMS ID]],FMS_Input[FMS_ID],FMS_Input[COSTSTRUCT])</f>
        <v>0</v>
      </c>
      <c r="AZ822" s="258">
        <f>_xlfn.XLOOKUP(FMS_Ranking4[[#This Row],[FMS ID]],FMS_Input[FMS_ID],FMS_Input[NATURE])</f>
        <v>0</v>
      </c>
      <c r="BA822" s="290">
        <f>(((FMS_Ranking4[[#This Row],[% NBS Raw]]/AZ$4)*100)*AZ$5)</f>
        <v>0</v>
      </c>
      <c r="BB822" s="251" t="str">
        <f>_xlfn.XLOOKUP(FMS_Ranking4[[#This Row],[FMS ID]],FMS_Input[FMS_ID],FMS_Input[WATER_SUP])</f>
        <v>No</v>
      </c>
      <c r="BC822" s="265">
        <f>IF(FMS_Ranking4[[#This Row],[Water Supply Raw]]="Yes",10,0)</f>
        <v>0</v>
      </c>
      <c r="BD822" s="251">
        <f>_xlfn.XLOOKUP(FMS_Ranking4[[#This Row],[FMS Type]],FMS_TYPE[FMS_Type],FMS_TYPE[Score])</f>
        <v>8</v>
      </c>
      <c r="BE822" s="267">
        <f>FMS_Ranking4[[#This Row],[FMS_Type Score]]*$BD$5*10</f>
        <v>2</v>
      </c>
      <c r="BF822"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1.4468280717183285E-7</v>
      </c>
      <c r="BG822" s="271">
        <f>_xlfn.RANK.EQ(BF822,$BF$8:$BF$870,0)+COUNTIF($BF$8:BF822,BF822)-1</f>
        <v>812</v>
      </c>
      <c r="BH822" s="268">
        <f>(((FMS_Ranking4[[#This Row],[Structures Removed Raw]]/AK$4)*100)*AK$5)+(((FMS_Ranking4[[#This Row],[Removed Pop Raw]]/AR$4)*100)*AR$5)</f>
        <v>0</v>
      </c>
      <c r="BI82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2.0000001446828071</v>
      </c>
      <c r="BJ822" s="325">
        <f>_xlfn.RANK.EQ(FMS_Ranking4[[#This Row],[Total Score 
(with linear
normalization)]],FMS_Ranking4[Total Score 
(with linear
normalization)],0)</f>
        <v>501</v>
      </c>
      <c r="BK822" s="327" t="e">
        <f>_xlfn.XLOOKUP(FMS_Ranking4[[#This Row],[FMS ID]],#REF!,#REF!)</f>
        <v>#REF!</v>
      </c>
      <c r="BL822"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2.2773157262393949E-2</v>
      </c>
      <c r="BM822" s="330">
        <f>FMS_Ranking4[[#This Row],[ArcSinh Score Based on Normalized Reported Factors]]+FMS_Ranking4[[#This Row],[% NBS Score (Normalized)]]+(FMS_Ranking4[[#This Row],[Water Supply Score (Normalized)]]*10*$BB$5)+FMS_Ranking4[[#This Row],[FMS_Type Score Weighted]]</f>
        <v>2.0227731572623942</v>
      </c>
      <c r="BN822" s="332">
        <f>_xlfn.RANK.EQ(FMS_Ranking4[[#This Row],[Total Score (with ArcSinh normalization of select criteria)]],FMS_Ranking4[Total Score (with ArcSinh normalization of select criteria)],0)</f>
        <v>815</v>
      </c>
      <c r="BO822" s="270" t="str">
        <f>_xlfn.XLOOKUP(FMS_Ranking4[[#This Row],[FMS ID]],FMS_Input[FMS_ID],FMS_Input[FMS_RANK_YEAR])</f>
        <v>2023 Amended Plan</v>
      </c>
      <c r="BP822" s="204">
        <f>_xlfn.XLOOKUP(FMS_Ranking4[[#This Row],[FMS ID]],Prev_Rank[FMS ID],Prev_Rank[Prev Rank])</f>
        <v>739</v>
      </c>
      <c r="BQ822" s="334" t="e">
        <f>_xlfn.XLOOKUP(FMS_Ranking4[[#This Row],[FMS ID]],#REF!,#REF!)</f>
        <v>#REF!</v>
      </c>
      <c r="BR822" s="199" t="e">
        <f>SUM(#REF!,#REF!,#REF!,#REF!,#REF!,#REF!,#REF!,#REF!,#REF!,FMS_Ranking4[[#This Row],[ArcSinh Res struct removed 0-10]],#REF!)</f>
        <v>#REF!</v>
      </c>
      <c r="BS822" s="199" t="e">
        <f>FMS_Ranking4[[#This Row],[Log Score Based on Normalized Reported Factors]]+FMS_Ranking4[[#This Row],[% NBS Score (Normalized)]]+(FMS_Ranking4[[#This Row],[Water Supply Score (Normalized)]]*10*$BB$5)+(FMS_Ranking4[[#This Row],[FMS_Type Score Weighted]])</f>
        <v>#REF!</v>
      </c>
      <c r="BT822" s="200" t="e">
        <f>_xlfn.RANK.EQ(FMS_Ranking4[[#This Row],[Log Total Score]],FMS_Ranking4[Log Total Score],0)</f>
        <v>#REF!</v>
      </c>
      <c r="BU822" s="200" t="e">
        <f>_xlfn.XLOOKUP(FMS_Ranking4[[#This Row],[FMS ID]],#REF!,#REF!)</f>
        <v>#REF!</v>
      </c>
      <c r="BV822" s="200">
        <f>FMS_Ranking4[[#This Row],[Region Number]]</f>
        <v>1</v>
      </c>
      <c r="BW822" s="200">
        <f>FMS_Ranking4[[#This Row],[Rank (with ArcSinh normalization of select criteria)]]-FMS_Ranking4[[#This Row],[Rank
(with linear
normalization)]]</f>
        <v>314</v>
      </c>
      <c r="BX822" s="200" t="e">
        <f>FMS_Ranking4[[#This Row],[Log Rank]]-FMS_Ranking4[[#This Row],[Rank
(with linear
normalization)]]</f>
        <v>#REF!</v>
      </c>
      <c r="BY822" s="200" t="str">
        <f>IF(FMS_Ranking4[[#This Row],[FMS Type]]="Flood Measurement and Warning",FMS_Ranking4[[#This Row],[Rank (with ArcSinh normalization of select criteria)]],"")</f>
        <v/>
      </c>
      <c r="BZ822" s="200">
        <f>IF(FMS_Ranking4[[#This Row],[FMS Type]]="Regulatory and Guidance",FMS_Ranking4[[#This Row],[Rank (with ArcSinh normalization of select criteria)]],"")</f>
        <v>815</v>
      </c>
      <c r="CA822" s="200" t="str">
        <f>IF(FMS_Ranking4[[#This Row],[FMS Type]]="Education and Outreach",FMS_Ranking4[[#This Row],[Rank (with ArcSinh normalization of select criteria)]],"")</f>
        <v/>
      </c>
      <c r="CB822" s="200" t="str">
        <f>IF(FMS_Ranking4[[#This Row],[FMS Type]]="Property Acquisition and Structural Elevation",FMS_Ranking4[[#This Row],[Rank (with ArcSinh normalization of select criteria)]],"")</f>
        <v/>
      </c>
      <c r="CC822" s="200" t="str">
        <f>IF(FMS_Ranking4[[#This Row],[FMS Type]]="Infrastructure Projects",FMS_Ranking4[[#This Row],[Rank (with ArcSinh normalization of select criteria)]],"")</f>
        <v/>
      </c>
      <c r="CD822" s="200" t="str">
        <f>IF(FMS_Ranking4[[#This Row],[FMS Type]]="Other",FMS_Ranking4[[#This Row],[Rank (with ArcSinh normalization of select criteria)]],"")</f>
        <v/>
      </c>
    </row>
    <row r="823" spans="2:82" ht="90" x14ac:dyDescent="0.25">
      <c r="B823" s="342" t="s">
        <v>4620</v>
      </c>
      <c r="C823" s="287">
        <f>_xlfn.XLOOKUP(FMS_Ranking4[[#This Row],[FMS ID]],FMS_Input[FMS_ID],FMS_Input[RFPG_NUM])</f>
        <v>7</v>
      </c>
      <c r="D823" s="309" t="str">
        <f>_xlfn.XLOOKUP(FMS_Ranking4[[#This Row],[FMS ID]],FMS_Input[FMS_ID],FMS_Input[FMS_NAME])</f>
        <v>City of Idalou Ordinance Updates</v>
      </c>
      <c r="E823" s="322" t="str">
        <f>_xlfn.XLOOKUP(FMS_Ranking4[[#This Row],[FMS ID]],FMS_Input[FMS_ID],FMS_Input[SPONSOR])</f>
        <v>07003506</v>
      </c>
      <c r="F823" s="309" t="str">
        <f>_xlfn.XLOOKUP(FMS_Ranking4[[#This Row],[FMS ID]],Sponsor[FMS_ID],Sponsor[SPONSOR NAME])</f>
        <v>Idalou</v>
      </c>
      <c r="G823" s="309" t="str">
        <f>_xlfn.XLOOKUP(FMS_Ranking4[[#This Row],[FMS ID]],FMS_Input[FMS_ID],FMS_Input[FMS_DESCR])</f>
        <v>Updates to the City Ordinance to assist with the acquisition, use, preservation, and continuance of playas and other natural resources within or influenced by the City</v>
      </c>
      <c r="H823" s="247" t="str">
        <f>_xlfn.XLOOKUP(FMS_Ranking4[[#This Row],[FMS ID]],FMS_Input[FMS_ID],FMS_Input[FMS_TYPE])</f>
        <v>Regulatory and Guidance</v>
      </c>
      <c r="I823" s="288">
        <f>_xlfn.XLOOKUP(FMS_Ranking4[[#This Row],[FMS ID]],FMS_Input[FMS_ID],FMS_Input[NRNC_COST])</f>
        <v>50000</v>
      </c>
      <c r="J823" s="250">
        <f>_xlfn.XLOOKUP(FMS_Ranking4[[#This Row],[FMS ID]],FMS_Input[FMS_ID],FMS_Input[FMS_COST])</f>
        <v>50000</v>
      </c>
      <c r="K823" s="289" t="str">
        <f>_xlfn.XLOOKUP(FMS_Ranking4[[#This Row],[FMS ID]],FMS_Input[FMS_ID],FMS_Input[EMER_NEED])</f>
        <v>No</v>
      </c>
      <c r="L823" s="252">
        <f t="shared" si="12"/>
        <v>0</v>
      </c>
      <c r="M823" s="253">
        <f>_xlfn.XLOOKUP(FMS_Ranking4[[#This Row],[FMS ID]],FMS_Input[FMS_ID],FMS_Input[STRUCT_100])</f>
        <v>0</v>
      </c>
      <c r="N823" s="255">
        <f>(ASINH(FMS_Ranking4[[#This Row],[Structure at Risk Raw]]))*(10)/(ASINH(M$4))</f>
        <v>0</v>
      </c>
      <c r="O823" s="255">
        <f>FMS_Ranking4[[#This Row],[Structures at risk, ArcSinh (0-10)]]*M$5*10</f>
        <v>0</v>
      </c>
      <c r="P823" s="259">
        <f>_xlfn.XLOOKUP(FMS_Ranking4[[#This Row],[FMS ID]],FMS_Input[FMS_ID],FMS_Input[RES_STRUCT100])</f>
        <v>0</v>
      </c>
      <c r="Q823" s="257">
        <f>ASINH(FMS_Ranking4[[#This Row],[Res Structure Raw]])/Q$4*P$5*100</f>
        <v>0</v>
      </c>
      <c r="R823" s="259">
        <f>_xlfn.XLOOKUP(FMS_Ranking4[[#This Row],[FMS ID]],FMS_Input[FMS_ID],FMS_Input[POP100])</f>
        <v>0</v>
      </c>
      <c r="S823" s="259">
        <f>(ASINH(FMS_Ranking4[[#This Row],[Pop at Risk Raw]]))*(10)/(ASINH(R$4))</f>
        <v>0</v>
      </c>
      <c r="T823" s="257">
        <f>FMS_Ranking4[[#This Row],[Population at risk, ArcSinh (0-10)]]*R$5*10</f>
        <v>0</v>
      </c>
      <c r="U823" s="259">
        <f>_xlfn.XLOOKUP(FMS_Ranking4[[#This Row],[FMS ID]],FMS_Input[FMS_ID],FMS_Input[CRITFAC100])</f>
        <v>0</v>
      </c>
      <c r="V823" s="259">
        <f>(ASINH(FMS_Ranking4[[#This Row],[Critical Facilities Raw]]))*(10)/(ASINH(U$4))</f>
        <v>0</v>
      </c>
      <c r="W823" s="257">
        <f>FMS_Ranking4[[#This Row],[Critical facilities at risk, ArcSinh (0-10)]]*U$5*10</f>
        <v>0</v>
      </c>
      <c r="X823" s="259">
        <f>_xlfn.XLOOKUP(FMS_Ranking4[[#This Row],[FMS ID]],FMS_Input[FMS_ID],FMS_Input[LWC])</f>
        <v>0</v>
      </c>
      <c r="Y823" s="259">
        <f>(ASINH(FMS_Ranking4[[#This Row],[LWC Raw]]))*(10)/(ASINH(X$4))</f>
        <v>0</v>
      </c>
      <c r="Z823" s="257">
        <f>FMS_Ranking4[[#This Row],[LWC, ArcSInh (0-10)]]*X$5*10</f>
        <v>0</v>
      </c>
      <c r="AA823" s="259">
        <f>_xlfn.XLOOKUP(FMS_Ranking4[[#This Row],[FMS ID]],FMS_Input[FMS_ID],FMS_Input[ROADCLS])</f>
        <v>0</v>
      </c>
      <c r="AB823" s="255">
        <f>(ASINH(FMS_Ranking4[[#This Row],[Road Closures Raw]]))*(10)/(ASINH(AA$4))</f>
        <v>0</v>
      </c>
      <c r="AC823" s="255">
        <f>FMS_Ranking4[[#This Row],[Road closures, ArcSinh (0-10)]]*AA$5*10</f>
        <v>0</v>
      </c>
      <c r="AD823" s="259">
        <f>_xlfn.XLOOKUP(FMS_Ranking4[[#This Row],[FMS ID]],FMS_Input[FMS_ID],FMS_Input[ROAD_MILES100])</f>
        <v>0</v>
      </c>
      <c r="AE823" s="259">
        <f>(ASINH(FMS_Ranking4[[#This Row],[Road Miles Raw]]))*(10)/(ASINH(AD$4))</f>
        <v>0</v>
      </c>
      <c r="AF823" s="257">
        <f>FMS_Ranking4[[#This Row],[Length of roads at risk, ArcSinh (0-10)]]*AD$5*10</f>
        <v>0</v>
      </c>
      <c r="AG823" s="259">
        <f>_xlfn.XLOOKUP(FMS_Ranking4[[#This Row],[FMS ID]],FMS_Input[FMS_ID],FMS_Input[FARMACRE100])</f>
        <v>2.6059910655021671E-2</v>
      </c>
      <c r="AH823" s="255">
        <f>(ASINH(FMS_Ranking4[[#This Row],[Ag Land Raw]]))*(10)/(ASINH(AG$4))</f>
        <v>1.6926119613945755E-2</v>
      </c>
      <c r="AI823" s="254">
        <f>FMS_Ranking4[[#This Row],[Farm &amp; ranch land, ArcSinh (0-10)]]*AG$5*10</f>
        <v>8.4630598069728776E-3</v>
      </c>
      <c r="AJ823" s="258">
        <f>_xlfn.XLOOKUP(FMS_Ranking4[[#This Row],[FMS ID]],FMS_Input[FMS_ID],FMS_Input[REDSTRUCT100])</f>
        <v>0</v>
      </c>
      <c r="AK823" s="253">
        <f>_xlfn.XLOOKUP(FMS_Ranking4[[#This Row],[FMS ID]],FMS_Input[FMS_ID],FMS_Input[REMSTRC100])</f>
        <v>0</v>
      </c>
      <c r="AL823" s="259">
        <f>(ASINH(FMS_Ranking4[[#This Row],[Structures Removed Raw]]))*(10)/(ASINH(AK$4))</f>
        <v>0</v>
      </c>
      <c r="AM823" s="254">
        <f>FMS_Ranking4[[#This Row],[Structures removed, ArcSinh (0-10)]]*AK$5*10</f>
        <v>0</v>
      </c>
      <c r="AN823" s="253">
        <f>_xlfn.XLOOKUP(FMS_Ranking4[[#This Row],[FMS ID]],FMS_Input[FMS_ID],FMS_Input[REMRESSTRC100])</f>
        <v>0</v>
      </c>
      <c r="AO823" s="258">
        <f>FMS_Ranking4[[#This Row],[ArcSinh Res struct removed 0-10]]*AN$5*10</f>
        <v>0</v>
      </c>
      <c r="AP823" s="254">
        <f>ASINH(FMS_Ranking4[[#This Row],[Residential Structures Removed Raw]])/AP$4*AN$5*100</f>
        <v>0</v>
      </c>
      <c r="AQ823" s="260">
        <f>(ASINH(FMS_Ranking4[[#This Row],[Residential Structures Removed Raw]]))*(10)/(ASINH(AN$4))</f>
        <v>0</v>
      </c>
      <c r="AR823" s="253">
        <f>_xlfn.XLOOKUP(FMS_Ranking4[[#This Row],[FMS ID]],FMS_Input[FMS_ID],FMS_Input[REMPOP100])</f>
        <v>0</v>
      </c>
      <c r="AS823" s="259">
        <f>(ASINH(FMS_Ranking4[[#This Row],[Removed Pop Raw]]))*(10)/(ASINH(AR$4))</f>
        <v>0</v>
      </c>
      <c r="AT823" s="263">
        <f>FMS_Ranking4[[#This Row],[Removed population, ArcSinh (0-10)]]*AR$5*10</f>
        <v>0</v>
      </c>
      <c r="AU823" s="264">
        <f>_xlfn.XLOOKUP(FMS_Ranking4[[#This Row],[FMS ID]],FMS_Input[FMS_ID],FMS_Input[REMCRITFAC100])</f>
        <v>0</v>
      </c>
      <c r="AV823" s="264">
        <f>_xlfn.XLOOKUP(FMS_Ranking4[[#This Row],[FMS ID]],FMS_Input[FMS_ID],FMS_Input[REMLWC100])</f>
        <v>0</v>
      </c>
      <c r="AW823" s="264">
        <f>_xlfn.XLOOKUP(FMS_Ranking4[[#This Row],[FMS ID]],FMS_Input[FMS_ID],FMS_Input[REMROADCLS])</f>
        <v>0</v>
      </c>
      <c r="AX823" s="264">
        <f>_xlfn.XLOOKUP(FMS_Ranking4[[#This Row],[FMS ID]],FMS_Input[FMS_ID],FMS_Input[REMFRMACRE100])</f>
        <v>0</v>
      </c>
      <c r="AY823" s="258">
        <f>_xlfn.XLOOKUP(FMS_Ranking4[[#This Row],[FMS ID]],FMS_Input[FMS_ID],FMS_Input[COSTSTRUCT])</f>
        <v>0</v>
      </c>
      <c r="AZ823" s="258">
        <f>_xlfn.XLOOKUP(FMS_Ranking4[[#This Row],[FMS ID]],FMS_Input[FMS_ID],FMS_Input[NATURE])</f>
        <v>0</v>
      </c>
      <c r="BA823" s="290">
        <f>(((FMS_Ranking4[[#This Row],[% NBS Raw]]/AZ$4)*100)*AZ$5)</f>
        <v>0</v>
      </c>
      <c r="BB823" s="251" t="str">
        <f>_xlfn.XLOOKUP(FMS_Ranking4[[#This Row],[FMS ID]],FMS_Input[FMS_ID],FMS_Input[WATER_SUP])</f>
        <v>No</v>
      </c>
      <c r="BC823" s="265">
        <f>IF(FMS_Ranking4[[#This Row],[Water Supply Raw]]="Yes",10,0)</f>
        <v>0</v>
      </c>
      <c r="BD823" s="251">
        <f>_xlfn.XLOOKUP(FMS_Ranking4[[#This Row],[FMS Type]],FMS_TYPE[FMS_Type],FMS_TYPE[Score])</f>
        <v>8</v>
      </c>
      <c r="BE823" s="267">
        <f>FMS_Ranking4[[#This Row],[FMS_Type Score]]*$BD$5*10</f>
        <v>2</v>
      </c>
      <c r="BF823"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5.3729702906345003E-8</v>
      </c>
      <c r="BG823" s="271">
        <f>_xlfn.RANK.EQ(BF823,$BF$8:$BF$870,0)+COUNTIF($BF$8:BF823,BF823)-1</f>
        <v>813</v>
      </c>
      <c r="BH823" s="268">
        <f>(((FMS_Ranking4[[#This Row],[Structures Removed Raw]]/AK$4)*100)*AK$5)+(((FMS_Ranking4[[#This Row],[Removed Pop Raw]]/AR$4)*100)*AR$5)</f>
        <v>0</v>
      </c>
      <c r="BI82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2.0000000537297029</v>
      </c>
      <c r="BJ823" s="325">
        <f>_xlfn.RANK.EQ(FMS_Ranking4[[#This Row],[Total Score 
(with linear
normalization)]],FMS_Ranking4[Total Score 
(with linear
normalization)],0)</f>
        <v>502</v>
      </c>
      <c r="BK823" s="327" t="e">
        <f>_xlfn.XLOOKUP(FMS_Ranking4[[#This Row],[FMS ID]],#REF!,#REF!)</f>
        <v>#REF!</v>
      </c>
      <c r="BL823"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8.4630598069728776E-3</v>
      </c>
      <c r="BM823" s="330">
        <f>FMS_Ranking4[[#This Row],[ArcSinh Score Based on Normalized Reported Factors]]+FMS_Ranking4[[#This Row],[% NBS Score (Normalized)]]+(FMS_Ranking4[[#This Row],[Water Supply Score (Normalized)]]*10*$BB$5)+FMS_Ranking4[[#This Row],[FMS_Type Score Weighted]]</f>
        <v>2.008463059806973</v>
      </c>
      <c r="BN823" s="332">
        <f>_xlfn.RANK.EQ(FMS_Ranking4[[#This Row],[Total Score (with ArcSinh normalization of select criteria)]],FMS_Ranking4[Total Score (with ArcSinh normalization of select criteria)],0)</f>
        <v>816</v>
      </c>
      <c r="BO823" s="270" t="str">
        <f>_xlfn.XLOOKUP(FMS_Ranking4[[#This Row],[FMS ID]],FMS_Input[FMS_ID],FMS_Input[FMS_RANK_YEAR])</f>
        <v>2023 Amended Plan</v>
      </c>
      <c r="BP823" s="204">
        <f>_xlfn.XLOOKUP(FMS_Ranking4[[#This Row],[FMS ID]],Prev_Rank[FMS ID],Prev_Rank[Prev Rank])</f>
        <v>740</v>
      </c>
      <c r="BQ823" s="334" t="e">
        <f>_xlfn.XLOOKUP(FMS_Ranking4[[#This Row],[FMS ID]],#REF!,#REF!)</f>
        <v>#REF!</v>
      </c>
      <c r="BR823" s="199" t="e">
        <f>SUM(#REF!,#REF!,#REF!,#REF!,#REF!,#REF!,#REF!,#REF!,#REF!,FMS_Ranking4[[#This Row],[ArcSinh Res struct removed 0-10]],#REF!)</f>
        <v>#REF!</v>
      </c>
      <c r="BS823" s="199" t="e">
        <f>FMS_Ranking4[[#This Row],[Log Score Based on Normalized Reported Factors]]+FMS_Ranking4[[#This Row],[% NBS Score (Normalized)]]+(FMS_Ranking4[[#This Row],[Water Supply Score (Normalized)]]*10*$BB$5)+(FMS_Ranking4[[#This Row],[FMS_Type Score Weighted]])</f>
        <v>#REF!</v>
      </c>
      <c r="BT823" s="200" t="e">
        <f>_xlfn.RANK.EQ(FMS_Ranking4[[#This Row],[Log Total Score]],FMS_Ranking4[Log Total Score],0)</f>
        <v>#REF!</v>
      </c>
      <c r="BU823" s="200" t="e">
        <f>_xlfn.XLOOKUP(FMS_Ranking4[[#This Row],[FMS ID]],#REF!,#REF!)</f>
        <v>#REF!</v>
      </c>
      <c r="BV823" s="200">
        <f>FMS_Ranking4[[#This Row],[Region Number]]</f>
        <v>7</v>
      </c>
      <c r="BW823" s="200">
        <f>FMS_Ranking4[[#This Row],[Rank (with ArcSinh normalization of select criteria)]]-FMS_Ranking4[[#This Row],[Rank
(with linear
normalization)]]</f>
        <v>314</v>
      </c>
      <c r="BX823" s="200" t="e">
        <f>FMS_Ranking4[[#This Row],[Log Rank]]-FMS_Ranking4[[#This Row],[Rank
(with linear
normalization)]]</f>
        <v>#REF!</v>
      </c>
      <c r="BY823" s="200" t="str">
        <f>IF(FMS_Ranking4[[#This Row],[FMS Type]]="Flood Measurement and Warning",FMS_Ranking4[[#This Row],[Rank (with ArcSinh normalization of select criteria)]],"")</f>
        <v/>
      </c>
      <c r="BZ823" s="200">
        <f>IF(FMS_Ranking4[[#This Row],[FMS Type]]="Regulatory and Guidance",FMS_Ranking4[[#This Row],[Rank (with ArcSinh normalization of select criteria)]],"")</f>
        <v>816</v>
      </c>
      <c r="CA823" s="200" t="str">
        <f>IF(FMS_Ranking4[[#This Row],[FMS Type]]="Education and Outreach",FMS_Ranking4[[#This Row],[Rank (with ArcSinh normalization of select criteria)]],"")</f>
        <v/>
      </c>
      <c r="CB823" s="200" t="str">
        <f>IF(FMS_Ranking4[[#This Row],[FMS Type]]="Property Acquisition and Structural Elevation",FMS_Ranking4[[#This Row],[Rank (with ArcSinh normalization of select criteria)]],"")</f>
        <v/>
      </c>
      <c r="CC823" s="200" t="str">
        <f>IF(FMS_Ranking4[[#This Row],[FMS Type]]="Infrastructure Projects",FMS_Ranking4[[#This Row],[Rank (with ArcSinh normalization of select criteria)]],"")</f>
        <v/>
      </c>
      <c r="CD823" s="200" t="str">
        <f>IF(FMS_Ranking4[[#This Row],[FMS Type]]="Other",FMS_Ranking4[[#This Row],[Rank (with ArcSinh normalization of select criteria)]],"")</f>
        <v/>
      </c>
    </row>
    <row r="824" spans="2:82" ht="60" x14ac:dyDescent="0.25">
      <c r="B824" s="342" t="s">
        <v>4910</v>
      </c>
      <c r="C824" s="287">
        <f>_xlfn.XLOOKUP(FMS_Ranking4[[#This Row],[FMS ID]],FMS_Input[FMS_ID],FMS_Input[RFPG_NUM])</f>
        <v>8</v>
      </c>
      <c r="D824" s="309" t="str">
        <f>_xlfn.XLOOKUP(FMS_Ranking4[[#This Row],[FMS ID]],FMS_Input[FMS_ID],FMS_Input[FMS_NAME])</f>
        <v xml:space="preserve">Sugar Land MDP - Regional Drainage &amp; Drainage Entities_x000D_
</v>
      </c>
      <c r="E824" s="322" t="str">
        <f>_xlfn.XLOOKUP(FMS_Ranking4[[#This Row],[FMS ID]],FMS_Input[FMS_ID],FMS_Input[SPONSOR])</f>
        <v>00002517</v>
      </c>
      <c r="F824" s="309" t="str">
        <f>_xlfn.XLOOKUP(FMS_Ranking4[[#This Row],[FMS ID]],Sponsor[FMS_ID],Sponsor[SPONSOR NAME])</f>
        <v>Sugar Land</v>
      </c>
      <c r="G824" s="309" t="str">
        <f>_xlfn.XLOOKUP(FMS_Ranking4[[#This Row],[FMS ID]],FMS_Input[FMS_ID],FMS_Input[FMS_DESCR])</f>
        <v>Consider establishing a single regional drainage entity to manage all aspects of drainage.</v>
      </c>
      <c r="H824" s="247" t="str">
        <f>_xlfn.XLOOKUP(FMS_Ranking4[[#This Row],[FMS ID]],FMS_Input[FMS_ID],FMS_Input[FMS_TYPE])</f>
        <v>Regulatory and Guidance</v>
      </c>
      <c r="I824" s="288">
        <f>_xlfn.XLOOKUP(FMS_Ranking4[[#This Row],[FMS ID]],FMS_Input[FMS_ID],FMS_Input[NRNC_COST])</f>
        <v>500000</v>
      </c>
      <c r="J824" s="250">
        <f>_xlfn.XLOOKUP(FMS_Ranking4[[#This Row],[FMS ID]],FMS_Input[FMS_ID],FMS_Input[FMS_COST])</f>
        <v>500000</v>
      </c>
      <c r="K824" s="289" t="str">
        <f>_xlfn.XLOOKUP(FMS_Ranking4[[#This Row],[FMS ID]],FMS_Input[FMS_ID],FMS_Input[EMER_NEED])</f>
        <v>No</v>
      </c>
      <c r="L824" s="252">
        <f t="shared" si="12"/>
        <v>0</v>
      </c>
      <c r="M824" s="253">
        <f>_xlfn.XLOOKUP(FMS_Ranking4[[#This Row],[FMS ID]],FMS_Input[FMS_ID],FMS_Input[STRUCT_100])</f>
        <v>0</v>
      </c>
      <c r="N824" s="255">
        <f>(ASINH(FMS_Ranking4[[#This Row],[Structure at Risk Raw]]))*(10)/(ASINH(M$4))</f>
        <v>0</v>
      </c>
      <c r="O824" s="255">
        <f>FMS_Ranking4[[#This Row],[Structures at risk, ArcSinh (0-10)]]*M$5*10</f>
        <v>0</v>
      </c>
      <c r="P824" s="259">
        <f>_xlfn.XLOOKUP(FMS_Ranking4[[#This Row],[FMS ID]],FMS_Input[FMS_ID],FMS_Input[RES_STRUCT100])</f>
        <v>0</v>
      </c>
      <c r="Q824" s="257">
        <f>ASINH(FMS_Ranking4[[#This Row],[Res Structure Raw]])/Q$4*P$5*100</f>
        <v>0</v>
      </c>
      <c r="R824" s="259">
        <f>_xlfn.XLOOKUP(FMS_Ranking4[[#This Row],[FMS ID]],FMS_Input[FMS_ID],FMS_Input[POP100])</f>
        <v>0</v>
      </c>
      <c r="S824" s="259">
        <f>(ASINH(FMS_Ranking4[[#This Row],[Pop at Risk Raw]]))*(10)/(ASINH(R$4))</f>
        <v>0</v>
      </c>
      <c r="T824" s="257">
        <f>FMS_Ranking4[[#This Row],[Population at risk, ArcSinh (0-10)]]*R$5*10</f>
        <v>0</v>
      </c>
      <c r="U824" s="259">
        <f>_xlfn.XLOOKUP(FMS_Ranking4[[#This Row],[FMS ID]],FMS_Input[FMS_ID],FMS_Input[CRITFAC100])</f>
        <v>0</v>
      </c>
      <c r="V824" s="259">
        <f>(ASINH(FMS_Ranking4[[#This Row],[Critical Facilities Raw]]))*(10)/(ASINH(U$4))</f>
        <v>0</v>
      </c>
      <c r="W824" s="257">
        <f>FMS_Ranking4[[#This Row],[Critical facilities at risk, ArcSinh (0-10)]]*U$5*10</f>
        <v>0</v>
      </c>
      <c r="X824" s="259">
        <f>_xlfn.XLOOKUP(FMS_Ranking4[[#This Row],[FMS ID]],FMS_Input[FMS_ID],FMS_Input[LWC])</f>
        <v>0</v>
      </c>
      <c r="Y824" s="259">
        <f>(ASINH(FMS_Ranking4[[#This Row],[LWC Raw]]))*(10)/(ASINH(X$4))</f>
        <v>0</v>
      </c>
      <c r="Z824" s="257">
        <f>FMS_Ranking4[[#This Row],[LWC, ArcSInh (0-10)]]*X$5*10</f>
        <v>0</v>
      </c>
      <c r="AA824" s="259">
        <f>_xlfn.XLOOKUP(FMS_Ranking4[[#This Row],[FMS ID]],FMS_Input[FMS_ID],FMS_Input[ROADCLS])</f>
        <v>0</v>
      </c>
      <c r="AB824" s="255">
        <f>(ASINH(FMS_Ranking4[[#This Row],[Road Closures Raw]]))*(10)/(ASINH(AA$4))</f>
        <v>0</v>
      </c>
      <c r="AC824" s="255">
        <f>FMS_Ranking4[[#This Row],[Road closures, ArcSinh (0-10)]]*AA$5*10</f>
        <v>0</v>
      </c>
      <c r="AD824" s="259">
        <f>_xlfn.XLOOKUP(FMS_Ranking4[[#This Row],[FMS ID]],FMS_Input[FMS_ID],FMS_Input[ROAD_MILES100])</f>
        <v>0</v>
      </c>
      <c r="AE824" s="259">
        <f>(ASINH(FMS_Ranking4[[#This Row],[Road Miles Raw]]))*(10)/(ASINH(AD$4))</f>
        <v>0</v>
      </c>
      <c r="AF824" s="257">
        <f>FMS_Ranking4[[#This Row],[Length of roads at risk, ArcSinh (0-10)]]*AD$5*10</f>
        <v>0</v>
      </c>
      <c r="AG824" s="259">
        <f>_xlfn.XLOOKUP(FMS_Ranking4[[#This Row],[FMS ID]],FMS_Input[FMS_ID],FMS_Input[FARMACRE100])</f>
        <v>0</v>
      </c>
      <c r="AH824" s="255">
        <f>(ASINH(FMS_Ranking4[[#This Row],[Ag Land Raw]]))*(10)/(ASINH(AG$4))</f>
        <v>0</v>
      </c>
      <c r="AI824" s="254">
        <f>FMS_Ranking4[[#This Row],[Farm &amp; ranch land, ArcSinh (0-10)]]*AG$5*10</f>
        <v>0</v>
      </c>
      <c r="AJ824" s="258">
        <f>_xlfn.XLOOKUP(FMS_Ranking4[[#This Row],[FMS ID]],FMS_Input[FMS_ID],FMS_Input[REDSTRUCT100])</f>
        <v>0</v>
      </c>
      <c r="AK824" s="253">
        <f>_xlfn.XLOOKUP(FMS_Ranking4[[#This Row],[FMS ID]],FMS_Input[FMS_ID],FMS_Input[REMSTRC100])</f>
        <v>0</v>
      </c>
      <c r="AL824" s="259">
        <f>(ASINH(FMS_Ranking4[[#This Row],[Structures Removed Raw]]))*(10)/(ASINH(AK$4))</f>
        <v>0</v>
      </c>
      <c r="AM824" s="254">
        <f>FMS_Ranking4[[#This Row],[Structures removed, ArcSinh (0-10)]]*AK$5*10</f>
        <v>0</v>
      </c>
      <c r="AN824" s="253">
        <f>_xlfn.XLOOKUP(FMS_Ranking4[[#This Row],[FMS ID]],FMS_Input[FMS_ID],FMS_Input[REMRESSTRC100])</f>
        <v>0</v>
      </c>
      <c r="AO824" s="258">
        <f>FMS_Ranking4[[#This Row],[ArcSinh Res struct removed 0-10]]*AN$5*10</f>
        <v>0</v>
      </c>
      <c r="AP824" s="254">
        <f>ASINH(FMS_Ranking4[[#This Row],[Residential Structures Removed Raw]])/AP$4*AN$5*100</f>
        <v>0</v>
      </c>
      <c r="AQ824" s="260">
        <f>(ASINH(FMS_Ranking4[[#This Row],[Residential Structures Removed Raw]]))*(10)/(ASINH(AN$4))</f>
        <v>0</v>
      </c>
      <c r="AR824" s="253">
        <f>_xlfn.XLOOKUP(FMS_Ranking4[[#This Row],[FMS ID]],FMS_Input[FMS_ID],FMS_Input[REMPOP100])</f>
        <v>0</v>
      </c>
      <c r="AS824" s="259">
        <f>(ASINH(FMS_Ranking4[[#This Row],[Removed Pop Raw]]))*(10)/(ASINH(AR$4))</f>
        <v>0</v>
      </c>
      <c r="AT824" s="263">
        <f>FMS_Ranking4[[#This Row],[Removed population, ArcSinh (0-10)]]*AR$5*10</f>
        <v>0</v>
      </c>
      <c r="AU824" s="264">
        <f>_xlfn.XLOOKUP(FMS_Ranking4[[#This Row],[FMS ID]],FMS_Input[FMS_ID],FMS_Input[REMCRITFAC100])</f>
        <v>0</v>
      </c>
      <c r="AV824" s="264">
        <f>_xlfn.XLOOKUP(FMS_Ranking4[[#This Row],[FMS ID]],FMS_Input[FMS_ID],FMS_Input[REMLWC100])</f>
        <v>0</v>
      </c>
      <c r="AW824" s="264">
        <f>_xlfn.XLOOKUP(FMS_Ranking4[[#This Row],[FMS ID]],FMS_Input[FMS_ID],FMS_Input[REMROADCLS])</f>
        <v>0</v>
      </c>
      <c r="AX824" s="264">
        <f>_xlfn.XLOOKUP(FMS_Ranking4[[#This Row],[FMS ID]],FMS_Input[FMS_ID],FMS_Input[REMFRMACRE100])</f>
        <v>0</v>
      </c>
      <c r="AY824" s="258">
        <f>_xlfn.XLOOKUP(FMS_Ranking4[[#This Row],[FMS ID]],FMS_Input[FMS_ID],FMS_Input[COSTSTRUCT])</f>
        <v>0</v>
      </c>
      <c r="AZ824" s="258">
        <f>_xlfn.XLOOKUP(FMS_Ranking4[[#This Row],[FMS ID]],FMS_Input[FMS_ID],FMS_Input[NATURE])</f>
        <v>0</v>
      </c>
      <c r="BA824" s="290">
        <f>(((FMS_Ranking4[[#This Row],[% NBS Raw]]/AZ$4)*100)*AZ$5)</f>
        <v>0</v>
      </c>
      <c r="BB824" s="251" t="str">
        <f>_xlfn.XLOOKUP(FMS_Ranking4[[#This Row],[FMS ID]],FMS_Input[FMS_ID],FMS_Input[WATER_SUP])</f>
        <v>No</v>
      </c>
      <c r="BC824" s="265">
        <f>IF(FMS_Ranking4[[#This Row],[Water Supply Raw]]="Yes",10,0)</f>
        <v>0</v>
      </c>
      <c r="BD824" s="251">
        <f>_xlfn.XLOOKUP(FMS_Ranking4[[#This Row],[FMS Type]],FMS_TYPE[FMS_Type],FMS_TYPE[Score])</f>
        <v>8</v>
      </c>
      <c r="BE824" s="267">
        <f>FMS_Ranking4[[#This Row],[FMS_Type Score]]*$BD$5*10</f>
        <v>2</v>
      </c>
      <c r="BF82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24" s="271">
        <f>_xlfn.RANK.EQ(BF824,$BF$8:$BF$870,0)+COUNTIF($BF$8:BF824,BF824)-1</f>
        <v>824</v>
      </c>
      <c r="BH824" s="268">
        <f>(((FMS_Ranking4[[#This Row],[Structures Removed Raw]]/AK$4)*100)*AK$5)+(((FMS_Ranking4[[#This Row],[Removed Pop Raw]]/AR$4)*100)*AR$5)</f>
        <v>0</v>
      </c>
      <c r="BI82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24" s="325">
        <f>_xlfn.RANK.EQ(FMS_Ranking4[[#This Row],[Total Score 
(with linear
normalization)]],FMS_Ranking4[Total Score 
(with linear
normalization)],0)</f>
        <v>503</v>
      </c>
      <c r="BK824" s="327" t="e">
        <f>_xlfn.XLOOKUP(FMS_Ranking4[[#This Row],[FMS ID]],#REF!,#REF!)</f>
        <v>#REF!</v>
      </c>
      <c r="BL824"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24" s="330">
        <f>FMS_Ranking4[[#This Row],[ArcSinh Score Based on Normalized Reported Factors]]+FMS_Ranking4[[#This Row],[% NBS Score (Normalized)]]+(FMS_Ranking4[[#This Row],[Water Supply Score (Normalized)]]*10*$BB$5)+FMS_Ranking4[[#This Row],[FMS_Type Score Weighted]]</f>
        <v>2</v>
      </c>
      <c r="BN824" s="332">
        <f>_xlfn.RANK.EQ(FMS_Ranking4[[#This Row],[Total Score (with ArcSinh normalization of select criteria)]],FMS_Ranking4[Total Score (with ArcSinh normalization of select criteria)],0)</f>
        <v>817</v>
      </c>
      <c r="BO824" s="270" t="str">
        <f>_xlfn.XLOOKUP(FMS_Ranking4[[#This Row],[FMS ID]],FMS_Input[FMS_ID],FMS_Input[FMS_RANK_YEAR])</f>
        <v>2023 Amended Plan</v>
      </c>
      <c r="BP824" s="204">
        <f>_xlfn.XLOOKUP(FMS_Ranking4[[#This Row],[FMS ID]],Prev_Rank[FMS ID],Prev_Rank[Prev Rank])</f>
        <v>741</v>
      </c>
      <c r="BQ824" s="334" t="e">
        <f>_xlfn.XLOOKUP(FMS_Ranking4[[#This Row],[FMS ID]],#REF!,#REF!)</f>
        <v>#REF!</v>
      </c>
      <c r="BR824" s="199" t="e">
        <f>SUM(#REF!,#REF!,#REF!,#REF!,#REF!,#REF!,#REF!,#REF!,#REF!,FMS_Ranking4[[#This Row],[ArcSinh Res struct removed 0-10]],#REF!)</f>
        <v>#REF!</v>
      </c>
      <c r="BS824" s="199" t="e">
        <f>FMS_Ranking4[[#This Row],[Log Score Based on Normalized Reported Factors]]+FMS_Ranking4[[#This Row],[% NBS Score (Normalized)]]+(FMS_Ranking4[[#This Row],[Water Supply Score (Normalized)]]*10*$BB$5)+(FMS_Ranking4[[#This Row],[FMS_Type Score Weighted]])</f>
        <v>#REF!</v>
      </c>
      <c r="BT824" s="200" t="e">
        <f>_xlfn.RANK.EQ(FMS_Ranking4[[#This Row],[Log Total Score]],FMS_Ranking4[Log Total Score],0)</f>
        <v>#REF!</v>
      </c>
      <c r="BU824" s="200" t="e">
        <f>_xlfn.XLOOKUP(FMS_Ranking4[[#This Row],[FMS ID]],#REF!,#REF!)</f>
        <v>#REF!</v>
      </c>
      <c r="BV824" s="200">
        <f>FMS_Ranking4[[#This Row],[Region Number]]</f>
        <v>8</v>
      </c>
      <c r="BW824" s="200">
        <f>FMS_Ranking4[[#This Row],[Rank (with ArcSinh normalization of select criteria)]]-FMS_Ranking4[[#This Row],[Rank
(with linear
normalization)]]</f>
        <v>314</v>
      </c>
      <c r="BX824" s="200" t="e">
        <f>FMS_Ranking4[[#This Row],[Log Rank]]-FMS_Ranking4[[#This Row],[Rank
(with linear
normalization)]]</f>
        <v>#REF!</v>
      </c>
      <c r="BY824" s="200" t="str">
        <f>IF(FMS_Ranking4[[#This Row],[FMS Type]]="Flood Measurement and Warning",FMS_Ranking4[[#This Row],[Rank (with ArcSinh normalization of select criteria)]],"")</f>
        <v/>
      </c>
      <c r="BZ824" s="200">
        <f>IF(FMS_Ranking4[[#This Row],[FMS Type]]="Regulatory and Guidance",FMS_Ranking4[[#This Row],[Rank (with ArcSinh normalization of select criteria)]],"")</f>
        <v>817</v>
      </c>
      <c r="CA824" s="200" t="str">
        <f>IF(FMS_Ranking4[[#This Row],[FMS Type]]="Education and Outreach",FMS_Ranking4[[#This Row],[Rank (with ArcSinh normalization of select criteria)]],"")</f>
        <v/>
      </c>
      <c r="CB824" s="200" t="str">
        <f>IF(FMS_Ranking4[[#This Row],[FMS Type]]="Property Acquisition and Structural Elevation",FMS_Ranking4[[#This Row],[Rank (with ArcSinh normalization of select criteria)]],"")</f>
        <v/>
      </c>
      <c r="CC824" s="200" t="str">
        <f>IF(FMS_Ranking4[[#This Row],[FMS Type]]="Infrastructure Projects",FMS_Ranking4[[#This Row],[Rank (with ArcSinh normalization of select criteria)]],"")</f>
        <v/>
      </c>
      <c r="CD824" s="200" t="str">
        <f>IF(FMS_Ranking4[[#This Row],[FMS Type]]="Other",FMS_Ranking4[[#This Row],[Rank (with ArcSinh normalization of select criteria)]],"")</f>
        <v/>
      </c>
    </row>
    <row r="825" spans="2:82" ht="45" x14ac:dyDescent="0.25">
      <c r="B825" s="342" t="s">
        <v>12485</v>
      </c>
      <c r="C825" s="287">
        <f>_xlfn.XLOOKUP(FMS_Ranking4[[#This Row],[FMS ID]],FMS_Input[FMS_ID],FMS_Input[RFPG_NUM])</f>
        <v>8</v>
      </c>
      <c r="D825" s="309" t="str">
        <f>_xlfn.XLOOKUP(FMS_Ranking4[[#This Row],[FMS ID]],FMS_Input[FMS_ID],FMS_Input[FMS_NAME])</f>
        <v>Brazos County Drainage Criteria Manual Development</v>
      </c>
      <c r="E825" s="322" t="str">
        <f>_xlfn.XLOOKUP(FMS_Ranking4[[#This Row],[FMS ID]],FMS_Input[FMS_ID],FMS_Input[SPONSOR])</f>
        <v>08000048</v>
      </c>
      <c r="F825" s="309" t="str">
        <f>_xlfn.XLOOKUP(FMS_Ranking4[[#This Row],[FMS ID]],Sponsor[FMS_ID],Sponsor[SPONSOR NAME])</f>
        <v>Brazos</v>
      </c>
      <c r="G825" s="309" t="str">
        <f>_xlfn.XLOOKUP(FMS_Ranking4[[#This Row],[FMS ID]],FMS_Input[FMS_ID],FMS_Input[FMS_DESCR])</f>
        <v>Creation and adoption of a county drainage criteria manual.</v>
      </c>
      <c r="H825" s="247" t="str">
        <f>_xlfn.XLOOKUP(FMS_Ranking4[[#This Row],[FMS ID]],FMS_Input[FMS_ID],FMS_Input[FMS_TYPE])</f>
        <v>Regulatory and Guidance</v>
      </c>
      <c r="I825" s="288">
        <f>_xlfn.XLOOKUP(FMS_Ranking4[[#This Row],[FMS ID]],FMS_Input[FMS_ID],FMS_Input[NRNC_COST])</f>
        <v>350000</v>
      </c>
      <c r="J825" s="250">
        <f>_xlfn.XLOOKUP(FMS_Ranking4[[#This Row],[FMS ID]],FMS_Input[FMS_ID],FMS_Input[FMS_COST])</f>
        <v>350000</v>
      </c>
      <c r="K825" s="289" t="str">
        <f>_xlfn.XLOOKUP(FMS_Ranking4[[#This Row],[FMS ID]],FMS_Input[FMS_ID],FMS_Input[EMER_NEED])</f>
        <v>No</v>
      </c>
      <c r="L825" s="252">
        <f t="shared" si="12"/>
        <v>0</v>
      </c>
      <c r="M825" s="253">
        <f>_xlfn.XLOOKUP(FMS_Ranking4[[#This Row],[FMS ID]],FMS_Input[FMS_ID],FMS_Input[STRUCT_100])</f>
        <v>0</v>
      </c>
      <c r="N825" s="255">
        <f>(ASINH(FMS_Ranking4[[#This Row],[Structure at Risk Raw]]))*(10)/(ASINH(M$4))</f>
        <v>0</v>
      </c>
      <c r="O825" s="255">
        <f>FMS_Ranking4[[#This Row],[Structures at risk, ArcSinh (0-10)]]*M$5*10</f>
        <v>0</v>
      </c>
      <c r="P825" s="259">
        <f>_xlfn.XLOOKUP(FMS_Ranking4[[#This Row],[FMS ID]],FMS_Input[FMS_ID],FMS_Input[RES_STRUCT100])</f>
        <v>0</v>
      </c>
      <c r="Q825" s="257">
        <f>ASINH(FMS_Ranking4[[#This Row],[Res Structure Raw]])/Q$4*P$5*100</f>
        <v>0</v>
      </c>
      <c r="R825" s="259">
        <f>_xlfn.XLOOKUP(FMS_Ranking4[[#This Row],[FMS ID]],FMS_Input[FMS_ID],FMS_Input[POP100])</f>
        <v>0</v>
      </c>
      <c r="S825" s="259">
        <f>(ASINH(FMS_Ranking4[[#This Row],[Pop at Risk Raw]]))*(10)/(ASINH(R$4))</f>
        <v>0</v>
      </c>
      <c r="T825" s="257">
        <f>FMS_Ranking4[[#This Row],[Population at risk, ArcSinh (0-10)]]*R$5*10</f>
        <v>0</v>
      </c>
      <c r="U825" s="259">
        <f>_xlfn.XLOOKUP(FMS_Ranking4[[#This Row],[FMS ID]],FMS_Input[FMS_ID],FMS_Input[CRITFAC100])</f>
        <v>0</v>
      </c>
      <c r="V825" s="259">
        <f>(ASINH(FMS_Ranking4[[#This Row],[Critical Facilities Raw]]))*(10)/(ASINH(U$4))</f>
        <v>0</v>
      </c>
      <c r="W825" s="257">
        <f>FMS_Ranking4[[#This Row],[Critical facilities at risk, ArcSinh (0-10)]]*U$5*10</f>
        <v>0</v>
      </c>
      <c r="X825" s="259">
        <f>_xlfn.XLOOKUP(FMS_Ranking4[[#This Row],[FMS ID]],FMS_Input[FMS_ID],FMS_Input[LWC])</f>
        <v>0</v>
      </c>
      <c r="Y825" s="259">
        <f>(ASINH(FMS_Ranking4[[#This Row],[LWC Raw]]))*(10)/(ASINH(X$4))</f>
        <v>0</v>
      </c>
      <c r="Z825" s="257">
        <f>FMS_Ranking4[[#This Row],[LWC, ArcSInh (0-10)]]*X$5*10</f>
        <v>0</v>
      </c>
      <c r="AA825" s="259">
        <f>_xlfn.XLOOKUP(FMS_Ranking4[[#This Row],[FMS ID]],FMS_Input[FMS_ID],FMS_Input[ROADCLS])</f>
        <v>0</v>
      </c>
      <c r="AB825" s="255">
        <f>(ASINH(FMS_Ranking4[[#This Row],[Road Closures Raw]]))*(10)/(ASINH(AA$4))</f>
        <v>0</v>
      </c>
      <c r="AC825" s="255">
        <f>FMS_Ranking4[[#This Row],[Road closures, ArcSinh (0-10)]]*AA$5*10</f>
        <v>0</v>
      </c>
      <c r="AD825" s="259">
        <f>_xlfn.XLOOKUP(FMS_Ranking4[[#This Row],[FMS ID]],FMS_Input[FMS_ID],FMS_Input[ROAD_MILES100])</f>
        <v>0</v>
      </c>
      <c r="AE825" s="259">
        <f>(ASINH(FMS_Ranking4[[#This Row],[Road Miles Raw]]))*(10)/(ASINH(AD$4))</f>
        <v>0</v>
      </c>
      <c r="AF825" s="257">
        <f>FMS_Ranking4[[#This Row],[Length of roads at risk, ArcSinh (0-10)]]*AD$5*10</f>
        <v>0</v>
      </c>
      <c r="AG825" s="259">
        <f>_xlfn.XLOOKUP(FMS_Ranking4[[#This Row],[FMS ID]],FMS_Input[FMS_ID],FMS_Input[FARMACRE100])</f>
        <v>0</v>
      </c>
      <c r="AH825" s="255">
        <f>(ASINH(FMS_Ranking4[[#This Row],[Ag Land Raw]]))*(10)/(ASINH(AG$4))</f>
        <v>0</v>
      </c>
      <c r="AI825" s="254">
        <f>FMS_Ranking4[[#This Row],[Farm &amp; ranch land, ArcSinh (0-10)]]*AG$5*10</f>
        <v>0</v>
      </c>
      <c r="AJ825" s="258">
        <f>_xlfn.XLOOKUP(FMS_Ranking4[[#This Row],[FMS ID]],FMS_Input[FMS_ID],FMS_Input[REDSTRUCT100])</f>
        <v>0</v>
      </c>
      <c r="AK825" s="253">
        <f>_xlfn.XLOOKUP(FMS_Ranking4[[#This Row],[FMS ID]],FMS_Input[FMS_ID],FMS_Input[REMSTRC100])</f>
        <v>0</v>
      </c>
      <c r="AL825" s="259">
        <f>(ASINH(FMS_Ranking4[[#This Row],[Structures Removed Raw]]))*(10)/(ASINH(AK$4))</f>
        <v>0</v>
      </c>
      <c r="AM825" s="254">
        <f>FMS_Ranking4[[#This Row],[Structures removed, ArcSinh (0-10)]]*AK$5*10</f>
        <v>0</v>
      </c>
      <c r="AN825" s="253">
        <f>_xlfn.XLOOKUP(FMS_Ranking4[[#This Row],[FMS ID]],FMS_Input[FMS_ID],FMS_Input[REMRESSTRC100])</f>
        <v>0</v>
      </c>
      <c r="AO825" s="258">
        <f>FMS_Ranking4[[#This Row],[ArcSinh Res struct removed 0-10]]*AN$5*10</f>
        <v>0</v>
      </c>
      <c r="AP825" s="254">
        <f>ASINH(FMS_Ranking4[[#This Row],[Residential Structures Removed Raw]])/AP$4*AN$5*100</f>
        <v>0</v>
      </c>
      <c r="AQ825" s="260">
        <f>(ASINH(FMS_Ranking4[[#This Row],[Residential Structures Removed Raw]]))*(10)/(ASINH(AN$4))</f>
        <v>0</v>
      </c>
      <c r="AR825" s="253">
        <f>_xlfn.XLOOKUP(FMS_Ranking4[[#This Row],[FMS ID]],FMS_Input[FMS_ID],FMS_Input[REMPOP100])</f>
        <v>0</v>
      </c>
      <c r="AS825" s="259">
        <f>(ASINH(FMS_Ranking4[[#This Row],[Removed Pop Raw]]))*(10)/(ASINH(AR$4))</f>
        <v>0</v>
      </c>
      <c r="AT825" s="263">
        <f>FMS_Ranking4[[#This Row],[Removed population, ArcSinh (0-10)]]*AR$5*10</f>
        <v>0</v>
      </c>
      <c r="AU825" s="264">
        <f>_xlfn.XLOOKUP(FMS_Ranking4[[#This Row],[FMS ID]],FMS_Input[FMS_ID],FMS_Input[REMCRITFAC100])</f>
        <v>0</v>
      </c>
      <c r="AV825" s="264">
        <f>_xlfn.XLOOKUP(FMS_Ranking4[[#This Row],[FMS ID]],FMS_Input[FMS_ID],FMS_Input[REMLWC100])</f>
        <v>0</v>
      </c>
      <c r="AW825" s="264">
        <f>_xlfn.XLOOKUP(FMS_Ranking4[[#This Row],[FMS ID]],FMS_Input[FMS_ID],FMS_Input[REMROADCLS])</f>
        <v>0</v>
      </c>
      <c r="AX825" s="264">
        <f>_xlfn.XLOOKUP(FMS_Ranking4[[#This Row],[FMS ID]],FMS_Input[FMS_ID],FMS_Input[REMFRMACRE100])</f>
        <v>0</v>
      </c>
      <c r="AY825" s="258">
        <f>_xlfn.XLOOKUP(FMS_Ranking4[[#This Row],[FMS ID]],FMS_Input[FMS_ID],FMS_Input[COSTSTRUCT])</f>
        <v>0</v>
      </c>
      <c r="AZ825" s="258">
        <f>_xlfn.XLOOKUP(FMS_Ranking4[[#This Row],[FMS ID]],FMS_Input[FMS_ID],FMS_Input[NATURE])</f>
        <v>0</v>
      </c>
      <c r="BA825" s="290">
        <f>(((FMS_Ranking4[[#This Row],[% NBS Raw]]/AZ$4)*100)*AZ$5)</f>
        <v>0</v>
      </c>
      <c r="BB825" s="251" t="str">
        <f>_xlfn.XLOOKUP(FMS_Ranking4[[#This Row],[FMS ID]],FMS_Input[FMS_ID],FMS_Input[WATER_SUP])</f>
        <v>No</v>
      </c>
      <c r="BC825" s="265">
        <f>IF(FMS_Ranking4[[#This Row],[Water Supply Raw]]="Yes",10,0)</f>
        <v>0</v>
      </c>
      <c r="BD825" s="251">
        <f>_xlfn.XLOOKUP(FMS_Ranking4[[#This Row],[FMS Type]],FMS_TYPE[FMS_Type],FMS_TYPE[Score])</f>
        <v>8</v>
      </c>
      <c r="BE825" s="267">
        <f>FMS_Ranking4[[#This Row],[FMS_Type Score]]*$BD$5*10</f>
        <v>2</v>
      </c>
      <c r="BF825"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25" s="271">
        <f>_xlfn.RANK.EQ(BF825,$BF$8:$BF$870,0)+COUNTIF($BF$8:BF825,BF825)-1</f>
        <v>825</v>
      </c>
      <c r="BH825" s="268">
        <f>(((FMS_Ranking4[[#This Row],[Structures Removed Raw]]/AK$4)*100)*AK$5)+(((FMS_Ranking4[[#This Row],[Removed Pop Raw]]/AR$4)*100)*AR$5)</f>
        <v>0</v>
      </c>
      <c r="BI82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25" s="325">
        <f>_xlfn.RANK.EQ(FMS_Ranking4[[#This Row],[Total Score 
(with linear
normalization)]],FMS_Ranking4[Total Score 
(with linear
normalization)],0)</f>
        <v>503</v>
      </c>
      <c r="BK825" s="327" t="e">
        <f>_xlfn.XLOOKUP(FMS_Ranking4[[#This Row],[FMS ID]],#REF!,#REF!)</f>
        <v>#REF!</v>
      </c>
      <c r="BL825"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25" s="330">
        <f>FMS_Ranking4[[#This Row],[ArcSinh Score Based on Normalized Reported Factors]]+FMS_Ranking4[[#This Row],[% NBS Score (Normalized)]]+(FMS_Ranking4[[#This Row],[Water Supply Score (Normalized)]]*10*$BB$5)+FMS_Ranking4[[#This Row],[FMS_Type Score Weighted]]</f>
        <v>2</v>
      </c>
      <c r="BN825" s="332">
        <f>_xlfn.RANK.EQ(FMS_Ranking4[[#This Row],[Total Score (with ArcSinh normalization of select criteria)]],FMS_Ranking4[Total Score (with ArcSinh normalization of select criteria)],0)</f>
        <v>817</v>
      </c>
      <c r="BO825" s="270" t="str">
        <f>_xlfn.XLOOKUP(FMS_Ranking4[[#This Row],[FMS ID]],FMS_Input[FMS_ID],FMS_Input[FMS_RANK_YEAR])</f>
        <v>2025 Amended Plan</v>
      </c>
      <c r="BP825" s="204" t="e">
        <f>_xlfn.XLOOKUP(FMS_Ranking4[[#This Row],[FMS ID]],Prev_Rank[FMS ID],Prev_Rank[Prev Rank])</f>
        <v>#N/A</v>
      </c>
      <c r="BQ825" s="334" t="e">
        <f>_xlfn.XLOOKUP(FMS_Ranking4[[#This Row],[FMS ID]],#REF!,#REF!)</f>
        <v>#REF!</v>
      </c>
      <c r="BR825" s="199" t="e">
        <f>SUM(#REF!,#REF!,#REF!,#REF!,#REF!,#REF!,#REF!,#REF!,#REF!,FMS_Ranking4[[#This Row],[ArcSinh Res struct removed 0-10]],#REF!)</f>
        <v>#REF!</v>
      </c>
      <c r="BS825" s="199" t="e">
        <f>FMS_Ranking4[[#This Row],[Log Score Based on Normalized Reported Factors]]+FMS_Ranking4[[#This Row],[% NBS Score (Normalized)]]+(FMS_Ranking4[[#This Row],[Water Supply Score (Normalized)]]*10*$BB$5)+(FMS_Ranking4[[#This Row],[FMS_Type Score Weighted]])</f>
        <v>#REF!</v>
      </c>
      <c r="BT825" s="200" t="e">
        <f>_xlfn.RANK.EQ(FMS_Ranking4[[#This Row],[Log Total Score]],FMS_Ranking4[Log Total Score],0)</f>
        <v>#REF!</v>
      </c>
      <c r="BU825" s="200" t="e">
        <f>_xlfn.XLOOKUP(FMS_Ranking4[[#This Row],[FMS ID]],#REF!,#REF!)</f>
        <v>#REF!</v>
      </c>
      <c r="BV825" s="200">
        <f>FMS_Ranking4[[#This Row],[Region Number]]</f>
        <v>8</v>
      </c>
      <c r="BW825" s="200">
        <f>FMS_Ranking4[[#This Row],[Rank (with ArcSinh normalization of select criteria)]]-FMS_Ranking4[[#This Row],[Rank
(with linear
normalization)]]</f>
        <v>314</v>
      </c>
      <c r="BX825" s="200" t="e">
        <f>FMS_Ranking4[[#This Row],[Log Rank]]-FMS_Ranking4[[#This Row],[Rank
(with linear
normalization)]]</f>
        <v>#REF!</v>
      </c>
      <c r="BY825" s="200" t="str">
        <f>IF(FMS_Ranking4[[#This Row],[FMS Type]]="Flood Measurement and Warning",FMS_Ranking4[[#This Row],[Rank (with ArcSinh normalization of select criteria)]],"")</f>
        <v/>
      </c>
      <c r="BZ825" s="200">
        <f>IF(FMS_Ranking4[[#This Row],[FMS Type]]="Regulatory and Guidance",FMS_Ranking4[[#This Row],[Rank (with ArcSinh normalization of select criteria)]],"")</f>
        <v>817</v>
      </c>
      <c r="CA825" s="200" t="str">
        <f>IF(FMS_Ranking4[[#This Row],[FMS Type]]="Education and Outreach",FMS_Ranking4[[#This Row],[Rank (with ArcSinh normalization of select criteria)]],"")</f>
        <v/>
      </c>
      <c r="CB825" s="200" t="str">
        <f>IF(FMS_Ranking4[[#This Row],[FMS Type]]="Property Acquisition and Structural Elevation",FMS_Ranking4[[#This Row],[Rank (with ArcSinh normalization of select criteria)]],"")</f>
        <v/>
      </c>
      <c r="CC825" s="200" t="str">
        <f>IF(FMS_Ranking4[[#This Row],[FMS Type]]="Infrastructure Projects",FMS_Ranking4[[#This Row],[Rank (with ArcSinh normalization of select criteria)]],"")</f>
        <v/>
      </c>
      <c r="CD825" s="200" t="str">
        <f>IF(FMS_Ranking4[[#This Row],[FMS Type]]="Other",FMS_Ranking4[[#This Row],[Rank (with ArcSinh normalization of select criteria)]],"")</f>
        <v/>
      </c>
    </row>
    <row r="826" spans="2:82" ht="135" x14ac:dyDescent="0.25">
      <c r="B826" s="342" t="s">
        <v>12501</v>
      </c>
      <c r="C826" s="287">
        <f>_xlfn.XLOOKUP(FMS_Ranking4[[#This Row],[FMS ID]],FMS_Input[FMS_ID],FMS_Input[RFPG_NUM])</f>
        <v>8</v>
      </c>
      <c r="D826" s="309" t="str">
        <f>_xlfn.XLOOKUP(FMS_Ranking4[[#This Row],[FMS ID]],FMS_Input[FMS_ID],FMS_Input[FMS_NAME])</f>
        <v>College Station Drainage Criteria Update</v>
      </c>
      <c r="E826" s="322" t="str">
        <f>_xlfn.XLOOKUP(FMS_Ranking4[[#This Row],[FMS ID]],FMS_Input[FMS_ID],FMS_Input[SPONSOR])</f>
        <v>08003439</v>
      </c>
      <c r="F826" s="309" t="str">
        <f>_xlfn.XLOOKUP(FMS_Ranking4[[#This Row],[FMS ID]],Sponsor[FMS_ID],Sponsor[SPONSOR NAME])</f>
        <v>College Station</v>
      </c>
      <c r="G826" s="309" t="str">
        <f>_xlfn.XLOOKUP(FMS_Ranking4[[#This Row],[FMS ID]],FMS_Input[FMS_ID],FMS_Input[FMS_DESCR])</f>
        <v>Update to reflect latest data, industry practices, and technology advancements. Including a detailed assessment of the functionality of existing detention facilities in the city and any potential improvements to the regulation of detention pond design.</v>
      </c>
      <c r="H826" s="247" t="str">
        <f>_xlfn.XLOOKUP(FMS_Ranking4[[#This Row],[FMS ID]],FMS_Input[FMS_ID],FMS_Input[FMS_TYPE])</f>
        <v>Regulatory and Guidance</v>
      </c>
      <c r="I826" s="288">
        <f>_xlfn.XLOOKUP(FMS_Ranking4[[#This Row],[FMS ID]],FMS_Input[FMS_ID],FMS_Input[NRNC_COST])</f>
        <v>350000</v>
      </c>
      <c r="J826" s="250">
        <f>_xlfn.XLOOKUP(FMS_Ranking4[[#This Row],[FMS ID]],FMS_Input[FMS_ID],FMS_Input[FMS_COST])</f>
        <v>350000</v>
      </c>
      <c r="K826" s="289" t="str">
        <f>_xlfn.XLOOKUP(FMS_Ranking4[[#This Row],[FMS ID]],FMS_Input[FMS_ID],FMS_Input[EMER_NEED])</f>
        <v>No</v>
      </c>
      <c r="L826" s="252">
        <f t="shared" si="12"/>
        <v>0</v>
      </c>
      <c r="M826" s="253">
        <f>_xlfn.XLOOKUP(FMS_Ranking4[[#This Row],[FMS ID]],FMS_Input[FMS_ID],FMS_Input[STRUCT_100])</f>
        <v>0</v>
      </c>
      <c r="N826" s="255">
        <f>(ASINH(FMS_Ranking4[[#This Row],[Structure at Risk Raw]]))*(10)/(ASINH(M$4))</f>
        <v>0</v>
      </c>
      <c r="O826" s="255">
        <f>FMS_Ranking4[[#This Row],[Structures at risk, ArcSinh (0-10)]]*M$5*10</f>
        <v>0</v>
      </c>
      <c r="P826" s="259">
        <f>_xlfn.XLOOKUP(FMS_Ranking4[[#This Row],[FMS ID]],FMS_Input[FMS_ID],FMS_Input[RES_STRUCT100])</f>
        <v>0</v>
      </c>
      <c r="Q826" s="257">
        <f>ASINH(FMS_Ranking4[[#This Row],[Res Structure Raw]])/Q$4*P$5*100</f>
        <v>0</v>
      </c>
      <c r="R826" s="259">
        <f>_xlfn.XLOOKUP(FMS_Ranking4[[#This Row],[FMS ID]],FMS_Input[FMS_ID],FMS_Input[POP100])</f>
        <v>0</v>
      </c>
      <c r="S826" s="259">
        <f>(ASINH(FMS_Ranking4[[#This Row],[Pop at Risk Raw]]))*(10)/(ASINH(R$4))</f>
        <v>0</v>
      </c>
      <c r="T826" s="257">
        <f>FMS_Ranking4[[#This Row],[Population at risk, ArcSinh (0-10)]]*R$5*10</f>
        <v>0</v>
      </c>
      <c r="U826" s="259">
        <f>_xlfn.XLOOKUP(FMS_Ranking4[[#This Row],[FMS ID]],FMS_Input[FMS_ID],FMS_Input[CRITFAC100])</f>
        <v>0</v>
      </c>
      <c r="V826" s="259">
        <f>(ASINH(FMS_Ranking4[[#This Row],[Critical Facilities Raw]]))*(10)/(ASINH(U$4))</f>
        <v>0</v>
      </c>
      <c r="W826" s="257">
        <f>FMS_Ranking4[[#This Row],[Critical facilities at risk, ArcSinh (0-10)]]*U$5*10</f>
        <v>0</v>
      </c>
      <c r="X826" s="259">
        <f>_xlfn.XLOOKUP(FMS_Ranking4[[#This Row],[FMS ID]],FMS_Input[FMS_ID],FMS_Input[LWC])</f>
        <v>0</v>
      </c>
      <c r="Y826" s="259">
        <f>(ASINH(FMS_Ranking4[[#This Row],[LWC Raw]]))*(10)/(ASINH(X$4))</f>
        <v>0</v>
      </c>
      <c r="Z826" s="257">
        <f>FMS_Ranking4[[#This Row],[LWC, ArcSInh (0-10)]]*X$5*10</f>
        <v>0</v>
      </c>
      <c r="AA826" s="259">
        <f>_xlfn.XLOOKUP(FMS_Ranking4[[#This Row],[FMS ID]],FMS_Input[FMS_ID],FMS_Input[ROADCLS])</f>
        <v>0</v>
      </c>
      <c r="AB826" s="255">
        <f>(ASINH(FMS_Ranking4[[#This Row],[Road Closures Raw]]))*(10)/(ASINH(AA$4))</f>
        <v>0</v>
      </c>
      <c r="AC826" s="255">
        <f>FMS_Ranking4[[#This Row],[Road closures, ArcSinh (0-10)]]*AA$5*10</f>
        <v>0</v>
      </c>
      <c r="AD826" s="259">
        <f>_xlfn.XLOOKUP(FMS_Ranking4[[#This Row],[FMS ID]],FMS_Input[FMS_ID],FMS_Input[ROAD_MILES100])</f>
        <v>0</v>
      </c>
      <c r="AE826" s="259">
        <f>(ASINH(FMS_Ranking4[[#This Row],[Road Miles Raw]]))*(10)/(ASINH(AD$4))</f>
        <v>0</v>
      </c>
      <c r="AF826" s="257">
        <f>FMS_Ranking4[[#This Row],[Length of roads at risk, ArcSinh (0-10)]]*AD$5*10</f>
        <v>0</v>
      </c>
      <c r="AG826" s="259">
        <f>_xlfn.XLOOKUP(FMS_Ranking4[[#This Row],[FMS ID]],FMS_Input[FMS_ID],FMS_Input[FARMACRE100])</f>
        <v>0</v>
      </c>
      <c r="AH826" s="255">
        <f>(ASINH(FMS_Ranking4[[#This Row],[Ag Land Raw]]))*(10)/(ASINH(AG$4))</f>
        <v>0</v>
      </c>
      <c r="AI826" s="254">
        <f>FMS_Ranking4[[#This Row],[Farm &amp; ranch land, ArcSinh (0-10)]]*AG$5*10</f>
        <v>0</v>
      </c>
      <c r="AJ826" s="258">
        <f>_xlfn.XLOOKUP(FMS_Ranking4[[#This Row],[FMS ID]],FMS_Input[FMS_ID],FMS_Input[REDSTRUCT100])</f>
        <v>0</v>
      </c>
      <c r="AK826" s="253">
        <f>_xlfn.XLOOKUP(FMS_Ranking4[[#This Row],[FMS ID]],FMS_Input[FMS_ID],FMS_Input[REMSTRC100])</f>
        <v>0</v>
      </c>
      <c r="AL826" s="259">
        <f>(ASINH(FMS_Ranking4[[#This Row],[Structures Removed Raw]]))*(10)/(ASINH(AK$4))</f>
        <v>0</v>
      </c>
      <c r="AM826" s="254">
        <f>FMS_Ranking4[[#This Row],[Structures removed, ArcSinh (0-10)]]*AK$5*10</f>
        <v>0</v>
      </c>
      <c r="AN826" s="253">
        <f>_xlfn.XLOOKUP(FMS_Ranking4[[#This Row],[FMS ID]],FMS_Input[FMS_ID],FMS_Input[REMRESSTRC100])</f>
        <v>0</v>
      </c>
      <c r="AO826" s="258">
        <f>FMS_Ranking4[[#This Row],[ArcSinh Res struct removed 0-10]]*AN$5*10</f>
        <v>0</v>
      </c>
      <c r="AP826" s="254">
        <f>ASINH(FMS_Ranking4[[#This Row],[Residential Structures Removed Raw]])/AP$4*AN$5*100</f>
        <v>0</v>
      </c>
      <c r="AQ826" s="260">
        <f>(ASINH(FMS_Ranking4[[#This Row],[Residential Structures Removed Raw]]))*(10)/(ASINH(AN$4))</f>
        <v>0</v>
      </c>
      <c r="AR826" s="253">
        <f>_xlfn.XLOOKUP(FMS_Ranking4[[#This Row],[FMS ID]],FMS_Input[FMS_ID],FMS_Input[REMPOP100])</f>
        <v>0</v>
      </c>
      <c r="AS826" s="259">
        <f>(ASINH(FMS_Ranking4[[#This Row],[Removed Pop Raw]]))*(10)/(ASINH(AR$4))</f>
        <v>0</v>
      </c>
      <c r="AT826" s="263">
        <f>FMS_Ranking4[[#This Row],[Removed population, ArcSinh (0-10)]]*AR$5*10</f>
        <v>0</v>
      </c>
      <c r="AU826" s="264">
        <f>_xlfn.XLOOKUP(FMS_Ranking4[[#This Row],[FMS ID]],FMS_Input[FMS_ID],FMS_Input[REMCRITFAC100])</f>
        <v>0</v>
      </c>
      <c r="AV826" s="264">
        <f>_xlfn.XLOOKUP(FMS_Ranking4[[#This Row],[FMS ID]],FMS_Input[FMS_ID],FMS_Input[REMLWC100])</f>
        <v>0</v>
      </c>
      <c r="AW826" s="264">
        <f>_xlfn.XLOOKUP(FMS_Ranking4[[#This Row],[FMS ID]],FMS_Input[FMS_ID],FMS_Input[REMROADCLS])</f>
        <v>0</v>
      </c>
      <c r="AX826" s="264">
        <f>_xlfn.XLOOKUP(FMS_Ranking4[[#This Row],[FMS ID]],FMS_Input[FMS_ID],FMS_Input[REMFRMACRE100])</f>
        <v>0</v>
      </c>
      <c r="AY826" s="258">
        <f>_xlfn.XLOOKUP(FMS_Ranking4[[#This Row],[FMS ID]],FMS_Input[FMS_ID],FMS_Input[COSTSTRUCT])</f>
        <v>0</v>
      </c>
      <c r="AZ826" s="258">
        <f>_xlfn.XLOOKUP(FMS_Ranking4[[#This Row],[FMS ID]],FMS_Input[FMS_ID],FMS_Input[NATURE])</f>
        <v>0</v>
      </c>
      <c r="BA826" s="290">
        <f>(((FMS_Ranking4[[#This Row],[% NBS Raw]]/AZ$4)*100)*AZ$5)</f>
        <v>0</v>
      </c>
      <c r="BB826" s="251" t="str">
        <f>_xlfn.XLOOKUP(FMS_Ranking4[[#This Row],[FMS ID]],FMS_Input[FMS_ID],FMS_Input[WATER_SUP])</f>
        <v>No</v>
      </c>
      <c r="BC826" s="265">
        <f>IF(FMS_Ranking4[[#This Row],[Water Supply Raw]]="Yes",10,0)</f>
        <v>0</v>
      </c>
      <c r="BD826" s="251">
        <f>_xlfn.XLOOKUP(FMS_Ranking4[[#This Row],[FMS Type]],FMS_TYPE[FMS_Type],FMS_TYPE[Score])</f>
        <v>8</v>
      </c>
      <c r="BE826" s="267">
        <f>FMS_Ranking4[[#This Row],[FMS_Type Score]]*$BD$5*10</f>
        <v>2</v>
      </c>
      <c r="BF826"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26" s="271">
        <f>_xlfn.RANK.EQ(BF826,$BF$8:$BF$870,0)+COUNTIF($BF$8:BF826,BF826)-1</f>
        <v>826</v>
      </c>
      <c r="BH826" s="268">
        <f>(((FMS_Ranking4[[#This Row],[Structures Removed Raw]]/AK$4)*100)*AK$5)+(((FMS_Ranking4[[#This Row],[Removed Pop Raw]]/AR$4)*100)*AR$5)</f>
        <v>0</v>
      </c>
      <c r="BI82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26" s="325">
        <f>_xlfn.RANK.EQ(FMS_Ranking4[[#This Row],[Total Score 
(with linear
normalization)]],FMS_Ranking4[Total Score 
(with linear
normalization)],0)</f>
        <v>503</v>
      </c>
      <c r="BK826" s="327" t="e">
        <f>_xlfn.XLOOKUP(FMS_Ranking4[[#This Row],[FMS ID]],#REF!,#REF!)</f>
        <v>#REF!</v>
      </c>
      <c r="BL826"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26" s="330">
        <f>FMS_Ranking4[[#This Row],[ArcSinh Score Based on Normalized Reported Factors]]+FMS_Ranking4[[#This Row],[% NBS Score (Normalized)]]+(FMS_Ranking4[[#This Row],[Water Supply Score (Normalized)]]*10*$BB$5)+FMS_Ranking4[[#This Row],[FMS_Type Score Weighted]]</f>
        <v>2</v>
      </c>
      <c r="BN826" s="332">
        <f>_xlfn.RANK.EQ(FMS_Ranking4[[#This Row],[Total Score (with ArcSinh normalization of select criteria)]],FMS_Ranking4[Total Score (with ArcSinh normalization of select criteria)],0)</f>
        <v>817</v>
      </c>
      <c r="BO826" s="270" t="str">
        <f>_xlfn.XLOOKUP(FMS_Ranking4[[#This Row],[FMS ID]],FMS_Input[FMS_ID],FMS_Input[FMS_RANK_YEAR])</f>
        <v>2025 Amended Plan</v>
      </c>
      <c r="BP826" s="204" t="e">
        <f>_xlfn.XLOOKUP(FMS_Ranking4[[#This Row],[FMS ID]],Prev_Rank[FMS ID],Prev_Rank[Prev Rank])</f>
        <v>#N/A</v>
      </c>
      <c r="BQ826" s="334" t="e">
        <f>_xlfn.XLOOKUP(FMS_Ranking4[[#This Row],[FMS ID]],#REF!,#REF!)</f>
        <v>#REF!</v>
      </c>
      <c r="BR826" s="199" t="e">
        <f>SUM(#REF!,#REF!,#REF!,#REF!,#REF!,#REF!,#REF!,#REF!,#REF!,FMS_Ranking4[[#This Row],[ArcSinh Res struct removed 0-10]],#REF!)</f>
        <v>#REF!</v>
      </c>
      <c r="BS826" s="199" t="e">
        <f>FMS_Ranking4[[#This Row],[Log Score Based on Normalized Reported Factors]]+FMS_Ranking4[[#This Row],[% NBS Score (Normalized)]]+(FMS_Ranking4[[#This Row],[Water Supply Score (Normalized)]]*10*$BB$5)+(FMS_Ranking4[[#This Row],[FMS_Type Score Weighted]])</f>
        <v>#REF!</v>
      </c>
      <c r="BT826" s="200" t="e">
        <f>_xlfn.RANK.EQ(FMS_Ranking4[[#This Row],[Log Total Score]],FMS_Ranking4[Log Total Score],0)</f>
        <v>#REF!</v>
      </c>
      <c r="BU826" s="200" t="e">
        <f>_xlfn.XLOOKUP(FMS_Ranking4[[#This Row],[FMS ID]],#REF!,#REF!)</f>
        <v>#REF!</v>
      </c>
      <c r="BV826" s="200">
        <f>FMS_Ranking4[[#This Row],[Region Number]]</f>
        <v>8</v>
      </c>
      <c r="BW826" s="200">
        <f>FMS_Ranking4[[#This Row],[Rank (with ArcSinh normalization of select criteria)]]-FMS_Ranking4[[#This Row],[Rank
(with linear
normalization)]]</f>
        <v>314</v>
      </c>
      <c r="BX826" s="200" t="e">
        <f>FMS_Ranking4[[#This Row],[Log Rank]]-FMS_Ranking4[[#This Row],[Rank
(with linear
normalization)]]</f>
        <v>#REF!</v>
      </c>
      <c r="BY826" s="200" t="str">
        <f>IF(FMS_Ranking4[[#This Row],[FMS Type]]="Flood Measurement and Warning",FMS_Ranking4[[#This Row],[Rank (with ArcSinh normalization of select criteria)]],"")</f>
        <v/>
      </c>
      <c r="BZ826" s="200">
        <f>IF(FMS_Ranking4[[#This Row],[FMS Type]]="Regulatory and Guidance",FMS_Ranking4[[#This Row],[Rank (with ArcSinh normalization of select criteria)]],"")</f>
        <v>817</v>
      </c>
      <c r="CA826" s="200" t="str">
        <f>IF(FMS_Ranking4[[#This Row],[FMS Type]]="Education and Outreach",FMS_Ranking4[[#This Row],[Rank (with ArcSinh normalization of select criteria)]],"")</f>
        <v/>
      </c>
      <c r="CB826" s="200" t="str">
        <f>IF(FMS_Ranking4[[#This Row],[FMS Type]]="Property Acquisition and Structural Elevation",FMS_Ranking4[[#This Row],[Rank (with ArcSinh normalization of select criteria)]],"")</f>
        <v/>
      </c>
      <c r="CC826" s="200" t="str">
        <f>IF(FMS_Ranking4[[#This Row],[FMS Type]]="Infrastructure Projects",FMS_Ranking4[[#This Row],[Rank (with ArcSinh normalization of select criteria)]],"")</f>
        <v/>
      </c>
      <c r="CD826" s="200" t="str">
        <f>IF(FMS_Ranking4[[#This Row],[FMS Type]]="Other",FMS_Ranking4[[#This Row],[Rank (with ArcSinh normalization of select criteria)]],"")</f>
        <v/>
      </c>
    </row>
    <row r="827" spans="2:82" ht="45" x14ac:dyDescent="0.25">
      <c r="B827" s="342" t="s">
        <v>12518</v>
      </c>
      <c r="C827" s="287">
        <f>_xlfn.XLOOKUP(FMS_Ranking4[[#This Row],[FMS ID]],FMS_Input[FMS_ID],FMS_Input[RFPG_NUM])</f>
        <v>8</v>
      </c>
      <c r="D827" s="309" t="str">
        <f>_xlfn.XLOOKUP(FMS_Ranking4[[#This Row],[FMS ID]],FMS_Input[FMS_ID],FMS_Input[FMS_NAME])</f>
        <v>Cedar Park Drainage Criteria Manual</v>
      </c>
      <c r="E827" s="322" t="str">
        <f>_xlfn.XLOOKUP(FMS_Ranking4[[#This Row],[FMS ID]],FMS_Input[FMS_ID],FMS_Input[SPONSOR])</f>
        <v>00003454</v>
      </c>
      <c r="F827" s="309" t="str">
        <f>_xlfn.XLOOKUP(FMS_Ranking4[[#This Row],[FMS ID]],Sponsor[FMS_ID],Sponsor[SPONSOR NAME])</f>
        <v>Cedar Park</v>
      </c>
      <c r="G827" s="309" t="str">
        <f>_xlfn.XLOOKUP(FMS_Ranking4[[#This Row],[FMS ID]],FMS_Input[FMS_ID],FMS_Input[FMS_DESCR])</f>
        <v>Creation and adoption of a draiange criteria manual for the City of Cedar Park.</v>
      </c>
      <c r="H827" s="247" t="str">
        <f>_xlfn.XLOOKUP(FMS_Ranking4[[#This Row],[FMS ID]],FMS_Input[FMS_ID],FMS_Input[FMS_TYPE])</f>
        <v>Regulatory and Guidance</v>
      </c>
      <c r="I827" s="288">
        <f>_xlfn.XLOOKUP(FMS_Ranking4[[#This Row],[FMS ID]],FMS_Input[FMS_ID],FMS_Input[NRNC_COST])</f>
        <v>350000</v>
      </c>
      <c r="J827" s="250">
        <f>_xlfn.XLOOKUP(FMS_Ranking4[[#This Row],[FMS ID]],FMS_Input[FMS_ID],FMS_Input[FMS_COST])</f>
        <v>350000</v>
      </c>
      <c r="K827" s="289" t="str">
        <f>_xlfn.XLOOKUP(FMS_Ranking4[[#This Row],[FMS ID]],FMS_Input[FMS_ID],FMS_Input[EMER_NEED])</f>
        <v>No</v>
      </c>
      <c r="L827" s="252">
        <f t="shared" si="12"/>
        <v>0</v>
      </c>
      <c r="M827" s="253">
        <f>_xlfn.XLOOKUP(FMS_Ranking4[[#This Row],[FMS ID]],FMS_Input[FMS_ID],FMS_Input[STRUCT_100])</f>
        <v>0</v>
      </c>
      <c r="N827" s="255">
        <f>(ASINH(FMS_Ranking4[[#This Row],[Structure at Risk Raw]]))*(10)/(ASINH(M$4))</f>
        <v>0</v>
      </c>
      <c r="O827" s="255">
        <f>FMS_Ranking4[[#This Row],[Structures at risk, ArcSinh (0-10)]]*M$5*10</f>
        <v>0</v>
      </c>
      <c r="P827" s="259">
        <f>_xlfn.XLOOKUP(FMS_Ranking4[[#This Row],[FMS ID]],FMS_Input[FMS_ID],FMS_Input[RES_STRUCT100])</f>
        <v>0</v>
      </c>
      <c r="Q827" s="257">
        <f>ASINH(FMS_Ranking4[[#This Row],[Res Structure Raw]])/Q$4*P$5*100</f>
        <v>0</v>
      </c>
      <c r="R827" s="259">
        <f>_xlfn.XLOOKUP(FMS_Ranking4[[#This Row],[FMS ID]],FMS_Input[FMS_ID],FMS_Input[POP100])</f>
        <v>0</v>
      </c>
      <c r="S827" s="259">
        <f>(ASINH(FMS_Ranking4[[#This Row],[Pop at Risk Raw]]))*(10)/(ASINH(R$4))</f>
        <v>0</v>
      </c>
      <c r="T827" s="257">
        <f>FMS_Ranking4[[#This Row],[Population at risk, ArcSinh (0-10)]]*R$5*10</f>
        <v>0</v>
      </c>
      <c r="U827" s="259">
        <f>_xlfn.XLOOKUP(FMS_Ranking4[[#This Row],[FMS ID]],FMS_Input[FMS_ID],FMS_Input[CRITFAC100])</f>
        <v>0</v>
      </c>
      <c r="V827" s="259">
        <f>(ASINH(FMS_Ranking4[[#This Row],[Critical Facilities Raw]]))*(10)/(ASINH(U$4))</f>
        <v>0</v>
      </c>
      <c r="W827" s="257">
        <f>FMS_Ranking4[[#This Row],[Critical facilities at risk, ArcSinh (0-10)]]*U$5*10</f>
        <v>0</v>
      </c>
      <c r="X827" s="259">
        <f>_xlfn.XLOOKUP(FMS_Ranking4[[#This Row],[FMS ID]],FMS_Input[FMS_ID],FMS_Input[LWC])</f>
        <v>0</v>
      </c>
      <c r="Y827" s="259">
        <f>(ASINH(FMS_Ranking4[[#This Row],[LWC Raw]]))*(10)/(ASINH(X$4))</f>
        <v>0</v>
      </c>
      <c r="Z827" s="257">
        <f>FMS_Ranking4[[#This Row],[LWC, ArcSInh (0-10)]]*X$5*10</f>
        <v>0</v>
      </c>
      <c r="AA827" s="259">
        <f>_xlfn.XLOOKUP(FMS_Ranking4[[#This Row],[FMS ID]],FMS_Input[FMS_ID],FMS_Input[ROADCLS])</f>
        <v>0</v>
      </c>
      <c r="AB827" s="255">
        <f>(ASINH(FMS_Ranking4[[#This Row],[Road Closures Raw]]))*(10)/(ASINH(AA$4))</f>
        <v>0</v>
      </c>
      <c r="AC827" s="255">
        <f>FMS_Ranking4[[#This Row],[Road closures, ArcSinh (0-10)]]*AA$5*10</f>
        <v>0</v>
      </c>
      <c r="AD827" s="259">
        <f>_xlfn.XLOOKUP(FMS_Ranking4[[#This Row],[FMS ID]],FMS_Input[FMS_ID],FMS_Input[ROAD_MILES100])</f>
        <v>0</v>
      </c>
      <c r="AE827" s="259">
        <f>(ASINH(FMS_Ranking4[[#This Row],[Road Miles Raw]]))*(10)/(ASINH(AD$4))</f>
        <v>0</v>
      </c>
      <c r="AF827" s="257">
        <f>FMS_Ranking4[[#This Row],[Length of roads at risk, ArcSinh (0-10)]]*AD$5*10</f>
        <v>0</v>
      </c>
      <c r="AG827" s="259">
        <f>_xlfn.XLOOKUP(FMS_Ranking4[[#This Row],[FMS ID]],FMS_Input[FMS_ID],FMS_Input[FARMACRE100])</f>
        <v>0</v>
      </c>
      <c r="AH827" s="255">
        <f>(ASINH(FMS_Ranking4[[#This Row],[Ag Land Raw]]))*(10)/(ASINH(AG$4))</f>
        <v>0</v>
      </c>
      <c r="AI827" s="254">
        <f>FMS_Ranking4[[#This Row],[Farm &amp; ranch land, ArcSinh (0-10)]]*AG$5*10</f>
        <v>0</v>
      </c>
      <c r="AJ827" s="258">
        <f>_xlfn.XLOOKUP(FMS_Ranking4[[#This Row],[FMS ID]],FMS_Input[FMS_ID],FMS_Input[REDSTRUCT100])</f>
        <v>0</v>
      </c>
      <c r="AK827" s="253">
        <f>_xlfn.XLOOKUP(FMS_Ranking4[[#This Row],[FMS ID]],FMS_Input[FMS_ID],FMS_Input[REMSTRC100])</f>
        <v>0</v>
      </c>
      <c r="AL827" s="259">
        <f>(ASINH(FMS_Ranking4[[#This Row],[Structures Removed Raw]]))*(10)/(ASINH(AK$4))</f>
        <v>0</v>
      </c>
      <c r="AM827" s="254">
        <f>FMS_Ranking4[[#This Row],[Structures removed, ArcSinh (0-10)]]*AK$5*10</f>
        <v>0</v>
      </c>
      <c r="AN827" s="253">
        <f>_xlfn.XLOOKUP(FMS_Ranking4[[#This Row],[FMS ID]],FMS_Input[FMS_ID],FMS_Input[REMRESSTRC100])</f>
        <v>0</v>
      </c>
      <c r="AO827" s="258">
        <f>FMS_Ranking4[[#This Row],[ArcSinh Res struct removed 0-10]]*AN$5*10</f>
        <v>0</v>
      </c>
      <c r="AP827" s="254">
        <f>ASINH(FMS_Ranking4[[#This Row],[Residential Structures Removed Raw]])/AP$4*AN$5*100</f>
        <v>0</v>
      </c>
      <c r="AQ827" s="260">
        <f>(ASINH(FMS_Ranking4[[#This Row],[Residential Structures Removed Raw]]))*(10)/(ASINH(AN$4))</f>
        <v>0</v>
      </c>
      <c r="AR827" s="253">
        <f>_xlfn.XLOOKUP(FMS_Ranking4[[#This Row],[FMS ID]],FMS_Input[FMS_ID],FMS_Input[REMPOP100])</f>
        <v>0</v>
      </c>
      <c r="AS827" s="259">
        <f>(ASINH(FMS_Ranking4[[#This Row],[Removed Pop Raw]]))*(10)/(ASINH(AR$4))</f>
        <v>0</v>
      </c>
      <c r="AT827" s="263">
        <f>FMS_Ranking4[[#This Row],[Removed population, ArcSinh (0-10)]]*AR$5*10</f>
        <v>0</v>
      </c>
      <c r="AU827" s="264">
        <f>_xlfn.XLOOKUP(FMS_Ranking4[[#This Row],[FMS ID]],FMS_Input[FMS_ID],FMS_Input[REMCRITFAC100])</f>
        <v>0</v>
      </c>
      <c r="AV827" s="264">
        <f>_xlfn.XLOOKUP(FMS_Ranking4[[#This Row],[FMS ID]],FMS_Input[FMS_ID],FMS_Input[REMLWC100])</f>
        <v>0</v>
      </c>
      <c r="AW827" s="264">
        <f>_xlfn.XLOOKUP(FMS_Ranking4[[#This Row],[FMS ID]],FMS_Input[FMS_ID],FMS_Input[REMROADCLS])</f>
        <v>0</v>
      </c>
      <c r="AX827" s="264">
        <f>_xlfn.XLOOKUP(FMS_Ranking4[[#This Row],[FMS ID]],FMS_Input[FMS_ID],FMS_Input[REMFRMACRE100])</f>
        <v>0</v>
      </c>
      <c r="AY827" s="258">
        <f>_xlfn.XLOOKUP(FMS_Ranking4[[#This Row],[FMS ID]],FMS_Input[FMS_ID],FMS_Input[COSTSTRUCT])</f>
        <v>0</v>
      </c>
      <c r="AZ827" s="258">
        <f>_xlfn.XLOOKUP(FMS_Ranking4[[#This Row],[FMS ID]],FMS_Input[FMS_ID],FMS_Input[NATURE])</f>
        <v>0</v>
      </c>
      <c r="BA827" s="290">
        <f>(((FMS_Ranking4[[#This Row],[% NBS Raw]]/AZ$4)*100)*AZ$5)</f>
        <v>0</v>
      </c>
      <c r="BB827" s="251" t="str">
        <f>_xlfn.XLOOKUP(FMS_Ranking4[[#This Row],[FMS ID]],FMS_Input[FMS_ID],FMS_Input[WATER_SUP])</f>
        <v>No</v>
      </c>
      <c r="BC827" s="265">
        <f>IF(FMS_Ranking4[[#This Row],[Water Supply Raw]]="Yes",10,0)</f>
        <v>0</v>
      </c>
      <c r="BD827" s="251">
        <f>_xlfn.XLOOKUP(FMS_Ranking4[[#This Row],[FMS Type]],FMS_TYPE[FMS_Type],FMS_TYPE[Score])</f>
        <v>8</v>
      </c>
      <c r="BE827" s="267">
        <f>FMS_Ranking4[[#This Row],[FMS_Type Score]]*$BD$5*10</f>
        <v>2</v>
      </c>
      <c r="BF82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27" s="271">
        <f>_xlfn.RANK.EQ(BF827,$BF$8:$BF$870,0)+COUNTIF($BF$8:BF827,BF827)-1</f>
        <v>827</v>
      </c>
      <c r="BH827" s="268">
        <f>(((FMS_Ranking4[[#This Row],[Structures Removed Raw]]/AK$4)*100)*AK$5)+(((FMS_Ranking4[[#This Row],[Removed Pop Raw]]/AR$4)*100)*AR$5)</f>
        <v>0</v>
      </c>
      <c r="BI82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27" s="325">
        <f>_xlfn.RANK.EQ(FMS_Ranking4[[#This Row],[Total Score 
(with linear
normalization)]],FMS_Ranking4[Total Score 
(with linear
normalization)],0)</f>
        <v>503</v>
      </c>
      <c r="BK827" s="327" t="e">
        <f>_xlfn.XLOOKUP(FMS_Ranking4[[#This Row],[FMS ID]],#REF!,#REF!)</f>
        <v>#REF!</v>
      </c>
      <c r="BL82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27" s="330">
        <f>FMS_Ranking4[[#This Row],[ArcSinh Score Based on Normalized Reported Factors]]+FMS_Ranking4[[#This Row],[% NBS Score (Normalized)]]+(FMS_Ranking4[[#This Row],[Water Supply Score (Normalized)]]*10*$BB$5)+FMS_Ranking4[[#This Row],[FMS_Type Score Weighted]]</f>
        <v>2</v>
      </c>
      <c r="BN827" s="332">
        <f>_xlfn.RANK.EQ(FMS_Ranking4[[#This Row],[Total Score (with ArcSinh normalization of select criteria)]],FMS_Ranking4[Total Score (with ArcSinh normalization of select criteria)],0)</f>
        <v>817</v>
      </c>
      <c r="BO827" s="270" t="str">
        <f>_xlfn.XLOOKUP(FMS_Ranking4[[#This Row],[FMS ID]],FMS_Input[FMS_ID],FMS_Input[FMS_RANK_YEAR])</f>
        <v>2025 Amended Plan</v>
      </c>
      <c r="BP827" s="204" t="e">
        <f>_xlfn.XLOOKUP(FMS_Ranking4[[#This Row],[FMS ID]],Prev_Rank[FMS ID],Prev_Rank[Prev Rank])</f>
        <v>#N/A</v>
      </c>
      <c r="BQ827" s="334" t="e">
        <f>_xlfn.XLOOKUP(FMS_Ranking4[[#This Row],[FMS ID]],#REF!,#REF!)</f>
        <v>#REF!</v>
      </c>
      <c r="BR827" s="199" t="e">
        <f>SUM(#REF!,#REF!,#REF!,#REF!,#REF!,#REF!,#REF!,#REF!,#REF!,FMS_Ranking4[[#This Row],[ArcSinh Res struct removed 0-10]],#REF!)</f>
        <v>#REF!</v>
      </c>
      <c r="BS827" s="199" t="e">
        <f>FMS_Ranking4[[#This Row],[Log Score Based on Normalized Reported Factors]]+FMS_Ranking4[[#This Row],[% NBS Score (Normalized)]]+(FMS_Ranking4[[#This Row],[Water Supply Score (Normalized)]]*10*$BB$5)+(FMS_Ranking4[[#This Row],[FMS_Type Score Weighted]])</f>
        <v>#REF!</v>
      </c>
      <c r="BT827" s="200" t="e">
        <f>_xlfn.RANK.EQ(FMS_Ranking4[[#This Row],[Log Total Score]],FMS_Ranking4[Log Total Score],0)</f>
        <v>#REF!</v>
      </c>
      <c r="BU827" s="200" t="e">
        <f>_xlfn.XLOOKUP(FMS_Ranking4[[#This Row],[FMS ID]],#REF!,#REF!)</f>
        <v>#REF!</v>
      </c>
      <c r="BV827" s="200">
        <f>FMS_Ranking4[[#This Row],[Region Number]]</f>
        <v>8</v>
      </c>
      <c r="BW827" s="200">
        <f>FMS_Ranking4[[#This Row],[Rank (with ArcSinh normalization of select criteria)]]-FMS_Ranking4[[#This Row],[Rank
(with linear
normalization)]]</f>
        <v>314</v>
      </c>
      <c r="BX827" s="200" t="e">
        <f>FMS_Ranking4[[#This Row],[Log Rank]]-FMS_Ranking4[[#This Row],[Rank
(with linear
normalization)]]</f>
        <v>#REF!</v>
      </c>
      <c r="BY827" s="200" t="str">
        <f>IF(FMS_Ranking4[[#This Row],[FMS Type]]="Flood Measurement and Warning",FMS_Ranking4[[#This Row],[Rank (with ArcSinh normalization of select criteria)]],"")</f>
        <v/>
      </c>
      <c r="BZ827" s="200">
        <f>IF(FMS_Ranking4[[#This Row],[FMS Type]]="Regulatory and Guidance",FMS_Ranking4[[#This Row],[Rank (with ArcSinh normalization of select criteria)]],"")</f>
        <v>817</v>
      </c>
      <c r="CA827" s="200" t="str">
        <f>IF(FMS_Ranking4[[#This Row],[FMS Type]]="Education and Outreach",FMS_Ranking4[[#This Row],[Rank (with ArcSinh normalization of select criteria)]],"")</f>
        <v/>
      </c>
      <c r="CB827" s="200" t="str">
        <f>IF(FMS_Ranking4[[#This Row],[FMS Type]]="Property Acquisition and Structural Elevation",FMS_Ranking4[[#This Row],[Rank (with ArcSinh normalization of select criteria)]],"")</f>
        <v/>
      </c>
      <c r="CC827" s="200" t="str">
        <f>IF(FMS_Ranking4[[#This Row],[FMS Type]]="Infrastructure Projects",FMS_Ranking4[[#This Row],[Rank (with ArcSinh normalization of select criteria)]],"")</f>
        <v/>
      </c>
      <c r="CD827" s="200" t="str">
        <f>IF(FMS_Ranking4[[#This Row],[FMS Type]]="Other",FMS_Ranking4[[#This Row],[Rank (with ArcSinh normalization of select criteria)]],"")</f>
        <v/>
      </c>
    </row>
    <row r="828" spans="2:82" ht="75" x14ac:dyDescent="0.25">
      <c r="B828" s="342" t="s">
        <v>12541</v>
      </c>
      <c r="C828" s="287">
        <f>_xlfn.XLOOKUP(FMS_Ranking4[[#This Row],[FMS ID]],FMS_Input[FMS_ID],FMS_Input[RFPG_NUM])</f>
        <v>8</v>
      </c>
      <c r="D828" s="309" t="str">
        <f>_xlfn.XLOOKUP(FMS_Ranking4[[#This Row],[FMS ID]],FMS_Input[FMS_ID],FMS_Input[FMS_NAME])</f>
        <v>Williamson County Drainage Criteria Manual</v>
      </c>
      <c r="E828" s="322" t="str">
        <f>_xlfn.XLOOKUP(FMS_Ranking4[[#This Row],[FMS ID]],FMS_Input[FMS_ID],FMS_Input[SPONSOR])</f>
        <v>00000043</v>
      </c>
      <c r="F828" s="309" t="str">
        <f>_xlfn.XLOOKUP(FMS_Ranking4[[#This Row],[FMS ID]],Sponsor[FMS_ID],Sponsor[SPONSOR NAME])</f>
        <v>Williamson</v>
      </c>
      <c r="G828" s="309" t="str">
        <f>_xlfn.XLOOKUP(FMS_Ranking4[[#This Row],[FMS ID]],FMS_Input[FMS_ID],FMS_Input[FMS_DESCR])</f>
        <v xml:space="preserve">Update of the County drainage criteria manual, including an assessment of guidelines pertaining to regional detention. </v>
      </c>
      <c r="H828" s="247" t="str">
        <f>_xlfn.XLOOKUP(FMS_Ranking4[[#This Row],[FMS ID]],FMS_Input[FMS_ID],FMS_Input[FMS_TYPE])</f>
        <v>Regulatory and Guidance</v>
      </c>
      <c r="I828" s="288">
        <f>_xlfn.XLOOKUP(FMS_Ranking4[[#This Row],[FMS ID]],FMS_Input[FMS_ID],FMS_Input[NRNC_COST])</f>
        <v>350000</v>
      </c>
      <c r="J828" s="250">
        <f>_xlfn.XLOOKUP(FMS_Ranking4[[#This Row],[FMS ID]],FMS_Input[FMS_ID],FMS_Input[FMS_COST])</f>
        <v>350000</v>
      </c>
      <c r="K828" s="289" t="str">
        <f>_xlfn.XLOOKUP(FMS_Ranking4[[#This Row],[FMS ID]],FMS_Input[FMS_ID],FMS_Input[EMER_NEED])</f>
        <v>No</v>
      </c>
      <c r="L828" s="252">
        <f t="shared" si="12"/>
        <v>0</v>
      </c>
      <c r="M828" s="253">
        <f>_xlfn.XLOOKUP(FMS_Ranking4[[#This Row],[FMS ID]],FMS_Input[FMS_ID],FMS_Input[STRUCT_100])</f>
        <v>0</v>
      </c>
      <c r="N828" s="255">
        <f>(ASINH(FMS_Ranking4[[#This Row],[Structure at Risk Raw]]))*(10)/(ASINH(M$4))</f>
        <v>0</v>
      </c>
      <c r="O828" s="255">
        <f>FMS_Ranking4[[#This Row],[Structures at risk, ArcSinh (0-10)]]*M$5*10</f>
        <v>0</v>
      </c>
      <c r="P828" s="259">
        <f>_xlfn.XLOOKUP(FMS_Ranking4[[#This Row],[FMS ID]],FMS_Input[FMS_ID],FMS_Input[RES_STRUCT100])</f>
        <v>0</v>
      </c>
      <c r="Q828" s="257">
        <f>ASINH(FMS_Ranking4[[#This Row],[Res Structure Raw]])/Q$4*P$5*100</f>
        <v>0</v>
      </c>
      <c r="R828" s="259">
        <f>_xlfn.XLOOKUP(FMS_Ranking4[[#This Row],[FMS ID]],FMS_Input[FMS_ID],FMS_Input[POP100])</f>
        <v>0</v>
      </c>
      <c r="S828" s="259">
        <f>(ASINH(FMS_Ranking4[[#This Row],[Pop at Risk Raw]]))*(10)/(ASINH(R$4))</f>
        <v>0</v>
      </c>
      <c r="T828" s="257">
        <f>FMS_Ranking4[[#This Row],[Population at risk, ArcSinh (0-10)]]*R$5*10</f>
        <v>0</v>
      </c>
      <c r="U828" s="259">
        <f>_xlfn.XLOOKUP(FMS_Ranking4[[#This Row],[FMS ID]],FMS_Input[FMS_ID],FMS_Input[CRITFAC100])</f>
        <v>0</v>
      </c>
      <c r="V828" s="259">
        <f>(ASINH(FMS_Ranking4[[#This Row],[Critical Facilities Raw]]))*(10)/(ASINH(U$4))</f>
        <v>0</v>
      </c>
      <c r="W828" s="257">
        <f>FMS_Ranking4[[#This Row],[Critical facilities at risk, ArcSinh (0-10)]]*U$5*10</f>
        <v>0</v>
      </c>
      <c r="X828" s="259">
        <f>_xlfn.XLOOKUP(FMS_Ranking4[[#This Row],[FMS ID]],FMS_Input[FMS_ID],FMS_Input[LWC])</f>
        <v>0</v>
      </c>
      <c r="Y828" s="259">
        <f>(ASINH(FMS_Ranking4[[#This Row],[LWC Raw]]))*(10)/(ASINH(X$4))</f>
        <v>0</v>
      </c>
      <c r="Z828" s="257">
        <f>FMS_Ranking4[[#This Row],[LWC, ArcSInh (0-10)]]*X$5*10</f>
        <v>0</v>
      </c>
      <c r="AA828" s="259">
        <f>_xlfn.XLOOKUP(FMS_Ranking4[[#This Row],[FMS ID]],FMS_Input[FMS_ID],FMS_Input[ROADCLS])</f>
        <v>0</v>
      </c>
      <c r="AB828" s="255">
        <f>(ASINH(FMS_Ranking4[[#This Row],[Road Closures Raw]]))*(10)/(ASINH(AA$4))</f>
        <v>0</v>
      </c>
      <c r="AC828" s="255">
        <f>FMS_Ranking4[[#This Row],[Road closures, ArcSinh (0-10)]]*AA$5*10</f>
        <v>0</v>
      </c>
      <c r="AD828" s="259">
        <f>_xlfn.XLOOKUP(FMS_Ranking4[[#This Row],[FMS ID]],FMS_Input[FMS_ID],FMS_Input[ROAD_MILES100])</f>
        <v>0</v>
      </c>
      <c r="AE828" s="259">
        <f>(ASINH(FMS_Ranking4[[#This Row],[Road Miles Raw]]))*(10)/(ASINH(AD$4))</f>
        <v>0</v>
      </c>
      <c r="AF828" s="257">
        <f>FMS_Ranking4[[#This Row],[Length of roads at risk, ArcSinh (0-10)]]*AD$5*10</f>
        <v>0</v>
      </c>
      <c r="AG828" s="259">
        <f>_xlfn.XLOOKUP(FMS_Ranking4[[#This Row],[FMS ID]],FMS_Input[FMS_ID],FMS_Input[FARMACRE100])</f>
        <v>0</v>
      </c>
      <c r="AH828" s="255">
        <f>(ASINH(FMS_Ranking4[[#This Row],[Ag Land Raw]]))*(10)/(ASINH(AG$4))</f>
        <v>0</v>
      </c>
      <c r="AI828" s="254">
        <f>FMS_Ranking4[[#This Row],[Farm &amp; ranch land, ArcSinh (0-10)]]*AG$5*10</f>
        <v>0</v>
      </c>
      <c r="AJ828" s="258">
        <f>_xlfn.XLOOKUP(FMS_Ranking4[[#This Row],[FMS ID]],FMS_Input[FMS_ID],FMS_Input[REDSTRUCT100])</f>
        <v>0</v>
      </c>
      <c r="AK828" s="253">
        <f>_xlfn.XLOOKUP(FMS_Ranking4[[#This Row],[FMS ID]],FMS_Input[FMS_ID],FMS_Input[REMSTRC100])</f>
        <v>0</v>
      </c>
      <c r="AL828" s="259">
        <f>(ASINH(FMS_Ranking4[[#This Row],[Structures Removed Raw]]))*(10)/(ASINH(AK$4))</f>
        <v>0</v>
      </c>
      <c r="AM828" s="254">
        <f>FMS_Ranking4[[#This Row],[Structures removed, ArcSinh (0-10)]]*AK$5*10</f>
        <v>0</v>
      </c>
      <c r="AN828" s="253">
        <f>_xlfn.XLOOKUP(FMS_Ranking4[[#This Row],[FMS ID]],FMS_Input[FMS_ID],FMS_Input[REMRESSTRC100])</f>
        <v>0</v>
      </c>
      <c r="AO828" s="258">
        <f>FMS_Ranking4[[#This Row],[ArcSinh Res struct removed 0-10]]*AN$5*10</f>
        <v>0</v>
      </c>
      <c r="AP828" s="254">
        <f>ASINH(FMS_Ranking4[[#This Row],[Residential Structures Removed Raw]])/AP$4*AN$5*100</f>
        <v>0</v>
      </c>
      <c r="AQ828" s="260">
        <f>(ASINH(FMS_Ranking4[[#This Row],[Residential Structures Removed Raw]]))*(10)/(ASINH(AN$4))</f>
        <v>0</v>
      </c>
      <c r="AR828" s="253">
        <f>_xlfn.XLOOKUP(FMS_Ranking4[[#This Row],[FMS ID]],FMS_Input[FMS_ID],FMS_Input[REMPOP100])</f>
        <v>0</v>
      </c>
      <c r="AS828" s="259">
        <f>(ASINH(FMS_Ranking4[[#This Row],[Removed Pop Raw]]))*(10)/(ASINH(AR$4))</f>
        <v>0</v>
      </c>
      <c r="AT828" s="263">
        <f>FMS_Ranking4[[#This Row],[Removed population, ArcSinh (0-10)]]*AR$5*10</f>
        <v>0</v>
      </c>
      <c r="AU828" s="264">
        <f>_xlfn.XLOOKUP(FMS_Ranking4[[#This Row],[FMS ID]],FMS_Input[FMS_ID],FMS_Input[REMCRITFAC100])</f>
        <v>0</v>
      </c>
      <c r="AV828" s="264">
        <f>_xlfn.XLOOKUP(FMS_Ranking4[[#This Row],[FMS ID]],FMS_Input[FMS_ID],FMS_Input[REMLWC100])</f>
        <v>0</v>
      </c>
      <c r="AW828" s="264">
        <f>_xlfn.XLOOKUP(FMS_Ranking4[[#This Row],[FMS ID]],FMS_Input[FMS_ID],FMS_Input[REMROADCLS])</f>
        <v>0</v>
      </c>
      <c r="AX828" s="264">
        <f>_xlfn.XLOOKUP(FMS_Ranking4[[#This Row],[FMS ID]],FMS_Input[FMS_ID],FMS_Input[REMFRMACRE100])</f>
        <v>0</v>
      </c>
      <c r="AY828" s="258">
        <f>_xlfn.XLOOKUP(FMS_Ranking4[[#This Row],[FMS ID]],FMS_Input[FMS_ID],FMS_Input[COSTSTRUCT])</f>
        <v>0</v>
      </c>
      <c r="AZ828" s="258">
        <f>_xlfn.XLOOKUP(FMS_Ranking4[[#This Row],[FMS ID]],FMS_Input[FMS_ID],FMS_Input[NATURE])</f>
        <v>0</v>
      </c>
      <c r="BA828" s="290">
        <f>(((FMS_Ranking4[[#This Row],[% NBS Raw]]/AZ$4)*100)*AZ$5)</f>
        <v>0</v>
      </c>
      <c r="BB828" s="251" t="str">
        <f>_xlfn.XLOOKUP(FMS_Ranking4[[#This Row],[FMS ID]],FMS_Input[FMS_ID],FMS_Input[WATER_SUP])</f>
        <v>No</v>
      </c>
      <c r="BC828" s="265">
        <f>IF(FMS_Ranking4[[#This Row],[Water Supply Raw]]="Yes",10,0)</f>
        <v>0</v>
      </c>
      <c r="BD828" s="251">
        <f>_xlfn.XLOOKUP(FMS_Ranking4[[#This Row],[FMS Type]],FMS_TYPE[FMS_Type],FMS_TYPE[Score])</f>
        <v>8</v>
      </c>
      <c r="BE828" s="267">
        <f>FMS_Ranking4[[#This Row],[FMS_Type Score]]*$BD$5*10</f>
        <v>2</v>
      </c>
      <c r="BF82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28" s="271">
        <f>_xlfn.RANK.EQ(BF828,$BF$8:$BF$870,0)+COUNTIF($BF$8:BF828,BF828)-1</f>
        <v>828</v>
      </c>
      <c r="BH828" s="268">
        <f>(((FMS_Ranking4[[#This Row],[Structures Removed Raw]]/AK$4)*100)*AK$5)+(((FMS_Ranking4[[#This Row],[Removed Pop Raw]]/AR$4)*100)*AR$5)</f>
        <v>0</v>
      </c>
      <c r="BI82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28" s="325">
        <f>_xlfn.RANK.EQ(FMS_Ranking4[[#This Row],[Total Score 
(with linear
normalization)]],FMS_Ranking4[Total Score 
(with linear
normalization)],0)</f>
        <v>503</v>
      </c>
      <c r="BK828" s="327" t="e">
        <f>_xlfn.XLOOKUP(FMS_Ranking4[[#This Row],[FMS ID]],#REF!,#REF!)</f>
        <v>#REF!</v>
      </c>
      <c r="BL82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28" s="330">
        <f>FMS_Ranking4[[#This Row],[ArcSinh Score Based on Normalized Reported Factors]]+FMS_Ranking4[[#This Row],[% NBS Score (Normalized)]]+(FMS_Ranking4[[#This Row],[Water Supply Score (Normalized)]]*10*$BB$5)+FMS_Ranking4[[#This Row],[FMS_Type Score Weighted]]</f>
        <v>2</v>
      </c>
      <c r="BN828" s="332">
        <f>_xlfn.RANK.EQ(FMS_Ranking4[[#This Row],[Total Score (with ArcSinh normalization of select criteria)]],FMS_Ranking4[Total Score (with ArcSinh normalization of select criteria)],0)</f>
        <v>817</v>
      </c>
      <c r="BO828" s="270" t="str">
        <f>_xlfn.XLOOKUP(FMS_Ranking4[[#This Row],[FMS ID]],FMS_Input[FMS_ID],FMS_Input[FMS_RANK_YEAR])</f>
        <v>2025 Amended Plan</v>
      </c>
      <c r="BP828" s="204" t="e">
        <f>_xlfn.XLOOKUP(FMS_Ranking4[[#This Row],[FMS ID]],Prev_Rank[FMS ID],Prev_Rank[Prev Rank])</f>
        <v>#N/A</v>
      </c>
      <c r="BQ828" s="334" t="e">
        <f>_xlfn.XLOOKUP(FMS_Ranking4[[#This Row],[FMS ID]],#REF!,#REF!)</f>
        <v>#REF!</v>
      </c>
      <c r="BR828" s="199" t="e">
        <f>SUM(#REF!,#REF!,#REF!,#REF!,#REF!,#REF!,#REF!,#REF!,#REF!,FMS_Ranking4[[#This Row],[ArcSinh Res struct removed 0-10]],#REF!)</f>
        <v>#REF!</v>
      </c>
      <c r="BS828" s="199" t="e">
        <f>FMS_Ranking4[[#This Row],[Log Score Based on Normalized Reported Factors]]+FMS_Ranking4[[#This Row],[% NBS Score (Normalized)]]+(FMS_Ranking4[[#This Row],[Water Supply Score (Normalized)]]*10*$BB$5)+(FMS_Ranking4[[#This Row],[FMS_Type Score Weighted]])</f>
        <v>#REF!</v>
      </c>
      <c r="BT828" s="200" t="e">
        <f>_xlfn.RANK.EQ(FMS_Ranking4[[#This Row],[Log Total Score]],FMS_Ranking4[Log Total Score],0)</f>
        <v>#REF!</v>
      </c>
      <c r="BU828" s="200" t="e">
        <f>_xlfn.XLOOKUP(FMS_Ranking4[[#This Row],[FMS ID]],#REF!,#REF!)</f>
        <v>#REF!</v>
      </c>
      <c r="BV828" s="200">
        <f>FMS_Ranking4[[#This Row],[Region Number]]</f>
        <v>8</v>
      </c>
      <c r="BW828" s="200">
        <f>FMS_Ranking4[[#This Row],[Rank (with ArcSinh normalization of select criteria)]]-FMS_Ranking4[[#This Row],[Rank
(with linear
normalization)]]</f>
        <v>314</v>
      </c>
      <c r="BX828" s="200" t="e">
        <f>FMS_Ranking4[[#This Row],[Log Rank]]-FMS_Ranking4[[#This Row],[Rank
(with linear
normalization)]]</f>
        <v>#REF!</v>
      </c>
      <c r="BY828" s="200" t="str">
        <f>IF(FMS_Ranking4[[#This Row],[FMS Type]]="Flood Measurement and Warning",FMS_Ranking4[[#This Row],[Rank (with ArcSinh normalization of select criteria)]],"")</f>
        <v/>
      </c>
      <c r="BZ828" s="200">
        <f>IF(FMS_Ranking4[[#This Row],[FMS Type]]="Regulatory and Guidance",FMS_Ranking4[[#This Row],[Rank (with ArcSinh normalization of select criteria)]],"")</f>
        <v>817</v>
      </c>
      <c r="CA828" s="200" t="str">
        <f>IF(FMS_Ranking4[[#This Row],[FMS Type]]="Education and Outreach",FMS_Ranking4[[#This Row],[Rank (with ArcSinh normalization of select criteria)]],"")</f>
        <v/>
      </c>
      <c r="CB828" s="200" t="str">
        <f>IF(FMS_Ranking4[[#This Row],[FMS Type]]="Property Acquisition and Structural Elevation",FMS_Ranking4[[#This Row],[Rank (with ArcSinh normalization of select criteria)]],"")</f>
        <v/>
      </c>
      <c r="CC828" s="200" t="str">
        <f>IF(FMS_Ranking4[[#This Row],[FMS Type]]="Infrastructure Projects",FMS_Ranking4[[#This Row],[Rank (with ArcSinh normalization of select criteria)]],"")</f>
        <v/>
      </c>
      <c r="CD828" s="200" t="str">
        <f>IF(FMS_Ranking4[[#This Row],[FMS Type]]="Other",FMS_Ranking4[[#This Row],[Rank (with ArcSinh normalization of select criteria)]],"")</f>
        <v/>
      </c>
    </row>
    <row r="829" spans="2:82" ht="30" x14ac:dyDescent="0.25">
      <c r="B829" s="342" t="s">
        <v>12532</v>
      </c>
      <c r="C829" s="287">
        <f>_xlfn.XLOOKUP(FMS_Ranking4[[#This Row],[FMS ID]],FMS_Input[FMS_ID],FMS_Input[RFPG_NUM])</f>
        <v>8</v>
      </c>
      <c r="D829" s="309" t="str">
        <f>_xlfn.XLOOKUP(FMS_Ranking4[[#This Row],[FMS ID]],FMS_Input[FMS_ID],FMS_Input[FMS_NAME])</f>
        <v>Community Rating System Application</v>
      </c>
      <c r="E829" s="322" t="str">
        <f>_xlfn.XLOOKUP(FMS_Ranking4[[#This Row],[FMS ID]],FMS_Input[FMS_ID],FMS_Input[SPONSOR])</f>
        <v>08002914</v>
      </c>
      <c r="F829" s="309" t="str">
        <f>_xlfn.XLOOKUP(FMS_Ranking4[[#This Row],[FMS ID]],Sponsor[FMS_ID],Sponsor[SPONSOR NAME])</f>
        <v>Waco</v>
      </c>
      <c r="G829" s="309" t="str">
        <f>_xlfn.XLOOKUP(FMS_Ranking4[[#This Row],[FMS ID]],FMS_Input[FMS_ID],FMS_Input[FMS_DESCR])</f>
        <v>Prepare and submit City's CRS application.</v>
      </c>
      <c r="H829" s="247" t="str">
        <f>_xlfn.XLOOKUP(FMS_Ranking4[[#This Row],[FMS ID]],FMS_Input[FMS_ID],FMS_Input[FMS_TYPE])</f>
        <v>Regulatory and Guidance</v>
      </c>
      <c r="I829" s="288">
        <f>_xlfn.XLOOKUP(FMS_Ranking4[[#This Row],[FMS ID]],FMS_Input[FMS_ID],FMS_Input[NRNC_COST])</f>
        <v>300000</v>
      </c>
      <c r="J829" s="250">
        <f>_xlfn.XLOOKUP(FMS_Ranking4[[#This Row],[FMS ID]],FMS_Input[FMS_ID],FMS_Input[FMS_COST])</f>
        <v>300000</v>
      </c>
      <c r="K829" s="289" t="str">
        <f>_xlfn.XLOOKUP(FMS_Ranking4[[#This Row],[FMS ID]],FMS_Input[FMS_ID],FMS_Input[EMER_NEED])</f>
        <v>No</v>
      </c>
      <c r="L829" s="252">
        <f t="shared" si="12"/>
        <v>0</v>
      </c>
      <c r="M829" s="253">
        <f>_xlfn.XLOOKUP(FMS_Ranking4[[#This Row],[FMS ID]],FMS_Input[FMS_ID],FMS_Input[STRUCT_100])</f>
        <v>0</v>
      </c>
      <c r="N829" s="255">
        <f>(ASINH(FMS_Ranking4[[#This Row],[Structure at Risk Raw]]))*(10)/(ASINH(M$4))</f>
        <v>0</v>
      </c>
      <c r="O829" s="255">
        <f>FMS_Ranking4[[#This Row],[Structures at risk, ArcSinh (0-10)]]*M$5*10</f>
        <v>0</v>
      </c>
      <c r="P829" s="259">
        <f>_xlfn.XLOOKUP(FMS_Ranking4[[#This Row],[FMS ID]],FMS_Input[FMS_ID],FMS_Input[RES_STRUCT100])</f>
        <v>0</v>
      </c>
      <c r="Q829" s="257">
        <f>ASINH(FMS_Ranking4[[#This Row],[Res Structure Raw]])/Q$4*P$5*100</f>
        <v>0</v>
      </c>
      <c r="R829" s="259">
        <f>_xlfn.XLOOKUP(FMS_Ranking4[[#This Row],[FMS ID]],FMS_Input[FMS_ID],FMS_Input[POP100])</f>
        <v>0</v>
      </c>
      <c r="S829" s="259">
        <f>(ASINH(FMS_Ranking4[[#This Row],[Pop at Risk Raw]]))*(10)/(ASINH(R$4))</f>
        <v>0</v>
      </c>
      <c r="T829" s="257">
        <f>FMS_Ranking4[[#This Row],[Population at risk, ArcSinh (0-10)]]*R$5*10</f>
        <v>0</v>
      </c>
      <c r="U829" s="259">
        <f>_xlfn.XLOOKUP(FMS_Ranking4[[#This Row],[FMS ID]],FMS_Input[FMS_ID],FMS_Input[CRITFAC100])</f>
        <v>0</v>
      </c>
      <c r="V829" s="259">
        <f>(ASINH(FMS_Ranking4[[#This Row],[Critical Facilities Raw]]))*(10)/(ASINH(U$4))</f>
        <v>0</v>
      </c>
      <c r="W829" s="257">
        <f>FMS_Ranking4[[#This Row],[Critical facilities at risk, ArcSinh (0-10)]]*U$5*10</f>
        <v>0</v>
      </c>
      <c r="X829" s="259">
        <f>_xlfn.XLOOKUP(FMS_Ranking4[[#This Row],[FMS ID]],FMS_Input[FMS_ID],FMS_Input[LWC])</f>
        <v>0</v>
      </c>
      <c r="Y829" s="259">
        <f>(ASINH(FMS_Ranking4[[#This Row],[LWC Raw]]))*(10)/(ASINH(X$4))</f>
        <v>0</v>
      </c>
      <c r="Z829" s="257">
        <f>FMS_Ranking4[[#This Row],[LWC, ArcSInh (0-10)]]*X$5*10</f>
        <v>0</v>
      </c>
      <c r="AA829" s="259">
        <f>_xlfn.XLOOKUP(FMS_Ranking4[[#This Row],[FMS ID]],FMS_Input[FMS_ID],FMS_Input[ROADCLS])</f>
        <v>0</v>
      </c>
      <c r="AB829" s="255">
        <f>(ASINH(FMS_Ranking4[[#This Row],[Road Closures Raw]]))*(10)/(ASINH(AA$4))</f>
        <v>0</v>
      </c>
      <c r="AC829" s="255">
        <f>FMS_Ranking4[[#This Row],[Road closures, ArcSinh (0-10)]]*AA$5*10</f>
        <v>0</v>
      </c>
      <c r="AD829" s="259">
        <f>_xlfn.XLOOKUP(FMS_Ranking4[[#This Row],[FMS ID]],FMS_Input[FMS_ID],FMS_Input[ROAD_MILES100])</f>
        <v>0</v>
      </c>
      <c r="AE829" s="259">
        <f>(ASINH(FMS_Ranking4[[#This Row],[Road Miles Raw]]))*(10)/(ASINH(AD$4))</f>
        <v>0</v>
      </c>
      <c r="AF829" s="257">
        <f>FMS_Ranking4[[#This Row],[Length of roads at risk, ArcSinh (0-10)]]*AD$5*10</f>
        <v>0</v>
      </c>
      <c r="AG829" s="259">
        <f>_xlfn.XLOOKUP(FMS_Ranking4[[#This Row],[FMS ID]],FMS_Input[FMS_ID],FMS_Input[FARMACRE100])</f>
        <v>0</v>
      </c>
      <c r="AH829" s="255">
        <f>(ASINH(FMS_Ranking4[[#This Row],[Ag Land Raw]]))*(10)/(ASINH(AG$4))</f>
        <v>0</v>
      </c>
      <c r="AI829" s="254">
        <f>FMS_Ranking4[[#This Row],[Farm &amp; ranch land, ArcSinh (0-10)]]*AG$5*10</f>
        <v>0</v>
      </c>
      <c r="AJ829" s="258">
        <f>_xlfn.XLOOKUP(FMS_Ranking4[[#This Row],[FMS ID]],FMS_Input[FMS_ID],FMS_Input[REDSTRUCT100])</f>
        <v>0</v>
      </c>
      <c r="AK829" s="253">
        <f>_xlfn.XLOOKUP(FMS_Ranking4[[#This Row],[FMS ID]],FMS_Input[FMS_ID],FMS_Input[REMSTRC100])</f>
        <v>0</v>
      </c>
      <c r="AL829" s="259">
        <f>(ASINH(FMS_Ranking4[[#This Row],[Structures Removed Raw]]))*(10)/(ASINH(AK$4))</f>
        <v>0</v>
      </c>
      <c r="AM829" s="254">
        <f>FMS_Ranking4[[#This Row],[Structures removed, ArcSinh (0-10)]]*AK$5*10</f>
        <v>0</v>
      </c>
      <c r="AN829" s="253">
        <f>_xlfn.XLOOKUP(FMS_Ranking4[[#This Row],[FMS ID]],FMS_Input[FMS_ID],FMS_Input[REMRESSTRC100])</f>
        <v>0</v>
      </c>
      <c r="AO829" s="258">
        <f>FMS_Ranking4[[#This Row],[ArcSinh Res struct removed 0-10]]*AN$5*10</f>
        <v>0</v>
      </c>
      <c r="AP829" s="254">
        <f>ASINH(FMS_Ranking4[[#This Row],[Residential Structures Removed Raw]])/AP$4*AN$5*100</f>
        <v>0</v>
      </c>
      <c r="AQ829" s="260">
        <f>(ASINH(FMS_Ranking4[[#This Row],[Residential Structures Removed Raw]]))*(10)/(ASINH(AN$4))</f>
        <v>0</v>
      </c>
      <c r="AR829" s="253">
        <f>_xlfn.XLOOKUP(FMS_Ranking4[[#This Row],[FMS ID]],FMS_Input[FMS_ID],FMS_Input[REMPOP100])</f>
        <v>0</v>
      </c>
      <c r="AS829" s="259">
        <f>(ASINH(FMS_Ranking4[[#This Row],[Removed Pop Raw]]))*(10)/(ASINH(AR$4))</f>
        <v>0</v>
      </c>
      <c r="AT829" s="263">
        <f>FMS_Ranking4[[#This Row],[Removed population, ArcSinh (0-10)]]*AR$5*10</f>
        <v>0</v>
      </c>
      <c r="AU829" s="264">
        <f>_xlfn.XLOOKUP(FMS_Ranking4[[#This Row],[FMS ID]],FMS_Input[FMS_ID],FMS_Input[REMCRITFAC100])</f>
        <v>0</v>
      </c>
      <c r="AV829" s="264">
        <f>_xlfn.XLOOKUP(FMS_Ranking4[[#This Row],[FMS ID]],FMS_Input[FMS_ID],FMS_Input[REMLWC100])</f>
        <v>0</v>
      </c>
      <c r="AW829" s="264">
        <f>_xlfn.XLOOKUP(FMS_Ranking4[[#This Row],[FMS ID]],FMS_Input[FMS_ID],FMS_Input[REMROADCLS])</f>
        <v>0</v>
      </c>
      <c r="AX829" s="264">
        <f>_xlfn.XLOOKUP(FMS_Ranking4[[#This Row],[FMS ID]],FMS_Input[FMS_ID],FMS_Input[REMFRMACRE100])</f>
        <v>0</v>
      </c>
      <c r="AY829" s="258">
        <f>_xlfn.XLOOKUP(FMS_Ranking4[[#This Row],[FMS ID]],FMS_Input[FMS_ID],FMS_Input[COSTSTRUCT])</f>
        <v>0</v>
      </c>
      <c r="AZ829" s="258">
        <f>_xlfn.XLOOKUP(FMS_Ranking4[[#This Row],[FMS ID]],FMS_Input[FMS_ID],FMS_Input[NATURE])</f>
        <v>0</v>
      </c>
      <c r="BA829" s="290">
        <f>(((FMS_Ranking4[[#This Row],[% NBS Raw]]/AZ$4)*100)*AZ$5)</f>
        <v>0</v>
      </c>
      <c r="BB829" s="251" t="str">
        <f>_xlfn.XLOOKUP(FMS_Ranking4[[#This Row],[FMS ID]],FMS_Input[FMS_ID],FMS_Input[WATER_SUP])</f>
        <v>No</v>
      </c>
      <c r="BC829" s="265">
        <f>IF(FMS_Ranking4[[#This Row],[Water Supply Raw]]="Yes",10,0)</f>
        <v>0</v>
      </c>
      <c r="BD829" s="251">
        <f>_xlfn.XLOOKUP(FMS_Ranking4[[#This Row],[FMS Type]],FMS_TYPE[FMS_Type],FMS_TYPE[Score])</f>
        <v>8</v>
      </c>
      <c r="BE829" s="267">
        <f>FMS_Ranking4[[#This Row],[FMS_Type Score]]*$BD$5*10</f>
        <v>2</v>
      </c>
      <c r="BF829"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29" s="271">
        <f>_xlfn.RANK.EQ(BF829,$BF$8:$BF$870,0)+COUNTIF($BF$8:BF829,BF829)-1</f>
        <v>829</v>
      </c>
      <c r="BH829" s="268">
        <f>(((FMS_Ranking4[[#This Row],[Structures Removed Raw]]/AK$4)*100)*AK$5)+(((FMS_Ranking4[[#This Row],[Removed Pop Raw]]/AR$4)*100)*AR$5)</f>
        <v>0</v>
      </c>
      <c r="BI82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29" s="325">
        <f>_xlfn.RANK.EQ(FMS_Ranking4[[#This Row],[Total Score 
(with linear
normalization)]],FMS_Ranking4[Total Score 
(with linear
normalization)],0)</f>
        <v>503</v>
      </c>
      <c r="BK829" s="327" t="e">
        <f>_xlfn.XLOOKUP(FMS_Ranking4[[#This Row],[FMS ID]],#REF!,#REF!)</f>
        <v>#REF!</v>
      </c>
      <c r="BL829"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29" s="330">
        <f>FMS_Ranking4[[#This Row],[ArcSinh Score Based on Normalized Reported Factors]]+FMS_Ranking4[[#This Row],[% NBS Score (Normalized)]]+(FMS_Ranking4[[#This Row],[Water Supply Score (Normalized)]]*10*$BB$5)+FMS_Ranking4[[#This Row],[FMS_Type Score Weighted]]</f>
        <v>2</v>
      </c>
      <c r="BN829" s="332">
        <f>_xlfn.RANK.EQ(FMS_Ranking4[[#This Row],[Total Score (with ArcSinh normalization of select criteria)]],FMS_Ranking4[Total Score (with ArcSinh normalization of select criteria)],0)</f>
        <v>817</v>
      </c>
      <c r="BO829" s="270" t="str">
        <f>_xlfn.XLOOKUP(FMS_Ranking4[[#This Row],[FMS ID]],FMS_Input[FMS_ID],FMS_Input[FMS_RANK_YEAR])</f>
        <v>2025 Amended Plan</v>
      </c>
      <c r="BP829" s="204" t="e">
        <f>_xlfn.XLOOKUP(FMS_Ranking4[[#This Row],[FMS ID]],Prev_Rank[FMS ID],Prev_Rank[Prev Rank])</f>
        <v>#N/A</v>
      </c>
      <c r="BQ829" s="334" t="e">
        <f>_xlfn.XLOOKUP(FMS_Ranking4[[#This Row],[FMS ID]],#REF!,#REF!)</f>
        <v>#REF!</v>
      </c>
      <c r="BR829" s="199" t="e">
        <f>SUM(#REF!,#REF!,#REF!,#REF!,#REF!,#REF!,#REF!,#REF!,#REF!,FMS_Ranking4[[#This Row],[ArcSinh Res struct removed 0-10]],#REF!)</f>
        <v>#REF!</v>
      </c>
      <c r="BS829" s="199" t="e">
        <f>FMS_Ranking4[[#This Row],[Log Score Based on Normalized Reported Factors]]+FMS_Ranking4[[#This Row],[% NBS Score (Normalized)]]+(FMS_Ranking4[[#This Row],[Water Supply Score (Normalized)]]*10*$BB$5)+(FMS_Ranking4[[#This Row],[FMS_Type Score Weighted]])</f>
        <v>#REF!</v>
      </c>
      <c r="BT829" s="200" t="e">
        <f>_xlfn.RANK.EQ(FMS_Ranking4[[#This Row],[Log Total Score]],FMS_Ranking4[Log Total Score],0)</f>
        <v>#REF!</v>
      </c>
      <c r="BU829" s="200" t="e">
        <f>_xlfn.XLOOKUP(FMS_Ranking4[[#This Row],[FMS ID]],#REF!,#REF!)</f>
        <v>#REF!</v>
      </c>
      <c r="BV829" s="200">
        <f>FMS_Ranking4[[#This Row],[Region Number]]</f>
        <v>8</v>
      </c>
      <c r="BW829" s="200">
        <f>FMS_Ranking4[[#This Row],[Rank (with ArcSinh normalization of select criteria)]]-FMS_Ranking4[[#This Row],[Rank
(with linear
normalization)]]</f>
        <v>314</v>
      </c>
      <c r="BX829" s="200" t="e">
        <f>FMS_Ranking4[[#This Row],[Log Rank]]-FMS_Ranking4[[#This Row],[Rank
(with linear
normalization)]]</f>
        <v>#REF!</v>
      </c>
      <c r="BY829" s="200" t="str">
        <f>IF(FMS_Ranking4[[#This Row],[FMS Type]]="Flood Measurement and Warning",FMS_Ranking4[[#This Row],[Rank (with ArcSinh normalization of select criteria)]],"")</f>
        <v/>
      </c>
      <c r="BZ829" s="200">
        <f>IF(FMS_Ranking4[[#This Row],[FMS Type]]="Regulatory and Guidance",FMS_Ranking4[[#This Row],[Rank (with ArcSinh normalization of select criteria)]],"")</f>
        <v>817</v>
      </c>
      <c r="CA829" s="200" t="str">
        <f>IF(FMS_Ranking4[[#This Row],[FMS Type]]="Education and Outreach",FMS_Ranking4[[#This Row],[Rank (with ArcSinh normalization of select criteria)]],"")</f>
        <v/>
      </c>
      <c r="CB829" s="200" t="str">
        <f>IF(FMS_Ranking4[[#This Row],[FMS Type]]="Property Acquisition and Structural Elevation",FMS_Ranking4[[#This Row],[Rank (with ArcSinh normalization of select criteria)]],"")</f>
        <v/>
      </c>
      <c r="CC829" s="200" t="str">
        <f>IF(FMS_Ranking4[[#This Row],[FMS Type]]="Infrastructure Projects",FMS_Ranking4[[#This Row],[Rank (with ArcSinh normalization of select criteria)]],"")</f>
        <v/>
      </c>
      <c r="CD829" s="200" t="str">
        <f>IF(FMS_Ranking4[[#This Row],[FMS Type]]="Other",FMS_Ranking4[[#This Row],[Rank (with ArcSinh normalization of select criteria)]],"")</f>
        <v/>
      </c>
    </row>
    <row r="830" spans="2:82" ht="135" x14ac:dyDescent="0.25">
      <c r="B830" s="342" t="s">
        <v>12527</v>
      </c>
      <c r="C830" s="287">
        <f>_xlfn.XLOOKUP(FMS_Ranking4[[#This Row],[FMS ID]],FMS_Input[FMS_ID],FMS_Input[RFPG_NUM])</f>
        <v>8</v>
      </c>
      <c r="D830" s="309" t="str">
        <f>_xlfn.XLOOKUP(FMS_Ranking4[[#This Row],[FMS ID]],FMS_Input[FMS_ID],FMS_Input[FMS_NAME])</f>
        <v>City of Round Rock Regional Stormwater Management Program Fee Study</v>
      </c>
      <c r="E830" s="322" t="str">
        <f>_xlfn.XLOOKUP(FMS_Ranking4[[#This Row],[FMS ID]],FMS_Input[FMS_ID],FMS_Input[SPONSOR])</f>
        <v>00003191</v>
      </c>
      <c r="F830" s="309" t="str">
        <f>_xlfn.XLOOKUP(FMS_Ranking4[[#This Row],[FMS ID]],Sponsor[FMS_ID],Sponsor[SPONSOR NAME])</f>
        <v>Round Rock</v>
      </c>
      <c r="G830" s="309" t="str">
        <f>_xlfn.XLOOKUP(FMS_Ranking4[[#This Row],[FMS ID]],FMS_Input[FMS_ID],FMS_Input[FMS_DESCR])</f>
        <v>Develop a fee calculation method to correlate pond construction and land costs with development impervious cover and land area. Develop recommendations for cost indices to update the fees on an annual basis in the City’s Annual Fee Ordinance.</v>
      </c>
      <c r="H830" s="247" t="str">
        <f>_xlfn.XLOOKUP(FMS_Ranking4[[#This Row],[FMS ID]],FMS_Input[FMS_ID],FMS_Input[FMS_TYPE])</f>
        <v>Regulatory and Guidance</v>
      </c>
      <c r="I830" s="288">
        <f>_xlfn.XLOOKUP(FMS_Ranking4[[#This Row],[FMS ID]],FMS_Input[FMS_ID],FMS_Input[NRNC_COST])</f>
        <v>250000</v>
      </c>
      <c r="J830" s="250">
        <f>_xlfn.XLOOKUP(FMS_Ranking4[[#This Row],[FMS ID]],FMS_Input[FMS_ID],FMS_Input[FMS_COST])</f>
        <v>250000</v>
      </c>
      <c r="K830" s="289" t="str">
        <f>_xlfn.XLOOKUP(FMS_Ranking4[[#This Row],[FMS ID]],FMS_Input[FMS_ID],FMS_Input[EMER_NEED])</f>
        <v>No</v>
      </c>
      <c r="L830" s="252">
        <f t="shared" si="12"/>
        <v>0</v>
      </c>
      <c r="M830" s="253">
        <f>_xlfn.XLOOKUP(FMS_Ranking4[[#This Row],[FMS ID]],FMS_Input[FMS_ID],FMS_Input[STRUCT_100])</f>
        <v>0</v>
      </c>
      <c r="N830" s="255">
        <f>(ASINH(FMS_Ranking4[[#This Row],[Structure at Risk Raw]]))*(10)/(ASINH(M$4))</f>
        <v>0</v>
      </c>
      <c r="O830" s="255">
        <f>FMS_Ranking4[[#This Row],[Structures at risk, ArcSinh (0-10)]]*M$5*10</f>
        <v>0</v>
      </c>
      <c r="P830" s="259">
        <f>_xlfn.XLOOKUP(FMS_Ranking4[[#This Row],[FMS ID]],FMS_Input[FMS_ID],FMS_Input[RES_STRUCT100])</f>
        <v>0</v>
      </c>
      <c r="Q830" s="257">
        <f>ASINH(FMS_Ranking4[[#This Row],[Res Structure Raw]])/Q$4*P$5*100</f>
        <v>0</v>
      </c>
      <c r="R830" s="259">
        <f>_xlfn.XLOOKUP(FMS_Ranking4[[#This Row],[FMS ID]],FMS_Input[FMS_ID],FMS_Input[POP100])</f>
        <v>0</v>
      </c>
      <c r="S830" s="259">
        <f>(ASINH(FMS_Ranking4[[#This Row],[Pop at Risk Raw]]))*(10)/(ASINH(R$4))</f>
        <v>0</v>
      </c>
      <c r="T830" s="257">
        <f>FMS_Ranking4[[#This Row],[Population at risk, ArcSinh (0-10)]]*R$5*10</f>
        <v>0</v>
      </c>
      <c r="U830" s="259">
        <f>_xlfn.XLOOKUP(FMS_Ranking4[[#This Row],[FMS ID]],FMS_Input[FMS_ID],FMS_Input[CRITFAC100])</f>
        <v>0</v>
      </c>
      <c r="V830" s="259">
        <f>(ASINH(FMS_Ranking4[[#This Row],[Critical Facilities Raw]]))*(10)/(ASINH(U$4))</f>
        <v>0</v>
      </c>
      <c r="W830" s="257">
        <f>FMS_Ranking4[[#This Row],[Critical facilities at risk, ArcSinh (0-10)]]*U$5*10</f>
        <v>0</v>
      </c>
      <c r="X830" s="259">
        <f>_xlfn.XLOOKUP(FMS_Ranking4[[#This Row],[FMS ID]],FMS_Input[FMS_ID],FMS_Input[LWC])</f>
        <v>0</v>
      </c>
      <c r="Y830" s="259">
        <f>(ASINH(FMS_Ranking4[[#This Row],[LWC Raw]]))*(10)/(ASINH(X$4))</f>
        <v>0</v>
      </c>
      <c r="Z830" s="257">
        <f>FMS_Ranking4[[#This Row],[LWC, ArcSInh (0-10)]]*X$5*10</f>
        <v>0</v>
      </c>
      <c r="AA830" s="259">
        <f>_xlfn.XLOOKUP(FMS_Ranking4[[#This Row],[FMS ID]],FMS_Input[FMS_ID],FMS_Input[ROADCLS])</f>
        <v>0</v>
      </c>
      <c r="AB830" s="255">
        <f>(ASINH(FMS_Ranking4[[#This Row],[Road Closures Raw]]))*(10)/(ASINH(AA$4))</f>
        <v>0</v>
      </c>
      <c r="AC830" s="255">
        <f>FMS_Ranking4[[#This Row],[Road closures, ArcSinh (0-10)]]*AA$5*10</f>
        <v>0</v>
      </c>
      <c r="AD830" s="259">
        <f>_xlfn.XLOOKUP(FMS_Ranking4[[#This Row],[FMS ID]],FMS_Input[FMS_ID],FMS_Input[ROAD_MILES100])</f>
        <v>0</v>
      </c>
      <c r="AE830" s="259">
        <f>(ASINH(FMS_Ranking4[[#This Row],[Road Miles Raw]]))*(10)/(ASINH(AD$4))</f>
        <v>0</v>
      </c>
      <c r="AF830" s="257">
        <f>FMS_Ranking4[[#This Row],[Length of roads at risk, ArcSinh (0-10)]]*AD$5*10</f>
        <v>0</v>
      </c>
      <c r="AG830" s="259">
        <f>_xlfn.XLOOKUP(FMS_Ranking4[[#This Row],[FMS ID]],FMS_Input[FMS_ID],FMS_Input[FARMACRE100])</f>
        <v>0</v>
      </c>
      <c r="AH830" s="255">
        <f>(ASINH(FMS_Ranking4[[#This Row],[Ag Land Raw]]))*(10)/(ASINH(AG$4))</f>
        <v>0</v>
      </c>
      <c r="AI830" s="254">
        <f>FMS_Ranking4[[#This Row],[Farm &amp; ranch land, ArcSinh (0-10)]]*AG$5*10</f>
        <v>0</v>
      </c>
      <c r="AJ830" s="258">
        <f>_xlfn.XLOOKUP(FMS_Ranking4[[#This Row],[FMS ID]],FMS_Input[FMS_ID],FMS_Input[REDSTRUCT100])</f>
        <v>0</v>
      </c>
      <c r="AK830" s="253">
        <f>_xlfn.XLOOKUP(FMS_Ranking4[[#This Row],[FMS ID]],FMS_Input[FMS_ID],FMS_Input[REMSTRC100])</f>
        <v>0</v>
      </c>
      <c r="AL830" s="259">
        <f>(ASINH(FMS_Ranking4[[#This Row],[Structures Removed Raw]]))*(10)/(ASINH(AK$4))</f>
        <v>0</v>
      </c>
      <c r="AM830" s="254">
        <f>FMS_Ranking4[[#This Row],[Structures removed, ArcSinh (0-10)]]*AK$5*10</f>
        <v>0</v>
      </c>
      <c r="AN830" s="253">
        <f>_xlfn.XLOOKUP(FMS_Ranking4[[#This Row],[FMS ID]],FMS_Input[FMS_ID],FMS_Input[REMRESSTRC100])</f>
        <v>0</v>
      </c>
      <c r="AO830" s="258">
        <f>FMS_Ranking4[[#This Row],[ArcSinh Res struct removed 0-10]]*AN$5*10</f>
        <v>0</v>
      </c>
      <c r="AP830" s="254">
        <f>ASINH(FMS_Ranking4[[#This Row],[Residential Structures Removed Raw]])/AP$4*AN$5*100</f>
        <v>0</v>
      </c>
      <c r="AQ830" s="260">
        <f>(ASINH(FMS_Ranking4[[#This Row],[Residential Structures Removed Raw]]))*(10)/(ASINH(AN$4))</f>
        <v>0</v>
      </c>
      <c r="AR830" s="253">
        <f>_xlfn.XLOOKUP(FMS_Ranking4[[#This Row],[FMS ID]],FMS_Input[FMS_ID],FMS_Input[REMPOP100])</f>
        <v>0</v>
      </c>
      <c r="AS830" s="259">
        <f>(ASINH(FMS_Ranking4[[#This Row],[Removed Pop Raw]]))*(10)/(ASINH(AR$4))</f>
        <v>0</v>
      </c>
      <c r="AT830" s="263">
        <f>FMS_Ranking4[[#This Row],[Removed population, ArcSinh (0-10)]]*AR$5*10</f>
        <v>0</v>
      </c>
      <c r="AU830" s="264">
        <f>_xlfn.XLOOKUP(FMS_Ranking4[[#This Row],[FMS ID]],FMS_Input[FMS_ID],FMS_Input[REMCRITFAC100])</f>
        <v>0</v>
      </c>
      <c r="AV830" s="264">
        <f>_xlfn.XLOOKUP(FMS_Ranking4[[#This Row],[FMS ID]],FMS_Input[FMS_ID],FMS_Input[REMLWC100])</f>
        <v>0</v>
      </c>
      <c r="AW830" s="264">
        <f>_xlfn.XLOOKUP(FMS_Ranking4[[#This Row],[FMS ID]],FMS_Input[FMS_ID],FMS_Input[REMROADCLS])</f>
        <v>0</v>
      </c>
      <c r="AX830" s="264">
        <f>_xlfn.XLOOKUP(FMS_Ranking4[[#This Row],[FMS ID]],FMS_Input[FMS_ID],FMS_Input[REMFRMACRE100])</f>
        <v>0</v>
      </c>
      <c r="AY830" s="258">
        <f>_xlfn.XLOOKUP(FMS_Ranking4[[#This Row],[FMS ID]],FMS_Input[FMS_ID],FMS_Input[COSTSTRUCT])</f>
        <v>0</v>
      </c>
      <c r="AZ830" s="258">
        <f>_xlfn.XLOOKUP(FMS_Ranking4[[#This Row],[FMS ID]],FMS_Input[FMS_ID],FMS_Input[NATURE])</f>
        <v>0</v>
      </c>
      <c r="BA830" s="290">
        <f>(((FMS_Ranking4[[#This Row],[% NBS Raw]]/AZ$4)*100)*AZ$5)</f>
        <v>0</v>
      </c>
      <c r="BB830" s="251" t="str">
        <f>_xlfn.XLOOKUP(FMS_Ranking4[[#This Row],[FMS ID]],FMS_Input[FMS_ID],FMS_Input[WATER_SUP])</f>
        <v>No</v>
      </c>
      <c r="BC830" s="265">
        <f>IF(FMS_Ranking4[[#This Row],[Water Supply Raw]]="Yes",10,0)</f>
        <v>0</v>
      </c>
      <c r="BD830" s="251">
        <f>_xlfn.XLOOKUP(FMS_Ranking4[[#This Row],[FMS Type]],FMS_TYPE[FMS_Type],FMS_TYPE[Score])</f>
        <v>8</v>
      </c>
      <c r="BE830" s="267">
        <f>FMS_Ranking4[[#This Row],[FMS_Type Score]]*$BD$5*10</f>
        <v>2</v>
      </c>
      <c r="BF830"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0" s="271">
        <f>_xlfn.RANK.EQ(BF830,$BF$8:$BF$870,0)+COUNTIF($BF$8:BF830,BF830)-1</f>
        <v>830</v>
      </c>
      <c r="BH830" s="268">
        <f>(((FMS_Ranking4[[#This Row],[Structures Removed Raw]]/AK$4)*100)*AK$5)+(((FMS_Ranking4[[#This Row],[Removed Pop Raw]]/AR$4)*100)*AR$5)</f>
        <v>0</v>
      </c>
      <c r="BI83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0" s="325">
        <f>_xlfn.RANK.EQ(FMS_Ranking4[[#This Row],[Total Score 
(with linear
normalization)]],FMS_Ranking4[Total Score 
(with linear
normalization)],0)</f>
        <v>503</v>
      </c>
      <c r="BK830" s="327" t="e">
        <f>_xlfn.XLOOKUP(FMS_Ranking4[[#This Row],[FMS ID]],#REF!,#REF!)</f>
        <v>#REF!</v>
      </c>
      <c r="BL830"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0" s="330">
        <f>FMS_Ranking4[[#This Row],[ArcSinh Score Based on Normalized Reported Factors]]+FMS_Ranking4[[#This Row],[% NBS Score (Normalized)]]+(FMS_Ranking4[[#This Row],[Water Supply Score (Normalized)]]*10*$BB$5)+FMS_Ranking4[[#This Row],[FMS_Type Score Weighted]]</f>
        <v>2</v>
      </c>
      <c r="BN830" s="332">
        <f>_xlfn.RANK.EQ(FMS_Ranking4[[#This Row],[Total Score (with ArcSinh normalization of select criteria)]],FMS_Ranking4[Total Score (with ArcSinh normalization of select criteria)],0)</f>
        <v>817</v>
      </c>
      <c r="BO830" s="270" t="str">
        <f>_xlfn.XLOOKUP(FMS_Ranking4[[#This Row],[FMS ID]],FMS_Input[FMS_ID],FMS_Input[FMS_RANK_YEAR])</f>
        <v>2025 Amended Plan</v>
      </c>
      <c r="BP830" s="204" t="e">
        <f>_xlfn.XLOOKUP(FMS_Ranking4[[#This Row],[FMS ID]],Prev_Rank[FMS ID],Prev_Rank[Prev Rank])</f>
        <v>#N/A</v>
      </c>
      <c r="BQ830" s="334" t="e">
        <f>_xlfn.XLOOKUP(FMS_Ranking4[[#This Row],[FMS ID]],#REF!,#REF!)</f>
        <v>#REF!</v>
      </c>
      <c r="BR830" s="199" t="e">
        <f>SUM(#REF!,#REF!,#REF!,#REF!,#REF!,#REF!,#REF!,#REF!,#REF!,FMS_Ranking4[[#This Row],[ArcSinh Res struct removed 0-10]],#REF!)</f>
        <v>#REF!</v>
      </c>
      <c r="BS830" s="199" t="e">
        <f>FMS_Ranking4[[#This Row],[Log Score Based on Normalized Reported Factors]]+FMS_Ranking4[[#This Row],[% NBS Score (Normalized)]]+(FMS_Ranking4[[#This Row],[Water Supply Score (Normalized)]]*10*$BB$5)+(FMS_Ranking4[[#This Row],[FMS_Type Score Weighted]])</f>
        <v>#REF!</v>
      </c>
      <c r="BT830" s="200" t="e">
        <f>_xlfn.RANK.EQ(FMS_Ranking4[[#This Row],[Log Total Score]],FMS_Ranking4[Log Total Score],0)</f>
        <v>#REF!</v>
      </c>
      <c r="BU830" s="200" t="e">
        <f>_xlfn.XLOOKUP(FMS_Ranking4[[#This Row],[FMS ID]],#REF!,#REF!)</f>
        <v>#REF!</v>
      </c>
      <c r="BV830" s="200">
        <f>FMS_Ranking4[[#This Row],[Region Number]]</f>
        <v>8</v>
      </c>
      <c r="BW830" s="200">
        <f>FMS_Ranking4[[#This Row],[Rank (with ArcSinh normalization of select criteria)]]-FMS_Ranking4[[#This Row],[Rank
(with linear
normalization)]]</f>
        <v>314</v>
      </c>
      <c r="BX830" s="200" t="e">
        <f>FMS_Ranking4[[#This Row],[Log Rank]]-FMS_Ranking4[[#This Row],[Rank
(with linear
normalization)]]</f>
        <v>#REF!</v>
      </c>
      <c r="BY830" s="200" t="str">
        <f>IF(FMS_Ranking4[[#This Row],[FMS Type]]="Flood Measurement and Warning",FMS_Ranking4[[#This Row],[Rank (with ArcSinh normalization of select criteria)]],"")</f>
        <v/>
      </c>
      <c r="BZ830" s="200">
        <f>IF(FMS_Ranking4[[#This Row],[FMS Type]]="Regulatory and Guidance",FMS_Ranking4[[#This Row],[Rank (with ArcSinh normalization of select criteria)]],"")</f>
        <v>817</v>
      </c>
      <c r="CA830" s="200" t="str">
        <f>IF(FMS_Ranking4[[#This Row],[FMS Type]]="Education and Outreach",FMS_Ranking4[[#This Row],[Rank (with ArcSinh normalization of select criteria)]],"")</f>
        <v/>
      </c>
      <c r="CB830" s="200" t="str">
        <f>IF(FMS_Ranking4[[#This Row],[FMS Type]]="Property Acquisition and Structural Elevation",FMS_Ranking4[[#This Row],[Rank (with ArcSinh normalization of select criteria)]],"")</f>
        <v/>
      </c>
      <c r="CC830" s="200" t="str">
        <f>IF(FMS_Ranking4[[#This Row],[FMS Type]]="Infrastructure Projects",FMS_Ranking4[[#This Row],[Rank (with ArcSinh normalization of select criteria)]],"")</f>
        <v/>
      </c>
      <c r="CD830" s="200" t="str">
        <f>IF(FMS_Ranking4[[#This Row],[FMS Type]]="Other",FMS_Ranking4[[#This Row],[Rank (with ArcSinh normalization of select criteria)]],"")</f>
        <v/>
      </c>
    </row>
    <row r="831" spans="2:82" ht="45" x14ac:dyDescent="0.25">
      <c r="B831" s="342" t="s">
        <v>12538</v>
      </c>
      <c r="C831" s="287">
        <f>_xlfn.XLOOKUP(FMS_Ranking4[[#This Row],[FMS ID]],FMS_Input[FMS_ID],FMS_Input[RFPG_NUM])</f>
        <v>8</v>
      </c>
      <c r="D831" s="309" t="str">
        <f>_xlfn.XLOOKUP(FMS_Ranking4[[#This Row],[FMS ID]],FMS_Input[FMS_ID],FMS_Input[FMS_NAME])</f>
        <v>Ordinance Development for a Voluntary Buyout Program</v>
      </c>
      <c r="E831" s="322" t="str">
        <f>_xlfn.XLOOKUP(FMS_Ranking4[[#This Row],[FMS ID]],FMS_Input[FMS_ID],FMS_Input[SPONSOR])</f>
        <v>08002914</v>
      </c>
      <c r="F831" s="309" t="str">
        <f>_xlfn.XLOOKUP(FMS_Ranking4[[#This Row],[FMS ID]],Sponsor[FMS_ID],Sponsor[SPONSOR NAME])</f>
        <v>Waco</v>
      </c>
      <c r="G831" s="309" t="str">
        <f>_xlfn.XLOOKUP(FMS_Ranking4[[#This Row],[FMS ID]],FMS_Input[FMS_ID],FMS_Input[FMS_DESCR])</f>
        <v>Ordinance creation to establish a Voluntary Buyout Program.</v>
      </c>
      <c r="H831" s="247" t="str">
        <f>_xlfn.XLOOKUP(FMS_Ranking4[[#This Row],[FMS ID]],FMS_Input[FMS_ID],FMS_Input[FMS_TYPE])</f>
        <v>Regulatory and Guidance</v>
      </c>
      <c r="I831" s="288">
        <f>_xlfn.XLOOKUP(FMS_Ranking4[[#This Row],[FMS ID]],FMS_Input[FMS_ID],FMS_Input[NRNC_COST])</f>
        <v>150000</v>
      </c>
      <c r="J831" s="250">
        <f>_xlfn.XLOOKUP(FMS_Ranking4[[#This Row],[FMS ID]],FMS_Input[FMS_ID],FMS_Input[FMS_COST])</f>
        <v>150000</v>
      </c>
      <c r="K831" s="289" t="str">
        <f>_xlfn.XLOOKUP(FMS_Ranking4[[#This Row],[FMS ID]],FMS_Input[FMS_ID],FMS_Input[EMER_NEED])</f>
        <v>Yes</v>
      </c>
      <c r="L831" s="252">
        <f t="shared" si="12"/>
        <v>1</v>
      </c>
      <c r="M831" s="253">
        <f>_xlfn.XLOOKUP(FMS_Ranking4[[#This Row],[FMS ID]],FMS_Input[FMS_ID],FMS_Input[STRUCT_100])</f>
        <v>0</v>
      </c>
      <c r="N831" s="255">
        <f>(ASINH(FMS_Ranking4[[#This Row],[Structure at Risk Raw]]))*(10)/(ASINH(M$4))</f>
        <v>0</v>
      </c>
      <c r="O831" s="255">
        <f>FMS_Ranking4[[#This Row],[Structures at risk, ArcSinh (0-10)]]*M$5*10</f>
        <v>0</v>
      </c>
      <c r="P831" s="259">
        <f>_xlfn.XLOOKUP(FMS_Ranking4[[#This Row],[FMS ID]],FMS_Input[FMS_ID],FMS_Input[RES_STRUCT100])</f>
        <v>0</v>
      </c>
      <c r="Q831" s="257">
        <f>ASINH(FMS_Ranking4[[#This Row],[Res Structure Raw]])/Q$4*P$5*100</f>
        <v>0</v>
      </c>
      <c r="R831" s="259">
        <f>_xlfn.XLOOKUP(FMS_Ranking4[[#This Row],[FMS ID]],FMS_Input[FMS_ID],FMS_Input[POP100])</f>
        <v>0</v>
      </c>
      <c r="S831" s="259">
        <f>(ASINH(FMS_Ranking4[[#This Row],[Pop at Risk Raw]]))*(10)/(ASINH(R$4))</f>
        <v>0</v>
      </c>
      <c r="T831" s="257">
        <f>FMS_Ranking4[[#This Row],[Population at risk, ArcSinh (0-10)]]*R$5*10</f>
        <v>0</v>
      </c>
      <c r="U831" s="259">
        <f>_xlfn.XLOOKUP(FMS_Ranking4[[#This Row],[FMS ID]],FMS_Input[FMS_ID],FMS_Input[CRITFAC100])</f>
        <v>0</v>
      </c>
      <c r="V831" s="259">
        <f>(ASINH(FMS_Ranking4[[#This Row],[Critical Facilities Raw]]))*(10)/(ASINH(U$4))</f>
        <v>0</v>
      </c>
      <c r="W831" s="257">
        <f>FMS_Ranking4[[#This Row],[Critical facilities at risk, ArcSinh (0-10)]]*U$5*10</f>
        <v>0</v>
      </c>
      <c r="X831" s="259">
        <f>_xlfn.XLOOKUP(FMS_Ranking4[[#This Row],[FMS ID]],FMS_Input[FMS_ID],FMS_Input[LWC])</f>
        <v>0</v>
      </c>
      <c r="Y831" s="259">
        <f>(ASINH(FMS_Ranking4[[#This Row],[LWC Raw]]))*(10)/(ASINH(X$4))</f>
        <v>0</v>
      </c>
      <c r="Z831" s="257">
        <f>FMS_Ranking4[[#This Row],[LWC, ArcSInh (0-10)]]*X$5*10</f>
        <v>0</v>
      </c>
      <c r="AA831" s="259">
        <f>_xlfn.XLOOKUP(FMS_Ranking4[[#This Row],[FMS ID]],FMS_Input[FMS_ID],FMS_Input[ROADCLS])</f>
        <v>0</v>
      </c>
      <c r="AB831" s="255">
        <f>(ASINH(FMS_Ranking4[[#This Row],[Road Closures Raw]]))*(10)/(ASINH(AA$4))</f>
        <v>0</v>
      </c>
      <c r="AC831" s="255">
        <f>FMS_Ranking4[[#This Row],[Road closures, ArcSinh (0-10)]]*AA$5*10</f>
        <v>0</v>
      </c>
      <c r="AD831" s="259">
        <f>_xlfn.XLOOKUP(FMS_Ranking4[[#This Row],[FMS ID]],FMS_Input[FMS_ID],FMS_Input[ROAD_MILES100])</f>
        <v>0</v>
      </c>
      <c r="AE831" s="259">
        <f>(ASINH(FMS_Ranking4[[#This Row],[Road Miles Raw]]))*(10)/(ASINH(AD$4))</f>
        <v>0</v>
      </c>
      <c r="AF831" s="257">
        <f>FMS_Ranking4[[#This Row],[Length of roads at risk, ArcSinh (0-10)]]*AD$5*10</f>
        <v>0</v>
      </c>
      <c r="AG831" s="259">
        <f>_xlfn.XLOOKUP(FMS_Ranking4[[#This Row],[FMS ID]],FMS_Input[FMS_ID],FMS_Input[FARMACRE100])</f>
        <v>0</v>
      </c>
      <c r="AH831" s="255">
        <f>(ASINH(FMS_Ranking4[[#This Row],[Ag Land Raw]]))*(10)/(ASINH(AG$4))</f>
        <v>0</v>
      </c>
      <c r="AI831" s="254">
        <f>FMS_Ranking4[[#This Row],[Farm &amp; ranch land, ArcSinh (0-10)]]*AG$5*10</f>
        <v>0</v>
      </c>
      <c r="AJ831" s="258">
        <f>_xlfn.XLOOKUP(FMS_Ranking4[[#This Row],[FMS ID]],FMS_Input[FMS_ID],FMS_Input[REDSTRUCT100])</f>
        <v>0</v>
      </c>
      <c r="AK831" s="253">
        <f>_xlfn.XLOOKUP(FMS_Ranking4[[#This Row],[FMS ID]],FMS_Input[FMS_ID],FMS_Input[REMSTRC100])</f>
        <v>0</v>
      </c>
      <c r="AL831" s="259">
        <f>(ASINH(FMS_Ranking4[[#This Row],[Structures Removed Raw]]))*(10)/(ASINH(AK$4))</f>
        <v>0</v>
      </c>
      <c r="AM831" s="254">
        <f>FMS_Ranking4[[#This Row],[Structures removed, ArcSinh (0-10)]]*AK$5*10</f>
        <v>0</v>
      </c>
      <c r="AN831" s="253">
        <f>_xlfn.XLOOKUP(FMS_Ranking4[[#This Row],[FMS ID]],FMS_Input[FMS_ID],FMS_Input[REMRESSTRC100])</f>
        <v>0</v>
      </c>
      <c r="AO831" s="258">
        <f>FMS_Ranking4[[#This Row],[ArcSinh Res struct removed 0-10]]*AN$5*10</f>
        <v>0</v>
      </c>
      <c r="AP831" s="254">
        <f>ASINH(FMS_Ranking4[[#This Row],[Residential Structures Removed Raw]])/AP$4*AN$5*100</f>
        <v>0</v>
      </c>
      <c r="AQ831" s="260">
        <f>(ASINH(FMS_Ranking4[[#This Row],[Residential Structures Removed Raw]]))*(10)/(ASINH(AN$4))</f>
        <v>0</v>
      </c>
      <c r="AR831" s="253">
        <f>_xlfn.XLOOKUP(FMS_Ranking4[[#This Row],[FMS ID]],FMS_Input[FMS_ID],FMS_Input[REMPOP100])</f>
        <v>0</v>
      </c>
      <c r="AS831" s="259">
        <f>(ASINH(FMS_Ranking4[[#This Row],[Removed Pop Raw]]))*(10)/(ASINH(AR$4))</f>
        <v>0</v>
      </c>
      <c r="AT831" s="263">
        <f>FMS_Ranking4[[#This Row],[Removed population, ArcSinh (0-10)]]*AR$5*10</f>
        <v>0</v>
      </c>
      <c r="AU831" s="264">
        <f>_xlfn.XLOOKUP(FMS_Ranking4[[#This Row],[FMS ID]],FMS_Input[FMS_ID],FMS_Input[REMCRITFAC100])</f>
        <v>0</v>
      </c>
      <c r="AV831" s="264">
        <f>_xlfn.XLOOKUP(FMS_Ranking4[[#This Row],[FMS ID]],FMS_Input[FMS_ID],FMS_Input[REMLWC100])</f>
        <v>0</v>
      </c>
      <c r="AW831" s="264">
        <f>_xlfn.XLOOKUP(FMS_Ranking4[[#This Row],[FMS ID]],FMS_Input[FMS_ID],FMS_Input[REMROADCLS])</f>
        <v>0</v>
      </c>
      <c r="AX831" s="264">
        <f>_xlfn.XLOOKUP(FMS_Ranking4[[#This Row],[FMS ID]],FMS_Input[FMS_ID],FMS_Input[REMFRMACRE100])</f>
        <v>0</v>
      </c>
      <c r="AY831" s="258">
        <f>_xlfn.XLOOKUP(FMS_Ranking4[[#This Row],[FMS ID]],FMS_Input[FMS_ID],FMS_Input[COSTSTRUCT])</f>
        <v>0</v>
      </c>
      <c r="AZ831" s="258">
        <f>_xlfn.XLOOKUP(FMS_Ranking4[[#This Row],[FMS ID]],FMS_Input[FMS_ID],FMS_Input[NATURE])</f>
        <v>0</v>
      </c>
      <c r="BA831" s="290">
        <f>(((FMS_Ranking4[[#This Row],[% NBS Raw]]/AZ$4)*100)*AZ$5)</f>
        <v>0</v>
      </c>
      <c r="BB831" s="251" t="str">
        <f>_xlfn.XLOOKUP(FMS_Ranking4[[#This Row],[FMS ID]],FMS_Input[FMS_ID],FMS_Input[WATER_SUP])</f>
        <v>No</v>
      </c>
      <c r="BC831" s="265">
        <f>IF(FMS_Ranking4[[#This Row],[Water Supply Raw]]="Yes",10,0)</f>
        <v>0</v>
      </c>
      <c r="BD831" s="251">
        <f>_xlfn.XLOOKUP(FMS_Ranking4[[#This Row],[FMS Type]],FMS_TYPE[FMS_Type],FMS_TYPE[Score])</f>
        <v>8</v>
      </c>
      <c r="BE831" s="267">
        <f>FMS_Ranking4[[#This Row],[FMS_Type Score]]*$BD$5*10</f>
        <v>2</v>
      </c>
      <c r="BF831"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1" s="271">
        <f>_xlfn.RANK.EQ(BF831,$BF$8:$BF$870,0)+COUNTIF($BF$8:BF831,BF831)-1</f>
        <v>831</v>
      </c>
      <c r="BH831" s="268">
        <f>(((FMS_Ranking4[[#This Row],[Structures Removed Raw]]/AK$4)*100)*AK$5)+(((FMS_Ranking4[[#This Row],[Removed Pop Raw]]/AR$4)*100)*AR$5)</f>
        <v>0</v>
      </c>
      <c r="BI83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1" s="325">
        <f>_xlfn.RANK.EQ(FMS_Ranking4[[#This Row],[Total Score 
(with linear
normalization)]],FMS_Ranking4[Total Score 
(with linear
normalization)],0)</f>
        <v>503</v>
      </c>
      <c r="BK831" s="327" t="e">
        <f>_xlfn.XLOOKUP(FMS_Ranking4[[#This Row],[FMS ID]],#REF!,#REF!)</f>
        <v>#REF!</v>
      </c>
      <c r="BL831"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1" s="330">
        <f>FMS_Ranking4[[#This Row],[ArcSinh Score Based on Normalized Reported Factors]]+FMS_Ranking4[[#This Row],[% NBS Score (Normalized)]]+(FMS_Ranking4[[#This Row],[Water Supply Score (Normalized)]]*10*$BB$5)+FMS_Ranking4[[#This Row],[FMS_Type Score Weighted]]</f>
        <v>2</v>
      </c>
      <c r="BN831" s="332">
        <f>_xlfn.RANK.EQ(FMS_Ranking4[[#This Row],[Total Score (with ArcSinh normalization of select criteria)]],FMS_Ranking4[Total Score (with ArcSinh normalization of select criteria)],0)</f>
        <v>817</v>
      </c>
      <c r="BO831" s="270" t="str">
        <f>_xlfn.XLOOKUP(FMS_Ranking4[[#This Row],[FMS ID]],FMS_Input[FMS_ID],FMS_Input[FMS_RANK_YEAR])</f>
        <v>2025 Amended Plan</v>
      </c>
      <c r="BP831" s="204" t="e">
        <f>_xlfn.XLOOKUP(FMS_Ranking4[[#This Row],[FMS ID]],Prev_Rank[FMS ID],Prev_Rank[Prev Rank])</f>
        <v>#N/A</v>
      </c>
      <c r="BQ831" s="334" t="e">
        <f>_xlfn.XLOOKUP(FMS_Ranking4[[#This Row],[FMS ID]],#REF!,#REF!)</f>
        <v>#REF!</v>
      </c>
      <c r="BR831" s="199" t="e">
        <f>SUM(#REF!,#REF!,#REF!,#REF!,#REF!,#REF!,#REF!,#REF!,#REF!,FMS_Ranking4[[#This Row],[ArcSinh Res struct removed 0-10]],#REF!)</f>
        <v>#REF!</v>
      </c>
      <c r="BS831" s="199" t="e">
        <f>FMS_Ranking4[[#This Row],[Log Score Based on Normalized Reported Factors]]+FMS_Ranking4[[#This Row],[% NBS Score (Normalized)]]+(FMS_Ranking4[[#This Row],[Water Supply Score (Normalized)]]*10*$BB$5)+(FMS_Ranking4[[#This Row],[FMS_Type Score Weighted]])</f>
        <v>#REF!</v>
      </c>
      <c r="BT831" s="200" t="e">
        <f>_xlfn.RANK.EQ(FMS_Ranking4[[#This Row],[Log Total Score]],FMS_Ranking4[Log Total Score],0)</f>
        <v>#REF!</v>
      </c>
      <c r="BU831" s="200" t="e">
        <f>_xlfn.XLOOKUP(FMS_Ranking4[[#This Row],[FMS ID]],#REF!,#REF!)</f>
        <v>#REF!</v>
      </c>
      <c r="BV831" s="200">
        <f>FMS_Ranking4[[#This Row],[Region Number]]</f>
        <v>8</v>
      </c>
      <c r="BW831" s="200">
        <f>FMS_Ranking4[[#This Row],[Rank (with ArcSinh normalization of select criteria)]]-FMS_Ranking4[[#This Row],[Rank
(with linear
normalization)]]</f>
        <v>314</v>
      </c>
      <c r="BX831" s="200" t="e">
        <f>FMS_Ranking4[[#This Row],[Log Rank]]-FMS_Ranking4[[#This Row],[Rank
(with linear
normalization)]]</f>
        <v>#REF!</v>
      </c>
      <c r="BY831" s="200" t="str">
        <f>IF(FMS_Ranking4[[#This Row],[FMS Type]]="Flood Measurement and Warning",FMS_Ranking4[[#This Row],[Rank (with ArcSinh normalization of select criteria)]],"")</f>
        <v/>
      </c>
      <c r="BZ831" s="200">
        <f>IF(FMS_Ranking4[[#This Row],[FMS Type]]="Regulatory and Guidance",FMS_Ranking4[[#This Row],[Rank (with ArcSinh normalization of select criteria)]],"")</f>
        <v>817</v>
      </c>
      <c r="CA831" s="200" t="str">
        <f>IF(FMS_Ranking4[[#This Row],[FMS Type]]="Education and Outreach",FMS_Ranking4[[#This Row],[Rank (with ArcSinh normalization of select criteria)]],"")</f>
        <v/>
      </c>
      <c r="CB831" s="200" t="str">
        <f>IF(FMS_Ranking4[[#This Row],[FMS Type]]="Property Acquisition and Structural Elevation",FMS_Ranking4[[#This Row],[Rank (with ArcSinh normalization of select criteria)]],"")</f>
        <v/>
      </c>
      <c r="CC831" s="200" t="str">
        <f>IF(FMS_Ranking4[[#This Row],[FMS Type]]="Infrastructure Projects",FMS_Ranking4[[#This Row],[Rank (with ArcSinh normalization of select criteria)]],"")</f>
        <v/>
      </c>
      <c r="CD831" s="200" t="str">
        <f>IF(FMS_Ranking4[[#This Row],[FMS Type]]="Other",FMS_Ranking4[[#This Row],[Rank (with ArcSinh normalization of select criteria)]],"")</f>
        <v/>
      </c>
    </row>
    <row r="832" spans="2:82" ht="30" x14ac:dyDescent="0.25">
      <c r="B832" s="342" t="s">
        <v>1137</v>
      </c>
      <c r="C832" s="287">
        <f>_xlfn.XLOOKUP(FMS_Ranking4[[#This Row],[FMS ID]],FMS_Input[FMS_ID],FMS_Input[RFPG_NUM])</f>
        <v>1</v>
      </c>
      <c r="D832" s="309" t="str">
        <f>_xlfn.XLOOKUP(FMS_Ranking4[[#This Row],[FMS ID]],FMS_Input[FMS_ID],FMS_Input[FMS_NAME])</f>
        <v>Nazareth NFIP Involvement</v>
      </c>
      <c r="E832" s="322" t="str">
        <f>_xlfn.XLOOKUP(FMS_Ranking4[[#This Row],[FMS ID]],FMS_Input[FMS_ID],FMS_Input[SPONSOR])</f>
        <v>01002818</v>
      </c>
      <c r="F832" s="309" t="str">
        <f>_xlfn.XLOOKUP(FMS_Ranking4[[#This Row],[FMS ID]],Sponsor[FMS_ID],Sponsor[SPONSOR NAME])</f>
        <v>Nazareth</v>
      </c>
      <c r="G832" s="309" t="str">
        <f>_xlfn.XLOOKUP(FMS_Ranking4[[#This Row],[FMS ID]],FMS_Input[FMS_ID],FMS_Input[FMS_DESCR])</f>
        <v>Application to join NFIP or adopt equivalent standards</v>
      </c>
      <c r="H832" s="247" t="str">
        <f>_xlfn.XLOOKUP(FMS_Ranking4[[#This Row],[FMS ID]],FMS_Input[FMS_ID],FMS_Input[FMS_TYPE])</f>
        <v>Regulatory and Guidance</v>
      </c>
      <c r="I832" s="288">
        <f>_xlfn.XLOOKUP(FMS_Ranking4[[#This Row],[FMS ID]],FMS_Input[FMS_ID],FMS_Input[NRNC_COST])</f>
        <v>100000</v>
      </c>
      <c r="J832" s="250">
        <f>_xlfn.XLOOKUP(FMS_Ranking4[[#This Row],[FMS ID]],FMS_Input[FMS_ID],FMS_Input[FMS_COST])</f>
        <v>100000</v>
      </c>
      <c r="K832" s="289" t="str">
        <f>_xlfn.XLOOKUP(FMS_Ranking4[[#This Row],[FMS ID]],FMS_Input[FMS_ID],FMS_Input[EMER_NEED])</f>
        <v>No</v>
      </c>
      <c r="L832" s="252">
        <f t="shared" si="12"/>
        <v>0</v>
      </c>
      <c r="M832" s="253">
        <f>_xlfn.XLOOKUP(FMS_Ranking4[[#This Row],[FMS ID]],FMS_Input[FMS_ID],FMS_Input[STRUCT_100])</f>
        <v>0</v>
      </c>
      <c r="N832" s="255">
        <f>(ASINH(FMS_Ranking4[[#This Row],[Structure at Risk Raw]]))*(10)/(ASINH(M$4))</f>
        <v>0</v>
      </c>
      <c r="O832" s="255">
        <f>FMS_Ranking4[[#This Row],[Structures at risk, ArcSinh (0-10)]]*M$5*10</f>
        <v>0</v>
      </c>
      <c r="P832" s="259">
        <f>_xlfn.XLOOKUP(FMS_Ranking4[[#This Row],[FMS ID]],FMS_Input[FMS_ID],FMS_Input[RES_STRUCT100])</f>
        <v>0</v>
      </c>
      <c r="Q832" s="257">
        <f>ASINH(FMS_Ranking4[[#This Row],[Res Structure Raw]])/Q$4*P$5*100</f>
        <v>0</v>
      </c>
      <c r="R832" s="259">
        <f>_xlfn.XLOOKUP(FMS_Ranking4[[#This Row],[FMS ID]],FMS_Input[FMS_ID],FMS_Input[POP100])</f>
        <v>0</v>
      </c>
      <c r="S832" s="259">
        <f>(ASINH(FMS_Ranking4[[#This Row],[Pop at Risk Raw]]))*(10)/(ASINH(R$4))</f>
        <v>0</v>
      </c>
      <c r="T832" s="257">
        <f>FMS_Ranking4[[#This Row],[Population at risk, ArcSinh (0-10)]]*R$5*10</f>
        <v>0</v>
      </c>
      <c r="U832" s="259">
        <f>_xlfn.XLOOKUP(FMS_Ranking4[[#This Row],[FMS ID]],FMS_Input[FMS_ID],FMS_Input[CRITFAC100])</f>
        <v>0</v>
      </c>
      <c r="V832" s="259">
        <f>(ASINH(FMS_Ranking4[[#This Row],[Critical Facilities Raw]]))*(10)/(ASINH(U$4))</f>
        <v>0</v>
      </c>
      <c r="W832" s="257">
        <f>FMS_Ranking4[[#This Row],[Critical facilities at risk, ArcSinh (0-10)]]*U$5*10</f>
        <v>0</v>
      </c>
      <c r="X832" s="259">
        <f>_xlfn.XLOOKUP(FMS_Ranking4[[#This Row],[FMS ID]],FMS_Input[FMS_ID],FMS_Input[LWC])</f>
        <v>0</v>
      </c>
      <c r="Y832" s="259">
        <f>(ASINH(FMS_Ranking4[[#This Row],[LWC Raw]]))*(10)/(ASINH(X$4))</f>
        <v>0</v>
      </c>
      <c r="Z832" s="257">
        <f>FMS_Ranking4[[#This Row],[LWC, ArcSInh (0-10)]]*X$5*10</f>
        <v>0</v>
      </c>
      <c r="AA832" s="259">
        <f>_xlfn.XLOOKUP(FMS_Ranking4[[#This Row],[FMS ID]],FMS_Input[FMS_ID],FMS_Input[ROADCLS])</f>
        <v>0</v>
      </c>
      <c r="AB832" s="255">
        <f>(ASINH(FMS_Ranking4[[#This Row],[Road Closures Raw]]))*(10)/(ASINH(AA$4))</f>
        <v>0</v>
      </c>
      <c r="AC832" s="255">
        <f>FMS_Ranking4[[#This Row],[Road closures, ArcSinh (0-10)]]*AA$5*10</f>
        <v>0</v>
      </c>
      <c r="AD832" s="259">
        <f>_xlfn.XLOOKUP(FMS_Ranking4[[#This Row],[FMS ID]],FMS_Input[FMS_ID],FMS_Input[ROAD_MILES100])</f>
        <v>0</v>
      </c>
      <c r="AE832" s="259">
        <f>(ASINH(FMS_Ranking4[[#This Row],[Road Miles Raw]]))*(10)/(ASINH(AD$4))</f>
        <v>0</v>
      </c>
      <c r="AF832" s="257">
        <f>FMS_Ranking4[[#This Row],[Length of roads at risk, ArcSinh (0-10)]]*AD$5*10</f>
        <v>0</v>
      </c>
      <c r="AG832" s="259">
        <f>_xlfn.XLOOKUP(FMS_Ranking4[[#This Row],[FMS ID]],FMS_Input[FMS_ID],FMS_Input[FARMACRE100])</f>
        <v>0</v>
      </c>
      <c r="AH832" s="255">
        <f>(ASINH(FMS_Ranking4[[#This Row],[Ag Land Raw]]))*(10)/(ASINH(AG$4))</f>
        <v>0</v>
      </c>
      <c r="AI832" s="254">
        <f>FMS_Ranking4[[#This Row],[Farm &amp; ranch land, ArcSinh (0-10)]]*AG$5*10</f>
        <v>0</v>
      </c>
      <c r="AJ832" s="258">
        <f>_xlfn.XLOOKUP(FMS_Ranking4[[#This Row],[FMS ID]],FMS_Input[FMS_ID],FMS_Input[REDSTRUCT100])</f>
        <v>0</v>
      </c>
      <c r="AK832" s="253">
        <f>_xlfn.XLOOKUP(FMS_Ranking4[[#This Row],[FMS ID]],FMS_Input[FMS_ID],FMS_Input[REMSTRC100])</f>
        <v>0</v>
      </c>
      <c r="AL832" s="259">
        <f>(ASINH(FMS_Ranking4[[#This Row],[Structures Removed Raw]]))*(10)/(ASINH(AK$4))</f>
        <v>0</v>
      </c>
      <c r="AM832" s="254">
        <f>FMS_Ranking4[[#This Row],[Structures removed, ArcSinh (0-10)]]*AK$5*10</f>
        <v>0</v>
      </c>
      <c r="AN832" s="253">
        <f>_xlfn.XLOOKUP(FMS_Ranking4[[#This Row],[FMS ID]],FMS_Input[FMS_ID],FMS_Input[REMRESSTRC100])</f>
        <v>0</v>
      </c>
      <c r="AO832" s="258">
        <f>FMS_Ranking4[[#This Row],[ArcSinh Res struct removed 0-10]]*AN$5*10</f>
        <v>0</v>
      </c>
      <c r="AP832" s="254">
        <f>ASINH(FMS_Ranking4[[#This Row],[Residential Structures Removed Raw]])/AP$4*AN$5*100</f>
        <v>0</v>
      </c>
      <c r="AQ832" s="260">
        <f>(ASINH(FMS_Ranking4[[#This Row],[Residential Structures Removed Raw]]))*(10)/(ASINH(AN$4))</f>
        <v>0</v>
      </c>
      <c r="AR832" s="253">
        <f>_xlfn.XLOOKUP(FMS_Ranking4[[#This Row],[FMS ID]],FMS_Input[FMS_ID],FMS_Input[REMPOP100])</f>
        <v>0</v>
      </c>
      <c r="AS832" s="259">
        <f>(ASINH(FMS_Ranking4[[#This Row],[Removed Pop Raw]]))*(10)/(ASINH(AR$4))</f>
        <v>0</v>
      </c>
      <c r="AT832" s="263">
        <f>FMS_Ranking4[[#This Row],[Removed population, ArcSinh (0-10)]]*AR$5*10</f>
        <v>0</v>
      </c>
      <c r="AU832" s="264">
        <f>_xlfn.XLOOKUP(FMS_Ranking4[[#This Row],[FMS ID]],FMS_Input[FMS_ID],FMS_Input[REMCRITFAC100])</f>
        <v>0</v>
      </c>
      <c r="AV832" s="264">
        <f>_xlfn.XLOOKUP(FMS_Ranking4[[#This Row],[FMS ID]],FMS_Input[FMS_ID],FMS_Input[REMLWC100])</f>
        <v>0</v>
      </c>
      <c r="AW832" s="264">
        <f>_xlfn.XLOOKUP(FMS_Ranking4[[#This Row],[FMS ID]],FMS_Input[FMS_ID],FMS_Input[REMROADCLS])</f>
        <v>0</v>
      </c>
      <c r="AX832" s="264">
        <f>_xlfn.XLOOKUP(FMS_Ranking4[[#This Row],[FMS ID]],FMS_Input[FMS_ID],FMS_Input[REMFRMACRE100])</f>
        <v>0</v>
      </c>
      <c r="AY832" s="258">
        <f>_xlfn.XLOOKUP(FMS_Ranking4[[#This Row],[FMS ID]],FMS_Input[FMS_ID],FMS_Input[COSTSTRUCT])</f>
        <v>0</v>
      </c>
      <c r="AZ832" s="258">
        <f>_xlfn.XLOOKUP(FMS_Ranking4[[#This Row],[FMS ID]],FMS_Input[FMS_ID],FMS_Input[NATURE])</f>
        <v>0</v>
      </c>
      <c r="BA832" s="290">
        <f>(((FMS_Ranking4[[#This Row],[% NBS Raw]]/AZ$4)*100)*AZ$5)</f>
        <v>0</v>
      </c>
      <c r="BB832" s="251" t="str">
        <f>_xlfn.XLOOKUP(FMS_Ranking4[[#This Row],[FMS ID]],FMS_Input[FMS_ID],FMS_Input[WATER_SUP])</f>
        <v>No</v>
      </c>
      <c r="BC832" s="265">
        <f>IF(FMS_Ranking4[[#This Row],[Water Supply Raw]]="Yes",10,0)</f>
        <v>0</v>
      </c>
      <c r="BD832" s="251">
        <f>_xlfn.XLOOKUP(FMS_Ranking4[[#This Row],[FMS Type]],FMS_TYPE[FMS_Type],FMS_TYPE[Score])</f>
        <v>8</v>
      </c>
      <c r="BE832" s="267">
        <f>FMS_Ranking4[[#This Row],[FMS_Type Score]]*$BD$5*10</f>
        <v>2</v>
      </c>
      <c r="BF832"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2" s="269">
        <f>_xlfn.RANK.EQ(BF832,$BF$8:$BF$870,0)+COUNTIF($BF$8:BF832,BF832)-1</f>
        <v>832</v>
      </c>
      <c r="BH832" s="268">
        <f>(((FMS_Ranking4[[#This Row],[Structures Removed Raw]]/AK$4)*100)*AK$5)+(((FMS_Ranking4[[#This Row],[Removed Pop Raw]]/AR$4)*100)*AR$5)</f>
        <v>0</v>
      </c>
      <c r="BI83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2" s="326">
        <f>_xlfn.RANK.EQ(FMS_Ranking4[[#This Row],[Total Score 
(with linear
normalization)]],FMS_Ranking4[Total Score 
(with linear
normalization)],0)</f>
        <v>503</v>
      </c>
      <c r="BK832" s="269" t="e">
        <f>_xlfn.XLOOKUP(FMS_Ranking4[[#This Row],[FMS ID]],#REF!,#REF!)</f>
        <v>#REF!</v>
      </c>
      <c r="BL832"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2" s="331">
        <f>FMS_Ranking4[[#This Row],[ArcSinh Score Based on Normalized Reported Factors]]+FMS_Ranking4[[#This Row],[% NBS Score (Normalized)]]+(FMS_Ranking4[[#This Row],[Water Supply Score (Normalized)]]*10*$BB$5)+FMS_Ranking4[[#This Row],[FMS_Type Score Weighted]]</f>
        <v>2</v>
      </c>
      <c r="BN832" s="333">
        <f>_xlfn.RANK.EQ(FMS_Ranking4[[#This Row],[Total Score (with ArcSinh normalization of select criteria)]],FMS_Ranking4[Total Score (with ArcSinh normalization of select criteria)],0)</f>
        <v>817</v>
      </c>
      <c r="BO832" s="270" t="str">
        <f>_xlfn.XLOOKUP(FMS_Ranking4[[#This Row],[FMS ID]],FMS_Input[FMS_ID],FMS_Input[FMS_RANK_YEAR])</f>
        <v>2023 Amended Plan</v>
      </c>
      <c r="BP832" s="204">
        <f>_xlfn.XLOOKUP(FMS_Ranking4[[#This Row],[FMS ID]],Prev_Rank[FMS ID],Prev_Rank[Prev Rank])</f>
        <v>741</v>
      </c>
      <c r="BQ832" s="335" t="e">
        <f>_xlfn.XLOOKUP(FMS_Ranking4[[#This Row],[FMS ID]],#REF!,#REF!)</f>
        <v>#REF!</v>
      </c>
      <c r="BR832" s="199" t="e">
        <f>SUM(#REF!,#REF!,#REF!,#REF!,#REF!,#REF!,#REF!,#REF!,#REF!,FMS_Ranking4[[#This Row],[ArcSinh Res struct removed 0-10]],#REF!)</f>
        <v>#REF!</v>
      </c>
      <c r="BS832" s="199" t="e">
        <f>FMS_Ranking4[[#This Row],[Log Score Based on Normalized Reported Factors]]+FMS_Ranking4[[#This Row],[% NBS Score (Normalized)]]+(FMS_Ranking4[[#This Row],[Water Supply Score (Normalized)]]*10*$BB$5)+(FMS_Ranking4[[#This Row],[FMS_Type Score Weighted]])</f>
        <v>#REF!</v>
      </c>
      <c r="BT832" s="200" t="e">
        <f>_xlfn.RANK.EQ(FMS_Ranking4[[#This Row],[Log Total Score]],FMS_Ranking4[Log Total Score],0)</f>
        <v>#REF!</v>
      </c>
      <c r="BU832" s="200" t="e">
        <f>_xlfn.XLOOKUP(FMS_Ranking4[[#This Row],[FMS ID]],#REF!,#REF!)</f>
        <v>#REF!</v>
      </c>
      <c r="BV832" s="200">
        <f>FMS_Ranking4[[#This Row],[Region Number]]</f>
        <v>1</v>
      </c>
      <c r="BW832" s="200">
        <f>FMS_Ranking4[[#This Row],[Rank (with ArcSinh normalization of select criteria)]]-FMS_Ranking4[[#This Row],[Rank
(with linear
normalization)]]</f>
        <v>314</v>
      </c>
      <c r="BX832" s="200" t="e">
        <f>FMS_Ranking4[[#This Row],[Log Rank]]-FMS_Ranking4[[#This Row],[Rank
(with linear
normalization)]]</f>
        <v>#REF!</v>
      </c>
      <c r="BY832" s="200" t="str">
        <f>IF(FMS_Ranking4[[#This Row],[FMS Type]]="Flood Measurement and Warning",FMS_Ranking4[[#This Row],[Rank (with ArcSinh normalization of select criteria)]],"")</f>
        <v/>
      </c>
      <c r="BZ832" s="200">
        <f>IF(FMS_Ranking4[[#This Row],[FMS Type]]="Regulatory and Guidance",FMS_Ranking4[[#This Row],[Rank (with ArcSinh normalization of select criteria)]],"")</f>
        <v>817</v>
      </c>
      <c r="CA832" s="200" t="str">
        <f>IF(FMS_Ranking4[[#This Row],[FMS Type]]="Education and Outreach",FMS_Ranking4[[#This Row],[Rank (with ArcSinh normalization of select criteria)]],"")</f>
        <v/>
      </c>
      <c r="CB832" s="200" t="str">
        <f>IF(FMS_Ranking4[[#This Row],[FMS Type]]="Property Acquisition and Structural Elevation",FMS_Ranking4[[#This Row],[Rank (with ArcSinh normalization of select criteria)]],"")</f>
        <v/>
      </c>
      <c r="CC832" s="200" t="str">
        <f>IF(FMS_Ranking4[[#This Row],[FMS Type]]="Infrastructure Projects",FMS_Ranking4[[#This Row],[Rank (with ArcSinh normalization of select criteria)]],"")</f>
        <v/>
      </c>
      <c r="CD832" s="200" t="str">
        <f>IF(FMS_Ranking4[[#This Row],[FMS Type]]="Other",FMS_Ranking4[[#This Row],[Rank (with ArcSinh normalization of select criteria)]],"")</f>
        <v/>
      </c>
    </row>
    <row r="833" spans="2:82" ht="30" x14ac:dyDescent="0.25">
      <c r="B833" s="342" t="s">
        <v>1171</v>
      </c>
      <c r="C833" s="287">
        <f>_xlfn.XLOOKUP(FMS_Ranking4[[#This Row],[FMS ID]],FMS_Input[FMS_ID],FMS_Input[RFPG_NUM])</f>
        <v>1</v>
      </c>
      <c r="D833" s="309" t="str">
        <f>_xlfn.XLOOKUP(FMS_Ranking4[[#This Row],[FMS ID]],FMS_Input[FMS_ID],FMS_Input[FMS_NAME])</f>
        <v>Stratford NFIP Involvement</v>
      </c>
      <c r="E833" s="322" t="str">
        <f>_xlfn.XLOOKUP(FMS_Ranking4[[#This Row],[FMS ID]],FMS_Input[FMS_ID],FMS_Input[SPONSOR])</f>
        <v>01002803</v>
      </c>
      <c r="F833" s="309" t="str">
        <f>_xlfn.XLOOKUP(FMS_Ranking4[[#This Row],[FMS ID]],Sponsor[FMS_ID],Sponsor[SPONSOR NAME])</f>
        <v>Stratford</v>
      </c>
      <c r="G833" s="309" t="str">
        <f>_xlfn.XLOOKUP(FMS_Ranking4[[#This Row],[FMS ID]],FMS_Input[FMS_ID],FMS_Input[FMS_DESCR])</f>
        <v>Application to join NFIP or adopt equivalent standards</v>
      </c>
      <c r="H833" s="247" t="str">
        <f>_xlfn.XLOOKUP(FMS_Ranking4[[#This Row],[FMS ID]],FMS_Input[FMS_ID],FMS_Input[FMS_TYPE])</f>
        <v>Regulatory and Guidance</v>
      </c>
      <c r="I833" s="288">
        <f>_xlfn.XLOOKUP(FMS_Ranking4[[#This Row],[FMS ID]],FMS_Input[FMS_ID],FMS_Input[NRNC_COST])</f>
        <v>100000</v>
      </c>
      <c r="J833" s="250">
        <f>_xlfn.XLOOKUP(FMS_Ranking4[[#This Row],[FMS ID]],FMS_Input[FMS_ID],FMS_Input[FMS_COST])</f>
        <v>100000</v>
      </c>
      <c r="K833" s="289" t="str">
        <f>_xlfn.XLOOKUP(FMS_Ranking4[[#This Row],[FMS ID]],FMS_Input[FMS_ID],FMS_Input[EMER_NEED])</f>
        <v>No</v>
      </c>
      <c r="L833" s="252">
        <f t="shared" si="12"/>
        <v>0</v>
      </c>
      <c r="M833" s="253">
        <f>_xlfn.XLOOKUP(FMS_Ranking4[[#This Row],[FMS ID]],FMS_Input[FMS_ID],FMS_Input[STRUCT_100])</f>
        <v>0</v>
      </c>
      <c r="N833" s="255">
        <f>(ASINH(FMS_Ranking4[[#This Row],[Structure at Risk Raw]]))*(10)/(ASINH(M$4))</f>
        <v>0</v>
      </c>
      <c r="O833" s="255">
        <f>FMS_Ranking4[[#This Row],[Structures at risk, ArcSinh (0-10)]]*M$5*10</f>
        <v>0</v>
      </c>
      <c r="P833" s="259">
        <f>_xlfn.XLOOKUP(FMS_Ranking4[[#This Row],[FMS ID]],FMS_Input[FMS_ID],FMS_Input[RES_STRUCT100])</f>
        <v>0</v>
      </c>
      <c r="Q833" s="257">
        <f>ASINH(FMS_Ranking4[[#This Row],[Res Structure Raw]])/Q$4*P$5*100</f>
        <v>0</v>
      </c>
      <c r="R833" s="259">
        <f>_xlfn.XLOOKUP(FMS_Ranking4[[#This Row],[FMS ID]],FMS_Input[FMS_ID],FMS_Input[POP100])</f>
        <v>0</v>
      </c>
      <c r="S833" s="259">
        <f>(ASINH(FMS_Ranking4[[#This Row],[Pop at Risk Raw]]))*(10)/(ASINH(R$4))</f>
        <v>0</v>
      </c>
      <c r="T833" s="257">
        <f>FMS_Ranking4[[#This Row],[Population at risk, ArcSinh (0-10)]]*R$5*10</f>
        <v>0</v>
      </c>
      <c r="U833" s="259">
        <f>_xlfn.XLOOKUP(FMS_Ranking4[[#This Row],[FMS ID]],FMS_Input[FMS_ID],FMS_Input[CRITFAC100])</f>
        <v>0</v>
      </c>
      <c r="V833" s="259">
        <f>(ASINH(FMS_Ranking4[[#This Row],[Critical Facilities Raw]]))*(10)/(ASINH(U$4))</f>
        <v>0</v>
      </c>
      <c r="W833" s="257">
        <f>FMS_Ranking4[[#This Row],[Critical facilities at risk, ArcSinh (0-10)]]*U$5*10</f>
        <v>0</v>
      </c>
      <c r="X833" s="259">
        <f>_xlfn.XLOOKUP(FMS_Ranking4[[#This Row],[FMS ID]],FMS_Input[FMS_ID],FMS_Input[LWC])</f>
        <v>0</v>
      </c>
      <c r="Y833" s="259">
        <f>(ASINH(FMS_Ranking4[[#This Row],[LWC Raw]]))*(10)/(ASINH(X$4))</f>
        <v>0</v>
      </c>
      <c r="Z833" s="257">
        <f>FMS_Ranking4[[#This Row],[LWC, ArcSInh (0-10)]]*X$5*10</f>
        <v>0</v>
      </c>
      <c r="AA833" s="259">
        <f>_xlfn.XLOOKUP(FMS_Ranking4[[#This Row],[FMS ID]],FMS_Input[FMS_ID],FMS_Input[ROADCLS])</f>
        <v>0</v>
      </c>
      <c r="AB833" s="255">
        <f>(ASINH(FMS_Ranking4[[#This Row],[Road Closures Raw]]))*(10)/(ASINH(AA$4))</f>
        <v>0</v>
      </c>
      <c r="AC833" s="255">
        <f>FMS_Ranking4[[#This Row],[Road closures, ArcSinh (0-10)]]*AA$5*10</f>
        <v>0</v>
      </c>
      <c r="AD833" s="259">
        <f>_xlfn.XLOOKUP(FMS_Ranking4[[#This Row],[FMS ID]],FMS_Input[FMS_ID],FMS_Input[ROAD_MILES100])</f>
        <v>0</v>
      </c>
      <c r="AE833" s="259">
        <f>(ASINH(FMS_Ranking4[[#This Row],[Road Miles Raw]]))*(10)/(ASINH(AD$4))</f>
        <v>0</v>
      </c>
      <c r="AF833" s="257">
        <f>FMS_Ranking4[[#This Row],[Length of roads at risk, ArcSinh (0-10)]]*AD$5*10</f>
        <v>0</v>
      </c>
      <c r="AG833" s="259">
        <f>_xlfn.XLOOKUP(FMS_Ranking4[[#This Row],[FMS ID]],FMS_Input[FMS_ID],FMS_Input[FARMACRE100])</f>
        <v>0</v>
      </c>
      <c r="AH833" s="255">
        <f>(ASINH(FMS_Ranking4[[#This Row],[Ag Land Raw]]))*(10)/(ASINH(AG$4))</f>
        <v>0</v>
      </c>
      <c r="AI833" s="254">
        <f>FMS_Ranking4[[#This Row],[Farm &amp; ranch land, ArcSinh (0-10)]]*AG$5*10</f>
        <v>0</v>
      </c>
      <c r="AJ833" s="258">
        <f>_xlfn.XLOOKUP(FMS_Ranking4[[#This Row],[FMS ID]],FMS_Input[FMS_ID],FMS_Input[REDSTRUCT100])</f>
        <v>0</v>
      </c>
      <c r="AK833" s="253">
        <f>_xlfn.XLOOKUP(FMS_Ranking4[[#This Row],[FMS ID]],FMS_Input[FMS_ID],FMS_Input[REMSTRC100])</f>
        <v>0</v>
      </c>
      <c r="AL833" s="259">
        <f>(ASINH(FMS_Ranking4[[#This Row],[Structures Removed Raw]]))*(10)/(ASINH(AK$4))</f>
        <v>0</v>
      </c>
      <c r="AM833" s="254">
        <f>FMS_Ranking4[[#This Row],[Structures removed, ArcSinh (0-10)]]*AK$5*10</f>
        <v>0</v>
      </c>
      <c r="AN833" s="253">
        <f>_xlfn.XLOOKUP(FMS_Ranking4[[#This Row],[FMS ID]],FMS_Input[FMS_ID],FMS_Input[REMRESSTRC100])</f>
        <v>0</v>
      </c>
      <c r="AO833" s="258">
        <f>FMS_Ranking4[[#This Row],[ArcSinh Res struct removed 0-10]]*AN$5*10</f>
        <v>0</v>
      </c>
      <c r="AP833" s="254">
        <f>ASINH(FMS_Ranking4[[#This Row],[Residential Structures Removed Raw]])/AP$4*AN$5*100</f>
        <v>0</v>
      </c>
      <c r="AQ833" s="260">
        <f>(ASINH(FMS_Ranking4[[#This Row],[Residential Structures Removed Raw]]))*(10)/(ASINH(AN$4))</f>
        <v>0</v>
      </c>
      <c r="AR833" s="253">
        <f>_xlfn.XLOOKUP(FMS_Ranking4[[#This Row],[FMS ID]],FMS_Input[FMS_ID],FMS_Input[REMPOP100])</f>
        <v>0</v>
      </c>
      <c r="AS833" s="259">
        <f>(ASINH(FMS_Ranking4[[#This Row],[Removed Pop Raw]]))*(10)/(ASINH(AR$4))</f>
        <v>0</v>
      </c>
      <c r="AT833" s="263">
        <f>FMS_Ranking4[[#This Row],[Removed population, ArcSinh (0-10)]]*AR$5*10</f>
        <v>0</v>
      </c>
      <c r="AU833" s="264">
        <f>_xlfn.XLOOKUP(FMS_Ranking4[[#This Row],[FMS ID]],FMS_Input[FMS_ID],FMS_Input[REMCRITFAC100])</f>
        <v>0</v>
      </c>
      <c r="AV833" s="264">
        <f>_xlfn.XLOOKUP(FMS_Ranking4[[#This Row],[FMS ID]],FMS_Input[FMS_ID],FMS_Input[REMLWC100])</f>
        <v>0</v>
      </c>
      <c r="AW833" s="264">
        <f>_xlfn.XLOOKUP(FMS_Ranking4[[#This Row],[FMS ID]],FMS_Input[FMS_ID],FMS_Input[REMROADCLS])</f>
        <v>0</v>
      </c>
      <c r="AX833" s="264">
        <f>_xlfn.XLOOKUP(FMS_Ranking4[[#This Row],[FMS ID]],FMS_Input[FMS_ID],FMS_Input[REMFRMACRE100])</f>
        <v>0</v>
      </c>
      <c r="AY833" s="258">
        <f>_xlfn.XLOOKUP(FMS_Ranking4[[#This Row],[FMS ID]],FMS_Input[FMS_ID],FMS_Input[COSTSTRUCT])</f>
        <v>0</v>
      </c>
      <c r="AZ833" s="258">
        <f>_xlfn.XLOOKUP(FMS_Ranking4[[#This Row],[FMS ID]],FMS_Input[FMS_ID],FMS_Input[NATURE])</f>
        <v>0</v>
      </c>
      <c r="BA833" s="290">
        <f>(((FMS_Ranking4[[#This Row],[% NBS Raw]]/AZ$4)*100)*AZ$5)</f>
        <v>0</v>
      </c>
      <c r="BB833" s="251" t="str">
        <f>_xlfn.XLOOKUP(FMS_Ranking4[[#This Row],[FMS ID]],FMS_Input[FMS_ID],FMS_Input[WATER_SUP])</f>
        <v>No</v>
      </c>
      <c r="BC833" s="265">
        <f>IF(FMS_Ranking4[[#This Row],[Water Supply Raw]]="Yes",10,0)</f>
        <v>0</v>
      </c>
      <c r="BD833" s="251">
        <f>_xlfn.XLOOKUP(FMS_Ranking4[[#This Row],[FMS Type]],FMS_TYPE[FMS_Type],FMS_TYPE[Score])</f>
        <v>8</v>
      </c>
      <c r="BE833" s="267">
        <f>FMS_Ranking4[[#This Row],[FMS_Type Score]]*$BD$5*10</f>
        <v>2</v>
      </c>
      <c r="BF833"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3" s="271">
        <f>_xlfn.RANK.EQ(BF833,$BF$8:$BF$870,0)+COUNTIF($BF$8:BF833,BF833)-1</f>
        <v>833</v>
      </c>
      <c r="BH833" s="268">
        <f>(((FMS_Ranking4[[#This Row],[Structures Removed Raw]]/AK$4)*100)*AK$5)+(((FMS_Ranking4[[#This Row],[Removed Pop Raw]]/AR$4)*100)*AR$5)</f>
        <v>0</v>
      </c>
      <c r="BI83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3" s="325">
        <f>_xlfn.RANK.EQ(FMS_Ranking4[[#This Row],[Total Score 
(with linear
normalization)]],FMS_Ranking4[Total Score 
(with linear
normalization)],0)</f>
        <v>503</v>
      </c>
      <c r="BK833" s="327" t="e">
        <f>_xlfn.XLOOKUP(FMS_Ranking4[[#This Row],[FMS ID]],#REF!,#REF!)</f>
        <v>#REF!</v>
      </c>
      <c r="BL833"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3" s="330">
        <f>FMS_Ranking4[[#This Row],[ArcSinh Score Based on Normalized Reported Factors]]+FMS_Ranking4[[#This Row],[% NBS Score (Normalized)]]+(FMS_Ranking4[[#This Row],[Water Supply Score (Normalized)]]*10*$BB$5)+FMS_Ranking4[[#This Row],[FMS_Type Score Weighted]]</f>
        <v>2</v>
      </c>
      <c r="BN833" s="332">
        <f>_xlfn.RANK.EQ(FMS_Ranking4[[#This Row],[Total Score (with ArcSinh normalization of select criteria)]],FMS_Ranking4[Total Score (with ArcSinh normalization of select criteria)],0)</f>
        <v>817</v>
      </c>
      <c r="BO833" s="270" t="str">
        <f>_xlfn.XLOOKUP(FMS_Ranking4[[#This Row],[FMS ID]],FMS_Input[FMS_ID],FMS_Input[FMS_RANK_YEAR])</f>
        <v>2023 Amended Plan</v>
      </c>
      <c r="BP833" s="204">
        <f>_xlfn.XLOOKUP(FMS_Ranking4[[#This Row],[FMS ID]],Prev_Rank[FMS ID],Prev_Rank[Prev Rank])</f>
        <v>741</v>
      </c>
      <c r="BQ833" s="334" t="e">
        <f>_xlfn.XLOOKUP(FMS_Ranking4[[#This Row],[FMS ID]],#REF!,#REF!)</f>
        <v>#REF!</v>
      </c>
      <c r="BR833" s="199" t="e">
        <f>SUM(#REF!,#REF!,#REF!,#REF!,#REF!,#REF!,#REF!,#REF!,#REF!,FMS_Ranking4[[#This Row],[ArcSinh Res struct removed 0-10]],#REF!)</f>
        <v>#REF!</v>
      </c>
      <c r="BS833" s="199" t="e">
        <f>FMS_Ranking4[[#This Row],[Log Score Based on Normalized Reported Factors]]+FMS_Ranking4[[#This Row],[% NBS Score (Normalized)]]+(FMS_Ranking4[[#This Row],[Water Supply Score (Normalized)]]*10*$BB$5)+(FMS_Ranking4[[#This Row],[FMS_Type Score Weighted]])</f>
        <v>#REF!</v>
      </c>
      <c r="BT833" s="200" t="e">
        <f>_xlfn.RANK.EQ(FMS_Ranking4[[#This Row],[Log Total Score]],FMS_Ranking4[Log Total Score],0)</f>
        <v>#REF!</v>
      </c>
      <c r="BU833" s="200" t="e">
        <f>_xlfn.XLOOKUP(FMS_Ranking4[[#This Row],[FMS ID]],#REF!,#REF!)</f>
        <v>#REF!</v>
      </c>
      <c r="BV833" s="200">
        <f>FMS_Ranking4[[#This Row],[Region Number]]</f>
        <v>1</v>
      </c>
      <c r="BW833" s="200">
        <f>FMS_Ranking4[[#This Row],[Rank (with ArcSinh normalization of select criteria)]]-FMS_Ranking4[[#This Row],[Rank
(with linear
normalization)]]</f>
        <v>314</v>
      </c>
      <c r="BX833" s="200" t="e">
        <f>FMS_Ranking4[[#This Row],[Log Rank]]-FMS_Ranking4[[#This Row],[Rank
(with linear
normalization)]]</f>
        <v>#REF!</v>
      </c>
      <c r="BY833" s="200" t="str">
        <f>IF(FMS_Ranking4[[#This Row],[FMS Type]]="Flood Measurement and Warning",FMS_Ranking4[[#This Row],[Rank (with ArcSinh normalization of select criteria)]],"")</f>
        <v/>
      </c>
      <c r="BZ833" s="200">
        <f>IF(FMS_Ranking4[[#This Row],[FMS Type]]="Regulatory and Guidance",FMS_Ranking4[[#This Row],[Rank (with ArcSinh normalization of select criteria)]],"")</f>
        <v>817</v>
      </c>
      <c r="CA833" s="200" t="str">
        <f>IF(FMS_Ranking4[[#This Row],[FMS Type]]="Education and Outreach",FMS_Ranking4[[#This Row],[Rank (with ArcSinh normalization of select criteria)]],"")</f>
        <v/>
      </c>
      <c r="CB833" s="200" t="str">
        <f>IF(FMS_Ranking4[[#This Row],[FMS Type]]="Property Acquisition and Structural Elevation",FMS_Ranking4[[#This Row],[Rank (with ArcSinh normalization of select criteria)]],"")</f>
        <v/>
      </c>
      <c r="CC833" s="200" t="str">
        <f>IF(FMS_Ranking4[[#This Row],[FMS Type]]="Infrastructure Projects",FMS_Ranking4[[#This Row],[Rank (with ArcSinh normalization of select criteria)]],"")</f>
        <v/>
      </c>
      <c r="CD833" s="200" t="str">
        <f>IF(FMS_Ranking4[[#This Row],[FMS Type]]="Other",FMS_Ranking4[[#This Row],[Rank (with ArcSinh normalization of select criteria)]],"")</f>
        <v/>
      </c>
    </row>
    <row r="834" spans="2:82" ht="30" x14ac:dyDescent="0.25">
      <c r="B834" s="342" t="s">
        <v>1222</v>
      </c>
      <c r="C834" s="287">
        <f>_xlfn.XLOOKUP(FMS_Ranking4[[#This Row],[FMS ID]],FMS_Input[FMS_ID],FMS_Input[RFPG_NUM])</f>
        <v>1</v>
      </c>
      <c r="D834" s="309" t="str">
        <f>_xlfn.XLOOKUP(FMS_Ranking4[[#This Row],[FMS ID]],FMS_Input[FMS_ID],FMS_Input[FMS_NAME])</f>
        <v>Silverton NFIP Involvement</v>
      </c>
      <c r="E834" s="322" t="str">
        <f>_xlfn.XLOOKUP(FMS_Ranking4[[#This Row],[FMS ID]],FMS_Input[FMS_ID],FMS_Input[SPONSOR])</f>
        <v>01002683</v>
      </c>
      <c r="F834" s="309" t="str">
        <f>_xlfn.XLOOKUP(FMS_Ranking4[[#This Row],[FMS ID]],Sponsor[FMS_ID],Sponsor[SPONSOR NAME])</f>
        <v>Silverton</v>
      </c>
      <c r="G834" s="309" t="str">
        <f>_xlfn.XLOOKUP(FMS_Ranking4[[#This Row],[FMS ID]],FMS_Input[FMS_ID],FMS_Input[FMS_DESCR])</f>
        <v>Application to join NFIP or adopt equivalent standards</v>
      </c>
      <c r="H834" s="247" t="str">
        <f>_xlfn.XLOOKUP(FMS_Ranking4[[#This Row],[FMS ID]],FMS_Input[FMS_ID],FMS_Input[FMS_TYPE])</f>
        <v>Regulatory and Guidance</v>
      </c>
      <c r="I834" s="288">
        <f>_xlfn.XLOOKUP(FMS_Ranking4[[#This Row],[FMS ID]],FMS_Input[FMS_ID],FMS_Input[NRNC_COST])</f>
        <v>100000</v>
      </c>
      <c r="J834" s="250">
        <f>_xlfn.XLOOKUP(FMS_Ranking4[[#This Row],[FMS ID]],FMS_Input[FMS_ID],FMS_Input[FMS_COST])</f>
        <v>100000</v>
      </c>
      <c r="K834" s="289" t="str">
        <f>_xlfn.XLOOKUP(FMS_Ranking4[[#This Row],[FMS ID]],FMS_Input[FMS_ID],FMS_Input[EMER_NEED])</f>
        <v>No</v>
      </c>
      <c r="L834" s="252">
        <f t="shared" si="12"/>
        <v>0</v>
      </c>
      <c r="M834" s="253">
        <f>_xlfn.XLOOKUP(FMS_Ranking4[[#This Row],[FMS ID]],FMS_Input[FMS_ID],FMS_Input[STRUCT_100])</f>
        <v>0</v>
      </c>
      <c r="N834" s="255">
        <f>(ASINH(FMS_Ranking4[[#This Row],[Structure at Risk Raw]]))*(10)/(ASINH(M$4))</f>
        <v>0</v>
      </c>
      <c r="O834" s="255">
        <f>FMS_Ranking4[[#This Row],[Structures at risk, ArcSinh (0-10)]]*M$5*10</f>
        <v>0</v>
      </c>
      <c r="P834" s="259">
        <f>_xlfn.XLOOKUP(FMS_Ranking4[[#This Row],[FMS ID]],FMS_Input[FMS_ID],FMS_Input[RES_STRUCT100])</f>
        <v>0</v>
      </c>
      <c r="Q834" s="257">
        <f>ASINH(FMS_Ranking4[[#This Row],[Res Structure Raw]])/Q$4*P$5*100</f>
        <v>0</v>
      </c>
      <c r="R834" s="259">
        <f>_xlfn.XLOOKUP(FMS_Ranking4[[#This Row],[FMS ID]],FMS_Input[FMS_ID],FMS_Input[POP100])</f>
        <v>0</v>
      </c>
      <c r="S834" s="259">
        <f>(ASINH(FMS_Ranking4[[#This Row],[Pop at Risk Raw]]))*(10)/(ASINH(R$4))</f>
        <v>0</v>
      </c>
      <c r="T834" s="257">
        <f>FMS_Ranking4[[#This Row],[Population at risk, ArcSinh (0-10)]]*R$5*10</f>
        <v>0</v>
      </c>
      <c r="U834" s="259">
        <f>_xlfn.XLOOKUP(FMS_Ranking4[[#This Row],[FMS ID]],FMS_Input[FMS_ID],FMS_Input[CRITFAC100])</f>
        <v>0</v>
      </c>
      <c r="V834" s="259">
        <f>(ASINH(FMS_Ranking4[[#This Row],[Critical Facilities Raw]]))*(10)/(ASINH(U$4))</f>
        <v>0</v>
      </c>
      <c r="W834" s="257">
        <f>FMS_Ranking4[[#This Row],[Critical facilities at risk, ArcSinh (0-10)]]*U$5*10</f>
        <v>0</v>
      </c>
      <c r="X834" s="259">
        <f>_xlfn.XLOOKUP(FMS_Ranking4[[#This Row],[FMS ID]],FMS_Input[FMS_ID],FMS_Input[LWC])</f>
        <v>0</v>
      </c>
      <c r="Y834" s="259">
        <f>(ASINH(FMS_Ranking4[[#This Row],[LWC Raw]]))*(10)/(ASINH(X$4))</f>
        <v>0</v>
      </c>
      <c r="Z834" s="257">
        <f>FMS_Ranking4[[#This Row],[LWC, ArcSInh (0-10)]]*X$5*10</f>
        <v>0</v>
      </c>
      <c r="AA834" s="259">
        <f>_xlfn.XLOOKUP(FMS_Ranking4[[#This Row],[FMS ID]],FMS_Input[FMS_ID],FMS_Input[ROADCLS])</f>
        <v>0</v>
      </c>
      <c r="AB834" s="255">
        <f>(ASINH(FMS_Ranking4[[#This Row],[Road Closures Raw]]))*(10)/(ASINH(AA$4))</f>
        <v>0</v>
      </c>
      <c r="AC834" s="255">
        <f>FMS_Ranking4[[#This Row],[Road closures, ArcSinh (0-10)]]*AA$5*10</f>
        <v>0</v>
      </c>
      <c r="AD834" s="259">
        <f>_xlfn.XLOOKUP(FMS_Ranking4[[#This Row],[FMS ID]],FMS_Input[FMS_ID],FMS_Input[ROAD_MILES100])</f>
        <v>0</v>
      </c>
      <c r="AE834" s="259">
        <f>(ASINH(FMS_Ranking4[[#This Row],[Road Miles Raw]]))*(10)/(ASINH(AD$4))</f>
        <v>0</v>
      </c>
      <c r="AF834" s="257">
        <f>FMS_Ranking4[[#This Row],[Length of roads at risk, ArcSinh (0-10)]]*AD$5*10</f>
        <v>0</v>
      </c>
      <c r="AG834" s="259">
        <f>_xlfn.XLOOKUP(FMS_Ranking4[[#This Row],[FMS ID]],FMS_Input[FMS_ID],FMS_Input[FARMACRE100])</f>
        <v>0</v>
      </c>
      <c r="AH834" s="255">
        <f>(ASINH(FMS_Ranking4[[#This Row],[Ag Land Raw]]))*(10)/(ASINH(AG$4))</f>
        <v>0</v>
      </c>
      <c r="AI834" s="254">
        <f>FMS_Ranking4[[#This Row],[Farm &amp; ranch land, ArcSinh (0-10)]]*AG$5*10</f>
        <v>0</v>
      </c>
      <c r="AJ834" s="258">
        <f>_xlfn.XLOOKUP(FMS_Ranking4[[#This Row],[FMS ID]],FMS_Input[FMS_ID],FMS_Input[REDSTRUCT100])</f>
        <v>0</v>
      </c>
      <c r="AK834" s="253">
        <f>_xlfn.XLOOKUP(FMS_Ranking4[[#This Row],[FMS ID]],FMS_Input[FMS_ID],FMS_Input[REMSTRC100])</f>
        <v>0</v>
      </c>
      <c r="AL834" s="259">
        <f>(ASINH(FMS_Ranking4[[#This Row],[Structures Removed Raw]]))*(10)/(ASINH(AK$4))</f>
        <v>0</v>
      </c>
      <c r="AM834" s="254">
        <f>FMS_Ranking4[[#This Row],[Structures removed, ArcSinh (0-10)]]*AK$5*10</f>
        <v>0</v>
      </c>
      <c r="AN834" s="253">
        <f>_xlfn.XLOOKUP(FMS_Ranking4[[#This Row],[FMS ID]],FMS_Input[FMS_ID],FMS_Input[REMRESSTRC100])</f>
        <v>0</v>
      </c>
      <c r="AO834" s="258">
        <f>FMS_Ranking4[[#This Row],[ArcSinh Res struct removed 0-10]]*AN$5*10</f>
        <v>0</v>
      </c>
      <c r="AP834" s="254">
        <f>ASINH(FMS_Ranking4[[#This Row],[Residential Structures Removed Raw]])/AP$4*AN$5*100</f>
        <v>0</v>
      </c>
      <c r="AQ834" s="260">
        <f>(ASINH(FMS_Ranking4[[#This Row],[Residential Structures Removed Raw]]))*(10)/(ASINH(AN$4))</f>
        <v>0</v>
      </c>
      <c r="AR834" s="253">
        <f>_xlfn.XLOOKUP(FMS_Ranking4[[#This Row],[FMS ID]],FMS_Input[FMS_ID],FMS_Input[REMPOP100])</f>
        <v>0</v>
      </c>
      <c r="AS834" s="259">
        <f>(ASINH(FMS_Ranking4[[#This Row],[Removed Pop Raw]]))*(10)/(ASINH(AR$4))</f>
        <v>0</v>
      </c>
      <c r="AT834" s="263">
        <f>FMS_Ranking4[[#This Row],[Removed population, ArcSinh (0-10)]]*AR$5*10</f>
        <v>0</v>
      </c>
      <c r="AU834" s="264">
        <f>_xlfn.XLOOKUP(FMS_Ranking4[[#This Row],[FMS ID]],FMS_Input[FMS_ID],FMS_Input[REMCRITFAC100])</f>
        <v>0</v>
      </c>
      <c r="AV834" s="264">
        <f>_xlfn.XLOOKUP(FMS_Ranking4[[#This Row],[FMS ID]],FMS_Input[FMS_ID],FMS_Input[REMLWC100])</f>
        <v>0</v>
      </c>
      <c r="AW834" s="264">
        <f>_xlfn.XLOOKUP(FMS_Ranking4[[#This Row],[FMS ID]],FMS_Input[FMS_ID],FMS_Input[REMROADCLS])</f>
        <v>0</v>
      </c>
      <c r="AX834" s="264">
        <f>_xlfn.XLOOKUP(FMS_Ranking4[[#This Row],[FMS ID]],FMS_Input[FMS_ID],FMS_Input[REMFRMACRE100])</f>
        <v>0</v>
      </c>
      <c r="AY834" s="258">
        <f>_xlfn.XLOOKUP(FMS_Ranking4[[#This Row],[FMS ID]],FMS_Input[FMS_ID],FMS_Input[COSTSTRUCT])</f>
        <v>0</v>
      </c>
      <c r="AZ834" s="258">
        <f>_xlfn.XLOOKUP(FMS_Ranking4[[#This Row],[FMS ID]],FMS_Input[FMS_ID],FMS_Input[NATURE])</f>
        <v>0</v>
      </c>
      <c r="BA834" s="290">
        <f>(((FMS_Ranking4[[#This Row],[% NBS Raw]]/AZ$4)*100)*AZ$5)</f>
        <v>0</v>
      </c>
      <c r="BB834" s="251" t="str">
        <f>_xlfn.XLOOKUP(FMS_Ranking4[[#This Row],[FMS ID]],FMS_Input[FMS_ID],FMS_Input[WATER_SUP])</f>
        <v>No</v>
      </c>
      <c r="BC834" s="265">
        <f>IF(FMS_Ranking4[[#This Row],[Water Supply Raw]]="Yes",10,0)</f>
        <v>0</v>
      </c>
      <c r="BD834" s="251">
        <f>_xlfn.XLOOKUP(FMS_Ranking4[[#This Row],[FMS Type]],FMS_TYPE[FMS_Type],FMS_TYPE[Score])</f>
        <v>8</v>
      </c>
      <c r="BE834" s="267">
        <f>FMS_Ranking4[[#This Row],[FMS_Type Score]]*$BD$5*10</f>
        <v>2</v>
      </c>
      <c r="BF83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4" s="269">
        <f>_xlfn.RANK.EQ(BF834,$BF$8:$BF$870,0)+COUNTIF($BF$8:BF834,BF834)-1</f>
        <v>834</v>
      </c>
      <c r="BH834" s="268">
        <f>(((FMS_Ranking4[[#This Row],[Structures Removed Raw]]/AK$4)*100)*AK$5)+(((FMS_Ranking4[[#This Row],[Removed Pop Raw]]/AR$4)*100)*AR$5)</f>
        <v>0</v>
      </c>
      <c r="BI83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4" s="326">
        <f>_xlfn.RANK.EQ(FMS_Ranking4[[#This Row],[Total Score 
(with linear
normalization)]],FMS_Ranking4[Total Score 
(with linear
normalization)],0)</f>
        <v>503</v>
      </c>
      <c r="BK834" s="269" t="e">
        <f>_xlfn.XLOOKUP(FMS_Ranking4[[#This Row],[FMS ID]],#REF!,#REF!)</f>
        <v>#REF!</v>
      </c>
      <c r="BL834"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4" s="331">
        <f>FMS_Ranking4[[#This Row],[ArcSinh Score Based on Normalized Reported Factors]]+FMS_Ranking4[[#This Row],[% NBS Score (Normalized)]]+(FMS_Ranking4[[#This Row],[Water Supply Score (Normalized)]]*10*$BB$5)+FMS_Ranking4[[#This Row],[FMS_Type Score Weighted]]</f>
        <v>2</v>
      </c>
      <c r="BN834" s="333">
        <f>_xlfn.RANK.EQ(FMS_Ranking4[[#This Row],[Total Score (with ArcSinh normalization of select criteria)]],FMS_Ranking4[Total Score (with ArcSinh normalization of select criteria)],0)</f>
        <v>817</v>
      </c>
      <c r="BO834" s="270" t="str">
        <f>_xlfn.XLOOKUP(FMS_Ranking4[[#This Row],[FMS ID]],FMS_Input[FMS_ID],FMS_Input[FMS_RANK_YEAR])</f>
        <v>2023 Amended Plan</v>
      </c>
      <c r="BP834" s="204">
        <f>_xlfn.XLOOKUP(FMS_Ranking4[[#This Row],[FMS ID]],Prev_Rank[FMS ID],Prev_Rank[Prev Rank])</f>
        <v>741</v>
      </c>
      <c r="BQ834" s="335" t="e">
        <f>_xlfn.XLOOKUP(FMS_Ranking4[[#This Row],[FMS ID]],#REF!,#REF!)</f>
        <v>#REF!</v>
      </c>
      <c r="BR834" s="199" t="e">
        <f>SUM(#REF!,#REF!,#REF!,#REF!,#REF!,#REF!,#REF!,#REF!,#REF!,FMS_Ranking4[[#This Row],[ArcSinh Res struct removed 0-10]],#REF!)</f>
        <v>#REF!</v>
      </c>
      <c r="BS834" s="199" t="e">
        <f>FMS_Ranking4[[#This Row],[Log Score Based on Normalized Reported Factors]]+FMS_Ranking4[[#This Row],[% NBS Score (Normalized)]]+(FMS_Ranking4[[#This Row],[Water Supply Score (Normalized)]]*10*$BB$5)+(FMS_Ranking4[[#This Row],[FMS_Type Score Weighted]])</f>
        <v>#REF!</v>
      </c>
      <c r="BT834" s="200" t="e">
        <f>_xlfn.RANK.EQ(FMS_Ranking4[[#This Row],[Log Total Score]],FMS_Ranking4[Log Total Score],0)</f>
        <v>#REF!</v>
      </c>
      <c r="BU834" s="200" t="e">
        <f>_xlfn.XLOOKUP(FMS_Ranking4[[#This Row],[FMS ID]],#REF!,#REF!)</f>
        <v>#REF!</v>
      </c>
      <c r="BV834" s="200">
        <f>FMS_Ranking4[[#This Row],[Region Number]]</f>
        <v>1</v>
      </c>
      <c r="BW834" s="200">
        <f>FMS_Ranking4[[#This Row],[Rank (with ArcSinh normalization of select criteria)]]-FMS_Ranking4[[#This Row],[Rank
(with linear
normalization)]]</f>
        <v>314</v>
      </c>
      <c r="BX834" s="200" t="e">
        <f>FMS_Ranking4[[#This Row],[Log Rank]]-FMS_Ranking4[[#This Row],[Rank
(with linear
normalization)]]</f>
        <v>#REF!</v>
      </c>
      <c r="BY834" s="200" t="str">
        <f>IF(FMS_Ranking4[[#This Row],[FMS Type]]="Flood Measurement and Warning",FMS_Ranking4[[#This Row],[Rank (with ArcSinh normalization of select criteria)]],"")</f>
        <v/>
      </c>
      <c r="BZ834" s="200">
        <f>IF(FMS_Ranking4[[#This Row],[FMS Type]]="Regulatory and Guidance",FMS_Ranking4[[#This Row],[Rank (with ArcSinh normalization of select criteria)]],"")</f>
        <v>817</v>
      </c>
      <c r="CA834" s="200" t="str">
        <f>IF(FMS_Ranking4[[#This Row],[FMS Type]]="Education and Outreach",FMS_Ranking4[[#This Row],[Rank (with ArcSinh normalization of select criteria)]],"")</f>
        <v/>
      </c>
      <c r="CB834" s="200" t="str">
        <f>IF(FMS_Ranking4[[#This Row],[FMS Type]]="Property Acquisition and Structural Elevation",FMS_Ranking4[[#This Row],[Rank (with ArcSinh normalization of select criteria)]],"")</f>
        <v/>
      </c>
      <c r="CC834" s="200" t="str">
        <f>IF(FMS_Ranking4[[#This Row],[FMS Type]]="Infrastructure Projects",FMS_Ranking4[[#This Row],[Rank (with ArcSinh normalization of select criteria)]],"")</f>
        <v/>
      </c>
      <c r="CD834" s="200" t="str">
        <f>IF(FMS_Ranking4[[#This Row],[FMS Type]]="Other",FMS_Ranking4[[#This Row],[Rank (with ArcSinh normalization of select criteria)]],"")</f>
        <v/>
      </c>
    </row>
    <row r="835" spans="2:82" ht="30" x14ac:dyDescent="0.25">
      <c r="B835" s="342" t="s">
        <v>1229</v>
      </c>
      <c r="C835" s="287">
        <f>_xlfn.XLOOKUP(FMS_Ranking4[[#This Row],[FMS ID]],FMS_Input[FMS_ID],FMS_Input[RFPG_NUM])</f>
        <v>1</v>
      </c>
      <c r="D835" s="309" t="str">
        <f>_xlfn.XLOOKUP(FMS_Ranking4[[#This Row],[FMS ID]],FMS_Input[FMS_ID],FMS_Input[FMS_NAME])</f>
        <v>Lockney NFIP Involvement</v>
      </c>
      <c r="E835" s="322" t="str">
        <f>_xlfn.XLOOKUP(FMS_Ranking4[[#This Row],[FMS ID]],FMS_Input[FMS_ID],FMS_Input[SPONSOR])</f>
        <v>00003100</v>
      </c>
      <c r="F835" s="309" t="str">
        <f>_xlfn.XLOOKUP(FMS_Ranking4[[#This Row],[FMS ID]],Sponsor[FMS_ID],Sponsor[SPONSOR NAME])</f>
        <v>Lockney</v>
      </c>
      <c r="G835" s="309" t="str">
        <f>_xlfn.XLOOKUP(FMS_Ranking4[[#This Row],[FMS ID]],FMS_Input[FMS_ID],FMS_Input[FMS_DESCR])</f>
        <v>Application to join NFIP or adopt equivalent standards</v>
      </c>
      <c r="H835" s="247" t="str">
        <f>_xlfn.XLOOKUP(FMS_Ranking4[[#This Row],[FMS ID]],FMS_Input[FMS_ID],FMS_Input[FMS_TYPE])</f>
        <v>Regulatory and Guidance</v>
      </c>
      <c r="I835" s="288">
        <f>_xlfn.XLOOKUP(FMS_Ranking4[[#This Row],[FMS ID]],FMS_Input[FMS_ID],FMS_Input[NRNC_COST])</f>
        <v>100000</v>
      </c>
      <c r="J835" s="250">
        <f>_xlfn.XLOOKUP(FMS_Ranking4[[#This Row],[FMS ID]],FMS_Input[FMS_ID],FMS_Input[FMS_COST])</f>
        <v>100000</v>
      </c>
      <c r="K835" s="289" t="str">
        <f>_xlfn.XLOOKUP(FMS_Ranking4[[#This Row],[FMS ID]],FMS_Input[FMS_ID],FMS_Input[EMER_NEED])</f>
        <v>No</v>
      </c>
      <c r="L835" s="252">
        <f t="shared" si="12"/>
        <v>0</v>
      </c>
      <c r="M835" s="253">
        <f>_xlfn.XLOOKUP(FMS_Ranking4[[#This Row],[FMS ID]],FMS_Input[FMS_ID],FMS_Input[STRUCT_100])</f>
        <v>0</v>
      </c>
      <c r="N835" s="255">
        <f>(ASINH(FMS_Ranking4[[#This Row],[Structure at Risk Raw]]))*(10)/(ASINH(M$4))</f>
        <v>0</v>
      </c>
      <c r="O835" s="255">
        <f>FMS_Ranking4[[#This Row],[Structures at risk, ArcSinh (0-10)]]*M$5*10</f>
        <v>0</v>
      </c>
      <c r="P835" s="259">
        <f>_xlfn.XLOOKUP(FMS_Ranking4[[#This Row],[FMS ID]],FMS_Input[FMS_ID],FMS_Input[RES_STRUCT100])</f>
        <v>0</v>
      </c>
      <c r="Q835" s="257">
        <f>ASINH(FMS_Ranking4[[#This Row],[Res Structure Raw]])/Q$4*P$5*100</f>
        <v>0</v>
      </c>
      <c r="R835" s="259">
        <f>_xlfn.XLOOKUP(FMS_Ranking4[[#This Row],[FMS ID]],FMS_Input[FMS_ID],FMS_Input[POP100])</f>
        <v>0</v>
      </c>
      <c r="S835" s="255">
        <f>(ASINH(FMS_Ranking4[[#This Row],[Pop at Risk Raw]]))*(10)/(ASINH(R$4))</f>
        <v>0</v>
      </c>
      <c r="T835" s="257">
        <f>FMS_Ranking4[[#This Row],[Population at risk, ArcSinh (0-10)]]*R$5*10</f>
        <v>0</v>
      </c>
      <c r="U835" s="259">
        <f>_xlfn.XLOOKUP(FMS_Ranking4[[#This Row],[FMS ID]],FMS_Input[FMS_ID],FMS_Input[CRITFAC100])</f>
        <v>0</v>
      </c>
      <c r="V835" s="255">
        <f>(ASINH(FMS_Ranking4[[#This Row],[Critical Facilities Raw]]))*(10)/(ASINH(U$4))</f>
        <v>0</v>
      </c>
      <c r="W835" s="257">
        <f>FMS_Ranking4[[#This Row],[Critical facilities at risk, ArcSinh (0-10)]]*U$5*10</f>
        <v>0</v>
      </c>
      <c r="X835" s="259">
        <f>_xlfn.XLOOKUP(FMS_Ranking4[[#This Row],[FMS ID]],FMS_Input[FMS_ID],FMS_Input[LWC])</f>
        <v>0</v>
      </c>
      <c r="Y835" s="255">
        <f>(ASINH(FMS_Ranking4[[#This Row],[LWC Raw]]))*(10)/(ASINH(X$4))</f>
        <v>0</v>
      </c>
      <c r="Z835" s="257">
        <f>FMS_Ranking4[[#This Row],[LWC, ArcSInh (0-10)]]*X$5*10</f>
        <v>0</v>
      </c>
      <c r="AA835" s="259">
        <f>_xlfn.XLOOKUP(FMS_Ranking4[[#This Row],[FMS ID]],FMS_Input[FMS_ID],FMS_Input[ROADCLS])</f>
        <v>0</v>
      </c>
      <c r="AB835" s="255">
        <f>(ASINH(FMS_Ranking4[[#This Row],[Road Closures Raw]]))*(10)/(ASINH(AA$4))</f>
        <v>0</v>
      </c>
      <c r="AC835" s="255">
        <f>FMS_Ranking4[[#This Row],[Road closures, ArcSinh (0-10)]]*AA$5*10</f>
        <v>0</v>
      </c>
      <c r="AD835" s="259">
        <f>_xlfn.XLOOKUP(FMS_Ranking4[[#This Row],[FMS ID]],FMS_Input[FMS_ID],FMS_Input[ROAD_MILES100])</f>
        <v>0</v>
      </c>
      <c r="AE835" s="255">
        <f>(ASINH(FMS_Ranking4[[#This Row],[Road Miles Raw]]))*(10)/(ASINH(AD$4))</f>
        <v>0</v>
      </c>
      <c r="AF835" s="257">
        <f>FMS_Ranking4[[#This Row],[Length of roads at risk, ArcSinh (0-10)]]*AD$5*10</f>
        <v>0</v>
      </c>
      <c r="AG835" s="259">
        <f>_xlfn.XLOOKUP(FMS_Ranking4[[#This Row],[FMS ID]],FMS_Input[FMS_ID],FMS_Input[FARMACRE100])</f>
        <v>0</v>
      </c>
      <c r="AH835" s="255">
        <f>(ASINH(FMS_Ranking4[[#This Row],[Ag Land Raw]]))*(10)/(ASINH(AG$4))</f>
        <v>0</v>
      </c>
      <c r="AI835" s="254">
        <f>FMS_Ranking4[[#This Row],[Farm &amp; ranch land, ArcSinh (0-10)]]*AG$5*10</f>
        <v>0</v>
      </c>
      <c r="AJ835" s="258">
        <f>_xlfn.XLOOKUP(FMS_Ranking4[[#This Row],[FMS ID]],FMS_Input[FMS_ID],FMS_Input[REDSTRUCT100])</f>
        <v>0</v>
      </c>
      <c r="AK835" s="253">
        <f>_xlfn.XLOOKUP(FMS_Ranking4[[#This Row],[FMS ID]],FMS_Input[FMS_ID],FMS_Input[REMSTRC100])</f>
        <v>0</v>
      </c>
      <c r="AL835" s="255">
        <f>(ASINH(FMS_Ranking4[[#This Row],[Structures Removed Raw]]))*(10)/(ASINH(AK$4))</f>
        <v>0</v>
      </c>
      <c r="AM835" s="254">
        <f>FMS_Ranking4[[#This Row],[Structures removed, ArcSinh (0-10)]]*AK$5*10</f>
        <v>0</v>
      </c>
      <c r="AN835" s="253">
        <f>_xlfn.XLOOKUP(FMS_Ranking4[[#This Row],[FMS ID]],FMS_Input[FMS_ID],FMS_Input[REMRESSTRC100])</f>
        <v>0</v>
      </c>
      <c r="AO835" s="258">
        <f>FMS_Ranking4[[#This Row],[ArcSinh Res struct removed 0-10]]*AN$5*10</f>
        <v>0</v>
      </c>
      <c r="AP835" s="254">
        <f>ASINH(FMS_Ranking4[[#This Row],[Residential Structures Removed Raw]])/AP$4*AN$5*100</f>
        <v>0</v>
      </c>
      <c r="AQ835" s="261">
        <f>(ASINH(FMS_Ranking4[[#This Row],[Residential Structures Removed Raw]]))*(10)/(ASINH(AN$4))</f>
        <v>0</v>
      </c>
      <c r="AR835" s="253">
        <f>_xlfn.XLOOKUP(FMS_Ranking4[[#This Row],[FMS ID]],FMS_Input[FMS_ID],FMS_Input[REMPOP100])</f>
        <v>0</v>
      </c>
      <c r="AS835" s="255">
        <f>(ASINH(FMS_Ranking4[[#This Row],[Removed Pop Raw]]))*(10)/(ASINH(AR$4))</f>
        <v>0</v>
      </c>
      <c r="AT835" s="263">
        <f>FMS_Ranking4[[#This Row],[Removed population, ArcSinh (0-10)]]*AR$5*10</f>
        <v>0</v>
      </c>
      <c r="AU835" s="264">
        <f>_xlfn.XLOOKUP(FMS_Ranking4[[#This Row],[FMS ID]],FMS_Input[FMS_ID],FMS_Input[REMCRITFAC100])</f>
        <v>0</v>
      </c>
      <c r="AV835" s="264">
        <f>_xlfn.XLOOKUP(FMS_Ranking4[[#This Row],[FMS ID]],FMS_Input[FMS_ID],FMS_Input[REMLWC100])</f>
        <v>0</v>
      </c>
      <c r="AW835" s="264">
        <f>_xlfn.XLOOKUP(FMS_Ranking4[[#This Row],[FMS ID]],FMS_Input[FMS_ID],FMS_Input[REMROADCLS])</f>
        <v>0</v>
      </c>
      <c r="AX835" s="264">
        <f>_xlfn.XLOOKUP(FMS_Ranking4[[#This Row],[FMS ID]],FMS_Input[FMS_ID],FMS_Input[REMFRMACRE100])</f>
        <v>0</v>
      </c>
      <c r="AY835" s="258">
        <f>_xlfn.XLOOKUP(FMS_Ranking4[[#This Row],[FMS ID]],FMS_Input[FMS_ID],FMS_Input[COSTSTRUCT])</f>
        <v>0</v>
      </c>
      <c r="AZ835" s="258">
        <f>_xlfn.XLOOKUP(FMS_Ranking4[[#This Row],[FMS ID]],FMS_Input[FMS_ID],FMS_Input[NATURE])</f>
        <v>0</v>
      </c>
      <c r="BA835" s="290">
        <f>(((FMS_Ranking4[[#This Row],[% NBS Raw]]/AZ$4)*100)*AZ$5)</f>
        <v>0</v>
      </c>
      <c r="BB835" s="251" t="str">
        <f>_xlfn.XLOOKUP(FMS_Ranking4[[#This Row],[FMS ID]],FMS_Input[FMS_ID],FMS_Input[WATER_SUP])</f>
        <v>No</v>
      </c>
      <c r="BC835" s="265">
        <f>IF(FMS_Ranking4[[#This Row],[Water Supply Raw]]="Yes",10,0)</f>
        <v>0</v>
      </c>
      <c r="BD835" s="251">
        <f>_xlfn.XLOOKUP(FMS_Ranking4[[#This Row],[FMS Type]],FMS_TYPE[FMS_Type],FMS_TYPE[Score])</f>
        <v>8</v>
      </c>
      <c r="BE835" s="267">
        <f>FMS_Ranking4[[#This Row],[FMS_Type Score]]*$BD$5*10</f>
        <v>2</v>
      </c>
      <c r="BF835"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5" s="321">
        <f>_xlfn.RANK.EQ(BF835,$BF$8:$BF$870,0)+COUNTIF($BF$8:BF835,BF835)-1</f>
        <v>835</v>
      </c>
      <c r="BH835" s="294">
        <f>(((FMS_Ranking4[[#This Row],[Structures Removed Raw]]/AK$4)*100)*AK$5)+(((FMS_Ranking4[[#This Row],[Removed Pop Raw]]/AR$4)*100)*AR$5)</f>
        <v>0</v>
      </c>
      <c r="BI83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5" s="296">
        <f>_xlfn.RANK.EQ(FMS_Ranking4[[#This Row],[Total Score 
(with linear
normalization)]],FMS_Ranking4[Total Score 
(with linear
normalization)],0)</f>
        <v>503</v>
      </c>
      <c r="BK835" s="292" t="e">
        <f>_xlfn.XLOOKUP(FMS_Ranking4[[#This Row],[FMS ID]],#REF!,#REF!)</f>
        <v>#REF!</v>
      </c>
      <c r="BL835"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5" s="298">
        <f>FMS_Ranking4[[#This Row],[ArcSinh Score Based on Normalized Reported Factors]]+FMS_Ranking4[[#This Row],[% NBS Score (Normalized)]]+(FMS_Ranking4[[#This Row],[Water Supply Score (Normalized)]]*10*$BB$5)+FMS_Ranking4[[#This Row],[FMS_Type Score Weighted]]</f>
        <v>2</v>
      </c>
      <c r="BN835" s="323">
        <f>_xlfn.RANK.EQ(FMS_Ranking4[[#This Row],[Total Score (with ArcSinh normalization of select criteria)]],FMS_Ranking4[Total Score (with ArcSinh normalization of select criteria)],0)</f>
        <v>817</v>
      </c>
      <c r="BO835" s="270" t="str">
        <f>_xlfn.XLOOKUP(FMS_Ranking4[[#This Row],[FMS ID]],FMS_Input[FMS_ID],FMS_Input[FMS_RANK_YEAR])</f>
        <v>2023 Amended Plan</v>
      </c>
      <c r="BP835" s="204">
        <f>_xlfn.XLOOKUP(FMS_Ranking4[[#This Row],[FMS ID]],Prev_Rank[FMS ID],Prev_Rank[Prev Rank])</f>
        <v>741</v>
      </c>
      <c r="BQ835" s="265" t="e">
        <f>_xlfn.XLOOKUP(FMS_Ranking4[[#This Row],[FMS ID]],#REF!,#REF!)</f>
        <v>#REF!</v>
      </c>
      <c r="BR835" s="199" t="e">
        <f>SUM(#REF!,#REF!,#REF!,#REF!,#REF!,#REF!,#REF!,#REF!,#REF!,FMS_Ranking4[[#This Row],[ArcSinh Res struct removed 0-10]],#REF!)</f>
        <v>#REF!</v>
      </c>
      <c r="BS835" s="199" t="e">
        <f>FMS_Ranking4[[#This Row],[Log Score Based on Normalized Reported Factors]]+FMS_Ranking4[[#This Row],[% NBS Score (Normalized)]]+(FMS_Ranking4[[#This Row],[Water Supply Score (Normalized)]]*10*$BB$5)+(FMS_Ranking4[[#This Row],[FMS_Type Score Weighted]])</f>
        <v>#REF!</v>
      </c>
      <c r="BT835" s="200" t="e">
        <f>_xlfn.RANK.EQ(FMS_Ranking4[[#This Row],[Log Total Score]],FMS_Ranking4[Log Total Score],0)</f>
        <v>#REF!</v>
      </c>
      <c r="BU835" s="200" t="e">
        <f>_xlfn.XLOOKUP(FMS_Ranking4[[#This Row],[FMS ID]],#REF!,#REF!)</f>
        <v>#REF!</v>
      </c>
      <c r="BV835" s="200">
        <f>FMS_Ranking4[[#This Row],[Region Number]]</f>
        <v>1</v>
      </c>
      <c r="BW835" s="200">
        <f>FMS_Ranking4[[#This Row],[Rank (with ArcSinh normalization of select criteria)]]-FMS_Ranking4[[#This Row],[Rank
(with linear
normalization)]]</f>
        <v>314</v>
      </c>
      <c r="BX835" s="200" t="e">
        <f>FMS_Ranking4[[#This Row],[Log Rank]]-FMS_Ranking4[[#This Row],[Rank
(with linear
normalization)]]</f>
        <v>#REF!</v>
      </c>
      <c r="BY835" s="200" t="str">
        <f>IF(FMS_Ranking4[[#This Row],[FMS Type]]="Flood Measurement and Warning",FMS_Ranking4[[#This Row],[Rank (with ArcSinh normalization of select criteria)]],"")</f>
        <v/>
      </c>
      <c r="BZ835" s="200">
        <f>IF(FMS_Ranking4[[#This Row],[FMS Type]]="Regulatory and Guidance",FMS_Ranking4[[#This Row],[Rank (with ArcSinh normalization of select criteria)]],"")</f>
        <v>817</v>
      </c>
      <c r="CA835" s="200" t="str">
        <f>IF(FMS_Ranking4[[#This Row],[FMS Type]]="Education and Outreach",FMS_Ranking4[[#This Row],[Rank (with ArcSinh normalization of select criteria)]],"")</f>
        <v/>
      </c>
      <c r="CB835" s="200" t="str">
        <f>IF(FMS_Ranking4[[#This Row],[FMS Type]]="Property Acquisition and Structural Elevation",FMS_Ranking4[[#This Row],[Rank (with ArcSinh normalization of select criteria)]],"")</f>
        <v/>
      </c>
      <c r="CC835" s="200" t="str">
        <f>IF(FMS_Ranking4[[#This Row],[FMS Type]]="Infrastructure Projects",FMS_Ranking4[[#This Row],[Rank (with ArcSinh normalization of select criteria)]],"")</f>
        <v/>
      </c>
      <c r="CD835" s="200" t="str">
        <f>IF(FMS_Ranking4[[#This Row],[FMS Type]]="Other",FMS_Ranking4[[#This Row],[Rank (with ArcSinh normalization of select criteria)]],"")</f>
        <v/>
      </c>
    </row>
    <row r="836" spans="2:82" ht="30" x14ac:dyDescent="0.25">
      <c r="B836" s="342" t="s">
        <v>1294</v>
      </c>
      <c r="C836" s="287">
        <f>_xlfn.XLOOKUP(FMS_Ranking4[[#This Row],[FMS ID]],FMS_Input[FMS_ID],FMS_Input[RFPG_NUM])</f>
        <v>1</v>
      </c>
      <c r="D836" s="309" t="str">
        <f>_xlfn.XLOOKUP(FMS_Ranking4[[#This Row],[FMS ID]],FMS_Input[FMS_ID],FMS_Input[FMS_NAME])</f>
        <v>Skellytown NFIP Involvement</v>
      </c>
      <c r="E836" s="322" t="str">
        <f>_xlfn.XLOOKUP(FMS_Ranking4[[#This Row],[FMS ID]],FMS_Input[FMS_ID],FMS_Input[SPONSOR])</f>
        <v>01003056</v>
      </c>
      <c r="F836" s="309" t="str">
        <f>_xlfn.XLOOKUP(FMS_Ranking4[[#This Row],[FMS ID]],Sponsor[FMS_ID],Sponsor[SPONSOR NAME])</f>
        <v>Skellytown</v>
      </c>
      <c r="G836" s="309" t="str">
        <f>_xlfn.XLOOKUP(FMS_Ranking4[[#This Row],[FMS ID]],FMS_Input[FMS_ID],FMS_Input[FMS_DESCR])</f>
        <v>Application to join NFIP or adopt equivalent standards</v>
      </c>
      <c r="H836" s="247" t="str">
        <f>_xlfn.XLOOKUP(FMS_Ranking4[[#This Row],[FMS ID]],FMS_Input[FMS_ID],FMS_Input[FMS_TYPE])</f>
        <v>Regulatory and Guidance</v>
      </c>
      <c r="I836" s="288">
        <f>_xlfn.XLOOKUP(FMS_Ranking4[[#This Row],[FMS ID]],FMS_Input[FMS_ID],FMS_Input[NRNC_COST])</f>
        <v>100000</v>
      </c>
      <c r="J836" s="250">
        <f>_xlfn.XLOOKUP(FMS_Ranking4[[#This Row],[FMS ID]],FMS_Input[FMS_ID],FMS_Input[FMS_COST])</f>
        <v>100000</v>
      </c>
      <c r="K836" s="289" t="str">
        <f>_xlfn.XLOOKUP(FMS_Ranking4[[#This Row],[FMS ID]],FMS_Input[FMS_ID],FMS_Input[EMER_NEED])</f>
        <v>No</v>
      </c>
      <c r="L836" s="252">
        <f t="shared" si="12"/>
        <v>0</v>
      </c>
      <c r="M836" s="253">
        <f>_xlfn.XLOOKUP(FMS_Ranking4[[#This Row],[FMS ID]],FMS_Input[FMS_ID],FMS_Input[STRUCT_100])</f>
        <v>0</v>
      </c>
      <c r="N836" s="255">
        <f>(ASINH(FMS_Ranking4[[#This Row],[Structure at Risk Raw]]))*(10)/(ASINH(M$4))</f>
        <v>0</v>
      </c>
      <c r="O836" s="255">
        <f>FMS_Ranking4[[#This Row],[Structures at risk, ArcSinh (0-10)]]*M$5*10</f>
        <v>0</v>
      </c>
      <c r="P836" s="259">
        <f>_xlfn.XLOOKUP(FMS_Ranking4[[#This Row],[FMS ID]],FMS_Input[FMS_ID],FMS_Input[RES_STRUCT100])</f>
        <v>0</v>
      </c>
      <c r="Q836" s="257">
        <f>ASINH(FMS_Ranking4[[#This Row],[Res Structure Raw]])/Q$4*P$5*100</f>
        <v>0</v>
      </c>
      <c r="R836" s="259">
        <f>_xlfn.XLOOKUP(FMS_Ranking4[[#This Row],[FMS ID]],FMS_Input[FMS_ID],FMS_Input[POP100])</f>
        <v>0</v>
      </c>
      <c r="S836" s="259">
        <f>(ASINH(FMS_Ranking4[[#This Row],[Pop at Risk Raw]]))*(10)/(ASINH(R$4))</f>
        <v>0</v>
      </c>
      <c r="T836" s="257">
        <f>FMS_Ranking4[[#This Row],[Population at risk, ArcSinh (0-10)]]*R$5*10</f>
        <v>0</v>
      </c>
      <c r="U836" s="259">
        <f>_xlfn.XLOOKUP(FMS_Ranking4[[#This Row],[FMS ID]],FMS_Input[FMS_ID],FMS_Input[CRITFAC100])</f>
        <v>0</v>
      </c>
      <c r="V836" s="259">
        <f>(ASINH(FMS_Ranking4[[#This Row],[Critical Facilities Raw]]))*(10)/(ASINH(U$4))</f>
        <v>0</v>
      </c>
      <c r="W836" s="257">
        <f>FMS_Ranking4[[#This Row],[Critical facilities at risk, ArcSinh (0-10)]]*U$5*10</f>
        <v>0</v>
      </c>
      <c r="X836" s="259">
        <f>_xlfn.XLOOKUP(FMS_Ranking4[[#This Row],[FMS ID]],FMS_Input[FMS_ID],FMS_Input[LWC])</f>
        <v>0</v>
      </c>
      <c r="Y836" s="259">
        <f>(ASINH(FMS_Ranking4[[#This Row],[LWC Raw]]))*(10)/(ASINH(X$4))</f>
        <v>0</v>
      </c>
      <c r="Z836" s="257">
        <f>FMS_Ranking4[[#This Row],[LWC, ArcSInh (0-10)]]*X$5*10</f>
        <v>0</v>
      </c>
      <c r="AA836" s="259">
        <f>_xlfn.XLOOKUP(FMS_Ranking4[[#This Row],[FMS ID]],FMS_Input[FMS_ID],FMS_Input[ROADCLS])</f>
        <v>0</v>
      </c>
      <c r="AB836" s="255">
        <f>(ASINH(FMS_Ranking4[[#This Row],[Road Closures Raw]]))*(10)/(ASINH(AA$4))</f>
        <v>0</v>
      </c>
      <c r="AC836" s="255">
        <f>FMS_Ranking4[[#This Row],[Road closures, ArcSinh (0-10)]]*AA$5*10</f>
        <v>0</v>
      </c>
      <c r="AD836" s="259">
        <f>_xlfn.XLOOKUP(FMS_Ranking4[[#This Row],[FMS ID]],FMS_Input[FMS_ID],FMS_Input[ROAD_MILES100])</f>
        <v>0</v>
      </c>
      <c r="AE836" s="259">
        <f>(ASINH(FMS_Ranking4[[#This Row],[Road Miles Raw]]))*(10)/(ASINH(AD$4))</f>
        <v>0</v>
      </c>
      <c r="AF836" s="257">
        <f>FMS_Ranking4[[#This Row],[Length of roads at risk, ArcSinh (0-10)]]*AD$5*10</f>
        <v>0</v>
      </c>
      <c r="AG836" s="259">
        <f>_xlfn.XLOOKUP(FMS_Ranking4[[#This Row],[FMS ID]],FMS_Input[FMS_ID],FMS_Input[FARMACRE100])</f>
        <v>0</v>
      </c>
      <c r="AH836" s="255">
        <f>(ASINH(FMS_Ranking4[[#This Row],[Ag Land Raw]]))*(10)/(ASINH(AG$4))</f>
        <v>0</v>
      </c>
      <c r="AI836" s="254">
        <f>FMS_Ranking4[[#This Row],[Farm &amp; ranch land, ArcSinh (0-10)]]*AG$5*10</f>
        <v>0</v>
      </c>
      <c r="AJ836" s="258">
        <f>_xlfn.XLOOKUP(FMS_Ranking4[[#This Row],[FMS ID]],FMS_Input[FMS_ID],FMS_Input[REDSTRUCT100])</f>
        <v>0</v>
      </c>
      <c r="AK836" s="253">
        <f>_xlfn.XLOOKUP(FMS_Ranking4[[#This Row],[FMS ID]],FMS_Input[FMS_ID],FMS_Input[REMSTRC100])</f>
        <v>0</v>
      </c>
      <c r="AL836" s="259">
        <f>(ASINH(FMS_Ranking4[[#This Row],[Structures Removed Raw]]))*(10)/(ASINH(AK$4))</f>
        <v>0</v>
      </c>
      <c r="AM836" s="254">
        <f>FMS_Ranking4[[#This Row],[Structures removed, ArcSinh (0-10)]]*AK$5*10</f>
        <v>0</v>
      </c>
      <c r="AN836" s="253">
        <f>_xlfn.XLOOKUP(FMS_Ranking4[[#This Row],[FMS ID]],FMS_Input[FMS_ID],FMS_Input[REMRESSTRC100])</f>
        <v>0</v>
      </c>
      <c r="AO836" s="258">
        <f>FMS_Ranking4[[#This Row],[ArcSinh Res struct removed 0-10]]*AN$5*10</f>
        <v>0</v>
      </c>
      <c r="AP836" s="254">
        <f>ASINH(FMS_Ranking4[[#This Row],[Residential Structures Removed Raw]])/AP$4*AN$5*100</f>
        <v>0</v>
      </c>
      <c r="AQ836" s="260">
        <f>(ASINH(FMS_Ranking4[[#This Row],[Residential Structures Removed Raw]]))*(10)/(ASINH(AN$4))</f>
        <v>0</v>
      </c>
      <c r="AR836" s="253">
        <f>_xlfn.XLOOKUP(FMS_Ranking4[[#This Row],[FMS ID]],FMS_Input[FMS_ID],FMS_Input[REMPOP100])</f>
        <v>0</v>
      </c>
      <c r="AS836" s="259">
        <f>(ASINH(FMS_Ranking4[[#This Row],[Removed Pop Raw]]))*(10)/(ASINH(AR$4))</f>
        <v>0</v>
      </c>
      <c r="AT836" s="263">
        <f>FMS_Ranking4[[#This Row],[Removed population, ArcSinh (0-10)]]*AR$5*10</f>
        <v>0</v>
      </c>
      <c r="AU836" s="264">
        <f>_xlfn.XLOOKUP(FMS_Ranking4[[#This Row],[FMS ID]],FMS_Input[FMS_ID],FMS_Input[REMCRITFAC100])</f>
        <v>0</v>
      </c>
      <c r="AV836" s="264">
        <f>_xlfn.XLOOKUP(FMS_Ranking4[[#This Row],[FMS ID]],FMS_Input[FMS_ID],FMS_Input[REMLWC100])</f>
        <v>0</v>
      </c>
      <c r="AW836" s="264">
        <f>_xlfn.XLOOKUP(FMS_Ranking4[[#This Row],[FMS ID]],FMS_Input[FMS_ID],FMS_Input[REMROADCLS])</f>
        <v>0</v>
      </c>
      <c r="AX836" s="264">
        <f>_xlfn.XLOOKUP(FMS_Ranking4[[#This Row],[FMS ID]],FMS_Input[FMS_ID],FMS_Input[REMFRMACRE100])</f>
        <v>0</v>
      </c>
      <c r="AY836" s="258">
        <f>_xlfn.XLOOKUP(FMS_Ranking4[[#This Row],[FMS ID]],FMS_Input[FMS_ID],FMS_Input[COSTSTRUCT])</f>
        <v>0</v>
      </c>
      <c r="AZ836" s="258">
        <f>_xlfn.XLOOKUP(FMS_Ranking4[[#This Row],[FMS ID]],FMS_Input[FMS_ID],FMS_Input[NATURE])</f>
        <v>0</v>
      </c>
      <c r="BA836" s="290">
        <f>(((FMS_Ranking4[[#This Row],[% NBS Raw]]/AZ$4)*100)*AZ$5)</f>
        <v>0</v>
      </c>
      <c r="BB836" s="251" t="str">
        <f>_xlfn.XLOOKUP(FMS_Ranking4[[#This Row],[FMS ID]],FMS_Input[FMS_ID],FMS_Input[WATER_SUP])</f>
        <v>No</v>
      </c>
      <c r="BC836" s="265">
        <f>IF(FMS_Ranking4[[#This Row],[Water Supply Raw]]="Yes",10,0)</f>
        <v>0</v>
      </c>
      <c r="BD836" s="251">
        <f>_xlfn.XLOOKUP(FMS_Ranking4[[#This Row],[FMS Type]],FMS_TYPE[FMS_Type],FMS_TYPE[Score])</f>
        <v>8</v>
      </c>
      <c r="BE836" s="267">
        <f>FMS_Ranking4[[#This Row],[FMS_Type Score]]*$BD$5*10</f>
        <v>2</v>
      </c>
      <c r="BF836"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6" s="271">
        <f>_xlfn.RANK.EQ(BF836,$BF$8:$BF$870,0)+COUNTIF($BF$8:BF836,BF836)-1</f>
        <v>836</v>
      </c>
      <c r="BH836" s="268">
        <f>(((FMS_Ranking4[[#This Row],[Structures Removed Raw]]/AK$4)*100)*AK$5)+(((FMS_Ranking4[[#This Row],[Removed Pop Raw]]/AR$4)*100)*AR$5)</f>
        <v>0</v>
      </c>
      <c r="BI83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6" s="325">
        <f>_xlfn.RANK.EQ(FMS_Ranking4[[#This Row],[Total Score 
(with linear
normalization)]],FMS_Ranking4[Total Score 
(with linear
normalization)],0)</f>
        <v>503</v>
      </c>
      <c r="BK836" s="327" t="e">
        <f>_xlfn.XLOOKUP(FMS_Ranking4[[#This Row],[FMS ID]],#REF!,#REF!)</f>
        <v>#REF!</v>
      </c>
      <c r="BL836"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6" s="330">
        <f>FMS_Ranking4[[#This Row],[ArcSinh Score Based on Normalized Reported Factors]]+FMS_Ranking4[[#This Row],[% NBS Score (Normalized)]]+(FMS_Ranking4[[#This Row],[Water Supply Score (Normalized)]]*10*$BB$5)+FMS_Ranking4[[#This Row],[FMS_Type Score Weighted]]</f>
        <v>2</v>
      </c>
      <c r="BN836" s="332">
        <f>_xlfn.RANK.EQ(FMS_Ranking4[[#This Row],[Total Score (with ArcSinh normalization of select criteria)]],FMS_Ranking4[Total Score (with ArcSinh normalization of select criteria)],0)</f>
        <v>817</v>
      </c>
      <c r="BO836" s="270" t="str">
        <f>_xlfn.XLOOKUP(FMS_Ranking4[[#This Row],[FMS ID]],FMS_Input[FMS_ID],FMS_Input[FMS_RANK_YEAR])</f>
        <v>2023 Amended Plan</v>
      </c>
      <c r="BP836" s="204">
        <f>_xlfn.XLOOKUP(FMS_Ranking4[[#This Row],[FMS ID]],Prev_Rank[FMS ID],Prev_Rank[Prev Rank])</f>
        <v>741</v>
      </c>
      <c r="BQ836" s="334" t="e">
        <f>_xlfn.XLOOKUP(FMS_Ranking4[[#This Row],[FMS ID]],#REF!,#REF!)</f>
        <v>#REF!</v>
      </c>
      <c r="BR836" s="199" t="e">
        <f>SUM(#REF!,#REF!,#REF!,#REF!,#REF!,#REF!,#REF!,#REF!,#REF!,FMS_Ranking4[[#This Row],[ArcSinh Res struct removed 0-10]],#REF!)</f>
        <v>#REF!</v>
      </c>
      <c r="BS836" s="199" t="e">
        <f>FMS_Ranking4[[#This Row],[Log Score Based on Normalized Reported Factors]]+FMS_Ranking4[[#This Row],[% NBS Score (Normalized)]]+(FMS_Ranking4[[#This Row],[Water Supply Score (Normalized)]]*10*$BB$5)+(FMS_Ranking4[[#This Row],[FMS_Type Score Weighted]])</f>
        <v>#REF!</v>
      </c>
      <c r="BT836" s="200" t="e">
        <f>_xlfn.RANK.EQ(FMS_Ranking4[[#This Row],[Log Total Score]],FMS_Ranking4[Log Total Score],0)</f>
        <v>#REF!</v>
      </c>
      <c r="BU836" s="200" t="e">
        <f>_xlfn.XLOOKUP(FMS_Ranking4[[#This Row],[FMS ID]],#REF!,#REF!)</f>
        <v>#REF!</v>
      </c>
      <c r="BV836" s="200">
        <f>FMS_Ranking4[[#This Row],[Region Number]]</f>
        <v>1</v>
      </c>
      <c r="BW836" s="200">
        <f>FMS_Ranking4[[#This Row],[Rank (with ArcSinh normalization of select criteria)]]-FMS_Ranking4[[#This Row],[Rank
(with linear
normalization)]]</f>
        <v>314</v>
      </c>
      <c r="BX836" s="200" t="e">
        <f>FMS_Ranking4[[#This Row],[Log Rank]]-FMS_Ranking4[[#This Row],[Rank
(with linear
normalization)]]</f>
        <v>#REF!</v>
      </c>
      <c r="BY836" s="200" t="str">
        <f>IF(FMS_Ranking4[[#This Row],[FMS Type]]="Flood Measurement and Warning",FMS_Ranking4[[#This Row],[Rank (with ArcSinh normalization of select criteria)]],"")</f>
        <v/>
      </c>
      <c r="BZ836" s="200">
        <f>IF(FMS_Ranking4[[#This Row],[FMS Type]]="Regulatory and Guidance",FMS_Ranking4[[#This Row],[Rank (with ArcSinh normalization of select criteria)]],"")</f>
        <v>817</v>
      </c>
      <c r="CA836" s="200" t="str">
        <f>IF(FMS_Ranking4[[#This Row],[FMS Type]]="Education and Outreach",FMS_Ranking4[[#This Row],[Rank (with ArcSinh normalization of select criteria)]],"")</f>
        <v/>
      </c>
      <c r="CB836" s="200" t="str">
        <f>IF(FMS_Ranking4[[#This Row],[FMS Type]]="Property Acquisition and Structural Elevation",FMS_Ranking4[[#This Row],[Rank (with ArcSinh normalization of select criteria)]],"")</f>
        <v/>
      </c>
      <c r="CC836" s="200" t="str">
        <f>IF(FMS_Ranking4[[#This Row],[FMS Type]]="Infrastructure Projects",FMS_Ranking4[[#This Row],[Rank (with ArcSinh normalization of select criteria)]],"")</f>
        <v/>
      </c>
      <c r="CD836" s="200" t="str">
        <f>IF(FMS_Ranking4[[#This Row],[FMS Type]]="Other",FMS_Ranking4[[#This Row],[Rank (with ArcSinh normalization of select criteria)]],"")</f>
        <v/>
      </c>
    </row>
    <row r="837" spans="2:82" ht="30" x14ac:dyDescent="0.25">
      <c r="B837" s="342" t="s">
        <v>1302</v>
      </c>
      <c r="C837" s="287">
        <f>_xlfn.XLOOKUP(FMS_Ranking4[[#This Row],[FMS ID]],FMS_Input[FMS_ID],FMS_Input[RFPG_NUM])</f>
        <v>1</v>
      </c>
      <c r="D837" s="309" t="str">
        <f>_xlfn.XLOOKUP(FMS_Ranking4[[#This Row],[FMS ID]],FMS_Input[FMS_ID],FMS_Input[FMS_NAME])</f>
        <v>Claude NFIP Involvement</v>
      </c>
      <c r="E837" s="322" t="str">
        <f>_xlfn.XLOOKUP(FMS_Ranking4[[#This Row],[FMS ID]],FMS_Input[FMS_ID],FMS_Input[SPONSOR])</f>
        <v>01003436</v>
      </c>
      <c r="F837" s="309" t="str">
        <f>_xlfn.XLOOKUP(FMS_Ranking4[[#This Row],[FMS ID]],Sponsor[FMS_ID],Sponsor[SPONSOR NAME])</f>
        <v>Claude</v>
      </c>
      <c r="G837" s="309" t="str">
        <f>_xlfn.XLOOKUP(FMS_Ranking4[[#This Row],[FMS ID]],FMS_Input[FMS_ID],FMS_Input[FMS_DESCR])</f>
        <v>Application to join NFIP or adopt equivalent standards</v>
      </c>
      <c r="H837" s="247" t="str">
        <f>_xlfn.XLOOKUP(FMS_Ranking4[[#This Row],[FMS ID]],FMS_Input[FMS_ID],FMS_Input[FMS_TYPE])</f>
        <v>Regulatory and Guidance</v>
      </c>
      <c r="I837" s="288">
        <f>_xlfn.XLOOKUP(FMS_Ranking4[[#This Row],[FMS ID]],FMS_Input[FMS_ID],FMS_Input[NRNC_COST])</f>
        <v>100000</v>
      </c>
      <c r="J837" s="250">
        <f>_xlfn.XLOOKUP(FMS_Ranking4[[#This Row],[FMS ID]],FMS_Input[FMS_ID],FMS_Input[FMS_COST])</f>
        <v>100000</v>
      </c>
      <c r="K837" s="289" t="str">
        <f>_xlfn.XLOOKUP(FMS_Ranking4[[#This Row],[FMS ID]],FMS_Input[FMS_ID],FMS_Input[EMER_NEED])</f>
        <v>No</v>
      </c>
      <c r="L837" s="252">
        <f t="shared" si="12"/>
        <v>0</v>
      </c>
      <c r="M837" s="253">
        <f>_xlfn.XLOOKUP(FMS_Ranking4[[#This Row],[FMS ID]],FMS_Input[FMS_ID],FMS_Input[STRUCT_100])</f>
        <v>0</v>
      </c>
      <c r="N837" s="255">
        <f>(ASINH(FMS_Ranking4[[#This Row],[Structure at Risk Raw]]))*(10)/(ASINH(M$4))</f>
        <v>0</v>
      </c>
      <c r="O837" s="255">
        <f>FMS_Ranking4[[#This Row],[Structures at risk, ArcSinh (0-10)]]*M$5*10</f>
        <v>0</v>
      </c>
      <c r="P837" s="259">
        <f>_xlfn.XLOOKUP(FMS_Ranking4[[#This Row],[FMS ID]],FMS_Input[FMS_ID],FMS_Input[RES_STRUCT100])</f>
        <v>0</v>
      </c>
      <c r="Q837" s="257">
        <f>ASINH(FMS_Ranking4[[#This Row],[Res Structure Raw]])/Q$4*P$5*100</f>
        <v>0</v>
      </c>
      <c r="R837" s="259">
        <f>_xlfn.XLOOKUP(FMS_Ranking4[[#This Row],[FMS ID]],FMS_Input[FMS_ID],FMS_Input[POP100])</f>
        <v>0</v>
      </c>
      <c r="S837" s="259">
        <f>(ASINH(FMS_Ranking4[[#This Row],[Pop at Risk Raw]]))*(10)/(ASINH(R$4))</f>
        <v>0</v>
      </c>
      <c r="T837" s="257">
        <f>FMS_Ranking4[[#This Row],[Population at risk, ArcSinh (0-10)]]*R$5*10</f>
        <v>0</v>
      </c>
      <c r="U837" s="259">
        <f>_xlfn.XLOOKUP(FMS_Ranking4[[#This Row],[FMS ID]],FMS_Input[FMS_ID],FMS_Input[CRITFAC100])</f>
        <v>0</v>
      </c>
      <c r="V837" s="259">
        <f>(ASINH(FMS_Ranking4[[#This Row],[Critical Facilities Raw]]))*(10)/(ASINH(U$4))</f>
        <v>0</v>
      </c>
      <c r="W837" s="257">
        <f>FMS_Ranking4[[#This Row],[Critical facilities at risk, ArcSinh (0-10)]]*U$5*10</f>
        <v>0</v>
      </c>
      <c r="X837" s="259">
        <f>_xlfn.XLOOKUP(FMS_Ranking4[[#This Row],[FMS ID]],FMS_Input[FMS_ID],FMS_Input[LWC])</f>
        <v>0</v>
      </c>
      <c r="Y837" s="259">
        <f>(ASINH(FMS_Ranking4[[#This Row],[LWC Raw]]))*(10)/(ASINH(X$4))</f>
        <v>0</v>
      </c>
      <c r="Z837" s="257">
        <f>FMS_Ranking4[[#This Row],[LWC, ArcSInh (0-10)]]*X$5*10</f>
        <v>0</v>
      </c>
      <c r="AA837" s="259">
        <f>_xlfn.XLOOKUP(FMS_Ranking4[[#This Row],[FMS ID]],FMS_Input[FMS_ID],FMS_Input[ROADCLS])</f>
        <v>0</v>
      </c>
      <c r="AB837" s="255">
        <f>(ASINH(FMS_Ranking4[[#This Row],[Road Closures Raw]]))*(10)/(ASINH(AA$4))</f>
        <v>0</v>
      </c>
      <c r="AC837" s="255">
        <f>FMS_Ranking4[[#This Row],[Road closures, ArcSinh (0-10)]]*AA$5*10</f>
        <v>0</v>
      </c>
      <c r="AD837" s="259">
        <f>_xlfn.XLOOKUP(FMS_Ranking4[[#This Row],[FMS ID]],FMS_Input[FMS_ID],FMS_Input[ROAD_MILES100])</f>
        <v>0</v>
      </c>
      <c r="AE837" s="259">
        <f>(ASINH(FMS_Ranking4[[#This Row],[Road Miles Raw]]))*(10)/(ASINH(AD$4))</f>
        <v>0</v>
      </c>
      <c r="AF837" s="257">
        <f>FMS_Ranking4[[#This Row],[Length of roads at risk, ArcSinh (0-10)]]*AD$5*10</f>
        <v>0</v>
      </c>
      <c r="AG837" s="259">
        <f>_xlfn.XLOOKUP(FMS_Ranking4[[#This Row],[FMS ID]],FMS_Input[FMS_ID],FMS_Input[FARMACRE100])</f>
        <v>0</v>
      </c>
      <c r="AH837" s="255">
        <f>(ASINH(FMS_Ranking4[[#This Row],[Ag Land Raw]]))*(10)/(ASINH(AG$4))</f>
        <v>0</v>
      </c>
      <c r="AI837" s="254">
        <f>FMS_Ranking4[[#This Row],[Farm &amp; ranch land, ArcSinh (0-10)]]*AG$5*10</f>
        <v>0</v>
      </c>
      <c r="AJ837" s="258">
        <f>_xlfn.XLOOKUP(FMS_Ranking4[[#This Row],[FMS ID]],FMS_Input[FMS_ID],FMS_Input[REDSTRUCT100])</f>
        <v>0</v>
      </c>
      <c r="AK837" s="253">
        <f>_xlfn.XLOOKUP(FMS_Ranking4[[#This Row],[FMS ID]],FMS_Input[FMS_ID],FMS_Input[REMSTRC100])</f>
        <v>0</v>
      </c>
      <c r="AL837" s="259">
        <f>(ASINH(FMS_Ranking4[[#This Row],[Structures Removed Raw]]))*(10)/(ASINH(AK$4))</f>
        <v>0</v>
      </c>
      <c r="AM837" s="254">
        <f>FMS_Ranking4[[#This Row],[Structures removed, ArcSinh (0-10)]]*AK$5*10</f>
        <v>0</v>
      </c>
      <c r="AN837" s="253">
        <f>_xlfn.XLOOKUP(FMS_Ranking4[[#This Row],[FMS ID]],FMS_Input[FMS_ID],FMS_Input[REMRESSTRC100])</f>
        <v>0</v>
      </c>
      <c r="AO837" s="258">
        <f>FMS_Ranking4[[#This Row],[ArcSinh Res struct removed 0-10]]*AN$5*10</f>
        <v>0</v>
      </c>
      <c r="AP837" s="254">
        <f>ASINH(FMS_Ranking4[[#This Row],[Residential Structures Removed Raw]])/AP$4*AN$5*100</f>
        <v>0</v>
      </c>
      <c r="AQ837" s="260">
        <f>(ASINH(FMS_Ranking4[[#This Row],[Residential Structures Removed Raw]]))*(10)/(ASINH(AN$4))</f>
        <v>0</v>
      </c>
      <c r="AR837" s="253">
        <f>_xlfn.XLOOKUP(FMS_Ranking4[[#This Row],[FMS ID]],FMS_Input[FMS_ID],FMS_Input[REMPOP100])</f>
        <v>0</v>
      </c>
      <c r="AS837" s="259">
        <f>(ASINH(FMS_Ranking4[[#This Row],[Removed Pop Raw]]))*(10)/(ASINH(AR$4))</f>
        <v>0</v>
      </c>
      <c r="AT837" s="263">
        <f>FMS_Ranking4[[#This Row],[Removed population, ArcSinh (0-10)]]*AR$5*10</f>
        <v>0</v>
      </c>
      <c r="AU837" s="264">
        <f>_xlfn.XLOOKUP(FMS_Ranking4[[#This Row],[FMS ID]],FMS_Input[FMS_ID],FMS_Input[REMCRITFAC100])</f>
        <v>0</v>
      </c>
      <c r="AV837" s="264">
        <f>_xlfn.XLOOKUP(FMS_Ranking4[[#This Row],[FMS ID]],FMS_Input[FMS_ID],FMS_Input[REMLWC100])</f>
        <v>0</v>
      </c>
      <c r="AW837" s="264">
        <f>_xlfn.XLOOKUP(FMS_Ranking4[[#This Row],[FMS ID]],FMS_Input[FMS_ID],FMS_Input[REMROADCLS])</f>
        <v>0</v>
      </c>
      <c r="AX837" s="264">
        <f>_xlfn.XLOOKUP(FMS_Ranking4[[#This Row],[FMS ID]],FMS_Input[FMS_ID],FMS_Input[REMFRMACRE100])</f>
        <v>0</v>
      </c>
      <c r="AY837" s="258">
        <f>_xlfn.XLOOKUP(FMS_Ranking4[[#This Row],[FMS ID]],FMS_Input[FMS_ID],FMS_Input[COSTSTRUCT])</f>
        <v>0</v>
      </c>
      <c r="AZ837" s="258">
        <f>_xlfn.XLOOKUP(FMS_Ranking4[[#This Row],[FMS ID]],FMS_Input[FMS_ID],FMS_Input[NATURE])</f>
        <v>0</v>
      </c>
      <c r="BA837" s="290">
        <f>(((FMS_Ranking4[[#This Row],[% NBS Raw]]/AZ$4)*100)*AZ$5)</f>
        <v>0</v>
      </c>
      <c r="BB837" s="251" t="str">
        <f>_xlfn.XLOOKUP(FMS_Ranking4[[#This Row],[FMS ID]],FMS_Input[FMS_ID],FMS_Input[WATER_SUP])</f>
        <v>No</v>
      </c>
      <c r="BC837" s="265">
        <f>IF(FMS_Ranking4[[#This Row],[Water Supply Raw]]="Yes",10,0)</f>
        <v>0</v>
      </c>
      <c r="BD837" s="251">
        <f>_xlfn.XLOOKUP(FMS_Ranking4[[#This Row],[FMS Type]],FMS_TYPE[FMS_Type],FMS_TYPE[Score])</f>
        <v>8</v>
      </c>
      <c r="BE837" s="267">
        <f>FMS_Ranking4[[#This Row],[FMS_Type Score]]*$BD$5*10</f>
        <v>2</v>
      </c>
      <c r="BF83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7" s="271">
        <f>_xlfn.RANK.EQ(BF837,$BF$8:$BF$870,0)+COUNTIF($BF$8:BF837,BF837)-1</f>
        <v>837</v>
      </c>
      <c r="BH837" s="268">
        <f>(((FMS_Ranking4[[#This Row],[Structures Removed Raw]]/AK$4)*100)*AK$5)+(((FMS_Ranking4[[#This Row],[Removed Pop Raw]]/AR$4)*100)*AR$5)</f>
        <v>0</v>
      </c>
      <c r="BI83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7" s="325">
        <f>_xlfn.RANK.EQ(FMS_Ranking4[[#This Row],[Total Score 
(with linear
normalization)]],FMS_Ranking4[Total Score 
(with linear
normalization)],0)</f>
        <v>503</v>
      </c>
      <c r="BK837" s="327" t="e">
        <f>_xlfn.XLOOKUP(FMS_Ranking4[[#This Row],[FMS ID]],#REF!,#REF!)</f>
        <v>#REF!</v>
      </c>
      <c r="BL83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7" s="330">
        <f>FMS_Ranking4[[#This Row],[ArcSinh Score Based on Normalized Reported Factors]]+FMS_Ranking4[[#This Row],[% NBS Score (Normalized)]]+(FMS_Ranking4[[#This Row],[Water Supply Score (Normalized)]]*10*$BB$5)+FMS_Ranking4[[#This Row],[FMS_Type Score Weighted]]</f>
        <v>2</v>
      </c>
      <c r="BN837" s="332">
        <f>_xlfn.RANK.EQ(FMS_Ranking4[[#This Row],[Total Score (with ArcSinh normalization of select criteria)]],FMS_Ranking4[Total Score (with ArcSinh normalization of select criteria)],0)</f>
        <v>817</v>
      </c>
      <c r="BO837" s="270" t="str">
        <f>_xlfn.XLOOKUP(FMS_Ranking4[[#This Row],[FMS ID]],FMS_Input[FMS_ID],FMS_Input[FMS_RANK_YEAR])</f>
        <v>2023 Amended Plan</v>
      </c>
      <c r="BP837" s="204">
        <f>_xlfn.XLOOKUP(FMS_Ranking4[[#This Row],[FMS ID]],Prev_Rank[FMS ID],Prev_Rank[Prev Rank])</f>
        <v>741</v>
      </c>
      <c r="BQ837" s="334" t="e">
        <f>_xlfn.XLOOKUP(FMS_Ranking4[[#This Row],[FMS ID]],#REF!,#REF!)</f>
        <v>#REF!</v>
      </c>
      <c r="BR837" s="199" t="e">
        <f>SUM(#REF!,#REF!,#REF!,#REF!,#REF!,#REF!,#REF!,#REF!,#REF!,FMS_Ranking4[[#This Row],[ArcSinh Res struct removed 0-10]],#REF!)</f>
        <v>#REF!</v>
      </c>
      <c r="BS837" s="199" t="e">
        <f>FMS_Ranking4[[#This Row],[Log Score Based on Normalized Reported Factors]]+FMS_Ranking4[[#This Row],[% NBS Score (Normalized)]]+(FMS_Ranking4[[#This Row],[Water Supply Score (Normalized)]]*10*$BB$5)+(FMS_Ranking4[[#This Row],[FMS_Type Score Weighted]])</f>
        <v>#REF!</v>
      </c>
      <c r="BT837" s="200" t="e">
        <f>_xlfn.RANK.EQ(FMS_Ranking4[[#This Row],[Log Total Score]],FMS_Ranking4[Log Total Score],0)</f>
        <v>#REF!</v>
      </c>
      <c r="BU837" s="200" t="e">
        <f>_xlfn.XLOOKUP(FMS_Ranking4[[#This Row],[FMS ID]],#REF!,#REF!)</f>
        <v>#REF!</v>
      </c>
      <c r="BV837" s="200">
        <f>FMS_Ranking4[[#This Row],[Region Number]]</f>
        <v>1</v>
      </c>
      <c r="BW837" s="200">
        <f>FMS_Ranking4[[#This Row],[Rank (with ArcSinh normalization of select criteria)]]-FMS_Ranking4[[#This Row],[Rank
(with linear
normalization)]]</f>
        <v>314</v>
      </c>
      <c r="BX837" s="200" t="e">
        <f>FMS_Ranking4[[#This Row],[Log Rank]]-FMS_Ranking4[[#This Row],[Rank
(with linear
normalization)]]</f>
        <v>#REF!</v>
      </c>
      <c r="BY837" s="200" t="str">
        <f>IF(FMS_Ranking4[[#This Row],[FMS Type]]="Flood Measurement and Warning",FMS_Ranking4[[#This Row],[Rank (with ArcSinh normalization of select criteria)]],"")</f>
        <v/>
      </c>
      <c r="BZ837" s="200">
        <f>IF(FMS_Ranking4[[#This Row],[FMS Type]]="Regulatory and Guidance",FMS_Ranking4[[#This Row],[Rank (with ArcSinh normalization of select criteria)]],"")</f>
        <v>817</v>
      </c>
      <c r="CA837" s="200" t="str">
        <f>IF(FMS_Ranking4[[#This Row],[FMS Type]]="Education and Outreach",FMS_Ranking4[[#This Row],[Rank (with ArcSinh normalization of select criteria)]],"")</f>
        <v/>
      </c>
      <c r="CB837" s="200" t="str">
        <f>IF(FMS_Ranking4[[#This Row],[FMS Type]]="Property Acquisition and Structural Elevation",FMS_Ranking4[[#This Row],[Rank (with ArcSinh normalization of select criteria)]],"")</f>
        <v/>
      </c>
      <c r="CC837" s="200" t="str">
        <f>IF(FMS_Ranking4[[#This Row],[FMS Type]]="Infrastructure Projects",FMS_Ranking4[[#This Row],[Rank (with ArcSinh normalization of select criteria)]],"")</f>
        <v/>
      </c>
      <c r="CD837" s="200" t="str">
        <f>IF(FMS_Ranking4[[#This Row],[FMS Type]]="Other",FMS_Ranking4[[#This Row],[Rank (with ArcSinh normalization of select criteria)]],"")</f>
        <v/>
      </c>
    </row>
    <row r="838" spans="2:82" ht="45" x14ac:dyDescent="0.25">
      <c r="B838" s="342" t="s">
        <v>2386</v>
      </c>
      <c r="C838" s="287">
        <f>_xlfn.XLOOKUP(FMS_Ranking4[[#This Row],[FMS ID]],FMS_Input[FMS_ID],FMS_Input[RFPG_NUM])</f>
        <v>3</v>
      </c>
      <c r="D838" s="309" t="str">
        <f>_xlfn.XLOOKUP(FMS_Ranking4[[#This Row],[FMS ID]],FMS_Input[FMS_ID],FMS_Input[FMS_NAME])</f>
        <v>City of Latexo NFIP Floodplain Ordinance</v>
      </c>
      <c r="E838" s="322" t="str">
        <f>_xlfn.XLOOKUP(FMS_Ranking4[[#This Row],[FMS ID]],FMS_Input[FMS_ID],FMS_Input[SPONSOR])</f>
        <v>Latexo</v>
      </c>
      <c r="F838" s="309" t="str">
        <f>_xlfn.XLOOKUP(FMS_Ranking4[[#This Row],[FMS ID]],Sponsor[FMS_ID],Sponsor[SPONSOR NAME])</f>
        <v>Latexo</v>
      </c>
      <c r="G838" s="309" t="str">
        <f>_xlfn.XLOOKUP(FMS_Ranking4[[#This Row],[FMS ID]],FMS_Input[FMS_ID],FMS_Input[FMS_DESCR])</f>
        <v>Develop a floodplain ordinance that meets or exceeds FEMA's minimum standards</v>
      </c>
      <c r="H838" s="247" t="str">
        <f>_xlfn.XLOOKUP(FMS_Ranking4[[#This Row],[FMS ID]],FMS_Input[FMS_ID],FMS_Input[FMS_TYPE])</f>
        <v>Regulatory and Guidance</v>
      </c>
      <c r="I838" s="288">
        <f>_xlfn.XLOOKUP(FMS_Ranking4[[#This Row],[FMS ID]],FMS_Input[FMS_ID],FMS_Input[NRNC_COST])</f>
        <v>100000</v>
      </c>
      <c r="J838" s="250">
        <f>_xlfn.XLOOKUP(FMS_Ranking4[[#This Row],[FMS ID]],FMS_Input[FMS_ID],FMS_Input[FMS_COST])</f>
        <v>100000</v>
      </c>
      <c r="K838" s="289" t="str">
        <f>_xlfn.XLOOKUP(FMS_Ranking4[[#This Row],[FMS ID]],FMS_Input[FMS_ID],FMS_Input[EMER_NEED])</f>
        <v>No</v>
      </c>
      <c r="L838" s="252">
        <f t="shared" si="12"/>
        <v>0</v>
      </c>
      <c r="M838" s="253">
        <f>_xlfn.XLOOKUP(FMS_Ranking4[[#This Row],[FMS ID]],FMS_Input[FMS_ID],FMS_Input[STRUCT_100])</f>
        <v>0</v>
      </c>
      <c r="N838" s="255">
        <f>(ASINH(FMS_Ranking4[[#This Row],[Structure at Risk Raw]]))*(10)/(ASINH(M$4))</f>
        <v>0</v>
      </c>
      <c r="O838" s="255">
        <f>FMS_Ranking4[[#This Row],[Structures at risk, ArcSinh (0-10)]]*M$5*10</f>
        <v>0</v>
      </c>
      <c r="P838" s="259">
        <f>_xlfn.XLOOKUP(FMS_Ranking4[[#This Row],[FMS ID]],FMS_Input[FMS_ID],FMS_Input[RES_STRUCT100])</f>
        <v>0</v>
      </c>
      <c r="Q838" s="257">
        <f>ASINH(FMS_Ranking4[[#This Row],[Res Structure Raw]])/Q$4*P$5*100</f>
        <v>0</v>
      </c>
      <c r="R838" s="259">
        <f>_xlfn.XLOOKUP(FMS_Ranking4[[#This Row],[FMS ID]],FMS_Input[FMS_ID],FMS_Input[POP100])</f>
        <v>0</v>
      </c>
      <c r="S838" s="259">
        <f>(ASINH(FMS_Ranking4[[#This Row],[Pop at Risk Raw]]))*(10)/(ASINH(R$4))</f>
        <v>0</v>
      </c>
      <c r="T838" s="257">
        <f>FMS_Ranking4[[#This Row],[Population at risk, ArcSinh (0-10)]]*R$5*10</f>
        <v>0</v>
      </c>
      <c r="U838" s="259">
        <f>_xlfn.XLOOKUP(FMS_Ranking4[[#This Row],[FMS ID]],FMS_Input[FMS_ID],FMS_Input[CRITFAC100])</f>
        <v>0</v>
      </c>
      <c r="V838" s="259">
        <f>(ASINH(FMS_Ranking4[[#This Row],[Critical Facilities Raw]]))*(10)/(ASINH(U$4))</f>
        <v>0</v>
      </c>
      <c r="W838" s="257">
        <f>FMS_Ranking4[[#This Row],[Critical facilities at risk, ArcSinh (0-10)]]*U$5*10</f>
        <v>0</v>
      </c>
      <c r="X838" s="259">
        <f>_xlfn.XLOOKUP(FMS_Ranking4[[#This Row],[FMS ID]],FMS_Input[FMS_ID],FMS_Input[LWC])</f>
        <v>0</v>
      </c>
      <c r="Y838" s="259">
        <f>(ASINH(FMS_Ranking4[[#This Row],[LWC Raw]]))*(10)/(ASINH(X$4))</f>
        <v>0</v>
      </c>
      <c r="Z838" s="257">
        <f>FMS_Ranking4[[#This Row],[LWC, ArcSInh (0-10)]]*X$5*10</f>
        <v>0</v>
      </c>
      <c r="AA838" s="259">
        <f>_xlfn.XLOOKUP(FMS_Ranking4[[#This Row],[FMS ID]],FMS_Input[FMS_ID],FMS_Input[ROADCLS])</f>
        <v>0</v>
      </c>
      <c r="AB838" s="255">
        <f>(ASINH(FMS_Ranking4[[#This Row],[Road Closures Raw]]))*(10)/(ASINH(AA$4))</f>
        <v>0</v>
      </c>
      <c r="AC838" s="255">
        <f>FMS_Ranking4[[#This Row],[Road closures, ArcSinh (0-10)]]*AA$5*10</f>
        <v>0</v>
      </c>
      <c r="AD838" s="259">
        <f>_xlfn.XLOOKUP(FMS_Ranking4[[#This Row],[FMS ID]],FMS_Input[FMS_ID],FMS_Input[ROAD_MILES100])</f>
        <v>0</v>
      </c>
      <c r="AE838" s="259">
        <f>(ASINH(FMS_Ranking4[[#This Row],[Road Miles Raw]]))*(10)/(ASINH(AD$4))</f>
        <v>0</v>
      </c>
      <c r="AF838" s="257">
        <f>FMS_Ranking4[[#This Row],[Length of roads at risk, ArcSinh (0-10)]]*AD$5*10</f>
        <v>0</v>
      </c>
      <c r="AG838" s="259">
        <f>_xlfn.XLOOKUP(FMS_Ranking4[[#This Row],[FMS ID]],FMS_Input[FMS_ID],FMS_Input[FARMACRE100])</f>
        <v>0</v>
      </c>
      <c r="AH838" s="255">
        <f>(ASINH(FMS_Ranking4[[#This Row],[Ag Land Raw]]))*(10)/(ASINH(AG$4))</f>
        <v>0</v>
      </c>
      <c r="AI838" s="254">
        <f>FMS_Ranking4[[#This Row],[Farm &amp; ranch land, ArcSinh (0-10)]]*AG$5*10</f>
        <v>0</v>
      </c>
      <c r="AJ838" s="258">
        <f>_xlfn.XLOOKUP(FMS_Ranking4[[#This Row],[FMS ID]],FMS_Input[FMS_ID],FMS_Input[REDSTRUCT100])</f>
        <v>0</v>
      </c>
      <c r="AK838" s="253">
        <f>_xlfn.XLOOKUP(FMS_Ranking4[[#This Row],[FMS ID]],FMS_Input[FMS_ID],FMS_Input[REMSTRC100])</f>
        <v>0</v>
      </c>
      <c r="AL838" s="259">
        <f>(ASINH(FMS_Ranking4[[#This Row],[Structures Removed Raw]]))*(10)/(ASINH(AK$4))</f>
        <v>0</v>
      </c>
      <c r="AM838" s="254">
        <f>FMS_Ranking4[[#This Row],[Structures removed, ArcSinh (0-10)]]*AK$5*10</f>
        <v>0</v>
      </c>
      <c r="AN838" s="253">
        <f>_xlfn.XLOOKUP(FMS_Ranking4[[#This Row],[FMS ID]],FMS_Input[FMS_ID],FMS_Input[REMRESSTRC100])</f>
        <v>0</v>
      </c>
      <c r="AO838" s="258">
        <f>FMS_Ranking4[[#This Row],[ArcSinh Res struct removed 0-10]]*AN$5*10</f>
        <v>0</v>
      </c>
      <c r="AP838" s="254">
        <f>ASINH(FMS_Ranking4[[#This Row],[Residential Structures Removed Raw]])/AP$4*AN$5*100</f>
        <v>0</v>
      </c>
      <c r="AQ838" s="260">
        <f>(ASINH(FMS_Ranking4[[#This Row],[Residential Structures Removed Raw]]))*(10)/(ASINH(AN$4))</f>
        <v>0</v>
      </c>
      <c r="AR838" s="253">
        <f>_xlfn.XLOOKUP(FMS_Ranking4[[#This Row],[FMS ID]],FMS_Input[FMS_ID],FMS_Input[REMPOP100])</f>
        <v>0</v>
      </c>
      <c r="AS838" s="259">
        <f>(ASINH(FMS_Ranking4[[#This Row],[Removed Pop Raw]]))*(10)/(ASINH(AR$4))</f>
        <v>0</v>
      </c>
      <c r="AT838" s="263">
        <f>FMS_Ranking4[[#This Row],[Removed population, ArcSinh (0-10)]]*AR$5*10</f>
        <v>0</v>
      </c>
      <c r="AU838" s="264">
        <f>_xlfn.XLOOKUP(FMS_Ranking4[[#This Row],[FMS ID]],FMS_Input[FMS_ID],FMS_Input[REMCRITFAC100])</f>
        <v>0</v>
      </c>
      <c r="AV838" s="264">
        <f>_xlfn.XLOOKUP(FMS_Ranking4[[#This Row],[FMS ID]],FMS_Input[FMS_ID],FMS_Input[REMLWC100])</f>
        <v>0</v>
      </c>
      <c r="AW838" s="264">
        <f>_xlfn.XLOOKUP(FMS_Ranking4[[#This Row],[FMS ID]],FMS_Input[FMS_ID],FMS_Input[REMROADCLS])</f>
        <v>0</v>
      </c>
      <c r="AX838" s="264">
        <f>_xlfn.XLOOKUP(FMS_Ranking4[[#This Row],[FMS ID]],FMS_Input[FMS_ID],FMS_Input[REMFRMACRE100])</f>
        <v>0</v>
      </c>
      <c r="AY838" s="258">
        <f>_xlfn.XLOOKUP(FMS_Ranking4[[#This Row],[FMS ID]],FMS_Input[FMS_ID],FMS_Input[COSTSTRUCT])</f>
        <v>0</v>
      </c>
      <c r="AZ838" s="258">
        <f>_xlfn.XLOOKUP(FMS_Ranking4[[#This Row],[FMS ID]],FMS_Input[FMS_ID],FMS_Input[NATURE])</f>
        <v>0</v>
      </c>
      <c r="BA838" s="290">
        <f>(((FMS_Ranking4[[#This Row],[% NBS Raw]]/AZ$4)*100)*AZ$5)</f>
        <v>0</v>
      </c>
      <c r="BB838" s="251" t="str">
        <f>_xlfn.XLOOKUP(FMS_Ranking4[[#This Row],[FMS ID]],FMS_Input[FMS_ID],FMS_Input[WATER_SUP])</f>
        <v>No</v>
      </c>
      <c r="BC838" s="265">
        <f>IF(FMS_Ranking4[[#This Row],[Water Supply Raw]]="Yes",10,0)</f>
        <v>0</v>
      </c>
      <c r="BD838" s="251">
        <f>_xlfn.XLOOKUP(FMS_Ranking4[[#This Row],[FMS Type]],FMS_TYPE[FMS_Type],FMS_TYPE[Score])</f>
        <v>8</v>
      </c>
      <c r="BE838" s="267">
        <f>FMS_Ranking4[[#This Row],[FMS_Type Score]]*$BD$5*10</f>
        <v>2</v>
      </c>
      <c r="BF83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8" s="271">
        <f>_xlfn.RANK.EQ(BF838,$BF$8:$BF$870,0)+COUNTIF($BF$8:BF838,BF838)-1</f>
        <v>838</v>
      </c>
      <c r="BH838" s="268">
        <f>(((FMS_Ranking4[[#This Row],[Structures Removed Raw]]/AK$4)*100)*AK$5)+(((FMS_Ranking4[[#This Row],[Removed Pop Raw]]/AR$4)*100)*AR$5)</f>
        <v>0</v>
      </c>
      <c r="BI83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8" s="325">
        <f>_xlfn.RANK.EQ(FMS_Ranking4[[#This Row],[Total Score 
(with linear
normalization)]],FMS_Ranking4[Total Score 
(with linear
normalization)],0)</f>
        <v>503</v>
      </c>
      <c r="BK838" s="327" t="e">
        <f>_xlfn.XLOOKUP(FMS_Ranking4[[#This Row],[FMS ID]],#REF!,#REF!)</f>
        <v>#REF!</v>
      </c>
      <c r="BL83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8" s="330">
        <f>FMS_Ranking4[[#This Row],[ArcSinh Score Based on Normalized Reported Factors]]+FMS_Ranking4[[#This Row],[% NBS Score (Normalized)]]+(FMS_Ranking4[[#This Row],[Water Supply Score (Normalized)]]*10*$BB$5)+FMS_Ranking4[[#This Row],[FMS_Type Score Weighted]]</f>
        <v>2</v>
      </c>
      <c r="BN838" s="332">
        <f>_xlfn.RANK.EQ(FMS_Ranking4[[#This Row],[Total Score (with ArcSinh normalization of select criteria)]],FMS_Ranking4[Total Score (with ArcSinh normalization of select criteria)],0)</f>
        <v>817</v>
      </c>
      <c r="BO838" s="270" t="str">
        <f>_xlfn.XLOOKUP(FMS_Ranking4[[#This Row],[FMS ID]],FMS_Input[FMS_ID],FMS_Input[FMS_RANK_YEAR])</f>
        <v>2023 Amended Plan</v>
      </c>
      <c r="BP838" s="204">
        <f>_xlfn.XLOOKUP(FMS_Ranking4[[#This Row],[FMS ID]],Prev_Rank[FMS ID],Prev_Rank[Prev Rank])</f>
        <v>741</v>
      </c>
      <c r="BQ838" s="334" t="e">
        <f>_xlfn.XLOOKUP(FMS_Ranking4[[#This Row],[FMS ID]],#REF!,#REF!)</f>
        <v>#REF!</v>
      </c>
      <c r="BR838" s="199" t="e">
        <f>SUM(#REF!,#REF!,#REF!,#REF!,#REF!,#REF!,#REF!,#REF!,#REF!,FMS_Ranking4[[#This Row],[ArcSinh Res struct removed 0-10]],#REF!)</f>
        <v>#REF!</v>
      </c>
      <c r="BS838" s="199" t="e">
        <f>FMS_Ranking4[[#This Row],[Log Score Based on Normalized Reported Factors]]+FMS_Ranking4[[#This Row],[% NBS Score (Normalized)]]+(FMS_Ranking4[[#This Row],[Water Supply Score (Normalized)]]*10*$BB$5)+(FMS_Ranking4[[#This Row],[FMS_Type Score Weighted]])</f>
        <v>#REF!</v>
      </c>
      <c r="BT838" s="200" t="e">
        <f>_xlfn.RANK.EQ(FMS_Ranking4[[#This Row],[Log Total Score]],FMS_Ranking4[Log Total Score],0)</f>
        <v>#REF!</v>
      </c>
      <c r="BU838" s="200" t="e">
        <f>_xlfn.XLOOKUP(FMS_Ranking4[[#This Row],[FMS ID]],#REF!,#REF!)</f>
        <v>#REF!</v>
      </c>
      <c r="BV838" s="200">
        <f>FMS_Ranking4[[#This Row],[Region Number]]</f>
        <v>3</v>
      </c>
      <c r="BW838" s="200">
        <f>FMS_Ranking4[[#This Row],[Rank (with ArcSinh normalization of select criteria)]]-FMS_Ranking4[[#This Row],[Rank
(with linear
normalization)]]</f>
        <v>314</v>
      </c>
      <c r="BX838" s="200" t="e">
        <f>FMS_Ranking4[[#This Row],[Log Rank]]-FMS_Ranking4[[#This Row],[Rank
(with linear
normalization)]]</f>
        <v>#REF!</v>
      </c>
      <c r="BY838" s="200" t="str">
        <f>IF(FMS_Ranking4[[#This Row],[FMS Type]]="Flood Measurement and Warning",FMS_Ranking4[[#This Row],[Rank (with ArcSinh normalization of select criteria)]],"")</f>
        <v/>
      </c>
      <c r="BZ838" s="200">
        <f>IF(FMS_Ranking4[[#This Row],[FMS Type]]="Regulatory and Guidance",FMS_Ranking4[[#This Row],[Rank (with ArcSinh normalization of select criteria)]],"")</f>
        <v>817</v>
      </c>
      <c r="CA838" s="200" t="str">
        <f>IF(FMS_Ranking4[[#This Row],[FMS Type]]="Education and Outreach",FMS_Ranking4[[#This Row],[Rank (with ArcSinh normalization of select criteria)]],"")</f>
        <v/>
      </c>
      <c r="CB838" s="200" t="str">
        <f>IF(FMS_Ranking4[[#This Row],[FMS Type]]="Property Acquisition and Structural Elevation",FMS_Ranking4[[#This Row],[Rank (with ArcSinh normalization of select criteria)]],"")</f>
        <v/>
      </c>
      <c r="CC838" s="200" t="str">
        <f>IF(FMS_Ranking4[[#This Row],[FMS Type]]="Infrastructure Projects",FMS_Ranking4[[#This Row],[Rank (with ArcSinh normalization of select criteria)]],"")</f>
        <v/>
      </c>
      <c r="CD838" s="200" t="str">
        <f>IF(FMS_Ranking4[[#This Row],[FMS Type]]="Other",FMS_Ranking4[[#This Row],[Rank (with ArcSinh normalization of select criteria)]],"")</f>
        <v/>
      </c>
    </row>
    <row r="839" spans="2:82" ht="45" x14ac:dyDescent="0.25">
      <c r="B839" s="342" t="s">
        <v>2452</v>
      </c>
      <c r="C839" s="287">
        <f>_xlfn.XLOOKUP(FMS_Ranking4[[#This Row],[FMS ID]],FMS_Input[FMS_ID],FMS_Input[RFPG_NUM])</f>
        <v>3</v>
      </c>
      <c r="D839" s="309" t="str">
        <f>_xlfn.XLOOKUP(FMS_Ranking4[[#This Row],[FMS ID]],FMS_Input[FMS_ID],FMS_Input[FMS_NAME])</f>
        <v>Draper NFIP Floodplain Ordinance</v>
      </c>
      <c r="E839" s="322" t="str">
        <f>_xlfn.XLOOKUP(FMS_Ranking4[[#This Row],[FMS ID]],FMS_Input[FMS_ID],FMS_Input[SPONSOR])</f>
        <v>Draper</v>
      </c>
      <c r="F839" s="309" t="str">
        <f>_xlfn.XLOOKUP(FMS_Ranking4[[#This Row],[FMS ID]],Sponsor[FMS_ID],Sponsor[SPONSOR NAME])</f>
        <v>Draper</v>
      </c>
      <c r="G839" s="309" t="str">
        <f>_xlfn.XLOOKUP(FMS_Ranking4[[#This Row],[FMS ID]],FMS_Input[FMS_ID],FMS_Input[FMS_DESCR])</f>
        <v>Develop a floodplain ordinance that meets or exceeds FEMA's minimum standards</v>
      </c>
      <c r="H839" s="247" t="str">
        <f>_xlfn.XLOOKUP(FMS_Ranking4[[#This Row],[FMS ID]],FMS_Input[FMS_ID],FMS_Input[FMS_TYPE])</f>
        <v>Regulatory and Guidance</v>
      </c>
      <c r="I839" s="288">
        <f>_xlfn.XLOOKUP(FMS_Ranking4[[#This Row],[FMS ID]],FMS_Input[FMS_ID],FMS_Input[NRNC_COST])</f>
        <v>100000</v>
      </c>
      <c r="J839" s="250">
        <f>_xlfn.XLOOKUP(FMS_Ranking4[[#This Row],[FMS ID]],FMS_Input[FMS_ID],FMS_Input[FMS_COST])</f>
        <v>100000</v>
      </c>
      <c r="K839" s="289" t="str">
        <f>_xlfn.XLOOKUP(FMS_Ranking4[[#This Row],[FMS ID]],FMS_Input[FMS_ID],FMS_Input[EMER_NEED])</f>
        <v>No</v>
      </c>
      <c r="L839" s="252">
        <f t="shared" si="12"/>
        <v>0</v>
      </c>
      <c r="M839" s="253">
        <f>_xlfn.XLOOKUP(FMS_Ranking4[[#This Row],[FMS ID]],FMS_Input[FMS_ID],FMS_Input[STRUCT_100])</f>
        <v>0</v>
      </c>
      <c r="N839" s="255">
        <f>(ASINH(FMS_Ranking4[[#This Row],[Structure at Risk Raw]]))*(10)/(ASINH(M$4))</f>
        <v>0</v>
      </c>
      <c r="O839" s="255">
        <f>FMS_Ranking4[[#This Row],[Structures at risk, ArcSinh (0-10)]]*M$5*10</f>
        <v>0</v>
      </c>
      <c r="P839" s="259">
        <f>_xlfn.XLOOKUP(FMS_Ranking4[[#This Row],[FMS ID]],FMS_Input[FMS_ID],FMS_Input[RES_STRUCT100])</f>
        <v>0</v>
      </c>
      <c r="Q839" s="257">
        <f>ASINH(FMS_Ranking4[[#This Row],[Res Structure Raw]])/Q$4*P$5*100</f>
        <v>0</v>
      </c>
      <c r="R839" s="259">
        <f>_xlfn.XLOOKUP(FMS_Ranking4[[#This Row],[FMS ID]],FMS_Input[FMS_ID],FMS_Input[POP100])</f>
        <v>0</v>
      </c>
      <c r="S839" s="259">
        <f>(ASINH(FMS_Ranking4[[#This Row],[Pop at Risk Raw]]))*(10)/(ASINH(R$4))</f>
        <v>0</v>
      </c>
      <c r="T839" s="257">
        <f>FMS_Ranking4[[#This Row],[Population at risk, ArcSinh (0-10)]]*R$5*10</f>
        <v>0</v>
      </c>
      <c r="U839" s="259">
        <f>_xlfn.XLOOKUP(FMS_Ranking4[[#This Row],[FMS ID]],FMS_Input[FMS_ID],FMS_Input[CRITFAC100])</f>
        <v>0</v>
      </c>
      <c r="V839" s="259">
        <f>(ASINH(FMS_Ranking4[[#This Row],[Critical Facilities Raw]]))*(10)/(ASINH(U$4))</f>
        <v>0</v>
      </c>
      <c r="W839" s="257">
        <f>FMS_Ranking4[[#This Row],[Critical facilities at risk, ArcSinh (0-10)]]*U$5*10</f>
        <v>0</v>
      </c>
      <c r="X839" s="259">
        <f>_xlfn.XLOOKUP(FMS_Ranking4[[#This Row],[FMS ID]],FMS_Input[FMS_ID],FMS_Input[LWC])</f>
        <v>0</v>
      </c>
      <c r="Y839" s="259">
        <f>(ASINH(FMS_Ranking4[[#This Row],[LWC Raw]]))*(10)/(ASINH(X$4))</f>
        <v>0</v>
      </c>
      <c r="Z839" s="257">
        <f>FMS_Ranking4[[#This Row],[LWC, ArcSInh (0-10)]]*X$5*10</f>
        <v>0</v>
      </c>
      <c r="AA839" s="259">
        <f>_xlfn.XLOOKUP(FMS_Ranking4[[#This Row],[FMS ID]],FMS_Input[FMS_ID],FMS_Input[ROADCLS])</f>
        <v>0</v>
      </c>
      <c r="AB839" s="255">
        <f>(ASINH(FMS_Ranking4[[#This Row],[Road Closures Raw]]))*(10)/(ASINH(AA$4))</f>
        <v>0</v>
      </c>
      <c r="AC839" s="255">
        <f>FMS_Ranking4[[#This Row],[Road closures, ArcSinh (0-10)]]*AA$5*10</f>
        <v>0</v>
      </c>
      <c r="AD839" s="259">
        <f>_xlfn.XLOOKUP(FMS_Ranking4[[#This Row],[FMS ID]],FMS_Input[FMS_ID],FMS_Input[ROAD_MILES100])</f>
        <v>0</v>
      </c>
      <c r="AE839" s="259">
        <f>(ASINH(FMS_Ranking4[[#This Row],[Road Miles Raw]]))*(10)/(ASINH(AD$4))</f>
        <v>0</v>
      </c>
      <c r="AF839" s="257">
        <f>FMS_Ranking4[[#This Row],[Length of roads at risk, ArcSinh (0-10)]]*AD$5*10</f>
        <v>0</v>
      </c>
      <c r="AG839" s="259">
        <f>_xlfn.XLOOKUP(FMS_Ranking4[[#This Row],[FMS ID]],FMS_Input[FMS_ID],FMS_Input[FARMACRE100])</f>
        <v>0</v>
      </c>
      <c r="AH839" s="255">
        <f>(ASINH(FMS_Ranking4[[#This Row],[Ag Land Raw]]))*(10)/(ASINH(AG$4))</f>
        <v>0</v>
      </c>
      <c r="AI839" s="254">
        <f>FMS_Ranking4[[#This Row],[Farm &amp; ranch land, ArcSinh (0-10)]]*AG$5*10</f>
        <v>0</v>
      </c>
      <c r="AJ839" s="258">
        <f>_xlfn.XLOOKUP(FMS_Ranking4[[#This Row],[FMS ID]],FMS_Input[FMS_ID],FMS_Input[REDSTRUCT100])</f>
        <v>0</v>
      </c>
      <c r="AK839" s="253">
        <f>_xlfn.XLOOKUP(FMS_Ranking4[[#This Row],[FMS ID]],FMS_Input[FMS_ID],FMS_Input[REMSTRC100])</f>
        <v>0</v>
      </c>
      <c r="AL839" s="259">
        <f>(ASINH(FMS_Ranking4[[#This Row],[Structures Removed Raw]]))*(10)/(ASINH(AK$4))</f>
        <v>0</v>
      </c>
      <c r="AM839" s="254">
        <f>FMS_Ranking4[[#This Row],[Structures removed, ArcSinh (0-10)]]*AK$5*10</f>
        <v>0</v>
      </c>
      <c r="AN839" s="253">
        <f>_xlfn.XLOOKUP(FMS_Ranking4[[#This Row],[FMS ID]],FMS_Input[FMS_ID],FMS_Input[REMRESSTRC100])</f>
        <v>0</v>
      </c>
      <c r="AO839" s="258">
        <f>FMS_Ranking4[[#This Row],[ArcSinh Res struct removed 0-10]]*AN$5*10</f>
        <v>0</v>
      </c>
      <c r="AP839" s="254">
        <f>ASINH(FMS_Ranking4[[#This Row],[Residential Structures Removed Raw]])/AP$4*AN$5*100</f>
        <v>0</v>
      </c>
      <c r="AQ839" s="260">
        <f>(ASINH(FMS_Ranking4[[#This Row],[Residential Structures Removed Raw]]))*(10)/(ASINH(AN$4))</f>
        <v>0</v>
      </c>
      <c r="AR839" s="253">
        <f>_xlfn.XLOOKUP(FMS_Ranking4[[#This Row],[FMS ID]],FMS_Input[FMS_ID],FMS_Input[REMPOP100])</f>
        <v>0</v>
      </c>
      <c r="AS839" s="259">
        <f>(ASINH(FMS_Ranking4[[#This Row],[Removed Pop Raw]]))*(10)/(ASINH(AR$4))</f>
        <v>0</v>
      </c>
      <c r="AT839" s="263">
        <f>FMS_Ranking4[[#This Row],[Removed population, ArcSinh (0-10)]]*AR$5*10</f>
        <v>0</v>
      </c>
      <c r="AU839" s="264">
        <f>_xlfn.XLOOKUP(FMS_Ranking4[[#This Row],[FMS ID]],FMS_Input[FMS_ID],FMS_Input[REMCRITFAC100])</f>
        <v>0</v>
      </c>
      <c r="AV839" s="264">
        <f>_xlfn.XLOOKUP(FMS_Ranking4[[#This Row],[FMS ID]],FMS_Input[FMS_ID],FMS_Input[REMLWC100])</f>
        <v>0</v>
      </c>
      <c r="AW839" s="264">
        <f>_xlfn.XLOOKUP(FMS_Ranking4[[#This Row],[FMS ID]],FMS_Input[FMS_ID],FMS_Input[REMROADCLS])</f>
        <v>0</v>
      </c>
      <c r="AX839" s="264">
        <f>_xlfn.XLOOKUP(FMS_Ranking4[[#This Row],[FMS ID]],FMS_Input[FMS_ID],FMS_Input[REMFRMACRE100])</f>
        <v>0</v>
      </c>
      <c r="AY839" s="258">
        <f>_xlfn.XLOOKUP(FMS_Ranking4[[#This Row],[FMS ID]],FMS_Input[FMS_ID],FMS_Input[COSTSTRUCT])</f>
        <v>0</v>
      </c>
      <c r="AZ839" s="258">
        <f>_xlfn.XLOOKUP(FMS_Ranking4[[#This Row],[FMS ID]],FMS_Input[FMS_ID],FMS_Input[NATURE])</f>
        <v>0</v>
      </c>
      <c r="BA839" s="290">
        <f>(((FMS_Ranking4[[#This Row],[% NBS Raw]]/AZ$4)*100)*AZ$5)</f>
        <v>0</v>
      </c>
      <c r="BB839" s="251" t="str">
        <f>_xlfn.XLOOKUP(FMS_Ranking4[[#This Row],[FMS ID]],FMS_Input[FMS_ID],FMS_Input[WATER_SUP])</f>
        <v>No</v>
      </c>
      <c r="BC839" s="265">
        <f>IF(FMS_Ranking4[[#This Row],[Water Supply Raw]]="Yes",10,0)</f>
        <v>0</v>
      </c>
      <c r="BD839" s="251">
        <f>_xlfn.XLOOKUP(FMS_Ranking4[[#This Row],[FMS Type]],FMS_TYPE[FMS_Type],FMS_TYPE[Score])</f>
        <v>8</v>
      </c>
      <c r="BE839" s="267">
        <f>FMS_Ranking4[[#This Row],[FMS_Type Score]]*$BD$5*10</f>
        <v>2</v>
      </c>
      <c r="BF839"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39" s="271">
        <f>_xlfn.RANK.EQ(BF839,$BF$8:$BF$870,0)+COUNTIF($BF$8:BF839,BF839)-1</f>
        <v>839</v>
      </c>
      <c r="BH839" s="268">
        <f>(((FMS_Ranking4[[#This Row],[Structures Removed Raw]]/AK$4)*100)*AK$5)+(((FMS_Ranking4[[#This Row],[Removed Pop Raw]]/AR$4)*100)*AR$5)</f>
        <v>0</v>
      </c>
      <c r="BI83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39" s="325">
        <f>_xlfn.RANK.EQ(FMS_Ranking4[[#This Row],[Total Score 
(with linear
normalization)]],FMS_Ranking4[Total Score 
(with linear
normalization)],0)</f>
        <v>503</v>
      </c>
      <c r="BK839" s="327" t="e">
        <f>_xlfn.XLOOKUP(FMS_Ranking4[[#This Row],[FMS ID]],#REF!,#REF!)</f>
        <v>#REF!</v>
      </c>
      <c r="BL839"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39" s="330">
        <f>FMS_Ranking4[[#This Row],[ArcSinh Score Based on Normalized Reported Factors]]+FMS_Ranking4[[#This Row],[% NBS Score (Normalized)]]+(FMS_Ranking4[[#This Row],[Water Supply Score (Normalized)]]*10*$BB$5)+FMS_Ranking4[[#This Row],[FMS_Type Score Weighted]]</f>
        <v>2</v>
      </c>
      <c r="BN839" s="332">
        <f>_xlfn.RANK.EQ(FMS_Ranking4[[#This Row],[Total Score (with ArcSinh normalization of select criteria)]],FMS_Ranking4[Total Score (with ArcSinh normalization of select criteria)],0)</f>
        <v>817</v>
      </c>
      <c r="BO839" s="270" t="str">
        <f>_xlfn.XLOOKUP(FMS_Ranking4[[#This Row],[FMS ID]],FMS_Input[FMS_ID],FMS_Input[FMS_RANK_YEAR])</f>
        <v>2023 Amended Plan</v>
      </c>
      <c r="BP839" s="204">
        <f>_xlfn.XLOOKUP(FMS_Ranking4[[#This Row],[FMS ID]],Prev_Rank[FMS ID],Prev_Rank[Prev Rank])</f>
        <v>741</v>
      </c>
      <c r="BQ839" s="334" t="e">
        <f>_xlfn.XLOOKUP(FMS_Ranking4[[#This Row],[FMS ID]],#REF!,#REF!)</f>
        <v>#REF!</v>
      </c>
      <c r="BR839" s="199" t="e">
        <f>SUM(#REF!,#REF!,#REF!,#REF!,#REF!,#REF!,#REF!,#REF!,#REF!,FMS_Ranking4[[#This Row],[ArcSinh Res struct removed 0-10]],#REF!)</f>
        <v>#REF!</v>
      </c>
      <c r="BS839" s="199" t="e">
        <f>FMS_Ranking4[[#This Row],[Log Score Based on Normalized Reported Factors]]+FMS_Ranking4[[#This Row],[% NBS Score (Normalized)]]+(FMS_Ranking4[[#This Row],[Water Supply Score (Normalized)]]*10*$BB$5)+(FMS_Ranking4[[#This Row],[FMS_Type Score Weighted]])</f>
        <v>#REF!</v>
      </c>
      <c r="BT839" s="200" t="e">
        <f>_xlfn.RANK.EQ(FMS_Ranking4[[#This Row],[Log Total Score]],FMS_Ranking4[Log Total Score],0)</f>
        <v>#REF!</v>
      </c>
      <c r="BU839" s="200" t="e">
        <f>_xlfn.XLOOKUP(FMS_Ranking4[[#This Row],[FMS ID]],#REF!,#REF!)</f>
        <v>#REF!</v>
      </c>
      <c r="BV839" s="200">
        <f>FMS_Ranking4[[#This Row],[Region Number]]</f>
        <v>3</v>
      </c>
      <c r="BW839" s="200">
        <f>FMS_Ranking4[[#This Row],[Rank (with ArcSinh normalization of select criteria)]]-FMS_Ranking4[[#This Row],[Rank
(with linear
normalization)]]</f>
        <v>314</v>
      </c>
      <c r="BX839" s="200" t="e">
        <f>FMS_Ranking4[[#This Row],[Log Rank]]-FMS_Ranking4[[#This Row],[Rank
(with linear
normalization)]]</f>
        <v>#REF!</v>
      </c>
      <c r="BY839" s="200" t="str">
        <f>IF(FMS_Ranking4[[#This Row],[FMS Type]]="Flood Measurement and Warning",FMS_Ranking4[[#This Row],[Rank (with ArcSinh normalization of select criteria)]],"")</f>
        <v/>
      </c>
      <c r="BZ839" s="200">
        <f>IF(FMS_Ranking4[[#This Row],[FMS Type]]="Regulatory and Guidance",FMS_Ranking4[[#This Row],[Rank (with ArcSinh normalization of select criteria)]],"")</f>
        <v>817</v>
      </c>
      <c r="CA839" s="200" t="str">
        <f>IF(FMS_Ranking4[[#This Row],[FMS Type]]="Education and Outreach",FMS_Ranking4[[#This Row],[Rank (with ArcSinh normalization of select criteria)]],"")</f>
        <v/>
      </c>
      <c r="CB839" s="200" t="str">
        <f>IF(FMS_Ranking4[[#This Row],[FMS Type]]="Property Acquisition and Structural Elevation",FMS_Ranking4[[#This Row],[Rank (with ArcSinh normalization of select criteria)]],"")</f>
        <v/>
      </c>
      <c r="CC839" s="200" t="str">
        <f>IF(FMS_Ranking4[[#This Row],[FMS Type]]="Infrastructure Projects",FMS_Ranking4[[#This Row],[Rank (with ArcSinh normalization of select criteria)]],"")</f>
        <v/>
      </c>
      <c r="CD839" s="200" t="str">
        <f>IF(FMS_Ranking4[[#This Row],[FMS Type]]="Other",FMS_Ranking4[[#This Row],[Rank (with ArcSinh normalization of select criteria)]],"")</f>
        <v/>
      </c>
    </row>
    <row r="840" spans="2:82" ht="45" x14ac:dyDescent="0.25">
      <c r="B840" s="342" t="s">
        <v>3076</v>
      </c>
      <c r="C840" s="287">
        <f>_xlfn.XLOOKUP(FMS_Ranking4[[#This Row],[FMS ID]],FMS_Input[FMS_ID],FMS_Input[RFPG_NUM])</f>
        <v>7</v>
      </c>
      <c r="D840" s="309" t="str">
        <f>_xlfn.XLOOKUP(FMS_Ranking4[[#This Row],[FMS ID]],FMS_Input[FMS_ID],FMS_Input[FMS_NAME])</f>
        <v>City of Roby NFIP Participation</v>
      </c>
      <c r="E840" s="322" t="str">
        <f>_xlfn.XLOOKUP(FMS_Ranking4[[#This Row],[FMS ID]],FMS_Input[FMS_ID],FMS_Input[SPONSOR])</f>
        <v>07003485</v>
      </c>
      <c r="F840" s="309" t="str">
        <f>_xlfn.XLOOKUP(FMS_Ranking4[[#This Row],[FMS ID]],Sponsor[FMS_ID],Sponsor[SPONSOR NAME])</f>
        <v>Roby</v>
      </c>
      <c r="G840" s="309" t="str">
        <f>_xlfn.XLOOKUP(FMS_Ranking4[[#This Row],[FMS ID]],FMS_Input[FMS_ID],FMS_Input[FMS_DESCR])</f>
        <v>Application to join NFIP or adoption of equivalent standards.</v>
      </c>
      <c r="H840" s="247" t="str">
        <f>_xlfn.XLOOKUP(FMS_Ranking4[[#This Row],[FMS ID]],FMS_Input[FMS_ID],FMS_Input[FMS_TYPE])</f>
        <v>Regulatory and Guidance</v>
      </c>
      <c r="I840" s="288">
        <f>_xlfn.XLOOKUP(FMS_Ranking4[[#This Row],[FMS ID]],FMS_Input[FMS_ID],FMS_Input[NRNC_COST])</f>
        <v>50000</v>
      </c>
      <c r="J840" s="250">
        <f>_xlfn.XLOOKUP(FMS_Ranking4[[#This Row],[FMS ID]],FMS_Input[FMS_ID],FMS_Input[FMS_COST])</f>
        <v>50000</v>
      </c>
      <c r="K840" s="289" t="str">
        <f>_xlfn.XLOOKUP(FMS_Ranking4[[#This Row],[FMS ID]],FMS_Input[FMS_ID],FMS_Input[EMER_NEED])</f>
        <v>No</v>
      </c>
      <c r="L840" s="252">
        <f t="shared" ref="L840:L870" si="13">IF(K840="Yes",1,0)</f>
        <v>0</v>
      </c>
      <c r="M840" s="253">
        <f>_xlfn.XLOOKUP(FMS_Ranking4[[#This Row],[FMS ID]],FMS_Input[FMS_ID],FMS_Input[STRUCT_100])</f>
        <v>0</v>
      </c>
      <c r="N840" s="255">
        <f>(ASINH(FMS_Ranking4[[#This Row],[Structure at Risk Raw]]))*(10)/(ASINH(M$4))</f>
        <v>0</v>
      </c>
      <c r="O840" s="255">
        <f>FMS_Ranking4[[#This Row],[Structures at risk, ArcSinh (0-10)]]*M$5*10</f>
        <v>0</v>
      </c>
      <c r="P840" s="259">
        <f>_xlfn.XLOOKUP(FMS_Ranking4[[#This Row],[FMS ID]],FMS_Input[FMS_ID],FMS_Input[RES_STRUCT100])</f>
        <v>0</v>
      </c>
      <c r="Q840" s="257">
        <f>ASINH(FMS_Ranking4[[#This Row],[Res Structure Raw]])/Q$4*P$5*100</f>
        <v>0</v>
      </c>
      <c r="R840" s="259">
        <f>_xlfn.XLOOKUP(FMS_Ranking4[[#This Row],[FMS ID]],FMS_Input[FMS_ID],FMS_Input[POP100])</f>
        <v>0</v>
      </c>
      <c r="S840" s="255">
        <f>(ASINH(FMS_Ranking4[[#This Row],[Pop at Risk Raw]]))*(10)/(ASINH(R$4))</f>
        <v>0</v>
      </c>
      <c r="T840" s="257">
        <f>FMS_Ranking4[[#This Row],[Population at risk, ArcSinh (0-10)]]*R$5*10</f>
        <v>0</v>
      </c>
      <c r="U840" s="259">
        <f>_xlfn.XLOOKUP(FMS_Ranking4[[#This Row],[FMS ID]],FMS_Input[FMS_ID],FMS_Input[CRITFAC100])</f>
        <v>0</v>
      </c>
      <c r="V840" s="255">
        <f>(ASINH(FMS_Ranking4[[#This Row],[Critical Facilities Raw]]))*(10)/(ASINH(U$4))</f>
        <v>0</v>
      </c>
      <c r="W840" s="257">
        <f>FMS_Ranking4[[#This Row],[Critical facilities at risk, ArcSinh (0-10)]]*U$5*10</f>
        <v>0</v>
      </c>
      <c r="X840" s="259">
        <f>_xlfn.XLOOKUP(FMS_Ranking4[[#This Row],[FMS ID]],FMS_Input[FMS_ID],FMS_Input[LWC])</f>
        <v>0</v>
      </c>
      <c r="Y840" s="255">
        <f>(ASINH(FMS_Ranking4[[#This Row],[LWC Raw]]))*(10)/(ASINH(X$4))</f>
        <v>0</v>
      </c>
      <c r="Z840" s="257">
        <f>FMS_Ranking4[[#This Row],[LWC, ArcSInh (0-10)]]*X$5*10</f>
        <v>0</v>
      </c>
      <c r="AA840" s="259">
        <f>_xlfn.XLOOKUP(FMS_Ranking4[[#This Row],[FMS ID]],FMS_Input[FMS_ID],FMS_Input[ROADCLS])</f>
        <v>0</v>
      </c>
      <c r="AB840" s="255">
        <f>(ASINH(FMS_Ranking4[[#This Row],[Road Closures Raw]]))*(10)/(ASINH(AA$4))</f>
        <v>0</v>
      </c>
      <c r="AC840" s="255">
        <f>FMS_Ranking4[[#This Row],[Road closures, ArcSinh (0-10)]]*AA$5*10</f>
        <v>0</v>
      </c>
      <c r="AD840" s="259">
        <f>_xlfn.XLOOKUP(FMS_Ranking4[[#This Row],[FMS ID]],FMS_Input[FMS_ID],FMS_Input[ROAD_MILES100])</f>
        <v>0</v>
      </c>
      <c r="AE840" s="255">
        <f>(ASINH(FMS_Ranking4[[#This Row],[Road Miles Raw]]))*(10)/(ASINH(AD$4))</f>
        <v>0</v>
      </c>
      <c r="AF840" s="257">
        <f>FMS_Ranking4[[#This Row],[Length of roads at risk, ArcSinh (0-10)]]*AD$5*10</f>
        <v>0</v>
      </c>
      <c r="AG840" s="259">
        <f>_xlfn.XLOOKUP(FMS_Ranking4[[#This Row],[FMS ID]],FMS_Input[FMS_ID],FMS_Input[FARMACRE100])</f>
        <v>0</v>
      </c>
      <c r="AH840" s="255">
        <f>(ASINH(FMS_Ranking4[[#This Row],[Ag Land Raw]]))*(10)/(ASINH(AG$4))</f>
        <v>0</v>
      </c>
      <c r="AI840" s="254">
        <f>FMS_Ranking4[[#This Row],[Farm &amp; ranch land, ArcSinh (0-10)]]*AG$5*10</f>
        <v>0</v>
      </c>
      <c r="AJ840" s="258">
        <f>_xlfn.XLOOKUP(FMS_Ranking4[[#This Row],[FMS ID]],FMS_Input[FMS_ID],FMS_Input[REDSTRUCT100])</f>
        <v>0</v>
      </c>
      <c r="AK840" s="253">
        <f>_xlfn.XLOOKUP(FMS_Ranking4[[#This Row],[FMS ID]],FMS_Input[FMS_ID],FMS_Input[REMSTRC100])</f>
        <v>0</v>
      </c>
      <c r="AL840" s="255">
        <f>(ASINH(FMS_Ranking4[[#This Row],[Structures Removed Raw]]))*(10)/(ASINH(AK$4))</f>
        <v>0</v>
      </c>
      <c r="AM840" s="254">
        <f>FMS_Ranking4[[#This Row],[Structures removed, ArcSinh (0-10)]]*AK$5*10</f>
        <v>0</v>
      </c>
      <c r="AN840" s="253">
        <f>_xlfn.XLOOKUP(FMS_Ranking4[[#This Row],[FMS ID]],FMS_Input[FMS_ID],FMS_Input[REMRESSTRC100])</f>
        <v>0</v>
      </c>
      <c r="AO840" s="258">
        <f>FMS_Ranking4[[#This Row],[ArcSinh Res struct removed 0-10]]*AN$5*10</f>
        <v>0</v>
      </c>
      <c r="AP840" s="254">
        <f>ASINH(FMS_Ranking4[[#This Row],[Residential Structures Removed Raw]])/AP$4*AN$5*100</f>
        <v>0</v>
      </c>
      <c r="AQ840" s="261">
        <f>(ASINH(FMS_Ranking4[[#This Row],[Residential Structures Removed Raw]]))*(10)/(ASINH(AN$4))</f>
        <v>0</v>
      </c>
      <c r="AR840" s="253">
        <f>_xlfn.XLOOKUP(FMS_Ranking4[[#This Row],[FMS ID]],FMS_Input[FMS_ID],FMS_Input[REMPOP100])</f>
        <v>0</v>
      </c>
      <c r="AS840" s="255">
        <f>(ASINH(FMS_Ranking4[[#This Row],[Removed Pop Raw]]))*(10)/(ASINH(AR$4))</f>
        <v>0</v>
      </c>
      <c r="AT840" s="263">
        <f>FMS_Ranking4[[#This Row],[Removed population, ArcSinh (0-10)]]*AR$5*10</f>
        <v>0</v>
      </c>
      <c r="AU840" s="264">
        <f>_xlfn.XLOOKUP(FMS_Ranking4[[#This Row],[FMS ID]],FMS_Input[FMS_ID],FMS_Input[REMCRITFAC100])</f>
        <v>0</v>
      </c>
      <c r="AV840" s="264">
        <f>_xlfn.XLOOKUP(FMS_Ranking4[[#This Row],[FMS ID]],FMS_Input[FMS_ID],FMS_Input[REMLWC100])</f>
        <v>0</v>
      </c>
      <c r="AW840" s="264">
        <f>_xlfn.XLOOKUP(FMS_Ranking4[[#This Row],[FMS ID]],FMS_Input[FMS_ID],FMS_Input[REMROADCLS])</f>
        <v>0</v>
      </c>
      <c r="AX840" s="264">
        <f>_xlfn.XLOOKUP(FMS_Ranking4[[#This Row],[FMS ID]],FMS_Input[FMS_ID],FMS_Input[REMFRMACRE100])</f>
        <v>0</v>
      </c>
      <c r="AY840" s="258">
        <f>_xlfn.XLOOKUP(FMS_Ranking4[[#This Row],[FMS ID]],FMS_Input[FMS_ID],FMS_Input[COSTSTRUCT])</f>
        <v>0</v>
      </c>
      <c r="AZ840" s="258">
        <f>_xlfn.XLOOKUP(FMS_Ranking4[[#This Row],[FMS ID]],FMS_Input[FMS_ID],FMS_Input[NATURE])</f>
        <v>0</v>
      </c>
      <c r="BA840" s="290">
        <f>(((FMS_Ranking4[[#This Row],[% NBS Raw]]/AZ$4)*100)*AZ$5)</f>
        <v>0</v>
      </c>
      <c r="BB840" s="251" t="str">
        <f>_xlfn.XLOOKUP(FMS_Ranking4[[#This Row],[FMS ID]],FMS_Input[FMS_ID],FMS_Input[WATER_SUP])</f>
        <v>No</v>
      </c>
      <c r="BC840" s="265">
        <f>IF(FMS_Ranking4[[#This Row],[Water Supply Raw]]="Yes",10,0)</f>
        <v>0</v>
      </c>
      <c r="BD840" s="251">
        <f>_xlfn.XLOOKUP(FMS_Ranking4[[#This Row],[FMS Type]],FMS_TYPE[FMS_Type],FMS_TYPE[Score])</f>
        <v>8</v>
      </c>
      <c r="BE840" s="267">
        <f>FMS_Ranking4[[#This Row],[FMS_Type Score]]*$BD$5*10</f>
        <v>2</v>
      </c>
      <c r="BF840"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40" s="321">
        <f>_xlfn.RANK.EQ(BF840,$BF$8:$BF$870,0)+COUNTIF($BF$8:BF840,BF840)-1</f>
        <v>840</v>
      </c>
      <c r="BH840" s="294">
        <f>(((FMS_Ranking4[[#This Row],[Structures Removed Raw]]/AK$4)*100)*AK$5)+(((FMS_Ranking4[[#This Row],[Removed Pop Raw]]/AR$4)*100)*AR$5)</f>
        <v>0</v>
      </c>
      <c r="BI84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40" s="296">
        <f>_xlfn.RANK.EQ(FMS_Ranking4[[#This Row],[Total Score 
(with linear
normalization)]],FMS_Ranking4[Total Score 
(with linear
normalization)],0)</f>
        <v>503</v>
      </c>
      <c r="BK840" s="292" t="e">
        <f>_xlfn.XLOOKUP(FMS_Ranking4[[#This Row],[FMS ID]],#REF!,#REF!)</f>
        <v>#REF!</v>
      </c>
      <c r="BL840"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40" s="298">
        <f>FMS_Ranking4[[#This Row],[ArcSinh Score Based on Normalized Reported Factors]]+FMS_Ranking4[[#This Row],[% NBS Score (Normalized)]]+(FMS_Ranking4[[#This Row],[Water Supply Score (Normalized)]]*10*$BB$5)+FMS_Ranking4[[#This Row],[FMS_Type Score Weighted]]</f>
        <v>2</v>
      </c>
      <c r="BN840" s="323">
        <f>_xlfn.RANK.EQ(FMS_Ranking4[[#This Row],[Total Score (with ArcSinh normalization of select criteria)]],FMS_Ranking4[Total Score (with ArcSinh normalization of select criteria)],0)</f>
        <v>817</v>
      </c>
      <c r="BO840" s="270" t="str">
        <f>_xlfn.XLOOKUP(FMS_Ranking4[[#This Row],[FMS ID]],FMS_Input[FMS_ID],FMS_Input[FMS_RANK_YEAR])</f>
        <v>2023 Amended Plan</v>
      </c>
      <c r="BP840" s="204">
        <f>_xlfn.XLOOKUP(FMS_Ranking4[[#This Row],[FMS ID]],Prev_Rank[FMS ID],Prev_Rank[Prev Rank])</f>
        <v>741</v>
      </c>
      <c r="BQ840" s="265" t="e">
        <f>_xlfn.XLOOKUP(FMS_Ranking4[[#This Row],[FMS ID]],#REF!,#REF!)</f>
        <v>#REF!</v>
      </c>
      <c r="BR840" s="199" t="e">
        <f>SUM(#REF!,#REF!,#REF!,#REF!,#REF!,#REF!,#REF!,#REF!,#REF!,FMS_Ranking4[[#This Row],[ArcSinh Res struct removed 0-10]],#REF!)</f>
        <v>#REF!</v>
      </c>
      <c r="BS840" s="199" t="e">
        <f>FMS_Ranking4[[#This Row],[Log Score Based on Normalized Reported Factors]]+FMS_Ranking4[[#This Row],[% NBS Score (Normalized)]]+(FMS_Ranking4[[#This Row],[Water Supply Score (Normalized)]]*10*$BB$5)+(FMS_Ranking4[[#This Row],[FMS_Type Score Weighted]])</f>
        <v>#REF!</v>
      </c>
      <c r="BT840" s="200" t="e">
        <f>_xlfn.RANK.EQ(FMS_Ranking4[[#This Row],[Log Total Score]],FMS_Ranking4[Log Total Score],0)</f>
        <v>#REF!</v>
      </c>
      <c r="BU840" s="200" t="e">
        <f>_xlfn.XLOOKUP(FMS_Ranking4[[#This Row],[FMS ID]],#REF!,#REF!)</f>
        <v>#REF!</v>
      </c>
      <c r="BV840" s="200">
        <f>FMS_Ranking4[[#This Row],[Region Number]]</f>
        <v>7</v>
      </c>
      <c r="BW840" s="200">
        <f>FMS_Ranking4[[#This Row],[Rank (with ArcSinh normalization of select criteria)]]-FMS_Ranking4[[#This Row],[Rank
(with linear
normalization)]]</f>
        <v>314</v>
      </c>
      <c r="BX840" s="200" t="e">
        <f>FMS_Ranking4[[#This Row],[Log Rank]]-FMS_Ranking4[[#This Row],[Rank
(with linear
normalization)]]</f>
        <v>#REF!</v>
      </c>
      <c r="BY840" s="200" t="str">
        <f>IF(FMS_Ranking4[[#This Row],[FMS Type]]="Flood Measurement and Warning",FMS_Ranking4[[#This Row],[Rank (with ArcSinh normalization of select criteria)]],"")</f>
        <v/>
      </c>
      <c r="BZ840" s="200">
        <f>IF(FMS_Ranking4[[#This Row],[FMS Type]]="Regulatory and Guidance",FMS_Ranking4[[#This Row],[Rank (with ArcSinh normalization of select criteria)]],"")</f>
        <v>817</v>
      </c>
      <c r="CA840" s="200" t="str">
        <f>IF(FMS_Ranking4[[#This Row],[FMS Type]]="Education and Outreach",FMS_Ranking4[[#This Row],[Rank (with ArcSinh normalization of select criteria)]],"")</f>
        <v/>
      </c>
      <c r="CB840" s="200" t="str">
        <f>IF(FMS_Ranking4[[#This Row],[FMS Type]]="Property Acquisition and Structural Elevation",FMS_Ranking4[[#This Row],[Rank (with ArcSinh normalization of select criteria)]],"")</f>
        <v/>
      </c>
      <c r="CC840" s="200" t="str">
        <f>IF(FMS_Ranking4[[#This Row],[FMS Type]]="Infrastructure Projects",FMS_Ranking4[[#This Row],[Rank (with ArcSinh normalization of select criteria)]],"")</f>
        <v/>
      </c>
      <c r="CD840" s="200" t="str">
        <f>IF(FMS_Ranking4[[#This Row],[FMS Type]]="Other",FMS_Ranking4[[#This Row],[Rank (with ArcSinh normalization of select criteria)]],"")</f>
        <v/>
      </c>
    </row>
    <row r="841" spans="2:82" ht="45" x14ac:dyDescent="0.25">
      <c r="B841" s="342" t="s">
        <v>3082</v>
      </c>
      <c r="C841" s="287">
        <f>_xlfn.XLOOKUP(FMS_Ranking4[[#This Row],[FMS ID]],FMS_Input[FMS_ID],FMS_Input[RFPG_NUM])</f>
        <v>7</v>
      </c>
      <c r="D841" s="309" t="str">
        <f>_xlfn.XLOOKUP(FMS_Ranking4[[#This Row],[FMS ID]],FMS_Input[FMS_ID],FMS_Input[FMS_NAME])</f>
        <v>City of Lueders NFIP Participation</v>
      </c>
      <c r="E841" s="322" t="str">
        <f>_xlfn.XLOOKUP(FMS_Ranking4[[#This Row],[FMS ID]],FMS_Input[FMS_ID],FMS_Input[SPONSOR])</f>
        <v>07003441</v>
      </c>
      <c r="F841" s="309" t="str">
        <f>_xlfn.XLOOKUP(FMS_Ranking4[[#This Row],[FMS ID]],Sponsor[FMS_ID],Sponsor[SPONSOR NAME])</f>
        <v>Lueders</v>
      </c>
      <c r="G841" s="309" t="str">
        <f>_xlfn.XLOOKUP(FMS_Ranking4[[#This Row],[FMS ID]],FMS_Input[FMS_ID],FMS_Input[FMS_DESCR])</f>
        <v>Application to join NFIP or adoption of equivalent standards.</v>
      </c>
      <c r="H841" s="247" t="str">
        <f>_xlfn.XLOOKUP(FMS_Ranking4[[#This Row],[FMS ID]],FMS_Input[FMS_ID],FMS_Input[FMS_TYPE])</f>
        <v>Regulatory and Guidance</v>
      </c>
      <c r="I841" s="288">
        <f>_xlfn.XLOOKUP(FMS_Ranking4[[#This Row],[FMS ID]],FMS_Input[FMS_ID],FMS_Input[NRNC_COST])</f>
        <v>50000</v>
      </c>
      <c r="J841" s="250">
        <f>_xlfn.XLOOKUP(FMS_Ranking4[[#This Row],[FMS ID]],FMS_Input[FMS_ID],FMS_Input[FMS_COST])</f>
        <v>50000</v>
      </c>
      <c r="K841" s="289" t="str">
        <f>_xlfn.XLOOKUP(FMS_Ranking4[[#This Row],[FMS ID]],FMS_Input[FMS_ID],FMS_Input[EMER_NEED])</f>
        <v>No</v>
      </c>
      <c r="L841" s="252">
        <f t="shared" si="13"/>
        <v>0</v>
      </c>
      <c r="M841" s="253">
        <f>_xlfn.XLOOKUP(FMS_Ranking4[[#This Row],[FMS ID]],FMS_Input[FMS_ID],FMS_Input[STRUCT_100])</f>
        <v>0</v>
      </c>
      <c r="N841" s="255">
        <f>(ASINH(FMS_Ranking4[[#This Row],[Structure at Risk Raw]]))*(10)/(ASINH(M$4))</f>
        <v>0</v>
      </c>
      <c r="O841" s="255">
        <f>FMS_Ranking4[[#This Row],[Structures at risk, ArcSinh (0-10)]]*M$5*10</f>
        <v>0</v>
      </c>
      <c r="P841" s="259">
        <f>_xlfn.XLOOKUP(FMS_Ranking4[[#This Row],[FMS ID]],FMS_Input[FMS_ID],FMS_Input[RES_STRUCT100])</f>
        <v>0</v>
      </c>
      <c r="Q841" s="257">
        <f>ASINH(FMS_Ranking4[[#This Row],[Res Structure Raw]])/Q$4*P$5*100</f>
        <v>0</v>
      </c>
      <c r="R841" s="259">
        <f>_xlfn.XLOOKUP(FMS_Ranking4[[#This Row],[FMS ID]],FMS_Input[FMS_ID],FMS_Input[POP100])</f>
        <v>0</v>
      </c>
      <c r="S841" s="255">
        <f>(ASINH(FMS_Ranking4[[#This Row],[Pop at Risk Raw]]))*(10)/(ASINH(R$4))</f>
        <v>0</v>
      </c>
      <c r="T841" s="257">
        <f>FMS_Ranking4[[#This Row],[Population at risk, ArcSinh (0-10)]]*R$5*10</f>
        <v>0</v>
      </c>
      <c r="U841" s="259">
        <f>_xlfn.XLOOKUP(FMS_Ranking4[[#This Row],[FMS ID]],FMS_Input[FMS_ID],FMS_Input[CRITFAC100])</f>
        <v>0</v>
      </c>
      <c r="V841" s="255">
        <f>(ASINH(FMS_Ranking4[[#This Row],[Critical Facilities Raw]]))*(10)/(ASINH(U$4))</f>
        <v>0</v>
      </c>
      <c r="W841" s="257">
        <f>FMS_Ranking4[[#This Row],[Critical facilities at risk, ArcSinh (0-10)]]*U$5*10</f>
        <v>0</v>
      </c>
      <c r="X841" s="259">
        <f>_xlfn.XLOOKUP(FMS_Ranking4[[#This Row],[FMS ID]],FMS_Input[FMS_ID],FMS_Input[LWC])</f>
        <v>0</v>
      </c>
      <c r="Y841" s="255">
        <f>(ASINH(FMS_Ranking4[[#This Row],[LWC Raw]]))*(10)/(ASINH(X$4))</f>
        <v>0</v>
      </c>
      <c r="Z841" s="257">
        <f>FMS_Ranking4[[#This Row],[LWC, ArcSInh (0-10)]]*X$5*10</f>
        <v>0</v>
      </c>
      <c r="AA841" s="259">
        <f>_xlfn.XLOOKUP(FMS_Ranking4[[#This Row],[FMS ID]],FMS_Input[FMS_ID],FMS_Input[ROADCLS])</f>
        <v>0</v>
      </c>
      <c r="AB841" s="255">
        <f>(ASINH(FMS_Ranking4[[#This Row],[Road Closures Raw]]))*(10)/(ASINH(AA$4))</f>
        <v>0</v>
      </c>
      <c r="AC841" s="255">
        <f>FMS_Ranking4[[#This Row],[Road closures, ArcSinh (0-10)]]*AA$5*10</f>
        <v>0</v>
      </c>
      <c r="AD841" s="259">
        <f>_xlfn.XLOOKUP(FMS_Ranking4[[#This Row],[FMS ID]],FMS_Input[FMS_ID],FMS_Input[ROAD_MILES100])</f>
        <v>0</v>
      </c>
      <c r="AE841" s="255">
        <f>(ASINH(FMS_Ranking4[[#This Row],[Road Miles Raw]]))*(10)/(ASINH(AD$4))</f>
        <v>0</v>
      </c>
      <c r="AF841" s="257">
        <f>FMS_Ranking4[[#This Row],[Length of roads at risk, ArcSinh (0-10)]]*AD$5*10</f>
        <v>0</v>
      </c>
      <c r="AG841" s="259">
        <f>_xlfn.XLOOKUP(FMS_Ranking4[[#This Row],[FMS ID]],FMS_Input[FMS_ID],FMS_Input[FARMACRE100])</f>
        <v>0</v>
      </c>
      <c r="AH841" s="255">
        <f>(ASINH(FMS_Ranking4[[#This Row],[Ag Land Raw]]))*(10)/(ASINH(AG$4))</f>
        <v>0</v>
      </c>
      <c r="AI841" s="254">
        <f>FMS_Ranking4[[#This Row],[Farm &amp; ranch land, ArcSinh (0-10)]]*AG$5*10</f>
        <v>0</v>
      </c>
      <c r="AJ841" s="258">
        <f>_xlfn.XLOOKUP(FMS_Ranking4[[#This Row],[FMS ID]],FMS_Input[FMS_ID],FMS_Input[REDSTRUCT100])</f>
        <v>0</v>
      </c>
      <c r="AK841" s="253">
        <f>_xlfn.XLOOKUP(FMS_Ranking4[[#This Row],[FMS ID]],FMS_Input[FMS_ID],FMS_Input[REMSTRC100])</f>
        <v>0</v>
      </c>
      <c r="AL841" s="255">
        <f>(ASINH(FMS_Ranking4[[#This Row],[Structures Removed Raw]]))*(10)/(ASINH(AK$4))</f>
        <v>0</v>
      </c>
      <c r="AM841" s="254">
        <f>FMS_Ranking4[[#This Row],[Structures removed, ArcSinh (0-10)]]*AK$5*10</f>
        <v>0</v>
      </c>
      <c r="AN841" s="253">
        <f>_xlfn.XLOOKUP(FMS_Ranking4[[#This Row],[FMS ID]],FMS_Input[FMS_ID],FMS_Input[REMRESSTRC100])</f>
        <v>0</v>
      </c>
      <c r="AO841" s="258">
        <f>FMS_Ranking4[[#This Row],[ArcSinh Res struct removed 0-10]]*AN$5*10</f>
        <v>0</v>
      </c>
      <c r="AP841" s="254">
        <f>ASINH(FMS_Ranking4[[#This Row],[Residential Structures Removed Raw]])/AP$4*AN$5*100</f>
        <v>0</v>
      </c>
      <c r="AQ841" s="261">
        <f>(ASINH(FMS_Ranking4[[#This Row],[Residential Structures Removed Raw]]))*(10)/(ASINH(AN$4))</f>
        <v>0</v>
      </c>
      <c r="AR841" s="253">
        <f>_xlfn.XLOOKUP(FMS_Ranking4[[#This Row],[FMS ID]],FMS_Input[FMS_ID],FMS_Input[REMPOP100])</f>
        <v>0</v>
      </c>
      <c r="AS841" s="255">
        <f>(ASINH(FMS_Ranking4[[#This Row],[Removed Pop Raw]]))*(10)/(ASINH(AR$4))</f>
        <v>0</v>
      </c>
      <c r="AT841" s="263">
        <f>FMS_Ranking4[[#This Row],[Removed population, ArcSinh (0-10)]]*AR$5*10</f>
        <v>0</v>
      </c>
      <c r="AU841" s="264">
        <f>_xlfn.XLOOKUP(FMS_Ranking4[[#This Row],[FMS ID]],FMS_Input[FMS_ID],FMS_Input[REMCRITFAC100])</f>
        <v>0</v>
      </c>
      <c r="AV841" s="264">
        <f>_xlfn.XLOOKUP(FMS_Ranking4[[#This Row],[FMS ID]],FMS_Input[FMS_ID],FMS_Input[REMLWC100])</f>
        <v>0</v>
      </c>
      <c r="AW841" s="264">
        <f>_xlfn.XLOOKUP(FMS_Ranking4[[#This Row],[FMS ID]],FMS_Input[FMS_ID],FMS_Input[REMROADCLS])</f>
        <v>0</v>
      </c>
      <c r="AX841" s="264">
        <f>_xlfn.XLOOKUP(FMS_Ranking4[[#This Row],[FMS ID]],FMS_Input[FMS_ID],FMS_Input[REMFRMACRE100])</f>
        <v>0</v>
      </c>
      <c r="AY841" s="258">
        <f>_xlfn.XLOOKUP(FMS_Ranking4[[#This Row],[FMS ID]],FMS_Input[FMS_ID],FMS_Input[COSTSTRUCT])</f>
        <v>0</v>
      </c>
      <c r="AZ841" s="258">
        <f>_xlfn.XLOOKUP(FMS_Ranking4[[#This Row],[FMS ID]],FMS_Input[FMS_ID],FMS_Input[NATURE])</f>
        <v>0</v>
      </c>
      <c r="BA841" s="290">
        <f>(((FMS_Ranking4[[#This Row],[% NBS Raw]]/AZ$4)*100)*AZ$5)</f>
        <v>0</v>
      </c>
      <c r="BB841" s="251" t="str">
        <f>_xlfn.XLOOKUP(FMS_Ranking4[[#This Row],[FMS ID]],FMS_Input[FMS_ID],FMS_Input[WATER_SUP])</f>
        <v>No</v>
      </c>
      <c r="BC841" s="265">
        <f>IF(FMS_Ranking4[[#This Row],[Water Supply Raw]]="Yes",10,0)</f>
        <v>0</v>
      </c>
      <c r="BD841" s="251">
        <f>_xlfn.XLOOKUP(FMS_Ranking4[[#This Row],[FMS Type]],FMS_TYPE[FMS_Type],FMS_TYPE[Score])</f>
        <v>8</v>
      </c>
      <c r="BE841" s="267">
        <f>FMS_Ranking4[[#This Row],[FMS_Type Score]]*$BD$5*10</f>
        <v>2</v>
      </c>
      <c r="BF841"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41" s="321">
        <f>_xlfn.RANK.EQ(BF841,$BF$8:$BF$870,0)+COUNTIF($BF$8:BF841,BF841)-1</f>
        <v>841</v>
      </c>
      <c r="BH841" s="294">
        <f>(((FMS_Ranking4[[#This Row],[Structures Removed Raw]]/AK$4)*100)*AK$5)+(((FMS_Ranking4[[#This Row],[Removed Pop Raw]]/AR$4)*100)*AR$5)</f>
        <v>0</v>
      </c>
      <c r="BI84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41" s="296">
        <f>_xlfn.RANK.EQ(FMS_Ranking4[[#This Row],[Total Score 
(with linear
normalization)]],FMS_Ranking4[Total Score 
(with linear
normalization)],0)</f>
        <v>503</v>
      </c>
      <c r="BK841" s="292" t="e">
        <f>_xlfn.XLOOKUP(FMS_Ranking4[[#This Row],[FMS ID]],#REF!,#REF!)</f>
        <v>#REF!</v>
      </c>
      <c r="BL841"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41" s="298">
        <f>FMS_Ranking4[[#This Row],[ArcSinh Score Based on Normalized Reported Factors]]+FMS_Ranking4[[#This Row],[% NBS Score (Normalized)]]+(FMS_Ranking4[[#This Row],[Water Supply Score (Normalized)]]*10*$BB$5)+FMS_Ranking4[[#This Row],[FMS_Type Score Weighted]]</f>
        <v>2</v>
      </c>
      <c r="BN841" s="323">
        <f>_xlfn.RANK.EQ(FMS_Ranking4[[#This Row],[Total Score (with ArcSinh normalization of select criteria)]],FMS_Ranking4[Total Score (with ArcSinh normalization of select criteria)],0)</f>
        <v>817</v>
      </c>
      <c r="BO841" s="270" t="str">
        <f>_xlfn.XLOOKUP(FMS_Ranking4[[#This Row],[FMS ID]],FMS_Input[FMS_ID],FMS_Input[FMS_RANK_YEAR])</f>
        <v>2023 Amended Plan</v>
      </c>
      <c r="BP841" s="204">
        <f>_xlfn.XLOOKUP(FMS_Ranking4[[#This Row],[FMS ID]],Prev_Rank[FMS ID],Prev_Rank[Prev Rank])</f>
        <v>741</v>
      </c>
      <c r="BQ841" s="265" t="e">
        <f>_xlfn.XLOOKUP(FMS_Ranking4[[#This Row],[FMS ID]],#REF!,#REF!)</f>
        <v>#REF!</v>
      </c>
      <c r="BR841" s="199" t="e">
        <f>SUM(#REF!,#REF!,#REF!,#REF!,#REF!,#REF!,#REF!,#REF!,#REF!,FMS_Ranking4[[#This Row],[ArcSinh Res struct removed 0-10]],#REF!)</f>
        <v>#REF!</v>
      </c>
      <c r="BS841" s="199" t="e">
        <f>FMS_Ranking4[[#This Row],[Log Score Based on Normalized Reported Factors]]+FMS_Ranking4[[#This Row],[% NBS Score (Normalized)]]+(FMS_Ranking4[[#This Row],[Water Supply Score (Normalized)]]*10*$BB$5)+(FMS_Ranking4[[#This Row],[FMS_Type Score Weighted]])</f>
        <v>#REF!</v>
      </c>
      <c r="BT841" s="200" t="e">
        <f>_xlfn.RANK.EQ(FMS_Ranking4[[#This Row],[Log Total Score]],FMS_Ranking4[Log Total Score],0)</f>
        <v>#REF!</v>
      </c>
      <c r="BU841" s="200" t="e">
        <f>_xlfn.XLOOKUP(FMS_Ranking4[[#This Row],[FMS ID]],#REF!,#REF!)</f>
        <v>#REF!</v>
      </c>
      <c r="BV841" s="200">
        <f>FMS_Ranking4[[#This Row],[Region Number]]</f>
        <v>7</v>
      </c>
      <c r="BW841" s="200">
        <f>FMS_Ranking4[[#This Row],[Rank (with ArcSinh normalization of select criteria)]]-FMS_Ranking4[[#This Row],[Rank
(with linear
normalization)]]</f>
        <v>314</v>
      </c>
      <c r="BX841" s="200" t="e">
        <f>FMS_Ranking4[[#This Row],[Log Rank]]-FMS_Ranking4[[#This Row],[Rank
(with linear
normalization)]]</f>
        <v>#REF!</v>
      </c>
      <c r="BY841" s="200" t="str">
        <f>IF(FMS_Ranking4[[#This Row],[FMS Type]]="Flood Measurement and Warning",FMS_Ranking4[[#This Row],[Rank (with ArcSinh normalization of select criteria)]],"")</f>
        <v/>
      </c>
      <c r="BZ841" s="200">
        <f>IF(FMS_Ranking4[[#This Row],[FMS Type]]="Regulatory and Guidance",FMS_Ranking4[[#This Row],[Rank (with ArcSinh normalization of select criteria)]],"")</f>
        <v>817</v>
      </c>
      <c r="CA841" s="200" t="str">
        <f>IF(FMS_Ranking4[[#This Row],[FMS Type]]="Education and Outreach",FMS_Ranking4[[#This Row],[Rank (with ArcSinh normalization of select criteria)]],"")</f>
        <v/>
      </c>
      <c r="CB841" s="200" t="str">
        <f>IF(FMS_Ranking4[[#This Row],[FMS Type]]="Property Acquisition and Structural Elevation",FMS_Ranking4[[#This Row],[Rank (with ArcSinh normalization of select criteria)]],"")</f>
        <v/>
      </c>
      <c r="CC841" s="200" t="str">
        <f>IF(FMS_Ranking4[[#This Row],[FMS Type]]="Infrastructure Projects",FMS_Ranking4[[#This Row],[Rank (with ArcSinh normalization of select criteria)]],"")</f>
        <v/>
      </c>
      <c r="CD841" s="200" t="str">
        <f>IF(FMS_Ranking4[[#This Row],[FMS Type]]="Other",FMS_Ranking4[[#This Row],[Rank (with ArcSinh normalization of select criteria)]],"")</f>
        <v/>
      </c>
    </row>
    <row r="842" spans="2:82" ht="45" x14ac:dyDescent="0.25">
      <c r="B842" s="342" t="s">
        <v>3305</v>
      </c>
      <c r="C842" s="287">
        <f>_xlfn.XLOOKUP(FMS_Ranking4[[#This Row],[FMS ID]],FMS_Input[FMS_ID],FMS_Input[RFPG_NUM])</f>
        <v>7</v>
      </c>
      <c r="D842" s="309" t="str">
        <f>_xlfn.XLOOKUP(FMS_Ranking4[[#This Row],[FMS ID]],FMS_Input[FMS_ID],FMS_Input[FMS_NAME])</f>
        <v>City of Petersburg NFIP Participation</v>
      </c>
      <c r="E842" s="322" t="str">
        <f>_xlfn.XLOOKUP(FMS_Ranking4[[#This Row],[FMS ID]],FMS_Input[FMS_ID],FMS_Input[SPONSOR])</f>
        <v>07003158</v>
      </c>
      <c r="F842" s="309" t="str">
        <f>_xlfn.XLOOKUP(FMS_Ranking4[[#This Row],[FMS ID]],Sponsor[FMS_ID],Sponsor[SPONSOR NAME])</f>
        <v>Petersburg</v>
      </c>
      <c r="G842" s="309" t="str">
        <f>_xlfn.XLOOKUP(FMS_Ranking4[[#This Row],[FMS ID]],FMS_Input[FMS_ID],FMS_Input[FMS_DESCR])</f>
        <v>Application to join NFIP or adoption of equivalent standards.</v>
      </c>
      <c r="H842" s="247" t="str">
        <f>_xlfn.XLOOKUP(FMS_Ranking4[[#This Row],[FMS ID]],FMS_Input[FMS_ID],FMS_Input[FMS_TYPE])</f>
        <v>Regulatory and Guidance</v>
      </c>
      <c r="I842" s="288">
        <f>_xlfn.XLOOKUP(FMS_Ranking4[[#This Row],[FMS ID]],FMS_Input[FMS_ID],FMS_Input[NRNC_COST])</f>
        <v>50000</v>
      </c>
      <c r="J842" s="250">
        <f>_xlfn.XLOOKUP(FMS_Ranking4[[#This Row],[FMS ID]],FMS_Input[FMS_ID],FMS_Input[FMS_COST])</f>
        <v>50000</v>
      </c>
      <c r="K842" s="289" t="str">
        <f>_xlfn.XLOOKUP(FMS_Ranking4[[#This Row],[FMS ID]],FMS_Input[FMS_ID],FMS_Input[EMER_NEED])</f>
        <v>No</v>
      </c>
      <c r="L842" s="252">
        <f t="shared" si="13"/>
        <v>0</v>
      </c>
      <c r="M842" s="253">
        <f>_xlfn.XLOOKUP(FMS_Ranking4[[#This Row],[FMS ID]],FMS_Input[FMS_ID],FMS_Input[STRUCT_100])</f>
        <v>0</v>
      </c>
      <c r="N842" s="255">
        <f>(ASINH(FMS_Ranking4[[#This Row],[Structure at Risk Raw]]))*(10)/(ASINH(M$4))</f>
        <v>0</v>
      </c>
      <c r="O842" s="255">
        <f>FMS_Ranking4[[#This Row],[Structures at risk, ArcSinh (0-10)]]*M$5*10</f>
        <v>0</v>
      </c>
      <c r="P842" s="259">
        <f>_xlfn.XLOOKUP(FMS_Ranking4[[#This Row],[FMS ID]],FMS_Input[FMS_ID],FMS_Input[RES_STRUCT100])</f>
        <v>0</v>
      </c>
      <c r="Q842" s="257">
        <f>ASINH(FMS_Ranking4[[#This Row],[Res Structure Raw]])/Q$4*P$5*100</f>
        <v>0</v>
      </c>
      <c r="R842" s="259">
        <f>_xlfn.XLOOKUP(FMS_Ranking4[[#This Row],[FMS ID]],FMS_Input[FMS_ID],FMS_Input[POP100])</f>
        <v>0</v>
      </c>
      <c r="S842" s="255">
        <f>(ASINH(FMS_Ranking4[[#This Row],[Pop at Risk Raw]]))*(10)/(ASINH(R$4))</f>
        <v>0</v>
      </c>
      <c r="T842" s="257">
        <f>FMS_Ranking4[[#This Row],[Population at risk, ArcSinh (0-10)]]*R$5*10</f>
        <v>0</v>
      </c>
      <c r="U842" s="259">
        <f>_xlfn.XLOOKUP(FMS_Ranking4[[#This Row],[FMS ID]],FMS_Input[FMS_ID],FMS_Input[CRITFAC100])</f>
        <v>0</v>
      </c>
      <c r="V842" s="255">
        <f>(ASINH(FMS_Ranking4[[#This Row],[Critical Facilities Raw]]))*(10)/(ASINH(U$4))</f>
        <v>0</v>
      </c>
      <c r="W842" s="257">
        <f>FMS_Ranking4[[#This Row],[Critical facilities at risk, ArcSinh (0-10)]]*U$5*10</f>
        <v>0</v>
      </c>
      <c r="X842" s="259">
        <f>_xlfn.XLOOKUP(FMS_Ranking4[[#This Row],[FMS ID]],FMS_Input[FMS_ID],FMS_Input[LWC])</f>
        <v>0</v>
      </c>
      <c r="Y842" s="255">
        <f>(ASINH(FMS_Ranking4[[#This Row],[LWC Raw]]))*(10)/(ASINH(X$4))</f>
        <v>0</v>
      </c>
      <c r="Z842" s="257">
        <f>FMS_Ranking4[[#This Row],[LWC, ArcSInh (0-10)]]*X$5*10</f>
        <v>0</v>
      </c>
      <c r="AA842" s="259">
        <f>_xlfn.XLOOKUP(FMS_Ranking4[[#This Row],[FMS ID]],FMS_Input[FMS_ID],FMS_Input[ROADCLS])</f>
        <v>0</v>
      </c>
      <c r="AB842" s="255">
        <f>(ASINH(FMS_Ranking4[[#This Row],[Road Closures Raw]]))*(10)/(ASINH(AA$4))</f>
        <v>0</v>
      </c>
      <c r="AC842" s="255">
        <f>FMS_Ranking4[[#This Row],[Road closures, ArcSinh (0-10)]]*AA$5*10</f>
        <v>0</v>
      </c>
      <c r="AD842" s="259">
        <f>_xlfn.XLOOKUP(FMS_Ranking4[[#This Row],[FMS ID]],FMS_Input[FMS_ID],FMS_Input[ROAD_MILES100])</f>
        <v>0</v>
      </c>
      <c r="AE842" s="255">
        <f>(ASINH(FMS_Ranking4[[#This Row],[Road Miles Raw]]))*(10)/(ASINH(AD$4))</f>
        <v>0</v>
      </c>
      <c r="AF842" s="257">
        <f>FMS_Ranking4[[#This Row],[Length of roads at risk, ArcSinh (0-10)]]*AD$5*10</f>
        <v>0</v>
      </c>
      <c r="AG842" s="259">
        <f>_xlfn.XLOOKUP(FMS_Ranking4[[#This Row],[FMS ID]],FMS_Input[FMS_ID],FMS_Input[FARMACRE100])</f>
        <v>0</v>
      </c>
      <c r="AH842" s="255">
        <f>(ASINH(FMS_Ranking4[[#This Row],[Ag Land Raw]]))*(10)/(ASINH(AG$4))</f>
        <v>0</v>
      </c>
      <c r="AI842" s="254">
        <f>FMS_Ranking4[[#This Row],[Farm &amp; ranch land, ArcSinh (0-10)]]*AG$5*10</f>
        <v>0</v>
      </c>
      <c r="AJ842" s="258">
        <f>_xlfn.XLOOKUP(FMS_Ranking4[[#This Row],[FMS ID]],FMS_Input[FMS_ID],FMS_Input[REDSTRUCT100])</f>
        <v>0</v>
      </c>
      <c r="AK842" s="253">
        <f>_xlfn.XLOOKUP(FMS_Ranking4[[#This Row],[FMS ID]],FMS_Input[FMS_ID],FMS_Input[REMSTRC100])</f>
        <v>0</v>
      </c>
      <c r="AL842" s="255">
        <f>(ASINH(FMS_Ranking4[[#This Row],[Structures Removed Raw]]))*(10)/(ASINH(AK$4))</f>
        <v>0</v>
      </c>
      <c r="AM842" s="254">
        <f>FMS_Ranking4[[#This Row],[Structures removed, ArcSinh (0-10)]]*AK$5*10</f>
        <v>0</v>
      </c>
      <c r="AN842" s="253">
        <f>_xlfn.XLOOKUP(FMS_Ranking4[[#This Row],[FMS ID]],FMS_Input[FMS_ID],FMS_Input[REMRESSTRC100])</f>
        <v>0</v>
      </c>
      <c r="AO842" s="258">
        <f>FMS_Ranking4[[#This Row],[ArcSinh Res struct removed 0-10]]*AN$5*10</f>
        <v>0</v>
      </c>
      <c r="AP842" s="254">
        <f>ASINH(FMS_Ranking4[[#This Row],[Residential Structures Removed Raw]])/AP$4*AN$5*100</f>
        <v>0</v>
      </c>
      <c r="AQ842" s="261">
        <f>(ASINH(FMS_Ranking4[[#This Row],[Residential Structures Removed Raw]]))*(10)/(ASINH(AN$4))</f>
        <v>0</v>
      </c>
      <c r="AR842" s="253">
        <f>_xlfn.XLOOKUP(FMS_Ranking4[[#This Row],[FMS ID]],FMS_Input[FMS_ID],FMS_Input[REMPOP100])</f>
        <v>0</v>
      </c>
      <c r="AS842" s="255">
        <f>(ASINH(FMS_Ranking4[[#This Row],[Removed Pop Raw]]))*(10)/(ASINH(AR$4))</f>
        <v>0</v>
      </c>
      <c r="AT842" s="263">
        <f>FMS_Ranking4[[#This Row],[Removed population, ArcSinh (0-10)]]*AR$5*10</f>
        <v>0</v>
      </c>
      <c r="AU842" s="264">
        <f>_xlfn.XLOOKUP(FMS_Ranking4[[#This Row],[FMS ID]],FMS_Input[FMS_ID],FMS_Input[REMCRITFAC100])</f>
        <v>0</v>
      </c>
      <c r="AV842" s="264">
        <f>_xlfn.XLOOKUP(FMS_Ranking4[[#This Row],[FMS ID]],FMS_Input[FMS_ID],FMS_Input[REMLWC100])</f>
        <v>0</v>
      </c>
      <c r="AW842" s="264">
        <f>_xlfn.XLOOKUP(FMS_Ranking4[[#This Row],[FMS ID]],FMS_Input[FMS_ID],FMS_Input[REMROADCLS])</f>
        <v>0</v>
      </c>
      <c r="AX842" s="264">
        <f>_xlfn.XLOOKUP(FMS_Ranking4[[#This Row],[FMS ID]],FMS_Input[FMS_ID],FMS_Input[REMFRMACRE100])</f>
        <v>0</v>
      </c>
      <c r="AY842" s="258">
        <f>_xlfn.XLOOKUP(FMS_Ranking4[[#This Row],[FMS ID]],FMS_Input[FMS_ID],FMS_Input[COSTSTRUCT])</f>
        <v>0</v>
      </c>
      <c r="AZ842" s="258">
        <f>_xlfn.XLOOKUP(FMS_Ranking4[[#This Row],[FMS ID]],FMS_Input[FMS_ID],FMS_Input[NATURE])</f>
        <v>0</v>
      </c>
      <c r="BA842" s="290">
        <f>(((FMS_Ranking4[[#This Row],[% NBS Raw]]/AZ$4)*100)*AZ$5)</f>
        <v>0</v>
      </c>
      <c r="BB842" s="251" t="str">
        <f>_xlfn.XLOOKUP(FMS_Ranking4[[#This Row],[FMS ID]],FMS_Input[FMS_ID],FMS_Input[WATER_SUP])</f>
        <v>No</v>
      </c>
      <c r="BC842" s="265">
        <f>IF(FMS_Ranking4[[#This Row],[Water Supply Raw]]="Yes",10,0)</f>
        <v>0</v>
      </c>
      <c r="BD842" s="251">
        <f>_xlfn.XLOOKUP(FMS_Ranking4[[#This Row],[FMS Type]],FMS_TYPE[FMS_Type],FMS_TYPE[Score])</f>
        <v>8</v>
      </c>
      <c r="BE842" s="267">
        <f>FMS_Ranking4[[#This Row],[FMS_Type Score]]*$BD$5*10</f>
        <v>2</v>
      </c>
      <c r="BF842"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42" s="321">
        <f>_xlfn.RANK.EQ(BF842,$BF$8:$BF$870,0)+COUNTIF($BF$8:BF842,BF842)-1</f>
        <v>842</v>
      </c>
      <c r="BH842" s="294">
        <f>(((FMS_Ranking4[[#This Row],[Structures Removed Raw]]/AK$4)*100)*AK$5)+(((FMS_Ranking4[[#This Row],[Removed Pop Raw]]/AR$4)*100)*AR$5)</f>
        <v>0</v>
      </c>
      <c r="BI84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42" s="296">
        <f>_xlfn.RANK.EQ(FMS_Ranking4[[#This Row],[Total Score 
(with linear
normalization)]],FMS_Ranking4[Total Score 
(with linear
normalization)],0)</f>
        <v>503</v>
      </c>
      <c r="BK842" s="292" t="e">
        <f>_xlfn.XLOOKUP(FMS_Ranking4[[#This Row],[FMS ID]],#REF!,#REF!)</f>
        <v>#REF!</v>
      </c>
      <c r="BL842"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42" s="298">
        <f>FMS_Ranking4[[#This Row],[ArcSinh Score Based on Normalized Reported Factors]]+FMS_Ranking4[[#This Row],[% NBS Score (Normalized)]]+(FMS_Ranking4[[#This Row],[Water Supply Score (Normalized)]]*10*$BB$5)+FMS_Ranking4[[#This Row],[FMS_Type Score Weighted]]</f>
        <v>2</v>
      </c>
      <c r="BN842" s="323">
        <f>_xlfn.RANK.EQ(FMS_Ranking4[[#This Row],[Total Score (with ArcSinh normalization of select criteria)]],FMS_Ranking4[Total Score (with ArcSinh normalization of select criteria)],0)</f>
        <v>817</v>
      </c>
      <c r="BO842" s="270" t="str">
        <f>_xlfn.XLOOKUP(FMS_Ranking4[[#This Row],[FMS ID]],FMS_Input[FMS_ID],FMS_Input[FMS_RANK_YEAR])</f>
        <v>2023 Amended Plan</v>
      </c>
      <c r="BP842" s="204">
        <f>_xlfn.XLOOKUP(FMS_Ranking4[[#This Row],[FMS ID]],Prev_Rank[FMS ID],Prev_Rank[Prev Rank])</f>
        <v>741</v>
      </c>
      <c r="BQ842" s="265" t="e">
        <f>_xlfn.XLOOKUP(FMS_Ranking4[[#This Row],[FMS ID]],#REF!,#REF!)</f>
        <v>#REF!</v>
      </c>
      <c r="BR842" s="199" t="e">
        <f>SUM(#REF!,#REF!,#REF!,#REF!,#REF!,#REF!,#REF!,#REF!,#REF!,FMS_Ranking4[[#This Row],[ArcSinh Res struct removed 0-10]],#REF!)</f>
        <v>#REF!</v>
      </c>
      <c r="BS842" s="199" t="e">
        <f>FMS_Ranking4[[#This Row],[Log Score Based on Normalized Reported Factors]]+FMS_Ranking4[[#This Row],[% NBS Score (Normalized)]]+(FMS_Ranking4[[#This Row],[Water Supply Score (Normalized)]]*10*$BB$5)+(FMS_Ranking4[[#This Row],[FMS_Type Score Weighted]])</f>
        <v>#REF!</v>
      </c>
      <c r="BT842" s="200" t="e">
        <f>_xlfn.RANK.EQ(FMS_Ranking4[[#This Row],[Log Total Score]],FMS_Ranking4[Log Total Score],0)</f>
        <v>#REF!</v>
      </c>
      <c r="BU842" s="200" t="e">
        <f>_xlfn.XLOOKUP(FMS_Ranking4[[#This Row],[FMS ID]],#REF!,#REF!)</f>
        <v>#REF!</v>
      </c>
      <c r="BV842" s="200">
        <f>FMS_Ranking4[[#This Row],[Region Number]]</f>
        <v>7</v>
      </c>
      <c r="BW842" s="200">
        <f>FMS_Ranking4[[#This Row],[Rank (with ArcSinh normalization of select criteria)]]-FMS_Ranking4[[#This Row],[Rank
(with linear
normalization)]]</f>
        <v>314</v>
      </c>
      <c r="BX842" s="200" t="e">
        <f>FMS_Ranking4[[#This Row],[Log Rank]]-FMS_Ranking4[[#This Row],[Rank
(with linear
normalization)]]</f>
        <v>#REF!</v>
      </c>
      <c r="BY842" s="200" t="str">
        <f>IF(FMS_Ranking4[[#This Row],[FMS Type]]="Flood Measurement and Warning",FMS_Ranking4[[#This Row],[Rank (with ArcSinh normalization of select criteria)]],"")</f>
        <v/>
      </c>
      <c r="BZ842" s="200">
        <f>IF(FMS_Ranking4[[#This Row],[FMS Type]]="Regulatory and Guidance",FMS_Ranking4[[#This Row],[Rank (with ArcSinh normalization of select criteria)]],"")</f>
        <v>817</v>
      </c>
      <c r="CA842" s="200" t="str">
        <f>IF(FMS_Ranking4[[#This Row],[FMS Type]]="Education and Outreach",FMS_Ranking4[[#This Row],[Rank (with ArcSinh normalization of select criteria)]],"")</f>
        <v/>
      </c>
      <c r="CB842" s="200" t="str">
        <f>IF(FMS_Ranking4[[#This Row],[FMS Type]]="Property Acquisition and Structural Elevation",FMS_Ranking4[[#This Row],[Rank (with ArcSinh normalization of select criteria)]],"")</f>
        <v/>
      </c>
      <c r="CC842" s="200" t="str">
        <f>IF(FMS_Ranking4[[#This Row],[FMS Type]]="Infrastructure Projects",FMS_Ranking4[[#This Row],[Rank (with ArcSinh normalization of select criteria)]],"")</f>
        <v/>
      </c>
      <c r="CD842" s="200" t="str">
        <f>IF(FMS_Ranking4[[#This Row],[FMS Type]]="Other",FMS_Ranking4[[#This Row],[Rank (with ArcSinh normalization of select criteria)]],"")</f>
        <v/>
      </c>
    </row>
    <row r="843" spans="2:82" ht="45" x14ac:dyDescent="0.25">
      <c r="B843" s="342" t="s">
        <v>3323</v>
      </c>
      <c r="C843" s="287">
        <f>_xlfn.XLOOKUP(FMS_Ranking4[[#This Row],[FMS ID]],FMS_Input[FMS_ID],FMS_Input[RFPG_NUM])</f>
        <v>7</v>
      </c>
      <c r="D843" s="309" t="str">
        <f>_xlfn.XLOOKUP(FMS_Ranking4[[#This Row],[FMS ID]],FMS_Input[FMS_ID],FMS_Input[FMS_NAME])</f>
        <v>City of Edmonson NFIP Participation</v>
      </c>
      <c r="E843" s="322" t="str">
        <f>_xlfn.XLOOKUP(FMS_Ranking4[[#This Row],[FMS ID]],FMS_Input[FMS_ID],FMS_Input[SPONSOR])</f>
        <v>07003328</v>
      </c>
      <c r="F843" s="309" t="str">
        <f>_xlfn.XLOOKUP(FMS_Ranking4[[#This Row],[FMS ID]],Sponsor[FMS_ID],Sponsor[SPONSOR NAME])</f>
        <v>Edmonson</v>
      </c>
      <c r="G843" s="309" t="str">
        <f>_xlfn.XLOOKUP(FMS_Ranking4[[#This Row],[FMS ID]],FMS_Input[FMS_ID],FMS_Input[FMS_DESCR])</f>
        <v>Application to join NFIP or adoption of equivalent standards.</v>
      </c>
      <c r="H843" s="247" t="str">
        <f>_xlfn.XLOOKUP(FMS_Ranking4[[#This Row],[FMS ID]],FMS_Input[FMS_ID],FMS_Input[FMS_TYPE])</f>
        <v>Regulatory and Guidance</v>
      </c>
      <c r="I843" s="288">
        <f>_xlfn.XLOOKUP(FMS_Ranking4[[#This Row],[FMS ID]],FMS_Input[FMS_ID],FMS_Input[NRNC_COST])</f>
        <v>50000</v>
      </c>
      <c r="J843" s="250">
        <f>_xlfn.XLOOKUP(FMS_Ranking4[[#This Row],[FMS ID]],FMS_Input[FMS_ID],FMS_Input[FMS_COST])</f>
        <v>50000</v>
      </c>
      <c r="K843" s="289" t="str">
        <f>_xlfn.XLOOKUP(FMS_Ranking4[[#This Row],[FMS ID]],FMS_Input[FMS_ID],FMS_Input[EMER_NEED])</f>
        <v>No</v>
      </c>
      <c r="L843" s="252">
        <f t="shared" si="13"/>
        <v>0</v>
      </c>
      <c r="M843" s="253">
        <f>_xlfn.XLOOKUP(FMS_Ranking4[[#This Row],[FMS ID]],FMS_Input[FMS_ID],FMS_Input[STRUCT_100])</f>
        <v>0</v>
      </c>
      <c r="N843" s="255">
        <f>(ASINH(FMS_Ranking4[[#This Row],[Structure at Risk Raw]]))*(10)/(ASINH(M$4))</f>
        <v>0</v>
      </c>
      <c r="O843" s="255">
        <f>FMS_Ranking4[[#This Row],[Structures at risk, ArcSinh (0-10)]]*M$5*10</f>
        <v>0</v>
      </c>
      <c r="P843" s="259">
        <f>_xlfn.XLOOKUP(FMS_Ranking4[[#This Row],[FMS ID]],FMS_Input[FMS_ID],FMS_Input[RES_STRUCT100])</f>
        <v>0</v>
      </c>
      <c r="Q843" s="257">
        <f>ASINH(FMS_Ranking4[[#This Row],[Res Structure Raw]])/Q$4*P$5*100</f>
        <v>0</v>
      </c>
      <c r="R843" s="259">
        <f>_xlfn.XLOOKUP(FMS_Ranking4[[#This Row],[FMS ID]],FMS_Input[FMS_ID],FMS_Input[POP100])</f>
        <v>0</v>
      </c>
      <c r="S843" s="259">
        <f>(ASINH(FMS_Ranking4[[#This Row],[Pop at Risk Raw]]))*(10)/(ASINH(R$4))</f>
        <v>0</v>
      </c>
      <c r="T843" s="257">
        <f>FMS_Ranking4[[#This Row],[Population at risk, ArcSinh (0-10)]]*R$5*10</f>
        <v>0</v>
      </c>
      <c r="U843" s="259">
        <f>_xlfn.XLOOKUP(FMS_Ranking4[[#This Row],[FMS ID]],FMS_Input[FMS_ID],FMS_Input[CRITFAC100])</f>
        <v>0</v>
      </c>
      <c r="V843" s="259">
        <f>(ASINH(FMS_Ranking4[[#This Row],[Critical Facilities Raw]]))*(10)/(ASINH(U$4))</f>
        <v>0</v>
      </c>
      <c r="W843" s="257">
        <f>FMS_Ranking4[[#This Row],[Critical facilities at risk, ArcSinh (0-10)]]*U$5*10</f>
        <v>0</v>
      </c>
      <c r="X843" s="259">
        <f>_xlfn.XLOOKUP(FMS_Ranking4[[#This Row],[FMS ID]],FMS_Input[FMS_ID],FMS_Input[LWC])</f>
        <v>0</v>
      </c>
      <c r="Y843" s="259">
        <f>(ASINH(FMS_Ranking4[[#This Row],[LWC Raw]]))*(10)/(ASINH(X$4))</f>
        <v>0</v>
      </c>
      <c r="Z843" s="257">
        <f>FMS_Ranking4[[#This Row],[LWC, ArcSInh (0-10)]]*X$5*10</f>
        <v>0</v>
      </c>
      <c r="AA843" s="259">
        <f>_xlfn.XLOOKUP(FMS_Ranking4[[#This Row],[FMS ID]],FMS_Input[FMS_ID],FMS_Input[ROADCLS])</f>
        <v>0</v>
      </c>
      <c r="AB843" s="255">
        <f>(ASINH(FMS_Ranking4[[#This Row],[Road Closures Raw]]))*(10)/(ASINH(AA$4))</f>
        <v>0</v>
      </c>
      <c r="AC843" s="255">
        <f>FMS_Ranking4[[#This Row],[Road closures, ArcSinh (0-10)]]*AA$5*10</f>
        <v>0</v>
      </c>
      <c r="AD843" s="259">
        <f>_xlfn.XLOOKUP(FMS_Ranking4[[#This Row],[FMS ID]],FMS_Input[FMS_ID],FMS_Input[ROAD_MILES100])</f>
        <v>0</v>
      </c>
      <c r="AE843" s="259">
        <f>(ASINH(FMS_Ranking4[[#This Row],[Road Miles Raw]]))*(10)/(ASINH(AD$4))</f>
        <v>0</v>
      </c>
      <c r="AF843" s="257">
        <f>FMS_Ranking4[[#This Row],[Length of roads at risk, ArcSinh (0-10)]]*AD$5*10</f>
        <v>0</v>
      </c>
      <c r="AG843" s="259">
        <f>_xlfn.XLOOKUP(FMS_Ranking4[[#This Row],[FMS ID]],FMS_Input[FMS_ID],FMS_Input[FARMACRE100])</f>
        <v>0</v>
      </c>
      <c r="AH843" s="255">
        <f>(ASINH(FMS_Ranking4[[#This Row],[Ag Land Raw]]))*(10)/(ASINH(AG$4))</f>
        <v>0</v>
      </c>
      <c r="AI843" s="254">
        <f>FMS_Ranking4[[#This Row],[Farm &amp; ranch land, ArcSinh (0-10)]]*AG$5*10</f>
        <v>0</v>
      </c>
      <c r="AJ843" s="258">
        <f>_xlfn.XLOOKUP(FMS_Ranking4[[#This Row],[FMS ID]],FMS_Input[FMS_ID],FMS_Input[REDSTRUCT100])</f>
        <v>0</v>
      </c>
      <c r="AK843" s="253">
        <f>_xlfn.XLOOKUP(FMS_Ranking4[[#This Row],[FMS ID]],FMS_Input[FMS_ID],FMS_Input[REMSTRC100])</f>
        <v>0</v>
      </c>
      <c r="AL843" s="259">
        <f>(ASINH(FMS_Ranking4[[#This Row],[Structures Removed Raw]]))*(10)/(ASINH(AK$4))</f>
        <v>0</v>
      </c>
      <c r="AM843" s="254">
        <f>FMS_Ranking4[[#This Row],[Structures removed, ArcSinh (0-10)]]*AK$5*10</f>
        <v>0</v>
      </c>
      <c r="AN843" s="253">
        <f>_xlfn.XLOOKUP(FMS_Ranking4[[#This Row],[FMS ID]],FMS_Input[FMS_ID],FMS_Input[REMRESSTRC100])</f>
        <v>0</v>
      </c>
      <c r="AO843" s="258">
        <f>FMS_Ranking4[[#This Row],[ArcSinh Res struct removed 0-10]]*AN$5*10</f>
        <v>0</v>
      </c>
      <c r="AP843" s="254">
        <f>ASINH(FMS_Ranking4[[#This Row],[Residential Structures Removed Raw]])/AP$4*AN$5*100</f>
        <v>0</v>
      </c>
      <c r="AQ843" s="260">
        <f>(ASINH(FMS_Ranking4[[#This Row],[Residential Structures Removed Raw]]))*(10)/(ASINH(AN$4))</f>
        <v>0</v>
      </c>
      <c r="AR843" s="253">
        <f>_xlfn.XLOOKUP(FMS_Ranking4[[#This Row],[FMS ID]],FMS_Input[FMS_ID],FMS_Input[REMPOP100])</f>
        <v>0</v>
      </c>
      <c r="AS843" s="259">
        <f>(ASINH(FMS_Ranking4[[#This Row],[Removed Pop Raw]]))*(10)/(ASINH(AR$4))</f>
        <v>0</v>
      </c>
      <c r="AT843" s="263">
        <f>FMS_Ranking4[[#This Row],[Removed population, ArcSinh (0-10)]]*AR$5*10</f>
        <v>0</v>
      </c>
      <c r="AU843" s="264">
        <f>_xlfn.XLOOKUP(FMS_Ranking4[[#This Row],[FMS ID]],FMS_Input[FMS_ID],FMS_Input[REMCRITFAC100])</f>
        <v>0</v>
      </c>
      <c r="AV843" s="264">
        <f>_xlfn.XLOOKUP(FMS_Ranking4[[#This Row],[FMS ID]],FMS_Input[FMS_ID],FMS_Input[REMLWC100])</f>
        <v>0</v>
      </c>
      <c r="AW843" s="264">
        <f>_xlfn.XLOOKUP(FMS_Ranking4[[#This Row],[FMS ID]],FMS_Input[FMS_ID],FMS_Input[REMROADCLS])</f>
        <v>0</v>
      </c>
      <c r="AX843" s="264">
        <f>_xlfn.XLOOKUP(FMS_Ranking4[[#This Row],[FMS ID]],FMS_Input[FMS_ID],FMS_Input[REMFRMACRE100])</f>
        <v>0</v>
      </c>
      <c r="AY843" s="258">
        <f>_xlfn.XLOOKUP(FMS_Ranking4[[#This Row],[FMS ID]],FMS_Input[FMS_ID],FMS_Input[COSTSTRUCT])</f>
        <v>0</v>
      </c>
      <c r="AZ843" s="258">
        <f>_xlfn.XLOOKUP(FMS_Ranking4[[#This Row],[FMS ID]],FMS_Input[FMS_ID],FMS_Input[NATURE])</f>
        <v>0</v>
      </c>
      <c r="BA843" s="290">
        <f>(((FMS_Ranking4[[#This Row],[% NBS Raw]]/AZ$4)*100)*AZ$5)</f>
        <v>0</v>
      </c>
      <c r="BB843" s="251" t="str">
        <f>_xlfn.XLOOKUP(FMS_Ranking4[[#This Row],[FMS ID]],FMS_Input[FMS_ID],FMS_Input[WATER_SUP])</f>
        <v>No</v>
      </c>
      <c r="BC843" s="265">
        <f>IF(FMS_Ranking4[[#This Row],[Water Supply Raw]]="Yes",10,0)</f>
        <v>0</v>
      </c>
      <c r="BD843" s="251">
        <f>_xlfn.XLOOKUP(FMS_Ranking4[[#This Row],[FMS Type]],FMS_TYPE[FMS_Type],FMS_TYPE[Score])</f>
        <v>8</v>
      </c>
      <c r="BE843" s="267">
        <f>FMS_Ranking4[[#This Row],[FMS_Type Score]]*$BD$5*10</f>
        <v>2</v>
      </c>
      <c r="BF843"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43" s="271">
        <f>_xlfn.RANK.EQ(BF843,$BF$8:$BF$870,0)+COUNTIF($BF$8:BF843,BF843)-1</f>
        <v>843</v>
      </c>
      <c r="BH843" s="268">
        <f>(((FMS_Ranking4[[#This Row],[Structures Removed Raw]]/AK$4)*100)*AK$5)+(((FMS_Ranking4[[#This Row],[Removed Pop Raw]]/AR$4)*100)*AR$5)</f>
        <v>0</v>
      </c>
      <c r="BI84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2</v>
      </c>
      <c r="BJ843" s="325">
        <f>_xlfn.RANK.EQ(FMS_Ranking4[[#This Row],[Total Score 
(with linear
normalization)]],FMS_Ranking4[Total Score 
(with linear
normalization)],0)</f>
        <v>503</v>
      </c>
      <c r="BK843" s="327" t="e">
        <f>_xlfn.XLOOKUP(FMS_Ranking4[[#This Row],[FMS ID]],#REF!,#REF!)</f>
        <v>#REF!</v>
      </c>
      <c r="BL843"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43" s="330">
        <f>FMS_Ranking4[[#This Row],[ArcSinh Score Based on Normalized Reported Factors]]+FMS_Ranking4[[#This Row],[% NBS Score (Normalized)]]+(FMS_Ranking4[[#This Row],[Water Supply Score (Normalized)]]*10*$BB$5)+FMS_Ranking4[[#This Row],[FMS_Type Score Weighted]]</f>
        <v>2</v>
      </c>
      <c r="BN843" s="332">
        <f>_xlfn.RANK.EQ(FMS_Ranking4[[#This Row],[Total Score (with ArcSinh normalization of select criteria)]],FMS_Ranking4[Total Score (with ArcSinh normalization of select criteria)],0)</f>
        <v>817</v>
      </c>
      <c r="BO843" s="270" t="str">
        <f>_xlfn.XLOOKUP(FMS_Ranking4[[#This Row],[FMS ID]],FMS_Input[FMS_ID],FMS_Input[FMS_RANK_YEAR])</f>
        <v>2023 Amended Plan</v>
      </c>
      <c r="BP843" s="204">
        <f>_xlfn.XLOOKUP(FMS_Ranking4[[#This Row],[FMS ID]],Prev_Rank[FMS ID],Prev_Rank[Prev Rank])</f>
        <v>741</v>
      </c>
      <c r="BQ843" s="334" t="e">
        <f>_xlfn.XLOOKUP(FMS_Ranking4[[#This Row],[FMS ID]],#REF!,#REF!)</f>
        <v>#REF!</v>
      </c>
      <c r="BR843" s="199" t="e">
        <f>SUM(#REF!,#REF!,#REF!,#REF!,#REF!,#REF!,#REF!,#REF!,#REF!,FMS_Ranking4[[#This Row],[ArcSinh Res struct removed 0-10]],#REF!)</f>
        <v>#REF!</v>
      </c>
      <c r="BS843" s="199" t="e">
        <f>FMS_Ranking4[[#This Row],[Log Score Based on Normalized Reported Factors]]+FMS_Ranking4[[#This Row],[% NBS Score (Normalized)]]+(FMS_Ranking4[[#This Row],[Water Supply Score (Normalized)]]*10*$BB$5)+(FMS_Ranking4[[#This Row],[FMS_Type Score Weighted]])</f>
        <v>#REF!</v>
      </c>
      <c r="BT843" s="200" t="e">
        <f>_xlfn.RANK.EQ(FMS_Ranking4[[#This Row],[Log Total Score]],FMS_Ranking4[Log Total Score],0)</f>
        <v>#REF!</v>
      </c>
      <c r="BU843" s="200" t="e">
        <f>_xlfn.XLOOKUP(FMS_Ranking4[[#This Row],[FMS ID]],#REF!,#REF!)</f>
        <v>#REF!</v>
      </c>
      <c r="BV843" s="200">
        <f>FMS_Ranking4[[#This Row],[Region Number]]</f>
        <v>7</v>
      </c>
      <c r="BW843" s="200">
        <f>FMS_Ranking4[[#This Row],[Rank (with ArcSinh normalization of select criteria)]]-FMS_Ranking4[[#This Row],[Rank
(with linear
normalization)]]</f>
        <v>314</v>
      </c>
      <c r="BX843" s="200" t="e">
        <f>FMS_Ranking4[[#This Row],[Log Rank]]-FMS_Ranking4[[#This Row],[Rank
(with linear
normalization)]]</f>
        <v>#REF!</v>
      </c>
      <c r="BY843" s="200" t="str">
        <f>IF(FMS_Ranking4[[#This Row],[FMS Type]]="Flood Measurement and Warning",FMS_Ranking4[[#This Row],[Rank (with ArcSinh normalization of select criteria)]],"")</f>
        <v/>
      </c>
      <c r="BZ843" s="200">
        <f>IF(FMS_Ranking4[[#This Row],[FMS Type]]="Regulatory and Guidance",FMS_Ranking4[[#This Row],[Rank (with ArcSinh normalization of select criteria)]],"")</f>
        <v>817</v>
      </c>
      <c r="CA843" s="200" t="str">
        <f>IF(FMS_Ranking4[[#This Row],[FMS Type]]="Education and Outreach",FMS_Ranking4[[#This Row],[Rank (with ArcSinh normalization of select criteria)]],"")</f>
        <v/>
      </c>
      <c r="CB843" s="200" t="str">
        <f>IF(FMS_Ranking4[[#This Row],[FMS Type]]="Property Acquisition and Structural Elevation",FMS_Ranking4[[#This Row],[Rank (with ArcSinh normalization of select criteria)]],"")</f>
        <v/>
      </c>
      <c r="CC843" s="200" t="str">
        <f>IF(FMS_Ranking4[[#This Row],[FMS Type]]="Infrastructure Projects",FMS_Ranking4[[#This Row],[Rank (with ArcSinh normalization of select criteria)]],"")</f>
        <v/>
      </c>
      <c r="CD843" s="200" t="str">
        <f>IF(FMS_Ranking4[[#This Row],[FMS Type]]="Other",FMS_Ranking4[[#This Row],[Rank (with ArcSinh normalization of select criteria)]],"")</f>
        <v/>
      </c>
    </row>
    <row r="844" spans="2:82" ht="45" x14ac:dyDescent="0.25">
      <c r="B844" s="342" t="s">
        <v>4120</v>
      </c>
      <c r="C844" s="287">
        <f>_xlfn.XLOOKUP(FMS_Ranking4[[#This Row],[FMS ID]],FMS_Input[FMS_ID],FMS_Input[RFPG_NUM])</f>
        <v>15</v>
      </c>
      <c r="D844" s="309" t="str">
        <f>_xlfn.XLOOKUP(FMS_Ranking4[[#This Row],[FMS ID]],FMS_Input[FMS_ID],FMS_Input[FMS_NAME])</f>
        <v>Cameron County Drainage District No.1 - San Martin Lake dredging</v>
      </c>
      <c r="E844" s="322" t="str">
        <f>_xlfn.XLOOKUP(FMS_Ranking4[[#This Row],[FMS ID]],FMS_Input[FMS_ID],FMS_Input[SPONSOR])</f>
        <v>15000029</v>
      </c>
      <c r="F844" s="309" t="str">
        <f>_xlfn.XLOOKUP(FMS_Ranking4[[#This Row],[FMS ID]],Sponsor[FMS_ID],Sponsor[SPONSOR NAME])</f>
        <v>Cameron County Drainage District 1</v>
      </c>
      <c r="G844" s="309" t="str">
        <f>_xlfn.XLOOKUP(FMS_Ranking4[[#This Row],[FMS ID]],FMS_Input[FMS_ID],FMS_Input[FMS_DESCR])</f>
        <v>Develop plan to fund and dredge lake to increase storage capacity</v>
      </c>
      <c r="H844" s="247" t="str">
        <f>_xlfn.XLOOKUP(FMS_Ranking4[[#This Row],[FMS ID]],FMS_Input[FMS_ID],FMS_Input[FMS_TYPE])</f>
        <v>Other</v>
      </c>
      <c r="I844" s="288">
        <f>_xlfn.XLOOKUP(FMS_Ranking4[[#This Row],[FMS ID]],FMS_Input[FMS_ID],FMS_Input[NRNC_COST])</f>
        <v>50000</v>
      </c>
      <c r="J844" s="250">
        <f>_xlfn.XLOOKUP(FMS_Ranking4[[#This Row],[FMS ID]],FMS_Input[FMS_ID],FMS_Input[FMS_COST])</f>
        <v>100000</v>
      </c>
      <c r="K844" s="289" t="str">
        <f>_xlfn.XLOOKUP(FMS_Ranking4[[#This Row],[FMS ID]],FMS_Input[FMS_ID],FMS_Input[EMER_NEED])</f>
        <v>Yes</v>
      </c>
      <c r="L844" s="252">
        <f t="shared" si="13"/>
        <v>1</v>
      </c>
      <c r="M844" s="253">
        <f>_xlfn.XLOOKUP(FMS_Ranking4[[#This Row],[FMS ID]],FMS_Input[FMS_ID],FMS_Input[STRUCT_100])</f>
        <v>0</v>
      </c>
      <c r="N844" s="255">
        <f>(ASINH(FMS_Ranking4[[#This Row],[Structure at Risk Raw]]))*(10)/(ASINH(M$4))</f>
        <v>0</v>
      </c>
      <c r="O844" s="255">
        <f>FMS_Ranking4[[#This Row],[Structures at risk, ArcSinh (0-10)]]*M$5*10</f>
        <v>0</v>
      </c>
      <c r="P844" s="259">
        <f>_xlfn.XLOOKUP(FMS_Ranking4[[#This Row],[FMS ID]],FMS_Input[FMS_ID],FMS_Input[RES_STRUCT100])</f>
        <v>0</v>
      </c>
      <c r="Q844" s="257">
        <f>ASINH(FMS_Ranking4[[#This Row],[Res Structure Raw]])/Q$4*P$5*100</f>
        <v>0</v>
      </c>
      <c r="R844" s="259">
        <f>_xlfn.XLOOKUP(FMS_Ranking4[[#This Row],[FMS ID]],FMS_Input[FMS_ID],FMS_Input[POP100])</f>
        <v>0</v>
      </c>
      <c r="S844" s="259">
        <f>(ASINH(FMS_Ranking4[[#This Row],[Pop at Risk Raw]]))*(10)/(ASINH(R$4))</f>
        <v>0</v>
      </c>
      <c r="T844" s="257">
        <f>FMS_Ranking4[[#This Row],[Population at risk, ArcSinh (0-10)]]*R$5*10</f>
        <v>0</v>
      </c>
      <c r="U844" s="259">
        <f>_xlfn.XLOOKUP(FMS_Ranking4[[#This Row],[FMS ID]],FMS_Input[FMS_ID],FMS_Input[CRITFAC100])</f>
        <v>0</v>
      </c>
      <c r="V844" s="259">
        <f>(ASINH(FMS_Ranking4[[#This Row],[Critical Facilities Raw]]))*(10)/(ASINH(U$4))</f>
        <v>0</v>
      </c>
      <c r="W844" s="257">
        <f>FMS_Ranking4[[#This Row],[Critical facilities at risk, ArcSinh (0-10)]]*U$5*10</f>
        <v>0</v>
      </c>
      <c r="X844" s="259">
        <f>_xlfn.XLOOKUP(FMS_Ranking4[[#This Row],[FMS ID]],FMS_Input[FMS_ID],FMS_Input[LWC])</f>
        <v>0</v>
      </c>
      <c r="Y844" s="259">
        <f>(ASINH(FMS_Ranking4[[#This Row],[LWC Raw]]))*(10)/(ASINH(X$4))</f>
        <v>0</v>
      </c>
      <c r="Z844" s="257">
        <f>FMS_Ranking4[[#This Row],[LWC, ArcSInh (0-10)]]*X$5*10</f>
        <v>0</v>
      </c>
      <c r="AA844" s="259">
        <f>_xlfn.XLOOKUP(FMS_Ranking4[[#This Row],[FMS ID]],FMS_Input[FMS_ID],FMS_Input[ROADCLS])</f>
        <v>0</v>
      </c>
      <c r="AB844" s="255">
        <f>(ASINH(FMS_Ranking4[[#This Row],[Road Closures Raw]]))*(10)/(ASINH(AA$4))</f>
        <v>0</v>
      </c>
      <c r="AC844" s="255">
        <f>FMS_Ranking4[[#This Row],[Road closures, ArcSinh (0-10)]]*AA$5*10</f>
        <v>0</v>
      </c>
      <c r="AD844" s="259">
        <f>_xlfn.XLOOKUP(FMS_Ranking4[[#This Row],[FMS ID]],FMS_Input[FMS_ID],FMS_Input[ROAD_MILES100])</f>
        <v>0</v>
      </c>
      <c r="AE844" s="259">
        <f>(ASINH(FMS_Ranking4[[#This Row],[Road Miles Raw]]))*(10)/(ASINH(AD$4))</f>
        <v>0</v>
      </c>
      <c r="AF844" s="257">
        <f>FMS_Ranking4[[#This Row],[Length of roads at risk, ArcSinh (0-10)]]*AD$5*10</f>
        <v>0</v>
      </c>
      <c r="AG844" s="259">
        <f>_xlfn.XLOOKUP(FMS_Ranking4[[#This Row],[FMS ID]],FMS_Input[FMS_ID],FMS_Input[FARMACRE100])</f>
        <v>50.212738037109382</v>
      </c>
      <c r="AH844" s="255">
        <f>(ASINH(FMS_Ranking4[[#This Row],[Ag Land Raw]]))*(10)/(ASINH(AG$4))</f>
        <v>2.9942555658525096</v>
      </c>
      <c r="AI844" s="254">
        <f>FMS_Ranking4[[#This Row],[Farm &amp; ranch land, ArcSinh (0-10)]]*AG$5*10</f>
        <v>1.497127782926255</v>
      </c>
      <c r="AJ844" s="258">
        <f>_xlfn.XLOOKUP(FMS_Ranking4[[#This Row],[FMS ID]],FMS_Input[FMS_ID],FMS_Input[REDSTRUCT100])</f>
        <v>0</v>
      </c>
      <c r="AK844" s="253">
        <f>_xlfn.XLOOKUP(FMS_Ranking4[[#This Row],[FMS ID]],FMS_Input[FMS_ID],FMS_Input[REMSTRC100])</f>
        <v>0</v>
      </c>
      <c r="AL844" s="259">
        <f>(ASINH(FMS_Ranking4[[#This Row],[Structures Removed Raw]]))*(10)/(ASINH(AK$4))</f>
        <v>0</v>
      </c>
      <c r="AM844" s="254">
        <f>FMS_Ranking4[[#This Row],[Structures removed, ArcSinh (0-10)]]*AK$5*10</f>
        <v>0</v>
      </c>
      <c r="AN844" s="253">
        <f>_xlfn.XLOOKUP(FMS_Ranking4[[#This Row],[FMS ID]],FMS_Input[FMS_ID],FMS_Input[REMRESSTRC100])</f>
        <v>0</v>
      </c>
      <c r="AO844" s="258">
        <f>FMS_Ranking4[[#This Row],[ArcSinh Res struct removed 0-10]]*AN$5*10</f>
        <v>0</v>
      </c>
      <c r="AP844" s="254">
        <f>ASINH(FMS_Ranking4[[#This Row],[Residential Structures Removed Raw]])/AP$4*AN$5*100</f>
        <v>0</v>
      </c>
      <c r="AQ844" s="260">
        <f>(ASINH(FMS_Ranking4[[#This Row],[Residential Structures Removed Raw]]))*(10)/(ASINH(AN$4))</f>
        <v>0</v>
      </c>
      <c r="AR844" s="253">
        <f>_xlfn.XLOOKUP(FMS_Ranking4[[#This Row],[FMS ID]],FMS_Input[FMS_ID],FMS_Input[REMPOP100])</f>
        <v>0</v>
      </c>
      <c r="AS844" s="259">
        <f>(ASINH(FMS_Ranking4[[#This Row],[Removed Pop Raw]]))*(10)/(ASINH(AR$4))</f>
        <v>0</v>
      </c>
      <c r="AT844" s="263">
        <f>FMS_Ranking4[[#This Row],[Removed population, ArcSinh (0-10)]]*AR$5*10</f>
        <v>0</v>
      </c>
      <c r="AU844" s="264">
        <f>_xlfn.XLOOKUP(FMS_Ranking4[[#This Row],[FMS ID]],FMS_Input[FMS_ID],FMS_Input[REMCRITFAC100])</f>
        <v>0</v>
      </c>
      <c r="AV844" s="264">
        <f>_xlfn.XLOOKUP(FMS_Ranking4[[#This Row],[FMS ID]],FMS_Input[FMS_ID],FMS_Input[REMLWC100])</f>
        <v>0</v>
      </c>
      <c r="AW844" s="264">
        <f>_xlfn.XLOOKUP(FMS_Ranking4[[#This Row],[FMS ID]],FMS_Input[FMS_ID],FMS_Input[REMROADCLS])</f>
        <v>0</v>
      </c>
      <c r="AX844" s="264">
        <f>_xlfn.XLOOKUP(FMS_Ranking4[[#This Row],[FMS ID]],FMS_Input[FMS_ID],FMS_Input[REMFRMACRE100])</f>
        <v>0</v>
      </c>
      <c r="AY844" s="258">
        <f>_xlfn.XLOOKUP(FMS_Ranking4[[#This Row],[FMS ID]],FMS_Input[FMS_ID],FMS_Input[COSTSTRUCT])</f>
        <v>0</v>
      </c>
      <c r="AZ844" s="258">
        <f>_xlfn.XLOOKUP(FMS_Ranking4[[#This Row],[FMS ID]],FMS_Input[FMS_ID],FMS_Input[NATURE])</f>
        <v>0</v>
      </c>
      <c r="BA844" s="290">
        <f>(((FMS_Ranking4[[#This Row],[% NBS Raw]]/AZ$4)*100)*AZ$5)</f>
        <v>0</v>
      </c>
      <c r="BB844" s="251" t="str">
        <f>_xlfn.XLOOKUP(FMS_Ranking4[[#This Row],[FMS ID]],FMS_Input[FMS_ID],FMS_Input[WATER_SUP])</f>
        <v>No</v>
      </c>
      <c r="BC844" s="265">
        <f>IF(FMS_Ranking4[[#This Row],[Water Supply Raw]]="Yes",10,0)</f>
        <v>0</v>
      </c>
      <c r="BD844" s="251">
        <f>_xlfn.XLOOKUP(FMS_Ranking4[[#This Row],[FMS Type]],FMS_TYPE[FMS_Type],FMS_TYPE[Score])</f>
        <v>2</v>
      </c>
      <c r="BE844" s="267">
        <f>FMS_Ranking4[[#This Row],[FMS_Type Score]]*$BD$5*10</f>
        <v>0.5</v>
      </c>
      <c r="BF84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1.0352742695716555E-4</v>
      </c>
      <c r="BG844" s="271">
        <f>_xlfn.RANK.EQ(BF844,$BF$8:$BF$870,0)+COUNTIF($BF$8:BF844,BF844)-1</f>
        <v>779</v>
      </c>
      <c r="BH844" s="268">
        <f>(((FMS_Ranking4[[#This Row],[Structures Removed Raw]]/AK$4)*100)*AK$5)+(((FMS_Ranking4[[#This Row],[Removed Pop Raw]]/AR$4)*100)*AR$5)</f>
        <v>0</v>
      </c>
      <c r="BI84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0.50010352742695718</v>
      </c>
      <c r="BJ844" s="325">
        <f>_xlfn.RANK.EQ(FMS_Ranking4[[#This Row],[Total Score 
(with linear
normalization)]],FMS_Ranking4[Total Score 
(with linear
normalization)],0)</f>
        <v>857</v>
      </c>
      <c r="BK844" s="327" t="e">
        <f>_xlfn.XLOOKUP(FMS_Ranking4[[#This Row],[FMS ID]],#REF!,#REF!)</f>
        <v>#REF!</v>
      </c>
      <c r="BL844"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1.497127782926255</v>
      </c>
      <c r="BM844" s="330">
        <f>FMS_Ranking4[[#This Row],[ArcSinh Score Based on Normalized Reported Factors]]+FMS_Ranking4[[#This Row],[% NBS Score (Normalized)]]+(FMS_Ranking4[[#This Row],[Water Supply Score (Normalized)]]*10*$BB$5)+FMS_Ranking4[[#This Row],[FMS_Type Score Weighted]]</f>
        <v>1.997127782926255</v>
      </c>
      <c r="BN844" s="332">
        <f>_xlfn.RANK.EQ(FMS_Ranking4[[#This Row],[Total Score (with ArcSinh normalization of select criteria)]],FMS_Ranking4[Total Score (with ArcSinh normalization of select criteria)],0)</f>
        <v>837</v>
      </c>
      <c r="BO844" s="270" t="str">
        <f>_xlfn.XLOOKUP(FMS_Ranking4[[#This Row],[FMS ID]],FMS_Input[FMS_ID],FMS_Input[FMS_RANK_YEAR])</f>
        <v>2023 Amended Plan</v>
      </c>
      <c r="BP844" s="204">
        <f>_xlfn.XLOOKUP(FMS_Ranking4[[#This Row],[FMS ID]],Prev_Rank[FMS ID],Prev_Rank[Prev Rank])</f>
        <v>754</v>
      </c>
      <c r="BQ844" s="334" t="e">
        <f>_xlfn.XLOOKUP(FMS_Ranking4[[#This Row],[FMS ID]],#REF!,#REF!)</f>
        <v>#REF!</v>
      </c>
      <c r="BR844" s="199" t="e">
        <f>SUM(#REF!,#REF!,#REF!,#REF!,#REF!,#REF!,#REF!,#REF!,#REF!,FMS_Ranking4[[#This Row],[ArcSinh Res struct removed 0-10]],#REF!)</f>
        <v>#REF!</v>
      </c>
      <c r="BS844" s="199" t="e">
        <f>FMS_Ranking4[[#This Row],[Log Score Based on Normalized Reported Factors]]+FMS_Ranking4[[#This Row],[% NBS Score (Normalized)]]+(FMS_Ranking4[[#This Row],[Water Supply Score (Normalized)]]*10*$BB$5)+(FMS_Ranking4[[#This Row],[FMS_Type Score Weighted]])</f>
        <v>#REF!</v>
      </c>
      <c r="BT844" s="200" t="e">
        <f>_xlfn.RANK.EQ(FMS_Ranking4[[#This Row],[Log Total Score]],FMS_Ranking4[Log Total Score],0)</f>
        <v>#REF!</v>
      </c>
      <c r="BU844" s="200" t="e">
        <f>_xlfn.XLOOKUP(FMS_Ranking4[[#This Row],[FMS ID]],#REF!,#REF!)</f>
        <v>#REF!</v>
      </c>
      <c r="BV844" s="200">
        <f>FMS_Ranking4[[#This Row],[Region Number]]</f>
        <v>15</v>
      </c>
      <c r="BW844" s="200">
        <f>FMS_Ranking4[[#This Row],[Rank (with ArcSinh normalization of select criteria)]]-FMS_Ranking4[[#This Row],[Rank
(with linear
normalization)]]</f>
        <v>-20</v>
      </c>
      <c r="BX844" s="200" t="e">
        <f>FMS_Ranking4[[#This Row],[Log Rank]]-FMS_Ranking4[[#This Row],[Rank
(with linear
normalization)]]</f>
        <v>#REF!</v>
      </c>
      <c r="BY844" s="200" t="str">
        <f>IF(FMS_Ranking4[[#This Row],[FMS Type]]="Flood Measurement and Warning",FMS_Ranking4[[#This Row],[Rank (with ArcSinh normalization of select criteria)]],"")</f>
        <v/>
      </c>
      <c r="BZ844" s="200" t="str">
        <f>IF(FMS_Ranking4[[#This Row],[FMS Type]]="Regulatory and Guidance",FMS_Ranking4[[#This Row],[Rank (with ArcSinh normalization of select criteria)]],"")</f>
        <v/>
      </c>
      <c r="CA844" s="200" t="str">
        <f>IF(FMS_Ranking4[[#This Row],[FMS Type]]="Education and Outreach",FMS_Ranking4[[#This Row],[Rank (with ArcSinh normalization of select criteria)]],"")</f>
        <v/>
      </c>
      <c r="CB844" s="200" t="str">
        <f>IF(FMS_Ranking4[[#This Row],[FMS Type]]="Property Acquisition and Structural Elevation",FMS_Ranking4[[#This Row],[Rank (with ArcSinh normalization of select criteria)]],"")</f>
        <v/>
      </c>
      <c r="CC844" s="200" t="str">
        <f>IF(FMS_Ranking4[[#This Row],[FMS Type]]="Infrastructure Projects",FMS_Ranking4[[#This Row],[Rank (with ArcSinh normalization of select criteria)]],"")</f>
        <v/>
      </c>
      <c r="CD844" s="200">
        <f>IF(FMS_Ranking4[[#This Row],[FMS Type]]="Other",FMS_Ranking4[[#This Row],[Rank (with ArcSinh normalization of select criteria)]],"")</f>
        <v>837</v>
      </c>
    </row>
    <row r="845" spans="2:82" ht="45" x14ac:dyDescent="0.25">
      <c r="B845" s="342" t="s">
        <v>2821</v>
      </c>
      <c r="C845" s="287">
        <f>_xlfn.XLOOKUP(FMS_Ranking4[[#This Row],[FMS ID]],FMS_Input[FMS_ID],FMS_Input[RFPG_NUM])</f>
        <v>5</v>
      </c>
      <c r="D845" s="309" t="str">
        <f>_xlfn.XLOOKUP(FMS_Ranking4[[#This Row],[FMS ID]],FMS_Input[FMS_ID],FMS_Input[FMS_NAME])</f>
        <v>City of Reklaw Drainage System Upgrades</v>
      </c>
      <c r="E845" s="322" t="str">
        <f>_xlfn.XLOOKUP(FMS_Ranking4[[#This Row],[FMS ID]],FMS_Input[FMS_ID],FMS_Input[SPONSOR])</f>
        <v>05002866</v>
      </c>
      <c r="F845" s="309" t="str">
        <f>_xlfn.XLOOKUP(FMS_Ranking4[[#This Row],[FMS ID]],Sponsor[FMS_ID],Sponsor[SPONSOR NAME])</f>
        <v>Reklaw</v>
      </c>
      <c r="G845" s="309" t="str">
        <f>_xlfn.XLOOKUP(FMS_Ranking4[[#This Row],[FMS ID]],FMS_Input[FMS_ID],FMS_Input[FMS_DESCR])</f>
        <v>Establish plan to increase drainage capacity in sites that are prone to flooding.</v>
      </c>
      <c r="H845" s="247" t="str">
        <f>_xlfn.XLOOKUP(FMS_Ranking4[[#This Row],[FMS ID]],FMS_Input[FMS_ID],FMS_Input[FMS_TYPE])</f>
        <v>Infrastructure Projects</v>
      </c>
      <c r="I845" s="288">
        <f>_xlfn.XLOOKUP(FMS_Ranking4[[#This Row],[FMS ID]],FMS_Input[FMS_ID],FMS_Input[NRNC_COST])</f>
        <v>100000</v>
      </c>
      <c r="J845" s="250">
        <f>_xlfn.XLOOKUP(FMS_Ranking4[[#This Row],[FMS ID]],FMS_Input[FMS_ID],FMS_Input[FMS_COST])</f>
        <v>1000000</v>
      </c>
      <c r="K845" s="289" t="str">
        <f>_xlfn.XLOOKUP(FMS_Ranking4[[#This Row],[FMS ID]],FMS_Input[FMS_ID],FMS_Input[EMER_NEED])</f>
        <v>Yes</v>
      </c>
      <c r="L845" s="252">
        <f t="shared" si="13"/>
        <v>1</v>
      </c>
      <c r="M845" s="253">
        <f>_xlfn.XLOOKUP(FMS_Ranking4[[#This Row],[FMS ID]],FMS_Input[FMS_ID],FMS_Input[STRUCT_100])</f>
        <v>1</v>
      </c>
      <c r="N845" s="255">
        <f>(ASINH(FMS_Ranking4[[#This Row],[Structure at Risk Raw]]))*(10)/(ASINH(M$4))</f>
        <v>0.69289087024057039</v>
      </c>
      <c r="O845" s="255">
        <f>FMS_Ranking4[[#This Row],[Structures at risk, ArcSinh (0-10)]]*M$5*10</f>
        <v>0.6928908702405705</v>
      </c>
      <c r="P845" s="259">
        <f>_xlfn.XLOOKUP(FMS_Ranking4[[#This Row],[FMS ID]],FMS_Input[FMS_ID],FMS_Input[RES_STRUCT100])</f>
        <v>0</v>
      </c>
      <c r="Q845" s="257">
        <f>ASINH(FMS_Ranking4[[#This Row],[Res Structure Raw]])/Q$4*P$5*100</f>
        <v>0</v>
      </c>
      <c r="R845" s="259">
        <f>_xlfn.XLOOKUP(FMS_Ranking4[[#This Row],[FMS ID]],FMS_Input[FMS_ID],FMS_Input[POP100])</f>
        <v>0</v>
      </c>
      <c r="S845" s="255">
        <f>(ASINH(FMS_Ranking4[[#This Row],[Pop at Risk Raw]]))*(10)/(ASINH(R$4))</f>
        <v>0</v>
      </c>
      <c r="T845" s="257">
        <f>FMS_Ranking4[[#This Row],[Population at risk, ArcSinh (0-10)]]*R$5*10</f>
        <v>0</v>
      </c>
      <c r="U845" s="259">
        <f>_xlfn.XLOOKUP(FMS_Ranking4[[#This Row],[FMS ID]],FMS_Input[FMS_ID],FMS_Input[CRITFAC100])</f>
        <v>0</v>
      </c>
      <c r="V845" s="255">
        <f>(ASINH(FMS_Ranking4[[#This Row],[Critical Facilities Raw]]))*(10)/(ASINH(U$4))</f>
        <v>0</v>
      </c>
      <c r="W845" s="257">
        <f>FMS_Ranking4[[#This Row],[Critical facilities at risk, ArcSinh (0-10)]]*U$5*10</f>
        <v>0</v>
      </c>
      <c r="X845" s="259">
        <f>_xlfn.XLOOKUP(FMS_Ranking4[[#This Row],[FMS ID]],FMS_Input[FMS_ID],FMS_Input[LWC])</f>
        <v>0</v>
      </c>
      <c r="Y845" s="255">
        <f>(ASINH(FMS_Ranking4[[#This Row],[LWC Raw]]))*(10)/(ASINH(X$4))</f>
        <v>0</v>
      </c>
      <c r="Z845" s="257">
        <f>FMS_Ranking4[[#This Row],[LWC, ArcSInh (0-10)]]*X$5*10</f>
        <v>0</v>
      </c>
      <c r="AA845" s="259">
        <f>_xlfn.XLOOKUP(FMS_Ranking4[[#This Row],[FMS ID]],FMS_Input[FMS_ID],FMS_Input[ROADCLS])</f>
        <v>0</v>
      </c>
      <c r="AB845" s="255">
        <f>(ASINH(FMS_Ranking4[[#This Row],[Road Closures Raw]]))*(10)/(ASINH(AA$4))</f>
        <v>0</v>
      </c>
      <c r="AC845" s="255">
        <f>FMS_Ranking4[[#This Row],[Road closures, ArcSinh (0-10)]]*AA$5*10</f>
        <v>0</v>
      </c>
      <c r="AD845" s="259">
        <f>_xlfn.XLOOKUP(FMS_Ranking4[[#This Row],[FMS ID]],FMS_Input[FMS_ID],FMS_Input[ROAD_MILES100])</f>
        <v>0</v>
      </c>
      <c r="AE845" s="255">
        <f>(ASINH(FMS_Ranking4[[#This Row],[Road Miles Raw]]))*(10)/(ASINH(AD$4))</f>
        <v>0</v>
      </c>
      <c r="AF845" s="257">
        <f>FMS_Ranking4[[#This Row],[Length of roads at risk, ArcSinh (0-10)]]*AD$5*10</f>
        <v>0</v>
      </c>
      <c r="AG845" s="259">
        <f>_xlfn.XLOOKUP(FMS_Ranking4[[#This Row],[FMS ID]],FMS_Input[FMS_ID],FMS_Input[FARMACRE100])</f>
        <v>1.055945992469788</v>
      </c>
      <c r="AH845" s="255">
        <f>(ASINH(FMS_Ranking4[[#This Row],[Ag Land Raw]]))*(10)/(ASINH(AG$4))</f>
        <v>0.59786525793438017</v>
      </c>
      <c r="AI845" s="254">
        <f>FMS_Ranking4[[#This Row],[Farm &amp; ranch land, ArcSinh (0-10)]]*AG$5*10</f>
        <v>0.29893262896719008</v>
      </c>
      <c r="AJ845" s="258">
        <f>_xlfn.XLOOKUP(FMS_Ranking4[[#This Row],[FMS ID]],FMS_Input[FMS_ID],FMS_Input[REDSTRUCT100])</f>
        <v>0</v>
      </c>
      <c r="AK845" s="253">
        <f>_xlfn.XLOOKUP(FMS_Ranking4[[#This Row],[FMS ID]],FMS_Input[FMS_ID],FMS_Input[REMSTRC100])</f>
        <v>0</v>
      </c>
      <c r="AL845" s="255">
        <f>(ASINH(FMS_Ranking4[[#This Row],[Structures Removed Raw]]))*(10)/(ASINH(AK$4))</f>
        <v>0</v>
      </c>
      <c r="AM845" s="254">
        <f>FMS_Ranking4[[#This Row],[Structures removed, ArcSinh (0-10)]]*AK$5*10</f>
        <v>0</v>
      </c>
      <c r="AN845" s="253">
        <f>_xlfn.XLOOKUP(FMS_Ranking4[[#This Row],[FMS ID]],FMS_Input[FMS_ID],FMS_Input[REMRESSTRC100])</f>
        <v>0</v>
      </c>
      <c r="AO845" s="258">
        <f>FMS_Ranking4[[#This Row],[ArcSinh Res struct removed 0-10]]*AN$5*10</f>
        <v>0</v>
      </c>
      <c r="AP845" s="254">
        <f>ASINH(FMS_Ranking4[[#This Row],[Residential Structures Removed Raw]])/AP$4*AN$5*100</f>
        <v>0</v>
      </c>
      <c r="AQ845" s="261">
        <f>(ASINH(FMS_Ranking4[[#This Row],[Residential Structures Removed Raw]]))*(10)/(ASINH(AN$4))</f>
        <v>0</v>
      </c>
      <c r="AR845" s="253">
        <f>_xlfn.XLOOKUP(FMS_Ranking4[[#This Row],[FMS ID]],FMS_Input[FMS_ID],FMS_Input[REMPOP100])</f>
        <v>0</v>
      </c>
      <c r="AS845" s="255">
        <f>(ASINH(FMS_Ranking4[[#This Row],[Removed Pop Raw]]))*(10)/(ASINH(AR$4))</f>
        <v>0</v>
      </c>
      <c r="AT845" s="263">
        <f>FMS_Ranking4[[#This Row],[Removed population, ArcSinh (0-10)]]*AR$5*10</f>
        <v>0</v>
      </c>
      <c r="AU845" s="264">
        <f>_xlfn.XLOOKUP(FMS_Ranking4[[#This Row],[FMS ID]],FMS_Input[FMS_ID],FMS_Input[REMCRITFAC100])</f>
        <v>0</v>
      </c>
      <c r="AV845" s="264">
        <f>_xlfn.XLOOKUP(FMS_Ranking4[[#This Row],[FMS ID]],FMS_Input[FMS_ID],FMS_Input[REMLWC100])</f>
        <v>0</v>
      </c>
      <c r="AW845" s="264">
        <f>_xlfn.XLOOKUP(FMS_Ranking4[[#This Row],[FMS ID]],FMS_Input[FMS_ID],FMS_Input[REMROADCLS])</f>
        <v>0</v>
      </c>
      <c r="AX845" s="264">
        <f>_xlfn.XLOOKUP(FMS_Ranking4[[#This Row],[FMS ID]],FMS_Input[FMS_ID],FMS_Input[REMFRMACRE100])</f>
        <v>0</v>
      </c>
      <c r="AY845" s="258">
        <f>_xlfn.XLOOKUP(FMS_Ranking4[[#This Row],[FMS ID]],FMS_Input[FMS_ID],FMS_Input[COSTSTRUCT])</f>
        <v>0</v>
      </c>
      <c r="AZ845" s="258">
        <f>_xlfn.XLOOKUP(FMS_Ranking4[[#This Row],[FMS ID]],FMS_Input[FMS_ID],FMS_Input[NATURE])</f>
        <v>0</v>
      </c>
      <c r="BA845" s="290">
        <f>(((FMS_Ranking4[[#This Row],[% NBS Raw]]/AZ$4)*100)*AZ$5)</f>
        <v>0</v>
      </c>
      <c r="BB845" s="251" t="str">
        <f>_xlfn.XLOOKUP(FMS_Ranking4[[#This Row],[FMS ID]],FMS_Input[FMS_ID],FMS_Input[WATER_SUP])</f>
        <v>No</v>
      </c>
      <c r="BC845" s="265">
        <f>IF(FMS_Ranking4[[#This Row],[Water Supply Raw]]="Yes",10,0)</f>
        <v>0</v>
      </c>
      <c r="BD845" s="251">
        <f>_xlfn.XLOOKUP(FMS_Ranking4[[#This Row],[FMS Type]],FMS_TYPE[FMS_Type],FMS_TYPE[Score])</f>
        <v>4</v>
      </c>
      <c r="BE845" s="267">
        <f>FMS_Ranking4[[#This Row],[FMS_Type Score]]*$BD$5*10</f>
        <v>1</v>
      </c>
      <c r="BF845"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6.1977152993179926E-5</v>
      </c>
      <c r="BG845" s="321">
        <f>_xlfn.RANK.EQ(BF845,$BF$8:$BF$870,0)+COUNTIF($BF$8:BF845,BF845)-1</f>
        <v>786</v>
      </c>
      <c r="BH845" s="294">
        <f>(((FMS_Ranking4[[#This Row],[Structures Removed Raw]]/AK$4)*100)*AK$5)+(((FMS_Ranking4[[#This Row],[Removed Pop Raw]]/AR$4)*100)*AR$5)</f>
        <v>0</v>
      </c>
      <c r="BI845"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1.0000619771529933</v>
      </c>
      <c r="BJ845" s="296">
        <f>_xlfn.RANK.EQ(FMS_Ranking4[[#This Row],[Total Score 
(with linear
normalization)]],FMS_Ranking4[Total Score 
(with linear
normalization)],0)</f>
        <v>746</v>
      </c>
      <c r="BK845" s="292" t="e">
        <f>_xlfn.XLOOKUP(FMS_Ranking4[[#This Row],[FMS ID]],#REF!,#REF!)</f>
        <v>#REF!</v>
      </c>
      <c r="BL845"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0.99182349920776058</v>
      </c>
      <c r="BM845" s="298">
        <f>FMS_Ranking4[[#This Row],[ArcSinh Score Based on Normalized Reported Factors]]+FMS_Ranking4[[#This Row],[% NBS Score (Normalized)]]+(FMS_Ranking4[[#This Row],[Water Supply Score (Normalized)]]*10*$BB$5)+FMS_Ranking4[[#This Row],[FMS_Type Score Weighted]]</f>
        <v>1.9918234992077606</v>
      </c>
      <c r="BN845" s="323">
        <f>_xlfn.RANK.EQ(FMS_Ranking4[[#This Row],[Total Score (with ArcSinh normalization of select criteria)]],FMS_Ranking4[Total Score (with ArcSinh normalization of select criteria)],0)</f>
        <v>838</v>
      </c>
      <c r="BO845" s="270" t="str">
        <f>_xlfn.XLOOKUP(FMS_Ranking4[[#This Row],[FMS ID]],FMS_Input[FMS_ID],FMS_Input[FMS_RANK_YEAR])</f>
        <v>2023 Amended Plan</v>
      </c>
      <c r="BP845" s="204">
        <f>_xlfn.XLOOKUP(FMS_Ranking4[[#This Row],[FMS ID]],Prev_Rank[FMS ID],Prev_Rank[Prev Rank])</f>
        <v>755</v>
      </c>
      <c r="BQ845" s="265" t="e">
        <f>_xlfn.XLOOKUP(FMS_Ranking4[[#This Row],[FMS ID]],#REF!,#REF!)</f>
        <v>#REF!</v>
      </c>
      <c r="BR845" s="199" t="e">
        <f>SUM(#REF!,#REF!,#REF!,#REF!,#REF!,#REF!,#REF!,#REF!,#REF!,FMS_Ranking4[[#This Row],[ArcSinh Res struct removed 0-10]],#REF!)</f>
        <v>#REF!</v>
      </c>
      <c r="BS845" s="199" t="e">
        <f>FMS_Ranking4[[#This Row],[Log Score Based on Normalized Reported Factors]]+FMS_Ranking4[[#This Row],[% NBS Score (Normalized)]]+(FMS_Ranking4[[#This Row],[Water Supply Score (Normalized)]]*10*$BB$5)+(FMS_Ranking4[[#This Row],[FMS_Type Score Weighted]])</f>
        <v>#REF!</v>
      </c>
      <c r="BT845" s="200" t="e">
        <f>_xlfn.RANK.EQ(FMS_Ranking4[[#This Row],[Log Total Score]],FMS_Ranking4[Log Total Score],0)</f>
        <v>#REF!</v>
      </c>
      <c r="BU845" s="200" t="e">
        <f>_xlfn.XLOOKUP(FMS_Ranking4[[#This Row],[FMS ID]],#REF!,#REF!)</f>
        <v>#REF!</v>
      </c>
      <c r="BV845" s="200">
        <f>FMS_Ranking4[[#This Row],[Region Number]]</f>
        <v>5</v>
      </c>
      <c r="BW845" s="200">
        <f>FMS_Ranking4[[#This Row],[Rank (with ArcSinh normalization of select criteria)]]-FMS_Ranking4[[#This Row],[Rank
(with linear
normalization)]]</f>
        <v>92</v>
      </c>
      <c r="BX845" s="200" t="e">
        <f>FMS_Ranking4[[#This Row],[Log Rank]]-FMS_Ranking4[[#This Row],[Rank
(with linear
normalization)]]</f>
        <v>#REF!</v>
      </c>
      <c r="BY845" s="200" t="str">
        <f>IF(FMS_Ranking4[[#This Row],[FMS Type]]="Flood Measurement and Warning",FMS_Ranking4[[#This Row],[Rank (with ArcSinh normalization of select criteria)]],"")</f>
        <v/>
      </c>
      <c r="BZ845" s="200" t="str">
        <f>IF(FMS_Ranking4[[#This Row],[FMS Type]]="Regulatory and Guidance",FMS_Ranking4[[#This Row],[Rank (with ArcSinh normalization of select criteria)]],"")</f>
        <v/>
      </c>
      <c r="CA845" s="200" t="str">
        <f>IF(FMS_Ranking4[[#This Row],[FMS Type]]="Education and Outreach",FMS_Ranking4[[#This Row],[Rank (with ArcSinh normalization of select criteria)]],"")</f>
        <v/>
      </c>
      <c r="CB845" s="200" t="str">
        <f>IF(FMS_Ranking4[[#This Row],[FMS Type]]="Property Acquisition and Structural Elevation",FMS_Ranking4[[#This Row],[Rank (with ArcSinh normalization of select criteria)]],"")</f>
        <v/>
      </c>
      <c r="CC845" s="200">
        <f>IF(FMS_Ranking4[[#This Row],[FMS Type]]="Infrastructure Projects",FMS_Ranking4[[#This Row],[Rank (with ArcSinh normalization of select criteria)]],"")</f>
        <v>838</v>
      </c>
      <c r="CD845" s="200" t="str">
        <f>IF(FMS_Ranking4[[#This Row],[FMS Type]]="Other",FMS_Ranking4[[#This Row],[Rank (with ArcSinh normalization of select criteria)]],"")</f>
        <v/>
      </c>
    </row>
    <row r="846" spans="2:82" ht="60" x14ac:dyDescent="0.25">
      <c r="B846" s="342" t="s">
        <v>2838</v>
      </c>
      <c r="C846" s="287">
        <f>_xlfn.XLOOKUP(FMS_Ranking4[[#This Row],[FMS ID]],FMS_Input[FMS_ID],FMS_Input[RFPG_NUM])</f>
        <v>5</v>
      </c>
      <c r="D846" s="309" t="str">
        <f>_xlfn.XLOOKUP(FMS_Ranking4[[#This Row],[FMS ID]],FMS_Input[FMS_ID],FMS_Input[FMS_NAME])</f>
        <v>City of Burke Drainage Ditch Capacity Upgrades</v>
      </c>
      <c r="E846" s="322" t="str">
        <f>_xlfn.XLOOKUP(FMS_Ranking4[[#This Row],[FMS ID]],FMS_Input[FMS_ID],FMS_Input[SPONSOR])</f>
        <v>05003195</v>
      </c>
      <c r="F846" s="309" t="str">
        <f>_xlfn.XLOOKUP(FMS_Ranking4[[#This Row],[FMS ID]],Sponsor[FMS_ID],Sponsor[SPONSOR NAME])</f>
        <v>Burke</v>
      </c>
      <c r="G846" s="309" t="str">
        <f>_xlfn.XLOOKUP(FMS_Ranking4[[#This Row],[FMS ID]],FMS_Input[FMS_ID],FMS_Input[FMS_DESCR])</f>
        <v>Establish a plan and necessary standards to increase the capacity of drainage ditches along all city streets and roads</v>
      </c>
      <c r="H846" s="247" t="str">
        <f>_xlfn.XLOOKUP(FMS_Ranking4[[#This Row],[FMS ID]],FMS_Input[FMS_ID],FMS_Input[FMS_TYPE])</f>
        <v>Infrastructure Projects</v>
      </c>
      <c r="I846" s="288">
        <f>_xlfn.XLOOKUP(FMS_Ranking4[[#This Row],[FMS ID]],FMS_Input[FMS_ID],FMS_Input[NRNC_COST])</f>
        <v>100000</v>
      </c>
      <c r="J846" s="250">
        <f>_xlfn.XLOOKUP(FMS_Ranking4[[#This Row],[FMS ID]],FMS_Input[FMS_ID],FMS_Input[FMS_COST])</f>
        <v>500000</v>
      </c>
      <c r="K846" s="289" t="str">
        <f>_xlfn.XLOOKUP(FMS_Ranking4[[#This Row],[FMS ID]],FMS_Input[FMS_ID],FMS_Input[EMER_NEED])</f>
        <v>Yes</v>
      </c>
      <c r="L846" s="252">
        <f t="shared" si="13"/>
        <v>1</v>
      </c>
      <c r="M846" s="253">
        <f>_xlfn.XLOOKUP(FMS_Ranking4[[#This Row],[FMS ID]],FMS_Input[FMS_ID],FMS_Input[STRUCT_100])</f>
        <v>1</v>
      </c>
      <c r="N846" s="255">
        <f>(ASINH(FMS_Ranking4[[#This Row],[Structure at Risk Raw]]))*(10)/(ASINH(M$4))</f>
        <v>0.69289087024057039</v>
      </c>
      <c r="O846" s="255">
        <f>FMS_Ranking4[[#This Row],[Structures at risk, ArcSinh (0-10)]]*M$5*10</f>
        <v>0.6928908702405705</v>
      </c>
      <c r="P846" s="259">
        <f>_xlfn.XLOOKUP(FMS_Ranking4[[#This Row],[FMS ID]],FMS_Input[FMS_ID],FMS_Input[RES_STRUCT100])</f>
        <v>1</v>
      </c>
      <c r="Q846" s="257">
        <f>ASINH(FMS_Ranking4[[#This Row],[Res Structure Raw]])/Q$4*P$5*100</f>
        <v>0</v>
      </c>
      <c r="R846" s="259">
        <f>_xlfn.XLOOKUP(FMS_Ranking4[[#This Row],[FMS ID]],FMS_Input[FMS_ID],FMS_Input[POP100])</f>
        <v>0</v>
      </c>
      <c r="S846" s="259">
        <f>(ASINH(FMS_Ranking4[[#This Row],[Pop at Risk Raw]]))*(10)/(ASINH(R$4))</f>
        <v>0</v>
      </c>
      <c r="T846" s="257">
        <f>FMS_Ranking4[[#This Row],[Population at risk, ArcSinh (0-10)]]*R$5*10</f>
        <v>0</v>
      </c>
      <c r="U846" s="259">
        <f>_xlfn.XLOOKUP(FMS_Ranking4[[#This Row],[FMS ID]],FMS_Input[FMS_ID],FMS_Input[CRITFAC100])</f>
        <v>0</v>
      </c>
      <c r="V846" s="259">
        <f>(ASINH(FMS_Ranking4[[#This Row],[Critical Facilities Raw]]))*(10)/(ASINH(U$4))</f>
        <v>0</v>
      </c>
      <c r="W846" s="257">
        <f>FMS_Ranking4[[#This Row],[Critical facilities at risk, ArcSinh (0-10)]]*U$5*10</f>
        <v>0</v>
      </c>
      <c r="X846" s="259">
        <f>_xlfn.XLOOKUP(FMS_Ranking4[[#This Row],[FMS ID]],FMS_Input[FMS_ID],FMS_Input[LWC])</f>
        <v>0</v>
      </c>
      <c r="Y846" s="259">
        <f>(ASINH(FMS_Ranking4[[#This Row],[LWC Raw]]))*(10)/(ASINH(X$4))</f>
        <v>0</v>
      </c>
      <c r="Z846" s="257">
        <f>FMS_Ranking4[[#This Row],[LWC, ArcSInh (0-10)]]*X$5*10</f>
        <v>0</v>
      </c>
      <c r="AA846" s="259">
        <f>_xlfn.XLOOKUP(FMS_Ranking4[[#This Row],[FMS ID]],FMS_Input[FMS_ID],FMS_Input[ROADCLS])</f>
        <v>0</v>
      </c>
      <c r="AB846" s="255">
        <f>(ASINH(FMS_Ranking4[[#This Row],[Road Closures Raw]]))*(10)/(ASINH(AA$4))</f>
        <v>0</v>
      </c>
      <c r="AC846" s="255">
        <f>FMS_Ranking4[[#This Row],[Road closures, ArcSinh (0-10)]]*AA$5*10</f>
        <v>0</v>
      </c>
      <c r="AD846" s="259">
        <f>_xlfn.XLOOKUP(FMS_Ranking4[[#This Row],[FMS ID]],FMS_Input[FMS_ID],FMS_Input[ROAD_MILES100])</f>
        <v>0</v>
      </c>
      <c r="AE846" s="259">
        <f>(ASINH(FMS_Ranking4[[#This Row],[Road Miles Raw]]))*(10)/(ASINH(AD$4))</f>
        <v>0</v>
      </c>
      <c r="AF846" s="257">
        <f>FMS_Ranking4[[#This Row],[Length of roads at risk, ArcSinh (0-10)]]*AD$5*10</f>
        <v>0</v>
      </c>
      <c r="AG846" s="259">
        <f>_xlfn.XLOOKUP(FMS_Ranking4[[#This Row],[FMS ID]],FMS_Input[FMS_ID],FMS_Input[FARMACRE100])</f>
        <v>0.44660305976867681</v>
      </c>
      <c r="AH846" s="255">
        <f>(ASINH(FMS_Ranking4[[#This Row],[Ag Land Raw]]))*(10)/(ASINH(AG$4))</f>
        <v>0.28123627085330605</v>
      </c>
      <c r="AI846" s="254">
        <f>FMS_Ranking4[[#This Row],[Farm &amp; ranch land, ArcSinh (0-10)]]*AG$5*10</f>
        <v>0.14061813542665302</v>
      </c>
      <c r="AJ846" s="258">
        <f>_xlfn.XLOOKUP(FMS_Ranking4[[#This Row],[FMS ID]],FMS_Input[FMS_ID],FMS_Input[REDSTRUCT100])</f>
        <v>0</v>
      </c>
      <c r="AK846" s="253">
        <f>_xlfn.XLOOKUP(FMS_Ranking4[[#This Row],[FMS ID]],FMS_Input[FMS_ID],FMS_Input[REMSTRC100])</f>
        <v>0</v>
      </c>
      <c r="AL846" s="259">
        <f>(ASINH(FMS_Ranking4[[#This Row],[Structures Removed Raw]]))*(10)/(ASINH(AK$4))</f>
        <v>0</v>
      </c>
      <c r="AM846" s="254">
        <f>FMS_Ranking4[[#This Row],[Structures removed, ArcSinh (0-10)]]*AK$5*10</f>
        <v>0</v>
      </c>
      <c r="AN846" s="253">
        <f>_xlfn.XLOOKUP(FMS_Ranking4[[#This Row],[FMS ID]],FMS_Input[FMS_ID],FMS_Input[REMRESSTRC100])</f>
        <v>0</v>
      </c>
      <c r="AO846" s="258">
        <f>FMS_Ranking4[[#This Row],[ArcSinh Res struct removed 0-10]]*AN$5*10</f>
        <v>0</v>
      </c>
      <c r="AP846" s="254">
        <f>ASINH(FMS_Ranking4[[#This Row],[Residential Structures Removed Raw]])/AP$4*AN$5*100</f>
        <v>0</v>
      </c>
      <c r="AQ846" s="260">
        <f>(ASINH(FMS_Ranking4[[#This Row],[Residential Structures Removed Raw]]))*(10)/(ASINH(AN$4))</f>
        <v>0</v>
      </c>
      <c r="AR846" s="253">
        <f>_xlfn.XLOOKUP(FMS_Ranking4[[#This Row],[FMS ID]],FMS_Input[FMS_ID],FMS_Input[REMPOP100])</f>
        <v>0</v>
      </c>
      <c r="AS846" s="259">
        <f>(ASINH(FMS_Ranking4[[#This Row],[Removed Pop Raw]]))*(10)/(ASINH(AR$4))</f>
        <v>0</v>
      </c>
      <c r="AT846" s="263">
        <f>FMS_Ranking4[[#This Row],[Removed population, ArcSinh (0-10)]]*AR$5*10</f>
        <v>0</v>
      </c>
      <c r="AU846" s="264">
        <f>_xlfn.XLOOKUP(FMS_Ranking4[[#This Row],[FMS ID]],FMS_Input[FMS_ID],FMS_Input[REMCRITFAC100])</f>
        <v>0</v>
      </c>
      <c r="AV846" s="264">
        <f>_xlfn.XLOOKUP(FMS_Ranking4[[#This Row],[FMS ID]],FMS_Input[FMS_ID],FMS_Input[REMLWC100])</f>
        <v>0</v>
      </c>
      <c r="AW846" s="264">
        <f>_xlfn.XLOOKUP(FMS_Ranking4[[#This Row],[FMS ID]],FMS_Input[FMS_ID],FMS_Input[REMROADCLS])</f>
        <v>0</v>
      </c>
      <c r="AX846" s="264">
        <f>_xlfn.XLOOKUP(FMS_Ranking4[[#This Row],[FMS ID]],FMS_Input[FMS_ID],FMS_Input[REMFRMACRE100])</f>
        <v>0</v>
      </c>
      <c r="AY846" s="258">
        <f>_xlfn.XLOOKUP(FMS_Ranking4[[#This Row],[FMS ID]],FMS_Input[FMS_ID],FMS_Input[COSTSTRUCT])</f>
        <v>0</v>
      </c>
      <c r="AZ846" s="258">
        <f>_xlfn.XLOOKUP(FMS_Ranking4[[#This Row],[FMS ID]],FMS_Input[FMS_ID],FMS_Input[NATURE])</f>
        <v>0</v>
      </c>
      <c r="BA846" s="290">
        <f>(((FMS_Ranking4[[#This Row],[% NBS Raw]]/AZ$4)*100)*AZ$5)</f>
        <v>0</v>
      </c>
      <c r="BB846" s="251" t="str">
        <f>_xlfn.XLOOKUP(FMS_Ranking4[[#This Row],[FMS ID]],FMS_Input[FMS_ID],FMS_Input[WATER_SUP])</f>
        <v>No</v>
      </c>
      <c r="BC846" s="265">
        <f>IF(FMS_Ranking4[[#This Row],[Water Supply Raw]]="Yes",10,0)</f>
        <v>0</v>
      </c>
      <c r="BD846" s="251">
        <f>_xlfn.XLOOKUP(FMS_Ranking4[[#This Row],[FMS Type]],FMS_TYPE[FMS_Type],FMS_TYPE[Score])</f>
        <v>4</v>
      </c>
      <c r="BE846" s="267">
        <f>FMS_Ranking4[[#This Row],[FMS_Type Score]]*$BD$5*10</f>
        <v>1</v>
      </c>
      <c r="BF846"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6.072082425224455E-5</v>
      </c>
      <c r="BG846" s="269">
        <f>_xlfn.RANK.EQ(BF846,$BF$8:$BF$870,0)+COUNTIF($BF$8:BF846,BF846)-1</f>
        <v>787</v>
      </c>
      <c r="BH846" s="268">
        <f>(((FMS_Ranking4[[#This Row],[Structures Removed Raw]]/AK$4)*100)*AK$5)+(((FMS_Ranking4[[#This Row],[Removed Pop Raw]]/AR$4)*100)*AR$5)</f>
        <v>0</v>
      </c>
      <c r="BI84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1.0000607208242522</v>
      </c>
      <c r="BJ846" s="326">
        <f>_xlfn.RANK.EQ(FMS_Ranking4[[#This Row],[Total Score 
(with linear
normalization)]],FMS_Ranking4[Total Score 
(with linear
normalization)],0)</f>
        <v>747</v>
      </c>
      <c r="BK846" s="269" t="e">
        <f>_xlfn.XLOOKUP(FMS_Ranking4[[#This Row],[FMS ID]],#REF!,#REF!)</f>
        <v>#REF!</v>
      </c>
      <c r="BL846" s="329">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0.83350900566722352</v>
      </c>
      <c r="BM846" s="331">
        <f>FMS_Ranking4[[#This Row],[ArcSinh Score Based on Normalized Reported Factors]]+FMS_Ranking4[[#This Row],[% NBS Score (Normalized)]]+(FMS_Ranking4[[#This Row],[Water Supply Score (Normalized)]]*10*$BB$5)+FMS_Ranking4[[#This Row],[FMS_Type Score Weighted]]</f>
        <v>1.8335090056672234</v>
      </c>
      <c r="BN846" s="333">
        <f>_xlfn.RANK.EQ(FMS_Ranking4[[#This Row],[Total Score (with ArcSinh normalization of select criteria)]],FMS_Ranking4[Total Score (with ArcSinh normalization of select criteria)],0)</f>
        <v>839</v>
      </c>
      <c r="BO846" s="270" t="str">
        <f>_xlfn.XLOOKUP(FMS_Ranking4[[#This Row],[FMS ID]],FMS_Input[FMS_ID],FMS_Input[FMS_RANK_YEAR])</f>
        <v>2023 Amended Plan</v>
      </c>
      <c r="BP846" s="204">
        <f>_xlfn.XLOOKUP(FMS_Ranking4[[#This Row],[FMS ID]],Prev_Rank[FMS ID],Prev_Rank[Prev Rank])</f>
        <v>756</v>
      </c>
      <c r="BQ846" s="335" t="e">
        <f>_xlfn.XLOOKUP(FMS_Ranking4[[#This Row],[FMS ID]],#REF!,#REF!)</f>
        <v>#REF!</v>
      </c>
      <c r="BR846" s="199" t="e">
        <f>SUM(#REF!,#REF!,#REF!,#REF!,#REF!,#REF!,#REF!,#REF!,#REF!,FMS_Ranking4[[#This Row],[ArcSinh Res struct removed 0-10]],#REF!)</f>
        <v>#REF!</v>
      </c>
      <c r="BS846" s="199" t="e">
        <f>FMS_Ranking4[[#This Row],[Log Score Based on Normalized Reported Factors]]+FMS_Ranking4[[#This Row],[% NBS Score (Normalized)]]+(FMS_Ranking4[[#This Row],[Water Supply Score (Normalized)]]*10*$BB$5)+(FMS_Ranking4[[#This Row],[FMS_Type Score Weighted]])</f>
        <v>#REF!</v>
      </c>
      <c r="BT846" s="200" t="e">
        <f>_xlfn.RANK.EQ(FMS_Ranking4[[#This Row],[Log Total Score]],FMS_Ranking4[Log Total Score],0)</f>
        <v>#REF!</v>
      </c>
      <c r="BU846" s="200" t="e">
        <f>_xlfn.XLOOKUP(FMS_Ranking4[[#This Row],[FMS ID]],#REF!,#REF!)</f>
        <v>#REF!</v>
      </c>
      <c r="BV846" s="200">
        <f>FMS_Ranking4[[#This Row],[Region Number]]</f>
        <v>5</v>
      </c>
      <c r="BW846" s="200">
        <f>FMS_Ranking4[[#This Row],[Rank (with ArcSinh normalization of select criteria)]]-FMS_Ranking4[[#This Row],[Rank
(with linear
normalization)]]</f>
        <v>92</v>
      </c>
      <c r="BX846" s="200" t="e">
        <f>FMS_Ranking4[[#This Row],[Log Rank]]-FMS_Ranking4[[#This Row],[Rank
(with linear
normalization)]]</f>
        <v>#REF!</v>
      </c>
      <c r="BY846" s="200" t="str">
        <f>IF(FMS_Ranking4[[#This Row],[FMS Type]]="Flood Measurement and Warning",FMS_Ranking4[[#This Row],[Rank (with ArcSinh normalization of select criteria)]],"")</f>
        <v/>
      </c>
      <c r="BZ846" s="200" t="str">
        <f>IF(FMS_Ranking4[[#This Row],[FMS Type]]="Regulatory and Guidance",FMS_Ranking4[[#This Row],[Rank (with ArcSinh normalization of select criteria)]],"")</f>
        <v/>
      </c>
      <c r="CA846" s="200" t="str">
        <f>IF(FMS_Ranking4[[#This Row],[FMS Type]]="Education and Outreach",FMS_Ranking4[[#This Row],[Rank (with ArcSinh normalization of select criteria)]],"")</f>
        <v/>
      </c>
      <c r="CB846" s="200" t="str">
        <f>IF(FMS_Ranking4[[#This Row],[FMS Type]]="Property Acquisition and Structural Elevation",FMS_Ranking4[[#This Row],[Rank (with ArcSinh normalization of select criteria)]],"")</f>
        <v/>
      </c>
      <c r="CC846" s="200">
        <f>IF(FMS_Ranking4[[#This Row],[FMS Type]]="Infrastructure Projects",FMS_Ranking4[[#This Row],[Rank (with ArcSinh normalization of select criteria)]],"")</f>
        <v>839</v>
      </c>
      <c r="CD846" s="200" t="str">
        <f>IF(FMS_Ranking4[[#This Row],[FMS Type]]="Other",FMS_Ranking4[[#This Row],[Rank (with ArcSinh normalization of select criteria)]],"")</f>
        <v/>
      </c>
    </row>
    <row r="847" spans="2:82" ht="45" x14ac:dyDescent="0.25">
      <c r="B847" s="342" t="s">
        <v>2826</v>
      </c>
      <c r="C847" s="287">
        <f>_xlfn.XLOOKUP(FMS_Ranking4[[#This Row],[FMS ID]],FMS_Input[FMS_ID],FMS_Input[RFPG_NUM])</f>
        <v>5</v>
      </c>
      <c r="D847" s="309" t="str">
        <f>_xlfn.XLOOKUP(FMS_Ranking4[[#This Row],[FMS ID]],FMS_Input[FMS_ID],FMS_Input[FMS_NAME])</f>
        <v>City of Wells Culvert Improvements</v>
      </c>
      <c r="E847" s="322" t="str">
        <f>_xlfn.XLOOKUP(FMS_Ranking4[[#This Row],[FMS ID]],FMS_Input[FMS_ID],FMS_Input[SPONSOR])</f>
        <v>05002868</v>
      </c>
      <c r="F847" s="309" t="str">
        <f>_xlfn.XLOOKUP(FMS_Ranking4[[#This Row],[FMS ID]],Sponsor[FMS_ID],Sponsor[SPONSOR NAME])</f>
        <v>Wells</v>
      </c>
      <c r="G847" s="309" t="str">
        <f>_xlfn.XLOOKUP(FMS_Ranking4[[#This Row],[FMS ID]],FMS_Input[FMS_ID],FMS_Input[FMS_DESCR])</f>
        <v>Establish plan to increase drainage capacity in sites that are prone to flooding.</v>
      </c>
      <c r="H847" s="247" t="str">
        <f>_xlfn.XLOOKUP(FMS_Ranking4[[#This Row],[FMS ID]],FMS_Input[FMS_ID],FMS_Input[FMS_TYPE])</f>
        <v>Infrastructure Projects</v>
      </c>
      <c r="I847" s="288">
        <f>_xlfn.XLOOKUP(FMS_Ranking4[[#This Row],[FMS ID]],FMS_Input[FMS_ID],FMS_Input[NRNC_COST])</f>
        <v>5000</v>
      </c>
      <c r="J847" s="250">
        <f>_xlfn.XLOOKUP(FMS_Ranking4[[#This Row],[FMS ID]],FMS_Input[FMS_ID],FMS_Input[FMS_COST])</f>
        <v>1000000</v>
      </c>
      <c r="K847" s="289" t="str">
        <f>_xlfn.XLOOKUP(FMS_Ranking4[[#This Row],[FMS ID]],FMS_Input[FMS_ID],FMS_Input[EMER_NEED])</f>
        <v>Yes</v>
      </c>
      <c r="L847" s="252">
        <f t="shared" si="13"/>
        <v>1</v>
      </c>
      <c r="M847" s="253">
        <f>_xlfn.XLOOKUP(FMS_Ranking4[[#This Row],[FMS ID]],FMS_Input[FMS_ID],FMS_Input[STRUCT_100])</f>
        <v>1</v>
      </c>
      <c r="N847" s="255">
        <f>(ASINH(FMS_Ranking4[[#This Row],[Structure at Risk Raw]]))*(10)/(ASINH(M$4))</f>
        <v>0.69289087024057039</v>
      </c>
      <c r="O847" s="255">
        <f>FMS_Ranking4[[#This Row],[Structures at risk, ArcSinh (0-10)]]*M$5*10</f>
        <v>0.6928908702405705</v>
      </c>
      <c r="P847" s="259">
        <f>_xlfn.XLOOKUP(FMS_Ranking4[[#This Row],[FMS ID]],FMS_Input[FMS_ID],FMS_Input[RES_STRUCT100])</f>
        <v>1</v>
      </c>
      <c r="Q847" s="257">
        <f>ASINH(FMS_Ranking4[[#This Row],[Res Structure Raw]])/Q$4*P$5*100</f>
        <v>0</v>
      </c>
      <c r="R847" s="259">
        <f>_xlfn.XLOOKUP(FMS_Ranking4[[#This Row],[FMS ID]],FMS_Input[FMS_ID],FMS_Input[POP100])</f>
        <v>0</v>
      </c>
      <c r="S847" s="259">
        <f>(ASINH(FMS_Ranking4[[#This Row],[Pop at Risk Raw]]))*(10)/(ASINH(R$4))</f>
        <v>0</v>
      </c>
      <c r="T847" s="257">
        <f>FMS_Ranking4[[#This Row],[Population at risk, ArcSinh (0-10)]]*R$5*10</f>
        <v>0</v>
      </c>
      <c r="U847" s="259">
        <f>_xlfn.XLOOKUP(FMS_Ranking4[[#This Row],[FMS ID]],FMS_Input[FMS_ID],FMS_Input[CRITFAC100])</f>
        <v>0</v>
      </c>
      <c r="V847" s="259">
        <f>(ASINH(FMS_Ranking4[[#This Row],[Critical Facilities Raw]]))*(10)/(ASINH(U$4))</f>
        <v>0</v>
      </c>
      <c r="W847" s="257">
        <f>FMS_Ranking4[[#This Row],[Critical facilities at risk, ArcSinh (0-10)]]*U$5*10</f>
        <v>0</v>
      </c>
      <c r="X847" s="259">
        <f>_xlfn.XLOOKUP(FMS_Ranking4[[#This Row],[FMS ID]],FMS_Input[FMS_ID],FMS_Input[LWC])</f>
        <v>0</v>
      </c>
      <c r="Y847" s="259">
        <f>(ASINH(FMS_Ranking4[[#This Row],[LWC Raw]]))*(10)/(ASINH(X$4))</f>
        <v>0</v>
      </c>
      <c r="Z847" s="257">
        <f>FMS_Ranking4[[#This Row],[LWC, ArcSInh (0-10)]]*X$5*10</f>
        <v>0</v>
      </c>
      <c r="AA847" s="259">
        <f>_xlfn.XLOOKUP(FMS_Ranking4[[#This Row],[FMS ID]],FMS_Input[FMS_ID],FMS_Input[ROADCLS])</f>
        <v>0</v>
      </c>
      <c r="AB847" s="255">
        <f>(ASINH(FMS_Ranking4[[#This Row],[Road Closures Raw]]))*(10)/(ASINH(AA$4))</f>
        <v>0</v>
      </c>
      <c r="AC847" s="255">
        <f>FMS_Ranking4[[#This Row],[Road closures, ArcSinh (0-10)]]*AA$5*10</f>
        <v>0</v>
      </c>
      <c r="AD847" s="259">
        <f>_xlfn.XLOOKUP(FMS_Ranking4[[#This Row],[FMS ID]],FMS_Input[FMS_ID],FMS_Input[ROAD_MILES100])</f>
        <v>0</v>
      </c>
      <c r="AE847" s="259">
        <f>(ASINH(FMS_Ranking4[[#This Row],[Road Miles Raw]]))*(10)/(ASINH(AD$4))</f>
        <v>0</v>
      </c>
      <c r="AF847" s="257">
        <f>FMS_Ranking4[[#This Row],[Length of roads at risk, ArcSinh (0-10)]]*AD$5*10</f>
        <v>0</v>
      </c>
      <c r="AG847" s="259">
        <f>_xlfn.XLOOKUP(FMS_Ranking4[[#This Row],[FMS ID]],FMS_Input[FMS_ID],FMS_Input[FARMACRE100])</f>
        <v>0.2223948389291763</v>
      </c>
      <c r="AH847" s="255">
        <f>(ASINH(FMS_Ranking4[[#This Row],[Ag Land Raw]]))*(10)/(ASINH(AG$4))</f>
        <v>0.14329846728042792</v>
      </c>
      <c r="AI847" s="254">
        <f>FMS_Ranking4[[#This Row],[Farm &amp; ranch land, ArcSinh (0-10)]]*AG$5*10</f>
        <v>7.1649233640213972E-2</v>
      </c>
      <c r="AJ847" s="258">
        <f>_xlfn.XLOOKUP(FMS_Ranking4[[#This Row],[FMS ID]],FMS_Input[FMS_ID],FMS_Input[REDSTRUCT100])</f>
        <v>0</v>
      </c>
      <c r="AK847" s="253">
        <f>_xlfn.XLOOKUP(FMS_Ranking4[[#This Row],[FMS ID]],FMS_Input[FMS_ID],FMS_Input[REMSTRC100])</f>
        <v>0</v>
      </c>
      <c r="AL847" s="259">
        <f>(ASINH(FMS_Ranking4[[#This Row],[Structures Removed Raw]]))*(10)/(ASINH(AK$4))</f>
        <v>0</v>
      </c>
      <c r="AM847" s="254">
        <f>FMS_Ranking4[[#This Row],[Structures removed, ArcSinh (0-10)]]*AK$5*10</f>
        <v>0</v>
      </c>
      <c r="AN847" s="253">
        <f>_xlfn.XLOOKUP(FMS_Ranking4[[#This Row],[FMS ID]],FMS_Input[FMS_ID],FMS_Input[REMRESSTRC100])</f>
        <v>0</v>
      </c>
      <c r="AO847" s="258">
        <f>FMS_Ranking4[[#This Row],[ArcSinh Res struct removed 0-10]]*AN$5*10</f>
        <v>0</v>
      </c>
      <c r="AP847" s="254">
        <f>ASINH(FMS_Ranking4[[#This Row],[Residential Structures Removed Raw]])/AP$4*AN$5*100</f>
        <v>0</v>
      </c>
      <c r="AQ847" s="260">
        <f>(ASINH(FMS_Ranking4[[#This Row],[Residential Structures Removed Raw]]))*(10)/(ASINH(AN$4))</f>
        <v>0</v>
      </c>
      <c r="AR847" s="253">
        <f>_xlfn.XLOOKUP(FMS_Ranking4[[#This Row],[FMS ID]],FMS_Input[FMS_ID],FMS_Input[REMPOP100])</f>
        <v>0</v>
      </c>
      <c r="AS847" s="259">
        <f>(ASINH(FMS_Ranking4[[#This Row],[Removed Pop Raw]]))*(10)/(ASINH(AR$4))</f>
        <v>0</v>
      </c>
      <c r="AT847" s="263">
        <f>FMS_Ranking4[[#This Row],[Removed population, ArcSinh (0-10)]]*AR$5*10</f>
        <v>0</v>
      </c>
      <c r="AU847" s="264">
        <f>_xlfn.XLOOKUP(FMS_Ranking4[[#This Row],[FMS ID]],FMS_Input[FMS_ID],FMS_Input[REMCRITFAC100])</f>
        <v>0</v>
      </c>
      <c r="AV847" s="264">
        <f>_xlfn.XLOOKUP(FMS_Ranking4[[#This Row],[FMS ID]],FMS_Input[FMS_ID],FMS_Input[REMLWC100])</f>
        <v>0</v>
      </c>
      <c r="AW847" s="264">
        <f>_xlfn.XLOOKUP(FMS_Ranking4[[#This Row],[FMS ID]],FMS_Input[FMS_ID],FMS_Input[REMROADCLS])</f>
        <v>0</v>
      </c>
      <c r="AX847" s="264">
        <f>_xlfn.XLOOKUP(FMS_Ranking4[[#This Row],[FMS ID]],FMS_Input[FMS_ID],FMS_Input[REMFRMACRE100])</f>
        <v>0</v>
      </c>
      <c r="AY847" s="258">
        <f>_xlfn.XLOOKUP(FMS_Ranking4[[#This Row],[FMS ID]],FMS_Input[FMS_ID],FMS_Input[COSTSTRUCT])</f>
        <v>0</v>
      </c>
      <c r="AZ847" s="258">
        <f>_xlfn.XLOOKUP(FMS_Ranking4[[#This Row],[FMS ID]],FMS_Input[FMS_ID],FMS_Input[NATURE])</f>
        <v>0</v>
      </c>
      <c r="BA847" s="290">
        <f>(((FMS_Ranking4[[#This Row],[% NBS Raw]]/AZ$4)*100)*AZ$5)</f>
        <v>0</v>
      </c>
      <c r="BB847" s="251" t="str">
        <f>_xlfn.XLOOKUP(FMS_Ranking4[[#This Row],[FMS ID]],FMS_Input[FMS_ID],FMS_Input[WATER_SUP])</f>
        <v>No</v>
      </c>
      <c r="BC847" s="265">
        <f>IF(FMS_Ranking4[[#This Row],[Water Supply Raw]]="Yes",10,0)</f>
        <v>0</v>
      </c>
      <c r="BD847" s="251">
        <f>_xlfn.XLOOKUP(FMS_Ranking4[[#This Row],[FMS Type]],FMS_TYPE[FMS_Type],FMS_TYPE[Score])</f>
        <v>4</v>
      </c>
      <c r="BE847" s="267">
        <f>FMS_Ranking4[[#This Row],[FMS_Type Score]]*$BD$5*10</f>
        <v>1</v>
      </c>
      <c r="BF84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6.0258557084319889E-5</v>
      </c>
      <c r="BG847" s="271">
        <f>_xlfn.RANK.EQ(BF847,$BF$8:$BF$870,0)+COUNTIF($BF$8:BF847,BF847)-1</f>
        <v>789</v>
      </c>
      <c r="BH847" s="268">
        <f>(((FMS_Ranking4[[#This Row],[Structures Removed Raw]]/AK$4)*100)*AK$5)+(((FMS_Ranking4[[#This Row],[Removed Pop Raw]]/AR$4)*100)*AR$5)</f>
        <v>0</v>
      </c>
      <c r="BI84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1.0000602585570844</v>
      </c>
      <c r="BJ847" s="325">
        <f>_xlfn.RANK.EQ(FMS_Ranking4[[#This Row],[Total Score 
(with linear
normalization)]],FMS_Ranking4[Total Score 
(with linear
normalization)],0)</f>
        <v>748</v>
      </c>
      <c r="BK847" s="327" t="e">
        <f>_xlfn.XLOOKUP(FMS_Ranking4[[#This Row],[FMS ID]],#REF!,#REF!)</f>
        <v>#REF!</v>
      </c>
      <c r="BL84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0.76454010388078442</v>
      </c>
      <c r="BM847" s="330">
        <f>FMS_Ranking4[[#This Row],[ArcSinh Score Based on Normalized Reported Factors]]+FMS_Ranking4[[#This Row],[% NBS Score (Normalized)]]+(FMS_Ranking4[[#This Row],[Water Supply Score (Normalized)]]*10*$BB$5)+FMS_Ranking4[[#This Row],[FMS_Type Score Weighted]]</f>
        <v>1.7645401038807844</v>
      </c>
      <c r="BN847" s="332">
        <f>_xlfn.RANK.EQ(FMS_Ranking4[[#This Row],[Total Score (with ArcSinh normalization of select criteria)]],FMS_Ranking4[Total Score (with ArcSinh normalization of select criteria)],0)</f>
        <v>840</v>
      </c>
      <c r="BO847" s="270" t="str">
        <f>_xlfn.XLOOKUP(FMS_Ranking4[[#This Row],[FMS ID]],FMS_Input[FMS_ID],FMS_Input[FMS_RANK_YEAR])</f>
        <v>2023 Amended Plan</v>
      </c>
      <c r="BP847" s="204">
        <f>_xlfn.XLOOKUP(FMS_Ranking4[[#This Row],[FMS ID]],Prev_Rank[FMS ID],Prev_Rank[Prev Rank])</f>
        <v>757</v>
      </c>
      <c r="BQ847" s="334" t="e">
        <f>_xlfn.XLOOKUP(FMS_Ranking4[[#This Row],[FMS ID]],#REF!,#REF!)</f>
        <v>#REF!</v>
      </c>
      <c r="BR847" s="199" t="e">
        <f>SUM(#REF!,#REF!,#REF!,#REF!,#REF!,#REF!,#REF!,#REF!,#REF!,FMS_Ranking4[[#This Row],[ArcSinh Res struct removed 0-10]],#REF!)</f>
        <v>#REF!</v>
      </c>
      <c r="BS847" s="199" t="e">
        <f>FMS_Ranking4[[#This Row],[Log Score Based on Normalized Reported Factors]]+FMS_Ranking4[[#This Row],[% NBS Score (Normalized)]]+(FMS_Ranking4[[#This Row],[Water Supply Score (Normalized)]]*10*$BB$5)+(FMS_Ranking4[[#This Row],[FMS_Type Score Weighted]])</f>
        <v>#REF!</v>
      </c>
      <c r="BT847" s="200" t="e">
        <f>_xlfn.RANK.EQ(FMS_Ranking4[[#This Row],[Log Total Score]],FMS_Ranking4[Log Total Score],0)</f>
        <v>#REF!</v>
      </c>
      <c r="BU847" s="200" t="e">
        <f>_xlfn.XLOOKUP(FMS_Ranking4[[#This Row],[FMS ID]],#REF!,#REF!)</f>
        <v>#REF!</v>
      </c>
      <c r="BV847" s="200">
        <f>FMS_Ranking4[[#This Row],[Region Number]]</f>
        <v>5</v>
      </c>
      <c r="BW847" s="200">
        <f>FMS_Ranking4[[#This Row],[Rank (with ArcSinh normalization of select criteria)]]-FMS_Ranking4[[#This Row],[Rank
(with linear
normalization)]]</f>
        <v>92</v>
      </c>
      <c r="BX847" s="200" t="e">
        <f>FMS_Ranking4[[#This Row],[Log Rank]]-FMS_Ranking4[[#This Row],[Rank
(with linear
normalization)]]</f>
        <v>#REF!</v>
      </c>
      <c r="BY847" s="200" t="str">
        <f>IF(FMS_Ranking4[[#This Row],[FMS Type]]="Flood Measurement and Warning",FMS_Ranking4[[#This Row],[Rank (with ArcSinh normalization of select criteria)]],"")</f>
        <v/>
      </c>
      <c r="BZ847" s="200" t="str">
        <f>IF(FMS_Ranking4[[#This Row],[FMS Type]]="Regulatory and Guidance",FMS_Ranking4[[#This Row],[Rank (with ArcSinh normalization of select criteria)]],"")</f>
        <v/>
      </c>
      <c r="CA847" s="200" t="str">
        <f>IF(FMS_Ranking4[[#This Row],[FMS Type]]="Education and Outreach",FMS_Ranking4[[#This Row],[Rank (with ArcSinh normalization of select criteria)]],"")</f>
        <v/>
      </c>
      <c r="CB847" s="200" t="str">
        <f>IF(FMS_Ranking4[[#This Row],[FMS Type]]="Property Acquisition and Structural Elevation",FMS_Ranking4[[#This Row],[Rank (with ArcSinh normalization of select criteria)]],"")</f>
        <v/>
      </c>
      <c r="CC847" s="200">
        <f>IF(FMS_Ranking4[[#This Row],[FMS Type]]="Infrastructure Projects",FMS_Ranking4[[#This Row],[Rank (with ArcSinh normalization of select criteria)]],"")</f>
        <v>840</v>
      </c>
      <c r="CD847" s="200" t="str">
        <f>IF(FMS_Ranking4[[#This Row],[FMS Type]]="Other",FMS_Ranking4[[#This Row],[Rank (with ArcSinh normalization of select criteria)]],"")</f>
        <v/>
      </c>
    </row>
    <row r="848" spans="2:82" ht="60" x14ac:dyDescent="0.25">
      <c r="B848" s="342" t="s">
        <v>12521</v>
      </c>
      <c r="C848" s="287">
        <f>_xlfn.XLOOKUP(FMS_Ranking4[[#This Row],[FMS ID]],FMS_Input[FMS_ID],FMS_Input[RFPG_NUM])</f>
        <v>8</v>
      </c>
      <c r="D848" s="309" t="str">
        <f>_xlfn.XLOOKUP(FMS_Ranking4[[#This Row],[FMS ID]],FMS_Input[FMS_ID],FMS_Input[FMS_NAME])</f>
        <v>Cedar Park Outreach and Education Program</v>
      </c>
      <c r="E848" s="322" t="str">
        <f>_xlfn.XLOOKUP(FMS_Ranking4[[#This Row],[FMS ID]],FMS_Input[FMS_ID],FMS_Input[SPONSOR])</f>
        <v>00003454</v>
      </c>
      <c r="F848" s="309" t="str">
        <f>_xlfn.XLOOKUP(FMS_Ranking4[[#This Row],[FMS ID]],Sponsor[FMS_ID],Sponsor[SPONSOR NAME])</f>
        <v>Cedar Park</v>
      </c>
      <c r="G848" s="309" t="str">
        <f>_xlfn.XLOOKUP(FMS_Ranking4[[#This Row],[FMS ID]],FMS_Input[FMS_ID],FMS_Input[FMS_DESCR])</f>
        <v>Development of interactive stormwater models and virtual education programs to inform public of flood related risk.</v>
      </c>
      <c r="H848" s="247" t="str">
        <f>_xlfn.XLOOKUP(FMS_Ranking4[[#This Row],[FMS ID]],FMS_Input[FMS_ID],FMS_Input[FMS_TYPE])</f>
        <v>Education and Outreach</v>
      </c>
      <c r="I848" s="288">
        <f>_xlfn.XLOOKUP(FMS_Ranking4[[#This Row],[FMS ID]],FMS_Input[FMS_ID],FMS_Input[NRNC_COST])</f>
        <v>500000</v>
      </c>
      <c r="J848" s="250">
        <f>_xlfn.XLOOKUP(FMS_Ranking4[[#This Row],[FMS ID]],FMS_Input[FMS_ID],FMS_Input[FMS_COST])</f>
        <v>500000</v>
      </c>
      <c r="K848" s="289" t="str">
        <f>_xlfn.XLOOKUP(FMS_Ranking4[[#This Row],[FMS ID]],FMS_Input[FMS_ID],FMS_Input[EMER_NEED])</f>
        <v>No</v>
      </c>
      <c r="L848" s="252">
        <f t="shared" si="13"/>
        <v>0</v>
      </c>
      <c r="M848" s="253">
        <f>_xlfn.XLOOKUP(FMS_Ranking4[[#This Row],[FMS ID]],FMS_Input[FMS_ID],FMS_Input[STRUCT_100])</f>
        <v>0</v>
      </c>
      <c r="N848" s="255">
        <f>(ASINH(FMS_Ranking4[[#This Row],[Structure at Risk Raw]]))*(10)/(ASINH(M$4))</f>
        <v>0</v>
      </c>
      <c r="O848" s="255">
        <f>FMS_Ranking4[[#This Row],[Structures at risk, ArcSinh (0-10)]]*M$5*10</f>
        <v>0</v>
      </c>
      <c r="P848" s="259">
        <f>_xlfn.XLOOKUP(FMS_Ranking4[[#This Row],[FMS ID]],FMS_Input[FMS_ID],FMS_Input[RES_STRUCT100])</f>
        <v>0</v>
      </c>
      <c r="Q848" s="257">
        <f>ASINH(FMS_Ranking4[[#This Row],[Res Structure Raw]])/Q$4*P$5*100</f>
        <v>0</v>
      </c>
      <c r="R848" s="259">
        <f>_xlfn.XLOOKUP(FMS_Ranking4[[#This Row],[FMS ID]],FMS_Input[FMS_ID],FMS_Input[POP100])</f>
        <v>0</v>
      </c>
      <c r="S848" s="259">
        <f>(ASINH(FMS_Ranking4[[#This Row],[Pop at Risk Raw]]))*(10)/(ASINH(R$4))</f>
        <v>0</v>
      </c>
      <c r="T848" s="257">
        <f>FMS_Ranking4[[#This Row],[Population at risk, ArcSinh (0-10)]]*R$5*10</f>
        <v>0</v>
      </c>
      <c r="U848" s="259">
        <f>_xlfn.XLOOKUP(FMS_Ranking4[[#This Row],[FMS ID]],FMS_Input[FMS_ID],FMS_Input[CRITFAC100])</f>
        <v>0</v>
      </c>
      <c r="V848" s="259">
        <f>(ASINH(FMS_Ranking4[[#This Row],[Critical Facilities Raw]]))*(10)/(ASINH(U$4))</f>
        <v>0</v>
      </c>
      <c r="W848" s="257">
        <f>FMS_Ranking4[[#This Row],[Critical facilities at risk, ArcSinh (0-10)]]*U$5*10</f>
        <v>0</v>
      </c>
      <c r="X848" s="259">
        <f>_xlfn.XLOOKUP(FMS_Ranking4[[#This Row],[FMS ID]],FMS_Input[FMS_ID],FMS_Input[LWC])</f>
        <v>0</v>
      </c>
      <c r="Y848" s="259">
        <f>(ASINH(FMS_Ranking4[[#This Row],[LWC Raw]]))*(10)/(ASINH(X$4))</f>
        <v>0</v>
      </c>
      <c r="Z848" s="257">
        <f>FMS_Ranking4[[#This Row],[LWC, ArcSInh (0-10)]]*X$5*10</f>
        <v>0</v>
      </c>
      <c r="AA848" s="259">
        <f>_xlfn.XLOOKUP(FMS_Ranking4[[#This Row],[FMS ID]],FMS_Input[FMS_ID],FMS_Input[ROADCLS])</f>
        <v>0</v>
      </c>
      <c r="AB848" s="255">
        <f>(ASINH(FMS_Ranking4[[#This Row],[Road Closures Raw]]))*(10)/(ASINH(AA$4))</f>
        <v>0</v>
      </c>
      <c r="AC848" s="255">
        <f>FMS_Ranking4[[#This Row],[Road closures, ArcSinh (0-10)]]*AA$5*10</f>
        <v>0</v>
      </c>
      <c r="AD848" s="259">
        <f>_xlfn.XLOOKUP(FMS_Ranking4[[#This Row],[FMS ID]],FMS_Input[FMS_ID],FMS_Input[ROAD_MILES100])</f>
        <v>0</v>
      </c>
      <c r="AE848" s="259">
        <f>(ASINH(FMS_Ranking4[[#This Row],[Road Miles Raw]]))*(10)/(ASINH(AD$4))</f>
        <v>0</v>
      </c>
      <c r="AF848" s="257">
        <f>FMS_Ranking4[[#This Row],[Length of roads at risk, ArcSinh (0-10)]]*AD$5*10</f>
        <v>0</v>
      </c>
      <c r="AG848" s="259">
        <f>_xlfn.XLOOKUP(FMS_Ranking4[[#This Row],[FMS ID]],FMS_Input[FMS_ID],FMS_Input[FARMACRE100])</f>
        <v>0</v>
      </c>
      <c r="AH848" s="255">
        <f>(ASINH(FMS_Ranking4[[#This Row],[Ag Land Raw]]))*(10)/(ASINH(AG$4))</f>
        <v>0</v>
      </c>
      <c r="AI848" s="254">
        <f>FMS_Ranking4[[#This Row],[Farm &amp; ranch land, ArcSinh (0-10)]]*AG$5*10</f>
        <v>0</v>
      </c>
      <c r="AJ848" s="258">
        <f>_xlfn.XLOOKUP(FMS_Ranking4[[#This Row],[FMS ID]],FMS_Input[FMS_ID],FMS_Input[REDSTRUCT100])</f>
        <v>0</v>
      </c>
      <c r="AK848" s="253">
        <f>_xlfn.XLOOKUP(FMS_Ranking4[[#This Row],[FMS ID]],FMS_Input[FMS_ID],FMS_Input[REMSTRC100])</f>
        <v>0</v>
      </c>
      <c r="AL848" s="259">
        <f>(ASINH(FMS_Ranking4[[#This Row],[Structures Removed Raw]]))*(10)/(ASINH(AK$4))</f>
        <v>0</v>
      </c>
      <c r="AM848" s="254">
        <f>FMS_Ranking4[[#This Row],[Structures removed, ArcSinh (0-10)]]*AK$5*10</f>
        <v>0</v>
      </c>
      <c r="AN848" s="253">
        <f>_xlfn.XLOOKUP(FMS_Ranking4[[#This Row],[FMS ID]],FMS_Input[FMS_ID],FMS_Input[REMRESSTRC100])</f>
        <v>0</v>
      </c>
      <c r="AO848" s="258">
        <f>FMS_Ranking4[[#This Row],[ArcSinh Res struct removed 0-10]]*AN$5*10</f>
        <v>0</v>
      </c>
      <c r="AP848" s="254">
        <f>ASINH(FMS_Ranking4[[#This Row],[Residential Structures Removed Raw]])/AP$4*AN$5*100</f>
        <v>0</v>
      </c>
      <c r="AQ848" s="260">
        <f>(ASINH(FMS_Ranking4[[#This Row],[Residential Structures Removed Raw]]))*(10)/(ASINH(AN$4))</f>
        <v>0</v>
      </c>
      <c r="AR848" s="253">
        <f>_xlfn.XLOOKUP(FMS_Ranking4[[#This Row],[FMS ID]],FMS_Input[FMS_ID],FMS_Input[REMPOP100])</f>
        <v>0</v>
      </c>
      <c r="AS848" s="259">
        <f>(ASINH(FMS_Ranking4[[#This Row],[Removed Pop Raw]]))*(10)/(ASINH(AR$4))</f>
        <v>0</v>
      </c>
      <c r="AT848" s="263">
        <f>FMS_Ranking4[[#This Row],[Removed population, ArcSinh (0-10)]]*AR$5*10</f>
        <v>0</v>
      </c>
      <c r="AU848" s="264">
        <f>_xlfn.XLOOKUP(FMS_Ranking4[[#This Row],[FMS ID]],FMS_Input[FMS_ID],FMS_Input[REMCRITFAC100])</f>
        <v>0</v>
      </c>
      <c r="AV848" s="264">
        <f>_xlfn.XLOOKUP(FMS_Ranking4[[#This Row],[FMS ID]],FMS_Input[FMS_ID],FMS_Input[REMLWC100])</f>
        <v>0</v>
      </c>
      <c r="AW848" s="264">
        <f>_xlfn.XLOOKUP(FMS_Ranking4[[#This Row],[FMS ID]],FMS_Input[FMS_ID],FMS_Input[REMROADCLS])</f>
        <v>0</v>
      </c>
      <c r="AX848" s="264">
        <f>_xlfn.XLOOKUP(FMS_Ranking4[[#This Row],[FMS ID]],FMS_Input[FMS_ID],FMS_Input[REMFRMACRE100])</f>
        <v>0</v>
      </c>
      <c r="AY848" s="258">
        <f>_xlfn.XLOOKUP(FMS_Ranking4[[#This Row],[FMS ID]],FMS_Input[FMS_ID],FMS_Input[COSTSTRUCT])</f>
        <v>0</v>
      </c>
      <c r="AZ848" s="258">
        <f>_xlfn.XLOOKUP(FMS_Ranking4[[#This Row],[FMS ID]],FMS_Input[FMS_ID],FMS_Input[NATURE])</f>
        <v>0</v>
      </c>
      <c r="BA848" s="290">
        <f>(((FMS_Ranking4[[#This Row],[% NBS Raw]]/AZ$4)*100)*AZ$5)</f>
        <v>0</v>
      </c>
      <c r="BB848" s="251" t="str">
        <f>_xlfn.XLOOKUP(FMS_Ranking4[[#This Row],[FMS ID]],FMS_Input[FMS_ID],FMS_Input[WATER_SUP])</f>
        <v>No</v>
      </c>
      <c r="BC848" s="265">
        <f>IF(FMS_Ranking4[[#This Row],[Water Supply Raw]]="Yes",10,0)</f>
        <v>0</v>
      </c>
      <c r="BD848" s="251">
        <f>_xlfn.XLOOKUP(FMS_Ranking4[[#This Row],[FMS Type]],FMS_TYPE[FMS_Type],FMS_TYPE[Score])</f>
        <v>6</v>
      </c>
      <c r="BE848" s="267">
        <f>FMS_Ranking4[[#This Row],[FMS_Type Score]]*$BD$5*10</f>
        <v>1.5000000000000002</v>
      </c>
      <c r="BF84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48" s="271">
        <f>_xlfn.RANK.EQ(BF848,$BF$8:$BF$870,0)+COUNTIF($BF$8:BF848,BF848)-1</f>
        <v>844</v>
      </c>
      <c r="BH848" s="268">
        <f>(((FMS_Ranking4[[#This Row],[Structures Removed Raw]]/AK$4)*100)*AK$5)+(((FMS_Ranking4[[#This Row],[Removed Pop Raw]]/AR$4)*100)*AR$5)</f>
        <v>0</v>
      </c>
      <c r="BI84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1.5000000000000002</v>
      </c>
      <c r="BJ848" s="325">
        <f>_xlfn.RANK.EQ(FMS_Ranking4[[#This Row],[Total Score 
(with linear
normalization)]],FMS_Ranking4[Total Score 
(with linear
normalization)],0)</f>
        <v>611</v>
      </c>
      <c r="BK848" s="327" t="e">
        <f>_xlfn.XLOOKUP(FMS_Ranking4[[#This Row],[FMS ID]],#REF!,#REF!)</f>
        <v>#REF!</v>
      </c>
      <c r="BL84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48" s="330">
        <f>FMS_Ranking4[[#This Row],[ArcSinh Score Based on Normalized Reported Factors]]+FMS_Ranking4[[#This Row],[% NBS Score (Normalized)]]+(FMS_Ranking4[[#This Row],[Water Supply Score (Normalized)]]*10*$BB$5)+FMS_Ranking4[[#This Row],[FMS_Type Score Weighted]]</f>
        <v>1.5000000000000002</v>
      </c>
      <c r="BN848" s="332">
        <f>_xlfn.RANK.EQ(FMS_Ranking4[[#This Row],[Total Score (with ArcSinh normalization of select criteria)]],FMS_Ranking4[Total Score (with ArcSinh normalization of select criteria)],0)</f>
        <v>841</v>
      </c>
      <c r="BO848" s="270" t="str">
        <f>_xlfn.XLOOKUP(FMS_Ranking4[[#This Row],[FMS ID]],FMS_Input[FMS_ID],FMS_Input[FMS_RANK_YEAR])</f>
        <v>2025 Amended Plan</v>
      </c>
      <c r="BP848" s="204" t="e">
        <f>_xlfn.XLOOKUP(FMS_Ranking4[[#This Row],[FMS ID]],Prev_Rank[FMS ID],Prev_Rank[Prev Rank])</f>
        <v>#N/A</v>
      </c>
      <c r="BQ848" s="334" t="e">
        <f>_xlfn.XLOOKUP(FMS_Ranking4[[#This Row],[FMS ID]],#REF!,#REF!)</f>
        <v>#REF!</v>
      </c>
      <c r="BR848" s="199" t="e">
        <f>SUM(#REF!,#REF!,#REF!,#REF!,#REF!,#REF!,#REF!,#REF!,#REF!,FMS_Ranking4[[#This Row],[ArcSinh Res struct removed 0-10]],#REF!)</f>
        <v>#REF!</v>
      </c>
      <c r="BS848" s="199" t="e">
        <f>FMS_Ranking4[[#This Row],[Log Score Based on Normalized Reported Factors]]+FMS_Ranking4[[#This Row],[% NBS Score (Normalized)]]+(FMS_Ranking4[[#This Row],[Water Supply Score (Normalized)]]*10*$BB$5)+(FMS_Ranking4[[#This Row],[FMS_Type Score Weighted]])</f>
        <v>#REF!</v>
      </c>
      <c r="BT848" s="200" t="e">
        <f>_xlfn.RANK.EQ(FMS_Ranking4[[#This Row],[Log Total Score]],FMS_Ranking4[Log Total Score],0)</f>
        <v>#REF!</v>
      </c>
      <c r="BU848" s="200" t="e">
        <f>_xlfn.XLOOKUP(FMS_Ranking4[[#This Row],[FMS ID]],#REF!,#REF!)</f>
        <v>#REF!</v>
      </c>
      <c r="BV848" s="200">
        <f>FMS_Ranking4[[#This Row],[Region Number]]</f>
        <v>8</v>
      </c>
      <c r="BW848" s="200">
        <f>FMS_Ranking4[[#This Row],[Rank (with ArcSinh normalization of select criteria)]]-FMS_Ranking4[[#This Row],[Rank
(with linear
normalization)]]</f>
        <v>230</v>
      </c>
      <c r="BX848" s="200" t="e">
        <f>FMS_Ranking4[[#This Row],[Log Rank]]-FMS_Ranking4[[#This Row],[Rank
(with linear
normalization)]]</f>
        <v>#REF!</v>
      </c>
      <c r="BY848" s="200" t="str">
        <f>IF(FMS_Ranking4[[#This Row],[FMS Type]]="Flood Measurement and Warning",FMS_Ranking4[[#This Row],[Rank (with ArcSinh normalization of select criteria)]],"")</f>
        <v/>
      </c>
      <c r="BZ848" s="200" t="str">
        <f>IF(FMS_Ranking4[[#This Row],[FMS Type]]="Regulatory and Guidance",FMS_Ranking4[[#This Row],[Rank (with ArcSinh normalization of select criteria)]],"")</f>
        <v/>
      </c>
      <c r="CA848" s="200">
        <f>IF(FMS_Ranking4[[#This Row],[FMS Type]]="Education and Outreach",FMS_Ranking4[[#This Row],[Rank (with ArcSinh normalization of select criteria)]],"")</f>
        <v>841</v>
      </c>
      <c r="CB848" s="200" t="str">
        <f>IF(FMS_Ranking4[[#This Row],[FMS Type]]="Property Acquisition and Structural Elevation",FMS_Ranking4[[#This Row],[Rank (with ArcSinh normalization of select criteria)]],"")</f>
        <v/>
      </c>
      <c r="CC848" s="200" t="str">
        <f>IF(FMS_Ranking4[[#This Row],[FMS Type]]="Infrastructure Projects",FMS_Ranking4[[#This Row],[Rank (with ArcSinh normalization of select criteria)]],"")</f>
        <v/>
      </c>
      <c r="CD848" s="200" t="str">
        <f>IF(FMS_Ranking4[[#This Row],[FMS Type]]="Other",FMS_Ranking4[[#This Row],[Rank (with ArcSinh normalization of select criteria)]],"")</f>
        <v/>
      </c>
    </row>
    <row r="849" spans="2:82" ht="45" x14ac:dyDescent="0.25">
      <c r="B849" s="342" t="s">
        <v>14</v>
      </c>
      <c r="C849" s="287">
        <f>_xlfn.XLOOKUP(FMS_Ranking4[[#This Row],[FMS ID]],FMS_Input[FMS_ID],FMS_Input[RFPG_NUM])</f>
        <v>6</v>
      </c>
      <c r="D849" s="309" t="str">
        <f>_xlfn.XLOOKUP(FMS_Ranking4[[#This Row],[FMS ID]],FMS_Input[FMS_ID],FMS_Input[FMS_NAME])</f>
        <v>City of Bunker Hill Community Outreach</v>
      </c>
      <c r="E849" s="322" t="str">
        <f>_xlfn.XLOOKUP(FMS_Ranking4[[#This Row],[FMS ID]],FMS_Input[FMS_ID],FMS_Input[SPONSOR])</f>
        <v>06002856</v>
      </c>
      <c r="F849" s="309" t="str">
        <f>_xlfn.XLOOKUP(FMS_Ranking4[[#This Row],[FMS ID]],Sponsor[FMS_ID],Sponsor[SPONSOR NAME])</f>
        <v>Bunker Hill Village</v>
      </c>
      <c r="G849" s="309" t="str">
        <f>_xlfn.XLOOKUP(FMS_Ranking4[[#This Row],[FMS ID]],FMS_Input[FMS_ID],FMS_Input[FMS_DESCR])</f>
        <v>Community Outreach (flooded street identification, marking and signage)</v>
      </c>
      <c r="H849" s="247" t="str">
        <f>_xlfn.XLOOKUP(FMS_Ranking4[[#This Row],[FMS ID]],FMS_Input[FMS_ID],FMS_Input[FMS_TYPE])</f>
        <v>Education and Outreach</v>
      </c>
      <c r="I849" s="288">
        <f>_xlfn.XLOOKUP(FMS_Ranking4[[#This Row],[FMS ID]],FMS_Input[FMS_ID],FMS_Input[NRNC_COST])</f>
        <v>5000</v>
      </c>
      <c r="J849" s="250">
        <f>_xlfn.XLOOKUP(FMS_Ranking4[[#This Row],[FMS ID]],FMS_Input[FMS_ID],FMS_Input[FMS_COST])</f>
        <v>100000</v>
      </c>
      <c r="K849" s="289" t="str">
        <f>_xlfn.XLOOKUP(FMS_Ranking4[[#This Row],[FMS ID]],FMS_Input[FMS_ID],FMS_Input[EMER_NEED])</f>
        <v>No</v>
      </c>
      <c r="L849" s="252">
        <f t="shared" si="13"/>
        <v>0</v>
      </c>
      <c r="M849" s="253">
        <f>_xlfn.XLOOKUP(FMS_Ranking4[[#This Row],[FMS ID]],FMS_Input[FMS_ID],FMS_Input[STRUCT_100])</f>
        <v>0</v>
      </c>
      <c r="N849" s="255">
        <f>(ASINH(FMS_Ranking4[[#This Row],[Structure at Risk Raw]]))*(10)/(ASINH(M$4))</f>
        <v>0</v>
      </c>
      <c r="O849" s="255">
        <f>FMS_Ranking4[[#This Row],[Structures at risk, ArcSinh (0-10)]]*M$5*10</f>
        <v>0</v>
      </c>
      <c r="P849" s="259">
        <f>_xlfn.XLOOKUP(FMS_Ranking4[[#This Row],[FMS ID]],FMS_Input[FMS_ID],FMS_Input[RES_STRUCT100])</f>
        <v>0</v>
      </c>
      <c r="Q849" s="257">
        <f>ASINH(FMS_Ranking4[[#This Row],[Res Structure Raw]])/Q$4*P$5*100</f>
        <v>0</v>
      </c>
      <c r="R849" s="259">
        <f>_xlfn.XLOOKUP(FMS_Ranking4[[#This Row],[FMS ID]],FMS_Input[FMS_ID],FMS_Input[POP100])</f>
        <v>0</v>
      </c>
      <c r="S849" s="255">
        <f>(ASINH(FMS_Ranking4[[#This Row],[Pop at Risk Raw]]))*(10)/(ASINH(R$4))</f>
        <v>0</v>
      </c>
      <c r="T849" s="257">
        <f>FMS_Ranking4[[#This Row],[Population at risk, ArcSinh (0-10)]]*R$5*10</f>
        <v>0</v>
      </c>
      <c r="U849" s="259">
        <f>_xlfn.XLOOKUP(FMS_Ranking4[[#This Row],[FMS ID]],FMS_Input[FMS_ID],FMS_Input[CRITFAC100])</f>
        <v>0</v>
      </c>
      <c r="V849" s="255">
        <f>(ASINH(FMS_Ranking4[[#This Row],[Critical Facilities Raw]]))*(10)/(ASINH(U$4))</f>
        <v>0</v>
      </c>
      <c r="W849" s="257">
        <f>FMS_Ranking4[[#This Row],[Critical facilities at risk, ArcSinh (0-10)]]*U$5*10</f>
        <v>0</v>
      </c>
      <c r="X849" s="259">
        <f>_xlfn.XLOOKUP(FMS_Ranking4[[#This Row],[FMS ID]],FMS_Input[FMS_ID],FMS_Input[LWC])</f>
        <v>0</v>
      </c>
      <c r="Y849" s="255">
        <f>(ASINH(FMS_Ranking4[[#This Row],[LWC Raw]]))*(10)/(ASINH(X$4))</f>
        <v>0</v>
      </c>
      <c r="Z849" s="257">
        <f>FMS_Ranking4[[#This Row],[LWC, ArcSInh (0-10)]]*X$5*10</f>
        <v>0</v>
      </c>
      <c r="AA849" s="259">
        <f>_xlfn.XLOOKUP(FMS_Ranking4[[#This Row],[FMS ID]],FMS_Input[FMS_ID],FMS_Input[ROADCLS])</f>
        <v>0</v>
      </c>
      <c r="AB849" s="255">
        <f>(ASINH(FMS_Ranking4[[#This Row],[Road Closures Raw]]))*(10)/(ASINH(AA$4))</f>
        <v>0</v>
      </c>
      <c r="AC849" s="255">
        <f>FMS_Ranking4[[#This Row],[Road closures, ArcSinh (0-10)]]*AA$5*10</f>
        <v>0</v>
      </c>
      <c r="AD849" s="259">
        <f>_xlfn.XLOOKUP(FMS_Ranking4[[#This Row],[FMS ID]],FMS_Input[FMS_ID],FMS_Input[ROAD_MILES100])</f>
        <v>0</v>
      </c>
      <c r="AE849" s="255">
        <f>(ASINH(FMS_Ranking4[[#This Row],[Road Miles Raw]]))*(10)/(ASINH(AD$4))</f>
        <v>0</v>
      </c>
      <c r="AF849" s="257">
        <f>FMS_Ranking4[[#This Row],[Length of roads at risk, ArcSinh (0-10)]]*AD$5*10</f>
        <v>0</v>
      </c>
      <c r="AG849" s="259">
        <f>_xlfn.XLOOKUP(FMS_Ranking4[[#This Row],[FMS ID]],FMS_Input[FMS_ID],FMS_Input[FARMACRE100])</f>
        <v>0</v>
      </c>
      <c r="AH849" s="255">
        <f>(ASINH(FMS_Ranking4[[#This Row],[Ag Land Raw]]))*(10)/(ASINH(AG$4))</f>
        <v>0</v>
      </c>
      <c r="AI849" s="254">
        <f>FMS_Ranking4[[#This Row],[Farm &amp; ranch land, ArcSinh (0-10)]]*AG$5*10</f>
        <v>0</v>
      </c>
      <c r="AJ849" s="258">
        <f>_xlfn.XLOOKUP(FMS_Ranking4[[#This Row],[FMS ID]],FMS_Input[FMS_ID],FMS_Input[REDSTRUCT100])</f>
        <v>0</v>
      </c>
      <c r="AK849" s="253">
        <f>_xlfn.XLOOKUP(FMS_Ranking4[[#This Row],[FMS ID]],FMS_Input[FMS_ID],FMS_Input[REMSTRC100])</f>
        <v>0</v>
      </c>
      <c r="AL849" s="255">
        <f>(ASINH(FMS_Ranking4[[#This Row],[Structures Removed Raw]]))*(10)/(ASINH(AK$4))</f>
        <v>0</v>
      </c>
      <c r="AM849" s="254">
        <f>FMS_Ranking4[[#This Row],[Structures removed, ArcSinh (0-10)]]*AK$5*10</f>
        <v>0</v>
      </c>
      <c r="AN849" s="253">
        <f>_xlfn.XLOOKUP(FMS_Ranking4[[#This Row],[FMS ID]],FMS_Input[FMS_ID],FMS_Input[REMRESSTRC100])</f>
        <v>0</v>
      </c>
      <c r="AO849" s="258">
        <f>FMS_Ranking4[[#This Row],[ArcSinh Res struct removed 0-10]]*AN$5*10</f>
        <v>0</v>
      </c>
      <c r="AP849" s="254">
        <f>ASINH(FMS_Ranking4[[#This Row],[Residential Structures Removed Raw]])/AP$4*AN$5*100</f>
        <v>0</v>
      </c>
      <c r="AQ849" s="261">
        <f>(ASINH(FMS_Ranking4[[#This Row],[Residential Structures Removed Raw]]))*(10)/(ASINH(AN$4))</f>
        <v>0</v>
      </c>
      <c r="AR849" s="253">
        <f>_xlfn.XLOOKUP(FMS_Ranking4[[#This Row],[FMS ID]],FMS_Input[FMS_ID],FMS_Input[REMPOP100])</f>
        <v>0</v>
      </c>
      <c r="AS849" s="255">
        <f>(ASINH(FMS_Ranking4[[#This Row],[Removed Pop Raw]]))*(10)/(ASINH(AR$4))</f>
        <v>0</v>
      </c>
      <c r="AT849" s="263">
        <f>FMS_Ranking4[[#This Row],[Removed population, ArcSinh (0-10)]]*AR$5*10</f>
        <v>0</v>
      </c>
      <c r="AU849" s="264">
        <f>_xlfn.XLOOKUP(FMS_Ranking4[[#This Row],[FMS ID]],FMS_Input[FMS_ID],FMS_Input[REMCRITFAC100])</f>
        <v>0</v>
      </c>
      <c r="AV849" s="264">
        <f>_xlfn.XLOOKUP(FMS_Ranking4[[#This Row],[FMS ID]],FMS_Input[FMS_ID],FMS_Input[REMLWC100])</f>
        <v>0</v>
      </c>
      <c r="AW849" s="264">
        <f>_xlfn.XLOOKUP(FMS_Ranking4[[#This Row],[FMS ID]],FMS_Input[FMS_ID],FMS_Input[REMROADCLS])</f>
        <v>0</v>
      </c>
      <c r="AX849" s="264">
        <f>_xlfn.XLOOKUP(FMS_Ranking4[[#This Row],[FMS ID]],FMS_Input[FMS_ID],FMS_Input[REMFRMACRE100])</f>
        <v>0</v>
      </c>
      <c r="AY849" s="258">
        <f>_xlfn.XLOOKUP(FMS_Ranking4[[#This Row],[FMS ID]],FMS_Input[FMS_ID],FMS_Input[COSTSTRUCT])</f>
        <v>0</v>
      </c>
      <c r="AZ849" s="258">
        <f>_xlfn.XLOOKUP(FMS_Ranking4[[#This Row],[FMS ID]],FMS_Input[FMS_ID],FMS_Input[NATURE])</f>
        <v>0</v>
      </c>
      <c r="BA849" s="290">
        <f>(((FMS_Ranking4[[#This Row],[% NBS Raw]]/AZ$4)*100)*AZ$5)</f>
        <v>0</v>
      </c>
      <c r="BB849" s="251" t="str">
        <f>_xlfn.XLOOKUP(FMS_Ranking4[[#This Row],[FMS ID]],FMS_Input[FMS_ID],FMS_Input[WATER_SUP])</f>
        <v>No</v>
      </c>
      <c r="BC849" s="265">
        <f>IF(FMS_Ranking4[[#This Row],[Water Supply Raw]]="Yes",10,0)</f>
        <v>0</v>
      </c>
      <c r="BD849" s="251">
        <f>_xlfn.XLOOKUP(FMS_Ranking4[[#This Row],[FMS Type]],FMS_TYPE[FMS_Type],FMS_TYPE[Score])</f>
        <v>6</v>
      </c>
      <c r="BE849" s="267">
        <f>FMS_Ranking4[[#This Row],[FMS_Type Score]]*$BD$5*10</f>
        <v>1.5000000000000002</v>
      </c>
      <c r="BF849"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49" s="321">
        <f>_xlfn.RANK.EQ(BF849,$BF$8:$BF$870,0)+COUNTIF($BF$8:BF849,BF849)-1</f>
        <v>845</v>
      </c>
      <c r="BH849" s="294">
        <f>(((FMS_Ranking4[[#This Row],[Structures Removed Raw]]/AK$4)*100)*AK$5)+(((FMS_Ranking4[[#This Row],[Removed Pop Raw]]/AR$4)*100)*AR$5)</f>
        <v>0</v>
      </c>
      <c r="BI84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1.5000000000000002</v>
      </c>
      <c r="BJ849" s="296">
        <f>_xlfn.RANK.EQ(FMS_Ranking4[[#This Row],[Total Score 
(with linear
normalization)]],FMS_Ranking4[Total Score 
(with linear
normalization)],0)</f>
        <v>611</v>
      </c>
      <c r="BK849" s="292" t="e">
        <f>_xlfn.XLOOKUP(FMS_Ranking4[[#This Row],[FMS ID]],#REF!,#REF!)</f>
        <v>#REF!</v>
      </c>
      <c r="BL849"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49" s="298">
        <f>FMS_Ranking4[[#This Row],[ArcSinh Score Based on Normalized Reported Factors]]+FMS_Ranking4[[#This Row],[% NBS Score (Normalized)]]+(FMS_Ranking4[[#This Row],[Water Supply Score (Normalized)]]*10*$BB$5)+FMS_Ranking4[[#This Row],[FMS_Type Score Weighted]]</f>
        <v>1.5000000000000002</v>
      </c>
      <c r="BN849" s="323">
        <f>_xlfn.RANK.EQ(FMS_Ranking4[[#This Row],[Total Score (with ArcSinh normalization of select criteria)]],FMS_Ranking4[Total Score (with ArcSinh normalization of select criteria)],0)</f>
        <v>841</v>
      </c>
      <c r="BO849" s="270" t="str">
        <f>_xlfn.XLOOKUP(FMS_Ranking4[[#This Row],[FMS ID]],FMS_Input[FMS_ID],FMS_Input[FMS_RANK_YEAR])</f>
        <v>2023 Amended Plan</v>
      </c>
      <c r="BP849" s="204">
        <f>_xlfn.XLOOKUP(FMS_Ranking4[[#This Row],[FMS ID]],Prev_Rank[FMS ID],Prev_Rank[Prev Rank])</f>
        <v>758</v>
      </c>
      <c r="BQ849" s="265" t="e">
        <f>_xlfn.XLOOKUP(FMS_Ranking4[[#This Row],[FMS ID]],#REF!,#REF!)</f>
        <v>#REF!</v>
      </c>
      <c r="BR849" s="199" t="e">
        <f>SUM(#REF!,#REF!,#REF!,#REF!,#REF!,#REF!,#REF!,#REF!,#REF!,FMS_Ranking4[[#This Row],[ArcSinh Res struct removed 0-10]],#REF!)</f>
        <v>#REF!</v>
      </c>
      <c r="BS849" s="199" t="e">
        <f>FMS_Ranking4[[#This Row],[Log Score Based on Normalized Reported Factors]]+FMS_Ranking4[[#This Row],[% NBS Score (Normalized)]]+(FMS_Ranking4[[#This Row],[Water Supply Score (Normalized)]]*10*$BB$5)+(FMS_Ranking4[[#This Row],[FMS_Type Score Weighted]])</f>
        <v>#REF!</v>
      </c>
      <c r="BT849" s="200" t="e">
        <f>_xlfn.RANK.EQ(FMS_Ranking4[[#This Row],[Log Total Score]],FMS_Ranking4[Log Total Score],0)</f>
        <v>#REF!</v>
      </c>
      <c r="BU849" s="200" t="e">
        <f>_xlfn.XLOOKUP(FMS_Ranking4[[#This Row],[FMS ID]],#REF!,#REF!)</f>
        <v>#REF!</v>
      </c>
      <c r="BV849" s="200">
        <f>FMS_Ranking4[[#This Row],[Region Number]]</f>
        <v>6</v>
      </c>
      <c r="BW849" s="200">
        <f>FMS_Ranking4[[#This Row],[Rank (with ArcSinh normalization of select criteria)]]-FMS_Ranking4[[#This Row],[Rank
(with linear
normalization)]]</f>
        <v>230</v>
      </c>
      <c r="BX849" s="200" t="e">
        <f>FMS_Ranking4[[#This Row],[Log Rank]]-FMS_Ranking4[[#This Row],[Rank
(with linear
normalization)]]</f>
        <v>#REF!</v>
      </c>
      <c r="BY849" s="200" t="str">
        <f>IF(FMS_Ranking4[[#This Row],[FMS Type]]="Flood Measurement and Warning",FMS_Ranking4[[#This Row],[Rank (with ArcSinh normalization of select criteria)]],"")</f>
        <v/>
      </c>
      <c r="BZ849" s="200" t="str">
        <f>IF(FMS_Ranking4[[#This Row],[FMS Type]]="Regulatory and Guidance",FMS_Ranking4[[#This Row],[Rank (with ArcSinh normalization of select criteria)]],"")</f>
        <v/>
      </c>
      <c r="CA849" s="200">
        <f>IF(FMS_Ranking4[[#This Row],[FMS Type]]="Education and Outreach",FMS_Ranking4[[#This Row],[Rank (with ArcSinh normalization of select criteria)]],"")</f>
        <v>841</v>
      </c>
      <c r="CB849" s="200" t="str">
        <f>IF(FMS_Ranking4[[#This Row],[FMS Type]]="Property Acquisition and Structural Elevation",FMS_Ranking4[[#This Row],[Rank (with ArcSinh normalization of select criteria)]],"")</f>
        <v/>
      </c>
      <c r="CC849" s="200" t="str">
        <f>IF(FMS_Ranking4[[#This Row],[FMS Type]]="Infrastructure Projects",FMS_Ranking4[[#This Row],[Rank (with ArcSinh normalization of select criteria)]],"")</f>
        <v/>
      </c>
      <c r="CD849" s="200" t="str">
        <f>IF(FMS_Ranking4[[#This Row],[FMS Type]]="Other",FMS_Ranking4[[#This Row],[Rank (with ArcSinh normalization of select criteria)]],"")</f>
        <v/>
      </c>
    </row>
    <row r="850" spans="2:82" ht="105" x14ac:dyDescent="0.25">
      <c r="B850" s="342" t="s">
        <v>2811</v>
      </c>
      <c r="C850" s="287">
        <f>_xlfn.XLOOKUP(FMS_Ranking4[[#This Row],[FMS ID]],FMS_Input[FMS_ID],FMS_Input[RFPG_NUM])</f>
        <v>5</v>
      </c>
      <c r="D850" s="309" t="str">
        <f>_xlfn.XLOOKUP(FMS_Ranking4[[#This Row],[FMS ID]],FMS_Input[FMS_ID],FMS_Input[FMS_NAME])</f>
        <v>City of Daisetta Culvert Maintenance and Upgrades</v>
      </c>
      <c r="E850" s="322" t="str">
        <f>_xlfn.XLOOKUP(FMS_Ranking4[[#This Row],[FMS ID]],FMS_Input[FMS_ID],FMS_Input[SPONSOR])</f>
        <v>05002480</v>
      </c>
      <c r="F850" s="309" t="str">
        <f>_xlfn.XLOOKUP(FMS_Ranking4[[#This Row],[FMS ID]],Sponsor[FMS_ID],Sponsor[SPONSOR NAME])</f>
        <v>Daisetta</v>
      </c>
      <c r="G850" s="309" t="str">
        <f>_xlfn.XLOOKUP(FMS_Ranking4[[#This Row],[FMS ID]],FMS_Input[FMS_ID],FMS_Input[FMS_DESCR])</f>
        <v>Removal of debris, silt and vegetation obstacles in drainage ways. Project will clear obstacles, mow and reshape ditches, and upgrade culverts to restore adequate drainage to mitigate flooding.</v>
      </c>
      <c r="H850" s="247" t="str">
        <f>_xlfn.XLOOKUP(FMS_Ranking4[[#This Row],[FMS ID]],FMS_Input[FMS_ID],FMS_Input[FMS_TYPE])</f>
        <v>Infrastructure Projects</v>
      </c>
      <c r="I850" s="288">
        <f>_xlfn.XLOOKUP(FMS_Ranking4[[#This Row],[FMS ID]],FMS_Input[FMS_ID],FMS_Input[NRNC_COST])</f>
        <v>100000</v>
      </c>
      <c r="J850" s="250">
        <f>_xlfn.XLOOKUP(FMS_Ranking4[[#This Row],[FMS ID]],FMS_Input[FMS_ID],FMS_Input[FMS_COST])</f>
        <v>1000000</v>
      </c>
      <c r="K850" s="289" t="str">
        <f>_xlfn.XLOOKUP(FMS_Ranking4[[#This Row],[FMS ID]],FMS_Input[FMS_ID],FMS_Input[EMER_NEED])</f>
        <v>Yes</v>
      </c>
      <c r="L850" s="252">
        <f t="shared" si="13"/>
        <v>1</v>
      </c>
      <c r="M850" s="253">
        <f>_xlfn.XLOOKUP(FMS_Ranking4[[#This Row],[FMS ID]],FMS_Input[FMS_ID],FMS_Input[STRUCT_100])</f>
        <v>0</v>
      </c>
      <c r="N850" s="255">
        <f>(ASINH(FMS_Ranking4[[#This Row],[Structure at Risk Raw]]))*(10)/(ASINH(M$4))</f>
        <v>0</v>
      </c>
      <c r="O850" s="255">
        <f>FMS_Ranking4[[#This Row],[Structures at risk, ArcSinh (0-10)]]*M$5*10</f>
        <v>0</v>
      </c>
      <c r="P850" s="259">
        <f>_xlfn.XLOOKUP(FMS_Ranking4[[#This Row],[FMS ID]],FMS_Input[FMS_ID],FMS_Input[RES_STRUCT100])</f>
        <v>0</v>
      </c>
      <c r="Q850" s="257">
        <f>ASINH(FMS_Ranking4[[#This Row],[Res Structure Raw]])/Q$4*P$5*100</f>
        <v>0</v>
      </c>
      <c r="R850" s="259">
        <f>_xlfn.XLOOKUP(FMS_Ranking4[[#This Row],[FMS ID]],FMS_Input[FMS_ID],FMS_Input[POP100])</f>
        <v>0</v>
      </c>
      <c r="S850" s="255">
        <f>(ASINH(FMS_Ranking4[[#This Row],[Pop at Risk Raw]]))*(10)/(ASINH(R$4))</f>
        <v>0</v>
      </c>
      <c r="T850" s="257">
        <f>FMS_Ranking4[[#This Row],[Population at risk, ArcSinh (0-10)]]*R$5*10</f>
        <v>0</v>
      </c>
      <c r="U850" s="259">
        <f>_xlfn.XLOOKUP(FMS_Ranking4[[#This Row],[FMS ID]],FMS_Input[FMS_ID],FMS_Input[CRITFAC100])</f>
        <v>0</v>
      </c>
      <c r="V850" s="255">
        <f>(ASINH(FMS_Ranking4[[#This Row],[Critical Facilities Raw]]))*(10)/(ASINH(U$4))</f>
        <v>0</v>
      </c>
      <c r="W850" s="257">
        <f>FMS_Ranking4[[#This Row],[Critical facilities at risk, ArcSinh (0-10)]]*U$5*10</f>
        <v>0</v>
      </c>
      <c r="X850" s="259">
        <f>_xlfn.XLOOKUP(FMS_Ranking4[[#This Row],[FMS ID]],FMS_Input[FMS_ID],FMS_Input[LWC])</f>
        <v>0</v>
      </c>
      <c r="Y850" s="255">
        <f>(ASINH(FMS_Ranking4[[#This Row],[LWC Raw]]))*(10)/(ASINH(X$4))</f>
        <v>0</v>
      </c>
      <c r="Z850" s="257">
        <f>FMS_Ranking4[[#This Row],[LWC, ArcSInh (0-10)]]*X$5*10</f>
        <v>0</v>
      </c>
      <c r="AA850" s="259">
        <f>_xlfn.XLOOKUP(FMS_Ranking4[[#This Row],[FMS ID]],FMS_Input[FMS_ID],FMS_Input[ROADCLS])</f>
        <v>0</v>
      </c>
      <c r="AB850" s="255">
        <f>(ASINH(FMS_Ranking4[[#This Row],[Road Closures Raw]]))*(10)/(ASINH(AA$4))</f>
        <v>0</v>
      </c>
      <c r="AC850" s="255">
        <f>FMS_Ranking4[[#This Row],[Road closures, ArcSinh (0-10)]]*AA$5*10</f>
        <v>0</v>
      </c>
      <c r="AD850" s="259">
        <f>_xlfn.XLOOKUP(FMS_Ranking4[[#This Row],[FMS ID]],FMS_Input[FMS_ID],FMS_Input[ROAD_MILES100])</f>
        <v>0</v>
      </c>
      <c r="AE850" s="255">
        <f>(ASINH(FMS_Ranking4[[#This Row],[Road Miles Raw]]))*(10)/(ASINH(AD$4))</f>
        <v>0</v>
      </c>
      <c r="AF850" s="257">
        <f>FMS_Ranking4[[#This Row],[Length of roads at risk, ArcSinh (0-10)]]*AD$5*10</f>
        <v>0</v>
      </c>
      <c r="AG850" s="259">
        <f>_xlfn.XLOOKUP(FMS_Ranking4[[#This Row],[FMS ID]],FMS_Input[FMS_ID],FMS_Input[FARMACRE100])</f>
        <v>0.42639347910881042</v>
      </c>
      <c r="AH850" s="255">
        <f>(ASINH(FMS_Ranking4[[#This Row],[Ag Land Raw]]))*(10)/(ASINH(AG$4))</f>
        <v>0.26920483679023655</v>
      </c>
      <c r="AI850" s="254">
        <f>FMS_Ranking4[[#This Row],[Farm &amp; ranch land, ArcSinh (0-10)]]*AG$5*10</f>
        <v>0.13460241839511827</v>
      </c>
      <c r="AJ850" s="258">
        <f>_xlfn.XLOOKUP(FMS_Ranking4[[#This Row],[FMS ID]],FMS_Input[FMS_ID],FMS_Input[REDSTRUCT100])</f>
        <v>0</v>
      </c>
      <c r="AK850" s="253">
        <f>_xlfn.XLOOKUP(FMS_Ranking4[[#This Row],[FMS ID]],FMS_Input[FMS_ID],FMS_Input[REMSTRC100])</f>
        <v>0</v>
      </c>
      <c r="AL850" s="255">
        <f>(ASINH(FMS_Ranking4[[#This Row],[Structures Removed Raw]]))*(10)/(ASINH(AK$4))</f>
        <v>0</v>
      </c>
      <c r="AM850" s="254">
        <f>FMS_Ranking4[[#This Row],[Structures removed, ArcSinh (0-10)]]*AK$5*10</f>
        <v>0</v>
      </c>
      <c r="AN850" s="253">
        <f>_xlfn.XLOOKUP(FMS_Ranking4[[#This Row],[FMS ID]],FMS_Input[FMS_ID],FMS_Input[REMRESSTRC100])</f>
        <v>0</v>
      </c>
      <c r="AO850" s="258">
        <f>FMS_Ranking4[[#This Row],[ArcSinh Res struct removed 0-10]]*AN$5*10</f>
        <v>0</v>
      </c>
      <c r="AP850" s="254">
        <f>ASINH(FMS_Ranking4[[#This Row],[Residential Structures Removed Raw]])/AP$4*AN$5*100</f>
        <v>0</v>
      </c>
      <c r="AQ850" s="261">
        <f>(ASINH(FMS_Ranking4[[#This Row],[Residential Structures Removed Raw]]))*(10)/(ASINH(AN$4))</f>
        <v>0</v>
      </c>
      <c r="AR850" s="253">
        <f>_xlfn.XLOOKUP(FMS_Ranking4[[#This Row],[FMS ID]],FMS_Input[FMS_ID],FMS_Input[REMPOP100])</f>
        <v>0</v>
      </c>
      <c r="AS850" s="255">
        <f>(ASINH(FMS_Ranking4[[#This Row],[Removed Pop Raw]]))*(10)/(ASINH(AR$4))</f>
        <v>0</v>
      </c>
      <c r="AT850" s="263">
        <f>FMS_Ranking4[[#This Row],[Removed population, ArcSinh (0-10)]]*AR$5*10</f>
        <v>0</v>
      </c>
      <c r="AU850" s="264">
        <f>_xlfn.XLOOKUP(FMS_Ranking4[[#This Row],[FMS ID]],FMS_Input[FMS_ID],FMS_Input[REMCRITFAC100])</f>
        <v>0</v>
      </c>
      <c r="AV850" s="264">
        <f>_xlfn.XLOOKUP(FMS_Ranking4[[#This Row],[FMS ID]],FMS_Input[FMS_ID],FMS_Input[REMLWC100])</f>
        <v>0</v>
      </c>
      <c r="AW850" s="264">
        <f>_xlfn.XLOOKUP(FMS_Ranking4[[#This Row],[FMS ID]],FMS_Input[FMS_ID],FMS_Input[REMROADCLS])</f>
        <v>0</v>
      </c>
      <c r="AX850" s="264">
        <f>_xlfn.XLOOKUP(FMS_Ranking4[[#This Row],[FMS ID]],FMS_Input[FMS_ID],FMS_Input[REMFRMACRE100])</f>
        <v>0</v>
      </c>
      <c r="AY850" s="258">
        <f>_xlfn.XLOOKUP(FMS_Ranking4[[#This Row],[FMS ID]],FMS_Input[FMS_ID],FMS_Input[COSTSTRUCT])</f>
        <v>0</v>
      </c>
      <c r="AZ850" s="258">
        <f>_xlfn.XLOOKUP(FMS_Ranking4[[#This Row],[FMS ID]],FMS_Input[FMS_ID],FMS_Input[NATURE])</f>
        <v>0</v>
      </c>
      <c r="BA850" s="290">
        <f>(((FMS_Ranking4[[#This Row],[% NBS Raw]]/AZ$4)*100)*AZ$5)</f>
        <v>0</v>
      </c>
      <c r="BB850" s="251" t="str">
        <f>_xlfn.XLOOKUP(FMS_Ranking4[[#This Row],[FMS ID]],FMS_Input[FMS_ID],FMS_Input[WATER_SUP])</f>
        <v>No</v>
      </c>
      <c r="BC850" s="265">
        <f>IF(FMS_Ranking4[[#This Row],[Water Supply Raw]]="Yes",10,0)</f>
        <v>0</v>
      </c>
      <c r="BD850" s="251">
        <f>_xlfn.XLOOKUP(FMS_Ranking4[[#This Row],[FMS Type]],FMS_TYPE[FMS_Type],FMS_TYPE[Score])</f>
        <v>4</v>
      </c>
      <c r="BE850" s="267">
        <f>FMS_Ranking4[[#This Row],[FMS_Type Score]]*$BD$5*10</f>
        <v>1</v>
      </c>
      <c r="BF850"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8.7912791632324791E-7</v>
      </c>
      <c r="BG850" s="321">
        <f>_xlfn.RANK.EQ(BF850,$BF$8:$BF$870,0)+COUNTIF($BF$8:BF850,BF850)-1</f>
        <v>804</v>
      </c>
      <c r="BH850" s="294">
        <f>(((FMS_Ranking4[[#This Row],[Structures Removed Raw]]/AK$4)*100)*AK$5)+(((FMS_Ranking4[[#This Row],[Removed Pop Raw]]/AR$4)*100)*AR$5)</f>
        <v>0</v>
      </c>
      <c r="BI85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1.0000008791279162</v>
      </c>
      <c r="BJ850" s="296">
        <f>_xlfn.RANK.EQ(FMS_Ranking4[[#This Row],[Total Score 
(with linear
normalization)]],FMS_Ranking4[Total Score 
(with linear
normalization)],0)</f>
        <v>750</v>
      </c>
      <c r="BK850" s="292" t="e">
        <f>_xlfn.XLOOKUP(FMS_Ranking4[[#This Row],[FMS ID]],#REF!,#REF!)</f>
        <v>#REF!</v>
      </c>
      <c r="BL850"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0.13460241839511827</v>
      </c>
      <c r="BM850" s="298">
        <f>FMS_Ranking4[[#This Row],[ArcSinh Score Based on Normalized Reported Factors]]+FMS_Ranking4[[#This Row],[% NBS Score (Normalized)]]+(FMS_Ranking4[[#This Row],[Water Supply Score (Normalized)]]*10*$BB$5)+FMS_Ranking4[[#This Row],[FMS_Type Score Weighted]]</f>
        <v>1.1346024183951182</v>
      </c>
      <c r="BN850" s="323">
        <f>_xlfn.RANK.EQ(FMS_Ranking4[[#This Row],[Total Score (with ArcSinh normalization of select criteria)]],FMS_Ranking4[Total Score (with ArcSinh normalization of select criteria)],0)</f>
        <v>843</v>
      </c>
      <c r="BO850" s="270" t="str">
        <f>_xlfn.XLOOKUP(FMS_Ranking4[[#This Row],[FMS ID]],FMS_Input[FMS_ID],FMS_Input[FMS_RANK_YEAR])</f>
        <v>2023 Amended Plan</v>
      </c>
      <c r="BP850" s="204">
        <f>_xlfn.XLOOKUP(FMS_Ranking4[[#This Row],[FMS ID]],Prev_Rank[FMS ID],Prev_Rank[Prev Rank])</f>
        <v>759</v>
      </c>
      <c r="BQ850" s="265" t="e">
        <f>_xlfn.XLOOKUP(FMS_Ranking4[[#This Row],[FMS ID]],#REF!,#REF!)</f>
        <v>#REF!</v>
      </c>
      <c r="BR850" s="199" t="e">
        <f>SUM(#REF!,#REF!,#REF!,#REF!,#REF!,#REF!,#REF!,#REF!,#REF!,FMS_Ranking4[[#This Row],[ArcSinh Res struct removed 0-10]],#REF!)</f>
        <v>#REF!</v>
      </c>
      <c r="BS850" s="199" t="e">
        <f>FMS_Ranking4[[#This Row],[Log Score Based on Normalized Reported Factors]]+FMS_Ranking4[[#This Row],[% NBS Score (Normalized)]]+(FMS_Ranking4[[#This Row],[Water Supply Score (Normalized)]]*10*$BB$5)+(FMS_Ranking4[[#This Row],[FMS_Type Score Weighted]])</f>
        <v>#REF!</v>
      </c>
      <c r="BT850" s="200" t="e">
        <f>_xlfn.RANK.EQ(FMS_Ranking4[[#This Row],[Log Total Score]],FMS_Ranking4[Log Total Score],0)</f>
        <v>#REF!</v>
      </c>
      <c r="BU850" s="200" t="e">
        <f>_xlfn.XLOOKUP(FMS_Ranking4[[#This Row],[FMS ID]],#REF!,#REF!)</f>
        <v>#REF!</v>
      </c>
      <c r="BV850" s="200">
        <f>FMS_Ranking4[[#This Row],[Region Number]]</f>
        <v>5</v>
      </c>
      <c r="BW850" s="200">
        <f>FMS_Ranking4[[#This Row],[Rank (with ArcSinh normalization of select criteria)]]-FMS_Ranking4[[#This Row],[Rank
(with linear
normalization)]]</f>
        <v>93</v>
      </c>
      <c r="BX850" s="200" t="e">
        <f>FMS_Ranking4[[#This Row],[Log Rank]]-FMS_Ranking4[[#This Row],[Rank
(with linear
normalization)]]</f>
        <v>#REF!</v>
      </c>
      <c r="BY850" s="200" t="str">
        <f>IF(FMS_Ranking4[[#This Row],[FMS Type]]="Flood Measurement and Warning",FMS_Ranking4[[#This Row],[Rank (with ArcSinh normalization of select criteria)]],"")</f>
        <v/>
      </c>
      <c r="BZ850" s="200" t="str">
        <f>IF(FMS_Ranking4[[#This Row],[FMS Type]]="Regulatory and Guidance",FMS_Ranking4[[#This Row],[Rank (with ArcSinh normalization of select criteria)]],"")</f>
        <v/>
      </c>
      <c r="CA850" s="200" t="str">
        <f>IF(FMS_Ranking4[[#This Row],[FMS Type]]="Education and Outreach",FMS_Ranking4[[#This Row],[Rank (with ArcSinh normalization of select criteria)]],"")</f>
        <v/>
      </c>
      <c r="CB850" s="200" t="str">
        <f>IF(FMS_Ranking4[[#This Row],[FMS Type]]="Property Acquisition and Structural Elevation",FMS_Ranking4[[#This Row],[Rank (with ArcSinh normalization of select criteria)]],"")</f>
        <v/>
      </c>
      <c r="CC850" s="200">
        <f>IF(FMS_Ranking4[[#This Row],[FMS Type]]="Infrastructure Projects",FMS_Ranking4[[#This Row],[Rank (with ArcSinh normalization of select criteria)]],"")</f>
        <v>843</v>
      </c>
      <c r="CD850" s="200" t="str">
        <f>IF(FMS_Ranking4[[#This Row],[FMS Type]]="Other",FMS_Ranking4[[#This Row],[Rank (with ArcSinh normalization of select criteria)]],"")</f>
        <v/>
      </c>
    </row>
    <row r="851" spans="2:82" ht="45" x14ac:dyDescent="0.25">
      <c r="B851" s="342" t="s">
        <v>2866</v>
      </c>
      <c r="C851" s="287">
        <f>_xlfn.XLOOKUP(FMS_Ranking4[[#This Row],[FMS ID]],FMS_Input[FMS_ID],FMS_Input[RFPG_NUM])</f>
        <v>5</v>
      </c>
      <c r="D851" s="309" t="str">
        <f>_xlfn.XLOOKUP(FMS_Ranking4[[#This Row],[FMS ID]],FMS_Input[FMS_ID],FMS_Input[FMS_NAME])</f>
        <v>City of Frankston Culvert Improvements</v>
      </c>
      <c r="E851" s="322" t="str">
        <f>_xlfn.XLOOKUP(FMS_Ranking4[[#This Row],[FMS ID]],FMS_Input[FMS_ID],FMS_Input[SPONSOR])</f>
        <v>05003405</v>
      </c>
      <c r="F851" s="309" t="str">
        <f>_xlfn.XLOOKUP(FMS_Ranking4[[#This Row],[FMS ID]],Sponsor[FMS_ID],Sponsor[SPONSOR NAME])</f>
        <v>Frankston</v>
      </c>
      <c r="G851" s="309" t="str">
        <f>_xlfn.XLOOKUP(FMS_Ranking4[[#This Row],[FMS ID]],FMS_Input[FMS_ID],FMS_Input[FMS_DESCR])</f>
        <v>Develop plan to increase drainage capacity in sites that are prone to flooding.</v>
      </c>
      <c r="H851" s="247" t="str">
        <f>_xlfn.XLOOKUP(FMS_Ranking4[[#This Row],[FMS ID]],FMS_Input[FMS_ID],FMS_Input[FMS_TYPE])</f>
        <v>Infrastructure Projects</v>
      </c>
      <c r="I851" s="288">
        <f>_xlfn.XLOOKUP(FMS_Ranking4[[#This Row],[FMS ID]],FMS_Input[FMS_ID],FMS_Input[NRNC_COST])</f>
        <v>100000</v>
      </c>
      <c r="J851" s="250">
        <f>_xlfn.XLOOKUP(FMS_Ranking4[[#This Row],[FMS ID]],FMS_Input[FMS_ID],FMS_Input[FMS_COST])</f>
        <v>1000000</v>
      </c>
      <c r="K851" s="289" t="str">
        <f>_xlfn.XLOOKUP(FMS_Ranking4[[#This Row],[FMS ID]],FMS_Input[FMS_ID],FMS_Input[EMER_NEED])</f>
        <v>Yes</v>
      </c>
      <c r="L851" s="252">
        <f t="shared" si="13"/>
        <v>1</v>
      </c>
      <c r="M851" s="253">
        <f>_xlfn.XLOOKUP(FMS_Ranking4[[#This Row],[FMS ID]],FMS_Input[FMS_ID],FMS_Input[STRUCT_100])</f>
        <v>0</v>
      </c>
      <c r="N851" s="255">
        <f>(ASINH(FMS_Ranking4[[#This Row],[Structure at Risk Raw]]))*(10)/(ASINH(M$4))</f>
        <v>0</v>
      </c>
      <c r="O851" s="255">
        <f>FMS_Ranking4[[#This Row],[Structures at risk, ArcSinh (0-10)]]*M$5*10</f>
        <v>0</v>
      </c>
      <c r="P851" s="259">
        <f>_xlfn.XLOOKUP(FMS_Ranking4[[#This Row],[FMS ID]],FMS_Input[FMS_ID],FMS_Input[RES_STRUCT100])</f>
        <v>0</v>
      </c>
      <c r="Q851" s="257">
        <f>ASINH(FMS_Ranking4[[#This Row],[Res Structure Raw]])/Q$4*P$5*100</f>
        <v>0</v>
      </c>
      <c r="R851" s="259">
        <f>_xlfn.XLOOKUP(FMS_Ranking4[[#This Row],[FMS ID]],FMS_Input[FMS_ID],FMS_Input[POP100])</f>
        <v>0</v>
      </c>
      <c r="S851" s="259">
        <f>(ASINH(FMS_Ranking4[[#This Row],[Pop at Risk Raw]]))*(10)/(ASINH(R$4))</f>
        <v>0</v>
      </c>
      <c r="T851" s="257">
        <f>FMS_Ranking4[[#This Row],[Population at risk, ArcSinh (0-10)]]*R$5*10</f>
        <v>0</v>
      </c>
      <c r="U851" s="259">
        <f>_xlfn.XLOOKUP(FMS_Ranking4[[#This Row],[FMS ID]],FMS_Input[FMS_ID],FMS_Input[CRITFAC100])</f>
        <v>0</v>
      </c>
      <c r="V851" s="259">
        <f>(ASINH(FMS_Ranking4[[#This Row],[Critical Facilities Raw]]))*(10)/(ASINH(U$4))</f>
        <v>0</v>
      </c>
      <c r="W851" s="257">
        <f>FMS_Ranking4[[#This Row],[Critical facilities at risk, ArcSinh (0-10)]]*U$5*10</f>
        <v>0</v>
      </c>
      <c r="X851" s="259">
        <f>_xlfn.XLOOKUP(FMS_Ranking4[[#This Row],[FMS ID]],FMS_Input[FMS_ID],FMS_Input[LWC])</f>
        <v>0</v>
      </c>
      <c r="Y851" s="259">
        <f>(ASINH(FMS_Ranking4[[#This Row],[LWC Raw]]))*(10)/(ASINH(X$4))</f>
        <v>0</v>
      </c>
      <c r="Z851" s="257">
        <f>FMS_Ranking4[[#This Row],[LWC, ArcSInh (0-10)]]*X$5*10</f>
        <v>0</v>
      </c>
      <c r="AA851" s="259">
        <f>_xlfn.XLOOKUP(FMS_Ranking4[[#This Row],[FMS ID]],FMS_Input[FMS_ID],FMS_Input[ROADCLS])</f>
        <v>0</v>
      </c>
      <c r="AB851" s="255">
        <f>(ASINH(FMS_Ranking4[[#This Row],[Road Closures Raw]]))*(10)/(ASINH(AA$4))</f>
        <v>0</v>
      </c>
      <c r="AC851" s="255">
        <f>FMS_Ranking4[[#This Row],[Road closures, ArcSinh (0-10)]]*AA$5*10</f>
        <v>0</v>
      </c>
      <c r="AD851" s="259">
        <f>_xlfn.XLOOKUP(FMS_Ranking4[[#This Row],[FMS ID]],FMS_Input[FMS_ID],FMS_Input[ROAD_MILES100])</f>
        <v>0</v>
      </c>
      <c r="AE851" s="259">
        <f>(ASINH(FMS_Ranking4[[#This Row],[Road Miles Raw]]))*(10)/(ASINH(AD$4))</f>
        <v>0</v>
      </c>
      <c r="AF851" s="257">
        <f>FMS_Ranking4[[#This Row],[Length of roads at risk, ArcSinh (0-10)]]*AD$5*10</f>
        <v>0</v>
      </c>
      <c r="AG851" s="259">
        <f>_xlfn.XLOOKUP(FMS_Ranking4[[#This Row],[FMS ID]],FMS_Input[FMS_ID],FMS_Input[FARMACRE100])</f>
        <v>0.17298674583435061</v>
      </c>
      <c r="AH851" s="255">
        <f>(ASINH(FMS_Ranking4[[#This Row],[Ag Land Raw]]))*(10)/(ASINH(AG$4))</f>
        <v>0.11181597018005954</v>
      </c>
      <c r="AI851" s="254">
        <f>FMS_Ranking4[[#This Row],[Farm &amp; ranch land, ArcSinh (0-10)]]*AG$5*10</f>
        <v>5.5907985090029769E-2</v>
      </c>
      <c r="AJ851" s="258">
        <f>_xlfn.XLOOKUP(FMS_Ranking4[[#This Row],[FMS ID]],FMS_Input[FMS_ID],FMS_Input[REDSTRUCT100])</f>
        <v>0</v>
      </c>
      <c r="AK851" s="253">
        <f>_xlfn.XLOOKUP(FMS_Ranking4[[#This Row],[FMS ID]],FMS_Input[FMS_ID],FMS_Input[REMSTRC100])</f>
        <v>0</v>
      </c>
      <c r="AL851" s="259">
        <f>(ASINH(FMS_Ranking4[[#This Row],[Structures Removed Raw]]))*(10)/(ASINH(AK$4))</f>
        <v>0</v>
      </c>
      <c r="AM851" s="254">
        <f>FMS_Ranking4[[#This Row],[Structures removed, ArcSinh (0-10)]]*AK$5*10</f>
        <v>0</v>
      </c>
      <c r="AN851" s="253">
        <f>_xlfn.XLOOKUP(FMS_Ranking4[[#This Row],[FMS ID]],FMS_Input[FMS_ID],FMS_Input[REMRESSTRC100])</f>
        <v>0</v>
      </c>
      <c r="AO851" s="258">
        <f>FMS_Ranking4[[#This Row],[ArcSinh Res struct removed 0-10]]*AN$5*10</f>
        <v>0</v>
      </c>
      <c r="AP851" s="254">
        <f>ASINH(FMS_Ranking4[[#This Row],[Residential Structures Removed Raw]])/AP$4*AN$5*100</f>
        <v>0</v>
      </c>
      <c r="AQ851" s="260">
        <f>(ASINH(FMS_Ranking4[[#This Row],[Residential Structures Removed Raw]]))*(10)/(ASINH(AN$4))</f>
        <v>0</v>
      </c>
      <c r="AR851" s="253">
        <f>_xlfn.XLOOKUP(FMS_Ranking4[[#This Row],[FMS ID]],FMS_Input[FMS_ID],FMS_Input[REMPOP100])</f>
        <v>0</v>
      </c>
      <c r="AS851" s="259">
        <f>(ASINH(FMS_Ranking4[[#This Row],[Removed Pop Raw]]))*(10)/(ASINH(AR$4))</f>
        <v>0</v>
      </c>
      <c r="AT851" s="263">
        <f>FMS_Ranking4[[#This Row],[Removed population, ArcSinh (0-10)]]*AR$5*10</f>
        <v>0</v>
      </c>
      <c r="AU851" s="264">
        <f>_xlfn.XLOOKUP(FMS_Ranking4[[#This Row],[FMS ID]],FMS_Input[FMS_ID],FMS_Input[REMCRITFAC100])</f>
        <v>0</v>
      </c>
      <c r="AV851" s="264">
        <f>_xlfn.XLOOKUP(FMS_Ranking4[[#This Row],[FMS ID]],FMS_Input[FMS_ID],FMS_Input[REMLWC100])</f>
        <v>0</v>
      </c>
      <c r="AW851" s="264">
        <f>_xlfn.XLOOKUP(FMS_Ranking4[[#This Row],[FMS ID]],FMS_Input[FMS_ID],FMS_Input[REMROADCLS])</f>
        <v>0</v>
      </c>
      <c r="AX851" s="264">
        <f>_xlfn.XLOOKUP(FMS_Ranking4[[#This Row],[FMS ID]],FMS_Input[FMS_ID],FMS_Input[REMFRMACRE100])</f>
        <v>0</v>
      </c>
      <c r="AY851" s="258">
        <f>_xlfn.XLOOKUP(FMS_Ranking4[[#This Row],[FMS ID]],FMS_Input[FMS_ID],FMS_Input[COSTSTRUCT])</f>
        <v>0</v>
      </c>
      <c r="AZ851" s="258">
        <f>_xlfn.XLOOKUP(FMS_Ranking4[[#This Row],[FMS ID]],FMS_Input[FMS_ID],FMS_Input[NATURE])</f>
        <v>0</v>
      </c>
      <c r="BA851" s="290">
        <f>(((FMS_Ranking4[[#This Row],[% NBS Raw]]/AZ$4)*100)*AZ$5)</f>
        <v>0</v>
      </c>
      <c r="BB851" s="251" t="str">
        <f>_xlfn.XLOOKUP(FMS_Ranking4[[#This Row],[FMS ID]],FMS_Input[FMS_ID],FMS_Input[WATER_SUP])</f>
        <v>No</v>
      </c>
      <c r="BC851" s="265">
        <f>IF(FMS_Ranking4[[#This Row],[Water Supply Raw]]="Yes",10,0)</f>
        <v>0</v>
      </c>
      <c r="BD851" s="251">
        <f>_xlfn.XLOOKUP(FMS_Ranking4[[#This Row],[FMS Type]],FMS_TYPE[FMS_Type],FMS_TYPE[Score])</f>
        <v>4</v>
      </c>
      <c r="BE851" s="267">
        <f>FMS_Ranking4[[#This Row],[FMS_Type Score]]*$BD$5*10</f>
        <v>1</v>
      </c>
      <c r="BF851"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3.5665995112013341E-7</v>
      </c>
      <c r="BG851" s="271">
        <f>_xlfn.RANK.EQ(BF851,$BF$8:$BF$870,0)+COUNTIF($BF$8:BF851,BF851)-1</f>
        <v>811</v>
      </c>
      <c r="BH851" s="268">
        <f>(((FMS_Ranking4[[#This Row],[Structures Removed Raw]]/AK$4)*100)*AK$5)+(((FMS_Ranking4[[#This Row],[Removed Pop Raw]]/AR$4)*100)*AR$5)</f>
        <v>0</v>
      </c>
      <c r="BI851"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1.0000003566599511</v>
      </c>
      <c r="BJ851" s="325">
        <f>_xlfn.RANK.EQ(FMS_Ranking4[[#This Row],[Total Score 
(with linear
normalization)]],FMS_Ranking4[Total Score 
(with linear
normalization)],0)</f>
        <v>751</v>
      </c>
      <c r="BK851" s="327" t="e">
        <f>_xlfn.XLOOKUP(FMS_Ranking4[[#This Row],[FMS ID]],#REF!,#REF!)</f>
        <v>#REF!</v>
      </c>
      <c r="BL851"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5.5907985090029769E-2</v>
      </c>
      <c r="BM851" s="330">
        <f>FMS_Ranking4[[#This Row],[ArcSinh Score Based on Normalized Reported Factors]]+FMS_Ranking4[[#This Row],[% NBS Score (Normalized)]]+(FMS_Ranking4[[#This Row],[Water Supply Score (Normalized)]]*10*$BB$5)+FMS_Ranking4[[#This Row],[FMS_Type Score Weighted]]</f>
        <v>1.0559079850900297</v>
      </c>
      <c r="BN851" s="332">
        <f>_xlfn.RANK.EQ(FMS_Ranking4[[#This Row],[Total Score (with ArcSinh normalization of select criteria)]],FMS_Ranking4[Total Score (with ArcSinh normalization of select criteria)],0)</f>
        <v>844</v>
      </c>
      <c r="BO851" s="270" t="str">
        <f>_xlfn.XLOOKUP(FMS_Ranking4[[#This Row],[FMS ID]],FMS_Input[FMS_ID],FMS_Input[FMS_RANK_YEAR])</f>
        <v>2023 Amended Plan</v>
      </c>
      <c r="BP851" s="204">
        <f>_xlfn.XLOOKUP(FMS_Ranking4[[#This Row],[FMS ID]],Prev_Rank[FMS ID],Prev_Rank[Prev Rank])</f>
        <v>760</v>
      </c>
      <c r="BQ851" s="334" t="e">
        <f>_xlfn.XLOOKUP(FMS_Ranking4[[#This Row],[FMS ID]],#REF!,#REF!)</f>
        <v>#REF!</v>
      </c>
      <c r="BR851" s="199" t="e">
        <f>SUM(#REF!,#REF!,#REF!,#REF!,#REF!,#REF!,#REF!,#REF!,#REF!,FMS_Ranking4[[#This Row],[ArcSinh Res struct removed 0-10]],#REF!)</f>
        <v>#REF!</v>
      </c>
      <c r="BS851" s="199" t="e">
        <f>FMS_Ranking4[[#This Row],[Log Score Based on Normalized Reported Factors]]+FMS_Ranking4[[#This Row],[% NBS Score (Normalized)]]+(FMS_Ranking4[[#This Row],[Water Supply Score (Normalized)]]*10*$BB$5)+(FMS_Ranking4[[#This Row],[FMS_Type Score Weighted]])</f>
        <v>#REF!</v>
      </c>
      <c r="BT851" s="200" t="e">
        <f>_xlfn.RANK.EQ(FMS_Ranking4[[#This Row],[Log Total Score]],FMS_Ranking4[Log Total Score],0)</f>
        <v>#REF!</v>
      </c>
      <c r="BU851" s="200" t="e">
        <f>_xlfn.XLOOKUP(FMS_Ranking4[[#This Row],[FMS ID]],#REF!,#REF!)</f>
        <v>#REF!</v>
      </c>
      <c r="BV851" s="200">
        <f>FMS_Ranking4[[#This Row],[Region Number]]</f>
        <v>5</v>
      </c>
      <c r="BW851" s="200">
        <f>FMS_Ranking4[[#This Row],[Rank (with ArcSinh normalization of select criteria)]]-FMS_Ranking4[[#This Row],[Rank
(with linear
normalization)]]</f>
        <v>93</v>
      </c>
      <c r="BX851" s="200" t="e">
        <f>FMS_Ranking4[[#This Row],[Log Rank]]-FMS_Ranking4[[#This Row],[Rank
(with linear
normalization)]]</f>
        <v>#REF!</v>
      </c>
      <c r="BY851" s="200" t="str">
        <f>IF(FMS_Ranking4[[#This Row],[FMS Type]]="Flood Measurement and Warning",FMS_Ranking4[[#This Row],[Rank (with ArcSinh normalization of select criteria)]],"")</f>
        <v/>
      </c>
      <c r="BZ851" s="200" t="str">
        <f>IF(FMS_Ranking4[[#This Row],[FMS Type]]="Regulatory and Guidance",FMS_Ranking4[[#This Row],[Rank (with ArcSinh normalization of select criteria)]],"")</f>
        <v/>
      </c>
      <c r="CA851" s="200" t="str">
        <f>IF(FMS_Ranking4[[#This Row],[FMS Type]]="Education and Outreach",FMS_Ranking4[[#This Row],[Rank (with ArcSinh normalization of select criteria)]],"")</f>
        <v/>
      </c>
      <c r="CB851" s="200" t="str">
        <f>IF(FMS_Ranking4[[#This Row],[FMS Type]]="Property Acquisition and Structural Elevation",FMS_Ranking4[[#This Row],[Rank (with ArcSinh normalization of select criteria)]],"")</f>
        <v/>
      </c>
      <c r="CC851" s="200">
        <f>IF(FMS_Ranking4[[#This Row],[FMS Type]]="Infrastructure Projects",FMS_Ranking4[[#This Row],[Rank (with ArcSinh normalization of select criteria)]],"")</f>
        <v>844</v>
      </c>
      <c r="CD851" s="200" t="str">
        <f>IF(FMS_Ranking4[[#This Row],[FMS Type]]="Other",FMS_Ranking4[[#This Row],[Rank (with ArcSinh normalization of select criteria)]],"")</f>
        <v/>
      </c>
    </row>
    <row r="852" spans="2:82" ht="90" x14ac:dyDescent="0.25">
      <c r="B852" s="342" t="s">
        <v>12547</v>
      </c>
      <c r="C852" s="287">
        <f>_xlfn.XLOOKUP(FMS_Ranking4[[#This Row],[FMS ID]],FMS_Input[FMS_ID],FMS_Input[RFPG_NUM])</f>
        <v>8</v>
      </c>
      <c r="D852" s="309" t="str">
        <f>_xlfn.XLOOKUP(FMS_Ranking4[[#This Row],[FMS ID]],FMS_Input[FMS_ID],FMS_Input[FMS_NAME])</f>
        <v>Urban Storm System Assessment and Mapping</v>
      </c>
      <c r="E852" s="322" t="str">
        <f>_xlfn.XLOOKUP(FMS_Ranking4[[#This Row],[FMS ID]],FMS_Input[FMS_ID],FMS_Input[SPONSOR])</f>
        <v>08002914</v>
      </c>
      <c r="F852" s="309" t="str">
        <f>_xlfn.XLOOKUP(FMS_Ranking4[[#This Row],[FMS ID]],Sponsor[FMS_ID],Sponsor[SPONSOR NAME])</f>
        <v>Waco</v>
      </c>
      <c r="G852" s="309" t="str">
        <f>_xlfn.XLOOKUP(FMS_Ranking4[[#This Row],[FMS ID]],FMS_Input[FMS_ID],FMS_Input[FMS_DESCR])</f>
        <v>Assessment (includes cleaning and CCTV video) of the City's downtown urban storm system will allow evaluation and prioritization of storm infrastructure needs.</v>
      </c>
      <c r="H852" s="247" t="str">
        <f>_xlfn.XLOOKUP(FMS_Ranking4[[#This Row],[FMS ID]],FMS_Input[FMS_ID],FMS_Input[FMS_TYPE])</f>
        <v>Infrastructure Projects</v>
      </c>
      <c r="I852" s="288">
        <f>_xlfn.XLOOKUP(FMS_Ranking4[[#This Row],[FMS ID]],FMS_Input[FMS_ID],FMS_Input[NRNC_COST])</f>
        <v>1800000</v>
      </c>
      <c r="J852" s="250">
        <f>_xlfn.XLOOKUP(FMS_Ranking4[[#This Row],[FMS ID]],FMS_Input[FMS_ID],FMS_Input[FMS_COST])</f>
        <v>1800000</v>
      </c>
      <c r="K852" s="289" t="str">
        <f>_xlfn.XLOOKUP(FMS_Ranking4[[#This Row],[FMS ID]],FMS_Input[FMS_ID],FMS_Input[EMER_NEED])</f>
        <v>No</v>
      </c>
      <c r="L852" s="252">
        <f t="shared" si="13"/>
        <v>0</v>
      </c>
      <c r="M852" s="253">
        <f>_xlfn.XLOOKUP(FMS_Ranking4[[#This Row],[FMS ID]],FMS_Input[FMS_ID],FMS_Input[STRUCT_100])</f>
        <v>0</v>
      </c>
      <c r="N852" s="255">
        <f>(ASINH(FMS_Ranking4[[#This Row],[Structure at Risk Raw]]))*(10)/(ASINH(M$4))</f>
        <v>0</v>
      </c>
      <c r="O852" s="255">
        <f>FMS_Ranking4[[#This Row],[Structures at risk, ArcSinh (0-10)]]*M$5*10</f>
        <v>0</v>
      </c>
      <c r="P852" s="259">
        <f>_xlfn.XLOOKUP(FMS_Ranking4[[#This Row],[FMS ID]],FMS_Input[FMS_ID],FMS_Input[RES_STRUCT100])</f>
        <v>0</v>
      </c>
      <c r="Q852" s="257">
        <f>ASINH(FMS_Ranking4[[#This Row],[Res Structure Raw]])/Q$4*P$5*100</f>
        <v>0</v>
      </c>
      <c r="R852" s="259">
        <f>_xlfn.XLOOKUP(FMS_Ranking4[[#This Row],[FMS ID]],FMS_Input[FMS_ID],FMS_Input[POP100])</f>
        <v>0</v>
      </c>
      <c r="S852" s="259">
        <f>(ASINH(FMS_Ranking4[[#This Row],[Pop at Risk Raw]]))*(10)/(ASINH(R$4))</f>
        <v>0</v>
      </c>
      <c r="T852" s="257">
        <f>FMS_Ranking4[[#This Row],[Population at risk, ArcSinh (0-10)]]*R$5*10</f>
        <v>0</v>
      </c>
      <c r="U852" s="259">
        <f>_xlfn.XLOOKUP(FMS_Ranking4[[#This Row],[FMS ID]],FMS_Input[FMS_ID],FMS_Input[CRITFAC100])</f>
        <v>0</v>
      </c>
      <c r="V852" s="259">
        <f>(ASINH(FMS_Ranking4[[#This Row],[Critical Facilities Raw]]))*(10)/(ASINH(U$4))</f>
        <v>0</v>
      </c>
      <c r="W852" s="257">
        <f>FMS_Ranking4[[#This Row],[Critical facilities at risk, ArcSinh (0-10)]]*U$5*10</f>
        <v>0</v>
      </c>
      <c r="X852" s="259">
        <f>_xlfn.XLOOKUP(FMS_Ranking4[[#This Row],[FMS ID]],FMS_Input[FMS_ID],FMS_Input[LWC])</f>
        <v>0</v>
      </c>
      <c r="Y852" s="259">
        <f>(ASINH(FMS_Ranking4[[#This Row],[LWC Raw]]))*(10)/(ASINH(X$4))</f>
        <v>0</v>
      </c>
      <c r="Z852" s="257">
        <f>FMS_Ranking4[[#This Row],[LWC, ArcSInh (0-10)]]*X$5*10</f>
        <v>0</v>
      </c>
      <c r="AA852" s="259">
        <f>_xlfn.XLOOKUP(FMS_Ranking4[[#This Row],[FMS ID]],FMS_Input[FMS_ID],FMS_Input[ROADCLS])</f>
        <v>0</v>
      </c>
      <c r="AB852" s="255">
        <f>(ASINH(FMS_Ranking4[[#This Row],[Road Closures Raw]]))*(10)/(ASINH(AA$4))</f>
        <v>0</v>
      </c>
      <c r="AC852" s="255">
        <f>FMS_Ranking4[[#This Row],[Road closures, ArcSinh (0-10)]]*AA$5*10</f>
        <v>0</v>
      </c>
      <c r="AD852" s="259">
        <f>_xlfn.XLOOKUP(FMS_Ranking4[[#This Row],[FMS ID]],FMS_Input[FMS_ID],FMS_Input[ROAD_MILES100])</f>
        <v>0</v>
      </c>
      <c r="AE852" s="259">
        <f>(ASINH(FMS_Ranking4[[#This Row],[Road Miles Raw]]))*(10)/(ASINH(AD$4))</f>
        <v>0</v>
      </c>
      <c r="AF852" s="257">
        <f>FMS_Ranking4[[#This Row],[Length of roads at risk, ArcSinh (0-10)]]*AD$5*10</f>
        <v>0</v>
      </c>
      <c r="AG852" s="259">
        <f>_xlfn.XLOOKUP(FMS_Ranking4[[#This Row],[FMS ID]],FMS_Input[FMS_ID],FMS_Input[FARMACRE100])</f>
        <v>0</v>
      </c>
      <c r="AH852" s="255">
        <f>(ASINH(FMS_Ranking4[[#This Row],[Ag Land Raw]]))*(10)/(ASINH(AG$4))</f>
        <v>0</v>
      </c>
      <c r="AI852" s="254">
        <f>FMS_Ranking4[[#This Row],[Farm &amp; ranch land, ArcSinh (0-10)]]*AG$5*10</f>
        <v>0</v>
      </c>
      <c r="AJ852" s="258">
        <f>_xlfn.XLOOKUP(FMS_Ranking4[[#This Row],[FMS ID]],FMS_Input[FMS_ID],FMS_Input[REDSTRUCT100])</f>
        <v>0</v>
      </c>
      <c r="AK852" s="253">
        <f>_xlfn.XLOOKUP(FMS_Ranking4[[#This Row],[FMS ID]],FMS_Input[FMS_ID],FMS_Input[REMSTRC100])</f>
        <v>0</v>
      </c>
      <c r="AL852" s="259">
        <f>(ASINH(FMS_Ranking4[[#This Row],[Structures Removed Raw]]))*(10)/(ASINH(AK$4))</f>
        <v>0</v>
      </c>
      <c r="AM852" s="254">
        <f>FMS_Ranking4[[#This Row],[Structures removed, ArcSinh (0-10)]]*AK$5*10</f>
        <v>0</v>
      </c>
      <c r="AN852" s="253">
        <f>_xlfn.XLOOKUP(FMS_Ranking4[[#This Row],[FMS ID]],FMS_Input[FMS_ID],FMS_Input[REMRESSTRC100])</f>
        <v>0</v>
      </c>
      <c r="AO852" s="258">
        <f>FMS_Ranking4[[#This Row],[ArcSinh Res struct removed 0-10]]*AN$5*10</f>
        <v>0</v>
      </c>
      <c r="AP852" s="254">
        <f>ASINH(FMS_Ranking4[[#This Row],[Residential Structures Removed Raw]])/AP$4*AN$5*100</f>
        <v>0</v>
      </c>
      <c r="AQ852" s="260">
        <f>(ASINH(FMS_Ranking4[[#This Row],[Residential Structures Removed Raw]]))*(10)/(ASINH(AN$4))</f>
        <v>0</v>
      </c>
      <c r="AR852" s="253">
        <f>_xlfn.XLOOKUP(FMS_Ranking4[[#This Row],[FMS ID]],FMS_Input[FMS_ID],FMS_Input[REMPOP100])</f>
        <v>0</v>
      </c>
      <c r="AS852" s="259">
        <f>(ASINH(FMS_Ranking4[[#This Row],[Removed Pop Raw]]))*(10)/(ASINH(AR$4))</f>
        <v>0</v>
      </c>
      <c r="AT852" s="263">
        <f>FMS_Ranking4[[#This Row],[Removed population, ArcSinh (0-10)]]*AR$5*10</f>
        <v>0</v>
      </c>
      <c r="AU852" s="264">
        <f>_xlfn.XLOOKUP(FMS_Ranking4[[#This Row],[FMS ID]],FMS_Input[FMS_ID],FMS_Input[REMCRITFAC100])</f>
        <v>0</v>
      </c>
      <c r="AV852" s="264">
        <f>_xlfn.XLOOKUP(FMS_Ranking4[[#This Row],[FMS ID]],FMS_Input[FMS_ID],FMS_Input[REMLWC100])</f>
        <v>0</v>
      </c>
      <c r="AW852" s="264">
        <f>_xlfn.XLOOKUP(FMS_Ranking4[[#This Row],[FMS ID]],FMS_Input[FMS_ID],FMS_Input[REMROADCLS])</f>
        <v>0</v>
      </c>
      <c r="AX852" s="264">
        <f>_xlfn.XLOOKUP(FMS_Ranking4[[#This Row],[FMS ID]],FMS_Input[FMS_ID],FMS_Input[REMFRMACRE100])</f>
        <v>0</v>
      </c>
      <c r="AY852" s="258">
        <f>_xlfn.XLOOKUP(FMS_Ranking4[[#This Row],[FMS ID]],FMS_Input[FMS_ID],FMS_Input[COSTSTRUCT])</f>
        <v>0</v>
      </c>
      <c r="AZ852" s="258">
        <f>_xlfn.XLOOKUP(FMS_Ranking4[[#This Row],[FMS ID]],FMS_Input[FMS_ID],FMS_Input[NATURE])</f>
        <v>0</v>
      </c>
      <c r="BA852" s="290">
        <f>(((FMS_Ranking4[[#This Row],[% NBS Raw]]/AZ$4)*100)*AZ$5)</f>
        <v>0</v>
      </c>
      <c r="BB852" s="251" t="str">
        <f>_xlfn.XLOOKUP(FMS_Ranking4[[#This Row],[FMS ID]],FMS_Input[FMS_ID],FMS_Input[WATER_SUP])</f>
        <v>No</v>
      </c>
      <c r="BC852" s="265">
        <f>IF(FMS_Ranking4[[#This Row],[Water Supply Raw]]="Yes",10,0)</f>
        <v>0</v>
      </c>
      <c r="BD852" s="251">
        <f>_xlfn.XLOOKUP(FMS_Ranking4[[#This Row],[FMS Type]],FMS_TYPE[FMS_Type],FMS_TYPE[Score])</f>
        <v>4</v>
      </c>
      <c r="BE852" s="267">
        <f>FMS_Ranking4[[#This Row],[FMS_Type Score]]*$BD$5*10</f>
        <v>1</v>
      </c>
      <c r="BF852"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52" s="271">
        <f>_xlfn.RANK.EQ(BF852,$BF$8:$BF$870,0)+COUNTIF($BF$8:BF852,BF852)-1</f>
        <v>846</v>
      </c>
      <c r="BH852" s="268">
        <f>(((FMS_Ranking4[[#This Row],[Structures Removed Raw]]/AK$4)*100)*AK$5)+(((FMS_Ranking4[[#This Row],[Removed Pop Raw]]/AR$4)*100)*AR$5)</f>
        <v>0</v>
      </c>
      <c r="BI852"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52" s="325">
        <f>_xlfn.RANK.EQ(FMS_Ranking4[[#This Row],[Total Score 
(with linear
normalization)]],FMS_Ranking4[Total Score 
(with linear
normalization)],0)</f>
        <v>752</v>
      </c>
      <c r="BK852" s="327" t="e">
        <f>_xlfn.XLOOKUP(FMS_Ranking4[[#This Row],[FMS ID]],#REF!,#REF!)</f>
        <v>#REF!</v>
      </c>
      <c r="BL852"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52" s="330">
        <f>FMS_Ranking4[[#This Row],[ArcSinh Score Based on Normalized Reported Factors]]+FMS_Ranking4[[#This Row],[% NBS Score (Normalized)]]+(FMS_Ranking4[[#This Row],[Water Supply Score (Normalized)]]*10*$BB$5)+FMS_Ranking4[[#This Row],[FMS_Type Score Weighted]]</f>
        <v>1</v>
      </c>
      <c r="BN852" s="332">
        <f>_xlfn.RANK.EQ(FMS_Ranking4[[#This Row],[Total Score (with ArcSinh normalization of select criteria)]],FMS_Ranking4[Total Score (with ArcSinh normalization of select criteria)],0)</f>
        <v>845</v>
      </c>
      <c r="BO852" s="270" t="str">
        <f>_xlfn.XLOOKUP(FMS_Ranking4[[#This Row],[FMS ID]],FMS_Input[FMS_ID],FMS_Input[FMS_RANK_YEAR])</f>
        <v>2025 Amended Plan</v>
      </c>
      <c r="BP852" s="204" t="e">
        <f>_xlfn.XLOOKUP(FMS_Ranking4[[#This Row],[FMS ID]],Prev_Rank[FMS ID],Prev_Rank[Prev Rank])</f>
        <v>#N/A</v>
      </c>
      <c r="BQ852" s="334" t="e">
        <f>_xlfn.XLOOKUP(FMS_Ranking4[[#This Row],[FMS ID]],#REF!,#REF!)</f>
        <v>#REF!</v>
      </c>
      <c r="BR852" s="199" t="e">
        <f>SUM(#REF!,#REF!,#REF!,#REF!,#REF!,#REF!,#REF!,#REF!,#REF!,FMS_Ranking4[[#This Row],[ArcSinh Res struct removed 0-10]],#REF!)</f>
        <v>#REF!</v>
      </c>
      <c r="BS852" s="199" t="e">
        <f>FMS_Ranking4[[#This Row],[Log Score Based on Normalized Reported Factors]]+FMS_Ranking4[[#This Row],[% NBS Score (Normalized)]]+(FMS_Ranking4[[#This Row],[Water Supply Score (Normalized)]]*10*$BB$5)+(FMS_Ranking4[[#This Row],[FMS_Type Score Weighted]])</f>
        <v>#REF!</v>
      </c>
      <c r="BT852" s="200" t="e">
        <f>_xlfn.RANK.EQ(FMS_Ranking4[[#This Row],[Log Total Score]],FMS_Ranking4[Log Total Score],0)</f>
        <v>#REF!</v>
      </c>
      <c r="BU852" s="200" t="e">
        <f>_xlfn.XLOOKUP(FMS_Ranking4[[#This Row],[FMS ID]],#REF!,#REF!)</f>
        <v>#REF!</v>
      </c>
      <c r="BV852" s="200">
        <f>FMS_Ranking4[[#This Row],[Region Number]]</f>
        <v>8</v>
      </c>
      <c r="BW852" s="200">
        <f>FMS_Ranking4[[#This Row],[Rank (with ArcSinh normalization of select criteria)]]-FMS_Ranking4[[#This Row],[Rank
(with linear
normalization)]]</f>
        <v>93</v>
      </c>
      <c r="BX852" s="200" t="e">
        <f>FMS_Ranking4[[#This Row],[Log Rank]]-FMS_Ranking4[[#This Row],[Rank
(with linear
normalization)]]</f>
        <v>#REF!</v>
      </c>
      <c r="BY852" s="200" t="str">
        <f>IF(FMS_Ranking4[[#This Row],[FMS Type]]="Flood Measurement and Warning",FMS_Ranking4[[#This Row],[Rank (with ArcSinh normalization of select criteria)]],"")</f>
        <v/>
      </c>
      <c r="BZ852" s="200" t="str">
        <f>IF(FMS_Ranking4[[#This Row],[FMS Type]]="Regulatory and Guidance",FMS_Ranking4[[#This Row],[Rank (with ArcSinh normalization of select criteria)]],"")</f>
        <v/>
      </c>
      <c r="CA852" s="200" t="str">
        <f>IF(FMS_Ranking4[[#This Row],[FMS Type]]="Education and Outreach",FMS_Ranking4[[#This Row],[Rank (with ArcSinh normalization of select criteria)]],"")</f>
        <v/>
      </c>
      <c r="CB852" s="200" t="str">
        <f>IF(FMS_Ranking4[[#This Row],[FMS Type]]="Property Acquisition and Structural Elevation",FMS_Ranking4[[#This Row],[Rank (with ArcSinh normalization of select criteria)]],"")</f>
        <v/>
      </c>
      <c r="CC852" s="200">
        <f>IF(FMS_Ranking4[[#This Row],[FMS Type]]="Infrastructure Projects",FMS_Ranking4[[#This Row],[Rank (with ArcSinh normalization of select criteria)]],"")</f>
        <v>845</v>
      </c>
      <c r="CD852" s="200" t="str">
        <f>IF(FMS_Ranking4[[#This Row],[FMS Type]]="Other",FMS_Ranking4[[#This Row],[Rank (with ArcSinh normalization of select criteria)]],"")</f>
        <v/>
      </c>
    </row>
    <row r="853" spans="2:82" ht="150" x14ac:dyDescent="0.25">
      <c r="B853" s="342" t="s">
        <v>96</v>
      </c>
      <c r="C853" s="287">
        <f>_xlfn.XLOOKUP(FMS_Ranking4[[#This Row],[FMS ID]],FMS_Input[FMS_ID],FMS_Input[RFPG_NUM])</f>
        <v>6</v>
      </c>
      <c r="D853" s="309" t="str">
        <f>_xlfn.XLOOKUP(FMS_Ranking4[[#This Row],[FMS ID]],FMS_Input[FMS_ID],FMS_Input[FMS_NAME])</f>
        <v>Natural Infrastructure Project Barker Reservoir Headwater Acquisition and Restoration</v>
      </c>
      <c r="E853" s="322" t="str">
        <f>_xlfn.XLOOKUP(FMS_Ranking4[[#This Row],[FMS ID]],FMS_Input[FMS_ID],FMS_Input[SPONSOR])</f>
        <v>00004002</v>
      </c>
      <c r="F853" s="309" t="str">
        <f>_xlfn.XLOOKUP(FMS_Ranking4[[#This Row],[FMS ID]],Sponsor[FMS_ID],Sponsor[SPONSOR NAME])</f>
        <v>Coastal Prairie Conservancy</v>
      </c>
      <c r="G853" s="309" t="str">
        <f>_xlfn.XLOOKUP(FMS_Ranking4[[#This Row],[FMS ID]],FMS_Input[FMS_ID],FMS_Input[FMS_DESCR])</f>
        <v>Purchase and restore agricultutal &amp; natural lands at the headwater of Barker Reservoir. Manage land for agricultual use, restore native landscape like grasslands and wetlands, and enhance management practices. Provides natural flood mitigation benefits.</v>
      </c>
      <c r="H853" s="247" t="str">
        <f>_xlfn.XLOOKUP(FMS_Ranking4[[#This Row],[FMS ID]],FMS_Input[FMS_ID],FMS_Input[FMS_TYPE])</f>
        <v>Property Acquisition and Structural Elevation</v>
      </c>
      <c r="I853" s="288">
        <f>_xlfn.XLOOKUP(FMS_Ranking4[[#This Row],[FMS ID]],FMS_Input[FMS_ID],FMS_Input[NRNC_COST])</f>
        <v>1650000</v>
      </c>
      <c r="J853" s="250">
        <f>_xlfn.XLOOKUP(FMS_Ranking4[[#This Row],[FMS ID]],FMS_Input[FMS_ID],FMS_Input[FMS_COST])</f>
        <v>33000000</v>
      </c>
      <c r="K853" s="289" t="str">
        <f>_xlfn.XLOOKUP(FMS_Ranking4[[#This Row],[FMS ID]],FMS_Input[FMS_ID],FMS_Input[EMER_NEED])</f>
        <v>No</v>
      </c>
      <c r="L853" s="252">
        <f t="shared" si="13"/>
        <v>0</v>
      </c>
      <c r="M853" s="253">
        <f>_xlfn.XLOOKUP(FMS_Ranking4[[#This Row],[FMS ID]],FMS_Input[FMS_ID],FMS_Input[STRUCT_100])</f>
        <v>0</v>
      </c>
      <c r="N853" s="255">
        <f>(ASINH(FMS_Ranking4[[#This Row],[Structure at Risk Raw]]))*(10)/(ASINH(M$4))</f>
        <v>0</v>
      </c>
      <c r="O853" s="255">
        <f>FMS_Ranking4[[#This Row],[Structures at risk, ArcSinh (0-10)]]*M$5*10</f>
        <v>0</v>
      </c>
      <c r="P853" s="259">
        <f>_xlfn.XLOOKUP(FMS_Ranking4[[#This Row],[FMS ID]],FMS_Input[FMS_ID],FMS_Input[RES_STRUCT100])</f>
        <v>0</v>
      </c>
      <c r="Q853" s="257">
        <f>ASINH(FMS_Ranking4[[#This Row],[Res Structure Raw]])/Q$4*P$5*100</f>
        <v>0</v>
      </c>
      <c r="R853" s="259">
        <f>_xlfn.XLOOKUP(FMS_Ranking4[[#This Row],[FMS ID]],FMS_Input[FMS_ID],FMS_Input[POP100])</f>
        <v>0</v>
      </c>
      <c r="S853" s="259">
        <f>(ASINH(FMS_Ranking4[[#This Row],[Pop at Risk Raw]]))*(10)/(ASINH(R$4))</f>
        <v>0</v>
      </c>
      <c r="T853" s="257">
        <f>FMS_Ranking4[[#This Row],[Population at risk, ArcSinh (0-10)]]*R$5*10</f>
        <v>0</v>
      </c>
      <c r="U853" s="259">
        <f>_xlfn.XLOOKUP(FMS_Ranking4[[#This Row],[FMS ID]],FMS_Input[FMS_ID],FMS_Input[CRITFAC100])</f>
        <v>0</v>
      </c>
      <c r="V853" s="259">
        <f>(ASINH(FMS_Ranking4[[#This Row],[Critical Facilities Raw]]))*(10)/(ASINH(U$4))</f>
        <v>0</v>
      </c>
      <c r="W853" s="257">
        <f>FMS_Ranking4[[#This Row],[Critical facilities at risk, ArcSinh (0-10)]]*U$5*10</f>
        <v>0</v>
      </c>
      <c r="X853" s="259">
        <f>_xlfn.XLOOKUP(FMS_Ranking4[[#This Row],[FMS ID]],FMS_Input[FMS_ID],FMS_Input[LWC])</f>
        <v>0</v>
      </c>
      <c r="Y853" s="259">
        <f>(ASINH(FMS_Ranking4[[#This Row],[LWC Raw]]))*(10)/(ASINH(X$4))</f>
        <v>0</v>
      </c>
      <c r="Z853" s="257">
        <f>FMS_Ranking4[[#This Row],[LWC, ArcSInh (0-10)]]*X$5*10</f>
        <v>0</v>
      </c>
      <c r="AA853" s="259">
        <f>_xlfn.XLOOKUP(FMS_Ranking4[[#This Row],[FMS ID]],FMS_Input[FMS_ID],FMS_Input[ROADCLS])</f>
        <v>0</v>
      </c>
      <c r="AB853" s="255">
        <f>(ASINH(FMS_Ranking4[[#This Row],[Road Closures Raw]]))*(10)/(ASINH(AA$4))</f>
        <v>0</v>
      </c>
      <c r="AC853" s="255">
        <f>FMS_Ranking4[[#This Row],[Road closures, ArcSinh (0-10)]]*AA$5*10</f>
        <v>0</v>
      </c>
      <c r="AD853" s="259">
        <f>_xlfn.XLOOKUP(FMS_Ranking4[[#This Row],[FMS ID]],FMS_Input[FMS_ID],FMS_Input[ROAD_MILES100])</f>
        <v>0</v>
      </c>
      <c r="AE853" s="259">
        <f>(ASINH(FMS_Ranking4[[#This Row],[Road Miles Raw]]))*(10)/(ASINH(AD$4))</f>
        <v>0</v>
      </c>
      <c r="AF853" s="257">
        <f>FMS_Ranking4[[#This Row],[Length of roads at risk, ArcSinh (0-10)]]*AD$5*10</f>
        <v>0</v>
      </c>
      <c r="AG853" s="259">
        <f>_xlfn.XLOOKUP(FMS_Ranking4[[#This Row],[FMS ID]],FMS_Input[FMS_ID],FMS_Input[FARMACRE100])</f>
        <v>0</v>
      </c>
      <c r="AH853" s="255">
        <f>(ASINH(FMS_Ranking4[[#This Row],[Ag Land Raw]]))*(10)/(ASINH(AG$4))</f>
        <v>0</v>
      </c>
      <c r="AI853" s="254">
        <f>FMS_Ranking4[[#This Row],[Farm &amp; ranch land, ArcSinh (0-10)]]*AG$5*10</f>
        <v>0</v>
      </c>
      <c r="AJ853" s="258">
        <f>_xlfn.XLOOKUP(FMS_Ranking4[[#This Row],[FMS ID]],FMS_Input[FMS_ID],FMS_Input[REDSTRUCT100])</f>
        <v>0</v>
      </c>
      <c r="AK853" s="253">
        <f>_xlfn.XLOOKUP(FMS_Ranking4[[#This Row],[FMS ID]],FMS_Input[FMS_ID],FMS_Input[REMSTRC100])</f>
        <v>0</v>
      </c>
      <c r="AL853" s="259">
        <f>(ASINH(FMS_Ranking4[[#This Row],[Structures Removed Raw]]))*(10)/(ASINH(AK$4))</f>
        <v>0</v>
      </c>
      <c r="AM853" s="254">
        <f>FMS_Ranking4[[#This Row],[Structures removed, ArcSinh (0-10)]]*AK$5*10</f>
        <v>0</v>
      </c>
      <c r="AN853" s="253">
        <f>_xlfn.XLOOKUP(FMS_Ranking4[[#This Row],[FMS ID]],FMS_Input[FMS_ID],FMS_Input[REMRESSTRC100])</f>
        <v>0</v>
      </c>
      <c r="AO853" s="258">
        <f>FMS_Ranking4[[#This Row],[ArcSinh Res struct removed 0-10]]*AN$5*10</f>
        <v>0</v>
      </c>
      <c r="AP853" s="254">
        <f>ASINH(FMS_Ranking4[[#This Row],[Residential Structures Removed Raw]])/AP$4*AN$5*100</f>
        <v>0</v>
      </c>
      <c r="AQ853" s="260">
        <f>(ASINH(FMS_Ranking4[[#This Row],[Residential Structures Removed Raw]]))*(10)/(ASINH(AN$4))</f>
        <v>0</v>
      </c>
      <c r="AR853" s="253">
        <f>_xlfn.XLOOKUP(FMS_Ranking4[[#This Row],[FMS ID]],FMS_Input[FMS_ID],FMS_Input[REMPOP100])</f>
        <v>0</v>
      </c>
      <c r="AS853" s="259">
        <f>(ASINH(FMS_Ranking4[[#This Row],[Removed Pop Raw]]))*(10)/(ASINH(AR$4))</f>
        <v>0</v>
      </c>
      <c r="AT853" s="263">
        <f>FMS_Ranking4[[#This Row],[Removed population, ArcSinh (0-10)]]*AR$5*10</f>
        <v>0</v>
      </c>
      <c r="AU853" s="264">
        <f>_xlfn.XLOOKUP(FMS_Ranking4[[#This Row],[FMS ID]],FMS_Input[FMS_ID],FMS_Input[REMCRITFAC100])</f>
        <v>0</v>
      </c>
      <c r="AV853" s="264">
        <f>_xlfn.XLOOKUP(FMS_Ranking4[[#This Row],[FMS ID]],FMS_Input[FMS_ID],FMS_Input[REMLWC100])</f>
        <v>0</v>
      </c>
      <c r="AW853" s="264">
        <f>_xlfn.XLOOKUP(FMS_Ranking4[[#This Row],[FMS ID]],FMS_Input[FMS_ID],FMS_Input[REMROADCLS])</f>
        <v>0</v>
      </c>
      <c r="AX853" s="264">
        <f>_xlfn.XLOOKUP(FMS_Ranking4[[#This Row],[FMS ID]],FMS_Input[FMS_ID],FMS_Input[REMFRMACRE100])</f>
        <v>0</v>
      </c>
      <c r="AY853" s="258">
        <f>_xlfn.XLOOKUP(FMS_Ranking4[[#This Row],[FMS ID]],FMS_Input[FMS_ID],FMS_Input[COSTSTRUCT])</f>
        <v>0</v>
      </c>
      <c r="AZ853" s="258">
        <f>_xlfn.XLOOKUP(FMS_Ranking4[[#This Row],[FMS ID]],FMS_Input[FMS_ID],FMS_Input[NATURE])</f>
        <v>0</v>
      </c>
      <c r="BA853" s="290">
        <f>(((FMS_Ranking4[[#This Row],[% NBS Raw]]/AZ$4)*100)*AZ$5)</f>
        <v>0</v>
      </c>
      <c r="BB853" s="251" t="str">
        <f>_xlfn.XLOOKUP(FMS_Ranking4[[#This Row],[FMS ID]],FMS_Input[FMS_ID],FMS_Input[WATER_SUP])</f>
        <v>No</v>
      </c>
      <c r="BC853" s="265">
        <f>IF(FMS_Ranking4[[#This Row],[Water Supply Raw]]="Yes",10,0)</f>
        <v>0</v>
      </c>
      <c r="BD853" s="251">
        <f>_xlfn.XLOOKUP(FMS_Ranking4[[#This Row],[FMS Type]],FMS_TYPE[FMS_Type],FMS_TYPE[Score])</f>
        <v>4</v>
      </c>
      <c r="BE853" s="267">
        <f>FMS_Ranking4[[#This Row],[FMS_Type Score]]*$BD$5*10</f>
        <v>1</v>
      </c>
      <c r="BF853"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53" s="271">
        <f>_xlfn.RANK.EQ(BF853,$BF$8:$BF$870,0)+COUNTIF($BF$8:BF853,BF853)-1</f>
        <v>847</v>
      </c>
      <c r="BH853" s="268">
        <f>(((FMS_Ranking4[[#This Row],[Structures Removed Raw]]/AK$4)*100)*AK$5)+(((FMS_Ranking4[[#This Row],[Removed Pop Raw]]/AR$4)*100)*AR$5)</f>
        <v>0</v>
      </c>
      <c r="BI85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53" s="325">
        <f>_xlfn.RANK.EQ(FMS_Ranking4[[#This Row],[Total Score 
(with linear
normalization)]],FMS_Ranking4[Total Score 
(with linear
normalization)],0)</f>
        <v>752</v>
      </c>
      <c r="BK853" s="327" t="e">
        <f>_xlfn.XLOOKUP(FMS_Ranking4[[#This Row],[FMS ID]],#REF!,#REF!)</f>
        <v>#REF!</v>
      </c>
      <c r="BL853"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53" s="330">
        <f>FMS_Ranking4[[#This Row],[ArcSinh Score Based on Normalized Reported Factors]]+FMS_Ranking4[[#This Row],[% NBS Score (Normalized)]]+(FMS_Ranking4[[#This Row],[Water Supply Score (Normalized)]]*10*$BB$5)+FMS_Ranking4[[#This Row],[FMS_Type Score Weighted]]</f>
        <v>1</v>
      </c>
      <c r="BN853" s="332">
        <f>_xlfn.RANK.EQ(FMS_Ranking4[[#This Row],[Total Score (with ArcSinh normalization of select criteria)]],FMS_Ranking4[Total Score (with ArcSinh normalization of select criteria)],0)</f>
        <v>845</v>
      </c>
      <c r="BO853" s="270" t="str">
        <f>_xlfn.XLOOKUP(FMS_Ranking4[[#This Row],[FMS ID]],FMS_Input[FMS_ID],FMS_Input[FMS_RANK_YEAR])</f>
        <v>2023 Amended Plan</v>
      </c>
      <c r="BP853" s="204">
        <f>_xlfn.XLOOKUP(FMS_Ranking4[[#This Row],[FMS ID]],Prev_Rank[FMS ID],Prev_Rank[Prev Rank])</f>
        <v>761</v>
      </c>
      <c r="BQ853" s="334" t="e">
        <f>_xlfn.XLOOKUP(FMS_Ranking4[[#This Row],[FMS ID]],#REF!,#REF!)</f>
        <v>#REF!</v>
      </c>
      <c r="BR853" s="199" t="e">
        <f>SUM(#REF!,#REF!,#REF!,#REF!,#REF!,#REF!,#REF!,#REF!,#REF!,FMS_Ranking4[[#This Row],[ArcSinh Res struct removed 0-10]],#REF!)</f>
        <v>#REF!</v>
      </c>
      <c r="BS853" s="199" t="e">
        <f>FMS_Ranking4[[#This Row],[Log Score Based on Normalized Reported Factors]]+FMS_Ranking4[[#This Row],[% NBS Score (Normalized)]]+(FMS_Ranking4[[#This Row],[Water Supply Score (Normalized)]]*10*$BB$5)+(FMS_Ranking4[[#This Row],[FMS_Type Score Weighted]])</f>
        <v>#REF!</v>
      </c>
      <c r="BT853" s="200" t="e">
        <f>_xlfn.RANK.EQ(FMS_Ranking4[[#This Row],[Log Total Score]],FMS_Ranking4[Log Total Score],0)</f>
        <v>#REF!</v>
      </c>
      <c r="BU853" s="200" t="e">
        <f>_xlfn.XLOOKUP(FMS_Ranking4[[#This Row],[FMS ID]],#REF!,#REF!)</f>
        <v>#REF!</v>
      </c>
      <c r="BV853" s="200">
        <f>FMS_Ranking4[[#This Row],[Region Number]]</f>
        <v>6</v>
      </c>
      <c r="BW853" s="200">
        <f>FMS_Ranking4[[#This Row],[Rank (with ArcSinh normalization of select criteria)]]-FMS_Ranking4[[#This Row],[Rank
(with linear
normalization)]]</f>
        <v>93</v>
      </c>
      <c r="BX853" s="200" t="e">
        <f>FMS_Ranking4[[#This Row],[Log Rank]]-FMS_Ranking4[[#This Row],[Rank
(with linear
normalization)]]</f>
        <v>#REF!</v>
      </c>
      <c r="BY853" s="200" t="str">
        <f>IF(FMS_Ranking4[[#This Row],[FMS Type]]="Flood Measurement and Warning",FMS_Ranking4[[#This Row],[Rank (with ArcSinh normalization of select criteria)]],"")</f>
        <v/>
      </c>
      <c r="BZ853" s="200" t="str">
        <f>IF(FMS_Ranking4[[#This Row],[FMS Type]]="Regulatory and Guidance",FMS_Ranking4[[#This Row],[Rank (with ArcSinh normalization of select criteria)]],"")</f>
        <v/>
      </c>
      <c r="CA853" s="200" t="str">
        <f>IF(FMS_Ranking4[[#This Row],[FMS Type]]="Education and Outreach",FMS_Ranking4[[#This Row],[Rank (with ArcSinh normalization of select criteria)]],"")</f>
        <v/>
      </c>
      <c r="CB853" s="200">
        <f>IF(FMS_Ranking4[[#This Row],[FMS Type]]="Property Acquisition and Structural Elevation",FMS_Ranking4[[#This Row],[Rank (with ArcSinh normalization of select criteria)]],"")</f>
        <v>845</v>
      </c>
      <c r="CC853" s="200" t="str">
        <f>IF(FMS_Ranking4[[#This Row],[FMS Type]]="Infrastructure Projects",FMS_Ranking4[[#This Row],[Rank (with ArcSinh normalization of select criteria)]],"")</f>
        <v/>
      </c>
      <c r="CD853" s="200" t="str">
        <f>IF(FMS_Ranking4[[#This Row],[FMS Type]]="Other",FMS_Ranking4[[#This Row],[Rank (with ArcSinh normalization of select criteria)]],"")</f>
        <v/>
      </c>
    </row>
    <row r="854" spans="2:82" ht="60" x14ac:dyDescent="0.25">
      <c r="B854" s="342" t="s">
        <v>3392</v>
      </c>
      <c r="C854" s="287">
        <f>_xlfn.XLOOKUP(FMS_Ranking4[[#This Row],[FMS ID]],FMS_Input[FMS_ID],FMS_Input[RFPG_NUM])</f>
        <v>8</v>
      </c>
      <c r="D854" s="309" t="str">
        <f>_xlfn.XLOOKUP(FMS_Ranking4[[#This Row],[FMS ID]],FMS_Input[FMS_ID],FMS_Input[FMS_NAME])</f>
        <v>City of Waco Property Acquisition</v>
      </c>
      <c r="E854" s="322" t="str">
        <f>_xlfn.XLOOKUP(FMS_Ranking4[[#This Row],[FMS ID]],FMS_Input[FMS_ID],FMS_Input[SPONSOR])</f>
        <v>08002914</v>
      </c>
      <c r="F854" s="309" t="str">
        <f>_xlfn.XLOOKUP(FMS_Ranking4[[#This Row],[FMS ID]],Sponsor[FMS_ID],Sponsor[SPONSOR NAME])</f>
        <v>Waco</v>
      </c>
      <c r="G854" s="309" t="str">
        <f>_xlfn.XLOOKUP(FMS_Ranking4[[#This Row],[FMS ID]],FMS_Input[FMS_ID],FMS_Input[FMS_DESCR])</f>
        <v>Buyout program for structures located in flood hazard areas.</v>
      </c>
      <c r="H854" s="247" t="str">
        <f>_xlfn.XLOOKUP(FMS_Ranking4[[#This Row],[FMS ID]],FMS_Input[FMS_ID],FMS_Input[FMS_TYPE])</f>
        <v>Property Acquisition and Structural Elevation</v>
      </c>
      <c r="I854" s="288">
        <f>_xlfn.XLOOKUP(FMS_Ranking4[[#This Row],[FMS ID]],FMS_Input[FMS_ID],FMS_Input[NRNC_COST])</f>
        <v>1400000</v>
      </c>
      <c r="J854" s="250">
        <f>_xlfn.XLOOKUP(FMS_Ranking4[[#This Row],[FMS ID]],FMS_Input[FMS_ID],FMS_Input[FMS_COST])</f>
        <v>1400000</v>
      </c>
      <c r="K854" s="289" t="str">
        <f>_xlfn.XLOOKUP(FMS_Ranking4[[#This Row],[FMS ID]],FMS_Input[FMS_ID],FMS_Input[EMER_NEED])</f>
        <v>No</v>
      </c>
      <c r="L854" s="252">
        <f t="shared" si="13"/>
        <v>0</v>
      </c>
      <c r="M854" s="253">
        <f>_xlfn.XLOOKUP(FMS_Ranking4[[#This Row],[FMS ID]],FMS_Input[FMS_ID],FMS_Input[STRUCT_100])</f>
        <v>0</v>
      </c>
      <c r="N854" s="255">
        <f>(ASINH(FMS_Ranking4[[#This Row],[Structure at Risk Raw]]))*(10)/(ASINH(M$4))</f>
        <v>0</v>
      </c>
      <c r="O854" s="255">
        <f>FMS_Ranking4[[#This Row],[Structures at risk, ArcSinh (0-10)]]*M$5*10</f>
        <v>0</v>
      </c>
      <c r="P854" s="259">
        <f>_xlfn.XLOOKUP(FMS_Ranking4[[#This Row],[FMS ID]],FMS_Input[FMS_ID],FMS_Input[RES_STRUCT100])</f>
        <v>0</v>
      </c>
      <c r="Q854" s="257">
        <f>ASINH(FMS_Ranking4[[#This Row],[Res Structure Raw]])/Q$4*P$5*100</f>
        <v>0</v>
      </c>
      <c r="R854" s="259">
        <f>_xlfn.XLOOKUP(FMS_Ranking4[[#This Row],[FMS ID]],FMS_Input[FMS_ID],FMS_Input[POP100])</f>
        <v>0</v>
      </c>
      <c r="S854" s="259">
        <f>(ASINH(FMS_Ranking4[[#This Row],[Pop at Risk Raw]]))*(10)/(ASINH(R$4))</f>
        <v>0</v>
      </c>
      <c r="T854" s="257">
        <f>FMS_Ranking4[[#This Row],[Population at risk, ArcSinh (0-10)]]*R$5*10</f>
        <v>0</v>
      </c>
      <c r="U854" s="259">
        <f>_xlfn.XLOOKUP(FMS_Ranking4[[#This Row],[FMS ID]],FMS_Input[FMS_ID],FMS_Input[CRITFAC100])</f>
        <v>0</v>
      </c>
      <c r="V854" s="259">
        <f>(ASINH(FMS_Ranking4[[#This Row],[Critical Facilities Raw]]))*(10)/(ASINH(U$4))</f>
        <v>0</v>
      </c>
      <c r="W854" s="257">
        <f>FMS_Ranking4[[#This Row],[Critical facilities at risk, ArcSinh (0-10)]]*U$5*10</f>
        <v>0</v>
      </c>
      <c r="X854" s="259">
        <f>_xlfn.XLOOKUP(FMS_Ranking4[[#This Row],[FMS ID]],FMS_Input[FMS_ID],FMS_Input[LWC])</f>
        <v>0</v>
      </c>
      <c r="Y854" s="259">
        <f>(ASINH(FMS_Ranking4[[#This Row],[LWC Raw]]))*(10)/(ASINH(X$4))</f>
        <v>0</v>
      </c>
      <c r="Z854" s="257">
        <f>FMS_Ranking4[[#This Row],[LWC, ArcSInh (0-10)]]*X$5*10</f>
        <v>0</v>
      </c>
      <c r="AA854" s="259">
        <f>_xlfn.XLOOKUP(FMS_Ranking4[[#This Row],[FMS ID]],FMS_Input[FMS_ID],FMS_Input[ROADCLS])</f>
        <v>0</v>
      </c>
      <c r="AB854" s="255">
        <f>(ASINH(FMS_Ranking4[[#This Row],[Road Closures Raw]]))*(10)/(ASINH(AA$4))</f>
        <v>0</v>
      </c>
      <c r="AC854" s="255">
        <f>FMS_Ranking4[[#This Row],[Road closures, ArcSinh (0-10)]]*AA$5*10</f>
        <v>0</v>
      </c>
      <c r="AD854" s="259">
        <f>_xlfn.XLOOKUP(FMS_Ranking4[[#This Row],[FMS ID]],FMS_Input[FMS_ID],FMS_Input[ROAD_MILES100])</f>
        <v>0</v>
      </c>
      <c r="AE854" s="259">
        <f>(ASINH(FMS_Ranking4[[#This Row],[Road Miles Raw]]))*(10)/(ASINH(AD$4))</f>
        <v>0</v>
      </c>
      <c r="AF854" s="257">
        <f>FMS_Ranking4[[#This Row],[Length of roads at risk, ArcSinh (0-10)]]*AD$5*10</f>
        <v>0</v>
      </c>
      <c r="AG854" s="259">
        <f>_xlfn.XLOOKUP(FMS_Ranking4[[#This Row],[FMS ID]],FMS_Input[FMS_ID],FMS_Input[FARMACRE100])</f>
        <v>0</v>
      </c>
      <c r="AH854" s="255">
        <f>(ASINH(FMS_Ranking4[[#This Row],[Ag Land Raw]]))*(10)/(ASINH(AG$4))</f>
        <v>0</v>
      </c>
      <c r="AI854" s="254">
        <f>FMS_Ranking4[[#This Row],[Farm &amp; ranch land, ArcSinh (0-10)]]*AG$5*10</f>
        <v>0</v>
      </c>
      <c r="AJ854" s="258">
        <f>_xlfn.XLOOKUP(FMS_Ranking4[[#This Row],[FMS ID]],FMS_Input[FMS_ID],FMS_Input[REDSTRUCT100])</f>
        <v>0</v>
      </c>
      <c r="AK854" s="253">
        <f>_xlfn.XLOOKUP(FMS_Ranking4[[#This Row],[FMS ID]],FMS_Input[FMS_ID],FMS_Input[REMSTRC100])</f>
        <v>0</v>
      </c>
      <c r="AL854" s="259">
        <f>(ASINH(FMS_Ranking4[[#This Row],[Structures Removed Raw]]))*(10)/(ASINH(AK$4))</f>
        <v>0</v>
      </c>
      <c r="AM854" s="254">
        <f>FMS_Ranking4[[#This Row],[Structures removed, ArcSinh (0-10)]]*AK$5*10</f>
        <v>0</v>
      </c>
      <c r="AN854" s="253">
        <f>_xlfn.XLOOKUP(FMS_Ranking4[[#This Row],[FMS ID]],FMS_Input[FMS_ID],FMS_Input[REMRESSTRC100])</f>
        <v>0</v>
      </c>
      <c r="AO854" s="258">
        <f>FMS_Ranking4[[#This Row],[ArcSinh Res struct removed 0-10]]*AN$5*10</f>
        <v>0</v>
      </c>
      <c r="AP854" s="254">
        <f>ASINH(FMS_Ranking4[[#This Row],[Residential Structures Removed Raw]])/AP$4*AN$5*100</f>
        <v>0</v>
      </c>
      <c r="AQ854" s="260">
        <f>(ASINH(FMS_Ranking4[[#This Row],[Residential Structures Removed Raw]]))*(10)/(ASINH(AN$4))</f>
        <v>0</v>
      </c>
      <c r="AR854" s="253">
        <f>_xlfn.XLOOKUP(FMS_Ranking4[[#This Row],[FMS ID]],FMS_Input[FMS_ID],FMS_Input[REMPOP100])</f>
        <v>0</v>
      </c>
      <c r="AS854" s="259">
        <f>(ASINH(FMS_Ranking4[[#This Row],[Removed Pop Raw]]))*(10)/(ASINH(AR$4))</f>
        <v>0</v>
      </c>
      <c r="AT854" s="263">
        <f>FMS_Ranking4[[#This Row],[Removed population, ArcSinh (0-10)]]*AR$5*10</f>
        <v>0</v>
      </c>
      <c r="AU854" s="264">
        <f>_xlfn.XLOOKUP(FMS_Ranking4[[#This Row],[FMS ID]],FMS_Input[FMS_ID],FMS_Input[REMCRITFAC100])</f>
        <v>0</v>
      </c>
      <c r="AV854" s="264">
        <f>_xlfn.XLOOKUP(FMS_Ranking4[[#This Row],[FMS ID]],FMS_Input[FMS_ID],FMS_Input[REMLWC100])</f>
        <v>0</v>
      </c>
      <c r="AW854" s="264">
        <f>_xlfn.XLOOKUP(FMS_Ranking4[[#This Row],[FMS ID]],FMS_Input[FMS_ID],FMS_Input[REMROADCLS])</f>
        <v>0</v>
      </c>
      <c r="AX854" s="264">
        <f>_xlfn.XLOOKUP(FMS_Ranking4[[#This Row],[FMS ID]],FMS_Input[FMS_ID],FMS_Input[REMFRMACRE100])</f>
        <v>0</v>
      </c>
      <c r="AY854" s="258">
        <f>_xlfn.XLOOKUP(FMS_Ranking4[[#This Row],[FMS ID]],FMS_Input[FMS_ID],FMS_Input[COSTSTRUCT])</f>
        <v>0</v>
      </c>
      <c r="AZ854" s="258">
        <f>_xlfn.XLOOKUP(FMS_Ranking4[[#This Row],[FMS ID]],FMS_Input[FMS_ID],FMS_Input[NATURE])</f>
        <v>0</v>
      </c>
      <c r="BA854" s="290">
        <f>(((FMS_Ranking4[[#This Row],[% NBS Raw]]/AZ$4)*100)*AZ$5)</f>
        <v>0</v>
      </c>
      <c r="BB854" s="251" t="str">
        <f>_xlfn.XLOOKUP(FMS_Ranking4[[#This Row],[FMS ID]],FMS_Input[FMS_ID],FMS_Input[WATER_SUP])</f>
        <v>No</v>
      </c>
      <c r="BC854" s="265">
        <f>IF(FMS_Ranking4[[#This Row],[Water Supply Raw]]="Yes",10,0)</f>
        <v>0</v>
      </c>
      <c r="BD854" s="251">
        <f>_xlfn.XLOOKUP(FMS_Ranking4[[#This Row],[FMS Type]],FMS_TYPE[FMS_Type],FMS_TYPE[Score])</f>
        <v>4</v>
      </c>
      <c r="BE854" s="267">
        <f>FMS_Ranking4[[#This Row],[FMS_Type Score]]*$BD$5*10</f>
        <v>1</v>
      </c>
      <c r="BF85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54" s="271">
        <f>_xlfn.RANK.EQ(BF854,$BF$8:$BF$870,0)+COUNTIF($BF$8:BF854,BF854)-1</f>
        <v>848</v>
      </c>
      <c r="BH854" s="268">
        <f>(((FMS_Ranking4[[#This Row],[Structures Removed Raw]]/AK$4)*100)*AK$5)+(((FMS_Ranking4[[#This Row],[Removed Pop Raw]]/AR$4)*100)*AR$5)</f>
        <v>0</v>
      </c>
      <c r="BI85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54" s="325">
        <f>_xlfn.RANK.EQ(FMS_Ranking4[[#This Row],[Total Score 
(with linear
normalization)]],FMS_Ranking4[Total Score 
(with linear
normalization)],0)</f>
        <v>752</v>
      </c>
      <c r="BK854" s="327" t="e">
        <f>_xlfn.XLOOKUP(FMS_Ranking4[[#This Row],[FMS ID]],#REF!,#REF!)</f>
        <v>#REF!</v>
      </c>
      <c r="BL854"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54" s="330">
        <f>FMS_Ranking4[[#This Row],[ArcSinh Score Based on Normalized Reported Factors]]+FMS_Ranking4[[#This Row],[% NBS Score (Normalized)]]+(FMS_Ranking4[[#This Row],[Water Supply Score (Normalized)]]*10*$BB$5)+FMS_Ranking4[[#This Row],[FMS_Type Score Weighted]]</f>
        <v>1</v>
      </c>
      <c r="BN854" s="332">
        <f>_xlfn.RANK.EQ(FMS_Ranking4[[#This Row],[Total Score (with ArcSinh normalization of select criteria)]],FMS_Ranking4[Total Score (with ArcSinh normalization of select criteria)],0)</f>
        <v>845</v>
      </c>
      <c r="BO854" s="270" t="str">
        <f>_xlfn.XLOOKUP(FMS_Ranking4[[#This Row],[FMS ID]],FMS_Input[FMS_ID],FMS_Input[FMS_RANK_YEAR])</f>
        <v>2023 Amended Plan</v>
      </c>
      <c r="BP854" s="204">
        <f>_xlfn.XLOOKUP(FMS_Ranking4[[#This Row],[FMS ID]],Prev_Rank[FMS ID],Prev_Rank[Prev Rank])</f>
        <v>761</v>
      </c>
      <c r="BQ854" s="334" t="e">
        <f>_xlfn.XLOOKUP(FMS_Ranking4[[#This Row],[FMS ID]],#REF!,#REF!)</f>
        <v>#REF!</v>
      </c>
      <c r="BR854" s="199" t="e">
        <f>SUM(#REF!,#REF!,#REF!,#REF!,#REF!,#REF!,#REF!,#REF!,#REF!,FMS_Ranking4[[#This Row],[ArcSinh Res struct removed 0-10]],#REF!)</f>
        <v>#REF!</v>
      </c>
      <c r="BS854" s="199" t="e">
        <f>FMS_Ranking4[[#This Row],[Log Score Based on Normalized Reported Factors]]+FMS_Ranking4[[#This Row],[% NBS Score (Normalized)]]+(FMS_Ranking4[[#This Row],[Water Supply Score (Normalized)]]*10*$BB$5)+(FMS_Ranking4[[#This Row],[FMS_Type Score Weighted]])</f>
        <v>#REF!</v>
      </c>
      <c r="BT854" s="200" t="e">
        <f>_xlfn.RANK.EQ(FMS_Ranking4[[#This Row],[Log Total Score]],FMS_Ranking4[Log Total Score],0)</f>
        <v>#REF!</v>
      </c>
      <c r="BU854" s="200" t="e">
        <f>_xlfn.XLOOKUP(FMS_Ranking4[[#This Row],[FMS ID]],#REF!,#REF!)</f>
        <v>#REF!</v>
      </c>
      <c r="BV854" s="200">
        <f>FMS_Ranking4[[#This Row],[Region Number]]</f>
        <v>8</v>
      </c>
      <c r="BW854" s="200">
        <f>FMS_Ranking4[[#This Row],[Rank (with ArcSinh normalization of select criteria)]]-FMS_Ranking4[[#This Row],[Rank
(with linear
normalization)]]</f>
        <v>93</v>
      </c>
      <c r="BX854" s="200" t="e">
        <f>FMS_Ranking4[[#This Row],[Log Rank]]-FMS_Ranking4[[#This Row],[Rank
(with linear
normalization)]]</f>
        <v>#REF!</v>
      </c>
      <c r="BY854" s="200" t="str">
        <f>IF(FMS_Ranking4[[#This Row],[FMS Type]]="Flood Measurement and Warning",FMS_Ranking4[[#This Row],[Rank (with ArcSinh normalization of select criteria)]],"")</f>
        <v/>
      </c>
      <c r="BZ854" s="200" t="str">
        <f>IF(FMS_Ranking4[[#This Row],[FMS Type]]="Regulatory and Guidance",FMS_Ranking4[[#This Row],[Rank (with ArcSinh normalization of select criteria)]],"")</f>
        <v/>
      </c>
      <c r="CA854" s="200" t="str">
        <f>IF(FMS_Ranking4[[#This Row],[FMS Type]]="Education and Outreach",FMS_Ranking4[[#This Row],[Rank (with ArcSinh normalization of select criteria)]],"")</f>
        <v/>
      </c>
      <c r="CB854" s="200">
        <f>IF(FMS_Ranking4[[#This Row],[FMS Type]]="Property Acquisition and Structural Elevation",FMS_Ranking4[[#This Row],[Rank (with ArcSinh normalization of select criteria)]],"")</f>
        <v>845</v>
      </c>
      <c r="CC854" s="200" t="str">
        <f>IF(FMS_Ranking4[[#This Row],[FMS Type]]="Infrastructure Projects",FMS_Ranking4[[#This Row],[Rank (with ArcSinh normalization of select criteria)]],"")</f>
        <v/>
      </c>
      <c r="CD854" s="200" t="str">
        <f>IF(FMS_Ranking4[[#This Row],[FMS Type]]="Other",FMS_Ranking4[[#This Row],[Rank (with ArcSinh normalization of select criteria)]],"")</f>
        <v/>
      </c>
    </row>
    <row r="855" spans="2:82" ht="60" x14ac:dyDescent="0.25">
      <c r="B855" s="342" t="s">
        <v>12461</v>
      </c>
      <c r="C855" s="287">
        <f>_xlfn.XLOOKUP(FMS_Ranking4[[#This Row],[FMS ID]],FMS_Input[FMS_ID],FMS_Input[RFPG_NUM])</f>
        <v>8</v>
      </c>
      <c r="D855" s="309" t="str">
        <f>_xlfn.XLOOKUP(FMS_Ranking4[[#This Row],[FMS ID]],FMS_Input[FMS_ID],FMS_Input[FMS_NAME])</f>
        <v>City of Bryan Property Acquisition</v>
      </c>
      <c r="E855" s="322" t="str">
        <f>_xlfn.XLOOKUP(FMS_Ranking4[[#This Row],[FMS ID]],FMS_Input[FMS_ID],FMS_Input[SPONSOR])</f>
        <v>08003438</v>
      </c>
      <c r="F855" s="309" t="str">
        <f>_xlfn.XLOOKUP(FMS_Ranking4[[#This Row],[FMS ID]],Sponsor[FMS_ID],Sponsor[SPONSOR NAME])</f>
        <v>Bryan</v>
      </c>
      <c r="G855" s="309" t="str">
        <f>_xlfn.XLOOKUP(FMS_Ranking4[[#This Row],[FMS ID]],FMS_Input[FMS_ID],FMS_Input[FMS_DESCR])</f>
        <v>Buyout program for structures located in flood hazard areas.</v>
      </c>
      <c r="H855" s="247" t="str">
        <f>_xlfn.XLOOKUP(FMS_Ranking4[[#This Row],[FMS ID]],FMS_Input[FMS_ID],FMS_Input[FMS_TYPE])</f>
        <v>Property Acquisition and Structural Elevation</v>
      </c>
      <c r="I855" s="288">
        <f>_xlfn.XLOOKUP(FMS_Ranking4[[#This Row],[FMS ID]],FMS_Input[FMS_ID],FMS_Input[NRNC_COST])</f>
        <v>1000000</v>
      </c>
      <c r="J855" s="250">
        <f>_xlfn.XLOOKUP(FMS_Ranking4[[#This Row],[FMS ID]],FMS_Input[FMS_ID],FMS_Input[FMS_COST])</f>
        <v>1000000</v>
      </c>
      <c r="K855" s="289" t="str">
        <f>_xlfn.XLOOKUP(FMS_Ranking4[[#This Row],[FMS ID]],FMS_Input[FMS_ID],FMS_Input[EMER_NEED])</f>
        <v>No</v>
      </c>
      <c r="L855" s="252">
        <f t="shared" si="13"/>
        <v>0</v>
      </c>
      <c r="M855" s="253">
        <f>_xlfn.XLOOKUP(FMS_Ranking4[[#This Row],[FMS ID]],FMS_Input[FMS_ID],FMS_Input[STRUCT_100])</f>
        <v>0</v>
      </c>
      <c r="N855" s="255">
        <f>(ASINH(FMS_Ranking4[[#This Row],[Structure at Risk Raw]]))*(10)/(ASINH(M$4))</f>
        <v>0</v>
      </c>
      <c r="O855" s="255">
        <f>FMS_Ranking4[[#This Row],[Structures at risk, ArcSinh (0-10)]]*M$5*10</f>
        <v>0</v>
      </c>
      <c r="P855" s="259">
        <f>_xlfn.XLOOKUP(FMS_Ranking4[[#This Row],[FMS ID]],FMS_Input[FMS_ID],FMS_Input[RES_STRUCT100])</f>
        <v>0</v>
      </c>
      <c r="Q855" s="257">
        <f>ASINH(FMS_Ranking4[[#This Row],[Res Structure Raw]])/Q$4*P$5*100</f>
        <v>0</v>
      </c>
      <c r="R855" s="259">
        <f>_xlfn.XLOOKUP(FMS_Ranking4[[#This Row],[FMS ID]],FMS_Input[FMS_ID],FMS_Input[POP100])</f>
        <v>0</v>
      </c>
      <c r="S855" s="259">
        <f>(ASINH(FMS_Ranking4[[#This Row],[Pop at Risk Raw]]))*(10)/(ASINH(R$4))</f>
        <v>0</v>
      </c>
      <c r="T855" s="257">
        <f>FMS_Ranking4[[#This Row],[Population at risk, ArcSinh (0-10)]]*R$5*10</f>
        <v>0</v>
      </c>
      <c r="U855" s="259">
        <f>_xlfn.XLOOKUP(FMS_Ranking4[[#This Row],[FMS ID]],FMS_Input[FMS_ID],FMS_Input[CRITFAC100])</f>
        <v>0</v>
      </c>
      <c r="V855" s="259">
        <f>(ASINH(FMS_Ranking4[[#This Row],[Critical Facilities Raw]]))*(10)/(ASINH(U$4))</f>
        <v>0</v>
      </c>
      <c r="W855" s="257">
        <f>FMS_Ranking4[[#This Row],[Critical facilities at risk, ArcSinh (0-10)]]*U$5*10</f>
        <v>0</v>
      </c>
      <c r="X855" s="259">
        <f>_xlfn.XLOOKUP(FMS_Ranking4[[#This Row],[FMS ID]],FMS_Input[FMS_ID],FMS_Input[LWC])</f>
        <v>0</v>
      </c>
      <c r="Y855" s="259">
        <f>(ASINH(FMS_Ranking4[[#This Row],[LWC Raw]]))*(10)/(ASINH(X$4))</f>
        <v>0</v>
      </c>
      <c r="Z855" s="257">
        <f>FMS_Ranking4[[#This Row],[LWC, ArcSInh (0-10)]]*X$5*10</f>
        <v>0</v>
      </c>
      <c r="AA855" s="259">
        <f>_xlfn.XLOOKUP(FMS_Ranking4[[#This Row],[FMS ID]],FMS_Input[FMS_ID],FMS_Input[ROADCLS])</f>
        <v>0</v>
      </c>
      <c r="AB855" s="255">
        <f>(ASINH(FMS_Ranking4[[#This Row],[Road Closures Raw]]))*(10)/(ASINH(AA$4))</f>
        <v>0</v>
      </c>
      <c r="AC855" s="255">
        <f>FMS_Ranking4[[#This Row],[Road closures, ArcSinh (0-10)]]*AA$5*10</f>
        <v>0</v>
      </c>
      <c r="AD855" s="259">
        <f>_xlfn.XLOOKUP(FMS_Ranking4[[#This Row],[FMS ID]],FMS_Input[FMS_ID],FMS_Input[ROAD_MILES100])</f>
        <v>0</v>
      </c>
      <c r="AE855" s="259">
        <f>(ASINH(FMS_Ranking4[[#This Row],[Road Miles Raw]]))*(10)/(ASINH(AD$4))</f>
        <v>0</v>
      </c>
      <c r="AF855" s="257">
        <f>FMS_Ranking4[[#This Row],[Length of roads at risk, ArcSinh (0-10)]]*AD$5*10</f>
        <v>0</v>
      </c>
      <c r="AG855" s="259">
        <f>_xlfn.XLOOKUP(FMS_Ranking4[[#This Row],[FMS ID]],FMS_Input[FMS_ID],FMS_Input[FARMACRE100])</f>
        <v>0</v>
      </c>
      <c r="AH855" s="255">
        <f>(ASINH(FMS_Ranking4[[#This Row],[Ag Land Raw]]))*(10)/(ASINH(AG$4))</f>
        <v>0</v>
      </c>
      <c r="AI855" s="254">
        <f>FMS_Ranking4[[#This Row],[Farm &amp; ranch land, ArcSinh (0-10)]]*AG$5*10</f>
        <v>0</v>
      </c>
      <c r="AJ855" s="258">
        <f>_xlfn.XLOOKUP(FMS_Ranking4[[#This Row],[FMS ID]],FMS_Input[FMS_ID],FMS_Input[REDSTRUCT100])</f>
        <v>0</v>
      </c>
      <c r="AK855" s="253">
        <f>_xlfn.XLOOKUP(FMS_Ranking4[[#This Row],[FMS ID]],FMS_Input[FMS_ID],FMS_Input[REMSTRC100])</f>
        <v>0</v>
      </c>
      <c r="AL855" s="259">
        <f>(ASINH(FMS_Ranking4[[#This Row],[Structures Removed Raw]]))*(10)/(ASINH(AK$4))</f>
        <v>0</v>
      </c>
      <c r="AM855" s="254">
        <f>FMS_Ranking4[[#This Row],[Structures removed, ArcSinh (0-10)]]*AK$5*10</f>
        <v>0</v>
      </c>
      <c r="AN855" s="253">
        <f>_xlfn.XLOOKUP(FMS_Ranking4[[#This Row],[FMS ID]],FMS_Input[FMS_ID],FMS_Input[REMRESSTRC100])</f>
        <v>0</v>
      </c>
      <c r="AO855" s="258">
        <f>FMS_Ranking4[[#This Row],[ArcSinh Res struct removed 0-10]]*AN$5*10</f>
        <v>0</v>
      </c>
      <c r="AP855" s="254">
        <f>ASINH(FMS_Ranking4[[#This Row],[Residential Structures Removed Raw]])/AP$4*AN$5*100</f>
        <v>0</v>
      </c>
      <c r="AQ855" s="260">
        <f>(ASINH(FMS_Ranking4[[#This Row],[Residential Structures Removed Raw]]))*(10)/(ASINH(AN$4))</f>
        <v>0</v>
      </c>
      <c r="AR855" s="253">
        <f>_xlfn.XLOOKUP(FMS_Ranking4[[#This Row],[FMS ID]],FMS_Input[FMS_ID],FMS_Input[REMPOP100])</f>
        <v>0</v>
      </c>
      <c r="AS855" s="259">
        <f>(ASINH(FMS_Ranking4[[#This Row],[Removed Pop Raw]]))*(10)/(ASINH(AR$4))</f>
        <v>0</v>
      </c>
      <c r="AT855" s="263">
        <f>FMS_Ranking4[[#This Row],[Removed population, ArcSinh (0-10)]]*AR$5*10</f>
        <v>0</v>
      </c>
      <c r="AU855" s="264">
        <f>_xlfn.XLOOKUP(FMS_Ranking4[[#This Row],[FMS ID]],FMS_Input[FMS_ID],FMS_Input[REMCRITFAC100])</f>
        <v>0</v>
      </c>
      <c r="AV855" s="264">
        <f>_xlfn.XLOOKUP(FMS_Ranking4[[#This Row],[FMS ID]],FMS_Input[FMS_ID],FMS_Input[REMLWC100])</f>
        <v>0</v>
      </c>
      <c r="AW855" s="264">
        <f>_xlfn.XLOOKUP(FMS_Ranking4[[#This Row],[FMS ID]],FMS_Input[FMS_ID],FMS_Input[REMROADCLS])</f>
        <v>0</v>
      </c>
      <c r="AX855" s="264">
        <f>_xlfn.XLOOKUP(FMS_Ranking4[[#This Row],[FMS ID]],FMS_Input[FMS_ID],FMS_Input[REMFRMACRE100])</f>
        <v>0</v>
      </c>
      <c r="AY855" s="258">
        <f>_xlfn.XLOOKUP(FMS_Ranking4[[#This Row],[FMS ID]],FMS_Input[FMS_ID],FMS_Input[COSTSTRUCT])</f>
        <v>0</v>
      </c>
      <c r="AZ855" s="258">
        <f>_xlfn.XLOOKUP(FMS_Ranking4[[#This Row],[FMS ID]],FMS_Input[FMS_ID],FMS_Input[NATURE])</f>
        <v>0</v>
      </c>
      <c r="BA855" s="290">
        <f>(((FMS_Ranking4[[#This Row],[% NBS Raw]]/AZ$4)*100)*AZ$5)</f>
        <v>0</v>
      </c>
      <c r="BB855" s="251" t="str">
        <f>_xlfn.XLOOKUP(FMS_Ranking4[[#This Row],[FMS ID]],FMS_Input[FMS_ID],FMS_Input[WATER_SUP])</f>
        <v>No</v>
      </c>
      <c r="BC855" s="265">
        <f>IF(FMS_Ranking4[[#This Row],[Water Supply Raw]]="Yes",10,0)</f>
        <v>0</v>
      </c>
      <c r="BD855" s="251">
        <f>_xlfn.XLOOKUP(FMS_Ranking4[[#This Row],[FMS Type]],FMS_TYPE[FMS_Type],FMS_TYPE[Score])</f>
        <v>4</v>
      </c>
      <c r="BE855" s="267">
        <f>FMS_Ranking4[[#This Row],[FMS_Type Score]]*$BD$5*10</f>
        <v>1</v>
      </c>
      <c r="BF855"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55" s="271">
        <f>_xlfn.RANK.EQ(BF855,$BF$8:$BF$870,0)+COUNTIF($BF$8:BF855,BF855)-1</f>
        <v>849</v>
      </c>
      <c r="BH855" s="268">
        <f>(((FMS_Ranking4[[#This Row],[Structures Removed Raw]]/AK$4)*100)*AK$5)+(((FMS_Ranking4[[#This Row],[Removed Pop Raw]]/AR$4)*100)*AR$5)</f>
        <v>0</v>
      </c>
      <c r="BI85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55" s="325">
        <f>_xlfn.RANK.EQ(FMS_Ranking4[[#This Row],[Total Score 
(with linear
normalization)]],FMS_Ranking4[Total Score 
(with linear
normalization)],0)</f>
        <v>752</v>
      </c>
      <c r="BK855" s="327" t="e">
        <f>_xlfn.XLOOKUP(FMS_Ranking4[[#This Row],[FMS ID]],#REF!,#REF!)</f>
        <v>#REF!</v>
      </c>
      <c r="BL855"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55" s="330">
        <f>FMS_Ranking4[[#This Row],[ArcSinh Score Based on Normalized Reported Factors]]+FMS_Ranking4[[#This Row],[% NBS Score (Normalized)]]+(FMS_Ranking4[[#This Row],[Water Supply Score (Normalized)]]*10*$BB$5)+FMS_Ranking4[[#This Row],[FMS_Type Score Weighted]]</f>
        <v>1</v>
      </c>
      <c r="BN855" s="332">
        <f>_xlfn.RANK.EQ(FMS_Ranking4[[#This Row],[Total Score (with ArcSinh normalization of select criteria)]],FMS_Ranking4[Total Score (with ArcSinh normalization of select criteria)],0)</f>
        <v>845</v>
      </c>
      <c r="BO855" s="270" t="str">
        <f>_xlfn.XLOOKUP(FMS_Ranking4[[#This Row],[FMS ID]],FMS_Input[FMS_ID],FMS_Input[FMS_RANK_YEAR])</f>
        <v>2025 Amended Plan</v>
      </c>
      <c r="BP855" s="204" t="e">
        <f>_xlfn.XLOOKUP(FMS_Ranking4[[#This Row],[FMS ID]],Prev_Rank[FMS ID],Prev_Rank[Prev Rank])</f>
        <v>#N/A</v>
      </c>
      <c r="BQ855" s="334" t="e">
        <f>_xlfn.XLOOKUP(FMS_Ranking4[[#This Row],[FMS ID]],#REF!,#REF!)</f>
        <v>#REF!</v>
      </c>
      <c r="BR855" s="199" t="e">
        <f>SUM(#REF!,#REF!,#REF!,#REF!,#REF!,#REF!,#REF!,#REF!,#REF!,FMS_Ranking4[[#This Row],[ArcSinh Res struct removed 0-10]],#REF!)</f>
        <v>#REF!</v>
      </c>
      <c r="BS855" s="199" t="e">
        <f>FMS_Ranking4[[#This Row],[Log Score Based on Normalized Reported Factors]]+FMS_Ranking4[[#This Row],[% NBS Score (Normalized)]]+(FMS_Ranking4[[#This Row],[Water Supply Score (Normalized)]]*10*$BB$5)+(FMS_Ranking4[[#This Row],[FMS_Type Score Weighted]])</f>
        <v>#REF!</v>
      </c>
      <c r="BT855" s="200" t="e">
        <f>_xlfn.RANK.EQ(FMS_Ranking4[[#This Row],[Log Total Score]],FMS_Ranking4[Log Total Score],0)</f>
        <v>#REF!</v>
      </c>
      <c r="BU855" s="200" t="e">
        <f>_xlfn.XLOOKUP(FMS_Ranking4[[#This Row],[FMS ID]],#REF!,#REF!)</f>
        <v>#REF!</v>
      </c>
      <c r="BV855" s="200">
        <f>FMS_Ranking4[[#This Row],[Region Number]]</f>
        <v>8</v>
      </c>
      <c r="BW855" s="200">
        <f>FMS_Ranking4[[#This Row],[Rank (with ArcSinh normalization of select criteria)]]-FMS_Ranking4[[#This Row],[Rank
(with linear
normalization)]]</f>
        <v>93</v>
      </c>
      <c r="BX855" s="200" t="e">
        <f>FMS_Ranking4[[#This Row],[Log Rank]]-FMS_Ranking4[[#This Row],[Rank
(with linear
normalization)]]</f>
        <v>#REF!</v>
      </c>
      <c r="BY855" s="200" t="str">
        <f>IF(FMS_Ranking4[[#This Row],[FMS Type]]="Flood Measurement and Warning",FMS_Ranking4[[#This Row],[Rank (with ArcSinh normalization of select criteria)]],"")</f>
        <v/>
      </c>
      <c r="BZ855" s="200" t="str">
        <f>IF(FMS_Ranking4[[#This Row],[FMS Type]]="Regulatory and Guidance",FMS_Ranking4[[#This Row],[Rank (with ArcSinh normalization of select criteria)]],"")</f>
        <v/>
      </c>
      <c r="CA855" s="200" t="str">
        <f>IF(FMS_Ranking4[[#This Row],[FMS Type]]="Education and Outreach",FMS_Ranking4[[#This Row],[Rank (with ArcSinh normalization of select criteria)]],"")</f>
        <v/>
      </c>
      <c r="CB855" s="200">
        <f>IF(FMS_Ranking4[[#This Row],[FMS Type]]="Property Acquisition and Structural Elevation",FMS_Ranking4[[#This Row],[Rank (with ArcSinh normalization of select criteria)]],"")</f>
        <v>845</v>
      </c>
      <c r="CC855" s="200" t="str">
        <f>IF(FMS_Ranking4[[#This Row],[FMS Type]]="Infrastructure Projects",FMS_Ranking4[[#This Row],[Rank (with ArcSinh normalization of select criteria)]],"")</f>
        <v/>
      </c>
      <c r="CD855" s="200" t="str">
        <f>IF(FMS_Ranking4[[#This Row],[FMS Type]]="Other",FMS_Ranking4[[#This Row],[Rank (with ArcSinh normalization of select criteria)]],"")</f>
        <v/>
      </c>
    </row>
    <row r="856" spans="2:82" ht="60" x14ac:dyDescent="0.25">
      <c r="B856" s="342" t="s">
        <v>4938</v>
      </c>
      <c r="C856" s="287">
        <f>_xlfn.XLOOKUP(FMS_Ranking4[[#This Row],[FMS ID]],FMS_Input[FMS_ID],FMS_Input[RFPG_NUM])</f>
        <v>8</v>
      </c>
      <c r="D856" s="309" t="str">
        <f>_xlfn.XLOOKUP(FMS_Ranking4[[#This Row],[FMS ID]],FMS_Input[FMS_ID],FMS_Input[FMS_NAME])</f>
        <v>City of College Station Property Acquisition</v>
      </c>
      <c r="E856" s="322" t="str">
        <f>_xlfn.XLOOKUP(FMS_Ranking4[[#This Row],[FMS ID]],FMS_Input[FMS_ID],FMS_Input[SPONSOR])</f>
        <v>08003439</v>
      </c>
      <c r="F856" s="309" t="str">
        <f>_xlfn.XLOOKUP(FMS_Ranking4[[#This Row],[FMS ID]],Sponsor[FMS_ID],Sponsor[SPONSOR NAME])</f>
        <v>College Station</v>
      </c>
      <c r="G856" s="309" t="str">
        <f>_xlfn.XLOOKUP(FMS_Ranking4[[#This Row],[FMS ID]],FMS_Input[FMS_ID],FMS_Input[FMS_DESCR])</f>
        <v>Buyout program for structures located in flood hazard areas.</v>
      </c>
      <c r="H856" s="247" t="str">
        <f>_xlfn.XLOOKUP(FMS_Ranking4[[#This Row],[FMS ID]],FMS_Input[FMS_ID],FMS_Input[FMS_TYPE])</f>
        <v>Property Acquisition and Structural Elevation</v>
      </c>
      <c r="I856" s="288">
        <f>_xlfn.XLOOKUP(FMS_Ranking4[[#This Row],[FMS ID]],FMS_Input[FMS_ID],FMS_Input[NRNC_COST])</f>
        <v>1000000</v>
      </c>
      <c r="J856" s="250">
        <f>_xlfn.XLOOKUP(FMS_Ranking4[[#This Row],[FMS ID]],FMS_Input[FMS_ID],FMS_Input[FMS_COST])</f>
        <v>1000000</v>
      </c>
      <c r="K856" s="289" t="str">
        <f>_xlfn.XLOOKUP(FMS_Ranking4[[#This Row],[FMS ID]],FMS_Input[FMS_ID],FMS_Input[EMER_NEED])</f>
        <v>No</v>
      </c>
      <c r="L856" s="252">
        <f t="shared" si="13"/>
        <v>0</v>
      </c>
      <c r="M856" s="253">
        <f>_xlfn.XLOOKUP(FMS_Ranking4[[#This Row],[FMS ID]],FMS_Input[FMS_ID],FMS_Input[STRUCT_100])</f>
        <v>0</v>
      </c>
      <c r="N856" s="255">
        <f>(ASINH(FMS_Ranking4[[#This Row],[Structure at Risk Raw]]))*(10)/(ASINH(M$4))</f>
        <v>0</v>
      </c>
      <c r="O856" s="255">
        <f>FMS_Ranking4[[#This Row],[Structures at risk, ArcSinh (0-10)]]*M$5*10</f>
        <v>0</v>
      </c>
      <c r="P856" s="259">
        <f>_xlfn.XLOOKUP(FMS_Ranking4[[#This Row],[FMS ID]],FMS_Input[FMS_ID],FMS_Input[RES_STRUCT100])</f>
        <v>0</v>
      </c>
      <c r="Q856" s="257">
        <f>ASINH(FMS_Ranking4[[#This Row],[Res Structure Raw]])/Q$4*P$5*100</f>
        <v>0</v>
      </c>
      <c r="R856" s="259">
        <f>_xlfn.XLOOKUP(FMS_Ranking4[[#This Row],[FMS ID]],FMS_Input[FMS_ID],FMS_Input[POP100])</f>
        <v>0</v>
      </c>
      <c r="S856" s="259">
        <f>(ASINH(FMS_Ranking4[[#This Row],[Pop at Risk Raw]]))*(10)/(ASINH(R$4))</f>
        <v>0</v>
      </c>
      <c r="T856" s="257">
        <f>FMS_Ranking4[[#This Row],[Population at risk, ArcSinh (0-10)]]*R$5*10</f>
        <v>0</v>
      </c>
      <c r="U856" s="259">
        <f>_xlfn.XLOOKUP(FMS_Ranking4[[#This Row],[FMS ID]],FMS_Input[FMS_ID],FMS_Input[CRITFAC100])</f>
        <v>0</v>
      </c>
      <c r="V856" s="259">
        <f>(ASINH(FMS_Ranking4[[#This Row],[Critical Facilities Raw]]))*(10)/(ASINH(U$4))</f>
        <v>0</v>
      </c>
      <c r="W856" s="257">
        <f>FMS_Ranking4[[#This Row],[Critical facilities at risk, ArcSinh (0-10)]]*U$5*10</f>
        <v>0</v>
      </c>
      <c r="X856" s="259">
        <f>_xlfn.XLOOKUP(FMS_Ranking4[[#This Row],[FMS ID]],FMS_Input[FMS_ID],FMS_Input[LWC])</f>
        <v>0</v>
      </c>
      <c r="Y856" s="259">
        <f>(ASINH(FMS_Ranking4[[#This Row],[LWC Raw]]))*(10)/(ASINH(X$4))</f>
        <v>0</v>
      </c>
      <c r="Z856" s="257">
        <f>FMS_Ranking4[[#This Row],[LWC, ArcSInh (0-10)]]*X$5*10</f>
        <v>0</v>
      </c>
      <c r="AA856" s="259">
        <f>_xlfn.XLOOKUP(FMS_Ranking4[[#This Row],[FMS ID]],FMS_Input[FMS_ID],FMS_Input[ROADCLS])</f>
        <v>0</v>
      </c>
      <c r="AB856" s="255">
        <f>(ASINH(FMS_Ranking4[[#This Row],[Road Closures Raw]]))*(10)/(ASINH(AA$4))</f>
        <v>0</v>
      </c>
      <c r="AC856" s="255">
        <f>FMS_Ranking4[[#This Row],[Road closures, ArcSinh (0-10)]]*AA$5*10</f>
        <v>0</v>
      </c>
      <c r="AD856" s="259">
        <f>_xlfn.XLOOKUP(FMS_Ranking4[[#This Row],[FMS ID]],FMS_Input[FMS_ID],FMS_Input[ROAD_MILES100])</f>
        <v>0</v>
      </c>
      <c r="AE856" s="259">
        <f>(ASINH(FMS_Ranking4[[#This Row],[Road Miles Raw]]))*(10)/(ASINH(AD$4))</f>
        <v>0</v>
      </c>
      <c r="AF856" s="257">
        <f>FMS_Ranking4[[#This Row],[Length of roads at risk, ArcSinh (0-10)]]*AD$5*10</f>
        <v>0</v>
      </c>
      <c r="AG856" s="259">
        <f>_xlfn.XLOOKUP(FMS_Ranking4[[#This Row],[FMS ID]],FMS_Input[FMS_ID],FMS_Input[FARMACRE100])</f>
        <v>0</v>
      </c>
      <c r="AH856" s="255">
        <f>(ASINH(FMS_Ranking4[[#This Row],[Ag Land Raw]]))*(10)/(ASINH(AG$4))</f>
        <v>0</v>
      </c>
      <c r="AI856" s="254">
        <f>FMS_Ranking4[[#This Row],[Farm &amp; ranch land, ArcSinh (0-10)]]*AG$5*10</f>
        <v>0</v>
      </c>
      <c r="AJ856" s="258">
        <f>_xlfn.XLOOKUP(FMS_Ranking4[[#This Row],[FMS ID]],FMS_Input[FMS_ID],FMS_Input[REDSTRUCT100])</f>
        <v>0</v>
      </c>
      <c r="AK856" s="253">
        <f>_xlfn.XLOOKUP(FMS_Ranking4[[#This Row],[FMS ID]],FMS_Input[FMS_ID],FMS_Input[REMSTRC100])</f>
        <v>0</v>
      </c>
      <c r="AL856" s="259">
        <f>(ASINH(FMS_Ranking4[[#This Row],[Structures Removed Raw]]))*(10)/(ASINH(AK$4))</f>
        <v>0</v>
      </c>
      <c r="AM856" s="254">
        <f>FMS_Ranking4[[#This Row],[Structures removed, ArcSinh (0-10)]]*AK$5*10</f>
        <v>0</v>
      </c>
      <c r="AN856" s="253">
        <f>_xlfn.XLOOKUP(FMS_Ranking4[[#This Row],[FMS ID]],FMS_Input[FMS_ID],FMS_Input[REMRESSTRC100])</f>
        <v>0</v>
      </c>
      <c r="AO856" s="258">
        <f>FMS_Ranking4[[#This Row],[ArcSinh Res struct removed 0-10]]*AN$5*10</f>
        <v>0</v>
      </c>
      <c r="AP856" s="254">
        <f>ASINH(FMS_Ranking4[[#This Row],[Residential Structures Removed Raw]])/AP$4*AN$5*100</f>
        <v>0</v>
      </c>
      <c r="AQ856" s="260">
        <f>(ASINH(FMS_Ranking4[[#This Row],[Residential Structures Removed Raw]]))*(10)/(ASINH(AN$4))</f>
        <v>0</v>
      </c>
      <c r="AR856" s="253">
        <f>_xlfn.XLOOKUP(FMS_Ranking4[[#This Row],[FMS ID]],FMS_Input[FMS_ID],FMS_Input[REMPOP100])</f>
        <v>0</v>
      </c>
      <c r="AS856" s="259">
        <f>(ASINH(FMS_Ranking4[[#This Row],[Removed Pop Raw]]))*(10)/(ASINH(AR$4))</f>
        <v>0</v>
      </c>
      <c r="AT856" s="263">
        <f>FMS_Ranking4[[#This Row],[Removed population, ArcSinh (0-10)]]*AR$5*10</f>
        <v>0</v>
      </c>
      <c r="AU856" s="264">
        <f>_xlfn.XLOOKUP(FMS_Ranking4[[#This Row],[FMS ID]],FMS_Input[FMS_ID],FMS_Input[REMCRITFAC100])</f>
        <v>0</v>
      </c>
      <c r="AV856" s="264">
        <f>_xlfn.XLOOKUP(FMS_Ranking4[[#This Row],[FMS ID]],FMS_Input[FMS_ID],FMS_Input[REMLWC100])</f>
        <v>0</v>
      </c>
      <c r="AW856" s="264">
        <f>_xlfn.XLOOKUP(FMS_Ranking4[[#This Row],[FMS ID]],FMS_Input[FMS_ID],FMS_Input[REMROADCLS])</f>
        <v>0</v>
      </c>
      <c r="AX856" s="264">
        <f>_xlfn.XLOOKUP(FMS_Ranking4[[#This Row],[FMS ID]],FMS_Input[FMS_ID],FMS_Input[REMFRMACRE100])</f>
        <v>0</v>
      </c>
      <c r="AY856" s="258">
        <f>_xlfn.XLOOKUP(FMS_Ranking4[[#This Row],[FMS ID]],FMS_Input[FMS_ID],FMS_Input[COSTSTRUCT])</f>
        <v>0</v>
      </c>
      <c r="AZ856" s="258">
        <f>_xlfn.XLOOKUP(FMS_Ranking4[[#This Row],[FMS ID]],FMS_Input[FMS_ID],FMS_Input[NATURE])</f>
        <v>0</v>
      </c>
      <c r="BA856" s="290">
        <f>(((FMS_Ranking4[[#This Row],[% NBS Raw]]/AZ$4)*100)*AZ$5)</f>
        <v>0</v>
      </c>
      <c r="BB856" s="251" t="str">
        <f>_xlfn.XLOOKUP(FMS_Ranking4[[#This Row],[FMS ID]],FMS_Input[FMS_ID],FMS_Input[WATER_SUP])</f>
        <v>No</v>
      </c>
      <c r="BC856" s="265">
        <f>IF(FMS_Ranking4[[#This Row],[Water Supply Raw]]="Yes",10,0)</f>
        <v>0</v>
      </c>
      <c r="BD856" s="251">
        <f>_xlfn.XLOOKUP(FMS_Ranking4[[#This Row],[FMS Type]],FMS_TYPE[FMS_Type],FMS_TYPE[Score])</f>
        <v>4</v>
      </c>
      <c r="BE856" s="267">
        <f>FMS_Ranking4[[#This Row],[FMS_Type Score]]*$BD$5*10</f>
        <v>1</v>
      </c>
      <c r="BF856"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56" s="271">
        <f>_xlfn.RANK.EQ(BF856,$BF$8:$BF$870,0)+COUNTIF($BF$8:BF856,BF856)-1</f>
        <v>850</v>
      </c>
      <c r="BH856" s="268">
        <f>(((FMS_Ranking4[[#This Row],[Structures Removed Raw]]/AK$4)*100)*AK$5)+(((FMS_Ranking4[[#This Row],[Removed Pop Raw]]/AR$4)*100)*AR$5)</f>
        <v>0</v>
      </c>
      <c r="BI856"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56" s="325">
        <f>_xlfn.RANK.EQ(FMS_Ranking4[[#This Row],[Total Score 
(with linear
normalization)]],FMS_Ranking4[Total Score 
(with linear
normalization)],0)</f>
        <v>752</v>
      </c>
      <c r="BK856" s="327" t="e">
        <f>_xlfn.XLOOKUP(FMS_Ranking4[[#This Row],[FMS ID]],#REF!,#REF!)</f>
        <v>#REF!</v>
      </c>
      <c r="BL856"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56" s="330">
        <f>FMS_Ranking4[[#This Row],[ArcSinh Score Based on Normalized Reported Factors]]+FMS_Ranking4[[#This Row],[% NBS Score (Normalized)]]+(FMS_Ranking4[[#This Row],[Water Supply Score (Normalized)]]*10*$BB$5)+FMS_Ranking4[[#This Row],[FMS_Type Score Weighted]]</f>
        <v>1</v>
      </c>
      <c r="BN856" s="332">
        <f>_xlfn.RANK.EQ(FMS_Ranking4[[#This Row],[Total Score (with ArcSinh normalization of select criteria)]],FMS_Ranking4[Total Score (with ArcSinh normalization of select criteria)],0)</f>
        <v>845</v>
      </c>
      <c r="BO856" s="270" t="str">
        <f>_xlfn.XLOOKUP(FMS_Ranking4[[#This Row],[FMS ID]],FMS_Input[FMS_ID],FMS_Input[FMS_RANK_YEAR])</f>
        <v>2023 Amended Plan</v>
      </c>
      <c r="BP856" s="204">
        <f>_xlfn.XLOOKUP(FMS_Ranking4[[#This Row],[FMS ID]],Prev_Rank[FMS ID],Prev_Rank[Prev Rank])</f>
        <v>761</v>
      </c>
      <c r="BQ856" s="334" t="e">
        <f>_xlfn.XLOOKUP(FMS_Ranking4[[#This Row],[FMS ID]],#REF!,#REF!)</f>
        <v>#REF!</v>
      </c>
      <c r="BR856" s="199" t="e">
        <f>SUM(#REF!,#REF!,#REF!,#REF!,#REF!,#REF!,#REF!,#REF!,#REF!,FMS_Ranking4[[#This Row],[ArcSinh Res struct removed 0-10]],#REF!)</f>
        <v>#REF!</v>
      </c>
      <c r="BS856" s="199" t="e">
        <f>FMS_Ranking4[[#This Row],[Log Score Based on Normalized Reported Factors]]+FMS_Ranking4[[#This Row],[% NBS Score (Normalized)]]+(FMS_Ranking4[[#This Row],[Water Supply Score (Normalized)]]*10*$BB$5)+(FMS_Ranking4[[#This Row],[FMS_Type Score Weighted]])</f>
        <v>#REF!</v>
      </c>
      <c r="BT856" s="200" t="e">
        <f>_xlfn.RANK.EQ(FMS_Ranking4[[#This Row],[Log Total Score]],FMS_Ranking4[Log Total Score],0)</f>
        <v>#REF!</v>
      </c>
      <c r="BU856" s="200" t="e">
        <f>_xlfn.XLOOKUP(FMS_Ranking4[[#This Row],[FMS ID]],#REF!,#REF!)</f>
        <v>#REF!</v>
      </c>
      <c r="BV856" s="200">
        <f>FMS_Ranking4[[#This Row],[Region Number]]</f>
        <v>8</v>
      </c>
      <c r="BW856" s="200">
        <f>FMS_Ranking4[[#This Row],[Rank (with ArcSinh normalization of select criteria)]]-FMS_Ranking4[[#This Row],[Rank
(with linear
normalization)]]</f>
        <v>93</v>
      </c>
      <c r="BX856" s="200" t="e">
        <f>FMS_Ranking4[[#This Row],[Log Rank]]-FMS_Ranking4[[#This Row],[Rank
(with linear
normalization)]]</f>
        <v>#REF!</v>
      </c>
      <c r="BY856" s="200" t="str">
        <f>IF(FMS_Ranking4[[#This Row],[FMS Type]]="Flood Measurement and Warning",FMS_Ranking4[[#This Row],[Rank (with ArcSinh normalization of select criteria)]],"")</f>
        <v/>
      </c>
      <c r="BZ856" s="200" t="str">
        <f>IF(FMS_Ranking4[[#This Row],[FMS Type]]="Regulatory and Guidance",FMS_Ranking4[[#This Row],[Rank (with ArcSinh normalization of select criteria)]],"")</f>
        <v/>
      </c>
      <c r="CA856" s="200" t="str">
        <f>IF(FMS_Ranking4[[#This Row],[FMS Type]]="Education and Outreach",FMS_Ranking4[[#This Row],[Rank (with ArcSinh normalization of select criteria)]],"")</f>
        <v/>
      </c>
      <c r="CB856" s="200">
        <f>IF(FMS_Ranking4[[#This Row],[FMS Type]]="Property Acquisition and Structural Elevation",FMS_Ranking4[[#This Row],[Rank (with ArcSinh normalization of select criteria)]],"")</f>
        <v>845</v>
      </c>
      <c r="CC856" s="200" t="str">
        <f>IF(FMS_Ranking4[[#This Row],[FMS Type]]="Infrastructure Projects",FMS_Ranking4[[#This Row],[Rank (with ArcSinh normalization of select criteria)]],"")</f>
        <v/>
      </c>
      <c r="CD856" s="200" t="str">
        <f>IF(FMS_Ranking4[[#This Row],[FMS Type]]="Other",FMS_Ranking4[[#This Row],[Rank (with ArcSinh normalization of select criteria)]],"")</f>
        <v/>
      </c>
    </row>
    <row r="857" spans="2:82" ht="120" x14ac:dyDescent="0.25">
      <c r="B857" s="342" t="s">
        <v>12477</v>
      </c>
      <c r="C857" s="287">
        <f>_xlfn.XLOOKUP(FMS_Ranking4[[#This Row],[FMS ID]],FMS_Input[FMS_ID],FMS_Input[RFPG_NUM])</f>
        <v>8</v>
      </c>
      <c r="D857" s="309" t="str">
        <f>_xlfn.XLOOKUP(FMS_Ranking4[[#This Row],[FMS ID]],FMS_Input[FMS_ID],FMS_Input[FMS_NAME])</f>
        <v>City of Killeen Flood-Prone/Repetitive Loss Properties</v>
      </c>
      <c r="E857" s="322" t="str">
        <f>_xlfn.XLOOKUP(FMS_Ranking4[[#This Row],[FMS ID]],FMS_Input[FMS_ID],FMS_Input[SPONSOR])</f>
        <v>08003530</v>
      </c>
      <c r="F857" s="309" t="str">
        <f>_xlfn.XLOOKUP(FMS_Ranking4[[#This Row],[FMS ID]],Sponsor[FMS_ID],Sponsor[SPONSOR NAME])</f>
        <v>Killeen</v>
      </c>
      <c r="G857" s="309" t="str">
        <f>_xlfn.XLOOKUP(FMS_Ranking4[[#This Row],[FMS ID]],FMS_Input[FMS_ID],FMS_Input[FMS_DESCR])</f>
        <v>Acquire homes and properties in flood-prone areas to reduce loss of property and life in the event of a flood. This project will contribute to the elimination of flood risk damages to high-risk structures and prevent future losses in flood hazard areas.</v>
      </c>
      <c r="H857" s="247" t="str">
        <f>_xlfn.XLOOKUP(FMS_Ranking4[[#This Row],[FMS ID]],FMS_Input[FMS_ID],FMS_Input[FMS_TYPE])</f>
        <v>Property Acquisition and Structural Elevation</v>
      </c>
      <c r="I857" s="288">
        <f>_xlfn.XLOOKUP(FMS_Ranking4[[#This Row],[FMS ID]],FMS_Input[FMS_ID],FMS_Input[NRNC_COST])</f>
        <v>1000000</v>
      </c>
      <c r="J857" s="250">
        <f>_xlfn.XLOOKUP(FMS_Ranking4[[#This Row],[FMS ID]],FMS_Input[FMS_ID],FMS_Input[FMS_COST])</f>
        <v>1000000</v>
      </c>
      <c r="K857" s="289" t="str">
        <f>_xlfn.XLOOKUP(FMS_Ranking4[[#This Row],[FMS ID]],FMS_Input[FMS_ID],FMS_Input[EMER_NEED])</f>
        <v>No</v>
      </c>
      <c r="L857" s="252">
        <f t="shared" si="13"/>
        <v>0</v>
      </c>
      <c r="M857" s="253">
        <f>_xlfn.XLOOKUP(FMS_Ranking4[[#This Row],[FMS ID]],FMS_Input[FMS_ID],FMS_Input[STRUCT_100])</f>
        <v>0</v>
      </c>
      <c r="N857" s="255">
        <f>(ASINH(FMS_Ranking4[[#This Row],[Structure at Risk Raw]]))*(10)/(ASINH(M$4))</f>
        <v>0</v>
      </c>
      <c r="O857" s="255">
        <f>FMS_Ranking4[[#This Row],[Structures at risk, ArcSinh (0-10)]]*M$5*10</f>
        <v>0</v>
      </c>
      <c r="P857" s="259">
        <f>_xlfn.XLOOKUP(FMS_Ranking4[[#This Row],[FMS ID]],FMS_Input[FMS_ID],FMS_Input[RES_STRUCT100])</f>
        <v>0</v>
      </c>
      <c r="Q857" s="257">
        <f>ASINH(FMS_Ranking4[[#This Row],[Res Structure Raw]])/Q$4*P$5*100</f>
        <v>0</v>
      </c>
      <c r="R857" s="259">
        <f>_xlfn.XLOOKUP(FMS_Ranking4[[#This Row],[FMS ID]],FMS_Input[FMS_ID],FMS_Input[POP100])</f>
        <v>0</v>
      </c>
      <c r="S857" s="259">
        <f>(ASINH(FMS_Ranking4[[#This Row],[Pop at Risk Raw]]))*(10)/(ASINH(R$4))</f>
        <v>0</v>
      </c>
      <c r="T857" s="257">
        <f>FMS_Ranking4[[#This Row],[Population at risk, ArcSinh (0-10)]]*R$5*10</f>
        <v>0</v>
      </c>
      <c r="U857" s="259">
        <f>_xlfn.XLOOKUP(FMS_Ranking4[[#This Row],[FMS ID]],FMS_Input[FMS_ID],FMS_Input[CRITFAC100])</f>
        <v>0</v>
      </c>
      <c r="V857" s="259">
        <f>(ASINH(FMS_Ranking4[[#This Row],[Critical Facilities Raw]]))*(10)/(ASINH(U$4))</f>
        <v>0</v>
      </c>
      <c r="W857" s="257">
        <f>FMS_Ranking4[[#This Row],[Critical facilities at risk, ArcSinh (0-10)]]*U$5*10</f>
        <v>0</v>
      </c>
      <c r="X857" s="259">
        <f>_xlfn.XLOOKUP(FMS_Ranking4[[#This Row],[FMS ID]],FMS_Input[FMS_ID],FMS_Input[LWC])</f>
        <v>0</v>
      </c>
      <c r="Y857" s="259">
        <f>(ASINH(FMS_Ranking4[[#This Row],[LWC Raw]]))*(10)/(ASINH(X$4))</f>
        <v>0</v>
      </c>
      <c r="Z857" s="257">
        <f>FMS_Ranking4[[#This Row],[LWC, ArcSInh (0-10)]]*X$5*10</f>
        <v>0</v>
      </c>
      <c r="AA857" s="259">
        <f>_xlfn.XLOOKUP(FMS_Ranking4[[#This Row],[FMS ID]],FMS_Input[FMS_ID],FMS_Input[ROADCLS])</f>
        <v>0</v>
      </c>
      <c r="AB857" s="255">
        <f>(ASINH(FMS_Ranking4[[#This Row],[Road Closures Raw]]))*(10)/(ASINH(AA$4))</f>
        <v>0</v>
      </c>
      <c r="AC857" s="255">
        <f>FMS_Ranking4[[#This Row],[Road closures, ArcSinh (0-10)]]*AA$5*10</f>
        <v>0</v>
      </c>
      <c r="AD857" s="259">
        <f>_xlfn.XLOOKUP(FMS_Ranking4[[#This Row],[FMS ID]],FMS_Input[FMS_ID],FMS_Input[ROAD_MILES100])</f>
        <v>0</v>
      </c>
      <c r="AE857" s="259">
        <f>(ASINH(FMS_Ranking4[[#This Row],[Road Miles Raw]]))*(10)/(ASINH(AD$4))</f>
        <v>0</v>
      </c>
      <c r="AF857" s="257">
        <f>FMS_Ranking4[[#This Row],[Length of roads at risk, ArcSinh (0-10)]]*AD$5*10</f>
        <v>0</v>
      </c>
      <c r="AG857" s="259">
        <f>_xlfn.XLOOKUP(FMS_Ranking4[[#This Row],[FMS ID]],FMS_Input[FMS_ID],FMS_Input[FARMACRE100])</f>
        <v>0</v>
      </c>
      <c r="AH857" s="255">
        <f>(ASINH(FMS_Ranking4[[#This Row],[Ag Land Raw]]))*(10)/(ASINH(AG$4))</f>
        <v>0</v>
      </c>
      <c r="AI857" s="254">
        <f>FMS_Ranking4[[#This Row],[Farm &amp; ranch land, ArcSinh (0-10)]]*AG$5*10</f>
        <v>0</v>
      </c>
      <c r="AJ857" s="258">
        <f>_xlfn.XLOOKUP(FMS_Ranking4[[#This Row],[FMS ID]],FMS_Input[FMS_ID],FMS_Input[REDSTRUCT100])</f>
        <v>0</v>
      </c>
      <c r="AK857" s="253">
        <f>_xlfn.XLOOKUP(FMS_Ranking4[[#This Row],[FMS ID]],FMS_Input[FMS_ID],FMS_Input[REMSTRC100])</f>
        <v>0</v>
      </c>
      <c r="AL857" s="259">
        <f>(ASINH(FMS_Ranking4[[#This Row],[Structures Removed Raw]]))*(10)/(ASINH(AK$4))</f>
        <v>0</v>
      </c>
      <c r="AM857" s="254">
        <f>FMS_Ranking4[[#This Row],[Structures removed, ArcSinh (0-10)]]*AK$5*10</f>
        <v>0</v>
      </c>
      <c r="AN857" s="253">
        <f>_xlfn.XLOOKUP(FMS_Ranking4[[#This Row],[FMS ID]],FMS_Input[FMS_ID],FMS_Input[REMRESSTRC100])</f>
        <v>0</v>
      </c>
      <c r="AO857" s="258">
        <f>FMS_Ranking4[[#This Row],[ArcSinh Res struct removed 0-10]]*AN$5*10</f>
        <v>0</v>
      </c>
      <c r="AP857" s="254">
        <f>ASINH(FMS_Ranking4[[#This Row],[Residential Structures Removed Raw]])/AP$4*AN$5*100</f>
        <v>0</v>
      </c>
      <c r="AQ857" s="260">
        <f>(ASINH(FMS_Ranking4[[#This Row],[Residential Structures Removed Raw]]))*(10)/(ASINH(AN$4))</f>
        <v>0</v>
      </c>
      <c r="AR857" s="253">
        <f>_xlfn.XLOOKUP(FMS_Ranking4[[#This Row],[FMS ID]],FMS_Input[FMS_ID],FMS_Input[REMPOP100])</f>
        <v>0</v>
      </c>
      <c r="AS857" s="259">
        <f>(ASINH(FMS_Ranking4[[#This Row],[Removed Pop Raw]]))*(10)/(ASINH(AR$4))</f>
        <v>0</v>
      </c>
      <c r="AT857" s="263">
        <f>FMS_Ranking4[[#This Row],[Removed population, ArcSinh (0-10)]]*AR$5*10</f>
        <v>0</v>
      </c>
      <c r="AU857" s="264">
        <f>_xlfn.XLOOKUP(FMS_Ranking4[[#This Row],[FMS ID]],FMS_Input[FMS_ID],FMS_Input[REMCRITFAC100])</f>
        <v>0</v>
      </c>
      <c r="AV857" s="264">
        <f>_xlfn.XLOOKUP(FMS_Ranking4[[#This Row],[FMS ID]],FMS_Input[FMS_ID],FMS_Input[REMLWC100])</f>
        <v>0</v>
      </c>
      <c r="AW857" s="264">
        <f>_xlfn.XLOOKUP(FMS_Ranking4[[#This Row],[FMS ID]],FMS_Input[FMS_ID],FMS_Input[REMROADCLS])</f>
        <v>0</v>
      </c>
      <c r="AX857" s="264">
        <f>_xlfn.XLOOKUP(FMS_Ranking4[[#This Row],[FMS ID]],FMS_Input[FMS_ID],FMS_Input[REMFRMACRE100])</f>
        <v>0</v>
      </c>
      <c r="AY857" s="258">
        <f>_xlfn.XLOOKUP(FMS_Ranking4[[#This Row],[FMS ID]],FMS_Input[FMS_ID],FMS_Input[COSTSTRUCT])</f>
        <v>0</v>
      </c>
      <c r="AZ857" s="258">
        <f>_xlfn.XLOOKUP(FMS_Ranking4[[#This Row],[FMS ID]],FMS_Input[FMS_ID],FMS_Input[NATURE])</f>
        <v>0</v>
      </c>
      <c r="BA857" s="290">
        <f>(((FMS_Ranking4[[#This Row],[% NBS Raw]]/AZ$4)*100)*AZ$5)</f>
        <v>0</v>
      </c>
      <c r="BB857" s="251" t="str">
        <f>_xlfn.XLOOKUP(FMS_Ranking4[[#This Row],[FMS ID]],FMS_Input[FMS_ID],FMS_Input[WATER_SUP])</f>
        <v>No</v>
      </c>
      <c r="BC857" s="265">
        <f>IF(FMS_Ranking4[[#This Row],[Water Supply Raw]]="Yes",10,0)</f>
        <v>0</v>
      </c>
      <c r="BD857" s="251">
        <f>_xlfn.XLOOKUP(FMS_Ranking4[[#This Row],[FMS Type]],FMS_TYPE[FMS_Type],FMS_TYPE[Score])</f>
        <v>4</v>
      </c>
      <c r="BE857" s="267">
        <f>FMS_Ranking4[[#This Row],[FMS_Type Score]]*$BD$5*10</f>
        <v>1</v>
      </c>
      <c r="BF85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57" s="271">
        <f>_xlfn.RANK.EQ(BF857,$BF$8:$BF$870,0)+COUNTIF($BF$8:BF857,BF857)-1</f>
        <v>851</v>
      </c>
      <c r="BH857" s="268">
        <f>(((FMS_Ranking4[[#This Row],[Structures Removed Raw]]/AK$4)*100)*AK$5)+(((FMS_Ranking4[[#This Row],[Removed Pop Raw]]/AR$4)*100)*AR$5)</f>
        <v>0</v>
      </c>
      <c r="BI85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57" s="325">
        <f>_xlfn.RANK.EQ(FMS_Ranking4[[#This Row],[Total Score 
(with linear
normalization)]],FMS_Ranking4[Total Score 
(with linear
normalization)],0)</f>
        <v>752</v>
      </c>
      <c r="BK857" s="327" t="e">
        <f>_xlfn.XLOOKUP(FMS_Ranking4[[#This Row],[FMS ID]],#REF!,#REF!)</f>
        <v>#REF!</v>
      </c>
      <c r="BL85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57" s="330">
        <f>FMS_Ranking4[[#This Row],[ArcSinh Score Based on Normalized Reported Factors]]+FMS_Ranking4[[#This Row],[% NBS Score (Normalized)]]+(FMS_Ranking4[[#This Row],[Water Supply Score (Normalized)]]*10*$BB$5)+FMS_Ranking4[[#This Row],[FMS_Type Score Weighted]]</f>
        <v>1</v>
      </c>
      <c r="BN857" s="332">
        <f>_xlfn.RANK.EQ(FMS_Ranking4[[#This Row],[Total Score (with ArcSinh normalization of select criteria)]],FMS_Ranking4[Total Score (with ArcSinh normalization of select criteria)],0)</f>
        <v>845</v>
      </c>
      <c r="BO857" s="270" t="str">
        <f>_xlfn.XLOOKUP(FMS_Ranking4[[#This Row],[FMS ID]],FMS_Input[FMS_ID],FMS_Input[FMS_RANK_YEAR])</f>
        <v>2025 Amended Plan</v>
      </c>
      <c r="BP857" s="204" t="e">
        <f>_xlfn.XLOOKUP(FMS_Ranking4[[#This Row],[FMS ID]],Prev_Rank[FMS ID],Prev_Rank[Prev Rank])</f>
        <v>#N/A</v>
      </c>
      <c r="BQ857" s="334" t="e">
        <f>_xlfn.XLOOKUP(FMS_Ranking4[[#This Row],[FMS ID]],#REF!,#REF!)</f>
        <v>#REF!</v>
      </c>
      <c r="BR857" s="199" t="e">
        <f>SUM(#REF!,#REF!,#REF!,#REF!,#REF!,#REF!,#REF!,#REF!,#REF!,FMS_Ranking4[[#This Row],[ArcSinh Res struct removed 0-10]],#REF!)</f>
        <v>#REF!</v>
      </c>
      <c r="BS857" s="199" t="e">
        <f>FMS_Ranking4[[#This Row],[Log Score Based on Normalized Reported Factors]]+FMS_Ranking4[[#This Row],[% NBS Score (Normalized)]]+(FMS_Ranking4[[#This Row],[Water Supply Score (Normalized)]]*10*$BB$5)+(FMS_Ranking4[[#This Row],[FMS_Type Score Weighted]])</f>
        <v>#REF!</v>
      </c>
      <c r="BT857" s="200" t="e">
        <f>_xlfn.RANK.EQ(FMS_Ranking4[[#This Row],[Log Total Score]],FMS_Ranking4[Log Total Score],0)</f>
        <v>#REF!</v>
      </c>
      <c r="BU857" s="200" t="e">
        <f>_xlfn.XLOOKUP(FMS_Ranking4[[#This Row],[FMS ID]],#REF!,#REF!)</f>
        <v>#REF!</v>
      </c>
      <c r="BV857" s="200">
        <f>FMS_Ranking4[[#This Row],[Region Number]]</f>
        <v>8</v>
      </c>
      <c r="BW857" s="200">
        <f>FMS_Ranking4[[#This Row],[Rank (with ArcSinh normalization of select criteria)]]-FMS_Ranking4[[#This Row],[Rank
(with linear
normalization)]]</f>
        <v>93</v>
      </c>
      <c r="BX857" s="200" t="e">
        <f>FMS_Ranking4[[#This Row],[Log Rank]]-FMS_Ranking4[[#This Row],[Rank
(with linear
normalization)]]</f>
        <v>#REF!</v>
      </c>
      <c r="BY857" s="200" t="str">
        <f>IF(FMS_Ranking4[[#This Row],[FMS Type]]="Flood Measurement and Warning",FMS_Ranking4[[#This Row],[Rank (with ArcSinh normalization of select criteria)]],"")</f>
        <v/>
      </c>
      <c r="BZ857" s="200" t="str">
        <f>IF(FMS_Ranking4[[#This Row],[FMS Type]]="Regulatory and Guidance",FMS_Ranking4[[#This Row],[Rank (with ArcSinh normalization of select criteria)]],"")</f>
        <v/>
      </c>
      <c r="CA857" s="200" t="str">
        <f>IF(FMS_Ranking4[[#This Row],[FMS Type]]="Education and Outreach",FMS_Ranking4[[#This Row],[Rank (with ArcSinh normalization of select criteria)]],"")</f>
        <v/>
      </c>
      <c r="CB857" s="200">
        <f>IF(FMS_Ranking4[[#This Row],[FMS Type]]="Property Acquisition and Structural Elevation",FMS_Ranking4[[#This Row],[Rank (with ArcSinh normalization of select criteria)]],"")</f>
        <v>845</v>
      </c>
      <c r="CC857" s="200" t="str">
        <f>IF(FMS_Ranking4[[#This Row],[FMS Type]]="Infrastructure Projects",FMS_Ranking4[[#This Row],[Rank (with ArcSinh normalization of select criteria)]],"")</f>
        <v/>
      </c>
      <c r="CD857" s="200" t="str">
        <f>IF(FMS_Ranking4[[#This Row],[FMS Type]]="Other",FMS_Ranking4[[#This Row],[Rank (with ArcSinh normalization of select criteria)]],"")</f>
        <v/>
      </c>
    </row>
    <row r="858" spans="2:82" ht="75" x14ac:dyDescent="0.25">
      <c r="B858" s="342" t="s">
        <v>12515</v>
      </c>
      <c r="C858" s="287">
        <f>_xlfn.XLOOKUP(FMS_Ranking4[[#This Row],[FMS ID]],FMS_Input[FMS_ID],FMS_Input[RFPG_NUM])</f>
        <v>8</v>
      </c>
      <c r="D858" s="309" t="str">
        <f>_xlfn.XLOOKUP(FMS_Ranking4[[#This Row],[FMS ID]],FMS_Input[FMS_ID],FMS_Input[FMS_NAME])</f>
        <v>Cedar Park Property Acquisition</v>
      </c>
      <c r="E858" s="322" t="str">
        <f>_xlfn.XLOOKUP(FMS_Ranking4[[#This Row],[FMS ID]],FMS_Input[FMS_ID],FMS_Input[SPONSOR])</f>
        <v>00003454</v>
      </c>
      <c r="F858" s="309" t="str">
        <f>_xlfn.XLOOKUP(FMS_Ranking4[[#This Row],[FMS ID]],Sponsor[FMS_ID],Sponsor[SPONSOR NAME])</f>
        <v>Cedar Park</v>
      </c>
      <c r="G858" s="309" t="str">
        <f>_xlfn.XLOOKUP(FMS_Ranking4[[#This Row],[FMS ID]],FMS_Input[FMS_ID],FMS_Input[FMS_DESCR])</f>
        <v>Property acquisition program with a prioritization of residential structures in the FEMA regulatory floodway and floodplain.</v>
      </c>
      <c r="H858" s="247" t="str">
        <f>_xlfn.XLOOKUP(FMS_Ranking4[[#This Row],[FMS ID]],FMS_Input[FMS_ID],FMS_Input[FMS_TYPE])</f>
        <v>Property Acquisition and Structural Elevation</v>
      </c>
      <c r="I858" s="288">
        <f>_xlfn.XLOOKUP(FMS_Ranking4[[#This Row],[FMS ID]],FMS_Input[FMS_ID],FMS_Input[NRNC_COST])</f>
        <v>1000000</v>
      </c>
      <c r="J858" s="250">
        <f>_xlfn.XLOOKUP(FMS_Ranking4[[#This Row],[FMS ID]],FMS_Input[FMS_ID],FMS_Input[FMS_COST])</f>
        <v>1000000</v>
      </c>
      <c r="K858" s="289" t="str">
        <f>_xlfn.XLOOKUP(FMS_Ranking4[[#This Row],[FMS ID]],FMS_Input[FMS_ID],FMS_Input[EMER_NEED])</f>
        <v>Yes</v>
      </c>
      <c r="L858" s="252">
        <f t="shared" si="13"/>
        <v>1</v>
      </c>
      <c r="M858" s="253">
        <f>_xlfn.XLOOKUP(FMS_Ranking4[[#This Row],[FMS ID]],FMS_Input[FMS_ID],FMS_Input[STRUCT_100])</f>
        <v>0</v>
      </c>
      <c r="N858" s="255">
        <f>(ASINH(FMS_Ranking4[[#This Row],[Structure at Risk Raw]]))*(10)/(ASINH(M$4))</f>
        <v>0</v>
      </c>
      <c r="O858" s="255">
        <f>FMS_Ranking4[[#This Row],[Structures at risk, ArcSinh (0-10)]]*M$5*10</f>
        <v>0</v>
      </c>
      <c r="P858" s="259">
        <f>_xlfn.XLOOKUP(FMS_Ranking4[[#This Row],[FMS ID]],FMS_Input[FMS_ID],FMS_Input[RES_STRUCT100])</f>
        <v>0</v>
      </c>
      <c r="Q858" s="257">
        <f>ASINH(FMS_Ranking4[[#This Row],[Res Structure Raw]])/Q$4*P$5*100</f>
        <v>0</v>
      </c>
      <c r="R858" s="259">
        <f>_xlfn.XLOOKUP(FMS_Ranking4[[#This Row],[FMS ID]],FMS_Input[FMS_ID],FMS_Input[POP100])</f>
        <v>0</v>
      </c>
      <c r="S858" s="259">
        <f>(ASINH(FMS_Ranking4[[#This Row],[Pop at Risk Raw]]))*(10)/(ASINH(R$4))</f>
        <v>0</v>
      </c>
      <c r="T858" s="257">
        <f>FMS_Ranking4[[#This Row],[Population at risk, ArcSinh (0-10)]]*R$5*10</f>
        <v>0</v>
      </c>
      <c r="U858" s="259">
        <f>_xlfn.XLOOKUP(FMS_Ranking4[[#This Row],[FMS ID]],FMS_Input[FMS_ID],FMS_Input[CRITFAC100])</f>
        <v>0</v>
      </c>
      <c r="V858" s="259">
        <f>(ASINH(FMS_Ranking4[[#This Row],[Critical Facilities Raw]]))*(10)/(ASINH(U$4))</f>
        <v>0</v>
      </c>
      <c r="W858" s="257">
        <f>FMS_Ranking4[[#This Row],[Critical facilities at risk, ArcSinh (0-10)]]*U$5*10</f>
        <v>0</v>
      </c>
      <c r="X858" s="259">
        <f>_xlfn.XLOOKUP(FMS_Ranking4[[#This Row],[FMS ID]],FMS_Input[FMS_ID],FMS_Input[LWC])</f>
        <v>0</v>
      </c>
      <c r="Y858" s="259">
        <f>(ASINH(FMS_Ranking4[[#This Row],[LWC Raw]]))*(10)/(ASINH(X$4))</f>
        <v>0</v>
      </c>
      <c r="Z858" s="257">
        <f>FMS_Ranking4[[#This Row],[LWC, ArcSInh (0-10)]]*X$5*10</f>
        <v>0</v>
      </c>
      <c r="AA858" s="259">
        <f>_xlfn.XLOOKUP(FMS_Ranking4[[#This Row],[FMS ID]],FMS_Input[FMS_ID],FMS_Input[ROADCLS])</f>
        <v>0</v>
      </c>
      <c r="AB858" s="255">
        <f>(ASINH(FMS_Ranking4[[#This Row],[Road Closures Raw]]))*(10)/(ASINH(AA$4))</f>
        <v>0</v>
      </c>
      <c r="AC858" s="255">
        <f>FMS_Ranking4[[#This Row],[Road closures, ArcSinh (0-10)]]*AA$5*10</f>
        <v>0</v>
      </c>
      <c r="AD858" s="259">
        <f>_xlfn.XLOOKUP(FMS_Ranking4[[#This Row],[FMS ID]],FMS_Input[FMS_ID],FMS_Input[ROAD_MILES100])</f>
        <v>0</v>
      </c>
      <c r="AE858" s="259">
        <f>(ASINH(FMS_Ranking4[[#This Row],[Road Miles Raw]]))*(10)/(ASINH(AD$4))</f>
        <v>0</v>
      </c>
      <c r="AF858" s="257">
        <f>FMS_Ranking4[[#This Row],[Length of roads at risk, ArcSinh (0-10)]]*AD$5*10</f>
        <v>0</v>
      </c>
      <c r="AG858" s="259">
        <f>_xlfn.XLOOKUP(FMS_Ranking4[[#This Row],[FMS ID]],FMS_Input[FMS_ID],FMS_Input[FARMACRE100])</f>
        <v>0</v>
      </c>
      <c r="AH858" s="255">
        <f>(ASINH(FMS_Ranking4[[#This Row],[Ag Land Raw]]))*(10)/(ASINH(AG$4))</f>
        <v>0</v>
      </c>
      <c r="AI858" s="254">
        <f>FMS_Ranking4[[#This Row],[Farm &amp; ranch land, ArcSinh (0-10)]]*AG$5*10</f>
        <v>0</v>
      </c>
      <c r="AJ858" s="258">
        <f>_xlfn.XLOOKUP(FMS_Ranking4[[#This Row],[FMS ID]],FMS_Input[FMS_ID],FMS_Input[REDSTRUCT100])</f>
        <v>0</v>
      </c>
      <c r="AK858" s="253">
        <f>_xlfn.XLOOKUP(FMS_Ranking4[[#This Row],[FMS ID]],FMS_Input[FMS_ID],FMS_Input[REMSTRC100])</f>
        <v>0</v>
      </c>
      <c r="AL858" s="259">
        <f>(ASINH(FMS_Ranking4[[#This Row],[Structures Removed Raw]]))*(10)/(ASINH(AK$4))</f>
        <v>0</v>
      </c>
      <c r="AM858" s="254">
        <f>FMS_Ranking4[[#This Row],[Structures removed, ArcSinh (0-10)]]*AK$5*10</f>
        <v>0</v>
      </c>
      <c r="AN858" s="253">
        <f>_xlfn.XLOOKUP(FMS_Ranking4[[#This Row],[FMS ID]],FMS_Input[FMS_ID],FMS_Input[REMRESSTRC100])</f>
        <v>0</v>
      </c>
      <c r="AO858" s="258">
        <f>FMS_Ranking4[[#This Row],[ArcSinh Res struct removed 0-10]]*AN$5*10</f>
        <v>0</v>
      </c>
      <c r="AP858" s="254">
        <f>ASINH(FMS_Ranking4[[#This Row],[Residential Structures Removed Raw]])/AP$4*AN$5*100</f>
        <v>0</v>
      </c>
      <c r="AQ858" s="260">
        <f>(ASINH(FMS_Ranking4[[#This Row],[Residential Structures Removed Raw]]))*(10)/(ASINH(AN$4))</f>
        <v>0</v>
      </c>
      <c r="AR858" s="253">
        <f>_xlfn.XLOOKUP(FMS_Ranking4[[#This Row],[FMS ID]],FMS_Input[FMS_ID],FMS_Input[REMPOP100])</f>
        <v>0</v>
      </c>
      <c r="AS858" s="259">
        <f>(ASINH(FMS_Ranking4[[#This Row],[Removed Pop Raw]]))*(10)/(ASINH(AR$4))</f>
        <v>0</v>
      </c>
      <c r="AT858" s="263">
        <f>FMS_Ranking4[[#This Row],[Removed population, ArcSinh (0-10)]]*AR$5*10</f>
        <v>0</v>
      </c>
      <c r="AU858" s="264">
        <f>_xlfn.XLOOKUP(FMS_Ranking4[[#This Row],[FMS ID]],FMS_Input[FMS_ID],FMS_Input[REMCRITFAC100])</f>
        <v>0</v>
      </c>
      <c r="AV858" s="264">
        <f>_xlfn.XLOOKUP(FMS_Ranking4[[#This Row],[FMS ID]],FMS_Input[FMS_ID],FMS_Input[REMLWC100])</f>
        <v>0</v>
      </c>
      <c r="AW858" s="264">
        <f>_xlfn.XLOOKUP(FMS_Ranking4[[#This Row],[FMS ID]],FMS_Input[FMS_ID],FMS_Input[REMROADCLS])</f>
        <v>0</v>
      </c>
      <c r="AX858" s="264">
        <f>_xlfn.XLOOKUP(FMS_Ranking4[[#This Row],[FMS ID]],FMS_Input[FMS_ID],FMS_Input[REMFRMACRE100])</f>
        <v>0</v>
      </c>
      <c r="AY858" s="258">
        <f>_xlfn.XLOOKUP(FMS_Ranking4[[#This Row],[FMS ID]],FMS_Input[FMS_ID],FMS_Input[COSTSTRUCT])</f>
        <v>0</v>
      </c>
      <c r="AZ858" s="258">
        <f>_xlfn.XLOOKUP(FMS_Ranking4[[#This Row],[FMS ID]],FMS_Input[FMS_ID],FMS_Input[NATURE])</f>
        <v>0</v>
      </c>
      <c r="BA858" s="290">
        <f>(((FMS_Ranking4[[#This Row],[% NBS Raw]]/AZ$4)*100)*AZ$5)</f>
        <v>0</v>
      </c>
      <c r="BB858" s="251" t="str">
        <f>_xlfn.XLOOKUP(FMS_Ranking4[[#This Row],[FMS ID]],FMS_Input[FMS_ID],FMS_Input[WATER_SUP])</f>
        <v>No</v>
      </c>
      <c r="BC858" s="265">
        <f>IF(FMS_Ranking4[[#This Row],[Water Supply Raw]]="Yes",10,0)</f>
        <v>0</v>
      </c>
      <c r="BD858" s="251">
        <f>_xlfn.XLOOKUP(FMS_Ranking4[[#This Row],[FMS Type]],FMS_TYPE[FMS_Type],FMS_TYPE[Score])</f>
        <v>4</v>
      </c>
      <c r="BE858" s="267">
        <f>FMS_Ranking4[[#This Row],[FMS_Type Score]]*$BD$5*10</f>
        <v>1</v>
      </c>
      <c r="BF85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58" s="271">
        <f>_xlfn.RANK.EQ(BF858,$BF$8:$BF$870,0)+COUNTIF($BF$8:BF858,BF858)-1</f>
        <v>852</v>
      </c>
      <c r="BH858" s="268">
        <f>(((FMS_Ranking4[[#This Row],[Structures Removed Raw]]/AK$4)*100)*AK$5)+(((FMS_Ranking4[[#This Row],[Removed Pop Raw]]/AR$4)*100)*AR$5)</f>
        <v>0</v>
      </c>
      <c r="BI85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58" s="325">
        <f>_xlfn.RANK.EQ(FMS_Ranking4[[#This Row],[Total Score 
(with linear
normalization)]],FMS_Ranking4[Total Score 
(with linear
normalization)],0)</f>
        <v>752</v>
      </c>
      <c r="BK858" s="327" t="e">
        <f>_xlfn.XLOOKUP(FMS_Ranking4[[#This Row],[FMS ID]],#REF!,#REF!)</f>
        <v>#REF!</v>
      </c>
      <c r="BL85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58" s="330">
        <f>FMS_Ranking4[[#This Row],[ArcSinh Score Based on Normalized Reported Factors]]+FMS_Ranking4[[#This Row],[% NBS Score (Normalized)]]+(FMS_Ranking4[[#This Row],[Water Supply Score (Normalized)]]*10*$BB$5)+FMS_Ranking4[[#This Row],[FMS_Type Score Weighted]]</f>
        <v>1</v>
      </c>
      <c r="BN858" s="332">
        <f>_xlfn.RANK.EQ(FMS_Ranking4[[#This Row],[Total Score (with ArcSinh normalization of select criteria)]],FMS_Ranking4[Total Score (with ArcSinh normalization of select criteria)],0)</f>
        <v>845</v>
      </c>
      <c r="BO858" s="270" t="str">
        <f>_xlfn.XLOOKUP(FMS_Ranking4[[#This Row],[FMS ID]],FMS_Input[FMS_ID],FMS_Input[FMS_RANK_YEAR])</f>
        <v>2025 Amended Plan</v>
      </c>
      <c r="BP858" s="204" t="e">
        <f>_xlfn.XLOOKUP(FMS_Ranking4[[#This Row],[FMS ID]],Prev_Rank[FMS ID],Prev_Rank[Prev Rank])</f>
        <v>#N/A</v>
      </c>
      <c r="BQ858" s="334" t="e">
        <f>_xlfn.XLOOKUP(FMS_Ranking4[[#This Row],[FMS ID]],#REF!,#REF!)</f>
        <v>#REF!</v>
      </c>
      <c r="BR858" s="199" t="e">
        <f>SUM(#REF!,#REF!,#REF!,#REF!,#REF!,#REF!,#REF!,#REF!,#REF!,FMS_Ranking4[[#This Row],[ArcSinh Res struct removed 0-10]],#REF!)</f>
        <v>#REF!</v>
      </c>
      <c r="BS858" s="199" t="e">
        <f>FMS_Ranking4[[#This Row],[Log Score Based on Normalized Reported Factors]]+FMS_Ranking4[[#This Row],[% NBS Score (Normalized)]]+(FMS_Ranking4[[#This Row],[Water Supply Score (Normalized)]]*10*$BB$5)+(FMS_Ranking4[[#This Row],[FMS_Type Score Weighted]])</f>
        <v>#REF!</v>
      </c>
      <c r="BT858" s="200" t="e">
        <f>_xlfn.RANK.EQ(FMS_Ranking4[[#This Row],[Log Total Score]],FMS_Ranking4[Log Total Score],0)</f>
        <v>#REF!</v>
      </c>
      <c r="BU858" s="200" t="e">
        <f>_xlfn.XLOOKUP(FMS_Ranking4[[#This Row],[FMS ID]],#REF!,#REF!)</f>
        <v>#REF!</v>
      </c>
      <c r="BV858" s="200">
        <f>FMS_Ranking4[[#This Row],[Region Number]]</f>
        <v>8</v>
      </c>
      <c r="BW858" s="200">
        <f>FMS_Ranking4[[#This Row],[Rank (with ArcSinh normalization of select criteria)]]-FMS_Ranking4[[#This Row],[Rank
(with linear
normalization)]]</f>
        <v>93</v>
      </c>
      <c r="BX858" s="200" t="e">
        <f>FMS_Ranking4[[#This Row],[Log Rank]]-FMS_Ranking4[[#This Row],[Rank
(with linear
normalization)]]</f>
        <v>#REF!</v>
      </c>
      <c r="BY858" s="200" t="str">
        <f>IF(FMS_Ranking4[[#This Row],[FMS Type]]="Flood Measurement and Warning",FMS_Ranking4[[#This Row],[Rank (with ArcSinh normalization of select criteria)]],"")</f>
        <v/>
      </c>
      <c r="BZ858" s="200" t="str">
        <f>IF(FMS_Ranking4[[#This Row],[FMS Type]]="Regulatory and Guidance",FMS_Ranking4[[#This Row],[Rank (with ArcSinh normalization of select criteria)]],"")</f>
        <v/>
      </c>
      <c r="CA858" s="200" t="str">
        <f>IF(FMS_Ranking4[[#This Row],[FMS Type]]="Education and Outreach",FMS_Ranking4[[#This Row],[Rank (with ArcSinh normalization of select criteria)]],"")</f>
        <v/>
      </c>
      <c r="CB858" s="200">
        <f>IF(FMS_Ranking4[[#This Row],[FMS Type]]="Property Acquisition and Structural Elevation",FMS_Ranking4[[#This Row],[Rank (with ArcSinh normalization of select criteria)]],"")</f>
        <v>845</v>
      </c>
      <c r="CC858" s="200" t="str">
        <f>IF(FMS_Ranking4[[#This Row],[FMS Type]]="Infrastructure Projects",FMS_Ranking4[[#This Row],[Rank (with ArcSinh normalization of select criteria)]],"")</f>
        <v/>
      </c>
      <c r="CD858" s="200" t="str">
        <f>IF(FMS_Ranking4[[#This Row],[FMS Type]]="Other",FMS_Ranking4[[#This Row],[Rank (with ArcSinh normalization of select criteria)]],"")</f>
        <v/>
      </c>
    </row>
    <row r="859" spans="2:82" ht="30" x14ac:dyDescent="0.25">
      <c r="B859" s="342" t="s">
        <v>4917</v>
      </c>
      <c r="C859" s="287">
        <f>_xlfn.XLOOKUP(FMS_Ranking4[[#This Row],[FMS ID]],FMS_Input[FMS_ID],FMS_Input[RFPG_NUM])</f>
        <v>8</v>
      </c>
      <c r="D859" s="309" t="str">
        <f>_xlfn.XLOOKUP(FMS_Ranking4[[#This Row],[FMS ID]],FMS_Input[FMS_ID],FMS_Input[FMS_NAME])</f>
        <v>City of Georgetown Lift Station Floodproofing</v>
      </c>
      <c r="E859" s="322" t="str">
        <f>_xlfn.XLOOKUP(FMS_Ranking4[[#This Row],[FMS ID]],FMS_Input[FMS_ID],FMS_Input[SPONSOR])</f>
        <v>08002580</v>
      </c>
      <c r="F859" s="309" t="str">
        <f>_xlfn.XLOOKUP(FMS_Ranking4[[#This Row],[FMS ID]],Sponsor[FMS_ID],Sponsor[SPONSOR NAME])</f>
        <v>Georgetown</v>
      </c>
      <c r="G859" s="309" t="str">
        <f>_xlfn.XLOOKUP(FMS_Ranking4[[#This Row],[FMS ID]],FMS_Input[FMS_ID],FMS_Input[FMS_DESCR])</f>
        <v>Flood proof city lift stations and manholes located in the SFHA.</v>
      </c>
      <c r="H859" s="247" t="str">
        <f>_xlfn.XLOOKUP(FMS_Ranking4[[#This Row],[FMS ID]],FMS_Input[FMS_ID],FMS_Input[FMS_TYPE])</f>
        <v>Infrastructure Projects</v>
      </c>
      <c r="I859" s="288">
        <f>_xlfn.XLOOKUP(FMS_Ranking4[[#This Row],[FMS ID]],FMS_Input[FMS_ID],FMS_Input[NRNC_COST])</f>
        <v>500000</v>
      </c>
      <c r="J859" s="250">
        <f>_xlfn.XLOOKUP(FMS_Ranking4[[#This Row],[FMS ID]],FMS_Input[FMS_ID],FMS_Input[FMS_COST])</f>
        <v>500000</v>
      </c>
      <c r="K859" s="289" t="str">
        <f>_xlfn.XLOOKUP(FMS_Ranking4[[#This Row],[FMS ID]],FMS_Input[FMS_ID],FMS_Input[EMER_NEED])</f>
        <v>No</v>
      </c>
      <c r="L859" s="252">
        <f t="shared" si="13"/>
        <v>0</v>
      </c>
      <c r="M859" s="253">
        <f>_xlfn.XLOOKUP(FMS_Ranking4[[#This Row],[FMS ID]],FMS_Input[FMS_ID],FMS_Input[STRUCT_100])</f>
        <v>0</v>
      </c>
      <c r="N859" s="255">
        <f>(ASINH(FMS_Ranking4[[#This Row],[Structure at Risk Raw]]))*(10)/(ASINH(M$4))</f>
        <v>0</v>
      </c>
      <c r="O859" s="255">
        <f>FMS_Ranking4[[#This Row],[Structures at risk, ArcSinh (0-10)]]*M$5*10</f>
        <v>0</v>
      </c>
      <c r="P859" s="259">
        <f>_xlfn.XLOOKUP(FMS_Ranking4[[#This Row],[FMS ID]],FMS_Input[FMS_ID],FMS_Input[RES_STRUCT100])</f>
        <v>0</v>
      </c>
      <c r="Q859" s="257">
        <f>ASINH(FMS_Ranking4[[#This Row],[Res Structure Raw]])/Q$4*P$5*100</f>
        <v>0</v>
      </c>
      <c r="R859" s="259">
        <f>_xlfn.XLOOKUP(FMS_Ranking4[[#This Row],[FMS ID]],FMS_Input[FMS_ID],FMS_Input[POP100])</f>
        <v>0</v>
      </c>
      <c r="S859" s="255">
        <f>(ASINH(FMS_Ranking4[[#This Row],[Pop at Risk Raw]]))*(10)/(ASINH(R$4))</f>
        <v>0</v>
      </c>
      <c r="T859" s="257">
        <f>FMS_Ranking4[[#This Row],[Population at risk, ArcSinh (0-10)]]*R$5*10</f>
        <v>0</v>
      </c>
      <c r="U859" s="259">
        <f>_xlfn.XLOOKUP(FMS_Ranking4[[#This Row],[FMS ID]],FMS_Input[FMS_ID],FMS_Input[CRITFAC100])</f>
        <v>0</v>
      </c>
      <c r="V859" s="255">
        <f>(ASINH(FMS_Ranking4[[#This Row],[Critical Facilities Raw]]))*(10)/(ASINH(U$4))</f>
        <v>0</v>
      </c>
      <c r="W859" s="257">
        <f>FMS_Ranking4[[#This Row],[Critical facilities at risk, ArcSinh (0-10)]]*U$5*10</f>
        <v>0</v>
      </c>
      <c r="X859" s="259">
        <f>_xlfn.XLOOKUP(FMS_Ranking4[[#This Row],[FMS ID]],FMS_Input[FMS_ID],FMS_Input[LWC])</f>
        <v>0</v>
      </c>
      <c r="Y859" s="255">
        <f>(ASINH(FMS_Ranking4[[#This Row],[LWC Raw]]))*(10)/(ASINH(X$4))</f>
        <v>0</v>
      </c>
      <c r="Z859" s="257">
        <f>FMS_Ranking4[[#This Row],[LWC, ArcSInh (0-10)]]*X$5*10</f>
        <v>0</v>
      </c>
      <c r="AA859" s="259">
        <f>_xlfn.XLOOKUP(FMS_Ranking4[[#This Row],[FMS ID]],FMS_Input[FMS_ID],FMS_Input[ROADCLS])</f>
        <v>0</v>
      </c>
      <c r="AB859" s="255">
        <f>(ASINH(FMS_Ranking4[[#This Row],[Road Closures Raw]]))*(10)/(ASINH(AA$4))</f>
        <v>0</v>
      </c>
      <c r="AC859" s="255">
        <f>FMS_Ranking4[[#This Row],[Road closures, ArcSinh (0-10)]]*AA$5*10</f>
        <v>0</v>
      </c>
      <c r="AD859" s="259">
        <f>_xlfn.XLOOKUP(FMS_Ranking4[[#This Row],[FMS ID]],FMS_Input[FMS_ID],FMS_Input[ROAD_MILES100])</f>
        <v>0</v>
      </c>
      <c r="AE859" s="255">
        <f>(ASINH(FMS_Ranking4[[#This Row],[Road Miles Raw]]))*(10)/(ASINH(AD$4))</f>
        <v>0</v>
      </c>
      <c r="AF859" s="257">
        <f>FMS_Ranking4[[#This Row],[Length of roads at risk, ArcSinh (0-10)]]*AD$5*10</f>
        <v>0</v>
      </c>
      <c r="AG859" s="259">
        <f>_xlfn.XLOOKUP(FMS_Ranking4[[#This Row],[FMS ID]],FMS_Input[FMS_ID],FMS_Input[FARMACRE100])</f>
        <v>0</v>
      </c>
      <c r="AH859" s="255">
        <f>(ASINH(FMS_Ranking4[[#This Row],[Ag Land Raw]]))*(10)/(ASINH(AG$4))</f>
        <v>0</v>
      </c>
      <c r="AI859" s="254">
        <f>FMS_Ranking4[[#This Row],[Farm &amp; ranch land, ArcSinh (0-10)]]*AG$5*10</f>
        <v>0</v>
      </c>
      <c r="AJ859" s="258">
        <f>_xlfn.XLOOKUP(FMS_Ranking4[[#This Row],[FMS ID]],FMS_Input[FMS_ID],FMS_Input[REDSTRUCT100])</f>
        <v>0</v>
      </c>
      <c r="AK859" s="253">
        <f>_xlfn.XLOOKUP(FMS_Ranking4[[#This Row],[FMS ID]],FMS_Input[FMS_ID],FMS_Input[REMSTRC100])</f>
        <v>0</v>
      </c>
      <c r="AL859" s="255">
        <f>(ASINH(FMS_Ranking4[[#This Row],[Structures Removed Raw]]))*(10)/(ASINH(AK$4))</f>
        <v>0</v>
      </c>
      <c r="AM859" s="254">
        <f>FMS_Ranking4[[#This Row],[Structures removed, ArcSinh (0-10)]]*AK$5*10</f>
        <v>0</v>
      </c>
      <c r="AN859" s="253">
        <f>_xlfn.XLOOKUP(FMS_Ranking4[[#This Row],[FMS ID]],FMS_Input[FMS_ID],FMS_Input[REMRESSTRC100])</f>
        <v>0</v>
      </c>
      <c r="AO859" s="258">
        <f>FMS_Ranking4[[#This Row],[ArcSinh Res struct removed 0-10]]*AN$5*10</f>
        <v>0</v>
      </c>
      <c r="AP859" s="254">
        <f>ASINH(FMS_Ranking4[[#This Row],[Residential Structures Removed Raw]])/AP$4*AN$5*100</f>
        <v>0</v>
      </c>
      <c r="AQ859" s="261">
        <f>(ASINH(FMS_Ranking4[[#This Row],[Residential Structures Removed Raw]]))*(10)/(ASINH(AN$4))</f>
        <v>0</v>
      </c>
      <c r="AR859" s="253">
        <f>_xlfn.XLOOKUP(FMS_Ranking4[[#This Row],[FMS ID]],FMS_Input[FMS_ID],FMS_Input[REMPOP100])</f>
        <v>0</v>
      </c>
      <c r="AS859" s="255">
        <f>(ASINH(FMS_Ranking4[[#This Row],[Removed Pop Raw]]))*(10)/(ASINH(AR$4))</f>
        <v>0</v>
      </c>
      <c r="AT859" s="263">
        <f>FMS_Ranking4[[#This Row],[Removed population, ArcSinh (0-10)]]*AR$5*10</f>
        <v>0</v>
      </c>
      <c r="AU859" s="264">
        <f>_xlfn.XLOOKUP(FMS_Ranking4[[#This Row],[FMS ID]],FMS_Input[FMS_ID],FMS_Input[REMCRITFAC100])</f>
        <v>0</v>
      </c>
      <c r="AV859" s="264">
        <f>_xlfn.XLOOKUP(FMS_Ranking4[[#This Row],[FMS ID]],FMS_Input[FMS_ID],FMS_Input[REMLWC100])</f>
        <v>0</v>
      </c>
      <c r="AW859" s="264">
        <f>_xlfn.XLOOKUP(FMS_Ranking4[[#This Row],[FMS ID]],FMS_Input[FMS_ID],FMS_Input[REMROADCLS])</f>
        <v>0</v>
      </c>
      <c r="AX859" s="264">
        <f>_xlfn.XLOOKUP(FMS_Ranking4[[#This Row],[FMS ID]],FMS_Input[FMS_ID],FMS_Input[REMFRMACRE100])</f>
        <v>0</v>
      </c>
      <c r="AY859" s="258">
        <f>_xlfn.XLOOKUP(FMS_Ranking4[[#This Row],[FMS ID]],FMS_Input[FMS_ID],FMS_Input[COSTSTRUCT])</f>
        <v>0</v>
      </c>
      <c r="AZ859" s="258">
        <f>_xlfn.XLOOKUP(FMS_Ranking4[[#This Row],[FMS ID]],FMS_Input[FMS_ID],FMS_Input[NATURE])</f>
        <v>0</v>
      </c>
      <c r="BA859" s="290">
        <f>(((FMS_Ranking4[[#This Row],[% NBS Raw]]/AZ$4)*100)*AZ$5)</f>
        <v>0</v>
      </c>
      <c r="BB859" s="251" t="str">
        <f>_xlfn.XLOOKUP(FMS_Ranking4[[#This Row],[FMS ID]],FMS_Input[FMS_ID],FMS_Input[WATER_SUP])</f>
        <v>No</v>
      </c>
      <c r="BC859" s="265">
        <f>IF(FMS_Ranking4[[#This Row],[Water Supply Raw]]="Yes",10,0)</f>
        <v>0</v>
      </c>
      <c r="BD859" s="251">
        <f>_xlfn.XLOOKUP(FMS_Ranking4[[#This Row],[FMS Type]],FMS_TYPE[FMS_Type],FMS_TYPE[Score])</f>
        <v>4</v>
      </c>
      <c r="BE859" s="267">
        <f>FMS_Ranking4[[#This Row],[FMS_Type Score]]*$BD$5*10</f>
        <v>1</v>
      </c>
      <c r="BF859"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59" s="321">
        <f>_xlfn.RANK.EQ(BF859,$BF$8:$BF$870,0)+COUNTIF($BF$8:BF859,BF859)-1</f>
        <v>853</v>
      </c>
      <c r="BH859" s="294">
        <f>(((FMS_Ranking4[[#This Row],[Structures Removed Raw]]/AK$4)*100)*AK$5)+(((FMS_Ranking4[[#This Row],[Removed Pop Raw]]/AR$4)*100)*AR$5)</f>
        <v>0</v>
      </c>
      <c r="BI859"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59" s="296">
        <f>_xlfn.RANK.EQ(FMS_Ranking4[[#This Row],[Total Score 
(with linear
normalization)]],FMS_Ranking4[Total Score 
(with linear
normalization)],0)</f>
        <v>752</v>
      </c>
      <c r="BK859" s="292" t="e">
        <f>_xlfn.XLOOKUP(FMS_Ranking4[[#This Row],[FMS ID]],#REF!,#REF!)</f>
        <v>#REF!</v>
      </c>
      <c r="BL859"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59" s="298">
        <f>FMS_Ranking4[[#This Row],[ArcSinh Score Based on Normalized Reported Factors]]+FMS_Ranking4[[#This Row],[% NBS Score (Normalized)]]+(FMS_Ranking4[[#This Row],[Water Supply Score (Normalized)]]*10*$BB$5)+FMS_Ranking4[[#This Row],[FMS_Type Score Weighted]]</f>
        <v>1</v>
      </c>
      <c r="BN859" s="323">
        <f>_xlfn.RANK.EQ(FMS_Ranking4[[#This Row],[Total Score (with ArcSinh normalization of select criteria)]],FMS_Ranking4[Total Score (with ArcSinh normalization of select criteria)],0)</f>
        <v>845</v>
      </c>
      <c r="BO859" s="270" t="str">
        <f>_xlfn.XLOOKUP(FMS_Ranking4[[#This Row],[FMS ID]],FMS_Input[FMS_ID],FMS_Input[FMS_RANK_YEAR])</f>
        <v>2023 Amended Plan</v>
      </c>
      <c r="BP859" s="204">
        <f>_xlfn.XLOOKUP(FMS_Ranking4[[#This Row],[FMS ID]],Prev_Rank[FMS ID],Prev_Rank[Prev Rank])</f>
        <v>761</v>
      </c>
      <c r="BQ859" s="265" t="e">
        <f>_xlfn.XLOOKUP(FMS_Ranking4[[#This Row],[FMS ID]],#REF!,#REF!)</f>
        <v>#REF!</v>
      </c>
      <c r="BR859" s="199" t="e">
        <f>SUM(#REF!,#REF!,#REF!,#REF!,#REF!,#REF!,#REF!,#REF!,#REF!,FMS_Ranking4[[#This Row],[ArcSinh Res struct removed 0-10]],#REF!)</f>
        <v>#REF!</v>
      </c>
      <c r="BS859" s="199" t="e">
        <f>FMS_Ranking4[[#This Row],[Log Score Based on Normalized Reported Factors]]+FMS_Ranking4[[#This Row],[% NBS Score (Normalized)]]+(FMS_Ranking4[[#This Row],[Water Supply Score (Normalized)]]*10*$BB$5)+(FMS_Ranking4[[#This Row],[FMS_Type Score Weighted]])</f>
        <v>#REF!</v>
      </c>
      <c r="BT859" s="200" t="e">
        <f>_xlfn.RANK.EQ(FMS_Ranking4[[#This Row],[Log Total Score]],FMS_Ranking4[Log Total Score],0)</f>
        <v>#REF!</v>
      </c>
      <c r="BU859" s="200" t="e">
        <f>_xlfn.XLOOKUP(FMS_Ranking4[[#This Row],[FMS ID]],#REF!,#REF!)</f>
        <v>#REF!</v>
      </c>
      <c r="BV859" s="200">
        <f>FMS_Ranking4[[#This Row],[Region Number]]</f>
        <v>8</v>
      </c>
      <c r="BW859" s="200">
        <f>FMS_Ranking4[[#This Row],[Rank (with ArcSinh normalization of select criteria)]]-FMS_Ranking4[[#This Row],[Rank
(with linear
normalization)]]</f>
        <v>93</v>
      </c>
      <c r="BX859" s="200" t="e">
        <f>FMS_Ranking4[[#This Row],[Log Rank]]-FMS_Ranking4[[#This Row],[Rank
(with linear
normalization)]]</f>
        <v>#REF!</v>
      </c>
      <c r="BY859" s="200" t="str">
        <f>IF(FMS_Ranking4[[#This Row],[FMS Type]]="Flood Measurement and Warning",FMS_Ranking4[[#This Row],[Rank (with ArcSinh normalization of select criteria)]],"")</f>
        <v/>
      </c>
      <c r="BZ859" s="200" t="str">
        <f>IF(FMS_Ranking4[[#This Row],[FMS Type]]="Regulatory and Guidance",FMS_Ranking4[[#This Row],[Rank (with ArcSinh normalization of select criteria)]],"")</f>
        <v/>
      </c>
      <c r="CA859" s="200" t="str">
        <f>IF(FMS_Ranking4[[#This Row],[FMS Type]]="Education and Outreach",FMS_Ranking4[[#This Row],[Rank (with ArcSinh normalization of select criteria)]],"")</f>
        <v/>
      </c>
      <c r="CB859" s="200" t="str">
        <f>IF(FMS_Ranking4[[#This Row],[FMS Type]]="Property Acquisition and Structural Elevation",FMS_Ranking4[[#This Row],[Rank (with ArcSinh normalization of select criteria)]],"")</f>
        <v/>
      </c>
      <c r="CC859" s="200">
        <f>IF(FMS_Ranking4[[#This Row],[FMS Type]]="Infrastructure Projects",FMS_Ranking4[[#This Row],[Rank (with ArcSinh normalization of select criteria)]],"")</f>
        <v>845</v>
      </c>
      <c r="CD859" s="200" t="str">
        <f>IF(FMS_Ranking4[[#This Row],[FMS Type]]="Other",FMS_Ranking4[[#This Row],[Rank (with ArcSinh normalization of select criteria)]],"")</f>
        <v/>
      </c>
    </row>
    <row r="860" spans="2:82" ht="90" x14ac:dyDescent="0.25">
      <c r="B860" s="342" t="s">
        <v>12497</v>
      </c>
      <c r="C860" s="287">
        <f>_xlfn.XLOOKUP(FMS_Ranking4[[#This Row],[FMS ID]],FMS_Input[FMS_ID],FMS_Input[RFPG_NUM])</f>
        <v>8</v>
      </c>
      <c r="D860" s="309" t="str">
        <f>_xlfn.XLOOKUP(FMS_Ranking4[[#This Row],[FMS ID]],FMS_Input[FMS_ID],FMS_Input[FMS_NAME])</f>
        <v>Regrading and Clear Out of College Station Creeks</v>
      </c>
      <c r="E860" s="322" t="str">
        <f>_xlfn.XLOOKUP(FMS_Ranking4[[#This Row],[FMS ID]],FMS_Input[FMS_ID],FMS_Input[SPONSOR])</f>
        <v>08003439</v>
      </c>
      <c r="F860" s="309" t="str">
        <f>_xlfn.XLOOKUP(FMS_Ranking4[[#This Row],[FMS ID]],Sponsor[FMS_ID],Sponsor[SPONSOR NAME])</f>
        <v>College Station</v>
      </c>
      <c r="G860" s="309" t="str">
        <f>_xlfn.XLOOKUP(FMS_Ranking4[[#This Row],[FMS ID]],FMS_Input[FMS_ID],FMS_Input[FMS_DESCR])</f>
        <v xml:space="preserve">Assessment and performance of potential impacts and benefits associated with the recovery of creek capacity through sedimentation removal and similar efforts. </v>
      </c>
      <c r="H860" s="247" t="str">
        <f>_xlfn.XLOOKUP(FMS_Ranking4[[#This Row],[FMS ID]],FMS_Input[FMS_ID],FMS_Input[FMS_TYPE])</f>
        <v>Infrastructure Projects</v>
      </c>
      <c r="I860" s="288">
        <f>_xlfn.XLOOKUP(FMS_Ranking4[[#This Row],[FMS ID]],FMS_Input[FMS_ID],FMS_Input[NRNC_COST])</f>
        <v>500000</v>
      </c>
      <c r="J860" s="250">
        <f>_xlfn.XLOOKUP(FMS_Ranking4[[#This Row],[FMS ID]],FMS_Input[FMS_ID],FMS_Input[FMS_COST])</f>
        <v>500000</v>
      </c>
      <c r="K860" s="289" t="str">
        <f>_xlfn.XLOOKUP(FMS_Ranking4[[#This Row],[FMS ID]],FMS_Input[FMS_ID],FMS_Input[EMER_NEED])</f>
        <v>No</v>
      </c>
      <c r="L860" s="252">
        <f t="shared" si="13"/>
        <v>0</v>
      </c>
      <c r="M860" s="253">
        <f>_xlfn.XLOOKUP(FMS_Ranking4[[#This Row],[FMS ID]],FMS_Input[FMS_ID],FMS_Input[STRUCT_100])</f>
        <v>0</v>
      </c>
      <c r="N860" s="255">
        <f>(ASINH(FMS_Ranking4[[#This Row],[Structure at Risk Raw]]))*(10)/(ASINH(M$4))</f>
        <v>0</v>
      </c>
      <c r="O860" s="255">
        <f>FMS_Ranking4[[#This Row],[Structures at risk, ArcSinh (0-10)]]*M$5*10</f>
        <v>0</v>
      </c>
      <c r="P860" s="259">
        <f>_xlfn.XLOOKUP(FMS_Ranking4[[#This Row],[FMS ID]],FMS_Input[FMS_ID],FMS_Input[RES_STRUCT100])</f>
        <v>0</v>
      </c>
      <c r="Q860" s="257">
        <f>ASINH(FMS_Ranking4[[#This Row],[Res Structure Raw]])/Q$4*P$5*100</f>
        <v>0</v>
      </c>
      <c r="R860" s="259">
        <f>_xlfn.XLOOKUP(FMS_Ranking4[[#This Row],[FMS ID]],FMS_Input[FMS_ID],FMS_Input[POP100])</f>
        <v>0</v>
      </c>
      <c r="S860" s="255">
        <f>(ASINH(FMS_Ranking4[[#This Row],[Pop at Risk Raw]]))*(10)/(ASINH(R$4))</f>
        <v>0</v>
      </c>
      <c r="T860" s="257">
        <f>FMS_Ranking4[[#This Row],[Population at risk, ArcSinh (0-10)]]*R$5*10</f>
        <v>0</v>
      </c>
      <c r="U860" s="259">
        <f>_xlfn.XLOOKUP(FMS_Ranking4[[#This Row],[FMS ID]],FMS_Input[FMS_ID],FMS_Input[CRITFAC100])</f>
        <v>0</v>
      </c>
      <c r="V860" s="255">
        <f>(ASINH(FMS_Ranking4[[#This Row],[Critical Facilities Raw]]))*(10)/(ASINH(U$4))</f>
        <v>0</v>
      </c>
      <c r="W860" s="257">
        <f>FMS_Ranking4[[#This Row],[Critical facilities at risk, ArcSinh (0-10)]]*U$5*10</f>
        <v>0</v>
      </c>
      <c r="X860" s="259">
        <f>_xlfn.XLOOKUP(FMS_Ranking4[[#This Row],[FMS ID]],FMS_Input[FMS_ID],FMS_Input[LWC])</f>
        <v>0</v>
      </c>
      <c r="Y860" s="255">
        <f>(ASINH(FMS_Ranking4[[#This Row],[LWC Raw]]))*(10)/(ASINH(X$4))</f>
        <v>0</v>
      </c>
      <c r="Z860" s="257">
        <f>FMS_Ranking4[[#This Row],[LWC, ArcSInh (0-10)]]*X$5*10</f>
        <v>0</v>
      </c>
      <c r="AA860" s="259">
        <f>_xlfn.XLOOKUP(FMS_Ranking4[[#This Row],[FMS ID]],FMS_Input[FMS_ID],FMS_Input[ROADCLS])</f>
        <v>0</v>
      </c>
      <c r="AB860" s="255">
        <f>(ASINH(FMS_Ranking4[[#This Row],[Road Closures Raw]]))*(10)/(ASINH(AA$4))</f>
        <v>0</v>
      </c>
      <c r="AC860" s="255">
        <f>FMS_Ranking4[[#This Row],[Road closures, ArcSinh (0-10)]]*AA$5*10</f>
        <v>0</v>
      </c>
      <c r="AD860" s="259">
        <f>_xlfn.XLOOKUP(FMS_Ranking4[[#This Row],[FMS ID]],FMS_Input[FMS_ID],FMS_Input[ROAD_MILES100])</f>
        <v>0</v>
      </c>
      <c r="AE860" s="255">
        <f>(ASINH(FMS_Ranking4[[#This Row],[Road Miles Raw]]))*(10)/(ASINH(AD$4))</f>
        <v>0</v>
      </c>
      <c r="AF860" s="257">
        <f>FMS_Ranking4[[#This Row],[Length of roads at risk, ArcSinh (0-10)]]*AD$5*10</f>
        <v>0</v>
      </c>
      <c r="AG860" s="259">
        <f>_xlfn.XLOOKUP(FMS_Ranking4[[#This Row],[FMS ID]],FMS_Input[FMS_ID],FMS_Input[FARMACRE100])</f>
        <v>0</v>
      </c>
      <c r="AH860" s="255">
        <f>(ASINH(FMS_Ranking4[[#This Row],[Ag Land Raw]]))*(10)/(ASINH(AG$4))</f>
        <v>0</v>
      </c>
      <c r="AI860" s="254">
        <f>FMS_Ranking4[[#This Row],[Farm &amp; ranch land, ArcSinh (0-10)]]*AG$5*10</f>
        <v>0</v>
      </c>
      <c r="AJ860" s="258">
        <f>_xlfn.XLOOKUP(FMS_Ranking4[[#This Row],[FMS ID]],FMS_Input[FMS_ID],FMS_Input[REDSTRUCT100])</f>
        <v>0</v>
      </c>
      <c r="AK860" s="253">
        <f>_xlfn.XLOOKUP(FMS_Ranking4[[#This Row],[FMS ID]],FMS_Input[FMS_ID],FMS_Input[REMSTRC100])</f>
        <v>0</v>
      </c>
      <c r="AL860" s="255">
        <f>(ASINH(FMS_Ranking4[[#This Row],[Structures Removed Raw]]))*(10)/(ASINH(AK$4))</f>
        <v>0</v>
      </c>
      <c r="AM860" s="254">
        <f>FMS_Ranking4[[#This Row],[Structures removed, ArcSinh (0-10)]]*AK$5*10</f>
        <v>0</v>
      </c>
      <c r="AN860" s="253">
        <f>_xlfn.XLOOKUP(FMS_Ranking4[[#This Row],[FMS ID]],FMS_Input[FMS_ID],FMS_Input[REMRESSTRC100])</f>
        <v>0</v>
      </c>
      <c r="AO860" s="258">
        <f>FMS_Ranking4[[#This Row],[ArcSinh Res struct removed 0-10]]*AN$5*10</f>
        <v>0</v>
      </c>
      <c r="AP860" s="254">
        <f>ASINH(FMS_Ranking4[[#This Row],[Residential Structures Removed Raw]])/AP$4*AN$5*100</f>
        <v>0</v>
      </c>
      <c r="AQ860" s="261">
        <f>(ASINH(FMS_Ranking4[[#This Row],[Residential Structures Removed Raw]]))*(10)/(ASINH(AN$4))</f>
        <v>0</v>
      </c>
      <c r="AR860" s="253">
        <f>_xlfn.XLOOKUP(FMS_Ranking4[[#This Row],[FMS ID]],FMS_Input[FMS_ID],FMS_Input[REMPOP100])</f>
        <v>0</v>
      </c>
      <c r="AS860" s="255">
        <f>(ASINH(FMS_Ranking4[[#This Row],[Removed Pop Raw]]))*(10)/(ASINH(AR$4))</f>
        <v>0</v>
      </c>
      <c r="AT860" s="263">
        <f>FMS_Ranking4[[#This Row],[Removed population, ArcSinh (0-10)]]*AR$5*10</f>
        <v>0</v>
      </c>
      <c r="AU860" s="264">
        <f>_xlfn.XLOOKUP(FMS_Ranking4[[#This Row],[FMS ID]],FMS_Input[FMS_ID],FMS_Input[REMCRITFAC100])</f>
        <v>0</v>
      </c>
      <c r="AV860" s="264">
        <f>_xlfn.XLOOKUP(FMS_Ranking4[[#This Row],[FMS ID]],FMS_Input[FMS_ID],FMS_Input[REMLWC100])</f>
        <v>0</v>
      </c>
      <c r="AW860" s="264">
        <f>_xlfn.XLOOKUP(FMS_Ranking4[[#This Row],[FMS ID]],FMS_Input[FMS_ID],FMS_Input[REMROADCLS])</f>
        <v>0</v>
      </c>
      <c r="AX860" s="264">
        <f>_xlfn.XLOOKUP(FMS_Ranking4[[#This Row],[FMS ID]],FMS_Input[FMS_ID],FMS_Input[REMFRMACRE100])</f>
        <v>0</v>
      </c>
      <c r="AY860" s="258">
        <f>_xlfn.XLOOKUP(FMS_Ranking4[[#This Row],[FMS ID]],FMS_Input[FMS_ID],FMS_Input[COSTSTRUCT])</f>
        <v>0</v>
      </c>
      <c r="AZ860" s="258">
        <f>_xlfn.XLOOKUP(FMS_Ranking4[[#This Row],[FMS ID]],FMS_Input[FMS_ID],FMS_Input[NATURE])</f>
        <v>0</v>
      </c>
      <c r="BA860" s="290">
        <f>(((FMS_Ranking4[[#This Row],[% NBS Raw]]/AZ$4)*100)*AZ$5)</f>
        <v>0</v>
      </c>
      <c r="BB860" s="251" t="str">
        <f>_xlfn.XLOOKUP(FMS_Ranking4[[#This Row],[FMS ID]],FMS_Input[FMS_ID],FMS_Input[WATER_SUP])</f>
        <v>No</v>
      </c>
      <c r="BC860" s="265">
        <f>IF(FMS_Ranking4[[#This Row],[Water Supply Raw]]="Yes",10,0)</f>
        <v>0</v>
      </c>
      <c r="BD860" s="251">
        <f>_xlfn.XLOOKUP(FMS_Ranking4[[#This Row],[FMS Type]],FMS_TYPE[FMS_Type],FMS_TYPE[Score])</f>
        <v>4</v>
      </c>
      <c r="BE860" s="267">
        <f>FMS_Ranking4[[#This Row],[FMS_Type Score]]*$BD$5*10</f>
        <v>1</v>
      </c>
      <c r="BF860"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60" s="321">
        <f>_xlfn.RANK.EQ(BF860,$BF$8:$BF$870,0)+COUNTIF($BF$8:BF860,BF860)-1</f>
        <v>854</v>
      </c>
      <c r="BH860" s="294">
        <f>(((FMS_Ranking4[[#This Row],[Structures Removed Raw]]/AK$4)*100)*AK$5)+(((FMS_Ranking4[[#This Row],[Removed Pop Raw]]/AR$4)*100)*AR$5)</f>
        <v>0</v>
      </c>
      <c r="BI860"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60" s="296">
        <f>_xlfn.RANK.EQ(FMS_Ranking4[[#This Row],[Total Score 
(with linear
normalization)]],FMS_Ranking4[Total Score 
(with linear
normalization)],0)</f>
        <v>752</v>
      </c>
      <c r="BK860" s="292" t="e">
        <f>_xlfn.XLOOKUP(FMS_Ranking4[[#This Row],[FMS ID]],#REF!,#REF!)</f>
        <v>#REF!</v>
      </c>
      <c r="BL860"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60" s="298">
        <f>FMS_Ranking4[[#This Row],[ArcSinh Score Based on Normalized Reported Factors]]+FMS_Ranking4[[#This Row],[% NBS Score (Normalized)]]+(FMS_Ranking4[[#This Row],[Water Supply Score (Normalized)]]*10*$BB$5)+FMS_Ranking4[[#This Row],[FMS_Type Score Weighted]]</f>
        <v>1</v>
      </c>
      <c r="BN860" s="323">
        <f>_xlfn.RANK.EQ(FMS_Ranking4[[#This Row],[Total Score (with ArcSinh normalization of select criteria)]],FMS_Ranking4[Total Score (with ArcSinh normalization of select criteria)],0)</f>
        <v>845</v>
      </c>
      <c r="BO860" s="270" t="str">
        <f>_xlfn.XLOOKUP(FMS_Ranking4[[#This Row],[FMS ID]],FMS_Input[FMS_ID],FMS_Input[FMS_RANK_YEAR])</f>
        <v>2025 Amended Plan</v>
      </c>
      <c r="BP860" s="204" t="e">
        <f>_xlfn.XLOOKUP(FMS_Ranking4[[#This Row],[FMS ID]],Prev_Rank[FMS ID],Prev_Rank[Prev Rank])</f>
        <v>#N/A</v>
      </c>
      <c r="BQ860" s="265" t="e">
        <f>_xlfn.XLOOKUP(FMS_Ranking4[[#This Row],[FMS ID]],#REF!,#REF!)</f>
        <v>#REF!</v>
      </c>
      <c r="BR860" s="199" t="e">
        <f>SUM(#REF!,#REF!,#REF!,#REF!,#REF!,#REF!,#REF!,#REF!,#REF!,FMS_Ranking4[[#This Row],[ArcSinh Res struct removed 0-10]],#REF!)</f>
        <v>#REF!</v>
      </c>
      <c r="BS860" s="199" t="e">
        <f>FMS_Ranking4[[#This Row],[Log Score Based on Normalized Reported Factors]]+FMS_Ranking4[[#This Row],[% NBS Score (Normalized)]]+(FMS_Ranking4[[#This Row],[Water Supply Score (Normalized)]]*10*$BB$5)+(FMS_Ranking4[[#This Row],[FMS_Type Score Weighted]])</f>
        <v>#REF!</v>
      </c>
      <c r="BT860" s="200" t="e">
        <f>_xlfn.RANK.EQ(FMS_Ranking4[[#This Row],[Log Total Score]],FMS_Ranking4[Log Total Score],0)</f>
        <v>#REF!</v>
      </c>
      <c r="BU860" s="200" t="e">
        <f>_xlfn.XLOOKUP(FMS_Ranking4[[#This Row],[FMS ID]],#REF!,#REF!)</f>
        <v>#REF!</v>
      </c>
      <c r="BV860" s="200">
        <f>FMS_Ranking4[[#This Row],[Region Number]]</f>
        <v>8</v>
      </c>
      <c r="BW860" s="200">
        <f>FMS_Ranking4[[#This Row],[Rank (with ArcSinh normalization of select criteria)]]-FMS_Ranking4[[#This Row],[Rank
(with linear
normalization)]]</f>
        <v>93</v>
      </c>
      <c r="BX860" s="200" t="e">
        <f>FMS_Ranking4[[#This Row],[Log Rank]]-FMS_Ranking4[[#This Row],[Rank
(with linear
normalization)]]</f>
        <v>#REF!</v>
      </c>
      <c r="BY860" s="200" t="str">
        <f>IF(FMS_Ranking4[[#This Row],[FMS Type]]="Flood Measurement and Warning",FMS_Ranking4[[#This Row],[Rank (with ArcSinh normalization of select criteria)]],"")</f>
        <v/>
      </c>
      <c r="BZ860" s="200" t="str">
        <f>IF(FMS_Ranking4[[#This Row],[FMS Type]]="Regulatory and Guidance",FMS_Ranking4[[#This Row],[Rank (with ArcSinh normalization of select criteria)]],"")</f>
        <v/>
      </c>
      <c r="CA860" s="200" t="str">
        <f>IF(FMS_Ranking4[[#This Row],[FMS Type]]="Education and Outreach",FMS_Ranking4[[#This Row],[Rank (with ArcSinh normalization of select criteria)]],"")</f>
        <v/>
      </c>
      <c r="CB860" s="200" t="str">
        <f>IF(FMS_Ranking4[[#This Row],[FMS Type]]="Property Acquisition and Structural Elevation",FMS_Ranking4[[#This Row],[Rank (with ArcSinh normalization of select criteria)]],"")</f>
        <v/>
      </c>
      <c r="CC860" s="200">
        <f>IF(FMS_Ranking4[[#This Row],[FMS Type]]="Infrastructure Projects",FMS_Ranking4[[#This Row],[Rank (with ArcSinh normalization of select criteria)]],"")</f>
        <v>845</v>
      </c>
      <c r="CD860" s="200" t="str">
        <f>IF(FMS_Ranking4[[#This Row],[FMS Type]]="Other",FMS_Ranking4[[#This Row],[Rank (with ArcSinh normalization of select criteria)]],"")</f>
        <v/>
      </c>
    </row>
    <row r="861" spans="2:82" ht="60" x14ac:dyDescent="0.25">
      <c r="B861" s="342" t="s">
        <v>12535</v>
      </c>
      <c r="C861" s="287">
        <f>_xlfn.XLOOKUP(FMS_Ranking4[[#This Row],[FMS ID]],FMS_Input[FMS_ID],FMS_Input[RFPG_NUM])</f>
        <v>8</v>
      </c>
      <c r="D861" s="309" t="str">
        <f>_xlfn.XLOOKUP(FMS_Ranking4[[#This Row],[FMS ID]],FMS_Input[FMS_ID],FMS_Input[FMS_NAME])</f>
        <v>Open Channel System Inventory and Assessment</v>
      </c>
      <c r="E861" s="322" t="str">
        <f>_xlfn.XLOOKUP(FMS_Ranking4[[#This Row],[FMS ID]],FMS_Input[FMS_ID],FMS_Input[SPONSOR])</f>
        <v>08002914</v>
      </c>
      <c r="F861" s="309" t="str">
        <f>_xlfn.XLOOKUP(FMS_Ranking4[[#This Row],[FMS ID]],Sponsor[FMS_ID],Sponsor[SPONSOR NAME])</f>
        <v>Waco</v>
      </c>
      <c r="G861" s="309" t="str">
        <f>_xlfn.XLOOKUP(FMS_Ranking4[[#This Row],[FMS ID]],FMS_Input[FMS_ID],FMS_Input[FMS_DESCR])</f>
        <v>Map, catalog and assess the City's open channel systems to assist creation of a recurring open channel maintenance plan.</v>
      </c>
      <c r="H861" s="247" t="str">
        <f>_xlfn.XLOOKUP(FMS_Ranking4[[#This Row],[FMS ID]],FMS_Input[FMS_ID],FMS_Input[FMS_TYPE])</f>
        <v>Infrastructure Projects</v>
      </c>
      <c r="I861" s="288">
        <f>_xlfn.XLOOKUP(FMS_Ranking4[[#This Row],[FMS ID]],FMS_Input[FMS_ID],FMS_Input[NRNC_COST])</f>
        <v>400000</v>
      </c>
      <c r="J861" s="250">
        <f>_xlfn.XLOOKUP(FMS_Ranking4[[#This Row],[FMS ID]],FMS_Input[FMS_ID],FMS_Input[FMS_COST])</f>
        <v>400000</v>
      </c>
      <c r="K861" s="289" t="str">
        <f>_xlfn.XLOOKUP(FMS_Ranking4[[#This Row],[FMS ID]],FMS_Input[FMS_ID],FMS_Input[EMER_NEED])</f>
        <v>No</v>
      </c>
      <c r="L861" s="252">
        <f t="shared" si="13"/>
        <v>0</v>
      </c>
      <c r="M861" s="253">
        <f>_xlfn.XLOOKUP(FMS_Ranking4[[#This Row],[FMS ID]],FMS_Input[FMS_ID],FMS_Input[STRUCT_100])</f>
        <v>0</v>
      </c>
      <c r="N861" s="255">
        <f>(ASINH(FMS_Ranking4[[#This Row],[Structure at Risk Raw]]))*(10)/(ASINH(M$4))</f>
        <v>0</v>
      </c>
      <c r="O861" s="255">
        <f>FMS_Ranking4[[#This Row],[Structures at risk, ArcSinh (0-10)]]*M$5*10</f>
        <v>0</v>
      </c>
      <c r="P861" s="259">
        <f>_xlfn.XLOOKUP(FMS_Ranking4[[#This Row],[FMS ID]],FMS_Input[FMS_ID],FMS_Input[RES_STRUCT100])</f>
        <v>0</v>
      </c>
      <c r="Q861" s="257">
        <f>ASINH(FMS_Ranking4[[#This Row],[Res Structure Raw]])/Q$4*P$5*100</f>
        <v>0</v>
      </c>
      <c r="R861" s="259">
        <f>_xlfn.XLOOKUP(FMS_Ranking4[[#This Row],[FMS ID]],FMS_Input[FMS_ID],FMS_Input[POP100])</f>
        <v>0</v>
      </c>
      <c r="S861" s="255">
        <f>(ASINH(FMS_Ranking4[[#This Row],[Pop at Risk Raw]]))*(10)/(ASINH(R$4))</f>
        <v>0</v>
      </c>
      <c r="T861" s="257">
        <f>FMS_Ranking4[[#This Row],[Population at risk, ArcSinh (0-10)]]*R$5*10</f>
        <v>0</v>
      </c>
      <c r="U861" s="259">
        <f>_xlfn.XLOOKUP(FMS_Ranking4[[#This Row],[FMS ID]],FMS_Input[FMS_ID],FMS_Input[CRITFAC100])</f>
        <v>0</v>
      </c>
      <c r="V861" s="255">
        <f>(ASINH(FMS_Ranking4[[#This Row],[Critical Facilities Raw]]))*(10)/(ASINH(U$4))</f>
        <v>0</v>
      </c>
      <c r="W861" s="257">
        <f>FMS_Ranking4[[#This Row],[Critical facilities at risk, ArcSinh (0-10)]]*U$5*10</f>
        <v>0</v>
      </c>
      <c r="X861" s="259">
        <f>_xlfn.XLOOKUP(FMS_Ranking4[[#This Row],[FMS ID]],FMS_Input[FMS_ID],FMS_Input[LWC])</f>
        <v>0</v>
      </c>
      <c r="Y861" s="255">
        <f>(ASINH(FMS_Ranking4[[#This Row],[LWC Raw]]))*(10)/(ASINH(X$4))</f>
        <v>0</v>
      </c>
      <c r="Z861" s="257">
        <f>FMS_Ranking4[[#This Row],[LWC, ArcSInh (0-10)]]*X$5*10</f>
        <v>0</v>
      </c>
      <c r="AA861" s="259">
        <f>_xlfn.XLOOKUP(FMS_Ranking4[[#This Row],[FMS ID]],FMS_Input[FMS_ID],FMS_Input[ROADCLS])</f>
        <v>0</v>
      </c>
      <c r="AB861" s="255">
        <f>(ASINH(FMS_Ranking4[[#This Row],[Road Closures Raw]]))*(10)/(ASINH(AA$4))</f>
        <v>0</v>
      </c>
      <c r="AC861" s="255">
        <f>FMS_Ranking4[[#This Row],[Road closures, ArcSinh (0-10)]]*AA$5*10</f>
        <v>0</v>
      </c>
      <c r="AD861" s="259">
        <f>_xlfn.XLOOKUP(FMS_Ranking4[[#This Row],[FMS ID]],FMS_Input[FMS_ID],FMS_Input[ROAD_MILES100])</f>
        <v>0</v>
      </c>
      <c r="AE861" s="255">
        <f>(ASINH(FMS_Ranking4[[#This Row],[Road Miles Raw]]))*(10)/(ASINH(AD$4))</f>
        <v>0</v>
      </c>
      <c r="AF861" s="257">
        <f>FMS_Ranking4[[#This Row],[Length of roads at risk, ArcSinh (0-10)]]*AD$5*10</f>
        <v>0</v>
      </c>
      <c r="AG861" s="259">
        <f>_xlfn.XLOOKUP(FMS_Ranking4[[#This Row],[FMS ID]],FMS_Input[FMS_ID],FMS_Input[FARMACRE100])</f>
        <v>0</v>
      </c>
      <c r="AH861" s="255">
        <f>(ASINH(FMS_Ranking4[[#This Row],[Ag Land Raw]]))*(10)/(ASINH(AG$4))</f>
        <v>0</v>
      </c>
      <c r="AI861" s="254">
        <f>FMS_Ranking4[[#This Row],[Farm &amp; ranch land, ArcSinh (0-10)]]*AG$5*10</f>
        <v>0</v>
      </c>
      <c r="AJ861" s="258">
        <f>_xlfn.XLOOKUP(FMS_Ranking4[[#This Row],[FMS ID]],FMS_Input[FMS_ID],FMS_Input[REDSTRUCT100])</f>
        <v>0</v>
      </c>
      <c r="AK861" s="253">
        <f>_xlfn.XLOOKUP(FMS_Ranking4[[#This Row],[FMS ID]],FMS_Input[FMS_ID],FMS_Input[REMSTRC100])</f>
        <v>0</v>
      </c>
      <c r="AL861" s="255">
        <f>(ASINH(FMS_Ranking4[[#This Row],[Structures Removed Raw]]))*(10)/(ASINH(AK$4))</f>
        <v>0</v>
      </c>
      <c r="AM861" s="254">
        <f>FMS_Ranking4[[#This Row],[Structures removed, ArcSinh (0-10)]]*AK$5*10</f>
        <v>0</v>
      </c>
      <c r="AN861" s="253">
        <f>_xlfn.XLOOKUP(FMS_Ranking4[[#This Row],[FMS ID]],FMS_Input[FMS_ID],FMS_Input[REMRESSTRC100])</f>
        <v>0</v>
      </c>
      <c r="AO861" s="258">
        <f>FMS_Ranking4[[#This Row],[ArcSinh Res struct removed 0-10]]*AN$5*10</f>
        <v>0</v>
      </c>
      <c r="AP861" s="254">
        <f>ASINH(FMS_Ranking4[[#This Row],[Residential Structures Removed Raw]])/AP$4*AN$5*100</f>
        <v>0</v>
      </c>
      <c r="AQ861" s="261">
        <f>(ASINH(FMS_Ranking4[[#This Row],[Residential Structures Removed Raw]]))*(10)/(ASINH(AN$4))</f>
        <v>0</v>
      </c>
      <c r="AR861" s="253">
        <f>_xlfn.XLOOKUP(FMS_Ranking4[[#This Row],[FMS ID]],FMS_Input[FMS_ID],FMS_Input[REMPOP100])</f>
        <v>0</v>
      </c>
      <c r="AS861" s="255">
        <f>(ASINH(FMS_Ranking4[[#This Row],[Removed Pop Raw]]))*(10)/(ASINH(AR$4))</f>
        <v>0</v>
      </c>
      <c r="AT861" s="263">
        <f>FMS_Ranking4[[#This Row],[Removed population, ArcSinh (0-10)]]*AR$5*10</f>
        <v>0</v>
      </c>
      <c r="AU861" s="264">
        <f>_xlfn.XLOOKUP(FMS_Ranking4[[#This Row],[FMS ID]],FMS_Input[FMS_ID],FMS_Input[REMCRITFAC100])</f>
        <v>0</v>
      </c>
      <c r="AV861" s="264">
        <f>_xlfn.XLOOKUP(FMS_Ranking4[[#This Row],[FMS ID]],FMS_Input[FMS_ID],FMS_Input[REMLWC100])</f>
        <v>0</v>
      </c>
      <c r="AW861" s="264">
        <f>_xlfn.XLOOKUP(FMS_Ranking4[[#This Row],[FMS ID]],FMS_Input[FMS_ID],FMS_Input[REMROADCLS])</f>
        <v>0</v>
      </c>
      <c r="AX861" s="264">
        <f>_xlfn.XLOOKUP(FMS_Ranking4[[#This Row],[FMS ID]],FMS_Input[FMS_ID],FMS_Input[REMFRMACRE100])</f>
        <v>0</v>
      </c>
      <c r="AY861" s="258">
        <f>_xlfn.XLOOKUP(FMS_Ranking4[[#This Row],[FMS ID]],FMS_Input[FMS_ID],FMS_Input[COSTSTRUCT])</f>
        <v>0</v>
      </c>
      <c r="AZ861" s="258">
        <f>_xlfn.XLOOKUP(FMS_Ranking4[[#This Row],[FMS ID]],FMS_Input[FMS_ID],FMS_Input[NATURE])</f>
        <v>0</v>
      </c>
      <c r="BA861" s="290">
        <f>(((FMS_Ranking4[[#This Row],[% NBS Raw]]/AZ$4)*100)*AZ$5)</f>
        <v>0</v>
      </c>
      <c r="BB861" s="251" t="str">
        <f>_xlfn.XLOOKUP(FMS_Ranking4[[#This Row],[FMS ID]],FMS_Input[FMS_ID],FMS_Input[WATER_SUP])</f>
        <v>No</v>
      </c>
      <c r="BC861" s="265">
        <f>IF(FMS_Ranking4[[#This Row],[Water Supply Raw]]="Yes",10,0)</f>
        <v>0</v>
      </c>
      <c r="BD861" s="251">
        <f>_xlfn.XLOOKUP(FMS_Ranking4[[#This Row],[FMS Type]],FMS_TYPE[FMS_Type],FMS_TYPE[Score])</f>
        <v>4</v>
      </c>
      <c r="BE861" s="267">
        <f>FMS_Ranking4[[#This Row],[FMS_Type Score]]*$BD$5*10</f>
        <v>1</v>
      </c>
      <c r="BF861"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61" s="321">
        <f>_xlfn.RANK.EQ(BF861,$BF$8:$BF$870,0)+COUNTIF($BF$8:BF861,BF861)-1</f>
        <v>855</v>
      </c>
      <c r="BH861" s="294">
        <f>(((FMS_Ranking4[[#This Row],[Structures Removed Raw]]/AK$4)*100)*AK$5)+(((FMS_Ranking4[[#This Row],[Removed Pop Raw]]/AR$4)*100)*AR$5)</f>
        <v>0</v>
      </c>
      <c r="BI861"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61" s="296">
        <f>_xlfn.RANK.EQ(FMS_Ranking4[[#This Row],[Total Score 
(with linear
normalization)]],FMS_Ranking4[Total Score 
(with linear
normalization)],0)</f>
        <v>752</v>
      </c>
      <c r="BK861" s="292" t="e">
        <f>_xlfn.XLOOKUP(FMS_Ranking4[[#This Row],[FMS ID]],#REF!,#REF!)</f>
        <v>#REF!</v>
      </c>
      <c r="BL861"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61" s="298">
        <f>FMS_Ranking4[[#This Row],[ArcSinh Score Based on Normalized Reported Factors]]+FMS_Ranking4[[#This Row],[% NBS Score (Normalized)]]+(FMS_Ranking4[[#This Row],[Water Supply Score (Normalized)]]*10*$BB$5)+FMS_Ranking4[[#This Row],[FMS_Type Score Weighted]]</f>
        <v>1</v>
      </c>
      <c r="BN861" s="323">
        <f>_xlfn.RANK.EQ(FMS_Ranking4[[#This Row],[Total Score (with ArcSinh normalization of select criteria)]],FMS_Ranking4[Total Score (with ArcSinh normalization of select criteria)],0)</f>
        <v>845</v>
      </c>
      <c r="BO861" s="270" t="str">
        <f>_xlfn.XLOOKUP(FMS_Ranking4[[#This Row],[FMS ID]],FMS_Input[FMS_ID],FMS_Input[FMS_RANK_YEAR])</f>
        <v>2025 Amended Plan</v>
      </c>
      <c r="BP861" s="204" t="e">
        <f>_xlfn.XLOOKUP(FMS_Ranking4[[#This Row],[FMS ID]],Prev_Rank[FMS ID],Prev_Rank[Prev Rank])</f>
        <v>#N/A</v>
      </c>
      <c r="BQ861" s="265" t="e">
        <f>_xlfn.XLOOKUP(FMS_Ranking4[[#This Row],[FMS ID]],#REF!,#REF!)</f>
        <v>#REF!</v>
      </c>
      <c r="BR861" s="199" t="e">
        <f>SUM(#REF!,#REF!,#REF!,#REF!,#REF!,#REF!,#REF!,#REF!,#REF!,FMS_Ranking4[[#This Row],[ArcSinh Res struct removed 0-10]],#REF!)</f>
        <v>#REF!</v>
      </c>
      <c r="BS861" s="199" t="e">
        <f>FMS_Ranking4[[#This Row],[Log Score Based on Normalized Reported Factors]]+FMS_Ranking4[[#This Row],[% NBS Score (Normalized)]]+(FMS_Ranking4[[#This Row],[Water Supply Score (Normalized)]]*10*$BB$5)+(FMS_Ranking4[[#This Row],[FMS_Type Score Weighted]])</f>
        <v>#REF!</v>
      </c>
      <c r="BT861" s="200" t="e">
        <f>_xlfn.RANK.EQ(FMS_Ranking4[[#This Row],[Log Total Score]],FMS_Ranking4[Log Total Score],0)</f>
        <v>#REF!</v>
      </c>
      <c r="BU861" s="200" t="e">
        <f>_xlfn.XLOOKUP(FMS_Ranking4[[#This Row],[FMS ID]],#REF!,#REF!)</f>
        <v>#REF!</v>
      </c>
      <c r="BV861" s="200">
        <f>FMS_Ranking4[[#This Row],[Region Number]]</f>
        <v>8</v>
      </c>
      <c r="BW861" s="200">
        <f>FMS_Ranking4[[#This Row],[Rank (with ArcSinh normalization of select criteria)]]-FMS_Ranking4[[#This Row],[Rank
(with linear
normalization)]]</f>
        <v>93</v>
      </c>
      <c r="BX861" s="200" t="e">
        <f>FMS_Ranking4[[#This Row],[Log Rank]]-FMS_Ranking4[[#This Row],[Rank
(with linear
normalization)]]</f>
        <v>#REF!</v>
      </c>
      <c r="BY861" s="200" t="str">
        <f>IF(FMS_Ranking4[[#This Row],[FMS Type]]="Flood Measurement and Warning",FMS_Ranking4[[#This Row],[Rank (with ArcSinh normalization of select criteria)]],"")</f>
        <v/>
      </c>
      <c r="BZ861" s="200" t="str">
        <f>IF(FMS_Ranking4[[#This Row],[FMS Type]]="Regulatory and Guidance",FMS_Ranking4[[#This Row],[Rank (with ArcSinh normalization of select criteria)]],"")</f>
        <v/>
      </c>
      <c r="CA861" s="200" t="str">
        <f>IF(FMS_Ranking4[[#This Row],[FMS Type]]="Education and Outreach",FMS_Ranking4[[#This Row],[Rank (with ArcSinh normalization of select criteria)]],"")</f>
        <v/>
      </c>
      <c r="CB861" s="200" t="str">
        <f>IF(FMS_Ranking4[[#This Row],[FMS Type]]="Property Acquisition and Structural Elevation",FMS_Ranking4[[#This Row],[Rank (with ArcSinh normalization of select criteria)]],"")</f>
        <v/>
      </c>
      <c r="CC861" s="200">
        <f>IF(FMS_Ranking4[[#This Row],[FMS Type]]="Infrastructure Projects",FMS_Ranking4[[#This Row],[Rank (with ArcSinh normalization of select criteria)]],"")</f>
        <v>845</v>
      </c>
      <c r="CD861" s="200" t="str">
        <f>IF(FMS_Ranking4[[#This Row],[FMS Type]]="Other",FMS_Ranking4[[#This Row],[Rank (with ArcSinh normalization of select criteria)]],"")</f>
        <v/>
      </c>
    </row>
    <row r="862" spans="2:82" ht="75" x14ac:dyDescent="0.25">
      <c r="B862" s="342" t="s">
        <v>12474</v>
      </c>
      <c r="C862" s="287">
        <f>_xlfn.XLOOKUP(FMS_Ranking4[[#This Row],[FMS ID]],FMS_Input[FMS_ID],FMS_Input[RFPG_NUM])</f>
        <v>8</v>
      </c>
      <c r="D862" s="309" t="str">
        <f>_xlfn.XLOOKUP(FMS_Ranking4[[#This Row],[FMS ID]],FMS_Input[FMS_ID],FMS_Input[FMS_NAME])</f>
        <v>Grimes County Property Acquisition</v>
      </c>
      <c r="E862" s="322" t="str">
        <f>_xlfn.XLOOKUP(FMS_Ranking4[[#This Row],[FMS ID]],FMS_Input[FMS_ID],FMS_Input[SPONSOR])</f>
        <v>00000044</v>
      </c>
      <c r="F862" s="309" t="str">
        <f>_xlfn.XLOOKUP(FMS_Ranking4[[#This Row],[FMS ID]],Sponsor[FMS_ID],Sponsor[SPONSOR NAME])</f>
        <v>Grimes</v>
      </c>
      <c r="G862" s="309" t="str">
        <f>_xlfn.XLOOKUP(FMS_Ranking4[[#This Row],[FMS ID]],FMS_Input[FMS_ID],FMS_Input[FMS_DESCR])</f>
        <v>Property acquisition program for structures located in Zone A areas, areas of known flooding, and dam inundation areas to prevent repetitive losses.</v>
      </c>
      <c r="H862" s="247" t="str">
        <f>_xlfn.XLOOKUP(FMS_Ranking4[[#This Row],[FMS ID]],FMS_Input[FMS_ID],FMS_Input[FMS_TYPE])</f>
        <v>Infrastructure Projects</v>
      </c>
      <c r="I862" s="288">
        <f>_xlfn.XLOOKUP(FMS_Ranking4[[#This Row],[FMS ID]],FMS_Input[FMS_ID],FMS_Input[NRNC_COST])</f>
        <v>350000</v>
      </c>
      <c r="J862" s="250">
        <f>_xlfn.XLOOKUP(FMS_Ranking4[[#This Row],[FMS ID]],FMS_Input[FMS_ID],FMS_Input[FMS_COST])</f>
        <v>350000</v>
      </c>
      <c r="K862" s="289" t="str">
        <f>_xlfn.XLOOKUP(FMS_Ranking4[[#This Row],[FMS ID]],FMS_Input[FMS_ID],FMS_Input[EMER_NEED])</f>
        <v>No</v>
      </c>
      <c r="L862" s="252">
        <f t="shared" si="13"/>
        <v>0</v>
      </c>
      <c r="M862" s="253">
        <f>_xlfn.XLOOKUP(FMS_Ranking4[[#This Row],[FMS ID]],FMS_Input[FMS_ID],FMS_Input[STRUCT_100])</f>
        <v>0</v>
      </c>
      <c r="N862" s="255">
        <f>(ASINH(FMS_Ranking4[[#This Row],[Structure at Risk Raw]]))*(10)/(ASINH(M$4))</f>
        <v>0</v>
      </c>
      <c r="O862" s="255">
        <f>FMS_Ranking4[[#This Row],[Structures at risk, ArcSinh (0-10)]]*M$5*10</f>
        <v>0</v>
      </c>
      <c r="P862" s="259">
        <f>_xlfn.XLOOKUP(FMS_Ranking4[[#This Row],[FMS ID]],FMS_Input[FMS_ID],FMS_Input[RES_STRUCT100])</f>
        <v>0</v>
      </c>
      <c r="Q862" s="257">
        <f>ASINH(FMS_Ranking4[[#This Row],[Res Structure Raw]])/Q$4*P$5*100</f>
        <v>0</v>
      </c>
      <c r="R862" s="259">
        <f>_xlfn.XLOOKUP(FMS_Ranking4[[#This Row],[FMS ID]],FMS_Input[FMS_ID],FMS_Input[POP100])</f>
        <v>0</v>
      </c>
      <c r="S862" s="255">
        <f>(ASINH(FMS_Ranking4[[#This Row],[Pop at Risk Raw]]))*(10)/(ASINH(R$4))</f>
        <v>0</v>
      </c>
      <c r="T862" s="257">
        <f>FMS_Ranking4[[#This Row],[Population at risk, ArcSinh (0-10)]]*R$5*10</f>
        <v>0</v>
      </c>
      <c r="U862" s="259">
        <f>_xlfn.XLOOKUP(FMS_Ranking4[[#This Row],[FMS ID]],FMS_Input[FMS_ID],FMS_Input[CRITFAC100])</f>
        <v>0</v>
      </c>
      <c r="V862" s="255">
        <f>(ASINH(FMS_Ranking4[[#This Row],[Critical Facilities Raw]]))*(10)/(ASINH(U$4))</f>
        <v>0</v>
      </c>
      <c r="W862" s="257">
        <f>FMS_Ranking4[[#This Row],[Critical facilities at risk, ArcSinh (0-10)]]*U$5*10</f>
        <v>0</v>
      </c>
      <c r="X862" s="259">
        <f>_xlfn.XLOOKUP(FMS_Ranking4[[#This Row],[FMS ID]],FMS_Input[FMS_ID],FMS_Input[LWC])</f>
        <v>0</v>
      </c>
      <c r="Y862" s="255">
        <f>(ASINH(FMS_Ranking4[[#This Row],[LWC Raw]]))*(10)/(ASINH(X$4))</f>
        <v>0</v>
      </c>
      <c r="Z862" s="257">
        <f>FMS_Ranking4[[#This Row],[LWC, ArcSInh (0-10)]]*X$5*10</f>
        <v>0</v>
      </c>
      <c r="AA862" s="259">
        <f>_xlfn.XLOOKUP(FMS_Ranking4[[#This Row],[FMS ID]],FMS_Input[FMS_ID],FMS_Input[ROADCLS])</f>
        <v>0</v>
      </c>
      <c r="AB862" s="255">
        <f>(ASINH(FMS_Ranking4[[#This Row],[Road Closures Raw]]))*(10)/(ASINH(AA$4))</f>
        <v>0</v>
      </c>
      <c r="AC862" s="255">
        <f>FMS_Ranking4[[#This Row],[Road closures, ArcSinh (0-10)]]*AA$5*10</f>
        <v>0</v>
      </c>
      <c r="AD862" s="259">
        <f>_xlfn.XLOOKUP(FMS_Ranking4[[#This Row],[FMS ID]],FMS_Input[FMS_ID],FMS_Input[ROAD_MILES100])</f>
        <v>0</v>
      </c>
      <c r="AE862" s="255">
        <f>(ASINH(FMS_Ranking4[[#This Row],[Road Miles Raw]]))*(10)/(ASINH(AD$4))</f>
        <v>0</v>
      </c>
      <c r="AF862" s="257">
        <f>FMS_Ranking4[[#This Row],[Length of roads at risk, ArcSinh (0-10)]]*AD$5*10</f>
        <v>0</v>
      </c>
      <c r="AG862" s="259">
        <f>_xlfn.XLOOKUP(FMS_Ranking4[[#This Row],[FMS ID]],FMS_Input[FMS_ID],FMS_Input[FARMACRE100])</f>
        <v>0</v>
      </c>
      <c r="AH862" s="255">
        <f>(ASINH(FMS_Ranking4[[#This Row],[Ag Land Raw]]))*(10)/(ASINH(AG$4))</f>
        <v>0</v>
      </c>
      <c r="AI862" s="254">
        <f>FMS_Ranking4[[#This Row],[Farm &amp; ranch land, ArcSinh (0-10)]]*AG$5*10</f>
        <v>0</v>
      </c>
      <c r="AJ862" s="258">
        <f>_xlfn.XLOOKUP(FMS_Ranking4[[#This Row],[FMS ID]],FMS_Input[FMS_ID],FMS_Input[REDSTRUCT100])</f>
        <v>0</v>
      </c>
      <c r="AK862" s="253">
        <f>_xlfn.XLOOKUP(FMS_Ranking4[[#This Row],[FMS ID]],FMS_Input[FMS_ID],FMS_Input[REMSTRC100])</f>
        <v>0</v>
      </c>
      <c r="AL862" s="255">
        <f>(ASINH(FMS_Ranking4[[#This Row],[Structures Removed Raw]]))*(10)/(ASINH(AK$4))</f>
        <v>0</v>
      </c>
      <c r="AM862" s="254">
        <f>FMS_Ranking4[[#This Row],[Structures removed, ArcSinh (0-10)]]*AK$5*10</f>
        <v>0</v>
      </c>
      <c r="AN862" s="253">
        <f>_xlfn.XLOOKUP(FMS_Ranking4[[#This Row],[FMS ID]],FMS_Input[FMS_ID],FMS_Input[REMRESSTRC100])</f>
        <v>0</v>
      </c>
      <c r="AO862" s="258">
        <f>FMS_Ranking4[[#This Row],[ArcSinh Res struct removed 0-10]]*AN$5*10</f>
        <v>0</v>
      </c>
      <c r="AP862" s="254">
        <f>ASINH(FMS_Ranking4[[#This Row],[Residential Structures Removed Raw]])/AP$4*AN$5*100</f>
        <v>0</v>
      </c>
      <c r="AQ862" s="261">
        <f>(ASINH(FMS_Ranking4[[#This Row],[Residential Structures Removed Raw]]))*(10)/(ASINH(AN$4))</f>
        <v>0</v>
      </c>
      <c r="AR862" s="253">
        <f>_xlfn.XLOOKUP(FMS_Ranking4[[#This Row],[FMS ID]],FMS_Input[FMS_ID],FMS_Input[REMPOP100])</f>
        <v>0</v>
      </c>
      <c r="AS862" s="255">
        <f>(ASINH(FMS_Ranking4[[#This Row],[Removed Pop Raw]]))*(10)/(ASINH(AR$4))</f>
        <v>0</v>
      </c>
      <c r="AT862" s="263">
        <f>FMS_Ranking4[[#This Row],[Removed population, ArcSinh (0-10)]]*AR$5*10</f>
        <v>0</v>
      </c>
      <c r="AU862" s="264">
        <f>_xlfn.XLOOKUP(FMS_Ranking4[[#This Row],[FMS ID]],FMS_Input[FMS_ID],FMS_Input[REMCRITFAC100])</f>
        <v>0</v>
      </c>
      <c r="AV862" s="264">
        <f>_xlfn.XLOOKUP(FMS_Ranking4[[#This Row],[FMS ID]],FMS_Input[FMS_ID],FMS_Input[REMLWC100])</f>
        <v>0</v>
      </c>
      <c r="AW862" s="264">
        <f>_xlfn.XLOOKUP(FMS_Ranking4[[#This Row],[FMS ID]],FMS_Input[FMS_ID],FMS_Input[REMROADCLS])</f>
        <v>0</v>
      </c>
      <c r="AX862" s="264">
        <f>_xlfn.XLOOKUP(FMS_Ranking4[[#This Row],[FMS ID]],FMS_Input[FMS_ID],FMS_Input[REMFRMACRE100])</f>
        <v>0</v>
      </c>
      <c r="AY862" s="258">
        <f>_xlfn.XLOOKUP(FMS_Ranking4[[#This Row],[FMS ID]],FMS_Input[FMS_ID],FMS_Input[COSTSTRUCT])</f>
        <v>0</v>
      </c>
      <c r="AZ862" s="258">
        <f>_xlfn.XLOOKUP(FMS_Ranking4[[#This Row],[FMS ID]],FMS_Input[FMS_ID],FMS_Input[NATURE])</f>
        <v>0</v>
      </c>
      <c r="BA862" s="290">
        <f>(((FMS_Ranking4[[#This Row],[% NBS Raw]]/AZ$4)*100)*AZ$5)</f>
        <v>0</v>
      </c>
      <c r="BB862" s="251" t="str">
        <f>_xlfn.XLOOKUP(FMS_Ranking4[[#This Row],[FMS ID]],FMS_Input[FMS_ID],FMS_Input[WATER_SUP])</f>
        <v>No</v>
      </c>
      <c r="BC862" s="265">
        <f>IF(FMS_Ranking4[[#This Row],[Water Supply Raw]]="Yes",10,0)</f>
        <v>0</v>
      </c>
      <c r="BD862" s="251">
        <f>_xlfn.XLOOKUP(FMS_Ranking4[[#This Row],[FMS Type]],FMS_TYPE[FMS_Type],FMS_TYPE[Score])</f>
        <v>4</v>
      </c>
      <c r="BE862" s="267">
        <f>FMS_Ranking4[[#This Row],[FMS_Type Score]]*$BD$5*10</f>
        <v>1</v>
      </c>
      <c r="BF862"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62" s="321">
        <f>_xlfn.RANK.EQ(BF862,$BF$8:$BF$870,0)+COUNTIF($BF$8:BF862,BF862)-1</f>
        <v>856</v>
      </c>
      <c r="BH862" s="294">
        <f>(((FMS_Ranking4[[#This Row],[Structures Removed Raw]]/AK$4)*100)*AK$5)+(((FMS_Ranking4[[#This Row],[Removed Pop Raw]]/AR$4)*100)*AR$5)</f>
        <v>0</v>
      </c>
      <c r="BI862"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62" s="296">
        <f>_xlfn.RANK.EQ(FMS_Ranking4[[#This Row],[Total Score 
(with linear
normalization)]],FMS_Ranking4[Total Score 
(with linear
normalization)],0)</f>
        <v>752</v>
      </c>
      <c r="BK862" s="292" t="e">
        <f>_xlfn.XLOOKUP(FMS_Ranking4[[#This Row],[FMS ID]],#REF!,#REF!)</f>
        <v>#REF!</v>
      </c>
      <c r="BL862"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62" s="298">
        <f>FMS_Ranking4[[#This Row],[ArcSinh Score Based on Normalized Reported Factors]]+FMS_Ranking4[[#This Row],[% NBS Score (Normalized)]]+(FMS_Ranking4[[#This Row],[Water Supply Score (Normalized)]]*10*$BB$5)+FMS_Ranking4[[#This Row],[FMS_Type Score Weighted]]</f>
        <v>1</v>
      </c>
      <c r="BN862" s="323">
        <f>_xlfn.RANK.EQ(FMS_Ranking4[[#This Row],[Total Score (with ArcSinh normalization of select criteria)]],FMS_Ranking4[Total Score (with ArcSinh normalization of select criteria)],0)</f>
        <v>845</v>
      </c>
      <c r="BO862" s="270" t="str">
        <f>_xlfn.XLOOKUP(FMS_Ranking4[[#This Row],[FMS ID]],FMS_Input[FMS_ID],FMS_Input[FMS_RANK_YEAR])</f>
        <v>2025 Amended Plan</v>
      </c>
      <c r="BP862" s="204" t="e">
        <f>_xlfn.XLOOKUP(FMS_Ranking4[[#This Row],[FMS ID]],Prev_Rank[FMS ID],Prev_Rank[Prev Rank])</f>
        <v>#N/A</v>
      </c>
      <c r="BQ862" s="265" t="e">
        <f>_xlfn.XLOOKUP(FMS_Ranking4[[#This Row],[FMS ID]],#REF!,#REF!)</f>
        <v>#REF!</v>
      </c>
      <c r="BR862" s="199" t="e">
        <f>SUM(#REF!,#REF!,#REF!,#REF!,#REF!,#REF!,#REF!,#REF!,#REF!,FMS_Ranking4[[#This Row],[ArcSinh Res struct removed 0-10]],#REF!)</f>
        <v>#REF!</v>
      </c>
      <c r="BS862" s="199" t="e">
        <f>FMS_Ranking4[[#This Row],[Log Score Based on Normalized Reported Factors]]+FMS_Ranking4[[#This Row],[% NBS Score (Normalized)]]+(FMS_Ranking4[[#This Row],[Water Supply Score (Normalized)]]*10*$BB$5)+(FMS_Ranking4[[#This Row],[FMS_Type Score Weighted]])</f>
        <v>#REF!</v>
      </c>
      <c r="BT862" s="200" t="e">
        <f>_xlfn.RANK.EQ(FMS_Ranking4[[#This Row],[Log Total Score]],FMS_Ranking4[Log Total Score],0)</f>
        <v>#REF!</v>
      </c>
      <c r="BU862" s="200" t="e">
        <f>_xlfn.XLOOKUP(FMS_Ranking4[[#This Row],[FMS ID]],#REF!,#REF!)</f>
        <v>#REF!</v>
      </c>
      <c r="BV862" s="200">
        <f>FMS_Ranking4[[#This Row],[Region Number]]</f>
        <v>8</v>
      </c>
      <c r="BW862" s="200">
        <f>FMS_Ranking4[[#This Row],[Rank (with ArcSinh normalization of select criteria)]]-FMS_Ranking4[[#This Row],[Rank
(with linear
normalization)]]</f>
        <v>93</v>
      </c>
      <c r="BX862" s="200" t="e">
        <f>FMS_Ranking4[[#This Row],[Log Rank]]-FMS_Ranking4[[#This Row],[Rank
(with linear
normalization)]]</f>
        <v>#REF!</v>
      </c>
      <c r="BY862" s="200" t="str">
        <f>IF(FMS_Ranking4[[#This Row],[FMS Type]]="Flood Measurement and Warning",FMS_Ranking4[[#This Row],[Rank (with ArcSinh normalization of select criteria)]],"")</f>
        <v/>
      </c>
      <c r="BZ862" s="200" t="str">
        <f>IF(FMS_Ranking4[[#This Row],[FMS Type]]="Regulatory and Guidance",FMS_Ranking4[[#This Row],[Rank (with ArcSinh normalization of select criteria)]],"")</f>
        <v/>
      </c>
      <c r="CA862" s="200" t="str">
        <f>IF(FMS_Ranking4[[#This Row],[FMS Type]]="Education and Outreach",FMS_Ranking4[[#This Row],[Rank (with ArcSinh normalization of select criteria)]],"")</f>
        <v/>
      </c>
      <c r="CB862" s="200" t="str">
        <f>IF(FMS_Ranking4[[#This Row],[FMS Type]]="Property Acquisition and Structural Elevation",FMS_Ranking4[[#This Row],[Rank (with ArcSinh normalization of select criteria)]],"")</f>
        <v/>
      </c>
      <c r="CC862" s="200">
        <f>IF(FMS_Ranking4[[#This Row],[FMS Type]]="Infrastructure Projects",FMS_Ranking4[[#This Row],[Rank (with ArcSinh normalization of select criteria)]],"")</f>
        <v>845</v>
      </c>
      <c r="CD862" s="200" t="str">
        <f>IF(FMS_Ranking4[[#This Row],[FMS Type]]="Other",FMS_Ranking4[[#This Row],[Rank (with ArcSinh normalization of select criteria)]],"")</f>
        <v/>
      </c>
    </row>
    <row r="863" spans="2:82" ht="60" x14ac:dyDescent="0.25">
      <c r="B863" s="342" t="s">
        <v>3067</v>
      </c>
      <c r="C863" s="287">
        <f>_xlfn.XLOOKUP(FMS_Ranking4[[#This Row],[FMS ID]],FMS_Input[FMS_ID],FMS_Input[RFPG_NUM])</f>
        <v>7</v>
      </c>
      <c r="D863" s="309" t="str">
        <f>_xlfn.XLOOKUP(FMS_Ranking4[[#This Row],[FMS ID]],FMS_Input[FMS_ID],FMS_Input[FMS_NAME])</f>
        <v>City of Clyde Stream Restoration Program</v>
      </c>
      <c r="E863" s="322" t="str">
        <f>_xlfn.XLOOKUP(FMS_Ranking4[[#This Row],[FMS ID]],FMS_Input[FMS_ID],FMS_Input[SPONSOR])</f>
        <v>00002754</v>
      </c>
      <c r="F863" s="309" t="str">
        <f>_xlfn.XLOOKUP(FMS_Ranking4[[#This Row],[FMS ID]],Sponsor[FMS_ID],Sponsor[SPONSOR NAME])</f>
        <v>Clyde</v>
      </c>
      <c r="G863" s="309" t="str">
        <f>_xlfn.XLOOKUP(FMS_Ranking4[[#This Row],[FMS ID]],FMS_Input[FMS_ID],FMS_Input[FMS_DESCR])</f>
        <v>Implement stream restoration / channelization program to ensure adequate drainage / diversion of stormwater.</v>
      </c>
      <c r="H863" s="247" t="str">
        <f>_xlfn.XLOOKUP(FMS_Ranking4[[#This Row],[FMS ID]],FMS_Input[FMS_ID],FMS_Input[FMS_TYPE])</f>
        <v>Infrastructure Projects</v>
      </c>
      <c r="I863" s="288">
        <f>_xlfn.XLOOKUP(FMS_Ranking4[[#This Row],[FMS ID]],FMS_Input[FMS_ID],FMS_Input[NRNC_COST])</f>
        <v>250000</v>
      </c>
      <c r="J863" s="250">
        <f>_xlfn.XLOOKUP(FMS_Ranking4[[#This Row],[FMS ID]],FMS_Input[FMS_ID],FMS_Input[FMS_COST])</f>
        <v>250000</v>
      </c>
      <c r="K863" s="289" t="str">
        <f>_xlfn.XLOOKUP(FMS_Ranking4[[#This Row],[FMS ID]],FMS_Input[FMS_ID],FMS_Input[EMER_NEED])</f>
        <v>No</v>
      </c>
      <c r="L863" s="252">
        <f t="shared" si="13"/>
        <v>0</v>
      </c>
      <c r="M863" s="253">
        <f>_xlfn.XLOOKUP(FMS_Ranking4[[#This Row],[FMS ID]],FMS_Input[FMS_ID],FMS_Input[STRUCT_100])</f>
        <v>0</v>
      </c>
      <c r="N863" s="255">
        <f>(ASINH(FMS_Ranking4[[#This Row],[Structure at Risk Raw]]))*(10)/(ASINH(M$4))</f>
        <v>0</v>
      </c>
      <c r="O863" s="255">
        <f>FMS_Ranking4[[#This Row],[Structures at risk, ArcSinh (0-10)]]*M$5*10</f>
        <v>0</v>
      </c>
      <c r="P863" s="259">
        <f>_xlfn.XLOOKUP(FMS_Ranking4[[#This Row],[FMS ID]],FMS_Input[FMS_ID],FMS_Input[RES_STRUCT100])</f>
        <v>0</v>
      </c>
      <c r="Q863" s="257">
        <f>ASINH(FMS_Ranking4[[#This Row],[Res Structure Raw]])/Q$4*P$5*100</f>
        <v>0</v>
      </c>
      <c r="R863" s="259">
        <f>_xlfn.XLOOKUP(FMS_Ranking4[[#This Row],[FMS ID]],FMS_Input[FMS_ID],FMS_Input[POP100])</f>
        <v>0</v>
      </c>
      <c r="S863" s="259">
        <f>(ASINH(FMS_Ranking4[[#This Row],[Pop at Risk Raw]]))*(10)/(ASINH(R$4))</f>
        <v>0</v>
      </c>
      <c r="T863" s="257">
        <f>FMS_Ranking4[[#This Row],[Population at risk, ArcSinh (0-10)]]*R$5*10</f>
        <v>0</v>
      </c>
      <c r="U863" s="259">
        <f>_xlfn.XLOOKUP(FMS_Ranking4[[#This Row],[FMS ID]],FMS_Input[FMS_ID],FMS_Input[CRITFAC100])</f>
        <v>0</v>
      </c>
      <c r="V863" s="259">
        <f>(ASINH(FMS_Ranking4[[#This Row],[Critical Facilities Raw]]))*(10)/(ASINH(U$4))</f>
        <v>0</v>
      </c>
      <c r="W863" s="257">
        <f>FMS_Ranking4[[#This Row],[Critical facilities at risk, ArcSinh (0-10)]]*U$5*10</f>
        <v>0</v>
      </c>
      <c r="X863" s="259">
        <f>_xlfn.XLOOKUP(FMS_Ranking4[[#This Row],[FMS ID]],FMS_Input[FMS_ID],FMS_Input[LWC])</f>
        <v>0</v>
      </c>
      <c r="Y863" s="259">
        <f>(ASINH(FMS_Ranking4[[#This Row],[LWC Raw]]))*(10)/(ASINH(X$4))</f>
        <v>0</v>
      </c>
      <c r="Z863" s="257">
        <f>FMS_Ranking4[[#This Row],[LWC, ArcSInh (0-10)]]*X$5*10</f>
        <v>0</v>
      </c>
      <c r="AA863" s="259">
        <f>_xlfn.XLOOKUP(FMS_Ranking4[[#This Row],[FMS ID]],FMS_Input[FMS_ID],FMS_Input[ROADCLS])</f>
        <v>0</v>
      </c>
      <c r="AB863" s="255">
        <f>(ASINH(FMS_Ranking4[[#This Row],[Road Closures Raw]]))*(10)/(ASINH(AA$4))</f>
        <v>0</v>
      </c>
      <c r="AC863" s="255">
        <f>FMS_Ranking4[[#This Row],[Road closures, ArcSinh (0-10)]]*AA$5*10</f>
        <v>0</v>
      </c>
      <c r="AD863" s="259">
        <f>_xlfn.XLOOKUP(FMS_Ranking4[[#This Row],[FMS ID]],FMS_Input[FMS_ID],FMS_Input[ROAD_MILES100])</f>
        <v>0</v>
      </c>
      <c r="AE863" s="259">
        <f>(ASINH(FMS_Ranking4[[#This Row],[Road Miles Raw]]))*(10)/(ASINH(AD$4))</f>
        <v>0</v>
      </c>
      <c r="AF863" s="257">
        <f>FMS_Ranking4[[#This Row],[Length of roads at risk, ArcSinh (0-10)]]*AD$5*10</f>
        <v>0</v>
      </c>
      <c r="AG863" s="259">
        <f>_xlfn.XLOOKUP(FMS_Ranking4[[#This Row],[FMS ID]],FMS_Input[FMS_ID],FMS_Input[FARMACRE100])</f>
        <v>0</v>
      </c>
      <c r="AH863" s="255">
        <f>(ASINH(FMS_Ranking4[[#This Row],[Ag Land Raw]]))*(10)/(ASINH(AG$4))</f>
        <v>0</v>
      </c>
      <c r="AI863" s="254">
        <f>FMS_Ranking4[[#This Row],[Farm &amp; ranch land, ArcSinh (0-10)]]*AG$5*10</f>
        <v>0</v>
      </c>
      <c r="AJ863" s="258">
        <f>_xlfn.XLOOKUP(FMS_Ranking4[[#This Row],[FMS ID]],FMS_Input[FMS_ID],FMS_Input[REDSTRUCT100])</f>
        <v>0</v>
      </c>
      <c r="AK863" s="253">
        <f>_xlfn.XLOOKUP(FMS_Ranking4[[#This Row],[FMS ID]],FMS_Input[FMS_ID],FMS_Input[REMSTRC100])</f>
        <v>0</v>
      </c>
      <c r="AL863" s="259">
        <f>(ASINH(FMS_Ranking4[[#This Row],[Structures Removed Raw]]))*(10)/(ASINH(AK$4))</f>
        <v>0</v>
      </c>
      <c r="AM863" s="254">
        <f>FMS_Ranking4[[#This Row],[Structures removed, ArcSinh (0-10)]]*AK$5*10</f>
        <v>0</v>
      </c>
      <c r="AN863" s="253">
        <f>_xlfn.XLOOKUP(FMS_Ranking4[[#This Row],[FMS ID]],FMS_Input[FMS_ID],FMS_Input[REMRESSTRC100])</f>
        <v>0</v>
      </c>
      <c r="AO863" s="258">
        <f>FMS_Ranking4[[#This Row],[ArcSinh Res struct removed 0-10]]*AN$5*10</f>
        <v>0</v>
      </c>
      <c r="AP863" s="254">
        <f>ASINH(FMS_Ranking4[[#This Row],[Residential Structures Removed Raw]])/AP$4*AN$5*100</f>
        <v>0</v>
      </c>
      <c r="AQ863" s="260">
        <f>(ASINH(FMS_Ranking4[[#This Row],[Residential Structures Removed Raw]]))*(10)/(ASINH(AN$4))</f>
        <v>0</v>
      </c>
      <c r="AR863" s="253">
        <f>_xlfn.XLOOKUP(FMS_Ranking4[[#This Row],[FMS ID]],FMS_Input[FMS_ID],FMS_Input[REMPOP100])</f>
        <v>0</v>
      </c>
      <c r="AS863" s="259">
        <f>(ASINH(FMS_Ranking4[[#This Row],[Removed Pop Raw]]))*(10)/(ASINH(AR$4))</f>
        <v>0</v>
      </c>
      <c r="AT863" s="263">
        <f>FMS_Ranking4[[#This Row],[Removed population, ArcSinh (0-10)]]*AR$5*10</f>
        <v>0</v>
      </c>
      <c r="AU863" s="264">
        <f>_xlfn.XLOOKUP(FMS_Ranking4[[#This Row],[FMS ID]],FMS_Input[FMS_ID],FMS_Input[REMCRITFAC100])</f>
        <v>0</v>
      </c>
      <c r="AV863" s="264">
        <f>_xlfn.XLOOKUP(FMS_Ranking4[[#This Row],[FMS ID]],FMS_Input[FMS_ID],FMS_Input[REMLWC100])</f>
        <v>0</v>
      </c>
      <c r="AW863" s="264">
        <f>_xlfn.XLOOKUP(FMS_Ranking4[[#This Row],[FMS ID]],FMS_Input[FMS_ID],FMS_Input[REMROADCLS])</f>
        <v>0</v>
      </c>
      <c r="AX863" s="264">
        <f>_xlfn.XLOOKUP(FMS_Ranking4[[#This Row],[FMS ID]],FMS_Input[FMS_ID],FMS_Input[REMFRMACRE100])</f>
        <v>0</v>
      </c>
      <c r="AY863" s="258">
        <f>_xlfn.XLOOKUP(FMS_Ranking4[[#This Row],[FMS ID]],FMS_Input[FMS_ID],FMS_Input[COSTSTRUCT])</f>
        <v>0</v>
      </c>
      <c r="AZ863" s="258">
        <f>_xlfn.XLOOKUP(FMS_Ranking4[[#This Row],[FMS ID]],FMS_Input[FMS_ID],FMS_Input[NATURE])</f>
        <v>0</v>
      </c>
      <c r="BA863" s="290">
        <f>(((FMS_Ranking4[[#This Row],[% NBS Raw]]/AZ$4)*100)*AZ$5)</f>
        <v>0</v>
      </c>
      <c r="BB863" s="251" t="str">
        <f>_xlfn.XLOOKUP(FMS_Ranking4[[#This Row],[FMS ID]],FMS_Input[FMS_ID],FMS_Input[WATER_SUP])</f>
        <v>No</v>
      </c>
      <c r="BC863" s="265">
        <f>IF(FMS_Ranking4[[#This Row],[Water Supply Raw]]="Yes",10,0)</f>
        <v>0</v>
      </c>
      <c r="BD863" s="251">
        <f>_xlfn.XLOOKUP(FMS_Ranking4[[#This Row],[FMS Type]],FMS_TYPE[FMS_Type],FMS_TYPE[Score])</f>
        <v>4</v>
      </c>
      <c r="BE863" s="267">
        <f>FMS_Ranking4[[#This Row],[FMS_Type Score]]*$BD$5*10</f>
        <v>1</v>
      </c>
      <c r="BF863"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63" s="271">
        <f>_xlfn.RANK.EQ(BF863,$BF$8:$BF$870,0)+COUNTIF($BF$8:BF863,BF863)-1</f>
        <v>857</v>
      </c>
      <c r="BH863" s="268">
        <f>(((FMS_Ranking4[[#This Row],[Structures Removed Raw]]/AK$4)*100)*AK$5)+(((FMS_Ranking4[[#This Row],[Removed Pop Raw]]/AR$4)*100)*AR$5)</f>
        <v>0</v>
      </c>
      <c r="BI863"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63" s="325">
        <f>_xlfn.RANK.EQ(FMS_Ranking4[[#This Row],[Total Score 
(with linear
normalization)]],FMS_Ranking4[Total Score 
(with linear
normalization)],0)</f>
        <v>752</v>
      </c>
      <c r="BK863" s="327" t="e">
        <f>_xlfn.XLOOKUP(FMS_Ranking4[[#This Row],[FMS ID]],#REF!,#REF!)</f>
        <v>#REF!</v>
      </c>
      <c r="BL863"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63" s="330">
        <f>FMS_Ranking4[[#This Row],[ArcSinh Score Based on Normalized Reported Factors]]+FMS_Ranking4[[#This Row],[% NBS Score (Normalized)]]+(FMS_Ranking4[[#This Row],[Water Supply Score (Normalized)]]*10*$BB$5)+FMS_Ranking4[[#This Row],[FMS_Type Score Weighted]]</f>
        <v>1</v>
      </c>
      <c r="BN863" s="332">
        <f>_xlfn.RANK.EQ(FMS_Ranking4[[#This Row],[Total Score (with ArcSinh normalization of select criteria)]],FMS_Ranking4[Total Score (with ArcSinh normalization of select criteria)],0)</f>
        <v>845</v>
      </c>
      <c r="BO863" s="270" t="str">
        <f>_xlfn.XLOOKUP(FMS_Ranking4[[#This Row],[FMS ID]],FMS_Input[FMS_ID],FMS_Input[FMS_RANK_YEAR])</f>
        <v>2023 Amended Plan</v>
      </c>
      <c r="BP863" s="204">
        <f>_xlfn.XLOOKUP(FMS_Ranking4[[#This Row],[FMS ID]],Prev_Rank[FMS ID],Prev_Rank[Prev Rank])</f>
        <v>761</v>
      </c>
      <c r="BQ863" s="334" t="e">
        <f>_xlfn.XLOOKUP(FMS_Ranking4[[#This Row],[FMS ID]],#REF!,#REF!)</f>
        <v>#REF!</v>
      </c>
      <c r="BR863" s="199" t="e">
        <f>SUM(#REF!,#REF!,#REF!,#REF!,#REF!,#REF!,#REF!,#REF!,#REF!,FMS_Ranking4[[#This Row],[ArcSinh Res struct removed 0-10]],#REF!)</f>
        <v>#REF!</v>
      </c>
      <c r="BS863" s="199" t="e">
        <f>FMS_Ranking4[[#This Row],[Log Score Based on Normalized Reported Factors]]+FMS_Ranking4[[#This Row],[% NBS Score (Normalized)]]+(FMS_Ranking4[[#This Row],[Water Supply Score (Normalized)]]*10*$BB$5)+(FMS_Ranking4[[#This Row],[FMS_Type Score Weighted]])</f>
        <v>#REF!</v>
      </c>
      <c r="BT863" s="200" t="e">
        <f>_xlfn.RANK.EQ(FMS_Ranking4[[#This Row],[Log Total Score]],FMS_Ranking4[Log Total Score],0)</f>
        <v>#REF!</v>
      </c>
      <c r="BU863" s="200" t="e">
        <f>_xlfn.XLOOKUP(FMS_Ranking4[[#This Row],[FMS ID]],#REF!,#REF!)</f>
        <v>#REF!</v>
      </c>
      <c r="BV863" s="200">
        <f>FMS_Ranking4[[#This Row],[Region Number]]</f>
        <v>7</v>
      </c>
      <c r="BW863" s="200">
        <f>FMS_Ranking4[[#This Row],[Rank (with ArcSinh normalization of select criteria)]]-FMS_Ranking4[[#This Row],[Rank
(with linear
normalization)]]</f>
        <v>93</v>
      </c>
      <c r="BX863" s="200" t="e">
        <f>FMS_Ranking4[[#This Row],[Log Rank]]-FMS_Ranking4[[#This Row],[Rank
(with linear
normalization)]]</f>
        <v>#REF!</v>
      </c>
      <c r="BY863" s="200" t="str">
        <f>IF(FMS_Ranking4[[#This Row],[FMS Type]]="Flood Measurement and Warning",FMS_Ranking4[[#This Row],[Rank (with ArcSinh normalization of select criteria)]],"")</f>
        <v/>
      </c>
      <c r="BZ863" s="200" t="str">
        <f>IF(FMS_Ranking4[[#This Row],[FMS Type]]="Regulatory and Guidance",FMS_Ranking4[[#This Row],[Rank (with ArcSinh normalization of select criteria)]],"")</f>
        <v/>
      </c>
      <c r="CA863" s="200" t="str">
        <f>IF(FMS_Ranking4[[#This Row],[FMS Type]]="Education and Outreach",FMS_Ranking4[[#This Row],[Rank (with ArcSinh normalization of select criteria)]],"")</f>
        <v/>
      </c>
      <c r="CB863" s="200" t="str">
        <f>IF(FMS_Ranking4[[#This Row],[FMS Type]]="Property Acquisition and Structural Elevation",FMS_Ranking4[[#This Row],[Rank (with ArcSinh normalization of select criteria)]],"")</f>
        <v/>
      </c>
      <c r="CC863" s="200">
        <f>IF(FMS_Ranking4[[#This Row],[FMS Type]]="Infrastructure Projects",FMS_Ranking4[[#This Row],[Rank (with ArcSinh normalization of select criteria)]],"")</f>
        <v>845</v>
      </c>
      <c r="CD863" s="200" t="str">
        <f>IF(FMS_Ranking4[[#This Row],[FMS Type]]="Other",FMS_Ranking4[[#This Row],[Rank (with ArcSinh normalization of select criteria)]],"")</f>
        <v/>
      </c>
    </row>
    <row r="864" spans="2:82" ht="45" x14ac:dyDescent="0.25">
      <c r="B864" s="342" t="s">
        <v>3353</v>
      </c>
      <c r="C864" s="287">
        <f>_xlfn.XLOOKUP(FMS_Ranking4[[#This Row],[FMS ID]],FMS_Input[FMS_ID],FMS_Input[RFPG_NUM])</f>
        <v>7</v>
      </c>
      <c r="D864" s="309" t="str">
        <f>_xlfn.XLOOKUP(FMS_Ranking4[[#This Row],[FMS ID]],FMS_Input[FMS_ID],FMS_Input[FMS_NAME])</f>
        <v>South Lake Improvements Water Diversion</v>
      </c>
      <c r="E864" s="322" t="str">
        <f>_xlfn.XLOOKUP(FMS_Ranking4[[#This Row],[FMS ID]],FMS_Input[FMS_ID],FMS_Input[SPONSOR])</f>
        <v>07000112</v>
      </c>
      <c r="F864" s="309" t="str">
        <f>_xlfn.XLOOKUP(FMS_Ranking4[[#This Row],[FMS ID]],Sponsor[FMS_ID],Sponsor[SPONSOR NAME])</f>
        <v>Jones</v>
      </c>
      <c r="G864" s="309" t="str">
        <f>_xlfn.XLOOKUP(FMS_Ranking4[[#This Row],[FMS ID]],FMS_Input[FMS_ID],FMS_Input[FMS_DESCR])</f>
        <v>Water diversion</v>
      </c>
      <c r="H864" s="247" t="str">
        <f>_xlfn.XLOOKUP(FMS_Ranking4[[#This Row],[FMS ID]],FMS_Input[FMS_ID],FMS_Input[FMS_TYPE])</f>
        <v>Infrastructure Projects</v>
      </c>
      <c r="I864" s="288">
        <f>_xlfn.XLOOKUP(FMS_Ranking4[[#This Row],[FMS ID]],FMS_Input[FMS_ID],FMS_Input[NRNC_COST])</f>
        <v>50000</v>
      </c>
      <c r="J864" s="250">
        <f>_xlfn.XLOOKUP(FMS_Ranking4[[#This Row],[FMS ID]],FMS_Input[FMS_ID],FMS_Input[FMS_COST])</f>
        <v>50000</v>
      </c>
      <c r="K864" s="289" t="str">
        <f>_xlfn.XLOOKUP(FMS_Ranking4[[#This Row],[FMS ID]],FMS_Input[FMS_ID],FMS_Input[EMER_NEED])</f>
        <v>No</v>
      </c>
      <c r="L864" s="252">
        <f t="shared" si="13"/>
        <v>0</v>
      </c>
      <c r="M864" s="253">
        <f>_xlfn.XLOOKUP(FMS_Ranking4[[#This Row],[FMS ID]],FMS_Input[FMS_ID],FMS_Input[STRUCT_100])</f>
        <v>0</v>
      </c>
      <c r="N864" s="255">
        <f>(ASINH(FMS_Ranking4[[#This Row],[Structure at Risk Raw]]))*(10)/(ASINH(M$4))</f>
        <v>0</v>
      </c>
      <c r="O864" s="255">
        <f>FMS_Ranking4[[#This Row],[Structures at risk, ArcSinh (0-10)]]*M$5*10</f>
        <v>0</v>
      </c>
      <c r="P864" s="259">
        <f>_xlfn.XLOOKUP(FMS_Ranking4[[#This Row],[FMS ID]],FMS_Input[FMS_ID],FMS_Input[RES_STRUCT100])</f>
        <v>0</v>
      </c>
      <c r="Q864" s="257">
        <f>ASINH(FMS_Ranking4[[#This Row],[Res Structure Raw]])/Q$4*P$5*100</f>
        <v>0</v>
      </c>
      <c r="R864" s="259">
        <f>_xlfn.XLOOKUP(FMS_Ranking4[[#This Row],[FMS ID]],FMS_Input[FMS_ID],FMS_Input[POP100])</f>
        <v>0</v>
      </c>
      <c r="S864" s="259">
        <f>(ASINH(FMS_Ranking4[[#This Row],[Pop at Risk Raw]]))*(10)/(ASINH(R$4))</f>
        <v>0</v>
      </c>
      <c r="T864" s="257">
        <f>FMS_Ranking4[[#This Row],[Population at risk, ArcSinh (0-10)]]*R$5*10</f>
        <v>0</v>
      </c>
      <c r="U864" s="259">
        <f>_xlfn.XLOOKUP(FMS_Ranking4[[#This Row],[FMS ID]],FMS_Input[FMS_ID],FMS_Input[CRITFAC100])</f>
        <v>0</v>
      </c>
      <c r="V864" s="259">
        <f>(ASINH(FMS_Ranking4[[#This Row],[Critical Facilities Raw]]))*(10)/(ASINH(U$4))</f>
        <v>0</v>
      </c>
      <c r="W864" s="257">
        <f>FMS_Ranking4[[#This Row],[Critical facilities at risk, ArcSinh (0-10)]]*U$5*10</f>
        <v>0</v>
      </c>
      <c r="X864" s="259">
        <f>_xlfn.XLOOKUP(FMS_Ranking4[[#This Row],[FMS ID]],FMS_Input[FMS_ID],FMS_Input[LWC])</f>
        <v>0</v>
      </c>
      <c r="Y864" s="259">
        <f>(ASINH(FMS_Ranking4[[#This Row],[LWC Raw]]))*(10)/(ASINH(X$4))</f>
        <v>0</v>
      </c>
      <c r="Z864" s="257">
        <f>FMS_Ranking4[[#This Row],[LWC, ArcSInh (0-10)]]*X$5*10</f>
        <v>0</v>
      </c>
      <c r="AA864" s="259">
        <f>_xlfn.XLOOKUP(FMS_Ranking4[[#This Row],[FMS ID]],FMS_Input[FMS_ID],FMS_Input[ROADCLS])</f>
        <v>0</v>
      </c>
      <c r="AB864" s="255">
        <f>(ASINH(FMS_Ranking4[[#This Row],[Road Closures Raw]]))*(10)/(ASINH(AA$4))</f>
        <v>0</v>
      </c>
      <c r="AC864" s="255">
        <f>FMS_Ranking4[[#This Row],[Road closures, ArcSinh (0-10)]]*AA$5*10</f>
        <v>0</v>
      </c>
      <c r="AD864" s="259">
        <f>_xlfn.XLOOKUP(FMS_Ranking4[[#This Row],[FMS ID]],FMS_Input[FMS_ID],FMS_Input[ROAD_MILES100])</f>
        <v>0</v>
      </c>
      <c r="AE864" s="259">
        <f>(ASINH(FMS_Ranking4[[#This Row],[Road Miles Raw]]))*(10)/(ASINH(AD$4))</f>
        <v>0</v>
      </c>
      <c r="AF864" s="257">
        <f>FMS_Ranking4[[#This Row],[Length of roads at risk, ArcSinh (0-10)]]*AD$5*10</f>
        <v>0</v>
      </c>
      <c r="AG864" s="259">
        <f>_xlfn.XLOOKUP(FMS_Ranking4[[#This Row],[FMS ID]],FMS_Input[FMS_ID],FMS_Input[FARMACRE100])</f>
        <v>0</v>
      </c>
      <c r="AH864" s="255">
        <f>(ASINH(FMS_Ranking4[[#This Row],[Ag Land Raw]]))*(10)/(ASINH(AG$4))</f>
        <v>0</v>
      </c>
      <c r="AI864" s="254">
        <f>FMS_Ranking4[[#This Row],[Farm &amp; ranch land, ArcSinh (0-10)]]*AG$5*10</f>
        <v>0</v>
      </c>
      <c r="AJ864" s="258">
        <f>_xlfn.XLOOKUP(FMS_Ranking4[[#This Row],[FMS ID]],FMS_Input[FMS_ID],FMS_Input[REDSTRUCT100])</f>
        <v>0</v>
      </c>
      <c r="AK864" s="253">
        <f>_xlfn.XLOOKUP(FMS_Ranking4[[#This Row],[FMS ID]],FMS_Input[FMS_ID],FMS_Input[REMSTRC100])</f>
        <v>0</v>
      </c>
      <c r="AL864" s="259">
        <f>(ASINH(FMS_Ranking4[[#This Row],[Structures Removed Raw]]))*(10)/(ASINH(AK$4))</f>
        <v>0</v>
      </c>
      <c r="AM864" s="254">
        <f>FMS_Ranking4[[#This Row],[Structures removed, ArcSinh (0-10)]]*AK$5*10</f>
        <v>0</v>
      </c>
      <c r="AN864" s="253">
        <f>_xlfn.XLOOKUP(FMS_Ranking4[[#This Row],[FMS ID]],FMS_Input[FMS_ID],FMS_Input[REMRESSTRC100])</f>
        <v>0</v>
      </c>
      <c r="AO864" s="258">
        <f>FMS_Ranking4[[#This Row],[ArcSinh Res struct removed 0-10]]*AN$5*10</f>
        <v>0</v>
      </c>
      <c r="AP864" s="254">
        <f>ASINH(FMS_Ranking4[[#This Row],[Residential Structures Removed Raw]])/AP$4*AN$5*100</f>
        <v>0</v>
      </c>
      <c r="AQ864" s="260">
        <f>(ASINH(FMS_Ranking4[[#This Row],[Residential Structures Removed Raw]]))*(10)/(ASINH(AN$4))</f>
        <v>0</v>
      </c>
      <c r="AR864" s="253">
        <f>_xlfn.XLOOKUP(FMS_Ranking4[[#This Row],[FMS ID]],FMS_Input[FMS_ID],FMS_Input[REMPOP100])</f>
        <v>0</v>
      </c>
      <c r="AS864" s="259">
        <f>(ASINH(FMS_Ranking4[[#This Row],[Removed Pop Raw]]))*(10)/(ASINH(AR$4))</f>
        <v>0</v>
      </c>
      <c r="AT864" s="263">
        <f>FMS_Ranking4[[#This Row],[Removed population, ArcSinh (0-10)]]*AR$5*10</f>
        <v>0</v>
      </c>
      <c r="AU864" s="264">
        <f>_xlfn.XLOOKUP(FMS_Ranking4[[#This Row],[FMS ID]],FMS_Input[FMS_ID],FMS_Input[REMCRITFAC100])</f>
        <v>0</v>
      </c>
      <c r="AV864" s="264">
        <f>_xlfn.XLOOKUP(FMS_Ranking4[[#This Row],[FMS ID]],FMS_Input[FMS_ID],FMS_Input[REMLWC100])</f>
        <v>0</v>
      </c>
      <c r="AW864" s="264">
        <f>_xlfn.XLOOKUP(FMS_Ranking4[[#This Row],[FMS ID]],FMS_Input[FMS_ID],FMS_Input[REMROADCLS])</f>
        <v>0</v>
      </c>
      <c r="AX864" s="264">
        <f>_xlfn.XLOOKUP(FMS_Ranking4[[#This Row],[FMS ID]],FMS_Input[FMS_ID],FMS_Input[REMFRMACRE100])</f>
        <v>0</v>
      </c>
      <c r="AY864" s="258">
        <f>_xlfn.XLOOKUP(FMS_Ranking4[[#This Row],[FMS ID]],FMS_Input[FMS_ID],FMS_Input[COSTSTRUCT])</f>
        <v>0</v>
      </c>
      <c r="AZ864" s="258">
        <f>_xlfn.XLOOKUP(FMS_Ranking4[[#This Row],[FMS ID]],FMS_Input[FMS_ID],FMS_Input[NATURE])</f>
        <v>0</v>
      </c>
      <c r="BA864" s="290">
        <f>(((FMS_Ranking4[[#This Row],[% NBS Raw]]/AZ$4)*100)*AZ$5)</f>
        <v>0</v>
      </c>
      <c r="BB864" s="251" t="str">
        <f>_xlfn.XLOOKUP(FMS_Ranking4[[#This Row],[FMS ID]],FMS_Input[FMS_ID],FMS_Input[WATER_SUP])</f>
        <v>No</v>
      </c>
      <c r="BC864" s="265">
        <f>IF(FMS_Ranking4[[#This Row],[Water Supply Raw]]="Yes",10,0)</f>
        <v>0</v>
      </c>
      <c r="BD864" s="251">
        <f>_xlfn.XLOOKUP(FMS_Ranking4[[#This Row],[FMS Type]],FMS_TYPE[FMS_Type],FMS_TYPE[Score])</f>
        <v>4</v>
      </c>
      <c r="BE864" s="267">
        <f>FMS_Ranking4[[#This Row],[FMS_Type Score]]*$BD$5*10</f>
        <v>1</v>
      </c>
      <c r="BF864"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64" s="271">
        <f>_xlfn.RANK.EQ(BF864,$BF$8:$BF$870,0)+COUNTIF($BF$8:BF864,BF864)-1</f>
        <v>858</v>
      </c>
      <c r="BH864" s="268">
        <f>(((FMS_Ranking4[[#This Row],[Structures Removed Raw]]/AK$4)*100)*AK$5)+(((FMS_Ranking4[[#This Row],[Removed Pop Raw]]/AR$4)*100)*AR$5)</f>
        <v>0</v>
      </c>
      <c r="BI864"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1</v>
      </c>
      <c r="BJ864" s="325">
        <f>_xlfn.RANK.EQ(FMS_Ranking4[[#This Row],[Total Score 
(with linear
normalization)]],FMS_Ranking4[Total Score 
(with linear
normalization)],0)</f>
        <v>752</v>
      </c>
      <c r="BK864" s="327" t="e">
        <f>_xlfn.XLOOKUP(FMS_Ranking4[[#This Row],[FMS ID]],#REF!,#REF!)</f>
        <v>#REF!</v>
      </c>
      <c r="BL864"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64" s="330">
        <f>FMS_Ranking4[[#This Row],[ArcSinh Score Based on Normalized Reported Factors]]+FMS_Ranking4[[#This Row],[% NBS Score (Normalized)]]+(FMS_Ranking4[[#This Row],[Water Supply Score (Normalized)]]*10*$BB$5)+FMS_Ranking4[[#This Row],[FMS_Type Score Weighted]]</f>
        <v>1</v>
      </c>
      <c r="BN864" s="332">
        <f>_xlfn.RANK.EQ(FMS_Ranking4[[#This Row],[Total Score (with ArcSinh normalization of select criteria)]],FMS_Ranking4[Total Score (with ArcSinh normalization of select criteria)],0)</f>
        <v>845</v>
      </c>
      <c r="BO864" s="270" t="str">
        <f>_xlfn.XLOOKUP(FMS_Ranking4[[#This Row],[FMS ID]],FMS_Input[FMS_ID],FMS_Input[FMS_RANK_YEAR])</f>
        <v>2023 Amended Plan</v>
      </c>
      <c r="BP864" s="204">
        <f>_xlfn.XLOOKUP(FMS_Ranking4[[#This Row],[FMS ID]],Prev_Rank[FMS ID],Prev_Rank[Prev Rank])</f>
        <v>761</v>
      </c>
      <c r="BQ864" s="334" t="e">
        <f>_xlfn.XLOOKUP(FMS_Ranking4[[#This Row],[FMS ID]],#REF!,#REF!)</f>
        <v>#REF!</v>
      </c>
      <c r="BR864" s="199" t="e">
        <f>SUM(#REF!,#REF!,#REF!,#REF!,#REF!,#REF!,#REF!,#REF!,#REF!,FMS_Ranking4[[#This Row],[ArcSinh Res struct removed 0-10]],#REF!)</f>
        <v>#REF!</v>
      </c>
      <c r="BS864" s="199" t="e">
        <f>FMS_Ranking4[[#This Row],[Log Score Based on Normalized Reported Factors]]+FMS_Ranking4[[#This Row],[% NBS Score (Normalized)]]+(FMS_Ranking4[[#This Row],[Water Supply Score (Normalized)]]*10*$BB$5)+(FMS_Ranking4[[#This Row],[FMS_Type Score Weighted]])</f>
        <v>#REF!</v>
      </c>
      <c r="BT864" s="200" t="e">
        <f>_xlfn.RANK.EQ(FMS_Ranking4[[#This Row],[Log Total Score]],FMS_Ranking4[Log Total Score],0)</f>
        <v>#REF!</v>
      </c>
      <c r="BU864" s="200" t="e">
        <f>_xlfn.XLOOKUP(FMS_Ranking4[[#This Row],[FMS ID]],#REF!,#REF!)</f>
        <v>#REF!</v>
      </c>
      <c r="BV864" s="200">
        <f>FMS_Ranking4[[#This Row],[Region Number]]</f>
        <v>7</v>
      </c>
      <c r="BW864" s="200">
        <f>FMS_Ranking4[[#This Row],[Rank (with ArcSinh normalization of select criteria)]]-FMS_Ranking4[[#This Row],[Rank
(with linear
normalization)]]</f>
        <v>93</v>
      </c>
      <c r="BX864" s="200" t="e">
        <f>FMS_Ranking4[[#This Row],[Log Rank]]-FMS_Ranking4[[#This Row],[Rank
(with linear
normalization)]]</f>
        <v>#REF!</v>
      </c>
      <c r="BY864" s="200" t="str">
        <f>IF(FMS_Ranking4[[#This Row],[FMS Type]]="Flood Measurement and Warning",FMS_Ranking4[[#This Row],[Rank (with ArcSinh normalization of select criteria)]],"")</f>
        <v/>
      </c>
      <c r="BZ864" s="200" t="str">
        <f>IF(FMS_Ranking4[[#This Row],[FMS Type]]="Regulatory and Guidance",FMS_Ranking4[[#This Row],[Rank (with ArcSinh normalization of select criteria)]],"")</f>
        <v/>
      </c>
      <c r="CA864" s="200" t="str">
        <f>IF(FMS_Ranking4[[#This Row],[FMS Type]]="Education and Outreach",FMS_Ranking4[[#This Row],[Rank (with ArcSinh normalization of select criteria)]],"")</f>
        <v/>
      </c>
      <c r="CB864" s="200" t="str">
        <f>IF(FMS_Ranking4[[#This Row],[FMS Type]]="Property Acquisition and Structural Elevation",FMS_Ranking4[[#This Row],[Rank (with ArcSinh normalization of select criteria)]],"")</f>
        <v/>
      </c>
      <c r="CC864" s="200">
        <f>IF(FMS_Ranking4[[#This Row],[FMS Type]]="Infrastructure Projects",FMS_Ranking4[[#This Row],[Rank (with ArcSinh normalization of select criteria)]],"")</f>
        <v>845</v>
      </c>
      <c r="CD864" s="200" t="str">
        <f>IF(FMS_Ranking4[[#This Row],[FMS Type]]="Other",FMS_Ranking4[[#This Row],[Rank (with ArcSinh normalization of select criteria)]],"")</f>
        <v/>
      </c>
    </row>
    <row r="865" spans="2:82" ht="45" x14ac:dyDescent="0.25">
      <c r="B865" s="342" t="s">
        <v>2527</v>
      </c>
      <c r="C865" s="287">
        <f>_xlfn.XLOOKUP(FMS_Ranking4[[#This Row],[FMS ID]],FMS_Input[FMS_ID],FMS_Input[RFPG_NUM])</f>
        <v>4</v>
      </c>
      <c r="D865" s="309" t="str">
        <f>_xlfn.XLOOKUP(FMS_Ranking4[[#This Row],[FMS ID]],FMS_Input[FMS_ID],FMS_Input[FMS_NAME])</f>
        <v>City of Van Flood Infrastructure Maintenance</v>
      </c>
      <c r="E865" s="322" t="str">
        <f>_xlfn.XLOOKUP(FMS_Ranking4[[#This Row],[FMS ID]],FMS_Input[FMS_ID],FMS_Input[SPONSOR])</f>
        <v>00002538</v>
      </c>
      <c r="F865" s="309" t="str">
        <f>_xlfn.XLOOKUP(FMS_Ranking4[[#This Row],[FMS ID]],Sponsor[FMS_ID],Sponsor[SPONSOR NAME])</f>
        <v>Van</v>
      </c>
      <c r="G865" s="309" t="str">
        <f>_xlfn.XLOOKUP(FMS_Ranking4[[#This Row],[FMS ID]],FMS_Input[FMS_ID],FMS_Input[FMS_DESCR])</f>
        <v>Adopt and implement a program for clearing debris from bridges, drains and culverts.</v>
      </c>
      <c r="H865" s="247" t="str">
        <f>_xlfn.XLOOKUP(FMS_Ranking4[[#This Row],[FMS ID]],FMS_Input[FMS_ID],FMS_Input[FMS_TYPE])</f>
        <v>Other</v>
      </c>
      <c r="I865" s="288">
        <f>_xlfn.XLOOKUP(FMS_Ranking4[[#This Row],[FMS ID]],FMS_Input[FMS_ID],FMS_Input[NRNC_COST])</f>
        <v>50000</v>
      </c>
      <c r="J865" s="250">
        <f>_xlfn.XLOOKUP(FMS_Ranking4[[#This Row],[FMS ID]],FMS_Input[FMS_ID],FMS_Input[FMS_COST])</f>
        <v>50000</v>
      </c>
      <c r="K865" s="289" t="str">
        <f>_xlfn.XLOOKUP(FMS_Ranking4[[#This Row],[FMS ID]],FMS_Input[FMS_ID],FMS_Input[EMER_NEED])</f>
        <v>No</v>
      </c>
      <c r="L865" s="252">
        <f t="shared" si="13"/>
        <v>0</v>
      </c>
      <c r="M865" s="253">
        <f>_xlfn.XLOOKUP(FMS_Ranking4[[#This Row],[FMS ID]],FMS_Input[FMS_ID],FMS_Input[STRUCT_100])</f>
        <v>0</v>
      </c>
      <c r="N865" s="255">
        <f>(ASINH(FMS_Ranking4[[#This Row],[Structure at Risk Raw]]))*(10)/(ASINH(M$4))</f>
        <v>0</v>
      </c>
      <c r="O865" s="255">
        <f>FMS_Ranking4[[#This Row],[Structures at risk, ArcSinh (0-10)]]*M$5*10</f>
        <v>0</v>
      </c>
      <c r="P865" s="259">
        <f>_xlfn.XLOOKUP(FMS_Ranking4[[#This Row],[FMS ID]],FMS_Input[FMS_ID],FMS_Input[RES_STRUCT100])</f>
        <v>0</v>
      </c>
      <c r="Q865" s="257">
        <f>ASINH(FMS_Ranking4[[#This Row],[Res Structure Raw]])/Q$4*P$5*100</f>
        <v>0</v>
      </c>
      <c r="R865" s="259">
        <f>_xlfn.XLOOKUP(FMS_Ranking4[[#This Row],[FMS ID]],FMS_Input[FMS_ID],FMS_Input[POP100])</f>
        <v>0</v>
      </c>
      <c r="S865" s="259">
        <f>(ASINH(FMS_Ranking4[[#This Row],[Pop at Risk Raw]]))*(10)/(ASINH(R$4))</f>
        <v>0</v>
      </c>
      <c r="T865" s="257">
        <f>FMS_Ranking4[[#This Row],[Population at risk, ArcSinh (0-10)]]*R$5*10</f>
        <v>0</v>
      </c>
      <c r="U865" s="259">
        <f>_xlfn.XLOOKUP(FMS_Ranking4[[#This Row],[FMS ID]],FMS_Input[FMS_ID],FMS_Input[CRITFAC100])</f>
        <v>0</v>
      </c>
      <c r="V865" s="259">
        <f>(ASINH(FMS_Ranking4[[#This Row],[Critical Facilities Raw]]))*(10)/(ASINH(U$4))</f>
        <v>0</v>
      </c>
      <c r="W865" s="257">
        <f>FMS_Ranking4[[#This Row],[Critical facilities at risk, ArcSinh (0-10)]]*U$5*10</f>
        <v>0</v>
      </c>
      <c r="X865" s="259">
        <f>_xlfn.XLOOKUP(FMS_Ranking4[[#This Row],[FMS ID]],FMS_Input[FMS_ID],FMS_Input[LWC])</f>
        <v>0</v>
      </c>
      <c r="Y865" s="259">
        <f>(ASINH(FMS_Ranking4[[#This Row],[LWC Raw]]))*(10)/(ASINH(X$4))</f>
        <v>0</v>
      </c>
      <c r="Z865" s="257">
        <f>FMS_Ranking4[[#This Row],[LWC, ArcSInh (0-10)]]*X$5*10</f>
        <v>0</v>
      </c>
      <c r="AA865" s="259">
        <f>_xlfn.XLOOKUP(FMS_Ranking4[[#This Row],[FMS ID]],FMS_Input[FMS_ID],FMS_Input[ROADCLS])</f>
        <v>0</v>
      </c>
      <c r="AB865" s="255">
        <f>(ASINH(FMS_Ranking4[[#This Row],[Road Closures Raw]]))*(10)/(ASINH(AA$4))</f>
        <v>0</v>
      </c>
      <c r="AC865" s="255">
        <f>FMS_Ranking4[[#This Row],[Road closures, ArcSinh (0-10)]]*AA$5*10</f>
        <v>0</v>
      </c>
      <c r="AD865" s="259">
        <f>_xlfn.XLOOKUP(FMS_Ranking4[[#This Row],[FMS ID]],FMS_Input[FMS_ID],FMS_Input[ROAD_MILES100])</f>
        <v>0</v>
      </c>
      <c r="AE865" s="259">
        <f>(ASINH(FMS_Ranking4[[#This Row],[Road Miles Raw]]))*(10)/(ASINH(AD$4))</f>
        <v>0</v>
      </c>
      <c r="AF865" s="257">
        <f>FMS_Ranking4[[#This Row],[Length of roads at risk, ArcSinh (0-10)]]*AD$5*10</f>
        <v>0</v>
      </c>
      <c r="AG865" s="259">
        <f>_xlfn.XLOOKUP(FMS_Ranking4[[#This Row],[FMS ID]],FMS_Input[FMS_ID],FMS_Input[FARMACRE100])</f>
        <v>0.38747164607048029</v>
      </c>
      <c r="AH865" s="255">
        <f>(ASINH(FMS_Ranking4[[#This Row],[Ag Land Raw]]))*(10)/(ASINH(AG$4))</f>
        <v>0.24578737907627221</v>
      </c>
      <c r="AI865" s="254">
        <f>FMS_Ranking4[[#This Row],[Farm &amp; ranch land, ArcSinh (0-10)]]*AG$5*10</f>
        <v>0.12289368953813612</v>
      </c>
      <c r="AJ865" s="258">
        <f>_xlfn.XLOOKUP(FMS_Ranking4[[#This Row],[FMS ID]],FMS_Input[FMS_ID],FMS_Input[REDSTRUCT100])</f>
        <v>0</v>
      </c>
      <c r="AK865" s="253">
        <f>_xlfn.XLOOKUP(FMS_Ranking4[[#This Row],[FMS ID]],FMS_Input[FMS_ID],FMS_Input[REMSTRC100])</f>
        <v>0</v>
      </c>
      <c r="AL865" s="259">
        <f>(ASINH(FMS_Ranking4[[#This Row],[Structures Removed Raw]]))*(10)/(ASINH(AK$4))</f>
        <v>0</v>
      </c>
      <c r="AM865" s="254">
        <f>FMS_Ranking4[[#This Row],[Structures removed, ArcSinh (0-10)]]*AK$5*10</f>
        <v>0</v>
      </c>
      <c r="AN865" s="253">
        <f>_xlfn.XLOOKUP(FMS_Ranking4[[#This Row],[FMS ID]],FMS_Input[FMS_ID],FMS_Input[REMRESSTRC100])</f>
        <v>0</v>
      </c>
      <c r="AO865" s="258">
        <f>FMS_Ranking4[[#This Row],[ArcSinh Res struct removed 0-10]]*AN$5*10</f>
        <v>0</v>
      </c>
      <c r="AP865" s="254">
        <f>ASINH(FMS_Ranking4[[#This Row],[Residential Structures Removed Raw]])/AP$4*AN$5*100</f>
        <v>0</v>
      </c>
      <c r="AQ865" s="260">
        <f>(ASINH(FMS_Ranking4[[#This Row],[Residential Structures Removed Raw]]))*(10)/(ASINH(AN$4))</f>
        <v>0</v>
      </c>
      <c r="AR865" s="253">
        <f>_xlfn.XLOOKUP(FMS_Ranking4[[#This Row],[FMS ID]],FMS_Input[FMS_ID],FMS_Input[REMPOP100])</f>
        <v>0</v>
      </c>
      <c r="AS865" s="259">
        <f>(ASINH(FMS_Ranking4[[#This Row],[Removed Pop Raw]]))*(10)/(ASINH(AR$4))</f>
        <v>0</v>
      </c>
      <c r="AT865" s="263">
        <f>FMS_Ranking4[[#This Row],[Removed population, ArcSinh (0-10)]]*AR$5*10</f>
        <v>0</v>
      </c>
      <c r="AU865" s="264">
        <f>_xlfn.XLOOKUP(FMS_Ranking4[[#This Row],[FMS ID]],FMS_Input[FMS_ID],FMS_Input[REMCRITFAC100])</f>
        <v>0</v>
      </c>
      <c r="AV865" s="264">
        <f>_xlfn.XLOOKUP(FMS_Ranking4[[#This Row],[FMS ID]],FMS_Input[FMS_ID],FMS_Input[REMLWC100])</f>
        <v>0</v>
      </c>
      <c r="AW865" s="264">
        <f>_xlfn.XLOOKUP(FMS_Ranking4[[#This Row],[FMS ID]],FMS_Input[FMS_ID],FMS_Input[REMROADCLS])</f>
        <v>0</v>
      </c>
      <c r="AX865" s="264">
        <f>_xlfn.XLOOKUP(FMS_Ranking4[[#This Row],[FMS ID]],FMS_Input[FMS_ID],FMS_Input[REMFRMACRE100])</f>
        <v>0</v>
      </c>
      <c r="AY865" s="258">
        <f>_xlfn.XLOOKUP(FMS_Ranking4[[#This Row],[FMS ID]],FMS_Input[FMS_ID],FMS_Input[COSTSTRUCT])</f>
        <v>0</v>
      </c>
      <c r="AZ865" s="258">
        <f>_xlfn.XLOOKUP(FMS_Ranking4[[#This Row],[FMS ID]],FMS_Input[FMS_ID],FMS_Input[NATURE])</f>
        <v>0</v>
      </c>
      <c r="BA865" s="290">
        <f>(((FMS_Ranking4[[#This Row],[% NBS Raw]]/AZ$4)*100)*AZ$5)</f>
        <v>0</v>
      </c>
      <c r="BB865" s="251" t="str">
        <f>_xlfn.XLOOKUP(FMS_Ranking4[[#This Row],[FMS ID]],FMS_Input[FMS_ID],FMS_Input[WATER_SUP])</f>
        <v>No</v>
      </c>
      <c r="BC865" s="265">
        <f>IF(FMS_Ranking4[[#This Row],[Water Supply Raw]]="Yes",10,0)</f>
        <v>0</v>
      </c>
      <c r="BD865" s="251">
        <f>_xlfn.XLOOKUP(FMS_Ranking4[[#This Row],[FMS Type]],FMS_TYPE[FMS_Type],FMS_TYPE[Score])</f>
        <v>2</v>
      </c>
      <c r="BE865" s="267">
        <f>FMS_Ranking4[[#This Row],[FMS_Type Score]]*$BD$5*10</f>
        <v>0.5</v>
      </c>
      <c r="BF865"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7.9887980828467095E-7</v>
      </c>
      <c r="BG865" s="271">
        <f>_xlfn.RANK.EQ(BF865,$BF$8:$BF$870,0)+COUNTIF($BF$8:BF865,BF865)-1</f>
        <v>806</v>
      </c>
      <c r="BH865" s="268">
        <f>(((FMS_Ranking4[[#This Row],[Structures Removed Raw]]/AK$4)*100)*AK$5)+(((FMS_Ranking4[[#This Row],[Removed Pop Raw]]/AR$4)*100)*AR$5)</f>
        <v>0</v>
      </c>
      <c r="BI865"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0.50000079887980831</v>
      </c>
      <c r="BJ865" s="325">
        <f>_xlfn.RANK.EQ(FMS_Ranking4[[#This Row],[Total Score 
(with linear
normalization)]],FMS_Ranking4[Total Score 
(with linear
normalization)],0)</f>
        <v>858</v>
      </c>
      <c r="BK865" s="327" t="e">
        <f>_xlfn.XLOOKUP(FMS_Ranking4[[#This Row],[FMS ID]],#REF!,#REF!)</f>
        <v>#REF!</v>
      </c>
      <c r="BL865"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0.12289368953813612</v>
      </c>
      <c r="BM865" s="330">
        <f>FMS_Ranking4[[#This Row],[ArcSinh Score Based on Normalized Reported Factors]]+FMS_Ranking4[[#This Row],[% NBS Score (Normalized)]]+(FMS_Ranking4[[#This Row],[Water Supply Score (Normalized)]]*10*$BB$5)+FMS_Ranking4[[#This Row],[FMS_Type Score Weighted]]</f>
        <v>0.62289368953813606</v>
      </c>
      <c r="BN865" s="332">
        <f>_xlfn.RANK.EQ(FMS_Ranking4[[#This Row],[Total Score (with ArcSinh normalization of select criteria)]],FMS_Ranking4[Total Score (with ArcSinh normalization of select criteria)],0)</f>
        <v>858</v>
      </c>
      <c r="BO865" s="270" t="str">
        <f>_xlfn.XLOOKUP(FMS_Ranking4[[#This Row],[FMS ID]],FMS_Input[FMS_ID],FMS_Input[FMS_RANK_YEAR])</f>
        <v>2023 Amended Plan</v>
      </c>
      <c r="BP865" s="204">
        <f>_xlfn.XLOOKUP(FMS_Ranking4[[#This Row],[FMS ID]],Prev_Rank[FMS ID],Prev_Rank[Prev Rank])</f>
        <v>767</v>
      </c>
      <c r="BQ865" s="334" t="e">
        <f>_xlfn.XLOOKUP(FMS_Ranking4[[#This Row],[FMS ID]],#REF!,#REF!)</f>
        <v>#REF!</v>
      </c>
      <c r="BR865" s="199" t="e">
        <f>SUM(#REF!,#REF!,#REF!,#REF!,#REF!,#REF!,#REF!,#REF!,#REF!,FMS_Ranking4[[#This Row],[ArcSinh Res struct removed 0-10]],#REF!)</f>
        <v>#REF!</v>
      </c>
      <c r="BS865" s="199" t="e">
        <f>FMS_Ranking4[[#This Row],[Log Score Based on Normalized Reported Factors]]+FMS_Ranking4[[#This Row],[% NBS Score (Normalized)]]+(FMS_Ranking4[[#This Row],[Water Supply Score (Normalized)]]*10*$BB$5)+(FMS_Ranking4[[#This Row],[FMS_Type Score Weighted]])</f>
        <v>#REF!</v>
      </c>
      <c r="BT865" s="200" t="e">
        <f>_xlfn.RANK.EQ(FMS_Ranking4[[#This Row],[Log Total Score]],FMS_Ranking4[Log Total Score],0)</f>
        <v>#REF!</v>
      </c>
      <c r="BU865" s="200" t="e">
        <f>_xlfn.XLOOKUP(FMS_Ranking4[[#This Row],[FMS ID]],#REF!,#REF!)</f>
        <v>#REF!</v>
      </c>
      <c r="BV865" s="200">
        <f>FMS_Ranking4[[#This Row],[Region Number]]</f>
        <v>4</v>
      </c>
      <c r="BW865" s="200">
        <f>FMS_Ranking4[[#This Row],[Rank (with ArcSinh normalization of select criteria)]]-FMS_Ranking4[[#This Row],[Rank
(with linear
normalization)]]</f>
        <v>0</v>
      </c>
      <c r="BX865" s="200" t="e">
        <f>FMS_Ranking4[[#This Row],[Log Rank]]-FMS_Ranking4[[#This Row],[Rank
(with linear
normalization)]]</f>
        <v>#REF!</v>
      </c>
      <c r="BY865" s="200" t="str">
        <f>IF(FMS_Ranking4[[#This Row],[FMS Type]]="Flood Measurement and Warning",FMS_Ranking4[[#This Row],[Rank (with ArcSinh normalization of select criteria)]],"")</f>
        <v/>
      </c>
      <c r="BZ865" s="200" t="str">
        <f>IF(FMS_Ranking4[[#This Row],[FMS Type]]="Regulatory and Guidance",FMS_Ranking4[[#This Row],[Rank (with ArcSinh normalization of select criteria)]],"")</f>
        <v/>
      </c>
      <c r="CA865" s="200" t="str">
        <f>IF(FMS_Ranking4[[#This Row],[FMS Type]]="Education and Outreach",FMS_Ranking4[[#This Row],[Rank (with ArcSinh normalization of select criteria)]],"")</f>
        <v/>
      </c>
      <c r="CB865" s="200" t="str">
        <f>IF(FMS_Ranking4[[#This Row],[FMS Type]]="Property Acquisition and Structural Elevation",FMS_Ranking4[[#This Row],[Rank (with ArcSinh normalization of select criteria)]],"")</f>
        <v/>
      </c>
      <c r="CC865" s="200" t="str">
        <f>IF(FMS_Ranking4[[#This Row],[FMS Type]]="Infrastructure Projects",FMS_Ranking4[[#This Row],[Rank (with ArcSinh normalization of select criteria)]],"")</f>
        <v/>
      </c>
      <c r="CD865" s="200">
        <f>IF(FMS_Ranking4[[#This Row],[FMS Type]]="Other",FMS_Ranking4[[#This Row],[Rank (with ArcSinh normalization of select criteria)]],"")</f>
        <v>858</v>
      </c>
    </row>
    <row r="866" spans="2:82" ht="45" x14ac:dyDescent="0.25">
      <c r="B866" s="342" t="s">
        <v>4929</v>
      </c>
      <c r="C866" s="287">
        <f>_xlfn.XLOOKUP(FMS_Ranking4[[#This Row],[FMS ID]],FMS_Input[FMS_ID],FMS_Input[RFPG_NUM])</f>
        <v>8</v>
      </c>
      <c r="D866" s="309" t="str">
        <f>_xlfn.XLOOKUP(FMS_Ranking4[[#This Row],[FMS ID]],FMS_Input[FMS_ID],FMS_Input[FMS_NAME])</f>
        <v>City of Leander Automated Barriers</v>
      </c>
      <c r="E866" s="322" t="str">
        <f>_xlfn.XLOOKUP(FMS_Ranking4[[#This Row],[FMS ID]],FMS_Input[FMS_ID],FMS_Input[SPONSOR])</f>
        <v>00003457</v>
      </c>
      <c r="F866" s="309" t="str">
        <f>_xlfn.XLOOKUP(FMS_Ranking4[[#This Row],[FMS ID]],Sponsor[FMS_ID],Sponsor[SPONSOR NAME])</f>
        <v>Leander</v>
      </c>
      <c r="G866" s="309" t="str">
        <f>_xlfn.XLOOKUP(FMS_Ranking4[[#This Row],[FMS ID]],FMS_Input[FMS_ID],FMS_Input[FMS_DESCR])</f>
        <v>Install low water crossing automated barriers and warning signs.</v>
      </c>
      <c r="H866" s="247" t="str">
        <f>_xlfn.XLOOKUP(FMS_Ranking4[[#This Row],[FMS ID]],FMS_Input[FMS_ID],FMS_Input[FMS_TYPE])</f>
        <v>Other</v>
      </c>
      <c r="I866" s="288">
        <f>_xlfn.XLOOKUP(FMS_Ranking4[[#This Row],[FMS ID]],FMS_Input[FMS_ID],FMS_Input[NRNC_COST])</f>
        <v>500000</v>
      </c>
      <c r="J866" s="250">
        <f>_xlfn.XLOOKUP(FMS_Ranking4[[#This Row],[FMS ID]],FMS_Input[FMS_ID],FMS_Input[FMS_COST])</f>
        <v>500000</v>
      </c>
      <c r="K866" s="289" t="str">
        <f>_xlfn.XLOOKUP(FMS_Ranking4[[#This Row],[FMS ID]],FMS_Input[FMS_ID],FMS_Input[EMER_NEED])</f>
        <v>No</v>
      </c>
      <c r="L866" s="252">
        <f t="shared" si="13"/>
        <v>0</v>
      </c>
      <c r="M866" s="253">
        <f>_xlfn.XLOOKUP(FMS_Ranking4[[#This Row],[FMS ID]],FMS_Input[FMS_ID],FMS_Input[STRUCT_100])</f>
        <v>0</v>
      </c>
      <c r="N866" s="255">
        <f>(ASINH(FMS_Ranking4[[#This Row],[Structure at Risk Raw]]))*(10)/(ASINH(M$4))</f>
        <v>0</v>
      </c>
      <c r="O866" s="255">
        <f>FMS_Ranking4[[#This Row],[Structures at risk, ArcSinh (0-10)]]*M$5*10</f>
        <v>0</v>
      </c>
      <c r="P866" s="259">
        <f>_xlfn.XLOOKUP(FMS_Ranking4[[#This Row],[FMS ID]],FMS_Input[FMS_ID],FMS_Input[RES_STRUCT100])</f>
        <v>0</v>
      </c>
      <c r="Q866" s="257">
        <f>ASINH(FMS_Ranking4[[#This Row],[Res Structure Raw]])/Q$4*P$5*100</f>
        <v>0</v>
      </c>
      <c r="R866" s="259">
        <f>_xlfn.XLOOKUP(FMS_Ranking4[[#This Row],[FMS ID]],FMS_Input[FMS_ID],FMS_Input[POP100])</f>
        <v>0</v>
      </c>
      <c r="S866" s="255">
        <f>(ASINH(FMS_Ranking4[[#This Row],[Pop at Risk Raw]]))*(10)/(ASINH(R$4))</f>
        <v>0</v>
      </c>
      <c r="T866" s="257">
        <f>FMS_Ranking4[[#This Row],[Population at risk, ArcSinh (0-10)]]*R$5*10</f>
        <v>0</v>
      </c>
      <c r="U866" s="259">
        <f>_xlfn.XLOOKUP(FMS_Ranking4[[#This Row],[FMS ID]],FMS_Input[FMS_ID],FMS_Input[CRITFAC100])</f>
        <v>0</v>
      </c>
      <c r="V866" s="255">
        <f>(ASINH(FMS_Ranking4[[#This Row],[Critical Facilities Raw]]))*(10)/(ASINH(U$4))</f>
        <v>0</v>
      </c>
      <c r="W866" s="257">
        <f>FMS_Ranking4[[#This Row],[Critical facilities at risk, ArcSinh (0-10)]]*U$5*10</f>
        <v>0</v>
      </c>
      <c r="X866" s="259">
        <f>_xlfn.XLOOKUP(FMS_Ranking4[[#This Row],[FMS ID]],FMS_Input[FMS_ID],FMS_Input[LWC])</f>
        <v>0</v>
      </c>
      <c r="Y866" s="255">
        <f>(ASINH(FMS_Ranking4[[#This Row],[LWC Raw]]))*(10)/(ASINH(X$4))</f>
        <v>0</v>
      </c>
      <c r="Z866" s="257">
        <f>FMS_Ranking4[[#This Row],[LWC, ArcSInh (0-10)]]*X$5*10</f>
        <v>0</v>
      </c>
      <c r="AA866" s="259">
        <f>_xlfn.XLOOKUP(FMS_Ranking4[[#This Row],[FMS ID]],FMS_Input[FMS_ID],FMS_Input[ROADCLS])</f>
        <v>0</v>
      </c>
      <c r="AB866" s="255">
        <f>(ASINH(FMS_Ranking4[[#This Row],[Road Closures Raw]]))*(10)/(ASINH(AA$4))</f>
        <v>0</v>
      </c>
      <c r="AC866" s="255">
        <f>FMS_Ranking4[[#This Row],[Road closures, ArcSinh (0-10)]]*AA$5*10</f>
        <v>0</v>
      </c>
      <c r="AD866" s="259">
        <f>_xlfn.XLOOKUP(FMS_Ranking4[[#This Row],[FMS ID]],FMS_Input[FMS_ID],FMS_Input[ROAD_MILES100])</f>
        <v>0</v>
      </c>
      <c r="AE866" s="255">
        <f>(ASINH(FMS_Ranking4[[#This Row],[Road Miles Raw]]))*(10)/(ASINH(AD$4))</f>
        <v>0</v>
      </c>
      <c r="AF866" s="257">
        <f>FMS_Ranking4[[#This Row],[Length of roads at risk, ArcSinh (0-10)]]*AD$5*10</f>
        <v>0</v>
      </c>
      <c r="AG866" s="259">
        <f>_xlfn.XLOOKUP(FMS_Ranking4[[#This Row],[FMS ID]],FMS_Input[FMS_ID],FMS_Input[FARMACRE100])</f>
        <v>0</v>
      </c>
      <c r="AH866" s="255">
        <f>(ASINH(FMS_Ranking4[[#This Row],[Ag Land Raw]]))*(10)/(ASINH(AG$4))</f>
        <v>0</v>
      </c>
      <c r="AI866" s="254">
        <f>FMS_Ranking4[[#This Row],[Farm &amp; ranch land, ArcSinh (0-10)]]*AG$5*10</f>
        <v>0</v>
      </c>
      <c r="AJ866" s="258">
        <f>_xlfn.XLOOKUP(FMS_Ranking4[[#This Row],[FMS ID]],FMS_Input[FMS_ID],FMS_Input[REDSTRUCT100])</f>
        <v>0</v>
      </c>
      <c r="AK866" s="253">
        <f>_xlfn.XLOOKUP(FMS_Ranking4[[#This Row],[FMS ID]],FMS_Input[FMS_ID],FMS_Input[REMSTRC100])</f>
        <v>0</v>
      </c>
      <c r="AL866" s="255">
        <f>(ASINH(FMS_Ranking4[[#This Row],[Structures Removed Raw]]))*(10)/(ASINH(AK$4))</f>
        <v>0</v>
      </c>
      <c r="AM866" s="254">
        <f>FMS_Ranking4[[#This Row],[Structures removed, ArcSinh (0-10)]]*AK$5*10</f>
        <v>0</v>
      </c>
      <c r="AN866" s="253">
        <f>_xlfn.XLOOKUP(FMS_Ranking4[[#This Row],[FMS ID]],FMS_Input[FMS_ID],FMS_Input[REMRESSTRC100])</f>
        <v>0</v>
      </c>
      <c r="AO866" s="258">
        <f>FMS_Ranking4[[#This Row],[ArcSinh Res struct removed 0-10]]*AN$5*10</f>
        <v>0</v>
      </c>
      <c r="AP866" s="254">
        <f>ASINH(FMS_Ranking4[[#This Row],[Residential Structures Removed Raw]])/AP$4*AN$5*100</f>
        <v>0</v>
      </c>
      <c r="AQ866" s="261">
        <f>(ASINH(FMS_Ranking4[[#This Row],[Residential Structures Removed Raw]]))*(10)/(ASINH(AN$4))</f>
        <v>0</v>
      </c>
      <c r="AR866" s="253">
        <f>_xlfn.XLOOKUP(FMS_Ranking4[[#This Row],[FMS ID]],FMS_Input[FMS_ID],FMS_Input[REMPOP100])</f>
        <v>0</v>
      </c>
      <c r="AS866" s="255">
        <f>(ASINH(FMS_Ranking4[[#This Row],[Removed Pop Raw]]))*(10)/(ASINH(AR$4))</f>
        <v>0</v>
      </c>
      <c r="AT866" s="263">
        <f>FMS_Ranking4[[#This Row],[Removed population, ArcSinh (0-10)]]*AR$5*10</f>
        <v>0</v>
      </c>
      <c r="AU866" s="264">
        <f>_xlfn.XLOOKUP(FMS_Ranking4[[#This Row],[FMS ID]],FMS_Input[FMS_ID],FMS_Input[REMCRITFAC100])</f>
        <v>0</v>
      </c>
      <c r="AV866" s="264">
        <f>_xlfn.XLOOKUP(FMS_Ranking4[[#This Row],[FMS ID]],FMS_Input[FMS_ID],FMS_Input[REMLWC100])</f>
        <v>0</v>
      </c>
      <c r="AW866" s="264">
        <f>_xlfn.XLOOKUP(FMS_Ranking4[[#This Row],[FMS ID]],FMS_Input[FMS_ID],FMS_Input[REMROADCLS])</f>
        <v>0</v>
      </c>
      <c r="AX866" s="264">
        <f>_xlfn.XLOOKUP(FMS_Ranking4[[#This Row],[FMS ID]],FMS_Input[FMS_ID],FMS_Input[REMFRMACRE100])</f>
        <v>0</v>
      </c>
      <c r="AY866" s="258">
        <f>_xlfn.XLOOKUP(FMS_Ranking4[[#This Row],[FMS ID]],FMS_Input[FMS_ID],FMS_Input[COSTSTRUCT])</f>
        <v>0</v>
      </c>
      <c r="AZ866" s="258">
        <f>_xlfn.XLOOKUP(FMS_Ranking4[[#This Row],[FMS ID]],FMS_Input[FMS_ID],FMS_Input[NATURE])</f>
        <v>0</v>
      </c>
      <c r="BA866" s="290">
        <f>(((FMS_Ranking4[[#This Row],[% NBS Raw]]/AZ$4)*100)*AZ$5)</f>
        <v>0</v>
      </c>
      <c r="BB866" s="251" t="str">
        <f>_xlfn.XLOOKUP(FMS_Ranking4[[#This Row],[FMS ID]],FMS_Input[FMS_ID],FMS_Input[WATER_SUP])</f>
        <v>No</v>
      </c>
      <c r="BC866" s="265">
        <f>IF(FMS_Ranking4[[#This Row],[Water Supply Raw]]="Yes",10,0)</f>
        <v>0</v>
      </c>
      <c r="BD866" s="251">
        <f>_xlfn.XLOOKUP(FMS_Ranking4[[#This Row],[FMS Type]],FMS_TYPE[FMS_Type],FMS_TYPE[Score])</f>
        <v>2</v>
      </c>
      <c r="BE866" s="267">
        <f>FMS_Ranking4[[#This Row],[FMS_Type Score]]*$BD$5*10</f>
        <v>0.5</v>
      </c>
      <c r="BF866" s="295">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66" s="321">
        <f>_xlfn.RANK.EQ(BF866,$BF$8:$BF$870,0)+COUNTIF($BF$8:BF866,BF866)-1</f>
        <v>859</v>
      </c>
      <c r="BH866" s="294">
        <f>(((FMS_Ranking4[[#This Row],[Structures Removed Raw]]/AK$4)*100)*AK$5)+(((FMS_Ranking4[[#This Row],[Removed Pop Raw]]/AR$4)*100)*AR$5)</f>
        <v>0</v>
      </c>
      <c r="BI866" s="294">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v>
      </c>
      <c r="BJ866" s="296">
        <f>_xlfn.RANK.EQ(FMS_Ranking4[[#This Row],[Total Score 
(with linear
normalization)]],FMS_Ranking4[Total Score 
(with linear
normalization)],0)</f>
        <v>859</v>
      </c>
      <c r="BK866" s="292" t="e">
        <f>_xlfn.XLOOKUP(FMS_Ranking4[[#This Row],[FMS ID]],#REF!,#REF!)</f>
        <v>#REF!</v>
      </c>
      <c r="BL866"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66" s="298">
        <f>FMS_Ranking4[[#This Row],[ArcSinh Score Based on Normalized Reported Factors]]+FMS_Ranking4[[#This Row],[% NBS Score (Normalized)]]+(FMS_Ranking4[[#This Row],[Water Supply Score (Normalized)]]*10*$BB$5)+FMS_Ranking4[[#This Row],[FMS_Type Score Weighted]]</f>
        <v>0.5</v>
      </c>
      <c r="BN866" s="323">
        <f>_xlfn.RANK.EQ(FMS_Ranking4[[#This Row],[Total Score (with ArcSinh normalization of select criteria)]],FMS_Ranking4[Total Score (with ArcSinh normalization of select criteria)],0)</f>
        <v>859</v>
      </c>
      <c r="BO866" s="270" t="str">
        <f>_xlfn.XLOOKUP(FMS_Ranking4[[#This Row],[FMS ID]],FMS_Input[FMS_ID],FMS_Input[FMS_RANK_YEAR])</f>
        <v>2023 Amended Plan</v>
      </c>
      <c r="BP866" s="204">
        <f>_xlfn.XLOOKUP(FMS_Ranking4[[#This Row],[FMS ID]],Prev_Rank[FMS ID],Prev_Rank[Prev Rank])</f>
        <v>768</v>
      </c>
      <c r="BQ866" s="265" t="e">
        <f>_xlfn.XLOOKUP(FMS_Ranking4[[#This Row],[FMS ID]],#REF!,#REF!)</f>
        <v>#REF!</v>
      </c>
      <c r="BR866" s="199" t="e">
        <f>SUM(#REF!,#REF!,#REF!,#REF!,#REF!,#REF!,#REF!,#REF!,#REF!,FMS_Ranking4[[#This Row],[ArcSinh Res struct removed 0-10]],#REF!)</f>
        <v>#REF!</v>
      </c>
      <c r="BS866" s="199" t="e">
        <f>FMS_Ranking4[[#This Row],[Log Score Based on Normalized Reported Factors]]+FMS_Ranking4[[#This Row],[% NBS Score (Normalized)]]+(FMS_Ranking4[[#This Row],[Water Supply Score (Normalized)]]*10*$BB$5)+(FMS_Ranking4[[#This Row],[FMS_Type Score Weighted]])</f>
        <v>#REF!</v>
      </c>
      <c r="BT866" s="200" t="e">
        <f>_xlfn.RANK.EQ(FMS_Ranking4[[#This Row],[Log Total Score]],FMS_Ranking4[Log Total Score],0)</f>
        <v>#REF!</v>
      </c>
      <c r="BU866" s="200" t="e">
        <f>_xlfn.XLOOKUP(FMS_Ranking4[[#This Row],[FMS ID]],#REF!,#REF!)</f>
        <v>#REF!</v>
      </c>
      <c r="BV866" s="200">
        <f>FMS_Ranking4[[#This Row],[Region Number]]</f>
        <v>8</v>
      </c>
      <c r="BW866" s="200">
        <f>FMS_Ranking4[[#This Row],[Rank (with ArcSinh normalization of select criteria)]]-FMS_Ranking4[[#This Row],[Rank
(with linear
normalization)]]</f>
        <v>0</v>
      </c>
      <c r="BX866" s="200" t="e">
        <f>FMS_Ranking4[[#This Row],[Log Rank]]-FMS_Ranking4[[#This Row],[Rank
(with linear
normalization)]]</f>
        <v>#REF!</v>
      </c>
      <c r="BY866" s="200" t="str">
        <f>IF(FMS_Ranking4[[#This Row],[FMS Type]]="Flood Measurement and Warning",FMS_Ranking4[[#This Row],[Rank (with ArcSinh normalization of select criteria)]],"")</f>
        <v/>
      </c>
      <c r="BZ866" s="200" t="str">
        <f>IF(FMS_Ranking4[[#This Row],[FMS Type]]="Regulatory and Guidance",FMS_Ranking4[[#This Row],[Rank (with ArcSinh normalization of select criteria)]],"")</f>
        <v/>
      </c>
      <c r="CA866" s="200" t="str">
        <f>IF(FMS_Ranking4[[#This Row],[FMS Type]]="Education and Outreach",FMS_Ranking4[[#This Row],[Rank (with ArcSinh normalization of select criteria)]],"")</f>
        <v/>
      </c>
      <c r="CB866" s="200" t="str">
        <f>IF(FMS_Ranking4[[#This Row],[FMS Type]]="Property Acquisition and Structural Elevation",FMS_Ranking4[[#This Row],[Rank (with ArcSinh normalization of select criteria)]],"")</f>
        <v/>
      </c>
      <c r="CC866" s="200" t="str">
        <f>IF(FMS_Ranking4[[#This Row],[FMS Type]]="Infrastructure Projects",FMS_Ranking4[[#This Row],[Rank (with ArcSinh normalization of select criteria)]],"")</f>
        <v/>
      </c>
      <c r="CD866" s="200">
        <f>IF(FMS_Ranking4[[#This Row],[FMS Type]]="Other",FMS_Ranking4[[#This Row],[Rank (with ArcSinh normalization of select criteria)]],"")</f>
        <v>859</v>
      </c>
    </row>
    <row r="867" spans="2:82" ht="105" x14ac:dyDescent="0.25">
      <c r="B867" s="342" t="s">
        <v>4900</v>
      </c>
      <c r="C867" s="287">
        <f>_xlfn.XLOOKUP(FMS_Ranking4[[#This Row],[FMS ID]],FMS_Input[FMS_ID],FMS_Input[RFPG_NUM])</f>
        <v>8</v>
      </c>
      <c r="D867" s="309" t="str">
        <f>_xlfn.XLOOKUP(FMS_Ranking4[[#This Row],[FMS ID]],FMS_Input[FMS_ID],FMS_Input[FMS_NAME])</f>
        <v>Evaluation of Flood Control Projects Phase 2</v>
      </c>
      <c r="E867" s="322" t="str">
        <f>_xlfn.XLOOKUP(FMS_Ranking4[[#This Row],[FMS ID]],FMS_Input[FMS_ID],FMS_Input[SPONSOR])</f>
        <v>00002517</v>
      </c>
      <c r="F867" s="309" t="str">
        <f>_xlfn.XLOOKUP(FMS_Ranking4[[#This Row],[FMS ID]],Sponsor[FMS_ID],Sponsor[SPONSOR NAME])</f>
        <v>Sugar Land</v>
      </c>
      <c r="G867" s="309" t="str">
        <f>_xlfn.XLOOKUP(FMS_Ranking4[[#This Row],[FMS ID]],FMS_Input[FMS_ID],FMS_Input[FMS_DESCR])</f>
        <v>Implement design, construction, and maintenance criteria for new City-owned flood control projects; Document retrofitting/non-structural control activities on existing City-owned flood control structures</v>
      </c>
      <c r="H867" s="247" t="str">
        <f>_xlfn.XLOOKUP(FMS_Ranking4[[#This Row],[FMS ID]],FMS_Input[FMS_ID],FMS_Input[FMS_TYPE])</f>
        <v>Other</v>
      </c>
      <c r="I867" s="288">
        <f>_xlfn.XLOOKUP(FMS_Ranking4[[#This Row],[FMS ID]],FMS_Input[FMS_ID],FMS_Input[NRNC_COST])</f>
        <v>500000</v>
      </c>
      <c r="J867" s="250">
        <f>_xlfn.XLOOKUP(FMS_Ranking4[[#This Row],[FMS ID]],FMS_Input[FMS_ID],FMS_Input[FMS_COST])</f>
        <v>500000</v>
      </c>
      <c r="K867" s="289" t="str">
        <f>_xlfn.XLOOKUP(FMS_Ranking4[[#This Row],[FMS ID]],FMS_Input[FMS_ID],FMS_Input[EMER_NEED])</f>
        <v>No</v>
      </c>
      <c r="L867" s="252">
        <f t="shared" si="13"/>
        <v>0</v>
      </c>
      <c r="M867" s="253">
        <f>_xlfn.XLOOKUP(FMS_Ranking4[[#This Row],[FMS ID]],FMS_Input[FMS_ID],FMS_Input[STRUCT_100])</f>
        <v>0</v>
      </c>
      <c r="N867" s="255">
        <f>(ASINH(FMS_Ranking4[[#This Row],[Structure at Risk Raw]]))*(10)/(ASINH(M$4))</f>
        <v>0</v>
      </c>
      <c r="O867" s="255">
        <f>FMS_Ranking4[[#This Row],[Structures at risk, ArcSinh (0-10)]]*M$5*10</f>
        <v>0</v>
      </c>
      <c r="P867" s="259">
        <f>_xlfn.XLOOKUP(FMS_Ranking4[[#This Row],[FMS ID]],FMS_Input[FMS_ID],FMS_Input[RES_STRUCT100])</f>
        <v>0</v>
      </c>
      <c r="Q867" s="257">
        <f>ASINH(FMS_Ranking4[[#This Row],[Res Structure Raw]])/Q$4*P$5*100</f>
        <v>0</v>
      </c>
      <c r="R867" s="259">
        <f>_xlfn.XLOOKUP(FMS_Ranking4[[#This Row],[FMS ID]],FMS_Input[FMS_ID],FMS_Input[POP100])</f>
        <v>0</v>
      </c>
      <c r="S867" s="259">
        <f>(ASINH(FMS_Ranking4[[#This Row],[Pop at Risk Raw]]))*(10)/(ASINH(R$4))</f>
        <v>0</v>
      </c>
      <c r="T867" s="257">
        <f>FMS_Ranking4[[#This Row],[Population at risk, ArcSinh (0-10)]]*R$5*10</f>
        <v>0</v>
      </c>
      <c r="U867" s="259">
        <f>_xlfn.XLOOKUP(FMS_Ranking4[[#This Row],[FMS ID]],FMS_Input[FMS_ID],FMS_Input[CRITFAC100])</f>
        <v>0</v>
      </c>
      <c r="V867" s="259">
        <f>(ASINH(FMS_Ranking4[[#This Row],[Critical Facilities Raw]]))*(10)/(ASINH(U$4))</f>
        <v>0</v>
      </c>
      <c r="W867" s="257">
        <f>FMS_Ranking4[[#This Row],[Critical facilities at risk, ArcSinh (0-10)]]*U$5*10</f>
        <v>0</v>
      </c>
      <c r="X867" s="259">
        <f>_xlfn.XLOOKUP(FMS_Ranking4[[#This Row],[FMS ID]],FMS_Input[FMS_ID],FMS_Input[LWC])</f>
        <v>0</v>
      </c>
      <c r="Y867" s="259">
        <f>(ASINH(FMS_Ranking4[[#This Row],[LWC Raw]]))*(10)/(ASINH(X$4))</f>
        <v>0</v>
      </c>
      <c r="Z867" s="257">
        <f>FMS_Ranking4[[#This Row],[LWC, ArcSInh (0-10)]]*X$5*10</f>
        <v>0</v>
      </c>
      <c r="AA867" s="259">
        <f>_xlfn.XLOOKUP(FMS_Ranking4[[#This Row],[FMS ID]],FMS_Input[FMS_ID],FMS_Input[ROADCLS])</f>
        <v>0</v>
      </c>
      <c r="AB867" s="255">
        <f>(ASINH(FMS_Ranking4[[#This Row],[Road Closures Raw]]))*(10)/(ASINH(AA$4))</f>
        <v>0</v>
      </c>
      <c r="AC867" s="255">
        <f>FMS_Ranking4[[#This Row],[Road closures, ArcSinh (0-10)]]*AA$5*10</f>
        <v>0</v>
      </c>
      <c r="AD867" s="259">
        <f>_xlfn.XLOOKUP(FMS_Ranking4[[#This Row],[FMS ID]],FMS_Input[FMS_ID],FMS_Input[ROAD_MILES100])</f>
        <v>0</v>
      </c>
      <c r="AE867" s="259">
        <f>(ASINH(FMS_Ranking4[[#This Row],[Road Miles Raw]]))*(10)/(ASINH(AD$4))</f>
        <v>0</v>
      </c>
      <c r="AF867" s="257">
        <f>FMS_Ranking4[[#This Row],[Length of roads at risk, ArcSinh (0-10)]]*AD$5*10</f>
        <v>0</v>
      </c>
      <c r="AG867" s="259">
        <f>_xlfn.XLOOKUP(FMS_Ranking4[[#This Row],[FMS ID]],FMS_Input[FMS_ID],FMS_Input[FARMACRE100])</f>
        <v>0</v>
      </c>
      <c r="AH867" s="255">
        <f>(ASINH(FMS_Ranking4[[#This Row],[Ag Land Raw]]))*(10)/(ASINH(AG$4))</f>
        <v>0</v>
      </c>
      <c r="AI867" s="254">
        <f>FMS_Ranking4[[#This Row],[Farm &amp; ranch land, ArcSinh (0-10)]]*AG$5*10</f>
        <v>0</v>
      </c>
      <c r="AJ867" s="258">
        <f>_xlfn.XLOOKUP(FMS_Ranking4[[#This Row],[FMS ID]],FMS_Input[FMS_ID],FMS_Input[REDSTRUCT100])</f>
        <v>0</v>
      </c>
      <c r="AK867" s="253">
        <f>_xlfn.XLOOKUP(FMS_Ranking4[[#This Row],[FMS ID]],FMS_Input[FMS_ID],FMS_Input[REMSTRC100])</f>
        <v>0</v>
      </c>
      <c r="AL867" s="259">
        <f>(ASINH(FMS_Ranking4[[#This Row],[Structures Removed Raw]]))*(10)/(ASINH(AK$4))</f>
        <v>0</v>
      </c>
      <c r="AM867" s="254">
        <f>FMS_Ranking4[[#This Row],[Structures removed, ArcSinh (0-10)]]*AK$5*10</f>
        <v>0</v>
      </c>
      <c r="AN867" s="253">
        <f>_xlfn.XLOOKUP(FMS_Ranking4[[#This Row],[FMS ID]],FMS_Input[FMS_ID],FMS_Input[REMRESSTRC100])</f>
        <v>0</v>
      </c>
      <c r="AO867" s="258">
        <f>FMS_Ranking4[[#This Row],[ArcSinh Res struct removed 0-10]]*AN$5*10</f>
        <v>0</v>
      </c>
      <c r="AP867" s="254">
        <f>ASINH(FMS_Ranking4[[#This Row],[Residential Structures Removed Raw]])/AP$4*AN$5*100</f>
        <v>0</v>
      </c>
      <c r="AQ867" s="260">
        <f>(ASINH(FMS_Ranking4[[#This Row],[Residential Structures Removed Raw]]))*(10)/(ASINH(AN$4))</f>
        <v>0</v>
      </c>
      <c r="AR867" s="253">
        <f>_xlfn.XLOOKUP(FMS_Ranking4[[#This Row],[FMS ID]],FMS_Input[FMS_ID],FMS_Input[REMPOP100])</f>
        <v>0</v>
      </c>
      <c r="AS867" s="259">
        <f>(ASINH(FMS_Ranking4[[#This Row],[Removed Pop Raw]]))*(10)/(ASINH(AR$4))</f>
        <v>0</v>
      </c>
      <c r="AT867" s="263">
        <f>FMS_Ranking4[[#This Row],[Removed population, ArcSinh (0-10)]]*AR$5*10</f>
        <v>0</v>
      </c>
      <c r="AU867" s="264">
        <f>_xlfn.XLOOKUP(FMS_Ranking4[[#This Row],[FMS ID]],FMS_Input[FMS_ID],FMS_Input[REMCRITFAC100])</f>
        <v>0</v>
      </c>
      <c r="AV867" s="264">
        <f>_xlfn.XLOOKUP(FMS_Ranking4[[#This Row],[FMS ID]],FMS_Input[FMS_ID],FMS_Input[REMLWC100])</f>
        <v>0</v>
      </c>
      <c r="AW867" s="264">
        <f>_xlfn.XLOOKUP(FMS_Ranking4[[#This Row],[FMS ID]],FMS_Input[FMS_ID],FMS_Input[REMROADCLS])</f>
        <v>0</v>
      </c>
      <c r="AX867" s="264">
        <f>_xlfn.XLOOKUP(FMS_Ranking4[[#This Row],[FMS ID]],FMS_Input[FMS_ID],FMS_Input[REMFRMACRE100])</f>
        <v>0</v>
      </c>
      <c r="AY867" s="258">
        <f>_xlfn.XLOOKUP(FMS_Ranking4[[#This Row],[FMS ID]],FMS_Input[FMS_ID],FMS_Input[COSTSTRUCT])</f>
        <v>0</v>
      </c>
      <c r="AZ867" s="258">
        <f>_xlfn.XLOOKUP(FMS_Ranking4[[#This Row],[FMS ID]],FMS_Input[FMS_ID],FMS_Input[NATURE])</f>
        <v>0</v>
      </c>
      <c r="BA867" s="290">
        <f>(((FMS_Ranking4[[#This Row],[% NBS Raw]]/AZ$4)*100)*AZ$5)</f>
        <v>0</v>
      </c>
      <c r="BB867" s="251" t="str">
        <f>_xlfn.XLOOKUP(FMS_Ranking4[[#This Row],[FMS ID]],FMS_Input[FMS_ID],FMS_Input[WATER_SUP])</f>
        <v>No</v>
      </c>
      <c r="BC867" s="265">
        <f>IF(FMS_Ranking4[[#This Row],[Water Supply Raw]]="Yes",10,0)</f>
        <v>0</v>
      </c>
      <c r="BD867" s="251">
        <f>_xlfn.XLOOKUP(FMS_Ranking4[[#This Row],[FMS Type]],FMS_TYPE[FMS_Type],FMS_TYPE[Score])</f>
        <v>2</v>
      </c>
      <c r="BE867" s="267">
        <f>FMS_Ranking4[[#This Row],[FMS_Type Score]]*$BD$5*10</f>
        <v>0.5</v>
      </c>
      <c r="BF867"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67" s="271">
        <f>_xlfn.RANK.EQ(BF867,$BF$8:$BF$870,0)+COUNTIF($BF$8:BF867,BF867)-1</f>
        <v>860</v>
      </c>
      <c r="BH867" s="268">
        <f>(((FMS_Ranking4[[#This Row],[Structures Removed Raw]]/AK$4)*100)*AK$5)+(((FMS_Ranking4[[#This Row],[Removed Pop Raw]]/AR$4)*100)*AR$5)</f>
        <v>0</v>
      </c>
      <c r="BI867"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v>
      </c>
      <c r="BJ867" s="325">
        <f>_xlfn.RANK.EQ(FMS_Ranking4[[#This Row],[Total Score 
(with linear
normalization)]],FMS_Ranking4[Total Score 
(with linear
normalization)],0)</f>
        <v>859</v>
      </c>
      <c r="BK867" s="327" t="e">
        <f>_xlfn.XLOOKUP(FMS_Ranking4[[#This Row],[FMS ID]],#REF!,#REF!)</f>
        <v>#REF!</v>
      </c>
      <c r="BL867"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67" s="330">
        <f>FMS_Ranking4[[#This Row],[ArcSinh Score Based on Normalized Reported Factors]]+FMS_Ranking4[[#This Row],[% NBS Score (Normalized)]]+(FMS_Ranking4[[#This Row],[Water Supply Score (Normalized)]]*10*$BB$5)+FMS_Ranking4[[#This Row],[FMS_Type Score Weighted]]</f>
        <v>0.5</v>
      </c>
      <c r="BN867" s="332">
        <f>_xlfn.RANK.EQ(FMS_Ranking4[[#This Row],[Total Score (with ArcSinh normalization of select criteria)]],FMS_Ranking4[Total Score (with ArcSinh normalization of select criteria)],0)</f>
        <v>859</v>
      </c>
      <c r="BO867" s="270" t="str">
        <f>_xlfn.XLOOKUP(FMS_Ranking4[[#This Row],[FMS ID]],FMS_Input[FMS_ID],FMS_Input[FMS_RANK_YEAR])</f>
        <v>2023 Amended Plan</v>
      </c>
      <c r="BP867" s="204">
        <f>_xlfn.XLOOKUP(FMS_Ranking4[[#This Row],[FMS ID]],Prev_Rank[FMS ID],Prev_Rank[Prev Rank])</f>
        <v>768</v>
      </c>
      <c r="BQ867" s="334" t="e">
        <f>_xlfn.XLOOKUP(FMS_Ranking4[[#This Row],[FMS ID]],#REF!,#REF!)</f>
        <v>#REF!</v>
      </c>
      <c r="BR867" s="199" t="e">
        <f>SUM(#REF!,#REF!,#REF!,#REF!,#REF!,#REF!,#REF!,#REF!,#REF!,FMS_Ranking4[[#This Row],[ArcSinh Res struct removed 0-10]],#REF!)</f>
        <v>#REF!</v>
      </c>
      <c r="BS867" s="199" t="e">
        <f>FMS_Ranking4[[#This Row],[Log Score Based on Normalized Reported Factors]]+FMS_Ranking4[[#This Row],[% NBS Score (Normalized)]]+(FMS_Ranking4[[#This Row],[Water Supply Score (Normalized)]]*10*$BB$5)+(FMS_Ranking4[[#This Row],[FMS_Type Score Weighted]])</f>
        <v>#REF!</v>
      </c>
      <c r="BT867" s="200" t="e">
        <f>_xlfn.RANK.EQ(FMS_Ranking4[[#This Row],[Log Total Score]],FMS_Ranking4[Log Total Score],0)</f>
        <v>#REF!</v>
      </c>
      <c r="BU867" s="200" t="e">
        <f>_xlfn.XLOOKUP(FMS_Ranking4[[#This Row],[FMS ID]],#REF!,#REF!)</f>
        <v>#REF!</v>
      </c>
      <c r="BV867" s="200">
        <f>FMS_Ranking4[[#This Row],[Region Number]]</f>
        <v>8</v>
      </c>
      <c r="BW867" s="200">
        <f>FMS_Ranking4[[#This Row],[Rank (with ArcSinh normalization of select criteria)]]-FMS_Ranking4[[#This Row],[Rank
(with linear
normalization)]]</f>
        <v>0</v>
      </c>
      <c r="BX867" s="200" t="e">
        <f>FMS_Ranking4[[#This Row],[Log Rank]]-FMS_Ranking4[[#This Row],[Rank
(with linear
normalization)]]</f>
        <v>#REF!</v>
      </c>
      <c r="BY867" s="200" t="str">
        <f>IF(FMS_Ranking4[[#This Row],[FMS Type]]="Flood Measurement and Warning",FMS_Ranking4[[#This Row],[Rank (with ArcSinh normalization of select criteria)]],"")</f>
        <v/>
      </c>
      <c r="BZ867" s="200" t="str">
        <f>IF(FMS_Ranking4[[#This Row],[FMS Type]]="Regulatory and Guidance",FMS_Ranking4[[#This Row],[Rank (with ArcSinh normalization of select criteria)]],"")</f>
        <v/>
      </c>
      <c r="CA867" s="200" t="str">
        <f>IF(FMS_Ranking4[[#This Row],[FMS Type]]="Education and Outreach",FMS_Ranking4[[#This Row],[Rank (with ArcSinh normalization of select criteria)]],"")</f>
        <v/>
      </c>
      <c r="CB867" s="200" t="str">
        <f>IF(FMS_Ranking4[[#This Row],[FMS Type]]="Property Acquisition and Structural Elevation",FMS_Ranking4[[#This Row],[Rank (with ArcSinh normalization of select criteria)]],"")</f>
        <v/>
      </c>
      <c r="CC867" s="200" t="str">
        <f>IF(FMS_Ranking4[[#This Row],[FMS Type]]="Infrastructure Projects",FMS_Ranking4[[#This Row],[Rank (with ArcSinh normalization of select criteria)]],"")</f>
        <v/>
      </c>
      <c r="CD867" s="200">
        <f>IF(FMS_Ranking4[[#This Row],[FMS Type]]="Other",FMS_Ranking4[[#This Row],[Rank (with ArcSinh normalization of select criteria)]],"")</f>
        <v>859</v>
      </c>
    </row>
    <row r="868" spans="2:82" ht="45" x14ac:dyDescent="0.25">
      <c r="B868" s="342" t="s">
        <v>12509</v>
      </c>
      <c r="C868" s="287">
        <f>_xlfn.XLOOKUP(FMS_Ranking4[[#This Row],[FMS ID]],FMS_Input[FMS_ID],FMS_Input[RFPG_NUM])</f>
        <v>8</v>
      </c>
      <c r="D868" s="309" t="str">
        <f>_xlfn.XLOOKUP(FMS_Ranking4[[#This Row],[FMS ID]],FMS_Input[FMS_ID],FMS_Input[FMS_NAME])</f>
        <v>Cedar Park Drainage Infrastructure Assessment</v>
      </c>
      <c r="E868" s="322" t="str">
        <f>_xlfn.XLOOKUP(FMS_Ranking4[[#This Row],[FMS ID]],FMS_Input[FMS_ID],FMS_Input[SPONSOR])</f>
        <v>00003454</v>
      </c>
      <c r="F868" s="309" t="str">
        <f>_xlfn.XLOOKUP(FMS_Ranking4[[#This Row],[FMS ID]],Sponsor[FMS_ID],Sponsor[SPONSOR NAME])</f>
        <v>Cedar Park</v>
      </c>
      <c r="G868" s="309" t="str">
        <f>_xlfn.XLOOKUP(FMS_Ranking4[[#This Row],[FMS ID]],FMS_Input[FMS_ID],FMS_Input[FMS_DESCR])</f>
        <v>City-wide inventory and assessment of drainage related infrastructure.</v>
      </c>
      <c r="H868" s="247" t="str">
        <f>_xlfn.XLOOKUP(FMS_Ranking4[[#This Row],[FMS ID]],FMS_Input[FMS_ID],FMS_Input[FMS_TYPE])</f>
        <v>Other</v>
      </c>
      <c r="I868" s="288">
        <f>_xlfn.XLOOKUP(FMS_Ranking4[[#This Row],[FMS ID]],FMS_Input[FMS_ID],FMS_Input[NRNC_COST])</f>
        <v>500000</v>
      </c>
      <c r="J868" s="250">
        <f>_xlfn.XLOOKUP(FMS_Ranking4[[#This Row],[FMS ID]],FMS_Input[FMS_ID],FMS_Input[FMS_COST])</f>
        <v>500000</v>
      </c>
      <c r="K868" s="289" t="str">
        <f>_xlfn.XLOOKUP(FMS_Ranking4[[#This Row],[FMS ID]],FMS_Input[FMS_ID],FMS_Input[EMER_NEED])</f>
        <v>No</v>
      </c>
      <c r="L868" s="252">
        <f t="shared" si="13"/>
        <v>0</v>
      </c>
      <c r="M868" s="253">
        <f>_xlfn.XLOOKUP(FMS_Ranking4[[#This Row],[FMS ID]],FMS_Input[FMS_ID],FMS_Input[STRUCT_100])</f>
        <v>0</v>
      </c>
      <c r="N868" s="255">
        <f>(ASINH(FMS_Ranking4[[#This Row],[Structure at Risk Raw]]))*(10)/(ASINH(M$4))</f>
        <v>0</v>
      </c>
      <c r="O868" s="255">
        <f>FMS_Ranking4[[#This Row],[Structures at risk, ArcSinh (0-10)]]*M$5*10</f>
        <v>0</v>
      </c>
      <c r="P868" s="259">
        <f>_xlfn.XLOOKUP(FMS_Ranking4[[#This Row],[FMS ID]],FMS_Input[FMS_ID],FMS_Input[RES_STRUCT100])</f>
        <v>0</v>
      </c>
      <c r="Q868" s="257">
        <f>ASINH(FMS_Ranking4[[#This Row],[Res Structure Raw]])/Q$4*P$5*100</f>
        <v>0</v>
      </c>
      <c r="R868" s="259">
        <f>_xlfn.XLOOKUP(FMS_Ranking4[[#This Row],[FMS ID]],FMS_Input[FMS_ID],FMS_Input[POP100])</f>
        <v>0</v>
      </c>
      <c r="S868" s="259">
        <f>(ASINH(FMS_Ranking4[[#This Row],[Pop at Risk Raw]]))*(10)/(ASINH(R$4))</f>
        <v>0</v>
      </c>
      <c r="T868" s="257">
        <f>FMS_Ranking4[[#This Row],[Population at risk, ArcSinh (0-10)]]*R$5*10</f>
        <v>0</v>
      </c>
      <c r="U868" s="259">
        <f>_xlfn.XLOOKUP(FMS_Ranking4[[#This Row],[FMS ID]],FMS_Input[FMS_ID],FMS_Input[CRITFAC100])</f>
        <v>0</v>
      </c>
      <c r="V868" s="259">
        <f>(ASINH(FMS_Ranking4[[#This Row],[Critical Facilities Raw]]))*(10)/(ASINH(U$4))</f>
        <v>0</v>
      </c>
      <c r="W868" s="257">
        <f>FMS_Ranking4[[#This Row],[Critical facilities at risk, ArcSinh (0-10)]]*U$5*10</f>
        <v>0</v>
      </c>
      <c r="X868" s="259">
        <f>_xlfn.XLOOKUP(FMS_Ranking4[[#This Row],[FMS ID]],FMS_Input[FMS_ID],FMS_Input[LWC])</f>
        <v>0</v>
      </c>
      <c r="Y868" s="259">
        <f>(ASINH(FMS_Ranking4[[#This Row],[LWC Raw]]))*(10)/(ASINH(X$4))</f>
        <v>0</v>
      </c>
      <c r="Z868" s="257">
        <f>FMS_Ranking4[[#This Row],[LWC, ArcSInh (0-10)]]*X$5*10</f>
        <v>0</v>
      </c>
      <c r="AA868" s="259">
        <f>_xlfn.XLOOKUP(FMS_Ranking4[[#This Row],[FMS ID]],FMS_Input[FMS_ID],FMS_Input[ROADCLS])</f>
        <v>0</v>
      </c>
      <c r="AB868" s="255">
        <f>(ASINH(FMS_Ranking4[[#This Row],[Road Closures Raw]]))*(10)/(ASINH(AA$4))</f>
        <v>0</v>
      </c>
      <c r="AC868" s="255">
        <f>FMS_Ranking4[[#This Row],[Road closures, ArcSinh (0-10)]]*AA$5*10</f>
        <v>0</v>
      </c>
      <c r="AD868" s="259">
        <f>_xlfn.XLOOKUP(FMS_Ranking4[[#This Row],[FMS ID]],FMS_Input[FMS_ID],FMS_Input[ROAD_MILES100])</f>
        <v>0</v>
      </c>
      <c r="AE868" s="259">
        <f>(ASINH(FMS_Ranking4[[#This Row],[Road Miles Raw]]))*(10)/(ASINH(AD$4))</f>
        <v>0</v>
      </c>
      <c r="AF868" s="257">
        <f>FMS_Ranking4[[#This Row],[Length of roads at risk, ArcSinh (0-10)]]*AD$5*10</f>
        <v>0</v>
      </c>
      <c r="AG868" s="259">
        <f>_xlfn.XLOOKUP(FMS_Ranking4[[#This Row],[FMS ID]],FMS_Input[FMS_ID],FMS_Input[FARMACRE100])</f>
        <v>0</v>
      </c>
      <c r="AH868" s="255">
        <f>(ASINH(FMS_Ranking4[[#This Row],[Ag Land Raw]]))*(10)/(ASINH(AG$4))</f>
        <v>0</v>
      </c>
      <c r="AI868" s="254">
        <f>FMS_Ranking4[[#This Row],[Farm &amp; ranch land, ArcSinh (0-10)]]*AG$5*10</f>
        <v>0</v>
      </c>
      <c r="AJ868" s="258">
        <f>_xlfn.XLOOKUP(FMS_Ranking4[[#This Row],[FMS ID]],FMS_Input[FMS_ID],FMS_Input[REDSTRUCT100])</f>
        <v>0</v>
      </c>
      <c r="AK868" s="253">
        <f>_xlfn.XLOOKUP(FMS_Ranking4[[#This Row],[FMS ID]],FMS_Input[FMS_ID],FMS_Input[REMSTRC100])</f>
        <v>0</v>
      </c>
      <c r="AL868" s="259">
        <f>(ASINH(FMS_Ranking4[[#This Row],[Structures Removed Raw]]))*(10)/(ASINH(AK$4))</f>
        <v>0</v>
      </c>
      <c r="AM868" s="254">
        <f>FMS_Ranking4[[#This Row],[Structures removed, ArcSinh (0-10)]]*AK$5*10</f>
        <v>0</v>
      </c>
      <c r="AN868" s="253">
        <f>_xlfn.XLOOKUP(FMS_Ranking4[[#This Row],[FMS ID]],FMS_Input[FMS_ID],FMS_Input[REMRESSTRC100])</f>
        <v>0</v>
      </c>
      <c r="AO868" s="258">
        <f>FMS_Ranking4[[#This Row],[ArcSinh Res struct removed 0-10]]*AN$5*10</f>
        <v>0</v>
      </c>
      <c r="AP868" s="254">
        <f>ASINH(FMS_Ranking4[[#This Row],[Residential Structures Removed Raw]])/AP$4*AN$5*100</f>
        <v>0</v>
      </c>
      <c r="AQ868" s="260">
        <f>(ASINH(FMS_Ranking4[[#This Row],[Residential Structures Removed Raw]]))*(10)/(ASINH(AN$4))</f>
        <v>0</v>
      </c>
      <c r="AR868" s="253">
        <f>_xlfn.XLOOKUP(FMS_Ranking4[[#This Row],[FMS ID]],FMS_Input[FMS_ID],FMS_Input[REMPOP100])</f>
        <v>0</v>
      </c>
      <c r="AS868" s="259">
        <f>(ASINH(FMS_Ranking4[[#This Row],[Removed Pop Raw]]))*(10)/(ASINH(AR$4))</f>
        <v>0</v>
      </c>
      <c r="AT868" s="263">
        <f>FMS_Ranking4[[#This Row],[Removed population, ArcSinh (0-10)]]*AR$5*10</f>
        <v>0</v>
      </c>
      <c r="AU868" s="264">
        <f>_xlfn.XLOOKUP(FMS_Ranking4[[#This Row],[FMS ID]],FMS_Input[FMS_ID],FMS_Input[REMCRITFAC100])</f>
        <v>0</v>
      </c>
      <c r="AV868" s="264">
        <f>_xlfn.XLOOKUP(FMS_Ranking4[[#This Row],[FMS ID]],FMS_Input[FMS_ID],FMS_Input[REMLWC100])</f>
        <v>0</v>
      </c>
      <c r="AW868" s="264">
        <f>_xlfn.XLOOKUP(FMS_Ranking4[[#This Row],[FMS ID]],FMS_Input[FMS_ID],FMS_Input[REMROADCLS])</f>
        <v>0</v>
      </c>
      <c r="AX868" s="264">
        <f>_xlfn.XLOOKUP(FMS_Ranking4[[#This Row],[FMS ID]],FMS_Input[FMS_ID],FMS_Input[REMFRMACRE100])</f>
        <v>0</v>
      </c>
      <c r="AY868" s="258">
        <f>_xlfn.XLOOKUP(FMS_Ranking4[[#This Row],[FMS ID]],FMS_Input[FMS_ID],FMS_Input[COSTSTRUCT])</f>
        <v>0</v>
      </c>
      <c r="AZ868" s="258">
        <f>_xlfn.XLOOKUP(FMS_Ranking4[[#This Row],[FMS ID]],FMS_Input[FMS_ID],FMS_Input[NATURE])</f>
        <v>0</v>
      </c>
      <c r="BA868" s="290">
        <f>(((FMS_Ranking4[[#This Row],[% NBS Raw]]/AZ$4)*100)*AZ$5)</f>
        <v>0</v>
      </c>
      <c r="BB868" s="251" t="str">
        <f>_xlfn.XLOOKUP(FMS_Ranking4[[#This Row],[FMS ID]],FMS_Input[FMS_ID],FMS_Input[WATER_SUP])</f>
        <v>No</v>
      </c>
      <c r="BC868" s="265">
        <f>IF(FMS_Ranking4[[#This Row],[Water Supply Raw]]="Yes",10,0)</f>
        <v>0</v>
      </c>
      <c r="BD868" s="251">
        <f>_xlfn.XLOOKUP(FMS_Ranking4[[#This Row],[FMS Type]],FMS_TYPE[FMS_Type],FMS_TYPE[Score])</f>
        <v>2</v>
      </c>
      <c r="BE868" s="267">
        <f>FMS_Ranking4[[#This Row],[FMS_Type Score]]*$BD$5*10</f>
        <v>0.5</v>
      </c>
      <c r="BF868"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68" s="271">
        <f>_xlfn.RANK.EQ(BF868,$BF$8:$BF$870,0)+COUNTIF($BF$8:BF868,BF868)-1</f>
        <v>861</v>
      </c>
      <c r="BH868" s="268">
        <f>(((FMS_Ranking4[[#This Row],[Structures Removed Raw]]/AK$4)*100)*AK$5)+(((FMS_Ranking4[[#This Row],[Removed Pop Raw]]/AR$4)*100)*AR$5)</f>
        <v>0</v>
      </c>
      <c r="BI868"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v>
      </c>
      <c r="BJ868" s="325">
        <f>_xlfn.RANK.EQ(FMS_Ranking4[[#This Row],[Total Score 
(with linear
normalization)]],FMS_Ranking4[Total Score 
(with linear
normalization)],0)</f>
        <v>859</v>
      </c>
      <c r="BK868" s="327" t="e">
        <f>_xlfn.XLOOKUP(FMS_Ranking4[[#This Row],[FMS ID]],#REF!,#REF!)</f>
        <v>#REF!</v>
      </c>
      <c r="BL868"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68" s="330">
        <f>FMS_Ranking4[[#This Row],[ArcSinh Score Based on Normalized Reported Factors]]+FMS_Ranking4[[#This Row],[% NBS Score (Normalized)]]+(FMS_Ranking4[[#This Row],[Water Supply Score (Normalized)]]*10*$BB$5)+FMS_Ranking4[[#This Row],[FMS_Type Score Weighted]]</f>
        <v>0.5</v>
      </c>
      <c r="BN868" s="332">
        <f>_xlfn.RANK.EQ(FMS_Ranking4[[#This Row],[Total Score (with ArcSinh normalization of select criteria)]],FMS_Ranking4[Total Score (with ArcSinh normalization of select criteria)],0)</f>
        <v>859</v>
      </c>
      <c r="BO868" s="270" t="str">
        <f>_xlfn.XLOOKUP(FMS_Ranking4[[#This Row],[FMS ID]],FMS_Input[FMS_ID],FMS_Input[FMS_RANK_YEAR])</f>
        <v>2025 Amended Plan</v>
      </c>
      <c r="BP868" s="204" t="e">
        <f>_xlfn.XLOOKUP(FMS_Ranking4[[#This Row],[FMS ID]],Prev_Rank[FMS ID],Prev_Rank[Prev Rank])</f>
        <v>#N/A</v>
      </c>
      <c r="BQ868" s="334" t="e">
        <f>_xlfn.XLOOKUP(FMS_Ranking4[[#This Row],[FMS ID]],#REF!,#REF!)</f>
        <v>#REF!</v>
      </c>
      <c r="BR868" s="199" t="e">
        <f>SUM(#REF!,#REF!,#REF!,#REF!,#REF!,#REF!,#REF!,#REF!,#REF!,FMS_Ranking4[[#This Row],[ArcSinh Res struct removed 0-10]],#REF!)</f>
        <v>#REF!</v>
      </c>
      <c r="BS868" s="199" t="e">
        <f>FMS_Ranking4[[#This Row],[Log Score Based on Normalized Reported Factors]]+FMS_Ranking4[[#This Row],[% NBS Score (Normalized)]]+(FMS_Ranking4[[#This Row],[Water Supply Score (Normalized)]]*10*$BB$5)+(FMS_Ranking4[[#This Row],[FMS_Type Score Weighted]])</f>
        <v>#REF!</v>
      </c>
      <c r="BT868" s="200" t="e">
        <f>_xlfn.RANK.EQ(FMS_Ranking4[[#This Row],[Log Total Score]],FMS_Ranking4[Log Total Score],0)</f>
        <v>#REF!</v>
      </c>
      <c r="BU868" s="200" t="e">
        <f>_xlfn.XLOOKUP(FMS_Ranking4[[#This Row],[FMS ID]],#REF!,#REF!)</f>
        <v>#REF!</v>
      </c>
      <c r="BV868" s="200">
        <f>FMS_Ranking4[[#This Row],[Region Number]]</f>
        <v>8</v>
      </c>
      <c r="BW868" s="200">
        <f>FMS_Ranking4[[#This Row],[Rank (with ArcSinh normalization of select criteria)]]-FMS_Ranking4[[#This Row],[Rank
(with linear
normalization)]]</f>
        <v>0</v>
      </c>
      <c r="BX868" s="200" t="e">
        <f>FMS_Ranking4[[#This Row],[Log Rank]]-FMS_Ranking4[[#This Row],[Rank
(with linear
normalization)]]</f>
        <v>#REF!</v>
      </c>
      <c r="BY868" s="200" t="str">
        <f>IF(FMS_Ranking4[[#This Row],[FMS Type]]="Flood Measurement and Warning",FMS_Ranking4[[#This Row],[Rank (with ArcSinh normalization of select criteria)]],"")</f>
        <v/>
      </c>
      <c r="BZ868" s="200" t="str">
        <f>IF(FMS_Ranking4[[#This Row],[FMS Type]]="Regulatory and Guidance",FMS_Ranking4[[#This Row],[Rank (with ArcSinh normalization of select criteria)]],"")</f>
        <v/>
      </c>
      <c r="CA868" s="200" t="str">
        <f>IF(FMS_Ranking4[[#This Row],[FMS Type]]="Education and Outreach",FMS_Ranking4[[#This Row],[Rank (with ArcSinh normalization of select criteria)]],"")</f>
        <v/>
      </c>
      <c r="CB868" s="200" t="str">
        <f>IF(FMS_Ranking4[[#This Row],[FMS Type]]="Property Acquisition and Structural Elevation",FMS_Ranking4[[#This Row],[Rank (with ArcSinh normalization of select criteria)]],"")</f>
        <v/>
      </c>
      <c r="CC868" s="200" t="str">
        <f>IF(FMS_Ranking4[[#This Row],[FMS Type]]="Infrastructure Projects",FMS_Ranking4[[#This Row],[Rank (with ArcSinh normalization of select criteria)]],"")</f>
        <v/>
      </c>
      <c r="CD868" s="200">
        <f>IF(FMS_Ranking4[[#This Row],[FMS Type]]="Other",FMS_Ranking4[[#This Row],[Rank (with ArcSinh normalization of select criteria)]],"")</f>
        <v>859</v>
      </c>
    </row>
    <row r="869" spans="2:82" ht="75" x14ac:dyDescent="0.25">
      <c r="B869" s="342" t="s">
        <v>18</v>
      </c>
      <c r="C869" s="287">
        <f>_xlfn.XLOOKUP(FMS_Ranking4[[#This Row],[FMS ID]],FMS_Input[FMS_ID],FMS_Input[RFPG_NUM])</f>
        <v>6</v>
      </c>
      <c r="D869" s="309" t="str">
        <f>_xlfn.XLOOKUP(FMS_Ranking4[[#This Row],[FMS ID]],FMS_Input[FMS_ID],FMS_Input[FMS_NAME])</f>
        <v>City of Bunker Hill Dam/Levee Maintenance and Monitoring  Plan</v>
      </c>
      <c r="E869" s="322" t="str">
        <f>_xlfn.XLOOKUP(FMS_Ranking4[[#This Row],[FMS ID]],FMS_Input[FMS_ID],FMS_Input[SPONSOR])</f>
        <v>06002856</v>
      </c>
      <c r="F869" s="309" t="str">
        <f>_xlfn.XLOOKUP(FMS_Ranking4[[#This Row],[FMS ID]],Sponsor[FMS_ID],Sponsor[SPONSOR NAME])</f>
        <v>Bunker Hill Village</v>
      </c>
      <c r="G869" s="309" t="str">
        <f>_xlfn.XLOOKUP(FMS_Ranking4[[#This Row],[FMS ID]],FMS_Input[FMS_ID],FMS_Input[FMS_DESCR])</f>
        <v>Minimize the risk of dam/levee failure and related damage to existing and proposed structures by monitoring the maintenance and inspection schedules.</v>
      </c>
      <c r="H869" s="247" t="str">
        <f>_xlfn.XLOOKUP(FMS_Ranking4[[#This Row],[FMS ID]],FMS_Input[FMS_ID],FMS_Input[FMS_TYPE])</f>
        <v>Other</v>
      </c>
      <c r="I869" s="288">
        <f>_xlfn.XLOOKUP(FMS_Ranking4[[#This Row],[FMS ID]],FMS_Input[FMS_ID],FMS_Input[NRNC_COST])</f>
        <v>25000</v>
      </c>
      <c r="J869" s="250">
        <f>_xlfn.XLOOKUP(FMS_Ranking4[[#This Row],[FMS ID]],FMS_Input[FMS_ID],FMS_Input[FMS_COST])</f>
        <v>500000</v>
      </c>
      <c r="K869" s="289" t="str">
        <f>_xlfn.XLOOKUP(FMS_Ranking4[[#This Row],[FMS ID]],FMS_Input[FMS_ID],FMS_Input[EMER_NEED])</f>
        <v>No</v>
      </c>
      <c r="L869" s="252">
        <f t="shared" si="13"/>
        <v>0</v>
      </c>
      <c r="M869" s="253">
        <f>_xlfn.XLOOKUP(FMS_Ranking4[[#This Row],[FMS ID]],FMS_Input[FMS_ID],FMS_Input[STRUCT_100])</f>
        <v>0</v>
      </c>
      <c r="N869" s="255">
        <f>(ASINH(FMS_Ranking4[[#This Row],[Structure at Risk Raw]]))*(10)/(ASINH(M$4))</f>
        <v>0</v>
      </c>
      <c r="O869" s="255">
        <f>FMS_Ranking4[[#This Row],[Structures at risk, ArcSinh (0-10)]]*M$5*10</f>
        <v>0</v>
      </c>
      <c r="P869" s="259">
        <f>_xlfn.XLOOKUP(FMS_Ranking4[[#This Row],[FMS ID]],FMS_Input[FMS_ID],FMS_Input[RES_STRUCT100])</f>
        <v>0</v>
      </c>
      <c r="Q869" s="257">
        <f>ASINH(FMS_Ranking4[[#This Row],[Res Structure Raw]])/Q$4*P$5*100</f>
        <v>0</v>
      </c>
      <c r="R869" s="259">
        <f>_xlfn.XLOOKUP(FMS_Ranking4[[#This Row],[FMS ID]],FMS_Input[FMS_ID],FMS_Input[POP100])</f>
        <v>0</v>
      </c>
      <c r="S869" s="255">
        <f>(ASINH(FMS_Ranking4[[#This Row],[Pop at Risk Raw]]))*(10)/(ASINH(R$4))</f>
        <v>0</v>
      </c>
      <c r="T869" s="257">
        <f>FMS_Ranking4[[#This Row],[Population at risk, ArcSinh (0-10)]]*R$5*10</f>
        <v>0</v>
      </c>
      <c r="U869" s="259">
        <f>_xlfn.XLOOKUP(FMS_Ranking4[[#This Row],[FMS ID]],FMS_Input[FMS_ID],FMS_Input[CRITFAC100])</f>
        <v>0</v>
      </c>
      <c r="V869" s="255">
        <f>(ASINH(FMS_Ranking4[[#This Row],[Critical Facilities Raw]]))*(10)/(ASINH(U$4))</f>
        <v>0</v>
      </c>
      <c r="W869" s="257">
        <f>FMS_Ranking4[[#This Row],[Critical facilities at risk, ArcSinh (0-10)]]*U$5*10</f>
        <v>0</v>
      </c>
      <c r="X869" s="259">
        <f>_xlfn.XLOOKUP(FMS_Ranking4[[#This Row],[FMS ID]],FMS_Input[FMS_ID],FMS_Input[LWC])</f>
        <v>0</v>
      </c>
      <c r="Y869" s="255">
        <f>(ASINH(FMS_Ranking4[[#This Row],[LWC Raw]]))*(10)/(ASINH(X$4))</f>
        <v>0</v>
      </c>
      <c r="Z869" s="257">
        <f>FMS_Ranking4[[#This Row],[LWC, ArcSInh (0-10)]]*X$5*10</f>
        <v>0</v>
      </c>
      <c r="AA869" s="259">
        <f>_xlfn.XLOOKUP(FMS_Ranking4[[#This Row],[FMS ID]],FMS_Input[FMS_ID],FMS_Input[ROADCLS])</f>
        <v>0</v>
      </c>
      <c r="AB869" s="255">
        <f>(ASINH(FMS_Ranking4[[#This Row],[Road Closures Raw]]))*(10)/(ASINH(AA$4))</f>
        <v>0</v>
      </c>
      <c r="AC869" s="255">
        <f>FMS_Ranking4[[#This Row],[Road closures, ArcSinh (0-10)]]*AA$5*10</f>
        <v>0</v>
      </c>
      <c r="AD869" s="259">
        <f>_xlfn.XLOOKUP(FMS_Ranking4[[#This Row],[FMS ID]],FMS_Input[FMS_ID],FMS_Input[ROAD_MILES100])</f>
        <v>0</v>
      </c>
      <c r="AE869" s="255">
        <f>(ASINH(FMS_Ranking4[[#This Row],[Road Miles Raw]]))*(10)/(ASINH(AD$4))</f>
        <v>0</v>
      </c>
      <c r="AF869" s="257">
        <f>FMS_Ranking4[[#This Row],[Length of roads at risk, ArcSinh (0-10)]]*AD$5*10</f>
        <v>0</v>
      </c>
      <c r="AG869" s="259">
        <f>_xlfn.XLOOKUP(FMS_Ranking4[[#This Row],[FMS ID]],FMS_Input[FMS_ID],FMS_Input[FARMACRE100])</f>
        <v>0</v>
      </c>
      <c r="AH869" s="255">
        <f>(ASINH(FMS_Ranking4[[#This Row],[Ag Land Raw]]))*(10)/(ASINH(AG$4))</f>
        <v>0</v>
      </c>
      <c r="AI869" s="254">
        <f>FMS_Ranking4[[#This Row],[Farm &amp; ranch land, ArcSinh (0-10)]]*AG$5*10</f>
        <v>0</v>
      </c>
      <c r="AJ869" s="258">
        <f>_xlfn.XLOOKUP(FMS_Ranking4[[#This Row],[FMS ID]],FMS_Input[FMS_ID],FMS_Input[REDSTRUCT100])</f>
        <v>0</v>
      </c>
      <c r="AK869" s="253">
        <f>_xlfn.XLOOKUP(FMS_Ranking4[[#This Row],[FMS ID]],FMS_Input[FMS_ID],FMS_Input[REMSTRC100])</f>
        <v>0</v>
      </c>
      <c r="AL869" s="255">
        <f>(ASINH(FMS_Ranking4[[#This Row],[Structures Removed Raw]]))*(10)/(ASINH(AK$4))</f>
        <v>0</v>
      </c>
      <c r="AM869" s="254">
        <f>FMS_Ranking4[[#This Row],[Structures removed, ArcSinh (0-10)]]*AK$5*10</f>
        <v>0</v>
      </c>
      <c r="AN869" s="253">
        <f>_xlfn.XLOOKUP(FMS_Ranking4[[#This Row],[FMS ID]],FMS_Input[FMS_ID],FMS_Input[REMRESSTRC100])</f>
        <v>0</v>
      </c>
      <c r="AO869" s="258">
        <f>FMS_Ranking4[[#This Row],[ArcSinh Res struct removed 0-10]]*AN$5*10</f>
        <v>0</v>
      </c>
      <c r="AP869" s="254">
        <f>ASINH(FMS_Ranking4[[#This Row],[Residential Structures Removed Raw]])/AP$4*AN$5*100</f>
        <v>0</v>
      </c>
      <c r="AQ869" s="261">
        <f>(ASINH(FMS_Ranking4[[#This Row],[Residential Structures Removed Raw]]))*(10)/(ASINH(AN$4))</f>
        <v>0</v>
      </c>
      <c r="AR869" s="253">
        <f>_xlfn.XLOOKUP(FMS_Ranking4[[#This Row],[FMS ID]],FMS_Input[FMS_ID],FMS_Input[REMPOP100])</f>
        <v>0</v>
      </c>
      <c r="AS869" s="255">
        <f>(ASINH(FMS_Ranking4[[#This Row],[Removed Pop Raw]]))*(10)/(ASINH(AR$4))</f>
        <v>0</v>
      </c>
      <c r="AT869" s="263">
        <f>FMS_Ranking4[[#This Row],[Removed population, ArcSinh (0-10)]]*AR$5*10</f>
        <v>0</v>
      </c>
      <c r="AU869" s="264">
        <f>_xlfn.XLOOKUP(FMS_Ranking4[[#This Row],[FMS ID]],FMS_Input[FMS_ID],FMS_Input[REMCRITFAC100])</f>
        <v>0</v>
      </c>
      <c r="AV869" s="264">
        <f>_xlfn.XLOOKUP(FMS_Ranking4[[#This Row],[FMS ID]],FMS_Input[FMS_ID],FMS_Input[REMLWC100])</f>
        <v>0</v>
      </c>
      <c r="AW869" s="264">
        <f>_xlfn.XLOOKUP(FMS_Ranking4[[#This Row],[FMS ID]],FMS_Input[FMS_ID],FMS_Input[REMROADCLS])</f>
        <v>0</v>
      </c>
      <c r="AX869" s="264">
        <f>_xlfn.XLOOKUP(FMS_Ranking4[[#This Row],[FMS ID]],FMS_Input[FMS_ID],FMS_Input[REMFRMACRE100])</f>
        <v>0</v>
      </c>
      <c r="AY869" s="258">
        <f>_xlfn.XLOOKUP(FMS_Ranking4[[#This Row],[FMS ID]],FMS_Input[FMS_ID],FMS_Input[COSTSTRUCT])</f>
        <v>0</v>
      </c>
      <c r="AZ869" s="258">
        <f>_xlfn.XLOOKUP(FMS_Ranking4[[#This Row],[FMS ID]],FMS_Input[FMS_ID],FMS_Input[NATURE])</f>
        <v>0</v>
      </c>
      <c r="BA869" s="290">
        <f>(((FMS_Ranking4[[#This Row],[% NBS Raw]]/AZ$4)*100)*AZ$5)</f>
        <v>0</v>
      </c>
      <c r="BB869" s="251" t="str">
        <f>_xlfn.XLOOKUP(FMS_Ranking4[[#This Row],[FMS ID]],FMS_Input[FMS_ID],FMS_Input[WATER_SUP])</f>
        <v>No</v>
      </c>
      <c r="BC869" s="265">
        <f>IF(FMS_Ranking4[[#This Row],[Water Supply Raw]]="Yes",10,0)</f>
        <v>0</v>
      </c>
      <c r="BD869" s="251">
        <f>_xlfn.XLOOKUP(FMS_Ranking4[[#This Row],[FMS Type]],FMS_TYPE[FMS_Type],FMS_TYPE[Score])</f>
        <v>2</v>
      </c>
      <c r="BE869" s="267">
        <f>FMS_Ranking4[[#This Row],[FMS_Type Score]]*$BD$5*10</f>
        <v>0.5</v>
      </c>
      <c r="BF869"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69" s="269">
        <f>_xlfn.RANK.EQ(BF869,$BF$8:$BF$870,0)+COUNTIF($BF$8:BF869,BF869)-1</f>
        <v>862</v>
      </c>
      <c r="BH869" s="268">
        <f>(((FMS_Ranking4[[#This Row],[Structures Removed Raw]]/AK$4)*100)*AK$5)+(((FMS_Ranking4[[#This Row],[Removed Pop Raw]]/AR$4)*100)*AR$5)</f>
        <v>0</v>
      </c>
      <c r="BI869"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v>
      </c>
      <c r="BJ869" s="296">
        <f>_xlfn.RANK.EQ(FMS_Ranking4[[#This Row],[Total Score 
(with linear
normalization)]],FMS_Ranking4[Total Score 
(with linear
normalization)],0)</f>
        <v>859</v>
      </c>
      <c r="BK869" s="292" t="e">
        <f>_xlfn.XLOOKUP(FMS_Ranking4[[#This Row],[FMS ID]],#REF!,#REF!)</f>
        <v>#REF!</v>
      </c>
      <c r="BL869" s="297">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69" s="298">
        <f>FMS_Ranking4[[#This Row],[ArcSinh Score Based on Normalized Reported Factors]]+FMS_Ranking4[[#This Row],[% NBS Score (Normalized)]]+(FMS_Ranking4[[#This Row],[Water Supply Score (Normalized)]]*10*$BB$5)+FMS_Ranking4[[#This Row],[FMS_Type Score Weighted]]</f>
        <v>0.5</v>
      </c>
      <c r="BN869" s="323">
        <f>_xlfn.RANK.EQ(FMS_Ranking4[[#This Row],[Total Score (with ArcSinh normalization of select criteria)]],FMS_Ranking4[Total Score (with ArcSinh normalization of select criteria)],0)</f>
        <v>859</v>
      </c>
      <c r="BO869" s="270" t="str">
        <f>_xlfn.XLOOKUP(FMS_Ranking4[[#This Row],[FMS ID]],FMS_Input[FMS_ID],FMS_Input[FMS_RANK_YEAR])</f>
        <v>2023 Amended Plan</v>
      </c>
      <c r="BP869" s="204">
        <f>_xlfn.XLOOKUP(FMS_Ranking4[[#This Row],[FMS ID]],Prev_Rank[FMS ID],Prev_Rank[Prev Rank])</f>
        <v>771</v>
      </c>
      <c r="BQ869" s="265" t="e">
        <f>_xlfn.XLOOKUP(FMS_Ranking4[[#This Row],[FMS ID]],#REF!,#REF!)</f>
        <v>#REF!</v>
      </c>
      <c r="BR869" s="199" t="e">
        <f>SUM(#REF!,#REF!,#REF!,#REF!,#REF!,#REF!,#REF!,#REF!,#REF!,FMS_Ranking4[[#This Row],[ArcSinh Res struct removed 0-10]],#REF!)</f>
        <v>#REF!</v>
      </c>
      <c r="BS869" s="199" t="e">
        <f>FMS_Ranking4[[#This Row],[Log Score Based on Normalized Reported Factors]]+FMS_Ranking4[[#This Row],[% NBS Score (Normalized)]]+(FMS_Ranking4[[#This Row],[Water Supply Score (Normalized)]]*10*$BB$5)+(FMS_Ranking4[[#This Row],[FMS_Type Score Weighted]])</f>
        <v>#REF!</v>
      </c>
      <c r="BT869" s="200" t="e">
        <f>_xlfn.RANK.EQ(FMS_Ranking4[[#This Row],[Log Total Score]],FMS_Ranking4[Log Total Score],0)</f>
        <v>#REF!</v>
      </c>
      <c r="BU869" s="200" t="e">
        <f>_xlfn.XLOOKUP(FMS_Ranking4[[#This Row],[FMS ID]],#REF!,#REF!)</f>
        <v>#REF!</v>
      </c>
      <c r="BV869" s="200">
        <f>FMS_Ranking4[[#This Row],[Region Number]]</f>
        <v>6</v>
      </c>
      <c r="BW869" s="200">
        <f>FMS_Ranking4[[#This Row],[Rank (with ArcSinh normalization of select criteria)]]-FMS_Ranking4[[#This Row],[Rank
(with linear
normalization)]]</f>
        <v>0</v>
      </c>
      <c r="BX869" s="200" t="e">
        <f>FMS_Ranking4[[#This Row],[Log Rank]]-FMS_Ranking4[[#This Row],[Rank
(with linear
normalization)]]</f>
        <v>#REF!</v>
      </c>
      <c r="BY869" s="200" t="str">
        <f>IF(FMS_Ranking4[[#This Row],[FMS Type]]="Flood Measurement and Warning",FMS_Ranking4[[#This Row],[Rank (with ArcSinh normalization of select criteria)]],"")</f>
        <v/>
      </c>
      <c r="BZ869" s="200" t="str">
        <f>IF(FMS_Ranking4[[#This Row],[FMS Type]]="Regulatory and Guidance",FMS_Ranking4[[#This Row],[Rank (with ArcSinh normalization of select criteria)]],"")</f>
        <v/>
      </c>
      <c r="CA869" s="200" t="str">
        <f>IF(FMS_Ranking4[[#This Row],[FMS Type]]="Education and Outreach",FMS_Ranking4[[#This Row],[Rank (with ArcSinh normalization of select criteria)]],"")</f>
        <v/>
      </c>
      <c r="CB869" s="200" t="str">
        <f>IF(FMS_Ranking4[[#This Row],[FMS Type]]="Property Acquisition and Structural Elevation",FMS_Ranking4[[#This Row],[Rank (with ArcSinh normalization of select criteria)]],"")</f>
        <v/>
      </c>
      <c r="CC869" s="200" t="str">
        <f>IF(FMS_Ranking4[[#This Row],[FMS Type]]="Infrastructure Projects",FMS_Ranking4[[#This Row],[Rank (with ArcSinh normalization of select criteria)]],"")</f>
        <v/>
      </c>
      <c r="CD869" s="200">
        <f>IF(FMS_Ranking4[[#This Row],[FMS Type]]="Other",FMS_Ranking4[[#This Row],[Rank (with ArcSinh normalization of select criteria)]],"")</f>
        <v>859</v>
      </c>
    </row>
    <row r="870" spans="2:82" ht="60" x14ac:dyDescent="0.25">
      <c r="B870" s="342" t="s">
        <v>161</v>
      </c>
      <c r="C870" s="287">
        <f>_xlfn.XLOOKUP(FMS_Ranking4[[#This Row],[FMS ID]],FMS_Input[FMS_ID],FMS_Input[RFPG_NUM])</f>
        <v>6</v>
      </c>
      <c r="D870" s="309" t="str">
        <f>_xlfn.XLOOKUP(FMS_Ranking4[[#This Row],[FMS ID]],FMS_Input[FMS_ID],FMS_Input[FMS_NAME])</f>
        <v>City of Bunker Hill Village Non-Structural Mitigation Projects</v>
      </c>
      <c r="E870" s="322" t="str">
        <f>_xlfn.XLOOKUP(FMS_Ranking4[[#This Row],[FMS ID]],FMS_Input[FMS_ID],FMS_Input[SPONSOR])</f>
        <v>06002856</v>
      </c>
      <c r="F870" s="309" t="str">
        <f>_xlfn.XLOOKUP(FMS_Ranking4[[#This Row],[FMS ID]],Sponsor[FMS_ID],Sponsor[SPONSOR NAME])</f>
        <v>Bunker Hill Village</v>
      </c>
      <c r="G870" s="309" t="str">
        <f>_xlfn.XLOOKUP(FMS_Ranking4[[#This Row],[FMS ID]],FMS_Input[FMS_ID],FMS_Input[FMS_DESCR])</f>
        <v>Non-structural mitigation measure - buried powerlines, tree management and generators</v>
      </c>
      <c r="H870" s="247" t="str">
        <f>_xlfn.XLOOKUP(FMS_Ranking4[[#This Row],[FMS ID]],FMS_Input[FMS_ID],FMS_Input[FMS_TYPE])</f>
        <v>Other</v>
      </c>
      <c r="I870" s="288">
        <f>_xlfn.XLOOKUP(FMS_Ranking4[[#This Row],[FMS ID]],FMS_Input[FMS_ID],FMS_Input[NRNC_COST])</f>
        <v>5000</v>
      </c>
      <c r="J870" s="250">
        <f>_xlfn.XLOOKUP(FMS_Ranking4[[#This Row],[FMS ID]],FMS_Input[FMS_ID],FMS_Input[FMS_COST])</f>
        <v>100000</v>
      </c>
      <c r="K870" s="289" t="str">
        <f>_xlfn.XLOOKUP(FMS_Ranking4[[#This Row],[FMS ID]],FMS_Input[FMS_ID],FMS_Input[EMER_NEED])</f>
        <v>No</v>
      </c>
      <c r="L870" s="252">
        <f t="shared" si="13"/>
        <v>0</v>
      </c>
      <c r="M870" s="253">
        <f>_xlfn.XLOOKUP(FMS_Ranking4[[#This Row],[FMS ID]],FMS_Input[FMS_ID],FMS_Input[STRUCT_100])</f>
        <v>0</v>
      </c>
      <c r="N870" s="255">
        <f>(ASINH(FMS_Ranking4[[#This Row],[Structure at Risk Raw]]))*(10)/(ASINH(M$4))</f>
        <v>0</v>
      </c>
      <c r="O870" s="255">
        <f>FMS_Ranking4[[#This Row],[Structures at risk, ArcSinh (0-10)]]*M$5*10</f>
        <v>0</v>
      </c>
      <c r="P870" s="259">
        <f>_xlfn.XLOOKUP(FMS_Ranking4[[#This Row],[FMS ID]],FMS_Input[FMS_ID],FMS_Input[RES_STRUCT100])</f>
        <v>0</v>
      </c>
      <c r="Q870" s="257">
        <f>ASINH(FMS_Ranking4[[#This Row],[Res Structure Raw]])/Q$4*P$5*100</f>
        <v>0</v>
      </c>
      <c r="R870" s="259">
        <f>_xlfn.XLOOKUP(FMS_Ranking4[[#This Row],[FMS ID]],FMS_Input[FMS_ID],FMS_Input[POP100])</f>
        <v>0</v>
      </c>
      <c r="S870" s="259">
        <f>(ASINH(FMS_Ranking4[[#This Row],[Pop at Risk Raw]]))*(10)/(ASINH(R$4))</f>
        <v>0</v>
      </c>
      <c r="T870" s="257">
        <f>FMS_Ranking4[[#This Row],[Population at risk, ArcSinh (0-10)]]*R$5*10</f>
        <v>0</v>
      </c>
      <c r="U870" s="259">
        <f>_xlfn.XLOOKUP(FMS_Ranking4[[#This Row],[FMS ID]],FMS_Input[FMS_ID],FMS_Input[CRITFAC100])</f>
        <v>0</v>
      </c>
      <c r="V870" s="259">
        <f>(ASINH(FMS_Ranking4[[#This Row],[Critical Facilities Raw]]))*(10)/(ASINH(U$4))</f>
        <v>0</v>
      </c>
      <c r="W870" s="257">
        <f>FMS_Ranking4[[#This Row],[Critical facilities at risk, ArcSinh (0-10)]]*U$5*10</f>
        <v>0</v>
      </c>
      <c r="X870" s="259">
        <f>_xlfn.XLOOKUP(FMS_Ranking4[[#This Row],[FMS ID]],FMS_Input[FMS_ID],FMS_Input[LWC])</f>
        <v>0</v>
      </c>
      <c r="Y870" s="259">
        <f>(ASINH(FMS_Ranking4[[#This Row],[LWC Raw]]))*(10)/(ASINH(X$4))</f>
        <v>0</v>
      </c>
      <c r="Z870" s="257">
        <f>FMS_Ranking4[[#This Row],[LWC, ArcSInh (0-10)]]*X$5*10</f>
        <v>0</v>
      </c>
      <c r="AA870" s="259">
        <f>_xlfn.XLOOKUP(FMS_Ranking4[[#This Row],[FMS ID]],FMS_Input[FMS_ID],FMS_Input[ROADCLS])</f>
        <v>0</v>
      </c>
      <c r="AB870" s="255">
        <f>(ASINH(FMS_Ranking4[[#This Row],[Road Closures Raw]]))*(10)/(ASINH(AA$4))</f>
        <v>0</v>
      </c>
      <c r="AC870" s="255">
        <f>FMS_Ranking4[[#This Row],[Road closures, ArcSinh (0-10)]]*AA$5*10</f>
        <v>0</v>
      </c>
      <c r="AD870" s="259">
        <f>_xlfn.XLOOKUP(FMS_Ranking4[[#This Row],[FMS ID]],FMS_Input[FMS_ID],FMS_Input[ROAD_MILES100])</f>
        <v>0</v>
      </c>
      <c r="AE870" s="259">
        <f>(ASINH(FMS_Ranking4[[#This Row],[Road Miles Raw]]))*(10)/(ASINH(AD$4))</f>
        <v>0</v>
      </c>
      <c r="AF870" s="257">
        <f>FMS_Ranking4[[#This Row],[Length of roads at risk, ArcSinh (0-10)]]*AD$5*10</f>
        <v>0</v>
      </c>
      <c r="AG870" s="259">
        <f>_xlfn.XLOOKUP(FMS_Ranking4[[#This Row],[FMS ID]],FMS_Input[FMS_ID],FMS_Input[FARMACRE100])</f>
        <v>0</v>
      </c>
      <c r="AH870" s="255">
        <f>(ASINH(FMS_Ranking4[[#This Row],[Ag Land Raw]]))*(10)/(ASINH(AG$4))</f>
        <v>0</v>
      </c>
      <c r="AI870" s="254">
        <f>FMS_Ranking4[[#This Row],[Farm &amp; ranch land, ArcSinh (0-10)]]*AG$5*10</f>
        <v>0</v>
      </c>
      <c r="AJ870" s="258">
        <f>_xlfn.XLOOKUP(FMS_Ranking4[[#This Row],[FMS ID]],FMS_Input[FMS_ID],FMS_Input[REDSTRUCT100])</f>
        <v>0</v>
      </c>
      <c r="AK870" s="253">
        <f>_xlfn.XLOOKUP(FMS_Ranking4[[#This Row],[FMS ID]],FMS_Input[FMS_ID],FMS_Input[REMSTRC100])</f>
        <v>0</v>
      </c>
      <c r="AL870" s="259">
        <f>(ASINH(FMS_Ranking4[[#This Row],[Structures Removed Raw]]))*(10)/(ASINH(AK$4))</f>
        <v>0</v>
      </c>
      <c r="AM870" s="254">
        <f>FMS_Ranking4[[#This Row],[Structures removed, ArcSinh (0-10)]]*AK$5*10</f>
        <v>0</v>
      </c>
      <c r="AN870" s="253">
        <f>_xlfn.XLOOKUP(FMS_Ranking4[[#This Row],[FMS ID]],FMS_Input[FMS_ID],FMS_Input[REMRESSTRC100])</f>
        <v>0</v>
      </c>
      <c r="AO870" s="258">
        <f>FMS_Ranking4[[#This Row],[ArcSinh Res struct removed 0-10]]*AN$5*10</f>
        <v>0</v>
      </c>
      <c r="AP870" s="254">
        <f>ASINH(FMS_Ranking4[[#This Row],[Residential Structures Removed Raw]])/AP$4*AN$5*100</f>
        <v>0</v>
      </c>
      <c r="AQ870" s="260">
        <f>(ASINH(FMS_Ranking4[[#This Row],[Residential Structures Removed Raw]]))*(10)/(ASINH(AN$4))</f>
        <v>0</v>
      </c>
      <c r="AR870" s="253">
        <f>_xlfn.XLOOKUP(FMS_Ranking4[[#This Row],[FMS ID]],FMS_Input[FMS_ID],FMS_Input[REMPOP100])</f>
        <v>0</v>
      </c>
      <c r="AS870" s="259">
        <f>(ASINH(FMS_Ranking4[[#This Row],[Removed Pop Raw]]))*(10)/(ASINH(AR$4))</f>
        <v>0</v>
      </c>
      <c r="AT870" s="263">
        <f>FMS_Ranking4[[#This Row],[Removed population, ArcSinh (0-10)]]*AR$5*10</f>
        <v>0</v>
      </c>
      <c r="AU870" s="264">
        <f>_xlfn.XLOOKUP(FMS_Ranking4[[#This Row],[FMS ID]],FMS_Input[FMS_ID],FMS_Input[REMCRITFAC100])</f>
        <v>0</v>
      </c>
      <c r="AV870" s="264">
        <f>_xlfn.XLOOKUP(FMS_Ranking4[[#This Row],[FMS ID]],FMS_Input[FMS_ID],FMS_Input[REMLWC100])</f>
        <v>0</v>
      </c>
      <c r="AW870" s="264">
        <f>_xlfn.XLOOKUP(FMS_Ranking4[[#This Row],[FMS ID]],FMS_Input[FMS_ID],FMS_Input[REMROADCLS])</f>
        <v>0</v>
      </c>
      <c r="AX870" s="264">
        <f>_xlfn.XLOOKUP(FMS_Ranking4[[#This Row],[FMS ID]],FMS_Input[FMS_ID],FMS_Input[REMFRMACRE100])</f>
        <v>0</v>
      </c>
      <c r="AY870" s="258">
        <f>_xlfn.XLOOKUP(FMS_Ranking4[[#This Row],[FMS ID]],FMS_Input[FMS_ID],FMS_Input[COSTSTRUCT])</f>
        <v>0</v>
      </c>
      <c r="AZ870" s="258">
        <f>_xlfn.XLOOKUP(FMS_Ranking4[[#This Row],[FMS ID]],FMS_Input[FMS_ID],FMS_Input[NATURE])</f>
        <v>0</v>
      </c>
      <c r="BA870" s="290">
        <f>(((FMS_Ranking4[[#This Row],[% NBS Raw]]/AZ$4)*100)*AZ$5)</f>
        <v>0</v>
      </c>
      <c r="BB870" s="251" t="str">
        <f>_xlfn.XLOOKUP(FMS_Ranking4[[#This Row],[FMS ID]],FMS_Input[FMS_ID],FMS_Input[WATER_SUP])</f>
        <v>No</v>
      </c>
      <c r="BC870" s="265">
        <f>IF(FMS_Ranking4[[#This Row],[Water Supply Raw]]="Yes",10,0)</f>
        <v>0</v>
      </c>
      <c r="BD870" s="251">
        <f>_xlfn.XLOOKUP(FMS_Ranking4[[#This Row],[FMS Type]],FMS_TYPE[FMS_Type],FMS_TYPE[Score])</f>
        <v>2</v>
      </c>
      <c r="BE870" s="267">
        <f>FMS_Ranking4[[#This Row],[FMS_Type Score]]*$BD$5*10</f>
        <v>0.5</v>
      </c>
      <c r="BF870" s="291">
        <f>(((FMS_Ranking4[[#This Row],[Structure at Risk Raw]]/M$4)*100)*M$5)+(((FMS_Ranking4[[#This Row],[Res Structure Raw]]/P$4)*100)*P$5)+(((FMS_Ranking4[[#This Row],[Pop at Risk Raw]]/R$4)*100)*R$5)+(((FMS_Ranking4[[#This Row],[Critical Facilities Raw]]/U$4)*100)*U$5)+(((FMS_Ranking4[[#This Row],[LWC Raw]]/X$4)*100)*X$5)+(((FMS_Ranking4[[#This Row],[Road Closures Raw]]/AA$4)*100)*AA$5)+(((FMS_Ranking4[[#This Row],[Road Miles Raw]]/AD$4)*100)*AD$5)+(((FMS_Ranking4[[#This Row],[Ag Land Raw]]/AG$4)*100)*AG$5)</f>
        <v>0</v>
      </c>
      <c r="BG870" s="271">
        <f>_xlfn.RANK.EQ(BF870,$BF$8:$BF$870,0)+COUNTIF($BF$8:BF870,BF870)-1</f>
        <v>863</v>
      </c>
      <c r="BH870" s="268">
        <f>(((FMS_Ranking4[[#This Row],[Structures Removed Raw]]/AK$4)*100)*AK$5)+(((FMS_Ranking4[[#This Row],[Removed Pop Raw]]/AR$4)*100)*AR$5)</f>
        <v>0</v>
      </c>
      <c r="BI870" s="268">
        <f>FMS_Ranking4[[#This Row],[Flood Risk Weighted Score Based on Normalized Reported Factors]]+FMS_Ranking4[[#This Row],[Flood Risk Reduction Weighted Score Based on Normalized Reported Factors]]+(FMS_Ranking4[[#This Row],[Emergency Need (Normalized)]]*100*K$5)+FMS_Ranking4[[#This Row],[% NBS Score (Normalized)]]+(FMS_Ranking4[[#This Row],[Water Supply Score (Normalized)]]*10*BB$5)+(FMS_Ranking4[[#This Row],[FMS_Type Score Weighted]])</f>
        <v>0.5</v>
      </c>
      <c r="BJ870" s="325">
        <f>_xlfn.RANK.EQ(FMS_Ranking4[[#This Row],[Total Score 
(with linear
normalization)]],FMS_Ranking4[Total Score 
(with linear
normalization)],0)</f>
        <v>859</v>
      </c>
      <c r="BK870" s="327" t="e">
        <f>_xlfn.XLOOKUP(FMS_Ranking4[[#This Row],[FMS ID]],#REF!,#REF!)</f>
        <v>#REF!</v>
      </c>
      <c r="BL870" s="32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BM870" s="330">
        <f>FMS_Ranking4[[#This Row],[ArcSinh Score Based on Normalized Reported Factors]]+FMS_Ranking4[[#This Row],[% NBS Score (Normalized)]]+(FMS_Ranking4[[#This Row],[Water Supply Score (Normalized)]]*10*$BB$5)+FMS_Ranking4[[#This Row],[FMS_Type Score Weighted]]</f>
        <v>0.5</v>
      </c>
      <c r="BN870" s="332">
        <f>_xlfn.RANK.EQ(FMS_Ranking4[[#This Row],[Total Score (with ArcSinh normalization of select criteria)]],FMS_Ranking4[Total Score (with ArcSinh normalization of select criteria)],0)</f>
        <v>859</v>
      </c>
      <c r="BO870" s="270" t="str">
        <f>_xlfn.XLOOKUP(FMS_Ranking4[[#This Row],[FMS ID]],FMS_Input[FMS_ID],FMS_Input[FMS_RANK_YEAR])</f>
        <v>2023 Amended Plan</v>
      </c>
      <c r="BP870" s="204">
        <f>_xlfn.XLOOKUP(FMS_Ranking4[[#This Row],[FMS ID]],Prev_Rank[FMS ID],Prev_Rank[Prev Rank])</f>
        <v>768</v>
      </c>
      <c r="BQ870" s="334" t="e">
        <f>_xlfn.XLOOKUP(FMS_Ranking4[[#This Row],[FMS ID]],#REF!,#REF!)</f>
        <v>#REF!</v>
      </c>
      <c r="BR870" s="199" t="e">
        <f>SUM(#REF!,#REF!,#REF!,#REF!,#REF!,#REF!,#REF!,#REF!,#REF!,FMS_Ranking4[[#This Row],[ArcSinh Res struct removed 0-10]],#REF!)</f>
        <v>#REF!</v>
      </c>
      <c r="BS870" s="199" t="e">
        <f>FMS_Ranking4[[#This Row],[Log Score Based on Normalized Reported Factors]]+FMS_Ranking4[[#This Row],[% NBS Score (Normalized)]]+(FMS_Ranking4[[#This Row],[Water Supply Score (Normalized)]]*10*$BB$5)+(FMS_Ranking4[[#This Row],[FMS_Type Score Weighted]])</f>
        <v>#REF!</v>
      </c>
      <c r="BT870" s="200" t="e">
        <f>_xlfn.RANK.EQ(FMS_Ranking4[[#This Row],[Log Total Score]],FMS_Ranking4[Log Total Score],0)</f>
        <v>#REF!</v>
      </c>
      <c r="BU870" s="200" t="e">
        <f>_xlfn.XLOOKUP(FMS_Ranking4[[#This Row],[FMS ID]],#REF!,#REF!)</f>
        <v>#REF!</v>
      </c>
      <c r="BV870" s="200">
        <f>FMS_Ranking4[[#This Row],[Region Number]]</f>
        <v>6</v>
      </c>
      <c r="BW870" s="200">
        <f>FMS_Ranking4[[#This Row],[Rank (with ArcSinh normalization of select criteria)]]-FMS_Ranking4[[#This Row],[Rank
(with linear
normalization)]]</f>
        <v>0</v>
      </c>
      <c r="BX870" s="200" t="e">
        <f>FMS_Ranking4[[#This Row],[Log Rank]]-FMS_Ranking4[[#This Row],[Rank
(with linear
normalization)]]</f>
        <v>#REF!</v>
      </c>
      <c r="BY870" s="200" t="str">
        <f>IF(FMS_Ranking4[[#This Row],[FMS Type]]="Flood Measurement and Warning",FMS_Ranking4[[#This Row],[Rank (with ArcSinh normalization of select criteria)]],"")</f>
        <v/>
      </c>
      <c r="BZ870" s="200" t="str">
        <f>IF(FMS_Ranking4[[#This Row],[FMS Type]]="Regulatory and Guidance",FMS_Ranking4[[#This Row],[Rank (with ArcSinh normalization of select criteria)]],"")</f>
        <v/>
      </c>
      <c r="CA870" s="200" t="str">
        <f>IF(FMS_Ranking4[[#This Row],[FMS Type]]="Education and Outreach",FMS_Ranking4[[#This Row],[Rank (with ArcSinh normalization of select criteria)]],"")</f>
        <v/>
      </c>
      <c r="CB870" s="200" t="str">
        <f>IF(FMS_Ranking4[[#This Row],[FMS Type]]="Property Acquisition and Structural Elevation",FMS_Ranking4[[#This Row],[Rank (with ArcSinh normalization of select criteria)]],"")</f>
        <v/>
      </c>
      <c r="CC870" s="200" t="str">
        <f>IF(FMS_Ranking4[[#This Row],[FMS Type]]="Infrastructure Projects",FMS_Ranking4[[#This Row],[Rank (with ArcSinh normalization of select criteria)]],"")</f>
        <v/>
      </c>
      <c r="CD870" s="200">
        <f>IF(FMS_Ranking4[[#This Row],[FMS Type]]="Other",FMS_Ranking4[[#This Row],[Rank (with ArcSinh normalization of select criteria)]],"")</f>
        <v>859</v>
      </c>
    </row>
  </sheetData>
  <mergeCells count="66">
    <mergeCell ref="AR5:AT5"/>
    <mergeCell ref="AR6:AT6"/>
    <mergeCell ref="AG6:AI6"/>
    <mergeCell ref="AK3:AM3"/>
    <mergeCell ref="AK4:AM4"/>
    <mergeCell ref="AK5:AM5"/>
    <mergeCell ref="AK6:AM6"/>
    <mergeCell ref="AN4:AO4"/>
    <mergeCell ref="AN5:AO5"/>
    <mergeCell ref="AN6:AO6"/>
    <mergeCell ref="AN3:AO3"/>
    <mergeCell ref="CF17:CG17"/>
    <mergeCell ref="CF19:CG19"/>
    <mergeCell ref="CF7:CG7"/>
    <mergeCell ref="CF9:CG9"/>
    <mergeCell ref="CF11:CG11"/>
    <mergeCell ref="CF13:CG13"/>
    <mergeCell ref="CF15:CG15"/>
    <mergeCell ref="M6:O6"/>
    <mergeCell ref="R3:T3"/>
    <mergeCell ref="R4:T4"/>
    <mergeCell ref="BW4:BX4"/>
    <mergeCell ref="BW5:BX6"/>
    <mergeCell ref="X6:Z6"/>
    <mergeCell ref="AA3:AC3"/>
    <mergeCell ref="AA4:AC4"/>
    <mergeCell ref="AA5:AC5"/>
    <mergeCell ref="AA6:AC6"/>
    <mergeCell ref="AD3:AF3"/>
    <mergeCell ref="AD4:AF4"/>
    <mergeCell ref="AD5:AF5"/>
    <mergeCell ref="AD6:AF6"/>
    <mergeCell ref="AG3:AI3"/>
    <mergeCell ref="AG4:AI4"/>
    <mergeCell ref="X5:Z5"/>
    <mergeCell ref="K3:L3"/>
    <mergeCell ref="AZ3:BA3"/>
    <mergeCell ref="BB3:BC3"/>
    <mergeCell ref="K4:L4"/>
    <mergeCell ref="AZ4:BA4"/>
    <mergeCell ref="BB4:BC4"/>
    <mergeCell ref="K5:L5"/>
    <mergeCell ref="AZ5:BA5"/>
    <mergeCell ref="BB5:BC5"/>
    <mergeCell ref="M3:O3"/>
    <mergeCell ref="M4:O4"/>
    <mergeCell ref="M5:O5"/>
    <mergeCell ref="AG5:AI5"/>
    <mergeCell ref="AR3:AT3"/>
    <mergeCell ref="AR4:AT4"/>
    <mergeCell ref="B3:I6"/>
    <mergeCell ref="BD6:BE6"/>
    <mergeCell ref="BD4:BE4"/>
    <mergeCell ref="BD5:BE5"/>
    <mergeCell ref="BD3:BE3"/>
    <mergeCell ref="K6:L6"/>
    <mergeCell ref="AZ6:BA6"/>
    <mergeCell ref="BB6:BC6"/>
    <mergeCell ref="R5:T5"/>
    <mergeCell ref="R6:T6"/>
    <mergeCell ref="U3:W3"/>
    <mergeCell ref="U4:W4"/>
    <mergeCell ref="U5:W5"/>
    <mergeCell ref="U6:W6"/>
    <mergeCell ref="X3:Z3"/>
    <mergeCell ref="X4:Z4"/>
  </mergeCells>
  <phoneticPr fontId="6" type="noConversion"/>
  <conditionalFormatting sqref="B8:BS870 G839:BX870">
    <cfRule type="expression" dxfId="13" priority="1">
      <formula>MOD(ROW(),2)=0</formula>
    </cfRule>
  </conditionalFormatting>
  <conditionalFormatting sqref="K3:M3 P3:R3 U3 X3 AA3 AD3 AG3 AJ3:AK3 AN3 AP3:AR3 AU3:AZ3 BB3 BD3">
    <cfRule type="cellIs" dxfId="12" priority="22" operator="equal">
      <formula>"No"</formula>
    </cfRule>
  </conditionalFormatting>
  <conditionalFormatting sqref="K3:M3 P3:R3 U3 X3 AA3 AD3 AG3 AJ3:AK3 AN3 AP3:AR3 AU3:AZ3">
    <cfRule type="cellIs" dxfId="11" priority="17" operator="equal">
      <formula>"Yes"</formula>
    </cfRule>
  </conditionalFormatting>
  <conditionalFormatting sqref="BB3 BD3">
    <cfRule type="cellIs" dxfId="10" priority="11" operator="equal">
      <formula>"Yes"</formula>
    </cfRule>
    <cfRule type="cellIs" dxfId="9" priority="18" operator="equal">
      <formula>"Yes"</formula>
    </cfRule>
  </conditionalFormatting>
  <conditionalFormatting sqref="BT8:BT870">
    <cfRule type="expression" dxfId="8" priority="15">
      <formula>MOD(ROW(),2)=0</formula>
    </cfRule>
  </conditionalFormatting>
  <conditionalFormatting sqref="BU8:BU870">
    <cfRule type="expression" dxfId="7" priority="14">
      <formula>MOD(ROW(),2)=0</formula>
    </cfRule>
  </conditionalFormatting>
  <conditionalFormatting sqref="BV8:BV870">
    <cfRule type="expression" dxfId="6" priority="13">
      <formula>MOD(ROW(),2)=0</formula>
    </cfRule>
  </conditionalFormatting>
  <conditionalFormatting sqref="BW8:BW870">
    <cfRule type="expression" dxfId="5" priority="9">
      <formula>MOD(ROW(),2)=0</formula>
    </cfRule>
  </conditionalFormatting>
  <conditionalFormatting sqref="BX8:BX870">
    <cfRule type="expression" dxfId="4" priority="7">
      <formula>MOD(ROW(),2)=0</formula>
    </cfRule>
  </conditionalFormatting>
  <pageMargins left="0.25" right="0.25" top="0.75" bottom="0.75" header="0.3" footer="0.3"/>
  <pageSetup paperSize="5" scale="31" fitToHeight="0" orientation="landscape" r:id="rId1"/>
  <headerFooter>
    <oddHeader>&amp;L&amp;"-,Bold"Draft Ranked List of Flood Management Strategies</oddHeader>
    <oddFooter>&amp;LDraft deliverative prepared for SFY 2026-2027 FIUP
April 2026&amp;R&amp;P</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6E3B5-FA93-4567-A928-5A7871739C51}">
  <dimension ref="A1:G987"/>
  <sheetViews>
    <sheetView workbookViewId="0">
      <selection activeCell="L18" sqref="L18"/>
    </sheetView>
  </sheetViews>
  <sheetFormatPr defaultRowHeight="15" x14ac:dyDescent="0.25"/>
  <cols>
    <col min="1" max="1" width="9.85546875" customWidth="1"/>
    <col min="2" max="4" width="13.5703125" customWidth="1"/>
    <col min="5" max="5" width="14.42578125" customWidth="1"/>
    <col min="6" max="6" width="11.7109375" customWidth="1"/>
    <col min="7" max="7" width="17.7109375" customWidth="1"/>
  </cols>
  <sheetData>
    <row r="1" spans="1:7" x14ac:dyDescent="0.25">
      <c r="A1" s="353" t="s">
        <v>181</v>
      </c>
      <c r="B1" s="353" t="s">
        <v>182</v>
      </c>
      <c r="C1" s="353" t="s">
        <v>183</v>
      </c>
      <c r="D1" s="353" t="s">
        <v>184</v>
      </c>
      <c r="E1" s="353" t="s">
        <v>185</v>
      </c>
      <c r="F1" s="353" t="s">
        <v>198</v>
      </c>
      <c r="G1" s="354" t="s">
        <v>12908</v>
      </c>
    </row>
    <row r="2" spans="1:7" x14ac:dyDescent="0.25">
      <c r="A2" t="s">
        <v>4047</v>
      </c>
      <c r="B2" t="s">
        <v>4048</v>
      </c>
      <c r="C2" t="s">
        <v>4049</v>
      </c>
      <c r="D2">
        <v>15</v>
      </c>
      <c r="E2" t="s">
        <v>3847</v>
      </c>
      <c r="F2" t="s">
        <v>3898</v>
      </c>
      <c r="G2" t="s">
        <v>4050</v>
      </c>
    </row>
    <row r="3" spans="1:7" x14ac:dyDescent="0.25">
      <c r="A3" t="s">
        <v>4056</v>
      </c>
      <c r="B3" t="s">
        <v>4057</v>
      </c>
      <c r="C3" t="s">
        <v>4058</v>
      </c>
      <c r="D3">
        <v>15</v>
      </c>
      <c r="E3" t="s">
        <v>3847</v>
      </c>
      <c r="F3" t="s">
        <v>3898</v>
      </c>
      <c r="G3" t="s">
        <v>4050</v>
      </c>
    </row>
    <row r="4" spans="1:7" x14ac:dyDescent="0.25">
      <c r="A4" t="s">
        <v>4062</v>
      </c>
      <c r="B4" t="s">
        <v>4063</v>
      </c>
      <c r="C4" t="s">
        <v>4064</v>
      </c>
      <c r="D4">
        <v>15</v>
      </c>
      <c r="E4" t="s">
        <v>3847</v>
      </c>
      <c r="F4" t="s">
        <v>3898</v>
      </c>
      <c r="G4" t="s">
        <v>4050</v>
      </c>
    </row>
    <row r="5" spans="1:7" x14ac:dyDescent="0.25">
      <c r="A5" t="s">
        <v>4068</v>
      </c>
      <c r="B5" t="s">
        <v>4069</v>
      </c>
      <c r="C5" t="s">
        <v>4070</v>
      </c>
      <c r="D5">
        <v>15</v>
      </c>
      <c r="E5" t="s">
        <v>3847</v>
      </c>
      <c r="F5" t="s">
        <v>3898</v>
      </c>
      <c r="G5" t="s">
        <v>4050</v>
      </c>
    </row>
    <row r="6" spans="1:7" x14ac:dyDescent="0.25">
      <c r="A6" t="s">
        <v>4075</v>
      </c>
      <c r="B6" t="s">
        <v>4076</v>
      </c>
      <c r="C6" t="s">
        <v>4077</v>
      </c>
      <c r="D6">
        <v>15</v>
      </c>
      <c r="E6" t="s">
        <v>3847</v>
      </c>
      <c r="F6" t="s">
        <v>4082</v>
      </c>
      <c r="G6" t="s">
        <v>11518</v>
      </c>
    </row>
    <row r="7" spans="1:7" x14ac:dyDescent="0.25">
      <c r="A7" t="s">
        <v>4084</v>
      </c>
      <c r="B7" t="s">
        <v>4085</v>
      </c>
      <c r="C7" t="s">
        <v>4086</v>
      </c>
      <c r="D7">
        <v>15</v>
      </c>
      <c r="E7" t="s">
        <v>3847</v>
      </c>
      <c r="F7" t="s">
        <v>4091</v>
      </c>
      <c r="G7" t="s">
        <v>11473</v>
      </c>
    </row>
    <row r="8" spans="1:7" x14ac:dyDescent="0.25">
      <c r="A8" t="s">
        <v>4093</v>
      </c>
      <c r="B8" t="s">
        <v>4094</v>
      </c>
      <c r="C8" t="s">
        <v>4095</v>
      </c>
      <c r="D8">
        <v>15</v>
      </c>
      <c r="E8" t="s">
        <v>3847</v>
      </c>
      <c r="F8" t="s">
        <v>4099</v>
      </c>
      <c r="G8" t="s">
        <v>11489</v>
      </c>
    </row>
    <row r="9" spans="1:7" x14ac:dyDescent="0.25">
      <c r="A9" t="s">
        <v>4101</v>
      </c>
      <c r="B9" t="s">
        <v>4102</v>
      </c>
      <c r="C9" t="s">
        <v>4103</v>
      </c>
      <c r="D9">
        <v>15</v>
      </c>
      <c r="E9" t="s">
        <v>3847</v>
      </c>
      <c r="F9" t="s">
        <v>4107</v>
      </c>
      <c r="G9" t="s">
        <v>3864</v>
      </c>
    </row>
    <row r="10" spans="1:7" x14ac:dyDescent="0.25">
      <c r="A10" t="s">
        <v>4109</v>
      </c>
      <c r="B10" t="s">
        <v>4110</v>
      </c>
      <c r="C10" t="s">
        <v>4111</v>
      </c>
      <c r="D10">
        <v>15</v>
      </c>
      <c r="E10" t="s">
        <v>3847</v>
      </c>
      <c r="F10" t="s">
        <v>3936</v>
      </c>
      <c r="G10" t="s">
        <v>11537</v>
      </c>
    </row>
    <row r="11" spans="1:7" x14ac:dyDescent="0.25">
      <c r="A11" t="s">
        <v>4115</v>
      </c>
      <c r="B11" t="s">
        <v>4116</v>
      </c>
      <c r="C11" t="s">
        <v>4117</v>
      </c>
      <c r="D11">
        <v>15</v>
      </c>
      <c r="E11" t="s">
        <v>3847</v>
      </c>
      <c r="F11" t="s">
        <v>4118</v>
      </c>
      <c r="G11" t="s">
        <v>11517</v>
      </c>
    </row>
    <row r="12" spans="1:7" x14ac:dyDescent="0.25">
      <c r="A12" t="s">
        <v>4120</v>
      </c>
      <c r="B12" t="s">
        <v>4121</v>
      </c>
      <c r="C12" t="s">
        <v>4122</v>
      </c>
      <c r="D12">
        <v>15</v>
      </c>
      <c r="E12" t="s">
        <v>3847</v>
      </c>
      <c r="F12" t="s">
        <v>4123</v>
      </c>
      <c r="G12" t="s">
        <v>11488</v>
      </c>
    </row>
    <row r="13" spans="1:7" x14ac:dyDescent="0.25">
      <c r="A13" t="s">
        <v>4125</v>
      </c>
      <c r="B13" t="s">
        <v>4126</v>
      </c>
      <c r="C13" t="s">
        <v>4127</v>
      </c>
      <c r="D13">
        <v>15</v>
      </c>
      <c r="E13" t="s">
        <v>3847</v>
      </c>
      <c r="F13" t="s">
        <v>4123</v>
      </c>
      <c r="G13" t="s">
        <v>11488</v>
      </c>
    </row>
    <row r="14" spans="1:7" x14ac:dyDescent="0.25">
      <c r="A14" t="s">
        <v>4129</v>
      </c>
      <c r="B14" t="s">
        <v>4130</v>
      </c>
      <c r="C14" t="s">
        <v>4131</v>
      </c>
      <c r="D14">
        <v>15</v>
      </c>
      <c r="E14" t="s">
        <v>3847</v>
      </c>
      <c r="F14" t="s">
        <v>4134</v>
      </c>
      <c r="G14" t="s">
        <v>11516</v>
      </c>
    </row>
    <row r="15" spans="1:7" x14ac:dyDescent="0.25">
      <c r="A15" t="s">
        <v>4136</v>
      </c>
      <c r="B15" t="s">
        <v>4137</v>
      </c>
      <c r="C15" t="s">
        <v>4138</v>
      </c>
      <c r="D15">
        <v>15</v>
      </c>
      <c r="E15" t="s">
        <v>3847</v>
      </c>
      <c r="F15" t="s">
        <v>4091</v>
      </c>
      <c r="G15" t="s">
        <v>11473</v>
      </c>
    </row>
    <row r="16" spans="1:7" x14ac:dyDescent="0.25">
      <c r="A16" t="s">
        <v>3844</v>
      </c>
      <c r="B16" t="s">
        <v>3845</v>
      </c>
      <c r="C16" t="s">
        <v>3846</v>
      </c>
      <c r="D16">
        <v>15</v>
      </c>
      <c r="E16" t="s">
        <v>3847</v>
      </c>
      <c r="F16" t="s">
        <v>4146</v>
      </c>
      <c r="G16" t="s">
        <v>11538</v>
      </c>
    </row>
    <row r="17" spans="1:7" x14ac:dyDescent="0.25">
      <c r="A17" t="s">
        <v>3851</v>
      </c>
      <c r="B17" t="s">
        <v>3852</v>
      </c>
      <c r="C17" t="s">
        <v>3853</v>
      </c>
      <c r="D17">
        <v>15</v>
      </c>
      <c r="E17" t="s">
        <v>3847</v>
      </c>
      <c r="F17" t="s">
        <v>4146</v>
      </c>
      <c r="G17" t="s">
        <v>11538</v>
      </c>
    </row>
    <row r="18" spans="1:7" x14ac:dyDescent="0.25">
      <c r="A18" t="s">
        <v>3854</v>
      </c>
      <c r="B18" t="s">
        <v>3855</v>
      </c>
      <c r="C18" t="s">
        <v>3856</v>
      </c>
      <c r="D18">
        <v>15</v>
      </c>
      <c r="E18" t="s">
        <v>3847</v>
      </c>
      <c r="F18" t="s">
        <v>4146</v>
      </c>
      <c r="G18" t="s">
        <v>11538</v>
      </c>
    </row>
    <row r="19" spans="1:7" x14ac:dyDescent="0.25">
      <c r="A19" t="s">
        <v>3858</v>
      </c>
      <c r="B19" t="s">
        <v>3859</v>
      </c>
      <c r="C19" t="s">
        <v>3860</v>
      </c>
      <c r="D19">
        <v>15</v>
      </c>
      <c r="E19" t="s">
        <v>3847</v>
      </c>
      <c r="F19" t="s">
        <v>4146</v>
      </c>
      <c r="G19" t="s">
        <v>11538</v>
      </c>
    </row>
    <row r="20" spans="1:7" x14ac:dyDescent="0.25">
      <c r="A20" t="s">
        <v>3861</v>
      </c>
      <c r="B20" t="s">
        <v>3862</v>
      </c>
      <c r="C20" t="s">
        <v>3863</v>
      </c>
      <c r="D20">
        <v>15</v>
      </c>
      <c r="E20" t="s">
        <v>3847</v>
      </c>
      <c r="F20" t="s">
        <v>4153</v>
      </c>
      <c r="G20" t="s">
        <v>4255</v>
      </c>
    </row>
    <row r="21" spans="1:7" x14ac:dyDescent="0.25">
      <c r="A21" t="s">
        <v>3866</v>
      </c>
      <c r="B21" t="s">
        <v>3867</v>
      </c>
      <c r="C21" t="s">
        <v>3868</v>
      </c>
      <c r="D21">
        <v>15</v>
      </c>
      <c r="E21" t="s">
        <v>3847</v>
      </c>
      <c r="F21" t="s">
        <v>4153</v>
      </c>
      <c r="G21" t="s">
        <v>4255</v>
      </c>
    </row>
    <row r="22" spans="1:7" x14ac:dyDescent="0.25">
      <c r="A22" t="s">
        <v>3869</v>
      </c>
      <c r="B22" t="s">
        <v>3870</v>
      </c>
      <c r="C22" t="s">
        <v>3871</v>
      </c>
      <c r="D22">
        <v>15</v>
      </c>
      <c r="E22" t="s">
        <v>3847</v>
      </c>
      <c r="F22" t="s">
        <v>4153</v>
      </c>
      <c r="G22" t="s">
        <v>4255</v>
      </c>
    </row>
    <row r="23" spans="1:7" x14ac:dyDescent="0.25">
      <c r="A23" t="s">
        <v>3872</v>
      </c>
      <c r="B23" t="s">
        <v>3873</v>
      </c>
      <c r="C23" t="s">
        <v>3874</v>
      </c>
      <c r="D23">
        <v>15</v>
      </c>
      <c r="E23" t="s">
        <v>3847</v>
      </c>
      <c r="F23" t="s">
        <v>4159</v>
      </c>
      <c r="G23" t="s">
        <v>4299</v>
      </c>
    </row>
    <row r="24" spans="1:7" x14ac:dyDescent="0.25">
      <c r="A24" t="s">
        <v>3875</v>
      </c>
      <c r="B24" t="s">
        <v>3876</v>
      </c>
      <c r="C24" t="s">
        <v>3877</v>
      </c>
      <c r="D24">
        <v>15</v>
      </c>
      <c r="E24" t="s">
        <v>3847</v>
      </c>
      <c r="F24" t="s">
        <v>4159</v>
      </c>
      <c r="G24" t="s">
        <v>4299</v>
      </c>
    </row>
    <row r="25" spans="1:7" x14ac:dyDescent="0.25">
      <c r="A25" t="s">
        <v>3878</v>
      </c>
      <c r="B25" t="s">
        <v>3879</v>
      </c>
      <c r="C25" t="s">
        <v>3880</v>
      </c>
      <c r="D25">
        <v>15</v>
      </c>
      <c r="E25" t="s">
        <v>3847</v>
      </c>
      <c r="F25" t="s">
        <v>4164</v>
      </c>
      <c r="G25" t="s">
        <v>11524</v>
      </c>
    </row>
    <row r="26" spans="1:7" x14ac:dyDescent="0.25">
      <c r="A26" t="s">
        <v>3882</v>
      </c>
      <c r="B26" t="s">
        <v>3883</v>
      </c>
      <c r="C26" t="s">
        <v>3868</v>
      </c>
      <c r="D26">
        <v>15</v>
      </c>
      <c r="E26" t="s">
        <v>3847</v>
      </c>
      <c r="F26" t="s">
        <v>4164</v>
      </c>
      <c r="G26" t="s">
        <v>11524</v>
      </c>
    </row>
    <row r="27" spans="1:7" x14ac:dyDescent="0.25">
      <c r="A27" t="s">
        <v>3884</v>
      </c>
      <c r="B27" t="s">
        <v>3885</v>
      </c>
      <c r="C27" t="s">
        <v>3886</v>
      </c>
      <c r="D27">
        <v>15</v>
      </c>
      <c r="E27" t="s">
        <v>3847</v>
      </c>
      <c r="F27" t="s">
        <v>4164</v>
      </c>
      <c r="G27" t="s">
        <v>11524</v>
      </c>
    </row>
    <row r="28" spans="1:7" x14ac:dyDescent="0.25">
      <c r="A28" t="s">
        <v>3887</v>
      </c>
      <c r="B28" t="s">
        <v>3888</v>
      </c>
      <c r="C28" t="s">
        <v>3889</v>
      </c>
      <c r="D28">
        <v>15</v>
      </c>
      <c r="E28" t="s">
        <v>3847</v>
      </c>
      <c r="F28" t="s">
        <v>4168</v>
      </c>
      <c r="G28" t="s">
        <v>4318</v>
      </c>
    </row>
    <row r="29" spans="1:7" x14ac:dyDescent="0.25">
      <c r="A29" t="s">
        <v>3891</v>
      </c>
      <c r="B29" t="s">
        <v>3892</v>
      </c>
      <c r="C29" t="s">
        <v>3868</v>
      </c>
      <c r="D29">
        <v>15</v>
      </c>
      <c r="E29" t="s">
        <v>3847</v>
      </c>
      <c r="F29" t="s">
        <v>4168</v>
      </c>
      <c r="G29" t="s">
        <v>4318</v>
      </c>
    </row>
    <row r="30" spans="1:7" x14ac:dyDescent="0.25">
      <c r="A30" t="s">
        <v>3893</v>
      </c>
      <c r="B30" t="s">
        <v>3894</v>
      </c>
      <c r="C30" t="s">
        <v>3886</v>
      </c>
      <c r="D30">
        <v>15</v>
      </c>
      <c r="E30" t="s">
        <v>3847</v>
      </c>
      <c r="F30" t="s">
        <v>4168</v>
      </c>
      <c r="G30" t="s">
        <v>4318</v>
      </c>
    </row>
    <row r="31" spans="1:7" x14ac:dyDescent="0.25">
      <c r="A31" t="s">
        <v>3895</v>
      </c>
      <c r="B31" t="s">
        <v>3896</v>
      </c>
      <c r="C31" t="s">
        <v>3868</v>
      </c>
      <c r="D31">
        <v>15</v>
      </c>
      <c r="E31" t="s">
        <v>3847</v>
      </c>
      <c r="F31" t="s">
        <v>4173</v>
      </c>
      <c r="G31" t="s">
        <v>3864</v>
      </c>
    </row>
    <row r="32" spans="1:7" x14ac:dyDescent="0.25">
      <c r="A32" t="s">
        <v>3899</v>
      </c>
      <c r="B32" t="s">
        <v>3900</v>
      </c>
      <c r="C32" t="s">
        <v>3901</v>
      </c>
      <c r="D32">
        <v>15</v>
      </c>
      <c r="E32" t="s">
        <v>3847</v>
      </c>
      <c r="F32" t="s">
        <v>4107</v>
      </c>
      <c r="G32" t="s">
        <v>3864</v>
      </c>
    </row>
    <row r="33" spans="1:7" x14ac:dyDescent="0.25">
      <c r="A33" t="s">
        <v>3903</v>
      </c>
      <c r="B33" t="s">
        <v>3904</v>
      </c>
      <c r="C33" t="s">
        <v>3868</v>
      </c>
      <c r="D33">
        <v>15</v>
      </c>
      <c r="E33" t="s">
        <v>3847</v>
      </c>
      <c r="F33" t="s">
        <v>4107</v>
      </c>
      <c r="G33" t="s">
        <v>3864</v>
      </c>
    </row>
    <row r="34" spans="1:7" x14ac:dyDescent="0.25">
      <c r="A34" t="s">
        <v>3905</v>
      </c>
      <c r="B34" t="s">
        <v>3906</v>
      </c>
      <c r="C34" t="s">
        <v>3886</v>
      </c>
      <c r="D34">
        <v>15</v>
      </c>
      <c r="E34" t="s">
        <v>3847</v>
      </c>
      <c r="F34" t="s">
        <v>4107</v>
      </c>
      <c r="G34" t="s">
        <v>3864</v>
      </c>
    </row>
    <row r="35" spans="1:7" x14ac:dyDescent="0.25">
      <c r="A35" t="s">
        <v>3907</v>
      </c>
      <c r="B35" t="s">
        <v>3908</v>
      </c>
      <c r="C35" t="s">
        <v>3909</v>
      </c>
      <c r="D35">
        <v>15</v>
      </c>
      <c r="E35" t="s">
        <v>3847</v>
      </c>
      <c r="F35" t="s">
        <v>4107</v>
      </c>
      <c r="G35" t="s">
        <v>3864</v>
      </c>
    </row>
    <row r="36" spans="1:7" x14ac:dyDescent="0.25">
      <c r="A36" t="s">
        <v>3910</v>
      </c>
      <c r="B36" t="s">
        <v>3911</v>
      </c>
      <c r="C36" t="s">
        <v>3912</v>
      </c>
      <c r="D36">
        <v>15</v>
      </c>
      <c r="E36" t="s">
        <v>3847</v>
      </c>
      <c r="F36" t="s">
        <v>4107</v>
      </c>
      <c r="G36" t="s">
        <v>3864</v>
      </c>
    </row>
    <row r="37" spans="1:7" x14ac:dyDescent="0.25">
      <c r="A37" t="s">
        <v>3913</v>
      </c>
      <c r="B37" t="s">
        <v>3914</v>
      </c>
      <c r="C37" t="s">
        <v>3915</v>
      </c>
      <c r="D37">
        <v>15</v>
      </c>
      <c r="E37" t="s">
        <v>3847</v>
      </c>
      <c r="F37" t="s">
        <v>4118</v>
      </c>
      <c r="G37" t="s">
        <v>11517</v>
      </c>
    </row>
    <row r="38" spans="1:7" x14ac:dyDescent="0.25">
      <c r="A38" t="s">
        <v>3916</v>
      </c>
      <c r="B38" t="s">
        <v>3917</v>
      </c>
      <c r="C38" t="s">
        <v>3918</v>
      </c>
      <c r="D38">
        <v>15</v>
      </c>
      <c r="E38" t="s">
        <v>3847</v>
      </c>
      <c r="F38" t="s">
        <v>4118</v>
      </c>
      <c r="G38" t="s">
        <v>11517</v>
      </c>
    </row>
    <row r="39" spans="1:7" x14ac:dyDescent="0.25">
      <c r="A39" t="s">
        <v>3920</v>
      </c>
      <c r="B39" t="s">
        <v>3921</v>
      </c>
      <c r="C39" t="s">
        <v>3922</v>
      </c>
      <c r="D39">
        <v>15</v>
      </c>
      <c r="E39" t="s">
        <v>3847</v>
      </c>
      <c r="F39" t="s">
        <v>4118</v>
      </c>
      <c r="G39" t="s">
        <v>11517</v>
      </c>
    </row>
    <row r="40" spans="1:7" x14ac:dyDescent="0.25">
      <c r="A40" t="s">
        <v>3923</v>
      </c>
      <c r="B40" t="s">
        <v>3924</v>
      </c>
      <c r="C40" t="s">
        <v>3868</v>
      </c>
      <c r="D40">
        <v>15</v>
      </c>
      <c r="E40" t="s">
        <v>3847</v>
      </c>
      <c r="F40" t="s">
        <v>3890</v>
      </c>
      <c r="G40" t="s">
        <v>4335</v>
      </c>
    </row>
    <row r="41" spans="1:7" x14ac:dyDescent="0.25">
      <c r="A41" t="s">
        <v>3925</v>
      </c>
      <c r="B41" t="s">
        <v>3926</v>
      </c>
      <c r="C41" t="s">
        <v>3886</v>
      </c>
      <c r="D41">
        <v>15</v>
      </c>
      <c r="E41" t="s">
        <v>3847</v>
      </c>
      <c r="F41" t="s">
        <v>3890</v>
      </c>
      <c r="G41" t="s">
        <v>4335</v>
      </c>
    </row>
    <row r="42" spans="1:7" x14ac:dyDescent="0.25">
      <c r="A42" t="s">
        <v>3927</v>
      </c>
      <c r="B42" t="s">
        <v>3928</v>
      </c>
      <c r="C42" t="s">
        <v>3868</v>
      </c>
      <c r="D42">
        <v>15</v>
      </c>
      <c r="E42" t="s">
        <v>3847</v>
      </c>
      <c r="F42" t="s">
        <v>4185</v>
      </c>
      <c r="G42" t="s">
        <v>11553</v>
      </c>
    </row>
    <row r="43" spans="1:7" x14ac:dyDescent="0.25">
      <c r="A43" t="s">
        <v>3929</v>
      </c>
      <c r="B43" t="s">
        <v>3930</v>
      </c>
      <c r="C43" t="s">
        <v>3931</v>
      </c>
      <c r="D43">
        <v>15</v>
      </c>
      <c r="E43" t="s">
        <v>3847</v>
      </c>
      <c r="F43" t="s">
        <v>4185</v>
      </c>
      <c r="G43" t="s">
        <v>11553</v>
      </c>
    </row>
    <row r="44" spans="1:7" x14ac:dyDescent="0.25">
      <c r="A44" t="s">
        <v>3932</v>
      </c>
      <c r="B44" t="s">
        <v>3930</v>
      </c>
      <c r="C44" t="s">
        <v>3933</v>
      </c>
      <c r="D44">
        <v>15</v>
      </c>
      <c r="E44" t="s">
        <v>3847</v>
      </c>
      <c r="F44" t="s">
        <v>4185</v>
      </c>
      <c r="G44" t="s">
        <v>11553</v>
      </c>
    </row>
    <row r="45" spans="1:7" x14ac:dyDescent="0.25">
      <c r="A45" t="s">
        <v>3934</v>
      </c>
      <c r="B45" t="s">
        <v>3935</v>
      </c>
      <c r="C45" t="s">
        <v>3886</v>
      </c>
      <c r="D45">
        <v>15</v>
      </c>
      <c r="E45" t="s">
        <v>3847</v>
      </c>
      <c r="F45" t="s">
        <v>3881</v>
      </c>
      <c r="G45" t="s">
        <v>4273</v>
      </c>
    </row>
    <row r="46" spans="1:7" x14ac:dyDescent="0.25">
      <c r="A46" t="s">
        <v>3937</v>
      </c>
      <c r="B46" t="s">
        <v>3938</v>
      </c>
      <c r="C46" t="s">
        <v>3868</v>
      </c>
      <c r="D46">
        <v>15</v>
      </c>
      <c r="E46" t="s">
        <v>3847</v>
      </c>
      <c r="F46" t="s">
        <v>3881</v>
      </c>
      <c r="G46" t="s">
        <v>4273</v>
      </c>
    </row>
    <row r="47" spans="1:7" x14ac:dyDescent="0.25">
      <c r="A47" t="s">
        <v>3939</v>
      </c>
      <c r="B47" t="s">
        <v>3940</v>
      </c>
      <c r="C47" t="s">
        <v>3886</v>
      </c>
      <c r="D47">
        <v>15</v>
      </c>
      <c r="E47" t="s">
        <v>3847</v>
      </c>
      <c r="F47" t="s">
        <v>4193</v>
      </c>
      <c r="G47" t="s">
        <v>4324</v>
      </c>
    </row>
    <row r="48" spans="1:7" x14ac:dyDescent="0.25">
      <c r="A48" t="s">
        <v>3941</v>
      </c>
      <c r="B48" t="s">
        <v>3942</v>
      </c>
      <c r="C48" t="s">
        <v>3868</v>
      </c>
      <c r="D48">
        <v>15</v>
      </c>
      <c r="E48" t="s">
        <v>3847</v>
      </c>
      <c r="F48" t="s">
        <v>4193</v>
      </c>
      <c r="G48" t="s">
        <v>4324</v>
      </c>
    </row>
    <row r="49" spans="1:7" x14ac:dyDescent="0.25">
      <c r="A49" t="s">
        <v>3943</v>
      </c>
      <c r="B49" t="s">
        <v>3944</v>
      </c>
      <c r="C49" t="s">
        <v>3868</v>
      </c>
      <c r="D49">
        <v>15</v>
      </c>
      <c r="E49" t="s">
        <v>3847</v>
      </c>
      <c r="F49" t="s">
        <v>4197</v>
      </c>
      <c r="G49" t="s">
        <v>4279</v>
      </c>
    </row>
    <row r="50" spans="1:7" x14ac:dyDescent="0.25">
      <c r="A50" t="s">
        <v>3946</v>
      </c>
      <c r="B50" t="s">
        <v>3947</v>
      </c>
      <c r="C50" t="s">
        <v>3886</v>
      </c>
      <c r="D50">
        <v>15</v>
      </c>
      <c r="E50" t="s">
        <v>3847</v>
      </c>
      <c r="F50" t="s">
        <v>4197</v>
      </c>
      <c r="G50" t="s">
        <v>4279</v>
      </c>
    </row>
    <row r="51" spans="1:7" x14ac:dyDescent="0.25">
      <c r="A51" t="s">
        <v>3948</v>
      </c>
      <c r="B51" t="s">
        <v>3949</v>
      </c>
      <c r="C51" t="s">
        <v>3886</v>
      </c>
      <c r="D51">
        <v>15</v>
      </c>
      <c r="E51" t="s">
        <v>3847</v>
      </c>
      <c r="F51" t="s">
        <v>4202</v>
      </c>
      <c r="G51" t="s">
        <v>11554</v>
      </c>
    </row>
    <row r="52" spans="1:7" x14ac:dyDescent="0.25">
      <c r="A52" t="s">
        <v>3950</v>
      </c>
      <c r="B52" t="s">
        <v>3951</v>
      </c>
      <c r="C52" t="s">
        <v>3868</v>
      </c>
      <c r="D52">
        <v>15</v>
      </c>
      <c r="E52" t="s">
        <v>3847</v>
      </c>
      <c r="F52" t="s">
        <v>4202</v>
      </c>
      <c r="G52" t="s">
        <v>11554</v>
      </c>
    </row>
    <row r="53" spans="1:7" x14ac:dyDescent="0.25">
      <c r="A53" t="s">
        <v>3952</v>
      </c>
      <c r="B53" t="s">
        <v>3953</v>
      </c>
      <c r="C53" t="s">
        <v>3954</v>
      </c>
      <c r="D53">
        <v>15</v>
      </c>
      <c r="E53" t="s">
        <v>3847</v>
      </c>
      <c r="F53" t="s">
        <v>4206</v>
      </c>
      <c r="G53" t="s">
        <v>11521</v>
      </c>
    </row>
    <row r="54" spans="1:7" x14ac:dyDescent="0.25">
      <c r="A54" t="s">
        <v>3955</v>
      </c>
      <c r="B54" t="s">
        <v>3956</v>
      </c>
      <c r="C54" t="s">
        <v>3957</v>
      </c>
      <c r="D54">
        <v>15</v>
      </c>
      <c r="E54" t="s">
        <v>3847</v>
      </c>
      <c r="F54" t="s">
        <v>4206</v>
      </c>
      <c r="G54" t="s">
        <v>11521</v>
      </c>
    </row>
    <row r="55" spans="1:7" x14ac:dyDescent="0.25">
      <c r="A55" t="s">
        <v>3958</v>
      </c>
      <c r="B55" t="s">
        <v>3959</v>
      </c>
      <c r="C55" t="s">
        <v>3960</v>
      </c>
      <c r="D55">
        <v>15</v>
      </c>
      <c r="E55" t="s">
        <v>3847</v>
      </c>
      <c r="F55" t="s">
        <v>4206</v>
      </c>
      <c r="G55" t="s">
        <v>11521</v>
      </c>
    </row>
    <row r="56" spans="1:7" x14ac:dyDescent="0.25">
      <c r="A56" t="s">
        <v>3961</v>
      </c>
      <c r="B56" t="s">
        <v>3962</v>
      </c>
      <c r="C56" t="s">
        <v>3963</v>
      </c>
      <c r="D56">
        <v>15</v>
      </c>
      <c r="E56" t="s">
        <v>3847</v>
      </c>
      <c r="F56" t="s">
        <v>4206</v>
      </c>
      <c r="G56" t="s">
        <v>11521</v>
      </c>
    </row>
    <row r="57" spans="1:7" x14ac:dyDescent="0.25">
      <c r="A57" t="s">
        <v>3964</v>
      </c>
      <c r="B57" t="s">
        <v>3965</v>
      </c>
      <c r="C57" t="s">
        <v>3966</v>
      </c>
      <c r="D57">
        <v>15</v>
      </c>
      <c r="E57" t="s">
        <v>3847</v>
      </c>
      <c r="F57" t="s">
        <v>4206</v>
      </c>
      <c r="G57" t="s">
        <v>11521</v>
      </c>
    </row>
    <row r="58" spans="1:7" x14ac:dyDescent="0.25">
      <c r="A58" t="s">
        <v>3967</v>
      </c>
      <c r="B58" t="s">
        <v>3968</v>
      </c>
      <c r="C58" t="s">
        <v>3969</v>
      </c>
      <c r="D58">
        <v>15</v>
      </c>
      <c r="E58" t="s">
        <v>3847</v>
      </c>
      <c r="F58" t="s">
        <v>3991</v>
      </c>
      <c r="G58" t="s">
        <v>4249</v>
      </c>
    </row>
    <row r="59" spans="1:7" x14ac:dyDescent="0.25">
      <c r="A59" t="s">
        <v>3970</v>
      </c>
      <c r="B59" t="s">
        <v>3971</v>
      </c>
      <c r="C59" t="s">
        <v>3972</v>
      </c>
      <c r="D59">
        <v>15</v>
      </c>
      <c r="E59" t="s">
        <v>3847</v>
      </c>
      <c r="F59" t="s">
        <v>3991</v>
      </c>
      <c r="G59" t="s">
        <v>4249</v>
      </c>
    </row>
    <row r="60" spans="1:7" x14ac:dyDescent="0.25">
      <c r="A60" t="s">
        <v>3973</v>
      </c>
      <c r="B60" t="s">
        <v>3974</v>
      </c>
      <c r="C60" t="s">
        <v>3975</v>
      </c>
      <c r="D60">
        <v>15</v>
      </c>
      <c r="E60" t="s">
        <v>3847</v>
      </c>
      <c r="F60" t="s">
        <v>3991</v>
      </c>
      <c r="G60" t="s">
        <v>4249</v>
      </c>
    </row>
    <row r="61" spans="1:7" x14ac:dyDescent="0.25">
      <c r="A61" t="s">
        <v>3976</v>
      </c>
      <c r="B61" t="s">
        <v>3977</v>
      </c>
      <c r="C61" t="s">
        <v>3978</v>
      </c>
      <c r="D61">
        <v>15</v>
      </c>
      <c r="E61" t="s">
        <v>3847</v>
      </c>
      <c r="F61" t="s">
        <v>3919</v>
      </c>
      <c r="G61" t="s">
        <v>11522</v>
      </c>
    </row>
    <row r="62" spans="1:7" x14ac:dyDescent="0.25">
      <c r="A62" t="s">
        <v>3979</v>
      </c>
      <c r="B62" t="s">
        <v>3980</v>
      </c>
      <c r="C62" t="s">
        <v>3981</v>
      </c>
      <c r="D62">
        <v>15</v>
      </c>
      <c r="E62" t="s">
        <v>3847</v>
      </c>
      <c r="F62" t="s">
        <v>3919</v>
      </c>
      <c r="G62" t="s">
        <v>11522</v>
      </c>
    </row>
    <row r="63" spans="1:7" x14ac:dyDescent="0.25">
      <c r="A63" t="s">
        <v>3982</v>
      </c>
      <c r="B63" t="s">
        <v>3983</v>
      </c>
      <c r="C63" t="s">
        <v>3984</v>
      </c>
      <c r="D63">
        <v>15</v>
      </c>
      <c r="E63" t="s">
        <v>3847</v>
      </c>
      <c r="F63" t="s">
        <v>4215</v>
      </c>
      <c r="G63" t="s">
        <v>11523</v>
      </c>
    </row>
    <row r="64" spans="1:7" x14ac:dyDescent="0.25">
      <c r="A64" t="s">
        <v>3985</v>
      </c>
      <c r="B64" t="s">
        <v>3986</v>
      </c>
      <c r="C64" t="s">
        <v>3987</v>
      </c>
      <c r="D64">
        <v>15</v>
      </c>
      <c r="E64" t="s">
        <v>3847</v>
      </c>
      <c r="F64" t="s">
        <v>4220</v>
      </c>
      <c r="G64" t="s">
        <v>4305</v>
      </c>
    </row>
    <row r="65" spans="1:7" x14ac:dyDescent="0.25">
      <c r="A65" t="s">
        <v>3988</v>
      </c>
      <c r="B65" t="s">
        <v>3989</v>
      </c>
      <c r="C65" t="s">
        <v>3990</v>
      </c>
      <c r="D65">
        <v>15</v>
      </c>
      <c r="E65" t="s">
        <v>3847</v>
      </c>
      <c r="F65" t="s">
        <v>4134</v>
      </c>
      <c r="G65" t="s">
        <v>11516</v>
      </c>
    </row>
    <row r="66" spans="1:7" x14ac:dyDescent="0.25">
      <c r="A66" t="s">
        <v>3992</v>
      </c>
      <c r="B66" t="s">
        <v>3993</v>
      </c>
      <c r="C66" t="s">
        <v>3994</v>
      </c>
      <c r="D66">
        <v>15</v>
      </c>
      <c r="E66" t="s">
        <v>3847</v>
      </c>
      <c r="F66" t="s">
        <v>4134</v>
      </c>
      <c r="G66" t="s">
        <v>11516</v>
      </c>
    </row>
    <row r="67" spans="1:7" x14ac:dyDescent="0.25">
      <c r="A67" t="s">
        <v>4224</v>
      </c>
      <c r="B67" t="s">
        <v>4225</v>
      </c>
      <c r="C67" t="s">
        <v>4226</v>
      </c>
      <c r="D67">
        <v>15</v>
      </c>
      <c r="E67" t="s">
        <v>3847</v>
      </c>
      <c r="F67" t="s">
        <v>4231</v>
      </c>
      <c r="G67" t="s">
        <v>4230</v>
      </c>
    </row>
    <row r="68" spans="1:7" x14ac:dyDescent="0.25">
      <c r="A68" t="s">
        <v>4233</v>
      </c>
      <c r="B68" t="s">
        <v>4234</v>
      </c>
      <c r="C68" t="s">
        <v>4226</v>
      </c>
      <c r="D68">
        <v>15</v>
      </c>
      <c r="E68" t="s">
        <v>3847</v>
      </c>
      <c r="F68" t="s">
        <v>4237</v>
      </c>
      <c r="G68" t="s">
        <v>4236</v>
      </c>
    </row>
    <row r="69" spans="1:7" x14ac:dyDescent="0.25">
      <c r="A69" t="s">
        <v>4238</v>
      </c>
      <c r="B69" t="s">
        <v>4239</v>
      </c>
      <c r="C69" t="s">
        <v>4226</v>
      </c>
      <c r="D69">
        <v>15</v>
      </c>
      <c r="E69" t="s">
        <v>3847</v>
      </c>
      <c r="F69" t="s">
        <v>4244</v>
      </c>
      <c r="G69" t="s">
        <v>4243</v>
      </c>
    </row>
    <row r="70" spans="1:7" x14ac:dyDescent="0.25">
      <c r="A70" t="s">
        <v>4245</v>
      </c>
      <c r="B70" t="s">
        <v>4246</v>
      </c>
      <c r="C70" t="s">
        <v>4247</v>
      </c>
      <c r="D70">
        <v>15</v>
      </c>
      <c r="E70" t="s">
        <v>3847</v>
      </c>
      <c r="F70" t="s">
        <v>3991</v>
      </c>
      <c r="G70" t="s">
        <v>4249</v>
      </c>
    </row>
    <row r="71" spans="1:7" x14ac:dyDescent="0.25">
      <c r="A71" t="s">
        <v>4250</v>
      </c>
      <c r="B71" t="s">
        <v>4251</v>
      </c>
      <c r="C71" t="s">
        <v>4247</v>
      </c>
      <c r="D71">
        <v>15</v>
      </c>
      <c r="E71" t="s">
        <v>3847</v>
      </c>
      <c r="F71" t="s">
        <v>4153</v>
      </c>
      <c r="G71" t="s">
        <v>4255</v>
      </c>
    </row>
    <row r="72" spans="1:7" x14ac:dyDescent="0.25">
      <c r="A72" t="s">
        <v>4256</v>
      </c>
      <c r="B72" t="s">
        <v>4257</v>
      </c>
      <c r="C72" t="s">
        <v>4226</v>
      </c>
      <c r="D72">
        <v>15</v>
      </c>
      <c r="E72" t="s">
        <v>3847</v>
      </c>
      <c r="F72" t="s">
        <v>4260</v>
      </c>
      <c r="G72" t="s">
        <v>4259</v>
      </c>
    </row>
    <row r="73" spans="1:7" x14ac:dyDescent="0.25">
      <c r="A73" t="s">
        <v>4261</v>
      </c>
      <c r="B73" t="s">
        <v>4262</v>
      </c>
      <c r="C73" t="s">
        <v>4226</v>
      </c>
      <c r="D73">
        <v>15</v>
      </c>
      <c r="E73" t="s">
        <v>3847</v>
      </c>
      <c r="F73" t="s">
        <v>3865</v>
      </c>
      <c r="G73" t="s">
        <v>4267</v>
      </c>
    </row>
    <row r="74" spans="1:7" x14ac:dyDescent="0.25">
      <c r="A74" t="s">
        <v>4268</v>
      </c>
      <c r="B74" t="s">
        <v>4269</v>
      </c>
      <c r="C74" t="s">
        <v>4247</v>
      </c>
      <c r="D74">
        <v>15</v>
      </c>
      <c r="E74" t="s">
        <v>3847</v>
      </c>
      <c r="F74" t="s">
        <v>3881</v>
      </c>
      <c r="G74" t="s">
        <v>4273</v>
      </c>
    </row>
    <row r="75" spans="1:7" x14ac:dyDescent="0.25">
      <c r="A75" t="s">
        <v>4274</v>
      </c>
      <c r="B75" t="s">
        <v>4275</v>
      </c>
      <c r="C75" t="s">
        <v>4247</v>
      </c>
      <c r="D75">
        <v>15</v>
      </c>
      <c r="E75" t="s">
        <v>3847</v>
      </c>
      <c r="F75" t="s">
        <v>4197</v>
      </c>
      <c r="G75" t="s">
        <v>4279</v>
      </c>
    </row>
    <row r="76" spans="1:7" x14ac:dyDescent="0.25">
      <c r="A76" t="s">
        <v>4280</v>
      </c>
      <c r="B76" t="s">
        <v>4281</v>
      </c>
      <c r="C76" t="s">
        <v>4226</v>
      </c>
      <c r="D76">
        <v>15</v>
      </c>
      <c r="E76" t="s">
        <v>3847</v>
      </c>
      <c r="F76" t="s">
        <v>3897</v>
      </c>
      <c r="G76" t="s">
        <v>4282</v>
      </c>
    </row>
    <row r="77" spans="1:7" x14ac:dyDescent="0.25">
      <c r="A77" t="s">
        <v>4283</v>
      </c>
      <c r="B77" t="s">
        <v>4284</v>
      </c>
      <c r="C77" t="s">
        <v>4226</v>
      </c>
      <c r="D77">
        <v>15</v>
      </c>
      <c r="E77" t="s">
        <v>3847</v>
      </c>
      <c r="F77" t="s">
        <v>4286</v>
      </c>
      <c r="G77" t="s">
        <v>4285</v>
      </c>
    </row>
    <row r="78" spans="1:7" x14ac:dyDescent="0.25">
      <c r="A78" t="s">
        <v>4287</v>
      </c>
      <c r="B78" t="s">
        <v>4288</v>
      </c>
      <c r="C78" t="s">
        <v>4226</v>
      </c>
      <c r="D78">
        <v>15</v>
      </c>
      <c r="E78" t="s">
        <v>3847</v>
      </c>
      <c r="F78" t="s">
        <v>3945</v>
      </c>
      <c r="G78" t="s">
        <v>4292</v>
      </c>
    </row>
    <row r="79" spans="1:7" x14ac:dyDescent="0.25">
      <c r="A79" t="s">
        <v>4293</v>
      </c>
      <c r="B79" t="s">
        <v>4294</v>
      </c>
      <c r="C79" t="s">
        <v>4226</v>
      </c>
      <c r="D79">
        <v>15</v>
      </c>
      <c r="E79" t="s">
        <v>3847</v>
      </c>
      <c r="F79" t="s">
        <v>4159</v>
      </c>
      <c r="G79" t="s">
        <v>4299</v>
      </c>
    </row>
    <row r="80" spans="1:7" x14ac:dyDescent="0.25">
      <c r="A80" t="s">
        <v>4300</v>
      </c>
      <c r="B80" t="s">
        <v>4301</v>
      </c>
      <c r="C80" t="s">
        <v>4226</v>
      </c>
      <c r="D80">
        <v>15</v>
      </c>
      <c r="E80" t="s">
        <v>3847</v>
      </c>
      <c r="F80" t="s">
        <v>4220</v>
      </c>
      <c r="G80" t="s">
        <v>4305</v>
      </c>
    </row>
    <row r="81" spans="1:7" x14ac:dyDescent="0.25">
      <c r="A81" t="s">
        <v>4306</v>
      </c>
      <c r="B81" t="s">
        <v>4307</v>
      </c>
      <c r="C81" t="s">
        <v>4226</v>
      </c>
      <c r="D81">
        <v>15</v>
      </c>
      <c r="E81" t="s">
        <v>3847</v>
      </c>
      <c r="F81" t="s">
        <v>4312</v>
      </c>
      <c r="G81" t="s">
        <v>4311</v>
      </c>
    </row>
    <row r="82" spans="1:7" x14ac:dyDescent="0.25">
      <c r="A82" t="s">
        <v>4313</v>
      </c>
      <c r="B82" t="s">
        <v>4314</v>
      </c>
      <c r="C82" t="s">
        <v>4226</v>
      </c>
      <c r="D82">
        <v>15</v>
      </c>
      <c r="E82" t="s">
        <v>3847</v>
      </c>
      <c r="F82" t="s">
        <v>4168</v>
      </c>
      <c r="G82" t="s">
        <v>4318</v>
      </c>
    </row>
    <row r="83" spans="1:7" x14ac:dyDescent="0.25">
      <c r="A83" t="s">
        <v>4319</v>
      </c>
      <c r="B83" t="s">
        <v>4320</v>
      </c>
      <c r="C83" t="s">
        <v>4247</v>
      </c>
      <c r="D83">
        <v>15</v>
      </c>
      <c r="E83" t="s">
        <v>3847</v>
      </c>
      <c r="F83" t="s">
        <v>4193</v>
      </c>
      <c r="G83" t="s">
        <v>4324</v>
      </c>
    </row>
    <row r="84" spans="1:7" x14ac:dyDescent="0.25">
      <c r="A84" t="s">
        <v>4325</v>
      </c>
      <c r="B84" t="s">
        <v>4326</v>
      </c>
      <c r="C84" t="s">
        <v>4226</v>
      </c>
      <c r="D84">
        <v>15</v>
      </c>
      <c r="E84" t="s">
        <v>3847</v>
      </c>
      <c r="F84" t="s">
        <v>4328</v>
      </c>
      <c r="G84" t="s">
        <v>4327</v>
      </c>
    </row>
    <row r="85" spans="1:7" x14ac:dyDescent="0.25">
      <c r="A85" t="s">
        <v>4329</v>
      </c>
      <c r="B85" t="s">
        <v>4330</v>
      </c>
      <c r="C85" t="s">
        <v>4226</v>
      </c>
      <c r="D85">
        <v>15</v>
      </c>
      <c r="E85" t="s">
        <v>3847</v>
      </c>
      <c r="F85" t="s">
        <v>4332</v>
      </c>
      <c r="G85" t="s">
        <v>4331</v>
      </c>
    </row>
    <row r="86" spans="1:7" x14ac:dyDescent="0.25">
      <c r="A86" t="s">
        <v>4333</v>
      </c>
      <c r="B86" t="s">
        <v>4334</v>
      </c>
      <c r="C86" t="s">
        <v>4247</v>
      </c>
      <c r="D86">
        <v>15</v>
      </c>
      <c r="E86" t="s">
        <v>3847</v>
      </c>
      <c r="F86" t="s">
        <v>3890</v>
      </c>
      <c r="G86" t="s">
        <v>4335</v>
      </c>
    </row>
    <row r="87" spans="1:7" x14ac:dyDescent="0.25">
      <c r="A87" t="s">
        <v>4336</v>
      </c>
      <c r="B87" t="s">
        <v>4337</v>
      </c>
      <c r="C87" t="s">
        <v>4226</v>
      </c>
      <c r="D87">
        <v>15</v>
      </c>
      <c r="E87" t="s">
        <v>3847</v>
      </c>
      <c r="F87" t="s">
        <v>4341</v>
      </c>
      <c r="G87" t="s">
        <v>3848</v>
      </c>
    </row>
    <row r="88" spans="1:7" x14ac:dyDescent="0.25">
      <c r="A88" t="s">
        <v>11893</v>
      </c>
      <c r="B88" t="s">
        <v>11894</v>
      </c>
      <c r="C88" t="s">
        <v>11895</v>
      </c>
      <c r="D88">
        <v>15</v>
      </c>
      <c r="E88" t="s">
        <v>3847</v>
      </c>
      <c r="F88" t="s">
        <v>11573</v>
      </c>
      <c r="G88" t="s">
        <v>11574</v>
      </c>
    </row>
    <row r="89" spans="1:7" x14ac:dyDescent="0.25">
      <c r="A89" t="s">
        <v>11903</v>
      </c>
      <c r="B89" t="s">
        <v>11904</v>
      </c>
      <c r="C89" t="s">
        <v>11905</v>
      </c>
      <c r="D89">
        <v>15</v>
      </c>
      <c r="E89" t="s">
        <v>3847</v>
      </c>
      <c r="F89" t="s">
        <v>11573</v>
      </c>
      <c r="G89" t="s">
        <v>11574</v>
      </c>
    </row>
    <row r="90" spans="1:7" x14ac:dyDescent="0.25">
      <c r="A90" t="s">
        <v>11906</v>
      </c>
      <c r="B90" t="s">
        <v>11907</v>
      </c>
      <c r="C90" t="s">
        <v>11908</v>
      </c>
      <c r="D90">
        <v>15</v>
      </c>
      <c r="E90" t="s">
        <v>3847</v>
      </c>
      <c r="F90" t="s">
        <v>11573</v>
      </c>
      <c r="G90" t="s">
        <v>11574</v>
      </c>
    </row>
    <row r="91" spans="1:7" x14ac:dyDescent="0.25">
      <c r="A91" t="s">
        <v>11910</v>
      </c>
      <c r="B91" t="s">
        <v>11911</v>
      </c>
      <c r="C91" t="s">
        <v>11912</v>
      </c>
      <c r="D91">
        <v>15</v>
      </c>
      <c r="E91" t="s">
        <v>3847</v>
      </c>
      <c r="F91" t="s">
        <v>11573</v>
      </c>
      <c r="G91" t="s">
        <v>11574</v>
      </c>
    </row>
    <row r="92" spans="1:7" x14ac:dyDescent="0.25">
      <c r="A92" t="s">
        <v>11913</v>
      </c>
      <c r="B92" t="s">
        <v>11914</v>
      </c>
      <c r="C92" t="s">
        <v>11915</v>
      </c>
      <c r="D92">
        <v>15</v>
      </c>
      <c r="E92" t="s">
        <v>3847</v>
      </c>
      <c r="F92" t="s">
        <v>11573</v>
      </c>
      <c r="G92" t="s">
        <v>11574</v>
      </c>
    </row>
    <row r="93" spans="1:7" x14ac:dyDescent="0.25">
      <c r="A93" t="s">
        <v>11916</v>
      </c>
      <c r="B93" t="s">
        <v>11917</v>
      </c>
      <c r="C93" t="s">
        <v>11918</v>
      </c>
      <c r="D93">
        <v>15</v>
      </c>
      <c r="E93" t="s">
        <v>3847</v>
      </c>
      <c r="F93" t="s">
        <v>11573</v>
      </c>
      <c r="G93" t="s">
        <v>11574</v>
      </c>
    </row>
    <row r="94" spans="1:7" x14ac:dyDescent="0.25">
      <c r="A94" t="s">
        <v>11920</v>
      </c>
      <c r="B94" t="s">
        <v>11921</v>
      </c>
      <c r="C94" t="s">
        <v>11922</v>
      </c>
      <c r="D94">
        <v>15</v>
      </c>
      <c r="E94" t="s">
        <v>3847</v>
      </c>
      <c r="F94" t="s">
        <v>11573</v>
      </c>
      <c r="G94" t="s">
        <v>11574</v>
      </c>
    </row>
    <row r="95" spans="1:7" x14ac:dyDescent="0.25">
      <c r="A95" t="s">
        <v>11924</v>
      </c>
      <c r="B95" t="s">
        <v>11925</v>
      </c>
      <c r="C95" t="s">
        <v>11926</v>
      </c>
      <c r="D95">
        <v>15</v>
      </c>
      <c r="E95" t="s">
        <v>3847</v>
      </c>
      <c r="F95" t="s">
        <v>11573</v>
      </c>
      <c r="G95" t="s">
        <v>11574</v>
      </c>
    </row>
    <row r="96" spans="1:7" x14ac:dyDescent="0.25">
      <c r="A96" t="s">
        <v>11927</v>
      </c>
      <c r="B96" t="s">
        <v>11928</v>
      </c>
      <c r="C96" t="s">
        <v>11929</v>
      </c>
      <c r="D96">
        <v>15</v>
      </c>
      <c r="E96" t="s">
        <v>3847</v>
      </c>
      <c r="F96" t="s">
        <v>11573</v>
      </c>
      <c r="G96" t="s">
        <v>11574</v>
      </c>
    </row>
    <row r="97" spans="1:7" x14ac:dyDescent="0.25">
      <c r="A97" t="s">
        <v>11930</v>
      </c>
      <c r="B97" t="s">
        <v>11931</v>
      </c>
      <c r="C97" t="s">
        <v>11932</v>
      </c>
      <c r="D97">
        <v>15</v>
      </c>
      <c r="E97" t="s">
        <v>3847</v>
      </c>
      <c r="F97" t="s">
        <v>11573</v>
      </c>
      <c r="G97" t="s">
        <v>11574</v>
      </c>
    </row>
    <row r="98" spans="1:7" x14ac:dyDescent="0.25">
      <c r="A98" t="s">
        <v>11934</v>
      </c>
      <c r="B98" t="s">
        <v>11935</v>
      </c>
      <c r="C98" t="s">
        <v>11936</v>
      </c>
      <c r="D98">
        <v>15</v>
      </c>
      <c r="E98" t="s">
        <v>3847</v>
      </c>
      <c r="F98" t="s">
        <v>11573</v>
      </c>
      <c r="G98" t="s">
        <v>11574</v>
      </c>
    </row>
    <row r="99" spans="1:7" x14ac:dyDescent="0.25">
      <c r="A99" t="s">
        <v>11937</v>
      </c>
      <c r="B99" t="s">
        <v>11938</v>
      </c>
      <c r="C99" t="s">
        <v>11939</v>
      </c>
      <c r="D99">
        <v>15</v>
      </c>
      <c r="E99" t="s">
        <v>3847</v>
      </c>
      <c r="F99" t="s">
        <v>11573</v>
      </c>
      <c r="G99" t="s">
        <v>11574</v>
      </c>
    </row>
    <row r="100" spans="1:7" x14ac:dyDescent="0.25">
      <c r="A100" t="s">
        <v>11941</v>
      </c>
      <c r="B100" t="s">
        <v>11942</v>
      </c>
      <c r="C100" t="s">
        <v>11943</v>
      </c>
      <c r="D100">
        <v>15</v>
      </c>
      <c r="E100" t="s">
        <v>3847</v>
      </c>
      <c r="F100" t="s">
        <v>11573</v>
      </c>
      <c r="G100" t="s">
        <v>11574</v>
      </c>
    </row>
    <row r="101" spans="1:7" x14ac:dyDescent="0.25">
      <c r="A101" t="s">
        <v>11944</v>
      </c>
      <c r="B101" t="s">
        <v>11945</v>
      </c>
      <c r="C101" t="s">
        <v>11946</v>
      </c>
      <c r="D101">
        <v>15</v>
      </c>
      <c r="E101" t="s">
        <v>3847</v>
      </c>
      <c r="F101" t="s">
        <v>11573</v>
      </c>
      <c r="G101" t="s">
        <v>11574</v>
      </c>
    </row>
    <row r="102" spans="1:7" x14ac:dyDescent="0.25">
      <c r="A102" t="s">
        <v>11947</v>
      </c>
      <c r="B102" t="s">
        <v>11948</v>
      </c>
      <c r="C102" t="s">
        <v>11949</v>
      </c>
      <c r="D102">
        <v>15</v>
      </c>
      <c r="E102" t="s">
        <v>3847</v>
      </c>
      <c r="F102" t="s">
        <v>3865</v>
      </c>
      <c r="G102" t="s">
        <v>4267</v>
      </c>
    </row>
    <row r="103" spans="1:7" x14ac:dyDescent="0.25">
      <c r="A103" t="s">
        <v>11954</v>
      </c>
      <c r="B103" t="s">
        <v>11955</v>
      </c>
      <c r="C103" t="s">
        <v>11949</v>
      </c>
      <c r="D103">
        <v>15</v>
      </c>
      <c r="E103" t="s">
        <v>3847</v>
      </c>
      <c r="F103" t="s">
        <v>4260</v>
      </c>
      <c r="G103" t="s">
        <v>4259</v>
      </c>
    </row>
    <row r="104" spans="1:7" x14ac:dyDescent="0.25">
      <c r="A104" t="s">
        <v>11957</v>
      </c>
      <c r="B104" t="s">
        <v>11958</v>
      </c>
      <c r="C104" t="s">
        <v>11949</v>
      </c>
      <c r="D104">
        <v>15</v>
      </c>
      <c r="E104" t="s">
        <v>3847</v>
      </c>
      <c r="F104" t="s">
        <v>4164</v>
      </c>
      <c r="G104" t="s">
        <v>11524</v>
      </c>
    </row>
    <row r="105" spans="1:7" x14ac:dyDescent="0.25">
      <c r="A105" t="s">
        <v>11959</v>
      </c>
      <c r="B105" t="s">
        <v>11960</v>
      </c>
      <c r="C105" t="s">
        <v>11949</v>
      </c>
      <c r="D105">
        <v>15</v>
      </c>
      <c r="E105" t="s">
        <v>3847</v>
      </c>
      <c r="F105" t="s">
        <v>3991</v>
      </c>
      <c r="G105" t="s">
        <v>4249</v>
      </c>
    </row>
    <row r="106" spans="1:7" x14ac:dyDescent="0.25">
      <c r="A106" t="s">
        <v>11962</v>
      </c>
      <c r="B106" t="s">
        <v>11963</v>
      </c>
      <c r="C106" t="s">
        <v>11949</v>
      </c>
      <c r="D106">
        <v>15</v>
      </c>
      <c r="E106" t="s">
        <v>3847</v>
      </c>
      <c r="F106" t="s">
        <v>4220</v>
      </c>
      <c r="G106" t="s">
        <v>4305</v>
      </c>
    </row>
    <row r="107" spans="1:7" x14ac:dyDescent="0.25">
      <c r="A107" t="s">
        <v>11968</v>
      </c>
      <c r="B107" t="s">
        <v>11969</v>
      </c>
      <c r="C107" t="s">
        <v>11949</v>
      </c>
      <c r="D107">
        <v>15</v>
      </c>
      <c r="E107" t="s">
        <v>3847</v>
      </c>
      <c r="F107" t="s">
        <v>3897</v>
      </c>
      <c r="G107" t="s">
        <v>4282</v>
      </c>
    </row>
    <row r="108" spans="1:7" x14ac:dyDescent="0.25">
      <c r="A108" t="s">
        <v>11972</v>
      </c>
      <c r="B108" t="s">
        <v>11973</v>
      </c>
      <c r="C108" t="s">
        <v>11949</v>
      </c>
      <c r="D108">
        <v>15</v>
      </c>
      <c r="E108" t="s">
        <v>3847</v>
      </c>
      <c r="F108" t="s">
        <v>4244</v>
      </c>
      <c r="G108" t="s">
        <v>4243</v>
      </c>
    </row>
    <row r="109" spans="1:7" x14ac:dyDescent="0.25">
      <c r="A109" t="s">
        <v>11976</v>
      </c>
      <c r="B109" t="s">
        <v>11977</v>
      </c>
      <c r="C109" t="s">
        <v>11949</v>
      </c>
      <c r="D109">
        <v>15</v>
      </c>
      <c r="E109" t="s">
        <v>3847</v>
      </c>
      <c r="F109" t="s">
        <v>4123</v>
      </c>
      <c r="G109" t="s">
        <v>11488</v>
      </c>
    </row>
    <row r="110" spans="1:7" x14ac:dyDescent="0.25">
      <c r="A110" t="s">
        <v>11979</v>
      </c>
      <c r="B110" t="s">
        <v>11980</v>
      </c>
      <c r="C110" t="s">
        <v>11949</v>
      </c>
      <c r="D110">
        <v>15</v>
      </c>
      <c r="E110" t="s">
        <v>3847</v>
      </c>
      <c r="F110" t="s">
        <v>4237</v>
      </c>
      <c r="G110" t="s">
        <v>4236</v>
      </c>
    </row>
    <row r="111" spans="1:7" x14ac:dyDescent="0.25">
      <c r="A111" t="s">
        <v>11982</v>
      </c>
      <c r="B111" t="s">
        <v>11983</v>
      </c>
      <c r="C111" t="s">
        <v>11949</v>
      </c>
      <c r="D111">
        <v>15</v>
      </c>
      <c r="E111" t="s">
        <v>3847</v>
      </c>
      <c r="F111" t="s">
        <v>11510</v>
      </c>
      <c r="G111" t="s">
        <v>11511</v>
      </c>
    </row>
    <row r="112" spans="1:7" x14ac:dyDescent="0.25">
      <c r="A112" t="s">
        <v>11987</v>
      </c>
      <c r="B112" t="s">
        <v>11988</v>
      </c>
      <c r="C112" t="s">
        <v>11949</v>
      </c>
      <c r="D112">
        <v>15</v>
      </c>
      <c r="E112" t="s">
        <v>3847</v>
      </c>
      <c r="F112" t="s">
        <v>11506</v>
      </c>
      <c r="G112" t="s">
        <v>11507</v>
      </c>
    </row>
    <row r="113" spans="1:7" x14ac:dyDescent="0.25">
      <c r="A113" t="s">
        <v>11993</v>
      </c>
      <c r="B113" t="s">
        <v>11994</v>
      </c>
      <c r="C113" t="s">
        <v>11949</v>
      </c>
      <c r="D113">
        <v>15</v>
      </c>
      <c r="E113" t="s">
        <v>3847</v>
      </c>
      <c r="F113" t="s">
        <v>4197</v>
      </c>
      <c r="G113" t="s">
        <v>4279</v>
      </c>
    </row>
    <row r="114" spans="1:7" x14ac:dyDescent="0.25">
      <c r="A114" t="s">
        <v>11998</v>
      </c>
      <c r="B114" t="s">
        <v>11999</v>
      </c>
      <c r="C114" t="s">
        <v>11949</v>
      </c>
      <c r="D114">
        <v>15</v>
      </c>
      <c r="E114" t="s">
        <v>3847</v>
      </c>
      <c r="F114" t="s">
        <v>4332</v>
      </c>
      <c r="G114" t="s">
        <v>4331</v>
      </c>
    </row>
    <row r="115" spans="1:7" x14ac:dyDescent="0.25">
      <c r="A115" t="s">
        <v>12004</v>
      </c>
      <c r="B115" t="s">
        <v>12005</v>
      </c>
      <c r="C115" t="s">
        <v>11949</v>
      </c>
      <c r="D115">
        <v>15</v>
      </c>
      <c r="E115" t="s">
        <v>3847</v>
      </c>
      <c r="F115" t="s">
        <v>11441</v>
      </c>
      <c r="G115" t="s">
        <v>4087</v>
      </c>
    </row>
    <row r="116" spans="1:7" x14ac:dyDescent="0.25">
      <c r="A116" t="s">
        <v>12011</v>
      </c>
      <c r="B116" t="s">
        <v>12012</v>
      </c>
      <c r="C116" t="s">
        <v>11949</v>
      </c>
      <c r="D116">
        <v>15</v>
      </c>
      <c r="E116" t="s">
        <v>3847</v>
      </c>
      <c r="F116" t="s">
        <v>4168</v>
      </c>
      <c r="G116" t="s">
        <v>4318</v>
      </c>
    </row>
    <row r="117" spans="1:7" x14ac:dyDescent="0.25">
      <c r="A117" t="s">
        <v>12015</v>
      </c>
      <c r="B117" t="s">
        <v>12016</v>
      </c>
      <c r="C117" t="s">
        <v>11949</v>
      </c>
      <c r="D117">
        <v>15</v>
      </c>
      <c r="E117" t="s">
        <v>3847</v>
      </c>
      <c r="F117" t="s">
        <v>4193</v>
      </c>
      <c r="G117" t="s">
        <v>4324</v>
      </c>
    </row>
    <row r="118" spans="1:7" x14ac:dyDescent="0.25">
      <c r="A118" t="s">
        <v>12021</v>
      </c>
      <c r="B118" t="s">
        <v>12022</v>
      </c>
      <c r="C118" t="s">
        <v>11949</v>
      </c>
      <c r="D118">
        <v>15</v>
      </c>
      <c r="E118" t="s">
        <v>3847</v>
      </c>
      <c r="F118" t="s">
        <v>4328</v>
      </c>
      <c r="G118" t="s">
        <v>4327</v>
      </c>
    </row>
    <row r="119" spans="1:7" x14ac:dyDescent="0.25">
      <c r="A119" t="s">
        <v>12024</v>
      </c>
      <c r="B119" t="s">
        <v>12025</v>
      </c>
      <c r="C119" t="s">
        <v>11949</v>
      </c>
      <c r="D119">
        <v>15</v>
      </c>
      <c r="E119" t="s">
        <v>3847</v>
      </c>
      <c r="F119" t="s">
        <v>4286</v>
      </c>
      <c r="G119" t="s">
        <v>4285</v>
      </c>
    </row>
    <row r="120" spans="1:7" x14ac:dyDescent="0.25">
      <c r="A120" t="s">
        <v>12029</v>
      </c>
      <c r="B120" t="s">
        <v>12030</v>
      </c>
      <c r="C120" t="s">
        <v>11949</v>
      </c>
      <c r="D120">
        <v>15</v>
      </c>
      <c r="E120" t="s">
        <v>3847</v>
      </c>
      <c r="F120" t="s">
        <v>4231</v>
      </c>
      <c r="G120" t="s">
        <v>4230</v>
      </c>
    </row>
    <row r="121" spans="1:7" x14ac:dyDescent="0.25">
      <c r="A121" t="s">
        <v>12035</v>
      </c>
      <c r="B121" t="s">
        <v>12036</v>
      </c>
      <c r="C121" t="s">
        <v>11949</v>
      </c>
      <c r="D121">
        <v>15</v>
      </c>
      <c r="E121" t="s">
        <v>3847</v>
      </c>
      <c r="F121" t="s">
        <v>4153</v>
      </c>
      <c r="G121" t="s">
        <v>4255</v>
      </c>
    </row>
    <row r="122" spans="1:7" x14ac:dyDescent="0.25">
      <c r="A122" t="s">
        <v>12037</v>
      </c>
      <c r="B122" t="s">
        <v>12038</v>
      </c>
      <c r="C122" t="s">
        <v>11949</v>
      </c>
      <c r="D122">
        <v>15</v>
      </c>
      <c r="E122" t="s">
        <v>3847</v>
      </c>
      <c r="F122" t="s">
        <v>5008</v>
      </c>
      <c r="G122" t="s">
        <v>5009</v>
      </c>
    </row>
    <row r="123" spans="1:7" x14ac:dyDescent="0.25">
      <c r="A123" t="s">
        <v>3571</v>
      </c>
      <c r="B123" t="s">
        <v>13</v>
      </c>
      <c r="C123" t="s">
        <v>3572</v>
      </c>
      <c r="D123">
        <v>13</v>
      </c>
      <c r="E123" t="s">
        <v>3573</v>
      </c>
      <c r="F123" t="s">
        <v>3579</v>
      </c>
      <c r="G123" t="s">
        <v>11154</v>
      </c>
    </row>
    <row r="124" spans="1:7" x14ac:dyDescent="0.25">
      <c r="A124" t="s">
        <v>3583</v>
      </c>
      <c r="B124" t="s">
        <v>3584</v>
      </c>
      <c r="C124" t="s">
        <v>3584</v>
      </c>
      <c r="D124">
        <v>13</v>
      </c>
      <c r="E124" t="s">
        <v>3573</v>
      </c>
      <c r="F124" t="s">
        <v>3579</v>
      </c>
      <c r="G124" t="s">
        <v>11154</v>
      </c>
    </row>
    <row r="125" spans="1:7" x14ac:dyDescent="0.25">
      <c r="A125" t="s">
        <v>3586</v>
      </c>
      <c r="B125" t="s">
        <v>3587</v>
      </c>
      <c r="C125" t="s">
        <v>3588</v>
      </c>
      <c r="D125">
        <v>13</v>
      </c>
      <c r="E125" t="s">
        <v>3573</v>
      </c>
      <c r="F125" t="s">
        <v>3579</v>
      </c>
      <c r="G125" t="s">
        <v>11154</v>
      </c>
    </row>
    <row r="126" spans="1:7" x14ac:dyDescent="0.25">
      <c r="A126" t="s">
        <v>3589</v>
      </c>
      <c r="B126" t="s">
        <v>3590</v>
      </c>
      <c r="C126" t="s">
        <v>3591</v>
      </c>
      <c r="D126">
        <v>13</v>
      </c>
      <c r="E126" t="s">
        <v>3573</v>
      </c>
      <c r="F126" t="s">
        <v>3579</v>
      </c>
      <c r="G126" t="s">
        <v>11154</v>
      </c>
    </row>
    <row r="127" spans="1:7" x14ac:dyDescent="0.25">
      <c r="A127" t="s">
        <v>3592</v>
      </c>
      <c r="B127" t="s">
        <v>3593</v>
      </c>
      <c r="C127" t="s">
        <v>3594</v>
      </c>
      <c r="D127">
        <v>13</v>
      </c>
      <c r="E127" t="s">
        <v>3573</v>
      </c>
      <c r="F127" t="s">
        <v>3599</v>
      </c>
      <c r="G127" t="s">
        <v>3612</v>
      </c>
    </row>
    <row r="128" spans="1:7" x14ac:dyDescent="0.25">
      <c r="A128" t="s">
        <v>3602</v>
      </c>
      <c r="B128" t="s">
        <v>3603</v>
      </c>
      <c r="C128" t="s">
        <v>3604</v>
      </c>
      <c r="D128">
        <v>13</v>
      </c>
      <c r="E128" t="s">
        <v>3573</v>
      </c>
      <c r="F128" t="s">
        <v>3599</v>
      </c>
      <c r="G128" t="s">
        <v>3612</v>
      </c>
    </row>
    <row r="129" spans="1:7" x14ac:dyDescent="0.25">
      <c r="A129" t="s">
        <v>3606</v>
      </c>
      <c r="B129" t="s">
        <v>3607</v>
      </c>
      <c r="C129" t="s">
        <v>12044</v>
      </c>
      <c r="D129">
        <v>13</v>
      </c>
      <c r="E129" t="s">
        <v>3573</v>
      </c>
      <c r="F129" t="s">
        <v>3599</v>
      </c>
      <c r="G129" t="s">
        <v>3612</v>
      </c>
    </row>
    <row r="130" spans="1:7" x14ac:dyDescent="0.25">
      <c r="A130" t="s">
        <v>3609</v>
      </c>
      <c r="B130" t="s">
        <v>3610</v>
      </c>
      <c r="C130" t="s">
        <v>3611</v>
      </c>
      <c r="D130">
        <v>13</v>
      </c>
      <c r="E130" t="s">
        <v>3573</v>
      </c>
      <c r="F130" t="s">
        <v>3617</v>
      </c>
      <c r="G130" t="s">
        <v>11183</v>
      </c>
    </row>
    <row r="131" spans="1:7" x14ac:dyDescent="0.25">
      <c r="A131" t="s">
        <v>3619</v>
      </c>
      <c r="B131" t="s">
        <v>3620</v>
      </c>
      <c r="C131" t="s">
        <v>3621</v>
      </c>
      <c r="D131">
        <v>13</v>
      </c>
      <c r="E131" t="s">
        <v>3573</v>
      </c>
      <c r="F131" t="s">
        <v>3626</v>
      </c>
      <c r="G131" t="s">
        <v>11167</v>
      </c>
    </row>
    <row r="132" spans="1:7" x14ac:dyDescent="0.25">
      <c r="A132" t="s">
        <v>3628</v>
      </c>
      <c r="B132" t="s">
        <v>3629</v>
      </c>
      <c r="C132" t="s">
        <v>3630</v>
      </c>
      <c r="D132">
        <v>13</v>
      </c>
      <c r="E132" t="s">
        <v>3573</v>
      </c>
      <c r="F132" t="s">
        <v>3626</v>
      </c>
      <c r="G132" t="s">
        <v>11167</v>
      </c>
    </row>
    <row r="133" spans="1:7" x14ac:dyDescent="0.25">
      <c r="A133" t="s">
        <v>3632</v>
      </c>
      <c r="B133" t="s">
        <v>3633</v>
      </c>
      <c r="C133" t="s">
        <v>3634</v>
      </c>
      <c r="D133">
        <v>13</v>
      </c>
      <c r="E133" t="s">
        <v>3573</v>
      </c>
      <c r="F133" t="s">
        <v>3626</v>
      </c>
      <c r="G133" t="s">
        <v>11167</v>
      </c>
    </row>
    <row r="134" spans="1:7" x14ac:dyDescent="0.25">
      <c r="A134" t="s">
        <v>3636</v>
      </c>
      <c r="B134" t="s">
        <v>3637</v>
      </c>
      <c r="C134" t="s">
        <v>3638</v>
      </c>
      <c r="D134">
        <v>13</v>
      </c>
      <c r="E134" t="s">
        <v>3573</v>
      </c>
      <c r="F134" t="s">
        <v>3642</v>
      </c>
      <c r="G134" t="s">
        <v>11170</v>
      </c>
    </row>
    <row r="135" spans="1:7" x14ac:dyDescent="0.25">
      <c r="A135" t="s">
        <v>3644</v>
      </c>
      <c r="B135" t="s">
        <v>3645</v>
      </c>
      <c r="C135" t="s">
        <v>3646</v>
      </c>
      <c r="D135">
        <v>13</v>
      </c>
      <c r="E135" t="s">
        <v>3573</v>
      </c>
      <c r="F135" t="s">
        <v>3652</v>
      </c>
      <c r="G135" t="s">
        <v>11178</v>
      </c>
    </row>
    <row r="136" spans="1:7" x14ac:dyDescent="0.25">
      <c r="A136" t="s">
        <v>3654</v>
      </c>
      <c r="B136" t="s">
        <v>3655</v>
      </c>
      <c r="C136" t="s">
        <v>3656</v>
      </c>
      <c r="D136">
        <v>13</v>
      </c>
      <c r="E136" t="s">
        <v>3573</v>
      </c>
      <c r="F136" t="s">
        <v>3652</v>
      </c>
      <c r="G136" t="s">
        <v>11178</v>
      </c>
    </row>
    <row r="137" spans="1:7" x14ac:dyDescent="0.25">
      <c r="A137" t="s">
        <v>3657</v>
      </c>
      <c r="B137" t="s">
        <v>3658</v>
      </c>
      <c r="C137" t="s">
        <v>3659</v>
      </c>
      <c r="D137">
        <v>13</v>
      </c>
      <c r="E137" t="s">
        <v>3573</v>
      </c>
      <c r="F137" t="s">
        <v>3663</v>
      </c>
      <c r="G137" t="s">
        <v>3647</v>
      </c>
    </row>
    <row r="138" spans="1:7" x14ac:dyDescent="0.25">
      <c r="A138" t="s">
        <v>3665</v>
      </c>
      <c r="B138" t="s">
        <v>3666</v>
      </c>
      <c r="C138" t="s">
        <v>3667</v>
      </c>
      <c r="D138">
        <v>13</v>
      </c>
      <c r="E138" t="s">
        <v>3573</v>
      </c>
      <c r="F138" t="s">
        <v>3663</v>
      </c>
      <c r="G138" t="s">
        <v>3647</v>
      </c>
    </row>
    <row r="139" spans="1:7" x14ac:dyDescent="0.25">
      <c r="A139" t="s">
        <v>3668</v>
      </c>
      <c r="B139" t="s">
        <v>3669</v>
      </c>
      <c r="C139" t="s">
        <v>3670</v>
      </c>
      <c r="D139">
        <v>13</v>
      </c>
      <c r="E139" t="s">
        <v>3573</v>
      </c>
      <c r="F139" t="s">
        <v>3676</v>
      </c>
      <c r="G139" t="s">
        <v>11150</v>
      </c>
    </row>
    <row r="140" spans="1:7" x14ac:dyDescent="0.25">
      <c r="A140" t="s">
        <v>3679</v>
      </c>
      <c r="B140" t="s">
        <v>3680</v>
      </c>
      <c r="C140" t="s">
        <v>3681</v>
      </c>
      <c r="D140">
        <v>13</v>
      </c>
      <c r="E140" t="s">
        <v>3573</v>
      </c>
      <c r="F140" t="s">
        <v>3688</v>
      </c>
      <c r="G140" t="s">
        <v>3781</v>
      </c>
    </row>
    <row r="141" spans="1:7" x14ac:dyDescent="0.25">
      <c r="A141" t="s">
        <v>3690</v>
      </c>
      <c r="B141" t="s">
        <v>3691</v>
      </c>
      <c r="C141" t="s">
        <v>3692</v>
      </c>
      <c r="D141">
        <v>13</v>
      </c>
      <c r="E141" t="s">
        <v>3573</v>
      </c>
      <c r="F141" t="s">
        <v>3688</v>
      </c>
      <c r="G141" t="s">
        <v>3781</v>
      </c>
    </row>
    <row r="142" spans="1:7" x14ac:dyDescent="0.25">
      <c r="A142" t="s">
        <v>3695</v>
      </c>
      <c r="B142" t="s">
        <v>3696</v>
      </c>
      <c r="C142" t="s">
        <v>3697</v>
      </c>
      <c r="D142">
        <v>13</v>
      </c>
      <c r="E142" t="s">
        <v>3573</v>
      </c>
      <c r="F142" t="s">
        <v>3688</v>
      </c>
      <c r="G142" t="s">
        <v>3781</v>
      </c>
    </row>
    <row r="143" spans="1:7" x14ac:dyDescent="0.25">
      <c r="A143" t="s">
        <v>3698</v>
      </c>
      <c r="B143" t="s">
        <v>3699</v>
      </c>
      <c r="C143" t="s">
        <v>3700</v>
      </c>
      <c r="D143">
        <v>13</v>
      </c>
      <c r="E143" t="s">
        <v>3573</v>
      </c>
      <c r="F143" t="s">
        <v>3704</v>
      </c>
      <c r="G143" t="s">
        <v>12909</v>
      </c>
    </row>
    <row r="144" spans="1:7" x14ac:dyDescent="0.25">
      <c r="A144" t="s">
        <v>3706</v>
      </c>
      <c r="B144" t="s">
        <v>3707</v>
      </c>
      <c r="C144" t="s">
        <v>3708</v>
      </c>
      <c r="D144">
        <v>13</v>
      </c>
      <c r="E144" t="s">
        <v>3573</v>
      </c>
      <c r="F144" t="s">
        <v>3712</v>
      </c>
      <c r="G144" t="s">
        <v>3727</v>
      </c>
    </row>
    <row r="145" spans="1:7" x14ac:dyDescent="0.25">
      <c r="A145" t="s">
        <v>3713</v>
      </c>
      <c r="B145" t="s">
        <v>3714</v>
      </c>
      <c r="C145" t="s">
        <v>3715</v>
      </c>
      <c r="D145">
        <v>13</v>
      </c>
      <c r="E145" t="s">
        <v>3573</v>
      </c>
      <c r="F145" t="s">
        <v>3721</v>
      </c>
      <c r="G145" t="s">
        <v>11190</v>
      </c>
    </row>
    <row r="146" spans="1:7" x14ac:dyDescent="0.25">
      <c r="A146" t="s">
        <v>3724</v>
      </c>
      <c r="B146" t="s">
        <v>3725</v>
      </c>
      <c r="C146" t="s">
        <v>3726</v>
      </c>
      <c r="D146">
        <v>13</v>
      </c>
      <c r="E146" t="s">
        <v>3573</v>
      </c>
      <c r="F146" t="s">
        <v>3732</v>
      </c>
      <c r="G146" t="s">
        <v>11206</v>
      </c>
    </row>
    <row r="147" spans="1:7" x14ac:dyDescent="0.25">
      <c r="A147" t="s">
        <v>3734</v>
      </c>
      <c r="B147" t="s">
        <v>3735</v>
      </c>
      <c r="C147" t="s">
        <v>3736</v>
      </c>
      <c r="D147">
        <v>13</v>
      </c>
      <c r="E147" t="s">
        <v>3573</v>
      </c>
      <c r="F147" t="s">
        <v>3732</v>
      </c>
      <c r="G147" t="s">
        <v>11206</v>
      </c>
    </row>
    <row r="148" spans="1:7" x14ac:dyDescent="0.25">
      <c r="A148" t="s">
        <v>3737</v>
      </c>
      <c r="B148" t="s">
        <v>3738</v>
      </c>
      <c r="C148" t="s">
        <v>3739</v>
      </c>
      <c r="D148">
        <v>13</v>
      </c>
      <c r="E148" t="s">
        <v>3573</v>
      </c>
      <c r="F148" t="s">
        <v>3743</v>
      </c>
      <c r="G148" t="s">
        <v>11188</v>
      </c>
    </row>
    <row r="149" spans="1:7" x14ac:dyDescent="0.25">
      <c r="A149" t="s">
        <v>3745</v>
      </c>
      <c r="B149" t="s">
        <v>3746</v>
      </c>
      <c r="C149" t="s">
        <v>3747</v>
      </c>
      <c r="D149">
        <v>13</v>
      </c>
      <c r="E149" t="s">
        <v>3573</v>
      </c>
      <c r="F149" t="s">
        <v>3752</v>
      </c>
      <c r="G149" t="s">
        <v>11148</v>
      </c>
    </row>
    <row r="150" spans="1:7" x14ac:dyDescent="0.25">
      <c r="A150" t="s">
        <v>3754</v>
      </c>
      <c r="B150" t="s">
        <v>3755</v>
      </c>
      <c r="C150" t="s">
        <v>3756</v>
      </c>
      <c r="D150">
        <v>13</v>
      </c>
      <c r="E150" t="s">
        <v>3573</v>
      </c>
      <c r="F150" t="s">
        <v>3752</v>
      </c>
      <c r="G150" t="s">
        <v>11148</v>
      </c>
    </row>
    <row r="151" spans="1:7" x14ac:dyDescent="0.25">
      <c r="A151" t="s">
        <v>3757</v>
      </c>
      <c r="B151" t="s">
        <v>3758</v>
      </c>
      <c r="C151" t="s">
        <v>3759</v>
      </c>
      <c r="D151">
        <v>13</v>
      </c>
      <c r="E151" t="s">
        <v>3573</v>
      </c>
      <c r="F151" t="s">
        <v>3764</v>
      </c>
      <c r="G151" t="s">
        <v>11149</v>
      </c>
    </row>
    <row r="152" spans="1:7" x14ac:dyDescent="0.25">
      <c r="A152" t="s">
        <v>3766</v>
      </c>
      <c r="B152" t="s">
        <v>3767</v>
      </c>
      <c r="C152" t="s">
        <v>3768</v>
      </c>
      <c r="D152">
        <v>13</v>
      </c>
      <c r="E152" t="s">
        <v>3573</v>
      </c>
      <c r="F152" t="s">
        <v>3770</v>
      </c>
      <c r="G152" t="s">
        <v>5138</v>
      </c>
    </row>
    <row r="153" spans="1:7" x14ac:dyDescent="0.25">
      <c r="A153" t="s">
        <v>3773</v>
      </c>
      <c r="B153" t="s">
        <v>3774</v>
      </c>
      <c r="C153" t="s">
        <v>3775</v>
      </c>
      <c r="D153">
        <v>13</v>
      </c>
      <c r="E153" t="s">
        <v>3573</v>
      </c>
      <c r="F153" t="s">
        <v>3770</v>
      </c>
      <c r="G153" t="s">
        <v>5138</v>
      </c>
    </row>
    <row r="154" spans="1:7" x14ac:dyDescent="0.25">
      <c r="A154" t="s">
        <v>3778</v>
      </c>
      <c r="B154" t="s">
        <v>3779</v>
      </c>
      <c r="C154" t="s">
        <v>3780</v>
      </c>
      <c r="D154">
        <v>13</v>
      </c>
      <c r="E154" t="s">
        <v>3573</v>
      </c>
      <c r="F154" t="s">
        <v>3787</v>
      </c>
      <c r="G154" t="s">
        <v>5644</v>
      </c>
    </row>
    <row r="155" spans="1:7" x14ac:dyDescent="0.25">
      <c r="A155" t="s">
        <v>3790</v>
      </c>
      <c r="B155" t="s">
        <v>3791</v>
      </c>
      <c r="C155" t="s">
        <v>3792</v>
      </c>
      <c r="D155">
        <v>13</v>
      </c>
      <c r="E155" t="s">
        <v>3573</v>
      </c>
      <c r="F155" t="s">
        <v>3688</v>
      </c>
      <c r="G155" t="s">
        <v>3781</v>
      </c>
    </row>
    <row r="156" spans="1:7" x14ac:dyDescent="0.25">
      <c r="A156" t="s">
        <v>3799</v>
      </c>
      <c r="B156" t="s">
        <v>3800</v>
      </c>
      <c r="C156" t="s">
        <v>3801</v>
      </c>
      <c r="D156">
        <v>13</v>
      </c>
      <c r="E156" t="s">
        <v>3573</v>
      </c>
      <c r="F156" t="s">
        <v>3688</v>
      </c>
      <c r="G156" t="s">
        <v>3781</v>
      </c>
    </row>
    <row r="157" spans="1:7" x14ac:dyDescent="0.25">
      <c r="A157" t="s">
        <v>3804</v>
      </c>
      <c r="B157" t="s">
        <v>3805</v>
      </c>
      <c r="C157" t="s">
        <v>3806</v>
      </c>
      <c r="D157">
        <v>13</v>
      </c>
      <c r="E157" t="s">
        <v>3573</v>
      </c>
      <c r="F157" t="s">
        <v>3812</v>
      </c>
      <c r="G157" t="s">
        <v>11147</v>
      </c>
    </row>
    <row r="158" spans="1:7" x14ac:dyDescent="0.25">
      <c r="A158" t="s">
        <v>3813</v>
      </c>
      <c r="B158" t="s">
        <v>3814</v>
      </c>
      <c r="C158" t="s">
        <v>3815</v>
      </c>
      <c r="D158">
        <v>13</v>
      </c>
      <c r="E158" t="s">
        <v>3573</v>
      </c>
      <c r="F158" t="s">
        <v>3822</v>
      </c>
      <c r="G158" t="s">
        <v>3816</v>
      </c>
    </row>
    <row r="159" spans="1:7" x14ac:dyDescent="0.25">
      <c r="A159" t="s">
        <v>3825</v>
      </c>
      <c r="B159" t="s">
        <v>3826</v>
      </c>
      <c r="C159" t="s">
        <v>3827</v>
      </c>
      <c r="D159">
        <v>13</v>
      </c>
      <c r="E159" t="s">
        <v>3573</v>
      </c>
      <c r="F159" t="s">
        <v>3822</v>
      </c>
      <c r="G159" t="s">
        <v>3816</v>
      </c>
    </row>
    <row r="160" spans="1:7" x14ac:dyDescent="0.25">
      <c r="A160" t="s">
        <v>3829</v>
      </c>
      <c r="B160" t="s">
        <v>3830</v>
      </c>
      <c r="C160" t="s">
        <v>3831</v>
      </c>
      <c r="D160">
        <v>13</v>
      </c>
      <c r="E160" t="s">
        <v>3573</v>
      </c>
      <c r="F160" t="s">
        <v>3822</v>
      </c>
      <c r="G160" t="s">
        <v>3816</v>
      </c>
    </row>
    <row r="161" spans="1:7" x14ac:dyDescent="0.25">
      <c r="A161" t="s">
        <v>3832</v>
      </c>
      <c r="B161" t="s">
        <v>3833</v>
      </c>
      <c r="C161" t="s">
        <v>3834</v>
      </c>
      <c r="D161">
        <v>13</v>
      </c>
      <c r="E161" t="s">
        <v>3573</v>
      </c>
      <c r="F161" t="s">
        <v>3839</v>
      </c>
      <c r="G161" t="s">
        <v>12910</v>
      </c>
    </row>
    <row r="162" spans="1:7" x14ac:dyDescent="0.25">
      <c r="A162" t="s">
        <v>3842</v>
      </c>
      <c r="B162" t="s">
        <v>3843</v>
      </c>
      <c r="C162" t="s">
        <v>3827</v>
      </c>
      <c r="D162">
        <v>13</v>
      </c>
      <c r="E162" t="s">
        <v>3573</v>
      </c>
      <c r="F162" t="s">
        <v>3839</v>
      </c>
      <c r="G162" t="s">
        <v>12910</v>
      </c>
    </row>
    <row r="163" spans="1:7" x14ac:dyDescent="0.25">
      <c r="A163" t="s">
        <v>1089</v>
      </c>
      <c r="B163" t="s">
        <v>1090</v>
      </c>
      <c r="C163" t="s">
        <v>1091</v>
      </c>
      <c r="D163">
        <v>1</v>
      </c>
      <c r="E163" t="s">
        <v>1432</v>
      </c>
      <c r="F163" t="s">
        <v>1098</v>
      </c>
      <c r="G163" t="s">
        <v>5753</v>
      </c>
    </row>
    <row r="164" spans="1:7" x14ac:dyDescent="0.25">
      <c r="A164" t="s">
        <v>1102</v>
      </c>
      <c r="B164" t="s">
        <v>1103</v>
      </c>
      <c r="C164" t="s">
        <v>1091</v>
      </c>
      <c r="D164">
        <v>1</v>
      </c>
      <c r="E164" t="s">
        <v>1432</v>
      </c>
      <c r="F164" t="s">
        <v>1109</v>
      </c>
      <c r="G164" t="s">
        <v>5736</v>
      </c>
    </row>
    <row r="165" spans="1:7" x14ac:dyDescent="0.25">
      <c r="A165" t="s">
        <v>1111</v>
      </c>
      <c r="B165" t="s">
        <v>1112</v>
      </c>
      <c r="C165" t="s">
        <v>1091</v>
      </c>
      <c r="D165">
        <v>1</v>
      </c>
      <c r="E165" t="s">
        <v>1432</v>
      </c>
      <c r="F165" t="s">
        <v>1117</v>
      </c>
      <c r="G165" t="s">
        <v>5811</v>
      </c>
    </row>
    <row r="166" spans="1:7" x14ac:dyDescent="0.25">
      <c r="A166" t="s">
        <v>1119</v>
      </c>
      <c r="B166" t="s">
        <v>1120</v>
      </c>
      <c r="C166" t="s">
        <v>1091</v>
      </c>
      <c r="D166">
        <v>1</v>
      </c>
      <c r="E166" t="s">
        <v>1432</v>
      </c>
      <c r="F166" t="s">
        <v>1126</v>
      </c>
      <c r="G166" t="s">
        <v>5819</v>
      </c>
    </row>
    <row r="167" spans="1:7" x14ac:dyDescent="0.25">
      <c r="A167" t="s">
        <v>1128</v>
      </c>
      <c r="B167" t="s">
        <v>1129</v>
      </c>
      <c r="C167" t="s">
        <v>1091</v>
      </c>
      <c r="D167">
        <v>1</v>
      </c>
      <c r="E167" t="s">
        <v>1432</v>
      </c>
      <c r="F167" t="s">
        <v>1135</v>
      </c>
      <c r="G167" t="s">
        <v>5737</v>
      </c>
    </row>
    <row r="168" spans="1:7" x14ac:dyDescent="0.25">
      <c r="A168" t="s">
        <v>1137</v>
      </c>
      <c r="B168" t="s">
        <v>1138</v>
      </c>
      <c r="C168" t="s">
        <v>1091</v>
      </c>
      <c r="D168">
        <v>1</v>
      </c>
      <c r="E168" t="s">
        <v>1432</v>
      </c>
      <c r="F168" t="s">
        <v>1144</v>
      </c>
      <c r="G168" t="s">
        <v>5775</v>
      </c>
    </row>
    <row r="169" spans="1:7" x14ac:dyDescent="0.25">
      <c r="A169" t="s">
        <v>1146</v>
      </c>
      <c r="B169" t="s">
        <v>1147</v>
      </c>
      <c r="C169" t="s">
        <v>1091</v>
      </c>
      <c r="D169">
        <v>1</v>
      </c>
      <c r="E169" t="s">
        <v>1432</v>
      </c>
      <c r="F169" t="s">
        <v>1153</v>
      </c>
      <c r="G169" t="s">
        <v>5768</v>
      </c>
    </row>
    <row r="170" spans="1:7" x14ac:dyDescent="0.25">
      <c r="A170" t="s">
        <v>1155</v>
      </c>
      <c r="B170" t="s">
        <v>1156</v>
      </c>
      <c r="C170" t="s">
        <v>1091</v>
      </c>
      <c r="D170">
        <v>1</v>
      </c>
      <c r="E170" t="s">
        <v>1432</v>
      </c>
      <c r="F170" t="s">
        <v>1162</v>
      </c>
      <c r="G170" t="s">
        <v>5714</v>
      </c>
    </row>
    <row r="171" spans="1:7" x14ac:dyDescent="0.25">
      <c r="A171" t="s">
        <v>1164</v>
      </c>
      <c r="B171" t="s">
        <v>1165</v>
      </c>
      <c r="C171" t="s">
        <v>1091</v>
      </c>
      <c r="D171">
        <v>1</v>
      </c>
      <c r="E171" t="s">
        <v>1432</v>
      </c>
      <c r="F171" t="s">
        <v>1169</v>
      </c>
      <c r="G171" t="s">
        <v>5780</v>
      </c>
    </row>
    <row r="172" spans="1:7" x14ac:dyDescent="0.25">
      <c r="A172" t="s">
        <v>1171</v>
      </c>
      <c r="B172" t="s">
        <v>1172</v>
      </c>
      <c r="C172" t="s">
        <v>1091</v>
      </c>
      <c r="D172">
        <v>1</v>
      </c>
      <c r="E172" t="s">
        <v>1432</v>
      </c>
      <c r="F172" t="s">
        <v>1177</v>
      </c>
      <c r="G172" t="s">
        <v>5767</v>
      </c>
    </row>
    <row r="173" spans="1:7" x14ac:dyDescent="0.25">
      <c r="A173" t="s">
        <v>1179</v>
      </c>
      <c r="B173" t="s">
        <v>1180</v>
      </c>
      <c r="C173" t="s">
        <v>1091</v>
      </c>
      <c r="D173">
        <v>1</v>
      </c>
      <c r="E173" t="s">
        <v>1432</v>
      </c>
      <c r="F173" t="s">
        <v>1185</v>
      </c>
      <c r="G173" t="s">
        <v>5746</v>
      </c>
    </row>
    <row r="174" spans="1:7" x14ac:dyDescent="0.25">
      <c r="A174" t="s">
        <v>1187</v>
      </c>
      <c r="B174" t="s">
        <v>1188</v>
      </c>
      <c r="C174" t="s">
        <v>1091</v>
      </c>
      <c r="D174">
        <v>1</v>
      </c>
      <c r="E174" t="s">
        <v>1432</v>
      </c>
      <c r="F174" t="s">
        <v>1193</v>
      </c>
      <c r="G174" t="s">
        <v>5733</v>
      </c>
    </row>
    <row r="175" spans="1:7" x14ac:dyDescent="0.25">
      <c r="A175" t="s">
        <v>1195</v>
      </c>
      <c r="B175" t="s">
        <v>1196</v>
      </c>
      <c r="C175" t="s">
        <v>1091</v>
      </c>
      <c r="D175">
        <v>1</v>
      </c>
      <c r="E175" t="s">
        <v>1432</v>
      </c>
      <c r="F175" t="s">
        <v>1202</v>
      </c>
      <c r="G175" t="s">
        <v>5778</v>
      </c>
    </row>
    <row r="176" spans="1:7" x14ac:dyDescent="0.25">
      <c r="A176" t="s">
        <v>1204</v>
      </c>
      <c r="B176" t="s">
        <v>1205</v>
      </c>
      <c r="C176" t="s">
        <v>1091</v>
      </c>
      <c r="D176">
        <v>1</v>
      </c>
      <c r="E176" t="s">
        <v>1432</v>
      </c>
      <c r="F176" t="s">
        <v>1211</v>
      </c>
      <c r="G176" t="s">
        <v>5816</v>
      </c>
    </row>
    <row r="177" spans="1:7" x14ac:dyDescent="0.25">
      <c r="A177" t="s">
        <v>1213</v>
      </c>
      <c r="B177" t="s">
        <v>1214</v>
      </c>
      <c r="C177" t="s">
        <v>1091</v>
      </c>
      <c r="D177">
        <v>1</v>
      </c>
      <c r="E177" t="s">
        <v>1432</v>
      </c>
      <c r="F177" t="s">
        <v>1220</v>
      </c>
      <c r="G177" t="s">
        <v>5820</v>
      </c>
    </row>
    <row r="178" spans="1:7" x14ac:dyDescent="0.25">
      <c r="A178" t="s">
        <v>1222</v>
      </c>
      <c r="B178" t="s">
        <v>1223</v>
      </c>
      <c r="C178" t="s">
        <v>1091</v>
      </c>
      <c r="D178">
        <v>1</v>
      </c>
      <c r="E178" t="s">
        <v>1432</v>
      </c>
      <c r="F178" t="s">
        <v>1227</v>
      </c>
      <c r="G178" t="s">
        <v>5754</v>
      </c>
    </row>
    <row r="179" spans="1:7" x14ac:dyDescent="0.25">
      <c r="A179" t="s">
        <v>1229</v>
      </c>
      <c r="B179" t="s">
        <v>1230</v>
      </c>
      <c r="C179" t="s">
        <v>1091</v>
      </c>
      <c r="D179">
        <v>1</v>
      </c>
      <c r="E179" t="s">
        <v>1432</v>
      </c>
      <c r="F179" t="s">
        <v>1235</v>
      </c>
      <c r="G179" t="s">
        <v>5567</v>
      </c>
    </row>
    <row r="180" spans="1:7" x14ac:dyDescent="0.25">
      <c r="A180" t="s">
        <v>1237</v>
      </c>
      <c r="B180" t="s">
        <v>1238</v>
      </c>
      <c r="C180" t="s">
        <v>1091</v>
      </c>
      <c r="D180">
        <v>1</v>
      </c>
      <c r="E180" t="s">
        <v>1432</v>
      </c>
      <c r="F180" t="s">
        <v>1243</v>
      </c>
      <c r="G180" t="s">
        <v>5808</v>
      </c>
    </row>
    <row r="181" spans="1:7" x14ac:dyDescent="0.25">
      <c r="A181" t="s">
        <v>1245</v>
      </c>
      <c r="B181" t="s">
        <v>1246</v>
      </c>
      <c r="C181" t="s">
        <v>1091</v>
      </c>
      <c r="D181">
        <v>1</v>
      </c>
      <c r="E181" t="s">
        <v>1432</v>
      </c>
      <c r="F181" t="s">
        <v>1251</v>
      </c>
      <c r="G181" t="s">
        <v>5779</v>
      </c>
    </row>
    <row r="182" spans="1:7" x14ac:dyDescent="0.25">
      <c r="A182" t="s">
        <v>1253</v>
      </c>
      <c r="B182" t="s">
        <v>1254</v>
      </c>
      <c r="C182" t="s">
        <v>1091</v>
      </c>
      <c r="D182">
        <v>1</v>
      </c>
      <c r="E182" t="s">
        <v>1432</v>
      </c>
      <c r="F182" t="s">
        <v>1260</v>
      </c>
      <c r="G182" t="s">
        <v>5805</v>
      </c>
    </row>
    <row r="183" spans="1:7" x14ac:dyDescent="0.25">
      <c r="A183" t="s">
        <v>1262</v>
      </c>
      <c r="B183" t="s">
        <v>1263</v>
      </c>
      <c r="C183" t="s">
        <v>1091</v>
      </c>
      <c r="D183">
        <v>1</v>
      </c>
      <c r="E183" t="s">
        <v>1432</v>
      </c>
      <c r="F183" t="s">
        <v>1269</v>
      </c>
      <c r="G183" t="s">
        <v>5774</v>
      </c>
    </row>
    <row r="184" spans="1:7" x14ac:dyDescent="0.25">
      <c r="A184" t="s">
        <v>1271</v>
      </c>
      <c r="B184" t="s">
        <v>1272</v>
      </c>
      <c r="C184" t="s">
        <v>1091</v>
      </c>
      <c r="D184">
        <v>1</v>
      </c>
      <c r="E184" t="s">
        <v>1432</v>
      </c>
      <c r="F184" t="s">
        <v>1275</v>
      </c>
      <c r="G184" t="s">
        <v>5773</v>
      </c>
    </row>
    <row r="185" spans="1:7" x14ac:dyDescent="0.25">
      <c r="A185" t="s">
        <v>1277</v>
      </c>
      <c r="B185" t="s">
        <v>1278</v>
      </c>
      <c r="C185" t="s">
        <v>1091</v>
      </c>
      <c r="D185">
        <v>1</v>
      </c>
      <c r="E185" t="s">
        <v>1432</v>
      </c>
      <c r="F185" t="s">
        <v>1284</v>
      </c>
      <c r="G185" t="s">
        <v>5849</v>
      </c>
    </row>
    <row r="186" spans="1:7" x14ac:dyDescent="0.25">
      <c r="A186" t="s">
        <v>1286</v>
      </c>
      <c r="B186" t="s">
        <v>1287</v>
      </c>
      <c r="C186" t="s">
        <v>1091</v>
      </c>
      <c r="D186">
        <v>1</v>
      </c>
      <c r="E186" t="s">
        <v>1432</v>
      </c>
      <c r="F186" t="s">
        <v>1292</v>
      </c>
      <c r="G186" t="s">
        <v>5802</v>
      </c>
    </row>
    <row r="187" spans="1:7" x14ac:dyDescent="0.25">
      <c r="A187" t="s">
        <v>1294</v>
      </c>
      <c r="B187" t="s">
        <v>1295</v>
      </c>
      <c r="C187" t="s">
        <v>1091</v>
      </c>
      <c r="D187">
        <v>1</v>
      </c>
      <c r="E187" t="s">
        <v>1432</v>
      </c>
      <c r="F187" t="s">
        <v>1300</v>
      </c>
      <c r="G187" t="s">
        <v>5795</v>
      </c>
    </row>
    <row r="188" spans="1:7" x14ac:dyDescent="0.25">
      <c r="A188" t="s">
        <v>1302</v>
      </c>
      <c r="B188" t="s">
        <v>1303</v>
      </c>
      <c r="C188" t="s">
        <v>1091</v>
      </c>
      <c r="D188">
        <v>1</v>
      </c>
      <c r="E188" t="s">
        <v>1432</v>
      </c>
      <c r="F188" t="s">
        <v>1309</v>
      </c>
      <c r="G188" t="s">
        <v>5827</v>
      </c>
    </row>
    <row r="189" spans="1:7" x14ac:dyDescent="0.25">
      <c r="A189" t="s">
        <v>1311</v>
      </c>
      <c r="B189" t="s">
        <v>1312</v>
      </c>
      <c r="C189" t="s">
        <v>1091</v>
      </c>
      <c r="D189">
        <v>1</v>
      </c>
      <c r="E189" t="s">
        <v>1432</v>
      </c>
      <c r="F189" t="s">
        <v>1318</v>
      </c>
      <c r="G189" t="s">
        <v>5721</v>
      </c>
    </row>
    <row r="190" spans="1:7" x14ac:dyDescent="0.25">
      <c r="A190" t="s">
        <v>1320</v>
      </c>
      <c r="B190" t="s">
        <v>1321</v>
      </c>
      <c r="C190" t="s">
        <v>1091</v>
      </c>
      <c r="D190">
        <v>1</v>
      </c>
      <c r="E190" t="s">
        <v>1432</v>
      </c>
      <c r="F190" t="s">
        <v>1325</v>
      </c>
      <c r="G190" t="s">
        <v>1322</v>
      </c>
    </row>
    <row r="191" spans="1:7" x14ac:dyDescent="0.25">
      <c r="A191" t="s">
        <v>1327</v>
      </c>
      <c r="B191" t="s">
        <v>1328</v>
      </c>
      <c r="C191" t="s">
        <v>1091</v>
      </c>
      <c r="D191">
        <v>1</v>
      </c>
      <c r="E191" t="s">
        <v>1432</v>
      </c>
      <c r="F191" t="s">
        <v>1331</v>
      </c>
      <c r="G191" t="s">
        <v>1239</v>
      </c>
    </row>
    <row r="192" spans="1:7" x14ac:dyDescent="0.25">
      <c r="A192" t="s">
        <v>1333</v>
      </c>
      <c r="B192" t="s">
        <v>1334</v>
      </c>
      <c r="C192" t="s">
        <v>1091</v>
      </c>
      <c r="D192">
        <v>1</v>
      </c>
      <c r="E192" t="s">
        <v>1432</v>
      </c>
      <c r="F192" t="s">
        <v>1340</v>
      </c>
      <c r="G192" t="s">
        <v>1335</v>
      </c>
    </row>
    <row r="193" spans="1:7" x14ac:dyDescent="0.25">
      <c r="A193" t="s">
        <v>1342</v>
      </c>
      <c r="B193" t="s">
        <v>1343</v>
      </c>
      <c r="C193" t="s">
        <v>1091</v>
      </c>
      <c r="D193">
        <v>1</v>
      </c>
      <c r="E193" t="s">
        <v>1432</v>
      </c>
      <c r="F193" t="s">
        <v>1346</v>
      </c>
      <c r="G193" t="s">
        <v>1296</v>
      </c>
    </row>
    <row r="194" spans="1:7" x14ac:dyDescent="0.25">
      <c r="A194" t="s">
        <v>1348</v>
      </c>
      <c r="B194" t="s">
        <v>1349</v>
      </c>
      <c r="C194" t="s">
        <v>1091</v>
      </c>
      <c r="D194">
        <v>1</v>
      </c>
      <c r="E194" t="s">
        <v>1432</v>
      </c>
      <c r="F194" t="s">
        <v>1353</v>
      </c>
      <c r="G194" t="s">
        <v>1350</v>
      </c>
    </row>
    <row r="195" spans="1:7" x14ac:dyDescent="0.25">
      <c r="A195" t="s">
        <v>1355</v>
      </c>
      <c r="B195" t="s">
        <v>1356</v>
      </c>
      <c r="C195" t="s">
        <v>1091</v>
      </c>
      <c r="D195">
        <v>1</v>
      </c>
      <c r="E195" t="s">
        <v>1432</v>
      </c>
      <c r="F195" t="s">
        <v>1359</v>
      </c>
      <c r="G195" t="s">
        <v>1288</v>
      </c>
    </row>
    <row r="196" spans="1:7" x14ac:dyDescent="0.25">
      <c r="A196" t="s">
        <v>1361</v>
      </c>
      <c r="B196" t="s">
        <v>1362</v>
      </c>
      <c r="C196" t="s">
        <v>1091</v>
      </c>
      <c r="D196">
        <v>1</v>
      </c>
      <c r="E196" t="s">
        <v>1432</v>
      </c>
      <c r="F196" t="s">
        <v>1365</v>
      </c>
      <c r="G196" t="s">
        <v>1264</v>
      </c>
    </row>
    <row r="197" spans="1:7" x14ac:dyDescent="0.25">
      <c r="A197" t="s">
        <v>1367</v>
      </c>
      <c r="B197" t="s">
        <v>1368</v>
      </c>
      <c r="C197" t="s">
        <v>1091</v>
      </c>
      <c r="D197">
        <v>1</v>
      </c>
      <c r="E197" t="s">
        <v>1432</v>
      </c>
      <c r="F197" t="s">
        <v>1372</v>
      </c>
      <c r="G197" t="s">
        <v>1369</v>
      </c>
    </row>
    <row r="198" spans="1:7" x14ac:dyDescent="0.25">
      <c r="A198" t="s">
        <v>1374</v>
      </c>
      <c r="B198" t="s">
        <v>1375</v>
      </c>
      <c r="C198" t="s">
        <v>1091</v>
      </c>
      <c r="D198">
        <v>1</v>
      </c>
      <c r="E198" t="s">
        <v>1432</v>
      </c>
      <c r="F198" t="s">
        <v>1379</v>
      </c>
      <c r="G198" t="s">
        <v>1376</v>
      </c>
    </row>
    <row r="199" spans="1:7" x14ac:dyDescent="0.25">
      <c r="A199" t="s">
        <v>1381</v>
      </c>
      <c r="B199" t="s">
        <v>1382</v>
      </c>
      <c r="C199" t="s">
        <v>1091</v>
      </c>
      <c r="D199">
        <v>1</v>
      </c>
      <c r="E199" t="s">
        <v>1432</v>
      </c>
      <c r="F199" t="s">
        <v>1385</v>
      </c>
      <c r="G199" t="s">
        <v>1092</v>
      </c>
    </row>
    <row r="200" spans="1:7" x14ac:dyDescent="0.25">
      <c r="A200" t="s">
        <v>1387</v>
      </c>
      <c r="B200" t="s">
        <v>1388</v>
      </c>
      <c r="C200" t="s">
        <v>1091</v>
      </c>
      <c r="D200">
        <v>1</v>
      </c>
      <c r="E200" t="s">
        <v>1432</v>
      </c>
      <c r="F200" t="s">
        <v>1391</v>
      </c>
      <c r="G200" t="s">
        <v>1130</v>
      </c>
    </row>
    <row r="201" spans="1:7" x14ac:dyDescent="0.25">
      <c r="A201" t="s">
        <v>1393</v>
      </c>
      <c r="B201" t="s">
        <v>1394</v>
      </c>
      <c r="C201" t="s">
        <v>1091</v>
      </c>
      <c r="D201">
        <v>1</v>
      </c>
      <c r="E201" t="s">
        <v>1432</v>
      </c>
      <c r="F201" t="s">
        <v>1397</v>
      </c>
      <c r="G201" t="s">
        <v>1304</v>
      </c>
    </row>
    <row r="202" spans="1:7" x14ac:dyDescent="0.25">
      <c r="A202" t="s">
        <v>1398</v>
      </c>
      <c r="B202" t="s">
        <v>1399</v>
      </c>
      <c r="C202" t="s">
        <v>1091</v>
      </c>
      <c r="D202">
        <v>1</v>
      </c>
      <c r="E202" t="s">
        <v>1432</v>
      </c>
      <c r="F202" t="s">
        <v>1402</v>
      </c>
      <c r="G202" t="s">
        <v>1121</v>
      </c>
    </row>
    <row r="203" spans="1:7" x14ac:dyDescent="0.25">
      <c r="A203" t="s">
        <v>1404</v>
      </c>
      <c r="B203" t="s">
        <v>1405</v>
      </c>
      <c r="C203" t="s">
        <v>1091</v>
      </c>
      <c r="D203">
        <v>1</v>
      </c>
      <c r="E203" t="s">
        <v>1432</v>
      </c>
      <c r="F203" t="s">
        <v>1408</v>
      </c>
      <c r="G203" t="s">
        <v>1148</v>
      </c>
    </row>
    <row r="204" spans="1:7" x14ac:dyDescent="0.25">
      <c r="A204" t="s">
        <v>1410</v>
      </c>
      <c r="B204" t="s">
        <v>1411</v>
      </c>
      <c r="C204" t="s">
        <v>1091</v>
      </c>
      <c r="D204">
        <v>1</v>
      </c>
      <c r="E204" t="s">
        <v>1432</v>
      </c>
      <c r="F204" t="s">
        <v>1415</v>
      </c>
      <c r="G204" t="s">
        <v>1412</v>
      </c>
    </row>
    <row r="205" spans="1:7" x14ac:dyDescent="0.25">
      <c r="A205" t="s">
        <v>1417</v>
      </c>
      <c r="B205" t="s">
        <v>1418</v>
      </c>
      <c r="C205" t="s">
        <v>1091</v>
      </c>
      <c r="D205">
        <v>1</v>
      </c>
      <c r="E205" t="s">
        <v>1432</v>
      </c>
      <c r="F205" t="s">
        <v>1422</v>
      </c>
      <c r="G205" t="s">
        <v>1419</v>
      </c>
    </row>
    <row r="206" spans="1:7" x14ac:dyDescent="0.25">
      <c r="A206" t="s">
        <v>1424</v>
      </c>
      <c r="B206" t="s">
        <v>1425</v>
      </c>
      <c r="C206" t="s">
        <v>1091</v>
      </c>
      <c r="D206">
        <v>1</v>
      </c>
      <c r="E206" t="s">
        <v>1432</v>
      </c>
      <c r="F206" t="s">
        <v>1428</v>
      </c>
      <c r="G206" t="s">
        <v>1279</v>
      </c>
    </row>
    <row r="207" spans="1:7" x14ac:dyDescent="0.25">
      <c r="A207" t="s">
        <v>1430</v>
      </c>
      <c r="B207" t="s">
        <v>1431</v>
      </c>
      <c r="C207" t="s">
        <v>1091</v>
      </c>
      <c r="D207">
        <v>1</v>
      </c>
      <c r="E207" t="s">
        <v>1432</v>
      </c>
      <c r="F207" t="s">
        <v>1437</v>
      </c>
      <c r="G207" t="s">
        <v>5713</v>
      </c>
    </row>
    <row r="208" spans="1:7" x14ac:dyDescent="0.25">
      <c r="A208" t="s">
        <v>1439</v>
      </c>
      <c r="B208" t="s">
        <v>1440</v>
      </c>
      <c r="C208" t="s">
        <v>1091</v>
      </c>
      <c r="D208">
        <v>1</v>
      </c>
      <c r="E208" t="s">
        <v>1432</v>
      </c>
      <c r="F208" t="s">
        <v>1444</v>
      </c>
      <c r="G208" t="s">
        <v>1441</v>
      </c>
    </row>
    <row r="209" spans="1:7" x14ac:dyDescent="0.25">
      <c r="A209" t="s">
        <v>1446</v>
      </c>
      <c r="B209" t="s">
        <v>1447</v>
      </c>
      <c r="C209" t="s">
        <v>1448</v>
      </c>
      <c r="D209">
        <v>1</v>
      </c>
      <c r="E209" t="s">
        <v>1432</v>
      </c>
      <c r="F209" t="s">
        <v>1450</v>
      </c>
      <c r="G209" t="s">
        <v>5114</v>
      </c>
    </row>
    <row r="210" spans="1:7" x14ac:dyDescent="0.25">
      <c r="A210" t="s">
        <v>1451</v>
      </c>
      <c r="B210" t="s">
        <v>1452</v>
      </c>
      <c r="C210" t="s">
        <v>1453</v>
      </c>
      <c r="D210">
        <v>1</v>
      </c>
      <c r="E210" t="s">
        <v>1432</v>
      </c>
      <c r="F210" t="s">
        <v>1450</v>
      </c>
      <c r="G210" t="s">
        <v>5114</v>
      </c>
    </row>
    <row r="211" spans="1:7" x14ac:dyDescent="0.25">
      <c r="A211" t="s">
        <v>1454</v>
      </c>
      <c r="B211" t="s">
        <v>1455</v>
      </c>
      <c r="C211" t="s">
        <v>1456</v>
      </c>
      <c r="D211">
        <v>1</v>
      </c>
      <c r="E211" t="s">
        <v>1432</v>
      </c>
      <c r="F211" t="s">
        <v>1463</v>
      </c>
      <c r="G211" t="s">
        <v>12911</v>
      </c>
    </row>
    <row r="212" spans="1:7" x14ac:dyDescent="0.25">
      <c r="A212" t="s">
        <v>1465</v>
      </c>
      <c r="B212" t="s">
        <v>1466</v>
      </c>
      <c r="C212" t="s">
        <v>1467</v>
      </c>
      <c r="D212">
        <v>1</v>
      </c>
      <c r="E212" t="s">
        <v>1432</v>
      </c>
      <c r="F212" t="s">
        <v>1463</v>
      </c>
      <c r="G212" t="s">
        <v>12911</v>
      </c>
    </row>
    <row r="213" spans="1:7" x14ac:dyDescent="0.25">
      <c r="A213" t="s">
        <v>1469</v>
      </c>
      <c r="B213" t="s">
        <v>1470</v>
      </c>
      <c r="C213" t="s">
        <v>1471</v>
      </c>
      <c r="D213">
        <v>1</v>
      </c>
      <c r="E213" t="s">
        <v>1432</v>
      </c>
      <c r="F213" t="s">
        <v>1463</v>
      </c>
      <c r="G213" t="s">
        <v>12911</v>
      </c>
    </row>
    <row r="214" spans="1:7" x14ac:dyDescent="0.25">
      <c r="A214" t="s">
        <v>1472</v>
      </c>
      <c r="B214" t="s">
        <v>1473</v>
      </c>
      <c r="C214" t="s">
        <v>1474</v>
      </c>
      <c r="D214">
        <v>1</v>
      </c>
      <c r="E214" t="s">
        <v>1432</v>
      </c>
      <c r="F214" t="s">
        <v>1463</v>
      </c>
      <c r="G214" t="s">
        <v>12911</v>
      </c>
    </row>
    <row r="215" spans="1:7" x14ac:dyDescent="0.25">
      <c r="A215" t="s">
        <v>1475</v>
      </c>
      <c r="B215" t="s">
        <v>1476</v>
      </c>
      <c r="C215" t="s">
        <v>1477</v>
      </c>
      <c r="D215">
        <v>1</v>
      </c>
      <c r="E215" t="s">
        <v>1432</v>
      </c>
      <c r="F215" t="s">
        <v>1463</v>
      </c>
      <c r="G215" t="s">
        <v>12911</v>
      </c>
    </row>
    <row r="216" spans="1:7" x14ac:dyDescent="0.25">
      <c r="A216" t="s">
        <v>1478</v>
      </c>
      <c r="B216" t="s">
        <v>1479</v>
      </c>
      <c r="C216" t="s">
        <v>1480</v>
      </c>
      <c r="D216">
        <v>1</v>
      </c>
      <c r="E216" t="s">
        <v>1432</v>
      </c>
      <c r="F216" t="s">
        <v>1463</v>
      </c>
      <c r="G216" t="s">
        <v>12911</v>
      </c>
    </row>
    <row r="217" spans="1:7" x14ac:dyDescent="0.25">
      <c r="A217" t="s">
        <v>1481</v>
      </c>
      <c r="B217" t="s">
        <v>1482</v>
      </c>
      <c r="C217" t="s">
        <v>1483</v>
      </c>
      <c r="D217">
        <v>1</v>
      </c>
      <c r="E217" t="s">
        <v>1432</v>
      </c>
      <c r="F217" t="s">
        <v>1450</v>
      </c>
      <c r="G217" t="s">
        <v>5114</v>
      </c>
    </row>
    <row r="218" spans="1:7" x14ac:dyDescent="0.25">
      <c r="A218" t="s">
        <v>1484</v>
      </c>
      <c r="B218" t="s">
        <v>1485</v>
      </c>
      <c r="C218" t="s">
        <v>1486</v>
      </c>
      <c r="D218">
        <v>1</v>
      </c>
      <c r="E218" t="s">
        <v>1432</v>
      </c>
      <c r="F218" t="s">
        <v>1492</v>
      </c>
      <c r="G218" t="s">
        <v>12912</v>
      </c>
    </row>
    <row r="219" spans="1:7" x14ac:dyDescent="0.25">
      <c r="A219" t="s">
        <v>1495</v>
      </c>
      <c r="B219" t="s">
        <v>1496</v>
      </c>
      <c r="C219" t="s">
        <v>1497</v>
      </c>
      <c r="D219">
        <v>1</v>
      </c>
      <c r="E219" t="s">
        <v>1432</v>
      </c>
      <c r="F219" t="s">
        <v>1492</v>
      </c>
      <c r="G219" t="s">
        <v>12912</v>
      </c>
    </row>
    <row r="220" spans="1:7" x14ac:dyDescent="0.25">
      <c r="A220" t="s">
        <v>1499</v>
      </c>
      <c r="B220" t="s">
        <v>1500</v>
      </c>
      <c r="C220" t="s">
        <v>1501</v>
      </c>
      <c r="D220">
        <v>1</v>
      </c>
      <c r="E220" t="s">
        <v>1432</v>
      </c>
      <c r="F220" t="s">
        <v>1492</v>
      </c>
      <c r="G220" t="s">
        <v>12912</v>
      </c>
    </row>
    <row r="221" spans="1:7" x14ac:dyDescent="0.25">
      <c r="A221" t="s">
        <v>1503</v>
      </c>
      <c r="B221" t="s">
        <v>1504</v>
      </c>
      <c r="C221" t="s">
        <v>1505</v>
      </c>
      <c r="D221">
        <v>1</v>
      </c>
      <c r="E221" t="s">
        <v>1432</v>
      </c>
      <c r="F221" t="s">
        <v>1492</v>
      </c>
      <c r="G221" t="s">
        <v>12912</v>
      </c>
    </row>
    <row r="222" spans="1:7" x14ac:dyDescent="0.25">
      <c r="A222" t="s">
        <v>1506</v>
      </c>
      <c r="B222" t="s">
        <v>1507</v>
      </c>
      <c r="C222" t="s">
        <v>1508</v>
      </c>
      <c r="D222">
        <v>1</v>
      </c>
      <c r="E222" t="s">
        <v>1432</v>
      </c>
      <c r="F222" t="s">
        <v>1511</v>
      </c>
      <c r="G222" t="s">
        <v>1206</v>
      </c>
    </row>
    <row r="223" spans="1:7" x14ac:dyDescent="0.25">
      <c r="A223" t="s">
        <v>1513</v>
      </c>
      <c r="B223" t="s">
        <v>1514</v>
      </c>
      <c r="C223" t="s">
        <v>1515</v>
      </c>
      <c r="D223">
        <v>2</v>
      </c>
      <c r="E223" t="s">
        <v>1516</v>
      </c>
      <c r="F223" t="s">
        <v>1522</v>
      </c>
      <c r="G223" t="s">
        <v>1522</v>
      </c>
    </row>
    <row r="224" spans="1:7" x14ac:dyDescent="0.25">
      <c r="A224" t="s">
        <v>1526</v>
      </c>
      <c r="B224" t="s">
        <v>1527</v>
      </c>
      <c r="C224" t="s">
        <v>1515</v>
      </c>
      <c r="D224">
        <v>2</v>
      </c>
      <c r="E224" t="s">
        <v>1516</v>
      </c>
      <c r="F224" t="s">
        <v>1532</v>
      </c>
      <c r="G224" t="s">
        <v>1532</v>
      </c>
    </row>
    <row r="225" spans="1:7" x14ac:dyDescent="0.25">
      <c r="A225" t="s">
        <v>1535</v>
      </c>
      <c r="B225" t="s">
        <v>1536</v>
      </c>
      <c r="C225" t="s">
        <v>1515</v>
      </c>
      <c r="D225">
        <v>2</v>
      </c>
      <c r="E225" t="s">
        <v>1516</v>
      </c>
      <c r="F225" t="s">
        <v>1541</v>
      </c>
      <c r="G225" t="s">
        <v>1541</v>
      </c>
    </row>
    <row r="226" spans="1:7" x14ac:dyDescent="0.25">
      <c r="A226" t="s">
        <v>1543</v>
      </c>
      <c r="B226" t="s">
        <v>1544</v>
      </c>
      <c r="C226" t="s">
        <v>1515</v>
      </c>
      <c r="D226">
        <v>2</v>
      </c>
      <c r="E226" t="s">
        <v>1516</v>
      </c>
      <c r="F226" t="s">
        <v>1549</v>
      </c>
      <c r="G226" t="s">
        <v>1549</v>
      </c>
    </row>
    <row r="227" spans="1:7" x14ac:dyDescent="0.25">
      <c r="A227" t="s">
        <v>1551</v>
      </c>
      <c r="B227" t="s">
        <v>1552</v>
      </c>
      <c r="C227" t="s">
        <v>1515</v>
      </c>
      <c r="D227">
        <v>2</v>
      </c>
      <c r="E227" t="s">
        <v>1516</v>
      </c>
      <c r="F227" t="s">
        <v>1556</v>
      </c>
      <c r="G227" t="s">
        <v>1556</v>
      </c>
    </row>
    <row r="228" spans="1:7" x14ac:dyDescent="0.25">
      <c r="A228" t="s">
        <v>1558</v>
      </c>
      <c r="B228" t="s">
        <v>1559</v>
      </c>
      <c r="C228" t="s">
        <v>1515</v>
      </c>
      <c r="D228">
        <v>2</v>
      </c>
      <c r="E228" t="s">
        <v>1516</v>
      </c>
      <c r="F228" t="s">
        <v>1564</v>
      </c>
      <c r="G228" t="s">
        <v>1564</v>
      </c>
    </row>
    <row r="229" spans="1:7" x14ac:dyDescent="0.25">
      <c r="A229" t="s">
        <v>1566</v>
      </c>
      <c r="B229" t="s">
        <v>1567</v>
      </c>
      <c r="C229" t="s">
        <v>1515</v>
      </c>
      <c r="D229">
        <v>2</v>
      </c>
      <c r="E229" t="s">
        <v>1516</v>
      </c>
      <c r="F229" t="s">
        <v>1571</v>
      </c>
      <c r="G229" t="s">
        <v>1571</v>
      </c>
    </row>
    <row r="230" spans="1:7" x14ac:dyDescent="0.25">
      <c r="A230" t="s">
        <v>1573</v>
      </c>
      <c r="B230" t="s">
        <v>1574</v>
      </c>
      <c r="C230" t="s">
        <v>1515</v>
      </c>
      <c r="D230">
        <v>2</v>
      </c>
      <c r="E230" t="s">
        <v>1516</v>
      </c>
      <c r="F230" t="s">
        <v>1579</v>
      </c>
      <c r="G230" t="s">
        <v>1579</v>
      </c>
    </row>
    <row r="231" spans="1:7" x14ac:dyDescent="0.25">
      <c r="A231" t="s">
        <v>1581</v>
      </c>
      <c r="B231" t="s">
        <v>1582</v>
      </c>
      <c r="C231" t="s">
        <v>1515</v>
      </c>
      <c r="D231">
        <v>2</v>
      </c>
      <c r="E231" t="s">
        <v>1516</v>
      </c>
      <c r="F231" t="s">
        <v>1586</v>
      </c>
      <c r="G231" t="s">
        <v>1586</v>
      </c>
    </row>
    <row r="232" spans="1:7" x14ac:dyDescent="0.25">
      <c r="A232" t="s">
        <v>1588</v>
      </c>
      <c r="B232" t="s">
        <v>1589</v>
      </c>
      <c r="C232" t="s">
        <v>1515</v>
      </c>
      <c r="D232">
        <v>2</v>
      </c>
      <c r="E232" t="s">
        <v>1516</v>
      </c>
      <c r="F232" t="s">
        <v>1594</v>
      </c>
      <c r="G232" t="s">
        <v>1594</v>
      </c>
    </row>
    <row r="233" spans="1:7" x14ac:dyDescent="0.25">
      <c r="A233" t="s">
        <v>1596</v>
      </c>
      <c r="B233" t="s">
        <v>1597</v>
      </c>
      <c r="C233" t="s">
        <v>1515</v>
      </c>
      <c r="D233">
        <v>2</v>
      </c>
      <c r="E233" t="s">
        <v>1516</v>
      </c>
      <c r="F233" t="s">
        <v>1599</v>
      </c>
      <c r="G233" t="s">
        <v>1599</v>
      </c>
    </row>
    <row r="234" spans="1:7" x14ac:dyDescent="0.25">
      <c r="A234" t="s">
        <v>1601</v>
      </c>
      <c r="B234" t="s">
        <v>1602</v>
      </c>
      <c r="C234" t="s">
        <v>1515</v>
      </c>
      <c r="D234">
        <v>2</v>
      </c>
      <c r="E234" t="s">
        <v>1516</v>
      </c>
      <c r="F234" t="s">
        <v>1606</v>
      </c>
      <c r="G234" t="s">
        <v>1606</v>
      </c>
    </row>
    <row r="235" spans="1:7" x14ac:dyDescent="0.25">
      <c r="A235" t="s">
        <v>1608</v>
      </c>
      <c r="B235" t="s">
        <v>1609</v>
      </c>
      <c r="C235" t="s">
        <v>1515</v>
      </c>
      <c r="D235">
        <v>2</v>
      </c>
      <c r="E235" t="s">
        <v>1516</v>
      </c>
      <c r="F235" t="s">
        <v>1612</v>
      </c>
      <c r="G235" t="s">
        <v>1612</v>
      </c>
    </row>
    <row r="236" spans="1:7" x14ac:dyDescent="0.25">
      <c r="A236" t="s">
        <v>1614</v>
      </c>
      <c r="B236" t="s">
        <v>1615</v>
      </c>
      <c r="C236" t="s">
        <v>1515</v>
      </c>
      <c r="D236">
        <v>2</v>
      </c>
      <c r="E236" t="s">
        <v>1516</v>
      </c>
      <c r="F236" t="s">
        <v>1619</v>
      </c>
      <c r="G236" t="s">
        <v>1619</v>
      </c>
    </row>
    <row r="237" spans="1:7" x14ac:dyDescent="0.25">
      <c r="A237" t="s">
        <v>1621</v>
      </c>
      <c r="B237" t="s">
        <v>1622</v>
      </c>
      <c r="C237" t="s">
        <v>1515</v>
      </c>
      <c r="D237">
        <v>2</v>
      </c>
      <c r="E237" t="s">
        <v>1516</v>
      </c>
      <c r="F237" t="s">
        <v>1624</v>
      </c>
      <c r="G237" t="s">
        <v>1624</v>
      </c>
    </row>
    <row r="238" spans="1:7" x14ac:dyDescent="0.25">
      <c r="A238" t="s">
        <v>1626</v>
      </c>
      <c r="B238" t="s">
        <v>1627</v>
      </c>
      <c r="C238" t="s">
        <v>1515</v>
      </c>
      <c r="D238">
        <v>2</v>
      </c>
      <c r="E238" t="s">
        <v>1516</v>
      </c>
      <c r="F238" t="s">
        <v>1630</v>
      </c>
      <c r="G238" t="s">
        <v>1630</v>
      </c>
    </row>
    <row r="239" spans="1:7" x14ac:dyDescent="0.25">
      <c r="A239" t="s">
        <v>1632</v>
      </c>
      <c r="B239" t="s">
        <v>1633</v>
      </c>
      <c r="C239" t="s">
        <v>1515</v>
      </c>
      <c r="D239">
        <v>2</v>
      </c>
      <c r="E239" t="s">
        <v>1516</v>
      </c>
      <c r="F239" t="s">
        <v>1637</v>
      </c>
      <c r="G239" t="s">
        <v>1637</v>
      </c>
    </row>
    <row r="240" spans="1:7" x14ac:dyDescent="0.25">
      <c r="A240" t="s">
        <v>1639</v>
      </c>
      <c r="B240" t="s">
        <v>1640</v>
      </c>
      <c r="C240" t="s">
        <v>1515</v>
      </c>
      <c r="D240">
        <v>2</v>
      </c>
      <c r="E240" t="s">
        <v>1516</v>
      </c>
      <c r="F240" t="s">
        <v>1643</v>
      </c>
      <c r="G240" t="s">
        <v>1643</v>
      </c>
    </row>
    <row r="241" spans="1:7" x14ac:dyDescent="0.25">
      <c r="A241" t="s">
        <v>1645</v>
      </c>
      <c r="B241" t="s">
        <v>1646</v>
      </c>
      <c r="C241" t="s">
        <v>1515</v>
      </c>
      <c r="D241">
        <v>2</v>
      </c>
      <c r="E241" t="s">
        <v>1516</v>
      </c>
      <c r="F241" t="s">
        <v>1650</v>
      </c>
      <c r="G241" t="s">
        <v>1650</v>
      </c>
    </row>
    <row r="242" spans="1:7" x14ac:dyDescent="0.25">
      <c r="A242" t="s">
        <v>1652</v>
      </c>
      <c r="B242" t="s">
        <v>1653</v>
      </c>
      <c r="C242" t="s">
        <v>1515</v>
      </c>
      <c r="D242">
        <v>2</v>
      </c>
      <c r="E242" t="s">
        <v>1516</v>
      </c>
      <c r="F242" t="s">
        <v>1658</v>
      </c>
      <c r="G242" t="s">
        <v>1658</v>
      </c>
    </row>
    <row r="243" spans="1:7" x14ac:dyDescent="0.25">
      <c r="A243" t="s">
        <v>1660</v>
      </c>
      <c r="B243" t="s">
        <v>1661</v>
      </c>
      <c r="C243" t="s">
        <v>1515</v>
      </c>
      <c r="D243">
        <v>2</v>
      </c>
      <c r="E243" t="s">
        <v>1516</v>
      </c>
      <c r="F243" t="s">
        <v>1664</v>
      </c>
      <c r="G243" t="s">
        <v>1664</v>
      </c>
    </row>
    <row r="244" spans="1:7" x14ac:dyDescent="0.25">
      <c r="A244" t="s">
        <v>1666</v>
      </c>
      <c r="B244" t="s">
        <v>1667</v>
      </c>
      <c r="C244" t="s">
        <v>1515</v>
      </c>
      <c r="D244">
        <v>2</v>
      </c>
      <c r="E244" t="s">
        <v>1516</v>
      </c>
      <c r="F244" t="s">
        <v>1671</v>
      </c>
      <c r="G244" t="s">
        <v>1671</v>
      </c>
    </row>
    <row r="245" spans="1:7" x14ac:dyDescent="0.25">
      <c r="A245" t="s">
        <v>1673</v>
      </c>
      <c r="B245" t="s">
        <v>1674</v>
      </c>
      <c r="C245" t="s">
        <v>1675</v>
      </c>
      <c r="D245">
        <v>2</v>
      </c>
      <c r="E245" t="s">
        <v>1516</v>
      </c>
      <c r="F245" t="s">
        <v>1679</v>
      </c>
      <c r="G245" t="s">
        <v>1679</v>
      </c>
    </row>
    <row r="246" spans="1:7" x14ac:dyDescent="0.25">
      <c r="A246" t="s">
        <v>1682</v>
      </c>
      <c r="B246" t="s">
        <v>1683</v>
      </c>
      <c r="C246" t="s">
        <v>1684</v>
      </c>
      <c r="D246">
        <v>2</v>
      </c>
      <c r="E246" t="s">
        <v>1516</v>
      </c>
      <c r="F246" t="s">
        <v>1687</v>
      </c>
      <c r="G246" t="s">
        <v>1687</v>
      </c>
    </row>
    <row r="247" spans="1:7" x14ac:dyDescent="0.25">
      <c r="A247" t="s">
        <v>1689</v>
      </c>
      <c r="B247" t="s">
        <v>1690</v>
      </c>
      <c r="C247" t="s">
        <v>1684</v>
      </c>
      <c r="D247">
        <v>2</v>
      </c>
      <c r="E247" t="s">
        <v>1516</v>
      </c>
      <c r="F247" t="s">
        <v>1694</v>
      </c>
      <c r="G247" t="s">
        <v>1694</v>
      </c>
    </row>
    <row r="248" spans="1:7" x14ac:dyDescent="0.25">
      <c r="A248" t="s">
        <v>1696</v>
      </c>
      <c r="B248" t="s">
        <v>1697</v>
      </c>
      <c r="C248" t="s">
        <v>1698</v>
      </c>
      <c r="D248">
        <v>2</v>
      </c>
      <c r="E248" t="s">
        <v>1516</v>
      </c>
      <c r="F248" t="s">
        <v>1571</v>
      </c>
      <c r="G248" t="s">
        <v>1571</v>
      </c>
    </row>
    <row r="249" spans="1:7" x14ac:dyDescent="0.25">
      <c r="A249" t="s">
        <v>1701</v>
      </c>
      <c r="B249" t="s">
        <v>1702</v>
      </c>
      <c r="C249" t="s">
        <v>1703</v>
      </c>
      <c r="D249">
        <v>2</v>
      </c>
      <c r="E249" t="s">
        <v>1516</v>
      </c>
      <c r="F249" t="s">
        <v>1624</v>
      </c>
      <c r="G249" t="s">
        <v>1624</v>
      </c>
    </row>
    <row r="250" spans="1:7" x14ac:dyDescent="0.25">
      <c r="A250" t="s">
        <v>1705</v>
      </c>
      <c r="B250" t="s">
        <v>1706</v>
      </c>
      <c r="C250" t="s">
        <v>1707</v>
      </c>
      <c r="D250">
        <v>2</v>
      </c>
      <c r="E250" t="s">
        <v>1516</v>
      </c>
      <c r="F250" t="s">
        <v>1711</v>
      </c>
      <c r="G250" t="s">
        <v>1711</v>
      </c>
    </row>
    <row r="251" spans="1:7" x14ac:dyDescent="0.25">
      <c r="A251" t="s">
        <v>1713</v>
      </c>
      <c r="B251" t="s">
        <v>1714</v>
      </c>
      <c r="C251" t="s">
        <v>1715</v>
      </c>
      <c r="D251">
        <v>2</v>
      </c>
      <c r="E251" t="s">
        <v>1516</v>
      </c>
      <c r="F251" t="s">
        <v>1612</v>
      </c>
      <c r="G251" t="s">
        <v>1612</v>
      </c>
    </row>
    <row r="252" spans="1:7" x14ac:dyDescent="0.25">
      <c r="A252" t="s">
        <v>1716</v>
      </c>
      <c r="B252" t="s">
        <v>1717</v>
      </c>
      <c r="C252" t="s">
        <v>1718</v>
      </c>
      <c r="D252">
        <v>2</v>
      </c>
      <c r="E252" t="s">
        <v>1516</v>
      </c>
      <c r="F252" t="s">
        <v>1724</v>
      </c>
      <c r="G252" t="s">
        <v>1724</v>
      </c>
    </row>
    <row r="253" spans="1:7" x14ac:dyDescent="0.25">
      <c r="A253" t="s">
        <v>1726</v>
      </c>
      <c r="B253" t="s">
        <v>1727</v>
      </c>
      <c r="C253" t="s">
        <v>1728</v>
      </c>
      <c r="D253">
        <v>2</v>
      </c>
      <c r="E253" t="s">
        <v>1516</v>
      </c>
      <c r="F253" t="s">
        <v>1671</v>
      </c>
      <c r="G253" t="s">
        <v>1671</v>
      </c>
    </row>
    <row r="254" spans="1:7" x14ac:dyDescent="0.25">
      <c r="A254" t="s">
        <v>1733</v>
      </c>
      <c r="B254" t="s">
        <v>1734</v>
      </c>
      <c r="C254" t="s">
        <v>1515</v>
      </c>
      <c r="D254">
        <v>2</v>
      </c>
      <c r="E254" t="s">
        <v>1516</v>
      </c>
      <c r="F254" t="s">
        <v>1679</v>
      </c>
      <c r="G254" t="s">
        <v>1679</v>
      </c>
    </row>
    <row r="255" spans="1:7" x14ac:dyDescent="0.25">
      <c r="A255" t="s">
        <v>1735</v>
      </c>
      <c r="B255" t="s">
        <v>1736</v>
      </c>
      <c r="C255" t="s">
        <v>1515</v>
      </c>
      <c r="D255">
        <v>2</v>
      </c>
      <c r="E255" t="s">
        <v>1516</v>
      </c>
      <c r="F255" t="s">
        <v>1739</v>
      </c>
      <c r="G255" t="s">
        <v>1739</v>
      </c>
    </row>
    <row r="256" spans="1:7" x14ac:dyDescent="0.25">
      <c r="A256" t="s">
        <v>1741</v>
      </c>
      <c r="B256" t="s">
        <v>1742</v>
      </c>
      <c r="C256" t="s">
        <v>1743</v>
      </c>
      <c r="D256">
        <v>2</v>
      </c>
      <c r="E256" t="s">
        <v>1744</v>
      </c>
      <c r="F256" t="s">
        <v>1748</v>
      </c>
      <c r="G256" t="s">
        <v>1748</v>
      </c>
    </row>
    <row r="257" spans="1:7" x14ac:dyDescent="0.25">
      <c r="A257" t="s">
        <v>1750</v>
      </c>
      <c r="B257" t="s">
        <v>1751</v>
      </c>
      <c r="C257" t="s">
        <v>1752</v>
      </c>
      <c r="D257">
        <v>2</v>
      </c>
      <c r="E257" t="s">
        <v>1516</v>
      </c>
      <c r="F257" t="s">
        <v>1748</v>
      </c>
      <c r="G257" t="s">
        <v>1748</v>
      </c>
    </row>
    <row r="258" spans="1:7" x14ac:dyDescent="0.25">
      <c r="A258" t="s">
        <v>1754</v>
      </c>
      <c r="B258" t="s">
        <v>1755</v>
      </c>
      <c r="C258" t="s">
        <v>1756</v>
      </c>
      <c r="D258">
        <v>2</v>
      </c>
      <c r="E258" t="s">
        <v>1516</v>
      </c>
      <c r="F258" t="s">
        <v>1748</v>
      </c>
      <c r="G258" t="s">
        <v>1748</v>
      </c>
    </row>
    <row r="259" spans="1:7" x14ac:dyDescent="0.25">
      <c r="A259" t="s">
        <v>1757</v>
      </c>
      <c r="B259" t="s">
        <v>1758</v>
      </c>
      <c r="C259" t="s">
        <v>1759</v>
      </c>
      <c r="D259">
        <v>2</v>
      </c>
      <c r="E259" t="s">
        <v>1516</v>
      </c>
      <c r="F259" t="s">
        <v>1748</v>
      </c>
      <c r="G259" t="s">
        <v>1748</v>
      </c>
    </row>
    <row r="260" spans="1:7" x14ac:dyDescent="0.25">
      <c r="A260" t="s">
        <v>1760</v>
      </c>
      <c r="B260" t="s">
        <v>1761</v>
      </c>
      <c r="C260" t="s">
        <v>1762</v>
      </c>
      <c r="D260">
        <v>2</v>
      </c>
      <c r="E260" t="s">
        <v>1516</v>
      </c>
      <c r="F260" t="s">
        <v>1766</v>
      </c>
      <c r="G260" t="s">
        <v>1766</v>
      </c>
    </row>
    <row r="261" spans="1:7" x14ac:dyDescent="0.25">
      <c r="A261" t="s">
        <v>12046</v>
      </c>
      <c r="B261" t="s">
        <v>12047</v>
      </c>
      <c r="C261" t="s">
        <v>12048</v>
      </c>
      <c r="D261">
        <v>4</v>
      </c>
      <c r="E261" t="s">
        <v>2512</v>
      </c>
      <c r="F261" t="s">
        <v>6962</v>
      </c>
      <c r="G261" t="s">
        <v>6963</v>
      </c>
    </row>
    <row r="262" spans="1:7" x14ac:dyDescent="0.25">
      <c r="A262" t="s">
        <v>12052</v>
      </c>
      <c r="B262" t="s">
        <v>12053</v>
      </c>
      <c r="C262" t="s">
        <v>12054</v>
      </c>
      <c r="D262">
        <v>4</v>
      </c>
      <c r="E262" t="s">
        <v>2512</v>
      </c>
      <c r="F262" t="s">
        <v>6962</v>
      </c>
      <c r="G262" t="s">
        <v>6963</v>
      </c>
    </row>
    <row r="263" spans="1:7" x14ac:dyDescent="0.25">
      <c r="A263" t="s">
        <v>12055</v>
      </c>
      <c r="B263" t="s">
        <v>12056</v>
      </c>
      <c r="C263" t="s">
        <v>12057</v>
      </c>
      <c r="D263">
        <v>4</v>
      </c>
      <c r="E263" t="s">
        <v>2512</v>
      </c>
      <c r="F263" t="s">
        <v>6962</v>
      </c>
      <c r="G263" t="s">
        <v>6963</v>
      </c>
    </row>
    <row r="264" spans="1:7" x14ac:dyDescent="0.25">
      <c r="A264" t="s">
        <v>12058</v>
      </c>
      <c r="B264" t="s">
        <v>12059</v>
      </c>
      <c r="C264" t="s">
        <v>4747</v>
      </c>
      <c r="D264">
        <v>4</v>
      </c>
      <c r="E264" t="s">
        <v>2512</v>
      </c>
      <c r="F264" t="s">
        <v>5483</v>
      </c>
      <c r="G264" t="s">
        <v>2559</v>
      </c>
    </row>
    <row r="265" spans="1:7" x14ac:dyDescent="0.25">
      <c r="A265" t="s">
        <v>12062</v>
      </c>
      <c r="B265" t="s">
        <v>12063</v>
      </c>
      <c r="C265" t="s">
        <v>12064</v>
      </c>
      <c r="D265">
        <v>4</v>
      </c>
      <c r="E265" t="s">
        <v>2512</v>
      </c>
      <c r="F265" t="s">
        <v>5532</v>
      </c>
      <c r="G265" t="s">
        <v>5533</v>
      </c>
    </row>
    <row r="266" spans="1:7" x14ac:dyDescent="0.25">
      <c r="A266" t="s">
        <v>12065</v>
      </c>
      <c r="B266" t="s">
        <v>12066</v>
      </c>
      <c r="C266" t="s">
        <v>12067</v>
      </c>
      <c r="D266">
        <v>4</v>
      </c>
      <c r="E266" t="s">
        <v>2512</v>
      </c>
      <c r="F266" t="s">
        <v>5483</v>
      </c>
      <c r="G266" t="s">
        <v>2559</v>
      </c>
    </row>
    <row r="267" spans="1:7" x14ac:dyDescent="0.25">
      <c r="A267" t="s">
        <v>4757</v>
      </c>
      <c r="B267" t="s">
        <v>4758</v>
      </c>
      <c r="C267" t="s">
        <v>4759</v>
      </c>
      <c r="D267">
        <v>4</v>
      </c>
      <c r="E267" t="s">
        <v>2512</v>
      </c>
      <c r="F267" t="s">
        <v>2494</v>
      </c>
      <c r="G267" t="s">
        <v>2138</v>
      </c>
    </row>
    <row r="268" spans="1:7" x14ac:dyDescent="0.25">
      <c r="A268" t="s">
        <v>4762</v>
      </c>
      <c r="B268" t="s">
        <v>4763</v>
      </c>
      <c r="C268" t="s">
        <v>4764</v>
      </c>
      <c r="D268">
        <v>4</v>
      </c>
      <c r="E268" t="s">
        <v>2512</v>
      </c>
      <c r="F268" t="s">
        <v>1902</v>
      </c>
      <c r="G268" t="s">
        <v>2403</v>
      </c>
    </row>
    <row r="269" spans="1:7" x14ac:dyDescent="0.25">
      <c r="A269" t="s">
        <v>12068</v>
      </c>
      <c r="B269" t="s">
        <v>12069</v>
      </c>
      <c r="C269" t="s">
        <v>12070</v>
      </c>
      <c r="D269">
        <v>4</v>
      </c>
      <c r="E269" t="s">
        <v>2512</v>
      </c>
      <c r="F269" t="s">
        <v>2522</v>
      </c>
      <c r="G269" t="s">
        <v>6941</v>
      </c>
    </row>
    <row r="270" spans="1:7" x14ac:dyDescent="0.25">
      <c r="A270" t="s">
        <v>4775</v>
      </c>
      <c r="B270" t="s">
        <v>4776</v>
      </c>
      <c r="C270" t="s">
        <v>4777</v>
      </c>
      <c r="D270">
        <v>4</v>
      </c>
      <c r="E270" t="s">
        <v>2512</v>
      </c>
      <c r="F270" t="s">
        <v>4781</v>
      </c>
      <c r="G270" t="s">
        <v>6942</v>
      </c>
    </row>
    <row r="271" spans="1:7" x14ac:dyDescent="0.25">
      <c r="A271" t="s">
        <v>4782</v>
      </c>
      <c r="B271" t="s">
        <v>4783</v>
      </c>
      <c r="C271" t="s">
        <v>4784</v>
      </c>
      <c r="D271">
        <v>4</v>
      </c>
      <c r="E271" t="s">
        <v>2512</v>
      </c>
      <c r="F271" t="s">
        <v>4788</v>
      </c>
      <c r="G271" t="s">
        <v>6943</v>
      </c>
    </row>
    <row r="272" spans="1:7" x14ac:dyDescent="0.25">
      <c r="A272" t="s">
        <v>4789</v>
      </c>
      <c r="B272" t="s">
        <v>4790</v>
      </c>
      <c r="C272" t="s">
        <v>4791</v>
      </c>
      <c r="D272">
        <v>4</v>
      </c>
      <c r="E272" t="s">
        <v>2512</v>
      </c>
      <c r="F272" t="s">
        <v>4788</v>
      </c>
      <c r="G272" t="s">
        <v>6943</v>
      </c>
    </row>
    <row r="273" spans="1:7" x14ac:dyDescent="0.25">
      <c r="A273" t="s">
        <v>4793</v>
      </c>
      <c r="B273" t="s">
        <v>4794</v>
      </c>
      <c r="C273" t="s">
        <v>4784</v>
      </c>
      <c r="D273">
        <v>4</v>
      </c>
      <c r="E273" t="s">
        <v>2512</v>
      </c>
      <c r="F273" t="s">
        <v>2526</v>
      </c>
      <c r="G273" t="s">
        <v>5482</v>
      </c>
    </row>
    <row r="274" spans="1:7" x14ac:dyDescent="0.25">
      <c r="A274" t="s">
        <v>2527</v>
      </c>
      <c r="B274" t="s">
        <v>2528</v>
      </c>
      <c r="C274" t="s">
        <v>2529</v>
      </c>
      <c r="D274">
        <v>4</v>
      </c>
      <c r="E274" t="s">
        <v>2512</v>
      </c>
      <c r="F274" t="s">
        <v>2526</v>
      </c>
      <c r="G274" t="s">
        <v>5482</v>
      </c>
    </row>
    <row r="275" spans="1:7" x14ac:dyDescent="0.25">
      <c r="A275" t="s">
        <v>4795</v>
      </c>
      <c r="B275" t="s">
        <v>4796</v>
      </c>
      <c r="C275" t="s">
        <v>4784</v>
      </c>
      <c r="D275">
        <v>4</v>
      </c>
      <c r="E275" t="s">
        <v>2512</v>
      </c>
      <c r="F275" t="s">
        <v>2531</v>
      </c>
      <c r="G275" t="s">
        <v>6948</v>
      </c>
    </row>
    <row r="276" spans="1:7" x14ac:dyDescent="0.25">
      <c r="A276" t="s">
        <v>4799</v>
      </c>
      <c r="B276" t="s">
        <v>4800</v>
      </c>
      <c r="C276" t="s">
        <v>4784</v>
      </c>
      <c r="D276">
        <v>4</v>
      </c>
      <c r="E276" t="s">
        <v>2512</v>
      </c>
      <c r="F276" t="s">
        <v>2141</v>
      </c>
      <c r="G276" t="s">
        <v>4452</v>
      </c>
    </row>
    <row r="277" spans="1:7" x14ac:dyDescent="0.25">
      <c r="A277" t="s">
        <v>4801</v>
      </c>
      <c r="B277" t="s">
        <v>4802</v>
      </c>
      <c r="C277" t="s">
        <v>4791</v>
      </c>
      <c r="D277">
        <v>4</v>
      </c>
      <c r="E277" t="s">
        <v>2512</v>
      </c>
      <c r="F277" t="s">
        <v>2141</v>
      </c>
      <c r="G277" t="s">
        <v>4452</v>
      </c>
    </row>
    <row r="278" spans="1:7" x14ac:dyDescent="0.25">
      <c r="A278" t="s">
        <v>2534</v>
      </c>
      <c r="B278" t="s">
        <v>2535</v>
      </c>
      <c r="C278" t="s">
        <v>2529</v>
      </c>
      <c r="D278">
        <v>4</v>
      </c>
      <c r="E278" t="s">
        <v>2512</v>
      </c>
      <c r="F278" t="s">
        <v>2141</v>
      </c>
      <c r="G278" t="s">
        <v>4452</v>
      </c>
    </row>
    <row r="279" spans="1:7" x14ac:dyDescent="0.25">
      <c r="A279" t="s">
        <v>4803</v>
      </c>
      <c r="B279" t="s">
        <v>4804</v>
      </c>
      <c r="C279" t="s">
        <v>4805</v>
      </c>
      <c r="D279">
        <v>4</v>
      </c>
      <c r="E279" t="s">
        <v>2512</v>
      </c>
      <c r="F279" t="s">
        <v>2141</v>
      </c>
      <c r="G279" t="s">
        <v>4452</v>
      </c>
    </row>
    <row r="280" spans="1:7" x14ac:dyDescent="0.25">
      <c r="A280" t="s">
        <v>4807</v>
      </c>
      <c r="B280" t="s">
        <v>4808</v>
      </c>
      <c r="C280" t="s">
        <v>4809</v>
      </c>
      <c r="D280">
        <v>4</v>
      </c>
      <c r="E280" t="s">
        <v>2512</v>
      </c>
      <c r="F280" t="s">
        <v>2541</v>
      </c>
      <c r="G280" t="s">
        <v>6952</v>
      </c>
    </row>
    <row r="281" spans="1:7" x14ac:dyDescent="0.25">
      <c r="A281" t="s">
        <v>4810</v>
      </c>
      <c r="B281" t="s">
        <v>4808</v>
      </c>
      <c r="C281" t="s">
        <v>4811</v>
      </c>
      <c r="D281">
        <v>4</v>
      </c>
      <c r="E281" t="s">
        <v>2512</v>
      </c>
      <c r="F281" t="s">
        <v>2541</v>
      </c>
      <c r="G281" t="s">
        <v>6952</v>
      </c>
    </row>
    <row r="282" spans="1:7" x14ac:dyDescent="0.25">
      <c r="A282" t="s">
        <v>2542</v>
      </c>
      <c r="B282" t="s">
        <v>2543</v>
      </c>
      <c r="C282" t="s">
        <v>2544</v>
      </c>
      <c r="D282">
        <v>4</v>
      </c>
      <c r="E282" t="s">
        <v>2512</v>
      </c>
      <c r="F282" t="s">
        <v>2541</v>
      </c>
      <c r="G282" t="s">
        <v>6952</v>
      </c>
    </row>
    <row r="283" spans="1:7" x14ac:dyDescent="0.25">
      <c r="A283" t="s">
        <v>4814</v>
      </c>
      <c r="B283" t="s">
        <v>4815</v>
      </c>
      <c r="C283" t="s">
        <v>4816</v>
      </c>
      <c r="D283">
        <v>4</v>
      </c>
      <c r="E283" t="s">
        <v>2512</v>
      </c>
      <c r="F283" t="s">
        <v>2545</v>
      </c>
      <c r="G283" t="s">
        <v>6955</v>
      </c>
    </row>
    <row r="284" spans="1:7" x14ac:dyDescent="0.25">
      <c r="A284" t="s">
        <v>2546</v>
      </c>
      <c r="B284" t="s">
        <v>2547</v>
      </c>
      <c r="C284" t="s">
        <v>2548</v>
      </c>
      <c r="D284">
        <v>4</v>
      </c>
      <c r="E284" t="s">
        <v>2512</v>
      </c>
      <c r="F284" t="s">
        <v>2552</v>
      </c>
      <c r="G284" t="s">
        <v>6974</v>
      </c>
    </row>
    <row r="285" spans="1:7" x14ac:dyDescent="0.25">
      <c r="A285" t="s">
        <v>4812</v>
      </c>
      <c r="B285" t="s">
        <v>4808</v>
      </c>
      <c r="C285" t="s">
        <v>4813</v>
      </c>
      <c r="D285">
        <v>4</v>
      </c>
      <c r="E285" t="s">
        <v>2512</v>
      </c>
      <c r="F285" t="s">
        <v>2541</v>
      </c>
      <c r="G285" t="s">
        <v>6952</v>
      </c>
    </row>
    <row r="286" spans="1:7" x14ac:dyDescent="0.25">
      <c r="A286" t="s">
        <v>4821</v>
      </c>
      <c r="B286" t="s">
        <v>4822</v>
      </c>
      <c r="C286" t="s">
        <v>4823</v>
      </c>
      <c r="D286">
        <v>4</v>
      </c>
      <c r="E286" t="s">
        <v>2512</v>
      </c>
      <c r="F286" t="s">
        <v>4737</v>
      </c>
      <c r="G286" t="s">
        <v>5560</v>
      </c>
    </row>
    <row r="287" spans="1:7" x14ac:dyDescent="0.25">
      <c r="A287" t="s">
        <v>4827</v>
      </c>
      <c r="B287" t="s">
        <v>4828</v>
      </c>
      <c r="C287" t="s">
        <v>4829</v>
      </c>
      <c r="D287">
        <v>4</v>
      </c>
      <c r="E287" t="s">
        <v>2512</v>
      </c>
      <c r="F287" t="s">
        <v>4737</v>
      </c>
      <c r="G287" t="s">
        <v>5560</v>
      </c>
    </row>
    <row r="288" spans="1:7" x14ac:dyDescent="0.25">
      <c r="A288" t="s">
        <v>12073</v>
      </c>
      <c r="B288" t="s">
        <v>12074</v>
      </c>
      <c r="C288" t="s">
        <v>12075</v>
      </c>
      <c r="D288">
        <v>4</v>
      </c>
      <c r="E288" t="s">
        <v>2512</v>
      </c>
      <c r="F288" t="s">
        <v>4737</v>
      </c>
      <c r="G288" t="s">
        <v>5560</v>
      </c>
    </row>
    <row r="289" spans="1:7" x14ac:dyDescent="0.25">
      <c r="A289" t="s">
        <v>12076</v>
      </c>
      <c r="B289" t="s">
        <v>12077</v>
      </c>
      <c r="C289" t="s">
        <v>12078</v>
      </c>
      <c r="D289">
        <v>4</v>
      </c>
      <c r="E289" t="s">
        <v>2512</v>
      </c>
      <c r="F289" t="s">
        <v>4737</v>
      </c>
      <c r="G289" t="s">
        <v>5560</v>
      </c>
    </row>
    <row r="290" spans="1:7" x14ac:dyDescent="0.25">
      <c r="A290" t="s">
        <v>12079</v>
      </c>
      <c r="B290" t="s">
        <v>12080</v>
      </c>
      <c r="C290" t="s">
        <v>12081</v>
      </c>
      <c r="D290">
        <v>4</v>
      </c>
      <c r="E290" t="s">
        <v>2512</v>
      </c>
      <c r="F290" t="s">
        <v>4737</v>
      </c>
      <c r="G290" t="s">
        <v>5560</v>
      </c>
    </row>
    <row r="291" spans="1:7" x14ac:dyDescent="0.25">
      <c r="A291" t="s">
        <v>4830</v>
      </c>
      <c r="B291" t="s">
        <v>4831</v>
      </c>
      <c r="C291" t="s">
        <v>4832</v>
      </c>
      <c r="D291">
        <v>4</v>
      </c>
      <c r="E291" t="s">
        <v>2512</v>
      </c>
      <c r="F291" t="s">
        <v>4737</v>
      </c>
      <c r="G291" t="s">
        <v>5560</v>
      </c>
    </row>
    <row r="292" spans="1:7" x14ac:dyDescent="0.25">
      <c r="A292" t="s">
        <v>4836</v>
      </c>
      <c r="B292" t="s">
        <v>4837</v>
      </c>
      <c r="C292" t="s">
        <v>4838</v>
      </c>
      <c r="D292">
        <v>4</v>
      </c>
      <c r="E292" t="s">
        <v>2512</v>
      </c>
      <c r="F292" t="s">
        <v>2557</v>
      </c>
      <c r="G292" t="s">
        <v>5578</v>
      </c>
    </row>
    <row r="293" spans="1:7" x14ac:dyDescent="0.25">
      <c r="A293" t="s">
        <v>4839</v>
      </c>
      <c r="B293" t="s">
        <v>4840</v>
      </c>
      <c r="C293" t="s">
        <v>4841</v>
      </c>
      <c r="D293">
        <v>4</v>
      </c>
      <c r="E293" t="s">
        <v>2512</v>
      </c>
      <c r="F293" t="s">
        <v>2557</v>
      </c>
      <c r="G293" t="s">
        <v>5578</v>
      </c>
    </row>
    <row r="294" spans="1:7" x14ac:dyDescent="0.25">
      <c r="A294" t="s">
        <v>4842</v>
      </c>
      <c r="B294" t="s">
        <v>4837</v>
      </c>
      <c r="C294" t="s">
        <v>4843</v>
      </c>
      <c r="D294">
        <v>4</v>
      </c>
      <c r="E294" t="s">
        <v>2512</v>
      </c>
      <c r="F294" t="s">
        <v>2557</v>
      </c>
      <c r="G294" t="s">
        <v>5578</v>
      </c>
    </row>
    <row r="295" spans="1:7" x14ac:dyDescent="0.25">
      <c r="A295" t="s">
        <v>4844</v>
      </c>
      <c r="B295" t="s">
        <v>4845</v>
      </c>
      <c r="C295" t="s">
        <v>4846</v>
      </c>
      <c r="D295">
        <v>4</v>
      </c>
      <c r="E295" t="s">
        <v>2512</v>
      </c>
      <c r="F295" t="s">
        <v>4850</v>
      </c>
      <c r="G295" t="s">
        <v>6991</v>
      </c>
    </row>
    <row r="296" spans="1:7" x14ac:dyDescent="0.25">
      <c r="A296" t="s">
        <v>4851</v>
      </c>
      <c r="B296" t="s">
        <v>4852</v>
      </c>
      <c r="C296" t="s">
        <v>4853</v>
      </c>
      <c r="D296">
        <v>4</v>
      </c>
      <c r="E296" t="s">
        <v>2512</v>
      </c>
      <c r="F296" t="s">
        <v>4858</v>
      </c>
      <c r="G296" t="s">
        <v>6996</v>
      </c>
    </row>
    <row r="297" spans="1:7" x14ac:dyDescent="0.25">
      <c r="A297" t="s">
        <v>4859</v>
      </c>
      <c r="B297" t="s">
        <v>4860</v>
      </c>
      <c r="C297" t="s">
        <v>4861</v>
      </c>
      <c r="D297">
        <v>4</v>
      </c>
      <c r="E297" t="s">
        <v>2512</v>
      </c>
      <c r="F297" t="s">
        <v>4858</v>
      </c>
      <c r="G297" t="s">
        <v>6996</v>
      </c>
    </row>
    <row r="298" spans="1:7" x14ac:dyDescent="0.25">
      <c r="A298" t="s">
        <v>4862</v>
      </c>
      <c r="B298" t="s">
        <v>4863</v>
      </c>
      <c r="C298" t="s">
        <v>4864</v>
      </c>
      <c r="D298">
        <v>4</v>
      </c>
      <c r="E298" t="s">
        <v>2512</v>
      </c>
      <c r="F298" t="s">
        <v>4869</v>
      </c>
      <c r="G298" t="s">
        <v>5620</v>
      </c>
    </row>
    <row r="299" spans="1:7" x14ac:dyDescent="0.25">
      <c r="A299" t="s">
        <v>12082</v>
      </c>
      <c r="B299" t="s">
        <v>4870</v>
      </c>
      <c r="C299" t="s">
        <v>4811</v>
      </c>
      <c r="D299">
        <v>4</v>
      </c>
      <c r="E299" t="s">
        <v>2512</v>
      </c>
      <c r="F299" t="s">
        <v>4874</v>
      </c>
      <c r="G299" t="s">
        <v>5621</v>
      </c>
    </row>
    <row r="300" spans="1:7" x14ac:dyDescent="0.25">
      <c r="A300" t="s">
        <v>4875</v>
      </c>
      <c r="B300" t="s">
        <v>4870</v>
      </c>
      <c r="C300" t="s">
        <v>4876</v>
      </c>
      <c r="D300">
        <v>4</v>
      </c>
      <c r="E300" t="s">
        <v>2512</v>
      </c>
      <c r="F300" t="s">
        <v>4874</v>
      </c>
      <c r="G300" t="s">
        <v>5621</v>
      </c>
    </row>
    <row r="301" spans="1:7" x14ac:dyDescent="0.25">
      <c r="A301" t="s">
        <v>4738</v>
      </c>
      <c r="B301" t="s">
        <v>4739</v>
      </c>
      <c r="C301" t="s">
        <v>4740</v>
      </c>
      <c r="D301">
        <v>4</v>
      </c>
      <c r="E301" t="s">
        <v>2512</v>
      </c>
      <c r="F301" t="s">
        <v>4745</v>
      </c>
      <c r="G301" t="s">
        <v>2559</v>
      </c>
    </row>
    <row r="302" spans="1:7" x14ac:dyDescent="0.25">
      <c r="A302" t="s">
        <v>4833</v>
      </c>
      <c r="B302" t="s">
        <v>4834</v>
      </c>
      <c r="C302" t="s">
        <v>4835</v>
      </c>
      <c r="D302">
        <v>4</v>
      </c>
      <c r="E302" t="s">
        <v>2512</v>
      </c>
      <c r="F302" t="s">
        <v>4737</v>
      </c>
      <c r="G302" t="s">
        <v>5560</v>
      </c>
    </row>
    <row r="303" spans="1:7" x14ac:dyDescent="0.25">
      <c r="A303" t="s">
        <v>4746</v>
      </c>
      <c r="B303" t="s">
        <v>12083</v>
      </c>
      <c r="C303" t="s">
        <v>4747</v>
      </c>
      <c r="D303">
        <v>4</v>
      </c>
      <c r="E303" t="s">
        <v>2512</v>
      </c>
      <c r="F303" t="s">
        <v>4745</v>
      </c>
      <c r="G303" t="s">
        <v>2559</v>
      </c>
    </row>
    <row r="304" spans="1:7" x14ac:dyDescent="0.25">
      <c r="A304" t="s">
        <v>4749</v>
      </c>
      <c r="B304" t="s">
        <v>4750</v>
      </c>
      <c r="C304" t="s">
        <v>4751</v>
      </c>
      <c r="D304">
        <v>4</v>
      </c>
      <c r="E304" t="s">
        <v>2512</v>
      </c>
      <c r="F304" t="s">
        <v>4745</v>
      </c>
      <c r="G304" t="s">
        <v>2559</v>
      </c>
    </row>
    <row r="305" spans="1:7" x14ac:dyDescent="0.25">
      <c r="A305" t="s">
        <v>4753</v>
      </c>
      <c r="B305" t="s">
        <v>4754</v>
      </c>
      <c r="C305" t="s">
        <v>4755</v>
      </c>
      <c r="D305">
        <v>4</v>
      </c>
      <c r="E305" t="s">
        <v>2512</v>
      </c>
      <c r="F305" t="s">
        <v>4745</v>
      </c>
      <c r="G305" t="s">
        <v>2559</v>
      </c>
    </row>
    <row r="306" spans="1:7" x14ac:dyDescent="0.25">
      <c r="A306" t="s">
        <v>2564</v>
      </c>
      <c r="B306" t="s">
        <v>2565</v>
      </c>
      <c r="C306" t="s">
        <v>2566</v>
      </c>
      <c r="D306">
        <v>4</v>
      </c>
      <c r="E306" t="s">
        <v>2512</v>
      </c>
      <c r="F306" t="s">
        <v>2567</v>
      </c>
      <c r="G306" t="s">
        <v>5206</v>
      </c>
    </row>
    <row r="307" spans="1:7" x14ac:dyDescent="0.25">
      <c r="A307" t="s">
        <v>4768</v>
      </c>
      <c r="B307" t="s">
        <v>4769</v>
      </c>
      <c r="C307" t="s">
        <v>12084</v>
      </c>
      <c r="D307">
        <v>4</v>
      </c>
      <c r="E307" t="s">
        <v>2512</v>
      </c>
      <c r="F307" t="s">
        <v>2567</v>
      </c>
      <c r="G307" t="s">
        <v>5206</v>
      </c>
    </row>
    <row r="308" spans="1:7" x14ac:dyDescent="0.25">
      <c r="A308" t="s">
        <v>2568</v>
      </c>
      <c r="B308" t="s">
        <v>2569</v>
      </c>
      <c r="C308" t="s">
        <v>2570</v>
      </c>
      <c r="D308">
        <v>4</v>
      </c>
      <c r="E308" t="s">
        <v>2512</v>
      </c>
      <c r="F308" t="s">
        <v>2522</v>
      </c>
      <c r="G308" t="s">
        <v>6941</v>
      </c>
    </row>
    <row r="309" spans="1:7" x14ac:dyDescent="0.25">
      <c r="A309" t="s">
        <v>2574</v>
      </c>
      <c r="B309" t="s">
        <v>12085</v>
      </c>
      <c r="C309" t="s">
        <v>2575</v>
      </c>
      <c r="D309">
        <v>4</v>
      </c>
      <c r="E309" t="s">
        <v>2512</v>
      </c>
      <c r="F309" t="s">
        <v>2531</v>
      </c>
      <c r="G309" t="s">
        <v>6948</v>
      </c>
    </row>
    <row r="310" spans="1:7" x14ac:dyDescent="0.25">
      <c r="A310" t="s">
        <v>12086</v>
      </c>
      <c r="B310" t="s">
        <v>12087</v>
      </c>
      <c r="C310" t="s">
        <v>12088</v>
      </c>
      <c r="D310">
        <v>4</v>
      </c>
      <c r="E310" t="s">
        <v>2512</v>
      </c>
      <c r="F310" t="s">
        <v>2581</v>
      </c>
      <c r="G310" t="s">
        <v>4560</v>
      </c>
    </row>
    <row r="311" spans="1:7" x14ac:dyDescent="0.25">
      <c r="A311" t="s">
        <v>2582</v>
      </c>
      <c r="B311" t="s">
        <v>2583</v>
      </c>
      <c r="C311" t="s">
        <v>2584</v>
      </c>
      <c r="D311">
        <v>4</v>
      </c>
      <c r="E311" t="s">
        <v>2512</v>
      </c>
      <c r="F311" t="s">
        <v>2557</v>
      </c>
      <c r="G311" t="s">
        <v>5578</v>
      </c>
    </row>
    <row r="312" spans="1:7" x14ac:dyDescent="0.25">
      <c r="A312" t="s">
        <v>2585</v>
      </c>
      <c r="B312" t="s">
        <v>12090</v>
      </c>
      <c r="C312" t="s">
        <v>2586</v>
      </c>
      <c r="D312">
        <v>4</v>
      </c>
      <c r="E312" t="s">
        <v>2512</v>
      </c>
      <c r="F312" t="s">
        <v>2581</v>
      </c>
      <c r="G312" t="s">
        <v>4560</v>
      </c>
    </row>
    <row r="313" spans="1:7" x14ac:dyDescent="0.25">
      <c r="A313" t="s">
        <v>2588</v>
      </c>
      <c r="B313" t="s">
        <v>2589</v>
      </c>
      <c r="C313" t="s">
        <v>2590</v>
      </c>
      <c r="D313">
        <v>4</v>
      </c>
      <c r="E313" t="s">
        <v>2512</v>
      </c>
      <c r="F313" t="s">
        <v>2545</v>
      </c>
      <c r="G313" t="s">
        <v>6955</v>
      </c>
    </row>
    <row r="314" spans="1:7" x14ac:dyDescent="0.25">
      <c r="A314" t="s">
        <v>4770</v>
      </c>
      <c r="B314" t="s">
        <v>4771</v>
      </c>
      <c r="C314" t="s">
        <v>4772</v>
      </c>
      <c r="D314">
        <v>4</v>
      </c>
      <c r="E314" t="s">
        <v>2512</v>
      </c>
      <c r="F314" t="s">
        <v>2567</v>
      </c>
      <c r="G314" t="s">
        <v>5206</v>
      </c>
    </row>
    <row r="315" spans="1:7" x14ac:dyDescent="0.25">
      <c r="A315" t="s">
        <v>4561</v>
      </c>
      <c r="B315" t="s">
        <v>2069</v>
      </c>
      <c r="C315" t="s">
        <v>2070</v>
      </c>
      <c r="D315">
        <v>4</v>
      </c>
      <c r="E315" t="s">
        <v>2512</v>
      </c>
      <c r="F315" t="s">
        <v>2073</v>
      </c>
      <c r="G315" t="s">
        <v>1575</v>
      </c>
    </row>
    <row r="316" spans="1:7" x14ac:dyDescent="0.25">
      <c r="A316" t="s">
        <v>4568</v>
      </c>
      <c r="B316" t="s">
        <v>1897</v>
      </c>
      <c r="C316" t="s">
        <v>1898</v>
      </c>
      <c r="D316">
        <v>4</v>
      </c>
      <c r="E316" t="s">
        <v>2512</v>
      </c>
      <c r="F316" t="s">
        <v>1902</v>
      </c>
      <c r="G316" t="s">
        <v>2403</v>
      </c>
    </row>
    <row r="317" spans="1:7" x14ac:dyDescent="0.25">
      <c r="A317" t="s">
        <v>4573</v>
      </c>
      <c r="B317" t="s">
        <v>4574</v>
      </c>
      <c r="C317" t="s">
        <v>2487</v>
      </c>
      <c r="D317">
        <v>4</v>
      </c>
      <c r="E317" t="s">
        <v>2512</v>
      </c>
      <c r="F317" t="s">
        <v>1902</v>
      </c>
      <c r="G317" t="s">
        <v>2403</v>
      </c>
    </row>
    <row r="318" spans="1:7" x14ac:dyDescent="0.25">
      <c r="A318" t="s">
        <v>4576</v>
      </c>
      <c r="B318" t="s">
        <v>2136</v>
      </c>
      <c r="C318" t="s">
        <v>2137</v>
      </c>
      <c r="D318">
        <v>4</v>
      </c>
      <c r="E318" t="s">
        <v>2512</v>
      </c>
      <c r="F318" t="s">
        <v>2141</v>
      </c>
      <c r="G318" t="s">
        <v>4452</v>
      </c>
    </row>
    <row r="319" spans="1:7" x14ac:dyDescent="0.25">
      <c r="A319" t="s">
        <v>4579</v>
      </c>
      <c r="B319" t="s">
        <v>1847</v>
      </c>
      <c r="C319" t="s">
        <v>1848</v>
      </c>
      <c r="D319">
        <v>4</v>
      </c>
      <c r="E319" t="s">
        <v>2512</v>
      </c>
      <c r="F319" t="s">
        <v>1845</v>
      </c>
      <c r="G319" t="s">
        <v>2364</v>
      </c>
    </row>
    <row r="320" spans="1:7" x14ac:dyDescent="0.25">
      <c r="A320" t="s">
        <v>4584</v>
      </c>
      <c r="B320" t="s">
        <v>1851</v>
      </c>
      <c r="C320" t="s">
        <v>1852</v>
      </c>
      <c r="D320">
        <v>4</v>
      </c>
      <c r="E320" t="s">
        <v>2512</v>
      </c>
      <c r="F320" t="s">
        <v>1845</v>
      </c>
      <c r="G320" t="s">
        <v>2364</v>
      </c>
    </row>
    <row r="321" spans="1:7" x14ac:dyDescent="0.25">
      <c r="A321" t="s">
        <v>4585</v>
      </c>
      <c r="B321" t="s">
        <v>1841</v>
      </c>
      <c r="C321" t="s">
        <v>1842</v>
      </c>
      <c r="D321">
        <v>4</v>
      </c>
      <c r="E321" t="s">
        <v>2512</v>
      </c>
      <c r="F321" t="s">
        <v>1845</v>
      </c>
      <c r="G321" t="s">
        <v>2364</v>
      </c>
    </row>
    <row r="322" spans="1:7" x14ac:dyDescent="0.25">
      <c r="A322" t="s">
        <v>4587</v>
      </c>
      <c r="B322" t="s">
        <v>2413</v>
      </c>
      <c r="C322" t="s">
        <v>2289</v>
      </c>
      <c r="D322">
        <v>4</v>
      </c>
      <c r="E322" t="s">
        <v>2512</v>
      </c>
      <c r="F322" t="s">
        <v>2416</v>
      </c>
      <c r="G322" t="s">
        <v>4515</v>
      </c>
    </row>
    <row r="323" spans="1:7" x14ac:dyDescent="0.25">
      <c r="A323" t="s">
        <v>2558</v>
      </c>
      <c r="B323" t="s">
        <v>4601</v>
      </c>
      <c r="C323" t="s">
        <v>4602</v>
      </c>
      <c r="D323">
        <v>4</v>
      </c>
      <c r="E323" t="s">
        <v>2512</v>
      </c>
      <c r="F323" t="s">
        <v>4606</v>
      </c>
      <c r="G323" t="s">
        <v>5141</v>
      </c>
    </row>
    <row r="324" spans="1:7" x14ac:dyDescent="0.25">
      <c r="A324" t="s">
        <v>4588</v>
      </c>
      <c r="B324" t="s">
        <v>2489</v>
      </c>
      <c r="C324" t="s">
        <v>2490</v>
      </c>
      <c r="D324">
        <v>4</v>
      </c>
      <c r="E324" t="s">
        <v>2512</v>
      </c>
      <c r="F324" t="s">
        <v>2494</v>
      </c>
      <c r="G324" t="s">
        <v>2138</v>
      </c>
    </row>
    <row r="325" spans="1:7" x14ac:dyDescent="0.25">
      <c r="A325" t="s">
        <v>4592</v>
      </c>
      <c r="B325" t="s">
        <v>4593</v>
      </c>
      <c r="C325" t="s">
        <v>4594</v>
      </c>
      <c r="D325">
        <v>4</v>
      </c>
      <c r="E325" t="s">
        <v>2512</v>
      </c>
      <c r="F325" t="s">
        <v>2545</v>
      </c>
      <c r="G325" t="s">
        <v>6955</v>
      </c>
    </row>
    <row r="326" spans="1:7" x14ac:dyDescent="0.25">
      <c r="A326" t="s">
        <v>2595</v>
      </c>
      <c r="B326" t="s">
        <v>2596</v>
      </c>
      <c r="C326" t="s">
        <v>2597</v>
      </c>
      <c r="D326">
        <v>5</v>
      </c>
      <c r="E326" t="s">
        <v>2598</v>
      </c>
      <c r="F326" t="s">
        <v>2604</v>
      </c>
      <c r="G326" t="s">
        <v>2113</v>
      </c>
    </row>
    <row r="327" spans="1:7" x14ac:dyDescent="0.25">
      <c r="A327" t="s">
        <v>12091</v>
      </c>
      <c r="B327" t="s">
        <v>12092</v>
      </c>
      <c r="C327" t="s">
        <v>12093</v>
      </c>
      <c r="D327">
        <v>5</v>
      </c>
      <c r="E327" t="s">
        <v>2598</v>
      </c>
      <c r="F327" t="s">
        <v>7064</v>
      </c>
      <c r="G327" t="s">
        <v>7065</v>
      </c>
    </row>
    <row r="328" spans="1:7" x14ac:dyDescent="0.25">
      <c r="A328" t="s">
        <v>12098</v>
      </c>
      <c r="B328" t="s">
        <v>12099</v>
      </c>
      <c r="C328" t="s">
        <v>12100</v>
      </c>
      <c r="D328">
        <v>5</v>
      </c>
      <c r="E328" t="s">
        <v>2598</v>
      </c>
      <c r="F328" t="s">
        <v>2612</v>
      </c>
      <c r="G328" t="s">
        <v>7116</v>
      </c>
    </row>
    <row r="329" spans="1:7" x14ac:dyDescent="0.25">
      <c r="A329" t="s">
        <v>12102</v>
      </c>
      <c r="B329" t="s">
        <v>12103</v>
      </c>
      <c r="C329" t="s">
        <v>12104</v>
      </c>
      <c r="D329">
        <v>5</v>
      </c>
      <c r="E329" t="s">
        <v>2598</v>
      </c>
      <c r="F329" t="s">
        <v>7162</v>
      </c>
      <c r="G329" t="s">
        <v>7163</v>
      </c>
    </row>
    <row r="330" spans="1:7" x14ac:dyDescent="0.25">
      <c r="A330" t="s">
        <v>12107</v>
      </c>
      <c r="B330" t="s">
        <v>12108</v>
      </c>
      <c r="C330" t="s">
        <v>12109</v>
      </c>
      <c r="D330">
        <v>5</v>
      </c>
      <c r="E330" t="s">
        <v>2598</v>
      </c>
      <c r="F330" t="s">
        <v>7172</v>
      </c>
      <c r="G330" t="s">
        <v>7173</v>
      </c>
    </row>
    <row r="331" spans="1:7" x14ac:dyDescent="0.25">
      <c r="A331" t="s">
        <v>12114</v>
      </c>
      <c r="B331" t="s">
        <v>12115</v>
      </c>
      <c r="C331" t="s">
        <v>12116</v>
      </c>
      <c r="D331">
        <v>5</v>
      </c>
      <c r="E331" t="s">
        <v>2598</v>
      </c>
      <c r="F331" t="s">
        <v>2621</v>
      </c>
      <c r="G331" t="s">
        <v>7084</v>
      </c>
    </row>
    <row r="332" spans="1:7" x14ac:dyDescent="0.25">
      <c r="A332" t="s">
        <v>12117</v>
      </c>
      <c r="B332" t="s">
        <v>12118</v>
      </c>
      <c r="C332" t="s">
        <v>12119</v>
      </c>
      <c r="D332">
        <v>5</v>
      </c>
      <c r="E332" t="s">
        <v>2598</v>
      </c>
      <c r="F332" t="s">
        <v>2621</v>
      </c>
      <c r="G332" t="s">
        <v>7084</v>
      </c>
    </row>
    <row r="333" spans="1:7" x14ac:dyDescent="0.25">
      <c r="A333" t="s">
        <v>12120</v>
      </c>
      <c r="B333" t="s">
        <v>12121</v>
      </c>
      <c r="C333" t="s">
        <v>12122</v>
      </c>
      <c r="D333">
        <v>5</v>
      </c>
      <c r="E333" t="s">
        <v>2598</v>
      </c>
      <c r="F333" t="s">
        <v>2567</v>
      </c>
      <c r="G333" t="s">
        <v>5206</v>
      </c>
    </row>
    <row r="334" spans="1:7" x14ac:dyDescent="0.25">
      <c r="A334" t="s">
        <v>12125</v>
      </c>
      <c r="B334" t="s">
        <v>12126</v>
      </c>
      <c r="C334" t="s">
        <v>12127</v>
      </c>
      <c r="D334">
        <v>5</v>
      </c>
      <c r="E334" t="s">
        <v>2598</v>
      </c>
      <c r="F334" t="s">
        <v>2630</v>
      </c>
      <c r="G334" t="s">
        <v>2624</v>
      </c>
    </row>
    <row r="335" spans="1:7" x14ac:dyDescent="0.25">
      <c r="A335" t="s">
        <v>12128</v>
      </c>
      <c r="B335" t="s">
        <v>12129</v>
      </c>
      <c r="C335" t="s">
        <v>12130</v>
      </c>
      <c r="D335">
        <v>5</v>
      </c>
      <c r="E335" t="s">
        <v>2598</v>
      </c>
      <c r="F335" t="s">
        <v>5604</v>
      </c>
      <c r="G335" t="s">
        <v>2874</v>
      </c>
    </row>
    <row r="336" spans="1:7" x14ac:dyDescent="0.25">
      <c r="A336" t="s">
        <v>12133</v>
      </c>
      <c r="B336" t="s">
        <v>12134</v>
      </c>
      <c r="C336" t="s">
        <v>12135</v>
      </c>
      <c r="D336">
        <v>5</v>
      </c>
      <c r="E336" t="s">
        <v>2598</v>
      </c>
      <c r="F336" t="s">
        <v>2494</v>
      </c>
      <c r="G336" t="s">
        <v>2138</v>
      </c>
    </row>
    <row r="337" spans="1:7" x14ac:dyDescent="0.25">
      <c r="A337" t="s">
        <v>12136</v>
      </c>
      <c r="B337" t="s">
        <v>12137</v>
      </c>
      <c r="C337" t="s">
        <v>12138</v>
      </c>
      <c r="D337">
        <v>5</v>
      </c>
      <c r="E337" t="s">
        <v>2598</v>
      </c>
      <c r="F337" t="s">
        <v>7093</v>
      </c>
      <c r="G337" t="s">
        <v>7094</v>
      </c>
    </row>
    <row r="338" spans="1:7" x14ac:dyDescent="0.25">
      <c r="A338" t="s">
        <v>2634</v>
      </c>
      <c r="B338" t="s">
        <v>2635</v>
      </c>
      <c r="C338" t="s">
        <v>2636</v>
      </c>
      <c r="D338">
        <v>5</v>
      </c>
      <c r="E338" t="s">
        <v>2598</v>
      </c>
      <c r="F338" t="s">
        <v>1776</v>
      </c>
      <c r="G338" t="s">
        <v>1772</v>
      </c>
    </row>
    <row r="339" spans="1:7" x14ac:dyDescent="0.25">
      <c r="A339" t="s">
        <v>12142</v>
      </c>
      <c r="B339" t="s">
        <v>12143</v>
      </c>
      <c r="C339" t="s">
        <v>12144</v>
      </c>
      <c r="D339">
        <v>5</v>
      </c>
      <c r="E339" t="s">
        <v>2598</v>
      </c>
      <c r="F339" t="s">
        <v>5442</v>
      </c>
      <c r="G339" t="s">
        <v>5443</v>
      </c>
    </row>
    <row r="340" spans="1:7" x14ac:dyDescent="0.25">
      <c r="A340" t="s">
        <v>12146</v>
      </c>
      <c r="B340" t="s">
        <v>12147</v>
      </c>
      <c r="C340" t="s">
        <v>12148</v>
      </c>
      <c r="D340">
        <v>5</v>
      </c>
      <c r="E340" t="s">
        <v>2598</v>
      </c>
      <c r="F340" t="s">
        <v>7072</v>
      </c>
      <c r="G340" t="s">
        <v>7073</v>
      </c>
    </row>
    <row r="341" spans="1:7" x14ac:dyDescent="0.25">
      <c r="A341" t="s">
        <v>12153</v>
      </c>
      <c r="B341" t="s">
        <v>12154</v>
      </c>
      <c r="C341" t="s">
        <v>12155</v>
      </c>
      <c r="D341">
        <v>5</v>
      </c>
      <c r="E341" t="s">
        <v>2598</v>
      </c>
      <c r="F341" t="s">
        <v>7072</v>
      </c>
      <c r="G341" t="s">
        <v>7073</v>
      </c>
    </row>
    <row r="342" spans="1:7" x14ac:dyDescent="0.25">
      <c r="A342" t="s">
        <v>12157</v>
      </c>
      <c r="B342" t="s">
        <v>12158</v>
      </c>
      <c r="C342" t="s">
        <v>12159</v>
      </c>
      <c r="D342">
        <v>5</v>
      </c>
      <c r="E342" t="s">
        <v>2598</v>
      </c>
      <c r="F342" t="s">
        <v>7112</v>
      </c>
      <c r="G342" t="s">
        <v>7113</v>
      </c>
    </row>
    <row r="343" spans="1:7" x14ac:dyDescent="0.25">
      <c r="A343" t="s">
        <v>12163</v>
      </c>
      <c r="B343" t="s">
        <v>12164</v>
      </c>
      <c r="C343" t="s">
        <v>12165</v>
      </c>
      <c r="D343">
        <v>5</v>
      </c>
      <c r="E343" t="s">
        <v>2598</v>
      </c>
      <c r="F343" t="s">
        <v>2630</v>
      </c>
      <c r="G343" t="s">
        <v>2624</v>
      </c>
    </row>
    <row r="344" spans="1:7" x14ac:dyDescent="0.25">
      <c r="A344" t="s">
        <v>12167</v>
      </c>
      <c r="B344" t="s">
        <v>12168</v>
      </c>
      <c r="C344" t="s">
        <v>12169</v>
      </c>
      <c r="D344">
        <v>5</v>
      </c>
      <c r="E344" t="s">
        <v>2598</v>
      </c>
      <c r="F344" t="s">
        <v>2630</v>
      </c>
      <c r="G344" t="s">
        <v>2624</v>
      </c>
    </row>
    <row r="345" spans="1:7" x14ac:dyDescent="0.25">
      <c r="A345" t="s">
        <v>12170</v>
      </c>
      <c r="B345" t="s">
        <v>12171</v>
      </c>
      <c r="C345" t="s">
        <v>12172</v>
      </c>
      <c r="D345">
        <v>5</v>
      </c>
      <c r="E345" t="s">
        <v>2598</v>
      </c>
      <c r="F345" t="s">
        <v>5612</v>
      </c>
      <c r="G345" t="s">
        <v>5613</v>
      </c>
    </row>
    <row r="346" spans="1:7" x14ac:dyDescent="0.25">
      <c r="A346" t="s">
        <v>12177</v>
      </c>
      <c r="B346" t="s">
        <v>12178</v>
      </c>
      <c r="C346" t="s">
        <v>12179</v>
      </c>
      <c r="D346">
        <v>5</v>
      </c>
      <c r="E346" t="s">
        <v>2598</v>
      </c>
      <c r="F346" t="s">
        <v>5612</v>
      </c>
      <c r="G346" t="s">
        <v>5613</v>
      </c>
    </row>
    <row r="347" spans="1:7" x14ac:dyDescent="0.25">
      <c r="A347" t="s">
        <v>12181</v>
      </c>
      <c r="B347" t="s">
        <v>12182</v>
      </c>
      <c r="C347" t="s">
        <v>12183</v>
      </c>
      <c r="D347">
        <v>5</v>
      </c>
      <c r="E347" t="s">
        <v>2598</v>
      </c>
      <c r="F347" t="s">
        <v>2649</v>
      </c>
      <c r="G347" t="s">
        <v>2644</v>
      </c>
    </row>
    <row r="348" spans="1:7" x14ac:dyDescent="0.25">
      <c r="A348" t="s">
        <v>2650</v>
      </c>
      <c r="B348" t="s">
        <v>2651</v>
      </c>
      <c r="C348" t="s">
        <v>2652</v>
      </c>
      <c r="D348">
        <v>5</v>
      </c>
      <c r="E348" t="s">
        <v>2598</v>
      </c>
      <c r="F348" t="s">
        <v>2656</v>
      </c>
      <c r="G348" t="s">
        <v>2606</v>
      </c>
    </row>
    <row r="349" spans="1:7" x14ac:dyDescent="0.25">
      <c r="A349" t="s">
        <v>2657</v>
      </c>
      <c r="B349" t="s">
        <v>2658</v>
      </c>
      <c r="C349" t="s">
        <v>2659</v>
      </c>
      <c r="D349">
        <v>5</v>
      </c>
      <c r="E349" t="s">
        <v>2598</v>
      </c>
      <c r="F349" t="s">
        <v>273</v>
      </c>
      <c r="G349" t="s">
        <v>81</v>
      </c>
    </row>
    <row r="350" spans="1:7" x14ac:dyDescent="0.25">
      <c r="A350" t="s">
        <v>12184</v>
      </c>
      <c r="B350" t="s">
        <v>12185</v>
      </c>
      <c r="C350" t="s">
        <v>12186</v>
      </c>
      <c r="D350">
        <v>5</v>
      </c>
      <c r="E350" t="s">
        <v>2598</v>
      </c>
      <c r="F350" t="s">
        <v>2664</v>
      </c>
      <c r="G350" t="s">
        <v>2660</v>
      </c>
    </row>
    <row r="351" spans="1:7" x14ac:dyDescent="0.25">
      <c r="A351" t="s">
        <v>12187</v>
      </c>
      <c r="B351" t="s">
        <v>12188</v>
      </c>
      <c r="C351" t="s">
        <v>12189</v>
      </c>
      <c r="D351">
        <v>5</v>
      </c>
      <c r="E351" t="s">
        <v>2598</v>
      </c>
      <c r="F351" t="s">
        <v>2668</v>
      </c>
      <c r="G351" t="s">
        <v>1771</v>
      </c>
    </row>
    <row r="352" spans="1:7" x14ac:dyDescent="0.25">
      <c r="A352" t="s">
        <v>2669</v>
      </c>
      <c r="B352" t="s">
        <v>2670</v>
      </c>
      <c r="C352" t="s">
        <v>2671</v>
      </c>
      <c r="D352">
        <v>5</v>
      </c>
      <c r="E352" t="s">
        <v>2598</v>
      </c>
      <c r="F352" t="s">
        <v>2668</v>
      </c>
      <c r="G352" t="s">
        <v>1771</v>
      </c>
    </row>
    <row r="353" spans="1:7" x14ac:dyDescent="0.25">
      <c r="A353" t="s">
        <v>12190</v>
      </c>
      <c r="B353" t="s">
        <v>12191</v>
      </c>
      <c r="C353" t="s">
        <v>12192</v>
      </c>
      <c r="D353">
        <v>5</v>
      </c>
      <c r="E353" t="s">
        <v>2598</v>
      </c>
      <c r="F353" t="s">
        <v>2668</v>
      </c>
      <c r="G353" t="s">
        <v>1771</v>
      </c>
    </row>
    <row r="354" spans="1:7" x14ac:dyDescent="0.25">
      <c r="A354" t="s">
        <v>2673</v>
      </c>
      <c r="B354" t="s">
        <v>2674</v>
      </c>
      <c r="C354" t="s">
        <v>2675</v>
      </c>
      <c r="D354">
        <v>5</v>
      </c>
      <c r="E354" t="s">
        <v>2598</v>
      </c>
      <c r="F354" t="s">
        <v>2678</v>
      </c>
      <c r="G354" t="s">
        <v>2613</v>
      </c>
    </row>
    <row r="355" spans="1:7" x14ac:dyDescent="0.25">
      <c r="A355" t="s">
        <v>2679</v>
      </c>
      <c r="B355" t="s">
        <v>2680</v>
      </c>
      <c r="C355" t="s">
        <v>2681</v>
      </c>
      <c r="D355">
        <v>5</v>
      </c>
      <c r="E355" t="s">
        <v>2598</v>
      </c>
      <c r="F355" t="s">
        <v>2678</v>
      </c>
      <c r="G355" t="s">
        <v>2613</v>
      </c>
    </row>
    <row r="356" spans="1:7" x14ac:dyDescent="0.25">
      <c r="A356" t="s">
        <v>12193</v>
      </c>
      <c r="B356" t="s">
        <v>12194</v>
      </c>
      <c r="C356" t="s">
        <v>12195</v>
      </c>
      <c r="D356">
        <v>5</v>
      </c>
      <c r="E356" t="s">
        <v>2598</v>
      </c>
      <c r="F356" t="s">
        <v>2678</v>
      </c>
      <c r="G356" t="s">
        <v>2613</v>
      </c>
    </row>
    <row r="357" spans="1:7" x14ac:dyDescent="0.25">
      <c r="A357" t="s">
        <v>12196</v>
      </c>
      <c r="B357" t="s">
        <v>12197</v>
      </c>
      <c r="C357" t="s">
        <v>12198</v>
      </c>
      <c r="D357">
        <v>5</v>
      </c>
      <c r="E357" t="s">
        <v>2598</v>
      </c>
      <c r="F357" t="s">
        <v>2067</v>
      </c>
      <c r="G357" t="s">
        <v>2171</v>
      </c>
    </row>
    <row r="358" spans="1:7" x14ac:dyDescent="0.25">
      <c r="A358" t="s">
        <v>12200</v>
      </c>
      <c r="B358" t="s">
        <v>12201</v>
      </c>
      <c r="C358" t="s">
        <v>12202</v>
      </c>
      <c r="D358">
        <v>5</v>
      </c>
      <c r="E358" t="s">
        <v>2598</v>
      </c>
      <c r="F358" t="s">
        <v>2067</v>
      </c>
      <c r="G358" t="s">
        <v>2171</v>
      </c>
    </row>
    <row r="359" spans="1:7" x14ac:dyDescent="0.25">
      <c r="A359" t="s">
        <v>12203</v>
      </c>
      <c r="B359" t="s">
        <v>12204</v>
      </c>
      <c r="C359" t="s">
        <v>12205</v>
      </c>
      <c r="D359">
        <v>5</v>
      </c>
      <c r="E359" t="s">
        <v>2598</v>
      </c>
      <c r="F359" t="s">
        <v>2067</v>
      </c>
      <c r="G359" t="s">
        <v>2171</v>
      </c>
    </row>
    <row r="360" spans="1:7" x14ac:dyDescent="0.25">
      <c r="A360" t="s">
        <v>12206</v>
      </c>
      <c r="B360" t="s">
        <v>12207</v>
      </c>
      <c r="C360" t="s">
        <v>12208</v>
      </c>
      <c r="D360">
        <v>5</v>
      </c>
      <c r="E360" t="s">
        <v>2598</v>
      </c>
      <c r="F360" t="s">
        <v>2694</v>
      </c>
      <c r="G360" t="s">
        <v>2690</v>
      </c>
    </row>
    <row r="361" spans="1:7" x14ac:dyDescent="0.25">
      <c r="A361" t="s">
        <v>2696</v>
      </c>
      <c r="B361" t="s">
        <v>2697</v>
      </c>
      <c r="C361" t="s">
        <v>2698</v>
      </c>
      <c r="D361">
        <v>5</v>
      </c>
      <c r="E361" t="s">
        <v>2598</v>
      </c>
      <c r="F361" t="s">
        <v>2694</v>
      </c>
      <c r="G361" t="s">
        <v>2690</v>
      </c>
    </row>
    <row r="362" spans="1:7" x14ac:dyDescent="0.25">
      <c r="A362" t="s">
        <v>2699</v>
      </c>
      <c r="B362" t="s">
        <v>2700</v>
      </c>
      <c r="C362" t="s">
        <v>2701</v>
      </c>
      <c r="D362">
        <v>5</v>
      </c>
      <c r="E362" t="s">
        <v>2598</v>
      </c>
      <c r="F362" t="s">
        <v>2694</v>
      </c>
      <c r="G362" t="s">
        <v>2690</v>
      </c>
    </row>
    <row r="363" spans="1:7" x14ac:dyDescent="0.25">
      <c r="A363" t="s">
        <v>12209</v>
      </c>
      <c r="B363" t="s">
        <v>12210</v>
      </c>
      <c r="C363" t="s">
        <v>12211</v>
      </c>
      <c r="D363">
        <v>5</v>
      </c>
      <c r="E363" t="s">
        <v>2598</v>
      </c>
      <c r="F363" t="s">
        <v>2694</v>
      </c>
      <c r="G363" t="s">
        <v>2690</v>
      </c>
    </row>
    <row r="364" spans="1:7" x14ac:dyDescent="0.25">
      <c r="A364" t="s">
        <v>12212</v>
      </c>
      <c r="B364" t="s">
        <v>12213</v>
      </c>
      <c r="C364" t="s">
        <v>12214</v>
      </c>
      <c r="D364">
        <v>5</v>
      </c>
      <c r="E364" t="s">
        <v>2598</v>
      </c>
      <c r="F364" t="s">
        <v>2706</v>
      </c>
      <c r="G364" t="s">
        <v>2702</v>
      </c>
    </row>
    <row r="365" spans="1:7" x14ac:dyDescent="0.25">
      <c r="A365" t="s">
        <v>2707</v>
      </c>
      <c r="B365" t="s">
        <v>2708</v>
      </c>
      <c r="C365" t="s">
        <v>2709</v>
      </c>
      <c r="D365">
        <v>5</v>
      </c>
      <c r="E365" t="s">
        <v>2598</v>
      </c>
      <c r="F365" t="s">
        <v>2706</v>
      </c>
      <c r="G365" t="s">
        <v>2702</v>
      </c>
    </row>
    <row r="366" spans="1:7" x14ac:dyDescent="0.25">
      <c r="A366" t="s">
        <v>12215</v>
      </c>
      <c r="B366" t="s">
        <v>12216</v>
      </c>
      <c r="C366" t="s">
        <v>12217</v>
      </c>
      <c r="D366">
        <v>5</v>
      </c>
      <c r="E366" t="s">
        <v>2598</v>
      </c>
      <c r="F366" t="s">
        <v>1776</v>
      </c>
      <c r="G366" t="s">
        <v>1772</v>
      </c>
    </row>
    <row r="367" spans="1:7" x14ac:dyDescent="0.25">
      <c r="A367" t="s">
        <v>12218</v>
      </c>
      <c r="B367" t="s">
        <v>12219</v>
      </c>
      <c r="C367" t="s">
        <v>12220</v>
      </c>
      <c r="D367">
        <v>5</v>
      </c>
      <c r="E367" t="s">
        <v>2598</v>
      </c>
      <c r="F367" t="s">
        <v>1776</v>
      </c>
      <c r="G367" t="s">
        <v>1772</v>
      </c>
    </row>
    <row r="368" spans="1:7" x14ac:dyDescent="0.25">
      <c r="A368" t="s">
        <v>12221</v>
      </c>
      <c r="B368" t="s">
        <v>12222</v>
      </c>
      <c r="C368" t="s">
        <v>12223</v>
      </c>
      <c r="D368">
        <v>5</v>
      </c>
      <c r="E368" t="s">
        <v>2598</v>
      </c>
      <c r="F368" t="s">
        <v>5054</v>
      </c>
      <c r="G368" t="s">
        <v>2113</v>
      </c>
    </row>
    <row r="369" spans="1:7" x14ac:dyDescent="0.25">
      <c r="A369" t="s">
        <v>12227</v>
      </c>
      <c r="B369" t="s">
        <v>12228</v>
      </c>
      <c r="C369" t="s">
        <v>12229</v>
      </c>
      <c r="D369">
        <v>5</v>
      </c>
      <c r="E369" t="s">
        <v>2598</v>
      </c>
      <c r="F369" t="s">
        <v>7072</v>
      </c>
      <c r="G369" t="s">
        <v>7073</v>
      </c>
    </row>
    <row r="370" spans="1:7" x14ac:dyDescent="0.25">
      <c r="A370" t="s">
        <v>12230</v>
      </c>
      <c r="B370" t="s">
        <v>12231</v>
      </c>
      <c r="C370" t="s">
        <v>12232</v>
      </c>
      <c r="D370">
        <v>5</v>
      </c>
      <c r="E370" t="s">
        <v>2598</v>
      </c>
      <c r="F370" t="s">
        <v>2621</v>
      </c>
      <c r="G370" t="s">
        <v>7084</v>
      </c>
    </row>
    <row r="371" spans="1:7" x14ac:dyDescent="0.25">
      <c r="A371" t="s">
        <v>12233</v>
      </c>
      <c r="B371" t="s">
        <v>12234</v>
      </c>
      <c r="C371" t="s">
        <v>12235</v>
      </c>
      <c r="D371">
        <v>5</v>
      </c>
      <c r="E371" t="s">
        <v>2598</v>
      </c>
      <c r="F371" t="s">
        <v>2714</v>
      </c>
      <c r="G371" t="s">
        <v>2591</v>
      </c>
    </row>
    <row r="372" spans="1:7" x14ac:dyDescent="0.25">
      <c r="A372" t="s">
        <v>12236</v>
      </c>
      <c r="B372" t="s">
        <v>12237</v>
      </c>
      <c r="C372" t="s">
        <v>12081</v>
      </c>
      <c r="D372">
        <v>5</v>
      </c>
      <c r="E372" t="s">
        <v>2598</v>
      </c>
      <c r="F372" t="s">
        <v>2714</v>
      </c>
      <c r="G372" t="s">
        <v>2591</v>
      </c>
    </row>
    <row r="373" spans="1:7" x14ac:dyDescent="0.25">
      <c r="A373" t="s">
        <v>12239</v>
      </c>
      <c r="B373" t="s">
        <v>12240</v>
      </c>
      <c r="C373" t="s">
        <v>12241</v>
      </c>
      <c r="D373">
        <v>5</v>
      </c>
      <c r="E373" t="s">
        <v>2598</v>
      </c>
      <c r="F373" t="s">
        <v>7122</v>
      </c>
      <c r="G373" t="s">
        <v>7123</v>
      </c>
    </row>
    <row r="374" spans="1:7" x14ac:dyDescent="0.25">
      <c r="A374" t="s">
        <v>12245</v>
      </c>
      <c r="B374" t="s">
        <v>12246</v>
      </c>
      <c r="C374" t="s">
        <v>12247</v>
      </c>
      <c r="D374">
        <v>5</v>
      </c>
      <c r="E374" t="s">
        <v>2598</v>
      </c>
      <c r="F374" t="s">
        <v>7124</v>
      </c>
      <c r="G374" t="s">
        <v>7125</v>
      </c>
    </row>
    <row r="375" spans="1:7" x14ac:dyDescent="0.25">
      <c r="A375" t="s">
        <v>12251</v>
      </c>
      <c r="B375" t="s">
        <v>12252</v>
      </c>
      <c r="C375" t="s">
        <v>12253</v>
      </c>
      <c r="D375">
        <v>5</v>
      </c>
      <c r="E375" t="s">
        <v>2598</v>
      </c>
      <c r="F375" t="s">
        <v>7124</v>
      </c>
      <c r="G375" t="s">
        <v>7125</v>
      </c>
    </row>
    <row r="376" spans="1:7" x14ac:dyDescent="0.25">
      <c r="A376" t="s">
        <v>12254</v>
      </c>
      <c r="B376" t="s">
        <v>12255</v>
      </c>
      <c r="C376" t="s">
        <v>12256</v>
      </c>
      <c r="D376">
        <v>5</v>
      </c>
      <c r="E376" t="s">
        <v>2598</v>
      </c>
      <c r="F376" t="s">
        <v>7128</v>
      </c>
      <c r="G376" t="s">
        <v>7129</v>
      </c>
    </row>
    <row r="377" spans="1:7" x14ac:dyDescent="0.25">
      <c r="A377" t="s">
        <v>12260</v>
      </c>
      <c r="B377" t="s">
        <v>12261</v>
      </c>
      <c r="C377" t="s">
        <v>12262</v>
      </c>
      <c r="D377">
        <v>5</v>
      </c>
      <c r="E377" t="s">
        <v>2598</v>
      </c>
      <c r="F377" t="s">
        <v>7128</v>
      </c>
      <c r="G377" t="s">
        <v>7129</v>
      </c>
    </row>
    <row r="378" spans="1:7" x14ac:dyDescent="0.25">
      <c r="A378" t="s">
        <v>2715</v>
      </c>
      <c r="B378" t="s">
        <v>2716</v>
      </c>
      <c r="C378" t="s">
        <v>2717</v>
      </c>
      <c r="D378">
        <v>5</v>
      </c>
      <c r="E378" t="s">
        <v>2598</v>
      </c>
      <c r="F378" t="s">
        <v>2630</v>
      </c>
      <c r="G378" t="s">
        <v>2624</v>
      </c>
    </row>
    <row r="379" spans="1:7" x14ac:dyDescent="0.25">
      <c r="A379" t="s">
        <v>12263</v>
      </c>
      <c r="B379" t="s">
        <v>12264</v>
      </c>
      <c r="C379" t="s">
        <v>12235</v>
      </c>
      <c r="D379">
        <v>5</v>
      </c>
      <c r="E379" t="s">
        <v>2598</v>
      </c>
      <c r="F379" t="s">
        <v>7172</v>
      </c>
      <c r="G379" t="s">
        <v>7173</v>
      </c>
    </row>
    <row r="380" spans="1:7" x14ac:dyDescent="0.25">
      <c r="A380" t="s">
        <v>12265</v>
      </c>
      <c r="B380" t="s">
        <v>12266</v>
      </c>
      <c r="C380" t="s">
        <v>12267</v>
      </c>
      <c r="D380">
        <v>5</v>
      </c>
      <c r="E380" t="s">
        <v>2598</v>
      </c>
      <c r="F380" t="s">
        <v>2721</v>
      </c>
      <c r="G380" t="s">
        <v>7179</v>
      </c>
    </row>
    <row r="381" spans="1:7" x14ac:dyDescent="0.25">
      <c r="A381" t="s">
        <v>12268</v>
      </c>
      <c r="B381" t="s">
        <v>12269</v>
      </c>
      <c r="C381" t="s">
        <v>12109</v>
      </c>
      <c r="D381">
        <v>5</v>
      </c>
      <c r="E381" t="s">
        <v>2598</v>
      </c>
      <c r="F381" t="s">
        <v>7182</v>
      </c>
      <c r="G381" t="s">
        <v>7183</v>
      </c>
    </row>
    <row r="382" spans="1:7" x14ac:dyDescent="0.25">
      <c r="A382" t="s">
        <v>12273</v>
      </c>
      <c r="B382" t="s">
        <v>12274</v>
      </c>
      <c r="C382" t="s">
        <v>12275</v>
      </c>
      <c r="D382">
        <v>5</v>
      </c>
      <c r="E382" t="s">
        <v>2598</v>
      </c>
      <c r="F382" t="s">
        <v>7182</v>
      </c>
      <c r="G382" t="s">
        <v>7183</v>
      </c>
    </row>
    <row r="383" spans="1:7" x14ac:dyDescent="0.25">
      <c r="A383" t="s">
        <v>12276</v>
      </c>
      <c r="B383" t="s">
        <v>12277</v>
      </c>
      <c r="C383" t="s">
        <v>12189</v>
      </c>
      <c r="D383">
        <v>5</v>
      </c>
      <c r="E383" t="s">
        <v>2598</v>
      </c>
      <c r="F383" t="s">
        <v>2725</v>
      </c>
      <c r="G383" t="s">
        <v>5641</v>
      </c>
    </row>
    <row r="384" spans="1:7" x14ac:dyDescent="0.25">
      <c r="A384" t="s">
        <v>2726</v>
      </c>
      <c r="B384" t="s">
        <v>2727</v>
      </c>
      <c r="C384" t="s">
        <v>2671</v>
      </c>
      <c r="D384">
        <v>5</v>
      </c>
      <c r="E384" t="s">
        <v>2598</v>
      </c>
      <c r="F384" t="s">
        <v>2725</v>
      </c>
      <c r="G384" t="s">
        <v>5641</v>
      </c>
    </row>
    <row r="385" spans="1:7" x14ac:dyDescent="0.25">
      <c r="A385" t="s">
        <v>2728</v>
      </c>
      <c r="B385" t="s">
        <v>2729</v>
      </c>
      <c r="C385" t="s">
        <v>2730</v>
      </c>
      <c r="D385">
        <v>5</v>
      </c>
      <c r="E385" t="s">
        <v>2598</v>
      </c>
      <c r="F385" t="s">
        <v>2649</v>
      </c>
      <c r="G385" t="s">
        <v>2644</v>
      </c>
    </row>
    <row r="386" spans="1:7" x14ac:dyDescent="0.25">
      <c r="A386" t="s">
        <v>2732</v>
      </c>
      <c r="B386" t="s">
        <v>2733</v>
      </c>
      <c r="C386" t="s">
        <v>2734</v>
      </c>
      <c r="D386">
        <v>5</v>
      </c>
      <c r="E386" t="s">
        <v>2598</v>
      </c>
      <c r="F386" t="s">
        <v>273</v>
      </c>
      <c r="G386" t="s">
        <v>81</v>
      </c>
    </row>
    <row r="387" spans="1:7" x14ac:dyDescent="0.25">
      <c r="A387" t="s">
        <v>12278</v>
      </c>
      <c r="B387" t="s">
        <v>12279</v>
      </c>
      <c r="C387" t="s">
        <v>12280</v>
      </c>
      <c r="D387">
        <v>5</v>
      </c>
      <c r="E387" t="s">
        <v>2598</v>
      </c>
      <c r="F387" t="s">
        <v>273</v>
      </c>
      <c r="G387" t="s">
        <v>81</v>
      </c>
    </row>
    <row r="388" spans="1:7" x14ac:dyDescent="0.25">
      <c r="A388" t="s">
        <v>2737</v>
      </c>
      <c r="B388" t="s">
        <v>2738</v>
      </c>
      <c r="C388" t="s">
        <v>2739</v>
      </c>
      <c r="D388">
        <v>5</v>
      </c>
      <c r="E388" t="s">
        <v>2598</v>
      </c>
      <c r="F388" t="s">
        <v>2664</v>
      </c>
      <c r="G388" t="s">
        <v>2660</v>
      </c>
    </row>
    <row r="389" spans="1:7" x14ac:dyDescent="0.25">
      <c r="A389" t="s">
        <v>12281</v>
      </c>
      <c r="B389" t="s">
        <v>12282</v>
      </c>
      <c r="C389" t="s">
        <v>12283</v>
      </c>
      <c r="D389">
        <v>5</v>
      </c>
      <c r="E389" t="s">
        <v>2598</v>
      </c>
      <c r="F389" t="s">
        <v>2664</v>
      </c>
      <c r="G389" t="s">
        <v>2660</v>
      </c>
    </row>
    <row r="390" spans="1:7" x14ac:dyDescent="0.25">
      <c r="A390" t="s">
        <v>2740</v>
      </c>
      <c r="B390" t="s">
        <v>2741</v>
      </c>
      <c r="C390" t="s">
        <v>2742</v>
      </c>
      <c r="D390">
        <v>5</v>
      </c>
      <c r="E390" t="s">
        <v>2598</v>
      </c>
      <c r="F390" t="s">
        <v>2664</v>
      </c>
      <c r="G390" t="s">
        <v>2660</v>
      </c>
    </row>
    <row r="391" spans="1:7" x14ac:dyDescent="0.25">
      <c r="A391" t="s">
        <v>2743</v>
      </c>
      <c r="B391" t="s">
        <v>2744</v>
      </c>
      <c r="C391" t="s">
        <v>2745</v>
      </c>
      <c r="D391">
        <v>5</v>
      </c>
      <c r="E391" t="s">
        <v>2598</v>
      </c>
      <c r="F391" t="s">
        <v>2668</v>
      </c>
      <c r="G391" t="s">
        <v>1771</v>
      </c>
    </row>
    <row r="392" spans="1:7" x14ac:dyDescent="0.25">
      <c r="A392" t="s">
        <v>2746</v>
      </c>
      <c r="B392" t="s">
        <v>2747</v>
      </c>
      <c r="C392" t="s">
        <v>2748</v>
      </c>
      <c r="D392">
        <v>5</v>
      </c>
      <c r="E392" t="s">
        <v>2598</v>
      </c>
      <c r="F392" t="s">
        <v>2668</v>
      </c>
      <c r="G392" t="s">
        <v>1771</v>
      </c>
    </row>
    <row r="393" spans="1:7" x14ac:dyDescent="0.25">
      <c r="A393" t="s">
        <v>12284</v>
      </c>
      <c r="B393" t="s">
        <v>12285</v>
      </c>
      <c r="C393" t="s">
        <v>12286</v>
      </c>
      <c r="D393">
        <v>5</v>
      </c>
      <c r="E393" t="s">
        <v>2598</v>
      </c>
      <c r="F393" t="s">
        <v>2494</v>
      </c>
      <c r="G393" t="s">
        <v>2138</v>
      </c>
    </row>
    <row r="394" spans="1:7" x14ac:dyDescent="0.25">
      <c r="A394" t="s">
        <v>2749</v>
      </c>
      <c r="B394" t="s">
        <v>2750</v>
      </c>
      <c r="C394" t="s">
        <v>2751</v>
      </c>
      <c r="D394">
        <v>5</v>
      </c>
      <c r="E394" t="s">
        <v>2598</v>
      </c>
      <c r="F394" t="s">
        <v>2494</v>
      </c>
      <c r="G394" t="s">
        <v>2138</v>
      </c>
    </row>
    <row r="395" spans="1:7" x14ac:dyDescent="0.25">
      <c r="A395" t="s">
        <v>2752</v>
      </c>
      <c r="B395" t="s">
        <v>2753</v>
      </c>
      <c r="C395" t="s">
        <v>2754</v>
      </c>
      <c r="D395">
        <v>5</v>
      </c>
      <c r="E395" t="s">
        <v>2598</v>
      </c>
      <c r="F395" t="s">
        <v>2494</v>
      </c>
      <c r="G395" t="s">
        <v>2138</v>
      </c>
    </row>
    <row r="396" spans="1:7" x14ac:dyDescent="0.25">
      <c r="A396" t="s">
        <v>2755</v>
      </c>
      <c r="B396" t="s">
        <v>2756</v>
      </c>
      <c r="C396" t="s">
        <v>2757</v>
      </c>
      <c r="D396">
        <v>5</v>
      </c>
      <c r="E396" t="s">
        <v>2598</v>
      </c>
      <c r="F396" t="s">
        <v>2494</v>
      </c>
      <c r="G396" t="s">
        <v>2138</v>
      </c>
    </row>
    <row r="397" spans="1:7" x14ac:dyDescent="0.25">
      <c r="A397" t="s">
        <v>2758</v>
      </c>
      <c r="B397" t="s">
        <v>2759</v>
      </c>
      <c r="C397" t="s">
        <v>2760</v>
      </c>
      <c r="D397">
        <v>5</v>
      </c>
      <c r="E397" t="s">
        <v>2598</v>
      </c>
      <c r="F397" t="s">
        <v>2678</v>
      </c>
      <c r="G397" t="s">
        <v>2613</v>
      </c>
    </row>
    <row r="398" spans="1:7" x14ac:dyDescent="0.25">
      <c r="A398" t="s">
        <v>12287</v>
      </c>
      <c r="B398" t="s">
        <v>12288</v>
      </c>
      <c r="C398" t="s">
        <v>12289</v>
      </c>
      <c r="D398">
        <v>5</v>
      </c>
      <c r="E398" t="s">
        <v>2598</v>
      </c>
      <c r="F398" t="s">
        <v>2678</v>
      </c>
      <c r="G398" t="s">
        <v>2613</v>
      </c>
    </row>
    <row r="399" spans="1:7" x14ac:dyDescent="0.25">
      <c r="A399" t="s">
        <v>12290</v>
      </c>
      <c r="B399" t="s">
        <v>12291</v>
      </c>
      <c r="C399" t="s">
        <v>12292</v>
      </c>
      <c r="D399">
        <v>5</v>
      </c>
      <c r="E399" t="s">
        <v>2598</v>
      </c>
      <c r="F399" t="s">
        <v>2067</v>
      </c>
      <c r="G399" t="s">
        <v>2171</v>
      </c>
    </row>
    <row r="400" spans="1:7" x14ac:dyDescent="0.25">
      <c r="A400" t="s">
        <v>12293</v>
      </c>
      <c r="B400" t="s">
        <v>12294</v>
      </c>
      <c r="C400" t="s">
        <v>12295</v>
      </c>
      <c r="D400">
        <v>5</v>
      </c>
      <c r="E400" t="s">
        <v>2598</v>
      </c>
      <c r="F400" t="s">
        <v>2067</v>
      </c>
      <c r="G400" t="s">
        <v>2171</v>
      </c>
    </row>
    <row r="401" spans="1:7" x14ac:dyDescent="0.25">
      <c r="A401" t="s">
        <v>2761</v>
      </c>
      <c r="B401" t="s">
        <v>2762</v>
      </c>
      <c r="C401" t="s">
        <v>2763</v>
      </c>
      <c r="D401">
        <v>5</v>
      </c>
      <c r="E401" t="s">
        <v>2598</v>
      </c>
      <c r="F401" t="s">
        <v>2067</v>
      </c>
      <c r="G401" t="s">
        <v>2171</v>
      </c>
    </row>
    <row r="402" spans="1:7" x14ac:dyDescent="0.25">
      <c r="A402" t="s">
        <v>12297</v>
      </c>
      <c r="B402" t="s">
        <v>12298</v>
      </c>
      <c r="C402" t="s">
        <v>12299</v>
      </c>
      <c r="D402">
        <v>5</v>
      </c>
      <c r="E402" t="s">
        <v>2598</v>
      </c>
      <c r="F402" t="s">
        <v>2067</v>
      </c>
      <c r="G402" t="s">
        <v>2171</v>
      </c>
    </row>
    <row r="403" spans="1:7" x14ac:dyDescent="0.25">
      <c r="A403" t="s">
        <v>12300</v>
      </c>
      <c r="B403" t="s">
        <v>12301</v>
      </c>
      <c r="C403" t="s">
        <v>12302</v>
      </c>
      <c r="D403">
        <v>5</v>
      </c>
      <c r="E403" t="s">
        <v>2598</v>
      </c>
      <c r="F403" t="s">
        <v>2067</v>
      </c>
      <c r="G403" t="s">
        <v>2171</v>
      </c>
    </row>
    <row r="404" spans="1:7" x14ac:dyDescent="0.25">
      <c r="A404" t="s">
        <v>2764</v>
      </c>
      <c r="B404" t="s">
        <v>2765</v>
      </c>
      <c r="C404" t="s">
        <v>2766</v>
      </c>
      <c r="D404">
        <v>5</v>
      </c>
      <c r="E404" t="s">
        <v>2598</v>
      </c>
      <c r="F404" t="s">
        <v>2067</v>
      </c>
      <c r="G404" t="s">
        <v>2171</v>
      </c>
    </row>
    <row r="405" spans="1:7" x14ac:dyDescent="0.25">
      <c r="A405" t="s">
        <v>2767</v>
      </c>
      <c r="B405" t="s">
        <v>2768</v>
      </c>
      <c r="C405" t="s">
        <v>2769</v>
      </c>
      <c r="D405">
        <v>5</v>
      </c>
      <c r="E405" t="s">
        <v>2598</v>
      </c>
      <c r="F405" t="s">
        <v>2067</v>
      </c>
      <c r="G405" t="s">
        <v>2171</v>
      </c>
    </row>
    <row r="406" spans="1:7" x14ac:dyDescent="0.25">
      <c r="A406" t="s">
        <v>2771</v>
      </c>
      <c r="B406" t="s">
        <v>2772</v>
      </c>
      <c r="C406" t="s">
        <v>2773</v>
      </c>
      <c r="D406">
        <v>5</v>
      </c>
      <c r="E406" t="s">
        <v>2598</v>
      </c>
      <c r="F406" t="s">
        <v>2774</v>
      </c>
      <c r="G406" t="s">
        <v>7088</v>
      </c>
    </row>
    <row r="407" spans="1:7" x14ac:dyDescent="0.25">
      <c r="A407" t="s">
        <v>2775</v>
      </c>
      <c r="B407" t="s">
        <v>2776</v>
      </c>
      <c r="C407" t="s">
        <v>2777</v>
      </c>
      <c r="D407">
        <v>5</v>
      </c>
      <c r="E407" t="s">
        <v>2598</v>
      </c>
      <c r="F407" t="s">
        <v>2694</v>
      </c>
      <c r="G407" t="s">
        <v>2690</v>
      </c>
    </row>
    <row r="408" spans="1:7" x14ac:dyDescent="0.25">
      <c r="A408" t="s">
        <v>2778</v>
      </c>
      <c r="B408" t="s">
        <v>2779</v>
      </c>
      <c r="C408" t="s">
        <v>2754</v>
      </c>
      <c r="D408">
        <v>5</v>
      </c>
      <c r="E408" t="s">
        <v>2598</v>
      </c>
      <c r="F408" t="s">
        <v>2694</v>
      </c>
      <c r="G408" t="s">
        <v>2690</v>
      </c>
    </row>
    <row r="409" spans="1:7" x14ac:dyDescent="0.25">
      <c r="A409" t="s">
        <v>2780</v>
      </c>
      <c r="B409" t="s">
        <v>2781</v>
      </c>
      <c r="C409" t="s">
        <v>2782</v>
      </c>
      <c r="D409">
        <v>5</v>
      </c>
      <c r="E409" t="s">
        <v>2598</v>
      </c>
      <c r="F409" t="s">
        <v>2694</v>
      </c>
      <c r="G409" t="s">
        <v>2690</v>
      </c>
    </row>
    <row r="410" spans="1:7" x14ac:dyDescent="0.25">
      <c r="A410" t="s">
        <v>2783</v>
      </c>
      <c r="B410" t="s">
        <v>2784</v>
      </c>
      <c r="C410" t="s">
        <v>2785</v>
      </c>
      <c r="D410">
        <v>5</v>
      </c>
      <c r="E410" t="s">
        <v>2598</v>
      </c>
      <c r="F410" t="s">
        <v>2694</v>
      </c>
      <c r="G410" t="s">
        <v>2690</v>
      </c>
    </row>
    <row r="411" spans="1:7" x14ac:dyDescent="0.25">
      <c r="A411" t="s">
        <v>2786</v>
      </c>
      <c r="B411" t="s">
        <v>2787</v>
      </c>
      <c r="C411" t="s">
        <v>2754</v>
      </c>
      <c r="D411">
        <v>5</v>
      </c>
      <c r="E411" t="s">
        <v>2598</v>
      </c>
      <c r="F411" t="s">
        <v>2706</v>
      </c>
      <c r="G411" t="s">
        <v>2702</v>
      </c>
    </row>
    <row r="412" spans="1:7" x14ac:dyDescent="0.25">
      <c r="A412" t="s">
        <v>12303</v>
      </c>
      <c r="B412" t="s">
        <v>12304</v>
      </c>
      <c r="C412" t="s">
        <v>12305</v>
      </c>
      <c r="D412">
        <v>5</v>
      </c>
      <c r="E412" t="s">
        <v>2598</v>
      </c>
      <c r="F412" t="s">
        <v>2706</v>
      </c>
      <c r="G412" t="s">
        <v>2702</v>
      </c>
    </row>
    <row r="413" spans="1:7" x14ac:dyDescent="0.25">
      <c r="A413" t="s">
        <v>2788</v>
      </c>
      <c r="B413" t="s">
        <v>2789</v>
      </c>
      <c r="C413" t="s">
        <v>2790</v>
      </c>
      <c r="D413">
        <v>5</v>
      </c>
      <c r="E413" t="s">
        <v>2598</v>
      </c>
      <c r="F413" t="s">
        <v>2706</v>
      </c>
      <c r="G413" t="s">
        <v>2702</v>
      </c>
    </row>
    <row r="414" spans="1:7" x14ac:dyDescent="0.25">
      <c r="A414" t="s">
        <v>2791</v>
      </c>
      <c r="B414" t="s">
        <v>2792</v>
      </c>
      <c r="C414" t="s">
        <v>2793</v>
      </c>
      <c r="D414">
        <v>5</v>
      </c>
      <c r="E414" t="s">
        <v>2598</v>
      </c>
      <c r="F414" t="s">
        <v>2706</v>
      </c>
      <c r="G414" t="s">
        <v>2702</v>
      </c>
    </row>
    <row r="415" spans="1:7" x14ac:dyDescent="0.25">
      <c r="A415" t="s">
        <v>2794</v>
      </c>
      <c r="B415" t="s">
        <v>2795</v>
      </c>
      <c r="C415" t="s">
        <v>2796</v>
      </c>
      <c r="D415">
        <v>5</v>
      </c>
      <c r="E415" t="s">
        <v>2598</v>
      </c>
      <c r="F415" t="s">
        <v>2706</v>
      </c>
      <c r="G415" t="s">
        <v>2702</v>
      </c>
    </row>
    <row r="416" spans="1:7" x14ac:dyDescent="0.25">
      <c r="A416" t="s">
        <v>12306</v>
      </c>
      <c r="B416" t="s">
        <v>12307</v>
      </c>
      <c r="C416" t="s">
        <v>12308</v>
      </c>
      <c r="D416">
        <v>5</v>
      </c>
      <c r="E416" t="s">
        <v>2598</v>
      </c>
      <c r="F416" t="s">
        <v>2706</v>
      </c>
      <c r="G416" t="s">
        <v>2702</v>
      </c>
    </row>
    <row r="417" spans="1:7" x14ac:dyDescent="0.25">
      <c r="A417" t="s">
        <v>12309</v>
      </c>
      <c r="B417" t="s">
        <v>12310</v>
      </c>
      <c r="C417" t="s">
        <v>12311</v>
      </c>
      <c r="D417">
        <v>5</v>
      </c>
      <c r="E417" t="s">
        <v>2598</v>
      </c>
      <c r="F417" t="s">
        <v>1776</v>
      </c>
      <c r="G417" t="s">
        <v>1772</v>
      </c>
    </row>
    <row r="418" spans="1:7" x14ac:dyDescent="0.25">
      <c r="A418" t="s">
        <v>2798</v>
      </c>
      <c r="B418" t="s">
        <v>2799</v>
      </c>
      <c r="C418" t="s">
        <v>2800</v>
      </c>
      <c r="D418">
        <v>5</v>
      </c>
      <c r="E418" t="s">
        <v>2598</v>
      </c>
      <c r="F418" t="s">
        <v>1776</v>
      </c>
      <c r="G418" t="s">
        <v>1772</v>
      </c>
    </row>
    <row r="419" spans="1:7" x14ac:dyDescent="0.25">
      <c r="A419" t="s">
        <v>2801</v>
      </c>
      <c r="B419" t="s">
        <v>2802</v>
      </c>
      <c r="C419" t="s">
        <v>2760</v>
      </c>
      <c r="D419">
        <v>5</v>
      </c>
      <c r="E419" t="s">
        <v>2598</v>
      </c>
      <c r="F419" t="s">
        <v>2805</v>
      </c>
      <c r="G419" t="s">
        <v>2608</v>
      </c>
    </row>
    <row r="420" spans="1:7" x14ac:dyDescent="0.25">
      <c r="A420" t="s">
        <v>12312</v>
      </c>
      <c r="B420" t="s">
        <v>12313</v>
      </c>
      <c r="C420" t="s">
        <v>12314</v>
      </c>
      <c r="D420">
        <v>5</v>
      </c>
      <c r="E420" t="s">
        <v>2598</v>
      </c>
      <c r="F420" t="s">
        <v>2567</v>
      </c>
      <c r="G420" t="s">
        <v>5206</v>
      </c>
    </row>
    <row r="421" spans="1:7" x14ac:dyDescent="0.25">
      <c r="A421" t="s">
        <v>2808</v>
      </c>
      <c r="B421" t="s">
        <v>2809</v>
      </c>
      <c r="C421" t="s">
        <v>2810</v>
      </c>
      <c r="D421">
        <v>5</v>
      </c>
      <c r="E421" t="s">
        <v>2598</v>
      </c>
      <c r="F421" t="s">
        <v>2567</v>
      </c>
      <c r="G421" t="s">
        <v>5206</v>
      </c>
    </row>
    <row r="422" spans="1:7" x14ac:dyDescent="0.25">
      <c r="A422" t="s">
        <v>12315</v>
      </c>
      <c r="B422" t="s">
        <v>12316</v>
      </c>
      <c r="C422" t="s">
        <v>12317</v>
      </c>
      <c r="D422">
        <v>5</v>
      </c>
      <c r="E422" t="s">
        <v>2598</v>
      </c>
      <c r="F422" t="s">
        <v>2567</v>
      </c>
      <c r="G422" t="s">
        <v>5206</v>
      </c>
    </row>
    <row r="423" spans="1:7" x14ac:dyDescent="0.25">
      <c r="A423" t="s">
        <v>12318</v>
      </c>
      <c r="B423" t="s">
        <v>12319</v>
      </c>
      <c r="C423" t="s">
        <v>12320</v>
      </c>
      <c r="D423">
        <v>5</v>
      </c>
      <c r="E423" t="s">
        <v>2598</v>
      </c>
      <c r="F423" t="s">
        <v>7064</v>
      </c>
      <c r="G423" t="s">
        <v>7065</v>
      </c>
    </row>
    <row r="424" spans="1:7" x14ac:dyDescent="0.25">
      <c r="A424" t="s">
        <v>12322</v>
      </c>
      <c r="B424" t="s">
        <v>12323</v>
      </c>
      <c r="C424" t="s">
        <v>12324</v>
      </c>
      <c r="D424">
        <v>5</v>
      </c>
      <c r="E424" t="s">
        <v>2598</v>
      </c>
      <c r="F424" t="s">
        <v>7072</v>
      </c>
      <c r="G424" t="s">
        <v>7073</v>
      </c>
    </row>
    <row r="425" spans="1:7" x14ac:dyDescent="0.25">
      <c r="A425" t="s">
        <v>2811</v>
      </c>
      <c r="B425" t="s">
        <v>2812</v>
      </c>
      <c r="C425" t="s">
        <v>2813</v>
      </c>
      <c r="D425">
        <v>5</v>
      </c>
      <c r="E425" t="s">
        <v>2598</v>
      </c>
      <c r="F425" t="s">
        <v>2621</v>
      </c>
      <c r="G425" t="s">
        <v>7084</v>
      </c>
    </row>
    <row r="426" spans="1:7" x14ac:dyDescent="0.25">
      <c r="A426" t="s">
        <v>2814</v>
      </c>
      <c r="B426" t="s">
        <v>2815</v>
      </c>
      <c r="C426" t="s">
        <v>2816</v>
      </c>
      <c r="D426">
        <v>5</v>
      </c>
      <c r="E426" t="s">
        <v>2598</v>
      </c>
      <c r="F426" t="s">
        <v>2820</v>
      </c>
      <c r="G426" t="s">
        <v>7111</v>
      </c>
    </row>
    <row r="427" spans="1:7" x14ac:dyDescent="0.25">
      <c r="A427" t="s">
        <v>12325</v>
      </c>
      <c r="B427" t="s">
        <v>12326</v>
      </c>
      <c r="C427" t="s">
        <v>12327</v>
      </c>
      <c r="D427">
        <v>5</v>
      </c>
      <c r="E427" t="s">
        <v>2598</v>
      </c>
      <c r="F427" t="s">
        <v>7112</v>
      </c>
      <c r="G427" t="s">
        <v>7113</v>
      </c>
    </row>
    <row r="428" spans="1:7" x14ac:dyDescent="0.25">
      <c r="A428" t="s">
        <v>2821</v>
      </c>
      <c r="B428" t="s">
        <v>2822</v>
      </c>
      <c r="C428" t="s">
        <v>2823</v>
      </c>
      <c r="D428">
        <v>5</v>
      </c>
      <c r="E428" t="s">
        <v>2598</v>
      </c>
      <c r="F428" t="s">
        <v>2612</v>
      </c>
      <c r="G428" t="s">
        <v>7116</v>
      </c>
    </row>
    <row r="429" spans="1:7" x14ac:dyDescent="0.25">
      <c r="A429" t="s">
        <v>2824</v>
      </c>
      <c r="B429" t="s">
        <v>2825</v>
      </c>
      <c r="C429" t="s">
        <v>2823</v>
      </c>
      <c r="D429">
        <v>5</v>
      </c>
      <c r="E429" t="s">
        <v>2598</v>
      </c>
      <c r="F429" t="s">
        <v>2714</v>
      </c>
      <c r="G429" t="s">
        <v>2591</v>
      </c>
    </row>
    <row r="430" spans="1:7" x14ac:dyDescent="0.25">
      <c r="A430" t="s">
        <v>2826</v>
      </c>
      <c r="B430" t="s">
        <v>2827</v>
      </c>
      <c r="C430" t="s">
        <v>2823</v>
      </c>
      <c r="D430">
        <v>5</v>
      </c>
      <c r="E430" t="s">
        <v>2598</v>
      </c>
      <c r="F430" t="s">
        <v>2830</v>
      </c>
      <c r="G430" t="s">
        <v>7117</v>
      </c>
    </row>
    <row r="431" spans="1:7" x14ac:dyDescent="0.25">
      <c r="A431" t="s">
        <v>12329</v>
      </c>
      <c r="B431" t="s">
        <v>12330</v>
      </c>
      <c r="C431" t="s">
        <v>12331</v>
      </c>
      <c r="D431">
        <v>5</v>
      </c>
      <c r="E431" t="s">
        <v>2598</v>
      </c>
      <c r="F431" t="s">
        <v>7120</v>
      </c>
      <c r="G431" t="s">
        <v>7121</v>
      </c>
    </row>
    <row r="432" spans="1:7" x14ac:dyDescent="0.25">
      <c r="A432" t="s">
        <v>12334</v>
      </c>
      <c r="B432" t="s">
        <v>12335</v>
      </c>
      <c r="C432" t="s">
        <v>12336</v>
      </c>
      <c r="D432">
        <v>5</v>
      </c>
      <c r="E432" t="s">
        <v>2598</v>
      </c>
      <c r="F432" t="s">
        <v>7124</v>
      </c>
      <c r="G432" t="s">
        <v>7125</v>
      </c>
    </row>
    <row r="433" spans="1:7" x14ac:dyDescent="0.25">
      <c r="A433" t="s">
        <v>12337</v>
      </c>
      <c r="B433" t="s">
        <v>12338</v>
      </c>
      <c r="C433" t="s">
        <v>12339</v>
      </c>
      <c r="D433">
        <v>5</v>
      </c>
      <c r="E433" t="s">
        <v>2598</v>
      </c>
      <c r="F433" t="s">
        <v>7128</v>
      </c>
      <c r="G433" t="s">
        <v>7129</v>
      </c>
    </row>
    <row r="434" spans="1:7" x14ac:dyDescent="0.25">
      <c r="A434" t="s">
        <v>2831</v>
      </c>
      <c r="B434" t="s">
        <v>2832</v>
      </c>
      <c r="C434" t="s">
        <v>2833</v>
      </c>
      <c r="D434">
        <v>5</v>
      </c>
      <c r="E434" t="s">
        <v>2598</v>
      </c>
      <c r="F434" t="s">
        <v>2837</v>
      </c>
      <c r="G434" t="s">
        <v>7142</v>
      </c>
    </row>
    <row r="435" spans="1:7" x14ac:dyDescent="0.25">
      <c r="A435" t="s">
        <v>2838</v>
      </c>
      <c r="B435" t="s">
        <v>2839</v>
      </c>
      <c r="C435" t="s">
        <v>2840</v>
      </c>
      <c r="D435">
        <v>5</v>
      </c>
      <c r="E435" t="s">
        <v>2598</v>
      </c>
      <c r="F435" t="s">
        <v>2843</v>
      </c>
      <c r="G435" t="s">
        <v>7161</v>
      </c>
    </row>
    <row r="436" spans="1:7" x14ac:dyDescent="0.25">
      <c r="A436" t="s">
        <v>2844</v>
      </c>
      <c r="B436" t="s">
        <v>2845</v>
      </c>
      <c r="C436" t="s">
        <v>2846</v>
      </c>
      <c r="D436">
        <v>5</v>
      </c>
      <c r="E436" t="s">
        <v>2598</v>
      </c>
      <c r="F436" t="s">
        <v>2850</v>
      </c>
      <c r="G436" t="s">
        <v>2690</v>
      </c>
    </row>
    <row r="437" spans="1:7" x14ac:dyDescent="0.25">
      <c r="A437" t="s">
        <v>2852</v>
      </c>
      <c r="B437" t="s">
        <v>2853</v>
      </c>
      <c r="C437" t="s">
        <v>2854</v>
      </c>
      <c r="D437">
        <v>5</v>
      </c>
      <c r="E437" t="s">
        <v>2598</v>
      </c>
      <c r="F437" t="s">
        <v>2858</v>
      </c>
      <c r="G437" t="s">
        <v>5611</v>
      </c>
    </row>
    <row r="438" spans="1:7" x14ac:dyDescent="0.25">
      <c r="A438" t="s">
        <v>2859</v>
      </c>
      <c r="B438" t="s">
        <v>2860</v>
      </c>
      <c r="C438" t="s">
        <v>2861</v>
      </c>
      <c r="D438">
        <v>5</v>
      </c>
      <c r="E438" t="s">
        <v>2598</v>
      </c>
      <c r="F438" t="s">
        <v>2865</v>
      </c>
      <c r="G438" t="s">
        <v>5614</v>
      </c>
    </row>
    <row r="439" spans="1:7" x14ac:dyDescent="0.25">
      <c r="A439" t="s">
        <v>2866</v>
      </c>
      <c r="B439" t="s">
        <v>2867</v>
      </c>
      <c r="C439" t="s">
        <v>2816</v>
      </c>
      <c r="D439">
        <v>5</v>
      </c>
      <c r="E439" t="s">
        <v>2598</v>
      </c>
      <c r="F439" t="s">
        <v>2721</v>
      </c>
      <c r="G439" t="s">
        <v>7179</v>
      </c>
    </row>
    <row r="440" spans="1:7" x14ac:dyDescent="0.25">
      <c r="A440" t="s">
        <v>12340</v>
      </c>
      <c r="B440" t="s">
        <v>12341</v>
      </c>
      <c r="C440" t="s">
        <v>12342</v>
      </c>
      <c r="D440">
        <v>5</v>
      </c>
      <c r="E440" t="s">
        <v>2598</v>
      </c>
      <c r="F440" t="s">
        <v>2725</v>
      </c>
      <c r="G440" t="s">
        <v>5641</v>
      </c>
    </row>
    <row r="441" spans="1:7" x14ac:dyDescent="0.25">
      <c r="A441" t="s">
        <v>2868</v>
      </c>
      <c r="B441" t="s">
        <v>2869</v>
      </c>
      <c r="C441" t="s">
        <v>2870</v>
      </c>
      <c r="D441">
        <v>5</v>
      </c>
      <c r="E441" t="s">
        <v>2598</v>
      </c>
      <c r="F441" t="s">
        <v>2725</v>
      </c>
      <c r="G441" t="s">
        <v>5641</v>
      </c>
    </row>
    <row r="442" spans="1:7" x14ac:dyDescent="0.25">
      <c r="A442" t="s">
        <v>2871</v>
      </c>
      <c r="B442" t="s">
        <v>2872</v>
      </c>
      <c r="C442" t="s">
        <v>2873</v>
      </c>
      <c r="D442">
        <v>5</v>
      </c>
      <c r="E442" t="s">
        <v>2598</v>
      </c>
      <c r="F442" t="s">
        <v>2879</v>
      </c>
      <c r="G442" t="s">
        <v>7140</v>
      </c>
    </row>
    <row r="443" spans="1:7" x14ac:dyDescent="0.25">
      <c r="A443" t="s">
        <v>2880</v>
      </c>
      <c r="B443" t="s">
        <v>2881</v>
      </c>
      <c r="C443" t="s">
        <v>2882</v>
      </c>
      <c r="D443">
        <v>5</v>
      </c>
      <c r="E443" t="s">
        <v>2598</v>
      </c>
      <c r="F443" t="s">
        <v>2879</v>
      </c>
      <c r="G443" t="s">
        <v>7140</v>
      </c>
    </row>
    <row r="444" spans="1:7" x14ac:dyDescent="0.25">
      <c r="A444" t="s">
        <v>2883</v>
      </c>
      <c r="B444" t="s">
        <v>2884</v>
      </c>
      <c r="C444" t="s">
        <v>2754</v>
      </c>
      <c r="D444">
        <v>5</v>
      </c>
      <c r="E444" t="s">
        <v>2598</v>
      </c>
      <c r="F444" t="s">
        <v>2879</v>
      </c>
      <c r="G444" t="s">
        <v>7140</v>
      </c>
    </row>
    <row r="445" spans="1:7" x14ac:dyDescent="0.25">
      <c r="A445" t="s">
        <v>2885</v>
      </c>
      <c r="B445" t="s">
        <v>2886</v>
      </c>
      <c r="C445" t="s">
        <v>2816</v>
      </c>
      <c r="D445">
        <v>5</v>
      </c>
      <c r="E445" t="s">
        <v>2598</v>
      </c>
      <c r="F445" t="s">
        <v>2879</v>
      </c>
      <c r="G445" t="s">
        <v>7140</v>
      </c>
    </row>
    <row r="446" spans="1:7" x14ac:dyDescent="0.25">
      <c r="A446" t="s">
        <v>12343</v>
      </c>
      <c r="B446" t="s">
        <v>12344</v>
      </c>
      <c r="C446" t="s">
        <v>12345</v>
      </c>
      <c r="D446">
        <v>5</v>
      </c>
      <c r="E446" t="s">
        <v>2598</v>
      </c>
      <c r="F446" t="s">
        <v>2879</v>
      </c>
      <c r="G446" t="s">
        <v>7140</v>
      </c>
    </row>
    <row r="447" spans="1:7" x14ac:dyDescent="0.25">
      <c r="A447" t="s">
        <v>12346</v>
      </c>
      <c r="B447" t="s">
        <v>12347</v>
      </c>
      <c r="C447" t="s">
        <v>12345</v>
      </c>
      <c r="D447">
        <v>5</v>
      </c>
      <c r="E447" t="s">
        <v>2598</v>
      </c>
      <c r="F447" t="s">
        <v>2891</v>
      </c>
      <c r="G447" t="s">
        <v>7085</v>
      </c>
    </row>
    <row r="448" spans="1:7" x14ac:dyDescent="0.25">
      <c r="A448" t="s">
        <v>2892</v>
      </c>
      <c r="B448" t="s">
        <v>2893</v>
      </c>
      <c r="C448" t="s">
        <v>2894</v>
      </c>
      <c r="D448">
        <v>5</v>
      </c>
      <c r="E448" t="s">
        <v>2598</v>
      </c>
      <c r="F448" t="s">
        <v>2891</v>
      </c>
      <c r="G448" t="s">
        <v>7085</v>
      </c>
    </row>
    <row r="449" spans="1:7" x14ac:dyDescent="0.25">
      <c r="A449" t="s">
        <v>2895</v>
      </c>
      <c r="B449" t="s">
        <v>2896</v>
      </c>
      <c r="C449" t="s">
        <v>2816</v>
      </c>
      <c r="D449">
        <v>5</v>
      </c>
      <c r="E449" t="s">
        <v>2598</v>
      </c>
      <c r="F449" t="s">
        <v>2891</v>
      </c>
      <c r="G449" t="s">
        <v>7085</v>
      </c>
    </row>
    <row r="450" spans="1:7" x14ac:dyDescent="0.25">
      <c r="A450" t="s">
        <v>2897</v>
      </c>
      <c r="B450" t="s">
        <v>2898</v>
      </c>
      <c r="C450" t="s">
        <v>2894</v>
      </c>
      <c r="D450">
        <v>5</v>
      </c>
      <c r="E450" t="s">
        <v>2598</v>
      </c>
      <c r="F450" t="s">
        <v>2902</v>
      </c>
      <c r="G450" t="s">
        <v>7141</v>
      </c>
    </row>
    <row r="451" spans="1:7" x14ac:dyDescent="0.25">
      <c r="A451" t="s">
        <v>2903</v>
      </c>
      <c r="B451" t="s">
        <v>2904</v>
      </c>
      <c r="C451" t="s">
        <v>2905</v>
      </c>
      <c r="D451">
        <v>5</v>
      </c>
      <c r="E451" t="s">
        <v>2598</v>
      </c>
      <c r="F451" t="s">
        <v>2902</v>
      </c>
      <c r="G451" t="s">
        <v>7141</v>
      </c>
    </row>
    <row r="452" spans="1:7" x14ac:dyDescent="0.25">
      <c r="A452" t="s">
        <v>2906</v>
      </c>
      <c r="B452" t="s">
        <v>2907</v>
      </c>
      <c r="C452" t="s">
        <v>2908</v>
      </c>
      <c r="D452">
        <v>5</v>
      </c>
      <c r="E452" t="s">
        <v>2598</v>
      </c>
      <c r="F452" t="s">
        <v>2902</v>
      </c>
      <c r="G452" t="s">
        <v>7141</v>
      </c>
    </row>
    <row r="453" spans="1:7" x14ac:dyDescent="0.25">
      <c r="A453" t="s">
        <v>2909</v>
      </c>
      <c r="B453" t="s">
        <v>2910</v>
      </c>
      <c r="C453" t="s">
        <v>2911</v>
      </c>
      <c r="D453">
        <v>5</v>
      </c>
      <c r="E453" t="s">
        <v>2598</v>
      </c>
      <c r="F453" t="s">
        <v>2902</v>
      </c>
      <c r="G453" t="s">
        <v>7141</v>
      </c>
    </row>
    <row r="454" spans="1:7" x14ac:dyDescent="0.25">
      <c r="A454" t="s">
        <v>12348</v>
      </c>
      <c r="B454" t="s">
        <v>12349</v>
      </c>
      <c r="C454" t="s">
        <v>12345</v>
      </c>
      <c r="D454">
        <v>5</v>
      </c>
      <c r="E454" t="s">
        <v>2598</v>
      </c>
      <c r="F454" t="s">
        <v>2902</v>
      </c>
      <c r="G454" t="s">
        <v>7141</v>
      </c>
    </row>
    <row r="455" spans="1:7" x14ac:dyDescent="0.25">
      <c r="A455" t="s">
        <v>2912</v>
      </c>
      <c r="B455" t="s">
        <v>2913</v>
      </c>
      <c r="C455" t="s">
        <v>2914</v>
      </c>
      <c r="D455">
        <v>5</v>
      </c>
      <c r="E455" t="s">
        <v>2598</v>
      </c>
      <c r="F455" t="s">
        <v>2920</v>
      </c>
      <c r="G455" t="s">
        <v>7130</v>
      </c>
    </row>
    <row r="456" spans="1:7" x14ac:dyDescent="0.25">
      <c r="A456" t="s">
        <v>2921</v>
      </c>
      <c r="B456" t="s">
        <v>2922</v>
      </c>
      <c r="C456" t="s">
        <v>2923</v>
      </c>
      <c r="D456">
        <v>5</v>
      </c>
      <c r="E456" t="s">
        <v>2598</v>
      </c>
      <c r="F456" t="s">
        <v>2920</v>
      </c>
      <c r="G456" t="s">
        <v>7130</v>
      </c>
    </row>
    <row r="457" spans="1:7" x14ac:dyDescent="0.25">
      <c r="A457" t="s">
        <v>2924</v>
      </c>
      <c r="B457" t="s">
        <v>2925</v>
      </c>
      <c r="C457" t="s">
        <v>2816</v>
      </c>
      <c r="D457">
        <v>5</v>
      </c>
      <c r="E457" t="s">
        <v>2598</v>
      </c>
      <c r="F457" t="s">
        <v>2920</v>
      </c>
      <c r="G457" t="s">
        <v>7130</v>
      </c>
    </row>
    <row r="458" spans="1:7" x14ac:dyDescent="0.25">
      <c r="A458" t="s">
        <v>2926</v>
      </c>
      <c r="B458" t="s">
        <v>2927</v>
      </c>
      <c r="C458" t="s">
        <v>2894</v>
      </c>
      <c r="D458">
        <v>5</v>
      </c>
      <c r="E458" t="s">
        <v>2598</v>
      </c>
      <c r="F458" t="s">
        <v>2920</v>
      </c>
      <c r="G458" t="s">
        <v>7130</v>
      </c>
    </row>
    <row r="459" spans="1:7" x14ac:dyDescent="0.25">
      <c r="A459" t="s">
        <v>12350</v>
      </c>
      <c r="B459" t="s">
        <v>12351</v>
      </c>
      <c r="C459" t="s">
        <v>12345</v>
      </c>
      <c r="D459">
        <v>5</v>
      </c>
      <c r="E459" t="s">
        <v>2598</v>
      </c>
      <c r="F459" t="s">
        <v>2920</v>
      </c>
      <c r="G459" t="s">
        <v>7130</v>
      </c>
    </row>
    <row r="460" spans="1:7" x14ac:dyDescent="0.25">
      <c r="A460" t="s">
        <v>2928</v>
      </c>
      <c r="B460" t="s">
        <v>2929</v>
      </c>
      <c r="C460" t="s">
        <v>2930</v>
      </c>
      <c r="D460">
        <v>5</v>
      </c>
      <c r="E460" t="s">
        <v>2598</v>
      </c>
      <c r="F460" t="s">
        <v>2934</v>
      </c>
      <c r="G460" t="s">
        <v>7131</v>
      </c>
    </row>
    <row r="461" spans="1:7" x14ac:dyDescent="0.25">
      <c r="A461" t="s">
        <v>2935</v>
      </c>
      <c r="B461" t="s">
        <v>2936</v>
      </c>
      <c r="C461" t="s">
        <v>2937</v>
      </c>
      <c r="D461">
        <v>5</v>
      </c>
      <c r="E461" t="s">
        <v>2598</v>
      </c>
      <c r="F461" t="s">
        <v>2934</v>
      </c>
      <c r="G461" t="s">
        <v>7131</v>
      </c>
    </row>
    <row r="462" spans="1:7" x14ac:dyDescent="0.25">
      <c r="A462" t="s">
        <v>12352</v>
      </c>
      <c r="B462" t="s">
        <v>12353</v>
      </c>
      <c r="C462" t="s">
        <v>12345</v>
      </c>
      <c r="D462">
        <v>5</v>
      </c>
      <c r="E462" t="s">
        <v>2598</v>
      </c>
      <c r="F462" t="s">
        <v>2934</v>
      </c>
      <c r="G462" t="s">
        <v>7131</v>
      </c>
    </row>
    <row r="463" spans="1:7" x14ac:dyDescent="0.25">
      <c r="A463" t="s">
        <v>2938</v>
      </c>
      <c r="B463" t="s">
        <v>2939</v>
      </c>
      <c r="C463" t="s">
        <v>2940</v>
      </c>
      <c r="D463">
        <v>5</v>
      </c>
      <c r="E463" t="s">
        <v>2598</v>
      </c>
      <c r="F463" t="s">
        <v>2934</v>
      </c>
      <c r="G463" t="s">
        <v>7131</v>
      </c>
    </row>
    <row r="464" spans="1:7" x14ac:dyDescent="0.25">
      <c r="A464" t="s">
        <v>2941</v>
      </c>
      <c r="B464" t="s">
        <v>2942</v>
      </c>
      <c r="C464" t="s">
        <v>2894</v>
      </c>
      <c r="D464">
        <v>5</v>
      </c>
      <c r="E464" t="s">
        <v>2598</v>
      </c>
      <c r="F464" t="s">
        <v>2934</v>
      </c>
      <c r="G464" t="s">
        <v>7131</v>
      </c>
    </row>
    <row r="465" spans="1:7" x14ac:dyDescent="0.25">
      <c r="A465" t="s">
        <v>2943</v>
      </c>
      <c r="B465" t="s">
        <v>2944</v>
      </c>
      <c r="C465" t="s">
        <v>2945</v>
      </c>
      <c r="D465">
        <v>5</v>
      </c>
      <c r="E465" t="s">
        <v>2598</v>
      </c>
      <c r="F465" t="s">
        <v>2948</v>
      </c>
      <c r="G465" t="s">
        <v>2874</v>
      </c>
    </row>
    <row r="466" spans="1:7" x14ac:dyDescent="0.25">
      <c r="A466" t="s">
        <v>12354</v>
      </c>
      <c r="B466" t="s">
        <v>12355</v>
      </c>
      <c r="C466" t="s">
        <v>12356</v>
      </c>
      <c r="D466">
        <v>5</v>
      </c>
      <c r="E466" t="s">
        <v>2598</v>
      </c>
      <c r="F466" t="s">
        <v>2948</v>
      </c>
      <c r="G466" t="s">
        <v>2874</v>
      </c>
    </row>
    <row r="467" spans="1:7" x14ac:dyDescent="0.25">
      <c r="A467" t="s">
        <v>12358</v>
      </c>
      <c r="B467" t="s">
        <v>12359</v>
      </c>
      <c r="C467" t="s">
        <v>12345</v>
      </c>
      <c r="D467">
        <v>5</v>
      </c>
      <c r="E467" t="s">
        <v>2598</v>
      </c>
      <c r="F467" t="s">
        <v>2948</v>
      </c>
      <c r="G467" t="s">
        <v>2874</v>
      </c>
    </row>
    <row r="468" spans="1:7" x14ac:dyDescent="0.25">
      <c r="A468" t="s">
        <v>2949</v>
      </c>
      <c r="B468" t="s">
        <v>2950</v>
      </c>
      <c r="C468" t="s">
        <v>2894</v>
      </c>
      <c r="D468">
        <v>5</v>
      </c>
      <c r="E468" t="s">
        <v>2598</v>
      </c>
      <c r="F468" t="s">
        <v>2948</v>
      </c>
      <c r="G468" t="s">
        <v>2874</v>
      </c>
    </row>
    <row r="469" spans="1:7" x14ac:dyDescent="0.25">
      <c r="A469" t="s">
        <v>2951</v>
      </c>
      <c r="B469" t="s">
        <v>2952</v>
      </c>
      <c r="C469" t="s">
        <v>2953</v>
      </c>
      <c r="D469">
        <v>5</v>
      </c>
      <c r="E469" t="s">
        <v>2598</v>
      </c>
      <c r="F469" t="s">
        <v>2948</v>
      </c>
      <c r="G469" t="s">
        <v>2874</v>
      </c>
    </row>
    <row r="470" spans="1:7" x14ac:dyDescent="0.25">
      <c r="A470" t="s">
        <v>2954</v>
      </c>
      <c r="B470" t="s">
        <v>2955</v>
      </c>
      <c r="C470" t="s">
        <v>2754</v>
      </c>
      <c r="D470">
        <v>5</v>
      </c>
      <c r="E470" t="s">
        <v>2598</v>
      </c>
      <c r="F470" t="s">
        <v>2948</v>
      </c>
      <c r="G470" t="s">
        <v>2874</v>
      </c>
    </row>
    <row r="471" spans="1:7" x14ac:dyDescent="0.25">
      <c r="A471" t="s">
        <v>2956</v>
      </c>
      <c r="B471" t="s">
        <v>2957</v>
      </c>
      <c r="C471" t="s">
        <v>2958</v>
      </c>
      <c r="D471">
        <v>5</v>
      </c>
      <c r="E471" t="s">
        <v>2598</v>
      </c>
      <c r="F471" t="s">
        <v>2948</v>
      </c>
      <c r="G471" t="s">
        <v>2874</v>
      </c>
    </row>
    <row r="472" spans="1:7" x14ac:dyDescent="0.25">
      <c r="A472" t="s">
        <v>12360</v>
      </c>
      <c r="B472" t="s">
        <v>12361</v>
      </c>
      <c r="C472" t="s">
        <v>12362</v>
      </c>
      <c r="D472">
        <v>5</v>
      </c>
      <c r="E472" t="s">
        <v>2598</v>
      </c>
      <c r="F472" t="s">
        <v>2567</v>
      </c>
      <c r="G472" t="s">
        <v>5206</v>
      </c>
    </row>
    <row r="473" spans="1:7" x14ac:dyDescent="0.25">
      <c r="A473" t="s">
        <v>12363</v>
      </c>
      <c r="B473" t="s">
        <v>12364</v>
      </c>
      <c r="C473" t="s">
        <v>12365</v>
      </c>
      <c r="D473">
        <v>5</v>
      </c>
      <c r="E473" t="s">
        <v>2598</v>
      </c>
      <c r="F473" t="s">
        <v>2649</v>
      </c>
      <c r="G473" t="s">
        <v>2644</v>
      </c>
    </row>
    <row r="474" spans="1:7" x14ac:dyDescent="0.25">
      <c r="A474" t="s">
        <v>12372</v>
      </c>
      <c r="B474" t="s">
        <v>12373</v>
      </c>
      <c r="C474" t="s">
        <v>12374</v>
      </c>
      <c r="D474">
        <v>5</v>
      </c>
      <c r="E474" t="s">
        <v>2598</v>
      </c>
      <c r="F474" t="s">
        <v>2649</v>
      </c>
      <c r="G474" t="s">
        <v>2644</v>
      </c>
    </row>
    <row r="475" spans="1:7" x14ac:dyDescent="0.25">
      <c r="A475" t="s">
        <v>12375</v>
      </c>
      <c r="B475" t="s">
        <v>12376</v>
      </c>
      <c r="C475" t="s">
        <v>12377</v>
      </c>
      <c r="D475">
        <v>5</v>
      </c>
      <c r="E475" t="s">
        <v>2598</v>
      </c>
      <c r="F475" t="s">
        <v>2649</v>
      </c>
      <c r="G475" t="s">
        <v>2644</v>
      </c>
    </row>
    <row r="476" spans="1:7" x14ac:dyDescent="0.25">
      <c r="A476" t="s">
        <v>12380</v>
      </c>
      <c r="B476" t="s">
        <v>12381</v>
      </c>
      <c r="C476" t="s">
        <v>12377</v>
      </c>
      <c r="D476">
        <v>5</v>
      </c>
      <c r="E476" t="s">
        <v>2598</v>
      </c>
      <c r="F476" t="s">
        <v>2649</v>
      </c>
      <c r="G476" t="s">
        <v>2644</v>
      </c>
    </row>
    <row r="477" spans="1:7" x14ac:dyDescent="0.25">
      <c r="A477" t="s">
        <v>12383</v>
      </c>
      <c r="B477" t="s">
        <v>12384</v>
      </c>
      <c r="C477" t="s">
        <v>12385</v>
      </c>
      <c r="D477">
        <v>5</v>
      </c>
      <c r="E477" t="s">
        <v>2598</v>
      </c>
      <c r="F477" t="s">
        <v>2649</v>
      </c>
      <c r="G477" t="s">
        <v>2644</v>
      </c>
    </row>
    <row r="478" spans="1:7" x14ac:dyDescent="0.25">
      <c r="A478" t="s">
        <v>12387</v>
      </c>
      <c r="B478" t="s">
        <v>12388</v>
      </c>
      <c r="C478" t="s">
        <v>12389</v>
      </c>
      <c r="D478">
        <v>5</v>
      </c>
      <c r="E478" t="s">
        <v>2598</v>
      </c>
      <c r="F478" t="s">
        <v>4745</v>
      </c>
      <c r="G478" t="s">
        <v>2559</v>
      </c>
    </row>
    <row r="479" spans="1:7" x14ac:dyDescent="0.25">
      <c r="A479" t="s">
        <v>12394</v>
      </c>
      <c r="B479" t="s">
        <v>12395</v>
      </c>
      <c r="C479" t="s">
        <v>12267</v>
      </c>
      <c r="D479">
        <v>5</v>
      </c>
      <c r="E479" t="s">
        <v>2598</v>
      </c>
      <c r="F479" t="s">
        <v>4745</v>
      </c>
      <c r="G479" t="s">
        <v>2559</v>
      </c>
    </row>
    <row r="480" spans="1:7" x14ac:dyDescent="0.25">
      <c r="A480" t="s">
        <v>12396</v>
      </c>
      <c r="B480" t="s">
        <v>12397</v>
      </c>
      <c r="C480" t="s">
        <v>12398</v>
      </c>
      <c r="D480">
        <v>5</v>
      </c>
      <c r="E480" t="s">
        <v>2598</v>
      </c>
      <c r="F480" t="s">
        <v>4745</v>
      </c>
      <c r="G480" t="s">
        <v>2559</v>
      </c>
    </row>
    <row r="481" spans="1:7" x14ac:dyDescent="0.25">
      <c r="A481" t="s">
        <v>12399</v>
      </c>
      <c r="B481" t="s">
        <v>12400</v>
      </c>
      <c r="C481" t="s">
        <v>12401</v>
      </c>
      <c r="D481">
        <v>5</v>
      </c>
      <c r="E481" t="s">
        <v>2598</v>
      </c>
      <c r="F481" t="s">
        <v>4745</v>
      </c>
      <c r="G481" t="s">
        <v>2559</v>
      </c>
    </row>
    <row r="482" spans="1:7" x14ac:dyDescent="0.25">
      <c r="A482" t="s">
        <v>12402</v>
      </c>
      <c r="B482" t="s">
        <v>12403</v>
      </c>
      <c r="C482" t="s">
        <v>12404</v>
      </c>
      <c r="D482">
        <v>5</v>
      </c>
      <c r="E482" t="s">
        <v>2598</v>
      </c>
      <c r="F482" t="s">
        <v>4745</v>
      </c>
      <c r="G482" t="s">
        <v>2559</v>
      </c>
    </row>
    <row r="483" spans="1:7" x14ac:dyDescent="0.25">
      <c r="A483" t="s">
        <v>173</v>
      </c>
      <c r="B483" t="s">
        <v>174</v>
      </c>
      <c r="C483" t="s">
        <v>175</v>
      </c>
      <c r="D483">
        <v>6</v>
      </c>
      <c r="E483" t="s">
        <v>259</v>
      </c>
      <c r="F483" t="s">
        <v>262</v>
      </c>
      <c r="G483" t="s">
        <v>5167</v>
      </c>
    </row>
    <row r="484" spans="1:7" x14ac:dyDescent="0.25">
      <c r="A484" t="s">
        <v>176</v>
      </c>
      <c r="B484" t="s">
        <v>263</v>
      </c>
      <c r="C484" t="s">
        <v>177</v>
      </c>
      <c r="D484">
        <v>6</v>
      </c>
      <c r="E484" t="s">
        <v>259</v>
      </c>
      <c r="F484" t="s">
        <v>267</v>
      </c>
      <c r="G484" t="s">
        <v>46</v>
      </c>
    </row>
    <row r="485" spans="1:7" x14ac:dyDescent="0.25">
      <c r="A485" t="s">
        <v>178</v>
      </c>
      <c r="B485" t="s">
        <v>179</v>
      </c>
      <c r="C485" t="s">
        <v>180</v>
      </c>
      <c r="D485">
        <v>6</v>
      </c>
      <c r="E485" t="s">
        <v>259</v>
      </c>
      <c r="F485" t="s">
        <v>273</v>
      </c>
      <c r="G485" t="s">
        <v>81</v>
      </c>
    </row>
    <row r="486" spans="1:7" x14ac:dyDescent="0.25">
      <c r="A486" t="s">
        <v>274</v>
      </c>
      <c r="B486" t="s">
        <v>169</v>
      </c>
      <c r="C486" t="s">
        <v>170</v>
      </c>
      <c r="D486">
        <v>6</v>
      </c>
      <c r="E486" t="s">
        <v>259</v>
      </c>
      <c r="F486" t="s">
        <v>280</v>
      </c>
      <c r="G486" t="s">
        <v>5557</v>
      </c>
    </row>
    <row r="487" spans="1:7" x14ac:dyDescent="0.25">
      <c r="A487" t="s">
        <v>281</v>
      </c>
      <c r="B487" t="s">
        <v>171</v>
      </c>
      <c r="C487" t="s">
        <v>172</v>
      </c>
      <c r="D487">
        <v>6</v>
      </c>
      <c r="E487" t="s">
        <v>259</v>
      </c>
      <c r="F487" t="s">
        <v>287</v>
      </c>
      <c r="G487" t="s">
        <v>9080</v>
      </c>
    </row>
    <row r="488" spans="1:7" x14ac:dyDescent="0.25">
      <c r="A488" t="s">
        <v>22</v>
      </c>
      <c r="B488" t="s">
        <v>23</v>
      </c>
      <c r="C488" t="s">
        <v>24</v>
      </c>
      <c r="D488">
        <v>6</v>
      </c>
      <c r="E488" t="s">
        <v>259</v>
      </c>
      <c r="F488" t="s">
        <v>290</v>
      </c>
      <c r="G488" t="s">
        <v>2</v>
      </c>
    </row>
    <row r="489" spans="1:7" x14ac:dyDescent="0.25">
      <c r="A489" t="s">
        <v>25</v>
      </c>
      <c r="B489" t="s">
        <v>26</v>
      </c>
      <c r="C489" t="s">
        <v>27</v>
      </c>
      <c r="D489">
        <v>6</v>
      </c>
      <c r="E489" t="s">
        <v>259</v>
      </c>
      <c r="F489" t="s">
        <v>290</v>
      </c>
      <c r="G489" t="s">
        <v>2</v>
      </c>
    </row>
    <row r="490" spans="1:7" x14ac:dyDescent="0.25">
      <c r="A490" t="s">
        <v>29</v>
      </c>
      <c r="B490" t="s">
        <v>30</v>
      </c>
      <c r="C490" t="s">
        <v>31</v>
      </c>
      <c r="D490">
        <v>6</v>
      </c>
      <c r="E490" t="s">
        <v>259</v>
      </c>
      <c r="F490" t="s">
        <v>290</v>
      </c>
      <c r="G490" t="s">
        <v>2</v>
      </c>
    </row>
    <row r="491" spans="1:7" x14ac:dyDescent="0.25">
      <c r="A491" t="s">
        <v>32</v>
      </c>
      <c r="B491" t="s">
        <v>33</v>
      </c>
      <c r="C491" t="s">
        <v>34</v>
      </c>
      <c r="D491">
        <v>6</v>
      </c>
      <c r="E491" t="s">
        <v>259</v>
      </c>
      <c r="F491" t="s">
        <v>290</v>
      </c>
      <c r="G491" t="s">
        <v>2</v>
      </c>
    </row>
    <row r="492" spans="1:7" x14ac:dyDescent="0.25">
      <c r="A492" t="s">
        <v>1</v>
      </c>
      <c r="B492" t="s">
        <v>2959</v>
      </c>
      <c r="C492" t="s">
        <v>2960</v>
      </c>
      <c r="D492">
        <v>6</v>
      </c>
      <c r="E492" t="s">
        <v>259</v>
      </c>
      <c r="F492" t="s">
        <v>297</v>
      </c>
      <c r="G492" t="s">
        <v>9092</v>
      </c>
    </row>
    <row r="493" spans="1:7" x14ac:dyDescent="0.25">
      <c r="A493" t="s">
        <v>8</v>
      </c>
      <c r="B493" t="s">
        <v>2961</v>
      </c>
      <c r="C493" t="s">
        <v>2962</v>
      </c>
      <c r="D493">
        <v>6</v>
      </c>
      <c r="E493" t="s">
        <v>259</v>
      </c>
      <c r="F493" t="s">
        <v>297</v>
      </c>
      <c r="G493" t="s">
        <v>9092</v>
      </c>
    </row>
    <row r="494" spans="1:7" x14ac:dyDescent="0.25">
      <c r="A494" t="s">
        <v>9</v>
      </c>
      <c r="B494" t="s">
        <v>2963</v>
      </c>
      <c r="C494" t="s">
        <v>2964</v>
      </c>
      <c r="D494">
        <v>6</v>
      </c>
      <c r="E494" t="s">
        <v>259</v>
      </c>
      <c r="F494" t="s">
        <v>297</v>
      </c>
      <c r="G494" t="s">
        <v>9092</v>
      </c>
    </row>
    <row r="495" spans="1:7" x14ac:dyDescent="0.25">
      <c r="A495" t="s">
        <v>10</v>
      </c>
      <c r="B495" t="s">
        <v>2971</v>
      </c>
      <c r="C495" t="s">
        <v>2972</v>
      </c>
      <c r="D495">
        <v>6</v>
      </c>
      <c r="E495" t="s">
        <v>259</v>
      </c>
      <c r="F495" t="s">
        <v>297</v>
      </c>
      <c r="G495" t="s">
        <v>9092</v>
      </c>
    </row>
    <row r="496" spans="1:7" x14ac:dyDescent="0.25">
      <c r="A496" t="s">
        <v>11</v>
      </c>
      <c r="B496" t="s">
        <v>2965</v>
      </c>
      <c r="C496" t="s">
        <v>12</v>
      </c>
      <c r="D496">
        <v>6</v>
      </c>
      <c r="E496" t="s">
        <v>259</v>
      </c>
      <c r="F496" t="s">
        <v>297</v>
      </c>
      <c r="G496" t="s">
        <v>9092</v>
      </c>
    </row>
    <row r="497" spans="1:7" x14ac:dyDescent="0.25">
      <c r="A497" t="s">
        <v>14</v>
      </c>
      <c r="B497" t="s">
        <v>15</v>
      </c>
      <c r="C497" t="s">
        <v>16</v>
      </c>
      <c r="D497">
        <v>6</v>
      </c>
      <c r="E497" t="s">
        <v>259</v>
      </c>
      <c r="F497" t="s">
        <v>306</v>
      </c>
      <c r="G497" t="s">
        <v>9093</v>
      </c>
    </row>
    <row r="498" spans="1:7" x14ac:dyDescent="0.25">
      <c r="A498" t="s">
        <v>18</v>
      </c>
      <c r="B498" t="s">
        <v>19</v>
      </c>
      <c r="C498" t="s">
        <v>20</v>
      </c>
      <c r="D498">
        <v>6</v>
      </c>
      <c r="E498" t="s">
        <v>259</v>
      </c>
      <c r="F498" t="s">
        <v>306</v>
      </c>
      <c r="G498" t="s">
        <v>9093</v>
      </c>
    </row>
    <row r="499" spans="1:7" x14ac:dyDescent="0.25">
      <c r="A499" t="s">
        <v>35</v>
      </c>
      <c r="B499" t="s">
        <v>36</v>
      </c>
      <c r="C499" t="s">
        <v>37</v>
      </c>
      <c r="D499">
        <v>6</v>
      </c>
      <c r="E499" t="s">
        <v>259</v>
      </c>
      <c r="F499" t="s">
        <v>280</v>
      </c>
      <c r="G499" t="s">
        <v>5557</v>
      </c>
    </row>
    <row r="500" spans="1:7" x14ac:dyDescent="0.25">
      <c r="A500" t="s">
        <v>93</v>
      </c>
      <c r="B500" t="s">
        <v>94</v>
      </c>
      <c r="C500" t="s">
        <v>95</v>
      </c>
      <c r="D500">
        <v>6</v>
      </c>
      <c r="E500" t="s">
        <v>259</v>
      </c>
      <c r="F500" t="s">
        <v>312</v>
      </c>
      <c r="G500" t="s">
        <v>9084</v>
      </c>
    </row>
    <row r="501" spans="1:7" x14ac:dyDescent="0.25">
      <c r="A501" t="s">
        <v>66</v>
      </c>
      <c r="B501" t="s">
        <v>67</v>
      </c>
      <c r="C501" t="s">
        <v>68</v>
      </c>
      <c r="D501">
        <v>6</v>
      </c>
      <c r="E501" t="s">
        <v>259</v>
      </c>
      <c r="F501" t="s">
        <v>315</v>
      </c>
      <c r="G501" t="s">
        <v>5488</v>
      </c>
    </row>
    <row r="502" spans="1:7" x14ac:dyDescent="0.25">
      <c r="A502" t="s">
        <v>75</v>
      </c>
      <c r="B502" t="s">
        <v>76</v>
      </c>
      <c r="C502" t="s">
        <v>77</v>
      </c>
      <c r="D502">
        <v>6</v>
      </c>
      <c r="E502" t="s">
        <v>259</v>
      </c>
      <c r="F502" t="s">
        <v>315</v>
      </c>
      <c r="G502" t="s">
        <v>5488</v>
      </c>
    </row>
    <row r="503" spans="1:7" x14ac:dyDescent="0.25">
      <c r="A503" t="s">
        <v>71</v>
      </c>
      <c r="B503" t="s">
        <v>72</v>
      </c>
      <c r="C503" t="s">
        <v>59</v>
      </c>
      <c r="D503">
        <v>6</v>
      </c>
      <c r="E503" t="s">
        <v>259</v>
      </c>
      <c r="F503" t="s">
        <v>320</v>
      </c>
      <c r="G503" t="s">
        <v>9139</v>
      </c>
    </row>
    <row r="504" spans="1:7" x14ac:dyDescent="0.25">
      <c r="A504" t="s">
        <v>60</v>
      </c>
      <c r="B504" t="s">
        <v>61</v>
      </c>
      <c r="C504" t="s">
        <v>62</v>
      </c>
      <c r="D504">
        <v>6</v>
      </c>
      <c r="E504" t="s">
        <v>259</v>
      </c>
      <c r="F504" t="s">
        <v>323</v>
      </c>
      <c r="G504" t="s">
        <v>9133</v>
      </c>
    </row>
    <row r="505" spans="1:7" x14ac:dyDescent="0.25">
      <c r="A505" t="s">
        <v>54</v>
      </c>
      <c r="B505" t="s">
        <v>55</v>
      </c>
      <c r="C505" t="s">
        <v>56</v>
      </c>
      <c r="D505">
        <v>6</v>
      </c>
      <c r="E505" t="s">
        <v>259</v>
      </c>
      <c r="F505" t="s">
        <v>329</v>
      </c>
      <c r="G505" t="s">
        <v>9134</v>
      </c>
    </row>
    <row r="506" spans="1:7" x14ac:dyDescent="0.25">
      <c r="A506" t="s">
        <v>86</v>
      </c>
      <c r="B506" t="s">
        <v>87</v>
      </c>
      <c r="C506" t="s">
        <v>88</v>
      </c>
      <c r="D506">
        <v>6</v>
      </c>
      <c r="E506" t="s">
        <v>259</v>
      </c>
      <c r="F506" t="s">
        <v>312</v>
      </c>
      <c r="G506" t="s">
        <v>9084</v>
      </c>
    </row>
    <row r="507" spans="1:7" x14ac:dyDescent="0.25">
      <c r="A507" t="s">
        <v>78</v>
      </c>
      <c r="B507" t="s">
        <v>79</v>
      </c>
      <c r="C507" t="s">
        <v>80</v>
      </c>
      <c r="D507">
        <v>6</v>
      </c>
      <c r="E507" t="s">
        <v>259</v>
      </c>
      <c r="F507" t="s">
        <v>273</v>
      </c>
      <c r="G507" t="s">
        <v>81</v>
      </c>
    </row>
    <row r="508" spans="1:7" x14ac:dyDescent="0.25">
      <c r="A508" t="s">
        <v>51</v>
      </c>
      <c r="B508" t="s">
        <v>52</v>
      </c>
      <c r="C508" t="s">
        <v>331</v>
      </c>
      <c r="D508">
        <v>6</v>
      </c>
      <c r="E508" t="s">
        <v>259</v>
      </c>
      <c r="F508" t="s">
        <v>336</v>
      </c>
      <c r="G508" t="s">
        <v>53</v>
      </c>
    </row>
    <row r="509" spans="1:7" x14ac:dyDescent="0.25">
      <c r="A509" t="s">
        <v>90</v>
      </c>
      <c r="B509" t="s">
        <v>91</v>
      </c>
      <c r="C509" t="s">
        <v>92</v>
      </c>
      <c r="D509">
        <v>6</v>
      </c>
      <c r="E509" t="s">
        <v>259</v>
      </c>
      <c r="F509" t="s">
        <v>338</v>
      </c>
      <c r="G509" t="s">
        <v>63</v>
      </c>
    </row>
    <row r="510" spans="1:7" x14ac:dyDescent="0.25">
      <c r="A510" t="s">
        <v>47</v>
      </c>
      <c r="B510" t="s">
        <v>48</v>
      </c>
      <c r="C510" t="s">
        <v>49</v>
      </c>
      <c r="D510">
        <v>6</v>
      </c>
      <c r="E510" t="s">
        <v>259</v>
      </c>
      <c r="F510" t="s">
        <v>267</v>
      </c>
      <c r="G510" t="s">
        <v>46</v>
      </c>
    </row>
    <row r="511" spans="1:7" x14ac:dyDescent="0.25">
      <c r="A511" t="s">
        <v>57</v>
      </c>
      <c r="B511" t="s">
        <v>58</v>
      </c>
      <c r="C511" t="s">
        <v>59</v>
      </c>
      <c r="D511">
        <v>6</v>
      </c>
      <c r="E511" t="s">
        <v>259</v>
      </c>
      <c r="F511" t="s">
        <v>267</v>
      </c>
      <c r="G511" t="s">
        <v>46</v>
      </c>
    </row>
    <row r="512" spans="1:7" x14ac:dyDescent="0.25">
      <c r="A512" t="s">
        <v>82</v>
      </c>
      <c r="B512" t="s">
        <v>83</v>
      </c>
      <c r="C512" t="s">
        <v>84</v>
      </c>
      <c r="D512">
        <v>6</v>
      </c>
      <c r="E512" t="s">
        <v>259</v>
      </c>
      <c r="F512" t="s">
        <v>267</v>
      </c>
      <c r="G512" t="s">
        <v>46</v>
      </c>
    </row>
    <row r="513" spans="1:7" x14ac:dyDescent="0.25">
      <c r="A513" t="s">
        <v>40</v>
      </c>
      <c r="B513" t="s">
        <v>41</v>
      </c>
      <c r="C513" t="s">
        <v>42</v>
      </c>
      <c r="D513">
        <v>6</v>
      </c>
      <c r="E513" t="s">
        <v>259</v>
      </c>
      <c r="F513" t="s">
        <v>342</v>
      </c>
      <c r="G513" t="s">
        <v>38</v>
      </c>
    </row>
    <row r="514" spans="1:7" x14ac:dyDescent="0.25">
      <c r="A514" t="s">
        <v>43</v>
      </c>
      <c r="B514" t="s">
        <v>44</v>
      </c>
      <c r="C514" t="s">
        <v>45</v>
      </c>
      <c r="D514">
        <v>6</v>
      </c>
      <c r="E514" t="s">
        <v>259</v>
      </c>
      <c r="F514" t="s">
        <v>347</v>
      </c>
      <c r="G514" t="s">
        <v>46</v>
      </c>
    </row>
    <row r="515" spans="1:7" x14ac:dyDescent="0.25">
      <c r="A515" t="s">
        <v>101</v>
      </c>
      <c r="B515" t="s">
        <v>102</v>
      </c>
      <c r="C515" t="s">
        <v>348</v>
      </c>
      <c r="D515">
        <v>6</v>
      </c>
      <c r="E515" t="s">
        <v>259</v>
      </c>
      <c r="F515" t="s">
        <v>342</v>
      </c>
      <c r="G515" t="s">
        <v>38</v>
      </c>
    </row>
    <row r="516" spans="1:7" x14ac:dyDescent="0.25">
      <c r="A516" t="s">
        <v>103</v>
      </c>
      <c r="B516" t="s">
        <v>104</v>
      </c>
      <c r="C516" t="s">
        <v>350</v>
      </c>
      <c r="D516">
        <v>6</v>
      </c>
      <c r="E516" t="s">
        <v>259</v>
      </c>
      <c r="F516" t="s">
        <v>342</v>
      </c>
      <c r="G516" t="s">
        <v>38</v>
      </c>
    </row>
    <row r="517" spans="1:7" x14ac:dyDescent="0.25">
      <c r="A517" t="s">
        <v>105</v>
      </c>
      <c r="B517" t="s">
        <v>106</v>
      </c>
      <c r="C517" t="s">
        <v>2974</v>
      </c>
      <c r="D517">
        <v>6</v>
      </c>
      <c r="E517" t="s">
        <v>259</v>
      </c>
      <c r="F517" t="s">
        <v>297</v>
      </c>
      <c r="G517" t="s">
        <v>9092</v>
      </c>
    </row>
    <row r="518" spans="1:7" x14ac:dyDescent="0.25">
      <c r="A518" t="s">
        <v>107</v>
      </c>
      <c r="B518" t="s">
        <v>108</v>
      </c>
      <c r="C518" t="s">
        <v>109</v>
      </c>
      <c r="D518">
        <v>6</v>
      </c>
      <c r="E518" t="s">
        <v>259</v>
      </c>
      <c r="F518" t="s">
        <v>342</v>
      </c>
      <c r="G518" t="s">
        <v>38</v>
      </c>
    </row>
    <row r="519" spans="1:7" x14ac:dyDescent="0.25">
      <c r="A519" t="s">
        <v>96</v>
      </c>
      <c r="B519" t="s">
        <v>97</v>
      </c>
      <c r="C519" t="s">
        <v>355</v>
      </c>
      <c r="D519">
        <v>6</v>
      </c>
      <c r="E519" t="s">
        <v>259</v>
      </c>
      <c r="F519" t="s">
        <v>2975</v>
      </c>
      <c r="G519" t="s">
        <v>5651</v>
      </c>
    </row>
    <row r="520" spans="1:7" x14ac:dyDescent="0.25">
      <c r="A520" t="s">
        <v>99</v>
      </c>
      <c r="B520" t="s">
        <v>100</v>
      </c>
      <c r="C520" t="s">
        <v>362</v>
      </c>
      <c r="D520">
        <v>6</v>
      </c>
      <c r="E520" t="s">
        <v>259</v>
      </c>
      <c r="F520" t="s">
        <v>2975</v>
      </c>
      <c r="G520" t="s">
        <v>5651</v>
      </c>
    </row>
    <row r="521" spans="1:7" x14ac:dyDescent="0.25">
      <c r="A521" t="s">
        <v>110</v>
      </c>
      <c r="B521" t="s">
        <v>111</v>
      </c>
      <c r="C521" t="s">
        <v>112</v>
      </c>
      <c r="D521">
        <v>6</v>
      </c>
      <c r="E521" t="s">
        <v>259</v>
      </c>
      <c r="F521" t="s">
        <v>372</v>
      </c>
      <c r="G521" t="s">
        <v>73</v>
      </c>
    </row>
    <row r="522" spans="1:7" x14ac:dyDescent="0.25">
      <c r="A522" t="s">
        <v>113</v>
      </c>
      <c r="B522" t="s">
        <v>114</v>
      </c>
      <c r="C522" t="s">
        <v>115</v>
      </c>
      <c r="D522">
        <v>6</v>
      </c>
      <c r="E522" t="s">
        <v>259</v>
      </c>
      <c r="F522" t="s">
        <v>372</v>
      </c>
      <c r="G522" t="s">
        <v>73</v>
      </c>
    </row>
    <row r="523" spans="1:7" x14ac:dyDescent="0.25">
      <c r="A523" t="s">
        <v>118</v>
      </c>
      <c r="B523" t="s">
        <v>119</v>
      </c>
      <c r="C523" t="s">
        <v>120</v>
      </c>
      <c r="D523">
        <v>6</v>
      </c>
      <c r="E523" t="s">
        <v>259</v>
      </c>
      <c r="F523" t="s">
        <v>377</v>
      </c>
      <c r="G523" t="s">
        <v>9123</v>
      </c>
    </row>
    <row r="524" spans="1:7" x14ac:dyDescent="0.25">
      <c r="A524" t="s">
        <v>116</v>
      </c>
      <c r="B524" t="s">
        <v>117</v>
      </c>
      <c r="C524" t="s">
        <v>378</v>
      </c>
      <c r="D524">
        <v>6</v>
      </c>
      <c r="E524" t="s">
        <v>259</v>
      </c>
      <c r="F524" t="s">
        <v>372</v>
      </c>
      <c r="G524" t="s">
        <v>73</v>
      </c>
    </row>
    <row r="525" spans="1:7" x14ac:dyDescent="0.25">
      <c r="A525" t="s">
        <v>124</v>
      </c>
      <c r="B525" t="s">
        <v>125</v>
      </c>
      <c r="C525" t="s">
        <v>379</v>
      </c>
      <c r="D525">
        <v>6</v>
      </c>
      <c r="E525" t="s">
        <v>259</v>
      </c>
      <c r="F525" t="s">
        <v>336</v>
      </c>
      <c r="G525" t="s">
        <v>53</v>
      </c>
    </row>
    <row r="526" spans="1:7" x14ac:dyDescent="0.25">
      <c r="A526" t="s">
        <v>126</v>
      </c>
      <c r="B526" t="s">
        <v>127</v>
      </c>
      <c r="C526" t="s">
        <v>128</v>
      </c>
      <c r="D526">
        <v>6</v>
      </c>
      <c r="E526" t="s">
        <v>259</v>
      </c>
      <c r="F526" t="s">
        <v>336</v>
      </c>
      <c r="G526" t="s">
        <v>53</v>
      </c>
    </row>
    <row r="527" spans="1:7" x14ac:dyDescent="0.25">
      <c r="A527" t="s">
        <v>129</v>
      </c>
      <c r="B527" t="s">
        <v>130</v>
      </c>
      <c r="C527" t="s">
        <v>131</v>
      </c>
      <c r="D527">
        <v>6</v>
      </c>
      <c r="E527" t="s">
        <v>259</v>
      </c>
      <c r="F527" t="s">
        <v>338</v>
      </c>
      <c r="G527" t="s">
        <v>63</v>
      </c>
    </row>
    <row r="528" spans="1:7" x14ac:dyDescent="0.25">
      <c r="A528" t="s">
        <v>132</v>
      </c>
      <c r="B528" t="s">
        <v>133</v>
      </c>
      <c r="C528" t="s">
        <v>134</v>
      </c>
      <c r="D528">
        <v>6</v>
      </c>
      <c r="E528" t="s">
        <v>259</v>
      </c>
      <c r="F528" t="s">
        <v>338</v>
      </c>
      <c r="G528" t="s">
        <v>63</v>
      </c>
    </row>
    <row r="529" spans="1:7" x14ac:dyDescent="0.25">
      <c r="A529" t="s">
        <v>135</v>
      </c>
      <c r="B529" t="s">
        <v>136</v>
      </c>
      <c r="C529" t="s">
        <v>137</v>
      </c>
      <c r="D529">
        <v>6</v>
      </c>
      <c r="E529" t="s">
        <v>259</v>
      </c>
      <c r="F529" t="s">
        <v>338</v>
      </c>
      <c r="G529" t="s">
        <v>63</v>
      </c>
    </row>
    <row r="530" spans="1:7" x14ac:dyDescent="0.25">
      <c r="A530" t="s">
        <v>138</v>
      </c>
      <c r="B530" t="s">
        <v>139</v>
      </c>
      <c r="C530" t="s">
        <v>385</v>
      </c>
      <c r="D530">
        <v>6</v>
      </c>
      <c r="E530" t="s">
        <v>259</v>
      </c>
      <c r="F530" t="s">
        <v>390</v>
      </c>
      <c r="G530" t="s">
        <v>9065</v>
      </c>
    </row>
    <row r="531" spans="1:7" x14ac:dyDescent="0.25">
      <c r="A531" t="s">
        <v>140</v>
      </c>
      <c r="B531" t="s">
        <v>141</v>
      </c>
      <c r="C531" t="s">
        <v>142</v>
      </c>
      <c r="D531">
        <v>6</v>
      </c>
      <c r="E531" t="s">
        <v>259</v>
      </c>
      <c r="F531" t="s">
        <v>392</v>
      </c>
      <c r="G531" t="s">
        <v>9109</v>
      </c>
    </row>
    <row r="532" spans="1:7" x14ac:dyDescent="0.25">
      <c r="A532" t="s">
        <v>143</v>
      </c>
      <c r="B532" t="s">
        <v>393</v>
      </c>
      <c r="C532" t="s">
        <v>394</v>
      </c>
      <c r="D532">
        <v>6</v>
      </c>
      <c r="E532" t="s">
        <v>259</v>
      </c>
      <c r="F532" t="s">
        <v>395</v>
      </c>
      <c r="G532" t="s">
        <v>9102</v>
      </c>
    </row>
    <row r="533" spans="1:7" x14ac:dyDescent="0.25">
      <c r="A533" t="s">
        <v>144</v>
      </c>
      <c r="B533" t="s">
        <v>2966</v>
      </c>
      <c r="C533" t="s">
        <v>2967</v>
      </c>
      <c r="D533">
        <v>6</v>
      </c>
      <c r="E533" t="s">
        <v>259</v>
      </c>
      <c r="F533" t="s">
        <v>297</v>
      </c>
      <c r="G533" t="s">
        <v>9092</v>
      </c>
    </row>
    <row r="534" spans="1:7" x14ac:dyDescent="0.25">
      <c r="A534" t="s">
        <v>145</v>
      </c>
      <c r="B534" t="s">
        <v>397</v>
      </c>
      <c r="C534" t="s">
        <v>146</v>
      </c>
      <c r="D534">
        <v>6</v>
      </c>
      <c r="E534" t="s">
        <v>259</v>
      </c>
      <c r="F534" t="s">
        <v>312</v>
      </c>
      <c r="G534" t="s">
        <v>9084</v>
      </c>
    </row>
    <row r="535" spans="1:7" x14ac:dyDescent="0.25">
      <c r="A535" t="s">
        <v>147</v>
      </c>
      <c r="B535" t="s">
        <v>148</v>
      </c>
      <c r="C535" t="s">
        <v>398</v>
      </c>
      <c r="D535">
        <v>6</v>
      </c>
      <c r="E535" t="s">
        <v>259</v>
      </c>
      <c r="F535" t="s">
        <v>399</v>
      </c>
      <c r="G535" t="s">
        <v>9089</v>
      </c>
    </row>
    <row r="536" spans="1:7" x14ac:dyDescent="0.25">
      <c r="A536" t="s">
        <v>1046</v>
      </c>
      <c r="B536" t="s">
        <v>149</v>
      </c>
      <c r="C536" t="s">
        <v>150</v>
      </c>
      <c r="D536">
        <v>6</v>
      </c>
      <c r="E536" t="s">
        <v>259</v>
      </c>
      <c r="F536" t="s">
        <v>401</v>
      </c>
      <c r="G536" t="s">
        <v>9122</v>
      </c>
    </row>
    <row r="537" spans="1:7" x14ac:dyDescent="0.25">
      <c r="A537" t="s">
        <v>151</v>
      </c>
      <c r="B537" t="s">
        <v>402</v>
      </c>
      <c r="C537" t="s">
        <v>403</v>
      </c>
      <c r="D537">
        <v>6</v>
      </c>
      <c r="E537" t="s">
        <v>259</v>
      </c>
      <c r="F537" t="s">
        <v>377</v>
      </c>
      <c r="G537" t="s">
        <v>9123</v>
      </c>
    </row>
    <row r="538" spans="1:7" x14ac:dyDescent="0.25">
      <c r="A538" t="s">
        <v>152</v>
      </c>
      <c r="B538" t="s">
        <v>404</v>
      </c>
      <c r="C538" t="s">
        <v>153</v>
      </c>
      <c r="D538">
        <v>6</v>
      </c>
      <c r="E538" t="s">
        <v>259</v>
      </c>
      <c r="F538" t="s">
        <v>377</v>
      </c>
      <c r="G538" t="s">
        <v>9123</v>
      </c>
    </row>
    <row r="539" spans="1:7" x14ac:dyDescent="0.25">
      <c r="A539" t="s">
        <v>154</v>
      </c>
      <c r="B539" t="s">
        <v>405</v>
      </c>
      <c r="C539" t="s">
        <v>155</v>
      </c>
      <c r="D539">
        <v>6</v>
      </c>
      <c r="E539" t="s">
        <v>259</v>
      </c>
      <c r="F539" t="s">
        <v>273</v>
      </c>
      <c r="G539" t="s">
        <v>81</v>
      </c>
    </row>
    <row r="540" spans="1:7" x14ac:dyDescent="0.25">
      <c r="A540" t="s">
        <v>156</v>
      </c>
      <c r="B540" t="s">
        <v>157</v>
      </c>
      <c r="C540" t="s">
        <v>158</v>
      </c>
      <c r="D540">
        <v>6</v>
      </c>
      <c r="E540" t="s">
        <v>259</v>
      </c>
      <c r="F540" t="s">
        <v>347</v>
      </c>
      <c r="G540" t="s">
        <v>46</v>
      </c>
    </row>
    <row r="541" spans="1:7" x14ac:dyDescent="0.25">
      <c r="A541" t="s">
        <v>159</v>
      </c>
      <c r="B541" t="s">
        <v>160</v>
      </c>
      <c r="C541" t="s">
        <v>408</v>
      </c>
      <c r="D541">
        <v>6</v>
      </c>
      <c r="E541" t="s">
        <v>259</v>
      </c>
      <c r="F541" t="s">
        <v>347</v>
      </c>
      <c r="G541" t="s">
        <v>46</v>
      </c>
    </row>
    <row r="542" spans="1:7" x14ac:dyDescent="0.25">
      <c r="A542" t="s">
        <v>121</v>
      </c>
      <c r="B542" t="s">
        <v>122</v>
      </c>
      <c r="C542" t="s">
        <v>123</v>
      </c>
      <c r="D542">
        <v>6</v>
      </c>
      <c r="E542" t="s">
        <v>259</v>
      </c>
      <c r="F542" t="s">
        <v>336</v>
      </c>
      <c r="G542" t="s">
        <v>53</v>
      </c>
    </row>
    <row r="543" spans="1:7" x14ac:dyDescent="0.25">
      <c r="A543" t="s">
        <v>161</v>
      </c>
      <c r="B543" t="s">
        <v>162</v>
      </c>
      <c r="C543" t="s">
        <v>163</v>
      </c>
      <c r="D543">
        <v>6</v>
      </c>
      <c r="E543" t="s">
        <v>259</v>
      </c>
      <c r="F543" t="s">
        <v>306</v>
      </c>
      <c r="G543" t="s">
        <v>9093</v>
      </c>
    </row>
    <row r="544" spans="1:7" x14ac:dyDescent="0.25">
      <c r="A544" t="s">
        <v>164</v>
      </c>
      <c r="B544" t="s">
        <v>411</v>
      </c>
      <c r="C544" t="s">
        <v>165</v>
      </c>
      <c r="D544">
        <v>6</v>
      </c>
      <c r="E544" t="s">
        <v>259</v>
      </c>
      <c r="F544" t="s">
        <v>320</v>
      </c>
      <c r="G544" t="s">
        <v>9139</v>
      </c>
    </row>
    <row r="545" spans="1:7" x14ac:dyDescent="0.25">
      <c r="A545" t="s">
        <v>166</v>
      </c>
      <c r="B545" t="s">
        <v>167</v>
      </c>
      <c r="C545" t="s">
        <v>168</v>
      </c>
      <c r="D545">
        <v>6</v>
      </c>
      <c r="E545" t="s">
        <v>259</v>
      </c>
      <c r="F545" t="s">
        <v>290</v>
      </c>
      <c r="G545" t="s">
        <v>2</v>
      </c>
    </row>
    <row r="546" spans="1:7" x14ac:dyDescent="0.25">
      <c r="A546" t="s">
        <v>4607</v>
      </c>
      <c r="B546" t="s">
        <v>4608</v>
      </c>
      <c r="C546" t="s">
        <v>4609</v>
      </c>
      <c r="D546">
        <v>6</v>
      </c>
      <c r="E546" t="s">
        <v>259</v>
      </c>
      <c r="F546" t="s">
        <v>2975</v>
      </c>
      <c r="G546" t="s">
        <v>5651</v>
      </c>
    </row>
    <row r="547" spans="1:7" x14ac:dyDescent="0.25">
      <c r="A547" t="s">
        <v>4615</v>
      </c>
      <c r="B547" t="s">
        <v>4616</v>
      </c>
      <c r="C547" t="s">
        <v>4617</v>
      </c>
      <c r="D547">
        <v>6</v>
      </c>
      <c r="E547" t="s">
        <v>259</v>
      </c>
      <c r="F547" t="s">
        <v>2975</v>
      </c>
      <c r="G547" t="s">
        <v>5651</v>
      </c>
    </row>
    <row r="548" spans="1:7" x14ac:dyDescent="0.25">
      <c r="A548" t="s">
        <v>12405</v>
      </c>
      <c r="B548" t="s">
        <v>12406</v>
      </c>
      <c r="C548" t="s">
        <v>12374</v>
      </c>
      <c r="D548">
        <v>6</v>
      </c>
      <c r="E548" t="s">
        <v>259</v>
      </c>
      <c r="F548" t="s">
        <v>2649</v>
      </c>
      <c r="G548" t="s">
        <v>2644</v>
      </c>
    </row>
    <row r="549" spans="1:7" x14ac:dyDescent="0.25">
      <c r="A549" t="s">
        <v>12413</v>
      </c>
      <c r="B549" t="s">
        <v>12381</v>
      </c>
      <c r="C549" t="s">
        <v>12414</v>
      </c>
      <c r="D549">
        <v>6</v>
      </c>
      <c r="E549" t="s">
        <v>259</v>
      </c>
      <c r="F549" t="s">
        <v>2649</v>
      </c>
      <c r="G549" t="s">
        <v>2644</v>
      </c>
    </row>
    <row r="550" spans="1:7" x14ac:dyDescent="0.25">
      <c r="A550" t="s">
        <v>12416</v>
      </c>
      <c r="B550" t="s">
        <v>12417</v>
      </c>
      <c r="C550" t="s">
        <v>12377</v>
      </c>
      <c r="D550">
        <v>6</v>
      </c>
      <c r="E550" t="s">
        <v>259</v>
      </c>
      <c r="F550" t="s">
        <v>2649</v>
      </c>
      <c r="G550" t="s">
        <v>2644</v>
      </c>
    </row>
    <row r="551" spans="1:7" x14ac:dyDescent="0.25">
      <c r="A551" t="s">
        <v>12418</v>
      </c>
      <c r="B551" t="s">
        <v>12384</v>
      </c>
      <c r="C551" t="s">
        <v>12385</v>
      </c>
      <c r="D551">
        <v>6</v>
      </c>
      <c r="E551" t="s">
        <v>259</v>
      </c>
      <c r="F551" t="s">
        <v>2649</v>
      </c>
      <c r="G551" t="s">
        <v>2644</v>
      </c>
    </row>
    <row r="552" spans="1:7" x14ac:dyDescent="0.25">
      <c r="A552" t="s">
        <v>12420</v>
      </c>
      <c r="B552" t="s">
        <v>12421</v>
      </c>
      <c r="C552" t="s">
        <v>12422</v>
      </c>
      <c r="D552">
        <v>6</v>
      </c>
      <c r="E552" t="s">
        <v>259</v>
      </c>
      <c r="F552" t="s">
        <v>12428</v>
      </c>
      <c r="G552" t="s">
        <v>12913</v>
      </c>
    </row>
    <row r="553" spans="1:7" x14ac:dyDescent="0.25">
      <c r="A553" t="s">
        <v>12429</v>
      </c>
      <c r="B553" t="s">
        <v>12430</v>
      </c>
      <c r="C553" t="s">
        <v>12431</v>
      </c>
      <c r="D553">
        <v>6</v>
      </c>
      <c r="E553" t="s">
        <v>259</v>
      </c>
      <c r="F553" t="s">
        <v>12428</v>
      </c>
      <c r="G553" t="s">
        <v>12913</v>
      </c>
    </row>
    <row r="554" spans="1:7" x14ac:dyDescent="0.25">
      <c r="A554" t="s">
        <v>12435</v>
      </c>
      <c r="B554" t="s">
        <v>12436</v>
      </c>
      <c r="C554" t="s">
        <v>12422</v>
      </c>
      <c r="D554">
        <v>6</v>
      </c>
      <c r="E554" t="s">
        <v>259</v>
      </c>
      <c r="F554" t="s">
        <v>12428</v>
      </c>
      <c r="G554" t="s">
        <v>12913</v>
      </c>
    </row>
    <row r="555" spans="1:7" x14ac:dyDescent="0.25">
      <c r="A555" t="s">
        <v>12441</v>
      </c>
      <c r="B555" t="s">
        <v>12442</v>
      </c>
      <c r="C555" t="s">
        <v>12443</v>
      </c>
      <c r="D555">
        <v>6</v>
      </c>
      <c r="E555" t="s">
        <v>259</v>
      </c>
      <c r="F555" t="s">
        <v>5136</v>
      </c>
      <c r="G555" t="s">
        <v>5137</v>
      </c>
    </row>
    <row r="556" spans="1:7" x14ac:dyDescent="0.25">
      <c r="A556" t="s">
        <v>12447</v>
      </c>
      <c r="B556" t="s">
        <v>12448</v>
      </c>
      <c r="C556" t="s">
        <v>12449</v>
      </c>
      <c r="D556">
        <v>6</v>
      </c>
      <c r="E556" t="s">
        <v>259</v>
      </c>
      <c r="F556" t="s">
        <v>5136</v>
      </c>
      <c r="G556" t="s">
        <v>5137</v>
      </c>
    </row>
    <row r="557" spans="1:7" x14ac:dyDescent="0.25">
      <c r="A557" t="s">
        <v>12453</v>
      </c>
      <c r="B557" t="s">
        <v>12454</v>
      </c>
      <c r="C557" t="s">
        <v>12455</v>
      </c>
      <c r="D557">
        <v>6</v>
      </c>
      <c r="E557" t="s">
        <v>259</v>
      </c>
      <c r="F557" t="s">
        <v>262</v>
      </c>
      <c r="G557" t="s">
        <v>5167</v>
      </c>
    </row>
    <row r="558" spans="1:7" x14ac:dyDescent="0.25">
      <c r="A558" t="s">
        <v>12458</v>
      </c>
      <c r="B558" t="s">
        <v>12459</v>
      </c>
      <c r="C558" t="s">
        <v>12460</v>
      </c>
      <c r="D558">
        <v>6</v>
      </c>
      <c r="E558" t="s">
        <v>259</v>
      </c>
      <c r="F558" t="s">
        <v>262</v>
      </c>
      <c r="G558" t="s">
        <v>5167</v>
      </c>
    </row>
    <row r="559" spans="1:7" x14ac:dyDescent="0.25">
      <c r="A559" t="s">
        <v>2976</v>
      </c>
      <c r="B559" t="s">
        <v>2977</v>
      </c>
      <c r="C559" t="s">
        <v>2978</v>
      </c>
      <c r="D559">
        <v>7</v>
      </c>
      <c r="E559" t="s">
        <v>2979</v>
      </c>
      <c r="F559" t="s">
        <v>2986</v>
      </c>
      <c r="G559" t="s">
        <v>5119</v>
      </c>
    </row>
    <row r="560" spans="1:7" x14ac:dyDescent="0.25">
      <c r="A560" t="s">
        <v>2990</v>
      </c>
      <c r="B560" t="s">
        <v>2991</v>
      </c>
      <c r="C560" t="s">
        <v>2992</v>
      </c>
      <c r="D560">
        <v>7</v>
      </c>
      <c r="E560" t="s">
        <v>2979</v>
      </c>
      <c r="F560" t="s">
        <v>2986</v>
      </c>
      <c r="G560" t="s">
        <v>5119</v>
      </c>
    </row>
    <row r="561" spans="1:7" x14ac:dyDescent="0.25">
      <c r="A561" t="s">
        <v>2993</v>
      </c>
      <c r="B561" t="s">
        <v>2994</v>
      </c>
      <c r="C561" t="s">
        <v>2995</v>
      </c>
      <c r="D561">
        <v>7</v>
      </c>
      <c r="E561" t="s">
        <v>2979</v>
      </c>
      <c r="F561" t="s">
        <v>2986</v>
      </c>
      <c r="G561" t="s">
        <v>5119</v>
      </c>
    </row>
    <row r="562" spans="1:7" x14ac:dyDescent="0.25">
      <c r="A562" t="s">
        <v>2996</v>
      </c>
      <c r="B562" t="s">
        <v>2997</v>
      </c>
      <c r="C562" t="s">
        <v>2998</v>
      </c>
      <c r="D562">
        <v>7</v>
      </c>
      <c r="E562" t="s">
        <v>2979</v>
      </c>
      <c r="F562" t="s">
        <v>3005</v>
      </c>
      <c r="G562" t="s">
        <v>2999</v>
      </c>
    </row>
    <row r="563" spans="1:7" x14ac:dyDescent="0.25">
      <c r="A563" t="s">
        <v>3007</v>
      </c>
      <c r="B563" t="s">
        <v>3008</v>
      </c>
      <c r="C563" t="s">
        <v>3009</v>
      </c>
      <c r="D563">
        <v>7</v>
      </c>
      <c r="E563" t="s">
        <v>2979</v>
      </c>
      <c r="F563" t="s">
        <v>3016</v>
      </c>
      <c r="G563" t="s">
        <v>3010</v>
      </c>
    </row>
    <row r="564" spans="1:7" x14ac:dyDescent="0.25">
      <c r="A564" t="s">
        <v>3017</v>
      </c>
      <c r="B564" t="s">
        <v>3018</v>
      </c>
      <c r="C564" t="s">
        <v>3019</v>
      </c>
      <c r="D564">
        <v>7</v>
      </c>
      <c r="E564" t="s">
        <v>2979</v>
      </c>
      <c r="F564" t="s">
        <v>556</v>
      </c>
      <c r="G564" t="s">
        <v>439</v>
      </c>
    </row>
    <row r="565" spans="1:7" x14ac:dyDescent="0.25">
      <c r="A565" t="s">
        <v>3024</v>
      </c>
      <c r="B565" t="s">
        <v>3025</v>
      </c>
      <c r="C565" t="s">
        <v>3019</v>
      </c>
      <c r="D565">
        <v>7</v>
      </c>
      <c r="E565" t="s">
        <v>2979</v>
      </c>
      <c r="F565" t="s">
        <v>3030</v>
      </c>
      <c r="G565" t="s">
        <v>3026</v>
      </c>
    </row>
    <row r="566" spans="1:7" x14ac:dyDescent="0.25">
      <c r="A566" t="s">
        <v>3031</v>
      </c>
      <c r="B566" t="s">
        <v>3032</v>
      </c>
      <c r="C566" t="s">
        <v>3033</v>
      </c>
      <c r="D566">
        <v>7</v>
      </c>
      <c r="E566" t="s">
        <v>2979</v>
      </c>
      <c r="F566" t="s">
        <v>3039</v>
      </c>
      <c r="G566" t="s">
        <v>3034</v>
      </c>
    </row>
    <row r="567" spans="1:7" x14ac:dyDescent="0.25">
      <c r="A567" t="s">
        <v>3040</v>
      </c>
      <c r="B567" t="s">
        <v>3041</v>
      </c>
      <c r="C567" t="s">
        <v>3042</v>
      </c>
      <c r="D567">
        <v>7</v>
      </c>
      <c r="E567" t="s">
        <v>2979</v>
      </c>
      <c r="F567" t="s">
        <v>3048</v>
      </c>
      <c r="G567" t="s">
        <v>3043</v>
      </c>
    </row>
    <row r="568" spans="1:7" x14ac:dyDescent="0.25">
      <c r="A568" t="s">
        <v>3050</v>
      </c>
      <c r="B568" t="s">
        <v>3051</v>
      </c>
      <c r="C568" t="s">
        <v>3042</v>
      </c>
      <c r="D568">
        <v>7</v>
      </c>
      <c r="E568" t="s">
        <v>2979</v>
      </c>
      <c r="F568" t="s">
        <v>3056</v>
      </c>
      <c r="G568" t="s">
        <v>9190</v>
      </c>
    </row>
    <row r="569" spans="1:7" x14ac:dyDescent="0.25">
      <c r="A569" t="s">
        <v>3057</v>
      </c>
      <c r="B569" t="s">
        <v>3058</v>
      </c>
      <c r="C569" t="s">
        <v>3059</v>
      </c>
      <c r="D569">
        <v>7</v>
      </c>
      <c r="E569" t="s">
        <v>2979</v>
      </c>
      <c r="F569" t="s">
        <v>3056</v>
      </c>
      <c r="G569" t="s">
        <v>9190</v>
      </c>
    </row>
    <row r="570" spans="1:7" x14ac:dyDescent="0.25">
      <c r="A570" t="s">
        <v>3061</v>
      </c>
      <c r="B570" t="s">
        <v>3062</v>
      </c>
      <c r="C570" t="s">
        <v>3042</v>
      </c>
      <c r="D570">
        <v>7</v>
      </c>
      <c r="E570" t="s">
        <v>2979</v>
      </c>
      <c r="F570" t="s">
        <v>3066</v>
      </c>
      <c r="G570" t="s">
        <v>9203</v>
      </c>
    </row>
    <row r="571" spans="1:7" x14ac:dyDescent="0.25">
      <c r="A571" t="s">
        <v>3067</v>
      </c>
      <c r="B571" t="s">
        <v>3068</v>
      </c>
      <c r="C571" t="s">
        <v>3069</v>
      </c>
      <c r="D571">
        <v>7</v>
      </c>
      <c r="E571" t="s">
        <v>2979</v>
      </c>
      <c r="F571" t="s">
        <v>3075</v>
      </c>
      <c r="G571" t="s">
        <v>5512</v>
      </c>
    </row>
    <row r="572" spans="1:7" x14ac:dyDescent="0.25">
      <c r="A572" t="s">
        <v>3076</v>
      </c>
      <c r="B572" t="s">
        <v>3077</v>
      </c>
      <c r="C572" t="s">
        <v>3019</v>
      </c>
      <c r="D572">
        <v>7</v>
      </c>
      <c r="E572" t="s">
        <v>2979</v>
      </c>
      <c r="F572" t="s">
        <v>3081</v>
      </c>
      <c r="G572" t="s">
        <v>9272</v>
      </c>
    </row>
    <row r="573" spans="1:7" x14ac:dyDescent="0.25">
      <c r="A573" t="s">
        <v>3082</v>
      </c>
      <c r="B573" t="s">
        <v>3083</v>
      </c>
      <c r="C573" t="s">
        <v>3019</v>
      </c>
      <c r="D573">
        <v>7</v>
      </c>
      <c r="E573" t="s">
        <v>2979</v>
      </c>
      <c r="F573" t="s">
        <v>3088</v>
      </c>
      <c r="G573" t="s">
        <v>9264</v>
      </c>
    </row>
    <row r="574" spans="1:7" x14ac:dyDescent="0.25">
      <c r="A574" t="s">
        <v>3089</v>
      </c>
      <c r="B574" t="s">
        <v>3090</v>
      </c>
      <c r="C574" t="s">
        <v>3019</v>
      </c>
      <c r="D574">
        <v>7</v>
      </c>
      <c r="E574" t="s">
        <v>2979</v>
      </c>
      <c r="F574" t="s">
        <v>3094</v>
      </c>
      <c r="G574" t="s">
        <v>9286</v>
      </c>
    </row>
    <row r="575" spans="1:7" x14ac:dyDescent="0.25">
      <c r="A575" t="s">
        <v>3095</v>
      </c>
      <c r="B575" t="s">
        <v>3096</v>
      </c>
      <c r="C575" t="s">
        <v>3097</v>
      </c>
      <c r="D575">
        <v>7</v>
      </c>
      <c r="E575" t="s">
        <v>2979</v>
      </c>
      <c r="F575" t="s">
        <v>2986</v>
      </c>
      <c r="G575" t="s">
        <v>5119</v>
      </c>
    </row>
    <row r="576" spans="1:7" x14ac:dyDescent="0.25">
      <c r="A576" t="s">
        <v>3100</v>
      </c>
      <c r="B576" t="s">
        <v>3101</v>
      </c>
      <c r="C576" t="s">
        <v>3102</v>
      </c>
      <c r="D576">
        <v>7</v>
      </c>
      <c r="E576" t="s">
        <v>2979</v>
      </c>
      <c r="F576" t="s">
        <v>2986</v>
      </c>
      <c r="G576" t="s">
        <v>5119</v>
      </c>
    </row>
    <row r="577" spans="1:7" x14ac:dyDescent="0.25">
      <c r="A577" t="s">
        <v>3103</v>
      </c>
      <c r="B577" t="s">
        <v>3104</v>
      </c>
      <c r="C577" t="s">
        <v>3105</v>
      </c>
      <c r="D577">
        <v>7</v>
      </c>
      <c r="E577" t="s">
        <v>2979</v>
      </c>
      <c r="F577" t="s">
        <v>3030</v>
      </c>
      <c r="G577" t="s">
        <v>3026</v>
      </c>
    </row>
    <row r="578" spans="1:7" x14ac:dyDescent="0.25">
      <c r="A578" t="s">
        <v>3110</v>
      </c>
      <c r="B578" t="s">
        <v>3111</v>
      </c>
      <c r="C578" t="s">
        <v>3112</v>
      </c>
      <c r="D578">
        <v>7</v>
      </c>
      <c r="E578" t="s">
        <v>2979</v>
      </c>
      <c r="F578" t="s">
        <v>3005</v>
      </c>
      <c r="G578" t="s">
        <v>2999</v>
      </c>
    </row>
    <row r="579" spans="1:7" x14ac:dyDescent="0.25">
      <c r="A579" t="s">
        <v>3117</v>
      </c>
      <c r="B579" t="s">
        <v>3118</v>
      </c>
      <c r="C579" t="s">
        <v>3119</v>
      </c>
      <c r="D579">
        <v>7</v>
      </c>
      <c r="E579" t="s">
        <v>2979</v>
      </c>
      <c r="F579" t="s">
        <v>3048</v>
      </c>
      <c r="G579" t="s">
        <v>3043</v>
      </c>
    </row>
    <row r="580" spans="1:7" x14ac:dyDescent="0.25">
      <c r="A580" t="s">
        <v>3123</v>
      </c>
      <c r="B580" t="s">
        <v>994</v>
      </c>
      <c r="C580" t="s">
        <v>3124</v>
      </c>
      <c r="D580">
        <v>7</v>
      </c>
      <c r="E580" t="s">
        <v>2979</v>
      </c>
      <c r="F580" t="s">
        <v>996</v>
      </c>
      <c r="G580" t="s">
        <v>627</v>
      </c>
    </row>
    <row r="581" spans="1:7" x14ac:dyDescent="0.25">
      <c r="A581" t="s">
        <v>3130</v>
      </c>
      <c r="B581" t="s">
        <v>3131</v>
      </c>
      <c r="C581" t="s">
        <v>3132</v>
      </c>
      <c r="D581">
        <v>7</v>
      </c>
      <c r="E581" t="s">
        <v>2979</v>
      </c>
      <c r="F581" t="s">
        <v>989</v>
      </c>
      <c r="G581" t="s">
        <v>605</v>
      </c>
    </row>
    <row r="582" spans="1:7" x14ac:dyDescent="0.25">
      <c r="A582" t="s">
        <v>3380</v>
      </c>
      <c r="B582" t="s">
        <v>3381</v>
      </c>
      <c r="C582" t="s">
        <v>3381</v>
      </c>
      <c r="D582">
        <v>7</v>
      </c>
      <c r="E582" t="s">
        <v>2979</v>
      </c>
      <c r="F582" t="s">
        <v>3048</v>
      </c>
      <c r="G582" t="s">
        <v>3043</v>
      </c>
    </row>
    <row r="583" spans="1:7" x14ac:dyDescent="0.25">
      <c r="A583" t="s">
        <v>3138</v>
      </c>
      <c r="B583" t="s">
        <v>3139</v>
      </c>
      <c r="C583" t="s">
        <v>3019</v>
      </c>
      <c r="D583">
        <v>7</v>
      </c>
      <c r="E583" t="s">
        <v>2979</v>
      </c>
      <c r="F583" t="s">
        <v>3144</v>
      </c>
      <c r="G583" t="s">
        <v>1231</v>
      </c>
    </row>
    <row r="584" spans="1:7" x14ac:dyDescent="0.25">
      <c r="A584" t="s">
        <v>3145</v>
      </c>
      <c r="B584" t="s">
        <v>3146</v>
      </c>
      <c r="C584" t="s">
        <v>3019</v>
      </c>
      <c r="D584">
        <v>7</v>
      </c>
      <c r="E584" t="s">
        <v>2979</v>
      </c>
      <c r="F584" t="s">
        <v>3152</v>
      </c>
      <c r="G584" t="s">
        <v>3147</v>
      </c>
    </row>
    <row r="585" spans="1:7" x14ac:dyDescent="0.25">
      <c r="A585" t="s">
        <v>3153</v>
      </c>
      <c r="B585" t="s">
        <v>3154</v>
      </c>
      <c r="C585" t="s">
        <v>3019</v>
      </c>
      <c r="D585">
        <v>7</v>
      </c>
      <c r="E585" t="s">
        <v>2979</v>
      </c>
      <c r="F585" t="s">
        <v>434</v>
      </c>
      <c r="G585" t="s">
        <v>482</v>
      </c>
    </row>
    <row r="586" spans="1:7" x14ac:dyDescent="0.25">
      <c r="A586" t="s">
        <v>3159</v>
      </c>
      <c r="B586" t="s">
        <v>3160</v>
      </c>
      <c r="C586" t="s">
        <v>3019</v>
      </c>
      <c r="D586">
        <v>7</v>
      </c>
      <c r="E586" t="s">
        <v>2979</v>
      </c>
      <c r="F586" t="s">
        <v>3166</v>
      </c>
      <c r="G586" t="s">
        <v>3161</v>
      </c>
    </row>
    <row r="587" spans="1:7" x14ac:dyDescent="0.25">
      <c r="A587" t="s">
        <v>3167</v>
      </c>
      <c r="B587" t="s">
        <v>3168</v>
      </c>
      <c r="C587" t="s">
        <v>3019</v>
      </c>
      <c r="D587">
        <v>7</v>
      </c>
      <c r="E587" t="s">
        <v>2979</v>
      </c>
      <c r="F587" t="s">
        <v>517</v>
      </c>
      <c r="G587" t="s">
        <v>490</v>
      </c>
    </row>
    <row r="588" spans="1:7" x14ac:dyDescent="0.25">
      <c r="A588" t="s">
        <v>3173</v>
      </c>
      <c r="B588" t="s">
        <v>3174</v>
      </c>
      <c r="C588" t="s">
        <v>3019</v>
      </c>
      <c r="D588">
        <v>7</v>
      </c>
      <c r="E588" t="s">
        <v>2979</v>
      </c>
      <c r="F588" t="s">
        <v>3180</v>
      </c>
      <c r="G588" t="s">
        <v>3175</v>
      </c>
    </row>
    <row r="589" spans="1:7" x14ac:dyDescent="0.25">
      <c r="A589" t="s">
        <v>3181</v>
      </c>
      <c r="B589" t="s">
        <v>3182</v>
      </c>
      <c r="C589" t="s">
        <v>3009</v>
      </c>
      <c r="D589">
        <v>7</v>
      </c>
      <c r="E589" t="s">
        <v>2979</v>
      </c>
      <c r="F589" t="s">
        <v>3188</v>
      </c>
      <c r="G589" t="s">
        <v>3183</v>
      </c>
    </row>
    <row r="590" spans="1:7" x14ac:dyDescent="0.25">
      <c r="A590" t="s">
        <v>3189</v>
      </c>
      <c r="B590" t="s">
        <v>3190</v>
      </c>
      <c r="C590" t="s">
        <v>3019</v>
      </c>
      <c r="D590">
        <v>7</v>
      </c>
      <c r="E590" t="s">
        <v>2979</v>
      </c>
      <c r="F590" t="s">
        <v>1340</v>
      </c>
      <c r="G590" t="s">
        <v>1335</v>
      </c>
    </row>
    <row r="591" spans="1:7" x14ac:dyDescent="0.25">
      <c r="A591" t="s">
        <v>3195</v>
      </c>
      <c r="B591" t="s">
        <v>3196</v>
      </c>
      <c r="C591" t="s">
        <v>3019</v>
      </c>
      <c r="D591">
        <v>7</v>
      </c>
      <c r="E591" t="s">
        <v>2979</v>
      </c>
      <c r="F591" t="s">
        <v>3202</v>
      </c>
      <c r="G591" t="s">
        <v>3197</v>
      </c>
    </row>
    <row r="592" spans="1:7" x14ac:dyDescent="0.25">
      <c r="A592" t="s">
        <v>3203</v>
      </c>
      <c r="B592" t="s">
        <v>3204</v>
      </c>
      <c r="C592" t="s">
        <v>3042</v>
      </c>
      <c r="D592">
        <v>7</v>
      </c>
      <c r="E592" t="s">
        <v>2979</v>
      </c>
      <c r="F592" t="s">
        <v>3210</v>
      </c>
      <c r="G592" t="s">
        <v>9249</v>
      </c>
    </row>
    <row r="593" spans="1:7" x14ac:dyDescent="0.25">
      <c r="A593" t="s">
        <v>3211</v>
      </c>
      <c r="B593" t="s">
        <v>3212</v>
      </c>
      <c r="C593" t="s">
        <v>3042</v>
      </c>
      <c r="D593">
        <v>7</v>
      </c>
      <c r="E593" t="s">
        <v>2979</v>
      </c>
      <c r="F593" t="s">
        <v>3217</v>
      </c>
      <c r="G593" t="s">
        <v>9250</v>
      </c>
    </row>
    <row r="594" spans="1:7" x14ac:dyDescent="0.25">
      <c r="A594" t="s">
        <v>3218</v>
      </c>
      <c r="B594" t="s">
        <v>3219</v>
      </c>
      <c r="C594" t="s">
        <v>3009</v>
      </c>
      <c r="D594">
        <v>7</v>
      </c>
      <c r="E594" t="s">
        <v>2979</v>
      </c>
      <c r="F594" t="s">
        <v>3223</v>
      </c>
      <c r="G594" t="s">
        <v>9197</v>
      </c>
    </row>
    <row r="595" spans="1:7" x14ac:dyDescent="0.25">
      <c r="A595" t="s">
        <v>3224</v>
      </c>
      <c r="B595" t="s">
        <v>3225</v>
      </c>
      <c r="C595" t="s">
        <v>3019</v>
      </c>
      <c r="D595">
        <v>7</v>
      </c>
      <c r="E595" t="s">
        <v>2979</v>
      </c>
      <c r="F595" t="s">
        <v>3231</v>
      </c>
      <c r="G595" t="s">
        <v>9221</v>
      </c>
    </row>
    <row r="596" spans="1:7" x14ac:dyDescent="0.25">
      <c r="A596" t="s">
        <v>3232</v>
      </c>
      <c r="B596" t="s">
        <v>3233</v>
      </c>
      <c r="C596" t="s">
        <v>3019</v>
      </c>
      <c r="D596">
        <v>7</v>
      </c>
      <c r="E596" t="s">
        <v>2979</v>
      </c>
      <c r="F596" t="s">
        <v>3238</v>
      </c>
      <c r="G596" t="s">
        <v>9198</v>
      </c>
    </row>
    <row r="597" spans="1:7" x14ac:dyDescent="0.25">
      <c r="A597" t="s">
        <v>3239</v>
      </c>
      <c r="B597" t="s">
        <v>3240</v>
      </c>
      <c r="C597" t="s">
        <v>3019</v>
      </c>
      <c r="D597">
        <v>7</v>
      </c>
      <c r="E597" t="s">
        <v>2979</v>
      </c>
      <c r="F597" t="s">
        <v>1235</v>
      </c>
      <c r="G597" t="s">
        <v>5567</v>
      </c>
    </row>
    <row r="598" spans="1:7" x14ac:dyDescent="0.25">
      <c r="A598" t="s">
        <v>3245</v>
      </c>
      <c r="B598" t="s">
        <v>3246</v>
      </c>
      <c r="C598" t="s">
        <v>3019</v>
      </c>
      <c r="D598">
        <v>7</v>
      </c>
      <c r="E598" t="s">
        <v>2979</v>
      </c>
      <c r="F598" t="s">
        <v>3251</v>
      </c>
      <c r="G598" t="s">
        <v>9258</v>
      </c>
    </row>
    <row r="599" spans="1:7" x14ac:dyDescent="0.25">
      <c r="A599" t="s">
        <v>3252</v>
      </c>
      <c r="B599" t="s">
        <v>3253</v>
      </c>
      <c r="C599" t="s">
        <v>3019</v>
      </c>
      <c r="D599">
        <v>7</v>
      </c>
      <c r="E599" t="s">
        <v>2979</v>
      </c>
      <c r="F599" t="s">
        <v>3258</v>
      </c>
      <c r="G599" t="s">
        <v>9247</v>
      </c>
    </row>
    <row r="600" spans="1:7" x14ac:dyDescent="0.25">
      <c r="A600" t="s">
        <v>3259</v>
      </c>
      <c r="B600" t="s">
        <v>3260</v>
      </c>
      <c r="C600" t="s">
        <v>3019</v>
      </c>
      <c r="D600">
        <v>7</v>
      </c>
      <c r="E600" t="s">
        <v>2979</v>
      </c>
      <c r="F600" t="s">
        <v>3264</v>
      </c>
      <c r="G600" t="s">
        <v>9214</v>
      </c>
    </row>
    <row r="601" spans="1:7" x14ac:dyDescent="0.25">
      <c r="A601" t="s">
        <v>3265</v>
      </c>
      <c r="B601" t="s">
        <v>3266</v>
      </c>
      <c r="C601" t="s">
        <v>3019</v>
      </c>
      <c r="D601">
        <v>7</v>
      </c>
      <c r="E601" t="s">
        <v>2979</v>
      </c>
      <c r="F601" t="s">
        <v>3270</v>
      </c>
      <c r="G601" t="s">
        <v>9189</v>
      </c>
    </row>
    <row r="602" spans="1:7" x14ac:dyDescent="0.25">
      <c r="A602" t="s">
        <v>3271</v>
      </c>
      <c r="B602" t="s">
        <v>3272</v>
      </c>
      <c r="C602" t="s">
        <v>3019</v>
      </c>
      <c r="D602">
        <v>7</v>
      </c>
      <c r="E602" t="s">
        <v>2979</v>
      </c>
      <c r="F602" t="s">
        <v>3277</v>
      </c>
      <c r="G602" t="s">
        <v>9222</v>
      </c>
    </row>
    <row r="603" spans="1:7" x14ac:dyDescent="0.25">
      <c r="A603" t="s">
        <v>3278</v>
      </c>
      <c r="B603" t="s">
        <v>3279</v>
      </c>
      <c r="C603" t="s">
        <v>3019</v>
      </c>
      <c r="D603">
        <v>7</v>
      </c>
      <c r="E603" t="s">
        <v>2979</v>
      </c>
      <c r="F603" t="s">
        <v>3282</v>
      </c>
      <c r="G603" t="s">
        <v>9216</v>
      </c>
    </row>
    <row r="604" spans="1:7" x14ac:dyDescent="0.25">
      <c r="A604" t="s">
        <v>3283</v>
      </c>
      <c r="B604" t="s">
        <v>3284</v>
      </c>
      <c r="C604" t="s">
        <v>3019</v>
      </c>
      <c r="D604">
        <v>7</v>
      </c>
      <c r="E604" t="s">
        <v>2979</v>
      </c>
      <c r="F604" t="s">
        <v>3289</v>
      </c>
      <c r="G604" t="s">
        <v>9215</v>
      </c>
    </row>
    <row r="605" spans="1:7" x14ac:dyDescent="0.25">
      <c r="A605" t="s">
        <v>3290</v>
      </c>
      <c r="B605" t="s">
        <v>3291</v>
      </c>
      <c r="C605" t="s">
        <v>3019</v>
      </c>
      <c r="D605">
        <v>7</v>
      </c>
      <c r="E605" t="s">
        <v>2979</v>
      </c>
      <c r="F605" t="s">
        <v>3296</v>
      </c>
      <c r="G605" t="s">
        <v>3292</v>
      </c>
    </row>
    <row r="606" spans="1:7" x14ac:dyDescent="0.25">
      <c r="A606" t="s">
        <v>3297</v>
      </c>
      <c r="B606" t="s">
        <v>3298</v>
      </c>
      <c r="C606" t="s">
        <v>3019</v>
      </c>
      <c r="D606">
        <v>7</v>
      </c>
      <c r="E606" t="s">
        <v>2979</v>
      </c>
      <c r="F606" t="s">
        <v>3304</v>
      </c>
      <c r="G606" t="s">
        <v>9235</v>
      </c>
    </row>
    <row r="607" spans="1:7" x14ac:dyDescent="0.25">
      <c r="A607" t="s">
        <v>3305</v>
      </c>
      <c r="B607" t="s">
        <v>3306</v>
      </c>
      <c r="C607" t="s">
        <v>3019</v>
      </c>
      <c r="D607">
        <v>7</v>
      </c>
      <c r="E607" t="s">
        <v>2979</v>
      </c>
      <c r="F607" t="s">
        <v>3310</v>
      </c>
      <c r="G607" t="s">
        <v>9248</v>
      </c>
    </row>
    <row r="608" spans="1:7" x14ac:dyDescent="0.25">
      <c r="A608" t="s">
        <v>3311</v>
      </c>
      <c r="B608" t="s">
        <v>3312</v>
      </c>
      <c r="C608" t="s">
        <v>3019</v>
      </c>
      <c r="D608">
        <v>7</v>
      </c>
      <c r="E608" t="s">
        <v>2979</v>
      </c>
      <c r="F608" t="s">
        <v>3317</v>
      </c>
      <c r="G608" t="s">
        <v>9263</v>
      </c>
    </row>
    <row r="609" spans="1:7" x14ac:dyDescent="0.25">
      <c r="A609" t="s">
        <v>3318</v>
      </c>
      <c r="B609" t="s">
        <v>3319</v>
      </c>
      <c r="C609" t="s">
        <v>3019</v>
      </c>
      <c r="D609">
        <v>7</v>
      </c>
      <c r="E609" t="s">
        <v>2979</v>
      </c>
      <c r="F609" t="s">
        <v>3322</v>
      </c>
      <c r="G609" t="s">
        <v>9289</v>
      </c>
    </row>
    <row r="610" spans="1:7" x14ac:dyDescent="0.25">
      <c r="A610" t="s">
        <v>3323</v>
      </c>
      <c r="B610" t="s">
        <v>3324</v>
      </c>
      <c r="C610" t="s">
        <v>3019</v>
      </c>
      <c r="D610">
        <v>7</v>
      </c>
      <c r="E610" t="s">
        <v>2979</v>
      </c>
      <c r="F610" t="s">
        <v>3328</v>
      </c>
      <c r="G610" t="s">
        <v>9259</v>
      </c>
    </row>
    <row r="611" spans="1:7" x14ac:dyDescent="0.25">
      <c r="A611" t="s">
        <v>3329</v>
      </c>
      <c r="B611" t="s">
        <v>3330</v>
      </c>
      <c r="C611" t="s">
        <v>3019</v>
      </c>
      <c r="D611">
        <v>7</v>
      </c>
      <c r="E611" t="s">
        <v>2979</v>
      </c>
      <c r="F611" t="s">
        <v>3334</v>
      </c>
      <c r="G611" t="s">
        <v>9262</v>
      </c>
    </row>
    <row r="612" spans="1:7" x14ac:dyDescent="0.25">
      <c r="A612" t="s">
        <v>3335</v>
      </c>
      <c r="B612" t="s">
        <v>3336</v>
      </c>
      <c r="C612" t="s">
        <v>3019</v>
      </c>
      <c r="D612">
        <v>7</v>
      </c>
      <c r="E612" t="s">
        <v>2979</v>
      </c>
      <c r="F612" t="s">
        <v>3340</v>
      </c>
      <c r="G612" t="s">
        <v>9253</v>
      </c>
    </row>
    <row r="613" spans="1:7" x14ac:dyDescent="0.25">
      <c r="A613" t="s">
        <v>3341</v>
      </c>
      <c r="B613" t="s">
        <v>3342</v>
      </c>
      <c r="C613" t="s">
        <v>3019</v>
      </c>
      <c r="D613">
        <v>7</v>
      </c>
      <c r="E613" t="s">
        <v>2979</v>
      </c>
      <c r="F613" t="s">
        <v>3345</v>
      </c>
      <c r="G613" t="s">
        <v>9230</v>
      </c>
    </row>
    <row r="614" spans="1:7" x14ac:dyDescent="0.25">
      <c r="A614" t="s">
        <v>3346</v>
      </c>
      <c r="B614" t="s">
        <v>3347</v>
      </c>
      <c r="C614" t="s">
        <v>3348</v>
      </c>
      <c r="D614">
        <v>7</v>
      </c>
      <c r="E614" t="s">
        <v>2979</v>
      </c>
      <c r="F614" t="s">
        <v>3352</v>
      </c>
      <c r="G614" t="s">
        <v>12914</v>
      </c>
    </row>
    <row r="615" spans="1:7" x14ac:dyDescent="0.25">
      <c r="A615" t="s">
        <v>3353</v>
      </c>
      <c r="B615" t="s">
        <v>3354</v>
      </c>
      <c r="C615" t="s">
        <v>3355</v>
      </c>
      <c r="D615">
        <v>7</v>
      </c>
      <c r="E615" t="s">
        <v>2979</v>
      </c>
      <c r="F615" t="s">
        <v>3005</v>
      </c>
      <c r="G615" t="s">
        <v>2999</v>
      </c>
    </row>
    <row r="616" spans="1:7" x14ac:dyDescent="0.25">
      <c r="A616" t="s">
        <v>3357</v>
      </c>
      <c r="B616" t="s">
        <v>3358</v>
      </c>
      <c r="C616" t="s">
        <v>3359</v>
      </c>
      <c r="D616">
        <v>7</v>
      </c>
      <c r="E616" t="s">
        <v>2979</v>
      </c>
      <c r="F616" t="s">
        <v>1340</v>
      </c>
      <c r="G616" t="s">
        <v>1335</v>
      </c>
    </row>
    <row r="617" spans="1:7" x14ac:dyDescent="0.25">
      <c r="A617" t="s">
        <v>3360</v>
      </c>
      <c r="B617" t="s">
        <v>3361</v>
      </c>
      <c r="C617" t="s">
        <v>3362</v>
      </c>
      <c r="D617">
        <v>7</v>
      </c>
      <c r="E617" t="s">
        <v>2979</v>
      </c>
      <c r="F617" t="s">
        <v>3016</v>
      </c>
      <c r="G617" t="s">
        <v>3010</v>
      </c>
    </row>
    <row r="618" spans="1:7" x14ac:dyDescent="0.25">
      <c r="A618" t="s">
        <v>3366</v>
      </c>
      <c r="B618" t="s">
        <v>3367</v>
      </c>
      <c r="C618" t="s">
        <v>3368</v>
      </c>
      <c r="D618">
        <v>7</v>
      </c>
      <c r="E618" t="s">
        <v>2979</v>
      </c>
      <c r="F618" t="s">
        <v>3371</v>
      </c>
      <c r="G618" t="s">
        <v>3043</v>
      </c>
    </row>
    <row r="619" spans="1:7" x14ac:dyDescent="0.25">
      <c r="A619" t="s">
        <v>3372</v>
      </c>
      <c r="B619" t="s">
        <v>3373</v>
      </c>
      <c r="C619" t="s">
        <v>3374</v>
      </c>
      <c r="D619">
        <v>7</v>
      </c>
      <c r="E619" t="s">
        <v>2979</v>
      </c>
      <c r="F619" t="s">
        <v>3375</v>
      </c>
      <c r="G619" t="s">
        <v>12915</v>
      </c>
    </row>
    <row r="620" spans="1:7" x14ac:dyDescent="0.25">
      <c r="A620" t="s">
        <v>3376</v>
      </c>
      <c r="B620" t="s">
        <v>3377</v>
      </c>
      <c r="C620" t="s">
        <v>3378</v>
      </c>
      <c r="D620">
        <v>7</v>
      </c>
      <c r="E620" t="s">
        <v>2979</v>
      </c>
      <c r="F620" t="s">
        <v>3379</v>
      </c>
      <c r="G620" t="s">
        <v>9281</v>
      </c>
    </row>
    <row r="621" spans="1:7" x14ac:dyDescent="0.25">
      <c r="A621" t="s">
        <v>3387</v>
      </c>
      <c r="B621" t="s">
        <v>3388</v>
      </c>
      <c r="C621" t="s">
        <v>3389</v>
      </c>
      <c r="D621">
        <v>7</v>
      </c>
      <c r="E621" t="s">
        <v>2979</v>
      </c>
      <c r="F621" t="s">
        <v>3391</v>
      </c>
      <c r="G621" t="s">
        <v>9277</v>
      </c>
    </row>
    <row r="622" spans="1:7" x14ac:dyDescent="0.25">
      <c r="A622" t="s">
        <v>4620</v>
      </c>
      <c r="B622" t="s">
        <v>4621</v>
      </c>
      <c r="C622" t="s">
        <v>4622</v>
      </c>
      <c r="D622">
        <v>7</v>
      </c>
      <c r="E622" t="s">
        <v>2979</v>
      </c>
      <c r="F622" t="s">
        <v>4626</v>
      </c>
      <c r="G622" t="s">
        <v>9278</v>
      </c>
    </row>
    <row r="623" spans="1:7" x14ac:dyDescent="0.25">
      <c r="A623" t="s">
        <v>12461</v>
      </c>
      <c r="B623" t="s">
        <v>12462</v>
      </c>
      <c r="C623" t="s">
        <v>3394</v>
      </c>
      <c r="D623">
        <v>8</v>
      </c>
      <c r="E623" t="s">
        <v>3395</v>
      </c>
      <c r="F623" t="s">
        <v>10147</v>
      </c>
      <c r="G623" t="s">
        <v>10148</v>
      </c>
    </row>
    <row r="624" spans="1:7" x14ac:dyDescent="0.25">
      <c r="A624" t="s">
        <v>3392</v>
      </c>
      <c r="B624" t="s">
        <v>3393</v>
      </c>
      <c r="C624" t="s">
        <v>3394</v>
      </c>
      <c r="D624">
        <v>8</v>
      </c>
      <c r="E624" t="s">
        <v>3395</v>
      </c>
      <c r="F624" t="s">
        <v>3402</v>
      </c>
      <c r="G624" t="s">
        <v>9985</v>
      </c>
    </row>
    <row r="625" spans="1:7" x14ac:dyDescent="0.25">
      <c r="A625" t="s">
        <v>4910</v>
      </c>
      <c r="B625" t="s">
        <v>4911</v>
      </c>
      <c r="C625" t="s">
        <v>4912</v>
      </c>
      <c r="D625">
        <v>8</v>
      </c>
      <c r="E625" t="s">
        <v>3395</v>
      </c>
      <c r="F625" t="s">
        <v>4905</v>
      </c>
      <c r="G625" t="s">
        <v>5473</v>
      </c>
    </row>
    <row r="626" spans="1:7" x14ac:dyDescent="0.25">
      <c r="A626" t="s">
        <v>4917</v>
      </c>
      <c r="B626" t="s">
        <v>4918</v>
      </c>
      <c r="C626" t="s">
        <v>4919</v>
      </c>
      <c r="D626">
        <v>8</v>
      </c>
      <c r="E626" t="s">
        <v>3395</v>
      </c>
      <c r="F626" t="s">
        <v>4889</v>
      </c>
      <c r="G626" t="s">
        <v>9921</v>
      </c>
    </row>
    <row r="627" spans="1:7" x14ac:dyDescent="0.25">
      <c r="A627" t="s">
        <v>4921</v>
      </c>
      <c r="B627" t="s">
        <v>4922</v>
      </c>
      <c r="C627" t="s">
        <v>4923</v>
      </c>
      <c r="D627">
        <v>8</v>
      </c>
      <c r="E627" t="s">
        <v>3395</v>
      </c>
      <c r="F627" t="s">
        <v>4926</v>
      </c>
      <c r="G627" t="s">
        <v>9920</v>
      </c>
    </row>
    <row r="628" spans="1:7" x14ac:dyDescent="0.25">
      <c r="A628" t="s">
        <v>4929</v>
      </c>
      <c r="B628" t="s">
        <v>4930</v>
      </c>
      <c r="C628" t="s">
        <v>4931</v>
      </c>
      <c r="D628">
        <v>8</v>
      </c>
      <c r="E628" t="s">
        <v>3395</v>
      </c>
      <c r="F628" t="s">
        <v>4893</v>
      </c>
      <c r="G628" t="s">
        <v>5624</v>
      </c>
    </row>
    <row r="629" spans="1:7" x14ac:dyDescent="0.25">
      <c r="A629" t="s">
        <v>4900</v>
      </c>
      <c r="B629" t="s">
        <v>4901</v>
      </c>
      <c r="C629" t="s">
        <v>4902</v>
      </c>
      <c r="D629">
        <v>8</v>
      </c>
      <c r="E629" t="s">
        <v>3395</v>
      </c>
      <c r="F629" t="s">
        <v>4905</v>
      </c>
      <c r="G629" t="s">
        <v>5473</v>
      </c>
    </row>
    <row r="630" spans="1:7" x14ac:dyDescent="0.25">
      <c r="A630" t="s">
        <v>4907</v>
      </c>
      <c r="B630" t="s">
        <v>4908</v>
      </c>
      <c r="C630" t="s">
        <v>4909</v>
      </c>
      <c r="D630">
        <v>8</v>
      </c>
      <c r="E630" t="s">
        <v>3395</v>
      </c>
      <c r="F630" t="s">
        <v>4905</v>
      </c>
      <c r="G630" t="s">
        <v>5473</v>
      </c>
    </row>
    <row r="631" spans="1:7" x14ac:dyDescent="0.25">
      <c r="A631" t="s">
        <v>4932</v>
      </c>
      <c r="B631" t="s">
        <v>4933</v>
      </c>
      <c r="C631" t="s">
        <v>4934</v>
      </c>
      <c r="D631">
        <v>8</v>
      </c>
      <c r="E631" t="s">
        <v>3395</v>
      </c>
      <c r="F631" t="s">
        <v>4937</v>
      </c>
      <c r="G631" t="s">
        <v>10149</v>
      </c>
    </row>
    <row r="632" spans="1:7" x14ac:dyDescent="0.25">
      <c r="A632" t="s">
        <v>4938</v>
      </c>
      <c r="B632" t="s">
        <v>4939</v>
      </c>
      <c r="C632" t="s">
        <v>3394</v>
      </c>
      <c r="D632">
        <v>8</v>
      </c>
      <c r="E632" t="s">
        <v>3395</v>
      </c>
      <c r="F632" t="s">
        <v>4937</v>
      </c>
      <c r="G632" t="s">
        <v>10149</v>
      </c>
    </row>
    <row r="633" spans="1:7" x14ac:dyDescent="0.25">
      <c r="A633" t="s">
        <v>4913</v>
      </c>
      <c r="B633" t="s">
        <v>4914</v>
      </c>
      <c r="C633" t="s">
        <v>4915</v>
      </c>
      <c r="D633">
        <v>8</v>
      </c>
      <c r="E633" t="s">
        <v>3395</v>
      </c>
      <c r="F633" t="s">
        <v>4898</v>
      </c>
      <c r="G633" t="s">
        <v>69</v>
      </c>
    </row>
    <row r="634" spans="1:7" x14ac:dyDescent="0.25">
      <c r="A634" t="s">
        <v>12467</v>
      </c>
      <c r="B634" t="s">
        <v>12468</v>
      </c>
      <c r="C634" t="s">
        <v>12469</v>
      </c>
      <c r="D634">
        <v>8</v>
      </c>
      <c r="E634" t="s">
        <v>3395</v>
      </c>
      <c r="F634" t="s">
        <v>372</v>
      </c>
      <c r="G634" t="s">
        <v>73</v>
      </c>
    </row>
    <row r="635" spans="1:7" x14ac:dyDescent="0.25">
      <c r="A635" t="s">
        <v>12474</v>
      </c>
      <c r="B635" t="s">
        <v>12475</v>
      </c>
      <c r="C635" t="s">
        <v>12476</v>
      </c>
      <c r="D635">
        <v>8</v>
      </c>
      <c r="E635" t="s">
        <v>3395</v>
      </c>
      <c r="F635" t="s">
        <v>372</v>
      </c>
      <c r="G635" t="s">
        <v>73</v>
      </c>
    </row>
    <row r="636" spans="1:7" x14ac:dyDescent="0.25">
      <c r="A636" t="s">
        <v>12477</v>
      </c>
      <c r="B636" t="s">
        <v>12478</v>
      </c>
      <c r="C636" t="s">
        <v>12479</v>
      </c>
      <c r="D636">
        <v>8</v>
      </c>
      <c r="E636" t="s">
        <v>3395</v>
      </c>
      <c r="F636" t="s">
        <v>10165</v>
      </c>
      <c r="G636" t="s">
        <v>10166</v>
      </c>
    </row>
    <row r="637" spans="1:7" x14ac:dyDescent="0.25">
      <c r="A637" t="s">
        <v>12485</v>
      </c>
      <c r="B637" t="s">
        <v>12486</v>
      </c>
      <c r="C637" t="s">
        <v>12487</v>
      </c>
      <c r="D637">
        <v>8</v>
      </c>
      <c r="E637" t="s">
        <v>3395</v>
      </c>
      <c r="F637" t="s">
        <v>9301</v>
      </c>
      <c r="G637" t="s">
        <v>4883</v>
      </c>
    </row>
    <row r="638" spans="1:7" x14ac:dyDescent="0.25">
      <c r="A638" t="s">
        <v>12492</v>
      </c>
      <c r="B638" t="s">
        <v>12493</v>
      </c>
      <c r="C638" t="s">
        <v>12494</v>
      </c>
      <c r="D638">
        <v>8</v>
      </c>
      <c r="E638" t="s">
        <v>3395</v>
      </c>
      <c r="F638" t="s">
        <v>9301</v>
      </c>
      <c r="G638" t="s">
        <v>4883</v>
      </c>
    </row>
    <row r="639" spans="1:7" x14ac:dyDescent="0.25">
      <c r="A639" t="s">
        <v>12497</v>
      </c>
      <c r="B639" t="s">
        <v>12498</v>
      </c>
      <c r="C639" t="s">
        <v>12499</v>
      </c>
      <c r="D639">
        <v>8</v>
      </c>
      <c r="E639" t="s">
        <v>3395</v>
      </c>
      <c r="F639" t="s">
        <v>4937</v>
      </c>
      <c r="G639" t="s">
        <v>10149</v>
      </c>
    </row>
    <row r="640" spans="1:7" x14ac:dyDescent="0.25">
      <c r="A640" t="s">
        <v>12501</v>
      </c>
      <c r="B640" t="s">
        <v>12502</v>
      </c>
      <c r="C640" t="s">
        <v>12503</v>
      </c>
      <c r="D640">
        <v>8</v>
      </c>
      <c r="E640" t="s">
        <v>3395</v>
      </c>
      <c r="F640" t="s">
        <v>4937</v>
      </c>
      <c r="G640" t="s">
        <v>10149</v>
      </c>
    </row>
    <row r="641" spans="1:7" x14ac:dyDescent="0.25">
      <c r="A641" t="s">
        <v>12504</v>
      </c>
      <c r="B641" t="s">
        <v>12505</v>
      </c>
      <c r="C641" t="s">
        <v>12506</v>
      </c>
      <c r="D641">
        <v>8</v>
      </c>
      <c r="E641" t="s">
        <v>3395</v>
      </c>
      <c r="F641" t="s">
        <v>10165</v>
      </c>
      <c r="G641" t="s">
        <v>10166</v>
      </c>
    </row>
    <row r="642" spans="1:7" x14ac:dyDescent="0.25">
      <c r="A642" t="s">
        <v>12509</v>
      </c>
      <c r="B642" t="s">
        <v>12510</v>
      </c>
      <c r="C642" t="s">
        <v>12511</v>
      </c>
      <c r="D642">
        <v>8</v>
      </c>
      <c r="E642" t="s">
        <v>3395</v>
      </c>
      <c r="F642" t="s">
        <v>5622</v>
      </c>
      <c r="G642" t="s">
        <v>5623</v>
      </c>
    </row>
    <row r="643" spans="1:7" x14ac:dyDescent="0.25">
      <c r="A643" t="s">
        <v>12515</v>
      </c>
      <c r="B643" t="s">
        <v>12516</v>
      </c>
      <c r="C643" t="s">
        <v>12517</v>
      </c>
      <c r="D643">
        <v>8</v>
      </c>
      <c r="E643" t="s">
        <v>3395</v>
      </c>
      <c r="F643" t="s">
        <v>5622</v>
      </c>
      <c r="G643" t="s">
        <v>5623</v>
      </c>
    </row>
    <row r="644" spans="1:7" x14ac:dyDescent="0.25">
      <c r="A644" t="s">
        <v>12518</v>
      </c>
      <c r="B644" t="s">
        <v>12519</v>
      </c>
      <c r="C644" t="s">
        <v>12520</v>
      </c>
      <c r="D644">
        <v>8</v>
      </c>
      <c r="E644" t="s">
        <v>3395</v>
      </c>
      <c r="F644" t="s">
        <v>5622</v>
      </c>
      <c r="G644" t="s">
        <v>5623</v>
      </c>
    </row>
    <row r="645" spans="1:7" x14ac:dyDescent="0.25">
      <c r="A645" t="s">
        <v>12521</v>
      </c>
      <c r="B645" t="s">
        <v>12522</v>
      </c>
      <c r="C645" t="s">
        <v>12523</v>
      </c>
      <c r="D645">
        <v>8</v>
      </c>
      <c r="E645" t="s">
        <v>3395</v>
      </c>
      <c r="F645" t="s">
        <v>5622</v>
      </c>
      <c r="G645" t="s">
        <v>5623</v>
      </c>
    </row>
    <row r="646" spans="1:7" x14ac:dyDescent="0.25">
      <c r="A646" t="s">
        <v>12524</v>
      </c>
      <c r="B646" t="s">
        <v>12525</v>
      </c>
      <c r="C646" t="s">
        <v>12526</v>
      </c>
      <c r="D646">
        <v>8</v>
      </c>
      <c r="E646" t="s">
        <v>3395</v>
      </c>
      <c r="F646" t="s">
        <v>5622</v>
      </c>
      <c r="G646" t="s">
        <v>5623</v>
      </c>
    </row>
    <row r="647" spans="1:7" x14ac:dyDescent="0.25">
      <c r="A647" t="s">
        <v>12527</v>
      </c>
      <c r="B647" t="s">
        <v>12528</v>
      </c>
      <c r="C647" t="s">
        <v>12529</v>
      </c>
      <c r="D647">
        <v>8</v>
      </c>
      <c r="E647" t="s">
        <v>3395</v>
      </c>
      <c r="F647" t="s">
        <v>5583</v>
      </c>
      <c r="G647" t="s">
        <v>5584</v>
      </c>
    </row>
    <row r="648" spans="1:7" x14ac:dyDescent="0.25">
      <c r="A648" t="s">
        <v>12532</v>
      </c>
      <c r="B648" t="s">
        <v>12533</v>
      </c>
      <c r="C648" t="s">
        <v>12534</v>
      </c>
      <c r="D648">
        <v>8</v>
      </c>
      <c r="E648" t="s">
        <v>3395</v>
      </c>
      <c r="F648" t="s">
        <v>3402</v>
      </c>
      <c r="G648" t="s">
        <v>9985</v>
      </c>
    </row>
    <row r="649" spans="1:7" x14ac:dyDescent="0.25">
      <c r="A649" t="s">
        <v>12535</v>
      </c>
      <c r="B649" t="s">
        <v>12536</v>
      </c>
      <c r="C649" t="s">
        <v>12537</v>
      </c>
      <c r="D649">
        <v>8</v>
      </c>
      <c r="E649" t="s">
        <v>3395</v>
      </c>
      <c r="F649" t="s">
        <v>3402</v>
      </c>
      <c r="G649" t="s">
        <v>9985</v>
      </c>
    </row>
    <row r="650" spans="1:7" x14ac:dyDescent="0.25">
      <c r="A650" t="s">
        <v>12538</v>
      </c>
      <c r="B650" t="s">
        <v>12539</v>
      </c>
      <c r="C650" t="s">
        <v>12540</v>
      </c>
      <c r="D650">
        <v>8</v>
      </c>
      <c r="E650" t="s">
        <v>3395</v>
      </c>
      <c r="F650" t="s">
        <v>3402</v>
      </c>
      <c r="G650" t="s">
        <v>9985</v>
      </c>
    </row>
    <row r="651" spans="1:7" x14ac:dyDescent="0.25">
      <c r="A651" t="s">
        <v>12541</v>
      </c>
      <c r="B651" t="s">
        <v>12542</v>
      </c>
      <c r="C651" t="s">
        <v>12543</v>
      </c>
      <c r="D651">
        <v>8</v>
      </c>
      <c r="E651" t="s">
        <v>3395</v>
      </c>
      <c r="F651" t="s">
        <v>4992</v>
      </c>
      <c r="G651" t="s">
        <v>4886</v>
      </c>
    </row>
    <row r="652" spans="1:7" x14ac:dyDescent="0.25">
      <c r="A652" t="s">
        <v>12547</v>
      </c>
      <c r="B652" t="s">
        <v>12548</v>
      </c>
      <c r="C652" t="s">
        <v>12549</v>
      </c>
      <c r="D652">
        <v>8</v>
      </c>
      <c r="E652" t="s">
        <v>3395</v>
      </c>
      <c r="F652" t="s">
        <v>3402</v>
      </c>
      <c r="G652" t="s">
        <v>9985</v>
      </c>
    </row>
    <row r="653" spans="1:7" x14ac:dyDescent="0.25">
      <c r="A653" t="s">
        <v>12495</v>
      </c>
      <c r="B653" t="s">
        <v>12554</v>
      </c>
      <c r="C653" t="s">
        <v>12555</v>
      </c>
      <c r="D653">
        <v>8</v>
      </c>
      <c r="E653" t="s">
        <v>3395</v>
      </c>
      <c r="F653" t="s">
        <v>10147</v>
      </c>
      <c r="G653" t="s">
        <v>10148</v>
      </c>
    </row>
    <row r="654" spans="1:7" x14ac:dyDescent="0.25">
      <c r="A654" t="s">
        <v>12558</v>
      </c>
      <c r="B654" t="s">
        <v>12559</v>
      </c>
      <c r="C654" t="s">
        <v>12560</v>
      </c>
      <c r="D654">
        <v>10</v>
      </c>
      <c r="E654" t="s">
        <v>12561</v>
      </c>
      <c r="F654" t="s">
        <v>5162</v>
      </c>
      <c r="G654" t="s">
        <v>5163</v>
      </c>
    </row>
    <row r="655" spans="1:7" x14ac:dyDescent="0.25">
      <c r="A655" t="s">
        <v>12566</v>
      </c>
      <c r="B655" t="s">
        <v>12567</v>
      </c>
      <c r="C655" t="s">
        <v>3408</v>
      </c>
      <c r="D655">
        <v>10</v>
      </c>
      <c r="E655" t="s">
        <v>12561</v>
      </c>
      <c r="F655" t="s">
        <v>5162</v>
      </c>
      <c r="G655" t="s">
        <v>5163</v>
      </c>
    </row>
    <row r="656" spans="1:7" x14ac:dyDescent="0.25">
      <c r="A656" t="s">
        <v>12569</v>
      </c>
      <c r="B656" t="s">
        <v>12570</v>
      </c>
      <c r="C656" t="s">
        <v>12571</v>
      </c>
      <c r="D656">
        <v>10</v>
      </c>
      <c r="E656" t="s">
        <v>12561</v>
      </c>
      <c r="F656" t="s">
        <v>5162</v>
      </c>
      <c r="G656" t="s">
        <v>5163</v>
      </c>
    </row>
    <row r="657" spans="1:7" x14ac:dyDescent="0.25">
      <c r="A657" t="s">
        <v>12573</v>
      </c>
      <c r="B657" t="s">
        <v>12574</v>
      </c>
      <c r="C657" t="s">
        <v>12575</v>
      </c>
      <c r="D657">
        <v>10</v>
      </c>
      <c r="E657" t="s">
        <v>12561</v>
      </c>
      <c r="F657" t="s">
        <v>5162</v>
      </c>
      <c r="G657" t="s">
        <v>5163</v>
      </c>
    </row>
    <row r="658" spans="1:7" x14ac:dyDescent="0.25">
      <c r="A658" t="s">
        <v>12578</v>
      </c>
      <c r="B658" t="s">
        <v>12579</v>
      </c>
      <c r="C658" t="s">
        <v>12579</v>
      </c>
      <c r="D658">
        <v>10</v>
      </c>
      <c r="E658" t="s">
        <v>12561</v>
      </c>
      <c r="F658" t="s">
        <v>5162</v>
      </c>
      <c r="G658" t="s">
        <v>5163</v>
      </c>
    </row>
    <row r="659" spans="1:7" x14ac:dyDescent="0.25">
      <c r="A659" t="s">
        <v>3410</v>
      </c>
      <c r="B659" t="s">
        <v>13</v>
      </c>
      <c r="C659" t="s">
        <v>3408</v>
      </c>
      <c r="D659">
        <v>11</v>
      </c>
      <c r="E659" t="s">
        <v>3411</v>
      </c>
      <c r="F659" t="s">
        <v>3416</v>
      </c>
      <c r="G659" t="s">
        <v>10928</v>
      </c>
    </row>
    <row r="660" spans="1:7" x14ac:dyDescent="0.25">
      <c r="A660" t="s">
        <v>3418</v>
      </c>
      <c r="B660" t="s">
        <v>3419</v>
      </c>
      <c r="C660" t="s">
        <v>3420</v>
      </c>
      <c r="D660">
        <v>11</v>
      </c>
      <c r="E660" t="s">
        <v>3411</v>
      </c>
      <c r="F660" t="s">
        <v>3416</v>
      </c>
      <c r="G660" t="s">
        <v>10928</v>
      </c>
    </row>
    <row r="661" spans="1:7" x14ac:dyDescent="0.25">
      <c r="A661" t="s">
        <v>3422</v>
      </c>
      <c r="B661" t="s">
        <v>50</v>
      </c>
      <c r="C661" t="s">
        <v>3423</v>
      </c>
      <c r="D661">
        <v>11</v>
      </c>
      <c r="E661" t="s">
        <v>3411</v>
      </c>
      <c r="F661" t="s">
        <v>3416</v>
      </c>
      <c r="G661" t="s">
        <v>10928</v>
      </c>
    </row>
    <row r="662" spans="1:7" x14ac:dyDescent="0.25">
      <c r="A662" t="s">
        <v>3425</v>
      </c>
      <c r="B662" t="s">
        <v>28</v>
      </c>
      <c r="C662" t="s">
        <v>3426</v>
      </c>
      <c r="D662">
        <v>11</v>
      </c>
      <c r="E662" t="s">
        <v>3411</v>
      </c>
      <c r="F662" t="s">
        <v>3416</v>
      </c>
      <c r="G662" t="s">
        <v>10928</v>
      </c>
    </row>
    <row r="663" spans="1:7" x14ac:dyDescent="0.25">
      <c r="A663" t="s">
        <v>3429</v>
      </c>
      <c r="B663" t="s">
        <v>85</v>
      </c>
      <c r="C663" t="s">
        <v>3430</v>
      </c>
      <c r="D663">
        <v>11</v>
      </c>
      <c r="E663" t="s">
        <v>3411</v>
      </c>
      <c r="F663" t="s">
        <v>3416</v>
      </c>
      <c r="G663" t="s">
        <v>10928</v>
      </c>
    </row>
    <row r="664" spans="1:7" x14ac:dyDescent="0.25">
      <c r="A664" t="s">
        <v>3433</v>
      </c>
      <c r="B664" t="s">
        <v>3434</v>
      </c>
      <c r="C664" t="s">
        <v>4628</v>
      </c>
      <c r="D664">
        <v>12</v>
      </c>
      <c r="E664" t="s">
        <v>3435</v>
      </c>
      <c r="F664" t="s">
        <v>3442</v>
      </c>
      <c r="G664" t="s">
        <v>11014</v>
      </c>
    </row>
    <row r="665" spans="1:7" x14ac:dyDescent="0.25">
      <c r="A665" t="s">
        <v>3445</v>
      </c>
      <c r="B665" t="s">
        <v>3446</v>
      </c>
      <c r="C665" t="s">
        <v>4629</v>
      </c>
      <c r="D665">
        <v>12</v>
      </c>
      <c r="E665" t="s">
        <v>3435</v>
      </c>
      <c r="F665" t="s">
        <v>3442</v>
      </c>
      <c r="G665" t="s">
        <v>11014</v>
      </c>
    </row>
    <row r="666" spans="1:7" x14ac:dyDescent="0.25">
      <c r="A666" t="s">
        <v>3449</v>
      </c>
      <c r="B666" t="s">
        <v>3450</v>
      </c>
      <c r="C666" t="s">
        <v>4629</v>
      </c>
      <c r="D666">
        <v>12</v>
      </c>
      <c r="E666" t="s">
        <v>3435</v>
      </c>
      <c r="F666" t="s">
        <v>3454</v>
      </c>
      <c r="G666" t="s">
        <v>11003</v>
      </c>
    </row>
    <row r="667" spans="1:7" x14ac:dyDescent="0.25">
      <c r="A667" t="s">
        <v>3457</v>
      </c>
      <c r="B667" t="s">
        <v>3450</v>
      </c>
      <c r="C667" t="s">
        <v>4629</v>
      </c>
      <c r="D667">
        <v>12</v>
      </c>
      <c r="E667" t="s">
        <v>3435</v>
      </c>
      <c r="F667" t="s">
        <v>3461</v>
      </c>
      <c r="G667" t="s">
        <v>5009</v>
      </c>
    </row>
    <row r="668" spans="1:7" x14ac:dyDescent="0.25">
      <c r="A668" t="s">
        <v>3463</v>
      </c>
      <c r="B668" t="s">
        <v>3450</v>
      </c>
      <c r="C668" t="s">
        <v>4629</v>
      </c>
      <c r="D668">
        <v>12</v>
      </c>
      <c r="E668" t="s">
        <v>3435</v>
      </c>
      <c r="F668" t="s">
        <v>3467</v>
      </c>
      <c r="G668" t="s">
        <v>11004</v>
      </c>
    </row>
    <row r="669" spans="1:7" x14ac:dyDescent="0.25">
      <c r="A669" t="s">
        <v>3470</v>
      </c>
      <c r="B669" t="s">
        <v>3471</v>
      </c>
      <c r="C669" t="s">
        <v>3472</v>
      </c>
      <c r="D669">
        <v>12</v>
      </c>
      <c r="E669" t="s">
        <v>3435</v>
      </c>
      <c r="F669" t="s">
        <v>3478</v>
      </c>
      <c r="G669" t="s">
        <v>11029</v>
      </c>
    </row>
    <row r="670" spans="1:7" x14ac:dyDescent="0.25">
      <c r="A670" t="s">
        <v>3481</v>
      </c>
      <c r="B670" t="s">
        <v>3482</v>
      </c>
      <c r="C670" t="s">
        <v>3483</v>
      </c>
      <c r="D670">
        <v>12</v>
      </c>
      <c r="E670" t="s">
        <v>3435</v>
      </c>
      <c r="F670" t="s">
        <v>3478</v>
      </c>
      <c r="G670" t="s">
        <v>11029</v>
      </c>
    </row>
    <row r="671" spans="1:7" x14ac:dyDescent="0.25">
      <c r="A671" t="s">
        <v>3486</v>
      </c>
      <c r="B671" t="s">
        <v>3487</v>
      </c>
      <c r="C671" t="s">
        <v>3488</v>
      </c>
      <c r="D671">
        <v>12</v>
      </c>
      <c r="E671" t="s">
        <v>3435</v>
      </c>
      <c r="F671" t="s">
        <v>3478</v>
      </c>
      <c r="G671" t="s">
        <v>11029</v>
      </c>
    </row>
    <row r="672" spans="1:7" x14ac:dyDescent="0.25">
      <c r="A672" t="s">
        <v>3489</v>
      </c>
      <c r="B672" t="s">
        <v>3490</v>
      </c>
      <c r="C672" t="s">
        <v>3491</v>
      </c>
      <c r="D672">
        <v>12</v>
      </c>
      <c r="E672" t="s">
        <v>3435</v>
      </c>
      <c r="F672" t="s">
        <v>3478</v>
      </c>
      <c r="G672" t="s">
        <v>11029</v>
      </c>
    </row>
    <row r="673" spans="1:7" x14ac:dyDescent="0.25">
      <c r="A673" t="s">
        <v>3493</v>
      </c>
      <c r="B673" t="s">
        <v>3494</v>
      </c>
      <c r="C673" t="s">
        <v>3495</v>
      </c>
      <c r="D673">
        <v>12</v>
      </c>
      <c r="E673" t="s">
        <v>3435</v>
      </c>
      <c r="F673" t="s">
        <v>4631</v>
      </c>
      <c r="G673" t="s">
        <v>5131</v>
      </c>
    </row>
    <row r="674" spans="1:7" x14ac:dyDescent="0.25">
      <c r="A674" t="s">
        <v>3500</v>
      </c>
      <c r="B674" t="s">
        <v>3501</v>
      </c>
      <c r="C674" t="s">
        <v>3502</v>
      </c>
      <c r="D674">
        <v>12</v>
      </c>
      <c r="E674" t="s">
        <v>3435</v>
      </c>
      <c r="F674" t="s">
        <v>3507</v>
      </c>
      <c r="G674" t="s">
        <v>4962</v>
      </c>
    </row>
    <row r="675" spans="1:7" x14ac:dyDescent="0.25">
      <c r="A675" t="s">
        <v>3509</v>
      </c>
      <c r="B675" t="s">
        <v>3510</v>
      </c>
      <c r="C675" t="s">
        <v>3511</v>
      </c>
      <c r="D675">
        <v>12</v>
      </c>
      <c r="E675" t="s">
        <v>3435</v>
      </c>
      <c r="F675" t="s">
        <v>3461</v>
      </c>
      <c r="G675" t="s">
        <v>5009</v>
      </c>
    </row>
    <row r="676" spans="1:7" x14ac:dyDescent="0.25">
      <c r="A676" t="s">
        <v>3513</v>
      </c>
      <c r="B676" t="s">
        <v>3514</v>
      </c>
      <c r="C676" t="s">
        <v>3515</v>
      </c>
      <c r="D676">
        <v>12</v>
      </c>
      <c r="E676" t="s">
        <v>3435</v>
      </c>
      <c r="F676" t="s">
        <v>3520</v>
      </c>
      <c r="G676" t="s">
        <v>3436</v>
      </c>
    </row>
    <row r="677" spans="1:7" x14ac:dyDescent="0.25">
      <c r="A677" t="s">
        <v>3524</v>
      </c>
      <c r="B677" t="s">
        <v>3525</v>
      </c>
      <c r="C677" t="s">
        <v>3526</v>
      </c>
      <c r="D677">
        <v>12</v>
      </c>
      <c r="E677" t="s">
        <v>3435</v>
      </c>
      <c r="F677" t="s">
        <v>3533</v>
      </c>
      <c r="G677" t="s">
        <v>11010</v>
      </c>
    </row>
    <row r="678" spans="1:7" x14ac:dyDescent="0.25">
      <c r="A678" t="s">
        <v>3535</v>
      </c>
      <c r="B678" t="s">
        <v>3536</v>
      </c>
      <c r="C678" t="s">
        <v>3537</v>
      </c>
      <c r="D678">
        <v>12</v>
      </c>
      <c r="E678" t="s">
        <v>3435</v>
      </c>
      <c r="F678" t="s">
        <v>3542</v>
      </c>
      <c r="G678" t="s">
        <v>11028</v>
      </c>
    </row>
    <row r="679" spans="1:7" x14ac:dyDescent="0.25">
      <c r="A679" t="s">
        <v>3545</v>
      </c>
      <c r="B679" t="s">
        <v>3546</v>
      </c>
      <c r="C679" t="s">
        <v>3547</v>
      </c>
      <c r="D679">
        <v>12</v>
      </c>
      <c r="E679" t="s">
        <v>3435</v>
      </c>
      <c r="F679" t="s">
        <v>3551</v>
      </c>
      <c r="G679" t="s">
        <v>11009</v>
      </c>
    </row>
    <row r="680" spans="1:7" x14ac:dyDescent="0.25">
      <c r="A680" t="s">
        <v>3554</v>
      </c>
      <c r="B680" t="s">
        <v>3555</v>
      </c>
      <c r="C680" t="s">
        <v>3555</v>
      </c>
      <c r="D680">
        <v>12</v>
      </c>
      <c r="E680" t="s">
        <v>3435</v>
      </c>
      <c r="F680" t="s">
        <v>3542</v>
      </c>
      <c r="G680" t="s">
        <v>11028</v>
      </c>
    </row>
    <row r="681" spans="1:7" x14ac:dyDescent="0.25">
      <c r="A681" t="s">
        <v>3558</v>
      </c>
      <c r="B681" t="s">
        <v>3559</v>
      </c>
      <c r="C681" t="s">
        <v>3560</v>
      </c>
      <c r="D681">
        <v>12</v>
      </c>
      <c r="E681" t="s">
        <v>3435</v>
      </c>
      <c r="F681" t="s">
        <v>3566</v>
      </c>
      <c r="G681" t="s">
        <v>3527</v>
      </c>
    </row>
    <row r="682" spans="1:7" x14ac:dyDescent="0.25">
      <c r="A682" t="s">
        <v>3568</v>
      </c>
      <c r="B682" t="s">
        <v>3569</v>
      </c>
      <c r="C682" t="s">
        <v>3570</v>
      </c>
      <c r="D682">
        <v>12</v>
      </c>
      <c r="E682" t="s">
        <v>3435</v>
      </c>
      <c r="F682" t="s">
        <v>3551</v>
      </c>
      <c r="G682" t="s">
        <v>11009</v>
      </c>
    </row>
    <row r="683" spans="1:7" x14ac:dyDescent="0.25">
      <c r="A683" t="s">
        <v>12580</v>
      </c>
      <c r="B683" t="s">
        <v>12581</v>
      </c>
      <c r="C683" t="s">
        <v>12582</v>
      </c>
      <c r="D683">
        <v>14</v>
      </c>
      <c r="E683" t="s">
        <v>12583</v>
      </c>
      <c r="F683" t="s">
        <v>12588</v>
      </c>
      <c r="G683" t="s">
        <v>12588</v>
      </c>
    </row>
    <row r="684" spans="1:7" x14ac:dyDescent="0.25">
      <c r="A684" t="s">
        <v>12594</v>
      </c>
      <c r="B684" t="s">
        <v>12595</v>
      </c>
      <c r="C684" t="s">
        <v>12596</v>
      </c>
      <c r="D684">
        <v>14</v>
      </c>
      <c r="E684" t="s">
        <v>12583</v>
      </c>
      <c r="F684" t="s">
        <v>12601</v>
      </c>
      <c r="G684" t="s">
        <v>12601</v>
      </c>
    </row>
    <row r="685" spans="1:7" x14ac:dyDescent="0.25">
      <c r="A685" t="s">
        <v>12604</v>
      </c>
      <c r="B685" t="s">
        <v>12605</v>
      </c>
      <c r="C685" t="s">
        <v>12606</v>
      </c>
      <c r="D685">
        <v>14</v>
      </c>
      <c r="E685" t="s">
        <v>12583</v>
      </c>
      <c r="F685" t="s">
        <v>12610</v>
      </c>
      <c r="G685" t="s">
        <v>12610</v>
      </c>
    </row>
    <row r="686" spans="1:7" x14ac:dyDescent="0.25">
      <c r="A686" t="s">
        <v>12613</v>
      </c>
      <c r="B686" t="s">
        <v>12614</v>
      </c>
      <c r="C686" t="s">
        <v>12615</v>
      </c>
      <c r="D686">
        <v>14</v>
      </c>
      <c r="E686" t="s">
        <v>12583</v>
      </c>
      <c r="F686" t="s">
        <v>12620</v>
      </c>
      <c r="G686" t="s">
        <v>12620</v>
      </c>
    </row>
    <row r="687" spans="1:7" x14ac:dyDescent="0.25">
      <c r="A687" t="s">
        <v>12623</v>
      </c>
      <c r="B687" t="s">
        <v>12624</v>
      </c>
      <c r="C687" t="s">
        <v>12625</v>
      </c>
      <c r="D687">
        <v>14</v>
      </c>
      <c r="E687" t="s">
        <v>12583</v>
      </c>
      <c r="F687" t="s">
        <v>12628</v>
      </c>
      <c r="G687" t="s">
        <v>12628</v>
      </c>
    </row>
    <row r="688" spans="1:7" x14ac:dyDescent="0.25">
      <c r="A688" t="s">
        <v>12630</v>
      </c>
      <c r="B688" t="s">
        <v>12631</v>
      </c>
      <c r="C688" t="s">
        <v>12632</v>
      </c>
      <c r="D688">
        <v>14</v>
      </c>
      <c r="E688" t="s">
        <v>12583</v>
      </c>
      <c r="F688" t="s">
        <v>12636</v>
      </c>
      <c r="G688" t="s">
        <v>12636</v>
      </c>
    </row>
    <row r="689" spans="1:7" x14ac:dyDescent="0.25">
      <c r="A689" t="s">
        <v>12641</v>
      </c>
      <c r="B689" t="s">
        <v>12642</v>
      </c>
      <c r="C689" t="s">
        <v>12643</v>
      </c>
      <c r="D689">
        <v>14</v>
      </c>
      <c r="E689" t="s">
        <v>12583</v>
      </c>
      <c r="F689" t="s">
        <v>12647</v>
      </c>
      <c r="G689" t="s">
        <v>12647</v>
      </c>
    </row>
    <row r="690" spans="1:7" x14ac:dyDescent="0.25">
      <c r="A690" t="s">
        <v>12640</v>
      </c>
      <c r="B690" t="s">
        <v>12650</v>
      </c>
      <c r="C690" t="s">
        <v>12651</v>
      </c>
      <c r="D690">
        <v>14</v>
      </c>
      <c r="E690" t="s">
        <v>12583</v>
      </c>
      <c r="F690" t="s">
        <v>12653</v>
      </c>
      <c r="G690" t="s">
        <v>12653</v>
      </c>
    </row>
    <row r="691" spans="1:7" x14ac:dyDescent="0.25">
      <c r="A691" t="s">
        <v>12655</v>
      </c>
      <c r="B691" t="s">
        <v>12656</v>
      </c>
      <c r="C691" t="s">
        <v>12657</v>
      </c>
      <c r="D691">
        <v>14</v>
      </c>
      <c r="E691" t="s">
        <v>12583</v>
      </c>
      <c r="F691" t="s">
        <v>12660</v>
      </c>
      <c r="G691" t="s">
        <v>12660</v>
      </c>
    </row>
    <row r="692" spans="1:7" x14ac:dyDescent="0.25">
      <c r="A692" t="s">
        <v>12664</v>
      </c>
      <c r="B692" t="s">
        <v>12665</v>
      </c>
      <c r="C692" t="s">
        <v>12666</v>
      </c>
      <c r="D692">
        <v>14</v>
      </c>
      <c r="E692" t="s">
        <v>12583</v>
      </c>
      <c r="F692" t="s">
        <v>12669</v>
      </c>
      <c r="G692" t="s">
        <v>12669</v>
      </c>
    </row>
    <row r="693" spans="1:7" x14ac:dyDescent="0.25">
      <c r="A693" t="s">
        <v>12672</v>
      </c>
      <c r="B693" t="s">
        <v>12673</v>
      </c>
      <c r="C693" t="s">
        <v>12674</v>
      </c>
      <c r="D693">
        <v>14</v>
      </c>
      <c r="E693" t="s">
        <v>12583</v>
      </c>
      <c r="F693" t="s">
        <v>12669</v>
      </c>
      <c r="G693" t="s">
        <v>12669</v>
      </c>
    </row>
    <row r="694" spans="1:7" x14ac:dyDescent="0.25">
      <c r="A694" t="s">
        <v>12676</v>
      </c>
      <c r="B694" t="s">
        <v>12677</v>
      </c>
      <c r="C694" t="s">
        <v>12678</v>
      </c>
      <c r="D694">
        <v>14</v>
      </c>
      <c r="E694" t="s">
        <v>12583</v>
      </c>
      <c r="F694" t="s">
        <v>12681</v>
      </c>
      <c r="G694" t="s">
        <v>12681</v>
      </c>
    </row>
    <row r="695" spans="1:7" x14ac:dyDescent="0.25">
      <c r="A695" t="s">
        <v>12683</v>
      </c>
      <c r="B695" t="s">
        <v>12684</v>
      </c>
      <c r="C695" t="s">
        <v>12684</v>
      </c>
      <c r="D695">
        <v>14</v>
      </c>
      <c r="E695" t="s">
        <v>12583</v>
      </c>
      <c r="F695" t="s">
        <v>12686</v>
      </c>
      <c r="G695" t="s">
        <v>12686</v>
      </c>
    </row>
    <row r="696" spans="1:7" x14ac:dyDescent="0.25">
      <c r="A696" t="s">
        <v>12688</v>
      </c>
      <c r="B696" t="s">
        <v>12689</v>
      </c>
      <c r="C696" t="s">
        <v>12690</v>
      </c>
      <c r="D696">
        <v>14</v>
      </c>
      <c r="E696" t="s">
        <v>12583</v>
      </c>
      <c r="F696" t="s">
        <v>12636</v>
      </c>
      <c r="G696" t="s">
        <v>12636</v>
      </c>
    </row>
    <row r="697" spans="1:7" x14ac:dyDescent="0.25">
      <c r="A697" t="s">
        <v>12694</v>
      </c>
      <c r="B697" t="s">
        <v>12695</v>
      </c>
      <c r="C697" t="s">
        <v>12696</v>
      </c>
      <c r="D697">
        <v>14</v>
      </c>
      <c r="E697" t="s">
        <v>12583</v>
      </c>
      <c r="F697" t="s">
        <v>12697</v>
      </c>
      <c r="G697" t="s">
        <v>12697</v>
      </c>
    </row>
    <row r="698" spans="1:7" x14ac:dyDescent="0.25">
      <c r="A698" t="s">
        <v>12699</v>
      </c>
      <c r="B698" t="s">
        <v>12700</v>
      </c>
      <c r="C698" t="s">
        <v>12701</v>
      </c>
      <c r="D698">
        <v>14</v>
      </c>
      <c r="E698" t="s">
        <v>12583</v>
      </c>
      <c r="F698" t="s">
        <v>12705</v>
      </c>
      <c r="G698" t="s">
        <v>12705</v>
      </c>
    </row>
    <row r="699" spans="1:7" x14ac:dyDescent="0.25">
      <c r="A699" t="s">
        <v>12707</v>
      </c>
      <c r="B699" t="s">
        <v>12708</v>
      </c>
      <c r="C699" t="s">
        <v>12709</v>
      </c>
      <c r="D699">
        <v>14</v>
      </c>
      <c r="E699" t="s">
        <v>12583</v>
      </c>
      <c r="F699" t="s">
        <v>12711</v>
      </c>
      <c r="G699" t="s">
        <v>12711</v>
      </c>
    </row>
    <row r="700" spans="1:7" x14ac:dyDescent="0.25">
      <c r="A700" t="s">
        <v>12713</v>
      </c>
      <c r="B700" t="s">
        <v>12714</v>
      </c>
      <c r="C700" t="s">
        <v>12715</v>
      </c>
      <c r="D700">
        <v>14</v>
      </c>
      <c r="E700" t="s">
        <v>12583</v>
      </c>
      <c r="F700" t="s">
        <v>12588</v>
      </c>
      <c r="G700" t="s">
        <v>12588</v>
      </c>
    </row>
    <row r="701" spans="1:7" x14ac:dyDescent="0.25">
      <c r="A701" t="s">
        <v>12717</v>
      </c>
      <c r="B701" t="s">
        <v>12718</v>
      </c>
      <c r="C701" t="s">
        <v>12719</v>
      </c>
      <c r="D701">
        <v>14</v>
      </c>
      <c r="E701" t="s">
        <v>12583</v>
      </c>
      <c r="F701" t="s">
        <v>12628</v>
      </c>
      <c r="G701" t="s">
        <v>12628</v>
      </c>
    </row>
    <row r="702" spans="1:7" x14ac:dyDescent="0.25">
      <c r="A702" t="s">
        <v>12722</v>
      </c>
      <c r="B702" t="s">
        <v>12723</v>
      </c>
      <c r="C702" t="s">
        <v>12724</v>
      </c>
      <c r="D702">
        <v>14</v>
      </c>
      <c r="E702" t="s">
        <v>12583</v>
      </c>
      <c r="F702" t="s">
        <v>12727</v>
      </c>
      <c r="G702" t="s">
        <v>12727</v>
      </c>
    </row>
    <row r="703" spans="1:7" x14ac:dyDescent="0.25">
      <c r="A703" t="s">
        <v>12731</v>
      </c>
      <c r="B703" t="s">
        <v>12732</v>
      </c>
      <c r="C703" t="s">
        <v>12733</v>
      </c>
      <c r="D703">
        <v>14</v>
      </c>
      <c r="E703" t="s">
        <v>12583</v>
      </c>
      <c r="F703" t="s">
        <v>12681</v>
      </c>
      <c r="G703" t="s">
        <v>12681</v>
      </c>
    </row>
    <row r="704" spans="1:7" x14ac:dyDescent="0.25">
      <c r="A704" t="s">
        <v>12737</v>
      </c>
      <c r="B704" t="s">
        <v>12738</v>
      </c>
      <c r="C704" t="s">
        <v>12739</v>
      </c>
      <c r="D704">
        <v>14</v>
      </c>
      <c r="E704" t="s">
        <v>12583</v>
      </c>
      <c r="F704" t="s">
        <v>12628</v>
      </c>
      <c r="G704" t="s">
        <v>12628</v>
      </c>
    </row>
    <row r="705" spans="1:7" x14ac:dyDescent="0.25">
      <c r="A705" t="s">
        <v>1768</v>
      </c>
      <c r="B705" t="s">
        <v>1769</v>
      </c>
      <c r="C705" t="s">
        <v>1770</v>
      </c>
      <c r="D705">
        <v>3</v>
      </c>
      <c r="E705" t="s">
        <v>1771</v>
      </c>
      <c r="F705" t="s">
        <v>4368</v>
      </c>
      <c r="G705" t="s">
        <v>4368</v>
      </c>
    </row>
    <row r="706" spans="1:7" x14ac:dyDescent="0.25">
      <c r="A706" t="s">
        <v>1779</v>
      </c>
      <c r="B706" t="s">
        <v>1780</v>
      </c>
      <c r="C706" t="s">
        <v>1781</v>
      </c>
      <c r="D706">
        <v>3</v>
      </c>
      <c r="E706" t="s">
        <v>1771</v>
      </c>
      <c r="F706" t="s">
        <v>4368</v>
      </c>
      <c r="G706" t="s">
        <v>4368</v>
      </c>
    </row>
    <row r="707" spans="1:7" x14ac:dyDescent="0.25">
      <c r="A707" t="s">
        <v>1784</v>
      </c>
      <c r="B707" t="s">
        <v>1785</v>
      </c>
      <c r="C707" t="s">
        <v>1786</v>
      </c>
      <c r="D707">
        <v>3</v>
      </c>
      <c r="E707" t="s">
        <v>1771</v>
      </c>
      <c r="F707" t="s">
        <v>4368</v>
      </c>
      <c r="G707" t="s">
        <v>4368</v>
      </c>
    </row>
    <row r="708" spans="1:7" x14ac:dyDescent="0.25">
      <c r="A708" t="s">
        <v>1788</v>
      </c>
      <c r="B708" t="s">
        <v>1789</v>
      </c>
      <c r="C708" t="s">
        <v>1790</v>
      </c>
      <c r="D708">
        <v>3</v>
      </c>
      <c r="E708" t="s">
        <v>1771</v>
      </c>
      <c r="F708" t="s">
        <v>4370</v>
      </c>
      <c r="G708" t="s">
        <v>4370</v>
      </c>
    </row>
    <row r="709" spans="1:7" x14ac:dyDescent="0.25">
      <c r="A709" t="s">
        <v>1795</v>
      </c>
      <c r="B709" t="s">
        <v>1796</v>
      </c>
      <c r="C709" t="s">
        <v>1797</v>
      </c>
      <c r="D709">
        <v>3</v>
      </c>
      <c r="E709" t="s">
        <v>1771</v>
      </c>
      <c r="F709" t="s">
        <v>4372</v>
      </c>
      <c r="G709" t="s">
        <v>4372</v>
      </c>
    </row>
    <row r="710" spans="1:7" x14ac:dyDescent="0.25">
      <c r="A710" t="s">
        <v>1802</v>
      </c>
      <c r="B710" t="s">
        <v>1803</v>
      </c>
      <c r="C710" t="s">
        <v>1804</v>
      </c>
      <c r="D710">
        <v>3</v>
      </c>
      <c r="E710" t="s">
        <v>1771</v>
      </c>
      <c r="F710" t="s">
        <v>4372</v>
      </c>
      <c r="G710" t="s">
        <v>4372</v>
      </c>
    </row>
    <row r="711" spans="1:7" x14ac:dyDescent="0.25">
      <c r="A711" t="s">
        <v>1805</v>
      </c>
      <c r="B711" t="s">
        <v>1806</v>
      </c>
      <c r="C711" t="s">
        <v>1807</v>
      </c>
      <c r="D711">
        <v>3</v>
      </c>
      <c r="E711" t="s">
        <v>1771</v>
      </c>
      <c r="F711" t="s">
        <v>4373</v>
      </c>
      <c r="G711" t="s">
        <v>4373</v>
      </c>
    </row>
    <row r="712" spans="1:7" x14ac:dyDescent="0.25">
      <c r="A712" t="s">
        <v>1813</v>
      </c>
      <c r="B712" t="s">
        <v>1814</v>
      </c>
      <c r="C712" t="s">
        <v>1815</v>
      </c>
      <c r="D712">
        <v>3</v>
      </c>
      <c r="E712" t="s">
        <v>1771</v>
      </c>
      <c r="F712" t="s">
        <v>4375</v>
      </c>
      <c r="G712" t="s">
        <v>4375</v>
      </c>
    </row>
    <row r="713" spans="1:7" x14ac:dyDescent="0.25">
      <c r="A713" t="s">
        <v>1819</v>
      </c>
      <c r="B713" t="s">
        <v>1820</v>
      </c>
      <c r="C713" t="s">
        <v>1821</v>
      </c>
      <c r="D713">
        <v>3</v>
      </c>
      <c r="E713" t="s">
        <v>1771</v>
      </c>
      <c r="F713" t="s">
        <v>4375</v>
      </c>
      <c r="G713" t="s">
        <v>4375</v>
      </c>
    </row>
    <row r="714" spans="1:7" x14ac:dyDescent="0.25">
      <c r="A714" t="s">
        <v>1823</v>
      </c>
      <c r="B714" t="s">
        <v>1824</v>
      </c>
      <c r="C714" t="s">
        <v>1825</v>
      </c>
      <c r="D714">
        <v>3</v>
      </c>
      <c r="E714" t="s">
        <v>1771</v>
      </c>
      <c r="F714" t="s">
        <v>4375</v>
      </c>
      <c r="G714" t="s">
        <v>4375</v>
      </c>
    </row>
    <row r="715" spans="1:7" x14ac:dyDescent="0.25">
      <c r="A715" t="s">
        <v>1827</v>
      </c>
      <c r="B715" t="s">
        <v>1828</v>
      </c>
      <c r="C715" t="s">
        <v>1829</v>
      </c>
      <c r="D715">
        <v>3</v>
      </c>
      <c r="E715" t="s">
        <v>1771</v>
      </c>
      <c r="F715" t="s">
        <v>4377</v>
      </c>
      <c r="G715" t="s">
        <v>4377</v>
      </c>
    </row>
    <row r="716" spans="1:7" x14ac:dyDescent="0.25">
      <c r="A716" t="s">
        <v>1833</v>
      </c>
      <c r="B716" t="s">
        <v>1834</v>
      </c>
      <c r="C716" t="s">
        <v>1835</v>
      </c>
      <c r="D716">
        <v>3</v>
      </c>
      <c r="E716" t="s">
        <v>1771</v>
      </c>
      <c r="F716" t="s">
        <v>4379</v>
      </c>
      <c r="G716" t="s">
        <v>4379</v>
      </c>
    </row>
    <row r="717" spans="1:7" x14ac:dyDescent="0.25">
      <c r="A717" t="s">
        <v>1840</v>
      </c>
      <c r="B717" t="s">
        <v>1841</v>
      </c>
      <c r="C717" t="s">
        <v>1842</v>
      </c>
      <c r="D717">
        <v>3</v>
      </c>
      <c r="E717" t="s">
        <v>1771</v>
      </c>
      <c r="F717" t="s">
        <v>4381</v>
      </c>
      <c r="G717" t="s">
        <v>4381</v>
      </c>
    </row>
    <row r="718" spans="1:7" x14ac:dyDescent="0.25">
      <c r="A718" t="s">
        <v>1846</v>
      </c>
      <c r="B718" t="s">
        <v>1847</v>
      </c>
      <c r="C718" t="s">
        <v>1848</v>
      </c>
      <c r="D718">
        <v>3</v>
      </c>
      <c r="E718" t="s">
        <v>1771</v>
      </c>
      <c r="F718" t="s">
        <v>4381</v>
      </c>
      <c r="G718" t="s">
        <v>4381</v>
      </c>
    </row>
    <row r="719" spans="1:7" x14ac:dyDescent="0.25">
      <c r="A719" t="s">
        <v>1850</v>
      </c>
      <c r="B719" t="s">
        <v>1851</v>
      </c>
      <c r="C719" t="s">
        <v>1852</v>
      </c>
      <c r="D719">
        <v>3</v>
      </c>
      <c r="E719" t="s">
        <v>1771</v>
      </c>
      <c r="F719" t="s">
        <v>4382</v>
      </c>
      <c r="G719" t="s">
        <v>4382</v>
      </c>
    </row>
    <row r="720" spans="1:7" x14ac:dyDescent="0.25">
      <c r="A720" t="s">
        <v>1855</v>
      </c>
      <c r="B720" t="s">
        <v>1856</v>
      </c>
      <c r="C720" t="s">
        <v>1857</v>
      </c>
      <c r="D720">
        <v>3</v>
      </c>
      <c r="E720" t="s">
        <v>1771</v>
      </c>
      <c r="F720" t="s">
        <v>4384</v>
      </c>
      <c r="G720" t="s">
        <v>4384</v>
      </c>
    </row>
    <row r="721" spans="1:7" x14ac:dyDescent="0.25">
      <c r="A721" t="s">
        <v>1863</v>
      </c>
      <c r="B721" t="s">
        <v>1864</v>
      </c>
      <c r="C721" t="s">
        <v>1865</v>
      </c>
      <c r="D721">
        <v>3</v>
      </c>
      <c r="E721" t="s">
        <v>1771</v>
      </c>
      <c r="F721" t="s">
        <v>4386</v>
      </c>
      <c r="G721" t="s">
        <v>4386</v>
      </c>
    </row>
    <row r="722" spans="1:7" x14ac:dyDescent="0.25">
      <c r="A722" t="s">
        <v>1870</v>
      </c>
      <c r="B722" t="s">
        <v>1871</v>
      </c>
      <c r="C722" t="s">
        <v>1872</v>
      </c>
      <c r="D722">
        <v>3</v>
      </c>
      <c r="E722" t="s">
        <v>1771</v>
      </c>
      <c r="F722" t="s">
        <v>4388</v>
      </c>
      <c r="G722" t="s">
        <v>4388</v>
      </c>
    </row>
    <row r="723" spans="1:7" x14ac:dyDescent="0.25">
      <c r="A723" t="s">
        <v>1875</v>
      </c>
      <c r="B723" t="s">
        <v>1876</v>
      </c>
      <c r="C723" t="s">
        <v>1877</v>
      </c>
      <c r="D723">
        <v>3</v>
      </c>
      <c r="E723" t="s">
        <v>1771</v>
      </c>
      <c r="F723" t="s">
        <v>4390</v>
      </c>
      <c r="G723" t="s">
        <v>4390</v>
      </c>
    </row>
    <row r="724" spans="1:7" x14ac:dyDescent="0.25">
      <c r="A724" t="s">
        <v>1882</v>
      </c>
      <c r="B724" t="s">
        <v>1883</v>
      </c>
      <c r="C724" t="s">
        <v>1884</v>
      </c>
      <c r="D724">
        <v>3</v>
      </c>
      <c r="E724" t="s">
        <v>1771</v>
      </c>
      <c r="F724" t="s">
        <v>4391</v>
      </c>
      <c r="G724" t="s">
        <v>4391</v>
      </c>
    </row>
    <row r="725" spans="1:7" x14ac:dyDescent="0.25">
      <c r="A725" t="s">
        <v>1890</v>
      </c>
      <c r="B725" t="s">
        <v>1891</v>
      </c>
      <c r="C725" t="s">
        <v>1892</v>
      </c>
      <c r="D725">
        <v>3</v>
      </c>
      <c r="E725" t="s">
        <v>1771</v>
      </c>
      <c r="F725" t="s">
        <v>4393</v>
      </c>
      <c r="G725" t="s">
        <v>4393</v>
      </c>
    </row>
    <row r="726" spans="1:7" x14ac:dyDescent="0.25">
      <c r="A726" t="s">
        <v>1896</v>
      </c>
      <c r="B726" t="s">
        <v>1897</v>
      </c>
      <c r="C726" t="s">
        <v>1898</v>
      </c>
      <c r="D726">
        <v>3</v>
      </c>
      <c r="E726" t="s">
        <v>1771</v>
      </c>
      <c r="F726" t="s">
        <v>4395</v>
      </c>
      <c r="G726" t="s">
        <v>4395</v>
      </c>
    </row>
    <row r="727" spans="1:7" x14ac:dyDescent="0.25">
      <c r="A727" t="s">
        <v>1903</v>
      </c>
      <c r="B727" t="s">
        <v>1904</v>
      </c>
      <c r="C727" t="s">
        <v>1905</v>
      </c>
      <c r="D727">
        <v>3</v>
      </c>
      <c r="E727" t="s">
        <v>1771</v>
      </c>
      <c r="F727" t="s">
        <v>4396</v>
      </c>
      <c r="G727" t="s">
        <v>4396</v>
      </c>
    </row>
    <row r="728" spans="1:7" x14ac:dyDescent="0.25">
      <c r="A728" t="s">
        <v>1910</v>
      </c>
      <c r="B728" t="s">
        <v>1911</v>
      </c>
      <c r="C728" t="s">
        <v>1912</v>
      </c>
      <c r="D728">
        <v>3</v>
      </c>
      <c r="E728" t="s">
        <v>1771</v>
      </c>
      <c r="F728" t="s">
        <v>4397</v>
      </c>
      <c r="G728" t="s">
        <v>4397</v>
      </c>
    </row>
    <row r="729" spans="1:7" x14ac:dyDescent="0.25">
      <c r="A729" t="s">
        <v>1915</v>
      </c>
      <c r="B729" t="s">
        <v>1916</v>
      </c>
      <c r="C729" t="s">
        <v>1917</v>
      </c>
      <c r="D729">
        <v>3</v>
      </c>
      <c r="E729" t="s">
        <v>1771</v>
      </c>
      <c r="F729" t="s">
        <v>4399</v>
      </c>
      <c r="G729" t="s">
        <v>4399</v>
      </c>
    </row>
    <row r="730" spans="1:7" x14ac:dyDescent="0.25">
      <c r="A730" t="s">
        <v>1922</v>
      </c>
      <c r="B730" t="s">
        <v>1923</v>
      </c>
      <c r="C730" t="s">
        <v>1924</v>
      </c>
      <c r="D730">
        <v>3</v>
      </c>
      <c r="E730" t="s">
        <v>1771</v>
      </c>
      <c r="F730" t="s">
        <v>4400</v>
      </c>
      <c r="G730" t="s">
        <v>4400</v>
      </c>
    </row>
    <row r="731" spans="1:7" x14ac:dyDescent="0.25">
      <c r="A731" t="s">
        <v>1931</v>
      </c>
      <c r="B731" t="s">
        <v>1932</v>
      </c>
      <c r="C731" t="s">
        <v>1933</v>
      </c>
      <c r="D731">
        <v>3</v>
      </c>
      <c r="E731" t="s">
        <v>1771</v>
      </c>
      <c r="F731" t="s">
        <v>4402</v>
      </c>
      <c r="G731" t="s">
        <v>4402</v>
      </c>
    </row>
    <row r="732" spans="1:7" x14ac:dyDescent="0.25">
      <c r="A732" t="s">
        <v>1936</v>
      </c>
      <c r="B732" t="s">
        <v>1937</v>
      </c>
      <c r="C732" t="s">
        <v>1938</v>
      </c>
      <c r="D732">
        <v>3</v>
      </c>
      <c r="E732" t="s">
        <v>1771</v>
      </c>
      <c r="F732" t="s">
        <v>4404</v>
      </c>
      <c r="G732" t="s">
        <v>4404</v>
      </c>
    </row>
    <row r="733" spans="1:7" x14ac:dyDescent="0.25">
      <c r="A733" t="s">
        <v>1943</v>
      </c>
      <c r="B733" t="s">
        <v>1944</v>
      </c>
      <c r="C733" t="s">
        <v>1945</v>
      </c>
      <c r="D733">
        <v>3</v>
      </c>
      <c r="E733" t="s">
        <v>1771</v>
      </c>
      <c r="F733" t="s">
        <v>4405</v>
      </c>
      <c r="G733" t="s">
        <v>4405</v>
      </c>
    </row>
    <row r="734" spans="1:7" x14ac:dyDescent="0.25">
      <c r="A734" t="s">
        <v>1951</v>
      </c>
      <c r="B734" t="s">
        <v>1952</v>
      </c>
      <c r="C734" t="s">
        <v>1953</v>
      </c>
      <c r="D734">
        <v>3</v>
      </c>
      <c r="E734" t="s">
        <v>1771</v>
      </c>
      <c r="F734" t="s">
        <v>4399</v>
      </c>
      <c r="G734" t="s">
        <v>4399</v>
      </c>
    </row>
    <row r="735" spans="1:7" x14ac:dyDescent="0.25">
      <c r="A735" t="s">
        <v>1954</v>
      </c>
      <c r="B735" t="s">
        <v>1955</v>
      </c>
      <c r="C735" t="s">
        <v>1956</v>
      </c>
      <c r="D735">
        <v>3</v>
      </c>
      <c r="E735" t="s">
        <v>1771</v>
      </c>
      <c r="F735" t="s">
        <v>4406</v>
      </c>
      <c r="G735" t="s">
        <v>4406</v>
      </c>
    </row>
    <row r="736" spans="1:7" x14ac:dyDescent="0.25">
      <c r="A736" t="s">
        <v>1960</v>
      </c>
      <c r="B736" t="s">
        <v>1961</v>
      </c>
      <c r="C736" t="s">
        <v>1962</v>
      </c>
      <c r="D736">
        <v>3</v>
      </c>
      <c r="E736" t="s">
        <v>1771</v>
      </c>
      <c r="F736" t="s">
        <v>4407</v>
      </c>
      <c r="G736" t="s">
        <v>4407</v>
      </c>
    </row>
    <row r="737" spans="1:7" x14ac:dyDescent="0.25">
      <c r="A737" t="s">
        <v>1965</v>
      </c>
      <c r="B737" t="s">
        <v>1966</v>
      </c>
      <c r="C737" t="s">
        <v>1967</v>
      </c>
      <c r="D737">
        <v>3</v>
      </c>
      <c r="E737" t="s">
        <v>1771</v>
      </c>
      <c r="F737" t="s">
        <v>4409</v>
      </c>
      <c r="G737" t="s">
        <v>4409</v>
      </c>
    </row>
    <row r="738" spans="1:7" x14ac:dyDescent="0.25">
      <c r="A738" t="s">
        <v>1972</v>
      </c>
      <c r="B738" t="s">
        <v>1973</v>
      </c>
      <c r="C738" t="s">
        <v>1974</v>
      </c>
      <c r="D738">
        <v>3</v>
      </c>
      <c r="E738" t="s">
        <v>1771</v>
      </c>
      <c r="F738" t="s">
        <v>4411</v>
      </c>
      <c r="G738" t="s">
        <v>4411</v>
      </c>
    </row>
    <row r="739" spans="1:7" x14ac:dyDescent="0.25">
      <c r="A739" t="s">
        <v>1979</v>
      </c>
      <c r="B739" t="s">
        <v>1980</v>
      </c>
      <c r="C739" t="s">
        <v>1981</v>
      </c>
      <c r="D739">
        <v>3</v>
      </c>
      <c r="E739" t="s">
        <v>1771</v>
      </c>
      <c r="F739" t="s">
        <v>4413</v>
      </c>
      <c r="G739" t="s">
        <v>4413</v>
      </c>
    </row>
    <row r="740" spans="1:7" x14ac:dyDescent="0.25">
      <c r="A740" t="s">
        <v>1986</v>
      </c>
      <c r="B740" t="s">
        <v>1987</v>
      </c>
      <c r="C740" t="s">
        <v>1988</v>
      </c>
      <c r="D740">
        <v>3</v>
      </c>
      <c r="E740" t="s">
        <v>1771</v>
      </c>
      <c r="F740" t="s">
        <v>4415</v>
      </c>
      <c r="G740" t="s">
        <v>4415</v>
      </c>
    </row>
    <row r="741" spans="1:7" x14ac:dyDescent="0.25">
      <c r="A741" t="s">
        <v>1993</v>
      </c>
      <c r="B741" t="s">
        <v>1994</v>
      </c>
      <c r="C741" t="s">
        <v>1995</v>
      </c>
      <c r="D741">
        <v>3</v>
      </c>
      <c r="E741" t="s">
        <v>1771</v>
      </c>
      <c r="F741" t="s">
        <v>4417</v>
      </c>
      <c r="G741" t="s">
        <v>4417</v>
      </c>
    </row>
    <row r="742" spans="1:7" x14ac:dyDescent="0.25">
      <c r="A742" t="s">
        <v>1998</v>
      </c>
      <c r="B742" t="s">
        <v>1999</v>
      </c>
      <c r="C742" t="s">
        <v>2000</v>
      </c>
      <c r="D742">
        <v>3</v>
      </c>
      <c r="E742" t="s">
        <v>1771</v>
      </c>
      <c r="F742" t="s">
        <v>4418</v>
      </c>
      <c r="G742" t="s">
        <v>4418</v>
      </c>
    </row>
    <row r="743" spans="1:7" x14ac:dyDescent="0.25">
      <c r="A743" t="s">
        <v>2002</v>
      </c>
      <c r="B743" t="s">
        <v>2003</v>
      </c>
      <c r="C743" t="s">
        <v>2004</v>
      </c>
      <c r="D743">
        <v>3</v>
      </c>
      <c r="E743" t="s">
        <v>1771</v>
      </c>
      <c r="F743" t="s">
        <v>4402</v>
      </c>
      <c r="G743" t="s">
        <v>4402</v>
      </c>
    </row>
    <row r="744" spans="1:7" x14ac:dyDescent="0.25">
      <c r="A744" t="s">
        <v>2005</v>
      </c>
      <c r="B744" t="s">
        <v>2006</v>
      </c>
      <c r="C744" t="s">
        <v>4419</v>
      </c>
      <c r="D744">
        <v>3</v>
      </c>
      <c r="E744" t="s">
        <v>1771</v>
      </c>
      <c r="F744" t="s">
        <v>4421</v>
      </c>
      <c r="G744" t="s">
        <v>4421</v>
      </c>
    </row>
    <row r="745" spans="1:7" x14ac:dyDescent="0.25">
      <c r="A745" t="s">
        <v>2012</v>
      </c>
      <c r="B745" t="s">
        <v>2013</v>
      </c>
      <c r="C745" t="s">
        <v>2014</v>
      </c>
      <c r="D745">
        <v>3</v>
      </c>
      <c r="E745" t="s">
        <v>1771</v>
      </c>
      <c r="F745" t="s">
        <v>4422</v>
      </c>
      <c r="G745" t="s">
        <v>4422</v>
      </c>
    </row>
    <row r="746" spans="1:7" x14ac:dyDescent="0.25">
      <c r="A746" t="s">
        <v>2018</v>
      </c>
      <c r="B746" t="s">
        <v>2019</v>
      </c>
      <c r="C746" t="s">
        <v>2020</v>
      </c>
      <c r="D746">
        <v>3</v>
      </c>
      <c r="E746" t="s">
        <v>1771</v>
      </c>
      <c r="F746" t="s">
        <v>4390</v>
      </c>
      <c r="G746" t="s">
        <v>4390</v>
      </c>
    </row>
    <row r="747" spans="1:7" x14ac:dyDescent="0.25">
      <c r="A747" t="s">
        <v>2021</v>
      </c>
      <c r="B747" t="s">
        <v>2022</v>
      </c>
      <c r="C747" t="s">
        <v>2023</v>
      </c>
      <c r="D747">
        <v>3</v>
      </c>
      <c r="E747" t="s">
        <v>1771</v>
      </c>
      <c r="F747" t="s">
        <v>4424</v>
      </c>
      <c r="G747" t="s">
        <v>4424</v>
      </c>
    </row>
    <row r="748" spans="1:7" x14ac:dyDescent="0.25">
      <c r="A748" t="s">
        <v>2028</v>
      </c>
      <c r="B748" t="s">
        <v>2029</v>
      </c>
      <c r="C748" t="s">
        <v>2030</v>
      </c>
      <c r="D748">
        <v>3</v>
      </c>
      <c r="E748" t="s">
        <v>1771</v>
      </c>
      <c r="F748" t="s">
        <v>4425</v>
      </c>
      <c r="G748" t="s">
        <v>4425</v>
      </c>
    </row>
    <row r="749" spans="1:7" x14ac:dyDescent="0.25">
      <c r="A749" t="s">
        <v>2033</v>
      </c>
      <c r="B749" t="s">
        <v>2034</v>
      </c>
      <c r="C749" t="s">
        <v>2035</v>
      </c>
      <c r="D749">
        <v>3</v>
      </c>
      <c r="E749" t="s">
        <v>1771</v>
      </c>
      <c r="F749" t="s">
        <v>4426</v>
      </c>
      <c r="G749" t="s">
        <v>4426</v>
      </c>
    </row>
    <row r="750" spans="1:7" x14ac:dyDescent="0.25">
      <c r="A750" t="s">
        <v>2040</v>
      </c>
      <c r="B750" t="s">
        <v>2041</v>
      </c>
      <c r="C750" t="s">
        <v>2042</v>
      </c>
      <c r="D750">
        <v>3</v>
      </c>
      <c r="E750" t="s">
        <v>1771</v>
      </c>
      <c r="F750" t="s">
        <v>4404</v>
      </c>
      <c r="G750" t="s">
        <v>4404</v>
      </c>
    </row>
    <row r="751" spans="1:7" x14ac:dyDescent="0.25">
      <c r="A751" t="s">
        <v>2043</v>
      </c>
      <c r="B751" t="s">
        <v>2044</v>
      </c>
      <c r="C751" t="s">
        <v>2045</v>
      </c>
      <c r="D751">
        <v>3</v>
      </c>
      <c r="E751" t="s">
        <v>1771</v>
      </c>
      <c r="F751" t="s">
        <v>4427</v>
      </c>
      <c r="G751" t="s">
        <v>4427</v>
      </c>
    </row>
    <row r="752" spans="1:7" x14ac:dyDescent="0.25">
      <c r="A752" t="s">
        <v>2048</v>
      </c>
      <c r="B752" t="s">
        <v>2049</v>
      </c>
      <c r="C752" t="s">
        <v>2050</v>
      </c>
      <c r="D752">
        <v>3</v>
      </c>
      <c r="E752" t="s">
        <v>1771</v>
      </c>
      <c r="F752" t="s">
        <v>4429</v>
      </c>
      <c r="G752" t="s">
        <v>4429</v>
      </c>
    </row>
    <row r="753" spans="1:7" x14ac:dyDescent="0.25">
      <c r="A753" t="s">
        <v>2054</v>
      </c>
      <c r="B753" t="s">
        <v>2055</v>
      </c>
      <c r="C753" t="s">
        <v>2056</v>
      </c>
      <c r="D753">
        <v>3</v>
      </c>
      <c r="E753" t="s">
        <v>1771</v>
      </c>
      <c r="F753" t="s">
        <v>4431</v>
      </c>
      <c r="G753" t="s">
        <v>4431</v>
      </c>
    </row>
    <row r="754" spans="1:7" x14ac:dyDescent="0.25">
      <c r="A754" t="s">
        <v>2061</v>
      </c>
      <c r="B754" t="s">
        <v>2062</v>
      </c>
      <c r="C754" t="s">
        <v>2063</v>
      </c>
      <c r="D754">
        <v>3</v>
      </c>
      <c r="E754" t="s">
        <v>1771</v>
      </c>
      <c r="F754" t="s">
        <v>4433</v>
      </c>
      <c r="G754" t="s">
        <v>4433</v>
      </c>
    </row>
    <row r="755" spans="1:7" x14ac:dyDescent="0.25">
      <c r="A755" t="s">
        <v>2068</v>
      </c>
      <c r="B755" t="s">
        <v>2069</v>
      </c>
      <c r="C755" t="s">
        <v>2070</v>
      </c>
      <c r="D755">
        <v>3</v>
      </c>
      <c r="E755" t="s">
        <v>1771</v>
      </c>
      <c r="F755" t="s">
        <v>4435</v>
      </c>
      <c r="G755" t="s">
        <v>4435</v>
      </c>
    </row>
    <row r="756" spans="1:7" x14ac:dyDescent="0.25">
      <c r="A756" t="s">
        <v>2074</v>
      </c>
      <c r="B756" t="s">
        <v>2075</v>
      </c>
      <c r="C756" t="s">
        <v>2076</v>
      </c>
      <c r="D756">
        <v>3</v>
      </c>
      <c r="E756" t="s">
        <v>1771</v>
      </c>
      <c r="F756" t="s">
        <v>4437</v>
      </c>
      <c r="G756" t="s">
        <v>4437</v>
      </c>
    </row>
    <row r="757" spans="1:7" x14ac:dyDescent="0.25">
      <c r="A757" t="s">
        <v>2081</v>
      </c>
      <c r="B757" t="s">
        <v>2082</v>
      </c>
      <c r="C757" t="s">
        <v>2083</v>
      </c>
      <c r="D757">
        <v>3</v>
      </c>
      <c r="E757" t="s">
        <v>1771</v>
      </c>
      <c r="F757" t="s">
        <v>4439</v>
      </c>
      <c r="G757" t="s">
        <v>4439</v>
      </c>
    </row>
    <row r="758" spans="1:7" x14ac:dyDescent="0.25">
      <c r="A758" t="s">
        <v>2088</v>
      </c>
      <c r="B758" t="s">
        <v>2089</v>
      </c>
      <c r="C758" t="s">
        <v>2090</v>
      </c>
      <c r="D758">
        <v>3</v>
      </c>
      <c r="E758" t="s">
        <v>1771</v>
      </c>
      <c r="F758" t="s">
        <v>4441</v>
      </c>
      <c r="G758" t="s">
        <v>4441</v>
      </c>
    </row>
    <row r="759" spans="1:7" x14ac:dyDescent="0.25">
      <c r="A759" t="s">
        <v>2095</v>
      </c>
      <c r="B759" t="s">
        <v>2096</v>
      </c>
      <c r="C759" t="s">
        <v>4442</v>
      </c>
      <c r="D759">
        <v>3</v>
      </c>
      <c r="E759" t="s">
        <v>1771</v>
      </c>
      <c r="F759" t="s">
        <v>4441</v>
      </c>
      <c r="G759" t="s">
        <v>4441</v>
      </c>
    </row>
    <row r="760" spans="1:7" x14ac:dyDescent="0.25">
      <c r="A760" t="s">
        <v>2097</v>
      </c>
      <c r="B760" t="s">
        <v>2098</v>
      </c>
      <c r="C760" t="s">
        <v>2099</v>
      </c>
      <c r="D760">
        <v>3</v>
      </c>
      <c r="E760" t="s">
        <v>1771</v>
      </c>
      <c r="F760" t="s">
        <v>4388</v>
      </c>
      <c r="G760" t="s">
        <v>4388</v>
      </c>
    </row>
    <row r="761" spans="1:7" x14ac:dyDescent="0.25">
      <c r="A761" t="s">
        <v>2100</v>
      </c>
      <c r="B761" t="s">
        <v>1702</v>
      </c>
      <c r="C761" t="s">
        <v>2101</v>
      </c>
      <c r="D761">
        <v>3</v>
      </c>
      <c r="E761" t="s">
        <v>1771</v>
      </c>
      <c r="F761" t="s">
        <v>1624</v>
      </c>
      <c r="G761" t="s">
        <v>1624</v>
      </c>
    </row>
    <row r="762" spans="1:7" x14ac:dyDescent="0.25">
      <c r="A762" t="s">
        <v>2104</v>
      </c>
      <c r="B762" t="s">
        <v>2105</v>
      </c>
      <c r="C762" t="s">
        <v>2106</v>
      </c>
      <c r="D762">
        <v>3</v>
      </c>
      <c r="E762" t="s">
        <v>1771</v>
      </c>
      <c r="F762" t="s">
        <v>4445</v>
      </c>
      <c r="G762" t="s">
        <v>4445</v>
      </c>
    </row>
    <row r="763" spans="1:7" x14ac:dyDescent="0.25">
      <c r="A763" t="s">
        <v>2110</v>
      </c>
      <c r="B763" t="s">
        <v>2111</v>
      </c>
      <c r="C763" t="s">
        <v>2112</v>
      </c>
      <c r="D763">
        <v>3</v>
      </c>
      <c r="E763" t="s">
        <v>1771</v>
      </c>
      <c r="F763" t="s">
        <v>4446</v>
      </c>
      <c r="G763" t="s">
        <v>4446</v>
      </c>
    </row>
    <row r="764" spans="1:7" x14ac:dyDescent="0.25">
      <c r="A764" t="s">
        <v>2118</v>
      </c>
      <c r="B764" t="s">
        <v>2119</v>
      </c>
      <c r="C764" t="s">
        <v>2120</v>
      </c>
      <c r="D764">
        <v>3</v>
      </c>
      <c r="E764" t="s">
        <v>1771</v>
      </c>
      <c r="F764" t="s">
        <v>4437</v>
      </c>
      <c r="G764" t="s">
        <v>4437</v>
      </c>
    </row>
    <row r="765" spans="1:7" x14ac:dyDescent="0.25">
      <c r="A765" t="s">
        <v>2121</v>
      </c>
      <c r="B765" t="s">
        <v>2122</v>
      </c>
      <c r="C765" t="s">
        <v>2123</v>
      </c>
      <c r="D765">
        <v>3</v>
      </c>
      <c r="E765" t="s">
        <v>1771</v>
      </c>
      <c r="F765" t="s">
        <v>4448</v>
      </c>
      <c r="G765" t="s">
        <v>4448</v>
      </c>
    </row>
    <row r="766" spans="1:7" x14ac:dyDescent="0.25">
      <c r="A766" t="s">
        <v>2128</v>
      </c>
      <c r="B766" t="s">
        <v>2129</v>
      </c>
      <c r="C766" t="s">
        <v>2130</v>
      </c>
      <c r="D766">
        <v>3</v>
      </c>
      <c r="E766" t="s">
        <v>1771</v>
      </c>
      <c r="F766" t="s">
        <v>4450</v>
      </c>
      <c r="G766" t="s">
        <v>4450</v>
      </c>
    </row>
    <row r="767" spans="1:7" x14ac:dyDescent="0.25">
      <c r="A767" t="s">
        <v>2135</v>
      </c>
      <c r="B767" t="s">
        <v>2136</v>
      </c>
      <c r="C767" t="s">
        <v>2137</v>
      </c>
      <c r="D767">
        <v>3</v>
      </c>
      <c r="E767" t="s">
        <v>1771</v>
      </c>
      <c r="F767" t="s">
        <v>4452</v>
      </c>
      <c r="G767" t="s">
        <v>4452</v>
      </c>
    </row>
    <row r="768" spans="1:7" x14ac:dyDescent="0.25">
      <c r="A768" t="s">
        <v>2142</v>
      </c>
      <c r="B768" t="s">
        <v>2143</v>
      </c>
      <c r="C768" t="s">
        <v>2144</v>
      </c>
      <c r="D768">
        <v>3</v>
      </c>
      <c r="E768" t="s">
        <v>1771</v>
      </c>
      <c r="F768" t="s">
        <v>4453</v>
      </c>
      <c r="G768" t="s">
        <v>4453</v>
      </c>
    </row>
    <row r="769" spans="1:7" x14ac:dyDescent="0.25">
      <c r="A769" t="s">
        <v>2149</v>
      </c>
      <c r="B769" t="s">
        <v>2150</v>
      </c>
      <c r="C769" t="s">
        <v>2151</v>
      </c>
      <c r="D769">
        <v>3</v>
      </c>
      <c r="E769" t="s">
        <v>1771</v>
      </c>
      <c r="F769" t="s">
        <v>4455</v>
      </c>
      <c r="G769" t="s">
        <v>4455</v>
      </c>
    </row>
    <row r="770" spans="1:7" x14ac:dyDescent="0.25">
      <c r="A770" t="s">
        <v>2156</v>
      </c>
      <c r="B770" t="s">
        <v>2157</v>
      </c>
      <c r="C770" t="s">
        <v>2158</v>
      </c>
      <c r="D770">
        <v>3</v>
      </c>
      <c r="E770" t="s">
        <v>1771</v>
      </c>
      <c r="F770" t="s">
        <v>4457</v>
      </c>
      <c r="G770" t="s">
        <v>4457</v>
      </c>
    </row>
    <row r="771" spans="1:7" x14ac:dyDescent="0.25">
      <c r="A771" t="s">
        <v>2162</v>
      </c>
      <c r="B771" t="s">
        <v>2163</v>
      </c>
      <c r="C771" t="s">
        <v>2164</v>
      </c>
      <c r="D771">
        <v>3</v>
      </c>
      <c r="E771" t="s">
        <v>1771</v>
      </c>
      <c r="F771" t="s">
        <v>4459</v>
      </c>
      <c r="G771" t="s">
        <v>4459</v>
      </c>
    </row>
    <row r="772" spans="1:7" x14ac:dyDescent="0.25">
      <c r="A772" t="s">
        <v>2169</v>
      </c>
      <c r="B772" t="s">
        <v>2170</v>
      </c>
      <c r="C772" t="s">
        <v>4460</v>
      </c>
      <c r="D772">
        <v>3</v>
      </c>
      <c r="E772" t="s">
        <v>1771</v>
      </c>
      <c r="F772" t="s">
        <v>4433</v>
      </c>
      <c r="G772" t="s">
        <v>4433</v>
      </c>
    </row>
    <row r="773" spans="1:7" x14ac:dyDescent="0.25">
      <c r="A773" t="s">
        <v>2173</v>
      </c>
      <c r="B773" t="s">
        <v>2174</v>
      </c>
      <c r="C773" t="s">
        <v>2175</v>
      </c>
      <c r="D773">
        <v>3</v>
      </c>
      <c r="E773" t="s">
        <v>1771</v>
      </c>
      <c r="F773" t="s">
        <v>4453</v>
      </c>
      <c r="G773" t="s">
        <v>4453</v>
      </c>
    </row>
    <row r="774" spans="1:7" x14ac:dyDescent="0.25">
      <c r="A774" t="s">
        <v>2177</v>
      </c>
      <c r="B774" t="s">
        <v>2178</v>
      </c>
      <c r="C774" t="s">
        <v>2179</v>
      </c>
      <c r="D774">
        <v>3</v>
      </c>
      <c r="E774" t="s">
        <v>1771</v>
      </c>
      <c r="F774" t="s">
        <v>4461</v>
      </c>
      <c r="G774" t="s">
        <v>4461</v>
      </c>
    </row>
    <row r="775" spans="1:7" x14ac:dyDescent="0.25">
      <c r="A775" t="s">
        <v>2182</v>
      </c>
      <c r="B775" t="s">
        <v>2183</v>
      </c>
      <c r="C775" t="s">
        <v>2184</v>
      </c>
      <c r="D775">
        <v>3</v>
      </c>
      <c r="E775" t="s">
        <v>1771</v>
      </c>
      <c r="F775" t="s">
        <v>4463</v>
      </c>
      <c r="G775" t="s">
        <v>4463</v>
      </c>
    </row>
    <row r="776" spans="1:7" x14ac:dyDescent="0.25">
      <c r="A776" t="s">
        <v>2190</v>
      </c>
      <c r="B776" t="s">
        <v>2191</v>
      </c>
      <c r="C776" t="s">
        <v>2192</v>
      </c>
      <c r="D776">
        <v>3</v>
      </c>
      <c r="E776" t="s">
        <v>1771</v>
      </c>
      <c r="F776" t="s">
        <v>4464</v>
      </c>
      <c r="G776" t="s">
        <v>4464</v>
      </c>
    </row>
    <row r="777" spans="1:7" x14ac:dyDescent="0.25">
      <c r="A777" t="s">
        <v>2196</v>
      </c>
      <c r="B777" t="s">
        <v>2197</v>
      </c>
      <c r="C777" t="s">
        <v>2198</v>
      </c>
      <c r="D777">
        <v>3</v>
      </c>
      <c r="E777" t="s">
        <v>1771</v>
      </c>
      <c r="F777" t="s">
        <v>4450</v>
      </c>
      <c r="G777" t="s">
        <v>4450</v>
      </c>
    </row>
    <row r="778" spans="1:7" x14ac:dyDescent="0.25">
      <c r="A778" t="s">
        <v>2199</v>
      </c>
      <c r="B778" t="s">
        <v>2200</v>
      </c>
      <c r="C778" t="s">
        <v>2201</v>
      </c>
      <c r="D778">
        <v>3</v>
      </c>
      <c r="E778" t="s">
        <v>1771</v>
      </c>
      <c r="F778" t="s">
        <v>4450</v>
      </c>
      <c r="G778" t="s">
        <v>4450</v>
      </c>
    </row>
    <row r="779" spans="1:7" x14ac:dyDescent="0.25">
      <c r="A779" t="s">
        <v>2202</v>
      </c>
      <c r="B779" t="s">
        <v>2203</v>
      </c>
      <c r="C779" t="s">
        <v>2204</v>
      </c>
      <c r="D779">
        <v>3</v>
      </c>
      <c r="E779" t="s">
        <v>1771</v>
      </c>
      <c r="F779" t="s">
        <v>4466</v>
      </c>
      <c r="G779" t="s">
        <v>4466</v>
      </c>
    </row>
    <row r="780" spans="1:7" x14ac:dyDescent="0.25">
      <c r="A780" t="s">
        <v>2209</v>
      </c>
      <c r="B780" t="s">
        <v>2210</v>
      </c>
      <c r="C780" t="s">
        <v>2211</v>
      </c>
      <c r="D780">
        <v>3</v>
      </c>
      <c r="E780" t="s">
        <v>1771</v>
      </c>
      <c r="F780" t="s">
        <v>1624</v>
      </c>
      <c r="G780" t="s">
        <v>1624</v>
      </c>
    </row>
    <row r="781" spans="1:7" x14ac:dyDescent="0.25">
      <c r="A781" t="s">
        <v>2213</v>
      </c>
      <c r="B781" t="s">
        <v>2214</v>
      </c>
      <c r="C781" t="s">
        <v>2215</v>
      </c>
      <c r="D781">
        <v>3</v>
      </c>
      <c r="E781" t="s">
        <v>1771</v>
      </c>
      <c r="F781" t="s">
        <v>4467</v>
      </c>
      <c r="G781" t="s">
        <v>4467</v>
      </c>
    </row>
    <row r="782" spans="1:7" x14ac:dyDescent="0.25">
      <c r="A782" t="s">
        <v>2219</v>
      </c>
      <c r="B782" t="s">
        <v>2220</v>
      </c>
      <c r="C782" t="s">
        <v>2221</v>
      </c>
      <c r="D782">
        <v>3</v>
      </c>
      <c r="E782" t="s">
        <v>1771</v>
      </c>
      <c r="F782" t="s">
        <v>4437</v>
      </c>
      <c r="G782" t="s">
        <v>4437</v>
      </c>
    </row>
    <row r="783" spans="1:7" x14ac:dyDescent="0.25">
      <c r="A783" t="s">
        <v>2223</v>
      </c>
      <c r="B783" t="s">
        <v>2224</v>
      </c>
      <c r="C783" t="s">
        <v>2225</v>
      </c>
      <c r="D783">
        <v>3</v>
      </c>
      <c r="E783" t="s">
        <v>1771</v>
      </c>
      <c r="F783" t="s">
        <v>4468</v>
      </c>
      <c r="G783" t="s">
        <v>4468</v>
      </c>
    </row>
    <row r="784" spans="1:7" x14ac:dyDescent="0.25">
      <c r="A784" t="s">
        <v>2232</v>
      </c>
      <c r="B784" t="s">
        <v>2233</v>
      </c>
      <c r="C784" t="s">
        <v>2234</v>
      </c>
      <c r="D784">
        <v>3</v>
      </c>
      <c r="E784" t="s">
        <v>1771</v>
      </c>
      <c r="F784" t="s">
        <v>4470</v>
      </c>
      <c r="G784" t="s">
        <v>4470</v>
      </c>
    </row>
    <row r="785" spans="1:7" x14ac:dyDescent="0.25">
      <c r="A785" t="s">
        <v>2239</v>
      </c>
      <c r="B785" t="s">
        <v>2240</v>
      </c>
      <c r="C785" t="s">
        <v>2241</v>
      </c>
      <c r="D785">
        <v>3</v>
      </c>
      <c r="E785" t="s">
        <v>1771</v>
      </c>
      <c r="F785" t="s">
        <v>4472</v>
      </c>
      <c r="G785" t="s">
        <v>4472</v>
      </c>
    </row>
    <row r="786" spans="1:7" x14ac:dyDescent="0.25">
      <c r="A786" t="s">
        <v>2244</v>
      </c>
      <c r="B786" t="s">
        <v>4473</v>
      </c>
      <c r="C786" t="s">
        <v>2245</v>
      </c>
      <c r="D786">
        <v>3</v>
      </c>
      <c r="E786" t="s">
        <v>1771</v>
      </c>
      <c r="F786" t="s">
        <v>4474</v>
      </c>
      <c r="G786" t="s">
        <v>4474</v>
      </c>
    </row>
    <row r="787" spans="1:7" x14ac:dyDescent="0.25">
      <c r="A787" t="s">
        <v>2249</v>
      </c>
      <c r="B787" t="s">
        <v>2250</v>
      </c>
      <c r="C787" t="s">
        <v>2251</v>
      </c>
      <c r="D787">
        <v>3</v>
      </c>
      <c r="E787" t="s">
        <v>1771</v>
      </c>
      <c r="F787" t="s">
        <v>1612</v>
      </c>
      <c r="G787" t="s">
        <v>1612</v>
      </c>
    </row>
    <row r="788" spans="1:7" x14ac:dyDescent="0.25">
      <c r="A788" t="s">
        <v>2254</v>
      </c>
      <c r="B788" t="s">
        <v>2255</v>
      </c>
      <c r="C788" t="s">
        <v>2256</v>
      </c>
      <c r="D788">
        <v>3</v>
      </c>
      <c r="E788" t="s">
        <v>1771</v>
      </c>
      <c r="F788" t="s">
        <v>1612</v>
      </c>
      <c r="G788" t="s">
        <v>1612</v>
      </c>
    </row>
    <row r="789" spans="1:7" x14ac:dyDescent="0.25">
      <c r="A789" t="s">
        <v>2257</v>
      </c>
      <c r="B789" t="s">
        <v>2258</v>
      </c>
      <c r="C789" t="s">
        <v>2259</v>
      </c>
      <c r="D789">
        <v>3</v>
      </c>
      <c r="E789" t="s">
        <v>1771</v>
      </c>
      <c r="F789" t="s">
        <v>1624</v>
      </c>
      <c r="G789" t="s">
        <v>1624</v>
      </c>
    </row>
    <row r="790" spans="1:7" x14ac:dyDescent="0.25">
      <c r="A790" t="s">
        <v>2260</v>
      </c>
      <c r="B790" t="s">
        <v>2261</v>
      </c>
      <c r="C790" t="s">
        <v>2262</v>
      </c>
      <c r="D790">
        <v>3</v>
      </c>
      <c r="E790" t="s">
        <v>1771</v>
      </c>
      <c r="F790" t="s">
        <v>4433</v>
      </c>
      <c r="G790" t="s">
        <v>4433</v>
      </c>
    </row>
    <row r="791" spans="1:7" x14ac:dyDescent="0.25">
      <c r="A791" t="s">
        <v>2263</v>
      </c>
      <c r="B791" t="s">
        <v>2264</v>
      </c>
      <c r="C791" t="s">
        <v>2265</v>
      </c>
      <c r="D791">
        <v>3</v>
      </c>
      <c r="E791" t="s">
        <v>1771</v>
      </c>
      <c r="F791" t="s">
        <v>4450</v>
      </c>
      <c r="G791" t="s">
        <v>4450</v>
      </c>
    </row>
    <row r="792" spans="1:7" x14ac:dyDescent="0.25">
      <c r="A792" t="s">
        <v>2266</v>
      </c>
      <c r="B792" t="s">
        <v>2267</v>
      </c>
      <c r="C792" t="s">
        <v>2268</v>
      </c>
      <c r="D792">
        <v>3</v>
      </c>
      <c r="E792" t="s">
        <v>1771</v>
      </c>
      <c r="F792" t="s">
        <v>4476</v>
      </c>
      <c r="G792" t="s">
        <v>4476</v>
      </c>
    </row>
    <row r="793" spans="1:7" x14ac:dyDescent="0.25">
      <c r="A793" t="s">
        <v>2273</v>
      </c>
      <c r="B793" t="s">
        <v>2274</v>
      </c>
      <c r="C793" t="s">
        <v>2275</v>
      </c>
      <c r="D793">
        <v>3</v>
      </c>
      <c r="E793" t="s">
        <v>1771</v>
      </c>
      <c r="F793" t="s">
        <v>4468</v>
      </c>
      <c r="G793" t="s">
        <v>4468</v>
      </c>
    </row>
    <row r="794" spans="1:7" x14ac:dyDescent="0.25">
      <c r="A794" t="s">
        <v>2276</v>
      </c>
      <c r="B794" t="s">
        <v>2277</v>
      </c>
      <c r="C794" t="s">
        <v>2278</v>
      </c>
      <c r="D794">
        <v>3</v>
      </c>
      <c r="E794" t="s">
        <v>1771</v>
      </c>
      <c r="F794" t="s">
        <v>4478</v>
      </c>
      <c r="G794" t="s">
        <v>4478</v>
      </c>
    </row>
    <row r="795" spans="1:7" x14ac:dyDescent="0.25">
      <c r="A795" t="s">
        <v>2281</v>
      </c>
      <c r="B795" t="s">
        <v>2282</v>
      </c>
      <c r="C795" t="s">
        <v>2283</v>
      </c>
      <c r="D795">
        <v>3</v>
      </c>
      <c r="E795" t="s">
        <v>1771</v>
      </c>
      <c r="F795" t="s">
        <v>4391</v>
      </c>
      <c r="G795" t="s">
        <v>4391</v>
      </c>
    </row>
    <row r="796" spans="1:7" x14ac:dyDescent="0.25">
      <c r="A796" t="s">
        <v>2287</v>
      </c>
      <c r="B796" t="s">
        <v>2288</v>
      </c>
      <c r="C796" t="s">
        <v>2289</v>
      </c>
      <c r="D796">
        <v>3</v>
      </c>
      <c r="E796" t="s">
        <v>1771</v>
      </c>
      <c r="F796" t="s">
        <v>4480</v>
      </c>
      <c r="G796" t="s">
        <v>4480</v>
      </c>
    </row>
    <row r="797" spans="1:7" x14ac:dyDescent="0.25">
      <c r="A797" t="s">
        <v>2293</v>
      </c>
      <c r="B797" t="s">
        <v>2294</v>
      </c>
      <c r="C797" t="s">
        <v>2289</v>
      </c>
      <c r="D797">
        <v>3</v>
      </c>
      <c r="E797" t="s">
        <v>1771</v>
      </c>
      <c r="F797" t="s">
        <v>4483</v>
      </c>
      <c r="G797" t="s">
        <v>4483</v>
      </c>
    </row>
    <row r="798" spans="1:7" x14ac:dyDescent="0.25">
      <c r="A798" t="s">
        <v>2298</v>
      </c>
      <c r="B798" t="s">
        <v>2299</v>
      </c>
      <c r="C798" t="s">
        <v>2289</v>
      </c>
      <c r="D798">
        <v>3</v>
      </c>
      <c r="E798" t="s">
        <v>1771</v>
      </c>
      <c r="F798" t="s">
        <v>4485</v>
      </c>
      <c r="G798" t="s">
        <v>4485</v>
      </c>
    </row>
    <row r="799" spans="1:7" x14ac:dyDescent="0.25">
      <c r="A799" t="s">
        <v>2305</v>
      </c>
      <c r="B799" t="s">
        <v>2306</v>
      </c>
      <c r="C799" t="s">
        <v>2289</v>
      </c>
      <c r="D799">
        <v>3</v>
      </c>
      <c r="E799" t="s">
        <v>1771</v>
      </c>
      <c r="F799" t="s">
        <v>4486</v>
      </c>
      <c r="G799" t="s">
        <v>4486</v>
      </c>
    </row>
    <row r="800" spans="1:7" x14ac:dyDescent="0.25">
      <c r="A800" t="s">
        <v>2311</v>
      </c>
      <c r="B800" t="s">
        <v>2312</v>
      </c>
      <c r="C800" t="s">
        <v>2289</v>
      </c>
      <c r="D800">
        <v>3</v>
      </c>
      <c r="E800" t="s">
        <v>1771</v>
      </c>
      <c r="F800" t="s">
        <v>4487</v>
      </c>
      <c r="G800" t="s">
        <v>4487</v>
      </c>
    </row>
    <row r="801" spans="1:7" x14ac:dyDescent="0.25">
      <c r="A801" t="s">
        <v>2317</v>
      </c>
      <c r="B801" t="s">
        <v>2318</v>
      </c>
      <c r="C801" t="s">
        <v>2289</v>
      </c>
      <c r="D801">
        <v>3</v>
      </c>
      <c r="E801" t="s">
        <v>1771</v>
      </c>
      <c r="F801" t="s">
        <v>4489</v>
      </c>
      <c r="G801" t="s">
        <v>4489</v>
      </c>
    </row>
    <row r="802" spans="1:7" x14ac:dyDescent="0.25">
      <c r="A802" t="s">
        <v>2321</v>
      </c>
      <c r="B802" t="s">
        <v>2322</v>
      </c>
      <c r="C802" t="s">
        <v>2289</v>
      </c>
      <c r="D802">
        <v>3</v>
      </c>
      <c r="E802" t="s">
        <v>1771</v>
      </c>
      <c r="F802" t="s">
        <v>4490</v>
      </c>
      <c r="G802" t="s">
        <v>4490</v>
      </c>
    </row>
    <row r="803" spans="1:7" x14ac:dyDescent="0.25">
      <c r="A803" t="s">
        <v>2326</v>
      </c>
      <c r="B803" t="s">
        <v>2327</v>
      </c>
      <c r="C803" t="s">
        <v>2289</v>
      </c>
      <c r="D803">
        <v>3</v>
      </c>
      <c r="E803" t="s">
        <v>1771</v>
      </c>
      <c r="F803" t="s">
        <v>4492</v>
      </c>
      <c r="G803" t="s">
        <v>4492</v>
      </c>
    </row>
    <row r="804" spans="1:7" x14ac:dyDescent="0.25">
      <c r="A804" t="s">
        <v>2331</v>
      </c>
      <c r="B804" t="s">
        <v>2332</v>
      </c>
      <c r="C804" t="s">
        <v>2289</v>
      </c>
      <c r="D804">
        <v>3</v>
      </c>
      <c r="E804" t="s">
        <v>1771</v>
      </c>
      <c r="F804" t="s">
        <v>4495</v>
      </c>
      <c r="G804" t="s">
        <v>4495</v>
      </c>
    </row>
    <row r="805" spans="1:7" x14ac:dyDescent="0.25">
      <c r="A805" t="s">
        <v>2335</v>
      </c>
      <c r="B805" t="s">
        <v>2336</v>
      </c>
      <c r="C805" t="s">
        <v>2289</v>
      </c>
      <c r="D805">
        <v>3</v>
      </c>
      <c r="E805" t="s">
        <v>1771</v>
      </c>
      <c r="F805" t="s">
        <v>4497</v>
      </c>
      <c r="G805" t="s">
        <v>4497</v>
      </c>
    </row>
    <row r="806" spans="1:7" x14ac:dyDescent="0.25">
      <c r="A806" t="s">
        <v>2340</v>
      </c>
      <c r="B806" t="s">
        <v>2341</v>
      </c>
      <c r="C806" t="s">
        <v>2289</v>
      </c>
      <c r="D806">
        <v>3</v>
      </c>
      <c r="E806" t="s">
        <v>1771</v>
      </c>
      <c r="F806" t="s">
        <v>4499</v>
      </c>
      <c r="G806" t="s">
        <v>4499</v>
      </c>
    </row>
    <row r="807" spans="1:7" x14ac:dyDescent="0.25">
      <c r="A807" t="s">
        <v>2345</v>
      </c>
      <c r="B807" t="s">
        <v>2346</v>
      </c>
      <c r="C807" t="s">
        <v>2289</v>
      </c>
      <c r="D807">
        <v>3</v>
      </c>
      <c r="E807" t="s">
        <v>1771</v>
      </c>
      <c r="F807" t="s">
        <v>4500</v>
      </c>
      <c r="G807" t="s">
        <v>4500</v>
      </c>
    </row>
    <row r="808" spans="1:7" x14ac:dyDescent="0.25">
      <c r="A808" t="s">
        <v>2352</v>
      </c>
      <c r="B808" t="s">
        <v>2353</v>
      </c>
      <c r="C808" t="s">
        <v>2289</v>
      </c>
      <c r="D808">
        <v>3</v>
      </c>
      <c r="E808" t="s">
        <v>1771</v>
      </c>
      <c r="F808" t="s">
        <v>4502</v>
      </c>
      <c r="G808" t="s">
        <v>4502</v>
      </c>
    </row>
    <row r="809" spans="1:7" x14ac:dyDescent="0.25">
      <c r="A809" t="s">
        <v>2356</v>
      </c>
      <c r="B809" t="s">
        <v>2357</v>
      </c>
      <c r="C809" t="s">
        <v>2289</v>
      </c>
      <c r="D809">
        <v>3</v>
      </c>
      <c r="E809" t="s">
        <v>1771</v>
      </c>
      <c r="F809" t="s">
        <v>4503</v>
      </c>
      <c r="G809" t="s">
        <v>4503</v>
      </c>
    </row>
    <row r="810" spans="1:7" x14ac:dyDescent="0.25">
      <c r="A810" t="s">
        <v>2362</v>
      </c>
      <c r="B810" t="s">
        <v>2363</v>
      </c>
      <c r="C810" t="s">
        <v>2289</v>
      </c>
      <c r="D810">
        <v>3</v>
      </c>
      <c r="E810" t="s">
        <v>1771</v>
      </c>
      <c r="F810" t="s">
        <v>4505</v>
      </c>
      <c r="G810" t="s">
        <v>4505</v>
      </c>
    </row>
    <row r="811" spans="1:7" x14ac:dyDescent="0.25">
      <c r="A811" t="s">
        <v>2368</v>
      </c>
      <c r="B811" t="s">
        <v>2369</v>
      </c>
      <c r="C811" t="s">
        <v>2289</v>
      </c>
      <c r="D811">
        <v>3</v>
      </c>
      <c r="E811" t="s">
        <v>1771</v>
      </c>
      <c r="F811" t="s">
        <v>4506</v>
      </c>
      <c r="G811" t="s">
        <v>4506</v>
      </c>
    </row>
    <row r="812" spans="1:7" x14ac:dyDescent="0.25">
      <c r="A812" t="s">
        <v>2373</v>
      </c>
      <c r="B812" t="s">
        <v>2374</v>
      </c>
      <c r="C812" t="s">
        <v>2289</v>
      </c>
      <c r="D812">
        <v>3</v>
      </c>
      <c r="E812" t="s">
        <v>1771</v>
      </c>
      <c r="F812" t="s">
        <v>4508</v>
      </c>
      <c r="G812" t="s">
        <v>4508</v>
      </c>
    </row>
    <row r="813" spans="1:7" x14ac:dyDescent="0.25">
      <c r="A813" t="s">
        <v>2378</v>
      </c>
      <c r="B813" t="s">
        <v>2379</v>
      </c>
      <c r="C813" t="s">
        <v>2289</v>
      </c>
      <c r="D813">
        <v>3</v>
      </c>
      <c r="E813" t="s">
        <v>1771</v>
      </c>
      <c r="F813" t="s">
        <v>4509</v>
      </c>
      <c r="G813" t="s">
        <v>4509</v>
      </c>
    </row>
    <row r="814" spans="1:7" x14ac:dyDescent="0.25">
      <c r="A814" t="s">
        <v>2386</v>
      </c>
      <c r="B814" t="s">
        <v>2387</v>
      </c>
      <c r="C814" t="s">
        <v>2289</v>
      </c>
      <c r="D814">
        <v>3</v>
      </c>
      <c r="E814" t="s">
        <v>1771</v>
      </c>
      <c r="F814" t="s">
        <v>4510</v>
      </c>
      <c r="G814" t="s">
        <v>4510</v>
      </c>
    </row>
    <row r="815" spans="1:7" x14ac:dyDescent="0.25">
      <c r="A815" t="s">
        <v>2392</v>
      </c>
      <c r="B815" t="s">
        <v>2393</v>
      </c>
      <c r="C815" t="s">
        <v>2289</v>
      </c>
      <c r="D815">
        <v>3</v>
      </c>
      <c r="E815" t="s">
        <v>1771</v>
      </c>
      <c r="F815" t="s">
        <v>4511</v>
      </c>
      <c r="G815" t="s">
        <v>4511</v>
      </c>
    </row>
    <row r="816" spans="1:7" x14ac:dyDescent="0.25">
      <c r="A816" t="s">
        <v>2398</v>
      </c>
      <c r="B816" t="s">
        <v>2399</v>
      </c>
      <c r="C816" t="s">
        <v>2289</v>
      </c>
      <c r="D816">
        <v>3</v>
      </c>
      <c r="E816" t="s">
        <v>1771</v>
      </c>
      <c r="F816" t="s">
        <v>4415</v>
      </c>
      <c r="G816" t="s">
        <v>4415</v>
      </c>
    </row>
    <row r="817" spans="1:7" x14ac:dyDescent="0.25">
      <c r="A817" t="s">
        <v>2401</v>
      </c>
      <c r="B817" t="s">
        <v>2402</v>
      </c>
      <c r="C817" t="s">
        <v>2289</v>
      </c>
      <c r="D817">
        <v>3</v>
      </c>
      <c r="E817" t="s">
        <v>1771</v>
      </c>
      <c r="F817" t="s">
        <v>4512</v>
      </c>
      <c r="G817" t="s">
        <v>4512</v>
      </c>
    </row>
    <row r="818" spans="1:7" x14ac:dyDescent="0.25">
      <c r="A818" t="s">
        <v>2407</v>
      </c>
      <c r="B818" t="s">
        <v>2408</v>
      </c>
      <c r="C818" t="s">
        <v>2289</v>
      </c>
      <c r="D818">
        <v>3</v>
      </c>
      <c r="E818" t="s">
        <v>1771</v>
      </c>
      <c r="F818" t="s">
        <v>4513</v>
      </c>
      <c r="G818" t="s">
        <v>4513</v>
      </c>
    </row>
    <row r="819" spans="1:7" x14ac:dyDescent="0.25">
      <c r="A819" t="s">
        <v>2412</v>
      </c>
      <c r="B819" t="s">
        <v>2413</v>
      </c>
      <c r="C819" t="s">
        <v>2289</v>
      </c>
      <c r="D819">
        <v>3</v>
      </c>
      <c r="E819" t="s">
        <v>1771</v>
      </c>
      <c r="F819" t="s">
        <v>4515</v>
      </c>
      <c r="G819" t="s">
        <v>4515</v>
      </c>
    </row>
    <row r="820" spans="1:7" x14ac:dyDescent="0.25">
      <c r="A820" t="s">
        <v>2417</v>
      </c>
      <c r="B820" t="s">
        <v>2418</v>
      </c>
      <c r="C820" t="s">
        <v>2289</v>
      </c>
      <c r="D820">
        <v>3</v>
      </c>
      <c r="E820" t="s">
        <v>1771</v>
      </c>
      <c r="F820" t="s">
        <v>4516</v>
      </c>
      <c r="G820" t="s">
        <v>4516</v>
      </c>
    </row>
    <row r="821" spans="1:7" x14ac:dyDescent="0.25">
      <c r="A821" t="s">
        <v>2421</v>
      </c>
      <c r="B821" t="s">
        <v>2422</v>
      </c>
      <c r="C821" t="s">
        <v>2289</v>
      </c>
      <c r="D821">
        <v>3</v>
      </c>
      <c r="E821" t="s">
        <v>1771</v>
      </c>
      <c r="F821" t="s">
        <v>4517</v>
      </c>
      <c r="G821" t="s">
        <v>4517</v>
      </c>
    </row>
    <row r="822" spans="1:7" x14ac:dyDescent="0.25">
      <c r="A822" t="s">
        <v>2427</v>
      </c>
      <c r="B822" t="s">
        <v>2428</v>
      </c>
      <c r="C822" t="s">
        <v>2289</v>
      </c>
      <c r="D822">
        <v>3</v>
      </c>
      <c r="E822" t="s">
        <v>1771</v>
      </c>
      <c r="F822" t="s">
        <v>4518</v>
      </c>
      <c r="G822" t="s">
        <v>4518</v>
      </c>
    </row>
    <row r="823" spans="1:7" x14ac:dyDescent="0.25">
      <c r="A823" t="s">
        <v>2432</v>
      </c>
      <c r="B823" t="s">
        <v>2433</v>
      </c>
      <c r="C823" t="s">
        <v>2289</v>
      </c>
      <c r="D823">
        <v>3</v>
      </c>
      <c r="E823" t="s">
        <v>1771</v>
      </c>
      <c r="F823" t="s">
        <v>4519</v>
      </c>
      <c r="G823" t="s">
        <v>4519</v>
      </c>
    </row>
    <row r="824" spans="1:7" x14ac:dyDescent="0.25">
      <c r="A824" t="s">
        <v>2437</v>
      </c>
      <c r="B824" t="s">
        <v>2438</v>
      </c>
      <c r="C824" t="s">
        <v>2289</v>
      </c>
      <c r="D824">
        <v>3</v>
      </c>
      <c r="E824" t="s">
        <v>1771</v>
      </c>
      <c r="F824" t="s">
        <v>4521</v>
      </c>
      <c r="G824" t="s">
        <v>4521</v>
      </c>
    </row>
    <row r="825" spans="1:7" x14ac:dyDescent="0.25">
      <c r="A825" t="s">
        <v>2441</v>
      </c>
      <c r="B825" t="s">
        <v>2442</v>
      </c>
      <c r="C825" t="s">
        <v>2289</v>
      </c>
      <c r="D825">
        <v>3</v>
      </c>
      <c r="E825" t="s">
        <v>1771</v>
      </c>
      <c r="F825" t="s">
        <v>4522</v>
      </c>
      <c r="G825" t="s">
        <v>4522</v>
      </c>
    </row>
    <row r="826" spans="1:7" x14ac:dyDescent="0.25">
      <c r="A826" t="s">
        <v>2446</v>
      </c>
      <c r="B826" t="s">
        <v>2447</v>
      </c>
      <c r="C826" t="s">
        <v>2289</v>
      </c>
      <c r="D826">
        <v>3</v>
      </c>
      <c r="E826" t="s">
        <v>1771</v>
      </c>
      <c r="F826" t="s">
        <v>4524</v>
      </c>
      <c r="G826" t="s">
        <v>4524</v>
      </c>
    </row>
    <row r="827" spans="1:7" x14ac:dyDescent="0.25">
      <c r="A827" t="s">
        <v>2452</v>
      </c>
      <c r="B827" t="s">
        <v>2453</v>
      </c>
      <c r="C827" t="s">
        <v>2289</v>
      </c>
      <c r="D827">
        <v>3</v>
      </c>
      <c r="E827" t="s">
        <v>1771</v>
      </c>
      <c r="F827" t="s">
        <v>4525</v>
      </c>
      <c r="G827" t="s">
        <v>4525</v>
      </c>
    </row>
    <row r="828" spans="1:7" x14ac:dyDescent="0.25">
      <c r="A828" t="s">
        <v>2457</v>
      </c>
      <c r="B828" t="s">
        <v>2458</v>
      </c>
      <c r="C828" t="s">
        <v>2459</v>
      </c>
      <c r="D828">
        <v>3</v>
      </c>
      <c r="E828" t="s">
        <v>1771</v>
      </c>
      <c r="F828" t="s">
        <v>2091</v>
      </c>
      <c r="G828" t="s">
        <v>2091</v>
      </c>
    </row>
    <row r="829" spans="1:7" x14ac:dyDescent="0.25">
      <c r="A829" t="s">
        <v>2462</v>
      </c>
      <c r="B829" t="s">
        <v>2463</v>
      </c>
      <c r="C829" t="s">
        <v>2464</v>
      </c>
      <c r="D829">
        <v>3</v>
      </c>
      <c r="E829" t="s">
        <v>1771</v>
      </c>
      <c r="F829" t="s">
        <v>4528</v>
      </c>
      <c r="G829" t="s">
        <v>4528</v>
      </c>
    </row>
    <row r="830" spans="1:7" x14ac:dyDescent="0.25">
      <c r="A830" t="s">
        <v>2468</v>
      </c>
      <c r="B830" t="s">
        <v>2469</v>
      </c>
      <c r="C830" t="s">
        <v>2470</v>
      </c>
      <c r="D830">
        <v>3</v>
      </c>
      <c r="E830" t="s">
        <v>1771</v>
      </c>
      <c r="F830" t="s">
        <v>4431</v>
      </c>
      <c r="G830" t="s">
        <v>4431</v>
      </c>
    </row>
    <row r="831" spans="1:7" x14ac:dyDescent="0.25">
      <c r="A831" t="s">
        <v>2472</v>
      </c>
      <c r="B831" t="s">
        <v>2473</v>
      </c>
      <c r="C831" t="s">
        <v>2289</v>
      </c>
      <c r="D831">
        <v>3</v>
      </c>
      <c r="E831" t="s">
        <v>1771</v>
      </c>
      <c r="F831" t="s">
        <v>4529</v>
      </c>
      <c r="G831" t="s">
        <v>4529</v>
      </c>
    </row>
    <row r="832" spans="1:7" x14ac:dyDescent="0.25">
      <c r="A832" t="s">
        <v>2477</v>
      </c>
      <c r="B832" t="s">
        <v>2478</v>
      </c>
      <c r="C832" t="s">
        <v>2479</v>
      </c>
      <c r="D832">
        <v>3</v>
      </c>
      <c r="E832" t="s">
        <v>1771</v>
      </c>
      <c r="F832" t="s">
        <v>4528</v>
      </c>
      <c r="G832" t="s">
        <v>4528</v>
      </c>
    </row>
    <row r="833" spans="1:7" x14ac:dyDescent="0.25">
      <c r="A833" t="s">
        <v>2481</v>
      </c>
      <c r="B833" t="s">
        <v>2482</v>
      </c>
      <c r="C833" t="s">
        <v>2483</v>
      </c>
      <c r="D833">
        <v>3</v>
      </c>
      <c r="E833" t="s">
        <v>1771</v>
      </c>
      <c r="F833" t="s">
        <v>4470</v>
      </c>
      <c r="G833" t="s">
        <v>4470</v>
      </c>
    </row>
    <row r="834" spans="1:7" x14ac:dyDescent="0.25">
      <c r="A834" t="s">
        <v>2485</v>
      </c>
      <c r="B834" t="s">
        <v>2486</v>
      </c>
      <c r="C834" t="s">
        <v>2487</v>
      </c>
      <c r="D834">
        <v>3</v>
      </c>
      <c r="E834" t="s">
        <v>1771</v>
      </c>
      <c r="F834" t="s">
        <v>4395</v>
      </c>
      <c r="G834" t="s">
        <v>4395</v>
      </c>
    </row>
    <row r="835" spans="1:7" x14ac:dyDescent="0.25">
      <c r="A835" t="s">
        <v>2488</v>
      </c>
      <c r="B835" t="s">
        <v>2489</v>
      </c>
      <c r="C835" t="s">
        <v>2490</v>
      </c>
      <c r="D835">
        <v>3</v>
      </c>
      <c r="E835" t="s">
        <v>1771</v>
      </c>
      <c r="F835" t="s">
        <v>4532</v>
      </c>
      <c r="G835" t="s">
        <v>4532</v>
      </c>
    </row>
    <row r="836" spans="1:7" x14ac:dyDescent="0.25">
      <c r="A836" t="s">
        <v>2495</v>
      </c>
      <c r="B836" t="s">
        <v>2496</v>
      </c>
      <c r="C836" t="s">
        <v>2497</v>
      </c>
      <c r="D836">
        <v>3</v>
      </c>
      <c r="E836" t="s">
        <v>1771</v>
      </c>
      <c r="F836" t="s">
        <v>4533</v>
      </c>
      <c r="G836" t="s">
        <v>4533</v>
      </c>
    </row>
    <row r="837" spans="1:7" x14ac:dyDescent="0.25">
      <c r="A837" t="s">
        <v>2500</v>
      </c>
      <c r="B837" t="s">
        <v>2501</v>
      </c>
      <c r="C837" t="s">
        <v>4534</v>
      </c>
      <c r="D837">
        <v>3</v>
      </c>
      <c r="E837" t="s">
        <v>1771</v>
      </c>
      <c r="F837" t="s">
        <v>4427</v>
      </c>
      <c r="G837" t="s">
        <v>4427</v>
      </c>
    </row>
    <row r="838" spans="1:7" x14ac:dyDescent="0.25">
      <c r="A838" t="s">
        <v>2503</v>
      </c>
      <c r="B838" t="s">
        <v>2504</v>
      </c>
      <c r="C838" t="s">
        <v>4535</v>
      </c>
      <c r="D838">
        <v>3</v>
      </c>
      <c r="E838" t="s">
        <v>1771</v>
      </c>
      <c r="F838" t="s">
        <v>4536</v>
      </c>
      <c r="G838" t="s">
        <v>4536</v>
      </c>
    </row>
    <row r="839" spans="1:7" x14ac:dyDescent="0.25">
      <c r="A839" t="s">
        <v>2507</v>
      </c>
      <c r="B839" t="s">
        <v>2508</v>
      </c>
      <c r="C839" t="s">
        <v>4537</v>
      </c>
      <c r="D839">
        <v>3</v>
      </c>
      <c r="E839" t="s">
        <v>1771</v>
      </c>
      <c r="F839" t="s">
        <v>4467</v>
      </c>
      <c r="G839" t="s">
        <v>4467</v>
      </c>
    </row>
    <row r="840" spans="1:7" x14ac:dyDescent="0.25">
      <c r="A840" t="s">
        <v>4538</v>
      </c>
      <c r="B840" t="s">
        <v>4539</v>
      </c>
      <c r="C840" t="s">
        <v>4540</v>
      </c>
      <c r="D840">
        <v>3</v>
      </c>
      <c r="E840" t="s">
        <v>1771</v>
      </c>
      <c r="F840" t="s">
        <v>4545</v>
      </c>
      <c r="G840" t="s">
        <v>4545</v>
      </c>
    </row>
    <row r="841" spans="1:7" x14ac:dyDescent="0.25">
      <c r="A841" t="s">
        <v>4549</v>
      </c>
      <c r="B841" t="s">
        <v>4550</v>
      </c>
      <c r="C841" t="s">
        <v>4551</v>
      </c>
      <c r="D841">
        <v>3</v>
      </c>
      <c r="E841" t="s">
        <v>1771</v>
      </c>
      <c r="F841" t="s">
        <v>4553</v>
      </c>
      <c r="G841" t="s">
        <v>4553</v>
      </c>
    </row>
    <row r="842" spans="1:7" x14ac:dyDescent="0.25">
      <c r="A842" t="s">
        <v>4556</v>
      </c>
      <c r="B842" t="s">
        <v>4557</v>
      </c>
      <c r="C842" t="s">
        <v>4558</v>
      </c>
      <c r="D842">
        <v>3</v>
      </c>
      <c r="E842" t="s">
        <v>1771</v>
      </c>
      <c r="F842" t="s">
        <v>4560</v>
      </c>
      <c r="G842" t="s">
        <v>4560</v>
      </c>
    </row>
    <row r="843" spans="1:7" x14ac:dyDescent="0.25">
      <c r="A843" t="s">
        <v>12798</v>
      </c>
      <c r="B843" t="s">
        <v>12364</v>
      </c>
      <c r="C843" t="s">
        <v>12365</v>
      </c>
      <c r="D843">
        <v>3</v>
      </c>
      <c r="E843" t="s">
        <v>1771</v>
      </c>
      <c r="F843" t="s">
        <v>2649</v>
      </c>
      <c r="G843" t="s">
        <v>2644</v>
      </c>
    </row>
    <row r="844" spans="1:7" x14ac:dyDescent="0.25">
      <c r="A844" t="s">
        <v>12805</v>
      </c>
      <c r="B844" t="s">
        <v>12373</v>
      </c>
      <c r="C844" t="s">
        <v>12374</v>
      </c>
      <c r="D844">
        <v>3</v>
      </c>
      <c r="E844" t="s">
        <v>1771</v>
      </c>
      <c r="F844" t="s">
        <v>2649</v>
      </c>
      <c r="G844" t="s">
        <v>2644</v>
      </c>
    </row>
    <row r="845" spans="1:7" x14ac:dyDescent="0.25">
      <c r="A845" t="s">
        <v>12810</v>
      </c>
      <c r="B845" t="s">
        <v>12376</v>
      </c>
      <c r="C845" t="s">
        <v>12377</v>
      </c>
      <c r="D845">
        <v>3</v>
      </c>
      <c r="E845" t="s">
        <v>1771</v>
      </c>
      <c r="F845" t="s">
        <v>2649</v>
      </c>
      <c r="G845" t="s">
        <v>2644</v>
      </c>
    </row>
    <row r="846" spans="1:7" x14ac:dyDescent="0.25">
      <c r="A846" t="s">
        <v>12811</v>
      </c>
      <c r="B846" t="s">
        <v>12381</v>
      </c>
      <c r="C846" t="s">
        <v>12374</v>
      </c>
      <c r="D846">
        <v>3</v>
      </c>
      <c r="E846" t="s">
        <v>1771</v>
      </c>
      <c r="F846" t="s">
        <v>2649</v>
      </c>
      <c r="G846" t="s">
        <v>2644</v>
      </c>
    </row>
    <row r="847" spans="1:7" x14ac:dyDescent="0.25">
      <c r="A847" t="s">
        <v>12812</v>
      </c>
      <c r="B847" t="s">
        <v>12384</v>
      </c>
      <c r="C847" t="s">
        <v>12385</v>
      </c>
      <c r="D847">
        <v>3</v>
      </c>
      <c r="E847" t="s">
        <v>1771</v>
      </c>
      <c r="F847" t="s">
        <v>2649</v>
      </c>
      <c r="G847" t="s">
        <v>2644</v>
      </c>
    </row>
    <row r="848" spans="1:7" x14ac:dyDescent="0.25">
      <c r="A848" t="s">
        <v>12813</v>
      </c>
      <c r="B848" t="s">
        <v>12814</v>
      </c>
      <c r="C848" t="s">
        <v>12815</v>
      </c>
      <c r="D848">
        <v>3</v>
      </c>
      <c r="E848" t="s">
        <v>1771</v>
      </c>
      <c r="F848" t="s">
        <v>6240</v>
      </c>
      <c r="G848" t="s">
        <v>6241</v>
      </c>
    </row>
    <row r="849" spans="1:7" x14ac:dyDescent="0.25">
      <c r="A849" t="s">
        <v>413</v>
      </c>
      <c r="B849" t="s">
        <v>414</v>
      </c>
      <c r="C849" t="s">
        <v>415</v>
      </c>
      <c r="D849">
        <v>9</v>
      </c>
      <c r="E849" t="s">
        <v>416</v>
      </c>
      <c r="F849" t="s">
        <v>423</v>
      </c>
      <c r="G849" t="s">
        <v>417</v>
      </c>
    </row>
    <row r="850" spans="1:7" x14ac:dyDescent="0.25">
      <c r="A850" t="s">
        <v>12821</v>
      </c>
      <c r="B850" t="s">
        <v>12822</v>
      </c>
      <c r="C850" t="s">
        <v>12823</v>
      </c>
      <c r="D850">
        <v>9</v>
      </c>
      <c r="E850" t="s">
        <v>416</v>
      </c>
      <c r="F850" t="s">
        <v>423</v>
      </c>
      <c r="G850" t="s">
        <v>417</v>
      </c>
    </row>
    <row r="851" spans="1:7" x14ac:dyDescent="0.25">
      <c r="A851" t="s">
        <v>428</v>
      </c>
      <c r="B851" t="s">
        <v>429</v>
      </c>
      <c r="C851" t="s">
        <v>430</v>
      </c>
      <c r="D851">
        <v>9</v>
      </c>
      <c r="E851" t="s">
        <v>416</v>
      </c>
      <c r="F851" t="s">
        <v>434</v>
      </c>
      <c r="G851" t="s">
        <v>482</v>
      </c>
    </row>
    <row r="852" spans="1:7" x14ac:dyDescent="0.25">
      <c r="A852" t="s">
        <v>436</v>
      </c>
      <c r="B852" t="s">
        <v>437</v>
      </c>
      <c r="C852" t="s">
        <v>438</v>
      </c>
      <c r="D852">
        <v>9</v>
      </c>
      <c r="E852" t="s">
        <v>416</v>
      </c>
      <c r="F852" t="s">
        <v>434</v>
      </c>
      <c r="G852" t="s">
        <v>482</v>
      </c>
    </row>
    <row r="853" spans="1:7" x14ac:dyDescent="0.25">
      <c r="A853" t="s">
        <v>446</v>
      </c>
      <c r="B853" t="s">
        <v>447</v>
      </c>
      <c r="C853" t="s">
        <v>448</v>
      </c>
      <c r="D853">
        <v>9</v>
      </c>
      <c r="E853" t="s">
        <v>416</v>
      </c>
      <c r="F853" t="s">
        <v>434</v>
      </c>
      <c r="G853" t="s">
        <v>482</v>
      </c>
    </row>
    <row r="854" spans="1:7" x14ac:dyDescent="0.25">
      <c r="A854" t="s">
        <v>449</v>
      </c>
      <c r="B854" t="s">
        <v>450</v>
      </c>
      <c r="C854" t="s">
        <v>451</v>
      </c>
      <c r="D854">
        <v>9</v>
      </c>
      <c r="E854" t="s">
        <v>416</v>
      </c>
      <c r="F854" t="s">
        <v>434</v>
      </c>
      <c r="G854" t="s">
        <v>482</v>
      </c>
    </row>
    <row r="855" spans="1:7" x14ac:dyDescent="0.25">
      <c r="A855" t="s">
        <v>453</v>
      </c>
      <c r="B855" t="s">
        <v>454</v>
      </c>
      <c r="C855" t="s">
        <v>455</v>
      </c>
      <c r="D855">
        <v>9</v>
      </c>
      <c r="E855" t="s">
        <v>416</v>
      </c>
      <c r="F855" t="s">
        <v>434</v>
      </c>
      <c r="G855" t="s">
        <v>482</v>
      </c>
    </row>
    <row r="856" spans="1:7" x14ac:dyDescent="0.25">
      <c r="A856" t="s">
        <v>456</v>
      </c>
      <c r="B856" t="s">
        <v>457</v>
      </c>
      <c r="C856" t="s">
        <v>458</v>
      </c>
      <c r="D856">
        <v>9</v>
      </c>
      <c r="E856" t="s">
        <v>416</v>
      </c>
      <c r="F856" t="s">
        <v>423</v>
      </c>
      <c r="G856" t="s">
        <v>417</v>
      </c>
    </row>
    <row r="857" spans="1:7" x14ac:dyDescent="0.25">
      <c r="A857" t="s">
        <v>463</v>
      </c>
      <c r="B857" t="s">
        <v>464</v>
      </c>
      <c r="C857" t="s">
        <v>458</v>
      </c>
      <c r="D857">
        <v>9</v>
      </c>
      <c r="E857" t="s">
        <v>416</v>
      </c>
      <c r="F857" t="s">
        <v>470</v>
      </c>
      <c r="G857" t="s">
        <v>721</v>
      </c>
    </row>
    <row r="858" spans="1:7" x14ac:dyDescent="0.25">
      <c r="A858" t="s">
        <v>472</v>
      </c>
      <c r="B858" t="s">
        <v>473</v>
      </c>
      <c r="C858" t="s">
        <v>474</v>
      </c>
      <c r="D858">
        <v>9</v>
      </c>
      <c r="E858" t="s">
        <v>416</v>
      </c>
      <c r="F858" t="s">
        <v>423</v>
      </c>
      <c r="G858" t="s">
        <v>417</v>
      </c>
    </row>
    <row r="859" spans="1:7" x14ac:dyDescent="0.25">
      <c r="A859" t="s">
        <v>479</v>
      </c>
      <c r="B859" t="s">
        <v>480</v>
      </c>
      <c r="C859" t="s">
        <v>481</v>
      </c>
      <c r="D859">
        <v>9</v>
      </c>
      <c r="E859" t="s">
        <v>416</v>
      </c>
      <c r="F859" t="s">
        <v>434</v>
      </c>
      <c r="G859" t="s">
        <v>482</v>
      </c>
    </row>
    <row r="860" spans="1:7" x14ac:dyDescent="0.25">
      <c r="A860" t="s">
        <v>487</v>
      </c>
      <c r="B860" t="s">
        <v>488</v>
      </c>
      <c r="C860" t="s">
        <v>489</v>
      </c>
      <c r="D860">
        <v>9</v>
      </c>
      <c r="E860" t="s">
        <v>416</v>
      </c>
      <c r="F860" t="s">
        <v>434</v>
      </c>
      <c r="G860" t="s">
        <v>482</v>
      </c>
    </row>
    <row r="861" spans="1:7" x14ac:dyDescent="0.25">
      <c r="A861" t="s">
        <v>495</v>
      </c>
      <c r="B861" t="s">
        <v>496</v>
      </c>
      <c r="C861" t="s">
        <v>489</v>
      </c>
      <c r="D861">
        <v>9</v>
      </c>
      <c r="E861" t="s">
        <v>416</v>
      </c>
      <c r="F861" t="s">
        <v>434</v>
      </c>
      <c r="G861" t="s">
        <v>482</v>
      </c>
    </row>
    <row r="862" spans="1:7" x14ac:dyDescent="0.25">
      <c r="A862" t="s">
        <v>497</v>
      </c>
      <c r="B862" t="s">
        <v>498</v>
      </c>
      <c r="C862" t="s">
        <v>499</v>
      </c>
      <c r="D862">
        <v>9</v>
      </c>
      <c r="E862" t="s">
        <v>416</v>
      </c>
      <c r="F862" t="s">
        <v>434</v>
      </c>
      <c r="G862" t="s">
        <v>482</v>
      </c>
    </row>
    <row r="863" spans="1:7" x14ac:dyDescent="0.25">
      <c r="A863" t="s">
        <v>501</v>
      </c>
      <c r="B863" t="s">
        <v>502</v>
      </c>
      <c r="C863" t="s">
        <v>503</v>
      </c>
      <c r="D863">
        <v>9</v>
      </c>
      <c r="E863" t="s">
        <v>416</v>
      </c>
      <c r="F863" t="s">
        <v>508</v>
      </c>
      <c r="G863" t="s">
        <v>504</v>
      </c>
    </row>
    <row r="864" spans="1:7" x14ac:dyDescent="0.25">
      <c r="A864" t="s">
        <v>510</v>
      </c>
      <c r="B864" t="s">
        <v>511</v>
      </c>
      <c r="C864" t="s">
        <v>503</v>
      </c>
      <c r="D864">
        <v>9</v>
      </c>
      <c r="E864" t="s">
        <v>416</v>
      </c>
      <c r="F864" t="s">
        <v>517</v>
      </c>
      <c r="G864" t="s">
        <v>490</v>
      </c>
    </row>
    <row r="865" spans="1:7" x14ac:dyDescent="0.25">
      <c r="A865" t="s">
        <v>519</v>
      </c>
      <c r="B865" t="s">
        <v>520</v>
      </c>
      <c r="C865" t="s">
        <v>499</v>
      </c>
      <c r="D865">
        <v>9</v>
      </c>
      <c r="E865" t="s">
        <v>416</v>
      </c>
      <c r="F865" t="s">
        <v>508</v>
      </c>
      <c r="G865" t="s">
        <v>504</v>
      </c>
    </row>
    <row r="866" spans="1:7" x14ac:dyDescent="0.25">
      <c r="A866" t="s">
        <v>526</v>
      </c>
      <c r="B866" t="s">
        <v>527</v>
      </c>
      <c r="C866" t="s">
        <v>499</v>
      </c>
      <c r="D866">
        <v>9</v>
      </c>
      <c r="E866" t="s">
        <v>416</v>
      </c>
      <c r="F866" t="s">
        <v>532</v>
      </c>
      <c r="G866" t="s">
        <v>528</v>
      </c>
    </row>
    <row r="867" spans="1:7" x14ac:dyDescent="0.25">
      <c r="A867" t="s">
        <v>534</v>
      </c>
      <c r="B867" t="s">
        <v>535</v>
      </c>
      <c r="C867" t="s">
        <v>499</v>
      </c>
      <c r="D867">
        <v>9</v>
      </c>
      <c r="E867" t="s">
        <v>416</v>
      </c>
      <c r="F867" t="s">
        <v>517</v>
      </c>
      <c r="G867" t="s">
        <v>490</v>
      </c>
    </row>
    <row r="868" spans="1:7" x14ac:dyDescent="0.25">
      <c r="A868" t="s">
        <v>540</v>
      </c>
      <c r="B868" t="s">
        <v>541</v>
      </c>
      <c r="C868" t="s">
        <v>542</v>
      </c>
      <c r="D868">
        <v>9</v>
      </c>
      <c r="E868" t="s">
        <v>416</v>
      </c>
      <c r="F868" t="s">
        <v>423</v>
      </c>
      <c r="G868" t="s">
        <v>417</v>
      </c>
    </row>
    <row r="869" spans="1:7" x14ac:dyDescent="0.25">
      <c r="A869" t="s">
        <v>543</v>
      </c>
      <c r="B869" t="s">
        <v>544</v>
      </c>
      <c r="C869" t="s">
        <v>499</v>
      </c>
      <c r="D869">
        <v>9</v>
      </c>
      <c r="E869" t="s">
        <v>416</v>
      </c>
      <c r="F869" t="s">
        <v>550</v>
      </c>
      <c r="G869" t="s">
        <v>545</v>
      </c>
    </row>
    <row r="870" spans="1:7" x14ac:dyDescent="0.25">
      <c r="A870" t="s">
        <v>552</v>
      </c>
      <c r="B870" t="s">
        <v>553</v>
      </c>
      <c r="C870" t="s">
        <v>499</v>
      </c>
      <c r="D870">
        <v>9</v>
      </c>
      <c r="E870" t="s">
        <v>416</v>
      </c>
      <c r="F870" t="s">
        <v>556</v>
      </c>
      <c r="G870" t="s">
        <v>439</v>
      </c>
    </row>
    <row r="871" spans="1:7" x14ac:dyDescent="0.25">
      <c r="A871" t="s">
        <v>558</v>
      </c>
      <c r="B871" t="s">
        <v>559</v>
      </c>
      <c r="C871" t="s">
        <v>503</v>
      </c>
      <c r="D871">
        <v>9</v>
      </c>
      <c r="E871" t="s">
        <v>416</v>
      </c>
      <c r="F871" t="s">
        <v>517</v>
      </c>
      <c r="G871" t="s">
        <v>490</v>
      </c>
    </row>
    <row r="872" spans="1:7" x14ac:dyDescent="0.25">
      <c r="A872" t="s">
        <v>565</v>
      </c>
      <c r="B872" t="s">
        <v>566</v>
      </c>
      <c r="C872" t="s">
        <v>503</v>
      </c>
      <c r="D872">
        <v>9</v>
      </c>
      <c r="E872" t="s">
        <v>416</v>
      </c>
      <c r="F872" t="s">
        <v>532</v>
      </c>
      <c r="G872" t="s">
        <v>528</v>
      </c>
    </row>
    <row r="873" spans="1:7" x14ac:dyDescent="0.25">
      <c r="A873" t="s">
        <v>570</v>
      </c>
      <c r="B873" t="s">
        <v>571</v>
      </c>
      <c r="C873" t="s">
        <v>499</v>
      </c>
      <c r="D873">
        <v>9</v>
      </c>
      <c r="E873" t="s">
        <v>416</v>
      </c>
      <c r="F873" t="s">
        <v>434</v>
      </c>
      <c r="G873" t="s">
        <v>482</v>
      </c>
    </row>
    <row r="874" spans="1:7" x14ac:dyDescent="0.25">
      <c r="A874" t="s">
        <v>573</v>
      </c>
      <c r="B874" t="s">
        <v>574</v>
      </c>
      <c r="C874" t="s">
        <v>503</v>
      </c>
      <c r="D874">
        <v>9</v>
      </c>
      <c r="E874" t="s">
        <v>416</v>
      </c>
      <c r="F874" t="s">
        <v>508</v>
      </c>
      <c r="G874" t="s">
        <v>504</v>
      </c>
    </row>
    <row r="875" spans="1:7" x14ac:dyDescent="0.25">
      <c r="A875" t="s">
        <v>579</v>
      </c>
      <c r="B875" t="s">
        <v>580</v>
      </c>
      <c r="C875" t="s">
        <v>499</v>
      </c>
      <c r="D875">
        <v>9</v>
      </c>
      <c r="E875" t="s">
        <v>416</v>
      </c>
      <c r="F875" t="s">
        <v>586</v>
      </c>
      <c r="G875" t="s">
        <v>590</v>
      </c>
    </row>
    <row r="876" spans="1:7" x14ac:dyDescent="0.25">
      <c r="A876" t="s">
        <v>588</v>
      </c>
      <c r="B876" t="s">
        <v>589</v>
      </c>
      <c r="C876" t="s">
        <v>499</v>
      </c>
      <c r="D876">
        <v>9</v>
      </c>
      <c r="E876" t="s">
        <v>416</v>
      </c>
      <c r="F876" t="s">
        <v>434</v>
      </c>
      <c r="G876" t="s">
        <v>482</v>
      </c>
    </row>
    <row r="877" spans="1:7" x14ac:dyDescent="0.25">
      <c r="A877" t="s">
        <v>595</v>
      </c>
      <c r="B877" t="s">
        <v>596</v>
      </c>
      <c r="C877" t="s">
        <v>503</v>
      </c>
      <c r="D877">
        <v>9</v>
      </c>
      <c r="E877" t="s">
        <v>416</v>
      </c>
      <c r="F877" t="s">
        <v>508</v>
      </c>
      <c r="G877" t="s">
        <v>504</v>
      </c>
    </row>
    <row r="878" spans="1:7" x14ac:dyDescent="0.25">
      <c r="A878" t="s">
        <v>602</v>
      </c>
      <c r="B878" t="s">
        <v>603</v>
      </c>
      <c r="C878" t="s">
        <v>604</v>
      </c>
      <c r="D878">
        <v>9</v>
      </c>
      <c r="E878" t="s">
        <v>416</v>
      </c>
      <c r="F878" t="s">
        <v>556</v>
      </c>
      <c r="G878" t="s">
        <v>439</v>
      </c>
    </row>
    <row r="879" spans="1:7" x14ac:dyDescent="0.25">
      <c r="A879" t="s">
        <v>611</v>
      </c>
      <c r="B879" t="s">
        <v>612</v>
      </c>
      <c r="C879" t="s">
        <v>499</v>
      </c>
      <c r="D879">
        <v>9</v>
      </c>
      <c r="E879" t="s">
        <v>416</v>
      </c>
      <c r="F879" t="s">
        <v>517</v>
      </c>
      <c r="G879" t="s">
        <v>490</v>
      </c>
    </row>
    <row r="880" spans="1:7" x14ac:dyDescent="0.25">
      <c r="A880" t="s">
        <v>617</v>
      </c>
      <c r="B880" t="s">
        <v>618</v>
      </c>
      <c r="C880" t="s">
        <v>481</v>
      </c>
      <c r="D880">
        <v>9</v>
      </c>
      <c r="E880" t="s">
        <v>416</v>
      </c>
      <c r="F880" t="s">
        <v>550</v>
      </c>
      <c r="G880" t="s">
        <v>545</v>
      </c>
    </row>
    <row r="881" spans="1:7" x14ac:dyDescent="0.25">
      <c r="A881" t="s">
        <v>624</v>
      </c>
      <c r="B881" t="s">
        <v>625</v>
      </c>
      <c r="C881" t="s">
        <v>626</v>
      </c>
      <c r="D881">
        <v>9</v>
      </c>
      <c r="E881" t="s">
        <v>416</v>
      </c>
      <c r="F881" t="s">
        <v>632</v>
      </c>
      <c r="G881" t="s">
        <v>5044</v>
      </c>
    </row>
    <row r="882" spans="1:7" x14ac:dyDescent="0.25">
      <c r="A882" t="s">
        <v>634</v>
      </c>
      <c r="B882" t="s">
        <v>635</v>
      </c>
      <c r="C882" t="s">
        <v>636</v>
      </c>
      <c r="D882">
        <v>9</v>
      </c>
      <c r="E882" t="s">
        <v>416</v>
      </c>
      <c r="F882" t="s">
        <v>632</v>
      </c>
      <c r="G882" t="s">
        <v>5044</v>
      </c>
    </row>
    <row r="883" spans="1:7" x14ac:dyDescent="0.25">
      <c r="A883" t="s">
        <v>12824</v>
      </c>
      <c r="B883" t="s">
        <v>12825</v>
      </c>
      <c r="C883" t="s">
        <v>12826</v>
      </c>
      <c r="D883">
        <v>9</v>
      </c>
      <c r="E883" t="s">
        <v>416</v>
      </c>
      <c r="F883" t="s">
        <v>637</v>
      </c>
      <c r="G883" t="s">
        <v>4996</v>
      </c>
    </row>
    <row r="884" spans="1:7" x14ac:dyDescent="0.25">
      <c r="A884" t="s">
        <v>12831</v>
      </c>
      <c r="B884" t="s">
        <v>12832</v>
      </c>
      <c r="C884" t="s">
        <v>12833</v>
      </c>
      <c r="D884">
        <v>9</v>
      </c>
      <c r="E884" t="s">
        <v>416</v>
      </c>
      <c r="F884" t="s">
        <v>637</v>
      </c>
      <c r="G884" t="s">
        <v>4996</v>
      </c>
    </row>
    <row r="885" spans="1:7" x14ac:dyDescent="0.25">
      <c r="A885" t="s">
        <v>638</v>
      </c>
      <c r="B885" t="s">
        <v>639</v>
      </c>
      <c r="C885" t="s">
        <v>640</v>
      </c>
      <c r="D885">
        <v>9</v>
      </c>
      <c r="E885" t="s">
        <v>416</v>
      </c>
      <c r="F885" t="s">
        <v>637</v>
      </c>
      <c r="G885" t="s">
        <v>4996</v>
      </c>
    </row>
    <row r="886" spans="1:7" x14ac:dyDescent="0.25">
      <c r="A886" t="s">
        <v>646</v>
      </c>
      <c r="B886" t="s">
        <v>647</v>
      </c>
      <c r="C886" t="s">
        <v>648</v>
      </c>
      <c r="D886">
        <v>9</v>
      </c>
      <c r="E886" t="s">
        <v>416</v>
      </c>
      <c r="F886" t="s">
        <v>654</v>
      </c>
      <c r="G886" t="s">
        <v>581</v>
      </c>
    </row>
    <row r="887" spans="1:7" x14ac:dyDescent="0.25">
      <c r="A887" t="s">
        <v>656</v>
      </c>
      <c r="B887" t="s">
        <v>657</v>
      </c>
      <c r="C887" t="s">
        <v>658</v>
      </c>
      <c r="D887">
        <v>9</v>
      </c>
      <c r="E887" t="s">
        <v>416</v>
      </c>
      <c r="F887" t="s">
        <v>654</v>
      </c>
      <c r="G887" t="s">
        <v>581</v>
      </c>
    </row>
    <row r="888" spans="1:7" x14ac:dyDescent="0.25">
      <c r="A888" t="s">
        <v>659</v>
      </c>
      <c r="B888" t="s">
        <v>660</v>
      </c>
      <c r="C888" t="s">
        <v>661</v>
      </c>
      <c r="D888">
        <v>9</v>
      </c>
      <c r="E888" t="s">
        <v>416</v>
      </c>
      <c r="F888" t="s">
        <v>654</v>
      </c>
      <c r="G888" t="s">
        <v>581</v>
      </c>
    </row>
    <row r="889" spans="1:7" x14ac:dyDescent="0.25">
      <c r="A889" t="s">
        <v>663</v>
      </c>
      <c r="B889" t="s">
        <v>664</v>
      </c>
      <c r="C889" t="s">
        <v>665</v>
      </c>
      <c r="D889">
        <v>9</v>
      </c>
      <c r="E889" t="s">
        <v>416</v>
      </c>
      <c r="F889" t="s">
        <v>637</v>
      </c>
      <c r="G889" t="s">
        <v>4996</v>
      </c>
    </row>
    <row r="890" spans="1:7" x14ac:dyDescent="0.25">
      <c r="A890" t="s">
        <v>12834</v>
      </c>
      <c r="B890" t="s">
        <v>12835</v>
      </c>
      <c r="C890" t="s">
        <v>12836</v>
      </c>
      <c r="D890">
        <v>9</v>
      </c>
      <c r="E890" t="s">
        <v>416</v>
      </c>
      <c r="F890" t="s">
        <v>676</v>
      </c>
      <c r="G890" t="s">
        <v>671</v>
      </c>
    </row>
    <row r="891" spans="1:7" x14ac:dyDescent="0.25">
      <c r="A891" t="s">
        <v>678</v>
      </c>
      <c r="B891" t="s">
        <v>679</v>
      </c>
      <c r="C891" t="s">
        <v>680</v>
      </c>
      <c r="D891">
        <v>9</v>
      </c>
      <c r="E891" t="s">
        <v>416</v>
      </c>
      <c r="F891" t="s">
        <v>423</v>
      </c>
      <c r="G891" t="s">
        <v>417</v>
      </c>
    </row>
    <row r="892" spans="1:7" x14ac:dyDescent="0.25">
      <c r="A892" t="s">
        <v>681</v>
      </c>
      <c r="B892" t="s">
        <v>679</v>
      </c>
      <c r="C892" t="s">
        <v>682</v>
      </c>
      <c r="D892">
        <v>9</v>
      </c>
      <c r="E892" t="s">
        <v>416</v>
      </c>
      <c r="F892" t="s">
        <v>423</v>
      </c>
      <c r="G892" t="s">
        <v>417</v>
      </c>
    </row>
    <row r="893" spans="1:7" x14ac:dyDescent="0.25">
      <c r="A893" t="s">
        <v>12837</v>
      </c>
      <c r="B893" t="s">
        <v>12838</v>
      </c>
      <c r="C893" t="s">
        <v>683</v>
      </c>
      <c r="D893">
        <v>9</v>
      </c>
      <c r="E893" t="s">
        <v>416</v>
      </c>
      <c r="F893" t="s">
        <v>423</v>
      </c>
      <c r="G893" t="s">
        <v>417</v>
      </c>
    </row>
    <row r="894" spans="1:7" x14ac:dyDescent="0.25">
      <c r="A894" t="s">
        <v>684</v>
      </c>
      <c r="B894" t="s">
        <v>685</v>
      </c>
      <c r="C894" t="s">
        <v>686</v>
      </c>
      <c r="D894">
        <v>9</v>
      </c>
      <c r="E894" t="s">
        <v>416</v>
      </c>
      <c r="F894" t="s">
        <v>556</v>
      </c>
      <c r="G894" t="s">
        <v>439</v>
      </c>
    </row>
    <row r="895" spans="1:7" x14ac:dyDescent="0.25">
      <c r="A895" t="s">
        <v>688</v>
      </c>
      <c r="B895" t="s">
        <v>689</v>
      </c>
      <c r="C895" t="s">
        <v>690</v>
      </c>
      <c r="D895">
        <v>9</v>
      </c>
      <c r="E895" t="s">
        <v>416</v>
      </c>
      <c r="F895" t="s">
        <v>470</v>
      </c>
      <c r="G895" t="s">
        <v>721</v>
      </c>
    </row>
    <row r="896" spans="1:7" x14ac:dyDescent="0.25">
      <c r="A896" t="s">
        <v>12839</v>
      </c>
      <c r="B896" t="s">
        <v>12840</v>
      </c>
      <c r="C896" t="s">
        <v>683</v>
      </c>
      <c r="D896">
        <v>9</v>
      </c>
      <c r="E896" t="s">
        <v>416</v>
      </c>
      <c r="F896" t="s">
        <v>693</v>
      </c>
      <c r="G896" t="s">
        <v>666</v>
      </c>
    </row>
    <row r="897" spans="1:7" x14ac:dyDescent="0.25">
      <c r="A897" t="s">
        <v>695</v>
      </c>
      <c r="B897" t="s">
        <v>696</v>
      </c>
      <c r="C897" t="s">
        <v>697</v>
      </c>
      <c r="D897">
        <v>9</v>
      </c>
      <c r="E897" t="s">
        <v>416</v>
      </c>
      <c r="F897" t="s">
        <v>698</v>
      </c>
      <c r="G897" t="s">
        <v>691</v>
      </c>
    </row>
    <row r="898" spans="1:7" x14ac:dyDescent="0.25">
      <c r="A898" t="s">
        <v>700</v>
      </c>
      <c r="B898" t="s">
        <v>696</v>
      </c>
      <c r="C898" t="s">
        <v>701</v>
      </c>
      <c r="D898">
        <v>9</v>
      </c>
      <c r="E898" t="s">
        <v>416</v>
      </c>
      <c r="F898" t="s">
        <v>698</v>
      </c>
      <c r="G898" t="s">
        <v>691</v>
      </c>
    </row>
    <row r="899" spans="1:7" x14ac:dyDescent="0.25">
      <c r="A899" t="s">
        <v>702</v>
      </c>
      <c r="B899" t="s">
        <v>696</v>
      </c>
      <c r="C899" t="s">
        <v>703</v>
      </c>
      <c r="D899">
        <v>9</v>
      </c>
      <c r="E899" t="s">
        <v>416</v>
      </c>
      <c r="F899" t="s">
        <v>698</v>
      </c>
      <c r="G899" t="s">
        <v>691</v>
      </c>
    </row>
    <row r="900" spans="1:7" x14ac:dyDescent="0.25">
      <c r="A900" t="s">
        <v>704</v>
      </c>
      <c r="B900" t="s">
        <v>705</v>
      </c>
      <c r="C900" t="s">
        <v>706</v>
      </c>
      <c r="D900">
        <v>9</v>
      </c>
      <c r="E900" t="s">
        <v>416</v>
      </c>
      <c r="F900" t="s">
        <v>711</v>
      </c>
      <c r="G900" t="s">
        <v>879</v>
      </c>
    </row>
    <row r="901" spans="1:7" x14ac:dyDescent="0.25">
      <c r="A901" t="s">
        <v>713</v>
      </c>
      <c r="B901" t="s">
        <v>714</v>
      </c>
      <c r="C901" t="s">
        <v>715</v>
      </c>
      <c r="D901">
        <v>9</v>
      </c>
      <c r="E901" t="s">
        <v>416</v>
      </c>
      <c r="F901" t="s">
        <v>716</v>
      </c>
      <c r="G901" t="s">
        <v>649</v>
      </c>
    </row>
    <row r="902" spans="1:7" x14ac:dyDescent="0.25">
      <c r="A902" t="s">
        <v>718</v>
      </c>
      <c r="B902" t="s">
        <v>719</v>
      </c>
      <c r="C902" t="s">
        <v>720</v>
      </c>
      <c r="D902">
        <v>9</v>
      </c>
      <c r="E902" t="s">
        <v>416</v>
      </c>
      <c r="F902" t="s">
        <v>470</v>
      </c>
      <c r="G902" t="s">
        <v>721</v>
      </c>
    </row>
    <row r="903" spans="1:7" x14ac:dyDescent="0.25">
      <c r="A903" t="s">
        <v>726</v>
      </c>
      <c r="B903" t="s">
        <v>727</v>
      </c>
      <c r="C903" t="s">
        <v>728</v>
      </c>
      <c r="D903">
        <v>9</v>
      </c>
      <c r="E903" t="s">
        <v>416</v>
      </c>
      <c r="F903" t="s">
        <v>693</v>
      </c>
      <c r="G903" t="s">
        <v>666</v>
      </c>
    </row>
    <row r="904" spans="1:7" x14ac:dyDescent="0.25">
      <c r="A904" t="s">
        <v>732</v>
      </c>
      <c r="B904" t="s">
        <v>733</v>
      </c>
      <c r="C904" t="s">
        <v>734</v>
      </c>
      <c r="D904">
        <v>9</v>
      </c>
      <c r="E904" t="s">
        <v>416</v>
      </c>
      <c r="F904" t="s">
        <v>740</v>
      </c>
      <c r="G904" t="s">
        <v>834</v>
      </c>
    </row>
    <row r="905" spans="1:7" x14ac:dyDescent="0.25">
      <c r="A905" t="s">
        <v>742</v>
      </c>
      <c r="B905" t="s">
        <v>743</v>
      </c>
      <c r="C905" t="s">
        <v>720</v>
      </c>
      <c r="D905">
        <v>9</v>
      </c>
      <c r="E905" t="s">
        <v>416</v>
      </c>
      <c r="F905" t="s">
        <v>740</v>
      </c>
      <c r="G905" t="s">
        <v>834</v>
      </c>
    </row>
    <row r="906" spans="1:7" x14ac:dyDescent="0.25">
      <c r="A906" t="s">
        <v>744</v>
      </c>
      <c r="B906" t="s">
        <v>745</v>
      </c>
      <c r="C906" t="s">
        <v>746</v>
      </c>
      <c r="D906">
        <v>9</v>
      </c>
      <c r="E906" t="s">
        <v>416</v>
      </c>
      <c r="F906" t="s">
        <v>676</v>
      </c>
      <c r="G906" t="s">
        <v>671</v>
      </c>
    </row>
    <row r="907" spans="1:7" x14ac:dyDescent="0.25">
      <c r="A907" t="s">
        <v>12843</v>
      </c>
      <c r="B907" t="s">
        <v>12844</v>
      </c>
      <c r="C907" t="s">
        <v>12845</v>
      </c>
      <c r="D907">
        <v>9</v>
      </c>
      <c r="E907" t="s">
        <v>416</v>
      </c>
      <c r="F907" t="s">
        <v>711</v>
      </c>
      <c r="G907" t="s">
        <v>879</v>
      </c>
    </row>
    <row r="908" spans="1:7" x14ac:dyDescent="0.25">
      <c r="A908" t="s">
        <v>747</v>
      </c>
      <c r="B908" t="s">
        <v>748</v>
      </c>
      <c r="C908" t="s">
        <v>749</v>
      </c>
      <c r="D908">
        <v>9</v>
      </c>
      <c r="E908" t="s">
        <v>416</v>
      </c>
      <c r="F908" t="s">
        <v>755</v>
      </c>
      <c r="G908" t="s">
        <v>750</v>
      </c>
    </row>
    <row r="909" spans="1:7" x14ac:dyDescent="0.25">
      <c r="A909" t="s">
        <v>757</v>
      </c>
      <c r="B909" t="s">
        <v>758</v>
      </c>
      <c r="C909" t="s">
        <v>728</v>
      </c>
      <c r="D909">
        <v>9</v>
      </c>
      <c r="E909" t="s">
        <v>416</v>
      </c>
      <c r="F909" t="s">
        <v>755</v>
      </c>
      <c r="G909" t="s">
        <v>750</v>
      </c>
    </row>
    <row r="910" spans="1:7" x14ac:dyDescent="0.25">
      <c r="A910" t="s">
        <v>759</v>
      </c>
      <c r="B910" t="s">
        <v>760</v>
      </c>
      <c r="C910" t="s">
        <v>761</v>
      </c>
      <c r="D910">
        <v>9</v>
      </c>
      <c r="E910" t="s">
        <v>416</v>
      </c>
      <c r="F910" t="s">
        <v>755</v>
      </c>
      <c r="G910" t="s">
        <v>750</v>
      </c>
    </row>
    <row r="911" spans="1:7" x14ac:dyDescent="0.25">
      <c r="A911" t="s">
        <v>762</v>
      </c>
      <c r="B911" t="s">
        <v>763</v>
      </c>
      <c r="C911" t="s">
        <v>764</v>
      </c>
      <c r="D911">
        <v>9</v>
      </c>
      <c r="E911" t="s">
        <v>416</v>
      </c>
      <c r="F911" t="s">
        <v>755</v>
      </c>
      <c r="G911" t="s">
        <v>750</v>
      </c>
    </row>
    <row r="912" spans="1:7" x14ac:dyDescent="0.25">
      <c r="A912" t="s">
        <v>765</v>
      </c>
      <c r="B912" t="s">
        <v>766</v>
      </c>
      <c r="C912" t="s">
        <v>767</v>
      </c>
      <c r="D912">
        <v>9</v>
      </c>
      <c r="E912" t="s">
        <v>416</v>
      </c>
      <c r="F912" t="s">
        <v>586</v>
      </c>
      <c r="G912" t="s">
        <v>590</v>
      </c>
    </row>
    <row r="913" spans="1:7" x14ac:dyDescent="0.25">
      <c r="A913" t="s">
        <v>769</v>
      </c>
      <c r="B913" t="s">
        <v>770</v>
      </c>
      <c r="C913" t="s">
        <v>771</v>
      </c>
      <c r="D913">
        <v>9</v>
      </c>
      <c r="E913" t="s">
        <v>416</v>
      </c>
      <c r="F913" t="s">
        <v>423</v>
      </c>
      <c r="G913" t="s">
        <v>417</v>
      </c>
    </row>
    <row r="914" spans="1:7" x14ac:dyDescent="0.25">
      <c r="A914" t="s">
        <v>772</v>
      </c>
      <c r="B914" t="s">
        <v>773</v>
      </c>
      <c r="C914" t="s">
        <v>774</v>
      </c>
      <c r="D914">
        <v>9</v>
      </c>
      <c r="E914" t="s">
        <v>416</v>
      </c>
      <c r="F914" t="s">
        <v>423</v>
      </c>
      <c r="G914" t="s">
        <v>417</v>
      </c>
    </row>
    <row r="915" spans="1:7" x14ac:dyDescent="0.25">
      <c r="A915" t="s">
        <v>775</v>
      </c>
      <c r="B915" t="s">
        <v>776</v>
      </c>
      <c r="C915" t="s">
        <v>777</v>
      </c>
      <c r="D915">
        <v>9</v>
      </c>
      <c r="E915" t="s">
        <v>416</v>
      </c>
      <c r="F915" t="s">
        <v>556</v>
      </c>
      <c r="G915" t="s">
        <v>439</v>
      </c>
    </row>
    <row r="916" spans="1:7" x14ac:dyDescent="0.25">
      <c r="A916" t="s">
        <v>778</v>
      </c>
      <c r="B916" t="s">
        <v>779</v>
      </c>
      <c r="C916" t="s">
        <v>780</v>
      </c>
      <c r="D916">
        <v>9</v>
      </c>
      <c r="E916" t="s">
        <v>416</v>
      </c>
      <c r="F916" t="s">
        <v>470</v>
      </c>
      <c r="G916" t="s">
        <v>721</v>
      </c>
    </row>
    <row r="917" spans="1:7" x14ac:dyDescent="0.25">
      <c r="A917" t="s">
        <v>781</v>
      </c>
      <c r="B917" t="s">
        <v>782</v>
      </c>
      <c r="C917" t="s">
        <v>783</v>
      </c>
      <c r="D917">
        <v>9</v>
      </c>
      <c r="E917" t="s">
        <v>416</v>
      </c>
      <c r="F917" t="s">
        <v>789</v>
      </c>
      <c r="G917" t="s">
        <v>784</v>
      </c>
    </row>
    <row r="918" spans="1:7" x14ac:dyDescent="0.25">
      <c r="A918" t="s">
        <v>791</v>
      </c>
      <c r="B918" t="s">
        <v>792</v>
      </c>
      <c r="C918" t="s">
        <v>764</v>
      </c>
      <c r="D918">
        <v>9</v>
      </c>
      <c r="E918" t="s">
        <v>416</v>
      </c>
      <c r="F918" t="s">
        <v>789</v>
      </c>
      <c r="G918" t="s">
        <v>784</v>
      </c>
    </row>
    <row r="919" spans="1:7" x14ac:dyDescent="0.25">
      <c r="A919" t="s">
        <v>793</v>
      </c>
      <c r="B919" t="s">
        <v>794</v>
      </c>
      <c r="C919" t="s">
        <v>795</v>
      </c>
      <c r="D919">
        <v>9</v>
      </c>
      <c r="E919" t="s">
        <v>416</v>
      </c>
      <c r="F919" t="s">
        <v>789</v>
      </c>
      <c r="G919" t="s">
        <v>784</v>
      </c>
    </row>
    <row r="920" spans="1:7" x14ac:dyDescent="0.25">
      <c r="A920" t="s">
        <v>799</v>
      </c>
      <c r="B920" t="s">
        <v>800</v>
      </c>
      <c r="C920" t="s">
        <v>764</v>
      </c>
      <c r="D920">
        <v>9</v>
      </c>
      <c r="E920" t="s">
        <v>416</v>
      </c>
      <c r="F920" t="s">
        <v>789</v>
      </c>
      <c r="G920" t="s">
        <v>784</v>
      </c>
    </row>
    <row r="921" spans="1:7" x14ac:dyDescent="0.25">
      <c r="A921" t="s">
        <v>801</v>
      </c>
      <c r="B921" t="s">
        <v>802</v>
      </c>
      <c r="C921" t="s">
        <v>803</v>
      </c>
      <c r="D921">
        <v>9</v>
      </c>
      <c r="E921" t="s">
        <v>416</v>
      </c>
      <c r="F921" t="s">
        <v>698</v>
      </c>
      <c r="G921" t="s">
        <v>691</v>
      </c>
    </row>
    <row r="922" spans="1:7" x14ac:dyDescent="0.25">
      <c r="A922" t="s">
        <v>808</v>
      </c>
      <c r="B922" t="s">
        <v>809</v>
      </c>
      <c r="C922" t="s">
        <v>810</v>
      </c>
      <c r="D922">
        <v>9</v>
      </c>
      <c r="E922" t="s">
        <v>416</v>
      </c>
      <c r="F922" t="s">
        <v>698</v>
      </c>
      <c r="G922" t="s">
        <v>691</v>
      </c>
    </row>
    <row r="923" spans="1:7" x14ac:dyDescent="0.25">
      <c r="A923" t="s">
        <v>815</v>
      </c>
      <c r="B923" t="s">
        <v>816</v>
      </c>
      <c r="C923" t="s">
        <v>810</v>
      </c>
      <c r="D923">
        <v>9</v>
      </c>
      <c r="E923" t="s">
        <v>416</v>
      </c>
      <c r="F923" t="s">
        <v>693</v>
      </c>
      <c r="G923" t="s">
        <v>666</v>
      </c>
    </row>
    <row r="924" spans="1:7" x14ac:dyDescent="0.25">
      <c r="A924" t="s">
        <v>819</v>
      </c>
      <c r="B924" t="s">
        <v>820</v>
      </c>
      <c r="C924" t="s">
        <v>821</v>
      </c>
      <c r="D924">
        <v>9</v>
      </c>
      <c r="E924" t="s">
        <v>416</v>
      </c>
      <c r="F924" t="s">
        <v>693</v>
      </c>
      <c r="G924" t="s">
        <v>666</v>
      </c>
    </row>
    <row r="925" spans="1:7" x14ac:dyDescent="0.25">
      <c r="A925" t="s">
        <v>822</v>
      </c>
      <c r="B925" t="s">
        <v>823</v>
      </c>
      <c r="C925" t="s">
        <v>824</v>
      </c>
      <c r="D925">
        <v>9</v>
      </c>
      <c r="E925" t="s">
        <v>416</v>
      </c>
      <c r="F925" t="s">
        <v>698</v>
      </c>
      <c r="G925" t="s">
        <v>691</v>
      </c>
    </row>
    <row r="926" spans="1:7" x14ac:dyDescent="0.25">
      <c r="A926" t="s">
        <v>828</v>
      </c>
      <c r="B926" t="s">
        <v>829</v>
      </c>
      <c r="C926" t="s">
        <v>830</v>
      </c>
      <c r="D926">
        <v>9</v>
      </c>
      <c r="E926" t="s">
        <v>416</v>
      </c>
      <c r="F926" t="s">
        <v>698</v>
      </c>
      <c r="G926" t="s">
        <v>691</v>
      </c>
    </row>
    <row r="927" spans="1:7" x14ac:dyDescent="0.25">
      <c r="A927" t="s">
        <v>831</v>
      </c>
      <c r="B927" t="s">
        <v>832</v>
      </c>
      <c r="C927" t="s">
        <v>833</v>
      </c>
      <c r="D927">
        <v>9</v>
      </c>
      <c r="E927" t="s">
        <v>416</v>
      </c>
      <c r="F927" t="s">
        <v>740</v>
      </c>
      <c r="G927" t="s">
        <v>834</v>
      </c>
    </row>
    <row r="928" spans="1:7" x14ac:dyDescent="0.25">
      <c r="A928" t="s">
        <v>839</v>
      </c>
      <c r="B928" t="s">
        <v>840</v>
      </c>
      <c r="C928" t="s">
        <v>841</v>
      </c>
      <c r="D928">
        <v>9</v>
      </c>
      <c r="E928" t="s">
        <v>416</v>
      </c>
      <c r="F928" t="s">
        <v>740</v>
      </c>
      <c r="G928" t="s">
        <v>834</v>
      </c>
    </row>
    <row r="929" spans="1:7" x14ac:dyDescent="0.25">
      <c r="A929" t="s">
        <v>846</v>
      </c>
      <c r="B929" t="s">
        <v>847</v>
      </c>
      <c r="C929" t="s">
        <v>848</v>
      </c>
      <c r="D929">
        <v>9</v>
      </c>
      <c r="E929" t="s">
        <v>416</v>
      </c>
      <c r="F929" t="s">
        <v>556</v>
      </c>
      <c r="G929" t="s">
        <v>439</v>
      </c>
    </row>
    <row r="930" spans="1:7" x14ac:dyDescent="0.25">
      <c r="A930" t="s">
        <v>849</v>
      </c>
      <c r="B930" t="s">
        <v>850</v>
      </c>
      <c r="C930" t="s">
        <v>851</v>
      </c>
      <c r="D930">
        <v>9</v>
      </c>
      <c r="E930" t="s">
        <v>416</v>
      </c>
      <c r="F930" t="s">
        <v>434</v>
      </c>
      <c r="G930" t="s">
        <v>482</v>
      </c>
    </row>
    <row r="931" spans="1:7" x14ac:dyDescent="0.25">
      <c r="A931" t="s">
        <v>853</v>
      </c>
      <c r="B931" t="s">
        <v>854</v>
      </c>
      <c r="C931" t="s">
        <v>855</v>
      </c>
      <c r="D931">
        <v>9</v>
      </c>
      <c r="E931" t="s">
        <v>416</v>
      </c>
      <c r="F931" t="s">
        <v>434</v>
      </c>
      <c r="G931" t="s">
        <v>482</v>
      </c>
    </row>
    <row r="932" spans="1:7" x14ac:dyDescent="0.25">
      <c r="A932" t="s">
        <v>856</v>
      </c>
      <c r="B932" t="s">
        <v>857</v>
      </c>
      <c r="C932" t="s">
        <v>841</v>
      </c>
      <c r="D932">
        <v>9</v>
      </c>
      <c r="E932" t="s">
        <v>416</v>
      </c>
      <c r="F932" t="s">
        <v>862</v>
      </c>
      <c r="G932" t="s">
        <v>858</v>
      </c>
    </row>
    <row r="933" spans="1:7" x14ac:dyDescent="0.25">
      <c r="A933" t="s">
        <v>864</v>
      </c>
      <c r="B933" t="s">
        <v>865</v>
      </c>
      <c r="C933" t="s">
        <v>866</v>
      </c>
      <c r="D933">
        <v>9</v>
      </c>
      <c r="E933" t="s">
        <v>416</v>
      </c>
      <c r="F933" t="s">
        <v>862</v>
      </c>
      <c r="G933" t="s">
        <v>858</v>
      </c>
    </row>
    <row r="934" spans="1:7" x14ac:dyDescent="0.25">
      <c r="A934" t="s">
        <v>867</v>
      </c>
      <c r="B934" t="s">
        <v>868</v>
      </c>
      <c r="C934" t="s">
        <v>803</v>
      </c>
      <c r="D934">
        <v>9</v>
      </c>
      <c r="E934" t="s">
        <v>416</v>
      </c>
      <c r="F934" t="s">
        <v>872</v>
      </c>
      <c r="G934" t="s">
        <v>641</v>
      </c>
    </row>
    <row r="935" spans="1:7" x14ac:dyDescent="0.25">
      <c r="A935" t="s">
        <v>874</v>
      </c>
      <c r="B935" t="s">
        <v>875</v>
      </c>
      <c r="C935" t="s">
        <v>499</v>
      </c>
      <c r="D935">
        <v>9</v>
      </c>
      <c r="E935" t="s">
        <v>416</v>
      </c>
      <c r="F935" t="s">
        <v>508</v>
      </c>
      <c r="G935" t="s">
        <v>504</v>
      </c>
    </row>
    <row r="936" spans="1:7" x14ac:dyDescent="0.25">
      <c r="A936" t="s">
        <v>877</v>
      </c>
      <c r="B936" t="s">
        <v>878</v>
      </c>
      <c r="C936" t="s">
        <v>499</v>
      </c>
      <c r="D936">
        <v>9</v>
      </c>
      <c r="E936" t="s">
        <v>416</v>
      </c>
      <c r="F936" t="s">
        <v>508</v>
      </c>
      <c r="G936" t="s">
        <v>504</v>
      </c>
    </row>
    <row r="937" spans="1:7" x14ac:dyDescent="0.25">
      <c r="A937" t="s">
        <v>884</v>
      </c>
      <c r="B937" t="s">
        <v>885</v>
      </c>
      <c r="C937" t="s">
        <v>886</v>
      </c>
      <c r="D937">
        <v>9</v>
      </c>
      <c r="E937" t="s">
        <v>416</v>
      </c>
      <c r="F937" t="s">
        <v>693</v>
      </c>
      <c r="G937" t="s">
        <v>666</v>
      </c>
    </row>
    <row r="938" spans="1:7" x14ac:dyDescent="0.25">
      <c r="A938" t="s">
        <v>889</v>
      </c>
      <c r="B938" t="s">
        <v>890</v>
      </c>
      <c r="C938" t="s">
        <v>499</v>
      </c>
      <c r="D938">
        <v>9</v>
      </c>
      <c r="E938" t="s">
        <v>416</v>
      </c>
      <c r="F938" t="s">
        <v>470</v>
      </c>
      <c r="G938" t="s">
        <v>721</v>
      </c>
    </row>
    <row r="939" spans="1:7" x14ac:dyDescent="0.25">
      <c r="A939" t="s">
        <v>895</v>
      </c>
      <c r="B939" t="s">
        <v>896</v>
      </c>
      <c r="C939" t="s">
        <v>897</v>
      </c>
      <c r="D939">
        <v>9</v>
      </c>
      <c r="E939" t="s">
        <v>416</v>
      </c>
      <c r="F939" t="s">
        <v>899</v>
      </c>
      <c r="G939" t="s">
        <v>10262</v>
      </c>
    </row>
    <row r="940" spans="1:7" x14ac:dyDescent="0.25">
      <c r="A940" t="s">
        <v>900</v>
      </c>
      <c r="B940" t="s">
        <v>901</v>
      </c>
      <c r="C940" t="s">
        <v>499</v>
      </c>
      <c r="D940">
        <v>9</v>
      </c>
      <c r="E940" t="s">
        <v>416</v>
      </c>
      <c r="F940" t="s">
        <v>693</v>
      </c>
      <c r="G940" t="s">
        <v>666</v>
      </c>
    </row>
    <row r="941" spans="1:7" x14ac:dyDescent="0.25">
      <c r="A941" t="s">
        <v>902</v>
      </c>
      <c r="B941" t="s">
        <v>903</v>
      </c>
      <c r="C941" t="s">
        <v>904</v>
      </c>
      <c r="D941">
        <v>9</v>
      </c>
      <c r="E941" t="s">
        <v>416</v>
      </c>
      <c r="F941" t="s">
        <v>693</v>
      </c>
      <c r="G941" t="s">
        <v>666</v>
      </c>
    </row>
    <row r="942" spans="1:7" x14ac:dyDescent="0.25">
      <c r="A942" t="s">
        <v>905</v>
      </c>
      <c r="B942" t="s">
        <v>906</v>
      </c>
      <c r="C942" t="s">
        <v>904</v>
      </c>
      <c r="D942">
        <v>9</v>
      </c>
      <c r="E942" t="s">
        <v>416</v>
      </c>
      <c r="F942" t="s">
        <v>909</v>
      </c>
      <c r="G942" t="s">
        <v>10212</v>
      </c>
    </row>
    <row r="943" spans="1:7" x14ac:dyDescent="0.25">
      <c r="A943" t="s">
        <v>910</v>
      </c>
      <c r="B943" t="s">
        <v>911</v>
      </c>
      <c r="C943" t="s">
        <v>912</v>
      </c>
      <c r="D943">
        <v>9</v>
      </c>
      <c r="E943" t="s">
        <v>416</v>
      </c>
      <c r="F943" t="s">
        <v>914</v>
      </c>
      <c r="G943" t="s">
        <v>735</v>
      </c>
    </row>
    <row r="944" spans="1:7" x14ac:dyDescent="0.25">
      <c r="A944" t="s">
        <v>915</v>
      </c>
      <c r="B944" t="s">
        <v>916</v>
      </c>
      <c r="C944" t="s">
        <v>499</v>
      </c>
      <c r="D944">
        <v>9</v>
      </c>
      <c r="E944" t="s">
        <v>416</v>
      </c>
      <c r="F944" t="s">
        <v>789</v>
      </c>
      <c r="G944" t="s">
        <v>784</v>
      </c>
    </row>
    <row r="945" spans="1:7" x14ac:dyDescent="0.25">
      <c r="A945" t="s">
        <v>917</v>
      </c>
      <c r="B945" t="s">
        <v>918</v>
      </c>
      <c r="C945" t="s">
        <v>904</v>
      </c>
      <c r="D945">
        <v>9</v>
      </c>
      <c r="E945" t="s">
        <v>416</v>
      </c>
      <c r="F945" t="s">
        <v>740</v>
      </c>
      <c r="G945" t="s">
        <v>834</v>
      </c>
    </row>
    <row r="946" spans="1:7" x14ac:dyDescent="0.25">
      <c r="A946" t="s">
        <v>920</v>
      </c>
      <c r="B946" t="s">
        <v>921</v>
      </c>
      <c r="C946" t="s">
        <v>764</v>
      </c>
      <c r="D946">
        <v>9</v>
      </c>
      <c r="E946" t="s">
        <v>416</v>
      </c>
      <c r="F946" t="s">
        <v>862</v>
      </c>
      <c r="G946" t="s">
        <v>858</v>
      </c>
    </row>
    <row r="947" spans="1:7" x14ac:dyDescent="0.25">
      <c r="A947" t="s">
        <v>923</v>
      </c>
      <c r="B947" t="s">
        <v>924</v>
      </c>
      <c r="C947" t="s">
        <v>499</v>
      </c>
      <c r="D947">
        <v>9</v>
      </c>
      <c r="E947" t="s">
        <v>416</v>
      </c>
      <c r="F947" t="s">
        <v>862</v>
      </c>
      <c r="G947" t="s">
        <v>858</v>
      </c>
    </row>
    <row r="948" spans="1:7" x14ac:dyDescent="0.25">
      <c r="A948" t="s">
        <v>925</v>
      </c>
      <c r="B948" t="s">
        <v>926</v>
      </c>
      <c r="C948" t="s">
        <v>904</v>
      </c>
      <c r="D948">
        <v>9</v>
      </c>
      <c r="E948" t="s">
        <v>416</v>
      </c>
      <c r="F948" t="s">
        <v>862</v>
      </c>
      <c r="G948" t="s">
        <v>858</v>
      </c>
    </row>
    <row r="949" spans="1:7" x14ac:dyDescent="0.25">
      <c r="A949" t="s">
        <v>927</v>
      </c>
      <c r="B949" t="s">
        <v>928</v>
      </c>
      <c r="C949" t="s">
        <v>929</v>
      </c>
      <c r="D949">
        <v>9</v>
      </c>
      <c r="E949" t="s">
        <v>416</v>
      </c>
      <c r="F949" t="s">
        <v>933</v>
      </c>
      <c r="G949" t="s">
        <v>10205</v>
      </c>
    </row>
    <row r="950" spans="1:7" x14ac:dyDescent="0.25">
      <c r="A950" t="s">
        <v>934</v>
      </c>
      <c r="B950" t="s">
        <v>935</v>
      </c>
      <c r="C950" t="s">
        <v>904</v>
      </c>
      <c r="D950">
        <v>9</v>
      </c>
      <c r="E950" t="s">
        <v>416</v>
      </c>
      <c r="F950" t="s">
        <v>716</v>
      </c>
      <c r="G950" t="s">
        <v>649</v>
      </c>
    </row>
    <row r="951" spans="1:7" x14ac:dyDescent="0.25">
      <c r="A951" t="s">
        <v>938</v>
      </c>
      <c r="B951" t="s">
        <v>939</v>
      </c>
      <c r="C951" t="s">
        <v>912</v>
      </c>
      <c r="D951">
        <v>9</v>
      </c>
      <c r="E951" t="s">
        <v>416</v>
      </c>
      <c r="F951" t="s">
        <v>676</v>
      </c>
      <c r="G951" t="s">
        <v>671</v>
      </c>
    </row>
    <row r="952" spans="1:7" x14ac:dyDescent="0.25">
      <c r="A952" t="s">
        <v>941</v>
      </c>
      <c r="B952" t="s">
        <v>942</v>
      </c>
      <c r="C952" t="s">
        <v>912</v>
      </c>
      <c r="D952">
        <v>9</v>
      </c>
      <c r="E952" t="s">
        <v>416</v>
      </c>
      <c r="F952" t="s">
        <v>550</v>
      </c>
      <c r="G952" t="s">
        <v>545</v>
      </c>
    </row>
    <row r="953" spans="1:7" x14ac:dyDescent="0.25">
      <c r="A953" t="s">
        <v>943</v>
      </c>
      <c r="B953" t="s">
        <v>944</v>
      </c>
      <c r="C953" t="s">
        <v>499</v>
      </c>
      <c r="D953">
        <v>9</v>
      </c>
      <c r="E953" t="s">
        <v>416</v>
      </c>
      <c r="F953" t="s">
        <v>947</v>
      </c>
      <c r="G953" t="s">
        <v>945</v>
      </c>
    </row>
    <row r="954" spans="1:7" x14ac:dyDescent="0.25">
      <c r="A954" t="s">
        <v>948</v>
      </c>
      <c r="B954" t="s">
        <v>949</v>
      </c>
      <c r="C954" t="s">
        <v>904</v>
      </c>
      <c r="D954">
        <v>9</v>
      </c>
      <c r="E954" t="s">
        <v>416</v>
      </c>
      <c r="F954" t="s">
        <v>947</v>
      </c>
      <c r="G954" t="s">
        <v>945</v>
      </c>
    </row>
    <row r="955" spans="1:7" x14ac:dyDescent="0.25">
      <c r="A955" t="s">
        <v>950</v>
      </c>
      <c r="B955" t="s">
        <v>951</v>
      </c>
      <c r="C955" t="s">
        <v>499</v>
      </c>
      <c r="D955">
        <v>9</v>
      </c>
      <c r="E955" t="s">
        <v>416</v>
      </c>
      <c r="F955" t="s">
        <v>955</v>
      </c>
      <c r="G955" t="s">
        <v>952</v>
      </c>
    </row>
    <row r="956" spans="1:7" x14ac:dyDescent="0.25">
      <c r="A956" t="s">
        <v>956</v>
      </c>
      <c r="B956" t="s">
        <v>957</v>
      </c>
      <c r="C956" t="s">
        <v>929</v>
      </c>
      <c r="D956">
        <v>9</v>
      </c>
      <c r="E956" t="s">
        <v>416</v>
      </c>
      <c r="F956" t="s">
        <v>755</v>
      </c>
      <c r="G956" t="s">
        <v>750</v>
      </c>
    </row>
    <row r="957" spans="1:7" x14ac:dyDescent="0.25">
      <c r="A957" t="s">
        <v>958</v>
      </c>
      <c r="B957" t="s">
        <v>959</v>
      </c>
      <c r="C957" t="s">
        <v>499</v>
      </c>
      <c r="D957">
        <v>9</v>
      </c>
      <c r="E957" t="s">
        <v>416</v>
      </c>
      <c r="F957" t="s">
        <v>960</v>
      </c>
      <c r="G957" t="s">
        <v>597</v>
      </c>
    </row>
    <row r="958" spans="1:7" x14ac:dyDescent="0.25">
      <c r="A958" t="s">
        <v>961</v>
      </c>
      <c r="B958" t="s">
        <v>962</v>
      </c>
      <c r="C958" t="s">
        <v>963</v>
      </c>
      <c r="D958">
        <v>9</v>
      </c>
      <c r="E958" t="s">
        <v>416</v>
      </c>
      <c r="F958" t="s">
        <v>698</v>
      </c>
      <c r="G958" t="s">
        <v>691</v>
      </c>
    </row>
    <row r="959" spans="1:7" x14ac:dyDescent="0.25">
      <c r="A959" t="s">
        <v>964</v>
      </c>
      <c r="B959" t="s">
        <v>965</v>
      </c>
      <c r="C959" t="s">
        <v>499</v>
      </c>
      <c r="D959">
        <v>9</v>
      </c>
      <c r="E959" t="s">
        <v>416</v>
      </c>
      <c r="F959" t="s">
        <v>872</v>
      </c>
      <c r="G959" t="s">
        <v>641</v>
      </c>
    </row>
    <row r="960" spans="1:7" x14ac:dyDescent="0.25">
      <c r="A960" t="s">
        <v>966</v>
      </c>
      <c r="B960" t="s">
        <v>967</v>
      </c>
      <c r="C960" t="s">
        <v>968</v>
      </c>
      <c r="D960">
        <v>9</v>
      </c>
      <c r="E960" t="s">
        <v>416</v>
      </c>
      <c r="F960" t="s">
        <v>969</v>
      </c>
      <c r="G960" t="s">
        <v>10245</v>
      </c>
    </row>
    <row r="961" spans="1:7" x14ac:dyDescent="0.25">
      <c r="A961" t="s">
        <v>12847</v>
      </c>
      <c r="B961" t="s">
        <v>12848</v>
      </c>
      <c r="C961" t="s">
        <v>12849</v>
      </c>
      <c r="D961">
        <v>9</v>
      </c>
      <c r="E961" t="s">
        <v>416</v>
      </c>
      <c r="F961" t="s">
        <v>894</v>
      </c>
      <c r="G961" t="s">
        <v>12916</v>
      </c>
    </row>
    <row r="962" spans="1:7" x14ac:dyDescent="0.25">
      <c r="A962" t="s">
        <v>970</v>
      </c>
      <c r="B962" t="s">
        <v>971</v>
      </c>
      <c r="C962" t="s">
        <v>499</v>
      </c>
      <c r="D962">
        <v>9</v>
      </c>
      <c r="E962" t="s">
        <v>416</v>
      </c>
      <c r="F962" t="s">
        <v>974</v>
      </c>
      <c r="G962" t="s">
        <v>972</v>
      </c>
    </row>
    <row r="963" spans="1:7" x14ac:dyDescent="0.25">
      <c r="A963" t="s">
        <v>975</v>
      </c>
      <c r="B963" t="s">
        <v>976</v>
      </c>
      <c r="C963" t="s">
        <v>904</v>
      </c>
      <c r="D963">
        <v>9</v>
      </c>
      <c r="E963" t="s">
        <v>416</v>
      </c>
      <c r="F963" t="s">
        <v>974</v>
      </c>
      <c r="G963" t="s">
        <v>972</v>
      </c>
    </row>
    <row r="964" spans="1:7" x14ac:dyDescent="0.25">
      <c r="A964" t="s">
        <v>977</v>
      </c>
      <c r="B964" t="s">
        <v>978</v>
      </c>
      <c r="C964" t="s">
        <v>499</v>
      </c>
      <c r="D964">
        <v>9</v>
      </c>
      <c r="E964" t="s">
        <v>416</v>
      </c>
      <c r="F964" t="s">
        <v>980</v>
      </c>
      <c r="G964" t="s">
        <v>619</v>
      </c>
    </row>
    <row r="965" spans="1:7" x14ac:dyDescent="0.25">
      <c r="A965" t="s">
        <v>981</v>
      </c>
      <c r="B965" t="s">
        <v>982</v>
      </c>
      <c r="C965" t="s">
        <v>904</v>
      </c>
      <c r="D965">
        <v>9</v>
      </c>
      <c r="E965" t="s">
        <v>416</v>
      </c>
      <c r="F965" t="s">
        <v>789</v>
      </c>
      <c r="G965" t="s">
        <v>784</v>
      </c>
    </row>
    <row r="966" spans="1:7" x14ac:dyDescent="0.25">
      <c r="A966" t="s">
        <v>12851</v>
      </c>
      <c r="B966" t="s">
        <v>12852</v>
      </c>
      <c r="C966" t="s">
        <v>683</v>
      </c>
      <c r="D966">
        <v>9</v>
      </c>
      <c r="E966" t="s">
        <v>416</v>
      </c>
      <c r="F966" t="s">
        <v>10265</v>
      </c>
      <c r="G966" t="s">
        <v>10266</v>
      </c>
    </row>
    <row r="967" spans="1:7" x14ac:dyDescent="0.25">
      <c r="A967" t="s">
        <v>983</v>
      </c>
      <c r="B967" t="s">
        <v>984</v>
      </c>
      <c r="C967" t="s">
        <v>985</v>
      </c>
      <c r="D967">
        <v>9</v>
      </c>
      <c r="E967" t="s">
        <v>416</v>
      </c>
      <c r="F967" t="s">
        <v>698</v>
      </c>
      <c r="G967" t="s">
        <v>691</v>
      </c>
    </row>
    <row r="968" spans="1:7" x14ac:dyDescent="0.25">
      <c r="A968" t="s">
        <v>986</v>
      </c>
      <c r="B968" t="s">
        <v>987</v>
      </c>
      <c r="C968" t="s">
        <v>988</v>
      </c>
      <c r="D968">
        <v>9</v>
      </c>
      <c r="E968" t="s">
        <v>416</v>
      </c>
      <c r="F968" t="s">
        <v>989</v>
      </c>
      <c r="G968" t="s">
        <v>605</v>
      </c>
    </row>
    <row r="969" spans="1:7" x14ac:dyDescent="0.25">
      <c r="A969" t="s">
        <v>990</v>
      </c>
      <c r="B969" t="s">
        <v>991</v>
      </c>
      <c r="C969" t="s">
        <v>992</v>
      </c>
      <c r="D969">
        <v>9</v>
      </c>
      <c r="E969" t="s">
        <v>416</v>
      </c>
      <c r="F969" t="s">
        <v>933</v>
      </c>
      <c r="G969" t="s">
        <v>10205</v>
      </c>
    </row>
    <row r="970" spans="1:7" x14ac:dyDescent="0.25">
      <c r="A970" t="s">
        <v>993</v>
      </c>
      <c r="B970" t="s">
        <v>994</v>
      </c>
      <c r="C970" t="s">
        <v>995</v>
      </c>
      <c r="D970">
        <v>9</v>
      </c>
      <c r="E970" t="s">
        <v>416</v>
      </c>
      <c r="F970" t="s">
        <v>996</v>
      </c>
      <c r="G970" t="s">
        <v>627</v>
      </c>
    </row>
    <row r="971" spans="1:7" x14ac:dyDescent="0.25">
      <c r="A971" t="s">
        <v>997</v>
      </c>
      <c r="B971" t="s">
        <v>998</v>
      </c>
      <c r="C971" t="s">
        <v>999</v>
      </c>
      <c r="D971">
        <v>9</v>
      </c>
      <c r="E971" t="s">
        <v>416</v>
      </c>
      <c r="F971" t="s">
        <v>955</v>
      </c>
      <c r="G971" t="s">
        <v>952</v>
      </c>
    </row>
    <row r="972" spans="1:7" x14ac:dyDescent="0.25">
      <c r="A972" t="s">
        <v>1000</v>
      </c>
      <c r="B972" t="s">
        <v>1001</v>
      </c>
      <c r="C972" t="s">
        <v>985</v>
      </c>
      <c r="D972">
        <v>9</v>
      </c>
      <c r="E972" t="s">
        <v>416</v>
      </c>
      <c r="F972" t="s">
        <v>740</v>
      </c>
      <c r="G972" t="s">
        <v>834</v>
      </c>
    </row>
    <row r="973" spans="1:7" x14ac:dyDescent="0.25">
      <c r="A973" t="s">
        <v>1002</v>
      </c>
      <c r="B973" t="s">
        <v>1003</v>
      </c>
      <c r="C973" t="s">
        <v>1004</v>
      </c>
      <c r="D973">
        <v>9</v>
      </c>
      <c r="E973" t="s">
        <v>416</v>
      </c>
      <c r="F973" t="s">
        <v>470</v>
      </c>
      <c r="G973" t="s">
        <v>721</v>
      </c>
    </row>
    <row r="974" spans="1:7" x14ac:dyDescent="0.25">
      <c r="A974" t="s">
        <v>1005</v>
      </c>
      <c r="B974" t="s">
        <v>1006</v>
      </c>
      <c r="C974" t="s">
        <v>1007</v>
      </c>
      <c r="D974">
        <v>9</v>
      </c>
      <c r="E974" t="s">
        <v>416</v>
      </c>
      <c r="F974" t="s">
        <v>740</v>
      </c>
      <c r="G974" t="s">
        <v>834</v>
      </c>
    </row>
    <row r="975" spans="1:7" x14ac:dyDescent="0.25">
      <c r="A975" t="s">
        <v>1008</v>
      </c>
      <c r="B975" t="s">
        <v>1009</v>
      </c>
      <c r="C975" t="s">
        <v>999</v>
      </c>
      <c r="D975">
        <v>9</v>
      </c>
      <c r="E975" t="s">
        <v>416</v>
      </c>
      <c r="F975" t="s">
        <v>470</v>
      </c>
      <c r="G975" t="s">
        <v>721</v>
      </c>
    </row>
    <row r="976" spans="1:7" x14ac:dyDescent="0.25">
      <c r="A976" t="s">
        <v>1011</v>
      </c>
      <c r="B976" t="s">
        <v>1012</v>
      </c>
      <c r="C976" t="s">
        <v>1013</v>
      </c>
      <c r="D976">
        <v>9</v>
      </c>
      <c r="E976" t="s">
        <v>416</v>
      </c>
      <c r="F976" t="s">
        <v>470</v>
      </c>
      <c r="G976" t="s">
        <v>721</v>
      </c>
    </row>
    <row r="977" spans="1:7" x14ac:dyDescent="0.25">
      <c r="A977" t="s">
        <v>1014</v>
      </c>
      <c r="B977" t="s">
        <v>1015</v>
      </c>
      <c r="C977" t="s">
        <v>683</v>
      </c>
      <c r="D977">
        <v>9</v>
      </c>
      <c r="E977" t="s">
        <v>416</v>
      </c>
      <c r="F977" t="s">
        <v>789</v>
      </c>
      <c r="G977" t="s">
        <v>784</v>
      </c>
    </row>
    <row r="978" spans="1:7" x14ac:dyDescent="0.25">
      <c r="A978" t="s">
        <v>1016</v>
      </c>
      <c r="B978" t="s">
        <v>1017</v>
      </c>
      <c r="C978" t="s">
        <v>683</v>
      </c>
      <c r="D978">
        <v>9</v>
      </c>
      <c r="E978" t="s">
        <v>416</v>
      </c>
      <c r="F978" t="s">
        <v>996</v>
      </c>
      <c r="G978" t="s">
        <v>627</v>
      </c>
    </row>
    <row r="979" spans="1:7" x14ac:dyDescent="0.25">
      <c r="A979" t="s">
        <v>12853</v>
      </c>
      <c r="B979" t="s">
        <v>12854</v>
      </c>
      <c r="C979" t="s">
        <v>12855</v>
      </c>
      <c r="D979">
        <v>9</v>
      </c>
      <c r="E979" t="s">
        <v>416</v>
      </c>
      <c r="F979" t="s">
        <v>711</v>
      </c>
      <c r="G979" t="s">
        <v>879</v>
      </c>
    </row>
    <row r="980" spans="1:7" x14ac:dyDescent="0.25">
      <c r="A980" t="s">
        <v>12858</v>
      </c>
      <c r="B980" t="s">
        <v>12859</v>
      </c>
      <c r="C980" t="s">
        <v>12860</v>
      </c>
      <c r="D980">
        <v>9</v>
      </c>
      <c r="E980" t="s">
        <v>416</v>
      </c>
      <c r="F980" t="s">
        <v>711</v>
      </c>
      <c r="G980" t="s">
        <v>879</v>
      </c>
    </row>
    <row r="981" spans="1:7" x14ac:dyDescent="0.25">
      <c r="A981" t="s">
        <v>12862</v>
      </c>
      <c r="B981" t="s">
        <v>12863</v>
      </c>
      <c r="C981" t="s">
        <v>12864</v>
      </c>
      <c r="D981">
        <v>9</v>
      </c>
      <c r="E981" t="s">
        <v>416</v>
      </c>
      <c r="F981" t="s">
        <v>711</v>
      </c>
      <c r="G981" t="s">
        <v>879</v>
      </c>
    </row>
    <row r="982" spans="1:7" x14ac:dyDescent="0.25">
      <c r="A982" t="s">
        <v>12867</v>
      </c>
      <c r="B982" t="s">
        <v>12868</v>
      </c>
      <c r="C982" t="s">
        <v>12869</v>
      </c>
      <c r="D982">
        <v>9</v>
      </c>
      <c r="E982" t="s">
        <v>416</v>
      </c>
      <c r="F982" t="s">
        <v>711</v>
      </c>
      <c r="G982" t="s">
        <v>879</v>
      </c>
    </row>
    <row r="983" spans="1:7" x14ac:dyDescent="0.25">
      <c r="A983" t="s">
        <v>12872</v>
      </c>
      <c r="B983" t="s">
        <v>12873</v>
      </c>
      <c r="C983" t="s">
        <v>12874</v>
      </c>
      <c r="D983">
        <v>9</v>
      </c>
      <c r="E983" t="s">
        <v>416</v>
      </c>
      <c r="F983" t="s">
        <v>711</v>
      </c>
      <c r="G983" t="s">
        <v>879</v>
      </c>
    </row>
    <row r="984" spans="1:7" x14ac:dyDescent="0.25">
      <c r="A984" t="s">
        <v>12877</v>
      </c>
      <c r="B984" t="s">
        <v>12878</v>
      </c>
      <c r="C984" t="s">
        <v>12879</v>
      </c>
      <c r="D984">
        <v>9</v>
      </c>
      <c r="E984" t="s">
        <v>416</v>
      </c>
      <c r="F984" t="s">
        <v>711</v>
      </c>
      <c r="G984" t="s">
        <v>879</v>
      </c>
    </row>
    <row r="985" spans="1:7" x14ac:dyDescent="0.25">
      <c r="A985" t="s">
        <v>12882</v>
      </c>
      <c r="B985" t="s">
        <v>12883</v>
      </c>
      <c r="C985" t="s">
        <v>12884</v>
      </c>
      <c r="D985">
        <v>9</v>
      </c>
      <c r="E985" t="s">
        <v>416</v>
      </c>
      <c r="F985" t="s">
        <v>711</v>
      </c>
      <c r="G985" t="s">
        <v>879</v>
      </c>
    </row>
    <row r="986" spans="1:7" x14ac:dyDescent="0.25">
      <c r="A986" t="s">
        <v>12886</v>
      </c>
      <c r="B986" t="s">
        <v>12887</v>
      </c>
      <c r="C986" t="s">
        <v>12888</v>
      </c>
      <c r="D986">
        <v>9</v>
      </c>
      <c r="E986" t="s">
        <v>12889</v>
      </c>
      <c r="F986" t="s">
        <v>711</v>
      </c>
      <c r="G986" t="s">
        <v>879</v>
      </c>
    </row>
    <row r="987" spans="1:7" x14ac:dyDescent="0.25">
      <c r="A987" t="s">
        <v>12893</v>
      </c>
      <c r="B987" t="s">
        <v>12894</v>
      </c>
      <c r="C987" t="s">
        <v>12895</v>
      </c>
      <c r="D987">
        <v>9</v>
      </c>
      <c r="E987" t="s">
        <v>416</v>
      </c>
      <c r="F987" t="s">
        <v>12900</v>
      </c>
      <c r="G987" t="s">
        <v>12900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BF2FB-7F99-46A0-8A0D-9C82AF2C9989}">
  <dimension ref="A1:B8"/>
  <sheetViews>
    <sheetView workbookViewId="0">
      <selection activeCell="A17" sqref="A17"/>
    </sheetView>
  </sheetViews>
  <sheetFormatPr defaultRowHeight="15" x14ac:dyDescent="0.25"/>
  <cols>
    <col min="1" max="1" width="57.42578125" bestFit="1" customWidth="1"/>
  </cols>
  <sheetData>
    <row r="1" spans="1:2" x14ac:dyDescent="0.25">
      <c r="A1" s="441"/>
      <c r="B1" s="441"/>
    </row>
    <row r="2" spans="1:2" x14ac:dyDescent="0.25">
      <c r="A2" t="s">
        <v>11889</v>
      </c>
      <c r="B2" t="s">
        <v>4039</v>
      </c>
    </row>
    <row r="3" spans="1:2" x14ac:dyDescent="0.25">
      <c r="A3" s="50" t="s">
        <v>28</v>
      </c>
      <c r="B3">
        <v>10</v>
      </c>
    </row>
    <row r="4" spans="1:2" x14ac:dyDescent="0.25">
      <c r="A4" s="50" t="s">
        <v>50</v>
      </c>
      <c r="B4">
        <v>8</v>
      </c>
    </row>
    <row r="5" spans="1:2" x14ac:dyDescent="0.25">
      <c r="A5" s="49" t="s">
        <v>13</v>
      </c>
      <c r="B5">
        <v>6</v>
      </c>
    </row>
    <row r="6" spans="1:2" x14ac:dyDescent="0.25">
      <c r="A6" s="49" t="s">
        <v>85</v>
      </c>
      <c r="B6">
        <v>4</v>
      </c>
    </row>
    <row r="7" spans="1:2" x14ac:dyDescent="0.25">
      <c r="A7" s="49" t="s">
        <v>98</v>
      </c>
      <c r="B7">
        <v>4</v>
      </c>
    </row>
    <row r="8" spans="1:2" x14ac:dyDescent="0.25">
      <c r="A8" s="50" t="s">
        <v>4</v>
      </c>
      <c r="B8">
        <v>2</v>
      </c>
    </row>
  </sheetData>
  <mergeCells count="1">
    <mergeCell ref="A1:B1"/>
  </mergeCells>
  <conditionalFormatting sqref="A3:A8">
    <cfRule type="expression" dxfId="3" priority="1">
      <formula>MOD(ROW(),2)=0</formula>
    </cfRule>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CC9E8-FAD8-498B-A07B-DE19138FE90D}">
  <dimension ref="A1:C772"/>
  <sheetViews>
    <sheetView workbookViewId="0">
      <selection activeCell="H7" sqref="H7"/>
    </sheetView>
  </sheetViews>
  <sheetFormatPr defaultRowHeight="15" x14ac:dyDescent="0.25"/>
  <cols>
    <col min="2" max="2" width="19.5703125" customWidth="1"/>
    <col min="3" max="3" width="24.5703125" customWidth="1"/>
  </cols>
  <sheetData>
    <row r="1" spans="1:3" x14ac:dyDescent="0.25">
      <c r="A1" s="314" t="s">
        <v>0</v>
      </c>
      <c r="B1" t="s">
        <v>12903</v>
      </c>
      <c r="C1" t="s">
        <v>12904</v>
      </c>
    </row>
    <row r="2" spans="1:3" ht="30" x14ac:dyDescent="0.25">
      <c r="A2" s="315" t="s">
        <v>1089</v>
      </c>
      <c r="B2">
        <v>3.8534841216620528</v>
      </c>
      <c r="C2">
        <v>706</v>
      </c>
    </row>
    <row r="3" spans="1:3" ht="30" x14ac:dyDescent="0.25">
      <c r="A3" s="316" t="s">
        <v>1102</v>
      </c>
      <c r="B3">
        <v>7.1956776545078451</v>
      </c>
      <c r="C3">
        <v>666</v>
      </c>
    </row>
    <row r="4" spans="1:3" ht="30" x14ac:dyDescent="0.25">
      <c r="A4" s="317" t="s">
        <v>1111</v>
      </c>
      <c r="B4">
        <v>10.328385548343299</v>
      </c>
      <c r="C4">
        <v>608</v>
      </c>
    </row>
    <row r="5" spans="1:3" ht="30" x14ac:dyDescent="0.25">
      <c r="A5" s="316" t="s">
        <v>1119</v>
      </c>
      <c r="B5">
        <v>3.1444191270987076</v>
      </c>
      <c r="C5">
        <v>714</v>
      </c>
    </row>
    <row r="6" spans="1:3" ht="30" x14ac:dyDescent="0.25">
      <c r="A6" s="317" t="s">
        <v>1128</v>
      </c>
      <c r="B6">
        <v>7.6675135862116868</v>
      </c>
      <c r="C6">
        <v>657</v>
      </c>
    </row>
    <row r="7" spans="1:3" ht="30" x14ac:dyDescent="0.25">
      <c r="A7" s="316" t="s">
        <v>1137</v>
      </c>
      <c r="B7">
        <v>2</v>
      </c>
      <c r="C7">
        <v>741</v>
      </c>
    </row>
    <row r="8" spans="1:3" ht="30" x14ac:dyDescent="0.25">
      <c r="A8" s="317" t="s">
        <v>1146</v>
      </c>
      <c r="B8">
        <v>2.4348883954330041</v>
      </c>
      <c r="C8">
        <v>726</v>
      </c>
    </row>
    <row r="9" spans="1:3" ht="30" x14ac:dyDescent="0.25">
      <c r="A9" s="316" t="s">
        <v>1155</v>
      </c>
      <c r="B9">
        <v>7.4707597714591554</v>
      </c>
      <c r="C9">
        <v>659</v>
      </c>
    </row>
    <row r="10" spans="1:3" ht="30" x14ac:dyDescent="0.25">
      <c r="A10" s="317" t="s">
        <v>1164</v>
      </c>
      <c r="B10">
        <v>2.0227282446792123</v>
      </c>
      <c r="C10">
        <v>739</v>
      </c>
    </row>
    <row r="11" spans="1:3" ht="30" x14ac:dyDescent="0.25">
      <c r="A11" s="316" t="s">
        <v>1171</v>
      </c>
      <c r="B11">
        <v>2</v>
      </c>
      <c r="C11">
        <v>741</v>
      </c>
    </row>
    <row r="12" spans="1:3" ht="30" x14ac:dyDescent="0.25">
      <c r="A12" s="317" t="s">
        <v>1179</v>
      </c>
      <c r="B12">
        <v>2.1827131055235767</v>
      </c>
      <c r="C12">
        <v>731</v>
      </c>
    </row>
    <row r="13" spans="1:3" ht="30" x14ac:dyDescent="0.25">
      <c r="A13" s="316" t="s">
        <v>1187</v>
      </c>
      <c r="B13">
        <v>2.5668772137816758</v>
      </c>
      <c r="C13">
        <v>720</v>
      </c>
    </row>
    <row r="14" spans="1:3" ht="30" x14ac:dyDescent="0.25">
      <c r="A14" s="317" t="s">
        <v>1195</v>
      </c>
      <c r="B14">
        <v>2.2606349928409615</v>
      </c>
      <c r="C14">
        <v>728</v>
      </c>
    </row>
    <row r="15" spans="1:3" ht="30" x14ac:dyDescent="0.25">
      <c r="A15" s="316" t="s">
        <v>1204</v>
      </c>
      <c r="B15">
        <v>2.799614578921763</v>
      </c>
      <c r="C15">
        <v>717</v>
      </c>
    </row>
    <row r="16" spans="1:3" ht="30" x14ac:dyDescent="0.25">
      <c r="A16" s="317" t="s">
        <v>1213</v>
      </c>
      <c r="B16">
        <v>8.3419711744618485</v>
      </c>
      <c r="C16">
        <v>647</v>
      </c>
    </row>
    <row r="17" spans="1:3" ht="30" x14ac:dyDescent="0.25">
      <c r="A17" s="316" t="s">
        <v>1222</v>
      </c>
      <c r="B17">
        <v>2</v>
      </c>
      <c r="C17">
        <v>741</v>
      </c>
    </row>
    <row r="18" spans="1:3" ht="30" x14ac:dyDescent="0.25">
      <c r="A18" s="317" t="s">
        <v>1229</v>
      </c>
      <c r="B18">
        <v>2</v>
      </c>
      <c r="C18">
        <v>741</v>
      </c>
    </row>
    <row r="19" spans="1:3" ht="30" x14ac:dyDescent="0.25">
      <c r="A19" s="316" t="s">
        <v>1237</v>
      </c>
      <c r="B19">
        <v>2.0735607583183788</v>
      </c>
      <c r="C19">
        <v>735</v>
      </c>
    </row>
    <row r="20" spans="1:3" ht="30" x14ac:dyDescent="0.25">
      <c r="A20" s="317" t="s">
        <v>1245</v>
      </c>
      <c r="B20">
        <v>2.0896297764268317</v>
      </c>
      <c r="C20">
        <v>734</v>
      </c>
    </row>
    <row r="21" spans="1:3" ht="30" x14ac:dyDescent="0.25">
      <c r="A21" s="316" t="s">
        <v>1253</v>
      </c>
      <c r="B21">
        <v>11.161511180625432</v>
      </c>
      <c r="C21">
        <v>597</v>
      </c>
    </row>
    <row r="22" spans="1:3" ht="30" x14ac:dyDescent="0.25">
      <c r="A22" s="317" t="s">
        <v>1262</v>
      </c>
      <c r="B22">
        <v>13.053992329994438</v>
      </c>
      <c r="C22">
        <v>559</v>
      </c>
    </row>
    <row r="23" spans="1:3" ht="30" x14ac:dyDescent="0.25">
      <c r="A23" s="316" t="s">
        <v>1271</v>
      </c>
      <c r="B23">
        <v>2.5580409819605592</v>
      </c>
      <c r="C23">
        <v>721</v>
      </c>
    </row>
    <row r="24" spans="1:3" ht="30" x14ac:dyDescent="0.25">
      <c r="A24" s="317" t="s">
        <v>1277</v>
      </c>
      <c r="B24">
        <v>15.904937199368488</v>
      </c>
      <c r="C24">
        <v>513</v>
      </c>
    </row>
    <row r="25" spans="1:3" ht="30" x14ac:dyDescent="0.25">
      <c r="A25" s="316" t="s">
        <v>1286</v>
      </c>
      <c r="B25">
        <v>11.783351961305934</v>
      </c>
      <c r="C25">
        <v>582</v>
      </c>
    </row>
    <row r="26" spans="1:3" ht="30" x14ac:dyDescent="0.25">
      <c r="A26" s="317" t="s">
        <v>1294</v>
      </c>
      <c r="B26">
        <v>2</v>
      </c>
      <c r="C26">
        <v>741</v>
      </c>
    </row>
    <row r="27" spans="1:3" ht="30" x14ac:dyDescent="0.25">
      <c r="A27" s="316" t="s">
        <v>1302</v>
      </c>
      <c r="B27">
        <v>2</v>
      </c>
      <c r="C27">
        <v>741</v>
      </c>
    </row>
    <row r="28" spans="1:3" ht="30" x14ac:dyDescent="0.25">
      <c r="A28" s="317" t="s">
        <v>1311</v>
      </c>
      <c r="B28">
        <v>7.4315206471277655</v>
      </c>
      <c r="C28">
        <v>660</v>
      </c>
    </row>
    <row r="29" spans="1:3" ht="30" x14ac:dyDescent="0.25">
      <c r="A29" s="316" t="s">
        <v>1320</v>
      </c>
      <c r="B29">
        <v>17.923220799661351</v>
      </c>
      <c r="C29">
        <v>464</v>
      </c>
    </row>
    <row r="30" spans="1:3" ht="30" x14ac:dyDescent="0.25">
      <c r="A30" s="317" t="s">
        <v>1327</v>
      </c>
      <c r="B30">
        <v>22.822773905605203</v>
      </c>
      <c r="C30">
        <v>361</v>
      </c>
    </row>
    <row r="31" spans="1:3" ht="30" x14ac:dyDescent="0.25">
      <c r="A31" s="316" t="s">
        <v>1333</v>
      </c>
      <c r="B31">
        <v>11.509196825428813</v>
      </c>
      <c r="C31">
        <v>589</v>
      </c>
    </row>
    <row r="32" spans="1:3" ht="30" x14ac:dyDescent="0.25">
      <c r="A32" s="317" t="s">
        <v>1342</v>
      </c>
      <c r="B32">
        <v>26.581203165685764</v>
      </c>
      <c r="C32">
        <v>273</v>
      </c>
    </row>
    <row r="33" spans="1:3" ht="30" x14ac:dyDescent="0.25">
      <c r="A33" s="316" t="s">
        <v>1348</v>
      </c>
      <c r="B33">
        <v>22.554225131699617</v>
      </c>
      <c r="C33">
        <v>378</v>
      </c>
    </row>
    <row r="34" spans="1:3" ht="30" x14ac:dyDescent="0.25">
      <c r="A34" s="317" t="s">
        <v>1355</v>
      </c>
      <c r="B34">
        <v>23.271785998821894</v>
      </c>
      <c r="C34">
        <v>351</v>
      </c>
    </row>
    <row r="35" spans="1:3" ht="30" x14ac:dyDescent="0.25">
      <c r="A35" s="316" t="s">
        <v>1361</v>
      </c>
      <c r="B35">
        <v>27.737827566237407</v>
      </c>
      <c r="C35">
        <v>228</v>
      </c>
    </row>
    <row r="36" spans="1:3" ht="30" x14ac:dyDescent="0.25">
      <c r="A36" s="317" t="s">
        <v>1367</v>
      </c>
      <c r="B36">
        <v>26.369724371408516</v>
      </c>
      <c r="C36">
        <v>285</v>
      </c>
    </row>
    <row r="37" spans="1:3" ht="30" x14ac:dyDescent="0.25">
      <c r="A37" s="316" t="s">
        <v>1374</v>
      </c>
      <c r="B37">
        <v>31.463345261310504</v>
      </c>
      <c r="C37">
        <v>163</v>
      </c>
    </row>
    <row r="38" spans="1:3" ht="30" x14ac:dyDescent="0.25">
      <c r="A38" s="317" t="s">
        <v>1381</v>
      </c>
      <c r="B38">
        <v>19.340362306869103</v>
      </c>
      <c r="C38">
        <v>444</v>
      </c>
    </row>
    <row r="39" spans="1:3" ht="30" x14ac:dyDescent="0.25">
      <c r="A39" s="316" t="s">
        <v>1387</v>
      </c>
      <c r="B39">
        <v>27.424728658689205</v>
      </c>
      <c r="C39">
        <v>241</v>
      </c>
    </row>
    <row r="40" spans="1:3" ht="30" x14ac:dyDescent="0.25">
      <c r="A40" s="317" t="s">
        <v>1393</v>
      </c>
      <c r="B40">
        <v>21.761203473386708</v>
      </c>
      <c r="C40">
        <v>402</v>
      </c>
    </row>
    <row r="41" spans="1:3" ht="30" x14ac:dyDescent="0.25">
      <c r="A41" s="316" t="s">
        <v>1439</v>
      </c>
      <c r="B41">
        <v>26.647020269303276</v>
      </c>
      <c r="C41">
        <v>272</v>
      </c>
    </row>
    <row r="42" spans="1:3" ht="30" x14ac:dyDescent="0.25">
      <c r="A42" s="317" t="s">
        <v>1398</v>
      </c>
      <c r="B42">
        <v>26.300381650545447</v>
      </c>
      <c r="C42">
        <v>286</v>
      </c>
    </row>
    <row r="43" spans="1:3" ht="30" x14ac:dyDescent="0.25">
      <c r="A43" s="316" t="s">
        <v>1404</v>
      </c>
      <c r="B43">
        <v>23.987417180342273</v>
      </c>
      <c r="C43">
        <v>332</v>
      </c>
    </row>
    <row r="44" spans="1:3" ht="30" x14ac:dyDescent="0.25">
      <c r="A44" s="317" t="s">
        <v>1410</v>
      </c>
      <c r="B44">
        <v>32.357000279302298</v>
      </c>
      <c r="C44">
        <v>150</v>
      </c>
    </row>
    <row r="45" spans="1:3" ht="30" x14ac:dyDescent="0.25">
      <c r="A45" s="316" t="s">
        <v>1417</v>
      </c>
      <c r="B45">
        <v>22.083351499796724</v>
      </c>
      <c r="C45">
        <v>393</v>
      </c>
    </row>
    <row r="46" spans="1:3" ht="30" x14ac:dyDescent="0.25">
      <c r="A46" s="317" t="s">
        <v>1424</v>
      </c>
      <c r="B46">
        <v>22.920380897180152</v>
      </c>
      <c r="C46">
        <v>357</v>
      </c>
    </row>
    <row r="47" spans="1:3" ht="30" x14ac:dyDescent="0.25">
      <c r="A47" s="316" t="s">
        <v>1446</v>
      </c>
      <c r="B47">
        <v>51.666899919221841</v>
      </c>
      <c r="C47">
        <v>18</v>
      </c>
    </row>
    <row r="48" spans="1:3" ht="30" x14ac:dyDescent="0.25">
      <c r="A48" s="317" t="s">
        <v>1451</v>
      </c>
      <c r="B48">
        <v>51.666899919221841</v>
      </c>
      <c r="C48">
        <v>18</v>
      </c>
    </row>
    <row r="49" spans="1:3" ht="30" x14ac:dyDescent="0.25">
      <c r="A49" s="316" t="s">
        <v>1484</v>
      </c>
      <c r="B49">
        <v>30.674584161940832</v>
      </c>
      <c r="C49">
        <v>174</v>
      </c>
    </row>
    <row r="50" spans="1:3" ht="30" x14ac:dyDescent="0.25">
      <c r="A50" s="317" t="s">
        <v>1495</v>
      </c>
      <c r="B50">
        <v>30.674584161940832</v>
      </c>
      <c r="C50">
        <v>174</v>
      </c>
    </row>
    <row r="51" spans="1:3" ht="30" x14ac:dyDescent="0.25">
      <c r="A51" s="316" t="s">
        <v>1499</v>
      </c>
      <c r="B51">
        <v>31.174584161940832</v>
      </c>
      <c r="C51">
        <v>166</v>
      </c>
    </row>
    <row r="52" spans="1:3" ht="30" x14ac:dyDescent="0.25">
      <c r="A52" s="317" t="s">
        <v>1503</v>
      </c>
      <c r="B52">
        <v>31.174584161940832</v>
      </c>
      <c r="C52">
        <v>166</v>
      </c>
    </row>
    <row r="53" spans="1:3" ht="30" x14ac:dyDescent="0.25">
      <c r="A53" s="316" t="s">
        <v>1454</v>
      </c>
      <c r="B53">
        <v>22.332792423915571</v>
      </c>
      <c r="C53">
        <v>385</v>
      </c>
    </row>
    <row r="54" spans="1:3" ht="30" x14ac:dyDescent="0.25">
      <c r="A54" s="317" t="s">
        <v>1465</v>
      </c>
      <c r="B54">
        <v>31.984851045048387</v>
      </c>
      <c r="C54">
        <v>152</v>
      </c>
    </row>
    <row r="55" spans="1:3" ht="30" x14ac:dyDescent="0.25">
      <c r="A55" s="316" t="s">
        <v>1469</v>
      </c>
      <c r="B55">
        <v>22.832792423915571</v>
      </c>
      <c r="C55">
        <v>359</v>
      </c>
    </row>
    <row r="56" spans="1:3" ht="30" x14ac:dyDescent="0.25">
      <c r="A56" s="317" t="s">
        <v>1472</v>
      </c>
      <c r="B56">
        <v>20.832792423915571</v>
      </c>
      <c r="C56">
        <v>423</v>
      </c>
    </row>
    <row r="57" spans="1:3" ht="30" x14ac:dyDescent="0.25">
      <c r="A57" s="316" t="s">
        <v>1475</v>
      </c>
      <c r="B57">
        <v>22.332792423915571</v>
      </c>
      <c r="C57">
        <v>385</v>
      </c>
    </row>
    <row r="58" spans="1:3" ht="30" x14ac:dyDescent="0.25">
      <c r="A58" s="317" t="s">
        <v>1478</v>
      </c>
      <c r="B58">
        <v>21.332792423915571</v>
      </c>
      <c r="C58">
        <v>415</v>
      </c>
    </row>
    <row r="59" spans="1:3" ht="30" x14ac:dyDescent="0.25">
      <c r="A59" s="316" t="s">
        <v>1506</v>
      </c>
      <c r="B59">
        <v>43.019307146746506</v>
      </c>
      <c r="C59">
        <v>59</v>
      </c>
    </row>
    <row r="60" spans="1:3" ht="30" x14ac:dyDescent="0.25">
      <c r="A60" s="317" t="s">
        <v>1430</v>
      </c>
      <c r="B60">
        <v>2.0696600400321512</v>
      </c>
      <c r="C60">
        <v>738</v>
      </c>
    </row>
    <row r="61" spans="1:3" ht="30" x14ac:dyDescent="0.25">
      <c r="A61" s="316" t="s">
        <v>1481</v>
      </c>
      <c r="B61">
        <v>52.166899919221841</v>
      </c>
      <c r="C61">
        <v>17</v>
      </c>
    </row>
    <row r="62" spans="1:3" ht="30" x14ac:dyDescent="0.25">
      <c r="A62" s="317" t="s">
        <v>1513</v>
      </c>
      <c r="B62">
        <v>5.6651866884602287</v>
      </c>
      <c r="C62">
        <v>687</v>
      </c>
    </row>
    <row r="63" spans="1:3" ht="30" x14ac:dyDescent="0.25">
      <c r="A63" s="316" t="s">
        <v>1526</v>
      </c>
      <c r="B63">
        <v>10.252431473129471</v>
      </c>
      <c r="C63">
        <v>609</v>
      </c>
    </row>
    <row r="64" spans="1:3" ht="30" x14ac:dyDescent="0.25">
      <c r="A64" s="317" t="s">
        <v>1535</v>
      </c>
      <c r="B64">
        <v>7.0696151975222774</v>
      </c>
      <c r="C64">
        <v>667</v>
      </c>
    </row>
    <row r="65" spans="1:3" ht="30" x14ac:dyDescent="0.25">
      <c r="A65" s="316" t="s">
        <v>1543</v>
      </c>
      <c r="B65">
        <v>2.9383640048495892</v>
      </c>
      <c r="C65">
        <v>715</v>
      </c>
    </row>
    <row r="66" spans="1:3" ht="30" x14ac:dyDescent="0.25">
      <c r="A66" s="317" t="s">
        <v>1551</v>
      </c>
      <c r="B66">
        <v>5.4208066949321756</v>
      </c>
      <c r="C66">
        <v>691</v>
      </c>
    </row>
    <row r="67" spans="1:3" ht="30" x14ac:dyDescent="0.25">
      <c r="A67" s="316" t="s">
        <v>1558</v>
      </c>
      <c r="B67">
        <v>2.7874758416182384</v>
      </c>
      <c r="C67">
        <v>718</v>
      </c>
    </row>
    <row r="68" spans="1:3" ht="30" x14ac:dyDescent="0.25">
      <c r="A68" s="317" t="s">
        <v>1566</v>
      </c>
      <c r="B68">
        <v>25.975655399391073</v>
      </c>
      <c r="C68">
        <v>297</v>
      </c>
    </row>
    <row r="69" spans="1:3" ht="30" x14ac:dyDescent="0.25">
      <c r="A69" s="316" t="s">
        <v>1735</v>
      </c>
      <c r="B69">
        <v>4.6593972000474739</v>
      </c>
      <c r="C69">
        <v>695</v>
      </c>
    </row>
    <row r="70" spans="1:3" ht="30" x14ac:dyDescent="0.25">
      <c r="A70" s="317" t="s">
        <v>1573</v>
      </c>
      <c r="B70">
        <v>6.7645208123177438</v>
      </c>
      <c r="C70">
        <v>673</v>
      </c>
    </row>
    <row r="71" spans="1:3" ht="30" x14ac:dyDescent="0.25">
      <c r="A71" s="316" t="s">
        <v>1581</v>
      </c>
      <c r="B71">
        <v>33.961906694691066</v>
      </c>
      <c r="C71">
        <v>133</v>
      </c>
    </row>
    <row r="72" spans="1:3" ht="30" x14ac:dyDescent="0.25">
      <c r="A72" s="317" t="s">
        <v>1588</v>
      </c>
      <c r="B72">
        <v>22.084338694771198</v>
      </c>
      <c r="C72">
        <v>392</v>
      </c>
    </row>
    <row r="73" spans="1:3" ht="30" x14ac:dyDescent="0.25">
      <c r="A73" s="316" t="s">
        <v>1596</v>
      </c>
      <c r="B73">
        <v>29.263371559216843</v>
      </c>
      <c r="C73">
        <v>201</v>
      </c>
    </row>
    <row r="74" spans="1:3" ht="30" x14ac:dyDescent="0.25">
      <c r="A74" s="317" t="s">
        <v>1601</v>
      </c>
      <c r="B74">
        <v>23.368218792507125</v>
      </c>
      <c r="C74">
        <v>347</v>
      </c>
    </row>
    <row r="75" spans="1:3" ht="30" x14ac:dyDescent="0.25">
      <c r="A75" s="316" t="s">
        <v>1608</v>
      </c>
      <c r="B75">
        <v>33.488422754541752</v>
      </c>
      <c r="C75">
        <v>137</v>
      </c>
    </row>
    <row r="76" spans="1:3" ht="30" x14ac:dyDescent="0.25">
      <c r="A76" s="317" t="s">
        <v>1614</v>
      </c>
      <c r="B76">
        <v>24.750427506556534</v>
      </c>
      <c r="C76">
        <v>315</v>
      </c>
    </row>
    <row r="77" spans="1:3" ht="30" x14ac:dyDescent="0.25">
      <c r="A77" s="316" t="s">
        <v>1621</v>
      </c>
      <c r="B77">
        <v>33.568058126690275</v>
      </c>
      <c r="C77">
        <v>136</v>
      </c>
    </row>
    <row r="78" spans="1:3" ht="30" x14ac:dyDescent="0.25">
      <c r="A78" s="317" t="s">
        <v>1626</v>
      </c>
      <c r="B78">
        <v>27.412165576611798</v>
      </c>
      <c r="C78">
        <v>243</v>
      </c>
    </row>
    <row r="79" spans="1:3" ht="30" x14ac:dyDescent="0.25">
      <c r="A79" s="316" t="s">
        <v>1632</v>
      </c>
      <c r="B79">
        <v>28.596688544502658</v>
      </c>
      <c r="C79">
        <v>217</v>
      </c>
    </row>
    <row r="80" spans="1:3" ht="30" x14ac:dyDescent="0.25">
      <c r="A80" s="317" t="s">
        <v>1639</v>
      </c>
      <c r="B80">
        <v>34.551066733435768</v>
      </c>
      <c r="C80">
        <v>112</v>
      </c>
    </row>
    <row r="81" spans="1:3" ht="30" x14ac:dyDescent="0.25">
      <c r="A81" s="316" t="s">
        <v>1645</v>
      </c>
      <c r="B81">
        <v>22.205833520210419</v>
      </c>
      <c r="C81">
        <v>390</v>
      </c>
    </row>
    <row r="82" spans="1:3" ht="30" x14ac:dyDescent="0.25">
      <c r="A82" s="317" t="s">
        <v>1652</v>
      </c>
      <c r="B82">
        <v>23.223604325111456</v>
      </c>
      <c r="C82">
        <v>353</v>
      </c>
    </row>
    <row r="83" spans="1:3" ht="30" x14ac:dyDescent="0.25">
      <c r="A83" s="316" t="s">
        <v>1660</v>
      </c>
      <c r="B83">
        <v>28.837730613389777</v>
      </c>
      <c r="C83">
        <v>212</v>
      </c>
    </row>
    <row r="84" spans="1:3" ht="30" x14ac:dyDescent="0.25">
      <c r="A84" s="317" t="s">
        <v>1666</v>
      </c>
      <c r="B84">
        <v>28.906257932633064</v>
      </c>
      <c r="C84">
        <v>210</v>
      </c>
    </row>
    <row r="85" spans="1:3" ht="30" x14ac:dyDescent="0.25">
      <c r="A85" s="316" t="s">
        <v>1733</v>
      </c>
      <c r="B85">
        <v>27.0547276492041</v>
      </c>
      <c r="C85">
        <v>259</v>
      </c>
    </row>
    <row r="86" spans="1:3" ht="30" x14ac:dyDescent="0.25">
      <c r="A86" s="317" t="s">
        <v>1682</v>
      </c>
      <c r="B86">
        <v>17.32546348089177</v>
      </c>
      <c r="C86">
        <v>474</v>
      </c>
    </row>
    <row r="87" spans="1:3" ht="30" x14ac:dyDescent="0.25">
      <c r="A87" s="316" t="s">
        <v>1689</v>
      </c>
      <c r="B87">
        <v>12.118716807529674</v>
      </c>
      <c r="C87">
        <v>577</v>
      </c>
    </row>
    <row r="88" spans="1:3" ht="30" x14ac:dyDescent="0.25">
      <c r="A88" s="317" t="s">
        <v>1696</v>
      </c>
      <c r="B88">
        <v>26.475655399391073</v>
      </c>
      <c r="C88">
        <v>279</v>
      </c>
    </row>
    <row r="89" spans="1:3" ht="30" x14ac:dyDescent="0.25">
      <c r="A89" s="316" t="s">
        <v>1701</v>
      </c>
      <c r="B89">
        <v>34.068058126690275</v>
      </c>
      <c r="C89">
        <v>123</v>
      </c>
    </row>
    <row r="90" spans="1:3" ht="30" x14ac:dyDescent="0.25">
      <c r="A90" s="317" t="s">
        <v>1705</v>
      </c>
      <c r="B90">
        <v>23.700783159618524</v>
      </c>
      <c r="C90">
        <v>340</v>
      </c>
    </row>
    <row r="91" spans="1:3" ht="30" x14ac:dyDescent="0.25">
      <c r="A91" s="316" t="s">
        <v>1713</v>
      </c>
      <c r="B91">
        <v>33.488422754541752</v>
      </c>
      <c r="C91">
        <v>137</v>
      </c>
    </row>
    <row r="92" spans="1:3" ht="30" x14ac:dyDescent="0.25">
      <c r="A92" s="317" t="s">
        <v>1716</v>
      </c>
      <c r="B92">
        <v>5.5219358757650312</v>
      </c>
      <c r="C92">
        <v>689</v>
      </c>
    </row>
    <row r="93" spans="1:3" ht="30" x14ac:dyDescent="0.25">
      <c r="A93" s="316" t="s">
        <v>1726</v>
      </c>
      <c r="B93">
        <v>5.7190024990599353</v>
      </c>
      <c r="C93">
        <v>686</v>
      </c>
    </row>
    <row r="94" spans="1:3" ht="30" x14ac:dyDescent="0.25">
      <c r="A94" s="317" t="s">
        <v>1673</v>
      </c>
      <c r="B94">
        <v>27.0547276492041</v>
      </c>
      <c r="C94">
        <v>259</v>
      </c>
    </row>
    <row r="95" spans="1:3" ht="30" x14ac:dyDescent="0.25">
      <c r="A95" s="316" t="s">
        <v>1750</v>
      </c>
      <c r="B95">
        <v>44.602492517244471</v>
      </c>
      <c r="C95">
        <v>52</v>
      </c>
    </row>
    <row r="96" spans="1:3" ht="30" x14ac:dyDescent="0.25">
      <c r="A96" s="317" t="s">
        <v>1760</v>
      </c>
      <c r="B96">
        <v>22.576392158574421</v>
      </c>
      <c r="C96">
        <v>376</v>
      </c>
    </row>
    <row r="97" spans="1:3" ht="30" x14ac:dyDescent="0.25">
      <c r="A97" s="316" t="s">
        <v>1754</v>
      </c>
      <c r="B97">
        <v>44.602492517244471</v>
      </c>
      <c r="C97">
        <v>52</v>
      </c>
    </row>
    <row r="98" spans="1:3" ht="30" x14ac:dyDescent="0.25">
      <c r="A98" s="317" t="s">
        <v>1741</v>
      </c>
      <c r="B98">
        <v>45.102492517244471</v>
      </c>
      <c r="C98">
        <v>51</v>
      </c>
    </row>
    <row r="99" spans="1:3" ht="30" x14ac:dyDescent="0.25">
      <c r="A99" s="316" t="s">
        <v>1757</v>
      </c>
      <c r="B99">
        <v>45.602492517244471</v>
      </c>
      <c r="C99">
        <v>46</v>
      </c>
    </row>
    <row r="100" spans="1:3" ht="30" x14ac:dyDescent="0.25">
      <c r="A100" s="317" t="s">
        <v>2048</v>
      </c>
      <c r="B100">
        <v>9.0785835657378087</v>
      </c>
      <c r="C100">
        <v>629</v>
      </c>
    </row>
    <row r="101" spans="1:3" ht="30" x14ac:dyDescent="0.25">
      <c r="A101" s="316" t="s">
        <v>2054</v>
      </c>
      <c r="B101">
        <v>12.3161551701441</v>
      </c>
      <c r="C101">
        <v>574</v>
      </c>
    </row>
    <row r="102" spans="1:3" ht="30" x14ac:dyDescent="0.25">
      <c r="A102" s="317" t="s">
        <v>1863</v>
      </c>
      <c r="B102">
        <v>35.942574206337966</v>
      </c>
      <c r="C102">
        <v>98</v>
      </c>
    </row>
    <row r="103" spans="1:3" ht="30" x14ac:dyDescent="0.25">
      <c r="A103" s="316" t="s">
        <v>1875</v>
      </c>
      <c r="B103">
        <v>22.637021571694525</v>
      </c>
      <c r="C103">
        <v>372</v>
      </c>
    </row>
    <row r="104" spans="1:3" ht="30" x14ac:dyDescent="0.25">
      <c r="A104" s="317" t="s">
        <v>1882</v>
      </c>
      <c r="B104">
        <v>16.188196519403864</v>
      </c>
      <c r="C104">
        <v>505</v>
      </c>
    </row>
    <row r="105" spans="1:3" ht="30" x14ac:dyDescent="0.25">
      <c r="A105" s="316" t="s">
        <v>2061</v>
      </c>
      <c r="B105">
        <v>26.928606761846268</v>
      </c>
      <c r="C105">
        <v>262</v>
      </c>
    </row>
    <row r="106" spans="1:3" ht="30" x14ac:dyDescent="0.25">
      <c r="A106" s="317" t="s">
        <v>2068</v>
      </c>
      <c r="B106">
        <v>12.457487410990037</v>
      </c>
      <c r="C106">
        <v>572</v>
      </c>
    </row>
    <row r="107" spans="1:3" ht="30" x14ac:dyDescent="0.25">
      <c r="A107" s="316" t="s">
        <v>1890</v>
      </c>
      <c r="B107">
        <v>12.511294587207356</v>
      </c>
      <c r="C107">
        <v>571</v>
      </c>
    </row>
    <row r="108" spans="1:3" ht="30" x14ac:dyDescent="0.25">
      <c r="A108" s="317" t="s">
        <v>2074</v>
      </c>
      <c r="B108">
        <v>24.343975108941354</v>
      </c>
      <c r="C108">
        <v>324</v>
      </c>
    </row>
    <row r="109" spans="1:3" ht="30" x14ac:dyDescent="0.25">
      <c r="A109" s="316" t="s">
        <v>1896</v>
      </c>
      <c r="B109">
        <v>27.556258680379138</v>
      </c>
      <c r="C109">
        <v>235</v>
      </c>
    </row>
    <row r="110" spans="1:3" ht="30" x14ac:dyDescent="0.25">
      <c r="A110" s="317" t="s">
        <v>1954</v>
      </c>
      <c r="B110">
        <v>23.302427399927659</v>
      </c>
      <c r="C110">
        <v>350</v>
      </c>
    </row>
    <row r="111" spans="1:3" ht="30" x14ac:dyDescent="0.25">
      <c r="A111" s="316" t="s">
        <v>2097</v>
      </c>
      <c r="B111">
        <v>27.245580790457272</v>
      </c>
      <c r="C111">
        <v>248</v>
      </c>
    </row>
    <row r="112" spans="1:3" ht="30" x14ac:dyDescent="0.25">
      <c r="A112" s="317" t="s">
        <v>1903</v>
      </c>
      <c r="B112">
        <v>12.250146660603436</v>
      </c>
      <c r="C112">
        <v>576</v>
      </c>
    </row>
    <row r="113" spans="1:3" ht="30" x14ac:dyDescent="0.25">
      <c r="A113" s="316" t="s">
        <v>1910</v>
      </c>
      <c r="B113">
        <v>20.928769642155025</v>
      </c>
      <c r="C113">
        <v>422</v>
      </c>
    </row>
    <row r="114" spans="1:3" ht="30" x14ac:dyDescent="0.25">
      <c r="A114" s="317" t="s">
        <v>2081</v>
      </c>
      <c r="B114">
        <v>17.303590554425355</v>
      </c>
      <c r="C114">
        <v>475</v>
      </c>
    </row>
    <row r="115" spans="1:3" ht="30" x14ac:dyDescent="0.25">
      <c r="A115" s="316" t="s">
        <v>2095</v>
      </c>
      <c r="B115">
        <v>29.522216734877816</v>
      </c>
      <c r="C115">
        <v>197</v>
      </c>
    </row>
    <row r="116" spans="1:3" ht="30" x14ac:dyDescent="0.25">
      <c r="A116" s="317" t="s">
        <v>2088</v>
      </c>
      <c r="B116">
        <v>29.522216734877816</v>
      </c>
      <c r="C116">
        <v>197</v>
      </c>
    </row>
    <row r="117" spans="1:3" ht="30" x14ac:dyDescent="0.25">
      <c r="A117" s="316" t="s">
        <v>2100</v>
      </c>
      <c r="B117">
        <v>24.867666113149355</v>
      </c>
      <c r="C117">
        <v>314</v>
      </c>
    </row>
    <row r="118" spans="1:3" ht="30" x14ac:dyDescent="0.25">
      <c r="A118" s="317" t="s">
        <v>1823</v>
      </c>
      <c r="B118">
        <v>47.460297047908156</v>
      </c>
      <c r="C118">
        <v>24</v>
      </c>
    </row>
    <row r="119" spans="1:3" ht="30" x14ac:dyDescent="0.25">
      <c r="A119" s="316" t="s">
        <v>1784</v>
      </c>
      <c r="B119">
        <v>28.447562296920061</v>
      </c>
      <c r="C119">
        <v>221</v>
      </c>
    </row>
    <row r="120" spans="1:3" ht="30" x14ac:dyDescent="0.25">
      <c r="A120" s="317" t="s">
        <v>2104</v>
      </c>
      <c r="B120">
        <v>26.027449265737594</v>
      </c>
      <c r="C120">
        <v>293</v>
      </c>
    </row>
    <row r="121" spans="1:3" ht="30" x14ac:dyDescent="0.25">
      <c r="A121" s="316" t="s">
        <v>1915</v>
      </c>
      <c r="B121">
        <v>18.971858134249324</v>
      </c>
      <c r="C121">
        <v>450</v>
      </c>
    </row>
    <row r="122" spans="1:3" ht="30" x14ac:dyDescent="0.25">
      <c r="A122" s="317" t="s">
        <v>1827</v>
      </c>
      <c r="B122">
        <v>25.288289476381017</v>
      </c>
      <c r="C122">
        <v>309</v>
      </c>
    </row>
    <row r="123" spans="1:3" ht="30" x14ac:dyDescent="0.25">
      <c r="A123" s="316" t="s">
        <v>2110</v>
      </c>
      <c r="B123">
        <v>7.2932022209657772</v>
      </c>
      <c r="C123">
        <v>663</v>
      </c>
    </row>
    <row r="124" spans="1:3" ht="30" x14ac:dyDescent="0.25">
      <c r="A124" s="317" t="s">
        <v>2118</v>
      </c>
      <c r="B124">
        <v>13.608846696084733</v>
      </c>
      <c r="C124">
        <v>551</v>
      </c>
    </row>
    <row r="125" spans="1:3" ht="30" x14ac:dyDescent="0.25">
      <c r="A125" s="316" t="s">
        <v>2485</v>
      </c>
      <c r="B125">
        <v>27.056258680379138</v>
      </c>
      <c r="C125">
        <v>258</v>
      </c>
    </row>
    <row r="126" spans="1:3" ht="30" x14ac:dyDescent="0.25">
      <c r="A126" s="317" t="s">
        <v>2121</v>
      </c>
      <c r="B126">
        <v>19.157654738230068</v>
      </c>
      <c r="C126">
        <v>445</v>
      </c>
    </row>
    <row r="127" spans="1:3" ht="30" x14ac:dyDescent="0.25">
      <c r="A127" s="316" t="s">
        <v>2128</v>
      </c>
      <c r="B127">
        <v>9.4349358058773465</v>
      </c>
      <c r="C127">
        <v>623</v>
      </c>
    </row>
    <row r="128" spans="1:3" ht="30" x14ac:dyDescent="0.25">
      <c r="A128" s="317" t="s">
        <v>1922</v>
      </c>
      <c r="B128">
        <v>14.566465902087021</v>
      </c>
      <c r="C128">
        <v>538</v>
      </c>
    </row>
    <row r="129" spans="1:3" ht="30" x14ac:dyDescent="0.25">
      <c r="A129" s="316" t="s">
        <v>2135</v>
      </c>
      <c r="B129">
        <v>12.011638341888528</v>
      </c>
      <c r="C129">
        <v>579</v>
      </c>
    </row>
    <row r="130" spans="1:3" ht="30" x14ac:dyDescent="0.25">
      <c r="A130" s="317" t="s">
        <v>1805</v>
      </c>
      <c r="B130">
        <v>10.250388102719452</v>
      </c>
      <c r="C130">
        <v>610</v>
      </c>
    </row>
    <row r="131" spans="1:3" ht="30" x14ac:dyDescent="0.25">
      <c r="A131" s="316" t="s">
        <v>2142</v>
      </c>
      <c r="B131">
        <v>23.820475313340005</v>
      </c>
      <c r="C131">
        <v>338</v>
      </c>
    </row>
    <row r="132" spans="1:3" ht="30" x14ac:dyDescent="0.25">
      <c r="A132" s="317" t="s">
        <v>2149</v>
      </c>
      <c r="B132">
        <v>31.565902420591485</v>
      </c>
      <c r="C132">
        <v>161</v>
      </c>
    </row>
    <row r="133" spans="1:3" ht="30" x14ac:dyDescent="0.25">
      <c r="A133" s="316" t="s">
        <v>2156</v>
      </c>
      <c r="B133">
        <v>16.823049015786189</v>
      </c>
      <c r="C133">
        <v>488</v>
      </c>
    </row>
    <row r="134" spans="1:3" ht="30" x14ac:dyDescent="0.25">
      <c r="A134" s="317" t="s">
        <v>2162</v>
      </c>
      <c r="B134">
        <v>5.9506663765410739</v>
      </c>
      <c r="C134">
        <v>684</v>
      </c>
    </row>
    <row r="135" spans="1:3" ht="30" x14ac:dyDescent="0.25">
      <c r="A135" s="316" t="s">
        <v>1846</v>
      </c>
      <c r="B135">
        <v>40.846090399213551</v>
      </c>
      <c r="C135">
        <v>69</v>
      </c>
    </row>
    <row r="136" spans="1:3" ht="30" x14ac:dyDescent="0.25">
      <c r="A136" s="317" t="s">
        <v>1960</v>
      </c>
      <c r="B136">
        <v>52.791357980425552</v>
      </c>
      <c r="C136">
        <v>14</v>
      </c>
    </row>
    <row r="137" spans="1:3" ht="30" x14ac:dyDescent="0.25">
      <c r="A137" s="316" t="s">
        <v>2018</v>
      </c>
      <c r="B137">
        <v>29.637021571694525</v>
      </c>
      <c r="C137">
        <v>196</v>
      </c>
    </row>
    <row r="138" spans="1:3" ht="30" x14ac:dyDescent="0.25">
      <c r="A138" s="317" t="s">
        <v>2169</v>
      </c>
      <c r="B138">
        <v>13.673040818586227</v>
      </c>
      <c r="C138">
        <v>549</v>
      </c>
    </row>
    <row r="139" spans="1:3" ht="30" x14ac:dyDescent="0.25">
      <c r="A139" s="316" t="s">
        <v>1850</v>
      </c>
      <c r="B139">
        <v>31.846090399213555</v>
      </c>
      <c r="C139">
        <v>158</v>
      </c>
    </row>
    <row r="140" spans="1:3" ht="30" x14ac:dyDescent="0.25">
      <c r="A140" s="317" t="s">
        <v>2173</v>
      </c>
      <c r="B140">
        <v>29.260121105830553</v>
      </c>
      <c r="C140">
        <v>202</v>
      </c>
    </row>
    <row r="141" spans="1:3" ht="30" x14ac:dyDescent="0.25">
      <c r="A141" s="316" t="s">
        <v>2177</v>
      </c>
      <c r="B141">
        <v>30.135286384149676</v>
      </c>
      <c r="C141">
        <v>183</v>
      </c>
    </row>
    <row r="142" spans="1:3" ht="30" x14ac:dyDescent="0.25">
      <c r="A142" s="317" t="s">
        <v>1965</v>
      </c>
      <c r="B142">
        <v>26.752765682043353</v>
      </c>
      <c r="C142">
        <v>266</v>
      </c>
    </row>
    <row r="143" spans="1:3" ht="30" x14ac:dyDescent="0.25">
      <c r="A143" s="316" t="s">
        <v>2182</v>
      </c>
      <c r="B143">
        <v>24.109228626625246</v>
      </c>
      <c r="C143">
        <v>327</v>
      </c>
    </row>
    <row r="144" spans="1:3" ht="30" x14ac:dyDescent="0.25">
      <c r="A144" s="317" t="s">
        <v>2190</v>
      </c>
      <c r="B144">
        <v>21.250264572415809</v>
      </c>
      <c r="C144">
        <v>416</v>
      </c>
    </row>
    <row r="145" spans="1:3" ht="30" x14ac:dyDescent="0.25">
      <c r="A145" s="316" t="s">
        <v>2005</v>
      </c>
      <c r="B145">
        <v>29.19134232642363</v>
      </c>
      <c r="C145">
        <v>203</v>
      </c>
    </row>
    <row r="146" spans="1:3" ht="30" x14ac:dyDescent="0.25">
      <c r="A146" s="317" t="s">
        <v>1972</v>
      </c>
      <c r="B146">
        <v>28.98093786928942</v>
      </c>
      <c r="C146">
        <v>208</v>
      </c>
    </row>
    <row r="147" spans="1:3" ht="30" x14ac:dyDescent="0.25">
      <c r="A147" s="316" t="s">
        <v>1979</v>
      </c>
      <c r="B147">
        <v>24.703462870014242</v>
      </c>
      <c r="C147">
        <v>321</v>
      </c>
    </row>
    <row r="148" spans="1:3" ht="30" x14ac:dyDescent="0.25">
      <c r="A148" s="317" t="s">
        <v>1986</v>
      </c>
      <c r="B148">
        <v>6.3806824682978851</v>
      </c>
      <c r="C148">
        <v>679</v>
      </c>
    </row>
    <row r="149" spans="1:3" ht="30" x14ac:dyDescent="0.25">
      <c r="A149" s="316" t="s">
        <v>2196</v>
      </c>
      <c r="B149">
        <v>15.934935805877346</v>
      </c>
      <c r="C149">
        <v>512</v>
      </c>
    </row>
    <row r="150" spans="1:3" ht="30" x14ac:dyDescent="0.25">
      <c r="A150" s="317" t="s">
        <v>2199</v>
      </c>
      <c r="B150">
        <v>7.9349358058773465</v>
      </c>
      <c r="C150">
        <v>653</v>
      </c>
    </row>
    <row r="151" spans="1:3" ht="30" x14ac:dyDescent="0.25">
      <c r="A151" s="316" t="s">
        <v>2033</v>
      </c>
      <c r="B151">
        <v>16.896859154173178</v>
      </c>
      <c r="C151">
        <v>486</v>
      </c>
    </row>
    <row r="152" spans="1:3" ht="30" x14ac:dyDescent="0.25">
      <c r="A152" s="317" t="s">
        <v>2202</v>
      </c>
      <c r="B152">
        <v>34.970260370115845</v>
      </c>
      <c r="C152">
        <v>106</v>
      </c>
    </row>
    <row r="153" spans="1:3" ht="30" x14ac:dyDescent="0.25">
      <c r="A153" s="316" t="s">
        <v>2040</v>
      </c>
      <c r="B153">
        <v>29.125962514701527</v>
      </c>
      <c r="C153">
        <v>204</v>
      </c>
    </row>
    <row r="154" spans="1:3" ht="30" x14ac:dyDescent="0.25">
      <c r="A154" s="317" t="s">
        <v>1768</v>
      </c>
      <c r="B154">
        <v>34.947562296920061</v>
      </c>
      <c r="C154">
        <v>108</v>
      </c>
    </row>
    <row r="155" spans="1:3" ht="30" x14ac:dyDescent="0.25">
      <c r="A155" s="316" t="s">
        <v>1788</v>
      </c>
      <c r="B155">
        <v>36.726264452652664</v>
      </c>
      <c r="C155">
        <v>94</v>
      </c>
    </row>
    <row r="156" spans="1:3" ht="30" x14ac:dyDescent="0.25">
      <c r="A156" s="317" t="s">
        <v>1802</v>
      </c>
      <c r="B156">
        <v>41.818311055081779</v>
      </c>
      <c r="C156">
        <v>65</v>
      </c>
    </row>
    <row r="157" spans="1:3" ht="30" x14ac:dyDescent="0.25">
      <c r="A157" s="316" t="s">
        <v>1813</v>
      </c>
      <c r="B157">
        <v>58.491742799929312</v>
      </c>
      <c r="C157">
        <v>2</v>
      </c>
    </row>
    <row r="158" spans="1:3" ht="30" x14ac:dyDescent="0.25">
      <c r="A158" s="317" t="s">
        <v>2209</v>
      </c>
      <c r="B158">
        <v>23.367666113149355</v>
      </c>
      <c r="C158">
        <v>348</v>
      </c>
    </row>
    <row r="159" spans="1:3" ht="30" x14ac:dyDescent="0.25">
      <c r="A159" s="316" t="s">
        <v>2213</v>
      </c>
      <c r="B159">
        <v>23.708533607446572</v>
      </c>
      <c r="C159">
        <v>339</v>
      </c>
    </row>
    <row r="160" spans="1:3" ht="30" x14ac:dyDescent="0.25">
      <c r="A160" s="317" t="s">
        <v>2219</v>
      </c>
      <c r="B160">
        <v>26.767365004208994</v>
      </c>
      <c r="C160">
        <v>265</v>
      </c>
    </row>
    <row r="161" spans="1:3" ht="30" x14ac:dyDescent="0.25">
      <c r="A161" s="316" t="s">
        <v>4556</v>
      </c>
      <c r="B161">
        <v>21.476937059623914</v>
      </c>
      <c r="C161">
        <v>411</v>
      </c>
    </row>
    <row r="162" spans="1:3" ht="30" x14ac:dyDescent="0.25">
      <c r="A162" s="317" t="s">
        <v>2012</v>
      </c>
      <c r="B162">
        <v>22.33300026892471</v>
      </c>
      <c r="C162">
        <v>384</v>
      </c>
    </row>
    <row r="163" spans="1:3" ht="30" x14ac:dyDescent="0.25">
      <c r="A163" s="316" t="s">
        <v>1870</v>
      </c>
      <c r="B163">
        <v>35.06183604322807</v>
      </c>
      <c r="C163">
        <v>105</v>
      </c>
    </row>
    <row r="164" spans="1:3" ht="30" x14ac:dyDescent="0.25">
      <c r="A164" s="317" t="s">
        <v>2002</v>
      </c>
      <c r="B164">
        <v>36.006160335426806</v>
      </c>
      <c r="C164">
        <v>97</v>
      </c>
    </row>
    <row r="165" spans="1:3" ht="30" x14ac:dyDescent="0.25">
      <c r="A165" s="316" t="s">
        <v>1998</v>
      </c>
      <c r="B165">
        <v>26.458336012929479</v>
      </c>
      <c r="C165">
        <v>280</v>
      </c>
    </row>
    <row r="166" spans="1:3" ht="30" x14ac:dyDescent="0.25">
      <c r="A166" s="317" t="s">
        <v>1993</v>
      </c>
      <c r="B166">
        <v>24.748766316004744</v>
      </c>
      <c r="C166">
        <v>316</v>
      </c>
    </row>
    <row r="167" spans="1:3" ht="30" x14ac:dyDescent="0.25">
      <c r="A167" s="316" t="s">
        <v>2223</v>
      </c>
      <c r="B167">
        <v>8.212332821487605</v>
      </c>
      <c r="C167">
        <v>650</v>
      </c>
    </row>
    <row r="168" spans="1:3" ht="30" x14ac:dyDescent="0.25">
      <c r="A168" s="317" t="s">
        <v>2232</v>
      </c>
      <c r="B168">
        <v>24.919772713405507</v>
      </c>
      <c r="C168">
        <v>313</v>
      </c>
    </row>
    <row r="169" spans="1:3" ht="30" x14ac:dyDescent="0.25">
      <c r="A169" s="316" t="s">
        <v>2043</v>
      </c>
      <c r="B169">
        <v>27.473100055236042</v>
      </c>
      <c r="C169">
        <v>238</v>
      </c>
    </row>
    <row r="170" spans="1:3" ht="30" x14ac:dyDescent="0.25">
      <c r="A170" s="317" t="s">
        <v>1779</v>
      </c>
      <c r="B170">
        <v>21.743705955584588</v>
      </c>
      <c r="C170">
        <v>403</v>
      </c>
    </row>
    <row r="171" spans="1:3" ht="30" x14ac:dyDescent="0.25">
      <c r="A171" s="316" t="s">
        <v>1795</v>
      </c>
      <c r="B171">
        <v>30.45682857233512</v>
      </c>
      <c r="C171">
        <v>178</v>
      </c>
    </row>
    <row r="172" spans="1:3" ht="30" x14ac:dyDescent="0.25">
      <c r="A172" s="317" t="s">
        <v>2239</v>
      </c>
      <c r="B172">
        <v>19.095338435690707</v>
      </c>
      <c r="C172">
        <v>446</v>
      </c>
    </row>
    <row r="173" spans="1:3" ht="30" x14ac:dyDescent="0.25">
      <c r="A173" s="316" t="s">
        <v>2244</v>
      </c>
      <c r="B173">
        <v>11.61486184620767</v>
      </c>
      <c r="C173">
        <v>586</v>
      </c>
    </row>
    <row r="174" spans="1:3" ht="30" x14ac:dyDescent="0.25">
      <c r="A174" s="317" t="s">
        <v>2249</v>
      </c>
      <c r="B174">
        <v>14.523059852830793</v>
      </c>
      <c r="C174">
        <v>539</v>
      </c>
    </row>
    <row r="175" spans="1:3" ht="30" x14ac:dyDescent="0.25">
      <c r="A175" s="316" t="s">
        <v>2254</v>
      </c>
      <c r="B175">
        <v>18.397648137605938</v>
      </c>
      <c r="C175">
        <v>459</v>
      </c>
    </row>
    <row r="176" spans="1:3" ht="30" x14ac:dyDescent="0.25">
      <c r="A176" s="317" t="s">
        <v>2257</v>
      </c>
      <c r="B176">
        <v>23.867666113149355</v>
      </c>
      <c r="C176">
        <v>335</v>
      </c>
    </row>
    <row r="177" spans="1:3" ht="30" x14ac:dyDescent="0.25">
      <c r="A177" s="316" t="s">
        <v>1951</v>
      </c>
      <c r="B177">
        <v>24.742928188927301</v>
      </c>
      <c r="C177">
        <v>317</v>
      </c>
    </row>
    <row r="178" spans="1:3" ht="30" x14ac:dyDescent="0.25">
      <c r="A178" s="317" t="s">
        <v>2260</v>
      </c>
      <c r="B178">
        <v>14.673040818586227</v>
      </c>
      <c r="C178">
        <v>532</v>
      </c>
    </row>
    <row r="179" spans="1:3" ht="30" x14ac:dyDescent="0.25">
      <c r="A179" s="316" t="s">
        <v>1833</v>
      </c>
      <c r="B179">
        <v>26.04877136851346</v>
      </c>
      <c r="C179">
        <v>290</v>
      </c>
    </row>
    <row r="180" spans="1:3" ht="30" x14ac:dyDescent="0.25">
      <c r="A180" s="317" t="s">
        <v>1840</v>
      </c>
      <c r="B180">
        <v>26.850528645682882</v>
      </c>
      <c r="C180">
        <v>264</v>
      </c>
    </row>
    <row r="181" spans="1:3" ht="30" x14ac:dyDescent="0.25">
      <c r="A181" s="316" t="s">
        <v>2263</v>
      </c>
      <c r="B181">
        <v>15.730110926823016</v>
      </c>
      <c r="C181">
        <v>519</v>
      </c>
    </row>
    <row r="182" spans="1:3" ht="30" x14ac:dyDescent="0.25">
      <c r="A182" s="317" t="s">
        <v>2021</v>
      </c>
      <c r="B182">
        <v>26.50537075014444</v>
      </c>
      <c r="C182">
        <v>274</v>
      </c>
    </row>
    <row r="183" spans="1:3" ht="30" x14ac:dyDescent="0.25">
      <c r="A183" s="316" t="s">
        <v>2266</v>
      </c>
      <c r="B183">
        <v>15.498212177738829</v>
      </c>
      <c r="C183">
        <v>524</v>
      </c>
    </row>
    <row r="184" spans="1:3" ht="30" x14ac:dyDescent="0.25">
      <c r="A184" s="317" t="s">
        <v>1943</v>
      </c>
      <c r="B184">
        <v>21.926370634369057</v>
      </c>
      <c r="C184">
        <v>399</v>
      </c>
    </row>
    <row r="185" spans="1:3" ht="30" x14ac:dyDescent="0.25">
      <c r="A185" s="316" t="s">
        <v>1931</v>
      </c>
      <c r="B185">
        <v>31.766353373873432</v>
      </c>
      <c r="C185">
        <v>160</v>
      </c>
    </row>
    <row r="186" spans="1:3" ht="30" x14ac:dyDescent="0.25">
      <c r="A186" s="317" t="s">
        <v>2488</v>
      </c>
      <c r="B186">
        <v>26.454995602682228</v>
      </c>
      <c r="C186">
        <v>281</v>
      </c>
    </row>
    <row r="187" spans="1:3" ht="30" x14ac:dyDescent="0.25">
      <c r="A187" s="316" t="s">
        <v>1936</v>
      </c>
      <c r="B187">
        <v>17.3581526713632</v>
      </c>
      <c r="C187">
        <v>472</v>
      </c>
    </row>
    <row r="188" spans="1:3" ht="30" x14ac:dyDescent="0.25">
      <c r="A188" s="317" t="s">
        <v>2273</v>
      </c>
      <c r="B188">
        <v>19.541677525695928</v>
      </c>
      <c r="C188">
        <v>442</v>
      </c>
    </row>
    <row r="189" spans="1:3" ht="30" x14ac:dyDescent="0.25">
      <c r="A189" s="316" t="s">
        <v>1819</v>
      </c>
      <c r="B189">
        <v>46.143185446325262</v>
      </c>
      <c r="C189">
        <v>38</v>
      </c>
    </row>
    <row r="190" spans="1:3" ht="30" x14ac:dyDescent="0.25">
      <c r="A190" s="317" t="s">
        <v>2028</v>
      </c>
      <c r="B190">
        <v>31.060484276440718</v>
      </c>
      <c r="C190">
        <v>171</v>
      </c>
    </row>
    <row r="191" spans="1:3" ht="30" x14ac:dyDescent="0.25">
      <c r="A191" s="316" t="s">
        <v>2276</v>
      </c>
      <c r="B191">
        <v>16.407324733813201</v>
      </c>
      <c r="C191">
        <v>502</v>
      </c>
    </row>
    <row r="192" spans="1:3" ht="30" x14ac:dyDescent="0.25">
      <c r="A192" s="317" t="s">
        <v>1855</v>
      </c>
      <c r="B192">
        <v>23.552259105950043</v>
      </c>
      <c r="C192">
        <v>343</v>
      </c>
    </row>
    <row r="193" spans="1:3" ht="30" x14ac:dyDescent="0.25">
      <c r="A193" s="316" t="s">
        <v>2281</v>
      </c>
      <c r="B193">
        <v>20.275481463906491</v>
      </c>
      <c r="C193">
        <v>431</v>
      </c>
    </row>
    <row r="194" spans="1:3" ht="30" x14ac:dyDescent="0.25">
      <c r="A194" s="317" t="s">
        <v>2287</v>
      </c>
      <c r="B194">
        <v>10.707780317512501</v>
      </c>
      <c r="C194">
        <v>601</v>
      </c>
    </row>
    <row r="195" spans="1:3" ht="30" x14ac:dyDescent="0.25">
      <c r="A195" s="316" t="s">
        <v>2293</v>
      </c>
      <c r="B195">
        <v>8.3735714479131111</v>
      </c>
      <c r="C195">
        <v>645</v>
      </c>
    </row>
    <row r="196" spans="1:3" ht="30" x14ac:dyDescent="0.25">
      <c r="A196" s="317" t="s">
        <v>2298</v>
      </c>
      <c r="B196">
        <v>10.006064543805927</v>
      </c>
      <c r="C196">
        <v>615</v>
      </c>
    </row>
    <row r="197" spans="1:3" ht="30" x14ac:dyDescent="0.25">
      <c r="A197" s="316" t="s">
        <v>2305</v>
      </c>
      <c r="B197">
        <v>3.5369822581280634</v>
      </c>
      <c r="C197">
        <v>708</v>
      </c>
    </row>
    <row r="198" spans="1:3" ht="30" x14ac:dyDescent="0.25">
      <c r="A198" s="317" t="s">
        <v>2311</v>
      </c>
      <c r="B198">
        <v>10.219694748306512</v>
      </c>
      <c r="C198">
        <v>611</v>
      </c>
    </row>
    <row r="199" spans="1:3" ht="30" x14ac:dyDescent="0.25">
      <c r="A199" s="316" t="s">
        <v>2317</v>
      </c>
      <c r="B199">
        <v>6.2986739383852335</v>
      </c>
      <c r="C199">
        <v>681</v>
      </c>
    </row>
    <row r="200" spans="1:3" ht="30" x14ac:dyDescent="0.25">
      <c r="A200" s="317" t="s">
        <v>2321</v>
      </c>
      <c r="B200">
        <v>2.1743436593974956</v>
      </c>
      <c r="C200">
        <v>732</v>
      </c>
    </row>
    <row r="201" spans="1:3" ht="30" x14ac:dyDescent="0.25">
      <c r="A201" s="316" t="s">
        <v>2326</v>
      </c>
      <c r="B201">
        <v>7.8982397365960999</v>
      </c>
      <c r="C201">
        <v>654</v>
      </c>
    </row>
    <row r="202" spans="1:3" ht="30" x14ac:dyDescent="0.25">
      <c r="A202" s="317" t="s">
        <v>2331</v>
      </c>
      <c r="B202">
        <v>17.839977662337184</v>
      </c>
      <c r="C202">
        <v>466</v>
      </c>
    </row>
    <row r="203" spans="1:3" ht="30" x14ac:dyDescent="0.25">
      <c r="A203" s="316" t="s">
        <v>2335</v>
      </c>
      <c r="B203">
        <v>7.6671466872268708</v>
      </c>
      <c r="C203">
        <v>658</v>
      </c>
    </row>
    <row r="204" spans="1:3" ht="30" x14ac:dyDescent="0.25">
      <c r="A204" s="317" t="s">
        <v>2340</v>
      </c>
      <c r="B204">
        <v>3.3432537320736335</v>
      </c>
      <c r="C204">
        <v>712</v>
      </c>
    </row>
    <row r="205" spans="1:3" ht="30" x14ac:dyDescent="0.25">
      <c r="A205" s="316" t="s">
        <v>2452</v>
      </c>
      <c r="B205">
        <v>2</v>
      </c>
      <c r="C205">
        <v>741</v>
      </c>
    </row>
    <row r="206" spans="1:3" ht="30" x14ac:dyDescent="0.25">
      <c r="A206" s="317" t="s">
        <v>2345</v>
      </c>
      <c r="B206">
        <v>5.4286560941525854</v>
      </c>
      <c r="C206">
        <v>690</v>
      </c>
    </row>
    <row r="207" spans="1:3" ht="30" x14ac:dyDescent="0.25">
      <c r="A207" s="316" t="s">
        <v>2352</v>
      </c>
      <c r="B207">
        <v>9.5500134696667942</v>
      </c>
      <c r="C207">
        <v>621</v>
      </c>
    </row>
    <row r="208" spans="1:3" ht="30" x14ac:dyDescent="0.25">
      <c r="A208" s="317" t="s">
        <v>2356</v>
      </c>
      <c r="B208">
        <v>8.3903096700138349</v>
      </c>
      <c r="C208">
        <v>644</v>
      </c>
    </row>
    <row r="209" spans="1:3" ht="30" x14ac:dyDescent="0.25">
      <c r="A209" s="316" t="s">
        <v>2362</v>
      </c>
      <c r="B209">
        <v>8.9964384650658751</v>
      </c>
      <c r="C209">
        <v>631</v>
      </c>
    </row>
    <row r="210" spans="1:3" ht="30" x14ac:dyDescent="0.25">
      <c r="A210" s="317" t="s">
        <v>2368</v>
      </c>
      <c r="B210">
        <v>2.0729900762597451</v>
      </c>
      <c r="C210">
        <v>737</v>
      </c>
    </row>
    <row r="211" spans="1:3" ht="30" x14ac:dyDescent="0.25">
      <c r="A211" s="316" t="s">
        <v>2373</v>
      </c>
      <c r="B211">
        <v>6.1955461948290065</v>
      </c>
      <c r="C211">
        <v>682</v>
      </c>
    </row>
    <row r="212" spans="1:3" ht="30" x14ac:dyDescent="0.25">
      <c r="A212" s="317" t="s">
        <v>2378</v>
      </c>
      <c r="B212">
        <v>2.2486321586862528</v>
      </c>
      <c r="C212">
        <v>729</v>
      </c>
    </row>
    <row r="213" spans="1:3" ht="30" x14ac:dyDescent="0.25">
      <c r="A213" s="316" t="s">
        <v>2386</v>
      </c>
      <c r="B213">
        <v>2</v>
      </c>
      <c r="C213">
        <v>741</v>
      </c>
    </row>
    <row r="214" spans="1:3" ht="30" x14ac:dyDescent="0.25">
      <c r="A214" s="317" t="s">
        <v>2392</v>
      </c>
      <c r="B214">
        <v>8.3180419484566777</v>
      </c>
      <c r="C214">
        <v>648</v>
      </c>
    </row>
    <row r="215" spans="1:3" ht="30" x14ac:dyDescent="0.25">
      <c r="A215" s="316" t="s">
        <v>2398</v>
      </c>
      <c r="B215">
        <v>6.3458259086519355</v>
      </c>
      <c r="C215">
        <v>680</v>
      </c>
    </row>
    <row r="216" spans="1:3" ht="30" x14ac:dyDescent="0.25">
      <c r="A216" s="317" t="s">
        <v>2407</v>
      </c>
      <c r="B216">
        <v>2.780807387919511</v>
      </c>
      <c r="C216">
        <v>719</v>
      </c>
    </row>
    <row r="217" spans="1:3" ht="30" x14ac:dyDescent="0.25">
      <c r="A217" s="316" t="s">
        <v>2412</v>
      </c>
      <c r="B217">
        <v>6.8784561090129381</v>
      </c>
      <c r="C217">
        <v>671</v>
      </c>
    </row>
    <row r="218" spans="1:3" ht="30" x14ac:dyDescent="0.25">
      <c r="A218" s="317" t="s">
        <v>2417</v>
      </c>
      <c r="B218">
        <v>5.6378083591035271</v>
      </c>
      <c r="C218">
        <v>688</v>
      </c>
    </row>
    <row r="219" spans="1:3" ht="30" x14ac:dyDescent="0.25">
      <c r="A219" s="316" t="s">
        <v>2421</v>
      </c>
      <c r="B219">
        <v>9.7647068024982318</v>
      </c>
      <c r="C219">
        <v>617</v>
      </c>
    </row>
    <row r="220" spans="1:3" ht="30" x14ac:dyDescent="0.25">
      <c r="A220" s="317" t="s">
        <v>2427</v>
      </c>
      <c r="B220">
        <v>3.7347067997534715</v>
      </c>
      <c r="C220">
        <v>707</v>
      </c>
    </row>
    <row r="221" spans="1:3" ht="30" x14ac:dyDescent="0.25">
      <c r="A221" s="316" t="s">
        <v>2432</v>
      </c>
      <c r="B221">
        <v>8.9638020317248088</v>
      </c>
      <c r="C221">
        <v>634</v>
      </c>
    </row>
    <row r="222" spans="1:3" ht="30" x14ac:dyDescent="0.25">
      <c r="A222" s="317" t="s">
        <v>2437</v>
      </c>
      <c r="B222">
        <v>13.714651248795247</v>
      </c>
      <c r="C222">
        <v>548</v>
      </c>
    </row>
    <row r="223" spans="1:3" ht="30" x14ac:dyDescent="0.25">
      <c r="A223" s="316" t="s">
        <v>2472</v>
      </c>
      <c r="B223">
        <v>10.504550131518412</v>
      </c>
      <c r="C223">
        <v>604</v>
      </c>
    </row>
    <row r="224" spans="1:3" ht="30" x14ac:dyDescent="0.25">
      <c r="A224" s="317" t="s">
        <v>2441</v>
      </c>
      <c r="B224">
        <v>11.385607975063326</v>
      </c>
      <c r="C224">
        <v>595</v>
      </c>
    </row>
    <row r="225" spans="1:3" ht="30" x14ac:dyDescent="0.25">
      <c r="A225" s="316" t="s">
        <v>2446</v>
      </c>
      <c r="B225">
        <v>20.660133834346393</v>
      </c>
      <c r="C225">
        <v>424</v>
      </c>
    </row>
    <row r="226" spans="1:3" ht="30" x14ac:dyDescent="0.25">
      <c r="A226" s="317" t="s">
        <v>2457</v>
      </c>
      <c r="B226">
        <v>42.976598801774358</v>
      </c>
      <c r="C226">
        <v>60</v>
      </c>
    </row>
    <row r="227" spans="1:3" ht="30" x14ac:dyDescent="0.25">
      <c r="A227" s="316" t="s">
        <v>2462</v>
      </c>
      <c r="B227">
        <v>25.542055520487889</v>
      </c>
      <c r="C227">
        <v>302</v>
      </c>
    </row>
    <row r="228" spans="1:3" ht="30" x14ac:dyDescent="0.25">
      <c r="A228" s="317" t="s">
        <v>2468</v>
      </c>
      <c r="B228">
        <v>12.3161551701441</v>
      </c>
      <c r="C228">
        <v>574</v>
      </c>
    </row>
    <row r="229" spans="1:3" ht="30" x14ac:dyDescent="0.25">
      <c r="A229" s="316" t="s">
        <v>2401</v>
      </c>
      <c r="B229">
        <v>16.108443532973542</v>
      </c>
      <c r="C229">
        <v>507</v>
      </c>
    </row>
    <row r="230" spans="1:3" ht="30" x14ac:dyDescent="0.25">
      <c r="A230" s="317" t="s">
        <v>2477</v>
      </c>
      <c r="B230">
        <v>38.553060064048296</v>
      </c>
      <c r="C230">
        <v>82</v>
      </c>
    </row>
    <row r="231" spans="1:3" ht="30" x14ac:dyDescent="0.25">
      <c r="A231" s="316" t="s">
        <v>2481</v>
      </c>
      <c r="B231">
        <v>24.044721468798194</v>
      </c>
      <c r="C231">
        <v>329</v>
      </c>
    </row>
    <row r="232" spans="1:3" ht="30" x14ac:dyDescent="0.25">
      <c r="A232" s="317" t="s">
        <v>2495</v>
      </c>
      <c r="B232">
        <v>26.05532510430443</v>
      </c>
      <c r="C232">
        <v>289</v>
      </c>
    </row>
    <row r="233" spans="1:3" ht="30" x14ac:dyDescent="0.25">
      <c r="A233" s="316" t="s">
        <v>2500</v>
      </c>
      <c r="B233">
        <v>25.085049300612084</v>
      </c>
      <c r="C233">
        <v>311</v>
      </c>
    </row>
    <row r="234" spans="1:3" ht="30" x14ac:dyDescent="0.25">
      <c r="A234" s="317" t="s">
        <v>2503</v>
      </c>
      <c r="B234">
        <v>23.222897348545146</v>
      </c>
      <c r="C234">
        <v>354</v>
      </c>
    </row>
    <row r="235" spans="1:3" ht="30" x14ac:dyDescent="0.25">
      <c r="A235" s="316" t="s">
        <v>2507</v>
      </c>
      <c r="B235">
        <v>14.969039250945299</v>
      </c>
      <c r="C235">
        <v>530</v>
      </c>
    </row>
    <row r="236" spans="1:3" ht="30" x14ac:dyDescent="0.25">
      <c r="A236" s="317" t="s">
        <v>4538</v>
      </c>
      <c r="B236">
        <v>58.739670358405775</v>
      </c>
      <c r="C236">
        <v>1</v>
      </c>
    </row>
    <row r="237" spans="1:3" ht="30" x14ac:dyDescent="0.25">
      <c r="A237" s="316" t="s">
        <v>4549</v>
      </c>
      <c r="B237">
        <v>12.524520134261291</v>
      </c>
      <c r="C237">
        <v>569</v>
      </c>
    </row>
    <row r="238" spans="1:3" ht="30" x14ac:dyDescent="0.25">
      <c r="A238" s="317" t="s">
        <v>4738</v>
      </c>
      <c r="B238">
        <v>42.715664651256702</v>
      </c>
      <c r="C238">
        <v>61</v>
      </c>
    </row>
    <row r="239" spans="1:3" ht="30" x14ac:dyDescent="0.25">
      <c r="A239" s="316" t="s">
        <v>4746</v>
      </c>
      <c r="B239">
        <v>49.215664651256702</v>
      </c>
      <c r="C239">
        <v>21</v>
      </c>
    </row>
    <row r="240" spans="1:3" ht="30" x14ac:dyDescent="0.25">
      <c r="A240" s="317" t="s">
        <v>4749</v>
      </c>
      <c r="B240">
        <v>43.215664651256702</v>
      </c>
      <c r="C240">
        <v>57</v>
      </c>
    </row>
    <row r="241" spans="1:3" ht="30" x14ac:dyDescent="0.25">
      <c r="A241" s="316" t="s">
        <v>4753</v>
      </c>
      <c r="B241">
        <v>41.715664651256702</v>
      </c>
      <c r="C241">
        <v>66</v>
      </c>
    </row>
    <row r="242" spans="1:3" ht="30" x14ac:dyDescent="0.25">
      <c r="A242" s="317" t="s">
        <v>4757</v>
      </c>
      <c r="B242">
        <v>31.773059051986696</v>
      </c>
      <c r="C242">
        <v>159</v>
      </c>
    </row>
    <row r="243" spans="1:3" ht="30" x14ac:dyDescent="0.25">
      <c r="A243" s="316" t="s">
        <v>4762</v>
      </c>
      <c r="B243">
        <v>23.428820733175748</v>
      </c>
      <c r="C243">
        <v>346</v>
      </c>
    </row>
    <row r="244" spans="1:3" ht="30" x14ac:dyDescent="0.25">
      <c r="A244" s="317" t="s">
        <v>2564</v>
      </c>
      <c r="B244">
        <v>41.21566483560769</v>
      </c>
      <c r="C244">
        <v>68</v>
      </c>
    </row>
    <row r="245" spans="1:3" ht="30" x14ac:dyDescent="0.25">
      <c r="A245" s="316" t="s">
        <v>4768</v>
      </c>
      <c r="B245">
        <v>49.21566483560769</v>
      </c>
      <c r="C245">
        <v>20</v>
      </c>
    </row>
    <row r="246" spans="1:3" ht="30" x14ac:dyDescent="0.25">
      <c r="A246" s="317" t="s">
        <v>4770</v>
      </c>
      <c r="B246">
        <v>43.21566483560769</v>
      </c>
      <c r="C246">
        <v>56</v>
      </c>
    </row>
    <row r="247" spans="1:3" ht="30" x14ac:dyDescent="0.25">
      <c r="A247" s="316" t="s">
        <v>2568</v>
      </c>
      <c r="B247">
        <v>8.5823216527341142</v>
      </c>
      <c r="C247">
        <v>640</v>
      </c>
    </row>
    <row r="248" spans="1:3" ht="30" x14ac:dyDescent="0.25">
      <c r="A248" s="317" t="s">
        <v>4775</v>
      </c>
      <c r="B248">
        <v>25.432385192906128</v>
      </c>
      <c r="C248">
        <v>307</v>
      </c>
    </row>
    <row r="249" spans="1:3" ht="30" x14ac:dyDescent="0.25">
      <c r="A249" s="316" t="s">
        <v>4782</v>
      </c>
      <c r="B249">
        <v>9.2441617637063302</v>
      </c>
      <c r="C249">
        <v>627</v>
      </c>
    </row>
    <row r="250" spans="1:3" ht="30" x14ac:dyDescent="0.25">
      <c r="A250" s="317" t="s">
        <v>4789</v>
      </c>
      <c r="B250">
        <v>9.7441617637063302</v>
      </c>
      <c r="C250">
        <v>618</v>
      </c>
    </row>
    <row r="251" spans="1:3" ht="30" x14ac:dyDescent="0.25">
      <c r="A251" s="316" t="s">
        <v>4793</v>
      </c>
      <c r="B251">
        <v>2.1226513220442365</v>
      </c>
      <c r="C251">
        <v>733</v>
      </c>
    </row>
    <row r="252" spans="1:3" ht="30" x14ac:dyDescent="0.25">
      <c r="A252" s="317" t="s">
        <v>2527</v>
      </c>
      <c r="B252">
        <v>0.62265132204423645</v>
      </c>
      <c r="C252">
        <v>767</v>
      </c>
    </row>
    <row r="253" spans="1:3" ht="30" x14ac:dyDescent="0.25">
      <c r="A253" s="316" t="s">
        <v>4795</v>
      </c>
      <c r="B253">
        <v>14.022802407201947</v>
      </c>
      <c r="C253">
        <v>544</v>
      </c>
    </row>
    <row r="254" spans="1:3" ht="30" x14ac:dyDescent="0.25">
      <c r="A254" s="317" t="s">
        <v>2574</v>
      </c>
      <c r="B254">
        <v>12.522802407201947</v>
      </c>
      <c r="C254">
        <v>570</v>
      </c>
    </row>
    <row r="255" spans="1:3" ht="30" x14ac:dyDescent="0.25">
      <c r="A255" s="316" t="s">
        <v>4799</v>
      </c>
      <c r="B255">
        <v>8.8659890201362046</v>
      </c>
      <c r="C255">
        <v>635</v>
      </c>
    </row>
    <row r="256" spans="1:3" ht="30" x14ac:dyDescent="0.25">
      <c r="A256" s="317" t="s">
        <v>4801</v>
      </c>
      <c r="B256">
        <v>9.3659890201362046</v>
      </c>
      <c r="C256">
        <v>625</v>
      </c>
    </row>
    <row r="257" spans="1:3" ht="30" x14ac:dyDescent="0.25">
      <c r="A257" s="316" t="s">
        <v>2534</v>
      </c>
      <c r="B257">
        <v>7.3659890201362037</v>
      </c>
      <c r="C257">
        <v>661</v>
      </c>
    </row>
    <row r="258" spans="1:3" ht="30" x14ac:dyDescent="0.25">
      <c r="A258" s="317" t="s">
        <v>4803</v>
      </c>
      <c r="B258">
        <v>8.3659890201362046</v>
      </c>
      <c r="C258">
        <v>646</v>
      </c>
    </row>
    <row r="259" spans="1:3" ht="30" x14ac:dyDescent="0.25">
      <c r="A259" s="316" t="s">
        <v>2585</v>
      </c>
      <c r="B259">
        <v>12.821832158184609</v>
      </c>
      <c r="C259">
        <v>562</v>
      </c>
    </row>
    <row r="260" spans="1:3" ht="30" x14ac:dyDescent="0.25">
      <c r="A260" s="317" t="s">
        <v>4807</v>
      </c>
      <c r="B260">
        <v>14.623124236711286</v>
      </c>
      <c r="C260">
        <v>533</v>
      </c>
    </row>
    <row r="261" spans="1:3" ht="30" x14ac:dyDescent="0.25">
      <c r="A261" s="316" t="s">
        <v>4810</v>
      </c>
      <c r="B261">
        <v>14.623124236711286</v>
      </c>
      <c r="C261">
        <v>533</v>
      </c>
    </row>
    <row r="262" spans="1:3" ht="30" x14ac:dyDescent="0.25">
      <c r="A262" s="317" t="s">
        <v>2542</v>
      </c>
      <c r="B262">
        <v>13.623124236711286</v>
      </c>
      <c r="C262">
        <v>550</v>
      </c>
    </row>
    <row r="263" spans="1:3" ht="30" x14ac:dyDescent="0.25">
      <c r="A263" s="316" t="s">
        <v>4812</v>
      </c>
      <c r="B263">
        <v>10.175637611232238</v>
      </c>
      <c r="C263">
        <v>613</v>
      </c>
    </row>
    <row r="264" spans="1:3" ht="30" x14ac:dyDescent="0.25">
      <c r="A264" s="317" t="s">
        <v>4814</v>
      </c>
      <c r="B264">
        <v>22.629858648967403</v>
      </c>
      <c r="C264">
        <v>373</v>
      </c>
    </row>
    <row r="265" spans="1:3" ht="30" x14ac:dyDescent="0.25">
      <c r="A265" s="316" t="s">
        <v>2588</v>
      </c>
      <c r="B265">
        <v>21.629858648967403</v>
      </c>
      <c r="C265">
        <v>409</v>
      </c>
    </row>
    <row r="266" spans="1:3" ht="30" x14ac:dyDescent="0.25">
      <c r="A266" s="317" t="s">
        <v>2546</v>
      </c>
      <c r="B266">
        <v>9.1756376112322382</v>
      </c>
      <c r="C266">
        <v>628</v>
      </c>
    </row>
    <row r="267" spans="1:3" ht="30" x14ac:dyDescent="0.25">
      <c r="A267" s="316" t="s">
        <v>4821</v>
      </c>
      <c r="B267">
        <v>24.94661353025209</v>
      </c>
      <c r="C267">
        <v>312</v>
      </c>
    </row>
    <row r="268" spans="1:3" ht="30" x14ac:dyDescent="0.25">
      <c r="A268" s="317" t="s">
        <v>4827</v>
      </c>
      <c r="B268">
        <v>25.44661353025209</v>
      </c>
      <c r="C268">
        <v>305</v>
      </c>
    </row>
    <row r="269" spans="1:3" ht="30" x14ac:dyDescent="0.25">
      <c r="A269" s="316" t="s">
        <v>4830</v>
      </c>
      <c r="B269">
        <v>31.94661353025209</v>
      </c>
      <c r="C269">
        <v>157</v>
      </c>
    </row>
    <row r="270" spans="1:3" ht="30" x14ac:dyDescent="0.25">
      <c r="A270" s="317" t="s">
        <v>4833</v>
      </c>
      <c r="B270">
        <v>25.44661353025209</v>
      </c>
      <c r="C270">
        <v>305</v>
      </c>
    </row>
    <row r="271" spans="1:3" ht="30" x14ac:dyDescent="0.25">
      <c r="A271" s="316" t="s">
        <v>4836</v>
      </c>
      <c r="B271">
        <v>12.716649637178442</v>
      </c>
      <c r="C271">
        <v>563</v>
      </c>
    </row>
    <row r="272" spans="1:3" ht="30" x14ac:dyDescent="0.25">
      <c r="A272" s="317" t="s">
        <v>4839</v>
      </c>
      <c r="B272">
        <v>13.216649637178442</v>
      </c>
      <c r="C272">
        <v>557</v>
      </c>
    </row>
    <row r="273" spans="1:3" ht="30" x14ac:dyDescent="0.25">
      <c r="A273" s="316" t="s">
        <v>4842</v>
      </c>
      <c r="B273">
        <v>12.716649637178442</v>
      </c>
      <c r="C273">
        <v>563</v>
      </c>
    </row>
    <row r="274" spans="1:3" ht="30" x14ac:dyDescent="0.25">
      <c r="A274" s="317" t="s">
        <v>2582</v>
      </c>
      <c r="B274">
        <v>11.716649637178442</v>
      </c>
      <c r="C274">
        <v>584</v>
      </c>
    </row>
    <row r="275" spans="1:3" ht="30" x14ac:dyDescent="0.25">
      <c r="A275" s="316" t="s">
        <v>4844</v>
      </c>
      <c r="B275">
        <v>6.9385546232633111</v>
      </c>
      <c r="C275">
        <v>669</v>
      </c>
    </row>
    <row r="276" spans="1:3" ht="30" x14ac:dyDescent="0.25">
      <c r="A276" s="317" t="s">
        <v>4851</v>
      </c>
      <c r="B276">
        <v>22.73361113627552</v>
      </c>
      <c r="C276">
        <v>364</v>
      </c>
    </row>
    <row r="277" spans="1:3" ht="30" x14ac:dyDescent="0.25">
      <c r="A277" s="316" t="s">
        <v>4859</v>
      </c>
      <c r="B277">
        <v>22.73361113627552</v>
      </c>
      <c r="C277">
        <v>364</v>
      </c>
    </row>
    <row r="278" spans="1:3" ht="30" x14ac:dyDescent="0.25">
      <c r="A278" s="317" t="s">
        <v>4862</v>
      </c>
      <c r="B278">
        <v>4.5467676133981119</v>
      </c>
      <c r="C278">
        <v>696</v>
      </c>
    </row>
    <row r="279" spans="1:3" ht="30" x14ac:dyDescent="0.25">
      <c r="A279" s="316" t="s">
        <v>4875</v>
      </c>
      <c r="B279">
        <v>2.1997656685358744</v>
      </c>
      <c r="C279">
        <v>730</v>
      </c>
    </row>
    <row r="280" spans="1:3" ht="30" x14ac:dyDescent="0.25">
      <c r="A280" s="317" t="s">
        <v>2558</v>
      </c>
      <c r="B280">
        <v>45.490472819916739</v>
      </c>
      <c r="C280">
        <v>49</v>
      </c>
    </row>
    <row r="281" spans="1:3" ht="30" x14ac:dyDescent="0.25">
      <c r="A281" s="316" t="s">
        <v>4561</v>
      </c>
      <c r="B281">
        <v>36.312900665601191</v>
      </c>
      <c r="C281">
        <v>95</v>
      </c>
    </row>
    <row r="282" spans="1:3" ht="30" x14ac:dyDescent="0.25">
      <c r="A282" s="317" t="s">
        <v>4568</v>
      </c>
      <c r="B282">
        <v>24.40544517662897</v>
      </c>
      <c r="C282">
        <v>323</v>
      </c>
    </row>
    <row r="283" spans="1:3" ht="30" x14ac:dyDescent="0.25">
      <c r="A283" s="316" t="s">
        <v>4573</v>
      </c>
      <c r="B283">
        <v>23.90544517662897</v>
      </c>
      <c r="C283">
        <v>334</v>
      </c>
    </row>
    <row r="284" spans="1:3" ht="30" x14ac:dyDescent="0.25">
      <c r="A284" s="317" t="s">
        <v>4576</v>
      </c>
      <c r="B284">
        <v>8.833514835511151</v>
      </c>
      <c r="C284">
        <v>636</v>
      </c>
    </row>
    <row r="285" spans="1:3" ht="30" x14ac:dyDescent="0.25">
      <c r="A285" s="316" t="s">
        <v>4579</v>
      </c>
      <c r="B285">
        <v>18.320212323747874</v>
      </c>
      <c r="C285">
        <v>460</v>
      </c>
    </row>
    <row r="286" spans="1:3" ht="30" x14ac:dyDescent="0.25">
      <c r="A286" s="317" t="s">
        <v>4584</v>
      </c>
      <c r="B286">
        <v>18.820212323747874</v>
      </c>
      <c r="C286">
        <v>452</v>
      </c>
    </row>
    <row r="287" spans="1:3" ht="30" x14ac:dyDescent="0.25">
      <c r="A287" s="316" t="s">
        <v>4592</v>
      </c>
      <c r="B287">
        <v>43.190963255682945</v>
      </c>
      <c r="C287">
        <v>58</v>
      </c>
    </row>
    <row r="288" spans="1:3" ht="30" x14ac:dyDescent="0.25">
      <c r="A288" s="317" t="s">
        <v>4585</v>
      </c>
      <c r="B288">
        <v>17.820212323747874</v>
      </c>
      <c r="C288">
        <v>467</v>
      </c>
    </row>
    <row r="289" spans="1:3" ht="30" x14ac:dyDescent="0.25">
      <c r="A289" s="316" t="s">
        <v>4587</v>
      </c>
      <c r="B289">
        <v>4.9786634385588666</v>
      </c>
      <c r="C289">
        <v>693</v>
      </c>
    </row>
    <row r="290" spans="1:3" ht="30" x14ac:dyDescent="0.25">
      <c r="A290" s="317" t="s">
        <v>4588</v>
      </c>
      <c r="B290">
        <v>27.422853961863989</v>
      </c>
      <c r="C290">
        <v>242</v>
      </c>
    </row>
    <row r="291" spans="1:3" ht="30" x14ac:dyDescent="0.25">
      <c r="A291" s="316" t="s">
        <v>2679</v>
      </c>
      <c r="B291">
        <v>38.938934550858527</v>
      </c>
      <c r="C291">
        <v>81</v>
      </c>
    </row>
    <row r="292" spans="1:3" ht="30" x14ac:dyDescent="0.25">
      <c r="A292" s="317" t="s">
        <v>2673</v>
      </c>
      <c r="B292">
        <v>31.438934550858527</v>
      </c>
      <c r="C292">
        <v>164</v>
      </c>
    </row>
    <row r="293" spans="1:3" ht="30" x14ac:dyDescent="0.25">
      <c r="A293" s="316" t="s">
        <v>2949</v>
      </c>
      <c r="B293">
        <v>41.498954239599982</v>
      </c>
      <c r="C293">
        <v>67</v>
      </c>
    </row>
    <row r="294" spans="1:3" ht="30" x14ac:dyDescent="0.25">
      <c r="A294" s="317" t="s">
        <v>2943</v>
      </c>
      <c r="B294">
        <v>33.998954239599982</v>
      </c>
      <c r="C294">
        <v>129</v>
      </c>
    </row>
    <row r="295" spans="1:3" ht="30" x14ac:dyDescent="0.25">
      <c r="A295" s="316" t="s">
        <v>2880</v>
      </c>
      <c r="B295">
        <v>11.908457858621802</v>
      </c>
      <c r="C295">
        <v>581</v>
      </c>
    </row>
    <row r="296" spans="1:3" ht="30" x14ac:dyDescent="0.25">
      <c r="A296" s="317" t="s">
        <v>2892</v>
      </c>
      <c r="B296">
        <v>23.538167917578342</v>
      </c>
      <c r="C296">
        <v>344</v>
      </c>
    </row>
    <row r="297" spans="1:3" ht="30" x14ac:dyDescent="0.25">
      <c r="A297" s="316" t="s">
        <v>2897</v>
      </c>
      <c r="B297">
        <v>19.003735886104856</v>
      </c>
      <c r="C297">
        <v>448</v>
      </c>
    </row>
    <row r="298" spans="1:3" ht="30" x14ac:dyDescent="0.25">
      <c r="A298" s="317" t="s">
        <v>2903</v>
      </c>
      <c r="B298">
        <v>11.503735886104856</v>
      </c>
      <c r="C298">
        <v>590</v>
      </c>
    </row>
    <row r="299" spans="1:3" ht="30" x14ac:dyDescent="0.25">
      <c r="A299" s="316" t="s">
        <v>2926</v>
      </c>
      <c r="B299">
        <v>24.6927444521613</v>
      </c>
      <c r="C299">
        <v>322</v>
      </c>
    </row>
    <row r="300" spans="1:3" ht="30" x14ac:dyDescent="0.25">
      <c r="A300" s="317" t="s">
        <v>2941</v>
      </c>
      <c r="B300">
        <v>29.882063821257525</v>
      </c>
      <c r="C300">
        <v>193</v>
      </c>
    </row>
    <row r="301" spans="1:3" ht="30" x14ac:dyDescent="0.25">
      <c r="A301" s="316" t="s">
        <v>2650</v>
      </c>
      <c r="B301">
        <v>42.448241364965945</v>
      </c>
      <c r="C301">
        <v>62</v>
      </c>
    </row>
    <row r="302" spans="1:3" ht="30" x14ac:dyDescent="0.25">
      <c r="A302" s="317" t="s">
        <v>2657</v>
      </c>
      <c r="B302">
        <v>23.258026853023026</v>
      </c>
      <c r="C302">
        <v>352</v>
      </c>
    </row>
    <row r="303" spans="1:3" ht="30" x14ac:dyDescent="0.25">
      <c r="A303" s="316" t="s">
        <v>2715</v>
      </c>
      <c r="B303">
        <v>25.742363650245757</v>
      </c>
      <c r="C303">
        <v>299</v>
      </c>
    </row>
    <row r="304" spans="1:3" ht="30" x14ac:dyDescent="0.25">
      <c r="A304" s="317" t="s">
        <v>2699</v>
      </c>
      <c r="B304">
        <v>23.909893061075078</v>
      </c>
      <c r="C304">
        <v>333</v>
      </c>
    </row>
    <row r="305" spans="1:3" ht="30" x14ac:dyDescent="0.25">
      <c r="A305" s="316" t="s">
        <v>2696</v>
      </c>
      <c r="B305">
        <v>16.409893061075078</v>
      </c>
      <c r="C305">
        <v>497</v>
      </c>
    </row>
    <row r="306" spans="1:3" ht="30" x14ac:dyDescent="0.25">
      <c r="A306" s="317" t="s">
        <v>2707</v>
      </c>
      <c r="B306">
        <v>20.985661888213343</v>
      </c>
      <c r="C306">
        <v>421</v>
      </c>
    </row>
    <row r="307" spans="1:3" ht="30" x14ac:dyDescent="0.25">
      <c r="A307" s="316" t="s">
        <v>2669</v>
      </c>
      <c r="B307">
        <v>21.430233883246945</v>
      </c>
      <c r="C307">
        <v>414</v>
      </c>
    </row>
    <row r="308" spans="1:3" ht="30" x14ac:dyDescent="0.25">
      <c r="A308" s="317" t="s">
        <v>2726</v>
      </c>
      <c r="B308">
        <v>10.955807640642586</v>
      </c>
      <c r="C308">
        <v>600</v>
      </c>
    </row>
    <row r="309" spans="1:3" ht="30" x14ac:dyDescent="0.25">
      <c r="A309" s="316" t="s">
        <v>2798</v>
      </c>
      <c r="B309">
        <v>17.221457098655812</v>
      </c>
      <c r="C309">
        <v>478</v>
      </c>
    </row>
    <row r="310" spans="1:3" ht="30" x14ac:dyDescent="0.25">
      <c r="A310" s="317" t="s">
        <v>2634</v>
      </c>
      <c r="B310">
        <v>17.221457098655812</v>
      </c>
      <c r="C310">
        <v>478</v>
      </c>
    </row>
    <row r="311" spans="1:3" ht="30" x14ac:dyDescent="0.25">
      <c r="A311" s="316" t="s">
        <v>2866</v>
      </c>
      <c r="B311">
        <v>1.0557977249270696</v>
      </c>
      <c r="C311">
        <v>760</v>
      </c>
    </row>
    <row r="312" spans="1:3" ht="30" x14ac:dyDescent="0.25">
      <c r="A312" s="317" t="s">
        <v>2852</v>
      </c>
      <c r="B312">
        <v>11.397263006961218</v>
      </c>
      <c r="C312">
        <v>594</v>
      </c>
    </row>
    <row r="313" spans="1:3" ht="30" x14ac:dyDescent="0.25">
      <c r="A313" s="316" t="s">
        <v>2758</v>
      </c>
      <c r="B313">
        <v>31.438934550858527</v>
      </c>
      <c r="C313">
        <v>164</v>
      </c>
    </row>
    <row r="314" spans="1:3" ht="30" x14ac:dyDescent="0.25">
      <c r="A314" s="317" t="s">
        <v>2838</v>
      </c>
      <c r="B314">
        <v>1.8307646712113721</v>
      </c>
      <c r="C314">
        <v>756</v>
      </c>
    </row>
    <row r="315" spans="1:3" ht="30" x14ac:dyDescent="0.25">
      <c r="A315" s="316" t="s">
        <v>2728</v>
      </c>
      <c r="B315">
        <v>22.554837374166425</v>
      </c>
      <c r="C315">
        <v>377</v>
      </c>
    </row>
    <row r="316" spans="1:3" ht="30" x14ac:dyDescent="0.25">
      <c r="A316" s="317" t="s">
        <v>2801</v>
      </c>
      <c r="B316">
        <v>26.160648737838269</v>
      </c>
      <c r="C316">
        <v>287</v>
      </c>
    </row>
    <row r="317" spans="1:3" ht="30" x14ac:dyDescent="0.25">
      <c r="A317" s="316" t="s">
        <v>2814</v>
      </c>
      <c r="B317">
        <v>4.4767892666582902</v>
      </c>
      <c r="C317">
        <v>697</v>
      </c>
    </row>
    <row r="318" spans="1:3" ht="30" x14ac:dyDescent="0.25">
      <c r="A318" s="317" t="s">
        <v>2821</v>
      </c>
      <c r="B318">
        <v>1.9887669413400184</v>
      </c>
      <c r="C318">
        <v>755</v>
      </c>
    </row>
    <row r="319" spans="1:3" ht="30" x14ac:dyDescent="0.25">
      <c r="A319" s="316" t="s">
        <v>2824</v>
      </c>
      <c r="B319">
        <v>11.214377647264783</v>
      </c>
      <c r="C319">
        <v>596</v>
      </c>
    </row>
    <row r="320" spans="1:3" ht="30" x14ac:dyDescent="0.25">
      <c r="A320" s="317" t="s">
        <v>2826</v>
      </c>
      <c r="B320">
        <v>1.7619317879621403</v>
      </c>
      <c r="C320">
        <v>757</v>
      </c>
    </row>
    <row r="321" spans="1:3" ht="30" x14ac:dyDescent="0.25">
      <c r="A321" s="316" t="s">
        <v>2951</v>
      </c>
      <c r="B321">
        <v>33.998954239599982</v>
      </c>
      <c r="C321">
        <v>129</v>
      </c>
    </row>
    <row r="322" spans="1:3" ht="30" x14ac:dyDescent="0.25">
      <c r="A322" s="317" t="s">
        <v>2956</v>
      </c>
      <c r="B322">
        <v>33.998954239599982</v>
      </c>
      <c r="C322">
        <v>129</v>
      </c>
    </row>
    <row r="323" spans="1:3" ht="30" x14ac:dyDescent="0.25">
      <c r="A323" s="316" t="s">
        <v>2954</v>
      </c>
      <c r="B323">
        <v>33.998954239599982</v>
      </c>
      <c r="C323">
        <v>129</v>
      </c>
    </row>
    <row r="324" spans="1:3" ht="30" x14ac:dyDescent="0.25">
      <c r="A324" s="317" t="s">
        <v>2885</v>
      </c>
      <c r="B324">
        <v>4.4084578586218015</v>
      </c>
      <c r="C324">
        <v>698</v>
      </c>
    </row>
    <row r="325" spans="1:3" ht="30" x14ac:dyDescent="0.25">
      <c r="A325" s="316" t="s">
        <v>2883</v>
      </c>
      <c r="B325">
        <v>4.4084578586218015</v>
      </c>
      <c r="C325">
        <v>698</v>
      </c>
    </row>
    <row r="326" spans="1:3" ht="30" x14ac:dyDescent="0.25">
      <c r="A326" s="317" t="s">
        <v>2871</v>
      </c>
      <c r="B326">
        <v>4.4084578586218015</v>
      </c>
      <c r="C326">
        <v>698</v>
      </c>
    </row>
    <row r="327" spans="1:3" ht="30" x14ac:dyDescent="0.25">
      <c r="A327" s="316" t="s">
        <v>2895</v>
      </c>
      <c r="B327">
        <v>16.038031789021709</v>
      </c>
      <c r="C327">
        <v>509</v>
      </c>
    </row>
    <row r="328" spans="1:3" ht="30" x14ac:dyDescent="0.25">
      <c r="A328" s="317" t="s">
        <v>2909</v>
      </c>
      <c r="B328">
        <v>11.503735886104856</v>
      </c>
      <c r="C328">
        <v>590</v>
      </c>
    </row>
    <row r="329" spans="1:3" ht="30" x14ac:dyDescent="0.25">
      <c r="A329" s="316" t="s">
        <v>2906</v>
      </c>
      <c r="B329">
        <v>11.503735886104856</v>
      </c>
      <c r="C329">
        <v>590</v>
      </c>
    </row>
    <row r="330" spans="1:3" ht="30" x14ac:dyDescent="0.25">
      <c r="A330" s="317" t="s">
        <v>2924</v>
      </c>
      <c r="B330">
        <v>17.1927444521613</v>
      </c>
      <c r="C330">
        <v>480</v>
      </c>
    </row>
    <row r="331" spans="1:3" ht="30" x14ac:dyDescent="0.25">
      <c r="A331" s="316" t="s">
        <v>2912</v>
      </c>
      <c r="B331">
        <v>17.1927444521613</v>
      </c>
      <c r="C331">
        <v>480</v>
      </c>
    </row>
    <row r="332" spans="1:3" ht="30" x14ac:dyDescent="0.25">
      <c r="A332" s="317" t="s">
        <v>2921</v>
      </c>
      <c r="B332">
        <v>17.1927444521613</v>
      </c>
      <c r="C332">
        <v>480</v>
      </c>
    </row>
    <row r="333" spans="1:3" ht="30" x14ac:dyDescent="0.25">
      <c r="A333" s="316" t="s">
        <v>2938</v>
      </c>
      <c r="B333">
        <v>22.382063821257525</v>
      </c>
      <c r="C333">
        <v>381</v>
      </c>
    </row>
    <row r="334" spans="1:3" ht="30" x14ac:dyDescent="0.25">
      <c r="A334" s="317" t="s">
        <v>2928</v>
      </c>
      <c r="B334">
        <v>22.382063821257525</v>
      </c>
      <c r="C334">
        <v>381</v>
      </c>
    </row>
    <row r="335" spans="1:3" ht="30" x14ac:dyDescent="0.25">
      <c r="A335" s="316" t="s">
        <v>2935</v>
      </c>
      <c r="B335">
        <v>22.382063821257525</v>
      </c>
      <c r="C335">
        <v>381</v>
      </c>
    </row>
    <row r="336" spans="1:3" ht="30" x14ac:dyDescent="0.25">
      <c r="A336" s="317" t="s">
        <v>2764</v>
      </c>
      <c r="B336">
        <v>16.78929134559835</v>
      </c>
      <c r="C336">
        <v>489</v>
      </c>
    </row>
    <row r="337" spans="1:3" ht="30" x14ac:dyDescent="0.25">
      <c r="A337" s="316" t="s">
        <v>2761</v>
      </c>
      <c r="B337">
        <v>16.78929134559835</v>
      </c>
      <c r="C337">
        <v>489</v>
      </c>
    </row>
    <row r="338" spans="1:3" ht="30" x14ac:dyDescent="0.25">
      <c r="A338" s="317" t="s">
        <v>2767</v>
      </c>
      <c r="B338">
        <v>16.78929134559835</v>
      </c>
      <c r="C338">
        <v>489</v>
      </c>
    </row>
    <row r="339" spans="1:3" ht="30" x14ac:dyDescent="0.25">
      <c r="A339" s="316" t="s">
        <v>2771</v>
      </c>
      <c r="B339">
        <v>16.78929134559835</v>
      </c>
      <c r="C339">
        <v>489</v>
      </c>
    </row>
    <row r="340" spans="1:3" ht="30" x14ac:dyDescent="0.25">
      <c r="A340" s="317" t="s">
        <v>2732</v>
      </c>
      <c r="B340">
        <v>15.758026853023027</v>
      </c>
      <c r="C340">
        <v>518</v>
      </c>
    </row>
    <row r="341" spans="1:3" ht="30" x14ac:dyDescent="0.25">
      <c r="A341" s="316" t="s">
        <v>2811</v>
      </c>
      <c r="B341">
        <v>1.1343369592739716</v>
      </c>
      <c r="C341">
        <v>759</v>
      </c>
    </row>
    <row r="342" spans="1:3" ht="30" x14ac:dyDescent="0.25">
      <c r="A342" s="317" t="s">
        <v>2808</v>
      </c>
      <c r="B342">
        <v>35.299097809427479</v>
      </c>
      <c r="C342">
        <v>100</v>
      </c>
    </row>
    <row r="343" spans="1:3" ht="30" x14ac:dyDescent="0.25">
      <c r="A343" s="316" t="s">
        <v>2737</v>
      </c>
      <c r="B343">
        <v>20.14510903284906</v>
      </c>
      <c r="C343">
        <v>433</v>
      </c>
    </row>
    <row r="344" spans="1:3" ht="30" x14ac:dyDescent="0.25">
      <c r="A344" s="317" t="s">
        <v>2740</v>
      </c>
      <c r="B344">
        <v>20.14510903284906</v>
      </c>
      <c r="C344">
        <v>433</v>
      </c>
    </row>
    <row r="345" spans="1:3" ht="30" x14ac:dyDescent="0.25">
      <c r="A345" s="316" t="s">
        <v>2595</v>
      </c>
      <c r="B345">
        <v>10.4282364251966</v>
      </c>
      <c r="C345">
        <v>607</v>
      </c>
    </row>
    <row r="346" spans="1:3" ht="30" x14ac:dyDescent="0.25">
      <c r="A346" s="317" t="s">
        <v>2778</v>
      </c>
      <c r="B346">
        <v>16.409893061075078</v>
      </c>
      <c r="C346">
        <v>497</v>
      </c>
    </row>
    <row r="347" spans="1:3" ht="30" x14ac:dyDescent="0.25">
      <c r="A347" s="316" t="s">
        <v>2780</v>
      </c>
      <c r="B347">
        <v>16.409893061075078</v>
      </c>
      <c r="C347">
        <v>497</v>
      </c>
    </row>
    <row r="348" spans="1:3" ht="30" x14ac:dyDescent="0.25">
      <c r="A348" s="317" t="s">
        <v>2775</v>
      </c>
      <c r="B348">
        <v>16.409893061075078</v>
      </c>
      <c r="C348">
        <v>497</v>
      </c>
    </row>
    <row r="349" spans="1:3" ht="30" x14ac:dyDescent="0.25">
      <c r="A349" s="316" t="s">
        <v>2783</v>
      </c>
      <c r="B349">
        <v>16.409893061075078</v>
      </c>
      <c r="C349">
        <v>497</v>
      </c>
    </row>
    <row r="350" spans="1:3" ht="30" x14ac:dyDescent="0.25">
      <c r="A350" s="317" t="s">
        <v>2844</v>
      </c>
      <c r="B350">
        <v>9.5904942657266972</v>
      </c>
      <c r="C350">
        <v>620</v>
      </c>
    </row>
    <row r="351" spans="1:3" ht="30" x14ac:dyDescent="0.25">
      <c r="A351" s="316" t="s">
        <v>2794</v>
      </c>
      <c r="B351">
        <v>13.485661888213343</v>
      </c>
      <c r="C351">
        <v>552</v>
      </c>
    </row>
    <row r="352" spans="1:3" ht="30" x14ac:dyDescent="0.25">
      <c r="A352" s="317" t="s">
        <v>2791</v>
      </c>
      <c r="B352">
        <v>13.485661888213343</v>
      </c>
      <c r="C352">
        <v>552</v>
      </c>
    </row>
    <row r="353" spans="1:3" ht="30" x14ac:dyDescent="0.25">
      <c r="A353" s="316" t="s">
        <v>2788</v>
      </c>
      <c r="B353">
        <v>13.485661888213343</v>
      </c>
      <c r="C353">
        <v>552</v>
      </c>
    </row>
    <row r="354" spans="1:3" ht="30" x14ac:dyDescent="0.25">
      <c r="A354" s="317" t="s">
        <v>2786</v>
      </c>
      <c r="B354">
        <v>13.485661888213343</v>
      </c>
      <c r="C354">
        <v>552</v>
      </c>
    </row>
    <row r="355" spans="1:3" ht="30" x14ac:dyDescent="0.25">
      <c r="A355" s="316" t="s">
        <v>2859</v>
      </c>
      <c r="B355">
        <v>32.016331215490155</v>
      </c>
      <c r="C355">
        <v>151</v>
      </c>
    </row>
    <row r="356" spans="1:3" ht="30" x14ac:dyDescent="0.25">
      <c r="A356" s="317" t="s">
        <v>2831</v>
      </c>
      <c r="B356">
        <v>12.041089672323343</v>
      </c>
      <c r="C356">
        <v>578</v>
      </c>
    </row>
    <row r="357" spans="1:3" ht="30" x14ac:dyDescent="0.25">
      <c r="A357" s="316" t="s">
        <v>2743</v>
      </c>
      <c r="B357">
        <v>13.930233883246945</v>
      </c>
      <c r="C357">
        <v>545</v>
      </c>
    </row>
    <row r="358" spans="1:3" ht="30" x14ac:dyDescent="0.25">
      <c r="A358" s="317" t="s">
        <v>2746</v>
      </c>
      <c r="B358">
        <v>13.930233883246945</v>
      </c>
      <c r="C358">
        <v>545</v>
      </c>
    </row>
    <row r="359" spans="1:3" ht="30" x14ac:dyDescent="0.25">
      <c r="A359" s="316" t="s">
        <v>2868</v>
      </c>
      <c r="B359">
        <v>3.4558076406425866</v>
      </c>
      <c r="C359">
        <v>709</v>
      </c>
    </row>
    <row r="360" spans="1:3" ht="30" x14ac:dyDescent="0.25">
      <c r="A360" s="317" t="s">
        <v>2755</v>
      </c>
      <c r="B360">
        <v>15.60701537224179</v>
      </c>
      <c r="C360">
        <v>521</v>
      </c>
    </row>
    <row r="361" spans="1:3" ht="30" x14ac:dyDescent="0.25">
      <c r="A361" s="316" t="s">
        <v>2749</v>
      </c>
      <c r="B361">
        <v>15.60701537224179</v>
      </c>
      <c r="C361">
        <v>521</v>
      </c>
    </row>
    <row r="362" spans="1:3" ht="30" x14ac:dyDescent="0.25">
      <c r="A362" s="317" t="s">
        <v>2752</v>
      </c>
      <c r="B362">
        <v>15.60701537224179</v>
      </c>
      <c r="C362">
        <v>521</v>
      </c>
    </row>
    <row r="363" spans="1:3" ht="30" x14ac:dyDescent="0.25">
      <c r="A363" s="316" t="s">
        <v>1</v>
      </c>
      <c r="B363">
        <v>26.736258231921845</v>
      </c>
      <c r="C363">
        <v>267</v>
      </c>
    </row>
    <row r="364" spans="1:3" ht="30" x14ac:dyDescent="0.25">
      <c r="A364" s="317" t="s">
        <v>8</v>
      </c>
      <c r="B364">
        <v>26.736258231921845</v>
      </c>
      <c r="C364">
        <v>267</v>
      </c>
    </row>
    <row r="365" spans="1:3" ht="30" x14ac:dyDescent="0.25">
      <c r="A365" s="316" t="s">
        <v>9</v>
      </c>
      <c r="B365">
        <v>26.736258231921845</v>
      </c>
      <c r="C365">
        <v>267</v>
      </c>
    </row>
    <row r="366" spans="1:3" ht="30" x14ac:dyDescent="0.25">
      <c r="A366" s="317" t="s">
        <v>10</v>
      </c>
      <c r="B366">
        <v>26.736258231921845</v>
      </c>
      <c r="C366">
        <v>267</v>
      </c>
    </row>
    <row r="367" spans="1:3" ht="30" x14ac:dyDescent="0.25">
      <c r="A367" s="316" t="s">
        <v>11</v>
      </c>
      <c r="B367">
        <v>27.736258231921845</v>
      </c>
      <c r="C367">
        <v>229</v>
      </c>
    </row>
    <row r="368" spans="1:3" ht="30" x14ac:dyDescent="0.25">
      <c r="A368" s="317" t="s">
        <v>14</v>
      </c>
      <c r="B368">
        <v>1.5000000000000002</v>
      </c>
      <c r="C368">
        <v>758</v>
      </c>
    </row>
    <row r="369" spans="1:3" ht="30" x14ac:dyDescent="0.25">
      <c r="A369" s="316" t="s">
        <v>18</v>
      </c>
      <c r="B369">
        <v>0</v>
      </c>
      <c r="C369">
        <v>771</v>
      </c>
    </row>
    <row r="370" spans="1:3" ht="30" x14ac:dyDescent="0.25">
      <c r="A370" s="317" t="s">
        <v>22</v>
      </c>
      <c r="B370">
        <v>52.836868380583191</v>
      </c>
      <c r="C370">
        <v>13</v>
      </c>
    </row>
    <row r="371" spans="1:3" ht="30" x14ac:dyDescent="0.25">
      <c r="A371" s="316" t="s">
        <v>25</v>
      </c>
      <c r="B371">
        <v>53.836868380583191</v>
      </c>
      <c r="C371">
        <v>10</v>
      </c>
    </row>
    <row r="372" spans="1:3" ht="30" x14ac:dyDescent="0.25">
      <c r="A372" s="317" t="s">
        <v>29</v>
      </c>
      <c r="B372">
        <v>53.836868380583191</v>
      </c>
      <c r="C372">
        <v>10</v>
      </c>
    </row>
    <row r="373" spans="1:3" ht="30" x14ac:dyDescent="0.25">
      <c r="A373" s="316" t="s">
        <v>32</v>
      </c>
      <c r="B373">
        <v>53.836868380583191</v>
      </c>
      <c r="C373">
        <v>10</v>
      </c>
    </row>
    <row r="374" spans="1:3" ht="30" x14ac:dyDescent="0.25">
      <c r="A374" s="317" t="s">
        <v>35</v>
      </c>
      <c r="B374">
        <v>25.847842570344973</v>
      </c>
      <c r="C374">
        <v>298</v>
      </c>
    </row>
    <row r="375" spans="1:3" ht="30" x14ac:dyDescent="0.25">
      <c r="A375" s="316" t="s">
        <v>40</v>
      </c>
      <c r="B375">
        <v>35.147761668546764</v>
      </c>
      <c r="C375">
        <v>102</v>
      </c>
    </row>
    <row r="376" spans="1:3" ht="30" x14ac:dyDescent="0.25">
      <c r="A376" s="317" t="s">
        <v>43</v>
      </c>
      <c r="B376">
        <v>34.629539934919549</v>
      </c>
      <c r="C376">
        <v>111</v>
      </c>
    </row>
    <row r="377" spans="1:3" ht="30" x14ac:dyDescent="0.25">
      <c r="A377" s="316" t="s">
        <v>47</v>
      </c>
      <c r="B377">
        <v>46.576346019223593</v>
      </c>
      <c r="C377">
        <v>32</v>
      </c>
    </row>
    <row r="378" spans="1:3" ht="30" x14ac:dyDescent="0.25">
      <c r="A378" s="317" t="s">
        <v>51</v>
      </c>
      <c r="B378">
        <v>22.174420784742157</v>
      </c>
      <c r="C378">
        <v>391</v>
      </c>
    </row>
    <row r="379" spans="1:3" ht="30" x14ac:dyDescent="0.25">
      <c r="A379" s="316" t="s">
        <v>54</v>
      </c>
      <c r="B379">
        <v>20.420563709024012</v>
      </c>
      <c r="C379">
        <v>425</v>
      </c>
    </row>
    <row r="380" spans="1:3" ht="30" x14ac:dyDescent="0.25">
      <c r="A380" s="317" t="s">
        <v>57</v>
      </c>
      <c r="B380">
        <v>46.07647865075991</v>
      </c>
      <c r="C380">
        <v>39</v>
      </c>
    </row>
    <row r="381" spans="1:3" ht="30" x14ac:dyDescent="0.25">
      <c r="A381" s="316" t="s">
        <v>60</v>
      </c>
      <c r="B381">
        <v>7.3617076610851138</v>
      </c>
      <c r="C381">
        <v>662</v>
      </c>
    </row>
    <row r="382" spans="1:3" ht="30" x14ac:dyDescent="0.25">
      <c r="A382" s="317" t="s">
        <v>66</v>
      </c>
      <c r="B382">
        <v>8.3996298780629672</v>
      </c>
      <c r="C382">
        <v>642</v>
      </c>
    </row>
    <row r="383" spans="1:3" ht="30" x14ac:dyDescent="0.25">
      <c r="A383" s="316" t="s">
        <v>71</v>
      </c>
      <c r="B383">
        <v>7.2133616001972287</v>
      </c>
      <c r="C383">
        <v>665</v>
      </c>
    </row>
    <row r="384" spans="1:3" ht="30" x14ac:dyDescent="0.25">
      <c r="A384" s="317" t="s">
        <v>75</v>
      </c>
      <c r="B384">
        <v>8.3996298780629672</v>
      </c>
      <c r="C384">
        <v>642</v>
      </c>
    </row>
    <row r="385" spans="1:3" ht="30" x14ac:dyDescent="0.25">
      <c r="A385" s="316" t="s">
        <v>78</v>
      </c>
      <c r="B385">
        <v>31.512105652748083</v>
      </c>
      <c r="C385">
        <v>162</v>
      </c>
    </row>
    <row r="386" spans="1:3" ht="30" x14ac:dyDescent="0.25">
      <c r="A386" s="317" t="s">
        <v>82</v>
      </c>
      <c r="B386">
        <v>45.575440951084659</v>
      </c>
      <c r="C386">
        <v>48</v>
      </c>
    </row>
    <row r="387" spans="1:3" ht="30" x14ac:dyDescent="0.25">
      <c r="A387" s="316" t="s">
        <v>86</v>
      </c>
      <c r="B387">
        <v>18.842869664503056</v>
      </c>
      <c r="C387">
        <v>451</v>
      </c>
    </row>
    <row r="388" spans="1:3" ht="30" x14ac:dyDescent="0.25">
      <c r="A388" s="317" t="s">
        <v>90</v>
      </c>
      <c r="B388">
        <v>22.674420483263543</v>
      </c>
      <c r="C388">
        <v>371</v>
      </c>
    </row>
    <row r="389" spans="1:3" ht="30" x14ac:dyDescent="0.25">
      <c r="A389" s="316" t="s">
        <v>93</v>
      </c>
      <c r="B389">
        <v>19.342869664503056</v>
      </c>
      <c r="C389">
        <v>443</v>
      </c>
    </row>
    <row r="390" spans="1:3" ht="30" x14ac:dyDescent="0.25">
      <c r="A390" s="317" t="s">
        <v>96</v>
      </c>
      <c r="B390">
        <v>1</v>
      </c>
      <c r="C390">
        <v>761</v>
      </c>
    </row>
    <row r="391" spans="1:3" ht="30" x14ac:dyDescent="0.25">
      <c r="A391" s="316" t="s">
        <v>99</v>
      </c>
      <c r="B391">
        <v>2.4315272962659411</v>
      </c>
      <c r="C391">
        <v>727</v>
      </c>
    </row>
    <row r="392" spans="1:3" ht="30" x14ac:dyDescent="0.25">
      <c r="A392" s="317" t="s">
        <v>101</v>
      </c>
      <c r="B392">
        <v>34.648221272822475</v>
      </c>
      <c r="C392">
        <v>109</v>
      </c>
    </row>
    <row r="393" spans="1:3" ht="30" x14ac:dyDescent="0.25">
      <c r="A393" s="316" t="s">
        <v>103</v>
      </c>
      <c r="B393">
        <v>34.648221272822475</v>
      </c>
      <c r="C393">
        <v>109</v>
      </c>
    </row>
    <row r="394" spans="1:3" ht="30" x14ac:dyDescent="0.25">
      <c r="A394" s="317" t="s">
        <v>105</v>
      </c>
      <c r="B394">
        <v>28.236258231921845</v>
      </c>
      <c r="C394">
        <v>225</v>
      </c>
    </row>
    <row r="395" spans="1:3" ht="30" x14ac:dyDescent="0.25">
      <c r="A395" s="316" t="s">
        <v>107</v>
      </c>
      <c r="B395">
        <v>35.148221272822475</v>
      </c>
      <c r="C395">
        <v>101</v>
      </c>
    </row>
    <row r="396" spans="1:3" ht="30" x14ac:dyDescent="0.25">
      <c r="A396" s="317" t="s">
        <v>110</v>
      </c>
      <c r="B396">
        <v>16.952573932255916</v>
      </c>
      <c r="C396">
        <v>485</v>
      </c>
    </row>
    <row r="397" spans="1:3" ht="30" x14ac:dyDescent="0.25">
      <c r="A397" s="316" t="s">
        <v>113</v>
      </c>
      <c r="B397">
        <v>15.952573932255916</v>
      </c>
      <c r="C397">
        <v>510</v>
      </c>
    </row>
    <row r="398" spans="1:3" ht="30" x14ac:dyDescent="0.25">
      <c r="A398" s="317" t="s">
        <v>116</v>
      </c>
      <c r="B398">
        <v>15.952573932255916</v>
      </c>
      <c r="C398">
        <v>510</v>
      </c>
    </row>
    <row r="399" spans="1:3" ht="30" x14ac:dyDescent="0.25">
      <c r="A399" s="316" t="s">
        <v>118</v>
      </c>
      <c r="B399">
        <v>22.06921708965071</v>
      </c>
      <c r="C399">
        <v>394</v>
      </c>
    </row>
    <row r="400" spans="1:3" ht="30" x14ac:dyDescent="0.25">
      <c r="A400" s="317" t="s">
        <v>121</v>
      </c>
      <c r="B400">
        <v>29.736711505471362</v>
      </c>
      <c r="C400">
        <v>194</v>
      </c>
    </row>
    <row r="401" spans="1:3" ht="30" x14ac:dyDescent="0.25">
      <c r="A401" s="316" t="s">
        <v>124</v>
      </c>
      <c r="B401">
        <v>30.236711505471362</v>
      </c>
      <c r="C401">
        <v>182</v>
      </c>
    </row>
    <row r="402" spans="1:3" ht="30" x14ac:dyDescent="0.25">
      <c r="A402" s="317" t="s">
        <v>126</v>
      </c>
      <c r="B402">
        <v>30.736711505471362</v>
      </c>
      <c r="C402">
        <v>173</v>
      </c>
    </row>
    <row r="403" spans="1:3" ht="30" x14ac:dyDescent="0.25">
      <c r="A403" s="316" t="s">
        <v>129</v>
      </c>
      <c r="B403">
        <v>21.674417852165554</v>
      </c>
      <c r="C403">
        <v>406</v>
      </c>
    </row>
    <row r="404" spans="1:3" ht="30" x14ac:dyDescent="0.25">
      <c r="A404" s="317" t="s">
        <v>132</v>
      </c>
      <c r="B404">
        <v>21.674417852165554</v>
      </c>
      <c r="C404">
        <v>406</v>
      </c>
    </row>
    <row r="405" spans="1:3" ht="30" x14ac:dyDescent="0.25">
      <c r="A405" s="316" t="s">
        <v>135</v>
      </c>
      <c r="B405">
        <v>21.674417852165554</v>
      </c>
      <c r="C405">
        <v>406</v>
      </c>
    </row>
    <row r="406" spans="1:3" ht="30" x14ac:dyDescent="0.25">
      <c r="A406" s="317" t="s">
        <v>138</v>
      </c>
      <c r="B406">
        <v>18.538026158787702</v>
      </c>
      <c r="C406">
        <v>457</v>
      </c>
    </row>
    <row r="407" spans="1:3" ht="30" x14ac:dyDescent="0.25">
      <c r="A407" s="316" t="s">
        <v>140</v>
      </c>
      <c r="B407">
        <v>12.603679996226656</v>
      </c>
      <c r="C407">
        <v>568</v>
      </c>
    </row>
    <row r="408" spans="1:3" ht="30" x14ac:dyDescent="0.25">
      <c r="A408" s="317" t="s">
        <v>143</v>
      </c>
      <c r="B408">
        <v>23.830415470762599</v>
      </c>
      <c r="C408">
        <v>336</v>
      </c>
    </row>
    <row r="409" spans="1:3" ht="30" x14ac:dyDescent="0.25">
      <c r="A409" s="316" t="s">
        <v>144</v>
      </c>
      <c r="B409">
        <v>28.736258231921845</v>
      </c>
      <c r="C409">
        <v>215</v>
      </c>
    </row>
    <row r="410" spans="1:3" ht="30" x14ac:dyDescent="0.25">
      <c r="A410" s="317" t="s">
        <v>145</v>
      </c>
      <c r="B410">
        <v>17.843568148302548</v>
      </c>
      <c r="C410">
        <v>465</v>
      </c>
    </row>
    <row r="411" spans="1:3" ht="30" x14ac:dyDescent="0.25">
      <c r="A411" s="316" t="s">
        <v>147</v>
      </c>
      <c r="B411">
        <v>25.606151083788017</v>
      </c>
      <c r="C411">
        <v>301</v>
      </c>
    </row>
    <row r="412" spans="1:3" ht="30" x14ac:dyDescent="0.25">
      <c r="A412" s="317" t="s">
        <v>1046</v>
      </c>
      <c r="B412">
        <v>31.0392048044604</v>
      </c>
      <c r="C412">
        <v>172</v>
      </c>
    </row>
    <row r="413" spans="1:3" ht="30" x14ac:dyDescent="0.25">
      <c r="A413" s="316" t="s">
        <v>151</v>
      </c>
      <c r="B413">
        <v>21.06921708965071</v>
      </c>
      <c r="C413">
        <v>419</v>
      </c>
    </row>
    <row r="414" spans="1:3" ht="30" x14ac:dyDescent="0.25">
      <c r="A414" s="317" t="s">
        <v>152</v>
      </c>
      <c r="B414">
        <v>21.06921708965071</v>
      </c>
      <c r="C414">
        <v>419</v>
      </c>
    </row>
    <row r="415" spans="1:3" ht="30" x14ac:dyDescent="0.25">
      <c r="A415" s="316" t="s">
        <v>154</v>
      </c>
      <c r="B415">
        <v>45.578187067965388</v>
      </c>
      <c r="C415">
        <v>47</v>
      </c>
    </row>
    <row r="416" spans="1:3" ht="30" x14ac:dyDescent="0.25">
      <c r="A416" s="317" t="s">
        <v>156</v>
      </c>
      <c r="B416">
        <v>36.075076965433972</v>
      </c>
      <c r="C416">
        <v>96</v>
      </c>
    </row>
    <row r="417" spans="1:3" ht="30" x14ac:dyDescent="0.25">
      <c r="A417" s="316" t="s">
        <v>159</v>
      </c>
      <c r="B417">
        <v>35.075076965433972</v>
      </c>
      <c r="C417">
        <v>104</v>
      </c>
    </row>
    <row r="418" spans="1:3" ht="30" x14ac:dyDescent="0.25">
      <c r="A418" s="317" t="s">
        <v>161</v>
      </c>
      <c r="B418">
        <v>0.5</v>
      </c>
      <c r="C418">
        <v>768</v>
      </c>
    </row>
    <row r="419" spans="1:3" ht="30" x14ac:dyDescent="0.25">
      <c r="A419" s="316" t="s">
        <v>164</v>
      </c>
      <c r="B419">
        <v>6.5511890192516082</v>
      </c>
      <c r="C419">
        <v>674</v>
      </c>
    </row>
    <row r="420" spans="1:3" ht="30" x14ac:dyDescent="0.25">
      <c r="A420" s="317" t="s">
        <v>166</v>
      </c>
      <c r="B420">
        <v>52.336868380583191</v>
      </c>
      <c r="C420">
        <v>15</v>
      </c>
    </row>
    <row r="421" spans="1:3" ht="30" x14ac:dyDescent="0.25">
      <c r="A421" s="316" t="s">
        <v>274</v>
      </c>
      <c r="B421">
        <v>27.577730925306248</v>
      </c>
      <c r="C421">
        <v>234</v>
      </c>
    </row>
    <row r="422" spans="1:3" ht="30" x14ac:dyDescent="0.25">
      <c r="A422" s="317" t="s">
        <v>281</v>
      </c>
      <c r="B422">
        <v>26.996097909523272</v>
      </c>
      <c r="C422">
        <v>261</v>
      </c>
    </row>
    <row r="423" spans="1:3" ht="30" x14ac:dyDescent="0.25">
      <c r="A423" s="316" t="s">
        <v>173</v>
      </c>
      <c r="B423">
        <v>52.336868380583191</v>
      </c>
      <c r="C423">
        <v>15</v>
      </c>
    </row>
    <row r="424" spans="1:3" ht="30" x14ac:dyDescent="0.25">
      <c r="A424" s="317" t="s">
        <v>176</v>
      </c>
      <c r="B424">
        <v>23.179775814028066</v>
      </c>
      <c r="C424">
        <v>355</v>
      </c>
    </row>
    <row r="425" spans="1:3" ht="30" x14ac:dyDescent="0.25">
      <c r="A425" s="316" t="s">
        <v>178</v>
      </c>
      <c r="B425">
        <v>30.512764301651472</v>
      </c>
      <c r="C425">
        <v>177</v>
      </c>
    </row>
    <row r="426" spans="1:3" ht="30" x14ac:dyDescent="0.25">
      <c r="A426" s="317" t="s">
        <v>4607</v>
      </c>
      <c r="B426">
        <v>13.150645683627051</v>
      </c>
      <c r="C426">
        <v>558</v>
      </c>
    </row>
    <row r="427" spans="1:3" ht="30" x14ac:dyDescent="0.25">
      <c r="A427" s="316" t="s">
        <v>4615</v>
      </c>
      <c r="B427">
        <v>9.433158600983095</v>
      </c>
      <c r="C427">
        <v>624</v>
      </c>
    </row>
    <row r="428" spans="1:3" ht="30" x14ac:dyDescent="0.25">
      <c r="A428" s="317" t="s">
        <v>3195</v>
      </c>
      <c r="B428">
        <v>28.872518807681086</v>
      </c>
      <c r="C428">
        <v>211</v>
      </c>
    </row>
    <row r="429" spans="1:3" ht="30" x14ac:dyDescent="0.25">
      <c r="A429" s="316" t="s">
        <v>3153</v>
      </c>
      <c r="B429">
        <v>10.054773765553543</v>
      </c>
      <c r="C429">
        <v>614</v>
      </c>
    </row>
    <row r="430" spans="1:3" ht="30" x14ac:dyDescent="0.25">
      <c r="A430" s="317" t="s">
        <v>3031</v>
      </c>
      <c r="B430">
        <v>21.697686453088227</v>
      </c>
      <c r="C430">
        <v>404</v>
      </c>
    </row>
    <row r="431" spans="1:3" ht="30" x14ac:dyDescent="0.25">
      <c r="A431" s="316" t="s">
        <v>3057</v>
      </c>
      <c r="B431">
        <v>36.838766969527143</v>
      </c>
      <c r="C431">
        <v>93</v>
      </c>
    </row>
    <row r="432" spans="1:3" ht="30" x14ac:dyDescent="0.25">
      <c r="A432" s="317" t="s">
        <v>3050</v>
      </c>
      <c r="B432">
        <v>35.838766969527143</v>
      </c>
      <c r="C432">
        <v>99</v>
      </c>
    </row>
    <row r="433" spans="1:3" ht="30" x14ac:dyDescent="0.25">
      <c r="A433" s="316" t="s">
        <v>3297</v>
      </c>
      <c r="B433">
        <v>9.3487293571429628</v>
      </c>
      <c r="C433">
        <v>626</v>
      </c>
    </row>
    <row r="434" spans="1:3" ht="30" x14ac:dyDescent="0.25">
      <c r="A434" s="317" t="s">
        <v>3218</v>
      </c>
      <c r="B434">
        <v>13.295801412537923</v>
      </c>
      <c r="C434">
        <v>556</v>
      </c>
    </row>
    <row r="435" spans="1:3" ht="30" x14ac:dyDescent="0.25">
      <c r="A435" s="316" t="s">
        <v>3278</v>
      </c>
      <c r="B435">
        <v>9.0389496765871957</v>
      </c>
      <c r="C435">
        <v>630</v>
      </c>
    </row>
    <row r="436" spans="1:3" ht="30" x14ac:dyDescent="0.25">
      <c r="A436" s="317" t="s">
        <v>3271</v>
      </c>
      <c r="B436">
        <v>4.0541298068540002</v>
      </c>
      <c r="C436">
        <v>703</v>
      </c>
    </row>
    <row r="437" spans="1:3" ht="30" x14ac:dyDescent="0.25">
      <c r="A437" s="316" t="s">
        <v>3067</v>
      </c>
      <c r="B437">
        <v>1</v>
      </c>
      <c r="C437">
        <v>761</v>
      </c>
    </row>
    <row r="438" spans="1:3" ht="30" x14ac:dyDescent="0.25">
      <c r="A438" s="317" t="s">
        <v>3290</v>
      </c>
      <c r="B438">
        <v>10.641962282792607</v>
      </c>
      <c r="C438">
        <v>603</v>
      </c>
    </row>
    <row r="439" spans="1:3" ht="30" x14ac:dyDescent="0.25">
      <c r="A439" s="316" t="s">
        <v>3323</v>
      </c>
      <c r="B439">
        <v>2</v>
      </c>
      <c r="C439">
        <v>741</v>
      </c>
    </row>
    <row r="440" spans="1:3" ht="30" x14ac:dyDescent="0.25">
      <c r="A440" s="317" t="s">
        <v>3245</v>
      </c>
      <c r="B440">
        <v>4.1398506050131614</v>
      </c>
      <c r="C440">
        <v>701</v>
      </c>
    </row>
    <row r="441" spans="1:3" ht="30" x14ac:dyDescent="0.25">
      <c r="A441" s="316" t="s">
        <v>3252</v>
      </c>
      <c r="B441">
        <v>2.9017494844288292</v>
      </c>
      <c r="C441">
        <v>716</v>
      </c>
    </row>
    <row r="442" spans="1:3" ht="30" x14ac:dyDescent="0.25">
      <c r="A442" s="317" t="s">
        <v>3232</v>
      </c>
      <c r="B442">
        <v>3.3200739217398345</v>
      </c>
      <c r="C442">
        <v>713</v>
      </c>
    </row>
    <row r="443" spans="1:3" ht="30" x14ac:dyDescent="0.25">
      <c r="A443" s="316" t="s">
        <v>3211</v>
      </c>
      <c r="B443">
        <v>24.07293921619933</v>
      </c>
      <c r="C443">
        <v>328</v>
      </c>
    </row>
    <row r="444" spans="1:3" ht="30" x14ac:dyDescent="0.25">
      <c r="A444" s="317" t="s">
        <v>3040</v>
      </c>
      <c r="B444">
        <v>34.026941128441706</v>
      </c>
      <c r="C444">
        <v>128</v>
      </c>
    </row>
    <row r="445" spans="1:3" ht="30" x14ac:dyDescent="0.25">
      <c r="A445" s="316" t="s">
        <v>3082</v>
      </c>
      <c r="B445">
        <v>2</v>
      </c>
      <c r="C445">
        <v>741</v>
      </c>
    </row>
    <row r="446" spans="1:3" ht="30" x14ac:dyDescent="0.25">
      <c r="A446" s="317" t="s">
        <v>3329</v>
      </c>
      <c r="B446">
        <v>8.2227224021314615</v>
      </c>
      <c r="C446">
        <v>649</v>
      </c>
    </row>
    <row r="447" spans="1:3" ht="30" x14ac:dyDescent="0.25">
      <c r="A447" s="316" t="s">
        <v>3259</v>
      </c>
      <c r="B447">
        <v>21.43881685967494</v>
      </c>
      <c r="C447">
        <v>413</v>
      </c>
    </row>
    <row r="448" spans="1:3" ht="30" x14ac:dyDescent="0.25">
      <c r="A448" s="317" t="s">
        <v>3305</v>
      </c>
      <c r="B448">
        <v>2</v>
      </c>
      <c r="C448">
        <v>741</v>
      </c>
    </row>
    <row r="449" spans="1:3" ht="30" x14ac:dyDescent="0.25">
      <c r="A449" s="316" t="s">
        <v>3203</v>
      </c>
      <c r="B449">
        <v>22.26657795580546</v>
      </c>
      <c r="C449">
        <v>387</v>
      </c>
    </row>
    <row r="450" spans="1:3" ht="30" x14ac:dyDescent="0.25">
      <c r="A450" s="317" t="s">
        <v>3283</v>
      </c>
      <c r="B450">
        <v>6.4682069333454217</v>
      </c>
      <c r="C450">
        <v>678</v>
      </c>
    </row>
    <row r="451" spans="1:3" ht="30" x14ac:dyDescent="0.25">
      <c r="A451" s="316" t="s">
        <v>3265</v>
      </c>
      <c r="B451">
        <v>10.698694974553991</v>
      </c>
      <c r="C451">
        <v>602</v>
      </c>
    </row>
    <row r="452" spans="1:3" ht="30" x14ac:dyDescent="0.25">
      <c r="A452" s="317" t="s">
        <v>3076</v>
      </c>
      <c r="B452">
        <v>2</v>
      </c>
      <c r="C452">
        <v>741</v>
      </c>
    </row>
    <row r="453" spans="1:3" ht="30" x14ac:dyDescent="0.25">
      <c r="A453" s="316" t="s">
        <v>3335</v>
      </c>
      <c r="B453">
        <v>6.8195111128917674</v>
      </c>
      <c r="C453">
        <v>672</v>
      </c>
    </row>
    <row r="454" spans="1:3" ht="30" x14ac:dyDescent="0.25">
      <c r="A454" s="317" t="s">
        <v>3061</v>
      </c>
      <c r="B454">
        <v>9.4642597334212191</v>
      </c>
      <c r="C454">
        <v>622</v>
      </c>
    </row>
    <row r="455" spans="1:3" ht="30" x14ac:dyDescent="0.25">
      <c r="A455" s="316" t="s">
        <v>3318</v>
      </c>
      <c r="B455">
        <v>6.9963500306128257</v>
      </c>
      <c r="C455">
        <v>668</v>
      </c>
    </row>
    <row r="456" spans="1:3" ht="30" x14ac:dyDescent="0.25">
      <c r="A456" s="317" t="s">
        <v>3159</v>
      </c>
      <c r="B456">
        <v>27.233669273310404</v>
      </c>
      <c r="C456">
        <v>249</v>
      </c>
    </row>
    <row r="457" spans="1:3" ht="30" x14ac:dyDescent="0.25">
      <c r="A457" s="316" t="s">
        <v>3167</v>
      </c>
      <c r="B457">
        <v>5.8027772053367146</v>
      </c>
      <c r="C457">
        <v>685</v>
      </c>
    </row>
    <row r="458" spans="1:3" ht="30" x14ac:dyDescent="0.25">
      <c r="A458" s="317" t="s">
        <v>3024</v>
      </c>
      <c r="B458">
        <v>19.002584956612523</v>
      </c>
      <c r="C458">
        <v>449</v>
      </c>
    </row>
    <row r="459" spans="1:3" ht="30" x14ac:dyDescent="0.25">
      <c r="A459" s="316" t="s">
        <v>3138</v>
      </c>
      <c r="B459">
        <v>22.988752867402198</v>
      </c>
      <c r="C459">
        <v>356</v>
      </c>
    </row>
    <row r="460" spans="1:3" ht="30" x14ac:dyDescent="0.25">
      <c r="A460" s="317" t="s">
        <v>3173</v>
      </c>
      <c r="B460">
        <v>24.016261160298487</v>
      </c>
      <c r="C460">
        <v>331</v>
      </c>
    </row>
    <row r="461" spans="1:3" ht="30" x14ac:dyDescent="0.25">
      <c r="A461" s="316" t="s">
        <v>3007</v>
      </c>
      <c r="B461">
        <v>28.760010848351961</v>
      </c>
      <c r="C461">
        <v>214</v>
      </c>
    </row>
    <row r="462" spans="1:3" ht="30" x14ac:dyDescent="0.25">
      <c r="A462" s="317" t="s">
        <v>2996</v>
      </c>
      <c r="B462">
        <v>27.449304601061918</v>
      </c>
      <c r="C462">
        <v>239</v>
      </c>
    </row>
    <row r="463" spans="1:3" ht="30" x14ac:dyDescent="0.25">
      <c r="A463" s="316" t="s">
        <v>3181</v>
      </c>
      <c r="B463">
        <v>18.019503733750213</v>
      </c>
      <c r="C463">
        <v>463</v>
      </c>
    </row>
    <row r="464" spans="1:3" ht="30" x14ac:dyDescent="0.25">
      <c r="A464" s="317" t="s">
        <v>3145</v>
      </c>
      <c r="B464">
        <v>10.203141624653886</v>
      </c>
      <c r="C464">
        <v>612</v>
      </c>
    </row>
    <row r="465" spans="1:3" ht="30" x14ac:dyDescent="0.25">
      <c r="A465" s="316" t="s">
        <v>3189</v>
      </c>
      <c r="B465">
        <v>27.430691245261485</v>
      </c>
      <c r="C465">
        <v>240</v>
      </c>
    </row>
    <row r="466" spans="1:3" ht="30" x14ac:dyDescent="0.25">
      <c r="A466" s="317" t="s">
        <v>3017</v>
      </c>
      <c r="B466">
        <v>17.468672634589403</v>
      </c>
      <c r="C466">
        <v>470</v>
      </c>
    </row>
    <row r="467" spans="1:3" ht="30" x14ac:dyDescent="0.25">
      <c r="A467" s="316" t="s">
        <v>3224</v>
      </c>
      <c r="B467">
        <v>3.4056672254772362</v>
      </c>
      <c r="C467">
        <v>710</v>
      </c>
    </row>
    <row r="468" spans="1:3" ht="30" x14ac:dyDescent="0.25">
      <c r="A468" s="317" t="s">
        <v>3089</v>
      </c>
      <c r="B468">
        <v>8.5119984237205948</v>
      </c>
      <c r="C468">
        <v>641</v>
      </c>
    </row>
    <row r="469" spans="1:3" ht="30" x14ac:dyDescent="0.25">
      <c r="A469" s="316" t="s">
        <v>3239</v>
      </c>
      <c r="B469">
        <v>7.8962506265560561</v>
      </c>
      <c r="C469">
        <v>655</v>
      </c>
    </row>
    <row r="470" spans="1:3" ht="30" x14ac:dyDescent="0.25">
      <c r="A470" s="317" t="s">
        <v>3341</v>
      </c>
      <c r="B470">
        <v>9.608058268549037</v>
      </c>
      <c r="C470">
        <v>619</v>
      </c>
    </row>
    <row r="471" spans="1:3" ht="30" x14ac:dyDescent="0.25">
      <c r="A471" s="316" t="s">
        <v>3311</v>
      </c>
      <c r="B471">
        <v>8.0458118682964468</v>
      </c>
      <c r="C471">
        <v>651</v>
      </c>
    </row>
    <row r="472" spans="1:3" ht="30" x14ac:dyDescent="0.25">
      <c r="A472" s="317" t="s">
        <v>2993</v>
      </c>
      <c r="B472">
        <v>46.722752626999394</v>
      </c>
      <c r="C472">
        <v>27</v>
      </c>
    </row>
    <row r="473" spans="1:3" ht="30" x14ac:dyDescent="0.25">
      <c r="A473" s="316" t="s">
        <v>3100</v>
      </c>
      <c r="B473">
        <v>46.722752626999394</v>
      </c>
      <c r="C473">
        <v>27</v>
      </c>
    </row>
    <row r="474" spans="1:3" ht="30" x14ac:dyDescent="0.25">
      <c r="A474" s="317" t="s">
        <v>3095</v>
      </c>
      <c r="B474">
        <v>46.722752626999394</v>
      </c>
      <c r="C474">
        <v>27</v>
      </c>
    </row>
    <row r="475" spans="1:3" ht="30" x14ac:dyDescent="0.25">
      <c r="A475" s="316" t="s">
        <v>2990</v>
      </c>
      <c r="B475">
        <v>46.722752626999394</v>
      </c>
      <c r="C475">
        <v>27</v>
      </c>
    </row>
    <row r="476" spans="1:3" ht="30" x14ac:dyDescent="0.25">
      <c r="A476" s="317" t="s">
        <v>2976</v>
      </c>
      <c r="B476">
        <v>46.722752626999394</v>
      </c>
      <c r="C476">
        <v>27</v>
      </c>
    </row>
    <row r="477" spans="1:3" ht="30" x14ac:dyDescent="0.25">
      <c r="A477" s="316" t="s">
        <v>3346</v>
      </c>
      <c r="B477">
        <v>3.9584878591297485</v>
      </c>
      <c r="C477">
        <v>705</v>
      </c>
    </row>
    <row r="478" spans="1:3" ht="30" x14ac:dyDescent="0.25">
      <c r="A478" s="317" t="s">
        <v>3103</v>
      </c>
      <c r="B478">
        <v>13.799713354517397</v>
      </c>
      <c r="C478">
        <v>547</v>
      </c>
    </row>
    <row r="479" spans="1:3" ht="30" x14ac:dyDescent="0.25">
      <c r="A479" s="316" t="s">
        <v>3110</v>
      </c>
      <c r="B479">
        <v>10.476038708331028</v>
      </c>
      <c r="C479">
        <v>606</v>
      </c>
    </row>
    <row r="480" spans="1:3" ht="30" x14ac:dyDescent="0.25">
      <c r="A480" s="317" t="s">
        <v>3353</v>
      </c>
      <c r="B480">
        <v>1</v>
      </c>
      <c r="C480">
        <v>761</v>
      </c>
    </row>
    <row r="481" spans="1:3" ht="30" x14ac:dyDescent="0.25">
      <c r="A481" s="316" t="s">
        <v>3357</v>
      </c>
      <c r="B481">
        <v>11.594105197610698</v>
      </c>
      <c r="C481">
        <v>587</v>
      </c>
    </row>
    <row r="482" spans="1:3" ht="30" x14ac:dyDescent="0.25">
      <c r="A482" s="317" t="s">
        <v>3360</v>
      </c>
      <c r="B482">
        <v>14.599380035861682</v>
      </c>
      <c r="C482">
        <v>537</v>
      </c>
    </row>
    <row r="483" spans="1:3" ht="30" x14ac:dyDescent="0.25">
      <c r="A483" s="316" t="s">
        <v>3372</v>
      </c>
      <c r="B483">
        <v>2.5</v>
      </c>
      <c r="C483">
        <v>723</v>
      </c>
    </row>
    <row r="484" spans="1:3" ht="30" x14ac:dyDescent="0.25">
      <c r="A484" s="317" t="s">
        <v>3376</v>
      </c>
      <c r="B484">
        <v>11.456091745013286</v>
      </c>
      <c r="C484">
        <v>593</v>
      </c>
    </row>
    <row r="485" spans="1:3" ht="30" x14ac:dyDescent="0.25">
      <c r="A485" s="316" t="s">
        <v>3117</v>
      </c>
      <c r="B485">
        <v>33.459861929015545</v>
      </c>
      <c r="C485">
        <v>139</v>
      </c>
    </row>
    <row r="486" spans="1:3" ht="30" x14ac:dyDescent="0.25">
      <c r="A486" s="317" t="s">
        <v>3366</v>
      </c>
      <c r="B486">
        <v>4.0764772264550215</v>
      </c>
      <c r="C486">
        <v>702</v>
      </c>
    </row>
    <row r="487" spans="1:3" ht="30" x14ac:dyDescent="0.25">
      <c r="A487" s="316" t="s">
        <v>3123</v>
      </c>
      <c r="B487">
        <v>37.981854886786323</v>
      </c>
      <c r="C487">
        <v>86</v>
      </c>
    </row>
    <row r="488" spans="1:3" ht="30" x14ac:dyDescent="0.25">
      <c r="A488" s="317" t="s">
        <v>3130</v>
      </c>
      <c r="B488">
        <v>26.060180035881654</v>
      </c>
      <c r="C488">
        <v>288</v>
      </c>
    </row>
    <row r="489" spans="1:3" ht="30" x14ac:dyDescent="0.25">
      <c r="A489" s="316" t="s">
        <v>3387</v>
      </c>
      <c r="B489">
        <v>18.466632361409996</v>
      </c>
      <c r="C489">
        <v>458</v>
      </c>
    </row>
    <row r="490" spans="1:3" ht="30" x14ac:dyDescent="0.25">
      <c r="A490" s="317" t="s">
        <v>3380</v>
      </c>
      <c r="B490">
        <v>17.643165103230395</v>
      </c>
      <c r="C490">
        <v>469</v>
      </c>
    </row>
    <row r="491" spans="1:3" ht="30" x14ac:dyDescent="0.25">
      <c r="A491" s="316" t="s">
        <v>4620</v>
      </c>
      <c r="B491">
        <v>2.0084463691973586</v>
      </c>
      <c r="C491">
        <v>740</v>
      </c>
    </row>
    <row r="492" spans="1:3" ht="30" x14ac:dyDescent="0.25">
      <c r="A492" s="317" t="s">
        <v>4900</v>
      </c>
      <c r="B492">
        <v>0.5</v>
      </c>
      <c r="C492">
        <v>768</v>
      </c>
    </row>
    <row r="493" spans="1:3" ht="30" x14ac:dyDescent="0.25">
      <c r="A493" s="316" t="s">
        <v>4907</v>
      </c>
      <c r="B493">
        <v>2.5</v>
      </c>
      <c r="C493">
        <v>723</v>
      </c>
    </row>
    <row r="494" spans="1:3" ht="30" x14ac:dyDescent="0.25">
      <c r="A494" s="317" t="s">
        <v>4910</v>
      </c>
      <c r="B494">
        <v>2</v>
      </c>
      <c r="C494">
        <v>741</v>
      </c>
    </row>
    <row r="495" spans="1:3" ht="30" x14ac:dyDescent="0.25">
      <c r="A495" s="316" t="s">
        <v>4913</v>
      </c>
      <c r="B495">
        <v>4.75</v>
      </c>
      <c r="C495">
        <v>694</v>
      </c>
    </row>
    <row r="496" spans="1:3" ht="30" x14ac:dyDescent="0.25">
      <c r="A496" s="317" t="s">
        <v>4917</v>
      </c>
      <c r="B496">
        <v>1</v>
      </c>
      <c r="C496">
        <v>761</v>
      </c>
    </row>
    <row r="497" spans="1:3" ht="30" x14ac:dyDescent="0.25">
      <c r="A497" s="316" t="s">
        <v>4921</v>
      </c>
      <c r="B497">
        <v>8</v>
      </c>
      <c r="C497">
        <v>652</v>
      </c>
    </row>
    <row r="498" spans="1:3" ht="30" x14ac:dyDescent="0.25">
      <c r="A498" s="317" t="s">
        <v>4929</v>
      </c>
      <c r="B498">
        <v>0.5</v>
      </c>
      <c r="C498">
        <v>768</v>
      </c>
    </row>
    <row r="499" spans="1:3" ht="30" x14ac:dyDescent="0.25">
      <c r="A499" s="316" t="s">
        <v>4932</v>
      </c>
      <c r="B499">
        <v>2.5</v>
      </c>
      <c r="C499">
        <v>723</v>
      </c>
    </row>
    <row r="500" spans="1:3" ht="30" x14ac:dyDescent="0.25">
      <c r="A500" s="317" t="s">
        <v>4938</v>
      </c>
      <c r="B500">
        <v>1</v>
      </c>
      <c r="C500">
        <v>761</v>
      </c>
    </row>
    <row r="501" spans="1:3" ht="30" x14ac:dyDescent="0.25">
      <c r="A501" s="316" t="s">
        <v>3392</v>
      </c>
      <c r="B501">
        <v>1</v>
      </c>
      <c r="C501">
        <v>761</v>
      </c>
    </row>
    <row r="502" spans="1:3" ht="30" x14ac:dyDescent="0.25">
      <c r="A502" s="317" t="s">
        <v>874</v>
      </c>
      <c r="B502">
        <v>39.904921008681228</v>
      </c>
      <c r="C502">
        <v>75</v>
      </c>
    </row>
    <row r="503" spans="1:3" ht="30" x14ac:dyDescent="0.25">
      <c r="A503" s="316" t="s">
        <v>877</v>
      </c>
      <c r="B503">
        <v>57.403317032243677</v>
      </c>
      <c r="C503">
        <v>4</v>
      </c>
    </row>
    <row r="504" spans="1:3" ht="30" x14ac:dyDescent="0.25">
      <c r="A504" s="317" t="s">
        <v>884</v>
      </c>
      <c r="B504">
        <v>34.031877518905802</v>
      </c>
      <c r="C504">
        <v>126</v>
      </c>
    </row>
    <row r="505" spans="1:3" ht="30" x14ac:dyDescent="0.25">
      <c r="A505" s="316" t="s">
        <v>413</v>
      </c>
      <c r="B505">
        <v>28.476264402206937</v>
      </c>
      <c r="C505">
        <v>219</v>
      </c>
    </row>
    <row r="506" spans="1:3" ht="30" x14ac:dyDescent="0.25">
      <c r="A506" s="317" t="s">
        <v>428</v>
      </c>
      <c r="B506">
        <v>39.15048085335782</v>
      </c>
      <c r="C506">
        <v>77</v>
      </c>
    </row>
    <row r="507" spans="1:3" ht="30" x14ac:dyDescent="0.25">
      <c r="A507" s="316" t="s">
        <v>436</v>
      </c>
      <c r="B507">
        <v>40.520720463362238</v>
      </c>
      <c r="C507">
        <v>70</v>
      </c>
    </row>
    <row r="508" spans="1:3" ht="30" x14ac:dyDescent="0.25">
      <c r="A508" s="317" t="s">
        <v>446</v>
      </c>
      <c r="B508">
        <v>39.15048085335782</v>
      </c>
      <c r="C508">
        <v>77</v>
      </c>
    </row>
    <row r="509" spans="1:3" ht="30" x14ac:dyDescent="0.25">
      <c r="A509" s="316" t="s">
        <v>449</v>
      </c>
      <c r="B509">
        <v>39.15048085335782</v>
      </c>
      <c r="C509">
        <v>77</v>
      </c>
    </row>
    <row r="510" spans="1:3" ht="30" x14ac:dyDescent="0.25">
      <c r="A510" s="317" t="s">
        <v>453</v>
      </c>
      <c r="B510">
        <v>42.395720463362238</v>
      </c>
      <c r="C510">
        <v>64</v>
      </c>
    </row>
    <row r="511" spans="1:3" ht="30" x14ac:dyDescent="0.25">
      <c r="A511" s="316" t="s">
        <v>456</v>
      </c>
      <c r="B511">
        <v>10.493054802382929</v>
      </c>
      <c r="C511">
        <v>605</v>
      </c>
    </row>
    <row r="512" spans="1:3" ht="30" x14ac:dyDescent="0.25">
      <c r="A512" s="317" t="s">
        <v>463</v>
      </c>
      <c r="B512">
        <v>6.5370654347033836</v>
      </c>
      <c r="C512">
        <v>675</v>
      </c>
    </row>
    <row r="513" spans="1:3" ht="30" x14ac:dyDescent="0.25">
      <c r="A513" s="316" t="s">
        <v>472</v>
      </c>
      <c r="B513">
        <v>6.0632847108446821</v>
      </c>
      <c r="C513">
        <v>683</v>
      </c>
    </row>
    <row r="514" spans="1:3" ht="30" x14ac:dyDescent="0.25">
      <c r="A514" s="317" t="s">
        <v>479</v>
      </c>
      <c r="B514">
        <v>22.825533175287287</v>
      </c>
      <c r="C514">
        <v>360</v>
      </c>
    </row>
    <row r="515" spans="1:3" ht="30" x14ac:dyDescent="0.25">
      <c r="A515" s="316" t="s">
        <v>487</v>
      </c>
      <c r="B515">
        <v>37.954947232006319</v>
      </c>
      <c r="C515">
        <v>87</v>
      </c>
    </row>
    <row r="516" spans="1:3" ht="30" x14ac:dyDescent="0.25">
      <c r="A516" s="317" t="s">
        <v>495</v>
      </c>
      <c r="B516">
        <v>40.520720463362238</v>
      </c>
      <c r="C516">
        <v>70</v>
      </c>
    </row>
    <row r="517" spans="1:3" ht="30" x14ac:dyDescent="0.25">
      <c r="A517" s="316" t="s">
        <v>497</v>
      </c>
      <c r="B517">
        <v>22.883454481089924</v>
      </c>
      <c r="C517">
        <v>358</v>
      </c>
    </row>
    <row r="518" spans="1:3" ht="30" x14ac:dyDescent="0.25">
      <c r="A518" s="317" t="s">
        <v>501</v>
      </c>
      <c r="B518">
        <v>39.904921008681228</v>
      </c>
      <c r="C518">
        <v>75</v>
      </c>
    </row>
    <row r="519" spans="1:3" ht="30" x14ac:dyDescent="0.25">
      <c r="A519" s="316" t="s">
        <v>510</v>
      </c>
      <c r="B519">
        <v>5.1869522519840494</v>
      </c>
      <c r="C519">
        <v>692</v>
      </c>
    </row>
    <row r="520" spans="1:3" ht="30" x14ac:dyDescent="0.25">
      <c r="A520" s="317" t="s">
        <v>519</v>
      </c>
      <c r="B520">
        <v>28.769177472168078</v>
      </c>
      <c r="C520">
        <v>213</v>
      </c>
    </row>
    <row r="521" spans="1:3" ht="30" x14ac:dyDescent="0.25">
      <c r="A521" s="316" t="s">
        <v>526</v>
      </c>
      <c r="B521">
        <v>30.082616534503984</v>
      </c>
      <c r="C521">
        <v>188</v>
      </c>
    </row>
    <row r="522" spans="1:3" ht="30" x14ac:dyDescent="0.25">
      <c r="A522" s="317" t="s">
        <v>534</v>
      </c>
      <c r="B522">
        <v>30.45587057774604</v>
      </c>
      <c r="C522">
        <v>179</v>
      </c>
    </row>
    <row r="523" spans="1:3" ht="30" x14ac:dyDescent="0.25">
      <c r="A523" s="316" t="s">
        <v>540</v>
      </c>
      <c r="B523">
        <v>28.476264402206937</v>
      </c>
      <c r="C523">
        <v>219</v>
      </c>
    </row>
    <row r="524" spans="1:3" ht="30" x14ac:dyDescent="0.25">
      <c r="A524" s="317" t="s">
        <v>543</v>
      </c>
      <c r="B524">
        <v>26.020074177649839</v>
      </c>
      <c r="C524">
        <v>296</v>
      </c>
    </row>
    <row r="525" spans="1:3" ht="30" x14ac:dyDescent="0.25">
      <c r="A525" s="316" t="s">
        <v>552</v>
      </c>
      <c r="B525">
        <v>35.082791699454638</v>
      </c>
      <c r="C525">
        <v>103</v>
      </c>
    </row>
    <row r="526" spans="1:3" ht="30" x14ac:dyDescent="0.25">
      <c r="A526" s="317" t="s">
        <v>558</v>
      </c>
      <c r="B526">
        <v>28.243847420716605</v>
      </c>
      <c r="C526">
        <v>224</v>
      </c>
    </row>
    <row r="527" spans="1:3" ht="30" x14ac:dyDescent="0.25">
      <c r="A527" s="316" t="s">
        <v>565</v>
      </c>
      <c r="B527">
        <v>12.706133068436245</v>
      </c>
      <c r="C527">
        <v>565</v>
      </c>
    </row>
    <row r="528" spans="1:3" ht="30" x14ac:dyDescent="0.25">
      <c r="A528" s="317" t="s">
        <v>570</v>
      </c>
      <c r="B528">
        <v>37.954947232006319</v>
      </c>
      <c r="C528">
        <v>87</v>
      </c>
    </row>
    <row r="529" spans="1:3" ht="30" x14ac:dyDescent="0.25">
      <c r="A529" s="316" t="s">
        <v>573</v>
      </c>
      <c r="B529">
        <v>45.727849830945459</v>
      </c>
      <c r="C529">
        <v>43</v>
      </c>
    </row>
    <row r="530" spans="1:3" ht="30" x14ac:dyDescent="0.25">
      <c r="A530" s="317" t="s">
        <v>579</v>
      </c>
      <c r="B530">
        <v>30.4411433780494</v>
      </c>
      <c r="C530">
        <v>180</v>
      </c>
    </row>
    <row r="531" spans="1:3" ht="30" x14ac:dyDescent="0.25">
      <c r="A531" s="316" t="s">
        <v>588</v>
      </c>
      <c r="B531">
        <v>33.759241605659497</v>
      </c>
      <c r="C531">
        <v>134</v>
      </c>
    </row>
    <row r="532" spans="1:3" ht="30" x14ac:dyDescent="0.25">
      <c r="A532" s="317" t="s">
        <v>595</v>
      </c>
      <c r="B532">
        <v>43.674791329300376</v>
      </c>
      <c r="C532">
        <v>54</v>
      </c>
    </row>
    <row r="533" spans="1:3" ht="30" x14ac:dyDescent="0.25">
      <c r="A533" s="316" t="s">
        <v>602</v>
      </c>
      <c r="B533">
        <v>24.7132160754018</v>
      </c>
      <c r="C533">
        <v>318</v>
      </c>
    </row>
    <row r="534" spans="1:3" ht="30" x14ac:dyDescent="0.25">
      <c r="A534" s="317" t="s">
        <v>611</v>
      </c>
      <c r="B534">
        <v>40.389189462657292</v>
      </c>
      <c r="C534">
        <v>74</v>
      </c>
    </row>
    <row r="535" spans="1:3" ht="30" x14ac:dyDescent="0.25">
      <c r="A535" s="316" t="s">
        <v>617</v>
      </c>
      <c r="B535">
        <v>38.091639452560045</v>
      </c>
      <c r="C535">
        <v>84</v>
      </c>
    </row>
    <row r="536" spans="1:3" ht="30" x14ac:dyDescent="0.25">
      <c r="A536" s="317" t="s">
        <v>624</v>
      </c>
      <c r="B536">
        <v>28.379292762261233</v>
      </c>
      <c r="C536">
        <v>222</v>
      </c>
    </row>
    <row r="537" spans="1:3" ht="30" x14ac:dyDescent="0.25">
      <c r="A537" s="316" t="s">
        <v>634</v>
      </c>
      <c r="B537">
        <v>26.504292762261233</v>
      </c>
      <c r="C537">
        <v>275</v>
      </c>
    </row>
    <row r="538" spans="1:3" ht="30" x14ac:dyDescent="0.25">
      <c r="A538" s="317" t="s">
        <v>638</v>
      </c>
      <c r="B538">
        <v>54.598698752047952</v>
      </c>
      <c r="C538">
        <v>8</v>
      </c>
    </row>
    <row r="539" spans="1:3" ht="30" x14ac:dyDescent="0.25">
      <c r="A539" s="316" t="s">
        <v>646</v>
      </c>
      <c r="B539">
        <v>22.730895748160314</v>
      </c>
      <c r="C539">
        <v>366</v>
      </c>
    </row>
    <row r="540" spans="1:3" ht="30" x14ac:dyDescent="0.25">
      <c r="A540" s="317" t="s">
        <v>656</v>
      </c>
      <c r="B540">
        <v>22.730895748160314</v>
      </c>
      <c r="C540">
        <v>366</v>
      </c>
    </row>
    <row r="541" spans="1:3" ht="30" x14ac:dyDescent="0.25">
      <c r="A541" s="316" t="s">
        <v>659</v>
      </c>
      <c r="B541">
        <v>22.730895748160314</v>
      </c>
      <c r="C541">
        <v>366</v>
      </c>
    </row>
    <row r="542" spans="1:3" ht="30" x14ac:dyDescent="0.25">
      <c r="A542" s="317" t="s">
        <v>663</v>
      </c>
      <c r="B542">
        <v>27.607296693707131</v>
      </c>
      <c r="C542">
        <v>231</v>
      </c>
    </row>
    <row r="543" spans="1:3" ht="30" x14ac:dyDescent="0.25">
      <c r="A543" s="316" t="s">
        <v>678</v>
      </c>
      <c r="B543">
        <v>30.382385404946966</v>
      </c>
      <c r="C543">
        <v>181</v>
      </c>
    </row>
    <row r="544" spans="1:3" ht="30" x14ac:dyDescent="0.25">
      <c r="A544" s="317" t="s">
        <v>681</v>
      </c>
      <c r="B544">
        <v>28.507385404946966</v>
      </c>
      <c r="C544">
        <v>218</v>
      </c>
    </row>
    <row r="545" spans="1:3" ht="30" x14ac:dyDescent="0.25">
      <c r="A545" s="316" t="s">
        <v>684</v>
      </c>
      <c r="B545">
        <v>25.463210193474016</v>
      </c>
      <c r="C545">
        <v>304</v>
      </c>
    </row>
    <row r="546" spans="1:3" ht="30" x14ac:dyDescent="0.25">
      <c r="A546" s="317" t="s">
        <v>688</v>
      </c>
      <c r="B546">
        <v>7.2868719757282872</v>
      </c>
      <c r="C546">
        <v>664</v>
      </c>
    </row>
    <row r="547" spans="1:3" ht="30" x14ac:dyDescent="0.25">
      <c r="A547" s="316" t="s">
        <v>1011</v>
      </c>
      <c r="B547">
        <v>8.623903836790296</v>
      </c>
      <c r="C547">
        <v>637</v>
      </c>
    </row>
    <row r="548" spans="1:3" ht="30" x14ac:dyDescent="0.25">
      <c r="A548" s="317" t="s">
        <v>1014</v>
      </c>
      <c r="B548">
        <v>31.972584917100363</v>
      </c>
      <c r="C548">
        <v>156</v>
      </c>
    </row>
    <row r="549" spans="1:3" ht="30" x14ac:dyDescent="0.25">
      <c r="A549" s="316" t="s">
        <v>695</v>
      </c>
      <c r="B549">
        <v>27.254260652260076</v>
      </c>
      <c r="C549">
        <v>247</v>
      </c>
    </row>
    <row r="550" spans="1:3" ht="30" x14ac:dyDescent="0.25">
      <c r="A550" s="317" t="s">
        <v>700</v>
      </c>
      <c r="B550">
        <v>26.504260652260076</v>
      </c>
      <c r="C550">
        <v>277</v>
      </c>
    </row>
    <row r="551" spans="1:3" ht="30" x14ac:dyDescent="0.25">
      <c r="A551" s="316" t="s">
        <v>702</v>
      </c>
      <c r="B551">
        <v>26.504260652260076</v>
      </c>
      <c r="C551">
        <v>277</v>
      </c>
    </row>
    <row r="552" spans="1:3" ht="30" x14ac:dyDescent="0.25">
      <c r="A552" s="317" t="s">
        <v>1016</v>
      </c>
      <c r="B552">
        <v>28.379292762261233</v>
      </c>
      <c r="C552">
        <v>222</v>
      </c>
    </row>
    <row r="553" spans="1:3" ht="30" x14ac:dyDescent="0.25">
      <c r="A553" s="316" t="s">
        <v>993</v>
      </c>
      <c r="B553">
        <v>26.504292762261233</v>
      </c>
      <c r="C553">
        <v>275</v>
      </c>
    </row>
    <row r="554" spans="1:3" ht="30" x14ac:dyDescent="0.25">
      <c r="A554" s="317" t="s">
        <v>986</v>
      </c>
      <c r="B554">
        <v>24.7132160754018</v>
      </c>
      <c r="C554">
        <v>318</v>
      </c>
    </row>
    <row r="555" spans="1:3" ht="30" x14ac:dyDescent="0.25">
      <c r="A555" s="316" t="s">
        <v>704</v>
      </c>
      <c r="B555">
        <v>53.876874571121697</v>
      </c>
      <c r="C555">
        <v>9</v>
      </c>
    </row>
    <row r="556" spans="1:3" ht="30" x14ac:dyDescent="0.25">
      <c r="A556" s="317" t="s">
        <v>713</v>
      </c>
      <c r="B556">
        <v>22.730890679821499</v>
      </c>
      <c r="C556">
        <v>370</v>
      </c>
    </row>
    <row r="557" spans="1:3" ht="30" x14ac:dyDescent="0.25">
      <c r="A557" s="316" t="s">
        <v>1008</v>
      </c>
      <c r="B557">
        <v>32.893798963116268</v>
      </c>
      <c r="C557">
        <v>146</v>
      </c>
    </row>
    <row r="558" spans="1:3" ht="30" x14ac:dyDescent="0.25">
      <c r="A558" s="317" t="s">
        <v>981</v>
      </c>
      <c r="B558">
        <v>30.072505374120659</v>
      </c>
      <c r="C558">
        <v>189</v>
      </c>
    </row>
    <row r="559" spans="1:3" ht="30" x14ac:dyDescent="0.25">
      <c r="A559" s="316" t="s">
        <v>718</v>
      </c>
      <c r="B559">
        <v>16.254755347893923</v>
      </c>
      <c r="C559">
        <v>504</v>
      </c>
    </row>
    <row r="560" spans="1:3" ht="30" x14ac:dyDescent="0.25">
      <c r="A560" s="317" t="s">
        <v>726</v>
      </c>
      <c r="B560">
        <v>27.607332713305532</v>
      </c>
      <c r="C560">
        <v>230</v>
      </c>
    </row>
    <row r="561" spans="1:3" ht="30" x14ac:dyDescent="0.25">
      <c r="A561" s="316" t="s">
        <v>732</v>
      </c>
      <c r="B561">
        <v>14.415529184251621</v>
      </c>
      <c r="C561">
        <v>540</v>
      </c>
    </row>
    <row r="562" spans="1:3" ht="30" x14ac:dyDescent="0.25">
      <c r="A562" s="317" t="s">
        <v>742</v>
      </c>
      <c r="B562">
        <v>14.415529184251621</v>
      </c>
      <c r="C562">
        <v>540</v>
      </c>
    </row>
    <row r="563" spans="1:3" ht="30" x14ac:dyDescent="0.25">
      <c r="A563" s="316" t="s">
        <v>744</v>
      </c>
      <c r="B563">
        <v>12.706133068436245</v>
      </c>
      <c r="C563">
        <v>565</v>
      </c>
    </row>
    <row r="564" spans="1:3" ht="30" x14ac:dyDescent="0.25">
      <c r="A564" s="317" t="s">
        <v>990</v>
      </c>
      <c r="B564">
        <v>22.019154414479225</v>
      </c>
      <c r="C564">
        <v>395</v>
      </c>
    </row>
    <row r="565" spans="1:3" ht="30" x14ac:dyDescent="0.25">
      <c r="A565" s="316" t="s">
        <v>747</v>
      </c>
      <c r="B565">
        <v>33.332754186408998</v>
      </c>
      <c r="C565">
        <v>141</v>
      </c>
    </row>
    <row r="566" spans="1:3" ht="30" x14ac:dyDescent="0.25">
      <c r="A566" s="317" t="s">
        <v>757</v>
      </c>
      <c r="B566">
        <v>33.332754186408998</v>
      </c>
      <c r="C566">
        <v>141</v>
      </c>
    </row>
    <row r="567" spans="1:3" ht="30" x14ac:dyDescent="0.25">
      <c r="A567" s="316" t="s">
        <v>759</v>
      </c>
      <c r="B567">
        <v>33.332754186408998</v>
      </c>
      <c r="C567">
        <v>141</v>
      </c>
    </row>
    <row r="568" spans="1:3" ht="30" x14ac:dyDescent="0.25">
      <c r="A568" s="317" t="s">
        <v>762</v>
      </c>
      <c r="B568">
        <v>33.332754186408998</v>
      </c>
      <c r="C568">
        <v>141</v>
      </c>
    </row>
    <row r="569" spans="1:3" ht="30" x14ac:dyDescent="0.25">
      <c r="A569" s="316" t="s">
        <v>765</v>
      </c>
      <c r="B569">
        <v>33.759237977975438</v>
      </c>
      <c r="C569">
        <v>135</v>
      </c>
    </row>
    <row r="570" spans="1:3" ht="30" x14ac:dyDescent="0.25">
      <c r="A570" s="317" t="s">
        <v>769</v>
      </c>
      <c r="B570">
        <v>12.706133068436245</v>
      </c>
      <c r="C570">
        <v>565</v>
      </c>
    </row>
    <row r="571" spans="1:3" ht="30" x14ac:dyDescent="0.25">
      <c r="A571" s="316" t="s">
        <v>772</v>
      </c>
      <c r="B571">
        <v>9.9010471684194243</v>
      </c>
      <c r="C571">
        <v>616</v>
      </c>
    </row>
    <row r="572" spans="1:3" ht="30" x14ac:dyDescent="0.25">
      <c r="A572" s="317" t="s">
        <v>775</v>
      </c>
      <c r="B572">
        <v>24.713210193474016</v>
      </c>
      <c r="C572">
        <v>320</v>
      </c>
    </row>
    <row r="573" spans="1:3" ht="30" x14ac:dyDescent="0.25">
      <c r="A573" s="316" t="s">
        <v>778</v>
      </c>
      <c r="B573">
        <v>6.5368719757282872</v>
      </c>
      <c r="C573">
        <v>676</v>
      </c>
    </row>
    <row r="574" spans="1:3" ht="30" x14ac:dyDescent="0.25">
      <c r="A574" s="317" t="s">
        <v>781</v>
      </c>
      <c r="B574">
        <v>21.20129885801834</v>
      </c>
      <c r="C574">
        <v>417</v>
      </c>
    </row>
    <row r="575" spans="1:3" ht="30" x14ac:dyDescent="0.25">
      <c r="A575" s="316" t="s">
        <v>791</v>
      </c>
      <c r="B575">
        <v>21.20129885801834</v>
      </c>
      <c r="C575">
        <v>417</v>
      </c>
    </row>
    <row r="576" spans="1:3" ht="30" x14ac:dyDescent="0.25">
      <c r="A576" s="317" t="s">
        <v>793</v>
      </c>
      <c r="B576">
        <v>30.097584917100363</v>
      </c>
      <c r="C576">
        <v>185</v>
      </c>
    </row>
    <row r="577" spans="1:3" ht="30" x14ac:dyDescent="0.25">
      <c r="A577" s="316" t="s">
        <v>799</v>
      </c>
      <c r="B577">
        <v>30.097584917100363</v>
      </c>
      <c r="C577">
        <v>185</v>
      </c>
    </row>
    <row r="578" spans="1:3" ht="30" x14ac:dyDescent="0.25">
      <c r="A578" s="317" t="s">
        <v>801</v>
      </c>
      <c r="B578">
        <v>17.766910018368421</v>
      </c>
      <c r="C578">
        <v>468</v>
      </c>
    </row>
    <row r="579" spans="1:3" ht="30" x14ac:dyDescent="0.25">
      <c r="A579" s="316" t="s">
        <v>808</v>
      </c>
      <c r="B579">
        <v>8.9949159714966598</v>
      </c>
      <c r="C579">
        <v>632</v>
      </c>
    </row>
    <row r="580" spans="1:3" ht="30" x14ac:dyDescent="0.25">
      <c r="A580" s="317" t="s">
        <v>815</v>
      </c>
      <c r="B580">
        <v>34.031983748876598</v>
      </c>
      <c r="C580">
        <v>124</v>
      </c>
    </row>
    <row r="581" spans="1:3" ht="30" x14ac:dyDescent="0.25">
      <c r="A581" s="316" t="s">
        <v>819</v>
      </c>
      <c r="B581">
        <v>34.031983748876598</v>
      </c>
      <c r="C581">
        <v>124</v>
      </c>
    </row>
    <row r="582" spans="1:3" ht="30" x14ac:dyDescent="0.25">
      <c r="A582" s="317" t="s">
        <v>822</v>
      </c>
      <c r="B582">
        <v>18.718135765680973</v>
      </c>
      <c r="C582">
        <v>453</v>
      </c>
    </row>
    <row r="583" spans="1:3" ht="30" x14ac:dyDescent="0.25">
      <c r="A583" s="316" t="s">
        <v>983</v>
      </c>
      <c r="B583">
        <v>18.718135765680973</v>
      </c>
      <c r="C583">
        <v>453</v>
      </c>
    </row>
    <row r="584" spans="1:3" ht="30" x14ac:dyDescent="0.25">
      <c r="A584" s="317" t="s">
        <v>828</v>
      </c>
      <c r="B584">
        <v>18.718135765680973</v>
      </c>
      <c r="C584">
        <v>453</v>
      </c>
    </row>
    <row r="585" spans="1:3" ht="30" x14ac:dyDescent="0.25">
      <c r="A585" s="316" t="s">
        <v>831</v>
      </c>
      <c r="B585">
        <v>16.103956570295409</v>
      </c>
      <c r="C585">
        <v>508</v>
      </c>
    </row>
    <row r="586" spans="1:3" ht="30" x14ac:dyDescent="0.25">
      <c r="A586" s="317" t="s">
        <v>839</v>
      </c>
      <c r="B586">
        <v>27.132235337961387</v>
      </c>
      <c r="C586">
        <v>254</v>
      </c>
    </row>
    <row r="587" spans="1:3" ht="30" x14ac:dyDescent="0.25">
      <c r="A587" s="316" t="s">
        <v>1005</v>
      </c>
      <c r="B587">
        <v>27.132235337961387</v>
      </c>
      <c r="C587">
        <v>254</v>
      </c>
    </row>
    <row r="588" spans="1:3" ht="30" x14ac:dyDescent="0.25">
      <c r="A588" s="317" t="s">
        <v>846</v>
      </c>
      <c r="B588">
        <v>34.958543462988274</v>
      </c>
      <c r="C588">
        <v>107</v>
      </c>
    </row>
    <row r="589" spans="1:3" ht="30" x14ac:dyDescent="0.25">
      <c r="A589" s="316" t="s">
        <v>849</v>
      </c>
      <c r="B589">
        <v>40.520718162148945</v>
      </c>
      <c r="C589">
        <v>72</v>
      </c>
    </row>
    <row r="590" spans="1:3" ht="30" x14ac:dyDescent="0.25">
      <c r="A590" s="317" t="s">
        <v>853</v>
      </c>
      <c r="B590">
        <v>40.520718162148945</v>
      </c>
      <c r="C590">
        <v>72</v>
      </c>
    </row>
    <row r="591" spans="1:3" ht="30" x14ac:dyDescent="0.25">
      <c r="A591" s="316" t="s">
        <v>856</v>
      </c>
      <c r="B591">
        <v>26.029692484830687</v>
      </c>
      <c r="C591">
        <v>291</v>
      </c>
    </row>
    <row r="592" spans="1:3" ht="30" x14ac:dyDescent="0.25">
      <c r="A592" s="317" t="s">
        <v>864</v>
      </c>
      <c r="B592">
        <v>26.029692484830687</v>
      </c>
      <c r="C592">
        <v>291</v>
      </c>
    </row>
    <row r="593" spans="1:3" ht="30" x14ac:dyDescent="0.25">
      <c r="A593" s="316" t="s">
        <v>867</v>
      </c>
      <c r="B593">
        <v>48.971271216631273</v>
      </c>
      <c r="C593">
        <v>22</v>
      </c>
    </row>
    <row r="594" spans="1:3" ht="30" x14ac:dyDescent="0.25">
      <c r="A594" s="317" t="s">
        <v>934</v>
      </c>
      <c r="B594">
        <v>22.730895748160314</v>
      </c>
      <c r="C594">
        <v>366</v>
      </c>
    </row>
    <row r="595" spans="1:3" ht="30" x14ac:dyDescent="0.25">
      <c r="A595" s="316" t="s">
        <v>889</v>
      </c>
      <c r="B595">
        <v>32.893798963116268</v>
      </c>
      <c r="C595">
        <v>146</v>
      </c>
    </row>
    <row r="596" spans="1:3" ht="30" x14ac:dyDescent="0.25">
      <c r="A596" s="317" t="s">
        <v>895</v>
      </c>
      <c r="B596">
        <v>17.415294409342405</v>
      </c>
      <c r="C596">
        <v>471</v>
      </c>
    </row>
    <row r="597" spans="1:3" ht="30" x14ac:dyDescent="0.25">
      <c r="A597" s="316" t="s">
        <v>902</v>
      </c>
      <c r="B597">
        <v>27.607296693707131</v>
      </c>
      <c r="C597">
        <v>231</v>
      </c>
    </row>
    <row r="598" spans="1:3" ht="30" x14ac:dyDescent="0.25">
      <c r="A598" s="317" t="s">
        <v>900</v>
      </c>
      <c r="B598">
        <v>27.607296693707131</v>
      </c>
      <c r="C598">
        <v>231</v>
      </c>
    </row>
    <row r="599" spans="1:3" ht="30" x14ac:dyDescent="0.25">
      <c r="A599" s="316" t="s">
        <v>905</v>
      </c>
      <c r="B599">
        <v>11.730374056746848</v>
      </c>
      <c r="C599">
        <v>583</v>
      </c>
    </row>
    <row r="600" spans="1:3" ht="30" x14ac:dyDescent="0.25">
      <c r="A600" s="317" t="s">
        <v>910</v>
      </c>
      <c r="B600">
        <v>14.415529184251621</v>
      </c>
      <c r="C600">
        <v>540</v>
      </c>
    </row>
    <row r="601" spans="1:3" ht="30" x14ac:dyDescent="0.25">
      <c r="A601" s="316" t="s">
        <v>938</v>
      </c>
      <c r="B601">
        <v>57.477678960631494</v>
      </c>
      <c r="C601">
        <v>3</v>
      </c>
    </row>
    <row r="602" spans="1:3" ht="30" x14ac:dyDescent="0.25">
      <c r="A602" s="317" t="s">
        <v>941</v>
      </c>
      <c r="B602">
        <v>45.727849830945459</v>
      </c>
      <c r="C602">
        <v>43</v>
      </c>
    </row>
    <row r="603" spans="1:3" ht="30" x14ac:dyDescent="0.25">
      <c r="A603" s="316" t="s">
        <v>948</v>
      </c>
      <c r="B603">
        <v>24.183980909815705</v>
      </c>
      <c r="C603">
        <v>325</v>
      </c>
    </row>
    <row r="604" spans="1:3" ht="30" x14ac:dyDescent="0.25">
      <c r="A604" s="317" t="s">
        <v>943</v>
      </c>
      <c r="B604">
        <v>24.183980909815705</v>
      </c>
      <c r="C604">
        <v>325</v>
      </c>
    </row>
    <row r="605" spans="1:3" ht="30" x14ac:dyDescent="0.25">
      <c r="A605" s="316" t="s">
        <v>997</v>
      </c>
      <c r="B605">
        <v>46.022582460509881</v>
      </c>
      <c r="C605">
        <v>40</v>
      </c>
    </row>
    <row r="606" spans="1:3" ht="30" x14ac:dyDescent="0.25">
      <c r="A606" s="317" t="s">
        <v>950</v>
      </c>
      <c r="B606">
        <v>46.022582460509881</v>
      </c>
      <c r="C606">
        <v>40</v>
      </c>
    </row>
    <row r="607" spans="1:3" ht="30" x14ac:dyDescent="0.25">
      <c r="A607" s="316" t="s">
        <v>927</v>
      </c>
      <c r="B607">
        <v>22.019154414479225</v>
      </c>
      <c r="C607">
        <v>395</v>
      </c>
    </row>
    <row r="608" spans="1:3" ht="30" x14ac:dyDescent="0.25">
      <c r="A608" s="317" t="s">
        <v>956</v>
      </c>
      <c r="B608">
        <v>33.332768156772715</v>
      </c>
      <c r="C608">
        <v>140</v>
      </c>
    </row>
    <row r="609" spans="1:3" ht="30" x14ac:dyDescent="0.25">
      <c r="A609" s="316" t="s">
        <v>958</v>
      </c>
      <c r="B609">
        <v>43.674791329300376</v>
      </c>
      <c r="C609">
        <v>54</v>
      </c>
    </row>
    <row r="610" spans="1:3" ht="30" x14ac:dyDescent="0.25">
      <c r="A610" s="317" t="s">
        <v>1002</v>
      </c>
      <c r="B610">
        <v>8.623903836790296</v>
      </c>
      <c r="C610">
        <v>637</v>
      </c>
    </row>
    <row r="611" spans="1:3" ht="30" x14ac:dyDescent="0.25">
      <c r="A611" s="316" t="s">
        <v>915</v>
      </c>
      <c r="B611">
        <v>30.09756079464778</v>
      </c>
      <c r="C611">
        <v>187</v>
      </c>
    </row>
    <row r="612" spans="1:3" ht="30" x14ac:dyDescent="0.25">
      <c r="A612" s="317" t="s">
        <v>961</v>
      </c>
      <c r="B612">
        <v>34.031877518905802</v>
      </c>
      <c r="C612">
        <v>126</v>
      </c>
    </row>
    <row r="613" spans="1:3" ht="30" x14ac:dyDescent="0.25">
      <c r="A613" s="316" t="s">
        <v>917</v>
      </c>
      <c r="B613">
        <v>27.132235337961387</v>
      </c>
      <c r="C613">
        <v>254</v>
      </c>
    </row>
    <row r="614" spans="1:3" ht="30" x14ac:dyDescent="0.25">
      <c r="A614" s="317" t="s">
        <v>1000</v>
      </c>
      <c r="B614">
        <v>27.132235337961387</v>
      </c>
      <c r="C614">
        <v>254</v>
      </c>
    </row>
    <row r="615" spans="1:3" ht="30" x14ac:dyDescent="0.25">
      <c r="A615" s="316" t="s">
        <v>925</v>
      </c>
      <c r="B615">
        <v>31.133475986331568</v>
      </c>
      <c r="C615">
        <v>168</v>
      </c>
    </row>
    <row r="616" spans="1:3" ht="30" x14ac:dyDescent="0.25">
      <c r="A616" s="317" t="s">
        <v>923</v>
      </c>
      <c r="B616">
        <v>31.133475986331568</v>
      </c>
      <c r="C616">
        <v>168</v>
      </c>
    </row>
    <row r="617" spans="1:3" ht="30" x14ac:dyDescent="0.25">
      <c r="A617" s="316" t="s">
        <v>920</v>
      </c>
      <c r="B617">
        <v>31.133475986331568</v>
      </c>
      <c r="C617">
        <v>168</v>
      </c>
    </row>
    <row r="618" spans="1:3" ht="30" x14ac:dyDescent="0.25">
      <c r="A618" s="317" t="s">
        <v>966</v>
      </c>
      <c r="B618">
        <v>13.024525410284864</v>
      </c>
      <c r="C618">
        <v>560</v>
      </c>
    </row>
    <row r="619" spans="1:3" ht="30" x14ac:dyDescent="0.25">
      <c r="A619" s="316" t="s">
        <v>975</v>
      </c>
      <c r="B619">
        <v>22.241421417175015</v>
      </c>
      <c r="C619">
        <v>388</v>
      </c>
    </row>
    <row r="620" spans="1:3" ht="30" x14ac:dyDescent="0.25">
      <c r="A620" s="317" t="s">
        <v>970</v>
      </c>
      <c r="B620">
        <v>22.241421417175015</v>
      </c>
      <c r="C620">
        <v>388</v>
      </c>
    </row>
    <row r="621" spans="1:3" ht="30" x14ac:dyDescent="0.25">
      <c r="A621" s="316" t="s">
        <v>977</v>
      </c>
      <c r="B621">
        <v>38.091639452560045</v>
      </c>
      <c r="C621">
        <v>84</v>
      </c>
    </row>
    <row r="622" spans="1:3" ht="30" x14ac:dyDescent="0.25">
      <c r="A622" s="317" t="s">
        <v>964</v>
      </c>
      <c r="B622">
        <v>54.629117387262603</v>
      </c>
      <c r="C622">
        <v>7</v>
      </c>
    </row>
    <row r="623" spans="1:3" ht="30" x14ac:dyDescent="0.25">
      <c r="A623" s="316" t="s">
        <v>3410</v>
      </c>
      <c r="B623">
        <v>46.853700561365059</v>
      </c>
      <c r="C623">
        <v>26</v>
      </c>
    </row>
    <row r="624" spans="1:3" ht="30" x14ac:dyDescent="0.25">
      <c r="A624" s="317" t="s">
        <v>3418</v>
      </c>
      <c r="B624">
        <v>46.353700561365059</v>
      </c>
      <c r="C624">
        <v>33</v>
      </c>
    </row>
    <row r="625" spans="1:3" ht="30" x14ac:dyDescent="0.25">
      <c r="A625" s="316" t="s">
        <v>3422</v>
      </c>
      <c r="B625">
        <v>47.353700561365059</v>
      </c>
      <c r="C625">
        <v>25</v>
      </c>
    </row>
    <row r="626" spans="1:3" ht="30" x14ac:dyDescent="0.25">
      <c r="A626" s="317" t="s">
        <v>3425</v>
      </c>
      <c r="B626">
        <v>47.853700561365059</v>
      </c>
      <c r="C626">
        <v>23</v>
      </c>
    </row>
    <row r="627" spans="1:3" ht="30" x14ac:dyDescent="0.25">
      <c r="A627" s="316" t="s">
        <v>3429</v>
      </c>
      <c r="B627">
        <v>46.353700561365059</v>
      </c>
      <c r="C627">
        <v>33</v>
      </c>
    </row>
    <row r="628" spans="1:3" ht="30" x14ac:dyDescent="0.25">
      <c r="A628" s="317" t="s">
        <v>3433</v>
      </c>
      <c r="B628">
        <v>12.887283709262906</v>
      </c>
      <c r="C628">
        <v>561</v>
      </c>
    </row>
    <row r="629" spans="1:3" ht="30" x14ac:dyDescent="0.25">
      <c r="A629" s="316" t="s">
        <v>3445</v>
      </c>
      <c r="B629">
        <v>12.387283709262906</v>
      </c>
      <c r="C629">
        <v>573</v>
      </c>
    </row>
    <row r="630" spans="1:3" ht="30" x14ac:dyDescent="0.25">
      <c r="A630" s="317" t="s">
        <v>3449</v>
      </c>
      <c r="B630">
        <v>8.9823081174990911</v>
      </c>
      <c r="C630">
        <v>633</v>
      </c>
    </row>
    <row r="631" spans="1:3" ht="30" x14ac:dyDescent="0.25">
      <c r="A631" s="316" t="s">
        <v>3457</v>
      </c>
      <c r="B631">
        <v>11.131242605957979</v>
      </c>
      <c r="C631">
        <v>598</v>
      </c>
    </row>
    <row r="632" spans="1:3" ht="30" x14ac:dyDescent="0.25">
      <c r="A632" s="317" t="s">
        <v>3463</v>
      </c>
      <c r="B632">
        <v>6.9173890094124681</v>
      </c>
      <c r="C632">
        <v>670</v>
      </c>
    </row>
    <row r="633" spans="1:3" ht="30" x14ac:dyDescent="0.25">
      <c r="A633" s="316" t="s">
        <v>3470</v>
      </c>
      <c r="B633">
        <v>17.222634728574654</v>
      </c>
      <c r="C633">
        <v>477</v>
      </c>
    </row>
    <row r="634" spans="1:3" ht="30" x14ac:dyDescent="0.25">
      <c r="A634" s="317" t="s">
        <v>3481</v>
      </c>
      <c r="B634">
        <v>16.722634728574654</v>
      </c>
      <c r="C634">
        <v>494</v>
      </c>
    </row>
    <row r="635" spans="1:3" ht="30" x14ac:dyDescent="0.25">
      <c r="A635" s="316" t="s">
        <v>3486</v>
      </c>
      <c r="B635">
        <v>16.341679992582883</v>
      </c>
      <c r="C635">
        <v>503</v>
      </c>
    </row>
    <row r="636" spans="1:3" ht="30" x14ac:dyDescent="0.25">
      <c r="A636" s="317" t="s">
        <v>3489</v>
      </c>
      <c r="B636">
        <v>16.722634728574654</v>
      </c>
      <c r="C636">
        <v>494</v>
      </c>
    </row>
    <row r="637" spans="1:3" ht="30" x14ac:dyDescent="0.25">
      <c r="A637" s="316" t="s">
        <v>3493</v>
      </c>
      <c r="B637">
        <v>42.446053760519497</v>
      </c>
      <c r="C637">
        <v>63</v>
      </c>
    </row>
    <row r="638" spans="1:3" ht="30" x14ac:dyDescent="0.25">
      <c r="A638" s="317" t="s">
        <v>3500</v>
      </c>
      <c r="B638">
        <v>29.360239352141729</v>
      </c>
      <c r="C638">
        <v>200</v>
      </c>
    </row>
    <row r="639" spans="1:3" ht="30" x14ac:dyDescent="0.25">
      <c r="A639" s="316" t="s">
        <v>3509</v>
      </c>
      <c r="B639">
        <v>11.65540580940082</v>
      </c>
      <c r="C639">
        <v>585</v>
      </c>
    </row>
    <row r="640" spans="1:3" ht="30" x14ac:dyDescent="0.25">
      <c r="A640" s="317" t="s">
        <v>3513</v>
      </c>
      <c r="B640">
        <v>28.91749716050078</v>
      </c>
      <c r="C640">
        <v>209</v>
      </c>
    </row>
    <row r="641" spans="1:3" ht="30" x14ac:dyDescent="0.25">
      <c r="A641" s="316" t="s">
        <v>3524</v>
      </c>
      <c r="B641">
        <v>18.16101897743571</v>
      </c>
      <c r="C641">
        <v>462</v>
      </c>
    </row>
    <row r="642" spans="1:3" ht="30" x14ac:dyDescent="0.25">
      <c r="A642" s="317" t="s">
        <v>3535</v>
      </c>
      <c r="B642">
        <v>16.85780768500474</v>
      </c>
      <c r="C642">
        <v>487</v>
      </c>
    </row>
    <row r="643" spans="1:3" ht="30" x14ac:dyDescent="0.25">
      <c r="A643" s="316" t="s">
        <v>3545</v>
      </c>
      <c r="B643">
        <v>19.861762758357735</v>
      </c>
      <c r="C643">
        <v>438</v>
      </c>
    </row>
    <row r="644" spans="1:3" ht="30" x14ac:dyDescent="0.25">
      <c r="A644" s="317" t="s">
        <v>3554</v>
      </c>
      <c r="B644">
        <v>17.357807685004737</v>
      </c>
      <c r="C644">
        <v>473</v>
      </c>
    </row>
    <row r="645" spans="1:3" ht="30" x14ac:dyDescent="0.25">
      <c r="A645" s="316" t="s">
        <v>3558</v>
      </c>
      <c r="B645">
        <v>27.845478334415791</v>
      </c>
      <c r="C645">
        <v>227</v>
      </c>
    </row>
    <row r="646" spans="1:3" ht="30" x14ac:dyDescent="0.25">
      <c r="A646" s="317" t="s">
        <v>3568</v>
      </c>
      <c r="B646">
        <v>20.361762758357735</v>
      </c>
      <c r="C646">
        <v>426</v>
      </c>
    </row>
    <row r="647" spans="1:3" ht="30" x14ac:dyDescent="0.25">
      <c r="A647" s="316" t="s">
        <v>3571</v>
      </c>
      <c r="B647">
        <v>26.880339754789222</v>
      </c>
      <c r="C647">
        <v>263</v>
      </c>
    </row>
    <row r="648" spans="1:3" ht="30" x14ac:dyDescent="0.25">
      <c r="A648" s="317" t="s">
        <v>3583</v>
      </c>
      <c r="B648">
        <v>27.380339754789222</v>
      </c>
      <c r="C648">
        <v>244</v>
      </c>
    </row>
    <row r="649" spans="1:3" ht="30" x14ac:dyDescent="0.25">
      <c r="A649" s="316" t="s">
        <v>3586</v>
      </c>
      <c r="B649">
        <v>27.380339754789222</v>
      </c>
      <c r="C649">
        <v>244</v>
      </c>
    </row>
    <row r="650" spans="1:3" ht="30" x14ac:dyDescent="0.25">
      <c r="A650" s="317" t="s">
        <v>3589</v>
      </c>
      <c r="B650">
        <v>27.380339754789222</v>
      </c>
      <c r="C650">
        <v>244</v>
      </c>
    </row>
    <row r="651" spans="1:3" ht="30" x14ac:dyDescent="0.25">
      <c r="A651" s="316" t="s">
        <v>3592</v>
      </c>
      <c r="B651">
        <v>34.159990385859928</v>
      </c>
      <c r="C651">
        <v>121</v>
      </c>
    </row>
    <row r="652" spans="1:3" ht="30" x14ac:dyDescent="0.25">
      <c r="A652" s="317" t="s">
        <v>3602</v>
      </c>
      <c r="B652">
        <v>32.659990385859928</v>
      </c>
      <c r="C652">
        <v>148</v>
      </c>
    </row>
    <row r="653" spans="1:3" ht="30" x14ac:dyDescent="0.25">
      <c r="A653" s="316" t="s">
        <v>3606</v>
      </c>
      <c r="B653">
        <v>32.659990385859928</v>
      </c>
      <c r="C653">
        <v>148</v>
      </c>
    </row>
    <row r="654" spans="1:3" ht="30" x14ac:dyDescent="0.25">
      <c r="A654" s="317" t="s">
        <v>3609</v>
      </c>
      <c r="B654">
        <v>6.4799424123458405</v>
      </c>
      <c r="C654">
        <v>677</v>
      </c>
    </row>
    <row r="655" spans="1:3" ht="30" x14ac:dyDescent="0.25">
      <c r="A655" s="316" t="s">
        <v>3619</v>
      </c>
      <c r="B655">
        <v>12.00986045636361</v>
      </c>
      <c r="C655">
        <v>580</v>
      </c>
    </row>
    <row r="656" spans="1:3" ht="30" x14ac:dyDescent="0.25">
      <c r="A656" s="317" t="s">
        <v>3628</v>
      </c>
      <c r="B656">
        <v>11.50986045636361</v>
      </c>
      <c r="C656">
        <v>588</v>
      </c>
    </row>
    <row r="657" spans="1:3" ht="30" x14ac:dyDescent="0.25">
      <c r="A657" s="316" t="s">
        <v>3632</v>
      </c>
      <c r="B657">
        <v>11.00986045636361</v>
      </c>
      <c r="C657">
        <v>599</v>
      </c>
    </row>
    <row r="658" spans="1:3" ht="30" x14ac:dyDescent="0.25">
      <c r="A658" s="317" t="s">
        <v>3636</v>
      </c>
      <c r="B658">
        <v>16.686533921590385</v>
      </c>
      <c r="C658">
        <v>496</v>
      </c>
    </row>
    <row r="659" spans="1:3" ht="30" x14ac:dyDescent="0.25">
      <c r="A659" s="316" t="s">
        <v>3644</v>
      </c>
      <c r="B659">
        <v>28.667987390988635</v>
      </c>
      <c r="C659">
        <v>216</v>
      </c>
    </row>
    <row r="660" spans="1:3" ht="30" x14ac:dyDescent="0.25">
      <c r="A660" s="317" t="s">
        <v>3654</v>
      </c>
      <c r="B660">
        <v>29.667987390988635</v>
      </c>
      <c r="C660">
        <v>195</v>
      </c>
    </row>
    <row r="661" spans="1:3" ht="30" x14ac:dyDescent="0.25">
      <c r="A661" s="316" t="s">
        <v>3657</v>
      </c>
      <c r="B661">
        <v>36.908094351623433</v>
      </c>
      <c r="C661">
        <v>92</v>
      </c>
    </row>
    <row r="662" spans="1:3" ht="30" x14ac:dyDescent="0.25">
      <c r="A662" s="317" t="s">
        <v>3665</v>
      </c>
      <c r="B662">
        <v>37.408094351623433</v>
      </c>
      <c r="C662">
        <v>91</v>
      </c>
    </row>
    <row r="663" spans="1:3" ht="30" x14ac:dyDescent="0.25">
      <c r="A663" s="316" t="s">
        <v>3668</v>
      </c>
      <c r="B663">
        <v>37.777525789740764</v>
      </c>
      <c r="C663">
        <v>90</v>
      </c>
    </row>
    <row r="664" spans="1:3" ht="30" x14ac:dyDescent="0.25">
      <c r="A664" s="317" t="s">
        <v>3679</v>
      </c>
      <c r="B664">
        <v>29.000339741102444</v>
      </c>
      <c r="C664">
        <v>206</v>
      </c>
    </row>
    <row r="665" spans="1:3" ht="30" x14ac:dyDescent="0.25">
      <c r="A665" s="316" t="s">
        <v>3690</v>
      </c>
      <c r="B665">
        <v>29.500339741102444</v>
      </c>
      <c r="C665">
        <v>199</v>
      </c>
    </row>
    <row r="666" spans="1:3" ht="30" x14ac:dyDescent="0.25">
      <c r="A666" s="317" t="s">
        <v>3695</v>
      </c>
      <c r="B666">
        <v>30.000339741102444</v>
      </c>
      <c r="C666">
        <v>190</v>
      </c>
    </row>
    <row r="667" spans="1:3" ht="30" x14ac:dyDescent="0.25">
      <c r="A667" s="316" t="s">
        <v>3698</v>
      </c>
      <c r="B667">
        <v>38.278663418033382</v>
      </c>
      <c r="C667">
        <v>83</v>
      </c>
    </row>
    <row r="668" spans="1:3" ht="30" x14ac:dyDescent="0.25">
      <c r="A668" s="317" t="s">
        <v>3706</v>
      </c>
      <c r="B668">
        <v>38.954996318874251</v>
      </c>
      <c r="C668">
        <v>80</v>
      </c>
    </row>
    <row r="669" spans="1:3" ht="30" x14ac:dyDescent="0.25">
      <c r="A669" s="316" t="s">
        <v>3713</v>
      </c>
      <c r="B669">
        <v>14.345548679389243</v>
      </c>
      <c r="C669">
        <v>543</v>
      </c>
    </row>
    <row r="670" spans="1:3" ht="30" x14ac:dyDescent="0.25">
      <c r="A670" s="317" t="s">
        <v>3724</v>
      </c>
      <c r="B670">
        <v>16.157533938925816</v>
      </c>
      <c r="C670">
        <v>506</v>
      </c>
    </row>
    <row r="671" spans="1:3" ht="30" x14ac:dyDescent="0.25">
      <c r="A671" s="316" t="s">
        <v>3734</v>
      </c>
      <c r="B671">
        <v>15.657533938925814</v>
      </c>
      <c r="C671">
        <v>520</v>
      </c>
    </row>
    <row r="672" spans="1:3" ht="30" x14ac:dyDescent="0.25">
      <c r="A672" s="317" t="s">
        <v>3737</v>
      </c>
      <c r="B672">
        <v>22.763609827248182</v>
      </c>
      <c r="C672">
        <v>363</v>
      </c>
    </row>
    <row r="673" spans="1:3" ht="30" x14ac:dyDescent="0.25">
      <c r="A673" s="316" t="s">
        <v>3745</v>
      </c>
      <c r="B673">
        <v>23.314087962587831</v>
      </c>
      <c r="C673">
        <v>349</v>
      </c>
    </row>
    <row r="674" spans="1:3" ht="30" x14ac:dyDescent="0.25">
      <c r="A674" s="317" t="s">
        <v>3754</v>
      </c>
      <c r="B674">
        <v>22.814087962587831</v>
      </c>
      <c r="C674">
        <v>362</v>
      </c>
    </row>
    <row r="675" spans="1:3" ht="30" x14ac:dyDescent="0.25">
      <c r="A675" s="316" t="s">
        <v>3757</v>
      </c>
      <c r="B675">
        <v>15.210575934098465</v>
      </c>
      <c r="C675">
        <v>528</v>
      </c>
    </row>
    <row r="676" spans="1:3" ht="30" x14ac:dyDescent="0.25">
      <c r="A676" s="317" t="s">
        <v>3766</v>
      </c>
      <c r="B676">
        <v>55.829011479272779</v>
      </c>
      <c r="C676">
        <v>5</v>
      </c>
    </row>
    <row r="677" spans="1:3" ht="30" x14ac:dyDescent="0.25">
      <c r="A677" s="316" t="s">
        <v>3773</v>
      </c>
      <c r="B677">
        <v>55.329011479272779</v>
      </c>
      <c r="C677">
        <v>6</v>
      </c>
    </row>
    <row r="678" spans="1:3" ht="30" x14ac:dyDescent="0.25">
      <c r="A678" s="317" t="s">
        <v>3778</v>
      </c>
      <c r="B678">
        <v>3.978145868628097</v>
      </c>
      <c r="C678">
        <v>704</v>
      </c>
    </row>
    <row r="679" spans="1:3" ht="30" x14ac:dyDescent="0.25">
      <c r="A679" s="316" t="s">
        <v>3790</v>
      </c>
      <c r="B679">
        <v>28.000306667371749</v>
      </c>
      <c r="C679">
        <v>226</v>
      </c>
    </row>
    <row r="680" spans="1:3" ht="30" x14ac:dyDescent="0.25">
      <c r="A680" s="317" t="s">
        <v>3799</v>
      </c>
      <c r="B680">
        <v>29.000306667371749</v>
      </c>
      <c r="C680">
        <v>207</v>
      </c>
    </row>
    <row r="681" spans="1:3" ht="30" x14ac:dyDescent="0.25">
      <c r="A681" s="316" t="s">
        <v>3804</v>
      </c>
      <c r="B681">
        <v>21.902158570706252</v>
      </c>
      <c r="C681">
        <v>400</v>
      </c>
    </row>
    <row r="682" spans="1:3" ht="30" x14ac:dyDescent="0.25">
      <c r="A682" s="317" t="s">
        <v>3813</v>
      </c>
      <c r="B682">
        <v>8.6066903250944193</v>
      </c>
      <c r="C682">
        <v>639</v>
      </c>
    </row>
    <row r="683" spans="1:3" ht="30" x14ac:dyDescent="0.25">
      <c r="A683" s="316" t="s">
        <v>3825</v>
      </c>
      <c r="B683">
        <v>17.258645171980518</v>
      </c>
      <c r="C683">
        <v>476</v>
      </c>
    </row>
    <row r="684" spans="1:3" ht="30" x14ac:dyDescent="0.25">
      <c r="A684" s="317" t="s">
        <v>3829</v>
      </c>
      <c r="B684">
        <v>15.758645171980517</v>
      </c>
      <c r="C684">
        <v>517</v>
      </c>
    </row>
    <row r="685" spans="1:3" ht="30" x14ac:dyDescent="0.25">
      <c r="A685" s="316" t="s">
        <v>3832</v>
      </c>
      <c r="B685">
        <v>15.886674468792457</v>
      </c>
      <c r="C685">
        <v>514</v>
      </c>
    </row>
    <row r="686" spans="1:3" ht="30" x14ac:dyDescent="0.25">
      <c r="A686" s="317" t="s">
        <v>3842</v>
      </c>
      <c r="B686">
        <v>17.006211170781285</v>
      </c>
      <c r="C686">
        <v>484</v>
      </c>
    </row>
    <row r="687" spans="1:3" ht="30" x14ac:dyDescent="0.25">
      <c r="A687" s="316" t="s">
        <v>3844</v>
      </c>
      <c r="B687">
        <v>15.847472311827062</v>
      </c>
      <c r="C687">
        <v>515</v>
      </c>
    </row>
    <row r="688" spans="1:3" ht="30" x14ac:dyDescent="0.25">
      <c r="A688" s="317" t="s">
        <v>3851</v>
      </c>
      <c r="B688">
        <v>15.347472311827062</v>
      </c>
      <c r="C688">
        <v>525</v>
      </c>
    </row>
    <row r="689" spans="1:3" ht="30" x14ac:dyDescent="0.25">
      <c r="A689" s="316" t="s">
        <v>3854</v>
      </c>
      <c r="B689">
        <v>15.347472311827062</v>
      </c>
      <c r="C689">
        <v>525</v>
      </c>
    </row>
    <row r="690" spans="1:3" ht="30" x14ac:dyDescent="0.25">
      <c r="A690" s="317" t="s">
        <v>3858</v>
      </c>
      <c r="B690">
        <v>15.347472311827062</v>
      </c>
      <c r="C690">
        <v>525</v>
      </c>
    </row>
    <row r="691" spans="1:3" ht="30" x14ac:dyDescent="0.25">
      <c r="A691" s="316" t="s">
        <v>3913</v>
      </c>
      <c r="B691">
        <v>14.619732613969493</v>
      </c>
      <c r="C691">
        <v>535</v>
      </c>
    </row>
    <row r="692" spans="1:3" ht="30" x14ac:dyDescent="0.25">
      <c r="A692" s="317" t="s">
        <v>3872</v>
      </c>
      <c r="B692">
        <v>34.544120888450919</v>
      </c>
      <c r="C692">
        <v>113</v>
      </c>
    </row>
    <row r="693" spans="1:3" ht="30" x14ac:dyDescent="0.25">
      <c r="A693" s="316" t="s">
        <v>3875</v>
      </c>
      <c r="B693">
        <v>34.544120888450919</v>
      </c>
      <c r="C693">
        <v>113</v>
      </c>
    </row>
    <row r="694" spans="1:3" ht="30" x14ac:dyDescent="0.25">
      <c r="A694" s="317" t="s">
        <v>3916</v>
      </c>
      <c r="B694">
        <v>15.119732613969493</v>
      </c>
      <c r="C694">
        <v>529</v>
      </c>
    </row>
    <row r="695" spans="1:3" ht="30" x14ac:dyDescent="0.25">
      <c r="A695" s="316" t="s">
        <v>3920</v>
      </c>
      <c r="B695">
        <v>14.619732613969493</v>
      </c>
      <c r="C695">
        <v>535</v>
      </c>
    </row>
    <row r="696" spans="1:3" ht="30" x14ac:dyDescent="0.25">
      <c r="A696" s="317" t="s">
        <v>3952</v>
      </c>
      <c r="B696">
        <v>21.454517708448524</v>
      </c>
      <c r="C696">
        <v>412</v>
      </c>
    </row>
    <row r="697" spans="1:3" ht="30" x14ac:dyDescent="0.25">
      <c r="A697" s="316" t="s">
        <v>3955</v>
      </c>
      <c r="B697">
        <v>21.954517708448524</v>
      </c>
      <c r="C697">
        <v>397</v>
      </c>
    </row>
    <row r="698" spans="1:3" ht="30" x14ac:dyDescent="0.25">
      <c r="A698" s="317" t="s">
        <v>3958</v>
      </c>
      <c r="B698">
        <v>21.954517708448524</v>
      </c>
      <c r="C698">
        <v>397</v>
      </c>
    </row>
    <row r="699" spans="1:3" ht="30" x14ac:dyDescent="0.25">
      <c r="A699" s="316" t="s">
        <v>3961</v>
      </c>
      <c r="B699">
        <v>22.454517708448524</v>
      </c>
      <c r="C699">
        <v>379</v>
      </c>
    </row>
    <row r="700" spans="1:3" ht="30" x14ac:dyDescent="0.25">
      <c r="A700" s="317" t="s">
        <v>3964</v>
      </c>
      <c r="B700">
        <v>22.454517708448524</v>
      </c>
      <c r="C700">
        <v>379</v>
      </c>
    </row>
    <row r="701" spans="1:3" ht="30" x14ac:dyDescent="0.25">
      <c r="A701" s="316" t="s">
        <v>3967</v>
      </c>
      <c r="B701">
        <v>19.817751924216651</v>
      </c>
      <c r="C701">
        <v>440</v>
      </c>
    </row>
    <row r="702" spans="1:3" ht="30" x14ac:dyDescent="0.25">
      <c r="A702" s="317" t="s">
        <v>3970</v>
      </c>
      <c r="B702">
        <v>19.817751924216651</v>
      </c>
      <c r="C702">
        <v>440</v>
      </c>
    </row>
    <row r="703" spans="1:3" ht="30" x14ac:dyDescent="0.25">
      <c r="A703" s="316" t="s">
        <v>3973</v>
      </c>
      <c r="B703">
        <v>20.317751924216651</v>
      </c>
      <c r="C703">
        <v>429</v>
      </c>
    </row>
    <row r="704" spans="1:3" ht="30" x14ac:dyDescent="0.25">
      <c r="A704" s="317" t="s">
        <v>3976</v>
      </c>
      <c r="B704">
        <v>18.691106178436439</v>
      </c>
      <c r="C704">
        <v>456</v>
      </c>
    </row>
    <row r="705" spans="1:3" ht="30" x14ac:dyDescent="0.25">
      <c r="A705" s="316" t="s">
        <v>3979</v>
      </c>
      <c r="B705">
        <v>18.191106178436439</v>
      </c>
      <c r="C705">
        <v>461</v>
      </c>
    </row>
    <row r="706" spans="1:3" ht="30" x14ac:dyDescent="0.25">
      <c r="A706" s="317" t="s">
        <v>3982</v>
      </c>
      <c r="B706">
        <v>20.043668153000606</v>
      </c>
      <c r="C706">
        <v>437</v>
      </c>
    </row>
    <row r="707" spans="1:3" ht="30" x14ac:dyDescent="0.25">
      <c r="A707" s="316" t="s">
        <v>3985</v>
      </c>
      <c r="B707">
        <v>27.202028514771058</v>
      </c>
      <c r="C707">
        <v>250</v>
      </c>
    </row>
    <row r="708" spans="1:3" ht="30" x14ac:dyDescent="0.25">
      <c r="A708" s="317" t="s">
        <v>3988</v>
      </c>
      <c r="B708">
        <v>22.605129319485012</v>
      </c>
      <c r="C708">
        <v>374</v>
      </c>
    </row>
    <row r="709" spans="1:3" ht="30" x14ac:dyDescent="0.25">
      <c r="A709" s="316" t="s">
        <v>3992</v>
      </c>
      <c r="B709">
        <v>22.605129319485012</v>
      </c>
      <c r="C709">
        <v>374</v>
      </c>
    </row>
    <row r="710" spans="1:3" ht="30" x14ac:dyDescent="0.25">
      <c r="A710" s="317" t="s">
        <v>3861</v>
      </c>
      <c r="B710">
        <v>26.698309683903901</v>
      </c>
      <c r="C710">
        <v>271</v>
      </c>
    </row>
    <row r="711" spans="1:3" ht="30" x14ac:dyDescent="0.25">
      <c r="A711" s="316" t="s">
        <v>3866</v>
      </c>
      <c r="B711">
        <v>27.198309683903901</v>
      </c>
      <c r="C711">
        <v>251</v>
      </c>
    </row>
    <row r="712" spans="1:3" ht="30" x14ac:dyDescent="0.25">
      <c r="A712" s="317" t="s">
        <v>3878</v>
      </c>
      <c r="B712">
        <v>19.848535701660396</v>
      </c>
      <c r="C712">
        <v>439</v>
      </c>
    </row>
    <row r="713" spans="1:3" ht="30" x14ac:dyDescent="0.25">
      <c r="A713" s="316" t="s">
        <v>3882</v>
      </c>
      <c r="B713">
        <v>20.348535701660396</v>
      </c>
      <c r="C713">
        <v>427</v>
      </c>
    </row>
    <row r="714" spans="1:3" ht="30" x14ac:dyDescent="0.25">
      <c r="A714" s="317" t="s">
        <v>3884</v>
      </c>
      <c r="B714">
        <v>20.348535701660396</v>
      </c>
      <c r="C714">
        <v>427</v>
      </c>
    </row>
    <row r="715" spans="1:3" ht="30" x14ac:dyDescent="0.25">
      <c r="A715" s="316" t="s">
        <v>3887</v>
      </c>
      <c r="B715">
        <v>34.273455752236842</v>
      </c>
      <c r="C715">
        <v>115</v>
      </c>
    </row>
    <row r="716" spans="1:3" ht="30" x14ac:dyDescent="0.25">
      <c r="A716" s="317" t="s">
        <v>3891</v>
      </c>
      <c r="B716">
        <v>34.273455752236842</v>
      </c>
      <c r="C716">
        <v>115</v>
      </c>
    </row>
    <row r="717" spans="1:3" ht="30" x14ac:dyDescent="0.25">
      <c r="A717" s="316" t="s">
        <v>3893</v>
      </c>
      <c r="B717">
        <v>34.273455752236842</v>
      </c>
      <c r="C717">
        <v>115</v>
      </c>
    </row>
    <row r="718" spans="1:3" ht="30" x14ac:dyDescent="0.25">
      <c r="A718" s="317" t="s">
        <v>3895</v>
      </c>
      <c r="B718">
        <v>25.174985704580354</v>
      </c>
      <c r="C718">
        <v>310</v>
      </c>
    </row>
    <row r="719" spans="1:3" ht="30" x14ac:dyDescent="0.25">
      <c r="A719" s="316" t="s">
        <v>3899</v>
      </c>
      <c r="B719">
        <v>45.784594247696894</v>
      </c>
      <c r="C719">
        <v>42</v>
      </c>
    </row>
    <row r="720" spans="1:3" ht="30" x14ac:dyDescent="0.25">
      <c r="A720" s="317" t="s">
        <v>3903</v>
      </c>
      <c r="B720">
        <v>46.284594247696894</v>
      </c>
      <c r="C720">
        <v>35</v>
      </c>
    </row>
    <row r="721" spans="1:3" ht="30" x14ac:dyDescent="0.25">
      <c r="A721" s="316" t="s">
        <v>3905</v>
      </c>
      <c r="B721">
        <v>46.284594247696894</v>
      </c>
      <c r="C721">
        <v>35</v>
      </c>
    </row>
    <row r="722" spans="1:3" ht="30" x14ac:dyDescent="0.25">
      <c r="A722" s="317" t="s">
        <v>3907</v>
      </c>
      <c r="B722">
        <v>46.284594247696894</v>
      </c>
      <c r="C722">
        <v>35</v>
      </c>
    </row>
    <row r="723" spans="1:3" ht="30" x14ac:dyDescent="0.25">
      <c r="A723" s="316" t="s">
        <v>3910</v>
      </c>
      <c r="B723">
        <v>45.284594247696894</v>
      </c>
      <c r="C723">
        <v>50</v>
      </c>
    </row>
    <row r="724" spans="1:3" ht="30" x14ac:dyDescent="0.25">
      <c r="A724" s="317" t="s">
        <v>3923</v>
      </c>
      <c r="B724">
        <v>19.08675714682882</v>
      </c>
      <c r="C724">
        <v>447</v>
      </c>
    </row>
    <row r="725" spans="1:3" ht="30" x14ac:dyDescent="0.25">
      <c r="A725" s="316" t="s">
        <v>3925</v>
      </c>
      <c r="B725">
        <v>20.08675714682882</v>
      </c>
      <c r="C725">
        <v>436</v>
      </c>
    </row>
    <row r="726" spans="1:3" ht="30" x14ac:dyDescent="0.25">
      <c r="A726" s="317" t="s">
        <v>3927</v>
      </c>
      <c r="B726">
        <v>34.229202935271587</v>
      </c>
      <c r="C726">
        <v>118</v>
      </c>
    </row>
    <row r="727" spans="1:3" ht="30" x14ac:dyDescent="0.25">
      <c r="A727" s="316" t="s">
        <v>3929</v>
      </c>
      <c r="B727">
        <v>34.229202935271587</v>
      </c>
      <c r="C727">
        <v>118</v>
      </c>
    </row>
    <row r="728" spans="1:3" ht="30" x14ac:dyDescent="0.25">
      <c r="A728" s="317" t="s">
        <v>3932</v>
      </c>
      <c r="B728">
        <v>34.229202935271587</v>
      </c>
      <c r="C728">
        <v>118</v>
      </c>
    </row>
    <row r="729" spans="1:3" ht="30" x14ac:dyDescent="0.25">
      <c r="A729" s="316" t="s">
        <v>3934</v>
      </c>
      <c r="B729">
        <v>26.026534635149151</v>
      </c>
      <c r="C729">
        <v>295</v>
      </c>
    </row>
    <row r="730" spans="1:3" ht="30" x14ac:dyDescent="0.25">
      <c r="A730" s="317" t="s">
        <v>3937</v>
      </c>
      <c r="B730">
        <v>24.026534635149151</v>
      </c>
      <c r="C730">
        <v>330</v>
      </c>
    </row>
    <row r="731" spans="1:3" ht="30" x14ac:dyDescent="0.25">
      <c r="A731" s="316" t="s">
        <v>3939</v>
      </c>
      <c r="B731">
        <v>31.980886729172994</v>
      </c>
      <c r="C731">
        <v>154</v>
      </c>
    </row>
    <row r="732" spans="1:3" ht="30" x14ac:dyDescent="0.25">
      <c r="A732" s="317" t="s">
        <v>3941</v>
      </c>
      <c r="B732">
        <v>31.980886729172994</v>
      </c>
      <c r="C732">
        <v>154</v>
      </c>
    </row>
    <row r="733" spans="1:3" ht="30" x14ac:dyDescent="0.25">
      <c r="A733" s="316" t="s">
        <v>3943</v>
      </c>
      <c r="B733">
        <v>25.376548429207055</v>
      </c>
      <c r="C733">
        <v>308</v>
      </c>
    </row>
    <row r="734" spans="1:3" ht="30" x14ac:dyDescent="0.25">
      <c r="A734" s="317" t="s">
        <v>3946</v>
      </c>
      <c r="B734">
        <v>26.376548429207055</v>
      </c>
      <c r="C734">
        <v>284</v>
      </c>
    </row>
    <row r="735" spans="1:3" ht="30" x14ac:dyDescent="0.25">
      <c r="A735" s="316" t="s">
        <v>3948</v>
      </c>
      <c r="B735">
        <v>29.979481331230833</v>
      </c>
      <c r="C735">
        <v>191</v>
      </c>
    </row>
    <row r="736" spans="1:3" ht="30" x14ac:dyDescent="0.25">
      <c r="A736" s="317" t="s">
        <v>3950</v>
      </c>
      <c r="B736">
        <v>29.979481331230833</v>
      </c>
      <c r="C736">
        <v>191</v>
      </c>
    </row>
    <row r="737" spans="1:3" ht="30" x14ac:dyDescent="0.25">
      <c r="A737" s="316" t="s">
        <v>3869</v>
      </c>
      <c r="B737">
        <v>27.198309683903901</v>
      </c>
      <c r="C737">
        <v>251</v>
      </c>
    </row>
    <row r="738" spans="1:3" ht="30" x14ac:dyDescent="0.25">
      <c r="A738" s="317" t="s">
        <v>4047</v>
      </c>
      <c r="B738">
        <v>2.5138501375668802</v>
      </c>
      <c r="C738">
        <v>722</v>
      </c>
    </row>
    <row r="739" spans="1:3" ht="30" x14ac:dyDescent="0.25">
      <c r="A739" s="316" t="s">
        <v>4056</v>
      </c>
      <c r="B739">
        <v>14.867505925355449</v>
      </c>
      <c r="C739">
        <v>531</v>
      </c>
    </row>
    <row r="740" spans="1:3" ht="30" x14ac:dyDescent="0.25">
      <c r="A740" s="317" t="s">
        <v>4062</v>
      </c>
      <c r="B740">
        <v>23.577970891286068</v>
      </c>
      <c r="C740">
        <v>342</v>
      </c>
    </row>
    <row r="741" spans="1:3" ht="30" x14ac:dyDescent="0.25">
      <c r="A741" s="316" t="s">
        <v>4068</v>
      </c>
      <c r="B741">
        <v>30.600417904582585</v>
      </c>
      <c r="C741">
        <v>176</v>
      </c>
    </row>
    <row r="742" spans="1:3" ht="30" x14ac:dyDescent="0.25">
      <c r="A742" s="317" t="s">
        <v>4075</v>
      </c>
      <c r="B742">
        <v>23.534721598412951</v>
      </c>
      <c r="C742">
        <v>345</v>
      </c>
    </row>
    <row r="743" spans="1:3" ht="30" x14ac:dyDescent="0.25">
      <c r="A743" s="316" t="s">
        <v>4084</v>
      </c>
      <c r="B743">
        <v>3.360995059819623</v>
      </c>
      <c r="C743">
        <v>711</v>
      </c>
    </row>
    <row r="744" spans="1:3" ht="30" x14ac:dyDescent="0.25">
      <c r="A744" s="317" t="s">
        <v>4093</v>
      </c>
      <c r="B744">
        <v>21.786864090166159</v>
      </c>
      <c r="C744">
        <v>401</v>
      </c>
    </row>
    <row r="745" spans="1:3" ht="30" x14ac:dyDescent="0.25">
      <c r="A745" s="316" t="s">
        <v>4101</v>
      </c>
      <c r="B745">
        <v>7.8161211805066211</v>
      </c>
      <c r="C745">
        <v>656</v>
      </c>
    </row>
    <row r="746" spans="1:3" ht="30" x14ac:dyDescent="0.25">
      <c r="A746" s="317" t="s">
        <v>4109</v>
      </c>
      <c r="B746">
        <v>20.162357807256669</v>
      </c>
      <c r="C746">
        <v>432</v>
      </c>
    </row>
    <row r="747" spans="1:3" ht="30" x14ac:dyDescent="0.25">
      <c r="A747" s="316" t="s">
        <v>4115</v>
      </c>
      <c r="B747">
        <v>15.793655798745835</v>
      </c>
      <c r="C747">
        <v>516</v>
      </c>
    </row>
    <row r="748" spans="1:3" ht="30" x14ac:dyDescent="0.25">
      <c r="A748" s="317" t="s">
        <v>4120</v>
      </c>
      <c r="B748">
        <v>1.994175189427279</v>
      </c>
      <c r="C748">
        <v>754</v>
      </c>
    </row>
    <row r="749" spans="1:3" ht="30" x14ac:dyDescent="0.25">
      <c r="A749" s="316" t="s">
        <v>4125</v>
      </c>
      <c r="B749">
        <v>2.0733950574586157</v>
      </c>
      <c r="C749">
        <v>736</v>
      </c>
    </row>
    <row r="750" spans="1:3" ht="30" x14ac:dyDescent="0.25">
      <c r="A750" s="318" t="s">
        <v>4129</v>
      </c>
      <c r="B750">
        <v>25.615891715037815</v>
      </c>
      <c r="C750">
        <v>300</v>
      </c>
    </row>
    <row r="751" spans="1:3" ht="30" x14ac:dyDescent="0.25">
      <c r="A751" s="247" t="s">
        <v>4136</v>
      </c>
      <c r="B751">
        <v>26.450273956895053</v>
      </c>
      <c r="C751">
        <v>282</v>
      </c>
    </row>
    <row r="752" spans="1:3" ht="30" x14ac:dyDescent="0.25">
      <c r="A752" s="318" t="s">
        <v>4224</v>
      </c>
      <c r="B752">
        <v>33.102699317567293</v>
      </c>
      <c r="C752">
        <v>145</v>
      </c>
    </row>
    <row r="753" spans="1:3" ht="30" x14ac:dyDescent="0.25">
      <c r="A753" s="247" t="s">
        <v>4313</v>
      </c>
      <c r="B753">
        <v>34.105785501355292</v>
      </c>
      <c r="C753">
        <v>122</v>
      </c>
    </row>
    <row r="754" spans="1:3" ht="30" x14ac:dyDescent="0.25">
      <c r="A754" s="318" t="s">
        <v>4333</v>
      </c>
      <c r="B754">
        <v>20.086983729445329</v>
      </c>
      <c r="C754">
        <v>435</v>
      </c>
    </row>
    <row r="755" spans="1:3" ht="30" x14ac:dyDescent="0.25">
      <c r="A755" s="247" t="s">
        <v>4319</v>
      </c>
      <c r="B755">
        <v>31.981027077347935</v>
      </c>
      <c r="C755">
        <v>153</v>
      </c>
    </row>
    <row r="756" spans="1:3" ht="30" x14ac:dyDescent="0.25">
      <c r="A756" s="318" t="s">
        <v>4245</v>
      </c>
      <c r="B756">
        <v>20.315215676168204</v>
      </c>
      <c r="C756">
        <v>430</v>
      </c>
    </row>
    <row r="757" spans="1:3" ht="30" x14ac:dyDescent="0.25">
      <c r="A757" s="247" t="s">
        <v>4233</v>
      </c>
      <c r="B757">
        <v>21.608822942744382</v>
      </c>
      <c r="C757">
        <v>410</v>
      </c>
    </row>
    <row r="758" spans="1:3" ht="30" x14ac:dyDescent="0.25">
      <c r="A758" s="318" t="s">
        <v>4261</v>
      </c>
      <c r="B758">
        <v>16.764414239127415</v>
      </c>
      <c r="C758">
        <v>493</v>
      </c>
    </row>
    <row r="759" spans="1:3" ht="30" x14ac:dyDescent="0.25">
      <c r="A759" s="247" t="s">
        <v>4238</v>
      </c>
      <c r="B759">
        <v>25.467878064718736</v>
      </c>
      <c r="C759">
        <v>303</v>
      </c>
    </row>
    <row r="760" spans="1:3" ht="30" x14ac:dyDescent="0.25">
      <c r="A760" s="318" t="s">
        <v>4268</v>
      </c>
      <c r="B760">
        <v>26.026609404181539</v>
      </c>
      <c r="C760">
        <v>294</v>
      </c>
    </row>
    <row r="761" spans="1:3" ht="30" x14ac:dyDescent="0.25">
      <c r="A761" s="247" t="s">
        <v>4287</v>
      </c>
      <c r="B761">
        <v>17.133401032212674</v>
      </c>
      <c r="C761">
        <v>483</v>
      </c>
    </row>
    <row r="762" spans="1:3" ht="30" x14ac:dyDescent="0.25">
      <c r="A762" s="318" t="s">
        <v>4274</v>
      </c>
      <c r="B762">
        <v>26.377178071478955</v>
      </c>
      <c r="C762">
        <v>283</v>
      </c>
    </row>
    <row r="763" spans="1:3" ht="30" x14ac:dyDescent="0.25">
      <c r="A763" s="247" t="s">
        <v>4300</v>
      </c>
      <c r="B763">
        <v>30.10773320773896</v>
      </c>
      <c r="C763">
        <v>184</v>
      </c>
    </row>
    <row r="764" spans="1:3" ht="30" x14ac:dyDescent="0.25">
      <c r="A764" s="318" t="s">
        <v>4325</v>
      </c>
      <c r="B764">
        <v>27.508545435867966</v>
      </c>
      <c r="C764">
        <v>237</v>
      </c>
    </row>
    <row r="765" spans="1:3" ht="30" x14ac:dyDescent="0.25">
      <c r="A765" s="247" t="s">
        <v>4280</v>
      </c>
      <c r="B765">
        <v>29.043280057961127</v>
      </c>
      <c r="C765">
        <v>205</v>
      </c>
    </row>
    <row r="766" spans="1:3" ht="30" x14ac:dyDescent="0.25">
      <c r="A766" s="318" t="s">
        <v>4250</v>
      </c>
      <c r="B766">
        <v>27.198208246572225</v>
      </c>
      <c r="C766">
        <v>253</v>
      </c>
    </row>
    <row r="767" spans="1:3" ht="30" x14ac:dyDescent="0.25">
      <c r="A767" s="247" t="s">
        <v>4329</v>
      </c>
      <c r="B767">
        <v>23.646500614552306</v>
      </c>
      <c r="C767">
        <v>341</v>
      </c>
    </row>
    <row r="768" spans="1:3" ht="30" x14ac:dyDescent="0.25">
      <c r="A768" s="318" t="s">
        <v>4293</v>
      </c>
      <c r="B768">
        <v>37.809158774596426</v>
      </c>
      <c r="C768">
        <v>89</v>
      </c>
    </row>
    <row r="769" spans="1:3" ht="30" x14ac:dyDescent="0.25">
      <c r="A769" s="247" t="s">
        <v>4336</v>
      </c>
      <c r="B769">
        <v>45.661758701753293</v>
      </c>
      <c r="C769">
        <v>45</v>
      </c>
    </row>
    <row r="770" spans="1:3" ht="30" x14ac:dyDescent="0.25">
      <c r="A770" s="318" t="s">
        <v>4306</v>
      </c>
      <c r="B770">
        <v>23.821901739109457</v>
      </c>
      <c r="C770">
        <v>337</v>
      </c>
    </row>
    <row r="771" spans="1:3" ht="30" x14ac:dyDescent="0.25">
      <c r="A771" s="247" t="s">
        <v>4283</v>
      </c>
      <c r="B771">
        <v>27.539984416216978</v>
      </c>
      <c r="C771">
        <v>236</v>
      </c>
    </row>
    <row r="772" spans="1:3" ht="30" x14ac:dyDescent="0.25">
      <c r="A772" s="318" t="s">
        <v>4256</v>
      </c>
      <c r="B772">
        <v>21.688473646981578</v>
      </c>
      <c r="C772">
        <v>405</v>
      </c>
    </row>
  </sheetData>
  <conditionalFormatting sqref="A2:A772">
    <cfRule type="expression" dxfId="2" priority="1">
      <formula>MOD(ROW(),2)=0</formula>
    </cfRule>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C900-429F-4140-8034-A174145E5A90}">
  <dimension ref="A1:N4162"/>
  <sheetViews>
    <sheetView topLeftCell="A75" workbookViewId="0">
      <selection activeCell="A89" sqref="A89"/>
    </sheetView>
  </sheetViews>
  <sheetFormatPr defaultRowHeight="15" x14ac:dyDescent="0.25"/>
  <cols>
    <col min="1" max="1" width="12.5703125" style="303" customWidth="1"/>
    <col min="2" max="3" width="15.5703125" style="303" customWidth="1"/>
    <col min="4" max="4" width="36.5703125" customWidth="1"/>
    <col min="5" max="5" width="13.5703125" customWidth="1"/>
    <col min="6" max="6" width="25.42578125" customWidth="1"/>
  </cols>
  <sheetData>
    <row r="1" spans="1:6" s="154" customFormat="1" ht="16.5" thickBot="1" x14ac:dyDescent="0.3">
      <c r="A1" s="299" t="s">
        <v>199</v>
      </c>
      <c r="B1" s="300" t="s">
        <v>4942</v>
      </c>
      <c r="C1" s="300" t="s">
        <v>4943</v>
      </c>
      <c r="D1" s="301" t="s">
        <v>4944</v>
      </c>
      <c r="E1" s="301" t="s">
        <v>184</v>
      </c>
      <c r="F1" s="154" t="s">
        <v>4945</v>
      </c>
    </row>
    <row r="2" spans="1:6" x14ac:dyDescent="0.25">
      <c r="A2" s="302" t="s">
        <v>4946</v>
      </c>
      <c r="B2" s="303" t="str">
        <f t="shared" ref="B2:B65" si="0">_xlfn.CONCAT("x",TEXT(A2,"00000000"))</f>
        <v>x00000002</v>
      </c>
      <c r="C2" t="s">
        <v>4947</v>
      </c>
      <c r="D2" t="s">
        <v>4948</v>
      </c>
      <c r="E2">
        <v>10</v>
      </c>
      <c r="F2" t="str">
        <f>IF(AND(Entities[[#This Row],[ENT_TYPE]]="County",RIGHT(Entities[[#This Row],[ENT_NAME]],6)&lt;&gt;"County"),_xlfn.TEXTJOIN(" ",TRUE,Entities[[#This Row],[ENT_NAME]],"County"),Entities[[#This Row],[ENT_NAME]])</f>
        <v>Lavaca County</v>
      </c>
    </row>
    <row r="3" spans="1:6" x14ac:dyDescent="0.25">
      <c r="A3" s="304" t="s">
        <v>4946</v>
      </c>
      <c r="B3" s="303" t="str">
        <f t="shared" si="0"/>
        <v>x00000002</v>
      </c>
      <c r="C3" t="s">
        <v>4947</v>
      </c>
      <c r="D3" t="s">
        <v>4948</v>
      </c>
      <c r="E3">
        <v>11</v>
      </c>
      <c r="F3" t="str">
        <f>IF(AND(Entities[[#This Row],[ENT_TYPE]]="County",RIGHT(Entities[[#This Row],[ENT_NAME]],6)&lt;&gt;"County"),_xlfn.TEXTJOIN(" ",TRUE,Entities[[#This Row],[ENT_NAME]],"County"),Entities[[#This Row],[ENT_NAME]])</f>
        <v>Lavaca County</v>
      </c>
    </row>
    <row r="4" spans="1:6" x14ac:dyDescent="0.25">
      <c r="A4" s="302" t="s">
        <v>342</v>
      </c>
      <c r="B4" s="303" t="str">
        <f t="shared" si="0"/>
        <v>x00000003</v>
      </c>
      <c r="C4" t="s">
        <v>4947</v>
      </c>
      <c r="D4" t="s">
        <v>38</v>
      </c>
      <c r="E4">
        <v>6</v>
      </c>
      <c r="F4" t="str">
        <f>IF(AND(Entities[[#This Row],[ENT_TYPE]]="County",RIGHT(Entities[[#This Row],[ENT_NAME]],6)&lt;&gt;"County"),_xlfn.TEXTJOIN(" ",TRUE,Entities[[#This Row],[ENT_NAME]],"County"),Entities[[#This Row],[ENT_NAME]])</f>
        <v>Brazoria County</v>
      </c>
    </row>
    <row r="5" spans="1:6" x14ac:dyDescent="0.25">
      <c r="A5" s="304" t="s">
        <v>342</v>
      </c>
      <c r="B5" s="303" t="str">
        <f t="shared" si="0"/>
        <v>x00000003</v>
      </c>
      <c r="C5" t="s">
        <v>4947</v>
      </c>
      <c r="D5" t="s">
        <v>38</v>
      </c>
      <c r="E5">
        <v>8</v>
      </c>
      <c r="F5" t="str">
        <f>IF(AND(Entities[[#This Row],[ENT_TYPE]]="County",RIGHT(Entities[[#This Row],[ENT_NAME]],6)&lt;&gt;"County"),_xlfn.TEXTJOIN(" ",TRUE,Entities[[#This Row],[ENT_NAME]],"County"),Entities[[#This Row],[ENT_NAME]])</f>
        <v>Brazoria County</v>
      </c>
    </row>
    <row r="6" spans="1:6" x14ac:dyDescent="0.25">
      <c r="A6" s="302" t="s">
        <v>342</v>
      </c>
      <c r="B6" s="303" t="str">
        <f t="shared" si="0"/>
        <v>x00000003</v>
      </c>
      <c r="C6" t="s">
        <v>4947</v>
      </c>
      <c r="D6" t="s">
        <v>38</v>
      </c>
      <c r="E6">
        <v>10</v>
      </c>
      <c r="F6" t="str">
        <f>IF(AND(Entities[[#This Row],[ENT_TYPE]]="County",RIGHT(Entities[[#This Row],[ENT_NAME]],6)&lt;&gt;"County"),_xlfn.TEXTJOIN(" ",TRUE,Entities[[#This Row],[ENT_NAME]],"County"),Entities[[#This Row],[ENT_NAME]])</f>
        <v>Brazoria County</v>
      </c>
    </row>
    <row r="7" spans="1:6" x14ac:dyDescent="0.25">
      <c r="A7" s="302" t="s">
        <v>3566</v>
      </c>
      <c r="B7" s="303" t="str">
        <f t="shared" si="0"/>
        <v>x00000005</v>
      </c>
      <c r="C7" t="s">
        <v>4947</v>
      </c>
      <c r="D7" t="s">
        <v>3527</v>
      </c>
      <c r="E7">
        <v>13</v>
      </c>
      <c r="F7" t="str">
        <f>IF(AND(Entities[[#This Row],[ENT_TYPE]]="County",RIGHT(Entities[[#This Row],[ENT_NAME]],6)&lt;&gt;"County"),_xlfn.TEXTJOIN(" ",TRUE,Entities[[#This Row],[ENT_NAME]],"County"),Entities[[#This Row],[ENT_NAME]])</f>
        <v>Medina County</v>
      </c>
    </row>
    <row r="8" spans="1:6" x14ac:dyDescent="0.25">
      <c r="A8" s="302" t="s">
        <v>3566</v>
      </c>
      <c r="B8" s="303" t="str">
        <f t="shared" si="0"/>
        <v>x00000005</v>
      </c>
      <c r="C8" t="s">
        <v>4947</v>
      </c>
      <c r="D8" t="s">
        <v>3527</v>
      </c>
      <c r="E8">
        <v>12</v>
      </c>
      <c r="F8" t="str">
        <f>IF(AND(Entities[[#This Row],[ENT_TYPE]]="County",RIGHT(Entities[[#This Row],[ENT_NAME]],6)&lt;&gt;"County"),_xlfn.TEXTJOIN(" ",TRUE,Entities[[#This Row],[ENT_NAME]],"County"),Entities[[#This Row],[ENT_NAME]])</f>
        <v>Medina County</v>
      </c>
    </row>
    <row r="9" spans="1:6" x14ac:dyDescent="0.25">
      <c r="A9" s="304" t="s">
        <v>267</v>
      </c>
      <c r="B9" s="303" t="str">
        <f t="shared" si="0"/>
        <v>x00000006</v>
      </c>
      <c r="C9" t="s">
        <v>4947</v>
      </c>
      <c r="D9" t="s">
        <v>46</v>
      </c>
      <c r="E9">
        <v>0</v>
      </c>
      <c r="F9" t="str">
        <f>IF(AND(Entities[[#This Row],[ENT_TYPE]]="County",RIGHT(Entities[[#This Row],[ENT_NAME]],6)&lt;&gt;"County"),_xlfn.TEXTJOIN(" ",TRUE,Entities[[#This Row],[ENT_NAME]],"County"),Entities[[#This Row],[ENT_NAME]])</f>
        <v>Galveston County</v>
      </c>
    </row>
    <row r="10" spans="1:6" x14ac:dyDescent="0.25">
      <c r="A10" s="304" t="s">
        <v>267</v>
      </c>
      <c r="B10" s="303" t="str">
        <f t="shared" si="0"/>
        <v>x00000006</v>
      </c>
      <c r="C10" t="s">
        <v>4947</v>
      </c>
      <c r="D10" t="s">
        <v>46</v>
      </c>
      <c r="E10">
        <v>6</v>
      </c>
      <c r="F10" t="str">
        <f>IF(AND(Entities[[#This Row],[ENT_TYPE]]="County",RIGHT(Entities[[#This Row],[ENT_NAME]],6)&lt;&gt;"County"),_xlfn.TEXTJOIN(" ",TRUE,Entities[[#This Row],[ENT_NAME]],"County"),Entities[[#This Row],[ENT_NAME]])</f>
        <v>Galveston County</v>
      </c>
    </row>
    <row r="11" spans="1:6" x14ac:dyDescent="0.25">
      <c r="A11" s="304" t="s">
        <v>4949</v>
      </c>
      <c r="B11" s="303" t="str">
        <f t="shared" si="0"/>
        <v>x00000007</v>
      </c>
      <c r="C11" t="s">
        <v>4947</v>
      </c>
      <c r="D11" t="s">
        <v>4950</v>
      </c>
      <c r="E11">
        <v>13</v>
      </c>
      <c r="F11" t="str">
        <f>IF(AND(Entities[[#This Row],[ENT_TYPE]]="County",RIGHT(Entities[[#This Row],[ENT_NAME]],6)&lt;&gt;"County"),_xlfn.TEXTJOIN(" ",TRUE,Entities[[#This Row],[ENT_NAME]],"County"),Entities[[#This Row],[ENT_NAME]])</f>
        <v>Bexar County</v>
      </c>
    </row>
    <row r="12" spans="1:6" x14ac:dyDescent="0.25">
      <c r="A12" s="302" t="s">
        <v>4949</v>
      </c>
      <c r="B12" s="303" t="str">
        <f t="shared" si="0"/>
        <v>x00000007</v>
      </c>
      <c r="C12" t="s">
        <v>4947</v>
      </c>
      <c r="D12" t="s">
        <v>4950</v>
      </c>
      <c r="E12">
        <v>12</v>
      </c>
      <c r="F12" t="str">
        <f>IF(AND(Entities[[#This Row],[ENT_TYPE]]="County",RIGHT(Entities[[#This Row],[ENT_NAME]],6)&lt;&gt;"County"),_xlfn.TEXTJOIN(" ",TRUE,Entities[[#This Row],[ENT_NAME]],"County"),Entities[[#This Row],[ENT_NAME]])</f>
        <v>Bexar County</v>
      </c>
    </row>
    <row r="13" spans="1:6" x14ac:dyDescent="0.25">
      <c r="A13" s="304" t="s">
        <v>4951</v>
      </c>
      <c r="B13" s="303" t="str">
        <f t="shared" si="0"/>
        <v>x00000008</v>
      </c>
      <c r="C13" t="s">
        <v>4947</v>
      </c>
      <c r="D13" t="s">
        <v>4952</v>
      </c>
      <c r="E13">
        <v>10</v>
      </c>
      <c r="F13" t="str">
        <f>IF(AND(Entities[[#This Row],[ENT_TYPE]]="County",RIGHT(Entities[[#This Row],[ENT_NAME]],6)&lt;&gt;"County"),_xlfn.TEXTJOIN(" ",TRUE,Entities[[#This Row],[ENT_NAME]],"County"),Entities[[#This Row],[ENT_NAME]])</f>
        <v>Gonzales County</v>
      </c>
    </row>
    <row r="14" spans="1:6" x14ac:dyDescent="0.25">
      <c r="A14" s="302" t="s">
        <v>4951</v>
      </c>
      <c r="B14" s="303" t="str">
        <f t="shared" si="0"/>
        <v>x00000008</v>
      </c>
      <c r="C14" t="s">
        <v>4947</v>
      </c>
      <c r="D14" t="s">
        <v>4952</v>
      </c>
      <c r="E14">
        <v>11</v>
      </c>
      <c r="F14" t="str">
        <f>IF(AND(Entities[[#This Row],[ENT_TYPE]]="County",RIGHT(Entities[[#This Row],[ENT_NAME]],6)&lt;&gt;"County"),_xlfn.TEXTJOIN(" ",TRUE,Entities[[#This Row],[ENT_NAME]],"County"),Entities[[#This Row],[ENT_NAME]])</f>
        <v>Gonzales County</v>
      </c>
    </row>
    <row r="15" spans="1:6" x14ac:dyDescent="0.25">
      <c r="A15" s="302" t="s">
        <v>4898</v>
      </c>
      <c r="B15" s="303" t="str">
        <f t="shared" si="0"/>
        <v>x00000009</v>
      </c>
      <c r="C15" t="s">
        <v>4947</v>
      </c>
      <c r="D15" t="s">
        <v>69</v>
      </c>
      <c r="E15">
        <v>6</v>
      </c>
      <c r="F15" t="str">
        <f>IF(AND(Entities[[#This Row],[ENT_TYPE]]="County",RIGHT(Entities[[#This Row],[ENT_NAME]],6)&lt;&gt;"County"),_xlfn.TEXTJOIN(" ",TRUE,Entities[[#This Row],[ENT_NAME]],"County"),Entities[[#This Row],[ENT_NAME]])</f>
        <v>Fort Bend County</v>
      </c>
    </row>
    <row r="16" spans="1:6" x14ac:dyDescent="0.25">
      <c r="A16" s="302" t="s">
        <v>4898</v>
      </c>
      <c r="B16" s="303" t="str">
        <f t="shared" si="0"/>
        <v>x00000009</v>
      </c>
      <c r="C16" t="s">
        <v>4947</v>
      </c>
      <c r="D16" t="s">
        <v>69</v>
      </c>
      <c r="E16">
        <v>8</v>
      </c>
      <c r="F16" t="str">
        <f>IF(AND(Entities[[#This Row],[ENT_TYPE]]="County",RIGHT(Entities[[#This Row],[ENT_NAME]],6)&lt;&gt;"County"),_xlfn.TEXTJOIN(" ",TRUE,Entities[[#This Row],[ENT_NAME]],"County"),Entities[[#This Row],[ENT_NAME]])</f>
        <v>Fort Bend County</v>
      </c>
    </row>
    <row r="17" spans="1:6" x14ac:dyDescent="0.25">
      <c r="A17" s="302" t="s">
        <v>4898</v>
      </c>
      <c r="B17" s="303" t="str">
        <f t="shared" si="0"/>
        <v>x00000009</v>
      </c>
      <c r="C17" t="s">
        <v>4947</v>
      </c>
      <c r="D17" t="s">
        <v>69</v>
      </c>
      <c r="E17">
        <v>10</v>
      </c>
      <c r="F17" t="str">
        <f>IF(AND(Entities[[#This Row],[ENT_TYPE]]="County",RIGHT(Entities[[#This Row],[ENT_NAME]],6)&lt;&gt;"County"),_xlfn.TEXTJOIN(" ",TRUE,Entities[[#This Row],[ENT_NAME]],"County"),Entities[[#This Row],[ENT_NAME]])</f>
        <v>Fort Bend County</v>
      </c>
    </row>
    <row r="18" spans="1:6" x14ac:dyDescent="0.25">
      <c r="A18" s="304" t="s">
        <v>4953</v>
      </c>
      <c r="B18" s="303" t="str">
        <f t="shared" si="0"/>
        <v>x00000010</v>
      </c>
      <c r="C18" t="s">
        <v>4947</v>
      </c>
      <c r="D18" t="s">
        <v>3411</v>
      </c>
      <c r="E18">
        <v>11</v>
      </c>
      <c r="F18" t="str">
        <f>IF(AND(Entities[[#This Row],[ENT_TYPE]]="County",RIGHT(Entities[[#This Row],[ENT_NAME]],6)&lt;&gt;"County"),_xlfn.TEXTJOIN(" ",TRUE,Entities[[#This Row],[ENT_NAME]],"County"),Entities[[#This Row],[ENT_NAME]])</f>
        <v>Guadalupe County</v>
      </c>
    </row>
    <row r="19" spans="1:6" x14ac:dyDescent="0.25">
      <c r="A19" s="302" t="s">
        <v>4953</v>
      </c>
      <c r="B19" s="303" t="str">
        <f t="shared" si="0"/>
        <v>x00000010</v>
      </c>
      <c r="C19" t="s">
        <v>4947</v>
      </c>
      <c r="D19" t="s">
        <v>3411</v>
      </c>
      <c r="E19">
        <v>12</v>
      </c>
      <c r="F19" t="str">
        <f>IF(AND(Entities[[#This Row],[ENT_TYPE]]="County",RIGHT(Entities[[#This Row],[ENT_NAME]],6)&lt;&gt;"County"),_xlfn.TEXTJOIN(" ",TRUE,Entities[[#This Row],[ENT_NAME]],"County"),Entities[[#This Row],[ENT_NAME]])</f>
        <v>Guadalupe County</v>
      </c>
    </row>
    <row r="20" spans="1:6" x14ac:dyDescent="0.25">
      <c r="A20" s="302" t="s">
        <v>4954</v>
      </c>
      <c r="B20" s="303" t="str">
        <f t="shared" si="0"/>
        <v>x00000011</v>
      </c>
      <c r="C20" t="s">
        <v>4947</v>
      </c>
      <c r="D20" t="s">
        <v>4955</v>
      </c>
      <c r="E20">
        <v>13</v>
      </c>
      <c r="F20" t="str">
        <f>IF(AND(Entities[[#This Row],[ENT_TYPE]]="County",RIGHT(Entities[[#This Row],[ENT_NAME]],6)&lt;&gt;"County"),_xlfn.TEXTJOIN(" ",TRUE,Entities[[#This Row],[ENT_NAME]],"County"),Entities[[#This Row],[ENT_NAME]])</f>
        <v>Bandera County</v>
      </c>
    </row>
    <row r="21" spans="1:6" x14ac:dyDescent="0.25">
      <c r="A21" s="302" t="s">
        <v>4954</v>
      </c>
      <c r="B21" s="303" t="str">
        <f t="shared" si="0"/>
        <v>x00000011</v>
      </c>
      <c r="C21" t="s">
        <v>4947</v>
      </c>
      <c r="D21" t="s">
        <v>4955</v>
      </c>
      <c r="E21">
        <v>11</v>
      </c>
      <c r="F21" t="str">
        <f>IF(AND(Entities[[#This Row],[ENT_TYPE]]="County",RIGHT(Entities[[#This Row],[ENT_NAME]],6)&lt;&gt;"County"),_xlfn.TEXTJOIN(" ",TRUE,Entities[[#This Row],[ENT_NAME]],"County"),Entities[[#This Row],[ENT_NAME]])</f>
        <v>Bandera County</v>
      </c>
    </row>
    <row r="22" spans="1:6" x14ac:dyDescent="0.25">
      <c r="A22" s="302" t="s">
        <v>4954</v>
      </c>
      <c r="B22" s="303" t="str">
        <f t="shared" si="0"/>
        <v>x00000011</v>
      </c>
      <c r="C22" t="s">
        <v>4947</v>
      </c>
      <c r="D22" t="s">
        <v>4955</v>
      </c>
      <c r="E22">
        <v>12</v>
      </c>
      <c r="F22" t="str">
        <f>IF(AND(Entities[[#This Row],[ENT_TYPE]]="County",RIGHT(Entities[[#This Row],[ENT_NAME]],6)&lt;&gt;"County"),_xlfn.TEXTJOIN(" ",TRUE,Entities[[#This Row],[ENT_NAME]],"County"),Entities[[#This Row],[ENT_NAME]])</f>
        <v>Bandera County</v>
      </c>
    </row>
    <row r="23" spans="1:6" x14ac:dyDescent="0.25">
      <c r="A23" s="302" t="s">
        <v>2649</v>
      </c>
      <c r="B23" s="303" t="str">
        <f t="shared" si="0"/>
        <v>x00000013</v>
      </c>
      <c r="C23" t="s">
        <v>4947</v>
      </c>
      <c r="D23" t="s">
        <v>2644</v>
      </c>
      <c r="E23">
        <v>0</v>
      </c>
      <c r="F23" t="str">
        <f>IF(AND(Entities[[#This Row],[ENT_TYPE]]="County",RIGHT(Entities[[#This Row],[ENT_NAME]],6)&lt;&gt;"County"),_xlfn.TEXTJOIN(" ",TRUE,Entities[[#This Row],[ENT_NAME]],"County"),Entities[[#This Row],[ENT_NAME]])</f>
        <v>Chambers County</v>
      </c>
    </row>
    <row r="24" spans="1:6" x14ac:dyDescent="0.25">
      <c r="A24" s="304" t="s">
        <v>2649</v>
      </c>
      <c r="B24" s="303" t="str">
        <f t="shared" si="0"/>
        <v>x00000013</v>
      </c>
      <c r="C24" t="s">
        <v>4947</v>
      </c>
      <c r="D24" t="s">
        <v>2644</v>
      </c>
      <c r="E24">
        <v>6</v>
      </c>
      <c r="F24" t="str">
        <f>IF(AND(Entities[[#This Row],[ENT_TYPE]]="County",RIGHT(Entities[[#This Row],[ENT_NAME]],6)&lt;&gt;"County"),_xlfn.TEXTJOIN(" ",TRUE,Entities[[#This Row],[ENT_NAME]],"County"),Entities[[#This Row],[ENT_NAME]])</f>
        <v>Chambers County</v>
      </c>
    </row>
    <row r="25" spans="1:6" x14ac:dyDescent="0.25">
      <c r="A25" s="302" t="s">
        <v>2649</v>
      </c>
      <c r="B25" s="303" t="str">
        <f t="shared" si="0"/>
        <v>x00000013</v>
      </c>
      <c r="C25" t="s">
        <v>4947</v>
      </c>
      <c r="D25" t="s">
        <v>2644</v>
      </c>
      <c r="E25">
        <v>3</v>
      </c>
      <c r="F25" t="str">
        <f>IF(AND(Entities[[#This Row],[ENT_TYPE]]="County",RIGHT(Entities[[#This Row],[ENT_NAME]],6)&lt;&gt;"County"),_xlfn.TEXTJOIN(" ",TRUE,Entities[[#This Row],[ENT_NAME]],"County"),Entities[[#This Row],[ENT_NAME]])</f>
        <v>Chambers County</v>
      </c>
    </row>
    <row r="26" spans="1:6" x14ac:dyDescent="0.25">
      <c r="A26" s="304" t="s">
        <v>4956</v>
      </c>
      <c r="B26" s="303" t="str">
        <f t="shared" si="0"/>
        <v>x00000014</v>
      </c>
      <c r="C26" t="s">
        <v>4947</v>
      </c>
      <c r="D26" t="s">
        <v>4957</v>
      </c>
      <c r="E26">
        <v>11</v>
      </c>
      <c r="F26" t="str">
        <f>IF(AND(Entities[[#This Row],[ENT_TYPE]]="County",RIGHT(Entities[[#This Row],[ENT_NAME]],6)&lt;&gt;"County"),_xlfn.TEXTJOIN(" ",TRUE,Entities[[#This Row],[ENT_NAME]],"County"),Entities[[#This Row],[ENT_NAME]])</f>
        <v>Comal County</v>
      </c>
    </row>
    <row r="27" spans="1:6" x14ac:dyDescent="0.25">
      <c r="A27" s="302" t="s">
        <v>4956</v>
      </c>
      <c r="B27" s="303" t="str">
        <f t="shared" si="0"/>
        <v>x00000014</v>
      </c>
      <c r="C27" t="s">
        <v>4947</v>
      </c>
      <c r="D27" t="s">
        <v>4957</v>
      </c>
      <c r="E27">
        <v>12</v>
      </c>
      <c r="F27" t="str">
        <f>IF(AND(Entities[[#This Row],[ENT_TYPE]]="County",RIGHT(Entities[[#This Row],[ENT_NAME]],6)&lt;&gt;"County"),_xlfn.TEXTJOIN(" ",TRUE,Entities[[#This Row],[ENT_NAME]],"County"),Entities[[#This Row],[ENT_NAME]])</f>
        <v>Comal County</v>
      </c>
    </row>
    <row r="28" spans="1:6" x14ac:dyDescent="0.25">
      <c r="A28" s="304" t="s">
        <v>4958</v>
      </c>
      <c r="B28" s="303" t="str">
        <f t="shared" si="0"/>
        <v>x00000015</v>
      </c>
      <c r="C28" t="s">
        <v>4947</v>
      </c>
      <c r="D28" t="s">
        <v>4959</v>
      </c>
      <c r="E28">
        <v>13</v>
      </c>
      <c r="F28" t="str">
        <f>IF(AND(Entities[[#This Row],[ENT_TYPE]]="County",RIGHT(Entities[[#This Row],[ENT_NAME]],6)&lt;&gt;"County"),_xlfn.TEXTJOIN(" ",TRUE,Entities[[#This Row],[ENT_NAME]],"County"),Entities[[#This Row],[ENT_NAME]])</f>
        <v>Real County</v>
      </c>
    </row>
    <row r="29" spans="1:6" x14ac:dyDescent="0.25">
      <c r="A29" s="302" t="s">
        <v>4958</v>
      </c>
      <c r="B29" s="303" t="str">
        <f t="shared" si="0"/>
        <v>x00000015</v>
      </c>
      <c r="C29" t="s">
        <v>4947</v>
      </c>
      <c r="D29" t="s">
        <v>4959</v>
      </c>
      <c r="E29">
        <v>10</v>
      </c>
      <c r="F29" t="str">
        <f>IF(AND(Entities[[#This Row],[ENT_TYPE]]="County",RIGHT(Entities[[#This Row],[ENT_NAME]],6)&lt;&gt;"County"),_xlfn.TEXTJOIN(" ",TRUE,Entities[[#This Row],[ENT_NAME]],"County"),Entities[[#This Row],[ENT_NAME]])</f>
        <v>Real County</v>
      </c>
    </row>
    <row r="30" spans="1:6" x14ac:dyDescent="0.25">
      <c r="A30" s="302" t="s">
        <v>4958</v>
      </c>
      <c r="B30" s="303" t="str">
        <f t="shared" si="0"/>
        <v>x00000015</v>
      </c>
      <c r="C30" t="s">
        <v>4947</v>
      </c>
      <c r="D30" t="s">
        <v>4959</v>
      </c>
      <c r="E30">
        <v>11</v>
      </c>
      <c r="F30" t="str">
        <f>IF(AND(Entities[[#This Row],[ENT_TYPE]]="County",RIGHT(Entities[[#This Row],[ENT_NAME]],6)&lt;&gt;"County"),_xlfn.TEXTJOIN(" ",TRUE,Entities[[#This Row],[ENT_NAME]],"County"),Entities[[#This Row],[ENT_NAME]])</f>
        <v>Real County</v>
      </c>
    </row>
    <row r="31" spans="1:6" x14ac:dyDescent="0.25">
      <c r="A31" s="302" t="s">
        <v>4960</v>
      </c>
      <c r="B31" s="303" t="str">
        <f t="shared" si="0"/>
        <v>x00000016</v>
      </c>
      <c r="C31" t="s">
        <v>4947</v>
      </c>
      <c r="D31" t="s">
        <v>4961</v>
      </c>
      <c r="E31">
        <v>10</v>
      </c>
      <c r="F31" t="str">
        <f>IF(AND(Entities[[#This Row],[ENT_TYPE]]="County",RIGHT(Entities[[#This Row],[ENT_NAME]],6)&lt;&gt;"County"),_xlfn.TEXTJOIN(" ",TRUE,Entities[[#This Row],[ENT_NAME]],"County"),Entities[[#This Row],[ENT_NAME]])</f>
        <v>Caldwell County</v>
      </c>
    </row>
    <row r="32" spans="1:6" x14ac:dyDescent="0.25">
      <c r="A32" s="304" t="s">
        <v>4960</v>
      </c>
      <c r="B32" s="303" t="str">
        <f t="shared" si="0"/>
        <v>x00000016</v>
      </c>
      <c r="C32" t="s">
        <v>4947</v>
      </c>
      <c r="D32" t="s">
        <v>4961</v>
      </c>
      <c r="E32">
        <v>11</v>
      </c>
      <c r="F32" t="str">
        <f>IF(AND(Entities[[#This Row],[ENT_TYPE]]="County",RIGHT(Entities[[#This Row],[ENT_NAME]],6)&lt;&gt;"County"),_xlfn.TEXTJOIN(" ",TRUE,Entities[[#This Row],[ENT_NAME]],"County"),Entities[[#This Row],[ENT_NAME]])</f>
        <v>Caldwell County</v>
      </c>
    </row>
    <row r="33" spans="1:6" x14ac:dyDescent="0.25">
      <c r="A33" s="304" t="s">
        <v>3507</v>
      </c>
      <c r="B33" s="303" t="str">
        <f t="shared" si="0"/>
        <v>x00000017</v>
      </c>
      <c r="C33" t="s">
        <v>4947</v>
      </c>
      <c r="D33" t="s">
        <v>4962</v>
      </c>
      <c r="E33">
        <v>10</v>
      </c>
      <c r="F33" t="str">
        <f>IF(AND(Entities[[#This Row],[ENT_TYPE]]="County",RIGHT(Entities[[#This Row],[ENT_NAME]],6)&lt;&gt;"County"),_xlfn.TEXTJOIN(" ",TRUE,Entities[[#This Row],[ENT_NAME]],"County"),Entities[[#This Row],[ENT_NAME]])</f>
        <v>Kendall County</v>
      </c>
    </row>
    <row r="34" spans="1:6" x14ac:dyDescent="0.25">
      <c r="A34" s="302" t="s">
        <v>3507</v>
      </c>
      <c r="B34" s="303" t="str">
        <f t="shared" si="0"/>
        <v>x00000017</v>
      </c>
      <c r="C34" t="s">
        <v>4947</v>
      </c>
      <c r="D34" t="s">
        <v>4962</v>
      </c>
      <c r="E34">
        <v>11</v>
      </c>
      <c r="F34" t="str">
        <f>IF(AND(Entities[[#This Row],[ENT_TYPE]]="County",RIGHT(Entities[[#This Row],[ENT_NAME]],6)&lt;&gt;"County"),_xlfn.TEXTJOIN(" ",TRUE,Entities[[#This Row],[ENT_NAME]],"County"),Entities[[#This Row],[ENT_NAME]])</f>
        <v>Kendall County</v>
      </c>
    </row>
    <row r="35" spans="1:6" x14ac:dyDescent="0.25">
      <c r="A35" s="302" t="s">
        <v>3507</v>
      </c>
      <c r="B35" s="303" t="str">
        <f t="shared" si="0"/>
        <v>x00000017</v>
      </c>
      <c r="C35" t="s">
        <v>4947</v>
      </c>
      <c r="D35" t="s">
        <v>4962</v>
      </c>
      <c r="E35">
        <v>12</v>
      </c>
      <c r="F35" t="str">
        <f>IF(AND(Entities[[#This Row],[ENT_TYPE]]="County",RIGHT(Entities[[#This Row],[ENT_NAME]],6)&lt;&gt;"County"),_xlfn.TEXTJOIN(" ",TRUE,Entities[[#This Row],[ENT_NAME]],"County"),Entities[[#This Row],[ENT_NAME]])</f>
        <v>Kendall County</v>
      </c>
    </row>
    <row r="36" spans="1:6" x14ac:dyDescent="0.25">
      <c r="A36" s="304" t="s">
        <v>4963</v>
      </c>
      <c r="B36" s="303" t="str">
        <f t="shared" si="0"/>
        <v>x00000018</v>
      </c>
      <c r="C36" t="s">
        <v>4947</v>
      </c>
      <c r="D36" t="s">
        <v>4964</v>
      </c>
      <c r="E36">
        <v>8</v>
      </c>
      <c r="F36" t="str">
        <f>IF(AND(Entities[[#This Row],[ENT_TYPE]]="County",RIGHT(Entities[[#This Row],[ENT_NAME]],6)&lt;&gt;"County"),_xlfn.TEXTJOIN(" ",TRUE,Entities[[#This Row],[ENT_NAME]],"County"),Entities[[#This Row],[ENT_NAME]])</f>
        <v>Austin County</v>
      </c>
    </row>
    <row r="37" spans="1:6" x14ac:dyDescent="0.25">
      <c r="A37" s="302" t="s">
        <v>4963</v>
      </c>
      <c r="B37" s="303" t="str">
        <f t="shared" si="0"/>
        <v>x00000018</v>
      </c>
      <c r="C37" t="s">
        <v>4947</v>
      </c>
      <c r="D37" t="s">
        <v>4964</v>
      </c>
      <c r="E37">
        <v>10</v>
      </c>
      <c r="F37" t="str">
        <f>IF(AND(Entities[[#This Row],[ENT_TYPE]]="County",RIGHT(Entities[[#This Row],[ENT_NAME]],6)&lt;&gt;"County"),_xlfn.TEXTJOIN(" ",TRUE,Entities[[#This Row],[ENT_NAME]],"County"),Entities[[#This Row],[ENT_NAME]])</f>
        <v>Austin County</v>
      </c>
    </row>
    <row r="38" spans="1:6" x14ac:dyDescent="0.25">
      <c r="A38" s="302" t="s">
        <v>4965</v>
      </c>
      <c r="B38" s="303" t="str">
        <f t="shared" si="0"/>
        <v>x00000019</v>
      </c>
      <c r="C38" t="s">
        <v>4947</v>
      </c>
      <c r="D38" t="s">
        <v>4966</v>
      </c>
      <c r="E38">
        <v>8</v>
      </c>
      <c r="F38" t="str">
        <f>IF(AND(Entities[[#This Row],[ENT_TYPE]]="County",RIGHT(Entities[[#This Row],[ENT_NAME]],6)&lt;&gt;"County"),_xlfn.TEXTJOIN(" ",TRUE,Entities[[#This Row],[ENT_NAME]],"County"),Entities[[#This Row],[ENT_NAME]])</f>
        <v>Fayette County</v>
      </c>
    </row>
    <row r="39" spans="1:6" x14ac:dyDescent="0.25">
      <c r="A39" s="304" t="s">
        <v>4965</v>
      </c>
      <c r="B39" s="303" t="str">
        <f t="shared" si="0"/>
        <v>x00000019</v>
      </c>
      <c r="C39" t="s">
        <v>4947</v>
      </c>
      <c r="D39" t="s">
        <v>4966</v>
      </c>
      <c r="E39">
        <v>10</v>
      </c>
      <c r="F39" t="str">
        <f>IF(AND(Entities[[#This Row],[ENT_TYPE]]="County",RIGHT(Entities[[#This Row],[ENT_NAME]],6)&lt;&gt;"County"),_xlfn.TEXTJOIN(" ",TRUE,Entities[[#This Row],[ENT_NAME]],"County"),Entities[[#This Row],[ENT_NAME]])</f>
        <v>Fayette County</v>
      </c>
    </row>
    <row r="40" spans="1:6" x14ac:dyDescent="0.25">
      <c r="A40" s="304" t="s">
        <v>4965</v>
      </c>
      <c r="B40" s="303" t="str">
        <f t="shared" si="0"/>
        <v>x00000019</v>
      </c>
      <c r="C40" t="s">
        <v>4947</v>
      </c>
      <c r="D40" t="s">
        <v>4966</v>
      </c>
      <c r="E40">
        <v>11</v>
      </c>
      <c r="F40" t="str">
        <f>IF(AND(Entities[[#This Row],[ENT_TYPE]]="County",RIGHT(Entities[[#This Row],[ENT_NAME]],6)&lt;&gt;"County"),_xlfn.TEXTJOIN(" ",TRUE,Entities[[#This Row],[ENT_NAME]],"County"),Entities[[#This Row],[ENT_NAME]])</f>
        <v>Fayette County</v>
      </c>
    </row>
    <row r="41" spans="1:6" x14ac:dyDescent="0.25">
      <c r="A41" s="304" t="s">
        <v>290</v>
      </c>
      <c r="B41" s="303" t="str">
        <f t="shared" si="0"/>
        <v>x00000020</v>
      </c>
      <c r="C41" t="s">
        <v>4947</v>
      </c>
      <c r="D41" t="s">
        <v>2</v>
      </c>
      <c r="E41">
        <v>0</v>
      </c>
      <c r="F41" t="str">
        <f>IF(AND(Entities[[#This Row],[ENT_TYPE]]="County",RIGHT(Entities[[#This Row],[ENT_NAME]],6)&lt;&gt;"County"),_xlfn.TEXTJOIN(" ",TRUE,Entities[[#This Row],[ENT_NAME]],"County"),Entities[[#This Row],[ENT_NAME]])</f>
        <v>Harris County</v>
      </c>
    </row>
    <row r="42" spans="1:6" x14ac:dyDescent="0.25">
      <c r="A42" s="302" t="s">
        <v>290</v>
      </c>
      <c r="B42" s="303" t="str">
        <f t="shared" si="0"/>
        <v>x00000020</v>
      </c>
      <c r="C42" t="s">
        <v>4947</v>
      </c>
      <c r="D42" t="s">
        <v>2</v>
      </c>
      <c r="E42">
        <v>6</v>
      </c>
      <c r="F42" t="str">
        <f>IF(AND(Entities[[#This Row],[ENT_TYPE]]="County",RIGHT(Entities[[#This Row],[ENT_NAME]],6)&lt;&gt;"County"),_xlfn.TEXTJOIN(" ",TRUE,Entities[[#This Row],[ENT_NAME]],"County"),Entities[[#This Row],[ENT_NAME]])</f>
        <v>Harris County</v>
      </c>
    </row>
    <row r="43" spans="1:6" x14ac:dyDescent="0.25">
      <c r="A43" s="304" t="s">
        <v>4967</v>
      </c>
      <c r="B43" s="303" t="str">
        <f t="shared" si="0"/>
        <v>x00000021</v>
      </c>
      <c r="C43" t="s">
        <v>4947</v>
      </c>
      <c r="D43" t="s">
        <v>4968</v>
      </c>
      <c r="E43">
        <v>15</v>
      </c>
      <c r="F43" t="str">
        <f>IF(AND(Entities[[#This Row],[ENT_TYPE]]="County",RIGHT(Entities[[#This Row],[ENT_NAME]],6)&lt;&gt;"County"),_xlfn.TEXTJOIN(" ",TRUE,Entities[[#This Row],[ENT_NAME]],"County"),Entities[[#This Row],[ENT_NAME]])</f>
        <v>Edwards County</v>
      </c>
    </row>
    <row r="44" spans="1:6" x14ac:dyDescent="0.25">
      <c r="A44" s="302" t="s">
        <v>4967</v>
      </c>
      <c r="B44" s="303" t="str">
        <f t="shared" si="0"/>
        <v>x00000021</v>
      </c>
      <c r="C44" t="s">
        <v>4947</v>
      </c>
      <c r="D44" t="s">
        <v>4968</v>
      </c>
      <c r="E44">
        <v>13</v>
      </c>
      <c r="F44" t="str">
        <f>IF(AND(Entities[[#This Row],[ENT_TYPE]]="County",RIGHT(Entities[[#This Row],[ENT_NAME]],6)&lt;&gt;"County"),_xlfn.TEXTJOIN(" ",TRUE,Entities[[#This Row],[ENT_NAME]],"County"),Entities[[#This Row],[ENT_NAME]])</f>
        <v>Edwards County</v>
      </c>
    </row>
    <row r="45" spans="1:6" x14ac:dyDescent="0.25">
      <c r="A45" s="302" t="s">
        <v>4967</v>
      </c>
      <c r="B45" s="303" t="str">
        <f t="shared" si="0"/>
        <v>x00000021</v>
      </c>
      <c r="C45" t="s">
        <v>4947</v>
      </c>
      <c r="D45" t="s">
        <v>4968</v>
      </c>
      <c r="E45">
        <v>10</v>
      </c>
      <c r="F45" t="str">
        <f>IF(AND(Entities[[#This Row],[ENT_TYPE]]="County",RIGHT(Entities[[#This Row],[ENT_NAME]],6)&lt;&gt;"County"),_xlfn.TEXTJOIN(" ",TRUE,Entities[[#This Row],[ENT_NAME]],"County"),Entities[[#This Row],[ENT_NAME]])</f>
        <v>Edwards County</v>
      </c>
    </row>
    <row r="46" spans="1:6" x14ac:dyDescent="0.25">
      <c r="A46" s="302" t="s">
        <v>4967</v>
      </c>
      <c r="B46" s="303" t="str">
        <f t="shared" si="0"/>
        <v>x00000021</v>
      </c>
      <c r="C46" t="s">
        <v>4947</v>
      </c>
      <c r="D46" t="s">
        <v>4969</v>
      </c>
      <c r="E46">
        <v>14</v>
      </c>
      <c r="F46" t="str">
        <f>IF(AND(Entities[[#This Row],[ENT_TYPE]]="County",RIGHT(Entities[[#This Row],[ENT_NAME]],6)&lt;&gt;"County"),_xlfn.TEXTJOIN(" ",TRUE,Entities[[#This Row],[ENT_NAME]],"County"),Entities[[#This Row],[ENT_NAME]])</f>
        <v>Edwards County</v>
      </c>
    </row>
    <row r="47" spans="1:6" x14ac:dyDescent="0.25">
      <c r="A47" s="304" t="s">
        <v>4970</v>
      </c>
      <c r="B47" s="303" t="str">
        <f t="shared" si="0"/>
        <v>x00000022</v>
      </c>
      <c r="C47" t="s">
        <v>4947</v>
      </c>
      <c r="D47" t="s">
        <v>4971</v>
      </c>
      <c r="E47">
        <v>13</v>
      </c>
      <c r="F47" t="str">
        <f>IF(AND(Entities[[#This Row],[ENT_TYPE]]="County",RIGHT(Entities[[#This Row],[ENT_NAME]],6)&lt;&gt;"County"),_xlfn.TEXTJOIN(" ",TRUE,Entities[[#This Row],[ENT_NAME]],"County"),Entities[[#This Row],[ENT_NAME]])</f>
        <v>Kerr County</v>
      </c>
    </row>
    <row r="48" spans="1:6" x14ac:dyDescent="0.25">
      <c r="A48" s="304" t="s">
        <v>4970</v>
      </c>
      <c r="B48" s="303" t="str">
        <f t="shared" si="0"/>
        <v>x00000022</v>
      </c>
      <c r="C48" t="s">
        <v>4947</v>
      </c>
      <c r="D48" t="s">
        <v>4971</v>
      </c>
      <c r="E48">
        <v>10</v>
      </c>
      <c r="F48" t="str">
        <f>IF(AND(Entities[[#This Row],[ENT_TYPE]]="County",RIGHT(Entities[[#This Row],[ENT_NAME]],6)&lt;&gt;"County"),_xlfn.TEXTJOIN(" ",TRUE,Entities[[#This Row],[ENT_NAME]],"County"),Entities[[#This Row],[ENT_NAME]])</f>
        <v>Kerr County</v>
      </c>
    </row>
    <row r="49" spans="1:6" x14ac:dyDescent="0.25">
      <c r="A49" s="302" t="s">
        <v>4970</v>
      </c>
      <c r="B49" s="303" t="str">
        <f t="shared" si="0"/>
        <v>x00000022</v>
      </c>
      <c r="C49" t="s">
        <v>4947</v>
      </c>
      <c r="D49" t="s">
        <v>4971</v>
      </c>
      <c r="E49">
        <v>11</v>
      </c>
      <c r="F49" t="str">
        <f>IF(AND(Entities[[#This Row],[ENT_TYPE]]="County",RIGHT(Entities[[#This Row],[ENT_NAME]],6)&lt;&gt;"County"),_xlfn.TEXTJOIN(" ",TRUE,Entities[[#This Row],[ENT_NAME]],"County"),Entities[[#This Row],[ENT_NAME]])</f>
        <v>Kerr County</v>
      </c>
    </row>
    <row r="50" spans="1:6" x14ac:dyDescent="0.25">
      <c r="A50" s="302" t="s">
        <v>4970</v>
      </c>
      <c r="B50" s="303" t="str">
        <f t="shared" si="0"/>
        <v>x00000022</v>
      </c>
      <c r="C50" t="s">
        <v>4947</v>
      </c>
      <c r="D50" t="s">
        <v>4971</v>
      </c>
      <c r="E50">
        <v>12</v>
      </c>
      <c r="F50" t="str">
        <f>IF(AND(Entities[[#This Row],[ENT_TYPE]]="County",RIGHT(Entities[[#This Row],[ENT_NAME]],6)&lt;&gt;"County"),_xlfn.TEXTJOIN(" ",TRUE,Entities[[#This Row],[ENT_NAME]],"County"),Entities[[#This Row],[ENT_NAME]])</f>
        <v>Kerr County</v>
      </c>
    </row>
    <row r="51" spans="1:6" x14ac:dyDescent="0.25">
      <c r="A51" s="302" t="s">
        <v>4972</v>
      </c>
      <c r="B51" s="303" t="str">
        <f t="shared" si="0"/>
        <v>x00000023</v>
      </c>
      <c r="C51" t="s">
        <v>4947</v>
      </c>
      <c r="D51" t="s">
        <v>4973</v>
      </c>
      <c r="E51">
        <v>15</v>
      </c>
      <c r="F51" t="str">
        <f>IF(AND(Entities[[#This Row],[ENT_TYPE]]="County",RIGHT(Entities[[#This Row],[ENT_NAME]],6)&lt;&gt;"County"),_xlfn.TEXTJOIN(" ",TRUE,Entities[[#This Row],[ENT_NAME]],"County"),Entities[[#This Row],[ENT_NAME]])</f>
        <v>Val Verde County</v>
      </c>
    </row>
    <row r="52" spans="1:6" x14ac:dyDescent="0.25">
      <c r="A52" s="302" t="s">
        <v>4972</v>
      </c>
      <c r="B52" s="303" t="str">
        <f t="shared" si="0"/>
        <v>x00000023</v>
      </c>
      <c r="C52" t="s">
        <v>4947</v>
      </c>
      <c r="D52" t="s">
        <v>4974</v>
      </c>
      <c r="E52">
        <v>14</v>
      </c>
      <c r="F52" t="str">
        <f>IF(AND(Entities[[#This Row],[ENT_TYPE]]="County",RIGHT(Entities[[#This Row],[ENT_NAME]],6)&lt;&gt;"County"),_xlfn.TEXTJOIN(" ",TRUE,Entities[[#This Row],[ENT_NAME]],"County"),Entities[[#This Row],[ENT_NAME]])</f>
        <v>Val Verde County</v>
      </c>
    </row>
    <row r="53" spans="1:6" x14ac:dyDescent="0.25">
      <c r="A53" s="304" t="s">
        <v>336</v>
      </c>
      <c r="B53" s="303" t="str">
        <f t="shared" si="0"/>
        <v>x00000024</v>
      </c>
      <c r="C53" t="s">
        <v>4947</v>
      </c>
      <c r="D53" t="s">
        <v>53</v>
      </c>
      <c r="E53">
        <v>6</v>
      </c>
      <c r="F53" t="str">
        <f>IF(AND(Entities[[#This Row],[ENT_TYPE]]="County",RIGHT(Entities[[#This Row],[ENT_NAME]],6)&lt;&gt;"County"),_xlfn.TEXTJOIN(" ",TRUE,Entities[[#This Row],[ENT_NAME]],"County"),Entities[[#This Row],[ENT_NAME]])</f>
        <v>Waller County</v>
      </c>
    </row>
    <row r="54" spans="1:6" x14ac:dyDescent="0.25">
      <c r="A54" s="304" t="s">
        <v>336</v>
      </c>
      <c r="B54" s="303" t="str">
        <f t="shared" si="0"/>
        <v>x00000024</v>
      </c>
      <c r="C54" t="s">
        <v>4947</v>
      </c>
      <c r="D54" t="s">
        <v>53</v>
      </c>
      <c r="E54">
        <v>8</v>
      </c>
      <c r="F54" t="str">
        <f>IF(AND(Entities[[#This Row],[ENT_TYPE]]="County",RIGHT(Entities[[#This Row],[ENT_NAME]],6)&lt;&gt;"County"),_xlfn.TEXTJOIN(" ",TRUE,Entities[[#This Row],[ENT_NAME]],"County"),Entities[[#This Row],[ENT_NAME]])</f>
        <v>Waller County</v>
      </c>
    </row>
    <row r="55" spans="1:6" x14ac:dyDescent="0.25">
      <c r="A55" s="302" t="s">
        <v>4975</v>
      </c>
      <c r="B55" s="303" t="str">
        <f t="shared" si="0"/>
        <v>x00000026</v>
      </c>
      <c r="C55" t="s">
        <v>4947</v>
      </c>
      <c r="D55" t="s">
        <v>4976</v>
      </c>
      <c r="E55">
        <v>10</v>
      </c>
      <c r="F55" t="str">
        <f>IF(AND(Entities[[#This Row],[ENT_TYPE]]="County",RIGHT(Entities[[#This Row],[ENT_NAME]],6)&lt;&gt;"County"),_xlfn.TEXTJOIN(" ",TRUE,Entities[[#This Row],[ENT_NAME]],"County"),Entities[[#This Row],[ENT_NAME]])</f>
        <v>Hays County</v>
      </c>
    </row>
    <row r="56" spans="1:6" x14ac:dyDescent="0.25">
      <c r="A56" s="304" t="s">
        <v>4975</v>
      </c>
      <c r="B56" s="303" t="str">
        <f t="shared" si="0"/>
        <v>x00000026</v>
      </c>
      <c r="C56" t="s">
        <v>4947</v>
      </c>
      <c r="D56" t="s">
        <v>4976</v>
      </c>
      <c r="E56">
        <v>11</v>
      </c>
      <c r="F56" t="str">
        <f>IF(AND(Entities[[#This Row],[ENT_TYPE]]="County",RIGHT(Entities[[#This Row],[ENT_NAME]],6)&lt;&gt;"County"),_xlfn.TEXTJOIN(" ",TRUE,Entities[[#This Row],[ENT_NAME]],"County"),Entities[[#This Row],[ENT_NAME]])</f>
        <v>Hays County</v>
      </c>
    </row>
    <row r="57" spans="1:6" x14ac:dyDescent="0.25">
      <c r="A57" s="302" t="s">
        <v>4745</v>
      </c>
      <c r="B57" s="303" t="str">
        <f t="shared" si="0"/>
        <v>x00000027</v>
      </c>
      <c r="C57" t="s">
        <v>4947</v>
      </c>
      <c r="D57" t="s">
        <v>2559</v>
      </c>
      <c r="E57">
        <v>4</v>
      </c>
      <c r="F57" t="str">
        <f>IF(AND(Entities[[#This Row],[ENT_TYPE]]="County",RIGHT(Entities[[#This Row],[ENT_NAME]],6)&lt;&gt;"County"),_xlfn.TEXTJOIN(" ",TRUE,Entities[[#This Row],[ENT_NAME]],"County"),Entities[[#This Row],[ENT_NAME]])</f>
        <v>Orange County</v>
      </c>
    </row>
    <row r="58" spans="1:6" x14ac:dyDescent="0.25">
      <c r="A58" s="304" t="s">
        <v>4745</v>
      </c>
      <c r="B58" s="303" t="str">
        <f t="shared" si="0"/>
        <v>x00000027</v>
      </c>
      <c r="C58" t="s">
        <v>4947</v>
      </c>
      <c r="D58" t="s">
        <v>2559</v>
      </c>
      <c r="E58">
        <v>0</v>
      </c>
      <c r="F58" t="str">
        <f>IF(AND(Entities[[#This Row],[ENT_TYPE]]="County",RIGHT(Entities[[#This Row],[ENT_NAME]],6)&lt;&gt;"County"),_xlfn.TEXTJOIN(" ",TRUE,Entities[[#This Row],[ENT_NAME]],"County"),Entities[[#This Row],[ENT_NAME]])</f>
        <v>Orange County</v>
      </c>
    </row>
    <row r="59" spans="1:6" x14ac:dyDescent="0.25">
      <c r="A59" s="302" t="s">
        <v>4977</v>
      </c>
      <c r="B59" s="303" t="str">
        <f t="shared" si="0"/>
        <v>x00000028</v>
      </c>
      <c r="C59" t="s">
        <v>4947</v>
      </c>
      <c r="D59" t="s">
        <v>4978</v>
      </c>
      <c r="E59">
        <v>8</v>
      </c>
      <c r="F59" t="str">
        <f>IF(AND(Entities[[#This Row],[ENT_TYPE]]="County",RIGHT(Entities[[#This Row],[ENT_NAME]],6)&lt;&gt;"County"),_xlfn.TEXTJOIN(" ",TRUE,Entities[[#This Row],[ENT_NAME]],"County"),Entities[[#This Row],[ENT_NAME]])</f>
        <v>Bastrop County</v>
      </c>
    </row>
    <row r="60" spans="1:6" x14ac:dyDescent="0.25">
      <c r="A60" s="304" t="s">
        <v>4977</v>
      </c>
      <c r="B60" s="303" t="str">
        <f t="shared" si="0"/>
        <v>x00000028</v>
      </c>
      <c r="C60" t="s">
        <v>4947</v>
      </c>
      <c r="D60" t="s">
        <v>4978</v>
      </c>
      <c r="E60">
        <v>10</v>
      </c>
      <c r="F60" t="str">
        <f>IF(AND(Entities[[#This Row],[ENT_TYPE]]="County",RIGHT(Entities[[#This Row],[ENT_NAME]],6)&lt;&gt;"County"),_xlfn.TEXTJOIN(" ",TRUE,Entities[[#This Row],[ENT_NAME]],"County"),Entities[[#This Row],[ENT_NAME]])</f>
        <v>Bastrop County</v>
      </c>
    </row>
    <row r="61" spans="1:6" x14ac:dyDescent="0.25">
      <c r="A61" s="302" t="s">
        <v>4977</v>
      </c>
      <c r="B61" s="303" t="str">
        <f t="shared" si="0"/>
        <v>x00000028</v>
      </c>
      <c r="C61" t="s">
        <v>4947</v>
      </c>
      <c r="D61" t="s">
        <v>4978</v>
      </c>
      <c r="E61">
        <v>11</v>
      </c>
      <c r="F61" t="str">
        <f>IF(AND(Entities[[#This Row],[ENT_TYPE]]="County",RIGHT(Entities[[#This Row],[ENT_NAME]],6)&lt;&gt;"County"),_xlfn.TEXTJOIN(" ",TRUE,Entities[[#This Row],[ENT_NAME]],"County"),Entities[[#This Row],[ENT_NAME]])</f>
        <v>Bastrop County</v>
      </c>
    </row>
    <row r="62" spans="1:6" x14ac:dyDescent="0.25">
      <c r="A62" s="304" t="s">
        <v>4979</v>
      </c>
      <c r="B62" s="303" t="str">
        <f t="shared" si="0"/>
        <v>x00000029</v>
      </c>
      <c r="C62" t="s">
        <v>4947</v>
      </c>
      <c r="D62" t="s">
        <v>4980</v>
      </c>
      <c r="E62">
        <v>8</v>
      </c>
      <c r="F62" t="str">
        <f>IF(AND(Entities[[#This Row],[ENT_TYPE]]="County",RIGHT(Entities[[#This Row],[ENT_NAME]],6)&lt;&gt;"County"),_xlfn.TEXTJOIN(" ",TRUE,Entities[[#This Row],[ENT_NAME]],"County"),Entities[[#This Row],[ENT_NAME]])</f>
        <v>Washington County</v>
      </c>
    </row>
    <row r="63" spans="1:6" x14ac:dyDescent="0.25">
      <c r="A63" s="302" t="s">
        <v>4981</v>
      </c>
      <c r="B63" s="303" t="str">
        <f t="shared" si="0"/>
        <v>x00000030</v>
      </c>
      <c r="C63" t="s">
        <v>4947</v>
      </c>
      <c r="D63" t="s">
        <v>4982</v>
      </c>
      <c r="E63">
        <v>10</v>
      </c>
      <c r="F63" t="str">
        <f>IF(AND(Entities[[#This Row],[ENT_TYPE]]="County",RIGHT(Entities[[#This Row],[ENT_NAME]],6)&lt;&gt;"County"),_xlfn.TEXTJOIN(" ",TRUE,Entities[[#This Row],[ENT_NAME]],"County"),Entities[[#This Row],[ENT_NAME]])</f>
        <v>Gillespie County</v>
      </c>
    </row>
    <row r="64" spans="1:6" x14ac:dyDescent="0.25">
      <c r="A64" s="304" t="s">
        <v>4981</v>
      </c>
      <c r="B64" s="303" t="str">
        <f t="shared" si="0"/>
        <v>x00000030</v>
      </c>
      <c r="C64" t="s">
        <v>4947</v>
      </c>
      <c r="D64" t="s">
        <v>4982</v>
      </c>
      <c r="E64">
        <v>11</v>
      </c>
      <c r="F64" t="str">
        <f>IF(AND(Entities[[#This Row],[ENT_TYPE]]="County",RIGHT(Entities[[#This Row],[ENT_NAME]],6)&lt;&gt;"County"),_xlfn.TEXTJOIN(" ",TRUE,Entities[[#This Row],[ENT_NAME]],"County"),Entities[[#This Row],[ENT_NAME]])</f>
        <v>Gillespie County</v>
      </c>
    </row>
    <row r="65" spans="1:6" x14ac:dyDescent="0.25">
      <c r="A65" s="304" t="s">
        <v>4983</v>
      </c>
      <c r="B65" s="303" t="str">
        <f t="shared" si="0"/>
        <v>x00000031</v>
      </c>
      <c r="C65" t="s">
        <v>4947</v>
      </c>
      <c r="D65" t="s">
        <v>4984</v>
      </c>
      <c r="E65">
        <v>10</v>
      </c>
      <c r="F65" t="str">
        <f>IF(AND(Entities[[#This Row],[ENT_TYPE]]="County",RIGHT(Entities[[#This Row],[ENT_NAME]],6)&lt;&gt;"County"),_xlfn.TEXTJOIN(" ",TRUE,Entities[[#This Row],[ENT_NAME]],"County"),Entities[[#This Row],[ENT_NAME]])</f>
        <v>Blanco County</v>
      </c>
    </row>
    <row r="66" spans="1:6" x14ac:dyDescent="0.25">
      <c r="A66" s="302" t="s">
        <v>4983</v>
      </c>
      <c r="B66" s="303" t="str">
        <f t="shared" ref="B66:B129" si="1">_xlfn.CONCAT("x",TEXT(A66,"00000000"))</f>
        <v>x00000031</v>
      </c>
      <c r="C66" t="s">
        <v>4947</v>
      </c>
      <c r="D66" t="s">
        <v>4984</v>
      </c>
      <c r="E66">
        <v>11</v>
      </c>
      <c r="F66" t="str">
        <f>IF(AND(Entities[[#This Row],[ENT_TYPE]]="County",RIGHT(Entities[[#This Row],[ENT_NAME]],6)&lt;&gt;"County"),_xlfn.TEXTJOIN(" ",TRUE,Entities[[#This Row],[ENT_NAME]],"County"),Entities[[#This Row],[ENT_NAME]])</f>
        <v>Blanco County</v>
      </c>
    </row>
    <row r="67" spans="1:6" x14ac:dyDescent="0.25">
      <c r="A67" s="302" t="s">
        <v>4985</v>
      </c>
      <c r="B67" s="303" t="str">
        <f t="shared" si="1"/>
        <v>x00000032</v>
      </c>
      <c r="C67" t="s">
        <v>4947</v>
      </c>
      <c r="D67" t="s">
        <v>4986</v>
      </c>
      <c r="E67">
        <v>8</v>
      </c>
      <c r="F67" t="str">
        <f>IF(AND(Entities[[#This Row],[ENT_TYPE]]="County",RIGHT(Entities[[#This Row],[ENT_NAME]],6)&lt;&gt;"County"),_xlfn.TEXTJOIN(" ",TRUE,Entities[[#This Row],[ENT_NAME]],"County"),Entities[[#This Row],[ENT_NAME]])</f>
        <v>Lee County</v>
      </c>
    </row>
    <row r="68" spans="1:6" x14ac:dyDescent="0.25">
      <c r="A68" s="304" t="s">
        <v>4985</v>
      </c>
      <c r="B68" s="303" t="str">
        <f t="shared" si="1"/>
        <v>x00000032</v>
      </c>
      <c r="C68" t="s">
        <v>4947</v>
      </c>
      <c r="D68" t="s">
        <v>4986</v>
      </c>
      <c r="E68">
        <v>10</v>
      </c>
      <c r="F68" t="str">
        <f>IF(AND(Entities[[#This Row],[ENT_TYPE]]="County",RIGHT(Entities[[#This Row],[ENT_NAME]],6)&lt;&gt;"County"),_xlfn.TEXTJOIN(" ",TRUE,Entities[[#This Row],[ENT_NAME]],"County"),Entities[[#This Row],[ENT_NAME]])</f>
        <v>Lee County</v>
      </c>
    </row>
    <row r="69" spans="1:6" x14ac:dyDescent="0.25">
      <c r="A69" s="302" t="s">
        <v>273</v>
      </c>
      <c r="B69" s="303" t="str">
        <f t="shared" si="1"/>
        <v>x00000033</v>
      </c>
      <c r="C69" t="s">
        <v>4947</v>
      </c>
      <c r="D69" t="s">
        <v>81</v>
      </c>
      <c r="E69">
        <v>0</v>
      </c>
      <c r="F69" t="str">
        <f>IF(AND(Entities[[#This Row],[ENT_TYPE]]="County",RIGHT(Entities[[#This Row],[ENT_NAME]],6)&lt;&gt;"County"),_xlfn.TEXTJOIN(" ",TRUE,Entities[[#This Row],[ENT_NAME]],"County"),Entities[[#This Row],[ENT_NAME]])</f>
        <v>Liberty County</v>
      </c>
    </row>
    <row r="70" spans="1:6" x14ac:dyDescent="0.25">
      <c r="A70" s="302" t="s">
        <v>273</v>
      </c>
      <c r="B70" s="303" t="str">
        <f t="shared" si="1"/>
        <v>x00000033</v>
      </c>
      <c r="C70" t="s">
        <v>4947</v>
      </c>
      <c r="D70" t="s">
        <v>81</v>
      </c>
      <c r="E70">
        <v>6</v>
      </c>
      <c r="F70" t="str">
        <f>IF(AND(Entities[[#This Row],[ENT_TYPE]]="County",RIGHT(Entities[[#This Row],[ENT_NAME]],6)&lt;&gt;"County"),_xlfn.TEXTJOIN(" ",TRUE,Entities[[#This Row],[ENT_NAME]],"County"),Entities[[#This Row],[ENT_NAME]])</f>
        <v>Liberty County</v>
      </c>
    </row>
    <row r="71" spans="1:6" x14ac:dyDescent="0.25">
      <c r="A71" s="302" t="s">
        <v>273</v>
      </c>
      <c r="B71" s="303" t="str">
        <f t="shared" si="1"/>
        <v>x00000033</v>
      </c>
      <c r="C71" t="s">
        <v>4947</v>
      </c>
      <c r="D71" t="s">
        <v>81</v>
      </c>
      <c r="E71">
        <v>3</v>
      </c>
      <c r="F71" t="str">
        <f>IF(AND(Entities[[#This Row],[ENT_TYPE]]="County",RIGHT(Entities[[#This Row],[ENT_NAME]],6)&lt;&gt;"County"),_xlfn.TEXTJOIN(" ",TRUE,Entities[[#This Row],[ENT_NAME]],"County"),Entities[[#This Row],[ENT_NAME]])</f>
        <v>Liberty County</v>
      </c>
    </row>
    <row r="72" spans="1:6" x14ac:dyDescent="0.25">
      <c r="A72" s="304" t="s">
        <v>4987</v>
      </c>
      <c r="B72" s="303" t="str">
        <f t="shared" si="1"/>
        <v>x00000034</v>
      </c>
      <c r="C72" t="s">
        <v>4947</v>
      </c>
      <c r="D72" t="s">
        <v>4988</v>
      </c>
      <c r="E72">
        <v>8</v>
      </c>
      <c r="F72" t="str">
        <f>IF(AND(Entities[[#This Row],[ENT_TYPE]]="County",RIGHT(Entities[[#This Row],[ENT_NAME]],6)&lt;&gt;"County"),_xlfn.TEXTJOIN(" ",TRUE,Entities[[#This Row],[ENT_NAME]],"County"),Entities[[#This Row],[ENT_NAME]])</f>
        <v>Travis County</v>
      </c>
    </row>
    <row r="73" spans="1:6" x14ac:dyDescent="0.25">
      <c r="A73" s="302" t="s">
        <v>4987</v>
      </c>
      <c r="B73" s="303" t="str">
        <f t="shared" si="1"/>
        <v>x00000034</v>
      </c>
      <c r="C73" t="s">
        <v>4947</v>
      </c>
      <c r="D73" t="s">
        <v>4988</v>
      </c>
      <c r="E73">
        <v>10</v>
      </c>
      <c r="F73" t="str">
        <f>IF(AND(Entities[[#This Row],[ENT_TYPE]]="County",RIGHT(Entities[[#This Row],[ENT_NAME]],6)&lt;&gt;"County"),_xlfn.TEXTJOIN(" ",TRUE,Entities[[#This Row],[ENT_NAME]],"County"),Entities[[#This Row],[ENT_NAME]])</f>
        <v>Travis County</v>
      </c>
    </row>
    <row r="74" spans="1:6" x14ac:dyDescent="0.25">
      <c r="A74" s="304" t="s">
        <v>4987</v>
      </c>
      <c r="B74" s="303" t="str">
        <f t="shared" si="1"/>
        <v>x00000034</v>
      </c>
      <c r="C74" t="s">
        <v>4947</v>
      </c>
      <c r="D74" t="s">
        <v>4988</v>
      </c>
      <c r="E74">
        <v>11</v>
      </c>
      <c r="F74" t="str">
        <f>IF(AND(Entities[[#This Row],[ENT_TYPE]]="County",RIGHT(Entities[[#This Row],[ENT_NAME]],6)&lt;&gt;"County"),_xlfn.TEXTJOIN(" ",TRUE,Entities[[#This Row],[ENT_NAME]],"County"),Entities[[#This Row],[ENT_NAME]])</f>
        <v>Travis County</v>
      </c>
    </row>
    <row r="75" spans="1:6" x14ac:dyDescent="0.25">
      <c r="A75" s="304" t="s">
        <v>2948</v>
      </c>
      <c r="B75" s="303" t="str">
        <f t="shared" si="1"/>
        <v>x00000035</v>
      </c>
      <c r="C75" t="s">
        <v>4947</v>
      </c>
      <c r="D75" t="s">
        <v>2874</v>
      </c>
      <c r="E75">
        <v>0</v>
      </c>
      <c r="F75" t="str">
        <f>IF(AND(Entities[[#This Row],[ENT_TYPE]]="County",RIGHT(Entities[[#This Row],[ENT_NAME]],6)&lt;&gt;"County"),_xlfn.TEXTJOIN(" ",TRUE,Entities[[#This Row],[ENT_NAME]],"County"),Entities[[#This Row],[ENT_NAME]])</f>
        <v>Hardin County</v>
      </c>
    </row>
    <row r="76" spans="1:6" x14ac:dyDescent="0.25">
      <c r="A76" s="302" t="s">
        <v>2948</v>
      </c>
      <c r="B76" s="303" t="str">
        <f t="shared" si="1"/>
        <v>x00000035</v>
      </c>
      <c r="C76" t="s">
        <v>4947</v>
      </c>
      <c r="D76" t="s">
        <v>2874</v>
      </c>
      <c r="E76">
        <v>3</v>
      </c>
      <c r="F76" t="str">
        <f>IF(AND(Entities[[#This Row],[ENT_TYPE]]="County",RIGHT(Entities[[#This Row],[ENT_NAME]],6)&lt;&gt;"County"),_xlfn.TEXTJOIN(" ",TRUE,Entities[[#This Row],[ENT_NAME]],"County"),Entities[[#This Row],[ENT_NAME]])</f>
        <v>Hardin County</v>
      </c>
    </row>
    <row r="77" spans="1:6" x14ac:dyDescent="0.25">
      <c r="A77" s="302" t="s">
        <v>4989</v>
      </c>
      <c r="B77" s="303" t="str">
        <f t="shared" si="1"/>
        <v>x00000038</v>
      </c>
      <c r="C77" t="s">
        <v>4947</v>
      </c>
      <c r="D77" t="s">
        <v>4990</v>
      </c>
      <c r="E77">
        <v>10</v>
      </c>
      <c r="F77" t="str">
        <f>IF(AND(Entities[[#This Row],[ENT_TYPE]]="County",RIGHT(Entities[[#This Row],[ENT_NAME]],6)&lt;&gt;"County"),_xlfn.TEXTJOIN(" ",TRUE,Entities[[#This Row],[ENT_NAME]],"County"),Entities[[#This Row],[ENT_NAME]])</f>
        <v>Sutton County</v>
      </c>
    </row>
    <row r="78" spans="1:6" x14ac:dyDescent="0.25">
      <c r="A78" s="302" t="s">
        <v>4989</v>
      </c>
      <c r="B78" s="303" t="str">
        <f t="shared" si="1"/>
        <v>x00000038</v>
      </c>
      <c r="C78" t="s">
        <v>4947</v>
      </c>
      <c r="D78" t="s">
        <v>4991</v>
      </c>
      <c r="E78">
        <v>14</v>
      </c>
      <c r="F78" t="str">
        <f>IF(AND(Entities[[#This Row],[ENT_TYPE]]="County",RIGHT(Entities[[#This Row],[ENT_NAME]],6)&lt;&gt;"County"),_xlfn.TEXTJOIN(" ",TRUE,Entities[[#This Row],[ENT_NAME]],"County"),Entities[[#This Row],[ENT_NAME]])</f>
        <v>Sutton County</v>
      </c>
    </row>
    <row r="79" spans="1:6" x14ac:dyDescent="0.25">
      <c r="A79" s="304" t="s">
        <v>4992</v>
      </c>
      <c r="B79" s="303" t="str">
        <f t="shared" si="1"/>
        <v>x00000043</v>
      </c>
      <c r="C79" t="s">
        <v>4947</v>
      </c>
      <c r="D79" t="s">
        <v>4886</v>
      </c>
      <c r="E79">
        <v>8</v>
      </c>
      <c r="F79" t="str">
        <f>IF(AND(Entities[[#This Row],[ENT_TYPE]]="County",RIGHT(Entities[[#This Row],[ENT_NAME]],6)&lt;&gt;"County"),_xlfn.TEXTJOIN(" ",TRUE,Entities[[#This Row],[ENT_NAME]],"County"),Entities[[#This Row],[ENT_NAME]])</f>
        <v>Williamson County</v>
      </c>
    </row>
    <row r="80" spans="1:6" x14ac:dyDescent="0.25">
      <c r="A80" s="302" t="s">
        <v>372</v>
      </c>
      <c r="B80" s="303" t="str">
        <f t="shared" si="1"/>
        <v>x00000044</v>
      </c>
      <c r="C80" t="s">
        <v>4947</v>
      </c>
      <c r="D80" t="s">
        <v>73</v>
      </c>
      <c r="E80">
        <v>6</v>
      </c>
      <c r="F80" t="str">
        <f>IF(AND(Entities[[#This Row],[ENT_TYPE]]="County",RIGHT(Entities[[#This Row],[ENT_NAME]],6)&lt;&gt;"County"),_xlfn.TEXTJOIN(" ",TRUE,Entities[[#This Row],[ENT_NAME]],"County"),Entities[[#This Row],[ENT_NAME]])</f>
        <v>Grimes County</v>
      </c>
    </row>
    <row r="81" spans="1:6" x14ac:dyDescent="0.25">
      <c r="A81" s="302" t="s">
        <v>372</v>
      </c>
      <c r="B81" s="303" t="str">
        <f t="shared" si="1"/>
        <v>x00000044</v>
      </c>
      <c r="C81" t="s">
        <v>4947</v>
      </c>
      <c r="D81" t="s">
        <v>73</v>
      </c>
      <c r="E81">
        <v>8</v>
      </c>
      <c r="F81" t="str">
        <f>IF(AND(Entities[[#This Row],[ENT_TYPE]]="County",RIGHT(Entities[[#This Row],[ENT_NAME]],6)&lt;&gt;"County"),_xlfn.TEXTJOIN(" ",TRUE,Entities[[#This Row],[ENT_NAME]],"County"),Entities[[#This Row],[ENT_NAME]])</f>
        <v>Grimes County</v>
      </c>
    </row>
    <row r="82" spans="1:6" x14ac:dyDescent="0.25">
      <c r="A82" s="302" t="s">
        <v>372</v>
      </c>
      <c r="B82" s="303" t="str">
        <f t="shared" si="1"/>
        <v>x00000044</v>
      </c>
      <c r="C82" t="s">
        <v>4947</v>
      </c>
      <c r="D82" t="s">
        <v>73</v>
      </c>
      <c r="E82">
        <v>3</v>
      </c>
      <c r="F82" t="str">
        <f>IF(AND(Entities[[#This Row],[ENT_TYPE]]="County",RIGHT(Entities[[#This Row],[ENT_NAME]],6)&lt;&gt;"County"),_xlfn.TEXTJOIN(" ",TRUE,Entities[[#This Row],[ENT_NAME]],"County"),Entities[[#This Row],[ENT_NAME]])</f>
        <v>Grimes County</v>
      </c>
    </row>
    <row r="83" spans="1:6" x14ac:dyDescent="0.25">
      <c r="A83" s="304" t="s">
        <v>4993</v>
      </c>
      <c r="B83" s="303" t="str">
        <f t="shared" si="1"/>
        <v>x00000047</v>
      </c>
      <c r="C83" t="s">
        <v>4947</v>
      </c>
      <c r="D83" t="s">
        <v>259</v>
      </c>
      <c r="E83">
        <v>6</v>
      </c>
      <c r="F83" t="str">
        <f>IF(AND(Entities[[#This Row],[ENT_TYPE]]="County",RIGHT(Entities[[#This Row],[ENT_NAME]],6)&lt;&gt;"County"),_xlfn.TEXTJOIN(" ",TRUE,Entities[[#This Row],[ENT_NAME]],"County"),Entities[[#This Row],[ENT_NAME]])</f>
        <v>San Jacinto County</v>
      </c>
    </row>
    <row r="84" spans="1:6" x14ac:dyDescent="0.25">
      <c r="A84" s="302" t="s">
        <v>4993</v>
      </c>
      <c r="B84" s="303" t="str">
        <f t="shared" si="1"/>
        <v>x00000047</v>
      </c>
      <c r="C84" t="s">
        <v>4947</v>
      </c>
      <c r="D84" t="s">
        <v>259</v>
      </c>
      <c r="E84">
        <v>3</v>
      </c>
      <c r="F84" t="str">
        <f>IF(AND(Entities[[#This Row],[ENT_TYPE]]="County",RIGHT(Entities[[#This Row],[ENT_NAME]],6)&lt;&gt;"County"),_xlfn.TEXTJOIN(" ",TRUE,Entities[[#This Row],[ENT_NAME]],"County"),Entities[[#This Row],[ENT_NAME]])</f>
        <v>San Jacinto County</v>
      </c>
    </row>
    <row r="85" spans="1:6" x14ac:dyDescent="0.25">
      <c r="A85" s="302" t="s">
        <v>4994</v>
      </c>
      <c r="B85" s="303" t="str">
        <f t="shared" si="1"/>
        <v>x00000049</v>
      </c>
      <c r="C85" t="s">
        <v>4947</v>
      </c>
      <c r="D85" t="s">
        <v>4995</v>
      </c>
      <c r="E85">
        <v>8</v>
      </c>
      <c r="F85" t="str">
        <f>IF(AND(Entities[[#This Row],[ENT_TYPE]]="County",RIGHT(Entities[[#This Row],[ENT_NAME]],6)&lt;&gt;"County"),_xlfn.TEXTJOIN(" ",TRUE,Entities[[#This Row],[ENT_NAME]],"County"),Entities[[#This Row],[ENT_NAME]])</f>
        <v>Burnet County</v>
      </c>
    </row>
    <row r="86" spans="1:6" x14ac:dyDescent="0.25">
      <c r="A86" s="302" t="s">
        <v>4994</v>
      </c>
      <c r="B86" s="303" t="str">
        <f t="shared" si="1"/>
        <v>x00000049</v>
      </c>
      <c r="C86" t="s">
        <v>4947</v>
      </c>
      <c r="D86" t="s">
        <v>4995</v>
      </c>
      <c r="E86">
        <v>10</v>
      </c>
      <c r="F86" t="str">
        <f>IF(AND(Entities[[#This Row],[ENT_TYPE]]="County",RIGHT(Entities[[#This Row],[ENT_NAME]],6)&lt;&gt;"County"),_xlfn.TEXTJOIN(" ",TRUE,Entities[[#This Row],[ENT_NAME]],"County"),Entities[[#This Row],[ENT_NAME]])</f>
        <v>Burnet County</v>
      </c>
    </row>
    <row r="87" spans="1:6" x14ac:dyDescent="0.25">
      <c r="A87" s="304" t="s">
        <v>637</v>
      </c>
      <c r="B87" s="303" t="str">
        <f t="shared" si="1"/>
        <v>x00000050</v>
      </c>
      <c r="C87" t="s">
        <v>4947</v>
      </c>
      <c r="D87" t="s">
        <v>4996</v>
      </c>
      <c r="E87">
        <v>10</v>
      </c>
      <c r="F87" t="str">
        <f>IF(AND(Entities[[#This Row],[ENT_TYPE]]="County",RIGHT(Entities[[#This Row],[ENT_NAME]],6)&lt;&gt;"County"),_xlfn.TEXTJOIN(" ",TRUE,Entities[[#This Row],[ENT_NAME]],"County"),Entities[[#This Row],[ENT_NAME]])</f>
        <v>Menard County</v>
      </c>
    </row>
    <row r="88" spans="1:6" x14ac:dyDescent="0.25">
      <c r="A88" s="302" t="s">
        <v>637</v>
      </c>
      <c r="B88" s="303" t="str">
        <f t="shared" si="1"/>
        <v>x00000050</v>
      </c>
      <c r="C88" t="s">
        <v>4947</v>
      </c>
      <c r="D88" t="s">
        <v>4996</v>
      </c>
      <c r="E88">
        <v>0</v>
      </c>
      <c r="F88" t="str">
        <f>IF(AND(Entities[[#This Row],[ENT_TYPE]]="County",RIGHT(Entities[[#This Row],[ENT_NAME]],6)&lt;&gt;"County"),_xlfn.TEXTJOIN(" ",TRUE,Entities[[#This Row],[ENT_NAME]],"County"),Entities[[#This Row],[ENT_NAME]])</f>
        <v>Menard County</v>
      </c>
    </row>
    <row r="89" spans="1:6" x14ac:dyDescent="0.25">
      <c r="A89" s="304" t="s">
        <v>740</v>
      </c>
      <c r="B89" s="303" t="str">
        <f t="shared" si="1"/>
        <v>x00000051</v>
      </c>
      <c r="C89" t="s">
        <v>4947</v>
      </c>
      <c r="D89" t="s">
        <v>834</v>
      </c>
      <c r="E89">
        <v>10</v>
      </c>
      <c r="F89" t="str">
        <f>IF(AND(Entities[[#This Row],[ENT_TYPE]]="County",RIGHT(Entities[[#This Row],[ENT_NAME]],6)&lt;&gt;"County"),_xlfn.TEXTJOIN(" ",TRUE,Entities[[#This Row],[ENT_NAME]],"County"),Entities[[#This Row],[ENT_NAME]])</f>
        <v>Schleicher County</v>
      </c>
    </row>
    <row r="90" spans="1:6" x14ac:dyDescent="0.25">
      <c r="A90" s="302" t="s">
        <v>740</v>
      </c>
      <c r="B90" s="303" t="str">
        <f t="shared" si="1"/>
        <v>x00000051</v>
      </c>
      <c r="C90" t="s">
        <v>4947</v>
      </c>
      <c r="D90" t="s">
        <v>4997</v>
      </c>
      <c r="E90">
        <v>14</v>
      </c>
      <c r="F90" t="str">
        <f>IF(AND(Entities[[#This Row],[ENT_TYPE]]="County",RIGHT(Entities[[#This Row],[ENT_NAME]],6)&lt;&gt;"County"),_xlfn.TEXTJOIN(" ",TRUE,Entities[[#This Row],[ENT_NAME]],"County"),Entities[[#This Row],[ENT_NAME]])</f>
        <v>Schleicher County</v>
      </c>
    </row>
    <row r="91" spans="1:6" x14ac:dyDescent="0.25">
      <c r="A91" s="302" t="s">
        <v>740</v>
      </c>
      <c r="B91" s="303" t="str">
        <f t="shared" si="1"/>
        <v>x00000051</v>
      </c>
      <c r="C91" t="s">
        <v>4947</v>
      </c>
      <c r="D91" t="s">
        <v>834</v>
      </c>
      <c r="E91">
        <v>0</v>
      </c>
      <c r="F91" t="str">
        <f>IF(AND(Entities[[#This Row],[ENT_TYPE]]="County",RIGHT(Entities[[#This Row],[ENT_NAME]],6)&lt;&gt;"County"),_xlfn.TEXTJOIN(" ",TRUE,Entities[[#This Row],[ENT_NAME]],"County"),Entities[[#This Row],[ENT_NAME]])</f>
        <v>Schleicher County</v>
      </c>
    </row>
    <row r="92" spans="1:6" x14ac:dyDescent="0.25">
      <c r="A92" s="302" t="s">
        <v>914</v>
      </c>
      <c r="B92" s="303" t="str">
        <f t="shared" si="1"/>
        <v>x00000052</v>
      </c>
      <c r="C92" t="s">
        <v>4947</v>
      </c>
      <c r="D92" t="s">
        <v>4998</v>
      </c>
      <c r="E92">
        <v>14</v>
      </c>
      <c r="F92" t="str">
        <f>IF(AND(Entities[[#This Row],[ENT_TYPE]]="County",RIGHT(Entities[[#This Row],[ENT_NAME]],6)&lt;&gt;"County"),_xlfn.TEXTJOIN(" ",TRUE,Entities[[#This Row],[ENT_NAME]],"County"),Entities[[#This Row],[ENT_NAME]])</f>
        <v>Crockett County</v>
      </c>
    </row>
    <row r="93" spans="1:6" x14ac:dyDescent="0.25">
      <c r="A93" s="302" t="s">
        <v>914</v>
      </c>
      <c r="B93" s="303" t="str">
        <f t="shared" si="1"/>
        <v>x00000052</v>
      </c>
      <c r="C93" t="s">
        <v>4947</v>
      </c>
      <c r="D93" t="s">
        <v>735</v>
      </c>
      <c r="E93">
        <v>0</v>
      </c>
      <c r="F93" t="str">
        <f>IF(AND(Entities[[#This Row],[ENT_TYPE]]="County",RIGHT(Entities[[#This Row],[ENT_NAME]],6)&lt;&gt;"County"),_xlfn.TEXTJOIN(" ",TRUE,Entities[[#This Row],[ENT_NAME]],"County"),Entities[[#This Row],[ENT_NAME]])</f>
        <v>Crockett County</v>
      </c>
    </row>
    <row r="94" spans="1:6" x14ac:dyDescent="0.25">
      <c r="A94" s="302" t="s">
        <v>338</v>
      </c>
      <c r="B94" s="303" t="str">
        <f t="shared" si="1"/>
        <v>x00000053</v>
      </c>
      <c r="C94" t="s">
        <v>4947</v>
      </c>
      <c r="D94" t="s">
        <v>63</v>
      </c>
      <c r="E94">
        <v>6</v>
      </c>
      <c r="F94" t="str">
        <f>IF(AND(Entities[[#This Row],[ENT_TYPE]]="County",RIGHT(Entities[[#This Row],[ENT_NAME]],6)&lt;&gt;"County"),_xlfn.TEXTJOIN(" ",TRUE,Entities[[#This Row],[ENT_NAME]],"County"),Entities[[#This Row],[ENT_NAME]])</f>
        <v>Walker County</v>
      </c>
    </row>
    <row r="95" spans="1:6" x14ac:dyDescent="0.25">
      <c r="A95" s="302" t="s">
        <v>338</v>
      </c>
      <c r="B95" s="303" t="str">
        <f t="shared" si="1"/>
        <v>x00000053</v>
      </c>
      <c r="C95" t="s">
        <v>4947</v>
      </c>
      <c r="D95" t="s">
        <v>63</v>
      </c>
      <c r="E95">
        <v>3</v>
      </c>
      <c r="F95" t="str">
        <f>IF(AND(Entities[[#This Row],[ENT_TYPE]]="County",RIGHT(Entities[[#This Row],[ENT_NAME]],6)&lt;&gt;"County"),_xlfn.TEXTJOIN(" ",TRUE,Entities[[#This Row],[ENT_NAME]],"County"),Entities[[#This Row],[ENT_NAME]])</f>
        <v>Walker County</v>
      </c>
    </row>
    <row r="96" spans="1:6" x14ac:dyDescent="0.25">
      <c r="A96" s="302" t="s">
        <v>4999</v>
      </c>
      <c r="B96" s="303" t="str">
        <f t="shared" si="1"/>
        <v>x00000055</v>
      </c>
      <c r="C96" t="s">
        <v>4947</v>
      </c>
      <c r="D96" t="s">
        <v>2400</v>
      </c>
      <c r="E96">
        <v>8</v>
      </c>
      <c r="F96" t="str">
        <f>IF(AND(Entities[[#This Row],[ENT_TYPE]]="County",RIGHT(Entities[[#This Row],[ENT_NAME]],6)&lt;&gt;"County"),_xlfn.TEXTJOIN(" ",TRUE,Entities[[#This Row],[ENT_NAME]],"County"),Entities[[#This Row],[ENT_NAME]])</f>
        <v>Madison County</v>
      </c>
    </row>
    <row r="97" spans="1:6" x14ac:dyDescent="0.25">
      <c r="A97" s="302" t="s">
        <v>4999</v>
      </c>
      <c r="B97" s="303" t="str">
        <f t="shared" si="1"/>
        <v>x00000055</v>
      </c>
      <c r="C97" t="s">
        <v>4947</v>
      </c>
      <c r="D97" t="s">
        <v>2400</v>
      </c>
      <c r="E97">
        <v>3</v>
      </c>
      <c r="F97" t="str">
        <f>IF(AND(Entities[[#This Row],[ENT_TYPE]]="County",RIGHT(Entities[[#This Row],[ENT_NAME]],6)&lt;&gt;"County"),_xlfn.TEXTJOIN(" ",TRUE,Entities[[#This Row],[ENT_NAME]],"County"),Entities[[#This Row],[ENT_NAME]])</f>
        <v>Madison County</v>
      </c>
    </row>
    <row r="98" spans="1:6" x14ac:dyDescent="0.25">
      <c r="A98" s="304" t="s">
        <v>2664</v>
      </c>
      <c r="B98" s="303" t="str">
        <f t="shared" si="1"/>
        <v>x00000058</v>
      </c>
      <c r="C98" t="s">
        <v>4947</v>
      </c>
      <c r="D98" t="s">
        <v>2660</v>
      </c>
      <c r="E98">
        <v>0</v>
      </c>
      <c r="F98" t="str">
        <f>IF(AND(Entities[[#This Row],[ENT_TYPE]]="County",RIGHT(Entities[[#This Row],[ENT_NAME]],6)&lt;&gt;"County"),_xlfn.TEXTJOIN(" ",TRUE,Entities[[#This Row],[ENT_NAME]],"County"),Entities[[#This Row],[ENT_NAME]])</f>
        <v>Polk County</v>
      </c>
    </row>
    <row r="99" spans="1:6" x14ac:dyDescent="0.25">
      <c r="A99" s="302" t="s">
        <v>2664</v>
      </c>
      <c r="B99" s="303" t="str">
        <f t="shared" si="1"/>
        <v>x00000058</v>
      </c>
      <c r="C99" t="s">
        <v>4947</v>
      </c>
      <c r="D99" t="s">
        <v>2660</v>
      </c>
      <c r="E99">
        <v>3</v>
      </c>
      <c r="F99" t="str">
        <f>IF(AND(Entities[[#This Row],[ENT_TYPE]]="County",RIGHT(Entities[[#This Row],[ENT_NAME]],6)&lt;&gt;"County"),_xlfn.TEXTJOIN(" ",TRUE,Entities[[#This Row],[ENT_NAME]],"County"),Entities[[#This Row],[ENT_NAME]])</f>
        <v>Polk County</v>
      </c>
    </row>
    <row r="100" spans="1:6" x14ac:dyDescent="0.25">
      <c r="A100" s="304" t="s">
        <v>5000</v>
      </c>
      <c r="B100" s="303" t="str">
        <f t="shared" si="1"/>
        <v>x00000059</v>
      </c>
      <c r="C100" t="s">
        <v>4947</v>
      </c>
      <c r="D100" t="s">
        <v>5001</v>
      </c>
      <c r="E100">
        <v>4</v>
      </c>
      <c r="F100" t="str">
        <f>IF(AND(Entities[[#This Row],[ENT_TYPE]]="County",RIGHT(Entities[[#This Row],[ENT_NAME]],6)&lt;&gt;"County"),_xlfn.TEXTJOIN(" ",TRUE,Entities[[#This Row],[ENT_NAME]],"County"),Entities[[#This Row],[ENT_NAME]])</f>
        <v>Jasper County</v>
      </c>
    </row>
    <row r="101" spans="1:6" x14ac:dyDescent="0.25">
      <c r="A101" s="302" t="s">
        <v>5000</v>
      </c>
      <c r="B101" s="303" t="str">
        <f t="shared" si="1"/>
        <v>x00000059</v>
      </c>
      <c r="C101" t="s">
        <v>4947</v>
      </c>
      <c r="D101" t="s">
        <v>5001</v>
      </c>
      <c r="E101">
        <v>0</v>
      </c>
      <c r="F101" t="str">
        <f>IF(AND(Entities[[#This Row],[ENT_TYPE]]="County",RIGHT(Entities[[#This Row],[ENT_NAME]],6)&lt;&gt;"County"),_xlfn.TEXTJOIN(" ",TRUE,Entities[[#This Row],[ENT_NAME]],"County"),Entities[[#This Row],[ENT_NAME]])</f>
        <v>Jasper County</v>
      </c>
    </row>
    <row r="102" spans="1:6" x14ac:dyDescent="0.25">
      <c r="A102" s="302" t="s">
        <v>5002</v>
      </c>
      <c r="B102" s="303" t="str">
        <f t="shared" si="1"/>
        <v>x00000061</v>
      </c>
      <c r="C102" t="s">
        <v>4947</v>
      </c>
      <c r="D102" t="s">
        <v>5003</v>
      </c>
      <c r="E102">
        <v>4</v>
      </c>
      <c r="F102" t="str">
        <f>IF(AND(Entities[[#This Row],[ENT_TYPE]]="County",RIGHT(Entities[[#This Row],[ENT_NAME]],6)&lt;&gt;"County"),_xlfn.TEXTJOIN(" ",TRUE,Entities[[#This Row],[ENT_NAME]],"County"),Entities[[#This Row],[ENT_NAME]])</f>
        <v>Newton County</v>
      </c>
    </row>
    <row r="103" spans="1:6" x14ac:dyDescent="0.25">
      <c r="A103" s="304" t="s">
        <v>5002</v>
      </c>
      <c r="B103" s="303" t="str">
        <f t="shared" si="1"/>
        <v>x00000061</v>
      </c>
      <c r="C103" t="s">
        <v>4947</v>
      </c>
      <c r="D103" t="s">
        <v>5003</v>
      </c>
      <c r="E103">
        <v>0</v>
      </c>
      <c r="F103" t="str">
        <f>IF(AND(Entities[[#This Row],[ENT_TYPE]]="County",RIGHT(Entities[[#This Row],[ENT_NAME]],6)&lt;&gt;"County"),_xlfn.TEXTJOIN(" ",TRUE,Entities[[#This Row],[ENT_NAME]],"County"),Entities[[#This Row],[ENT_NAME]])</f>
        <v>Newton County</v>
      </c>
    </row>
    <row r="104" spans="1:6" x14ac:dyDescent="0.25">
      <c r="A104" s="304" t="s">
        <v>5004</v>
      </c>
      <c r="B104" s="303" t="str">
        <f t="shared" si="1"/>
        <v>x00000064</v>
      </c>
      <c r="C104" t="s">
        <v>4947</v>
      </c>
      <c r="D104" t="s">
        <v>5005</v>
      </c>
      <c r="E104">
        <v>8</v>
      </c>
      <c r="F104" t="str">
        <f>IF(AND(Entities[[#This Row],[ENT_TYPE]]="County",RIGHT(Entities[[#This Row],[ENT_NAME]],6)&lt;&gt;"County"),_xlfn.TEXTJOIN(" ",TRUE,Entities[[#This Row],[ENT_NAME]],"County"),Entities[[#This Row],[ENT_NAME]])</f>
        <v>Lampasas County</v>
      </c>
    </row>
    <row r="105" spans="1:6" x14ac:dyDescent="0.25">
      <c r="A105" s="302" t="s">
        <v>5004</v>
      </c>
      <c r="B105" s="303" t="str">
        <f t="shared" si="1"/>
        <v>x00000064</v>
      </c>
      <c r="C105" t="s">
        <v>4947</v>
      </c>
      <c r="D105" t="s">
        <v>5005</v>
      </c>
      <c r="E105">
        <v>10</v>
      </c>
      <c r="F105" t="str">
        <f>IF(AND(Entities[[#This Row],[ENT_TYPE]]="County",RIGHT(Entities[[#This Row],[ENT_NAME]],6)&lt;&gt;"County"),_xlfn.TEXTJOIN(" ",TRUE,Entities[[#This Row],[ENT_NAME]],"County"),Entities[[#This Row],[ENT_NAME]])</f>
        <v>Lampasas County</v>
      </c>
    </row>
    <row r="106" spans="1:6" x14ac:dyDescent="0.25">
      <c r="A106" s="304" t="s">
        <v>2668</v>
      </c>
      <c r="B106" s="303" t="str">
        <f t="shared" si="1"/>
        <v>x00000065</v>
      </c>
      <c r="C106" t="s">
        <v>4947</v>
      </c>
      <c r="D106" t="s">
        <v>1771</v>
      </c>
      <c r="E106">
        <v>0</v>
      </c>
      <c r="F106" t="str">
        <f>IF(AND(Entities[[#This Row],[ENT_TYPE]]="County",RIGHT(Entities[[#This Row],[ENT_NAME]],6)&lt;&gt;"County"),_xlfn.TEXTJOIN(" ",TRUE,Entities[[#This Row],[ENT_NAME]],"County"),Entities[[#This Row],[ENT_NAME]])</f>
        <v>Trinity County</v>
      </c>
    </row>
    <row r="107" spans="1:6" x14ac:dyDescent="0.25">
      <c r="A107" s="302" t="s">
        <v>2668</v>
      </c>
      <c r="B107" s="303" t="str">
        <f t="shared" si="1"/>
        <v>x00000065</v>
      </c>
      <c r="C107" t="s">
        <v>4947</v>
      </c>
      <c r="D107" t="s">
        <v>1771</v>
      </c>
      <c r="E107">
        <v>3</v>
      </c>
      <c r="F107" t="str">
        <f>IF(AND(Entities[[#This Row],[ENT_TYPE]]="County",RIGHT(Entities[[#This Row],[ENT_NAME]],6)&lt;&gt;"County"),_xlfn.TEXTJOIN(" ",TRUE,Entities[[#This Row],[ENT_NAME]],"County"),Entities[[#This Row],[ENT_NAME]])</f>
        <v>Trinity County</v>
      </c>
    </row>
    <row r="108" spans="1:6" x14ac:dyDescent="0.25">
      <c r="A108" s="304" t="s">
        <v>5006</v>
      </c>
      <c r="B108" s="303" t="str">
        <f t="shared" si="1"/>
        <v>x00000073</v>
      </c>
      <c r="C108" t="s">
        <v>4947</v>
      </c>
      <c r="D108" t="s">
        <v>5007</v>
      </c>
      <c r="E108">
        <v>15</v>
      </c>
      <c r="F108" t="str">
        <f>IF(AND(Entities[[#This Row],[ENT_TYPE]]="County",RIGHT(Entities[[#This Row],[ENT_NAME]],6)&lt;&gt;"County"),_xlfn.TEXTJOIN(" ",TRUE,Entities[[#This Row],[ENT_NAME]],"County"),Entities[[#This Row],[ENT_NAME]])</f>
        <v>Brooks County</v>
      </c>
    </row>
    <row r="109" spans="1:6" x14ac:dyDescent="0.25">
      <c r="A109" s="302" t="s">
        <v>5006</v>
      </c>
      <c r="B109" s="303" t="str">
        <f t="shared" si="1"/>
        <v>x00000073</v>
      </c>
      <c r="C109" t="s">
        <v>4947</v>
      </c>
      <c r="D109" t="s">
        <v>5007</v>
      </c>
      <c r="E109">
        <v>13</v>
      </c>
      <c r="F109" t="str">
        <f>IF(AND(Entities[[#This Row],[ENT_TYPE]]="County",RIGHT(Entities[[#This Row],[ENT_NAME]],6)&lt;&gt;"County"),_xlfn.TEXTJOIN(" ",TRUE,Entities[[#This Row],[ENT_NAME]],"County"),Entities[[#This Row],[ENT_NAME]])</f>
        <v>Brooks County</v>
      </c>
    </row>
    <row r="110" spans="1:6" x14ac:dyDescent="0.25">
      <c r="A110" s="302" t="s">
        <v>5008</v>
      </c>
      <c r="B110" s="303" t="str">
        <f t="shared" si="1"/>
        <v>x00000074</v>
      </c>
      <c r="C110" t="s">
        <v>4947</v>
      </c>
      <c r="D110" t="s">
        <v>5009</v>
      </c>
      <c r="E110">
        <v>15</v>
      </c>
      <c r="F110" t="str">
        <f>IF(AND(Entities[[#This Row],[ENT_TYPE]]="County",RIGHT(Entities[[#This Row],[ENT_NAME]],6)&lt;&gt;"County"),_xlfn.TEXTJOIN(" ",TRUE,Entities[[#This Row],[ENT_NAME]],"County"),Entities[[#This Row],[ENT_NAME]])</f>
        <v>Kenedy County</v>
      </c>
    </row>
    <row r="111" spans="1:6" x14ac:dyDescent="0.25">
      <c r="A111" s="304" t="s">
        <v>5008</v>
      </c>
      <c r="B111" s="303" t="str">
        <f t="shared" si="1"/>
        <v>x00000074</v>
      </c>
      <c r="C111" t="s">
        <v>4947</v>
      </c>
      <c r="D111" t="s">
        <v>5009</v>
      </c>
      <c r="E111">
        <v>13</v>
      </c>
      <c r="F111" t="str">
        <f>IF(AND(Entities[[#This Row],[ENT_TYPE]]="County",RIGHT(Entities[[#This Row],[ENT_NAME]],6)&lt;&gt;"County"),_xlfn.TEXTJOIN(" ",TRUE,Entities[[#This Row],[ENT_NAME]],"County"),Entities[[#This Row],[ENT_NAME]])</f>
        <v>Kenedy County</v>
      </c>
    </row>
    <row r="112" spans="1:6" x14ac:dyDescent="0.25">
      <c r="A112" s="302" t="s">
        <v>5010</v>
      </c>
      <c r="B112" s="303" t="str">
        <f t="shared" si="1"/>
        <v>x00000076</v>
      </c>
      <c r="C112" t="s">
        <v>4947</v>
      </c>
      <c r="D112" t="s">
        <v>5011</v>
      </c>
      <c r="E112">
        <v>15</v>
      </c>
      <c r="F112" t="str">
        <f>IF(AND(Entities[[#This Row],[ENT_TYPE]]="County",RIGHT(Entities[[#This Row],[ENT_NAME]],6)&lt;&gt;"County"),_xlfn.TEXTJOIN(" ",TRUE,Entities[[#This Row],[ENT_NAME]],"County"),Entities[[#This Row],[ENT_NAME]])</f>
        <v>Jim Hogg County</v>
      </c>
    </row>
    <row r="113" spans="1:6" x14ac:dyDescent="0.25">
      <c r="A113" s="302" t="s">
        <v>5010</v>
      </c>
      <c r="B113" s="303" t="str">
        <f t="shared" si="1"/>
        <v>x00000076</v>
      </c>
      <c r="C113" t="s">
        <v>4947</v>
      </c>
      <c r="D113" t="s">
        <v>5011</v>
      </c>
      <c r="E113">
        <v>13</v>
      </c>
      <c r="F113" t="str">
        <f>IF(AND(Entities[[#This Row],[ENT_TYPE]]="County",RIGHT(Entities[[#This Row],[ENT_NAME]],6)&lt;&gt;"County"),_xlfn.TEXTJOIN(" ",TRUE,Entities[[#This Row],[ENT_NAME]],"County"),Entities[[#This Row],[ENT_NAME]])</f>
        <v>Jim Hogg County</v>
      </c>
    </row>
    <row r="114" spans="1:6" x14ac:dyDescent="0.25">
      <c r="A114" s="304" t="s">
        <v>5012</v>
      </c>
      <c r="B114" s="303" t="str">
        <f t="shared" si="1"/>
        <v>x00000082</v>
      </c>
      <c r="C114" t="s">
        <v>4947</v>
      </c>
      <c r="D114" t="s">
        <v>5013</v>
      </c>
      <c r="E114">
        <v>15</v>
      </c>
      <c r="F114" t="str">
        <f>IF(AND(Entities[[#This Row],[ENT_TYPE]]="County",RIGHT(Entities[[#This Row],[ENT_NAME]],6)&lt;&gt;"County"),_xlfn.TEXTJOIN(" ",TRUE,Entities[[#This Row],[ENT_NAME]],"County"),Entities[[#This Row],[ENT_NAME]])</f>
        <v>Webb County</v>
      </c>
    </row>
    <row r="115" spans="1:6" x14ac:dyDescent="0.25">
      <c r="A115" s="302" t="s">
        <v>5012</v>
      </c>
      <c r="B115" s="303" t="str">
        <f t="shared" si="1"/>
        <v>x00000082</v>
      </c>
      <c r="C115" t="s">
        <v>4947</v>
      </c>
      <c r="D115" t="s">
        <v>5013</v>
      </c>
      <c r="E115">
        <v>13</v>
      </c>
      <c r="F115" t="str">
        <f>IF(AND(Entities[[#This Row],[ENT_TYPE]]="County",RIGHT(Entities[[#This Row],[ENT_NAME]],6)&lt;&gt;"County"),_xlfn.TEXTJOIN(" ",TRUE,Entities[[#This Row],[ENT_NAME]],"County"),Entities[[#This Row],[ENT_NAME]])</f>
        <v>Webb County</v>
      </c>
    </row>
    <row r="116" spans="1:6" x14ac:dyDescent="0.25">
      <c r="A116" s="304" t="s">
        <v>3688</v>
      </c>
      <c r="B116" s="303" t="str">
        <f t="shared" si="1"/>
        <v>x00000083</v>
      </c>
      <c r="C116" t="s">
        <v>4947</v>
      </c>
      <c r="D116" t="s">
        <v>3781</v>
      </c>
      <c r="E116">
        <v>13</v>
      </c>
      <c r="F116" t="str">
        <f>IF(AND(Entities[[#This Row],[ENT_TYPE]]="County",RIGHT(Entities[[#This Row],[ENT_NAME]],6)&lt;&gt;"County"),_xlfn.TEXTJOIN(" ",TRUE,Entities[[#This Row],[ENT_NAME]],"County"),Entities[[#This Row],[ENT_NAME]])</f>
        <v>Aransas County</v>
      </c>
    </row>
    <row r="117" spans="1:6" x14ac:dyDescent="0.25">
      <c r="A117" s="302" t="s">
        <v>3688</v>
      </c>
      <c r="B117" s="303" t="str">
        <f t="shared" si="1"/>
        <v>x00000083</v>
      </c>
      <c r="C117" t="s">
        <v>4947</v>
      </c>
      <c r="D117" t="s">
        <v>3781</v>
      </c>
      <c r="E117">
        <v>12</v>
      </c>
      <c r="F117" t="str">
        <f>IF(AND(Entities[[#This Row],[ENT_TYPE]]="County",RIGHT(Entities[[#This Row],[ENT_NAME]],6)&lt;&gt;"County"),_xlfn.TEXTJOIN(" ",TRUE,Entities[[#This Row],[ENT_NAME]],"County"),Entities[[#This Row],[ENT_NAME]])</f>
        <v>Aransas County</v>
      </c>
    </row>
    <row r="118" spans="1:6" x14ac:dyDescent="0.25">
      <c r="A118" s="302" t="s">
        <v>5014</v>
      </c>
      <c r="B118" s="303" t="str">
        <f t="shared" si="1"/>
        <v>x00000084</v>
      </c>
      <c r="C118" t="s">
        <v>4947</v>
      </c>
      <c r="D118" t="s">
        <v>5015</v>
      </c>
      <c r="E118">
        <v>13</v>
      </c>
      <c r="F118" t="str">
        <f>IF(AND(Entities[[#This Row],[ENT_TYPE]]="County",RIGHT(Entities[[#This Row],[ENT_NAME]],6)&lt;&gt;"County"),_xlfn.TEXTJOIN(" ",TRUE,Entities[[#This Row],[ENT_NAME]],"County"),Entities[[#This Row],[ENT_NAME]])</f>
        <v>Refugio County</v>
      </c>
    </row>
    <row r="119" spans="1:6" x14ac:dyDescent="0.25">
      <c r="A119" s="302" t="s">
        <v>5014</v>
      </c>
      <c r="B119" s="303" t="str">
        <f t="shared" si="1"/>
        <v>x00000084</v>
      </c>
      <c r="C119" t="s">
        <v>4947</v>
      </c>
      <c r="D119" t="s">
        <v>5015</v>
      </c>
      <c r="E119">
        <v>11</v>
      </c>
      <c r="F119" t="str">
        <f>IF(AND(Entities[[#This Row],[ENT_TYPE]]="County",RIGHT(Entities[[#This Row],[ENT_NAME]],6)&lt;&gt;"County"),_xlfn.TEXTJOIN(" ",TRUE,Entities[[#This Row],[ENT_NAME]],"County"),Entities[[#This Row],[ENT_NAME]])</f>
        <v>Refugio County</v>
      </c>
    </row>
    <row r="120" spans="1:6" x14ac:dyDescent="0.25">
      <c r="A120" s="302" t="s">
        <v>5014</v>
      </c>
      <c r="B120" s="303" t="str">
        <f t="shared" si="1"/>
        <v>x00000084</v>
      </c>
      <c r="C120" t="s">
        <v>4947</v>
      </c>
      <c r="D120" t="s">
        <v>5015</v>
      </c>
      <c r="E120">
        <v>12</v>
      </c>
      <c r="F120" t="str">
        <f>IF(AND(Entities[[#This Row],[ENT_TYPE]]="County",RIGHT(Entities[[#This Row],[ENT_NAME]],6)&lt;&gt;"County"),_xlfn.TEXTJOIN(" ",TRUE,Entities[[#This Row],[ENT_NAME]],"County"),Entities[[#This Row],[ENT_NAME]])</f>
        <v>Refugio County</v>
      </c>
    </row>
    <row r="121" spans="1:6" x14ac:dyDescent="0.25">
      <c r="A121" s="302" t="s">
        <v>5016</v>
      </c>
      <c r="B121" s="303" t="str">
        <f t="shared" si="1"/>
        <v>x00000088</v>
      </c>
      <c r="C121" t="s">
        <v>4947</v>
      </c>
      <c r="D121" t="s">
        <v>5017</v>
      </c>
      <c r="E121">
        <v>10</v>
      </c>
      <c r="F121" t="str">
        <f>IF(AND(Entities[[#This Row],[ENT_TYPE]]="County",RIGHT(Entities[[#This Row],[ENT_NAME]],6)&lt;&gt;"County"),_xlfn.TEXTJOIN(" ",TRUE,Entities[[#This Row],[ENT_NAME]],"County"),Entities[[#This Row],[ENT_NAME]])</f>
        <v>Calhoun County</v>
      </c>
    </row>
    <row r="122" spans="1:6" x14ac:dyDescent="0.25">
      <c r="A122" s="304" t="s">
        <v>5016</v>
      </c>
      <c r="B122" s="303" t="str">
        <f t="shared" si="1"/>
        <v>x00000088</v>
      </c>
      <c r="C122" t="s">
        <v>4947</v>
      </c>
      <c r="D122" t="s">
        <v>5017</v>
      </c>
      <c r="E122">
        <v>11</v>
      </c>
      <c r="F122" t="str">
        <f>IF(AND(Entities[[#This Row],[ENT_TYPE]]="County",RIGHT(Entities[[#This Row],[ENT_NAME]],6)&lt;&gt;"County"),_xlfn.TEXTJOIN(" ",TRUE,Entities[[#This Row],[ENT_NAME]],"County"),Entities[[#This Row],[ENT_NAME]])</f>
        <v>Calhoun County</v>
      </c>
    </row>
    <row r="123" spans="1:6" x14ac:dyDescent="0.25">
      <c r="A123" s="302" t="s">
        <v>5016</v>
      </c>
      <c r="B123" s="303" t="str">
        <f t="shared" si="1"/>
        <v>x00000088</v>
      </c>
      <c r="C123" t="s">
        <v>4947</v>
      </c>
      <c r="D123" t="s">
        <v>5017</v>
      </c>
      <c r="E123">
        <v>12</v>
      </c>
      <c r="F123" t="str">
        <f>IF(AND(Entities[[#This Row],[ENT_TYPE]]="County",RIGHT(Entities[[#This Row],[ENT_NAME]],6)&lt;&gt;"County"),_xlfn.TEXTJOIN(" ",TRUE,Entities[[#This Row],[ENT_NAME]],"County"),Entities[[#This Row],[ENT_NAME]])</f>
        <v>Calhoun County</v>
      </c>
    </row>
    <row r="124" spans="1:6" x14ac:dyDescent="0.25">
      <c r="A124" s="304" t="s">
        <v>5018</v>
      </c>
      <c r="B124" s="303" t="str">
        <f t="shared" si="1"/>
        <v>x00000090</v>
      </c>
      <c r="C124" t="s">
        <v>4947</v>
      </c>
      <c r="D124" t="s">
        <v>5019</v>
      </c>
      <c r="E124">
        <v>13</v>
      </c>
      <c r="F124" t="str">
        <f>IF(AND(Entities[[#This Row],[ENT_TYPE]]="County",RIGHT(Entities[[#This Row],[ENT_NAME]],6)&lt;&gt;"County"),_xlfn.TEXTJOIN(" ",TRUE,Entities[[#This Row],[ENT_NAME]],"County"),Entities[[#This Row],[ENT_NAME]])</f>
        <v>Goliad County</v>
      </c>
    </row>
    <row r="125" spans="1:6" x14ac:dyDescent="0.25">
      <c r="A125" s="302" t="s">
        <v>5018</v>
      </c>
      <c r="B125" s="303" t="str">
        <f t="shared" si="1"/>
        <v>x00000090</v>
      </c>
      <c r="C125" t="s">
        <v>4947</v>
      </c>
      <c r="D125" t="s">
        <v>5019</v>
      </c>
      <c r="E125">
        <v>11</v>
      </c>
      <c r="F125" t="str">
        <f>IF(AND(Entities[[#This Row],[ENT_TYPE]]="County",RIGHT(Entities[[#This Row],[ENT_NAME]],6)&lt;&gt;"County"),_xlfn.TEXTJOIN(" ",TRUE,Entities[[#This Row],[ENT_NAME]],"County"),Entities[[#This Row],[ENT_NAME]])</f>
        <v>Goliad County</v>
      </c>
    </row>
    <row r="126" spans="1:6" x14ac:dyDescent="0.25">
      <c r="A126" s="302" t="s">
        <v>5018</v>
      </c>
      <c r="B126" s="303" t="str">
        <f t="shared" si="1"/>
        <v>x00000090</v>
      </c>
      <c r="C126" t="s">
        <v>4947</v>
      </c>
      <c r="D126" t="s">
        <v>5019</v>
      </c>
      <c r="E126">
        <v>12</v>
      </c>
      <c r="F126" t="str">
        <f>IF(AND(Entities[[#This Row],[ENT_TYPE]]="County",RIGHT(Entities[[#This Row],[ENT_NAME]],6)&lt;&gt;"County"),_xlfn.TEXTJOIN(" ",TRUE,Entities[[#This Row],[ENT_NAME]],"County"),Entities[[#This Row],[ENT_NAME]])</f>
        <v>Goliad County</v>
      </c>
    </row>
    <row r="127" spans="1:6" x14ac:dyDescent="0.25">
      <c r="A127" s="302" t="s">
        <v>5020</v>
      </c>
      <c r="B127" s="303" t="str">
        <f t="shared" si="1"/>
        <v>x00000091</v>
      </c>
      <c r="C127" t="s">
        <v>4947</v>
      </c>
      <c r="D127" t="s">
        <v>5021</v>
      </c>
      <c r="E127">
        <v>15</v>
      </c>
      <c r="F127" t="str">
        <f>IF(AND(Entities[[#This Row],[ENT_TYPE]]="County",RIGHT(Entities[[#This Row],[ENT_NAME]],6)&lt;&gt;"County"),_xlfn.TEXTJOIN(" ",TRUE,Entities[[#This Row],[ENT_NAME]],"County"),Entities[[#This Row],[ENT_NAME]])</f>
        <v>Maverick County</v>
      </c>
    </row>
    <row r="128" spans="1:6" x14ac:dyDescent="0.25">
      <c r="A128" s="302" t="s">
        <v>5020</v>
      </c>
      <c r="B128" s="303" t="str">
        <f t="shared" si="1"/>
        <v>x00000091</v>
      </c>
      <c r="C128" t="s">
        <v>4947</v>
      </c>
      <c r="D128" t="s">
        <v>5021</v>
      </c>
      <c r="E128">
        <v>13</v>
      </c>
      <c r="F128" t="str">
        <f>IF(AND(Entities[[#This Row],[ENT_TYPE]]="County",RIGHT(Entities[[#This Row],[ENT_NAME]],6)&lt;&gt;"County"),_xlfn.TEXTJOIN(" ",TRUE,Entities[[#This Row],[ENT_NAME]],"County"),Entities[[#This Row],[ENT_NAME]])</f>
        <v>Maverick County</v>
      </c>
    </row>
    <row r="129" spans="1:6" x14ac:dyDescent="0.25">
      <c r="A129" s="304" t="s">
        <v>5022</v>
      </c>
      <c r="B129" s="303" t="str">
        <f t="shared" si="1"/>
        <v>x00000094</v>
      </c>
      <c r="C129" t="s">
        <v>4947</v>
      </c>
      <c r="D129" t="s">
        <v>5023</v>
      </c>
      <c r="E129">
        <v>10</v>
      </c>
      <c r="F129" t="str">
        <f>IF(AND(Entities[[#This Row],[ENT_TYPE]]="County",RIGHT(Entities[[#This Row],[ENT_NAME]],6)&lt;&gt;"County"),_xlfn.TEXTJOIN(" ",TRUE,Entities[[#This Row],[ENT_NAME]],"County"),Entities[[#This Row],[ENT_NAME]])</f>
        <v>Victoria County</v>
      </c>
    </row>
    <row r="130" spans="1:6" x14ac:dyDescent="0.25">
      <c r="A130" s="304" t="s">
        <v>5022</v>
      </c>
      <c r="B130" s="303" t="str">
        <f t="shared" ref="B130:B193" si="2">_xlfn.CONCAT("x",TEXT(A130,"00000000"))</f>
        <v>x00000094</v>
      </c>
      <c r="C130" t="s">
        <v>4947</v>
      </c>
      <c r="D130" t="s">
        <v>5023</v>
      </c>
      <c r="E130">
        <v>11</v>
      </c>
      <c r="F130" t="str">
        <f>IF(AND(Entities[[#This Row],[ENT_TYPE]]="County",RIGHT(Entities[[#This Row],[ENT_NAME]],6)&lt;&gt;"County"),_xlfn.TEXTJOIN(" ",TRUE,Entities[[#This Row],[ENT_NAME]],"County"),Entities[[#This Row],[ENT_NAME]])</f>
        <v>Victoria County</v>
      </c>
    </row>
    <row r="131" spans="1:6" x14ac:dyDescent="0.25">
      <c r="A131" s="302" t="s">
        <v>5022</v>
      </c>
      <c r="B131" s="303" t="str">
        <f t="shared" si="2"/>
        <v>x00000094</v>
      </c>
      <c r="C131" t="s">
        <v>4947</v>
      </c>
      <c r="D131" t="s">
        <v>5023</v>
      </c>
      <c r="E131">
        <v>12</v>
      </c>
      <c r="F131" t="str">
        <f>IF(AND(Entities[[#This Row],[ENT_TYPE]]="County",RIGHT(Entities[[#This Row],[ENT_NAME]],6)&lt;&gt;"County"),_xlfn.TEXTJOIN(" ",TRUE,Entities[[#This Row],[ENT_NAME]],"County"),Entities[[#This Row],[ENT_NAME]])</f>
        <v>Victoria County</v>
      </c>
    </row>
    <row r="132" spans="1:6" x14ac:dyDescent="0.25">
      <c r="A132" s="304" t="s">
        <v>3520</v>
      </c>
      <c r="B132" s="303" t="str">
        <f t="shared" si="2"/>
        <v>x00000095</v>
      </c>
      <c r="C132" t="s">
        <v>4947</v>
      </c>
      <c r="D132" t="s">
        <v>3436</v>
      </c>
      <c r="E132">
        <v>13</v>
      </c>
      <c r="F132" t="str">
        <f>IF(AND(Entities[[#This Row],[ENT_TYPE]]="County",RIGHT(Entities[[#This Row],[ENT_NAME]],6)&lt;&gt;"County"),_xlfn.TEXTJOIN(" ",TRUE,Entities[[#This Row],[ENT_NAME]],"County"),Entities[[#This Row],[ENT_NAME]])</f>
        <v>Karnes County</v>
      </c>
    </row>
    <row r="133" spans="1:6" x14ac:dyDescent="0.25">
      <c r="A133" s="302" t="s">
        <v>3520</v>
      </c>
      <c r="B133" s="303" t="str">
        <f t="shared" si="2"/>
        <v>x00000095</v>
      </c>
      <c r="C133" t="s">
        <v>4947</v>
      </c>
      <c r="D133" t="s">
        <v>3436</v>
      </c>
      <c r="E133">
        <v>11</v>
      </c>
      <c r="F133" t="str">
        <f>IF(AND(Entities[[#This Row],[ENT_TYPE]]="County",RIGHT(Entities[[#This Row],[ENT_NAME]],6)&lt;&gt;"County"),_xlfn.TEXTJOIN(" ",TRUE,Entities[[#This Row],[ENT_NAME]],"County"),Entities[[#This Row],[ENT_NAME]])</f>
        <v>Karnes County</v>
      </c>
    </row>
    <row r="134" spans="1:6" x14ac:dyDescent="0.25">
      <c r="A134" s="302" t="s">
        <v>3520</v>
      </c>
      <c r="B134" s="303" t="str">
        <f t="shared" si="2"/>
        <v>x00000095</v>
      </c>
      <c r="C134" t="s">
        <v>4947</v>
      </c>
      <c r="D134" t="s">
        <v>3436</v>
      </c>
      <c r="E134">
        <v>12</v>
      </c>
      <c r="F134" t="str">
        <f>IF(AND(Entities[[#This Row],[ENT_TYPE]]="County",RIGHT(Entities[[#This Row],[ENT_NAME]],6)&lt;&gt;"County"),_xlfn.TEXTJOIN(" ",TRUE,Entities[[#This Row],[ENT_NAME]],"County"),Entities[[#This Row],[ENT_NAME]])</f>
        <v>Karnes County</v>
      </c>
    </row>
    <row r="135" spans="1:6" x14ac:dyDescent="0.25">
      <c r="A135" s="302" t="s">
        <v>3599</v>
      </c>
      <c r="B135" s="303" t="str">
        <f t="shared" si="2"/>
        <v>x00000096</v>
      </c>
      <c r="C135" t="s">
        <v>4947</v>
      </c>
      <c r="D135" t="s">
        <v>3612</v>
      </c>
      <c r="E135">
        <v>13</v>
      </c>
      <c r="F135" t="str">
        <f>IF(AND(Entities[[#This Row],[ENT_TYPE]]="County",RIGHT(Entities[[#This Row],[ENT_NAME]],6)&lt;&gt;"County"),_xlfn.TEXTJOIN(" ",TRUE,Entities[[#This Row],[ENT_NAME]],"County"),Entities[[#This Row],[ENT_NAME]])</f>
        <v>Atascosa County</v>
      </c>
    </row>
    <row r="136" spans="1:6" x14ac:dyDescent="0.25">
      <c r="A136" s="302" t="s">
        <v>3599</v>
      </c>
      <c r="B136" s="303" t="str">
        <f t="shared" si="2"/>
        <v>x00000096</v>
      </c>
      <c r="C136" t="s">
        <v>4947</v>
      </c>
      <c r="D136" t="s">
        <v>3612</v>
      </c>
      <c r="E136">
        <v>12</v>
      </c>
      <c r="F136" t="str">
        <f>IF(AND(Entities[[#This Row],[ENT_TYPE]]="County",RIGHT(Entities[[#This Row],[ENT_NAME]],6)&lt;&gt;"County"),_xlfn.TEXTJOIN(" ",TRUE,Entities[[#This Row],[ENT_NAME]],"County"),Entities[[#This Row],[ENT_NAME]])</f>
        <v>Atascosa County</v>
      </c>
    </row>
    <row r="137" spans="1:6" x14ac:dyDescent="0.25">
      <c r="A137" s="302" t="s">
        <v>5024</v>
      </c>
      <c r="B137" s="303" t="str">
        <f t="shared" si="2"/>
        <v>x00000099</v>
      </c>
      <c r="C137" t="s">
        <v>4947</v>
      </c>
      <c r="D137" t="s">
        <v>5025</v>
      </c>
      <c r="E137">
        <v>10</v>
      </c>
      <c r="F137" t="str">
        <f>IF(AND(Entities[[#This Row],[ENT_TYPE]]="County",RIGHT(Entities[[#This Row],[ENT_NAME]],6)&lt;&gt;"County"),_xlfn.TEXTJOIN(" ",TRUE,Entities[[#This Row],[ENT_NAME]],"County"),Entities[[#This Row],[ENT_NAME]])</f>
        <v>De Witt County</v>
      </c>
    </row>
    <row r="138" spans="1:6" x14ac:dyDescent="0.25">
      <c r="A138" s="304" t="s">
        <v>5024</v>
      </c>
      <c r="B138" s="303" t="str">
        <f t="shared" si="2"/>
        <v>x00000099</v>
      </c>
      <c r="C138" t="s">
        <v>4947</v>
      </c>
      <c r="D138" t="s">
        <v>5025</v>
      </c>
      <c r="E138">
        <v>11</v>
      </c>
      <c r="F138" t="str">
        <f>IF(AND(Entities[[#This Row],[ENT_TYPE]]="County",RIGHT(Entities[[#This Row],[ENT_NAME]],6)&lt;&gt;"County"),_xlfn.TEXTJOIN(" ",TRUE,Entities[[#This Row],[ENT_NAME]],"County"),Entities[[#This Row],[ENT_NAME]])</f>
        <v>De Witt County</v>
      </c>
    </row>
    <row r="139" spans="1:6" x14ac:dyDescent="0.25">
      <c r="A139" s="302" t="s">
        <v>5024</v>
      </c>
      <c r="B139" s="303" t="str">
        <f t="shared" si="2"/>
        <v>x00000099</v>
      </c>
      <c r="C139" t="s">
        <v>4947</v>
      </c>
      <c r="D139" t="s">
        <v>5025</v>
      </c>
      <c r="E139">
        <v>12</v>
      </c>
      <c r="F139" t="str">
        <f>IF(AND(Entities[[#This Row],[ENT_TYPE]]="County",RIGHT(Entities[[#This Row],[ENT_NAME]],6)&lt;&gt;"County"),_xlfn.TEXTJOIN(" ",TRUE,Entities[[#This Row],[ENT_NAME]],"County"),Entities[[#This Row],[ENT_NAME]])</f>
        <v>De Witt County</v>
      </c>
    </row>
    <row r="140" spans="1:6" x14ac:dyDescent="0.25">
      <c r="A140" s="304" t="s">
        <v>5026</v>
      </c>
      <c r="B140" s="303" t="str">
        <f t="shared" si="2"/>
        <v>x00000100</v>
      </c>
      <c r="C140" t="s">
        <v>4947</v>
      </c>
      <c r="D140" t="s">
        <v>3473</v>
      </c>
      <c r="E140">
        <v>13</v>
      </c>
      <c r="F140" t="str">
        <f>IF(AND(Entities[[#This Row],[ENT_TYPE]]="County",RIGHT(Entities[[#This Row],[ENT_NAME]],6)&lt;&gt;"County"),_xlfn.TEXTJOIN(" ",TRUE,Entities[[#This Row],[ENT_NAME]],"County"),Entities[[#This Row],[ENT_NAME]])</f>
        <v>Wilson County</v>
      </c>
    </row>
    <row r="141" spans="1:6" x14ac:dyDescent="0.25">
      <c r="A141" s="302" t="s">
        <v>5026</v>
      </c>
      <c r="B141" s="303" t="str">
        <f t="shared" si="2"/>
        <v>x00000100</v>
      </c>
      <c r="C141" t="s">
        <v>4947</v>
      </c>
      <c r="D141" t="s">
        <v>3473</v>
      </c>
      <c r="E141">
        <v>11</v>
      </c>
      <c r="F141" t="str">
        <f>IF(AND(Entities[[#This Row],[ENT_TYPE]]="County",RIGHT(Entities[[#This Row],[ENT_NAME]],6)&lt;&gt;"County"),_xlfn.TEXTJOIN(" ",TRUE,Entities[[#This Row],[ENT_NAME]],"County"),Entities[[#This Row],[ENT_NAME]])</f>
        <v>Wilson County</v>
      </c>
    </row>
    <row r="142" spans="1:6" x14ac:dyDescent="0.25">
      <c r="A142" s="302" t="s">
        <v>5026</v>
      </c>
      <c r="B142" s="303" t="str">
        <f t="shared" si="2"/>
        <v>x00000100</v>
      </c>
      <c r="C142" t="s">
        <v>4947</v>
      </c>
      <c r="D142" t="s">
        <v>3473</v>
      </c>
      <c r="E142">
        <v>12</v>
      </c>
      <c r="F142" t="str">
        <f>IF(AND(Entities[[#This Row],[ENT_TYPE]]="County",RIGHT(Entities[[#This Row],[ENT_NAME]],6)&lt;&gt;"County"),_xlfn.TEXTJOIN(" ",TRUE,Entities[[#This Row],[ENT_NAME]],"County"),Entities[[#This Row],[ENT_NAME]])</f>
        <v>Wilson County</v>
      </c>
    </row>
    <row r="143" spans="1:6" x14ac:dyDescent="0.25">
      <c r="A143" s="304" t="s">
        <v>5027</v>
      </c>
      <c r="B143" s="303" t="str">
        <f t="shared" si="2"/>
        <v>x00000101</v>
      </c>
      <c r="C143" t="s">
        <v>4947</v>
      </c>
      <c r="D143" t="s">
        <v>5028</v>
      </c>
      <c r="E143">
        <v>15</v>
      </c>
      <c r="F143" t="str">
        <f>IF(AND(Entities[[#This Row],[ENT_TYPE]]="County",RIGHT(Entities[[#This Row],[ENT_NAME]],6)&lt;&gt;"County"),_xlfn.TEXTJOIN(" ",TRUE,Entities[[#This Row],[ENT_NAME]],"County"),Entities[[#This Row],[ENT_NAME]])</f>
        <v>Kinney County</v>
      </c>
    </row>
    <row r="144" spans="1:6" x14ac:dyDescent="0.25">
      <c r="A144" s="302" t="s">
        <v>5027</v>
      </c>
      <c r="B144" s="303" t="str">
        <f t="shared" si="2"/>
        <v>x00000101</v>
      </c>
      <c r="C144" t="s">
        <v>4947</v>
      </c>
      <c r="D144" t="s">
        <v>5028</v>
      </c>
      <c r="E144">
        <v>13</v>
      </c>
      <c r="F144" t="str">
        <f>IF(AND(Entities[[#This Row],[ENT_TYPE]]="County",RIGHT(Entities[[#This Row],[ENT_NAME]],6)&lt;&gt;"County"),_xlfn.TEXTJOIN(" ",TRUE,Entities[[#This Row],[ENT_NAME]],"County"),Entities[[#This Row],[ENT_NAME]])</f>
        <v>Kinney County</v>
      </c>
    </row>
    <row r="145" spans="1:6" x14ac:dyDescent="0.25">
      <c r="A145" s="302" t="s">
        <v>508</v>
      </c>
      <c r="B145" s="303" t="str">
        <f t="shared" si="2"/>
        <v>x00000102</v>
      </c>
      <c r="C145" t="s">
        <v>4947</v>
      </c>
      <c r="D145" t="s">
        <v>5029</v>
      </c>
      <c r="E145">
        <v>14</v>
      </c>
      <c r="F145" t="str">
        <f>IF(AND(Entities[[#This Row],[ENT_TYPE]]="County",RIGHT(Entities[[#This Row],[ENT_NAME]],6)&lt;&gt;"County"),_xlfn.TEXTJOIN(" ",TRUE,Entities[[#This Row],[ENT_NAME]],"County"),Entities[[#This Row],[ENT_NAME]])</f>
        <v>Andrews County</v>
      </c>
    </row>
    <row r="146" spans="1:6" x14ac:dyDescent="0.25">
      <c r="A146" s="302" t="s">
        <v>508</v>
      </c>
      <c r="B146" s="303" t="str">
        <f t="shared" si="2"/>
        <v>x00000102</v>
      </c>
      <c r="C146" t="s">
        <v>4947</v>
      </c>
      <c r="D146" t="s">
        <v>504</v>
      </c>
      <c r="E146">
        <v>0</v>
      </c>
      <c r="F146" t="str">
        <f>IF(AND(Entities[[#This Row],[ENT_TYPE]]="County",RIGHT(Entities[[#This Row],[ENT_NAME]],6)&lt;&gt;"County"),_xlfn.TEXTJOIN(" ",TRUE,Entities[[#This Row],[ENT_NAME]],"County"),Entities[[#This Row],[ENT_NAME]])</f>
        <v>Andrews County</v>
      </c>
    </row>
    <row r="147" spans="1:6" x14ac:dyDescent="0.25">
      <c r="A147" s="302" t="s">
        <v>5030</v>
      </c>
      <c r="B147" s="303" t="str">
        <f t="shared" si="2"/>
        <v>x00000103</v>
      </c>
      <c r="C147" t="s">
        <v>4947</v>
      </c>
      <c r="D147" t="s">
        <v>5031</v>
      </c>
      <c r="E147">
        <v>8</v>
      </c>
      <c r="F147" t="str">
        <f>IF(AND(Entities[[#This Row],[ENT_TYPE]]="County",RIGHT(Entities[[#This Row],[ENT_NAME]],6)&lt;&gt;"County"),_xlfn.TEXTJOIN(" ",TRUE,Entities[[#This Row],[ENT_NAME]],"County"),Entities[[#This Row],[ENT_NAME]])</f>
        <v>Hood County</v>
      </c>
    </row>
    <row r="148" spans="1:6" x14ac:dyDescent="0.25">
      <c r="A148" s="302" t="s">
        <v>5030</v>
      </c>
      <c r="B148" s="303" t="str">
        <f t="shared" si="2"/>
        <v>x00000103</v>
      </c>
      <c r="C148" t="s">
        <v>4947</v>
      </c>
      <c r="D148" t="s">
        <v>5031</v>
      </c>
      <c r="E148">
        <v>3</v>
      </c>
      <c r="F148" t="str">
        <f>IF(AND(Entities[[#This Row],[ENT_TYPE]]="County",RIGHT(Entities[[#This Row],[ENT_NAME]],6)&lt;&gt;"County"),_xlfn.TEXTJOIN(" ",TRUE,Entities[[#This Row],[ENT_NAME]],"County"),Entities[[#This Row],[ENT_NAME]])</f>
        <v>Hood County</v>
      </c>
    </row>
    <row r="149" spans="1:6" x14ac:dyDescent="0.25">
      <c r="A149" s="304" t="s">
        <v>2208</v>
      </c>
      <c r="B149" s="303" t="str">
        <f t="shared" si="2"/>
        <v>x00000104</v>
      </c>
      <c r="C149" t="s">
        <v>4947</v>
      </c>
      <c r="D149" t="s">
        <v>2337</v>
      </c>
      <c r="E149">
        <v>8</v>
      </c>
      <c r="F149" t="str">
        <f>IF(AND(Entities[[#This Row],[ENT_TYPE]]="County",RIGHT(Entities[[#This Row],[ENT_NAME]],6)&lt;&gt;"County"),_xlfn.TEXTJOIN(" ",TRUE,Entities[[#This Row],[ENT_NAME]],"County"),Entities[[#This Row],[ENT_NAME]])</f>
        <v>Johnson County</v>
      </c>
    </row>
    <row r="150" spans="1:6" x14ac:dyDescent="0.25">
      <c r="A150" s="302" t="s">
        <v>2208</v>
      </c>
      <c r="B150" s="303" t="str">
        <f t="shared" si="2"/>
        <v>x00000104</v>
      </c>
      <c r="C150" t="s">
        <v>4947</v>
      </c>
      <c r="D150" t="s">
        <v>2337</v>
      </c>
      <c r="E150">
        <v>3</v>
      </c>
      <c r="F150" t="str">
        <f>IF(AND(Entities[[#This Row],[ENT_TYPE]]="County",RIGHT(Entities[[#This Row],[ENT_NAME]],6)&lt;&gt;"County"),_xlfn.TEXTJOIN(" ",TRUE,Entities[[#This Row],[ENT_NAME]],"County"),Entities[[#This Row],[ENT_NAME]])</f>
        <v>Johnson County</v>
      </c>
    </row>
    <row r="151" spans="1:6" x14ac:dyDescent="0.25">
      <c r="A151" s="304" t="s">
        <v>5032</v>
      </c>
      <c r="B151" s="303" t="str">
        <f t="shared" si="2"/>
        <v>x00000106</v>
      </c>
      <c r="C151" t="s">
        <v>4947</v>
      </c>
      <c r="D151" t="s">
        <v>2553</v>
      </c>
      <c r="E151">
        <v>4</v>
      </c>
      <c r="F151" t="str">
        <f>IF(AND(Entities[[#This Row],[ENT_TYPE]]="County",RIGHT(Entities[[#This Row],[ENT_NAME]],6)&lt;&gt;"County"),_xlfn.TEXTJOIN(" ",TRUE,Entities[[#This Row],[ENT_NAME]],"County"),Entities[[#This Row],[ENT_NAME]])</f>
        <v>Smith County</v>
      </c>
    </row>
    <row r="152" spans="1:6" x14ac:dyDescent="0.25">
      <c r="A152" s="302" t="s">
        <v>5032</v>
      </c>
      <c r="B152" s="303" t="str">
        <f t="shared" si="2"/>
        <v>x00000106</v>
      </c>
      <c r="C152" t="s">
        <v>4947</v>
      </c>
      <c r="D152" t="s">
        <v>2553</v>
      </c>
      <c r="E152">
        <v>0</v>
      </c>
      <c r="F152" t="str">
        <f>IF(AND(Entities[[#This Row],[ENT_TYPE]]="County",RIGHT(Entities[[#This Row],[ENT_NAME]],6)&lt;&gt;"County"),_xlfn.TEXTJOIN(" ",TRUE,Entities[[#This Row],[ENT_NAME]],"County"),Entities[[#This Row],[ENT_NAME]])</f>
        <v>Smith County</v>
      </c>
    </row>
    <row r="153" spans="1:6" x14ac:dyDescent="0.25">
      <c r="A153" s="302" t="s">
        <v>5033</v>
      </c>
      <c r="B153" s="303" t="str">
        <f t="shared" si="2"/>
        <v>x00000107</v>
      </c>
      <c r="C153" t="s">
        <v>4947</v>
      </c>
      <c r="D153" t="s">
        <v>4736</v>
      </c>
      <c r="E153">
        <v>2</v>
      </c>
      <c r="F153" t="str">
        <f>IF(AND(Entities[[#This Row],[ENT_TYPE]]="County",RIGHT(Entities[[#This Row],[ENT_NAME]],6)&lt;&gt;"County"),_xlfn.TEXTJOIN(" ",TRUE,Entities[[#This Row],[ENT_NAME]],"County"),Entities[[#This Row],[ENT_NAME]])</f>
        <v>Gregg County</v>
      </c>
    </row>
    <row r="154" spans="1:6" x14ac:dyDescent="0.25">
      <c r="A154" s="302" t="s">
        <v>5033</v>
      </c>
      <c r="B154" s="303" t="str">
        <f t="shared" si="2"/>
        <v>x00000107</v>
      </c>
      <c r="C154" t="s">
        <v>4947</v>
      </c>
      <c r="D154" t="s">
        <v>4736</v>
      </c>
      <c r="E154">
        <v>4</v>
      </c>
      <c r="F154" t="str">
        <f>IF(AND(Entities[[#This Row],[ENT_TYPE]]="County",RIGHT(Entities[[#This Row],[ENT_NAME]],6)&lt;&gt;"County"),_xlfn.TEXTJOIN(" ",TRUE,Entities[[#This Row],[ENT_NAME]],"County"),Entities[[#This Row],[ENT_NAME]])</f>
        <v>Gregg County</v>
      </c>
    </row>
    <row r="155" spans="1:6" x14ac:dyDescent="0.25">
      <c r="A155" s="304" t="s">
        <v>1845</v>
      </c>
      <c r="B155" s="303" t="str">
        <f t="shared" si="2"/>
        <v>x00000108</v>
      </c>
      <c r="C155" t="s">
        <v>4947</v>
      </c>
      <c r="D155" t="s">
        <v>2364</v>
      </c>
      <c r="E155">
        <v>4</v>
      </c>
      <c r="F155" t="str">
        <f>IF(AND(Entities[[#This Row],[ENT_TYPE]]="County",RIGHT(Entities[[#This Row],[ENT_NAME]],6)&lt;&gt;"County"),_xlfn.TEXTJOIN(" ",TRUE,Entities[[#This Row],[ENT_NAME]],"County"),Entities[[#This Row],[ENT_NAME]])</f>
        <v>Kaufman County</v>
      </c>
    </row>
    <row r="156" spans="1:6" x14ac:dyDescent="0.25">
      <c r="A156" s="302" t="s">
        <v>1845</v>
      </c>
      <c r="B156" s="303" t="str">
        <f t="shared" si="2"/>
        <v>x00000108</v>
      </c>
      <c r="C156" t="s">
        <v>4947</v>
      </c>
      <c r="D156" t="s">
        <v>2364</v>
      </c>
      <c r="E156">
        <v>3</v>
      </c>
      <c r="F156" t="str">
        <f>IF(AND(Entities[[#This Row],[ENT_TYPE]]="County",RIGHT(Entities[[#This Row],[ENT_NAME]],6)&lt;&gt;"County"),_xlfn.TEXTJOIN(" ",TRUE,Entities[[#This Row],[ENT_NAME]],"County"),Entities[[#This Row],[ENT_NAME]])</f>
        <v>Kaufman County</v>
      </c>
    </row>
    <row r="157" spans="1:6" x14ac:dyDescent="0.25">
      <c r="A157" s="304" t="s">
        <v>1631</v>
      </c>
      <c r="B157" s="303" t="str">
        <f t="shared" si="2"/>
        <v>x00000109</v>
      </c>
      <c r="C157" t="s">
        <v>4947</v>
      </c>
      <c r="D157" t="s">
        <v>1628</v>
      </c>
      <c r="E157">
        <v>2</v>
      </c>
      <c r="F157" t="str">
        <f>IF(AND(Entities[[#This Row],[ENT_TYPE]]="County",RIGHT(Entities[[#This Row],[ENT_NAME]],6)&lt;&gt;"County"),_xlfn.TEXTJOIN(" ",TRUE,Entities[[#This Row],[ENT_NAME]],"County"),Entities[[#This Row],[ENT_NAME]])</f>
        <v>Harrison County</v>
      </c>
    </row>
    <row r="158" spans="1:6" x14ac:dyDescent="0.25">
      <c r="A158" s="302" t="s">
        <v>1631</v>
      </c>
      <c r="B158" s="303" t="str">
        <f t="shared" si="2"/>
        <v>x00000109</v>
      </c>
      <c r="C158" t="s">
        <v>4947</v>
      </c>
      <c r="D158" t="s">
        <v>1628</v>
      </c>
      <c r="E158">
        <v>4</v>
      </c>
      <c r="F158" t="str">
        <f>IF(AND(Entities[[#This Row],[ENT_TYPE]]="County",RIGHT(Entities[[#This Row],[ENT_NAME]],6)&lt;&gt;"County"),_xlfn.TEXTJOIN(" ",TRUE,Entities[[#This Row],[ENT_NAME]],"County"),Entities[[#This Row],[ENT_NAME]])</f>
        <v>Harrison County</v>
      </c>
    </row>
    <row r="159" spans="1:6" x14ac:dyDescent="0.25">
      <c r="A159" s="304" t="s">
        <v>2494</v>
      </c>
      <c r="B159" s="303" t="str">
        <f t="shared" si="2"/>
        <v>x00000110</v>
      </c>
      <c r="C159" t="s">
        <v>4947</v>
      </c>
      <c r="D159" t="s">
        <v>2138</v>
      </c>
      <c r="E159">
        <v>4</v>
      </c>
      <c r="F159" t="str">
        <f>IF(AND(Entities[[#This Row],[ENT_TYPE]]="County",RIGHT(Entities[[#This Row],[ENT_NAME]],6)&lt;&gt;"County"),_xlfn.TEXTJOIN(" ",TRUE,Entities[[#This Row],[ENT_NAME]],"County"),Entities[[#This Row],[ENT_NAME]])</f>
        <v>Van Zandt County</v>
      </c>
    </row>
    <row r="160" spans="1:6" x14ac:dyDescent="0.25">
      <c r="A160" s="304" t="s">
        <v>2494</v>
      </c>
      <c r="B160" s="303" t="str">
        <f t="shared" si="2"/>
        <v>x00000110</v>
      </c>
      <c r="C160" t="s">
        <v>4947</v>
      </c>
      <c r="D160" t="s">
        <v>2138</v>
      </c>
      <c r="E160">
        <v>0</v>
      </c>
      <c r="F160" t="str">
        <f>IF(AND(Entities[[#This Row],[ENT_TYPE]]="County",RIGHT(Entities[[#This Row],[ENT_NAME]],6)&lt;&gt;"County"),_xlfn.TEXTJOIN(" ",TRUE,Entities[[#This Row],[ENT_NAME]],"County"),Entities[[#This Row],[ENT_NAME]])</f>
        <v>Van Zandt County</v>
      </c>
    </row>
    <row r="161" spans="1:6" x14ac:dyDescent="0.25">
      <c r="A161" s="302" t="s">
        <v>2494</v>
      </c>
      <c r="B161" s="303" t="str">
        <f t="shared" si="2"/>
        <v>x00000110</v>
      </c>
      <c r="C161" t="s">
        <v>4947</v>
      </c>
      <c r="D161" t="s">
        <v>2138</v>
      </c>
      <c r="E161">
        <v>3</v>
      </c>
      <c r="F161" t="str">
        <f>IF(AND(Entities[[#This Row],[ENT_TYPE]]="County",RIGHT(Entities[[#This Row],[ENT_NAME]],6)&lt;&gt;"County"),_xlfn.TEXTJOIN(" ",TRUE,Entities[[#This Row],[ENT_NAME]],"County"),Entities[[#This Row],[ENT_NAME]])</f>
        <v>Van Zandt County</v>
      </c>
    </row>
    <row r="162" spans="1:6" x14ac:dyDescent="0.25">
      <c r="A162" s="304" t="s">
        <v>5034</v>
      </c>
      <c r="B162" s="303" t="str">
        <f t="shared" si="2"/>
        <v>x00000113</v>
      </c>
      <c r="C162" t="s">
        <v>4947</v>
      </c>
      <c r="D162" t="s">
        <v>5035</v>
      </c>
      <c r="E162">
        <v>7</v>
      </c>
      <c r="F162" t="str">
        <f>IF(AND(Entities[[#This Row],[ENT_TYPE]]="County",RIGHT(Entities[[#This Row],[ENT_NAME]],6)&lt;&gt;"County"),_xlfn.TEXTJOIN(" ",TRUE,Entities[[#This Row],[ENT_NAME]],"County"),Entities[[#This Row],[ENT_NAME]])</f>
        <v>Stephens County</v>
      </c>
    </row>
    <row r="163" spans="1:6" x14ac:dyDescent="0.25">
      <c r="A163" s="302" t="s">
        <v>5034</v>
      </c>
      <c r="B163" s="303" t="str">
        <f t="shared" si="2"/>
        <v>x00000113</v>
      </c>
      <c r="C163" t="s">
        <v>4947</v>
      </c>
      <c r="D163" t="s">
        <v>5035</v>
      </c>
      <c r="E163">
        <v>8</v>
      </c>
      <c r="F163" t="str">
        <f>IF(AND(Entities[[#This Row],[ENT_TYPE]]="County",RIGHT(Entities[[#This Row],[ENT_NAME]],6)&lt;&gt;"County"),_xlfn.TEXTJOIN(" ",TRUE,Entities[[#This Row],[ENT_NAME]],"County"),Entities[[#This Row],[ENT_NAME]])</f>
        <v>Stephens County</v>
      </c>
    </row>
    <row r="164" spans="1:6" x14ac:dyDescent="0.25">
      <c r="A164" s="304" t="s">
        <v>434</v>
      </c>
      <c r="B164" s="303" t="str">
        <f t="shared" si="2"/>
        <v>x00000115</v>
      </c>
      <c r="C164" t="s">
        <v>4947</v>
      </c>
      <c r="D164" t="s">
        <v>482</v>
      </c>
      <c r="E164">
        <v>7</v>
      </c>
      <c r="F164" t="str">
        <f>IF(AND(Entities[[#This Row],[ENT_TYPE]]="County",RIGHT(Entities[[#This Row],[ENT_NAME]],6)&lt;&gt;"County"),_xlfn.TEXTJOIN(" ",TRUE,Entities[[#This Row],[ENT_NAME]],"County"),Entities[[#This Row],[ENT_NAME]])</f>
        <v>Borden County</v>
      </c>
    </row>
    <row r="165" spans="1:6" x14ac:dyDescent="0.25">
      <c r="A165" s="302" t="s">
        <v>434</v>
      </c>
      <c r="B165" s="303" t="str">
        <f t="shared" si="2"/>
        <v>x00000115</v>
      </c>
      <c r="C165" t="s">
        <v>4947</v>
      </c>
      <c r="D165" t="s">
        <v>482</v>
      </c>
      <c r="E165">
        <v>0</v>
      </c>
      <c r="F165" t="str">
        <f>IF(AND(Entities[[#This Row],[ENT_TYPE]]="County",RIGHT(Entities[[#This Row],[ENT_NAME]],6)&lt;&gt;"County"),_xlfn.TEXTJOIN(" ",TRUE,Entities[[#This Row],[ENT_NAME]],"County"),Entities[[#This Row],[ENT_NAME]])</f>
        <v>Borden County</v>
      </c>
    </row>
    <row r="166" spans="1:6" x14ac:dyDescent="0.25">
      <c r="A166" s="302" t="s">
        <v>556</v>
      </c>
      <c r="B166" s="303" t="str">
        <f t="shared" si="2"/>
        <v>x00000116</v>
      </c>
      <c r="C166" t="s">
        <v>4947</v>
      </c>
      <c r="D166" t="s">
        <v>439</v>
      </c>
      <c r="E166">
        <v>7</v>
      </c>
      <c r="F166" t="str">
        <f>IF(AND(Entities[[#This Row],[ENT_TYPE]]="County",RIGHT(Entities[[#This Row],[ENT_NAME]],6)&lt;&gt;"County"),_xlfn.TEXTJOIN(" ",TRUE,Entities[[#This Row],[ENT_NAME]],"County"),Entities[[#This Row],[ENT_NAME]])</f>
        <v>Scurry County</v>
      </c>
    </row>
    <row r="167" spans="1:6" x14ac:dyDescent="0.25">
      <c r="A167" s="302" t="s">
        <v>556</v>
      </c>
      <c r="B167" s="303" t="str">
        <f t="shared" si="2"/>
        <v>x00000116</v>
      </c>
      <c r="C167" t="s">
        <v>4947</v>
      </c>
      <c r="D167" t="s">
        <v>439</v>
      </c>
      <c r="E167">
        <v>0</v>
      </c>
      <c r="F167" t="str">
        <f>IF(AND(Entities[[#This Row],[ENT_TYPE]]="County",RIGHT(Entities[[#This Row],[ENT_NAME]],6)&lt;&gt;"County"),_xlfn.TEXTJOIN(" ",TRUE,Entities[[#This Row],[ENT_NAME]],"County"),Entities[[#This Row],[ENT_NAME]])</f>
        <v>Scurry County</v>
      </c>
    </row>
    <row r="168" spans="1:6" x14ac:dyDescent="0.25">
      <c r="A168" s="304" t="s">
        <v>517</v>
      </c>
      <c r="B168" s="303" t="str">
        <f t="shared" si="2"/>
        <v>x00000117</v>
      </c>
      <c r="C168" t="s">
        <v>4947</v>
      </c>
      <c r="D168" t="s">
        <v>490</v>
      </c>
      <c r="E168">
        <v>7</v>
      </c>
      <c r="F168" t="str">
        <f>IF(AND(Entities[[#This Row],[ENT_TYPE]]="County",RIGHT(Entities[[#This Row],[ENT_NAME]],6)&lt;&gt;"County"),_xlfn.TEXTJOIN(" ",TRUE,Entities[[#This Row],[ENT_NAME]],"County"),Entities[[#This Row],[ENT_NAME]])</f>
        <v>Dawson County</v>
      </c>
    </row>
    <row r="169" spans="1:6" x14ac:dyDescent="0.25">
      <c r="A169" s="302" t="s">
        <v>517</v>
      </c>
      <c r="B169" s="303" t="str">
        <f t="shared" si="2"/>
        <v>x00000117</v>
      </c>
      <c r="C169" t="s">
        <v>4947</v>
      </c>
      <c r="D169" t="s">
        <v>490</v>
      </c>
      <c r="E169">
        <v>0</v>
      </c>
      <c r="F169" t="str">
        <f>IF(AND(Entities[[#This Row],[ENT_TYPE]]="County",RIGHT(Entities[[#This Row],[ENT_NAME]],6)&lt;&gt;"County"),_xlfn.TEXTJOIN(" ",TRUE,Entities[[#This Row],[ENT_NAME]],"County"),Entities[[#This Row],[ENT_NAME]])</f>
        <v>Dawson County</v>
      </c>
    </row>
    <row r="170" spans="1:6" x14ac:dyDescent="0.25">
      <c r="A170" s="302" t="s">
        <v>1680</v>
      </c>
      <c r="B170" s="303" t="str">
        <f t="shared" si="2"/>
        <v>x00000119</v>
      </c>
      <c r="C170" t="s">
        <v>4947</v>
      </c>
      <c r="D170" t="s">
        <v>1676</v>
      </c>
      <c r="E170">
        <v>2</v>
      </c>
      <c r="F170" t="str">
        <f>IF(AND(Entities[[#This Row],[ENT_TYPE]]="County",RIGHT(Entities[[#This Row],[ENT_NAME]],6)&lt;&gt;"County"),_xlfn.TEXTJOIN(" ",TRUE,Entities[[#This Row],[ENT_NAME]],"County"),Entities[[#This Row],[ENT_NAME]])</f>
        <v>Upshur County</v>
      </c>
    </row>
    <row r="171" spans="1:6" x14ac:dyDescent="0.25">
      <c r="A171" s="304" t="s">
        <v>1680</v>
      </c>
      <c r="B171" s="303" t="str">
        <f t="shared" si="2"/>
        <v>x00000119</v>
      </c>
      <c r="C171" t="s">
        <v>4947</v>
      </c>
      <c r="D171" t="s">
        <v>5036</v>
      </c>
      <c r="E171">
        <v>2</v>
      </c>
      <c r="F171" t="str">
        <f>IF(AND(Entities[[#This Row],[ENT_TYPE]]="County",RIGHT(Entities[[#This Row],[ENT_NAME]],6)&lt;&gt;"County"),_xlfn.TEXTJOIN(" ",TRUE,Entities[[#This Row],[ENT_NAME]],"County"),Entities[[#This Row],[ENT_NAME]])</f>
        <v>Wood County</v>
      </c>
    </row>
    <row r="172" spans="1:6" x14ac:dyDescent="0.25">
      <c r="A172" s="302" t="s">
        <v>1680</v>
      </c>
      <c r="B172" s="303" t="str">
        <f t="shared" si="2"/>
        <v>x00000119</v>
      </c>
      <c r="C172" t="s">
        <v>4947</v>
      </c>
      <c r="D172" t="s">
        <v>1676</v>
      </c>
      <c r="E172">
        <v>4</v>
      </c>
      <c r="F172" t="str">
        <f>IF(AND(Entities[[#This Row],[ENT_TYPE]]="County",RIGHT(Entities[[#This Row],[ENT_NAME]],6)&lt;&gt;"County"),_xlfn.TEXTJOIN(" ",TRUE,Entities[[#This Row],[ENT_NAME]],"County"),Entities[[#This Row],[ENT_NAME]])</f>
        <v>Upshur County</v>
      </c>
    </row>
    <row r="173" spans="1:6" x14ac:dyDescent="0.25">
      <c r="A173" s="302" t="s">
        <v>5037</v>
      </c>
      <c r="B173" s="303" t="str">
        <f t="shared" si="2"/>
        <v>x00000122</v>
      </c>
      <c r="C173" t="s">
        <v>4947</v>
      </c>
      <c r="D173" t="s">
        <v>2185</v>
      </c>
      <c r="E173">
        <v>8</v>
      </c>
      <c r="F173" t="str">
        <f>IF(AND(Entities[[#This Row],[ENT_TYPE]]="County",RIGHT(Entities[[#This Row],[ENT_NAME]],6)&lt;&gt;"County"),_xlfn.TEXTJOIN(" ",TRUE,Entities[[#This Row],[ENT_NAME]],"County"),Entities[[#This Row],[ENT_NAME]])</f>
        <v>Parker County</v>
      </c>
    </row>
    <row r="174" spans="1:6" x14ac:dyDescent="0.25">
      <c r="A174" s="302" t="s">
        <v>5037</v>
      </c>
      <c r="B174" s="303" t="str">
        <f t="shared" si="2"/>
        <v>x00000122</v>
      </c>
      <c r="C174" t="s">
        <v>4947</v>
      </c>
      <c r="D174" t="s">
        <v>2185</v>
      </c>
      <c r="E174">
        <v>3</v>
      </c>
      <c r="F174" t="str">
        <f>IF(AND(Entities[[#This Row],[ENT_TYPE]]="County",RIGHT(Entities[[#This Row],[ENT_NAME]],6)&lt;&gt;"County"),_xlfn.TEXTJOIN(" ",TRUE,Entities[[#This Row],[ENT_NAME]],"County"),Entities[[#This Row],[ENT_NAME]])</f>
        <v>Parker County</v>
      </c>
    </row>
    <row r="175" spans="1:6" x14ac:dyDescent="0.25">
      <c r="A175" s="304" t="s">
        <v>693</v>
      </c>
      <c r="B175" s="303" t="str">
        <f t="shared" si="2"/>
        <v>x00000124</v>
      </c>
      <c r="C175" t="s">
        <v>4947</v>
      </c>
      <c r="D175" t="s">
        <v>666</v>
      </c>
      <c r="E175">
        <v>10</v>
      </c>
      <c r="F175" t="str">
        <f>IF(AND(Entities[[#This Row],[ENT_TYPE]]="County",RIGHT(Entities[[#This Row],[ENT_NAME]],6)&lt;&gt;"County"),_xlfn.TEXTJOIN(" ",TRUE,Entities[[#This Row],[ENT_NAME]],"County"),Entities[[#This Row],[ENT_NAME]])</f>
        <v>Concho County</v>
      </c>
    </row>
    <row r="176" spans="1:6" x14ac:dyDescent="0.25">
      <c r="A176" s="302" t="s">
        <v>693</v>
      </c>
      <c r="B176" s="303" t="str">
        <f t="shared" si="2"/>
        <v>x00000124</v>
      </c>
      <c r="C176" t="s">
        <v>4947</v>
      </c>
      <c r="D176" t="s">
        <v>666</v>
      </c>
      <c r="E176">
        <v>0</v>
      </c>
      <c r="F176" t="str">
        <f>IF(AND(Entities[[#This Row],[ENT_TYPE]]="County",RIGHT(Entities[[#This Row],[ENT_NAME]],6)&lt;&gt;"County"),_xlfn.TEXTJOIN(" ",TRUE,Entities[[#This Row],[ENT_NAME]],"County"),Entities[[#This Row],[ENT_NAME]])</f>
        <v>Concho County</v>
      </c>
    </row>
    <row r="177" spans="1:6" x14ac:dyDescent="0.25">
      <c r="A177" s="302" t="s">
        <v>789</v>
      </c>
      <c r="B177" s="303" t="str">
        <f t="shared" si="2"/>
        <v>x00000126</v>
      </c>
      <c r="C177" t="s">
        <v>4947</v>
      </c>
      <c r="D177" t="s">
        <v>5038</v>
      </c>
      <c r="E177">
        <v>14</v>
      </c>
      <c r="F177" t="str">
        <f>IF(AND(Entities[[#This Row],[ENT_TYPE]]="County",RIGHT(Entities[[#This Row],[ENT_NAME]],6)&lt;&gt;"County"),_xlfn.TEXTJOIN(" ",TRUE,Entities[[#This Row],[ENT_NAME]],"County"),Entities[[#This Row],[ENT_NAME]])</f>
        <v>Reagan County</v>
      </c>
    </row>
    <row r="178" spans="1:6" x14ac:dyDescent="0.25">
      <c r="A178" s="302" t="s">
        <v>789</v>
      </c>
      <c r="B178" s="303" t="str">
        <f t="shared" si="2"/>
        <v>x00000126</v>
      </c>
      <c r="C178" t="s">
        <v>4947</v>
      </c>
      <c r="D178" t="s">
        <v>784</v>
      </c>
      <c r="E178">
        <v>0</v>
      </c>
      <c r="F178" t="str">
        <f>IF(AND(Entities[[#This Row],[ENT_TYPE]]="County",RIGHT(Entities[[#This Row],[ENT_NAME]],6)&lt;&gt;"County"),_xlfn.TEXTJOIN(" ",TRUE,Entities[[#This Row],[ENT_NAME]],"County"),Entities[[#This Row],[ENT_NAME]])</f>
        <v>Reagan County</v>
      </c>
    </row>
    <row r="179" spans="1:6" x14ac:dyDescent="0.25">
      <c r="A179" s="302" t="s">
        <v>974</v>
      </c>
      <c r="B179" s="303" t="str">
        <f t="shared" si="2"/>
        <v>x00000127</v>
      </c>
      <c r="C179" t="s">
        <v>4947</v>
      </c>
      <c r="D179" t="s">
        <v>5039</v>
      </c>
      <c r="E179">
        <v>14</v>
      </c>
      <c r="F179" t="str">
        <f>IF(AND(Entities[[#This Row],[ENT_TYPE]]="County",RIGHT(Entities[[#This Row],[ENT_NAME]],6)&lt;&gt;"County"),_xlfn.TEXTJOIN(" ",TRUE,Entities[[#This Row],[ENT_NAME]],"County"),Entities[[#This Row],[ENT_NAME]])</f>
        <v>Upton County</v>
      </c>
    </row>
    <row r="180" spans="1:6" x14ac:dyDescent="0.25">
      <c r="A180" s="302" t="s">
        <v>974</v>
      </c>
      <c r="B180" s="303" t="str">
        <f t="shared" si="2"/>
        <v>x00000127</v>
      </c>
      <c r="C180" t="s">
        <v>4947</v>
      </c>
      <c r="D180" t="s">
        <v>972</v>
      </c>
      <c r="E180">
        <v>0</v>
      </c>
      <c r="F180" t="str">
        <f>IF(AND(Entities[[#This Row],[ENT_TYPE]]="County",RIGHT(Entities[[#This Row],[ENT_NAME]],6)&lt;&gt;"County"),_xlfn.TEXTJOIN(" ",TRUE,Entities[[#This Row],[ENT_NAME]],"County"),Entities[[#This Row],[ENT_NAME]])</f>
        <v>Upton County</v>
      </c>
    </row>
    <row r="181" spans="1:6" x14ac:dyDescent="0.25">
      <c r="A181" s="304" t="s">
        <v>2067</v>
      </c>
      <c r="B181" s="303" t="str">
        <f t="shared" si="2"/>
        <v>x00000128</v>
      </c>
      <c r="C181" t="s">
        <v>4947</v>
      </c>
      <c r="D181" t="s">
        <v>2171</v>
      </c>
      <c r="E181">
        <v>0</v>
      </c>
      <c r="F181" t="str">
        <f>IF(AND(Entities[[#This Row],[ENT_TYPE]]="County",RIGHT(Entities[[#This Row],[ENT_NAME]],6)&lt;&gt;"County"),_xlfn.TEXTJOIN(" ",TRUE,Entities[[#This Row],[ENT_NAME]],"County"),Entities[[#This Row],[ENT_NAME]])</f>
        <v>Houston County</v>
      </c>
    </row>
    <row r="182" spans="1:6" x14ac:dyDescent="0.25">
      <c r="A182" s="302" t="s">
        <v>2067</v>
      </c>
      <c r="B182" s="303" t="str">
        <f t="shared" si="2"/>
        <v>x00000128</v>
      </c>
      <c r="C182" t="s">
        <v>4947</v>
      </c>
      <c r="D182" t="s">
        <v>2171</v>
      </c>
      <c r="E182">
        <v>3</v>
      </c>
      <c r="F182" t="str">
        <f>IF(AND(Entities[[#This Row],[ENT_TYPE]]="County",RIGHT(Entities[[#This Row],[ENT_NAME]],6)&lt;&gt;"County"),_xlfn.TEXTJOIN(" ",TRUE,Entities[[#This Row],[ENT_NAME]],"County"),Entities[[#This Row],[ENT_NAME]])</f>
        <v>Houston County</v>
      </c>
    </row>
    <row r="183" spans="1:6" x14ac:dyDescent="0.25">
      <c r="A183" s="302" t="s">
        <v>2080</v>
      </c>
      <c r="B183" s="303" t="str">
        <f t="shared" si="2"/>
        <v>x00000132</v>
      </c>
      <c r="C183" t="s">
        <v>4947</v>
      </c>
      <c r="D183" t="s">
        <v>2077</v>
      </c>
      <c r="E183">
        <v>8</v>
      </c>
      <c r="F183" t="str">
        <f>IF(AND(Entities[[#This Row],[ENT_TYPE]]="County",RIGHT(Entities[[#This Row],[ENT_NAME]],6)&lt;&gt;"County"),_xlfn.TEXTJOIN(" ",TRUE,Entities[[#This Row],[ENT_NAME]],"County"),Entities[[#This Row],[ENT_NAME]])</f>
        <v>Leon County</v>
      </c>
    </row>
    <row r="184" spans="1:6" x14ac:dyDescent="0.25">
      <c r="A184" s="302" t="s">
        <v>2080</v>
      </c>
      <c r="B184" s="303" t="str">
        <f t="shared" si="2"/>
        <v>x00000132</v>
      </c>
      <c r="C184" t="s">
        <v>4947</v>
      </c>
      <c r="D184" t="s">
        <v>2077</v>
      </c>
      <c r="E184">
        <v>3</v>
      </c>
      <c r="F184" t="str">
        <f>IF(AND(Entities[[#This Row],[ENT_TYPE]]="County",RIGHT(Entities[[#This Row],[ENT_NAME]],6)&lt;&gt;"County"),_xlfn.TEXTJOIN(" ",TRUE,Entities[[#This Row],[ENT_NAME]],"County"),Entities[[#This Row],[ENT_NAME]])</f>
        <v>Leon County</v>
      </c>
    </row>
    <row r="185" spans="1:6" x14ac:dyDescent="0.25">
      <c r="A185" s="302" t="s">
        <v>5040</v>
      </c>
      <c r="B185" s="303" t="str">
        <f t="shared" si="2"/>
        <v>x00000134</v>
      </c>
      <c r="C185" t="s">
        <v>4947</v>
      </c>
      <c r="D185" t="s">
        <v>5041</v>
      </c>
      <c r="E185">
        <v>8</v>
      </c>
      <c r="F185" t="str">
        <f>IF(AND(Entities[[#This Row],[ENT_TYPE]]="County",RIGHT(Entities[[#This Row],[ENT_NAME]],6)&lt;&gt;"County"),_xlfn.TEXTJOIN(" ",TRUE,Entities[[#This Row],[ENT_NAME]],"County"),Entities[[#This Row],[ENT_NAME]])</f>
        <v>Mills County</v>
      </c>
    </row>
    <row r="186" spans="1:6" x14ac:dyDescent="0.25">
      <c r="A186" s="302" t="s">
        <v>5040</v>
      </c>
      <c r="B186" s="303" t="str">
        <f t="shared" si="2"/>
        <v>x00000134</v>
      </c>
      <c r="C186" t="s">
        <v>4947</v>
      </c>
      <c r="D186" t="s">
        <v>5041</v>
      </c>
      <c r="E186">
        <v>10</v>
      </c>
      <c r="F186" t="str">
        <f>IF(AND(Entities[[#This Row],[ENT_TYPE]]="County",RIGHT(Entities[[#This Row],[ENT_NAME]],6)&lt;&gt;"County"),_xlfn.TEXTJOIN(" ",TRUE,Entities[[#This Row],[ENT_NAME]],"County"),Entities[[#This Row],[ENT_NAME]])</f>
        <v>Mills County</v>
      </c>
    </row>
    <row r="187" spans="1:6" x14ac:dyDescent="0.25">
      <c r="A187" s="304" t="s">
        <v>5042</v>
      </c>
      <c r="B187" s="303" t="str">
        <f t="shared" si="2"/>
        <v>x00000135</v>
      </c>
      <c r="C187" t="s">
        <v>4947</v>
      </c>
      <c r="D187" t="s">
        <v>2512</v>
      </c>
      <c r="E187">
        <v>4</v>
      </c>
      <c r="F187" t="str">
        <f>IF(AND(Entities[[#This Row],[ENT_TYPE]]="County",RIGHT(Entities[[#This Row],[ENT_NAME]],6)&lt;&gt;"County"),_xlfn.TEXTJOIN(" ",TRUE,Entities[[#This Row],[ENT_NAME]],"County"),Entities[[#This Row],[ENT_NAME]])</f>
        <v>Sabine County</v>
      </c>
    </row>
    <row r="188" spans="1:6" x14ac:dyDescent="0.25">
      <c r="A188" s="302" t="s">
        <v>5042</v>
      </c>
      <c r="B188" s="303" t="str">
        <f t="shared" si="2"/>
        <v>x00000135</v>
      </c>
      <c r="C188" t="s">
        <v>4947</v>
      </c>
      <c r="D188" t="s">
        <v>2512</v>
      </c>
      <c r="E188">
        <v>0</v>
      </c>
      <c r="F188" t="str">
        <f>IF(AND(Entities[[#This Row],[ENT_TYPE]]="County",RIGHT(Entities[[#This Row],[ENT_NAME]],6)&lt;&gt;"County"),_xlfn.TEXTJOIN(" ",TRUE,Entities[[#This Row],[ENT_NAME]],"County"),Entities[[#This Row],[ENT_NAME]])</f>
        <v>Sabine County</v>
      </c>
    </row>
    <row r="189" spans="1:6" x14ac:dyDescent="0.25">
      <c r="A189" s="302" t="s">
        <v>2694</v>
      </c>
      <c r="B189" s="303" t="str">
        <f t="shared" si="2"/>
        <v>x00000136</v>
      </c>
      <c r="C189" t="s">
        <v>4947</v>
      </c>
      <c r="D189" t="s">
        <v>2690</v>
      </c>
      <c r="E189">
        <v>4</v>
      </c>
      <c r="F189" t="str">
        <f>IF(AND(Entities[[#This Row],[ENT_TYPE]]="County",RIGHT(Entities[[#This Row],[ENT_NAME]],6)&lt;&gt;"County"),_xlfn.TEXTJOIN(" ",TRUE,Entities[[#This Row],[ENT_NAME]],"County"),Entities[[#This Row],[ENT_NAME]])</f>
        <v>San Augustine County</v>
      </c>
    </row>
    <row r="190" spans="1:6" x14ac:dyDescent="0.25">
      <c r="A190" s="302" t="s">
        <v>2694</v>
      </c>
      <c r="B190" s="303" t="str">
        <f t="shared" si="2"/>
        <v>x00000136</v>
      </c>
      <c r="C190" t="s">
        <v>4947</v>
      </c>
      <c r="D190" t="s">
        <v>2690</v>
      </c>
      <c r="E190">
        <v>0</v>
      </c>
      <c r="F190" t="str">
        <f>IF(AND(Entities[[#This Row],[ENT_TYPE]]="County",RIGHT(Entities[[#This Row],[ENT_NAME]],6)&lt;&gt;"County"),_xlfn.TEXTJOIN(" ",TRUE,Entities[[#This Row],[ENT_NAME]],"County"),Entities[[#This Row],[ENT_NAME]])</f>
        <v>San Augustine County</v>
      </c>
    </row>
    <row r="191" spans="1:6" x14ac:dyDescent="0.25">
      <c r="A191" s="304" t="s">
        <v>5043</v>
      </c>
      <c r="B191" s="303" t="str">
        <f t="shared" si="2"/>
        <v>x00000137</v>
      </c>
      <c r="C191" t="s">
        <v>4947</v>
      </c>
      <c r="D191" t="s">
        <v>2448</v>
      </c>
      <c r="E191">
        <v>8</v>
      </c>
      <c r="F191" t="str">
        <f>IF(AND(Entities[[#This Row],[ENT_TYPE]]="County",RIGHT(Entities[[#This Row],[ENT_NAME]],6)&lt;&gt;"County"),_xlfn.TEXTJOIN(" ",TRUE,Entities[[#This Row],[ENT_NAME]],"County"),Entities[[#This Row],[ENT_NAME]])</f>
        <v>Limestone County</v>
      </c>
    </row>
    <row r="192" spans="1:6" x14ac:dyDescent="0.25">
      <c r="A192" s="302" t="s">
        <v>5043</v>
      </c>
      <c r="B192" s="303" t="str">
        <f t="shared" si="2"/>
        <v>x00000137</v>
      </c>
      <c r="C192" t="s">
        <v>4947</v>
      </c>
      <c r="D192" t="s">
        <v>2448</v>
      </c>
      <c r="E192">
        <v>3</v>
      </c>
      <c r="F192" t="str">
        <f>IF(AND(Entities[[#This Row],[ENT_TYPE]]="County",RIGHT(Entities[[#This Row],[ENT_NAME]],6)&lt;&gt;"County"),_xlfn.TEXTJOIN(" ",TRUE,Entities[[#This Row],[ENT_NAME]],"County"),Entities[[#This Row],[ENT_NAME]])</f>
        <v>Limestone County</v>
      </c>
    </row>
    <row r="193" spans="1:6" x14ac:dyDescent="0.25">
      <c r="A193" s="302" t="s">
        <v>1832</v>
      </c>
      <c r="B193" s="303" t="str">
        <f t="shared" si="2"/>
        <v>x00000143</v>
      </c>
      <c r="C193" t="s">
        <v>4947</v>
      </c>
      <c r="D193" t="s">
        <v>2380</v>
      </c>
      <c r="E193">
        <v>8</v>
      </c>
      <c r="F193" t="str">
        <f>IF(AND(Entities[[#This Row],[ENT_TYPE]]="County",RIGHT(Entities[[#This Row],[ENT_NAME]],6)&lt;&gt;"County"),_xlfn.TEXTJOIN(" ",TRUE,Entities[[#This Row],[ENT_NAME]],"County"),Entities[[#This Row],[ENT_NAME]])</f>
        <v>Freestone County</v>
      </c>
    </row>
    <row r="194" spans="1:6" x14ac:dyDescent="0.25">
      <c r="A194" s="302" t="s">
        <v>1832</v>
      </c>
      <c r="B194" s="303" t="str">
        <f t="shared" ref="B194:B257" si="3">_xlfn.CONCAT("x",TEXT(A194,"00000000"))</f>
        <v>x00000143</v>
      </c>
      <c r="C194" t="s">
        <v>4947</v>
      </c>
      <c r="D194" t="s">
        <v>2380</v>
      </c>
      <c r="E194">
        <v>3</v>
      </c>
      <c r="F194" t="str">
        <f>IF(AND(Entities[[#This Row],[ENT_TYPE]]="County",RIGHT(Entities[[#This Row],[ENT_NAME]],6)&lt;&gt;"County"),_xlfn.TEXTJOIN(" ",TRUE,Entities[[#This Row],[ENT_NAME]],"County"),Entities[[#This Row],[ENT_NAME]])</f>
        <v>Freestone County</v>
      </c>
    </row>
    <row r="195" spans="1:6" x14ac:dyDescent="0.25">
      <c r="A195" s="304" t="s">
        <v>632</v>
      </c>
      <c r="B195" s="303" t="str">
        <f t="shared" si="3"/>
        <v>x00000144</v>
      </c>
      <c r="C195" t="s">
        <v>4947</v>
      </c>
      <c r="D195" t="s">
        <v>5044</v>
      </c>
      <c r="E195">
        <v>10</v>
      </c>
      <c r="F195" t="str">
        <f>IF(AND(Entities[[#This Row],[ENT_TYPE]]="County",RIGHT(Entities[[#This Row],[ENT_NAME]],6)&lt;&gt;"County"),_xlfn.TEXTJOIN(" ",TRUE,Entities[[#This Row],[ENT_NAME]],"County"),Entities[[#This Row],[ENT_NAME]])</f>
        <v>Coleman County</v>
      </c>
    </row>
    <row r="196" spans="1:6" x14ac:dyDescent="0.25">
      <c r="A196" s="302" t="s">
        <v>632</v>
      </c>
      <c r="B196" s="303" t="str">
        <f t="shared" si="3"/>
        <v>x00000144</v>
      </c>
      <c r="C196" t="s">
        <v>4947</v>
      </c>
      <c r="D196" t="s">
        <v>5044</v>
      </c>
      <c r="E196">
        <v>0</v>
      </c>
      <c r="F196" t="str">
        <f>IF(AND(Entities[[#This Row],[ENT_TYPE]]="County",RIGHT(Entities[[#This Row],[ENT_NAME]],6)&lt;&gt;"County"),_xlfn.TEXTJOIN(" ",TRUE,Entities[[#This Row],[ENT_NAME]],"County"),Entities[[#This Row],[ENT_NAME]])</f>
        <v>Coleman County</v>
      </c>
    </row>
    <row r="197" spans="1:6" x14ac:dyDescent="0.25">
      <c r="A197" s="302" t="s">
        <v>698</v>
      </c>
      <c r="B197" s="303" t="str">
        <f t="shared" si="3"/>
        <v>x00000145</v>
      </c>
      <c r="C197" t="s">
        <v>4947</v>
      </c>
      <c r="D197" t="s">
        <v>691</v>
      </c>
      <c r="E197">
        <v>10</v>
      </c>
      <c r="F197" t="str">
        <f>IF(AND(Entities[[#This Row],[ENT_TYPE]]="County",RIGHT(Entities[[#This Row],[ENT_NAME]],6)&lt;&gt;"County"),_xlfn.TEXTJOIN(" ",TRUE,Entities[[#This Row],[ENT_NAME]],"County"),Entities[[#This Row],[ENT_NAME]])</f>
        <v>Runnels County</v>
      </c>
    </row>
    <row r="198" spans="1:6" x14ac:dyDescent="0.25">
      <c r="A198" s="302" t="s">
        <v>698</v>
      </c>
      <c r="B198" s="303" t="str">
        <f t="shared" si="3"/>
        <v>x00000145</v>
      </c>
      <c r="C198" t="s">
        <v>4947</v>
      </c>
      <c r="D198" t="s">
        <v>691</v>
      </c>
      <c r="E198">
        <v>0</v>
      </c>
      <c r="F198" t="str">
        <f>IF(AND(Entities[[#This Row],[ENT_TYPE]]="County",RIGHT(Entities[[#This Row],[ENT_NAME]],6)&lt;&gt;"County"),_xlfn.TEXTJOIN(" ",TRUE,Entities[[#This Row],[ENT_NAME]],"County"),Entities[[#This Row],[ENT_NAME]])</f>
        <v>Runnels County</v>
      </c>
    </row>
    <row r="199" spans="1:6" x14ac:dyDescent="0.25">
      <c r="A199" s="304" t="s">
        <v>5045</v>
      </c>
      <c r="B199" s="303" t="str">
        <f t="shared" si="3"/>
        <v>x00000146</v>
      </c>
      <c r="C199" t="s">
        <v>4947</v>
      </c>
      <c r="D199" t="s">
        <v>5046</v>
      </c>
      <c r="E199">
        <v>8</v>
      </c>
      <c r="F199" t="str">
        <f>IF(AND(Entities[[#This Row],[ENT_TYPE]]="County",RIGHT(Entities[[#This Row],[ENT_NAME]],6)&lt;&gt;"County"),_xlfn.TEXTJOIN(" ",TRUE,Entities[[#This Row],[ENT_NAME]],"County"),Entities[[#This Row],[ENT_NAME]])</f>
        <v>Brown County</v>
      </c>
    </row>
    <row r="200" spans="1:6" x14ac:dyDescent="0.25">
      <c r="A200" s="304" t="s">
        <v>5045</v>
      </c>
      <c r="B200" s="303" t="str">
        <f t="shared" si="3"/>
        <v>x00000146</v>
      </c>
      <c r="C200" t="s">
        <v>4947</v>
      </c>
      <c r="D200" t="s">
        <v>5046</v>
      </c>
      <c r="E200">
        <v>10</v>
      </c>
      <c r="F200" t="str">
        <f>IF(AND(Entities[[#This Row],[ENT_TYPE]]="County",RIGHT(Entities[[#This Row],[ENT_NAME]],6)&lt;&gt;"County"),_xlfn.TEXTJOIN(" ",TRUE,Entities[[#This Row],[ENT_NAME]],"County"),Entities[[#This Row],[ENT_NAME]])</f>
        <v>Brown County</v>
      </c>
    </row>
    <row r="201" spans="1:6" x14ac:dyDescent="0.25">
      <c r="A201" s="302" t="s">
        <v>711</v>
      </c>
      <c r="B201" s="303" t="str">
        <f t="shared" si="3"/>
        <v>x00000151</v>
      </c>
      <c r="C201" t="s">
        <v>4947</v>
      </c>
      <c r="D201" t="s">
        <v>5047</v>
      </c>
      <c r="E201">
        <v>14</v>
      </c>
      <c r="F201" t="str">
        <f>IF(AND(Entities[[#This Row],[ENT_TYPE]]="County",RIGHT(Entities[[#This Row],[ENT_NAME]],6)&lt;&gt;"County"),_xlfn.TEXTJOIN(" ",TRUE,Entities[[#This Row],[ENT_NAME]],"County"),Entities[[#This Row],[ENT_NAME]])</f>
        <v>Midland County</v>
      </c>
    </row>
    <row r="202" spans="1:6" x14ac:dyDescent="0.25">
      <c r="A202" s="302" t="s">
        <v>711</v>
      </c>
      <c r="B202" s="303" t="str">
        <f t="shared" si="3"/>
        <v>x00000151</v>
      </c>
      <c r="C202" t="s">
        <v>4947</v>
      </c>
      <c r="D202" t="s">
        <v>879</v>
      </c>
      <c r="E202">
        <v>0</v>
      </c>
      <c r="F202" t="str">
        <f>IF(AND(Entities[[#This Row],[ENT_TYPE]]="County",RIGHT(Entities[[#This Row],[ENT_NAME]],6)&lt;&gt;"County"),_xlfn.TEXTJOIN(" ",TRUE,Entities[[#This Row],[ENT_NAME]],"County"),Entities[[#This Row],[ENT_NAME]])</f>
        <v>Midland County</v>
      </c>
    </row>
    <row r="203" spans="1:6" x14ac:dyDescent="0.25">
      <c r="A203" s="302" t="s">
        <v>676</v>
      </c>
      <c r="B203" s="303" t="str">
        <f t="shared" si="3"/>
        <v>x00000152</v>
      </c>
      <c r="C203" t="s">
        <v>4947</v>
      </c>
      <c r="D203" t="s">
        <v>5048</v>
      </c>
      <c r="E203">
        <v>14</v>
      </c>
      <c r="F203" t="str">
        <f>IF(AND(Entities[[#This Row],[ENT_TYPE]]="County",RIGHT(Entities[[#This Row],[ENT_NAME]],6)&lt;&gt;"County"),_xlfn.TEXTJOIN(" ",TRUE,Entities[[#This Row],[ENT_NAME]],"County"),Entities[[#This Row],[ENT_NAME]])</f>
        <v>Ector County</v>
      </c>
    </row>
    <row r="204" spans="1:6" x14ac:dyDescent="0.25">
      <c r="A204" s="302" t="s">
        <v>676</v>
      </c>
      <c r="B204" s="303" t="str">
        <f t="shared" si="3"/>
        <v>x00000152</v>
      </c>
      <c r="C204" t="s">
        <v>4947</v>
      </c>
      <c r="D204" t="s">
        <v>671</v>
      </c>
      <c r="E204">
        <v>0</v>
      </c>
      <c r="F204" t="str">
        <f>IF(AND(Entities[[#This Row],[ENT_TYPE]]="County",RIGHT(Entities[[#This Row],[ENT_NAME]],6)&lt;&gt;"County"),_xlfn.TEXTJOIN(" ",TRUE,Entities[[#This Row],[ENT_NAME]],"County"),Entities[[#This Row],[ENT_NAME]])</f>
        <v>Ector County</v>
      </c>
    </row>
    <row r="205" spans="1:6" x14ac:dyDescent="0.25">
      <c r="A205" s="304" t="s">
        <v>2706</v>
      </c>
      <c r="B205" s="303" t="str">
        <f t="shared" si="3"/>
        <v>x00000153</v>
      </c>
      <c r="C205" t="s">
        <v>4947</v>
      </c>
      <c r="D205" t="s">
        <v>2702</v>
      </c>
      <c r="E205">
        <v>4</v>
      </c>
      <c r="F205" t="str">
        <f>IF(AND(Entities[[#This Row],[ENT_TYPE]]="County",RIGHT(Entities[[#This Row],[ENT_NAME]],6)&lt;&gt;"County"),_xlfn.TEXTJOIN(" ",TRUE,Entities[[#This Row],[ENT_NAME]],"County"),Entities[[#This Row],[ENT_NAME]])</f>
        <v>Shelby County</v>
      </c>
    </row>
    <row r="206" spans="1:6" x14ac:dyDescent="0.25">
      <c r="A206" s="304" t="s">
        <v>2706</v>
      </c>
      <c r="B206" s="303" t="str">
        <f t="shared" si="3"/>
        <v>x00000153</v>
      </c>
      <c r="C206" t="s">
        <v>4947</v>
      </c>
      <c r="D206" t="s">
        <v>2702</v>
      </c>
      <c r="E206">
        <v>0</v>
      </c>
      <c r="F206" t="str">
        <f>IF(AND(Entities[[#This Row],[ENT_TYPE]]="County",RIGHT(Entities[[#This Row],[ENT_NAME]],6)&lt;&gt;"County"),_xlfn.TEXTJOIN(" ",TRUE,Entities[[#This Row],[ENT_NAME]],"County"),Entities[[#This Row],[ENT_NAME]])</f>
        <v>Shelby County</v>
      </c>
    </row>
    <row r="207" spans="1:6" x14ac:dyDescent="0.25">
      <c r="A207" s="302" t="s">
        <v>5049</v>
      </c>
      <c r="B207" s="303" t="str">
        <f t="shared" si="3"/>
        <v>x00000154</v>
      </c>
      <c r="C207" t="s">
        <v>4947</v>
      </c>
      <c r="D207" t="s">
        <v>5050</v>
      </c>
      <c r="E207">
        <v>14</v>
      </c>
      <c r="F207" t="str">
        <f>IF(AND(Entities[[#This Row],[ENT_TYPE]]="County",RIGHT(Entities[[#This Row],[ENT_NAME]],6)&lt;&gt;"County"),_xlfn.TEXTJOIN(" ",TRUE,Entities[[#This Row],[ENT_NAME]],"County"),Entities[[#This Row],[ENT_NAME]])</f>
        <v>Winkler County</v>
      </c>
    </row>
    <row r="208" spans="1:6" x14ac:dyDescent="0.25">
      <c r="A208" s="302" t="s">
        <v>5049</v>
      </c>
      <c r="B208" s="303" t="str">
        <f t="shared" si="3"/>
        <v>x00000154</v>
      </c>
      <c r="C208" t="s">
        <v>4947</v>
      </c>
      <c r="D208" t="s">
        <v>5051</v>
      </c>
      <c r="E208">
        <v>0</v>
      </c>
      <c r="F208" t="str">
        <f>IF(AND(Entities[[#This Row],[ENT_TYPE]]="County",RIGHT(Entities[[#This Row],[ENT_NAME]],6)&lt;&gt;"County"),_xlfn.TEXTJOIN(" ",TRUE,Entities[[#This Row],[ENT_NAME]],"County"),Entities[[#This Row],[ENT_NAME]])</f>
        <v>Winkler County</v>
      </c>
    </row>
    <row r="209" spans="1:6" x14ac:dyDescent="0.25">
      <c r="A209" s="302" t="s">
        <v>1776</v>
      </c>
      <c r="B209" s="303" t="str">
        <f t="shared" si="3"/>
        <v>x00000156</v>
      </c>
      <c r="C209" t="s">
        <v>4947</v>
      </c>
      <c r="D209" t="s">
        <v>1772</v>
      </c>
      <c r="E209">
        <v>0</v>
      </c>
      <c r="F209" t="str">
        <f>IF(AND(Entities[[#This Row],[ENT_TYPE]]="County",RIGHT(Entities[[#This Row],[ENT_NAME]],6)&lt;&gt;"County"),_xlfn.TEXTJOIN(" ",TRUE,Entities[[#This Row],[ENT_NAME]],"County"),Entities[[#This Row],[ENT_NAME]])</f>
        <v>Anderson County</v>
      </c>
    </row>
    <row r="210" spans="1:6" x14ac:dyDescent="0.25">
      <c r="A210" s="302" t="s">
        <v>1776</v>
      </c>
      <c r="B210" s="303" t="str">
        <f t="shared" si="3"/>
        <v>x00000156</v>
      </c>
      <c r="C210" t="s">
        <v>4947</v>
      </c>
      <c r="D210" t="s">
        <v>1772</v>
      </c>
      <c r="E210">
        <v>3</v>
      </c>
      <c r="F210" t="str">
        <f>IF(AND(Entities[[#This Row],[ENT_TYPE]]="County",RIGHT(Entities[[#This Row],[ENT_NAME]],6)&lt;&gt;"County"),_xlfn.TEXTJOIN(" ",TRUE,Entities[[#This Row],[ENT_NAME]],"County"),Entities[[#This Row],[ENT_NAME]])</f>
        <v>Anderson County</v>
      </c>
    </row>
    <row r="211" spans="1:6" x14ac:dyDescent="0.25">
      <c r="A211" s="304" t="s">
        <v>5052</v>
      </c>
      <c r="B211" s="303" t="str">
        <f t="shared" si="3"/>
        <v>x00000160</v>
      </c>
      <c r="C211" t="s">
        <v>4947</v>
      </c>
      <c r="D211" t="s">
        <v>5053</v>
      </c>
      <c r="E211">
        <v>8</v>
      </c>
      <c r="F211" t="str">
        <f>IF(AND(Entities[[#This Row],[ENT_TYPE]]="County",RIGHT(Entities[[#This Row],[ENT_NAME]],6)&lt;&gt;"County"),_xlfn.TEXTJOIN(" ",TRUE,Entities[[#This Row],[ENT_NAME]],"County"),Entities[[#This Row],[ENT_NAME]])</f>
        <v>Comanche County</v>
      </c>
    </row>
    <row r="212" spans="1:6" x14ac:dyDescent="0.25">
      <c r="A212" s="302" t="s">
        <v>5052</v>
      </c>
      <c r="B212" s="303" t="str">
        <f t="shared" si="3"/>
        <v>x00000160</v>
      </c>
      <c r="C212" t="s">
        <v>4947</v>
      </c>
      <c r="D212" t="s">
        <v>5053</v>
      </c>
      <c r="E212">
        <v>10</v>
      </c>
      <c r="F212" t="str">
        <f>IF(AND(Entities[[#This Row],[ENT_TYPE]]="County",RIGHT(Entities[[#This Row],[ENT_NAME]],6)&lt;&gt;"County"),_xlfn.TEXTJOIN(" ",TRUE,Entities[[#This Row],[ENT_NAME]],"County"),Entities[[#This Row],[ENT_NAME]])</f>
        <v>Comanche County</v>
      </c>
    </row>
    <row r="213" spans="1:6" x14ac:dyDescent="0.25">
      <c r="A213" s="302" t="s">
        <v>1921</v>
      </c>
      <c r="B213" s="303" t="str">
        <f t="shared" si="3"/>
        <v>x00000161</v>
      </c>
      <c r="C213" t="s">
        <v>4947</v>
      </c>
      <c r="D213" t="s">
        <v>2165</v>
      </c>
      <c r="E213">
        <v>8</v>
      </c>
      <c r="F213" t="str">
        <f>IF(AND(Entities[[#This Row],[ENT_TYPE]]="County",RIGHT(Entities[[#This Row],[ENT_NAME]],6)&lt;&gt;"County"),_xlfn.TEXTJOIN(" ",TRUE,Entities[[#This Row],[ENT_NAME]],"County"),Entities[[#This Row],[ENT_NAME]])</f>
        <v>Hill County</v>
      </c>
    </row>
    <row r="214" spans="1:6" x14ac:dyDescent="0.25">
      <c r="A214" s="302" t="s">
        <v>1921</v>
      </c>
      <c r="B214" s="303" t="str">
        <f t="shared" si="3"/>
        <v>x00000161</v>
      </c>
      <c r="C214" t="s">
        <v>4947</v>
      </c>
      <c r="D214" t="s">
        <v>2165</v>
      </c>
      <c r="E214">
        <v>3</v>
      </c>
      <c r="F214" t="str">
        <f>IF(AND(Entities[[#This Row],[ENT_TYPE]]="County",RIGHT(Entities[[#This Row],[ENT_NAME]],6)&lt;&gt;"County"),_xlfn.TEXTJOIN(" ",TRUE,Entities[[#This Row],[ENT_NAME]],"County"),Entities[[#This Row],[ENT_NAME]])</f>
        <v>Hill County</v>
      </c>
    </row>
    <row r="215" spans="1:6" x14ac:dyDescent="0.25">
      <c r="A215" s="302" t="s">
        <v>5054</v>
      </c>
      <c r="B215" s="303" t="str">
        <f t="shared" si="3"/>
        <v>x00000164</v>
      </c>
      <c r="C215" t="s">
        <v>4947</v>
      </c>
      <c r="D215" t="s">
        <v>2113</v>
      </c>
      <c r="E215">
        <v>0</v>
      </c>
      <c r="F215" t="str">
        <f>IF(AND(Entities[[#This Row],[ENT_TYPE]]="County",RIGHT(Entities[[#This Row],[ENT_NAME]],6)&lt;&gt;"County"),_xlfn.TEXTJOIN(" ",TRUE,Entities[[#This Row],[ENT_NAME]],"County"),Entities[[#This Row],[ENT_NAME]])</f>
        <v>Henderson County</v>
      </c>
    </row>
    <row r="216" spans="1:6" x14ac:dyDescent="0.25">
      <c r="A216" s="302" t="s">
        <v>5054</v>
      </c>
      <c r="B216" s="303" t="str">
        <f t="shared" si="3"/>
        <v>x00000164</v>
      </c>
      <c r="C216" t="s">
        <v>4947</v>
      </c>
      <c r="D216" t="s">
        <v>2113</v>
      </c>
      <c r="E216">
        <v>3</v>
      </c>
      <c r="F216" t="str">
        <f>IF(AND(Entities[[#This Row],[ENT_TYPE]]="County",RIGHT(Entities[[#This Row],[ENT_NAME]],6)&lt;&gt;"County"),_xlfn.TEXTJOIN(" ",TRUE,Entities[[#This Row],[ENT_NAME]],"County"),Entities[[#This Row],[ENT_NAME]])</f>
        <v>Henderson County</v>
      </c>
    </row>
    <row r="217" spans="1:6" x14ac:dyDescent="0.25">
      <c r="A217" s="302" t="s">
        <v>3039</v>
      </c>
      <c r="B217" s="303" t="str">
        <f t="shared" si="3"/>
        <v>x00000165</v>
      </c>
      <c r="C217" t="s">
        <v>4947</v>
      </c>
      <c r="D217" t="s">
        <v>3034</v>
      </c>
      <c r="E217">
        <v>7</v>
      </c>
      <c r="F217" t="str">
        <f>IF(AND(Entities[[#This Row],[ENT_TYPE]]="County",RIGHT(Entities[[#This Row],[ENT_NAME]],6)&lt;&gt;"County"),_xlfn.TEXTJOIN(" ",TRUE,Entities[[#This Row],[ENT_NAME]],"County"),Entities[[#This Row],[ENT_NAME]])</f>
        <v>Callahan County</v>
      </c>
    </row>
    <row r="218" spans="1:6" x14ac:dyDescent="0.25">
      <c r="A218" s="302" t="s">
        <v>3039</v>
      </c>
      <c r="B218" s="303" t="str">
        <f t="shared" si="3"/>
        <v>x00000165</v>
      </c>
      <c r="C218" t="s">
        <v>4947</v>
      </c>
      <c r="D218" t="s">
        <v>3034</v>
      </c>
      <c r="E218">
        <v>8</v>
      </c>
      <c r="F218" t="str">
        <f>IF(AND(Entities[[#This Row],[ENT_TYPE]]="County",RIGHT(Entities[[#This Row],[ENT_NAME]],6)&lt;&gt;"County"),_xlfn.TEXTJOIN(" ",TRUE,Entities[[#This Row],[ENT_NAME]],"County"),Entities[[#This Row],[ENT_NAME]])</f>
        <v>Callahan County</v>
      </c>
    </row>
    <row r="219" spans="1:6" x14ac:dyDescent="0.25">
      <c r="A219" s="304" t="s">
        <v>3039</v>
      </c>
      <c r="B219" s="303" t="str">
        <f t="shared" si="3"/>
        <v>x00000165</v>
      </c>
      <c r="C219" t="s">
        <v>4947</v>
      </c>
      <c r="D219" t="s">
        <v>3034</v>
      </c>
      <c r="E219">
        <v>10</v>
      </c>
      <c r="F219" t="str">
        <f>IF(AND(Entities[[#This Row],[ENT_TYPE]]="County",RIGHT(Entities[[#This Row],[ENT_NAME]],6)&lt;&gt;"County"),_xlfn.TEXTJOIN(" ",TRUE,Entities[[#This Row],[ENT_NAME]],"County"),Entities[[#This Row],[ENT_NAME]])</f>
        <v>Callahan County</v>
      </c>
    </row>
    <row r="220" spans="1:6" x14ac:dyDescent="0.25">
      <c r="A220" s="302" t="s">
        <v>5055</v>
      </c>
      <c r="B220" s="303" t="str">
        <f t="shared" si="3"/>
        <v>x00000166</v>
      </c>
      <c r="C220" t="s">
        <v>4947</v>
      </c>
      <c r="D220" t="s">
        <v>2591</v>
      </c>
      <c r="E220">
        <v>4</v>
      </c>
      <c r="F220" t="str">
        <f>IF(AND(Entities[[#This Row],[ENT_TYPE]]="County",RIGHT(Entities[[#This Row],[ENT_NAME]],6)&lt;&gt;"County"),_xlfn.TEXTJOIN(" ",TRUE,Entities[[#This Row],[ENT_NAME]],"County"),Entities[[#This Row],[ENT_NAME]])</f>
        <v>Rusk County</v>
      </c>
    </row>
    <row r="221" spans="1:6" x14ac:dyDescent="0.25">
      <c r="A221" s="304" t="s">
        <v>5055</v>
      </c>
      <c r="B221" s="303" t="str">
        <f t="shared" si="3"/>
        <v>x00000166</v>
      </c>
      <c r="C221" t="s">
        <v>4947</v>
      </c>
      <c r="D221" t="s">
        <v>2591</v>
      </c>
      <c r="E221">
        <v>0</v>
      </c>
      <c r="F221" t="str">
        <f>IF(AND(Entities[[#This Row],[ENT_TYPE]]="County",RIGHT(Entities[[#This Row],[ENT_NAME]],6)&lt;&gt;"County"),_xlfn.TEXTJOIN(" ",TRUE,Entities[[#This Row],[ENT_NAME]],"County"),Entities[[#This Row],[ENT_NAME]])</f>
        <v>Rusk County</v>
      </c>
    </row>
    <row r="222" spans="1:6" x14ac:dyDescent="0.25">
      <c r="A222" s="304" t="s">
        <v>5056</v>
      </c>
      <c r="B222" s="303" t="str">
        <f t="shared" si="3"/>
        <v>x00000167</v>
      </c>
      <c r="C222" t="s">
        <v>4947</v>
      </c>
      <c r="D222" t="s">
        <v>5057</v>
      </c>
      <c r="E222">
        <v>7</v>
      </c>
      <c r="F222" t="str">
        <f>IF(AND(Entities[[#This Row],[ENT_TYPE]]="County",RIGHT(Entities[[#This Row],[ENT_NAME]],6)&lt;&gt;"County"),_xlfn.TEXTJOIN(" ",TRUE,Entities[[#This Row],[ENT_NAME]],"County"),Entities[[#This Row],[ENT_NAME]])</f>
        <v>Eastland County</v>
      </c>
    </row>
    <row r="223" spans="1:6" x14ac:dyDescent="0.25">
      <c r="A223" s="304" t="s">
        <v>5056</v>
      </c>
      <c r="B223" s="303" t="str">
        <f t="shared" si="3"/>
        <v>x00000167</v>
      </c>
      <c r="C223" t="s">
        <v>4947</v>
      </c>
      <c r="D223" t="s">
        <v>5057</v>
      </c>
      <c r="E223">
        <v>8</v>
      </c>
      <c r="F223" t="str">
        <f>IF(AND(Entities[[#This Row],[ENT_TYPE]]="County",RIGHT(Entities[[#This Row],[ENT_NAME]],6)&lt;&gt;"County"),_xlfn.TEXTJOIN(" ",TRUE,Entities[[#This Row],[ENT_NAME]],"County"),Entities[[#This Row],[ENT_NAME]])</f>
        <v>Eastland County</v>
      </c>
    </row>
    <row r="224" spans="1:6" x14ac:dyDescent="0.25">
      <c r="A224" s="302" t="s">
        <v>5056</v>
      </c>
      <c r="B224" s="303" t="str">
        <f t="shared" si="3"/>
        <v>x00000167</v>
      </c>
      <c r="C224" t="s">
        <v>4947</v>
      </c>
      <c r="D224" t="s">
        <v>5057</v>
      </c>
      <c r="E224">
        <v>10</v>
      </c>
      <c r="F224" t="str">
        <f>IF(AND(Entities[[#This Row],[ENT_TYPE]]="County",RIGHT(Entities[[#This Row],[ENT_NAME]],6)&lt;&gt;"County"),_xlfn.TEXTJOIN(" ",TRUE,Entities[[#This Row],[ENT_NAME]],"County"),Entities[[#This Row],[ENT_NAME]])</f>
        <v>Eastland County</v>
      </c>
    </row>
    <row r="225" spans="1:6" x14ac:dyDescent="0.25">
      <c r="A225" s="302" t="s">
        <v>996</v>
      </c>
      <c r="B225" s="303" t="str">
        <f t="shared" si="3"/>
        <v>x00000168</v>
      </c>
      <c r="C225" t="s">
        <v>4947</v>
      </c>
      <c r="D225" t="s">
        <v>627</v>
      </c>
      <c r="E225">
        <v>7</v>
      </c>
      <c r="F225" t="str">
        <f>IF(AND(Entities[[#This Row],[ENT_TYPE]]="County",RIGHT(Entities[[#This Row],[ENT_NAME]],6)&lt;&gt;"County"),_xlfn.TEXTJOIN(" ",TRUE,Entities[[#This Row],[ENT_NAME]],"County"),Entities[[#This Row],[ENT_NAME]])</f>
        <v>Taylor County</v>
      </c>
    </row>
    <row r="226" spans="1:6" x14ac:dyDescent="0.25">
      <c r="A226" s="304" t="s">
        <v>996</v>
      </c>
      <c r="B226" s="303" t="str">
        <f t="shared" si="3"/>
        <v>x00000168</v>
      </c>
      <c r="C226" t="s">
        <v>4947</v>
      </c>
      <c r="D226" t="s">
        <v>627</v>
      </c>
      <c r="E226">
        <v>10</v>
      </c>
      <c r="F226" t="str">
        <f>IF(AND(Entities[[#This Row],[ENT_TYPE]]="County",RIGHT(Entities[[#This Row],[ENT_NAME]],6)&lt;&gt;"County"),_xlfn.TEXTJOIN(" ",TRUE,Entities[[#This Row],[ENT_NAME]],"County"),Entities[[#This Row],[ENT_NAME]])</f>
        <v>Taylor County</v>
      </c>
    </row>
    <row r="227" spans="1:6" x14ac:dyDescent="0.25">
      <c r="A227" s="302" t="s">
        <v>996</v>
      </c>
      <c r="B227" s="303" t="str">
        <f t="shared" si="3"/>
        <v>x00000168</v>
      </c>
      <c r="C227" t="s">
        <v>4947</v>
      </c>
      <c r="D227" t="s">
        <v>627</v>
      </c>
      <c r="E227">
        <v>0</v>
      </c>
      <c r="F227" t="str">
        <f>IF(AND(Entities[[#This Row],[ENT_TYPE]]="County",RIGHT(Entities[[#This Row],[ENT_NAME]],6)&lt;&gt;"County"),_xlfn.TEXTJOIN(" ",TRUE,Entities[[#This Row],[ENT_NAME]],"County"),Entities[[#This Row],[ENT_NAME]])</f>
        <v>Taylor County</v>
      </c>
    </row>
    <row r="228" spans="1:6" x14ac:dyDescent="0.25">
      <c r="A228" s="304" t="s">
        <v>989</v>
      </c>
      <c r="B228" s="303" t="str">
        <f t="shared" si="3"/>
        <v>x00000170</v>
      </c>
      <c r="C228" t="s">
        <v>4947</v>
      </c>
      <c r="D228" t="s">
        <v>605</v>
      </c>
      <c r="E228">
        <v>7</v>
      </c>
      <c r="F228" t="str">
        <f>IF(AND(Entities[[#This Row],[ENT_TYPE]]="County",RIGHT(Entities[[#This Row],[ENT_NAME]],6)&lt;&gt;"County"),_xlfn.TEXTJOIN(" ",TRUE,Entities[[#This Row],[ENT_NAME]],"County"),Entities[[#This Row],[ENT_NAME]])</f>
        <v>Nolan County</v>
      </c>
    </row>
    <row r="229" spans="1:6" x14ac:dyDescent="0.25">
      <c r="A229" s="302" t="s">
        <v>989</v>
      </c>
      <c r="B229" s="303" t="str">
        <f t="shared" si="3"/>
        <v>x00000170</v>
      </c>
      <c r="C229" t="s">
        <v>4947</v>
      </c>
      <c r="D229" t="s">
        <v>605</v>
      </c>
      <c r="E229">
        <v>0</v>
      </c>
      <c r="F229" t="str">
        <f>IF(AND(Entities[[#This Row],[ENT_TYPE]]="County",RIGHT(Entities[[#This Row],[ENT_NAME]],6)&lt;&gt;"County"),_xlfn.TEXTJOIN(" ",TRUE,Entities[[#This Row],[ENT_NAME]],"County"),Entities[[#This Row],[ENT_NAME]])</f>
        <v>Nolan County</v>
      </c>
    </row>
    <row r="230" spans="1:6" x14ac:dyDescent="0.25">
      <c r="A230" s="302" t="s">
        <v>5058</v>
      </c>
      <c r="B230" s="303" t="str">
        <f t="shared" si="3"/>
        <v>x00000171</v>
      </c>
      <c r="C230" t="s">
        <v>4947</v>
      </c>
      <c r="D230" t="s">
        <v>5059</v>
      </c>
      <c r="E230">
        <v>2</v>
      </c>
      <c r="F230" t="str">
        <f>IF(AND(Entities[[#This Row],[ENT_TYPE]]="County",RIGHT(Entities[[#This Row],[ENT_NAME]],6)&lt;&gt;"County"),_xlfn.TEXTJOIN(" ",TRUE,Entities[[#This Row],[ENT_NAME]],"County"),Entities[[#This Row],[ENT_NAME]])</f>
        <v>Panola County</v>
      </c>
    </row>
    <row r="231" spans="1:6" x14ac:dyDescent="0.25">
      <c r="A231" s="304" t="s">
        <v>5058</v>
      </c>
      <c r="B231" s="303" t="str">
        <f t="shared" si="3"/>
        <v>x00000171</v>
      </c>
      <c r="C231" t="s">
        <v>4947</v>
      </c>
      <c r="D231" t="s">
        <v>5059</v>
      </c>
      <c r="E231">
        <v>4</v>
      </c>
      <c r="F231" t="str">
        <f>IF(AND(Entities[[#This Row],[ENT_TYPE]]="County",RIGHT(Entities[[#This Row],[ENT_NAME]],6)&lt;&gt;"County"),_xlfn.TEXTJOIN(" ",TRUE,Entities[[#This Row],[ENT_NAME]],"County"),Entities[[#This Row],[ENT_NAME]])</f>
        <v>Panola County</v>
      </c>
    </row>
    <row r="232" spans="1:6" x14ac:dyDescent="0.25">
      <c r="A232" s="302" t="s">
        <v>423</v>
      </c>
      <c r="B232" s="303" t="str">
        <f t="shared" si="3"/>
        <v>x00000172</v>
      </c>
      <c r="C232" t="s">
        <v>4947</v>
      </c>
      <c r="D232" t="s">
        <v>417</v>
      </c>
      <c r="E232">
        <v>7</v>
      </c>
      <c r="F232" t="str">
        <f>IF(AND(Entities[[#This Row],[ENT_TYPE]]="County",RIGHT(Entities[[#This Row],[ENT_NAME]],6)&lt;&gt;"County"),_xlfn.TEXTJOIN(" ",TRUE,Entities[[#This Row],[ENT_NAME]],"County"),Entities[[#This Row],[ENT_NAME]])</f>
        <v>Mitchell County</v>
      </c>
    </row>
    <row r="233" spans="1:6" x14ac:dyDescent="0.25">
      <c r="A233" s="302" t="s">
        <v>423</v>
      </c>
      <c r="B233" s="303" t="str">
        <f t="shared" si="3"/>
        <v>x00000172</v>
      </c>
      <c r="C233" t="s">
        <v>4947</v>
      </c>
      <c r="D233" t="s">
        <v>417</v>
      </c>
      <c r="E233">
        <v>0</v>
      </c>
      <c r="F233" t="str">
        <f>IF(AND(Entities[[#This Row],[ENT_TYPE]]="County",RIGHT(Entities[[#This Row],[ENT_NAME]],6)&lt;&gt;"County"),_xlfn.TEXTJOIN(" ",TRUE,Entities[[#This Row],[ENT_NAME]],"County"),Entities[[#This Row],[ENT_NAME]])</f>
        <v>Mitchell County</v>
      </c>
    </row>
    <row r="234" spans="1:6" x14ac:dyDescent="0.25">
      <c r="A234" s="302" t="s">
        <v>1902</v>
      </c>
      <c r="B234" s="303" t="str">
        <f t="shared" si="3"/>
        <v>x00000175</v>
      </c>
      <c r="C234" t="s">
        <v>4947</v>
      </c>
      <c r="D234" t="s">
        <v>2403</v>
      </c>
      <c r="E234">
        <v>4</v>
      </c>
      <c r="F234" t="str">
        <f>IF(AND(Entities[[#This Row],[ENT_TYPE]]="County",RIGHT(Entities[[#This Row],[ENT_NAME]],6)&lt;&gt;"County"),_xlfn.TEXTJOIN(" ",TRUE,Entities[[#This Row],[ENT_NAME]],"County"),Entities[[#This Row],[ENT_NAME]])</f>
        <v>Rockwall County</v>
      </c>
    </row>
    <row r="235" spans="1:6" x14ac:dyDescent="0.25">
      <c r="A235" s="302" t="s">
        <v>1902</v>
      </c>
      <c r="B235" s="303" t="str">
        <f t="shared" si="3"/>
        <v>x00000175</v>
      </c>
      <c r="C235" t="s">
        <v>4947</v>
      </c>
      <c r="D235" t="s">
        <v>2403</v>
      </c>
      <c r="E235">
        <v>3</v>
      </c>
      <c r="F235" t="str">
        <f>IF(AND(Entities[[#This Row],[ENT_TYPE]]="County",RIGHT(Entities[[#This Row],[ENT_NAME]],6)&lt;&gt;"County"),_xlfn.TEXTJOIN(" ",TRUE,Entities[[#This Row],[ENT_NAME]],"County"),Entities[[#This Row],[ENT_NAME]])</f>
        <v>Rockwall County</v>
      </c>
    </row>
    <row r="236" spans="1:6" x14ac:dyDescent="0.25">
      <c r="A236" s="302" t="s">
        <v>5060</v>
      </c>
      <c r="B236" s="303" t="str">
        <f t="shared" si="3"/>
        <v>x00000177</v>
      </c>
      <c r="C236" t="s">
        <v>4947</v>
      </c>
      <c r="D236" t="s">
        <v>5036</v>
      </c>
      <c r="E236">
        <v>4</v>
      </c>
      <c r="F236" t="str">
        <f>IF(AND(Entities[[#This Row],[ENT_TYPE]]="County",RIGHT(Entities[[#This Row],[ENT_NAME]],6)&lt;&gt;"County"),_xlfn.TEXTJOIN(" ",TRUE,Entities[[#This Row],[ENT_NAME]],"County"),Entities[[#This Row],[ENT_NAME]])</f>
        <v>Wood County</v>
      </c>
    </row>
    <row r="237" spans="1:6" x14ac:dyDescent="0.25">
      <c r="A237" s="304" t="s">
        <v>3180</v>
      </c>
      <c r="B237" s="303" t="str">
        <f t="shared" si="3"/>
        <v>x00000183</v>
      </c>
      <c r="C237" t="s">
        <v>4947</v>
      </c>
      <c r="D237" t="s">
        <v>3175</v>
      </c>
      <c r="E237">
        <v>7</v>
      </c>
      <c r="F237" t="str">
        <f>IF(AND(Entities[[#This Row],[ENT_TYPE]]="County",RIGHT(Entities[[#This Row],[ENT_NAME]],6)&lt;&gt;"County"),_xlfn.TEXTJOIN(" ",TRUE,Entities[[#This Row],[ENT_NAME]],"County"),Entities[[#This Row],[ENT_NAME]])</f>
        <v>Garza County</v>
      </c>
    </row>
    <row r="238" spans="1:6" x14ac:dyDescent="0.25">
      <c r="A238" s="302" t="s">
        <v>3180</v>
      </c>
      <c r="B238" s="303" t="str">
        <f t="shared" si="3"/>
        <v>x00000183</v>
      </c>
      <c r="C238" t="s">
        <v>4947</v>
      </c>
      <c r="D238" t="s">
        <v>3175</v>
      </c>
      <c r="E238">
        <v>0</v>
      </c>
      <c r="F238" t="str">
        <f>IF(AND(Entities[[#This Row],[ENT_TYPE]]="County",RIGHT(Entities[[#This Row],[ENT_NAME]],6)&lt;&gt;"County"),_xlfn.TEXTJOIN(" ",TRUE,Entities[[#This Row],[ENT_NAME]],"County"),Entities[[#This Row],[ENT_NAME]])</f>
        <v>Garza County</v>
      </c>
    </row>
    <row r="239" spans="1:6" x14ac:dyDescent="0.25">
      <c r="A239" s="302" t="s">
        <v>586</v>
      </c>
      <c r="B239" s="303" t="str">
        <f t="shared" si="3"/>
        <v>x00000184</v>
      </c>
      <c r="C239" t="s">
        <v>4947</v>
      </c>
      <c r="D239" t="s">
        <v>590</v>
      </c>
      <c r="E239">
        <v>7</v>
      </c>
      <c r="F239" t="str">
        <f>IF(AND(Entities[[#This Row],[ENT_TYPE]]="County",RIGHT(Entities[[#This Row],[ENT_NAME]],6)&lt;&gt;"County"),_xlfn.TEXTJOIN(" ",TRUE,Entities[[#This Row],[ENT_NAME]],"County"),Entities[[#This Row],[ENT_NAME]])</f>
        <v>Lynn County</v>
      </c>
    </row>
    <row r="240" spans="1:6" x14ac:dyDescent="0.25">
      <c r="A240" s="302" t="s">
        <v>586</v>
      </c>
      <c r="B240" s="303" t="str">
        <f t="shared" si="3"/>
        <v>x00000184</v>
      </c>
      <c r="C240" t="s">
        <v>4947</v>
      </c>
      <c r="D240" t="s">
        <v>590</v>
      </c>
      <c r="E240">
        <v>0</v>
      </c>
      <c r="F240" t="str">
        <f>IF(AND(Entities[[#This Row],[ENT_TYPE]]="County",RIGHT(Entities[[#This Row],[ENT_NAME]],6)&lt;&gt;"County"),_xlfn.TEXTJOIN(" ",TRUE,Entities[[#This Row],[ENT_NAME]],"County"),Entities[[#This Row],[ENT_NAME]])</f>
        <v>Lynn County</v>
      </c>
    </row>
    <row r="241" spans="1:6" x14ac:dyDescent="0.25">
      <c r="A241" s="304" t="s">
        <v>5061</v>
      </c>
      <c r="B241" s="303" t="str">
        <f t="shared" si="3"/>
        <v>x00000185</v>
      </c>
      <c r="C241" t="s">
        <v>4947</v>
      </c>
      <c r="D241" t="s">
        <v>5062</v>
      </c>
      <c r="E241">
        <v>0</v>
      </c>
      <c r="F241" t="str">
        <f>IF(AND(Entities[[#This Row],[ENT_TYPE]]="County",RIGHT(Entities[[#This Row],[ENT_NAME]],6)&lt;&gt;"County"),_xlfn.TEXTJOIN(" ",TRUE,Entities[[#This Row],[ENT_NAME]],"County"),Entities[[#This Row],[ENT_NAME]])</f>
        <v>Young County</v>
      </c>
    </row>
    <row r="242" spans="1:6" x14ac:dyDescent="0.25">
      <c r="A242" s="304" t="s">
        <v>5061</v>
      </c>
      <c r="B242" s="303" t="str">
        <f t="shared" si="3"/>
        <v>x00000185</v>
      </c>
      <c r="C242" t="s">
        <v>4947</v>
      </c>
      <c r="D242" t="s">
        <v>5062</v>
      </c>
      <c r="E242">
        <v>7</v>
      </c>
      <c r="F242" t="str">
        <f>IF(AND(Entities[[#This Row],[ENT_TYPE]]="County",RIGHT(Entities[[#This Row],[ENT_NAME]],6)&lt;&gt;"County"),_xlfn.TEXTJOIN(" ",TRUE,Entities[[#This Row],[ENT_NAME]],"County"),Entities[[#This Row],[ENT_NAME]])</f>
        <v>Young County</v>
      </c>
    </row>
    <row r="243" spans="1:6" x14ac:dyDescent="0.25">
      <c r="A243" s="304" t="s">
        <v>5061</v>
      </c>
      <c r="B243" s="303" t="str">
        <f t="shared" si="3"/>
        <v>x00000185</v>
      </c>
      <c r="C243" t="s">
        <v>4947</v>
      </c>
      <c r="D243" t="s">
        <v>5062</v>
      </c>
      <c r="E243">
        <v>8</v>
      </c>
      <c r="F243" t="str">
        <f>IF(AND(Entities[[#This Row],[ENT_TYPE]]="County",RIGHT(Entities[[#This Row],[ENT_NAME]],6)&lt;&gt;"County"),_xlfn.TEXTJOIN(" ",TRUE,Entities[[#This Row],[ENT_NAME]],"County"),Entities[[#This Row],[ENT_NAME]])</f>
        <v>Young County</v>
      </c>
    </row>
    <row r="244" spans="1:6" x14ac:dyDescent="0.25">
      <c r="A244" s="302" t="s">
        <v>5061</v>
      </c>
      <c r="B244" s="303" t="str">
        <f t="shared" si="3"/>
        <v>x00000185</v>
      </c>
      <c r="C244" t="s">
        <v>4947</v>
      </c>
      <c r="D244" t="s">
        <v>5062</v>
      </c>
      <c r="E244">
        <v>3</v>
      </c>
      <c r="F244" t="str">
        <f>IF(AND(Entities[[#This Row],[ENT_TYPE]]="County",RIGHT(Entities[[#This Row],[ENT_NAME]],6)&lt;&gt;"County"),_xlfn.TEXTJOIN(" ",TRUE,Entities[[#This Row],[ENT_NAME]],"County"),Entities[[#This Row],[ENT_NAME]])</f>
        <v>Young County</v>
      </c>
    </row>
    <row r="245" spans="1:6" x14ac:dyDescent="0.25">
      <c r="A245" s="302" t="s">
        <v>654</v>
      </c>
      <c r="B245" s="303" t="str">
        <f t="shared" si="3"/>
        <v>x00000186</v>
      </c>
      <c r="C245" t="s">
        <v>4947</v>
      </c>
      <c r="D245" t="s">
        <v>581</v>
      </c>
      <c r="E245">
        <v>7</v>
      </c>
      <c r="F245" t="str">
        <f>IF(AND(Entities[[#This Row],[ENT_TYPE]]="County",RIGHT(Entities[[#This Row],[ENT_NAME]],6)&lt;&gt;"County"),_xlfn.TEXTJOIN(" ",TRUE,Entities[[#This Row],[ENT_NAME]],"County"),Entities[[#This Row],[ENT_NAME]])</f>
        <v>Hockley County</v>
      </c>
    </row>
    <row r="246" spans="1:6" x14ac:dyDescent="0.25">
      <c r="A246" s="302" t="s">
        <v>654</v>
      </c>
      <c r="B246" s="303" t="str">
        <f t="shared" si="3"/>
        <v>x00000186</v>
      </c>
      <c r="C246" t="s">
        <v>4947</v>
      </c>
      <c r="D246" t="s">
        <v>581</v>
      </c>
      <c r="E246">
        <v>0</v>
      </c>
      <c r="F246" t="str">
        <f>IF(AND(Entities[[#This Row],[ENT_TYPE]]="County",RIGHT(Entities[[#This Row],[ENT_NAME]],6)&lt;&gt;"County"),_xlfn.TEXTJOIN(" ",TRUE,Entities[[#This Row],[ENT_NAME]],"County"),Entities[[#This Row],[ENT_NAME]])</f>
        <v>Hockley County</v>
      </c>
    </row>
    <row r="247" spans="1:6" x14ac:dyDescent="0.25">
      <c r="A247" s="304" t="s">
        <v>716</v>
      </c>
      <c r="B247" s="303" t="str">
        <f t="shared" si="3"/>
        <v>x00000187</v>
      </c>
      <c r="C247" t="s">
        <v>4947</v>
      </c>
      <c r="D247" t="s">
        <v>649</v>
      </c>
      <c r="E247">
        <v>7</v>
      </c>
      <c r="F247" t="str">
        <f>IF(AND(Entities[[#This Row],[ENT_TYPE]]="County",RIGHT(Entities[[#This Row],[ENT_NAME]],6)&lt;&gt;"County"),_xlfn.TEXTJOIN(" ",TRUE,Entities[[#This Row],[ENT_NAME]],"County"),Entities[[#This Row],[ENT_NAME]])</f>
        <v>Cochran County</v>
      </c>
    </row>
    <row r="248" spans="1:6" x14ac:dyDescent="0.25">
      <c r="A248" s="302" t="s">
        <v>716</v>
      </c>
      <c r="B248" s="303" t="str">
        <f t="shared" si="3"/>
        <v>x00000187</v>
      </c>
      <c r="C248" t="s">
        <v>4947</v>
      </c>
      <c r="D248" t="s">
        <v>649</v>
      </c>
      <c r="E248">
        <v>0</v>
      </c>
      <c r="F248" t="str">
        <f>IF(AND(Entities[[#This Row],[ENT_TYPE]]="County",RIGHT(Entities[[#This Row],[ENT_NAME]],6)&lt;&gt;"County"),_xlfn.TEXTJOIN(" ",TRUE,Entities[[#This Row],[ENT_NAME]],"County"),Entities[[#This Row],[ENT_NAME]])</f>
        <v>Cochran County</v>
      </c>
    </row>
    <row r="249" spans="1:6" x14ac:dyDescent="0.25">
      <c r="A249" s="304" t="s">
        <v>1613</v>
      </c>
      <c r="B249" s="303" t="str">
        <f t="shared" si="3"/>
        <v>x00000188</v>
      </c>
      <c r="C249" t="s">
        <v>4947</v>
      </c>
      <c r="D249" t="s">
        <v>1610</v>
      </c>
      <c r="E249">
        <v>2</v>
      </c>
      <c r="F249" t="str">
        <f>IF(AND(Entities[[#This Row],[ENT_TYPE]]="County",RIGHT(Entities[[#This Row],[ENT_NAME]],6)&lt;&gt;"County"),_xlfn.TEXTJOIN(" ",TRUE,Entities[[#This Row],[ENT_NAME]],"County"),Entities[[#This Row],[ENT_NAME]])</f>
        <v>Fannin County</v>
      </c>
    </row>
    <row r="250" spans="1:6" x14ac:dyDescent="0.25">
      <c r="A250" s="302" t="s">
        <v>1613</v>
      </c>
      <c r="B250" s="303" t="str">
        <f t="shared" si="3"/>
        <v>x00000188</v>
      </c>
      <c r="C250" t="s">
        <v>4947</v>
      </c>
      <c r="D250" t="s">
        <v>1610</v>
      </c>
      <c r="E250">
        <v>3</v>
      </c>
      <c r="F250" t="str">
        <f>IF(AND(Entities[[#This Row],[ENT_TYPE]]="County",RIGHT(Entities[[#This Row],[ENT_NAME]],6)&lt;&gt;"County"),_xlfn.TEXTJOIN(" ",TRUE,Entities[[#This Row],[ENT_NAME]],"County"),Entities[[#This Row],[ENT_NAME]])</f>
        <v>Fannin County</v>
      </c>
    </row>
    <row r="251" spans="1:6" x14ac:dyDescent="0.25">
      <c r="A251" s="302" t="s">
        <v>1801</v>
      </c>
      <c r="B251" s="303" t="str">
        <f t="shared" si="3"/>
        <v>x00000189</v>
      </c>
      <c r="C251" t="s">
        <v>4947</v>
      </c>
      <c r="D251" t="s">
        <v>2057</v>
      </c>
      <c r="E251">
        <v>0</v>
      </c>
      <c r="F251" t="str">
        <f>IF(AND(Entities[[#This Row],[ENT_TYPE]]="County",RIGHT(Entities[[#This Row],[ENT_NAME]],6)&lt;&gt;"County"),_xlfn.TEXTJOIN(" ",TRUE,Entities[[#This Row],[ENT_NAME]],"County"),Entities[[#This Row],[ENT_NAME]])</f>
        <v>Cooke County</v>
      </c>
    </row>
    <row r="252" spans="1:6" x14ac:dyDescent="0.25">
      <c r="A252" s="302" t="s">
        <v>1801</v>
      </c>
      <c r="B252" s="303" t="str">
        <f t="shared" si="3"/>
        <v>x00000189</v>
      </c>
      <c r="C252" t="s">
        <v>4947</v>
      </c>
      <c r="D252" t="s">
        <v>2057</v>
      </c>
      <c r="E252">
        <v>2</v>
      </c>
      <c r="F252" t="str">
        <f>IF(AND(Entities[[#This Row],[ENT_TYPE]]="County",RIGHT(Entities[[#This Row],[ENT_NAME]],6)&lt;&gt;"County"),_xlfn.TEXTJOIN(" ",TRUE,Entities[[#This Row],[ENT_NAME]],"County"),Entities[[#This Row],[ENT_NAME]])</f>
        <v>Cooke County</v>
      </c>
    </row>
    <row r="253" spans="1:6" x14ac:dyDescent="0.25">
      <c r="A253" s="302" t="s">
        <v>1801</v>
      </c>
      <c r="B253" s="303" t="str">
        <f t="shared" si="3"/>
        <v>x00000189</v>
      </c>
      <c r="C253" t="s">
        <v>4947</v>
      </c>
      <c r="D253" t="s">
        <v>2057</v>
      </c>
      <c r="E253">
        <v>3</v>
      </c>
      <c r="F253" t="str">
        <f>IF(AND(Entities[[#This Row],[ENT_TYPE]]="County",RIGHT(Entities[[#This Row],[ENT_NAME]],6)&lt;&gt;"County"),_xlfn.TEXTJOIN(" ",TRUE,Entities[[#This Row],[ENT_NAME]],"County"),Entities[[#This Row],[ENT_NAME]])</f>
        <v>Cooke County</v>
      </c>
    </row>
    <row r="254" spans="1:6" x14ac:dyDescent="0.25">
      <c r="A254" s="304" t="s">
        <v>1625</v>
      </c>
      <c r="B254" s="303" t="str">
        <f t="shared" si="3"/>
        <v>x00000190</v>
      </c>
      <c r="C254" t="s">
        <v>4947</v>
      </c>
      <c r="D254" t="s">
        <v>1528</v>
      </c>
      <c r="E254">
        <v>2</v>
      </c>
      <c r="F254" t="str">
        <f>IF(AND(Entities[[#This Row],[ENT_TYPE]]="County",RIGHT(Entities[[#This Row],[ENT_NAME]],6)&lt;&gt;"County"),_xlfn.TEXTJOIN(" ",TRUE,Entities[[#This Row],[ENT_NAME]],"County"),Entities[[#This Row],[ENT_NAME]])</f>
        <v>Grayson County</v>
      </c>
    </row>
    <row r="255" spans="1:6" x14ac:dyDescent="0.25">
      <c r="A255" s="302" t="s">
        <v>1625</v>
      </c>
      <c r="B255" s="303" t="str">
        <f t="shared" si="3"/>
        <v>x00000190</v>
      </c>
      <c r="C255" t="s">
        <v>4947</v>
      </c>
      <c r="D255" t="s">
        <v>1528</v>
      </c>
      <c r="E255">
        <v>3</v>
      </c>
      <c r="F255" t="str">
        <f>IF(AND(Entities[[#This Row],[ENT_TYPE]]="County",RIGHT(Entities[[#This Row],[ENT_NAME]],6)&lt;&gt;"County"),_xlfn.TEXTJOIN(" ",TRUE,Entities[[#This Row],[ENT_NAME]],"County"),Entities[[#This Row],[ENT_NAME]])</f>
        <v>Grayson County</v>
      </c>
    </row>
    <row r="256" spans="1:6" x14ac:dyDescent="0.25">
      <c r="A256" s="304" t="s">
        <v>2134</v>
      </c>
      <c r="B256" s="303" t="str">
        <f t="shared" si="3"/>
        <v>x00000191</v>
      </c>
      <c r="C256" t="s">
        <v>4947</v>
      </c>
      <c r="D256" t="s">
        <v>5063</v>
      </c>
      <c r="E256">
        <v>0</v>
      </c>
      <c r="F256" t="str">
        <f>IF(AND(Entities[[#This Row],[ENT_TYPE]]="County",RIGHT(Entities[[#This Row],[ENT_NAME]],6)&lt;&gt;"County"),_xlfn.TEXTJOIN(" ",TRUE,Entities[[#This Row],[ENT_NAME]],"County"),Entities[[#This Row],[ENT_NAME]])</f>
        <v>Montague County</v>
      </c>
    </row>
    <row r="257" spans="1:6" x14ac:dyDescent="0.25">
      <c r="A257" s="302" t="s">
        <v>2134</v>
      </c>
      <c r="B257" s="303" t="str">
        <f t="shared" si="3"/>
        <v>x00000191</v>
      </c>
      <c r="C257" t="s">
        <v>4947</v>
      </c>
      <c r="D257" t="s">
        <v>5063</v>
      </c>
      <c r="E257">
        <v>3</v>
      </c>
      <c r="F257" t="str">
        <f>IF(AND(Entities[[#This Row],[ENT_TYPE]]="County",RIGHT(Entities[[#This Row],[ENT_NAME]],6)&lt;&gt;"County"),_xlfn.TEXTJOIN(" ",TRUE,Entities[[#This Row],[ENT_NAME]],"County"),Entities[[#This Row],[ENT_NAME]])</f>
        <v>Montague County</v>
      </c>
    </row>
    <row r="258" spans="1:6" x14ac:dyDescent="0.25">
      <c r="A258" s="302" t="s">
        <v>5064</v>
      </c>
      <c r="B258" s="303" t="str">
        <f t="shared" ref="B258:B321" si="4">_xlfn.CONCAT("x",TEXT(A258,"00000000"))</f>
        <v>x00000194</v>
      </c>
      <c r="C258" t="s">
        <v>4947</v>
      </c>
      <c r="D258" t="s">
        <v>1104</v>
      </c>
      <c r="E258">
        <v>0</v>
      </c>
      <c r="F258" t="str">
        <f>IF(AND(Entities[[#This Row],[ENT_TYPE]]="County",RIGHT(Entities[[#This Row],[ENT_NAME]],6)&lt;&gt;"County"),_xlfn.TEXTJOIN(" ",TRUE,Entities[[#This Row],[ENT_NAME]],"County"),Entities[[#This Row],[ENT_NAME]])</f>
        <v>Clay County</v>
      </c>
    </row>
    <row r="259" spans="1:6" x14ac:dyDescent="0.25">
      <c r="A259" s="302" t="s">
        <v>5064</v>
      </c>
      <c r="B259" s="303" t="str">
        <f t="shared" si="4"/>
        <v>x00000194</v>
      </c>
      <c r="C259" t="s">
        <v>4947</v>
      </c>
      <c r="D259" t="s">
        <v>1104</v>
      </c>
      <c r="E259">
        <v>3</v>
      </c>
      <c r="F259" t="str">
        <f>IF(AND(Entities[[#This Row],[ENT_TYPE]]="County",RIGHT(Entities[[#This Row],[ENT_NAME]],6)&lt;&gt;"County"),_xlfn.TEXTJOIN(" ",TRUE,Entities[[#This Row],[ENT_NAME]],"County"),Entities[[#This Row],[ENT_NAME]])</f>
        <v>Clay County</v>
      </c>
    </row>
    <row r="260" spans="1:6" x14ac:dyDescent="0.25">
      <c r="A260" s="304" t="s">
        <v>3144</v>
      </c>
      <c r="B260" s="303" t="str">
        <f t="shared" si="4"/>
        <v>x00000199</v>
      </c>
      <c r="C260" t="s">
        <v>4947</v>
      </c>
      <c r="D260" t="s">
        <v>1231</v>
      </c>
      <c r="E260">
        <v>0</v>
      </c>
      <c r="F260" t="str">
        <f>IF(AND(Entities[[#This Row],[ENT_TYPE]]="County",RIGHT(Entities[[#This Row],[ENT_NAME]],6)&lt;&gt;"County"),_xlfn.TEXTJOIN(" ",TRUE,Entities[[#This Row],[ENT_NAME]],"County"),Entities[[#This Row],[ENT_NAME]])</f>
        <v>Floyd County</v>
      </c>
    </row>
    <row r="261" spans="1:6" x14ac:dyDescent="0.25">
      <c r="A261" s="302" t="s">
        <v>3144</v>
      </c>
      <c r="B261" s="303" t="str">
        <f t="shared" si="4"/>
        <v>x00000199</v>
      </c>
      <c r="C261" t="s">
        <v>4947</v>
      </c>
      <c r="D261" t="s">
        <v>1231</v>
      </c>
      <c r="E261">
        <v>7</v>
      </c>
      <c r="F261" t="str">
        <f>IF(AND(Entities[[#This Row],[ENT_TYPE]]="County",RIGHT(Entities[[#This Row],[ENT_NAME]],6)&lt;&gt;"County"),_xlfn.TEXTJOIN(" ",TRUE,Entities[[#This Row],[ENT_NAME]],"County"),Entities[[#This Row],[ENT_NAME]])</f>
        <v>Floyd County</v>
      </c>
    </row>
    <row r="262" spans="1:6" x14ac:dyDescent="0.25">
      <c r="A262" s="302" t="s">
        <v>5065</v>
      </c>
      <c r="B262" s="303" t="str">
        <f t="shared" si="4"/>
        <v>x00000200</v>
      </c>
      <c r="C262" t="s">
        <v>4947</v>
      </c>
      <c r="D262" t="s">
        <v>3205</v>
      </c>
      <c r="E262">
        <v>0</v>
      </c>
      <c r="F262" t="str">
        <f>IF(AND(Entities[[#This Row],[ENT_TYPE]]="County",RIGHT(Entities[[#This Row],[ENT_NAME]],6)&lt;&gt;"County"),_xlfn.TEXTJOIN(" ",TRUE,Entities[[#This Row],[ENT_NAME]],"County"),Entities[[#This Row],[ENT_NAME]])</f>
        <v>Hale County</v>
      </c>
    </row>
    <row r="263" spans="1:6" x14ac:dyDescent="0.25">
      <c r="A263" s="304" t="s">
        <v>5065</v>
      </c>
      <c r="B263" s="303" t="str">
        <f t="shared" si="4"/>
        <v>x00000200</v>
      </c>
      <c r="C263" t="s">
        <v>4947</v>
      </c>
      <c r="D263" t="s">
        <v>3205</v>
      </c>
      <c r="E263">
        <v>7</v>
      </c>
      <c r="F263" t="str">
        <f>IF(AND(Entities[[#This Row],[ENT_TYPE]]="County",RIGHT(Entities[[#This Row],[ENT_NAME]],6)&lt;&gt;"County"),_xlfn.TEXTJOIN(" ",TRUE,Entities[[#This Row],[ENT_NAME]],"County"),Entities[[#This Row],[ENT_NAME]])</f>
        <v>Hale County</v>
      </c>
    </row>
    <row r="264" spans="1:6" x14ac:dyDescent="0.25">
      <c r="A264" s="302" t="s">
        <v>532</v>
      </c>
      <c r="B264" s="303" t="str">
        <f t="shared" si="4"/>
        <v>x00000205</v>
      </c>
      <c r="C264" t="s">
        <v>4947</v>
      </c>
      <c r="D264" t="s">
        <v>528</v>
      </c>
      <c r="E264">
        <v>7</v>
      </c>
      <c r="F264" t="str">
        <f>IF(AND(Entities[[#This Row],[ENT_TYPE]]="County",RIGHT(Entities[[#This Row],[ENT_NAME]],6)&lt;&gt;"County"),_xlfn.TEXTJOIN(" ",TRUE,Entities[[#This Row],[ENT_NAME]],"County"),Entities[[#This Row],[ENT_NAME]])</f>
        <v>Terry County</v>
      </c>
    </row>
    <row r="265" spans="1:6" x14ac:dyDescent="0.25">
      <c r="A265" s="302" t="s">
        <v>532</v>
      </c>
      <c r="B265" s="303" t="str">
        <f t="shared" si="4"/>
        <v>x00000205</v>
      </c>
      <c r="C265" t="s">
        <v>4947</v>
      </c>
      <c r="D265" t="s">
        <v>528</v>
      </c>
      <c r="E265">
        <v>0</v>
      </c>
      <c r="F265" t="str">
        <f>IF(AND(Entities[[#This Row],[ENT_TYPE]]="County",RIGHT(Entities[[#This Row],[ENT_NAME]],6)&lt;&gt;"County"),_xlfn.TEXTJOIN(" ",TRUE,Entities[[#This Row],[ENT_NAME]],"County"),Entities[[#This Row],[ENT_NAME]])</f>
        <v>Terry County</v>
      </c>
    </row>
    <row r="266" spans="1:6" x14ac:dyDescent="0.25">
      <c r="A266" s="304" t="s">
        <v>1794</v>
      </c>
      <c r="B266" s="303" t="str">
        <f t="shared" si="4"/>
        <v>x00000207</v>
      </c>
      <c r="C266" t="s">
        <v>4947</v>
      </c>
      <c r="D266" t="s">
        <v>2414</v>
      </c>
      <c r="E266">
        <v>4</v>
      </c>
      <c r="F266" t="str">
        <f>IF(AND(Entities[[#This Row],[ENT_TYPE]]="County",RIGHT(Entities[[#This Row],[ENT_NAME]],6)&lt;&gt;"County"),_xlfn.TEXTJOIN(" ",TRUE,Entities[[#This Row],[ENT_NAME]],"County"),Entities[[#This Row],[ENT_NAME]])</f>
        <v>Collin County</v>
      </c>
    </row>
    <row r="267" spans="1:6" x14ac:dyDescent="0.25">
      <c r="A267" s="302" t="s">
        <v>1794</v>
      </c>
      <c r="B267" s="303" t="str">
        <f t="shared" si="4"/>
        <v>x00000207</v>
      </c>
      <c r="C267" t="s">
        <v>4947</v>
      </c>
      <c r="D267" t="s">
        <v>2414</v>
      </c>
      <c r="E267">
        <v>3</v>
      </c>
      <c r="F267" t="str">
        <f>IF(AND(Entities[[#This Row],[ENT_TYPE]]="County",RIGHT(Entities[[#This Row],[ENT_NAME]],6)&lt;&gt;"County"),_xlfn.TEXTJOIN(" ",TRUE,Entities[[#This Row],[ENT_NAME]],"County"),Entities[[#This Row],[ENT_NAME]])</f>
        <v>Collin County</v>
      </c>
    </row>
    <row r="268" spans="1:6" x14ac:dyDescent="0.25">
      <c r="A268" s="302" t="s">
        <v>1638</v>
      </c>
      <c r="B268" s="303" t="str">
        <f t="shared" si="4"/>
        <v>x00000210</v>
      </c>
      <c r="C268" t="s">
        <v>4947</v>
      </c>
      <c r="D268" t="s">
        <v>1634</v>
      </c>
      <c r="E268">
        <v>2</v>
      </c>
      <c r="F268" t="str">
        <f>IF(AND(Entities[[#This Row],[ENT_TYPE]]="County",RIGHT(Entities[[#This Row],[ENT_NAME]],6)&lt;&gt;"County"),_xlfn.TEXTJOIN(" ",TRUE,Entities[[#This Row],[ENT_NAME]],"County"),Entities[[#This Row],[ENT_NAME]])</f>
        <v>Hopkins County</v>
      </c>
    </row>
    <row r="269" spans="1:6" x14ac:dyDescent="0.25">
      <c r="A269" s="302" t="s">
        <v>1638</v>
      </c>
      <c r="B269" s="303" t="str">
        <f t="shared" si="4"/>
        <v>x00000210</v>
      </c>
      <c r="C269" t="s">
        <v>4947</v>
      </c>
      <c r="D269" t="s">
        <v>1634</v>
      </c>
      <c r="E269">
        <v>4</v>
      </c>
      <c r="F269" t="str">
        <f>IF(AND(Entities[[#This Row],[ENT_TYPE]]="County",RIGHT(Entities[[#This Row],[ENT_NAME]],6)&lt;&gt;"County"),_xlfn.TEXTJOIN(" ",TRUE,Entities[[#This Row],[ENT_NAME]],"County"),Entities[[#This Row],[ENT_NAME]])</f>
        <v>Hopkins County</v>
      </c>
    </row>
    <row r="270" spans="1:6" x14ac:dyDescent="0.25">
      <c r="A270" s="302" t="s">
        <v>2073</v>
      </c>
      <c r="B270" s="303" t="str">
        <f t="shared" si="4"/>
        <v>x00000212</v>
      </c>
      <c r="C270" t="s">
        <v>4947</v>
      </c>
      <c r="D270" t="s">
        <v>1575</v>
      </c>
      <c r="E270">
        <v>2</v>
      </c>
      <c r="F270" t="str">
        <f>IF(AND(Entities[[#This Row],[ENT_TYPE]]="County",RIGHT(Entities[[#This Row],[ENT_NAME]],6)&lt;&gt;"County"),_xlfn.TEXTJOIN(" ",TRUE,Entities[[#This Row],[ENT_NAME]],"County"),Entities[[#This Row],[ENT_NAME]])</f>
        <v>Hunt County</v>
      </c>
    </row>
    <row r="271" spans="1:6" x14ac:dyDescent="0.25">
      <c r="A271" s="304" t="s">
        <v>2073</v>
      </c>
      <c r="B271" s="303" t="str">
        <f t="shared" si="4"/>
        <v>x00000212</v>
      </c>
      <c r="C271" t="s">
        <v>4947</v>
      </c>
      <c r="D271" t="s">
        <v>1575</v>
      </c>
      <c r="E271">
        <v>4</v>
      </c>
      <c r="F271" t="str">
        <f>IF(AND(Entities[[#This Row],[ENT_TYPE]]="County",RIGHT(Entities[[#This Row],[ENT_NAME]],6)&lt;&gt;"County"),_xlfn.TEXTJOIN(" ",TRUE,Entities[[#This Row],[ENT_NAME]],"County"),Entities[[#This Row],[ENT_NAME]])</f>
        <v>Hunt County</v>
      </c>
    </row>
    <row r="272" spans="1:6" x14ac:dyDescent="0.25">
      <c r="A272" s="302" t="s">
        <v>2073</v>
      </c>
      <c r="B272" s="303" t="str">
        <f t="shared" si="4"/>
        <v>x00000212</v>
      </c>
      <c r="C272" t="s">
        <v>4947</v>
      </c>
      <c r="D272" t="s">
        <v>1575</v>
      </c>
      <c r="E272">
        <v>3</v>
      </c>
      <c r="F272" t="str">
        <f>IF(AND(Entities[[#This Row],[ENT_TYPE]]="County",RIGHT(Entities[[#This Row],[ENT_NAME]],6)&lt;&gt;"County"),_xlfn.TEXTJOIN(" ",TRUE,Entities[[#This Row],[ENT_NAME]],"County"),Entities[[#This Row],[ENT_NAME]])</f>
        <v>Hunt County</v>
      </c>
    </row>
    <row r="273" spans="1:6" x14ac:dyDescent="0.25">
      <c r="A273" s="304" t="s">
        <v>1620</v>
      </c>
      <c r="B273" s="303" t="str">
        <f t="shared" si="4"/>
        <v>x00000213</v>
      </c>
      <c r="C273" t="s">
        <v>4947</v>
      </c>
      <c r="D273" t="s">
        <v>1616</v>
      </c>
      <c r="E273">
        <v>2</v>
      </c>
      <c r="F273" t="str">
        <f>IF(AND(Entities[[#This Row],[ENT_TYPE]]="County",RIGHT(Entities[[#This Row],[ENT_NAME]],6)&lt;&gt;"County"),_xlfn.TEXTJOIN(" ",TRUE,Entities[[#This Row],[ENT_NAME]],"County"),Entities[[#This Row],[ENT_NAME]])</f>
        <v>Franklin County</v>
      </c>
    </row>
    <row r="274" spans="1:6" x14ac:dyDescent="0.25">
      <c r="A274" s="302" t="s">
        <v>1620</v>
      </c>
      <c r="B274" s="303" t="str">
        <f t="shared" si="4"/>
        <v>x00000213</v>
      </c>
      <c r="C274" t="s">
        <v>4947</v>
      </c>
      <c r="D274" t="s">
        <v>1616</v>
      </c>
      <c r="E274">
        <v>4</v>
      </c>
      <c r="F274" t="str">
        <f>IF(AND(Entities[[#This Row],[ENT_TYPE]]="County",RIGHT(Entities[[#This Row],[ENT_NAME]],6)&lt;&gt;"County"),_xlfn.TEXTJOIN(" ",TRUE,Entities[[#This Row],[ENT_NAME]],"County"),Entities[[#This Row],[ENT_NAME]])</f>
        <v>Franklin County</v>
      </c>
    </row>
    <row r="275" spans="1:6" x14ac:dyDescent="0.25">
      <c r="A275" s="304" t="s">
        <v>1340</v>
      </c>
      <c r="B275" s="303" t="str">
        <f t="shared" si="4"/>
        <v>x00000217</v>
      </c>
      <c r="C275" t="s">
        <v>4947</v>
      </c>
      <c r="D275" t="s">
        <v>1335</v>
      </c>
      <c r="E275">
        <v>0</v>
      </c>
      <c r="F275" t="str">
        <f>IF(AND(Entities[[#This Row],[ENT_TYPE]]="County",RIGHT(Entities[[#This Row],[ENT_NAME]],6)&lt;&gt;"County"),_xlfn.TEXTJOIN(" ",TRUE,Entities[[#This Row],[ENT_NAME]],"County"),Entities[[#This Row],[ENT_NAME]])</f>
        <v>Knox County</v>
      </c>
    </row>
    <row r="276" spans="1:6" x14ac:dyDescent="0.25">
      <c r="A276" s="304" t="s">
        <v>1340</v>
      </c>
      <c r="B276" s="303" t="str">
        <f t="shared" si="4"/>
        <v>x00000217</v>
      </c>
      <c r="C276" t="s">
        <v>4947</v>
      </c>
      <c r="D276" t="s">
        <v>1335</v>
      </c>
      <c r="E276">
        <v>7</v>
      </c>
      <c r="F276" t="str">
        <f>IF(AND(Entities[[#This Row],[ENT_TYPE]]="County",RIGHT(Entities[[#This Row],[ENT_NAME]],6)&lt;&gt;"County"),_xlfn.TEXTJOIN(" ",TRUE,Entities[[#This Row],[ENT_NAME]],"County"),Entities[[#This Row],[ENT_NAME]])</f>
        <v>Knox County</v>
      </c>
    </row>
    <row r="277" spans="1:6" x14ac:dyDescent="0.25">
      <c r="A277" s="302" t="s">
        <v>3152</v>
      </c>
      <c r="B277" s="303" t="str">
        <f t="shared" si="4"/>
        <v>x00000218</v>
      </c>
      <c r="C277" t="s">
        <v>4947</v>
      </c>
      <c r="D277" t="s">
        <v>3147</v>
      </c>
      <c r="E277">
        <v>0</v>
      </c>
      <c r="F277" t="str">
        <f>IF(AND(Entities[[#This Row],[ENT_TYPE]]="County",RIGHT(Entities[[#This Row],[ENT_NAME]],6)&lt;&gt;"County"),_xlfn.TEXTJOIN(" ",TRUE,Entities[[#This Row],[ENT_NAME]],"County"),Entities[[#This Row],[ENT_NAME]])</f>
        <v>King County</v>
      </c>
    </row>
    <row r="278" spans="1:6" x14ac:dyDescent="0.25">
      <c r="A278" s="302" t="s">
        <v>3152</v>
      </c>
      <c r="B278" s="303" t="str">
        <f t="shared" si="4"/>
        <v>x00000218</v>
      </c>
      <c r="C278" t="s">
        <v>4947</v>
      </c>
      <c r="D278" t="s">
        <v>3147</v>
      </c>
      <c r="E278">
        <v>7</v>
      </c>
      <c r="F278" t="str">
        <f>IF(AND(Entities[[#This Row],[ENT_TYPE]]="County",RIGHT(Entities[[#This Row],[ENT_NAME]],6)&lt;&gt;"County"),_xlfn.TEXTJOIN(" ",TRUE,Entities[[#This Row],[ENT_NAME]],"County"),Entities[[#This Row],[ENT_NAME]])</f>
        <v>King County</v>
      </c>
    </row>
    <row r="279" spans="1:6" x14ac:dyDescent="0.25">
      <c r="A279" s="304" t="s">
        <v>5066</v>
      </c>
      <c r="B279" s="303" t="str">
        <f t="shared" si="4"/>
        <v>x00000219</v>
      </c>
      <c r="C279" t="s">
        <v>4947</v>
      </c>
      <c r="D279" t="s">
        <v>3292</v>
      </c>
      <c r="E279">
        <v>0</v>
      </c>
      <c r="F279" t="str">
        <f>IF(AND(Entities[[#This Row],[ENT_TYPE]]="County",RIGHT(Entities[[#This Row],[ENT_NAME]],6)&lt;&gt;"County"),_xlfn.TEXTJOIN(" ",TRUE,Entities[[#This Row],[ENT_NAME]],"County"),Entities[[#This Row],[ENT_NAME]])</f>
        <v>Dickens County</v>
      </c>
    </row>
    <row r="280" spans="1:6" x14ac:dyDescent="0.25">
      <c r="A280" s="304" t="s">
        <v>5066</v>
      </c>
      <c r="B280" s="303" t="str">
        <f t="shared" si="4"/>
        <v>x00000219</v>
      </c>
      <c r="C280" t="s">
        <v>4947</v>
      </c>
      <c r="D280" t="s">
        <v>3292</v>
      </c>
      <c r="E280">
        <v>7</v>
      </c>
      <c r="F280" t="str">
        <f>IF(AND(Entities[[#This Row],[ENT_TYPE]]="County",RIGHT(Entities[[#This Row],[ENT_NAME]],6)&lt;&gt;"County"),_xlfn.TEXTJOIN(" ",TRUE,Entities[[#This Row],[ENT_NAME]],"County"),Entities[[#This Row],[ENT_NAME]])</f>
        <v>Dickens County</v>
      </c>
    </row>
    <row r="281" spans="1:6" x14ac:dyDescent="0.25">
      <c r="A281" s="302" t="s">
        <v>5067</v>
      </c>
      <c r="B281" s="303" t="str">
        <f t="shared" si="4"/>
        <v>x00000220</v>
      </c>
      <c r="C281" t="s">
        <v>4947</v>
      </c>
      <c r="D281" t="s">
        <v>5068</v>
      </c>
      <c r="E281">
        <v>0</v>
      </c>
      <c r="F281" t="str">
        <f>IF(AND(Entities[[#This Row],[ENT_TYPE]]="County",RIGHT(Entities[[#This Row],[ENT_NAME]],6)&lt;&gt;"County"),_xlfn.TEXTJOIN(" ",TRUE,Entities[[#This Row],[ENT_NAME]],"County"),Entities[[#This Row],[ENT_NAME]])</f>
        <v>Baylor County</v>
      </c>
    </row>
    <row r="282" spans="1:6" x14ac:dyDescent="0.25">
      <c r="A282" s="302" t="s">
        <v>5067</v>
      </c>
      <c r="B282" s="303" t="str">
        <f t="shared" si="4"/>
        <v>x00000220</v>
      </c>
      <c r="C282" t="s">
        <v>4947</v>
      </c>
      <c r="D282" t="s">
        <v>5068</v>
      </c>
      <c r="E282">
        <v>7</v>
      </c>
      <c r="F282" t="str">
        <f>IF(AND(Entities[[#This Row],[ENT_TYPE]]="County",RIGHT(Entities[[#This Row],[ENT_NAME]],6)&lt;&gt;"County"),_xlfn.TEXTJOIN(" ",TRUE,Entities[[#This Row],[ENT_NAME]],"County"),Entities[[#This Row],[ENT_NAME]])</f>
        <v>Baylor County</v>
      </c>
    </row>
    <row r="283" spans="1:6" x14ac:dyDescent="0.25">
      <c r="A283" s="304" t="s">
        <v>3166</v>
      </c>
      <c r="B283" s="303" t="str">
        <f t="shared" si="4"/>
        <v>x00000221</v>
      </c>
      <c r="C283" t="s">
        <v>4947</v>
      </c>
      <c r="D283" t="s">
        <v>3161</v>
      </c>
      <c r="E283">
        <v>0</v>
      </c>
      <c r="F283" t="str">
        <f>IF(AND(Entities[[#This Row],[ENT_TYPE]]="County",RIGHT(Entities[[#This Row],[ENT_NAME]],6)&lt;&gt;"County"),_xlfn.TEXTJOIN(" ",TRUE,Entities[[#This Row],[ENT_NAME]],"County"),Entities[[#This Row],[ENT_NAME]])</f>
        <v>Crosby County</v>
      </c>
    </row>
    <row r="284" spans="1:6" x14ac:dyDescent="0.25">
      <c r="A284" s="304" t="s">
        <v>3166</v>
      </c>
      <c r="B284" s="303" t="str">
        <f t="shared" si="4"/>
        <v>x00000221</v>
      </c>
      <c r="C284" t="s">
        <v>4947</v>
      </c>
      <c r="D284" t="s">
        <v>3161</v>
      </c>
      <c r="E284">
        <v>7</v>
      </c>
      <c r="F284" t="str">
        <f>IF(AND(Entities[[#This Row],[ENT_TYPE]]="County",RIGHT(Entities[[#This Row],[ENT_NAME]],6)&lt;&gt;"County"),_xlfn.TEXTJOIN(" ",TRUE,Entities[[#This Row],[ENT_NAME]],"County"),Entities[[#This Row],[ENT_NAME]])</f>
        <v>Crosby County</v>
      </c>
    </row>
    <row r="285" spans="1:6" x14ac:dyDescent="0.25">
      <c r="A285" s="302" t="s">
        <v>5069</v>
      </c>
      <c r="B285" s="303" t="str">
        <f t="shared" si="4"/>
        <v>x00000223</v>
      </c>
      <c r="C285" t="s">
        <v>4947</v>
      </c>
      <c r="D285" t="s">
        <v>5070</v>
      </c>
      <c r="E285">
        <v>0</v>
      </c>
      <c r="F285" t="str">
        <f>IF(AND(Entities[[#This Row],[ENT_TYPE]]="County",RIGHT(Entities[[#This Row],[ENT_NAME]],6)&lt;&gt;"County"),_xlfn.TEXTJOIN(" ",TRUE,Entities[[#This Row],[ENT_NAME]],"County"),Entities[[#This Row],[ENT_NAME]])</f>
        <v>Archer County</v>
      </c>
    </row>
    <row r="286" spans="1:6" x14ac:dyDescent="0.25">
      <c r="A286" s="304" t="s">
        <v>5069</v>
      </c>
      <c r="B286" s="303" t="str">
        <f t="shared" si="4"/>
        <v>x00000223</v>
      </c>
      <c r="C286" t="s">
        <v>4947</v>
      </c>
      <c r="D286" t="s">
        <v>5070</v>
      </c>
      <c r="E286">
        <v>7</v>
      </c>
      <c r="F286" t="str">
        <f>IF(AND(Entities[[#This Row],[ENT_TYPE]]="County",RIGHT(Entities[[#This Row],[ENT_NAME]],6)&lt;&gt;"County"),_xlfn.TEXTJOIN(" ",TRUE,Entities[[#This Row],[ENT_NAME]],"County"),Entities[[#This Row],[ENT_NAME]])</f>
        <v>Archer County</v>
      </c>
    </row>
    <row r="287" spans="1:6" x14ac:dyDescent="0.25">
      <c r="A287" s="302" t="s">
        <v>5069</v>
      </c>
      <c r="B287" s="303" t="str">
        <f t="shared" si="4"/>
        <v>x00000223</v>
      </c>
      <c r="C287" t="s">
        <v>4947</v>
      </c>
      <c r="D287" t="s">
        <v>5070</v>
      </c>
      <c r="E287">
        <v>8</v>
      </c>
      <c r="F287" t="str">
        <f>IF(AND(Entities[[#This Row],[ENT_TYPE]]="County",RIGHT(Entities[[#This Row],[ENT_NAME]],6)&lt;&gt;"County"),_xlfn.TEXTJOIN(" ",TRUE,Entities[[#This Row],[ENT_NAME]],"County"),Entities[[#This Row],[ENT_NAME]])</f>
        <v>Archer County</v>
      </c>
    </row>
    <row r="288" spans="1:6" x14ac:dyDescent="0.25">
      <c r="A288" s="302" t="s">
        <v>5069</v>
      </c>
      <c r="B288" s="303" t="str">
        <f t="shared" si="4"/>
        <v>x00000223</v>
      </c>
      <c r="C288" t="s">
        <v>4947</v>
      </c>
      <c r="D288" t="s">
        <v>5070</v>
      </c>
      <c r="E288">
        <v>3</v>
      </c>
      <c r="F288" t="str">
        <f>IF(AND(Entities[[#This Row],[ENT_TYPE]]="County",RIGHT(Entities[[#This Row],[ENT_NAME]],6)&lt;&gt;"County"),_xlfn.TEXTJOIN(" ",TRUE,Entities[[#This Row],[ENT_NAME]],"County"),Entities[[#This Row],[ENT_NAME]])</f>
        <v>Archer County</v>
      </c>
    </row>
    <row r="289" spans="1:14" x14ac:dyDescent="0.25">
      <c r="A289" s="302" t="s">
        <v>5071</v>
      </c>
      <c r="B289" s="303" t="str">
        <f t="shared" si="4"/>
        <v>x00000237</v>
      </c>
      <c r="C289" t="s">
        <v>4947</v>
      </c>
      <c r="D289" t="s">
        <v>5072</v>
      </c>
      <c r="E289">
        <v>0</v>
      </c>
      <c r="F289" t="str">
        <f>IF(AND(Entities[[#This Row],[ENT_TYPE]]="County",RIGHT(Entities[[#This Row],[ENT_NAME]],6)&lt;&gt;"County"),_xlfn.TEXTJOIN(" ",TRUE,Entities[[#This Row],[ENT_NAME]],"County"),Entities[[#This Row],[ENT_NAME]])</f>
        <v>Swisher County</v>
      </c>
    </row>
    <row r="290" spans="1:14" x14ac:dyDescent="0.25">
      <c r="A290" s="302" t="s">
        <v>5071</v>
      </c>
      <c r="B290" s="303" t="str">
        <f t="shared" si="4"/>
        <v>x00000237</v>
      </c>
      <c r="C290" t="s">
        <v>4947</v>
      </c>
      <c r="D290" t="s">
        <v>5072</v>
      </c>
      <c r="E290">
        <v>7</v>
      </c>
      <c r="F290" t="str">
        <f>IF(AND(Entities[[#This Row],[ENT_TYPE]]="County",RIGHT(Entities[[#This Row],[ENT_NAME]],6)&lt;&gt;"County"),_xlfn.TEXTJOIN(" ",TRUE,Entities[[#This Row],[ENT_NAME]],"County"),Entities[[#This Row],[ENT_NAME]])</f>
        <v>Swisher County</v>
      </c>
    </row>
    <row r="291" spans="1:14" x14ac:dyDescent="0.25">
      <c r="A291" s="304" t="s">
        <v>5073</v>
      </c>
      <c r="B291" s="303" t="str">
        <f t="shared" si="4"/>
        <v>x00000238</v>
      </c>
      <c r="C291" t="s">
        <v>4947</v>
      </c>
      <c r="D291" t="s">
        <v>1139</v>
      </c>
      <c r="E291">
        <v>0</v>
      </c>
      <c r="F291" t="str">
        <f>IF(AND(Entities[[#This Row],[ENT_TYPE]]="County",RIGHT(Entities[[#This Row],[ENT_NAME]],6)&lt;&gt;"County"),_xlfn.TEXTJOIN(" ",TRUE,Entities[[#This Row],[ENT_NAME]],"County"),Entities[[#This Row],[ENT_NAME]])</f>
        <v>Castro County</v>
      </c>
    </row>
    <row r="292" spans="1:14" x14ac:dyDescent="0.25">
      <c r="A292" s="304" t="s">
        <v>5073</v>
      </c>
      <c r="B292" s="303" t="str">
        <f t="shared" si="4"/>
        <v>x00000238</v>
      </c>
      <c r="C292" t="s">
        <v>4947</v>
      </c>
      <c r="D292" t="s">
        <v>1139</v>
      </c>
      <c r="E292">
        <v>7</v>
      </c>
      <c r="F292" t="str">
        <f>IF(AND(Entities[[#This Row],[ENT_TYPE]]="County",RIGHT(Entities[[#This Row],[ENT_NAME]],6)&lt;&gt;"County"),_xlfn.TEXTJOIN(" ",TRUE,Entities[[#This Row],[ENT_NAME]],"County"),Entities[[#This Row],[ENT_NAME]])</f>
        <v>Castro County</v>
      </c>
    </row>
    <row r="293" spans="1:14" x14ac:dyDescent="0.25">
      <c r="A293" s="302" t="s">
        <v>5074</v>
      </c>
      <c r="B293" s="303" t="str">
        <f t="shared" si="4"/>
        <v>x00000239</v>
      </c>
      <c r="C293" t="s">
        <v>4947</v>
      </c>
      <c r="D293" t="s">
        <v>3273</v>
      </c>
      <c r="E293">
        <v>0</v>
      </c>
      <c r="F293" t="str">
        <f>IF(AND(Entities[[#This Row],[ENT_TYPE]]="County",RIGHT(Entities[[#This Row],[ENT_NAME]],6)&lt;&gt;"County"),_xlfn.TEXTJOIN(" ",TRUE,Entities[[#This Row],[ENT_NAME]],"County"),Entities[[#This Row],[ENT_NAME]])</f>
        <v>Parmer County</v>
      </c>
      <c r="G293" t="s">
        <v>5075</v>
      </c>
      <c r="H293" t="s">
        <v>5076</v>
      </c>
      <c r="I293" t="s">
        <v>5077</v>
      </c>
      <c r="J293" t="s">
        <v>5078</v>
      </c>
      <c r="K293" t="s">
        <v>5079</v>
      </c>
      <c r="L293" t="s">
        <v>5080</v>
      </c>
      <c r="M293" t="s">
        <v>5081</v>
      </c>
      <c r="N293" t="s">
        <v>5082</v>
      </c>
    </row>
    <row r="294" spans="1:14" x14ac:dyDescent="0.25">
      <c r="A294" s="302" t="s">
        <v>5074</v>
      </c>
      <c r="B294" s="303" t="str">
        <f t="shared" si="4"/>
        <v>x00000239</v>
      </c>
      <c r="C294" t="s">
        <v>4947</v>
      </c>
      <c r="D294" t="s">
        <v>3273</v>
      </c>
      <c r="E294">
        <v>7</v>
      </c>
      <c r="F294" t="str">
        <f>IF(AND(Entities[[#This Row],[ENT_TYPE]]="County",RIGHT(Entities[[#This Row],[ENT_NAME]],6)&lt;&gt;"County"),_xlfn.TEXTJOIN(" ",TRUE,Entities[[#This Row],[ENT_NAME]],"County"),Entities[[#This Row],[ENT_NAME]])</f>
        <v>Parmer County</v>
      </c>
    </row>
    <row r="295" spans="1:14" x14ac:dyDescent="0.25">
      <c r="A295" s="304" t="s">
        <v>1839</v>
      </c>
      <c r="B295" s="303" t="str">
        <f t="shared" si="4"/>
        <v>x00000253</v>
      </c>
      <c r="C295" t="s">
        <v>4947</v>
      </c>
      <c r="D295" t="s">
        <v>5083</v>
      </c>
      <c r="E295">
        <v>8</v>
      </c>
      <c r="F295" t="str">
        <f>IF(AND(Entities[[#This Row],[ENT_TYPE]]="County",RIGHT(Entities[[#This Row],[ENT_NAME]],6)&lt;&gt;"County"),_xlfn.TEXTJOIN(" ",TRUE,Entities[[#This Row],[ENT_NAME]],"County"),Entities[[#This Row],[ENT_NAME]])</f>
        <v>Jack County</v>
      </c>
    </row>
    <row r="296" spans="1:14" x14ac:dyDescent="0.25">
      <c r="A296" s="302" t="s">
        <v>1839</v>
      </c>
      <c r="B296" s="303" t="str">
        <f t="shared" si="4"/>
        <v>x00000253</v>
      </c>
      <c r="C296" t="s">
        <v>4947</v>
      </c>
      <c r="D296" t="s">
        <v>5083</v>
      </c>
      <c r="E296">
        <v>3</v>
      </c>
      <c r="F296" t="str">
        <f>IF(AND(Entities[[#This Row],[ENT_TYPE]]="County",RIGHT(Entities[[#This Row],[ENT_NAME]],6)&lt;&gt;"County"),_xlfn.TEXTJOIN(" ",TRUE,Entities[[#This Row],[ENT_NAME]],"County"),Entities[[#This Row],[ENT_NAME]])</f>
        <v>Jack County</v>
      </c>
    </row>
    <row r="297" spans="1:14" x14ac:dyDescent="0.25">
      <c r="A297" s="302" t="s">
        <v>5084</v>
      </c>
      <c r="B297" s="303" t="str">
        <f t="shared" si="4"/>
        <v>x00000254</v>
      </c>
      <c r="C297" t="s">
        <v>4947</v>
      </c>
      <c r="D297" t="s">
        <v>5085</v>
      </c>
      <c r="E297">
        <v>15</v>
      </c>
      <c r="F297" t="str">
        <f>IF(AND(Entities[[#This Row],[ENT_TYPE]]="County",RIGHT(Entities[[#This Row],[ENT_NAME]],6)&lt;&gt;"County"),_xlfn.TEXTJOIN(" ",TRUE,Entities[[#This Row],[ENT_NAME]],"County"),Entities[[#This Row],[ENT_NAME]])</f>
        <v>Dimmit County</v>
      </c>
    </row>
    <row r="298" spans="1:14" x14ac:dyDescent="0.25">
      <c r="A298" s="304" t="s">
        <v>5084</v>
      </c>
      <c r="B298" s="303" t="str">
        <f t="shared" si="4"/>
        <v>x00000254</v>
      </c>
      <c r="C298" t="s">
        <v>4947</v>
      </c>
      <c r="D298" t="s">
        <v>5085</v>
      </c>
      <c r="E298">
        <v>13</v>
      </c>
      <c r="F298" t="str">
        <f>IF(AND(Entities[[#This Row],[ENT_TYPE]]="County",RIGHT(Entities[[#This Row],[ENT_NAME]],6)&lt;&gt;"County"),_xlfn.TEXTJOIN(" ",TRUE,Entities[[#This Row],[ENT_NAME]],"County"),Entities[[#This Row],[ENT_NAME]])</f>
        <v>Dimmit County</v>
      </c>
    </row>
    <row r="299" spans="1:14" x14ac:dyDescent="0.25">
      <c r="A299" s="302" t="s">
        <v>5086</v>
      </c>
      <c r="B299" s="303" t="str">
        <f t="shared" si="4"/>
        <v>x00000255</v>
      </c>
      <c r="C299" t="s">
        <v>4</v>
      </c>
      <c r="D299" t="s">
        <v>5087</v>
      </c>
      <c r="E299">
        <v>13</v>
      </c>
      <c r="F299" t="str">
        <f>IF(AND(Entities[[#This Row],[ENT_TYPE]]="County",RIGHT(Entities[[#This Row],[ENT_NAME]],6)&lt;&gt;"County"),_xlfn.TEXTJOIN(" ",TRUE,Entities[[#This Row],[ENT_NAME]],"County"),Entities[[#This Row],[ENT_NAME]])</f>
        <v>Alamo Area Council of Governments</v>
      </c>
    </row>
    <row r="300" spans="1:14" x14ac:dyDescent="0.25">
      <c r="A300" s="302" t="s">
        <v>5086</v>
      </c>
      <c r="B300" s="303" t="str">
        <f t="shared" si="4"/>
        <v>x00000255</v>
      </c>
      <c r="C300" t="s">
        <v>4</v>
      </c>
      <c r="D300" t="s">
        <v>5087</v>
      </c>
      <c r="E300">
        <v>10</v>
      </c>
      <c r="F300" t="str">
        <f>IF(AND(Entities[[#This Row],[ENT_TYPE]]="County",RIGHT(Entities[[#This Row],[ENT_NAME]],6)&lt;&gt;"County"),_xlfn.TEXTJOIN(" ",TRUE,Entities[[#This Row],[ENT_NAME]],"County"),Entities[[#This Row],[ENT_NAME]])</f>
        <v>Alamo Area Council of Governments</v>
      </c>
    </row>
    <row r="301" spans="1:14" x14ac:dyDescent="0.25">
      <c r="A301" s="302" t="s">
        <v>5086</v>
      </c>
      <c r="B301" s="303" t="str">
        <f t="shared" si="4"/>
        <v>x00000255</v>
      </c>
      <c r="C301" t="s">
        <v>4</v>
      </c>
      <c r="D301" t="s">
        <v>5087</v>
      </c>
      <c r="E301">
        <v>11</v>
      </c>
      <c r="F301" t="str">
        <f>IF(AND(Entities[[#This Row],[ENT_TYPE]]="County",RIGHT(Entities[[#This Row],[ENT_NAME]],6)&lt;&gt;"County"),_xlfn.TEXTJOIN(" ",TRUE,Entities[[#This Row],[ENT_NAME]],"County"),Entities[[#This Row],[ENT_NAME]])</f>
        <v>Alamo Area Council of Governments</v>
      </c>
    </row>
    <row r="302" spans="1:14" x14ac:dyDescent="0.25">
      <c r="A302" s="302" t="s">
        <v>5086</v>
      </c>
      <c r="B302" s="303" t="str">
        <f t="shared" si="4"/>
        <v>x00000255</v>
      </c>
      <c r="C302" t="s">
        <v>4</v>
      </c>
      <c r="D302" t="s">
        <v>5087</v>
      </c>
      <c r="E302">
        <v>12</v>
      </c>
      <c r="F302" t="str">
        <f>IF(AND(Entities[[#This Row],[ENT_TYPE]]="County",RIGHT(Entities[[#This Row],[ENT_NAME]],6)&lt;&gt;"County"),_xlfn.TEXTJOIN(" ",TRUE,Entities[[#This Row],[ENT_NAME]],"County"),Entities[[#This Row],[ENT_NAME]])</f>
        <v>Alamo Area Council of Governments</v>
      </c>
    </row>
    <row r="303" spans="1:14" x14ac:dyDescent="0.25">
      <c r="A303" s="302" t="s">
        <v>1749</v>
      </c>
      <c r="B303" s="303" t="str">
        <f t="shared" si="4"/>
        <v>x00000256</v>
      </c>
      <c r="C303" t="s">
        <v>4</v>
      </c>
      <c r="D303" t="s">
        <v>5088</v>
      </c>
      <c r="E303">
        <v>2</v>
      </c>
      <c r="F303" t="str">
        <f>IF(AND(Entities[[#This Row],[ENT_TYPE]]="County",RIGHT(Entities[[#This Row],[ENT_NAME]],6)&lt;&gt;"County"),_xlfn.TEXTJOIN(" ",TRUE,Entities[[#This Row],[ENT_NAME]],"County"),Entities[[#This Row],[ENT_NAME]])</f>
        <v>Ark-Tex Council of Governments</v>
      </c>
    </row>
    <row r="304" spans="1:14" x14ac:dyDescent="0.25">
      <c r="A304" s="304" t="s">
        <v>1749</v>
      </c>
      <c r="B304" s="303" t="str">
        <f t="shared" si="4"/>
        <v>x00000256</v>
      </c>
      <c r="C304" t="s">
        <v>4</v>
      </c>
      <c r="D304" t="s">
        <v>5088</v>
      </c>
      <c r="E304">
        <v>4</v>
      </c>
      <c r="F304" t="str">
        <f>IF(AND(Entities[[#This Row],[ENT_TYPE]]="County",RIGHT(Entities[[#This Row],[ENT_NAME]],6)&lt;&gt;"County"),_xlfn.TEXTJOIN(" ",TRUE,Entities[[#This Row],[ENT_NAME]],"County"),Entities[[#This Row],[ENT_NAME]])</f>
        <v>Ark-Tex Council of Governments</v>
      </c>
    </row>
    <row r="305" spans="1:6" x14ac:dyDescent="0.25">
      <c r="A305" s="302" t="s">
        <v>5089</v>
      </c>
      <c r="B305" s="303" t="str">
        <f t="shared" si="4"/>
        <v>x00000257</v>
      </c>
      <c r="C305" t="s">
        <v>4</v>
      </c>
      <c r="D305" t="s">
        <v>5090</v>
      </c>
      <c r="E305">
        <v>6</v>
      </c>
      <c r="F305" t="str">
        <f>IF(AND(Entities[[#This Row],[ENT_TYPE]]="County",RIGHT(Entities[[#This Row],[ENT_NAME]],6)&lt;&gt;"County"),_xlfn.TEXTJOIN(" ",TRUE,Entities[[#This Row],[ENT_NAME]],"County"),Entities[[#This Row],[ENT_NAME]])</f>
        <v>Brazos Valley Council of Governments</v>
      </c>
    </row>
    <row r="306" spans="1:6" x14ac:dyDescent="0.25">
      <c r="A306" s="302" t="s">
        <v>5089</v>
      </c>
      <c r="B306" s="303" t="str">
        <f t="shared" si="4"/>
        <v>x00000257</v>
      </c>
      <c r="C306" t="s">
        <v>4</v>
      </c>
      <c r="D306" t="s">
        <v>5090</v>
      </c>
      <c r="E306">
        <v>8</v>
      </c>
      <c r="F306" t="str">
        <f>IF(AND(Entities[[#This Row],[ENT_TYPE]]="County",RIGHT(Entities[[#This Row],[ENT_NAME]],6)&lt;&gt;"County"),_xlfn.TEXTJOIN(" ",TRUE,Entities[[#This Row],[ENT_NAME]],"County"),Entities[[#This Row],[ENT_NAME]])</f>
        <v>Brazos Valley Council of Governments</v>
      </c>
    </row>
    <row r="307" spans="1:6" x14ac:dyDescent="0.25">
      <c r="A307" s="302" t="s">
        <v>5089</v>
      </c>
      <c r="B307" s="303" t="str">
        <f t="shared" si="4"/>
        <v>x00000257</v>
      </c>
      <c r="C307" t="s">
        <v>4</v>
      </c>
      <c r="D307" t="s">
        <v>5090</v>
      </c>
      <c r="E307">
        <v>3</v>
      </c>
      <c r="F307" t="str">
        <f>IF(AND(Entities[[#This Row],[ENT_TYPE]]="County",RIGHT(Entities[[#This Row],[ENT_NAME]],6)&lt;&gt;"County"),_xlfn.TEXTJOIN(" ",TRUE,Entities[[#This Row],[ENT_NAME]],"County"),Entities[[#This Row],[ENT_NAME]])</f>
        <v>Brazos Valley Council of Governments</v>
      </c>
    </row>
    <row r="308" spans="1:6" x14ac:dyDescent="0.25">
      <c r="A308" s="304" t="s">
        <v>5091</v>
      </c>
      <c r="B308" s="303" t="str">
        <f t="shared" si="4"/>
        <v>x00000258</v>
      </c>
      <c r="C308" t="s">
        <v>4</v>
      </c>
      <c r="D308" t="s">
        <v>5092</v>
      </c>
      <c r="E308">
        <v>8</v>
      </c>
      <c r="F308" t="str">
        <f>IF(AND(Entities[[#This Row],[ENT_TYPE]]="County",RIGHT(Entities[[#This Row],[ENT_NAME]],6)&lt;&gt;"County"),_xlfn.TEXTJOIN(" ",TRUE,Entities[[#This Row],[ENT_NAME]],"County"),Entities[[#This Row],[ENT_NAME]])</f>
        <v>Capital Area Council of Governments</v>
      </c>
    </row>
    <row r="309" spans="1:6" x14ac:dyDescent="0.25">
      <c r="A309" s="302" t="s">
        <v>5091</v>
      </c>
      <c r="B309" s="303" t="str">
        <f t="shared" si="4"/>
        <v>x00000258</v>
      </c>
      <c r="C309" t="s">
        <v>4</v>
      </c>
      <c r="D309" t="s">
        <v>5092</v>
      </c>
      <c r="E309">
        <v>10</v>
      </c>
      <c r="F309" t="str">
        <f>IF(AND(Entities[[#This Row],[ENT_TYPE]]="County",RIGHT(Entities[[#This Row],[ENT_NAME]],6)&lt;&gt;"County"),_xlfn.TEXTJOIN(" ",TRUE,Entities[[#This Row],[ENT_NAME]],"County"),Entities[[#This Row],[ENT_NAME]])</f>
        <v>Capital Area Council of Governments</v>
      </c>
    </row>
    <row r="310" spans="1:6" x14ac:dyDescent="0.25">
      <c r="A310" s="302" t="s">
        <v>5091</v>
      </c>
      <c r="B310" s="303" t="str">
        <f t="shared" si="4"/>
        <v>x00000258</v>
      </c>
      <c r="C310" t="s">
        <v>4</v>
      </c>
      <c r="D310" t="s">
        <v>5092</v>
      </c>
      <c r="E310">
        <v>11</v>
      </c>
      <c r="F310" t="str">
        <f>IF(AND(Entities[[#This Row],[ENT_TYPE]]="County",RIGHT(Entities[[#This Row],[ENT_NAME]],6)&lt;&gt;"County"),_xlfn.TEXTJOIN(" ",TRUE,Entities[[#This Row],[ENT_NAME]],"County"),Entities[[#This Row],[ENT_NAME]])</f>
        <v>Capital Area Council of Governments</v>
      </c>
    </row>
    <row r="311" spans="1:6" x14ac:dyDescent="0.25">
      <c r="A311" s="302" t="s">
        <v>5093</v>
      </c>
      <c r="B311" s="303" t="str">
        <f t="shared" si="4"/>
        <v>x00000259</v>
      </c>
      <c r="C311" t="s">
        <v>4</v>
      </c>
      <c r="D311" t="s">
        <v>5094</v>
      </c>
      <c r="E311">
        <v>8</v>
      </c>
      <c r="F311" t="str">
        <f>IF(AND(Entities[[#This Row],[ENT_TYPE]]="County",RIGHT(Entities[[#This Row],[ENT_NAME]],6)&lt;&gt;"County"),_xlfn.TEXTJOIN(" ",TRUE,Entities[[#This Row],[ENT_NAME]],"County"),Entities[[#This Row],[ENT_NAME]])</f>
        <v>Central Texas Council of Governments</v>
      </c>
    </row>
    <row r="312" spans="1:6" x14ac:dyDescent="0.25">
      <c r="A312" s="302" t="s">
        <v>5093</v>
      </c>
      <c r="B312" s="303" t="str">
        <f t="shared" si="4"/>
        <v>x00000259</v>
      </c>
      <c r="C312" t="s">
        <v>4</v>
      </c>
      <c r="D312" t="s">
        <v>5094</v>
      </c>
      <c r="E312">
        <v>10</v>
      </c>
      <c r="F312" t="str">
        <f>IF(AND(Entities[[#This Row],[ENT_TYPE]]="County",RIGHT(Entities[[#This Row],[ENT_NAME]],6)&lt;&gt;"County"),_xlfn.TEXTJOIN(" ",TRUE,Entities[[#This Row],[ENT_NAME]],"County"),Entities[[#This Row],[ENT_NAME]])</f>
        <v>Central Texas Council of Governments</v>
      </c>
    </row>
    <row r="313" spans="1:6" x14ac:dyDescent="0.25">
      <c r="A313" s="304" t="s">
        <v>5095</v>
      </c>
      <c r="B313" s="303" t="str">
        <f t="shared" si="4"/>
        <v>x00000260</v>
      </c>
      <c r="C313" t="s">
        <v>4</v>
      </c>
      <c r="D313" t="s">
        <v>5096</v>
      </c>
      <c r="E313">
        <v>15</v>
      </c>
      <c r="F313" t="str">
        <f>IF(AND(Entities[[#This Row],[ENT_TYPE]]="County",RIGHT(Entities[[#This Row],[ENT_NAME]],6)&lt;&gt;"County"),_xlfn.TEXTJOIN(" ",TRUE,Entities[[#This Row],[ENT_NAME]],"County"),Entities[[#This Row],[ENT_NAME]])</f>
        <v>Coastal Bend Council of Governments</v>
      </c>
    </row>
    <row r="314" spans="1:6" x14ac:dyDescent="0.25">
      <c r="A314" s="304" t="s">
        <v>5095</v>
      </c>
      <c r="B314" s="303" t="str">
        <f t="shared" si="4"/>
        <v>x00000260</v>
      </c>
      <c r="C314" t="s">
        <v>4</v>
      </c>
      <c r="D314" t="s">
        <v>5096</v>
      </c>
      <c r="E314">
        <v>13</v>
      </c>
      <c r="F314" t="str">
        <f>IF(AND(Entities[[#This Row],[ENT_TYPE]]="County",RIGHT(Entities[[#This Row],[ENT_NAME]],6)&lt;&gt;"County"),_xlfn.TEXTJOIN(" ",TRUE,Entities[[#This Row],[ENT_NAME]],"County"),Entities[[#This Row],[ENT_NAME]])</f>
        <v>Coastal Bend Council of Governments</v>
      </c>
    </row>
    <row r="315" spans="1:6" x14ac:dyDescent="0.25">
      <c r="A315" s="302" t="s">
        <v>5095</v>
      </c>
      <c r="B315" s="303" t="str">
        <f t="shared" si="4"/>
        <v>x00000260</v>
      </c>
      <c r="C315" t="s">
        <v>4</v>
      </c>
      <c r="D315" t="s">
        <v>5096</v>
      </c>
      <c r="E315">
        <v>11</v>
      </c>
      <c r="F315" t="str">
        <f>IF(AND(Entities[[#This Row],[ENT_TYPE]]="County",RIGHT(Entities[[#This Row],[ENT_NAME]],6)&lt;&gt;"County"),_xlfn.TEXTJOIN(" ",TRUE,Entities[[#This Row],[ENT_NAME]],"County"),Entities[[#This Row],[ENT_NAME]])</f>
        <v>Coastal Bend Council of Governments</v>
      </c>
    </row>
    <row r="316" spans="1:6" x14ac:dyDescent="0.25">
      <c r="A316" s="302" t="s">
        <v>5095</v>
      </c>
      <c r="B316" s="303" t="str">
        <f t="shared" si="4"/>
        <v>x00000260</v>
      </c>
      <c r="C316" t="s">
        <v>4</v>
      </c>
      <c r="D316" t="s">
        <v>5096</v>
      </c>
      <c r="E316">
        <v>12</v>
      </c>
      <c r="F316" t="str">
        <f>IF(AND(Entities[[#This Row],[ENT_TYPE]]="County",RIGHT(Entities[[#This Row],[ENT_NAME]],6)&lt;&gt;"County"),_xlfn.TEXTJOIN(" ",TRUE,Entities[[#This Row],[ENT_NAME]],"County"),Entities[[#This Row],[ENT_NAME]])</f>
        <v>Coastal Bend Council of Governments</v>
      </c>
    </row>
    <row r="317" spans="1:6" x14ac:dyDescent="0.25">
      <c r="A317" s="302" t="s">
        <v>5097</v>
      </c>
      <c r="B317" s="303" t="str">
        <f t="shared" si="4"/>
        <v>x00000261</v>
      </c>
      <c r="C317" t="s">
        <v>4</v>
      </c>
      <c r="D317" t="s">
        <v>5098</v>
      </c>
      <c r="E317">
        <v>10</v>
      </c>
      <c r="F317" t="str">
        <f>IF(AND(Entities[[#This Row],[ENT_TYPE]]="County",RIGHT(Entities[[#This Row],[ENT_NAME]],6)&lt;&gt;"County"),_xlfn.TEXTJOIN(" ",TRUE,Entities[[#This Row],[ENT_NAME]],"County"),Entities[[#This Row],[ENT_NAME]])</f>
        <v>Concho Valley Council of Governments</v>
      </c>
    </row>
    <row r="318" spans="1:6" x14ac:dyDescent="0.25">
      <c r="A318" s="302" t="s">
        <v>5097</v>
      </c>
      <c r="B318" s="303" t="str">
        <f t="shared" si="4"/>
        <v>x00000261</v>
      </c>
      <c r="C318" t="s">
        <v>4</v>
      </c>
      <c r="D318" t="s">
        <v>5098</v>
      </c>
      <c r="E318">
        <v>14</v>
      </c>
      <c r="F318" t="str">
        <f>IF(AND(Entities[[#This Row],[ENT_TYPE]]="County",RIGHT(Entities[[#This Row],[ENT_NAME]],6)&lt;&gt;"County"),_xlfn.TEXTJOIN(" ",TRUE,Entities[[#This Row],[ENT_NAME]],"County"),Entities[[#This Row],[ENT_NAME]])</f>
        <v>Concho Valley Council of Governments</v>
      </c>
    </row>
    <row r="319" spans="1:6" x14ac:dyDescent="0.25">
      <c r="A319" s="302" t="s">
        <v>5097</v>
      </c>
      <c r="B319" s="303" t="str">
        <f t="shared" si="4"/>
        <v>x00000261</v>
      </c>
      <c r="C319" t="s">
        <v>4</v>
      </c>
      <c r="D319" t="s">
        <v>5098</v>
      </c>
      <c r="E319">
        <v>0</v>
      </c>
      <c r="F319" t="str">
        <f>IF(AND(Entities[[#This Row],[ENT_TYPE]]="County",RIGHT(Entities[[#This Row],[ENT_NAME]],6)&lt;&gt;"County"),_xlfn.TEXTJOIN(" ",TRUE,Entities[[#This Row],[ENT_NAME]],"County"),Entities[[#This Row],[ENT_NAME]])</f>
        <v>Concho Valley Council of Governments</v>
      </c>
    </row>
    <row r="320" spans="1:6" x14ac:dyDescent="0.25">
      <c r="A320" s="302" t="s">
        <v>5099</v>
      </c>
      <c r="B320" s="303" t="str">
        <f t="shared" si="4"/>
        <v>x00000262</v>
      </c>
      <c r="C320" t="s">
        <v>4</v>
      </c>
      <c r="D320" t="s">
        <v>5100</v>
      </c>
      <c r="E320">
        <v>4</v>
      </c>
      <c r="F320" t="str">
        <f>IF(AND(Entities[[#This Row],[ENT_TYPE]]="County",RIGHT(Entities[[#This Row],[ENT_NAME]],6)&lt;&gt;"County"),_xlfn.TEXTJOIN(" ",TRUE,Entities[[#This Row],[ENT_NAME]],"County"),Entities[[#This Row],[ENT_NAME]])</f>
        <v>Deep East Texas Council of Governments</v>
      </c>
    </row>
    <row r="321" spans="1:6" x14ac:dyDescent="0.25">
      <c r="A321" s="302" t="s">
        <v>5099</v>
      </c>
      <c r="B321" s="303" t="str">
        <f t="shared" si="4"/>
        <v>x00000262</v>
      </c>
      <c r="C321" t="s">
        <v>4</v>
      </c>
      <c r="D321" t="s">
        <v>5100</v>
      </c>
      <c r="E321">
        <v>0</v>
      </c>
      <c r="F321" t="str">
        <f>IF(AND(Entities[[#This Row],[ENT_TYPE]]="County",RIGHT(Entities[[#This Row],[ENT_NAME]],6)&lt;&gt;"County"),_xlfn.TEXTJOIN(" ",TRUE,Entities[[#This Row],[ENT_NAME]],"County"),Entities[[#This Row],[ENT_NAME]])</f>
        <v>Deep East Texas Council of Governments</v>
      </c>
    </row>
    <row r="322" spans="1:6" x14ac:dyDescent="0.25">
      <c r="A322" s="302" t="s">
        <v>5099</v>
      </c>
      <c r="B322" s="303" t="str">
        <f t="shared" ref="B322:B385" si="5">_xlfn.CONCAT("x",TEXT(A322,"00000000"))</f>
        <v>x00000262</v>
      </c>
      <c r="C322" t="s">
        <v>4</v>
      </c>
      <c r="D322" t="s">
        <v>5100</v>
      </c>
      <c r="E322">
        <v>6</v>
      </c>
      <c r="F322" t="str">
        <f>IF(AND(Entities[[#This Row],[ENT_TYPE]]="County",RIGHT(Entities[[#This Row],[ENT_NAME]],6)&lt;&gt;"County"),_xlfn.TEXTJOIN(" ",TRUE,Entities[[#This Row],[ENT_NAME]],"County"),Entities[[#This Row],[ENT_NAME]])</f>
        <v>Deep East Texas Council of Governments</v>
      </c>
    </row>
    <row r="323" spans="1:6" x14ac:dyDescent="0.25">
      <c r="A323" s="302" t="s">
        <v>5099</v>
      </c>
      <c r="B323" s="303" t="str">
        <f t="shared" si="5"/>
        <v>x00000262</v>
      </c>
      <c r="C323" t="s">
        <v>4</v>
      </c>
      <c r="D323" t="s">
        <v>5100</v>
      </c>
      <c r="E323">
        <v>3</v>
      </c>
      <c r="F323" t="str">
        <f>IF(AND(Entities[[#This Row],[ENT_TYPE]]="County",RIGHT(Entities[[#This Row],[ENT_NAME]],6)&lt;&gt;"County"),_xlfn.TEXTJOIN(" ",TRUE,Entities[[#This Row],[ENT_NAME]],"County"),Entities[[#This Row],[ENT_NAME]])</f>
        <v>Deep East Texas Council of Governments</v>
      </c>
    </row>
    <row r="324" spans="1:6" x14ac:dyDescent="0.25">
      <c r="A324" s="304" t="s">
        <v>5101</v>
      </c>
      <c r="B324" s="303" t="str">
        <f t="shared" si="5"/>
        <v>x00000263</v>
      </c>
      <c r="C324" t="s">
        <v>4</v>
      </c>
      <c r="D324" t="s">
        <v>5102</v>
      </c>
      <c r="E324">
        <v>2</v>
      </c>
      <c r="F324" t="str">
        <f>IF(AND(Entities[[#This Row],[ENT_TYPE]]="County",RIGHT(Entities[[#This Row],[ENT_NAME]],6)&lt;&gt;"County"),_xlfn.TEXTJOIN(" ",TRUE,Entities[[#This Row],[ENT_NAME]],"County"),Entities[[#This Row],[ENT_NAME]])</f>
        <v>East Texas Council of Governments</v>
      </c>
    </row>
    <row r="325" spans="1:6" x14ac:dyDescent="0.25">
      <c r="A325" s="304" t="s">
        <v>5101</v>
      </c>
      <c r="B325" s="303" t="str">
        <f t="shared" si="5"/>
        <v>x00000263</v>
      </c>
      <c r="C325" t="s">
        <v>4</v>
      </c>
      <c r="D325" t="s">
        <v>5102</v>
      </c>
      <c r="E325">
        <v>4</v>
      </c>
      <c r="F325" t="str">
        <f>IF(AND(Entities[[#This Row],[ENT_TYPE]]="County",RIGHT(Entities[[#This Row],[ENT_NAME]],6)&lt;&gt;"County"),_xlfn.TEXTJOIN(" ",TRUE,Entities[[#This Row],[ENT_NAME]],"County"),Entities[[#This Row],[ENT_NAME]])</f>
        <v>East Texas Council of Governments</v>
      </c>
    </row>
    <row r="326" spans="1:6" x14ac:dyDescent="0.25">
      <c r="A326" s="304" t="s">
        <v>5101</v>
      </c>
      <c r="B326" s="303" t="str">
        <f t="shared" si="5"/>
        <v>x00000263</v>
      </c>
      <c r="C326" t="s">
        <v>4</v>
      </c>
      <c r="D326" t="s">
        <v>5102</v>
      </c>
      <c r="E326">
        <v>0</v>
      </c>
      <c r="F326" t="str">
        <f>IF(AND(Entities[[#This Row],[ENT_TYPE]]="County",RIGHT(Entities[[#This Row],[ENT_NAME]],6)&lt;&gt;"County"),_xlfn.TEXTJOIN(" ",TRUE,Entities[[#This Row],[ENT_NAME]],"County"),Entities[[#This Row],[ENT_NAME]])</f>
        <v>East Texas Council of Governments</v>
      </c>
    </row>
    <row r="327" spans="1:6" x14ac:dyDescent="0.25">
      <c r="A327" s="302" t="s">
        <v>5101</v>
      </c>
      <c r="B327" s="303" t="str">
        <f t="shared" si="5"/>
        <v>x00000263</v>
      </c>
      <c r="C327" t="s">
        <v>4</v>
      </c>
      <c r="D327" t="s">
        <v>5102</v>
      </c>
      <c r="E327">
        <v>3</v>
      </c>
      <c r="F327" t="str">
        <f>IF(AND(Entities[[#This Row],[ENT_TYPE]]="County",RIGHT(Entities[[#This Row],[ENT_NAME]],6)&lt;&gt;"County"),_xlfn.TEXTJOIN(" ",TRUE,Entities[[#This Row],[ENT_NAME]],"County"),Entities[[#This Row],[ENT_NAME]])</f>
        <v>East Texas Council of Governments</v>
      </c>
    </row>
    <row r="328" spans="1:6" x14ac:dyDescent="0.25">
      <c r="A328" s="302" t="s">
        <v>5103</v>
      </c>
      <c r="B328" s="303" t="str">
        <f t="shared" si="5"/>
        <v>x00000264</v>
      </c>
      <c r="C328" t="s">
        <v>4</v>
      </c>
      <c r="D328" t="s">
        <v>5104</v>
      </c>
      <c r="E328">
        <v>13</v>
      </c>
      <c r="F328" t="str">
        <f>IF(AND(Entities[[#This Row],[ENT_TYPE]]="County",RIGHT(Entities[[#This Row],[ENT_NAME]],6)&lt;&gt;"County"),_xlfn.TEXTJOIN(" ",TRUE,Entities[[#This Row],[ENT_NAME]],"County"),Entities[[#This Row],[ENT_NAME]])</f>
        <v>Golden Crescent Regional Planning Commission</v>
      </c>
    </row>
    <row r="329" spans="1:6" x14ac:dyDescent="0.25">
      <c r="A329" s="304" t="s">
        <v>5103</v>
      </c>
      <c r="B329" s="303" t="str">
        <f t="shared" si="5"/>
        <v>x00000264</v>
      </c>
      <c r="C329" t="s">
        <v>4</v>
      </c>
      <c r="D329" t="s">
        <v>5104</v>
      </c>
      <c r="E329">
        <v>10</v>
      </c>
      <c r="F329" t="str">
        <f>IF(AND(Entities[[#This Row],[ENT_TYPE]]="County",RIGHT(Entities[[#This Row],[ENT_NAME]],6)&lt;&gt;"County"),_xlfn.TEXTJOIN(" ",TRUE,Entities[[#This Row],[ENT_NAME]],"County"),Entities[[#This Row],[ENT_NAME]])</f>
        <v>Golden Crescent Regional Planning Commission</v>
      </c>
    </row>
    <row r="330" spans="1:6" x14ac:dyDescent="0.25">
      <c r="A330" s="302" t="s">
        <v>5103</v>
      </c>
      <c r="B330" s="303" t="str">
        <f t="shared" si="5"/>
        <v>x00000264</v>
      </c>
      <c r="C330" t="s">
        <v>4</v>
      </c>
      <c r="D330" t="s">
        <v>5104</v>
      </c>
      <c r="E330">
        <v>11</v>
      </c>
      <c r="F330" t="str">
        <f>IF(AND(Entities[[#This Row],[ENT_TYPE]]="County",RIGHT(Entities[[#This Row],[ENT_NAME]],6)&lt;&gt;"County"),_xlfn.TEXTJOIN(" ",TRUE,Entities[[#This Row],[ENT_NAME]],"County"),Entities[[#This Row],[ENT_NAME]])</f>
        <v>Golden Crescent Regional Planning Commission</v>
      </c>
    </row>
    <row r="331" spans="1:6" x14ac:dyDescent="0.25">
      <c r="A331" s="302" t="s">
        <v>5103</v>
      </c>
      <c r="B331" s="303" t="str">
        <f t="shared" si="5"/>
        <v>x00000264</v>
      </c>
      <c r="C331" t="s">
        <v>4</v>
      </c>
      <c r="D331" t="s">
        <v>5104</v>
      </c>
      <c r="E331">
        <v>12</v>
      </c>
      <c r="F331" t="str">
        <f>IF(AND(Entities[[#This Row],[ENT_TYPE]]="County",RIGHT(Entities[[#This Row],[ENT_NAME]],6)&lt;&gt;"County"),_xlfn.TEXTJOIN(" ",TRUE,Entities[[#This Row],[ENT_NAME]],"County"),Entities[[#This Row],[ENT_NAME]])</f>
        <v>Golden Crescent Regional Planning Commission</v>
      </c>
    </row>
    <row r="332" spans="1:6" x14ac:dyDescent="0.25">
      <c r="A332" s="304" t="s">
        <v>5105</v>
      </c>
      <c r="B332" s="303" t="str">
        <f t="shared" si="5"/>
        <v>x00000265</v>
      </c>
      <c r="C332" t="s">
        <v>4</v>
      </c>
      <c r="D332" t="s">
        <v>5106</v>
      </c>
      <c r="E332">
        <v>8</v>
      </c>
      <c r="F332" t="str">
        <f>IF(AND(Entities[[#This Row],[ENT_TYPE]]="County",RIGHT(Entities[[#This Row],[ENT_NAME]],6)&lt;&gt;"County"),_xlfn.TEXTJOIN(" ",TRUE,Entities[[#This Row],[ENT_NAME]],"County"),Entities[[#This Row],[ENT_NAME]])</f>
        <v>Heart of Texas Council of Governments</v>
      </c>
    </row>
    <row r="333" spans="1:6" x14ac:dyDescent="0.25">
      <c r="A333" s="302" t="s">
        <v>5105</v>
      </c>
      <c r="B333" s="303" t="str">
        <f t="shared" si="5"/>
        <v>x00000265</v>
      </c>
      <c r="C333" t="s">
        <v>4</v>
      </c>
      <c r="D333" t="s">
        <v>5106</v>
      </c>
      <c r="E333">
        <v>3</v>
      </c>
      <c r="F333" t="str">
        <f>IF(AND(Entities[[#This Row],[ENT_TYPE]]="County",RIGHT(Entities[[#This Row],[ENT_NAME]],6)&lt;&gt;"County"),_xlfn.TEXTJOIN(" ",TRUE,Entities[[#This Row],[ENT_NAME]],"County"),Entities[[#This Row],[ENT_NAME]])</f>
        <v>Heart of Texas Council of Governments</v>
      </c>
    </row>
    <row r="334" spans="1:6" x14ac:dyDescent="0.25">
      <c r="A334" s="302" t="s">
        <v>5107</v>
      </c>
      <c r="B334" s="303" t="str">
        <f t="shared" si="5"/>
        <v>x00000266</v>
      </c>
      <c r="C334" t="s">
        <v>4</v>
      </c>
      <c r="D334" t="s">
        <v>5108</v>
      </c>
      <c r="E334">
        <v>0</v>
      </c>
      <c r="F334" t="str">
        <f>IF(AND(Entities[[#This Row],[ENT_TYPE]]="County",RIGHT(Entities[[#This Row],[ENT_NAME]],6)&lt;&gt;"County"),_xlfn.TEXTJOIN(" ",TRUE,Entities[[#This Row],[ENT_NAME]],"County"),Entities[[#This Row],[ENT_NAME]])</f>
        <v>Houston-Galveston Area Council</v>
      </c>
    </row>
    <row r="335" spans="1:6" x14ac:dyDescent="0.25">
      <c r="A335" s="304" t="s">
        <v>5107</v>
      </c>
      <c r="B335" s="303" t="str">
        <f t="shared" si="5"/>
        <v>x00000266</v>
      </c>
      <c r="C335" t="s">
        <v>4</v>
      </c>
      <c r="D335" t="s">
        <v>5108</v>
      </c>
      <c r="E335">
        <v>6</v>
      </c>
      <c r="F335" t="str">
        <f>IF(AND(Entities[[#This Row],[ENT_TYPE]]="County",RIGHT(Entities[[#This Row],[ENT_NAME]],6)&lt;&gt;"County"),_xlfn.TEXTJOIN(" ",TRUE,Entities[[#This Row],[ENT_NAME]],"County"),Entities[[#This Row],[ENT_NAME]])</f>
        <v>Houston-Galveston Area Council</v>
      </c>
    </row>
    <row r="336" spans="1:6" x14ac:dyDescent="0.25">
      <c r="A336" s="302" t="s">
        <v>5107</v>
      </c>
      <c r="B336" s="303" t="str">
        <f t="shared" si="5"/>
        <v>x00000266</v>
      </c>
      <c r="C336" t="s">
        <v>4</v>
      </c>
      <c r="D336" t="s">
        <v>5108</v>
      </c>
      <c r="E336">
        <v>8</v>
      </c>
      <c r="F336" t="str">
        <f>IF(AND(Entities[[#This Row],[ENT_TYPE]]="County",RIGHT(Entities[[#This Row],[ENT_NAME]],6)&lt;&gt;"County"),_xlfn.TEXTJOIN(" ",TRUE,Entities[[#This Row],[ENT_NAME]],"County"),Entities[[#This Row],[ENT_NAME]])</f>
        <v>Houston-Galveston Area Council</v>
      </c>
    </row>
    <row r="337" spans="1:6" x14ac:dyDescent="0.25">
      <c r="A337" s="304" t="s">
        <v>5107</v>
      </c>
      <c r="B337" s="303" t="str">
        <f t="shared" si="5"/>
        <v>x00000266</v>
      </c>
      <c r="C337" t="s">
        <v>4</v>
      </c>
      <c r="D337" t="s">
        <v>5108</v>
      </c>
      <c r="E337">
        <v>10</v>
      </c>
      <c r="F337" t="str">
        <f>IF(AND(Entities[[#This Row],[ENT_TYPE]]="County",RIGHT(Entities[[#This Row],[ENT_NAME]],6)&lt;&gt;"County"),_xlfn.TEXTJOIN(" ",TRUE,Entities[[#This Row],[ENT_NAME]],"County"),Entities[[#This Row],[ENT_NAME]])</f>
        <v>Houston-Galveston Area Council</v>
      </c>
    </row>
    <row r="338" spans="1:6" x14ac:dyDescent="0.25">
      <c r="A338" s="302" t="s">
        <v>5107</v>
      </c>
      <c r="B338" s="303" t="str">
        <f t="shared" si="5"/>
        <v>x00000266</v>
      </c>
      <c r="C338" t="s">
        <v>4</v>
      </c>
      <c r="D338" t="s">
        <v>5108</v>
      </c>
      <c r="E338">
        <v>3</v>
      </c>
      <c r="F338" t="str">
        <f>IF(AND(Entities[[#This Row],[ENT_TYPE]]="County",RIGHT(Entities[[#This Row],[ENT_NAME]],6)&lt;&gt;"County"),_xlfn.TEXTJOIN(" ",TRUE,Entities[[#This Row],[ENT_NAME]],"County"),Entities[[#This Row],[ENT_NAME]])</f>
        <v>Houston-Galveston Area Council</v>
      </c>
    </row>
    <row r="339" spans="1:6" x14ac:dyDescent="0.25">
      <c r="A339" s="304" t="s">
        <v>5109</v>
      </c>
      <c r="B339" s="303" t="str">
        <f t="shared" si="5"/>
        <v>x00000268</v>
      </c>
      <c r="C339" t="s">
        <v>4</v>
      </c>
      <c r="D339" t="s">
        <v>5110</v>
      </c>
      <c r="E339">
        <v>15</v>
      </c>
      <c r="F339" t="str">
        <f>IF(AND(Entities[[#This Row],[ENT_TYPE]]="County",RIGHT(Entities[[#This Row],[ENT_NAME]],6)&lt;&gt;"County"),_xlfn.TEXTJOIN(" ",TRUE,Entities[[#This Row],[ENT_NAME]],"County"),Entities[[#This Row],[ENT_NAME]])</f>
        <v>Middle Rio Grande Development Council</v>
      </c>
    </row>
    <row r="340" spans="1:6" x14ac:dyDescent="0.25">
      <c r="A340" s="304" t="s">
        <v>5109</v>
      </c>
      <c r="B340" s="303" t="str">
        <f t="shared" si="5"/>
        <v>x00000268</v>
      </c>
      <c r="C340" t="s">
        <v>4</v>
      </c>
      <c r="D340" t="s">
        <v>5110</v>
      </c>
      <c r="E340">
        <v>13</v>
      </c>
      <c r="F340" t="str">
        <f>IF(AND(Entities[[#This Row],[ENT_TYPE]]="County",RIGHT(Entities[[#This Row],[ENT_NAME]],6)&lt;&gt;"County"),_xlfn.TEXTJOIN(" ",TRUE,Entities[[#This Row],[ENT_NAME]],"County"),Entities[[#This Row],[ENT_NAME]])</f>
        <v>Middle Rio Grande Development Council</v>
      </c>
    </row>
    <row r="341" spans="1:6" x14ac:dyDescent="0.25">
      <c r="A341" s="304" t="s">
        <v>5109</v>
      </c>
      <c r="B341" s="303" t="str">
        <f t="shared" si="5"/>
        <v>x00000268</v>
      </c>
      <c r="C341" t="s">
        <v>4</v>
      </c>
      <c r="D341" t="s">
        <v>5110</v>
      </c>
      <c r="E341">
        <v>10</v>
      </c>
      <c r="F341" t="str">
        <f>IF(AND(Entities[[#This Row],[ENT_TYPE]]="County",RIGHT(Entities[[#This Row],[ENT_NAME]],6)&lt;&gt;"County"),_xlfn.TEXTJOIN(" ",TRUE,Entities[[#This Row],[ENT_NAME]],"County"),Entities[[#This Row],[ENT_NAME]])</f>
        <v>Middle Rio Grande Development Council</v>
      </c>
    </row>
    <row r="342" spans="1:6" x14ac:dyDescent="0.25">
      <c r="A342" s="302" t="s">
        <v>5109</v>
      </c>
      <c r="B342" s="303" t="str">
        <f t="shared" si="5"/>
        <v>x00000268</v>
      </c>
      <c r="C342" t="s">
        <v>4</v>
      </c>
      <c r="D342" t="s">
        <v>5110</v>
      </c>
      <c r="E342">
        <v>14</v>
      </c>
      <c r="F342" t="str">
        <f>IF(AND(Entities[[#This Row],[ENT_TYPE]]="County",RIGHT(Entities[[#This Row],[ENT_NAME]],6)&lt;&gt;"County"),_xlfn.TEXTJOIN(" ",TRUE,Entities[[#This Row],[ENT_NAME]],"County"),Entities[[#This Row],[ENT_NAME]])</f>
        <v>Middle Rio Grande Development Council</v>
      </c>
    </row>
    <row r="343" spans="1:6" x14ac:dyDescent="0.25">
      <c r="A343" s="304" t="s">
        <v>5111</v>
      </c>
      <c r="B343" s="303" t="str">
        <f t="shared" si="5"/>
        <v>x00000269</v>
      </c>
      <c r="C343" t="s">
        <v>4</v>
      </c>
      <c r="D343" t="s">
        <v>5112</v>
      </c>
      <c r="E343">
        <v>0</v>
      </c>
      <c r="F343" t="str">
        <f>IF(AND(Entities[[#This Row],[ENT_TYPE]]="County",RIGHT(Entities[[#This Row],[ENT_NAME]],6)&lt;&gt;"County"),_xlfn.TEXTJOIN(" ",TRUE,Entities[[#This Row],[ENT_NAME]],"County"),Entities[[#This Row],[ENT_NAME]])</f>
        <v>Nortex Regional Planning Commission</v>
      </c>
    </row>
    <row r="344" spans="1:6" x14ac:dyDescent="0.25">
      <c r="A344" s="304" t="s">
        <v>5111</v>
      </c>
      <c r="B344" s="303" t="str">
        <f t="shared" si="5"/>
        <v>x00000269</v>
      </c>
      <c r="C344" t="s">
        <v>4</v>
      </c>
      <c r="D344" t="s">
        <v>5112</v>
      </c>
      <c r="E344">
        <v>7</v>
      </c>
      <c r="F344" t="str">
        <f>IF(AND(Entities[[#This Row],[ENT_TYPE]]="County",RIGHT(Entities[[#This Row],[ENT_NAME]],6)&lt;&gt;"County"),_xlfn.TEXTJOIN(" ",TRUE,Entities[[#This Row],[ENT_NAME]],"County"),Entities[[#This Row],[ENT_NAME]])</f>
        <v>Nortex Regional Planning Commission</v>
      </c>
    </row>
    <row r="345" spans="1:6" x14ac:dyDescent="0.25">
      <c r="A345" s="304" t="s">
        <v>5111</v>
      </c>
      <c r="B345" s="303" t="str">
        <f t="shared" si="5"/>
        <v>x00000269</v>
      </c>
      <c r="C345" t="s">
        <v>4</v>
      </c>
      <c r="D345" t="s">
        <v>5112</v>
      </c>
      <c r="E345">
        <v>8</v>
      </c>
      <c r="F345" t="str">
        <f>IF(AND(Entities[[#This Row],[ENT_TYPE]]="County",RIGHT(Entities[[#This Row],[ENT_NAME]],6)&lt;&gt;"County"),_xlfn.TEXTJOIN(" ",TRUE,Entities[[#This Row],[ENT_NAME]],"County"),Entities[[#This Row],[ENT_NAME]])</f>
        <v>Nortex Regional Planning Commission</v>
      </c>
    </row>
    <row r="346" spans="1:6" x14ac:dyDescent="0.25">
      <c r="A346" s="302" t="s">
        <v>5111</v>
      </c>
      <c r="B346" s="303" t="str">
        <f t="shared" si="5"/>
        <v>x00000269</v>
      </c>
      <c r="C346" t="s">
        <v>4</v>
      </c>
      <c r="D346" t="s">
        <v>5112</v>
      </c>
      <c r="E346">
        <v>3</v>
      </c>
      <c r="F346" t="str">
        <f>IF(AND(Entities[[#This Row],[ENT_TYPE]]="County",RIGHT(Entities[[#This Row],[ENT_NAME]],6)&lt;&gt;"County"),_xlfn.TEXTJOIN(" ",TRUE,Entities[[#This Row],[ENT_NAME]],"County"),Entities[[#This Row],[ENT_NAME]])</f>
        <v>Nortex Regional Planning Commission</v>
      </c>
    </row>
    <row r="347" spans="1:6" x14ac:dyDescent="0.25">
      <c r="A347" s="302" t="s">
        <v>1964</v>
      </c>
      <c r="B347" s="303" t="str">
        <f t="shared" si="5"/>
        <v>x00000270</v>
      </c>
      <c r="C347" t="s">
        <v>4</v>
      </c>
      <c r="D347" t="s">
        <v>5113</v>
      </c>
      <c r="E347">
        <v>2</v>
      </c>
      <c r="F347" t="str">
        <f>IF(AND(Entities[[#This Row],[ENT_TYPE]]="County",RIGHT(Entities[[#This Row],[ENT_NAME]],6)&lt;&gt;"County"),_xlfn.TEXTJOIN(" ",TRUE,Entities[[#This Row],[ENT_NAME]],"County"),Entities[[#This Row],[ENT_NAME]])</f>
        <v>North Central Texas Council of Governments</v>
      </c>
    </row>
    <row r="348" spans="1:6" x14ac:dyDescent="0.25">
      <c r="A348" s="302" t="s">
        <v>1964</v>
      </c>
      <c r="B348" s="303" t="str">
        <f t="shared" si="5"/>
        <v>x00000270</v>
      </c>
      <c r="C348" t="s">
        <v>4</v>
      </c>
      <c r="D348" t="s">
        <v>5113</v>
      </c>
      <c r="E348">
        <v>4</v>
      </c>
      <c r="F348" t="str">
        <f>IF(AND(Entities[[#This Row],[ENT_TYPE]]="County",RIGHT(Entities[[#This Row],[ENT_NAME]],6)&lt;&gt;"County"),_xlfn.TEXTJOIN(" ",TRUE,Entities[[#This Row],[ENT_NAME]],"County"),Entities[[#This Row],[ENT_NAME]])</f>
        <v>North Central Texas Council of Governments</v>
      </c>
    </row>
    <row r="349" spans="1:6" x14ac:dyDescent="0.25">
      <c r="A349" s="302" t="s">
        <v>1964</v>
      </c>
      <c r="B349" s="303" t="str">
        <f t="shared" si="5"/>
        <v>x00000270</v>
      </c>
      <c r="C349" t="s">
        <v>4</v>
      </c>
      <c r="D349" t="s">
        <v>5113</v>
      </c>
      <c r="E349">
        <v>8</v>
      </c>
      <c r="F349" t="str">
        <f>IF(AND(Entities[[#This Row],[ENT_TYPE]]="County",RIGHT(Entities[[#This Row],[ENT_NAME]],6)&lt;&gt;"County"),_xlfn.TEXTJOIN(" ",TRUE,Entities[[#This Row],[ENT_NAME]],"County"),Entities[[#This Row],[ENT_NAME]])</f>
        <v>North Central Texas Council of Governments</v>
      </c>
    </row>
    <row r="350" spans="1:6" x14ac:dyDescent="0.25">
      <c r="A350" s="302" t="s">
        <v>1964</v>
      </c>
      <c r="B350" s="303" t="str">
        <f t="shared" si="5"/>
        <v>x00000270</v>
      </c>
      <c r="C350" t="s">
        <v>4</v>
      </c>
      <c r="D350" t="s">
        <v>5113</v>
      </c>
      <c r="E350">
        <v>3</v>
      </c>
      <c r="F350" t="str">
        <f>IF(AND(Entities[[#This Row],[ENT_TYPE]]="County",RIGHT(Entities[[#This Row],[ENT_NAME]],6)&lt;&gt;"County"),_xlfn.TEXTJOIN(" ",TRUE,Entities[[#This Row],[ENT_NAME]],"County"),Entities[[#This Row],[ENT_NAME]])</f>
        <v>North Central Texas Council of Governments</v>
      </c>
    </row>
    <row r="351" spans="1:6" x14ac:dyDescent="0.25">
      <c r="A351" s="302" t="s">
        <v>1450</v>
      </c>
      <c r="B351" s="303" t="str">
        <f t="shared" si="5"/>
        <v>x00000271</v>
      </c>
      <c r="C351" t="s">
        <v>4</v>
      </c>
      <c r="D351" t="s">
        <v>5114</v>
      </c>
      <c r="E351">
        <v>0</v>
      </c>
      <c r="F351" t="str">
        <f>IF(AND(Entities[[#This Row],[ENT_TYPE]]="County",RIGHT(Entities[[#This Row],[ENT_NAME]],6)&lt;&gt;"County"),_xlfn.TEXTJOIN(" ",TRUE,Entities[[#This Row],[ENT_NAME]],"County"),Entities[[#This Row],[ENT_NAME]])</f>
        <v>Panhandle Regional Planning Commission</v>
      </c>
    </row>
    <row r="352" spans="1:6" x14ac:dyDescent="0.25">
      <c r="A352" s="302" t="s">
        <v>1450</v>
      </c>
      <c r="B352" s="303" t="str">
        <f t="shared" si="5"/>
        <v>x00000271</v>
      </c>
      <c r="C352" t="s">
        <v>4</v>
      </c>
      <c r="D352" t="s">
        <v>5114</v>
      </c>
      <c r="E352">
        <v>7</v>
      </c>
      <c r="F352" t="str">
        <f>IF(AND(Entities[[#This Row],[ENT_TYPE]]="County",RIGHT(Entities[[#This Row],[ENT_NAME]],6)&lt;&gt;"County"),_xlfn.TEXTJOIN(" ",TRUE,Entities[[#This Row],[ENT_NAME]],"County"),Entities[[#This Row],[ENT_NAME]])</f>
        <v>Panhandle Regional Planning Commission</v>
      </c>
    </row>
    <row r="353" spans="1:6" x14ac:dyDescent="0.25">
      <c r="A353" s="304" t="s">
        <v>5115</v>
      </c>
      <c r="B353" s="303" t="str">
        <f t="shared" si="5"/>
        <v>x00000272</v>
      </c>
      <c r="C353" t="s">
        <v>4</v>
      </c>
      <c r="D353" t="s">
        <v>5116</v>
      </c>
      <c r="E353">
        <v>7</v>
      </c>
      <c r="F353" t="str">
        <f>IF(AND(Entities[[#This Row],[ENT_TYPE]]="County",RIGHT(Entities[[#This Row],[ENT_NAME]],6)&lt;&gt;"County"),_xlfn.TEXTJOIN(" ",TRUE,Entities[[#This Row],[ENT_NAME]],"County"),Entities[[#This Row],[ENT_NAME]])</f>
        <v>Permian Basin Regional Planning Commission</v>
      </c>
    </row>
    <row r="354" spans="1:6" x14ac:dyDescent="0.25">
      <c r="A354" s="302" t="s">
        <v>5115</v>
      </c>
      <c r="B354" s="303" t="str">
        <f t="shared" si="5"/>
        <v>x00000272</v>
      </c>
      <c r="C354" t="s">
        <v>4</v>
      </c>
      <c r="D354" t="s">
        <v>5116</v>
      </c>
      <c r="E354">
        <v>14</v>
      </c>
      <c r="F354" t="str">
        <f>IF(AND(Entities[[#This Row],[ENT_TYPE]]="County",RIGHT(Entities[[#This Row],[ENT_NAME]],6)&lt;&gt;"County"),_xlfn.TEXTJOIN(" ",TRUE,Entities[[#This Row],[ENT_NAME]],"County"),Entities[[#This Row],[ENT_NAME]])</f>
        <v>Permian Basin Regional Planning Commission</v>
      </c>
    </row>
    <row r="355" spans="1:6" x14ac:dyDescent="0.25">
      <c r="A355" s="302" t="s">
        <v>5115</v>
      </c>
      <c r="B355" s="303" t="str">
        <f t="shared" si="5"/>
        <v>x00000272</v>
      </c>
      <c r="C355" t="s">
        <v>4</v>
      </c>
      <c r="D355" t="s">
        <v>5116</v>
      </c>
      <c r="E355">
        <v>0</v>
      </c>
      <c r="F355" t="str">
        <f>IF(AND(Entities[[#This Row],[ENT_TYPE]]="County",RIGHT(Entities[[#This Row],[ENT_NAME]],6)&lt;&gt;"County"),_xlfn.TEXTJOIN(" ",TRUE,Entities[[#This Row],[ENT_NAME]],"County"),Entities[[#This Row],[ENT_NAME]])</f>
        <v>Permian Basin Regional Planning Commission</v>
      </c>
    </row>
    <row r="356" spans="1:6" x14ac:dyDescent="0.25">
      <c r="A356" s="304" t="s">
        <v>5117</v>
      </c>
      <c r="B356" s="303" t="str">
        <f t="shared" si="5"/>
        <v>x00000274</v>
      </c>
      <c r="C356" t="s">
        <v>4</v>
      </c>
      <c r="D356" t="s">
        <v>5118</v>
      </c>
      <c r="E356">
        <v>4</v>
      </c>
      <c r="F356" t="str">
        <f>IF(AND(Entities[[#This Row],[ENT_TYPE]]="County",RIGHT(Entities[[#This Row],[ENT_NAME]],6)&lt;&gt;"County"),_xlfn.TEXTJOIN(" ",TRUE,Entities[[#This Row],[ENT_NAME]],"County"),Entities[[#This Row],[ENT_NAME]])</f>
        <v>South East Texas Regional Planning Commission</v>
      </c>
    </row>
    <row r="357" spans="1:6" x14ac:dyDescent="0.25">
      <c r="A357" s="304" t="s">
        <v>5117</v>
      </c>
      <c r="B357" s="303" t="str">
        <f t="shared" si="5"/>
        <v>x00000274</v>
      </c>
      <c r="C357" t="s">
        <v>4</v>
      </c>
      <c r="D357" t="s">
        <v>5118</v>
      </c>
      <c r="E357">
        <v>0</v>
      </c>
      <c r="F357" t="str">
        <f>IF(AND(Entities[[#This Row],[ENT_TYPE]]="County",RIGHT(Entities[[#This Row],[ENT_NAME]],6)&lt;&gt;"County"),_xlfn.TEXTJOIN(" ",TRUE,Entities[[#This Row],[ENT_NAME]],"County"),Entities[[#This Row],[ENT_NAME]])</f>
        <v>South East Texas Regional Planning Commission</v>
      </c>
    </row>
    <row r="358" spans="1:6" x14ac:dyDescent="0.25">
      <c r="A358" s="302" t="s">
        <v>5117</v>
      </c>
      <c r="B358" s="303" t="str">
        <f t="shared" si="5"/>
        <v>x00000274</v>
      </c>
      <c r="C358" t="s">
        <v>4</v>
      </c>
      <c r="D358" t="s">
        <v>5118</v>
      </c>
      <c r="E358">
        <v>3</v>
      </c>
      <c r="F358" t="str">
        <f>IF(AND(Entities[[#This Row],[ENT_TYPE]]="County",RIGHT(Entities[[#This Row],[ENT_NAME]],6)&lt;&gt;"County"),_xlfn.TEXTJOIN(" ",TRUE,Entities[[#This Row],[ENT_NAME]],"County"),Entities[[#This Row],[ENT_NAME]])</f>
        <v>South East Texas Regional Planning Commission</v>
      </c>
    </row>
    <row r="359" spans="1:6" x14ac:dyDescent="0.25">
      <c r="A359" s="304" t="s">
        <v>2986</v>
      </c>
      <c r="B359" s="303" t="str">
        <f t="shared" si="5"/>
        <v>x00000275</v>
      </c>
      <c r="C359" t="s">
        <v>4</v>
      </c>
      <c r="D359" t="s">
        <v>5119</v>
      </c>
      <c r="E359">
        <v>0</v>
      </c>
      <c r="F359" t="str">
        <f>IF(AND(Entities[[#This Row],[ENT_TYPE]]="County",RIGHT(Entities[[#This Row],[ENT_NAME]],6)&lt;&gt;"County"),_xlfn.TEXTJOIN(" ",TRUE,Entities[[#This Row],[ENT_NAME]],"County"),Entities[[#This Row],[ENT_NAME]])</f>
        <v>South Plains Association of Governments</v>
      </c>
    </row>
    <row r="360" spans="1:6" x14ac:dyDescent="0.25">
      <c r="A360" s="302" t="s">
        <v>2986</v>
      </c>
      <c r="B360" s="303" t="str">
        <f t="shared" si="5"/>
        <v>x00000275</v>
      </c>
      <c r="C360" t="s">
        <v>4</v>
      </c>
      <c r="D360" t="s">
        <v>5119</v>
      </c>
      <c r="E360">
        <v>7</v>
      </c>
      <c r="F360" t="str">
        <f>IF(AND(Entities[[#This Row],[ENT_TYPE]]="County",RIGHT(Entities[[#This Row],[ENT_NAME]],6)&lt;&gt;"County"),_xlfn.TEXTJOIN(" ",TRUE,Entities[[#This Row],[ENT_NAME]],"County"),Entities[[#This Row],[ENT_NAME]])</f>
        <v>South Plains Association of Governments</v>
      </c>
    </row>
    <row r="361" spans="1:6" x14ac:dyDescent="0.25">
      <c r="A361" s="302" t="s">
        <v>2986</v>
      </c>
      <c r="B361" s="303" t="str">
        <f t="shared" si="5"/>
        <v>x00000275</v>
      </c>
      <c r="C361" t="s">
        <v>4</v>
      </c>
      <c r="D361" t="s">
        <v>5119</v>
      </c>
      <c r="E361">
        <v>0</v>
      </c>
      <c r="F361" t="str">
        <f>IF(AND(Entities[[#This Row],[ENT_TYPE]]="County",RIGHT(Entities[[#This Row],[ENT_NAME]],6)&lt;&gt;"County"),_xlfn.TEXTJOIN(" ",TRUE,Entities[[#This Row],[ENT_NAME]],"County"),Entities[[#This Row],[ENT_NAME]])</f>
        <v>South Plains Association of Governments</v>
      </c>
    </row>
    <row r="362" spans="1:6" x14ac:dyDescent="0.25">
      <c r="A362" s="302" t="s">
        <v>5120</v>
      </c>
      <c r="B362" s="303" t="str">
        <f t="shared" si="5"/>
        <v>x00000276</v>
      </c>
      <c r="C362" t="s">
        <v>4</v>
      </c>
      <c r="D362" t="s">
        <v>5121</v>
      </c>
      <c r="E362">
        <v>15</v>
      </c>
      <c r="F362" t="str">
        <f>IF(AND(Entities[[#This Row],[ENT_TYPE]]="County",RIGHT(Entities[[#This Row],[ENT_NAME]],6)&lt;&gt;"County"),_xlfn.TEXTJOIN(" ",TRUE,Entities[[#This Row],[ENT_NAME]],"County"),Entities[[#This Row],[ENT_NAME]])</f>
        <v>South Texas Development Council</v>
      </c>
    </row>
    <row r="363" spans="1:6" x14ac:dyDescent="0.25">
      <c r="A363" s="302" t="s">
        <v>5120</v>
      </c>
      <c r="B363" s="303" t="str">
        <f t="shared" si="5"/>
        <v>x00000276</v>
      </c>
      <c r="C363" t="s">
        <v>4</v>
      </c>
      <c r="D363" t="s">
        <v>5121</v>
      </c>
      <c r="E363">
        <v>13</v>
      </c>
      <c r="F363" t="str">
        <f>IF(AND(Entities[[#This Row],[ENT_TYPE]]="County",RIGHT(Entities[[#This Row],[ENT_NAME]],6)&lt;&gt;"County"),_xlfn.TEXTJOIN(" ",TRUE,Entities[[#This Row],[ENT_NAME]],"County"),Entities[[#This Row],[ENT_NAME]])</f>
        <v>South Texas Development Council</v>
      </c>
    </row>
    <row r="364" spans="1:6" x14ac:dyDescent="0.25">
      <c r="A364" s="302" t="s">
        <v>5122</v>
      </c>
      <c r="B364" s="303" t="str">
        <f t="shared" si="5"/>
        <v>x00000277</v>
      </c>
      <c r="C364" t="s">
        <v>4</v>
      </c>
      <c r="D364" t="s">
        <v>5123</v>
      </c>
      <c r="E364">
        <v>0</v>
      </c>
      <c r="F364" t="str">
        <f>IF(AND(Entities[[#This Row],[ENT_TYPE]]="County",RIGHT(Entities[[#This Row],[ENT_NAME]],6)&lt;&gt;"County"),_xlfn.TEXTJOIN(" ",TRUE,Entities[[#This Row],[ENT_NAME]],"County"),Entities[[#This Row],[ENT_NAME]])</f>
        <v>Texoma Council of Governments</v>
      </c>
    </row>
    <row r="365" spans="1:6" x14ac:dyDescent="0.25">
      <c r="A365" s="304" t="s">
        <v>5122</v>
      </c>
      <c r="B365" s="303" t="str">
        <f t="shared" si="5"/>
        <v>x00000277</v>
      </c>
      <c r="C365" t="s">
        <v>4</v>
      </c>
      <c r="D365" t="s">
        <v>5123</v>
      </c>
      <c r="E365">
        <v>2</v>
      </c>
      <c r="F365" t="str">
        <f>IF(AND(Entities[[#This Row],[ENT_TYPE]]="County",RIGHT(Entities[[#This Row],[ENT_NAME]],6)&lt;&gt;"County"),_xlfn.TEXTJOIN(" ",TRUE,Entities[[#This Row],[ENT_NAME]],"County"),Entities[[#This Row],[ENT_NAME]])</f>
        <v>Texoma Council of Governments</v>
      </c>
    </row>
    <row r="366" spans="1:6" x14ac:dyDescent="0.25">
      <c r="A366" s="302" t="s">
        <v>5122</v>
      </c>
      <c r="B366" s="303" t="str">
        <f t="shared" si="5"/>
        <v>x00000277</v>
      </c>
      <c r="C366" t="s">
        <v>4</v>
      </c>
      <c r="D366" t="s">
        <v>5123</v>
      </c>
      <c r="E366">
        <v>3</v>
      </c>
      <c r="F366" t="str">
        <f>IF(AND(Entities[[#This Row],[ENT_TYPE]]="County",RIGHT(Entities[[#This Row],[ENT_NAME]],6)&lt;&gt;"County"),_xlfn.TEXTJOIN(" ",TRUE,Entities[[#This Row],[ENT_NAME]],"County"),Entities[[#This Row],[ENT_NAME]])</f>
        <v>Texoma Council of Governments</v>
      </c>
    </row>
    <row r="367" spans="1:6" x14ac:dyDescent="0.25">
      <c r="A367" s="304" t="s">
        <v>5124</v>
      </c>
      <c r="B367" s="303" t="str">
        <f t="shared" si="5"/>
        <v>x00000278</v>
      </c>
      <c r="C367" t="s">
        <v>4</v>
      </c>
      <c r="D367" t="s">
        <v>5125</v>
      </c>
      <c r="E367">
        <v>0</v>
      </c>
      <c r="F367" t="str">
        <f>IF(AND(Entities[[#This Row],[ENT_TYPE]]="County",RIGHT(Entities[[#This Row],[ENT_NAME]],6)&lt;&gt;"County"),_xlfn.TEXTJOIN(" ",TRUE,Entities[[#This Row],[ENT_NAME]],"County"),Entities[[#This Row],[ENT_NAME]])</f>
        <v>West Central Texas Council of Governments</v>
      </c>
    </row>
    <row r="368" spans="1:6" x14ac:dyDescent="0.25">
      <c r="A368" s="304" t="s">
        <v>5124</v>
      </c>
      <c r="B368" s="303" t="str">
        <f t="shared" si="5"/>
        <v>x00000278</v>
      </c>
      <c r="C368" t="s">
        <v>4</v>
      </c>
      <c r="D368" t="s">
        <v>5125</v>
      </c>
      <c r="E368">
        <v>7</v>
      </c>
      <c r="F368" t="str">
        <f>IF(AND(Entities[[#This Row],[ENT_TYPE]]="County",RIGHT(Entities[[#This Row],[ENT_NAME]],6)&lt;&gt;"County"),_xlfn.TEXTJOIN(" ",TRUE,Entities[[#This Row],[ENT_NAME]],"County"),Entities[[#This Row],[ENT_NAME]])</f>
        <v>West Central Texas Council of Governments</v>
      </c>
    </row>
    <row r="369" spans="1:6" x14ac:dyDescent="0.25">
      <c r="A369" s="304" t="s">
        <v>5124</v>
      </c>
      <c r="B369" s="303" t="str">
        <f t="shared" si="5"/>
        <v>x00000278</v>
      </c>
      <c r="C369" t="s">
        <v>4</v>
      </c>
      <c r="D369" t="s">
        <v>5125</v>
      </c>
      <c r="E369">
        <v>8</v>
      </c>
      <c r="F369" t="str">
        <f>IF(AND(Entities[[#This Row],[ENT_TYPE]]="County",RIGHT(Entities[[#This Row],[ENT_NAME]],6)&lt;&gt;"County"),_xlfn.TEXTJOIN(" ",TRUE,Entities[[#This Row],[ENT_NAME]],"County"),Entities[[#This Row],[ENT_NAME]])</f>
        <v>West Central Texas Council of Governments</v>
      </c>
    </row>
    <row r="370" spans="1:6" x14ac:dyDescent="0.25">
      <c r="A370" s="302" t="s">
        <v>5124</v>
      </c>
      <c r="B370" s="303" t="str">
        <f t="shared" si="5"/>
        <v>x00000278</v>
      </c>
      <c r="C370" t="s">
        <v>4</v>
      </c>
      <c r="D370" t="s">
        <v>5125</v>
      </c>
      <c r="E370">
        <v>10</v>
      </c>
      <c r="F370" t="str">
        <f>IF(AND(Entities[[#This Row],[ENT_TYPE]]="County",RIGHT(Entities[[#This Row],[ENT_NAME]],6)&lt;&gt;"County"),_xlfn.TEXTJOIN(" ",TRUE,Entities[[#This Row],[ENT_NAME]],"County"),Entities[[#This Row],[ENT_NAME]])</f>
        <v>West Central Texas Council of Governments</v>
      </c>
    </row>
    <row r="371" spans="1:6" x14ac:dyDescent="0.25">
      <c r="A371" s="302" t="s">
        <v>5124</v>
      </c>
      <c r="B371" s="303" t="str">
        <f t="shared" si="5"/>
        <v>x00000278</v>
      </c>
      <c r="C371" t="s">
        <v>4</v>
      </c>
      <c r="D371" t="s">
        <v>5125</v>
      </c>
      <c r="E371">
        <v>0</v>
      </c>
      <c r="F371" t="str">
        <f>IF(AND(Entities[[#This Row],[ENT_TYPE]]="County",RIGHT(Entities[[#This Row],[ENT_NAME]],6)&lt;&gt;"County"),_xlfn.TEXTJOIN(" ",TRUE,Entities[[#This Row],[ENT_NAME]],"County"),Entities[[#This Row],[ENT_NAME]])</f>
        <v>West Central Texas Council of Governments</v>
      </c>
    </row>
    <row r="372" spans="1:6" x14ac:dyDescent="0.25">
      <c r="A372" s="302" t="s">
        <v>5126</v>
      </c>
      <c r="B372" s="303" t="str">
        <f t="shared" si="5"/>
        <v>x00000280</v>
      </c>
      <c r="C372" t="s">
        <v>5127</v>
      </c>
      <c r="D372" t="s">
        <v>5128</v>
      </c>
      <c r="E372">
        <v>0</v>
      </c>
      <c r="F372" t="str">
        <f>IF(AND(Entities[[#This Row],[ENT_TYPE]]="County",RIGHT(Entities[[#This Row],[ENT_NAME]],6)&lt;&gt;"County"),_xlfn.TEXTJOIN(" ",TRUE,Entities[[#This Row],[ENT_NAME]],"County"),Entities[[#This Row],[ENT_NAME]])</f>
        <v>Trinity River Authority of Texas</v>
      </c>
    </row>
    <row r="373" spans="1:6" x14ac:dyDescent="0.25">
      <c r="A373" s="304" t="s">
        <v>5126</v>
      </c>
      <c r="B373" s="303" t="str">
        <f t="shared" si="5"/>
        <v>x00000280</v>
      </c>
      <c r="C373" t="s">
        <v>5127</v>
      </c>
      <c r="D373" t="s">
        <v>5128</v>
      </c>
      <c r="E373">
        <v>6</v>
      </c>
      <c r="F373" t="str">
        <f>IF(AND(Entities[[#This Row],[ENT_TYPE]]="County",RIGHT(Entities[[#This Row],[ENT_NAME]],6)&lt;&gt;"County"),_xlfn.TEXTJOIN(" ",TRUE,Entities[[#This Row],[ENT_NAME]],"County"),Entities[[#This Row],[ENT_NAME]])</f>
        <v>Trinity River Authority of Texas</v>
      </c>
    </row>
    <row r="374" spans="1:6" x14ac:dyDescent="0.25">
      <c r="A374" s="302" t="s">
        <v>5126</v>
      </c>
      <c r="B374" s="303" t="str">
        <f t="shared" si="5"/>
        <v>x00000280</v>
      </c>
      <c r="C374" t="s">
        <v>5127</v>
      </c>
      <c r="D374" t="s">
        <v>5128</v>
      </c>
      <c r="E374">
        <v>3</v>
      </c>
      <c r="F374" t="str">
        <f>IF(AND(Entities[[#This Row],[ENT_TYPE]]="County",RIGHT(Entities[[#This Row],[ENT_NAME]],6)&lt;&gt;"County"),_xlfn.TEXTJOIN(" ",TRUE,Entities[[#This Row],[ENT_NAME]],"County"),Entities[[#This Row],[ENT_NAME]])</f>
        <v>Trinity River Authority of Texas</v>
      </c>
    </row>
    <row r="375" spans="1:6" x14ac:dyDescent="0.25">
      <c r="A375" s="302" t="s">
        <v>5129</v>
      </c>
      <c r="B375" s="303" t="str">
        <f t="shared" si="5"/>
        <v>x00000281</v>
      </c>
      <c r="C375" t="s">
        <v>5127</v>
      </c>
      <c r="D375" t="s">
        <v>5130</v>
      </c>
      <c r="E375">
        <v>2</v>
      </c>
      <c r="F375" t="str">
        <f>IF(AND(Entities[[#This Row],[ENT_TYPE]]="County",RIGHT(Entities[[#This Row],[ENT_NAME]],6)&lt;&gt;"County"),_xlfn.TEXTJOIN(" ",TRUE,Entities[[#This Row],[ENT_NAME]],"County"),Entities[[#This Row],[ENT_NAME]])</f>
        <v>Sulphur River Basin Authority</v>
      </c>
    </row>
    <row r="376" spans="1:6" x14ac:dyDescent="0.25">
      <c r="A376" s="302" t="s">
        <v>5129</v>
      </c>
      <c r="B376" s="303" t="str">
        <f t="shared" si="5"/>
        <v>x00000281</v>
      </c>
      <c r="C376" t="s">
        <v>5127</v>
      </c>
      <c r="D376" t="s">
        <v>5130</v>
      </c>
      <c r="E376">
        <v>3</v>
      </c>
      <c r="F376" t="str">
        <f>IF(AND(Entities[[#This Row],[ENT_TYPE]]="County",RIGHT(Entities[[#This Row],[ENT_NAME]],6)&lt;&gt;"County"),_xlfn.TEXTJOIN(" ",TRUE,Entities[[#This Row],[ENT_NAME]],"County"),Entities[[#This Row],[ENT_NAME]])</f>
        <v>Sulphur River Basin Authority</v>
      </c>
    </row>
    <row r="377" spans="1:6" x14ac:dyDescent="0.25">
      <c r="A377" s="304" t="s">
        <v>4631</v>
      </c>
      <c r="B377" s="303" t="str">
        <f t="shared" si="5"/>
        <v>x00000282</v>
      </c>
      <c r="C377" t="s">
        <v>5127</v>
      </c>
      <c r="D377" t="s">
        <v>5131</v>
      </c>
      <c r="E377">
        <v>13</v>
      </c>
      <c r="F377" t="str">
        <f>IF(AND(Entities[[#This Row],[ENT_TYPE]]="County",RIGHT(Entities[[#This Row],[ENT_NAME]],6)&lt;&gt;"County"),_xlfn.TEXTJOIN(" ",TRUE,Entities[[#This Row],[ENT_NAME]],"County"),Entities[[#This Row],[ENT_NAME]])</f>
        <v>San Antonio River Authority</v>
      </c>
    </row>
    <row r="378" spans="1:6" x14ac:dyDescent="0.25">
      <c r="A378" s="302" t="s">
        <v>4631</v>
      </c>
      <c r="B378" s="303" t="str">
        <f t="shared" si="5"/>
        <v>x00000282</v>
      </c>
      <c r="C378" t="s">
        <v>5127</v>
      </c>
      <c r="D378" t="s">
        <v>5131</v>
      </c>
      <c r="E378">
        <v>11</v>
      </c>
      <c r="F378" t="str">
        <f>IF(AND(Entities[[#This Row],[ENT_TYPE]]="County",RIGHT(Entities[[#This Row],[ENT_NAME]],6)&lt;&gt;"County"),_xlfn.TEXTJOIN(" ",TRUE,Entities[[#This Row],[ENT_NAME]],"County"),Entities[[#This Row],[ENT_NAME]])</f>
        <v>San Antonio River Authority</v>
      </c>
    </row>
    <row r="379" spans="1:6" x14ac:dyDescent="0.25">
      <c r="A379" s="302" t="s">
        <v>4631</v>
      </c>
      <c r="B379" s="303" t="str">
        <f t="shared" si="5"/>
        <v>x00000282</v>
      </c>
      <c r="C379" t="s">
        <v>5127</v>
      </c>
      <c r="D379" t="s">
        <v>5131</v>
      </c>
      <c r="E379">
        <v>12</v>
      </c>
      <c r="F379" t="str">
        <f>IF(AND(Entities[[#This Row],[ENT_TYPE]]="County",RIGHT(Entities[[#This Row],[ENT_NAME]],6)&lt;&gt;"County"),_xlfn.TEXTJOIN(" ",TRUE,Entities[[#This Row],[ENT_NAME]],"County"),Entities[[#This Row],[ENT_NAME]])</f>
        <v>San Antonio River Authority</v>
      </c>
    </row>
    <row r="380" spans="1:6" x14ac:dyDescent="0.25">
      <c r="A380" s="304" t="s">
        <v>5132</v>
      </c>
      <c r="B380" s="303" t="str">
        <f t="shared" si="5"/>
        <v>x00000284</v>
      </c>
      <c r="C380" t="s">
        <v>5127</v>
      </c>
      <c r="D380" t="s">
        <v>5133</v>
      </c>
      <c r="E380">
        <v>10</v>
      </c>
      <c r="F380" t="str">
        <f>IF(AND(Entities[[#This Row],[ENT_TYPE]]="County",RIGHT(Entities[[#This Row],[ENT_NAME]],6)&lt;&gt;"County"),_xlfn.TEXTJOIN(" ",TRUE,Entities[[#This Row],[ENT_NAME]],"County"),Entities[[#This Row],[ENT_NAME]])</f>
        <v>Upper Colorado River Authority</v>
      </c>
    </row>
    <row r="381" spans="1:6" x14ac:dyDescent="0.25">
      <c r="A381" s="302" t="s">
        <v>5132</v>
      </c>
      <c r="B381" s="303" t="str">
        <f t="shared" si="5"/>
        <v>x00000284</v>
      </c>
      <c r="C381" t="s">
        <v>5127</v>
      </c>
      <c r="D381" t="s">
        <v>5133</v>
      </c>
      <c r="E381">
        <v>0</v>
      </c>
      <c r="F381" t="str">
        <f>IF(AND(Entities[[#This Row],[ENT_TYPE]]="County",RIGHT(Entities[[#This Row],[ENT_NAME]],6)&lt;&gt;"County"),_xlfn.TEXTJOIN(" ",TRUE,Entities[[#This Row],[ENT_NAME]],"County"),Entities[[#This Row],[ENT_NAME]])</f>
        <v>Upper Colorado River Authority</v>
      </c>
    </row>
    <row r="382" spans="1:6" x14ac:dyDescent="0.25">
      <c r="A382" s="304" t="s">
        <v>5134</v>
      </c>
      <c r="B382" s="303" t="str">
        <f t="shared" si="5"/>
        <v>x00000285</v>
      </c>
      <c r="C382" t="s">
        <v>5127</v>
      </c>
      <c r="D382" t="s">
        <v>5135</v>
      </c>
      <c r="E382">
        <v>0</v>
      </c>
      <c r="F382" t="str">
        <f>IF(AND(Entities[[#This Row],[ENT_TYPE]]="County",RIGHT(Entities[[#This Row],[ENT_NAME]],6)&lt;&gt;"County"),_xlfn.TEXTJOIN(" ",TRUE,Entities[[#This Row],[ENT_NAME]],"County"),Entities[[#This Row],[ENT_NAME]])</f>
        <v>Angelina &amp; Neches River Authority</v>
      </c>
    </row>
    <row r="383" spans="1:6" x14ac:dyDescent="0.25">
      <c r="A383" s="302" t="s">
        <v>5134</v>
      </c>
      <c r="B383" s="303" t="str">
        <f t="shared" si="5"/>
        <v>x00000285</v>
      </c>
      <c r="C383" t="s">
        <v>5127</v>
      </c>
      <c r="D383" t="s">
        <v>5135</v>
      </c>
      <c r="E383">
        <v>3</v>
      </c>
      <c r="F383" t="str">
        <f>IF(AND(Entities[[#This Row],[ENT_TYPE]]="County",RIGHT(Entities[[#This Row],[ENT_NAME]],6)&lt;&gt;"County"),_xlfn.TEXTJOIN(" ",TRUE,Entities[[#This Row],[ENT_NAME]],"County"),Entities[[#This Row],[ENT_NAME]])</f>
        <v>Angelina &amp; Neches River Authority</v>
      </c>
    </row>
    <row r="384" spans="1:6" x14ac:dyDescent="0.25">
      <c r="A384" s="304" t="s">
        <v>5136</v>
      </c>
      <c r="B384" s="303" t="str">
        <f t="shared" si="5"/>
        <v>x00000287</v>
      </c>
      <c r="C384" t="s">
        <v>5127</v>
      </c>
      <c r="D384" t="s">
        <v>5137</v>
      </c>
      <c r="E384">
        <v>6</v>
      </c>
      <c r="F384" t="str">
        <f>IF(AND(Entities[[#This Row],[ENT_TYPE]]="County",RIGHT(Entities[[#This Row],[ENT_NAME]],6)&lt;&gt;"County"),_xlfn.TEXTJOIN(" ",TRUE,Entities[[#This Row],[ENT_NAME]],"County"),Entities[[#This Row],[ENT_NAME]])</f>
        <v>San Jacinto River Authority</v>
      </c>
    </row>
    <row r="385" spans="1:6" x14ac:dyDescent="0.25">
      <c r="A385" s="302" t="s">
        <v>5136</v>
      </c>
      <c r="B385" s="303" t="str">
        <f t="shared" si="5"/>
        <v>x00000287</v>
      </c>
      <c r="C385" t="s">
        <v>5127</v>
      </c>
      <c r="D385" t="s">
        <v>5137</v>
      </c>
      <c r="E385">
        <v>3</v>
      </c>
      <c r="F385" t="str">
        <f>IF(AND(Entities[[#This Row],[ENT_TYPE]]="County",RIGHT(Entities[[#This Row],[ENT_NAME]],6)&lt;&gt;"County"),_xlfn.TEXTJOIN(" ",TRUE,Entities[[#This Row],[ENT_NAME]],"County"),Entities[[#This Row],[ENT_NAME]])</f>
        <v>San Jacinto River Authority</v>
      </c>
    </row>
    <row r="386" spans="1:6" x14ac:dyDescent="0.25">
      <c r="A386" s="302" t="s">
        <v>3770</v>
      </c>
      <c r="B386" s="303" t="str">
        <f t="shared" ref="B386:B449" si="6">_xlfn.CONCAT("x",TEXT(A386,"00000000"))</f>
        <v>x00000290</v>
      </c>
      <c r="C386" t="s">
        <v>5127</v>
      </c>
      <c r="D386" t="s">
        <v>5138</v>
      </c>
      <c r="E386">
        <v>13</v>
      </c>
      <c r="F386" t="str">
        <f>IF(AND(Entities[[#This Row],[ENT_TYPE]]="County",RIGHT(Entities[[#This Row],[ENT_NAME]],6)&lt;&gt;"County"),_xlfn.TEXTJOIN(" ",TRUE,Entities[[#This Row],[ENT_NAME]],"County"),Entities[[#This Row],[ENT_NAME]])</f>
        <v>Nueces River Authority</v>
      </c>
    </row>
    <row r="387" spans="1:6" x14ac:dyDescent="0.25">
      <c r="A387" s="302" t="s">
        <v>3770</v>
      </c>
      <c r="B387" s="303" t="str">
        <f t="shared" si="6"/>
        <v>x00000290</v>
      </c>
      <c r="C387" t="s">
        <v>5127</v>
      </c>
      <c r="D387" t="s">
        <v>5138</v>
      </c>
      <c r="E387">
        <v>12</v>
      </c>
      <c r="F387" t="str">
        <f>IF(AND(Entities[[#This Row],[ENT_TYPE]]="County",RIGHT(Entities[[#This Row],[ENT_NAME]],6)&lt;&gt;"County"),_xlfn.TEXTJOIN(" ",TRUE,Entities[[#This Row],[ENT_NAME]],"County"),Entities[[#This Row],[ENT_NAME]])</f>
        <v>Nueces River Authority</v>
      </c>
    </row>
    <row r="388" spans="1:6" x14ac:dyDescent="0.25">
      <c r="A388" s="304" t="s">
        <v>5139</v>
      </c>
      <c r="B388" s="303" t="str">
        <f t="shared" si="6"/>
        <v>x00000291</v>
      </c>
      <c r="C388" t="s">
        <v>5127</v>
      </c>
      <c r="D388" t="s">
        <v>5140</v>
      </c>
      <c r="E388">
        <v>13</v>
      </c>
      <c r="F388" t="str">
        <f>IF(AND(Entities[[#This Row],[ENT_TYPE]]="County",RIGHT(Entities[[#This Row],[ENT_NAME]],6)&lt;&gt;"County"),_xlfn.TEXTJOIN(" ",TRUE,Entities[[#This Row],[ENT_NAME]],"County"),Entities[[#This Row],[ENT_NAME]])</f>
        <v>Guadalupe-Blanco River Authority</v>
      </c>
    </row>
    <row r="389" spans="1:6" x14ac:dyDescent="0.25">
      <c r="A389" s="302" t="s">
        <v>5139</v>
      </c>
      <c r="B389" s="303" t="str">
        <f t="shared" si="6"/>
        <v>x00000291</v>
      </c>
      <c r="C389" t="s">
        <v>5127</v>
      </c>
      <c r="D389" t="s">
        <v>5140</v>
      </c>
      <c r="E389">
        <v>11</v>
      </c>
      <c r="F389" t="str">
        <f>IF(AND(Entities[[#This Row],[ENT_TYPE]]="County",RIGHT(Entities[[#This Row],[ENT_NAME]],6)&lt;&gt;"County"),_xlfn.TEXTJOIN(" ",TRUE,Entities[[#This Row],[ENT_NAME]],"County"),Entities[[#This Row],[ENT_NAME]])</f>
        <v>Guadalupe-Blanco River Authority</v>
      </c>
    </row>
    <row r="390" spans="1:6" x14ac:dyDescent="0.25">
      <c r="A390" s="302" t="s">
        <v>5139</v>
      </c>
      <c r="B390" s="303" t="str">
        <f t="shared" si="6"/>
        <v>x00000291</v>
      </c>
      <c r="C390" t="s">
        <v>5127</v>
      </c>
      <c r="D390" t="s">
        <v>5140</v>
      </c>
      <c r="E390">
        <v>12</v>
      </c>
      <c r="F390" t="str">
        <f>IF(AND(Entities[[#This Row],[ENT_TYPE]]="County",RIGHT(Entities[[#This Row],[ENT_NAME]],6)&lt;&gt;"County"),_xlfn.TEXTJOIN(" ",TRUE,Entities[[#This Row],[ENT_NAME]],"County"),Entities[[#This Row],[ENT_NAME]])</f>
        <v>Guadalupe-Blanco River Authority</v>
      </c>
    </row>
    <row r="391" spans="1:6" x14ac:dyDescent="0.25">
      <c r="A391" s="302" t="s">
        <v>4606</v>
      </c>
      <c r="B391" s="303" t="str">
        <f t="shared" si="6"/>
        <v>x00000293</v>
      </c>
      <c r="C391" t="s">
        <v>5127</v>
      </c>
      <c r="D391" t="s">
        <v>5141</v>
      </c>
      <c r="E391">
        <v>2</v>
      </c>
      <c r="F391" t="str">
        <f>IF(AND(Entities[[#This Row],[ENT_TYPE]]="County",RIGHT(Entities[[#This Row],[ENT_NAME]],6)&lt;&gt;"County"),_xlfn.TEXTJOIN(" ",TRUE,Entities[[#This Row],[ENT_NAME]],"County"),Entities[[#This Row],[ENT_NAME]])</f>
        <v>Sabine River Authority</v>
      </c>
    </row>
    <row r="392" spans="1:6" x14ac:dyDescent="0.25">
      <c r="A392" s="302" t="s">
        <v>4606</v>
      </c>
      <c r="B392" s="303" t="str">
        <f t="shared" si="6"/>
        <v>x00000293</v>
      </c>
      <c r="C392" t="s">
        <v>5127</v>
      </c>
      <c r="D392" t="s">
        <v>5141</v>
      </c>
      <c r="E392">
        <v>4</v>
      </c>
      <c r="F392" t="str">
        <f>IF(AND(Entities[[#This Row],[ENT_TYPE]]="County",RIGHT(Entities[[#This Row],[ENT_NAME]],6)&lt;&gt;"County"),_xlfn.TEXTJOIN(" ",TRUE,Entities[[#This Row],[ENT_NAME]],"County"),Entities[[#This Row],[ENT_NAME]])</f>
        <v>Sabine River Authority</v>
      </c>
    </row>
    <row r="393" spans="1:6" x14ac:dyDescent="0.25">
      <c r="A393" s="302" t="s">
        <v>4606</v>
      </c>
      <c r="B393" s="303" t="str">
        <f t="shared" si="6"/>
        <v>x00000293</v>
      </c>
      <c r="C393" t="s">
        <v>5127</v>
      </c>
      <c r="D393" t="s">
        <v>5141</v>
      </c>
      <c r="E393">
        <v>3</v>
      </c>
      <c r="F393" t="str">
        <f>IF(AND(Entities[[#This Row],[ENT_TYPE]]="County",RIGHT(Entities[[#This Row],[ENT_NAME]],6)&lt;&gt;"County"),_xlfn.TEXTJOIN(" ",TRUE,Entities[[#This Row],[ENT_NAME]],"County"),Entities[[#This Row],[ENT_NAME]])</f>
        <v>Sabine River Authority</v>
      </c>
    </row>
    <row r="394" spans="1:6" x14ac:dyDescent="0.25">
      <c r="A394" s="302" t="s">
        <v>5142</v>
      </c>
      <c r="B394" s="303" t="str">
        <f t="shared" si="6"/>
        <v>x00000294</v>
      </c>
      <c r="C394" t="s">
        <v>5127</v>
      </c>
      <c r="D394" t="s">
        <v>5143</v>
      </c>
      <c r="E394">
        <v>0</v>
      </c>
      <c r="F394" t="str">
        <f>IF(AND(Entities[[#This Row],[ENT_TYPE]]="County",RIGHT(Entities[[#This Row],[ENT_NAME]],6)&lt;&gt;"County"),_xlfn.TEXTJOIN(" ",TRUE,Entities[[#This Row],[ENT_NAME]],"County"),Entities[[#This Row],[ENT_NAME]])</f>
        <v>Red River Authority of Texas</v>
      </c>
    </row>
    <row r="395" spans="1:6" x14ac:dyDescent="0.25">
      <c r="A395" s="304" t="s">
        <v>5142</v>
      </c>
      <c r="B395" s="303" t="str">
        <f t="shared" si="6"/>
        <v>x00000294</v>
      </c>
      <c r="C395" t="s">
        <v>5127</v>
      </c>
      <c r="D395" t="s">
        <v>5143</v>
      </c>
      <c r="E395">
        <v>2</v>
      </c>
      <c r="F395" t="str">
        <f>IF(AND(Entities[[#This Row],[ENT_TYPE]]="County",RIGHT(Entities[[#This Row],[ENT_NAME]],6)&lt;&gt;"County"),_xlfn.TEXTJOIN(" ",TRUE,Entities[[#This Row],[ENT_NAME]],"County"),Entities[[#This Row],[ENT_NAME]])</f>
        <v>Red River Authority of Texas</v>
      </c>
    </row>
    <row r="396" spans="1:6" x14ac:dyDescent="0.25">
      <c r="A396" s="302" t="s">
        <v>5142</v>
      </c>
      <c r="B396" s="303" t="str">
        <f t="shared" si="6"/>
        <v>x00000294</v>
      </c>
      <c r="C396" t="s">
        <v>5127</v>
      </c>
      <c r="D396" t="s">
        <v>5143</v>
      </c>
      <c r="E396">
        <v>7</v>
      </c>
      <c r="F396" t="str">
        <f>IF(AND(Entities[[#This Row],[ENT_TYPE]]="County",RIGHT(Entities[[#This Row],[ENT_NAME]],6)&lt;&gt;"County"),_xlfn.TEXTJOIN(" ",TRUE,Entities[[#This Row],[ENT_NAME]],"County"),Entities[[#This Row],[ENT_NAME]])</f>
        <v>Red River Authority of Texas</v>
      </c>
    </row>
    <row r="397" spans="1:6" x14ac:dyDescent="0.25">
      <c r="A397" s="302" t="s">
        <v>5142</v>
      </c>
      <c r="B397" s="303" t="str">
        <f t="shared" si="6"/>
        <v>x00000294</v>
      </c>
      <c r="C397" t="s">
        <v>5127</v>
      </c>
      <c r="D397" t="s">
        <v>5143</v>
      </c>
      <c r="E397">
        <v>3</v>
      </c>
      <c r="F397" t="str">
        <f>IF(AND(Entities[[#This Row],[ENT_TYPE]]="County",RIGHT(Entities[[#This Row],[ENT_NAME]],6)&lt;&gt;"County"),_xlfn.TEXTJOIN(" ",TRUE,Entities[[#This Row],[ENT_NAME]],"County"),Entities[[#This Row],[ENT_NAME]])</f>
        <v>Red River Authority of Texas</v>
      </c>
    </row>
    <row r="398" spans="1:6" x14ac:dyDescent="0.25">
      <c r="A398" s="304" t="s">
        <v>5144</v>
      </c>
      <c r="B398" s="303" t="str">
        <f t="shared" si="6"/>
        <v>x00000295</v>
      </c>
      <c r="C398" t="s">
        <v>5127</v>
      </c>
      <c r="D398" t="s">
        <v>5145</v>
      </c>
      <c r="E398">
        <v>0</v>
      </c>
      <c r="F398" t="str">
        <f>IF(AND(Entities[[#This Row],[ENT_TYPE]]="County",RIGHT(Entities[[#This Row],[ENT_NAME]],6)&lt;&gt;"County"),_xlfn.TEXTJOIN(" ",TRUE,Entities[[#This Row],[ENT_NAME]],"County"),Entities[[#This Row],[ENT_NAME]])</f>
        <v>Brazos River Authority</v>
      </c>
    </row>
    <row r="399" spans="1:6" x14ac:dyDescent="0.25">
      <c r="A399" s="302" t="s">
        <v>5144</v>
      </c>
      <c r="B399" s="303" t="str">
        <f t="shared" si="6"/>
        <v>x00000295</v>
      </c>
      <c r="C399" t="s">
        <v>5127</v>
      </c>
      <c r="D399" t="s">
        <v>5145</v>
      </c>
      <c r="E399">
        <v>6</v>
      </c>
      <c r="F399" t="str">
        <f>IF(AND(Entities[[#This Row],[ENT_TYPE]]="County",RIGHT(Entities[[#This Row],[ENT_NAME]],6)&lt;&gt;"County"),_xlfn.TEXTJOIN(" ",TRUE,Entities[[#This Row],[ENT_NAME]],"County"),Entities[[#This Row],[ENT_NAME]])</f>
        <v>Brazos River Authority</v>
      </c>
    </row>
    <row r="400" spans="1:6" x14ac:dyDescent="0.25">
      <c r="A400" s="304" t="s">
        <v>5144</v>
      </c>
      <c r="B400" s="303" t="str">
        <f t="shared" si="6"/>
        <v>x00000295</v>
      </c>
      <c r="C400" t="s">
        <v>5127</v>
      </c>
      <c r="D400" t="s">
        <v>5145</v>
      </c>
      <c r="E400">
        <v>7</v>
      </c>
      <c r="F400" t="str">
        <f>IF(AND(Entities[[#This Row],[ENT_TYPE]]="County",RIGHT(Entities[[#This Row],[ENT_NAME]],6)&lt;&gt;"County"),_xlfn.TEXTJOIN(" ",TRUE,Entities[[#This Row],[ENT_NAME]],"County"),Entities[[#This Row],[ENT_NAME]])</f>
        <v>Brazos River Authority</v>
      </c>
    </row>
    <row r="401" spans="1:6" x14ac:dyDescent="0.25">
      <c r="A401" s="302" t="s">
        <v>5144</v>
      </c>
      <c r="B401" s="303" t="str">
        <f t="shared" si="6"/>
        <v>x00000295</v>
      </c>
      <c r="C401" t="s">
        <v>5127</v>
      </c>
      <c r="D401" t="s">
        <v>5145</v>
      </c>
      <c r="E401">
        <v>8</v>
      </c>
      <c r="F401" t="str">
        <f>IF(AND(Entities[[#This Row],[ENT_TYPE]]="County",RIGHT(Entities[[#This Row],[ENT_NAME]],6)&lt;&gt;"County"),_xlfn.TEXTJOIN(" ",TRUE,Entities[[#This Row],[ENT_NAME]],"County"),Entities[[#This Row],[ENT_NAME]])</f>
        <v>Brazos River Authority</v>
      </c>
    </row>
    <row r="402" spans="1:6" x14ac:dyDescent="0.25">
      <c r="A402" s="302" t="s">
        <v>5144</v>
      </c>
      <c r="B402" s="303" t="str">
        <f t="shared" si="6"/>
        <v>x00000295</v>
      </c>
      <c r="C402" t="s">
        <v>5127</v>
      </c>
      <c r="D402" t="s">
        <v>5145</v>
      </c>
      <c r="E402">
        <v>3</v>
      </c>
      <c r="F402" t="str">
        <f>IF(AND(Entities[[#This Row],[ENT_TYPE]]="County",RIGHT(Entities[[#This Row],[ENT_NAME]],6)&lt;&gt;"County"),_xlfn.TEXTJOIN(" ",TRUE,Entities[[#This Row],[ENT_NAME]],"County"),Entities[[#This Row],[ENT_NAME]])</f>
        <v>Brazos River Authority</v>
      </c>
    </row>
    <row r="403" spans="1:6" x14ac:dyDescent="0.25">
      <c r="A403" s="302" t="s">
        <v>5144</v>
      </c>
      <c r="B403" s="303" t="str">
        <f t="shared" si="6"/>
        <v>x00000295</v>
      </c>
      <c r="C403" t="s">
        <v>5127</v>
      </c>
      <c r="D403" t="s">
        <v>5145</v>
      </c>
      <c r="E403">
        <v>0</v>
      </c>
      <c r="F403" t="str">
        <f>IF(AND(Entities[[#This Row],[ENT_TYPE]]="County",RIGHT(Entities[[#This Row],[ENT_NAME]],6)&lt;&gt;"County"),_xlfn.TEXTJOIN(" ",TRUE,Entities[[#This Row],[ENT_NAME]],"County"),Entities[[#This Row],[ENT_NAME]])</f>
        <v>Brazos River Authority</v>
      </c>
    </row>
    <row r="404" spans="1:6" x14ac:dyDescent="0.25">
      <c r="A404" s="302" t="s">
        <v>5146</v>
      </c>
      <c r="B404" s="303" t="str">
        <f t="shared" si="6"/>
        <v>x00000296</v>
      </c>
      <c r="C404" t="s">
        <v>4</v>
      </c>
      <c r="D404" t="s">
        <v>5147</v>
      </c>
      <c r="E404">
        <v>0</v>
      </c>
      <c r="F404" t="str">
        <f>IF(AND(Entities[[#This Row],[ENT_TYPE]]="County",RIGHT(Entities[[#This Row],[ENT_NAME]],6)&lt;&gt;"County"),_xlfn.TEXTJOIN(" ",TRUE,Entities[[#This Row],[ENT_NAME]],"County"),Entities[[#This Row],[ENT_NAME]])</f>
        <v>Upper Neches River Municipal Water Authority</v>
      </c>
    </row>
    <row r="405" spans="1:6" x14ac:dyDescent="0.25">
      <c r="A405" s="302" t="s">
        <v>5146</v>
      </c>
      <c r="B405" s="303" t="str">
        <f t="shared" si="6"/>
        <v>x00000296</v>
      </c>
      <c r="C405" t="s">
        <v>5127</v>
      </c>
      <c r="D405" t="s">
        <v>5147</v>
      </c>
      <c r="E405">
        <v>3</v>
      </c>
      <c r="F405" t="str">
        <f>IF(AND(Entities[[#This Row],[ENT_TYPE]]="County",RIGHT(Entities[[#This Row],[ENT_NAME]],6)&lt;&gt;"County"),_xlfn.TEXTJOIN(" ",TRUE,Entities[[#This Row],[ENT_NAME]],"County"),Entities[[#This Row],[ENT_NAME]])</f>
        <v>Upper Neches River Municipal Water Authority</v>
      </c>
    </row>
    <row r="406" spans="1:6" x14ac:dyDescent="0.25">
      <c r="A406" s="302" t="s">
        <v>5148</v>
      </c>
      <c r="B406" s="303" t="str">
        <f t="shared" si="6"/>
        <v>x00000297</v>
      </c>
      <c r="C406" t="s">
        <v>5127</v>
      </c>
      <c r="D406" t="s">
        <v>5149</v>
      </c>
      <c r="E406">
        <v>13</v>
      </c>
      <c r="F406" t="str">
        <f>IF(AND(Entities[[#This Row],[ENT_TYPE]]="County",RIGHT(Entities[[#This Row],[ENT_NAME]],6)&lt;&gt;"County"),_xlfn.TEXTJOIN(" ",TRUE,Entities[[#This Row],[ENT_NAME]],"County"),Entities[[#This Row],[ENT_NAME]])</f>
        <v>Upper Guadalupe River Authority</v>
      </c>
    </row>
    <row r="407" spans="1:6" x14ac:dyDescent="0.25">
      <c r="A407" s="302" t="s">
        <v>5148</v>
      </c>
      <c r="B407" s="303" t="str">
        <f t="shared" si="6"/>
        <v>x00000297</v>
      </c>
      <c r="C407" t="s">
        <v>5127</v>
      </c>
      <c r="D407" t="s">
        <v>5149</v>
      </c>
      <c r="E407">
        <v>11</v>
      </c>
      <c r="F407" t="str">
        <f>IF(AND(Entities[[#This Row],[ENT_TYPE]]="County",RIGHT(Entities[[#This Row],[ENT_NAME]],6)&lt;&gt;"County"),_xlfn.TEXTJOIN(" ",TRUE,Entities[[#This Row],[ENT_NAME]],"County"),Entities[[#This Row],[ENT_NAME]])</f>
        <v>Upper Guadalupe River Authority</v>
      </c>
    </row>
    <row r="408" spans="1:6" x14ac:dyDescent="0.25">
      <c r="A408" s="302" t="s">
        <v>5148</v>
      </c>
      <c r="B408" s="303" t="str">
        <f t="shared" si="6"/>
        <v>x00000297</v>
      </c>
      <c r="C408" t="s">
        <v>5127</v>
      </c>
      <c r="D408" t="s">
        <v>5149</v>
      </c>
      <c r="E408">
        <v>12</v>
      </c>
      <c r="F408" t="str">
        <f>IF(AND(Entities[[#This Row],[ENT_TYPE]]="County",RIGHT(Entities[[#This Row],[ENT_NAME]],6)&lt;&gt;"County"),_xlfn.TEXTJOIN(" ",TRUE,Entities[[#This Row],[ENT_NAME]],"County"),Entities[[#This Row],[ENT_NAME]])</f>
        <v>Upper Guadalupe River Authority</v>
      </c>
    </row>
    <row r="409" spans="1:6" x14ac:dyDescent="0.25">
      <c r="A409" s="304" t="s">
        <v>5150</v>
      </c>
      <c r="B409" s="303" t="str">
        <f t="shared" si="6"/>
        <v>x00000299</v>
      </c>
      <c r="C409" t="s">
        <v>5127</v>
      </c>
      <c r="D409" t="s">
        <v>5151</v>
      </c>
      <c r="E409">
        <v>13</v>
      </c>
      <c r="F409" t="str">
        <f>IF(AND(Entities[[#This Row],[ENT_TYPE]]="County",RIGHT(Entities[[#This Row],[ENT_NAME]],6)&lt;&gt;"County"),_xlfn.TEXTJOIN(" ",TRUE,Entities[[#This Row],[ENT_NAME]],"County"),Entities[[#This Row],[ENT_NAME]])</f>
        <v>Bexar-Medina-Atascosa Counties WCID 1</v>
      </c>
    </row>
    <row r="410" spans="1:6" x14ac:dyDescent="0.25">
      <c r="A410" s="302" t="s">
        <v>5150</v>
      </c>
      <c r="B410" s="303" t="str">
        <f t="shared" si="6"/>
        <v>x00000299</v>
      </c>
      <c r="C410" t="s">
        <v>5127</v>
      </c>
      <c r="D410" t="s">
        <v>5151</v>
      </c>
      <c r="E410">
        <v>12</v>
      </c>
      <c r="F410" t="str">
        <f>IF(AND(Entities[[#This Row],[ENT_TYPE]]="County",RIGHT(Entities[[#This Row],[ENT_NAME]],6)&lt;&gt;"County"),_xlfn.TEXTJOIN(" ",TRUE,Entities[[#This Row],[ENT_NAME]],"County"),Entities[[#This Row],[ENT_NAME]])</f>
        <v>Bexar-Medina-Atascosa Counties WCID 1</v>
      </c>
    </row>
    <row r="411" spans="1:6" x14ac:dyDescent="0.25">
      <c r="A411" s="302" t="s">
        <v>5152</v>
      </c>
      <c r="B411" s="303" t="str">
        <f t="shared" si="6"/>
        <v>x00000300</v>
      </c>
      <c r="C411" t="s">
        <v>4</v>
      </c>
      <c r="D411" t="s">
        <v>5153</v>
      </c>
      <c r="E411">
        <v>0</v>
      </c>
      <c r="F411" t="str">
        <f>IF(AND(Entities[[#This Row],[ENT_TYPE]]="County",RIGHT(Entities[[#This Row],[ENT_NAME]],6)&lt;&gt;"County"),_xlfn.TEXTJOIN(" ",TRUE,Entities[[#This Row],[ENT_NAME]],"County"),Entities[[#This Row],[ENT_NAME]])</f>
        <v>Gulf Coast Water Authority</v>
      </c>
    </row>
    <row r="412" spans="1:6" x14ac:dyDescent="0.25">
      <c r="A412" s="304" t="s">
        <v>5152</v>
      </c>
      <c r="B412" s="303" t="str">
        <f t="shared" si="6"/>
        <v>x00000300</v>
      </c>
      <c r="C412" t="s">
        <v>4</v>
      </c>
      <c r="D412" t="s">
        <v>5153</v>
      </c>
      <c r="E412">
        <v>6</v>
      </c>
      <c r="F412" t="str">
        <f>IF(AND(Entities[[#This Row],[ENT_TYPE]]="County",RIGHT(Entities[[#This Row],[ENT_NAME]],6)&lt;&gt;"County"),_xlfn.TEXTJOIN(" ",TRUE,Entities[[#This Row],[ENT_NAME]],"County"),Entities[[#This Row],[ENT_NAME]])</f>
        <v>Gulf Coast Water Authority</v>
      </c>
    </row>
    <row r="413" spans="1:6" x14ac:dyDescent="0.25">
      <c r="A413" s="302" t="s">
        <v>5154</v>
      </c>
      <c r="B413" s="303" t="str">
        <f t="shared" si="6"/>
        <v>x00000301</v>
      </c>
      <c r="C413" t="s">
        <v>5127</v>
      </c>
      <c r="D413" t="s">
        <v>5155</v>
      </c>
      <c r="E413">
        <v>0</v>
      </c>
      <c r="F413" t="str">
        <f>IF(AND(Entities[[#This Row],[ENT_TYPE]]="County",RIGHT(Entities[[#This Row],[ENT_NAME]],6)&lt;&gt;"County"),_xlfn.TEXTJOIN(" ",TRUE,Entities[[#This Row],[ENT_NAME]],"County"),Entities[[#This Row],[ENT_NAME]])</f>
        <v>Central Colorado River Authority</v>
      </c>
    </row>
    <row r="414" spans="1:6" x14ac:dyDescent="0.25">
      <c r="A414" s="304" t="s">
        <v>5156</v>
      </c>
      <c r="B414" s="303" t="str">
        <f t="shared" si="6"/>
        <v>x00000302</v>
      </c>
      <c r="C414" t="s">
        <v>5127</v>
      </c>
      <c r="D414" t="s">
        <v>5157</v>
      </c>
      <c r="E414">
        <v>0</v>
      </c>
      <c r="F414" t="str">
        <f>IF(AND(Entities[[#This Row],[ENT_TYPE]]="County",RIGHT(Entities[[#This Row],[ENT_NAME]],6)&lt;&gt;"County"),_xlfn.TEXTJOIN(" ",TRUE,Entities[[#This Row],[ENT_NAME]],"County"),Entities[[#This Row],[ENT_NAME]])</f>
        <v>Lower Neches Valley Authority</v>
      </c>
    </row>
    <row r="415" spans="1:6" x14ac:dyDescent="0.25">
      <c r="A415" s="302" t="s">
        <v>5156</v>
      </c>
      <c r="B415" s="303" t="str">
        <f t="shared" si="6"/>
        <v>x00000302</v>
      </c>
      <c r="C415" t="s">
        <v>5127</v>
      </c>
      <c r="D415" t="s">
        <v>5157</v>
      </c>
      <c r="E415">
        <v>3</v>
      </c>
      <c r="F415" t="str">
        <f>IF(AND(Entities[[#This Row],[ENT_TYPE]]="County",RIGHT(Entities[[#This Row],[ENT_NAME]],6)&lt;&gt;"County"),_xlfn.TEXTJOIN(" ",TRUE,Entities[[#This Row],[ENT_NAME]],"County"),Entities[[#This Row],[ENT_NAME]])</f>
        <v>Lower Neches Valley Authority</v>
      </c>
    </row>
    <row r="416" spans="1:6" x14ac:dyDescent="0.25">
      <c r="A416" s="302" t="s">
        <v>5158</v>
      </c>
      <c r="B416" s="303" t="str">
        <f t="shared" si="6"/>
        <v>x00000303</v>
      </c>
      <c r="C416" t="s">
        <v>5127</v>
      </c>
      <c r="D416" t="s">
        <v>5159</v>
      </c>
      <c r="E416">
        <v>2</v>
      </c>
      <c r="F416" t="str">
        <f>IF(AND(Entities[[#This Row],[ENT_TYPE]]="County",RIGHT(Entities[[#This Row],[ENT_NAME]],6)&lt;&gt;"County"),_xlfn.TEXTJOIN(" ",TRUE,Entities[[#This Row],[ENT_NAME]],"County"),Entities[[#This Row],[ENT_NAME]])</f>
        <v>Sulphur River Municipal Water District</v>
      </c>
    </row>
    <row r="417" spans="1:6" x14ac:dyDescent="0.25">
      <c r="A417" s="302" t="s">
        <v>5158</v>
      </c>
      <c r="B417" s="303" t="str">
        <f t="shared" si="6"/>
        <v>x00000303</v>
      </c>
      <c r="C417" t="s">
        <v>5127</v>
      </c>
      <c r="D417" t="s">
        <v>5159</v>
      </c>
      <c r="E417">
        <v>4</v>
      </c>
      <c r="F417" t="str">
        <f>IF(AND(Entities[[#This Row],[ENT_TYPE]]="County",RIGHT(Entities[[#This Row],[ENT_NAME]],6)&lt;&gt;"County"),_xlfn.TEXTJOIN(" ",TRUE,Entities[[#This Row],[ENT_NAME]],"County"),Entities[[#This Row],[ENT_NAME]])</f>
        <v>Sulphur River Municipal Water District</v>
      </c>
    </row>
    <row r="418" spans="1:6" x14ac:dyDescent="0.25">
      <c r="A418" s="304" t="s">
        <v>5160</v>
      </c>
      <c r="B418" s="303" t="str">
        <f t="shared" si="6"/>
        <v>x00000304</v>
      </c>
      <c r="C418" t="s">
        <v>4</v>
      </c>
      <c r="D418" t="s">
        <v>5161</v>
      </c>
      <c r="E418">
        <v>4</v>
      </c>
      <c r="F418" t="str">
        <f>IF(AND(Entities[[#This Row],[ENT_TYPE]]="County",RIGHT(Entities[[#This Row],[ENT_NAME]],6)&lt;&gt;"County"),_xlfn.TEXTJOIN(" ",TRUE,Entities[[#This Row],[ENT_NAME]],"County"),Entities[[#This Row],[ENT_NAME]])</f>
        <v>North Texas MWD</v>
      </c>
    </row>
    <row r="419" spans="1:6" x14ac:dyDescent="0.25">
      <c r="A419" s="302" t="s">
        <v>5160</v>
      </c>
      <c r="B419" s="303" t="str">
        <f t="shared" si="6"/>
        <v>x00000304</v>
      </c>
      <c r="C419" t="s">
        <v>5127</v>
      </c>
      <c r="D419" t="s">
        <v>5161</v>
      </c>
      <c r="E419">
        <v>3</v>
      </c>
      <c r="F419" t="str">
        <f>IF(AND(Entities[[#This Row],[ENT_TYPE]]="County",RIGHT(Entities[[#This Row],[ENT_NAME]],6)&lt;&gt;"County"),_xlfn.TEXTJOIN(" ",TRUE,Entities[[#This Row],[ENT_NAME]],"County"),Entities[[#This Row],[ENT_NAME]])</f>
        <v>North Texas MWD</v>
      </c>
    </row>
    <row r="420" spans="1:6" x14ac:dyDescent="0.25">
      <c r="A420" s="302" t="s">
        <v>5162</v>
      </c>
      <c r="B420" s="303" t="str">
        <f t="shared" si="6"/>
        <v>x00000307</v>
      </c>
      <c r="C420" t="s">
        <v>5127</v>
      </c>
      <c r="D420" t="s">
        <v>5163</v>
      </c>
      <c r="E420">
        <v>13</v>
      </c>
      <c r="F420" t="str">
        <f>IF(AND(Entities[[#This Row],[ENT_TYPE]]="County",RIGHT(Entities[[#This Row],[ENT_NAME]],6)&lt;&gt;"County"),_xlfn.TEXTJOIN(" ",TRUE,Entities[[#This Row],[ENT_NAME]],"County"),Entities[[#This Row],[ENT_NAME]])</f>
        <v>Lower Colorado River Authority</v>
      </c>
    </row>
    <row r="421" spans="1:6" x14ac:dyDescent="0.25">
      <c r="A421" s="302" t="s">
        <v>5162</v>
      </c>
      <c r="B421" s="303" t="str">
        <f t="shared" si="6"/>
        <v>x00000307</v>
      </c>
      <c r="C421" t="s">
        <v>5127</v>
      </c>
      <c r="D421" t="s">
        <v>5163</v>
      </c>
      <c r="E421">
        <v>7</v>
      </c>
      <c r="F421" t="str">
        <f>IF(AND(Entities[[#This Row],[ENT_TYPE]]="County",RIGHT(Entities[[#This Row],[ENT_NAME]],6)&lt;&gt;"County"),_xlfn.TEXTJOIN(" ",TRUE,Entities[[#This Row],[ENT_NAME]],"County"),Entities[[#This Row],[ENT_NAME]])</f>
        <v>Lower Colorado River Authority</v>
      </c>
    </row>
    <row r="422" spans="1:6" x14ac:dyDescent="0.25">
      <c r="A422" s="304" t="s">
        <v>5162</v>
      </c>
      <c r="B422" s="303" t="str">
        <f t="shared" si="6"/>
        <v>x00000307</v>
      </c>
      <c r="C422" t="s">
        <v>5127</v>
      </c>
      <c r="D422" t="s">
        <v>5163</v>
      </c>
      <c r="E422">
        <v>8</v>
      </c>
      <c r="F422" t="str">
        <f>IF(AND(Entities[[#This Row],[ENT_TYPE]]="County",RIGHT(Entities[[#This Row],[ENT_NAME]],6)&lt;&gt;"County"),_xlfn.TEXTJOIN(" ",TRUE,Entities[[#This Row],[ENT_NAME]],"County"),Entities[[#This Row],[ENT_NAME]])</f>
        <v>Lower Colorado River Authority</v>
      </c>
    </row>
    <row r="423" spans="1:6" x14ac:dyDescent="0.25">
      <c r="A423" s="304" t="s">
        <v>5162</v>
      </c>
      <c r="B423" s="303" t="str">
        <f t="shared" si="6"/>
        <v>x00000307</v>
      </c>
      <c r="C423" t="s">
        <v>5127</v>
      </c>
      <c r="D423" t="s">
        <v>5163</v>
      </c>
      <c r="E423">
        <v>10</v>
      </c>
      <c r="F423" t="str">
        <f>IF(AND(Entities[[#This Row],[ENT_TYPE]]="County",RIGHT(Entities[[#This Row],[ENT_NAME]],6)&lt;&gt;"County"),_xlfn.TEXTJOIN(" ",TRUE,Entities[[#This Row],[ENT_NAME]],"County"),Entities[[#This Row],[ENT_NAME]])</f>
        <v>Lower Colorado River Authority</v>
      </c>
    </row>
    <row r="424" spans="1:6" x14ac:dyDescent="0.25">
      <c r="A424" s="302" t="s">
        <v>5162</v>
      </c>
      <c r="B424" s="303" t="str">
        <f t="shared" si="6"/>
        <v>x00000307</v>
      </c>
      <c r="C424" t="s">
        <v>5127</v>
      </c>
      <c r="D424" t="s">
        <v>5163</v>
      </c>
      <c r="E424">
        <v>11</v>
      </c>
      <c r="F424" t="str">
        <f>IF(AND(Entities[[#This Row],[ENT_TYPE]]="County",RIGHT(Entities[[#This Row],[ENT_NAME]],6)&lt;&gt;"County"),_xlfn.TEXTJOIN(" ",TRUE,Entities[[#This Row],[ENT_NAME]],"County"),Entities[[#This Row],[ENT_NAME]])</f>
        <v>Lower Colorado River Authority</v>
      </c>
    </row>
    <row r="425" spans="1:6" x14ac:dyDescent="0.25">
      <c r="A425" s="302" t="s">
        <v>5162</v>
      </c>
      <c r="B425" s="303" t="str">
        <f t="shared" si="6"/>
        <v>x00000307</v>
      </c>
      <c r="C425" t="s">
        <v>5127</v>
      </c>
      <c r="D425" t="s">
        <v>5163</v>
      </c>
      <c r="E425">
        <v>0</v>
      </c>
      <c r="F425" t="str">
        <f>IF(AND(Entities[[#This Row],[ENT_TYPE]]="County",RIGHT(Entities[[#This Row],[ENT_NAME]],6)&lt;&gt;"County"),_xlfn.TEXTJOIN(" ",TRUE,Entities[[#This Row],[ENT_NAME]],"County"),Entities[[#This Row],[ENT_NAME]])</f>
        <v>Lower Colorado River Authority</v>
      </c>
    </row>
    <row r="426" spans="1:6" x14ac:dyDescent="0.25">
      <c r="A426" s="304" t="s">
        <v>5164</v>
      </c>
      <c r="B426" s="303" t="str">
        <f t="shared" si="6"/>
        <v>x00000308</v>
      </c>
      <c r="C426" t="s">
        <v>5127</v>
      </c>
      <c r="D426" t="s">
        <v>5165</v>
      </c>
      <c r="E426">
        <v>0</v>
      </c>
      <c r="F426" t="str">
        <f>IF(AND(Entities[[#This Row],[ENT_TYPE]]="County",RIGHT(Entities[[#This Row],[ENT_NAME]],6)&lt;&gt;"County"),_xlfn.TEXTJOIN(" ",TRUE,Entities[[#This Row],[ENT_NAME]],"County"),Entities[[#This Row],[ENT_NAME]])</f>
        <v>Canadian River Municipal Water Authority</v>
      </c>
    </row>
    <row r="427" spans="1:6" x14ac:dyDescent="0.25">
      <c r="A427" s="304" t="s">
        <v>5164</v>
      </c>
      <c r="B427" s="303" t="str">
        <f t="shared" si="6"/>
        <v>x00000308</v>
      </c>
      <c r="C427" t="s">
        <v>5127</v>
      </c>
      <c r="D427" t="s">
        <v>5165</v>
      </c>
      <c r="E427">
        <v>7</v>
      </c>
      <c r="F427" t="str">
        <f>IF(AND(Entities[[#This Row],[ENT_TYPE]]="County",RIGHT(Entities[[#This Row],[ENT_NAME]],6)&lt;&gt;"County"),_xlfn.TEXTJOIN(" ",TRUE,Entities[[#This Row],[ENT_NAME]],"County"),Entities[[#This Row],[ENT_NAME]])</f>
        <v>Canadian River Municipal Water Authority</v>
      </c>
    </row>
    <row r="428" spans="1:6" x14ac:dyDescent="0.25">
      <c r="A428" s="302" t="s">
        <v>5164</v>
      </c>
      <c r="B428" s="303" t="str">
        <f t="shared" si="6"/>
        <v>x00000308</v>
      </c>
      <c r="C428" t="s">
        <v>5127</v>
      </c>
      <c r="D428" t="s">
        <v>5165</v>
      </c>
      <c r="E428">
        <v>0</v>
      </c>
      <c r="F428" t="str">
        <f>IF(AND(Entities[[#This Row],[ENT_TYPE]]="County",RIGHT(Entities[[#This Row],[ENT_NAME]],6)&lt;&gt;"County"),_xlfn.TEXTJOIN(" ",TRUE,Entities[[#This Row],[ENT_NAME]],"County"),Entities[[#This Row],[ENT_NAME]])</f>
        <v>Canadian River Municipal Water Authority</v>
      </c>
    </row>
    <row r="429" spans="1:6" x14ac:dyDescent="0.25">
      <c r="A429" s="302" t="s">
        <v>262</v>
      </c>
      <c r="B429" s="303" t="str">
        <f t="shared" si="6"/>
        <v>x00000310</v>
      </c>
      <c r="C429" t="s">
        <v>5166</v>
      </c>
      <c r="D429" t="s">
        <v>5167</v>
      </c>
      <c r="E429">
        <v>6</v>
      </c>
      <c r="F429" t="str">
        <f>IF(AND(Entities[[#This Row],[ENT_TYPE]]="County",RIGHT(Entities[[#This Row],[ENT_NAME]],6)&lt;&gt;"County"),_xlfn.TEXTJOIN(" ",TRUE,Entities[[#This Row],[ENT_NAME]],"County"),Entities[[#This Row],[ENT_NAME]])</f>
        <v>Harris County Flood Control District</v>
      </c>
    </row>
    <row r="430" spans="1:6" x14ac:dyDescent="0.25">
      <c r="A430" s="304" t="s">
        <v>5168</v>
      </c>
      <c r="B430" s="303" t="str">
        <f t="shared" si="6"/>
        <v>x00000314</v>
      </c>
      <c r="C430" t="s">
        <v>5166</v>
      </c>
      <c r="D430" t="s">
        <v>5169</v>
      </c>
      <c r="E430">
        <v>10</v>
      </c>
      <c r="F430" t="str">
        <f>IF(AND(Entities[[#This Row],[ENT_TYPE]]="County",RIGHT(Entities[[#This Row],[ENT_NAME]],6)&lt;&gt;"County"),_xlfn.TEXTJOIN(" ",TRUE,Entities[[#This Row],[ENT_NAME]],"County"),Entities[[#This Row],[ENT_NAME]])</f>
        <v>Victoria County Drainage District 3</v>
      </c>
    </row>
    <row r="431" spans="1:6" x14ac:dyDescent="0.25">
      <c r="A431" s="302" t="s">
        <v>5168</v>
      </c>
      <c r="B431" s="303" t="str">
        <f t="shared" si="6"/>
        <v>x00000314</v>
      </c>
      <c r="C431" t="s">
        <v>4</v>
      </c>
      <c r="D431" t="s">
        <v>5169</v>
      </c>
      <c r="E431">
        <v>11</v>
      </c>
      <c r="F431" t="str">
        <f>IF(AND(Entities[[#This Row],[ENT_TYPE]]="County",RIGHT(Entities[[#This Row],[ENT_NAME]],6)&lt;&gt;"County"),_xlfn.TEXTJOIN(" ",TRUE,Entities[[#This Row],[ENT_NAME]],"County"),Entities[[#This Row],[ENT_NAME]])</f>
        <v>Victoria County Drainage District 3</v>
      </c>
    </row>
    <row r="432" spans="1:6" x14ac:dyDescent="0.25">
      <c r="A432" s="302" t="s">
        <v>5170</v>
      </c>
      <c r="B432" s="303" t="str">
        <f t="shared" si="6"/>
        <v>x00000316</v>
      </c>
      <c r="C432" t="s">
        <v>4</v>
      </c>
      <c r="D432" t="s">
        <v>5171</v>
      </c>
      <c r="E432">
        <v>8</v>
      </c>
      <c r="F432" t="str">
        <f>IF(AND(Entities[[#This Row],[ENT_TYPE]]="County",RIGHT(Entities[[#This Row],[ENT_NAME]],6)&lt;&gt;"County"),_xlfn.TEXTJOIN(" ",TRUE,Entities[[#This Row],[ENT_NAME]],"County"),Entities[[#This Row],[ENT_NAME]])</f>
        <v>Bistone Municipal Water Supply District</v>
      </c>
    </row>
    <row r="433" spans="1:6" x14ac:dyDescent="0.25">
      <c r="A433" s="302" t="s">
        <v>5170</v>
      </c>
      <c r="B433" s="303" t="str">
        <f t="shared" si="6"/>
        <v>x00000316</v>
      </c>
      <c r="C433" t="s">
        <v>4</v>
      </c>
      <c r="D433" t="s">
        <v>5171</v>
      </c>
      <c r="E433">
        <v>3</v>
      </c>
      <c r="F433" t="str">
        <f>IF(AND(Entities[[#This Row],[ENT_TYPE]]="County",RIGHT(Entities[[#This Row],[ENT_NAME]],6)&lt;&gt;"County"),_xlfn.TEXTJOIN(" ",TRUE,Entities[[#This Row],[ENT_NAME]],"County"),Entities[[#This Row],[ENT_NAME]])</f>
        <v>Bistone Municipal Water Supply District</v>
      </c>
    </row>
    <row r="434" spans="1:6" x14ac:dyDescent="0.25">
      <c r="A434" s="302" t="s">
        <v>5172</v>
      </c>
      <c r="B434" s="303" t="str">
        <f t="shared" si="6"/>
        <v>x00000338</v>
      </c>
      <c r="C434" t="s">
        <v>4</v>
      </c>
      <c r="D434" t="s">
        <v>5173</v>
      </c>
      <c r="E434">
        <v>0</v>
      </c>
      <c r="F434" t="str">
        <f>IF(AND(Entities[[#This Row],[ENT_TYPE]]="County",RIGHT(Entities[[#This Row],[ENT_NAME]],6)&lt;&gt;"County"),_xlfn.TEXTJOIN(" ",TRUE,Entities[[#This Row],[ENT_NAME]],"County"),Entities[[#This Row],[ENT_NAME]])</f>
        <v>Clear Creek Watershed Authority</v>
      </c>
    </row>
    <row r="435" spans="1:6" x14ac:dyDescent="0.25">
      <c r="A435" s="302" t="s">
        <v>5172</v>
      </c>
      <c r="B435" s="303" t="str">
        <f t="shared" si="6"/>
        <v>x00000338</v>
      </c>
      <c r="C435" t="s">
        <v>4</v>
      </c>
      <c r="D435" t="s">
        <v>5173</v>
      </c>
      <c r="E435">
        <v>3</v>
      </c>
      <c r="F435" t="str">
        <f>IF(AND(Entities[[#This Row],[ENT_TYPE]]="County",RIGHT(Entities[[#This Row],[ENT_NAME]],6)&lt;&gt;"County"),_xlfn.TEXTJOIN(" ",TRUE,Entities[[#This Row],[ENT_NAME]],"County"),Entities[[#This Row],[ENT_NAME]])</f>
        <v>Clear Creek Watershed Authority</v>
      </c>
    </row>
    <row r="436" spans="1:6" x14ac:dyDescent="0.25">
      <c r="A436" s="304" t="s">
        <v>5174</v>
      </c>
      <c r="B436" s="303" t="str">
        <f t="shared" si="6"/>
        <v>x00000339</v>
      </c>
      <c r="C436" t="s">
        <v>4</v>
      </c>
      <c r="D436" t="s">
        <v>5175</v>
      </c>
      <c r="E436">
        <v>13</v>
      </c>
      <c r="F436" t="str">
        <f>IF(AND(Entities[[#This Row],[ENT_TYPE]]="County",RIGHT(Entities[[#This Row],[ENT_NAME]],6)&lt;&gt;"County"),_xlfn.TEXTJOIN(" ",TRUE,Entities[[#This Row],[ENT_NAME]],"County"),Entities[[#This Row],[ENT_NAME]])</f>
        <v>Bandera County River Authority</v>
      </c>
    </row>
    <row r="437" spans="1:6" x14ac:dyDescent="0.25">
      <c r="A437" s="302" t="s">
        <v>5174</v>
      </c>
      <c r="B437" s="303" t="str">
        <f t="shared" si="6"/>
        <v>x00000339</v>
      </c>
      <c r="C437" t="s">
        <v>4</v>
      </c>
      <c r="D437" t="s">
        <v>5175</v>
      </c>
      <c r="E437">
        <v>11</v>
      </c>
      <c r="F437" t="str">
        <f>IF(AND(Entities[[#This Row],[ENT_TYPE]]="County",RIGHT(Entities[[#This Row],[ENT_NAME]],6)&lt;&gt;"County"),_xlfn.TEXTJOIN(" ",TRUE,Entities[[#This Row],[ENT_NAME]],"County"),Entities[[#This Row],[ENT_NAME]])</f>
        <v>Bandera County River Authority</v>
      </c>
    </row>
    <row r="438" spans="1:6" x14ac:dyDescent="0.25">
      <c r="A438" s="302" t="s">
        <v>5174</v>
      </c>
      <c r="B438" s="303" t="str">
        <f t="shared" si="6"/>
        <v>x00000339</v>
      </c>
      <c r="C438" t="s">
        <v>4</v>
      </c>
      <c r="D438" t="s">
        <v>5175</v>
      </c>
      <c r="E438">
        <v>12</v>
      </c>
      <c r="F438" t="str">
        <f>IF(AND(Entities[[#This Row],[ENT_TYPE]]="County",RIGHT(Entities[[#This Row],[ENT_NAME]],6)&lt;&gt;"County"),_xlfn.TEXTJOIN(" ",TRUE,Entities[[#This Row],[ENT_NAME]],"County"),Entities[[#This Row],[ENT_NAME]])</f>
        <v>Bandera County River Authority</v>
      </c>
    </row>
    <row r="439" spans="1:6" x14ac:dyDescent="0.25">
      <c r="A439" s="302" t="s">
        <v>5176</v>
      </c>
      <c r="B439" s="303" t="str">
        <f t="shared" si="6"/>
        <v>x00000345</v>
      </c>
      <c r="C439" t="s">
        <v>4</v>
      </c>
      <c r="D439" t="s">
        <v>5177</v>
      </c>
      <c r="E439">
        <v>0</v>
      </c>
      <c r="F439" t="str">
        <f>IF(AND(Entities[[#This Row],[ENT_TYPE]]="County",RIGHT(Entities[[#This Row],[ENT_NAME]],6)&lt;&gt;"County"),_xlfn.TEXTJOIN(" ",TRUE,Entities[[#This Row],[ENT_NAME]],"County"),Entities[[#This Row],[ENT_NAME]])</f>
        <v>Farmers Creek Watershed Authority</v>
      </c>
    </row>
    <row r="440" spans="1:6" x14ac:dyDescent="0.25">
      <c r="A440" s="302" t="s">
        <v>5176</v>
      </c>
      <c r="B440" s="303" t="str">
        <f t="shared" si="6"/>
        <v>x00000345</v>
      </c>
      <c r="C440" t="s">
        <v>4</v>
      </c>
      <c r="D440" t="s">
        <v>5177</v>
      </c>
      <c r="E440">
        <v>3</v>
      </c>
      <c r="F440" t="str">
        <f>IF(AND(Entities[[#This Row],[ENT_TYPE]]="County",RIGHT(Entities[[#This Row],[ENT_NAME]],6)&lt;&gt;"County"),_xlfn.TEXTJOIN(" ",TRUE,Entities[[#This Row],[ENT_NAME]],"County"),Entities[[#This Row],[ENT_NAME]])</f>
        <v>Farmers Creek Watershed Authority</v>
      </c>
    </row>
    <row r="441" spans="1:6" x14ac:dyDescent="0.25">
      <c r="A441" s="302" t="s">
        <v>5178</v>
      </c>
      <c r="B441" s="303" t="str">
        <f t="shared" si="6"/>
        <v>x00000369</v>
      </c>
      <c r="C441" t="s">
        <v>4</v>
      </c>
      <c r="D441" t="s">
        <v>5179</v>
      </c>
      <c r="E441">
        <v>8</v>
      </c>
      <c r="F441" t="str">
        <f>IF(AND(Entities[[#This Row],[ENT_TYPE]]="County",RIGHT(Entities[[#This Row],[ENT_NAME]],6)&lt;&gt;"County"),_xlfn.TEXTJOIN(" ",TRUE,Entities[[#This Row],[ENT_NAME]],"County"),Entities[[#This Row],[ENT_NAME]])</f>
        <v>Upper Brushy Creek WCID</v>
      </c>
    </row>
    <row r="442" spans="1:6" x14ac:dyDescent="0.25">
      <c r="A442" s="302" t="s">
        <v>5180</v>
      </c>
      <c r="B442" s="303" t="str">
        <f t="shared" si="6"/>
        <v>x00000374</v>
      </c>
      <c r="C442" t="s">
        <v>4</v>
      </c>
      <c r="D442" t="s">
        <v>5181</v>
      </c>
      <c r="E442">
        <v>2</v>
      </c>
      <c r="F442" t="str">
        <f>IF(AND(Entities[[#This Row],[ENT_TYPE]]="County",RIGHT(Entities[[#This Row],[ENT_NAME]],6)&lt;&gt;"County"),_xlfn.TEXTJOIN(" ",TRUE,Entities[[#This Row],[ENT_NAME]],"County"),Entities[[#This Row],[ENT_NAME]])</f>
        <v>Panola County FWSD 1</v>
      </c>
    </row>
    <row r="443" spans="1:6" x14ac:dyDescent="0.25">
      <c r="A443" s="304" t="s">
        <v>5180</v>
      </c>
      <c r="B443" s="303" t="str">
        <f t="shared" si="6"/>
        <v>x00000374</v>
      </c>
      <c r="C443" t="s">
        <v>4</v>
      </c>
      <c r="D443" t="s">
        <v>5181</v>
      </c>
      <c r="E443">
        <v>4</v>
      </c>
      <c r="F443" t="str">
        <f>IF(AND(Entities[[#This Row],[ENT_TYPE]]="County",RIGHT(Entities[[#This Row],[ENT_NAME]],6)&lt;&gt;"County"),_xlfn.TEXTJOIN(" ",TRUE,Entities[[#This Row],[ENT_NAME]],"County"),Entities[[#This Row],[ENT_NAME]])</f>
        <v>Panola County FWSD 1</v>
      </c>
    </row>
    <row r="444" spans="1:6" x14ac:dyDescent="0.25">
      <c r="A444" s="302" t="s">
        <v>5182</v>
      </c>
      <c r="B444" s="303" t="str">
        <f t="shared" si="6"/>
        <v>x00000386</v>
      </c>
      <c r="C444" t="s">
        <v>4</v>
      </c>
      <c r="D444" t="s">
        <v>5183</v>
      </c>
      <c r="E444">
        <v>7</v>
      </c>
      <c r="F444" t="str">
        <f>IF(AND(Entities[[#This Row],[ENT_TYPE]]="County",RIGHT(Entities[[#This Row],[ENT_NAME]],6)&lt;&gt;"County"),_xlfn.TEXTJOIN(" ",TRUE,Entities[[#This Row],[ENT_NAME]],"County"),Entities[[#This Row],[ENT_NAME]])</f>
        <v>Tuscola - Taylor County WCID 1</v>
      </c>
    </row>
    <row r="445" spans="1:6" x14ac:dyDescent="0.25">
      <c r="A445" s="302" t="s">
        <v>5182</v>
      </c>
      <c r="B445" s="303" t="str">
        <f t="shared" si="6"/>
        <v>x00000386</v>
      </c>
      <c r="C445" t="s">
        <v>5166</v>
      </c>
      <c r="D445" t="s">
        <v>5183</v>
      </c>
      <c r="E445">
        <v>10</v>
      </c>
      <c r="F445" t="str">
        <f>IF(AND(Entities[[#This Row],[ENT_TYPE]]="County",RIGHT(Entities[[#This Row],[ENT_NAME]],6)&lt;&gt;"County"),_xlfn.TEXTJOIN(" ",TRUE,Entities[[#This Row],[ENT_NAME]],"County"),Entities[[#This Row],[ENT_NAME]])</f>
        <v>Tuscola - Taylor County WCID 1</v>
      </c>
    </row>
    <row r="446" spans="1:6" x14ac:dyDescent="0.25">
      <c r="A446" s="304" t="s">
        <v>5184</v>
      </c>
      <c r="B446" s="303" t="str">
        <f t="shared" si="6"/>
        <v>x00000389</v>
      </c>
      <c r="C446" t="s">
        <v>4</v>
      </c>
      <c r="D446" t="s">
        <v>5185</v>
      </c>
      <c r="E446">
        <v>6</v>
      </c>
      <c r="F446" t="str">
        <f>IF(AND(Entities[[#This Row],[ENT_TYPE]]="County",RIGHT(Entities[[#This Row],[ENT_NAME]],6)&lt;&gt;"County"),_xlfn.TEXTJOIN(" ",TRUE,Entities[[#This Row],[ENT_NAME]],"County"),Entities[[#This Row],[ENT_NAME]])</f>
        <v>Fort Bend County MUD 134 C</v>
      </c>
    </row>
    <row r="447" spans="1:6" x14ac:dyDescent="0.25">
      <c r="A447" s="304" t="s">
        <v>5184</v>
      </c>
      <c r="B447" s="303" t="str">
        <f t="shared" si="6"/>
        <v>x00000389</v>
      </c>
      <c r="C447" t="s">
        <v>4</v>
      </c>
      <c r="D447" t="s">
        <v>5185</v>
      </c>
      <c r="E447">
        <v>8</v>
      </c>
      <c r="F447" t="str">
        <f>IF(AND(Entities[[#This Row],[ENT_TYPE]]="County",RIGHT(Entities[[#This Row],[ENT_NAME]],6)&lt;&gt;"County"),_xlfn.TEXTJOIN(" ",TRUE,Entities[[#This Row],[ENT_NAME]],"County"),Entities[[#This Row],[ENT_NAME]])</f>
        <v>Fort Bend County MUD 134 C</v>
      </c>
    </row>
    <row r="448" spans="1:6" x14ac:dyDescent="0.25">
      <c r="A448" s="302" t="s">
        <v>5186</v>
      </c>
      <c r="B448" s="303" t="str">
        <f t="shared" si="6"/>
        <v>x00000392</v>
      </c>
      <c r="C448" t="s">
        <v>4</v>
      </c>
      <c r="D448" t="s">
        <v>5187</v>
      </c>
      <c r="E448">
        <v>13</v>
      </c>
      <c r="F448" t="str">
        <f>IF(AND(Entities[[#This Row],[ENT_TYPE]]="County",RIGHT(Entities[[#This Row],[ENT_NAME]],6)&lt;&gt;"County"),_xlfn.TEXTJOIN(" ",TRUE,Entities[[#This Row],[ENT_NAME]],"County"),Entities[[#This Row],[ENT_NAME]])</f>
        <v>Canyon Regional Water Authority</v>
      </c>
    </row>
    <row r="449" spans="1:6" x14ac:dyDescent="0.25">
      <c r="A449" s="302" t="s">
        <v>5186</v>
      </c>
      <c r="B449" s="303" t="str">
        <f t="shared" si="6"/>
        <v>x00000392</v>
      </c>
      <c r="C449" t="s">
        <v>4</v>
      </c>
      <c r="D449" t="s">
        <v>5187</v>
      </c>
      <c r="E449">
        <v>11</v>
      </c>
      <c r="F449" t="str">
        <f>IF(AND(Entities[[#This Row],[ENT_TYPE]]="County",RIGHT(Entities[[#This Row],[ENT_NAME]],6)&lt;&gt;"County"),_xlfn.TEXTJOIN(" ",TRUE,Entities[[#This Row],[ENT_NAME]],"County"),Entities[[#This Row],[ENT_NAME]])</f>
        <v>Canyon Regional Water Authority</v>
      </c>
    </row>
    <row r="450" spans="1:6" x14ac:dyDescent="0.25">
      <c r="A450" s="302" t="s">
        <v>5186</v>
      </c>
      <c r="B450" s="303" t="str">
        <f t="shared" ref="B450:B513" si="7">_xlfn.CONCAT("x",TEXT(A450,"00000000"))</f>
        <v>x00000392</v>
      </c>
      <c r="C450" t="s">
        <v>4</v>
      </c>
      <c r="D450" t="s">
        <v>5187</v>
      </c>
      <c r="E450">
        <v>12</v>
      </c>
      <c r="F450" t="str">
        <f>IF(AND(Entities[[#This Row],[ENT_TYPE]]="County",RIGHT(Entities[[#This Row],[ENT_NAME]],6)&lt;&gt;"County"),_xlfn.TEXTJOIN(" ",TRUE,Entities[[#This Row],[ENT_NAME]],"County"),Entities[[#This Row],[ENT_NAME]])</f>
        <v>Canyon Regional Water Authority</v>
      </c>
    </row>
    <row r="451" spans="1:6" x14ac:dyDescent="0.25">
      <c r="A451" s="302" t="s">
        <v>5188</v>
      </c>
      <c r="B451" s="303" t="str">
        <f t="shared" si="7"/>
        <v>x00000414</v>
      </c>
      <c r="C451" t="s">
        <v>4</v>
      </c>
      <c r="D451" t="s">
        <v>5189</v>
      </c>
      <c r="E451">
        <v>6</v>
      </c>
      <c r="F451" t="str">
        <f>IF(AND(Entities[[#This Row],[ENT_TYPE]]="County",RIGHT(Entities[[#This Row],[ENT_NAME]],6)&lt;&gt;"County"),_xlfn.TEXTJOIN(" ",TRUE,Entities[[#This Row],[ENT_NAME]],"County"),Entities[[#This Row],[ENT_NAME]])</f>
        <v>Cinco Southwest MUD 3</v>
      </c>
    </row>
    <row r="452" spans="1:6" x14ac:dyDescent="0.25">
      <c r="A452" s="304" t="s">
        <v>5188</v>
      </c>
      <c r="B452" s="303" t="str">
        <f t="shared" si="7"/>
        <v>x00000414</v>
      </c>
      <c r="C452" t="s">
        <v>4</v>
      </c>
      <c r="D452" t="s">
        <v>5189</v>
      </c>
      <c r="E452">
        <v>8</v>
      </c>
      <c r="F452" t="str">
        <f>IF(AND(Entities[[#This Row],[ENT_TYPE]]="County",RIGHT(Entities[[#This Row],[ENT_NAME]],6)&lt;&gt;"County"),_xlfn.TEXTJOIN(" ",TRUE,Entities[[#This Row],[ENT_NAME]],"County"),Entities[[#This Row],[ENT_NAME]])</f>
        <v>Cinco Southwest MUD 3</v>
      </c>
    </row>
    <row r="453" spans="1:6" x14ac:dyDescent="0.25">
      <c r="A453" s="302" t="s">
        <v>5190</v>
      </c>
      <c r="B453" s="303" t="str">
        <f t="shared" si="7"/>
        <v>x00000426</v>
      </c>
      <c r="C453" t="s">
        <v>4</v>
      </c>
      <c r="D453" t="s">
        <v>5191</v>
      </c>
      <c r="E453">
        <v>8</v>
      </c>
      <c r="F453" t="str">
        <f>IF(AND(Entities[[#This Row],[ENT_TYPE]]="County",RIGHT(Entities[[#This Row],[ENT_NAME]],6)&lt;&gt;"County"),_xlfn.TEXTJOIN(" ",TRUE,Entities[[#This Row],[ENT_NAME]],"County"),Entities[[#This Row],[ENT_NAME]])</f>
        <v>Williamson County Water Sewer Irrigation and Drainage Dist 3</v>
      </c>
    </row>
    <row r="454" spans="1:6" x14ac:dyDescent="0.25">
      <c r="A454" s="302" t="s">
        <v>5192</v>
      </c>
      <c r="B454" s="303" t="str">
        <f t="shared" si="7"/>
        <v>x00000445</v>
      </c>
      <c r="C454" t="s">
        <v>4</v>
      </c>
      <c r="D454" t="s">
        <v>5193</v>
      </c>
      <c r="E454">
        <v>7</v>
      </c>
      <c r="F454" t="str">
        <f>IF(AND(Entities[[#This Row],[ENT_TYPE]]="County",RIGHT(Entities[[#This Row],[ENT_NAME]],6)&lt;&gt;"County"),_xlfn.TEXTJOIN(" ",TRUE,Entities[[#This Row],[ENT_NAME]],"County"),Entities[[#This Row],[ENT_NAME]])</f>
        <v>Salt Fork Water Quality District</v>
      </c>
    </row>
    <row r="455" spans="1:6" x14ac:dyDescent="0.25">
      <c r="A455" s="302" t="s">
        <v>5192</v>
      </c>
      <c r="B455" s="303" t="str">
        <f t="shared" si="7"/>
        <v>x00000445</v>
      </c>
      <c r="C455" t="s">
        <v>4</v>
      </c>
      <c r="D455" t="s">
        <v>5193</v>
      </c>
      <c r="E455">
        <v>0</v>
      </c>
      <c r="F455" t="str">
        <f>IF(AND(Entities[[#This Row],[ENT_TYPE]]="County",RIGHT(Entities[[#This Row],[ENT_NAME]],6)&lt;&gt;"County"),_xlfn.TEXTJOIN(" ",TRUE,Entities[[#This Row],[ENT_NAME]],"County"),Entities[[#This Row],[ENT_NAME]])</f>
        <v>Salt Fork Water Quality District</v>
      </c>
    </row>
    <row r="456" spans="1:6" x14ac:dyDescent="0.25">
      <c r="A456" s="304" t="s">
        <v>5194</v>
      </c>
      <c r="B456" s="303" t="str">
        <f t="shared" si="7"/>
        <v>x00000448</v>
      </c>
      <c r="C456" t="s">
        <v>4</v>
      </c>
      <c r="D456" t="s">
        <v>5195</v>
      </c>
      <c r="E456">
        <v>8</v>
      </c>
      <c r="F456" t="str">
        <f>IF(AND(Entities[[#This Row],[ENT_TYPE]]="County",RIGHT(Entities[[#This Row],[ENT_NAME]],6)&lt;&gt;"County"),_xlfn.TEXTJOIN(" ",TRUE,Entities[[#This Row],[ENT_NAME]],"County"),Entities[[#This Row],[ENT_NAME]])</f>
        <v>Lakeside MUD 5</v>
      </c>
    </row>
    <row r="457" spans="1:6" x14ac:dyDescent="0.25">
      <c r="A457" s="304" t="s">
        <v>5194</v>
      </c>
      <c r="B457" s="303" t="str">
        <f t="shared" si="7"/>
        <v>x00000448</v>
      </c>
      <c r="C457" t="s">
        <v>4</v>
      </c>
      <c r="D457" t="s">
        <v>5195</v>
      </c>
      <c r="E457">
        <v>10</v>
      </c>
      <c r="F457" t="str">
        <f>IF(AND(Entities[[#This Row],[ENT_TYPE]]="County",RIGHT(Entities[[#This Row],[ENT_NAME]],6)&lt;&gt;"County"),_xlfn.TEXTJOIN(" ",TRUE,Entities[[#This Row],[ENT_NAME]],"County"),Entities[[#This Row],[ENT_NAME]])</f>
        <v>Lakeside MUD 5</v>
      </c>
    </row>
    <row r="458" spans="1:6" x14ac:dyDescent="0.25">
      <c r="A458" s="302" t="s">
        <v>5196</v>
      </c>
      <c r="B458" s="303" t="str">
        <f t="shared" si="7"/>
        <v>x00000474</v>
      </c>
      <c r="C458" t="s">
        <v>5166</v>
      </c>
      <c r="D458" t="s">
        <v>5197</v>
      </c>
      <c r="E458">
        <v>6</v>
      </c>
      <c r="F458" t="str">
        <f>IF(AND(Entities[[#This Row],[ENT_TYPE]]="County",RIGHT(Entities[[#This Row],[ENT_NAME]],6)&lt;&gt;"County"),_xlfn.TEXTJOIN(" ",TRUE,Entities[[#This Row],[ENT_NAME]],"County"),Entities[[#This Row],[ENT_NAME]])</f>
        <v>Brookshire Katy Drainage District</v>
      </c>
    </row>
    <row r="459" spans="1:6" x14ac:dyDescent="0.25">
      <c r="A459" s="304" t="s">
        <v>5196</v>
      </c>
      <c r="B459" s="303" t="str">
        <f t="shared" si="7"/>
        <v>x00000474</v>
      </c>
      <c r="C459" t="s">
        <v>4</v>
      </c>
      <c r="D459" t="s">
        <v>5197</v>
      </c>
      <c r="E459">
        <v>8</v>
      </c>
      <c r="F459" t="str">
        <f>IF(AND(Entities[[#This Row],[ENT_TYPE]]="County",RIGHT(Entities[[#This Row],[ENT_NAME]],6)&lt;&gt;"County"),_xlfn.TEXTJOIN(" ",TRUE,Entities[[#This Row],[ENT_NAME]],"County"),Entities[[#This Row],[ENT_NAME]])</f>
        <v>Brookshire Katy Drainage District</v>
      </c>
    </row>
    <row r="460" spans="1:6" x14ac:dyDescent="0.25">
      <c r="A460" s="304" t="s">
        <v>5198</v>
      </c>
      <c r="B460" s="303" t="str">
        <f t="shared" si="7"/>
        <v>x00000481</v>
      </c>
      <c r="C460" t="s">
        <v>4</v>
      </c>
      <c r="D460" t="s">
        <v>5199</v>
      </c>
      <c r="E460">
        <v>6</v>
      </c>
      <c r="F460" t="str">
        <f>IF(AND(Entities[[#This Row],[ENT_TYPE]]="County",RIGHT(Entities[[#This Row],[ENT_NAME]],6)&lt;&gt;"County"),_xlfn.TEXTJOIN(" ",TRUE,Entities[[#This Row],[ENT_NAME]],"County"),Entities[[#This Row],[ENT_NAME]])</f>
        <v>Cinco Southwest MUD 2</v>
      </c>
    </row>
    <row r="461" spans="1:6" x14ac:dyDescent="0.25">
      <c r="A461" s="302" t="s">
        <v>5198</v>
      </c>
      <c r="B461" s="303" t="str">
        <f t="shared" si="7"/>
        <v>x00000481</v>
      </c>
      <c r="C461" t="s">
        <v>4</v>
      </c>
      <c r="D461" t="s">
        <v>5199</v>
      </c>
      <c r="E461">
        <v>8</v>
      </c>
      <c r="F461" t="str">
        <f>IF(AND(Entities[[#This Row],[ENT_TYPE]]="County",RIGHT(Entities[[#This Row],[ENT_NAME]],6)&lt;&gt;"County"),_xlfn.TEXTJOIN(" ",TRUE,Entities[[#This Row],[ENT_NAME]],"County"),Entities[[#This Row],[ENT_NAME]])</f>
        <v>Cinco Southwest MUD 2</v>
      </c>
    </row>
    <row r="462" spans="1:6" x14ac:dyDescent="0.25">
      <c r="A462" s="302" t="s">
        <v>5200</v>
      </c>
      <c r="B462" s="303" t="str">
        <f t="shared" si="7"/>
        <v>x00000487</v>
      </c>
      <c r="C462" t="s">
        <v>4</v>
      </c>
      <c r="D462" t="s">
        <v>5201</v>
      </c>
      <c r="E462">
        <v>6</v>
      </c>
      <c r="F462" t="str">
        <f>IF(AND(Entities[[#This Row],[ENT_TYPE]]="County",RIGHT(Entities[[#This Row],[ENT_NAME]],6)&lt;&gt;"County"),_xlfn.TEXTJOIN(" ",TRUE,Entities[[#This Row],[ENT_NAME]],"County"),Entities[[#This Row],[ENT_NAME]])</f>
        <v>West Keegans Bayou Improvement District</v>
      </c>
    </row>
    <row r="463" spans="1:6" x14ac:dyDescent="0.25">
      <c r="A463" s="304" t="s">
        <v>5200</v>
      </c>
      <c r="B463" s="303" t="str">
        <f t="shared" si="7"/>
        <v>x00000487</v>
      </c>
      <c r="C463" t="s">
        <v>4</v>
      </c>
      <c r="D463" t="s">
        <v>5201</v>
      </c>
      <c r="E463">
        <v>8</v>
      </c>
      <c r="F463" t="str">
        <f>IF(AND(Entities[[#This Row],[ENT_TYPE]]="County",RIGHT(Entities[[#This Row],[ENT_NAME]],6)&lt;&gt;"County"),_xlfn.TEXTJOIN(" ",TRUE,Entities[[#This Row],[ENT_NAME]],"County"),Entities[[#This Row],[ENT_NAME]])</f>
        <v>West Keegans Bayou Improvement District</v>
      </c>
    </row>
    <row r="464" spans="1:6" x14ac:dyDescent="0.25">
      <c r="A464" s="302" t="s">
        <v>5202</v>
      </c>
      <c r="B464" s="303" t="str">
        <f t="shared" si="7"/>
        <v>x00000498</v>
      </c>
      <c r="C464" t="s">
        <v>4</v>
      </c>
      <c r="D464" t="s">
        <v>5203</v>
      </c>
      <c r="E464">
        <v>6</v>
      </c>
      <c r="F464" t="str">
        <f>IF(AND(Entities[[#This Row],[ENT_TYPE]]="County",RIGHT(Entities[[#This Row],[ENT_NAME]],6)&lt;&gt;"County"),_xlfn.TEXTJOIN(" ",TRUE,Entities[[#This Row],[ENT_NAME]],"County"),Entities[[#This Row],[ENT_NAME]])</f>
        <v>Quail Valley Utility District</v>
      </c>
    </row>
    <row r="465" spans="1:6" x14ac:dyDescent="0.25">
      <c r="A465" s="302" t="s">
        <v>5202</v>
      </c>
      <c r="B465" s="303" t="str">
        <f t="shared" si="7"/>
        <v>x00000498</v>
      </c>
      <c r="C465" t="s">
        <v>4</v>
      </c>
      <c r="D465" t="s">
        <v>5203</v>
      </c>
      <c r="E465">
        <v>8</v>
      </c>
      <c r="F465" t="str">
        <f>IF(AND(Entities[[#This Row],[ENT_TYPE]]="County",RIGHT(Entities[[#This Row],[ENT_NAME]],6)&lt;&gt;"County"),_xlfn.TEXTJOIN(" ",TRUE,Entities[[#This Row],[ENT_NAME]],"County"),Entities[[#This Row],[ENT_NAME]])</f>
        <v>Quail Valley Utility District</v>
      </c>
    </row>
    <row r="466" spans="1:6" x14ac:dyDescent="0.25">
      <c r="A466" s="304" t="s">
        <v>5204</v>
      </c>
      <c r="B466" s="303" t="str">
        <f t="shared" si="7"/>
        <v>x00000505</v>
      </c>
      <c r="C466" t="s">
        <v>4</v>
      </c>
      <c r="D466" t="s">
        <v>5205</v>
      </c>
      <c r="E466">
        <v>6</v>
      </c>
      <c r="F466" t="str">
        <f>IF(AND(Entities[[#This Row],[ENT_TYPE]]="County",RIGHT(Entities[[#This Row],[ENT_NAME]],6)&lt;&gt;"County"),_xlfn.TEXTJOIN(" ",TRUE,Entities[[#This Row],[ENT_NAME]],"County"),Entities[[#This Row],[ENT_NAME]])</f>
        <v>Sienna Plantation LID</v>
      </c>
    </row>
    <row r="467" spans="1:6" x14ac:dyDescent="0.25">
      <c r="A467" s="302" t="s">
        <v>5204</v>
      </c>
      <c r="B467" s="303" t="str">
        <f t="shared" si="7"/>
        <v>x00000505</v>
      </c>
      <c r="C467" t="s">
        <v>4</v>
      </c>
      <c r="D467" t="s">
        <v>5205</v>
      </c>
      <c r="E467">
        <v>8</v>
      </c>
      <c r="F467" t="str">
        <f>IF(AND(Entities[[#This Row],[ENT_TYPE]]="County",RIGHT(Entities[[#This Row],[ENT_NAME]],6)&lt;&gt;"County"),_xlfn.TEXTJOIN(" ",TRUE,Entities[[#This Row],[ENT_NAME]],"County"),Entities[[#This Row],[ENT_NAME]])</f>
        <v>Sienna Plantation LID</v>
      </c>
    </row>
    <row r="468" spans="1:6" x14ac:dyDescent="0.25">
      <c r="A468" s="302" t="s">
        <v>2567</v>
      </c>
      <c r="B468" s="303" t="str">
        <f t="shared" si="7"/>
        <v>x00000512</v>
      </c>
      <c r="C468" t="s">
        <v>5166</v>
      </c>
      <c r="D468" t="s">
        <v>5206</v>
      </c>
      <c r="E468">
        <v>4</v>
      </c>
      <c r="F468" t="str">
        <f>IF(AND(Entities[[#This Row],[ENT_TYPE]]="County",RIGHT(Entities[[#This Row],[ENT_NAME]],6)&lt;&gt;"County"),_xlfn.TEXTJOIN(" ",TRUE,Entities[[#This Row],[ENT_NAME]],"County"),Entities[[#This Row],[ENT_NAME]])</f>
        <v>Orange County Drainage District</v>
      </c>
    </row>
    <row r="469" spans="1:6" x14ac:dyDescent="0.25">
      <c r="A469" s="302" t="s">
        <v>2567</v>
      </c>
      <c r="B469" s="303" t="str">
        <f t="shared" si="7"/>
        <v>x00000512</v>
      </c>
      <c r="C469" t="s">
        <v>5166</v>
      </c>
      <c r="D469" t="s">
        <v>5206</v>
      </c>
      <c r="E469">
        <v>0</v>
      </c>
      <c r="F469" t="str">
        <f>IF(AND(Entities[[#This Row],[ENT_TYPE]]="County",RIGHT(Entities[[#This Row],[ENT_NAME]],6)&lt;&gt;"County"),_xlfn.TEXTJOIN(" ",TRUE,Entities[[#This Row],[ENT_NAME]],"County"),Entities[[#This Row],[ENT_NAME]])</f>
        <v>Orange County Drainage District</v>
      </c>
    </row>
    <row r="470" spans="1:6" x14ac:dyDescent="0.25">
      <c r="A470" s="302" t="s">
        <v>5207</v>
      </c>
      <c r="B470" s="303" t="str">
        <f t="shared" si="7"/>
        <v>x00000519</v>
      </c>
      <c r="C470" t="s">
        <v>4</v>
      </c>
      <c r="D470" t="s">
        <v>5208</v>
      </c>
      <c r="E470">
        <v>13</v>
      </c>
      <c r="F470" t="str">
        <f>IF(AND(Entities[[#This Row],[ENT_TYPE]]="County",RIGHT(Entities[[#This Row],[ENT_NAME]],6)&lt;&gt;"County"),_xlfn.TEXTJOIN(" ",TRUE,Entities[[#This Row],[ENT_NAME]],"County"),Entities[[#This Row],[ENT_NAME]])</f>
        <v>Escondido Watershed District</v>
      </c>
    </row>
    <row r="471" spans="1:6" x14ac:dyDescent="0.25">
      <c r="A471" s="302" t="s">
        <v>5207</v>
      </c>
      <c r="B471" s="303" t="str">
        <f t="shared" si="7"/>
        <v>x00000519</v>
      </c>
      <c r="C471" t="s">
        <v>4</v>
      </c>
      <c r="D471" t="s">
        <v>5208</v>
      </c>
      <c r="E471">
        <v>12</v>
      </c>
      <c r="F471" t="str">
        <f>IF(AND(Entities[[#This Row],[ENT_TYPE]]="County",RIGHT(Entities[[#This Row],[ENT_NAME]],6)&lt;&gt;"County"),_xlfn.TEXTJOIN(" ",TRUE,Entities[[#This Row],[ENT_NAME]],"County"),Entities[[#This Row],[ENT_NAME]])</f>
        <v>Escondido Watershed District</v>
      </c>
    </row>
    <row r="472" spans="1:6" x14ac:dyDescent="0.25">
      <c r="A472" s="304" t="s">
        <v>5209</v>
      </c>
      <c r="B472" s="303" t="str">
        <f t="shared" si="7"/>
        <v>x00000526</v>
      </c>
      <c r="C472" t="s">
        <v>4</v>
      </c>
      <c r="D472" t="s">
        <v>5210</v>
      </c>
      <c r="E472">
        <v>13</v>
      </c>
      <c r="F472" t="str">
        <f>IF(AND(Entities[[#This Row],[ENT_TYPE]]="County",RIGHT(Entities[[#This Row],[ENT_NAME]],6)&lt;&gt;"County"),_xlfn.TEXTJOIN(" ",TRUE,Entities[[#This Row],[ENT_NAME]],"County"),Entities[[#This Row],[ENT_NAME]])</f>
        <v>Hondo Creek Watershed Improvement District</v>
      </c>
    </row>
    <row r="473" spans="1:6" x14ac:dyDescent="0.25">
      <c r="A473" s="302" t="s">
        <v>5209</v>
      </c>
      <c r="B473" s="303" t="str">
        <f t="shared" si="7"/>
        <v>x00000526</v>
      </c>
      <c r="C473" t="s">
        <v>4</v>
      </c>
      <c r="D473" t="s">
        <v>5210</v>
      </c>
      <c r="E473">
        <v>12</v>
      </c>
      <c r="F473" t="str">
        <f>IF(AND(Entities[[#This Row],[ENT_TYPE]]="County",RIGHT(Entities[[#This Row],[ENT_NAME]],6)&lt;&gt;"County"),_xlfn.TEXTJOIN(" ",TRUE,Entities[[#This Row],[ENT_NAME]],"County"),Entities[[#This Row],[ENT_NAME]])</f>
        <v>Hondo Creek Watershed Improvement District</v>
      </c>
    </row>
    <row r="474" spans="1:6" x14ac:dyDescent="0.25">
      <c r="A474" s="302" t="s">
        <v>5211</v>
      </c>
      <c r="B474" s="303" t="str">
        <f t="shared" si="7"/>
        <v>x00000527</v>
      </c>
      <c r="C474" t="s">
        <v>4</v>
      </c>
      <c r="D474" t="s">
        <v>5212</v>
      </c>
      <c r="E474">
        <v>6</v>
      </c>
      <c r="F474" t="str">
        <f>IF(AND(Entities[[#This Row],[ENT_TYPE]]="County",RIGHT(Entities[[#This Row],[ENT_NAME]],6)&lt;&gt;"County"),_xlfn.TEXTJOIN(" ",TRUE,Entities[[#This Row],[ENT_NAME]],"County"),Entities[[#This Row],[ENT_NAME]])</f>
        <v>Chambers County Improvement District 3</v>
      </c>
    </row>
    <row r="475" spans="1:6" x14ac:dyDescent="0.25">
      <c r="A475" s="302" t="s">
        <v>5211</v>
      </c>
      <c r="B475" s="303" t="str">
        <f t="shared" si="7"/>
        <v>x00000527</v>
      </c>
      <c r="C475" t="s">
        <v>4</v>
      </c>
      <c r="D475" t="s">
        <v>5212</v>
      </c>
      <c r="E475">
        <v>3</v>
      </c>
      <c r="F475" t="str">
        <f>IF(AND(Entities[[#This Row],[ENT_TYPE]]="County",RIGHT(Entities[[#This Row],[ENT_NAME]],6)&lt;&gt;"County"),_xlfn.TEXTJOIN(" ",TRUE,Entities[[#This Row],[ENT_NAME]],"County"),Entities[[#This Row],[ENT_NAME]])</f>
        <v>Chambers County Improvement District 3</v>
      </c>
    </row>
    <row r="476" spans="1:6" x14ac:dyDescent="0.25">
      <c r="A476" s="304" t="s">
        <v>5213</v>
      </c>
      <c r="B476" s="303" t="str">
        <f t="shared" si="7"/>
        <v>x00000538</v>
      </c>
      <c r="C476" t="s">
        <v>4</v>
      </c>
      <c r="D476" t="s">
        <v>5214</v>
      </c>
      <c r="E476">
        <v>10</v>
      </c>
      <c r="F476" t="str">
        <f>IF(AND(Entities[[#This Row],[ENT_TYPE]]="County",RIGHT(Entities[[#This Row],[ENT_NAME]],6)&lt;&gt;"County"),_xlfn.TEXTJOIN(" ",TRUE,Entities[[#This Row],[ENT_NAME]],"County"),Entities[[#This Row],[ENT_NAME]])</f>
        <v>West Side Calhoun County Navigation District</v>
      </c>
    </row>
    <row r="477" spans="1:6" x14ac:dyDescent="0.25">
      <c r="A477" s="302" t="s">
        <v>5213</v>
      </c>
      <c r="B477" s="303" t="str">
        <f t="shared" si="7"/>
        <v>x00000538</v>
      </c>
      <c r="C477" t="s">
        <v>4</v>
      </c>
      <c r="D477" t="s">
        <v>5214</v>
      </c>
      <c r="E477">
        <v>11</v>
      </c>
      <c r="F477" t="str">
        <f>IF(AND(Entities[[#This Row],[ENT_TYPE]]="County",RIGHT(Entities[[#This Row],[ENT_NAME]],6)&lt;&gt;"County"),_xlfn.TEXTJOIN(" ",TRUE,Entities[[#This Row],[ENT_NAME]],"County"),Entities[[#This Row],[ENT_NAME]])</f>
        <v>West Side Calhoun County Navigation District</v>
      </c>
    </row>
    <row r="478" spans="1:6" x14ac:dyDescent="0.25">
      <c r="A478" s="302" t="s">
        <v>5213</v>
      </c>
      <c r="B478" s="303" t="str">
        <f t="shared" si="7"/>
        <v>x00000538</v>
      </c>
      <c r="C478" t="s">
        <v>4</v>
      </c>
      <c r="D478" t="s">
        <v>5214</v>
      </c>
      <c r="E478">
        <v>12</v>
      </c>
      <c r="F478" t="str">
        <f>IF(AND(Entities[[#This Row],[ENT_TYPE]]="County",RIGHT(Entities[[#This Row],[ENT_NAME]],6)&lt;&gt;"County"),_xlfn.TEXTJOIN(" ",TRUE,Entities[[#This Row],[ENT_NAME]],"County"),Entities[[#This Row],[ENT_NAME]])</f>
        <v>West Side Calhoun County Navigation District</v>
      </c>
    </row>
    <row r="479" spans="1:6" x14ac:dyDescent="0.25">
      <c r="A479" s="304" t="s">
        <v>5215</v>
      </c>
      <c r="B479" s="303" t="str">
        <f t="shared" si="7"/>
        <v>x00000548</v>
      </c>
      <c r="C479" t="s">
        <v>4</v>
      </c>
      <c r="D479" t="s">
        <v>5216</v>
      </c>
      <c r="E479">
        <v>0</v>
      </c>
      <c r="F479" t="str">
        <f>IF(AND(Entities[[#This Row],[ENT_TYPE]]="County",RIGHT(Entities[[#This Row],[ENT_NAME]],6)&lt;&gt;"County"),_xlfn.TEXTJOIN(" ",TRUE,Entities[[#This Row],[ENT_NAME]],"County"),Entities[[#This Row],[ENT_NAME]])</f>
        <v>Southeast Texas Agricultural Development District</v>
      </c>
    </row>
    <row r="480" spans="1:6" x14ac:dyDescent="0.25">
      <c r="A480" s="302" t="s">
        <v>5215</v>
      </c>
      <c r="B480" s="303" t="str">
        <f t="shared" si="7"/>
        <v>x00000548</v>
      </c>
      <c r="C480" t="s">
        <v>4</v>
      </c>
      <c r="D480" t="s">
        <v>5216</v>
      </c>
      <c r="E480">
        <v>3</v>
      </c>
      <c r="F480" t="str">
        <f>IF(AND(Entities[[#This Row],[ENT_TYPE]]="County",RIGHT(Entities[[#This Row],[ENT_NAME]],6)&lt;&gt;"County"),_xlfn.TEXTJOIN(" ",TRUE,Entities[[#This Row],[ENT_NAME]],"County"),Entities[[#This Row],[ENT_NAME]])</f>
        <v>Southeast Texas Agricultural Development District</v>
      </c>
    </row>
    <row r="481" spans="1:6" x14ac:dyDescent="0.25">
      <c r="A481" s="302" t="s">
        <v>5217</v>
      </c>
      <c r="B481" s="303" t="str">
        <f t="shared" si="7"/>
        <v>x00000552</v>
      </c>
      <c r="C481" t="s">
        <v>4</v>
      </c>
      <c r="D481" t="s">
        <v>5218</v>
      </c>
      <c r="E481">
        <v>0</v>
      </c>
      <c r="F481" t="str">
        <f>IF(AND(Entities[[#This Row],[ENT_TYPE]]="County",RIGHT(Entities[[#This Row],[ENT_NAME]],6)&lt;&gt;"County"),_xlfn.TEXTJOIN(" ",TRUE,Entities[[#This Row],[ENT_NAME]],"County"),Entities[[#This Row],[ENT_NAME]])</f>
        <v>Gulf Coast Waste Disposal Authority</v>
      </c>
    </row>
    <row r="482" spans="1:6" x14ac:dyDescent="0.25">
      <c r="A482" s="302" t="s">
        <v>5217</v>
      </c>
      <c r="B482" s="303" t="str">
        <f t="shared" si="7"/>
        <v>x00000552</v>
      </c>
      <c r="C482" t="s">
        <v>4</v>
      </c>
      <c r="D482" t="s">
        <v>5218</v>
      </c>
      <c r="E482">
        <v>6</v>
      </c>
      <c r="F482" t="str">
        <f>IF(AND(Entities[[#This Row],[ENT_TYPE]]="County",RIGHT(Entities[[#This Row],[ENT_NAME]],6)&lt;&gt;"County"),_xlfn.TEXTJOIN(" ",TRUE,Entities[[#This Row],[ENT_NAME]],"County"),Entities[[#This Row],[ENT_NAME]])</f>
        <v>Gulf Coast Waste Disposal Authority</v>
      </c>
    </row>
    <row r="483" spans="1:6" x14ac:dyDescent="0.25">
      <c r="A483" s="302" t="s">
        <v>5217</v>
      </c>
      <c r="B483" s="303" t="str">
        <f t="shared" si="7"/>
        <v>x00000552</v>
      </c>
      <c r="C483" t="s">
        <v>4</v>
      </c>
      <c r="D483" t="s">
        <v>5218</v>
      </c>
      <c r="E483">
        <v>3</v>
      </c>
      <c r="F483" t="str">
        <f>IF(AND(Entities[[#This Row],[ENT_TYPE]]="County",RIGHT(Entities[[#This Row],[ENT_NAME]],6)&lt;&gt;"County"),_xlfn.TEXTJOIN(" ",TRUE,Entities[[#This Row],[ENT_NAME]],"County"),Entities[[#This Row],[ENT_NAME]])</f>
        <v>Gulf Coast Waste Disposal Authority</v>
      </c>
    </row>
    <row r="484" spans="1:6" x14ac:dyDescent="0.25">
      <c r="A484" s="302" t="s">
        <v>5219</v>
      </c>
      <c r="B484" s="303" t="str">
        <f t="shared" si="7"/>
        <v>x00000555</v>
      </c>
      <c r="C484" t="s">
        <v>4</v>
      </c>
      <c r="D484" t="s">
        <v>5220</v>
      </c>
      <c r="E484">
        <v>0</v>
      </c>
      <c r="F484" t="str">
        <f>IF(AND(Entities[[#This Row],[ENT_TYPE]]="County",RIGHT(Entities[[#This Row],[ENT_NAME]],6)&lt;&gt;"County"),_xlfn.TEXTJOIN(" ",TRUE,Entities[[#This Row],[ENT_NAME]],"County"),Entities[[#This Row],[ENT_NAME]])</f>
        <v>Dickens County WCID 1</v>
      </c>
    </row>
    <row r="485" spans="1:6" x14ac:dyDescent="0.25">
      <c r="A485" s="302" t="s">
        <v>5219</v>
      </c>
      <c r="B485" s="303" t="str">
        <f t="shared" si="7"/>
        <v>x00000555</v>
      </c>
      <c r="C485" t="s">
        <v>4</v>
      </c>
      <c r="D485" t="s">
        <v>5220</v>
      </c>
      <c r="E485">
        <v>7</v>
      </c>
      <c r="F485" t="str">
        <f>IF(AND(Entities[[#This Row],[ENT_TYPE]]="County",RIGHT(Entities[[#This Row],[ENT_NAME]],6)&lt;&gt;"County"),_xlfn.TEXTJOIN(" ",TRUE,Entities[[#This Row],[ENT_NAME]],"County"),Entities[[#This Row],[ENT_NAME]])</f>
        <v>Dickens County WCID 1</v>
      </c>
    </row>
    <row r="486" spans="1:6" x14ac:dyDescent="0.25">
      <c r="A486" s="304" t="s">
        <v>5221</v>
      </c>
      <c r="B486" s="303" t="str">
        <f t="shared" si="7"/>
        <v>x00000577</v>
      </c>
      <c r="C486" t="s">
        <v>4</v>
      </c>
      <c r="D486" t="s">
        <v>5222</v>
      </c>
      <c r="E486">
        <v>6</v>
      </c>
      <c r="F486" t="str">
        <f>IF(AND(Entities[[#This Row],[ENT_TYPE]]="County",RIGHT(Entities[[#This Row],[ENT_NAME]],6)&lt;&gt;"County"),_xlfn.TEXTJOIN(" ",TRUE,Entities[[#This Row],[ENT_NAME]],"County"),Entities[[#This Row],[ENT_NAME]])</f>
        <v>Port Freeport</v>
      </c>
    </row>
    <row r="487" spans="1:6" x14ac:dyDescent="0.25">
      <c r="A487" s="302" t="s">
        <v>5221</v>
      </c>
      <c r="B487" s="303" t="str">
        <f t="shared" si="7"/>
        <v>x00000577</v>
      </c>
      <c r="C487" t="s">
        <v>4</v>
      </c>
      <c r="D487" t="s">
        <v>5222</v>
      </c>
      <c r="E487">
        <v>8</v>
      </c>
      <c r="F487" t="str">
        <f>IF(AND(Entities[[#This Row],[ENT_TYPE]]="County",RIGHT(Entities[[#This Row],[ENT_NAME]],6)&lt;&gt;"County"),_xlfn.TEXTJOIN(" ",TRUE,Entities[[#This Row],[ENT_NAME]],"County"),Entities[[#This Row],[ENT_NAME]])</f>
        <v>Port Freeport</v>
      </c>
    </row>
    <row r="488" spans="1:6" x14ac:dyDescent="0.25">
      <c r="A488" s="304" t="s">
        <v>5221</v>
      </c>
      <c r="B488" s="303" t="str">
        <f t="shared" si="7"/>
        <v>x00000577</v>
      </c>
      <c r="C488" t="s">
        <v>4</v>
      </c>
      <c r="D488" t="s">
        <v>5222</v>
      </c>
      <c r="E488">
        <v>10</v>
      </c>
      <c r="F488" t="str">
        <f>IF(AND(Entities[[#This Row],[ENT_TYPE]]="County",RIGHT(Entities[[#This Row],[ENT_NAME]],6)&lt;&gt;"County"),_xlfn.TEXTJOIN(" ",TRUE,Entities[[#This Row],[ENT_NAME]],"County"),Entities[[#This Row],[ENT_NAME]])</f>
        <v>Port Freeport</v>
      </c>
    </row>
    <row r="489" spans="1:6" x14ac:dyDescent="0.25">
      <c r="A489" s="302" t="s">
        <v>5223</v>
      </c>
      <c r="B489" s="303" t="str">
        <f t="shared" si="7"/>
        <v>x00000578</v>
      </c>
      <c r="C489" t="s">
        <v>4</v>
      </c>
      <c r="D489" t="s">
        <v>5224</v>
      </c>
      <c r="E489">
        <v>6</v>
      </c>
      <c r="F489" t="str">
        <f>IF(AND(Entities[[#This Row],[ENT_TYPE]]="County",RIGHT(Entities[[#This Row],[ENT_NAME]],6)&lt;&gt;"County"),_xlfn.TEXTJOIN(" ",TRUE,Entities[[#This Row],[ENT_NAME]],"County"),Entities[[#This Row],[ENT_NAME]])</f>
        <v>Port of Houston Authority</v>
      </c>
    </row>
    <row r="490" spans="1:6" x14ac:dyDescent="0.25">
      <c r="A490" s="302" t="s">
        <v>5225</v>
      </c>
      <c r="B490" s="303" t="str">
        <f t="shared" si="7"/>
        <v>x00000580</v>
      </c>
      <c r="C490" t="s">
        <v>5166</v>
      </c>
      <c r="D490" t="s">
        <v>5226</v>
      </c>
      <c r="E490">
        <v>10</v>
      </c>
      <c r="F490" t="str">
        <f>IF(AND(Entities[[#This Row],[ENT_TYPE]]="County",RIGHT(Entities[[#This Row],[ENT_NAME]],6)&lt;&gt;"County"),_xlfn.TEXTJOIN(" ",TRUE,Entities[[#This Row],[ENT_NAME]],"County"),Entities[[#This Row],[ENT_NAME]])</f>
        <v>Victoria County Drainage District 2</v>
      </c>
    </row>
    <row r="491" spans="1:6" x14ac:dyDescent="0.25">
      <c r="A491" s="302" t="s">
        <v>5225</v>
      </c>
      <c r="B491" s="303" t="str">
        <f t="shared" si="7"/>
        <v>x00000580</v>
      </c>
      <c r="C491" t="s">
        <v>4</v>
      </c>
      <c r="D491" t="s">
        <v>5226</v>
      </c>
      <c r="E491">
        <v>11</v>
      </c>
      <c r="F491" t="str">
        <f>IF(AND(Entities[[#This Row],[ENT_TYPE]]="County",RIGHT(Entities[[#This Row],[ENT_NAME]],6)&lt;&gt;"County"),_xlfn.TEXTJOIN(" ",TRUE,Entities[[#This Row],[ENT_NAME]],"County"),Entities[[#This Row],[ENT_NAME]])</f>
        <v>Victoria County Drainage District 2</v>
      </c>
    </row>
    <row r="492" spans="1:6" x14ac:dyDescent="0.25">
      <c r="A492" s="304" t="s">
        <v>5227</v>
      </c>
      <c r="B492" s="303" t="str">
        <f t="shared" si="7"/>
        <v>x00000582</v>
      </c>
      <c r="C492" t="s">
        <v>4</v>
      </c>
      <c r="D492" t="s">
        <v>5228</v>
      </c>
      <c r="E492">
        <v>0</v>
      </c>
      <c r="F492" t="str">
        <f>IF(AND(Entities[[#This Row],[ENT_TYPE]]="County",RIGHT(Entities[[#This Row],[ENT_NAME]],6)&lt;&gt;"County"),_xlfn.TEXTJOIN(" ",TRUE,Entities[[#This Row],[ENT_NAME]],"County"),Entities[[#This Row],[ENT_NAME]])</f>
        <v>Chambers-Liberty Counties Navigation District</v>
      </c>
    </row>
    <row r="493" spans="1:6" x14ac:dyDescent="0.25">
      <c r="A493" s="302" t="s">
        <v>5227</v>
      </c>
      <c r="B493" s="303" t="str">
        <f t="shared" si="7"/>
        <v>x00000582</v>
      </c>
      <c r="C493" t="s">
        <v>4</v>
      </c>
      <c r="D493" t="s">
        <v>5228</v>
      </c>
      <c r="E493">
        <v>6</v>
      </c>
      <c r="F493" t="str">
        <f>IF(AND(Entities[[#This Row],[ENT_TYPE]]="County",RIGHT(Entities[[#This Row],[ENT_NAME]],6)&lt;&gt;"County"),_xlfn.TEXTJOIN(" ",TRUE,Entities[[#This Row],[ENT_NAME]],"County"),Entities[[#This Row],[ENT_NAME]])</f>
        <v>Chambers-Liberty Counties Navigation District</v>
      </c>
    </row>
    <row r="494" spans="1:6" x14ac:dyDescent="0.25">
      <c r="A494" s="302" t="s">
        <v>5227</v>
      </c>
      <c r="B494" s="303" t="str">
        <f t="shared" si="7"/>
        <v>x00000582</v>
      </c>
      <c r="C494" t="s">
        <v>4</v>
      </c>
      <c r="D494" t="s">
        <v>5228</v>
      </c>
      <c r="E494">
        <v>3</v>
      </c>
      <c r="F494" t="str">
        <f>IF(AND(Entities[[#This Row],[ENT_TYPE]]="County",RIGHT(Entities[[#This Row],[ENT_NAME]],6)&lt;&gt;"County"),_xlfn.TEXTJOIN(" ",TRUE,Entities[[#This Row],[ENT_NAME]],"County"),Entities[[#This Row],[ENT_NAME]])</f>
        <v>Chambers-Liberty Counties Navigation District</v>
      </c>
    </row>
    <row r="495" spans="1:6" x14ac:dyDescent="0.25">
      <c r="A495" s="302" t="s">
        <v>5229</v>
      </c>
      <c r="B495" s="303" t="str">
        <f t="shared" si="7"/>
        <v>x00000588</v>
      </c>
      <c r="C495" t="s">
        <v>4</v>
      </c>
      <c r="D495" t="s">
        <v>5230</v>
      </c>
      <c r="E495">
        <v>10</v>
      </c>
      <c r="F495" t="str">
        <f>IF(AND(Entities[[#This Row],[ENT_TYPE]]="County",RIGHT(Entities[[#This Row],[ENT_NAME]],6)&lt;&gt;"County"),_xlfn.TEXTJOIN(" ",TRUE,Entities[[#This Row],[ENT_NAME]],"County"),Entities[[#This Row],[ENT_NAME]])</f>
        <v>Victoria County Navigation District</v>
      </c>
    </row>
    <row r="496" spans="1:6" x14ac:dyDescent="0.25">
      <c r="A496" s="302" t="s">
        <v>5229</v>
      </c>
      <c r="B496" s="303" t="str">
        <f t="shared" si="7"/>
        <v>x00000588</v>
      </c>
      <c r="C496" t="s">
        <v>4</v>
      </c>
      <c r="D496" t="s">
        <v>5230</v>
      </c>
      <c r="E496">
        <v>11</v>
      </c>
      <c r="F496" t="str">
        <f>IF(AND(Entities[[#This Row],[ENT_TYPE]]="County",RIGHT(Entities[[#This Row],[ENT_NAME]],6)&lt;&gt;"County"),_xlfn.TEXTJOIN(" ",TRUE,Entities[[#This Row],[ENT_NAME]],"County"),Entities[[#This Row],[ENT_NAME]])</f>
        <v>Victoria County Navigation District</v>
      </c>
    </row>
    <row r="497" spans="1:6" x14ac:dyDescent="0.25">
      <c r="A497" s="302" t="s">
        <v>5229</v>
      </c>
      <c r="B497" s="303" t="str">
        <f t="shared" si="7"/>
        <v>x00000588</v>
      </c>
      <c r="C497" t="s">
        <v>4</v>
      </c>
      <c r="D497" t="s">
        <v>5230</v>
      </c>
      <c r="E497">
        <v>12</v>
      </c>
      <c r="F497" t="str">
        <f>IF(AND(Entities[[#This Row],[ENT_TYPE]]="County",RIGHT(Entities[[#This Row],[ENT_NAME]],6)&lt;&gt;"County"),_xlfn.TEXTJOIN(" ",TRUE,Entities[[#This Row],[ENT_NAME]],"County"),Entities[[#This Row],[ENT_NAME]])</f>
        <v>Victoria County Navigation District</v>
      </c>
    </row>
    <row r="498" spans="1:6" x14ac:dyDescent="0.25">
      <c r="A498" s="302" t="s">
        <v>5231</v>
      </c>
      <c r="B498" s="303" t="str">
        <f t="shared" si="7"/>
        <v>x00000597</v>
      </c>
      <c r="C498" t="s">
        <v>4</v>
      </c>
      <c r="D498" t="s">
        <v>5232</v>
      </c>
      <c r="E498">
        <v>6</v>
      </c>
      <c r="F498" t="str">
        <f>IF(AND(Entities[[#This Row],[ENT_TYPE]]="County",RIGHT(Entities[[#This Row],[ENT_NAME]],6)&lt;&gt;"County"),_xlfn.TEXTJOIN(" ",TRUE,Entities[[#This Row],[ENT_NAME]],"County"),Entities[[#This Row],[ENT_NAME]])</f>
        <v>Fort Bend County MUD 21</v>
      </c>
    </row>
    <row r="499" spans="1:6" x14ac:dyDescent="0.25">
      <c r="A499" s="304" t="s">
        <v>5231</v>
      </c>
      <c r="B499" s="303" t="str">
        <f t="shared" si="7"/>
        <v>x00000597</v>
      </c>
      <c r="C499" t="s">
        <v>4</v>
      </c>
      <c r="D499" t="s">
        <v>5232</v>
      </c>
      <c r="E499">
        <v>8</v>
      </c>
      <c r="F499" t="str">
        <f>IF(AND(Entities[[#This Row],[ENT_TYPE]]="County",RIGHT(Entities[[#This Row],[ENT_NAME]],6)&lt;&gt;"County"),_xlfn.TEXTJOIN(" ",TRUE,Entities[[#This Row],[ENT_NAME]],"County"),Entities[[#This Row],[ENT_NAME]])</f>
        <v>Fort Bend County MUD 21</v>
      </c>
    </row>
    <row r="500" spans="1:6" x14ac:dyDescent="0.25">
      <c r="A500" s="304" t="s">
        <v>5233</v>
      </c>
      <c r="B500" s="303" t="str">
        <f t="shared" si="7"/>
        <v>x00000614</v>
      </c>
      <c r="C500" t="s">
        <v>4</v>
      </c>
      <c r="D500" t="s">
        <v>5234</v>
      </c>
      <c r="E500">
        <v>2</v>
      </c>
      <c r="F500" t="str">
        <f>IF(AND(Entities[[#This Row],[ENT_TYPE]]="County",RIGHT(Entities[[#This Row],[ENT_NAME]],6)&lt;&gt;"County"),_xlfn.TEXTJOIN(" ",TRUE,Entities[[#This Row],[ENT_NAME]],"County"),Entities[[#This Row],[ENT_NAME]])</f>
        <v>Upper Sabine Valley SWMD</v>
      </c>
    </row>
    <row r="501" spans="1:6" x14ac:dyDescent="0.25">
      <c r="A501" s="304" t="s">
        <v>5233</v>
      </c>
      <c r="B501" s="303" t="str">
        <f t="shared" si="7"/>
        <v>x00000614</v>
      </c>
      <c r="C501" t="s">
        <v>4</v>
      </c>
      <c r="D501" t="s">
        <v>5234</v>
      </c>
      <c r="E501">
        <v>4</v>
      </c>
      <c r="F501" t="str">
        <f>IF(AND(Entities[[#This Row],[ENT_TYPE]]="County",RIGHT(Entities[[#This Row],[ENT_NAME]],6)&lt;&gt;"County"),_xlfn.TEXTJOIN(" ",TRUE,Entities[[#This Row],[ENT_NAME]],"County"),Entities[[#This Row],[ENT_NAME]])</f>
        <v>Upper Sabine Valley SWMD</v>
      </c>
    </row>
    <row r="502" spans="1:6" x14ac:dyDescent="0.25">
      <c r="A502" s="302" t="s">
        <v>5233</v>
      </c>
      <c r="B502" s="303" t="str">
        <f t="shared" si="7"/>
        <v>x00000614</v>
      </c>
      <c r="C502" t="s">
        <v>4</v>
      </c>
      <c r="D502" t="s">
        <v>5234</v>
      </c>
      <c r="E502">
        <v>0</v>
      </c>
      <c r="F502" t="str">
        <f>IF(AND(Entities[[#This Row],[ENT_TYPE]]="County",RIGHT(Entities[[#This Row],[ENT_NAME]],6)&lt;&gt;"County"),_xlfn.TEXTJOIN(" ",TRUE,Entities[[#This Row],[ENT_NAME]],"County"),Entities[[#This Row],[ENT_NAME]])</f>
        <v>Upper Sabine Valley SWMD</v>
      </c>
    </row>
    <row r="503" spans="1:6" x14ac:dyDescent="0.25">
      <c r="A503" s="302" t="s">
        <v>5235</v>
      </c>
      <c r="B503" s="303" t="str">
        <f t="shared" si="7"/>
        <v>x00000627</v>
      </c>
      <c r="C503" t="s">
        <v>4</v>
      </c>
      <c r="D503" t="s">
        <v>5236</v>
      </c>
      <c r="E503">
        <v>4</v>
      </c>
      <c r="F503" t="str">
        <f>IF(AND(Entities[[#This Row],[ENT_TYPE]]="County",RIGHT(Entities[[#This Row],[ENT_NAME]],6)&lt;&gt;"County"),_xlfn.TEXTJOIN(" ",TRUE,Entities[[#This Row],[ENT_NAME]],"County"),Entities[[#This Row],[ENT_NAME]])</f>
        <v>Lavon Special Utility District</v>
      </c>
    </row>
    <row r="504" spans="1:6" x14ac:dyDescent="0.25">
      <c r="A504" s="302" t="s">
        <v>5235</v>
      </c>
      <c r="B504" s="303" t="str">
        <f t="shared" si="7"/>
        <v>x00000627</v>
      </c>
      <c r="C504" t="s">
        <v>4</v>
      </c>
      <c r="D504" t="s">
        <v>5236</v>
      </c>
      <c r="E504">
        <v>3</v>
      </c>
      <c r="F504" t="str">
        <f>IF(AND(Entities[[#This Row],[ENT_TYPE]]="County",RIGHT(Entities[[#This Row],[ENT_NAME]],6)&lt;&gt;"County"),_xlfn.TEXTJOIN(" ",TRUE,Entities[[#This Row],[ENT_NAME]],"County"),Entities[[#This Row],[ENT_NAME]])</f>
        <v>Lavon Special Utility District</v>
      </c>
    </row>
    <row r="505" spans="1:6" x14ac:dyDescent="0.25">
      <c r="A505" s="302" t="s">
        <v>5237</v>
      </c>
      <c r="B505" s="303" t="str">
        <f t="shared" si="7"/>
        <v>x00000632</v>
      </c>
      <c r="C505" t="s">
        <v>4</v>
      </c>
      <c r="D505" t="s">
        <v>5238</v>
      </c>
      <c r="E505">
        <v>2</v>
      </c>
      <c r="F505" t="str">
        <f>IF(AND(Entities[[#This Row],[ENT_TYPE]]="County",RIGHT(Entities[[#This Row],[ENT_NAME]],6)&lt;&gt;"County"),_xlfn.TEXTJOIN(" ",TRUE,Entities[[#This Row],[ENT_NAME]],"County"),Entities[[#This Row],[ENT_NAME]])</f>
        <v>Little Cypress Utility District</v>
      </c>
    </row>
    <row r="506" spans="1:6" x14ac:dyDescent="0.25">
      <c r="A506" s="304" t="s">
        <v>5237</v>
      </c>
      <c r="B506" s="303" t="str">
        <f t="shared" si="7"/>
        <v>x00000632</v>
      </c>
      <c r="C506" t="s">
        <v>4</v>
      </c>
      <c r="D506" t="s">
        <v>5238</v>
      </c>
      <c r="E506">
        <v>4</v>
      </c>
      <c r="F506" t="str">
        <f>IF(AND(Entities[[#This Row],[ENT_TYPE]]="County",RIGHT(Entities[[#This Row],[ENT_NAME]],6)&lt;&gt;"County"),_xlfn.TEXTJOIN(" ",TRUE,Entities[[#This Row],[ENT_NAME]],"County"),Entities[[#This Row],[ENT_NAME]])</f>
        <v>Little Cypress Utility District</v>
      </c>
    </row>
    <row r="507" spans="1:6" x14ac:dyDescent="0.25">
      <c r="A507" s="302" t="s">
        <v>5239</v>
      </c>
      <c r="B507" s="303" t="str">
        <f t="shared" si="7"/>
        <v>x00000653</v>
      </c>
      <c r="C507" t="s">
        <v>4</v>
      </c>
      <c r="D507" t="s">
        <v>5240</v>
      </c>
      <c r="E507">
        <v>6</v>
      </c>
      <c r="F507" t="str">
        <f>IF(AND(Entities[[#This Row],[ENT_TYPE]]="County",RIGHT(Entities[[#This Row],[ENT_NAME]],6)&lt;&gt;"County"),_xlfn.TEXTJOIN(" ",TRUE,Entities[[#This Row],[ENT_NAME]],"County"),Entities[[#This Row],[ENT_NAME]])</f>
        <v>Brazos Bend Water Authority</v>
      </c>
    </row>
    <row r="508" spans="1:6" x14ac:dyDescent="0.25">
      <c r="A508" s="304" t="s">
        <v>5239</v>
      </c>
      <c r="B508" s="303" t="str">
        <f t="shared" si="7"/>
        <v>x00000653</v>
      </c>
      <c r="C508" t="s">
        <v>4</v>
      </c>
      <c r="D508" t="s">
        <v>5240</v>
      </c>
      <c r="E508">
        <v>8</v>
      </c>
      <c r="F508" t="str">
        <f>IF(AND(Entities[[#This Row],[ENT_TYPE]]="County",RIGHT(Entities[[#This Row],[ENT_NAME]],6)&lt;&gt;"County"),_xlfn.TEXTJOIN(" ",TRUE,Entities[[#This Row],[ENT_NAME]],"County"),Entities[[#This Row],[ENT_NAME]])</f>
        <v>Brazos Bend Water Authority</v>
      </c>
    </row>
    <row r="509" spans="1:6" x14ac:dyDescent="0.25">
      <c r="A509" s="304" t="s">
        <v>5241</v>
      </c>
      <c r="B509" s="303" t="str">
        <f t="shared" si="7"/>
        <v>x00000677</v>
      </c>
      <c r="C509" t="s">
        <v>4</v>
      </c>
      <c r="D509" t="s">
        <v>5242</v>
      </c>
      <c r="E509">
        <v>6</v>
      </c>
      <c r="F509" t="str">
        <f>IF(AND(Entities[[#This Row],[ENT_TYPE]]="County",RIGHT(Entities[[#This Row],[ENT_NAME]],6)&lt;&gt;"County"),_xlfn.TEXTJOIN(" ",TRUE,Entities[[#This Row],[ENT_NAME]],"County"),Entities[[#This Row],[ENT_NAME]])</f>
        <v>Waller County MUD 1</v>
      </c>
    </row>
    <row r="510" spans="1:6" x14ac:dyDescent="0.25">
      <c r="A510" s="302" t="s">
        <v>5241</v>
      </c>
      <c r="B510" s="303" t="str">
        <f t="shared" si="7"/>
        <v>x00000677</v>
      </c>
      <c r="C510" t="s">
        <v>4</v>
      </c>
      <c r="D510" t="s">
        <v>5242</v>
      </c>
      <c r="E510">
        <v>8</v>
      </c>
      <c r="F510" t="str">
        <f>IF(AND(Entities[[#This Row],[ENT_TYPE]]="County",RIGHT(Entities[[#This Row],[ENT_NAME]],6)&lt;&gt;"County"),_xlfn.TEXTJOIN(" ",TRUE,Entities[[#This Row],[ENT_NAME]],"County"),Entities[[#This Row],[ENT_NAME]])</f>
        <v>Waller County MUD 1</v>
      </c>
    </row>
    <row r="511" spans="1:6" x14ac:dyDescent="0.25">
      <c r="A511" s="302" t="s">
        <v>5243</v>
      </c>
      <c r="B511" s="303" t="str">
        <f t="shared" si="7"/>
        <v>x00000684</v>
      </c>
      <c r="C511" t="s">
        <v>4</v>
      </c>
      <c r="D511" t="s">
        <v>5244</v>
      </c>
      <c r="E511">
        <v>14</v>
      </c>
      <c r="F511" t="str">
        <f>IF(AND(Entities[[#This Row],[ENT_TYPE]]="County",RIGHT(Entities[[#This Row],[ENT_NAME]],6)&lt;&gt;"County"),_xlfn.TEXTJOIN(" ",TRUE,Entities[[#This Row],[ENT_NAME]],"County"),Entities[[#This Row],[ENT_NAME]])</f>
        <v>Upton County Water District</v>
      </c>
    </row>
    <row r="512" spans="1:6" x14ac:dyDescent="0.25">
      <c r="A512" s="302" t="s">
        <v>5243</v>
      </c>
      <c r="B512" s="303" t="str">
        <f t="shared" si="7"/>
        <v>x00000684</v>
      </c>
      <c r="C512" t="s">
        <v>4</v>
      </c>
      <c r="D512" t="s">
        <v>5244</v>
      </c>
      <c r="E512">
        <v>0</v>
      </c>
      <c r="F512" t="str">
        <f>IF(AND(Entities[[#This Row],[ENT_TYPE]]="County",RIGHT(Entities[[#This Row],[ENT_NAME]],6)&lt;&gt;"County"),_xlfn.TEXTJOIN(" ",TRUE,Entities[[#This Row],[ENT_NAME]],"County"),Entities[[#This Row],[ENT_NAME]])</f>
        <v>Upton County Water District</v>
      </c>
    </row>
    <row r="513" spans="1:6" x14ac:dyDescent="0.25">
      <c r="A513" s="304" t="s">
        <v>5245</v>
      </c>
      <c r="B513" s="303" t="str">
        <f t="shared" si="7"/>
        <v>x00000703</v>
      </c>
      <c r="C513" t="s">
        <v>4</v>
      </c>
      <c r="D513" t="s">
        <v>5246</v>
      </c>
      <c r="E513">
        <v>0</v>
      </c>
      <c r="F513" t="str">
        <f>IF(AND(Entities[[#This Row],[ENT_TYPE]]="County",RIGHT(Entities[[#This Row],[ENT_NAME]],6)&lt;&gt;"County"),_xlfn.TEXTJOIN(" ",TRUE,Entities[[#This Row],[ENT_NAME]],"County"),Entities[[#This Row],[ENT_NAME]])</f>
        <v>Trinity Bay Conservation District</v>
      </c>
    </row>
    <row r="514" spans="1:6" x14ac:dyDescent="0.25">
      <c r="A514" s="302" t="s">
        <v>5245</v>
      </c>
      <c r="B514" s="303" t="str">
        <f t="shared" ref="B514:B577" si="8">_xlfn.CONCAT("x",TEXT(A514,"00000000"))</f>
        <v>x00000703</v>
      </c>
      <c r="C514" t="s">
        <v>4</v>
      </c>
      <c r="D514" t="s">
        <v>5246</v>
      </c>
      <c r="E514">
        <v>3</v>
      </c>
      <c r="F514" t="str">
        <f>IF(AND(Entities[[#This Row],[ENT_TYPE]]="County",RIGHT(Entities[[#This Row],[ENT_NAME]],6)&lt;&gt;"County"),_xlfn.TEXTJOIN(" ",TRUE,Entities[[#This Row],[ENT_NAME]],"County"),Entities[[#This Row],[ENT_NAME]])</f>
        <v>Trinity Bay Conservation District</v>
      </c>
    </row>
    <row r="515" spans="1:6" x14ac:dyDescent="0.25">
      <c r="A515" s="304" t="s">
        <v>5247</v>
      </c>
      <c r="B515" s="303" t="str">
        <f t="shared" si="8"/>
        <v>x00000710</v>
      </c>
      <c r="C515" t="s">
        <v>4</v>
      </c>
      <c r="D515" t="s">
        <v>5248</v>
      </c>
      <c r="E515">
        <v>6</v>
      </c>
      <c r="F515" t="str">
        <f>IF(AND(Entities[[#This Row],[ENT_TYPE]]="County",RIGHT(Entities[[#This Row],[ENT_NAME]],6)&lt;&gt;"County"),_xlfn.TEXTJOIN(" ",TRUE,Entities[[#This Row],[ENT_NAME]],"County"),Entities[[#This Row],[ENT_NAME]])</f>
        <v>Chambers County Improvement District 1</v>
      </c>
    </row>
    <row r="516" spans="1:6" x14ac:dyDescent="0.25">
      <c r="A516" s="302" t="s">
        <v>5247</v>
      </c>
      <c r="B516" s="303" t="str">
        <f t="shared" si="8"/>
        <v>x00000710</v>
      </c>
      <c r="C516" t="s">
        <v>4</v>
      </c>
      <c r="D516" t="s">
        <v>5248</v>
      </c>
      <c r="E516">
        <v>3</v>
      </c>
      <c r="F516" t="str">
        <f>IF(AND(Entities[[#This Row],[ENT_TYPE]]="County",RIGHT(Entities[[#This Row],[ENT_NAME]],6)&lt;&gt;"County"),_xlfn.TEXTJOIN(" ",TRUE,Entities[[#This Row],[ENT_NAME]],"County"),Entities[[#This Row],[ENT_NAME]])</f>
        <v>Chambers County Improvement District 1</v>
      </c>
    </row>
    <row r="517" spans="1:6" x14ac:dyDescent="0.25">
      <c r="A517" s="302" t="s">
        <v>5249</v>
      </c>
      <c r="B517" s="303" t="str">
        <f t="shared" si="8"/>
        <v>x00000714</v>
      </c>
      <c r="C517" t="s">
        <v>4</v>
      </c>
      <c r="D517" t="s">
        <v>5250</v>
      </c>
      <c r="E517">
        <v>13</v>
      </c>
      <c r="F517" t="str">
        <f>IF(AND(Entities[[#This Row],[ENT_TYPE]]="County",RIGHT(Entities[[#This Row],[ENT_NAME]],6)&lt;&gt;"County"),_xlfn.TEXTJOIN(" ",TRUE,Entities[[#This Row],[ENT_NAME]],"County"),Entities[[#This Row],[ENT_NAME]])</f>
        <v>Refugio County WCID 2</v>
      </c>
    </row>
    <row r="518" spans="1:6" x14ac:dyDescent="0.25">
      <c r="A518" s="302" t="s">
        <v>5249</v>
      </c>
      <c r="B518" s="303" t="str">
        <f t="shared" si="8"/>
        <v>x00000714</v>
      </c>
      <c r="C518" t="s">
        <v>4</v>
      </c>
      <c r="D518" t="s">
        <v>5250</v>
      </c>
      <c r="E518">
        <v>11</v>
      </c>
      <c r="F518" t="str">
        <f>IF(AND(Entities[[#This Row],[ENT_TYPE]]="County",RIGHT(Entities[[#This Row],[ENT_NAME]],6)&lt;&gt;"County"),_xlfn.TEXTJOIN(" ",TRUE,Entities[[#This Row],[ENT_NAME]],"County"),Entities[[#This Row],[ENT_NAME]])</f>
        <v>Refugio County WCID 2</v>
      </c>
    </row>
    <row r="519" spans="1:6" x14ac:dyDescent="0.25">
      <c r="A519" s="302" t="s">
        <v>5249</v>
      </c>
      <c r="B519" s="303" t="str">
        <f t="shared" si="8"/>
        <v>x00000714</v>
      </c>
      <c r="C519" t="s">
        <v>4</v>
      </c>
      <c r="D519" t="s">
        <v>5250</v>
      </c>
      <c r="E519">
        <v>12</v>
      </c>
      <c r="F519" t="str">
        <f>IF(AND(Entities[[#This Row],[ENT_TYPE]]="County",RIGHT(Entities[[#This Row],[ENT_NAME]],6)&lt;&gt;"County"),_xlfn.TEXTJOIN(" ",TRUE,Entities[[#This Row],[ENT_NAME]],"County"),Entities[[#This Row],[ENT_NAME]])</f>
        <v>Refugio County WCID 2</v>
      </c>
    </row>
    <row r="520" spans="1:6" x14ac:dyDescent="0.25">
      <c r="A520" s="304" t="s">
        <v>5251</v>
      </c>
      <c r="B520" s="303" t="str">
        <f t="shared" si="8"/>
        <v>x00000720</v>
      </c>
      <c r="C520" t="s">
        <v>4</v>
      </c>
      <c r="D520" t="s">
        <v>5252</v>
      </c>
      <c r="E520">
        <v>6</v>
      </c>
      <c r="F520" t="str">
        <f>IF(AND(Entities[[#This Row],[ENT_TYPE]]="County",RIGHT(Entities[[#This Row],[ENT_NAME]],6)&lt;&gt;"County"),_xlfn.TEXTJOIN(" ",TRUE,Entities[[#This Row],[ENT_NAME]],"County"),Entities[[#This Row],[ENT_NAME]])</f>
        <v>Coastal Water Authority</v>
      </c>
    </row>
    <row r="521" spans="1:6" x14ac:dyDescent="0.25">
      <c r="A521" s="302" t="s">
        <v>5251</v>
      </c>
      <c r="B521" s="303" t="str">
        <f t="shared" si="8"/>
        <v>x00000720</v>
      </c>
      <c r="C521" t="s">
        <v>4</v>
      </c>
      <c r="D521" t="s">
        <v>5252</v>
      </c>
      <c r="E521">
        <v>3</v>
      </c>
      <c r="F521" t="str">
        <f>IF(AND(Entities[[#This Row],[ENT_TYPE]]="County",RIGHT(Entities[[#This Row],[ENT_NAME]],6)&lt;&gt;"County"),_xlfn.TEXTJOIN(" ",TRUE,Entities[[#This Row],[ENT_NAME]],"County"),Entities[[#This Row],[ENT_NAME]])</f>
        <v>Coastal Water Authority</v>
      </c>
    </row>
    <row r="522" spans="1:6" x14ac:dyDescent="0.25">
      <c r="A522" s="302" t="s">
        <v>5253</v>
      </c>
      <c r="B522" s="303" t="str">
        <f t="shared" si="8"/>
        <v>x00000758</v>
      </c>
      <c r="C522" t="s">
        <v>4</v>
      </c>
      <c r="D522" t="s">
        <v>5254</v>
      </c>
      <c r="E522">
        <v>13</v>
      </c>
      <c r="F522" t="str">
        <f>IF(AND(Entities[[#This Row],[ENT_TYPE]]="County",RIGHT(Entities[[#This Row],[ENT_NAME]],6)&lt;&gt;"County"),_xlfn.TEXTJOIN(" ",TRUE,Entities[[#This Row],[ENT_NAME]],"County"),Entities[[#This Row],[ENT_NAME]])</f>
        <v>Refugio County Navigation District</v>
      </c>
    </row>
    <row r="523" spans="1:6" x14ac:dyDescent="0.25">
      <c r="A523" s="302" t="s">
        <v>5253</v>
      </c>
      <c r="B523" s="303" t="str">
        <f t="shared" si="8"/>
        <v>x00000758</v>
      </c>
      <c r="C523" t="s">
        <v>4</v>
      </c>
      <c r="D523" t="s">
        <v>5254</v>
      </c>
      <c r="E523">
        <v>11</v>
      </c>
      <c r="F523" t="str">
        <f>IF(AND(Entities[[#This Row],[ENT_TYPE]]="County",RIGHT(Entities[[#This Row],[ENT_NAME]],6)&lt;&gt;"County"),_xlfn.TEXTJOIN(" ",TRUE,Entities[[#This Row],[ENT_NAME]],"County"),Entities[[#This Row],[ENT_NAME]])</f>
        <v>Refugio County Navigation District</v>
      </c>
    </row>
    <row r="524" spans="1:6" x14ac:dyDescent="0.25">
      <c r="A524" s="302" t="s">
        <v>5253</v>
      </c>
      <c r="B524" s="303" t="str">
        <f t="shared" si="8"/>
        <v>x00000758</v>
      </c>
      <c r="C524" t="s">
        <v>4</v>
      </c>
      <c r="D524" t="s">
        <v>5254</v>
      </c>
      <c r="E524">
        <v>12</v>
      </c>
      <c r="F524" t="str">
        <f>IF(AND(Entities[[#This Row],[ENT_TYPE]]="County",RIGHT(Entities[[#This Row],[ENT_NAME]],6)&lt;&gt;"County"),_xlfn.TEXTJOIN(" ",TRUE,Entities[[#This Row],[ENT_NAME]],"County"),Entities[[#This Row],[ENT_NAME]])</f>
        <v>Refugio County Navigation District</v>
      </c>
    </row>
    <row r="525" spans="1:6" x14ac:dyDescent="0.25">
      <c r="A525" s="302" t="s">
        <v>5255</v>
      </c>
      <c r="B525" s="303" t="str">
        <f t="shared" si="8"/>
        <v>x00000781</v>
      </c>
      <c r="C525" t="s">
        <v>4</v>
      </c>
      <c r="D525" t="s">
        <v>5256</v>
      </c>
      <c r="E525">
        <v>8</v>
      </c>
      <c r="F525" t="str">
        <f>IF(AND(Entities[[#This Row],[ENT_TYPE]]="County",RIGHT(Entities[[#This Row],[ENT_NAME]],6)&lt;&gt;"County"),_xlfn.TEXTJOIN(" ",TRUE,Entities[[#This Row],[ENT_NAME]],"County"),Entities[[#This Row],[ENT_NAME]])</f>
        <v>Ranch at Cypress Creek MUD 1</v>
      </c>
    </row>
    <row r="526" spans="1:6" x14ac:dyDescent="0.25">
      <c r="A526" s="302" t="s">
        <v>5255</v>
      </c>
      <c r="B526" s="303" t="str">
        <f t="shared" si="8"/>
        <v>x00000781</v>
      </c>
      <c r="C526" t="s">
        <v>4</v>
      </c>
      <c r="D526" t="s">
        <v>5256</v>
      </c>
      <c r="E526">
        <v>10</v>
      </c>
      <c r="F526" t="str">
        <f>IF(AND(Entities[[#This Row],[ENT_TYPE]]="County",RIGHT(Entities[[#This Row],[ENT_NAME]],6)&lt;&gt;"County"),_xlfn.TEXTJOIN(" ",TRUE,Entities[[#This Row],[ENT_NAME]],"County"),Entities[[#This Row],[ENT_NAME]])</f>
        <v>Ranch at Cypress Creek MUD 1</v>
      </c>
    </row>
    <row r="527" spans="1:6" x14ac:dyDescent="0.25">
      <c r="A527" s="302" t="s">
        <v>5257</v>
      </c>
      <c r="B527" s="303" t="str">
        <f t="shared" si="8"/>
        <v>x00000821</v>
      </c>
      <c r="C527" t="s">
        <v>4</v>
      </c>
      <c r="D527" t="s">
        <v>5258</v>
      </c>
      <c r="E527">
        <v>11</v>
      </c>
      <c r="F527" t="str">
        <f>IF(AND(Entities[[#This Row],[ENT_TYPE]]="County",RIGHT(Entities[[#This Row],[ENT_NAME]],6)&lt;&gt;"County"),_xlfn.TEXTJOIN(" ",TRUE,Entities[[#This Row],[ENT_NAME]],"County"),Entities[[#This Row],[ENT_NAME]])</f>
        <v>Green Valley SUD</v>
      </c>
    </row>
    <row r="528" spans="1:6" x14ac:dyDescent="0.25">
      <c r="A528" s="302" t="s">
        <v>5257</v>
      </c>
      <c r="B528" s="303" t="str">
        <f t="shared" si="8"/>
        <v>x00000821</v>
      </c>
      <c r="C528" t="s">
        <v>4</v>
      </c>
      <c r="D528" t="s">
        <v>5258</v>
      </c>
      <c r="E528">
        <v>12</v>
      </c>
      <c r="F528" t="str">
        <f>IF(AND(Entities[[#This Row],[ENT_TYPE]]="County",RIGHT(Entities[[#This Row],[ENT_NAME]],6)&lt;&gt;"County"),_xlfn.TEXTJOIN(" ",TRUE,Entities[[#This Row],[ENT_NAME]],"County"),Entities[[#This Row],[ENT_NAME]])</f>
        <v>Green Valley SUD</v>
      </c>
    </row>
    <row r="529" spans="1:6" x14ac:dyDescent="0.25">
      <c r="A529" s="304" t="s">
        <v>5259</v>
      </c>
      <c r="B529" s="303" t="str">
        <f t="shared" si="8"/>
        <v>x00000836</v>
      </c>
      <c r="C529" t="s">
        <v>4</v>
      </c>
      <c r="D529" t="s">
        <v>5260</v>
      </c>
      <c r="E529">
        <v>8</v>
      </c>
      <c r="F529" t="str">
        <f>IF(AND(Entities[[#This Row],[ENT_TYPE]]="County",RIGHT(Entities[[#This Row],[ENT_NAME]],6)&lt;&gt;"County"),_xlfn.TEXTJOIN(" ",TRUE,Entities[[#This Row],[ENT_NAME]],"County"),Entities[[#This Row],[ENT_NAME]])</f>
        <v>Jack County WCID 1</v>
      </c>
    </row>
    <row r="530" spans="1:6" x14ac:dyDescent="0.25">
      <c r="A530" s="302" t="s">
        <v>5259</v>
      </c>
      <c r="B530" s="303" t="str">
        <f t="shared" si="8"/>
        <v>x00000836</v>
      </c>
      <c r="C530" t="s">
        <v>4</v>
      </c>
      <c r="D530" t="s">
        <v>5260</v>
      </c>
      <c r="E530">
        <v>3</v>
      </c>
      <c r="F530" t="str">
        <f>IF(AND(Entities[[#This Row],[ENT_TYPE]]="County",RIGHT(Entities[[#This Row],[ENT_NAME]],6)&lt;&gt;"County"),_xlfn.TEXTJOIN(" ",TRUE,Entities[[#This Row],[ENT_NAME]],"County"),Entities[[#This Row],[ENT_NAME]])</f>
        <v>Jack County WCID 1</v>
      </c>
    </row>
    <row r="531" spans="1:6" x14ac:dyDescent="0.25">
      <c r="A531" s="304" t="s">
        <v>5261</v>
      </c>
      <c r="B531" s="303" t="str">
        <f t="shared" si="8"/>
        <v>x00000841</v>
      </c>
      <c r="C531" t="s">
        <v>4</v>
      </c>
      <c r="D531" t="s">
        <v>5262</v>
      </c>
      <c r="E531">
        <v>0</v>
      </c>
      <c r="F531" t="str">
        <f>IF(AND(Entities[[#This Row],[ENT_TYPE]]="County",RIGHT(Entities[[#This Row],[ENT_NAME]],6)&lt;&gt;"County"),_xlfn.TEXTJOIN(" ",TRUE,Entities[[#This Row],[ENT_NAME]],"County"),Entities[[#This Row],[ENT_NAME]])</f>
        <v>Knox County WCID 1</v>
      </c>
    </row>
    <row r="532" spans="1:6" x14ac:dyDescent="0.25">
      <c r="A532" s="304" t="s">
        <v>5261</v>
      </c>
      <c r="B532" s="303" t="str">
        <f t="shared" si="8"/>
        <v>x00000841</v>
      </c>
      <c r="C532" t="s">
        <v>4</v>
      </c>
      <c r="D532" t="s">
        <v>5262</v>
      </c>
      <c r="E532">
        <v>7</v>
      </c>
      <c r="F532" t="str">
        <f>IF(AND(Entities[[#This Row],[ENT_TYPE]]="County",RIGHT(Entities[[#This Row],[ENT_NAME]],6)&lt;&gt;"County"),_xlfn.TEXTJOIN(" ",TRUE,Entities[[#This Row],[ENT_NAME]],"County"),Entities[[#This Row],[ENT_NAME]])</f>
        <v>Knox County WCID 1</v>
      </c>
    </row>
    <row r="533" spans="1:6" x14ac:dyDescent="0.25">
      <c r="A533" s="302" t="s">
        <v>5263</v>
      </c>
      <c r="B533" s="303" t="str">
        <f t="shared" si="8"/>
        <v>x00000846</v>
      </c>
      <c r="C533" t="s">
        <v>5166</v>
      </c>
      <c r="D533" t="s">
        <v>5264</v>
      </c>
      <c r="E533">
        <v>2</v>
      </c>
      <c r="F533" t="str">
        <f>IF(AND(Entities[[#This Row],[ENT_TYPE]]="County",RIGHT(Entities[[#This Row],[ENT_NAME]],6)&lt;&gt;"County"),_xlfn.TEXTJOIN(" ",TRUE,Entities[[#This Row],[ENT_NAME]],"County"),Entities[[#This Row],[ENT_NAME]])</f>
        <v>Sulphur Springs Water District</v>
      </c>
    </row>
    <row r="534" spans="1:6" x14ac:dyDescent="0.25">
      <c r="A534" s="304" t="s">
        <v>5263</v>
      </c>
      <c r="B534" s="303" t="str">
        <f t="shared" si="8"/>
        <v>x00000846</v>
      </c>
      <c r="C534" t="s">
        <v>4</v>
      </c>
      <c r="D534" t="s">
        <v>5264</v>
      </c>
      <c r="E534">
        <v>4</v>
      </c>
      <c r="F534" t="str">
        <f>IF(AND(Entities[[#This Row],[ENT_TYPE]]="County",RIGHT(Entities[[#This Row],[ENT_NAME]],6)&lt;&gt;"County"),_xlfn.TEXTJOIN(" ",TRUE,Entities[[#This Row],[ENT_NAME]],"County"),Entities[[#This Row],[ENT_NAME]])</f>
        <v>Sulphur Springs Water District</v>
      </c>
    </row>
    <row r="535" spans="1:6" x14ac:dyDescent="0.25">
      <c r="A535" s="304" t="s">
        <v>5265</v>
      </c>
      <c r="B535" s="303" t="str">
        <f t="shared" si="8"/>
        <v>x00000847</v>
      </c>
      <c r="C535" t="s">
        <v>4</v>
      </c>
      <c r="D535" t="s">
        <v>5266</v>
      </c>
      <c r="E535">
        <v>0</v>
      </c>
      <c r="F535" t="str">
        <f>IF(AND(Entities[[#This Row],[ENT_TYPE]]="County",RIGHT(Entities[[#This Row],[ENT_NAME]],6)&lt;&gt;"County"),_xlfn.TEXTJOIN(" ",TRUE,Entities[[#This Row],[ENT_NAME]],"County"),Entities[[#This Row],[ENT_NAME]])</f>
        <v>Houston County WCID 1</v>
      </c>
    </row>
    <row r="536" spans="1:6" x14ac:dyDescent="0.25">
      <c r="A536" s="302" t="s">
        <v>5265</v>
      </c>
      <c r="B536" s="303" t="str">
        <f t="shared" si="8"/>
        <v>x00000847</v>
      </c>
      <c r="C536" t="s">
        <v>4</v>
      </c>
      <c r="D536" t="s">
        <v>5266</v>
      </c>
      <c r="E536">
        <v>3</v>
      </c>
      <c r="F536" t="str">
        <f>IF(AND(Entities[[#This Row],[ENT_TYPE]]="County",RIGHT(Entities[[#This Row],[ENT_NAME]],6)&lt;&gt;"County"),_xlfn.TEXTJOIN(" ",TRUE,Entities[[#This Row],[ENT_NAME]],"County"),Entities[[#This Row],[ENT_NAME]])</f>
        <v>Houston County WCID 1</v>
      </c>
    </row>
    <row r="537" spans="1:6" x14ac:dyDescent="0.25">
      <c r="A537" s="304" t="s">
        <v>5267</v>
      </c>
      <c r="B537" s="303" t="str">
        <f t="shared" si="8"/>
        <v>x00000854</v>
      </c>
      <c r="C537" t="s">
        <v>4</v>
      </c>
      <c r="D537" t="s">
        <v>5268</v>
      </c>
      <c r="E537">
        <v>8</v>
      </c>
      <c r="F537" t="str">
        <f>IF(AND(Entities[[#This Row],[ENT_TYPE]]="County",RIGHT(Entities[[#This Row],[ENT_NAME]],6)&lt;&gt;"County"),_xlfn.TEXTJOIN(" ",TRUE,Entities[[#This Row],[ENT_NAME]],"County"),Entities[[#This Row],[ENT_NAME]])</f>
        <v>Aquilla Hackberry Creek CD</v>
      </c>
    </row>
    <row r="538" spans="1:6" x14ac:dyDescent="0.25">
      <c r="A538" s="302" t="s">
        <v>5267</v>
      </c>
      <c r="B538" s="303" t="str">
        <f t="shared" si="8"/>
        <v>x00000854</v>
      </c>
      <c r="C538" t="s">
        <v>4</v>
      </c>
      <c r="D538" t="s">
        <v>5268</v>
      </c>
      <c r="E538">
        <v>3</v>
      </c>
      <c r="F538" t="str">
        <f>IF(AND(Entities[[#This Row],[ENT_TYPE]]="County",RIGHT(Entities[[#This Row],[ENT_NAME]],6)&lt;&gt;"County"),_xlfn.TEXTJOIN(" ",TRUE,Entities[[#This Row],[ENT_NAME]],"County"),Entities[[#This Row],[ENT_NAME]])</f>
        <v>Aquilla Hackberry Creek CD</v>
      </c>
    </row>
    <row r="539" spans="1:6" x14ac:dyDescent="0.25">
      <c r="A539" s="304" t="s">
        <v>5269</v>
      </c>
      <c r="B539" s="303" t="str">
        <f t="shared" si="8"/>
        <v>x00000860</v>
      </c>
      <c r="C539" t="s">
        <v>4</v>
      </c>
      <c r="D539" t="s">
        <v>5270</v>
      </c>
      <c r="E539">
        <v>6</v>
      </c>
      <c r="F539" t="str">
        <f>IF(AND(Entities[[#This Row],[ENT_TYPE]]="County",RIGHT(Entities[[#This Row],[ENT_NAME]],6)&lt;&gt;"County"),_xlfn.TEXTJOIN(" ",TRUE,Entities[[#This Row],[ENT_NAME]],"County"),Entities[[#This Row],[ENT_NAME]])</f>
        <v>Fort Bend County WCID 2</v>
      </c>
    </row>
    <row r="540" spans="1:6" x14ac:dyDescent="0.25">
      <c r="A540" s="304" t="s">
        <v>5269</v>
      </c>
      <c r="B540" s="303" t="str">
        <f t="shared" si="8"/>
        <v>x00000860</v>
      </c>
      <c r="C540" t="s">
        <v>4</v>
      </c>
      <c r="D540" t="s">
        <v>5270</v>
      </c>
      <c r="E540">
        <v>8</v>
      </c>
      <c r="F540" t="str">
        <f>IF(AND(Entities[[#This Row],[ENT_TYPE]]="County",RIGHT(Entities[[#This Row],[ENT_NAME]],6)&lt;&gt;"County"),_xlfn.TEXTJOIN(" ",TRUE,Entities[[#This Row],[ENT_NAME]],"County"),Entities[[#This Row],[ENT_NAME]])</f>
        <v>Fort Bend County WCID 2</v>
      </c>
    </row>
    <row r="541" spans="1:6" x14ac:dyDescent="0.25">
      <c r="A541" s="304" t="s">
        <v>5271</v>
      </c>
      <c r="B541" s="303" t="str">
        <f t="shared" si="8"/>
        <v>x00000862</v>
      </c>
      <c r="C541" t="s">
        <v>4</v>
      </c>
      <c r="D541" t="s">
        <v>5272</v>
      </c>
      <c r="E541">
        <v>10</v>
      </c>
      <c r="F541" t="str">
        <f>IF(AND(Entities[[#This Row],[ENT_TYPE]]="County",RIGHT(Entities[[#This Row],[ENT_NAME]],6)&lt;&gt;"County"),_xlfn.TEXTJOIN(" ",TRUE,Entities[[#This Row],[ENT_NAME]],"County"),Entities[[#This Row],[ENT_NAME]])</f>
        <v>Sunfield MUD 1</v>
      </c>
    </row>
    <row r="542" spans="1:6" x14ac:dyDescent="0.25">
      <c r="A542" s="302" t="s">
        <v>5271</v>
      </c>
      <c r="B542" s="303" t="str">
        <f t="shared" si="8"/>
        <v>x00000862</v>
      </c>
      <c r="C542" t="s">
        <v>4</v>
      </c>
      <c r="D542" t="s">
        <v>5272</v>
      </c>
      <c r="E542">
        <v>11</v>
      </c>
      <c r="F542" t="str">
        <f>IF(AND(Entities[[#This Row],[ENT_TYPE]]="County",RIGHT(Entities[[#This Row],[ENT_NAME]],6)&lt;&gt;"County"),_xlfn.TEXTJOIN(" ",TRUE,Entities[[#This Row],[ENT_NAME]],"County"),Entities[[#This Row],[ENT_NAME]])</f>
        <v>Sunfield MUD 1</v>
      </c>
    </row>
    <row r="543" spans="1:6" x14ac:dyDescent="0.25">
      <c r="A543" s="304" t="s">
        <v>5273</v>
      </c>
      <c r="B543" s="303" t="str">
        <f t="shared" si="8"/>
        <v>x00000865</v>
      </c>
      <c r="C543" t="s">
        <v>4</v>
      </c>
      <c r="D543" t="s">
        <v>5274</v>
      </c>
      <c r="E543">
        <v>4</v>
      </c>
      <c r="F543" t="str">
        <f>IF(AND(Entities[[#This Row],[ENT_TYPE]]="County",RIGHT(Entities[[#This Row],[ENT_NAME]],6)&lt;&gt;"County"),_xlfn.TEXTJOIN(" ",TRUE,Entities[[#This Row],[ENT_NAME]],"County"),Entities[[#This Row],[ENT_NAME]])</f>
        <v>Van Zandt County Waste Disposal District</v>
      </c>
    </row>
    <row r="544" spans="1:6" x14ac:dyDescent="0.25">
      <c r="A544" s="302" t="s">
        <v>5273</v>
      </c>
      <c r="B544" s="303" t="str">
        <f t="shared" si="8"/>
        <v>x00000865</v>
      </c>
      <c r="C544" t="s">
        <v>4</v>
      </c>
      <c r="D544" t="s">
        <v>5274</v>
      </c>
      <c r="E544">
        <v>0</v>
      </c>
      <c r="F544" t="str">
        <f>IF(AND(Entities[[#This Row],[ENT_TYPE]]="County",RIGHT(Entities[[#This Row],[ENT_NAME]],6)&lt;&gt;"County"),_xlfn.TEXTJOIN(" ",TRUE,Entities[[#This Row],[ENT_NAME]],"County"),Entities[[#This Row],[ENT_NAME]])</f>
        <v>Van Zandt County Waste Disposal District</v>
      </c>
    </row>
    <row r="545" spans="1:6" x14ac:dyDescent="0.25">
      <c r="A545" s="302" t="s">
        <v>5273</v>
      </c>
      <c r="B545" s="303" t="str">
        <f t="shared" si="8"/>
        <v>x00000865</v>
      </c>
      <c r="C545" t="s">
        <v>4</v>
      </c>
      <c r="D545" t="s">
        <v>5274</v>
      </c>
      <c r="E545">
        <v>3</v>
      </c>
      <c r="F545" t="str">
        <f>IF(AND(Entities[[#This Row],[ENT_TYPE]]="County",RIGHT(Entities[[#This Row],[ENT_NAME]],6)&lt;&gt;"County"),_xlfn.TEXTJOIN(" ",TRUE,Entities[[#This Row],[ENT_NAME]],"County"),Entities[[#This Row],[ENT_NAME]])</f>
        <v>Van Zandt County Waste Disposal District</v>
      </c>
    </row>
    <row r="546" spans="1:6" x14ac:dyDescent="0.25">
      <c r="A546" s="304" t="s">
        <v>5275</v>
      </c>
      <c r="B546" s="303" t="str">
        <f t="shared" si="8"/>
        <v>x00000884</v>
      </c>
      <c r="C546" t="s">
        <v>4</v>
      </c>
      <c r="D546" t="s">
        <v>5276</v>
      </c>
      <c r="E546">
        <v>8</v>
      </c>
      <c r="F546" t="str">
        <f>IF(AND(Entities[[#This Row],[ENT_TYPE]]="County",RIGHT(Entities[[#This Row],[ENT_NAME]],6)&lt;&gt;"County"),_xlfn.TEXTJOIN(" ",TRUE,Entities[[#This Row],[ENT_NAME]],"County"),Entities[[#This Row],[ENT_NAME]])</f>
        <v>Lee-Fayette Counties Cummins Creek WCID 1</v>
      </c>
    </row>
    <row r="547" spans="1:6" x14ac:dyDescent="0.25">
      <c r="A547" s="304" t="s">
        <v>5275</v>
      </c>
      <c r="B547" s="303" t="str">
        <f t="shared" si="8"/>
        <v>x00000884</v>
      </c>
      <c r="C547" t="s">
        <v>5166</v>
      </c>
      <c r="D547" t="s">
        <v>5276</v>
      </c>
      <c r="E547">
        <v>10</v>
      </c>
      <c r="F547" t="str">
        <f>IF(AND(Entities[[#This Row],[ENT_TYPE]]="County",RIGHT(Entities[[#This Row],[ENT_NAME]],6)&lt;&gt;"County"),_xlfn.TEXTJOIN(" ",TRUE,Entities[[#This Row],[ENT_NAME]],"County"),Entities[[#This Row],[ENT_NAME]])</f>
        <v>Lee-Fayette Counties Cummins Creek WCID 1</v>
      </c>
    </row>
    <row r="548" spans="1:6" x14ac:dyDescent="0.25">
      <c r="A548" s="304" t="s">
        <v>5277</v>
      </c>
      <c r="B548" s="303" t="str">
        <f t="shared" si="8"/>
        <v>x00000887</v>
      </c>
      <c r="C548" t="s">
        <v>5166</v>
      </c>
      <c r="D548" t="s">
        <v>5278</v>
      </c>
      <c r="E548">
        <v>6</v>
      </c>
      <c r="F548" t="str">
        <f>IF(AND(Entities[[#This Row],[ENT_TYPE]]="County",RIGHT(Entities[[#This Row],[ENT_NAME]],6)&lt;&gt;"County"),_xlfn.TEXTJOIN(" ",TRUE,Entities[[#This Row],[ENT_NAME]],"County"),Entities[[#This Row],[ENT_NAME]])</f>
        <v>Brazoria County Drainage District 5</v>
      </c>
    </row>
    <row r="549" spans="1:6" x14ac:dyDescent="0.25">
      <c r="A549" s="302" t="s">
        <v>5277</v>
      </c>
      <c r="B549" s="303" t="str">
        <f t="shared" si="8"/>
        <v>x00000887</v>
      </c>
      <c r="C549" t="s">
        <v>4</v>
      </c>
      <c r="D549" t="s">
        <v>5278</v>
      </c>
      <c r="E549">
        <v>8</v>
      </c>
      <c r="F549" t="str">
        <f>IF(AND(Entities[[#This Row],[ENT_TYPE]]="County",RIGHT(Entities[[#This Row],[ENT_NAME]],6)&lt;&gt;"County"),_xlfn.TEXTJOIN(" ",TRUE,Entities[[#This Row],[ENT_NAME]],"County"),Entities[[#This Row],[ENT_NAME]])</f>
        <v>Brazoria County Drainage District 5</v>
      </c>
    </row>
    <row r="550" spans="1:6" x14ac:dyDescent="0.25">
      <c r="A550" s="304" t="s">
        <v>5279</v>
      </c>
      <c r="B550" s="303" t="str">
        <f t="shared" si="8"/>
        <v>x00000890</v>
      </c>
      <c r="C550" t="s">
        <v>5166</v>
      </c>
      <c r="D550" t="s">
        <v>5280</v>
      </c>
      <c r="E550">
        <v>2</v>
      </c>
      <c r="F550" t="str">
        <f>IF(AND(Entities[[#This Row],[ENT_TYPE]]="County",RIGHT(Entities[[#This Row],[ENT_NAME]],6)&lt;&gt;"County"),_xlfn.TEXTJOIN(" ",TRUE,Entities[[#This Row],[ENT_NAME]],"County"),Entities[[#This Row],[ENT_NAME]])</f>
        <v>Choctaw Watershed WID</v>
      </c>
    </row>
    <row r="551" spans="1:6" x14ac:dyDescent="0.25">
      <c r="A551" s="302" t="s">
        <v>5279</v>
      </c>
      <c r="B551" s="303" t="str">
        <f t="shared" si="8"/>
        <v>x00000890</v>
      </c>
      <c r="C551" t="s">
        <v>4</v>
      </c>
      <c r="D551" t="s">
        <v>5280</v>
      </c>
      <c r="E551">
        <v>3</v>
      </c>
      <c r="F551" t="str">
        <f>IF(AND(Entities[[#This Row],[ENT_TYPE]]="County",RIGHT(Entities[[#This Row],[ENT_NAME]],6)&lt;&gt;"County"),_xlfn.TEXTJOIN(" ",TRUE,Entities[[#This Row],[ENT_NAME]],"County"),Entities[[#This Row],[ENT_NAME]])</f>
        <v>Choctaw Watershed WID</v>
      </c>
    </row>
    <row r="552" spans="1:6" x14ac:dyDescent="0.25">
      <c r="A552" s="304" t="s">
        <v>5281</v>
      </c>
      <c r="B552" s="303" t="str">
        <f t="shared" si="8"/>
        <v>x00000896</v>
      </c>
      <c r="C552" t="s">
        <v>4</v>
      </c>
      <c r="D552" t="s">
        <v>5282</v>
      </c>
      <c r="E552">
        <v>8</v>
      </c>
      <c r="F552" t="str">
        <f>IF(AND(Entities[[#This Row],[ENT_TYPE]]="County",RIGHT(Entities[[#This Row],[ENT_NAME]],6)&lt;&gt;"County"),_xlfn.TEXTJOIN(" ",TRUE,Entities[[#This Row],[ENT_NAME]],"County"),Entities[[#This Row],[ENT_NAME]])</f>
        <v>Johnson County SUD</v>
      </c>
    </row>
    <row r="553" spans="1:6" x14ac:dyDescent="0.25">
      <c r="A553" s="302" t="s">
        <v>5281</v>
      </c>
      <c r="B553" s="303" t="str">
        <f t="shared" si="8"/>
        <v>x00000896</v>
      </c>
      <c r="C553" t="s">
        <v>4</v>
      </c>
      <c r="D553" t="s">
        <v>5282</v>
      </c>
      <c r="E553">
        <v>3</v>
      </c>
      <c r="F553" t="str">
        <f>IF(AND(Entities[[#This Row],[ENT_TYPE]]="County",RIGHT(Entities[[#This Row],[ENT_NAME]],6)&lt;&gt;"County"),_xlfn.TEXTJOIN(" ",TRUE,Entities[[#This Row],[ENT_NAME]],"County"),Entities[[#This Row],[ENT_NAME]])</f>
        <v>Johnson County SUD</v>
      </c>
    </row>
    <row r="554" spans="1:6" x14ac:dyDescent="0.25">
      <c r="A554" s="302" t="s">
        <v>5283</v>
      </c>
      <c r="B554" s="303" t="str">
        <f t="shared" si="8"/>
        <v>x00000915</v>
      </c>
      <c r="C554" t="s">
        <v>4</v>
      </c>
      <c r="D554" t="s">
        <v>5284</v>
      </c>
      <c r="E554">
        <v>4</v>
      </c>
      <c r="F554" t="str">
        <f>IF(AND(Entities[[#This Row],[ENT_TYPE]]="County",RIGHT(Entities[[#This Row],[ENT_NAME]],6)&lt;&gt;"County"),_xlfn.TEXTJOIN(" ",TRUE,Entities[[#This Row],[ENT_NAME]],"County"),Entities[[#This Row],[ENT_NAME]])</f>
        <v>Mauriceville Municipal Utility District</v>
      </c>
    </row>
    <row r="555" spans="1:6" x14ac:dyDescent="0.25">
      <c r="A555" s="302" t="s">
        <v>5283</v>
      </c>
      <c r="B555" s="303" t="str">
        <f t="shared" si="8"/>
        <v>x00000915</v>
      </c>
      <c r="C555" t="s">
        <v>4</v>
      </c>
      <c r="D555" t="s">
        <v>5284</v>
      </c>
      <c r="E555">
        <v>0</v>
      </c>
      <c r="F555" t="str">
        <f>IF(AND(Entities[[#This Row],[ENT_TYPE]]="County",RIGHT(Entities[[#This Row],[ENT_NAME]],6)&lt;&gt;"County"),_xlfn.TEXTJOIN(" ",TRUE,Entities[[#This Row],[ENT_NAME]],"County"),Entities[[#This Row],[ENT_NAME]])</f>
        <v>Mauriceville Municipal Utility District</v>
      </c>
    </row>
    <row r="556" spans="1:6" x14ac:dyDescent="0.25">
      <c r="A556" s="304" t="s">
        <v>5285</v>
      </c>
      <c r="B556" s="303" t="str">
        <f t="shared" si="8"/>
        <v>x00000918</v>
      </c>
      <c r="C556" t="s">
        <v>4</v>
      </c>
      <c r="D556" t="s">
        <v>5286</v>
      </c>
      <c r="E556">
        <v>6</v>
      </c>
      <c r="F556" t="str">
        <f>IF(AND(Entities[[#This Row],[ENT_TYPE]]="County",RIGHT(Entities[[#This Row],[ENT_NAME]],6)&lt;&gt;"County"),_xlfn.TEXTJOIN(" ",TRUE,Entities[[#This Row],[ENT_NAME]],"County"),Entities[[#This Row],[ENT_NAME]])</f>
        <v>Fort Bend County FWSD 2</v>
      </c>
    </row>
    <row r="557" spans="1:6" x14ac:dyDescent="0.25">
      <c r="A557" s="304" t="s">
        <v>5285</v>
      </c>
      <c r="B557" s="303" t="str">
        <f t="shared" si="8"/>
        <v>x00000918</v>
      </c>
      <c r="C557" t="s">
        <v>4</v>
      </c>
      <c r="D557" t="s">
        <v>5286</v>
      </c>
      <c r="E557">
        <v>8</v>
      </c>
      <c r="F557" t="str">
        <f>IF(AND(Entities[[#This Row],[ENT_TYPE]]="County",RIGHT(Entities[[#This Row],[ENT_NAME]],6)&lt;&gt;"County"),_xlfn.TEXTJOIN(" ",TRUE,Entities[[#This Row],[ENT_NAME]],"County"),Entities[[#This Row],[ENT_NAME]])</f>
        <v>Fort Bend County FWSD 2</v>
      </c>
    </row>
    <row r="558" spans="1:6" x14ac:dyDescent="0.25">
      <c r="A558" s="304" t="s">
        <v>5287</v>
      </c>
      <c r="B558" s="303" t="str">
        <f t="shared" si="8"/>
        <v>x00000919</v>
      </c>
      <c r="C558" t="s">
        <v>4</v>
      </c>
      <c r="D558" t="s">
        <v>5288</v>
      </c>
      <c r="E558">
        <v>4</v>
      </c>
      <c r="F558" t="str">
        <f>IF(AND(Entities[[#This Row],[ENT_TYPE]]="County",RIGHT(Entities[[#This Row],[ENT_NAME]],6)&lt;&gt;"County"),_xlfn.TEXTJOIN(" ",TRUE,Entities[[#This Row],[ENT_NAME]],"County"),Entities[[#This Row],[ENT_NAME]])</f>
        <v>Orange County Navigation and Port District</v>
      </c>
    </row>
    <row r="559" spans="1:6" x14ac:dyDescent="0.25">
      <c r="A559" s="304" t="s">
        <v>5287</v>
      </c>
      <c r="B559" s="303" t="str">
        <f t="shared" si="8"/>
        <v>x00000919</v>
      </c>
      <c r="C559" t="s">
        <v>4</v>
      </c>
      <c r="D559" t="s">
        <v>5288</v>
      </c>
      <c r="E559">
        <v>0</v>
      </c>
      <c r="F559" t="str">
        <f>IF(AND(Entities[[#This Row],[ENT_TYPE]]="County",RIGHT(Entities[[#This Row],[ENT_NAME]],6)&lt;&gt;"County"),_xlfn.TEXTJOIN(" ",TRUE,Entities[[#This Row],[ENT_NAME]],"County"),Entities[[#This Row],[ENT_NAME]])</f>
        <v>Orange County Navigation and Port District</v>
      </c>
    </row>
    <row r="560" spans="1:6" x14ac:dyDescent="0.25">
      <c r="A560" s="302" t="s">
        <v>5289</v>
      </c>
      <c r="B560" s="303" t="str">
        <f t="shared" si="8"/>
        <v>x00000922</v>
      </c>
      <c r="C560" t="s">
        <v>4</v>
      </c>
      <c r="D560" t="s">
        <v>5290</v>
      </c>
      <c r="E560">
        <v>4</v>
      </c>
      <c r="F560" t="str">
        <f>IF(AND(Entities[[#This Row],[ENT_TYPE]]="County",RIGHT(Entities[[#This Row],[ENT_NAME]],6)&lt;&gt;"County"),_xlfn.TEXTJOIN(" ",TRUE,Entities[[#This Row],[ENT_NAME]],"County"),Entities[[#This Row],[ENT_NAME]])</f>
        <v>Upper Jasper County Water Authority</v>
      </c>
    </row>
    <row r="561" spans="1:6" x14ac:dyDescent="0.25">
      <c r="A561" s="304" t="s">
        <v>5289</v>
      </c>
      <c r="B561" s="303" t="str">
        <f t="shared" si="8"/>
        <v>x00000922</v>
      </c>
      <c r="C561" t="s">
        <v>4</v>
      </c>
      <c r="D561" t="s">
        <v>5290</v>
      </c>
      <c r="E561">
        <v>0</v>
      </c>
      <c r="F561" t="str">
        <f>IF(AND(Entities[[#This Row],[ENT_TYPE]]="County",RIGHT(Entities[[#This Row],[ENT_NAME]],6)&lt;&gt;"County"),_xlfn.TEXTJOIN(" ",TRUE,Entities[[#This Row],[ENT_NAME]],"County"),Entities[[#This Row],[ENT_NAME]])</f>
        <v>Upper Jasper County Water Authority</v>
      </c>
    </row>
    <row r="562" spans="1:6" x14ac:dyDescent="0.25">
      <c r="A562" s="304" t="s">
        <v>5291</v>
      </c>
      <c r="B562" s="303" t="str">
        <f t="shared" si="8"/>
        <v>x00000926</v>
      </c>
      <c r="C562" t="s">
        <v>4</v>
      </c>
      <c r="D562" t="s">
        <v>5292</v>
      </c>
      <c r="E562">
        <v>6</v>
      </c>
      <c r="F562" t="str">
        <f>IF(AND(Entities[[#This Row],[ENT_TYPE]]="County",RIGHT(Entities[[#This Row],[ENT_NAME]],6)&lt;&gt;"County"),_xlfn.TEXTJOIN(" ",TRUE,Entities[[#This Row],[ENT_NAME]],"County"),Entities[[#This Row],[ENT_NAME]])</f>
        <v>Palmer Plantation MUD 2</v>
      </c>
    </row>
    <row r="563" spans="1:6" x14ac:dyDescent="0.25">
      <c r="A563" s="302" t="s">
        <v>5291</v>
      </c>
      <c r="B563" s="303" t="str">
        <f t="shared" si="8"/>
        <v>x00000926</v>
      </c>
      <c r="C563" t="s">
        <v>4</v>
      </c>
      <c r="D563" t="s">
        <v>5292</v>
      </c>
      <c r="E563">
        <v>8</v>
      </c>
      <c r="F563" t="str">
        <f>IF(AND(Entities[[#This Row],[ENT_TYPE]]="County",RIGHT(Entities[[#This Row],[ENT_NAME]],6)&lt;&gt;"County"),_xlfn.TEXTJOIN(" ",TRUE,Entities[[#This Row],[ENT_NAME]],"County"),Entities[[#This Row],[ENT_NAME]])</f>
        <v>Palmer Plantation MUD 2</v>
      </c>
    </row>
    <row r="564" spans="1:6" x14ac:dyDescent="0.25">
      <c r="A564" s="302" t="s">
        <v>5293</v>
      </c>
      <c r="B564" s="303" t="str">
        <f t="shared" si="8"/>
        <v>x00000927</v>
      </c>
      <c r="C564" t="s">
        <v>4</v>
      </c>
      <c r="D564" t="s">
        <v>5294</v>
      </c>
      <c r="E564">
        <v>6</v>
      </c>
      <c r="F564" t="str">
        <f>IF(AND(Entities[[#This Row],[ENT_TYPE]]="County",RIGHT(Entities[[#This Row],[ENT_NAME]],6)&lt;&gt;"County"),_xlfn.TEXTJOIN(" ",TRUE,Entities[[#This Row],[ENT_NAME]],"County"),Entities[[#This Row],[ENT_NAME]])</f>
        <v>Thunderbird Utility District</v>
      </c>
    </row>
    <row r="565" spans="1:6" x14ac:dyDescent="0.25">
      <c r="A565" s="304" t="s">
        <v>5293</v>
      </c>
      <c r="B565" s="303" t="str">
        <f t="shared" si="8"/>
        <v>x00000927</v>
      </c>
      <c r="C565" t="s">
        <v>4</v>
      </c>
      <c r="D565" t="s">
        <v>5294</v>
      </c>
      <c r="E565">
        <v>8</v>
      </c>
      <c r="F565" t="str">
        <f>IF(AND(Entities[[#This Row],[ENT_TYPE]]="County",RIGHT(Entities[[#This Row],[ENT_NAME]],6)&lt;&gt;"County"),_xlfn.TEXTJOIN(" ",TRUE,Entities[[#This Row],[ENT_NAME]],"County"),Entities[[#This Row],[ENT_NAME]])</f>
        <v>Thunderbird Utility District</v>
      </c>
    </row>
    <row r="566" spans="1:6" x14ac:dyDescent="0.25">
      <c r="A566" s="302" t="s">
        <v>5295</v>
      </c>
      <c r="B566" s="303" t="str">
        <f t="shared" si="8"/>
        <v>x00000936</v>
      </c>
      <c r="C566" t="s">
        <v>4</v>
      </c>
      <c r="D566" t="s">
        <v>5296</v>
      </c>
      <c r="E566">
        <v>11</v>
      </c>
      <c r="F566" t="str">
        <f>IF(AND(Entities[[#This Row],[ENT_TYPE]]="County",RIGHT(Entities[[#This Row],[ENT_NAME]],6)&lt;&gt;"County"),_xlfn.TEXTJOIN(" ",TRUE,Entities[[#This Row],[ENT_NAME]],"County"),Entities[[#This Row],[ENT_NAME]])</f>
        <v>Kendall County WCID 2</v>
      </c>
    </row>
    <row r="567" spans="1:6" x14ac:dyDescent="0.25">
      <c r="A567" s="302" t="s">
        <v>5295</v>
      </c>
      <c r="B567" s="303" t="str">
        <f t="shared" si="8"/>
        <v>x00000936</v>
      </c>
      <c r="C567" t="s">
        <v>4</v>
      </c>
      <c r="D567" t="s">
        <v>5296</v>
      </c>
      <c r="E567">
        <v>12</v>
      </c>
      <c r="F567" t="str">
        <f>IF(AND(Entities[[#This Row],[ENT_TYPE]]="County",RIGHT(Entities[[#This Row],[ENT_NAME]],6)&lt;&gt;"County"),_xlfn.TEXTJOIN(" ",TRUE,Entities[[#This Row],[ENT_NAME]],"County"),Entities[[#This Row],[ENT_NAME]])</f>
        <v>Kendall County WCID 2</v>
      </c>
    </row>
    <row r="568" spans="1:6" x14ac:dyDescent="0.25">
      <c r="A568" s="304" t="s">
        <v>5297</v>
      </c>
      <c r="B568" s="303" t="str">
        <f t="shared" si="8"/>
        <v>x00000951</v>
      </c>
      <c r="C568" t="s">
        <v>4</v>
      </c>
      <c r="D568" t="s">
        <v>5298</v>
      </c>
      <c r="E568">
        <v>13</v>
      </c>
      <c r="F568" t="str">
        <f>IF(AND(Entities[[#This Row],[ENT_TYPE]]="County",RIGHT(Entities[[#This Row],[ENT_NAME]],6)&lt;&gt;"County"),_xlfn.TEXTJOIN(" ",TRUE,Entities[[#This Row],[ENT_NAME]],"County"),Entities[[#This Row],[ENT_NAME]])</f>
        <v>Maverick County WCID 1</v>
      </c>
    </row>
    <row r="569" spans="1:6" x14ac:dyDescent="0.25">
      <c r="A569" s="302" t="s">
        <v>5299</v>
      </c>
      <c r="B569" s="303" t="str">
        <f t="shared" si="8"/>
        <v>x00000960</v>
      </c>
      <c r="C569" t="s">
        <v>4</v>
      </c>
      <c r="D569" t="s">
        <v>5300</v>
      </c>
      <c r="E569">
        <v>8</v>
      </c>
      <c r="F569" t="str">
        <f>IF(AND(Entities[[#This Row],[ENT_TYPE]]="County",RIGHT(Entities[[#This Row],[ENT_NAME]],6)&lt;&gt;"County"),_xlfn.TEXTJOIN(" ",TRUE,Entities[[#This Row],[ENT_NAME]],"County"),Entities[[#This Row],[ENT_NAME]])</f>
        <v>Lake Granbury Water Improvement District</v>
      </c>
    </row>
    <row r="570" spans="1:6" x14ac:dyDescent="0.25">
      <c r="A570" s="302" t="s">
        <v>5299</v>
      </c>
      <c r="B570" s="303" t="str">
        <f t="shared" si="8"/>
        <v>x00000960</v>
      </c>
      <c r="C570" t="s">
        <v>4</v>
      </c>
      <c r="D570" t="s">
        <v>5300</v>
      </c>
      <c r="E570">
        <v>3</v>
      </c>
      <c r="F570" t="str">
        <f>IF(AND(Entities[[#This Row],[ENT_TYPE]]="County",RIGHT(Entities[[#This Row],[ENT_NAME]],6)&lt;&gt;"County"),_xlfn.TEXTJOIN(" ",TRUE,Entities[[#This Row],[ENT_NAME]],"County"),Entities[[#This Row],[ENT_NAME]])</f>
        <v>Lake Granbury Water Improvement District</v>
      </c>
    </row>
    <row r="571" spans="1:6" x14ac:dyDescent="0.25">
      <c r="A571" s="304" t="s">
        <v>5301</v>
      </c>
      <c r="B571" s="303" t="str">
        <f t="shared" si="8"/>
        <v>x00000965</v>
      </c>
      <c r="C571" t="s">
        <v>4</v>
      </c>
      <c r="D571" t="s">
        <v>5302</v>
      </c>
      <c r="E571">
        <v>8</v>
      </c>
      <c r="F571" t="str">
        <f>IF(AND(Entities[[#This Row],[ENT_TYPE]]="County",RIGHT(Entities[[#This Row],[ENT_NAME]],6)&lt;&gt;"County"),_xlfn.TEXTJOIN(" ",TRUE,Entities[[#This Row],[ENT_NAME]],"County"),Entities[[#This Row],[ENT_NAME]])</f>
        <v>Wells Branch MUD</v>
      </c>
    </row>
    <row r="572" spans="1:6" x14ac:dyDescent="0.25">
      <c r="A572" s="302" t="s">
        <v>5301</v>
      </c>
      <c r="B572" s="303" t="str">
        <f t="shared" si="8"/>
        <v>x00000965</v>
      </c>
      <c r="C572" t="s">
        <v>4</v>
      </c>
      <c r="D572" t="s">
        <v>5302</v>
      </c>
      <c r="E572">
        <v>10</v>
      </c>
      <c r="F572" t="str">
        <f>IF(AND(Entities[[#This Row],[ENT_TYPE]]="County",RIGHT(Entities[[#This Row],[ENT_NAME]],6)&lt;&gt;"County"),_xlfn.TEXTJOIN(" ",TRUE,Entities[[#This Row],[ENT_NAME]],"County"),Entities[[#This Row],[ENT_NAME]])</f>
        <v>Wells Branch MUD</v>
      </c>
    </row>
    <row r="573" spans="1:6" x14ac:dyDescent="0.25">
      <c r="A573" s="304" t="s">
        <v>5303</v>
      </c>
      <c r="B573" s="303" t="str">
        <f t="shared" si="8"/>
        <v>x00000979</v>
      </c>
      <c r="C573" t="s">
        <v>4</v>
      </c>
      <c r="D573" t="s">
        <v>5304</v>
      </c>
      <c r="E573">
        <v>8</v>
      </c>
      <c r="F573" t="str">
        <f>IF(AND(Entities[[#This Row],[ENT_TYPE]]="County",RIGHT(Entities[[#This Row],[ENT_NAME]],6)&lt;&gt;"County"),_xlfn.TEXTJOIN(" ",TRUE,Entities[[#This Row],[ENT_NAME]],"County"),Entities[[#This Row],[ENT_NAME]])</f>
        <v>North Austin MUD 1</v>
      </c>
    </row>
    <row r="574" spans="1:6" x14ac:dyDescent="0.25">
      <c r="A574" s="302" t="s">
        <v>5305</v>
      </c>
      <c r="B574" s="303" t="str">
        <f t="shared" si="8"/>
        <v>x00000985</v>
      </c>
      <c r="C574" t="s">
        <v>4</v>
      </c>
      <c r="D574" t="s">
        <v>5306</v>
      </c>
      <c r="E574">
        <v>8</v>
      </c>
      <c r="F574" t="str">
        <f>IF(AND(Entities[[#This Row],[ENT_TYPE]]="County",RIGHT(Entities[[#This Row],[ENT_NAME]],6)&lt;&gt;"County"),_xlfn.TEXTJOIN(" ",TRUE,Entities[[#This Row],[ENT_NAME]],"County"),Entities[[#This Row],[ENT_NAME]])</f>
        <v>Williamson-Travis Counties MUD 1</v>
      </c>
    </row>
    <row r="575" spans="1:6" x14ac:dyDescent="0.25">
      <c r="A575" s="304" t="s">
        <v>5305</v>
      </c>
      <c r="B575" s="303" t="str">
        <f t="shared" si="8"/>
        <v>x00000985</v>
      </c>
      <c r="C575" t="s">
        <v>4</v>
      </c>
      <c r="D575" t="s">
        <v>5306</v>
      </c>
      <c r="E575">
        <v>10</v>
      </c>
      <c r="F575" t="str">
        <f>IF(AND(Entities[[#This Row],[ENT_TYPE]]="County",RIGHT(Entities[[#This Row],[ENT_NAME]],6)&lt;&gt;"County"),_xlfn.TEXTJOIN(" ",TRUE,Entities[[#This Row],[ENT_NAME]],"County"),Entities[[#This Row],[ENT_NAME]])</f>
        <v>Williamson-Travis Counties MUD 1</v>
      </c>
    </row>
    <row r="576" spans="1:6" x14ac:dyDescent="0.25">
      <c r="A576" s="302" t="s">
        <v>5307</v>
      </c>
      <c r="B576" s="303" t="str">
        <f t="shared" si="8"/>
        <v>x00001006</v>
      </c>
      <c r="C576" t="s">
        <v>4</v>
      </c>
      <c r="D576" t="s">
        <v>5308</v>
      </c>
      <c r="E576">
        <v>11</v>
      </c>
      <c r="F576" t="str">
        <f>IF(AND(Entities[[#This Row],[ENT_TYPE]]="County",RIGHT(Entities[[#This Row],[ENT_NAME]],6)&lt;&gt;"County"),_xlfn.TEXTJOIN(" ",TRUE,Entities[[#This Row],[ENT_NAME]],"County"),Entities[[#This Row],[ENT_NAME]])</f>
        <v>Ecleto Creek Watershed District</v>
      </c>
    </row>
    <row r="577" spans="1:6" x14ac:dyDescent="0.25">
      <c r="A577" s="302" t="s">
        <v>5307</v>
      </c>
      <c r="B577" s="303" t="str">
        <f t="shared" si="8"/>
        <v>x00001006</v>
      </c>
      <c r="C577" t="s">
        <v>4</v>
      </c>
      <c r="D577" t="s">
        <v>5308</v>
      </c>
      <c r="E577">
        <v>12</v>
      </c>
      <c r="F577" t="str">
        <f>IF(AND(Entities[[#This Row],[ENT_TYPE]]="County",RIGHT(Entities[[#This Row],[ENT_NAME]],6)&lt;&gt;"County"),_xlfn.TEXTJOIN(" ",TRUE,Entities[[#This Row],[ENT_NAME]],"County"),Entities[[#This Row],[ENT_NAME]])</f>
        <v>Ecleto Creek Watershed District</v>
      </c>
    </row>
    <row r="578" spans="1:6" x14ac:dyDescent="0.25">
      <c r="A578" s="302" t="s">
        <v>5309</v>
      </c>
      <c r="B578" s="303" t="str">
        <f t="shared" ref="B578:B641" si="9">_xlfn.CONCAT("x",TEXT(A578,"00000000"))</f>
        <v>x00001008</v>
      </c>
      <c r="C578" t="s">
        <v>4</v>
      </c>
      <c r="D578" t="s">
        <v>5310</v>
      </c>
      <c r="E578">
        <v>8</v>
      </c>
      <c r="F578" t="str">
        <f>IF(AND(Entities[[#This Row],[ENT_TYPE]]="County",RIGHT(Entities[[#This Row],[ENT_NAME]],6)&lt;&gt;"County"),_xlfn.TEXTJOIN(" ",TRUE,Entities[[#This Row],[ENT_NAME]],"County"),Entities[[#This Row],[ENT_NAME]])</f>
        <v>Anderson Mill Limited District</v>
      </c>
    </row>
    <row r="579" spans="1:6" x14ac:dyDescent="0.25">
      <c r="A579" s="302" t="s">
        <v>5311</v>
      </c>
      <c r="B579" s="303" t="str">
        <f t="shared" si="9"/>
        <v>x00001043</v>
      </c>
      <c r="C579" t="s">
        <v>4</v>
      </c>
      <c r="D579" t="s">
        <v>5312</v>
      </c>
      <c r="E579">
        <v>8</v>
      </c>
      <c r="F579" t="str">
        <f>IF(AND(Entities[[#This Row],[ENT_TYPE]]="County",RIGHT(Entities[[#This Row],[ENT_NAME]],6)&lt;&gt;"County"),_xlfn.TEXTJOIN(" ",TRUE,Entities[[#This Row],[ENT_NAME]],"County"),Entities[[#This Row],[ENT_NAME]])</f>
        <v>Brazoria County FWSD 1</v>
      </c>
    </row>
    <row r="580" spans="1:6" x14ac:dyDescent="0.25">
      <c r="A580" s="302" t="s">
        <v>5311</v>
      </c>
      <c r="B580" s="303" t="str">
        <f t="shared" si="9"/>
        <v>x00001043</v>
      </c>
      <c r="C580" t="s">
        <v>4</v>
      </c>
      <c r="D580" t="s">
        <v>5312</v>
      </c>
      <c r="E580">
        <v>10</v>
      </c>
      <c r="F580" t="str">
        <f>IF(AND(Entities[[#This Row],[ENT_TYPE]]="County",RIGHT(Entities[[#This Row],[ENT_NAME]],6)&lt;&gt;"County"),_xlfn.TEXTJOIN(" ",TRUE,Entities[[#This Row],[ENT_NAME]],"County"),Entities[[#This Row],[ENT_NAME]])</f>
        <v>Brazoria County FWSD 1</v>
      </c>
    </row>
    <row r="581" spans="1:6" x14ac:dyDescent="0.25">
      <c r="A581" s="302" t="s">
        <v>5313</v>
      </c>
      <c r="B581" s="303" t="str">
        <f t="shared" si="9"/>
        <v>x00001048</v>
      </c>
      <c r="C581" t="s">
        <v>4</v>
      </c>
      <c r="D581" t="s">
        <v>5314</v>
      </c>
      <c r="E581">
        <v>8</v>
      </c>
      <c r="F581" t="str">
        <f>IF(AND(Entities[[#This Row],[ENT_TYPE]]="County",RIGHT(Entities[[#This Row],[ENT_NAME]],6)&lt;&gt;"County"),_xlfn.TEXTJOIN(" ",TRUE,Entities[[#This Row],[ENT_NAME]],"County"),Entities[[#This Row],[ENT_NAME]])</f>
        <v>East Keechi Creek WCID 1</v>
      </c>
    </row>
    <row r="582" spans="1:6" x14ac:dyDescent="0.25">
      <c r="A582" s="302" t="s">
        <v>5313</v>
      </c>
      <c r="B582" s="303" t="str">
        <f t="shared" si="9"/>
        <v>x00001048</v>
      </c>
      <c r="C582" t="s">
        <v>4</v>
      </c>
      <c r="D582" t="s">
        <v>5314</v>
      </c>
      <c r="E582">
        <v>3</v>
      </c>
      <c r="F582" t="str">
        <f>IF(AND(Entities[[#This Row],[ENT_TYPE]]="County",RIGHT(Entities[[#This Row],[ENT_NAME]],6)&lt;&gt;"County"),_xlfn.TEXTJOIN(" ",TRUE,Entities[[#This Row],[ENT_NAME]],"County"),Entities[[#This Row],[ENT_NAME]])</f>
        <v>East Keechi Creek WCID 1</v>
      </c>
    </row>
    <row r="583" spans="1:6" x14ac:dyDescent="0.25">
      <c r="A583" s="302" t="s">
        <v>5315</v>
      </c>
      <c r="B583" s="303" t="str">
        <f t="shared" si="9"/>
        <v>x00001060</v>
      </c>
      <c r="C583" t="s">
        <v>4</v>
      </c>
      <c r="D583" t="s">
        <v>5316</v>
      </c>
      <c r="E583">
        <v>11</v>
      </c>
      <c r="F583" t="str">
        <f>IF(AND(Entities[[#This Row],[ENT_TYPE]]="County",RIGHT(Entities[[#This Row],[ENT_NAME]],6)&lt;&gt;"County"),_xlfn.TEXTJOIN(" ",TRUE,Entities[[#This Row],[ENT_NAME]],"County"),Entities[[#This Row],[ENT_NAME]])</f>
        <v>Sunfield MUD 2</v>
      </c>
    </row>
    <row r="584" spans="1:6" x14ac:dyDescent="0.25">
      <c r="A584" s="304" t="s">
        <v>5317</v>
      </c>
      <c r="B584" s="303" t="str">
        <f t="shared" si="9"/>
        <v>x00001082</v>
      </c>
      <c r="C584" t="s">
        <v>4</v>
      </c>
      <c r="D584" t="s">
        <v>5318</v>
      </c>
      <c r="E584">
        <v>4</v>
      </c>
      <c r="F584" t="str">
        <f>IF(AND(Entities[[#This Row],[ENT_TYPE]]="County",RIGHT(Entities[[#This Row],[ENT_NAME]],6)&lt;&gt;"County"),_xlfn.TEXTJOIN(" ",TRUE,Entities[[#This Row],[ENT_NAME]],"County"),Entities[[#This Row],[ENT_NAME]])</f>
        <v>Shelby County FWSD 1</v>
      </c>
    </row>
    <row r="585" spans="1:6" x14ac:dyDescent="0.25">
      <c r="A585" s="304" t="s">
        <v>5317</v>
      </c>
      <c r="B585" s="303" t="str">
        <f t="shared" si="9"/>
        <v>x00001082</v>
      </c>
      <c r="C585" t="s">
        <v>4</v>
      </c>
      <c r="D585" t="s">
        <v>5318</v>
      </c>
      <c r="E585">
        <v>0</v>
      </c>
      <c r="F585" t="str">
        <f>IF(AND(Entities[[#This Row],[ENT_TYPE]]="County",RIGHT(Entities[[#This Row],[ENT_NAME]],6)&lt;&gt;"County"),_xlfn.TEXTJOIN(" ",TRUE,Entities[[#This Row],[ENT_NAME]],"County"),Entities[[#This Row],[ENT_NAME]])</f>
        <v>Shelby County FWSD 1</v>
      </c>
    </row>
    <row r="586" spans="1:6" x14ac:dyDescent="0.25">
      <c r="A586" s="304" t="s">
        <v>5319</v>
      </c>
      <c r="B586" s="303" t="str">
        <f t="shared" si="9"/>
        <v>x00001104</v>
      </c>
      <c r="C586" t="s">
        <v>4</v>
      </c>
      <c r="D586" t="s">
        <v>5320</v>
      </c>
      <c r="E586">
        <v>6</v>
      </c>
      <c r="F586" t="str">
        <f>IF(AND(Entities[[#This Row],[ENT_TYPE]]="County",RIGHT(Entities[[#This Row],[ENT_NAME]],6)&lt;&gt;"County"),_xlfn.TEXTJOIN(" ",TRUE,Entities[[#This Row],[ENT_NAME]],"County"),Entities[[#This Row],[ENT_NAME]])</f>
        <v>Fort Bend County FWSD 1</v>
      </c>
    </row>
    <row r="587" spans="1:6" x14ac:dyDescent="0.25">
      <c r="A587" s="302" t="s">
        <v>5319</v>
      </c>
      <c r="B587" s="303" t="str">
        <f t="shared" si="9"/>
        <v>x00001104</v>
      </c>
      <c r="C587" t="s">
        <v>4</v>
      </c>
      <c r="D587" t="s">
        <v>5320</v>
      </c>
      <c r="E587">
        <v>8</v>
      </c>
      <c r="F587" t="str">
        <f>IF(AND(Entities[[#This Row],[ENT_TYPE]]="County",RIGHT(Entities[[#This Row],[ENT_NAME]],6)&lt;&gt;"County"),_xlfn.TEXTJOIN(" ",TRUE,Entities[[#This Row],[ENT_NAME]],"County"),Entities[[#This Row],[ENT_NAME]])</f>
        <v>Fort Bend County FWSD 1</v>
      </c>
    </row>
    <row r="588" spans="1:6" x14ac:dyDescent="0.25">
      <c r="A588" s="302" t="s">
        <v>5321</v>
      </c>
      <c r="B588" s="303" t="str">
        <f t="shared" si="9"/>
        <v>x00001108</v>
      </c>
      <c r="C588" t="s">
        <v>5166</v>
      </c>
      <c r="D588" t="s">
        <v>5322</v>
      </c>
      <c r="E588">
        <v>2</v>
      </c>
      <c r="F588" t="str">
        <f>IF(AND(Entities[[#This Row],[ENT_TYPE]]="County",RIGHT(Entities[[#This Row],[ENT_NAME]],6)&lt;&gt;"County"),_xlfn.TEXTJOIN(" ",TRUE,Entities[[#This Row],[ENT_NAME]],"County"),Entities[[#This Row],[ENT_NAME]])</f>
        <v>Franklin County Water District</v>
      </c>
    </row>
    <row r="589" spans="1:6" x14ac:dyDescent="0.25">
      <c r="A589" s="302" t="s">
        <v>5321</v>
      </c>
      <c r="B589" s="303" t="str">
        <f t="shared" si="9"/>
        <v>x00001108</v>
      </c>
      <c r="C589" t="s">
        <v>4</v>
      </c>
      <c r="D589" t="s">
        <v>5322</v>
      </c>
      <c r="E589">
        <v>4</v>
      </c>
      <c r="F589" t="str">
        <f>IF(AND(Entities[[#This Row],[ENT_TYPE]]="County",RIGHT(Entities[[#This Row],[ENT_NAME]],6)&lt;&gt;"County"),_xlfn.TEXTJOIN(" ",TRUE,Entities[[#This Row],[ENT_NAME]],"County"),Entities[[#This Row],[ENT_NAME]])</f>
        <v>Franklin County Water District</v>
      </c>
    </row>
    <row r="590" spans="1:6" x14ac:dyDescent="0.25">
      <c r="A590" s="302" t="s">
        <v>5323</v>
      </c>
      <c r="B590" s="303" t="str">
        <f t="shared" si="9"/>
        <v>x00001133</v>
      </c>
      <c r="C590" t="s">
        <v>4</v>
      </c>
      <c r="D590" t="s">
        <v>5324</v>
      </c>
      <c r="E590">
        <v>11</v>
      </c>
      <c r="F590" t="str">
        <f>IF(AND(Entities[[#This Row],[ENT_TYPE]]="County",RIGHT(Entities[[#This Row],[ENT_NAME]],6)&lt;&gt;"County"),_xlfn.TEXTJOIN(" ",TRUE,Entities[[#This Row],[ENT_NAME]],"County"),Entities[[#This Row],[ENT_NAME]])</f>
        <v>Sunfield MUD 3</v>
      </c>
    </row>
    <row r="591" spans="1:6" x14ac:dyDescent="0.25">
      <c r="A591" s="304" t="s">
        <v>5325</v>
      </c>
      <c r="B591" s="303" t="str">
        <f t="shared" si="9"/>
        <v>x00001153</v>
      </c>
      <c r="C591" t="s">
        <v>4</v>
      </c>
      <c r="D591" t="s">
        <v>5326</v>
      </c>
      <c r="E591">
        <v>6</v>
      </c>
      <c r="F591" t="str">
        <f>IF(AND(Entities[[#This Row],[ENT_TYPE]]="County",RIGHT(Entities[[#This Row],[ENT_NAME]],6)&lt;&gt;"County"),_xlfn.TEXTJOIN(" ",TRUE,Entities[[#This Row],[ENT_NAME]],"County"),Entities[[#This Row],[ENT_NAME]])</f>
        <v>Fort Bend County LID 12</v>
      </c>
    </row>
    <row r="592" spans="1:6" x14ac:dyDescent="0.25">
      <c r="A592" s="304" t="s">
        <v>5325</v>
      </c>
      <c r="B592" s="303" t="str">
        <f t="shared" si="9"/>
        <v>x00001153</v>
      </c>
      <c r="C592" t="s">
        <v>4</v>
      </c>
      <c r="D592" t="s">
        <v>5326</v>
      </c>
      <c r="E592">
        <v>8</v>
      </c>
      <c r="F592" t="str">
        <f>IF(AND(Entities[[#This Row],[ENT_TYPE]]="County",RIGHT(Entities[[#This Row],[ENT_NAME]],6)&lt;&gt;"County"),_xlfn.TEXTJOIN(" ",TRUE,Entities[[#This Row],[ENT_NAME]],"County"),Entities[[#This Row],[ENT_NAME]])</f>
        <v>Fort Bend County LID 12</v>
      </c>
    </row>
    <row r="593" spans="1:6" x14ac:dyDescent="0.25">
      <c r="A593" s="304" t="s">
        <v>5327</v>
      </c>
      <c r="B593" s="303" t="str">
        <f t="shared" si="9"/>
        <v>x00001176</v>
      </c>
      <c r="C593" t="s">
        <v>4</v>
      </c>
      <c r="D593" t="s">
        <v>5328</v>
      </c>
      <c r="E593">
        <v>6</v>
      </c>
      <c r="F593" t="str">
        <f>IF(AND(Entities[[#This Row],[ENT_TYPE]]="County",RIGHT(Entities[[#This Row],[ENT_NAME]],6)&lt;&gt;"County"),_xlfn.TEXTJOIN(" ",TRUE,Entities[[#This Row],[ENT_NAME]],"County"),Entities[[#This Row],[ENT_NAME]])</f>
        <v>Burney Road MUD</v>
      </c>
    </row>
    <row r="594" spans="1:6" x14ac:dyDescent="0.25">
      <c r="A594" s="302" t="s">
        <v>5327</v>
      </c>
      <c r="B594" s="303" t="str">
        <f t="shared" si="9"/>
        <v>x00001176</v>
      </c>
      <c r="C594" t="s">
        <v>4</v>
      </c>
      <c r="D594" t="s">
        <v>5328</v>
      </c>
      <c r="E594">
        <v>8</v>
      </c>
      <c r="F594" t="str">
        <f>IF(AND(Entities[[#This Row],[ENT_TYPE]]="County",RIGHT(Entities[[#This Row],[ENT_NAME]],6)&lt;&gt;"County"),_xlfn.TEXTJOIN(" ",TRUE,Entities[[#This Row],[ENT_NAME]],"County"),Entities[[#This Row],[ENT_NAME]])</f>
        <v>Burney Road MUD</v>
      </c>
    </row>
    <row r="595" spans="1:6" x14ac:dyDescent="0.25">
      <c r="A595" s="302" t="s">
        <v>5329</v>
      </c>
      <c r="B595" s="303" t="str">
        <f t="shared" si="9"/>
        <v>x00001195</v>
      </c>
      <c r="C595" t="s">
        <v>4</v>
      </c>
      <c r="D595" t="s">
        <v>5330</v>
      </c>
      <c r="E595">
        <v>6</v>
      </c>
      <c r="F595" t="str">
        <f>IF(AND(Entities[[#This Row],[ENT_TYPE]]="County",RIGHT(Entities[[#This Row],[ENT_NAME]],6)&lt;&gt;"County"),_xlfn.TEXTJOIN(" ",TRUE,Entities[[#This Row],[ENT_NAME]],"County"),Entities[[#This Row],[ENT_NAME]])</f>
        <v>Meadowcreek MUD</v>
      </c>
    </row>
    <row r="596" spans="1:6" x14ac:dyDescent="0.25">
      <c r="A596" s="304" t="s">
        <v>5329</v>
      </c>
      <c r="B596" s="303" t="str">
        <f t="shared" si="9"/>
        <v>x00001195</v>
      </c>
      <c r="C596" t="s">
        <v>4</v>
      </c>
      <c r="D596" t="s">
        <v>5330</v>
      </c>
      <c r="E596">
        <v>8</v>
      </c>
      <c r="F596" t="str">
        <f>IF(AND(Entities[[#This Row],[ENT_TYPE]]="County",RIGHT(Entities[[#This Row],[ENT_NAME]],6)&lt;&gt;"County"),_xlfn.TEXTJOIN(" ",TRUE,Entities[[#This Row],[ENT_NAME]],"County"),Entities[[#This Row],[ENT_NAME]])</f>
        <v>Meadowcreek MUD</v>
      </c>
    </row>
    <row r="597" spans="1:6" x14ac:dyDescent="0.25">
      <c r="A597" s="302" t="s">
        <v>5331</v>
      </c>
      <c r="B597" s="303" t="str">
        <f t="shared" si="9"/>
        <v>x00001210</v>
      </c>
      <c r="C597" t="s">
        <v>4</v>
      </c>
      <c r="D597" t="s">
        <v>5332</v>
      </c>
      <c r="E597">
        <v>6</v>
      </c>
      <c r="F597" t="str">
        <f>IF(AND(Entities[[#This Row],[ENT_TYPE]]="County",RIGHT(Entities[[#This Row],[ENT_NAME]],6)&lt;&gt;"County"),_xlfn.TEXTJOIN(" ",TRUE,Entities[[#This Row],[ENT_NAME]],"County"),Entities[[#This Row],[ENT_NAME]])</f>
        <v>Fort Bend County MUD 23</v>
      </c>
    </row>
    <row r="598" spans="1:6" x14ac:dyDescent="0.25">
      <c r="A598" s="304" t="s">
        <v>5331</v>
      </c>
      <c r="B598" s="303" t="str">
        <f t="shared" si="9"/>
        <v>x00001210</v>
      </c>
      <c r="C598" t="s">
        <v>4</v>
      </c>
      <c r="D598" t="s">
        <v>5332</v>
      </c>
      <c r="E598">
        <v>8</v>
      </c>
      <c r="F598" t="str">
        <f>IF(AND(Entities[[#This Row],[ENT_TYPE]]="County",RIGHT(Entities[[#This Row],[ENT_NAME]],6)&lt;&gt;"County"),_xlfn.TEXTJOIN(" ",TRUE,Entities[[#This Row],[ENT_NAME]],"County"),Entities[[#This Row],[ENT_NAME]])</f>
        <v>Fort Bend County MUD 23</v>
      </c>
    </row>
    <row r="599" spans="1:6" x14ac:dyDescent="0.25">
      <c r="A599" s="302" t="s">
        <v>5333</v>
      </c>
      <c r="B599" s="303" t="str">
        <f t="shared" si="9"/>
        <v>x00001213</v>
      </c>
      <c r="C599" t="s">
        <v>4</v>
      </c>
      <c r="D599" t="s">
        <v>5334</v>
      </c>
      <c r="E599">
        <v>6</v>
      </c>
      <c r="F599" t="str">
        <f>IF(AND(Entities[[#This Row],[ENT_TYPE]]="County",RIGHT(Entities[[#This Row],[ENT_NAME]],6)&lt;&gt;"County"),_xlfn.TEXTJOIN(" ",TRUE,Entities[[#This Row],[ENT_NAME]],"County"),Entities[[#This Row],[ENT_NAME]])</f>
        <v>Phelps SUD</v>
      </c>
    </row>
    <row r="600" spans="1:6" x14ac:dyDescent="0.25">
      <c r="A600" s="302" t="s">
        <v>5333</v>
      </c>
      <c r="B600" s="303" t="str">
        <f t="shared" si="9"/>
        <v>x00001213</v>
      </c>
      <c r="C600" t="s">
        <v>4</v>
      </c>
      <c r="D600" t="s">
        <v>5334</v>
      </c>
      <c r="E600">
        <v>3</v>
      </c>
      <c r="F600" t="str">
        <f>IF(AND(Entities[[#This Row],[ENT_TYPE]]="County",RIGHT(Entities[[#This Row],[ENT_NAME]],6)&lt;&gt;"County"),_xlfn.TEXTJOIN(" ",TRUE,Entities[[#This Row],[ENT_NAME]],"County"),Entities[[#This Row],[ENT_NAME]])</f>
        <v>Phelps SUD</v>
      </c>
    </row>
    <row r="601" spans="1:6" x14ac:dyDescent="0.25">
      <c r="A601" s="304" t="s">
        <v>5335</v>
      </c>
      <c r="B601" s="303" t="str">
        <f t="shared" si="9"/>
        <v>x00001216</v>
      </c>
      <c r="C601" t="s">
        <v>4</v>
      </c>
      <c r="D601" t="s">
        <v>5336</v>
      </c>
      <c r="E601">
        <v>0</v>
      </c>
      <c r="F601" t="str">
        <f>IF(AND(Entities[[#This Row],[ENT_TYPE]]="County",RIGHT(Entities[[#This Row],[ENT_NAME]],6)&lt;&gt;"County"),_xlfn.TEXTJOIN(" ",TRUE,Entities[[#This Row],[ENT_NAME]],"County"),Entities[[#This Row],[ENT_NAME]])</f>
        <v>Bowie Water Supply District</v>
      </c>
    </row>
    <row r="602" spans="1:6" x14ac:dyDescent="0.25">
      <c r="A602" s="302" t="s">
        <v>5335</v>
      </c>
      <c r="B602" s="303" t="str">
        <f t="shared" si="9"/>
        <v>x00001216</v>
      </c>
      <c r="C602" t="s">
        <v>4</v>
      </c>
      <c r="D602" t="s">
        <v>5336</v>
      </c>
      <c r="E602">
        <v>3</v>
      </c>
      <c r="F602" t="str">
        <f>IF(AND(Entities[[#This Row],[ENT_TYPE]]="County",RIGHT(Entities[[#This Row],[ENT_NAME]],6)&lt;&gt;"County"),_xlfn.TEXTJOIN(" ",TRUE,Entities[[#This Row],[ENT_NAME]],"County"),Entities[[#This Row],[ENT_NAME]])</f>
        <v>Bowie Water Supply District</v>
      </c>
    </row>
    <row r="603" spans="1:6" x14ac:dyDescent="0.25">
      <c r="A603" s="302" t="s">
        <v>5337</v>
      </c>
      <c r="B603" s="303" t="str">
        <f t="shared" si="9"/>
        <v>x00001240</v>
      </c>
      <c r="C603" t="s">
        <v>4</v>
      </c>
      <c r="D603" t="s">
        <v>5338</v>
      </c>
      <c r="E603">
        <v>14</v>
      </c>
      <c r="F603" t="str">
        <f>IF(AND(Entities[[#This Row],[ENT_TYPE]]="County",RIGHT(Entities[[#This Row],[ENT_NAME]],6)&lt;&gt;"County"),_xlfn.TEXTJOIN(" ",TRUE,Entities[[#This Row],[ENT_NAME]],"County"),Entities[[#This Row],[ENT_NAME]])</f>
        <v>Reagan County WSD</v>
      </c>
    </row>
    <row r="604" spans="1:6" x14ac:dyDescent="0.25">
      <c r="A604" s="302" t="s">
        <v>5337</v>
      </c>
      <c r="B604" s="303" t="str">
        <f t="shared" si="9"/>
        <v>x00001240</v>
      </c>
      <c r="C604" t="s">
        <v>4</v>
      </c>
      <c r="D604" t="s">
        <v>5338</v>
      </c>
      <c r="E604">
        <v>0</v>
      </c>
      <c r="F604" t="str">
        <f>IF(AND(Entities[[#This Row],[ENT_TYPE]]="County",RIGHT(Entities[[#This Row],[ENT_NAME]],6)&lt;&gt;"County"),_xlfn.TEXTJOIN(" ",TRUE,Entities[[#This Row],[ENT_NAME]],"County"),Entities[[#This Row],[ENT_NAME]])</f>
        <v>Reagan County WSD</v>
      </c>
    </row>
    <row r="605" spans="1:6" x14ac:dyDescent="0.25">
      <c r="A605" s="302" t="s">
        <v>5339</v>
      </c>
      <c r="B605" s="303" t="str">
        <f t="shared" si="9"/>
        <v>x00001265</v>
      </c>
      <c r="C605" t="s">
        <v>4</v>
      </c>
      <c r="D605" t="s">
        <v>5340</v>
      </c>
      <c r="E605">
        <v>4</v>
      </c>
      <c r="F605" t="str">
        <f>IF(AND(Entities[[#This Row],[ENT_TYPE]]="County",RIGHT(Entities[[#This Row],[ENT_NAME]],6)&lt;&gt;"County"),_xlfn.TEXTJOIN(" ",TRUE,Entities[[#This Row],[ENT_NAME]],"County"),Entities[[#This Row],[ENT_NAME]])</f>
        <v>Rockwall County Consolidated MUD 1</v>
      </c>
    </row>
    <row r="606" spans="1:6" x14ac:dyDescent="0.25">
      <c r="A606" s="302" t="s">
        <v>5339</v>
      </c>
      <c r="B606" s="303" t="str">
        <f t="shared" si="9"/>
        <v>x00001265</v>
      </c>
      <c r="C606" t="s">
        <v>4</v>
      </c>
      <c r="D606" t="s">
        <v>5340</v>
      </c>
      <c r="E606">
        <v>3</v>
      </c>
      <c r="F606" t="str">
        <f>IF(AND(Entities[[#This Row],[ENT_TYPE]]="County",RIGHT(Entities[[#This Row],[ENT_NAME]],6)&lt;&gt;"County"),_xlfn.TEXTJOIN(" ",TRUE,Entities[[#This Row],[ENT_NAME]],"County"),Entities[[#This Row],[ENT_NAME]])</f>
        <v>Rockwall County Consolidated MUD 1</v>
      </c>
    </row>
    <row r="607" spans="1:6" x14ac:dyDescent="0.25">
      <c r="A607" s="304" t="s">
        <v>5341</v>
      </c>
      <c r="B607" s="303" t="str">
        <f t="shared" si="9"/>
        <v>x00001276</v>
      </c>
      <c r="C607" t="s">
        <v>4</v>
      </c>
      <c r="D607" t="s">
        <v>5342</v>
      </c>
      <c r="E607">
        <v>6</v>
      </c>
      <c r="F607" t="str">
        <f>IF(AND(Entities[[#This Row],[ENT_TYPE]]="County",RIGHT(Entities[[#This Row],[ENT_NAME]],6)&lt;&gt;"County"),_xlfn.TEXTJOIN(" ",TRUE,Entities[[#This Row],[ENT_NAME]],"County"),Entities[[#This Row],[ENT_NAME]])</f>
        <v>North Mission Glen MUD</v>
      </c>
    </row>
    <row r="608" spans="1:6" x14ac:dyDescent="0.25">
      <c r="A608" s="304" t="s">
        <v>5341</v>
      </c>
      <c r="B608" s="303" t="str">
        <f t="shared" si="9"/>
        <v>x00001276</v>
      </c>
      <c r="C608" t="s">
        <v>4</v>
      </c>
      <c r="D608" t="s">
        <v>5342</v>
      </c>
      <c r="E608">
        <v>8</v>
      </c>
      <c r="F608" t="str">
        <f>IF(AND(Entities[[#This Row],[ENT_TYPE]]="County",RIGHT(Entities[[#This Row],[ENT_NAME]],6)&lt;&gt;"County"),_xlfn.TEXTJOIN(" ",TRUE,Entities[[#This Row],[ENT_NAME]],"County"),Entities[[#This Row],[ENT_NAME]])</f>
        <v>North Mission Glen MUD</v>
      </c>
    </row>
    <row r="609" spans="1:6" x14ac:dyDescent="0.25">
      <c r="A609" s="302" t="s">
        <v>5343</v>
      </c>
      <c r="B609" s="303" t="str">
        <f t="shared" si="9"/>
        <v>x00001281</v>
      </c>
      <c r="C609" t="s">
        <v>4</v>
      </c>
      <c r="D609" t="s">
        <v>5344</v>
      </c>
      <c r="E609">
        <v>0</v>
      </c>
      <c r="F609" t="str">
        <f>IF(AND(Entities[[#This Row],[ENT_TYPE]]="County",RIGHT(Entities[[#This Row],[ENT_NAME]],6)&lt;&gt;"County"),_xlfn.TEXTJOIN(" ",TRUE,Entities[[#This Row],[ENT_NAME]],"County"),Entities[[#This Row],[ENT_NAME]])</f>
        <v>Greater Texoma Utility Authortiy</v>
      </c>
    </row>
    <row r="610" spans="1:6" x14ac:dyDescent="0.25">
      <c r="A610" s="304" t="s">
        <v>5343</v>
      </c>
      <c r="B610" s="303" t="str">
        <f t="shared" si="9"/>
        <v>x00001281</v>
      </c>
      <c r="C610" t="s">
        <v>4</v>
      </c>
      <c r="D610" t="s">
        <v>5344</v>
      </c>
      <c r="E610">
        <v>2</v>
      </c>
      <c r="F610" t="str">
        <f>IF(AND(Entities[[#This Row],[ENT_TYPE]]="County",RIGHT(Entities[[#This Row],[ENT_NAME]],6)&lt;&gt;"County"),_xlfn.TEXTJOIN(" ",TRUE,Entities[[#This Row],[ENT_NAME]],"County"),Entities[[#This Row],[ENT_NAME]])</f>
        <v>Greater Texoma Utility Authortiy</v>
      </c>
    </row>
    <row r="611" spans="1:6" x14ac:dyDescent="0.25">
      <c r="A611" s="302" t="s">
        <v>5343</v>
      </c>
      <c r="B611" s="303" t="str">
        <f t="shared" si="9"/>
        <v>x00001281</v>
      </c>
      <c r="C611" t="s">
        <v>4</v>
      </c>
      <c r="D611" t="s">
        <v>5344</v>
      </c>
      <c r="E611">
        <v>3</v>
      </c>
      <c r="F611" t="str">
        <f>IF(AND(Entities[[#This Row],[ENT_TYPE]]="County",RIGHT(Entities[[#This Row],[ENT_NAME]],6)&lt;&gt;"County"),_xlfn.TEXTJOIN(" ",TRUE,Entities[[#This Row],[ENT_NAME]],"County"),Entities[[#This Row],[ENT_NAME]])</f>
        <v>Greater Texoma Utility Authortiy</v>
      </c>
    </row>
    <row r="612" spans="1:6" x14ac:dyDescent="0.25">
      <c r="A612" s="302" t="s">
        <v>5345</v>
      </c>
      <c r="B612" s="303" t="str">
        <f t="shared" si="9"/>
        <v>x00001302</v>
      </c>
      <c r="C612" t="s">
        <v>4</v>
      </c>
      <c r="D612" t="s">
        <v>5346</v>
      </c>
      <c r="E612">
        <v>8</v>
      </c>
      <c r="F612" t="str">
        <f>IF(AND(Entities[[#This Row],[ENT_TYPE]]="County",RIGHT(Entities[[#This Row],[ENT_NAME]],6)&lt;&gt;"County"),_xlfn.TEXTJOIN(" ",TRUE,Entities[[#This Row],[ENT_NAME]],"County"),Entities[[#This Row],[ENT_NAME]])</f>
        <v>Lakeside MUD 3</v>
      </c>
    </row>
    <row r="613" spans="1:6" x14ac:dyDescent="0.25">
      <c r="A613" s="304" t="s">
        <v>5345</v>
      </c>
      <c r="B613" s="303" t="str">
        <f t="shared" si="9"/>
        <v>x00001302</v>
      </c>
      <c r="C613" t="s">
        <v>4</v>
      </c>
      <c r="D613" t="s">
        <v>5346</v>
      </c>
      <c r="E613">
        <v>10</v>
      </c>
      <c r="F613" t="str">
        <f>IF(AND(Entities[[#This Row],[ENT_TYPE]]="County",RIGHT(Entities[[#This Row],[ENT_NAME]],6)&lt;&gt;"County"),_xlfn.TEXTJOIN(" ",TRUE,Entities[[#This Row],[ENT_NAME]],"County"),Entities[[#This Row],[ENT_NAME]])</f>
        <v>Lakeside MUD 3</v>
      </c>
    </row>
    <row r="614" spans="1:6" x14ac:dyDescent="0.25">
      <c r="A614" s="302" t="s">
        <v>5347</v>
      </c>
      <c r="B614" s="303" t="str">
        <f t="shared" si="9"/>
        <v>x00001323</v>
      </c>
      <c r="C614" t="s">
        <v>4</v>
      </c>
      <c r="D614" t="s">
        <v>5348</v>
      </c>
      <c r="E614">
        <v>11</v>
      </c>
      <c r="F614" t="str">
        <f>IF(AND(Entities[[#This Row],[ENT_TYPE]]="County",RIGHT(Entities[[#This Row],[ENT_NAME]],6)&lt;&gt;"County"),_xlfn.TEXTJOIN(" ",TRUE,Entities[[#This Row],[ENT_NAME]],"County"),Entities[[#This Row],[ENT_NAME]])</f>
        <v>South Buda WCID 1</v>
      </c>
    </row>
    <row r="615" spans="1:6" x14ac:dyDescent="0.25">
      <c r="A615" s="302" t="s">
        <v>5349</v>
      </c>
      <c r="B615" s="303" t="str">
        <f t="shared" si="9"/>
        <v>x00001347</v>
      </c>
      <c r="C615" t="s">
        <v>4</v>
      </c>
      <c r="D615" t="s">
        <v>5350</v>
      </c>
      <c r="E615">
        <v>4</v>
      </c>
      <c r="F615" t="str">
        <f>IF(AND(Entities[[#This Row],[ENT_TYPE]]="County",RIGHT(Entities[[#This Row],[ENT_NAME]],6)&lt;&gt;"County"),_xlfn.TEXTJOIN(" ",TRUE,Entities[[#This Row],[ENT_NAME]],"County"),Entities[[#This Row],[ENT_NAME]])</f>
        <v>Rockwall County MUD 9</v>
      </c>
    </row>
    <row r="616" spans="1:6" x14ac:dyDescent="0.25">
      <c r="A616" s="302" t="s">
        <v>5349</v>
      </c>
      <c r="B616" s="303" t="str">
        <f t="shared" si="9"/>
        <v>x00001347</v>
      </c>
      <c r="C616" t="s">
        <v>4</v>
      </c>
      <c r="D616" t="s">
        <v>5350</v>
      </c>
      <c r="E616">
        <v>3</v>
      </c>
      <c r="F616" t="str">
        <f>IF(AND(Entities[[#This Row],[ENT_TYPE]]="County",RIGHT(Entities[[#This Row],[ENT_NAME]],6)&lt;&gt;"County"),_xlfn.TEXTJOIN(" ",TRUE,Entities[[#This Row],[ENT_NAME]],"County"),Entities[[#This Row],[ENT_NAME]])</f>
        <v>Rockwall County MUD 9</v>
      </c>
    </row>
    <row r="617" spans="1:6" x14ac:dyDescent="0.25">
      <c r="A617" s="304" t="s">
        <v>5351</v>
      </c>
      <c r="B617" s="303" t="str">
        <f t="shared" si="9"/>
        <v>x00001348</v>
      </c>
      <c r="C617" t="s">
        <v>4</v>
      </c>
      <c r="D617" t="s">
        <v>5352</v>
      </c>
      <c r="E617">
        <v>4</v>
      </c>
      <c r="F617" t="str">
        <f>IF(AND(Entities[[#This Row],[ENT_TYPE]]="County",RIGHT(Entities[[#This Row],[ENT_NAME]],6)&lt;&gt;"County"),_xlfn.TEXTJOIN(" ",TRUE,Entities[[#This Row],[ENT_NAME]],"County"),Entities[[#This Row],[ENT_NAME]])</f>
        <v>Caddo Basin SUD</v>
      </c>
    </row>
    <row r="618" spans="1:6" x14ac:dyDescent="0.25">
      <c r="A618" s="302" t="s">
        <v>5351</v>
      </c>
      <c r="B618" s="303" t="str">
        <f t="shared" si="9"/>
        <v>x00001348</v>
      </c>
      <c r="C618" t="s">
        <v>4</v>
      </c>
      <c r="D618" t="s">
        <v>5352</v>
      </c>
      <c r="E618">
        <v>3</v>
      </c>
      <c r="F618" t="str">
        <f>IF(AND(Entities[[#This Row],[ENT_TYPE]]="County",RIGHT(Entities[[#This Row],[ENT_NAME]],6)&lt;&gt;"County"),_xlfn.TEXTJOIN(" ",TRUE,Entities[[#This Row],[ENT_NAME]],"County"),Entities[[#This Row],[ENT_NAME]])</f>
        <v>Caddo Basin SUD</v>
      </c>
    </row>
    <row r="619" spans="1:6" x14ac:dyDescent="0.25">
      <c r="A619" s="302" t="s">
        <v>5353</v>
      </c>
      <c r="B619" s="303" t="str">
        <f t="shared" si="9"/>
        <v>x00001356</v>
      </c>
      <c r="C619" t="s">
        <v>4</v>
      </c>
      <c r="D619" t="s">
        <v>5354</v>
      </c>
      <c r="E619">
        <v>10</v>
      </c>
      <c r="F619" t="str">
        <f>IF(AND(Entities[[#This Row],[ENT_TYPE]]="County",RIGHT(Entities[[#This Row],[ENT_NAME]],6)&lt;&gt;"County"),_xlfn.TEXTJOIN(" ",TRUE,Entities[[#This Row],[ENT_NAME]],"County"),Entities[[#This Row],[ENT_NAME]])</f>
        <v>Anthem MUD</v>
      </c>
    </row>
    <row r="620" spans="1:6" x14ac:dyDescent="0.25">
      <c r="A620" s="302" t="s">
        <v>5353</v>
      </c>
      <c r="B620" s="303" t="str">
        <f t="shared" si="9"/>
        <v>x00001356</v>
      </c>
      <c r="C620" t="s">
        <v>4</v>
      </c>
      <c r="D620" t="s">
        <v>5354</v>
      </c>
      <c r="E620">
        <v>11</v>
      </c>
      <c r="F620" t="str">
        <f>IF(AND(Entities[[#This Row],[ENT_TYPE]]="County",RIGHT(Entities[[#This Row],[ENT_NAME]],6)&lt;&gt;"County"),_xlfn.TEXTJOIN(" ",TRUE,Entities[[#This Row],[ENT_NAME]],"County"),Entities[[#This Row],[ENT_NAME]])</f>
        <v>Anthem MUD</v>
      </c>
    </row>
    <row r="621" spans="1:6" x14ac:dyDescent="0.25">
      <c r="A621" s="302" t="s">
        <v>5355</v>
      </c>
      <c r="B621" s="303" t="str">
        <f t="shared" si="9"/>
        <v>x00001399</v>
      </c>
      <c r="C621" t="s">
        <v>4</v>
      </c>
      <c r="D621" t="s">
        <v>5356</v>
      </c>
      <c r="E621">
        <v>6</v>
      </c>
      <c r="F621" t="str">
        <f>IF(AND(Entities[[#This Row],[ENT_TYPE]]="County",RIGHT(Entities[[#This Row],[ENT_NAME]],6)&lt;&gt;"County"),_xlfn.TEXTJOIN(" ",TRUE,Entities[[#This Row],[ENT_NAME]],"County"),Entities[[#This Row],[ENT_NAME]])</f>
        <v>Fort Bend County MUD 2</v>
      </c>
    </row>
    <row r="622" spans="1:6" x14ac:dyDescent="0.25">
      <c r="A622" s="302" t="s">
        <v>5355</v>
      </c>
      <c r="B622" s="303" t="str">
        <f t="shared" si="9"/>
        <v>x00001399</v>
      </c>
      <c r="C622" t="s">
        <v>4</v>
      </c>
      <c r="D622" t="s">
        <v>5356</v>
      </c>
      <c r="E622">
        <v>8</v>
      </c>
      <c r="F622" t="str">
        <f>IF(AND(Entities[[#This Row],[ENT_TYPE]]="County",RIGHT(Entities[[#This Row],[ENT_NAME]],6)&lt;&gt;"County"),_xlfn.TEXTJOIN(" ",TRUE,Entities[[#This Row],[ENT_NAME]],"County"),Entities[[#This Row],[ENT_NAME]])</f>
        <v>Fort Bend County MUD 2</v>
      </c>
    </row>
    <row r="623" spans="1:6" x14ac:dyDescent="0.25">
      <c r="A623" s="304" t="s">
        <v>5357</v>
      </c>
      <c r="B623" s="303" t="str">
        <f t="shared" si="9"/>
        <v>x00001401</v>
      </c>
      <c r="C623" t="s">
        <v>5166</v>
      </c>
      <c r="D623" t="s">
        <v>5358</v>
      </c>
      <c r="E623">
        <v>10</v>
      </c>
      <c r="F623" t="str">
        <f>IF(AND(Entities[[#This Row],[ENT_TYPE]]="County",RIGHT(Entities[[#This Row],[ENT_NAME]],6)&lt;&gt;"County"),_xlfn.TEXTJOIN(" ",TRUE,Entities[[#This Row],[ENT_NAME]],"County"),Entities[[#This Row],[ENT_NAME]])</f>
        <v>Gillespie County WCID 1</v>
      </c>
    </row>
    <row r="624" spans="1:6" x14ac:dyDescent="0.25">
      <c r="A624" s="302" t="s">
        <v>5357</v>
      </c>
      <c r="B624" s="303" t="str">
        <f t="shared" si="9"/>
        <v>x00001401</v>
      </c>
      <c r="C624" t="s">
        <v>4</v>
      </c>
      <c r="D624" t="s">
        <v>5358</v>
      </c>
      <c r="E624">
        <v>11</v>
      </c>
      <c r="F624" t="str">
        <f>IF(AND(Entities[[#This Row],[ENT_TYPE]]="County",RIGHT(Entities[[#This Row],[ENT_NAME]],6)&lt;&gt;"County"),_xlfn.TEXTJOIN(" ",TRUE,Entities[[#This Row],[ENT_NAME]],"County"),Entities[[#This Row],[ENT_NAME]])</f>
        <v>Gillespie County WCID 1</v>
      </c>
    </row>
    <row r="625" spans="1:6" x14ac:dyDescent="0.25">
      <c r="A625" s="304" t="s">
        <v>5359</v>
      </c>
      <c r="B625" s="303" t="str">
        <f t="shared" si="9"/>
        <v>x00001414</v>
      </c>
      <c r="C625" t="s">
        <v>4</v>
      </c>
      <c r="D625" t="s">
        <v>5360</v>
      </c>
      <c r="E625">
        <v>6</v>
      </c>
      <c r="F625" t="str">
        <f>IF(AND(Entities[[#This Row],[ENT_TYPE]]="County",RIGHT(Entities[[#This Row],[ENT_NAME]],6)&lt;&gt;"County"),_xlfn.TEXTJOIN(" ",TRUE,Entities[[#This Row],[ENT_NAME]],"County"),Entities[[#This Row],[ENT_NAME]])</f>
        <v>Grand Mission MUD 2</v>
      </c>
    </row>
    <row r="626" spans="1:6" x14ac:dyDescent="0.25">
      <c r="A626" s="304" t="s">
        <v>5359</v>
      </c>
      <c r="B626" s="303" t="str">
        <f t="shared" si="9"/>
        <v>x00001414</v>
      </c>
      <c r="C626" t="s">
        <v>4</v>
      </c>
      <c r="D626" t="s">
        <v>5360</v>
      </c>
      <c r="E626">
        <v>8</v>
      </c>
      <c r="F626" t="str">
        <f>IF(AND(Entities[[#This Row],[ENT_TYPE]]="County",RIGHT(Entities[[#This Row],[ENT_NAME]],6)&lt;&gt;"County"),_xlfn.TEXTJOIN(" ",TRUE,Entities[[#This Row],[ENT_NAME]],"County"),Entities[[#This Row],[ENT_NAME]])</f>
        <v>Grand Mission MUD 2</v>
      </c>
    </row>
    <row r="627" spans="1:6" x14ac:dyDescent="0.25">
      <c r="A627" s="304" t="s">
        <v>5361</v>
      </c>
      <c r="B627" s="303" t="str">
        <f t="shared" si="9"/>
        <v>x00001446</v>
      </c>
      <c r="C627" t="s">
        <v>4</v>
      </c>
      <c r="D627" t="s">
        <v>5362</v>
      </c>
      <c r="E627">
        <v>6</v>
      </c>
      <c r="F627" t="str">
        <f>IF(AND(Entities[[#This Row],[ENT_TYPE]]="County",RIGHT(Entities[[#This Row],[ENT_NAME]],6)&lt;&gt;"County"),_xlfn.TEXTJOIN(" ",TRUE,Entities[[#This Row],[ENT_NAME]],"County"),Entities[[#This Row],[ENT_NAME]])</f>
        <v>Tarkington SUD</v>
      </c>
    </row>
    <row r="628" spans="1:6" x14ac:dyDescent="0.25">
      <c r="A628" s="302" t="s">
        <v>5361</v>
      </c>
      <c r="B628" s="303" t="str">
        <f t="shared" si="9"/>
        <v>x00001446</v>
      </c>
      <c r="C628" t="s">
        <v>4</v>
      </c>
      <c r="D628" t="s">
        <v>5362</v>
      </c>
      <c r="E628">
        <v>3</v>
      </c>
      <c r="F628" t="str">
        <f>IF(AND(Entities[[#This Row],[ENT_TYPE]]="County",RIGHT(Entities[[#This Row],[ENT_NAME]],6)&lt;&gt;"County"),_xlfn.TEXTJOIN(" ",TRUE,Entities[[#This Row],[ENT_NAME]],"County"),Entities[[#This Row],[ENT_NAME]])</f>
        <v>Tarkington SUD</v>
      </c>
    </row>
    <row r="629" spans="1:6" x14ac:dyDescent="0.25">
      <c r="A629" s="304" t="s">
        <v>5363</v>
      </c>
      <c r="B629" s="303" t="str">
        <f t="shared" si="9"/>
        <v>x00001464</v>
      </c>
      <c r="C629" t="s">
        <v>4</v>
      </c>
      <c r="D629" t="s">
        <v>5364</v>
      </c>
      <c r="E629">
        <v>6</v>
      </c>
      <c r="F629" t="str">
        <f>IF(AND(Entities[[#This Row],[ENT_TYPE]]="County",RIGHT(Entities[[#This Row],[ENT_NAME]],6)&lt;&gt;"County"),_xlfn.TEXTJOIN(" ",TRUE,Entities[[#This Row],[ENT_NAME]],"County"),Entities[[#This Row],[ENT_NAME]])</f>
        <v>Fort Bend County MUD 30</v>
      </c>
    </row>
    <row r="630" spans="1:6" x14ac:dyDescent="0.25">
      <c r="A630" s="304" t="s">
        <v>5363</v>
      </c>
      <c r="B630" s="303" t="str">
        <f t="shared" si="9"/>
        <v>x00001464</v>
      </c>
      <c r="C630" t="s">
        <v>4</v>
      </c>
      <c r="D630" t="s">
        <v>5364</v>
      </c>
      <c r="E630">
        <v>8</v>
      </c>
      <c r="F630" t="str">
        <f>IF(AND(Entities[[#This Row],[ENT_TYPE]]="County",RIGHT(Entities[[#This Row],[ENT_NAME]],6)&lt;&gt;"County"),_xlfn.TEXTJOIN(" ",TRUE,Entities[[#This Row],[ENT_NAME]],"County"),Entities[[#This Row],[ENT_NAME]])</f>
        <v>Fort Bend County MUD 30</v>
      </c>
    </row>
    <row r="631" spans="1:6" x14ac:dyDescent="0.25">
      <c r="A631" s="304" t="s">
        <v>5365</v>
      </c>
      <c r="B631" s="303" t="str">
        <f t="shared" si="9"/>
        <v>x00001475</v>
      </c>
      <c r="C631" t="s">
        <v>4</v>
      </c>
      <c r="D631" t="s">
        <v>5366</v>
      </c>
      <c r="E631">
        <v>2</v>
      </c>
      <c r="F631" t="str">
        <f>IF(AND(Entities[[#This Row],[ENT_TYPE]]="County",RIGHT(Entities[[#This Row],[ENT_NAME]],6)&lt;&gt;"County"),_xlfn.TEXTJOIN(" ",TRUE,Entities[[#This Row],[ENT_NAME]],"County"),Entities[[#This Row],[ENT_NAME]])</f>
        <v>Southwest Fannin County SUD</v>
      </c>
    </row>
    <row r="632" spans="1:6" x14ac:dyDescent="0.25">
      <c r="A632" s="302" t="s">
        <v>5365</v>
      </c>
      <c r="B632" s="303" t="str">
        <f t="shared" si="9"/>
        <v>x00001475</v>
      </c>
      <c r="C632" t="s">
        <v>4</v>
      </c>
      <c r="D632" t="s">
        <v>5366</v>
      </c>
      <c r="E632">
        <v>3</v>
      </c>
      <c r="F632" t="str">
        <f>IF(AND(Entities[[#This Row],[ENT_TYPE]]="County",RIGHT(Entities[[#This Row],[ENT_NAME]],6)&lt;&gt;"County"),_xlfn.TEXTJOIN(" ",TRUE,Entities[[#This Row],[ENT_NAME]],"County"),Entities[[#This Row],[ENT_NAME]])</f>
        <v>Southwest Fannin County SUD</v>
      </c>
    </row>
    <row r="633" spans="1:6" x14ac:dyDescent="0.25">
      <c r="A633" s="304" t="s">
        <v>5367</v>
      </c>
      <c r="B633" s="303" t="str">
        <f t="shared" si="9"/>
        <v>x00001482</v>
      </c>
      <c r="C633" t="s">
        <v>5166</v>
      </c>
      <c r="D633" t="s">
        <v>5368</v>
      </c>
      <c r="E633">
        <v>6</v>
      </c>
      <c r="F633" t="str">
        <f>IF(AND(Entities[[#This Row],[ENT_TYPE]]="County",RIGHT(Entities[[#This Row],[ENT_NAME]],6)&lt;&gt;"County"),_xlfn.TEXTJOIN(" ",TRUE,Entities[[#This Row],[ENT_NAME]],"County"),Entities[[#This Row],[ENT_NAME]])</f>
        <v>Brazoria County Drainage District 8</v>
      </c>
    </row>
    <row r="634" spans="1:6" x14ac:dyDescent="0.25">
      <c r="A634" s="302" t="s">
        <v>5367</v>
      </c>
      <c r="B634" s="303" t="str">
        <f t="shared" si="9"/>
        <v>x00001482</v>
      </c>
      <c r="C634" t="s">
        <v>4</v>
      </c>
      <c r="D634" t="s">
        <v>5368</v>
      </c>
      <c r="E634">
        <v>8</v>
      </c>
      <c r="F634" t="str">
        <f>IF(AND(Entities[[#This Row],[ENT_TYPE]]="County",RIGHT(Entities[[#This Row],[ENT_NAME]],6)&lt;&gt;"County"),_xlfn.TEXTJOIN(" ",TRUE,Entities[[#This Row],[ENT_NAME]],"County"),Entities[[#This Row],[ENT_NAME]])</f>
        <v>Brazoria County Drainage District 8</v>
      </c>
    </row>
    <row r="635" spans="1:6" x14ac:dyDescent="0.25">
      <c r="A635" s="302" t="s">
        <v>5369</v>
      </c>
      <c r="B635" s="303" t="str">
        <f t="shared" si="9"/>
        <v>x00001485</v>
      </c>
      <c r="C635" t="s">
        <v>4</v>
      </c>
      <c r="D635" t="s">
        <v>5370</v>
      </c>
      <c r="E635">
        <v>11</v>
      </c>
      <c r="F635" t="str">
        <f>IF(AND(Entities[[#This Row],[ENT_TYPE]]="County",RIGHT(Entities[[#This Row],[ENT_NAME]],6)&lt;&gt;"County"),_xlfn.TEXTJOIN(" ",TRUE,Entities[[#This Row],[ENT_NAME]],"County"),Entities[[#This Row],[ENT_NAME]])</f>
        <v>Cibolo Creek Municipal Authority</v>
      </c>
    </row>
    <row r="636" spans="1:6" x14ac:dyDescent="0.25">
      <c r="A636" s="302" t="s">
        <v>5369</v>
      </c>
      <c r="B636" s="303" t="str">
        <f t="shared" si="9"/>
        <v>x00001485</v>
      </c>
      <c r="C636" t="s">
        <v>4</v>
      </c>
      <c r="D636" t="s">
        <v>5370</v>
      </c>
      <c r="E636">
        <v>12</v>
      </c>
      <c r="F636" t="str">
        <f>IF(AND(Entities[[#This Row],[ENT_TYPE]]="County",RIGHT(Entities[[#This Row],[ENT_NAME]],6)&lt;&gt;"County"),_xlfn.TEXTJOIN(" ",TRUE,Entities[[#This Row],[ENT_NAME]],"County"),Entities[[#This Row],[ENT_NAME]])</f>
        <v>Cibolo Creek Municipal Authority</v>
      </c>
    </row>
    <row r="637" spans="1:6" x14ac:dyDescent="0.25">
      <c r="A637" s="304" t="s">
        <v>5371</v>
      </c>
      <c r="B637" s="303" t="str">
        <f t="shared" si="9"/>
        <v>x00001514</v>
      </c>
      <c r="C637" t="s">
        <v>4</v>
      </c>
      <c r="D637" t="s">
        <v>5372</v>
      </c>
      <c r="E637">
        <v>4</v>
      </c>
      <c r="F637" t="str">
        <f>IF(AND(Entities[[#This Row],[ENT_TYPE]]="County",RIGHT(Entities[[#This Row],[ENT_NAME]],6)&lt;&gt;"County"),_xlfn.TEXTJOIN(" ",TRUE,Entities[[#This Row],[ENT_NAME]],"County"),Entities[[#This Row],[ENT_NAME]])</f>
        <v>Orange County WCID 1</v>
      </c>
    </row>
    <row r="638" spans="1:6" x14ac:dyDescent="0.25">
      <c r="A638" s="302" t="s">
        <v>5371</v>
      </c>
      <c r="B638" s="303" t="str">
        <f t="shared" si="9"/>
        <v>x00001514</v>
      </c>
      <c r="C638" t="s">
        <v>4</v>
      </c>
      <c r="D638" t="s">
        <v>5372</v>
      </c>
      <c r="E638">
        <v>0</v>
      </c>
      <c r="F638" t="str">
        <f>IF(AND(Entities[[#This Row],[ENT_TYPE]]="County",RIGHT(Entities[[#This Row],[ENT_NAME]],6)&lt;&gt;"County"),_xlfn.TEXTJOIN(" ",TRUE,Entities[[#This Row],[ENT_NAME]],"County"),Entities[[#This Row],[ENT_NAME]])</f>
        <v>Orange County WCID 1</v>
      </c>
    </row>
    <row r="639" spans="1:6" x14ac:dyDescent="0.25">
      <c r="A639" s="304" t="s">
        <v>5373</v>
      </c>
      <c r="B639" s="303" t="str">
        <f t="shared" si="9"/>
        <v>x00001558</v>
      </c>
      <c r="C639" t="s">
        <v>4</v>
      </c>
      <c r="D639" t="s">
        <v>5374</v>
      </c>
      <c r="E639">
        <v>6</v>
      </c>
      <c r="F639" t="str">
        <f>IF(AND(Entities[[#This Row],[ENT_TYPE]]="County",RIGHT(Entities[[#This Row],[ENT_NAME]],6)&lt;&gt;"County"),_xlfn.TEXTJOIN(" ",TRUE,Entities[[#This Row],[ENT_NAME]],"County"),Entities[[#This Row],[ENT_NAME]])</f>
        <v>Grand Mission MUD 1</v>
      </c>
    </row>
    <row r="640" spans="1:6" x14ac:dyDescent="0.25">
      <c r="A640" s="304" t="s">
        <v>5373</v>
      </c>
      <c r="B640" s="303" t="str">
        <f t="shared" si="9"/>
        <v>x00001558</v>
      </c>
      <c r="C640" t="s">
        <v>4</v>
      </c>
      <c r="D640" t="s">
        <v>5374</v>
      </c>
      <c r="E640">
        <v>8</v>
      </c>
      <c r="F640" t="str">
        <f>IF(AND(Entities[[#This Row],[ENT_TYPE]]="County",RIGHT(Entities[[#This Row],[ENT_NAME]],6)&lt;&gt;"County"),_xlfn.TEXTJOIN(" ",TRUE,Entities[[#This Row],[ENT_NAME]],"County"),Entities[[#This Row],[ENT_NAME]])</f>
        <v>Grand Mission MUD 1</v>
      </c>
    </row>
    <row r="641" spans="1:6" x14ac:dyDescent="0.25">
      <c r="A641" s="304" t="s">
        <v>5375</v>
      </c>
      <c r="B641" s="303" t="str">
        <f t="shared" si="9"/>
        <v>x00001608</v>
      </c>
      <c r="C641" t="s">
        <v>4</v>
      </c>
      <c r="D641" t="s">
        <v>5376</v>
      </c>
      <c r="E641">
        <v>13</v>
      </c>
      <c r="F641" t="str">
        <f>IF(AND(Entities[[#This Row],[ENT_TYPE]]="County",RIGHT(Entities[[#This Row],[ENT_NAME]],6)&lt;&gt;"County"),_xlfn.TEXTJOIN(" ",TRUE,Entities[[#This Row],[ENT_NAME]],"County"),Entities[[#This Row],[ENT_NAME]])</f>
        <v>Refugio County Drainage District 1</v>
      </c>
    </row>
    <row r="642" spans="1:6" x14ac:dyDescent="0.25">
      <c r="A642" s="302" t="s">
        <v>5375</v>
      </c>
      <c r="B642" s="303" t="str">
        <f t="shared" ref="B642:B705" si="10">_xlfn.CONCAT("x",TEXT(A642,"00000000"))</f>
        <v>x00001608</v>
      </c>
      <c r="C642" t="s">
        <v>4</v>
      </c>
      <c r="D642" t="s">
        <v>5376</v>
      </c>
      <c r="E642">
        <v>11</v>
      </c>
      <c r="F642" t="str">
        <f>IF(AND(Entities[[#This Row],[ENT_TYPE]]="County",RIGHT(Entities[[#This Row],[ENT_NAME]],6)&lt;&gt;"County"),_xlfn.TEXTJOIN(" ",TRUE,Entities[[#This Row],[ENT_NAME]],"County"),Entities[[#This Row],[ENT_NAME]])</f>
        <v>Refugio County Drainage District 1</v>
      </c>
    </row>
    <row r="643" spans="1:6" x14ac:dyDescent="0.25">
      <c r="A643" s="302" t="s">
        <v>5375</v>
      </c>
      <c r="B643" s="303" t="str">
        <f t="shared" si="10"/>
        <v>x00001608</v>
      </c>
      <c r="C643" t="s">
        <v>4</v>
      </c>
      <c r="D643" t="s">
        <v>5376</v>
      </c>
      <c r="E643">
        <v>12</v>
      </c>
      <c r="F643" t="str">
        <f>IF(AND(Entities[[#This Row],[ENT_TYPE]]="County",RIGHT(Entities[[#This Row],[ENT_NAME]],6)&lt;&gt;"County"),_xlfn.TEXTJOIN(" ",TRUE,Entities[[#This Row],[ENT_NAME]],"County"),Entities[[#This Row],[ENT_NAME]])</f>
        <v>Refugio County Drainage District 1</v>
      </c>
    </row>
    <row r="644" spans="1:6" x14ac:dyDescent="0.25">
      <c r="A644" s="304" t="s">
        <v>5377</v>
      </c>
      <c r="B644" s="303" t="str">
        <f t="shared" si="10"/>
        <v>x00001609</v>
      </c>
      <c r="C644" t="s">
        <v>4</v>
      </c>
      <c r="D644" t="s">
        <v>5378</v>
      </c>
      <c r="E644">
        <v>15</v>
      </c>
      <c r="F644" t="str">
        <f>IF(AND(Entities[[#This Row],[ENT_TYPE]]="County",RIGHT(Entities[[#This Row],[ENT_NAME]],6)&lt;&gt;"County"),_xlfn.TEXTJOIN(" ",TRUE,Entities[[#This Row],[ENT_NAME]],"County"),Entities[[#This Row],[ENT_NAME]])</f>
        <v>Rio Grande Regional Water Authority</v>
      </c>
    </row>
    <row r="645" spans="1:6" x14ac:dyDescent="0.25">
      <c r="A645" s="302" t="s">
        <v>5377</v>
      </c>
      <c r="B645" s="303" t="str">
        <f t="shared" si="10"/>
        <v>x00001609</v>
      </c>
      <c r="C645" t="s">
        <v>4</v>
      </c>
      <c r="D645" t="s">
        <v>5378</v>
      </c>
      <c r="E645">
        <v>13</v>
      </c>
      <c r="F645" t="str">
        <f>IF(AND(Entities[[#This Row],[ENT_TYPE]]="County",RIGHT(Entities[[#This Row],[ENT_NAME]],6)&lt;&gt;"County"),_xlfn.TEXTJOIN(" ",TRUE,Entities[[#This Row],[ENT_NAME]],"County"),Entities[[#This Row],[ENT_NAME]])</f>
        <v>Rio Grande Regional Water Authority</v>
      </c>
    </row>
    <row r="646" spans="1:6" x14ac:dyDescent="0.25">
      <c r="A646" s="302" t="s">
        <v>5379</v>
      </c>
      <c r="B646" s="303" t="str">
        <f t="shared" si="10"/>
        <v>x00001610</v>
      </c>
      <c r="C646" t="s">
        <v>4</v>
      </c>
      <c r="D646" t="s">
        <v>5380</v>
      </c>
      <c r="E646">
        <v>2</v>
      </c>
      <c r="F646" t="str">
        <f>IF(AND(Entities[[#This Row],[ENT_TYPE]]="County",RIGHT(Entities[[#This Row],[ENT_NAME]],6)&lt;&gt;"County"),_xlfn.TEXTJOIN(" ",TRUE,Entities[[#This Row],[ENT_NAME]],"County"),Entities[[#This Row],[ENT_NAME]])</f>
        <v>Cypress Valley Navigation District</v>
      </c>
    </row>
    <row r="647" spans="1:6" x14ac:dyDescent="0.25">
      <c r="A647" s="304" t="s">
        <v>5381</v>
      </c>
      <c r="B647" s="303" t="str">
        <f t="shared" si="10"/>
        <v>x00001636</v>
      </c>
      <c r="C647" t="s">
        <v>4</v>
      </c>
      <c r="D647" t="s">
        <v>5382</v>
      </c>
      <c r="E647">
        <v>8</v>
      </c>
      <c r="F647" t="str">
        <f>IF(AND(Entities[[#This Row],[ENT_TYPE]]="County",RIGHT(Entities[[#This Row],[ENT_NAME]],6)&lt;&gt;"County"),_xlfn.TEXTJOIN(" ",TRUE,Entities[[#This Row],[ENT_NAME]],"County"),Entities[[#This Row],[ENT_NAME]])</f>
        <v>North Zulch MUD</v>
      </c>
    </row>
    <row r="648" spans="1:6" x14ac:dyDescent="0.25">
      <c r="A648" s="302" t="s">
        <v>5381</v>
      </c>
      <c r="B648" s="303" t="str">
        <f t="shared" si="10"/>
        <v>x00001636</v>
      </c>
      <c r="C648" t="s">
        <v>4</v>
      </c>
      <c r="D648" t="s">
        <v>5382</v>
      </c>
      <c r="E648">
        <v>3</v>
      </c>
      <c r="F648" t="str">
        <f>IF(AND(Entities[[#This Row],[ENT_TYPE]]="County",RIGHT(Entities[[#This Row],[ENT_NAME]],6)&lt;&gt;"County"),_xlfn.TEXTJOIN(" ",TRUE,Entities[[#This Row],[ENT_NAME]],"County"),Entities[[#This Row],[ENT_NAME]])</f>
        <v>North Zulch MUD</v>
      </c>
    </row>
    <row r="649" spans="1:6" x14ac:dyDescent="0.25">
      <c r="A649" s="304" t="s">
        <v>5383</v>
      </c>
      <c r="B649" s="303" t="str">
        <f t="shared" si="10"/>
        <v>x00001648</v>
      </c>
      <c r="C649" t="s">
        <v>4</v>
      </c>
      <c r="D649" t="s">
        <v>5384</v>
      </c>
      <c r="E649">
        <v>6</v>
      </c>
      <c r="F649" t="str">
        <f>IF(AND(Entities[[#This Row],[ENT_TYPE]]="County",RIGHT(Entities[[#This Row],[ENT_NAME]],6)&lt;&gt;"County"),_xlfn.TEXTJOIN(" ",TRUE,Entities[[#This Row],[ENT_NAME]],"County"),Entities[[#This Row],[ENT_NAME]])</f>
        <v>Fort Bend County MUD 45</v>
      </c>
    </row>
    <row r="650" spans="1:6" x14ac:dyDescent="0.25">
      <c r="A650" s="302" t="s">
        <v>5383</v>
      </c>
      <c r="B650" s="303" t="str">
        <f t="shared" si="10"/>
        <v>x00001648</v>
      </c>
      <c r="C650" t="s">
        <v>4</v>
      </c>
      <c r="D650" t="s">
        <v>5384</v>
      </c>
      <c r="E650">
        <v>8</v>
      </c>
      <c r="F650" t="str">
        <f>IF(AND(Entities[[#This Row],[ENT_TYPE]]="County",RIGHT(Entities[[#This Row],[ENT_NAME]],6)&lt;&gt;"County"),_xlfn.TEXTJOIN(" ",TRUE,Entities[[#This Row],[ENT_NAME]],"County"),Entities[[#This Row],[ENT_NAME]])</f>
        <v>Fort Bend County MUD 45</v>
      </c>
    </row>
    <row r="651" spans="1:6" x14ac:dyDescent="0.25">
      <c r="A651" s="304" t="s">
        <v>5385</v>
      </c>
      <c r="B651" s="303" t="str">
        <f t="shared" si="10"/>
        <v>x00001672</v>
      </c>
      <c r="C651" t="s">
        <v>4</v>
      </c>
      <c r="D651" t="s">
        <v>5386</v>
      </c>
      <c r="E651">
        <v>10</v>
      </c>
      <c r="F651" t="str">
        <f>IF(AND(Entities[[#This Row],[ENT_TYPE]]="County",RIGHT(Entities[[#This Row],[ENT_NAME]],6)&lt;&gt;"County"),_xlfn.TEXTJOIN(" ",TRUE,Entities[[#This Row],[ENT_NAME]],"County"),Entities[[#This Row],[ENT_NAME]])</f>
        <v>Port O'Connor MUD</v>
      </c>
    </row>
    <row r="652" spans="1:6" x14ac:dyDescent="0.25">
      <c r="A652" s="302" t="s">
        <v>5385</v>
      </c>
      <c r="B652" s="303" t="str">
        <f t="shared" si="10"/>
        <v>x00001672</v>
      </c>
      <c r="C652" t="s">
        <v>4</v>
      </c>
      <c r="D652" t="s">
        <v>5386</v>
      </c>
      <c r="E652">
        <v>12</v>
      </c>
      <c r="F652" t="str">
        <f>IF(AND(Entities[[#This Row],[ENT_TYPE]]="County",RIGHT(Entities[[#This Row],[ENT_NAME]],6)&lt;&gt;"County"),_xlfn.TEXTJOIN(" ",TRUE,Entities[[#This Row],[ENT_NAME]],"County"),Entities[[#This Row],[ENT_NAME]])</f>
        <v>Port O'Connor MUD</v>
      </c>
    </row>
    <row r="653" spans="1:6" x14ac:dyDescent="0.25">
      <c r="A653" s="302" t="s">
        <v>5387</v>
      </c>
      <c r="B653" s="303" t="str">
        <f t="shared" si="10"/>
        <v>x00001673</v>
      </c>
      <c r="C653" t="s">
        <v>5166</v>
      </c>
      <c r="D653" t="s">
        <v>5388</v>
      </c>
      <c r="E653">
        <v>10</v>
      </c>
      <c r="F653" t="str">
        <f>IF(AND(Entities[[#This Row],[ENT_TYPE]]="County",RIGHT(Entities[[#This Row],[ENT_NAME]],6)&lt;&gt;"County"),_xlfn.TEXTJOIN(" ",TRUE,Entities[[#This Row],[ENT_NAME]],"County"),Entities[[#This Row],[ENT_NAME]])</f>
        <v>Calhoun County WCID 1</v>
      </c>
    </row>
    <row r="654" spans="1:6" x14ac:dyDescent="0.25">
      <c r="A654" s="302" t="s">
        <v>5387</v>
      </c>
      <c r="B654" s="303" t="str">
        <f t="shared" si="10"/>
        <v>x00001673</v>
      </c>
      <c r="C654" t="s">
        <v>4</v>
      </c>
      <c r="D654" t="s">
        <v>5388</v>
      </c>
      <c r="E654">
        <v>11</v>
      </c>
      <c r="F654" t="str">
        <f>IF(AND(Entities[[#This Row],[ENT_TYPE]]="County",RIGHT(Entities[[#This Row],[ENT_NAME]],6)&lt;&gt;"County"),_xlfn.TEXTJOIN(" ",TRUE,Entities[[#This Row],[ENT_NAME]],"County"),Entities[[#This Row],[ENT_NAME]])</f>
        <v>Calhoun County WCID 1</v>
      </c>
    </row>
    <row r="655" spans="1:6" x14ac:dyDescent="0.25">
      <c r="A655" s="302" t="s">
        <v>5389</v>
      </c>
      <c r="B655" s="303" t="str">
        <f t="shared" si="10"/>
        <v>x00001702</v>
      </c>
      <c r="C655" t="s">
        <v>4</v>
      </c>
      <c r="D655" t="s">
        <v>5390</v>
      </c>
      <c r="E655">
        <v>2</v>
      </c>
      <c r="F655" t="str">
        <f>IF(AND(Entities[[#This Row],[ENT_TYPE]]="County",RIGHT(Entities[[#This Row],[ENT_NAME]],6)&lt;&gt;"County"),_xlfn.TEXTJOIN(" ",TRUE,Entities[[#This Row],[ENT_NAME]],"County"),Entities[[#This Row],[ENT_NAME]])</f>
        <v>Kings Crossing MUD</v>
      </c>
    </row>
    <row r="656" spans="1:6" x14ac:dyDescent="0.25">
      <c r="A656" s="302" t="s">
        <v>5389</v>
      </c>
      <c r="B656" s="303" t="str">
        <f t="shared" si="10"/>
        <v>x00001702</v>
      </c>
      <c r="C656" t="s">
        <v>4</v>
      </c>
      <c r="D656" t="s">
        <v>5390</v>
      </c>
      <c r="E656">
        <v>3</v>
      </c>
      <c r="F656" t="str">
        <f>IF(AND(Entities[[#This Row],[ENT_TYPE]]="County",RIGHT(Entities[[#This Row],[ENT_NAME]],6)&lt;&gt;"County"),_xlfn.TEXTJOIN(" ",TRUE,Entities[[#This Row],[ENT_NAME]],"County"),Entities[[#This Row],[ENT_NAME]])</f>
        <v>Kings Crossing MUD</v>
      </c>
    </row>
    <row r="657" spans="1:6" x14ac:dyDescent="0.25">
      <c r="A657" s="304" t="s">
        <v>5391</v>
      </c>
      <c r="B657" s="303" t="str">
        <f t="shared" si="10"/>
        <v>x00001752</v>
      </c>
      <c r="C657" t="s">
        <v>4</v>
      </c>
      <c r="D657" t="s">
        <v>5392</v>
      </c>
      <c r="E657">
        <v>6</v>
      </c>
      <c r="F657" t="str">
        <f>IF(AND(Entities[[#This Row],[ENT_TYPE]]="County",RIGHT(Entities[[#This Row],[ENT_NAME]],6)&lt;&gt;"County"),_xlfn.TEXTJOIN(" ",TRUE,Entities[[#This Row],[ENT_NAME]],"County"),Entities[[#This Row],[ENT_NAME]])</f>
        <v>Fort Bend County MUD 131</v>
      </c>
    </row>
    <row r="658" spans="1:6" x14ac:dyDescent="0.25">
      <c r="A658" s="304" t="s">
        <v>5391</v>
      </c>
      <c r="B658" s="303" t="str">
        <f t="shared" si="10"/>
        <v>x00001752</v>
      </c>
      <c r="C658" t="s">
        <v>4</v>
      </c>
      <c r="D658" t="s">
        <v>5392</v>
      </c>
      <c r="E658">
        <v>8</v>
      </c>
      <c r="F658" t="str">
        <f>IF(AND(Entities[[#This Row],[ENT_TYPE]]="County",RIGHT(Entities[[#This Row],[ENT_NAME]],6)&lt;&gt;"County"),_xlfn.TEXTJOIN(" ",TRUE,Entities[[#This Row],[ENT_NAME]],"County"),Entities[[#This Row],[ENT_NAME]])</f>
        <v>Fort Bend County MUD 131</v>
      </c>
    </row>
    <row r="659" spans="1:6" x14ac:dyDescent="0.25">
      <c r="A659" s="302" t="s">
        <v>5393</v>
      </c>
      <c r="B659" s="303" t="str">
        <f t="shared" si="10"/>
        <v>x00001765</v>
      </c>
      <c r="C659" t="s">
        <v>4</v>
      </c>
      <c r="D659" t="s">
        <v>5394</v>
      </c>
      <c r="E659">
        <v>6</v>
      </c>
      <c r="F659" t="str">
        <f>IF(AND(Entities[[#This Row],[ENT_TYPE]]="County",RIGHT(Entities[[#This Row],[ENT_NAME]],6)&lt;&gt;"County"),_xlfn.TEXTJOIN(" ",TRUE,Entities[[#This Row],[ENT_NAME]],"County"),Entities[[#This Row],[ENT_NAME]])</f>
        <v>Baytown Area Water Authority</v>
      </c>
    </row>
    <row r="660" spans="1:6" x14ac:dyDescent="0.25">
      <c r="A660" s="302" t="s">
        <v>5393</v>
      </c>
      <c r="B660" s="303" t="str">
        <f t="shared" si="10"/>
        <v>x00001765</v>
      </c>
      <c r="C660" t="s">
        <v>4</v>
      </c>
      <c r="D660" t="s">
        <v>5394</v>
      </c>
      <c r="E660">
        <v>3</v>
      </c>
      <c r="F660" t="str">
        <f>IF(AND(Entities[[#This Row],[ENT_TYPE]]="County",RIGHT(Entities[[#This Row],[ENT_NAME]],6)&lt;&gt;"County"),_xlfn.TEXTJOIN(" ",TRUE,Entities[[#This Row],[ENT_NAME]],"County"),Entities[[#This Row],[ENT_NAME]])</f>
        <v>Baytown Area Water Authority</v>
      </c>
    </row>
    <row r="661" spans="1:6" x14ac:dyDescent="0.25">
      <c r="A661" s="304" t="s">
        <v>5395</v>
      </c>
      <c r="B661" s="303" t="str">
        <f t="shared" si="10"/>
        <v>x00001801</v>
      </c>
      <c r="C661" t="s">
        <v>5166</v>
      </c>
      <c r="D661" t="s">
        <v>5396</v>
      </c>
      <c r="E661">
        <v>6</v>
      </c>
      <c r="F661" t="str">
        <f>IF(AND(Entities[[#This Row],[ENT_TYPE]]="County",RIGHT(Entities[[#This Row],[ENT_NAME]],6)&lt;&gt;"County"),_xlfn.TEXTJOIN(" ",TRUE,Entities[[#This Row],[ENT_NAME]],"County"),Entities[[#This Row],[ENT_NAME]])</f>
        <v>West Brazoria County Drainage District</v>
      </c>
    </row>
    <row r="662" spans="1:6" x14ac:dyDescent="0.25">
      <c r="A662" s="304" t="s">
        <v>5395</v>
      </c>
      <c r="B662" s="303" t="str">
        <f t="shared" si="10"/>
        <v>x00001801</v>
      </c>
      <c r="C662" t="s">
        <v>4</v>
      </c>
      <c r="D662" t="s">
        <v>5396</v>
      </c>
      <c r="E662">
        <v>8</v>
      </c>
      <c r="F662" t="str">
        <f>IF(AND(Entities[[#This Row],[ENT_TYPE]]="County",RIGHT(Entities[[#This Row],[ENT_NAME]],6)&lt;&gt;"County"),_xlfn.TEXTJOIN(" ",TRUE,Entities[[#This Row],[ENT_NAME]],"County"),Entities[[#This Row],[ENT_NAME]])</f>
        <v>West Brazoria County Drainage District</v>
      </c>
    </row>
    <row r="663" spans="1:6" x14ac:dyDescent="0.25">
      <c r="A663" s="304" t="s">
        <v>5395</v>
      </c>
      <c r="B663" s="303" t="str">
        <f t="shared" si="10"/>
        <v>x00001801</v>
      </c>
      <c r="C663" t="s">
        <v>5166</v>
      </c>
      <c r="D663" t="s">
        <v>5396</v>
      </c>
      <c r="E663">
        <v>10</v>
      </c>
      <c r="F663" t="str">
        <f>IF(AND(Entities[[#This Row],[ENT_TYPE]]="County",RIGHT(Entities[[#This Row],[ENT_NAME]],6)&lt;&gt;"County"),_xlfn.TEXTJOIN(" ",TRUE,Entities[[#This Row],[ENT_NAME]],"County"),Entities[[#This Row],[ENT_NAME]])</f>
        <v>West Brazoria County Drainage District</v>
      </c>
    </row>
    <row r="664" spans="1:6" x14ac:dyDescent="0.25">
      <c r="A664" s="304" t="s">
        <v>5397</v>
      </c>
      <c r="B664" s="303" t="str">
        <f t="shared" si="10"/>
        <v>x00001824</v>
      </c>
      <c r="C664" t="s">
        <v>4</v>
      </c>
      <c r="D664" t="s">
        <v>5398</v>
      </c>
      <c r="E664">
        <v>0</v>
      </c>
      <c r="F664" t="str">
        <f>IF(AND(Entities[[#This Row],[ENT_TYPE]]="County",RIGHT(Entities[[#This Row],[ENT_NAME]],6)&lt;&gt;"County"),_xlfn.TEXTJOIN(" ",TRUE,Entities[[#This Row],[ENT_NAME]],"County"),Entities[[#This Row],[ENT_NAME]])</f>
        <v>Attoyac Bayou Watershed Authority</v>
      </c>
    </row>
    <row r="665" spans="1:6" x14ac:dyDescent="0.25">
      <c r="A665" s="304" t="s">
        <v>5399</v>
      </c>
      <c r="B665" s="303" t="str">
        <f t="shared" si="10"/>
        <v>x00001838</v>
      </c>
      <c r="C665" t="s">
        <v>4</v>
      </c>
      <c r="D665" t="s">
        <v>5400</v>
      </c>
      <c r="E665">
        <v>6</v>
      </c>
      <c r="F665" t="str">
        <f>IF(AND(Entities[[#This Row],[ENT_TYPE]]="County",RIGHT(Entities[[#This Row],[ENT_NAME]],6)&lt;&gt;"County"),_xlfn.TEXTJOIN(" ",TRUE,Entities[[#This Row],[ENT_NAME]],"County"),Entities[[#This Row],[ENT_NAME]])</f>
        <v>Fort Bend County MUD 50</v>
      </c>
    </row>
    <row r="666" spans="1:6" x14ac:dyDescent="0.25">
      <c r="A666" s="304" t="s">
        <v>5399</v>
      </c>
      <c r="B666" s="303" t="str">
        <f t="shared" si="10"/>
        <v>x00001838</v>
      </c>
      <c r="C666" t="s">
        <v>4</v>
      </c>
      <c r="D666" t="s">
        <v>5400</v>
      </c>
      <c r="E666">
        <v>8</v>
      </c>
      <c r="F666" t="str">
        <f>IF(AND(Entities[[#This Row],[ENT_TYPE]]="County",RIGHT(Entities[[#This Row],[ENT_NAME]],6)&lt;&gt;"County"),_xlfn.TEXTJOIN(" ",TRUE,Entities[[#This Row],[ENT_NAME]],"County"),Entities[[#This Row],[ENT_NAME]])</f>
        <v>Fort Bend County MUD 50</v>
      </c>
    </row>
    <row r="667" spans="1:6" x14ac:dyDescent="0.25">
      <c r="A667" s="302" t="s">
        <v>5401</v>
      </c>
      <c r="B667" s="303" t="str">
        <f t="shared" si="10"/>
        <v>x00001842</v>
      </c>
      <c r="C667" t="s">
        <v>4</v>
      </c>
      <c r="D667" t="s">
        <v>5402</v>
      </c>
      <c r="E667">
        <v>6</v>
      </c>
      <c r="F667" t="str">
        <f>IF(AND(Entities[[#This Row],[ENT_TYPE]]="County",RIGHT(Entities[[#This Row],[ENT_NAME]],6)&lt;&gt;"County"),_xlfn.TEXTJOIN(" ",TRUE,Entities[[#This Row],[ENT_NAME]],"County"),Entities[[#This Row],[ENT_NAME]])</f>
        <v>Fort Bend County MUD 156</v>
      </c>
    </row>
    <row r="668" spans="1:6" x14ac:dyDescent="0.25">
      <c r="A668" s="304" t="s">
        <v>5401</v>
      </c>
      <c r="B668" s="303" t="str">
        <f t="shared" si="10"/>
        <v>x00001842</v>
      </c>
      <c r="C668" t="s">
        <v>4</v>
      </c>
      <c r="D668" t="s">
        <v>5402</v>
      </c>
      <c r="E668">
        <v>8</v>
      </c>
      <c r="F668" t="str">
        <f>IF(AND(Entities[[#This Row],[ENT_TYPE]]="County",RIGHT(Entities[[#This Row],[ENT_NAME]],6)&lt;&gt;"County"),_xlfn.TEXTJOIN(" ",TRUE,Entities[[#This Row],[ENT_NAME]],"County"),Entities[[#This Row],[ENT_NAME]])</f>
        <v>Fort Bend County MUD 156</v>
      </c>
    </row>
    <row r="669" spans="1:6" x14ac:dyDescent="0.25">
      <c r="A669" s="304" t="s">
        <v>5403</v>
      </c>
      <c r="B669" s="303" t="str">
        <f t="shared" si="10"/>
        <v>x00001844</v>
      </c>
      <c r="C669" t="s">
        <v>4</v>
      </c>
      <c r="D669" t="s">
        <v>5404</v>
      </c>
      <c r="E669">
        <v>6</v>
      </c>
      <c r="F669" t="str">
        <f>IF(AND(Entities[[#This Row],[ENT_TYPE]]="County",RIGHT(Entities[[#This Row],[ENT_NAME]],6)&lt;&gt;"County"),_xlfn.TEXTJOIN(" ",TRUE,Entities[[#This Row],[ENT_NAME]],"County"),Entities[[#This Row],[ENT_NAME]])</f>
        <v>Fort Bend County MUD 142</v>
      </c>
    </row>
    <row r="670" spans="1:6" x14ac:dyDescent="0.25">
      <c r="A670" s="304" t="s">
        <v>5403</v>
      </c>
      <c r="B670" s="303" t="str">
        <f t="shared" si="10"/>
        <v>x00001844</v>
      </c>
      <c r="C670" t="s">
        <v>4</v>
      </c>
      <c r="D670" t="s">
        <v>5404</v>
      </c>
      <c r="E670">
        <v>8</v>
      </c>
      <c r="F670" t="str">
        <f>IF(AND(Entities[[#This Row],[ENT_TYPE]]="County",RIGHT(Entities[[#This Row],[ENT_NAME]],6)&lt;&gt;"County"),_xlfn.TEXTJOIN(" ",TRUE,Entities[[#This Row],[ENT_NAME]],"County"),Entities[[#This Row],[ENT_NAME]])</f>
        <v>Fort Bend County MUD 142</v>
      </c>
    </row>
    <row r="671" spans="1:6" x14ac:dyDescent="0.25">
      <c r="A671" s="302" t="s">
        <v>5405</v>
      </c>
      <c r="B671" s="303" t="str">
        <f t="shared" si="10"/>
        <v>x00001930</v>
      </c>
      <c r="C671" t="s">
        <v>4</v>
      </c>
      <c r="D671" t="s">
        <v>5406</v>
      </c>
      <c r="E671">
        <v>6</v>
      </c>
      <c r="F671" t="str">
        <f>IF(AND(Entities[[#This Row],[ENT_TYPE]]="County",RIGHT(Entities[[#This Row],[ENT_NAME]],6)&lt;&gt;"County"),_xlfn.TEXTJOIN(" ",TRUE,Entities[[#This Row],[ENT_NAME]],"County"),Entities[[#This Row],[ENT_NAME]])</f>
        <v>Fort Bend County MUD 173</v>
      </c>
    </row>
    <row r="672" spans="1:6" x14ac:dyDescent="0.25">
      <c r="A672" s="304" t="s">
        <v>5405</v>
      </c>
      <c r="B672" s="303" t="str">
        <f t="shared" si="10"/>
        <v>x00001930</v>
      </c>
      <c r="C672" t="s">
        <v>4</v>
      </c>
      <c r="D672" t="s">
        <v>5406</v>
      </c>
      <c r="E672">
        <v>8</v>
      </c>
      <c r="F672" t="str">
        <f>IF(AND(Entities[[#This Row],[ENT_TYPE]]="County",RIGHT(Entities[[#This Row],[ENT_NAME]],6)&lt;&gt;"County"),_xlfn.TEXTJOIN(" ",TRUE,Entities[[#This Row],[ENT_NAME]],"County"),Entities[[#This Row],[ENT_NAME]])</f>
        <v>Fort Bend County MUD 173</v>
      </c>
    </row>
    <row r="673" spans="1:6" x14ac:dyDescent="0.25">
      <c r="A673" s="304" t="s">
        <v>5407</v>
      </c>
      <c r="B673" s="303" t="str">
        <f t="shared" si="10"/>
        <v>x00001978</v>
      </c>
      <c r="C673" t="s">
        <v>4</v>
      </c>
      <c r="D673" t="s">
        <v>5408</v>
      </c>
      <c r="E673">
        <v>6</v>
      </c>
      <c r="F673" t="str">
        <f>IF(AND(Entities[[#This Row],[ENT_TYPE]]="County",RIGHT(Entities[[#This Row],[ENT_NAME]],6)&lt;&gt;"County"),_xlfn.TEXTJOIN(" ",TRUE,Entities[[#This Row],[ENT_NAME]],"County"),Entities[[#This Row],[ENT_NAME]])</f>
        <v>Fort Bend County MUD 206</v>
      </c>
    </row>
    <row r="674" spans="1:6" x14ac:dyDescent="0.25">
      <c r="A674" s="302" t="s">
        <v>5407</v>
      </c>
      <c r="B674" s="303" t="str">
        <f t="shared" si="10"/>
        <v>x00001978</v>
      </c>
      <c r="C674" t="s">
        <v>4</v>
      </c>
      <c r="D674" t="s">
        <v>5408</v>
      </c>
      <c r="E674">
        <v>8</v>
      </c>
      <c r="F674" t="str">
        <f>IF(AND(Entities[[#This Row],[ENT_TYPE]]="County",RIGHT(Entities[[#This Row],[ENT_NAME]],6)&lt;&gt;"County"),_xlfn.TEXTJOIN(" ",TRUE,Entities[[#This Row],[ENT_NAME]],"County"),Entities[[#This Row],[ENT_NAME]])</f>
        <v>Fort Bend County MUD 206</v>
      </c>
    </row>
    <row r="675" spans="1:6" x14ac:dyDescent="0.25">
      <c r="A675" s="302" t="s">
        <v>5409</v>
      </c>
      <c r="B675" s="303" t="str">
        <f t="shared" si="10"/>
        <v>x00001990</v>
      </c>
      <c r="C675" t="s">
        <v>4</v>
      </c>
      <c r="D675" t="s">
        <v>5410</v>
      </c>
      <c r="E675">
        <v>8</v>
      </c>
      <c r="F675" t="str">
        <f>IF(AND(Entities[[#This Row],[ENT_TYPE]]="County",RIGHT(Entities[[#This Row],[ENT_NAME]],6)&lt;&gt;"County"),_xlfn.TEXTJOIN(" ",TRUE,Entities[[#This Row],[ENT_NAME]],"County"),Entities[[#This Row],[ENT_NAME]])</f>
        <v>Lakeside WCID 2-A</v>
      </c>
    </row>
    <row r="676" spans="1:6" x14ac:dyDescent="0.25">
      <c r="A676" s="302" t="s">
        <v>5409</v>
      </c>
      <c r="B676" s="303" t="str">
        <f t="shared" si="10"/>
        <v>x00001990</v>
      </c>
      <c r="C676" t="s">
        <v>5166</v>
      </c>
      <c r="D676" t="s">
        <v>5410</v>
      </c>
      <c r="E676">
        <v>10</v>
      </c>
      <c r="F676" t="str">
        <f>IF(AND(Entities[[#This Row],[ENT_TYPE]]="County",RIGHT(Entities[[#This Row],[ENT_NAME]],6)&lt;&gt;"County"),_xlfn.TEXTJOIN(" ",TRUE,Entities[[#This Row],[ENT_NAME]],"County"),Entities[[#This Row],[ENT_NAME]])</f>
        <v>Lakeside WCID 2-A</v>
      </c>
    </row>
    <row r="677" spans="1:6" x14ac:dyDescent="0.25">
      <c r="A677" s="302" t="s">
        <v>5411</v>
      </c>
      <c r="B677" s="303" t="str">
        <f t="shared" si="10"/>
        <v>x00002012</v>
      </c>
      <c r="C677" t="s">
        <v>4</v>
      </c>
      <c r="D677" t="s">
        <v>5412</v>
      </c>
      <c r="E677">
        <v>6</v>
      </c>
      <c r="F677" t="str">
        <f>IF(AND(Entities[[#This Row],[ENT_TYPE]]="County",RIGHT(Entities[[#This Row],[ENT_NAME]],6)&lt;&gt;"County"),_xlfn.TEXTJOIN(" ",TRUE,Entities[[#This Row],[ENT_NAME]],"County"),Entities[[#This Row],[ENT_NAME]])</f>
        <v>Fort Bend County MUD 48</v>
      </c>
    </row>
    <row r="678" spans="1:6" x14ac:dyDescent="0.25">
      <c r="A678" s="304" t="s">
        <v>5411</v>
      </c>
      <c r="B678" s="303" t="str">
        <f t="shared" si="10"/>
        <v>x00002012</v>
      </c>
      <c r="C678" t="s">
        <v>4</v>
      </c>
      <c r="D678" t="s">
        <v>5412</v>
      </c>
      <c r="E678">
        <v>8</v>
      </c>
      <c r="F678" t="str">
        <f>IF(AND(Entities[[#This Row],[ENT_TYPE]]="County",RIGHT(Entities[[#This Row],[ENT_NAME]],6)&lt;&gt;"County"),_xlfn.TEXTJOIN(" ",TRUE,Entities[[#This Row],[ENT_NAME]],"County"),Entities[[#This Row],[ENT_NAME]])</f>
        <v>Fort Bend County MUD 48</v>
      </c>
    </row>
    <row r="679" spans="1:6" x14ac:dyDescent="0.25">
      <c r="A679" s="302" t="s">
        <v>5413</v>
      </c>
      <c r="B679" s="303" t="str">
        <f t="shared" si="10"/>
        <v>x00002023</v>
      </c>
      <c r="C679" t="s">
        <v>4</v>
      </c>
      <c r="D679" t="s">
        <v>5414</v>
      </c>
      <c r="E679">
        <v>6</v>
      </c>
      <c r="F679" t="str">
        <f>IF(AND(Entities[[#This Row],[ENT_TYPE]]="County",RIGHT(Entities[[#This Row],[ENT_NAME]],6)&lt;&gt;"County"),_xlfn.TEXTJOIN(" ",TRUE,Entities[[#This Row],[ENT_NAME]],"County"),Entities[[#This Row],[ENT_NAME]])</f>
        <v>Kingsbridge MUD</v>
      </c>
    </row>
    <row r="680" spans="1:6" x14ac:dyDescent="0.25">
      <c r="A680" s="304" t="s">
        <v>5413</v>
      </c>
      <c r="B680" s="303" t="str">
        <f t="shared" si="10"/>
        <v>x00002023</v>
      </c>
      <c r="C680" t="s">
        <v>4</v>
      </c>
      <c r="D680" t="s">
        <v>5414</v>
      </c>
      <c r="E680">
        <v>8</v>
      </c>
      <c r="F680" t="str">
        <f>IF(AND(Entities[[#This Row],[ENT_TYPE]]="County",RIGHT(Entities[[#This Row],[ENT_NAME]],6)&lt;&gt;"County"),_xlfn.TEXTJOIN(" ",TRUE,Entities[[#This Row],[ENT_NAME]],"County"),Entities[[#This Row],[ENT_NAME]])</f>
        <v>Kingsbridge MUD</v>
      </c>
    </row>
    <row r="681" spans="1:6" x14ac:dyDescent="0.25">
      <c r="A681" s="304" t="s">
        <v>5415</v>
      </c>
      <c r="B681" s="303" t="str">
        <f t="shared" si="10"/>
        <v>x00002028</v>
      </c>
      <c r="C681" t="s">
        <v>4</v>
      </c>
      <c r="D681" t="s">
        <v>5416</v>
      </c>
      <c r="E681">
        <v>6</v>
      </c>
      <c r="F681" t="str">
        <f>IF(AND(Entities[[#This Row],[ENT_TYPE]]="County",RIGHT(Entities[[#This Row],[ENT_NAME]],6)&lt;&gt;"County"),_xlfn.TEXTJOIN(" ",TRUE,Entities[[#This Row],[ENT_NAME]],"County"),Entities[[#This Row],[ENT_NAME]])</f>
        <v>Fort Bend County MUD 189</v>
      </c>
    </row>
    <row r="682" spans="1:6" x14ac:dyDescent="0.25">
      <c r="A682" s="304" t="s">
        <v>5415</v>
      </c>
      <c r="B682" s="303" t="str">
        <f t="shared" si="10"/>
        <v>x00002028</v>
      </c>
      <c r="C682" t="s">
        <v>4</v>
      </c>
      <c r="D682" t="s">
        <v>5416</v>
      </c>
      <c r="E682">
        <v>8</v>
      </c>
      <c r="F682" t="str">
        <f>IF(AND(Entities[[#This Row],[ENT_TYPE]]="County",RIGHT(Entities[[#This Row],[ENT_NAME]],6)&lt;&gt;"County"),_xlfn.TEXTJOIN(" ",TRUE,Entities[[#This Row],[ENT_NAME]],"County"),Entities[[#This Row],[ENT_NAME]])</f>
        <v>Fort Bend County MUD 189</v>
      </c>
    </row>
    <row r="683" spans="1:6" x14ac:dyDescent="0.25">
      <c r="A683" s="302" t="s">
        <v>5417</v>
      </c>
      <c r="B683" s="303" t="str">
        <f t="shared" si="10"/>
        <v>x00002044</v>
      </c>
      <c r="C683" t="s">
        <v>5166</v>
      </c>
      <c r="D683" t="s">
        <v>5418</v>
      </c>
      <c r="E683">
        <v>6</v>
      </c>
      <c r="F683" t="str">
        <f>IF(AND(Entities[[#This Row],[ENT_TYPE]]="County",RIGHT(Entities[[#This Row],[ENT_NAME]],6)&lt;&gt;"County"),_xlfn.TEXTJOIN(" ",TRUE,Entities[[#This Row],[ENT_NAME]],"County"),Entities[[#This Row],[ENT_NAME]])</f>
        <v>Fort Bend County Drainage District</v>
      </c>
    </row>
    <row r="684" spans="1:6" x14ac:dyDescent="0.25">
      <c r="A684" s="304" t="s">
        <v>5417</v>
      </c>
      <c r="B684" s="303" t="str">
        <f t="shared" si="10"/>
        <v>x00002044</v>
      </c>
      <c r="C684" t="s">
        <v>4</v>
      </c>
      <c r="D684" t="s">
        <v>5418</v>
      </c>
      <c r="E684">
        <v>8</v>
      </c>
      <c r="F684" t="str">
        <f>IF(AND(Entities[[#This Row],[ENT_TYPE]]="County",RIGHT(Entities[[#This Row],[ENT_NAME]],6)&lt;&gt;"County"),_xlfn.TEXTJOIN(" ",TRUE,Entities[[#This Row],[ENT_NAME]],"County"),Entities[[#This Row],[ENT_NAME]])</f>
        <v>Fort Bend County Drainage District</v>
      </c>
    </row>
    <row r="685" spans="1:6" x14ac:dyDescent="0.25">
      <c r="A685" s="304" t="s">
        <v>5417</v>
      </c>
      <c r="B685" s="303" t="str">
        <f t="shared" si="10"/>
        <v>x00002044</v>
      </c>
      <c r="C685" t="s">
        <v>5166</v>
      </c>
      <c r="D685" t="s">
        <v>5418</v>
      </c>
      <c r="E685">
        <v>10</v>
      </c>
      <c r="F685" t="str">
        <f>IF(AND(Entities[[#This Row],[ENT_TYPE]]="County",RIGHT(Entities[[#This Row],[ENT_NAME]],6)&lt;&gt;"County"),_xlfn.TEXTJOIN(" ",TRUE,Entities[[#This Row],[ENT_NAME]],"County"),Entities[[#This Row],[ENT_NAME]])</f>
        <v>Fort Bend County Drainage District</v>
      </c>
    </row>
    <row r="686" spans="1:6" x14ac:dyDescent="0.25">
      <c r="A686" s="302" t="s">
        <v>5419</v>
      </c>
      <c r="B686" s="303" t="str">
        <f t="shared" si="10"/>
        <v>x00002045</v>
      </c>
      <c r="C686" t="s">
        <v>4</v>
      </c>
      <c r="D686" t="s">
        <v>5420</v>
      </c>
      <c r="E686">
        <v>6</v>
      </c>
      <c r="F686" t="str">
        <f>IF(AND(Entities[[#This Row],[ENT_TYPE]]="County",RIGHT(Entities[[#This Row],[ENT_NAME]],6)&lt;&gt;"County"),_xlfn.TEXTJOIN(" ",TRUE,Entities[[#This Row],[ENT_NAME]],"County"),Entities[[#This Row],[ENT_NAME]])</f>
        <v>Fort Bend County MUD 182</v>
      </c>
    </row>
    <row r="687" spans="1:6" x14ac:dyDescent="0.25">
      <c r="A687" s="302" t="s">
        <v>5419</v>
      </c>
      <c r="B687" s="303" t="str">
        <f t="shared" si="10"/>
        <v>x00002045</v>
      </c>
      <c r="C687" t="s">
        <v>4</v>
      </c>
      <c r="D687" t="s">
        <v>5420</v>
      </c>
      <c r="E687">
        <v>8</v>
      </c>
      <c r="F687" t="str">
        <f>IF(AND(Entities[[#This Row],[ENT_TYPE]]="County",RIGHT(Entities[[#This Row],[ENT_NAME]],6)&lt;&gt;"County"),_xlfn.TEXTJOIN(" ",TRUE,Entities[[#This Row],[ENT_NAME]],"County"),Entities[[#This Row],[ENT_NAME]])</f>
        <v>Fort Bend County MUD 182</v>
      </c>
    </row>
    <row r="688" spans="1:6" x14ac:dyDescent="0.25">
      <c r="A688" s="304" t="s">
        <v>5421</v>
      </c>
      <c r="B688" s="303" t="str">
        <f t="shared" si="10"/>
        <v>x00002046</v>
      </c>
      <c r="C688" t="s">
        <v>4</v>
      </c>
      <c r="D688" t="s">
        <v>5422</v>
      </c>
      <c r="E688">
        <v>6</v>
      </c>
      <c r="F688" t="str">
        <f>IF(AND(Entities[[#This Row],[ENT_TYPE]]="County",RIGHT(Entities[[#This Row],[ENT_NAME]],6)&lt;&gt;"County"),_xlfn.TEXTJOIN(" ",TRUE,Entities[[#This Row],[ENT_NAME]],"County"),Entities[[#This Row],[ENT_NAME]])</f>
        <v>North Fort Bend Water Authority</v>
      </c>
    </row>
    <row r="689" spans="1:6" x14ac:dyDescent="0.25">
      <c r="A689" s="304" t="s">
        <v>5421</v>
      </c>
      <c r="B689" s="303" t="str">
        <f t="shared" si="10"/>
        <v>x00002046</v>
      </c>
      <c r="C689" t="s">
        <v>4</v>
      </c>
      <c r="D689" t="s">
        <v>5422</v>
      </c>
      <c r="E689">
        <v>8</v>
      </c>
      <c r="F689" t="str">
        <f>IF(AND(Entities[[#This Row],[ENT_TYPE]]="County",RIGHT(Entities[[#This Row],[ENT_NAME]],6)&lt;&gt;"County"),_xlfn.TEXTJOIN(" ",TRUE,Entities[[#This Row],[ENT_NAME]],"County"),Entities[[#This Row],[ENT_NAME]])</f>
        <v>North Fort Bend Water Authority</v>
      </c>
    </row>
    <row r="690" spans="1:6" x14ac:dyDescent="0.25">
      <c r="A690" s="302" t="s">
        <v>5423</v>
      </c>
      <c r="B690" s="303" t="str">
        <f t="shared" si="10"/>
        <v>x00002047</v>
      </c>
      <c r="C690" t="s">
        <v>4</v>
      </c>
      <c r="D690" t="s">
        <v>5424</v>
      </c>
      <c r="E690">
        <v>6</v>
      </c>
      <c r="F690" t="str">
        <f>IF(AND(Entities[[#This Row],[ENT_TYPE]]="County",RIGHT(Entities[[#This Row],[ENT_NAME]],6)&lt;&gt;"County"),_xlfn.TEXTJOIN(" ",TRUE,Entities[[#This Row],[ENT_NAME]],"County"),Entities[[#This Row],[ENT_NAME]])</f>
        <v>Fulshear MUD 3</v>
      </c>
    </row>
    <row r="691" spans="1:6" x14ac:dyDescent="0.25">
      <c r="A691" s="302" t="s">
        <v>5423</v>
      </c>
      <c r="B691" s="303" t="str">
        <f t="shared" si="10"/>
        <v>x00002047</v>
      </c>
      <c r="C691" t="s">
        <v>4</v>
      </c>
      <c r="D691" t="s">
        <v>5424</v>
      </c>
      <c r="E691">
        <v>8</v>
      </c>
      <c r="F691" t="str">
        <f>IF(AND(Entities[[#This Row],[ENT_TYPE]]="County",RIGHT(Entities[[#This Row],[ENT_NAME]],6)&lt;&gt;"County"),_xlfn.TEXTJOIN(" ",TRUE,Entities[[#This Row],[ENT_NAME]],"County"),Entities[[#This Row],[ENT_NAME]])</f>
        <v>Fulshear MUD 3</v>
      </c>
    </row>
    <row r="692" spans="1:6" x14ac:dyDescent="0.25">
      <c r="A692" s="304" t="s">
        <v>5425</v>
      </c>
      <c r="B692" s="303" t="str">
        <f t="shared" si="10"/>
        <v>x00002089</v>
      </c>
      <c r="C692" t="s">
        <v>4</v>
      </c>
      <c r="D692" t="s">
        <v>5426</v>
      </c>
      <c r="E692">
        <v>2</v>
      </c>
      <c r="F692" t="str">
        <f>IF(AND(Entities[[#This Row],[ENT_TYPE]]="County",RIGHT(Entities[[#This Row],[ENT_NAME]],6)&lt;&gt;"County"),_xlfn.TEXTJOIN(" ",TRUE,Entities[[#This Row],[ENT_NAME]],"County"),Entities[[#This Row],[ENT_NAME]])</f>
        <v>Tryon Road SUD</v>
      </c>
    </row>
    <row r="693" spans="1:6" x14ac:dyDescent="0.25">
      <c r="A693" s="304" t="s">
        <v>5425</v>
      </c>
      <c r="B693" s="303" t="str">
        <f t="shared" si="10"/>
        <v>x00002089</v>
      </c>
      <c r="C693" t="s">
        <v>4</v>
      </c>
      <c r="D693" t="s">
        <v>5426</v>
      </c>
      <c r="E693">
        <v>4</v>
      </c>
      <c r="F693" t="str">
        <f>IF(AND(Entities[[#This Row],[ENT_TYPE]]="County",RIGHT(Entities[[#This Row],[ENT_NAME]],6)&lt;&gt;"County"),_xlfn.TEXTJOIN(" ",TRUE,Entities[[#This Row],[ENT_NAME]],"County"),Entities[[#This Row],[ENT_NAME]])</f>
        <v>Tryon Road SUD</v>
      </c>
    </row>
    <row r="694" spans="1:6" x14ac:dyDescent="0.25">
      <c r="A694" s="302" t="s">
        <v>5427</v>
      </c>
      <c r="B694" s="303" t="str">
        <f t="shared" si="10"/>
        <v>x00002121</v>
      </c>
      <c r="C694" t="s">
        <v>4</v>
      </c>
      <c r="D694" t="s">
        <v>5428</v>
      </c>
      <c r="E694">
        <v>11</v>
      </c>
      <c r="F694" t="str">
        <f>IF(AND(Entities[[#This Row],[ENT_TYPE]]="County",RIGHT(Entities[[#This Row],[ENT_NAME]],6)&lt;&gt;"County"),_xlfn.TEXTJOIN(" ",TRUE,Entities[[#This Row],[ENT_NAME]],"County"),Entities[[#This Row],[ENT_NAME]])</f>
        <v>Comal County WCID 6</v>
      </c>
    </row>
    <row r="695" spans="1:6" x14ac:dyDescent="0.25">
      <c r="A695" s="302" t="s">
        <v>5427</v>
      </c>
      <c r="B695" s="303" t="str">
        <f t="shared" si="10"/>
        <v>x00002121</v>
      </c>
      <c r="C695" t="s">
        <v>4</v>
      </c>
      <c r="D695" t="s">
        <v>5428</v>
      </c>
      <c r="E695">
        <v>12</v>
      </c>
      <c r="F695" t="str">
        <f>IF(AND(Entities[[#This Row],[ENT_TYPE]]="County",RIGHT(Entities[[#This Row],[ENT_NAME]],6)&lt;&gt;"County"),_xlfn.TEXTJOIN(" ",TRUE,Entities[[#This Row],[ENT_NAME]],"County"),Entities[[#This Row],[ENT_NAME]])</f>
        <v>Comal County WCID 6</v>
      </c>
    </row>
    <row r="696" spans="1:6" x14ac:dyDescent="0.25">
      <c r="A696" s="302" t="s">
        <v>5429</v>
      </c>
      <c r="B696" s="303" t="str">
        <f t="shared" si="10"/>
        <v>x00002127</v>
      </c>
      <c r="C696" t="s">
        <v>4</v>
      </c>
      <c r="D696" t="s">
        <v>5430</v>
      </c>
      <c r="E696">
        <v>6</v>
      </c>
      <c r="F696" t="str">
        <f>IF(AND(Entities[[#This Row],[ENT_TYPE]]="County",RIGHT(Entities[[#This Row],[ENT_NAME]],6)&lt;&gt;"County"),_xlfn.TEXTJOIN(" ",TRUE,Entities[[#This Row],[ENT_NAME]],"County"),Entities[[#This Row],[ENT_NAME]])</f>
        <v>Fort Bend Coutny MUD 133</v>
      </c>
    </row>
    <row r="697" spans="1:6" x14ac:dyDescent="0.25">
      <c r="A697" s="304" t="s">
        <v>5429</v>
      </c>
      <c r="B697" s="303" t="str">
        <f t="shared" si="10"/>
        <v>x00002127</v>
      </c>
      <c r="C697" t="s">
        <v>4</v>
      </c>
      <c r="D697" t="s">
        <v>5431</v>
      </c>
      <c r="E697">
        <v>8</v>
      </c>
      <c r="F697" t="str">
        <f>IF(AND(Entities[[#This Row],[ENT_TYPE]]="County",RIGHT(Entities[[#This Row],[ENT_NAME]],6)&lt;&gt;"County"),_xlfn.TEXTJOIN(" ",TRUE,Entities[[#This Row],[ENT_NAME]],"County"),Entities[[#This Row],[ENT_NAME]])</f>
        <v>Fort Bend County MUD 133</v>
      </c>
    </row>
    <row r="698" spans="1:6" x14ac:dyDescent="0.25">
      <c r="A698" s="304" t="s">
        <v>5432</v>
      </c>
      <c r="B698" s="303" t="str">
        <f t="shared" si="10"/>
        <v>x00002185</v>
      </c>
      <c r="C698" t="s">
        <v>4</v>
      </c>
      <c r="D698" t="s">
        <v>5433</v>
      </c>
      <c r="E698">
        <v>6</v>
      </c>
      <c r="F698" t="str">
        <f>IF(AND(Entities[[#This Row],[ENT_TYPE]]="County",RIGHT(Entities[[#This Row],[ENT_NAME]],6)&lt;&gt;"County"),_xlfn.TEXTJOIN(" ",TRUE,Entities[[#This Row],[ENT_NAME]],"County"),Entities[[#This Row],[ENT_NAME]])</f>
        <v>Missouri City Management District 1</v>
      </c>
    </row>
    <row r="699" spans="1:6" x14ac:dyDescent="0.25">
      <c r="A699" s="304" t="s">
        <v>5432</v>
      </c>
      <c r="B699" s="303" t="str">
        <f t="shared" si="10"/>
        <v>x00002185</v>
      </c>
      <c r="C699" t="s">
        <v>4</v>
      </c>
      <c r="D699" t="s">
        <v>5433</v>
      </c>
      <c r="E699">
        <v>8</v>
      </c>
      <c r="F699" t="str">
        <f>IF(AND(Entities[[#This Row],[ENT_TYPE]]="County",RIGHT(Entities[[#This Row],[ENT_NAME]],6)&lt;&gt;"County"),_xlfn.TEXTJOIN(" ",TRUE,Entities[[#This Row],[ENT_NAME]],"County"),Entities[[#This Row],[ENT_NAME]])</f>
        <v>Missouri City Management District 1</v>
      </c>
    </row>
    <row r="700" spans="1:6" x14ac:dyDescent="0.25">
      <c r="A700" s="302" t="s">
        <v>5434</v>
      </c>
      <c r="B700" s="303" t="str">
        <f t="shared" si="10"/>
        <v>x00002198</v>
      </c>
      <c r="C700" t="s">
        <v>4</v>
      </c>
      <c r="D700" t="s">
        <v>5435</v>
      </c>
      <c r="E700">
        <v>6</v>
      </c>
      <c r="F700" t="str">
        <f>IF(AND(Entities[[#This Row],[ENT_TYPE]]="County",RIGHT(Entities[[#This Row],[ENT_NAME]],6)&lt;&gt;"County"),_xlfn.TEXTJOIN(" ",TRUE,Entities[[#This Row],[ENT_NAME]],"County"),Entities[[#This Row],[ENT_NAME]])</f>
        <v>Brazoria County MUD 70</v>
      </c>
    </row>
    <row r="701" spans="1:6" x14ac:dyDescent="0.25">
      <c r="A701" s="304" t="s">
        <v>5434</v>
      </c>
      <c r="B701" s="303" t="str">
        <f t="shared" si="10"/>
        <v>x00002198</v>
      </c>
      <c r="C701" t="s">
        <v>4</v>
      </c>
      <c r="D701" t="s">
        <v>5435</v>
      </c>
      <c r="E701">
        <v>8</v>
      </c>
      <c r="F701" t="str">
        <f>IF(AND(Entities[[#This Row],[ENT_TYPE]]="County",RIGHT(Entities[[#This Row],[ENT_NAME]],6)&lt;&gt;"County"),_xlfn.TEXTJOIN(" ",TRUE,Entities[[#This Row],[ENT_NAME]],"County"),Entities[[#This Row],[ENT_NAME]])</f>
        <v>Brazoria County MUD 70</v>
      </c>
    </row>
    <row r="702" spans="1:6" x14ac:dyDescent="0.25">
      <c r="A702" s="302" t="s">
        <v>5436</v>
      </c>
      <c r="B702" s="303" t="str">
        <f t="shared" si="10"/>
        <v>x00002213</v>
      </c>
      <c r="C702" t="s">
        <v>4</v>
      </c>
      <c r="D702" t="s">
        <v>5437</v>
      </c>
      <c r="E702">
        <v>6</v>
      </c>
      <c r="F702" t="str">
        <f>IF(AND(Entities[[#This Row],[ENT_TYPE]]="County",RIGHT(Entities[[#This Row],[ENT_NAME]],6)&lt;&gt;"County"),_xlfn.TEXTJOIN(" ",TRUE,Entities[[#This Row],[ENT_NAME]],"County"),Entities[[#This Row],[ENT_NAME]])</f>
        <v>Fort Bend County MUD 141</v>
      </c>
    </row>
    <row r="703" spans="1:6" x14ac:dyDescent="0.25">
      <c r="A703" s="304" t="s">
        <v>5436</v>
      </c>
      <c r="B703" s="303" t="str">
        <f t="shared" si="10"/>
        <v>x00002213</v>
      </c>
      <c r="C703" t="s">
        <v>4</v>
      </c>
      <c r="D703" t="s">
        <v>5437</v>
      </c>
      <c r="E703">
        <v>8</v>
      </c>
      <c r="F703" t="str">
        <f>IF(AND(Entities[[#This Row],[ENT_TYPE]]="County",RIGHT(Entities[[#This Row],[ENT_NAME]],6)&lt;&gt;"County"),_xlfn.TEXTJOIN(" ",TRUE,Entities[[#This Row],[ENT_NAME]],"County"),Entities[[#This Row],[ENT_NAME]])</f>
        <v>Fort Bend County MUD 141</v>
      </c>
    </row>
    <row r="704" spans="1:6" x14ac:dyDescent="0.25">
      <c r="A704" s="302" t="s">
        <v>5438</v>
      </c>
      <c r="B704" s="303" t="str">
        <f t="shared" si="10"/>
        <v>x00002222</v>
      </c>
      <c r="C704" t="s">
        <v>4</v>
      </c>
      <c r="D704" t="s">
        <v>5439</v>
      </c>
      <c r="E704">
        <v>6</v>
      </c>
      <c r="F704" t="str">
        <f>IF(AND(Entities[[#This Row],[ENT_TYPE]]="County",RIGHT(Entities[[#This Row],[ENT_NAME]],6)&lt;&gt;"County"),_xlfn.TEXTJOIN(" ",TRUE,Entities[[#This Row],[ENT_NAME]],"County"),Entities[[#This Row],[ENT_NAME]])</f>
        <v>Chambers County MUD 3</v>
      </c>
    </row>
    <row r="705" spans="1:6" x14ac:dyDescent="0.25">
      <c r="A705" s="302" t="s">
        <v>5438</v>
      </c>
      <c r="B705" s="303" t="str">
        <f t="shared" si="10"/>
        <v>x00002222</v>
      </c>
      <c r="C705" t="s">
        <v>4</v>
      </c>
      <c r="D705" t="s">
        <v>5439</v>
      </c>
      <c r="E705">
        <v>3</v>
      </c>
      <c r="F705" t="str">
        <f>IF(AND(Entities[[#This Row],[ENT_TYPE]]="County",RIGHT(Entities[[#This Row],[ENT_NAME]],6)&lt;&gt;"County"),_xlfn.TEXTJOIN(" ",TRUE,Entities[[#This Row],[ENT_NAME]],"County"),Entities[[#This Row],[ENT_NAME]])</f>
        <v>Chambers County MUD 3</v>
      </c>
    </row>
    <row r="706" spans="1:6" x14ac:dyDescent="0.25">
      <c r="A706" s="304" t="s">
        <v>5440</v>
      </c>
      <c r="B706" s="303" t="str">
        <f t="shared" ref="B706:B769" si="11">_xlfn.CONCAT("x",TEXT(A706,"00000000"))</f>
        <v>x00002224</v>
      </c>
      <c r="C706" t="s">
        <v>4</v>
      </c>
      <c r="D706" t="s">
        <v>5441</v>
      </c>
      <c r="E706">
        <v>6</v>
      </c>
      <c r="F706" t="str">
        <f>IF(AND(Entities[[#This Row],[ENT_TYPE]]="County",RIGHT(Entities[[#This Row],[ENT_NAME]],6)&lt;&gt;"County"),_xlfn.TEXTJOIN(" ",TRUE,Entities[[#This Row],[ENT_NAME]],"County"),Entities[[#This Row],[ENT_NAME]])</f>
        <v>Waller County MUD 34</v>
      </c>
    </row>
    <row r="707" spans="1:6" x14ac:dyDescent="0.25">
      <c r="A707" s="302" t="s">
        <v>5440</v>
      </c>
      <c r="B707" s="303" t="str">
        <f t="shared" si="11"/>
        <v>x00002224</v>
      </c>
      <c r="C707" t="s">
        <v>4</v>
      </c>
      <c r="D707" t="s">
        <v>5441</v>
      </c>
      <c r="E707">
        <v>8</v>
      </c>
      <c r="F707" t="str">
        <f>IF(AND(Entities[[#This Row],[ENT_TYPE]]="County",RIGHT(Entities[[#This Row],[ENT_NAME]],6)&lt;&gt;"County"),_xlfn.TEXTJOIN(" ",TRUE,Entities[[#This Row],[ENT_NAME]],"County"),Entities[[#This Row],[ENT_NAME]])</f>
        <v>Waller County MUD 34</v>
      </c>
    </row>
    <row r="708" spans="1:6" x14ac:dyDescent="0.25">
      <c r="A708" s="304" t="s">
        <v>5442</v>
      </c>
      <c r="B708" s="303" t="str">
        <f t="shared" si="11"/>
        <v>x00002236</v>
      </c>
      <c r="C708" t="s">
        <v>5166</v>
      </c>
      <c r="D708" t="s">
        <v>5443</v>
      </c>
      <c r="E708">
        <v>0</v>
      </c>
      <c r="F708" t="str">
        <f>IF(AND(Entities[[#This Row],[ENT_TYPE]]="County",RIGHT(Entities[[#This Row],[ENT_NAME]],6)&lt;&gt;"County"),_xlfn.TEXTJOIN(" ",TRUE,Entities[[#This Row],[ENT_NAME]],"County"),Entities[[#This Row],[ENT_NAME]])</f>
        <v>Liberty County Drainage District</v>
      </c>
    </row>
    <row r="709" spans="1:6" x14ac:dyDescent="0.25">
      <c r="A709" s="304" t="s">
        <v>5442</v>
      </c>
      <c r="B709" s="303" t="str">
        <f t="shared" si="11"/>
        <v>x00002236</v>
      </c>
      <c r="C709" t="s">
        <v>5166</v>
      </c>
      <c r="D709" t="s">
        <v>5443</v>
      </c>
      <c r="E709">
        <v>6</v>
      </c>
      <c r="F709" t="str">
        <f>IF(AND(Entities[[#This Row],[ENT_TYPE]]="County",RIGHT(Entities[[#This Row],[ENT_NAME]],6)&lt;&gt;"County"),_xlfn.TEXTJOIN(" ",TRUE,Entities[[#This Row],[ENT_NAME]],"County"),Entities[[#This Row],[ENT_NAME]])</f>
        <v>Liberty County Drainage District</v>
      </c>
    </row>
    <row r="710" spans="1:6" x14ac:dyDescent="0.25">
      <c r="A710" s="302" t="s">
        <v>5442</v>
      </c>
      <c r="B710" s="303" t="str">
        <f t="shared" si="11"/>
        <v>x00002236</v>
      </c>
      <c r="C710" t="s">
        <v>4</v>
      </c>
      <c r="D710" t="s">
        <v>5443</v>
      </c>
      <c r="E710">
        <v>3</v>
      </c>
      <c r="F710" t="str">
        <f>IF(AND(Entities[[#This Row],[ENT_TYPE]]="County",RIGHT(Entities[[#This Row],[ENT_NAME]],6)&lt;&gt;"County"),_xlfn.TEXTJOIN(" ",TRUE,Entities[[#This Row],[ENT_NAME]],"County"),Entities[[#This Row],[ENT_NAME]])</f>
        <v>Liberty County Drainage District</v>
      </c>
    </row>
    <row r="711" spans="1:6" x14ac:dyDescent="0.25">
      <c r="A711" s="302" t="s">
        <v>5444</v>
      </c>
      <c r="B711" s="303" t="str">
        <f t="shared" si="11"/>
        <v>x00002280</v>
      </c>
      <c r="C711" t="s">
        <v>4</v>
      </c>
      <c r="D711" t="s">
        <v>5445</v>
      </c>
      <c r="E711">
        <v>6</v>
      </c>
      <c r="F711" t="str">
        <f>IF(AND(Entities[[#This Row],[ENT_TYPE]]="County",RIGHT(Entities[[#This Row],[ENT_NAME]],6)&lt;&gt;"County"),_xlfn.TEXTJOIN(" ",TRUE,Entities[[#This Row],[ENT_NAME]],"County"),Entities[[#This Row],[ENT_NAME]])</f>
        <v>Brazoria County MUD 77</v>
      </c>
    </row>
    <row r="712" spans="1:6" x14ac:dyDescent="0.25">
      <c r="A712" s="302" t="s">
        <v>5444</v>
      </c>
      <c r="B712" s="303" t="str">
        <f t="shared" si="11"/>
        <v>x00002280</v>
      </c>
      <c r="C712" t="s">
        <v>4</v>
      </c>
      <c r="D712" t="s">
        <v>5445</v>
      </c>
      <c r="E712">
        <v>8</v>
      </c>
      <c r="F712" t="str">
        <f>IF(AND(Entities[[#This Row],[ENT_TYPE]]="County",RIGHT(Entities[[#This Row],[ENT_NAME]],6)&lt;&gt;"County"),_xlfn.TEXTJOIN(" ",TRUE,Entities[[#This Row],[ENT_NAME]],"County"),Entities[[#This Row],[ENT_NAME]])</f>
        <v>Brazoria County MUD 77</v>
      </c>
    </row>
    <row r="713" spans="1:6" x14ac:dyDescent="0.25">
      <c r="A713" s="304" t="s">
        <v>5446</v>
      </c>
      <c r="B713" s="303" t="str">
        <f t="shared" si="11"/>
        <v>x00002281</v>
      </c>
      <c r="C713" t="s">
        <v>4</v>
      </c>
      <c r="D713" t="s">
        <v>5447</v>
      </c>
      <c r="E713">
        <v>8</v>
      </c>
      <c r="F713" t="str">
        <f>IF(AND(Entities[[#This Row],[ENT_TYPE]]="County",RIGHT(Entities[[#This Row],[ENT_NAME]],6)&lt;&gt;"County"),_xlfn.TEXTJOIN(" ",TRUE,Entities[[#This Row],[ENT_NAME]],"County"),Entities[[#This Row],[ENT_NAME]])</f>
        <v>Cresson Crossroads MUD 2</v>
      </c>
    </row>
    <row r="714" spans="1:6" x14ac:dyDescent="0.25">
      <c r="A714" s="302" t="s">
        <v>5446</v>
      </c>
      <c r="B714" s="303" t="str">
        <f t="shared" si="11"/>
        <v>x00002281</v>
      </c>
      <c r="C714" t="s">
        <v>4</v>
      </c>
      <c r="D714" t="s">
        <v>5447</v>
      </c>
      <c r="E714">
        <v>3</v>
      </c>
      <c r="F714" t="str">
        <f>IF(AND(Entities[[#This Row],[ENT_TYPE]]="County",RIGHT(Entities[[#This Row],[ENT_NAME]],6)&lt;&gt;"County"),_xlfn.TEXTJOIN(" ",TRUE,Entities[[#This Row],[ENT_NAME]],"County"),Entities[[#This Row],[ENT_NAME]])</f>
        <v>Cresson Crossroads MUD 2</v>
      </c>
    </row>
    <row r="715" spans="1:6" x14ac:dyDescent="0.25">
      <c r="A715" s="304" t="s">
        <v>5448</v>
      </c>
      <c r="B715" s="303" t="str">
        <f t="shared" si="11"/>
        <v>x00002294</v>
      </c>
      <c r="C715" t="s">
        <v>4</v>
      </c>
      <c r="D715" t="s">
        <v>5449</v>
      </c>
      <c r="E715">
        <v>6</v>
      </c>
      <c r="F715" t="str">
        <f>IF(AND(Entities[[#This Row],[ENT_TYPE]]="County",RIGHT(Entities[[#This Row],[ENT_NAME]],6)&lt;&gt;"County"),_xlfn.TEXTJOIN(" ",TRUE,Entities[[#This Row],[ENT_NAME]],"County"),Entities[[#This Row],[ENT_NAME]])</f>
        <v>Texas Heritage Parkway ID</v>
      </c>
    </row>
    <row r="716" spans="1:6" x14ac:dyDescent="0.25">
      <c r="A716" s="304" t="s">
        <v>5448</v>
      </c>
      <c r="B716" s="303" t="str">
        <f t="shared" si="11"/>
        <v>x00002294</v>
      </c>
      <c r="C716" t="s">
        <v>4</v>
      </c>
      <c r="D716" t="s">
        <v>5449</v>
      </c>
      <c r="E716">
        <v>8</v>
      </c>
      <c r="F716" t="str">
        <f>IF(AND(Entities[[#This Row],[ENT_TYPE]]="County",RIGHT(Entities[[#This Row],[ENT_NAME]],6)&lt;&gt;"County"),_xlfn.TEXTJOIN(" ",TRUE,Entities[[#This Row],[ENT_NAME]],"County"),Entities[[#This Row],[ENT_NAME]])</f>
        <v>Texas Heritage Parkway ID</v>
      </c>
    </row>
    <row r="717" spans="1:6" x14ac:dyDescent="0.25">
      <c r="A717" s="302" t="s">
        <v>5450</v>
      </c>
      <c r="B717" s="303" t="str">
        <f t="shared" si="11"/>
        <v>x00002305</v>
      </c>
      <c r="C717" t="s">
        <v>4</v>
      </c>
      <c r="D717" t="s">
        <v>5451</v>
      </c>
      <c r="E717">
        <v>6</v>
      </c>
      <c r="F717" t="str">
        <f>IF(AND(Entities[[#This Row],[ENT_TYPE]]="County",RIGHT(Entities[[#This Row],[ENT_NAME]],6)&lt;&gt;"County"),_xlfn.TEXTJOIN(" ",TRUE,Entities[[#This Row],[ENT_NAME]],"County"),Entities[[#This Row],[ENT_NAME]])</f>
        <v>Brazoria County MD 1</v>
      </c>
    </row>
    <row r="718" spans="1:6" x14ac:dyDescent="0.25">
      <c r="A718" s="304" t="s">
        <v>5450</v>
      </c>
      <c r="B718" s="303" t="str">
        <f t="shared" si="11"/>
        <v>x00002305</v>
      </c>
      <c r="C718" t="s">
        <v>4</v>
      </c>
      <c r="D718" t="s">
        <v>5452</v>
      </c>
      <c r="E718">
        <v>8</v>
      </c>
      <c r="F718" t="str">
        <f>IF(AND(Entities[[#This Row],[ENT_TYPE]]="County",RIGHT(Entities[[#This Row],[ENT_NAME]],6)&lt;&gt;"County"),_xlfn.TEXTJOIN(" ",TRUE,Entities[[#This Row],[ENT_NAME]],"County"),Entities[[#This Row],[ENT_NAME]])</f>
        <v>Brazoria County MUD 1</v>
      </c>
    </row>
    <row r="719" spans="1:6" x14ac:dyDescent="0.25">
      <c r="A719" s="304" t="s">
        <v>5453</v>
      </c>
      <c r="B719" s="303" t="str">
        <f t="shared" si="11"/>
        <v>x00002341</v>
      </c>
      <c r="C719" t="s">
        <v>4</v>
      </c>
      <c r="D719" t="s">
        <v>5454</v>
      </c>
      <c r="E719">
        <v>6</v>
      </c>
      <c r="F719" t="str">
        <f>IF(AND(Entities[[#This Row],[ENT_TYPE]]="County",RIGHT(Entities[[#This Row],[ENT_NAME]],6)&lt;&gt;"County"),_xlfn.TEXTJOIN(" ",TRUE,Entities[[#This Row],[ENT_NAME]],"County"),Entities[[#This Row],[ENT_NAME]])</f>
        <v>Waller County WCID 3</v>
      </c>
    </row>
    <row r="720" spans="1:6" x14ac:dyDescent="0.25">
      <c r="A720" s="304" t="s">
        <v>5453</v>
      </c>
      <c r="B720" s="303" t="str">
        <f t="shared" si="11"/>
        <v>x00002341</v>
      </c>
      <c r="C720" t="s">
        <v>4</v>
      </c>
      <c r="D720" t="s">
        <v>5454</v>
      </c>
      <c r="E720">
        <v>8</v>
      </c>
      <c r="F720" t="str">
        <f>IF(AND(Entities[[#This Row],[ENT_TYPE]]="County",RIGHT(Entities[[#This Row],[ENT_NAME]],6)&lt;&gt;"County"),_xlfn.TEXTJOIN(" ",TRUE,Entities[[#This Row],[ENT_NAME]],"County"),Entities[[#This Row],[ENT_NAME]])</f>
        <v>Waller County WCID 3</v>
      </c>
    </row>
    <row r="721" spans="1:6" x14ac:dyDescent="0.25">
      <c r="A721" s="302" t="s">
        <v>5455</v>
      </c>
      <c r="B721" s="303" t="str">
        <f t="shared" si="11"/>
        <v>x00002356</v>
      </c>
      <c r="C721" t="s">
        <v>4</v>
      </c>
      <c r="D721" t="s">
        <v>5456</v>
      </c>
      <c r="E721">
        <v>6</v>
      </c>
      <c r="F721" t="str">
        <f>IF(AND(Entities[[#This Row],[ENT_TYPE]]="County",RIGHT(Entities[[#This Row],[ENT_NAME]],6)&lt;&gt;"County"),_xlfn.TEXTJOIN(" ",TRUE,Entities[[#This Row],[ENT_NAME]],"County"),Entities[[#This Row],[ENT_NAME]])</f>
        <v>Chambers County MUD 2</v>
      </c>
    </row>
    <row r="722" spans="1:6" x14ac:dyDescent="0.25">
      <c r="A722" s="302" t="s">
        <v>5455</v>
      </c>
      <c r="B722" s="303" t="str">
        <f t="shared" si="11"/>
        <v>x00002356</v>
      </c>
      <c r="C722" t="s">
        <v>4</v>
      </c>
      <c r="D722" t="s">
        <v>5456</v>
      </c>
      <c r="E722">
        <v>3</v>
      </c>
      <c r="F722" t="str">
        <f>IF(AND(Entities[[#This Row],[ENT_TYPE]]="County",RIGHT(Entities[[#This Row],[ENT_NAME]],6)&lt;&gt;"County"),_xlfn.TEXTJOIN(" ",TRUE,Entities[[#This Row],[ENT_NAME]],"County"),Entities[[#This Row],[ENT_NAME]])</f>
        <v>Chambers County MUD 2</v>
      </c>
    </row>
    <row r="723" spans="1:6" x14ac:dyDescent="0.25">
      <c r="A723" s="304" t="s">
        <v>5457</v>
      </c>
      <c r="B723" s="303" t="str">
        <f t="shared" si="11"/>
        <v>x00002402</v>
      </c>
      <c r="C723" t="s">
        <v>5458</v>
      </c>
      <c r="D723" t="s">
        <v>5459</v>
      </c>
      <c r="E723">
        <v>11</v>
      </c>
      <c r="F723" t="str">
        <f>IF(AND(Entities[[#This Row],[ENT_TYPE]]="County",RIGHT(Entities[[#This Row],[ENT_NAME]],6)&lt;&gt;"County"),_xlfn.TEXTJOIN(" ",TRUE,Entities[[#This Row],[ENT_NAME]],"County"),Entities[[#This Row],[ENT_NAME]])</f>
        <v>Nordheim</v>
      </c>
    </row>
    <row r="724" spans="1:6" x14ac:dyDescent="0.25">
      <c r="A724" s="302" t="s">
        <v>5457</v>
      </c>
      <c r="B724" s="303" t="str">
        <f t="shared" si="11"/>
        <v>x00002402</v>
      </c>
      <c r="C724" t="s">
        <v>5458</v>
      </c>
      <c r="D724" t="s">
        <v>5459</v>
      </c>
      <c r="E724">
        <v>12</v>
      </c>
      <c r="F724" t="str">
        <f>IF(AND(Entities[[#This Row],[ENT_TYPE]]="County",RIGHT(Entities[[#This Row],[ENT_NAME]],6)&lt;&gt;"County"),_xlfn.TEXTJOIN(" ",TRUE,Entities[[#This Row],[ENT_NAME]],"County"),Entities[[#This Row],[ENT_NAME]])</f>
        <v>Nordheim</v>
      </c>
    </row>
    <row r="725" spans="1:6" x14ac:dyDescent="0.25">
      <c r="A725" s="302" t="s">
        <v>5460</v>
      </c>
      <c r="B725" s="303" t="str">
        <f t="shared" si="11"/>
        <v>x00002408</v>
      </c>
      <c r="C725" t="s">
        <v>5458</v>
      </c>
      <c r="D725" t="s">
        <v>5461</v>
      </c>
      <c r="E725">
        <v>8</v>
      </c>
      <c r="F725" t="str">
        <f>IF(AND(Entities[[#This Row],[ENT_TYPE]]="County",RIGHT(Entities[[#This Row],[ENT_NAME]],6)&lt;&gt;"County"),_xlfn.TEXTJOIN(" ",TRUE,Entities[[#This Row],[ENT_NAME]],"County"),Entities[[#This Row],[ENT_NAME]])</f>
        <v>Goldthwaite</v>
      </c>
    </row>
    <row r="726" spans="1:6" x14ac:dyDescent="0.25">
      <c r="A726" s="304" t="s">
        <v>5460</v>
      </c>
      <c r="B726" s="303" t="str">
        <f t="shared" si="11"/>
        <v>x00002408</v>
      </c>
      <c r="C726" t="s">
        <v>5458</v>
      </c>
      <c r="D726" t="s">
        <v>5461</v>
      </c>
      <c r="E726">
        <v>10</v>
      </c>
      <c r="F726" t="str">
        <f>IF(AND(Entities[[#This Row],[ENT_TYPE]]="County",RIGHT(Entities[[#This Row],[ENT_NAME]],6)&lt;&gt;"County"),_xlfn.TEXTJOIN(" ",TRUE,Entities[[#This Row],[ENT_NAME]],"County"),Entities[[#This Row],[ENT_NAME]])</f>
        <v>Goldthwaite</v>
      </c>
    </row>
    <row r="727" spans="1:6" x14ac:dyDescent="0.25">
      <c r="A727" s="302" t="s">
        <v>5462</v>
      </c>
      <c r="B727" s="303" t="str">
        <f t="shared" si="11"/>
        <v>x00002427</v>
      </c>
      <c r="C727" t="s">
        <v>5458</v>
      </c>
      <c r="D727" t="s">
        <v>5463</v>
      </c>
      <c r="E727">
        <v>8</v>
      </c>
      <c r="F727" t="str">
        <f>IF(AND(Entities[[#This Row],[ENT_TYPE]]="County",RIGHT(Entities[[#This Row],[ENT_NAME]],6)&lt;&gt;"County"),_xlfn.TEXTJOIN(" ",TRUE,Entities[[#This Row],[ENT_NAME]],"County"),Entities[[#This Row],[ENT_NAME]])</f>
        <v>Joshua</v>
      </c>
    </row>
    <row r="728" spans="1:6" x14ac:dyDescent="0.25">
      <c r="A728" s="302" t="s">
        <v>5462</v>
      </c>
      <c r="B728" s="303" t="str">
        <f t="shared" si="11"/>
        <v>x00002427</v>
      </c>
      <c r="C728" t="s">
        <v>5458</v>
      </c>
      <c r="D728" t="s">
        <v>5463</v>
      </c>
      <c r="E728">
        <v>3</v>
      </c>
      <c r="F728" t="str">
        <f>IF(AND(Entities[[#This Row],[ENT_TYPE]]="County",RIGHT(Entities[[#This Row],[ENT_NAME]],6)&lt;&gt;"County"),_xlfn.TEXTJOIN(" ",TRUE,Entities[[#This Row],[ENT_NAME]],"County"),Entities[[#This Row],[ENT_NAME]])</f>
        <v>Joshua</v>
      </c>
    </row>
    <row r="729" spans="1:6" x14ac:dyDescent="0.25">
      <c r="A729" s="304" t="s">
        <v>5464</v>
      </c>
      <c r="B729" s="303" t="str">
        <f t="shared" si="11"/>
        <v>x00002428</v>
      </c>
      <c r="C729" t="s">
        <v>5458</v>
      </c>
      <c r="D729" t="s">
        <v>5023</v>
      </c>
      <c r="E729">
        <v>10</v>
      </c>
      <c r="F729" t="str">
        <f>IF(AND(Entities[[#This Row],[ENT_TYPE]]="County",RIGHT(Entities[[#This Row],[ENT_NAME]],6)&lt;&gt;"County"),_xlfn.TEXTJOIN(" ",TRUE,Entities[[#This Row],[ENT_NAME]],"County"),Entities[[#This Row],[ENT_NAME]])</f>
        <v>Victoria</v>
      </c>
    </row>
    <row r="730" spans="1:6" x14ac:dyDescent="0.25">
      <c r="A730" s="302" t="s">
        <v>5464</v>
      </c>
      <c r="B730" s="303" t="str">
        <f t="shared" si="11"/>
        <v>x00002428</v>
      </c>
      <c r="C730" t="s">
        <v>5458</v>
      </c>
      <c r="D730" t="s">
        <v>5023</v>
      </c>
      <c r="E730">
        <v>11</v>
      </c>
      <c r="F730" t="str">
        <f>IF(AND(Entities[[#This Row],[ENT_TYPE]]="County",RIGHT(Entities[[#This Row],[ENT_NAME]],6)&lt;&gt;"County"),_xlfn.TEXTJOIN(" ",TRUE,Entities[[#This Row],[ENT_NAME]],"County"),Entities[[#This Row],[ENT_NAME]])</f>
        <v>Victoria</v>
      </c>
    </row>
    <row r="731" spans="1:6" x14ac:dyDescent="0.25">
      <c r="A731" s="304" t="s">
        <v>5465</v>
      </c>
      <c r="B731" s="303" t="str">
        <f t="shared" si="11"/>
        <v>x00002459</v>
      </c>
      <c r="C731" t="s">
        <v>5458</v>
      </c>
      <c r="D731" t="s">
        <v>5466</v>
      </c>
      <c r="E731">
        <v>4</v>
      </c>
      <c r="F731" t="str">
        <f>IF(AND(Entities[[#This Row],[ENT_TYPE]]="County",RIGHT(Entities[[#This Row],[ENT_NAME]],6)&lt;&gt;"County"),_xlfn.TEXTJOIN(" ",TRUE,Entities[[#This Row],[ENT_NAME]],"County"),Entities[[#This Row],[ENT_NAME]])</f>
        <v>Farmersville</v>
      </c>
    </row>
    <row r="732" spans="1:6" x14ac:dyDescent="0.25">
      <c r="A732" s="302" t="s">
        <v>5465</v>
      </c>
      <c r="B732" s="303" t="str">
        <f t="shared" si="11"/>
        <v>x00002459</v>
      </c>
      <c r="C732" t="s">
        <v>5458</v>
      </c>
      <c r="D732" t="s">
        <v>5466</v>
      </c>
      <c r="E732">
        <v>3</v>
      </c>
      <c r="F732" t="str">
        <f>IF(AND(Entities[[#This Row],[ENT_TYPE]]="County",RIGHT(Entities[[#This Row],[ENT_NAME]],6)&lt;&gt;"County"),_xlfn.TEXTJOIN(" ",TRUE,Entities[[#This Row],[ENT_NAME]],"County"),Entities[[#This Row],[ENT_NAME]])</f>
        <v>Farmersville</v>
      </c>
    </row>
    <row r="733" spans="1:6" x14ac:dyDescent="0.25">
      <c r="A733" s="302" t="s">
        <v>5467</v>
      </c>
      <c r="B733" s="303" t="str">
        <f t="shared" si="11"/>
        <v>x00002464</v>
      </c>
      <c r="C733" t="s">
        <v>5458</v>
      </c>
      <c r="D733" t="s">
        <v>5468</v>
      </c>
      <c r="E733">
        <v>8</v>
      </c>
      <c r="F733" t="str">
        <f>IF(AND(Entities[[#This Row],[ENT_TYPE]]="County",RIGHT(Entities[[#This Row],[ENT_NAME]],6)&lt;&gt;"County"),_xlfn.TEXTJOIN(" ",TRUE,Entities[[#This Row],[ENT_NAME]],"County"),Entities[[#This Row],[ENT_NAME]])</f>
        <v>Teague</v>
      </c>
    </row>
    <row r="734" spans="1:6" x14ac:dyDescent="0.25">
      <c r="A734" s="302" t="s">
        <v>5467</v>
      </c>
      <c r="B734" s="303" t="str">
        <f t="shared" si="11"/>
        <v>x00002464</v>
      </c>
      <c r="C734" t="s">
        <v>5458</v>
      </c>
      <c r="D734" t="s">
        <v>5468</v>
      </c>
      <c r="E734">
        <v>3</v>
      </c>
      <c r="F734" t="str">
        <f>IF(AND(Entities[[#This Row],[ENT_TYPE]]="County",RIGHT(Entities[[#This Row],[ENT_NAME]],6)&lt;&gt;"County"),_xlfn.TEXTJOIN(" ",TRUE,Entities[[#This Row],[ENT_NAME]],"County"),Entities[[#This Row],[ENT_NAME]])</f>
        <v>Teague</v>
      </c>
    </row>
    <row r="735" spans="1:6" x14ac:dyDescent="0.25">
      <c r="A735" s="302" t="s">
        <v>5469</v>
      </c>
      <c r="B735" s="303" t="str">
        <f t="shared" si="11"/>
        <v>x00002484</v>
      </c>
      <c r="C735" t="s">
        <v>5458</v>
      </c>
      <c r="D735" t="s">
        <v>5470</v>
      </c>
      <c r="E735">
        <v>2</v>
      </c>
      <c r="F735" t="str">
        <f>IF(AND(Entities[[#This Row],[ENT_TYPE]]="County",RIGHT(Entities[[#This Row],[ENT_NAME]],6)&lt;&gt;"County"),_xlfn.TEXTJOIN(" ",TRUE,Entities[[#This Row],[ENT_NAME]],"County"),Entities[[#This Row],[ENT_NAME]])</f>
        <v>East Mountain</v>
      </c>
    </row>
    <row r="736" spans="1:6" x14ac:dyDescent="0.25">
      <c r="A736" s="304" t="s">
        <v>5469</v>
      </c>
      <c r="B736" s="303" t="str">
        <f t="shared" si="11"/>
        <v>x00002484</v>
      </c>
      <c r="C736" t="s">
        <v>5458</v>
      </c>
      <c r="D736" t="s">
        <v>5470</v>
      </c>
      <c r="E736">
        <v>4</v>
      </c>
      <c r="F736" t="str">
        <f>IF(AND(Entities[[#This Row],[ENT_TYPE]]="County",RIGHT(Entities[[#This Row],[ENT_NAME]],6)&lt;&gt;"County"),_xlfn.TEXTJOIN(" ",TRUE,Entities[[#This Row],[ENT_NAME]],"County"),Entities[[#This Row],[ENT_NAME]])</f>
        <v>East Mountain</v>
      </c>
    </row>
    <row r="737" spans="1:6" x14ac:dyDescent="0.25">
      <c r="A737" s="304" t="s">
        <v>5471</v>
      </c>
      <c r="B737" s="303" t="str">
        <f t="shared" si="11"/>
        <v>x00002516</v>
      </c>
      <c r="C737" t="s">
        <v>5458</v>
      </c>
      <c r="D737" t="s">
        <v>5472</v>
      </c>
      <c r="E737">
        <v>8</v>
      </c>
      <c r="F737" t="str">
        <f>IF(AND(Entities[[#This Row],[ENT_TYPE]]="County",RIGHT(Entities[[#This Row],[ENT_NAME]],6)&lt;&gt;"County"),_xlfn.TEXTJOIN(" ",TRUE,Entities[[#This Row],[ENT_NAME]],"County"),Entities[[#This Row],[ENT_NAME]])</f>
        <v>Rosenberg</v>
      </c>
    </row>
    <row r="738" spans="1:6" x14ac:dyDescent="0.25">
      <c r="A738" s="304" t="s">
        <v>4905</v>
      </c>
      <c r="B738" s="303" t="str">
        <f t="shared" si="11"/>
        <v>x00002517</v>
      </c>
      <c r="C738" t="s">
        <v>5458</v>
      </c>
      <c r="D738" t="s">
        <v>5473</v>
      </c>
      <c r="E738">
        <v>6</v>
      </c>
      <c r="F738" t="str">
        <f>IF(AND(Entities[[#This Row],[ENT_TYPE]]="County",RIGHT(Entities[[#This Row],[ENT_NAME]],6)&lt;&gt;"County"),_xlfn.TEXTJOIN(" ",TRUE,Entities[[#This Row],[ENT_NAME]],"County"),Entities[[#This Row],[ENT_NAME]])</f>
        <v>Sugar Land</v>
      </c>
    </row>
    <row r="739" spans="1:6" x14ac:dyDescent="0.25">
      <c r="A739" s="302" t="s">
        <v>4905</v>
      </c>
      <c r="B739" s="303" t="str">
        <f t="shared" si="11"/>
        <v>x00002517</v>
      </c>
      <c r="C739" t="s">
        <v>5458</v>
      </c>
      <c r="D739" t="s">
        <v>5473</v>
      </c>
      <c r="E739">
        <v>8</v>
      </c>
      <c r="F739" t="str">
        <f>IF(AND(Entities[[#This Row],[ENT_TYPE]]="County",RIGHT(Entities[[#This Row],[ENT_NAME]],6)&lt;&gt;"County"),_xlfn.TEXTJOIN(" ",TRUE,Entities[[#This Row],[ENT_NAME]],"County"),Entities[[#This Row],[ENT_NAME]])</f>
        <v>Sugar Land</v>
      </c>
    </row>
    <row r="740" spans="1:6" x14ac:dyDescent="0.25">
      <c r="A740" s="304" t="s">
        <v>5474</v>
      </c>
      <c r="B740" s="303" t="str">
        <f t="shared" si="11"/>
        <v>x00002520</v>
      </c>
      <c r="C740" t="s">
        <v>5458</v>
      </c>
      <c r="D740" t="s">
        <v>5475</v>
      </c>
      <c r="E740">
        <v>2</v>
      </c>
      <c r="F740" t="str">
        <f>IF(AND(Entities[[#This Row],[ENT_TYPE]]="County",RIGHT(Entities[[#This Row],[ENT_NAME]],6)&lt;&gt;"County"),_xlfn.TEXTJOIN(" ",TRUE,Entities[[#This Row],[ENT_NAME]],"County"),Entities[[#This Row],[ENT_NAME]])</f>
        <v>Winnsboro</v>
      </c>
    </row>
    <row r="741" spans="1:6" x14ac:dyDescent="0.25">
      <c r="A741" s="304" t="s">
        <v>5474</v>
      </c>
      <c r="B741" s="303" t="str">
        <f t="shared" si="11"/>
        <v>x00002520</v>
      </c>
      <c r="C741" t="s">
        <v>5458</v>
      </c>
      <c r="D741" t="s">
        <v>5475</v>
      </c>
      <c r="E741">
        <v>4</v>
      </c>
      <c r="F741" t="str">
        <f>IF(AND(Entities[[#This Row],[ENT_TYPE]]="County",RIGHT(Entities[[#This Row],[ENT_NAME]],6)&lt;&gt;"County"),_xlfn.TEXTJOIN(" ",TRUE,Entities[[#This Row],[ENT_NAME]],"County"),Entities[[#This Row],[ENT_NAME]])</f>
        <v>Winnsboro</v>
      </c>
    </row>
    <row r="742" spans="1:6" x14ac:dyDescent="0.25">
      <c r="A742" s="302" t="s">
        <v>5476</v>
      </c>
      <c r="B742" s="303" t="str">
        <f t="shared" si="11"/>
        <v>x00002522</v>
      </c>
      <c r="C742" t="s">
        <v>5458</v>
      </c>
      <c r="D742" t="s">
        <v>5477</v>
      </c>
      <c r="E742">
        <v>4</v>
      </c>
      <c r="F742" t="str">
        <f>IF(AND(Entities[[#This Row],[ENT_TYPE]]="County",RIGHT(Entities[[#This Row],[ENT_NAME]],6)&lt;&gt;"County"),_xlfn.TEXTJOIN(" ",TRUE,Entities[[#This Row],[ENT_NAME]],"County"),Entities[[#This Row],[ENT_NAME]])</f>
        <v>Overton</v>
      </c>
    </row>
    <row r="743" spans="1:6" x14ac:dyDescent="0.25">
      <c r="A743" s="302" t="s">
        <v>5476</v>
      </c>
      <c r="B743" s="303" t="str">
        <f t="shared" si="11"/>
        <v>x00002522</v>
      </c>
      <c r="C743" t="s">
        <v>5458</v>
      </c>
      <c r="D743" t="s">
        <v>5477</v>
      </c>
      <c r="E743">
        <v>0</v>
      </c>
      <c r="F743" t="str">
        <f>IF(AND(Entities[[#This Row],[ENT_TYPE]]="County",RIGHT(Entities[[#This Row],[ENT_NAME]],6)&lt;&gt;"County"),_xlfn.TEXTJOIN(" ",TRUE,Entities[[#This Row],[ENT_NAME]],"County"),Entities[[#This Row],[ENT_NAME]])</f>
        <v>Overton</v>
      </c>
    </row>
    <row r="744" spans="1:6" x14ac:dyDescent="0.25">
      <c r="A744" s="304" t="s">
        <v>5478</v>
      </c>
      <c r="B744" s="303" t="str">
        <f t="shared" si="11"/>
        <v>x00002527</v>
      </c>
      <c r="C744" t="s">
        <v>5458</v>
      </c>
      <c r="D744" t="s">
        <v>5479</v>
      </c>
      <c r="E744">
        <v>0</v>
      </c>
      <c r="F744" t="str">
        <f>IF(AND(Entities[[#This Row],[ENT_TYPE]]="County",RIGHT(Entities[[#This Row],[ENT_NAME]],6)&lt;&gt;"County"),_xlfn.TEXTJOIN(" ",TRUE,Entities[[#This Row],[ENT_NAME]],"County"),Entities[[#This Row],[ENT_NAME]])</f>
        <v>Grapeland</v>
      </c>
    </row>
    <row r="745" spans="1:6" x14ac:dyDescent="0.25">
      <c r="A745" s="302" t="s">
        <v>5478</v>
      </c>
      <c r="B745" s="303" t="str">
        <f t="shared" si="11"/>
        <v>x00002527</v>
      </c>
      <c r="C745" t="s">
        <v>5458</v>
      </c>
      <c r="D745" t="s">
        <v>5479</v>
      </c>
      <c r="E745">
        <v>3</v>
      </c>
      <c r="F745" t="str">
        <f>IF(AND(Entities[[#This Row],[ENT_TYPE]]="County",RIGHT(Entities[[#This Row],[ENT_NAME]],6)&lt;&gt;"County"),_xlfn.TEXTJOIN(" ",TRUE,Entities[[#This Row],[ENT_NAME]],"County"),Entities[[#This Row],[ENT_NAME]])</f>
        <v>Grapeland</v>
      </c>
    </row>
    <row r="746" spans="1:6" x14ac:dyDescent="0.25">
      <c r="A746" s="304" t="s">
        <v>5480</v>
      </c>
      <c r="B746" s="303" t="str">
        <f t="shared" si="11"/>
        <v>x00002531</v>
      </c>
      <c r="C746" t="s">
        <v>5458</v>
      </c>
      <c r="D746" t="s">
        <v>5481</v>
      </c>
      <c r="E746">
        <v>6</v>
      </c>
      <c r="F746" t="str">
        <f>IF(AND(Entities[[#This Row],[ENT_TYPE]]="County",RIGHT(Entities[[#This Row],[ENT_NAME]],6)&lt;&gt;"County"),_xlfn.TEXTJOIN(" ",TRUE,Entities[[#This Row],[ENT_NAME]],"County"),Entities[[#This Row],[ENT_NAME]])</f>
        <v>Dayton</v>
      </c>
    </row>
    <row r="747" spans="1:6" x14ac:dyDescent="0.25">
      <c r="A747" s="302" t="s">
        <v>5480</v>
      </c>
      <c r="B747" s="303" t="str">
        <f t="shared" si="11"/>
        <v>x00002531</v>
      </c>
      <c r="C747" t="s">
        <v>5458</v>
      </c>
      <c r="D747" t="s">
        <v>5481</v>
      </c>
      <c r="E747">
        <v>3</v>
      </c>
      <c r="F747" t="str">
        <f>IF(AND(Entities[[#This Row],[ENT_TYPE]]="County",RIGHT(Entities[[#This Row],[ENT_NAME]],6)&lt;&gt;"County"),_xlfn.TEXTJOIN(" ",TRUE,Entities[[#This Row],[ENT_NAME]],"County"),Entities[[#This Row],[ENT_NAME]])</f>
        <v>Dayton</v>
      </c>
    </row>
    <row r="748" spans="1:6" x14ac:dyDescent="0.25">
      <c r="A748" s="302" t="s">
        <v>2526</v>
      </c>
      <c r="B748" s="303" t="str">
        <f t="shared" si="11"/>
        <v>x00002538</v>
      </c>
      <c r="C748" t="s">
        <v>5458</v>
      </c>
      <c r="D748" t="s">
        <v>5482</v>
      </c>
      <c r="E748">
        <v>4</v>
      </c>
      <c r="F748" t="str">
        <f>IF(AND(Entities[[#This Row],[ENT_TYPE]]="County",RIGHT(Entities[[#This Row],[ENT_NAME]],6)&lt;&gt;"County"),_xlfn.TEXTJOIN(" ",TRUE,Entities[[#This Row],[ENT_NAME]],"County"),Entities[[#This Row],[ENT_NAME]])</f>
        <v>Van</v>
      </c>
    </row>
    <row r="749" spans="1:6" x14ac:dyDescent="0.25">
      <c r="A749" s="304" t="s">
        <v>2526</v>
      </c>
      <c r="B749" s="303" t="str">
        <f t="shared" si="11"/>
        <v>x00002538</v>
      </c>
      <c r="C749" t="s">
        <v>5458</v>
      </c>
      <c r="D749" t="s">
        <v>5482</v>
      </c>
      <c r="E749">
        <v>0</v>
      </c>
      <c r="F749" t="str">
        <f>IF(AND(Entities[[#This Row],[ENT_TYPE]]="County",RIGHT(Entities[[#This Row],[ENT_NAME]],6)&lt;&gt;"County"),_xlfn.TEXTJOIN(" ",TRUE,Entities[[#This Row],[ENT_NAME]],"County"),Entities[[#This Row],[ENT_NAME]])</f>
        <v>Van</v>
      </c>
    </row>
    <row r="750" spans="1:6" x14ac:dyDescent="0.25">
      <c r="A750" s="302" t="s">
        <v>5483</v>
      </c>
      <c r="B750" s="303" t="str">
        <f t="shared" si="11"/>
        <v>x00002541</v>
      </c>
      <c r="C750" t="s">
        <v>5458</v>
      </c>
      <c r="D750" t="s">
        <v>2559</v>
      </c>
      <c r="E750">
        <v>4</v>
      </c>
      <c r="F750" t="str">
        <f>IF(AND(Entities[[#This Row],[ENT_TYPE]]="County",RIGHT(Entities[[#This Row],[ENT_NAME]],6)&lt;&gt;"County"),_xlfn.TEXTJOIN(" ",TRUE,Entities[[#This Row],[ENT_NAME]],"County"),Entities[[#This Row],[ENT_NAME]])</f>
        <v>Orange</v>
      </c>
    </row>
    <row r="751" spans="1:6" x14ac:dyDescent="0.25">
      <c r="A751" s="304" t="s">
        <v>5484</v>
      </c>
      <c r="B751" s="303" t="str">
        <f t="shared" si="11"/>
        <v>x00002542</v>
      </c>
      <c r="C751" t="s">
        <v>5458</v>
      </c>
      <c r="D751" t="s">
        <v>5485</v>
      </c>
      <c r="E751">
        <v>4</v>
      </c>
      <c r="F751" t="str">
        <f>IF(AND(Entities[[#This Row],[ENT_TYPE]]="County",RIGHT(Entities[[#This Row],[ENT_NAME]],6)&lt;&gt;"County"),_xlfn.TEXTJOIN(" ",TRUE,Entities[[#This Row],[ENT_NAME]],"County"),Entities[[#This Row],[ENT_NAME]])</f>
        <v>Vidor</v>
      </c>
    </row>
    <row r="752" spans="1:6" x14ac:dyDescent="0.25">
      <c r="A752" s="302" t="s">
        <v>5484</v>
      </c>
      <c r="B752" s="303" t="str">
        <f t="shared" si="11"/>
        <v>x00002542</v>
      </c>
      <c r="C752" t="s">
        <v>5458</v>
      </c>
      <c r="D752" t="s">
        <v>5485</v>
      </c>
      <c r="E752">
        <v>0</v>
      </c>
      <c r="F752" t="str">
        <f>IF(AND(Entities[[#This Row],[ENT_TYPE]]="County",RIGHT(Entities[[#This Row],[ENT_NAME]],6)&lt;&gt;"County"),_xlfn.TEXTJOIN(" ",TRUE,Entities[[#This Row],[ENT_NAME]],"County"),Entities[[#This Row],[ENT_NAME]])</f>
        <v>Vidor</v>
      </c>
    </row>
    <row r="753" spans="1:6" x14ac:dyDescent="0.25">
      <c r="A753" s="302" t="s">
        <v>5486</v>
      </c>
      <c r="B753" s="303" t="str">
        <f t="shared" si="11"/>
        <v>x00002551</v>
      </c>
      <c r="C753" t="s">
        <v>5458</v>
      </c>
      <c r="D753" t="s">
        <v>5487</v>
      </c>
      <c r="E753">
        <v>8</v>
      </c>
      <c r="F753" t="str">
        <f>IF(AND(Entities[[#This Row],[ENT_TYPE]]="County",RIGHT(Entities[[#This Row],[ENT_NAME]],6)&lt;&gt;"County"),_xlfn.TEXTJOIN(" ",TRUE,Entities[[#This Row],[ENT_NAME]],"County"),Entities[[#This Row],[ENT_NAME]])</f>
        <v>Lometa</v>
      </c>
    </row>
    <row r="754" spans="1:6" x14ac:dyDescent="0.25">
      <c r="A754" s="302" t="s">
        <v>5486</v>
      </c>
      <c r="B754" s="303" t="str">
        <f t="shared" si="11"/>
        <v>x00002551</v>
      </c>
      <c r="C754" t="s">
        <v>5458</v>
      </c>
      <c r="D754" t="s">
        <v>5487</v>
      </c>
      <c r="E754">
        <v>10</v>
      </c>
      <c r="F754" t="str">
        <f>IF(AND(Entities[[#This Row],[ENT_TYPE]]="County",RIGHT(Entities[[#This Row],[ENT_NAME]],6)&lt;&gt;"County"),_xlfn.TEXTJOIN(" ",TRUE,Entities[[#This Row],[ENT_NAME]],"County"),Entities[[#This Row],[ENT_NAME]])</f>
        <v>Lometa</v>
      </c>
    </row>
    <row r="755" spans="1:6" x14ac:dyDescent="0.25">
      <c r="A755" s="302" t="s">
        <v>315</v>
      </c>
      <c r="B755" s="303" t="str">
        <f t="shared" si="11"/>
        <v>x00002557</v>
      </c>
      <c r="C755" t="s">
        <v>5458</v>
      </c>
      <c r="D755" t="s">
        <v>5488</v>
      </c>
      <c r="E755">
        <v>6</v>
      </c>
      <c r="F755" t="str">
        <f>IF(AND(Entities[[#This Row],[ENT_TYPE]]="County",RIGHT(Entities[[#This Row],[ENT_NAME]],6)&lt;&gt;"County"),_xlfn.TEXTJOIN(" ",TRUE,Entities[[#This Row],[ENT_NAME]],"County"),Entities[[#This Row],[ENT_NAME]])</f>
        <v>Arcola</v>
      </c>
    </row>
    <row r="756" spans="1:6" x14ac:dyDescent="0.25">
      <c r="A756" s="304" t="s">
        <v>315</v>
      </c>
      <c r="B756" s="303" t="str">
        <f t="shared" si="11"/>
        <v>x00002557</v>
      </c>
      <c r="C756" t="s">
        <v>5458</v>
      </c>
      <c r="D756" t="s">
        <v>5488</v>
      </c>
      <c r="E756">
        <v>8</v>
      </c>
      <c r="F756" t="str">
        <f>IF(AND(Entities[[#This Row],[ENT_TYPE]]="County",RIGHT(Entities[[#This Row],[ENT_NAME]],6)&lt;&gt;"County"),_xlfn.TEXTJOIN(" ",TRUE,Entities[[#This Row],[ENT_NAME]],"County"),Entities[[#This Row],[ENT_NAME]])</f>
        <v>Arcola</v>
      </c>
    </row>
    <row r="757" spans="1:6" x14ac:dyDescent="0.25">
      <c r="A757" s="304" t="s">
        <v>5489</v>
      </c>
      <c r="B757" s="303" t="str">
        <f t="shared" si="11"/>
        <v>x00002584</v>
      </c>
      <c r="C757" t="s">
        <v>5458</v>
      </c>
      <c r="D757" t="s">
        <v>5490</v>
      </c>
      <c r="E757">
        <v>6</v>
      </c>
      <c r="F757" t="str">
        <f>IF(AND(Entities[[#This Row],[ENT_TYPE]]="County",RIGHT(Entities[[#This Row],[ENT_NAME]],6)&lt;&gt;"County"),_xlfn.TEXTJOIN(" ",TRUE,Entities[[#This Row],[ENT_NAME]],"County"),Entities[[#This Row],[ENT_NAME]])</f>
        <v>Huntsville</v>
      </c>
    </row>
    <row r="758" spans="1:6" x14ac:dyDescent="0.25">
      <c r="A758" s="302" t="s">
        <v>5489</v>
      </c>
      <c r="B758" s="303" t="str">
        <f t="shared" si="11"/>
        <v>x00002584</v>
      </c>
      <c r="C758" t="s">
        <v>5458</v>
      </c>
      <c r="D758" t="s">
        <v>5490</v>
      </c>
      <c r="E758">
        <v>3</v>
      </c>
      <c r="F758" t="str">
        <f>IF(AND(Entities[[#This Row],[ENT_TYPE]]="County",RIGHT(Entities[[#This Row],[ENT_NAME]],6)&lt;&gt;"County"),_xlfn.TEXTJOIN(" ",TRUE,Entities[[#This Row],[ENT_NAME]],"County"),Entities[[#This Row],[ENT_NAME]])</f>
        <v>Huntsville</v>
      </c>
    </row>
    <row r="759" spans="1:6" x14ac:dyDescent="0.25">
      <c r="A759" s="302" t="s">
        <v>2141</v>
      </c>
      <c r="B759" s="303" t="str">
        <f t="shared" si="11"/>
        <v>x00002589</v>
      </c>
      <c r="C759" t="s">
        <v>5458</v>
      </c>
      <c r="D759" t="s">
        <v>4452</v>
      </c>
      <c r="E759">
        <v>4</v>
      </c>
      <c r="F759" t="str">
        <f>IF(AND(Entities[[#This Row],[ENT_TYPE]]="County",RIGHT(Entities[[#This Row],[ENT_NAME]],6)&lt;&gt;"County"),_xlfn.TEXTJOIN(" ",TRUE,Entities[[#This Row],[ENT_NAME]],"County"),Entities[[#This Row],[ENT_NAME]])</f>
        <v>Wills Point</v>
      </c>
    </row>
    <row r="760" spans="1:6" x14ac:dyDescent="0.25">
      <c r="A760" s="302" t="s">
        <v>2141</v>
      </c>
      <c r="B760" s="303" t="str">
        <f t="shared" si="11"/>
        <v>x00002589</v>
      </c>
      <c r="C760" t="s">
        <v>5458</v>
      </c>
      <c r="D760" t="s">
        <v>4452</v>
      </c>
      <c r="E760">
        <v>3</v>
      </c>
      <c r="F760" t="str">
        <f>IF(AND(Entities[[#This Row],[ENT_TYPE]]="County",RIGHT(Entities[[#This Row],[ENT_NAME]],6)&lt;&gt;"County"),_xlfn.TEXTJOIN(" ",TRUE,Entities[[#This Row],[ENT_NAME]],"County"),Entities[[#This Row],[ENT_NAME]])</f>
        <v>Wills Point</v>
      </c>
    </row>
    <row r="761" spans="1:6" x14ac:dyDescent="0.25">
      <c r="A761" s="304" t="s">
        <v>5491</v>
      </c>
      <c r="B761" s="303" t="str">
        <f t="shared" si="11"/>
        <v>x00002590</v>
      </c>
      <c r="C761" t="s">
        <v>5458</v>
      </c>
      <c r="D761" t="s">
        <v>5492</v>
      </c>
      <c r="E761">
        <v>4</v>
      </c>
      <c r="F761" t="str">
        <f>IF(AND(Entities[[#This Row],[ENT_TYPE]]="County",RIGHT(Entities[[#This Row],[ENT_NAME]],6)&lt;&gt;"County"),_xlfn.TEXTJOIN(" ",TRUE,Entities[[#This Row],[ENT_NAME]],"County"),Entities[[#This Row],[ENT_NAME]])</f>
        <v>Canton</v>
      </c>
    </row>
    <row r="762" spans="1:6" x14ac:dyDescent="0.25">
      <c r="A762" s="302" t="s">
        <v>5491</v>
      </c>
      <c r="B762" s="303" t="str">
        <f t="shared" si="11"/>
        <v>x00002590</v>
      </c>
      <c r="C762" t="s">
        <v>5458</v>
      </c>
      <c r="D762" t="s">
        <v>5492</v>
      </c>
      <c r="E762">
        <v>3</v>
      </c>
      <c r="F762" t="str">
        <f>IF(AND(Entities[[#This Row],[ENT_TYPE]]="County",RIGHT(Entities[[#This Row],[ENT_NAME]],6)&lt;&gt;"County"),_xlfn.TEXTJOIN(" ",TRUE,Entities[[#This Row],[ENT_NAME]],"County"),Entities[[#This Row],[ENT_NAME]])</f>
        <v>Canton</v>
      </c>
    </row>
    <row r="763" spans="1:6" x14ac:dyDescent="0.25">
      <c r="A763" s="304" t="s">
        <v>2330</v>
      </c>
      <c r="B763" s="303" t="str">
        <f t="shared" si="11"/>
        <v>x00002598</v>
      </c>
      <c r="C763" t="s">
        <v>5458</v>
      </c>
      <c r="D763" t="s">
        <v>4492</v>
      </c>
      <c r="E763">
        <v>8</v>
      </c>
      <c r="F763" t="str">
        <f>IF(AND(Entities[[#This Row],[ENT_TYPE]]="County",RIGHT(Entities[[#This Row],[ENT_NAME]],6)&lt;&gt;"County"),_xlfn.TEXTJOIN(" ",TRUE,Entities[[#This Row],[ENT_NAME]],"County"),Entities[[#This Row],[ENT_NAME]])</f>
        <v>Carl's Corner</v>
      </c>
    </row>
    <row r="764" spans="1:6" x14ac:dyDescent="0.25">
      <c r="A764" s="302" t="s">
        <v>2330</v>
      </c>
      <c r="B764" s="303" t="str">
        <f t="shared" si="11"/>
        <v>x00002598</v>
      </c>
      <c r="C764" t="s">
        <v>5458</v>
      </c>
      <c r="D764" t="s">
        <v>4492</v>
      </c>
      <c r="E764">
        <v>3</v>
      </c>
      <c r="F764" t="str">
        <f>IF(AND(Entities[[#This Row],[ENT_TYPE]]="County",RIGHT(Entities[[#This Row],[ENT_NAME]],6)&lt;&gt;"County"),_xlfn.TEXTJOIN(" ",TRUE,Entities[[#This Row],[ENT_NAME]],"County"),Entities[[#This Row],[ENT_NAME]])</f>
        <v>Carl's Corner</v>
      </c>
    </row>
    <row r="765" spans="1:6" x14ac:dyDescent="0.25">
      <c r="A765" s="304" t="s">
        <v>2168</v>
      </c>
      <c r="B765" s="303" t="str">
        <f t="shared" si="11"/>
        <v>x00002606</v>
      </c>
      <c r="C765" t="s">
        <v>5458</v>
      </c>
      <c r="D765" t="s">
        <v>4459</v>
      </c>
      <c r="E765">
        <v>8</v>
      </c>
      <c r="F765" t="str">
        <f>IF(AND(Entities[[#This Row],[ENT_TYPE]]="County",RIGHT(Entities[[#This Row],[ENT_NAME]],6)&lt;&gt;"County"),_xlfn.TEXTJOIN(" ",TRUE,Entities[[#This Row],[ENT_NAME]],"County"),Entities[[#This Row],[ENT_NAME]])</f>
        <v>Itasca</v>
      </c>
    </row>
    <row r="766" spans="1:6" x14ac:dyDescent="0.25">
      <c r="A766" s="302" t="s">
        <v>2168</v>
      </c>
      <c r="B766" s="303" t="str">
        <f t="shared" si="11"/>
        <v>x00002606</v>
      </c>
      <c r="C766" t="s">
        <v>5458</v>
      </c>
      <c r="D766" t="s">
        <v>4459</v>
      </c>
      <c r="E766">
        <v>3</v>
      </c>
      <c r="F766" t="str">
        <f>IF(AND(Entities[[#This Row],[ENT_TYPE]]="County",RIGHT(Entities[[#This Row],[ENT_NAME]],6)&lt;&gt;"County"),_xlfn.TEXTJOIN(" ",TRUE,Entities[[#This Row],[ENT_NAME]],"County"),Entities[[#This Row],[ENT_NAME]])</f>
        <v>Itasca</v>
      </c>
    </row>
    <row r="767" spans="1:6" x14ac:dyDescent="0.25">
      <c r="A767" s="302" t="s">
        <v>5493</v>
      </c>
      <c r="B767" s="303" t="str">
        <f t="shared" si="11"/>
        <v>x00002614</v>
      </c>
      <c r="C767" t="s">
        <v>5458</v>
      </c>
      <c r="D767" t="s">
        <v>5494</v>
      </c>
      <c r="E767">
        <v>0</v>
      </c>
      <c r="F767" t="str">
        <f>IF(AND(Entities[[#This Row],[ENT_TYPE]]="County",RIGHT(Entities[[#This Row],[ENT_NAME]],6)&lt;&gt;"County"),_xlfn.TEXTJOIN(" ",TRUE,Entities[[#This Row],[ENT_NAME]],"County"),Entities[[#This Row],[ENT_NAME]])</f>
        <v>Devers</v>
      </c>
    </row>
    <row r="768" spans="1:6" x14ac:dyDescent="0.25">
      <c r="A768" s="302" t="s">
        <v>5493</v>
      </c>
      <c r="B768" s="303" t="str">
        <f t="shared" si="11"/>
        <v>x00002614</v>
      </c>
      <c r="C768" t="s">
        <v>5458</v>
      </c>
      <c r="D768" t="s">
        <v>5494</v>
      </c>
      <c r="E768">
        <v>3</v>
      </c>
      <c r="F768" t="str">
        <f>IF(AND(Entities[[#This Row],[ENT_TYPE]]="County",RIGHT(Entities[[#This Row],[ENT_NAME]],6)&lt;&gt;"County"),_xlfn.TEXTJOIN(" ",TRUE,Entities[[#This Row],[ENT_NAME]],"County"),Entities[[#This Row],[ENT_NAME]])</f>
        <v>Devers</v>
      </c>
    </row>
    <row r="769" spans="1:6" x14ac:dyDescent="0.25">
      <c r="A769" s="304" t="s">
        <v>5495</v>
      </c>
      <c r="B769" s="303" t="str">
        <f t="shared" si="11"/>
        <v>x00002615</v>
      </c>
      <c r="C769" t="s">
        <v>5458</v>
      </c>
      <c r="D769" t="s">
        <v>5496</v>
      </c>
      <c r="E769">
        <v>11</v>
      </c>
      <c r="F769" t="str">
        <f>IF(AND(Entities[[#This Row],[ENT_TYPE]]="County",RIGHT(Entities[[#This Row],[ENT_NAME]],6)&lt;&gt;"County"),_xlfn.TEXTJOIN(" ",TRUE,Entities[[#This Row],[ENT_NAME]],"County"),Entities[[#This Row],[ENT_NAME]])</f>
        <v>Cibolo</v>
      </c>
    </row>
    <row r="770" spans="1:6" x14ac:dyDescent="0.25">
      <c r="A770" s="302" t="s">
        <v>5495</v>
      </c>
      <c r="B770" s="303" t="str">
        <f t="shared" ref="B770:B833" si="12">_xlfn.CONCAT("x",TEXT(A770,"00000000"))</f>
        <v>x00002615</v>
      </c>
      <c r="C770" t="s">
        <v>5458</v>
      </c>
      <c r="D770" t="s">
        <v>5496</v>
      </c>
      <c r="E770">
        <v>12</v>
      </c>
      <c r="F770" t="str">
        <f>IF(AND(Entities[[#This Row],[ENT_TYPE]]="County",RIGHT(Entities[[#This Row],[ENT_NAME]],6)&lt;&gt;"County"),_xlfn.TEXTJOIN(" ",TRUE,Entities[[#This Row],[ENT_NAME]],"County"),Entities[[#This Row],[ENT_NAME]])</f>
        <v>Cibolo</v>
      </c>
    </row>
    <row r="771" spans="1:6" x14ac:dyDescent="0.25">
      <c r="A771" s="302" t="s">
        <v>2581</v>
      </c>
      <c r="B771" s="303" t="str">
        <f t="shared" si="12"/>
        <v>x00002648</v>
      </c>
      <c r="C771" t="s">
        <v>5458</v>
      </c>
      <c r="D771" t="s">
        <v>4560</v>
      </c>
      <c r="E771">
        <v>4</v>
      </c>
      <c r="F771" t="str">
        <f>IF(AND(Entities[[#This Row],[ENT_TYPE]]="County",RIGHT(Entities[[#This Row],[ENT_NAME]],6)&lt;&gt;"County"),_xlfn.TEXTJOIN(" ",TRUE,Entities[[#This Row],[ENT_NAME]],"County"),Entities[[#This Row],[ENT_NAME]])</f>
        <v>Fate</v>
      </c>
    </row>
    <row r="772" spans="1:6" x14ac:dyDescent="0.25">
      <c r="A772" s="302" t="s">
        <v>2581</v>
      </c>
      <c r="B772" s="303" t="str">
        <f t="shared" si="12"/>
        <v>x00002648</v>
      </c>
      <c r="C772" t="s">
        <v>5458</v>
      </c>
      <c r="D772" t="s">
        <v>4560</v>
      </c>
      <c r="E772">
        <v>3</v>
      </c>
      <c r="F772" t="str">
        <f>IF(AND(Entities[[#This Row],[ENT_TYPE]]="County",RIGHT(Entities[[#This Row],[ENT_NAME]],6)&lt;&gt;"County"),_xlfn.TEXTJOIN(" ",TRUE,Entities[[#This Row],[ENT_NAME]],"County"),Entities[[#This Row],[ENT_NAME]])</f>
        <v>Fate</v>
      </c>
    </row>
    <row r="773" spans="1:6" x14ac:dyDescent="0.25">
      <c r="A773" s="302" t="s">
        <v>5497</v>
      </c>
      <c r="B773" s="303" t="str">
        <f t="shared" si="12"/>
        <v>x00002650</v>
      </c>
      <c r="C773" t="s">
        <v>5458</v>
      </c>
      <c r="D773" t="s">
        <v>5498</v>
      </c>
      <c r="E773">
        <v>0</v>
      </c>
      <c r="F773" t="str">
        <f>IF(AND(Entities[[#This Row],[ENT_TYPE]]="County",RIGHT(Entities[[#This Row],[ENT_NAME]],6)&lt;&gt;"County"),_xlfn.TEXTJOIN(" ",TRUE,Entities[[#This Row],[ENT_NAME]],"County"),Entities[[#This Row],[ENT_NAME]])</f>
        <v>Megargel</v>
      </c>
    </row>
    <row r="774" spans="1:6" x14ac:dyDescent="0.25">
      <c r="A774" s="304" t="s">
        <v>5497</v>
      </c>
      <c r="B774" s="303" t="str">
        <f t="shared" si="12"/>
        <v>x00002650</v>
      </c>
      <c r="C774" t="s">
        <v>5458</v>
      </c>
      <c r="D774" t="s">
        <v>5498</v>
      </c>
      <c r="E774">
        <v>7</v>
      </c>
      <c r="F774" t="str">
        <f>IF(AND(Entities[[#This Row],[ENT_TYPE]]="County",RIGHT(Entities[[#This Row],[ENT_NAME]],6)&lt;&gt;"County"),_xlfn.TEXTJOIN(" ",TRUE,Entities[[#This Row],[ENT_NAME]],"County"),Entities[[#This Row],[ENT_NAME]])</f>
        <v>Megargel</v>
      </c>
    </row>
    <row r="775" spans="1:6" x14ac:dyDescent="0.25">
      <c r="A775" s="304" t="s">
        <v>5499</v>
      </c>
      <c r="B775" s="303" t="str">
        <f t="shared" si="12"/>
        <v>x00002655</v>
      </c>
      <c r="C775" t="s">
        <v>5458</v>
      </c>
      <c r="D775" t="s">
        <v>5500</v>
      </c>
      <c r="E775">
        <v>8</v>
      </c>
      <c r="F775" t="str">
        <f>IF(AND(Entities[[#This Row],[ENT_TYPE]]="County",RIGHT(Entities[[#This Row],[ENT_NAME]],6)&lt;&gt;"County"),_xlfn.TEXTJOIN(" ",TRUE,Entities[[#This Row],[ENT_NAME]],"County"),Entities[[#This Row],[ENT_NAME]])</f>
        <v>Sealy</v>
      </c>
    </row>
    <row r="776" spans="1:6" x14ac:dyDescent="0.25">
      <c r="A776" s="304" t="s">
        <v>2416</v>
      </c>
      <c r="B776" s="303" t="str">
        <f t="shared" si="12"/>
        <v>x00002657</v>
      </c>
      <c r="C776" t="s">
        <v>5458</v>
      </c>
      <c r="D776" t="s">
        <v>4515</v>
      </c>
      <c r="E776">
        <v>4</v>
      </c>
      <c r="F776" t="str">
        <f>IF(AND(Entities[[#This Row],[ENT_TYPE]]="County",RIGHT(Entities[[#This Row],[ENT_NAME]],6)&lt;&gt;"County"),_xlfn.TEXTJOIN(" ",TRUE,Entities[[#This Row],[ENT_NAME]],"County"),Entities[[#This Row],[ENT_NAME]])</f>
        <v>Nevada</v>
      </c>
    </row>
    <row r="777" spans="1:6" x14ac:dyDescent="0.25">
      <c r="A777" s="302" t="s">
        <v>2416</v>
      </c>
      <c r="B777" s="303" t="str">
        <f t="shared" si="12"/>
        <v>x00002657</v>
      </c>
      <c r="C777" t="s">
        <v>5458</v>
      </c>
      <c r="D777" t="s">
        <v>4515</v>
      </c>
      <c r="E777">
        <v>3</v>
      </c>
      <c r="F777" t="str">
        <f>IF(AND(Entities[[#This Row],[ENT_TYPE]]="County",RIGHT(Entities[[#This Row],[ENT_NAME]],6)&lt;&gt;"County"),_xlfn.TEXTJOIN(" ",TRUE,Entities[[#This Row],[ENT_NAME]],"County"),Entities[[#This Row],[ENT_NAME]])</f>
        <v>Nevada</v>
      </c>
    </row>
    <row r="778" spans="1:6" x14ac:dyDescent="0.25">
      <c r="A778" s="302" t="s">
        <v>5501</v>
      </c>
      <c r="B778" s="303" t="str">
        <f t="shared" si="12"/>
        <v>x00002658</v>
      </c>
      <c r="C778" t="s">
        <v>5458</v>
      </c>
      <c r="D778" t="s">
        <v>5502</v>
      </c>
      <c r="E778">
        <v>8</v>
      </c>
      <c r="F778" t="str">
        <f>IF(AND(Entities[[#This Row],[ENT_TYPE]]="County",RIGHT(Entities[[#This Row],[ENT_NAME]],6)&lt;&gt;"County"),_xlfn.TEXTJOIN(" ",TRUE,Entities[[#This Row],[ENT_NAME]],"County"),Entities[[#This Row],[ENT_NAME]])</f>
        <v>Wallis</v>
      </c>
    </row>
    <row r="779" spans="1:6" x14ac:dyDescent="0.25">
      <c r="A779" s="304" t="s">
        <v>5501</v>
      </c>
      <c r="B779" s="303" t="str">
        <f t="shared" si="12"/>
        <v>x00002658</v>
      </c>
      <c r="C779" t="s">
        <v>5458</v>
      </c>
      <c r="D779" t="s">
        <v>5502</v>
      </c>
      <c r="E779">
        <v>10</v>
      </c>
      <c r="F779" t="str">
        <f>IF(AND(Entities[[#This Row],[ENT_TYPE]]="County",RIGHT(Entities[[#This Row],[ENT_NAME]],6)&lt;&gt;"County"),_xlfn.TEXTJOIN(" ",TRUE,Entities[[#This Row],[ENT_NAME]],"County"),Entities[[#This Row],[ENT_NAME]])</f>
        <v>Wallis</v>
      </c>
    </row>
    <row r="780" spans="1:6" x14ac:dyDescent="0.25">
      <c r="A780" s="304" t="s">
        <v>5503</v>
      </c>
      <c r="B780" s="303" t="str">
        <f t="shared" si="12"/>
        <v>x00002669</v>
      </c>
      <c r="C780" t="s">
        <v>5458</v>
      </c>
      <c r="D780" t="s">
        <v>5504</v>
      </c>
      <c r="E780">
        <v>11</v>
      </c>
      <c r="F780" t="str">
        <f>IF(AND(Entities[[#This Row],[ENT_TYPE]]="County",RIGHT(Entities[[#This Row],[ENT_NAME]],6)&lt;&gt;"County"),_xlfn.TEXTJOIN(" ",TRUE,Entities[[#This Row],[ENT_NAME]],"County"),Entities[[#This Row],[ENT_NAME]])</f>
        <v>Bulverde</v>
      </c>
    </row>
    <row r="781" spans="1:6" x14ac:dyDescent="0.25">
      <c r="A781" s="302" t="s">
        <v>5503</v>
      </c>
      <c r="B781" s="303" t="str">
        <f t="shared" si="12"/>
        <v>x00002669</v>
      </c>
      <c r="C781" t="s">
        <v>5458</v>
      </c>
      <c r="D781" t="s">
        <v>5504</v>
      </c>
      <c r="E781">
        <v>12</v>
      </c>
      <c r="F781" t="str">
        <f>IF(AND(Entities[[#This Row],[ENT_TYPE]]="County",RIGHT(Entities[[#This Row],[ENT_NAME]],6)&lt;&gt;"County"),_xlfn.TEXTJOIN(" ",TRUE,Entities[[#This Row],[ENT_NAME]],"County"),Entities[[#This Row],[ENT_NAME]])</f>
        <v>Bulverde</v>
      </c>
    </row>
    <row r="782" spans="1:6" x14ac:dyDescent="0.25">
      <c r="A782" s="302" t="s">
        <v>5505</v>
      </c>
      <c r="B782" s="303" t="str">
        <f t="shared" si="12"/>
        <v>x00002670</v>
      </c>
      <c r="C782" t="s">
        <v>5458</v>
      </c>
      <c r="D782" t="s">
        <v>5506</v>
      </c>
      <c r="E782">
        <v>11</v>
      </c>
      <c r="F782" t="str">
        <f>IF(AND(Entities[[#This Row],[ENT_TYPE]]="County",RIGHT(Entities[[#This Row],[ENT_NAME]],6)&lt;&gt;"County"),_xlfn.TEXTJOIN(" ",TRUE,Entities[[#This Row],[ENT_NAME]],"County"),Entities[[#This Row],[ENT_NAME]])</f>
        <v>New Braunfels</v>
      </c>
    </row>
    <row r="783" spans="1:6" x14ac:dyDescent="0.25">
      <c r="A783" s="302" t="s">
        <v>5505</v>
      </c>
      <c r="B783" s="303" t="str">
        <f t="shared" si="12"/>
        <v>x00002670</v>
      </c>
      <c r="C783" t="s">
        <v>5458</v>
      </c>
      <c r="D783" t="s">
        <v>5506</v>
      </c>
      <c r="E783">
        <v>12</v>
      </c>
      <c r="F783" t="str">
        <f>IF(AND(Entities[[#This Row],[ENT_TYPE]]="County",RIGHT(Entities[[#This Row],[ENT_NAME]],6)&lt;&gt;"County"),_xlfn.TEXTJOIN(" ",TRUE,Entities[[#This Row],[ENT_NAME]],"County"),Entities[[#This Row],[ENT_NAME]])</f>
        <v>New Braunfels</v>
      </c>
    </row>
    <row r="784" spans="1:6" x14ac:dyDescent="0.25">
      <c r="A784" s="304" t="s">
        <v>5507</v>
      </c>
      <c r="B784" s="303" t="str">
        <f t="shared" si="12"/>
        <v>x00002671</v>
      </c>
      <c r="C784" t="s">
        <v>5458</v>
      </c>
      <c r="D784" t="s">
        <v>5508</v>
      </c>
      <c r="E784">
        <v>11</v>
      </c>
      <c r="F784" t="str">
        <f>IF(AND(Entities[[#This Row],[ENT_TYPE]]="County",RIGHT(Entities[[#This Row],[ENT_NAME]],6)&lt;&gt;"County"),_xlfn.TEXTJOIN(" ",TRUE,Entities[[#This Row],[ENT_NAME]],"County"),Entities[[#This Row],[ENT_NAME]])</f>
        <v>Schertz</v>
      </c>
    </row>
    <row r="785" spans="1:6" x14ac:dyDescent="0.25">
      <c r="A785" s="302" t="s">
        <v>5507</v>
      </c>
      <c r="B785" s="303" t="str">
        <f t="shared" si="12"/>
        <v>x00002671</v>
      </c>
      <c r="C785" t="s">
        <v>5458</v>
      </c>
      <c r="D785" t="s">
        <v>5508</v>
      </c>
      <c r="E785">
        <v>12</v>
      </c>
      <c r="F785" t="str">
        <f>IF(AND(Entities[[#This Row],[ENT_TYPE]]="County",RIGHT(Entities[[#This Row],[ENT_NAME]],6)&lt;&gt;"County"),_xlfn.TEXTJOIN(" ",TRUE,Entities[[#This Row],[ENT_NAME]],"County"),Entities[[#This Row],[ENT_NAME]])</f>
        <v>Schertz</v>
      </c>
    </row>
    <row r="786" spans="1:6" x14ac:dyDescent="0.25">
      <c r="A786" s="304" t="s">
        <v>5509</v>
      </c>
      <c r="B786" s="303" t="str">
        <f t="shared" si="12"/>
        <v>x00002700</v>
      </c>
      <c r="C786" t="s">
        <v>5458</v>
      </c>
      <c r="D786" t="s">
        <v>4964</v>
      </c>
      <c r="E786">
        <v>8</v>
      </c>
      <c r="F786" t="str">
        <f>IF(AND(Entities[[#This Row],[ENT_TYPE]]="County",RIGHT(Entities[[#This Row],[ENT_NAME]],6)&lt;&gt;"County"),_xlfn.TEXTJOIN(" ",TRUE,Entities[[#This Row],[ENT_NAME]],"County"),Entities[[#This Row],[ENT_NAME]])</f>
        <v>Austin</v>
      </c>
    </row>
    <row r="787" spans="1:6" x14ac:dyDescent="0.25">
      <c r="A787" s="302" t="s">
        <v>5509</v>
      </c>
      <c r="B787" s="303" t="str">
        <f t="shared" si="12"/>
        <v>x00002700</v>
      </c>
      <c r="C787" t="s">
        <v>5458</v>
      </c>
      <c r="D787" t="s">
        <v>4964</v>
      </c>
      <c r="E787">
        <v>10</v>
      </c>
      <c r="F787" t="str">
        <f>IF(AND(Entities[[#This Row],[ENT_TYPE]]="County",RIGHT(Entities[[#This Row],[ENT_NAME]],6)&lt;&gt;"County"),_xlfn.TEXTJOIN(" ",TRUE,Entities[[#This Row],[ENT_NAME]],"County"),Entities[[#This Row],[ENT_NAME]])</f>
        <v>Austin</v>
      </c>
    </row>
    <row r="788" spans="1:6" x14ac:dyDescent="0.25">
      <c r="A788" s="302" t="s">
        <v>5509</v>
      </c>
      <c r="B788" s="303" t="str">
        <f t="shared" si="12"/>
        <v>x00002700</v>
      </c>
      <c r="C788" t="s">
        <v>5458</v>
      </c>
      <c r="D788" t="s">
        <v>4964</v>
      </c>
      <c r="E788">
        <v>11</v>
      </c>
      <c r="F788" t="str">
        <f>IF(AND(Entities[[#This Row],[ENT_TYPE]]="County",RIGHT(Entities[[#This Row],[ENT_NAME]],6)&lt;&gt;"County"),_xlfn.TEXTJOIN(" ",TRUE,Entities[[#This Row],[ENT_NAME]],"County"),Entities[[#This Row],[ENT_NAME]])</f>
        <v>Austin</v>
      </c>
    </row>
    <row r="789" spans="1:6" x14ac:dyDescent="0.25">
      <c r="A789" s="304" t="s">
        <v>5510</v>
      </c>
      <c r="B789" s="303" t="str">
        <f t="shared" si="12"/>
        <v>x00002703</v>
      </c>
      <c r="C789" t="s">
        <v>5458</v>
      </c>
      <c r="D789" t="s">
        <v>5511</v>
      </c>
      <c r="E789">
        <v>10</v>
      </c>
      <c r="F789" t="str">
        <f>IF(AND(Entities[[#This Row],[ENT_TYPE]]="County",RIGHT(Entities[[#This Row],[ENT_NAME]],6)&lt;&gt;"County"),_xlfn.TEXTJOIN(" ",TRUE,Entities[[#This Row],[ENT_NAME]],"County"),Entities[[#This Row],[ENT_NAME]])</f>
        <v>Mountain City</v>
      </c>
    </row>
    <row r="790" spans="1:6" x14ac:dyDescent="0.25">
      <c r="A790" s="304" t="s">
        <v>5510</v>
      </c>
      <c r="B790" s="303" t="str">
        <f t="shared" si="12"/>
        <v>x00002703</v>
      </c>
      <c r="C790" t="s">
        <v>5458</v>
      </c>
      <c r="D790" t="s">
        <v>5511</v>
      </c>
      <c r="E790">
        <v>11</v>
      </c>
      <c r="F790" t="str">
        <f>IF(AND(Entities[[#This Row],[ENT_TYPE]]="County",RIGHT(Entities[[#This Row],[ENT_NAME]],6)&lt;&gt;"County"),_xlfn.TEXTJOIN(" ",TRUE,Entities[[#This Row],[ENT_NAME]],"County"),Entities[[#This Row],[ENT_NAME]])</f>
        <v>Mountain City</v>
      </c>
    </row>
    <row r="791" spans="1:6" x14ac:dyDescent="0.25">
      <c r="A791" s="302" t="s">
        <v>3075</v>
      </c>
      <c r="B791" s="303" t="str">
        <f t="shared" si="12"/>
        <v>x00002754</v>
      </c>
      <c r="C791" t="s">
        <v>5458</v>
      </c>
      <c r="D791" t="s">
        <v>5512</v>
      </c>
      <c r="E791">
        <v>7</v>
      </c>
      <c r="F791" t="str">
        <f>IF(AND(Entities[[#This Row],[ENT_TYPE]]="County",RIGHT(Entities[[#This Row],[ENT_NAME]],6)&lt;&gt;"County"),_xlfn.TEXTJOIN(" ",TRUE,Entities[[#This Row],[ENT_NAME]],"County"),Entities[[#This Row],[ENT_NAME]])</f>
        <v>Clyde</v>
      </c>
    </row>
    <row r="792" spans="1:6" x14ac:dyDescent="0.25">
      <c r="A792" s="304" t="s">
        <v>5513</v>
      </c>
      <c r="B792" s="303" t="str">
        <f t="shared" si="12"/>
        <v>x00002765</v>
      </c>
      <c r="C792" t="s">
        <v>5458</v>
      </c>
      <c r="D792" t="s">
        <v>5514</v>
      </c>
      <c r="E792">
        <v>7</v>
      </c>
      <c r="F792" t="str">
        <f>IF(AND(Entities[[#This Row],[ENT_TYPE]]="County",RIGHT(Entities[[#This Row],[ENT_NAME]],6)&lt;&gt;"County"),_xlfn.TEXTJOIN(" ",TRUE,Entities[[#This Row],[ENT_NAME]],"County"),Entities[[#This Row],[ENT_NAME]])</f>
        <v>Cisco</v>
      </c>
    </row>
    <row r="793" spans="1:6" x14ac:dyDescent="0.25">
      <c r="A793" s="302" t="s">
        <v>5513</v>
      </c>
      <c r="B793" s="303" t="str">
        <f t="shared" si="12"/>
        <v>x00002765</v>
      </c>
      <c r="C793" t="s">
        <v>5458</v>
      </c>
      <c r="D793" t="s">
        <v>5514</v>
      </c>
      <c r="E793">
        <v>8</v>
      </c>
      <c r="F793" t="str">
        <f>IF(AND(Entities[[#This Row],[ENT_TYPE]]="County",RIGHT(Entities[[#This Row],[ENT_NAME]],6)&lt;&gt;"County"),_xlfn.TEXTJOIN(" ",TRUE,Entities[[#This Row],[ENT_NAME]],"County"),Entities[[#This Row],[ENT_NAME]])</f>
        <v>Cisco</v>
      </c>
    </row>
    <row r="794" spans="1:6" x14ac:dyDescent="0.25">
      <c r="A794" s="304" t="s">
        <v>5515</v>
      </c>
      <c r="B794" s="303" t="str">
        <f t="shared" si="12"/>
        <v>x00002789</v>
      </c>
      <c r="C794" t="s">
        <v>5458</v>
      </c>
      <c r="D794" t="s">
        <v>5516</v>
      </c>
      <c r="E794">
        <v>6</v>
      </c>
      <c r="F794" t="str">
        <f>IF(AND(Entities[[#This Row],[ENT_TYPE]]="County",RIGHT(Entities[[#This Row],[ENT_NAME]],6)&lt;&gt;"County"),_xlfn.TEXTJOIN(" ",TRUE,Entities[[#This Row],[ENT_NAME]],"County"),Entities[[#This Row],[ENT_NAME]])</f>
        <v>Missouri City</v>
      </c>
    </row>
    <row r="795" spans="1:6" x14ac:dyDescent="0.25">
      <c r="A795" s="304" t="s">
        <v>5515</v>
      </c>
      <c r="B795" s="303" t="str">
        <f t="shared" si="12"/>
        <v>x00002789</v>
      </c>
      <c r="C795" t="s">
        <v>5458</v>
      </c>
      <c r="D795" t="s">
        <v>5516</v>
      </c>
      <c r="E795">
        <v>8</v>
      </c>
      <c r="F795" t="str">
        <f>IF(AND(Entities[[#This Row],[ENT_TYPE]]="County",RIGHT(Entities[[#This Row],[ENT_NAME]],6)&lt;&gt;"County"),_xlfn.TEXTJOIN(" ",TRUE,Entities[[#This Row],[ENT_NAME]],"County"),Entities[[#This Row],[ENT_NAME]])</f>
        <v>Missouri City</v>
      </c>
    </row>
    <row r="796" spans="1:6" x14ac:dyDescent="0.25">
      <c r="A796" s="304" t="s">
        <v>5517</v>
      </c>
      <c r="B796" s="303" t="str">
        <f t="shared" si="12"/>
        <v>x00002797</v>
      </c>
      <c r="C796" t="s">
        <v>5458</v>
      </c>
      <c r="D796" t="s">
        <v>5518</v>
      </c>
      <c r="E796">
        <v>0</v>
      </c>
      <c r="F796" t="str">
        <f>IF(AND(Entities[[#This Row],[ENT_TYPE]]="County",RIGHT(Entities[[#This Row],[ENT_NAME]],6)&lt;&gt;"County"),_xlfn.TEXTJOIN(" ",TRUE,Entities[[#This Row],[ENT_NAME]],"County"),Entities[[#This Row],[ENT_NAME]])</f>
        <v>St. Jo</v>
      </c>
    </row>
    <row r="797" spans="1:6" x14ac:dyDescent="0.25">
      <c r="A797" s="302" t="s">
        <v>5517</v>
      </c>
      <c r="B797" s="303" t="str">
        <f t="shared" si="12"/>
        <v>x00002797</v>
      </c>
      <c r="C797" t="s">
        <v>5458</v>
      </c>
      <c r="D797" t="s">
        <v>5518</v>
      </c>
      <c r="E797">
        <v>3</v>
      </c>
      <c r="F797" t="str">
        <f>IF(AND(Entities[[#This Row],[ENT_TYPE]]="County",RIGHT(Entities[[#This Row],[ENT_NAME]],6)&lt;&gt;"County"),_xlfn.TEXTJOIN(" ",TRUE,Entities[[#This Row],[ENT_NAME]],"County"),Entities[[#This Row],[ENT_NAME]])</f>
        <v>St. Jo</v>
      </c>
    </row>
    <row r="798" spans="1:6" x14ac:dyDescent="0.25">
      <c r="A798" s="302" t="s">
        <v>5519</v>
      </c>
      <c r="B798" s="303" t="str">
        <f t="shared" si="12"/>
        <v>x00002799</v>
      </c>
      <c r="C798" t="s">
        <v>5458</v>
      </c>
      <c r="D798" t="s">
        <v>5520</v>
      </c>
      <c r="E798">
        <v>10</v>
      </c>
      <c r="F798" t="str">
        <f>IF(AND(Entities[[#This Row],[ENT_TYPE]]="County",RIGHT(Entities[[#This Row],[ENT_NAME]],6)&lt;&gt;"County"),_xlfn.TEXTJOIN(" ",TRUE,Entities[[#This Row],[ENT_NAME]],"County"),Entities[[#This Row],[ENT_NAME]])</f>
        <v>Buda</v>
      </c>
    </row>
    <row r="799" spans="1:6" x14ac:dyDescent="0.25">
      <c r="A799" s="302" t="s">
        <v>5519</v>
      </c>
      <c r="B799" s="303" t="str">
        <f t="shared" si="12"/>
        <v>x00002799</v>
      </c>
      <c r="C799" t="s">
        <v>5458</v>
      </c>
      <c r="D799" t="s">
        <v>5520</v>
      </c>
      <c r="E799">
        <v>11</v>
      </c>
      <c r="F799" t="str">
        <f>IF(AND(Entities[[#This Row],[ENT_TYPE]]="County",RIGHT(Entities[[#This Row],[ENT_NAME]],6)&lt;&gt;"County"),_xlfn.TEXTJOIN(" ",TRUE,Entities[[#This Row],[ENT_NAME]],"County"),Entities[[#This Row],[ENT_NAME]])</f>
        <v>Buda</v>
      </c>
    </row>
    <row r="800" spans="1:6" x14ac:dyDescent="0.25">
      <c r="A800" s="304" t="s">
        <v>5521</v>
      </c>
      <c r="B800" s="303" t="str">
        <f t="shared" si="12"/>
        <v>x00002800</v>
      </c>
      <c r="C800" t="s">
        <v>5458</v>
      </c>
      <c r="D800" t="s">
        <v>5522</v>
      </c>
      <c r="E800">
        <v>11</v>
      </c>
      <c r="F800" t="str">
        <f>IF(AND(Entities[[#This Row],[ENT_TYPE]]="County",RIGHT(Entities[[#This Row],[ENT_NAME]],6)&lt;&gt;"County"),_xlfn.TEXTJOIN(" ",TRUE,Entities[[#This Row],[ENT_NAME]],"County"),Entities[[#This Row],[ENT_NAME]])</f>
        <v>Kyle</v>
      </c>
    </row>
    <row r="801" spans="1:6" x14ac:dyDescent="0.25">
      <c r="A801" s="302" t="s">
        <v>5523</v>
      </c>
      <c r="B801" s="303" t="str">
        <f t="shared" si="12"/>
        <v>x00002826</v>
      </c>
      <c r="C801" t="s">
        <v>5458</v>
      </c>
      <c r="D801" t="s">
        <v>5524</v>
      </c>
      <c r="E801">
        <v>0</v>
      </c>
      <c r="F801" t="str">
        <f>IF(AND(Entities[[#This Row],[ENT_TYPE]]="County",RIGHT(Entities[[#This Row],[ENT_NAME]],6)&lt;&gt;"County"),_xlfn.TEXTJOIN(" ",TRUE,Entities[[#This Row],[ENT_NAME]],"County"),Entities[[#This Row],[ENT_NAME]])</f>
        <v>Athens</v>
      </c>
    </row>
    <row r="802" spans="1:6" x14ac:dyDescent="0.25">
      <c r="A802" s="302" t="s">
        <v>5523</v>
      </c>
      <c r="B802" s="303" t="str">
        <f t="shared" si="12"/>
        <v>x00002826</v>
      </c>
      <c r="C802" t="s">
        <v>5458</v>
      </c>
      <c r="D802" t="s">
        <v>5524</v>
      </c>
      <c r="E802">
        <v>3</v>
      </c>
      <c r="F802" t="str">
        <f>IF(AND(Entities[[#This Row],[ENT_TYPE]]="County",RIGHT(Entities[[#This Row],[ENT_NAME]],6)&lt;&gt;"County"),_xlfn.TEXTJOIN(" ",TRUE,Entities[[#This Row],[ENT_NAME]],"County"),Entities[[#This Row],[ENT_NAME]])</f>
        <v>Athens</v>
      </c>
    </row>
    <row r="803" spans="1:6" x14ac:dyDescent="0.25">
      <c r="A803" s="304" t="s">
        <v>5525</v>
      </c>
      <c r="B803" s="303" t="str">
        <f t="shared" si="12"/>
        <v>x00002853</v>
      </c>
      <c r="C803" t="s">
        <v>5458</v>
      </c>
      <c r="D803" t="s">
        <v>2171</v>
      </c>
      <c r="E803">
        <v>6</v>
      </c>
      <c r="F803" t="str">
        <f>IF(AND(Entities[[#This Row],[ENT_TYPE]]="County",RIGHT(Entities[[#This Row],[ENT_NAME]],6)&lt;&gt;"County"),_xlfn.TEXTJOIN(" ",TRUE,Entities[[#This Row],[ENT_NAME]],"County"),Entities[[#This Row],[ENT_NAME]])</f>
        <v>Houston</v>
      </c>
    </row>
    <row r="804" spans="1:6" x14ac:dyDescent="0.25">
      <c r="A804" s="302" t="s">
        <v>5525</v>
      </c>
      <c r="B804" s="303" t="str">
        <f t="shared" si="12"/>
        <v>x00002853</v>
      </c>
      <c r="C804" t="s">
        <v>5458</v>
      </c>
      <c r="D804" t="s">
        <v>2171</v>
      </c>
      <c r="E804">
        <v>8</v>
      </c>
      <c r="F804" t="str">
        <f>IF(AND(Entities[[#This Row],[ENT_TYPE]]="County",RIGHT(Entities[[#This Row],[ENT_NAME]],6)&lt;&gt;"County"),_xlfn.TEXTJOIN(" ",TRUE,Entities[[#This Row],[ENT_NAME]],"County"),Entities[[#This Row],[ENT_NAME]])</f>
        <v>Houston</v>
      </c>
    </row>
    <row r="805" spans="1:6" x14ac:dyDescent="0.25">
      <c r="A805" s="304" t="s">
        <v>2604</v>
      </c>
      <c r="B805" s="303" t="str">
        <f t="shared" si="12"/>
        <v>x00002895</v>
      </c>
      <c r="C805" t="s">
        <v>5458</v>
      </c>
      <c r="D805" t="s">
        <v>2113</v>
      </c>
      <c r="E805">
        <v>4</v>
      </c>
      <c r="F805" t="str">
        <f>IF(AND(Entities[[#This Row],[ENT_TYPE]]="County",RIGHT(Entities[[#This Row],[ENT_NAME]],6)&lt;&gt;"County"),_xlfn.TEXTJOIN(" ",TRUE,Entities[[#This Row],[ENT_NAME]],"County"),Entities[[#This Row],[ENT_NAME]])</f>
        <v>Henderson</v>
      </c>
    </row>
    <row r="806" spans="1:6" x14ac:dyDescent="0.25">
      <c r="A806" s="302" t="s">
        <v>2604</v>
      </c>
      <c r="B806" s="303" t="str">
        <f t="shared" si="12"/>
        <v>x00002895</v>
      </c>
      <c r="C806" t="s">
        <v>5458</v>
      </c>
      <c r="D806" t="s">
        <v>2113</v>
      </c>
      <c r="E806">
        <v>0</v>
      </c>
      <c r="F806" t="str">
        <f>IF(AND(Entities[[#This Row],[ENT_TYPE]]="County",RIGHT(Entities[[#This Row],[ENT_NAME]],6)&lt;&gt;"County"),_xlfn.TEXTJOIN(" ",TRUE,Entities[[#This Row],[ENT_NAME]],"County"),Entities[[#This Row],[ENT_NAME]])</f>
        <v>Henderson</v>
      </c>
    </row>
    <row r="807" spans="1:6" x14ac:dyDescent="0.25">
      <c r="A807" s="302" t="s">
        <v>5526</v>
      </c>
      <c r="B807" s="303" t="str">
        <f t="shared" si="12"/>
        <v>x00002897</v>
      </c>
      <c r="C807" t="s">
        <v>5458</v>
      </c>
      <c r="D807" t="s">
        <v>5527</v>
      </c>
      <c r="E807">
        <v>4</v>
      </c>
      <c r="F807" t="str">
        <f>IF(AND(Entities[[#This Row],[ENT_TYPE]]="County",RIGHT(Entities[[#This Row],[ENT_NAME]],6)&lt;&gt;"County"),_xlfn.TEXTJOIN(" ",TRUE,Entities[[#This Row],[ENT_NAME]],"County"),Entities[[#This Row],[ENT_NAME]])</f>
        <v>New London</v>
      </c>
    </row>
    <row r="808" spans="1:6" x14ac:dyDescent="0.25">
      <c r="A808" s="302" t="s">
        <v>5526</v>
      </c>
      <c r="B808" s="303" t="str">
        <f t="shared" si="12"/>
        <v>x00002897</v>
      </c>
      <c r="C808" t="s">
        <v>5458</v>
      </c>
      <c r="D808" t="s">
        <v>5527</v>
      </c>
      <c r="E808">
        <v>0</v>
      </c>
      <c r="F808" t="str">
        <f>IF(AND(Entities[[#This Row],[ENT_TYPE]]="County",RIGHT(Entities[[#This Row],[ENT_NAME]],6)&lt;&gt;"County"),_xlfn.TEXTJOIN(" ",TRUE,Entities[[#This Row],[ENT_NAME]],"County"),Entities[[#This Row],[ENT_NAME]])</f>
        <v>New London</v>
      </c>
    </row>
    <row r="809" spans="1:6" x14ac:dyDescent="0.25">
      <c r="A809" s="302" t="s">
        <v>5528</v>
      </c>
      <c r="B809" s="303" t="str">
        <f t="shared" si="12"/>
        <v>x00002909</v>
      </c>
      <c r="C809" t="s">
        <v>5458</v>
      </c>
      <c r="D809" t="s">
        <v>5529</v>
      </c>
      <c r="E809">
        <v>8</v>
      </c>
      <c r="F809" t="str">
        <f>IF(AND(Entities[[#This Row],[ENT_TYPE]]="County",RIGHT(Entities[[#This Row],[ENT_NAME]],6)&lt;&gt;"County"),_xlfn.TEXTJOIN(" ",TRUE,Entities[[#This Row],[ENT_NAME]],"County"),Entities[[#This Row],[ENT_NAME]])</f>
        <v>Normangee</v>
      </c>
    </row>
    <row r="810" spans="1:6" x14ac:dyDescent="0.25">
      <c r="A810" s="302" t="s">
        <v>5528</v>
      </c>
      <c r="B810" s="303" t="str">
        <f t="shared" si="12"/>
        <v>x00002909</v>
      </c>
      <c r="C810" t="s">
        <v>5458</v>
      </c>
      <c r="D810" t="s">
        <v>5529</v>
      </c>
      <c r="E810">
        <v>3</v>
      </c>
      <c r="F810" t="str">
        <f>IF(AND(Entities[[#This Row],[ENT_TYPE]]="County",RIGHT(Entities[[#This Row],[ENT_NAME]],6)&lt;&gt;"County"),_xlfn.TEXTJOIN(" ",TRUE,Entities[[#This Row],[ENT_NAME]],"County"),Entities[[#This Row],[ENT_NAME]])</f>
        <v>Normangee</v>
      </c>
    </row>
    <row r="811" spans="1:6" x14ac:dyDescent="0.25">
      <c r="A811" s="302" t="s">
        <v>5530</v>
      </c>
      <c r="B811" s="303" t="str">
        <f t="shared" si="12"/>
        <v>x00002918</v>
      </c>
      <c r="C811" t="s">
        <v>5458</v>
      </c>
      <c r="D811" t="s">
        <v>5531</v>
      </c>
      <c r="E811">
        <v>4</v>
      </c>
      <c r="F811" t="str">
        <f>IF(AND(Entities[[#This Row],[ENT_TYPE]]="County",RIGHT(Entities[[#This Row],[ENT_NAME]],6)&lt;&gt;"County"),_xlfn.TEXTJOIN(" ",TRUE,Entities[[#This Row],[ENT_NAME]],"County"),Entities[[#This Row],[ENT_NAME]])</f>
        <v>Timpson</v>
      </c>
    </row>
    <row r="812" spans="1:6" x14ac:dyDescent="0.25">
      <c r="A812" s="304" t="s">
        <v>5532</v>
      </c>
      <c r="B812" s="303" t="str">
        <f t="shared" si="12"/>
        <v>x00002919</v>
      </c>
      <c r="C812" t="s">
        <v>5458</v>
      </c>
      <c r="D812" t="s">
        <v>5533</v>
      </c>
      <c r="E812">
        <v>4</v>
      </c>
      <c r="F812" t="str">
        <f>IF(AND(Entities[[#This Row],[ENT_TYPE]]="County",RIGHT(Entities[[#This Row],[ENT_NAME]],6)&lt;&gt;"County"),_xlfn.TEXTJOIN(" ",TRUE,Entities[[#This Row],[ENT_NAME]],"County"),Entities[[#This Row],[ENT_NAME]])</f>
        <v>Bridge City</v>
      </c>
    </row>
    <row r="813" spans="1:6" x14ac:dyDescent="0.25">
      <c r="A813" s="302" t="s">
        <v>5532</v>
      </c>
      <c r="B813" s="303" t="str">
        <f t="shared" si="12"/>
        <v>x00002919</v>
      </c>
      <c r="C813" t="s">
        <v>5458</v>
      </c>
      <c r="D813" t="s">
        <v>5533</v>
      </c>
      <c r="E813">
        <v>0</v>
      </c>
      <c r="F813" t="str">
        <f>IF(AND(Entities[[#This Row],[ENT_TYPE]]="County",RIGHT(Entities[[#This Row],[ENT_NAME]],6)&lt;&gt;"County"),_xlfn.TEXTJOIN(" ",TRUE,Entities[[#This Row],[ENT_NAME]],"County"),Entities[[#This Row],[ENT_NAME]])</f>
        <v>Bridge City</v>
      </c>
    </row>
    <row r="814" spans="1:6" x14ac:dyDescent="0.25">
      <c r="A814" s="302" t="s">
        <v>5534</v>
      </c>
      <c r="B814" s="303" t="str">
        <f t="shared" si="12"/>
        <v>x00002921</v>
      </c>
      <c r="C814" t="s">
        <v>5458</v>
      </c>
      <c r="D814" t="s">
        <v>5535</v>
      </c>
      <c r="E814">
        <v>8</v>
      </c>
      <c r="F814" t="str">
        <f>IF(AND(Entities[[#This Row],[ENT_TYPE]]="County",RIGHT(Entities[[#This Row],[ENT_NAME]],6)&lt;&gt;"County"),_xlfn.TEXTJOIN(" ",TRUE,Entities[[#This Row],[ENT_NAME]],"County"),Entities[[#This Row],[ENT_NAME]])</f>
        <v>Beasley</v>
      </c>
    </row>
    <row r="815" spans="1:6" x14ac:dyDescent="0.25">
      <c r="A815" s="302" t="s">
        <v>5534</v>
      </c>
      <c r="B815" s="303" t="str">
        <f t="shared" si="12"/>
        <v>x00002921</v>
      </c>
      <c r="C815" t="s">
        <v>5458</v>
      </c>
      <c r="D815" t="s">
        <v>5535</v>
      </c>
      <c r="E815">
        <v>10</v>
      </c>
      <c r="F815" t="str">
        <f>IF(AND(Entities[[#This Row],[ENT_TYPE]]="County",RIGHT(Entities[[#This Row],[ENT_NAME]],6)&lt;&gt;"County"),_xlfn.TEXTJOIN(" ",TRUE,Entities[[#This Row],[ENT_NAME]],"County"),Entities[[#This Row],[ENT_NAME]])</f>
        <v>Beasley</v>
      </c>
    </row>
    <row r="816" spans="1:6" x14ac:dyDescent="0.25">
      <c r="A816" s="302" t="s">
        <v>5536</v>
      </c>
      <c r="B816" s="303" t="str">
        <f t="shared" si="12"/>
        <v>x00002923</v>
      </c>
      <c r="C816" t="s">
        <v>5458</v>
      </c>
      <c r="D816" t="s">
        <v>5537</v>
      </c>
      <c r="E816">
        <v>6</v>
      </c>
      <c r="F816" t="str">
        <f>IF(AND(Entities[[#This Row],[ENT_TYPE]]="County",RIGHT(Entities[[#This Row],[ENT_NAME]],6)&lt;&gt;"County"),_xlfn.TEXTJOIN(" ",TRUE,Entities[[#This Row],[ENT_NAME]],"County"),Entities[[#This Row],[ENT_NAME]])</f>
        <v>Fulshear</v>
      </c>
    </row>
    <row r="817" spans="1:6" x14ac:dyDescent="0.25">
      <c r="A817" s="302" t="s">
        <v>5536</v>
      </c>
      <c r="B817" s="303" t="str">
        <f t="shared" si="12"/>
        <v>x00002923</v>
      </c>
      <c r="C817" t="s">
        <v>5458</v>
      </c>
      <c r="D817" t="s">
        <v>5537</v>
      </c>
      <c r="E817">
        <v>8</v>
      </c>
      <c r="F817" t="str">
        <f>IF(AND(Entities[[#This Row],[ENT_TYPE]]="County",RIGHT(Entities[[#This Row],[ENT_NAME]],6)&lt;&gt;"County"),_xlfn.TEXTJOIN(" ",TRUE,Entities[[#This Row],[ENT_NAME]],"County"),Entities[[#This Row],[ENT_NAME]])</f>
        <v>Fulshear</v>
      </c>
    </row>
    <row r="818" spans="1:6" x14ac:dyDescent="0.25">
      <c r="A818" s="304" t="s">
        <v>5538</v>
      </c>
      <c r="B818" s="303" t="str">
        <f t="shared" si="12"/>
        <v>x00002935</v>
      </c>
      <c r="C818" t="s">
        <v>5458</v>
      </c>
      <c r="D818" t="s">
        <v>5539</v>
      </c>
      <c r="E818">
        <v>8</v>
      </c>
      <c r="F818" t="str">
        <f>IF(AND(Entities[[#This Row],[ENT_TYPE]]="County",RIGHT(Entities[[#This Row],[ENT_NAME]],6)&lt;&gt;"County"),_xlfn.TEXTJOIN(" ",TRUE,Entities[[#This Row],[ENT_NAME]],"County"),Entities[[#This Row],[ENT_NAME]])</f>
        <v>Needville</v>
      </c>
    </row>
    <row r="819" spans="1:6" x14ac:dyDescent="0.25">
      <c r="A819" s="302" t="s">
        <v>5538</v>
      </c>
      <c r="B819" s="303" t="str">
        <f t="shared" si="12"/>
        <v>x00002935</v>
      </c>
      <c r="C819" t="s">
        <v>5458</v>
      </c>
      <c r="D819" t="s">
        <v>5539</v>
      </c>
      <c r="E819">
        <v>10</v>
      </c>
      <c r="F819" t="str">
        <f>IF(AND(Entities[[#This Row],[ENT_TYPE]]="County",RIGHT(Entities[[#This Row],[ENT_NAME]],6)&lt;&gt;"County"),_xlfn.TEXTJOIN(" ",TRUE,Entities[[#This Row],[ENT_NAME]],"County"),Entities[[#This Row],[ENT_NAME]])</f>
        <v>Needville</v>
      </c>
    </row>
    <row r="820" spans="1:6" x14ac:dyDescent="0.25">
      <c r="A820" s="304" t="s">
        <v>5540</v>
      </c>
      <c r="B820" s="303" t="str">
        <f t="shared" si="12"/>
        <v>x00002942</v>
      </c>
      <c r="C820" t="s">
        <v>5458</v>
      </c>
      <c r="D820" t="s">
        <v>5541</v>
      </c>
      <c r="E820">
        <v>0</v>
      </c>
      <c r="F820" t="str">
        <f>IF(AND(Entities[[#This Row],[ENT_TYPE]]="County",RIGHT(Entities[[#This Row],[ENT_NAME]],6)&lt;&gt;"County"),_xlfn.TEXTJOIN(" ",TRUE,Entities[[#This Row],[ENT_NAME]],"County"),Entities[[#This Row],[ENT_NAME]])</f>
        <v>Seymour</v>
      </c>
    </row>
    <row r="821" spans="1:6" x14ac:dyDescent="0.25">
      <c r="A821" s="302" t="s">
        <v>5540</v>
      </c>
      <c r="B821" s="303" t="str">
        <f t="shared" si="12"/>
        <v>x00002942</v>
      </c>
      <c r="C821" t="s">
        <v>5458</v>
      </c>
      <c r="D821" t="s">
        <v>5541</v>
      </c>
      <c r="E821">
        <v>7</v>
      </c>
      <c r="F821" t="str">
        <f>IF(AND(Entities[[#This Row],[ENT_TYPE]]="County",RIGHT(Entities[[#This Row],[ENT_NAME]],6)&lt;&gt;"County"),_xlfn.TEXTJOIN(" ",TRUE,Entities[[#This Row],[ENT_NAME]],"County"),Entities[[#This Row],[ENT_NAME]])</f>
        <v>Seymour</v>
      </c>
    </row>
    <row r="822" spans="1:6" x14ac:dyDescent="0.25">
      <c r="A822" s="302" t="s">
        <v>5542</v>
      </c>
      <c r="B822" s="303" t="str">
        <f t="shared" si="12"/>
        <v>x00002946</v>
      </c>
      <c r="C822" t="s">
        <v>5458</v>
      </c>
      <c r="D822" t="s">
        <v>5543</v>
      </c>
      <c r="E822">
        <v>8</v>
      </c>
      <c r="F822" t="str">
        <f>IF(AND(Entities[[#This Row],[ENT_TYPE]]="County",RIGHT(Entities[[#This Row],[ENT_NAME]],6)&lt;&gt;"County"),_xlfn.TEXTJOIN(" ",TRUE,Entities[[#This Row],[ENT_NAME]],"County"),Entities[[#This Row],[ENT_NAME]])</f>
        <v>Coolidge</v>
      </c>
    </row>
    <row r="823" spans="1:6" x14ac:dyDescent="0.25">
      <c r="A823" s="302" t="s">
        <v>5542</v>
      </c>
      <c r="B823" s="303" t="str">
        <f t="shared" si="12"/>
        <v>x00002946</v>
      </c>
      <c r="C823" t="s">
        <v>5458</v>
      </c>
      <c r="D823" t="s">
        <v>5543</v>
      </c>
      <c r="E823">
        <v>3</v>
      </c>
      <c r="F823" t="str">
        <f>IF(AND(Entities[[#This Row],[ENT_TYPE]]="County",RIGHT(Entities[[#This Row],[ENT_NAME]],6)&lt;&gt;"County"),_xlfn.TEXTJOIN(" ",TRUE,Entities[[#This Row],[ENT_NAME]],"County"),Entities[[#This Row],[ENT_NAME]])</f>
        <v>Coolidge</v>
      </c>
    </row>
    <row r="824" spans="1:6" x14ac:dyDescent="0.25">
      <c r="A824" s="302" t="s">
        <v>5544</v>
      </c>
      <c r="B824" s="303" t="str">
        <f t="shared" si="12"/>
        <v>x00002948</v>
      </c>
      <c r="C824" t="s">
        <v>5458</v>
      </c>
      <c r="D824" t="s">
        <v>5545</v>
      </c>
      <c r="E824">
        <v>8</v>
      </c>
      <c r="F824" t="str">
        <f>IF(AND(Entities[[#This Row],[ENT_TYPE]]="County",RIGHT(Entities[[#This Row],[ENT_NAME]],6)&lt;&gt;"County"),_xlfn.TEXTJOIN(" ",TRUE,Entities[[#This Row],[ENT_NAME]],"County"),Entities[[#This Row],[ENT_NAME]])</f>
        <v>Mexia</v>
      </c>
    </row>
    <row r="825" spans="1:6" x14ac:dyDescent="0.25">
      <c r="A825" s="302" t="s">
        <v>5544</v>
      </c>
      <c r="B825" s="303" t="str">
        <f t="shared" si="12"/>
        <v>x00002948</v>
      </c>
      <c r="C825" t="s">
        <v>5458</v>
      </c>
      <c r="D825" t="s">
        <v>5545</v>
      </c>
      <c r="E825">
        <v>3</v>
      </c>
      <c r="F825" t="str">
        <f>IF(AND(Entities[[#This Row],[ENT_TYPE]]="County",RIGHT(Entities[[#This Row],[ENT_NAME]],6)&lt;&gt;"County"),_xlfn.TEXTJOIN(" ",TRUE,Entities[[#This Row],[ENT_NAME]],"County"),Entities[[#This Row],[ENT_NAME]])</f>
        <v>Mexia</v>
      </c>
    </row>
    <row r="826" spans="1:6" x14ac:dyDescent="0.25">
      <c r="A826" s="304" t="s">
        <v>2451</v>
      </c>
      <c r="B826" s="303" t="str">
        <f t="shared" si="12"/>
        <v>x00002949</v>
      </c>
      <c r="C826" t="s">
        <v>5458</v>
      </c>
      <c r="D826" t="s">
        <v>4524</v>
      </c>
      <c r="E826">
        <v>8</v>
      </c>
      <c r="F826" t="str">
        <f>IF(AND(Entities[[#This Row],[ENT_TYPE]]="County",RIGHT(Entities[[#This Row],[ENT_NAME]],6)&lt;&gt;"County"),_xlfn.TEXTJOIN(" ",TRUE,Entities[[#This Row],[ENT_NAME]],"County"),Entities[[#This Row],[ENT_NAME]])</f>
        <v>Tehuacana</v>
      </c>
    </row>
    <row r="827" spans="1:6" x14ac:dyDescent="0.25">
      <c r="A827" s="302" t="s">
        <v>2451</v>
      </c>
      <c r="B827" s="303" t="str">
        <f t="shared" si="12"/>
        <v>x00002949</v>
      </c>
      <c r="C827" t="s">
        <v>5458</v>
      </c>
      <c r="D827" t="s">
        <v>4524</v>
      </c>
      <c r="E827">
        <v>3</v>
      </c>
      <c r="F827" t="str">
        <f>IF(AND(Entities[[#This Row],[ENT_TYPE]]="County",RIGHT(Entities[[#This Row],[ENT_NAME]],6)&lt;&gt;"County"),_xlfn.TEXTJOIN(" ",TRUE,Entities[[#This Row],[ENT_NAME]],"County"),Entities[[#This Row],[ENT_NAME]])</f>
        <v>Tehuacana</v>
      </c>
    </row>
    <row r="828" spans="1:6" x14ac:dyDescent="0.25">
      <c r="A828" s="302" t="s">
        <v>5546</v>
      </c>
      <c r="B828" s="303" t="str">
        <f t="shared" si="12"/>
        <v>x00002973</v>
      </c>
      <c r="C828" t="s">
        <v>5458</v>
      </c>
      <c r="D828" t="s">
        <v>5547</v>
      </c>
      <c r="E828">
        <v>11</v>
      </c>
      <c r="F828" t="str">
        <f>IF(AND(Entities[[#This Row],[ENT_TYPE]]="County",RIGHT(Entities[[#This Row],[ENT_NAME]],6)&lt;&gt;"County"),_xlfn.TEXTJOIN(" ",TRUE,Entities[[#This Row],[ENT_NAME]],"County"),Entities[[#This Row],[ENT_NAME]])</f>
        <v>New Berlin</v>
      </c>
    </row>
    <row r="829" spans="1:6" x14ac:dyDescent="0.25">
      <c r="A829" s="302" t="s">
        <v>5546</v>
      </c>
      <c r="B829" s="303" t="str">
        <f t="shared" si="12"/>
        <v>x00002973</v>
      </c>
      <c r="C829" t="s">
        <v>5458</v>
      </c>
      <c r="D829" t="s">
        <v>5547</v>
      </c>
      <c r="E829">
        <v>12</v>
      </c>
      <c r="F829" t="str">
        <f>IF(AND(Entities[[#This Row],[ENT_TYPE]]="County",RIGHT(Entities[[#This Row],[ENT_NAME]],6)&lt;&gt;"County"),_xlfn.TEXTJOIN(" ",TRUE,Entities[[#This Row],[ENT_NAME]],"County"),Entities[[#This Row],[ENT_NAME]])</f>
        <v>New Berlin</v>
      </c>
    </row>
    <row r="830" spans="1:6" x14ac:dyDescent="0.25">
      <c r="A830" s="302" t="s">
        <v>5548</v>
      </c>
      <c r="B830" s="303" t="str">
        <f t="shared" si="12"/>
        <v>x00002981</v>
      </c>
      <c r="C830" t="s">
        <v>5458</v>
      </c>
      <c r="D830" t="s">
        <v>5549</v>
      </c>
      <c r="E830">
        <v>8</v>
      </c>
      <c r="F830" t="str">
        <f>IF(AND(Entities[[#This Row],[ENT_TYPE]]="County",RIGHT(Entities[[#This Row],[ENT_NAME]],6)&lt;&gt;"County"),_xlfn.TEXTJOIN(" ",TRUE,Entities[[#This Row],[ENT_NAME]],"County"),Entities[[#This Row],[ENT_NAME]])</f>
        <v>Lake Jackson</v>
      </c>
    </row>
    <row r="831" spans="1:6" x14ac:dyDescent="0.25">
      <c r="A831" s="302" t="s">
        <v>5550</v>
      </c>
      <c r="B831" s="303" t="str">
        <f t="shared" si="12"/>
        <v>x00002984</v>
      </c>
      <c r="C831" t="s">
        <v>5458</v>
      </c>
      <c r="D831" t="s">
        <v>5551</v>
      </c>
      <c r="E831">
        <v>8</v>
      </c>
      <c r="F831" t="str">
        <f>IF(AND(Entities[[#This Row],[ENT_TYPE]]="County",RIGHT(Entities[[#This Row],[ENT_NAME]],6)&lt;&gt;"County"),_xlfn.TEXTJOIN(" ",TRUE,Entities[[#This Row],[ENT_NAME]],"County"),Entities[[#This Row],[ENT_NAME]])</f>
        <v>Freeport</v>
      </c>
    </row>
    <row r="832" spans="1:6" x14ac:dyDescent="0.25">
      <c r="A832" s="302" t="s">
        <v>5552</v>
      </c>
      <c r="B832" s="303" t="str">
        <f t="shared" si="12"/>
        <v>x00003007</v>
      </c>
      <c r="C832" t="s">
        <v>5458</v>
      </c>
      <c r="D832" t="s">
        <v>5553</v>
      </c>
      <c r="E832">
        <v>2</v>
      </c>
      <c r="F832" t="str">
        <f>IF(AND(Entities[[#This Row],[ENT_TYPE]]="County",RIGHT(Entities[[#This Row],[ENT_NAME]],6)&lt;&gt;"County"),_xlfn.TEXTJOIN(" ",TRUE,Entities[[#This Row],[ENT_NAME]],"County"),Entities[[#This Row],[ENT_NAME]])</f>
        <v>Campbell</v>
      </c>
    </row>
    <row r="833" spans="1:6" x14ac:dyDescent="0.25">
      <c r="A833" s="302" t="s">
        <v>5552</v>
      </c>
      <c r="B833" s="303" t="str">
        <f t="shared" si="12"/>
        <v>x00003007</v>
      </c>
      <c r="C833" t="s">
        <v>5458</v>
      </c>
      <c r="D833" t="s">
        <v>5553</v>
      </c>
      <c r="E833">
        <v>4</v>
      </c>
      <c r="F833" t="str">
        <f>IF(AND(Entities[[#This Row],[ENT_TYPE]]="County",RIGHT(Entities[[#This Row],[ENT_NAME]],6)&lt;&gt;"County"),_xlfn.TEXTJOIN(" ",TRUE,Entities[[#This Row],[ENT_NAME]],"County"),Entities[[#This Row],[ENT_NAME]])</f>
        <v>Campbell</v>
      </c>
    </row>
    <row r="834" spans="1:6" x14ac:dyDescent="0.25">
      <c r="A834" s="302" t="s">
        <v>2238</v>
      </c>
      <c r="B834" s="303" t="str">
        <f t="shared" ref="B834:B897" si="13">_xlfn.CONCAT("x",TEXT(A834,"00000000"))</f>
        <v>x00003009</v>
      </c>
      <c r="C834" t="s">
        <v>5458</v>
      </c>
      <c r="D834" t="s">
        <v>5554</v>
      </c>
      <c r="E834">
        <v>8</v>
      </c>
      <c r="F834" t="str">
        <f>IF(AND(Entities[[#This Row],[ENT_TYPE]]="County",RIGHT(Entities[[#This Row],[ENT_NAME]],6)&lt;&gt;"County"),_xlfn.TEXTJOIN(" ",TRUE,Entities[[#This Row],[ENT_NAME]],"County"),Entities[[#This Row],[ENT_NAME]])</f>
        <v>Burleson</v>
      </c>
    </row>
    <row r="835" spans="1:6" x14ac:dyDescent="0.25">
      <c r="A835" s="302" t="s">
        <v>2238</v>
      </c>
      <c r="B835" s="303" t="str">
        <f t="shared" si="13"/>
        <v>x00003009</v>
      </c>
      <c r="C835" t="s">
        <v>5458</v>
      </c>
      <c r="D835" t="s">
        <v>5554</v>
      </c>
      <c r="E835">
        <v>3</v>
      </c>
      <c r="F835" t="str">
        <f>IF(AND(Entities[[#This Row],[ENT_TYPE]]="County",RIGHT(Entities[[#This Row],[ENT_NAME]],6)&lt;&gt;"County"),_xlfn.TEXTJOIN(" ",TRUE,Entities[[#This Row],[ENT_NAME]],"County"),Entities[[#This Row],[ENT_NAME]])</f>
        <v>Burleson</v>
      </c>
    </row>
    <row r="836" spans="1:6" x14ac:dyDescent="0.25">
      <c r="A836" s="302" t="s">
        <v>5555</v>
      </c>
      <c r="B836" s="303" t="str">
        <f t="shared" si="13"/>
        <v>x00003012</v>
      </c>
      <c r="C836" t="s">
        <v>5458</v>
      </c>
      <c r="D836" t="s">
        <v>5556</v>
      </c>
      <c r="E836">
        <v>8</v>
      </c>
      <c r="F836" t="str">
        <f>IF(AND(Entities[[#This Row],[ENT_TYPE]]="County",RIGHT(Entities[[#This Row],[ENT_NAME]],6)&lt;&gt;"County"),_xlfn.TEXTJOIN(" ",TRUE,Entities[[#This Row],[ENT_NAME]],"County"),Entities[[#This Row],[ENT_NAME]])</f>
        <v>Keene</v>
      </c>
    </row>
    <row r="837" spans="1:6" x14ac:dyDescent="0.25">
      <c r="A837" s="302" t="s">
        <v>5555</v>
      </c>
      <c r="B837" s="303" t="str">
        <f t="shared" si="13"/>
        <v>x00003012</v>
      </c>
      <c r="C837" t="s">
        <v>5458</v>
      </c>
      <c r="D837" t="s">
        <v>5556</v>
      </c>
      <c r="E837">
        <v>3</v>
      </c>
      <c r="F837" t="str">
        <f>IF(AND(Entities[[#This Row],[ENT_TYPE]]="County",RIGHT(Entities[[#This Row],[ENT_NAME]],6)&lt;&gt;"County"),_xlfn.TEXTJOIN(" ",TRUE,Entities[[#This Row],[ENT_NAME]],"County"),Entities[[#This Row],[ENT_NAME]])</f>
        <v>Keene</v>
      </c>
    </row>
    <row r="838" spans="1:6" x14ac:dyDescent="0.25">
      <c r="A838" s="304" t="s">
        <v>280</v>
      </c>
      <c r="B838" s="303" t="str">
        <f t="shared" si="13"/>
        <v>x00003020</v>
      </c>
      <c r="C838" t="s">
        <v>5458</v>
      </c>
      <c r="D838" t="s">
        <v>5557</v>
      </c>
      <c r="E838">
        <v>6</v>
      </c>
      <c r="F838" t="str">
        <f>IF(AND(Entities[[#This Row],[ENT_TYPE]]="County",RIGHT(Entities[[#This Row],[ENT_NAME]],6)&lt;&gt;"County"),_xlfn.TEXTJOIN(" ",TRUE,Entities[[#This Row],[ENT_NAME]],"County"),Entities[[#This Row],[ENT_NAME]])</f>
        <v>Alvin</v>
      </c>
    </row>
    <row r="839" spans="1:6" x14ac:dyDescent="0.25">
      <c r="A839" s="304" t="s">
        <v>280</v>
      </c>
      <c r="B839" s="303" t="str">
        <f t="shared" si="13"/>
        <v>x00003020</v>
      </c>
      <c r="C839" t="s">
        <v>5458</v>
      </c>
      <c r="D839" t="s">
        <v>5557</v>
      </c>
      <c r="E839">
        <v>8</v>
      </c>
      <c r="F839" t="str">
        <f>IF(AND(Entities[[#This Row],[ENT_TYPE]]="County",RIGHT(Entities[[#This Row],[ENT_NAME]],6)&lt;&gt;"County"),_xlfn.TEXTJOIN(" ",TRUE,Entities[[#This Row],[ENT_NAME]],"County"),Entities[[#This Row],[ENT_NAME]])</f>
        <v>Alvin</v>
      </c>
    </row>
    <row r="840" spans="1:6" x14ac:dyDescent="0.25">
      <c r="A840" s="302" t="s">
        <v>5558</v>
      </c>
      <c r="B840" s="303" t="str">
        <f t="shared" si="13"/>
        <v>x00003023</v>
      </c>
      <c r="C840" t="s">
        <v>5458</v>
      </c>
      <c r="D840" t="s">
        <v>38</v>
      </c>
      <c r="E840">
        <v>8</v>
      </c>
      <c r="F840" t="str">
        <f>IF(AND(Entities[[#This Row],[ENT_TYPE]]="County",RIGHT(Entities[[#This Row],[ENT_NAME]],6)&lt;&gt;"County"),_xlfn.TEXTJOIN(" ",TRUE,Entities[[#This Row],[ENT_NAME]],"County"),Entities[[#This Row],[ENT_NAME]])</f>
        <v>Brazoria</v>
      </c>
    </row>
    <row r="841" spans="1:6" x14ac:dyDescent="0.25">
      <c r="A841" s="302" t="s">
        <v>5558</v>
      </c>
      <c r="B841" s="303" t="str">
        <f t="shared" si="13"/>
        <v>x00003023</v>
      </c>
      <c r="C841" t="s">
        <v>5458</v>
      </c>
      <c r="D841" t="s">
        <v>38</v>
      </c>
      <c r="E841">
        <v>10</v>
      </c>
      <c r="F841" t="str">
        <f>IF(AND(Entities[[#This Row],[ENT_TYPE]]="County",RIGHT(Entities[[#This Row],[ENT_NAME]],6)&lt;&gt;"County"),_xlfn.TEXTJOIN(" ",TRUE,Entities[[#This Row],[ENT_NAME]],"County"),Entities[[#This Row],[ENT_NAME]])</f>
        <v>Brazoria</v>
      </c>
    </row>
    <row r="842" spans="1:6" x14ac:dyDescent="0.25">
      <c r="A842" s="304" t="s">
        <v>5559</v>
      </c>
      <c r="B842" s="303" t="str">
        <f t="shared" si="13"/>
        <v>x00003042</v>
      </c>
      <c r="C842" t="s">
        <v>5458</v>
      </c>
      <c r="D842" t="s">
        <v>1583</v>
      </c>
      <c r="E842">
        <v>0</v>
      </c>
      <c r="F842" t="str">
        <f>IF(AND(Entities[[#This Row],[ENT_TYPE]]="County",RIGHT(Entities[[#This Row],[ENT_NAME]],6)&lt;&gt;"County"),_xlfn.TEXTJOIN(" ",TRUE,Entities[[#This Row],[ENT_NAME]],"County"),Entities[[#This Row],[ENT_NAME]])</f>
        <v>Bowie</v>
      </c>
    </row>
    <row r="843" spans="1:6" x14ac:dyDescent="0.25">
      <c r="A843" s="302" t="s">
        <v>5559</v>
      </c>
      <c r="B843" s="303" t="str">
        <f t="shared" si="13"/>
        <v>x00003042</v>
      </c>
      <c r="C843" t="s">
        <v>5458</v>
      </c>
      <c r="D843" t="s">
        <v>1583</v>
      </c>
      <c r="E843">
        <v>3</v>
      </c>
      <c r="F843" t="str">
        <f>IF(AND(Entities[[#This Row],[ENT_TYPE]]="County",RIGHT(Entities[[#This Row],[ENT_NAME]],6)&lt;&gt;"County"),_xlfn.TEXTJOIN(" ",TRUE,Entities[[#This Row],[ENT_NAME]],"County"),Entities[[#This Row],[ENT_NAME]])</f>
        <v>Bowie</v>
      </c>
    </row>
    <row r="844" spans="1:6" x14ac:dyDescent="0.25">
      <c r="A844" s="304" t="s">
        <v>4737</v>
      </c>
      <c r="B844" s="303" t="str">
        <f t="shared" si="13"/>
        <v>x00003055</v>
      </c>
      <c r="C844" t="s">
        <v>5458</v>
      </c>
      <c r="D844" t="s">
        <v>5560</v>
      </c>
      <c r="E844">
        <v>2</v>
      </c>
      <c r="F844" t="str">
        <f>IF(AND(Entities[[#This Row],[ENT_TYPE]]="County",RIGHT(Entities[[#This Row],[ENT_NAME]],6)&lt;&gt;"County"),_xlfn.TEXTJOIN(" ",TRUE,Entities[[#This Row],[ENT_NAME]],"County"),Entities[[#This Row],[ENT_NAME]])</f>
        <v>Longview</v>
      </c>
    </row>
    <row r="845" spans="1:6" x14ac:dyDescent="0.25">
      <c r="A845" s="302" t="s">
        <v>4737</v>
      </c>
      <c r="B845" s="303" t="str">
        <f t="shared" si="13"/>
        <v>x00003055</v>
      </c>
      <c r="C845" t="s">
        <v>5458</v>
      </c>
      <c r="D845" t="s">
        <v>5560</v>
      </c>
      <c r="E845">
        <v>4</v>
      </c>
      <c r="F845" t="str">
        <f>IF(AND(Entities[[#This Row],[ENT_TYPE]]="County",RIGHT(Entities[[#This Row],[ENT_NAME]],6)&lt;&gt;"County"),_xlfn.TEXTJOIN(" ",TRUE,Entities[[#This Row],[ENT_NAME]],"County"),Entities[[#This Row],[ENT_NAME]])</f>
        <v>Longview</v>
      </c>
    </row>
    <row r="846" spans="1:6" x14ac:dyDescent="0.25">
      <c r="A846" s="302" t="s">
        <v>5561</v>
      </c>
      <c r="B846" s="303" t="str">
        <f t="shared" si="13"/>
        <v>x00003059</v>
      </c>
      <c r="C846" t="s">
        <v>5458</v>
      </c>
      <c r="D846" t="s">
        <v>5562</v>
      </c>
      <c r="E846">
        <v>8</v>
      </c>
      <c r="F846" t="str">
        <f>IF(AND(Entities[[#This Row],[ENT_TYPE]]="County",RIGHT(Entities[[#This Row],[ENT_NAME]],6)&lt;&gt;"County"),_xlfn.TEXTJOIN(" ",TRUE,Entities[[#This Row],[ENT_NAME]],"County"),Entities[[#This Row],[ENT_NAME]])</f>
        <v>Carmine</v>
      </c>
    </row>
    <row r="847" spans="1:6" x14ac:dyDescent="0.25">
      <c r="A847" s="304" t="s">
        <v>5561</v>
      </c>
      <c r="B847" s="303" t="str">
        <f t="shared" si="13"/>
        <v>x00003059</v>
      </c>
      <c r="C847" t="s">
        <v>5458</v>
      </c>
      <c r="D847" t="s">
        <v>5562</v>
      </c>
      <c r="E847">
        <v>10</v>
      </c>
      <c r="F847" t="str">
        <f>IF(AND(Entities[[#This Row],[ENT_TYPE]]="County",RIGHT(Entities[[#This Row],[ENT_NAME]],6)&lt;&gt;"County"),_xlfn.TEXTJOIN(" ",TRUE,Entities[[#This Row],[ENT_NAME]],"County"),Entities[[#This Row],[ENT_NAME]])</f>
        <v>Carmine</v>
      </c>
    </row>
    <row r="848" spans="1:6" x14ac:dyDescent="0.25">
      <c r="A848" s="304" t="s">
        <v>5563</v>
      </c>
      <c r="B848" s="303" t="str">
        <f t="shared" si="13"/>
        <v>x00003060</v>
      </c>
      <c r="C848" t="s">
        <v>5458</v>
      </c>
      <c r="D848" t="s">
        <v>5564</v>
      </c>
      <c r="E848">
        <v>10</v>
      </c>
      <c r="F848" t="str">
        <f>IF(AND(Entities[[#This Row],[ENT_TYPE]]="County",RIGHT(Entities[[#This Row],[ENT_NAME]],6)&lt;&gt;"County"),_xlfn.TEXTJOIN(" ",TRUE,Entities[[#This Row],[ENT_NAME]],"County"),Entities[[#This Row],[ENT_NAME]])</f>
        <v>Flatonia</v>
      </c>
    </row>
    <row r="849" spans="1:6" x14ac:dyDescent="0.25">
      <c r="A849" s="302" t="s">
        <v>5563</v>
      </c>
      <c r="B849" s="303" t="str">
        <f t="shared" si="13"/>
        <v>x00003060</v>
      </c>
      <c r="C849" t="s">
        <v>5458</v>
      </c>
      <c r="D849" t="s">
        <v>5564</v>
      </c>
      <c r="E849">
        <v>11</v>
      </c>
      <c r="F849" t="str">
        <f>IF(AND(Entities[[#This Row],[ENT_TYPE]]="County",RIGHT(Entities[[#This Row],[ENT_NAME]],6)&lt;&gt;"County"),_xlfn.TEXTJOIN(" ",TRUE,Entities[[#This Row],[ENT_NAME]],"County"),Entities[[#This Row],[ENT_NAME]])</f>
        <v>Flatonia</v>
      </c>
    </row>
    <row r="850" spans="1:6" x14ac:dyDescent="0.25">
      <c r="A850" s="304" t="s">
        <v>5565</v>
      </c>
      <c r="B850" s="303" t="str">
        <f t="shared" si="13"/>
        <v>x00003068</v>
      </c>
      <c r="C850" t="s">
        <v>5458</v>
      </c>
      <c r="D850" t="s">
        <v>5566</v>
      </c>
      <c r="E850">
        <v>2</v>
      </c>
      <c r="F850" t="str">
        <f>IF(AND(Entities[[#This Row],[ENT_TYPE]]="County",RIGHT(Entities[[#This Row],[ENT_NAME]],6)&lt;&gt;"County"),_xlfn.TEXTJOIN(" ",TRUE,Entities[[#This Row],[ENT_NAME]],"County"),Entities[[#This Row],[ENT_NAME]])</f>
        <v>Leonard</v>
      </c>
    </row>
    <row r="851" spans="1:6" x14ac:dyDescent="0.25">
      <c r="A851" s="302" t="s">
        <v>5565</v>
      </c>
      <c r="B851" s="303" t="str">
        <f t="shared" si="13"/>
        <v>x00003068</v>
      </c>
      <c r="C851" t="s">
        <v>5458</v>
      </c>
      <c r="D851" t="s">
        <v>5566</v>
      </c>
      <c r="E851">
        <v>3</v>
      </c>
      <c r="F851" t="str">
        <f>IF(AND(Entities[[#This Row],[ENT_TYPE]]="County",RIGHT(Entities[[#This Row],[ENT_NAME]],6)&lt;&gt;"County"),_xlfn.TEXTJOIN(" ",TRUE,Entities[[#This Row],[ENT_NAME]],"County"),Entities[[#This Row],[ENT_NAME]])</f>
        <v>Leonard</v>
      </c>
    </row>
    <row r="852" spans="1:6" x14ac:dyDescent="0.25">
      <c r="A852" s="304" t="s">
        <v>1235</v>
      </c>
      <c r="B852" s="303" t="str">
        <f t="shared" si="13"/>
        <v>x00003100</v>
      </c>
      <c r="C852" t="s">
        <v>5458</v>
      </c>
      <c r="D852" t="s">
        <v>5567</v>
      </c>
      <c r="E852">
        <v>0</v>
      </c>
      <c r="F852" t="str">
        <f>IF(AND(Entities[[#This Row],[ENT_TYPE]]="County",RIGHT(Entities[[#This Row],[ENT_NAME]],6)&lt;&gt;"County"),_xlfn.TEXTJOIN(" ",TRUE,Entities[[#This Row],[ENT_NAME]],"County"),Entities[[#This Row],[ENT_NAME]])</f>
        <v>Lockney</v>
      </c>
    </row>
    <row r="853" spans="1:6" x14ac:dyDescent="0.25">
      <c r="A853" s="304" t="s">
        <v>1235</v>
      </c>
      <c r="B853" s="303" t="str">
        <f t="shared" si="13"/>
        <v>x00003100</v>
      </c>
      <c r="C853" t="s">
        <v>5458</v>
      </c>
      <c r="D853" t="s">
        <v>5567</v>
      </c>
      <c r="E853">
        <v>7</v>
      </c>
      <c r="F853" t="str">
        <f>IF(AND(Entities[[#This Row],[ENT_TYPE]]="County",RIGHT(Entities[[#This Row],[ENT_NAME]],6)&lt;&gt;"County"),_xlfn.TEXTJOIN(" ",TRUE,Entities[[#This Row],[ENT_NAME]],"County"),Entities[[#This Row],[ENT_NAME]])</f>
        <v>Lockney</v>
      </c>
    </row>
    <row r="854" spans="1:6" x14ac:dyDescent="0.25">
      <c r="A854" s="304" t="s">
        <v>5568</v>
      </c>
      <c r="B854" s="303" t="str">
        <f t="shared" si="13"/>
        <v>x00003107</v>
      </c>
      <c r="C854" t="s">
        <v>5458</v>
      </c>
      <c r="D854" t="s">
        <v>4995</v>
      </c>
      <c r="E854">
        <v>8</v>
      </c>
      <c r="F854" t="str">
        <f>IF(AND(Entities[[#This Row],[ENT_TYPE]]="County",RIGHT(Entities[[#This Row],[ENT_NAME]],6)&lt;&gt;"County"),_xlfn.TEXTJOIN(" ",TRUE,Entities[[#This Row],[ENT_NAME]],"County"),Entities[[#This Row],[ENT_NAME]])</f>
        <v>Burnet</v>
      </c>
    </row>
    <row r="855" spans="1:6" x14ac:dyDescent="0.25">
      <c r="A855" s="302" t="s">
        <v>5568</v>
      </c>
      <c r="B855" s="303" t="str">
        <f t="shared" si="13"/>
        <v>x00003107</v>
      </c>
      <c r="C855" t="s">
        <v>5458</v>
      </c>
      <c r="D855" t="s">
        <v>4995</v>
      </c>
      <c r="E855">
        <v>10</v>
      </c>
      <c r="F855" t="str">
        <f>IF(AND(Entities[[#This Row],[ENT_TYPE]]="County",RIGHT(Entities[[#This Row],[ENT_NAME]],6)&lt;&gt;"County"),_xlfn.TEXTJOIN(" ",TRUE,Entities[[#This Row],[ENT_NAME]],"County"),Entities[[#This Row],[ENT_NAME]])</f>
        <v>Burnet</v>
      </c>
    </row>
    <row r="856" spans="1:6" x14ac:dyDescent="0.25">
      <c r="A856" s="304" t="s">
        <v>5569</v>
      </c>
      <c r="B856" s="303" t="str">
        <f t="shared" si="13"/>
        <v>x00003143</v>
      </c>
      <c r="C856" t="s">
        <v>5458</v>
      </c>
      <c r="D856" t="s">
        <v>5570</v>
      </c>
      <c r="E856">
        <v>8</v>
      </c>
      <c r="F856" t="str">
        <f>IF(AND(Entities[[#This Row],[ENT_TYPE]]="County",RIGHT(Entities[[#This Row],[ENT_NAME]],6)&lt;&gt;"County"),_xlfn.TEXTJOIN(" ",TRUE,Entities[[#This Row],[ENT_NAME]],"County"),Entities[[#This Row],[ENT_NAME]])</f>
        <v>Giddings</v>
      </c>
    </row>
    <row r="857" spans="1:6" x14ac:dyDescent="0.25">
      <c r="A857" s="302" t="s">
        <v>5569</v>
      </c>
      <c r="B857" s="303" t="str">
        <f t="shared" si="13"/>
        <v>x00003143</v>
      </c>
      <c r="C857" t="s">
        <v>5458</v>
      </c>
      <c r="D857" t="s">
        <v>5570</v>
      </c>
      <c r="E857">
        <v>10</v>
      </c>
      <c r="F857" t="str">
        <f>IF(AND(Entities[[#This Row],[ENT_TYPE]]="County",RIGHT(Entities[[#This Row],[ENT_NAME]],6)&lt;&gt;"County"),_xlfn.TEXTJOIN(" ",TRUE,Entities[[#This Row],[ENT_NAME]],"County"),Entities[[#This Row],[ENT_NAME]])</f>
        <v>Giddings</v>
      </c>
    </row>
    <row r="858" spans="1:6" x14ac:dyDescent="0.25">
      <c r="A858" s="302" t="s">
        <v>5571</v>
      </c>
      <c r="B858" s="303" t="str">
        <f t="shared" si="13"/>
        <v>x00003144</v>
      </c>
      <c r="C858" t="s">
        <v>5458</v>
      </c>
      <c r="D858" t="s">
        <v>5572</v>
      </c>
      <c r="E858">
        <v>8</v>
      </c>
      <c r="F858" t="str">
        <f>IF(AND(Entities[[#This Row],[ENT_TYPE]]="County",RIGHT(Entities[[#This Row],[ENT_NAME]],6)&lt;&gt;"County"),_xlfn.TEXTJOIN(" ",TRUE,Entities[[#This Row],[ENT_NAME]],"County"),Entities[[#This Row],[ENT_NAME]])</f>
        <v>West Columbia</v>
      </c>
    </row>
    <row r="859" spans="1:6" x14ac:dyDescent="0.25">
      <c r="A859" s="304" t="s">
        <v>5571</v>
      </c>
      <c r="B859" s="303" t="str">
        <f t="shared" si="13"/>
        <v>x00003144</v>
      </c>
      <c r="C859" t="s">
        <v>5458</v>
      </c>
      <c r="D859" t="s">
        <v>5572</v>
      </c>
      <c r="E859">
        <v>10</v>
      </c>
      <c r="F859" t="str">
        <f>IF(AND(Entities[[#This Row],[ENT_TYPE]]="County",RIGHT(Entities[[#This Row],[ENT_NAME]],6)&lt;&gt;"County"),_xlfn.TEXTJOIN(" ",TRUE,Entities[[#This Row],[ENT_NAME]],"County"),Entities[[#This Row],[ENT_NAME]])</f>
        <v>West Columbia</v>
      </c>
    </row>
    <row r="860" spans="1:6" x14ac:dyDescent="0.25">
      <c r="A860" s="302" t="s">
        <v>1740</v>
      </c>
      <c r="B860" s="303" t="str">
        <f t="shared" si="13"/>
        <v>x00003154</v>
      </c>
      <c r="C860" t="s">
        <v>5458</v>
      </c>
      <c r="D860" t="s">
        <v>5573</v>
      </c>
      <c r="E860">
        <v>2</v>
      </c>
      <c r="F860" t="str">
        <f>IF(AND(Entities[[#This Row],[ENT_TYPE]]="County",RIGHT(Entities[[#This Row],[ENT_NAME]],6)&lt;&gt;"County"),_xlfn.TEXTJOIN(" ",TRUE,Entities[[#This Row],[ENT_NAME]],"County"),Entities[[#This Row],[ENT_NAME]])</f>
        <v>Tom Bean</v>
      </c>
    </row>
    <row r="861" spans="1:6" x14ac:dyDescent="0.25">
      <c r="A861" s="302" t="s">
        <v>1740</v>
      </c>
      <c r="B861" s="303" t="str">
        <f t="shared" si="13"/>
        <v>x00003154</v>
      </c>
      <c r="C861" t="s">
        <v>5458</v>
      </c>
      <c r="D861" t="s">
        <v>5573</v>
      </c>
      <c r="E861">
        <v>3</v>
      </c>
      <c r="F861" t="str">
        <f>IF(AND(Entities[[#This Row],[ENT_TYPE]]="County",RIGHT(Entities[[#This Row],[ENT_NAME]],6)&lt;&gt;"County"),_xlfn.TEXTJOIN(" ",TRUE,Entities[[#This Row],[ENT_NAME]],"County"),Entities[[#This Row],[ENT_NAME]])</f>
        <v>Tom Bean</v>
      </c>
    </row>
    <row r="862" spans="1:6" x14ac:dyDescent="0.25">
      <c r="A862" s="304" t="s">
        <v>5574</v>
      </c>
      <c r="B862" s="303" t="str">
        <f t="shared" si="13"/>
        <v>x00003156</v>
      </c>
      <c r="C862" t="s">
        <v>5458</v>
      </c>
      <c r="D862" t="s">
        <v>5575</v>
      </c>
      <c r="E862">
        <v>2</v>
      </c>
      <c r="F862" t="str">
        <f>IF(AND(Entities[[#This Row],[ENT_TYPE]]="County",RIGHT(Entities[[#This Row],[ENT_NAME]],6)&lt;&gt;"County"),_xlfn.TEXTJOIN(" ",TRUE,Entities[[#This Row],[ENT_NAME]],"County"),Entities[[#This Row],[ENT_NAME]])</f>
        <v>Whitesboro</v>
      </c>
    </row>
    <row r="863" spans="1:6" x14ac:dyDescent="0.25">
      <c r="A863" s="302" t="s">
        <v>5574</v>
      </c>
      <c r="B863" s="303" t="str">
        <f t="shared" si="13"/>
        <v>x00003156</v>
      </c>
      <c r="C863" t="s">
        <v>5458</v>
      </c>
      <c r="D863" t="s">
        <v>5575</v>
      </c>
      <c r="E863">
        <v>3</v>
      </c>
      <c r="F863" t="str">
        <f>IF(AND(Entities[[#This Row],[ENT_TYPE]]="County",RIGHT(Entities[[#This Row],[ENT_NAME]],6)&lt;&gt;"County"),_xlfn.TEXTJOIN(" ",TRUE,Entities[[#This Row],[ENT_NAME]],"County"),Entities[[#This Row],[ENT_NAME]])</f>
        <v>Whitesboro</v>
      </c>
    </row>
    <row r="864" spans="1:6" x14ac:dyDescent="0.25">
      <c r="A864" s="304" t="s">
        <v>5576</v>
      </c>
      <c r="B864" s="303" t="str">
        <f t="shared" si="13"/>
        <v>x00003173</v>
      </c>
      <c r="C864" t="s">
        <v>5458</v>
      </c>
      <c r="D864" t="s">
        <v>5577</v>
      </c>
      <c r="E864">
        <v>8</v>
      </c>
      <c r="F864" t="str">
        <f>IF(AND(Entities[[#This Row],[ENT_TYPE]]="County",RIGHT(Entities[[#This Row],[ENT_NAME]],6)&lt;&gt;"County"),_xlfn.TEXTJOIN(" ",TRUE,Entities[[#This Row],[ENT_NAME]],"County"),Entities[[#This Row],[ENT_NAME]])</f>
        <v>Jewett</v>
      </c>
    </row>
    <row r="865" spans="1:6" x14ac:dyDescent="0.25">
      <c r="A865" s="302" t="s">
        <v>5576</v>
      </c>
      <c r="B865" s="303" t="str">
        <f t="shared" si="13"/>
        <v>x00003173</v>
      </c>
      <c r="C865" t="s">
        <v>5458</v>
      </c>
      <c r="D865" t="s">
        <v>5577</v>
      </c>
      <c r="E865">
        <v>3</v>
      </c>
      <c r="F865" t="str">
        <f>IF(AND(Entities[[#This Row],[ENT_TYPE]]="County",RIGHT(Entities[[#This Row],[ENT_NAME]],6)&lt;&gt;"County"),_xlfn.TEXTJOIN(" ",TRUE,Entities[[#This Row],[ENT_NAME]],"County"),Entities[[#This Row],[ENT_NAME]])</f>
        <v>Jewett</v>
      </c>
    </row>
    <row r="866" spans="1:6" x14ac:dyDescent="0.25">
      <c r="A866" s="304" t="s">
        <v>2557</v>
      </c>
      <c r="B866" s="303" t="str">
        <f t="shared" si="13"/>
        <v>x00003178</v>
      </c>
      <c r="C866" t="s">
        <v>5458</v>
      </c>
      <c r="D866" t="s">
        <v>5578</v>
      </c>
      <c r="E866">
        <v>4</v>
      </c>
      <c r="F866" t="str">
        <f>IF(AND(Entities[[#This Row],[ENT_TYPE]]="County",RIGHT(Entities[[#This Row],[ENT_NAME]],6)&lt;&gt;"County"),_xlfn.TEXTJOIN(" ",TRUE,Entities[[#This Row],[ENT_NAME]],"County"),Entities[[#This Row],[ENT_NAME]])</f>
        <v>Hideaway</v>
      </c>
    </row>
    <row r="867" spans="1:6" x14ac:dyDescent="0.25">
      <c r="A867" s="304" t="s">
        <v>2557</v>
      </c>
      <c r="B867" s="303" t="str">
        <f t="shared" si="13"/>
        <v>x00003178</v>
      </c>
      <c r="C867" t="s">
        <v>5458</v>
      </c>
      <c r="D867" t="s">
        <v>5578</v>
      </c>
      <c r="E867">
        <v>0</v>
      </c>
      <c r="F867" t="str">
        <f>IF(AND(Entities[[#This Row],[ENT_TYPE]]="County",RIGHT(Entities[[#This Row],[ENT_NAME]],6)&lt;&gt;"County"),_xlfn.TEXTJOIN(" ",TRUE,Entities[[#This Row],[ENT_NAME]],"County"),Entities[[#This Row],[ENT_NAME]])</f>
        <v>Hideaway</v>
      </c>
    </row>
    <row r="868" spans="1:6" x14ac:dyDescent="0.25">
      <c r="A868" s="304" t="s">
        <v>5579</v>
      </c>
      <c r="B868" s="303" t="str">
        <f t="shared" si="13"/>
        <v>x00003183</v>
      </c>
      <c r="C868" t="s">
        <v>5458</v>
      </c>
      <c r="D868" t="s">
        <v>5580</v>
      </c>
      <c r="E868">
        <v>8</v>
      </c>
      <c r="F868" t="str">
        <f>IF(AND(Entities[[#This Row],[ENT_TYPE]]="County",RIGHT(Entities[[#This Row],[ENT_NAME]],6)&lt;&gt;"County"),_xlfn.TEXTJOIN(" ",TRUE,Entities[[#This Row],[ENT_NAME]],"County"),Entities[[#This Row],[ENT_NAME]])</f>
        <v>Cresson</v>
      </c>
    </row>
    <row r="869" spans="1:6" x14ac:dyDescent="0.25">
      <c r="A869" s="302" t="s">
        <v>5579</v>
      </c>
      <c r="B869" s="303" t="str">
        <f t="shared" si="13"/>
        <v>x00003183</v>
      </c>
      <c r="C869" t="s">
        <v>5458</v>
      </c>
      <c r="D869" t="s">
        <v>5580</v>
      </c>
      <c r="E869">
        <v>3</v>
      </c>
      <c r="F869" t="str">
        <f>IF(AND(Entities[[#This Row],[ENT_TYPE]]="County",RIGHT(Entities[[#This Row],[ENT_NAME]],6)&lt;&gt;"County"),_xlfn.TEXTJOIN(" ",TRUE,Entities[[#This Row],[ENT_NAME]],"County"),Entities[[#This Row],[ENT_NAME]])</f>
        <v>Cresson</v>
      </c>
    </row>
    <row r="870" spans="1:6" x14ac:dyDescent="0.25">
      <c r="A870" s="302" t="s">
        <v>2377</v>
      </c>
      <c r="B870" s="303" t="str">
        <f t="shared" si="13"/>
        <v>x00003186</v>
      </c>
      <c r="C870" t="s">
        <v>5458</v>
      </c>
      <c r="D870" t="s">
        <v>4508</v>
      </c>
      <c r="E870">
        <v>8</v>
      </c>
      <c r="F870" t="str">
        <f>IF(AND(Entities[[#This Row],[ENT_TYPE]]="County",RIGHT(Entities[[#This Row],[ENT_NAME]],6)&lt;&gt;"County"),_xlfn.TEXTJOIN(" ",TRUE,Entities[[#This Row],[ENT_NAME]],"County"),Entities[[#This Row],[ENT_NAME]])</f>
        <v>Iola</v>
      </c>
    </row>
    <row r="871" spans="1:6" x14ac:dyDescent="0.25">
      <c r="A871" s="302" t="s">
        <v>2377</v>
      </c>
      <c r="B871" s="303" t="str">
        <f t="shared" si="13"/>
        <v>x00003186</v>
      </c>
      <c r="C871" t="s">
        <v>5458</v>
      </c>
      <c r="D871" t="s">
        <v>4508</v>
      </c>
      <c r="E871">
        <v>3</v>
      </c>
      <c r="F871" t="str">
        <f>IF(AND(Entities[[#This Row],[ENT_TYPE]]="County",RIGHT(Entities[[#This Row],[ENT_NAME]],6)&lt;&gt;"County"),_xlfn.TEXTJOIN(" ",TRUE,Entities[[#This Row],[ENT_NAME]],"County"),Entities[[#This Row],[ENT_NAME]])</f>
        <v>Iola</v>
      </c>
    </row>
    <row r="872" spans="1:6" x14ac:dyDescent="0.25">
      <c r="A872" s="302" t="s">
        <v>5581</v>
      </c>
      <c r="B872" s="303" t="str">
        <f t="shared" si="13"/>
        <v>x00003189</v>
      </c>
      <c r="C872" t="s">
        <v>5458</v>
      </c>
      <c r="D872" t="s">
        <v>5582</v>
      </c>
      <c r="E872">
        <v>10</v>
      </c>
      <c r="F872" t="str">
        <f>IF(AND(Entities[[#This Row],[ENT_TYPE]]="County",RIGHT(Entities[[#This Row],[ENT_NAME]],6)&lt;&gt;"County"),_xlfn.TEXTJOIN(" ",TRUE,Entities[[#This Row],[ENT_NAME]],"County"),Entities[[#This Row],[ENT_NAME]])</f>
        <v>Creedmoor</v>
      </c>
    </row>
    <row r="873" spans="1:6" x14ac:dyDescent="0.25">
      <c r="A873" s="302" t="s">
        <v>5581</v>
      </c>
      <c r="B873" s="303" t="str">
        <f t="shared" si="13"/>
        <v>x00003189</v>
      </c>
      <c r="C873" t="s">
        <v>5458</v>
      </c>
      <c r="D873" t="s">
        <v>5582</v>
      </c>
      <c r="E873">
        <v>11</v>
      </c>
      <c r="F873" t="str">
        <f>IF(AND(Entities[[#This Row],[ENT_TYPE]]="County",RIGHT(Entities[[#This Row],[ENT_NAME]],6)&lt;&gt;"County"),_xlfn.TEXTJOIN(" ",TRUE,Entities[[#This Row],[ENT_NAME]],"County"),Entities[[#This Row],[ENT_NAME]])</f>
        <v>Creedmoor</v>
      </c>
    </row>
    <row r="874" spans="1:6" x14ac:dyDescent="0.25">
      <c r="A874" s="304" t="s">
        <v>5583</v>
      </c>
      <c r="B874" s="303" t="str">
        <f t="shared" si="13"/>
        <v>x00003191</v>
      </c>
      <c r="C874" t="s">
        <v>5458</v>
      </c>
      <c r="D874" t="s">
        <v>5584</v>
      </c>
      <c r="E874">
        <v>8</v>
      </c>
      <c r="F874" t="str">
        <f>IF(AND(Entities[[#This Row],[ENT_TYPE]]="County",RIGHT(Entities[[#This Row],[ENT_NAME]],6)&lt;&gt;"County"),_xlfn.TEXTJOIN(" ",TRUE,Entities[[#This Row],[ENT_NAME]],"County"),Entities[[#This Row],[ENT_NAME]])</f>
        <v>Round Rock</v>
      </c>
    </row>
    <row r="875" spans="1:6" x14ac:dyDescent="0.25">
      <c r="A875" s="304" t="s">
        <v>5585</v>
      </c>
      <c r="B875" s="303" t="str">
        <f t="shared" si="13"/>
        <v>x00003202</v>
      </c>
      <c r="C875" t="s">
        <v>5458</v>
      </c>
      <c r="D875" t="s">
        <v>5586</v>
      </c>
      <c r="E875">
        <v>10</v>
      </c>
      <c r="F875" t="str">
        <f>IF(AND(Entities[[#This Row],[ENT_TYPE]]="County",RIGHT(Entities[[#This Row],[ENT_NAME]],6)&lt;&gt;"County"),_xlfn.TEXTJOIN(" ",TRUE,Entities[[#This Row],[ENT_NAME]],"County"),Entities[[#This Row],[ENT_NAME]])</f>
        <v>Mustang Ridge</v>
      </c>
    </row>
    <row r="876" spans="1:6" x14ac:dyDescent="0.25">
      <c r="A876" s="302" t="s">
        <v>5585</v>
      </c>
      <c r="B876" s="303" t="str">
        <f t="shared" si="13"/>
        <v>x00003202</v>
      </c>
      <c r="C876" t="s">
        <v>5458</v>
      </c>
      <c r="D876" t="s">
        <v>5586</v>
      </c>
      <c r="E876">
        <v>11</v>
      </c>
      <c r="F876" t="str">
        <f>IF(AND(Entities[[#This Row],[ENT_TYPE]]="County",RIGHT(Entities[[#This Row],[ENT_NAME]],6)&lt;&gt;"County"),_xlfn.TEXTJOIN(" ",TRUE,Entities[[#This Row],[ENT_NAME]],"County"),Entities[[#This Row],[ENT_NAME]])</f>
        <v>Mustang Ridge</v>
      </c>
    </row>
    <row r="877" spans="1:6" x14ac:dyDescent="0.25">
      <c r="A877" s="304" t="s">
        <v>5587</v>
      </c>
      <c r="B877" s="303" t="str">
        <f t="shared" si="13"/>
        <v>x00003204</v>
      </c>
      <c r="C877" t="s">
        <v>5458</v>
      </c>
      <c r="D877" t="s">
        <v>5588</v>
      </c>
      <c r="E877">
        <v>0</v>
      </c>
      <c r="F877" t="str">
        <f>IF(AND(Entities[[#This Row],[ENT_TYPE]]="County",RIGHT(Entities[[#This Row],[ENT_NAME]],6)&lt;&gt;"County"),_xlfn.TEXTJOIN(" ",TRUE,Entities[[#This Row],[ENT_NAME]],"County"),Entities[[#This Row],[ENT_NAME]])</f>
        <v>Gainesville</v>
      </c>
    </row>
    <row r="878" spans="1:6" x14ac:dyDescent="0.25">
      <c r="A878" s="302" t="s">
        <v>5587</v>
      </c>
      <c r="B878" s="303" t="str">
        <f t="shared" si="13"/>
        <v>x00003204</v>
      </c>
      <c r="C878" t="s">
        <v>5458</v>
      </c>
      <c r="D878" t="s">
        <v>5588</v>
      </c>
      <c r="E878">
        <v>3</v>
      </c>
      <c r="F878" t="str">
        <f>IF(AND(Entities[[#This Row],[ENT_TYPE]]="County",RIGHT(Entities[[#This Row],[ENT_NAME]],6)&lt;&gt;"County"),_xlfn.TEXTJOIN(" ",TRUE,Entities[[#This Row],[ENT_NAME]],"County"),Entities[[#This Row],[ENT_NAME]])</f>
        <v>Gainesville</v>
      </c>
    </row>
    <row r="879" spans="1:6" x14ac:dyDescent="0.25">
      <c r="A879" s="304" t="s">
        <v>5589</v>
      </c>
      <c r="B879" s="303" t="str">
        <f t="shared" si="13"/>
        <v>x00003207</v>
      </c>
      <c r="C879" t="s">
        <v>5458</v>
      </c>
      <c r="D879" t="s">
        <v>5590</v>
      </c>
      <c r="E879">
        <v>2</v>
      </c>
      <c r="F879" t="str">
        <f>IF(AND(Entities[[#This Row],[ENT_TYPE]]="County",RIGHT(Entities[[#This Row],[ENT_NAME]],6)&lt;&gt;"County"),_xlfn.TEXTJOIN(" ",TRUE,Entities[[#This Row],[ENT_NAME]],"County"),Entities[[#This Row],[ENT_NAME]])</f>
        <v>Trenton</v>
      </c>
    </row>
    <row r="880" spans="1:6" x14ac:dyDescent="0.25">
      <c r="A880" s="302" t="s">
        <v>5589</v>
      </c>
      <c r="B880" s="303" t="str">
        <f t="shared" si="13"/>
        <v>x00003207</v>
      </c>
      <c r="C880" t="s">
        <v>5458</v>
      </c>
      <c r="D880" t="s">
        <v>5590</v>
      </c>
      <c r="E880">
        <v>3</v>
      </c>
      <c r="F880" t="str">
        <f>IF(AND(Entities[[#This Row],[ENT_TYPE]]="County",RIGHT(Entities[[#This Row],[ENT_NAME]],6)&lt;&gt;"County"),_xlfn.TEXTJOIN(" ",TRUE,Entities[[#This Row],[ENT_NAME]],"County"),Entities[[#This Row],[ENT_NAME]])</f>
        <v>Trenton</v>
      </c>
    </row>
    <row r="881" spans="1:6" x14ac:dyDescent="0.25">
      <c r="A881" s="302" t="s">
        <v>5591</v>
      </c>
      <c r="B881" s="303" t="str">
        <f t="shared" si="13"/>
        <v>x00003209</v>
      </c>
      <c r="C881" t="s">
        <v>5458</v>
      </c>
      <c r="D881" t="s">
        <v>5592</v>
      </c>
      <c r="E881">
        <v>2</v>
      </c>
      <c r="F881" t="str">
        <f>IF(AND(Entities[[#This Row],[ENT_TYPE]]="County",RIGHT(Entities[[#This Row],[ENT_NAME]],6)&lt;&gt;"County"),_xlfn.TEXTJOIN(" ",TRUE,Entities[[#This Row],[ENT_NAME]],"County"),Entities[[#This Row],[ENT_NAME]])</f>
        <v>Callisburg</v>
      </c>
    </row>
    <row r="882" spans="1:6" x14ac:dyDescent="0.25">
      <c r="A882" s="302" t="s">
        <v>5591</v>
      </c>
      <c r="B882" s="303" t="str">
        <f t="shared" si="13"/>
        <v>x00003209</v>
      </c>
      <c r="C882" t="s">
        <v>5458</v>
      </c>
      <c r="D882" t="s">
        <v>5592</v>
      </c>
      <c r="E882">
        <v>3</v>
      </c>
      <c r="F882" t="str">
        <f>IF(AND(Entities[[#This Row],[ENT_TYPE]]="County",RIGHT(Entities[[#This Row],[ENT_NAME]],6)&lt;&gt;"County"),_xlfn.TEXTJOIN(" ",TRUE,Entities[[#This Row],[ENT_NAME]],"County"),Entities[[#This Row],[ENT_NAME]])</f>
        <v>Callisburg</v>
      </c>
    </row>
    <row r="883" spans="1:6" x14ac:dyDescent="0.25">
      <c r="A883" s="302" t="s">
        <v>2060</v>
      </c>
      <c r="B883" s="303" t="str">
        <f t="shared" si="13"/>
        <v>x00003210</v>
      </c>
      <c r="C883" t="s">
        <v>5458</v>
      </c>
      <c r="D883" t="s">
        <v>4431</v>
      </c>
      <c r="E883">
        <v>0</v>
      </c>
      <c r="F883" t="str">
        <f>IF(AND(Entities[[#This Row],[ENT_TYPE]]="County",RIGHT(Entities[[#This Row],[ENT_NAME]],6)&lt;&gt;"County"),_xlfn.TEXTJOIN(" ",TRUE,Entities[[#This Row],[ENT_NAME]],"County"),Entities[[#This Row],[ENT_NAME]])</f>
        <v>Lindsay</v>
      </c>
    </row>
    <row r="884" spans="1:6" x14ac:dyDescent="0.25">
      <c r="A884" s="302" t="s">
        <v>2060</v>
      </c>
      <c r="B884" s="303" t="str">
        <f t="shared" si="13"/>
        <v>x00003210</v>
      </c>
      <c r="C884" t="s">
        <v>5458</v>
      </c>
      <c r="D884" t="s">
        <v>4431</v>
      </c>
      <c r="E884">
        <v>3</v>
      </c>
      <c r="F884" t="str">
        <f>IF(AND(Entities[[#This Row],[ENT_TYPE]]="County",RIGHT(Entities[[#This Row],[ENT_NAME]],6)&lt;&gt;"County"),_xlfn.TEXTJOIN(" ",TRUE,Entities[[#This Row],[ENT_NAME]],"County"),Entities[[#This Row],[ENT_NAME]])</f>
        <v>Lindsay</v>
      </c>
    </row>
    <row r="885" spans="1:6" x14ac:dyDescent="0.25">
      <c r="A885" s="302" t="s">
        <v>1695</v>
      </c>
      <c r="B885" s="303" t="str">
        <f t="shared" si="13"/>
        <v>x00003229</v>
      </c>
      <c r="C885" t="s">
        <v>5458</v>
      </c>
      <c r="D885" t="s">
        <v>5593</v>
      </c>
      <c r="E885">
        <v>2</v>
      </c>
      <c r="F885" t="str">
        <f>IF(AND(Entities[[#This Row],[ENT_TYPE]]="County",RIGHT(Entities[[#This Row],[ENT_NAME]],6)&lt;&gt;"County"),_xlfn.TEXTJOIN(" ",TRUE,Entities[[#This Row],[ENT_NAME]],"County"),Entities[[#This Row],[ENT_NAME]])</f>
        <v>Whitewright</v>
      </c>
    </row>
    <row r="886" spans="1:6" x14ac:dyDescent="0.25">
      <c r="A886" s="302" t="s">
        <v>1695</v>
      </c>
      <c r="B886" s="303" t="str">
        <f t="shared" si="13"/>
        <v>x00003229</v>
      </c>
      <c r="C886" t="s">
        <v>5458</v>
      </c>
      <c r="D886" t="s">
        <v>5593</v>
      </c>
      <c r="E886">
        <v>3</v>
      </c>
      <c r="F886" t="str">
        <f>IF(AND(Entities[[#This Row],[ENT_TYPE]]="County",RIGHT(Entities[[#This Row],[ENT_NAME]],6)&lt;&gt;"County"),_xlfn.TEXTJOIN(" ",TRUE,Entities[[#This Row],[ENT_NAME]],"County"),Entities[[#This Row],[ENT_NAME]])</f>
        <v>Whitewright</v>
      </c>
    </row>
    <row r="887" spans="1:6" x14ac:dyDescent="0.25">
      <c r="A887" s="302" t="s">
        <v>5594</v>
      </c>
      <c r="B887" s="303" t="str">
        <f t="shared" si="13"/>
        <v>x00003235</v>
      </c>
      <c r="C887" t="s">
        <v>5458</v>
      </c>
      <c r="D887" t="s">
        <v>5595</v>
      </c>
      <c r="E887">
        <v>11</v>
      </c>
      <c r="F887" t="str">
        <f>IF(AND(Entities[[#This Row],[ENT_TYPE]]="County",RIGHT(Entities[[#This Row],[ENT_NAME]],6)&lt;&gt;"County"),_xlfn.TEXTJOIN(" ",TRUE,Entities[[#This Row],[ENT_NAME]],"County"),Entities[[#This Row],[ENT_NAME]])</f>
        <v>Garden Ridge</v>
      </c>
    </row>
    <row r="888" spans="1:6" x14ac:dyDescent="0.25">
      <c r="A888" s="302" t="s">
        <v>5594</v>
      </c>
      <c r="B888" s="303" t="str">
        <f t="shared" si="13"/>
        <v>x00003235</v>
      </c>
      <c r="C888" t="s">
        <v>5458</v>
      </c>
      <c r="D888" t="s">
        <v>5595</v>
      </c>
      <c r="E888">
        <v>12</v>
      </c>
      <c r="F888" t="str">
        <f>IF(AND(Entities[[#This Row],[ENT_TYPE]]="County",RIGHT(Entities[[#This Row],[ENT_NAME]],6)&lt;&gt;"County"),_xlfn.TEXTJOIN(" ",TRUE,Entities[[#This Row],[ENT_NAME]],"County"),Entities[[#This Row],[ENT_NAME]])</f>
        <v>Garden Ridge</v>
      </c>
    </row>
    <row r="889" spans="1:6" x14ac:dyDescent="0.25">
      <c r="A889" s="304" t="s">
        <v>2344</v>
      </c>
      <c r="B889" s="303" t="str">
        <f t="shared" si="13"/>
        <v>x00003242</v>
      </c>
      <c r="C889" t="s">
        <v>5458</v>
      </c>
      <c r="D889" t="s">
        <v>4499</v>
      </c>
      <c r="E889">
        <v>2</v>
      </c>
      <c r="F889" t="str">
        <f>IF(AND(Entities[[#This Row],[ENT_TYPE]]="County",RIGHT(Entities[[#This Row],[ENT_NAME]],6)&lt;&gt;"County"),_xlfn.TEXTJOIN(" ",TRUE,Entities[[#This Row],[ENT_NAME]],"County"),Entities[[#This Row],[ENT_NAME]])</f>
        <v>Dorchester</v>
      </c>
    </row>
    <row r="890" spans="1:6" x14ac:dyDescent="0.25">
      <c r="A890" s="302" t="s">
        <v>2344</v>
      </c>
      <c r="B890" s="303" t="str">
        <f t="shared" si="13"/>
        <v>x00003242</v>
      </c>
      <c r="C890" t="s">
        <v>5458</v>
      </c>
      <c r="D890" t="s">
        <v>4499</v>
      </c>
      <c r="E890">
        <v>3</v>
      </c>
      <c r="F890" t="str">
        <f>IF(AND(Entities[[#This Row],[ENT_TYPE]]="County",RIGHT(Entities[[#This Row],[ENT_NAME]],6)&lt;&gt;"County"),_xlfn.TEXTJOIN(" ",TRUE,Entities[[#This Row],[ENT_NAME]],"County"),Entities[[#This Row],[ENT_NAME]])</f>
        <v>Dorchester</v>
      </c>
    </row>
    <row r="891" spans="1:6" x14ac:dyDescent="0.25">
      <c r="A891" s="302" t="s">
        <v>5596</v>
      </c>
      <c r="B891" s="303" t="str">
        <f t="shared" si="13"/>
        <v>x00003244</v>
      </c>
      <c r="C891" t="s">
        <v>5458</v>
      </c>
      <c r="D891" t="s">
        <v>5597</v>
      </c>
      <c r="E891">
        <v>2</v>
      </c>
      <c r="F891" t="str">
        <f>IF(AND(Entities[[#This Row],[ENT_TYPE]]="County",RIGHT(Entities[[#This Row],[ENT_NAME]],6)&lt;&gt;"County"),_xlfn.TEXTJOIN(" ",TRUE,Entities[[#This Row],[ENT_NAME]],"County"),Entities[[#This Row],[ENT_NAME]])</f>
        <v>Howe</v>
      </c>
    </row>
    <row r="892" spans="1:6" x14ac:dyDescent="0.25">
      <c r="A892" s="302" t="s">
        <v>5596</v>
      </c>
      <c r="B892" s="303" t="str">
        <f t="shared" si="13"/>
        <v>x00003244</v>
      </c>
      <c r="C892" t="s">
        <v>5458</v>
      </c>
      <c r="D892" t="s">
        <v>5597</v>
      </c>
      <c r="E892">
        <v>3</v>
      </c>
      <c r="F892" t="str">
        <f>IF(AND(Entities[[#This Row],[ENT_TYPE]]="County",RIGHT(Entities[[#This Row],[ENT_NAME]],6)&lt;&gt;"County"),_xlfn.TEXTJOIN(" ",TRUE,Entities[[#This Row],[ENT_NAME]],"County"),Entities[[#This Row],[ENT_NAME]])</f>
        <v>Howe</v>
      </c>
    </row>
    <row r="893" spans="1:6" x14ac:dyDescent="0.25">
      <c r="A893" s="304" t="s">
        <v>2339</v>
      </c>
      <c r="B893" s="303" t="str">
        <f t="shared" si="13"/>
        <v>x00003263</v>
      </c>
      <c r="C893" t="s">
        <v>5458</v>
      </c>
      <c r="D893" t="s">
        <v>4497</v>
      </c>
      <c r="E893">
        <v>8</v>
      </c>
      <c r="F893" t="str">
        <f>IF(AND(Entities[[#This Row],[ENT_TYPE]]="County",RIGHT(Entities[[#This Row],[ENT_NAME]],6)&lt;&gt;"County"),_xlfn.TEXTJOIN(" ",TRUE,Entities[[#This Row],[ENT_NAME]],"County"),Entities[[#This Row],[ENT_NAME]])</f>
        <v>Coyote Flats</v>
      </c>
    </row>
    <row r="894" spans="1:6" x14ac:dyDescent="0.25">
      <c r="A894" s="302" t="s">
        <v>2339</v>
      </c>
      <c r="B894" s="303" t="str">
        <f t="shared" si="13"/>
        <v>x00003263</v>
      </c>
      <c r="C894" t="s">
        <v>5458</v>
      </c>
      <c r="D894" t="s">
        <v>4497</v>
      </c>
      <c r="E894">
        <v>3</v>
      </c>
      <c r="F894" t="str">
        <f>IF(AND(Entities[[#This Row],[ENT_TYPE]]="County",RIGHT(Entities[[#This Row],[ENT_NAME]],6)&lt;&gt;"County"),_xlfn.TEXTJOIN(" ",TRUE,Entities[[#This Row],[ENT_NAME]],"County"),Entities[[#This Row],[ENT_NAME]])</f>
        <v>Coyote Flats</v>
      </c>
    </row>
    <row r="895" spans="1:6" x14ac:dyDescent="0.25">
      <c r="A895" s="302" t="s">
        <v>5598</v>
      </c>
      <c r="B895" s="303" t="str">
        <f t="shared" si="13"/>
        <v>x00003276</v>
      </c>
      <c r="C895" t="s">
        <v>5458</v>
      </c>
      <c r="D895" t="s">
        <v>5599</v>
      </c>
      <c r="E895">
        <v>11</v>
      </c>
      <c r="F895" t="str">
        <f>IF(AND(Entities[[#This Row],[ENT_TYPE]]="County",RIGHT(Entities[[#This Row],[ENT_NAME]],6)&lt;&gt;"County"),_xlfn.TEXTJOIN(" ",TRUE,Entities[[#This Row],[ENT_NAME]],"County"),Entities[[#This Row],[ENT_NAME]])</f>
        <v>Santa Clara</v>
      </c>
    </row>
    <row r="896" spans="1:6" x14ac:dyDescent="0.25">
      <c r="A896" s="302" t="s">
        <v>5598</v>
      </c>
      <c r="B896" s="303" t="str">
        <f t="shared" si="13"/>
        <v>x00003276</v>
      </c>
      <c r="C896" t="s">
        <v>5458</v>
      </c>
      <c r="D896" t="s">
        <v>5599</v>
      </c>
      <c r="E896">
        <v>12</v>
      </c>
      <c r="F896" t="str">
        <f>IF(AND(Entities[[#This Row],[ENT_TYPE]]="County",RIGHT(Entities[[#This Row],[ENT_NAME]],6)&lt;&gt;"County"),_xlfn.TEXTJOIN(" ",TRUE,Entities[[#This Row],[ENT_NAME]],"County"),Entities[[#This Row],[ENT_NAME]])</f>
        <v>Santa Clara</v>
      </c>
    </row>
    <row r="897" spans="1:6" x14ac:dyDescent="0.25">
      <c r="A897" s="302" t="s">
        <v>5600</v>
      </c>
      <c r="B897" s="303" t="str">
        <f t="shared" si="13"/>
        <v>x00003277</v>
      </c>
      <c r="C897" t="s">
        <v>4</v>
      </c>
      <c r="D897" t="s">
        <v>5601</v>
      </c>
      <c r="E897">
        <v>11</v>
      </c>
      <c r="F897" t="str">
        <f>IF(AND(Entities[[#This Row],[ENT_TYPE]]="County",RIGHT(Entities[[#This Row],[ENT_NAME]],6)&lt;&gt;"County"),_xlfn.TEXTJOIN(" ",TRUE,Entities[[#This Row],[ENT_NAME]],"County"),Entities[[#This Row],[ENT_NAME]])</f>
        <v>Victoria ISD</v>
      </c>
    </row>
    <row r="898" spans="1:6" x14ac:dyDescent="0.25">
      <c r="A898" s="302" t="s">
        <v>5602</v>
      </c>
      <c r="B898" s="303" t="str">
        <f t="shared" ref="B898:B961" si="14">_xlfn.CONCAT("x",TEXT(A898,"00000000"))</f>
        <v>x00003278</v>
      </c>
      <c r="C898" t="s">
        <v>4</v>
      </c>
      <c r="D898" t="s">
        <v>5603</v>
      </c>
      <c r="E898">
        <v>11</v>
      </c>
      <c r="F898" t="str">
        <f>IF(AND(Entities[[#This Row],[ENT_TYPE]]="County",RIGHT(Entities[[#This Row],[ENT_NAME]],6)&lt;&gt;"County"),_xlfn.TEXTJOIN(" ",TRUE,Entities[[#This Row],[ENT_NAME]],"County"),Entities[[#This Row],[ENT_NAME]])</f>
        <v>Edwards Aquifer Authority</v>
      </c>
    </row>
    <row r="899" spans="1:6" x14ac:dyDescent="0.25">
      <c r="A899" s="302" t="s">
        <v>2189</v>
      </c>
      <c r="B899" s="303" t="str">
        <f t="shared" si="14"/>
        <v>x00003292</v>
      </c>
      <c r="C899" t="s">
        <v>5458</v>
      </c>
      <c r="D899" t="s">
        <v>4463</v>
      </c>
      <c r="E899">
        <v>8</v>
      </c>
      <c r="F899" t="str">
        <f>IF(AND(Entities[[#This Row],[ENT_TYPE]]="County",RIGHT(Entities[[#This Row],[ENT_NAME]],6)&lt;&gt;"County"),_xlfn.TEXTJOIN(" ",TRUE,Entities[[#This Row],[ENT_NAME]],"County"),Entities[[#This Row],[ENT_NAME]])</f>
        <v>Weatherford</v>
      </c>
    </row>
    <row r="900" spans="1:6" x14ac:dyDescent="0.25">
      <c r="A900" s="302" t="s">
        <v>2189</v>
      </c>
      <c r="B900" s="303" t="str">
        <f t="shared" si="14"/>
        <v>x00003292</v>
      </c>
      <c r="C900" t="s">
        <v>5458</v>
      </c>
      <c r="D900" t="s">
        <v>4463</v>
      </c>
      <c r="E900">
        <v>3</v>
      </c>
      <c r="F900" t="str">
        <f>IF(AND(Entities[[#This Row],[ENT_TYPE]]="County",RIGHT(Entities[[#This Row],[ENT_NAME]],6)&lt;&gt;"County"),_xlfn.TEXTJOIN(" ",TRUE,Entities[[#This Row],[ENT_NAME]],"County"),Entities[[#This Row],[ENT_NAME]])</f>
        <v>Weatherford</v>
      </c>
    </row>
    <row r="901" spans="1:6" x14ac:dyDescent="0.25">
      <c r="A901" s="304" t="s">
        <v>5604</v>
      </c>
      <c r="B901" s="303" t="str">
        <f t="shared" si="14"/>
        <v>x00003330</v>
      </c>
      <c r="C901" t="s">
        <v>5458</v>
      </c>
      <c r="D901" t="s">
        <v>2874</v>
      </c>
      <c r="E901">
        <v>0</v>
      </c>
      <c r="F901" t="str">
        <f>IF(AND(Entities[[#This Row],[ENT_TYPE]]="County",RIGHT(Entities[[#This Row],[ENT_NAME]],6)&lt;&gt;"County"),_xlfn.TEXTJOIN(" ",TRUE,Entities[[#This Row],[ENT_NAME]],"County"),Entities[[#This Row],[ENT_NAME]])</f>
        <v>Hardin</v>
      </c>
    </row>
    <row r="902" spans="1:6" x14ac:dyDescent="0.25">
      <c r="A902" s="302" t="s">
        <v>5604</v>
      </c>
      <c r="B902" s="303" t="str">
        <f t="shared" si="14"/>
        <v>x00003330</v>
      </c>
      <c r="C902" t="s">
        <v>5458</v>
      </c>
      <c r="D902" t="s">
        <v>2874</v>
      </c>
      <c r="E902">
        <v>3</v>
      </c>
      <c r="F902" t="str">
        <f>IF(AND(Entities[[#This Row],[ENT_TYPE]]="County",RIGHT(Entities[[#This Row],[ENT_NAME]],6)&lt;&gt;"County"),_xlfn.TEXTJOIN(" ",TRUE,Entities[[#This Row],[ENT_NAME]],"County"),Entities[[#This Row],[ENT_NAME]])</f>
        <v>Hardin</v>
      </c>
    </row>
    <row r="903" spans="1:6" x14ac:dyDescent="0.25">
      <c r="A903" s="304" t="s">
        <v>5605</v>
      </c>
      <c r="B903" s="303" t="str">
        <f t="shared" si="14"/>
        <v>x00003343</v>
      </c>
      <c r="C903" t="s">
        <v>5458</v>
      </c>
      <c r="D903" t="s">
        <v>5606</v>
      </c>
      <c r="E903">
        <v>6</v>
      </c>
      <c r="F903" t="str">
        <f>IF(AND(Entities[[#This Row],[ENT_TYPE]]="County",RIGHT(Entities[[#This Row],[ENT_NAME]],6)&lt;&gt;"County"),_xlfn.TEXTJOIN(" ",TRUE,Entities[[#This Row],[ENT_NAME]],"County"),Entities[[#This Row],[ENT_NAME]])</f>
        <v>Baytown</v>
      </c>
    </row>
    <row r="904" spans="1:6" x14ac:dyDescent="0.25">
      <c r="A904" s="302" t="s">
        <v>5605</v>
      </c>
      <c r="B904" s="303" t="str">
        <f t="shared" si="14"/>
        <v>x00003343</v>
      </c>
      <c r="C904" t="s">
        <v>5458</v>
      </c>
      <c r="D904" t="s">
        <v>5606</v>
      </c>
      <c r="E904">
        <v>3</v>
      </c>
      <c r="F904" t="str">
        <f>IF(AND(Entities[[#This Row],[ENT_TYPE]]="County",RIGHT(Entities[[#This Row],[ENT_NAME]],6)&lt;&gt;"County"),_xlfn.TEXTJOIN(" ",TRUE,Entities[[#This Row],[ENT_NAME]],"County"),Entities[[#This Row],[ENT_NAME]])</f>
        <v>Baytown</v>
      </c>
    </row>
    <row r="905" spans="1:6" x14ac:dyDescent="0.25">
      <c r="A905" s="302" t="s">
        <v>5607</v>
      </c>
      <c r="B905" s="303" t="str">
        <f t="shared" si="14"/>
        <v>x00003344</v>
      </c>
      <c r="C905" t="s">
        <v>5458</v>
      </c>
      <c r="D905" t="s">
        <v>5608</v>
      </c>
      <c r="E905">
        <v>6</v>
      </c>
      <c r="F905" t="str">
        <f>IF(AND(Entities[[#This Row],[ENT_TYPE]]="County",RIGHT(Entities[[#This Row],[ENT_NAME]],6)&lt;&gt;"County"),_xlfn.TEXTJOIN(" ",TRUE,Entities[[#This Row],[ENT_NAME]],"County"),Entities[[#This Row],[ENT_NAME]])</f>
        <v>Beach City</v>
      </c>
    </row>
    <row r="906" spans="1:6" x14ac:dyDescent="0.25">
      <c r="A906" s="302" t="s">
        <v>5607</v>
      </c>
      <c r="B906" s="303" t="str">
        <f t="shared" si="14"/>
        <v>x00003344</v>
      </c>
      <c r="C906" t="s">
        <v>5458</v>
      </c>
      <c r="D906" t="s">
        <v>5608</v>
      </c>
      <c r="E906">
        <v>3</v>
      </c>
      <c r="F906" t="str">
        <f>IF(AND(Entities[[#This Row],[ENT_TYPE]]="County",RIGHT(Entities[[#This Row],[ENT_NAME]],6)&lt;&gt;"County"),_xlfn.TEXTJOIN(" ",TRUE,Entities[[#This Row],[ENT_NAME]],"County"),Entities[[#This Row],[ENT_NAME]])</f>
        <v>Beach City</v>
      </c>
    </row>
    <row r="907" spans="1:6" x14ac:dyDescent="0.25">
      <c r="A907" s="304" t="s">
        <v>5609</v>
      </c>
      <c r="B907" s="303" t="str">
        <f t="shared" si="14"/>
        <v>x00003345</v>
      </c>
      <c r="C907" t="s">
        <v>5458</v>
      </c>
      <c r="D907" t="s">
        <v>5610</v>
      </c>
      <c r="E907">
        <v>6</v>
      </c>
      <c r="F907" t="str">
        <f>IF(AND(Entities[[#This Row],[ENT_TYPE]]="County",RIGHT(Entities[[#This Row],[ENT_NAME]],6)&lt;&gt;"County"),_xlfn.TEXTJOIN(" ",TRUE,Entities[[#This Row],[ENT_NAME]],"County"),Entities[[#This Row],[ENT_NAME]])</f>
        <v>Texas City</v>
      </c>
    </row>
    <row r="908" spans="1:6" x14ac:dyDescent="0.25">
      <c r="A908" s="304" t="s">
        <v>2858</v>
      </c>
      <c r="B908" s="303" t="str">
        <f t="shared" si="14"/>
        <v>x00003346</v>
      </c>
      <c r="C908" t="s">
        <v>5458</v>
      </c>
      <c r="D908" t="s">
        <v>5611</v>
      </c>
      <c r="E908">
        <v>0</v>
      </c>
      <c r="F908" t="str">
        <f>IF(AND(Entities[[#This Row],[ENT_TYPE]]="County",RIGHT(Entities[[#This Row],[ENT_NAME]],6)&lt;&gt;"County"),_xlfn.TEXTJOIN(" ",TRUE,Entities[[#This Row],[ENT_NAME]],"County"),Entities[[#This Row],[ENT_NAME]])</f>
        <v>Palestine</v>
      </c>
    </row>
    <row r="909" spans="1:6" x14ac:dyDescent="0.25">
      <c r="A909" s="302" t="s">
        <v>2858</v>
      </c>
      <c r="B909" s="303" t="str">
        <f t="shared" si="14"/>
        <v>x00003346</v>
      </c>
      <c r="C909" t="s">
        <v>5458</v>
      </c>
      <c r="D909" t="s">
        <v>5611</v>
      </c>
      <c r="E909">
        <v>3</v>
      </c>
      <c r="F909" t="str">
        <f>IF(AND(Entities[[#This Row],[ENT_TYPE]]="County",RIGHT(Entities[[#This Row],[ENT_NAME]],6)&lt;&gt;"County"),_xlfn.TEXTJOIN(" ",TRUE,Entities[[#This Row],[ENT_NAME]],"County"),Entities[[#This Row],[ENT_NAME]])</f>
        <v>Palestine</v>
      </c>
    </row>
    <row r="910" spans="1:6" x14ac:dyDescent="0.25">
      <c r="A910" s="302" t="s">
        <v>5612</v>
      </c>
      <c r="B910" s="303" t="str">
        <f t="shared" si="14"/>
        <v>x00003369</v>
      </c>
      <c r="C910" t="s">
        <v>5458</v>
      </c>
      <c r="D910" t="s">
        <v>5613</v>
      </c>
      <c r="E910">
        <v>4</v>
      </c>
      <c r="F910" t="str">
        <f>IF(AND(Entities[[#This Row],[ENT_TYPE]]="County",RIGHT(Entities[[#This Row],[ENT_NAME]],6)&lt;&gt;"County"),_xlfn.TEXTJOIN(" ",TRUE,Entities[[#This Row],[ENT_NAME]],"County"),Entities[[#This Row],[ENT_NAME]])</f>
        <v>Lindale</v>
      </c>
    </row>
    <row r="911" spans="1:6" x14ac:dyDescent="0.25">
      <c r="A911" s="302" t="s">
        <v>5612</v>
      </c>
      <c r="B911" s="303" t="str">
        <f t="shared" si="14"/>
        <v>x00003369</v>
      </c>
      <c r="C911" t="s">
        <v>5458</v>
      </c>
      <c r="D911" t="s">
        <v>5613</v>
      </c>
      <c r="E911">
        <v>0</v>
      </c>
      <c r="F911" t="str">
        <f>IF(AND(Entities[[#This Row],[ENT_TYPE]]="County",RIGHT(Entities[[#This Row],[ENT_NAME]],6)&lt;&gt;"County"),_xlfn.TEXTJOIN(" ",TRUE,Entities[[#This Row],[ENT_NAME]],"County"),Entities[[#This Row],[ENT_NAME]])</f>
        <v>Lindale</v>
      </c>
    </row>
    <row r="912" spans="1:6" x14ac:dyDescent="0.25">
      <c r="A912" s="304" t="s">
        <v>2865</v>
      </c>
      <c r="B912" s="303" t="str">
        <f t="shared" si="14"/>
        <v>x00003371</v>
      </c>
      <c r="C912" t="s">
        <v>5458</v>
      </c>
      <c r="D912" t="s">
        <v>5614</v>
      </c>
      <c r="E912">
        <v>4</v>
      </c>
      <c r="F912" t="str">
        <f>IF(AND(Entities[[#This Row],[ENT_TYPE]]="County",RIGHT(Entities[[#This Row],[ENT_NAME]],6)&lt;&gt;"County"),_xlfn.TEXTJOIN(" ",TRUE,Entities[[#This Row],[ENT_NAME]],"County"),Entities[[#This Row],[ENT_NAME]])</f>
        <v>Tyler</v>
      </c>
    </row>
    <row r="913" spans="1:6" x14ac:dyDescent="0.25">
      <c r="A913" s="302" t="s">
        <v>2865</v>
      </c>
      <c r="B913" s="303" t="str">
        <f t="shared" si="14"/>
        <v>x00003371</v>
      </c>
      <c r="C913" t="s">
        <v>5458</v>
      </c>
      <c r="D913" t="s">
        <v>5614</v>
      </c>
      <c r="E913">
        <v>0</v>
      </c>
      <c r="F913" t="str">
        <f>IF(AND(Entities[[#This Row],[ENT_TYPE]]="County",RIGHT(Entities[[#This Row],[ENT_NAME]],6)&lt;&gt;"County"),_xlfn.TEXTJOIN(" ",TRUE,Entities[[#This Row],[ENT_NAME]],"County"),Entities[[#This Row],[ENT_NAME]])</f>
        <v>Tyler</v>
      </c>
    </row>
    <row r="914" spans="1:6" x14ac:dyDescent="0.25">
      <c r="A914" s="302" t="s">
        <v>5615</v>
      </c>
      <c r="B914" s="303" t="str">
        <f t="shared" si="14"/>
        <v>x00003373</v>
      </c>
      <c r="C914" t="s">
        <v>5458</v>
      </c>
      <c r="D914" t="s">
        <v>2403</v>
      </c>
      <c r="E914">
        <v>4</v>
      </c>
      <c r="F914" t="str">
        <f>IF(AND(Entities[[#This Row],[ENT_TYPE]]="County",RIGHT(Entities[[#This Row],[ENT_NAME]],6)&lt;&gt;"County"),_xlfn.TEXTJOIN(" ",TRUE,Entities[[#This Row],[ENT_NAME]],"County"),Entities[[#This Row],[ENT_NAME]])</f>
        <v>Rockwall</v>
      </c>
    </row>
    <row r="915" spans="1:6" x14ac:dyDescent="0.25">
      <c r="A915" s="302" t="s">
        <v>5615</v>
      </c>
      <c r="B915" s="303" t="str">
        <f t="shared" si="14"/>
        <v>x00003373</v>
      </c>
      <c r="C915" t="s">
        <v>5458</v>
      </c>
      <c r="D915" t="s">
        <v>2403</v>
      </c>
      <c r="E915">
        <v>3</v>
      </c>
      <c r="F915" t="str">
        <f>IF(AND(Entities[[#This Row],[ENT_TYPE]]="County",RIGHT(Entities[[#This Row],[ENT_NAME]],6)&lt;&gt;"County"),_xlfn.TEXTJOIN(" ",TRUE,Entities[[#This Row],[ENT_NAME]],"County"),Entities[[#This Row],[ENT_NAME]])</f>
        <v>Rockwall</v>
      </c>
    </row>
    <row r="916" spans="1:6" x14ac:dyDescent="0.25">
      <c r="A916" s="302" t="s">
        <v>5616</v>
      </c>
      <c r="B916" s="303" t="str">
        <f t="shared" si="14"/>
        <v>x00003390</v>
      </c>
      <c r="C916" t="s">
        <v>5458</v>
      </c>
      <c r="D916" t="s">
        <v>5617</v>
      </c>
      <c r="E916">
        <v>6</v>
      </c>
      <c r="F916" t="str">
        <f>IF(AND(Entities[[#This Row],[ENT_TYPE]]="County",RIGHT(Entities[[#This Row],[ENT_NAME]],6)&lt;&gt;"County"),_xlfn.TEXTJOIN(" ",TRUE,Entities[[#This Row],[ENT_NAME]],"County"),Entities[[#This Row],[ENT_NAME]])</f>
        <v>Prairie View</v>
      </c>
    </row>
    <row r="917" spans="1:6" x14ac:dyDescent="0.25">
      <c r="A917" s="302" t="s">
        <v>5616</v>
      </c>
      <c r="B917" s="303" t="str">
        <f t="shared" si="14"/>
        <v>x00003390</v>
      </c>
      <c r="C917" t="s">
        <v>5458</v>
      </c>
      <c r="D917" t="s">
        <v>5617</v>
      </c>
      <c r="E917">
        <v>8</v>
      </c>
      <c r="F917" t="str">
        <f>IF(AND(Entities[[#This Row],[ENT_TYPE]]="County",RIGHT(Entities[[#This Row],[ENT_NAME]],6)&lt;&gt;"County"),_xlfn.TEXTJOIN(" ",TRUE,Entities[[#This Row],[ENT_NAME]],"County"),Entities[[#This Row],[ENT_NAME]])</f>
        <v>Prairie View</v>
      </c>
    </row>
    <row r="918" spans="1:6" x14ac:dyDescent="0.25">
      <c r="A918" s="304" t="s">
        <v>5618</v>
      </c>
      <c r="B918" s="303" t="str">
        <f t="shared" si="14"/>
        <v>x00003409</v>
      </c>
      <c r="C918" t="s">
        <v>5458</v>
      </c>
      <c r="D918" t="s">
        <v>5619</v>
      </c>
      <c r="E918">
        <v>2</v>
      </c>
      <c r="F918" t="str">
        <f>IF(AND(Entities[[#This Row],[ENT_TYPE]]="County",RIGHT(Entities[[#This Row],[ENT_NAME]],6)&lt;&gt;"County"),_xlfn.TEXTJOIN(" ",TRUE,Entities[[#This Row],[ENT_NAME]],"County"),Entities[[#This Row],[ENT_NAME]])</f>
        <v>Sulphur Springs</v>
      </c>
    </row>
    <row r="919" spans="1:6" x14ac:dyDescent="0.25">
      <c r="A919" s="302" t="s">
        <v>5618</v>
      </c>
      <c r="B919" s="303" t="str">
        <f t="shared" si="14"/>
        <v>x00003409</v>
      </c>
      <c r="C919" t="s">
        <v>5458</v>
      </c>
      <c r="D919" t="s">
        <v>5619</v>
      </c>
      <c r="E919">
        <v>4</v>
      </c>
      <c r="F919" t="str">
        <f>IF(AND(Entities[[#This Row],[ENT_TYPE]]="County",RIGHT(Entities[[#This Row],[ENT_NAME]],6)&lt;&gt;"County"),_xlfn.TEXTJOIN(" ",TRUE,Entities[[#This Row],[ENT_NAME]],"County"),Entities[[#This Row],[ENT_NAME]])</f>
        <v>Sulphur Springs</v>
      </c>
    </row>
    <row r="920" spans="1:6" x14ac:dyDescent="0.25">
      <c r="A920" s="302" t="s">
        <v>4869</v>
      </c>
      <c r="B920" s="303" t="str">
        <f t="shared" si="14"/>
        <v>x00003418</v>
      </c>
      <c r="C920" t="s">
        <v>5458</v>
      </c>
      <c r="D920" t="s">
        <v>5620</v>
      </c>
      <c r="E920">
        <v>2</v>
      </c>
      <c r="F920" t="str">
        <f>IF(AND(Entities[[#This Row],[ENT_TYPE]]="County",RIGHT(Entities[[#This Row],[ENT_NAME]],6)&lt;&gt;"County"),_xlfn.TEXTJOIN(" ",TRUE,Entities[[#This Row],[ENT_NAME]],"County"),Entities[[#This Row],[ENT_NAME]])</f>
        <v>Como</v>
      </c>
    </row>
    <row r="921" spans="1:6" x14ac:dyDescent="0.25">
      <c r="A921" s="304" t="s">
        <v>4869</v>
      </c>
      <c r="B921" s="303" t="str">
        <f t="shared" si="14"/>
        <v>x00003418</v>
      </c>
      <c r="C921" t="s">
        <v>5458</v>
      </c>
      <c r="D921" t="s">
        <v>5620</v>
      </c>
      <c r="E921">
        <v>4</v>
      </c>
      <c r="F921" t="str">
        <f>IF(AND(Entities[[#This Row],[ENT_TYPE]]="County",RIGHT(Entities[[#This Row],[ENT_NAME]],6)&lt;&gt;"County"),_xlfn.TEXTJOIN(" ",TRUE,Entities[[#This Row],[ENT_NAME]],"County"),Entities[[#This Row],[ENT_NAME]])</f>
        <v>Como</v>
      </c>
    </row>
    <row r="922" spans="1:6" x14ac:dyDescent="0.25">
      <c r="A922" s="304" t="s">
        <v>4874</v>
      </c>
      <c r="B922" s="303" t="str">
        <f t="shared" si="14"/>
        <v>x00003433</v>
      </c>
      <c r="C922" t="s">
        <v>5458</v>
      </c>
      <c r="D922" t="s">
        <v>5621</v>
      </c>
      <c r="E922">
        <v>2</v>
      </c>
      <c r="F922" t="str">
        <f>IF(AND(Entities[[#This Row],[ENT_TYPE]]="County",RIGHT(Entities[[#This Row],[ENT_NAME]],6)&lt;&gt;"County"),_xlfn.TEXTJOIN(" ",TRUE,Entities[[#This Row],[ENT_NAME]],"County"),Entities[[#This Row],[ENT_NAME]])</f>
        <v>Cumby</v>
      </c>
    </row>
    <row r="923" spans="1:6" x14ac:dyDescent="0.25">
      <c r="A923" s="302" t="s">
        <v>4874</v>
      </c>
      <c r="B923" s="303" t="str">
        <f t="shared" si="14"/>
        <v>x00003433</v>
      </c>
      <c r="C923" t="s">
        <v>5458</v>
      </c>
      <c r="D923" t="s">
        <v>5621</v>
      </c>
      <c r="E923">
        <v>4</v>
      </c>
      <c r="F923" t="str">
        <f>IF(AND(Entities[[#This Row],[ENT_TYPE]]="County",RIGHT(Entities[[#This Row],[ENT_NAME]],6)&lt;&gt;"County"),_xlfn.TEXTJOIN(" ",TRUE,Entities[[#This Row],[ENT_NAME]],"County"),Entities[[#This Row],[ENT_NAME]])</f>
        <v>Cumby</v>
      </c>
    </row>
    <row r="924" spans="1:6" x14ac:dyDescent="0.25">
      <c r="A924" s="304" t="s">
        <v>5622</v>
      </c>
      <c r="B924" s="303" t="str">
        <f t="shared" si="14"/>
        <v>x00003454</v>
      </c>
      <c r="C924" t="s">
        <v>5458</v>
      </c>
      <c r="D924" t="s">
        <v>5623</v>
      </c>
      <c r="E924">
        <v>8</v>
      </c>
      <c r="F924" t="str">
        <f>IF(AND(Entities[[#This Row],[ENT_TYPE]]="County",RIGHT(Entities[[#This Row],[ENT_NAME]],6)&lt;&gt;"County"),_xlfn.TEXTJOIN(" ",TRUE,Entities[[#This Row],[ENT_NAME]],"County"),Entities[[#This Row],[ENT_NAME]])</f>
        <v>Cedar Park</v>
      </c>
    </row>
    <row r="925" spans="1:6" x14ac:dyDescent="0.25">
      <c r="A925" s="302" t="s">
        <v>4893</v>
      </c>
      <c r="B925" s="303" t="str">
        <f t="shared" si="14"/>
        <v>x00003457</v>
      </c>
      <c r="C925" t="s">
        <v>5458</v>
      </c>
      <c r="D925" t="s">
        <v>5624</v>
      </c>
      <c r="E925">
        <v>8</v>
      </c>
      <c r="F925" t="str">
        <f>IF(AND(Entities[[#This Row],[ENT_TYPE]]="County",RIGHT(Entities[[#This Row],[ENT_NAME]],6)&lt;&gt;"County"),_xlfn.TEXTJOIN(" ",TRUE,Entities[[#This Row],[ENT_NAME]],"County"),Entities[[#This Row],[ENT_NAME]])</f>
        <v>Leander</v>
      </c>
    </row>
    <row r="926" spans="1:6" x14ac:dyDescent="0.25">
      <c r="A926" s="304" t="s">
        <v>5625</v>
      </c>
      <c r="B926" s="303" t="str">
        <f t="shared" si="14"/>
        <v>x00003458</v>
      </c>
      <c r="C926" t="s">
        <v>5458</v>
      </c>
      <c r="D926" t="s">
        <v>5626</v>
      </c>
      <c r="E926">
        <v>8</v>
      </c>
      <c r="F926" t="str">
        <f>IF(AND(Entities[[#This Row],[ENT_TYPE]]="County",RIGHT(Entities[[#This Row],[ENT_NAME]],6)&lt;&gt;"County"),_xlfn.TEXTJOIN(" ",TRUE,Entities[[#This Row],[ENT_NAME]],"County"),Entities[[#This Row],[ENT_NAME]])</f>
        <v>Pflugerville</v>
      </c>
    </row>
    <row r="927" spans="1:6" x14ac:dyDescent="0.25">
      <c r="A927" s="304" t="s">
        <v>5625</v>
      </c>
      <c r="B927" s="303" t="str">
        <f t="shared" si="14"/>
        <v>x00003458</v>
      </c>
      <c r="C927" t="s">
        <v>5458</v>
      </c>
      <c r="D927" t="s">
        <v>5626</v>
      </c>
      <c r="E927">
        <v>10</v>
      </c>
      <c r="F927" t="str">
        <f>IF(AND(Entities[[#This Row],[ENT_TYPE]]="County",RIGHT(Entities[[#This Row],[ENT_NAME]],6)&lt;&gt;"County"),_xlfn.TEXTJOIN(" ",TRUE,Entities[[#This Row],[ENT_NAME]],"County"),Entities[[#This Row],[ENT_NAME]])</f>
        <v>Pflugerville</v>
      </c>
    </row>
    <row r="928" spans="1:6" x14ac:dyDescent="0.25">
      <c r="A928" s="302" t="s">
        <v>5627</v>
      </c>
      <c r="B928" s="303" t="str">
        <f t="shared" si="14"/>
        <v>x00003513</v>
      </c>
      <c r="C928" t="s">
        <v>5458</v>
      </c>
      <c r="D928" t="s">
        <v>5628</v>
      </c>
      <c r="E928">
        <v>6</v>
      </c>
      <c r="F928" t="str">
        <f>IF(AND(Entities[[#This Row],[ENT_TYPE]]="County",RIGHT(Entities[[#This Row],[ENT_NAME]],6)&lt;&gt;"County"),_xlfn.TEXTJOIN(" ",TRUE,Entities[[#This Row],[ENT_NAME]],"County"),Entities[[#This Row],[ENT_NAME]])</f>
        <v>Coldspring</v>
      </c>
    </row>
    <row r="929" spans="1:6" x14ac:dyDescent="0.25">
      <c r="A929" s="302" t="s">
        <v>5627</v>
      </c>
      <c r="B929" s="303" t="str">
        <f t="shared" si="14"/>
        <v>x00003513</v>
      </c>
      <c r="C929" t="s">
        <v>5458</v>
      </c>
      <c r="D929" t="s">
        <v>5628</v>
      </c>
      <c r="E929">
        <v>3</v>
      </c>
      <c r="F929" t="str">
        <f>IF(AND(Entities[[#This Row],[ENT_TYPE]]="County",RIGHT(Entities[[#This Row],[ENT_NAME]],6)&lt;&gt;"County"),_xlfn.TEXTJOIN(" ",TRUE,Entities[[#This Row],[ENT_NAME]],"County"),Entities[[#This Row],[ENT_NAME]])</f>
        <v>Coldspring</v>
      </c>
    </row>
    <row r="930" spans="1:6" x14ac:dyDescent="0.25">
      <c r="A930" s="304" t="s">
        <v>5629</v>
      </c>
      <c r="B930" s="303" t="str">
        <f t="shared" si="14"/>
        <v>x00003553</v>
      </c>
      <c r="C930" t="s">
        <v>5458</v>
      </c>
      <c r="D930" t="s">
        <v>5630</v>
      </c>
      <c r="E930">
        <v>7</v>
      </c>
      <c r="F930" t="str">
        <f>IF(AND(Entities[[#This Row],[ENT_TYPE]]="County",RIGHT(Entities[[#This Row],[ENT_NAME]],6)&lt;&gt;"County"),_xlfn.TEXTJOIN(" ",TRUE,Entities[[#This Row],[ENT_NAME]],"County"),Entities[[#This Row],[ENT_NAME]])</f>
        <v>Tuscola</v>
      </c>
    </row>
    <row r="931" spans="1:6" x14ac:dyDescent="0.25">
      <c r="A931" s="304" t="s">
        <v>5631</v>
      </c>
      <c r="B931" s="303" t="str">
        <f t="shared" si="14"/>
        <v>x00003554</v>
      </c>
      <c r="C931" t="s">
        <v>5458</v>
      </c>
      <c r="D931" t="s">
        <v>5632</v>
      </c>
      <c r="E931">
        <v>2</v>
      </c>
      <c r="F931" t="str">
        <f>IF(AND(Entities[[#This Row],[ENT_TYPE]]="County",RIGHT(Entities[[#This Row],[ENT_NAME]],6)&lt;&gt;"County"),_xlfn.TEXTJOIN(" ",TRUE,Entities[[#This Row],[ENT_NAME]],"County"),Entities[[#This Row],[ENT_NAME]])</f>
        <v>Marshall</v>
      </c>
    </row>
    <row r="932" spans="1:6" x14ac:dyDescent="0.25">
      <c r="A932" s="302" t="s">
        <v>5631</v>
      </c>
      <c r="B932" s="303" t="str">
        <f t="shared" si="14"/>
        <v>x00003554</v>
      </c>
      <c r="C932" t="s">
        <v>5458</v>
      </c>
      <c r="D932" t="s">
        <v>5632</v>
      </c>
      <c r="E932">
        <v>4</v>
      </c>
      <c r="F932" t="str">
        <f>IF(AND(Entities[[#This Row],[ENT_TYPE]]="County",RIGHT(Entities[[#This Row],[ENT_NAME]],6)&lt;&gt;"County"),_xlfn.TEXTJOIN(" ",TRUE,Entities[[#This Row],[ENT_NAME]],"County"),Entities[[#This Row],[ENT_NAME]])</f>
        <v>Marshall</v>
      </c>
    </row>
    <row r="933" spans="1:6" x14ac:dyDescent="0.25">
      <c r="A933" s="304" t="s">
        <v>5633</v>
      </c>
      <c r="B933" s="303" t="str">
        <f t="shared" si="14"/>
        <v>x00003555</v>
      </c>
      <c r="C933" t="s">
        <v>5458</v>
      </c>
      <c r="D933" t="s">
        <v>5634</v>
      </c>
      <c r="E933">
        <v>4</v>
      </c>
      <c r="F933" t="str">
        <f>IF(AND(Entities[[#This Row],[ENT_TYPE]]="County",RIGHT(Entities[[#This Row],[ENT_NAME]],6)&lt;&gt;"County"),_xlfn.TEXTJOIN(" ",TRUE,Entities[[#This Row],[ENT_NAME]],"County"),Entities[[#This Row],[ENT_NAME]])</f>
        <v>Scottsville</v>
      </c>
    </row>
    <row r="934" spans="1:6" x14ac:dyDescent="0.25">
      <c r="A934" s="302" t="s">
        <v>5635</v>
      </c>
      <c r="B934" s="303" t="str">
        <f t="shared" si="14"/>
        <v>x00003571</v>
      </c>
      <c r="C934" t="s">
        <v>5458</v>
      </c>
      <c r="D934" t="s">
        <v>5636</v>
      </c>
      <c r="E934">
        <v>0</v>
      </c>
      <c r="F934" t="str">
        <f>IF(AND(Entities[[#This Row],[ENT_TYPE]]="County",RIGHT(Entities[[#This Row],[ENT_NAME]],6)&lt;&gt;"County"),_xlfn.TEXTJOIN(" ",TRUE,Entities[[#This Row],[ENT_NAME]],"County"),Entities[[#This Row],[ENT_NAME]])</f>
        <v>Anahuac</v>
      </c>
    </row>
    <row r="935" spans="1:6" x14ac:dyDescent="0.25">
      <c r="A935" s="302" t="s">
        <v>5635</v>
      </c>
      <c r="B935" s="303" t="str">
        <f t="shared" si="14"/>
        <v>x00003571</v>
      </c>
      <c r="C935" t="s">
        <v>5458</v>
      </c>
      <c r="D935" t="s">
        <v>5636</v>
      </c>
      <c r="E935">
        <v>3</v>
      </c>
      <c r="F935" t="str">
        <f>IF(AND(Entities[[#This Row],[ENT_TYPE]]="County",RIGHT(Entities[[#This Row],[ENT_NAME]],6)&lt;&gt;"County"),_xlfn.TEXTJOIN(" ",TRUE,Entities[[#This Row],[ENT_NAME]],"County"),Entities[[#This Row],[ENT_NAME]])</f>
        <v>Anahuac</v>
      </c>
    </row>
    <row r="936" spans="1:6" x14ac:dyDescent="0.25">
      <c r="A936" s="304" t="s">
        <v>5637</v>
      </c>
      <c r="B936" s="303" t="str">
        <f t="shared" si="14"/>
        <v>x00003573</v>
      </c>
      <c r="C936" t="s">
        <v>5458</v>
      </c>
      <c r="D936" t="s">
        <v>5638</v>
      </c>
      <c r="E936">
        <v>6</v>
      </c>
      <c r="F936" t="str">
        <f>IF(AND(Entities[[#This Row],[ENT_TYPE]]="County",RIGHT(Entities[[#This Row],[ENT_NAME]],6)&lt;&gt;"County"),_xlfn.TEXTJOIN(" ",TRUE,Entities[[#This Row],[ENT_NAME]],"County"),Entities[[#This Row],[ENT_NAME]])</f>
        <v>Mont Belvieu</v>
      </c>
    </row>
    <row r="937" spans="1:6" x14ac:dyDescent="0.25">
      <c r="A937" s="302" t="s">
        <v>5637</v>
      </c>
      <c r="B937" s="303" t="str">
        <f t="shared" si="14"/>
        <v>x00003573</v>
      </c>
      <c r="C937" t="s">
        <v>5458</v>
      </c>
      <c r="D937" t="s">
        <v>5638</v>
      </c>
      <c r="E937">
        <v>3</v>
      </c>
      <c r="F937" t="str">
        <f>IF(AND(Entities[[#This Row],[ENT_TYPE]]="County",RIGHT(Entities[[#This Row],[ENT_NAME]],6)&lt;&gt;"County"),_xlfn.TEXTJOIN(" ",TRUE,Entities[[#This Row],[ENT_NAME]],"County"),Entities[[#This Row],[ENT_NAME]])</f>
        <v>Mont Belvieu</v>
      </c>
    </row>
    <row r="938" spans="1:6" x14ac:dyDescent="0.25">
      <c r="A938" s="304" t="s">
        <v>5639</v>
      </c>
      <c r="B938" s="303" t="str">
        <f t="shared" si="14"/>
        <v>x00003574</v>
      </c>
      <c r="C938" t="s">
        <v>5458</v>
      </c>
      <c r="D938" t="s">
        <v>5640</v>
      </c>
      <c r="E938">
        <v>8</v>
      </c>
      <c r="F938" t="str">
        <f>IF(AND(Entities[[#This Row],[ENT_TYPE]]="County",RIGHT(Entities[[#This Row],[ENT_NAME]],6)&lt;&gt;"County"),_xlfn.TEXTJOIN(" ",TRUE,Entities[[#This Row],[ENT_NAME]],"County"),Entities[[#This Row],[ENT_NAME]])</f>
        <v>Coupland</v>
      </c>
    </row>
    <row r="939" spans="1:6" x14ac:dyDescent="0.25">
      <c r="A939" s="304" t="s">
        <v>2725</v>
      </c>
      <c r="B939" s="303" t="str">
        <f t="shared" si="14"/>
        <v>x00003580</v>
      </c>
      <c r="C939" t="s">
        <v>5458</v>
      </c>
      <c r="D939" t="s">
        <v>5641</v>
      </c>
      <c r="E939">
        <v>0</v>
      </c>
      <c r="F939" t="str">
        <f>IF(AND(Entities[[#This Row],[ENT_TYPE]]="County",RIGHT(Entities[[#This Row],[ENT_NAME]],6)&lt;&gt;"County"),_xlfn.TEXTJOIN(" ",TRUE,Entities[[#This Row],[ENT_NAME]],"County"),Entities[[#This Row],[ENT_NAME]])</f>
        <v>Groveton</v>
      </c>
    </row>
    <row r="940" spans="1:6" x14ac:dyDescent="0.25">
      <c r="A940" s="302" t="s">
        <v>2725</v>
      </c>
      <c r="B940" s="303" t="str">
        <f t="shared" si="14"/>
        <v>x00003580</v>
      </c>
      <c r="C940" t="s">
        <v>5458</v>
      </c>
      <c r="D940" t="s">
        <v>5641</v>
      </c>
      <c r="E940">
        <v>3</v>
      </c>
      <c r="F940" t="str">
        <f>IF(AND(Entities[[#This Row],[ENT_TYPE]]="County",RIGHT(Entities[[#This Row],[ENT_NAME]],6)&lt;&gt;"County"),_xlfn.TEXTJOIN(" ",TRUE,Entities[[#This Row],[ENT_NAME]],"County"),Entities[[#This Row],[ENT_NAME]])</f>
        <v>Groveton</v>
      </c>
    </row>
    <row r="941" spans="1:6" x14ac:dyDescent="0.25">
      <c r="A941" s="302" t="s">
        <v>5642</v>
      </c>
      <c r="B941" s="303" t="str">
        <f t="shared" si="14"/>
        <v>x00003592</v>
      </c>
      <c r="C941" t="s">
        <v>5458</v>
      </c>
      <c r="D941" t="s">
        <v>5643</v>
      </c>
      <c r="E941">
        <v>13</v>
      </c>
      <c r="F941" t="str">
        <f>IF(AND(Entities[[#This Row],[ENT_TYPE]]="County",RIGHT(Entities[[#This Row],[ENT_NAME]],6)&lt;&gt;"County"),_xlfn.TEXTJOIN(" ",TRUE,Entities[[#This Row],[ENT_NAME]],"County"),Entities[[#This Row],[ENT_NAME]])</f>
        <v>Rocksprings</v>
      </c>
    </row>
    <row r="942" spans="1:6" x14ac:dyDescent="0.25">
      <c r="A942" s="302" t="s">
        <v>5642</v>
      </c>
      <c r="B942" s="303" t="str">
        <f t="shared" si="14"/>
        <v>x00003592</v>
      </c>
      <c r="C942" t="s">
        <v>5458</v>
      </c>
      <c r="D942" t="s">
        <v>5643</v>
      </c>
      <c r="E942">
        <v>10</v>
      </c>
      <c r="F942" t="str">
        <f>IF(AND(Entities[[#This Row],[ENT_TYPE]]="County",RIGHT(Entities[[#This Row],[ENT_NAME]],6)&lt;&gt;"County"),_xlfn.TEXTJOIN(" ",TRUE,Entities[[#This Row],[ENT_NAME]],"County"),Entities[[#This Row],[ENT_NAME]])</f>
        <v>Rocksprings</v>
      </c>
    </row>
    <row r="943" spans="1:6" x14ac:dyDescent="0.25">
      <c r="A943" s="304" t="s">
        <v>3787</v>
      </c>
      <c r="B943" s="303" t="str">
        <f t="shared" si="14"/>
        <v>x00003593</v>
      </c>
      <c r="C943" t="s">
        <v>4</v>
      </c>
      <c r="D943" t="s">
        <v>5644</v>
      </c>
      <c r="E943">
        <v>13</v>
      </c>
      <c r="F943" t="str">
        <f>IF(AND(Entities[[#This Row],[ENT_TYPE]]="County",RIGHT(Entities[[#This Row],[ENT_NAME]],6)&lt;&gt;"County"),_xlfn.TEXTJOIN(" ",TRUE,Entities[[#This Row],[ENT_NAME]],"County"),Entities[[#This Row],[ENT_NAME]])</f>
        <v>Texas Parks and Wildlife Department</v>
      </c>
    </row>
    <row r="944" spans="1:6" x14ac:dyDescent="0.25">
      <c r="A944" s="304" t="s">
        <v>5645</v>
      </c>
      <c r="B944" s="303" t="str">
        <f t="shared" si="14"/>
        <v>x00003596</v>
      </c>
      <c r="C944" t="s">
        <v>5458</v>
      </c>
      <c r="D944" t="s">
        <v>5646</v>
      </c>
      <c r="E944">
        <v>6</v>
      </c>
      <c r="F944" t="str">
        <f>IF(AND(Entities[[#This Row],[ENT_TYPE]]="County",RIGHT(Entities[[#This Row],[ENT_NAME]],6)&lt;&gt;"County"),_xlfn.TEXTJOIN(" ",TRUE,Entities[[#This Row],[ENT_NAME]],"County"),Entities[[#This Row],[ENT_NAME]])</f>
        <v>Stafford</v>
      </c>
    </row>
    <row r="945" spans="1:6" x14ac:dyDescent="0.25">
      <c r="A945" s="302" t="s">
        <v>5645</v>
      </c>
      <c r="B945" s="303" t="str">
        <f t="shared" si="14"/>
        <v>x00003596</v>
      </c>
      <c r="C945" t="s">
        <v>5458</v>
      </c>
      <c r="D945" t="s">
        <v>5646</v>
      </c>
      <c r="E945">
        <v>8</v>
      </c>
      <c r="F945" t="str">
        <f>IF(AND(Entities[[#This Row],[ENT_TYPE]]="County",RIGHT(Entities[[#This Row],[ENT_NAME]],6)&lt;&gt;"County"),_xlfn.TEXTJOIN(" ",TRUE,Entities[[#This Row],[ENT_NAME]],"County"),Entities[[#This Row],[ENT_NAME]])</f>
        <v>Stafford</v>
      </c>
    </row>
    <row r="946" spans="1:6" x14ac:dyDescent="0.25">
      <c r="A946" s="302" t="s">
        <v>5647</v>
      </c>
      <c r="B946" s="303" t="str">
        <f t="shared" si="14"/>
        <v>x00004000</v>
      </c>
      <c r="C946" t="s">
        <v>4</v>
      </c>
      <c r="D946" t="s">
        <v>5648</v>
      </c>
      <c r="E946">
        <v>3</v>
      </c>
      <c r="F946" t="str">
        <f>IF(AND(Entities[[#This Row],[ENT_TYPE]]="County",RIGHT(Entities[[#This Row],[ENT_NAME]],6)&lt;&gt;"County"),_xlfn.TEXTJOIN(" ",TRUE,Entities[[#This Row],[ENT_NAME]],"County"),Entities[[#This Row],[ENT_NAME]])</f>
        <v>Southeast Texas Flood Control District</v>
      </c>
    </row>
    <row r="947" spans="1:6" x14ac:dyDescent="0.25">
      <c r="A947" s="302" t="s">
        <v>5649</v>
      </c>
      <c r="B947" s="303" t="str">
        <f t="shared" si="14"/>
        <v>x00004001</v>
      </c>
      <c r="C947" t="s">
        <v>4</v>
      </c>
      <c r="D947" t="s">
        <v>5650</v>
      </c>
      <c r="E947">
        <v>4</v>
      </c>
      <c r="F947" t="str">
        <f>IF(AND(Entities[[#This Row],[ENT_TYPE]]="County",RIGHT(Entities[[#This Row],[ENT_NAME]],6)&lt;&gt;"County"),_xlfn.TEXTJOIN(" ",TRUE,Entities[[#This Row],[ENT_NAME]],"County"),Entities[[#This Row],[ENT_NAME]])</f>
        <v>Gulf Coast Protection District</v>
      </c>
    </row>
    <row r="948" spans="1:6" x14ac:dyDescent="0.25">
      <c r="A948" s="302" t="s">
        <v>5649</v>
      </c>
      <c r="B948" s="303" t="str">
        <f t="shared" si="14"/>
        <v>x00004001</v>
      </c>
      <c r="C948" t="s">
        <v>4</v>
      </c>
      <c r="D948" t="s">
        <v>5650</v>
      </c>
      <c r="E948">
        <v>0</v>
      </c>
      <c r="F948" t="str">
        <f>IF(AND(Entities[[#This Row],[ENT_TYPE]]="County",RIGHT(Entities[[#This Row],[ENT_NAME]],6)&lt;&gt;"County"),_xlfn.TEXTJOIN(" ",TRUE,Entities[[#This Row],[ENT_NAME]],"County"),Entities[[#This Row],[ENT_NAME]])</f>
        <v>Gulf Coast Protection District</v>
      </c>
    </row>
    <row r="949" spans="1:6" x14ac:dyDescent="0.25">
      <c r="A949" s="302" t="s">
        <v>5649</v>
      </c>
      <c r="B949" s="303" t="str">
        <f t="shared" si="14"/>
        <v>x00004001</v>
      </c>
      <c r="C949" t="s">
        <v>4</v>
      </c>
      <c r="D949" t="s">
        <v>5650</v>
      </c>
      <c r="E949">
        <v>6</v>
      </c>
      <c r="F949" t="str">
        <f>IF(AND(Entities[[#This Row],[ENT_TYPE]]="County",RIGHT(Entities[[#This Row],[ENT_NAME]],6)&lt;&gt;"County"),_xlfn.TEXTJOIN(" ",TRUE,Entities[[#This Row],[ENT_NAME]],"County"),Entities[[#This Row],[ENT_NAME]])</f>
        <v>Gulf Coast Protection District</v>
      </c>
    </row>
    <row r="950" spans="1:6" x14ac:dyDescent="0.25">
      <c r="A950" s="304" t="s">
        <v>2975</v>
      </c>
      <c r="B950" s="303" t="str">
        <f t="shared" si="14"/>
        <v>x00004002</v>
      </c>
      <c r="C950" t="s">
        <v>4</v>
      </c>
      <c r="D950" t="s">
        <v>5651</v>
      </c>
      <c r="E950">
        <v>6</v>
      </c>
      <c r="F950" t="str">
        <f>IF(AND(Entities[[#This Row],[ENT_TYPE]]="County",RIGHT(Entities[[#This Row],[ENT_NAME]],6)&lt;&gt;"County"),_xlfn.TEXTJOIN(" ",TRUE,Entities[[#This Row],[ENT_NAME]],"County"),Entities[[#This Row],[ENT_NAME]])</f>
        <v>Coastal Prairie Conservancy</v>
      </c>
    </row>
    <row r="951" spans="1:6" x14ac:dyDescent="0.25">
      <c r="A951" s="302" t="s">
        <v>5652</v>
      </c>
      <c r="B951" s="303" t="str">
        <f t="shared" si="14"/>
        <v>x00004003</v>
      </c>
      <c r="C951" t="s">
        <v>4</v>
      </c>
      <c r="D951" t="s">
        <v>5653</v>
      </c>
      <c r="E951">
        <v>1</v>
      </c>
      <c r="F951" t="str">
        <f>IF(AND(Entities[[#This Row],[ENT_TYPE]]="County",RIGHT(Entities[[#This Row],[ENT_NAME]],6)&lt;&gt;"County"),_xlfn.TEXTJOIN(" ",TRUE,Entities[[#This Row],[ENT_NAME]],"County"),Entities[[#This Row],[ENT_NAME]])</f>
        <v>Upper Elm-Red SWCD</v>
      </c>
    </row>
    <row r="952" spans="1:6" x14ac:dyDescent="0.25">
      <c r="A952" s="302" t="s">
        <v>5652</v>
      </c>
      <c r="B952" s="303" t="str">
        <f t="shared" si="14"/>
        <v>x00004003</v>
      </c>
      <c r="C952" t="s">
        <v>4</v>
      </c>
      <c r="D952" t="s">
        <v>5653</v>
      </c>
      <c r="E952">
        <v>3</v>
      </c>
      <c r="F952" t="str">
        <f>IF(AND(Entities[[#This Row],[ENT_TYPE]]="County",RIGHT(Entities[[#This Row],[ENT_NAME]],6)&lt;&gt;"County"),_xlfn.TEXTJOIN(" ",TRUE,Entities[[#This Row],[ENT_NAME]],"County"),Entities[[#This Row],[ENT_NAME]])</f>
        <v>Upper Elm-Red SWCD</v>
      </c>
    </row>
    <row r="953" spans="1:6" x14ac:dyDescent="0.25">
      <c r="A953" s="302" t="s">
        <v>5654</v>
      </c>
      <c r="B953" s="303" t="str">
        <f t="shared" si="14"/>
        <v>x00004004</v>
      </c>
      <c r="C953" t="s">
        <v>4</v>
      </c>
      <c r="D953" t="s">
        <v>5655</v>
      </c>
      <c r="E953">
        <v>3</v>
      </c>
      <c r="F953" t="str">
        <f>IF(AND(Entities[[#This Row],[ENT_TYPE]]="County",RIGHT(Entities[[#This Row],[ENT_NAME]],6)&lt;&gt;"County"),_xlfn.TEXTJOIN(" ",TRUE,Entities[[#This Row],[ENT_NAME]],"County"),Entities[[#This Row],[ENT_NAME]])</f>
        <v>Kaufman-Van Zandt SWCD</v>
      </c>
    </row>
    <row r="954" spans="1:6" x14ac:dyDescent="0.25">
      <c r="A954" s="302" t="s">
        <v>5656</v>
      </c>
      <c r="B954" s="303" t="str">
        <f t="shared" si="14"/>
        <v>x00004005</v>
      </c>
      <c r="C954" t="s">
        <v>4</v>
      </c>
      <c r="D954" t="s">
        <v>5657</v>
      </c>
      <c r="E954">
        <v>3</v>
      </c>
      <c r="F954" t="str">
        <f>IF(AND(Entities[[#This Row],[ENT_TYPE]]="County",RIGHT(Entities[[#This Row],[ENT_NAME]],6)&lt;&gt;"County"),_xlfn.TEXTJOIN(" ",TRUE,Entities[[#This Row],[ENT_NAME]],"County"),Entities[[#This Row],[ENT_NAME]])</f>
        <v>Jack SWCD</v>
      </c>
    </row>
    <row r="955" spans="1:6" x14ac:dyDescent="0.25">
      <c r="A955" s="302" t="s">
        <v>5658</v>
      </c>
      <c r="B955" s="303" t="str">
        <f t="shared" si="14"/>
        <v>x00004006</v>
      </c>
      <c r="C955" t="s">
        <v>4</v>
      </c>
      <c r="D955" t="s">
        <v>5659</v>
      </c>
      <c r="E955">
        <v>3</v>
      </c>
      <c r="F955" t="str">
        <f>IF(AND(Entities[[#This Row],[ENT_TYPE]]="County",RIGHT(Entities[[#This Row],[ENT_NAME]],6)&lt;&gt;"County"),_xlfn.TEXTJOIN(" ",TRUE,Entities[[#This Row],[ENT_NAME]],"County"),Entities[[#This Row],[ENT_NAME]])</f>
        <v>Collin County SWCD</v>
      </c>
    </row>
    <row r="956" spans="1:6" x14ac:dyDescent="0.25">
      <c r="A956" s="302" t="s">
        <v>5660</v>
      </c>
      <c r="B956" s="303" t="str">
        <f t="shared" si="14"/>
        <v>x00004007</v>
      </c>
      <c r="C956" t="s">
        <v>4</v>
      </c>
      <c r="D956" t="s">
        <v>5661</v>
      </c>
      <c r="E956">
        <v>3</v>
      </c>
      <c r="F956" t="str">
        <f>IF(AND(Entities[[#This Row],[ENT_TYPE]]="County",RIGHT(Entities[[#This Row],[ENT_NAME]],6)&lt;&gt;"County"),_xlfn.TEXTJOIN(" ",TRUE,Entities[[#This Row],[ENT_NAME]],"County"),Entities[[#This Row],[ENT_NAME]])</f>
        <v>Upper Sabine SWCD</v>
      </c>
    </row>
    <row r="957" spans="1:6" x14ac:dyDescent="0.25">
      <c r="A957" s="302" t="s">
        <v>4546</v>
      </c>
      <c r="B957" s="303" t="str">
        <f t="shared" si="14"/>
        <v>x00004008</v>
      </c>
      <c r="C957" t="s">
        <v>4</v>
      </c>
      <c r="D957" t="s">
        <v>5662</v>
      </c>
      <c r="E957">
        <v>3</v>
      </c>
      <c r="F957" t="str">
        <f>IF(AND(Entities[[#This Row],[ENT_TYPE]]="County",RIGHT(Entities[[#This Row],[ENT_NAME]],6)&lt;&gt;"County"),_xlfn.TEXTJOIN(" ",TRUE,Entities[[#This Row],[ENT_NAME]],"County"),Entities[[#This Row],[ENT_NAME]])</f>
        <v>The Nature Conservancy</v>
      </c>
    </row>
    <row r="958" spans="1:6" x14ac:dyDescent="0.25">
      <c r="A958" s="302" t="s">
        <v>5663</v>
      </c>
      <c r="B958" s="303" t="str">
        <f t="shared" si="14"/>
        <v>x00004009</v>
      </c>
      <c r="C958" t="s">
        <v>4</v>
      </c>
      <c r="D958" t="s">
        <v>5664</v>
      </c>
      <c r="E958">
        <v>7</v>
      </c>
      <c r="F958" t="str">
        <f>IF(AND(Entities[[#This Row],[ENT_TYPE]]="County",RIGHT(Entities[[#This Row],[ENT_NAME]],6)&lt;&gt;"County"),_xlfn.TEXTJOIN(" ",TRUE,Entities[[#This Row],[ENT_NAME]],"County"),Entities[[#This Row],[ENT_NAME]])</f>
        <v>Hale County SWCD</v>
      </c>
    </row>
    <row r="959" spans="1:6" x14ac:dyDescent="0.25">
      <c r="A959" s="304" t="s">
        <v>5665</v>
      </c>
      <c r="B959" s="303" t="str">
        <f t="shared" si="14"/>
        <v>x00004010</v>
      </c>
      <c r="C959" t="s">
        <v>4</v>
      </c>
      <c r="D959" t="s">
        <v>5666</v>
      </c>
      <c r="E959">
        <v>7</v>
      </c>
      <c r="F959" t="str">
        <f>IF(AND(Entities[[#This Row],[ENT_TYPE]]="County",RIGHT(Entities[[#This Row],[ENT_NAME]],6)&lt;&gt;"County"),_xlfn.TEXTJOIN(" ",TRUE,Entities[[#This Row],[ENT_NAME]],"County"),Entities[[#This Row],[ENT_NAME]])</f>
        <v>Running Water SWCD</v>
      </c>
    </row>
    <row r="960" spans="1:6" x14ac:dyDescent="0.25">
      <c r="A960" s="302" t="s">
        <v>5667</v>
      </c>
      <c r="B960" s="303" t="str">
        <f t="shared" si="14"/>
        <v>x00004011</v>
      </c>
      <c r="C960" t="s">
        <v>4</v>
      </c>
      <c r="D960" t="s">
        <v>5668</v>
      </c>
      <c r="E960">
        <v>7</v>
      </c>
      <c r="F960" t="str">
        <f>IF(AND(Entities[[#This Row],[ENT_TYPE]]="County",RIGHT(Entities[[#This Row],[ENT_NAME]],6)&lt;&gt;"County"),_xlfn.TEXTJOIN(" ",TRUE,Entities[[#This Row],[ENT_NAME]],"County"),Entities[[#This Row],[ENT_NAME]])</f>
        <v>Parmer SWCD</v>
      </c>
    </row>
    <row r="961" spans="1:6" x14ac:dyDescent="0.25">
      <c r="A961" s="302" t="s">
        <v>5669</v>
      </c>
      <c r="B961" s="303" t="str">
        <f t="shared" si="14"/>
        <v>x00004012</v>
      </c>
      <c r="C961" t="s">
        <v>4</v>
      </c>
      <c r="D961" t="s">
        <v>5670</v>
      </c>
      <c r="E961">
        <v>3</v>
      </c>
      <c r="F961" t="str">
        <f>IF(AND(Entities[[#This Row],[ENT_TYPE]]="County",RIGHT(Entities[[#This Row],[ENT_NAME]],6)&lt;&gt;"County"),_xlfn.TEXTJOIN(" ",TRUE,Entities[[#This Row],[ENT_NAME]],"County"),Entities[[#This Row],[ENT_NAME]])</f>
        <v>Fannin County SWCD</v>
      </c>
    </row>
    <row r="962" spans="1:6" x14ac:dyDescent="0.25">
      <c r="A962" s="304" t="s">
        <v>1511</v>
      </c>
      <c r="B962" s="303" t="str">
        <f t="shared" ref="B962:B1025" si="15">_xlfn.CONCAT("x",TEXT(A962,"00000000"))</f>
        <v>x01000195</v>
      </c>
      <c r="C962" t="s">
        <v>4947</v>
      </c>
      <c r="D962" t="s">
        <v>1206</v>
      </c>
      <c r="E962">
        <v>1</v>
      </c>
      <c r="F962" t="str">
        <f>IF(AND(Entities[[#This Row],[ENT_TYPE]]="County",RIGHT(Entities[[#This Row],[ENT_NAME]],6)&lt;&gt;"County"),_xlfn.TEXTJOIN(" ",TRUE,Entities[[#This Row],[ENT_NAME]],"County"),Entities[[#This Row],[ENT_NAME]])</f>
        <v>Wichita County</v>
      </c>
    </row>
    <row r="963" spans="1:6" x14ac:dyDescent="0.25">
      <c r="A963" s="302" t="s">
        <v>5671</v>
      </c>
      <c r="B963" s="303" t="str">
        <f t="shared" si="15"/>
        <v>x01000196</v>
      </c>
      <c r="C963" t="s">
        <v>4947</v>
      </c>
      <c r="D963" t="s">
        <v>5672</v>
      </c>
      <c r="E963">
        <v>1</v>
      </c>
      <c r="F963" t="str">
        <f>IF(AND(Entities[[#This Row],[ENT_TYPE]]="County",RIGHT(Entities[[#This Row],[ENT_NAME]],6)&lt;&gt;"County"),_xlfn.TEXTJOIN(" ",TRUE,Entities[[#This Row],[ENT_NAME]],"County"),Entities[[#This Row],[ENT_NAME]])</f>
        <v>Foard County</v>
      </c>
    </row>
    <row r="964" spans="1:6" x14ac:dyDescent="0.25">
      <c r="A964" s="304" t="s">
        <v>1325</v>
      </c>
      <c r="B964" s="303" t="str">
        <f t="shared" si="15"/>
        <v>x01000197</v>
      </c>
      <c r="C964" t="s">
        <v>4947</v>
      </c>
      <c r="D964" t="s">
        <v>1322</v>
      </c>
      <c r="E964">
        <v>1</v>
      </c>
      <c r="F964" t="str">
        <f>IF(AND(Entities[[#This Row],[ENT_TYPE]]="County",RIGHT(Entities[[#This Row],[ENT_NAME]],6)&lt;&gt;"County"),_xlfn.TEXTJOIN(" ",TRUE,Entities[[#This Row],[ENT_NAME]],"County"),Entities[[#This Row],[ENT_NAME]])</f>
        <v>Cottle County</v>
      </c>
    </row>
    <row r="965" spans="1:6" x14ac:dyDescent="0.25">
      <c r="A965" s="302" t="s">
        <v>5673</v>
      </c>
      <c r="B965" s="303" t="str">
        <f t="shared" si="15"/>
        <v>x01000198</v>
      </c>
      <c r="C965" t="s">
        <v>4947</v>
      </c>
      <c r="D965" t="s">
        <v>1313</v>
      </c>
      <c r="E965">
        <v>1</v>
      </c>
      <c r="F965" t="str">
        <f>IF(AND(Entities[[#This Row],[ENT_TYPE]]="County",RIGHT(Entities[[#This Row],[ENT_NAME]],6)&lt;&gt;"County"),_xlfn.TEXTJOIN(" ",TRUE,Entities[[#This Row],[ENT_NAME]],"County"),Entities[[#This Row],[ENT_NAME]])</f>
        <v>Motley County</v>
      </c>
    </row>
    <row r="966" spans="1:6" x14ac:dyDescent="0.25">
      <c r="A966" s="304" t="s">
        <v>5674</v>
      </c>
      <c r="B966" s="303" t="str">
        <f t="shared" si="15"/>
        <v>x01000203</v>
      </c>
      <c r="C966" t="s">
        <v>4947</v>
      </c>
      <c r="D966" t="s">
        <v>5675</v>
      </c>
      <c r="E966">
        <v>1</v>
      </c>
      <c r="F966" t="str">
        <f>IF(AND(Entities[[#This Row],[ENT_TYPE]]="County",RIGHT(Entities[[#This Row],[ENT_NAME]],6)&lt;&gt;"County"),_xlfn.TEXTJOIN(" ",TRUE,Entities[[#This Row],[ENT_NAME]],"County"),Entities[[#This Row],[ENT_NAME]])</f>
        <v>Wilbarger County</v>
      </c>
    </row>
    <row r="967" spans="1:6" x14ac:dyDescent="0.25">
      <c r="A967" s="302" t="s">
        <v>1331</v>
      </c>
      <c r="B967" s="303" t="str">
        <f t="shared" si="15"/>
        <v>x01000204</v>
      </c>
      <c r="C967" t="s">
        <v>4947</v>
      </c>
      <c r="D967" t="s">
        <v>1239</v>
      </c>
      <c r="E967">
        <v>1</v>
      </c>
      <c r="F967" t="str">
        <f>IF(AND(Entities[[#This Row],[ENT_TYPE]]="County",RIGHT(Entities[[#This Row],[ENT_NAME]],6)&lt;&gt;"County"),_xlfn.TEXTJOIN(" ",TRUE,Entities[[#This Row],[ENT_NAME]],"County"),Entities[[#This Row],[ENT_NAME]])</f>
        <v>Hardeman County</v>
      </c>
    </row>
    <row r="968" spans="1:6" x14ac:dyDescent="0.25">
      <c r="A968" s="304" t="s">
        <v>1346</v>
      </c>
      <c r="B968" s="303" t="str">
        <f t="shared" si="15"/>
        <v>x01000226</v>
      </c>
      <c r="C968" t="s">
        <v>4947</v>
      </c>
      <c r="D968" t="s">
        <v>1296</v>
      </c>
      <c r="E968">
        <v>1</v>
      </c>
      <c r="F968" t="str">
        <f>IF(AND(Entities[[#This Row],[ENT_TYPE]]="County",RIGHT(Entities[[#This Row],[ENT_NAME]],6)&lt;&gt;"County"),_xlfn.TEXTJOIN(" ",TRUE,Entities[[#This Row],[ENT_NAME]],"County"),Entities[[#This Row],[ENT_NAME]])</f>
        <v>Carson County</v>
      </c>
    </row>
    <row r="969" spans="1:6" x14ac:dyDescent="0.25">
      <c r="A969" s="302" t="s">
        <v>5676</v>
      </c>
      <c r="B969" s="303" t="str">
        <f t="shared" si="15"/>
        <v>x01000227</v>
      </c>
      <c r="C969" t="s">
        <v>4947</v>
      </c>
      <c r="D969" t="s">
        <v>5677</v>
      </c>
      <c r="E969">
        <v>1</v>
      </c>
      <c r="F969" t="str">
        <f>IF(AND(Entities[[#This Row],[ENT_TYPE]]="County",RIGHT(Entities[[#This Row],[ENT_NAME]],6)&lt;&gt;"County"),_xlfn.TEXTJOIN(" ",TRUE,Entities[[#This Row],[ENT_NAME]],"County"),Entities[[#This Row],[ENT_NAME]])</f>
        <v>Potter County</v>
      </c>
    </row>
    <row r="970" spans="1:6" x14ac:dyDescent="0.25">
      <c r="A970" s="304" t="s">
        <v>5678</v>
      </c>
      <c r="B970" s="303" t="str">
        <f t="shared" si="15"/>
        <v>x01000228</v>
      </c>
      <c r="C970" t="s">
        <v>4947</v>
      </c>
      <c r="D970" t="s">
        <v>1197</v>
      </c>
      <c r="E970">
        <v>1</v>
      </c>
      <c r="F970" t="str">
        <f>IF(AND(Entities[[#This Row],[ENT_TYPE]]="County",RIGHT(Entities[[#This Row],[ENT_NAME]],6)&lt;&gt;"County"),_xlfn.TEXTJOIN(" ",TRUE,Entities[[#This Row],[ENT_NAME]],"County"),Entities[[#This Row],[ENT_NAME]])</f>
        <v>Oldham County</v>
      </c>
    </row>
    <row r="971" spans="1:6" x14ac:dyDescent="0.25">
      <c r="A971" s="302" t="s">
        <v>1353</v>
      </c>
      <c r="B971" s="303" t="str">
        <f t="shared" si="15"/>
        <v>x01000229</v>
      </c>
      <c r="C971" t="s">
        <v>4947</v>
      </c>
      <c r="D971" t="s">
        <v>1350</v>
      </c>
      <c r="E971">
        <v>1</v>
      </c>
      <c r="F971" t="str">
        <f>IF(AND(Entities[[#This Row],[ENT_TYPE]]="County",RIGHT(Entities[[#This Row],[ENT_NAME]],6)&lt;&gt;"County"),_xlfn.TEXTJOIN(" ",TRUE,Entities[[#This Row],[ENT_NAME]],"County"),Entities[[#This Row],[ENT_NAME]])</f>
        <v>Hemphill County</v>
      </c>
    </row>
    <row r="972" spans="1:6" x14ac:dyDescent="0.25">
      <c r="A972" s="304" t="s">
        <v>1359</v>
      </c>
      <c r="B972" s="303" t="str">
        <f t="shared" si="15"/>
        <v>x01000230</v>
      </c>
      <c r="C972" t="s">
        <v>4947</v>
      </c>
      <c r="D972" t="s">
        <v>1288</v>
      </c>
      <c r="E972">
        <v>1</v>
      </c>
      <c r="F972" t="str">
        <f>IF(AND(Entities[[#This Row],[ENT_TYPE]]="County",RIGHT(Entities[[#This Row],[ENT_NAME]],6)&lt;&gt;"County"),_xlfn.TEXTJOIN(" ",TRUE,Entities[[#This Row],[ENT_NAME]],"County"),Entities[[#This Row],[ENT_NAME]])</f>
        <v>Roberts County</v>
      </c>
    </row>
    <row r="973" spans="1:6" x14ac:dyDescent="0.25">
      <c r="A973" s="302" t="s">
        <v>1365</v>
      </c>
      <c r="B973" s="303" t="str">
        <f t="shared" si="15"/>
        <v>x01000231</v>
      </c>
      <c r="C973" t="s">
        <v>4947</v>
      </c>
      <c r="D973" t="s">
        <v>1264</v>
      </c>
      <c r="E973">
        <v>1</v>
      </c>
      <c r="F973" t="str">
        <f>IF(AND(Entities[[#This Row],[ENT_TYPE]]="County",RIGHT(Entities[[#This Row],[ENT_NAME]],6)&lt;&gt;"County"),_xlfn.TEXTJOIN(" ",TRUE,Entities[[#This Row],[ENT_NAME]],"County"),Entities[[#This Row],[ENT_NAME]])</f>
        <v>Hutchinson County</v>
      </c>
    </row>
    <row r="974" spans="1:6" x14ac:dyDescent="0.25">
      <c r="A974" s="304" t="s">
        <v>1372</v>
      </c>
      <c r="B974" s="303" t="str">
        <f t="shared" si="15"/>
        <v>x01000232</v>
      </c>
      <c r="C974" t="s">
        <v>4947</v>
      </c>
      <c r="D974" t="s">
        <v>1369</v>
      </c>
      <c r="E974">
        <v>1</v>
      </c>
      <c r="F974" t="str">
        <f>IF(AND(Entities[[#This Row],[ENT_TYPE]]="County",RIGHT(Entities[[#This Row],[ENT_NAME]],6)&lt;&gt;"County"),_xlfn.TEXTJOIN(" ",TRUE,Entities[[#This Row],[ENT_NAME]],"County"),Entities[[#This Row],[ENT_NAME]])</f>
        <v>Moore County</v>
      </c>
    </row>
    <row r="975" spans="1:6" x14ac:dyDescent="0.25">
      <c r="A975" s="302" t="s">
        <v>1379</v>
      </c>
      <c r="B975" s="303" t="str">
        <f t="shared" si="15"/>
        <v>x01000233</v>
      </c>
      <c r="C975" t="s">
        <v>4947</v>
      </c>
      <c r="D975" t="s">
        <v>1376</v>
      </c>
      <c r="E975">
        <v>1</v>
      </c>
      <c r="F975" t="str">
        <f>IF(AND(Entities[[#This Row],[ENT_TYPE]]="County",RIGHT(Entities[[#This Row],[ENT_NAME]],6)&lt;&gt;"County"),_xlfn.TEXTJOIN(" ",TRUE,Entities[[#This Row],[ENT_NAME]],"County"),Entities[[#This Row],[ENT_NAME]])</f>
        <v>Hartley County</v>
      </c>
    </row>
    <row r="976" spans="1:6" x14ac:dyDescent="0.25">
      <c r="A976" s="304" t="s">
        <v>5679</v>
      </c>
      <c r="B976" s="303" t="str">
        <f t="shared" si="15"/>
        <v>x01000234</v>
      </c>
      <c r="C976" t="s">
        <v>4947</v>
      </c>
      <c r="D976" t="s">
        <v>5680</v>
      </c>
      <c r="E976">
        <v>1</v>
      </c>
      <c r="F976" t="str">
        <f>IF(AND(Entities[[#This Row],[ENT_TYPE]]="County",RIGHT(Entities[[#This Row],[ENT_NAME]],6)&lt;&gt;"County"),_xlfn.TEXTJOIN(" ",TRUE,Entities[[#This Row],[ENT_NAME]],"County"),Entities[[#This Row],[ENT_NAME]])</f>
        <v>Childress County</v>
      </c>
    </row>
    <row r="977" spans="1:6" x14ac:dyDescent="0.25">
      <c r="A977" s="302" t="s">
        <v>5681</v>
      </c>
      <c r="B977" s="303" t="str">
        <f t="shared" si="15"/>
        <v>x01000235</v>
      </c>
      <c r="C977" t="s">
        <v>4947</v>
      </c>
      <c r="D977" t="s">
        <v>1157</v>
      </c>
      <c r="E977">
        <v>1</v>
      </c>
      <c r="F977" t="str">
        <f>IF(AND(Entities[[#This Row],[ENT_TYPE]]="County",RIGHT(Entities[[#This Row],[ENT_NAME]],6)&lt;&gt;"County"),_xlfn.TEXTJOIN(" ",TRUE,Entities[[#This Row],[ENT_NAME]],"County"),Entities[[#This Row],[ENT_NAME]])</f>
        <v>Hall County</v>
      </c>
    </row>
    <row r="978" spans="1:6" x14ac:dyDescent="0.25">
      <c r="A978" s="304" t="s">
        <v>1385</v>
      </c>
      <c r="B978" s="303" t="str">
        <f t="shared" si="15"/>
        <v>x01000236</v>
      </c>
      <c r="C978" t="s">
        <v>4947</v>
      </c>
      <c r="D978" t="s">
        <v>1092</v>
      </c>
      <c r="E978">
        <v>1</v>
      </c>
      <c r="F978" t="str">
        <f>IF(AND(Entities[[#This Row],[ENT_TYPE]]="County",RIGHT(Entities[[#This Row],[ENT_NAME]],6)&lt;&gt;"County"),_xlfn.TEXTJOIN(" ",TRUE,Entities[[#This Row],[ENT_NAME]],"County"),Entities[[#This Row],[ENT_NAME]])</f>
        <v>Briscoe County</v>
      </c>
    </row>
    <row r="979" spans="1:6" x14ac:dyDescent="0.25">
      <c r="A979" s="304" t="s">
        <v>5682</v>
      </c>
      <c r="B979" s="303" t="str">
        <f t="shared" si="15"/>
        <v>x01000240</v>
      </c>
      <c r="C979" t="s">
        <v>4947</v>
      </c>
      <c r="D979" t="s">
        <v>1215</v>
      </c>
      <c r="E979">
        <v>1</v>
      </c>
      <c r="F979" t="str">
        <f>IF(AND(Entities[[#This Row],[ENT_TYPE]]="County",RIGHT(Entities[[#This Row],[ENT_NAME]],6)&lt;&gt;"County"),_xlfn.TEXTJOIN(" ",TRUE,Entities[[#This Row],[ENT_NAME]],"County"),Entities[[#This Row],[ENT_NAME]])</f>
        <v>Collingsworth County</v>
      </c>
    </row>
    <row r="980" spans="1:6" x14ac:dyDescent="0.25">
      <c r="A980" s="302" t="s">
        <v>1391</v>
      </c>
      <c r="B980" s="303" t="str">
        <f t="shared" si="15"/>
        <v>x01000241</v>
      </c>
      <c r="C980" t="s">
        <v>4947</v>
      </c>
      <c r="D980" t="s">
        <v>1130</v>
      </c>
      <c r="E980">
        <v>1</v>
      </c>
      <c r="F980" t="str">
        <f>IF(AND(Entities[[#This Row],[ENT_TYPE]]="County",RIGHT(Entities[[#This Row],[ENT_NAME]],6)&lt;&gt;"County"),_xlfn.TEXTJOIN(" ",TRUE,Entities[[#This Row],[ENT_NAME]],"County"),Entities[[#This Row],[ENT_NAME]])</f>
        <v>Donley County</v>
      </c>
    </row>
    <row r="981" spans="1:6" x14ac:dyDescent="0.25">
      <c r="A981" s="304" t="s">
        <v>1397</v>
      </c>
      <c r="B981" s="303" t="str">
        <f t="shared" si="15"/>
        <v>x01000242</v>
      </c>
      <c r="C981" t="s">
        <v>4947</v>
      </c>
      <c r="D981" t="s">
        <v>1304</v>
      </c>
      <c r="E981">
        <v>1</v>
      </c>
      <c r="F981" t="str">
        <f>IF(AND(Entities[[#This Row],[ENT_TYPE]]="County",RIGHT(Entities[[#This Row],[ENT_NAME]],6)&lt;&gt;"County"),_xlfn.TEXTJOIN(" ",TRUE,Entities[[#This Row],[ENT_NAME]],"County"),Entities[[#This Row],[ENT_NAME]])</f>
        <v>Armstrong County</v>
      </c>
    </row>
    <row r="982" spans="1:6" x14ac:dyDescent="0.25">
      <c r="A982" s="302" t="s">
        <v>5683</v>
      </c>
      <c r="B982" s="303" t="str">
        <f t="shared" si="15"/>
        <v>x01000243</v>
      </c>
      <c r="C982" t="s">
        <v>4947</v>
      </c>
      <c r="D982" t="s">
        <v>1457</v>
      </c>
      <c r="E982">
        <v>1</v>
      </c>
      <c r="F982" t="str">
        <f>IF(AND(Entities[[#This Row],[ENT_TYPE]]="County",RIGHT(Entities[[#This Row],[ENT_NAME]],6)&lt;&gt;"County"),_xlfn.TEXTJOIN(" ",TRUE,Entities[[#This Row],[ENT_NAME]],"County"),Entities[[#This Row],[ENT_NAME]])</f>
        <v>Randall County</v>
      </c>
    </row>
    <row r="983" spans="1:6" x14ac:dyDescent="0.25">
      <c r="A983" s="304" t="s">
        <v>1444</v>
      </c>
      <c r="B983" s="303" t="str">
        <f t="shared" si="15"/>
        <v>x01000244</v>
      </c>
      <c r="C983" t="s">
        <v>4947</v>
      </c>
      <c r="D983" t="s">
        <v>1441</v>
      </c>
      <c r="E983">
        <v>1</v>
      </c>
      <c r="F983" t="str">
        <f>IF(AND(Entities[[#This Row],[ENT_TYPE]]="County",RIGHT(Entities[[#This Row],[ENT_NAME]],6)&lt;&gt;"County"),_xlfn.TEXTJOIN(" ",TRUE,Entities[[#This Row],[ENT_NAME]],"County"),Entities[[#This Row],[ENT_NAME]])</f>
        <v>Deaf Smith County</v>
      </c>
    </row>
    <row r="984" spans="1:6" x14ac:dyDescent="0.25">
      <c r="A984" s="302" t="s">
        <v>1402</v>
      </c>
      <c r="B984" s="303" t="str">
        <f t="shared" si="15"/>
        <v>x01000245</v>
      </c>
      <c r="C984" t="s">
        <v>4947</v>
      </c>
      <c r="D984" t="s">
        <v>1121</v>
      </c>
      <c r="E984">
        <v>1</v>
      </c>
      <c r="F984" t="str">
        <f>IF(AND(Entities[[#This Row],[ENT_TYPE]]="County",RIGHT(Entities[[#This Row],[ENT_NAME]],6)&lt;&gt;"County"),_xlfn.TEXTJOIN(" ",TRUE,Entities[[#This Row],[ENT_NAME]],"County"),Entities[[#This Row],[ENT_NAME]])</f>
        <v>Wheeler County</v>
      </c>
    </row>
    <row r="985" spans="1:6" x14ac:dyDescent="0.25">
      <c r="A985" s="304" t="s">
        <v>5684</v>
      </c>
      <c r="B985" s="303" t="str">
        <f t="shared" si="15"/>
        <v>x01000246</v>
      </c>
      <c r="C985" t="s">
        <v>4947</v>
      </c>
      <c r="D985" t="s">
        <v>1255</v>
      </c>
      <c r="E985">
        <v>1</v>
      </c>
      <c r="F985" t="str">
        <f>IF(AND(Entities[[#This Row],[ENT_TYPE]]="County",RIGHT(Entities[[#This Row],[ENT_NAME]],6)&lt;&gt;"County"),_xlfn.TEXTJOIN(" ",TRUE,Entities[[#This Row],[ENT_NAME]],"County"),Entities[[#This Row],[ENT_NAME]])</f>
        <v>Gray County</v>
      </c>
    </row>
    <row r="986" spans="1:6" x14ac:dyDescent="0.25">
      <c r="A986" s="302" t="s">
        <v>1408</v>
      </c>
      <c r="B986" s="303" t="str">
        <f t="shared" si="15"/>
        <v>x01000247</v>
      </c>
      <c r="C986" t="s">
        <v>4947</v>
      </c>
      <c r="D986" t="s">
        <v>1148</v>
      </c>
      <c r="E986">
        <v>1</v>
      </c>
      <c r="F986" t="str">
        <f>IF(AND(Entities[[#This Row],[ENT_TYPE]]="County",RIGHT(Entities[[#This Row],[ENT_NAME]],6)&lt;&gt;"County"),_xlfn.TEXTJOIN(" ",TRUE,Entities[[#This Row],[ENT_NAME]],"County"),Entities[[#This Row],[ENT_NAME]])</f>
        <v>Sherman County</v>
      </c>
    </row>
    <row r="987" spans="1:6" x14ac:dyDescent="0.25">
      <c r="A987" s="304" t="s">
        <v>1415</v>
      </c>
      <c r="B987" s="303" t="str">
        <f t="shared" si="15"/>
        <v>x01000248</v>
      </c>
      <c r="C987" t="s">
        <v>4947</v>
      </c>
      <c r="D987" t="s">
        <v>1412</v>
      </c>
      <c r="E987">
        <v>1</v>
      </c>
      <c r="F987" t="str">
        <f>IF(AND(Entities[[#This Row],[ENT_TYPE]]="County",RIGHT(Entities[[#This Row],[ENT_NAME]],6)&lt;&gt;"County"),_xlfn.TEXTJOIN(" ",TRUE,Entities[[#This Row],[ENT_NAME]],"County"),Entities[[#This Row],[ENT_NAME]])</f>
        <v>Dallam County</v>
      </c>
    </row>
    <row r="988" spans="1:6" x14ac:dyDescent="0.25">
      <c r="A988" s="302" t="s">
        <v>1422</v>
      </c>
      <c r="B988" s="303" t="str">
        <f t="shared" si="15"/>
        <v>x01000250</v>
      </c>
      <c r="C988" t="s">
        <v>4947</v>
      </c>
      <c r="D988" t="s">
        <v>1419</v>
      </c>
      <c r="E988">
        <v>1</v>
      </c>
      <c r="F988" t="str">
        <f>IF(AND(Entities[[#This Row],[ENT_TYPE]]="County",RIGHT(Entities[[#This Row],[ENT_NAME]],6)&lt;&gt;"County"),_xlfn.TEXTJOIN(" ",TRUE,Entities[[#This Row],[ENT_NAME]],"County"),Entities[[#This Row],[ENT_NAME]])</f>
        <v>Lipscomb County</v>
      </c>
    </row>
    <row r="989" spans="1:6" x14ac:dyDescent="0.25">
      <c r="A989" s="304" t="s">
        <v>1428</v>
      </c>
      <c r="B989" s="303" t="str">
        <f t="shared" si="15"/>
        <v>x01000251</v>
      </c>
      <c r="C989" t="s">
        <v>4947</v>
      </c>
      <c r="D989" t="s">
        <v>1279</v>
      </c>
      <c r="E989">
        <v>1</v>
      </c>
      <c r="F989" t="str">
        <f>IF(AND(Entities[[#This Row],[ENT_TYPE]]="County",RIGHT(Entities[[#This Row],[ENT_NAME]],6)&lt;&gt;"County"),_xlfn.TEXTJOIN(" ",TRUE,Entities[[#This Row],[ENT_NAME]],"County"),Entities[[#This Row],[ENT_NAME]])</f>
        <v>Ochiltree County</v>
      </c>
    </row>
    <row r="990" spans="1:6" x14ac:dyDescent="0.25">
      <c r="A990" s="302" t="s">
        <v>5685</v>
      </c>
      <c r="B990" s="303" t="str">
        <f t="shared" si="15"/>
        <v>x01000252</v>
      </c>
      <c r="C990" t="s">
        <v>4947</v>
      </c>
      <c r="D990" t="s">
        <v>5686</v>
      </c>
      <c r="E990">
        <v>1</v>
      </c>
      <c r="F990" t="str">
        <f>IF(AND(Entities[[#This Row],[ENT_TYPE]]="County",RIGHT(Entities[[#This Row],[ENT_NAME]],6)&lt;&gt;"County"),_xlfn.TEXTJOIN(" ",TRUE,Entities[[#This Row],[ENT_NAME]],"County"),Entities[[#This Row],[ENT_NAME]])</f>
        <v>Hansford County</v>
      </c>
    </row>
    <row r="991" spans="1:6" x14ac:dyDescent="0.25">
      <c r="A991" s="302" t="s">
        <v>5687</v>
      </c>
      <c r="B991" s="303" t="str">
        <f t="shared" si="15"/>
        <v>x01000305</v>
      </c>
      <c r="C991" t="s">
        <v>5127</v>
      </c>
      <c r="D991" t="s">
        <v>5688</v>
      </c>
      <c r="E991">
        <v>1</v>
      </c>
      <c r="F991" t="str">
        <f>IF(AND(Entities[[#This Row],[ENT_TYPE]]="County",RIGHT(Entities[[#This Row],[ENT_NAME]],6)&lt;&gt;"County"),_xlfn.TEXTJOIN(" ",TRUE,Entities[[#This Row],[ENT_NAME]],"County"),Entities[[#This Row],[ENT_NAME]])</f>
        <v>Mackenzie Municipal Water Authority</v>
      </c>
    </row>
    <row r="992" spans="1:6" x14ac:dyDescent="0.25">
      <c r="A992" s="302" t="s">
        <v>5689</v>
      </c>
      <c r="B992" s="303" t="str">
        <f t="shared" si="15"/>
        <v>x01000312</v>
      </c>
      <c r="C992" t="s">
        <v>4</v>
      </c>
      <c r="D992" t="s">
        <v>5690</v>
      </c>
      <c r="E992">
        <v>1</v>
      </c>
      <c r="F992" t="str">
        <f>IF(AND(Entities[[#This Row],[ENT_TYPE]]="County",RIGHT(Entities[[#This Row],[ENT_NAME]],6)&lt;&gt;"County"),_xlfn.TEXTJOIN(" ",TRUE,Entities[[#This Row],[ENT_NAME]],"County"),Entities[[#This Row],[ENT_NAME]])</f>
        <v>Palo Duro River Authority</v>
      </c>
    </row>
    <row r="993" spans="1:6" x14ac:dyDescent="0.25">
      <c r="A993" s="304" t="s">
        <v>5691</v>
      </c>
      <c r="B993" s="303" t="str">
        <f t="shared" si="15"/>
        <v>x01000330</v>
      </c>
      <c r="C993" t="s">
        <v>4</v>
      </c>
      <c r="D993" t="s">
        <v>5692</v>
      </c>
      <c r="E993">
        <v>1</v>
      </c>
      <c r="F993" t="str">
        <f>IF(AND(Entities[[#This Row],[ENT_TYPE]]="County",RIGHT(Entities[[#This Row],[ENT_NAME]],6)&lt;&gt;"County"),_xlfn.TEXTJOIN(" ",TRUE,Entities[[#This Row],[ENT_NAME]],"County"),Entities[[#This Row],[ENT_NAME]])</f>
        <v>Llano Estacado Water District</v>
      </c>
    </row>
    <row r="994" spans="1:6" x14ac:dyDescent="0.25">
      <c r="A994" s="304" t="s">
        <v>5693</v>
      </c>
      <c r="B994" s="303" t="str">
        <f t="shared" si="15"/>
        <v>x01000342</v>
      </c>
      <c r="C994" t="s">
        <v>4</v>
      </c>
      <c r="D994" t="s">
        <v>5694</v>
      </c>
      <c r="E994">
        <v>1</v>
      </c>
      <c r="F994" t="str">
        <f>IF(AND(Entities[[#This Row],[ENT_TYPE]]="County",RIGHT(Entities[[#This Row],[ENT_NAME]],6)&lt;&gt;"County"),_xlfn.TEXTJOIN(" ",TRUE,Entities[[#This Row],[ENT_NAME]],"County"),Entities[[#This Row],[ENT_NAME]])</f>
        <v>Roberts County FWSD 1</v>
      </c>
    </row>
    <row r="995" spans="1:6" x14ac:dyDescent="0.25">
      <c r="A995" s="304" t="s">
        <v>5695</v>
      </c>
      <c r="B995" s="303" t="str">
        <f t="shared" si="15"/>
        <v>x01000385</v>
      </c>
      <c r="C995" t="s">
        <v>4</v>
      </c>
      <c r="D995" t="s">
        <v>5696</v>
      </c>
      <c r="E995">
        <v>1</v>
      </c>
      <c r="F995" t="str">
        <f>IF(AND(Entities[[#This Row],[ENT_TYPE]]="County",RIGHT(Entities[[#This Row],[ENT_NAME]],6)&lt;&gt;"County"),_xlfn.TEXTJOIN(" ",TRUE,Entities[[#This Row],[ENT_NAME]],"County"),Entities[[#This Row],[ENT_NAME]])</f>
        <v>Randall County MUD 1</v>
      </c>
    </row>
    <row r="996" spans="1:6" x14ac:dyDescent="0.25">
      <c r="A996" s="304" t="s">
        <v>5697</v>
      </c>
      <c r="B996" s="303" t="str">
        <f t="shared" si="15"/>
        <v>x01000572</v>
      </c>
      <c r="C996" t="s">
        <v>4</v>
      </c>
      <c r="D996" t="s">
        <v>5698</v>
      </c>
      <c r="E996">
        <v>1</v>
      </c>
      <c r="F996" t="str">
        <f>IF(AND(Entities[[#This Row],[ENT_TYPE]]="County",RIGHT(Entities[[#This Row],[ENT_NAME]],6)&lt;&gt;"County"),_xlfn.TEXTJOIN(" ",TRUE,Entities[[#This Row],[ENT_NAME]],"County"),Entities[[#This Row],[ENT_NAME]])</f>
        <v>Deaf Smith County FWSD 1</v>
      </c>
    </row>
    <row r="997" spans="1:6" x14ac:dyDescent="0.25">
      <c r="A997" s="302" t="s">
        <v>5699</v>
      </c>
      <c r="B997" s="303" t="str">
        <f t="shared" si="15"/>
        <v>x01000637</v>
      </c>
      <c r="C997" t="s">
        <v>4</v>
      </c>
      <c r="D997" t="s">
        <v>5700</v>
      </c>
      <c r="E997">
        <v>1</v>
      </c>
      <c r="F997" t="str">
        <f>IF(AND(Entities[[#This Row],[ENT_TYPE]]="County",RIGHT(Entities[[#This Row],[ENT_NAME]],6)&lt;&gt;"County"),_xlfn.TEXTJOIN(" ",TRUE,Entities[[#This Row],[ENT_NAME]],"County"),Entities[[#This Row],[ENT_NAME]])</f>
        <v>Wheeler County Water Supply District</v>
      </c>
    </row>
    <row r="998" spans="1:6" x14ac:dyDescent="0.25">
      <c r="A998" s="304" t="s">
        <v>5701</v>
      </c>
      <c r="B998" s="303" t="str">
        <f t="shared" si="15"/>
        <v>x01000671</v>
      </c>
      <c r="C998" t="s">
        <v>4</v>
      </c>
      <c r="D998" t="s">
        <v>5702</v>
      </c>
      <c r="E998">
        <v>1</v>
      </c>
      <c r="F998" t="str">
        <f>IF(AND(Entities[[#This Row],[ENT_TYPE]]="County",RIGHT(Entities[[#This Row],[ENT_NAME]],6)&lt;&gt;"County"),_xlfn.TEXTJOIN(" ",TRUE,Entities[[#This Row],[ENT_NAME]],"County"),Entities[[#This Row],[ENT_NAME]])</f>
        <v>Potter County FWSD 1</v>
      </c>
    </row>
    <row r="999" spans="1:6" x14ac:dyDescent="0.25">
      <c r="A999" s="302" t="s">
        <v>5703</v>
      </c>
      <c r="B999" s="303" t="str">
        <f t="shared" si="15"/>
        <v>x01000694</v>
      </c>
      <c r="C999" t="s">
        <v>4</v>
      </c>
      <c r="D999" t="s">
        <v>5704</v>
      </c>
      <c r="E999">
        <v>1</v>
      </c>
      <c r="F999" t="str">
        <f>IF(AND(Entities[[#This Row],[ENT_TYPE]]="County",RIGHT(Entities[[#This Row],[ENT_NAME]],6)&lt;&gt;"County"),_xlfn.TEXTJOIN(" ",TRUE,Entities[[#This Row],[ENT_NAME]],"County"),Entities[[#This Row],[ENT_NAME]])</f>
        <v>Gray County MUD 1</v>
      </c>
    </row>
    <row r="1000" spans="1:6" x14ac:dyDescent="0.25">
      <c r="A1000" s="302" t="s">
        <v>5705</v>
      </c>
      <c r="B1000" s="303" t="str">
        <f t="shared" si="15"/>
        <v>x01000875</v>
      </c>
      <c r="C1000" t="s">
        <v>4</v>
      </c>
      <c r="D1000" t="s">
        <v>5706</v>
      </c>
      <c r="E1000">
        <v>1</v>
      </c>
      <c r="F1000" t="str">
        <f>IF(AND(Entities[[#This Row],[ENT_TYPE]]="County",RIGHT(Entities[[#This Row],[ENT_NAME]],6)&lt;&gt;"County"),_xlfn.TEXTJOIN(" ",TRUE,Entities[[#This Row],[ENT_NAME]],"County"),Entities[[#This Row],[ENT_NAME]])</f>
        <v>Matador Water District</v>
      </c>
    </row>
    <row r="1001" spans="1:6" x14ac:dyDescent="0.25">
      <c r="A1001" s="304" t="s">
        <v>5707</v>
      </c>
      <c r="B1001" s="303" t="str">
        <f t="shared" si="15"/>
        <v>x01001282</v>
      </c>
      <c r="C1001" t="s">
        <v>4</v>
      </c>
      <c r="D1001" t="s">
        <v>5708</v>
      </c>
      <c r="E1001">
        <v>1</v>
      </c>
      <c r="F1001" t="str">
        <f>IF(AND(Entities[[#This Row],[ENT_TYPE]]="County",RIGHT(Entities[[#This Row],[ENT_NAME]],6)&lt;&gt;"County"),_xlfn.TEXTJOIN(" ",TRUE,Entities[[#This Row],[ENT_NAME]],"County"),Entities[[#This Row],[ENT_NAME]])</f>
        <v>Greenbelt Municipal &amp; Industrial Water Authority</v>
      </c>
    </row>
    <row r="1002" spans="1:6" x14ac:dyDescent="0.25">
      <c r="A1002" s="302" t="s">
        <v>5709</v>
      </c>
      <c r="B1002" s="303" t="str">
        <f t="shared" si="15"/>
        <v>x01001522</v>
      </c>
      <c r="C1002" t="s">
        <v>4</v>
      </c>
      <c r="D1002" t="s">
        <v>5710</v>
      </c>
      <c r="E1002">
        <v>1</v>
      </c>
      <c r="F1002" t="str">
        <f>IF(AND(Entities[[#This Row],[ENT_TYPE]]="County",RIGHT(Entities[[#This Row],[ENT_NAME]],6)&lt;&gt;"County"),_xlfn.TEXTJOIN(" ",TRUE,Entities[[#This Row],[ENT_NAME]],"County"),Entities[[#This Row],[ENT_NAME]])</f>
        <v>Archer County MUD 1</v>
      </c>
    </row>
    <row r="1003" spans="1:6" x14ac:dyDescent="0.25">
      <c r="A1003" s="304" t="s">
        <v>5711</v>
      </c>
      <c r="B1003" s="303" t="str">
        <f t="shared" si="15"/>
        <v>x01001535</v>
      </c>
      <c r="C1003" t="s">
        <v>4</v>
      </c>
      <c r="D1003" t="s">
        <v>5712</v>
      </c>
      <c r="E1003">
        <v>1</v>
      </c>
      <c r="F1003" t="str">
        <f>IF(AND(Entities[[#This Row],[ENT_TYPE]]="County",RIGHT(Entities[[#This Row],[ENT_NAME]],6)&lt;&gt;"County"),_xlfn.TEXTJOIN(" ",TRUE,Entities[[#This Row],[ENT_NAME]],"County"),Entities[[#This Row],[ENT_NAME]])</f>
        <v>Wichita County Water Improvement District 2</v>
      </c>
    </row>
    <row r="1004" spans="1:6" x14ac:dyDescent="0.25">
      <c r="A1004" s="302" t="s">
        <v>1437</v>
      </c>
      <c r="B1004" s="303" t="str">
        <f t="shared" si="15"/>
        <v>x01002382</v>
      </c>
      <c r="C1004" t="s">
        <v>5458</v>
      </c>
      <c r="D1004" t="s">
        <v>5713</v>
      </c>
      <c r="E1004">
        <v>1</v>
      </c>
      <c r="F1004" t="str">
        <f>IF(AND(Entities[[#This Row],[ENT_TYPE]]="County",RIGHT(Entities[[#This Row],[ENT_NAME]],6)&lt;&gt;"County"),_xlfn.TEXTJOIN(" ",TRUE,Entities[[#This Row],[ENT_NAME]],"County"),Entities[[#This Row],[ENT_NAME]])</f>
        <v>Channing</v>
      </c>
    </row>
    <row r="1005" spans="1:6" x14ac:dyDescent="0.25">
      <c r="A1005" s="304" t="s">
        <v>1162</v>
      </c>
      <c r="B1005" s="303" t="str">
        <f t="shared" si="15"/>
        <v>x01002383</v>
      </c>
      <c r="C1005" t="s">
        <v>5458</v>
      </c>
      <c r="D1005" t="s">
        <v>5714</v>
      </c>
      <c r="E1005">
        <v>1</v>
      </c>
      <c r="F1005" t="str">
        <f>IF(AND(Entities[[#This Row],[ENT_TYPE]]="County",RIGHT(Entities[[#This Row],[ENT_NAME]],6)&lt;&gt;"County"),_xlfn.TEXTJOIN(" ",TRUE,Entities[[#This Row],[ENT_NAME]],"County"),Entities[[#This Row],[ENT_NAME]])</f>
        <v>Lakeview</v>
      </c>
    </row>
    <row r="1006" spans="1:6" x14ac:dyDescent="0.25">
      <c r="A1006" s="302" t="s">
        <v>5715</v>
      </c>
      <c r="B1006" s="303" t="str">
        <f t="shared" si="15"/>
        <v>x01002384</v>
      </c>
      <c r="C1006" t="s">
        <v>5458</v>
      </c>
      <c r="D1006" t="s">
        <v>5716</v>
      </c>
      <c r="E1006">
        <v>1</v>
      </c>
      <c r="F1006" t="str">
        <f>IF(AND(Entities[[#This Row],[ENT_TYPE]]="County",RIGHT(Entities[[#This Row],[ENT_NAME]],6)&lt;&gt;"County"),_xlfn.TEXTJOIN(" ",TRUE,Entities[[#This Row],[ENT_NAME]],"County"),Entities[[#This Row],[ENT_NAME]])</f>
        <v>Memphis</v>
      </c>
    </row>
    <row r="1007" spans="1:6" x14ac:dyDescent="0.25">
      <c r="A1007" s="304" t="s">
        <v>5717</v>
      </c>
      <c r="B1007" s="303" t="str">
        <f t="shared" si="15"/>
        <v>x01002391</v>
      </c>
      <c r="C1007" t="s">
        <v>5458</v>
      </c>
      <c r="D1007" t="s">
        <v>5718</v>
      </c>
      <c r="E1007">
        <v>1</v>
      </c>
      <c r="F1007" t="str">
        <f>IF(AND(Entities[[#This Row],[ENT_TYPE]]="County",RIGHT(Entities[[#This Row],[ENT_NAME]],6)&lt;&gt;"County"),_xlfn.TEXTJOIN(" ",TRUE,Entities[[#This Row],[ENT_NAME]],"County"),Entities[[#This Row],[ENT_NAME]])</f>
        <v>Crowell</v>
      </c>
    </row>
    <row r="1008" spans="1:6" x14ac:dyDescent="0.25">
      <c r="A1008" s="302" t="s">
        <v>5719</v>
      </c>
      <c r="B1008" s="303" t="str">
        <f t="shared" si="15"/>
        <v>x01002426</v>
      </c>
      <c r="C1008" t="s">
        <v>5458</v>
      </c>
      <c r="D1008" t="s">
        <v>5720</v>
      </c>
      <c r="E1008">
        <v>1</v>
      </c>
      <c r="F1008" t="str">
        <f>IF(AND(Entities[[#This Row],[ENT_TYPE]]="County",RIGHT(Entities[[#This Row],[ENT_NAME]],6)&lt;&gt;"County"),_xlfn.TEXTJOIN(" ",TRUE,Entities[[#This Row],[ENT_NAME]],"County"),Entities[[#This Row],[ENT_NAME]])</f>
        <v>Pampa</v>
      </c>
    </row>
    <row r="1009" spans="1:6" x14ac:dyDescent="0.25">
      <c r="A1009" s="304" t="s">
        <v>1318</v>
      </c>
      <c r="B1009" s="303" t="str">
        <f t="shared" si="15"/>
        <v>x01002470</v>
      </c>
      <c r="C1009" t="s">
        <v>5458</v>
      </c>
      <c r="D1009" t="s">
        <v>5721</v>
      </c>
      <c r="E1009">
        <v>1</v>
      </c>
      <c r="F1009" t="str">
        <f>IF(AND(Entities[[#This Row],[ENT_TYPE]]="County",RIGHT(Entities[[#This Row],[ENT_NAME]],6)&lt;&gt;"County"),_xlfn.TEXTJOIN(" ",TRUE,Entities[[#This Row],[ENT_NAME]],"County"),Entities[[#This Row],[ENT_NAME]])</f>
        <v>Matador</v>
      </c>
    </row>
    <row r="1010" spans="1:6" x14ac:dyDescent="0.25">
      <c r="A1010" s="302" t="s">
        <v>5722</v>
      </c>
      <c r="B1010" s="303" t="str">
        <f t="shared" si="15"/>
        <v>x01002471</v>
      </c>
      <c r="C1010" t="s">
        <v>5458</v>
      </c>
      <c r="D1010" t="s">
        <v>5723</v>
      </c>
      <c r="E1010">
        <v>1</v>
      </c>
      <c r="F1010" t="str">
        <f>IF(AND(Entities[[#This Row],[ENT_TYPE]]="County",RIGHT(Entities[[#This Row],[ENT_NAME]],6)&lt;&gt;"County"),_xlfn.TEXTJOIN(" ",TRUE,Entities[[#This Row],[ENT_NAME]],"County"),Entities[[#This Row],[ENT_NAME]])</f>
        <v>Roaring Springs</v>
      </c>
    </row>
    <row r="1011" spans="1:6" x14ac:dyDescent="0.25">
      <c r="A1011" s="304" t="s">
        <v>5724</v>
      </c>
      <c r="B1011" s="303" t="str">
        <f t="shared" si="15"/>
        <v>x01002481</v>
      </c>
      <c r="C1011" t="s">
        <v>5458</v>
      </c>
      <c r="D1011" t="s">
        <v>5725</v>
      </c>
      <c r="E1011">
        <v>1</v>
      </c>
      <c r="F1011" t="str">
        <f>IF(AND(Entities[[#This Row],[ENT_TYPE]]="County",RIGHT(Entities[[#This Row],[ENT_NAME]],6)&lt;&gt;"County"),_xlfn.TEXTJOIN(" ",TRUE,Entities[[#This Row],[ENT_NAME]],"County"),Entities[[#This Row],[ENT_NAME]])</f>
        <v>Dalhart</v>
      </c>
    </row>
    <row r="1012" spans="1:6" x14ac:dyDescent="0.25">
      <c r="A1012" s="302" t="s">
        <v>5726</v>
      </c>
      <c r="B1012" s="303" t="str">
        <f t="shared" si="15"/>
        <v>x01002513</v>
      </c>
      <c r="C1012" t="s">
        <v>5458</v>
      </c>
      <c r="D1012" t="s">
        <v>5680</v>
      </c>
      <c r="E1012">
        <v>1</v>
      </c>
      <c r="F1012" t="str">
        <f>IF(AND(Entities[[#This Row],[ENT_TYPE]]="County",RIGHT(Entities[[#This Row],[ENT_NAME]],6)&lt;&gt;"County"),_xlfn.TEXTJOIN(" ",TRUE,Entities[[#This Row],[ENT_NAME]],"County"),Entities[[#This Row],[ENT_NAME]])</f>
        <v>Childress</v>
      </c>
    </row>
    <row r="1013" spans="1:6" x14ac:dyDescent="0.25">
      <c r="A1013" s="304" t="s">
        <v>5727</v>
      </c>
      <c r="B1013" s="303" t="str">
        <f t="shared" si="15"/>
        <v>x01002523</v>
      </c>
      <c r="C1013" t="s">
        <v>5458</v>
      </c>
      <c r="D1013" t="s">
        <v>5728</v>
      </c>
      <c r="E1013">
        <v>1</v>
      </c>
      <c r="F1013" t="str">
        <f>IF(AND(Entities[[#This Row],[ENT_TYPE]]="County",RIGHT(Entities[[#This Row],[ENT_NAME]],6)&lt;&gt;"County"),_xlfn.TEXTJOIN(" ",TRUE,Entities[[#This Row],[ENT_NAME]],"County"),Entities[[#This Row],[ENT_NAME]])</f>
        <v>Henrietta</v>
      </c>
    </row>
    <row r="1014" spans="1:6" x14ac:dyDescent="0.25">
      <c r="A1014" s="302" t="s">
        <v>5729</v>
      </c>
      <c r="B1014" s="303" t="str">
        <f t="shared" si="15"/>
        <v>x01002524</v>
      </c>
      <c r="C1014" t="s">
        <v>5458</v>
      </c>
      <c r="D1014" t="s">
        <v>5730</v>
      </c>
      <c r="E1014">
        <v>1</v>
      </c>
      <c r="F1014" t="str">
        <f>IF(AND(Entities[[#This Row],[ENT_TYPE]]="County",RIGHT(Entities[[#This Row],[ENT_NAME]],6)&lt;&gt;"County"),_xlfn.TEXTJOIN(" ",TRUE,Entities[[#This Row],[ENT_NAME]],"County"),Entities[[#This Row],[ENT_NAME]])</f>
        <v>Petrolia</v>
      </c>
    </row>
    <row r="1015" spans="1:6" x14ac:dyDescent="0.25">
      <c r="A1015" s="304" t="s">
        <v>5731</v>
      </c>
      <c r="B1015" s="303" t="str">
        <f t="shared" si="15"/>
        <v>x01002529</v>
      </c>
      <c r="C1015" t="s">
        <v>5458</v>
      </c>
      <c r="D1015" t="s">
        <v>5732</v>
      </c>
      <c r="E1015">
        <v>1</v>
      </c>
      <c r="F1015" t="str">
        <f>IF(AND(Entities[[#This Row],[ENT_TYPE]]="County",RIGHT(Entities[[#This Row],[ENT_NAME]],6)&lt;&gt;"County"),_xlfn.TEXTJOIN(" ",TRUE,Entities[[#This Row],[ENT_NAME]],"County"),Entities[[#This Row],[ENT_NAME]])</f>
        <v>Canadian</v>
      </c>
    </row>
    <row r="1016" spans="1:6" x14ac:dyDescent="0.25">
      <c r="A1016" s="302" t="s">
        <v>1193</v>
      </c>
      <c r="B1016" s="303" t="str">
        <f t="shared" si="15"/>
        <v>x01002547</v>
      </c>
      <c r="C1016" t="s">
        <v>5458</v>
      </c>
      <c r="D1016" t="s">
        <v>5733</v>
      </c>
      <c r="E1016">
        <v>1</v>
      </c>
      <c r="F1016" t="str">
        <f>IF(AND(Entities[[#This Row],[ENT_TYPE]]="County",RIGHT(Entities[[#This Row],[ENT_NAME]],6)&lt;&gt;"County"),_xlfn.TEXTJOIN(" ",TRUE,Entities[[#This Row],[ENT_NAME]],"County"),Entities[[#This Row],[ENT_NAME]])</f>
        <v>Bellevue</v>
      </c>
    </row>
    <row r="1017" spans="1:6" x14ac:dyDescent="0.25">
      <c r="A1017" s="304" t="s">
        <v>5734</v>
      </c>
      <c r="B1017" s="303" t="str">
        <f t="shared" si="15"/>
        <v>x01002548</v>
      </c>
      <c r="C1017" t="s">
        <v>5458</v>
      </c>
      <c r="D1017" t="s">
        <v>5735</v>
      </c>
      <c r="E1017">
        <v>1</v>
      </c>
      <c r="F1017" t="str">
        <f>IF(AND(Entities[[#This Row],[ENT_TYPE]]="County",RIGHT(Entities[[#This Row],[ENT_NAME]],6)&lt;&gt;"County"),_xlfn.TEXTJOIN(" ",TRUE,Entities[[#This Row],[ENT_NAME]],"County"),Entities[[#This Row],[ENT_NAME]])</f>
        <v>Byers</v>
      </c>
    </row>
    <row r="1018" spans="1:6" x14ac:dyDescent="0.25">
      <c r="A1018" s="302" t="s">
        <v>1109</v>
      </c>
      <c r="B1018" s="303" t="str">
        <f t="shared" si="15"/>
        <v>x01002549</v>
      </c>
      <c r="C1018" t="s">
        <v>5458</v>
      </c>
      <c r="D1018" t="s">
        <v>5736</v>
      </c>
      <c r="E1018">
        <v>1</v>
      </c>
      <c r="F1018" t="str">
        <f>IF(AND(Entities[[#This Row],[ENT_TYPE]]="County",RIGHT(Entities[[#This Row],[ENT_NAME]],6)&lt;&gt;"County"),_xlfn.TEXTJOIN(" ",TRUE,Entities[[#This Row],[ENT_NAME]],"County"),Entities[[#This Row],[ENT_NAME]])</f>
        <v>Dean</v>
      </c>
    </row>
    <row r="1019" spans="1:6" x14ac:dyDescent="0.25">
      <c r="A1019" s="304" t="s">
        <v>1135</v>
      </c>
      <c r="B1019" s="303" t="str">
        <f t="shared" si="15"/>
        <v>x01002569</v>
      </c>
      <c r="C1019" t="s">
        <v>5458</v>
      </c>
      <c r="D1019" t="s">
        <v>5737</v>
      </c>
      <c r="E1019">
        <v>1</v>
      </c>
      <c r="F1019" t="str">
        <f>IF(AND(Entities[[#This Row],[ENT_TYPE]]="County",RIGHT(Entities[[#This Row],[ENT_NAME]],6)&lt;&gt;"County"),_xlfn.TEXTJOIN(" ",TRUE,Entities[[#This Row],[ENT_NAME]],"County"),Entities[[#This Row],[ENT_NAME]])</f>
        <v>Hedley</v>
      </c>
    </row>
    <row r="1020" spans="1:6" x14ac:dyDescent="0.25">
      <c r="A1020" s="302" t="s">
        <v>5738</v>
      </c>
      <c r="B1020" s="303" t="str">
        <f t="shared" si="15"/>
        <v>x01002571</v>
      </c>
      <c r="C1020" t="s">
        <v>5458</v>
      </c>
      <c r="D1020" t="s">
        <v>5739</v>
      </c>
      <c r="E1020">
        <v>1</v>
      </c>
      <c r="F1020" t="str">
        <f>IF(AND(Entities[[#This Row],[ENT_TYPE]]="County",RIGHT(Entities[[#This Row],[ENT_NAME]],6)&lt;&gt;"County"),_xlfn.TEXTJOIN(" ",TRUE,Entities[[#This Row],[ENT_NAME]],"County"),Entities[[#This Row],[ENT_NAME]])</f>
        <v>Clarendon</v>
      </c>
    </row>
    <row r="1021" spans="1:6" x14ac:dyDescent="0.25">
      <c r="A1021" s="304" t="s">
        <v>5740</v>
      </c>
      <c r="B1021" s="303" t="str">
        <f t="shared" si="15"/>
        <v>x01002579</v>
      </c>
      <c r="C1021" t="s">
        <v>5458</v>
      </c>
      <c r="D1021" t="s">
        <v>5741</v>
      </c>
      <c r="E1021">
        <v>1</v>
      </c>
      <c r="F1021" t="str">
        <f>IF(AND(Entities[[#This Row],[ENT_TYPE]]="County",RIGHT(Entities[[#This Row],[ENT_NAME]],6)&lt;&gt;"County"),_xlfn.TEXTJOIN(" ",TRUE,Entities[[#This Row],[ENT_NAME]],"County"),Entities[[#This Row],[ENT_NAME]])</f>
        <v>Howardwick</v>
      </c>
    </row>
    <row r="1022" spans="1:6" x14ac:dyDescent="0.25">
      <c r="A1022" s="302" t="s">
        <v>5742</v>
      </c>
      <c r="B1022" s="303" t="str">
        <f t="shared" si="15"/>
        <v>x01002586</v>
      </c>
      <c r="C1022" t="s">
        <v>5458</v>
      </c>
      <c r="D1022" t="s">
        <v>5743</v>
      </c>
      <c r="E1022">
        <v>1</v>
      </c>
      <c r="F1022" t="str">
        <f>IF(AND(Entities[[#This Row],[ENT_TYPE]]="County",RIGHT(Entities[[#This Row],[ENT_NAME]],6)&lt;&gt;"County"),_xlfn.TEXTJOIN(" ",TRUE,Entities[[#This Row],[ENT_NAME]],"County"),Entities[[#This Row],[ENT_NAME]])</f>
        <v>Tulia</v>
      </c>
    </row>
    <row r="1023" spans="1:6" x14ac:dyDescent="0.25">
      <c r="A1023" s="304" t="s">
        <v>5744</v>
      </c>
      <c r="B1023" s="303" t="str">
        <f t="shared" si="15"/>
        <v>x01002587</v>
      </c>
      <c r="C1023" t="s">
        <v>5458</v>
      </c>
      <c r="D1023" t="s">
        <v>5745</v>
      </c>
      <c r="E1023">
        <v>1</v>
      </c>
      <c r="F1023" t="str">
        <f>IF(AND(Entities[[#This Row],[ENT_TYPE]]="County",RIGHT(Entities[[#This Row],[ENT_NAME]],6)&lt;&gt;"County"),_xlfn.TEXTJOIN(" ",TRUE,Entities[[#This Row],[ENT_NAME]],"County"),Entities[[#This Row],[ENT_NAME]])</f>
        <v>Kress</v>
      </c>
    </row>
    <row r="1024" spans="1:6" x14ac:dyDescent="0.25">
      <c r="A1024" s="302" t="s">
        <v>1185</v>
      </c>
      <c r="B1024" s="303" t="str">
        <f t="shared" si="15"/>
        <v>x01002591</v>
      </c>
      <c r="C1024" t="s">
        <v>5458</v>
      </c>
      <c r="D1024" t="s">
        <v>5746</v>
      </c>
      <c r="E1024">
        <v>1</v>
      </c>
      <c r="F1024" t="str">
        <f>IF(AND(Entities[[#This Row],[ENT_TYPE]]="County",RIGHT(Entities[[#This Row],[ENT_NAME]],6)&lt;&gt;"County"),_xlfn.TEXTJOIN(" ",TRUE,Entities[[#This Row],[ENT_NAME]],"County"),Entities[[#This Row],[ENT_NAME]])</f>
        <v>Windthorst</v>
      </c>
    </row>
    <row r="1025" spans="1:6" x14ac:dyDescent="0.25">
      <c r="A1025" s="304" t="s">
        <v>5747</v>
      </c>
      <c r="B1025" s="303" t="str">
        <f t="shared" si="15"/>
        <v>x01002643</v>
      </c>
      <c r="C1025" t="s">
        <v>5458</v>
      </c>
      <c r="D1025" t="s">
        <v>5748</v>
      </c>
      <c r="E1025">
        <v>1</v>
      </c>
      <c r="F1025" t="str">
        <f>IF(AND(Entities[[#This Row],[ENT_TYPE]]="County",RIGHT(Entities[[#This Row],[ENT_NAME]],6)&lt;&gt;"County"),_xlfn.TEXTJOIN(" ",TRUE,Entities[[#This Row],[ENT_NAME]],"County"),Entities[[#This Row],[ENT_NAME]])</f>
        <v>Hereford</v>
      </c>
    </row>
    <row r="1026" spans="1:6" x14ac:dyDescent="0.25">
      <c r="A1026" s="304" t="s">
        <v>5749</v>
      </c>
      <c r="B1026" s="303" t="str">
        <f t="shared" ref="B1026:B1089" si="16">_xlfn.CONCAT("x",TEXT(A1026,"00000000"))</f>
        <v>x01002651</v>
      </c>
      <c r="C1026" t="s">
        <v>5458</v>
      </c>
      <c r="D1026" t="s">
        <v>5750</v>
      </c>
      <c r="E1026">
        <v>1</v>
      </c>
      <c r="F1026" t="str">
        <f>IF(AND(Entities[[#This Row],[ENT_TYPE]]="County",RIGHT(Entities[[#This Row],[ENT_NAME]],6)&lt;&gt;"County"),_xlfn.TEXTJOIN(" ",TRUE,Entities[[#This Row],[ENT_NAME]],"County"),Entities[[#This Row],[ENT_NAME]])</f>
        <v>Scotland</v>
      </c>
    </row>
    <row r="1027" spans="1:6" x14ac:dyDescent="0.25">
      <c r="A1027" s="302" t="s">
        <v>5751</v>
      </c>
      <c r="B1027" s="303" t="str">
        <f t="shared" si="16"/>
        <v>x01002659</v>
      </c>
      <c r="C1027" t="s">
        <v>5458</v>
      </c>
      <c r="D1027" t="s">
        <v>5752</v>
      </c>
      <c r="E1027">
        <v>1</v>
      </c>
      <c r="F1027" t="str">
        <f>IF(AND(Entities[[#This Row],[ENT_TYPE]]="County",RIGHT(Entities[[#This Row],[ENT_NAME]],6)&lt;&gt;"County"),_xlfn.TEXTJOIN(" ",TRUE,Entities[[#This Row],[ENT_NAME]],"County"),Entities[[#This Row],[ENT_NAME]])</f>
        <v>Lefors</v>
      </c>
    </row>
    <row r="1028" spans="1:6" x14ac:dyDescent="0.25">
      <c r="A1028" s="304" t="s">
        <v>1098</v>
      </c>
      <c r="B1028" s="303" t="str">
        <f t="shared" si="16"/>
        <v>x01002682</v>
      </c>
      <c r="C1028" t="s">
        <v>5458</v>
      </c>
      <c r="D1028" t="s">
        <v>5753</v>
      </c>
      <c r="E1028">
        <v>1</v>
      </c>
      <c r="F1028" t="str">
        <f>IF(AND(Entities[[#This Row],[ENT_TYPE]]="County",RIGHT(Entities[[#This Row],[ENT_NAME]],6)&lt;&gt;"County"),_xlfn.TEXTJOIN(" ",TRUE,Entities[[#This Row],[ENT_NAME]],"County"),Entities[[#This Row],[ENT_NAME]])</f>
        <v>Quitaque</v>
      </c>
    </row>
    <row r="1029" spans="1:6" x14ac:dyDescent="0.25">
      <c r="A1029" s="302" t="s">
        <v>1227</v>
      </c>
      <c r="B1029" s="303" t="str">
        <f t="shared" si="16"/>
        <v>x01002683</v>
      </c>
      <c r="C1029" t="s">
        <v>5458</v>
      </c>
      <c r="D1029" t="s">
        <v>5754</v>
      </c>
      <c r="E1029">
        <v>1</v>
      </c>
      <c r="F1029" t="str">
        <f>IF(AND(Entities[[#This Row],[ENT_TYPE]]="County",RIGHT(Entities[[#This Row],[ENT_NAME]],6)&lt;&gt;"County"),_xlfn.TEXTJOIN(" ",TRUE,Entities[[#This Row],[ENT_NAME]],"County"),Entities[[#This Row],[ENT_NAME]])</f>
        <v>Silverton</v>
      </c>
    </row>
    <row r="1030" spans="1:6" x14ac:dyDescent="0.25">
      <c r="A1030" s="304" t="s">
        <v>5755</v>
      </c>
      <c r="B1030" s="303" t="str">
        <f t="shared" si="16"/>
        <v>x01002728</v>
      </c>
      <c r="C1030" t="s">
        <v>5458</v>
      </c>
      <c r="D1030" t="s">
        <v>5756</v>
      </c>
      <c r="E1030">
        <v>1</v>
      </c>
      <c r="F1030" t="str">
        <f>IF(AND(Entities[[#This Row],[ENT_TYPE]]="County",RIGHT(Entities[[#This Row],[ENT_NAME]],6)&lt;&gt;"County"),_xlfn.TEXTJOIN(" ",TRUE,Entities[[#This Row],[ENT_NAME]],"County"),Entities[[#This Row],[ENT_NAME]])</f>
        <v>Texline</v>
      </c>
    </row>
    <row r="1031" spans="1:6" x14ac:dyDescent="0.25">
      <c r="A1031" s="302" t="s">
        <v>5757</v>
      </c>
      <c r="B1031" s="303" t="str">
        <f t="shared" si="16"/>
        <v>x01002742</v>
      </c>
      <c r="C1031" t="s">
        <v>5458</v>
      </c>
      <c r="D1031" t="s">
        <v>5758</v>
      </c>
      <c r="E1031">
        <v>1</v>
      </c>
      <c r="F1031" t="str">
        <f>IF(AND(Entities[[#This Row],[ENT_TYPE]]="County",RIGHT(Entities[[#This Row],[ENT_NAME]],6)&lt;&gt;"County"),_xlfn.TEXTJOIN(" ",TRUE,Entities[[#This Row],[ENT_NAME]],"County"),Entities[[#This Row],[ENT_NAME]])</f>
        <v>Cactus</v>
      </c>
    </row>
    <row r="1032" spans="1:6" x14ac:dyDescent="0.25">
      <c r="A1032" s="304" t="s">
        <v>5759</v>
      </c>
      <c r="B1032" s="303" t="str">
        <f t="shared" si="16"/>
        <v>x01002743</v>
      </c>
      <c r="C1032" t="s">
        <v>5458</v>
      </c>
      <c r="D1032" t="s">
        <v>5760</v>
      </c>
      <c r="E1032">
        <v>1</v>
      </c>
      <c r="F1032" t="str">
        <f>IF(AND(Entities[[#This Row],[ENT_TYPE]]="County",RIGHT(Entities[[#This Row],[ENT_NAME]],6)&lt;&gt;"County"),_xlfn.TEXTJOIN(" ",TRUE,Entities[[#This Row],[ENT_NAME]],"County"),Entities[[#This Row],[ENT_NAME]])</f>
        <v>Dumas</v>
      </c>
    </row>
    <row r="1033" spans="1:6" x14ac:dyDescent="0.25">
      <c r="A1033" s="302" t="s">
        <v>5761</v>
      </c>
      <c r="B1033" s="303" t="str">
        <f t="shared" si="16"/>
        <v>x01002744</v>
      </c>
      <c r="C1033" t="s">
        <v>5458</v>
      </c>
      <c r="D1033" t="s">
        <v>5762</v>
      </c>
      <c r="E1033">
        <v>1</v>
      </c>
      <c r="F1033" t="str">
        <f>IF(AND(Entities[[#This Row],[ENT_TYPE]]="County",RIGHT(Entities[[#This Row],[ENT_NAME]],6)&lt;&gt;"County"),_xlfn.TEXTJOIN(" ",TRUE,Entities[[#This Row],[ENT_NAME]],"County"),Entities[[#This Row],[ENT_NAME]])</f>
        <v>Sunray</v>
      </c>
    </row>
    <row r="1034" spans="1:6" x14ac:dyDescent="0.25">
      <c r="A1034" s="304" t="s">
        <v>5763</v>
      </c>
      <c r="B1034" s="303" t="str">
        <f t="shared" si="16"/>
        <v>x01002768</v>
      </c>
      <c r="C1034" t="s">
        <v>5458</v>
      </c>
      <c r="D1034" t="s">
        <v>5764</v>
      </c>
      <c r="E1034">
        <v>1</v>
      </c>
      <c r="F1034" t="str">
        <f>IF(AND(Entities[[#This Row],[ENT_TYPE]]="County",RIGHT(Entities[[#This Row],[ENT_NAME]],6)&lt;&gt;"County"),_xlfn.TEXTJOIN(" ",TRUE,Entities[[#This Row],[ENT_NAME]],"County"),Entities[[#This Row],[ENT_NAME]])</f>
        <v>Follett</v>
      </c>
    </row>
    <row r="1035" spans="1:6" x14ac:dyDescent="0.25">
      <c r="A1035" s="302" t="s">
        <v>5765</v>
      </c>
      <c r="B1035" s="303" t="str">
        <f t="shared" si="16"/>
        <v>x01002770</v>
      </c>
      <c r="C1035" t="s">
        <v>5458</v>
      </c>
      <c r="D1035" t="s">
        <v>5766</v>
      </c>
      <c r="E1035">
        <v>1</v>
      </c>
      <c r="F1035" t="str">
        <f>IF(AND(Entities[[#This Row],[ENT_TYPE]]="County",RIGHT(Entities[[#This Row],[ENT_NAME]],6)&lt;&gt;"County"),_xlfn.TEXTJOIN(" ",TRUE,Entities[[#This Row],[ENT_NAME]],"County"),Entities[[#This Row],[ENT_NAME]])</f>
        <v>Amarillo</v>
      </c>
    </row>
    <row r="1036" spans="1:6" x14ac:dyDescent="0.25">
      <c r="A1036" s="302" t="s">
        <v>1177</v>
      </c>
      <c r="B1036" s="303" t="str">
        <f t="shared" si="16"/>
        <v>x01002803</v>
      </c>
      <c r="C1036" t="s">
        <v>5458</v>
      </c>
      <c r="D1036" t="s">
        <v>5767</v>
      </c>
      <c r="E1036">
        <v>1</v>
      </c>
      <c r="F1036" t="str">
        <f>IF(AND(Entities[[#This Row],[ENT_TYPE]]="County",RIGHT(Entities[[#This Row],[ENT_NAME]],6)&lt;&gt;"County"),_xlfn.TEXTJOIN(" ",TRUE,Entities[[#This Row],[ENT_NAME]],"County"),Entities[[#This Row],[ENT_NAME]])</f>
        <v>Stratford</v>
      </c>
    </row>
    <row r="1037" spans="1:6" x14ac:dyDescent="0.25">
      <c r="A1037" s="304" t="s">
        <v>1153</v>
      </c>
      <c r="B1037" s="303" t="str">
        <f t="shared" si="16"/>
        <v>x01002804</v>
      </c>
      <c r="C1037" t="s">
        <v>5458</v>
      </c>
      <c r="D1037" t="s">
        <v>5768</v>
      </c>
      <c r="E1037">
        <v>1</v>
      </c>
      <c r="F1037" t="str">
        <f>IF(AND(Entities[[#This Row],[ENT_TYPE]]="County",RIGHT(Entities[[#This Row],[ENT_NAME]],6)&lt;&gt;"County"),_xlfn.TEXTJOIN(" ",TRUE,Entities[[#This Row],[ENT_NAME]],"County"),Entities[[#This Row],[ENT_NAME]])</f>
        <v>Texhoma</v>
      </c>
    </row>
    <row r="1038" spans="1:6" x14ac:dyDescent="0.25">
      <c r="A1038" s="302" t="s">
        <v>5769</v>
      </c>
      <c r="B1038" s="303" t="str">
        <f t="shared" si="16"/>
        <v>x01002811</v>
      </c>
      <c r="C1038" t="s">
        <v>5458</v>
      </c>
      <c r="D1038" t="s">
        <v>5770</v>
      </c>
      <c r="E1038">
        <v>1</v>
      </c>
      <c r="F1038" t="str">
        <f>IF(AND(Entities[[#This Row],[ENT_TYPE]]="County",RIGHT(Entities[[#This Row],[ENT_NAME]],6)&lt;&gt;"County"),_xlfn.TEXTJOIN(" ",TRUE,Entities[[#This Row],[ENT_NAME]],"County"),Entities[[#This Row],[ENT_NAME]])</f>
        <v>Borger</v>
      </c>
    </row>
    <row r="1039" spans="1:6" x14ac:dyDescent="0.25">
      <c r="A1039" s="304" t="s">
        <v>5771</v>
      </c>
      <c r="B1039" s="303" t="str">
        <f t="shared" si="16"/>
        <v>x01002812</v>
      </c>
      <c r="C1039" t="s">
        <v>5458</v>
      </c>
      <c r="D1039" t="s">
        <v>5772</v>
      </c>
      <c r="E1039">
        <v>1</v>
      </c>
      <c r="F1039" t="str">
        <f>IF(AND(Entities[[#This Row],[ENT_TYPE]]="County",RIGHT(Entities[[#This Row],[ENT_NAME]],6)&lt;&gt;"County"),_xlfn.TEXTJOIN(" ",TRUE,Entities[[#This Row],[ENT_NAME]],"County"),Entities[[#This Row],[ENT_NAME]])</f>
        <v>Fritch</v>
      </c>
    </row>
    <row r="1040" spans="1:6" x14ac:dyDescent="0.25">
      <c r="A1040" s="302" t="s">
        <v>1275</v>
      </c>
      <c r="B1040" s="303" t="str">
        <f t="shared" si="16"/>
        <v>x01002813</v>
      </c>
      <c r="C1040" t="s">
        <v>5458</v>
      </c>
      <c r="D1040" t="s">
        <v>5773</v>
      </c>
      <c r="E1040">
        <v>1</v>
      </c>
      <c r="F1040" t="str">
        <f>IF(AND(Entities[[#This Row],[ENT_TYPE]]="County",RIGHT(Entities[[#This Row],[ENT_NAME]],6)&lt;&gt;"County"),_xlfn.TEXTJOIN(" ",TRUE,Entities[[#This Row],[ENT_NAME]],"County"),Entities[[#This Row],[ENT_NAME]])</f>
        <v>Sanford</v>
      </c>
    </row>
    <row r="1041" spans="1:6" x14ac:dyDescent="0.25">
      <c r="A1041" s="304" t="s">
        <v>1269</v>
      </c>
      <c r="B1041" s="303" t="str">
        <f t="shared" si="16"/>
        <v>x01002814</v>
      </c>
      <c r="C1041" t="s">
        <v>5458</v>
      </c>
      <c r="D1041" t="s">
        <v>5774</v>
      </c>
      <c r="E1041">
        <v>1</v>
      </c>
      <c r="F1041" t="str">
        <f>IF(AND(Entities[[#This Row],[ENT_TYPE]]="County",RIGHT(Entities[[#This Row],[ENT_NAME]],6)&lt;&gt;"County"),_xlfn.TEXTJOIN(" ",TRUE,Entities[[#This Row],[ENT_NAME]],"County"),Entities[[#This Row],[ENT_NAME]])</f>
        <v>Stinnett</v>
      </c>
    </row>
    <row r="1042" spans="1:6" x14ac:dyDescent="0.25">
      <c r="A1042" s="302" t="s">
        <v>1144</v>
      </c>
      <c r="B1042" s="303" t="str">
        <f t="shared" si="16"/>
        <v>x01002818</v>
      </c>
      <c r="C1042" t="s">
        <v>5458</v>
      </c>
      <c r="D1042" t="s">
        <v>5775</v>
      </c>
      <c r="E1042">
        <v>1</v>
      </c>
      <c r="F1042" t="str">
        <f>IF(AND(Entities[[#This Row],[ENT_TYPE]]="County",RIGHT(Entities[[#This Row],[ENT_NAME]],6)&lt;&gt;"County"),_xlfn.TEXTJOIN(" ",TRUE,Entities[[#This Row],[ENT_NAME]],"County"),Entities[[#This Row],[ENT_NAME]])</f>
        <v>Nazareth</v>
      </c>
    </row>
    <row r="1043" spans="1:6" x14ac:dyDescent="0.25">
      <c r="A1043" s="304" t="s">
        <v>5776</v>
      </c>
      <c r="B1043" s="303" t="str">
        <f t="shared" si="16"/>
        <v>x01002837</v>
      </c>
      <c r="C1043" t="s">
        <v>5458</v>
      </c>
      <c r="D1043" t="s">
        <v>5777</v>
      </c>
      <c r="E1043">
        <v>1</v>
      </c>
      <c r="F1043" t="str">
        <f>IF(AND(Entities[[#This Row],[ENT_TYPE]]="County",RIGHT(Entities[[#This Row],[ENT_NAME]],6)&lt;&gt;"County"),_xlfn.TEXTJOIN(" ",TRUE,Entities[[#This Row],[ENT_NAME]],"County"),Entities[[#This Row],[ENT_NAME]])</f>
        <v>White Deer</v>
      </c>
    </row>
    <row r="1044" spans="1:6" x14ac:dyDescent="0.25">
      <c r="A1044" s="302" t="s">
        <v>1202</v>
      </c>
      <c r="B1044" s="303" t="str">
        <f t="shared" si="16"/>
        <v>x01002845</v>
      </c>
      <c r="C1044" t="s">
        <v>5458</v>
      </c>
      <c r="D1044" t="s">
        <v>5778</v>
      </c>
      <c r="E1044">
        <v>1</v>
      </c>
      <c r="F1044" t="str">
        <f>IF(AND(Entities[[#This Row],[ENT_TYPE]]="County",RIGHT(Entities[[#This Row],[ENT_NAME]],6)&lt;&gt;"County"),_xlfn.TEXTJOIN(" ",TRUE,Entities[[#This Row],[ENT_NAME]],"County"),Entities[[#This Row],[ENT_NAME]])</f>
        <v>Adrian</v>
      </c>
    </row>
    <row r="1045" spans="1:6" x14ac:dyDescent="0.25">
      <c r="A1045" s="304" t="s">
        <v>1251</v>
      </c>
      <c r="B1045" s="303" t="str">
        <f t="shared" si="16"/>
        <v>x01002846</v>
      </c>
      <c r="C1045" t="s">
        <v>5458</v>
      </c>
      <c r="D1045" t="s">
        <v>5779</v>
      </c>
      <c r="E1045">
        <v>1</v>
      </c>
      <c r="F1045" t="str">
        <f>IF(AND(Entities[[#This Row],[ENT_TYPE]]="County",RIGHT(Entities[[#This Row],[ENT_NAME]],6)&lt;&gt;"County"),_xlfn.TEXTJOIN(" ",TRUE,Entities[[#This Row],[ENT_NAME]],"County"),Entities[[#This Row],[ENT_NAME]])</f>
        <v>Vega</v>
      </c>
    </row>
    <row r="1046" spans="1:6" x14ac:dyDescent="0.25">
      <c r="A1046" s="302" t="s">
        <v>1169</v>
      </c>
      <c r="B1046" s="303" t="str">
        <f t="shared" si="16"/>
        <v>x01002928</v>
      </c>
      <c r="C1046" t="s">
        <v>5458</v>
      </c>
      <c r="D1046" t="s">
        <v>5780</v>
      </c>
      <c r="E1046">
        <v>1</v>
      </c>
      <c r="F1046" t="str">
        <f>IF(AND(Entities[[#This Row],[ENT_TYPE]]="County",RIGHT(Entities[[#This Row],[ENT_NAME]],6)&lt;&gt;"County"),_xlfn.TEXTJOIN(" ",TRUE,Entities[[#This Row],[ENT_NAME]],"County"),Entities[[#This Row],[ENT_NAME]])</f>
        <v>Estelline</v>
      </c>
    </row>
    <row r="1047" spans="1:6" x14ac:dyDescent="0.25">
      <c r="A1047" s="302" t="s">
        <v>5781</v>
      </c>
      <c r="B1047" s="303" t="str">
        <f t="shared" si="16"/>
        <v>x01002977</v>
      </c>
      <c r="C1047" t="s">
        <v>5458</v>
      </c>
      <c r="D1047" t="s">
        <v>5782</v>
      </c>
      <c r="E1047">
        <v>1</v>
      </c>
      <c r="F1047" t="str">
        <f>IF(AND(Entities[[#This Row],[ENT_TYPE]]="County",RIGHT(Entities[[#This Row],[ENT_NAME]],6)&lt;&gt;"County"),_xlfn.TEXTJOIN(" ",TRUE,Entities[[#This Row],[ENT_NAME]],"County"),Entities[[#This Row],[ENT_NAME]])</f>
        <v>Burkburnett</v>
      </c>
    </row>
    <row r="1048" spans="1:6" x14ac:dyDescent="0.25">
      <c r="A1048" s="304" t="s">
        <v>5783</v>
      </c>
      <c r="B1048" s="303" t="str">
        <f t="shared" si="16"/>
        <v>x01003015</v>
      </c>
      <c r="C1048" t="s">
        <v>5458</v>
      </c>
      <c r="D1048" t="s">
        <v>5784</v>
      </c>
      <c r="E1048">
        <v>1</v>
      </c>
      <c r="F1048" t="str">
        <f>IF(AND(Entities[[#This Row],[ENT_TYPE]]="County",RIGHT(Entities[[#This Row],[ENT_NAME]],6)&lt;&gt;"County"),_xlfn.TEXTJOIN(" ",TRUE,Entities[[#This Row],[ENT_NAME]],"County"),Entities[[#This Row],[ENT_NAME]])</f>
        <v>Friona</v>
      </c>
    </row>
    <row r="1049" spans="1:6" x14ac:dyDescent="0.25">
      <c r="A1049" s="302" t="s">
        <v>5785</v>
      </c>
      <c r="B1049" s="303" t="str">
        <f t="shared" si="16"/>
        <v>x01003041</v>
      </c>
      <c r="C1049" t="s">
        <v>5458</v>
      </c>
      <c r="D1049" t="s">
        <v>5786</v>
      </c>
      <c r="E1049">
        <v>1</v>
      </c>
      <c r="F1049" t="str">
        <f>IF(AND(Entities[[#This Row],[ENT_TYPE]]="County",RIGHT(Entities[[#This Row],[ENT_NAME]],6)&lt;&gt;"County"),_xlfn.TEXTJOIN(" ",TRUE,Entities[[#This Row],[ENT_NAME]],"County"),Entities[[#This Row],[ENT_NAME]])</f>
        <v>Happy</v>
      </c>
    </row>
    <row r="1050" spans="1:6" x14ac:dyDescent="0.25">
      <c r="A1050" s="302" t="s">
        <v>5787</v>
      </c>
      <c r="B1050" s="303" t="str">
        <f t="shared" si="16"/>
        <v>x01003043</v>
      </c>
      <c r="C1050" t="s">
        <v>5458</v>
      </c>
      <c r="D1050" t="s">
        <v>5788</v>
      </c>
      <c r="E1050">
        <v>1</v>
      </c>
      <c r="F1050" t="str">
        <f>IF(AND(Entities[[#This Row],[ENT_TYPE]]="County",RIGHT(Entities[[#This Row],[ENT_NAME]],6)&lt;&gt;"County"),_xlfn.TEXTJOIN(" ",TRUE,Entities[[#This Row],[ENT_NAME]],"County"),Entities[[#This Row],[ENT_NAME]])</f>
        <v>Nocona</v>
      </c>
    </row>
    <row r="1051" spans="1:6" x14ac:dyDescent="0.25">
      <c r="A1051" s="304" t="s">
        <v>5789</v>
      </c>
      <c r="B1051" s="303" t="str">
        <f t="shared" si="16"/>
        <v>x01003048</v>
      </c>
      <c r="C1051" t="s">
        <v>5458</v>
      </c>
      <c r="D1051" t="s">
        <v>5790</v>
      </c>
      <c r="E1051">
        <v>1</v>
      </c>
      <c r="F1051" t="str">
        <f>IF(AND(Entities[[#This Row],[ENT_TYPE]]="County",RIGHT(Entities[[#This Row],[ENT_NAME]],6)&lt;&gt;"County"),_xlfn.TEXTJOIN(" ",TRUE,Entities[[#This Row],[ENT_NAME]],"County"),Entities[[#This Row],[ENT_NAME]])</f>
        <v>Electra</v>
      </c>
    </row>
    <row r="1052" spans="1:6" x14ac:dyDescent="0.25">
      <c r="A1052" s="302" t="s">
        <v>5791</v>
      </c>
      <c r="B1052" s="303" t="str">
        <f t="shared" si="16"/>
        <v>x01003049</v>
      </c>
      <c r="C1052" t="s">
        <v>5458</v>
      </c>
      <c r="D1052" t="s">
        <v>5792</v>
      </c>
      <c r="E1052">
        <v>1</v>
      </c>
      <c r="F1052" t="str">
        <f>IF(AND(Entities[[#This Row],[ENT_TYPE]]="County",RIGHT(Entities[[#This Row],[ENT_NAME]],6)&lt;&gt;"County"),_xlfn.TEXTJOIN(" ",TRUE,Entities[[#This Row],[ENT_NAME]],"County"),Entities[[#This Row],[ENT_NAME]])</f>
        <v>Pleasant Valley</v>
      </c>
    </row>
    <row r="1053" spans="1:6" x14ac:dyDescent="0.25">
      <c r="A1053" s="304" t="s">
        <v>5793</v>
      </c>
      <c r="B1053" s="303" t="str">
        <f t="shared" si="16"/>
        <v>x01003050</v>
      </c>
      <c r="C1053" t="s">
        <v>5458</v>
      </c>
      <c r="D1053" t="s">
        <v>5794</v>
      </c>
      <c r="E1053">
        <v>1</v>
      </c>
      <c r="F1053" t="str">
        <f>IF(AND(Entities[[#This Row],[ENT_TYPE]]="County",RIGHT(Entities[[#This Row],[ENT_NAME]],6)&lt;&gt;"County"),_xlfn.TEXTJOIN(" ",TRUE,Entities[[#This Row],[ENT_NAME]],"County"),Entities[[#This Row],[ENT_NAME]])</f>
        <v>Iowa Park</v>
      </c>
    </row>
    <row r="1054" spans="1:6" x14ac:dyDescent="0.25">
      <c r="A1054" s="302" t="s">
        <v>1300</v>
      </c>
      <c r="B1054" s="303" t="str">
        <f t="shared" si="16"/>
        <v>x01003056</v>
      </c>
      <c r="C1054" t="s">
        <v>5458</v>
      </c>
      <c r="D1054" t="s">
        <v>5795</v>
      </c>
      <c r="E1054">
        <v>1</v>
      </c>
      <c r="F1054" t="str">
        <f>IF(AND(Entities[[#This Row],[ENT_TYPE]]="County",RIGHT(Entities[[#This Row],[ENT_NAME]],6)&lt;&gt;"County"),_xlfn.TEXTJOIN(" ",TRUE,Entities[[#This Row],[ENT_NAME]],"County"),Entities[[#This Row],[ENT_NAME]])</f>
        <v>Skellytown</v>
      </c>
    </row>
    <row r="1055" spans="1:6" x14ac:dyDescent="0.25">
      <c r="A1055" s="304" t="s">
        <v>5796</v>
      </c>
      <c r="B1055" s="303" t="str">
        <f t="shared" si="16"/>
        <v>x01003057</v>
      </c>
      <c r="C1055" t="s">
        <v>5458</v>
      </c>
      <c r="D1055" t="s">
        <v>5797</v>
      </c>
      <c r="E1055">
        <v>1</v>
      </c>
      <c r="F1055" t="str">
        <f>IF(AND(Entities[[#This Row],[ENT_TYPE]]="County",RIGHT(Entities[[#This Row],[ENT_NAME]],6)&lt;&gt;"County"),_xlfn.TEXTJOIN(" ",TRUE,Entities[[#This Row],[ENT_NAME]],"County"),Entities[[#This Row],[ENT_NAME]])</f>
        <v>Palisades</v>
      </c>
    </row>
    <row r="1056" spans="1:6" x14ac:dyDescent="0.25">
      <c r="A1056" s="302" t="s">
        <v>5798</v>
      </c>
      <c r="B1056" s="303" t="str">
        <f t="shared" si="16"/>
        <v>x01003058</v>
      </c>
      <c r="C1056" t="s">
        <v>5458</v>
      </c>
      <c r="D1056" t="s">
        <v>5799</v>
      </c>
      <c r="E1056">
        <v>1</v>
      </c>
      <c r="F1056" t="str">
        <f>IF(AND(Entities[[#This Row],[ENT_TYPE]]="County",RIGHT(Entities[[#This Row],[ENT_NAME]],6)&lt;&gt;"County"),_xlfn.TEXTJOIN(" ",TRUE,Entities[[#This Row],[ENT_NAME]],"County"),Entities[[#This Row],[ENT_NAME]])</f>
        <v>Timbercreek Canyon</v>
      </c>
    </row>
    <row r="1057" spans="1:6" x14ac:dyDescent="0.25">
      <c r="A1057" s="304" t="s">
        <v>5800</v>
      </c>
      <c r="B1057" s="303" t="str">
        <f t="shared" si="16"/>
        <v>x01003084</v>
      </c>
      <c r="C1057" t="s">
        <v>5458</v>
      </c>
      <c r="D1057" t="s">
        <v>5801</v>
      </c>
      <c r="E1057">
        <v>1</v>
      </c>
      <c r="F1057" t="str">
        <f>IF(AND(Entities[[#This Row],[ENT_TYPE]]="County",RIGHT(Entities[[#This Row],[ENT_NAME]],6)&lt;&gt;"County"),_xlfn.TEXTJOIN(" ",TRUE,Entities[[#This Row],[ENT_NAME]],"County"),Entities[[#This Row],[ENT_NAME]])</f>
        <v>Panhandle</v>
      </c>
    </row>
    <row r="1058" spans="1:6" x14ac:dyDescent="0.25">
      <c r="A1058" s="302" t="s">
        <v>1292</v>
      </c>
      <c r="B1058" s="303" t="str">
        <f t="shared" si="16"/>
        <v>x01003091</v>
      </c>
      <c r="C1058" t="s">
        <v>5458</v>
      </c>
      <c r="D1058" t="s">
        <v>5802</v>
      </c>
      <c r="E1058">
        <v>1</v>
      </c>
      <c r="F1058" t="str">
        <f>IF(AND(Entities[[#This Row],[ENT_TYPE]]="County",RIGHT(Entities[[#This Row],[ENT_NAME]],6)&lt;&gt;"County"),_xlfn.TEXTJOIN(" ",TRUE,Entities[[#This Row],[ENT_NAME]],"County"),Entities[[#This Row],[ENT_NAME]])</f>
        <v>Miami</v>
      </c>
    </row>
    <row r="1059" spans="1:6" x14ac:dyDescent="0.25">
      <c r="A1059" s="302" t="s">
        <v>5803</v>
      </c>
      <c r="B1059" s="303" t="str">
        <f t="shared" si="16"/>
        <v>x01003101</v>
      </c>
      <c r="C1059" t="s">
        <v>5458</v>
      </c>
      <c r="D1059" t="s">
        <v>5804</v>
      </c>
      <c r="E1059">
        <v>1</v>
      </c>
      <c r="F1059" t="str">
        <f>IF(AND(Entities[[#This Row],[ENT_TYPE]]="County",RIGHT(Entities[[#This Row],[ENT_NAME]],6)&lt;&gt;"County"),_xlfn.TEXTJOIN(" ",TRUE,Entities[[#This Row],[ENT_NAME]],"County"),Entities[[#This Row],[ENT_NAME]])</f>
        <v>Bishop Hills</v>
      </c>
    </row>
    <row r="1060" spans="1:6" x14ac:dyDescent="0.25">
      <c r="A1060" s="304" t="s">
        <v>1260</v>
      </c>
      <c r="B1060" s="303" t="str">
        <f t="shared" si="16"/>
        <v>x01003129</v>
      </c>
      <c r="C1060" t="s">
        <v>5458</v>
      </c>
      <c r="D1060" t="s">
        <v>5805</v>
      </c>
      <c r="E1060">
        <v>1</v>
      </c>
      <c r="F1060" t="str">
        <f>IF(AND(Entities[[#This Row],[ENT_TYPE]]="County",RIGHT(Entities[[#This Row],[ENT_NAME]],6)&lt;&gt;"County"),_xlfn.TEXTJOIN(" ",TRUE,Entities[[#This Row],[ENT_NAME]],"County"),Entities[[#This Row],[ENT_NAME]])</f>
        <v>McLean</v>
      </c>
    </row>
    <row r="1061" spans="1:6" x14ac:dyDescent="0.25">
      <c r="A1061" s="302" t="s">
        <v>5806</v>
      </c>
      <c r="B1061" s="303" t="str">
        <f t="shared" si="16"/>
        <v>x01003197</v>
      </c>
      <c r="C1061" t="s">
        <v>5458</v>
      </c>
      <c r="D1061" t="s">
        <v>5807</v>
      </c>
      <c r="E1061">
        <v>1</v>
      </c>
      <c r="F1061" t="str">
        <f>IF(AND(Entities[[#This Row],[ENT_TYPE]]="County",RIGHT(Entities[[#This Row],[ENT_NAME]],6)&lt;&gt;"County"),_xlfn.TEXTJOIN(" ",TRUE,Entities[[#This Row],[ENT_NAME]],"County"),Entities[[#This Row],[ENT_NAME]])</f>
        <v>Spearman</v>
      </c>
    </row>
    <row r="1062" spans="1:6" x14ac:dyDescent="0.25">
      <c r="A1062" s="304" t="s">
        <v>1243</v>
      </c>
      <c r="B1062" s="303" t="str">
        <f t="shared" si="16"/>
        <v>x01003222</v>
      </c>
      <c r="C1062" t="s">
        <v>5458</v>
      </c>
      <c r="D1062" t="s">
        <v>5808</v>
      </c>
      <c r="E1062">
        <v>1</v>
      </c>
      <c r="F1062" t="str">
        <f>IF(AND(Entities[[#This Row],[ENT_TYPE]]="County",RIGHT(Entities[[#This Row],[ENT_NAME]],6)&lt;&gt;"County"),_xlfn.TEXTJOIN(" ",TRUE,Entities[[#This Row],[ENT_NAME]],"County"),Entities[[#This Row],[ENT_NAME]])</f>
        <v>Chillicothe</v>
      </c>
    </row>
    <row r="1063" spans="1:6" x14ac:dyDescent="0.25">
      <c r="A1063" s="302" t="s">
        <v>5809</v>
      </c>
      <c r="B1063" s="303" t="str">
        <f t="shared" si="16"/>
        <v>x01003227</v>
      </c>
      <c r="C1063" t="s">
        <v>5458</v>
      </c>
      <c r="D1063" t="s">
        <v>5810</v>
      </c>
      <c r="E1063">
        <v>1</v>
      </c>
      <c r="F1063" t="str">
        <f>IF(AND(Entities[[#This Row],[ENT_TYPE]]="County",RIGHT(Entities[[#This Row],[ENT_NAME]],6)&lt;&gt;"County"),_xlfn.TEXTJOIN(" ",TRUE,Entities[[#This Row],[ENT_NAME]],"County"),Entities[[#This Row],[ENT_NAME]])</f>
        <v>Groom</v>
      </c>
    </row>
    <row r="1064" spans="1:6" x14ac:dyDescent="0.25">
      <c r="A1064" s="304" t="s">
        <v>1117</v>
      </c>
      <c r="B1064" s="303" t="str">
        <f t="shared" si="16"/>
        <v>x01003239</v>
      </c>
      <c r="C1064" t="s">
        <v>5458</v>
      </c>
      <c r="D1064" t="s">
        <v>5811</v>
      </c>
      <c r="E1064">
        <v>1</v>
      </c>
      <c r="F1064" t="str">
        <f>IF(AND(Entities[[#This Row],[ENT_TYPE]]="County",RIGHT(Entities[[#This Row],[ENT_NAME]],6)&lt;&gt;"County"),_xlfn.TEXTJOIN(" ",TRUE,Entities[[#This Row],[ENT_NAME]],"County"),Entities[[#This Row],[ENT_NAME]])</f>
        <v>Jolly</v>
      </c>
    </row>
    <row r="1065" spans="1:6" x14ac:dyDescent="0.25">
      <c r="A1065" s="302" t="s">
        <v>5812</v>
      </c>
      <c r="B1065" s="303" t="str">
        <f t="shared" si="16"/>
        <v>x01003325</v>
      </c>
      <c r="C1065" t="s">
        <v>5458</v>
      </c>
      <c r="D1065" t="s">
        <v>5813</v>
      </c>
      <c r="E1065">
        <v>1</v>
      </c>
      <c r="F1065" t="str">
        <f>IF(AND(Entities[[#This Row],[ENT_TYPE]]="County",RIGHT(Entities[[#This Row],[ENT_NAME]],6)&lt;&gt;"County"),_xlfn.TEXTJOIN(" ",TRUE,Entities[[#This Row],[ENT_NAME]],"County"),Entities[[#This Row],[ENT_NAME]])</f>
        <v>Vernon</v>
      </c>
    </row>
    <row r="1066" spans="1:6" x14ac:dyDescent="0.25">
      <c r="A1066" s="304" t="s">
        <v>5814</v>
      </c>
      <c r="B1066" s="303" t="str">
        <f t="shared" si="16"/>
        <v>x01003331</v>
      </c>
      <c r="C1066" t="s">
        <v>5458</v>
      </c>
      <c r="D1066" t="s">
        <v>5815</v>
      </c>
      <c r="E1066">
        <v>1</v>
      </c>
      <c r="F1066" t="str">
        <f>IF(AND(Entities[[#This Row],[ENT_TYPE]]="County",RIGHT(Entities[[#This Row],[ENT_NAME]],6)&lt;&gt;"County"),_xlfn.TEXTJOIN(" ",TRUE,Entities[[#This Row],[ENT_NAME]],"County"),Entities[[#This Row],[ENT_NAME]])</f>
        <v>Wichita Falls</v>
      </c>
    </row>
    <row r="1067" spans="1:6" x14ac:dyDescent="0.25">
      <c r="A1067" s="302" t="s">
        <v>1211</v>
      </c>
      <c r="B1067" s="303" t="str">
        <f t="shared" si="16"/>
        <v>x01003332</v>
      </c>
      <c r="C1067" t="s">
        <v>5458</v>
      </c>
      <c r="D1067" t="s">
        <v>5816</v>
      </c>
      <c r="E1067">
        <v>1</v>
      </c>
      <c r="F1067" t="str">
        <f>IF(AND(Entities[[#This Row],[ENT_TYPE]]="County",RIGHT(Entities[[#This Row],[ENT_NAME]],6)&lt;&gt;"County"),_xlfn.TEXTJOIN(" ",TRUE,Entities[[#This Row],[ENT_NAME]],"County"),Entities[[#This Row],[ENT_NAME]])</f>
        <v>Cashion Community</v>
      </c>
    </row>
    <row r="1068" spans="1:6" x14ac:dyDescent="0.25">
      <c r="A1068" s="304" t="s">
        <v>5817</v>
      </c>
      <c r="B1068" s="303" t="str">
        <f t="shared" si="16"/>
        <v>x01003335</v>
      </c>
      <c r="C1068" t="s">
        <v>5458</v>
      </c>
      <c r="D1068" t="s">
        <v>5818</v>
      </c>
      <c r="E1068">
        <v>1</v>
      </c>
      <c r="F1068" t="str">
        <f>IF(AND(Entities[[#This Row],[ENT_TYPE]]="County",RIGHT(Entities[[#This Row],[ENT_NAME]],6)&lt;&gt;"County"),_xlfn.TEXTJOIN(" ",TRUE,Entities[[#This Row],[ENT_NAME]],"County"),Entities[[#This Row],[ENT_NAME]])</f>
        <v>Gruver</v>
      </c>
    </row>
    <row r="1069" spans="1:6" x14ac:dyDescent="0.25">
      <c r="A1069" s="302" t="s">
        <v>1126</v>
      </c>
      <c r="B1069" s="303" t="str">
        <f t="shared" si="16"/>
        <v>x01003342</v>
      </c>
      <c r="C1069" t="s">
        <v>5458</v>
      </c>
      <c r="D1069" t="s">
        <v>5819</v>
      </c>
      <c r="E1069">
        <v>1</v>
      </c>
      <c r="F1069" t="str">
        <f>IF(AND(Entities[[#This Row],[ENT_TYPE]]="County",RIGHT(Entities[[#This Row],[ENT_NAME]],6)&lt;&gt;"County"),_xlfn.TEXTJOIN(" ",TRUE,Entities[[#This Row],[ENT_NAME]],"County"),Entities[[#This Row],[ENT_NAME]])</f>
        <v>Mobeetie</v>
      </c>
    </row>
    <row r="1070" spans="1:6" x14ac:dyDescent="0.25">
      <c r="A1070" s="304" t="s">
        <v>1220</v>
      </c>
      <c r="B1070" s="303" t="str">
        <f t="shared" si="16"/>
        <v>x01003419</v>
      </c>
      <c r="C1070" t="s">
        <v>5458</v>
      </c>
      <c r="D1070" t="s">
        <v>5820</v>
      </c>
      <c r="E1070">
        <v>1</v>
      </c>
      <c r="F1070" t="str">
        <f>IF(AND(Entities[[#This Row],[ENT_TYPE]]="County",RIGHT(Entities[[#This Row],[ENT_NAME]],6)&lt;&gt;"County"),_xlfn.TEXTJOIN(" ",TRUE,Entities[[#This Row],[ENT_NAME]],"County"),Entities[[#This Row],[ENT_NAME]])</f>
        <v>Dodson</v>
      </c>
    </row>
    <row r="1071" spans="1:6" x14ac:dyDescent="0.25">
      <c r="A1071" s="302" t="s">
        <v>5821</v>
      </c>
      <c r="B1071" s="303" t="str">
        <f t="shared" si="16"/>
        <v>x01003420</v>
      </c>
      <c r="C1071" t="s">
        <v>5458</v>
      </c>
      <c r="D1071" t="s">
        <v>5822</v>
      </c>
      <c r="E1071">
        <v>1</v>
      </c>
      <c r="F1071" t="str">
        <f>IF(AND(Entities[[#This Row],[ENT_TYPE]]="County",RIGHT(Entities[[#This Row],[ENT_NAME]],6)&lt;&gt;"County"),_xlfn.TEXTJOIN(" ",TRUE,Entities[[#This Row],[ENT_NAME]],"County"),Entities[[#This Row],[ENT_NAME]])</f>
        <v>Wellington</v>
      </c>
    </row>
    <row r="1072" spans="1:6" x14ac:dyDescent="0.25">
      <c r="A1072" s="304" t="s">
        <v>5823</v>
      </c>
      <c r="B1072" s="303" t="str">
        <f t="shared" si="16"/>
        <v>x01003426</v>
      </c>
      <c r="C1072" t="s">
        <v>5458</v>
      </c>
      <c r="D1072" t="s">
        <v>5824</v>
      </c>
      <c r="E1072">
        <v>1</v>
      </c>
      <c r="F1072" t="str">
        <f>IF(AND(Entities[[#This Row],[ENT_TYPE]]="County",RIGHT(Entities[[#This Row],[ENT_NAME]],6)&lt;&gt;"County"),_xlfn.TEXTJOIN(" ",TRUE,Entities[[#This Row],[ENT_NAME]],"County"),Entities[[#This Row],[ENT_NAME]])</f>
        <v>Canyon</v>
      </c>
    </row>
    <row r="1073" spans="1:6" x14ac:dyDescent="0.25">
      <c r="A1073" s="302" t="s">
        <v>5825</v>
      </c>
      <c r="B1073" s="303" t="str">
        <f t="shared" si="16"/>
        <v>x01003427</v>
      </c>
      <c r="C1073" t="s">
        <v>5458</v>
      </c>
      <c r="D1073" t="s">
        <v>5826</v>
      </c>
      <c r="E1073">
        <v>1</v>
      </c>
      <c r="F1073" t="str">
        <f>IF(AND(Entities[[#This Row],[ENT_TYPE]]="County",RIGHT(Entities[[#This Row],[ENT_NAME]],6)&lt;&gt;"County"),_xlfn.TEXTJOIN(" ",TRUE,Entities[[#This Row],[ENT_NAME]],"County"),Entities[[#This Row],[ENT_NAME]])</f>
        <v>Lake Tanglewood</v>
      </c>
    </row>
    <row r="1074" spans="1:6" x14ac:dyDescent="0.25">
      <c r="A1074" s="304" t="s">
        <v>1309</v>
      </c>
      <c r="B1074" s="303" t="str">
        <f t="shared" si="16"/>
        <v>x01003436</v>
      </c>
      <c r="C1074" t="s">
        <v>5458</v>
      </c>
      <c r="D1074" t="s">
        <v>5827</v>
      </c>
      <c r="E1074">
        <v>1</v>
      </c>
      <c r="F1074" t="str">
        <f>IF(AND(Entities[[#This Row],[ENT_TYPE]]="County",RIGHT(Entities[[#This Row],[ENT_NAME]],6)&lt;&gt;"County"),_xlfn.TEXTJOIN(" ",TRUE,Entities[[#This Row],[ENT_NAME]],"County"),Entities[[#This Row],[ENT_NAME]])</f>
        <v>Claude</v>
      </c>
    </row>
    <row r="1075" spans="1:6" x14ac:dyDescent="0.25">
      <c r="A1075" s="302" t="s">
        <v>5828</v>
      </c>
      <c r="B1075" s="303" t="str">
        <f t="shared" si="16"/>
        <v>x01003479</v>
      </c>
      <c r="C1075" t="s">
        <v>5458</v>
      </c>
      <c r="D1075" t="s">
        <v>5829</v>
      </c>
      <c r="E1075">
        <v>1</v>
      </c>
      <c r="F1075" t="str">
        <f>IF(AND(Entities[[#This Row],[ENT_TYPE]]="County",RIGHT(Entities[[#This Row],[ENT_NAME]],6)&lt;&gt;"County"),_xlfn.TEXTJOIN(" ",TRUE,Entities[[#This Row],[ENT_NAME]],"County"),Entities[[#This Row],[ENT_NAME]])</f>
        <v>Archer City</v>
      </c>
    </row>
    <row r="1076" spans="1:6" x14ac:dyDescent="0.25">
      <c r="A1076" s="304" t="s">
        <v>5830</v>
      </c>
      <c r="B1076" s="303" t="str">
        <f t="shared" si="16"/>
        <v>x01003495</v>
      </c>
      <c r="C1076" t="s">
        <v>5458</v>
      </c>
      <c r="D1076" t="s">
        <v>5831</v>
      </c>
      <c r="E1076">
        <v>1</v>
      </c>
      <c r="F1076" t="str">
        <f>IF(AND(Entities[[#This Row],[ENT_TYPE]]="County",RIGHT(Entities[[#This Row],[ENT_NAME]],6)&lt;&gt;"County"),_xlfn.TEXTJOIN(" ",TRUE,Entities[[#This Row],[ENT_NAME]],"County"),Entities[[#This Row],[ENT_NAME]])</f>
        <v>Holliday</v>
      </c>
    </row>
    <row r="1077" spans="1:6" x14ac:dyDescent="0.25">
      <c r="A1077" s="302" t="s">
        <v>5832</v>
      </c>
      <c r="B1077" s="303" t="str">
        <f t="shared" si="16"/>
        <v>x01003496</v>
      </c>
      <c r="C1077" t="s">
        <v>5458</v>
      </c>
      <c r="D1077" t="s">
        <v>5833</v>
      </c>
      <c r="E1077">
        <v>1</v>
      </c>
      <c r="F1077" t="str">
        <f>IF(AND(Entities[[#This Row],[ENT_TYPE]]="County",RIGHT(Entities[[#This Row],[ENT_NAME]],6)&lt;&gt;"County"),_xlfn.TEXTJOIN(" ",TRUE,Entities[[#This Row],[ENT_NAME]],"County"),Entities[[#This Row],[ENT_NAME]])</f>
        <v>Lakeside City</v>
      </c>
    </row>
    <row r="1078" spans="1:6" x14ac:dyDescent="0.25">
      <c r="A1078" s="304" t="s">
        <v>5834</v>
      </c>
      <c r="B1078" s="303" t="str">
        <f t="shared" si="16"/>
        <v>x01003497</v>
      </c>
      <c r="C1078" t="s">
        <v>5458</v>
      </c>
      <c r="D1078" t="s">
        <v>5835</v>
      </c>
      <c r="E1078">
        <v>1</v>
      </c>
      <c r="F1078" t="str">
        <f>IF(AND(Entities[[#This Row],[ENT_TYPE]]="County",RIGHT(Entities[[#This Row],[ENT_NAME]],6)&lt;&gt;"County"),_xlfn.TEXTJOIN(" ",TRUE,Entities[[#This Row],[ENT_NAME]],"County"),Entities[[#This Row],[ENT_NAME]])</f>
        <v>Shamrock</v>
      </c>
    </row>
    <row r="1079" spans="1:6" x14ac:dyDescent="0.25">
      <c r="A1079" s="302" t="s">
        <v>5836</v>
      </c>
      <c r="B1079" s="303" t="str">
        <f t="shared" si="16"/>
        <v>x01003498</v>
      </c>
      <c r="C1079" t="s">
        <v>5458</v>
      </c>
      <c r="D1079" t="s">
        <v>1121</v>
      </c>
      <c r="E1079">
        <v>1</v>
      </c>
      <c r="F1079" t="str">
        <f>IF(AND(Entities[[#This Row],[ENT_TYPE]]="County",RIGHT(Entities[[#This Row],[ENT_NAME]],6)&lt;&gt;"County"),_xlfn.TEXTJOIN(" ",TRUE,Entities[[#This Row],[ENT_NAME]],"County"),Entities[[#This Row],[ENT_NAME]])</f>
        <v>Wheeler</v>
      </c>
    </row>
    <row r="1080" spans="1:6" x14ac:dyDescent="0.25">
      <c r="A1080" s="304" t="s">
        <v>5837</v>
      </c>
      <c r="B1080" s="303" t="str">
        <f t="shared" si="16"/>
        <v>x01003547</v>
      </c>
      <c r="C1080" t="s">
        <v>5458</v>
      </c>
      <c r="D1080" t="s">
        <v>5838</v>
      </c>
      <c r="E1080">
        <v>1</v>
      </c>
      <c r="F1080" t="str">
        <f>IF(AND(Entities[[#This Row],[ENT_TYPE]]="County",RIGHT(Entities[[#This Row],[ENT_NAME]],6)&lt;&gt;"County"),_xlfn.TEXTJOIN(" ",TRUE,Entities[[#This Row],[ENT_NAME]],"County"),Entities[[#This Row],[ENT_NAME]])</f>
        <v>Darrouzett</v>
      </c>
    </row>
    <row r="1081" spans="1:6" x14ac:dyDescent="0.25">
      <c r="A1081" s="302" t="s">
        <v>5839</v>
      </c>
      <c r="B1081" s="303" t="str">
        <f t="shared" si="16"/>
        <v>x01003548</v>
      </c>
      <c r="C1081" t="s">
        <v>5458</v>
      </c>
      <c r="D1081" t="s">
        <v>5840</v>
      </c>
      <c r="E1081">
        <v>1</v>
      </c>
      <c r="F1081" t="str">
        <f>IF(AND(Entities[[#This Row],[ENT_TYPE]]="County",RIGHT(Entities[[#This Row],[ENT_NAME]],6)&lt;&gt;"County"),_xlfn.TEXTJOIN(" ",TRUE,Entities[[#This Row],[ENT_NAME]],"County"),Entities[[#This Row],[ENT_NAME]])</f>
        <v>Higgins</v>
      </c>
    </row>
    <row r="1082" spans="1:6" x14ac:dyDescent="0.25">
      <c r="A1082" s="304" t="s">
        <v>5841</v>
      </c>
      <c r="B1082" s="303" t="str">
        <f t="shared" si="16"/>
        <v>x01003562</v>
      </c>
      <c r="C1082" t="s">
        <v>5458</v>
      </c>
      <c r="D1082" t="s">
        <v>5842</v>
      </c>
      <c r="E1082">
        <v>1</v>
      </c>
      <c r="F1082" t="str">
        <f>IF(AND(Entities[[#This Row],[ENT_TYPE]]="County",RIGHT(Entities[[#This Row],[ENT_NAME]],6)&lt;&gt;"County"),_xlfn.TEXTJOIN(" ",TRUE,Entities[[#This Row],[ENT_NAME]],"County"),Entities[[#This Row],[ENT_NAME]])</f>
        <v>Quanah</v>
      </c>
    </row>
    <row r="1083" spans="1:6" x14ac:dyDescent="0.25">
      <c r="A1083" s="302" t="s">
        <v>5843</v>
      </c>
      <c r="B1083" s="303" t="str">
        <f t="shared" si="16"/>
        <v>x01003564</v>
      </c>
      <c r="C1083" t="s">
        <v>5458</v>
      </c>
      <c r="D1083" t="s">
        <v>5844</v>
      </c>
      <c r="E1083">
        <v>1</v>
      </c>
      <c r="F1083" t="str">
        <f>IF(AND(Entities[[#This Row],[ENT_TYPE]]="County",RIGHT(Entities[[#This Row],[ENT_NAME]],6)&lt;&gt;"County"),_xlfn.TEXTJOIN(" ",TRUE,Entities[[#This Row],[ENT_NAME]],"County"),Entities[[#This Row],[ENT_NAME]])</f>
        <v>Paducah</v>
      </c>
    </row>
    <row r="1084" spans="1:6" x14ac:dyDescent="0.25">
      <c r="A1084" s="304" t="s">
        <v>5845</v>
      </c>
      <c r="B1084" s="303" t="str">
        <f t="shared" si="16"/>
        <v>x01003565</v>
      </c>
      <c r="C1084" t="s">
        <v>5458</v>
      </c>
      <c r="D1084" t="s">
        <v>5846</v>
      </c>
      <c r="E1084">
        <v>1</v>
      </c>
      <c r="F1084" t="str">
        <f>IF(AND(Entities[[#This Row],[ENT_TYPE]]="County",RIGHT(Entities[[#This Row],[ENT_NAME]],6)&lt;&gt;"County"),_xlfn.TEXTJOIN(" ",TRUE,Entities[[#This Row],[ENT_NAME]],"County"),Entities[[#This Row],[ENT_NAME]])</f>
        <v>Booker</v>
      </c>
    </row>
    <row r="1085" spans="1:6" x14ac:dyDescent="0.25">
      <c r="A1085" s="302" t="s">
        <v>5847</v>
      </c>
      <c r="B1085" s="303" t="str">
        <f t="shared" si="16"/>
        <v>x01003568</v>
      </c>
      <c r="C1085" t="s">
        <v>5458</v>
      </c>
      <c r="D1085" t="s">
        <v>5848</v>
      </c>
      <c r="E1085">
        <v>1</v>
      </c>
      <c r="F1085" t="str">
        <f>IF(AND(Entities[[#This Row],[ENT_TYPE]]="County",RIGHT(Entities[[#This Row],[ENT_NAME]],6)&lt;&gt;"County"),_xlfn.TEXTJOIN(" ",TRUE,Entities[[#This Row],[ENT_NAME]],"County"),Entities[[#This Row],[ENT_NAME]])</f>
        <v>Turkey</v>
      </c>
    </row>
    <row r="1086" spans="1:6" x14ac:dyDescent="0.25">
      <c r="A1086" s="304" t="s">
        <v>1284</v>
      </c>
      <c r="B1086" s="303" t="str">
        <f t="shared" si="16"/>
        <v>x01003570</v>
      </c>
      <c r="C1086" t="s">
        <v>5458</v>
      </c>
      <c r="D1086" t="s">
        <v>5849</v>
      </c>
      <c r="E1086">
        <v>1</v>
      </c>
      <c r="F1086" t="str">
        <f>IF(AND(Entities[[#This Row],[ENT_TYPE]]="County",RIGHT(Entities[[#This Row],[ENT_NAME]],6)&lt;&gt;"County"),_xlfn.TEXTJOIN(" ",TRUE,Entities[[#This Row],[ENT_NAME]],"County"),Entities[[#This Row],[ENT_NAME]])</f>
        <v>Perryton</v>
      </c>
    </row>
    <row r="1087" spans="1:6" x14ac:dyDescent="0.25">
      <c r="A1087" s="302" t="s">
        <v>5850</v>
      </c>
      <c r="B1087" s="303" t="str">
        <f t="shared" si="16"/>
        <v>x01003571</v>
      </c>
      <c r="C1087" t="s">
        <v>4</v>
      </c>
      <c r="D1087" t="s">
        <v>5851</v>
      </c>
      <c r="E1087">
        <v>1</v>
      </c>
      <c r="F1087" t="str">
        <f>IF(AND(Entities[[#This Row],[ENT_TYPE]]="County",RIGHT(Entities[[#This Row],[ENT_NAME]],6)&lt;&gt;"County"),_xlfn.TEXTJOIN(" ",TRUE,Entities[[#This Row],[ENT_NAME]],"County"),Entities[[#This Row],[ENT_NAME]])</f>
        <v>Gray County SWCD</v>
      </c>
    </row>
    <row r="1088" spans="1:6" x14ac:dyDescent="0.25">
      <c r="A1088" s="304" t="s">
        <v>5852</v>
      </c>
      <c r="B1088" s="303" t="str">
        <f t="shared" si="16"/>
        <v>x01003572</v>
      </c>
      <c r="C1088" t="s">
        <v>4</v>
      </c>
      <c r="D1088" t="s">
        <v>5853</v>
      </c>
      <c r="E1088">
        <v>1</v>
      </c>
      <c r="F1088" t="str">
        <f>IF(AND(Entities[[#This Row],[ENT_TYPE]]="County",RIGHT(Entities[[#This Row],[ENT_NAME]],6)&lt;&gt;"County"),_xlfn.TEXTJOIN(" ",TRUE,Entities[[#This Row],[ENT_NAME]],"County"),Entities[[#This Row],[ENT_NAME]])</f>
        <v>Donley County SWCD</v>
      </c>
    </row>
    <row r="1089" spans="1:6" x14ac:dyDescent="0.25">
      <c r="A1089" s="302" t="s">
        <v>5854</v>
      </c>
      <c r="B1089" s="303" t="str">
        <f t="shared" si="16"/>
        <v>x01003573</v>
      </c>
      <c r="C1089" t="s">
        <v>4</v>
      </c>
      <c r="D1089" t="s">
        <v>5855</v>
      </c>
      <c r="E1089">
        <v>1</v>
      </c>
      <c r="F1089" t="str">
        <f>IF(AND(Entities[[#This Row],[ENT_TYPE]]="County",RIGHT(Entities[[#This Row],[ENT_NAME]],6)&lt;&gt;"County"),_xlfn.TEXTJOIN(" ",TRUE,Entities[[#This Row],[ENT_NAME]],"County"),Entities[[#This Row],[ENT_NAME]])</f>
        <v>Roberts County SWCD</v>
      </c>
    </row>
    <row r="1090" spans="1:6" x14ac:dyDescent="0.25">
      <c r="A1090" s="304" t="s">
        <v>5856</v>
      </c>
      <c r="B1090" s="303" t="str">
        <f t="shared" ref="B1090:B1153" si="17">_xlfn.CONCAT("x",TEXT(A1090,"00000000"))</f>
        <v>x01003574</v>
      </c>
      <c r="C1090" t="s">
        <v>4</v>
      </c>
      <c r="D1090" t="s">
        <v>5857</v>
      </c>
      <c r="E1090">
        <v>1</v>
      </c>
      <c r="F1090" t="str">
        <f>IF(AND(Entities[[#This Row],[ENT_TYPE]]="County",RIGHT(Entities[[#This Row],[ENT_NAME]],6)&lt;&gt;"County"),_xlfn.TEXTJOIN(" ",TRUE,Entities[[#This Row],[ENT_NAME]],"County"),Entities[[#This Row],[ENT_NAME]])</f>
        <v>Hall Childress SWCD</v>
      </c>
    </row>
    <row r="1091" spans="1:6" x14ac:dyDescent="0.25">
      <c r="A1091" s="304" t="s">
        <v>5858</v>
      </c>
      <c r="B1091" s="303" t="str">
        <f t="shared" si="17"/>
        <v>x01003576</v>
      </c>
      <c r="C1091" t="s">
        <v>4</v>
      </c>
      <c r="D1091" t="s">
        <v>5859</v>
      </c>
      <c r="E1091">
        <v>1</v>
      </c>
      <c r="F1091" t="str">
        <f>IF(AND(Entities[[#This Row],[ENT_TYPE]]="County",RIGHT(Entities[[#This Row],[ENT_NAME]],6)&lt;&gt;"County"),_xlfn.TEXTJOIN(" ",TRUE,Entities[[#This Row],[ENT_NAME]],"County"),Entities[[#This Row],[ENT_NAME]])</f>
        <v>Windthorst WSC</v>
      </c>
    </row>
    <row r="1092" spans="1:6" x14ac:dyDescent="0.25">
      <c r="A1092" s="304" t="s">
        <v>5860</v>
      </c>
      <c r="B1092" s="303" t="str">
        <f t="shared" si="17"/>
        <v>x02000120</v>
      </c>
      <c r="C1092" t="s">
        <v>4947</v>
      </c>
      <c r="D1092" t="s">
        <v>1647</v>
      </c>
      <c r="E1092">
        <v>2</v>
      </c>
      <c r="F1092" t="str">
        <f>IF(AND(Entities[[#This Row],[ENT_TYPE]]="County",RIGHT(Entities[[#This Row],[ENT_NAME]],6)&lt;&gt;"County"),_xlfn.TEXTJOIN(" ",TRUE,Entities[[#This Row],[ENT_NAME]],"County"),Entities[[#This Row],[ENT_NAME]])</f>
        <v>Marion County</v>
      </c>
    </row>
    <row r="1093" spans="1:6" x14ac:dyDescent="0.25">
      <c r="A1093" s="302" t="s">
        <v>5861</v>
      </c>
      <c r="B1093" s="303" t="str">
        <f t="shared" si="17"/>
        <v>x02000178</v>
      </c>
      <c r="C1093" t="s">
        <v>4947</v>
      </c>
      <c r="D1093" t="s">
        <v>1590</v>
      </c>
      <c r="E1093">
        <v>2</v>
      </c>
      <c r="F1093" t="str">
        <f>IF(AND(Entities[[#This Row],[ENT_TYPE]]="County",RIGHT(Entities[[#This Row],[ENT_NAME]],6)&lt;&gt;"County"),_xlfn.TEXTJOIN(" ",TRUE,Entities[[#This Row],[ENT_NAME]],"County"),Entities[[#This Row],[ENT_NAME]])</f>
        <v>Camp County</v>
      </c>
    </row>
    <row r="1094" spans="1:6" x14ac:dyDescent="0.25">
      <c r="A1094" s="302" t="s">
        <v>5862</v>
      </c>
      <c r="B1094" s="303" t="str">
        <f t="shared" si="17"/>
        <v>x02000192</v>
      </c>
      <c r="C1094" t="s">
        <v>4947</v>
      </c>
      <c r="D1094" t="s">
        <v>1641</v>
      </c>
      <c r="E1094">
        <v>2</v>
      </c>
      <c r="F1094" t="str">
        <f>IF(AND(Entities[[#This Row],[ENT_TYPE]]="County",RIGHT(Entities[[#This Row],[ENT_NAME]],6)&lt;&gt;"County"),_xlfn.TEXTJOIN(" ",TRUE,Entities[[#This Row],[ENT_NAME]],"County"),Entities[[#This Row],[ENT_NAME]])</f>
        <v>Lamar County</v>
      </c>
    </row>
    <row r="1095" spans="1:6" x14ac:dyDescent="0.25">
      <c r="A1095" s="304" t="s">
        <v>5863</v>
      </c>
      <c r="B1095" s="303" t="str">
        <f t="shared" si="17"/>
        <v>x02000193</v>
      </c>
      <c r="C1095" t="s">
        <v>4947</v>
      </c>
      <c r="D1095" t="s">
        <v>1662</v>
      </c>
      <c r="E1095">
        <v>2</v>
      </c>
      <c r="F1095" t="str">
        <f>IF(AND(Entities[[#This Row],[ENT_TYPE]]="County",RIGHT(Entities[[#This Row],[ENT_NAME]],6)&lt;&gt;"County"),_xlfn.TEXTJOIN(" ",TRUE,Entities[[#This Row],[ENT_NAME]],"County"),Entities[[#This Row],[ENT_NAME]])</f>
        <v>Red River County</v>
      </c>
    </row>
    <row r="1096" spans="1:6" x14ac:dyDescent="0.25">
      <c r="A1096" s="304" t="s">
        <v>5864</v>
      </c>
      <c r="B1096" s="303" t="str">
        <f t="shared" si="17"/>
        <v>x02000211</v>
      </c>
      <c r="C1096" t="s">
        <v>4947</v>
      </c>
      <c r="D1096" t="s">
        <v>1654</v>
      </c>
      <c r="E1096">
        <v>2</v>
      </c>
      <c r="F1096" t="str">
        <f>IF(AND(Entities[[#This Row],[ENT_TYPE]]="County",RIGHT(Entities[[#This Row],[ENT_NAME]],6)&lt;&gt;"County"),_xlfn.TEXTJOIN(" ",TRUE,Entities[[#This Row],[ENT_NAME]],"County"),Entities[[#This Row],[ENT_NAME]])</f>
        <v>Morris County</v>
      </c>
    </row>
    <row r="1097" spans="1:6" x14ac:dyDescent="0.25">
      <c r="A1097" s="302" t="s">
        <v>5865</v>
      </c>
      <c r="B1097" s="303" t="str">
        <f t="shared" si="17"/>
        <v>x02000214</v>
      </c>
      <c r="C1097" t="s">
        <v>4947</v>
      </c>
      <c r="D1097" t="s">
        <v>1668</v>
      </c>
      <c r="E1097">
        <v>2</v>
      </c>
      <c r="F1097" t="str">
        <f>IF(AND(Entities[[#This Row],[ENT_TYPE]]="County",RIGHT(Entities[[#This Row],[ENT_NAME]],6)&lt;&gt;"County"),_xlfn.TEXTJOIN(" ",TRUE,Entities[[#This Row],[ENT_NAME]],"County"),Entities[[#This Row],[ENT_NAME]])</f>
        <v>Titus County</v>
      </c>
    </row>
    <row r="1098" spans="1:6" x14ac:dyDescent="0.25">
      <c r="A1098" s="304" t="s">
        <v>1607</v>
      </c>
      <c r="B1098" s="303" t="str">
        <f t="shared" si="17"/>
        <v>x02000215</v>
      </c>
      <c r="C1098" t="s">
        <v>4947</v>
      </c>
      <c r="D1098" t="s">
        <v>1537</v>
      </c>
      <c r="E1098">
        <v>2</v>
      </c>
      <c r="F1098" t="str">
        <f>IF(AND(Entities[[#This Row],[ENT_TYPE]]="County",RIGHT(Entities[[#This Row],[ENT_NAME]],6)&lt;&gt;"County"),_xlfn.TEXTJOIN(" ",TRUE,Entities[[#This Row],[ENT_NAME]],"County"),Entities[[#This Row],[ENT_NAME]])</f>
        <v>Delta County</v>
      </c>
    </row>
    <row r="1099" spans="1:6" x14ac:dyDescent="0.25">
      <c r="A1099" s="302" t="s">
        <v>5866</v>
      </c>
      <c r="B1099" s="303" t="str">
        <f t="shared" si="17"/>
        <v>x02000216</v>
      </c>
      <c r="C1099" t="s">
        <v>4947</v>
      </c>
      <c r="D1099" t="s">
        <v>1583</v>
      </c>
      <c r="E1099">
        <v>2</v>
      </c>
      <c r="F1099" t="str">
        <f>IF(AND(Entities[[#This Row],[ENT_TYPE]]="County",RIGHT(Entities[[#This Row],[ENT_NAME]],6)&lt;&gt;"County"),_xlfn.TEXTJOIN(" ",TRUE,Entities[[#This Row],[ENT_NAME]],"County"),Entities[[#This Row],[ENT_NAME]])</f>
        <v>Bowie County</v>
      </c>
    </row>
    <row r="1100" spans="1:6" x14ac:dyDescent="0.25">
      <c r="A1100" s="304" t="s">
        <v>5867</v>
      </c>
      <c r="B1100" s="303" t="str">
        <f t="shared" si="17"/>
        <v>x02000249</v>
      </c>
      <c r="C1100" t="s">
        <v>4947</v>
      </c>
      <c r="D1100" t="s">
        <v>1517</v>
      </c>
      <c r="E1100">
        <v>2</v>
      </c>
      <c r="F1100" t="str">
        <f>IF(AND(Entities[[#This Row],[ENT_TYPE]]="County",RIGHT(Entities[[#This Row],[ENT_NAME]],6)&lt;&gt;"County"),_xlfn.TEXTJOIN(" ",TRUE,Entities[[#This Row],[ENT_NAME]],"County"),Entities[[#This Row],[ENT_NAME]])</f>
        <v>Cass County</v>
      </c>
    </row>
    <row r="1101" spans="1:6" x14ac:dyDescent="0.25">
      <c r="A1101" s="304" t="s">
        <v>5868</v>
      </c>
      <c r="B1101" s="303" t="str">
        <f t="shared" si="17"/>
        <v>x02000283</v>
      </c>
      <c r="C1101" t="s">
        <v>5127</v>
      </c>
      <c r="D1101" t="s">
        <v>5869</v>
      </c>
      <c r="E1101">
        <v>2</v>
      </c>
      <c r="F1101" t="str">
        <f>IF(AND(Entities[[#This Row],[ENT_TYPE]]="County",RIGHT(Entities[[#This Row],[ENT_NAME]],6)&lt;&gt;"County"),_xlfn.TEXTJOIN(" ",TRUE,Entities[[#This Row],[ENT_NAME]],"County"),Entities[[#This Row],[ENT_NAME]])</f>
        <v>Titus County FWSD 1</v>
      </c>
    </row>
    <row r="1102" spans="1:6" x14ac:dyDescent="0.25">
      <c r="A1102" s="304" t="s">
        <v>5870</v>
      </c>
      <c r="B1102" s="303" t="str">
        <f t="shared" si="17"/>
        <v>x02000309</v>
      </c>
      <c r="C1102" t="s">
        <v>5127</v>
      </c>
      <c r="D1102" t="s">
        <v>5871</v>
      </c>
      <c r="E1102">
        <v>2</v>
      </c>
      <c r="F1102" t="str">
        <f>IF(AND(Entities[[#This Row],[ENT_TYPE]]="County",RIGHT(Entities[[#This Row],[ENT_NAME]],6)&lt;&gt;"County"),_xlfn.TEXTJOIN(" ",TRUE,Entities[[#This Row],[ENT_NAME]],"County"),Entities[[#This Row],[ENT_NAME]])</f>
        <v>Northeast Texas Municipal Water District</v>
      </c>
    </row>
    <row r="1103" spans="1:6" x14ac:dyDescent="0.25">
      <c r="A1103" s="302" t="s">
        <v>5872</v>
      </c>
      <c r="B1103" s="303" t="str">
        <f t="shared" si="17"/>
        <v>x02000322</v>
      </c>
      <c r="C1103" t="s">
        <v>4</v>
      </c>
      <c r="D1103" t="s">
        <v>5873</v>
      </c>
      <c r="E1103">
        <v>2</v>
      </c>
      <c r="F1103" t="str">
        <f>IF(AND(Entities[[#This Row],[ENT_TYPE]]="County",RIGHT(Entities[[#This Row],[ENT_NAME]],6)&lt;&gt;"County"),_xlfn.TEXTJOIN(" ",TRUE,Entities[[#This Row],[ENT_NAME]],"County"),Entities[[#This Row],[ENT_NAME]])</f>
        <v>Jefferson Water - Sewer Dist</v>
      </c>
    </row>
    <row r="1104" spans="1:6" x14ac:dyDescent="0.25">
      <c r="A1104" s="304" t="s">
        <v>5874</v>
      </c>
      <c r="B1104" s="303" t="str">
        <f t="shared" si="17"/>
        <v>x02000329</v>
      </c>
      <c r="C1104" t="s">
        <v>4</v>
      </c>
      <c r="D1104" t="s">
        <v>5875</v>
      </c>
      <c r="E1104">
        <v>2</v>
      </c>
      <c r="F1104" t="str">
        <f>IF(AND(Entities[[#This Row],[ENT_TYPE]]="County",RIGHT(Entities[[#This Row],[ENT_NAME]],6)&lt;&gt;"County"),_xlfn.TEXTJOIN(" ",TRUE,Entities[[#This Row],[ENT_NAME]],"County"),Entities[[#This Row],[ENT_NAME]])</f>
        <v>Lannius MUD</v>
      </c>
    </row>
    <row r="1105" spans="1:6" x14ac:dyDescent="0.25">
      <c r="A1105" s="302" t="s">
        <v>5876</v>
      </c>
      <c r="B1105" s="303" t="str">
        <f t="shared" si="17"/>
        <v>x02000351</v>
      </c>
      <c r="C1105" t="s">
        <v>4</v>
      </c>
      <c r="D1105" t="s">
        <v>5877</v>
      </c>
      <c r="E1105">
        <v>2</v>
      </c>
      <c r="F1105" t="str">
        <f>IF(AND(Entities[[#This Row],[ENT_TYPE]]="County",RIGHT(Entities[[#This Row],[ENT_NAME]],6)&lt;&gt;"County"),_xlfn.TEXTJOIN(" ",TRUE,Entities[[#This Row],[ENT_NAME]],"County"),Entities[[#This Row],[ENT_NAME]])</f>
        <v>Lake Texoma MUD 1</v>
      </c>
    </row>
    <row r="1106" spans="1:6" x14ac:dyDescent="0.25">
      <c r="A1106" s="304" t="s">
        <v>5878</v>
      </c>
      <c r="B1106" s="303" t="str">
        <f t="shared" si="17"/>
        <v>x02000364</v>
      </c>
      <c r="C1106" t="s">
        <v>4</v>
      </c>
      <c r="D1106" t="s">
        <v>5879</v>
      </c>
      <c r="E1106">
        <v>2</v>
      </c>
      <c r="F1106" t="str">
        <f>IF(AND(Entities[[#This Row],[ENT_TYPE]]="County",RIGHT(Entities[[#This Row],[ENT_NAME]],6)&lt;&gt;"County"),_xlfn.TEXTJOIN(" ",TRUE,Entities[[#This Row],[ENT_NAME]],"County"),Entities[[#This Row],[ENT_NAME]])</f>
        <v>North Hunt SUD</v>
      </c>
    </row>
    <row r="1107" spans="1:6" x14ac:dyDescent="0.25">
      <c r="A1107" s="304" t="s">
        <v>5880</v>
      </c>
      <c r="B1107" s="303" t="str">
        <f t="shared" si="17"/>
        <v>x02000391</v>
      </c>
      <c r="C1107" t="s">
        <v>4</v>
      </c>
      <c r="D1107" t="s">
        <v>5881</v>
      </c>
      <c r="E1107">
        <v>2</v>
      </c>
      <c r="F1107" t="str">
        <f>IF(AND(Entities[[#This Row],[ENT_TYPE]]="County",RIGHT(Entities[[#This Row],[ENT_NAME]],6)&lt;&gt;"County"),_xlfn.TEXTJOIN(" ",TRUE,Entities[[#This Row],[ENT_NAME]],"County"),Entities[[#This Row],[ENT_NAME]])</f>
        <v>Delta County MUD</v>
      </c>
    </row>
    <row r="1108" spans="1:6" x14ac:dyDescent="0.25">
      <c r="A1108" s="302" t="s">
        <v>5882</v>
      </c>
      <c r="B1108" s="303" t="str">
        <f t="shared" si="17"/>
        <v>x02000471</v>
      </c>
      <c r="C1108" t="s">
        <v>5166</v>
      </c>
      <c r="D1108" t="s">
        <v>5883</v>
      </c>
      <c r="E1108">
        <v>2</v>
      </c>
      <c r="F1108" t="str">
        <f>IF(AND(Entities[[#This Row],[ENT_TYPE]]="County",RIGHT(Entities[[#This Row],[ENT_NAME]],6)&lt;&gt;"County"),_xlfn.TEXTJOIN(" ",TRUE,Entities[[#This Row],[ENT_NAME]],"County"),Entities[[#This Row],[ENT_NAME]])</f>
        <v>Lamar County WCID 1 - Auds Creek</v>
      </c>
    </row>
    <row r="1109" spans="1:6" x14ac:dyDescent="0.25">
      <c r="A1109" s="304" t="s">
        <v>5884</v>
      </c>
      <c r="B1109" s="303" t="str">
        <f t="shared" si="17"/>
        <v>x02000509</v>
      </c>
      <c r="C1109" t="s">
        <v>5166</v>
      </c>
      <c r="D1109" t="s">
        <v>5885</v>
      </c>
      <c r="E1109">
        <v>2</v>
      </c>
      <c r="F1109" t="str">
        <f>IF(AND(Entities[[#This Row],[ENT_TYPE]]="County",RIGHT(Entities[[#This Row],[ENT_NAME]],6)&lt;&gt;"County"),_xlfn.TEXTJOIN(" ",TRUE,Entities[[#This Row],[ENT_NAME]],"County"),Entities[[#This Row],[ENT_NAME]])</f>
        <v>Northwest Grayson County WCID 1</v>
      </c>
    </row>
    <row r="1110" spans="1:6" x14ac:dyDescent="0.25">
      <c r="A1110" s="302" t="s">
        <v>5886</v>
      </c>
      <c r="B1110" s="303" t="str">
        <f t="shared" si="17"/>
        <v>x02000514</v>
      </c>
      <c r="C1110" t="s">
        <v>5166</v>
      </c>
      <c r="D1110" t="s">
        <v>5887</v>
      </c>
      <c r="E1110">
        <v>2</v>
      </c>
      <c r="F1110" t="str">
        <f>IF(AND(Entities[[#This Row],[ENT_TYPE]]="County",RIGHT(Entities[[#This Row],[ENT_NAME]],6)&lt;&gt;"County"),_xlfn.TEXTJOIN(" ",TRUE,Entities[[#This Row],[ENT_NAME]],"County"),Entities[[#This Row],[ENT_NAME]])</f>
        <v>Red River County  WCID 1-Langford Creek</v>
      </c>
    </row>
    <row r="1111" spans="1:6" x14ac:dyDescent="0.25">
      <c r="A1111" s="304" t="s">
        <v>5888</v>
      </c>
      <c r="B1111" s="303" t="str">
        <f t="shared" si="17"/>
        <v>x02000524</v>
      </c>
      <c r="C1111" t="s">
        <v>5166</v>
      </c>
      <c r="D1111" t="s">
        <v>5889</v>
      </c>
      <c r="E1111">
        <v>2</v>
      </c>
      <c r="F1111" t="str">
        <f>IF(AND(Entities[[#This Row],[ENT_TYPE]]="County",RIGHT(Entities[[#This Row],[ENT_NAME]],6)&lt;&gt;"County"),_xlfn.TEXTJOIN(" ",TRUE,Entities[[#This Row],[ENT_NAME]],"County"),Entities[[#This Row],[ENT_NAME]])</f>
        <v>Fannin County WCID 1</v>
      </c>
    </row>
    <row r="1112" spans="1:6" x14ac:dyDescent="0.25">
      <c r="A1112" s="302" t="s">
        <v>5890</v>
      </c>
      <c r="B1112" s="303" t="str">
        <f t="shared" si="17"/>
        <v>x02000584</v>
      </c>
      <c r="C1112" t="s">
        <v>4</v>
      </c>
      <c r="D1112" t="s">
        <v>5891</v>
      </c>
      <c r="E1112">
        <v>2</v>
      </c>
      <c r="F1112" t="str">
        <f>IF(AND(Entities[[#This Row],[ENT_TYPE]]="County",RIGHT(Entities[[#This Row],[ENT_NAME]],6)&lt;&gt;"County"),_xlfn.TEXTJOIN(" ",TRUE,Entities[[#This Row],[ENT_NAME]],"County"),Entities[[#This Row],[ENT_NAME]])</f>
        <v>Lamar County Water Supply District</v>
      </c>
    </row>
    <row r="1113" spans="1:6" x14ac:dyDescent="0.25">
      <c r="A1113" s="304" t="s">
        <v>5892</v>
      </c>
      <c r="B1113" s="303" t="str">
        <f t="shared" si="17"/>
        <v>x02000744</v>
      </c>
      <c r="C1113" t="s">
        <v>5166</v>
      </c>
      <c r="D1113" t="s">
        <v>5893</v>
      </c>
      <c r="E1113">
        <v>2</v>
      </c>
      <c r="F1113" t="str">
        <f>IF(AND(Entities[[#This Row],[ENT_TYPE]]="County",RIGHT(Entities[[#This Row],[ENT_NAME]],6)&lt;&gt;"County"),_xlfn.TEXTJOIN(" ",TRUE,Entities[[#This Row],[ENT_NAME]],"County"),Entities[[#This Row],[ENT_NAME]])</f>
        <v>Bowie County LID 1</v>
      </c>
    </row>
    <row r="1114" spans="1:6" x14ac:dyDescent="0.25">
      <c r="A1114" s="302" t="s">
        <v>5892</v>
      </c>
      <c r="B1114" s="303" t="str">
        <f t="shared" si="17"/>
        <v>x02000744</v>
      </c>
      <c r="C1114" t="s">
        <v>5166</v>
      </c>
      <c r="D1114" t="s">
        <v>5894</v>
      </c>
      <c r="E1114">
        <v>2</v>
      </c>
      <c r="F1114" t="str">
        <f>IF(AND(Entities[[#This Row],[ENT_TYPE]]="County",RIGHT(Entities[[#This Row],[ENT_NAME]],6)&lt;&gt;"County"),_xlfn.TEXTJOIN(" ",TRUE,Entities[[#This Row],[ENT_NAME]],"County"),Entities[[#This Row],[ENT_NAME]])</f>
        <v>Lamar County WCID 3 - Pine Creek</v>
      </c>
    </row>
    <row r="1115" spans="1:6" x14ac:dyDescent="0.25">
      <c r="A1115" s="302" t="s">
        <v>5895</v>
      </c>
      <c r="B1115" s="303" t="str">
        <f t="shared" si="17"/>
        <v>x02001336</v>
      </c>
      <c r="C1115" t="s">
        <v>4</v>
      </c>
      <c r="D1115" t="s">
        <v>5896</v>
      </c>
      <c r="E1115">
        <v>2</v>
      </c>
      <c r="F1115" t="str">
        <f>IF(AND(Entities[[#This Row],[ENT_TYPE]]="County",RIGHT(Entities[[#This Row],[ENT_NAME]],6)&lt;&gt;"County"),_xlfn.TEXTJOIN(" ",TRUE,Entities[[#This Row],[ENT_NAME]],"County"),Entities[[#This Row],[ENT_NAME]])</f>
        <v>Browns Ranch MUD 1 of Grayson County</v>
      </c>
    </row>
    <row r="1116" spans="1:6" x14ac:dyDescent="0.25">
      <c r="A1116" s="302" t="s">
        <v>5897</v>
      </c>
      <c r="B1116" s="303" t="str">
        <f t="shared" si="17"/>
        <v>x02001495</v>
      </c>
      <c r="C1116" t="s">
        <v>5166</v>
      </c>
      <c r="D1116" t="s">
        <v>5898</v>
      </c>
      <c r="E1116">
        <v>2</v>
      </c>
      <c r="F1116" t="str">
        <f>IF(AND(Entities[[#This Row],[ENT_TYPE]]="County",RIGHT(Entities[[#This Row],[ENT_NAME]],6)&lt;&gt;"County"),_xlfn.TEXTJOIN(" ",TRUE,Entities[[#This Row],[ENT_NAME]],"County"),Entities[[#This Row],[ENT_NAME]])</f>
        <v>Delta County LID 1</v>
      </c>
    </row>
    <row r="1117" spans="1:6" x14ac:dyDescent="0.25">
      <c r="A1117" s="304" t="s">
        <v>5899</v>
      </c>
      <c r="B1117" s="303" t="str">
        <f t="shared" si="17"/>
        <v>x02001496</v>
      </c>
      <c r="C1117" t="s">
        <v>5166</v>
      </c>
      <c r="D1117" t="s">
        <v>5900</v>
      </c>
      <c r="E1117">
        <v>2</v>
      </c>
      <c r="F1117" t="str">
        <f>IF(AND(Entities[[#This Row],[ENT_TYPE]]="County",RIGHT(Entities[[#This Row],[ENT_NAME]],6)&lt;&gt;"County"),_xlfn.TEXTJOIN(" ",TRUE,Entities[[#This Row],[ENT_NAME]],"County"),Entities[[#This Row],[ENT_NAME]])</f>
        <v>Lamar County LID 1</v>
      </c>
    </row>
    <row r="1118" spans="1:6" x14ac:dyDescent="0.25">
      <c r="A1118" s="304" t="s">
        <v>5901</v>
      </c>
      <c r="B1118" s="303" t="str">
        <f t="shared" si="17"/>
        <v>x02001679</v>
      </c>
      <c r="C1118" t="s">
        <v>4</v>
      </c>
      <c r="D1118" t="s">
        <v>5902</v>
      </c>
      <c r="E1118">
        <v>2</v>
      </c>
      <c r="F1118" t="str">
        <f>IF(AND(Entities[[#This Row],[ENT_TYPE]]="County",RIGHT(Entities[[#This Row],[ENT_NAME]],6)&lt;&gt;"County"),_xlfn.TEXTJOIN(" ",TRUE,Entities[[#This Row],[ENT_NAME]],"County"),Entities[[#This Row],[ENT_NAME]])</f>
        <v>Commerce Water District</v>
      </c>
    </row>
    <row r="1119" spans="1:6" x14ac:dyDescent="0.25">
      <c r="A1119" s="304" t="s">
        <v>5903</v>
      </c>
      <c r="B1119" s="303" t="str">
        <f t="shared" si="17"/>
        <v>x02001780</v>
      </c>
      <c r="C1119" t="s">
        <v>4</v>
      </c>
      <c r="D1119" t="s">
        <v>5904</v>
      </c>
      <c r="E1119">
        <v>2</v>
      </c>
      <c r="F1119" t="str">
        <f>IF(AND(Entities[[#This Row],[ENT_TYPE]]="County",RIGHT(Entities[[#This Row],[ENT_NAME]],6)&lt;&gt;"County"),_xlfn.TEXTJOIN(" ",TRUE,Entities[[#This Row],[ENT_NAME]],"County"),Entities[[#This Row],[ENT_NAME]])</f>
        <v>Bois DArc MUD</v>
      </c>
    </row>
    <row r="1120" spans="1:6" x14ac:dyDescent="0.25">
      <c r="A1120" s="302" t="s">
        <v>5905</v>
      </c>
      <c r="B1120" s="303" t="str">
        <f t="shared" si="17"/>
        <v>x02001793</v>
      </c>
      <c r="C1120" t="s">
        <v>4</v>
      </c>
      <c r="D1120" t="s">
        <v>5906</v>
      </c>
      <c r="E1120">
        <v>2</v>
      </c>
      <c r="F1120" t="str">
        <f>IF(AND(Entities[[#This Row],[ENT_TYPE]]="County",RIGHT(Entities[[#This Row],[ENT_NAME]],6)&lt;&gt;"County"),_xlfn.TEXTJOIN(" ",TRUE,Entities[[#This Row],[ENT_NAME]],"County"),Entities[[#This Row],[ENT_NAME]])</f>
        <v>Gober MUD</v>
      </c>
    </row>
    <row r="1121" spans="1:6" x14ac:dyDescent="0.25">
      <c r="A1121" s="304" t="s">
        <v>5907</v>
      </c>
      <c r="B1121" s="303" t="str">
        <f t="shared" si="17"/>
        <v>x02001794</v>
      </c>
      <c r="C1121" t="s">
        <v>5166</v>
      </c>
      <c r="D1121" t="s">
        <v>5908</v>
      </c>
      <c r="E1121">
        <v>2</v>
      </c>
      <c r="F1121" t="str">
        <f>IF(AND(Entities[[#This Row],[ENT_TYPE]]="County",RIGHT(Entities[[#This Row],[ENT_NAME]],6)&lt;&gt;"County"),_xlfn.TEXTJOIN(" ",TRUE,Entities[[#This Row],[ENT_NAME]],"County"),Entities[[#This Row],[ENT_NAME]])</f>
        <v>Logan Slough Creek Improvement District 2</v>
      </c>
    </row>
    <row r="1122" spans="1:6" x14ac:dyDescent="0.25">
      <c r="A1122" s="302" t="s">
        <v>5909</v>
      </c>
      <c r="B1122" s="303" t="str">
        <f t="shared" si="17"/>
        <v>x02002034</v>
      </c>
      <c r="C1122" t="s">
        <v>5166</v>
      </c>
      <c r="D1122" t="s">
        <v>5910</v>
      </c>
      <c r="E1122">
        <v>2</v>
      </c>
      <c r="F1122" t="str">
        <f>IF(AND(Entities[[#This Row],[ENT_TYPE]]="County",RIGHT(Entities[[#This Row],[ENT_NAME]],6)&lt;&gt;"County"),_xlfn.TEXTJOIN(" ",TRUE,Entities[[#This Row],[ENT_NAME]],"County"),Entities[[#This Row],[ENT_NAME]])</f>
        <v>Hopkins County LID 3</v>
      </c>
    </row>
    <row r="1123" spans="1:6" x14ac:dyDescent="0.25">
      <c r="A1123" s="302" t="s">
        <v>5911</v>
      </c>
      <c r="B1123" s="303" t="str">
        <f t="shared" si="17"/>
        <v>x02002172</v>
      </c>
      <c r="C1123" t="s">
        <v>4</v>
      </c>
      <c r="D1123" t="s">
        <v>5912</v>
      </c>
      <c r="E1123">
        <v>2</v>
      </c>
      <c r="F1123" t="str">
        <f>IF(AND(Entities[[#This Row],[ENT_TYPE]]="County",RIGHT(Entities[[#This Row],[ENT_NAME]],6)&lt;&gt;"County"),_xlfn.TEXTJOIN(" ",TRUE,Entities[[#This Row],[ENT_NAME]],"County"),Entities[[#This Row],[ENT_NAME]])</f>
        <v>Macedonia-Eylau MUD 1</v>
      </c>
    </row>
    <row r="1124" spans="1:6" x14ac:dyDescent="0.25">
      <c r="A1124" s="304" t="s">
        <v>5913</v>
      </c>
      <c r="B1124" s="303" t="str">
        <f t="shared" si="17"/>
        <v>x02002397</v>
      </c>
      <c r="C1124" t="s">
        <v>5458</v>
      </c>
      <c r="D1124" t="s">
        <v>5914</v>
      </c>
      <c r="E1124">
        <v>2</v>
      </c>
      <c r="F1124" t="str">
        <f>IF(AND(Entities[[#This Row],[ENT_TYPE]]="County",RIGHT(Entities[[#This Row],[ENT_NAME]],6)&lt;&gt;"County"),_xlfn.TEXTJOIN(" ",TRUE,Entities[[#This Row],[ENT_NAME]],"County"),Entities[[#This Row],[ENT_NAME]])</f>
        <v>Maud</v>
      </c>
    </row>
    <row r="1125" spans="1:6" x14ac:dyDescent="0.25">
      <c r="A1125" s="302" t="s">
        <v>5915</v>
      </c>
      <c r="B1125" s="303" t="str">
        <f t="shared" si="17"/>
        <v>x02002424</v>
      </c>
      <c r="C1125" t="s">
        <v>5458</v>
      </c>
      <c r="D1125" t="s">
        <v>5916</v>
      </c>
      <c r="E1125">
        <v>2</v>
      </c>
      <c r="F1125" t="str">
        <f>IF(AND(Entities[[#This Row],[ENT_TYPE]]="County",RIGHT(Entities[[#This Row],[ENT_NAME]],6)&lt;&gt;"County"),_xlfn.TEXTJOIN(" ",TRUE,Entities[[#This Row],[ENT_NAME]],"County"),Entities[[#This Row],[ENT_NAME]])</f>
        <v>Texarkana</v>
      </c>
    </row>
    <row r="1126" spans="1:6" x14ac:dyDescent="0.25">
      <c r="A1126" s="304" t="s">
        <v>5917</v>
      </c>
      <c r="B1126" s="303" t="str">
        <f t="shared" si="17"/>
        <v>x02002482</v>
      </c>
      <c r="C1126" t="s">
        <v>5458</v>
      </c>
      <c r="D1126" t="s">
        <v>5918</v>
      </c>
      <c r="E1126">
        <v>2</v>
      </c>
      <c r="F1126" t="str">
        <f>IF(AND(Entities[[#This Row],[ENT_TYPE]]="County",RIGHT(Entities[[#This Row],[ENT_NAME]],6)&lt;&gt;"County"),_xlfn.TEXTJOIN(" ",TRUE,Entities[[#This Row],[ENT_NAME]],"County"),Entities[[#This Row],[ENT_NAME]])</f>
        <v>Miller's Cove</v>
      </c>
    </row>
    <row r="1127" spans="1:6" x14ac:dyDescent="0.25">
      <c r="A1127" s="304" t="s">
        <v>5919</v>
      </c>
      <c r="B1127" s="303" t="str">
        <f t="shared" si="17"/>
        <v>x02002483</v>
      </c>
      <c r="C1127" t="s">
        <v>5458</v>
      </c>
      <c r="D1127" t="s">
        <v>5920</v>
      </c>
      <c r="E1127">
        <v>2</v>
      </c>
      <c r="F1127" t="str">
        <f>IF(AND(Entities[[#This Row],[ENT_TYPE]]="County",RIGHT(Entities[[#This Row],[ENT_NAME]],6)&lt;&gt;"County"),_xlfn.TEXTJOIN(" ",TRUE,Entities[[#This Row],[ENT_NAME]],"County"),Entities[[#This Row],[ENT_NAME]])</f>
        <v>Mount Pleasant</v>
      </c>
    </row>
    <row r="1128" spans="1:6" x14ac:dyDescent="0.25">
      <c r="A1128" s="304" t="s">
        <v>5921</v>
      </c>
      <c r="B1128" s="303" t="str">
        <f t="shared" si="17"/>
        <v>x02002485</v>
      </c>
      <c r="C1128" t="s">
        <v>5458</v>
      </c>
      <c r="D1128" t="s">
        <v>5922</v>
      </c>
      <c r="E1128">
        <v>2</v>
      </c>
      <c r="F1128" t="str">
        <f>IF(AND(Entities[[#This Row],[ENT_TYPE]]="County",RIGHT(Entities[[#This Row],[ENT_NAME]],6)&lt;&gt;"County"),_xlfn.TEXTJOIN(" ",TRUE,Entities[[#This Row],[ENT_NAME]],"County"),Entities[[#This Row],[ENT_NAME]])</f>
        <v>Ravenna</v>
      </c>
    </row>
    <row r="1129" spans="1:6" x14ac:dyDescent="0.25">
      <c r="A1129" s="302" t="s">
        <v>5923</v>
      </c>
      <c r="B1129" s="303" t="str">
        <f t="shared" si="17"/>
        <v>x02002496</v>
      </c>
      <c r="C1129" t="s">
        <v>5458</v>
      </c>
      <c r="D1129" t="s">
        <v>5924</v>
      </c>
      <c r="E1129">
        <v>2</v>
      </c>
      <c r="F1129" t="str">
        <f>IF(AND(Entities[[#This Row],[ENT_TYPE]]="County",RIGHT(Entities[[#This Row],[ENT_NAME]],6)&lt;&gt;"County"),_xlfn.TEXTJOIN(" ",TRUE,Entities[[#This Row],[ENT_NAME]],"County"),Entities[[#This Row],[ENT_NAME]])</f>
        <v>Red Lick</v>
      </c>
    </row>
    <row r="1130" spans="1:6" x14ac:dyDescent="0.25">
      <c r="A1130" s="304" t="s">
        <v>5925</v>
      </c>
      <c r="B1130" s="303" t="str">
        <f t="shared" si="17"/>
        <v>x02002501</v>
      </c>
      <c r="C1130" t="s">
        <v>5458</v>
      </c>
      <c r="D1130" t="s">
        <v>5926</v>
      </c>
      <c r="E1130">
        <v>2</v>
      </c>
      <c r="F1130" t="str">
        <f>IF(AND(Entities[[#This Row],[ENT_TYPE]]="County",RIGHT(Entities[[#This Row],[ENT_NAME]],6)&lt;&gt;"County"),_xlfn.TEXTJOIN(" ",TRUE,Entities[[#This Row],[ENT_NAME]],"County"),Entities[[#This Row],[ENT_NAME]])</f>
        <v>Paris</v>
      </c>
    </row>
    <row r="1131" spans="1:6" x14ac:dyDescent="0.25">
      <c r="A1131" s="302" t="s">
        <v>5927</v>
      </c>
      <c r="B1131" s="303" t="str">
        <f t="shared" si="17"/>
        <v>x02002503</v>
      </c>
      <c r="C1131" t="s">
        <v>5458</v>
      </c>
      <c r="D1131" t="s">
        <v>5928</v>
      </c>
      <c r="E1131">
        <v>2</v>
      </c>
      <c r="F1131" t="str">
        <f>IF(AND(Entities[[#This Row],[ENT_TYPE]]="County",RIGHT(Entities[[#This Row],[ENT_NAME]],6)&lt;&gt;"County"),_xlfn.TEXTJOIN(" ",TRUE,Entities[[#This Row],[ENT_NAME]],"County"),Entities[[#This Row],[ENT_NAME]])</f>
        <v>Rocky Mound</v>
      </c>
    </row>
    <row r="1132" spans="1:6" x14ac:dyDescent="0.25">
      <c r="A1132" s="302" t="s">
        <v>5929</v>
      </c>
      <c r="B1132" s="303" t="str">
        <f t="shared" si="17"/>
        <v>x02002543</v>
      </c>
      <c r="C1132" t="s">
        <v>5458</v>
      </c>
      <c r="D1132" t="s">
        <v>5930</v>
      </c>
      <c r="E1132">
        <v>2</v>
      </c>
      <c r="F1132" t="str">
        <f>IF(AND(Entities[[#This Row],[ENT_TYPE]]="County",RIGHT(Entities[[#This Row],[ENT_NAME]],6)&lt;&gt;"County"),_xlfn.TEXTJOIN(" ",TRUE,Entities[[#This Row],[ENT_NAME]],"County"),Entities[[#This Row],[ENT_NAME]])</f>
        <v>Gilmer</v>
      </c>
    </row>
    <row r="1133" spans="1:6" x14ac:dyDescent="0.25">
      <c r="A1133" s="304" t="s">
        <v>5931</v>
      </c>
      <c r="B1133" s="303" t="str">
        <f t="shared" si="17"/>
        <v>x02002593</v>
      </c>
      <c r="C1133" t="s">
        <v>5458</v>
      </c>
      <c r="D1133" t="s">
        <v>5932</v>
      </c>
      <c r="E1133">
        <v>2</v>
      </c>
      <c r="F1133" t="str">
        <f>IF(AND(Entities[[#This Row],[ENT_TYPE]]="County",RIGHT(Entities[[#This Row],[ENT_NAME]],6)&lt;&gt;"County"),_xlfn.TEXTJOIN(" ",TRUE,Entities[[#This Row],[ENT_NAME]],"County"),Entities[[#This Row],[ENT_NAME]])</f>
        <v>Deport</v>
      </c>
    </row>
    <row r="1134" spans="1:6" x14ac:dyDescent="0.25">
      <c r="A1134" s="302" t="s">
        <v>5933</v>
      </c>
      <c r="B1134" s="303" t="str">
        <f t="shared" si="17"/>
        <v>x02002594</v>
      </c>
      <c r="C1134" t="s">
        <v>5458</v>
      </c>
      <c r="D1134" t="s">
        <v>5934</v>
      </c>
      <c r="E1134">
        <v>2</v>
      </c>
      <c r="F1134" t="str">
        <f>IF(AND(Entities[[#This Row],[ENT_TYPE]]="County",RIGHT(Entities[[#This Row],[ENT_NAME]],6)&lt;&gt;"County"),_xlfn.TEXTJOIN(" ",TRUE,Entities[[#This Row],[ENT_NAME]],"County"),Entities[[#This Row],[ENT_NAME]])</f>
        <v>Annona</v>
      </c>
    </row>
    <row r="1135" spans="1:6" x14ac:dyDescent="0.25">
      <c r="A1135" s="304" t="s">
        <v>5935</v>
      </c>
      <c r="B1135" s="303" t="str">
        <f t="shared" si="17"/>
        <v>x02002595</v>
      </c>
      <c r="C1135" t="s">
        <v>5458</v>
      </c>
      <c r="D1135" t="s">
        <v>5936</v>
      </c>
      <c r="E1135">
        <v>2</v>
      </c>
      <c r="F1135" t="str">
        <f>IF(AND(Entities[[#This Row],[ENT_TYPE]]="County",RIGHT(Entities[[#This Row],[ENT_NAME]],6)&lt;&gt;"County"),_xlfn.TEXTJOIN(" ",TRUE,Entities[[#This Row],[ENT_NAME]],"County"),Entities[[#This Row],[ENT_NAME]])</f>
        <v>Avery</v>
      </c>
    </row>
    <row r="1136" spans="1:6" x14ac:dyDescent="0.25">
      <c r="A1136" s="302" t="s">
        <v>5937</v>
      </c>
      <c r="B1136" s="303" t="str">
        <f t="shared" si="17"/>
        <v>x02002596</v>
      </c>
      <c r="C1136" t="s">
        <v>5458</v>
      </c>
      <c r="D1136" t="s">
        <v>5938</v>
      </c>
      <c r="E1136">
        <v>2</v>
      </c>
      <c r="F1136" t="str">
        <f>IF(AND(Entities[[#This Row],[ENT_TYPE]]="County",RIGHT(Entities[[#This Row],[ENT_NAME]],6)&lt;&gt;"County"),_xlfn.TEXTJOIN(" ",TRUE,Entities[[#This Row],[ENT_NAME]],"County"),Entities[[#This Row],[ENT_NAME]])</f>
        <v>Bogata</v>
      </c>
    </row>
    <row r="1137" spans="1:6" x14ac:dyDescent="0.25">
      <c r="A1137" s="304" t="s">
        <v>5939</v>
      </c>
      <c r="B1137" s="303" t="str">
        <f t="shared" si="17"/>
        <v>x02002620</v>
      </c>
      <c r="C1137" t="s">
        <v>5458</v>
      </c>
      <c r="D1137" t="s">
        <v>5940</v>
      </c>
      <c r="E1137">
        <v>2</v>
      </c>
      <c r="F1137" t="str">
        <f>IF(AND(Entities[[#This Row],[ENT_TYPE]]="County",RIGHT(Entities[[#This Row],[ENT_NAME]],6)&lt;&gt;"County"),_xlfn.TEXTJOIN(" ",TRUE,Entities[[#This Row],[ENT_NAME]],"County"),Entities[[#This Row],[ENT_NAME]])</f>
        <v>Clarksville</v>
      </c>
    </row>
    <row r="1138" spans="1:6" x14ac:dyDescent="0.25">
      <c r="A1138" s="302" t="s">
        <v>5941</v>
      </c>
      <c r="B1138" s="303" t="str">
        <f t="shared" si="17"/>
        <v>x02002621</v>
      </c>
      <c r="C1138" t="s">
        <v>5458</v>
      </c>
      <c r="D1138" t="s">
        <v>5942</v>
      </c>
      <c r="E1138">
        <v>2</v>
      </c>
      <c r="F1138" t="str">
        <f>IF(AND(Entities[[#This Row],[ENT_TYPE]]="County",RIGHT(Entities[[#This Row],[ENT_NAME]],6)&lt;&gt;"County"),_xlfn.TEXTJOIN(" ",TRUE,Entities[[#This Row],[ENT_NAME]],"County"),Entities[[#This Row],[ENT_NAME]])</f>
        <v>Detroit</v>
      </c>
    </row>
    <row r="1139" spans="1:6" x14ac:dyDescent="0.25">
      <c r="A1139" s="304" t="s">
        <v>5943</v>
      </c>
      <c r="B1139" s="303" t="str">
        <f t="shared" si="17"/>
        <v>x02002628</v>
      </c>
      <c r="C1139" t="s">
        <v>5458</v>
      </c>
      <c r="D1139" t="s">
        <v>5944</v>
      </c>
      <c r="E1139">
        <v>2</v>
      </c>
      <c r="F1139" t="str">
        <f>IF(AND(Entities[[#This Row],[ENT_TYPE]]="County",RIGHT(Entities[[#This Row],[ENT_NAME]],6)&lt;&gt;"County"),_xlfn.TEXTJOIN(" ",TRUE,Entities[[#This Row],[ENT_NAME]],"County"),Entities[[#This Row],[ENT_NAME]])</f>
        <v>Bloomburg</v>
      </c>
    </row>
    <row r="1140" spans="1:6" x14ac:dyDescent="0.25">
      <c r="A1140" s="302" t="s">
        <v>5945</v>
      </c>
      <c r="B1140" s="303" t="str">
        <f t="shared" si="17"/>
        <v>x02002629</v>
      </c>
      <c r="C1140" t="s">
        <v>5458</v>
      </c>
      <c r="D1140" t="s">
        <v>5946</v>
      </c>
      <c r="E1140">
        <v>2</v>
      </c>
      <c r="F1140" t="str">
        <f>IF(AND(Entities[[#This Row],[ENT_TYPE]]="County",RIGHT(Entities[[#This Row],[ENT_NAME]],6)&lt;&gt;"County"),_xlfn.TEXTJOIN(" ",TRUE,Entities[[#This Row],[ENT_NAME]],"County"),Entities[[#This Row],[ENT_NAME]])</f>
        <v>Domino</v>
      </c>
    </row>
    <row r="1141" spans="1:6" x14ac:dyDescent="0.25">
      <c r="A1141" s="304" t="s">
        <v>5947</v>
      </c>
      <c r="B1141" s="303" t="str">
        <f t="shared" si="17"/>
        <v>x02002630</v>
      </c>
      <c r="C1141" t="s">
        <v>5458</v>
      </c>
      <c r="D1141" t="s">
        <v>5948</v>
      </c>
      <c r="E1141">
        <v>2</v>
      </c>
      <c r="F1141" t="str">
        <f>IF(AND(Entities[[#This Row],[ENT_TYPE]]="County",RIGHT(Entities[[#This Row],[ENT_NAME]],6)&lt;&gt;"County"),_xlfn.TEXTJOIN(" ",TRUE,Entities[[#This Row],[ENT_NAME]],"County"),Entities[[#This Row],[ENT_NAME]])</f>
        <v>Douglassville</v>
      </c>
    </row>
    <row r="1142" spans="1:6" x14ac:dyDescent="0.25">
      <c r="A1142" s="302" t="s">
        <v>5949</v>
      </c>
      <c r="B1142" s="303" t="str">
        <f t="shared" si="17"/>
        <v>x02002639</v>
      </c>
      <c r="C1142" t="s">
        <v>5458</v>
      </c>
      <c r="D1142" t="s">
        <v>5950</v>
      </c>
      <c r="E1142">
        <v>2</v>
      </c>
      <c r="F1142" t="str">
        <f>IF(AND(Entities[[#This Row],[ENT_TYPE]]="County",RIGHT(Entities[[#This Row],[ENT_NAME]],6)&lt;&gt;"County"),_xlfn.TEXTJOIN(" ",TRUE,Entities[[#This Row],[ENT_NAME]],"County"),Entities[[#This Row],[ENT_NAME]])</f>
        <v>Naples</v>
      </c>
    </row>
    <row r="1143" spans="1:6" x14ac:dyDescent="0.25">
      <c r="A1143" s="304" t="s">
        <v>5951</v>
      </c>
      <c r="B1143" s="303" t="str">
        <f t="shared" si="17"/>
        <v>x02002640</v>
      </c>
      <c r="C1143" t="s">
        <v>5458</v>
      </c>
      <c r="D1143" t="s">
        <v>5952</v>
      </c>
      <c r="E1143">
        <v>2</v>
      </c>
      <c r="F1143" t="str">
        <f>IF(AND(Entities[[#This Row],[ENT_TYPE]]="County",RIGHT(Entities[[#This Row],[ENT_NAME]],6)&lt;&gt;"County"),_xlfn.TEXTJOIN(" ",TRUE,Entities[[#This Row],[ENT_NAME]],"County"),Entities[[#This Row],[ENT_NAME]])</f>
        <v>Omaha</v>
      </c>
    </row>
    <row r="1144" spans="1:6" x14ac:dyDescent="0.25">
      <c r="A1144" s="302" t="s">
        <v>5953</v>
      </c>
      <c r="B1144" s="303" t="str">
        <f t="shared" si="17"/>
        <v>x02002667</v>
      </c>
      <c r="C1144" t="s">
        <v>5458</v>
      </c>
      <c r="D1144" t="s">
        <v>5954</v>
      </c>
      <c r="E1144">
        <v>2</v>
      </c>
      <c r="F1144" t="str">
        <f>IF(AND(Entities[[#This Row],[ENT_TYPE]]="County",RIGHT(Entities[[#This Row],[ENT_NAME]],6)&lt;&gt;"County"),_xlfn.TEXTJOIN(" ",TRUE,Entities[[#This Row],[ENT_NAME]],"County"),Entities[[#This Row],[ENT_NAME]])</f>
        <v>Marietta</v>
      </c>
    </row>
    <row r="1145" spans="1:6" x14ac:dyDescent="0.25">
      <c r="A1145" s="304" t="s">
        <v>5955</v>
      </c>
      <c r="B1145" s="303" t="str">
        <f t="shared" si="17"/>
        <v>x02002699</v>
      </c>
      <c r="C1145" t="s">
        <v>5458</v>
      </c>
      <c r="D1145" t="s">
        <v>5956</v>
      </c>
      <c r="E1145">
        <v>2</v>
      </c>
      <c r="F1145" t="str">
        <f>IF(AND(Entities[[#This Row],[ENT_TYPE]]="County",RIGHT(Entities[[#This Row],[ENT_NAME]],6)&lt;&gt;"County"),_xlfn.TEXTJOIN(" ",TRUE,Entities[[#This Row],[ENT_NAME]],"County"),Entities[[#This Row],[ENT_NAME]])</f>
        <v>Waskom</v>
      </c>
    </row>
    <row r="1146" spans="1:6" x14ac:dyDescent="0.25">
      <c r="A1146" s="302" t="s">
        <v>5957</v>
      </c>
      <c r="B1146" s="303" t="str">
        <f t="shared" si="17"/>
        <v>x02002745</v>
      </c>
      <c r="C1146" t="s">
        <v>5458</v>
      </c>
      <c r="D1146" t="s">
        <v>5958</v>
      </c>
      <c r="E1146">
        <v>2</v>
      </c>
      <c r="F1146" t="str">
        <f>IF(AND(Entities[[#This Row],[ENT_TYPE]]="County",RIGHT(Entities[[#This Row],[ENT_NAME]],6)&lt;&gt;"County"),_xlfn.TEXTJOIN(" ",TRUE,Entities[[#This Row],[ENT_NAME]],"County"),Entities[[#This Row],[ENT_NAME]])</f>
        <v>Reno</v>
      </c>
    </row>
    <row r="1147" spans="1:6" x14ac:dyDescent="0.25">
      <c r="A1147" s="304" t="s">
        <v>5959</v>
      </c>
      <c r="B1147" s="303" t="str">
        <f t="shared" si="17"/>
        <v>x02002746</v>
      </c>
      <c r="C1147" t="s">
        <v>5458</v>
      </c>
      <c r="D1147" t="s">
        <v>5960</v>
      </c>
      <c r="E1147">
        <v>2</v>
      </c>
      <c r="F1147" t="str">
        <f>IF(AND(Entities[[#This Row],[ENT_TYPE]]="County",RIGHT(Entities[[#This Row],[ENT_NAME]],6)&lt;&gt;"County"),_xlfn.TEXTJOIN(" ",TRUE,Entities[[#This Row],[ENT_NAME]],"County"),Entities[[#This Row],[ENT_NAME]])</f>
        <v>Blossom</v>
      </c>
    </row>
    <row r="1148" spans="1:6" x14ac:dyDescent="0.25">
      <c r="A1148" s="302" t="s">
        <v>5961</v>
      </c>
      <c r="B1148" s="303" t="str">
        <f t="shared" si="17"/>
        <v>x02002780</v>
      </c>
      <c r="C1148" t="s">
        <v>5458</v>
      </c>
      <c r="D1148" t="s">
        <v>5962</v>
      </c>
      <c r="E1148">
        <v>2</v>
      </c>
      <c r="F1148" t="str">
        <f>IF(AND(Entities[[#This Row],[ENT_TYPE]]="County",RIGHT(Entities[[#This Row],[ENT_NAME]],6)&lt;&gt;"County"),_xlfn.TEXTJOIN(" ",TRUE,Entities[[#This Row],[ENT_NAME]],"County"),Entities[[#This Row],[ENT_NAME]])</f>
        <v>Roxton</v>
      </c>
    </row>
    <row r="1149" spans="1:6" x14ac:dyDescent="0.25">
      <c r="A1149" s="304" t="s">
        <v>5963</v>
      </c>
      <c r="B1149" s="303" t="str">
        <f t="shared" si="17"/>
        <v>x02002781</v>
      </c>
      <c r="C1149" t="s">
        <v>5458</v>
      </c>
      <c r="D1149" t="s">
        <v>5964</v>
      </c>
      <c r="E1149">
        <v>2</v>
      </c>
      <c r="F1149" t="str">
        <f>IF(AND(Entities[[#This Row],[ENT_TYPE]]="County",RIGHT(Entities[[#This Row],[ENT_NAME]],6)&lt;&gt;"County"),_xlfn.TEXTJOIN(" ",TRUE,Entities[[#This Row],[ENT_NAME]],"County"),Entities[[#This Row],[ENT_NAME]])</f>
        <v>Toco</v>
      </c>
    </row>
    <row r="1150" spans="1:6" x14ac:dyDescent="0.25">
      <c r="A1150" s="302" t="s">
        <v>5965</v>
      </c>
      <c r="B1150" s="303" t="str">
        <f t="shared" si="17"/>
        <v>x02002940</v>
      </c>
      <c r="C1150" t="s">
        <v>5458</v>
      </c>
      <c r="D1150" t="s">
        <v>5966</v>
      </c>
      <c r="E1150">
        <v>2</v>
      </c>
      <c r="F1150" t="str">
        <f>IF(AND(Entities[[#This Row],[ENT_TYPE]]="County",RIGHT(Entities[[#This Row],[ENT_NAME]],6)&lt;&gt;"County"),_xlfn.TEXTJOIN(" ",TRUE,Entities[[#This Row],[ENT_NAME]],"County"),Entities[[#This Row],[ENT_NAME]])</f>
        <v>Cooper</v>
      </c>
    </row>
    <row r="1151" spans="1:6" x14ac:dyDescent="0.25">
      <c r="A1151" s="304" t="s">
        <v>5967</v>
      </c>
      <c r="B1151" s="303" t="str">
        <f t="shared" si="17"/>
        <v>x02002941</v>
      </c>
      <c r="C1151" t="s">
        <v>5458</v>
      </c>
      <c r="D1151" t="s">
        <v>5968</v>
      </c>
      <c r="E1151">
        <v>2</v>
      </c>
      <c r="F1151" t="str">
        <f>IF(AND(Entities[[#This Row],[ENT_TYPE]]="County",RIGHT(Entities[[#This Row],[ENT_NAME]],6)&lt;&gt;"County"),_xlfn.TEXTJOIN(" ",TRUE,Entities[[#This Row],[ENT_NAME]],"County"),Entities[[#This Row],[ENT_NAME]])</f>
        <v>Pecan Gap</v>
      </c>
    </row>
    <row r="1152" spans="1:6" x14ac:dyDescent="0.25">
      <c r="A1152" s="302" t="s">
        <v>5969</v>
      </c>
      <c r="B1152" s="303" t="str">
        <f t="shared" si="17"/>
        <v>x02002998</v>
      </c>
      <c r="C1152" t="s">
        <v>5458</v>
      </c>
      <c r="D1152" t="s">
        <v>5970</v>
      </c>
      <c r="E1152">
        <v>2</v>
      </c>
      <c r="F1152" t="str">
        <f>IF(AND(Entities[[#This Row],[ENT_TYPE]]="County",RIGHT(Entities[[#This Row],[ENT_NAME]],6)&lt;&gt;"County"),_xlfn.TEXTJOIN(" ",TRUE,Entities[[#This Row],[ENT_NAME]],"County"),Entities[[#This Row],[ENT_NAME]])</f>
        <v>Leary</v>
      </c>
    </row>
    <row r="1153" spans="1:6" x14ac:dyDescent="0.25">
      <c r="A1153" s="304" t="s">
        <v>5971</v>
      </c>
      <c r="B1153" s="303" t="str">
        <f t="shared" si="17"/>
        <v>x02002999</v>
      </c>
      <c r="C1153" t="s">
        <v>5458</v>
      </c>
      <c r="D1153" t="s">
        <v>5972</v>
      </c>
      <c r="E1153">
        <v>2</v>
      </c>
      <c r="F1153" t="str">
        <f>IF(AND(Entities[[#This Row],[ENT_TYPE]]="County",RIGHT(Entities[[#This Row],[ENT_NAME]],6)&lt;&gt;"County"),_xlfn.TEXTJOIN(" ",TRUE,Entities[[#This Row],[ENT_NAME]],"County"),Entities[[#This Row],[ENT_NAME]])</f>
        <v>Redwater</v>
      </c>
    </row>
    <row r="1154" spans="1:6" x14ac:dyDescent="0.25">
      <c r="A1154" s="302" t="s">
        <v>5973</v>
      </c>
      <c r="B1154" s="303" t="str">
        <f t="shared" ref="B1154:B1217" si="18">_xlfn.CONCAT("x",TEXT(A1154,"00000000"))</f>
        <v>x02003063</v>
      </c>
      <c r="C1154" t="s">
        <v>5458</v>
      </c>
      <c r="D1154" t="s">
        <v>5974</v>
      </c>
      <c r="E1154">
        <v>2</v>
      </c>
      <c r="F1154" t="str">
        <f>IF(AND(Entities[[#This Row],[ENT_TYPE]]="County",RIGHT(Entities[[#This Row],[ENT_NAME]],6)&lt;&gt;"County"),_xlfn.TEXTJOIN(" ",TRUE,Entities[[#This Row],[ENT_NAME]],"County"),Entities[[#This Row],[ENT_NAME]])</f>
        <v>Bonham</v>
      </c>
    </row>
    <row r="1155" spans="1:6" x14ac:dyDescent="0.25">
      <c r="A1155" s="304" t="s">
        <v>5975</v>
      </c>
      <c r="B1155" s="303" t="str">
        <f t="shared" si="18"/>
        <v>x02003064</v>
      </c>
      <c r="C1155" t="s">
        <v>5458</v>
      </c>
      <c r="D1155" t="s">
        <v>5976</v>
      </c>
      <c r="E1155">
        <v>2</v>
      </c>
      <c r="F1155" t="str">
        <f>IF(AND(Entities[[#This Row],[ENT_TYPE]]="County",RIGHT(Entities[[#This Row],[ENT_NAME]],6)&lt;&gt;"County"),_xlfn.TEXTJOIN(" ",TRUE,Entities[[#This Row],[ENT_NAME]],"County"),Entities[[#This Row],[ENT_NAME]])</f>
        <v>Dodd City</v>
      </c>
    </row>
    <row r="1156" spans="1:6" x14ac:dyDescent="0.25">
      <c r="A1156" s="302" t="s">
        <v>5977</v>
      </c>
      <c r="B1156" s="303" t="str">
        <f t="shared" si="18"/>
        <v>x02003065</v>
      </c>
      <c r="C1156" t="s">
        <v>5458</v>
      </c>
      <c r="D1156" t="s">
        <v>671</v>
      </c>
      <c r="E1156">
        <v>2</v>
      </c>
      <c r="F1156" t="str">
        <f>IF(AND(Entities[[#This Row],[ENT_TYPE]]="County",RIGHT(Entities[[#This Row],[ENT_NAME]],6)&lt;&gt;"County"),_xlfn.TEXTJOIN(" ",TRUE,Entities[[#This Row],[ENT_NAME]],"County"),Entities[[#This Row],[ENT_NAME]])</f>
        <v>Ector</v>
      </c>
    </row>
    <row r="1157" spans="1:6" x14ac:dyDescent="0.25">
      <c r="A1157" s="304" t="s">
        <v>5978</v>
      </c>
      <c r="B1157" s="303" t="str">
        <f t="shared" si="18"/>
        <v>x02003066</v>
      </c>
      <c r="C1157" t="s">
        <v>5458</v>
      </c>
      <c r="D1157" t="s">
        <v>5979</v>
      </c>
      <c r="E1157">
        <v>2</v>
      </c>
      <c r="F1157" t="str">
        <f>IF(AND(Entities[[#This Row],[ENT_TYPE]]="County",RIGHT(Entities[[#This Row],[ENT_NAME]],6)&lt;&gt;"County"),_xlfn.TEXTJOIN(" ",TRUE,Entities[[#This Row],[ENT_NAME]],"County"),Entities[[#This Row],[ENT_NAME]])</f>
        <v>Honey Grove</v>
      </c>
    </row>
    <row r="1158" spans="1:6" x14ac:dyDescent="0.25">
      <c r="A1158" s="302" t="s">
        <v>5980</v>
      </c>
      <c r="B1158" s="303" t="str">
        <f t="shared" si="18"/>
        <v>x02003067</v>
      </c>
      <c r="C1158" t="s">
        <v>5458</v>
      </c>
      <c r="D1158" t="s">
        <v>5981</v>
      </c>
      <c r="E1158">
        <v>2</v>
      </c>
      <c r="F1158" t="str">
        <f>IF(AND(Entities[[#This Row],[ENT_TYPE]]="County",RIGHT(Entities[[#This Row],[ENT_NAME]],6)&lt;&gt;"County"),_xlfn.TEXTJOIN(" ",TRUE,Entities[[#This Row],[ENT_NAME]],"County"),Entities[[#This Row],[ENT_NAME]])</f>
        <v>Ladonia</v>
      </c>
    </row>
    <row r="1159" spans="1:6" x14ac:dyDescent="0.25">
      <c r="A1159" s="302" t="s">
        <v>5982</v>
      </c>
      <c r="B1159" s="303" t="str">
        <f t="shared" si="18"/>
        <v>x02003071</v>
      </c>
      <c r="C1159" t="s">
        <v>5458</v>
      </c>
      <c r="D1159" t="s">
        <v>3197</v>
      </c>
      <c r="E1159">
        <v>2</v>
      </c>
      <c r="F1159" t="str">
        <f>IF(AND(Entities[[#This Row],[ENT_TYPE]]="County",RIGHT(Entities[[#This Row],[ENT_NAME]],6)&lt;&gt;"County"),_xlfn.TEXTJOIN(" ",TRUE,Entities[[#This Row],[ENT_NAME]],"County"),Entities[[#This Row],[ENT_NAME]])</f>
        <v>Bailey</v>
      </c>
    </row>
    <row r="1160" spans="1:6" x14ac:dyDescent="0.25">
      <c r="A1160" s="304" t="s">
        <v>5983</v>
      </c>
      <c r="B1160" s="303" t="str">
        <f t="shared" si="18"/>
        <v>x02003077</v>
      </c>
      <c r="C1160" t="s">
        <v>5458</v>
      </c>
      <c r="D1160" t="s">
        <v>5984</v>
      </c>
      <c r="E1160">
        <v>2</v>
      </c>
      <c r="F1160" t="str">
        <f>IF(AND(Entities[[#This Row],[ENT_TYPE]]="County",RIGHT(Entities[[#This Row],[ENT_NAME]],6)&lt;&gt;"County"),_xlfn.TEXTJOIN(" ",TRUE,Entities[[#This Row],[ENT_NAME]],"County"),Entities[[#This Row],[ENT_NAME]])</f>
        <v>Neylandville</v>
      </c>
    </row>
    <row r="1161" spans="1:6" x14ac:dyDescent="0.25">
      <c r="A1161" s="302" t="s">
        <v>5985</v>
      </c>
      <c r="B1161" s="303" t="str">
        <f t="shared" si="18"/>
        <v>x02003079</v>
      </c>
      <c r="C1161" t="s">
        <v>5458</v>
      </c>
      <c r="D1161" t="s">
        <v>5986</v>
      </c>
      <c r="E1161">
        <v>2</v>
      </c>
      <c r="F1161" t="str">
        <f>IF(AND(Entities[[#This Row],[ENT_TYPE]]="County",RIGHT(Entities[[#This Row],[ENT_NAME]],6)&lt;&gt;"County"),_xlfn.TEXTJOIN(" ",TRUE,Entities[[#This Row],[ENT_NAME]],"County"),Entities[[#This Row],[ENT_NAME]])</f>
        <v>Wolfe City</v>
      </c>
    </row>
    <row r="1162" spans="1:6" x14ac:dyDescent="0.25">
      <c r="A1162" s="304" t="s">
        <v>5987</v>
      </c>
      <c r="B1162" s="303" t="str">
        <f t="shared" si="18"/>
        <v>x02003081</v>
      </c>
      <c r="C1162" t="s">
        <v>5458</v>
      </c>
      <c r="D1162" t="s">
        <v>5988</v>
      </c>
      <c r="E1162">
        <v>2</v>
      </c>
      <c r="F1162" t="str">
        <f>IF(AND(Entities[[#This Row],[ENT_TYPE]]="County",RIGHT(Entities[[#This Row],[ENT_NAME]],6)&lt;&gt;"County"),_xlfn.TEXTJOIN(" ",TRUE,Entities[[#This Row],[ENT_NAME]],"County"),Entities[[#This Row],[ENT_NAME]])</f>
        <v>Atlanta</v>
      </c>
    </row>
    <row r="1163" spans="1:6" x14ac:dyDescent="0.25">
      <c r="A1163" s="302" t="s">
        <v>1523</v>
      </c>
      <c r="B1163" s="303" t="str">
        <f t="shared" si="18"/>
        <v>x02003082</v>
      </c>
      <c r="C1163" t="s">
        <v>5458</v>
      </c>
      <c r="D1163" t="s">
        <v>5989</v>
      </c>
      <c r="E1163">
        <v>2</v>
      </c>
      <c r="F1163" t="str">
        <f>IF(AND(Entities[[#This Row],[ENT_TYPE]]="County",RIGHT(Entities[[#This Row],[ENT_NAME]],6)&lt;&gt;"County"),_xlfn.TEXTJOIN(" ",TRUE,Entities[[#This Row],[ENT_NAME]],"County"),Entities[[#This Row],[ENT_NAME]])</f>
        <v>Avinger</v>
      </c>
    </row>
    <row r="1164" spans="1:6" x14ac:dyDescent="0.25">
      <c r="A1164" s="304" t="s">
        <v>5990</v>
      </c>
      <c r="B1164" s="303" t="str">
        <f t="shared" si="18"/>
        <v>x02003083</v>
      </c>
      <c r="C1164" t="s">
        <v>5458</v>
      </c>
      <c r="D1164" t="s">
        <v>5991</v>
      </c>
      <c r="E1164">
        <v>2</v>
      </c>
      <c r="F1164" t="str">
        <f>IF(AND(Entities[[#This Row],[ENT_TYPE]]="County",RIGHT(Entities[[#This Row],[ENT_NAME]],6)&lt;&gt;"County"),_xlfn.TEXTJOIN(" ",TRUE,Entities[[#This Row],[ENT_NAME]],"County"),Entities[[#This Row],[ENT_NAME]])</f>
        <v>Hughes Springs</v>
      </c>
    </row>
    <row r="1165" spans="1:6" x14ac:dyDescent="0.25">
      <c r="A1165" s="302" t="s">
        <v>5992</v>
      </c>
      <c r="B1165" s="303" t="str">
        <f t="shared" si="18"/>
        <v>x02003092</v>
      </c>
      <c r="C1165" t="s">
        <v>5458</v>
      </c>
      <c r="D1165" t="s">
        <v>5993</v>
      </c>
      <c r="E1165">
        <v>2</v>
      </c>
      <c r="F1165" t="str">
        <f>IF(AND(Entities[[#This Row],[ENT_TYPE]]="County",RIGHT(Entities[[#This Row],[ENT_NAME]],6)&lt;&gt;"County"),_xlfn.TEXTJOIN(" ",TRUE,Entities[[#This Row],[ENT_NAME]],"County"),Entities[[#This Row],[ENT_NAME]])</f>
        <v>Linden</v>
      </c>
    </row>
    <row r="1166" spans="1:6" x14ac:dyDescent="0.25">
      <c r="A1166" s="304" t="s">
        <v>5994</v>
      </c>
      <c r="B1166" s="303" t="str">
        <f t="shared" si="18"/>
        <v>x02003095</v>
      </c>
      <c r="C1166" t="s">
        <v>5458</v>
      </c>
      <c r="D1166" t="s">
        <v>5995</v>
      </c>
      <c r="E1166">
        <v>2</v>
      </c>
      <c r="F1166" t="str">
        <f>IF(AND(Entities[[#This Row],[ENT_TYPE]]="County",RIGHT(Entities[[#This Row],[ENT_NAME]],6)&lt;&gt;"County"),_xlfn.TEXTJOIN(" ",TRUE,Entities[[#This Row],[ENT_NAME]],"County"),Entities[[#This Row],[ENT_NAME]])</f>
        <v>Windom</v>
      </c>
    </row>
    <row r="1167" spans="1:6" x14ac:dyDescent="0.25">
      <c r="A1167" s="302" t="s">
        <v>5996</v>
      </c>
      <c r="B1167" s="303" t="str">
        <f t="shared" si="18"/>
        <v>x02003119</v>
      </c>
      <c r="C1167" t="s">
        <v>5458</v>
      </c>
      <c r="D1167" t="s">
        <v>5997</v>
      </c>
      <c r="E1167">
        <v>2</v>
      </c>
      <c r="F1167" t="str">
        <f>IF(AND(Entities[[#This Row],[ENT_TYPE]]="County",RIGHT(Entities[[#This Row],[ENT_NAME]],6)&lt;&gt;"County"),_xlfn.TEXTJOIN(" ",TRUE,Entities[[#This Row],[ENT_NAME]],"County"),Entities[[#This Row],[ENT_NAME]])</f>
        <v>Denison</v>
      </c>
    </row>
    <row r="1168" spans="1:6" x14ac:dyDescent="0.25">
      <c r="A1168" s="304" t="s">
        <v>5998</v>
      </c>
      <c r="B1168" s="303" t="str">
        <f t="shared" si="18"/>
        <v>x02003120</v>
      </c>
      <c r="C1168" t="s">
        <v>5458</v>
      </c>
      <c r="D1168" t="s">
        <v>5999</v>
      </c>
      <c r="E1168">
        <v>2</v>
      </c>
      <c r="F1168" t="str">
        <f>IF(AND(Entities[[#This Row],[ENT_TYPE]]="County",RIGHT(Entities[[#This Row],[ENT_NAME]],6)&lt;&gt;"County"),_xlfn.TEXTJOIN(" ",TRUE,Entities[[#This Row],[ENT_NAME]],"County"),Entities[[#This Row],[ENT_NAME]])</f>
        <v>Knollwood</v>
      </c>
    </row>
    <row r="1169" spans="1:6" x14ac:dyDescent="0.25">
      <c r="A1169" s="302" t="s">
        <v>1700</v>
      </c>
      <c r="B1169" s="303" t="str">
        <f t="shared" si="18"/>
        <v>x02003121</v>
      </c>
      <c r="C1169" t="s">
        <v>5458</v>
      </c>
      <c r="D1169" t="s">
        <v>1148</v>
      </c>
      <c r="E1169">
        <v>2</v>
      </c>
      <c r="F1169" t="str">
        <f>IF(AND(Entities[[#This Row],[ENT_TYPE]]="County",RIGHT(Entities[[#This Row],[ENT_NAME]],6)&lt;&gt;"County"),_xlfn.TEXTJOIN(" ",TRUE,Entities[[#This Row],[ENT_NAME]],"County"),Entities[[#This Row],[ENT_NAME]])</f>
        <v>Sherman</v>
      </c>
    </row>
    <row r="1170" spans="1:6" x14ac:dyDescent="0.25">
      <c r="A1170" s="304" t="s">
        <v>6000</v>
      </c>
      <c r="B1170" s="303" t="str">
        <f t="shared" si="18"/>
        <v>x02003150</v>
      </c>
      <c r="C1170" t="s">
        <v>5458</v>
      </c>
      <c r="D1170" t="s">
        <v>6001</v>
      </c>
      <c r="E1170">
        <v>2</v>
      </c>
      <c r="F1170" t="str">
        <f>IF(AND(Entities[[#This Row],[ENT_TYPE]]="County",RIGHT(Entities[[#This Row],[ENT_NAME]],6)&lt;&gt;"County"),_xlfn.TEXTJOIN(" ",TRUE,Entities[[#This Row],[ENT_NAME]],"County"),Entities[[#This Row],[ENT_NAME]])</f>
        <v>Pottsboro</v>
      </c>
    </row>
    <row r="1171" spans="1:6" x14ac:dyDescent="0.25">
      <c r="A1171" s="302" t="s">
        <v>6002</v>
      </c>
      <c r="B1171" s="303" t="str">
        <f t="shared" si="18"/>
        <v>x02003151</v>
      </c>
      <c r="C1171" t="s">
        <v>5458</v>
      </c>
      <c r="D1171" t="s">
        <v>6003</v>
      </c>
      <c r="E1171">
        <v>2</v>
      </c>
      <c r="F1171" t="str">
        <f>IF(AND(Entities[[#This Row],[ENT_TYPE]]="County",RIGHT(Entities[[#This Row],[ENT_NAME]],6)&lt;&gt;"County"),_xlfn.TEXTJOIN(" ",TRUE,Entities[[#This Row],[ENT_NAME]],"County"),Entities[[#This Row],[ENT_NAME]])</f>
        <v>Sadler</v>
      </c>
    </row>
    <row r="1172" spans="1:6" x14ac:dyDescent="0.25">
      <c r="A1172" s="304" t="s">
        <v>6004</v>
      </c>
      <c r="B1172" s="303" t="str">
        <f t="shared" si="18"/>
        <v>x02003152</v>
      </c>
      <c r="C1172" t="s">
        <v>5458</v>
      </c>
      <c r="D1172" t="s">
        <v>6005</v>
      </c>
      <c r="E1172">
        <v>2</v>
      </c>
      <c r="F1172" t="str">
        <f>IF(AND(Entities[[#This Row],[ENT_TYPE]]="County",RIGHT(Entities[[#This Row],[ENT_NAME]],6)&lt;&gt;"County"),_xlfn.TEXTJOIN(" ",TRUE,Entities[[#This Row],[ENT_NAME]],"County"),Entities[[#This Row],[ENT_NAME]])</f>
        <v>Southmayd</v>
      </c>
    </row>
    <row r="1173" spans="1:6" x14ac:dyDescent="0.25">
      <c r="A1173" s="302" t="s">
        <v>6006</v>
      </c>
      <c r="B1173" s="303" t="str">
        <f t="shared" si="18"/>
        <v>x02003206</v>
      </c>
      <c r="C1173" t="s">
        <v>5458</v>
      </c>
      <c r="D1173" t="s">
        <v>6007</v>
      </c>
      <c r="E1173">
        <v>2</v>
      </c>
      <c r="F1173" t="str">
        <f>IF(AND(Entities[[#This Row],[ENT_TYPE]]="County",RIGHT(Entities[[#This Row],[ENT_NAME]],6)&lt;&gt;"County"),_xlfn.TEXTJOIN(" ",TRUE,Entities[[#This Row],[ENT_NAME]],"County"),Entities[[#This Row],[ENT_NAME]])</f>
        <v>Savoy</v>
      </c>
    </row>
    <row r="1174" spans="1:6" x14ac:dyDescent="0.25">
      <c r="A1174" s="304" t="s">
        <v>6008</v>
      </c>
      <c r="B1174" s="303" t="str">
        <f t="shared" si="18"/>
        <v>x02003213</v>
      </c>
      <c r="C1174" t="s">
        <v>5458</v>
      </c>
      <c r="D1174" t="s">
        <v>6009</v>
      </c>
      <c r="E1174">
        <v>2</v>
      </c>
      <c r="F1174" t="str">
        <f>IF(AND(Entities[[#This Row],[ENT_TYPE]]="County",RIGHT(Entities[[#This Row],[ENT_NAME]],6)&lt;&gt;"County"),_xlfn.TEXTJOIN(" ",TRUE,Entities[[#This Row],[ENT_NAME]],"County"),Entities[[#This Row],[ENT_NAME]])</f>
        <v>Queen City</v>
      </c>
    </row>
    <row r="1175" spans="1:6" x14ac:dyDescent="0.25">
      <c r="A1175" s="302" t="s">
        <v>6010</v>
      </c>
      <c r="B1175" s="303" t="str">
        <f t="shared" si="18"/>
        <v>x02003216</v>
      </c>
      <c r="C1175" t="s">
        <v>5458</v>
      </c>
      <c r="D1175" t="s">
        <v>6011</v>
      </c>
      <c r="E1175">
        <v>2</v>
      </c>
      <c r="F1175" t="str">
        <f>IF(AND(Entities[[#This Row],[ENT_TYPE]]="County",RIGHT(Entities[[#This Row],[ENT_NAME]],6)&lt;&gt;"County"),_xlfn.TEXTJOIN(" ",TRUE,Entities[[#This Row],[ENT_NAME]],"County"),Entities[[#This Row],[ENT_NAME]])</f>
        <v>De Kalb</v>
      </c>
    </row>
    <row r="1176" spans="1:6" x14ac:dyDescent="0.25">
      <c r="A1176" s="304" t="s">
        <v>6012</v>
      </c>
      <c r="B1176" s="303" t="str">
        <f t="shared" si="18"/>
        <v>x02003217</v>
      </c>
      <c r="C1176" t="s">
        <v>5458</v>
      </c>
      <c r="D1176" t="s">
        <v>6013</v>
      </c>
      <c r="E1176">
        <v>2</v>
      </c>
      <c r="F1176" t="str">
        <f>IF(AND(Entities[[#This Row],[ENT_TYPE]]="County",RIGHT(Entities[[#This Row],[ENT_NAME]],6)&lt;&gt;"County"),_xlfn.TEXTJOIN(" ",TRUE,Entities[[#This Row],[ENT_NAME]],"County"),Entities[[#This Row],[ENT_NAME]])</f>
        <v>Hooks</v>
      </c>
    </row>
    <row r="1177" spans="1:6" x14ac:dyDescent="0.25">
      <c r="A1177" s="302" t="s">
        <v>6014</v>
      </c>
      <c r="B1177" s="303" t="str">
        <f t="shared" si="18"/>
        <v>x02003218</v>
      </c>
      <c r="C1177" t="s">
        <v>5458</v>
      </c>
      <c r="D1177" t="s">
        <v>6015</v>
      </c>
      <c r="E1177">
        <v>2</v>
      </c>
      <c r="F1177" t="str">
        <f>IF(AND(Entities[[#This Row],[ENT_TYPE]]="County",RIGHT(Entities[[#This Row],[ENT_NAME]],6)&lt;&gt;"County"),_xlfn.TEXTJOIN(" ",TRUE,Entities[[#This Row],[ENT_NAME]],"County"),Entities[[#This Row],[ENT_NAME]])</f>
        <v>Nash</v>
      </c>
    </row>
    <row r="1178" spans="1:6" x14ac:dyDescent="0.25">
      <c r="A1178" s="304" t="s">
        <v>6016</v>
      </c>
      <c r="B1178" s="303" t="str">
        <f t="shared" si="18"/>
        <v>x02003219</v>
      </c>
      <c r="C1178" t="s">
        <v>5458</v>
      </c>
      <c r="D1178" t="s">
        <v>6017</v>
      </c>
      <c r="E1178">
        <v>2</v>
      </c>
      <c r="F1178" t="str">
        <f>IF(AND(Entities[[#This Row],[ENT_TYPE]]="County",RIGHT(Entities[[#This Row],[ENT_NAME]],6)&lt;&gt;"County"),_xlfn.TEXTJOIN(" ",TRUE,Entities[[#This Row],[ENT_NAME]],"County"),Entities[[#This Row],[ENT_NAME]])</f>
        <v>New Boston</v>
      </c>
    </row>
    <row r="1179" spans="1:6" x14ac:dyDescent="0.25">
      <c r="A1179" s="304" t="s">
        <v>6018</v>
      </c>
      <c r="B1179" s="303" t="str">
        <f t="shared" si="18"/>
        <v>x02003237</v>
      </c>
      <c r="C1179" t="s">
        <v>5458</v>
      </c>
      <c r="D1179" t="s">
        <v>6019</v>
      </c>
      <c r="E1179">
        <v>2</v>
      </c>
      <c r="F1179" t="str">
        <f>IF(AND(Entities[[#This Row],[ENT_TYPE]]="County",RIGHT(Entities[[#This Row],[ENT_NAME]],6)&lt;&gt;"County"),_xlfn.TEXTJOIN(" ",TRUE,Entities[[#This Row],[ENT_NAME]],"County"),Entities[[#This Row],[ENT_NAME]])</f>
        <v>Wake Village</v>
      </c>
    </row>
    <row r="1180" spans="1:6" x14ac:dyDescent="0.25">
      <c r="A1180" s="302" t="s">
        <v>6020</v>
      </c>
      <c r="B1180" s="303" t="str">
        <f t="shared" si="18"/>
        <v>x02003240</v>
      </c>
      <c r="C1180" t="s">
        <v>5458</v>
      </c>
      <c r="D1180" t="s">
        <v>6021</v>
      </c>
      <c r="E1180">
        <v>2</v>
      </c>
      <c r="F1180" t="str">
        <f>IF(AND(Entities[[#This Row],[ENT_TYPE]]="County",RIGHT(Entities[[#This Row],[ENT_NAME]],6)&lt;&gt;"County"),_xlfn.TEXTJOIN(" ",TRUE,Entities[[#This Row],[ENT_NAME]],"County"),Entities[[#This Row],[ENT_NAME]])</f>
        <v>Bells</v>
      </c>
    </row>
    <row r="1181" spans="1:6" x14ac:dyDescent="0.25">
      <c r="A1181" s="304" t="s">
        <v>6022</v>
      </c>
      <c r="B1181" s="303" t="str">
        <f t="shared" si="18"/>
        <v>x02003347</v>
      </c>
      <c r="C1181" t="s">
        <v>5458</v>
      </c>
      <c r="D1181" t="s">
        <v>6023</v>
      </c>
      <c r="E1181">
        <v>2</v>
      </c>
      <c r="F1181" t="str">
        <f>IF(AND(Entities[[#This Row],[ENT_TYPE]]="County",RIGHT(Entities[[#This Row],[ENT_NAME]],6)&lt;&gt;"County"),_xlfn.TEXTJOIN(" ",TRUE,Entities[[#This Row],[ENT_NAME]],"County"),Entities[[#This Row],[ENT_NAME]])</f>
        <v>Sun Valley</v>
      </c>
    </row>
    <row r="1182" spans="1:6" x14ac:dyDescent="0.25">
      <c r="A1182" s="302" t="s">
        <v>6024</v>
      </c>
      <c r="B1182" s="303" t="str">
        <f t="shared" si="18"/>
        <v>x02003408</v>
      </c>
      <c r="C1182" t="s">
        <v>5458</v>
      </c>
      <c r="D1182" t="s">
        <v>6025</v>
      </c>
      <c r="E1182">
        <v>2</v>
      </c>
      <c r="F1182" t="str">
        <f>IF(AND(Entities[[#This Row],[ENT_TYPE]]="County",RIGHT(Entities[[#This Row],[ENT_NAME]],6)&lt;&gt;"County"),_xlfn.TEXTJOIN(" ",TRUE,Entities[[#This Row],[ENT_NAME]],"County"),Entities[[#This Row],[ENT_NAME]])</f>
        <v>Lone Star</v>
      </c>
    </row>
    <row r="1183" spans="1:6" x14ac:dyDescent="0.25">
      <c r="A1183" s="302" t="s">
        <v>6026</v>
      </c>
      <c r="B1183" s="303" t="str">
        <f t="shared" si="18"/>
        <v>x02003434</v>
      </c>
      <c r="C1183" t="s">
        <v>5458</v>
      </c>
      <c r="D1183" t="s">
        <v>6027</v>
      </c>
      <c r="E1183">
        <v>2</v>
      </c>
      <c r="F1183" t="str">
        <f>IF(AND(Entities[[#This Row],[ENT_TYPE]]="County",RIGHT(Entities[[#This Row],[ENT_NAME]],6)&lt;&gt;"County"),_xlfn.TEXTJOIN(" ",TRUE,Entities[[#This Row],[ENT_NAME]],"County"),Entities[[#This Row],[ENT_NAME]])</f>
        <v>Tira</v>
      </c>
    </row>
    <row r="1184" spans="1:6" x14ac:dyDescent="0.25">
      <c r="A1184" s="304" t="s">
        <v>6028</v>
      </c>
      <c r="B1184" s="303" t="str">
        <f t="shared" si="18"/>
        <v>x02003444</v>
      </c>
      <c r="C1184" t="s">
        <v>5458</v>
      </c>
      <c r="D1184" t="s">
        <v>6029</v>
      </c>
      <c r="E1184">
        <v>2</v>
      </c>
      <c r="F1184" t="str">
        <f>IF(AND(Entities[[#This Row],[ENT_TYPE]]="County",RIGHT(Entities[[#This Row],[ENT_NAME]],6)&lt;&gt;"County"),_xlfn.TEXTJOIN(" ",TRUE,Entities[[#This Row],[ENT_NAME]],"County"),Entities[[#This Row],[ENT_NAME]])</f>
        <v>Ore City</v>
      </c>
    </row>
    <row r="1185" spans="1:6" x14ac:dyDescent="0.25">
      <c r="A1185" s="302" t="s">
        <v>6030</v>
      </c>
      <c r="B1185" s="303" t="str">
        <f t="shared" si="18"/>
        <v>x02003462</v>
      </c>
      <c r="C1185" t="s">
        <v>5458</v>
      </c>
      <c r="D1185" t="s">
        <v>6031</v>
      </c>
      <c r="E1185">
        <v>2</v>
      </c>
      <c r="F1185" t="str">
        <f>IF(AND(Entities[[#This Row],[ENT_TYPE]]="County",RIGHT(Entities[[#This Row],[ENT_NAME]],6)&lt;&gt;"County"),_xlfn.TEXTJOIN(" ",TRUE,Entities[[#This Row],[ENT_NAME]],"County"),Entities[[#This Row],[ENT_NAME]])</f>
        <v>Pittsburg</v>
      </c>
    </row>
    <row r="1186" spans="1:6" x14ac:dyDescent="0.25">
      <c r="A1186" s="304" t="s">
        <v>6032</v>
      </c>
      <c r="B1186" s="303" t="str">
        <f t="shared" si="18"/>
        <v>x02003478</v>
      </c>
      <c r="C1186" t="s">
        <v>5458</v>
      </c>
      <c r="D1186" t="s">
        <v>6033</v>
      </c>
      <c r="E1186">
        <v>2</v>
      </c>
      <c r="F1186" t="str">
        <f>IF(AND(Entities[[#This Row],[ENT_TYPE]]="County",RIGHT(Entities[[#This Row],[ENT_NAME]],6)&lt;&gt;"County"),_xlfn.TEXTJOIN(" ",TRUE,Entities[[#This Row],[ENT_NAME]],"County"),Entities[[#This Row],[ENT_NAME]])</f>
        <v>Commerce</v>
      </c>
    </row>
    <row r="1187" spans="1:6" x14ac:dyDescent="0.25">
      <c r="A1187" s="302" t="s">
        <v>6034</v>
      </c>
      <c r="B1187" s="303" t="str">
        <f t="shared" si="18"/>
        <v>x02003533</v>
      </c>
      <c r="C1187" t="s">
        <v>5458</v>
      </c>
      <c r="D1187" t="s">
        <v>6035</v>
      </c>
      <c r="E1187">
        <v>2</v>
      </c>
      <c r="F1187" t="str">
        <f>IF(AND(Entities[[#This Row],[ENT_TYPE]]="County",RIGHT(Entities[[#This Row],[ENT_NAME]],6)&lt;&gt;"County"),_xlfn.TEXTJOIN(" ",TRUE,Entities[[#This Row],[ENT_NAME]],"County"),Entities[[#This Row],[ENT_NAME]])</f>
        <v>Talco</v>
      </c>
    </row>
    <row r="1188" spans="1:6" x14ac:dyDescent="0.25">
      <c r="A1188" s="304" t="s">
        <v>1732</v>
      </c>
      <c r="B1188" s="303" t="str">
        <f t="shared" si="18"/>
        <v>x02003534</v>
      </c>
      <c r="C1188" t="s">
        <v>5458</v>
      </c>
      <c r="D1188" t="s">
        <v>6036</v>
      </c>
      <c r="E1188">
        <v>2</v>
      </c>
      <c r="F1188" t="str">
        <f>IF(AND(Entities[[#This Row],[ENT_TYPE]]="County",RIGHT(Entities[[#This Row],[ENT_NAME]],6)&lt;&gt;"County"),_xlfn.TEXTJOIN(" ",TRUE,Entities[[#This Row],[ENT_NAME]],"County"),Entities[[#This Row],[ENT_NAME]])</f>
        <v>Winfield</v>
      </c>
    </row>
    <row r="1189" spans="1:6" x14ac:dyDescent="0.25">
      <c r="A1189" s="302" t="s">
        <v>6037</v>
      </c>
      <c r="B1189" s="303" t="str">
        <f t="shared" si="18"/>
        <v>x02003535</v>
      </c>
      <c r="C1189" t="s">
        <v>5458</v>
      </c>
      <c r="D1189" t="s">
        <v>2606</v>
      </c>
      <c r="E1189">
        <v>2</v>
      </c>
      <c r="F1189" t="str">
        <f>IF(AND(Entities[[#This Row],[ENT_TYPE]]="County",RIGHT(Entities[[#This Row],[ENT_NAME]],6)&lt;&gt;"County"),_xlfn.TEXTJOIN(" ",TRUE,Entities[[#This Row],[ENT_NAME]],"County"),Entities[[#This Row],[ENT_NAME]])</f>
        <v>Jefferson</v>
      </c>
    </row>
    <row r="1190" spans="1:6" x14ac:dyDescent="0.25">
      <c r="A1190" s="304" t="s">
        <v>6038</v>
      </c>
      <c r="B1190" s="303" t="str">
        <f t="shared" si="18"/>
        <v>x02003543</v>
      </c>
      <c r="C1190" t="s">
        <v>5458</v>
      </c>
      <c r="D1190" t="s">
        <v>6039</v>
      </c>
      <c r="E1190">
        <v>2</v>
      </c>
      <c r="F1190" t="str">
        <f>IF(AND(Entities[[#This Row],[ENT_TYPE]]="County",RIGHT(Entities[[#This Row],[ENT_NAME]],6)&lt;&gt;"County"),_xlfn.TEXTJOIN(" ",TRUE,Entities[[#This Row],[ENT_NAME]],"County"),Entities[[#This Row],[ENT_NAME]])</f>
        <v>Mount Vernon</v>
      </c>
    </row>
    <row r="1191" spans="1:6" x14ac:dyDescent="0.25">
      <c r="A1191" s="302" t="s">
        <v>6040</v>
      </c>
      <c r="B1191" s="303" t="str">
        <f t="shared" si="18"/>
        <v>x02003549</v>
      </c>
      <c r="C1191" t="s">
        <v>5458</v>
      </c>
      <c r="D1191" t="s">
        <v>6041</v>
      </c>
      <c r="E1191">
        <v>2</v>
      </c>
      <c r="F1191" t="str">
        <f>IF(AND(Entities[[#This Row],[ENT_TYPE]]="County",RIGHT(Entities[[#This Row],[ENT_NAME]],6)&lt;&gt;"County"),_xlfn.TEXTJOIN(" ",TRUE,Entities[[#This Row],[ENT_NAME]],"County"),Entities[[#This Row],[ENT_NAME]])</f>
        <v>Daingerfield</v>
      </c>
    </row>
    <row r="1192" spans="1:6" x14ac:dyDescent="0.25">
      <c r="A1192" s="302" t="s">
        <v>6042</v>
      </c>
      <c r="B1192" s="303" t="str">
        <f t="shared" si="18"/>
        <v>x02003556</v>
      </c>
      <c r="C1192" t="s">
        <v>5458</v>
      </c>
      <c r="D1192" t="s">
        <v>6043</v>
      </c>
      <c r="E1192">
        <v>2</v>
      </c>
      <c r="F1192" t="str">
        <f>IF(AND(Entities[[#This Row],[ENT_TYPE]]="County",RIGHT(Entities[[#This Row],[ENT_NAME]],6)&lt;&gt;"County"),_xlfn.TEXTJOIN(" ",TRUE,Entities[[#This Row],[ENT_NAME]],"County"),Entities[[#This Row],[ENT_NAME]])</f>
        <v>Uncertain</v>
      </c>
    </row>
    <row r="1193" spans="1:6" x14ac:dyDescent="0.25">
      <c r="A1193" s="304" t="s">
        <v>6044</v>
      </c>
      <c r="B1193" s="303" t="str">
        <f t="shared" si="18"/>
        <v>x02003557</v>
      </c>
      <c r="C1193" t="s">
        <v>4</v>
      </c>
      <c r="D1193" t="s">
        <v>6045</v>
      </c>
      <c r="E1193">
        <v>2</v>
      </c>
      <c r="F1193" t="str">
        <f>IF(AND(Entities[[#This Row],[ENT_TYPE]]="County",RIGHT(Entities[[#This Row],[ENT_NAME]],6)&lt;&gt;"County"),_xlfn.TEXTJOIN(" ",TRUE,Entities[[#This Row],[ENT_NAME]],"County"),Entities[[#This Row],[ENT_NAME]])</f>
        <v>Diana Special Utility District</v>
      </c>
    </row>
    <row r="1194" spans="1:6" x14ac:dyDescent="0.25">
      <c r="A1194" s="302" t="s">
        <v>6046</v>
      </c>
      <c r="B1194" s="303" t="str">
        <f t="shared" si="18"/>
        <v>x03000000</v>
      </c>
      <c r="C1194" t="s">
        <v>4</v>
      </c>
      <c r="D1194" t="s">
        <v>6047</v>
      </c>
      <c r="E1194">
        <v>3</v>
      </c>
      <c r="F1194" t="str">
        <f>IF(AND(Entities[[#This Row],[ENT_TYPE]]="County",RIGHT(Entities[[#This Row],[ENT_NAME]],6)&lt;&gt;"County"),_xlfn.TEXTJOIN(" ",TRUE,Entities[[#This Row],[ENT_NAME]],"County"),Entities[[#This Row],[ENT_NAME]])</f>
        <v>Trinity Flood Planning Region</v>
      </c>
    </row>
    <row r="1195" spans="1:6" x14ac:dyDescent="0.25">
      <c r="A1195" s="302" t="s">
        <v>6048</v>
      </c>
      <c r="B1195" s="303" t="str">
        <f t="shared" si="18"/>
        <v>x03000105</v>
      </c>
      <c r="C1195" t="s">
        <v>4947</v>
      </c>
      <c r="D1195" t="s">
        <v>2300</v>
      </c>
      <c r="E1195">
        <v>3</v>
      </c>
      <c r="F1195" t="str">
        <f>IF(AND(Entities[[#This Row],[ENT_TYPE]]="County",RIGHT(Entities[[#This Row],[ENT_NAME]],6)&lt;&gt;"County"),_xlfn.TEXTJOIN(" ",TRUE,Entities[[#This Row],[ENT_NAME]],"County"),Entities[[#This Row],[ENT_NAME]])</f>
        <v>Ellis County</v>
      </c>
    </row>
    <row r="1196" spans="1:6" x14ac:dyDescent="0.25">
      <c r="A1196" s="302" t="s">
        <v>1928</v>
      </c>
      <c r="B1196" s="303" t="str">
        <f t="shared" si="18"/>
        <v>x03000163</v>
      </c>
      <c r="C1196" t="s">
        <v>4947</v>
      </c>
      <c r="D1196" t="s">
        <v>2290</v>
      </c>
      <c r="E1196">
        <v>3</v>
      </c>
      <c r="F1196" t="str">
        <f>IF(AND(Entities[[#This Row],[ENT_TYPE]]="County",RIGHT(Entities[[#This Row],[ENT_NAME]],6)&lt;&gt;"County"),_xlfn.TEXTJOIN(" ",TRUE,Entities[[#This Row],[ENT_NAME]],"County"),Entities[[#This Row],[ENT_NAME]])</f>
        <v>Navarro County</v>
      </c>
    </row>
    <row r="1197" spans="1:6" x14ac:dyDescent="0.25">
      <c r="A1197" s="302" t="s">
        <v>6049</v>
      </c>
      <c r="B1197" s="303" t="str">
        <f t="shared" si="18"/>
        <v>x03000208</v>
      </c>
      <c r="C1197" t="s">
        <v>4947</v>
      </c>
      <c r="D1197" t="s">
        <v>2107</v>
      </c>
      <c r="E1197">
        <v>3</v>
      </c>
      <c r="F1197" t="str">
        <f>IF(AND(Entities[[#This Row],[ENT_TYPE]]="County",RIGHT(Entities[[#This Row],[ENT_NAME]],6)&lt;&gt;"County"),_xlfn.TEXTJOIN(" ",TRUE,Entities[[#This Row],[ENT_NAME]],"County"),Entities[[#This Row],[ENT_NAME]])</f>
        <v>Denton County</v>
      </c>
    </row>
    <row r="1198" spans="1:6" x14ac:dyDescent="0.25">
      <c r="A1198" s="302" t="s">
        <v>1997</v>
      </c>
      <c r="B1198" s="303" t="str">
        <f t="shared" si="18"/>
        <v>x03000209</v>
      </c>
      <c r="C1198" t="s">
        <v>4947</v>
      </c>
      <c r="D1198" t="s">
        <v>2226</v>
      </c>
      <c r="E1198">
        <v>3</v>
      </c>
      <c r="F1198" t="str">
        <f>IF(AND(Entities[[#This Row],[ENT_TYPE]]="County",RIGHT(Entities[[#This Row],[ENT_NAME]],6)&lt;&gt;"County"),_xlfn.TEXTJOIN(" ",TRUE,Entities[[#This Row],[ENT_NAME]],"County"),Entities[[#This Row],[ENT_NAME]])</f>
        <v>Wise County</v>
      </c>
    </row>
    <row r="1199" spans="1:6" x14ac:dyDescent="0.25">
      <c r="A1199" s="302" t="s">
        <v>1935</v>
      </c>
      <c r="B1199" s="303" t="str">
        <f t="shared" si="18"/>
        <v>x03000224</v>
      </c>
      <c r="C1199" t="s">
        <v>4947</v>
      </c>
      <c r="D1199" t="s">
        <v>2235</v>
      </c>
      <c r="E1199">
        <v>3</v>
      </c>
      <c r="F1199" t="str">
        <f>IF(AND(Entities[[#This Row],[ENT_TYPE]]="County",RIGHT(Entities[[#This Row],[ENT_NAME]],6)&lt;&gt;"County"),_xlfn.TEXTJOIN(" ",TRUE,Entities[[#This Row],[ENT_NAME]],"County"),Entities[[#This Row],[ENT_NAME]])</f>
        <v>Tarrant County</v>
      </c>
    </row>
    <row r="1200" spans="1:6" x14ac:dyDescent="0.25">
      <c r="A1200" s="302" t="s">
        <v>1818</v>
      </c>
      <c r="B1200" s="303" t="str">
        <f t="shared" si="18"/>
        <v>x03000225</v>
      </c>
      <c r="C1200" t="s">
        <v>4947</v>
      </c>
      <c r="D1200" t="s">
        <v>2091</v>
      </c>
      <c r="E1200">
        <v>3</v>
      </c>
      <c r="F1200" t="str">
        <f>IF(AND(Entities[[#This Row],[ENT_TYPE]]="County",RIGHT(Entities[[#This Row],[ENT_NAME]],6)&lt;&gt;"County"),_xlfn.TEXTJOIN(" ",TRUE,Entities[[#This Row],[ENT_NAME]],"County"),Entities[[#This Row],[ENT_NAME]])</f>
        <v>Dallas County</v>
      </c>
    </row>
    <row r="1201" spans="1:6" x14ac:dyDescent="0.25">
      <c r="A1201" s="302" t="s">
        <v>6050</v>
      </c>
      <c r="B1201" s="303" t="str">
        <f t="shared" si="18"/>
        <v>x03000286</v>
      </c>
      <c r="C1201" t="s">
        <v>4</v>
      </c>
      <c r="D1201" t="s">
        <v>6051</v>
      </c>
      <c r="E1201">
        <v>3</v>
      </c>
      <c r="F1201" t="str">
        <f>IF(AND(Entities[[#This Row],[ENT_TYPE]]="County",RIGHT(Entities[[#This Row],[ENT_NAME]],6)&lt;&gt;"County"),_xlfn.TEXTJOIN(" ",TRUE,Entities[[#This Row],[ENT_NAME]],"County"),Entities[[#This Row],[ENT_NAME]])</f>
        <v>Tarrant Regional Water District</v>
      </c>
    </row>
    <row r="1202" spans="1:6" x14ac:dyDescent="0.25">
      <c r="A1202" s="302" t="s">
        <v>6052</v>
      </c>
      <c r="B1202" s="303" t="str">
        <f t="shared" si="18"/>
        <v>x03000289</v>
      </c>
      <c r="C1202" t="s">
        <v>5127</v>
      </c>
      <c r="D1202" t="s">
        <v>6053</v>
      </c>
      <c r="E1202">
        <v>3</v>
      </c>
      <c r="F1202" t="str">
        <f>IF(AND(Entities[[#This Row],[ENT_TYPE]]="County",RIGHT(Entities[[#This Row],[ENT_NAME]],6)&lt;&gt;"County"),_xlfn.TEXTJOIN(" ",TRUE,Entities[[#This Row],[ENT_NAME]],"County"),Entities[[#This Row],[ENT_NAME]])</f>
        <v>Dallas County Utility &amp; Reclamation District</v>
      </c>
    </row>
    <row r="1203" spans="1:6" x14ac:dyDescent="0.25">
      <c r="A1203" s="302" t="s">
        <v>6054</v>
      </c>
      <c r="B1203" s="303" t="str">
        <f t="shared" si="18"/>
        <v>x03000311</v>
      </c>
      <c r="C1203" t="s">
        <v>4</v>
      </c>
      <c r="D1203" t="s">
        <v>6055</v>
      </c>
      <c r="E1203">
        <v>3</v>
      </c>
      <c r="F1203" t="str">
        <f>IF(AND(Entities[[#This Row],[ENT_TYPE]]="County",RIGHT(Entities[[#This Row],[ENT_NAME]],6)&lt;&gt;"County"),_xlfn.TEXTJOIN(" ",TRUE,Entities[[#This Row],[ENT_NAME]],"County"),Entities[[#This Row],[ENT_NAME]])</f>
        <v>Las Lomas MUD 3</v>
      </c>
    </row>
    <row r="1204" spans="1:6" x14ac:dyDescent="0.25">
      <c r="A1204" s="302" t="s">
        <v>6056</v>
      </c>
      <c r="B1204" s="303" t="str">
        <f t="shared" si="18"/>
        <v>x03000315</v>
      </c>
      <c r="C1204" t="s">
        <v>4</v>
      </c>
      <c r="D1204" t="s">
        <v>6057</v>
      </c>
      <c r="E1204">
        <v>3</v>
      </c>
      <c r="F1204" t="str">
        <f>IF(AND(Entities[[#This Row],[ENT_TYPE]]="County",RIGHT(Entities[[#This Row],[ENT_NAME]],6)&lt;&gt;"County"),_xlfn.TEXTJOIN(" ",TRUE,Entities[[#This Row],[ENT_NAME]],"County"),Entities[[#This Row],[ENT_NAME]])</f>
        <v>West Cedar Creek MUD</v>
      </c>
    </row>
    <row r="1205" spans="1:6" x14ac:dyDescent="0.25">
      <c r="A1205" s="302" t="s">
        <v>6058</v>
      </c>
      <c r="B1205" s="303" t="str">
        <f t="shared" si="18"/>
        <v>x03000323</v>
      </c>
      <c r="C1205" t="s">
        <v>4</v>
      </c>
      <c r="D1205" t="s">
        <v>6059</v>
      </c>
      <c r="E1205">
        <v>3</v>
      </c>
      <c r="F1205" t="str">
        <f>IF(AND(Entities[[#This Row],[ENT_TYPE]]="County",RIGHT(Entities[[#This Row],[ENT_NAME]],6)&lt;&gt;"County"),_xlfn.TEXTJOIN(" ",TRUE,Entities[[#This Row],[ENT_NAME]],"County"),Entities[[#This Row],[ENT_NAME]])</f>
        <v>Johnson County FWSD 2</v>
      </c>
    </row>
    <row r="1206" spans="1:6" x14ac:dyDescent="0.25">
      <c r="A1206" s="302" t="s">
        <v>6060</v>
      </c>
      <c r="B1206" s="303" t="str">
        <f t="shared" si="18"/>
        <v>x03000324</v>
      </c>
      <c r="C1206" t="s">
        <v>4</v>
      </c>
      <c r="D1206" t="s">
        <v>6061</v>
      </c>
      <c r="E1206">
        <v>3</v>
      </c>
      <c r="F1206" t="str">
        <f>IF(AND(Entities[[#This Row],[ENT_TYPE]]="County",RIGHT(Entities[[#This Row],[ENT_NAME]],6)&lt;&gt;"County"),_xlfn.TEXTJOIN(" ",TRUE,Entities[[#This Row],[ENT_NAME]],"County"),Entities[[#This Row],[ENT_NAME]])</f>
        <v>The Lakes FWSD of Denton County</v>
      </c>
    </row>
    <row r="1207" spans="1:6" x14ac:dyDescent="0.25">
      <c r="A1207" s="302" t="s">
        <v>6062</v>
      </c>
      <c r="B1207" s="303" t="str">
        <f t="shared" si="18"/>
        <v>x03000343</v>
      </c>
      <c r="C1207" t="s">
        <v>4</v>
      </c>
      <c r="D1207" t="s">
        <v>6063</v>
      </c>
      <c r="E1207">
        <v>3</v>
      </c>
      <c r="F1207" t="str">
        <f>IF(AND(Entities[[#This Row],[ENT_TYPE]]="County",RIGHT(Entities[[#This Row],[ENT_NAME]],6)&lt;&gt;"County"),_xlfn.TEXTJOIN(" ",TRUE,Entities[[#This Row],[ENT_NAME]],"County"),Entities[[#This Row],[ENT_NAME]])</f>
        <v>Rolling V Ranch WCID 1 of Wise County</v>
      </c>
    </row>
    <row r="1208" spans="1:6" x14ac:dyDescent="0.25">
      <c r="A1208" s="302" t="s">
        <v>6064</v>
      </c>
      <c r="B1208" s="303" t="str">
        <f t="shared" si="18"/>
        <v>x03000352</v>
      </c>
      <c r="C1208" t="s">
        <v>4</v>
      </c>
      <c r="D1208" t="s">
        <v>6065</v>
      </c>
      <c r="E1208">
        <v>3</v>
      </c>
      <c r="F1208" t="str">
        <f>IF(AND(Entities[[#This Row],[ENT_TYPE]]="County",RIGHT(Entities[[#This Row],[ENT_NAME]],6)&lt;&gt;"County"),_xlfn.TEXTJOIN(" ",TRUE,Entities[[#This Row],[ENT_NAME]],"County"),Entities[[#This Row],[ENT_NAME]])</f>
        <v>Prosper Management District 1</v>
      </c>
    </row>
    <row r="1209" spans="1:6" x14ac:dyDescent="0.25">
      <c r="A1209" s="302" t="s">
        <v>6066</v>
      </c>
      <c r="B1209" s="303" t="str">
        <f t="shared" si="18"/>
        <v>x03000356</v>
      </c>
      <c r="C1209" t="s">
        <v>4</v>
      </c>
      <c r="D1209" t="s">
        <v>6067</v>
      </c>
      <c r="E1209">
        <v>3</v>
      </c>
      <c r="F1209" t="str">
        <f>IF(AND(Entities[[#This Row],[ENT_TYPE]]="County",RIGHT(Entities[[#This Row],[ENT_NAME]],6)&lt;&gt;"County"),_xlfn.TEXTJOIN(" ",TRUE,Entities[[#This Row],[ENT_NAME]],"County"),Entities[[#This Row],[ENT_NAME]])</f>
        <v>Kaufman County Parks Improvement District</v>
      </c>
    </row>
    <row r="1210" spans="1:6" x14ac:dyDescent="0.25">
      <c r="A1210" s="302" t="s">
        <v>6068</v>
      </c>
      <c r="B1210" s="303" t="str">
        <f t="shared" si="18"/>
        <v>x03000382</v>
      </c>
      <c r="C1210" t="s">
        <v>4</v>
      </c>
      <c r="D1210" t="s">
        <v>6069</v>
      </c>
      <c r="E1210">
        <v>3</v>
      </c>
      <c r="F1210" t="str">
        <f>IF(AND(Entities[[#This Row],[ENT_TYPE]]="County",RIGHT(Entities[[#This Row],[ENT_NAME]],6)&lt;&gt;"County"),_xlfn.TEXTJOIN(" ",TRUE,Entities[[#This Row],[ENT_NAME]],"County"),Entities[[#This Row],[ENT_NAME]])</f>
        <v>Kaufman County LID 1</v>
      </c>
    </row>
    <row r="1211" spans="1:6" x14ac:dyDescent="0.25">
      <c r="A1211" s="302" t="s">
        <v>6070</v>
      </c>
      <c r="B1211" s="303" t="str">
        <f t="shared" si="18"/>
        <v>x03000400</v>
      </c>
      <c r="C1211" t="s">
        <v>4</v>
      </c>
      <c r="D1211" t="s">
        <v>6071</v>
      </c>
      <c r="E1211">
        <v>3</v>
      </c>
      <c r="F1211" t="str">
        <f>IF(AND(Entities[[#This Row],[ENT_TYPE]]="County",RIGHT(Entities[[#This Row],[ENT_NAME]],6)&lt;&gt;"County"),_xlfn.TEXTJOIN(" ",TRUE,Entities[[#This Row],[ENT_NAME]],"County"),Entities[[#This Row],[ENT_NAME]])</f>
        <v>Irving Flood Control District Section 1</v>
      </c>
    </row>
    <row r="1212" spans="1:6" x14ac:dyDescent="0.25">
      <c r="A1212" s="302" t="s">
        <v>6072</v>
      </c>
      <c r="B1212" s="303" t="str">
        <f t="shared" si="18"/>
        <v>x03000401</v>
      </c>
      <c r="C1212" t="s">
        <v>4</v>
      </c>
      <c r="D1212" t="s">
        <v>6073</v>
      </c>
      <c r="E1212">
        <v>3</v>
      </c>
      <c r="F1212" t="str">
        <f>IF(AND(Entities[[#This Row],[ENT_TYPE]]="County",RIGHT(Entities[[#This Row],[ENT_NAME]],6)&lt;&gt;"County"),_xlfn.TEXTJOIN(" ",TRUE,Entities[[#This Row],[ENT_NAME]],"County"),Entities[[#This Row],[ENT_NAME]])</f>
        <v>Irving Flood Control District Section 3</v>
      </c>
    </row>
    <row r="1213" spans="1:6" x14ac:dyDescent="0.25">
      <c r="A1213" s="302" t="s">
        <v>6074</v>
      </c>
      <c r="B1213" s="303" t="str">
        <f t="shared" si="18"/>
        <v>x03000402</v>
      </c>
      <c r="C1213" t="s">
        <v>4</v>
      </c>
      <c r="D1213" t="s">
        <v>6075</v>
      </c>
      <c r="E1213">
        <v>3</v>
      </c>
      <c r="F1213" t="str">
        <f>IF(AND(Entities[[#This Row],[ENT_TYPE]]="County",RIGHT(Entities[[#This Row],[ENT_NAME]],6)&lt;&gt;"County"),_xlfn.TEXTJOIN(" ",TRUE,Entities[[#This Row],[ENT_NAME]],"County"),Entities[[#This Row],[ENT_NAME]])</f>
        <v>Liberty County WCID 5</v>
      </c>
    </row>
    <row r="1214" spans="1:6" x14ac:dyDescent="0.25">
      <c r="A1214" s="302" t="s">
        <v>6076</v>
      </c>
      <c r="B1214" s="303" t="str">
        <f t="shared" si="18"/>
        <v>x03000403</v>
      </c>
      <c r="C1214" t="s">
        <v>4</v>
      </c>
      <c r="D1214" t="s">
        <v>6077</v>
      </c>
      <c r="E1214">
        <v>3</v>
      </c>
      <c r="F1214" t="str">
        <f>IF(AND(Entities[[#This Row],[ENT_TYPE]]="County",RIGHT(Entities[[#This Row],[ENT_NAME]],6)&lt;&gt;"County"),_xlfn.TEXTJOIN(" ",TRUE,Entities[[#This Row],[ENT_NAME]],"County"),Entities[[#This Row],[ENT_NAME]])</f>
        <v>Raywood Drainage District 2</v>
      </c>
    </row>
    <row r="1215" spans="1:6" x14ac:dyDescent="0.25">
      <c r="A1215" s="302" t="s">
        <v>6078</v>
      </c>
      <c r="B1215" s="303" t="str">
        <f t="shared" si="18"/>
        <v>x03000406</v>
      </c>
      <c r="C1215" t="s">
        <v>4</v>
      </c>
      <c r="D1215" t="s">
        <v>6079</v>
      </c>
      <c r="E1215">
        <v>3</v>
      </c>
      <c r="F1215" t="str">
        <f>IF(AND(Entities[[#This Row],[ENT_TYPE]]="County",RIGHT(Entities[[#This Row],[ENT_NAME]],6)&lt;&gt;"County"),_xlfn.TEXTJOIN(" ",TRUE,Entities[[#This Row],[ENT_NAME]],"County"),Entities[[#This Row],[ENT_NAME]])</f>
        <v>Muenster Water District</v>
      </c>
    </row>
    <row r="1216" spans="1:6" x14ac:dyDescent="0.25">
      <c r="A1216" s="302" t="s">
        <v>6080</v>
      </c>
      <c r="B1216" s="303" t="str">
        <f t="shared" si="18"/>
        <v>x03000431</v>
      </c>
      <c r="C1216" t="s">
        <v>4</v>
      </c>
      <c r="D1216" t="s">
        <v>6081</v>
      </c>
      <c r="E1216">
        <v>3</v>
      </c>
      <c r="F1216" t="str">
        <f>IF(AND(Entities[[#This Row],[ENT_TYPE]]="County",RIGHT(Entities[[#This Row],[ENT_NAME]],6)&lt;&gt;"County"),_xlfn.TEXTJOIN(" ",TRUE,Entities[[#This Row],[ENT_NAME]],"County"),Entities[[#This Row],[ENT_NAME]])</f>
        <v>Burns Branch MUD 1</v>
      </c>
    </row>
    <row r="1217" spans="1:6" x14ac:dyDescent="0.25">
      <c r="A1217" s="302" t="s">
        <v>6082</v>
      </c>
      <c r="B1217" s="303" t="str">
        <f t="shared" si="18"/>
        <v>x03000437</v>
      </c>
      <c r="C1217" t="s">
        <v>4</v>
      </c>
      <c r="D1217" t="s">
        <v>6083</v>
      </c>
      <c r="E1217">
        <v>3</v>
      </c>
      <c r="F1217" t="str">
        <f>IF(AND(Entities[[#This Row],[ENT_TYPE]]="County",RIGHT(Entities[[#This Row],[ENT_NAME]],6)&lt;&gt;"County"),_xlfn.TEXTJOIN(" ",TRUE,Entities[[#This Row],[ENT_NAME]],"County"),Entities[[#This Row],[ENT_NAME]])</f>
        <v>Van Alstyne MUD 2 of Collin County</v>
      </c>
    </row>
    <row r="1218" spans="1:6" x14ac:dyDescent="0.25">
      <c r="A1218" s="302" t="s">
        <v>6084</v>
      </c>
      <c r="B1218" s="303" t="str">
        <f t="shared" ref="B1218:B1281" si="19">_xlfn.CONCAT("x",TEXT(A1218,"00000000"))</f>
        <v>x03000439</v>
      </c>
      <c r="C1218" t="s">
        <v>4</v>
      </c>
      <c r="D1218" t="s">
        <v>6085</v>
      </c>
      <c r="E1218">
        <v>3</v>
      </c>
      <c r="F1218" t="str">
        <f>IF(AND(Entities[[#This Row],[ENT_TYPE]]="County",RIGHT(Entities[[#This Row],[ENT_NAME]],6)&lt;&gt;"County"),_xlfn.TEXTJOIN(" ",TRUE,Entities[[#This Row],[ENT_NAME]],"County"),Entities[[#This Row],[ENT_NAME]])</f>
        <v>New Park MMD</v>
      </c>
    </row>
    <row r="1219" spans="1:6" x14ac:dyDescent="0.25">
      <c r="A1219" s="302" t="s">
        <v>6086</v>
      </c>
      <c r="B1219" s="303" t="str">
        <f t="shared" si="19"/>
        <v>x03000455</v>
      </c>
      <c r="C1219" t="s">
        <v>4</v>
      </c>
      <c r="D1219" t="s">
        <v>6087</v>
      </c>
      <c r="E1219">
        <v>3</v>
      </c>
      <c r="F1219" t="str">
        <f>IF(AND(Entities[[#This Row],[ENT_TYPE]]="County",RIGHT(Entities[[#This Row],[ENT_NAME]],6)&lt;&gt;"County"),_xlfn.TEXTJOIN(" ",TRUE,Entities[[#This Row],[ENT_NAME]],"County"),Entities[[#This Row],[ENT_NAME]])</f>
        <v>Valwood Improvement Authority</v>
      </c>
    </row>
    <row r="1220" spans="1:6" x14ac:dyDescent="0.25">
      <c r="A1220" s="302" t="s">
        <v>6088</v>
      </c>
      <c r="B1220" s="303" t="str">
        <f t="shared" si="19"/>
        <v>x03000466</v>
      </c>
      <c r="C1220" t="s">
        <v>4</v>
      </c>
      <c r="D1220" t="s">
        <v>6089</v>
      </c>
      <c r="E1220">
        <v>3</v>
      </c>
      <c r="F1220" t="str">
        <f>IF(AND(Entities[[#This Row],[ENT_TYPE]]="County",RIGHT(Entities[[#This Row],[ENT_NAME]],6)&lt;&gt;"County"),_xlfn.TEXTJOIN(" ",TRUE,Entities[[#This Row],[ENT_NAME]],"County"),Entities[[#This Row],[ENT_NAME]])</f>
        <v>Valencia on the Lake WCID</v>
      </c>
    </row>
    <row r="1221" spans="1:6" x14ac:dyDescent="0.25">
      <c r="A1221" s="302" t="s">
        <v>6090</v>
      </c>
      <c r="B1221" s="303" t="str">
        <f t="shared" si="19"/>
        <v>x03000473</v>
      </c>
      <c r="C1221" t="s">
        <v>4</v>
      </c>
      <c r="D1221" t="s">
        <v>6091</v>
      </c>
      <c r="E1221">
        <v>3</v>
      </c>
      <c r="F1221" t="str">
        <f>IF(AND(Entities[[#This Row],[ENT_TYPE]]="County",RIGHT(Entities[[#This Row],[ENT_NAME]],6)&lt;&gt;"County"),_xlfn.TEXTJOIN(" ",TRUE,Entities[[#This Row],[ENT_NAME]],"County"),Entities[[#This Row],[ENT_NAME]])</f>
        <v>Ellis County LID 4</v>
      </c>
    </row>
    <row r="1222" spans="1:6" x14ac:dyDescent="0.25">
      <c r="A1222" s="302" t="s">
        <v>6092</v>
      </c>
      <c r="B1222" s="303" t="str">
        <f t="shared" si="19"/>
        <v>x03000477</v>
      </c>
      <c r="C1222" t="s">
        <v>4</v>
      </c>
      <c r="D1222" t="s">
        <v>6093</v>
      </c>
      <c r="E1222">
        <v>3</v>
      </c>
      <c r="F1222" t="str">
        <f>IF(AND(Entities[[#This Row],[ENT_TYPE]]="County",RIGHT(Entities[[#This Row],[ENT_NAME]],6)&lt;&gt;"County"),_xlfn.TEXTJOIN(" ",TRUE,Entities[[#This Row],[ENT_NAME]],"County"),Entities[[#This Row],[ENT_NAME]])</f>
        <v>Denton County LID 1</v>
      </c>
    </row>
    <row r="1223" spans="1:6" x14ac:dyDescent="0.25">
      <c r="A1223" s="302" t="s">
        <v>6094</v>
      </c>
      <c r="B1223" s="303" t="str">
        <f t="shared" si="19"/>
        <v>x03000484</v>
      </c>
      <c r="C1223" t="s">
        <v>4</v>
      </c>
      <c r="D1223" t="s">
        <v>6095</v>
      </c>
      <c r="E1223">
        <v>3</v>
      </c>
      <c r="F1223" t="str">
        <f>IF(AND(Entities[[#This Row],[ENT_TYPE]]="County",RIGHT(Entities[[#This Row],[ENT_NAME]],6)&lt;&gt;"County"),_xlfn.TEXTJOIN(" ",TRUE,Entities[[#This Row],[ENT_NAME]],"County"),Entities[[#This Row],[ENT_NAME]])</f>
        <v>Alpha Ranch WCID</v>
      </c>
    </row>
    <row r="1224" spans="1:6" x14ac:dyDescent="0.25">
      <c r="A1224" s="302" t="s">
        <v>6096</v>
      </c>
      <c r="B1224" s="303" t="str">
        <f t="shared" si="19"/>
        <v>x03000485</v>
      </c>
      <c r="C1224" t="s">
        <v>4</v>
      </c>
      <c r="D1224" t="s">
        <v>6097</v>
      </c>
      <c r="E1224">
        <v>3</v>
      </c>
      <c r="F1224" t="str">
        <f>IF(AND(Entities[[#This Row],[ENT_TYPE]]="County",RIGHT(Entities[[#This Row],[ENT_NAME]],6)&lt;&gt;"County"),_xlfn.TEXTJOIN(" ",TRUE,Entities[[#This Row],[ENT_NAME]],"County"),Entities[[#This Row],[ENT_NAME]])</f>
        <v>Kaufman County MUD 5</v>
      </c>
    </row>
    <row r="1225" spans="1:6" x14ac:dyDescent="0.25">
      <c r="A1225" s="302" t="s">
        <v>6098</v>
      </c>
      <c r="B1225" s="303" t="str">
        <f t="shared" si="19"/>
        <v>x03000486</v>
      </c>
      <c r="C1225" t="s">
        <v>4</v>
      </c>
      <c r="D1225" t="s">
        <v>6099</v>
      </c>
      <c r="E1225">
        <v>3</v>
      </c>
      <c r="F1225" t="str">
        <f>IF(AND(Entities[[#This Row],[ENT_TYPE]]="County",RIGHT(Entities[[#This Row],[ENT_NAME]],6)&lt;&gt;"County"),_xlfn.TEXTJOIN(" ",TRUE,Entities[[#This Row],[ENT_NAME]],"County"),Entities[[#This Row],[ENT_NAME]])</f>
        <v>Kaufman County MUD 6</v>
      </c>
    </row>
    <row r="1226" spans="1:6" x14ac:dyDescent="0.25">
      <c r="A1226" s="302" t="s">
        <v>6100</v>
      </c>
      <c r="B1226" s="303" t="str">
        <f t="shared" si="19"/>
        <v>x03000493</v>
      </c>
      <c r="C1226" t="s">
        <v>4</v>
      </c>
      <c r="D1226" t="s">
        <v>6101</v>
      </c>
      <c r="E1226">
        <v>3</v>
      </c>
      <c r="F1226" t="str">
        <f>IF(AND(Entities[[#This Row],[ENT_TYPE]]="County",RIGHT(Entities[[#This Row],[ENT_NAME]],6)&lt;&gt;"County"),_xlfn.TEXTJOIN(" ",TRUE,Entities[[#This Row],[ENT_NAME]],"County"),Entities[[#This Row],[ENT_NAME]])</f>
        <v>Circle T MUD 2</v>
      </c>
    </row>
    <row r="1227" spans="1:6" x14ac:dyDescent="0.25">
      <c r="A1227" s="302" t="s">
        <v>6102</v>
      </c>
      <c r="B1227" s="303" t="str">
        <f t="shared" si="19"/>
        <v>x03000507</v>
      </c>
      <c r="C1227" t="s">
        <v>4</v>
      </c>
      <c r="D1227" t="s">
        <v>6103</v>
      </c>
      <c r="E1227">
        <v>3</v>
      </c>
      <c r="F1227" t="str">
        <f>IF(AND(Entities[[#This Row],[ENT_TYPE]]="County",RIGHT(Entities[[#This Row],[ENT_NAME]],6)&lt;&gt;"County"),_xlfn.TEXTJOIN(" ",TRUE,Entities[[#This Row],[ENT_NAME]],"County"),Entities[[#This Row],[ENT_NAME]])</f>
        <v>Frisco Square Management District</v>
      </c>
    </row>
    <row r="1228" spans="1:6" x14ac:dyDescent="0.25">
      <c r="A1228" s="302" t="s">
        <v>6104</v>
      </c>
      <c r="B1228" s="303" t="str">
        <f t="shared" si="19"/>
        <v>x03000508</v>
      </c>
      <c r="C1228" t="s">
        <v>4</v>
      </c>
      <c r="D1228" t="s">
        <v>6105</v>
      </c>
      <c r="E1228">
        <v>3</v>
      </c>
      <c r="F1228" t="str">
        <f>IF(AND(Entities[[#This Row],[ENT_TYPE]]="County",RIGHT(Entities[[#This Row],[ENT_NAME]],6)&lt;&gt;"County"),_xlfn.TEXTJOIN(" ",TRUE,Entities[[#This Row],[ENT_NAME]],"County"),Entities[[#This Row],[ENT_NAME]])</f>
        <v>Denton County MUD 6</v>
      </c>
    </row>
    <row r="1229" spans="1:6" x14ac:dyDescent="0.25">
      <c r="A1229" s="302" t="s">
        <v>6106</v>
      </c>
      <c r="B1229" s="303" t="str">
        <f t="shared" si="19"/>
        <v>x03000521</v>
      </c>
      <c r="C1229" t="s">
        <v>4</v>
      </c>
      <c r="D1229" t="s">
        <v>6107</v>
      </c>
      <c r="E1229">
        <v>3</v>
      </c>
      <c r="F1229" t="str">
        <f>IF(AND(Entities[[#This Row],[ENT_TYPE]]="County",RIGHT(Entities[[#This Row],[ENT_NAME]],6)&lt;&gt;"County"),_xlfn.TEXTJOIN(" ",TRUE,Entities[[#This Row],[ENT_NAME]],"County"),Entities[[#This Row],[ENT_NAME]])</f>
        <v>Polk County FWSD 2</v>
      </c>
    </row>
    <row r="1230" spans="1:6" x14ac:dyDescent="0.25">
      <c r="A1230" s="302" t="s">
        <v>6108</v>
      </c>
      <c r="B1230" s="303" t="str">
        <f t="shared" si="19"/>
        <v>x03000531</v>
      </c>
      <c r="C1230" t="s">
        <v>4</v>
      </c>
      <c r="D1230" t="s">
        <v>6109</v>
      </c>
      <c r="E1230">
        <v>3</v>
      </c>
      <c r="F1230" t="str">
        <f>IF(AND(Entities[[#This Row],[ENT_TYPE]]="County",RIGHT(Entities[[#This Row],[ENT_NAME]],6)&lt;&gt;"County"),_xlfn.TEXTJOIN(" ",TRUE,Entities[[#This Row],[ENT_NAME]],"County"),Entities[[#This Row],[ENT_NAME]])</f>
        <v>Live Oak Creek MUD 1 of Tarrant County</v>
      </c>
    </row>
    <row r="1231" spans="1:6" x14ac:dyDescent="0.25">
      <c r="A1231" s="302" t="s">
        <v>6110</v>
      </c>
      <c r="B1231" s="303" t="str">
        <f t="shared" si="19"/>
        <v>x03000533</v>
      </c>
      <c r="C1231" t="s">
        <v>4</v>
      </c>
      <c r="D1231" t="s">
        <v>6111</v>
      </c>
      <c r="E1231">
        <v>3</v>
      </c>
      <c r="F1231" t="str">
        <f>IF(AND(Entities[[#This Row],[ENT_TYPE]]="County",RIGHT(Entities[[#This Row],[ENT_NAME]],6)&lt;&gt;"County"),_xlfn.TEXTJOIN(" ",TRUE,Entities[[#This Row],[ENT_NAME]],"County"),Entities[[#This Row],[ENT_NAME]])</f>
        <v>Northwest Dallas County FCD</v>
      </c>
    </row>
    <row r="1232" spans="1:6" x14ac:dyDescent="0.25">
      <c r="A1232" s="302" t="s">
        <v>6112</v>
      </c>
      <c r="B1232" s="303" t="str">
        <f t="shared" si="19"/>
        <v>x03000554</v>
      </c>
      <c r="C1232" t="s">
        <v>4</v>
      </c>
      <c r="D1232" t="s">
        <v>6113</v>
      </c>
      <c r="E1232">
        <v>3</v>
      </c>
      <c r="F1232" t="str">
        <f>IF(AND(Entities[[#This Row],[ENT_TYPE]]="County",RIGHT(Entities[[#This Row],[ENT_NAME]],6)&lt;&gt;"County"),_xlfn.TEXTJOIN(" ",TRUE,Entities[[#This Row],[ENT_NAME]],"County"),Entities[[#This Row],[ENT_NAME]])</f>
        <v>Ellis County FWSD 3</v>
      </c>
    </row>
    <row r="1233" spans="1:6" x14ac:dyDescent="0.25">
      <c r="A1233" s="302" t="s">
        <v>6114</v>
      </c>
      <c r="B1233" s="303" t="str">
        <f t="shared" si="19"/>
        <v>x03000573</v>
      </c>
      <c r="C1233" t="s">
        <v>4</v>
      </c>
      <c r="D1233" t="s">
        <v>6115</v>
      </c>
      <c r="E1233">
        <v>3</v>
      </c>
      <c r="F1233" t="str">
        <f>IF(AND(Entities[[#This Row],[ENT_TYPE]]="County",RIGHT(Entities[[#This Row],[ENT_NAME]],6)&lt;&gt;"County"),_xlfn.TEXTJOIN(" ",TRUE,Entities[[#This Row],[ENT_NAME]],"County"),Entities[[#This Row],[ENT_NAME]])</f>
        <v>Four Seasons Ranch MUD 1</v>
      </c>
    </row>
    <row r="1234" spans="1:6" x14ac:dyDescent="0.25">
      <c r="A1234" s="302" t="s">
        <v>6116</v>
      </c>
      <c r="B1234" s="303" t="str">
        <f t="shared" si="19"/>
        <v>x03000603</v>
      </c>
      <c r="C1234" t="s">
        <v>4</v>
      </c>
      <c r="D1234" t="s">
        <v>6117</v>
      </c>
      <c r="E1234">
        <v>3</v>
      </c>
      <c r="F1234" t="str">
        <f>IF(AND(Entities[[#This Row],[ENT_TYPE]]="County",RIGHT(Entities[[#This Row],[ENT_NAME]],6)&lt;&gt;"County"),_xlfn.TEXTJOIN(" ",TRUE,Entities[[#This Row],[ENT_NAME]],"County"),Entities[[#This Row],[ENT_NAME]])</f>
        <v>Ellis County LID 3</v>
      </c>
    </row>
    <row r="1235" spans="1:6" x14ac:dyDescent="0.25">
      <c r="A1235" s="302" t="s">
        <v>6118</v>
      </c>
      <c r="B1235" s="303" t="str">
        <f t="shared" si="19"/>
        <v>x03000605</v>
      </c>
      <c r="C1235" t="s">
        <v>4</v>
      </c>
      <c r="D1235" t="s">
        <v>6119</v>
      </c>
      <c r="E1235">
        <v>3</v>
      </c>
      <c r="F1235" t="str">
        <f>IF(AND(Entities[[#This Row],[ENT_TYPE]]="County",RIGHT(Entities[[#This Row],[ENT_NAME]],6)&lt;&gt;"County"),_xlfn.TEXTJOIN(" ",TRUE,Entities[[#This Row],[ENT_NAME]],"County"),Entities[[#This Row],[ENT_NAME]])</f>
        <v>Ellis County FWSD 2</v>
      </c>
    </row>
    <row r="1236" spans="1:6" x14ac:dyDescent="0.25">
      <c r="A1236" s="302" t="s">
        <v>6120</v>
      </c>
      <c r="B1236" s="303" t="str">
        <f t="shared" si="19"/>
        <v>x03000613</v>
      </c>
      <c r="C1236" t="s">
        <v>4</v>
      </c>
      <c r="D1236" t="s">
        <v>6121</v>
      </c>
      <c r="E1236">
        <v>3</v>
      </c>
      <c r="F1236" t="str">
        <f>IF(AND(Entities[[#This Row],[ENT_TYPE]]="County",RIGHT(Entities[[#This Row],[ENT_NAME]],6)&lt;&gt;"County"),_xlfn.TEXTJOIN(" ",TRUE,Entities[[#This Row],[ENT_NAME]],"County"),Entities[[#This Row],[ENT_NAME]])</f>
        <v>Van Alstyne MUD 1 of Grayson County</v>
      </c>
    </row>
    <row r="1237" spans="1:6" x14ac:dyDescent="0.25">
      <c r="A1237" s="302" t="s">
        <v>6122</v>
      </c>
      <c r="B1237" s="303" t="str">
        <f t="shared" si="19"/>
        <v>x03000615</v>
      </c>
      <c r="C1237" t="s">
        <v>4</v>
      </c>
      <c r="D1237" t="s">
        <v>6123</v>
      </c>
      <c r="E1237">
        <v>3</v>
      </c>
      <c r="F1237" t="str">
        <f>IF(AND(Entities[[#This Row],[ENT_TYPE]]="County",RIGHT(Entities[[#This Row],[ENT_NAME]],6)&lt;&gt;"County"),_xlfn.TEXTJOIN(" ",TRUE,Entities[[#This Row],[ENT_NAME]],"County"),Entities[[#This Row],[ENT_NAME]])</f>
        <v>Twin Lakes MUD 1 of Kaufman County</v>
      </c>
    </row>
    <row r="1238" spans="1:6" x14ac:dyDescent="0.25">
      <c r="A1238" s="302" t="s">
        <v>6124</v>
      </c>
      <c r="B1238" s="303" t="str">
        <f t="shared" si="19"/>
        <v>x03000624</v>
      </c>
      <c r="C1238" t="s">
        <v>4</v>
      </c>
      <c r="D1238" t="s">
        <v>6125</v>
      </c>
      <c r="E1238">
        <v>3</v>
      </c>
      <c r="F1238" t="str">
        <f>IF(AND(Entities[[#This Row],[ENT_TYPE]]="County",RIGHT(Entities[[#This Row],[ENT_NAME]],6)&lt;&gt;"County"),_xlfn.TEXTJOIN(" ",TRUE,Entities[[#This Row],[ENT_NAME]],"County"),Entities[[#This Row],[ENT_NAME]])</f>
        <v>Canyon Falls MUD 1</v>
      </c>
    </row>
    <row r="1239" spans="1:6" x14ac:dyDescent="0.25">
      <c r="A1239" s="302" t="s">
        <v>6126</v>
      </c>
      <c r="B1239" s="303" t="str">
        <f t="shared" si="19"/>
        <v>x03000635</v>
      </c>
      <c r="C1239" t="s">
        <v>4</v>
      </c>
      <c r="D1239" t="s">
        <v>6127</v>
      </c>
      <c r="E1239">
        <v>3</v>
      </c>
      <c r="F1239" t="str">
        <f>IF(AND(Entities[[#This Row],[ENT_TYPE]]="County",RIGHT(Entities[[#This Row],[ENT_NAME]],6)&lt;&gt;"County"),_xlfn.TEXTJOIN(" ",TRUE,Entities[[#This Row],[ENT_NAME]],"County"),Entities[[#This Row],[ENT_NAME]])</f>
        <v>Navarro County LID 11</v>
      </c>
    </row>
    <row r="1240" spans="1:6" x14ac:dyDescent="0.25">
      <c r="A1240" s="302" t="s">
        <v>6128</v>
      </c>
      <c r="B1240" s="303" t="str">
        <f t="shared" si="19"/>
        <v>x03000636</v>
      </c>
      <c r="C1240" t="s">
        <v>4</v>
      </c>
      <c r="D1240" t="s">
        <v>6129</v>
      </c>
      <c r="E1240">
        <v>3</v>
      </c>
      <c r="F1240" t="str">
        <f>IF(AND(Entities[[#This Row],[ENT_TYPE]]="County",RIGHT(Entities[[#This Row],[ENT_NAME]],6)&lt;&gt;"County"),_xlfn.TEXTJOIN(" ",TRUE,Entities[[#This Row],[ENT_NAME]],"County"),Entities[[#This Row],[ENT_NAME]])</f>
        <v>Preston Summit MUD 1</v>
      </c>
    </row>
    <row r="1241" spans="1:6" x14ac:dyDescent="0.25">
      <c r="A1241" s="302" t="s">
        <v>6130</v>
      </c>
      <c r="B1241" s="303" t="str">
        <f t="shared" si="19"/>
        <v>x03000641</v>
      </c>
      <c r="C1241" t="s">
        <v>4</v>
      </c>
      <c r="D1241" t="s">
        <v>6131</v>
      </c>
      <c r="E1241">
        <v>3</v>
      </c>
      <c r="F1241" t="str">
        <f>IF(AND(Entities[[#This Row],[ENT_TYPE]]="County",RIGHT(Entities[[#This Row],[ENT_NAME]],6)&lt;&gt;"County"),_xlfn.TEXTJOIN(" ",TRUE,Entities[[#This Row],[ENT_NAME]],"County"),Entities[[#This Row],[ENT_NAME]])</f>
        <v>Gunter MUD 1</v>
      </c>
    </row>
    <row r="1242" spans="1:6" x14ac:dyDescent="0.25">
      <c r="A1242" s="302" t="s">
        <v>6132</v>
      </c>
      <c r="B1242" s="303" t="str">
        <f t="shared" si="19"/>
        <v>x03000642</v>
      </c>
      <c r="C1242" t="s">
        <v>4</v>
      </c>
      <c r="D1242" t="s">
        <v>6133</v>
      </c>
      <c r="E1242">
        <v>3</v>
      </c>
      <c r="F1242" t="str">
        <f>IF(AND(Entities[[#This Row],[ENT_TYPE]]="County",RIGHT(Entities[[#This Row],[ENT_NAME]],6)&lt;&gt;"County"),_xlfn.TEXTJOIN(" ",TRUE,Entities[[#This Row],[ENT_NAME]],"County"),Entities[[#This Row],[ENT_NAME]])</f>
        <v>Gunter MUD 2</v>
      </c>
    </row>
    <row r="1243" spans="1:6" x14ac:dyDescent="0.25">
      <c r="A1243" s="302" t="s">
        <v>6134</v>
      </c>
      <c r="B1243" s="303" t="str">
        <f t="shared" si="19"/>
        <v>x03000646</v>
      </c>
      <c r="C1243" t="s">
        <v>4</v>
      </c>
      <c r="D1243" t="s">
        <v>6135</v>
      </c>
      <c r="E1243">
        <v>3</v>
      </c>
      <c r="F1243" t="str">
        <f>IF(AND(Entities[[#This Row],[ENT_TYPE]]="County",RIGHT(Entities[[#This Row],[ENT_NAME]],6)&lt;&gt;"County"),_xlfn.TEXTJOIN(" ",TRUE,Entities[[#This Row],[ENT_NAME]],"County"),Entities[[#This Row],[ENT_NAME]])</f>
        <v>Tradition MUD 2 of Denton County</v>
      </c>
    </row>
    <row r="1244" spans="1:6" x14ac:dyDescent="0.25">
      <c r="A1244" s="302" t="s">
        <v>6136</v>
      </c>
      <c r="B1244" s="303" t="str">
        <f t="shared" si="19"/>
        <v>x03000647</v>
      </c>
      <c r="C1244" t="s">
        <v>4</v>
      </c>
      <c r="D1244" t="s">
        <v>6137</v>
      </c>
      <c r="E1244">
        <v>3</v>
      </c>
      <c r="F1244" t="str">
        <f>IF(AND(Entities[[#This Row],[ENT_TYPE]]="County",RIGHT(Entities[[#This Row],[ENT_NAME]],6)&lt;&gt;"County"),_xlfn.TEXTJOIN(" ",TRUE,Entities[[#This Row],[ENT_NAME]],"County"),Entities[[#This Row],[ENT_NAME]])</f>
        <v>Triple Creek Municipal Management District</v>
      </c>
    </row>
    <row r="1245" spans="1:6" x14ac:dyDescent="0.25">
      <c r="A1245" s="302" t="s">
        <v>6138</v>
      </c>
      <c r="B1245" s="303" t="str">
        <f t="shared" si="19"/>
        <v>x03000660</v>
      </c>
      <c r="C1245" t="s">
        <v>4</v>
      </c>
      <c r="D1245" t="s">
        <v>6139</v>
      </c>
      <c r="E1245">
        <v>3</v>
      </c>
      <c r="F1245" t="str">
        <f>IF(AND(Entities[[#This Row],[ENT_TYPE]]="County",RIGHT(Entities[[#This Row],[ENT_NAME]],6)&lt;&gt;"County"),_xlfn.TEXTJOIN(" ",TRUE,Entities[[#This Row],[ENT_NAME]],"County"),Entities[[#This Row],[ENT_NAME]])</f>
        <v>Fairfields MUD</v>
      </c>
    </row>
    <row r="1246" spans="1:6" x14ac:dyDescent="0.25">
      <c r="A1246" s="302" t="s">
        <v>6140</v>
      </c>
      <c r="B1246" s="303" t="str">
        <f t="shared" si="19"/>
        <v>x03000661</v>
      </c>
      <c r="C1246" t="s">
        <v>4</v>
      </c>
      <c r="D1246" t="s">
        <v>6141</v>
      </c>
      <c r="E1246">
        <v>3</v>
      </c>
      <c r="F1246" t="str">
        <f>IF(AND(Entities[[#This Row],[ENT_TYPE]]="County",RIGHT(Entities[[#This Row],[ENT_NAME]],6)&lt;&gt;"County"),_xlfn.TEXTJOIN(" ",TRUE,Entities[[#This Row],[ENT_NAME]],"County"),Entities[[#This Row],[ENT_NAME]])</f>
        <v>Henderson County LID 1</v>
      </c>
    </row>
    <row r="1247" spans="1:6" x14ac:dyDescent="0.25">
      <c r="A1247" s="302" t="s">
        <v>6142</v>
      </c>
      <c r="B1247" s="303" t="str">
        <f t="shared" si="19"/>
        <v>x03000670</v>
      </c>
      <c r="C1247" t="s">
        <v>4</v>
      </c>
      <c r="D1247" t="s">
        <v>6143</v>
      </c>
      <c r="E1247">
        <v>3</v>
      </c>
      <c r="F1247" t="str">
        <f>IF(AND(Entities[[#This Row],[ENT_TYPE]]="County",RIGHT(Entities[[#This Row],[ENT_NAME]],6)&lt;&gt;"County"),_xlfn.TEXTJOIN(" ",TRUE,Entities[[#This Row],[ENT_NAME]],"County"),Entities[[#This Row],[ENT_NAME]])</f>
        <v>Navarro County LID 10</v>
      </c>
    </row>
    <row r="1248" spans="1:6" x14ac:dyDescent="0.25">
      <c r="A1248" s="302" t="s">
        <v>6144</v>
      </c>
      <c r="B1248" s="303" t="str">
        <f t="shared" si="19"/>
        <v>x03000681</v>
      </c>
      <c r="C1248" t="s">
        <v>4</v>
      </c>
      <c r="D1248" t="s">
        <v>6145</v>
      </c>
      <c r="E1248">
        <v>3</v>
      </c>
      <c r="F1248" t="str">
        <f>IF(AND(Entities[[#This Row],[ENT_TYPE]]="County",RIGHT(Entities[[#This Row],[ENT_NAME]],6)&lt;&gt;"County"),_xlfn.TEXTJOIN(" ",TRUE,Entities[[#This Row],[ENT_NAME]],"County"),Entities[[#This Row],[ENT_NAME]])</f>
        <v>Morningstar Ranch MUD 1 of Parker County</v>
      </c>
    </row>
    <row r="1249" spans="1:6" x14ac:dyDescent="0.25">
      <c r="A1249" s="302" t="s">
        <v>6146</v>
      </c>
      <c r="B1249" s="303" t="str">
        <f t="shared" si="19"/>
        <v>x03000682</v>
      </c>
      <c r="C1249" t="s">
        <v>4</v>
      </c>
      <c r="D1249" t="s">
        <v>6147</v>
      </c>
      <c r="E1249">
        <v>3</v>
      </c>
      <c r="F1249" t="str">
        <f>IF(AND(Entities[[#This Row],[ENT_TYPE]]="County",RIGHT(Entities[[#This Row],[ENT_NAME]],6)&lt;&gt;"County"),_xlfn.TEXTJOIN(" ",TRUE,Entities[[#This Row],[ENT_NAME]],"County"),Entities[[#This Row],[ENT_NAME]])</f>
        <v>Belmont FWSD 1 of Denton County</v>
      </c>
    </row>
    <row r="1250" spans="1:6" x14ac:dyDescent="0.25">
      <c r="A1250" s="302" t="s">
        <v>6148</v>
      </c>
      <c r="B1250" s="303" t="str">
        <f t="shared" si="19"/>
        <v>x03000683</v>
      </c>
      <c r="C1250" t="s">
        <v>4</v>
      </c>
      <c r="D1250" t="s">
        <v>6149</v>
      </c>
      <c r="E1250">
        <v>3</v>
      </c>
      <c r="F1250" t="str">
        <f>IF(AND(Entities[[#This Row],[ENT_TYPE]]="County",RIGHT(Entities[[#This Row],[ENT_NAME]],6)&lt;&gt;"County"),_xlfn.TEXTJOIN(" ",TRUE,Entities[[#This Row],[ENT_NAME]],"County"),Entities[[#This Row],[ENT_NAME]])</f>
        <v>Tradition MUD 1 of Denton County</v>
      </c>
    </row>
    <row r="1251" spans="1:6" x14ac:dyDescent="0.25">
      <c r="A1251" s="302" t="s">
        <v>6150</v>
      </c>
      <c r="B1251" s="303" t="str">
        <f t="shared" si="19"/>
        <v>x03000686</v>
      </c>
      <c r="C1251" t="s">
        <v>4</v>
      </c>
      <c r="D1251" t="s">
        <v>6151</v>
      </c>
      <c r="E1251">
        <v>3</v>
      </c>
      <c r="F1251" t="str">
        <f>IF(AND(Entities[[#This Row],[ENT_TYPE]]="County",RIGHT(Entities[[#This Row],[ENT_NAME]],6)&lt;&gt;"County"),_xlfn.TEXTJOIN(" ",TRUE,Entities[[#This Row],[ENT_NAME]],"County"),Entities[[#This Row],[ENT_NAME]])</f>
        <v>Lake Weatherford MUD 1</v>
      </c>
    </row>
    <row r="1252" spans="1:6" x14ac:dyDescent="0.25">
      <c r="A1252" s="302" t="s">
        <v>6152</v>
      </c>
      <c r="B1252" s="303" t="str">
        <f t="shared" si="19"/>
        <v>x03000687</v>
      </c>
      <c r="C1252" t="s">
        <v>4</v>
      </c>
      <c r="D1252" t="s">
        <v>6153</v>
      </c>
      <c r="E1252">
        <v>3</v>
      </c>
      <c r="F1252" t="str">
        <f>IF(AND(Entities[[#This Row],[ENT_TYPE]]="County",RIGHT(Entities[[#This Row],[ENT_NAME]],6)&lt;&gt;"County"),_xlfn.TEXTJOIN(" ",TRUE,Entities[[#This Row],[ENT_NAME]],"County"),Entities[[#This Row],[ENT_NAME]])</f>
        <v>Lake Weatherford MUD 2</v>
      </c>
    </row>
    <row r="1253" spans="1:6" x14ac:dyDescent="0.25">
      <c r="A1253" s="302" t="s">
        <v>6154</v>
      </c>
      <c r="B1253" s="303" t="str">
        <f t="shared" si="19"/>
        <v>x03000700</v>
      </c>
      <c r="C1253" t="s">
        <v>4</v>
      </c>
      <c r="D1253" t="s">
        <v>6155</v>
      </c>
      <c r="E1253">
        <v>3</v>
      </c>
      <c r="F1253" t="str">
        <f>IF(AND(Entities[[#This Row],[ENT_TYPE]]="County",RIGHT(Entities[[#This Row],[ENT_NAME]],6)&lt;&gt;"County"),_xlfn.TEXTJOIN(" ",TRUE,Entities[[#This Row],[ENT_NAME]],"County"),Entities[[#This Row],[ENT_NAME]])</f>
        <v>Lakeside Utillity &amp; Reclamation District</v>
      </c>
    </row>
    <row r="1254" spans="1:6" x14ac:dyDescent="0.25">
      <c r="A1254" s="302" t="s">
        <v>6156</v>
      </c>
      <c r="B1254" s="303" t="str">
        <f t="shared" si="19"/>
        <v>x03000706</v>
      </c>
      <c r="C1254" t="s">
        <v>4</v>
      </c>
      <c r="D1254" t="s">
        <v>6157</v>
      </c>
      <c r="E1254">
        <v>3</v>
      </c>
      <c r="F1254" t="str">
        <f>IF(AND(Entities[[#This Row],[ENT_TYPE]]="County",RIGHT(Entities[[#This Row],[ENT_NAME]],6)&lt;&gt;"County"),_xlfn.TEXTJOIN(" ",TRUE,Entities[[#This Row],[ENT_NAME]],"County"),Entities[[#This Row],[ENT_NAME]])</f>
        <v>Viridian Municipal Management District</v>
      </c>
    </row>
    <row r="1255" spans="1:6" x14ac:dyDescent="0.25">
      <c r="A1255" s="302" t="s">
        <v>6158</v>
      </c>
      <c r="B1255" s="303" t="str">
        <f t="shared" si="19"/>
        <v>x03000719</v>
      </c>
      <c r="C1255" t="s">
        <v>4</v>
      </c>
      <c r="D1255" t="s">
        <v>6159</v>
      </c>
      <c r="E1255">
        <v>3</v>
      </c>
      <c r="F1255" t="str">
        <f>IF(AND(Entities[[#This Row],[ENT_TYPE]]="County",RIGHT(Entities[[#This Row],[ENT_NAME]],6)&lt;&gt;"County"),_xlfn.TEXTJOIN(" ",TRUE,Entities[[#This Row],[ENT_NAME]],"County"),Entities[[#This Row],[ENT_NAME]])</f>
        <v>Kaufman County FWSD 1D</v>
      </c>
    </row>
    <row r="1256" spans="1:6" x14ac:dyDescent="0.25">
      <c r="A1256" s="302" t="s">
        <v>6160</v>
      </c>
      <c r="B1256" s="303" t="str">
        <f t="shared" si="19"/>
        <v>x03000730</v>
      </c>
      <c r="C1256" t="s">
        <v>4</v>
      </c>
      <c r="D1256" t="s">
        <v>6161</v>
      </c>
      <c r="E1256">
        <v>3</v>
      </c>
      <c r="F1256" t="str">
        <f>IF(AND(Entities[[#This Row],[ENT_TYPE]]="County",RIGHT(Entities[[#This Row],[ENT_NAME]],6)&lt;&gt;"County"),_xlfn.TEXTJOIN(" ",TRUE,Entities[[#This Row],[ENT_NAME]],"County"),Entities[[#This Row],[ENT_NAME]])</f>
        <v>Circle T MUD 1</v>
      </c>
    </row>
    <row r="1257" spans="1:6" x14ac:dyDescent="0.25">
      <c r="A1257" s="302" t="s">
        <v>6162</v>
      </c>
      <c r="B1257" s="303" t="str">
        <f t="shared" si="19"/>
        <v>x03000732</v>
      </c>
      <c r="C1257" t="s">
        <v>4</v>
      </c>
      <c r="D1257" t="s">
        <v>6163</v>
      </c>
      <c r="E1257">
        <v>3</v>
      </c>
      <c r="F1257" t="str">
        <f>IF(AND(Entities[[#This Row],[ENT_TYPE]]="County",RIGHT(Entities[[#This Row],[ENT_NAME]],6)&lt;&gt;"County"),_xlfn.TEXTJOIN(" ",TRUE,Entities[[#This Row],[ENT_NAME]],"County"),Entities[[#This Row],[ENT_NAME]])</f>
        <v>Dallas County Improvement District</v>
      </c>
    </row>
    <row r="1258" spans="1:6" x14ac:dyDescent="0.25">
      <c r="A1258" s="302" t="s">
        <v>6164</v>
      </c>
      <c r="B1258" s="303" t="str">
        <f t="shared" si="19"/>
        <v>x03000733</v>
      </c>
      <c r="C1258" t="s">
        <v>4</v>
      </c>
      <c r="D1258" t="s">
        <v>6165</v>
      </c>
      <c r="E1258">
        <v>3</v>
      </c>
      <c r="F1258" t="str">
        <f>IF(AND(Entities[[#This Row],[ENT_TYPE]]="County",RIGHT(Entities[[#This Row],[ENT_NAME]],6)&lt;&gt;"County"),_xlfn.TEXTJOIN(" ",TRUE,Entities[[#This Row],[ENT_NAME]],"County"),Entities[[#This Row],[ENT_NAME]])</f>
        <v>Northlake MMD 1</v>
      </c>
    </row>
    <row r="1259" spans="1:6" x14ac:dyDescent="0.25">
      <c r="A1259" s="302" t="s">
        <v>6166</v>
      </c>
      <c r="B1259" s="303" t="str">
        <f t="shared" si="19"/>
        <v>x03000737</v>
      </c>
      <c r="C1259" t="s">
        <v>4</v>
      </c>
      <c r="D1259" t="s">
        <v>6167</v>
      </c>
      <c r="E1259">
        <v>3</v>
      </c>
      <c r="F1259" t="str">
        <f>IF(AND(Entities[[#This Row],[ENT_TYPE]]="County",RIGHT(Entities[[#This Row],[ENT_NAME]],6)&lt;&gt;"County"),_xlfn.TEXTJOIN(" ",TRUE,Entities[[#This Row],[ENT_NAME]],"County"),Entities[[#This Row],[ENT_NAME]])</f>
        <v>Denton County MUD 7</v>
      </c>
    </row>
    <row r="1260" spans="1:6" x14ac:dyDescent="0.25">
      <c r="A1260" s="302" t="s">
        <v>6168</v>
      </c>
      <c r="B1260" s="303" t="str">
        <f t="shared" si="19"/>
        <v>x03000738</v>
      </c>
      <c r="C1260" t="s">
        <v>4</v>
      </c>
      <c r="D1260" t="s">
        <v>6169</v>
      </c>
      <c r="E1260">
        <v>3</v>
      </c>
      <c r="F1260" t="str">
        <f>IF(AND(Entities[[#This Row],[ENT_TYPE]]="County",RIGHT(Entities[[#This Row],[ENT_NAME]],6)&lt;&gt;"County"),_xlfn.TEXTJOIN(" ",TRUE,Entities[[#This Row],[ENT_NAME]],"County"),Entities[[#This Row],[ENT_NAME]])</f>
        <v>Double Platinum Ranch WCID 1 of Grasyon County</v>
      </c>
    </row>
    <row r="1261" spans="1:6" x14ac:dyDescent="0.25">
      <c r="A1261" s="302" t="s">
        <v>6170</v>
      </c>
      <c r="B1261" s="303" t="str">
        <f t="shared" si="19"/>
        <v>x03000740</v>
      </c>
      <c r="C1261" t="s">
        <v>4</v>
      </c>
      <c r="D1261" t="s">
        <v>6171</v>
      </c>
      <c r="E1261">
        <v>3</v>
      </c>
      <c r="F1261" t="str">
        <f>IF(AND(Entities[[#This Row],[ENT_TYPE]]="County",RIGHT(Entities[[#This Row],[ENT_NAME]],6)&lt;&gt;"County"),_xlfn.TEXTJOIN(" ",TRUE,Entities[[#This Row],[ENT_NAME]],"County"),Entities[[#This Row],[ENT_NAME]])</f>
        <v>Ellis County FWSD 1</v>
      </c>
    </row>
    <row r="1262" spans="1:6" x14ac:dyDescent="0.25">
      <c r="A1262" s="302" t="s">
        <v>6172</v>
      </c>
      <c r="B1262" s="303" t="str">
        <f t="shared" si="19"/>
        <v>x03000743</v>
      </c>
      <c r="C1262" t="s">
        <v>4</v>
      </c>
      <c r="D1262" t="s">
        <v>6173</v>
      </c>
      <c r="E1262">
        <v>3</v>
      </c>
      <c r="F1262" t="str">
        <f>IF(AND(Entities[[#This Row],[ENT_TYPE]]="County",RIGHT(Entities[[#This Row],[ENT_NAME]],6)&lt;&gt;"County"),_xlfn.TEXTJOIN(" ",TRUE,Entities[[#This Row],[ENT_NAME]],"County"),Entities[[#This Row],[ENT_NAME]])</f>
        <v>Polo Ridge FWSD</v>
      </c>
    </row>
    <row r="1263" spans="1:6" x14ac:dyDescent="0.25">
      <c r="A1263" s="302" t="s">
        <v>6174</v>
      </c>
      <c r="B1263" s="303" t="str">
        <f t="shared" si="19"/>
        <v>x03000755</v>
      </c>
      <c r="C1263" t="s">
        <v>4</v>
      </c>
      <c r="D1263" t="s">
        <v>6175</v>
      </c>
      <c r="E1263">
        <v>3</v>
      </c>
      <c r="F1263" t="str">
        <f>IF(AND(Entities[[#This Row],[ENT_TYPE]]="County",RIGHT(Entities[[#This Row],[ENT_NAME]],6)&lt;&gt;"County"),_xlfn.TEXTJOIN(" ",TRUE,Entities[[#This Row],[ENT_NAME]],"County"),Entities[[#This Row],[ENT_NAME]])</f>
        <v>North Oak Cliff Municipal Management District</v>
      </c>
    </row>
    <row r="1264" spans="1:6" x14ac:dyDescent="0.25">
      <c r="A1264" s="302" t="s">
        <v>6176</v>
      </c>
      <c r="B1264" s="303" t="str">
        <f t="shared" si="19"/>
        <v>x03000771</v>
      </c>
      <c r="C1264" t="s">
        <v>4</v>
      </c>
      <c r="D1264" t="s">
        <v>6177</v>
      </c>
      <c r="E1264">
        <v>3</v>
      </c>
      <c r="F1264" t="str">
        <f>IF(AND(Entities[[#This Row],[ENT_TYPE]]="County",RIGHT(Entities[[#This Row],[ENT_NAME]],6)&lt;&gt;"County"),_xlfn.TEXTJOIN(" ",TRUE,Entities[[#This Row],[ENT_NAME]],"County"),Entities[[#This Row],[ENT_NAME]])</f>
        <v>Great Southwest Improvement District</v>
      </c>
    </row>
    <row r="1265" spans="1:6" x14ac:dyDescent="0.25">
      <c r="A1265" s="302" t="s">
        <v>6178</v>
      </c>
      <c r="B1265" s="303" t="str">
        <f t="shared" si="19"/>
        <v>x03000778</v>
      </c>
      <c r="C1265" t="s">
        <v>4</v>
      </c>
      <c r="D1265" t="s">
        <v>6179</v>
      </c>
      <c r="E1265">
        <v>3</v>
      </c>
      <c r="F1265" t="str">
        <f>IF(AND(Entities[[#This Row],[ENT_TYPE]]="County",RIGHT(Entities[[#This Row],[ENT_NAME]],6)&lt;&gt;"County"),_xlfn.TEXTJOIN(" ",TRUE,Entities[[#This Row],[ENT_NAME]],"County"),Entities[[#This Row],[ENT_NAME]])</f>
        <v>Denton County FWSD 7</v>
      </c>
    </row>
    <row r="1266" spans="1:6" x14ac:dyDescent="0.25">
      <c r="A1266" s="302" t="s">
        <v>6180</v>
      </c>
      <c r="B1266" s="303" t="str">
        <f t="shared" si="19"/>
        <v>x03000789</v>
      </c>
      <c r="C1266" t="s">
        <v>4</v>
      </c>
      <c r="D1266" t="s">
        <v>6181</v>
      </c>
      <c r="E1266">
        <v>3</v>
      </c>
      <c r="F1266" t="str">
        <f>IF(AND(Entities[[#This Row],[ENT_TYPE]]="County",RIGHT(Entities[[#This Row],[ENT_NAME]],6)&lt;&gt;"County"),_xlfn.TEXTJOIN(" ",TRUE,Entities[[#This Row],[ENT_NAME]],"County"),Entities[[#This Row],[ENT_NAME]])</f>
        <v>Liberty County MUD 5</v>
      </c>
    </row>
    <row r="1267" spans="1:6" x14ac:dyDescent="0.25">
      <c r="A1267" s="302" t="s">
        <v>6182</v>
      </c>
      <c r="B1267" s="303" t="str">
        <f t="shared" si="19"/>
        <v>x03000799</v>
      </c>
      <c r="C1267" t="s">
        <v>4</v>
      </c>
      <c r="D1267" t="s">
        <v>6183</v>
      </c>
      <c r="E1267">
        <v>3</v>
      </c>
      <c r="F1267" t="str">
        <f>IF(AND(Entities[[#This Row],[ENT_TYPE]]="County",RIGHT(Entities[[#This Row],[ENT_NAME]],6)&lt;&gt;"County"),_xlfn.TEXTJOIN(" ",TRUE,Entities[[#This Row],[ENT_NAME]],"County"),Entities[[#This Row],[ENT_NAME]])</f>
        <v>East Cedar Creek FWSD</v>
      </c>
    </row>
    <row r="1268" spans="1:6" x14ac:dyDescent="0.25">
      <c r="A1268" s="302" t="s">
        <v>6184</v>
      </c>
      <c r="B1268" s="303" t="str">
        <f t="shared" si="19"/>
        <v>x03000831</v>
      </c>
      <c r="C1268" t="s">
        <v>4</v>
      </c>
      <c r="D1268" t="s">
        <v>6185</v>
      </c>
      <c r="E1268">
        <v>3</v>
      </c>
      <c r="F1268" t="str">
        <f>IF(AND(Entities[[#This Row],[ENT_TYPE]]="County",RIGHT(Entities[[#This Row],[ENT_NAME]],6)&lt;&gt;"County"),_xlfn.TEXTJOIN(" ",TRUE,Entities[[#This Row],[ENT_NAME]],"County"),Entities[[#This Row],[ENT_NAME]])</f>
        <v>Lake Kiowa SUD</v>
      </c>
    </row>
    <row r="1269" spans="1:6" x14ac:dyDescent="0.25">
      <c r="A1269" s="302" t="s">
        <v>6186</v>
      </c>
      <c r="B1269" s="303" t="str">
        <f t="shared" si="19"/>
        <v>x03000837</v>
      </c>
      <c r="C1269" t="s">
        <v>4</v>
      </c>
      <c r="D1269" t="s">
        <v>6187</v>
      </c>
      <c r="E1269">
        <v>3</v>
      </c>
      <c r="F1269" t="str">
        <f>IF(AND(Entities[[#This Row],[ENT_TYPE]]="County",RIGHT(Entities[[#This Row],[ENT_NAME]],6)&lt;&gt;"County"),_xlfn.TEXTJOIN(" ",TRUE,Entities[[#This Row],[ENT_NAME]],"County"),Entities[[#This Row],[ENT_NAME]])</f>
        <v>Sangani Ranch MUD 1</v>
      </c>
    </row>
    <row r="1270" spans="1:6" x14ac:dyDescent="0.25">
      <c r="A1270" s="302" t="s">
        <v>6188</v>
      </c>
      <c r="B1270" s="303" t="str">
        <f t="shared" si="19"/>
        <v>x03000838</v>
      </c>
      <c r="C1270" t="s">
        <v>4</v>
      </c>
      <c r="D1270" t="s">
        <v>6189</v>
      </c>
      <c r="E1270">
        <v>3</v>
      </c>
      <c r="F1270" t="str">
        <f>IF(AND(Entities[[#This Row],[ENT_TYPE]]="County",RIGHT(Entities[[#This Row],[ENT_NAME]],6)&lt;&gt;"County"),_xlfn.TEXTJOIN(" ",TRUE,Entities[[#This Row],[ENT_NAME]],"County"),Entities[[#This Row],[ENT_NAME]])</f>
        <v>Kimberlin Ranch MUD 1</v>
      </c>
    </row>
    <row r="1271" spans="1:6" x14ac:dyDescent="0.25">
      <c r="A1271" s="302" t="s">
        <v>6190</v>
      </c>
      <c r="B1271" s="303" t="str">
        <f t="shared" si="19"/>
        <v>x03000871</v>
      </c>
      <c r="C1271" t="s">
        <v>4</v>
      </c>
      <c r="D1271" t="s">
        <v>6191</v>
      </c>
      <c r="E1271">
        <v>3</v>
      </c>
      <c r="F1271" t="str">
        <f>IF(AND(Entities[[#This Row],[ENT_TYPE]]="County",RIGHT(Entities[[#This Row],[ENT_NAME]],6)&lt;&gt;"County"),_xlfn.TEXTJOIN(" ",TRUE,Entities[[#This Row],[ENT_NAME]],"County"),Entities[[#This Row],[ENT_NAME]])</f>
        <v>Somerset MUD 2</v>
      </c>
    </row>
    <row r="1272" spans="1:6" x14ac:dyDescent="0.25">
      <c r="A1272" s="302" t="s">
        <v>6192</v>
      </c>
      <c r="B1272" s="303" t="str">
        <f t="shared" si="19"/>
        <v>x03000872</v>
      </c>
      <c r="C1272" t="s">
        <v>4</v>
      </c>
      <c r="D1272" t="s">
        <v>6193</v>
      </c>
      <c r="E1272">
        <v>3</v>
      </c>
      <c r="F1272" t="str">
        <f>IF(AND(Entities[[#This Row],[ENT_TYPE]]="County",RIGHT(Entities[[#This Row],[ENT_NAME]],6)&lt;&gt;"County"),_xlfn.TEXTJOIN(" ",TRUE,Entities[[#This Row],[ENT_NAME]],"County"),Entities[[#This Row],[ENT_NAME]])</f>
        <v>Somerset MUD 1</v>
      </c>
    </row>
    <row r="1273" spans="1:6" x14ac:dyDescent="0.25">
      <c r="A1273" s="302" t="s">
        <v>6194</v>
      </c>
      <c r="B1273" s="303" t="str">
        <f t="shared" si="19"/>
        <v>x03000877</v>
      </c>
      <c r="C1273" t="s">
        <v>4</v>
      </c>
      <c r="D1273" t="s">
        <v>6195</v>
      </c>
      <c r="E1273">
        <v>3</v>
      </c>
      <c r="F1273" t="str">
        <f>IF(AND(Entities[[#This Row],[ENT_TYPE]]="County",RIGHT(Entities[[#This Row],[ENT_NAME]],6)&lt;&gt;"County"),_xlfn.TEXTJOIN(" ",TRUE,Entities[[#This Row],[ENT_NAME]],"County"),Entities[[#This Row],[ENT_NAME]])</f>
        <v>Kimberlin Ranch MUD 3</v>
      </c>
    </row>
    <row r="1274" spans="1:6" x14ac:dyDescent="0.25">
      <c r="A1274" s="302" t="s">
        <v>6196</v>
      </c>
      <c r="B1274" s="303" t="str">
        <f t="shared" si="19"/>
        <v>x03000878</v>
      </c>
      <c r="C1274" t="s">
        <v>4</v>
      </c>
      <c r="D1274" t="s">
        <v>6197</v>
      </c>
      <c r="E1274">
        <v>3</v>
      </c>
      <c r="F1274" t="str">
        <f>IF(AND(Entities[[#This Row],[ENT_TYPE]]="County",RIGHT(Entities[[#This Row],[ENT_NAME]],6)&lt;&gt;"County"),_xlfn.TEXTJOIN(" ",TRUE,Entities[[#This Row],[ENT_NAME]],"County"),Entities[[#This Row],[ENT_NAME]])</f>
        <v>Kimberlin Ranch MUD 2</v>
      </c>
    </row>
    <row r="1275" spans="1:6" x14ac:dyDescent="0.25">
      <c r="A1275" s="302" t="s">
        <v>6198</v>
      </c>
      <c r="B1275" s="303" t="str">
        <f t="shared" si="19"/>
        <v>x03000879</v>
      </c>
      <c r="C1275" t="s">
        <v>4</v>
      </c>
      <c r="D1275" t="s">
        <v>6199</v>
      </c>
      <c r="E1275">
        <v>3</v>
      </c>
      <c r="F1275" t="str">
        <f>IF(AND(Entities[[#This Row],[ENT_TYPE]]="County",RIGHT(Entities[[#This Row],[ENT_NAME]],6)&lt;&gt;"County"),_xlfn.TEXTJOIN(" ",TRUE,Entities[[#This Row],[ENT_NAME]],"County"),Entities[[#This Row],[ENT_NAME]])</f>
        <v>Collin County MUD 1</v>
      </c>
    </row>
    <row r="1276" spans="1:6" x14ac:dyDescent="0.25">
      <c r="A1276" s="302" t="s">
        <v>6200</v>
      </c>
      <c r="B1276" s="303" t="str">
        <f t="shared" si="19"/>
        <v>x03000880</v>
      </c>
      <c r="C1276" t="s">
        <v>4</v>
      </c>
      <c r="D1276" t="s">
        <v>6201</v>
      </c>
      <c r="E1276">
        <v>3</v>
      </c>
      <c r="F1276" t="str">
        <f>IF(AND(Entities[[#This Row],[ENT_TYPE]]="County",RIGHT(Entities[[#This Row],[ENT_NAME]],6)&lt;&gt;"County"),_xlfn.TEXTJOIN(" ",TRUE,Entities[[#This Row],[ENT_NAME]],"County"),Entities[[#This Row],[ENT_NAME]])</f>
        <v>Kaufman County FWSD 2</v>
      </c>
    </row>
    <row r="1277" spans="1:6" x14ac:dyDescent="0.25">
      <c r="A1277" s="302" t="s">
        <v>6202</v>
      </c>
      <c r="B1277" s="303" t="str">
        <f t="shared" si="19"/>
        <v>x03000904</v>
      </c>
      <c r="C1277" t="s">
        <v>4</v>
      </c>
      <c r="D1277" t="s">
        <v>6203</v>
      </c>
      <c r="E1277">
        <v>3</v>
      </c>
      <c r="F1277" t="str">
        <f>IF(AND(Entities[[#This Row],[ENT_TYPE]]="County",RIGHT(Entities[[#This Row],[ENT_NAME]],6)&lt;&gt;"County"),_xlfn.TEXTJOIN(" ",TRUE,Entities[[#This Row],[ENT_NAME]],"County"),Entities[[#This Row],[ENT_NAME]])</f>
        <v>Benbrook Water Authority</v>
      </c>
    </row>
    <row r="1278" spans="1:6" x14ac:dyDescent="0.25">
      <c r="A1278" s="302" t="s">
        <v>6204</v>
      </c>
      <c r="B1278" s="303" t="str">
        <f t="shared" si="19"/>
        <v>x03000911</v>
      </c>
      <c r="C1278" t="s">
        <v>4</v>
      </c>
      <c r="D1278" t="s">
        <v>6205</v>
      </c>
      <c r="E1278">
        <v>3</v>
      </c>
      <c r="F1278" t="str">
        <f>IF(AND(Entities[[#This Row],[ENT_TYPE]]="County",RIGHT(Entities[[#This Row],[ENT_NAME]],6)&lt;&gt;"County"),_xlfn.TEXTJOIN(" ",TRUE,Entities[[#This Row],[ENT_NAME]],"County"),Entities[[#This Row],[ENT_NAME]])</f>
        <v>Henderson County LID 3</v>
      </c>
    </row>
    <row r="1279" spans="1:6" x14ac:dyDescent="0.25">
      <c r="A1279" s="302" t="s">
        <v>6206</v>
      </c>
      <c r="B1279" s="303" t="str">
        <f t="shared" si="19"/>
        <v>x03000912</v>
      </c>
      <c r="C1279" t="s">
        <v>4</v>
      </c>
      <c r="D1279" t="s">
        <v>6207</v>
      </c>
      <c r="E1279">
        <v>3</v>
      </c>
      <c r="F1279" t="str">
        <f>IF(AND(Entities[[#This Row],[ENT_TYPE]]="County",RIGHT(Entities[[#This Row],[ENT_NAME]],6)&lt;&gt;"County"),_xlfn.TEXTJOIN(" ",TRUE,Entities[[#This Row],[ENT_NAME]],"County"),Entities[[#This Row],[ENT_NAME]])</f>
        <v>Upper Trinity Regional Water District</v>
      </c>
    </row>
    <row r="1280" spans="1:6" x14ac:dyDescent="0.25">
      <c r="A1280" s="302" t="s">
        <v>6208</v>
      </c>
      <c r="B1280" s="303" t="str">
        <f t="shared" si="19"/>
        <v>x03000973</v>
      </c>
      <c r="C1280" t="s">
        <v>4</v>
      </c>
      <c r="D1280" t="s">
        <v>6209</v>
      </c>
      <c r="E1280">
        <v>3</v>
      </c>
      <c r="F1280" t="str">
        <f>IF(AND(Entities[[#This Row],[ENT_TYPE]]="County",RIGHT(Entities[[#This Row],[ENT_NAME]],6)&lt;&gt;"County"),_xlfn.TEXTJOIN(" ",TRUE,Entities[[#This Row],[ENT_NAME]],"County"),Entities[[#This Row],[ENT_NAME]])</f>
        <v>Cape Royale Utility District</v>
      </c>
    </row>
    <row r="1281" spans="1:6" x14ac:dyDescent="0.25">
      <c r="A1281" s="302" t="s">
        <v>6210</v>
      </c>
      <c r="B1281" s="303" t="str">
        <f t="shared" si="19"/>
        <v>x03000984</v>
      </c>
      <c r="C1281" t="s">
        <v>4</v>
      </c>
      <c r="D1281" t="s">
        <v>6211</v>
      </c>
      <c r="E1281">
        <v>3</v>
      </c>
      <c r="F1281" t="str">
        <f>IF(AND(Entities[[#This Row],[ENT_TYPE]]="County",RIGHT(Entities[[#This Row],[ENT_NAME]],6)&lt;&gt;"County"),_xlfn.TEXTJOIN(" ",TRUE,Entities[[#This Row],[ENT_NAME]],"County"),Entities[[#This Row],[ENT_NAME]])</f>
        <v>Lake Cities Municipal Utility Authority</v>
      </c>
    </row>
    <row r="1282" spans="1:6" x14ac:dyDescent="0.25">
      <c r="A1282" s="302" t="s">
        <v>6212</v>
      </c>
      <c r="B1282" s="303" t="str">
        <f t="shared" ref="B1282:B1345" si="20">_xlfn.CONCAT("x",TEXT(A1282,"00000000"))</f>
        <v>x03000993</v>
      </c>
      <c r="C1282" t="s">
        <v>4</v>
      </c>
      <c r="D1282" t="s">
        <v>6213</v>
      </c>
      <c r="E1282">
        <v>3</v>
      </c>
      <c r="F1282" t="str">
        <f>IF(AND(Entities[[#This Row],[ENT_TYPE]]="County",RIGHT(Entities[[#This Row],[ENT_NAME]],6)&lt;&gt;"County"),_xlfn.TEXTJOIN(" ",TRUE,Entities[[#This Row],[ENT_NAME]],"County"),Entities[[#This Row],[ENT_NAME]])</f>
        <v>Arlington Entertainment Area Management District</v>
      </c>
    </row>
    <row r="1283" spans="1:6" x14ac:dyDescent="0.25">
      <c r="A1283" s="302" t="s">
        <v>6214</v>
      </c>
      <c r="B1283" s="303" t="str">
        <f t="shared" si="20"/>
        <v>x03000994</v>
      </c>
      <c r="C1283" t="s">
        <v>4</v>
      </c>
      <c r="D1283" t="s">
        <v>6215</v>
      </c>
      <c r="E1283">
        <v>3</v>
      </c>
      <c r="F1283" t="str">
        <f>IF(AND(Entities[[#This Row],[ENT_TYPE]]="County",RIGHT(Entities[[#This Row],[ENT_NAME]],6)&lt;&gt;"County"),_xlfn.TEXTJOIN(" ",TRUE,Entities[[#This Row],[ENT_NAME]],"County"),Entities[[#This Row],[ENT_NAME]])</f>
        <v>Tarrant County FWSD 1</v>
      </c>
    </row>
    <row r="1284" spans="1:6" x14ac:dyDescent="0.25">
      <c r="A1284" s="302" t="s">
        <v>6216</v>
      </c>
      <c r="B1284" s="303" t="str">
        <f t="shared" si="20"/>
        <v>x03000995</v>
      </c>
      <c r="C1284" t="s">
        <v>4</v>
      </c>
      <c r="D1284" t="s">
        <v>6217</v>
      </c>
      <c r="E1284">
        <v>3</v>
      </c>
      <c r="F1284" t="str">
        <f>IF(AND(Entities[[#This Row],[ENT_TYPE]]="County",RIGHT(Entities[[#This Row],[ENT_NAME]],6)&lt;&gt;"County"),_xlfn.TEXTJOIN(" ",TRUE,Entities[[#This Row],[ENT_NAME]],"County"),Entities[[#This Row],[ENT_NAME]])</f>
        <v>Circle T MUD 3</v>
      </c>
    </row>
    <row r="1285" spans="1:6" x14ac:dyDescent="0.25">
      <c r="A1285" s="302" t="s">
        <v>6218</v>
      </c>
      <c r="B1285" s="303" t="str">
        <f t="shared" si="20"/>
        <v>x03001035</v>
      </c>
      <c r="C1285" t="s">
        <v>4</v>
      </c>
      <c r="D1285" t="s">
        <v>6219</v>
      </c>
      <c r="E1285">
        <v>3</v>
      </c>
      <c r="F1285" t="str">
        <f>IF(AND(Entities[[#This Row],[ENT_TYPE]]="County",RIGHT(Entities[[#This Row],[ENT_NAME]],6)&lt;&gt;"County"),_xlfn.TEXTJOIN(" ",TRUE,Entities[[#This Row],[ENT_NAME]],"County"),Entities[[#This Row],[ENT_NAME]])</f>
        <v>Kaufman County MUD 3</v>
      </c>
    </row>
    <row r="1286" spans="1:6" x14ac:dyDescent="0.25">
      <c r="A1286" s="302" t="s">
        <v>6220</v>
      </c>
      <c r="B1286" s="303" t="str">
        <f t="shared" si="20"/>
        <v>x03001050</v>
      </c>
      <c r="C1286" t="s">
        <v>4</v>
      </c>
      <c r="D1286" t="s">
        <v>6221</v>
      </c>
      <c r="E1286">
        <v>3</v>
      </c>
      <c r="F1286" t="str">
        <f>IF(AND(Entities[[#This Row],[ENT_TYPE]]="County",RIGHT(Entities[[#This Row],[ENT_NAME]],6)&lt;&gt;"County"),_xlfn.TEXTJOIN(" ",TRUE,Entities[[#This Row],[ENT_NAME]],"County"),Entities[[#This Row],[ENT_NAME]])</f>
        <v>Trophy Club MUD 1</v>
      </c>
    </row>
    <row r="1287" spans="1:6" x14ac:dyDescent="0.25">
      <c r="A1287" s="302" t="s">
        <v>6222</v>
      </c>
      <c r="B1287" s="303" t="str">
        <f t="shared" si="20"/>
        <v>x03001058</v>
      </c>
      <c r="C1287" t="s">
        <v>4</v>
      </c>
      <c r="D1287" t="s">
        <v>6223</v>
      </c>
      <c r="E1287">
        <v>3</v>
      </c>
      <c r="F1287" t="str">
        <f>IF(AND(Entities[[#This Row],[ENT_TYPE]]="County",RIGHT(Entities[[#This Row],[ENT_NAME]],6)&lt;&gt;"County"),_xlfn.TEXTJOIN(" ",TRUE,Entities[[#This Row],[ENT_NAME]],"County"),Entities[[#This Row],[ENT_NAME]])</f>
        <v>Memorial Point Utility District</v>
      </c>
    </row>
    <row r="1288" spans="1:6" x14ac:dyDescent="0.25">
      <c r="A1288" s="302" t="s">
        <v>6224</v>
      </c>
      <c r="B1288" s="303" t="str">
        <f t="shared" si="20"/>
        <v>x03001059</v>
      </c>
      <c r="C1288" t="s">
        <v>4</v>
      </c>
      <c r="D1288" t="s">
        <v>6225</v>
      </c>
      <c r="E1288">
        <v>3</v>
      </c>
      <c r="F1288" t="str">
        <f>IF(AND(Entities[[#This Row],[ENT_TYPE]]="County",RIGHT(Entities[[#This Row],[ENT_NAME]],6)&lt;&gt;"County"),_xlfn.TEXTJOIN(" ",TRUE,Entities[[#This Row],[ENT_NAME]],"County"),Entities[[#This Row],[ENT_NAME]])</f>
        <v>Walnut Creek SUD</v>
      </c>
    </row>
    <row r="1289" spans="1:6" x14ac:dyDescent="0.25">
      <c r="A1289" s="302" t="s">
        <v>6226</v>
      </c>
      <c r="B1289" s="303" t="str">
        <f t="shared" si="20"/>
        <v>x03001077</v>
      </c>
      <c r="C1289" t="s">
        <v>4</v>
      </c>
      <c r="D1289" t="s">
        <v>6227</v>
      </c>
      <c r="E1289">
        <v>3</v>
      </c>
      <c r="F1289" t="str">
        <f>IF(AND(Entities[[#This Row],[ENT_TYPE]]="County",RIGHT(Entities[[#This Row],[ENT_NAME]],6)&lt;&gt;"County"),_xlfn.TEXTJOIN(" ",TRUE,Entities[[#This Row],[ENT_NAME]],"County"),Entities[[#This Row],[ENT_NAME]])</f>
        <v>Oak Point WCID 2</v>
      </c>
    </row>
    <row r="1290" spans="1:6" x14ac:dyDescent="0.25">
      <c r="A1290" s="302" t="s">
        <v>6228</v>
      </c>
      <c r="B1290" s="303" t="str">
        <f t="shared" si="20"/>
        <v>x03001080</v>
      </c>
      <c r="C1290" t="s">
        <v>4</v>
      </c>
      <c r="D1290" t="s">
        <v>6229</v>
      </c>
      <c r="E1290">
        <v>3</v>
      </c>
      <c r="F1290" t="str">
        <f>IF(AND(Entities[[#This Row],[ENT_TYPE]]="County",RIGHT(Entities[[#This Row],[ENT_NAME]],6)&lt;&gt;"County"),_xlfn.TEXTJOIN(" ",TRUE,Entities[[#This Row],[ENT_NAME]],"County"),Entities[[#This Row],[ENT_NAME]])</f>
        <v>Morningstar Ranch MUD 2 of Parker County</v>
      </c>
    </row>
    <row r="1291" spans="1:6" x14ac:dyDescent="0.25">
      <c r="A1291" s="302" t="s">
        <v>6230</v>
      </c>
      <c r="B1291" s="303" t="str">
        <f t="shared" si="20"/>
        <v>x03001103</v>
      </c>
      <c r="C1291" t="s">
        <v>4</v>
      </c>
      <c r="D1291" t="s">
        <v>6231</v>
      </c>
      <c r="E1291">
        <v>3</v>
      </c>
      <c r="F1291" t="str">
        <f>IF(AND(Entities[[#This Row],[ENT_TYPE]]="County",RIGHT(Entities[[#This Row],[ENT_NAME]],6)&lt;&gt;"County"),_xlfn.TEXTJOIN(" ",TRUE,Entities[[#This Row],[ENT_NAME]],"County"),Entities[[#This Row],[ENT_NAME]])</f>
        <v>East Fork SUD</v>
      </c>
    </row>
    <row r="1292" spans="1:6" x14ac:dyDescent="0.25">
      <c r="A1292" s="302" t="s">
        <v>6232</v>
      </c>
      <c r="B1292" s="303" t="str">
        <f t="shared" si="20"/>
        <v>x03001141</v>
      </c>
      <c r="C1292" t="s">
        <v>4</v>
      </c>
      <c r="D1292" t="s">
        <v>6233</v>
      </c>
      <c r="E1292">
        <v>3</v>
      </c>
      <c r="F1292" t="str">
        <f>IF(AND(Entities[[#This Row],[ENT_TYPE]]="County",RIGHT(Entities[[#This Row],[ENT_NAME]],6)&lt;&gt;"County"),_xlfn.TEXTJOIN(" ",TRUE,Entities[[#This Row],[ENT_NAME]],"County"),Entities[[#This Row],[ENT_NAME]])</f>
        <v>Lancaster MUD 1</v>
      </c>
    </row>
    <row r="1293" spans="1:6" x14ac:dyDescent="0.25">
      <c r="A1293" s="302" t="s">
        <v>6234</v>
      </c>
      <c r="B1293" s="303" t="str">
        <f t="shared" si="20"/>
        <v>x03001163</v>
      </c>
      <c r="C1293" t="s">
        <v>4</v>
      </c>
      <c r="D1293" t="s">
        <v>6235</v>
      </c>
      <c r="E1293">
        <v>3</v>
      </c>
      <c r="F1293" t="str">
        <f>IF(AND(Entities[[#This Row],[ENT_TYPE]]="County",RIGHT(Entities[[#This Row],[ENT_NAME]],6)&lt;&gt;"County"),_xlfn.TEXTJOIN(" ",TRUE,Entities[[#This Row],[ENT_NAME]],"County"),Entities[[#This Row],[ENT_NAME]])</f>
        <v>Las Lomas MUD 1</v>
      </c>
    </row>
    <row r="1294" spans="1:6" x14ac:dyDescent="0.25">
      <c r="A1294" s="302" t="s">
        <v>6236</v>
      </c>
      <c r="B1294" s="303" t="str">
        <f t="shared" si="20"/>
        <v>x03001164</v>
      </c>
      <c r="C1294" t="s">
        <v>4</v>
      </c>
      <c r="D1294" t="s">
        <v>6237</v>
      </c>
      <c r="E1294">
        <v>3</v>
      </c>
      <c r="F1294" t="str">
        <f>IF(AND(Entities[[#This Row],[ENT_TYPE]]="County",RIGHT(Entities[[#This Row],[ENT_NAME]],6)&lt;&gt;"County"),_xlfn.TEXTJOIN(" ",TRUE,Entities[[#This Row],[ENT_NAME]],"County"),Entities[[#This Row],[ENT_NAME]])</f>
        <v>Las Lomas MUD 2</v>
      </c>
    </row>
    <row r="1295" spans="1:6" x14ac:dyDescent="0.25">
      <c r="A1295" s="302" t="s">
        <v>6238</v>
      </c>
      <c r="B1295" s="303" t="str">
        <f t="shared" si="20"/>
        <v>x03001174</v>
      </c>
      <c r="C1295" t="s">
        <v>4</v>
      </c>
      <c r="D1295" t="s">
        <v>6239</v>
      </c>
      <c r="E1295">
        <v>3</v>
      </c>
      <c r="F1295" t="str">
        <f>IF(AND(Entities[[#This Row],[ENT_TYPE]]="County",RIGHT(Entities[[#This Row],[ENT_NAME]],6)&lt;&gt;"County"),_xlfn.TEXTJOIN(" ",TRUE,Entities[[#This Row],[ENT_NAME]],"County"),Entities[[#This Row],[ENT_NAME]])</f>
        <v>Rockwall County WCID 2</v>
      </c>
    </row>
    <row r="1296" spans="1:6" x14ac:dyDescent="0.25">
      <c r="A1296" s="302" t="s">
        <v>6240</v>
      </c>
      <c r="B1296" s="303" t="str">
        <f t="shared" si="20"/>
        <v>x03001179</v>
      </c>
      <c r="C1296" t="s">
        <v>4</v>
      </c>
      <c r="D1296" t="s">
        <v>6241</v>
      </c>
      <c r="E1296">
        <v>3</v>
      </c>
      <c r="F1296" t="str">
        <f>IF(AND(Entities[[#This Row],[ENT_TYPE]]="County",RIGHT(Entities[[#This Row],[ENT_NAME]],6)&lt;&gt;"County"),_xlfn.TEXTJOIN(" ",TRUE,Entities[[#This Row],[ENT_NAME]],"County"),Entities[[#This Row],[ENT_NAME]])</f>
        <v>Liberty County WCID 1</v>
      </c>
    </row>
    <row r="1297" spans="1:6" x14ac:dyDescent="0.25">
      <c r="A1297" s="302" t="s">
        <v>6242</v>
      </c>
      <c r="B1297" s="303" t="str">
        <f t="shared" si="20"/>
        <v>x03001188</v>
      </c>
      <c r="C1297" t="s">
        <v>4</v>
      </c>
      <c r="D1297" t="s">
        <v>6243</v>
      </c>
      <c r="E1297">
        <v>3</v>
      </c>
      <c r="F1297" t="str">
        <f>IF(AND(Entities[[#This Row],[ENT_TYPE]]="County",RIGHT(Entities[[#This Row],[ENT_NAME]],6)&lt;&gt;"County"),_xlfn.TEXTJOIN(" ",TRUE,Entities[[#This Row],[ENT_NAME]],"County"),Entities[[#This Row],[ENT_NAME]])</f>
        <v>Rockwall County WCID 1</v>
      </c>
    </row>
    <row r="1298" spans="1:6" x14ac:dyDescent="0.25">
      <c r="A1298" s="302" t="s">
        <v>6244</v>
      </c>
      <c r="B1298" s="303" t="str">
        <f t="shared" si="20"/>
        <v>x03001189</v>
      </c>
      <c r="C1298" t="s">
        <v>4</v>
      </c>
      <c r="D1298" t="s">
        <v>6245</v>
      </c>
      <c r="E1298">
        <v>3</v>
      </c>
      <c r="F1298" t="str">
        <f>IF(AND(Entities[[#This Row],[ENT_TYPE]]="County",RIGHT(Entities[[#This Row],[ENT_NAME]],6)&lt;&gt;"County"),_xlfn.TEXTJOIN(" ",TRUE,Entities[[#This Row],[ENT_NAME]],"County"),Entities[[#This Row],[ENT_NAME]])</f>
        <v>Buena Vista-Bethel SUD</v>
      </c>
    </row>
    <row r="1299" spans="1:6" x14ac:dyDescent="0.25">
      <c r="A1299" s="302" t="s">
        <v>6246</v>
      </c>
      <c r="B1299" s="303" t="str">
        <f t="shared" si="20"/>
        <v>x03001219</v>
      </c>
      <c r="C1299" t="s">
        <v>4</v>
      </c>
      <c r="D1299" t="s">
        <v>6247</v>
      </c>
      <c r="E1299">
        <v>3</v>
      </c>
      <c r="F1299" t="str">
        <f>IF(AND(Entities[[#This Row],[ENT_TYPE]]="County",RIGHT(Entities[[#This Row],[ENT_NAME]],6)&lt;&gt;"County"),_xlfn.TEXTJOIN(" ",TRUE,Entities[[#This Row],[ENT_NAME]],"County"),Entities[[#This Row],[ENT_NAME]])</f>
        <v>Denton County FWSD 1-H</v>
      </c>
    </row>
    <row r="1300" spans="1:6" x14ac:dyDescent="0.25">
      <c r="A1300" s="302" t="s">
        <v>6248</v>
      </c>
      <c r="B1300" s="303" t="str">
        <f t="shared" si="20"/>
        <v>x03001220</v>
      </c>
      <c r="C1300" t="s">
        <v>4</v>
      </c>
      <c r="D1300" t="s">
        <v>6249</v>
      </c>
      <c r="E1300">
        <v>3</v>
      </c>
      <c r="F1300" t="str">
        <f>IF(AND(Entities[[#This Row],[ENT_TYPE]]="County",RIGHT(Entities[[#This Row],[ENT_NAME]],6)&lt;&gt;"County"),_xlfn.TEXTJOIN(" ",TRUE,Entities[[#This Row],[ENT_NAME]],"County"),Entities[[#This Row],[ENT_NAME]])</f>
        <v>Denton County FWSD 1-F</v>
      </c>
    </row>
    <row r="1301" spans="1:6" x14ac:dyDescent="0.25">
      <c r="A1301" s="302" t="s">
        <v>6250</v>
      </c>
      <c r="B1301" s="303" t="str">
        <f t="shared" si="20"/>
        <v>x03001233</v>
      </c>
      <c r="C1301" t="s">
        <v>4</v>
      </c>
      <c r="D1301" t="s">
        <v>6251</v>
      </c>
      <c r="E1301">
        <v>3</v>
      </c>
      <c r="F1301" t="str">
        <f>IF(AND(Entities[[#This Row],[ENT_TYPE]]="County",RIGHT(Entities[[#This Row],[ENT_NAME]],6)&lt;&gt;"County"),_xlfn.TEXTJOIN(" ",TRUE,Entities[[#This Row],[ENT_NAME]],"County"),Entities[[#This Row],[ENT_NAME]])</f>
        <v>Ellis County WCID 1</v>
      </c>
    </row>
    <row r="1302" spans="1:6" x14ac:dyDescent="0.25">
      <c r="A1302" s="302" t="s">
        <v>6252</v>
      </c>
      <c r="B1302" s="303" t="str">
        <f t="shared" si="20"/>
        <v>x03001238</v>
      </c>
      <c r="C1302" t="s">
        <v>4</v>
      </c>
      <c r="D1302" t="s">
        <v>6253</v>
      </c>
      <c r="E1302">
        <v>3</v>
      </c>
      <c r="F1302" t="str">
        <f>IF(AND(Entities[[#This Row],[ENT_TYPE]]="County",RIGHT(Entities[[#This Row],[ENT_NAME]],6)&lt;&gt;"County"),_xlfn.TEXTJOIN(" ",TRUE,Entities[[#This Row],[ENT_NAME]],"County"),Entities[[#This Row],[ENT_NAME]])</f>
        <v>Denton County FWSD 8-B</v>
      </c>
    </row>
    <row r="1303" spans="1:6" x14ac:dyDescent="0.25">
      <c r="A1303" s="302" t="s">
        <v>6254</v>
      </c>
      <c r="B1303" s="303" t="str">
        <f t="shared" si="20"/>
        <v>x03001244</v>
      </c>
      <c r="C1303" t="s">
        <v>4</v>
      </c>
      <c r="D1303" t="s">
        <v>6255</v>
      </c>
      <c r="E1303">
        <v>3</v>
      </c>
      <c r="F1303" t="str">
        <f>IF(AND(Entities[[#This Row],[ENT_TYPE]]="County",RIGHT(Entities[[#This Row],[ENT_NAME]],6)&lt;&gt;"County"),_xlfn.TEXTJOIN(" ",TRUE,Entities[[#This Row],[ENT_NAME]],"County"),Entities[[#This Row],[ENT_NAME]])</f>
        <v>Westwood Shores MUD</v>
      </c>
    </row>
    <row r="1304" spans="1:6" x14ac:dyDescent="0.25">
      <c r="A1304" s="302" t="s">
        <v>6256</v>
      </c>
      <c r="B1304" s="303" t="str">
        <f t="shared" si="20"/>
        <v>x03001245</v>
      </c>
      <c r="C1304" t="s">
        <v>4</v>
      </c>
      <c r="D1304" t="s">
        <v>6257</v>
      </c>
      <c r="E1304">
        <v>3</v>
      </c>
      <c r="F1304" t="str">
        <f>IF(AND(Entities[[#This Row],[ENT_TYPE]]="County",RIGHT(Entities[[#This Row],[ENT_NAME]],6)&lt;&gt;"County"),_xlfn.TEXTJOIN(" ",TRUE,Entities[[#This Row],[ENT_NAME]],"County"),Entities[[#This Row],[ENT_NAME]])</f>
        <v>Kaufman County FWSD 4A</v>
      </c>
    </row>
    <row r="1305" spans="1:6" x14ac:dyDescent="0.25">
      <c r="A1305" s="302" t="s">
        <v>6258</v>
      </c>
      <c r="B1305" s="303" t="str">
        <f t="shared" si="20"/>
        <v>x03001253</v>
      </c>
      <c r="C1305" t="s">
        <v>4</v>
      </c>
      <c r="D1305" t="s">
        <v>6259</v>
      </c>
      <c r="E1305">
        <v>3</v>
      </c>
      <c r="F1305" t="str">
        <f>IF(AND(Entities[[#This Row],[ENT_TYPE]]="County",RIGHT(Entities[[#This Row],[ENT_NAME]],6)&lt;&gt;"County"),_xlfn.TEXTJOIN(" ",TRUE,Entities[[#This Row],[ENT_NAME]],"County"),Entities[[#This Row],[ENT_NAME]])</f>
        <v>East Fork FWSD 1</v>
      </c>
    </row>
    <row r="1306" spans="1:6" x14ac:dyDescent="0.25">
      <c r="A1306" s="302" t="s">
        <v>6260</v>
      </c>
      <c r="B1306" s="303" t="str">
        <f t="shared" si="20"/>
        <v>x03001258</v>
      </c>
      <c r="C1306" t="s">
        <v>4</v>
      </c>
      <c r="D1306" t="s">
        <v>6261</v>
      </c>
      <c r="E1306">
        <v>3</v>
      </c>
      <c r="F1306" t="str">
        <f>IF(AND(Entities[[#This Row],[ENT_TYPE]]="County",RIGHT(Entities[[#This Row],[ENT_NAME]],6)&lt;&gt;"County"),_xlfn.TEXTJOIN(" ",TRUE,Entities[[#This Row],[ENT_NAME]],"County"),Entities[[#This Row],[ENT_NAME]])</f>
        <v>Falcons Lair Utility &amp; Reclamation District</v>
      </c>
    </row>
    <row r="1307" spans="1:6" x14ac:dyDescent="0.25">
      <c r="A1307" s="302" t="s">
        <v>6262</v>
      </c>
      <c r="B1307" s="303" t="str">
        <f t="shared" si="20"/>
        <v>x03001288</v>
      </c>
      <c r="C1307" t="s">
        <v>4</v>
      </c>
      <c r="D1307" t="s">
        <v>6263</v>
      </c>
      <c r="E1307">
        <v>3</v>
      </c>
      <c r="F1307" t="str">
        <f>IF(AND(Entities[[#This Row],[ENT_TYPE]]="County",RIGHT(Entities[[#This Row],[ENT_NAME]],6)&lt;&gt;"County"),_xlfn.TEXTJOIN(" ",TRUE,Entities[[#This Row],[ENT_NAME]],"County"),Entities[[#This Row],[ENT_NAME]])</f>
        <v>Denton County FWSD 2-C</v>
      </c>
    </row>
    <row r="1308" spans="1:6" x14ac:dyDescent="0.25">
      <c r="A1308" s="302" t="s">
        <v>6264</v>
      </c>
      <c r="B1308" s="303" t="str">
        <f t="shared" si="20"/>
        <v>x03001289</v>
      </c>
      <c r="C1308" t="s">
        <v>4</v>
      </c>
      <c r="D1308" t="s">
        <v>6265</v>
      </c>
      <c r="E1308">
        <v>3</v>
      </c>
      <c r="F1308" t="str">
        <f>IF(AND(Entities[[#This Row],[ENT_TYPE]]="County",RIGHT(Entities[[#This Row],[ENT_NAME]],6)&lt;&gt;"County"),_xlfn.TEXTJOIN(" ",TRUE,Entities[[#This Row],[ENT_NAME]],"County"),Entities[[#This Row],[ENT_NAME]])</f>
        <v>Meadow Road Improvement District</v>
      </c>
    </row>
    <row r="1309" spans="1:6" x14ac:dyDescent="0.25">
      <c r="A1309" s="302" t="s">
        <v>6266</v>
      </c>
      <c r="B1309" s="303" t="str">
        <f t="shared" si="20"/>
        <v>x03001295</v>
      </c>
      <c r="C1309" t="s">
        <v>4</v>
      </c>
      <c r="D1309" t="s">
        <v>6267</v>
      </c>
      <c r="E1309">
        <v>3</v>
      </c>
      <c r="F1309" t="str">
        <f>IF(AND(Entities[[#This Row],[ENT_TYPE]]="County",RIGHT(Entities[[#This Row],[ENT_NAME]],6)&lt;&gt;"County"),_xlfn.TEXTJOIN(" ",TRUE,Entities[[#This Row],[ENT_NAME]],"County"),Entities[[#This Row],[ENT_NAME]])</f>
        <v>Kaufman County FWSD 1C</v>
      </c>
    </row>
    <row r="1310" spans="1:6" x14ac:dyDescent="0.25">
      <c r="A1310" s="302" t="s">
        <v>6268</v>
      </c>
      <c r="B1310" s="303" t="str">
        <f t="shared" si="20"/>
        <v>x03001296</v>
      </c>
      <c r="C1310" t="s">
        <v>4</v>
      </c>
      <c r="D1310" t="s">
        <v>6269</v>
      </c>
      <c r="E1310">
        <v>3</v>
      </c>
      <c r="F1310" t="str">
        <f>IF(AND(Entities[[#This Row],[ENT_TYPE]]="County",RIGHT(Entities[[#This Row],[ENT_NAME]],6)&lt;&gt;"County"),_xlfn.TEXTJOIN(" ",TRUE,Entities[[#This Row],[ENT_NAME]],"County"),Entities[[#This Row],[ENT_NAME]])</f>
        <v>Kaufman County FWSD 1B</v>
      </c>
    </row>
    <row r="1311" spans="1:6" x14ac:dyDescent="0.25">
      <c r="A1311" s="302" t="s">
        <v>6270</v>
      </c>
      <c r="B1311" s="303" t="str">
        <f t="shared" si="20"/>
        <v>x03001303</v>
      </c>
      <c r="C1311" t="s">
        <v>4</v>
      </c>
      <c r="D1311" t="s">
        <v>6271</v>
      </c>
      <c r="E1311">
        <v>3</v>
      </c>
      <c r="F1311" t="str">
        <f>IF(AND(Entities[[#This Row],[ENT_TYPE]]="County",RIGHT(Entities[[#This Row],[ENT_NAME]],6)&lt;&gt;"County"),_xlfn.TEXTJOIN(" ",TRUE,Entities[[#This Row],[ENT_NAME]],"County"),Entities[[#This Row],[ENT_NAME]])</f>
        <v>Kaufman County WCID 1</v>
      </c>
    </row>
    <row r="1312" spans="1:6" x14ac:dyDescent="0.25">
      <c r="A1312" s="302" t="s">
        <v>6272</v>
      </c>
      <c r="B1312" s="303" t="str">
        <f t="shared" si="20"/>
        <v>x03001304</v>
      </c>
      <c r="C1312" t="s">
        <v>4</v>
      </c>
      <c r="D1312" t="s">
        <v>6273</v>
      </c>
      <c r="E1312">
        <v>3</v>
      </c>
      <c r="F1312" t="str">
        <f>IF(AND(Entities[[#This Row],[ENT_TYPE]]="County",RIGHT(Entities[[#This Row],[ENT_NAME]],6)&lt;&gt;"County"),_xlfn.TEXTJOIN(" ",TRUE,Entities[[#This Row],[ENT_NAME]],"County"),Entities[[#This Row],[ENT_NAME]])</f>
        <v>Kaufman County MUD 14</v>
      </c>
    </row>
    <row r="1313" spans="1:6" x14ac:dyDescent="0.25">
      <c r="A1313" s="302" t="s">
        <v>6274</v>
      </c>
      <c r="B1313" s="303" t="str">
        <f t="shared" si="20"/>
        <v>x03001322</v>
      </c>
      <c r="C1313" t="s">
        <v>4</v>
      </c>
      <c r="D1313" t="s">
        <v>6275</v>
      </c>
      <c r="E1313">
        <v>3</v>
      </c>
      <c r="F1313" t="str">
        <f>IF(AND(Entities[[#This Row],[ENT_TYPE]]="County",RIGHT(Entities[[#This Row],[ENT_NAME]],6)&lt;&gt;"County"),_xlfn.TEXTJOIN(" ",TRUE,Entities[[#This Row],[ENT_NAME]],"County"),Entities[[#This Row],[ENT_NAME]])</f>
        <v>Waterwood MUD 1</v>
      </c>
    </row>
    <row r="1314" spans="1:6" x14ac:dyDescent="0.25">
      <c r="A1314" s="302" t="s">
        <v>6276</v>
      </c>
      <c r="B1314" s="303" t="str">
        <f t="shared" si="20"/>
        <v>x03001346</v>
      </c>
      <c r="C1314" t="s">
        <v>4</v>
      </c>
      <c r="D1314" t="s">
        <v>6277</v>
      </c>
      <c r="E1314">
        <v>3</v>
      </c>
      <c r="F1314" t="str">
        <f>IF(AND(Entities[[#This Row],[ENT_TYPE]]="County",RIGHT(Entities[[#This Row],[ENT_NAME]],6)&lt;&gt;"County"),_xlfn.TEXTJOIN(" ",TRUE,Entities[[#This Row],[ENT_NAME]],"County"),Entities[[#This Row],[ENT_NAME]])</f>
        <v>Rockwall County MUD 8</v>
      </c>
    </row>
    <row r="1315" spans="1:6" x14ac:dyDescent="0.25">
      <c r="A1315" s="302" t="s">
        <v>6278</v>
      </c>
      <c r="B1315" s="303" t="str">
        <f t="shared" si="20"/>
        <v>x03001364</v>
      </c>
      <c r="C1315" t="s">
        <v>4</v>
      </c>
      <c r="D1315" t="s">
        <v>6279</v>
      </c>
      <c r="E1315">
        <v>3</v>
      </c>
      <c r="F1315" t="str">
        <f>IF(AND(Entities[[#This Row],[ENT_TYPE]]="County",RIGHT(Entities[[#This Row],[ENT_NAME]],6)&lt;&gt;"County"),_xlfn.TEXTJOIN(" ",TRUE,Entities[[#This Row],[ENT_NAME]],"County"),Entities[[#This Row],[ENT_NAME]])</f>
        <v>Liberty County WCID 6</v>
      </c>
    </row>
    <row r="1316" spans="1:6" x14ac:dyDescent="0.25">
      <c r="A1316" s="302" t="s">
        <v>6280</v>
      </c>
      <c r="B1316" s="303" t="str">
        <f t="shared" si="20"/>
        <v>x03001379</v>
      </c>
      <c r="C1316" t="s">
        <v>4</v>
      </c>
      <c r="D1316" t="s">
        <v>6281</v>
      </c>
      <c r="E1316">
        <v>3</v>
      </c>
      <c r="F1316" t="str">
        <f>IF(AND(Entities[[#This Row],[ENT_TYPE]]="County",RIGHT(Entities[[#This Row],[ENT_NAME]],6)&lt;&gt;"County"),_xlfn.TEXTJOIN(" ",TRUE,Entities[[#This Row],[ENT_NAME]],"County"),Entities[[#This Row],[ENT_NAME]])</f>
        <v>Bethany SUD</v>
      </c>
    </row>
    <row r="1317" spans="1:6" x14ac:dyDescent="0.25">
      <c r="A1317" s="302" t="s">
        <v>6282</v>
      </c>
      <c r="B1317" s="303" t="str">
        <f t="shared" si="20"/>
        <v>x03001384</v>
      </c>
      <c r="C1317" t="s">
        <v>4</v>
      </c>
      <c r="D1317" t="s">
        <v>6283</v>
      </c>
      <c r="E1317">
        <v>3</v>
      </c>
      <c r="F1317" t="str">
        <f>IF(AND(Entities[[#This Row],[ENT_TYPE]]="County",RIGHT(Entities[[#This Row],[ENT_NAME]],6)&lt;&gt;"County"),_xlfn.TEXTJOIN(" ",TRUE,Entities[[#This Row],[ENT_NAME]],"County"),Entities[[#This Row],[ENT_NAME]])</f>
        <v>Kaufman County MUD 4</v>
      </c>
    </row>
    <row r="1318" spans="1:6" x14ac:dyDescent="0.25">
      <c r="A1318" s="302" t="s">
        <v>6284</v>
      </c>
      <c r="B1318" s="303" t="str">
        <f t="shared" si="20"/>
        <v>x03001385</v>
      </c>
      <c r="C1318" t="s">
        <v>4</v>
      </c>
      <c r="D1318" t="s">
        <v>6285</v>
      </c>
      <c r="E1318">
        <v>3</v>
      </c>
      <c r="F1318" t="str">
        <f>IF(AND(Entities[[#This Row],[ENT_TYPE]]="County",RIGHT(Entities[[#This Row],[ENT_NAME]],6)&lt;&gt;"County"),_xlfn.TEXTJOIN(" ",TRUE,Entities[[#This Row],[ENT_NAME]],"County"),Entities[[#This Row],[ENT_NAME]])</f>
        <v>Kaufman County MUD 2</v>
      </c>
    </row>
    <row r="1319" spans="1:6" x14ac:dyDescent="0.25">
      <c r="A1319" s="302" t="s">
        <v>6286</v>
      </c>
      <c r="B1319" s="303" t="str">
        <f t="shared" si="20"/>
        <v>x03001418</v>
      </c>
      <c r="C1319" t="s">
        <v>4</v>
      </c>
      <c r="D1319" t="s">
        <v>6287</v>
      </c>
      <c r="E1319">
        <v>3</v>
      </c>
      <c r="F1319" t="str">
        <f>IF(AND(Entities[[#This Row],[ENT_TYPE]]="County",RIGHT(Entities[[#This Row],[ENT_NAME]],6)&lt;&gt;"County"),_xlfn.TEXTJOIN(" ",TRUE,Entities[[#This Row],[ENT_NAME]],"County"),Entities[[#This Row],[ENT_NAME]])</f>
        <v>Denton County MUD 8</v>
      </c>
    </row>
    <row r="1320" spans="1:6" x14ac:dyDescent="0.25">
      <c r="A1320" s="302" t="s">
        <v>6288</v>
      </c>
      <c r="B1320" s="303" t="str">
        <f t="shared" si="20"/>
        <v>x03001447</v>
      </c>
      <c r="C1320" t="s">
        <v>4</v>
      </c>
      <c r="D1320" t="s">
        <v>6289</v>
      </c>
      <c r="E1320">
        <v>3</v>
      </c>
      <c r="F1320" t="str">
        <f>IF(AND(Entities[[#This Row],[ENT_TYPE]]="County",RIGHT(Entities[[#This Row],[ENT_NAME]],6)&lt;&gt;"County"),_xlfn.TEXTJOIN(" ",TRUE,Entities[[#This Row],[ENT_NAME]],"County"),Entities[[#This Row],[ENT_NAME]])</f>
        <v>Kaufman County FWSD 5</v>
      </c>
    </row>
    <row r="1321" spans="1:6" x14ac:dyDescent="0.25">
      <c r="A1321" s="302" t="s">
        <v>6290</v>
      </c>
      <c r="B1321" s="303" t="str">
        <f t="shared" si="20"/>
        <v>x03001449</v>
      </c>
      <c r="C1321" t="s">
        <v>4</v>
      </c>
      <c r="D1321" t="s">
        <v>6291</v>
      </c>
      <c r="E1321">
        <v>3</v>
      </c>
      <c r="F1321" t="str">
        <f>IF(AND(Entities[[#This Row],[ENT_TYPE]]="County",RIGHT(Entities[[#This Row],[ENT_NAME]],6)&lt;&gt;"County"),_xlfn.TEXTJOIN(" ",TRUE,Entities[[#This Row],[ENT_NAME]],"County"),Entities[[#This Row],[ENT_NAME]])</f>
        <v>Kaufman County FWSD 6</v>
      </c>
    </row>
    <row r="1322" spans="1:6" x14ac:dyDescent="0.25">
      <c r="A1322" s="302" t="s">
        <v>6292</v>
      </c>
      <c r="B1322" s="303" t="str">
        <f t="shared" si="20"/>
        <v>x03001476</v>
      </c>
      <c r="C1322" t="s">
        <v>4</v>
      </c>
      <c r="D1322" t="s">
        <v>6293</v>
      </c>
      <c r="E1322">
        <v>3</v>
      </c>
      <c r="F1322" t="str">
        <f>IF(AND(Entities[[#This Row],[ENT_TYPE]]="County",RIGHT(Entities[[#This Row],[ENT_NAME]],6)&lt;&gt;"County"),_xlfn.TEXTJOIN(" ",TRUE,Entities[[#This Row],[ENT_NAME]],"County"),Entities[[#This Row],[ENT_NAME]])</f>
        <v>Parker County FWSD 1</v>
      </c>
    </row>
    <row r="1323" spans="1:6" x14ac:dyDescent="0.25">
      <c r="A1323" s="302" t="s">
        <v>6294</v>
      </c>
      <c r="B1323" s="303" t="str">
        <f t="shared" si="20"/>
        <v>x03001489</v>
      </c>
      <c r="C1323" t="s">
        <v>4</v>
      </c>
      <c r="D1323" t="s">
        <v>6295</v>
      </c>
      <c r="E1323">
        <v>3</v>
      </c>
      <c r="F1323" t="str">
        <f>IF(AND(Entities[[#This Row],[ENT_TYPE]]="County",RIGHT(Entities[[#This Row],[ENT_NAME]],6)&lt;&gt;"County"),_xlfn.TEXTJOIN(" ",TRUE,Entities[[#This Row],[ENT_NAME]],"County"),Entities[[#This Row],[ENT_NAME]])</f>
        <v>Denton County FWSD 11-B</v>
      </c>
    </row>
    <row r="1324" spans="1:6" x14ac:dyDescent="0.25">
      <c r="A1324" s="302" t="s">
        <v>6296</v>
      </c>
      <c r="B1324" s="303" t="str">
        <f t="shared" si="20"/>
        <v>x03001490</v>
      </c>
      <c r="C1324" t="s">
        <v>4</v>
      </c>
      <c r="D1324" t="s">
        <v>6297</v>
      </c>
      <c r="E1324">
        <v>3</v>
      </c>
      <c r="F1324" t="str">
        <f>IF(AND(Entities[[#This Row],[ENT_TYPE]]="County",RIGHT(Entities[[#This Row],[ENT_NAME]],6)&lt;&gt;"County"),_xlfn.TEXTJOIN(" ",TRUE,Entities[[#This Row],[ENT_NAME]],"County"),Entities[[#This Row],[ENT_NAME]])</f>
        <v>Denton County FWSD 11-C</v>
      </c>
    </row>
    <row r="1325" spans="1:6" x14ac:dyDescent="0.25">
      <c r="A1325" s="302" t="s">
        <v>6298</v>
      </c>
      <c r="B1325" s="303" t="str">
        <f t="shared" si="20"/>
        <v>x03001491</v>
      </c>
      <c r="C1325" t="s">
        <v>4</v>
      </c>
      <c r="D1325" t="s">
        <v>6299</v>
      </c>
      <c r="E1325">
        <v>3</v>
      </c>
      <c r="F1325" t="str">
        <f>IF(AND(Entities[[#This Row],[ENT_TYPE]]="County",RIGHT(Entities[[#This Row],[ENT_NAME]],6)&lt;&gt;"County"),_xlfn.TEXTJOIN(" ",TRUE,Entities[[#This Row],[ENT_NAME]],"County"),Entities[[#This Row],[ENT_NAME]])</f>
        <v>Denton County FWSD 10</v>
      </c>
    </row>
    <row r="1326" spans="1:6" x14ac:dyDescent="0.25">
      <c r="A1326" s="302" t="s">
        <v>6300</v>
      </c>
      <c r="B1326" s="303" t="str">
        <f t="shared" si="20"/>
        <v>x03001492</v>
      </c>
      <c r="C1326" t="s">
        <v>4</v>
      </c>
      <c r="D1326" t="s">
        <v>6301</v>
      </c>
      <c r="E1326">
        <v>3</v>
      </c>
      <c r="F1326" t="str">
        <f>IF(AND(Entities[[#This Row],[ENT_TYPE]]="County",RIGHT(Entities[[#This Row],[ENT_NAME]],6)&lt;&gt;"County"),_xlfn.TEXTJOIN(" ",TRUE,Entities[[#This Row],[ENT_NAME]],"County"),Entities[[#This Row],[ENT_NAME]])</f>
        <v>Denton County FWSD 11-A</v>
      </c>
    </row>
    <row r="1327" spans="1:6" x14ac:dyDescent="0.25">
      <c r="A1327" s="302" t="s">
        <v>6302</v>
      </c>
      <c r="B1327" s="303" t="str">
        <f t="shared" si="20"/>
        <v>x03001493</v>
      </c>
      <c r="C1327" t="s">
        <v>4</v>
      </c>
      <c r="D1327" t="s">
        <v>6303</v>
      </c>
      <c r="E1327">
        <v>3</v>
      </c>
      <c r="F1327" t="str">
        <f>IF(AND(Entities[[#This Row],[ENT_TYPE]]="County",RIGHT(Entities[[#This Row],[ENT_NAME]],6)&lt;&gt;"County"),_xlfn.TEXTJOIN(" ",TRUE,Entities[[#This Row],[ENT_NAME]],"County"),Entities[[#This Row],[ENT_NAME]])</f>
        <v>Denton County FWSD 8-A</v>
      </c>
    </row>
    <row r="1328" spans="1:6" x14ac:dyDescent="0.25">
      <c r="A1328" s="302" t="s">
        <v>6304</v>
      </c>
      <c r="B1328" s="303" t="str">
        <f t="shared" si="20"/>
        <v>x03001510</v>
      </c>
      <c r="C1328" t="s">
        <v>4</v>
      </c>
      <c r="D1328" t="s">
        <v>6305</v>
      </c>
      <c r="E1328">
        <v>3</v>
      </c>
      <c r="F1328" t="str">
        <f>IF(AND(Entities[[#This Row],[ENT_TYPE]]="County",RIGHT(Entities[[#This Row],[ENT_NAME]],6)&lt;&gt;"County"),_xlfn.TEXTJOIN(" ",TRUE,Entities[[#This Row],[ENT_NAME]],"County"),Entities[[#This Row],[ENT_NAME]])</f>
        <v>Wise County WSD</v>
      </c>
    </row>
    <row r="1329" spans="1:6" x14ac:dyDescent="0.25">
      <c r="A1329" s="302" t="s">
        <v>6306</v>
      </c>
      <c r="B1329" s="303" t="str">
        <f t="shared" si="20"/>
        <v>x03001511</v>
      </c>
      <c r="C1329" t="s">
        <v>4</v>
      </c>
      <c r="D1329" t="s">
        <v>6307</v>
      </c>
      <c r="E1329">
        <v>3</v>
      </c>
      <c r="F1329" t="str">
        <f>IF(AND(Entities[[#This Row],[ENT_TYPE]]="County",RIGHT(Entities[[#This Row],[ENT_NAME]],6)&lt;&gt;"County"),_xlfn.TEXTJOIN(" ",TRUE,Entities[[#This Row],[ENT_NAME]],"County"),Entities[[#This Row],[ENT_NAME]])</f>
        <v>Rockett SUD</v>
      </c>
    </row>
    <row r="1330" spans="1:6" x14ac:dyDescent="0.25">
      <c r="A1330" s="302" t="s">
        <v>6308</v>
      </c>
      <c r="B1330" s="303" t="str">
        <f t="shared" si="20"/>
        <v>x03001512</v>
      </c>
      <c r="C1330" t="s">
        <v>4</v>
      </c>
      <c r="D1330" t="s">
        <v>6309</v>
      </c>
      <c r="E1330">
        <v>3</v>
      </c>
      <c r="F1330" t="str">
        <f>IF(AND(Entities[[#This Row],[ENT_TYPE]]="County",RIGHT(Entities[[#This Row],[ENT_NAME]],6)&lt;&gt;"County"),_xlfn.TEXTJOIN(" ",TRUE,Entities[[#This Row],[ENT_NAME]],"County"),Entities[[#This Row],[ENT_NAME]])</f>
        <v>Mountain Peak SUD</v>
      </c>
    </row>
    <row r="1331" spans="1:6" x14ac:dyDescent="0.25">
      <c r="A1331" s="302" t="s">
        <v>6310</v>
      </c>
      <c r="B1331" s="303" t="str">
        <f t="shared" si="20"/>
        <v>x03001532</v>
      </c>
      <c r="C1331" t="s">
        <v>4</v>
      </c>
      <c r="D1331" t="s">
        <v>6311</v>
      </c>
      <c r="E1331">
        <v>3</v>
      </c>
      <c r="F1331" t="str">
        <f>IF(AND(Entities[[#This Row],[ENT_TYPE]]="County",RIGHT(Entities[[#This Row],[ENT_NAME]],6)&lt;&gt;"County"),_xlfn.TEXTJOIN(" ",TRUE,Entities[[#This Row],[ENT_NAME]],"County"),Entities[[#This Row],[ENT_NAME]])</f>
        <v>Old River Drainage District 1-Liberty County</v>
      </c>
    </row>
    <row r="1332" spans="1:6" x14ac:dyDescent="0.25">
      <c r="A1332" s="302" t="s">
        <v>6312</v>
      </c>
      <c r="B1332" s="303" t="str">
        <f t="shared" si="20"/>
        <v>x03001536</v>
      </c>
      <c r="C1332" t="s">
        <v>4</v>
      </c>
      <c r="D1332" t="s">
        <v>6313</v>
      </c>
      <c r="E1332">
        <v>3</v>
      </c>
      <c r="F1332" t="str">
        <f>IF(AND(Entities[[#This Row],[ENT_TYPE]]="County",RIGHT(Entities[[#This Row],[ENT_NAME]],6)&lt;&gt;"County"),_xlfn.TEXTJOIN(" ",TRUE,Entities[[#This Row],[ENT_NAME]],"County"),Entities[[#This Row],[ENT_NAME]])</f>
        <v>Kaufman County LID 4</v>
      </c>
    </row>
    <row r="1333" spans="1:6" x14ac:dyDescent="0.25">
      <c r="A1333" s="302" t="s">
        <v>6314</v>
      </c>
      <c r="B1333" s="303" t="str">
        <f t="shared" si="20"/>
        <v>x03001539</v>
      </c>
      <c r="C1333" t="s">
        <v>4</v>
      </c>
      <c r="D1333" t="s">
        <v>6315</v>
      </c>
      <c r="E1333">
        <v>3</v>
      </c>
      <c r="F1333" t="str">
        <f>IF(AND(Entities[[#This Row],[ENT_TYPE]]="County",RIGHT(Entities[[#This Row],[ENT_NAME]],6)&lt;&gt;"County"),_xlfn.TEXTJOIN(" ",TRUE,Entities[[#This Row],[ENT_NAME]],"County"),Entities[[#This Row],[ENT_NAME]])</f>
        <v>Providence Village WCID of Denton County</v>
      </c>
    </row>
    <row r="1334" spans="1:6" x14ac:dyDescent="0.25">
      <c r="A1334" s="302" t="s">
        <v>6316</v>
      </c>
      <c r="B1334" s="303" t="str">
        <f t="shared" si="20"/>
        <v>x03001541</v>
      </c>
      <c r="C1334" t="s">
        <v>4</v>
      </c>
      <c r="D1334" t="s">
        <v>6317</v>
      </c>
      <c r="E1334">
        <v>3</v>
      </c>
      <c r="F1334" t="str">
        <f>IF(AND(Entities[[#This Row],[ENT_TYPE]]="County",RIGHT(Entities[[#This Row],[ENT_NAME]],6)&lt;&gt;"County"),_xlfn.TEXTJOIN(" ",TRUE,Entities[[#This Row],[ENT_NAME]],"County"),Entities[[#This Row],[ENT_NAME]])</f>
        <v>Denton County MUD 5</v>
      </c>
    </row>
    <row r="1335" spans="1:6" x14ac:dyDescent="0.25">
      <c r="A1335" s="302" t="s">
        <v>6318</v>
      </c>
      <c r="B1335" s="303" t="str">
        <f t="shared" si="20"/>
        <v>x03001546</v>
      </c>
      <c r="C1335" t="s">
        <v>4</v>
      </c>
      <c r="D1335" t="s">
        <v>6319</v>
      </c>
      <c r="E1335">
        <v>3</v>
      </c>
      <c r="F1335" t="str">
        <f>IF(AND(Entities[[#This Row],[ENT_TYPE]]="County",RIGHT(Entities[[#This Row],[ENT_NAME]],6)&lt;&gt;"County"),_xlfn.TEXTJOIN(" ",TRUE,Entities[[#This Row],[ENT_NAME]],"County"),Entities[[#This Row],[ENT_NAME]])</f>
        <v>Kaufman County FWSD 4B</v>
      </c>
    </row>
    <row r="1336" spans="1:6" x14ac:dyDescent="0.25">
      <c r="A1336" s="302" t="s">
        <v>6320</v>
      </c>
      <c r="B1336" s="303" t="str">
        <f t="shared" si="20"/>
        <v>x03001599</v>
      </c>
      <c r="C1336" t="s">
        <v>4</v>
      </c>
      <c r="D1336" t="s">
        <v>6321</v>
      </c>
      <c r="E1336">
        <v>3</v>
      </c>
      <c r="F1336" t="str">
        <f>IF(AND(Entities[[#This Row],[ENT_TYPE]]="County",RIGHT(Entities[[#This Row],[ENT_NAME]],6)&lt;&gt;"County"),_xlfn.TEXTJOIN(" ",TRUE,Entities[[#This Row],[ENT_NAME]],"County"),Entities[[#This Row],[ENT_NAME]])</f>
        <v>Kaufman County MUD 7</v>
      </c>
    </row>
    <row r="1337" spans="1:6" x14ac:dyDescent="0.25">
      <c r="A1337" s="302" t="s">
        <v>6322</v>
      </c>
      <c r="B1337" s="303" t="str">
        <f t="shared" si="20"/>
        <v>x03001600</v>
      </c>
      <c r="C1337" t="s">
        <v>4</v>
      </c>
      <c r="D1337" t="s">
        <v>6323</v>
      </c>
      <c r="E1337">
        <v>3</v>
      </c>
      <c r="F1337" t="str">
        <f>IF(AND(Entities[[#This Row],[ENT_TYPE]]="County",RIGHT(Entities[[#This Row],[ENT_NAME]],6)&lt;&gt;"County"),_xlfn.TEXTJOIN(" ",TRUE,Entities[[#This Row],[ENT_NAME]],"County"),Entities[[#This Row],[ENT_NAME]])</f>
        <v>Kaufman County MUD 9</v>
      </c>
    </row>
    <row r="1338" spans="1:6" x14ac:dyDescent="0.25">
      <c r="A1338" s="302" t="s">
        <v>6324</v>
      </c>
      <c r="B1338" s="303" t="str">
        <f t="shared" si="20"/>
        <v>x03001601</v>
      </c>
      <c r="C1338" t="s">
        <v>4</v>
      </c>
      <c r="D1338" t="s">
        <v>6325</v>
      </c>
      <c r="E1338">
        <v>3</v>
      </c>
      <c r="F1338" t="str">
        <f>IF(AND(Entities[[#This Row],[ENT_TYPE]]="County",RIGHT(Entities[[#This Row],[ENT_NAME]],6)&lt;&gt;"County"),_xlfn.TEXTJOIN(" ",TRUE,Entities[[#This Row],[ENT_NAME]],"County"),Entities[[#This Row],[ENT_NAME]])</f>
        <v>Kaufman County MUD 10</v>
      </c>
    </row>
    <row r="1339" spans="1:6" x14ac:dyDescent="0.25">
      <c r="A1339" s="302" t="s">
        <v>6326</v>
      </c>
      <c r="B1339" s="303" t="str">
        <f t="shared" si="20"/>
        <v>x03001602</v>
      </c>
      <c r="C1339" t="s">
        <v>4</v>
      </c>
      <c r="D1339" t="s">
        <v>6327</v>
      </c>
      <c r="E1339">
        <v>3</v>
      </c>
      <c r="F1339" t="str">
        <f>IF(AND(Entities[[#This Row],[ENT_TYPE]]="County",RIGHT(Entities[[#This Row],[ENT_NAME]],6)&lt;&gt;"County"),_xlfn.TEXTJOIN(" ",TRUE,Entities[[#This Row],[ENT_NAME]],"County"),Entities[[#This Row],[ENT_NAME]])</f>
        <v>Kaufman County MUD 11</v>
      </c>
    </row>
    <row r="1340" spans="1:6" x14ac:dyDescent="0.25">
      <c r="A1340" s="302" t="s">
        <v>6328</v>
      </c>
      <c r="B1340" s="303" t="str">
        <f t="shared" si="20"/>
        <v>x03001603</v>
      </c>
      <c r="C1340" t="s">
        <v>4</v>
      </c>
      <c r="D1340" t="s">
        <v>6329</v>
      </c>
      <c r="E1340">
        <v>3</v>
      </c>
      <c r="F1340" t="str">
        <f>IF(AND(Entities[[#This Row],[ENT_TYPE]]="County",RIGHT(Entities[[#This Row],[ENT_NAME]],6)&lt;&gt;"County"),_xlfn.TEXTJOIN(" ",TRUE,Entities[[#This Row],[ENT_NAME]],"County"),Entities[[#This Row],[ENT_NAME]])</f>
        <v>Kaufman County MUD 12</v>
      </c>
    </row>
    <row r="1341" spans="1:6" x14ac:dyDescent="0.25">
      <c r="A1341" s="302" t="s">
        <v>6330</v>
      </c>
      <c r="B1341" s="303" t="str">
        <f t="shared" si="20"/>
        <v>x03001620</v>
      </c>
      <c r="C1341" t="s">
        <v>4</v>
      </c>
      <c r="D1341" t="s">
        <v>6331</v>
      </c>
      <c r="E1341">
        <v>3</v>
      </c>
      <c r="F1341" t="str">
        <f>IF(AND(Entities[[#This Row],[ENT_TYPE]]="County",RIGHT(Entities[[#This Row],[ENT_NAME]],6)&lt;&gt;"County"),_xlfn.TEXTJOIN(" ",TRUE,Entities[[#This Row],[ENT_NAME]],"County"),Entities[[#This Row],[ENT_NAME]])</f>
        <v>Dallas County Park Cities MUD</v>
      </c>
    </row>
    <row r="1342" spans="1:6" x14ac:dyDescent="0.25">
      <c r="A1342" s="302" t="s">
        <v>6332</v>
      </c>
      <c r="B1342" s="303" t="str">
        <f t="shared" si="20"/>
        <v>x03001649</v>
      </c>
      <c r="C1342" t="s">
        <v>4</v>
      </c>
      <c r="D1342" t="s">
        <v>6333</v>
      </c>
      <c r="E1342">
        <v>3</v>
      </c>
      <c r="F1342" t="str">
        <f>IF(AND(Entities[[#This Row],[ENT_TYPE]]="County",RIGHT(Entities[[#This Row],[ENT_NAME]],6)&lt;&gt;"County"),_xlfn.TEXTJOIN(" ",TRUE,Entities[[#This Row],[ENT_NAME]],"County"),Entities[[#This Row],[ENT_NAME]])</f>
        <v>Denton County Road Utility District 1</v>
      </c>
    </row>
    <row r="1343" spans="1:6" x14ac:dyDescent="0.25">
      <c r="A1343" s="302" t="s">
        <v>6334</v>
      </c>
      <c r="B1343" s="303" t="str">
        <f t="shared" si="20"/>
        <v>x03001667</v>
      </c>
      <c r="C1343" t="s">
        <v>4</v>
      </c>
      <c r="D1343" t="s">
        <v>6335</v>
      </c>
      <c r="E1343">
        <v>3</v>
      </c>
      <c r="F1343" t="str">
        <f>IF(AND(Entities[[#This Row],[ENT_TYPE]]="County",RIGHT(Entities[[#This Row],[ENT_NAME]],6)&lt;&gt;"County"),_xlfn.TEXTJOIN(" ",TRUE,Entities[[#This Row],[ENT_NAME]],"County"),Entities[[#This Row],[ENT_NAME]])</f>
        <v>Grand Prairie Metropolitan Utility &amp; Reclamation District</v>
      </c>
    </row>
    <row r="1344" spans="1:6" x14ac:dyDescent="0.25">
      <c r="A1344" s="302" t="s">
        <v>6336</v>
      </c>
      <c r="B1344" s="303" t="str">
        <f t="shared" si="20"/>
        <v>x03001671</v>
      </c>
      <c r="C1344" t="s">
        <v>4</v>
      </c>
      <c r="D1344" t="s">
        <v>6337</v>
      </c>
      <c r="E1344">
        <v>3</v>
      </c>
      <c r="F1344" t="str">
        <f>IF(AND(Entities[[#This Row],[ENT_TYPE]]="County",RIGHT(Entities[[#This Row],[ENT_NAME]],6)&lt;&gt;"County"),_xlfn.TEXTJOIN(" ",TRUE,Entities[[#This Row],[ENT_NAME]],"County"),Entities[[#This Row],[ENT_NAME]])</f>
        <v>Seis Lagos Utility District</v>
      </c>
    </row>
    <row r="1345" spans="1:6" x14ac:dyDescent="0.25">
      <c r="A1345" s="302" t="s">
        <v>6338</v>
      </c>
      <c r="B1345" s="303" t="str">
        <f t="shared" si="20"/>
        <v>x03001686</v>
      </c>
      <c r="C1345" t="s">
        <v>4</v>
      </c>
      <c r="D1345" t="s">
        <v>6339</v>
      </c>
      <c r="E1345">
        <v>3</v>
      </c>
      <c r="F1345" t="str">
        <f>IF(AND(Entities[[#This Row],[ENT_TYPE]]="County",RIGHT(Entities[[#This Row],[ENT_NAME]],6)&lt;&gt;"County"),_xlfn.TEXTJOIN(" ",TRUE,Entities[[#This Row],[ENT_NAME]],"County"),Entities[[#This Row],[ENT_NAME]])</f>
        <v>Belmont FWSD 2 of Denton County</v>
      </c>
    </row>
    <row r="1346" spans="1:6" x14ac:dyDescent="0.25">
      <c r="A1346" s="302" t="s">
        <v>6340</v>
      </c>
      <c r="B1346" s="303" t="str">
        <f t="shared" ref="B1346:B1409" si="21">_xlfn.CONCAT("x",TEXT(A1346,"00000000"))</f>
        <v>x03001695</v>
      </c>
      <c r="C1346" t="s">
        <v>4</v>
      </c>
      <c r="D1346" t="s">
        <v>6341</v>
      </c>
      <c r="E1346">
        <v>3</v>
      </c>
      <c r="F1346" t="str">
        <f>IF(AND(Entities[[#This Row],[ENT_TYPE]]="County",RIGHT(Entities[[#This Row],[ENT_NAME]],6)&lt;&gt;"County"),_xlfn.TEXTJOIN(" ",TRUE,Entities[[#This Row],[ENT_NAME]],"County"),Entities[[#This Row],[ENT_NAME]])</f>
        <v>Denton County FWSD 4-A</v>
      </c>
    </row>
    <row r="1347" spans="1:6" x14ac:dyDescent="0.25">
      <c r="A1347" s="302" t="s">
        <v>6342</v>
      </c>
      <c r="B1347" s="303" t="str">
        <f t="shared" si="21"/>
        <v>x03001696</v>
      </c>
      <c r="C1347" t="s">
        <v>4</v>
      </c>
      <c r="D1347" t="s">
        <v>6343</v>
      </c>
      <c r="E1347">
        <v>3</v>
      </c>
      <c r="F1347" t="str">
        <f>IF(AND(Entities[[#This Row],[ENT_TYPE]]="County",RIGHT(Entities[[#This Row],[ENT_NAME]],6)&lt;&gt;"County"),_xlfn.TEXTJOIN(" ",TRUE,Entities[[#This Row],[ENT_NAME]],"County"),Entities[[#This Row],[ENT_NAME]])</f>
        <v>Denton County FWSD 2-A</v>
      </c>
    </row>
    <row r="1348" spans="1:6" x14ac:dyDescent="0.25">
      <c r="A1348" s="302" t="s">
        <v>6344</v>
      </c>
      <c r="B1348" s="303" t="str">
        <f t="shared" si="21"/>
        <v>x03001697</v>
      </c>
      <c r="C1348" t="s">
        <v>4</v>
      </c>
      <c r="D1348" t="s">
        <v>6345</v>
      </c>
      <c r="E1348">
        <v>3</v>
      </c>
      <c r="F1348" t="str">
        <f>IF(AND(Entities[[#This Row],[ENT_TYPE]]="County",RIGHT(Entities[[#This Row],[ENT_NAME]],6)&lt;&gt;"County"),_xlfn.TEXTJOIN(" ",TRUE,Entities[[#This Row],[ENT_NAME]],"County"),Entities[[#This Row],[ENT_NAME]])</f>
        <v>Denton County FWSD 6</v>
      </c>
    </row>
    <row r="1349" spans="1:6" x14ac:dyDescent="0.25">
      <c r="A1349" s="302" t="s">
        <v>6346</v>
      </c>
      <c r="B1349" s="303" t="str">
        <f t="shared" si="21"/>
        <v>x03001755</v>
      </c>
      <c r="C1349" t="s">
        <v>4</v>
      </c>
      <c r="D1349" t="s">
        <v>6347</v>
      </c>
      <c r="E1349">
        <v>3</v>
      </c>
      <c r="F1349" t="str">
        <f>IF(AND(Entities[[#This Row],[ENT_TYPE]]="County",RIGHT(Entities[[#This Row],[ENT_NAME]],6)&lt;&gt;"County"),_xlfn.TEXTJOIN(" ",TRUE,Entities[[#This Row],[ENT_NAME]],"County"),Entities[[#This Row],[ENT_NAME]])</f>
        <v>Oak Point WCID 3</v>
      </c>
    </row>
    <row r="1350" spans="1:6" x14ac:dyDescent="0.25">
      <c r="A1350" s="302" t="s">
        <v>6348</v>
      </c>
      <c r="B1350" s="303" t="str">
        <f t="shared" si="21"/>
        <v>x03001756</v>
      </c>
      <c r="C1350" t="s">
        <v>4</v>
      </c>
      <c r="D1350" t="s">
        <v>6349</v>
      </c>
      <c r="E1350">
        <v>3</v>
      </c>
      <c r="F1350" t="str">
        <f>IF(AND(Entities[[#This Row],[ENT_TYPE]]="County",RIGHT(Entities[[#This Row],[ENT_NAME]],6)&lt;&gt;"County"),_xlfn.TEXTJOIN(" ",TRUE,Entities[[#This Row],[ENT_NAME]],"County"),Entities[[#This Row],[ENT_NAME]])</f>
        <v>Oak Point WCID 4</v>
      </c>
    </row>
    <row r="1351" spans="1:6" x14ac:dyDescent="0.25">
      <c r="A1351" s="302" t="s">
        <v>6350</v>
      </c>
      <c r="B1351" s="303" t="str">
        <f t="shared" si="21"/>
        <v>x03001759</v>
      </c>
      <c r="C1351" t="s">
        <v>4</v>
      </c>
      <c r="D1351" t="s">
        <v>6351</v>
      </c>
      <c r="E1351">
        <v>3</v>
      </c>
      <c r="F1351" t="str">
        <f>IF(AND(Entities[[#This Row],[ENT_TYPE]]="County",RIGHT(Entities[[#This Row],[ENT_NAME]],6)&lt;&gt;"County"),_xlfn.TEXTJOIN(" ",TRUE,Entities[[#This Row],[ENT_NAME]],"County"),Entities[[#This Row],[ENT_NAME]])</f>
        <v>North Fort Worth WCID 1</v>
      </c>
    </row>
    <row r="1352" spans="1:6" x14ac:dyDescent="0.25">
      <c r="A1352" s="302" t="s">
        <v>6352</v>
      </c>
      <c r="B1352" s="303" t="str">
        <f t="shared" si="21"/>
        <v>x03001772</v>
      </c>
      <c r="C1352" t="s">
        <v>4</v>
      </c>
      <c r="D1352" t="s">
        <v>6353</v>
      </c>
      <c r="E1352">
        <v>3</v>
      </c>
      <c r="F1352" t="str">
        <f>IF(AND(Entities[[#This Row],[ENT_TYPE]]="County",RIGHT(Entities[[#This Row],[ENT_NAME]],6)&lt;&gt;"County"),_xlfn.TEXTJOIN(" ",TRUE,Entities[[#This Row],[ENT_NAME]],"County"),Entities[[#This Row],[ENT_NAME]])</f>
        <v>Rockwall County Consolidated MUD 2</v>
      </c>
    </row>
    <row r="1353" spans="1:6" x14ac:dyDescent="0.25">
      <c r="A1353" s="302" t="s">
        <v>6354</v>
      </c>
      <c r="B1353" s="303" t="str">
        <f t="shared" si="21"/>
        <v>x03001774</v>
      </c>
      <c r="C1353" t="s">
        <v>4</v>
      </c>
      <c r="D1353" t="s">
        <v>6355</v>
      </c>
      <c r="E1353">
        <v>3</v>
      </c>
      <c r="F1353" t="str">
        <f>IF(AND(Entities[[#This Row],[ENT_TYPE]]="County",RIGHT(Entities[[#This Row],[ENT_NAME]],6)&lt;&gt;"County"),_xlfn.TEXTJOIN(" ",TRUE,Entities[[#This Row],[ENT_NAME]],"County"),Entities[[#This Row],[ENT_NAME]])</f>
        <v>Oak Point WCID 1</v>
      </c>
    </row>
    <row r="1354" spans="1:6" x14ac:dyDescent="0.25">
      <c r="A1354" s="302" t="s">
        <v>6356</v>
      </c>
      <c r="B1354" s="303" t="str">
        <f t="shared" si="21"/>
        <v>x03001802</v>
      </c>
      <c r="C1354" t="s">
        <v>4</v>
      </c>
      <c r="D1354" t="s">
        <v>6357</v>
      </c>
      <c r="E1354">
        <v>3</v>
      </c>
      <c r="F1354" t="str">
        <f>IF(AND(Entities[[#This Row],[ENT_TYPE]]="County",RIGHT(Entities[[#This Row],[ENT_NAME]],6)&lt;&gt;"County"),_xlfn.TEXTJOIN(" ",TRUE,Entities[[#This Row],[ENT_NAME]],"County"),Entities[[#This Row],[ENT_NAME]])</f>
        <v>Denton County FWSD 3</v>
      </c>
    </row>
    <row r="1355" spans="1:6" x14ac:dyDescent="0.25">
      <c r="A1355" s="302" t="s">
        <v>6358</v>
      </c>
      <c r="B1355" s="303" t="str">
        <f t="shared" si="21"/>
        <v>x03001825</v>
      </c>
      <c r="C1355" t="s">
        <v>4</v>
      </c>
      <c r="D1355" t="s">
        <v>6359</v>
      </c>
      <c r="E1355">
        <v>3</v>
      </c>
      <c r="F1355" t="str">
        <f>IF(AND(Entities[[#This Row],[ENT_TYPE]]="County",RIGHT(Entities[[#This Row],[ENT_NAME]],6)&lt;&gt;"County"),_xlfn.TEXTJOIN(" ",TRUE,Entities[[#This Row],[ENT_NAME]],"County"),Entities[[#This Row],[ENT_NAME]])</f>
        <v>Dallas County LID14</v>
      </c>
    </row>
    <row r="1356" spans="1:6" x14ac:dyDescent="0.25">
      <c r="A1356" s="302" t="s">
        <v>6360</v>
      </c>
      <c r="B1356" s="303" t="str">
        <f t="shared" si="21"/>
        <v>x03001826</v>
      </c>
      <c r="C1356" t="s">
        <v>4</v>
      </c>
      <c r="D1356" t="s">
        <v>6361</v>
      </c>
      <c r="E1356">
        <v>3</v>
      </c>
      <c r="F1356" t="str">
        <f>IF(AND(Entities[[#This Row],[ENT_TYPE]]="County",RIGHT(Entities[[#This Row],[ENT_NAME]],6)&lt;&gt;"County"),_xlfn.TEXTJOIN(" ",TRUE,Entities[[#This Row],[ENT_NAME]],"County"),Entities[[#This Row],[ENT_NAME]])</f>
        <v>Denton County Development District 4</v>
      </c>
    </row>
    <row r="1357" spans="1:6" x14ac:dyDescent="0.25">
      <c r="A1357" s="302" t="s">
        <v>6362</v>
      </c>
      <c r="B1357" s="303" t="str">
        <f t="shared" si="21"/>
        <v>x03001827</v>
      </c>
      <c r="C1357" t="s">
        <v>4</v>
      </c>
      <c r="D1357" t="s">
        <v>6363</v>
      </c>
      <c r="E1357">
        <v>3</v>
      </c>
      <c r="F1357" t="str">
        <f>IF(AND(Entities[[#This Row],[ENT_TYPE]]="County",RIGHT(Entities[[#This Row],[ENT_NAME]],6)&lt;&gt;"County"),_xlfn.TEXTJOIN(" ",TRUE,Entities[[#This Row],[ENT_NAME]],"County"),Entities[[#This Row],[ENT_NAME]])</f>
        <v>Ellis County Drainage District 1</v>
      </c>
    </row>
    <row r="1358" spans="1:6" x14ac:dyDescent="0.25">
      <c r="A1358" s="302" t="s">
        <v>6364</v>
      </c>
      <c r="B1358" s="303" t="str">
        <f t="shared" si="21"/>
        <v>x03001832</v>
      </c>
      <c r="C1358" t="s">
        <v>4</v>
      </c>
      <c r="D1358" t="s">
        <v>6365</v>
      </c>
      <c r="E1358">
        <v>3</v>
      </c>
      <c r="F1358" t="str">
        <f>IF(AND(Entities[[#This Row],[ENT_TYPE]]="County",RIGHT(Entities[[#This Row],[ENT_NAME]],6)&lt;&gt;"County"),_xlfn.TEXTJOIN(" ",TRUE,Entities[[#This Row],[ENT_NAME]],"County"),Entities[[#This Row],[ENT_NAME]])</f>
        <v>McKinney MUD 2 of Collin County</v>
      </c>
    </row>
    <row r="1359" spans="1:6" x14ac:dyDescent="0.25">
      <c r="A1359" s="302" t="s">
        <v>6366</v>
      </c>
      <c r="B1359" s="303" t="str">
        <f t="shared" si="21"/>
        <v>x03001836</v>
      </c>
      <c r="C1359" t="s">
        <v>4</v>
      </c>
      <c r="D1359" t="s">
        <v>6367</v>
      </c>
      <c r="E1359">
        <v>3</v>
      </c>
      <c r="F1359" t="str">
        <f>IF(AND(Entities[[#This Row],[ENT_TYPE]]="County",RIGHT(Entities[[#This Row],[ENT_NAME]],6)&lt;&gt;"County"),_xlfn.TEXTJOIN(" ",TRUE,Entities[[#This Row],[ENT_NAME]],"County"),Entities[[#This Row],[ENT_NAME]])</f>
        <v>Denton County MUD 10</v>
      </c>
    </row>
    <row r="1360" spans="1:6" x14ac:dyDescent="0.25">
      <c r="A1360" s="302" t="s">
        <v>6368</v>
      </c>
      <c r="B1360" s="303" t="str">
        <f t="shared" si="21"/>
        <v>x03001862</v>
      </c>
      <c r="C1360" t="s">
        <v>4</v>
      </c>
      <c r="D1360" t="s">
        <v>6369</v>
      </c>
      <c r="E1360">
        <v>3</v>
      </c>
      <c r="F1360" t="str">
        <f>IF(AND(Entities[[#This Row],[ENT_TYPE]]="County",RIGHT(Entities[[#This Row],[ENT_NAME]],6)&lt;&gt;"County"),_xlfn.TEXTJOIN(" ",TRUE,Entities[[#This Row],[ENT_NAME]],"County"),Entities[[#This Row],[ENT_NAME]])</f>
        <v>River Ranch ID</v>
      </c>
    </row>
    <row r="1361" spans="1:6" x14ac:dyDescent="0.25">
      <c r="A1361" s="302" t="s">
        <v>6370</v>
      </c>
      <c r="B1361" s="303" t="str">
        <f t="shared" si="21"/>
        <v>x03001863</v>
      </c>
      <c r="C1361" t="s">
        <v>4</v>
      </c>
      <c r="D1361" t="s">
        <v>6371</v>
      </c>
      <c r="E1361">
        <v>3</v>
      </c>
      <c r="F1361" t="str">
        <f>IF(AND(Entities[[#This Row],[ENT_TYPE]]="County",RIGHT(Entities[[#This Row],[ENT_NAME]],6)&lt;&gt;"County"),_xlfn.TEXTJOIN(" ",TRUE,Entities[[#This Row],[ENT_NAME]],"County"),Entities[[#This Row],[ENT_NAME]])</f>
        <v>Riverside MUD</v>
      </c>
    </row>
    <row r="1362" spans="1:6" x14ac:dyDescent="0.25">
      <c r="A1362" s="302" t="s">
        <v>6372</v>
      </c>
      <c r="B1362" s="303" t="str">
        <f t="shared" si="21"/>
        <v>x03001874</v>
      </c>
      <c r="C1362" t="s">
        <v>4</v>
      </c>
      <c r="D1362" t="s">
        <v>6373</v>
      </c>
      <c r="E1362">
        <v>3</v>
      </c>
      <c r="F1362" t="str">
        <f>IF(AND(Entities[[#This Row],[ENT_TYPE]]="County",RIGHT(Entities[[#This Row],[ENT_NAME]],6)&lt;&gt;"County"),_xlfn.TEXTJOIN(" ",TRUE,Entities[[#This Row],[ENT_NAME]],"County"),Entities[[#This Row],[ENT_NAME]])</f>
        <v>Howe MUD 1</v>
      </c>
    </row>
    <row r="1363" spans="1:6" x14ac:dyDescent="0.25">
      <c r="A1363" s="302" t="s">
        <v>6374</v>
      </c>
      <c r="B1363" s="303" t="str">
        <f t="shared" si="21"/>
        <v>x03001875</v>
      </c>
      <c r="C1363" t="s">
        <v>4</v>
      </c>
      <c r="D1363" t="s">
        <v>6375</v>
      </c>
      <c r="E1363">
        <v>3</v>
      </c>
      <c r="F1363" t="str">
        <f>IF(AND(Entities[[#This Row],[ENT_TYPE]]="County",RIGHT(Entities[[#This Row],[ENT_NAME]],6)&lt;&gt;"County"),_xlfn.TEXTJOIN(" ",TRUE,Entities[[#This Row],[ENT_NAME]],"County"),Entities[[#This Row],[ENT_NAME]])</f>
        <v>Grayson County MUD 2</v>
      </c>
    </row>
    <row r="1364" spans="1:6" x14ac:dyDescent="0.25">
      <c r="A1364" s="302" t="s">
        <v>6376</v>
      </c>
      <c r="B1364" s="303" t="str">
        <f t="shared" si="21"/>
        <v>x03001887</v>
      </c>
      <c r="C1364" t="s">
        <v>4</v>
      </c>
      <c r="D1364" t="s">
        <v>6377</v>
      </c>
      <c r="E1364">
        <v>3</v>
      </c>
      <c r="F1364" t="str">
        <f>IF(AND(Entities[[#This Row],[ENT_TYPE]]="County",RIGHT(Entities[[#This Row],[ENT_NAME]],6)&lt;&gt;"County"),_xlfn.TEXTJOIN(" ",TRUE,Entities[[#This Row],[ENT_NAME]],"County"),Entities[[#This Row],[ENT_NAME]])</f>
        <v>Canyon Falls WCID 2</v>
      </c>
    </row>
    <row r="1365" spans="1:6" x14ac:dyDescent="0.25">
      <c r="A1365" s="302" t="s">
        <v>6378</v>
      </c>
      <c r="B1365" s="303" t="str">
        <f t="shared" si="21"/>
        <v>x03001907</v>
      </c>
      <c r="C1365" t="s">
        <v>4</v>
      </c>
      <c r="D1365" t="s">
        <v>6379</v>
      </c>
      <c r="E1365">
        <v>3</v>
      </c>
      <c r="F1365" t="str">
        <f>IF(AND(Entities[[#This Row],[ENT_TYPE]]="County",RIGHT(Entities[[#This Row],[ENT_NAME]],6)&lt;&gt;"County"),_xlfn.TEXTJOIN(" ",TRUE,Entities[[#This Row],[ENT_NAME]],"County"),Entities[[#This Row],[ENT_NAME]])</f>
        <v>River Ranch MUD 1</v>
      </c>
    </row>
    <row r="1366" spans="1:6" x14ac:dyDescent="0.25">
      <c r="A1366" s="302" t="s">
        <v>6380</v>
      </c>
      <c r="B1366" s="303" t="str">
        <f t="shared" si="21"/>
        <v>x03001908</v>
      </c>
      <c r="C1366" t="s">
        <v>4</v>
      </c>
      <c r="D1366" t="s">
        <v>6381</v>
      </c>
      <c r="E1366">
        <v>3</v>
      </c>
      <c r="F1366" t="str">
        <f>IF(AND(Entities[[#This Row],[ENT_TYPE]]="County",RIGHT(Entities[[#This Row],[ENT_NAME]],6)&lt;&gt;"County"),_xlfn.TEXTJOIN(" ",TRUE,Entities[[#This Row],[ENT_NAME]],"County"),Entities[[#This Row],[ENT_NAME]])</f>
        <v>River Ranch MUD 2</v>
      </c>
    </row>
    <row r="1367" spans="1:6" x14ac:dyDescent="0.25">
      <c r="A1367" s="302" t="s">
        <v>6382</v>
      </c>
      <c r="B1367" s="303" t="str">
        <f t="shared" si="21"/>
        <v>x03001909</v>
      </c>
      <c r="C1367" t="s">
        <v>4</v>
      </c>
      <c r="D1367" t="s">
        <v>6383</v>
      </c>
      <c r="E1367">
        <v>3</v>
      </c>
      <c r="F1367" t="str">
        <f>IF(AND(Entities[[#This Row],[ENT_TYPE]]="County",RIGHT(Entities[[#This Row],[ENT_NAME]],6)&lt;&gt;"County"),_xlfn.TEXTJOIN(" ",TRUE,Entities[[#This Row],[ENT_NAME]],"County"),Entities[[#This Row],[ENT_NAME]])</f>
        <v>River Ranch MUD 3</v>
      </c>
    </row>
    <row r="1368" spans="1:6" x14ac:dyDescent="0.25">
      <c r="A1368" s="302" t="s">
        <v>6384</v>
      </c>
      <c r="B1368" s="303" t="str">
        <f t="shared" si="21"/>
        <v>x03001910</v>
      </c>
      <c r="C1368" t="s">
        <v>4</v>
      </c>
      <c r="D1368" t="s">
        <v>6385</v>
      </c>
      <c r="E1368">
        <v>3</v>
      </c>
      <c r="F1368" t="str">
        <f>IF(AND(Entities[[#This Row],[ENT_TYPE]]="County",RIGHT(Entities[[#This Row],[ENT_NAME]],6)&lt;&gt;"County"),_xlfn.TEXTJOIN(" ",TRUE,Entities[[#This Row],[ENT_NAME]],"County"),Entities[[#This Row],[ENT_NAME]])</f>
        <v>River Ranch MUD 4</v>
      </c>
    </row>
    <row r="1369" spans="1:6" x14ac:dyDescent="0.25">
      <c r="A1369" s="302" t="s">
        <v>6386</v>
      </c>
      <c r="B1369" s="303" t="str">
        <f t="shared" si="21"/>
        <v>x03001916</v>
      </c>
      <c r="C1369" t="s">
        <v>4</v>
      </c>
      <c r="D1369" t="s">
        <v>6387</v>
      </c>
      <c r="E1369">
        <v>3</v>
      </c>
      <c r="F1369" t="str">
        <f>IF(AND(Entities[[#This Row],[ENT_TYPE]]="County",RIGHT(Entities[[#This Row],[ENT_NAME]],6)&lt;&gt;"County"),_xlfn.TEXTJOIN(" ",TRUE,Entities[[#This Row],[ENT_NAME]],"County"),Entities[[#This Row],[ENT_NAME]])</f>
        <v>Denton County FWSD 1-A</v>
      </c>
    </row>
    <row r="1370" spans="1:6" x14ac:dyDescent="0.25">
      <c r="A1370" s="302" t="s">
        <v>6388</v>
      </c>
      <c r="B1370" s="303" t="str">
        <f t="shared" si="21"/>
        <v>x03001929</v>
      </c>
      <c r="C1370" t="s">
        <v>4</v>
      </c>
      <c r="D1370" t="s">
        <v>6389</v>
      </c>
      <c r="E1370">
        <v>3</v>
      </c>
      <c r="F1370" t="str">
        <f>IF(AND(Entities[[#This Row],[ENT_TYPE]]="County",RIGHT(Entities[[#This Row],[ENT_NAME]],6)&lt;&gt;"County"),_xlfn.TEXTJOIN(" ",TRUE,Entities[[#This Row],[ENT_NAME]],"County"),Entities[[#This Row],[ENT_NAME]])</f>
        <v>Collin County MUD 2</v>
      </c>
    </row>
    <row r="1371" spans="1:6" x14ac:dyDescent="0.25">
      <c r="A1371" s="302" t="s">
        <v>6390</v>
      </c>
      <c r="B1371" s="303" t="str">
        <f t="shared" si="21"/>
        <v>x03001938</v>
      </c>
      <c r="C1371" t="s">
        <v>4</v>
      </c>
      <c r="D1371" t="s">
        <v>6391</v>
      </c>
      <c r="E1371">
        <v>3</v>
      </c>
      <c r="F1371" t="str">
        <f>IF(AND(Entities[[#This Row],[ENT_TYPE]]="County",RIGHT(Entities[[#This Row],[ENT_NAME]],6)&lt;&gt;"County"),_xlfn.TEXTJOIN(" ",TRUE,Entities[[#This Row],[ENT_NAME]],"County"),Entities[[#This Row],[ENT_NAME]])</f>
        <v>River Ranch MUD 10</v>
      </c>
    </row>
    <row r="1372" spans="1:6" x14ac:dyDescent="0.25">
      <c r="A1372" s="302" t="s">
        <v>6392</v>
      </c>
      <c r="B1372" s="303" t="str">
        <f t="shared" si="21"/>
        <v>x03001943</v>
      </c>
      <c r="C1372" t="s">
        <v>4</v>
      </c>
      <c r="D1372" t="s">
        <v>6393</v>
      </c>
      <c r="E1372">
        <v>3</v>
      </c>
      <c r="F1372" t="str">
        <f>IF(AND(Entities[[#This Row],[ENT_TYPE]]="County",RIGHT(Entities[[#This Row],[ENT_NAME]],6)&lt;&gt;"County"),_xlfn.TEXTJOIN(" ",TRUE,Entities[[#This Row],[ENT_NAME]],"County"),Entities[[#This Row],[ENT_NAME]])</f>
        <v>Mesquite Medical Center Management District</v>
      </c>
    </row>
    <row r="1373" spans="1:6" x14ac:dyDescent="0.25">
      <c r="A1373" s="302" t="s">
        <v>6394</v>
      </c>
      <c r="B1373" s="303" t="str">
        <f t="shared" si="21"/>
        <v>x03001945</v>
      </c>
      <c r="C1373" t="s">
        <v>4</v>
      </c>
      <c r="D1373" t="s">
        <v>6395</v>
      </c>
      <c r="E1373">
        <v>3</v>
      </c>
      <c r="F1373" t="str">
        <f>IF(AND(Entities[[#This Row],[ENT_TYPE]]="County",RIGHT(Entities[[#This Row],[ENT_NAME]],6)&lt;&gt;"County"),_xlfn.TEXTJOIN(" ",TRUE,Entities[[#This Row],[ENT_NAME]],"County"),Entities[[#This Row],[ENT_NAME]])</f>
        <v>River Ranch MUD 11</v>
      </c>
    </row>
    <row r="1374" spans="1:6" x14ac:dyDescent="0.25">
      <c r="A1374" s="302" t="s">
        <v>6396</v>
      </c>
      <c r="B1374" s="303" t="str">
        <f t="shared" si="21"/>
        <v>x03001948</v>
      </c>
      <c r="C1374" t="s">
        <v>4</v>
      </c>
      <c r="D1374" t="s">
        <v>6397</v>
      </c>
      <c r="E1374">
        <v>3</v>
      </c>
      <c r="F1374" t="str">
        <f>IF(AND(Entities[[#This Row],[ENT_TYPE]]="County",RIGHT(Entities[[#This Row],[ENT_NAME]],6)&lt;&gt;"County"),_xlfn.TEXTJOIN(" ",TRUE,Entities[[#This Row],[ENT_NAME]],"County"),Entities[[#This Row],[ENT_NAME]])</f>
        <v>River Ranch MUD 12</v>
      </c>
    </row>
    <row r="1375" spans="1:6" x14ac:dyDescent="0.25">
      <c r="A1375" s="302" t="s">
        <v>6398</v>
      </c>
      <c r="B1375" s="303" t="str">
        <f t="shared" si="21"/>
        <v>x03001950</v>
      </c>
      <c r="C1375" t="s">
        <v>4</v>
      </c>
      <c r="D1375" t="s">
        <v>6399</v>
      </c>
      <c r="E1375">
        <v>3</v>
      </c>
      <c r="F1375" t="str">
        <f>IF(AND(Entities[[#This Row],[ENT_TYPE]]="County",RIGHT(Entities[[#This Row],[ENT_NAME]],6)&lt;&gt;"County"),_xlfn.TEXTJOIN(" ",TRUE,Entities[[#This Row],[ENT_NAME]],"County"),Entities[[#This Row],[ENT_NAME]])</f>
        <v>River Ranch MUD 5</v>
      </c>
    </row>
    <row r="1376" spans="1:6" x14ac:dyDescent="0.25">
      <c r="A1376" s="302" t="s">
        <v>6400</v>
      </c>
      <c r="B1376" s="303" t="str">
        <f t="shared" si="21"/>
        <v>x03001951</v>
      </c>
      <c r="C1376" t="s">
        <v>4</v>
      </c>
      <c r="D1376" t="s">
        <v>6401</v>
      </c>
      <c r="E1376">
        <v>3</v>
      </c>
      <c r="F1376" t="str">
        <f>IF(AND(Entities[[#This Row],[ENT_TYPE]]="County",RIGHT(Entities[[#This Row],[ENT_NAME]],6)&lt;&gt;"County"),_xlfn.TEXTJOIN(" ",TRUE,Entities[[#This Row],[ENT_NAME]],"County"),Entities[[#This Row],[ENT_NAME]])</f>
        <v>River Ranch MUD 6</v>
      </c>
    </row>
    <row r="1377" spans="1:6" x14ac:dyDescent="0.25">
      <c r="A1377" s="302" t="s">
        <v>6402</v>
      </c>
      <c r="B1377" s="303" t="str">
        <f t="shared" si="21"/>
        <v>x03001952</v>
      </c>
      <c r="C1377" t="s">
        <v>4</v>
      </c>
      <c r="D1377" t="s">
        <v>6403</v>
      </c>
      <c r="E1377">
        <v>3</v>
      </c>
      <c r="F1377" t="str">
        <f>IF(AND(Entities[[#This Row],[ENT_TYPE]]="County",RIGHT(Entities[[#This Row],[ENT_NAME]],6)&lt;&gt;"County"),_xlfn.TEXTJOIN(" ",TRUE,Entities[[#This Row],[ENT_NAME]],"County"),Entities[[#This Row],[ENT_NAME]])</f>
        <v>River Ranch MUD 7</v>
      </c>
    </row>
    <row r="1378" spans="1:6" x14ac:dyDescent="0.25">
      <c r="A1378" s="302" t="s">
        <v>6404</v>
      </c>
      <c r="B1378" s="303" t="str">
        <f t="shared" si="21"/>
        <v>x03001953</v>
      </c>
      <c r="C1378" t="s">
        <v>4</v>
      </c>
      <c r="D1378" t="s">
        <v>6405</v>
      </c>
      <c r="E1378">
        <v>3</v>
      </c>
      <c r="F1378" t="str">
        <f>IF(AND(Entities[[#This Row],[ENT_TYPE]]="County",RIGHT(Entities[[#This Row],[ENT_NAME]],6)&lt;&gt;"County"),_xlfn.TEXTJOIN(" ",TRUE,Entities[[#This Row],[ENT_NAME]],"County"),Entities[[#This Row],[ENT_NAME]])</f>
        <v>River Ranch MUD 8</v>
      </c>
    </row>
    <row r="1379" spans="1:6" x14ac:dyDescent="0.25">
      <c r="A1379" s="302" t="s">
        <v>6406</v>
      </c>
      <c r="B1379" s="303" t="str">
        <f t="shared" si="21"/>
        <v>x03001954</v>
      </c>
      <c r="C1379" t="s">
        <v>4</v>
      </c>
      <c r="D1379" t="s">
        <v>6407</v>
      </c>
      <c r="E1379">
        <v>3</v>
      </c>
      <c r="F1379" t="str">
        <f>IF(AND(Entities[[#This Row],[ENT_TYPE]]="County",RIGHT(Entities[[#This Row],[ENT_NAME]],6)&lt;&gt;"County"),_xlfn.TEXTJOIN(" ",TRUE,Entities[[#This Row],[ENT_NAME]],"County"),Entities[[#This Row],[ENT_NAME]])</f>
        <v>River Ranch MUD 9</v>
      </c>
    </row>
    <row r="1380" spans="1:6" x14ac:dyDescent="0.25">
      <c r="A1380" s="302" t="s">
        <v>6408</v>
      </c>
      <c r="B1380" s="303" t="str">
        <f t="shared" si="21"/>
        <v>x03001961</v>
      </c>
      <c r="C1380" t="s">
        <v>4</v>
      </c>
      <c r="D1380" t="s">
        <v>6409</v>
      </c>
      <c r="E1380">
        <v>3</v>
      </c>
      <c r="F1380" t="str">
        <f>IF(AND(Entities[[#This Row],[ENT_TYPE]]="County",RIGHT(Entities[[#This Row],[ENT_NAME]],6)&lt;&gt;"County"),_xlfn.TEXTJOIN(" ",TRUE,Entities[[#This Row],[ENT_NAME]],"County"),Entities[[#This Row],[ENT_NAME]])</f>
        <v>South Denton County WCID 1</v>
      </c>
    </row>
    <row r="1381" spans="1:6" x14ac:dyDescent="0.25">
      <c r="A1381" s="302" t="s">
        <v>6410</v>
      </c>
      <c r="B1381" s="303" t="str">
        <f t="shared" si="21"/>
        <v>x03001976</v>
      </c>
      <c r="C1381" t="s">
        <v>4</v>
      </c>
      <c r="D1381" t="s">
        <v>6411</v>
      </c>
      <c r="E1381">
        <v>3</v>
      </c>
      <c r="F1381" t="str">
        <f>IF(AND(Entities[[#This Row],[ENT_TYPE]]="County",RIGHT(Entities[[#This Row],[ENT_NAME]],6)&lt;&gt;"County"),_xlfn.TEXTJOIN(" ",TRUE,Entities[[#This Row],[ENT_NAME]],"County"),Entities[[#This Row],[ENT_NAME]])</f>
        <v>Platinum Ranch MUD 1A</v>
      </c>
    </row>
    <row r="1382" spans="1:6" x14ac:dyDescent="0.25">
      <c r="A1382" s="302" t="s">
        <v>6412</v>
      </c>
      <c r="B1382" s="303" t="str">
        <f t="shared" si="21"/>
        <v>x03001977</v>
      </c>
      <c r="C1382" t="s">
        <v>4</v>
      </c>
      <c r="D1382" t="s">
        <v>6413</v>
      </c>
      <c r="E1382">
        <v>3</v>
      </c>
      <c r="F1382" t="str">
        <f>IF(AND(Entities[[#This Row],[ENT_TYPE]]="County",RIGHT(Entities[[#This Row],[ENT_NAME]],6)&lt;&gt;"County"),_xlfn.TEXTJOIN(" ",TRUE,Entities[[#This Row],[ENT_NAME]],"County"),Entities[[#This Row],[ENT_NAME]])</f>
        <v>Platinum Ranch MUD 1B</v>
      </c>
    </row>
    <row r="1383" spans="1:6" x14ac:dyDescent="0.25">
      <c r="A1383" s="302" t="s">
        <v>6414</v>
      </c>
      <c r="B1383" s="303" t="str">
        <f t="shared" si="21"/>
        <v>x03001986</v>
      </c>
      <c r="C1383" t="s">
        <v>4</v>
      </c>
      <c r="D1383" t="s">
        <v>6415</v>
      </c>
      <c r="E1383">
        <v>3</v>
      </c>
      <c r="F1383" t="str">
        <f>IF(AND(Entities[[#This Row],[ENT_TYPE]]="County",RIGHT(Entities[[#This Row],[ENT_NAME]],6)&lt;&gt;"County"),_xlfn.TEXTJOIN(" ",TRUE,Entities[[#This Row],[ENT_NAME]],"County"),Entities[[#This Row],[ENT_NAME]])</f>
        <v>Kaufman County FWSD 1E</v>
      </c>
    </row>
    <row r="1384" spans="1:6" x14ac:dyDescent="0.25">
      <c r="A1384" s="302" t="s">
        <v>6416</v>
      </c>
      <c r="B1384" s="303" t="str">
        <f t="shared" si="21"/>
        <v>x03001987</v>
      </c>
      <c r="C1384" t="s">
        <v>4</v>
      </c>
      <c r="D1384" t="s">
        <v>6417</v>
      </c>
      <c r="E1384">
        <v>3</v>
      </c>
      <c r="F1384" t="str">
        <f>IF(AND(Entities[[#This Row],[ENT_TYPE]]="County",RIGHT(Entities[[#This Row],[ENT_NAME]],6)&lt;&gt;"County"),_xlfn.TEXTJOIN(" ",TRUE,Entities[[#This Row],[ENT_NAME]],"County"),Entities[[#This Row],[ENT_NAME]])</f>
        <v>Walden Pond WCID</v>
      </c>
    </row>
    <row r="1385" spans="1:6" x14ac:dyDescent="0.25">
      <c r="A1385" s="302" t="s">
        <v>6418</v>
      </c>
      <c r="B1385" s="303" t="str">
        <f t="shared" si="21"/>
        <v>x03001992</v>
      </c>
      <c r="C1385" t="s">
        <v>4</v>
      </c>
      <c r="D1385" t="s">
        <v>6419</v>
      </c>
      <c r="E1385">
        <v>3</v>
      </c>
      <c r="F1385" t="str">
        <f>IF(AND(Entities[[#This Row],[ENT_TYPE]]="County",RIGHT(Entities[[#This Row],[ENT_NAME]],6)&lt;&gt;"County"),_xlfn.TEXTJOIN(" ",TRUE,Entities[[#This Row],[ENT_NAME]],"County"),Entities[[#This Row],[ENT_NAME]])</f>
        <v>Denton County FWSD 1-E</v>
      </c>
    </row>
    <row r="1386" spans="1:6" x14ac:dyDescent="0.25">
      <c r="A1386" s="302" t="s">
        <v>6420</v>
      </c>
      <c r="B1386" s="303" t="str">
        <f t="shared" si="21"/>
        <v>x03001993</v>
      </c>
      <c r="C1386" t="s">
        <v>4</v>
      </c>
      <c r="D1386" t="s">
        <v>6421</v>
      </c>
      <c r="E1386">
        <v>3</v>
      </c>
      <c r="F1386" t="str">
        <f>IF(AND(Entities[[#This Row],[ENT_TYPE]]="County",RIGHT(Entities[[#This Row],[ENT_NAME]],6)&lt;&gt;"County"),_xlfn.TEXTJOIN(" ",TRUE,Entities[[#This Row],[ENT_NAME]],"County"),Entities[[#This Row],[ENT_NAME]])</f>
        <v>Denton County FWSD 1-B</v>
      </c>
    </row>
    <row r="1387" spans="1:6" x14ac:dyDescent="0.25">
      <c r="A1387" s="302" t="s">
        <v>6422</v>
      </c>
      <c r="B1387" s="303" t="str">
        <f t="shared" si="21"/>
        <v>x03002001</v>
      </c>
      <c r="C1387" t="s">
        <v>4</v>
      </c>
      <c r="D1387" t="s">
        <v>6423</v>
      </c>
      <c r="E1387">
        <v>3</v>
      </c>
      <c r="F1387" t="str">
        <f>IF(AND(Entities[[#This Row],[ENT_TYPE]]="County",RIGHT(Entities[[#This Row],[ENT_NAME]],6)&lt;&gt;"County"),_xlfn.TEXTJOIN(" ",TRUE,Entities[[#This Row],[ENT_NAME]],"County"),Entities[[#This Row],[ENT_NAME]])</f>
        <v>Denton County FWSD 1-G</v>
      </c>
    </row>
    <row r="1388" spans="1:6" x14ac:dyDescent="0.25">
      <c r="A1388" s="302" t="s">
        <v>6424</v>
      </c>
      <c r="B1388" s="303" t="str">
        <f t="shared" si="21"/>
        <v>x03002017</v>
      </c>
      <c r="C1388" t="s">
        <v>4</v>
      </c>
      <c r="D1388" t="s">
        <v>6425</v>
      </c>
      <c r="E1388">
        <v>3</v>
      </c>
      <c r="F1388" t="str">
        <f>IF(AND(Entities[[#This Row],[ENT_TYPE]]="County",RIGHT(Entities[[#This Row],[ENT_NAME]],6)&lt;&gt;"County"),_xlfn.TEXTJOIN(" ",TRUE,Entities[[#This Row],[ENT_NAME]],"County"),Entities[[#This Row],[ENT_NAME]])</f>
        <v>Lazy W District 1</v>
      </c>
    </row>
    <row r="1389" spans="1:6" x14ac:dyDescent="0.25">
      <c r="A1389" s="302" t="s">
        <v>6426</v>
      </c>
      <c r="B1389" s="303" t="str">
        <f t="shared" si="21"/>
        <v>x03002018</v>
      </c>
      <c r="C1389" t="s">
        <v>4</v>
      </c>
      <c r="D1389" t="s">
        <v>6427</v>
      </c>
      <c r="E1389">
        <v>3</v>
      </c>
      <c r="F1389" t="str">
        <f>IF(AND(Entities[[#This Row],[ENT_TYPE]]="County",RIGHT(Entities[[#This Row],[ENT_NAME]],6)&lt;&gt;"County"),_xlfn.TEXTJOIN(" ",TRUE,Entities[[#This Row],[ENT_NAME]],"County"),Entities[[#This Row],[ENT_NAME]])</f>
        <v>Wilmer MUD 1</v>
      </c>
    </row>
    <row r="1390" spans="1:6" x14ac:dyDescent="0.25">
      <c r="A1390" s="302" t="s">
        <v>6428</v>
      </c>
      <c r="B1390" s="303" t="str">
        <f t="shared" si="21"/>
        <v>x03002024</v>
      </c>
      <c r="C1390" t="s">
        <v>4</v>
      </c>
      <c r="D1390" t="s">
        <v>6429</v>
      </c>
      <c r="E1390">
        <v>3</v>
      </c>
      <c r="F1390" t="str">
        <f>IF(AND(Entities[[#This Row],[ENT_TYPE]]="County",RIGHT(Entities[[#This Row],[ENT_NAME]],6)&lt;&gt;"County"),_xlfn.TEXTJOIN(" ",TRUE,Entities[[#This Row],[ENT_NAME]],"County"),Entities[[#This Row],[ENT_NAME]])</f>
        <v>Celina MMD 3</v>
      </c>
    </row>
    <row r="1391" spans="1:6" x14ac:dyDescent="0.25">
      <c r="A1391" s="302" t="s">
        <v>6430</v>
      </c>
      <c r="B1391" s="303" t="str">
        <f t="shared" si="21"/>
        <v>x03002031</v>
      </c>
      <c r="C1391" t="s">
        <v>4</v>
      </c>
      <c r="D1391" t="s">
        <v>6431</v>
      </c>
      <c r="E1391">
        <v>3</v>
      </c>
      <c r="F1391" t="str">
        <f>IF(AND(Entities[[#This Row],[ENT_TYPE]]="County",RIGHT(Entities[[#This Row],[ENT_NAME]],6)&lt;&gt;"County"),_xlfn.TEXTJOIN(" ",TRUE,Entities[[#This Row],[ENT_NAME]],"County"),Entities[[#This Row],[ENT_NAME]])</f>
        <v>Talley Ranch WCID 1 of Denton County</v>
      </c>
    </row>
    <row r="1392" spans="1:6" x14ac:dyDescent="0.25">
      <c r="A1392" s="302" t="s">
        <v>6432</v>
      </c>
      <c r="B1392" s="303" t="str">
        <f t="shared" si="21"/>
        <v>x03002032</v>
      </c>
      <c r="C1392" t="s">
        <v>4</v>
      </c>
      <c r="D1392" t="s">
        <v>6433</v>
      </c>
      <c r="E1392">
        <v>3</v>
      </c>
      <c r="F1392" t="str">
        <f>IF(AND(Entities[[#This Row],[ENT_TYPE]]="County",RIGHT(Entities[[#This Row],[ENT_NAME]],6)&lt;&gt;"County"),_xlfn.TEXTJOIN(" ",TRUE,Entities[[#This Row],[ENT_NAME]],"County"),Entities[[#This Row],[ENT_NAME]])</f>
        <v>Ellis County MUD 1</v>
      </c>
    </row>
    <row r="1393" spans="1:6" x14ac:dyDescent="0.25">
      <c r="A1393" s="302" t="s">
        <v>6434</v>
      </c>
      <c r="B1393" s="303" t="str">
        <f t="shared" si="21"/>
        <v>x03002040</v>
      </c>
      <c r="C1393" t="s">
        <v>4</v>
      </c>
      <c r="D1393" t="s">
        <v>6435</v>
      </c>
      <c r="E1393">
        <v>3</v>
      </c>
      <c r="F1393" t="str">
        <f>IF(AND(Entities[[#This Row],[ENT_TYPE]]="County",RIGHT(Entities[[#This Row],[ENT_NAME]],6)&lt;&gt;"County"),_xlfn.TEXTJOIN(" ",TRUE,Entities[[#This Row],[ENT_NAME]],"County"),Entities[[#This Row],[ENT_NAME]])</f>
        <v>Collin County WCID 3</v>
      </c>
    </row>
    <row r="1394" spans="1:6" x14ac:dyDescent="0.25">
      <c r="A1394" s="302" t="s">
        <v>6436</v>
      </c>
      <c r="B1394" s="303" t="str">
        <f t="shared" si="21"/>
        <v>x03002041</v>
      </c>
      <c r="C1394" t="s">
        <v>4</v>
      </c>
      <c r="D1394" t="s">
        <v>6437</v>
      </c>
      <c r="E1394">
        <v>3</v>
      </c>
      <c r="F1394" t="str">
        <f>IF(AND(Entities[[#This Row],[ENT_TYPE]]="County",RIGHT(Entities[[#This Row],[ENT_NAME]],6)&lt;&gt;"County"),_xlfn.TEXTJOIN(" ",TRUE,Entities[[#This Row],[ENT_NAME]],"County"),Entities[[#This Row],[ENT_NAME]])</f>
        <v>Lakehaven MUD</v>
      </c>
    </row>
    <row r="1395" spans="1:6" x14ac:dyDescent="0.25">
      <c r="A1395" s="302" t="s">
        <v>6438</v>
      </c>
      <c r="B1395" s="303" t="str">
        <f t="shared" si="21"/>
        <v>x03002086</v>
      </c>
      <c r="C1395" t="s">
        <v>4</v>
      </c>
      <c r="D1395" t="s">
        <v>6439</v>
      </c>
      <c r="E1395">
        <v>3</v>
      </c>
      <c r="F1395" t="str">
        <f>IF(AND(Entities[[#This Row],[ENT_TYPE]]="County",RIGHT(Entities[[#This Row],[ENT_NAME]],6)&lt;&gt;"County"),_xlfn.TEXTJOIN(" ",TRUE,Entities[[#This Row],[ENT_NAME]],"County"),Entities[[#This Row],[ENT_NAME]])</f>
        <v>Mobberly MUD</v>
      </c>
    </row>
    <row r="1396" spans="1:6" x14ac:dyDescent="0.25">
      <c r="A1396" s="302" t="s">
        <v>6440</v>
      </c>
      <c r="B1396" s="303" t="str">
        <f t="shared" si="21"/>
        <v>x03002092</v>
      </c>
      <c r="C1396" t="s">
        <v>4</v>
      </c>
      <c r="D1396" t="s">
        <v>6441</v>
      </c>
      <c r="E1396">
        <v>3</v>
      </c>
      <c r="F1396" t="str">
        <f>IF(AND(Entities[[#This Row],[ENT_TYPE]]="County",RIGHT(Entities[[#This Row],[ENT_NAME]],6)&lt;&gt;"County"),_xlfn.TEXTJOIN(" ",TRUE,Entities[[#This Row],[ENT_NAME]],"County"),Entities[[#This Row],[ENT_NAME]])</f>
        <v>Las Lomas MUD 4A of Kaufman County</v>
      </c>
    </row>
    <row r="1397" spans="1:6" x14ac:dyDescent="0.25">
      <c r="A1397" s="302" t="s">
        <v>6442</v>
      </c>
      <c r="B1397" s="303" t="str">
        <f t="shared" si="21"/>
        <v>x03002093</v>
      </c>
      <c r="C1397" t="s">
        <v>4</v>
      </c>
      <c r="D1397" t="s">
        <v>6443</v>
      </c>
      <c r="E1397">
        <v>3</v>
      </c>
      <c r="F1397" t="str">
        <f>IF(AND(Entities[[#This Row],[ENT_TYPE]]="County",RIGHT(Entities[[#This Row],[ENT_NAME]],6)&lt;&gt;"County"),_xlfn.TEXTJOIN(" ",TRUE,Entities[[#This Row],[ENT_NAME]],"County"),Entities[[#This Row],[ENT_NAME]])</f>
        <v>Las Lomas MUD 4B of Kaufman County</v>
      </c>
    </row>
    <row r="1398" spans="1:6" x14ac:dyDescent="0.25">
      <c r="A1398" s="302" t="s">
        <v>6444</v>
      </c>
      <c r="B1398" s="303" t="str">
        <f t="shared" si="21"/>
        <v>x03002094</v>
      </c>
      <c r="C1398" t="s">
        <v>4</v>
      </c>
      <c r="D1398" t="s">
        <v>6445</v>
      </c>
      <c r="E1398">
        <v>3</v>
      </c>
      <c r="F1398" t="str">
        <f>IF(AND(Entities[[#This Row],[ENT_TYPE]]="County",RIGHT(Entities[[#This Row],[ENT_NAME]],6)&lt;&gt;"County"),_xlfn.TEXTJOIN(" ",TRUE,Entities[[#This Row],[ENT_NAME]],"County"),Entities[[#This Row],[ENT_NAME]])</f>
        <v>Las Lomas MUD 4C of Kaufman County</v>
      </c>
    </row>
    <row r="1399" spans="1:6" x14ac:dyDescent="0.25">
      <c r="A1399" s="302" t="s">
        <v>6446</v>
      </c>
      <c r="B1399" s="303" t="str">
        <f t="shared" si="21"/>
        <v>x03002097</v>
      </c>
      <c r="C1399" t="s">
        <v>4</v>
      </c>
      <c r="D1399" t="s">
        <v>6447</v>
      </c>
      <c r="E1399">
        <v>3</v>
      </c>
      <c r="F1399" t="str">
        <f>IF(AND(Entities[[#This Row],[ENT_TYPE]]="County",RIGHT(Entities[[#This Row],[ENT_NAME]],6)&lt;&gt;"County"),_xlfn.TEXTJOIN(" ",TRUE,Entities[[#This Row],[ENT_NAME]],"County"),Entities[[#This Row],[ENT_NAME]])</f>
        <v>Highway 380 MMD 1</v>
      </c>
    </row>
    <row r="1400" spans="1:6" x14ac:dyDescent="0.25">
      <c r="A1400" s="302" t="s">
        <v>6448</v>
      </c>
      <c r="B1400" s="303" t="str">
        <f t="shared" si="21"/>
        <v>x03002103</v>
      </c>
      <c r="C1400" t="s">
        <v>4</v>
      </c>
      <c r="D1400" t="s">
        <v>6449</v>
      </c>
      <c r="E1400">
        <v>3</v>
      </c>
      <c r="F1400" t="str">
        <f>IF(AND(Entities[[#This Row],[ENT_TYPE]]="County",RIGHT(Entities[[#This Row],[ENT_NAME]],6)&lt;&gt;"County"),_xlfn.TEXTJOIN(" ",TRUE,Entities[[#This Row],[ENT_NAME]],"County"),Entities[[#This Row],[ENT_NAME]])</f>
        <v>McKinney MUD 1 of Collin County</v>
      </c>
    </row>
    <row r="1401" spans="1:6" x14ac:dyDescent="0.25">
      <c r="A1401" s="302" t="s">
        <v>6450</v>
      </c>
      <c r="B1401" s="303" t="str">
        <f t="shared" si="21"/>
        <v>x03002111</v>
      </c>
      <c r="C1401" t="s">
        <v>4</v>
      </c>
      <c r="D1401" t="s">
        <v>6451</v>
      </c>
      <c r="E1401">
        <v>3</v>
      </c>
      <c r="F1401" t="str">
        <f>IF(AND(Entities[[#This Row],[ENT_TYPE]]="County",RIGHT(Entities[[#This Row],[ENT_NAME]],6)&lt;&gt;"County"),_xlfn.TEXTJOIN(" ",TRUE,Entities[[#This Row],[ENT_NAME]],"County"),Entities[[#This Row],[ENT_NAME]])</f>
        <v>Dallas County FCD 1</v>
      </c>
    </row>
    <row r="1402" spans="1:6" x14ac:dyDescent="0.25">
      <c r="A1402" s="302" t="s">
        <v>6452</v>
      </c>
      <c r="B1402" s="303" t="str">
        <f t="shared" si="21"/>
        <v>x03002116</v>
      </c>
      <c r="C1402" t="s">
        <v>4</v>
      </c>
      <c r="D1402" t="s">
        <v>6453</v>
      </c>
      <c r="E1402">
        <v>3</v>
      </c>
      <c r="F1402" t="str">
        <f>IF(AND(Entities[[#This Row],[ENT_TYPE]]="County",RIGHT(Entities[[#This Row],[ENT_NAME]],6)&lt;&gt;"County"),_xlfn.TEXTJOIN(" ",TRUE,Entities[[#This Row],[ENT_NAME]],"County"),Entities[[#This Row],[ENT_NAME]])</f>
        <v>Frisco West WCID</v>
      </c>
    </row>
    <row r="1403" spans="1:6" x14ac:dyDescent="0.25">
      <c r="A1403" s="302" t="s">
        <v>6454</v>
      </c>
      <c r="B1403" s="303" t="str">
        <f t="shared" si="21"/>
        <v>x03002135</v>
      </c>
      <c r="C1403" t="s">
        <v>4</v>
      </c>
      <c r="D1403" t="s">
        <v>6455</v>
      </c>
      <c r="E1403">
        <v>3</v>
      </c>
      <c r="F1403" t="str">
        <f>IF(AND(Entities[[#This Row],[ENT_TYPE]]="County",RIGHT(Entities[[#This Row],[ENT_NAME]],6)&lt;&gt;"County"),_xlfn.TEXTJOIN(" ",TRUE,Entities[[#This Row],[ENT_NAME]],"County"),Entities[[#This Row],[ENT_NAME]])</f>
        <v>River Ranch MUD 13</v>
      </c>
    </row>
    <row r="1404" spans="1:6" x14ac:dyDescent="0.25">
      <c r="A1404" s="302" t="s">
        <v>6456</v>
      </c>
      <c r="B1404" s="303" t="str">
        <f t="shared" si="21"/>
        <v>x03002136</v>
      </c>
      <c r="C1404" t="s">
        <v>4</v>
      </c>
      <c r="D1404" t="s">
        <v>6457</v>
      </c>
      <c r="E1404">
        <v>3</v>
      </c>
      <c r="F1404" t="str">
        <f>IF(AND(Entities[[#This Row],[ENT_TYPE]]="County",RIGHT(Entities[[#This Row],[ENT_NAME]],6)&lt;&gt;"County"),_xlfn.TEXTJOIN(" ",TRUE,Entities[[#This Row],[ENT_NAME]],"County"),Entities[[#This Row],[ENT_NAME]])</f>
        <v>River Ranch MUD 15</v>
      </c>
    </row>
    <row r="1405" spans="1:6" x14ac:dyDescent="0.25">
      <c r="A1405" s="302" t="s">
        <v>6458</v>
      </c>
      <c r="B1405" s="303" t="str">
        <f t="shared" si="21"/>
        <v>x03002137</v>
      </c>
      <c r="C1405" t="s">
        <v>4</v>
      </c>
      <c r="D1405" t="s">
        <v>6459</v>
      </c>
      <c r="E1405">
        <v>3</v>
      </c>
      <c r="F1405" t="str">
        <f>IF(AND(Entities[[#This Row],[ENT_TYPE]]="County",RIGHT(Entities[[#This Row],[ENT_NAME]],6)&lt;&gt;"County"),_xlfn.TEXTJOIN(" ",TRUE,Entities[[#This Row],[ENT_NAME]],"County"),Entities[[#This Row],[ENT_NAME]])</f>
        <v>River Ranch MUD 14</v>
      </c>
    </row>
    <row r="1406" spans="1:6" x14ac:dyDescent="0.25">
      <c r="A1406" s="302" t="s">
        <v>6460</v>
      </c>
      <c r="B1406" s="303" t="str">
        <f t="shared" si="21"/>
        <v>x03002141</v>
      </c>
      <c r="C1406" t="s">
        <v>4</v>
      </c>
      <c r="D1406" t="s">
        <v>6461</v>
      </c>
      <c r="E1406">
        <v>3</v>
      </c>
      <c r="F1406" t="str">
        <f>IF(AND(Entities[[#This Row],[ENT_TYPE]]="County",RIGHT(Entities[[#This Row],[ENT_NAME]],6)&lt;&gt;"County"),_xlfn.TEXTJOIN(" ",TRUE,Entities[[#This Row],[ENT_NAME]],"County"),Entities[[#This Row],[ENT_NAME]])</f>
        <v>Kaufman County FWSD 1F</v>
      </c>
    </row>
    <row r="1407" spans="1:6" x14ac:dyDescent="0.25">
      <c r="A1407" s="302" t="s">
        <v>6462</v>
      </c>
      <c r="B1407" s="303" t="str">
        <f t="shared" si="21"/>
        <v>x03002153</v>
      </c>
      <c r="C1407" t="s">
        <v>4</v>
      </c>
      <c r="D1407" t="s">
        <v>6463</v>
      </c>
      <c r="E1407">
        <v>3</v>
      </c>
      <c r="F1407" t="str">
        <f>IF(AND(Entities[[#This Row],[ENT_TYPE]]="County",RIGHT(Entities[[#This Row],[ENT_NAME]],6)&lt;&gt;"County"),_xlfn.TEXTJOIN(" ",TRUE,Entities[[#This Row],[ENT_NAME]],"County"),Entities[[#This Row],[ENT_NAME]])</f>
        <v>Lake View Management and Development District</v>
      </c>
    </row>
    <row r="1408" spans="1:6" x14ac:dyDescent="0.25">
      <c r="A1408" s="302" t="s">
        <v>6464</v>
      </c>
      <c r="B1408" s="303" t="str">
        <f t="shared" si="21"/>
        <v>x03002164</v>
      </c>
      <c r="C1408" t="s">
        <v>4</v>
      </c>
      <c r="D1408" t="s">
        <v>6465</v>
      </c>
      <c r="E1408">
        <v>3</v>
      </c>
      <c r="F1408" t="str">
        <f>IF(AND(Entities[[#This Row],[ENT_TYPE]]="County",RIGHT(Entities[[#This Row],[ENT_NAME]],6)&lt;&gt;"County"),_xlfn.TEXTJOIN(" ",TRUE,Entities[[#This Row],[ENT_NAME]],"County"),Entities[[#This Row],[ENT_NAME]])</f>
        <v>Denton County Reclamation &amp; Road District</v>
      </c>
    </row>
    <row r="1409" spans="1:6" x14ac:dyDescent="0.25">
      <c r="A1409" s="302" t="s">
        <v>6466</v>
      </c>
      <c r="B1409" s="303" t="str">
        <f t="shared" si="21"/>
        <v>x03002178</v>
      </c>
      <c r="C1409" t="s">
        <v>4</v>
      </c>
      <c r="D1409" t="s">
        <v>6467</v>
      </c>
      <c r="E1409">
        <v>3</v>
      </c>
      <c r="F1409" t="str">
        <f>IF(AND(Entities[[#This Row],[ENT_TYPE]]="County",RIGHT(Entities[[#This Row],[ENT_NAME]],6)&lt;&gt;"County"),_xlfn.TEXTJOIN(" ",TRUE,Entities[[#This Row],[ENT_NAME]],"County"),Entities[[#This Row],[ENT_NAME]])</f>
        <v>Far North Fort Worth MUD 1</v>
      </c>
    </row>
    <row r="1410" spans="1:6" x14ac:dyDescent="0.25">
      <c r="A1410" s="302" t="s">
        <v>6468</v>
      </c>
      <c r="B1410" s="303" t="str">
        <f t="shared" ref="B1410:B1473" si="22">_xlfn.CONCAT("x",TEXT(A1410,"00000000"))</f>
        <v>x03002191</v>
      </c>
      <c r="C1410" t="s">
        <v>4</v>
      </c>
      <c r="D1410" t="s">
        <v>6469</v>
      </c>
      <c r="E1410">
        <v>3</v>
      </c>
      <c r="F1410" t="str">
        <f>IF(AND(Entities[[#This Row],[ENT_TYPE]]="County",RIGHT(Entities[[#This Row],[ENT_NAME]],6)&lt;&gt;"County"),_xlfn.TEXTJOIN(" ",TRUE,Entities[[#This Row],[ENT_NAME]],"County"),Entities[[#This Row],[ENT_NAME]])</f>
        <v>Smiley Road WCID 2</v>
      </c>
    </row>
    <row r="1411" spans="1:6" x14ac:dyDescent="0.25">
      <c r="A1411" s="302" t="s">
        <v>6470</v>
      </c>
      <c r="B1411" s="303" t="str">
        <f t="shared" si="22"/>
        <v>x03002192</v>
      </c>
      <c r="C1411" t="s">
        <v>4</v>
      </c>
      <c r="D1411" t="s">
        <v>6471</v>
      </c>
      <c r="E1411">
        <v>3</v>
      </c>
      <c r="F1411" t="str">
        <f>IF(AND(Entities[[#This Row],[ENT_TYPE]]="County",RIGHT(Entities[[#This Row],[ENT_NAME]],6)&lt;&gt;"County"),_xlfn.TEXTJOIN(" ",TRUE,Entities[[#This Row],[ENT_NAME]],"County"),Entities[[#This Row],[ENT_NAME]])</f>
        <v>Smiley Road WCID 1</v>
      </c>
    </row>
    <row r="1412" spans="1:6" x14ac:dyDescent="0.25">
      <c r="A1412" s="302" t="s">
        <v>6472</v>
      </c>
      <c r="B1412" s="303" t="str">
        <f t="shared" si="22"/>
        <v>x03002200</v>
      </c>
      <c r="C1412" t="s">
        <v>4</v>
      </c>
      <c r="D1412" t="s">
        <v>6473</v>
      </c>
      <c r="E1412">
        <v>3</v>
      </c>
      <c r="F1412" t="str">
        <f>IF(AND(Entities[[#This Row],[ENT_TYPE]]="County",RIGHT(Entities[[#This Row],[ENT_NAME]],6)&lt;&gt;"County"),_xlfn.TEXTJOIN(" ",TRUE,Entities[[#This Row],[ENT_NAME]],"County"),Entities[[#This Row],[ENT_NAME]])</f>
        <v>Celina MMD 2</v>
      </c>
    </row>
    <row r="1413" spans="1:6" x14ac:dyDescent="0.25">
      <c r="A1413" s="302" t="s">
        <v>6474</v>
      </c>
      <c r="B1413" s="303" t="str">
        <f t="shared" si="22"/>
        <v>x03002201</v>
      </c>
      <c r="C1413" t="s">
        <v>4</v>
      </c>
      <c r="D1413" t="s">
        <v>6475</v>
      </c>
      <c r="E1413">
        <v>3</v>
      </c>
      <c r="F1413" t="str">
        <f>IF(AND(Entities[[#This Row],[ENT_TYPE]]="County",RIGHT(Entities[[#This Row],[ENT_NAME]],6)&lt;&gt;"County"),_xlfn.TEXTJOIN(" ",TRUE,Entities[[#This Row],[ENT_NAME]],"County"),Entities[[#This Row],[ENT_NAME]])</f>
        <v>New Fairview MUD 1</v>
      </c>
    </row>
    <row r="1414" spans="1:6" x14ac:dyDescent="0.25">
      <c r="A1414" s="302" t="s">
        <v>6476</v>
      </c>
      <c r="B1414" s="303" t="str">
        <f t="shared" si="22"/>
        <v>x03002202</v>
      </c>
      <c r="C1414" t="s">
        <v>4</v>
      </c>
      <c r="D1414" t="s">
        <v>6477</v>
      </c>
      <c r="E1414">
        <v>3</v>
      </c>
      <c r="F1414" t="str">
        <f>IF(AND(Entities[[#This Row],[ENT_TYPE]]="County",RIGHT(Entities[[#This Row],[ENT_NAME]],6)&lt;&gt;"County"),_xlfn.TEXTJOIN(" ",TRUE,Entities[[#This Row],[ENT_NAME]],"County"),Entities[[#This Row],[ENT_NAME]])</f>
        <v>Windsor Hills MMD 1</v>
      </c>
    </row>
    <row r="1415" spans="1:6" x14ac:dyDescent="0.25">
      <c r="A1415" s="302" t="s">
        <v>6478</v>
      </c>
      <c r="B1415" s="303" t="str">
        <f t="shared" si="22"/>
        <v>x03002211</v>
      </c>
      <c r="C1415" t="s">
        <v>4</v>
      </c>
      <c r="D1415" t="s">
        <v>6479</v>
      </c>
      <c r="E1415">
        <v>3</v>
      </c>
      <c r="F1415" t="str">
        <f>IF(AND(Entities[[#This Row],[ENT_TYPE]]="County",RIGHT(Entities[[#This Row],[ENT_NAME]],6)&lt;&gt;"County"),_xlfn.TEXTJOIN(" ",TRUE,Entities[[#This Row],[ENT_NAME]],"County"),Entities[[#This Row],[ENT_NAME]])</f>
        <v>Kaufman County FWSD 7</v>
      </c>
    </row>
    <row r="1416" spans="1:6" x14ac:dyDescent="0.25">
      <c r="A1416" s="302" t="s">
        <v>6480</v>
      </c>
      <c r="B1416" s="303" t="str">
        <f t="shared" si="22"/>
        <v>x03002216</v>
      </c>
      <c r="C1416" t="s">
        <v>4</v>
      </c>
      <c r="D1416" t="s">
        <v>6481</v>
      </c>
      <c r="E1416">
        <v>3</v>
      </c>
      <c r="F1416" t="str">
        <f>IF(AND(Entities[[#This Row],[ENT_TYPE]]="County",RIGHT(Entities[[#This Row],[ENT_NAME]],6)&lt;&gt;"County"),_xlfn.TEXTJOIN(" ",TRUE,Entities[[#This Row],[ENT_NAME]],"County"),Entities[[#This Row],[ENT_NAME]])</f>
        <v>Hunter Ranch Improvement District 1</v>
      </c>
    </row>
    <row r="1417" spans="1:6" x14ac:dyDescent="0.25">
      <c r="A1417" s="302" t="s">
        <v>6482</v>
      </c>
      <c r="B1417" s="303" t="str">
        <f t="shared" si="22"/>
        <v>x03002218</v>
      </c>
      <c r="C1417" t="s">
        <v>4</v>
      </c>
      <c r="D1417" t="s">
        <v>6483</v>
      </c>
      <c r="E1417">
        <v>3</v>
      </c>
      <c r="F1417" t="str">
        <f>IF(AND(Entities[[#This Row],[ENT_TYPE]]="County",RIGHT(Entities[[#This Row],[ENT_NAME]],6)&lt;&gt;"County"),_xlfn.TEXTJOIN(" ",TRUE,Entities[[#This Row],[ENT_NAME]],"County"),Entities[[#This Row],[ENT_NAME]])</f>
        <v>Denton County MUD 4</v>
      </c>
    </row>
    <row r="1418" spans="1:6" x14ac:dyDescent="0.25">
      <c r="A1418" s="302" t="s">
        <v>6484</v>
      </c>
      <c r="B1418" s="303" t="str">
        <f t="shared" si="22"/>
        <v>x03002220</v>
      </c>
      <c r="C1418" t="s">
        <v>4</v>
      </c>
      <c r="D1418" t="s">
        <v>6485</v>
      </c>
      <c r="E1418">
        <v>3</v>
      </c>
      <c r="F1418" t="str">
        <f>IF(AND(Entities[[#This Row],[ENT_TYPE]]="County",RIGHT(Entities[[#This Row],[ENT_NAME]],6)&lt;&gt;"County"),_xlfn.TEXTJOIN(" ",TRUE,Entities[[#This Row],[ENT_NAME]],"County"),Entities[[#This Row],[ENT_NAME]])</f>
        <v>Denton County Fresh Water Supply District 12</v>
      </c>
    </row>
    <row r="1419" spans="1:6" x14ac:dyDescent="0.25">
      <c r="A1419" s="302" t="s">
        <v>6486</v>
      </c>
      <c r="B1419" s="303" t="str">
        <f t="shared" si="22"/>
        <v>x03002234</v>
      </c>
      <c r="C1419" t="s">
        <v>4</v>
      </c>
      <c r="D1419" t="s">
        <v>6487</v>
      </c>
      <c r="E1419">
        <v>3</v>
      </c>
      <c r="F1419" t="str">
        <f>IF(AND(Entities[[#This Row],[ENT_TYPE]]="County",RIGHT(Entities[[#This Row],[ENT_NAME]],6)&lt;&gt;"County"),_xlfn.TEXTJOIN(" ",TRUE,Entities[[#This Row],[ENT_NAME]],"County"),Entities[[#This Row],[ENT_NAME]])</f>
        <v>Denton County FWSD 1-C</v>
      </c>
    </row>
    <row r="1420" spans="1:6" x14ac:dyDescent="0.25">
      <c r="A1420" s="302" t="s">
        <v>6488</v>
      </c>
      <c r="B1420" s="303" t="str">
        <f t="shared" si="22"/>
        <v>x03002235</v>
      </c>
      <c r="C1420" t="s">
        <v>4</v>
      </c>
      <c r="D1420" t="s">
        <v>6489</v>
      </c>
      <c r="E1420">
        <v>3</v>
      </c>
      <c r="F1420" t="str">
        <f>IF(AND(Entities[[#This Row],[ENT_TYPE]]="County",RIGHT(Entities[[#This Row],[ENT_NAME]],6)&lt;&gt;"County"),_xlfn.TEXTJOIN(" ",TRUE,Entities[[#This Row],[ENT_NAME]],"County"),Entities[[#This Row],[ENT_NAME]])</f>
        <v>Denton County FWSD 1-D</v>
      </c>
    </row>
    <row r="1421" spans="1:6" x14ac:dyDescent="0.25">
      <c r="A1421" s="302" t="s">
        <v>6490</v>
      </c>
      <c r="B1421" s="303" t="str">
        <f t="shared" si="22"/>
        <v>x03002255</v>
      </c>
      <c r="C1421" t="s">
        <v>4</v>
      </c>
      <c r="D1421" t="s">
        <v>6491</v>
      </c>
      <c r="E1421">
        <v>3</v>
      </c>
      <c r="F1421" t="str">
        <f>IF(AND(Entities[[#This Row],[ENT_TYPE]]="County",RIGHT(Entities[[#This Row],[ENT_NAME]],6)&lt;&gt;"County"),_xlfn.TEXTJOIN(" ",TRUE,Entities[[#This Row],[ENT_NAME]],"County"),Entities[[#This Row],[ENT_NAME]])</f>
        <v>Grayson County MUD 3</v>
      </c>
    </row>
    <row r="1422" spans="1:6" x14ac:dyDescent="0.25">
      <c r="A1422" s="302" t="s">
        <v>6492</v>
      </c>
      <c r="B1422" s="303" t="str">
        <f t="shared" si="22"/>
        <v>x03002263</v>
      </c>
      <c r="C1422" t="s">
        <v>4</v>
      </c>
      <c r="D1422" t="s">
        <v>6493</v>
      </c>
      <c r="E1422">
        <v>3</v>
      </c>
      <c r="F1422" t="str">
        <f>IF(AND(Entities[[#This Row],[ENT_TYPE]]="County",RIGHT(Entities[[#This Row],[ENT_NAME]],6)&lt;&gt;"County"),_xlfn.TEXTJOIN(" ",TRUE,Entities[[#This Row],[ENT_NAME]],"County"),Entities[[#This Row],[ENT_NAME]])</f>
        <v>Prairie Ridge MMD 1</v>
      </c>
    </row>
    <row r="1423" spans="1:6" x14ac:dyDescent="0.25">
      <c r="A1423" s="302" t="s">
        <v>6494</v>
      </c>
      <c r="B1423" s="303" t="str">
        <f t="shared" si="22"/>
        <v>x03002264</v>
      </c>
      <c r="C1423" t="s">
        <v>4</v>
      </c>
      <c r="D1423" t="s">
        <v>6495</v>
      </c>
      <c r="E1423">
        <v>3</v>
      </c>
      <c r="F1423" t="str">
        <f>IF(AND(Entities[[#This Row],[ENT_TYPE]]="County",RIGHT(Entities[[#This Row],[ENT_NAME]],6)&lt;&gt;"County"),_xlfn.TEXTJOIN(" ",TRUE,Entities[[#This Row],[ENT_NAME]],"County"),Entities[[#This Row],[ENT_NAME]])</f>
        <v>Midlothian MMD 3</v>
      </c>
    </row>
    <row r="1424" spans="1:6" x14ac:dyDescent="0.25">
      <c r="A1424" s="302" t="s">
        <v>6496</v>
      </c>
      <c r="B1424" s="303" t="str">
        <f t="shared" si="22"/>
        <v>x03002268</v>
      </c>
      <c r="C1424" t="s">
        <v>4</v>
      </c>
      <c r="D1424" t="s">
        <v>6497</v>
      </c>
      <c r="E1424">
        <v>3</v>
      </c>
      <c r="F1424" t="str">
        <f>IF(AND(Entities[[#This Row],[ENT_TYPE]]="County",RIGHT(Entities[[#This Row],[ENT_NAME]],6)&lt;&gt;"County"),_xlfn.TEXTJOIN(" ",TRUE,Entities[[#This Row],[ENT_NAME]],"County"),Entities[[#This Row],[ENT_NAME]])</f>
        <v>Wise County MUD 4</v>
      </c>
    </row>
    <row r="1425" spans="1:6" x14ac:dyDescent="0.25">
      <c r="A1425" s="302" t="s">
        <v>6498</v>
      </c>
      <c r="B1425" s="303" t="str">
        <f t="shared" si="22"/>
        <v>x03002270</v>
      </c>
      <c r="C1425" t="s">
        <v>4</v>
      </c>
      <c r="D1425" t="s">
        <v>6499</v>
      </c>
      <c r="E1425">
        <v>3</v>
      </c>
      <c r="F1425" t="str">
        <f>IF(AND(Entities[[#This Row],[ENT_TYPE]]="County",RIGHT(Entities[[#This Row],[ENT_NAME]],6)&lt;&gt;"County"),_xlfn.TEXTJOIN(" ",TRUE,Entities[[#This Row],[ENT_NAME]],"County"),Entities[[#This Row],[ENT_NAME]])</f>
        <v>SoGood Cedars MMD</v>
      </c>
    </row>
    <row r="1426" spans="1:6" x14ac:dyDescent="0.25">
      <c r="A1426" s="302" t="s">
        <v>6500</v>
      </c>
      <c r="B1426" s="303" t="str">
        <f t="shared" si="22"/>
        <v>x03002277</v>
      </c>
      <c r="C1426" t="s">
        <v>4</v>
      </c>
      <c r="D1426" t="s">
        <v>6501</v>
      </c>
      <c r="E1426">
        <v>3</v>
      </c>
      <c r="F1426" t="str">
        <f>IF(AND(Entities[[#This Row],[ENT_TYPE]]="County",RIGHT(Entities[[#This Row],[ENT_NAME]],6)&lt;&gt;"County"),_xlfn.TEXTJOIN(" ",TRUE,Entities[[#This Row],[ENT_NAME]],"County"),Entities[[#This Row],[ENT_NAME]])</f>
        <v>North Celina MMD 3</v>
      </c>
    </row>
    <row r="1427" spans="1:6" x14ac:dyDescent="0.25">
      <c r="A1427" s="302" t="s">
        <v>6502</v>
      </c>
      <c r="B1427" s="303" t="str">
        <f t="shared" si="22"/>
        <v>x03002283</v>
      </c>
      <c r="C1427" t="s">
        <v>4</v>
      </c>
      <c r="D1427" t="s">
        <v>6503</v>
      </c>
      <c r="E1427">
        <v>3</v>
      </c>
      <c r="F1427" t="str">
        <f>IF(AND(Entities[[#This Row],[ENT_TYPE]]="County",RIGHT(Entities[[#This Row],[ENT_NAME]],6)&lt;&gt;"County"),_xlfn.TEXTJOIN(" ",TRUE,Entities[[#This Row],[ENT_NAME]],"County"),Entities[[#This Row],[ENT_NAME]])</f>
        <v>Big Sky MUD</v>
      </c>
    </row>
    <row r="1428" spans="1:6" x14ac:dyDescent="0.25">
      <c r="A1428" s="302" t="s">
        <v>6504</v>
      </c>
      <c r="B1428" s="303" t="str">
        <f t="shared" si="22"/>
        <v>x03002306</v>
      </c>
      <c r="C1428" t="s">
        <v>4</v>
      </c>
      <c r="D1428" t="s">
        <v>6505</v>
      </c>
      <c r="E1428">
        <v>3</v>
      </c>
      <c r="F1428" t="str">
        <f>IF(AND(Entities[[#This Row],[ENT_TYPE]]="County",RIGHT(Entities[[#This Row],[ENT_NAME]],6)&lt;&gt;"County"),_xlfn.TEXTJOIN(" ",TRUE,Entities[[#This Row],[ENT_NAME]],"County"),Entities[[#This Row],[ENT_NAME]])</f>
        <v>Denton County MUD 9</v>
      </c>
    </row>
    <row r="1429" spans="1:6" x14ac:dyDescent="0.25">
      <c r="A1429" s="302" t="s">
        <v>6506</v>
      </c>
      <c r="B1429" s="303" t="str">
        <f t="shared" si="22"/>
        <v>x03002311</v>
      </c>
      <c r="C1429" t="s">
        <v>4</v>
      </c>
      <c r="D1429" t="s">
        <v>6507</v>
      </c>
      <c r="E1429">
        <v>3</v>
      </c>
      <c r="F1429" t="str">
        <f>IF(AND(Entities[[#This Row],[ENT_TYPE]]="County",RIGHT(Entities[[#This Row],[ENT_NAME]],6)&lt;&gt;"County"),_xlfn.TEXTJOIN(" ",TRUE,Entities[[#This Row],[ENT_NAME]],"County"),Entities[[#This Row],[ENT_NAME]])</f>
        <v>University Hills MMD</v>
      </c>
    </row>
    <row r="1430" spans="1:6" x14ac:dyDescent="0.25">
      <c r="A1430" s="302" t="s">
        <v>6508</v>
      </c>
      <c r="B1430" s="303" t="str">
        <f t="shared" si="22"/>
        <v>x03002329</v>
      </c>
      <c r="C1430" t="s">
        <v>4</v>
      </c>
      <c r="D1430" t="s">
        <v>6509</v>
      </c>
      <c r="E1430">
        <v>3</v>
      </c>
      <c r="F1430" t="str">
        <f>IF(AND(Entities[[#This Row],[ENT_TYPE]]="County",RIGHT(Entities[[#This Row],[ENT_NAME]],6)&lt;&gt;"County"),_xlfn.TEXTJOIN(" ",TRUE,Entities[[#This Row],[ENT_NAME]],"County"),Entities[[#This Row],[ENT_NAME]])</f>
        <v>Bear Creek Ranch MUD 1</v>
      </c>
    </row>
    <row r="1431" spans="1:6" x14ac:dyDescent="0.25">
      <c r="A1431" s="302" t="s">
        <v>6510</v>
      </c>
      <c r="B1431" s="303" t="str">
        <f t="shared" si="22"/>
        <v>x03002334</v>
      </c>
      <c r="C1431" t="s">
        <v>4</v>
      </c>
      <c r="D1431" t="s">
        <v>6511</v>
      </c>
      <c r="E1431">
        <v>3</v>
      </c>
      <c r="F1431" t="str">
        <f>IF(AND(Entities[[#This Row],[ENT_TYPE]]="County",RIGHT(Entities[[#This Row],[ENT_NAME]],6)&lt;&gt;"County"),_xlfn.TEXTJOIN(" ",TRUE,Entities[[#This Row],[ENT_NAME]],"County"),Entities[[#This Row],[ENT_NAME]])</f>
        <v>Kaufman County FWSD 1A</v>
      </c>
    </row>
    <row r="1432" spans="1:6" x14ac:dyDescent="0.25">
      <c r="A1432" s="302" t="s">
        <v>6512</v>
      </c>
      <c r="B1432" s="303" t="str">
        <f t="shared" si="22"/>
        <v>x03002335</v>
      </c>
      <c r="C1432" t="s">
        <v>4</v>
      </c>
      <c r="D1432" t="s">
        <v>6513</v>
      </c>
      <c r="E1432">
        <v>3</v>
      </c>
      <c r="F1432" t="str">
        <f>IF(AND(Entities[[#This Row],[ENT_TYPE]]="County",RIGHT(Entities[[#This Row],[ENT_NAME]],6)&lt;&gt;"County"),_xlfn.TEXTJOIN(" ",TRUE,Entities[[#This Row],[ENT_NAME]],"County"),Entities[[#This Row],[ENT_NAME]])</f>
        <v>Double M MUD</v>
      </c>
    </row>
    <row r="1433" spans="1:6" x14ac:dyDescent="0.25">
      <c r="A1433" s="302" t="s">
        <v>6514</v>
      </c>
      <c r="B1433" s="303" t="str">
        <f t="shared" si="22"/>
        <v>x03002336</v>
      </c>
      <c r="C1433" t="s">
        <v>4</v>
      </c>
      <c r="D1433" t="s">
        <v>6515</v>
      </c>
      <c r="E1433">
        <v>3</v>
      </c>
      <c r="F1433" t="str">
        <f>IF(AND(Entities[[#This Row],[ENT_TYPE]]="County",RIGHT(Entities[[#This Row],[ENT_NAME]],6)&lt;&gt;"County"),_xlfn.TEXTJOIN(" ",TRUE,Entities[[#This Row],[ENT_NAME]],"County"),Entities[[#This Row],[ENT_NAME]])</f>
        <v>Grayson County MUD 1</v>
      </c>
    </row>
    <row r="1434" spans="1:6" x14ac:dyDescent="0.25">
      <c r="A1434" s="302" t="s">
        <v>6516</v>
      </c>
      <c r="B1434" s="303" t="str">
        <f t="shared" si="22"/>
        <v>x03002337</v>
      </c>
      <c r="C1434" t="s">
        <v>4</v>
      </c>
      <c r="D1434" t="s">
        <v>6517</v>
      </c>
      <c r="E1434">
        <v>3</v>
      </c>
      <c r="F1434" t="str">
        <f>IF(AND(Entities[[#This Row],[ENT_TYPE]]="County",RIGHT(Entities[[#This Row],[ENT_NAME]],6)&lt;&gt;"County"),_xlfn.TEXTJOIN(" ",TRUE,Entities[[#This Row],[ENT_NAME]],"County"),Entities[[#This Row],[ENT_NAME]])</f>
        <v>Oak Farms MMD</v>
      </c>
    </row>
    <row r="1435" spans="1:6" x14ac:dyDescent="0.25">
      <c r="A1435" s="302" t="s">
        <v>6518</v>
      </c>
      <c r="B1435" s="303" t="str">
        <f t="shared" si="22"/>
        <v>x03002338</v>
      </c>
      <c r="C1435" t="s">
        <v>4</v>
      </c>
      <c r="D1435" t="s">
        <v>6519</v>
      </c>
      <c r="E1435">
        <v>3</v>
      </c>
      <c r="F1435" t="str">
        <f>IF(AND(Entities[[#This Row],[ENT_TYPE]]="County",RIGHT(Entities[[#This Row],[ENT_NAME]],6)&lt;&gt;"County"),_xlfn.TEXTJOIN(" ",TRUE,Entities[[#This Row],[ENT_NAME]],"County"),Entities[[#This Row],[ENT_NAME]])</f>
        <v>Moore Farm WCID 1</v>
      </c>
    </row>
    <row r="1436" spans="1:6" x14ac:dyDescent="0.25">
      <c r="A1436" s="302" t="s">
        <v>6520</v>
      </c>
      <c r="B1436" s="303" t="str">
        <f t="shared" si="22"/>
        <v>x03002344</v>
      </c>
      <c r="C1436" t="s">
        <v>4</v>
      </c>
      <c r="D1436" t="s">
        <v>6521</v>
      </c>
      <c r="E1436">
        <v>3</v>
      </c>
      <c r="F1436" t="str">
        <f>IF(AND(Entities[[#This Row],[ENT_TYPE]]="County",RIGHT(Entities[[#This Row],[ENT_NAME]],6)&lt;&gt;"County"),_xlfn.TEXTJOIN(" ",TRUE,Entities[[#This Row],[ENT_NAME]],"County"),Entities[[#This Row],[ENT_NAME]])</f>
        <v>La La Ranch MUD</v>
      </c>
    </row>
    <row r="1437" spans="1:6" x14ac:dyDescent="0.25">
      <c r="A1437" s="302" t="s">
        <v>6522</v>
      </c>
      <c r="B1437" s="303" t="str">
        <f t="shared" si="22"/>
        <v>x03002346</v>
      </c>
      <c r="C1437" t="s">
        <v>4</v>
      </c>
      <c r="D1437" t="s">
        <v>6523</v>
      </c>
      <c r="E1437">
        <v>3</v>
      </c>
      <c r="F1437" t="str">
        <f>IF(AND(Entities[[#This Row],[ENT_TYPE]]="County",RIGHT(Entities[[#This Row],[ENT_NAME]],6)&lt;&gt;"County"),_xlfn.TEXTJOIN(" ",TRUE,Entities[[#This Row],[ENT_NAME]],"County"),Entities[[#This Row],[ENT_NAME]])</f>
        <v>Dove Valley Ranch MUD</v>
      </c>
    </row>
    <row r="1438" spans="1:6" x14ac:dyDescent="0.25">
      <c r="A1438" s="302" t="s">
        <v>6524</v>
      </c>
      <c r="B1438" s="303" t="str">
        <f t="shared" si="22"/>
        <v>x03002347</v>
      </c>
      <c r="C1438" t="s">
        <v>4</v>
      </c>
      <c r="D1438" t="s">
        <v>6525</v>
      </c>
      <c r="E1438">
        <v>3</v>
      </c>
      <c r="F1438" t="str">
        <f>IF(AND(Entities[[#This Row],[ENT_TYPE]]="County",RIGHT(Entities[[#This Row],[ENT_NAME]],6)&lt;&gt;"County"),_xlfn.TEXTJOIN(" ",TRUE,Entities[[#This Row],[ENT_NAME]],"County"),Entities[[#This Row],[ENT_NAME]])</f>
        <v>Grayson County MUD 5</v>
      </c>
    </row>
    <row r="1439" spans="1:6" x14ac:dyDescent="0.25">
      <c r="A1439" s="302" t="s">
        <v>6526</v>
      </c>
      <c r="B1439" s="303" t="str">
        <f t="shared" si="22"/>
        <v>x03002348</v>
      </c>
      <c r="C1439" t="s">
        <v>4</v>
      </c>
      <c r="D1439" t="s">
        <v>6527</v>
      </c>
      <c r="E1439">
        <v>3</v>
      </c>
      <c r="F1439" t="str">
        <f>IF(AND(Entities[[#This Row],[ENT_TYPE]]="County",RIGHT(Entities[[#This Row],[ENT_NAME]],6)&lt;&gt;"County"),_xlfn.TEXTJOIN(" ",TRUE,Entities[[#This Row],[ENT_NAME]],"County"),Entities[[#This Row],[ENT_NAME]])</f>
        <v>Dallas County MUD 4</v>
      </c>
    </row>
    <row r="1440" spans="1:6" x14ac:dyDescent="0.25">
      <c r="A1440" s="302" t="s">
        <v>6528</v>
      </c>
      <c r="B1440" s="303" t="str">
        <f t="shared" si="22"/>
        <v>x03002349</v>
      </c>
      <c r="C1440" t="s">
        <v>4</v>
      </c>
      <c r="D1440" t="s">
        <v>6529</v>
      </c>
      <c r="E1440">
        <v>3</v>
      </c>
      <c r="F1440" t="str">
        <f>IF(AND(Entities[[#This Row],[ENT_TYPE]]="County",RIGHT(Entities[[#This Row],[ENT_NAME]],6)&lt;&gt;"County"),_xlfn.TEXTJOIN(" ",TRUE,Entities[[#This Row],[ENT_NAME]],"County"),Entities[[#This Row],[ENT_NAME]])</f>
        <v>Ranch at FM 1385 MUD</v>
      </c>
    </row>
    <row r="1441" spans="1:6" x14ac:dyDescent="0.25">
      <c r="A1441" s="302" t="s">
        <v>6530</v>
      </c>
      <c r="B1441" s="303" t="str">
        <f t="shared" si="22"/>
        <v>x03002357</v>
      </c>
      <c r="C1441" t="s">
        <v>4</v>
      </c>
      <c r="D1441" t="s">
        <v>6531</v>
      </c>
      <c r="E1441">
        <v>3</v>
      </c>
      <c r="F1441" t="str">
        <f>IF(AND(Entities[[#This Row],[ENT_TYPE]]="County",RIGHT(Entities[[#This Row],[ENT_NAME]],6)&lt;&gt;"County"),_xlfn.TEXTJOIN(" ",TRUE,Entities[[#This Row],[ENT_NAME]],"County"),Entities[[#This Row],[ENT_NAME]])</f>
        <v>Northlake MMD 2</v>
      </c>
    </row>
    <row r="1442" spans="1:6" x14ac:dyDescent="0.25">
      <c r="A1442" s="302" t="s">
        <v>6532</v>
      </c>
      <c r="B1442" s="303" t="str">
        <f t="shared" si="22"/>
        <v>x03002363</v>
      </c>
      <c r="C1442" t="s">
        <v>4</v>
      </c>
      <c r="D1442" t="s">
        <v>6533</v>
      </c>
      <c r="E1442">
        <v>3</v>
      </c>
      <c r="F1442" t="str">
        <f>IF(AND(Entities[[#This Row],[ENT_TYPE]]="County",RIGHT(Entities[[#This Row],[ENT_NAME]],6)&lt;&gt;"County"),_xlfn.TEXTJOIN(" ",TRUE,Entities[[#This Row],[ENT_NAME]],"County"),Entities[[#This Row],[ENT_NAME]])</f>
        <v>Cole Ranch ID 1</v>
      </c>
    </row>
    <row r="1443" spans="1:6" x14ac:dyDescent="0.25">
      <c r="A1443" s="302" t="s">
        <v>6534</v>
      </c>
      <c r="B1443" s="303" t="str">
        <f t="shared" si="22"/>
        <v>x03002375</v>
      </c>
      <c r="C1443" t="s">
        <v>4</v>
      </c>
      <c r="D1443" t="s">
        <v>6535</v>
      </c>
      <c r="E1443">
        <v>3</v>
      </c>
      <c r="F1443" t="str">
        <f>IF(AND(Entities[[#This Row],[ENT_TYPE]]="County",RIGHT(Entities[[#This Row],[ENT_NAME]],6)&lt;&gt;"County"),_xlfn.TEXTJOIN(" ",TRUE,Entities[[#This Row],[ENT_NAME]],"County"),Entities[[#This Row],[ENT_NAME]])</f>
        <v>Karis MMD</v>
      </c>
    </row>
    <row r="1444" spans="1:6" x14ac:dyDescent="0.25">
      <c r="A1444" s="302" t="s">
        <v>1914</v>
      </c>
      <c r="B1444" s="303" t="str">
        <f t="shared" si="22"/>
        <v>x03002385</v>
      </c>
      <c r="C1444" t="s">
        <v>5458</v>
      </c>
      <c r="D1444" t="s">
        <v>4397</v>
      </c>
      <c r="E1444">
        <v>3</v>
      </c>
      <c r="F1444" t="str">
        <f>IF(AND(Entities[[#This Row],[ENT_TYPE]]="County",RIGHT(Entities[[#This Row],[ENT_NAME]],6)&lt;&gt;"County"),_xlfn.TEXTJOIN(" ",TRUE,Entities[[#This Row],[ENT_NAME]],"County"),Entities[[#This Row],[ENT_NAME]])</f>
        <v>Colleyville</v>
      </c>
    </row>
    <row r="1445" spans="1:6" x14ac:dyDescent="0.25">
      <c r="A1445" s="302" t="s">
        <v>6536</v>
      </c>
      <c r="B1445" s="303" t="str">
        <f t="shared" si="22"/>
        <v>x03002411</v>
      </c>
      <c r="C1445" t="s">
        <v>5458</v>
      </c>
      <c r="D1445" t="s">
        <v>6537</v>
      </c>
      <c r="E1445">
        <v>3</v>
      </c>
      <c r="F1445" t="str">
        <f>IF(AND(Entities[[#This Row],[ENT_TYPE]]="County",RIGHT(Entities[[#This Row],[ENT_NAME]],6)&lt;&gt;"County"),_xlfn.TEXTJOIN(" ",TRUE,Entities[[#This Row],[ENT_NAME]],"County"),Entities[[#This Row],[ENT_NAME]])</f>
        <v>Justin</v>
      </c>
    </row>
    <row r="1446" spans="1:6" x14ac:dyDescent="0.25">
      <c r="A1446" s="302" t="s">
        <v>2280</v>
      </c>
      <c r="B1446" s="303" t="str">
        <f t="shared" si="22"/>
        <v>x03002412</v>
      </c>
      <c r="C1446" t="s">
        <v>5458</v>
      </c>
      <c r="D1446" t="s">
        <v>4478</v>
      </c>
      <c r="E1446">
        <v>3</v>
      </c>
      <c r="F1446" t="str">
        <f>IF(AND(Entities[[#This Row],[ENT_TYPE]]="County",RIGHT(Entities[[#This Row],[ENT_NAME]],6)&lt;&gt;"County"),_xlfn.TEXTJOIN(" ",TRUE,Entities[[#This Row],[ENT_NAME]],"County"),Entities[[#This Row],[ENT_NAME]])</f>
        <v>Krugerville</v>
      </c>
    </row>
    <row r="1447" spans="1:6" x14ac:dyDescent="0.25">
      <c r="A1447" s="302" t="s">
        <v>2248</v>
      </c>
      <c r="B1447" s="303" t="str">
        <f t="shared" si="22"/>
        <v>x03002413</v>
      </c>
      <c r="C1447" t="s">
        <v>5458</v>
      </c>
      <c r="D1447" t="s">
        <v>4474</v>
      </c>
      <c r="E1447">
        <v>3</v>
      </c>
      <c r="F1447" t="str">
        <f>IF(AND(Entities[[#This Row],[ENT_TYPE]]="County",RIGHT(Entities[[#This Row],[ENT_NAME]],6)&lt;&gt;"County"),_xlfn.TEXTJOIN(" ",TRUE,Entities[[#This Row],[ENT_NAME]],"County"),Entities[[#This Row],[ENT_NAME]])</f>
        <v>Krum</v>
      </c>
    </row>
    <row r="1448" spans="1:6" x14ac:dyDescent="0.25">
      <c r="A1448" s="302" t="s">
        <v>6538</v>
      </c>
      <c r="B1448" s="303" t="str">
        <f t="shared" si="22"/>
        <v>x03002414</v>
      </c>
      <c r="C1448" t="s">
        <v>5458</v>
      </c>
      <c r="D1448" t="s">
        <v>6539</v>
      </c>
      <c r="E1448">
        <v>3</v>
      </c>
      <c r="F1448" t="str">
        <f>IF(AND(Entities[[#This Row],[ENT_TYPE]]="County",RIGHT(Entities[[#This Row],[ENT_NAME]],6)&lt;&gt;"County"),_xlfn.TEXTJOIN(" ",TRUE,Entities[[#This Row],[ENT_NAME]],"County"),Entities[[#This Row],[ENT_NAME]])</f>
        <v>Lake Dallas</v>
      </c>
    </row>
    <row r="1449" spans="1:6" x14ac:dyDescent="0.25">
      <c r="A1449" s="302" t="s">
        <v>6540</v>
      </c>
      <c r="B1449" s="303" t="str">
        <f t="shared" si="22"/>
        <v>x03002415</v>
      </c>
      <c r="C1449" t="s">
        <v>5458</v>
      </c>
      <c r="D1449" t="s">
        <v>6541</v>
      </c>
      <c r="E1449">
        <v>3</v>
      </c>
      <c r="F1449" t="str">
        <f>IF(AND(Entities[[#This Row],[ENT_TYPE]]="County",RIGHT(Entities[[#This Row],[ENT_NAME]],6)&lt;&gt;"County"),_xlfn.TEXTJOIN(" ",TRUE,Entities[[#This Row],[ENT_NAME]],"County"),Entities[[#This Row],[ENT_NAME]])</f>
        <v>Lakewood Village</v>
      </c>
    </row>
    <row r="1450" spans="1:6" x14ac:dyDescent="0.25">
      <c r="A1450" s="302" t="s">
        <v>6542</v>
      </c>
      <c r="B1450" s="303" t="str">
        <f t="shared" si="22"/>
        <v>x03002429</v>
      </c>
      <c r="C1450" t="s">
        <v>5458</v>
      </c>
      <c r="D1450" t="s">
        <v>6543</v>
      </c>
      <c r="E1450">
        <v>3</v>
      </c>
      <c r="F1450" t="str">
        <f>IF(AND(Entities[[#This Row],[ENT_TYPE]]="County",RIGHT(Entities[[#This Row],[ENT_NAME]],6)&lt;&gt;"County"),_xlfn.TEXTJOIN(" ",TRUE,Entities[[#This Row],[ENT_NAME]],"County"),Entities[[#This Row],[ENT_NAME]])</f>
        <v>Bridgeport</v>
      </c>
    </row>
    <row r="1451" spans="1:6" x14ac:dyDescent="0.25">
      <c r="A1451" s="302" t="s">
        <v>6544</v>
      </c>
      <c r="B1451" s="303" t="str">
        <f t="shared" si="22"/>
        <v>x03002430</v>
      </c>
      <c r="C1451" t="s">
        <v>5458</v>
      </c>
      <c r="D1451" t="s">
        <v>6545</v>
      </c>
      <c r="E1451">
        <v>3</v>
      </c>
      <c r="F1451" t="str">
        <f>IF(AND(Entities[[#This Row],[ENT_TYPE]]="County",RIGHT(Entities[[#This Row],[ENT_NAME]],6)&lt;&gt;"County"),_xlfn.TEXTJOIN(" ",TRUE,Entities[[#This Row],[ENT_NAME]],"County"),Entities[[#This Row],[ENT_NAME]])</f>
        <v>Rhome</v>
      </c>
    </row>
    <row r="1452" spans="1:6" x14ac:dyDescent="0.25">
      <c r="A1452" s="302" t="s">
        <v>6546</v>
      </c>
      <c r="B1452" s="303" t="str">
        <f t="shared" si="22"/>
        <v>x03002434</v>
      </c>
      <c r="C1452" t="s">
        <v>5458</v>
      </c>
      <c r="D1452" t="s">
        <v>6547</v>
      </c>
      <c r="E1452">
        <v>3</v>
      </c>
      <c r="F1452" t="str">
        <f>IF(AND(Entities[[#This Row],[ENT_TYPE]]="County",RIGHT(Entities[[#This Row],[ENT_NAME]],6)&lt;&gt;"County"),_xlfn.TEXTJOIN(" ",TRUE,Entities[[#This Row],[ENT_NAME]],"County"),Entities[[#This Row],[ENT_NAME]])</f>
        <v>Bardwell</v>
      </c>
    </row>
    <row r="1453" spans="1:6" x14ac:dyDescent="0.25">
      <c r="A1453" s="302" t="s">
        <v>6548</v>
      </c>
      <c r="B1453" s="303" t="str">
        <f t="shared" si="22"/>
        <v>x03002435</v>
      </c>
      <c r="C1453" t="s">
        <v>5458</v>
      </c>
      <c r="D1453" t="s">
        <v>6549</v>
      </c>
      <c r="E1453">
        <v>3</v>
      </c>
      <c r="F1453" t="str">
        <f>IF(AND(Entities[[#This Row],[ENT_TYPE]]="County",RIGHT(Entities[[#This Row],[ENT_NAME]],6)&lt;&gt;"County"),_xlfn.TEXTJOIN(" ",TRUE,Entities[[#This Row],[ENT_NAME]],"County"),Entities[[#This Row],[ENT_NAME]])</f>
        <v>Italy</v>
      </c>
    </row>
    <row r="1454" spans="1:6" x14ac:dyDescent="0.25">
      <c r="A1454" s="302" t="s">
        <v>6550</v>
      </c>
      <c r="B1454" s="303" t="str">
        <f t="shared" si="22"/>
        <v>x03002447</v>
      </c>
      <c r="C1454" t="s">
        <v>5458</v>
      </c>
      <c r="D1454" t="s">
        <v>6551</v>
      </c>
      <c r="E1454">
        <v>3</v>
      </c>
      <c r="F1454" t="str">
        <f>IF(AND(Entities[[#This Row],[ENT_TYPE]]="County",RIGHT(Entities[[#This Row],[ENT_NAME]],6)&lt;&gt;"County"),_xlfn.TEXTJOIN(" ",TRUE,Entities[[#This Row],[ENT_NAME]],"County"),Entities[[#This Row],[ENT_NAME]])</f>
        <v>Argyle</v>
      </c>
    </row>
    <row r="1455" spans="1:6" x14ac:dyDescent="0.25">
      <c r="A1455" s="302" t="s">
        <v>6552</v>
      </c>
      <c r="B1455" s="303" t="str">
        <f t="shared" si="22"/>
        <v>x03002448</v>
      </c>
      <c r="C1455" t="s">
        <v>5458</v>
      </c>
      <c r="D1455" t="s">
        <v>6553</v>
      </c>
      <c r="E1455">
        <v>3</v>
      </c>
      <c r="F1455" t="str">
        <f>IF(AND(Entities[[#This Row],[ENT_TYPE]]="County",RIGHT(Entities[[#This Row],[ENT_NAME]],6)&lt;&gt;"County"),_xlfn.TEXTJOIN(" ",TRUE,Entities[[#This Row],[ENT_NAME]],"County"),Entities[[#This Row],[ENT_NAME]])</f>
        <v>Aubrey</v>
      </c>
    </row>
    <row r="1456" spans="1:6" x14ac:dyDescent="0.25">
      <c r="A1456" s="302" t="s">
        <v>6554</v>
      </c>
      <c r="B1456" s="303" t="str">
        <f t="shared" si="22"/>
        <v>x03002449</v>
      </c>
      <c r="C1456" t="s">
        <v>5458</v>
      </c>
      <c r="D1456" t="s">
        <v>6555</v>
      </c>
      <c r="E1456">
        <v>3</v>
      </c>
      <c r="F1456" t="str">
        <f>IF(AND(Entities[[#This Row],[ENT_TYPE]]="County",RIGHT(Entities[[#This Row],[ENT_NAME]],6)&lt;&gt;"County"),_xlfn.TEXTJOIN(" ",TRUE,Entities[[#This Row],[ENT_NAME]],"County"),Entities[[#This Row],[ENT_NAME]])</f>
        <v>Bartonville</v>
      </c>
    </row>
    <row r="1457" spans="1:6" x14ac:dyDescent="0.25">
      <c r="A1457" s="302" t="s">
        <v>6556</v>
      </c>
      <c r="B1457" s="303" t="str">
        <f t="shared" si="22"/>
        <v>x03002458</v>
      </c>
      <c r="C1457" t="s">
        <v>5458</v>
      </c>
      <c r="D1457" t="s">
        <v>6557</v>
      </c>
      <c r="E1457">
        <v>3</v>
      </c>
      <c r="F1457" t="str">
        <f>IF(AND(Entities[[#This Row],[ENT_TYPE]]="County",RIGHT(Entities[[#This Row],[ENT_NAME]],6)&lt;&gt;"County"),_xlfn.TEXTJOIN(" ",TRUE,Entities[[#This Row],[ENT_NAME]],"County"),Entities[[#This Row],[ENT_NAME]])</f>
        <v>Allen</v>
      </c>
    </row>
    <row r="1458" spans="1:6" x14ac:dyDescent="0.25">
      <c r="A1458" s="302" t="s">
        <v>6558</v>
      </c>
      <c r="B1458" s="303" t="str">
        <f t="shared" si="22"/>
        <v>x03002460</v>
      </c>
      <c r="C1458" t="s">
        <v>5458</v>
      </c>
      <c r="D1458" t="s">
        <v>6559</v>
      </c>
      <c r="E1458">
        <v>3</v>
      </c>
      <c r="F1458" t="str">
        <f>IF(AND(Entities[[#This Row],[ENT_TYPE]]="County",RIGHT(Entities[[#This Row],[ENT_NAME]],6)&lt;&gt;"County"),_xlfn.TEXTJOIN(" ",TRUE,Entities[[#This Row],[ENT_NAME]],"County"),Entities[[#This Row],[ENT_NAME]])</f>
        <v>Frisco</v>
      </c>
    </row>
    <row r="1459" spans="1:6" x14ac:dyDescent="0.25">
      <c r="A1459" s="302" t="s">
        <v>6560</v>
      </c>
      <c r="B1459" s="303" t="str">
        <f t="shared" si="22"/>
        <v>x03002461</v>
      </c>
      <c r="C1459" t="s">
        <v>5458</v>
      </c>
      <c r="D1459" t="s">
        <v>6561</v>
      </c>
      <c r="E1459">
        <v>3</v>
      </c>
      <c r="F1459" t="str">
        <f>IF(AND(Entities[[#This Row],[ENT_TYPE]]="County",RIGHT(Entities[[#This Row],[ENT_NAME]],6)&lt;&gt;"County"),_xlfn.TEXTJOIN(" ",TRUE,Entities[[#This Row],[ENT_NAME]],"County"),Entities[[#This Row],[ENT_NAME]])</f>
        <v>New Hope</v>
      </c>
    </row>
    <row r="1460" spans="1:6" x14ac:dyDescent="0.25">
      <c r="A1460" s="302" t="s">
        <v>2385</v>
      </c>
      <c r="B1460" s="303" t="str">
        <f t="shared" si="22"/>
        <v>x03002463</v>
      </c>
      <c r="C1460" t="s">
        <v>5458</v>
      </c>
      <c r="D1460" t="s">
        <v>4509</v>
      </c>
      <c r="E1460">
        <v>3</v>
      </c>
      <c r="F1460" t="str">
        <f>IF(AND(Entities[[#This Row],[ENT_TYPE]]="County",RIGHT(Entities[[#This Row],[ENT_NAME]],6)&lt;&gt;"County"),_xlfn.TEXTJOIN(" ",TRUE,Entities[[#This Row],[ENT_NAME]],"County"),Entities[[#This Row],[ENT_NAME]])</f>
        <v>Kirvin</v>
      </c>
    </row>
    <row r="1461" spans="1:6" x14ac:dyDescent="0.25">
      <c r="A1461" s="302" t="s">
        <v>6562</v>
      </c>
      <c r="B1461" s="303" t="str">
        <f t="shared" si="22"/>
        <v>x03002465</v>
      </c>
      <c r="C1461" t="s">
        <v>5458</v>
      </c>
      <c r="D1461" t="s">
        <v>6563</v>
      </c>
      <c r="E1461">
        <v>3</v>
      </c>
      <c r="F1461" t="str">
        <f>IF(AND(Entities[[#This Row],[ENT_TYPE]]="County",RIGHT(Entities[[#This Row],[ENT_NAME]],6)&lt;&gt;"County"),_xlfn.TEXTJOIN(" ",TRUE,Entities[[#This Row],[ENT_NAME]],"County"),Entities[[#This Row],[ENT_NAME]])</f>
        <v>Wortham</v>
      </c>
    </row>
    <row r="1462" spans="1:6" x14ac:dyDescent="0.25">
      <c r="A1462" s="302" t="s">
        <v>6564</v>
      </c>
      <c r="B1462" s="303" t="str">
        <f t="shared" si="22"/>
        <v>x03002466</v>
      </c>
      <c r="C1462" t="s">
        <v>5458</v>
      </c>
      <c r="D1462" t="s">
        <v>6565</v>
      </c>
      <c r="E1462">
        <v>3</v>
      </c>
      <c r="F1462" t="str">
        <f>IF(AND(Entities[[#This Row],[ENT_TYPE]]="County",RIGHT(Entities[[#This Row],[ENT_NAME]],6)&lt;&gt;"County"),_xlfn.TEXTJOIN(" ",TRUE,Entities[[#This Row],[ENT_NAME]],"County"),Entities[[#This Row],[ENT_NAME]])</f>
        <v>Midlothian</v>
      </c>
    </row>
    <row r="1463" spans="1:6" x14ac:dyDescent="0.25">
      <c r="A1463" s="302" t="s">
        <v>6566</v>
      </c>
      <c r="B1463" s="303" t="str">
        <f t="shared" si="22"/>
        <v>x03002467</v>
      </c>
      <c r="C1463" t="s">
        <v>5458</v>
      </c>
      <c r="D1463" t="s">
        <v>6567</v>
      </c>
      <c r="E1463">
        <v>3</v>
      </c>
      <c r="F1463" t="str">
        <f>IF(AND(Entities[[#This Row],[ENT_TYPE]]="County",RIGHT(Entities[[#This Row],[ENT_NAME]],6)&lt;&gt;"County"),_xlfn.TEXTJOIN(" ",TRUE,Entities[[#This Row],[ENT_NAME]],"County"),Entities[[#This Row],[ENT_NAME]])</f>
        <v>Oak Leaf</v>
      </c>
    </row>
    <row r="1464" spans="1:6" x14ac:dyDescent="0.25">
      <c r="A1464" s="302" t="s">
        <v>6568</v>
      </c>
      <c r="B1464" s="303" t="str">
        <f t="shared" si="22"/>
        <v>x03002468</v>
      </c>
      <c r="C1464" t="s">
        <v>5458</v>
      </c>
      <c r="D1464" t="s">
        <v>6569</v>
      </c>
      <c r="E1464">
        <v>3</v>
      </c>
      <c r="F1464" t="str">
        <f>IF(AND(Entities[[#This Row],[ENT_TYPE]]="County",RIGHT(Entities[[#This Row],[ENT_NAME]],6)&lt;&gt;"County"),_xlfn.TEXTJOIN(" ",TRUE,Entities[[#This Row],[ENT_NAME]],"County"),Entities[[#This Row],[ENT_NAME]])</f>
        <v>Pecan Hill</v>
      </c>
    </row>
    <row r="1465" spans="1:6" x14ac:dyDescent="0.25">
      <c r="A1465" s="302" t="s">
        <v>6570</v>
      </c>
      <c r="B1465" s="303" t="str">
        <f t="shared" si="22"/>
        <v>x03002469</v>
      </c>
      <c r="C1465" t="s">
        <v>5458</v>
      </c>
      <c r="D1465" t="s">
        <v>6571</v>
      </c>
      <c r="E1465">
        <v>3</v>
      </c>
      <c r="F1465" t="str">
        <f>IF(AND(Entities[[#This Row],[ENT_TYPE]]="County",RIGHT(Entities[[#This Row],[ENT_NAME]],6)&lt;&gt;"County"),_xlfn.TEXTJOIN(" ",TRUE,Entities[[#This Row],[ENT_NAME]],"County"),Entities[[#This Row],[ENT_NAME]])</f>
        <v>Red Oak</v>
      </c>
    </row>
    <row r="1466" spans="1:6" x14ac:dyDescent="0.25">
      <c r="A1466" s="302" t="s">
        <v>6572</v>
      </c>
      <c r="B1466" s="303" t="str">
        <f t="shared" si="22"/>
        <v>x03002486</v>
      </c>
      <c r="C1466" t="s">
        <v>5458</v>
      </c>
      <c r="D1466" t="s">
        <v>6573</v>
      </c>
      <c r="E1466">
        <v>3</v>
      </c>
      <c r="F1466" t="str">
        <f>IF(AND(Entities[[#This Row],[ENT_TYPE]]="County",RIGHT(Entities[[#This Row],[ENT_NAME]],6)&lt;&gt;"County"),_xlfn.TEXTJOIN(" ",TRUE,Entities[[#This Row],[ENT_NAME]],"County"),Entities[[#This Row],[ENT_NAME]])</f>
        <v>Copper Canyon</v>
      </c>
    </row>
    <row r="1467" spans="1:6" x14ac:dyDescent="0.25">
      <c r="A1467" s="302" t="s">
        <v>6574</v>
      </c>
      <c r="B1467" s="303" t="str">
        <f t="shared" si="22"/>
        <v>x03002487</v>
      </c>
      <c r="C1467" t="s">
        <v>5458</v>
      </c>
      <c r="D1467" t="s">
        <v>6575</v>
      </c>
      <c r="E1467">
        <v>3</v>
      </c>
      <c r="F1467" t="str">
        <f>IF(AND(Entities[[#This Row],[ENT_TYPE]]="County",RIGHT(Entities[[#This Row],[ENT_NAME]],6)&lt;&gt;"County"),_xlfn.TEXTJOIN(" ",TRUE,Entities[[#This Row],[ENT_NAME]],"County"),Entities[[#This Row],[ENT_NAME]])</f>
        <v>Corinth</v>
      </c>
    </row>
    <row r="1468" spans="1:6" x14ac:dyDescent="0.25">
      <c r="A1468" s="302" t="s">
        <v>6576</v>
      </c>
      <c r="B1468" s="303" t="str">
        <f t="shared" si="22"/>
        <v>x03002489</v>
      </c>
      <c r="C1468" t="s">
        <v>5458</v>
      </c>
      <c r="D1468" t="s">
        <v>6577</v>
      </c>
      <c r="E1468">
        <v>3</v>
      </c>
      <c r="F1468" t="str">
        <f>IF(AND(Entities[[#This Row],[ENT_TYPE]]="County",RIGHT(Entities[[#This Row],[ENT_NAME]],6)&lt;&gt;"County"),_xlfn.TEXTJOIN(" ",TRUE,Entities[[#This Row],[ENT_NAME]],"County"),Entities[[#This Row],[ENT_NAME]])</f>
        <v>Alvarado</v>
      </c>
    </row>
    <row r="1469" spans="1:6" x14ac:dyDescent="0.25">
      <c r="A1469" s="302" t="s">
        <v>6578</v>
      </c>
      <c r="B1469" s="303" t="str">
        <f t="shared" si="22"/>
        <v>x03002490</v>
      </c>
      <c r="C1469" t="s">
        <v>5458</v>
      </c>
      <c r="D1469" t="s">
        <v>6579</v>
      </c>
      <c r="E1469">
        <v>3</v>
      </c>
      <c r="F1469" t="str">
        <f>IF(AND(Entities[[#This Row],[ENT_TYPE]]="County",RIGHT(Entities[[#This Row],[ENT_NAME]],6)&lt;&gt;"County"),_xlfn.TEXTJOIN(" ",TRUE,Entities[[#This Row],[ENT_NAME]],"County"),Entities[[#This Row],[ENT_NAME]])</f>
        <v>Briaroaks</v>
      </c>
    </row>
    <row r="1470" spans="1:6" x14ac:dyDescent="0.25">
      <c r="A1470" s="302" t="s">
        <v>6580</v>
      </c>
      <c r="B1470" s="303" t="str">
        <f t="shared" si="22"/>
        <v>x03002491</v>
      </c>
      <c r="C1470" t="s">
        <v>5458</v>
      </c>
      <c r="D1470" t="s">
        <v>6581</v>
      </c>
      <c r="E1470">
        <v>3</v>
      </c>
      <c r="F1470" t="str">
        <f>IF(AND(Entities[[#This Row],[ENT_TYPE]]="County",RIGHT(Entities[[#This Row],[ENT_NAME]],6)&lt;&gt;"County"),_xlfn.TEXTJOIN(" ",TRUE,Entities[[#This Row],[ENT_NAME]],"County"),Entities[[#This Row],[ENT_NAME]])</f>
        <v>Double Oak</v>
      </c>
    </row>
    <row r="1471" spans="1:6" x14ac:dyDescent="0.25">
      <c r="A1471" s="302" t="s">
        <v>6582</v>
      </c>
      <c r="B1471" s="303" t="str">
        <f t="shared" si="22"/>
        <v>x03002492</v>
      </c>
      <c r="C1471" t="s">
        <v>5458</v>
      </c>
      <c r="D1471" t="s">
        <v>6583</v>
      </c>
      <c r="E1471">
        <v>3</v>
      </c>
      <c r="F1471" t="str">
        <f>IF(AND(Entities[[#This Row],[ENT_TYPE]]="County",RIGHT(Entities[[#This Row],[ENT_NAME]],6)&lt;&gt;"County"),_xlfn.TEXTJOIN(" ",TRUE,Entities[[#This Row],[ENT_NAME]],"County"),Entities[[#This Row],[ENT_NAME]])</f>
        <v>Hackberry</v>
      </c>
    </row>
    <row r="1472" spans="1:6" x14ac:dyDescent="0.25">
      <c r="A1472" s="302" t="s">
        <v>6584</v>
      </c>
      <c r="B1472" s="303" t="str">
        <f t="shared" si="22"/>
        <v>x03002497</v>
      </c>
      <c r="C1472" t="s">
        <v>5458</v>
      </c>
      <c r="D1472" t="s">
        <v>6585</v>
      </c>
      <c r="E1472">
        <v>3</v>
      </c>
      <c r="F1472" t="str">
        <f>IF(AND(Entities[[#This Row],[ENT_TYPE]]="County",RIGHT(Entities[[#This Row],[ENT_NAME]],6)&lt;&gt;"County"),_xlfn.TEXTJOIN(" ",TRUE,Entities[[#This Row],[ENT_NAME]],"County"),Entities[[#This Row],[ENT_NAME]])</f>
        <v>Cross Timber</v>
      </c>
    </row>
    <row r="1473" spans="1:6" x14ac:dyDescent="0.25">
      <c r="A1473" s="302" t="s">
        <v>6586</v>
      </c>
      <c r="B1473" s="303" t="str">
        <f t="shared" si="22"/>
        <v>x03002498</v>
      </c>
      <c r="C1473" t="s">
        <v>5458</v>
      </c>
      <c r="D1473" t="s">
        <v>6587</v>
      </c>
      <c r="E1473">
        <v>3</v>
      </c>
      <c r="F1473" t="str">
        <f>IF(AND(Entities[[#This Row],[ENT_TYPE]]="County",RIGHT(Entities[[#This Row],[ENT_NAME]],6)&lt;&gt;"County"),_xlfn.TEXTJOIN(" ",TRUE,Entities[[#This Row],[ENT_NAME]],"County"),Entities[[#This Row],[ENT_NAME]])</f>
        <v>Crowley</v>
      </c>
    </row>
    <row r="1474" spans="1:6" x14ac:dyDescent="0.25">
      <c r="A1474" s="302" t="s">
        <v>6588</v>
      </c>
      <c r="B1474" s="303" t="str">
        <f t="shared" ref="B1474:B1537" si="23">_xlfn.CONCAT("x",TEXT(A1474,"00000000"))</f>
        <v>x03002519</v>
      </c>
      <c r="C1474" t="s">
        <v>5458</v>
      </c>
      <c r="D1474" t="s">
        <v>6589</v>
      </c>
      <c r="E1474">
        <v>3</v>
      </c>
      <c r="F1474" t="str">
        <f>IF(AND(Entities[[#This Row],[ENT_TYPE]]="County",RIGHT(Entities[[#This Row],[ENT_NAME]],6)&lt;&gt;"County"),_xlfn.TEXTJOIN(" ",TRUE,Entities[[#This Row],[ENT_NAME]],"County"),Entities[[#This Row],[ENT_NAME]])</f>
        <v>Onalaska</v>
      </c>
    </row>
    <row r="1475" spans="1:6" x14ac:dyDescent="0.25">
      <c r="A1475" s="302" t="s">
        <v>6590</v>
      </c>
      <c r="B1475" s="303" t="str">
        <f t="shared" si="23"/>
        <v>x03002521</v>
      </c>
      <c r="C1475" t="s">
        <v>5458</v>
      </c>
      <c r="D1475" t="s">
        <v>6591</v>
      </c>
      <c r="E1475">
        <v>3</v>
      </c>
      <c r="F1475" t="str">
        <f>IF(AND(Entities[[#This Row],[ENT_TYPE]]="County",RIGHT(Entities[[#This Row],[ENT_NAME]],6)&lt;&gt;"County"),_xlfn.TEXTJOIN(" ",TRUE,Entities[[#This Row],[ENT_NAME]],"County"),Entities[[#This Row],[ENT_NAME]])</f>
        <v>Highland Village</v>
      </c>
    </row>
    <row r="1476" spans="1:6" x14ac:dyDescent="0.25">
      <c r="A1476" s="302" t="s">
        <v>2391</v>
      </c>
      <c r="B1476" s="303" t="str">
        <f t="shared" si="23"/>
        <v>x03002533</v>
      </c>
      <c r="C1476" t="s">
        <v>5458</v>
      </c>
      <c r="D1476" t="s">
        <v>4510</v>
      </c>
      <c r="E1476">
        <v>3</v>
      </c>
      <c r="F1476" t="str">
        <f>IF(AND(Entities[[#This Row],[ENT_TYPE]]="County",RIGHT(Entities[[#This Row],[ENT_NAME]],6)&lt;&gt;"County"),_xlfn.TEXTJOIN(" ",TRUE,Entities[[#This Row],[ENT_NAME]],"County"),Entities[[#This Row],[ENT_NAME]])</f>
        <v>Latexo</v>
      </c>
    </row>
    <row r="1477" spans="1:6" x14ac:dyDescent="0.25">
      <c r="A1477" s="302" t="s">
        <v>6592</v>
      </c>
      <c r="B1477" s="303" t="str">
        <f t="shared" si="23"/>
        <v>x03002552</v>
      </c>
      <c r="C1477" t="s">
        <v>5458</v>
      </c>
      <c r="D1477" t="s">
        <v>6593</v>
      </c>
      <c r="E1477">
        <v>3</v>
      </c>
      <c r="F1477" t="str">
        <f>IF(AND(Entities[[#This Row],[ENT_TYPE]]="County",RIGHT(Entities[[#This Row],[ENT_NAME]],6)&lt;&gt;"County"),_xlfn.TEXTJOIN(" ",TRUE,Entities[[#This Row],[ENT_NAME]],"County"),Entities[[#This Row],[ENT_NAME]])</f>
        <v>Fairfield</v>
      </c>
    </row>
    <row r="1478" spans="1:6" x14ac:dyDescent="0.25">
      <c r="A1478" s="302" t="s">
        <v>6594</v>
      </c>
      <c r="B1478" s="303" t="str">
        <f t="shared" si="23"/>
        <v>x03002554</v>
      </c>
      <c r="C1478" t="s">
        <v>5458</v>
      </c>
      <c r="D1478" t="s">
        <v>6595</v>
      </c>
      <c r="E1478">
        <v>3</v>
      </c>
      <c r="F1478" t="str">
        <f>IF(AND(Entities[[#This Row],[ENT_TYPE]]="County",RIGHT(Entities[[#This Row],[ENT_NAME]],6)&lt;&gt;"County"),_xlfn.TEXTJOIN(" ",TRUE,Entities[[#This Row],[ENT_NAME]],"County"),Entities[[#This Row],[ENT_NAME]])</f>
        <v>Goodrich</v>
      </c>
    </row>
    <row r="1479" spans="1:6" x14ac:dyDescent="0.25">
      <c r="A1479" s="302" t="s">
        <v>6596</v>
      </c>
      <c r="B1479" s="303" t="str">
        <f t="shared" si="23"/>
        <v>x03002560</v>
      </c>
      <c r="C1479" t="s">
        <v>5458</v>
      </c>
      <c r="D1479" t="s">
        <v>6597</v>
      </c>
      <c r="E1479">
        <v>3</v>
      </c>
      <c r="F1479" t="str">
        <f>IF(AND(Entities[[#This Row],[ENT_TYPE]]="County",RIGHT(Entities[[#This Row],[ENT_NAME]],6)&lt;&gt;"County"),_xlfn.TEXTJOIN(" ",TRUE,Entities[[#This Row],[ENT_NAME]],"County"),Entities[[#This Row],[ENT_NAME]])</f>
        <v>Duncanville</v>
      </c>
    </row>
    <row r="1480" spans="1:6" x14ac:dyDescent="0.25">
      <c r="A1480" s="302" t="s">
        <v>6598</v>
      </c>
      <c r="B1480" s="303" t="str">
        <f t="shared" si="23"/>
        <v>x03002561</v>
      </c>
      <c r="C1480" t="s">
        <v>5458</v>
      </c>
      <c r="D1480" t="s">
        <v>6599</v>
      </c>
      <c r="E1480">
        <v>3</v>
      </c>
      <c r="F1480" t="str">
        <f>IF(AND(Entities[[#This Row],[ENT_TYPE]]="County",RIGHT(Entities[[#This Row],[ENT_NAME]],6)&lt;&gt;"County"),_xlfn.TEXTJOIN(" ",TRUE,Entities[[#This Row],[ENT_NAME]],"County"),Entities[[#This Row],[ENT_NAME]])</f>
        <v>Farmers Branch</v>
      </c>
    </row>
    <row r="1481" spans="1:6" x14ac:dyDescent="0.25">
      <c r="A1481" s="302" t="s">
        <v>6600</v>
      </c>
      <c r="B1481" s="303" t="str">
        <f t="shared" si="23"/>
        <v>x03002562</v>
      </c>
      <c r="C1481" t="s">
        <v>5458</v>
      </c>
      <c r="D1481" t="s">
        <v>6601</v>
      </c>
      <c r="E1481">
        <v>3</v>
      </c>
      <c r="F1481" t="str">
        <f>IF(AND(Entities[[#This Row],[ENT_TYPE]]="County",RIGHT(Entities[[#This Row],[ENT_NAME]],6)&lt;&gt;"County"),_xlfn.TEXTJOIN(" ",TRUE,Entities[[#This Row],[ENT_NAME]],"County"),Entities[[#This Row],[ENT_NAME]])</f>
        <v>Hutchins</v>
      </c>
    </row>
    <row r="1482" spans="1:6" x14ac:dyDescent="0.25">
      <c r="A1482" s="302" t="s">
        <v>1869</v>
      </c>
      <c r="B1482" s="303" t="str">
        <f t="shared" si="23"/>
        <v>x03002563</v>
      </c>
      <c r="C1482" t="s">
        <v>5458</v>
      </c>
      <c r="D1482" t="s">
        <v>4386</v>
      </c>
      <c r="E1482">
        <v>3</v>
      </c>
      <c r="F1482" t="str">
        <f>IF(AND(Entities[[#This Row],[ENT_TYPE]]="County",RIGHT(Entities[[#This Row],[ENT_NAME]],6)&lt;&gt;"County"),_xlfn.TEXTJOIN(" ",TRUE,Entities[[#This Row],[ENT_NAME]],"County"),Entities[[#This Row],[ENT_NAME]])</f>
        <v>Irving</v>
      </c>
    </row>
    <row r="1483" spans="1:6" x14ac:dyDescent="0.25">
      <c r="A1483" s="302" t="s">
        <v>1985</v>
      </c>
      <c r="B1483" s="303" t="str">
        <f t="shared" si="23"/>
        <v>x03002564</v>
      </c>
      <c r="C1483" t="s">
        <v>5458</v>
      </c>
      <c r="D1483" t="s">
        <v>4413</v>
      </c>
      <c r="E1483">
        <v>3</v>
      </c>
      <c r="F1483" t="str">
        <f>IF(AND(Entities[[#This Row],[ENT_TYPE]]="County",RIGHT(Entities[[#This Row],[ENT_NAME]],6)&lt;&gt;"County"),_xlfn.TEXTJOIN(" ",TRUE,Entities[[#This Row],[ENT_NAME]],"County"),Entities[[#This Row],[ENT_NAME]])</f>
        <v>Lancaster</v>
      </c>
    </row>
    <row r="1484" spans="1:6" x14ac:dyDescent="0.25">
      <c r="A1484" s="302" t="s">
        <v>2161</v>
      </c>
      <c r="B1484" s="303" t="str">
        <f t="shared" si="23"/>
        <v>x03002565</v>
      </c>
      <c r="C1484" t="s">
        <v>5458</v>
      </c>
      <c r="D1484" t="s">
        <v>4457</v>
      </c>
      <c r="E1484">
        <v>3</v>
      </c>
      <c r="F1484" t="str">
        <f>IF(AND(Entities[[#This Row],[ENT_TYPE]]="County",RIGHT(Entities[[#This Row],[ENT_NAME]],6)&lt;&gt;"County"),_xlfn.TEXTJOIN(" ",TRUE,Entities[[#This Row],[ENT_NAME]],"County"),Entities[[#This Row],[ENT_NAME]])</f>
        <v>Sunnyvale</v>
      </c>
    </row>
    <row r="1485" spans="1:6" x14ac:dyDescent="0.25">
      <c r="A1485" s="302" t="s">
        <v>6602</v>
      </c>
      <c r="B1485" s="303" t="str">
        <f t="shared" si="23"/>
        <v>x03002566</v>
      </c>
      <c r="C1485" t="s">
        <v>5458</v>
      </c>
      <c r="D1485" t="s">
        <v>6603</v>
      </c>
      <c r="E1485">
        <v>3</v>
      </c>
      <c r="F1485" t="str">
        <f>IF(AND(Entities[[#This Row],[ENT_TYPE]]="County",RIGHT(Entities[[#This Row],[ENT_NAME]],6)&lt;&gt;"County"),_xlfn.TEXTJOIN(" ",TRUE,Entities[[#This Row],[ENT_NAME]],"County"),Entities[[#This Row],[ENT_NAME]])</f>
        <v>Wilmer</v>
      </c>
    </row>
    <row r="1486" spans="1:6" x14ac:dyDescent="0.25">
      <c r="A1486" s="302" t="s">
        <v>2316</v>
      </c>
      <c r="B1486" s="303" t="str">
        <f t="shared" si="23"/>
        <v>x03002572</v>
      </c>
      <c r="C1486" t="s">
        <v>5458</v>
      </c>
      <c r="D1486" t="s">
        <v>4487</v>
      </c>
      <c r="E1486">
        <v>3</v>
      </c>
      <c r="F1486" t="str">
        <f>IF(AND(Entities[[#This Row],[ENT_TYPE]]="County",RIGHT(Entities[[#This Row],[ENT_NAME]],6)&lt;&gt;"County"),_xlfn.TEXTJOIN(" ",TRUE,Entities[[#This Row],[ENT_NAME]],"County"),Entities[[#This Row],[ENT_NAME]])</f>
        <v>Angus</v>
      </c>
    </row>
    <row r="1487" spans="1:6" x14ac:dyDescent="0.25">
      <c r="A1487" s="302" t="s">
        <v>6604</v>
      </c>
      <c r="B1487" s="303" t="str">
        <f t="shared" si="23"/>
        <v>x03002573</v>
      </c>
      <c r="C1487" t="s">
        <v>5458</v>
      </c>
      <c r="D1487" t="s">
        <v>2290</v>
      </c>
      <c r="E1487">
        <v>3</v>
      </c>
      <c r="F1487" t="str">
        <f>IF(AND(Entities[[#This Row],[ENT_TYPE]]="County",RIGHT(Entities[[#This Row],[ENT_NAME]],6)&lt;&gt;"County"),_xlfn.TEXTJOIN(" ",TRUE,Entities[[#This Row],[ENT_NAME]],"County"),Entities[[#This Row],[ENT_NAME]])</f>
        <v>Navarro</v>
      </c>
    </row>
    <row r="1488" spans="1:6" x14ac:dyDescent="0.25">
      <c r="A1488" s="302" t="s">
        <v>2325</v>
      </c>
      <c r="B1488" s="303" t="str">
        <f t="shared" si="23"/>
        <v>x03002597</v>
      </c>
      <c r="C1488" t="s">
        <v>5458</v>
      </c>
      <c r="D1488" t="s">
        <v>4490</v>
      </c>
      <c r="E1488">
        <v>3</v>
      </c>
      <c r="F1488" t="str">
        <f>IF(AND(Entities[[#This Row],[ENT_TYPE]]="County",RIGHT(Entities[[#This Row],[ENT_NAME]],6)&lt;&gt;"County"),_xlfn.TEXTJOIN(" ",TRUE,Entities[[#This Row],[ENT_NAME]],"County"),Entities[[#This Row],[ENT_NAME]])</f>
        <v>Bynum</v>
      </c>
    </row>
    <row r="1489" spans="1:6" x14ac:dyDescent="0.25">
      <c r="A1489" s="302" t="s">
        <v>6605</v>
      </c>
      <c r="B1489" s="303" t="str">
        <f t="shared" si="23"/>
        <v>x03002599</v>
      </c>
      <c r="C1489" t="s">
        <v>5458</v>
      </c>
      <c r="D1489" t="s">
        <v>6606</v>
      </c>
      <c r="E1489">
        <v>3</v>
      </c>
      <c r="F1489" t="str">
        <f>IF(AND(Entities[[#This Row],[ENT_TYPE]]="County",RIGHT(Entities[[#This Row],[ENT_NAME]],6)&lt;&gt;"County"),_xlfn.TEXTJOIN(" ",TRUE,Entities[[#This Row],[ENT_NAME]],"County"),Entities[[#This Row],[ENT_NAME]])</f>
        <v>Lovelady</v>
      </c>
    </row>
    <row r="1490" spans="1:6" x14ac:dyDescent="0.25">
      <c r="A1490" s="302" t="s">
        <v>2297</v>
      </c>
      <c r="B1490" s="303" t="str">
        <f t="shared" si="23"/>
        <v>x03002600</v>
      </c>
      <c r="C1490" t="s">
        <v>5458</v>
      </c>
      <c r="D1490" t="s">
        <v>4483</v>
      </c>
      <c r="E1490">
        <v>3</v>
      </c>
      <c r="F1490" t="str">
        <f>IF(AND(Entities[[#This Row],[ENT_TYPE]]="County",RIGHT(Entities[[#This Row],[ENT_NAME]],6)&lt;&gt;"County"),_xlfn.TEXTJOIN(" ",TRUE,Entities[[#This Row],[ENT_NAME]],"County"),Entities[[#This Row],[ENT_NAME]])</f>
        <v>Streetman</v>
      </c>
    </row>
    <row r="1491" spans="1:6" x14ac:dyDescent="0.25">
      <c r="A1491" s="302" t="s">
        <v>6607</v>
      </c>
      <c r="B1491" s="303" t="str">
        <f t="shared" si="23"/>
        <v>x03002601</v>
      </c>
      <c r="C1491" t="s">
        <v>5458</v>
      </c>
      <c r="D1491" t="s">
        <v>6608</v>
      </c>
      <c r="E1491">
        <v>3</v>
      </c>
      <c r="F1491" t="str">
        <f>IF(AND(Entities[[#This Row],[ENT_TYPE]]="County",RIGHT(Entities[[#This Row],[ENT_NAME]],6)&lt;&gt;"County"),_xlfn.TEXTJOIN(" ",TRUE,Entities[[#This Row],[ENT_NAME]],"County"),Entities[[#This Row],[ENT_NAME]])</f>
        <v>Blooming Grove</v>
      </c>
    </row>
    <row r="1492" spans="1:6" x14ac:dyDescent="0.25">
      <c r="A1492" s="302" t="s">
        <v>6609</v>
      </c>
      <c r="B1492" s="303" t="str">
        <f t="shared" si="23"/>
        <v>x03002602</v>
      </c>
      <c r="C1492" t="s">
        <v>5458</v>
      </c>
      <c r="D1492" t="s">
        <v>490</v>
      </c>
      <c r="E1492">
        <v>3</v>
      </c>
      <c r="F1492" t="str">
        <f>IF(AND(Entities[[#This Row],[ENT_TYPE]]="County",RIGHT(Entities[[#This Row],[ENT_NAME]],6)&lt;&gt;"County"),_xlfn.TEXTJOIN(" ",TRUE,Entities[[#This Row],[ENT_NAME]],"County"),Entities[[#This Row],[ENT_NAME]])</f>
        <v>Dawson</v>
      </c>
    </row>
    <row r="1493" spans="1:6" x14ac:dyDescent="0.25">
      <c r="A1493" s="302" t="s">
        <v>2351</v>
      </c>
      <c r="B1493" s="303" t="str">
        <f t="shared" si="23"/>
        <v>x03002603</v>
      </c>
      <c r="C1493" t="s">
        <v>5458</v>
      </c>
      <c r="D1493" t="s">
        <v>4500</v>
      </c>
      <c r="E1493">
        <v>3</v>
      </c>
      <c r="F1493" t="str">
        <f>IF(AND(Entities[[#This Row],[ENT_TYPE]]="County",RIGHT(Entities[[#This Row],[ENT_NAME]],6)&lt;&gt;"County"),_xlfn.TEXTJOIN(" ",TRUE,Entities[[#This Row],[ENT_NAME]],"County"),Entities[[#This Row],[ENT_NAME]])</f>
        <v>Emhouse</v>
      </c>
    </row>
    <row r="1494" spans="1:6" x14ac:dyDescent="0.25">
      <c r="A1494" s="302" t="s">
        <v>6610</v>
      </c>
      <c r="B1494" s="303" t="str">
        <f t="shared" si="23"/>
        <v>x03002605</v>
      </c>
      <c r="C1494" t="s">
        <v>5458</v>
      </c>
      <c r="D1494" t="s">
        <v>6611</v>
      </c>
      <c r="E1494">
        <v>3</v>
      </c>
      <c r="F1494" t="str">
        <f>IF(AND(Entities[[#This Row],[ENT_TYPE]]="County",RIGHT(Entities[[#This Row],[ENT_NAME]],6)&lt;&gt;"County"),_xlfn.TEXTJOIN(" ",TRUE,Entities[[#This Row],[ENT_NAME]],"County"),Entities[[#This Row],[ENT_NAME]])</f>
        <v>Hubbard</v>
      </c>
    </row>
    <row r="1495" spans="1:6" x14ac:dyDescent="0.25">
      <c r="A1495" s="302" t="s">
        <v>6612</v>
      </c>
      <c r="B1495" s="303" t="str">
        <f t="shared" si="23"/>
        <v>x03002607</v>
      </c>
      <c r="C1495" t="s">
        <v>5458</v>
      </c>
      <c r="D1495" t="s">
        <v>6613</v>
      </c>
      <c r="E1495">
        <v>3</v>
      </c>
      <c r="F1495" t="str">
        <f>IF(AND(Entities[[#This Row],[ENT_TYPE]]="County",RIGHT(Entities[[#This Row],[ENT_NAME]],6)&lt;&gt;"County"),_xlfn.TEXTJOIN(" ",TRUE,Entities[[#This Row],[ENT_NAME]],"County"),Entities[[#This Row],[ENT_NAME]])</f>
        <v>Mertens</v>
      </c>
    </row>
    <row r="1496" spans="1:6" x14ac:dyDescent="0.25">
      <c r="A1496" s="302" t="s">
        <v>2431</v>
      </c>
      <c r="B1496" s="303" t="str">
        <f t="shared" si="23"/>
        <v>x03002609</v>
      </c>
      <c r="C1496" t="s">
        <v>5458</v>
      </c>
      <c r="D1496" t="s">
        <v>4518</v>
      </c>
      <c r="E1496">
        <v>3</v>
      </c>
      <c r="F1496" t="str">
        <f>IF(AND(Entities[[#This Row],[ENT_TYPE]]="County",RIGHT(Entities[[#This Row],[ENT_NAME]],6)&lt;&gt;"County"),_xlfn.TEXTJOIN(" ",TRUE,Entities[[#This Row],[ENT_NAME]],"County"),Entities[[#This Row],[ENT_NAME]])</f>
        <v>Penelope</v>
      </c>
    </row>
    <row r="1497" spans="1:6" x14ac:dyDescent="0.25">
      <c r="A1497" s="302" t="s">
        <v>6614</v>
      </c>
      <c r="B1497" s="303" t="str">
        <f t="shared" si="23"/>
        <v>x03002611</v>
      </c>
      <c r="C1497" t="s">
        <v>5458</v>
      </c>
      <c r="D1497" t="s">
        <v>6615</v>
      </c>
      <c r="E1497">
        <v>3</v>
      </c>
      <c r="F1497" t="str">
        <f>IF(AND(Entities[[#This Row],[ENT_TYPE]]="County",RIGHT(Entities[[#This Row],[ENT_NAME]],6)&lt;&gt;"County"),_xlfn.TEXTJOIN(" ",TRUE,Entities[[#This Row],[ENT_NAME]],"County"),Entities[[#This Row],[ENT_NAME]])</f>
        <v>Frost</v>
      </c>
    </row>
    <row r="1498" spans="1:6" x14ac:dyDescent="0.25">
      <c r="A1498" s="302" t="s">
        <v>6616</v>
      </c>
      <c r="B1498" s="303" t="str">
        <f t="shared" si="23"/>
        <v>x03002613</v>
      </c>
      <c r="C1498" t="s">
        <v>5458</v>
      </c>
      <c r="D1498" t="s">
        <v>6617</v>
      </c>
      <c r="E1498">
        <v>3</v>
      </c>
      <c r="F1498" t="str">
        <f>IF(AND(Entities[[#This Row],[ENT_TYPE]]="County",RIGHT(Entities[[#This Row],[ENT_NAME]],6)&lt;&gt;"County"),_xlfn.TEXTJOIN(" ",TRUE,Entities[[#This Row],[ENT_NAME]],"County"),Entities[[#This Row],[ENT_NAME]])</f>
        <v>Dayton Lakes</v>
      </c>
    </row>
    <row r="1499" spans="1:6" x14ac:dyDescent="0.25">
      <c r="A1499" s="302" t="s">
        <v>6618</v>
      </c>
      <c r="B1499" s="303" t="str">
        <f t="shared" si="23"/>
        <v>x03002622</v>
      </c>
      <c r="C1499" t="s">
        <v>5458</v>
      </c>
      <c r="D1499" t="s">
        <v>6619</v>
      </c>
      <c r="E1499">
        <v>3</v>
      </c>
      <c r="F1499" t="str">
        <f>IF(AND(Entities[[#This Row],[ENT_TYPE]]="County",RIGHT(Entities[[#This Row],[ENT_NAME]],6)&lt;&gt;"County"),_xlfn.TEXTJOIN(" ",TRUE,Entities[[#This Row],[ENT_NAME]],"County"),Entities[[#This Row],[ENT_NAME]])</f>
        <v>Princeton</v>
      </c>
    </row>
    <row r="1500" spans="1:6" x14ac:dyDescent="0.25">
      <c r="A1500" s="302" t="s">
        <v>6620</v>
      </c>
      <c r="B1500" s="303" t="str">
        <f t="shared" si="23"/>
        <v>x03002623</v>
      </c>
      <c r="C1500" t="s">
        <v>5458</v>
      </c>
      <c r="D1500" t="s">
        <v>6621</v>
      </c>
      <c r="E1500">
        <v>3</v>
      </c>
      <c r="F1500" t="str">
        <f>IF(AND(Entities[[#This Row],[ENT_TYPE]]="County",RIGHT(Entities[[#This Row],[ENT_NAME]],6)&lt;&gt;"County"),_xlfn.TEXTJOIN(" ",TRUE,Entities[[#This Row],[ENT_NAME]],"County"),Entities[[#This Row],[ENT_NAME]])</f>
        <v>Prosper</v>
      </c>
    </row>
    <row r="1501" spans="1:6" x14ac:dyDescent="0.25">
      <c r="A1501" s="302" t="s">
        <v>6622</v>
      </c>
      <c r="B1501" s="303" t="str">
        <f t="shared" si="23"/>
        <v>x03002624</v>
      </c>
      <c r="C1501" t="s">
        <v>5458</v>
      </c>
      <c r="D1501" t="s">
        <v>6623</v>
      </c>
      <c r="E1501">
        <v>3</v>
      </c>
      <c r="F1501" t="str">
        <f>IF(AND(Entities[[#This Row],[ENT_TYPE]]="County",RIGHT(Entities[[#This Row],[ENT_NAME]],6)&lt;&gt;"County"),_xlfn.TEXTJOIN(" ",TRUE,Entities[[#This Row],[ENT_NAME]],"County"),Entities[[#This Row],[ENT_NAME]])</f>
        <v>McKinney</v>
      </c>
    </row>
    <row r="1502" spans="1:6" x14ac:dyDescent="0.25">
      <c r="A1502" s="302" t="s">
        <v>6624</v>
      </c>
      <c r="B1502" s="303" t="str">
        <f t="shared" si="23"/>
        <v>x03002627</v>
      </c>
      <c r="C1502" t="s">
        <v>5458</v>
      </c>
      <c r="D1502" t="s">
        <v>6625</v>
      </c>
      <c r="E1502">
        <v>3</v>
      </c>
      <c r="F1502" t="str">
        <f>IF(AND(Entities[[#This Row],[ENT_TYPE]]="County",RIGHT(Entities[[#This Row],[ENT_NAME]],6)&lt;&gt;"County"),_xlfn.TEXTJOIN(" ",TRUE,Entities[[#This Row],[ENT_NAME]],"County"),Entities[[#This Row],[ENT_NAME]])</f>
        <v>Cottonwood</v>
      </c>
    </row>
    <row r="1503" spans="1:6" x14ac:dyDescent="0.25">
      <c r="A1503" s="302" t="s">
        <v>6626</v>
      </c>
      <c r="B1503" s="303" t="str">
        <f t="shared" si="23"/>
        <v>x03002631</v>
      </c>
      <c r="C1503" t="s">
        <v>5458</v>
      </c>
      <c r="D1503" t="s">
        <v>6627</v>
      </c>
      <c r="E1503">
        <v>3</v>
      </c>
      <c r="F1503" t="str">
        <f>IF(AND(Entities[[#This Row],[ENT_TYPE]]="County",RIGHT(Entities[[#This Row],[ENT_NAME]],6)&lt;&gt;"County"),_xlfn.TEXTJOIN(" ",TRUE,Entities[[#This Row],[ENT_NAME]],"County"),Entities[[#This Row],[ENT_NAME]])</f>
        <v>Kerens</v>
      </c>
    </row>
    <row r="1504" spans="1:6" x14ac:dyDescent="0.25">
      <c r="A1504" s="302" t="s">
        <v>2411</v>
      </c>
      <c r="B1504" s="303" t="str">
        <f t="shared" si="23"/>
        <v>x03002632</v>
      </c>
      <c r="C1504" t="s">
        <v>5458</v>
      </c>
      <c r="D1504" t="s">
        <v>4513</v>
      </c>
      <c r="E1504">
        <v>3</v>
      </c>
      <c r="F1504" t="str">
        <f>IF(AND(Entities[[#This Row],[ENT_TYPE]]="County",RIGHT(Entities[[#This Row],[ENT_NAME]],6)&lt;&gt;"County"),_xlfn.TEXTJOIN(" ",TRUE,Entities[[#This Row],[ENT_NAME]],"County"),Entities[[#This Row],[ENT_NAME]])</f>
        <v>Mustang</v>
      </c>
    </row>
    <row r="1505" spans="1:6" x14ac:dyDescent="0.25">
      <c r="A1505" s="302" t="s">
        <v>2426</v>
      </c>
      <c r="B1505" s="303" t="str">
        <f t="shared" si="23"/>
        <v>x03002633</v>
      </c>
      <c r="C1505" t="s">
        <v>5458</v>
      </c>
      <c r="D1505" t="s">
        <v>4517</v>
      </c>
      <c r="E1505">
        <v>3</v>
      </c>
      <c r="F1505" t="str">
        <f>IF(AND(Entities[[#This Row],[ENT_TYPE]]="County",RIGHT(Entities[[#This Row],[ENT_NAME]],6)&lt;&gt;"County"),_xlfn.TEXTJOIN(" ",TRUE,Entities[[#This Row],[ENT_NAME]],"County"),Entities[[#This Row],[ENT_NAME]])</f>
        <v>Oak Valley</v>
      </c>
    </row>
    <row r="1506" spans="1:6" x14ac:dyDescent="0.25">
      <c r="A1506" s="302" t="s">
        <v>6628</v>
      </c>
      <c r="B1506" s="303" t="str">
        <f t="shared" si="23"/>
        <v>x03002634</v>
      </c>
      <c r="C1506" t="s">
        <v>5458</v>
      </c>
      <c r="D1506" t="s">
        <v>6629</v>
      </c>
      <c r="E1506">
        <v>3</v>
      </c>
      <c r="F1506" t="str">
        <f>IF(AND(Entities[[#This Row],[ENT_TYPE]]="County",RIGHT(Entities[[#This Row],[ENT_NAME]],6)&lt;&gt;"County"),_xlfn.TEXTJOIN(" ",TRUE,Entities[[#This Row],[ENT_NAME]],"County"),Entities[[#This Row],[ENT_NAME]])</f>
        <v>Powell</v>
      </c>
    </row>
    <row r="1507" spans="1:6" x14ac:dyDescent="0.25">
      <c r="A1507" s="302" t="s">
        <v>2292</v>
      </c>
      <c r="B1507" s="303" t="str">
        <f t="shared" si="23"/>
        <v>x03002635</v>
      </c>
      <c r="C1507" t="s">
        <v>5458</v>
      </c>
      <c r="D1507" t="s">
        <v>4480</v>
      </c>
      <c r="E1507">
        <v>3</v>
      </c>
      <c r="F1507" t="str">
        <f>IF(AND(Entities[[#This Row],[ENT_TYPE]]="County",RIGHT(Entities[[#This Row],[ENT_NAME]],6)&lt;&gt;"County"),_xlfn.TEXTJOIN(" ",TRUE,Entities[[#This Row],[ENT_NAME]],"County"),Entities[[#This Row],[ENT_NAME]])</f>
        <v>Retreat</v>
      </c>
    </row>
    <row r="1508" spans="1:6" x14ac:dyDescent="0.25">
      <c r="A1508" s="302" t="s">
        <v>6630</v>
      </c>
      <c r="B1508" s="303" t="str">
        <f t="shared" si="23"/>
        <v>x03002636</v>
      </c>
      <c r="C1508" t="s">
        <v>5458</v>
      </c>
      <c r="D1508" t="s">
        <v>6631</v>
      </c>
      <c r="E1508">
        <v>3</v>
      </c>
      <c r="F1508" t="str">
        <f>IF(AND(Entities[[#This Row],[ENT_TYPE]]="County",RIGHT(Entities[[#This Row],[ENT_NAME]],6)&lt;&gt;"County"),_xlfn.TEXTJOIN(" ",TRUE,Entities[[#This Row],[ENT_NAME]],"County"),Entities[[#This Row],[ENT_NAME]])</f>
        <v>Rice</v>
      </c>
    </row>
    <row r="1509" spans="1:6" x14ac:dyDescent="0.25">
      <c r="A1509" s="302" t="s">
        <v>6632</v>
      </c>
      <c r="B1509" s="303" t="str">
        <f t="shared" si="23"/>
        <v>x03002637</v>
      </c>
      <c r="C1509" t="s">
        <v>5458</v>
      </c>
      <c r="D1509" t="s">
        <v>6633</v>
      </c>
      <c r="E1509">
        <v>3</v>
      </c>
      <c r="F1509" t="str">
        <f>IF(AND(Entities[[#This Row],[ENT_TYPE]]="County",RIGHT(Entities[[#This Row],[ENT_NAME]],6)&lt;&gt;"County"),_xlfn.TEXTJOIN(" ",TRUE,Entities[[#This Row],[ENT_NAME]],"County"),Entities[[#This Row],[ENT_NAME]])</f>
        <v>Richland</v>
      </c>
    </row>
    <row r="1510" spans="1:6" x14ac:dyDescent="0.25">
      <c r="A1510" s="302" t="s">
        <v>2397</v>
      </c>
      <c r="B1510" s="303" t="str">
        <f t="shared" si="23"/>
        <v>x03002642</v>
      </c>
      <c r="C1510" t="s">
        <v>5458</v>
      </c>
      <c r="D1510" t="s">
        <v>4511</v>
      </c>
      <c r="E1510">
        <v>3</v>
      </c>
      <c r="F1510" t="str">
        <f>IF(AND(Entities[[#This Row],[ENT_TYPE]]="County",RIGHT(Entities[[#This Row],[ENT_NAME]],6)&lt;&gt;"County"),_xlfn.TEXTJOIN(" ",TRUE,Entities[[#This Row],[ENT_NAME]],"County"),Entities[[#This Row],[ENT_NAME]])</f>
        <v>Leona</v>
      </c>
    </row>
    <row r="1511" spans="1:6" x14ac:dyDescent="0.25">
      <c r="A1511" s="302" t="s">
        <v>6634</v>
      </c>
      <c r="B1511" s="303" t="str">
        <f t="shared" si="23"/>
        <v>x03002644</v>
      </c>
      <c r="C1511" t="s">
        <v>5458</v>
      </c>
      <c r="D1511" t="s">
        <v>6635</v>
      </c>
      <c r="E1511">
        <v>3</v>
      </c>
      <c r="F1511" t="str">
        <f>IF(AND(Entities[[#This Row],[ENT_TYPE]]="County",RIGHT(Entities[[#This Row],[ENT_NAME]],6)&lt;&gt;"County"),_xlfn.TEXTJOIN(" ",TRUE,Entities[[#This Row],[ENT_NAME]],"County"),Entities[[#This Row],[ENT_NAME]])</f>
        <v>Kenefick</v>
      </c>
    </row>
    <row r="1512" spans="1:6" x14ac:dyDescent="0.25">
      <c r="A1512" s="302" t="s">
        <v>6636</v>
      </c>
      <c r="B1512" s="303" t="str">
        <f t="shared" si="23"/>
        <v>x03002645</v>
      </c>
      <c r="C1512" t="s">
        <v>5458</v>
      </c>
      <c r="D1512" t="s">
        <v>81</v>
      </c>
      <c r="E1512">
        <v>3</v>
      </c>
      <c r="F1512" t="str">
        <f>IF(AND(Entities[[#This Row],[ENT_TYPE]]="County",RIGHT(Entities[[#This Row],[ENT_NAME]],6)&lt;&gt;"County"),_xlfn.TEXTJOIN(" ",TRUE,Entities[[#This Row],[ENT_NAME]],"County"),Entities[[#This Row],[ENT_NAME]])</f>
        <v>Liberty</v>
      </c>
    </row>
    <row r="1513" spans="1:6" x14ac:dyDescent="0.25">
      <c r="A1513" s="302" t="s">
        <v>6637</v>
      </c>
      <c r="B1513" s="303" t="str">
        <f t="shared" si="23"/>
        <v>x03002652</v>
      </c>
      <c r="C1513" t="s">
        <v>5458</v>
      </c>
      <c r="D1513" t="s">
        <v>6638</v>
      </c>
      <c r="E1513">
        <v>3</v>
      </c>
      <c r="F1513" t="str">
        <f>IF(AND(Entities[[#This Row],[ENT_TYPE]]="County",RIGHT(Entities[[#This Row],[ENT_NAME]],6)&lt;&gt;"County"),_xlfn.TEXTJOIN(" ",TRUE,Entities[[#This Row],[ENT_NAME]],"County"),Entities[[#This Row],[ENT_NAME]])</f>
        <v>Sanctuary</v>
      </c>
    </row>
    <row r="1514" spans="1:6" x14ac:dyDescent="0.25">
      <c r="A1514" s="302" t="s">
        <v>6639</v>
      </c>
      <c r="B1514" s="303" t="str">
        <f t="shared" si="23"/>
        <v>x03002656</v>
      </c>
      <c r="C1514" t="s">
        <v>5458</v>
      </c>
      <c r="D1514" t="s">
        <v>6640</v>
      </c>
      <c r="E1514">
        <v>3</v>
      </c>
      <c r="F1514" t="str">
        <f>IF(AND(Entities[[#This Row],[ENT_TYPE]]="County",RIGHT(Entities[[#This Row],[ENT_NAME]],6)&lt;&gt;"County"),_xlfn.TEXTJOIN(" ",TRUE,Entities[[#This Row],[ENT_NAME]],"County"),Entities[[#This Row],[ENT_NAME]])</f>
        <v>Murphy</v>
      </c>
    </row>
    <row r="1515" spans="1:6" x14ac:dyDescent="0.25">
      <c r="A1515" s="302" t="s">
        <v>2367</v>
      </c>
      <c r="B1515" s="303" t="str">
        <f t="shared" si="23"/>
        <v>x03002660</v>
      </c>
      <c r="C1515" t="s">
        <v>5458</v>
      </c>
      <c r="D1515" t="s">
        <v>4505</v>
      </c>
      <c r="E1515">
        <v>3</v>
      </c>
      <c r="F1515" t="str">
        <f>IF(AND(Entities[[#This Row],[ENT_TYPE]]="County",RIGHT(Entities[[#This Row],[ENT_NAME]],6)&lt;&gt;"County"),_xlfn.TEXTJOIN(" ",TRUE,Entities[[#This Row],[ENT_NAME]],"County"),Entities[[#This Row],[ENT_NAME]])</f>
        <v>Grays Prairie</v>
      </c>
    </row>
    <row r="1516" spans="1:6" x14ac:dyDescent="0.25">
      <c r="A1516" s="302" t="s">
        <v>2420</v>
      </c>
      <c r="B1516" s="303" t="str">
        <f t="shared" si="23"/>
        <v>x03002661</v>
      </c>
      <c r="C1516" t="s">
        <v>5458</v>
      </c>
      <c r="D1516" t="s">
        <v>4516</v>
      </c>
      <c r="E1516">
        <v>3</v>
      </c>
      <c r="F1516" t="str">
        <f>IF(AND(Entities[[#This Row],[ENT_TYPE]]="County",RIGHT(Entities[[#This Row],[ENT_NAME]],6)&lt;&gt;"County"),_xlfn.TEXTJOIN(" ",TRUE,Entities[[#This Row],[ENT_NAME]],"County"),Entities[[#This Row],[ENT_NAME]])</f>
        <v>Oak Grove</v>
      </c>
    </row>
    <row r="1517" spans="1:6" x14ac:dyDescent="0.25">
      <c r="A1517" s="302" t="s">
        <v>6641</v>
      </c>
      <c r="B1517" s="303" t="str">
        <f t="shared" si="23"/>
        <v>x03002662</v>
      </c>
      <c r="C1517" t="s">
        <v>5458</v>
      </c>
      <c r="D1517" t="s">
        <v>6642</v>
      </c>
      <c r="E1517">
        <v>3</v>
      </c>
      <c r="F1517" t="str">
        <f>IF(AND(Entities[[#This Row],[ENT_TYPE]]="County",RIGHT(Entities[[#This Row],[ENT_NAME]],6)&lt;&gt;"County"),_xlfn.TEXTJOIN(" ",TRUE,Entities[[#This Row],[ENT_NAME]],"County"),Entities[[#This Row],[ENT_NAME]])</f>
        <v>Oak Ridge</v>
      </c>
    </row>
    <row r="1518" spans="1:6" x14ac:dyDescent="0.25">
      <c r="A1518" s="302" t="s">
        <v>2436</v>
      </c>
      <c r="B1518" s="303" t="str">
        <f t="shared" si="23"/>
        <v>x03002663</v>
      </c>
      <c r="C1518" t="s">
        <v>5458</v>
      </c>
      <c r="D1518" t="s">
        <v>6643</v>
      </c>
      <c r="E1518">
        <v>3</v>
      </c>
      <c r="F1518" t="str">
        <f>IF(AND(Entities[[#This Row],[ENT_TYPE]]="County",RIGHT(Entities[[#This Row],[ENT_NAME]],6)&lt;&gt;"County"),_xlfn.TEXTJOIN(" ",TRUE,Entities[[#This Row],[ENT_NAME]],"County"),Entities[[#This Row],[ENT_NAME]])</f>
        <v>Post Oak Bend City</v>
      </c>
    </row>
    <row r="1519" spans="1:6" x14ac:dyDescent="0.25">
      <c r="A1519" s="302" t="s">
        <v>6644</v>
      </c>
      <c r="B1519" s="303" t="str">
        <f t="shared" si="23"/>
        <v>x03002664</v>
      </c>
      <c r="C1519" t="s">
        <v>5458</v>
      </c>
      <c r="D1519" t="s">
        <v>439</v>
      </c>
      <c r="E1519">
        <v>3</v>
      </c>
      <c r="F1519" t="str">
        <f>IF(AND(Entities[[#This Row],[ENT_TYPE]]="County",RIGHT(Entities[[#This Row],[ENT_NAME]],6)&lt;&gt;"County"),_xlfn.TEXTJOIN(" ",TRUE,Entities[[#This Row],[ENT_NAME]],"County"),Entities[[#This Row],[ENT_NAME]])</f>
        <v>Scurry</v>
      </c>
    </row>
    <row r="1520" spans="1:6" x14ac:dyDescent="0.25">
      <c r="A1520" s="302" t="s">
        <v>6645</v>
      </c>
      <c r="B1520" s="303" t="str">
        <f t="shared" si="23"/>
        <v>x03002665</v>
      </c>
      <c r="C1520" t="s">
        <v>5458</v>
      </c>
      <c r="D1520" t="s">
        <v>6646</v>
      </c>
      <c r="E1520">
        <v>3</v>
      </c>
      <c r="F1520" t="str">
        <f>IF(AND(Entities[[#This Row],[ENT_TYPE]]="County",RIGHT(Entities[[#This Row],[ENT_NAME]],6)&lt;&gt;"County"),_xlfn.TEXTJOIN(" ",TRUE,Entities[[#This Row],[ENT_NAME]],"County"),Entities[[#This Row],[ENT_NAME]])</f>
        <v>Talty</v>
      </c>
    </row>
    <row r="1521" spans="1:6" x14ac:dyDescent="0.25">
      <c r="A1521" s="302" t="s">
        <v>2218</v>
      </c>
      <c r="B1521" s="303" t="str">
        <f t="shared" si="23"/>
        <v>x03002666</v>
      </c>
      <c r="C1521" t="s">
        <v>5458</v>
      </c>
      <c r="D1521" t="s">
        <v>4467</v>
      </c>
      <c r="E1521">
        <v>3</v>
      </c>
      <c r="F1521" t="str">
        <f>IF(AND(Entities[[#This Row],[ENT_TYPE]]="County",RIGHT(Entities[[#This Row],[ENT_NAME]],6)&lt;&gt;"County"),_xlfn.TEXTJOIN(" ",TRUE,Entities[[#This Row],[ENT_NAME]],"County"),Entities[[#This Row],[ENT_NAME]])</f>
        <v>Terrell</v>
      </c>
    </row>
    <row r="1522" spans="1:6" x14ac:dyDescent="0.25">
      <c r="A1522" s="302" t="s">
        <v>6647</v>
      </c>
      <c r="B1522" s="303" t="str">
        <f t="shared" si="23"/>
        <v>x03002668</v>
      </c>
      <c r="C1522" t="s">
        <v>5458</v>
      </c>
      <c r="D1522" t="s">
        <v>6648</v>
      </c>
      <c r="E1522">
        <v>3</v>
      </c>
      <c r="F1522" t="str">
        <f>IF(AND(Entities[[#This Row],[ENT_TYPE]]="County",RIGHT(Entities[[#This Row],[ENT_NAME]],6)&lt;&gt;"County"),_xlfn.TEXTJOIN(" ",TRUE,Entities[[#This Row],[ENT_NAME]],"County"),Entities[[#This Row],[ENT_NAME]])</f>
        <v>Barry</v>
      </c>
    </row>
    <row r="1523" spans="1:6" x14ac:dyDescent="0.25">
      <c r="A1523" s="302" t="s">
        <v>6649</v>
      </c>
      <c r="B1523" s="303" t="str">
        <f t="shared" si="23"/>
        <v>x03002697</v>
      </c>
      <c r="C1523" t="s">
        <v>5458</v>
      </c>
      <c r="D1523" t="s">
        <v>6650</v>
      </c>
      <c r="E1523">
        <v>3</v>
      </c>
      <c r="F1523" t="str">
        <f>IF(AND(Entities[[#This Row],[ENT_TYPE]]="County",RIGHT(Entities[[#This Row],[ENT_NAME]],6)&lt;&gt;"County"),_xlfn.TEXTJOIN(" ",TRUE,Entities[[#This Row],[ENT_NAME]],"County"),Entities[[#This Row],[ENT_NAME]])</f>
        <v>Muenster</v>
      </c>
    </row>
    <row r="1524" spans="1:6" x14ac:dyDescent="0.25">
      <c r="A1524" s="302" t="s">
        <v>6651</v>
      </c>
      <c r="B1524" s="303" t="str">
        <f t="shared" si="23"/>
        <v>x03002706</v>
      </c>
      <c r="C1524" t="s">
        <v>5458</v>
      </c>
      <c r="D1524" t="s">
        <v>735</v>
      </c>
      <c r="E1524">
        <v>3</v>
      </c>
      <c r="F1524" t="str">
        <f>IF(AND(Entities[[#This Row],[ENT_TYPE]]="County",RIGHT(Entities[[#This Row],[ENT_NAME]],6)&lt;&gt;"County"),_xlfn.TEXTJOIN(" ",TRUE,Entities[[#This Row],[ENT_NAME]],"County"),Entities[[#This Row],[ENT_NAME]])</f>
        <v>Crockett</v>
      </c>
    </row>
    <row r="1525" spans="1:6" x14ac:dyDescent="0.25">
      <c r="A1525" s="302" t="s">
        <v>6652</v>
      </c>
      <c r="B1525" s="303" t="str">
        <f t="shared" si="23"/>
        <v>x03002739</v>
      </c>
      <c r="C1525" t="s">
        <v>5458</v>
      </c>
      <c r="D1525" t="s">
        <v>6653</v>
      </c>
      <c r="E1525">
        <v>3</v>
      </c>
      <c r="F1525" t="str">
        <f>IF(AND(Entities[[#This Row],[ENT_TYPE]]="County",RIGHT(Entities[[#This Row],[ENT_NAME]],6)&lt;&gt;"County"),_xlfn.TEXTJOIN(" ",TRUE,Entities[[#This Row],[ENT_NAME]],"County"),Entities[[#This Row],[ENT_NAME]])</f>
        <v>Cross Roads</v>
      </c>
    </row>
    <row r="1526" spans="1:6" x14ac:dyDescent="0.25">
      <c r="A1526" s="302" t="s">
        <v>6654</v>
      </c>
      <c r="B1526" s="303" t="str">
        <f t="shared" si="23"/>
        <v>x03002740</v>
      </c>
      <c r="C1526" t="s">
        <v>5458</v>
      </c>
      <c r="D1526" t="s">
        <v>6655</v>
      </c>
      <c r="E1526">
        <v>3</v>
      </c>
      <c r="F1526" t="str">
        <f>IF(AND(Entities[[#This Row],[ENT_TYPE]]="County",RIGHT(Entities[[#This Row],[ENT_NAME]],6)&lt;&gt;"County"),_xlfn.TEXTJOIN(" ",TRUE,Entities[[#This Row],[ENT_NAME]],"County"),Entities[[#This Row],[ENT_NAME]])</f>
        <v>Hickory Creek</v>
      </c>
    </row>
    <row r="1527" spans="1:6" x14ac:dyDescent="0.25">
      <c r="A1527" s="302" t="s">
        <v>1977</v>
      </c>
      <c r="B1527" s="303" t="str">
        <f t="shared" si="23"/>
        <v>x03002747</v>
      </c>
      <c r="C1527" t="s">
        <v>5458</v>
      </c>
      <c r="D1527" t="s">
        <v>4411</v>
      </c>
      <c r="E1527">
        <v>3</v>
      </c>
      <c r="F1527" t="str">
        <f>IF(AND(Entities[[#This Row],[ENT_TYPE]]="County",RIGHT(Entities[[#This Row],[ENT_NAME]],6)&lt;&gt;"County"),_xlfn.TEXTJOIN(" ",TRUE,Entities[[#This Row],[ENT_NAME]],"County"),Entities[[#This Row],[ENT_NAME]])</f>
        <v>Cedar Hill</v>
      </c>
    </row>
    <row r="1528" spans="1:6" x14ac:dyDescent="0.25">
      <c r="A1528" s="302" t="s">
        <v>6656</v>
      </c>
      <c r="B1528" s="303" t="str">
        <f t="shared" si="23"/>
        <v>x03002748</v>
      </c>
      <c r="C1528" t="s">
        <v>5458</v>
      </c>
      <c r="D1528" t="s">
        <v>6657</v>
      </c>
      <c r="E1528">
        <v>3</v>
      </c>
      <c r="F1528" t="str">
        <f>IF(AND(Entities[[#This Row],[ENT_TYPE]]="County",RIGHT(Entities[[#This Row],[ENT_NAME]],6)&lt;&gt;"County"),_xlfn.TEXTJOIN(" ",TRUE,Entities[[#This Row],[ENT_NAME]],"County"),Entities[[#This Row],[ENT_NAME]])</f>
        <v>Glenn Heights</v>
      </c>
    </row>
    <row r="1529" spans="1:6" x14ac:dyDescent="0.25">
      <c r="A1529" s="302" t="s">
        <v>2304</v>
      </c>
      <c r="B1529" s="303" t="str">
        <f t="shared" si="23"/>
        <v>x03002750</v>
      </c>
      <c r="C1529" t="s">
        <v>5458</v>
      </c>
      <c r="D1529" t="s">
        <v>4485</v>
      </c>
      <c r="E1529">
        <v>3</v>
      </c>
      <c r="F1529" t="str">
        <f>IF(AND(Entities[[#This Row],[ENT_TYPE]]="County",RIGHT(Entities[[#This Row],[ENT_NAME]],6)&lt;&gt;"County"),_xlfn.TEXTJOIN(" ",TRUE,Entities[[#This Row],[ENT_NAME]],"County"),Entities[[#This Row],[ENT_NAME]])</f>
        <v>Alma</v>
      </c>
    </row>
    <row r="1530" spans="1:6" x14ac:dyDescent="0.25">
      <c r="A1530" s="302" t="s">
        <v>6658</v>
      </c>
      <c r="B1530" s="303" t="str">
        <f t="shared" si="23"/>
        <v>x03002751</v>
      </c>
      <c r="C1530" t="s">
        <v>5458</v>
      </c>
      <c r="D1530" t="s">
        <v>6659</v>
      </c>
      <c r="E1530">
        <v>3</v>
      </c>
      <c r="F1530" t="str">
        <f>IF(AND(Entities[[#This Row],[ENT_TYPE]]="County",RIGHT(Entities[[#This Row],[ENT_NAME]],6)&lt;&gt;"County"),_xlfn.TEXTJOIN(" ",TRUE,Entities[[#This Row],[ENT_NAME]],"County"),Entities[[#This Row],[ENT_NAME]])</f>
        <v>Ennis</v>
      </c>
    </row>
    <row r="1531" spans="1:6" x14ac:dyDescent="0.25">
      <c r="A1531" s="302" t="s">
        <v>6660</v>
      </c>
      <c r="B1531" s="303" t="str">
        <f t="shared" si="23"/>
        <v>x03002752</v>
      </c>
      <c r="C1531" t="s">
        <v>5458</v>
      </c>
      <c r="D1531" t="s">
        <v>6661</v>
      </c>
      <c r="E1531">
        <v>3</v>
      </c>
      <c r="F1531" t="str">
        <f>IF(AND(Entities[[#This Row],[ENT_TYPE]]="County",RIGHT(Entities[[#This Row],[ENT_NAME]],6)&lt;&gt;"County"),_xlfn.TEXTJOIN(" ",TRUE,Entities[[#This Row],[ENT_NAME]],"County"),Entities[[#This Row],[ENT_NAME]])</f>
        <v>Garrett</v>
      </c>
    </row>
    <row r="1532" spans="1:6" x14ac:dyDescent="0.25">
      <c r="A1532" s="302" t="s">
        <v>6662</v>
      </c>
      <c r="B1532" s="303" t="str">
        <f t="shared" si="23"/>
        <v>x03002759</v>
      </c>
      <c r="C1532" t="s">
        <v>5458</v>
      </c>
      <c r="D1532" t="s">
        <v>6663</v>
      </c>
      <c r="E1532">
        <v>3</v>
      </c>
      <c r="F1532" t="str">
        <f>IF(AND(Entities[[#This Row],[ENT_TYPE]]="County",RIGHT(Entities[[#This Row],[ENT_NAME]],6)&lt;&gt;"County"),_xlfn.TEXTJOIN(" ",TRUE,Entities[[#This Row],[ENT_NAME]],"County"),Entities[[#This Row],[ENT_NAME]])</f>
        <v>Milford</v>
      </c>
    </row>
    <row r="1533" spans="1:6" x14ac:dyDescent="0.25">
      <c r="A1533" s="302" t="s">
        <v>6664</v>
      </c>
      <c r="B1533" s="303" t="str">
        <f t="shared" si="23"/>
        <v>x03002760</v>
      </c>
      <c r="C1533" t="s">
        <v>5458</v>
      </c>
      <c r="D1533" t="s">
        <v>6665</v>
      </c>
      <c r="E1533">
        <v>3</v>
      </c>
      <c r="F1533" t="str">
        <f>IF(AND(Entities[[#This Row],[ENT_TYPE]]="County",RIGHT(Entities[[#This Row],[ENT_NAME]],6)&lt;&gt;"County"),_xlfn.TEXTJOIN(" ",TRUE,Entities[[#This Row],[ENT_NAME]],"County"),Entities[[#This Row],[ENT_NAME]])</f>
        <v>Palmer</v>
      </c>
    </row>
    <row r="1534" spans="1:6" x14ac:dyDescent="0.25">
      <c r="A1534" s="302" t="s">
        <v>2094</v>
      </c>
      <c r="B1534" s="303" t="str">
        <f t="shared" si="23"/>
        <v>x03002761</v>
      </c>
      <c r="C1534" t="s">
        <v>5458</v>
      </c>
      <c r="D1534" t="s">
        <v>4441</v>
      </c>
      <c r="E1534">
        <v>3</v>
      </c>
      <c r="F1534" t="str">
        <f>IF(AND(Entities[[#This Row],[ENT_TYPE]]="County",RIGHT(Entities[[#This Row],[ENT_NAME]],6)&lt;&gt;"County"),_xlfn.TEXTJOIN(" ",TRUE,Entities[[#This Row],[ENT_NAME]],"County"),Entities[[#This Row],[ENT_NAME]])</f>
        <v>Grand Prairie</v>
      </c>
    </row>
    <row r="1535" spans="1:6" x14ac:dyDescent="0.25">
      <c r="A1535" s="302" t="s">
        <v>6666</v>
      </c>
      <c r="B1535" s="303" t="str">
        <f t="shared" si="23"/>
        <v>x03002762</v>
      </c>
      <c r="C1535" t="s">
        <v>5458</v>
      </c>
      <c r="D1535" t="s">
        <v>6667</v>
      </c>
      <c r="E1535">
        <v>3</v>
      </c>
      <c r="F1535" t="str">
        <f>IF(AND(Entities[[#This Row],[ENT_TYPE]]="County",RIGHT(Entities[[#This Row],[ENT_NAME]],6)&lt;&gt;"County"),_xlfn.TEXTJOIN(" ",TRUE,Entities[[#This Row],[ENT_NAME]],"County"),Entities[[#This Row],[ENT_NAME]])</f>
        <v>Maypearl</v>
      </c>
    </row>
    <row r="1536" spans="1:6" x14ac:dyDescent="0.25">
      <c r="A1536" s="302" t="s">
        <v>6668</v>
      </c>
      <c r="B1536" s="303" t="str">
        <f t="shared" si="23"/>
        <v>x03002791</v>
      </c>
      <c r="C1536" t="s">
        <v>5458</v>
      </c>
      <c r="D1536" t="s">
        <v>6669</v>
      </c>
      <c r="E1536">
        <v>3</v>
      </c>
      <c r="F1536" t="str">
        <f>IF(AND(Entities[[#This Row],[ENT_TYPE]]="County",RIGHT(Entities[[#This Row],[ENT_NAME]],6)&lt;&gt;"County"),_xlfn.TEXTJOIN(" ",TRUE,Entities[[#This Row],[ENT_NAME]],"County"),Entities[[#This Row],[ENT_NAME]])</f>
        <v>Runaway Bay</v>
      </c>
    </row>
    <row r="1537" spans="1:6" x14ac:dyDescent="0.25">
      <c r="A1537" s="302" t="s">
        <v>1992</v>
      </c>
      <c r="B1537" s="303" t="str">
        <f t="shared" si="23"/>
        <v>x03002815</v>
      </c>
      <c r="C1537" t="s">
        <v>5458</v>
      </c>
      <c r="D1537" t="s">
        <v>4415</v>
      </c>
      <c r="E1537">
        <v>3</v>
      </c>
      <c r="F1537" t="str">
        <f>IF(AND(Entities[[#This Row],[ENT_TYPE]]="County",RIGHT(Entities[[#This Row],[ENT_NAME]],6)&lt;&gt;"County"),_xlfn.TEXTJOIN(" ",TRUE,Entities[[#This Row],[ENT_NAME]],"County"),Entities[[#This Row],[ENT_NAME]])</f>
        <v>Midway</v>
      </c>
    </row>
    <row r="1538" spans="1:6" x14ac:dyDescent="0.25">
      <c r="A1538" s="302" t="s">
        <v>2461</v>
      </c>
      <c r="B1538" s="303" t="str">
        <f t="shared" ref="B1538:B1601" si="24">_xlfn.CONCAT("x",TEXT(A1538,"00000000"))</f>
        <v>x03002819</v>
      </c>
      <c r="C1538" t="s">
        <v>5458</v>
      </c>
      <c r="D1538" t="s">
        <v>2091</v>
      </c>
      <c r="E1538">
        <v>3</v>
      </c>
      <c r="F1538" t="str">
        <f>IF(AND(Entities[[#This Row],[ENT_TYPE]]="County",RIGHT(Entities[[#This Row],[ENT_NAME]],6)&lt;&gt;"County"),_xlfn.TEXTJOIN(" ",TRUE,Entities[[#This Row],[ENT_NAME]],"County"),Entities[[#This Row],[ENT_NAME]])</f>
        <v>Dallas</v>
      </c>
    </row>
    <row r="1539" spans="1:6" x14ac:dyDescent="0.25">
      <c r="A1539" s="302" t="s">
        <v>1881</v>
      </c>
      <c r="B1539" s="303" t="str">
        <f t="shared" si="24"/>
        <v>x03002820</v>
      </c>
      <c r="C1539" t="s">
        <v>5458</v>
      </c>
      <c r="D1539" t="s">
        <v>4390</v>
      </c>
      <c r="E1539">
        <v>3</v>
      </c>
      <c r="F1539" t="str">
        <f>IF(AND(Entities[[#This Row],[ENT_TYPE]]="County",RIGHT(Entities[[#This Row],[ENT_NAME]],6)&lt;&gt;"County"),_xlfn.TEXTJOIN(" ",TRUE,Entities[[#This Row],[ENT_NAME]],"County"),Entities[[#This Row],[ENT_NAME]])</f>
        <v>Richardson</v>
      </c>
    </row>
    <row r="1540" spans="1:6" x14ac:dyDescent="0.25">
      <c r="A1540" s="302" t="s">
        <v>6670</v>
      </c>
      <c r="B1540" s="303" t="str">
        <f t="shared" si="24"/>
        <v>x03002821</v>
      </c>
      <c r="C1540" t="s">
        <v>5458</v>
      </c>
      <c r="D1540" t="s">
        <v>6671</v>
      </c>
      <c r="E1540">
        <v>3</v>
      </c>
      <c r="F1540" t="str">
        <f>IF(AND(Entities[[#This Row],[ENT_TYPE]]="County",RIGHT(Entities[[#This Row],[ENT_NAME]],6)&lt;&gt;"County"),_xlfn.TEXTJOIN(" ",TRUE,Entities[[#This Row],[ENT_NAME]],"County"),Entities[[#This Row],[ENT_NAME]])</f>
        <v>Grapevine</v>
      </c>
    </row>
    <row r="1541" spans="1:6" x14ac:dyDescent="0.25">
      <c r="A1541" s="302" t="s">
        <v>6672</v>
      </c>
      <c r="B1541" s="303" t="str">
        <f t="shared" si="24"/>
        <v>x03002822</v>
      </c>
      <c r="C1541" t="s">
        <v>5458</v>
      </c>
      <c r="D1541" t="s">
        <v>6673</v>
      </c>
      <c r="E1541">
        <v>3</v>
      </c>
      <c r="F1541" t="str">
        <f>IF(AND(Entities[[#This Row],[ENT_TYPE]]="County",RIGHT(Entities[[#This Row],[ENT_NAME]],6)&lt;&gt;"County"),_xlfn.TEXTJOIN(" ",TRUE,Entities[[#This Row],[ENT_NAME]],"County"),Entities[[#This Row],[ENT_NAME]])</f>
        <v>Rowlett</v>
      </c>
    </row>
    <row r="1542" spans="1:6" x14ac:dyDescent="0.25">
      <c r="A1542" s="302" t="s">
        <v>4554</v>
      </c>
      <c r="B1542" s="303" t="str">
        <f t="shared" si="24"/>
        <v>x03002823</v>
      </c>
      <c r="C1542" t="s">
        <v>5458</v>
      </c>
      <c r="D1542" t="s">
        <v>6674</v>
      </c>
      <c r="E1542">
        <v>3</v>
      </c>
      <c r="F1542" t="str">
        <f>IF(AND(Entities[[#This Row],[ENT_TYPE]]="County",RIGHT(Entities[[#This Row],[ENT_NAME]],6)&lt;&gt;"County"),_xlfn.TEXTJOIN(" ",TRUE,Entities[[#This Row],[ENT_NAME]],"County"),Entities[[#This Row],[ENT_NAME]])</f>
        <v>Balch Springs</v>
      </c>
    </row>
    <row r="1543" spans="1:6" x14ac:dyDescent="0.25">
      <c r="A1543" s="302" t="s">
        <v>6675</v>
      </c>
      <c r="B1543" s="303" t="str">
        <f t="shared" si="24"/>
        <v>x03002824</v>
      </c>
      <c r="C1543" t="s">
        <v>5458</v>
      </c>
      <c r="D1543" t="s">
        <v>6676</v>
      </c>
      <c r="E1543">
        <v>3</v>
      </c>
      <c r="F1543" t="str">
        <f>IF(AND(Entities[[#This Row],[ENT_TYPE]]="County",RIGHT(Entities[[#This Row],[ENT_NAME]],6)&lt;&gt;"County"),_xlfn.TEXTJOIN(" ",TRUE,Entities[[#This Row],[ENT_NAME]],"County"),Entities[[#This Row],[ENT_NAME]])</f>
        <v>Cockrell Hill</v>
      </c>
    </row>
    <row r="1544" spans="1:6" x14ac:dyDescent="0.25">
      <c r="A1544" s="302" t="s">
        <v>6677</v>
      </c>
      <c r="B1544" s="303" t="str">
        <f t="shared" si="24"/>
        <v>x03002825</v>
      </c>
      <c r="C1544" t="s">
        <v>5458</v>
      </c>
      <c r="D1544" t="s">
        <v>6678</v>
      </c>
      <c r="E1544">
        <v>3</v>
      </c>
      <c r="F1544" t="str">
        <f>IF(AND(Entities[[#This Row],[ENT_TYPE]]="County",RIGHT(Entities[[#This Row],[ENT_NAME]],6)&lt;&gt;"County"),_xlfn.TEXTJOIN(" ",TRUE,Entities[[#This Row],[ENT_NAME]],"County"),Entities[[#This Row],[ENT_NAME]])</f>
        <v>DeSoto</v>
      </c>
    </row>
    <row r="1545" spans="1:6" x14ac:dyDescent="0.25">
      <c r="A1545" s="302" t="s">
        <v>6679</v>
      </c>
      <c r="B1545" s="303" t="str">
        <f t="shared" si="24"/>
        <v>x03002827</v>
      </c>
      <c r="C1545" t="s">
        <v>5458</v>
      </c>
      <c r="D1545" t="s">
        <v>6680</v>
      </c>
      <c r="E1545">
        <v>3</v>
      </c>
      <c r="F1545" t="str">
        <f>IF(AND(Entities[[#This Row],[ENT_TYPE]]="County",RIGHT(Entities[[#This Row],[ENT_NAME]],6)&lt;&gt;"County"),_xlfn.TEXTJOIN(" ",TRUE,Entities[[#This Row],[ENT_NAME]],"County"),Entities[[#This Row],[ENT_NAME]])</f>
        <v>Log Cabin</v>
      </c>
    </row>
    <row r="1546" spans="1:6" x14ac:dyDescent="0.25">
      <c r="A1546" s="302" t="s">
        <v>6681</v>
      </c>
      <c r="B1546" s="303" t="str">
        <f t="shared" si="24"/>
        <v>x03002829</v>
      </c>
      <c r="C1546" t="s">
        <v>5458</v>
      </c>
      <c r="D1546" t="s">
        <v>6682</v>
      </c>
      <c r="E1546">
        <v>3</v>
      </c>
      <c r="F1546" t="str">
        <f>IF(AND(Entities[[#This Row],[ENT_TYPE]]="County",RIGHT(Entities[[#This Row],[ENT_NAME]],6)&lt;&gt;"County"),_xlfn.TEXTJOIN(" ",TRUE,Entities[[#This Row],[ENT_NAME]],"County"),Entities[[#This Row],[ENT_NAME]])</f>
        <v>Tool</v>
      </c>
    </row>
    <row r="1547" spans="1:6" x14ac:dyDescent="0.25">
      <c r="A1547" s="302" t="s">
        <v>2467</v>
      </c>
      <c r="B1547" s="303" t="str">
        <f t="shared" si="24"/>
        <v>x03002831</v>
      </c>
      <c r="C1547" t="s">
        <v>5458</v>
      </c>
      <c r="D1547" t="s">
        <v>4528</v>
      </c>
      <c r="E1547">
        <v>3</v>
      </c>
      <c r="F1547" t="str">
        <f>IF(AND(Entities[[#This Row],[ENT_TYPE]]="County",RIGHT(Entities[[#This Row],[ENT_NAME]],6)&lt;&gt;"County"),_xlfn.TEXTJOIN(" ",TRUE,Entities[[#This Row],[ENT_NAME]],"County"),Entities[[#This Row],[ENT_NAME]])</f>
        <v>Fort Worth</v>
      </c>
    </row>
    <row r="1548" spans="1:6" x14ac:dyDescent="0.25">
      <c r="A1548" s="302" t="s">
        <v>2087</v>
      </c>
      <c r="B1548" s="303" t="str">
        <f t="shared" si="24"/>
        <v>x03002832</v>
      </c>
      <c r="C1548" t="s">
        <v>5458</v>
      </c>
      <c r="D1548" t="s">
        <v>4439</v>
      </c>
      <c r="E1548">
        <v>3</v>
      </c>
      <c r="F1548" t="str">
        <f>IF(AND(Entities[[#This Row],[ENT_TYPE]]="County",RIGHT(Entities[[#This Row],[ENT_NAME]],6)&lt;&gt;"County"),_xlfn.TEXTJOIN(" ",TRUE,Entities[[#This Row],[ENT_NAME]],"County"),Entities[[#This Row],[ENT_NAME]])</f>
        <v>Haslet</v>
      </c>
    </row>
    <row r="1549" spans="1:6" x14ac:dyDescent="0.25">
      <c r="A1549" s="302" t="s">
        <v>6683</v>
      </c>
      <c r="B1549" s="303" t="str">
        <f t="shared" si="24"/>
        <v>x03002850</v>
      </c>
      <c r="C1549" t="s">
        <v>5458</v>
      </c>
      <c r="D1549" t="s">
        <v>6684</v>
      </c>
      <c r="E1549">
        <v>3</v>
      </c>
      <c r="F1549" t="str">
        <f>IF(AND(Entities[[#This Row],[ENT_TYPE]]="County",RIGHT(Entities[[#This Row],[ENT_NAME]],6)&lt;&gt;"County"),_xlfn.TEXTJOIN(" ",TRUE,Entities[[#This Row],[ENT_NAME]],"County"),Entities[[#This Row],[ENT_NAME]])</f>
        <v>University Park</v>
      </c>
    </row>
    <row r="1550" spans="1:6" x14ac:dyDescent="0.25">
      <c r="A1550" s="302" t="s">
        <v>6685</v>
      </c>
      <c r="B1550" s="303" t="str">
        <f t="shared" si="24"/>
        <v>x03002851</v>
      </c>
      <c r="C1550" t="s">
        <v>5458</v>
      </c>
      <c r="D1550" t="s">
        <v>6686</v>
      </c>
      <c r="E1550">
        <v>3</v>
      </c>
      <c r="F1550" t="str">
        <f>IF(AND(Entities[[#This Row],[ENT_TYPE]]="County",RIGHT(Entities[[#This Row],[ENT_NAME]],6)&lt;&gt;"County"),_xlfn.TEXTJOIN(" ",TRUE,Entities[[#This Row],[ENT_NAME]],"County"),Entities[[#This Row],[ENT_NAME]])</f>
        <v>Addison</v>
      </c>
    </row>
    <row r="1551" spans="1:6" x14ac:dyDescent="0.25">
      <c r="A1551" s="302" t="s">
        <v>6687</v>
      </c>
      <c r="B1551" s="303" t="str">
        <f t="shared" si="24"/>
        <v>x03002852</v>
      </c>
      <c r="C1551" t="s">
        <v>5458</v>
      </c>
      <c r="D1551" t="s">
        <v>6688</v>
      </c>
      <c r="E1551">
        <v>3</v>
      </c>
      <c r="F1551" t="str">
        <f>IF(AND(Entities[[#This Row],[ENT_TYPE]]="County",RIGHT(Entities[[#This Row],[ENT_NAME]],6)&lt;&gt;"County"),_xlfn.TEXTJOIN(" ",TRUE,Entities[[#This Row],[ENT_NAME]],"County"),Entities[[#This Row],[ENT_NAME]])</f>
        <v>Mesquite</v>
      </c>
    </row>
    <row r="1552" spans="1:6" x14ac:dyDescent="0.25">
      <c r="A1552" s="302" t="s">
        <v>6689</v>
      </c>
      <c r="B1552" s="303" t="str">
        <f t="shared" si="24"/>
        <v>x03002859</v>
      </c>
      <c r="C1552" t="s">
        <v>5458</v>
      </c>
      <c r="D1552" t="s">
        <v>6690</v>
      </c>
      <c r="E1552">
        <v>3</v>
      </c>
      <c r="F1552" t="str">
        <f>IF(AND(Entities[[#This Row],[ENT_TYPE]]="County",RIGHT(Entities[[#This Row],[ENT_NAME]],6)&lt;&gt;"County"),_xlfn.TEXTJOIN(" ",TRUE,Entities[[#This Row],[ENT_NAME]],"County"),Entities[[#This Row],[ENT_NAME]])</f>
        <v>Trophy Club</v>
      </c>
    </row>
    <row r="1553" spans="1:6" x14ac:dyDescent="0.25">
      <c r="A1553" s="302" t="s">
        <v>1930</v>
      </c>
      <c r="B1553" s="303" t="str">
        <f t="shared" si="24"/>
        <v>x03002860</v>
      </c>
      <c r="C1553" t="s">
        <v>5458</v>
      </c>
      <c r="D1553" t="s">
        <v>4400</v>
      </c>
      <c r="E1553">
        <v>3</v>
      </c>
      <c r="F1553" t="str">
        <f>IF(AND(Entities[[#This Row],[ENT_TYPE]]="County",RIGHT(Entities[[#This Row],[ENT_NAME]],6)&lt;&gt;"County"),_xlfn.TEXTJOIN(" ",TRUE,Entities[[#This Row],[ENT_NAME]],"County"),Entities[[#This Row],[ENT_NAME]])</f>
        <v>Westlake</v>
      </c>
    </row>
    <row r="1554" spans="1:6" x14ac:dyDescent="0.25">
      <c r="A1554" s="302" t="s">
        <v>6691</v>
      </c>
      <c r="B1554" s="303" t="str">
        <f t="shared" si="24"/>
        <v>x03002861</v>
      </c>
      <c r="C1554" t="s">
        <v>5458</v>
      </c>
      <c r="D1554" t="s">
        <v>5958</v>
      </c>
      <c r="E1554">
        <v>3</v>
      </c>
      <c r="F1554" t="str">
        <f>IF(AND(Entities[[#This Row],[ENT_TYPE]]="County",RIGHT(Entities[[#This Row],[ENT_NAME]],6)&lt;&gt;"County"),_xlfn.TEXTJOIN(" ",TRUE,Entities[[#This Row],[ENT_NAME]],"County"),Entities[[#This Row],[ENT_NAME]])</f>
        <v>Reno</v>
      </c>
    </row>
    <row r="1555" spans="1:6" x14ac:dyDescent="0.25">
      <c r="A1555" s="302" t="s">
        <v>6692</v>
      </c>
      <c r="B1555" s="303" t="str">
        <f t="shared" si="24"/>
        <v>x03002871</v>
      </c>
      <c r="C1555" t="s">
        <v>5458</v>
      </c>
      <c r="D1555" t="s">
        <v>6693</v>
      </c>
      <c r="E1555">
        <v>3</v>
      </c>
      <c r="F1555" t="str">
        <f>IF(AND(Entities[[#This Row],[ENT_TYPE]]="County",RIGHT(Entities[[#This Row],[ENT_NAME]],6)&lt;&gt;"County"),_xlfn.TEXTJOIN(" ",TRUE,Entities[[#This Row],[ENT_NAME]],"County"),Entities[[#This Row],[ENT_NAME]])</f>
        <v>Payne Springs</v>
      </c>
    </row>
    <row r="1556" spans="1:6" x14ac:dyDescent="0.25">
      <c r="A1556" s="302" t="s">
        <v>6694</v>
      </c>
      <c r="B1556" s="303" t="str">
        <f t="shared" si="24"/>
        <v>x03002872</v>
      </c>
      <c r="C1556" t="s">
        <v>5458</v>
      </c>
      <c r="D1556" t="s">
        <v>6695</v>
      </c>
      <c r="E1556">
        <v>3</v>
      </c>
      <c r="F1556" t="str">
        <f>IF(AND(Entities[[#This Row],[ENT_TYPE]]="County",RIGHT(Entities[[#This Row],[ENT_NAME]],6)&lt;&gt;"County"),_xlfn.TEXTJOIN(" ",TRUE,Entities[[#This Row],[ENT_NAME]],"County"),Entities[[#This Row],[ENT_NAME]])</f>
        <v>Trinidad</v>
      </c>
    </row>
    <row r="1557" spans="1:6" x14ac:dyDescent="0.25">
      <c r="A1557" s="302" t="s">
        <v>6696</v>
      </c>
      <c r="B1557" s="303" t="str">
        <f t="shared" si="24"/>
        <v>x03002874</v>
      </c>
      <c r="C1557" t="s">
        <v>5458</v>
      </c>
      <c r="D1557" t="s">
        <v>6697</v>
      </c>
      <c r="E1557">
        <v>3</v>
      </c>
      <c r="F1557" t="str">
        <f>IF(AND(Entities[[#This Row],[ENT_TYPE]]="County",RIGHT(Entities[[#This Row],[ENT_NAME]],6)&lt;&gt;"County"),_xlfn.TEXTJOIN(" ",TRUE,Entities[[#This Row],[ENT_NAME]],"County"),Entities[[#This Row],[ENT_NAME]])</f>
        <v>Pilot Point</v>
      </c>
    </row>
    <row r="1558" spans="1:6" x14ac:dyDescent="0.25">
      <c r="A1558" s="302" t="s">
        <v>6698</v>
      </c>
      <c r="B1558" s="303" t="str">
        <f t="shared" si="24"/>
        <v>x03002879</v>
      </c>
      <c r="C1558" t="s">
        <v>5458</v>
      </c>
      <c r="D1558" t="s">
        <v>6699</v>
      </c>
      <c r="E1558">
        <v>3</v>
      </c>
      <c r="F1558" t="str">
        <f>IF(AND(Entities[[#This Row],[ENT_TYPE]]="County",RIGHT(Entities[[#This Row],[ENT_NAME]],6)&lt;&gt;"County"),_xlfn.TEXTJOIN(" ",TRUE,Entities[[#This Row],[ENT_NAME]],"County"),Entities[[#This Row],[ENT_NAME]])</f>
        <v>Ponder</v>
      </c>
    </row>
    <row r="1559" spans="1:6" x14ac:dyDescent="0.25">
      <c r="A1559" s="302" t="s">
        <v>6700</v>
      </c>
      <c r="B1559" s="303" t="str">
        <f t="shared" si="24"/>
        <v>x03002880</v>
      </c>
      <c r="C1559" t="s">
        <v>5458</v>
      </c>
      <c r="D1559" t="s">
        <v>6701</v>
      </c>
      <c r="E1559">
        <v>3</v>
      </c>
      <c r="F1559" t="str">
        <f>IF(AND(Entities[[#This Row],[ENT_TYPE]]="County",RIGHT(Entities[[#This Row],[ENT_NAME]],6)&lt;&gt;"County"),_xlfn.TEXTJOIN(" ",TRUE,Entities[[#This Row],[ENT_NAME]],"County"),Entities[[#This Row],[ENT_NAME]])</f>
        <v>Roanoke</v>
      </c>
    </row>
    <row r="1560" spans="1:6" x14ac:dyDescent="0.25">
      <c r="A1560" s="302" t="s">
        <v>6702</v>
      </c>
      <c r="B1560" s="303" t="str">
        <f t="shared" si="24"/>
        <v>x03002881</v>
      </c>
      <c r="C1560" t="s">
        <v>5458</v>
      </c>
      <c r="D1560" t="s">
        <v>6703</v>
      </c>
      <c r="E1560">
        <v>3</v>
      </c>
      <c r="F1560" t="str">
        <f>IF(AND(Entities[[#This Row],[ENT_TYPE]]="County",RIGHT(Entities[[#This Row],[ENT_NAME]],6)&lt;&gt;"County"),_xlfn.TEXTJOIN(" ",TRUE,Entities[[#This Row],[ENT_NAME]],"County"),Entities[[#This Row],[ENT_NAME]])</f>
        <v>Northlake</v>
      </c>
    </row>
    <row r="1561" spans="1:6" x14ac:dyDescent="0.25">
      <c r="A1561" s="302" t="s">
        <v>6704</v>
      </c>
      <c r="B1561" s="303" t="str">
        <f t="shared" si="24"/>
        <v>x03002885</v>
      </c>
      <c r="C1561" t="s">
        <v>5458</v>
      </c>
      <c r="D1561" t="s">
        <v>6705</v>
      </c>
      <c r="E1561">
        <v>3</v>
      </c>
      <c r="F1561" t="str">
        <f>IF(AND(Entities[[#This Row],[ENT_TYPE]]="County",RIGHT(Entities[[#This Row],[ENT_NAME]],6)&lt;&gt;"County"),_xlfn.TEXTJOIN(" ",TRUE,Entities[[#This Row],[ENT_NAME]],"County"),Entities[[#This Row],[ENT_NAME]])</f>
        <v>Star Harbor</v>
      </c>
    </row>
    <row r="1562" spans="1:6" x14ac:dyDescent="0.25">
      <c r="A1562" s="302" t="s">
        <v>6706</v>
      </c>
      <c r="B1562" s="303" t="str">
        <f t="shared" si="24"/>
        <v>x03002886</v>
      </c>
      <c r="C1562" t="s">
        <v>5458</v>
      </c>
      <c r="D1562" t="s">
        <v>6707</v>
      </c>
      <c r="E1562">
        <v>3</v>
      </c>
      <c r="F1562" t="str">
        <f>IF(AND(Entities[[#This Row],[ENT_TYPE]]="County",RIGHT(Entities[[#This Row],[ENT_NAME]],6)&lt;&gt;"County"),_xlfn.TEXTJOIN(" ",TRUE,Entities[[#This Row],[ENT_NAME]],"County"),Entities[[#This Row],[ENT_NAME]])</f>
        <v>Gun Barrel City</v>
      </c>
    </row>
    <row r="1563" spans="1:6" x14ac:dyDescent="0.25">
      <c r="A1563" s="302" t="s">
        <v>2117</v>
      </c>
      <c r="B1563" s="303" t="str">
        <f t="shared" si="24"/>
        <v>x03002892</v>
      </c>
      <c r="C1563" t="s">
        <v>5458</v>
      </c>
      <c r="D1563" t="s">
        <v>4446</v>
      </c>
      <c r="E1563">
        <v>3</v>
      </c>
      <c r="F1563" t="str">
        <f>IF(AND(Entities[[#This Row],[ENT_TYPE]]="County",RIGHT(Entities[[#This Row],[ENT_NAME]],6)&lt;&gt;"County"),_xlfn.TEXTJOIN(" ",TRUE,Entities[[#This Row],[ENT_NAME]],"County"),Entities[[#This Row],[ENT_NAME]])</f>
        <v>Caney City</v>
      </c>
    </row>
    <row r="1564" spans="1:6" x14ac:dyDescent="0.25">
      <c r="A1564" s="302" t="s">
        <v>6708</v>
      </c>
      <c r="B1564" s="303" t="str">
        <f t="shared" si="24"/>
        <v>x03002901</v>
      </c>
      <c r="C1564" t="s">
        <v>5458</v>
      </c>
      <c r="D1564" t="s">
        <v>6709</v>
      </c>
      <c r="E1564">
        <v>3</v>
      </c>
      <c r="F1564" t="str">
        <f>IF(AND(Entities[[#This Row],[ENT_TYPE]]="County",RIGHT(Entities[[#This Row],[ENT_NAME]],6)&lt;&gt;"County"),_xlfn.TEXTJOIN(" ",TRUE,Entities[[#This Row],[ENT_NAME]],"County"),Entities[[#This Row],[ENT_NAME]])</f>
        <v>Newark</v>
      </c>
    </row>
    <row r="1565" spans="1:6" x14ac:dyDescent="0.25">
      <c r="A1565" s="302" t="s">
        <v>6710</v>
      </c>
      <c r="B1565" s="303" t="str">
        <f t="shared" si="24"/>
        <v>x03002903</v>
      </c>
      <c r="C1565" t="s">
        <v>5458</v>
      </c>
      <c r="D1565" t="s">
        <v>6711</v>
      </c>
      <c r="E1565">
        <v>3</v>
      </c>
      <c r="F1565" t="str">
        <f>IF(AND(Entities[[#This Row],[ENT_TYPE]]="County",RIGHT(Entities[[#This Row],[ENT_NAME]],6)&lt;&gt;"County"),_xlfn.TEXTJOIN(" ",TRUE,Entities[[#This Row],[ENT_NAME]],"County"),Entities[[#This Row],[ENT_NAME]])</f>
        <v>Enchanted Oaks</v>
      </c>
    </row>
    <row r="1566" spans="1:6" x14ac:dyDescent="0.25">
      <c r="A1566" s="302" t="s">
        <v>6712</v>
      </c>
      <c r="B1566" s="303" t="str">
        <f t="shared" si="24"/>
        <v>x03002904</v>
      </c>
      <c r="C1566" t="s">
        <v>5458</v>
      </c>
      <c r="D1566" t="s">
        <v>6713</v>
      </c>
      <c r="E1566">
        <v>3</v>
      </c>
      <c r="F1566" t="str">
        <f>IF(AND(Entities[[#This Row],[ENT_TYPE]]="County",RIGHT(Entities[[#This Row],[ENT_NAME]],6)&lt;&gt;"County"),_xlfn.TEXTJOIN(" ",TRUE,Entities[[#This Row],[ENT_NAME]],"County"),Entities[[#This Row],[ENT_NAME]])</f>
        <v>Eustace</v>
      </c>
    </row>
    <row r="1567" spans="1:6" x14ac:dyDescent="0.25">
      <c r="A1567" s="302" t="s">
        <v>6714</v>
      </c>
      <c r="B1567" s="303" t="str">
        <f t="shared" si="24"/>
        <v>x03002905</v>
      </c>
      <c r="C1567" t="s">
        <v>5458</v>
      </c>
      <c r="D1567" t="s">
        <v>6715</v>
      </c>
      <c r="E1567">
        <v>3</v>
      </c>
      <c r="F1567" t="str">
        <f>IF(AND(Entities[[#This Row],[ENT_TYPE]]="County",RIGHT(Entities[[#This Row],[ENT_NAME]],6)&lt;&gt;"County"),_xlfn.TEXTJOIN(" ",TRUE,Entities[[#This Row],[ENT_NAME]],"County"),Entities[[#This Row],[ENT_NAME]])</f>
        <v>Malakoff</v>
      </c>
    </row>
    <row r="1568" spans="1:6" x14ac:dyDescent="0.25">
      <c r="A1568" s="302" t="s">
        <v>6716</v>
      </c>
      <c r="B1568" s="303" t="str">
        <f t="shared" si="24"/>
        <v>x03002908</v>
      </c>
      <c r="C1568" t="s">
        <v>5458</v>
      </c>
      <c r="D1568" t="s">
        <v>6717</v>
      </c>
      <c r="E1568">
        <v>3</v>
      </c>
      <c r="F1568" t="str">
        <f>IF(AND(Entities[[#This Row],[ENT_TYPE]]="County",RIGHT(Entities[[#This Row],[ENT_NAME]],6)&lt;&gt;"County"),_xlfn.TEXTJOIN(" ",TRUE,Entities[[#This Row],[ENT_NAME]],"County"),Entities[[#This Row],[ENT_NAME]])</f>
        <v>St. Paul</v>
      </c>
    </row>
    <row r="1569" spans="1:6" x14ac:dyDescent="0.25">
      <c r="A1569" s="302" t="s">
        <v>2310</v>
      </c>
      <c r="B1569" s="303" t="str">
        <f t="shared" si="24"/>
        <v>x03002958</v>
      </c>
      <c r="C1569" t="s">
        <v>5458</v>
      </c>
      <c r="D1569" t="s">
        <v>4486</v>
      </c>
      <c r="E1569">
        <v>3</v>
      </c>
      <c r="F1569" t="str">
        <f>IF(AND(Entities[[#This Row],[ENT_TYPE]]="County",RIGHT(Entities[[#This Row],[ENT_NAME]],6)&lt;&gt;"County"),_xlfn.TEXTJOIN(" ",TRUE,Entities[[#This Row],[ENT_NAME]],"County"),Entities[[#This Row],[ENT_NAME]])</f>
        <v>Alvord</v>
      </c>
    </row>
    <row r="1570" spans="1:6" x14ac:dyDescent="0.25">
      <c r="A1570" s="302" t="s">
        <v>6718</v>
      </c>
      <c r="B1570" s="303" t="str">
        <f t="shared" si="24"/>
        <v>x03002959</v>
      </c>
      <c r="C1570" t="s">
        <v>5458</v>
      </c>
      <c r="D1570" t="s">
        <v>6719</v>
      </c>
      <c r="E1570">
        <v>3</v>
      </c>
      <c r="F1570" t="str">
        <f>IF(AND(Entities[[#This Row],[ENT_TYPE]]="County",RIGHT(Entities[[#This Row],[ENT_NAME]],6)&lt;&gt;"County"),_xlfn.TEXTJOIN(" ",TRUE,Entities[[#This Row],[ENT_NAME]],"County"),Entities[[#This Row],[ENT_NAME]])</f>
        <v>Aurora</v>
      </c>
    </row>
    <row r="1571" spans="1:6" x14ac:dyDescent="0.25">
      <c r="A1571" s="302" t="s">
        <v>2231</v>
      </c>
      <c r="B1571" s="303" t="str">
        <f t="shared" si="24"/>
        <v>x03002960</v>
      </c>
      <c r="C1571" t="s">
        <v>5458</v>
      </c>
      <c r="D1571" t="s">
        <v>4468</v>
      </c>
      <c r="E1571">
        <v>3</v>
      </c>
      <c r="F1571" t="str">
        <f>IF(AND(Entities[[#This Row],[ENT_TYPE]]="County",RIGHT(Entities[[#This Row],[ENT_NAME]],6)&lt;&gt;"County"),_xlfn.TEXTJOIN(" ",TRUE,Entities[[#This Row],[ENT_NAME]],"County"),Entities[[#This Row],[ENT_NAME]])</f>
        <v>Chico</v>
      </c>
    </row>
    <row r="1572" spans="1:6" x14ac:dyDescent="0.25">
      <c r="A1572" s="302" t="s">
        <v>6720</v>
      </c>
      <c r="B1572" s="303" t="str">
        <f t="shared" si="24"/>
        <v>x03002961</v>
      </c>
      <c r="C1572" t="s">
        <v>5458</v>
      </c>
      <c r="D1572" t="s">
        <v>6721</v>
      </c>
      <c r="E1572">
        <v>3</v>
      </c>
      <c r="F1572" t="str">
        <f>IF(AND(Entities[[#This Row],[ENT_TYPE]]="County",RIGHT(Entities[[#This Row],[ENT_NAME]],6)&lt;&gt;"County"),_xlfn.TEXTJOIN(" ",TRUE,Entities[[#This Row],[ENT_NAME]],"County"),Entities[[#This Row],[ENT_NAME]])</f>
        <v>Decatur</v>
      </c>
    </row>
    <row r="1573" spans="1:6" x14ac:dyDescent="0.25">
      <c r="A1573" s="302" t="s">
        <v>6722</v>
      </c>
      <c r="B1573" s="303" t="str">
        <f t="shared" si="24"/>
        <v>x03002962</v>
      </c>
      <c r="C1573" t="s">
        <v>5458</v>
      </c>
      <c r="D1573" t="s">
        <v>6723</v>
      </c>
      <c r="E1573">
        <v>3</v>
      </c>
      <c r="F1573" t="str">
        <f>IF(AND(Entities[[#This Row],[ENT_TYPE]]="County",RIGHT(Entities[[#This Row],[ENT_NAME]],6)&lt;&gt;"County"),_xlfn.TEXTJOIN(" ",TRUE,Entities[[#This Row],[ENT_NAME]],"County"),Entities[[#This Row],[ENT_NAME]])</f>
        <v>Lake Bridgeport</v>
      </c>
    </row>
    <row r="1574" spans="1:6" x14ac:dyDescent="0.25">
      <c r="A1574" s="302" t="s">
        <v>6724</v>
      </c>
      <c r="B1574" s="303" t="str">
        <f t="shared" si="24"/>
        <v>x03002963</v>
      </c>
      <c r="C1574" t="s">
        <v>5458</v>
      </c>
      <c r="D1574" t="s">
        <v>6725</v>
      </c>
      <c r="E1574">
        <v>3</v>
      </c>
      <c r="F1574" t="str">
        <f>IF(AND(Entities[[#This Row],[ENT_TYPE]]="County",RIGHT(Entities[[#This Row],[ENT_NAME]],6)&lt;&gt;"County"),_xlfn.TEXTJOIN(" ",TRUE,Entities[[#This Row],[ENT_NAME]],"County"),Entities[[#This Row],[ENT_NAME]])</f>
        <v>New Fairview</v>
      </c>
    </row>
    <row r="1575" spans="1:6" x14ac:dyDescent="0.25">
      <c r="A1575" s="302" t="s">
        <v>6726</v>
      </c>
      <c r="B1575" s="303" t="str">
        <f t="shared" si="24"/>
        <v>x03002964</v>
      </c>
      <c r="C1575" t="s">
        <v>5458</v>
      </c>
      <c r="D1575" t="s">
        <v>6727</v>
      </c>
      <c r="E1575">
        <v>3</v>
      </c>
      <c r="F1575" t="str">
        <f>IF(AND(Entities[[#This Row],[ENT_TYPE]]="County",RIGHT(Entities[[#This Row],[ENT_NAME]],6)&lt;&gt;"County"),_xlfn.TEXTJOIN(" ",TRUE,Entities[[#This Row],[ENT_NAME]],"County"),Entities[[#This Row],[ENT_NAME]])</f>
        <v>Paradise</v>
      </c>
    </row>
    <row r="1576" spans="1:6" x14ac:dyDescent="0.25">
      <c r="A1576" s="302" t="s">
        <v>6728</v>
      </c>
      <c r="B1576" s="303" t="str">
        <f t="shared" si="24"/>
        <v>x03002965</v>
      </c>
      <c r="C1576" t="s">
        <v>5458</v>
      </c>
      <c r="D1576" t="s">
        <v>6729</v>
      </c>
      <c r="E1576">
        <v>3</v>
      </c>
      <c r="F1576" t="str">
        <f>IF(AND(Entities[[#This Row],[ENT_TYPE]]="County",RIGHT(Entities[[#This Row],[ENT_NAME]],6)&lt;&gt;"County"),_xlfn.TEXTJOIN(" ",TRUE,Entities[[#This Row],[ENT_NAME]],"County"),Entities[[#This Row],[ENT_NAME]])</f>
        <v>Boyd</v>
      </c>
    </row>
    <row r="1577" spans="1:6" x14ac:dyDescent="0.25">
      <c r="A1577" s="302" t="s">
        <v>2476</v>
      </c>
      <c r="B1577" s="303" t="str">
        <f t="shared" si="24"/>
        <v>x03002987</v>
      </c>
      <c r="C1577" t="s">
        <v>5458</v>
      </c>
      <c r="D1577" t="s">
        <v>4529</v>
      </c>
      <c r="E1577">
        <v>3</v>
      </c>
      <c r="F1577" t="str">
        <f>IF(AND(Entities[[#This Row],[ENT_TYPE]]="County",RIGHT(Entities[[#This Row],[ENT_NAME]],6)&lt;&gt;"County"),_xlfn.TEXTJOIN(" ",TRUE,Entities[[#This Row],[ENT_NAME]],"County"),Entities[[#This Row],[ENT_NAME]])</f>
        <v>Road Runner</v>
      </c>
    </row>
    <row r="1578" spans="1:6" x14ac:dyDescent="0.25">
      <c r="A1578" s="302" t="s">
        <v>6730</v>
      </c>
      <c r="B1578" s="303" t="str">
        <f t="shared" si="24"/>
        <v>x03003011</v>
      </c>
      <c r="C1578" t="s">
        <v>5458</v>
      </c>
      <c r="D1578" t="s">
        <v>6731</v>
      </c>
      <c r="E1578">
        <v>3</v>
      </c>
      <c r="F1578" t="str">
        <f>IF(AND(Entities[[#This Row],[ENT_TYPE]]="County",RIGHT(Entities[[#This Row],[ENT_NAME]],6)&lt;&gt;"County"),_xlfn.TEXTJOIN(" ",TRUE,Entities[[#This Row],[ENT_NAME]],"County"),Entities[[#This Row],[ENT_NAME]])</f>
        <v>Grandview</v>
      </c>
    </row>
    <row r="1579" spans="1:6" x14ac:dyDescent="0.25">
      <c r="A1579" s="302" t="s">
        <v>1874</v>
      </c>
      <c r="B1579" s="303" t="str">
        <f t="shared" si="24"/>
        <v>x03003013</v>
      </c>
      <c r="C1579" t="s">
        <v>5458</v>
      </c>
      <c r="D1579" t="s">
        <v>4388</v>
      </c>
      <c r="E1579">
        <v>3</v>
      </c>
      <c r="F1579" t="str">
        <f>IF(AND(Entities[[#This Row],[ENT_TYPE]]="County",RIGHT(Entities[[#This Row],[ENT_NAME]],6)&lt;&gt;"County"),_xlfn.TEXTJOIN(" ",TRUE,Entities[[#This Row],[ENT_NAME]],"County"),Entities[[#This Row],[ENT_NAME]])</f>
        <v>Mansfield</v>
      </c>
    </row>
    <row r="1580" spans="1:6" x14ac:dyDescent="0.25">
      <c r="A1580" s="302" t="s">
        <v>6732</v>
      </c>
      <c r="B1580" s="303" t="str">
        <f t="shared" si="24"/>
        <v>x03003014</v>
      </c>
      <c r="C1580" t="s">
        <v>5458</v>
      </c>
      <c r="D1580" t="s">
        <v>6733</v>
      </c>
      <c r="E1580">
        <v>3</v>
      </c>
      <c r="F1580" t="str">
        <f>IF(AND(Entities[[#This Row],[ENT_TYPE]]="County",RIGHT(Entities[[#This Row],[ENT_NAME]],6)&lt;&gt;"County"),_xlfn.TEXTJOIN(" ",TRUE,Entities[[#This Row],[ENT_NAME]],"County"),Entities[[#This Row],[ENT_NAME]])</f>
        <v>Venus</v>
      </c>
    </row>
    <row r="1581" spans="1:6" x14ac:dyDescent="0.25">
      <c r="A1581" s="302" t="s">
        <v>6734</v>
      </c>
      <c r="B1581" s="303" t="str">
        <f t="shared" si="24"/>
        <v>x03003032</v>
      </c>
      <c r="C1581" t="s">
        <v>5458</v>
      </c>
      <c r="D1581" t="s">
        <v>6735</v>
      </c>
      <c r="E1581">
        <v>3</v>
      </c>
      <c r="F1581" t="str">
        <f>IF(AND(Entities[[#This Row],[ENT_TYPE]]="County",RIGHT(Entities[[#This Row],[ENT_NAME]],6)&lt;&gt;"County"),_xlfn.TEXTJOIN(" ",TRUE,Entities[[#This Row],[ENT_NAME]],"County"),Entities[[#This Row],[ENT_NAME]])</f>
        <v>Highland Park</v>
      </c>
    </row>
    <row r="1582" spans="1:6" x14ac:dyDescent="0.25">
      <c r="A1582" s="302" t="s">
        <v>6736</v>
      </c>
      <c r="B1582" s="303" t="str">
        <f t="shared" si="24"/>
        <v>x03003080</v>
      </c>
      <c r="C1582" t="s">
        <v>5458</v>
      </c>
      <c r="D1582" t="s">
        <v>6737</v>
      </c>
      <c r="E1582">
        <v>3</v>
      </c>
      <c r="F1582" t="str">
        <f>IF(AND(Entities[[#This Row],[ENT_TYPE]]="County",RIGHT(Entities[[#This Row],[ENT_NAME]],6)&lt;&gt;"County"),_xlfn.TEXTJOIN(" ",TRUE,Entities[[#This Row],[ENT_NAME]],"County"),Entities[[#This Row],[ENT_NAME]])</f>
        <v>Forney</v>
      </c>
    </row>
    <row r="1583" spans="1:6" x14ac:dyDescent="0.25">
      <c r="A1583" s="302" t="s">
        <v>6738</v>
      </c>
      <c r="B1583" s="303" t="str">
        <f t="shared" si="24"/>
        <v>x03003134</v>
      </c>
      <c r="C1583" t="s">
        <v>5458</v>
      </c>
      <c r="D1583" t="s">
        <v>6739</v>
      </c>
      <c r="E1583">
        <v>3</v>
      </c>
      <c r="F1583" t="str">
        <f>IF(AND(Entities[[#This Row],[ENT_TYPE]]="County",RIGHT(Entities[[#This Row],[ENT_NAME]],6)&lt;&gt;"County"),_xlfn.TEXTJOIN(" ",TRUE,Entities[[#This Row],[ENT_NAME]],"County"),Entities[[#This Row],[ENT_NAME]])</f>
        <v>Blue Ridge</v>
      </c>
    </row>
    <row r="1584" spans="1:6" x14ac:dyDescent="0.25">
      <c r="A1584" s="302" t="s">
        <v>6740</v>
      </c>
      <c r="B1584" s="303" t="str">
        <f t="shared" si="24"/>
        <v>x03003135</v>
      </c>
      <c r="C1584" t="s">
        <v>5458</v>
      </c>
      <c r="D1584" t="s">
        <v>6741</v>
      </c>
      <c r="E1584">
        <v>3</v>
      </c>
      <c r="F1584" t="str">
        <f>IF(AND(Entities[[#This Row],[ENT_TYPE]]="County",RIGHT(Entities[[#This Row],[ENT_NAME]],6)&lt;&gt;"County"),_xlfn.TEXTJOIN(" ",TRUE,Entities[[#This Row],[ENT_NAME]],"County"),Entities[[#This Row],[ENT_NAME]])</f>
        <v>Celina</v>
      </c>
    </row>
    <row r="1585" spans="1:6" x14ac:dyDescent="0.25">
      <c r="A1585" s="302" t="s">
        <v>2053</v>
      </c>
      <c r="B1585" s="303" t="str">
        <f t="shared" si="24"/>
        <v>x03003139</v>
      </c>
      <c r="C1585" t="s">
        <v>5458</v>
      </c>
      <c r="D1585" t="s">
        <v>4429</v>
      </c>
      <c r="E1585">
        <v>3</v>
      </c>
      <c r="F1585" t="str">
        <f>IF(AND(Entities[[#This Row],[ENT_TYPE]]="County",RIGHT(Entities[[#This Row],[ENT_NAME]],6)&lt;&gt;"County"),_xlfn.TEXTJOIN(" ",TRUE,Entities[[#This Row],[ENT_NAME]],"County"),Entities[[#This Row],[ENT_NAME]])</f>
        <v>Lavon</v>
      </c>
    </row>
    <row r="1586" spans="1:6" x14ac:dyDescent="0.25">
      <c r="A1586" s="302" t="s">
        <v>6742</v>
      </c>
      <c r="B1586" s="303" t="str">
        <f t="shared" si="24"/>
        <v>x03003140</v>
      </c>
      <c r="C1586" t="s">
        <v>5458</v>
      </c>
      <c r="D1586" t="s">
        <v>6743</v>
      </c>
      <c r="E1586">
        <v>3</v>
      </c>
      <c r="F1586" t="str">
        <f>IF(AND(Entities[[#This Row],[ENT_TYPE]]="County",RIGHT(Entities[[#This Row],[ENT_NAME]],6)&lt;&gt;"County"),_xlfn.TEXTJOIN(" ",TRUE,Entities[[#This Row],[ENT_NAME]],"County"),Entities[[#This Row],[ENT_NAME]])</f>
        <v>Melissa</v>
      </c>
    </row>
    <row r="1587" spans="1:6" x14ac:dyDescent="0.25">
      <c r="A1587" s="302" t="s">
        <v>6744</v>
      </c>
      <c r="B1587" s="303" t="str">
        <f t="shared" si="24"/>
        <v>x03003153</v>
      </c>
      <c r="C1587" t="s">
        <v>5458</v>
      </c>
      <c r="D1587" t="s">
        <v>6745</v>
      </c>
      <c r="E1587">
        <v>3</v>
      </c>
      <c r="F1587" t="str">
        <f>IF(AND(Entities[[#This Row],[ENT_TYPE]]="County",RIGHT(Entities[[#This Row],[ENT_NAME]],6)&lt;&gt;"County"),_xlfn.TEXTJOIN(" ",TRUE,Entities[[#This Row],[ENT_NAME]],"County"),Entities[[#This Row],[ENT_NAME]])</f>
        <v>Tioga</v>
      </c>
    </row>
    <row r="1588" spans="1:6" x14ac:dyDescent="0.25">
      <c r="A1588" s="302" t="s">
        <v>6746</v>
      </c>
      <c r="B1588" s="303" t="str">
        <f t="shared" si="24"/>
        <v>x03003160</v>
      </c>
      <c r="C1588" t="s">
        <v>5458</v>
      </c>
      <c r="D1588" t="s">
        <v>6747</v>
      </c>
      <c r="E1588">
        <v>3</v>
      </c>
      <c r="F1588" t="str">
        <f>IF(AND(Entities[[#This Row],[ENT_TYPE]]="County",RIGHT(Entities[[#This Row],[ENT_NAME]],6)&lt;&gt;"County"),_xlfn.TEXTJOIN(" ",TRUE,Entities[[#This Row],[ENT_NAME]],"County"),Entities[[#This Row],[ENT_NAME]])</f>
        <v>Aledo</v>
      </c>
    </row>
    <row r="1589" spans="1:6" x14ac:dyDescent="0.25">
      <c r="A1589" s="302" t="s">
        <v>6748</v>
      </c>
      <c r="B1589" s="303" t="str">
        <f t="shared" si="24"/>
        <v>x03003161</v>
      </c>
      <c r="C1589" t="s">
        <v>5458</v>
      </c>
      <c r="D1589" t="s">
        <v>6749</v>
      </c>
      <c r="E1589">
        <v>3</v>
      </c>
      <c r="F1589" t="str">
        <f>IF(AND(Entities[[#This Row],[ENT_TYPE]]="County",RIGHT(Entities[[#This Row],[ENT_NAME]],6)&lt;&gt;"County"),_xlfn.TEXTJOIN(" ",TRUE,Entities[[#This Row],[ENT_NAME]],"County"),Entities[[#This Row],[ENT_NAME]])</f>
        <v>Annetta</v>
      </c>
    </row>
    <row r="1590" spans="1:6" x14ac:dyDescent="0.25">
      <c r="A1590" s="302" t="s">
        <v>6750</v>
      </c>
      <c r="B1590" s="303" t="str">
        <f t="shared" si="24"/>
        <v>x03003164</v>
      </c>
      <c r="C1590" t="s">
        <v>5458</v>
      </c>
      <c r="D1590" t="s">
        <v>6751</v>
      </c>
      <c r="E1590">
        <v>3</v>
      </c>
      <c r="F1590" t="str">
        <f>IF(AND(Entities[[#This Row],[ENT_TYPE]]="County",RIGHT(Entities[[#This Row],[ENT_NAME]],6)&lt;&gt;"County"),_xlfn.TEXTJOIN(" ",TRUE,Entities[[#This Row],[ENT_NAME]],"County"),Entities[[#This Row],[ENT_NAME]])</f>
        <v>McLendon-Chisholm</v>
      </c>
    </row>
    <row r="1591" spans="1:6" x14ac:dyDescent="0.25">
      <c r="A1591" s="302" t="s">
        <v>2406</v>
      </c>
      <c r="B1591" s="303" t="str">
        <f t="shared" si="24"/>
        <v>x03003165</v>
      </c>
      <c r="C1591" t="s">
        <v>5458</v>
      </c>
      <c r="D1591" t="s">
        <v>4512</v>
      </c>
      <c r="E1591">
        <v>3</v>
      </c>
      <c r="F1591" t="str">
        <f>IF(AND(Entities[[#This Row],[ENT_TYPE]]="County",RIGHT(Entities[[#This Row],[ENT_NAME]],6)&lt;&gt;"County"),_xlfn.TEXTJOIN(" ",TRUE,Entities[[#This Row],[ENT_NAME]],"County"),Entities[[#This Row],[ENT_NAME]])</f>
        <v>Mobile City</v>
      </c>
    </row>
    <row r="1592" spans="1:6" x14ac:dyDescent="0.25">
      <c r="A1592" s="302" t="s">
        <v>6752</v>
      </c>
      <c r="B1592" s="303" t="str">
        <f t="shared" si="24"/>
        <v>x03003170</v>
      </c>
      <c r="C1592" t="s">
        <v>5458</v>
      </c>
      <c r="D1592" t="s">
        <v>6753</v>
      </c>
      <c r="E1592">
        <v>3</v>
      </c>
      <c r="F1592" t="str">
        <f>IF(AND(Entities[[#This Row],[ENT_TYPE]]="County",RIGHT(Entities[[#This Row],[ENT_NAME]],6)&lt;&gt;"County"),_xlfn.TEXTJOIN(" ",TRUE,Entities[[#This Row],[ENT_NAME]],"County"),Entities[[#This Row],[ENT_NAME]])</f>
        <v>Oakwood</v>
      </c>
    </row>
    <row r="1593" spans="1:6" x14ac:dyDescent="0.25">
      <c r="A1593" s="302" t="s">
        <v>6754</v>
      </c>
      <c r="B1593" s="303" t="str">
        <f t="shared" si="24"/>
        <v>x03003171</v>
      </c>
      <c r="C1593" t="s">
        <v>5458</v>
      </c>
      <c r="D1593" t="s">
        <v>6755</v>
      </c>
      <c r="E1593">
        <v>3</v>
      </c>
      <c r="F1593" t="str">
        <f>IF(AND(Entities[[#This Row],[ENT_TYPE]]="County",RIGHT(Entities[[#This Row],[ENT_NAME]],6)&lt;&gt;"County"),_xlfn.TEXTJOIN(" ",TRUE,Entities[[#This Row],[ENT_NAME]],"County"),Entities[[#This Row],[ENT_NAME]])</f>
        <v>Buffalo</v>
      </c>
    </row>
    <row r="1594" spans="1:6" x14ac:dyDescent="0.25">
      <c r="A1594" s="302" t="s">
        <v>6756</v>
      </c>
      <c r="B1594" s="303" t="str">
        <f t="shared" si="24"/>
        <v>x03003172</v>
      </c>
      <c r="C1594" t="s">
        <v>5458</v>
      </c>
      <c r="D1594" t="s">
        <v>6757</v>
      </c>
      <c r="E1594">
        <v>3</v>
      </c>
      <c r="F1594" t="str">
        <f>IF(AND(Entities[[#This Row],[ENT_TYPE]]="County",RIGHT(Entities[[#This Row],[ENT_NAME]],6)&lt;&gt;"County"),_xlfn.TEXTJOIN(" ",TRUE,Entities[[#This Row],[ENT_NAME]],"County"),Entities[[#This Row],[ENT_NAME]])</f>
        <v>Centerville</v>
      </c>
    </row>
    <row r="1595" spans="1:6" x14ac:dyDescent="0.25">
      <c r="A1595" s="302" t="s">
        <v>2440</v>
      </c>
      <c r="B1595" s="303" t="str">
        <f t="shared" si="24"/>
        <v>x03003205</v>
      </c>
      <c r="C1595" t="s">
        <v>5458</v>
      </c>
      <c r="D1595" t="s">
        <v>4521</v>
      </c>
      <c r="E1595">
        <v>3</v>
      </c>
      <c r="F1595" t="str">
        <f>IF(AND(Entities[[#This Row],[ENT_TYPE]]="County",RIGHT(Entities[[#This Row],[ENT_NAME]],6)&lt;&gt;"County"),_xlfn.TEXTJOIN(" ",TRUE,Entities[[#This Row],[ENT_NAME]],"County"),Entities[[#This Row],[ENT_NAME]])</f>
        <v>Providence Village</v>
      </c>
    </row>
    <row r="1596" spans="1:6" x14ac:dyDescent="0.25">
      <c r="A1596" s="302" t="s">
        <v>6758</v>
      </c>
      <c r="B1596" s="303" t="str">
        <f t="shared" si="24"/>
        <v>x03003211</v>
      </c>
      <c r="C1596" t="s">
        <v>5458</v>
      </c>
      <c r="D1596" t="s">
        <v>6642</v>
      </c>
      <c r="E1596">
        <v>3</v>
      </c>
      <c r="F1596" t="str">
        <f>IF(AND(Entities[[#This Row],[ENT_TYPE]]="County",RIGHT(Entities[[#This Row],[ENT_NAME]],6)&lt;&gt;"County"),_xlfn.TEXTJOIN(" ",TRUE,Entities[[#This Row],[ENT_NAME]],"County"),Entities[[#This Row],[ENT_NAME]])</f>
        <v>Oak Ridge</v>
      </c>
    </row>
    <row r="1597" spans="1:6" x14ac:dyDescent="0.25">
      <c r="A1597" s="302" t="s">
        <v>1812</v>
      </c>
      <c r="B1597" s="303" t="str">
        <f t="shared" si="24"/>
        <v>x03003212</v>
      </c>
      <c r="C1597" t="s">
        <v>5458</v>
      </c>
      <c r="D1597" t="s">
        <v>4373</v>
      </c>
      <c r="E1597">
        <v>3</v>
      </c>
      <c r="F1597" t="str">
        <f>IF(AND(Entities[[#This Row],[ENT_TYPE]]="County",RIGHT(Entities[[#This Row],[ENT_NAME]],6)&lt;&gt;"County"),_xlfn.TEXTJOIN(" ",TRUE,Entities[[#This Row],[ENT_NAME]],"County"),Entities[[#This Row],[ENT_NAME]])</f>
        <v>Valley View</v>
      </c>
    </row>
    <row r="1598" spans="1:6" x14ac:dyDescent="0.25">
      <c r="A1598" s="302" t="s">
        <v>6759</v>
      </c>
      <c r="B1598" s="303" t="str">
        <f t="shared" si="24"/>
        <v>x03003241</v>
      </c>
      <c r="C1598" t="s">
        <v>5458</v>
      </c>
      <c r="D1598" t="s">
        <v>6760</v>
      </c>
      <c r="E1598">
        <v>3</v>
      </c>
      <c r="F1598" t="str">
        <f>IF(AND(Entities[[#This Row],[ENT_TYPE]]="County",RIGHT(Entities[[#This Row],[ENT_NAME]],6)&lt;&gt;"County"),_xlfn.TEXTJOIN(" ",TRUE,Entities[[#This Row],[ENT_NAME]],"County"),Entities[[#This Row],[ENT_NAME]])</f>
        <v>Collinsville</v>
      </c>
    </row>
    <row r="1599" spans="1:6" x14ac:dyDescent="0.25">
      <c r="A1599" s="302" t="s">
        <v>6761</v>
      </c>
      <c r="B1599" s="303" t="str">
        <f t="shared" si="24"/>
        <v>x03003243</v>
      </c>
      <c r="C1599" t="s">
        <v>5458</v>
      </c>
      <c r="D1599" t="s">
        <v>6762</v>
      </c>
      <c r="E1599">
        <v>3</v>
      </c>
      <c r="F1599" t="str">
        <f>IF(AND(Entities[[#This Row],[ENT_TYPE]]="County",RIGHT(Entities[[#This Row],[ENT_NAME]],6)&lt;&gt;"County"),_xlfn.TEXTJOIN(" ",TRUE,Entities[[#This Row],[ENT_NAME]],"County"),Entities[[#This Row],[ENT_NAME]])</f>
        <v>Gunter</v>
      </c>
    </row>
    <row r="1600" spans="1:6" x14ac:dyDescent="0.25">
      <c r="A1600" s="302" t="s">
        <v>6763</v>
      </c>
      <c r="B1600" s="303" t="str">
        <f t="shared" si="24"/>
        <v>x03003264</v>
      </c>
      <c r="C1600" t="s">
        <v>5458</v>
      </c>
      <c r="D1600" t="s">
        <v>6764</v>
      </c>
      <c r="E1600">
        <v>3</v>
      </c>
      <c r="F1600" t="str">
        <f>IF(AND(Entities[[#This Row],[ENT_TYPE]]="County",RIGHT(Entities[[#This Row],[ENT_NAME]],6)&lt;&gt;"County"),_xlfn.TEXTJOIN(" ",TRUE,Entities[[#This Row],[ENT_NAME]],"County"),Entities[[#This Row],[ENT_NAME]])</f>
        <v>Ferris</v>
      </c>
    </row>
    <row r="1601" spans="1:6" x14ac:dyDescent="0.25">
      <c r="A1601" s="302" t="s">
        <v>2505</v>
      </c>
      <c r="B1601" s="303" t="str">
        <f t="shared" si="24"/>
        <v>x03003265</v>
      </c>
      <c r="C1601" t="s">
        <v>5458</v>
      </c>
      <c r="D1601" t="s">
        <v>6765</v>
      </c>
      <c r="E1601">
        <v>3</v>
      </c>
      <c r="F1601" t="str">
        <f>IF(AND(Entities[[#This Row],[ENT_TYPE]]="County",RIGHT(Entities[[#This Row],[ENT_NAME]],6)&lt;&gt;"County"),_xlfn.TEXTJOIN(" ",TRUE,Entities[[#This Row],[ENT_NAME]],"County"),Entities[[#This Row],[ENT_NAME]])</f>
        <v>Garland</v>
      </c>
    </row>
    <row r="1602" spans="1:6" x14ac:dyDescent="0.25">
      <c r="A1602" s="302" t="s">
        <v>6766</v>
      </c>
      <c r="B1602" s="303" t="str">
        <f t="shared" ref="B1602:B1665" si="25">_xlfn.CONCAT("x",TEXT(A1602,"00000000"))</f>
        <v>x03003266</v>
      </c>
      <c r="C1602" t="s">
        <v>5458</v>
      </c>
      <c r="D1602" t="s">
        <v>6767</v>
      </c>
      <c r="E1602">
        <v>3</v>
      </c>
      <c r="F1602" t="str">
        <f>IF(AND(Entities[[#This Row],[ENT_TYPE]]="County",RIGHT(Entities[[#This Row],[ENT_NAME]],6)&lt;&gt;"County"),_xlfn.TEXTJOIN(" ",TRUE,Entities[[#This Row],[ENT_NAME]],"County"),Entities[[#This Row],[ENT_NAME]])</f>
        <v>Ovilla</v>
      </c>
    </row>
    <row r="1603" spans="1:6" x14ac:dyDescent="0.25">
      <c r="A1603" s="302" t="s">
        <v>6768</v>
      </c>
      <c r="B1603" s="303" t="str">
        <f t="shared" si="25"/>
        <v>x03003267</v>
      </c>
      <c r="C1603" t="s">
        <v>5458</v>
      </c>
      <c r="D1603" t="s">
        <v>6769</v>
      </c>
      <c r="E1603">
        <v>3</v>
      </c>
      <c r="F1603" t="str">
        <f>IF(AND(Entities[[#This Row],[ENT_TYPE]]="County",RIGHT(Entities[[#This Row],[ENT_NAME]],6)&lt;&gt;"County"),_xlfn.TEXTJOIN(" ",TRUE,Entities[[#This Row],[ENT_NAME]],"County"),Entities[[#This Row],[ENT_NAME]])</f>
        <v>Wylie</v>
      </c>
    </row>
    <row r="1604" spans="1:6" x14ac:dyDescent="0.25">
      <c r="A1604" s="302" t="s">
        <v>6770</v>
      </c>
      <c r="B1604" s="303" t="str">
        <f t="shared" si="25"/>
        <v>x03003272</v>
      </c>
      <c r="C1604" t="s">
        <v>5458</v>
      </c>
      <c r="D1604" t="s">
        <v>6771</v>
      </c>
      <c r="E1604">
        <v>3</v>
      </c>
      <c r="F1604" t="str">
        <f>IF(AND(Entities[[#This Row],[ENT_TYPE]]="County",RIGHT(Entities[[#This Row],[ENT_NAME]],6)&lt;&gt;"County"),_xlfn.TEXTJOIN(" ",TRUE,Entities[[#This Row],[ENT_NAME]],"County"),Entities[[#This Row],[ENT_NAME]])</f>
        <v>Anna</v>
      </c>
    </row>
    <row r="1605" spans="1:6" x14ac:dyDescent="0.25">
      <c r="A1605" s="302" t="s">
        <v>6772</v>
      </c>
      <c r="B1605" s="303" t="str">
        <f t="shared" si="25"/>
        <v>x03003273</v>
      </c>
      <c r="C1605" t="s">
        <v>5458</v>
      </c>
      <c r="D1605" t="s">
        <v>6773</v>
      </c>
      <c r="E1605">
        <v>3</v>
      </c>
      <c r="F1605" t="str">
        <f>IF(AND(Entities[[#This Row],[ENT_TYPE]]="County",RIGHT(Entities[[#This Row],[ENT_NAME]],6)&lt;&gt;"County"),_xlfn.TEXTJOIN(" ",TRUE,Entities[[#This Row],[ENT_NAME]],"County"),Entities[[#This Row],[ENT_NAME]])</f>
        <v>Fairview</v>
      </c>
    </row>
    <row r="1606" spans="1:6" x14ac:dyDescent="0.25">
      <c r="A1606" s="302" t="s">
        <v>6774</v>
      </c>
      <c r="B1606" s="303" t="str">
        <f t="shared" si="25"/>
        <v>x03003274</v>
      </c>
      <c r="C1606" t="s">
        <v>5458</v>
      </c>
      <c r="D1606" t="s">
        <v>6775</v>
      </c>
      <c r="E1606">
        <v>3</v>
      </c>
      <c r="F1606" t="str">
        <f>IF(AND(Entities[[#This Row],[ENT_TYPE]]="County",RIGHT(Entities[[#This Row],[ENT_NAME]],6)&lt;&gt;"County"),_xlfn.TEXTJOIN(" ",TRUE,Entities[[#This Row],[ENT_NAME]],"County"),Entities[[#This Row],[ENT_NAME]])</f>
        <v>Lowry Crossing</v>
      </c>
    </row>
    <row r="1607" spans="1:6" x14ac:dyDescent="0.25">
      <c r="A1607" s="302" t="s">
        <v>6776</v>
      </c>
      <c r="B1607" s="303" t="str">
        <f t="shared" si="25"/>
        <v>x03003275</v>
      </c>
      <c r="C1607" t="s">
        <v>5458</v>
      </c>
      <c r="D1607" t="s">
        <v>6777</v>
      </c>
      <c r="E1607">
        <v>3</v>
      </c>
      <c r="F1607" t="str">
        <f>IF(AND(Entities[[#This Row],[ENT_TYPE]]="County",RIGHT(Entities[[#This Row],[ENT_NAME]],6)&lt;&gt;"County"),_xlfn.TEXTJOIN(" ",TRUE,Entities[[#This Row],[ENT_NAME]],"County"),Entities[[#This Row],[ENT_NAME]])</f>
        <v>Lucas</v>
      </c>
    </row>
    <row r="1608" spans="1:6" x14ac:dyDescent="0.25">
      <c r="A1608" s="302" t="s">
        <v>1971</v>
      </c>
      <c r="B1608" s="303" t="str">
        <f t="shared" si="25"/>
        <v>x03003281</v>
      </c>
      <c r="C1608" t="s">
        <v>5458</v>
      </c>
      <c r="D1608" t="s">
        <v>4409</v>
      </c>
      <c r="E1608">
        <v>3</v>
      </c>
      <c r="F1608" t="str">
        <f>IF(AND(Entities[[#This Row],[ENT_TYPE]]="County",RIGHT(Entities[[#This Row],[ENT_NAME]],6)&lt;&gt;"County"),_xlfn.TEXTJOIN(" ",TRUE,Entities[[#This Row],[ENT_NAME]],"County"),Entities[[#This Row],[ENT_NAME]])</f>
        <v>Corsicana</v>
      </c>
    </row>
    <row r="1609" spans="1:6" x14ac:dyDescent="0.25">
      <c r="A1609" s="302" t="s">
        <v>2355</v>
      </c>
      <c r="B1609" s="303" t="str">
        <f t="shared" si="25"/>
        <v>x03003282</v>
      </c>
      <c r="C1609" t="s">
        <v>5458</v>
      </c>
      <c r="D1609" t="s">
        <v>4502</v>
      </c>
      <c r="E1609">
        <v>3</v>
      </c>
      <c r="F1609" t="str">
        <f>IF(AND(Entities[[#This Row],[ENT_TYPE]]="County",RIGHT(Entities[[#This Row],[ENT_NAME]],6)&lt;&gt;"County"),_xlfn.TEXTJOIN(" ",TRUE,Entities[[#This Row],[ENT_NAME]],"County"),Entities[[#This Row],[ENT_NAME]])</f>
        <v>Eureka</v>
      </c>
    </row>
    <row r="1610" spans="1:6" x14ac:dyDescent="0.25">
      <c r="A1610" s="302" t="s">
        <v>2361</v>
      </c>
      <c r="B1610" s="303" t="str">
        <f t="shared" si="25"/>
        <v>x03003283</v>
      </c>
      <c r="C1610" t="s">
        <v>5458</v>
      </c>
      <c r="D1610" t="s">
        <v>4503</v>
      </c>
      <c r="E1610">
        <v>3</v>
      </c>
      <c r="F1610" t="str">
        <f>IF(AND(Entities[[#This Row],[ENT_TYPE]]="County",RIGHT(Entities[[#This Row],[ENT_NAME]],6)&lt;&gt;"County"),_xlfn.TEXTJOIN(" ",TRUE,Entities[[#This Row],[ENT_NAME]],"County"),Entities[[#This Row],[ENT_NAME]])</f>
        <v>Goodlow</v>
      </c>
    </row>
    <row r="1611" spans="1:6" x14ac:dyDescent="0.25">
      <c r="A1611" s="302" t="s">
        <v>6778</v>
      </c>
      <c r="B1611" s="303" t="str">
        <f t="shared" si="25"/>
        <v>x03003284</v>
      </c>
      <c r="C1611" t="s">
        <v>5458</v>
      </c>
      <c r="D1611" t="s">
        <v>6779</v>
      </c>
      <c r="E1611">
        <v>3</v>
      </c>
      <c r="F1611" t="str">
        <f>IF(AND(Entities[[#This Row],[ENT_TYPE]]="County",RIGHT(Entities[[#This Row],[ENT_NAME]],6)&lt;&gt;"County"),_xlfn.TEXTJOIN(" ",TRUE,Entities[[#This Row],[ENT_NAME]],"County"),Entities[[#This Row],[ENT_NAME]])</f>
        <v>Mildred</v>
      </c>
    </row>
    <row r="1612" spans="1:6" x14ac:dyDescent="0.25">
      <c r="A1612" s="302" t="s">
        <v>6780</v>
      </c>
      <c r="B1612" s="303" t="str">
        <f t="shared" si="25"/>
        <v>x03003285</v>
      </c>
      <c r="C1612" t="s">
        <v>5458</v>
      </c>
      <c r="D1612" t="s">
        <v>6781</v>
      </c>
      <c r="E1612">
        <v>3</v>
      </c>
      <c r="F1612" t="str">
        <f>IF(AND(Entities[[#This Row],[ENT_TYPE]]="County",RIGHT(Entities[[#This Row],[ENT_NAME]],6)&lt;&gt;"County"),_xlfn.TEXTJOIN(" ",TRUE,Entities[[#This Row],[ENT_NAME]],"County"),Entities[[#This Row],[ENT_NAME]])</f>
        <v>Azle</v>
      </c>
    </row>
    <row r="1613" spans="1:6" x14ac:dyDescent="0.25">
      <c r="A1613" s="302" t="s">
        <v>6782</v>
      </c>
      <c r="B1613" s="303" t="str">
        <f t="shared" si="25"/>
        <v>x03003286</v>
      </c>
      <c r="C1613" t="s">
        <v>5458</v>
      </c>
      <c r="D1613" t="s">
        <v>6783</v>
      </c>
      <c r="E1613">
        <v>3</v>
      </c>
      <c r="F1613" t="str">
        <f>IF(AND(Entities[[#This Row],[ENT_TYPE]]="County",RIGHT(Entities[[#This Row],[ENT_NAME]],6)&lt;&gt;"County"),_xlfn.TEXTJOIN(" ",TRUE,Entities[[#This Row],[ENT_NAME]],"County"),Entities[[#This Row],[ENT_NAME]])</f>
        <v>Saginaw</v>
      </c>
    </row>
    <row r="1614" spans="1:6" x14ac:dyDescent="0.25">
      <c r="A1614" s="302" t="s">
        <v>6784</v>
      </c>
      <c r="B1614" s="303" t="str">
        <f t="shared" si="25"/>
        <v>x03003287</v>
      </c>
      <c r="C1614" t="s">
        <v>5458</v>
      </c>
      <c r="D1614" t="s">
        <v>6785</v>
      </c>
      <c r="E1614">
        <v>3</v>
      </c>
      <c r="F1614" t="str">
        <f>IF(AND(Entities[[#This Row],[ENT_TYPE]]="County",RIGHT(Entities[[#This Row],[ENT_NAME]],6)&lt;&gt;"County"),_xlfn.TEXTJOIN(" ",TRUE,Entities[[#This Row],[ENT_NAME]],"County"),Entities[[#This Row],[ENT_NAME]])</f>
        <v>Watauga</v>
      </c>
    </row>
    <row r="1615" spans="1:6" x14ac:dyDescent="0.25">
      <c r="A1615" s="302" t="s">
        <v>6786</v>
      </c>
      <c r="B1615" s="303" t="str">
        <f t="shared" si="25"/>
        <v>x03003288</v>
      </c>
      <c r="C1615" t="s">
        <v>5458</v>
      </c>
      <c r="D1615" t="s">
        <v>6787</v>
      </c>
      <c r="E1615">
        <v>3</v>
      </c>
      <c r="F1615" t="str">
        <f>IF(AND(Entities[[#This Row],[ENT_TYPE]]="County",RIGHT(Entities[[#This Row],[ENT_NAME]],6)&lt;&gt;"County"),_xlfn.TEXTJOIN(" ",TRUE,Entities[[#This Row],[ENT_NAME]],"County"),Entities[[#This Row],[ENT_NAME]])</f>
        <v>Westworth Village</v>
      </c>
    </row>
    <row r="1616" spans="1:6" x14ac:dyDescent="0.25">
      <c r="A1616" s="302" t="s">
        <v>2320</v>
      </c>
      <c r="B1616" s="303" t="str">
        <f t="shared" si="25"/>
        <v>x03003304</v>
      </c>
      <c r="C1616" t="s">
        <v>5458</v>
      </c>
      <c r="D1616" t="s">
        <v>4489</v>
      </c>
      <c r="E1616">
        <v>3</v>
      </c>
      <c r="F1616" t="str">
        <f>IF(AND(Entities[[#This Row],[ENT_TYPE]]="County",RIGHT(Entities[[#This Row],[ENT_NAME]],6)&lt;&gt;"County"),_xlfn.TEXTJOIN(" ",TRUE,Entities[[#This Row],[ENT_NAME]],"County"),Entities[[#This Row],[ENT_NAME]])</f>
        <v>Bedias</v>
      </c>
    </row>
    <row r="1617" spans="1:6" x14ac:dyDescent="0.25">
      <c r="A1617" s="302" t="s">
        <v>6788</v>
      </c>
      <c r="B1617" s="303" t="str">
        <f t="shared" si="25"/>
        <v>x03003311</v>
      </c>
      <c r="C1617" t="s">
        <v>5458</v>
      </c>
      <c r="D1617" t="s">
        <v>2185</v>
      </c>
      <c r="E1617">
        <v>3</v>
      </c>
      <c r="F1617" t="str">
        <f>IF(AND(Entities[[#This Row],[ENT_TYPE]]="County",RIGHT(Entities[[#This Row],[ENT_NAME]],6)&lt;&gt;"County"),_xlfn.TEXTJOIN(" ",TRUE,Entities[[#This Row],[ENT_NAME]],"County"),Entities[[#This Row],[ENT_NAME]])</f>
        <v>Parker</v>
      </c>
    </row>
    <row r="1618" spans="1:6" x14ac:dyDescent="0.25">
      <c r="A1618" s="302" t="s">
        <v>6789</v>
      </c>
      <c r="B1618" s="303" t="str">
        <f t="shared" si="25"/>
        <v>x03003313</v>
      </c>
      <c r="C1618" t="s">
        <v>5458</v>
      </c>
      <c r="D1618" t="s">
        <v>6790</v>
      </c>
      <c r="E1618">
        <v>3</v>
      </c>
      <c r="F1618" t="str">
        <f>IF(AND(Entities[[#This Row],[ENT_TYPE]]="County",RIGHT(Entities[[#This Row],[ENT_NAME]],6)&lt;&gt;"County"),_xlfn.TEXTJOIN(" ",TRUE,Entities[[#This Row],[ENT_NAME]],"County"),Entities[[#This Row],[ENT_NAME]])</f>
        <v>Van Alstyne</v>
      </c>
    </row>
    <row r="1619" spans="1:6" x14ac:dyDescent="0.25">
      <c r="A1619" s="302" t="s">
        <v>6791</v>
      </c>
      <c r="B1619" s="303" t="str">
        <f t="shared" si="25"/>
        <v>x03003314</v>
      </c>
      <c r="C1619" t="s">
        <v>5458</v>
      </c>
      <c r="D1619" t="s">
        <v>6792</v>
      </c>
      <c r="E1619">
        <v>3</v>
      </c>
      <c r="F1619" t="str">
        <f>IF(AND(Entities[[#This Row],[ENT_TYPE]]="County",RIGHT(Entities[[#This Row],[ENT_NAME]],6)&lt;&gt;"County"),_xlfn.TEXTJOIN(" ",TRUE,Entities[[#This Row],[ENT_NAME]],"County"),Entities[[#This Row],[ENT_NAME]])</f>
        <v>Weston</v>
      </c>
    </row>
    <row r="1620" spans="1:6" x14ac:dyDescent="0.25">
      <c r="A1620" s="302" t="s">
        <v>6793</v>
      </c>
      <c r="B1620" s="303" t="str">
        <f t="shared" si="25"/>
        <v>x03003321</v>
      </c>
      <c r="C1620" t="s">
        <v>5458</v>
      </c>
      <c r="D1620" t="s">
        <v>6794</v>
      </c>
      <c r="E1620">
        <v>3</v>
      </c>
      <c r="F1620" t="str">
        <f>IF(AND(Entities[[#This Row],[ENT_TYPE]]="County",RIGHT(Entities[[#This Row],[ENT_NAME]],6)&lt;&gt;"County"),_xlfn.TEXTJOIN(" ",TRUE,Entities[[#This Row],[ENT_NAME]],"County"),Entities[[#This Row],[ENT_NAME]])</f>
        <v>Keller</v>
      </c>
    </row>
    <row r="1621" spans="1:6" x14ac:dyDescent="0.25">
      <c r="A1621" s="302" t="s">
        <v>6795</v>
      </c>
      <c r="B1621" s="303" t="str">
        <f t="shared" si="25"/>
        <v>x03003323</v>
      </c>
      <c r="C1621" t="s">
        <v>5458</v>
      </c>
      <c r="D1621" t="s">
        <v>6796</v>
      </c>
      <c r="E1621">
        <v>3</v>
      </c>
      <c r="F1621" t="str">
        <f>IF(AND(Entities[[#This Row],[ENT_TYPE]]="County",RIGHT(Entities[[#This Row],[ENT_NAME]],6)&lt;&gt;"County"),_xlfn.TEXTJOIN(" ",TRUE,Entities[[#This Row],[ENT_NAME]],"County"),Entities[[#This Row],[ENT_NAME]])</f>
        <v>Ames</v>
      </c>
    </row>
    <row r="1622" spans="1:6" x14ac:dyDescent="0.25">
      <c r="A1622" s="302" t="s">
        <v>6797</v>
      </c>
      <c r="B1622" s="303" t="str">
        <f t="shared" si="25"/>
        <v>x03003348</v>
      </c>
      <c r="C1622" t="s">
        <v>5458</v>
      </c>
      <c r="D1622" t="s">
        <v>6798</v>
      </c>
      <c r="E1622">
        <v>3</v>
      </c>
      <c r="F1622" t="str">
        <f>IF(AND(Entities[[#This Row],[ENT_TYPE]]="County",RIGHT(Entities[[#This Row],[ENT_NAME]],6)&lt;&gt;"County"),_xlfn.TEXTJOIN(" ",TRUE,Entities[[#This Row],[ENT_NAME]],"County"),Entities[[#This Row],[ENT_NAME]])</f>
        <v>Sanger</v>
      </c>
    </row>
    <row r="1623" spans="1:6" x14ac:dyDescent="0.25">
      <c r="A1623" s="302" t="s">
        <v>6799</v>
      </c>
      <c r="B1623" s="303" t="str">
        <f t="shared" si="25"/>
        <v>x03003349</v>
      </c>
      <c r="C1623" t="s">
        <v>5458</v>
      </c>
      <c r="D1623" t="s">
        <v>6800</v>
      </c>
      <c r="E1623">
        <v>3</v>
      </c>
      <c r="F1623" t="str">
        <f>IF(AND(Entities[[#This Row],[ENT_TYPE]]="County",RIGHT(Entities[[#This Row],[ENT_NAME]],6)&lt;&gt;"County"),_xlfn.TEXTJOIN(" ",TRUE,Entities[[#This Row],[ENT_NAME]],"County"),Entities[[#This Row],[ENT_NAME]])</f>
        <v>Oak Point</v>
      </c>
    </row>
    <row r="1624" spans="1:6" x14ac:dyDescent="0.25">
      <c r="A1624" s="302" t="s">
        <v>6801</v>
      </c>
      <c r="B1624" s="303" t="str">
        <f t="shared" si="25"/>
        <v>x03003350</v>
      </c>
      <c r="C1624" t="s">
        <v>5458</v>
      </c>
      <c r="D1624" t="s">
        <v>6802</v>
      </c>
      <c r="E1624">
        <v>3</v>
      </c>
      <c r="F1624" t="str">
        <f>IF(AND(Entities[[#This Row],[ENT_TYPE]]="County",RIGHT(Entities[[#This Row],[ENT_NAME]],6)&lt;&gt;"County"),_xlfn.TEXTJOIN(" ",TRUE,Entities[[#This Row],[ENT_NAME]],"County"),Entities[[#This Row],[ENT_NAME]])</f>
        <v>Little Elm</v>
      </c>
    </row>
    <row r="1625" spans="1:6" x14ac:dyDescent="0.25">
      <c r="A1625" s="302" t="s">
        <v>6803</v>
      </c>
      <c r="B1625" s="303" t="str">
        <f t="shared" si="25"/>
        <v>x03003351</v>
      </c>
      <c r="C1625" t="s">
        <v>5458</v>
      </c>
      <c r="D1625" t="s">
        <v>6804</v>
      </c>
      <c r="E1625">
        <v>3</v>
      </c>
      <c r="F1625" t="str">
        <f>IF(AND(Entities[[#This Row],[ENT_TYPE]]="County",RIGHT(Entities[[#This Row],[ENT_NAME]],6)&lt;&gt;"County"),_xlfn.TEXTJOIN(" ",TRUE,Entities[[#This Row],[ENT_NAME]],"County"),Entities[[#This Row],[ENT_NAME]])</f>
        <v>Flower Mound</v>
      </c>
    </row>
    <row r="1626" spans="1:6" x14ac:dyDescent="0.25">
      <c r="A1626" s="302" t="s">
        <v>6805</v>
      </c>
      <c r="B1626" s="303" t="str">
        <f t="shared" si="25"/>
        <v>x03003352</v>
      </c>
      <c r="C1626" t="s">
        <v>5458</v>
      </c>
      <c r="D1626" t="s">
        <v>6806</v>
      </c>
      <c r="E1626">
        <v>3</v>
      </c>
      <c r="F1626" t="str">
        <f>IF(AND(Entities[[#This Row],[ENT_TYPE]]="County",RIGHT(Entities[[#This Row],[ENT_NAME]],6)&lt;&gt;"County"),_xlfn.TEXTJOIN(" ",TRUE,Entities[[#This Row],[ENT_NAME]],"County"),Entities[[#This Row],[ENT_NAME]])</f>
        <v>The Colony</v>
      </c>
    </row>
    <row r="1627" spans="1:6" x14ac:dyDescent="0.25">
      <c r="A1627" s="302" t="s">
        <v>2155</v>
      </c>
      <c r="B1627" s="303" t="str">
        <f t="shared" si="25"/>
        <v>x03003353</v>
      </c>
      <c r="C1627" t="s">
        <v>5458</v>
      </c>
      <c r="D1627" t="s">
        <v>4455</v>
      </c>
      <c r="E1627">
        <v>3</v>
      </c>
      <c r="F1627" t="str">
        <f>IF(AND(Entities[[#This Row],[ENT_TYPE]]="County",RIGHT(Entities[[#This Row],[ENT_NAME]],6)&lt;&gt;"County"),_xlfn.TEXTJOIN(" ",TRUE,Entities[[#This Row],[ENT_NAME]],"County"),Entities[[#This Row],[ENT_NAME]])</f>
        <v>Carrollton</v>
      </c>
    </row>
    <row r="1628" spans="1:6" x14ac:dyDescent="0.25">
      <c r="A1628" s="302" t="s">
        <v>1889</v>
      </c>
      <c r="B1628" s="303" t="str">
        <f t="shared" si="25"/>
        <v>x03003354</v>
      </c>
      <c r="C1628" t="s">
        <v>5458</v>
      </c>
      <c r="D1628" t="s">
        <v>4391</v>
      </c>
      <c r="E1628">
        <v>3</v>
      </c>
      <c r="F1628" t="str">
        <f>IF(AND(Entities[[#This Row],[ENT_TYPE]]="County",RIGHT(Entities[[#This Row],[ENT_NAME]],6)&lt;&gt;"County"),_xlfn.TEXTJOIN(" ",TRUE,Entities[[#This Row],[ENT_NAME]],"County"),Entities[[#This Row],[ENT_NAME]])</f>
        <v>Lewisville</v>
      </c>
    </row>
    <row r="1629" spans="1:6" x14ac:dyDescent="0.25">
      <c r="A1629" s="302" t="s">
        <v>6807</v>
      </c>
      <c r="B1629" s="303" t="str">
        <f t="shared" si="25"/>
        <v>x03003355</v>
      </c>
      <c r="C1629" t="s">
        <v>5458</v>
      </c>
      <c r="D1629" t="s">
        <v>2107</v>
      </c>
      <c r="E1629">
        <v>3</v>
      </c>
      <c r="F1629" t="str">
        <f>IF(AND(Entities[[#This Row],[ENT_TYPE]]="County",RIGHT(Entities[[#This Row],[ENT_NAME]],6)&lt;&gt;"County"),_xlfn.TEXTJOIN(" ",TRUE,Entities[[#This Row],[ENT_NAME]],"County"),Entities[[#This Row],[ENT_NAME]])</f>
        <v>Denton</v>
      </c>
    </row>
    <row r="1630" spans="1:6" x14ac:dyDescent="0.25">
      <c r="A1630" s="302" t="s">
        <v>6808</v>
      </c>
      <c r="B1630" s="303" t="str">
        <f t="shared" si="25"/>
        <v>x03003356</v>
      </c>
      <c r="C1630" t="s">
        <v>5458</v>
      </c>
      <c r="D1630" t="s">
        <v>6809</v>
      </c>
      <c r="E1630">
        <v>3</v>
      </c>
      <c r="F1630" t="str">
        <f>IF(AND(Entities[[#This Row],[ENT_TYPE]]="County",RIGHT(Entities[[#This Row],[ENT_NAME]],6)&lt;&gt;"County"),_xlfn.TEXTJOIN(" ",TRUE,Entities[[#This Row],[ENT_NAME]],"County"),Entities[[#This Row],[ENT_NAME]])</f>
        <v>Southlake</v>
      </c>
    </row>
    <row r="1631" spans="1:6" x14ac:dyDescent="0.25">
      <c r="A1631" s="302" t="s">
        <v>6810</v>
      </c>
      <c r="B1631" s="303" t="str">
        <f t="shared" si="25"/>
        <v>x03003357</v>
      </c>
      <c r="C1631" t="s">
        <v>5458</v>
      </c>
      <c r="D1631" t="s">
        <v>6811</v>
      </c>
      <c r="E1631">
        <v>3</v>
      </c>
      <c r="F1631" t="str">
        <f>IF(AND(Entities[[#This Row],[ENT_TYPE]]="County",RIGHT(Entities[[#This Row],[ENT_NAME]],6)&lt;&gt;"County"),_xlfn.TEXTJOIN(" ",TRUE,Entities[[#This Row],[ENT_NAME]],"County"),Entities[[#This Row],[ENT_NAME]])</f>
        <v>Coppell</v>
      </c>
    </row>
    <row r="1632" spans="1:6" x14ac:dyDescent="0.25">
      <c r="A1632" s="302" t="s">
        <v>2372</v>
      </c>
      <c r="B1632" s="303" t="str">
        <f t="shared" si="25"/>
        <v>x03003358</v>
      </c>
      <c r="C1632" t="s">
        <v>5458</v>
      </c>
      <c r="D1632" t="s">
        <v>4506</v>
      </c>
      <c r="E1632">
        <v>3</v>
      </c>
      <c r="F1632" t="str">
        <f>IF(AND(Entities[[#This Row],[ENT_TYPE]]="County",RIGHT(Entities[[#This Row],[ENT_NAME]],6)&lt;&gt;"County"),_xlfn.TEXTJOIN(" ",TRUE,Entities[[#This Row],[ENT_NAME]],"County"),Entities[[#This Row],[ENT_NAME]])</f>
        <v>Hebron</v>
      </c>
    </row>
    <row r="1633" spans="1:6" x14ac:dyDescent="0.25">
      <c r="A1633" s="302" t="s">
        <v>6812</v>
      </c>
      <c r="B1633" s="303" t="str">
        <f t="shared" si="25"/>
        <v>x03003359</v>
      </c>
      <c r="C1633" t="s">
        <v>5458</v>
      </c>
      <c r="D1633" t="s">
        <v>6813</v>
      </c>
      <c r="E1633">
        <v>3</v>
      </c>
      <c r="F1633" t="str">
        <f>IF(AND(Entities[[#This Row],[ENT_TYPE]]="County",RIGHT(Entities[[#This Row],[ENT_NAME]],6)&lt;&gt;"County"),_xlfn.TEXTJOIN(" ",TRUE,Entities[[#This Row],[ENT_NAME]],"County"),Entities[[#This Row],[ENT_NAME]])</f>
        <v>Shady Shores</v>
      </c>
    </row>
    <row r="1634" spans="1:6" x14ac:dyDescent="0.25">
      <c r="A1634" s="302" t="s">
        <v>6814</v>
      </c>
      <c r="B1634" s="303" t="str">
        <f t="shared" si="25"/>
        <v>x03003360</v>
      </c>
      <c r="C1634" t="s">
        <v>5458</v>
      </c>
      <c r="D1634" t="s">
        <v>6815</v>
      </c>
      <c r="E1634">
        <v>3</v>
      </c>
      <c r="F1634" t="str">
        <f>IF(AND(Entities[[#This Row],[ENT_TYPE]]="County",RIGHT(Entities[[#This Row],[ENT_NAME]],6)&lt;&gt;"County"),_xlfn.TEXTJOIN(" ",TRUE,Entities[[#This Row],[ENT_NAME]],"County"),Entities[[#This Row],[ENT_NAME]])</f>
        <v>Plano</v>
      </c>
    </row>
    <row r="1635" spans="1:6" x14ac:dyDescent="0.25">
      <c r="A1635" s="302" t="s">
        <v>6816</v>
      </c>
      <c r="B1635" s="303" t="str">
        <f t="shared" si="25"/>
        <v>x03003362</v>
      </c>
      <c r="C1635" t="s">
        <v>5458</v>
      </c>
      <c r="D1635" t="s">
        <v>6817</v>
      </c>
      <c r="E1635">
        <v>3</v>
      </c>
      <c r="F1635" t="str">
        <f>IF(AND(Entities[[#This Row],[ENT_TYPE]]="County",RIGHT(Entities[[#This Row],[ENT_NAME]],6)&lt;&gt;"County"),_xlfn.TEXTJOIN(" ",TRUE,Entities[[#This Row],[ENT_NAME]],"County"),Entities[[#This Row],[ENT_NAME]])</f>
        <v>Arlington</v>
      </c>
    </row>
    <row r="1636" spans="1:6" x14ac:dyDescent="0.25">
      <c r="A1636" s="302" t="s">
        <v>6818</v>
      </c>
      <c r="B1636" s="303" t="str">
        <f t="shared" si="25"/>
        <v>x03003363</v>
      </c>
      <c r="C1636" t="s">
        <v>5458</v>
      </c>
      <c r="D1636" t="s">
        <v>6819</v>
      </c>
      <c r="E1636">
        <v>3</v>
      </c>
      <c r="F1636" t="str">
        <f>IF(AND(Entities[[#This Row],[ENT_TYPE]]="County",RIGHT(Entities[[#This Row],[ENT_NAME]],6)&lt;&gt;"County"),_xlfn.TEXTJOIN(" ",TRUE,Entities[[#This Row],[ENT_NAME]],"County"),Entities[[#This Row],[ENT_NAME]])</f>
        <v>North Richland Hills</v>
      </c>
    </row>
    <row r="1637" spans="1:6" x14ac:dyDescent="0.25">
      <c r="A1637" s="302" t="s">
        <v>6820</v>
      </c>
      <c r="B1637" s="303" t="str">
        <f t="shared" si="25"/>
        <v>x03003367</v>
      </c>
      <c r="C1637" t="s">
        <v>5458</v>
      </c>
      <c r="D1637" t="s">
        <v>6821</v>
      </c>
      <c r="E1637">
        <v>3</v>
      </c>
      <c r="F1637" t="str">
        <f>IF(AND(Entities[[#This Row],[ENT_TYPE]]="County",RIGHT(Entities[[#This Row],[ENT_NAME]],6)&lt;&gt;"County"),_xlfn.TEXTJOIN(" ",TRUE,Entities[[#This Row],[ENT_NAME]],"County"),Entities[[#This Row],[ENT_NAME]])</f>
        <v>Malone</v>
      </c>
    </row>
    <row r="1638" spans="1:6" x14ac:dyDescent="0.25">
      <c r="A1638" s="302" t="s">
        <v>6822</v>
      </c>
      <c r="B1638" s="303" t="str">
        <f t="shared" si="25"/>
        <v>x03003372</v>
      </c>
      <c r="C1638" t="s">
        <v>5458</v>
      </c>
      <c r="D1638" t="s">
        <v>6823</v>
      </c>
      <c r="E1638">
        <v>3</v>
      </c>
      <c r="F1638" t="str">
        <f>IF(AND(Entities[[#This Row],[ENT_TYPE]]="County",RIGHT(Entities[[#This Row],[ENT_NAME]],6)&lt;&gt;"County"),_xlfn.TEXTJOIN(" ",TRUE,Entities[[#This Row],[ENT_NAME]],"County"),Entities[[#This Row],[ENT_NAME]])</f>
        <v>Heath</v>
      </c>
    </row>
    <row r="1639" spans="1:6" x14ac:dyDescent="0.25">
      <c r="A1639" s="302" t="s">
        <v>6824</v>
      </c>
      <c r="B1639" s="303" t="str">
        <f t="shared" si="25"/>
        <v>x03003376</v>
      </c>
      <c r="C1639" t="s">
        <v>5458</v>
      </c>
      <c r="D1639" t="s">
        <v>6825</v>
      </c>
      <c r="E1639">
        <v>3</v>
      </c>
      <c r="F1639" t="str">
        <f>IF(AND(Entities[[#This Row],[ENT_TYPE]]="County",RIGHT(Entities[[#This Row],[ENT_NAME]],6)&lt;&gt;"County"),_xlfn.TEXTJOIN(" ",TRUE,Entities[[#This Row],[ENT_NAME]],"County"),Entities[[#This Row],[ENT_NAME]])</f>
        <v>DISH</v>
      </c>
    </row>
    <row r="1640" spans="1:6" x14ac:dyDescent="0.25">
      <c r="A1640" s="302" t="s">
        <v>6826</v>
      </c>
      <c r="B1640" s="303" t="str">
        <f t="shared" si="25"/>
        <v>x03003379</v>
      </c>
      <c r="C1640" t="s">
        <v>5458</v>
      </c>
      <c r="D1640" t="s">
        <v>2364</v>
      </c>
      <c r="E1640">
        <v>3</v>
      </c>
      <c r="F1640" t="str">
        <f>IF(AND(Entities[[#This Row],[ENT_TYPE]]="County",RIGHT(Entities[[#This Row],[ENT_NAME]],6)&lt;&gt;"County"),_xlfn.TEXTJOIN(" ",TRUE,Entities[[#This Row],[ENT_NAME]],"County"),Entities[[#This Row],[ENT_NAME]])</f>
        <v>Kaufman</v>
      </c>
    </row>
    <row r="1641" spans="1:6" x14ac:dyDescent="0.25">
      <c r="A1641" s="302" t="s">
        <v>6827</v>
      </c>
      <c r="B1641" s="303" t="str">
        <f t="shared" si="25"/>
        <v>x03003380</v>
      </c>
      <c r="C1641" t="s">
        <v>5458</v>
      </c>
      <c r="D1641" t="s">
        <v>6828</v>
      </c>
      <c r="E1641">
        <v>3</v>
      </c>
      <c r="F1641" t="str">
        <f>IF(AND(Entities[[#This Row],[ENT_TYPE]]="County",RIGHT(Entities[[#This Row],[ENT_NAME]],6)&lt;&gt;"County"),_xlfn.TEXTJOIN(" ",TRUE,Entities[[#This Row],[ENT_NAME]],"County"),Entities[[#This Row],[ENT_NAME]])</f>
        <v>Mabank</v>
      </c>
    </row>
    <row r="1642" spans="1:6" x14ac:dyDescent="0.25">
      <c r="A1642" s="302" t="s">
        <v>6829</v>
      </c>
      <c r="B1642" s="303" t="str">
        <f t="shared" si="25"/>
        <v>x03003381</v>
      </c>
      <c r="C1642" t="s">
        <v>5458</v>
      </c>
      <c r="D1642" t="s">
        <v>6830</v>
      </c>
      <c r="E1642">
        <v>3</v>
      </c>
      <c r="F1642" t="str">
        <f>IF(AND(Entities[[#This Row],[ENT_TYPE]]="County",RIGHT(Entities[[#This Row],[ENT_NAME]],6)&lt;&gt;"County"),_xlfn.TEXTJOIN(" ",TRUE,Entities[[#This Row],[ENT_NAME]],"County"),Entities[[#This Row],[ENT_NAME]])</f>
        <v>Seven Points</v>
      </c>
    </row>
    <row r="1643" spans="1:6" x14ac:dyDescent="0.25">
      <c r="A1643" s="302" t="s">
        <v>1895</v>
      </c>
      <c r="B1643" s="303" t="str">
        <f t="shared" si="25"/>
        <v>x03003382</v>
      </c>
      <c r="C1643" t="s">
        <v>5458</v>
      </c>
      <c r="D1643" t="s">
        <v>4393</v>
      </c>
      <c r="E1643">
        <v>3</v>
      </c>
      <c r="F1643" t="str">
        <f>IF(AND(Entities[[#This Row],[ENT_TYPE]]="County",RIGHT(Entities[[#This Row],[ENT_NAME]],6)&lt;&gt;"County"),_xlfn.TEXTJOIN(" ",TRUE,Entities[[#This Row],[ENT_NAME]],"County"),Entities[[#This Row],[ENT_NAME]])</f>
        <v>Kemp</v>
      </c>
    </row>
    <row r="1644" spans="1:6" x14ac:dyDescent="0.25">
      <c r="A1644" s="302" t="s">
        <v>2445</v>
      </c>
      <c r="B1644" s="303" t="str">
        <f t="shared" si="25"/>
        <v>x03003383</v>
      </c>
      <c r="C1644" t="s">
        <v>5458</v>
      </c>
      <c r="D1644" t="s">
        <v>4522</v>
      </c>
      <c r="E1644">
        <v>3</v>
      </c>
      <c r="F1644" t="str">
        <f>IF(AND(Entities[[#This Row],[ENT_TYPE]]="County",RIGHT(Entities[[#This Row],[ENT_NAME]],6)&lt;&gt;"County"),_xlfn.TEXTJOIN(" ",TRUE,Entities[[#This Row],[ENT_NAME]],"County"),Entities[[#This Row],[ENT_NAME]])</f>
        <v>Rosser</v>
      </c>
    </row>
    <row r="1645" spans="1:6" x14ac:dyDescent="0.25">
      <c r="A1645" s="302" t="s">
        <v>6831</v>
      </c>
      <c r="B1645" s="303" t="str">
        <f t="shared" si="25"/>
        <v>x03003384</v>
      </c>
      <c r="C1645" t="s">
        <v>5458</v>
      </c>
      <c r="D1645" t="s">
        <v>6832</v>
      </c>
      <c r="E1645">
        <v>3</v>
      </c>
      <c r="F1645" t="str">
        <f>IF(AND(Entities[[#This Row],[ENT_TYPE]]="County",RIGHT(Entities[[#This Row],[ENT_NAME]],6)&lt;&gt;"County"),_xlfn.TEXTJOIN(" ",TRUE,Entities[[#This Row],[ENT_NAME]],"County"),Entities[[#This Row],[ENT_NAME]])</f>
        <v>Crandall</v>
      </c>
    </row>
    <row r="1646" spans="1:6" x14ac:dyDescent="0.25">
      <c r="A1646" s="302" t="s">
        <v>6833</v>
      </c>
      <c r="B1646" s="303" t="str">
        <f t="shared" si="25"/>
        <v>x03003392</v>
      </c>
      <c r="C1646" t="s">
        <v>5458</v>
      </c>
      <c r="D1646" t="s">
        <v>6834</v>
      </c>
      <c r="E1646">
        <v>3</v>
      </c>
      <c r="F1646" t="str">
        <f>IF(AND(Entities[[#This Row],[ENT_TYPE]]="County",RIGHT(Entities[[#This Row],[ENT_NAME]],6)&lt;&gt;"County"),_xlfn.TEXTJOIN(" ",TRUE,Entities[[#This Row],[ENT_NAME]],"County"),Entities[[#This Row],[ENT_NAME]])</f>
        <v>Riverside</v>
      </c>
    </row>
    <row r="1647" spans="1:6" x14ac:dyDescent="0.25">
      <c r="A1647" s="302" t="s">
        <v>6835</v>
      </c>
      <c r="B1647" s="303" t="str">
        <f t="shared" si="25"/>
        <v>x03003401</v>
      </c>
      <c r="C1647" t="s">
        <v>5458</v>
      </c>
      <c r="D1647" t="s">
        <v>6836</v>
      </c>
      <c r="E1647">
        <v>3</v>
      </c>
      <c r="F1647" t="str">
        <f>IF(AND(Entities[[#This Row],[ENT_TYPE]]="County",RIGHT(Entities[[#This Row],[ENT_NAME]],6)&lt;&gt;"County"),_xlfn.TEXTJOIN(" ",TRUE,Entities[[#This Row],[ENT_NAME]],"County"),Entities[[#This Row],[ENT_NAME]])</f>
        <v>Waxahachie</v>
      </c>
    </row>
    <row r="1648" spans="1:6" x14ac:dyDescent="0.25">
      <c r="A1648" s="302" t="s">
        <v>6837</v>
      </c>
      <c r="B1648" s="303" t="str">
        <f t="shared" si="25"/>
        <v>x03003404</v>
      </c>
      <c r="C1648" t="s">
        <v>5458</v>
      </c>
      <c r="D1648" t="s">
        <v>6838</v>
      </c>
      <c r="E1648">
        <v>3</v>
      </c>
      <c r="F1648" t="str">
        <f>IF(AND(Entities[[#This Row],[ENT_TYPE]]="County",RIGHT(Entities[[#This Row],[ENT_NAME]],6)&lt;&gt;"County"),_xlfn.TEXTJOIN(" ",TRUE,Entities[[#This Row],[ENT_NAME]],"County"),Entities[[#This Row],[ENT_NAME]])</f>
        <v>Elkhart</v>
      </c>
    </row>
    <row r="1649" spans="1:6" x14ac:dyDescent="0.25">
      <c r="A1649" s="302" t="s">
        <v>2456</v>
      </c>
      <c r="B1649" s="303" t="str">
        <f t="shared" si="25"/>
        <v>x03003422</v>
      </c>
      <c r="C1649" t="s">
        <v>5458</v>
      </c>
      <c r="D1649" t="s">
        <v>4525</v>
      </c>
      <c r="E1649">
        <v>3</v>
      </c>
      <c r="F1649" t="str">
        <f>IF(AND(Entities[[#This Row],[ENT_TYPE]]="County",RIGHT(Entities[[#This Row],[ENT_NAME]],6)&lt;&gt;"County"),_xlfn.TEXTJOIN(" ",TRUE,Entities[[#This Row],[ENT_NAME]],"County"),Entities[[#This Row],[ENT_NAME]])</f>
        <v>Draper</v>
      </c>
    </row>
    <row r="1650" spans="1:6" x14ac:dyDescent="0.25">
      <c r="A1650" s="302" t="s">
        <v>6839</v>
      </c>
      <c r="B1650" s="303" t="str">
        <f t="shared" si="25"/>
        <v>x03003430</v>
      </c>
      <c r="C1650" t="s">
        <v>5458</v>
      </c>
      <c r="D1650" t="s">
        <v>6840</v>
      </c>
      <c r="E1650">
        <v>3</v>
      </c>
      <c r="F1650" t="str">
        <f>IF(AND(Entities[[#This Row],[ENT_TYPE]]="County",RIGHT(Entities[[#This Row],[ENT_NAME]],6)&lt;&gt;"County"),_xlfn.TEXTJOIN(" ",TRUE,Entities[[#This Row],[ENT_NAME]],"County"),Entities[[#This Row],[ENT_NAME]])</f>
        <v>Seven Oaks</v>
      </c>
    </row>
    <row r="1651" spans="1:6" x14ac:dyDescent="0.25">
      <c r="A1651" s="302" t="s">
        <v>6841</v>
      </c>
      <c r="B1651" s="303" t="str">
        <f t="shared" si="25"/>
        <v>x03003489</v>
      </c>
      <c r="C1651" t="s">
        <v>5458</v>
      </c>
      <c r="D1651" t="s">
        <v>6842</v>
      </c>
      <c r="E1651">
        <v>3</v>
      </c>
      <c r="F1651" t="str">
        <f>IF(AND(Entities[[#This Row],[ENT_TYPE]]="County",RIGHT(Entities[[#This Row],[ENT_NAME]],6)&lt;&gt;"County"),_xlfn.TEXTJOIN(" ",TRUE,Entities[[#This Row],[ENT_NAME]],"County"),Entities[[#This Row],[ENT_NAME]])</f>
        <v>Annetta North</v>
      </c>
    </row>
    <row r="1652" spans="1:6" x14ac:dyDescent="0.25">
      <c r="A1652" s="302" t="s">
        <v>6843</v>
      </c>
      <c r="B1652" s="303" t="str">
        <f t="shared" si="25"/>
        <v>x03003490</v>
      </c>
      <c r="C1652" t="s">
        <v>5458</v>
      </c>
      <c r="D1652" t="s">
        <v>6844</v>
      </c>
      <c r="E1652">
        <v>3</v>
      </c>
      <c r="F1652" t="str">
        <f>IF(AND(Entities[[#This Row],[ENT_TYPE]]="County",RIGHT(Entities[[#This Row],[ENT_NAME]],6)&lt;&gt;"County"),_xlfn.TEXTJOIN(" ",TRUE,Entities[[#This Row],[ENT_NAME]],"County"),Entities[[#This Row],[ENT_NAME]])</f>
        <v>Annetta South</v>
      </c>
    </row>
    <row r="1653" spans="1:6" x14ac:dyDescent="0.25">
      <c r="A1653" s="302" t="s">
        <v>6845</v>
      </c>
      <c r="B1653" s="303" t="str">
        <f t="shared" si="25"/>
        <v>x03003491</v>
      </c>
      <c r="C1653" t="s">
        <v>5458</v>
      </c>
      <c r="D1653" t="s">
        <v>6846</v>
      </c>
      <c r="E1653">
        <v>3</v>
      </c>
      <c r="F1653" t="str">
        <f>IF(AND(Entities[[#This Row],[ENT_TYPE]]="County",RIGHT(Entities[[#This Row],[ENT_NAME]],6)&lt;&gt;"County"),_xlfn.TEXTJOIN(" ",TRUE,Entities[[#This Row],[ENT_NAME]],"County"),Entities[[#This Row],[ENT_NAME]])</f>
        <v>Hudson Oaks</v>
      </c>
    </row>
    <row r="1654" spans="1:6" x14ac:dyDescent="0.25">
      <c r="A1654" s="302" t="s">
        <v>6847</v>
      </c>
      <c r="B1654" s="303" t="str">
        <f t="shared" si="25"/>
        <v>x03003492</v>
      </c>
      <c r="C1654" t="s">
        <v>5458</v>
      </c>
      <c r="D1654" t="s">
        <v>6848</v>
      </c>
      <c r="E1654">
        <v>3</v>
      </c>
      <c r="F1654" t="str">
        <f>IF(AND(Entities[[#This Row],[ENT_TYPE]]="County",RIGHT(Entities[[#This Row],[ENT_NAME]],6)&lt;&gt;"County"),_xlfn.TEXTJOIN(" ",TRUE,Entities[[#This Row],[ENT_NAME]],"County"),Entities[[#This Row],[ENT_NAME]])</f>
        <v>Springtown</v>
      </c>
    </row>
    <row r="1655" spans="1:6" x14ac:dyDescent="0.25">
      <c r="A1655" s="302" t="s">
        <v>6849</v>
      </c>
      <c r="B1655" s="303" t="str">
        <f t="shared" si="25"/>
        <v>x03003493</v>
      </c>
      <c r="C1655" t="s">
        <v>5458</v>
      </c>
      <c r="D1655" t="s">
        <v>6850</v>
      </c>
      <c r="E1655">
        <v>3</v>
      </c>
      <c r="F1655" t="str">
        <f>IF(AND(Entities[[#This Row],[ENT_TYPE]]="County",RIGHT(Entities[[#This Row],[ENT_NAME]],6)&lt;&gt;"County"),_xlfn.TEXTJOIN(" ",TRUE,Entities[[#This Row],[ENT_NAME]],"County"),Entities[[#This Row],[ENT_NAME]])</f>
        <v>Madisonville</v>
      </c>
    </row>
    <row r="1656" spans="1:6" x14ac:dyDescent="0.25">
      <c r="A1656" s="302" t="s">
        <v>2272</v>
      </c>
      <c r="B1656" s="303" t="str">
        <f t="shared" si="25"/>
        <v>x03003502</v>
      </c>
      <c r="C1656" t="s">
        <v>5458</v>
      </c>
      <c r="D1656" t="s">
        <v>4476</v>
      </c>
      <c r="E1656">
        <v>3</v>
      </c>
      <c r="F1656" t="str">
        <f>IF(AND(Entities[[#This Row],[ENT_TYPE]]="County",RIGHT(Entities[[#This Row],[ENT_NAME]],6)&lt;&gt;"County"),_xlfn.TEXTJOIN(" ",TRUE,Entities[[#This Row],[ENT_NAME]],"County"),Entities[[#This Row],[ENT_NAME]])</f>
        <v>Livingston</v>
      </c>
    </row>
    <row r="1657" spans="1:6" x14ac:dyDescent="0.25">
      <c r="A1657" s="302" t="s">
        <v>6851</v>
      </c>
      <c r="B1657" s="303" t="str">
        <f t="shared" si="25"/>
        <v>x03003514</v>
      </c>
      <c r="C1657" t="s">
        <v>5458</v>
      </c>
      <c r="D1657" t="s">
        <v>6852</v>
      </c>
      <c r="E1657">
        <v>3</v>
      </c>
      <c r="F1657" t="str">
        <f>IF(AND(Entities[[#This Row],[ENT_TYPE]]="County",RIGHT(Entities[[#This Row],[ENT_NAME]],6)&lt;&gt;"County"),_xlfn.TEXTJOIN(" ",TRUE,Entities[[#This Row],[ENT_NAME]],"County"),Entities[[#This Row],[ENT_NAME]])</f>
        <v>Point Blank</v>
      </c>
    </row>
    <row r="1658" spans="1:6" x14ac:dyDescent="0.25">
      <c r="A1658" s="302" t="s">
        <v>6853</v>
      </c>
      <c r="B1658" s="303" t="str">
        <f t="shared" si="25"/>
        <v>x03003515</v>
      </c>
      <c r="C1658" t="s">
        <v>5458</v>
      </c>
      <c r="D1658" t="s">
        <v>6854</v>
      </c>
      <c r="E1658">
        <v>3</v>
      </c>
      <c r="F1658" t="str">
        <f>IF(AND(Entities[[#This Row],[ENT_TYPE]]="County",RIGHT(Entities[[#This Row],[ENT_NAME]],6)&lt;&gt;"County"),_xlfn.TEXTJOIN(" ",TRUE,Entities[[#This Row],[ENT_NAME]],"County"),Entities[[#This Row],[ENT_NAME]])</f>
        <v>Shepherd</v>
      </c>
    </row>
    <row r="1659" spans="1:6" x14ac:dyDescent="0.25">
      <c r="A1659" s="302" t="s">
        <v>6855</v>
      </c>
      <c r="B1659" s="303" t="str">
        <f t="shared" si="25"/>
        <v>x03003518</v>
      </c>
      <c r="C1659" t="s">
        <v>5458</v>
      </c>
      <c r="D1659" t="s">
        <v>6856</v>
      </c>
      <c r="E1659">
        <v>3</v>
      </c>
      <c r="F1659" t="str">
        <f>IF(AND(Entities[[#This Row],[ENT_TYPE]]="County",RIGHT(Entities[[#This Row],[ENT_NAME]],6)&lt;&gt;"County"),_xlfn.TEXTJOIN(" ",TRUE,Entities[[#This Row],[ENT_NAME]],"County"),Entities[[#This Row],[ENT_NAME]])</f>
        <v>Blue Mound</v>
      </c>
    </row>
    <row r="1660" spans="1:6" x14ac:dyDescent="0.25">
      <c r="A1660" s="302" t="s">
        <v>1909</v>
      </c>
      <c r="B1660" s="303" t="str">
        <f t="shared" si="25"/>
        <v>x03003519</v>
      </c>
      <c r="C1660" t="s">
        <v>5458</v>
      </c>
      <c r="D1660" t="s">
        <v>4396</v>
      </c>
      <c r="E1660">
        <v>3</v>
      </c>
      <c r="F1660" t="str">
        <f>IF(AND(Entities[[#This Row],[ENT_TYPE]]="County",RIGHT(Entities[[#This Row],[ENT_NAME]],6)&lt;&gt;"County"),_xlfn.TEXTJOIN(" ",TRUE,Entities[[#This Row],[ENT_NAME]],"County"),Entities[[#This Row],[ENT_NAME]])</f>
        <v>Dalworthington Gardens</v>
      </c>
    </row>
    <row r="1661" spans="1:6" x14ac:dyDescent="0.25">
      <c r="A1661" s="302" t="s">
        <v>6857</v>
      </c>
      <c r="B1661" s="303" t="str">
        <f t="shared" si="25"/>
        <v>x03003520</v>
      </c>
      <c r="C1661" t="s">
        <v>5458</v>
      </c>
      <c r="D1661" t="s">
        <v>6858</v>
      </c>
      <c r="E1661">
        <v>3</v>
      </c>
      <c r="F1661" t="str">
        <f>IF(AND(Entities[[#This Row],[ENT_TYPE]]="County",RIGHT(Entities[[#This Row],[ENT_NAME]],6)&lt;&gt;"County"),_xlfn.TEXTJOIN(" ",TRUE,Entities[[#This Row],[ENT_NAME]],"County"),Entities[[#This Row],[ENT_NAME]])</f>
        <v>Edgecliff Village</v>
      </c>
    </row>
    <row r="1662" spans="1:6" x14ac:dyDescent="0.25">
      <c r="A1662" s="302" t="s">
        <v>1959</v>
      </c>
      <c r="B1662" s="303" t="str">
        <f t="shared" si="25"/>
        <v>x03003521</v>
      </c>
      <c r="C1662" t="s">
        <v>5458</v>
      </c>
      <c r="D1662" t="s">
        <v>4406</v>
      </c>
      <c r="E1662">
        <v>3</v>
      </c>
      <c r="F1662" t="str">
        <f>IF(AND(Entities[[#This Row],[ENT_TYPE]]="County",RIGHT(Entities[[#This Row],[ENT_NAME]],6)&lt;&gt;"County"),_xlfn.TEXTJOIN(" ",TRUE,Entities[[#This Row],[ENT_NAME]],"County"),Entities[[#This Row],[ENT_NAME]])</f>
        <v>Everman</v>
      </c>
    </row>
    <row r="1663" spans="1:6" x14ac:dyDescent="0.25">
      <c r="A1663" s="302" t="s">
        <v>6859</v>
      </c>
      <c r="B1663" s="303" t="str">
        <f t="shared" si="25"/>
        <v>x03003522</v>
      </c>
      <c r="C1663" t="s">
        <v>5458</v>
      </c>
      <c r="D1663" t="s">
        <v>6860</v>
      </c>
      <c r="E1663">
        <v>3</v>
      </c>
      <c r="F1663" t="str">
        <f>IF(AND(Entities[[#This Row],[ENT_TYPE]]="County",RIGHT(Entities[[#This Row],[ENT_NAME]],6)&lt;&gt;"County"),_xlfn.TEXTJOIN(" ",TRUE,Entities[[#This Row],[ENT_NAME]],"County"),Entities[[#This Row],[ENT_NAME]])</f>
        <v>Forest Hill</v>
      </c>
    </row>
    <row r="1664" spans="1:6" x14ac:dyDescent="0.25">
      <c r="A1664" s="302" t="s">
        <v>6861</v>
      </c>
      <c r="B1664" s="303" t="str">
        <f t="shared" si="25"/>
        <v>x03003523</v>
      </c>
      <c r="C1664" t="s">
        <v>5458</v>
      </c>
      <c r="D1664" t="s">
        <v>6862</v>
      </c>
      <c r="E1664">
        <v>3</v>
      </c>
      <c r="F1664" t="str">
        <f>IF(AND(Entities[[#This Row],[ENT_TYPE]]="County",RIGHT(Entities[[#This Row],[ENT_NAME]],6)&lt;&gt;"County"),_xlfn.TEXTJOIN(" ",TRUE,Entities[[#This Row],[ENT_NAME]],"County"),Entities[[#This Row],[ENT_NAME]])</f>
        <v>Lakeside</v>
      </c>
    </row>
    <row r="1665" spans="1:6" x14ac:dyDescent="0.25">
      <c r="A1665" s="302" t="s">
        <v>6863</v>
      </c>
      <c r="B1665" s="303" t="str">
        <f t="shared" si="25"/>
        <v>x03003537</v>
      </c>
      <c r="C1665" t="s">
        <v>5458</v>
      </c>
      <c r="D1665" t="s">
        <v>6864</v>
      </c>
      <c r="E1665">
        <v>3</v>
      </c>
      <c r="F1665" t="str">
        <f>IF(AND(Entities[[#This Row],[ENT_TYPE]]="County",RIGHT(Entities[[#This Row],[ENT_NAME]],6)&lt;&gt;"County"),_xlfn.TEXTJOIN(" ",TRUE,Entities[[#This Row],[ENT_NAME]],"County"),Entities[[#This Row],[ENT_NAME]])</f>
        <v>Willow Park</v>
      </c>
    </row>
    <row r="1666" spans="1:6" x14ac:dyDescent="0.25">
      <c r="A1666" s="302" t="s">
        <v>6865</v>
      </c>
      <c r="B1666" s="303" t="str">
        <f t="shared" ref="B1666:B1729" si="26">_xlfn.CONCAT("x",TEXT(A1666,"00000000"))</f>
        <v>x03003557</v>
      </c>
      <c r="C1666" t="s">
        <v>5458</v>
      </c>
      <c r="D1666" t="s">
        <v>6866</v>
      </c>
      <c r="E1666">
        <v>3</v>
      </c>
      <c r="F1666" t="str">
        <f>IF(AND(Entities[[#This Row],[ENT_TYPE]]="County",RIGHT(Entities[[#This Row],[ENT_NAME]],6)&lt;&gt;"County"),_xlfn.TEXTJOIN(" ",TRUE,Entities[[#This Row],[ENT_NAME]],"County"),Entities[[#This Row],[ENT_NAME]])</f>
        <v>Lake Worth</v>
      </c>
    </row>
    <row r="1667" spans="1:6" x14ac:dyDescent="0.25">
      <c r="A1667" s="302" t="s">
        <v>6867</v>
      </c>
      <c r="B1667" s="303" t="str">
        <f t="shared" si="26"/>
        <v>x03003558</v>
      </c>
      <c r="C1667" t="s">
        <v>5458</v>
      </c>
      <c r="D1667" t="s">
        <v>6868</v>
      </c>
      <c r="E1667">
        <v>3</v>
      </c>
      <c r="F1667" t="str">
        <f>IF(AND(Entities[[#This Row],[ENT_TYPE]]="County",RIGHT(Entities[[#This Row],[ENT_NAME]],6)&lt;&gt;"County"),_xlfn.TEXTJOIN(" ",TRUE,Entities[[#This Row],[ENT_NAME]],"County"),Entities[[#This Row],[ENT_NAME]])</f>
        <v>Pantego</v>
      </c>
    </row>
    <row r="1668" spans="1:6" x14ac:dyDescent="0.25">
      <c r="A1668" s="302" t="s">
        <v>6869</v>
      </c>
      <c r="B1668" s="303" t="str">
        <f t="shared" si="26"/>
        <v>x03003559</v>
      </c>
      <c r="C1668" t="s">
        <v>5458</v>
      </c>
      <c r="D1668" t="s">
        <v>6870</v>
      </c>
      <c r="E1668">
        <v>3</v>
      </c>
      <c r="F1668" t="str">
        <f>IF(AND(Entities[[#This Row],[ENT_TYPE]]="County",RIGHT(Entities[[#This Row],[ENT_NAME]],6)&lt;&gt;"County"),_xlfn.TEXTJOIN(" ",TRUE,Entities[[#This Row],[ENT_NAME]],"County"),Entities[[#This Row],[ENT_NAME]])</f>
        <v>Pelican Bay</v>
      </c>
    </row>
    <row r="1669" spans="1:6" x14ac:dyDescent="0.25">
      <c r="A1669" s="302" t="s">
        <v>2195</v>
      </c>
      <c r="B1669" s="303" t="str">
        <f t="shared" si="26"/>
        <v>x03003560</v>
      </c>
      <c r="C1669" t="s">
        <v>5458</v>
      </c>
      <c r="D1669" t="s">
        <v>4464</v>
      </c>
      <c r="E1669">
        <v>3</v>
      </c>
      <c r="F1669" t="str">
        <f>IF(AND(Entities[[#This Row],[ENT_TYPE]]="County",RIGHT(Entities[[#This Row],[ENT_NAME]],6)&lt;&gt;"County"),_xlfn.TEXTJOIN(" ",TRUE,Entities[[#This Row],[ENT_NAME]],"County"),Entities[[#This Row],[ENT_NAME]])</f>
        <v>Richland Hills</v>
      </c>
    </row>
    <row r="1670" spans="1:6" x14ac:dyDescent="0.25">
      <c r="A1670" s="302" t="s">
        <v>1950</v>
      </c>
      <c r="B1670" s="303" t="str">
        <f t="shared" si="26"/>
        <v>x03003566</v>
      </c>
      <c r="C1670" t="s">
        <v>5458</v>
      </c>
      <c r="D1670" t="s">
        <v>4405</v>
      </c>
      <c r="E1670">
        <v>3</v>
      </c>
      <c r="F1670" t="str">
        <f>IF(AND(Entities[[#This Row],[ENT_TYPE]]="County",RIGHT(Entities[[#This Row],[ENT_NAME]],6)&lt;&gt;"County"),_xlfn.TEXTJOIN(" ",TRUE,Entities[[#This Row],[ENT_NAME]],"County"),Entities[[#This Row],[ENT_NAME]])</f>
        <v>River Oaks</v>
      </c>
    </row>
    <row r="1671" spans="1:6" x14ac:dyDescent="0.25">
      <c r="A1671" s="302" t="s">
        <v>6871</v>
      </c>
      <c r="B1671" s="303" t="str">
        <f t="shared" si="26"/>
        <v>x03003569</v>
      </c>
      <c r="C1671" t="s">
        <v>5458</v>
      </c>
      <c r="D1671" t="s">
        <v>6872</v>
      </c>
      <c r="E1671">
        <v>3</v>
      </c>
      <c r="F1671" t="str">
        <f>IF(AND(Entities[[#This Row],[ENT_TYPE]]="County",RIGHT(Entities[[#This Row],[ENT_NAME]],6)&lt;&gt;"County"),_xlfn.TEXTJOIN(" ",TRUE,Entities[[#This Row],[ENT_NAME]],"County"),Entities[[#This Row],[ENT_NAME]])</f>
        <v>Jacksboro</v>
      </c>
    </row>
    <row r="1672" spans="1:6" x14ac:dyDescent="0.25">
      <c r="A1672" s="302" t="s">
        <v>6873</v>
      </c>
      <c r="B1672" s="303" t="str">
        <f t="shared" si="26"/>
        <v>x03003572</v>
      </c>
      <c r="C1672" t="s">
        <v>5458</v>
      </c>
      <c r="D1672" t="s">
        <v>6874</v>
      </c>
      <c r="E1672">
        <v>3</v>
      </c>
      <c r="F1672" t="str">
        <f>IF(AND(Entities[[#This Row],[ENT_TYPE]]="County",RIGHT(Entities[[#This Row],[ENT_NAME]],6)&lt;&gt;"County"),_xlfn.TEXTJOIN(" ",TRUE,Entities[[#This Row],[ENT_NAME]],"County"),Entities[[#This Row],[ENT_NAME]])</f>
        <v>Cove</v>
      </c>
    </row>
    <row r="1673" spans="1:6" x14ac:dyDescent="0.25">
      <c r="A1673" s="302" t="s">
        <v>2147</v>
      </c>
      <c r="B1673" s="303" t="str">
        <f t="shared" si="26"/>
        <v>x03003577</v>
      </c>
      <c r="C1673" t="s">
        <v>5458</v>
      </c>
      <c r="D1673" t="s">
        <v>4453</v>
      </c>
      <c r="E1673">
        <v>3</v>
      </c>
      <c r="F1673" t="str">
        <f>IF(AND(Entities[[#This Row],[ENT_TYPE]]="County",RIGHT(Entities[[#This Row],[ENT_NAME]],6)&lt;&gt;"County"),_xlfn.TEXTJOIN(" ",TRUE,Entities[[#This Row],[ENT_NAME]],"County"),Entities[[#This Row],[ENT_NAME]])</f>
        <v>Sachse</v>
      </c>
    </row>
    <row r="1674" spans="1:6" x14ac:dyDescent="0.25">
      <c r="A1674" s="302" t="s">
        <v>2334</v>
      </c>
      <c r="B1674" s="303" t="str">
        <f t="shared" si="26"/>
        <v>x03003578</v>
      </c>
      <c r="C1674" t="s">
        <v>5458</v>
      </c>
      <c r="D1674" t="s">
        <v>4495</v>
      </c>
      <c r="E1674">
        <v>3</v>
      </c>
      <c r="F1674" t="str">
        <f>IF(AND(Entities[[#This Row],[ENT_TYPE]]="County",RIGHT(Entities[[#This Row],[ENT_NAME]],6)&lt;&gt;"County"),_xlfn.TEXTJOIN(" ",TRUE,Entities[[#This Row],[ENT_NAME]],"County"),Entities[[#This Row],[ENT_NAME]])</f>
        <v>Combine</v>
      </c>
    </row>
    <row r="1675" spans="1:6" x14ac:dyDescent="0.25">
      <c r="A1675" s="302" t="s">
        <v>6875</v>
      </c>
      <c r="B1675" s="303" t="str">
        <f t="shared" si="26"/>
        <v>x03003579</v>
      </c>
      <c r="C1675" t="s">
        <v>5458</v>
      </c>
      <c r="D1675" t="s">
        <v>6876</v>
      </c>
      <c r="E1675">
        <v>3</v>
      </c>
      <c r="F1675" t="str">
        <f>IF(AND(Entities[[#This Row],[ENT_TYPE]]="County",RIGHT(Entities[[#This Row],[ENT_NAME]],6)&lt;&gt;"County"),_xlfn.TEXTJOIN(" ",TRUE,Entities[[#This Row],[ENT_NAME]],"County"),Entities[[#This Row],[ENT_NAME]])</f>
        <v>Seagoville</v>
      </c>
    </row>
    <row r="1676" spans="1:6" x14ac:dyDescent="0.25">
      <c r="A1676" s="302" t="s">
        <v>6877</v>
      </c>
      <c r="B1676" s="303" t="str">
        <f t="shared" si="26"/>
        <v>x03003581</v>
      </c>
      <c r="C1676" t="s">
        <v>5458</v>
      </c>
      <c r="D1676" t="s">
        <v>1771</v>
      </c>
      <c r="E1676">
        <v>3</v>
      </c>
      <c r="F1676" t="str">
        <f>IF(AND(Entities[[#This Row],[ENT_TYPE]]="County",RIGHT(Entities[[#This Row],[ENT_NAME]],6)&lt;&gt;"County"),_xlfn.TEXTJOIN(" ",TRUE,Entities[[#This Row],[ENT_NAME]],"County"),Entities[[#This Row],[ENT_NAME]])</f>
        <v>Trinity</v>
      </c>
    </row>
    <row r="1677" spans="1:6" x14ac:dyDescent="0.25">
      <c r="A1677" s="302" t="s">
        <v>6878</v>
      </c>
      <c r="B1677" s="303" t="str">
        <f t="shared" si="26"/>
        <v>x03003582</v>
      </c>
      <c r="C1677" t="s">
        <v>5458</v>
      </c>
      <c r="D1677" t="s">
        <v>6879</v>
      </c>
      <c r="E1677">
        <v>3</v>
      </c>
      <c r="F1677" t="str">
        <f>IF(AND(Entities[[#This Row],[ENT_TYPE]]="County",RIGHT(Entities[[#This Row],[ENT_NAME]],6)&lt;&gt;"County"),_xlfn.TEXTJOIN(" ",TRUE,Entities[[#This Row],[ENT_NAME]],"County"),Entities[[#This Row],[ENT_NAME]])</f>
        <v>Bedford</v>
      </c>
    </row>
    <row r="1678" spans="1:6" x14ac:dyDescent="0.25">
      <c r="A1678" s="302" t="s">
        <v>6880</v>
      </c>
      <c r="B1678" s="303" t="str">
        <f t="shared" si="26"/>
        <v>x03003583</v>
      </c>
      <c r="C1678" t="s">
        <v>5458</v>
      </c>
      <c r="D1678" t="s">
        <v>6881</v>
      </c>
      <c r="E1678">
        <v>3</v>
      </c>
      <c r="F1678" t="str">
        <f>IF(AND(Entities[[#This Row],[ENT_TYPE]]="County",RIGHT(Entities[[#This Row],[ENT_NAME]],6)&lt;&gt;"County"),_xlfn.TEXTJOIN(" ",TRUE,Entities[[#This Row],[ENT_NAME]],"County"),Entities[[#This Row],[ENT_NAME]])</f>
        <v>Sansom Park</v>
      </c>
    </row>
    <row r="1679" spans="1:6" x14ac:dyDescent="0.25">
      <c r="A1679" s="302" t="s">
        <v>6882</v>
      </c>
      <c r="B1679" s="303" t="str">
        <f t="shared" si="26"/>
        <v>x03003584</v>
      </c>
      <c r="C1679" t="s">
        <v>5458</v>
      </c>
      <c r="D1679" t="s">
        <v>6883</v>
      </c>
      <c r="E1679">
        <v>3</v>
      </c>
      <c r="F1679" t="str">
        <f>IF(AND(Entities[[#This Row],[ENT_TYPE]]="County",RIGHT(Entities[[#This Row],[ENT_NAME]],6)&lt;&gt;"County"),_xlfn.TEXTJOIN(" ",TRUE,Entities[[#This Row],[ENT_NAME]],"County"),Entities[[#This Row],[ENT_NAME]])</f>
        <v>White Settlement</v>
      </c>
    </row>
    <row r="1680" spans="1:6" x14ac:dyDescent="0.25">
      <c r="A1680" s="302" t="s">
        <v>6884</v>
      </c>
      <c r="B1680" s="303" t="str">
        <f t="shared" si="26"/>
        <v>x03003585</v>
      </c>
      <c r="C1680" t="s">
        <v>5458</v>
      </c>
      <c r="D1680" t="s">
        <v>6885</v>
      </c>
      <c r="E1680">
        <v>3</v>
      </c>
      <c r="F1680" t="str">
        <f>IF(AND(Entities[[#This Row],[ENT_TYPE]]="County",RIGHT(Entities[[#This Row],[ENT_NAME]],6)&lt;&gt;"County"),_xlfn.TEXTJOIN(" ",TRUE,Entities[[#This Row],[ENT_NAME]],"County"),Entities[[#This Row],[ENT_NAME]])</f>
        <v>Benbrook</v>
      </c>
    </row>
    <row r="1681" spans="1:6" x14ac:dyDescent="0.25">
      <c r="A1681" s="302" t="s">
        <v>2017</v>
      </c>
      <c r="B1681" s="303" t="str">
        <f t="shared" si="26"/>
        <v>x03003586</v>
      </c>
      <c r="C1681" t="s">
        <v>5458</v>
      </c>
      <c r="D1681" t="s">
        <v>4422</v>
      </c>
      <c r="E1681">
        <v>3</v>
      </c>
      <c r="F1681" t="str">
        <f>IF(AND(Entities[[#This Row],[ENT_TYPE]]="County",RIGHT(Entities[[#This Row],[ENT_NAME]],6)&lt;&gt;"County"),_xlfn.TEXTJOIN(" ",TRUE,Entities[[#This Row],[ENT_NAME]],"County"),Entities[[#This Row],[ENT_NAME]])</f>
        <v>Kennedale</v>
      </c>
    </row>
    <row r="1682" spans="1:6" x14ac:dyDescent="0.25">
      <c r="A1682" s="302" t="s">
        <v>6886</v>
      </c>
      <c r="B1682" s="303" t="str">
        <f t="shared" si="26"/>
        <v>x03003587</v>
      </c>
      <c r="C1682" t="s">
        <v>5458</v>
      </c>
      <c r="D1682" t="s">
        <v>6887</v>
      </c>
      <c r="E1682">
        <v>3</v>
      </c>
      <c r="F1682" t="str">
        <f>IF(AND(Entities[[#This Row],[ENT_TYPE]]="County",RIGHT(Entities[[#This Row],[ENT_NAME]],6)&lt;&gt;"County"),_xlfn.TEXTJOIN(" ",TRUE,Entities[[#This Row],[ENT_NAME]],"County"),Entities[[#This Row],[ENT_NAME]])</f>
        <v>Westover Hills</v>
      </c>
    </row>
    <row r="1683" spans="1:6" x14ac:dyDescent="0.25">
      <c r="A1683" s="302" t="s">
        <v>2047</v>
      </c>
      <c r="B1683" s="303" t="str">
        <f t="shared" si="26"/>
        <v>x03003588</v>
      </c>
      <c r="C1683" t="s">
        <v>5458</v>
      </c>
      <c r="D1683" t="s">
        <v>6888</v>
      </c>
      <c r="E1683">
        <v>3</v>
      </c>
      <c r="F1683" t="str">
        <f>IF(AND(Entities[[#This Row],[ENT_TYPE]]="County",RIGHT(Entities[[#This Row],[ENT_NAME]],6)&lt;&gt;"County"),_xlfn.TEXTJOIN(" ",TRUE,Entities[[#This Row],[ENT_NAME]],"County"),Entities[[#This Row],[ENT_NAME]])</f>
        <v>Hurst</v>
      </c>
    </row>
    <row r="1684" spans="1:6" x14ac:dyDescent="0.25">
      <c r="A1684" s="302" t="s">
        <v>6889</v>
      </c>
      <c r="B1684" s="303" t="str">
        <f t="shared" si="26"/>
        <v>x03003589</v>
      </c>
      <c r="C1684" t="s">
        <v>5458</v>
      </c>
      <c r="D1684" t="s">
        <v>6890</v>
      </c>
      <c r="E1684">
        <v>3</v>
      </c>
      <c r="F1684" t="str">
        <f>IF(AND(Entities[[#This Row],[ENT_TYPE]]="County",RIGHT(Entities[[#This Row],[ENT_NAME]],6)&lt;&gt;"County"),_xlfn.TEXTJOIN(" ",TRUE,Entities[[#This Row],[ENT_NAME]],"County"),Entities[[#This Row],[ENT_NAME]])</f>
        <v>Haltom City</v>
      </c>
    </row>
    <row r="1685" spans="1:6" x14ac:dyDescent="0.25">
      <c r="A1685" s="302" t="s">
        <v>1862</v>
      </c>
      <c r="B1685" s="303" t="str">
        <f t="shared" si="26"/>
        <v>x03003590</v>
      </c>
      <c r="C1685" t="s">
        <v>5458</v>
      </c>
      <c r="D1685" t="s">
        <v>4384</v>
      </c>
      <c r="E1685">
        <v>3</v>
      </c>
      <c r="F1685" t="str">
        <f>IF(AND(Entities[[#This Row],[ENT_TYPE]]="County",RIGHT(Entities[[#This Row],[ENT_NAME]],6)&lt;&gt;"County"),_xlfn.TEXTJOIN(" ",TRUE,Entities[[#This Row],[ENT_NAME]],"County"),Entities[[#This Row],[ENT_NAME]])</f>
        <v>Euless</v>
      </c>
    </row>
    <row r="1686" spans="1:6" x14ac:dyDescent="0.25">
      <c r="A1686" s="302" t="s">
        <v>6891</v>
      </c>
      <c r="B1686" s="303" t="str">
        <f t="shared" si="26"/>
        <v>x03003591</v>
      </c>
      <c r="C1686" t="s">
        <v>5458</v>
      </c>
      <c r="D1686" t="s">
        <v>6892</v>
      </c>
      <c r="E1686">
        <v>3</v>
      </c>
      <c r="F1686" t="str">
        <f>IF(AND(Entities[[#This Row],[ENT_TYPE]]="County",RIGHT(Entities[[#This Row],[ENT_NAME]],6)&lt;&gt;"County"),_xlfn.TEXTJOIN(" ",TRUE,Entities[[#This Row],[ENT_NAME]],"County"),Entities[[#This Row],[ENT_NAME]])</f>
        <v>Old River-Winfree</v>
      </c>
    </row>
    <row r="1687" spans="1:6" x14ac:dyDescent="0.25">
      <c r="A1687" s="302" t="s">
        <v>6893</v>
      </c>
      <c r="B1687" s="303" t="str">
        <f t="shared" si="26"/>
        <v>x03003592</v>
      </c>
      <c r="C1687" t="s">
        <v>5458</v>
      </c>
      <c r="D1687" t="s">
        <v>6894</v>
      </c>
      <c r="E1687">
        <v>3</v>
      </c>
      <c r="F1687" t="str">
        <f>IF(AND(Entities[[#This Row],[ENT_TYPE]]="County",RIGHT(Entities[[#This Row],[ENT_NAME]],6)&lt;&gt;"County"),_xlfn.TEXTJOIN(" ",TRUE,Entities[[#This Row],[ENT_NAME]],"County"),Entities[[#This Row],[ENT_NAME]])</f>
        <v>Westminster</v>
      </c>
    </row>
    <row r="1688" spans="1:6" x14ac:dyDescent="0.25">
      <c r="A1688" s="302" t="s">
        <v>6895</v>
      </c>
      <c r="B1688" s="303" t="str">
        <f t="shared" si="26"/>
        <v>x03003593</v>
      </c>
      <c r="C1688" t="s">
        <v>4</v>
      </c>
      <c r="D1688" t="s">
        <v>6896</v>
      </c>
      <c r="E1688">
        <v>3</v>
      </c>
      <c r="F1688" t="str">
        <f>IF(AND(Entities[[#This Row],[ENT_TYPE]]="County",RIGHT(Entities[[#This Row],[ENT_NAME]],6)&lt;&gt;"County"),_xlfn.TEXTJOIN(" ",TRUE,Entities[[#This Row],[ENT_NAME]],"County"),Entities[[#This Row],[ENT_NAME]])</f>
        <v>Dalworth SWCD</v>
      </c>
    </row>
    <row r="1689" spans="1:6" x14ac:dyDescent="0.25">
      <c r="A1689" s="302" t="s">
        <v>6897</v>
      </c>
      <c r="B1689" s="303" t="str">
        <f t="shared" si="26"/>
        <v>x03003594</v>
      </c>
      <c r="C1689" t="s">
        <v>4</v>
      </c>
      <c r="D1689" t="s">
        <v>6898</v>
      </c>
      <c r="E1689">
        <v>3</v>
      </c>
      <c r="F1689" t="str">
        <f>IF(AND(Entities[[#This Row],[ENT_TYPE]]="County",RIGHT(Entities[[#This Row],[ENT_NAME]],6)&lt;&gt;"County"),_xlfn.TEXTJOIN(" ",TRUE,Entities[[#This Row],[ENT_NAME]],"County"),Entities[[#This Row],[ENT_NAME]])</f>
        <v>Denton County SWCD</v>
      </c>
    </row>
    <row r="1690" spans="1:6" x14ac:dyDescent="0.25">
      <c r="A1690" s="302" t="s">
        <v>6899</v>
      </c>
      <c r="B1690" s="303" t="str">
        <f t="shared" si="26"/>
        <v>x03003595</v>
      </c>
      <c r="C1690" t="s">
        <v>4</v>
      </c>
      <c r="D1690" t="s">
        <v>6900</v>
      </c>
      <c r="E1690">
        <v>3</v>
      </c>
      <c r="F1690" t="str">
        <f>IF(AND(Entities[[#This Row],[ENT_TYPE]]="County",RIGHT(Entities[[#This Row],[ENT_NAME]],6)&lt;&gt;"County"),_xlfn.TEXTJOIN(" ",TRUE,Entities[[#This Row],[ENT_NAME]],"County"),Entities[[#This Row],[ENT_NAME]])</f>
        <v>Wise SWCD</v>
      </c>
    </row>
    <row r="1691" spans="1:6" x14ac:dyDescent="0.25">
      <c r="A1691" s="304" t="s">
        <v>6901</v>
      </c>
      <c r="B1691" s="303" t="str">
        <f t="shared" si="26"/>
        <v>x04000176</v>
      </c>
      <c r="C1691" t="s">
        <v>4947</v>
      </c>
      <c r="D1691" t="s">
        <v>6902</v>
      </c>
      <c r="E1691">
        <v>4</v>
      </c>
      <c r="F1691" t="str">
        <f>IF(AND(Entities[[#This Row],[ENT_TYPE]]="County",RIGHT(Entities[[#This Row],[ENT_NAME]],6)&lt;&gt;"County"),_xlfn.TEXTJOIN(" ",TRUE,Entities[[#This Row],[ENT_NAME]],"County"),Entities[[#This Row],[ENT_NAME]])</f>
        <v>Rains County</v>
      </c>
    </row>
    <row r="1692" spans="1:6" x14ac:dyDescent="0.25">
      <c r="A1692" s="302" t="s">
        <v>6903</v>
      </c>
      <c r="B1692" s="303" t="str">
        <f t="shared" si="26"/>
        <v>x04000372</v>
      </c>
      <c r="C1692" t="s">
        <v>4</v>
      </c>
      <c r="D1692" t="s">
        <v>6904</v>
      </c>
      <c r="E1692">
        <v>4</v>
      </c>
      <c r="F1692" t="str">
        <f>IF(AND(Entities[[#This Row],[ENT_TYPE]]="County",RIGHT(Entities[[#This Row],[ENT_NAME]],6)&lt;&gt;"County"),_xlfn.TEXTJOIN(" ",TRUE,Entities[[#This Row],[ENT_NAME]],"County"),Entities[[#This Row],[ENT_NAME]])</f>
        <v>Sunrise MUD of Hunt County</v>
      </c>
    </row>
    <row r="1693" spans="1:6" x14ac:dyDescent="0.25">
      <c r="A1693" s="304" t="s">
        <v>6905</v>
      </c>
      <c r="B1693" s="303" t="str">
        <f t="shared" si="26"/>
        <v>x04000522</v>
      </c>
      <c r="C1693" t="s">
        <v>4</v>
      </c>
      <c r="D1693" t="s">
        <v>6906</v>
      </c>
      <c r="E1693">
        <v>4</v>
      </c>
      <c r="F1693" t="str">
        <f>IF(AND(Entities[[#This Row],[ENT_TYPE]]="County",RIGHT(Entities[[#This Row],[ENT_NAME]],6)&lt;&gt;"County"),_xlfn.TEXTJOIN(" ",TRUE,Entities[[#This Row],[ENT_NAME]],"County"),Entities[[#This Row],[ENT_NAME]])</f>
        <v>Smith County Economic Development District</v>
      </c>
    </row>
    <row r="1694" spans="1:6" x14ac:dyDescent="0.25">
      <c r="A1694" s="302" t="s">
        <v>6907</v>
      </c>
      <c r="B1694" s="303" t="str">
        <f t="shared" si="26"/>
        <v>x04000590</v>
      </c>
      <c r="C1694" t="s">
        <v>4</v>
      </c>
      <c r="D1694" t="s">
        <v>6908</v>
      </c>
      <c r="E1694">
        <v>4</v>
      </c>
      <c r="F1694" t="str">
        <f>IF(AND(Entities[[#This Row],[ENT_TYPE]]="County",RIGHT(Entities[[#This Row],[ENT_NAME]],6)&lt;&gt;"County"),_xlfn.TEXTJOIN(" ",TRUE,Entities[[#This Row],[ENT_NAME]],"County"),Entities[[#This Row],[ENT_NAME]])</f>
        <v>Union Valley Ranch MUD of Hunt County</v>
      </c>
    </row>
    <row r="1695" spans="1:6" x14ac:dyDescent="0.25">
      <c r="A1695" s="302" t="s">
        <v>6909</v>
      </c>
      <c r="B1695" s="303" t="str">
        <f t="shared" si="26"/>
        <v>x04000844</v>
      </c>
      <c r="C1695" t="s">
        <v>4</v>
      </c>
      <c r="D1695" t="s">
        <v>6910</v>
      </c>
      <c r="E1695">
        <v>4</v>
      </c>
      <c r="F1695" t="str">
        <f>IF(AND(Entities[[#This Row],[ENT_TYPE]]="County",RIGHT(Entities[[#This Row],[ENT_NAME]],6)&lt;&gt;"County"),_xlfn.TEXTJOIN(" ",TRUE,Entities[[#This Row],[ENT_NAME]],"County"),Entities[[#This Row],[ENT_NAME]])</f>
        <v>Jasper County WCID 1</v>
      </c>
    </row>
    <row r="1696" spans="1:6" x14ac:dyDescent="0.25">
      <c r="A1696" s="304" t="s">
        <v>6911</v>
      </c>
      <c r="B1696" s="303" t="str">
        <f t="shared" si="26"/>
        <v>x04000971</v>
      </c>
      <c r="C1696" t="s">
        <v>4</v>
      </c>
      <c r="D1696" t="s">
        <v>6912</v>
      </c>
      <c r="E1696">
        <v>4</v>
      </c>
      <c r="F1696" t="str">
        <f>IF(AND(Entities[[#This Row],[ENT_TYPE]]="County",RIGHT(Entities[[#This Row],[ENT_NAME]],6)&lt;&gt;"County"),_xlfn.TEXTJOIN(" ",TRUE,Entities[[#This Row],[ENT_NAME]],"County"),Entities[[#This Row],[ENT_NAME]])</f>
        <v>East Texas MUD</v>
      </c>
    </row>
    <row r="1697" spans="1:6" x14ac:dyDescent="0.25">
      <c r="A1697" s="302" t="s">
        <v>6913</v>
      </c>
      <c r="B1697" s="303" t="str">
        <f t="shared" si="26"/>
        <v>x04001056</v>
      </c>
      <c r="C1697" t="s">
        <v>4</v>
      </c>
      <c r="D1697" t="s">
        <v>6914</v>
      </c>
      <c r="E1697">
        <v>4</v>
      </c>
      <c r="F1697" t="str">
        <f>IF(AND(Entities[[#This Row],[ENT_TYPE]]="County",RIGHT(Entities[[#This Row],[ENT_NAME]],6)&lt;&gt;"County"),_xlfn.TEXTJOIN(" ",TRUE,Entities[[#This Row],[ENT_NAME]],"County"),Entities[[#This Row],[ENT_NAME]])</f>
        <v>Chalk Hill SUD</v>
      </c>
    </row>
    <row r="1698" spans="1:6" x14ac:dyDescent="0.25">
      <c r="A1698" s="304" t="s">
        <v>6915</v>
      </c>
      <c r="B1698" s="303" t="str">
        <f t="shared" si="26"/>
        <v>x04001247</v>
      </c>
      <c r="C1698" t="s">
        <v>4</v>
      </c>
      <c r="D1698" t="s">
        <v>6916</v>
      </c>
      <c r="E1698">
        <v>4</v>
      </c>
      <c r="F1698" t="str">
        <f>IF(AND(Entities[[#This Row],[ENT_TYPE]]="County",RIGHT(Entities[[#This Row],[ENT_NAME]],6)&lt;&gt;"County"),_xlfn.TEXTJOIN(" ",TRUE,Entities[[#This Row],[ENT_NAME]],"County"),Entities[[#This Row],[ENT_NAME]])</f>
        <v>Verandah MUD</v>
      </c>
    </row>
    <row r="1699" spans="1:6" x14ac:dyDescent="0.25">
      <c r="A1699" s="304" t="s">
        <v>6917</v>
      </c>
      <c r="B1699" s="303" t="str">
        <f t="shared" si="26"/>
        <v>x04001306</v>
      </c>
      <c r="C1699" t="s">
        <v>4</v>
      </c>
      <c r="D1699" t="s">
        <v>6918</v>
      </c>
      <c r="E1699">
        <v>4</v>
      </c>
      <c r="F1699" t="str">
        <f>IF(AND(Entities[[#This Row],[ENT_TYPE]]="County",RIGHT(Entities[[#This Row],[ENT_NAME]],6)&lt;&gt;"County"),_xlfn.TEXTJOIN(" ",TRUE,Entities[[#This Row],[ENT_NAME]],"County"),Entities[[#This Row],[ENT_NAME]])</f>
        <v>New Hope SUD</v>
      </c>
    </row>
    <row r="1700" spans="1:6" x14ac:dyDescent="0.25">
      <c r="A1700" s="302" t="s">
        <v>6919</v>
      </c>
      <c r="B1700" s="303" t="str">
        <f t="shared" si="26"/>
        <v>x04001308</v>
      </c>
      <c r="C1700" t="s">
        <v>4</v>
      </c>
      <c r="D1700" t="s">
        <v>6920</v>
      </c>
      <c r="E1700">
        <v>4</v>
      </c>
      <c r="F1700" t="str">
        <f>IF(AND(Entities[[#This Row],[ENT_TYPE]]="County",RIGHT(Entities[[#This Row],[ENT_NAME]],6)&lt;&gt;"County"),_xlfn.TEXTJOIN(" ",TRUE,Entities[[#This Row],[ENT_NAME]],"County"),Entities[[#This Row],[ENT_NAME]])</f>
        <v>Rockwall County MUD 7</v>
      </c>
    </row>
    <row r="1701" spans="1:6" x14ac:dyDescent="0.25">
      <c r="A1701" s="304" t="s">
        <v>6921</v>
      </c>
      <c r="B1701" s="303" t="str">
        <f t="shared" si="26"/>
        <v>x04001345</v>
      </c>
      <c r="C1701" t="s">
        <v>4</v>
      </c>
      <c r="D1701" t="s">
        <v>6922</v>
      </c>
      <c r="E1701">
        <v>4</v>
      </c>
      <c r="F1701" t="str">
        <f>IF(AND(Entities[[#This Row],[ENT_TYPE]]="County",RIGHT(Entities[[#This Row],[ENT_NAME]],6)&lt;&gt;"County"),_xlfn.TEXTJOIN(" ",TRUE,Entities[[#This Row],[ENT_NAME]],"County"),Entities[[#This Row],[ENT_NAME]])</f>
        <v>Rockwall County MUD 6</v>
      </c>
    </row>
    <row r="1702" spans="1:6" x14ac:dyDescent="0.25">
      <c r="A1702" s="302" t="s">
        <v>6923</v>
      </c>
      <c r="B1702" s="303" t="str">
        <f t="shared" si="26"/>
        <v>x04001477</v>
      </c>
      <c r="C1702" t="s">
        <v>4</v>
      </c>
      <c r="D1702" t="s">
        <v>6924</v>
      </c>
      <c r="E1702">
        <v>4</v>
      </c>
      <c r="F1702" t="str">
        <f>IF(AND(Entities[[#This Row],[ENT_TYPE]]="County",RIGHT(Entities[[#This Row],[ENT_NAME]],6)&lt;&gt;"County"),_xlfn.TEXTJOIN(" ",TRUE,Entities[[#This Row],[ENT_NAME]],"County"),Entities[[#This Row],[ENT_NAME]])</f>
        <v>Orange County WCID 2</v>
      </c>
    </row>
    <row r="1703" spans="1:6" x14ac:dyDescent="0.25">
      <c r="A1703" s="302" t="s">
        <v>6925</v>
      </c>
      <c r="B1703" s="303" t="str">
        <f t="shared" si="26"/>
        <v>x04001534</v>
      </c>
      <c r="C1703" t="s">
        <v>4</v>
      </c>
      <c r="D1703" t="s">
        <v>6926</v>
      </c>
      <c r="E1703">
        <v>4</v>
      </c>
      <c r="F1703" t="str">
        <f>IF(AND(Entities[[#This Row],[ENT_TYPE]]="County",RIGHT(Entities[[#This Row],[ENT_NAME]],6)&lt;&gt;"County"),_xlfn.TEXTJOIN(" ",TRUE,Entities[[#This Row],[ENT_NAME]],"County"),Entities[[#This Row],[ENT_NAME]])</f>
        <v>Combined Consumers SUD</v>
      </c>
    </row>
    <row r="1704" spans="1:6" x14ac:dyDescent="0.25">
      <c r="A1704" s="304" t="s">
        <v>6927</v>
      </c>
      <c r="B1704" s="303" t="str">
        <f t="shared" si="26"/>
        <v>x04001939</v>
      </c>
      <c r="C1704" t="s">
        <v>4</v>
      </c>
      <c r="D1704" t="s">
        <v>6928</v>
      </c>
      <c r="E1704">
        <v>4</v>
      </c>
      <c r="F1704" t="str">
        <f>IF(AND(Entities[[#This Row],[ENT_TYPE]]="County",RIGHT(Entities[[#This Row],[ENT_NAME]],6)&lt;&gt;"County"),_xlfn.TEXTJOIN(" ",TRUE,Entities[[#This Row],[ENT_NAME]],"County"),Entities[[#This Row],[ENT_NAME]])</f>
        <v>South Rains SUD</v>
      </c>
    </row>
    <row r="1705" spans="1:6" x14ac:dyDescent="0.25">
      <c r="A1705" s="302" t="s">
        <v>6929</v>
      </c>
      <c r="B1705" s="303" t="str">
        <f t="shared" si="26"/>
        <v>x04002082</v>
      </c>
      <c r="C1705" t="s">
        <v>4</v>
      </c>
      <c r="D1705" t="s">
        <v>6930</v>
      </c>
      <c r="E1705">
        <v>4</v>
      </c>
      <c r="F1705" t="str">
        <f>IF(AND(Entities[[#This Row],[ENT_TYPE]]="County",RIGHT(Entities[[#This Row],[ENT_NAME]],6)&lt;&gt;"County"),_xlfn.TEXTJOIN(" ",TRUE,Entities[[#This Row],[ENT_NAME]],"County"),Entities[[#This Row],[ENT_NAME]])</f>
        <v>Double R MUD 1</v>
      </c>
    </row>
    <row r="1706" spans="1:6" x14ac:dyDescent="0.25">
      <c r="A1706" s="302" t="s">
        <v>6931</v>
      </c>
      <c r="B1706" s="303" t="str">
        <f t="shared" si="26"/>
        <v>x04002148</v>
      </c>
      <c r="C1706" t="s">
        <v>4</v>
      </c>
      <c r="D1706" t="s">
        <v>6932</v>
      </c>
      <c r="E1706">
        <v>4</v>
      </c>
      <c r="F1706" t="str">
        <f>IF(AND(Entities[[#This Row],[ENT_TYPE]]="County",RIGHT(Entities[[#This Row],[ENT_NAME]],6)&lt;&gt;"County"),_xlfn.TEXTJOIN(" ",TRUE,Entities[[#This Row],[ENT_NAME]],"County"),Entities[[#This Row],[ENT_NAME]])</f>
        <v>Liberty-Danville FWSD 2</v>
      </c>
    </row>
    <row r="1707" spans="1:6" x14ac:dyDescent="0.25">
      <c r="A1707" s="304" t="s">
        <v>6933</v>
      </c>
      <c r="B1707" s="303" t="str">
        <f t="shared" si="26"/>
        <v>x04002271</v>
      </c>
      <c r="C1707" t="s">
        <v>4</v>
      </c>
      <c r="D1707" t="s">
        <v>6934</v>
      </c>
      <c r="E1707">
        <v>4</v>
      </c>
      <c r="F1707" t="str">
        <f>IF(AND(Entities[[#This Row],[ENT_TYPE]]="County",RIGHT(Entities[[#This Row],[ENT_NAME]],6)&lt;&gt;"County"),_xlfn.TEXTJOIN(" ",TRUE,Entities[[#This Row],[ENT_NAME]],"County"),Entities[[#This Row],[ENT_NAME]])</f>
        <v>Caddo Mills MMD 1</v>
      </c>
    </row>
    <row r="1708" spans="1:6" x14ac:dyDescent="0.25">
      <c r="A1708" s="302" t="s">
        <v>6935</v>
      </c>
      <c r="B1708" s="303" t="str">
        <f t="shared" si="26"/>
        <v>x04002361</v>
      </c>
      <c r="C1708" t="s">
        <v>4</v>
      </c>
      <c r="D1708" t="s">
        <v>6936</v>
      </c>
      <c r="E1708">
        <v>4</v>
      </c>
      <c r="F1708" t="str">
        <f>IF(AND(Entities[[#This Row],[ENT_TYPE]]="County",RIGHT(Entities[[#This Row],[ENT_NAME]],6)&lt;&gt;"County"),_xlfn.TEXTJOIN(" ",TRUE,Entities[[#This Row],[ENT_NAME]],"County"),Entities[[#This Row],[ENT_NAME]])</f>
        <v>Hunt Co MUD 3</v>
      </c>
    </row>
    <row r="1709" spans="1:6" x14ac:dyDescent="0.25">
      <c r="A1709" s="304" t="s">
        <v>6937</v>
      </c>
      <c r="B1709" s="303" t="str">
        <f t="shared" si="26"/>
        <v>x04002410</v>
      </c>
      <c r="C1709" t="s">
        <v>5458</v>
      </c>
      <c r="D1709" t="s">
        <v>6938</v>
      </c>
      <c r="E1709">
        <v>4</v>
      </c>
      <c r="F1709" t="str">
        <f>IF(AND(Entities[[#This Row],[ENT_TYPE]]="County",RIGHT(Entities[[#This Row],[ENT_NAME]],6)&lt;&gt;"County"),_xlfn.TEXTJOIN(" ",TRUE,Entities[[#This Row],[ENT_NAME]],"County"),Entities[[#This Row],[ENT_NAME]])</f>
        <v>Yantis</v>
      </c>
    </row>
    <row r="1710" spans="1:6" x14ac:dyDescent="0.25">
      <c r="A1710" s="302" t="s">
        <v>6939</v>
      </c>
      <c r="B1710" s="303" t="str">
        <f t="shared" si="26"/>
        <v>x04002416</v>
      </c>
      <c r="C1710" t="s">
        <v>5458</v>
      </c>
      <c r="D1710" t="s">
        <v>6940</v>
      </c>
      <c r="E1710">
        <v>4</v>
      </c>
      <c r="F1710" t="str">
        <f>IF(AND(Entities[[#This Row],[ENT_TYPE]]="County",RIGHT(Entities[[#This Row],[ENT_NAME]],6)&lt;&gt;"County"),_xlfn.TEXTJOIN(" ",TRUE,Entities[[#This Row],[ENT_NAME]],"County"),Entities[[#This Row],[ENT_NAME]])</f>
        <v>Big Sandy</v>
      </c>
    </row>
    <row r="1711" spans="1:6" x14ac:dyDescent="0.25">
      <c r="A1711" s="302" t="s">
        <v>2522</v>
      </c>
      <c r="B1711" s="303" t="str">
        <f t="shared" si="26"/>
        <v>x04002462</v>
      </c>
      <c r="C1711" t="s">
        <v>5458</v>
      </c>
      <c r="D1711" t="s">
        <v>6941</v>
      </c>
      <c r="E1711">
        <v>4</v>
      </c>
      <c r="F1711" t="str">
        <f>IF(AND(Entities[[#This Row],[ENT_TYPE]]="County",RIGHT(Entities[[#This Row],[ENT_NAME]],6)&lt;&gt;"County"),_xlfn.TEXTJOIN(" ",TRUE,Entities[[#This Row],[ENT_NAME]],"County"),Entities[[#This Row],[ENT_NAME]])</f>
        <v>Edgewood</v>
      </c>
    </row>
    <row r="1712" spans="1:6" x14ac:dyDescent="0.25">
      <c r="A1712" s="302" t="s">
        <v>4781</v>
      </c>
      <c r="B1712" s="303" t="str">
        <f t="shared" si="26"/>
        <v>x04002514</v>
      </c>
      <c r="C1712" t="s">
        <v>5458</v>
      </c>
      <c r="D1712" t="s">
        <v>6942</v>
      </c>
      <c r="E1712">
        <v>4</v>
      </c>
      <c r="F1712" t="str">
        <f>IF(AND(Entities[[#This Row],[ENT_TYPE]]="County",RIGHT(Entities[[#This Row],[ENT_NAME]],6)&lt;&gt;"County"),_xlfn.TEXTJOIN(" ",TRUE,Entities[[#This Row],[ENT_NAME]],"County"),Entities[[#This Row],[ENT_NAME]])</f>
        <v>Greenville</v>
      </c>
    </row>
    <row r="1713" spans="1:6" x14ac:dyDescent="0.25">
      <c r="A1713" s="304" t="s">
        <v>4788</v>
      </c>
      <c r="B1713" s="303" t="str">
        <f t="shared" si="26"/>
        <v>x04002537</v>
      </c>
      <c r="C1713" t="s">
        <v>5458</v>
      </c>
      <c r="D1713" t="s">
        <v>6943</v>
      </c>
      <c r="E1713">
        <v>4</v>
      </c>
      <c r="F1713" t="str">
        <f>IF(AND(Entities[[#This Row],[ENT_TYPE]]="County",RIGHT(Entities[[#This Row],[ENT_NAME]],6)&lt;&gt;"County"),_xlfn.TEXTJOIN(" ",TRUE,Entities[[#This Row],[ENT_NAME]],"County"),Entities[[#This Row],[ENT_NAME]])</f>
        <v>Fruitvale</v>
      </c>
    </row>
    <row r="1714" spans="1:6" x14ac:dyDescent="0.25">
      <c r="A1714" s="304" t="s">
        <v>6944</v>
      </c>
      <c r="B1714" s="303" t="str">
        <f t="shared" si="26"/>
        <v>x04002539</v>
      </c>
      <c r="C1714" t="s">
        <v>5458</v>
      </c>
      <c r="D1714" t="s">
        <v>6945</v>
      </c>
      <c r="E1714">
        <v>4</v>
      </c>
      <c r="F1714" t="str">
        <f>IF(AND(Entities[[#This Row],[ENT_TYPE]]="County",RIGHT(Entities[[#This Row],[ENT_NAME]],6)&lt;&gt;"County"),_xlfn.TEXTJOIN(" ",TRUE,Entities[[#This Row],[ENT_NAME]],"County"),Entities[[#This Row],[ENT_NAME]])</f>
        <v>Alba</v>
      </c>
    </row>
    <row r="1715" spans="1:6" x14ac:dyDescent="0.25">
      <c r="A1715" s="302" t="s">
        <v>6946</v>
      </c>
      <c r="B1715" s="303" t="str">
        <f t="shared" si="26"/>
        <v>x04002567</v>
      </c>
      <c r="C1715" t="s">
        <v>5458</v>
      </c>
      <c r="D1715" t="s">
        <v>6947</v>
      </c>
      <c r="E1715">
        <v>4</v>
      </c>
      <c r="F1715" t="str">
        <f>IF(AND(Entities[[#This Row],[ENT_TYPE]]="County",RIGHT(Entities[[#This Row],[ENT_NAME]],6)&lt;&gt;"County"),_xlfn.TEXTJOIN(" ",TRUE,Entities[[#This Row],[ENT_NAME]],"County"),Entities[[#This Row],[ENT_NAME]])</f>
        <v>Huxley</v>
      </c>
    </row>
    <row r="1716" spans="1:6" x14ac:dyDescent="0.25">
      <c r="A1716" s="304" t="s">
        <v>2531</v>
      </c>
      <c r="B1716" s="303" t="str">
        <f t="shared" si="26"/>
        <v>x04002588</v>
      </c>
      <c r="C1716" t="s">
        <v>5458</v>
      </c>
      <c r="D1716" t="s">
        <v>6948</v>
      </c>
      <c r="E1716">
        <v>4</v>
      </c>
      <c r="F1716" t="str">
        <f>IF(AND(Entities[[#This Row],[ENT_TYPE]]="County",RIGHT(Entities[[#This Row],[ENT_NAME]],6)&lt;&gt;"County"),_xlfn.TEXTJOIN(" ",TRUE,Entities[[#This Row],[ENT_NAME]],"County"),Entities[[#This Row],[ENT_NAME]])</f>
        <v>Grand Saline</v>
      </c>
    </row>
    <row r="1717" spans="1:6" x14ac:dyDescent="0.25">
      <c r="A1717" s="302" t="s">
        <v>6949</v>
      </c>
      <c r="B1717" s="303" t="str">
        <f t="shared" si="26"/>
        <v>x04002692</v>
      </c>
      <c r="C1717" t="s">
        <v>5458</v>
      </c>
      <c r="D1717" t="s">
        <v>6950</v>
      </c>
      <c r="E1717">
        <v>4</v>
      </c>
      <c r="F1717" t="str">
        <f>IF(AND(Entities[[#This Row],[ENT_TYPE]]="County",RIGHT(Entities[[#This Row],[ENT_NAME]],6)&lt;&gt;"County"),_xlfn.TEXTJOIN(" ",TRUE,Entities[[#This Row],[ENT_NAME]],"County"),Entities[[#This Row],[ENT_NAME]])</f>
        <v>Union Valley</v>
      </c>
    </row>
    <row r="1718" spans="1:6" x14ac:dyDescent="0.25">
      <c r="A1718" s="304" t="s">
        <v>6951</v>
      </c>
      <c r="B1718" s="303" t="str">
        <f t="shared" si="26"/>
        <v>x04002710</v>
      </c>
      <c r="C1718" t="s">
        <v>5458</v>
      </c>
      <c r="D1718" t="s">
        <v>5003</v>
      </c>
      <c r="E1718">
        <v>4</v>
      </c>
      <c r="F1718" t="str">
        <f>IF(AND(Entities[[#This Row],[ENT_TYPE]]="County",RIGHT(Entities[[#This Row],[ENT_NAME]],6)&lt;&gt;"County"),_xlfn.TEXTJOIN(" ",TRUE,Entities[[#This Row],[ENT_NAME]],"County"),Entities[[#This Row],[ENT_NAME]])</f>
        <v>Newton</v>
      </c>
    </row>
    <row r="1719" spans="1:6" x14ac:dyDescent="0.25">
      <c r="A1719" s="302" t="s">
        <v>2541</v>
      </c>
      <c r="B1719" s="303" t="str">
        <f t="shared" si="26"/>
        <v>x04002773</v>
      </c>
      <c r="C1719" t="s">
        <v>5458</v>
      </c>
      <c r="D1719" t="s">
        <v>6952</v>
      </c>
      <c r="E1719">
        <v>4</v>
      </c>
      <c r="F1719" t="str">
        <f>IF(AND(Entities[[#This Row],[ENT_TYPE]]="County",RIGHT(Entities[[#This Row],[ENT_NAME]],6)&lt;&gt;"County"),_xlfn.TEXTJOIN(" ",TRUE,Entities[[#This Row],[ENT_NAME]],"County"),Entities[[#This Row],[ENT_NAME]])</f>
        <v>Gladewater</v>
      </c>
    </row>
    <row r="1720" spans="1:6" x14ac:dyDescent="0.25">
      <c r="A1720" s="304" t="s">
        <v>6953</v>
      </c>
      <c r="B1720" s="303" t="str">
        <f t="shared" si="26"/>
        <v>x04002774</v>
      </c>
      <c r="C1720" t="s">
        <v>5458</v>
      </c>
      <c r="D1720" t="s">
        <v>6954</v>
      </c>
      <c r="E1720">
        <v>4</v>
      </c>
      <c r="F1720" t="str">
        <f>IF(AND(Entities[[#This Row],[ENT_TYPE]]="County",RIGHT(Entities[[#This Row],[ENT_NAME]],6)&lt;&gt;"County"),_xlfn.TEXTJOIN(" ",TRUE,Entities[[#This Row],[ENT_NAME]],"County"),Entities[[#This Row],[ENT_NAME]])</f>
        <v>White Oak</v>
      </c>
    </row>
    <row r="1721" spans="1:6" x14ac:dyDescent="0.25">
      <c r="A1721" s="302" t="s">
        <v>2545</v>
      </c>
      <c r="B1721" s="303" t="str">
        <f t="shared" si="26"/>
        <v>x04002775</v>
      </c>
      <c r="C1721" t="s">
        <v>5458</v>
      </c>
      <c r="D1721" t="s">
        <v>6955</v>
      </c>
      <c r="E1721">
        <v>4</v>
      </c>
      <c r="F1721" t="str">
        <f>IF(AND(Entities[[#This Row],[ENT_TYPE]]="County",RIGHT(Entities[[#This Row],[ENT_NAME]],6)&lt;&gt;"County"),_xlfn.TEXTJOIN(" ",TRUE,Entities[[#This Row],[ENT_NAME]],"County"),Entities[[#This Row],[ENT_NAME]])</f>
        <v>Kilgore</v>
      </c>
    </row>
    <row r="1722" spans="1:6" x14ac:dyDescent="0.25">
      <c r="A1722" s="304" t="s">
        <v>6956</v>
      </c>
      <c r="B1722" s="303" t="str">
        <f t="shared" si="26"/>
        <v>x04002915</v>
      </c>
      <c r="C1722" t="s">
        <v>5458</v>
      </c>
      <c r="D1722" t="s">
        <v>6957</v>
      </c>
      <c r="E1722">
        <v>4</v>
      </c>
      <c r="F1722" t="str">
        <f>IF(AND(Entities[[#This Row],[ENT_TYPE]]="County",RIGHT(Entities[[#This Row],[ENT_NAME]],6)&lt;&gt;"County"),_xlfn.TEXTJOIN(" ",TRUE,Entities[[#This Row],[ENT_NAME]],"County"),Entities[[#This Row],[ENT_NAME]])</f>
        <v>Center</v>
      </c>
    </row>
    <row r="1723" spans="1:6" x14ac:dyDescent="0.25">
      <c r="A1723" s="302" t="s">
        <v>6958</v>
      </c>
      <c r="B1723" s="303" t="str">
        <f t="shared" si="26"/>
        <v>x04002916</v>
      </c>
      <c r="C1723" t="s">
        <v>5458</v>
      </c>
      <c r="D1723" t="s">
        <v>6959</v>
      </c>
      <c r="E1723">
        <v>4</v>
      </c>
      <c r="F1723" t="str">
        <f>IF(AND(Entities[[#This Row],[ENT_TYPE]]="County",RIGHT(Entities[[#This Row],[ENT_NAME]],6)&lt;&gt;"County"),_xlfn.TEXTJOIN(" ",TRUE,Entities[[#This Row],[ENT_NAME]],"County"),Entities[[#This Row],[ENT_NAME]])</f>
        <v>Joaquin</v>
      </c>
    </row>
    <row r="1724" spans="1:6" x14ac:dyDescent="0.25">
      <c r="A1724" s="304" t="s">
        <v>6960</v>
      </c>
      <c r="B1724" s="303" t="str">
        <f t="shared" si="26"/>
        <v>x04002917</v>
      </c>
      <c r="C1724" t="s">
        <v>5458</v>
      </c>
      <c r="D1724" t="s">
        <v>6961</v>
      </c>
      <c r="E1724">
        <v>4</v>
      </c>
      <c r="F1724" t="str">
        <f>IF(AND(Entities[[#This Row],[ENT_TYPE]]="County",RIGHT(Entities[[#This Row],[ENT_NAME]],6)&lt;&gt;"County"),_xlfn.TEXTJOIN(" ",TRUE,Entities[[#This Row],[ENT_NAME]],"County"),Entities[[#This Row],[ENT_NAME]])</f>
        <v>Tenaha</v>
      </c>
    </row>
    <row r="1725" spans="1:6" x14ac:dyDescent="0.25">
      <c r="A1725" s="302" t="s">
        <v>6962</v>
      </c>
      <c r="B1725" s="303" t="str">
        <f t="shared" si="26"/>
        <v>x04002920</v>
      </c>
      <c r="C1725" t="s">
        <v>5458</v>
      </c>
      <c r="D1725" t="s">
        <v>6963</v>
      </c>
      <c r="E1725">
        <v>4</v>
      </c>
      <c r="F1725" t="str">
        <f>IF(AND(Entities[[#This Row],[ENT_TYPE]]="County",RIGHT(Entities[[#This Row],[ENT_NAME]],6)&lt;&gt;"County"),_xlfn.TEXTJOIN(" ",TRUE,Entities[[#This Row],[ENT_NAME]],"County"),Entities[[#This Row],[ENT_NAME]])</f>
        <v>West Orange</v>
      </c>
    </row>
    <row r="1726" spans="1:6" x14ac:dyDescent="0.25">
      <c r="A1726" s="304" t="s">
        <v>6964</v>
      </c>
      <c r="B1726" s="303" t="str">
        <f t="shared" si="26"/>
        <v>x04003001</v>
      </c>
      <c r="C1726" t="s">
        <v>5458</v>
      </c>
      <c r="D1726" t="s">
        <v>6965</v>
      </c>
      <c r="E1726">
        <v>4</v>
      </c>
      <c r="F1726" t="str">
        <f>IF(AND(Entities[[#This Row],[ENT_TYPE]]="County",RIGHT(Entities[[#This Row],[ENT_NAME]],6)&lt;&gt;"County"),_xlfn.TEXTJOIN(" ",TRUE,Entities[[#This Row],[ENT_NAME]],"County"),Entities[[#This Row],[ENT_NAME]])</f>
        <v>Caddo Mills</v>
      </c>
    </row>
    <row r="1727" spans="1:6" x14ac:dyDescent="0.25">
      <c r="A1727" s="304" t="s">
        <v>6966</v>
      </c>
      <c r="B1727" s="303" t="str">
        <f t="shared" si="26"/>
        <v>x04003008</v>
      </c>
      <c r="C1727" t="s">
        <v>5458</v>
      </c>
      <c r="D1727" t="s">
        <v>6967</v>
      </c>
      <c r="E1727">
        <v>4</v>
      </c>
      <c r="F1727" t="str">
        <f>IF(AND(Entities[[#This Row],[ENT_TYPE]]="County",RIGHT(Entities[[#This Row],[ENT_NAME]],6)&lt;&gt;"County"),_xlfn.TEXTJOIN(" ",TRUE,Entities[[#This Row],[ENT_NAME]],"County"),Entities[[#This Row],[ENT_NAME]])</f>
        <v>Hawk Cove</v>
      </c>
    </row>
    <row r="1728" spans="1:6" x14ac:dyDescent="0.25">
      <c r="A1728" s="302" t="s">
        <v>6968</v>
      </c>
      <c r="B1728" s="303" t="str">
        <f t="shared" si="26"/>
        <v>x04003017</v>
      </c>
      <c r="C1728" t="s">
        <v>5458</v>
      </c>
      <c r="D1728" t="s">
        <v>6969</v>
      </c>
      <c r="E1728">
        <v>4</v>
      </c>
      <c r="F1728" t="str">
        <f>IF(AND(Entities[[#This Row],[ENT_TYPE]]="County",RIGHT(Entities[[#This Row],[ENT_NAME]],6)&lt;&gt;"County"),_xlfn.TEXTJOIN(" ",TRUE,Entities[[#This Row],[ENT_NAME]],"County"),Entities[[#This Row],[ENT_NAME]])</f>
        <v>Pinehurst</v>
      </c>
    </row>
    <row r="1729" spans="1:6" x14ac:dyDescent="0.25">
      <c r="A1729" s="304" t="s">
        <v>6970</v>
      </c>
      <c r="B1729" s="303" t="str">
        <f t="shared" si="26"/>
        <v>x04003046</v>
      </c>
      <c r="C1729" t="s">
        <v>5458</v>
      </c>
      <c r="D1729" t="s">
        <v>6971</v>
      </c>
      <c r="E1729">
        <v>4</v>
      </c>
      <c r="F1729" t="str">
        <f>IF(AND(Entities[[#This Row],[ENT_TYPE]]="County",RIGHT(Entities[[#This Row],[ENT_NAME]],6)&lt;&gt;"County"),_xlfn.TEXTJOIN(" ",TRUE,Entities[[#This Row],[ENT_NAME]],"County"),Entities[[#This Row],[ENT_NAME]])</f>
        <v>Tatum</v>
      </c>
    </row>
    <row r="1730" spans="1:6" x14ac:dyDescent="0.25">
      <c r="A1730" s="302" t="s">
        <v>6972</v>
      </c>
      <c r="B1730" s="303" t="str">
        <f t="shared" ref="B1730:B1793" si="27">_xlfn.CONCAT("x",TEXT(A1730,"00000000"))</f>
        <v>x04003051</v>
      </c>
      <c r="C1730" t="s">
        <v>5458</v>
      </c>
      <c r="D1730" t="s">
        <v>6973</v>
      </c>
      <c r="E1730">
        <v>4</v>
      </c>
      <c r="F1730" t="str">
        <f>IF(AND(Entities[[#This Row],[ENT_TYPE]]="County",RIGHT(Entities[[#This Row],[ENT_NAME]],6)&lt;&gt;"County"),_xlfn.TEXTJOIN(" ",TRUE,Entities[[#This Row],[ENT_NAME]],"County"),Entities[[#This Row],[ENT_NAME]])</f>
        <v>Easton</v>
      </c>
    </row>
    <row r="1731" spans="1:6" x14ac:dyDescent="0.25">
      <c r="A1731" s="304" t="s">
        <v>2552</v>
      </c>
      <c r="B1731" s="303" t="str">
        <f t="shared" si="27"/>
        <v>x04003052</v>
      </c>
      <c r="C1731" t="s">
        <v>5458</v>
      </c>
      <c r="D1731" t="s">
        <v>6974</v>
      </c>
      <c r="E1731">
        <v>4</v>
      </c>
      <c r="F1731" t="str">
        <f>IF(AND(Entities[[#This Row],[ENT_TYPE]]="County",RIGHT(Entities[[#This Row],[ENT_NAME]],6)&lt;&gt;"County"),_xlfn.TEXTJOIN(" ",TRUE,Entities[[#This Row],[ENT_NAME]],"County"),Entities[[#This Row],[ENT_NAME]])</f>
        <v>Clarksville City</v>
      </c>
    </row>
    <row r="1732" spans="1:6" x14ac:dyDescent="0.25">
      <c r="A1732" s="302" t="s">
        <v>6975</v>
      </c>
      <c r="B1732" s="303" t="str">
        <f t="shared" si="27"/>
        <v>x04003053</v>
      </c>
      <c r="C1732" t="s">
        <v>5458</v>
      </c>
      <c r="D1732" t="s">
        <v>6976</v>
      </c>
      <c r="E1732">
        <v>4</v>
      </c>
      <c r="F1732" t="str">
        <f>IF(AND(Entities[[#This Row],[ENT_TYPE]]="County",RIGHT(Entities[[#This Row],[ENT_NAME]],6)&lt;&gt;"County"),_xlfn.TEXTJOIN(" ",TRUE,Entities[[#This Row],[ENT_NAME]],"County"),Entities[[#This Row],[ENT_NAME]])</f>
        <v>Lakeport</v>
      </c>
    </row>
    <row r="1733" spans="1:6" x14ac:dyDescent="0.25">
      <c r="A1733" s="304" t="s">
        <v>6977</v>
      </c>
      <c r="B1733" s="303" t="str">
        <f t="shared" si="27"/>
        <v>x04003054</v>
      </c>
      <c r="C1733" t="s">
        <v>5458</v>
      </c>
      <c r="D1733" t="s">
        <v>6978</v>
      </c>
      <c r="E1733">
        <v>4</v>
      </c>
      <c r="F1733" t="str">
        <f>IF(AND(Entities[[#This Row],[ENT_TYPE]]="County",RIGHT(Entities[[#This Row],[ENT_NAME]],6)&lt;&gt;"County"),_xlfn.TEXTJOIN(" ",TRUE,Entities[[#This Row],[ENT_NAME]],"County"),Entities[[#This Row],[ENT_NAME]])</f>
        <v>Warren City</v>
      </c>
    </row>
    <row r="1734" spans="1:6" x14ac:dyDescent="0.25">
      <c r="A1734" s="304" t="s">
        <v>6979</v>
      </c>
      <c r="B1734" s="303" t="str">
        <f t="shared" si="27"/>
        <v>x04003072</v>
      </c>
      <c r="C1734" t="s">
        <v>5458</v>
      </c>
      <c r="D1734" t="s">
        <v>6980</v>
      </c>
      <c r="E1734">
        <v>4</v>
      </c>
      <c r="F1734" t="str">
        <f>IF(AND(Entities[[#This Row],[ENT_TYPE]]="County",RIGHT(Entities[[#This Row],[ENT_NAME]],6)&lt;&gt;"County"),_xlfn.TEXTJOIN(" ",TRUE,Entities[[#This Row],[ENT_NAME]],"County"),Entities[[#This Row],[ENT_NAME]])</f>
        <v>Lone Oak</v>
      </c>
    </row>
    <row r="1735" spans="1:6" x14ac:dyDescent="0.25">
      <c r="A1735" s="302" t="s">
        <v>6981</v>
      </c>
      <c r="B1735" s="303" t="str">
        <f t="shared" si="27"/>
        <v>x04003074</v>
      </c>
      <c r="C1735" t="s">
        <v>5458</v>
      </c>
      <c r="D1735" t="s">
        <v>6982</v>
      </c>
      <c r="E1735">
        <v>4</v>
      </c>
      <c r="F1735" t="str">
        <f>IF(AND(Entities[[#This Row],[ENT_TYPE]]="County",RIGHT(Entities[[#This Row],[ENT_NAME]],6)&lt;&gt;"County"),_xlfn.TEXTJOIN(" ",TRUE,Entities[[#This Row],[ENT_NAME]],"County"),Entities[[#This Row],[ENT_NAME]])</f>
        <v>East Tawakoni</v>
      </c>
    </row>
    <row r="1736" spans="1:6" x14ac:dyDescent="0.25">
      <c r="A1736" s="304" t="s">
        <v>6983</v>
      </c>
      <c r="B1736" s="303" t="str">
        <f t="shared" si="27"/>
        <v>x04003075</v>
      </c>
      <c r="C1736" t="s">
        <v>5458</v>
      </c>
      <c r="D1736" t="s">
        <v>6984</v>
      </c>
      <c r="E1736">
        <v>4</v>
      </c>
      <c r="F1736" t="str">
        <f>IF(AND(Entities[[#This Row],[ENT_TYPE]]="County",RIGHT(Entities[[#This Row],[ENT_NAME]],6)&lt;&gt;"County"),_xlfn.TEXTJOIN(" ",TRUE,Entities[[#This Row],[ENT_NAME]],"County"),Entities[[#This Row],[ENT_NAME]])</f>
        <v>Emory</v>
      </c>
    </row>
    <row r="1737" spans="1:6" x14ac:dyDescent="0.25">
      <c r="A1737" s="302" t="s">
        <v>6985</v>
      </c>
      <c r="B1737" s="303" t="str">
        <f t="shared" si="27"/>
        <v>x04003076</v>
      </c>
      <c r="C1737" t="s">
        <v>5458</v>
      </c>
      <c r="D1737" t="s">
        <v>6986</v>
      </c>
      <c r="E1737">
        <v>4</v>
      </c>
      <c r="F1737" t="str">
        <f>IF(AND(Entities[[#This Row],[ENT_TYPE]]="County",RIGHT(Entities[[#This Row],[ENT_NAME]],6)&lt;&gt;"County"),_xlfn.TEXTJOIN(" ",TRUE,Entities[[#This Row],[ENT_NAME]],"County"),Entities[[#This Row],[ENT_NAME]])</f>
        <v>Point</v>
      </c>
    </row>
    <row r="1738" spans="1:6" x14ac:dyDescent="0.25">
      <c r="A1738" s="304" t="s">
        <v>6987</v>
      </c>
      <c r="B1738" s="303" t="str">
        <f t="shared" si="27"/>
        <v>x04003078</v>
      </c>
      <c r="C1738" t="s">
        <v>5458</v>
      </c>
      <c r="D1738" t="s">
        <v>6988</v>
      </c>
      <c r="E1738">
        <v>4</v>
      </c>
      <c r="F1738" t="str">
        <f>IF(AND(Entities[[#This Row],[ENT_TYPE]]="County",RIGHT(Entities[[#This Row],[ENT_NAME]],6)&lt;&gt;"County"),_xlfn.TEXTJOIN(" ",TRUE,Entities[[#This Row],[ENT_NAME]],"County"),Entities[[#This Row],[ENT_NAME]])</f>
        <v>Quinlan</v>
      </c>
    </row>
    <row r="1739" spans="1:6" x14ac:dyDescent="0.25">
      <c r="A1739" s="302" t="s">
        <v>6989</v>
      </c>
      <c r="B1739" s="303" t="str">
        <f t="shared" si="27"/>
        <v>x04003138</v>
      </c>
      <c r="C1739" t="s">
        <v>5458</v>
      </c>
      <c r="D1739" t="s">
        <v>6990</v>
      </c>
      <c r="E1739">
        <v>4</v>
      </c>
      <c r="F1739" t="str">
        <f>IF(AND(Entities[[#This Row],[ENT_TYPE]]="County",RIGHT(Entities[[#This Row],[ENT_NAME]],6)&lt;&gt;"County"),_xlfn.TEXTJOIN(" ",TRUE,Entities[[#This Row],[ENT_NAME]],"County"),Entities[[#This Row],[ENT_NAME]])</f>
        <v>Josephine</v>
      </c>
    </row>
    <row r="1740" spans="1:6" x14ac:dyDescent="0.25">
      <c r="A1740" s="302" t="s">
        <v>4850</v>
      </c>
      <c r="B1740" s="303" t="str">
        <f t="shared" si="27"/>
        <v>x04003179</v>
      </c>
      <c r="C1740" t="s">
        <v>5458</v>
      </c>
      <c r="D1740" t="s">
        <v>6991</v>
      </c>
      <c r="E1740">
        <v>4</v>
      </c>
      <c r="F1740" t="str">
        <f>IF(AND(Entities[[#This Row],[ENT_TYPE]]="County",RIGHT(Entities[[#This Row],[ENT_NAME]],6)&lt;&gt;"County"),_xlfn.TEXTJOIN(" ",TRUE,Entities[[#This Row],[ENT_NAME]],"County"),Entities[[#This Row],[ENT_NAME]])</f>
        <v>Winona</v>
      </c>
    </row>
    <row r="1741" spans="1:6" x14ac:dyDescent="0.25">
      <c r="A1741" s="304" t="s">
        <v>6992</v>
      </c>
      <c r="B1741" s="303" t="str">
        <f t="shared" si="27"/>
        <v>x04003262</v>
      </c>
      <c r="C1741" t="s">
        <v>5458</v>
      </c>
      <c r="D1741" t="s">
        <v>6993</v>
      </c>
      <c r="E1741">
        <v>4</v>
      </c>
      <c r="F1741" t="str">
        <f>IF(AND(Entities[[#This Row],[ENT_TYPE]]="County",RIGHT(Entities[[#This Row],[ENT_NAME]],6)&lt;&gt;"County"),_xlfn.TEXTJOIN(" ",TRUE,Entities[[#This Row],[ENT_NAME]],"County"),Entities[[#This Row],[ENT_NAME]])</f>
        <v>West Tawakoni</v>
      </c>
    </row>
    <row r="1742" spans="1:6" x14ac:dyDescent="0.25">
      <c r="A1742" s="302" t="s">
        <v>6994</v>
      </c>
      <c r="B1742" s="303" t="str">
        <f t="shared" si="27"/>
        <v>x04003308</v>
      </c>
      <c r="C1742" t="s">
        <v>5458</v>
      </c>
      <c r="D1742" t="s">
        <v>6995</v>
      </c>
      <c r="E1742">
        <v>4</v>
      </c>
      <c r="F1742" t="str">
        <f>IF(AND(Entities[[#This Row],[ENT_TYPE]]="County",RIGHT(Entities[[#This Row],[ENT_NAME]],6)&lt;&gt;"County"),_xlfn.TEXTJOIN(" ",TRUE,Entities[[#This Row],[ENT_NAME]],"County"),Entities[[#This Row],[ENT_NAME]])</f>
        <v>Celeste</v>
      </c>
    </row>
    <row r="1743" spans="1:6" x14ac:dyDescent="0.25">
      <c r="A1743" s="304" t="s">
        <v>4858</v>
      </c>
      <c r="B1743" s="303" t="str">
        <f t="shared" si="27"/>
        <v>x04003312</v>
      </c>
      <c r="C1743" t="s">
        <v>5458</v>
      </c>
      <c r="D1743" t="s">
        <v>6996</v>
      </c>
      <c r="E1743">
        <v>4</v>
      </c>
      <c r="F1743" t="str">
        <f>IF(AND(Entities[[#This Row],[ENT_TYPE]]="County",RIGHT(Entities[[#This Row],[ENT_NAME]],6)&lt;&gt;"County"),_xlfn.TEXTJOIN(" ",TRUE,Entities[[#This Row],[ENT_NAME]],"County"),Entities[[#This Row],[ENT_NAME]])</f>
        <v>Royse City</v>
      </c>
    </row>
    <row r="1744" spans="1:6" x14ac:dyDescent="0.25">
      <c r="A1744" s="302" t="s">
        <v>6997</v>
      </c>
      <c r="B1744" s="303" t="str">
        <f t="shared" si="27"/>
        <v>x04003337</v>
      </c>
      <c r="C1744" t="s">
        <v>5458</v>
      </c>
      <c r="D1744" t="s">
        <v>6998</v>
      </c>
      <c r="E1744">
        <v>4</v>
      </c>
      <c r="F1744" t="str">
        <f>IF(AND(Entities[[#This Row],[ENT_TYPE]]="County",RIGHT(Entities[[#This Row],[ENT_NAME]],6)&lt;&gt;"County"),_xlfn.TEXTJOIN(" ",TRUE,Entities[[#This Row],[ENT_NAME]],"County"),Entities[[#This Row],[ENT_NAME]])</f>
        <v>Kirbyville</v>
      </c>
    </row>
    <row r="1745" spans="1:6" x14ac:dyDescent="0.25">
      <c r="A1745" s="304" t="s">
        <v>6999</v>
      </c>
      <c r="B1745" s="303" t="str">
        <f t="shared" si="27"/>
        <v>x04003361</v>
      </c>
      <c r="C1745" t="s">
        <v>5458</v>
      </c>
      <c r="D1745" t="s">
        <v>7000</v>
      </c>
      <c r="E1745">
        <v>4</v>
      </c>
      <c r="F1745" t="str">
        <f>IF(AND(Entities[[#This Row],[ENT_TYPE]]="County",RIGHT(Entities[[#This Row],[ENT_NAME]],6)&lt;&gt;"County"),_xlfn.TEXTJOIN(" ",TRUE,Entities[[#This Row],[ENT_NAME]],"County"),Entities[[#This Row],[ENT_NAME]])</f>
        <v>Beckville</v>
      </c>
    </row>
    <row r="1746" spans="1:6" x14ac:dyDescent="0.25">
      <c r="A1746" s="304" t="s">
        <v>7001</v>
      </c>
      <c r="B1746" s="303" t="str">
        <f t="shared" si="27"/>
        <v>x04003402</v>
      </c>
      <c r="C1746" t="s">
        <v>5458</v>
      </c>
      <c r="D1746" t="s">
        <v>7002</v>
      </c>
      <c r="E1746">
        <v>4</v>
      </c>
      <c r="F1746" t="str">
        <f>IF(AND(Entities[[#This Row],[ENT_TYPE]]="County",RIGHT(Entities[[#This Row],[ENT_NAME]],6)&lt;&gt;"County"),_xlfn.TEXTJOIN(" ",TRUE,Entities[[#This Row],[ENT_NAME]],"County"),Entities[[#This Row],[ENT_NAME]])</f>
        <v>Mineola</v>
      </c>
    </row>
    <row r="1747" spans="1:6" x14ac:dyDescent="0.25">
      <c r="A1747" s="304" t="s">
        <v>7003</v>
      </c>
      <c r="B1747" s="303" t="str">
        <f t="shared" si="27"/>
        <v>x04003445</v>
      </c>
      <c r="C1747" t="s">
        <v>5458</v>
      </c>
      <c r="D1747" t="s">
        <v>7004</v>
      </c>
      <c r="E1747">
        <v>4</v>
      </c>
      <c r="F1747" t="str">
        <f>IF(AND(Entities[[#This Row],[ENT_TYPE]]="County",RIGHT(Entities[[#This Row],[ENT_NAME]],6)&lt;&gt;"County"),_xlfn.TEXTJOIN(" ",TRUE,Entities[[#This Row],[ENT_NAME]],"County"),Entities[[#This Row],[ENT_NAME]])</f>
        <v>Union Grove</v>
      </c>
    </row>
    <row r="1748" spans="1:6" x14ac:dyDescent="0.25">
      <c r="A1748" s="302" t="s">
        <v>7005</v>
      </c>
      <c r="B1748" s="303" t="str">
        <f t="shared" si="27"/>
        <v>x04003446</v>
      </c>
      <c r="C1748" t="s">
        <v>5458</v>
      </c>
      <c r="D1748" t="s">
        <v>7006</v>
      </c>
      <c r="E1748">
        <v>4</v>
      </c>
      <c r="F1748" t="str">
        <f>IF(AND(Entities[[#This Row],[ENT_TYPE]]="County",RIGHT(Entities[[#This Row],[ENT_NAME]],6)&lt;&gt;"County"),_xlfn.TEXTJOIN(" ",TRUE,Entities[[#This Row],[ENT_NAME]],"County"),Entities[[#This Row],[ENT_NAME]])</f>
        <v>Hawkins</v>
      </c>
    </row>
    <row r="1749" spans="1:6" x14ac:dyDescent="0.25">
      <c r="A1749" s="304" t="s">
        <v>7007</v>
      </c>
      <c r="B1749" s="303" t="str">
        <f t="shared" si="27"/>
        <v>x04003447</v>
      </c>
      <c r="C1749" t="s">
        <v>5458</v>
      </c>
      <c r="D1749" t="s">
        <v>7008</v>
      </c>
      <c r="E1749">
        <v>4</v>
      </c>
      <c r="F1749" t="str">
        <f>IF(AND(Entities[[#This Row],[ENT_TYPE]]="County",RIGHT(Entities[[#This Row],[ENT_NAME]],6)&lt;&gt;"County"),_xlfn.TEXTJOIN(" ",TRUE,Entities[[#This Row],[ENT_NAME]],"County"),Entities[[#This Row],[ENT_NAME]])</f>
        <v>Quitman</v>
      </c>
    </row>
    <row r="1750" spans="1:6" x14ac:dyDescent="0.25">
      <c r="A1750" s="302" t="s">
        <v>7009</v>
      </c>
      <c r="B1750" s="303" t="str">
        <f t="shared" si="27"/>
        <v>x04003469</v>
      </c>
      <c r="C1750" t="s">
        <v>5458</v>
      </c>
      <c r="D1750" t="s">
        <v>7010</v>
      </c>
      <c r="E1750">
        <v>4</v>
      </c>
      <c r="F1750" t="str">
        <f>IF(AND(Entities[[#This Row],[ENT_TYPE]]="County",RIGHT(Entities[[#This Row],[ENT_NAME]],6)&lt;&gt;"County"),_xlfn.TEXTJOIN(" ",TRUE,Entities[[#This Row],[ENT_NAME]],"County"),Entities[[#This Row],[ENT_NAME]])</f>
        <v>Carthage</v>
      </c>
    </row>
    <row r="1751" spans="1:6" x14ac:dyDescent="0.25">
      <c r="A1751" s="304" t="s">
        <v>7011</v>
      </c>
      <c r="B1751" s="303" t="str">
        <f t="shared" si="27"/>
        <v>x04003470</v>
      </c>
      <c r="C1751" t="s">
        <v>5458</v>
      </c>
      <c r="D1751" t="s">
        <v>7012</v>
      </c>
      <c r="E1751">
        <v>4</v>
      </c>
      <c r="F1751" t="str">
        <f>IF(AND(Entities[[#This Row],[ENT_TYPE]]="County",RIGHT(Entities[[#This Row],[ENT_NAME]],6)&lt;&gt;"County"),_xlfn.TEXTJOIN(" ",TRUE,Entities[[#This Row],[ENT_NAME]],"County"),Entities[[#This Row],[ENT_NAME]])</f>
        <v>Gary</v>
      </c>
    </row>
    <row r="1752" spans="1:6" x14ac:dyDescent="0.25">
      <c r="A1752" s="302" t="s">
        <v>7013</v>
      </c>
      <c r="B1752" s="303" t="str">
        <f t="shared" si="27"/>
        <v>x04003475</v>
      </c>
      <c r="C1752" t="s">
        <v>5458</v>
      </c>
      <c r="D1752" t="s">
        <v>1350</v>
      </c>
      <c r="E1752">
        <v>4</v>
      </c>
      <c r="F1752" t="str">
        <f>IF(AND(Entities[[#This Row],[ENT_TYPE]]="County",RIGHT(Entities[[#This Row],[ENT_NAME]],6)&lt;&gt;"County"),_xlfn.TEXTJOIN(" ",TRUE,Entities[[#This Row],[ENT_NAME]],"County"),Entities[[#This Row],[ENT_NAME]])</f>
        <v>Hemphill</v>
      </c>
    </row>
    <row r="1753" spans="1:6" x14ac:dyDescent="0.25">
      <c r="A1753" s="304" t="s">
        <v>7014</v>
      </c>
      <c r="B1753" s="303" t="str">
        <f t="shared" si="27"/>
        <v>x04003529</v>
      </c>
      <c r="C1753" t="s">
        <v>5458</v>
      </c>
      <c r="D1753" t="s">
        <v>7015</v>
      </c>
      <c r="E1753">
        <v>4</v>
      </c>
      <c r="F1753" t="str">
        <f>IF(AND(Entities[[#This Row],[ENT_TYPE]]="County",RIGHT(Entities[[#This Row],[ENT_NAME]],6)&lt;&gt;"County"),_xlfn.TEXTJOIN(" ",TRUE,Entities[[#This Row],[ENT_NAME]],"County"),Entities[[#This Row],[ENT_NAME]])</f>
        <v>Hallsville</v>
      </c>
    </row>
    <row r="1754" spans="1:6" x14ac:dyDescent="0.25">
      <c r="A1754" s="302" t="s">
        <v>2656</v>
      </c>
      <c r="B1754" s="303" t="str">
        <f t="shared" si="27"/>
        <v>x05000025</v>
      </c>
      <c r="C1754" t="s">
        <v>4947</v>
      </c>
      <c r="D1754" t="s">
        <v>2606</v>
      </c>
      <c r="E1754">
        <v>5</v>
      </c>
      <c r="F1754" t="str">
        <f>IF(AND(Entities[[#This Row],[ENT_TYPE]]="County",RIGHT(Entities[[#This Row],[ENT_NAME]],6)&lt;&gt;"County"),_xlfn.TEXTJOIN(" ",TRUE,Entities[[#This Row],[ENT_NAME]],"County"),Entities[[#This Row],[ENT_NAME]])</f>
        <v>Jefferson County</v>
      </c>
    </row>
    <row r="1755" spans="1:6" x14ac:dyDescent="0.25">
      <c r="A1755" s="302" t="s">
        <v>7016</v>
      </c>
      <c r="B1755" s="303" t="str">
        <f t="shared" si="27"/>
        <v>x05000057</v>
      </c>
      <c r="C1755" t="s">
        <v>4947</v>
      </c>
      <c r="D1755" t="s">
        <v>5614</v>
      </c>
      <c r="E1755">
        <v>5</v>
      </c>
      <c r="F1755" t="str">
        <f>IF(AND(Entities[[#This Row],[ENT_TYPE]]="County",RIGHT(Entities[[#This Row],[ENT_NAME]],6)&lt;&gt;"County"),_xlfn.TEXTJOIN(" ",TRUE,Entities[[#This Row],[ENT_NAME]],"County"),Entities[[#This Row],[ENT_NAME]])</f>
        <v>Tyler County</v>
      </c>
    </row>
    <row r="1756" spans="1:6" x14ac:dyDescent="0.25">
      <c r="A1756" s="302" t="s">
        <v>2678</v>
      </c>
      <c r="B1756" s="303" t="str">
        <f t="shared" si="27"/>
        <v>x05000125</v>
      </c>
      <c r="C1756" t="s">
        <v>4947</v>
      </c>
      <c r="D1756" t="s">
        <v>2613</v>
      </c>
      <c r="E1756">
        <v>5</v>
      </c>
      <c r="F1756" t="str">
        <f>IF(AND(Entities[[#This Row],[ENT_TYPE]]="County",RIGHT(Entities[[#This Row],[ENT_NAME]],6)&lt;&gt;"County"),_xlfn.TEXTJOIN(" ",TRUE,Entities[[#This Row],[ENT_NAME]],"County"),Entities[[#This Row],[ENT_NAME]])</f>
        <v>Angelina County</v>
      </c>
    </row>
    <row r="1757" spans="1:6" x14ac:dyDescent="0.25">
      <c r="A1757" s="304" t="s">
        <v>7017</v>
      </c>
      <c r="B1757" s="303" t="str">
        <f t="shared" si="27"/>
        <v>x05000139</v>
      </c>
      <c r="C1757" t="s">
        <v>4947</v>
      </c>
      <c r="D1757" t="s">
        <v>2624</v>
      </c>
      <c r="E1757">
        <v>5</v>
      </c>
      <c r="F1757" t="str">
        <f>IF(AND(Entities[[#This Row],[ENT_TYPE]]="County",RIGHT(Entities[[#This Row],[ENT_NAME]],6)&lt;&gt;"County"),_xlfn.TEXTJOIN(" ",TRUE,Entities[[#This Row],[ENT_NAME]],"County"),Entities[[#This Row],[ENT_NAME]])</f>
        <v>Nacogdoches County</v>
      </c>
    </row>
    <row r="1758" spans="1:6" x14ac:dyDescent="0.25">
      <c r="A1758" s="304" t="s">
        <v>2805</v>
      </c>
      <c r="B1758" s="303" t="str">
        <f t="shared" si="27"/>
        <v>x05000159</v>
      </c>
      <c r="C1758" t="s">
        <v>4947</v>
      </c>
      <c r="D1758" t="s">
        <v>2608</v>
      </c>
      <c r="E1758">
        <v>5</v>
      </c>
      <c r="F1758" t="str">
        <f>IF(AND(Entities[[#This Row],[ENT_TYPE]]="County",RIGHT(Entities[[#This Row],[ENT_NAME]],6)&lt;&gt;"County"),_xlfn.TEXTJOIN(" ",TRUE,Entities[[#This Row],[ENT_NAME]],"County"),Entities[[#This Row],[ENT_NAME]])</f>
        <v>Cherokee County</v>
      </c>
    </row>
    <row r="1759" spans="1:6" x14ac:dyDescent="0.25">
      <c r="A1759" s="302" t="s">
        <v>7018</v>
      </c>
      <c r="B1759" s="303" t="str">
        <f t="shared" si="27"/>
        <v>x05000376</v>
      </c>
      <c r="C1759" t="s">
        <v>4</v>
      </c>
      <c r="D1759" t="s">
        <v>7019</v>
      </c>
      <c r="E1759">
        <v>5</v>
      </c>
      <c r="F1759" t="str">
        <f>IF(AND(Entities[[#This Row],[ENT_TYPE]]="County",RIGHT(Entities[[#This Row],[ENT_NAME]],6)&lt;&gt;"County"),_xlfn.TEXTJOIN(" ",TRUE,Entities[[#This Row],[ENT_NAME]],"County"),Entities[[#This Row],[ENT_NAME]])</f>
        <v>Port Of Beaumont Navigation District</v>
      </c>
    </row>
    <row r="1760" spans="1:6" x14ac:dyDescent="0.25">
      <c r="A1760" s="304" t="s">
        <v>7020</v>
      </c>
      <c r="B1760" s="303" t="str">
        <f t="shared" si="27"/>
        <v>x05000390</v>
      </c>
      <c r="C1760" t="s">
        <v>4</v>
      </c>
      <c r="D1760" t="s">
        <v>7021</v>
      </c>
      <c r="E1760">
        <v>5</v>
      </c>
      <c r="F1760" t="str">
        <f>IF(AND(Entities[[#This Row],[ENT_TYPE]]="County",RIGHT(Entities[[#This Row],[ENT_NAME]],6)&lt;&gt;"County"),_xlfn.TEXTJOIN(" ",TRUE,Entities[[#This Row],[ENT_NAME]],"County"),Entities[[#This Row],[ENT_NAME]])</f>
        <v>Athens MWA</v>
      </c>
    </row>
    <row r="1761" spans="1:6" x14ac:dyDescent="0.25">
      <c r="A1761" s="304" t="s">
        <v>7022</v>
      </c>
      <c r="B1761" s="303" t="str">
        <f t="shared" si="27"/>
        <v>x05000397</v>
      </c>
      <c r="C1761" t="s">
        <v>5166</v>
      </c>
      <c r="D1761" t="s">
        <v>7023</v>
      </c>
      <c r="E1761">
        <v>5</v>
      </c>
      <c r="F1761" t="str">
        <f>IF(AND(Entities[[#This Row],[ENT_TYPE]]="County",RIGHT(Entities[[#This Row],[ENT_NAME]],6)&lt;&gt;"County"),_xlfn.TEXTJOIN(" ",TRUE,Entities[[#This Row],[ENT_NAME]],"County"),Entities[[#This Row],[ENT_NAME]])</f>
        <v>Jefferson County Drainage District 3</v>
      </c>
    </row>
    <row r="1762" spans="1:6" x14ac:dyDescent="0.25">
      <c r="A1762" s="302" t="s">
        <v>7024</v>
      </c>
      <c r="B1762" s="303" t="str">
        <f t="shared" si="27"/>
        <v>x05000416</v>
      </c>
      <c r="C1762" t="s">
        <v>4</v>
      </c>
      <c r="D1762" t="s">
        <v>7025</v>
      </c>
      <c r="E1762">
        <v>5</v>
      </c>
      <c r="F1762" t="str">
        <f>IF(AND(Entities[[#This Row],[ENT_TYPE]]="County",RIGHT(Entities[[#This Row],[ENT_NAME]],6)&lt;&gt;"County"),_xlfn.TEXTJOIN(" ",TRUE,Entities[[#This Row],[ENT_NAME]],"County"),Entities[[#This Row],[ENT_NAME]])</f>
        <v>Idlewood WCID 1</v>
      </c>
    </row>
    <row r="1763" spans="1:6" x14ac:dyDescent="0.25">
      <c r="A1763" s="304" t="s">
        <v>7026</v>
      </c>
      <c r="B1763" s="303" t="str">
        <f t="shared" si="27"/>
        <v>x05000472</v>
      </c>
      <c r="C1763" t="s">
        <v>4</v>
      </c>
      <c r="D1763" t="s">
        <v>7027</v>
      </c>
      <c r="E1763">
        <v>5</v>
      </c>
      <c r="F1763" t="str">
        <f>IF(AND(Entities[[#This Row],[ENT_TYPE]]="County",RIGHT(Entities[[#This Row],[ENT_NAME]],6)&lt;&gt;"County"),_xlfn.TEXTJOIN(" ",TRUE,Entities[[#This Row],[ENT_NAME]],"County"),Entities[[#This Row],[ENT_NAME]])</f>
        <v>Port Bolivar Improvement District</v>
      </c>
    </row>
    <row r="1764" spans="1:6" x14ac:dyDescent="0.25">
      <c r="A1764" s="302" t="s">
        <v>7028</v>
      </c>
      <c r="B1764" s="303" t="str">
        <f t="shared" si="27"/>
        <v>x05000510</v>
      </c>
      <c r="C1764" t="s">
        <v>4</v>
      </c>
      <c r="D1764" t="s">
        <v>7029</v>
      </c>
      <c r="E1764">
        <v>5</v>
      </c>
      <c r="F1764" t="str">
        <f>IF(AND(Entities[[#This Row],[ENT_TYPE]]="County",RIGHT(Entities[[#This Row],[ENT_NAME]],6)&lt;&gt;"County"),_xlfn.TEXTJOIN(" ",TRUE,Entities[[#This Row],[ENT_NAME]],"County"),Entities[[#This Row],[ENT_NAME]])</f>
        <v>Sabine Pass Port Authority</v>
      </c>
    </row>
    <row r="1765" spans="1:6" x14ac:dyDescent="0.25">
      <c r="A1765" s="302" t="s">
        <v>7030</v>
      </c>
      <c r="B1765" s="303" t="str">
        <f t="shared" si="27"/>
        <v>x05000840</v>
      </c>
      <c r="C1765" t="s">
        <v>4</v>
      </c>
      <c r="D1765" t="s">
        <v>7031</v>
      </c>
      <c r="E1765">
        <v>5</v>
      </c>
      <c r="F1765" t="str">
        <f>IF(AND(Entities[[#This Row],[ENT_TYPE]]="County",RIGHT(Entities[[#This Row],[ENT_NAME]],6)&lt;&gt;"County"),_xlfn.TEXTJOIN(" ",TRUE,Entities[[#This Row],[ENT_NAME]],"County"),Entities[[#This Row],[ENT_NAME]])</f>
        <v>Hull FWSD</v>
      </c>
    </row>
    <row r="1766" spans="1:6" x14ac:dyDescent="0.25">
      <c r="A1766" s="304" t="s">
        <v>7032</v>
      </c>
      <c r="B1766" s="303" t="str">
        <f t="shared" si="27"/>
        <v>x05000868</v>
      </c>
      <c r="C1766" t="s">
        <v>4</v>
      </c>
      <c r="D1766" t="s">
        <v>7033</v>
      </c>
      <c r="E1766">
        <v>5</v>
      </c>
      <c r="F1766" t="str">
        <f>IF(AND(Entities[[#This Row],[ENT_TYPE]]="County",RIGHT(Entities[[#This Row],[ENT_NAME]],6)&lt;&gt;"County"),_xlfn.TEXTJOIN(" ",TRUE,Entities[[#This Row],[ENT_NAME]],"County"),Entities[[#This Row],[ENT_NAME]])</f>
        <v>Anderson County FWSD 1</v>
      </c>
    </row>
    <row r="1767" spans="1:6" x14ac:dyDescent="0.25">
      <c r="A1767" s="302" t="s">
        <v>7034</v>
      </c>
      <c r="B1767" s="303" t="str">
        <f t="shared" si="27"/>
        <v>x05000873</v>
      </c>
      <c r="C1767" t="s">
        <v>4</v>
      </c>
      <c r="D1767" t="s">
        <v>7035</v>
      </c>
      <c r="E1767">
        <v>5</v>
      </c>
      <c r="F1767" t="str">
        <f>IF(AND(Entities[[#This Row],[ENT_TYPE]]="County",RIGHT(Entities[[#This Row],[ENT_NAME]],6)&lt;&gt;"County"),_xlfn.TEXTJOIN(" ",TRUE,Entities[[#This Row],[ENT_NAME]],"County"),Entities[[#This Row],[ENT_NAME]])</f>
        <v>Pineland Municipal Water Supply District</v>
      </c>
    </row>
    <row r="1768" spans="1:6" x14ac:dyDescent="0.25">
      <c r="A1768" s="304" t="s">
        <v>7036</v>
      </c>
      <c r="B1768" s="303" t="str">
        <f t="shared" si="27"/>
        <v>x05000888</v>
      </c>
      <c r="C1768" t="s">
        <v>4</v>
      </c>
      <c r="D1768" t="s">
        <v>7037</v>
      </c>
      <c r="E1768">
        <v>5</v>
      </c>
      <c r="F1768" t="str">
        <f>IF(AND(Entities[[#This Row],[ENT_TYPE]]="County",RIGHT(Entities[[#This Row],[ENT_NAME]],6)&lt;&gt;"County"),_xlfn.TEXTJOIN(" ",TRUE,Entities[[#This Row],[ENT_NAME]],"County"),Entities[[#This Row],[ENT_NAME]])</f>
        <v>Hardin County WCID 1</v>
      </c>
    </row>
    <row r="1769" spans="1:6" x14ac:dyDescent="0.25">
      <c r="A1769" s="302" t="s">
        <v>7038</v>
      </c>
      <c r="B1769" s="303" t="str">
        <f t="shared" si="27"/>
        <v>x05000921</v>
      </c>
      <c r="C1769" t="s">
        <v>4</v>
      </c>
      <c r="D1769" t="s">
        <v>7039</v>
      </c>
      <c r="E1769">
        <v>5</v>
      </c>
      <c r="F1769" t="str">
        <f>IF(AND(Entities[[#This Row],[ENT_TYPE]]="County",RIGHT(Entities[[#This Row],[ENT_NAME]],6)&lt;&gt;"County"),_xlfn.TEXTJOIN(" ",TRUE,Entities[[#This Row],[ENT_NAME]],"County"),Entities[[#This Row],[ENT_NAME]])</f>
        <v>Sabine-Neches Navigation District of Jefferson County</v>
      </c>
    </row>
    <row r="1770" spans="1:6" x14ac:dyDescent="0.25">
      <c r="A1770" s="302" t="s">
        <v>7040</v>
      </c>
      <c r="B1770" s="303" t="str">
        <f t="shared" si="27"/>
        <v>x05000941</v>
      </c>
      <c r="C1770" t="s">
        <v>4</v>
      </c>
      <c r="D1770" t="s">
        <v>7041</v>
      </c>
      <c r="E1770">
        <v>5</v>
      </c>
      <c r="F1770" t="str">
        <f>IF(AND(Entities[[#This Row],[ENT_TYPE]]="County",RIGHT(Entities[[#This Row],[ENT_NAME]],6)&lt;&gt;"County"),_xlfn.TEXTJOIN(" ",TRUE,Entities[[#This Row],[ENT_NAME]],"County"),Entities[[#This Row],[ENT_NAME]])</f>
        <v>Nacogdoches County MUD 1</v>
      </c>
    </row>
    <row r="1771" spans="1:6" x14ac:dyDescent="0.25">
      <c r="A1771" s="302" t="s">
        <v>7042</v>
      </c>
      <c r="B1771" s="303" t="str">
        <f t="shared" si="27"/>
        <v>x05001097</v>
      </c>
      <c r="C1771" t="s">
        <v>4</v>
      </c>
      <c r="D1771" t="s">
        <v>7043</v>
      </c>
      <c r="E1771">
        <v>5</v>
      </c>
      <c r="F1771" t="str">
        <f>IF(AND(Entities[[#This Row],[ENT_TYPE]]="County",RIGHT(Entities[[#This Row],[ENT_NAME]],6)&lt;&gt;"County"),_xlfn.TEXTJOIN(" ",TRUE,Entities[[#This Row],[ENT_NAME]],"County"),Entities[[#This Row],[ENT_NAME]])</f>
        <v>Emerald Bay MUD</v>
      </c>
    </row>
    <row r="1772" spans="1:6" x14ac:dyDescent="0.25">
      <c r="A1772" s="304" t="s">
        <v>7044</v>
      </c>
      <c r="B1772" s="303" t="str">
        <f t="shared" si="27"/>
        <v>x05001246</v>
      </c>
      <c r="C1772" t="s">
        <v>4</v>
      </c>
      <c r="D1772" t="s">
        <v>7045</v>
      </c>
      <c r="E1772">
        <v>5</v>
      </c>
      <c r="F1772" t="str">
        <f>IF(AND(Entities[[#This Row],[ENT_TYPE]]="County",RIGHT(Entities[[#This Row],[ENT_NAME]],6)&lt;&gt;"County"),_xlfn.TEXTJOIN(" ",TRUE,Entities[[#This Row],[ENT_NAME]],"County"),Entities[[#This Row],[ENT_NAME]])</f>
        <v>Smith Road WCID 1 of Jefferson County</v>
      </c>
    </row>
    <row r="1773" spans="1:6" x14ac:dyDescent="0.25">
      <c r="A1773" s="302" t="s">
        <v>7046</v>
      </c>
      <c r="B1773" s="303" t="str">
        <f t="shared" si="27"/>
        <v>x05001352</v>
      </c>
      <c r="C1773" t="s">
        <v>4</v>
      </c>
      <c r="D1773" t="s">
        <v>7047</v>
      </c>
      <c r="E1773">
        <v>5</v>
      </c>
      <c r="F1773" t="str">
        <f>IF(AND(Entities[[#This Row],[ENT_TYPE]]="County",RIGHT(Entities[[#This Row],[ENT_NAME]],6)&lt;&gt;"County"),_xlfn.TEXTJOIN(" ",TRUE,Entities[[#This Row],[ENT_NAME]],"County"),Entities[[#This Row],[ENT_NAME]])</f>
        <v>Bolivar Peninsula SUD</v>
      </c>
    </row>
    <row r="1774" spans="1:6" x14ac:dyDescent="0.25">
      <c r="A1774" s="304" t="s">
        <v>7048</v>
      </c>
      <c r="B1774" s="303" t="str">
        <f t="shared" si="27"/>
        <v>x05001360</v>
      </c>
      <c r="C1774" t="s">
        <v>4</v>
      </c>
      <c r="D1774" t="s">
        <v>7049</v>
      </c>
      <c r="E1774">
        <v>5</v>
      </c>
      <c r="F1774" t="str">
        <f>IF(AND(Entities[[#This Row],[ENT_TYPE]]="County",RIGHT(Entities[[#This Row],[ENT_NAME]],6)&lt;&gt;"County"),_xlfn.TEXTJOIN(" ",TRUE,Entities[[#This Row],[ENT_NAME]],"County"),Entities[[#This Row],[ENT_NAME]])</f>
        <v>Jefferson County Navigation District</v>
      </c>
    </row>
    <row r="1775" spans="1:6" x14ac:dyDescent="0.25">
      <c r="A1775" s="302" t="s">
        <v>7050</v>
      </c>
      <c r="B1775" s="303" t="str">
        <f t="shared" si="27"/>
        <v>x05001361</v>
      </c>
      <c r="C1775" t="s">
        <v>4</v>
      </c>
      <c r="D1775" t="s">
        <v>7051</v>
      </c>
      <c r="E1775">
        <v>5</v>
      </c>
      <c r="F1775" t="str">
        <f>IF(AND(Entities[[#This Row],[ENT_TYPE]]="County",RIGHT(Entities[[#This Row],[ENT_NAME]],6)&lt;&gt;"County"),_xlfn.TEXTJOIN(" ",TRUE,Entities[[#This Row],[ENT_NAME]],"County"),Entities[[#This Row],[ENT_NAME]])</f>
        <v>Jefferson County WCID 14</v>
      </c>
    </row>
    <row r="1776" spans="1:6" x14ac:dyDescent="0.25">
      <c r="A1776" s="304" t="s">
        <v>7052</v>
      </c>
      <c r="B1776" s="303" t="str">
        <f t="shared" si="27"/>
        <v>x05001362</v>
      </c>
      <c r="C1776" t="s">
        <v>4</v>
      </c>
      <c r="D1776" t="s">
        <v>7053</v>
      </c>
      <c r="E1776">
        <v>5</v>
      </c>
      <c r="F1776" t="str">
        <f>IF(AND(Entities[[#This Row],[ENT_TYPE]]="County",RIGHT(Entities[[#This Row],[ENT_NAME]],6)&lt;&gt;"County"),_xlfn.TEXTJOIN(" ",TRUE,Entities[[#This Row],[ENT_NAME]],"County"),Entities[[#This Row],[ENT_NAME]])</f>
        <v>Port of Port Arthur Navigation District</v>
      </c>
    </row>
    <row r="1777" spans="1:6" x14ac:dyDescent="0.25">
      <c r="A1777" s="302" t="s">
        <v>7054</v>
      </c>
      <c r="B1777" s="303" t="str">
        <f t="shared" si="27"/>
        <v>x05001363</v>
      </c>
      <c r="C1777" t="s">
        <v>4</v>
      </c>
      <c r="D1777" t="s">
        <v>7055</v>
      </c>
      <c r="E1777">
        <v>5</v>
      </c>
      <c r="F1777" t="str">
        <f>IF(AND(Entities[[#This Row],[ENT_TYPE]]="County",RIGHT(Entities[[#This Row],[ENT_NAME]],6)&lt;&gt;"County"),_xlfn.TEXTJOIN(" ",TRUE,Entities[[#This Row],[ENT_NAME]],"County"),Entities[[#This Row],[ENT_NAME]])</f>
        <v>Northwest Forest MUD</v>
      </c>
    </row>
    <row r="1778" spans="1:6" x14ac:dyDescent="0.25">
      <c r="A1778" s="304" t="s">
        <v>7056</v>
      </c>
      <c r="B1778" s="303" t="str">
        <f t="shared" si="27"/>
        <v>x05001509</v>
      </c>
      <c r="C1778" t="s">
        <v>4</v>
      </c>
      <c r="D1778" t="s">
        <v>7057</v>
      </c>
      <c r="E1778">
        <v>5</v>
      </c>
      <c r="F1778" t="str">
        <f>IF(AND(Entities[[#This Row],[ENT_TYPE]]="County",RIGHT(Entities[[#This Row],[ENT_NAME]],6)&lt;&gt;"County"),_xlfn.TEXTJOIN(" ",TRUE,Entities[[#This Row],[ENT_NAME]],"County"),Entities[[#This Row],[ENT_NAME]])</f>
        <v>Cade Ranch WCID 1</v>
      </c>
    </row>
    <row r="1779" spans="1:6" x14ac:dyDescent="0.25">
      <c r="A1779" s="304" t="s">
        <v>7058</v>
      </c>
      <c r="B1779" s="303" t="str">
        <f t="shared" si="27"/>
        <v>x05001540</v>
      </c>
      <c r="C1779" t="s">
        <v>4</v>
      </c>
      <c r="D1779" t="s">
        <v>7059</v>
      </c>
      <c r="E1779">
        <v>5</v>
      </c>
      <c r="F1779" t="str">
        <f>IF(AND(Entities[[#This Row],[ENT_TYPE]]="County",RIGHT(Entities[[#This Row],[ENT_NAME]],6)&lt;&gt;"County"),_xlfn.TEXTJOIN(" ",TRUE,Entities[[#This Row],[ENT_NAME]],"County"),Entities[[#This Row],[ENT_NAME]])</f>
        <v>Evadale WCID 1</v>
      </c>
    </row>
    <row r="1780" spans="1:6" x14ac:dyDescent="0.25">
      <c r="A1780" s="302" t="s">
        <v>7060</v>
      </c>
      <c r="B1780" s="303" t="str">
        <f t="shared" si="27"/>
        <v>x05001570</v>
      </c>
      <c r="C1780" t="s">
        <v>4</v>
      </c>
      <c r="D1780" t="s">
        <v>7061</v>
      </c>
      <c r="E1780">
        <v>5</v>
      </c>
      <c r="F1780" t="str">
        <f>IF(AND(Entities[[#This Row],[ENT_TYPE]]="County",RIGHT(Entities[[#This Row],[ENT_NAME]],6)&lt;&gt;"County"),_xlfn.TEXTJOIN(" ",TRUE,Entities[[#This Row],[ENT_NAME]],"County"),Entities[[#This Row],[ENT_NAME]])</f>
        <v>West Jefferson County Municipal Water District</v>
      </c>
    </row>
    <row r="1781" spans="1:6" x14ac:dyDescent="0.25">
      <c r="A1781" s="304" t="s">
        <v>7062</v>
      </c>
      <c r="B1781" s="303" t="str">
        <f t="shared" si="27"/>
        <v>x05001571</v>
      </c>
      <c r="C1781" t="s">
        <v>4</v>
      </c>
      <c r="D1781" t="s">
        <v>7063</v>
      </c>
      <c r="E1781">
        <v>5</v>
      </c>
      <c r="F1781" t="str">
        <f>IF(AND(Entities[[#This Row],[ENT_TYPE]]="County",RIGHT(Entities[[#This Row],[ENT_NAME]],6)&lt;&gt;"County"),_xlfn.TEXTJOIN(" ",TRUE,Entities[[#This Row],[ENT_NAME]],"County"),Entities[[#This Row],[ENT_NAME]])</f>
        <v>Meeker Municipal Water District</v>
      </c>
    </row>
    <row r="1782" spans="1:6" x14ac:dyDescent="0.25">
      <c r="A1782" s="304" t="s">
        <v>7064</v>
      </c>
      <c r="B1782" s="303" t="str">
        <f t="shared" si="27"/>
        <v>x05001585</v>
      </c>
      <c r="C1782" t="s">
        <v>5166</v>
      </c>
      <c r="D1782" t="s">
        <v>7065</v>
      </c>
      <c r="E1782">
        <v>5</v>
      </c>
      <c r="F1782" t="str">
        <f>IF(AND(Entities[[#This Row],[ENT_TYPE]]="County",RIGHT(Entities[[#This Row],[ENT_NAME]],6)&lt;&gt;"County"),_xlfn.TEXTJOIN(" ",TRUE,Entities[[#This Row],[ENT_NAME]],"County"),Entities[[#This Row],[ENT_NAME]])</f>
        <v>Jefferson County Drainage District 7</v>
      </c>
    </row>
    <row r="1783" spans="1:6" x14ac:dyDescent="0.25">
      <c r="A1783" s="302" t="s">
        <v>7066</v>
      </c>
      <c r="B1783" s="303" t="str">
        <f t="shared" si="27"/>
        <v>x05001635</v>
      </c>
      <c r="C1783" t="s">
        <v>4</v>
      </c>
      <c r="D1783" t="s">
        <v>7067</v>
      </c>
      <c r="E1783">
        <v>5</v>
      </c>
      <c r="F1783" t="str">
        <f>IF(AND(Entities[[#This Row],[ENT_TYPE]]="County",RIGHT(Entities[[#This Row],[ENT_NAME]],6)&lt;&gt;"County"),_xlfn.TEXTJOIN(" ",TRUE,Entities[[#This Row],[ENT_NAME]],"County"),Entities[[#This Row],[ENT_NAME]])</f>
        <v>Central WCID of Angelina County</v>
      </c>
    </row>
    <row r="1784" spans="1:6" x14ac:dyDescent="0.25">
      <c r="A1784" s="304" t="s">
        <v>7068</v>
      </c>
      <c r="B1784" s="303" t="str">
        <f t="shared" si="27"/>
        <v>x05001639</v>
      </c>
      <c r="C1784" t="s">
        <v>4</v>
      </c>
      <c r="D1784" t="s">
        <v>7069</v>
      </c>
      <c r="E1784">
        <v>5</v>
      </c>
      <c r="F1784" t="str">
        <f>IF(AND(Entities[[#This Row],[ENT_TYPE]]="County",RIGHT(Entities[[#This Row],[ENT_NAME]],6)&lt;&gt;"County"),_xlfn.TEXTJOIN(" ",TRUE,Entities[[#This Row],[ENT_NAME]],"County"),Entities[[#This Row],[ENT_NAME]])</f>
        <v>Cardinal Meadows Improvement District</v>
      </c>
    </row>
    <row r="1785" spans="1:6" x14ac:dyDescent="0.25">
      <c r="A1785" s="302" t="s">
        <v>7070</v>
      </c>
      <c r="B1785" s="303" t="str">
        <f t="shared" si="27"/>
        <v>x05001676</v>
      </c>
      <c r="C1785" t="s">
        <v>4</v>
      </c>
      <c r="D1785" t="s">
        <v>7071</v>
      </c>
      <c r="E1785">
        <v>5</v>
      </c>
      <c r="F1785" t="str">
        <f>IF(AND(Entities[[#This Row],[ENT_TYPE]]="County",RIGHT(Entities[[#This Row],[ENT_NAME]],6)&lt;&gt;"County"),_xlfn.TEXTJOIN(" ",TRUE,Entities[[#This Row],[ENT_NAME]],"County"),Entities[[#This Row],[ENT_NAME]])</f>
        <v>Rayburn Country MUD</v>
      </c>
    </row>
    <row r="1786" spans="1:6" x14ac:dyDescent="0.25">
      <c r="A1786" s="302" t="s">
        <v>7072</v>
      </c>
      <c r="B1786" s="303" t="str">
        <f t="shared" si="27"/>
        <v>x05001731</v>
      </c>
      <c r="C1786" t="s">
        <v>5166</v>
      </c>
      <c r="D1786" t="s">
        <v>7073</v>
      </c>
      <c r="E1786">
        <v>5</v>
      </c>
      <c r="F1786" t="str">
        <f>IF(AND(Entities[[#This Row],[ENT_TYPE]]="County",RIGHT(Entities[[#This Row],[ENT_NAME]],6)&lt;&gt;"County"),_xlfn.TEXTJOIN(" ",TRUE,Entities[[#This Row],[ENT_NAME]],"County"),Entities[[#This Row],[ENT_NAME]])</f>
        <v>Jefferson County Drainage District 6</v>
      </c>
    </row>
    <row r="1787" spans="1:6" x14ac:dyDescent="0.25">
      <c r="A1787" s="302" t="s">
        <v>7074</v>
      </c>
      <c r="B1787" s="303" t="str">
        <f t="shared" si="27"/>
        <v>x05001935</v>
      </c>
      <c r="C1787" t="s">
        <v>4</v>
      </c>
      <c r="D1787" t="s">
        <v>7075</v>
      </c>
      <c r="E1787">
        <v>5</v>
      </c>
      <c r="F1787" t="str">
        <f>IF(AND(Entities[[#This Row],[ENT_TYPE]]="County",RIGHT(Entities[[#This Row],[ENT_NAME]],6)&lt;&gt;"County"),_xlfn.TEXTJOIN(" ",TRUE,Entities[[#This Row],[ENT_NAME]],"County"),Entities[[#This Row],[ENT_NAME]])</f>
        <v>Jefferson County WCID 10</v>
      </c>
    </row>
    <row r="1788" spans="1:6" x14ac:dyDescent="0.25">
      <c r="A1788" s="304" t="s">
        <v>7076</v>
      </c>
      <c r="B1788" s="303" t="str">
        <f t="shared" si="27"/>
        <v>x05001969</v>
      </c>
      <c r="C1788" t="s">
        <v>4</v>
      </c>
      <c r="D1788" t="s">
        <v>7077</v>
      </c>
      <c r="E1788">
        <v>5</v>
      </c>
      <c r="F1788" t="str">
        <f>IF(AND(Entities[[#This Row],[ENT_TYPE]]="County",RIGHT(Entities[[#This Row],[ENT_NAME]],6)&lt;&gt;"County"),_xlfn.TEXTJOIN(" ",TRUE,Entities[[#This Row],[ENT_NAME]],"County"),Entities[[#This Row],[ENT_NAME]])</f>
        <v>Lumberton MUD</v>
      </c>
    </row>
    <row r="1789" spans="1:6" x14ac:dyDescent="0.25">
      <c r="A1789" s="302" t="s">
        <v>7078</v>
      </c>
      <c r="B1789" s="303" t="str">
        <f t="shared" si="27"/>
        <v>x05002110</v>
      </c>
      <c r="C1789" t="s">
        <v>4</v>
      </c>
      <c r="D1789" t="s">
        <v>7079</v>
      </c>
      <c r="E1789">
        <v>5</v>
      </c>
      <c r="F1789" t="str">
        <f>IF(AND(Entities[[#This Row],[ENT_TYPE]]="County",RIGHT(Entities[[#This Row],[ENT_NAME]],6)&lt;&gt;"County"),_xlfn.TEXTJOIN(" ",TRUE,Entities[[#This Row],[ENT_NAME]],"County"),Entities[[#This Row],[ENT_NAME]])</f>
        <v>Brookeland MUD</v>
      </c>
    </row>
    <row r="1790" spans="1:6" x14ac:dyDescent="0.25">
      <c r="A1790" s="304" t="s">
        <v>7080</v>
      </c>
      <c r="B1790" s="303" t="str">
        <f t="shared" si="27"/>
        <v>x05002231</v>
      </c>
      <c r="C1790" t="s">
        <v>4</v>
      </c>
      <c r="D1790" t="s">
        <v>7081</v>
      </c>
      <c r="E1790">
        <v>5</v>
      </c>
      <c r="F1790" t="str">
        <f>IF(AND(Entities[[#This Row],[ENT_TYPE]]="County",RIGHT(Entities[[#This Row],[ENT_NAME]],6)&lt;&gt;"County"),_xlfn.TEXTJOIN(" ",TRUE,Entities[[#This Row],[ENT_NAME]],"County"),Entities[[#This Row],[ENT_NAME]])</f>
        <v>Beaumont Municipal Management District 1</v>
      </c>
    </row>
    <row r="1791" spans="1:6" x14ac:dyDescent="0.25">
      <c r="A1791" s="302" t="s">
        <v>7082</v>
      </c>
      <c r="B1791" s="303" t="str">
        <f t="shared" si="27"/>
        <v>x05002273</v>
      </c>
      <c r="C1791" t="s">
        <v>4</v>
      </c>
      <c r="D1791" t="s">
        <v>7083</v>
      </c>
      <c r="E1791">
        <v>5</v>
      </c>
      <c r="F1791" t="str">
        <f>IF(AND(Entities[[#This Row],[ENT_TYPE]]="County",RIGHT(Entities[[#This Row],[ENT_NAME]],6)&lt;&gt;"County"),_xlfn.TEXTJOIN(" ",TRUE,Entities[[#This Row],[ENT_NAME]],"County"),Entities[[#This Row],[ENT_NAME]])</f>
        <v>Angelina County FWSD 1</v>
      </c>
    </row>
    <row r="1792" spans="1:6" x14ac:dyDescent="0.25">
      <c r="A1792" s="304" t="s">
        <v>2621</v>
      </c>
      <c r="B1792" s="303" t="str">
        <f t="shared" si="27"/>
        <v>x05002480</v>
      </c>
      <c r="C1792" t="s">
        <v>5458</v>
      </c>
      <c r="D1792" t="s">
        <v>7084</v>
      </c>
      <c r="E1792">
        <v>5</v>
      </c>
      <c r="F1792" t="str">
        <f>IF(AND(Entities[[#This Row],[ENT_TYPE]]="County",RIGHT(Entities[[#This Row],[ENT_NAME]],6)&lt;&gt;"County"),_xlfn.TEXTJOIN(" ",TRUE,Entities[[#This Row],[ENT_NAME]],"County"),Entities[[#This Row],[ENT_NAME]])</f>
        <v>Daisetta</v>
      </c>
    </row>
    <row r="1793" spans="1:6" x14ac:dyDescent="0.25">
      <c r="A1793" s="302" t="s">
        <v>2891</v>
      </c>
      <c r="B1793" s="303" t="str">
        <f t="shared" si="27"/>
        <v>x05002488</v>
      </c>
      <c r="C1793" t="s">
        <v>5458</v>
      </c>
      <c r="D1793" t="s">
        <v>7085</v>
      </c>
      <c r="E1793">
        <v>5</v>
      </c>
      <c r="F1793" t="str">
        <f>IF(AND(Entities[[#This Row],[ENT_TYPE]]="County",RIGHT(Entities[[#This Row],[ENT_NAME]],6)&lt;&gt;"County"),_xlfn.TEXTJOIN(" ",TRUE,Entities[[#This Row],[ENT_NAME]],"County"),Entities[[#This Row],[ENT_NAME]])</f>
        <v>Lumberton</v>
      </c>
    </row>
    <row r="1794" spans="1:6" x14ac:dyDescent="0.25">
      <c r="A1794" s="304" t="s">
        <v>7086</v>
      </c>
      <c r="B1794" s="303" t="str">
        <f t="shared" ref="B1794:B1857" si="28">_xlfn.CONCAT("x",TEXT(A1794,"00000000"))</f>
        <v>x05002504</v>
      </c>
      <c r="C1794" t="s">
        <v>5458</v>
      </c>
      <c r="D1794" t="s">
        <v>7087</v>
      </c>
      <c r="E1794">
        <v>5</v>
      </c>
      <c r="F1794" t="str">
        <f>IF(AND(Entities[[#This Row],[ENT_TYPE]]="County",RIGHT(Entities[[#This Row],[ENT_NAME]],6)&lt;&gt;"County"),_xlfn.TEXTJOIN(" ",TRUE,Entities[[#This Row],[ENT_NAME]],"County"),Entities[[#This Row],[ENT_NAME]])</f>
        <v>Garrison</v>
      </c>
    </row>
    <row r="1795" spans="1:6" x14ac:dyDescent="0.25">
      <c r="A1795" s="302" t="s">
        <v>2774</v>
      </c>
      <c r="B1795" s="303" t="str">
        <f t="shared" si="28"/>
        <v>x05002532</v>
      </c>
      <c r="C1795" t="s">
        <v>5458</v>
      </c>
      <c r="D1795" t="s">
        <v>7088</v>
      </c>
      <c r="E1795">
        <v>5</v>
      </c>
      <c r="F1795" t="str">
        <f>IF(AND(Entities[[#This Row],[ENT_TYPE]]="County",RIGHT(Entities[[#This Row],[ENT_NAME]],6)&lt;&gt;"County"),_xlfn.TEXTJOIN(" ",TRUE,Entities[[#This Row],[ENT_NAME]],"County"),Entities[[#This Row],[ENT_NAME]])</f>
        <v>Kennard</v>
      </c>
    </row>
    <row r="1796" spans="1:6" x14ac:dyDescent="0.25">
      <c r="A1796" s="304" t="s">
        <v>7089</v>
      </c>
      <c r="B1796" s="303" t="str">
        <f t="shared" si="28"/>
        <v>x05002575</v>
      </c>
      <c r="C1796" t="s">
        <v>5458</v>
      </c>
      <c r="D1796" t="s">
        <v>7090</v>
      </c>
      <c r="E1796">
        <v>5</v>
      </c>
      <c r="F1796" t="str">
        <f>IF(AND(Entities[[#This Row],[ENT_TYPE]]="County",RIGHT(Entities[[#This Row],[ENT_NAME]],6)&lt;&gt;"County"),_xlfn.TEXTJOIN(" ",TRUE,Entities[[#This Row],[ENT_NAME]],"County"),Entities[[#This Row],[ENT_NAME]])</f>
        <v>Colmesneil</v>
      </c>
    </row>
    <row r="1797" spans="1:6" x14ac:dyDescent="0.25">
      <c r="A1797" s="304" t="s">
        <v>7091</v>
      </c>
      <c r="B1797" s="303" t="str">
        <f t="shared" si="28"/>
        <v>x05002672</v>
      </c>
      <c r="C1797" t="s">
        <v>5458</v>
      </c>
      <c r="D1797" t="s">
        <v>7092</v>
      </c>
      <c r="E1797">
        <v>5</v>
      </c>
      <c r="F1797" t="str">
        <f>IF(AND(Entities[[#This Row],[ENT_TYPE]]="County",RIGHT(Entities[[#This Row],[ENT_NAME]],6)&lt;&gt;"County"),_xlfn.TEXTJOIN(" ",TRUE,Entities[[#This Row],[ENT_NAME]],"County"),Entities[[#This Row],[ENT_NAME]])</f>
        <v>Bullard</v>
      </c>
    </row>
    <row r="1798" spans="1:6" x14ac:dyDescent="0.25">
      <c r="A1798" s="302" t="s">
        <v>7093</v>
      </c>
      <c r="B1798" s="303" t="str">
        <f t="shared" si="28"/>
        <v>x05002673</v>
      </c>
      <c r="C1798" t="s">
        <v>5458</v>
      </c>
      <c r="D1798" t="s">
        <v>7094</v>
      </c>
      <c r="E1798">
        <v>5</v>
      </c>
      <c r="F1798" t="str">
        <f>IF(AND(Entities[[#This Row],[ENT_TYPE]]="County",RIGHT(Entities[[#This Row],[ENT_NAME]],6)&lt;&gt;"County"),_xlfn.TEXTJOIN(" ",TRUE,Entities[[#This Row],[ENT_NAME]],"County"),Entities[[#This Row],[ENT_NAME]])</f>
        <v>Troup</v>
      </c>
    </row>
    <row r="1799" spans="1:6" x14ac:dyDescent="0.25">
      <c r="A1799" s="304" t="s">
        <v>7095</v>
      </c>
      <c r="B1799" s="303" t="str">
        <f t="shared" si="28"/>
        <v>x05002707</v>
      </c>
      <c r="C1799" t="s">
        <v>5458</v>
      </c>
      <c r="D1799" t="s">
        <v>7096</v>
      </c>
      <c r="E1799">
        <v>5</v>
      </c>
      <c r="F1799" t="str">
        <f>IF(AND(Entities[[#This Row],[ENT_TYPE]]="County",RIGHT(Entities[[#This Row],[ENT_NAME]],6)&lt;&gt;"County"),_xlfn.TEXTJOIN(" ",TRUE,Entities[[#This Row],[ENT_NAME]],"County"),Entities[[#This Row],[ENT_NAME]])</f>
        <v>Edom</v>
      </c>
    </row>
    <row r="1800" spans="1:6" x14ac:dyDescent="0.25">
      <c r="A1800" s="302" t="s">
        <v>7097</v>
      </c>
      <c r="B1800" s="303" t="str">
        <f t="shared" si="28"/>
        <v>x05002769</v>
      </c>
      <c r="C1800" t="s">
        <v>5458</v>
      </c>
      <c r="D1800" t="s">
        <v>7098</v>
      </c>
      <c r="E1800">
        <v>5</v>
      </c>
      <c r="F1800" t="str">
        <f>IF(AND(Entities[[#This Row],[ENT_TYPE]]="County",RIGHT(Entities[[#This Row],[ENT_NAME]],6)&lt;&gt;"County"),_xlfn.TEXTJOIN(" ",TRUE,Entities[[#This Row],[ENT_NAME]],"County"),Entities[[#This Row],[ENT_NAME]])</f>
        <v>Beaumont</v>
      </c>
    </row>
    <row r="1801" spans="1:6" x14ac:dyDescent="0.25">
      <c r="A1801" s="304" t="s">
        <v>7099</v>
      </c>
      <c r="B1801" s="303" t="str">
        <f t="shared" si="28"/>
        <v>x05002807</v>
      </c>
      <c r="C1801" t="s">
        <v>5458</v>
      </c>
      <c r="D1801" t="s">
        <v>7100</v>
      </c>
      <c r="E1801">
        <v>5</v>
      </c>
      <c r="F1801" t="str">
        <f>IF(AND(Entities[[#This Row],[ENT_TYPE]]="County",RIGHT(Entities[[#This Row],[ENT_NAME]],6)&lt;&gt;"County"),_xlfn.TEXTJOIN(" ",TRUE,Entities[[#This Row],[ENT_NAME]],"County"),Entities[[#This Row],[ENT_NAME]])</f>
        <v>Hudson</v>
      </c>
    </row>
    <row r="1802" spans="1:6" x14ac:dyDescent="0.25">
      <c r="A1802" s="304" t="s">
        <v>7101</v>
      </c>
      <c r="B1802" s="303" t="str">
        <f t="shared" si="28"/>
        <v>x05002828</v>
      </c>
      <c r="C1802" t="s">
        <v>5458</v>
      </c>
      <c r="D1802" t="s">
        <v>7102</v>
      </c>
      <c r="E1802">
        <v>5</v>
      </c>
      <c r="F1802" t="str">
        <f>IF(AND(Entities[[#This Row],[ENT_TYPE]]="County",RIGHT(Entities[[#This Row],[ENT_NAME]],6)&lt;&gt;"County"),_xlfn.TEXTJOIN(" ",TRUE,Entities[[#This Row],[ENT_NAME]],"County"),Entities[[#This Row],[ENT_NAME]])</f>
        <v>Moore Station</v>
      </c>
    </row>
    <row r="1803" spans="1:6" x14ac:dyDescent="0.25">
      <c r="A1803" s="302" t="s">
        <v>7103</v>
      </c>
      <c r="B1803" s="303" t="str">
        <f t="shared" si="28"/>
        <v>x05002839</v>
      </c>
      <c r="C1803" t="s">
        <v>5458</v>
      </c>
      <c r="D1803" t="s">
        <v>7104</v>
      </c>
      <c r="E1803">
        <v>5</v>
      </c>
      <c r="F1803" t="str">
        <f>IF(AND(Entities[[#This Row],[ENT_TYPE]]="County",RIGHT(Entities[[#This Row],[ENT_NAME]],6)&lt;&gt;"County"),_xlfn.TEXTJOIN(" ",TRUE,Entities[[#This Row],[ENT_NAME]],"County"),Entities[[#This Row],[ENT_NAME]])</f>
        <v>China</v>
      </c>
    </row>
    <row r="1804" spans="1:6" x14ac:dyDescent="0.25">
      <c r="A1804" s="304" t="s">
        <v>7105</v>
      </c>
      <c r="B1804" s="303" t="str">
        <f t="shared" si="28"/>
        <v>x05002840</v>
      </c>
      <c r="C1804" t="s">
        <v>5458</v>
      </c>
      <c r="D1804" t="s">
        <v>7106</v>
      </c>
      <c r="E1804">
        <v>5</v>
      </c>
      <c r="F1804" t="str">
        <f>IF(AND(Entities[[#This Row],[ENT_TYPE]]="County",RIGHT(Entities[[#This Row],[ENT_NAME]],6)&lt;&gt;"County"),_xlfn.TEXTJOIN(" ",TRUE,Entities[[#This Row],[ENT_NAME]],"County"),Entities[[#This Row],[ENT_NAME]])</f>
        <v>Groves</v>
      </c>
    </row>
    <row r="1805" spans="1:6" x14ac:dyDescent="0.25">
      <c r="A1805" s="302" t="s">
        <v>7107</v>
      </c>
      <c r="B1805" s="303" t="str">
        <f t="shared" si="28"/>
        <v>x05002841</v>
      </c>
      <c r="C1805" t="s">
        <v>5458</v>
      </c>
      <c r="D1805" t="s">
        <v>7108</v>
      </c>
      <c r="E1805">
        <v>5</v>
      </c>
      <c r="F1805" t="str">
        <f>IF(AND(Entities[[#This Row],[ENT_TYPE]]="County",RIGHT(Entities[[#This Row],[ENT_NAME]],6)&lt;&gt;"County"),_xlfn.TEXTJOIN(" ",TRUE,Entities[[#This Row],[ENT_NAME]],"County"),Entities[[#This Row],[ENT_NAME]])</f>
        <v>Nome</v>
      </c>
    </row>
    <row r="1806" spans="1:6" x14ac:dyDescent="0.25">
      <c r="A1806" s="304" t="s">
        <v>7109</v>
      </c>
      <c r="B1806" s="303" t="str">
        <f t="shared" si="28"/>
        <v>x05002843</v>
      </c>
      <c r="C1806" t="s">
        <v>5458</v>
      </c>
      <c r="D1806" t="s">
        <v>7110</v>
      </c>
      <c r="E1806">
        <v>5</v>
      </c>
      <c r="F1806" t="str">
        <f>IF(AND(Entities[[#This Row],[ENT_TYPE]]="County",RIGHT(Entities[[#This Row],[ENT_NAME]],6)&lt;&gt;"County"),_xlfn.TEXTJOIN(" ",TRUE,Entities[[#This Row],[ENT_NAME]],"County"),Entities[[#This Row],[ENT_NAME]])</f>
        <v>Taylor Landing</v>
      </c>
    </row>
    <row r="1807" spans="1:6" x14ac:dyDescent="0.25">
      <c r="A1807" s="302" t="s">
        <v>2820</v>
      </c>
      <c r="B1807" s="303" t="str">
        <f t="shared" si="28"/>
        <v>x05002862</v>
      </c>
      <c r="C1807" t="s">
        <v>5458</v>
      </c>
      <c r="D1807" t="s">
        <v>7111</v>
      </c>
      <c r="E1807">
        <v>5</v>
      </c>
      <c r="F1807" t="str">
        <f>IF(AND(Entities[[#This Row],[ENT_TYPE]]="County",RIGHT(Entities[[#This Row],[ENT_NAME]],6)&lt;&gt;"County"),_xlfn.TEXTJOIN(" ",TRUE,Entities[[#This Row],[ENT_NAME]],"County"),Entities[[#This Row],[ENT_NAME]])</f>
        <v>Alto</v>
      </c>
    </row>
    <row r="1808" spans="1:6" x14ac:dyDescent="0.25">
      <c r="A1808" s="304" t="s">
        <v>7112</v>
      </c>
      <c r="B1808" s="303" t="str">
        <f t="shared" si="28"/>
        <v>x05002863</v>
      </c>
      <c r="C1808" t="s">
        <v>5458</v>
      </c>
      <c r="D1808" t="s">
        <v>7113</v>
      </c>
      <c r="E1808">
        <v>5</v>
      </c>
      <c r="F1808" t="str">
        <f>IF(AND(Entities[[#This Row],[ENT_TYPE]]="County",RIGHT(Entities[[#This Row],[ENT_NAME]],6)&lt;&gt;"County"),_xlfn.TEXTJOIN(" ",TRUE,Entities[[#This Row],[ENT_NAME]],"County"),Entities[[#This Row],[ENT_NAME]])</f>
        <v>Cuney</v>
      </c>
    </row>
    <row r="1809" spans="1:6" x14ac:dyDescent="0.25">
      <c r="A1809" s="302" t="s">
        <v>7114</v>
      </c>
      <c r="B1809" s="303" t="str">
        <f t="shared" si="28"/>
        <v>x05002865</v>
      </c>
      <c r="C1809" t="s">
        <v>5458</v>
      </c>
      <c r="D1809" t="s">
        <v>7115</v>
      </c>
      <c r="E1809">
        <v>5</v>
      </c>
      <c r="F1809" t="str">
        <f>IF(AND(Entities[[#This Row],[ENT_TYPE]]="County",RIGHT(Entities[[#This Row],[ENT_NAME]],6)&lt;&gt;"County"),_xlfn.TEXTJOIN(" ",TRUE,Entities[[#This Row],[ENT_NAME]],"County"),Entities[[#This Row],[ENT_NAME]])</f>
        <v>New Summerfield</v>
      </c>
    </row>
    <row r="1810" spans="1:6" x14ac:dyDescent="0.25">
      <c r="A1810" s="304" t="s">
        <v>2612</v>
      </c>
      <c r="B1810" s="303" t="str">
        <f t="shared" si="28"/>
        <v>x05002866</v>
      </c>
      <c r="C1810" t="s">
        <v>5458</v>
      </c>
      <c r="D1810" t="s">
        <v>7116</v>
      </c>
      <c r="E1810">
        <v>5</v>
      </c>
      <c r="F1810" t="str">
        <f>IF(AND(Entities[[#This Row],[ENT_TYPE]]="County",RIGHT(Entities[[#This Row],[ENT_NAME]],6)&lt;&gt;"County"),_xlfn.TEXTJOIN(" ",TRUE,Entities[[#This Row],[ENT_NAME]],"County"),Entities[[#This Row],[ENT_NAME]])</f>
        <v>Reklaw</v>
      </c>
    </row>
    <row r="1811" spans="1:6" x14ac:dyDescent="0.25">
      <c r="A1811" s="302" t="s">
        <v>2714</v>
      </c>
      <c r="B1811" s="303" t="str">
        <f t="shared" si="28"/>
        <v>x05002867</v>
      </c>
      <c r="C1811" t="s">
        <v>5458</v>
      </c>
      <c r="D1811" t="s">
        <v>2591</v>
      </c>
      <c r="E1811">
        <v>5</v>
      </c>
      <c r="F1811" t="str">
        <f>IF(AND(Entities[[#This Row],[ENT_TYPE]]="County",RIGHT(Entities[[#This Row],[ENT_NAME]],6)&lt;&gt;"County"),_xlfn.TEXTJOIN(" ",TRUE,Entities[[#This Row],[ENT_NAME]],"County"),Entities[[#This Row],[ENT_NAME]])</f>
        <v>Rusk</v>
      </c>
    </row>
    <row r="1812" spans="1:6" x14ac:dyDescent="0.25">
      <c r="A1812" s="304" t="s">
        <v>2830</v>
      </c>
      <c r="B1812" s="303" t="str">
        <f t="shared" si="28"/>
        <v>x05002868</v>
      </c>
      <c r="C1812" t="s">
        <v>5458</v>
      </c>
      <c r="D1812" t="s">
        <v>7117</v>
      </c>
      <c r="E1812">
        <v>5</v>
      </c>
      <c r="F1812" t="str">
        <f>IF(AND(Entities[[#This Row],[ENT_TYPE]]="County",RIGHT(Entities[[#This Row],[ENT_NAME]],6)&lt;&gt;"County"),_xlfn.TEXTJOIN(" ",TRUE,Entities[[#This Row],[ENT_NAME]],"County"),Entities[[#This Row],[ENT_NAME]])</f>
        <v>Wells</v>
      </c>
    </row>
    <row r="1813" spans="1:6" x14ac:dyDescent="0.25">
      <c r="A1813" s="302" t="s">
        <v>7118</v>
      </c>
      <c r="B1813" s="303" t="str">
        <f t="shared" si="28"/>
        <v>x05002870</v>
      </c>
      <c r="C1813" t="s">
        <v>5458</v>
      </c>
      <c r="D1813" t="s">
        <v>7119</v>
      </c>
      <c r="E1813">
        <v>5</v>
      </c>
      <c r="F1813" t="str">
        <f>IF(AND(Entities[[#This Row],[ENT_TYPE]]="County",RIGHT(Entities[[#This Row],[ENT_NAME]],6)&lt;&gt;"County"),_xlfn.TEXTJOIN(" ",TRUE,Entities[[#This Row],[ENT_NAME]],"County"),Entities[[#This Row],[ENT_NAME]])</f>
        <v>Coffee City</v>
      </c>
    </row>
    <row r="1814" spans="1:6" x14ac:dyDescent="0.25">
      <c r="A1814" s="304" t="s">
        <v>7120</v>
      </c>
      <c r="B1814" s="303" t="str">
        <f t="shared" si="28"/>
        <v>x05002884</v>
      </c>
      <c r="C1814" t="s">
        <v>5458</v>
      </c>
      <c r="D1814" t="s">
        <v>7121</v>
      </c>
      <c r="E1814">
        <v>5</v>
      </c>
      <c r="F1814" t="str">
        <f>IF(AND(Entities[[#This Row],[ENT_TYPE]]="County",RIGHT(Entities[[#This Row],[ENT_NAME]],6)&lt;&gt;"County"),_xlfn.TEXTJOIN(" ",TRUE,Entities[[#This Row],[ENT_NAME]],"County"),Entities[[#This Row],[ENT_NAME]])</f>
        <v>Murchison</v>
      </c>
    </row>
    <row r="1815" spans="1:6" x14ac:dyDescent="0.25">
      <c r="A1815" s="302" t="s">
        <v>7122</v>
      </c>
      <c r="B1815" s="303" t="str">
        <f t="shared" si="28"/>
        <v>x05002890</v>
      </c>
      <c r="C1815" t="s">
        <v>5458</v>
      </c>
      <c r="D1815" t="s">
        <v>7123</v>
      </c>
      <c r="E1815">
        <v>5</v>
      </c>
      <c r="F1815" t="str">
        <f>IF(AND(Entities[[#This Row],[ENT_TYPE]]="County",RIGHT(Entities[[#This Row],[ENT_NAME]],6)&lt;&gt;"County"),_xlfn.TEXTJOIN(" ",TRUE,Entities[[#This Row],[ENT_NAME]],"County"),Entities[[#This Row],[ENT_NAME]])</f>
        <v>Berryville</v>
      </c>
    </row>
    <row r="1816" spans="1:6" x14ac:dyDescent="0.25">
      <c r="A1816" s="304" t="s">
        <v>7124</v>
      </c>
      <c r="B1816" s="303" t="str">
        <f t="shared" si="28"/>
        <v>x05002891</v>
      </c>
      <c r="C1816" t="s">
        <v>5458</v>
      </c>
      <c r="D1816" t="s">
        <v>7125</v>
      </c>
      <c r="E1816">
        <v>5</v>
      </c>
      <c r="F1816" t="str">
        <f>IF(AND(Entities[[#This Row],[ENT_TYPE]]="County",RIGHT(Entities[[#This Row],[ENT_NAME]],6)&lt;&gt;"County"),_xlfn.TEXTJOIN(" ",TRUE,Entities[[#This Row],[ENT_NAME]],"County"),Entities[[#This Row],[ENT_NAME]])</f>
        <v>Brownsboro</v>
      </c>
    </row>
    <row r="1817" spans="1:6" x14ac:dyDescent="0.25">
      <c r="A1817" s="304" t="s">
        <v>7126</v>
      </c>
      <c r="B1817" s="303" t="str">
        <f t="shared" si="28"/>
        <v>x05002896</v>
      </c>
      <c r="C1817" t="s">
        <v>5458</v>
      </c>
      <c r="D1817" t="s">
        <v>7127</v>
      </c>
      <c r="E1817">
        <v>5</v>
      </c>
      <c r="F1817" t="str">
        <f>IF(AND(Entities[[#This Row],[ENT_TYPE]]="County",RIGHT(Entities[[#This Row],[ENT_NAME]],6)&lt;&gt;"County"),_xlfn.TEXTJOIN(" ",TRUE,Entities[[#This Row],[ENT_NAME]],"County"),Entities[[#This Row],[ENT_NAME]])</f>
        <v>Mount Enterprise</v>
      </c>
    </row>
    <row r="1818" spans="1:6" x14ac:dyDescent="0.25">
      <c r="A1818" s="304" t="s">
        <v>7128</v>
      </c>
      <c r="B1818" s="303" t="str">
        <f t="shared" si="28"/>
        <v>x05002902</v>
      </c>
      <c r="C1818" t="s">
        <v>5458</v>
      </c>
      <c r="D1818" t="s">
        <v>7129</v>
      </c>
      <c r="E1818">
        <v>5</v>
      </c>
      <c r="F1818" t="str">
        <f>IF(AND(Entities[[#This Row],[ENT_TYPE]]="County",RIGHT(Entities[[#This Row],[ENT_NAME]],6)&lt;&gt;"County"),_xlfn.TEXTJOIN(" ",TRUE,Entities[[#This Row],[ENT_NAME]],"County"),Entities[[#This Row],[ENT_NAME]])</f>
        <v>Chandler</v>
      </c>
    </row>
    <row r="1819" spans="1:6" x14ac:dyDescent="0.25">
      <c r="A1819" s="304" t="s">
        <v>2630</v>
      </c>
      <c r="B1819" s="303" t="str">
        <f t="shared" si="28"/>
        <v>x05002929</v>
      </c>
      <c r="C1819" t="s">
        <v>5458</v>
      </c>
      <c r="D1819" t="s">
        <v>2624</v>
      </c>
      <c r="E1819">
        <v>5</v>
      </c>
      <c r="F1819" t="str">
        <f>IF(AND(Entities[[#This Row],[ENT_TYPE]]="County",RIGHT(Entities[[#This Row],[ENT_NAME]],6)&lt;&gt;"County"),_xlfn.TEXTJOIN(" ",TRUE,Entities[[#This Row],[ENT_NAME]],"County"),Entities[[#This Row],[ENT_NAME]])</f>
        <v>Nacogdoches</v>
      </c>
    </row>
    <row r="1820" spans="1:6" x14ac:dyDescent="0.25">
      <c r="A1820" s="302" t="s">
        <v>2920</v>
      </c>
      <c r="B1820" s="303" t="str">
        <f t="shared" si="28"/>
        <v>x05002932</v>
      </c>
      <c r="C1820" t="s">
        <v>5458</v>
      </c>
      <c r="D1820" t="s">
        <v>7130</v>
      </c>
      <c r="E1820">
        <v>5</v>
      </c>
      <c r="F1820" t="str">
        <f>IF(AND(Entities[[#This Row],[ENT_TYPE]]="County",RIGHT(Entities[[#This Row],[ENT_NAME]],6)&lt;&gt;"County"),_xlfn.TEXTJOIN(" ",TRUE,Entities[[#This Row],[ENT_NAME]],"County"),Entities[[#This Row],[ENT_NAME]])</f>
        <v>Silsbee</v>
      </c>
    </row>
    <row r="1821" spans="1:6" x14ac:dyDescent="0.25">
      <c r="A1821" s="304" t="s">
        <v>2934</v>
      </c>
      <c r="B1821" s="303" t="str">
        <f t="shared" si="28"/>
        <v>x05002933</v>
      </c>
      <c r="C1821" t="s">
        <v>5458</v>
      </c>
      <c r="D1821" t="s">
        <v>7131</v>
      </c>
      <c r="E1821">
        <v>5</v>
      </c>
      <c r="F1821" t="str">
        <f>IF(AND(Entities[[#This Row],[ENT_TYPE]]="County",RIGHT(Entities[[#This Row],[ENT_NAME]],6)&lt;&gt;"County"),_xlfn.TEXTJOIN(" ",TRUE,Entities[[#This Row],[ENT_NAME]],"County"),Entities[[#This Row],[ENT_NAME]])</f>
        <v>Sour Lake</v>
      </c>
    </row>
    <row r="1822" spans="1:6" x14ac:dyDescent="0.25">
      <c r="A1822" s="302" t="s">
        <v>7132</v>
      </c>
      <c r="B1822" s="303" t="str">
        <f t="shared" si="28"/>
        <v>x05002943</v>
      </c>
      <c r="C1822" t="s">
        <v>5458</v>
      </c>
      <c r="D1822" t="s">
        <v>7133</v>
      </c>
      <c r="E1822">
        <v>5</v>
      </c>
      <c r="F1822" t="str">
        <f>IF(AND(Entities[[#This Row],[ENT_TYPE]]="County",RIGHT(Entities[[#This Row],[ENT_NAME]],6)&lt;&gt;"County"),_xlfn.TEXTJOIN(" ",TRUE,Entities[[#This Row],[ENT_NAME]],"County"),Entities[[#This Row],[ENT_NAME]])</f>
        <v>Chester</v>
      </c>
    </row>
    <row r="1823" spans="1:6" x14ac:dyDescent="0.25">
      <c r="A1823" s="304" t="s">
        <v>7134</v>
      </c>
      <c r="B1823" s="303" t="str">
        <f t="shared" si="28"/>
        <v>x05002951</v>
      </c>
      <c r="C1823" t="s">
        <v>5458</v>
      </c>
      <c r="D1823" t="s">
        <v>7135</v>
      </c>
      <c r="E1823">
        <v>5</v>
      </c>
      <c r="F1823" t="str">
        <f>IF(AND(Entities[[#This Row],[ENT_TYPE]]="County",RIGHT(Entities[[#This Row],[ENT_NAME]],6)&lt;&gt;"County"),_xlfn.TEXTJOIN(" ",TRUE,Entities[[#This Row],[ENT_NAME]],"County"),Entities[[#This Row],[ENT_NAME]])</f>
        <v>Woodville</v>
      </c>
    </row>
    <row r="1824" spans="1:6" x14ac:dyDescent="0.25">
      <c r="A1824" s="302" t="s">
        <v>7136</v>
      </c>
      <c r="B1824" s="303" t="str">
        <f t="shared" si="28"/>
        <v>x05003016</v>
      </c>
      <c r="C1824" t="s">
        <v>5458</v>
      </c>
      <c r="D1824" t="s">
        <v>7137</v>
      </c>
      <c r="E1824">
        <v>5</v>
      </c>
      <c r="F1824" t="str">
        <f>IF(AND(Entities[[#This Row],[ENT_TYPE]]="County",RIGHT(Entities[[#This Row],[ENT_NAME]],6)&lt;&gt;"County"),_xlfn.TEXTJOIN(" ",TRUE,Entities[[#This Row],[ENT_NAME]],"County"),Entities[[#This Row],[ENT_NAME]])</f>
        <v>Pine Forest</v>
      </c>
    </row>
    <row r="1825" spans="1:6" x14ac:dyDescent="0.25">
      <c r="A1825" s="304" t="s">
        <v>7138</v>
      </c>
      <c r="B1825" s="303" t="str">
        <f t="shared" si="28"/>
        <v>x05003019</v>
      </c>
      <c r="C1825" t="s">
        <v>5458</v>
      </c>
      <c r="D1825" t="s">
        <v>7139</v>
      </c>
      <c r="E1825">
        <v>5</v>
      </c>
      <c r="F1825" t="str">
        <f>IF(AND(Entities[[#This Row],[ENT_TYPE]]="County",RIGHT(Entities[[#This Row],[ENT_NAME]],6)&lt;&gt;"County"),_xlfn.TEXTJOIN(" ",TRUE,Entities[[#This Row],[ENT_NAME]],"County"),Entities[[#This Row],[ENT_NAME]])</f>
        <v>Rose City</v>
      </c>
    </row>
    <row r="1826" spans="1:6" x14ac:dyDescent="0.25">
      <c r="A1826" s="302" t="s">
        <v>2879</v>
      </c>
      <c r="B1826" s="303" t="str">
        <f t="shared" si="28"/>
        <v>x05003028</v>
      </c>
      <c r="C1826" t="s">
        <v>5458</v>
      </c>
      <c r="D1826" t="s">
        <v>7140</v>
      </c>
      <c r="E1826">
        <v>5</v>
      </c>
      <c r="F1826" t="str">
        <f>IF(AND(Entities[[#This Row],[ENT_TYPE]]="County",RIGHT(Entities[[#This Row],[ENT_NAME]],6)&lt;&gt;"County"),_xlfn.TEXTJOIN(" ",TRUE,Entities[[#This Row],[ENT_NAME]],"County"),Entities[[#This Row],[ENT_NAME]])</f>
        <v>Kountze</v>
      </c>
    </row>
    <row r="1827" spans="1:6" x14ac:dyDescent="0.25">
      <c r="A1827" s="304" t="s">
        <v>2902</v>
      </c>
      <c r="B1827" s="303" t="str">
        <f t="shared" si="28"/>
        <v>x05003029</v>
      </c>
      <c r="C1827" t="s">
        <v>5458</v>
      </c>
      <c r="D1827" t="s">
        <v>7141</v>
      </c>
      <c r="E1827">
        <v>5</v>
      </c>
      <c r="F1827" t="str">
        <f>IF(AND(Entities[[#This Row],[ENT_TYPE]]="County",RIGHT(Entities[[#This Row],[ENT_NAME]],6)&lt;&gt;"County"),_xlfn.TEXTJOIN(" ",TRUE,Entities[[#This Row],[ENT_NAME]],"County"),Entities[[#This Row],[ENT_NAME]])</f>
        <v>Rose Hill Acres</v>
      </c>
    </row>
    <row r="1828" spans="1:6" x14ac:dyDescent="0.25">
      <c r="A1828" s="302" t="s">
        <v>2837</v>
      </c>
      <c r="B1828" s="303" t="str">
        <f t="shared" si="28"/>
        <v>x05003033</v>
      </c>
      <c r="C1828" t="s">
        <v>5458</v>
      </c>
      <c r="D1828" t="s">
        <v>7142</v>
      </c>
      <c r="E1828">
        <v>5</v>
      </c>
      <c r="F1828" t="str">
        <f>IF(AND(Entities[[#This Row],[ENT_TYPE]]="County",RIGHT(Entities[[#This Row],[ENT_NAME]],6)&lt;&gt;"County"),_xlfn.TEXTJOIN(" ",TRUE,Entities[[#This Row],[ENT_NAME]],"County"),Entities[[#This Row],[ENT_NAME]])</f>
        <v>Whitehouse</v>
      </c>
    </row>
    <row r="1829" spans="1:6" x14ac:dyDescent="0.25">
      <c r="A1829" s="304" t="s">
        <v>7143</v>
      </c>
      <c r="B1829" s="303" t="str">
        <f t="shared" si="28"/>
        <v>x05003034</v>
      </c>
      <c r="C1829" t="s">
        <v>5458</v>
      </c>
      <c r="D1829" t="s">
        <v>7144</v>
      </c>
      <c r="E1829">
        <v>5</v>
      </c>
      <c r="F1829" t="str">
        <f>IF(AND(Entities[[#This Row],[ENT_TYPE]]="County",RIGHT(Entities[[#This Row],[ENT_NAME]],6)&lt;&gt;"County"),_xlfn.TEXTJOIN(" ",TRUE,Entities[[#This Row],[ENT_NAME]],"County"),Entities[[#This Row],[ENT_NAME]])</f>
        <v>New Chapel Hill</v>
      </c>
    </row>
    <row r="1830" spans="1:6" x14ac:dyDescent="0.25">
      <c r="A1830" s="302" t="s">
        <v>7145</v>
      </c>
      <c r="B1830" s="303" t="str">
        <f t="shared" si="28"/>
        <v>x05003047</v>
      </c>
      <c r="C1830" t="s">
        <v>5458</v>
      </c>
      <c r="D1830" t="s">
        <v>7146</v>
      </c>
      <c r="E1830">
        <v>5</v>
      </c>
      <c r="F1830" t="str">
        <f>IF(AND(Entities[[#This Row],[ENT_TYPE]]="County",RIGHT(Entities[[#This Row],[ENT_NAME]],6)&lt;&gt;"County"),_xlfn.TEXTJOIN(" ",TRUE,Entities[[#This Row],[ENT_NAME]],"County"),Entities[[#This Row],[ENT_NAME]])</f>
        <v>Chireno</v>
      </c>
    </row>
    <row r="1831" spans="1:6" x14ac:dyDescent="0.25">
      <c r="A1831" s="304" t="s">
        <v>7147</v>
      </c>
      <c r="B1831" s="303" t="str">
        <f t="shared" si="28"/>
        <v>x05003085</v>
      </c>
      <c r="C1831" t="s">
        <v>5458</v>
      </c>
      <c r="D1831" t="s">
        <v>7148</v>
      </c>
      <c r="E1831">
        <v>5</v>
      </c>
      <c r="F1831" t="str">
        <f>IF(AND(Entities[[#This Row],[ENT_TYPE]]="County",RIGHT(Entities[[#This Row],[ENT_NAME]],6)&lt;&gt;"County"),_xlfn.TEXTJOIN(" ",TRUE,Entities[[#This Row],[ENT_NAME]],"County"),Entities[[#This Row],[ENT_NAME]])</f>
        <v>Bevil Oaks</v>
      </c>
    </row>
    <row r="1832" spans="1:6" x14ac:dyDescent="0.25">
      <c r="A1832" s="302" t="s">
        <v>7149</v>
      </c>
      <c r="B1832" s="303" t="str">
        <f t="shared" si="28"/>
        <v>x05003086</v>
      </c>
      <c r="C1832" t="s">
        <v>5458</v>
      </c>
      <c r="D1832" t="s">
        <v>7150</v>
      </c>
      <c r="E1832">
        <v>5</v>
      </c>
      <c r="F1832" t="str">
        <f>IF(AND(Entities[[#This Row],[ENT_TYPE]]="County",RIGHT(Entities[[#This Row],[ENT_NAME]],6)&lt;&gt;"County"),_xlfn.TEXTJOIN(" ",TRUE,Entities[[#This Row],[ENT_NAME]],"County"),Entities[[#This Row],[ENT_NAME]])</f>
        <v>Nederland</v>
      </c>
    </row>
    <row r="1833" spans="1:6" x14ac:dyDescent="0.25">
      <c r="A1833" s="304" t="s">
        <v>7151</v>
      </c>
      <c r="B1833" s="303" t="str">
        <f t="shared" si="28"/>
        <v>x05003087</v>
      </c>
      <c r="C1833" t="s">
        <v>5458</v>
      </c>
      <c r="D1833" t="s">
        <v>7152</v>
      </c>
      <c r="E1833">
        <v>5</v>
      </c>
      <c r="F1833" t="str">
        <f>IF(AND(Entities[[#This Row],[ENT_TYPE]]="County",RIGHT(Entities[[#This Row],[ENT_NAME]],6)&lt;&gt;"County"),_xlfn.TEXTJOIN(" ",TRUE,Entities[[#This Row],[ENT_NAME]],"County"),Entities[[#This Row],[ENT_NAME]])</f>
        <v>Port Arthur</v>
      </c>
    </row>
    <row r="1834" spans="1:6" x14ac:dyDescent="0.25">
      <c r="A1834" s="302" t="s">
        <v>7153</v>
      </c>
      <c r="B1834" s="303" t="str">
        <f t="shared" si="28"/>
        <v>x05003088</v>
      </c>
      <c r="C1834" t="s">
        <v>5458</v>
      </c>
      <c r="D1834" t="s">
        <v>7154</v>
      </c>
      <c r="E1834">
        <v>5</v>
      </c>
      <c r="F1834" t="str">
        <f>IF(AND(Entities[[#This Row],[ENT_TYPE]]="County",RIGHT(Entities[[#This Row],[ENT_NAME]],6)&lt;&gt;"County"),_xlfn.TEXTJOIN(" ",TRUE,Entities[[#This Row],[ENT_NAME]],"County"),Entities[[#This Row],[ENT_NAME]])</f>
        <v>Port Neches</v>
      </c>
    </row>
    <row r="1835" spans="1:6" x14ac:dyDescent="0.25">
      <c r="A1835" s="304" t="s">
        <v>7155</v>
      </c>
      <c r="B1835" s="303" t="str">
        <f t="shared" si="28"/>
        <v>x05003105</v>
      </c>
      <c r="C1835" t="s">
        <v>5458</v>
      </c>
      <c r="D1835" t="s">
        <v>7156</v>
      </c>
      <c r="E1835">
        <v>5</v>
      </c>
      <c r="F1835" t="str">
        <f>IF(AND(Entities[[#This Row],[ENT_TYPE]]="County",RIGHT(Entities[[#This Row],[ENT_NAME]],6)&lt;&gt;"County"),_xlfn.TEXTJOIN(" ",TRUE,Entities[[#This Row],[ENT_NAME]],"County"),Entities[[#This Row],[ENT_NAME]])</f>
        <v>Pineland</v>
      </c>
    </row>
    <row r="1836" spans="1:6" x14ac:dyDescent="0.25">
      <c r="A1836" s="302" t="s">
        <v>7157</v>
      </c>
      <c r="B1836" s="303" t="str">
        <f t="shared" si="28"/>
        <v>x05003114</v>
      </c>
      <c r="C1836" t="s">
        <v>5458</v>
      </c>
      <c r="D1836" t="s">
        <v>7158</v>
      </c>
      <c r="E1836">
        <v>5</v>
      </c>
      <c r="F1836" t="str">
        <f>IF(AND(Entities[[#This Row],[ENT_TYPE]]="County",RIGHT(Entities[[#This Row],[ENT_NAME]],6)&lt;&gt;"County"),_xlfn.TEXTJOIN(" ",TRUE,Entities[[#This Row],[ENT_NAME]],"County"),Entities[[#This Row],[ENT_NAME]])</f>
        <v>Cushing</v>
      </c>
    </row>
    <row r="1837" spans="1:6" x14ac:dyDescent="0.25">
      <c r="A1837" s="302" t="s">
        <v>7159</v>
      </c>
      <c r="B1837" s="303" t="str">
        <f t="shared" si="28"/>
        <v>x05003177</v>
      </c>
      <c r="C1837" t="s">
        <v>5458</v>
      </c>
      <c r="D1837" t="s">
        <v>7160</v>
      </c>
      <c r="E1837">
        <v>5</v>
      </c>
      <c r="F1837" t="str">
        <f>IF(AND(Entities[[#This Row],[ENT_TYPE]]="County",RIGHT(Entities[[#This Row],[ENT_NAME]],6)&lt;&gt;"County"),_xlfn.TEXTJOIN(" ",TRUE,Entities[[#This Row],[ENT_NAME]],"County"),Entities[[#This Row],[ENT_NAME]])</f>
        <v>Arp</v>
      </c>
    </row>
    <row r="1838" spans="1:6" x14ac:dyDescent="0.25">
      <c r="A1838" s="302" t="s">
        <v>2843</v>
      </c>
      <c r="B1838" s="303" t="str">
        <f t="shared" si="28"/>
        <v>x05003195</v>
      </c>
      <c r="C1838" t="s">
        <v>5458</v>
      </c>
      <c r="D1838" t="s">
        <v>7161</v>
      </c>
      <c r="E1838">
        <v>5</v>
      </c>
      <c r="F1838" t="str">
        <f>IF(AND(Entities[[#This Row],[ENT_TYPE]]="County",RIGHT(Entities[[#This Row],[ENT_NAME]],6)&lt;&gt;"County"),_xlfn.TEXTJOIN(" ",TRUE,Entities[[#This Row],[ENT_NAME]],"County"),Entities[[#This Row],[ENT_NAME]])</f>
        <v>Burke</v>
      </c>
    </row>
    <row r="1839" spans="1:6" x14ac:dyDescent="0.25">
      <c r="A1839" s="304" t="s">
        <v>7162</v>
      </c>
      <c r="B1839" s="303" t="str">
        <f t="shared" si="28"/>
        <v>x05003196</v>
      </c>
      <c r="C1839" t="s">
        <v>5458</v>
      </c>
      <c r="D1839" t="s">
        <v>7163</v>
      </c>
      <c r="E1839">
        <v>5</v>
      </c>
      <c r="F1839" t="str">
        <f>IF(AND(Entities[[#This Row],[ENT_TYPE]]="County",RIGHT(Entities[[#This Row],[ENT_NAME]],6)&lt;&gt;"County"),_xlfn.TEXTJOIN(" ",TRUE,Entities[[#This Row],[ENT_NAME]],"County"),Entities[[#This Row],[ENT_NAME]])</f>
        <v>Diboll</v>
      </c>
    </row>
    <row r="1840" spans="1:6" x14ac:dyDescent="0.25">
      <c r="A1840" s="302" t="s">
        <v>7164</v>
      </c>
      <c r="B1840" s="303" t="str">
        <f t="shared" si="28"/>
        <v>x05003198</v>
      </c>
      <c r="C1840" t="s">
        <v>5458</v>
      </c>
      <c r="D1840" t="s">
        <v>7165</v>
      </c>
      <c r="E1840">
        <v>5</v>
      </c>
      <c r="F1840" t="str">
        <f>IF(AND(Entities[[#This Row],[ENT_TYPE]]="County",RIGHT(Entities[[#This Row],[ENT_NAME]],6)&lt;&gt;"County"),_xlfn.TEXTJOIN(" ",TRUE,Entities[[#This Row],[ENT_NAME]],"County"),Entities[[#This Row],[ENT_NAME]])</f>
        <v>Huntington</v>
      </c>
    </row>
    <row r="1841" spans="1:6" x14ac:dyDescent="0.25">
      <c r="A1841" s="304" t="s">
        <v>7166</v>
      </c>
      <c r="B1841" s="303" t="str">
        <f t="shared" si="28"/>
        <v>x05003199</v>
      </c>
      <c r="C1841" t="s">
        <v>5458</v>
      </c>
      <c r="D1841" t="s">
        <v>7167</v>
      </c>
      <c r="E1841">
        <v>5</v>
      </c>
      <c r="F1841" t="str">
        <f>IF(AND(Entities[[#This Row],[ENT_TYPE]]="County",RIGHT(Entities[[#This Row],[ENT_NAME]],6)&lt;&gt;"County"),_xlfn.TEXTJOIN(" ",TRUE,Entities[[#This Row],[ENT_NAME]],"County"),Entities[[#This Row],[ENT_NAME]])</f>
        <v>Zavalla</v>
      </c>
    </row>
    <row r="1842" spans="1:6" x14ac:dyDescent="0.25">
      <c r="A1842" s="302" t="s">
        <v>7168</v>
      </c>
      <c r="B1842" s="303" t="str">
        <f t="shared" si="28"/>
        <v>x05003236</v>
      </c>
      <c r="C1842" t="s">
        <v>5458</v>
      </c>
      <c r="D1842" t="s">
        <v>7169</v>
      </c>
      <c r="E1842">
        <v>5</v>
      </c>
      <c r="F1842" t="str">
        <f>IF(AND(Entities[[#This Row],[ENT_TYPE]]="County",RIGHT(Entities[[#This Row],[ENT_NAME]],6)&lt;&gt;"County"),_xlfn.TEXTJOIN(" ",TRUE,Entities[[#This Row],[ENT_NAME]],"County"),Entities[[#This Row],[ENT_NAME]])</f>
        <v>Broaddus</v>
      </c>
    </row>
    <row r="1843" spans="1:6" x14ac:dyDescent="0.25">
      <c r="A1843" s="304" t="s">
        <v>7170</v>
      </c>
      <c r="B1843" s="303" t="str">
        <f t="shared" si="28"/>
        <v>x05003271</v>
      </c>
      <c r="C1843" t="s">
        <v>5458</v>
      </c>
      <c r="D1843" t="s">
        <v>7171</v>
      </c>
      <c r="E1843">
        <v>5</v>
      </c>
      <c r="F1843" t="str">
        <f>IF(AND(Entities[[#This Row],[ENT_TYPE]]="County",RIGHT(Entities[[#This Row],[ENT_NAME]],6)&lt;&gt;"County"),_xlfn.TEXTJOIN(" ",TRUE,Entities[[#This Row],[ENT_NAME]],"County"),Entities[[#This Row],[ENT_NAME]])</f>
        <v>Ivanhoe</v>
      </c>
    </row>
    <row r="1844" spans="1:6" x14ac:dyDescent="0.25">
      <c r="A1844" s="302" t="s">
        <v>7172</v>
      </c>
      <c r="B1844" s="303" t="str">
        <f t="shared" si="28"/>
        <v>x05003310</v>
      </c>
      <c r="C1844" t="s">
        <v>5458</v>
      </c>
      <c r="D1844" t="s">
        <v>7173</v>
      </c>
      <c r="E1844">
        <v>5</v>
      </c>
      <c r="F1844" t="str">
        <f>IF(AND(Entities[[#This Row],[ENT_TYPE]]="County",RIGHT(Entities[[#This Row],[ENT_NAME]],6)&lt;&gt;"County"),_xlfn.TEXTJOIN(" ",TRUE,Entities[[#This Row],[ENT_NAME]],"County"),Entities[[#This Row],[ENT_NAME]])</f>
        <v>Gallatin</v>
      </c>
    </row>
    <row r="1845" spans="1:6" x14ac:dyDescent="0.25">
      <c r="A1845" s="304" t="s">
        <v>7174</v>
      </c>
      <c r="B1845" s="303" t="str">
        <f t="shared" si="28"/>
        <v>x05003333</v>
      </c>
      <c r="C1845" t="s">
        <v>5458</v>
      </c>
      <c r="D1845" t="s">
        <v>7175</v>
      </c>
      <c r="E1845">
        <v>5</v>
      </c>
      <c r="F1845" t="str">
        <f>IF(AND(Entities[[#This Row],[ENT_TYPE]]="County",RIGHT(Entities[[#This Row],[ENT_NAME]],6)&lt;&gt;"County"),_xlfn.TEXTJOIN(" ",TRUE,Entities[[#This Row],[ENT_NAME]],"County"),Entities[[#This Row],[ENT_NAME]])</f>
        <v>Browndell</v>
      </c>
    </row>
    <row r="1846" spans="1:6" x14ac:dyDescent="0.25">
      <c r="A1846" s="302" t="s">
        <v>7176</v>
      </c>
      <c r="B1846" s="303" t="str">
        <f t="shared" si="28"/>
        <v>x05003336</v>
      </c>
      <c r="C1846" t="s">
        <v>5458</v>
      </c>
      <c r="D1846" t="s">
        <v>5001</v>
      </c>
      <c r="E1846">
        <v>5</v>
      </c>
      <c r="F1846" t="str">
        <f>IF(AND(Entities[[#This Row],[ENT_TYPE]]="County",RIGHT(Entities[[#This Row],[ENT_NAME]],6)&lt;&gt;"County"),_xlfn.TEXTJOIN(" ",TRUE,Entities[[#This Row],[ENT_NAME]],"County"),Entities[[#This Row],[ENT_NAME]])</f>
        <v>Jasper</v>
      </c>
    </row>
    <row r="1847" spans="1:6" x14ac:dyDescent="0.25">
      <c r="A1847" s="304" t="s">
        <v>7177</v>
      </c>
      <c r="B1847" s="303" t="str">
        <f t="shared" si="28"/>
        <v>x05003370</v>
      </c>
      <c r="C1847" t="s">
        <v>5458</v>
      </c>
      <c r="D1847" t="s">
        <v>7178</v>
      </c>
      <c r="E1847">
        <v>5</v>
      </c>
      <c r="F1847" t="str">
        <f>IF(AND(Entities[[#This Row],[ENT_TYPE]]="County",RIGHT(Entities[[#This Row],[ENT_NAME]],6)&lt;&gt;"County"),_xlfn.TEXTJOIN(" ",TRUE,Entities[[#This Row],[ENT_NAME]],"County"),Entities[[#This Row],[ENT_NAME]])</f>
        <v>Noonday</v>
      </c>
    </row>
    <row r="1848" spans="1:6" x14ac:dyDescent="0.25">
      <c r="A1848" s="304" t="s">
        <v>2721</v>
      </c>
      <c r="B1848" s="303" t="str">
        <f t="shared" si="28"/>
        <v>x05003405</v>
      </c>
      <c r="C1848" t="s">
        <v>5458</v>
      </c>
      <c r="D1848" t="s">
        <v>7179</v>
      </c>
      <c r="E1848">
        <v>5</v>
      </c>
      <c r="F1848" t="str">
        <f>IF(AND(Entities[[#This Row],[ENT_TYPE]]="County",RIGHT(Entities[[#This Row],[ENT_NAME]],6)&lt;&gt;"County"),_xlfn.TEXTJOIN(" ",TRUE,Entities[[#This Row],[ENT_NAME]],"County"),Entities[[#This Row],[ENT_NAME]])</f>
        <v>Frankston</v>
      </c>
    </row>
    <row r="1849" spans="1:6" x14ac:dyDescent="0.25">
      <c r="A1849" s="302" t="s">
        <v>7180</v>
      </c>
      <c r="B1849" s="303" t="str">
        <f t="shared" si="28"/>
        <v>x05003437</v>
      </c>
      <c r="C1849" t="s">
        <v>5458</v>
      </c>
      <c r="D1849" t="s">
        <v>7181</v>
      </c>
      <c r="E1849">
        <v>5</v>
      </c>
      <c r="F1849" t="str">
        <f>IF(AND(Entities[[#This Row],[ENT_TYPE]]="County",RIGHT(Entities[[#This Row],[ENT_NAME]],6)&lt;&gt;"County"),_xlfn.TEXTJOIN(" ",TRUE,Entities[[#This Row],[ENT_NAME]],"County"),Entities[[#This Row],[ENT_NAME]])</f>
        <v>Poynor</v>
      </c>
    </row>
    <row r="1850" spans="1:6" x14ac:dyDescent="0.25">
      <c r="A1850" s="304" t="s">
        <v>7182</v>
      </c>
      <c r="B1850" s="303" t="str">
        <f t="shared" si="28"/>
        <v>x05003472</v>
      </c>
      <c r="C1850" t="s">
        <v>5458</v>
      </c>
      <c r="D1850" t="s">
        <v>7183</v>
      </c>
      <c r="E1850">
        <v>5</v>
      </c>
      <c r="F1850" t="str">
        <f>IF(AND(Entities[[#This Row],[ENT_TYPE]]="County",RIGHT(Entities[[#This Row],[ENT_NAME]],6)&lt;&gt;"County"),_xlfn.TEXTJOIN(" ",TRUE,Entities[[#This Row],[ENT_NAME]],"County"),Entities[[#This Row],[ENT_NAME]])</f>
        <v>Jacksonville</v>
      </c>
    </row>
    <row r="1851" spans="1:6" x14ac:dyDescent="0.25">
      <c r="A1851" s="302" t="s">
        <v>2850</v>
      </c>
      <c r="B1851" s="303" t="str">
        <f t="shared" si="28"/>
        <v>x05003487</v>
      </c>
      <c r="C1851" t="s">
        <v>5458</v>
      </c>
      <c r="D1851" t="s">
        <v>2690</v>
      </c>
      <c r="E1851">
        <v>5</v>
      </c>
      <c r="F1851" t="str">
        <f>IF(AND(Entities[[#This Row],[ENT_TYPE]]="County",RIGHT(Entities[[#This Row],[ENT_NAME]],6)&lt;&gt;"County"),_xlfn.TEXTJOIN(" ",TRUE,Entities[[#This Row],[ENT_NAME]],"County"),Entities[[#This Row],[ENT_NAME]])</f>
        <v>San Augustine</v>
      </c>
    </row>
    <row r="1852" spans="1:6" x14ac:dyDescent="0.25">
      <c r="A1852" s="304" t="s">
        <v>7184</v>
      </c>
      <c r="B1852" s="303" t="str">
        <f t="shared" si="28"/>
        <v>x05003501</v>
      </c>
      <c r="C1852" t="s">
        <v>5458</v>
      </c>
      <c r="D1852" t="s">
        <v>7185</v>
      </c>
      <c r="E1852">
        <v>5</v>
      </c>
      <c r="F1852" t="str">
        <f>IF(AND(Entities[[#This Row],[ENT_TYPE]]="County",RIGHT(Entities[[#This Row],[ENT_NAME]],6)&lt;&gt;"County"),_xlfn.TEXTJOIN(" ",TRUE,Entities[[#This Row],[ENT_NAME]],"County"),Entities[[#This Row],[ENT_NAME]])</f>
        <v>Corrigan</v>
      </c>
    </row>
    <row r="1853" spans="1:6" x14ac:dyDescent="0.25">
      <c r="A1853" s="302" t="s">
        <v>7186</v>
      </c>
      <c r="B1853" s="303" t="str">
        <f t="shared" si="28"/>
        <v>x05003540</v>
      </c>
      <c r="C1853" t="s">
        <v>5458</v>
      </c>
      <c r="D1853" t="s">
        <v>7187</v>
      </c>
      <c r="E1853">
        <v>5</v>
      </c>
      <c r="F1853" t="str">
        <f>IF(AND(Entities[[#This Row],[ENT_TYPE]]="County",RIGHT(Entities[[#This Row],[ENT_NAME]],6)&lt;&gt;"County"),_xlfn.TEXTJOIN(" ",TRUE,Entities[[#This Row],[ENT_NAME]],"County"),Entities[[#This Row],[ENT_NAME]])</f>
        <v>Appleby</v>
      </c>
    </row>
    <row r="1854" spans="1:6" x14ac:dyDescent="0.25">
      <c r="A1854" s="304" t="s">
        <v>7188</v>
      </c>
      <c r="B1854" s="303" t="str">
        <f t="shared" si="28"/>
        <v>x05003561</v>
      </c>
      <c r="C1854" t="s">
        <v>5458</v>
      </c>
      <c r="D1854" t="s">
        <v>7189</v>
      </c>
      <c r="E1854">
        <v>5</v>
      </c>
      <c r="F1854" t="str">
        <f>IF(AND(Entities[[#This Row],[ENT_TYPE]]="County",RIGHT(Entities[[#This Row],[ENT_NAME]],6)&lt;&gt;"County"),_xlfn.TEXTJOIN(" ",TRUE,Entities[[#This Row],[ENT_NAME]],"County"),Entities[[#This Row],[ENT_NAME]])</f>
        <v>Lufkin</v>
      </c>
    </row>
    <row r="1855" spans="1:6" x14ac:dyDescent="0.25">
      <c r="A1855" s="304" t="s">
        <v>7190</v>
      </c>
      <c r="B1855" s="303" t="str">
        <f t="shared" si="28"/>
        <v>x06000000</v>
      </c>
      <c r="C1855" t="s">
        <v>4</v>
      </c>
      <c r="D1855" t="s">
        <v>7191</v>
      </c>
      <c r="E1855">
        <v>6</v>
      </c>
      <c r="F1855" t="str">
        <f>IF(AND(Entities[[#This Row],[ENT_TYPE]]="County",RIGHT(Entities[[#This Row],[ENT_NAME]],6)&lt;&gt;"County"),_xlfn.TEXTJOIN(" ",TRUE,Entities[[#This Row],[ENT_NAME]],"County"),Entities[[#This Row],[ENT_NAME]])</f>
        <v>San Jacinto Region Boundary</v>
      </c>
    </row>
    <row r="1856" spans="1:6" x14ac:dyDescent="0.25">
      <c r="A1856" s="304" t="s">
        <v>7192</v>
      </c>
      <c r="B1856" s="303" t="str">
        <f t="shared" si="28"/>
        <v>x06000037</v>
      </c>
      <c r="C1856" t="s">
        <v>4947</v>
      </c>
      <c r="D1856" t="s">
        <v>7193</v>
      </c>
      <c r="E1856">
        <v>6</v>
      </c>
      <c r="F1856" t="str">
        <f>IF(AND(Entities[[#This Row],[ENT_TYPE]]="County",RIGHT(Entities[[#This Row],[ENT_NAME]],6)&lt;&gt;"County"),_xlfn.TEXTJOIN(" ",TRUE,Entities[[#This Row],[ENT_NAME]],"County"),Entities[[#This Row],[ENT_NAME]])</f>
        <v>Montgomery County</v>
      </c>
    </row>
    <row r="1857" spans="1:6" x14ac:dyDescent="0.25">
      <c r="A1857" s="302" t="s">
        <v>7194</v>
      </c>
      <c r="B1857" s="303" t="str">
        <f t="shared" si="28"/>
        <v>x06000279</v>
      </c>
      <c r="C1857" t="s">
        <v>4</v>
      </c>
      <c r="D1857" t="s">
        <v>7195</v>
      </c>
      <c r="E1857">
        <v>6</v>
      </c>
      <c r="F1857" t="str">
        <f>IF(AND(Entities[[#This Row],[ENT_TYPE]]="County",RIGHT(Entities[[#This Row],[ENT_NAME]],6)&lt;&gt;"County"),_xlfn.TEXTJOIN(" ",TRUE,Entities[[#This Row],[ENT_NAME]],"County"),Entities[[#This Row],[ENT_NAME]])</f>
        <v>North Harris County Regional Water Authority</v>
      </c>
    </row>
    <row r="1858" spans="1:6" x14ac:dyDescent="0.25">
      <c r="A1858" s="304" t="s">
        <v>7196</v>
      </c>
      <c r="B1858" s="303" t="str">
        <f t="shared" ref="B1858:B1921" si="29">_xlfn.CONCAT("x",TEXT(A1858,"00000000"))</f>
        <v>x06000313</v>
      </c>
      <c r="C1858" t="s">
        <v>4</v>
      </c>
      <c r="D1858" t="s">
        <v>7197</v>
      </c>
      <c r="E1858">
        <v>6</v>
      </c>
      <c r="F1858" t="str">
        <f>IF(AND(Entities[[#This Row],[ENT_TYPE]]="County",RIGHT(Entities[[#This Row],[ENT_NAME]],6)&lt;&gt;"County"),_xlfn.TEXTJOIN(" ",TRUE,Entities[[#This Row],[ENT_NAME]],"County"),Entities[[#This Row],[ENT_NAME]])</f>
        <v>Spring Branch Management District</v>
      </c>
    </row>
    <row r="1859" spans="1:6" x14ac:dyDescent="0.25">
      <c r="A1859" s="302" t="s">
        <v>7198</v>
      </c>
      <c r="B1859" s="303" t="str">
        <f t="shared" si="29"/>
        <v>x06000326</v>
      </c>
      <c r="C1859" t="s">
        <v>4</v>
      </c>
      <c r="D1859" t="s">
        <v>7199</v>
      </c>
      <c r="E1859">
        <v>6</v>
      </c>
      <c r="F1859" t="str">
        <f>IF(AND(Entities[[#This Row],[ENT_TYPE]]="County",RIGHT(Entities[[#This Row],[ENT_NAME]],6)&lt;&gt;"County"),_xlfn.TEXTJOIN(" ",TRUE,Entities[[#This Row],[ENT_NAME]],"County"),Entities[[#This Row],[ENT_NAME]])</f>
        <v>Harris County MUD 571</v>
      </c>
    </row>
    <row r="1860" spans="1:6" x14ac:dyDescent="0.25">
      <c r="A1860" s="304" t="s">
        <v>7200</v>
      </c>
      <c r="B1860" s="303" t="str">
        <f t="shared" si="29"/>
        <v>x06000331</v>
      </c>
      <c r="C1860" t="s">
        <v>4</v>
      </c>
      <c r="D1860" t="s">
        <v>7201</v>
      </c>
      <c r="E1860">
        <v>6</v>
      </c>
      <c r="F1860" t="str">
        <f>IF(AND(Entities[[#This Row],[ENT_TYPE]]="County",RIGHT(Entities[[#This Row],[ENT_NAME]],6)&lt;&gt;"County"),_xlfn.TEXTJOIN(" ",TRUE,Entities[[#This Row],[ENT_NAME]],"County"),Entities[[#This Row],[ENT_NAME]])</f>
        <v>Galveston County Navigation District 1</v>
      </c>
    </row>
    <row r="1861" spans="1:6" x14ac:dyDescent="0.25">
      <c r="A1861" s="304" t="s">
        <v>7202</v>
      </c>
      <c r="B1861" s="303" t="str">
        <f t="shared" si="29"/>
        <v>x06000333</v>
      </c>
      <c r="C1861" t="s">
        <v>4</v>
      </c>
      <c r="D1861" t="s">
        <v>7203</v>
      </c>
      <c r="E1861">
        <v>6</v>
      </c>
      <c r="F1861" t="str">
        <f>IF(AND(Entities[[#This Row],[ENT_TYPE]]="County",RIGHT(Entities[[#This Row],[ENT_NAME]],6)&lt;&gt;"County"),_xlfn.TEXTJOIN(" ",TRUE,Entities[[#This Row],[ENT_NAME]],"County"),Entities[[#This Row],[ENT_NAME]])</f>
        <v>West Harris County MUD 5</v>
      </c>
    </row>
    <row r="1862" spans="1:6" x14ac:dyDescent="0.25">
      <c r="A1862" s="302" t="s">
        <v>7204</v>
      </c>
      <c r="B1862" s="303" t="str">
        <f t="shared" si="29"/>
        <v>x06000334</v>
      </c>
      <c r="C1862" t="s">
        <v>4</v>
      </c>
      <c r="D1862" t="s">
        <v>7205</v>
      </c>
      <c r="E1862">
        <v>6</v>
      </c>
      <c r="F1862" t="str">
        <f>IF(AND(Entities[[#This Row],[ENT_TYPE]]="County",RIGHT(Entities[[#This Row],[ENT_NAME]],6)&lt;&gt;"County"),_xlfn.TEXTJOIN(" ",TRUE,Entities[[#This Row],[ENT_NAME]],"County"),Entities[[#This Row],[ENT_NAME]])</f>
        <v>Trail of the Lakes MUD</v>
      </c>
    </row>
    <row r="1863" spans="1:6" x14ac:dyDescent="0.25">
      <c r="A1863" s="304" t="s">
        <v>7206</v>
      </c>
      <c r="B1863" s="303" t="str">
        <f t="shared" si="29"/>
        <v>x06000335</v>
      </c>
      <c r="C1863" t="s">
        <v>4</v>
      </c>
      <c r="D1863" t="s">
        <v>7207</v>
      </c>
      <c r="E1863">
        <v>6</v>
      </c>
      <c r="F1863" t="str">
        <f>IF(AND(Entities[[#This Row],[ENT_TYPE]]="County",RIGHT(Entities[[#This Row],[ENT_NAME]],6)&lt;&gt;"County"),_xlfn.TEXTJOIN(" ",TRUE,Entities[[#This Row],[ENT_NAME]],"County"),Entities[[#This Row],[ENT_NAME]])</f>
        <v>Harris County MUD 458</v>
      </c>
    </row>
    <row r="1864" spans="1:6" x14ac:dyDescent="0.25">
      <c r="A1864" s="302" t="s">
        <v>7208</v>
      </c>
      <c r="B1864" s="303" t="str">
        <f t="shared" si="29"/>
        <v>x06000336</v>
      </c>
      <c r="C1864" t="s">
        <v>4</v>
      </c>
      <c r="D1864" t="s">
        <v>7209</v>
      </c>
      <c r="E1864">
        <v>6</v>
      </c>
      <c r="F1864" t="str">
        <f>IF(AND(Entities[[#This Row],[ENT_TYPE]]="County",RIGHT(Entities[[#This Row],[ENT_NAME]],6)&lt;&gt;"County"),_xlfn.TEXTJOIN(" ",TRUE,Entities[[#This Row],[ENT_NAME]],"County"),Entities[[#This Row],[ENT_NAME]])</f>
        <v>West Harris County MUD 1</v>
      </c>
    </row>
    <row r="1865" spans="1:6" x14ac:dyDescent="0.25">
      <c r="A1865" s="304" t="s">
        <v>7210</v>
      </c>
      <c r="B1865" s="303" t="str">
        <f t="shared" si="29"/>
        <v>x06000341</v>
      </c>
      <c r="C1865" t="s">
        <v>4</v>
      </c>
      <c r="D1865" t="s">
        <v>7211</v>
      </c>
      <c r="E1865">
        <v>6</v>
      </c>
      <c r="F1865" t="str">
        <f>IF(AND(Entities[[#This Row],[ENT_TYPE]]="County",RIGHT(Entities[[#This Row],[ENT_NAME]],6)&lt;&gt;"County"),_xlfn.TEXTJOIN(" ",TRUE,Entities[[#This Row],[ENT_NAME]],"County"),Entities[[#This Row],[ENT_NAME]])</f>
        <v>Sunbelt FWSD</v>
      </c>
    </row>
    <row r="1866" spans="1:6" x14ac:dyDescent="0.25">
      <c r="A1866" s="302" t="s">
        <v>7212</v>
      </c>
      <c r="B1866" s="303" t="str">
        <f t="shared" si="29"/>
        <v>x06000344</v>
      </c>
      <c r="C1866" t="s">
        <v>4</v>
      </c>
      <c r="D1866" t="s">
        <v>7213</v>
      </c>
      <c r="E1866">
        <v>6</v>
      </c>
      <c r="F1866" t="str">
        <f>IF(AND(Entities[[#This Row],[ENT_TYPE]]="County",RIGHT(Entities[[#This Row],[ENT_NAME]],6)&lt;&gt;"County"),_xlfn.TEXTJOIN(" ",TRUE,Entities[[#This Row],[ENT_NAME]],"County"),Entities[[#This Row],[ENT_NAME]])</f>
        <v>East Montgomery County Improvement District</v>
      </c>
    </row>
    <row r="1867" spans="1:6" x14ac:dyDescent="0.25">
      <c r="A1867" s="304" t="s">
        <v>7214</v>
      </c>
      <c r="B1867" s="303" t="str">
        <f t="shared" si="29"/>
        <v>x06000346</v>
      </c>
      <c r="C1867" t="s">
        <v>4</v>
      </c>
      <c r="D1867" t="s">
        <v>7215</v>
      </c>
      <c r="E1867">
        <v>6</v>
      </c>
      <c r="F1867" t="str">
        <f>IF(AND(Entities[[#This Row],[ENT_TYPE]]="County",RIGHT(Entities[[#This Row],[ENT_NAME]],6)&lt;&gt;"County"),_xlfn.TEXTJOIN(" ",TRUE,Entities[[#This Row],[ENT_NAME]],"County"),Entities[[#This Row],[ENT_NAME]])</f>
        <v>Greater East End MGMT District</v>
      </c>
    </row>
    <row r="1868" spans="1:6" x14ac:dyDescent="0.25">
      <c r="A1868" s="302" t="s">
        <v>7216</v>
      </c>
      <c r="B1868" s="303" t="str">
        <f t="shared" si="29"/>
        <v>x06000347</v>
      </c>
      <c r="C1868" t="s">
        <v>4</v>
      </c>
      <c r="D1868" t="s">
        <v>7217</v>
      </c>
      <c r="E1868">
        <v>6</v>
      </c>
      <c r="F1868" t="str">
        <f>IF(AND(Entities[[#This Row],[ENT_TYPE]]="County",RIGHT(Entities[[#This Row],[ENT_NAME]],6)&lt;&gt;"County"),_xlfn.TEXTJOIN(" ",TRUE,Entities[[#This Row],[ENT_NAME]],"County"),Entities[[#This Row],[ENT_NAME]])</f>
        <v>Harris County MUD 200</v>
      </c>
    </row>
    <row r="1869" spans="1:6" x14ac:dyDescent="0.25">
      <c r="A1869" s="304" t="s">
        <v>7218</v>
      </c>
      <c r="B1869" s="303" t="str">
        <f t="shared" si="29"/>
        <v>x06000349</v>
      </c>
      <c r="C1869" t="s">
        <v>4</v>
      </c>
      <c r="D1869" t="s">
        <v>7219</v>
      </c>
      <c r="E1869">
        <v>6</v>
      </c>
      <c r="F1869" t="str">
        <f>IF(AND(Entities[[#This Row],[ENT_TYPE]]="County",RIGHT(Entities[[#This Row],[ENT_NAME]],6)&lt;&gt;"County"),_xlfn.TEXTJOIN(" ",TRUE,Entities[[#This Row],[ENT_NAME]],"County"),Entities[[#This Row],[ENT_NAME]])</f>
        <v>Harris County Improvement District 20</v>
      </c>
    </row>
    <row r="1870" spans="1:6" x14ac:dyDescent="0.25">
      <c r="A1870" s="302" t="s">
        <v>7220</v>
      </c>
      <c r="B1870" s="303" t="str">
        <f t="shared" si="29"/>
        <v>x06000350</v>
      </c>
      <c r="C1870" t="s">
        <v>4</v>
      </c>
      <c r="D1870" t="s">
        <v>7221</v>
      </c>
      <c r="E1870">
        <v>6</v>
      </c>
      <c r="F1870" t="str">
        <f>IF(AND(Entities[[#This Row],[ENT_TYPE]]="County",RIGHT(Entities[[#This Row],[ENT_NAME]],6)&lt;&gt;"County"),_xlfn.TEXTJOIN(" ",TRUE,Entities[[#This Row],[ENT_NAME]],"County"),Entities[[#This Row],[ENT_NAME]])</f>
        <v>Harris County Improvement District 21</v>
      </c>
    </row>
    <row r="1871" spans="1:6" x14ac:dyDescent="0.25">
      <c r="A1871" s="304" t="s">
        <v>7222</v>
      </c>
      <c r="B1871" s="303" t="str">
        <f t="shared" si="29"/>
        <v>x06000361</v>
      </c>
      <c r="C1871" t="s">
        <v>4</v>
      </c>
      <c r="D1871" t="s">
        <v>7223</v>
      </c>
      <c r="E1871">
        <v>6</v>
      </c>
      <c r="F1871" t="str">
        <f>IF(AND(Entities[[#This Row],[ENT_TYPE]]="County",RIGHT(Entities[[#This Row],[ENT_NAME]],6)&lt;&gt;"County"),_xlfn.TEXTJOIN(" ",TRUE,Entities[[#This Row],[ENT_NAME]],"County"),Entities[[#This Row],[ENT_NAME]])</f>
        <v>Harris County Improvement District 5</v>
      </c>
    </row>
    <row r="1872" spans="1:6" x14ac:dyDescent="0.25">
      <c r="A1872" s="302" t="s">
        <v>7224</v>
      </c>
      <c r="B1872" s="303" t="str">
        <f t="shared" si="29"/>
        <v>x06000362</v>
      </c>
      <c r="C1872" t="s">
        <v>4</v>
      </c>
      <c r="D1872" t="s">
        <v>7225</v>
      </c>
      <c r="E1872">
        <v>6</v>
      </c>
      <c r="F1872" t="str">
        <f>IF(AND(Entities[[#This Row],[ENT_TYPE]]="County",RIGHT(Entities[[#This Row],[ENT_NAME]],6)&lt;&gt;"County"),_xlfn.TEXTJOIN(" ",TRUE,Entities[[#This Row],[ENT_NAME]],"County"),Entities[[#This Row],[ENT_NAME]])</f>
        <v>Harris County Improvement District 9</v>
      </c>
    </row>
    <row r="1873" spans="1:6" x14ac:dyDescent="0.25">
      <c r="A1873" s="302" t="s">
        <v>7226</v>
      </c>
      <c r="B1873" s="303" t="str">
        <f t="shared" si="29"/>
        <v>x06000363</v>
      </c>
      <c r="C1873" t="s">
        <v>4</v>
      </c>
      <c r="D1873" t="s">
        <v>7227</v>
      </c>
      <c r="E1873">
        <v>6</v>
      </c>
      <c r="F1873" t="str">
        <f>IF(AND(Entities[[#This Row],[ENT_TYPE]]="County",RIGHT(Entities[[#This Row],[ENT_NAME]],6)&lt;&gt;"County"),_xlfn.TEXTJOIN(" ",TRUE,Entities[[#This Row],[ENT_NAME]],"County"),Entities[[#This Row],[ENT_NAME]])</f>
        <v>International Management District</v>
      </c>
    </row>
    <row r="1874" spans="1:6" x14ac:dyDescent="0.25">
      <c r="A1874" s="304" t="s">
        <v>7228</v>
      </c>
      <c r="B1874" s="303" t="str">
        <f t="shared" si="29"/>
        <v>x06000365</v>
      </c>
      <c r="C1874" t="s">
        <v>4</v>
      </c>
      <c r="D1874" t="s">
        <v>7229</v>
      </c>
      <c r="E1874">
        <v>6</v>
      </c>
      <c r="F1874" t="str">
        <f>IF(AND(Entities[[#This Row],[ENT_TYPE]]="County",RIGHT(Entities[[#This Row],[ENT_NAME]],6)&lt;&gt;"County"),_xlfn.TEXTJOIN(" ",TRUE,Entities[[#This Row],[ENT_NAME]],"County"),Entities[[#This Row],[ENT_NAME]])</f>
        <v>Montgomery County MUD 125</v>
      </c>
    </row>
    <row r="1875" spans="1:6" x14ac:dyDescent="0.25">
      <c r="A1875" s="302" t="s">
        <v>7230</v>
      </c>
      <c r="B1875" s="303" t="str">
        <f t="shared" si="29"/>
        <v>x06000368</v>
      </c>
      <c r="C1875" t="s">
        <v>4</v>
      </c>
      <c r="D1875" t="s">
        <v>7231</v>
      </c>
      <c r="E1875">
        <v>6</v>
      </c>
      <c r="F1875" t="str">
        <f>IF(AND(Entities[[#This Row],[ENT_TYPE]]="County",RIGHT(Entities[[#This Row],[ENT_NAME]],6)&lt;&gt;"County"),_xlfn.TEXTJOIN(" ",TRUE,Entities[[#This Row],[ENT_NAME]],"County"),Entities[[#This Row],[ENT_NAME]])</f>
        <v>Brazoria County MUD 57</v>
      </c>
    </row>
    <row r="1876" spans="1:6" x14ac:dyDescent="0.25">
      <c r="A1876" s="304" t="s">
        <v>7232</v>
      </c>
      <c r="B1876" s="303" t="str">
        <f t="shared" si="29"/>
        <v>x06000371</v>
      </c>
      <c r="C1876" t="s">
        <v>4</v>
      </c>
      <c r="D1876" t="s">
        <v>7233</v>
      </c>
      <c r="E1876">
        <v>6</v>
      </c>
      <c r="F1876" t="str">
        <f>IF(AND(Entities[[#This Row],[ENT_TYPE]]="County",RIGHT(Entities[[#This Row],[ENT_NAME]],6)&lt;&gt;"County"),_xlfn.TEXTJOIN(" ",TRUE,Entities[[#This Row],[ENT_NAME]],"County"),Entities[[#This Row],[ENT_NAME]])</f>
        <v>Kickapoo FWSD of Waller County</v>
      </c>
    </row>
    <row r="1877" spans="1:6" x14ac:dyDescent="0.25">
      <c r="A1877" s="302" t="s">
        <v>7234</v>
      </c>
      <c r="B1877" s="303" t="str">
        <f t="shared" si="29"/>
        <v>x06000373</v>
      </c>
      <c r="C1877" t="s">
        <v>4</v>
      </c>
      <c r="D1877" t="s">
        <v>7235</v>
      </c>
      <c r="E1877">
        <v>6</v>
      </c>
      <c r="F1877" t="str">
        <f>IF(AND(Entities[[#This Row],[ENT_TYPE]]="County",RIGHT(Entities[[#This Row],[ENT_NAME]],6)&lt;&gt;"County"),_xlfn.TEXTJOIN(" ",TRUE,Entities[[#This Row],[ENT_NAME]],"County"),Entities[[#This Row],[ENT_NAME]])</f>
        <v>Harris County MUD 393</v>
      </c>
    </row>
    <row r="1878" spans="1:6" x14ac:dyDescent="0.25">
      <c r="A1878" s="304" t="s">
        <v>7236</v>
      </c>
      <c r="B1878" s="303" t="str">
        <f t="shared" si="29"/>
        <v>x06000375</v>
      </c>
      <c r="C1878" t="s">
        <v>4</v>
      </c>
      <c r="D1878" t="s">
        <v>7237</v>
      </c>
      <c r="E1878">
        <v>6</v>
      </c>
      <c r="F1878" t="str">
        <f>IF(AND(Entities[[#This Row],[ENT_TYPE]]="County",RIGHT(Entities[[#This Row],[ENT_NAME]],6)&lt;&gt;"County"),_xlfn.TEXTJOIN(" ",TRUE,Entities[[#This Row],[ENT_NAME]],"County"),Entities[[#This Row],[ENT_NAME]])</f>
        <v>Plum Creek FWSD 1</v>
      </c>
    </row>
    <row r="1879" spans="1:6" x14ac:dyDescent="0.25">
      <c r="A1879" s="304" t="s">
        <v>7238</v>
      </c>
      <c r="B1879" s="303" t="str">
        <f t="shared" si="29"/>
        <v>x06000379</v>
      </c>
      <c r="C1879" t="s">
        <v>4</v>
      </c>
      <c r="D1879" t="s">
        <v>7239</v>
      </c>
      <c r="E1879">
        <v>6</v>
      </c>
      <c r="F1879" t="str">
        <f>IF(AND(Entities[[#This Row],[ENT_TYPE]]="County",RIGHT(Entities[[#This Row],[ENT_NAME]],6)&lt;&gt;"County"),_xlfn.TEXTJOIN(" ",TRUE,Entities[[#This Row],[ENT_NAME]],"County"),Entities[[#This Row],[ENT_NAME]])</f>
        <v>Towne Lake Management District</v>
      </c>
    </row>
    <row r="1880" spans="1:6" x14ac:dyDescent="0.25">
      <c r="A1880" s="302" t="s">
        <v>7240</v>
      </c>
      <c r="B1880" s="303" t="str">
        <f t="shared" si="29"/>
        <v>x06000380</v>
      </c>
      <c r="C1880" t="s">
        <v>4</v>
      </c>
      <c r="D1880" t="s">
        <v>7241</v>
      </c>
      <c r="E1880">
        <v>6</v>
      </c>
      <c r="F1880" t="str">
        <f>IF(AND(Entities[[#This Row],[ENT_TYPE]]="County",RIGHT(Entities[[#This Row],[ENT_NAME]],6)&lt;&gt;"County"),_xlfn.TEXTJOIN(" ",TRUE,Entities[[#This Row],[ENT_NAME]],"County"),Entities[[#This Row],[ENT_NAME]])</f>
        <v>Northwest Harris County MUD 36</v>
      </c>
    </row>
    <row r="1881" spans="1:6" x14ac:dyDescent="0.25">
      <c r="A1881" s="302" t="s">
        <v>7242</v>
      </c>
      <c r="B1881" s="303" t="str">
        <f t="shared" si="29"/>
        <v>x06000383</v>
      </c>
      <c r="C1881" t="s">
        <v>4</v>
      </c>
      <c r="D1881" t="s">
        <v>7243</v>
      </c>
      <c r="E1881">
        <v>6</v>
      </c>
      <c r="F1881" t="str">
        <f>IF(AND(Entities[[#This Row],[ENT_TYPE]]="County",RIGHT(Entities[[#This Row],[ENT_NAME]],6)&lt;&gt;"County"),_xlfn.TEXTJOIN(" ",TRUE,Entities[[#This Row],[ENT_NAME]],"County"),Entities[[#This Row],[ENT_NAME]])</f>
        <v>NASA Area Management District</v>
      </c>
    </row>
    <row r="1882" spans="1:6" x14ac:dyDescent="0.25">
      <c r="A1882" s="302" t="s">
        <v>7244</v>
      </c>
      <c r="B1882" s="303" t="str">
        <f t="shared" si="29"/>
        <v>x06000393</v>
      </c>
      <c r="C1882" t="s">
        <v>4</v>
      </c>
      <c r="D1882" t="s">
        <v>7245</v>
      </c>
      <c r="E1882">
        <v>6</v>
      </c>
      <c r="F1882" t="str">
        <f>IF(AND(Entities[[#This Row],[ENT_TYPE]]="County",RIGHT(Entities[[#This Row],[ENT_NAME]],6)&lt;&gt;"County"),_xlfn.TEXTJOIN(" ",TRUE,Entities[[#This Row],[ENT_NAME]],"County"),Entities[[#This Row],[ENT_NAME]])</f>
        <v>Galveston County MUD 34</v>
      </c>
    </row>
    <row r="1883" spans="1:6" x14ac:dyDescent="0.25">
      <c r="A1883" s="304" t="s">
        <v>7246</v>
      </c>
      <c r="B1883" s="303" t="str">
        <f t="shared" si="29"/>
        <v>x06000394</v>
      </c>
      <c r="C1883" t="s">
        <v>4</v>
      </c>
      <c r="D1883" t="s">
        <v>7247</v>
      </c>
      <c r="E1883">
        <v>6</v>
      </c>
      <c r="F1883" t="str">
        <f>IF(AND(Entities[[#This Row],[ENT_TYPE]]="County",RIGHT(Entities[[#This Row],[ENT_NAME]],6)&lt;&gt;"County"),_xlfn.TEXTJOIN(" ",TRUE,Entities[[#This Row],[ENT_NAME]],"County"),Entities[[#This Row],[ENT_NAME]])</f>
        <v>Harris County MUD 415</v>
      </c>
    </row>
    <row r="1884" spans="1:6" x14ac:dyDescent="0.25">
      <c r="A1884" s="304" t="s">
        <v>7248</v>
      </c>
      <c r="B1884" s="303" t="str">
        <f t="shared" si="29"/>
        <v>x06000395</v>
      </c>
      <c r="C1884" t="s">
        <v>4</v>
      </c>
      <c r="D1884" t="s">
        <v>7249</v>
      </c>
      <c r="E1884">
        <v>6</v>
      </c>
      <c r="F1884" t="str">
        <f>IF(AND(Entities[[#This Row],[ENT_TYPE]]="County",RIGHT(Entities[[#This Row],[ENT_NAME]],6)&lt;&gt;"County"),_xlfn.TEXTJOIN(" ",TRUE,Entities[[#This Row],[ENT_NAME]],"County"),Entities[[#This Row],[ENT_NAME]])</f>
        <v>Baybrook Management District</v>
      </c>
    </row>
    <row r="1885" spans="1:6" x14ac:dyDescent="0.25">
      <c r="A1885" s="302" t="s">
        <v>7250</v>
      </c>
      <c r="B1885" s="303" t="str">
        <f t="shared" si="29"/>
        <v>x06000396</v>
      </c>
      <c r="C1885" t="s">
        <v>4</v>
      </c>
      <c r="D1885" t="s">
        <v>7251</v>
      </c>
      <c r="E1885">
        <v>6</v>
      </c>
      <c r="F1885" t="str">
        <f>IF(AND(Entities[[#This Row],[ENT_TYPE]]="County",RIGHT(Entities[[#This Row],[ENT_NAME]],6)&lt;&gt;"County"),_xlfn.TEXTJOIN(" ",TRUE,Entities[[#This Row],[ENT_NAME]],"County"),Entities[[#This Row],[ENT_NAME]])</f>
        <v>Harris County Improvement District 1</v>
      </c>
    </row>
    <row r="1886" spans="1:6" x14ac:dyDescent="0.25">
      <c r="A1886" s="304" t="s">
        <v>7252</v>
      </c>
      <c r="B1886" s="303" t="str">
        <f t="shared" si="29"/>
        <v>x06000399</v>
      </c>
      <c r="C1886" t="s">
        <v>4</v>
      </c>
      <c r="D1886" t="s">
        <v>7253</v>
      </c>
      <c r="E1886">
        <v>6</v>
      </c>
      <c r="F1886" t="str">
        <f>IF(AND(Entities[[#This Row],[ENT_TYPE]]="County",RIGHT(Entities[[#This Row],[ENT_NAME]],6)&lt;&gt;"County"),_xlfn.TEXTJOIN(" ",TRUE,Entities[[#This Row],[ENT_NAME]],"County"),Entities[[#This Row],[ENT_NAME]])</f>
        <v>Brazoria County MUD 29</v>
      </c>
    </row>
    <row r="1887" spans="1:6" x14ac:dyDescent="0.25">
      <c r="A1887" s="302" t="s">
        <v>7254</v>
      </c>
      <c r="B1887" s="303" t="str">
        <f t="shared" si="29"/>
        <v>x06000410</v>
      </c>
      <c r="C1887" t="s">
        <v>4</v>
      </c>
      <c r="D1887" t="s">
        <v>7255</v>
      </c>
      <c r="E1887">
        <v>6</v>
      </c>
      <c r="F1887" t="str">
        <f>IF(AND(Entities[[#This Row],[ENT_TYPE]]="County",RIGHT(Entities[[#This Row],[ENT_NAME]],6)&lt;&gt;"County"),_xlfn.TEXTJOIN(" ",TRUE,Entities[[#This Row],[ENT_NAME]],"County"),Entities[[#This Row],[ENT_NAME]])</f>
        <v>Central Harris County Regional Water Authority</v>
      </c>
    </row>
    <row r="1888" spans="1:6" x14ac:dyDescent="0.25">
      <c r="A1888" s="304" t="s">
        <v>7256</v>
      </c>
      <c r="B1888" s="303" t="str">
        <f t="shared" si="29"/>
        <v>x06000411</v>
      </c>
      <c r="C1888" t="s">
        <v>4</v>
      </c>
      <c r="D1888" t="s">
        <v>7257</v>
      </c>
      <c r="E1888">
        <v>6</v>
      </c>
      <c r="F1888" t="str">
        <f>IF(AND(Entities[[#This Row],[ENT_TYPE]]="County",RIGHT(Entities[[#This Row],[ENT_NAME]],6)&lt;&gt;"County"),_xlfn.TEXTJOIN(" ",TRUE,Entities[[#This Row],[ENT_NAME]],"County"),Entities[[#This Row],[ENT_NAME]])</f>
        <v>Montgomery County MUD 132</v>
      </c>
    </row>
    <row r="1889" spans="1:6" x14ac:dyDescent="0.25">
      <c r="A1889" s="302" t="s">
        <v>7258</v>
      </c>
      <c r="B1889" s="303" t="str">
        <f t="shared" si="29"/>
        <v>x06000412</v>
      </c>
      <c r="C1889" t="s">
        <v>4</v>
      </c>
      <c r="D1889" t="s">
        <v>7259</v>
      </c>
      <c r="E1889">
        <v>6</v>
      </c>
      <c r="F1889" t="str">
        <f>IF(AND(Entities[[#This Row],[ENT_TYPE]]="County",RIGHT(Entities[[#This Row],[ENT_NAME]],6)&lt;&gt;"County"),_xlfn.TEXTJOIN(" ",TRUE,Entities[[#This Row],[ENT_NAME]],"County"),Entities[[#This Row],[ENT_NAME]])</f>
        <v>Harris County MUD 531</v>
      </c>
    </row>
    <row r="1890" spans="1:6" x14ac:dyDescent="0.25">
      <c r="A1890" s="304" t="s">
        <v>7260</v>
      </c>
      <c r="B1890" s="303" t="str">
        <f t="shared" si="29"/>
        <v>x06000413</v>
      </c>
      <c r="C1890" t="s">
        <v>4</v>
      </c>
      <c r="D1890" t="s">
        <v>7261</v>
      </c>
      <c r="E1890">
        <v>6</v>
      </c>
      <c r="F1890" t="str">
        <f>IF(AND(Entities[[#This Row],[ENT_TYPE]]="County",RIGHT(Entities[[#This Row],[ENT_NAME]],6)&lt;&gt;"County"),_xlfn.TEXTJOIN(" ",TRUE,Entities[[#This Row],[ENT_NAME]],"County"),Entities[[#This Row],[ENT_NAME]])</f>
        <v>Harris County MUD 360</v>
      </c>
    </row>
    <row r="1891" spans="1:6" x14ac:dyDescent="0.25">
      <c r="A1891" s="304" t="s">
        <v>7262</v>
      </c>
      <c r="B1891" s="303" t="str">
        <f t="shared" si="29"/>
        <v>x06000415</v>
      </c>
      <c r="C1891" t="s">
        <v>4</v>
      </c>
      <c r="D1891" t="s">
        <v>7263</v>
      </c>
      <c r="E1891">
        <v>6</v>
      </c>
      <c r="F1891" t="str">
        <f>IF(AND(Entities[[#This Row],[ENT_TYPE]]="County",RIGHT(Entities[[#This Row],[ENT_NAME]],6)&lt;&gt;"County"),_xlfn.TEXTJOIN(" ",TRUE,Entities[[#This Row],[ENT_NAME]],"County"),Entities[[#This Row],[ENT_NAME]])</f>
        <v>Harris County MUD 460</v>
      </c>
    </row>
    <row r="1892" spans="1:6" x14ac:dyDescent="0.25">
      <c r="A1892" s="302" t="s">
        <v>7264</v>
      </c>
      <c r="B1892" s="303" t="str">
        <f t="shared" si="29"/>
        <v>x06000417</v>
      </c>
      <c r="C1892" t="s">
        <v>4</v>
      </c>
      <c r="D1892" t="s">
        <v>7265</v>
      </c>
      <c r="E1892">
        <v>6</v>
      </c>
      <c r="F1892" t="str">
        <f>IF(AND(Entities[[#This Row],[ENT_TYPE]]="County",RIGHT(Entities[[#This Row],[ENT_NAME]],6)&lt;&gt;"County"),_xlfn.TEXTJOIN(" ",TRUE,Entities[[#This Row],[ENT_NAME]],"County"),Entities[[#This Row],[ENT_NAME]])</f>
        <v>Magnolia Woods MUD 1</v>
      </c>
    </row>
    <row r="1893" spans="1:6" x14ac:dyDescent="0.25">
      <c r="A1893" s="304" t="s">
        <v>7266</v>
      </c>
      <c r="B1893" s="303" t="str">
        <f t="shared" si="29"/>
        <v>x06000421</v>
      </c>
      <c r="C1893" t="s">
        <v>4</v>
      </c>
      <c r="D1893" t="s">
        <v>7267</v>
      </c>
      <c r="E1893">
        <v>6</v>
      </c>
      <c r="F1893" t="str">
        <f>IF(AND(Entities[[#This Row],[ENT_TYPE]]="County",RIGHT(Entities[[#This Row],[ENT_NAME]],6)&lt;&gt;"County"),_xlfn.TEXTJOIN(" ",TRUE,Entities[[#This Row],[ENT_NAME]],"County"),Entities[[#This Row],[ENT_NAME]])</f>
        <v>Galveston County MUD 61</v>
      </c>
    </row>
    <row r="1894" spans="1:6" x14ac:dyDescent="0.25">
      <c r="A1894" s="302" t="s">
        <v>7268</v>
      </c>
      <c r="B1894" s="303" t="str">
        <f t="shared" si="29"/>
        <v>x06000422</v>
      </c>
      <c r="C1894" t="s">
        <v>4</v>
      </c>
      <c r="D1894" t="s">
        <v>7269</v>
      </c>
      <c r="E1894">
        <v>6</v>
      </c>
      <c r="F1894" t="str">
        <f>IF(AND(Entities[[#This Row],[ENT_TYPE]]="County",RIGHT(Entities[[#This Row],[ENT_NAME]],6)&lt;&gt;"County"),_xlfn.TEXTJOIN(" ",TRUE,Entities[[#This Row],[ENT_NAME]],"County"),Entities[[#This Row],[ENT_NAME]])</f>
        <v>Galveston County MUD 62</v>
      </c>
    </row>
    <row r="1895" spans="1:6" x14ac:dyDescent="0.25">
      <c r="A1895" s="304" t="s">
        <v>7270</v>
      </c>
      <c r="B1895" s="303" t="str">
        <f t="shared" si="29"/>
        <v>x06000423</v>
      </c>
      <c r="C1895" t="s">
        <v>4</v>
      </c>
      <c r="D1895" t="s">
        <v>7271</v>
      </c>
      <c r="E1895">
        <v>6</v>
      </c>
      <c r="F1895" t="str">
        <f>IF(AND(Entities[[#This Row],[ENT_TYPE]]="County",RIGHT(Entities[[#This Row],[ENT_NAME]],6)&lt;&gt;"County"),_xlfn.TEXTJOIN(" ",TRUE,Entities[[#This Row],[ENT_NAME]],"County"),Entities[[#This Row],[ENT_NAME]])</f>
        <v>Galveston County MUD 63</v>
      </c>
    </row>
    <row r="1896" spans="1:6" x14ac:dyDescent="0.25">
      <c r="A1896" s="302" t="s">
        <v>7272</v>
      </c>
      <c r="B1896" s="303" t="str">
        <f t="shared" si="29"/>
        <v>x06000424</v>
      </c>
      <c r="C1896" t="s">
        <v>4</v>
      </c>
      <c r="D1896" t="s">
        <v>7273</v>
      </c>
      <c r="E1896">
        <v>6</v>
      </c>
      <c r="F1896" t="str">
        <f>IF(AND(Entities[[#This Row],[ENT_TYPE]]="County",RIGHT(Entities[[#This Row],[ENT_NAME]],6)&lt;&gt;"County"),_xlfn.TEXTJOIN(" ",TRUE,Entities[[#This Row],[ENT_NAME]],"County"),Entities[[#This Row],[ENT_NAME]])</f>
        <v>Harris County MUD 319</v>
      </c>
    </row>
    <row r="1897" spans="1:6" x14ac:dyDescent="0.25">
      <c r="A1897" s="304" t="s">
        <v>7274</v>
      </c>
      <c r="B1897" s="303" t="str">
        <f t="shared" si="29"/>
        <v>x06000427</v>
      </c>
      <c r="C1897" t="s">
        <v>4</v>
      </c>
      <c r="D1897" t="s">
        <v>7275</v>
      </c>
      <c r="E1897">
        <v>6</v>
      </c>
      <c r="F1897" t="str">
        <f>IF(AND(Entities[[#This Row],[ENT_TYPE]]="County",RIGHT(Entities[[#This Row],[ENT_NAME]],6)&lt;&gt;"County"),_xlfn.TEXTJOIN(" ",TRUE,Entities[[#This Row],[ENT_NAME]],"County"),Entities[[#This Row],[ENT_NAME]])</f>
        <v>Harris County MUD 491</v>
      </c>
    </row>
    <row r="1898" spans="1:6" x14ac:dyDescent="0.25">
      <c r="A1898" s="302" t="s">
        <v>7276</v>
      </c>
      <c r="B1898" s="303" t="str">
        <f t="shared" si="29"/>
        <v>x06000429</v>
      </c>
      <c r="C1898" t="s">
        <v>4</v>
      </c>
      <c r="D1898" t="s">
        <v>7277</v>
      </c>
      <c r="E1898">
        <v>6</v>
      </c>
      <c r="F1898" t="str">
        <f>IF(AND(Entities[[#This Row],[ENT_TYPE]]="County",RIGHT(Entities[[#This Row],[ENT_NAME]],6)&lt;&gt;"County"),_xlfn.TEXTJOIN(" ",TRUE,Entities[[#This Row],[ENT_NAME]],"County"),Entities[[#This Row],[ENT_NAME]])</f>
        <v>Montgomery County MUD 115</v>
      </c>
    </row>
    <row r="1899" spans="1:6" x14ac:dyDescent="0.25">
      <c r="A1899" s="304" t="s">
        <v>7278</v>
      </c>
      <c r="B1899" s="303" t="str">
        <f t="shared" si="29"/>
        <v>x06000430</v>
      </c>
      <c r="C1899" t="s">
        <v>4</v>
      </c>
      <c r="D1899" t="s">
        <v>7279</v>
      </c>
      <c r="E1899">
        <v>6</v>
      </c>
      <c r="F1899" t="str">
        <f>IF(AND(Entities[[#This Row],[ENT_TYPE]]="County",RIGHT(Entities[[#This Row],[ENT_NAME]],6)&lt;&gt;"County"),_xlfn.TEXTJOIN(" ",TRUE,Entities[[#This Row],[ENT_NAME]],"County"),Entities[[#This Row],[ENT_NAME]])</f>
        <v>Harris County MUD 401</v>
      </c>
    </row>
    <row r="1900" spans="1:6" x14ac:dyDescent="0.25">
      <c r="A1900" s="302" t="s">
        <v>7280</v>
      </c>
      <c r="B1900" s="303" t="str">
        <f t="shared" si="29"/>
        <v>x06000433</v>
      </c>
      <c r="C1900" t="s">
        <v>4</v>
      </c>
      <c r="D1900" t="s">
        <v>7281</v>
      </c>
      <c r="E1900">
        <v>6</v>
      </c>
      <c r="F1900" t="str">
        <f>IF(AND(Entities[[#This Row],[ENT_TYPE]]="County",RIGHT(Entities[[#This Row],[ENT_NAME]],6)&lt;&gt;"County"),_xlfn.TEXTJOIN(" ",TRUE,Entities[[#This Row],[ENT_NAME]],"County"),Entities[[#This Row],[ENT_NAME]])</f>
        <v>Harris County WCID 119</v>
      </c>
    </row>
    <row r="1901" spans="1:6" x14ac:dyDescent="0.25">
      <c r="A1901" s="304" t="s">
        <v>7282</v>
      </c>
      <c r="B1901" s="303" t="str">
        <f t="shared" si="29"/>
        <v>x06000435</v>
      </c>
      <c r="C1901" t="s">
        <v>4</v>
      </c>
      <c r="D1901" t="s">
        <v>7283</v>
      </c>
      <c r="E1901">
        <v>6</v>
      </c>
      <c r="F1901" t="str">
        <f>IF(AND(Entities[[#This Row],[ENT_TYPE]]="County",RIGHT(Entities[[#This Row],[ENT_NAME]],6)&lt;&gt;"County"),_xlfn.TEXTJOIN(" ",TRUE,Entities[[#This Row],[ENT_NAME]],"County"),Entities[[#This Row],[ENT_NAME]])</f>
        <v>Harris County MUD 233</v>
      </c>
    </row>
    <row r="1902" spans="1:6" x14ac:dyDescent="0.25">
      <c r="A1902" s="302" t="s">
        <v>7284</v>
      </c>
      <c r="B1902" s="303" t="str">
        <f t="shared" si="29"/>
        <v>x06000436</v>
      </c>
      <c r="C1902" t="s">
        <v>4</v>
      </c>
      <c r="D1902" t="s">
        <v>7285</v>
      </c>
      <c r="E1902">
        <v>6</v>
      </c>
      <c r="F1902" t="str">
        <f>IF(AND(Entities[[#This Row],[ENT_TYPE]]="County",RIGHT(Entities[[#This Row],[ENT_NAME]],6)&lt;&gt;"County"),_xlfn.TEXTJOIN(" ",TRUE,Entities[[#This Row],[ENT_NAME]],"County"),Entities[[#This Row],[ENT_NAME]])</f>
        <v>Harris County MUD 557</v>
      </c>
    </row>
    <row r="1903" spans="1:6" x14ac:dyDescent="0.25">
      <c r="A1903" s="304" t="s">
        <v>7286</v>
      </c>
      <c r="B1903" s="303" t="str">
        <f t="shared" si="29"/>
        <v>x06000440</v>
      </c>
      <c r="C1903" t="s">
        <v>4</v>
      </c>
      <c r="D1903" t="s">
        <v>7265</v>
      </c>
      <c r="E1903">
        <v>6</v>
      </c>
      <c r="F1903" t="str">
        <f>IF(AND(Entities[[#This Row],[ENT_TYPE]]="County",RIGHT(Entities[[#This Row],[ENT_NAME]],6)&lt;&gt;"County"),_xlfn.TEXTJOIN(" ",TRUE,Entities[[#This Row],[ENT_NAME]],"County"),Entities[[#This Row],[ENT_NAME]])</f>
        <v>Magnolia Woods MUD 1</v>
      </c>
    </row>
    <row r="1904" spans="1:6" x14ac:dyDescent="0.25">
      <c r="A1904" s="302" t="s">
        <v>7287</v>
      </c>
      <c r="B1904" s="303" t="str">
        <f t="shared" si="29"/>
        <v>x06000441</v>
      </c>
      <c r="C1904" t="s">
        <v>4</v>
      </c>
      <c r="D1904" t="s">
        <v>7288</v>
      </c>
      <c r="E1904">
        <v>6</v>
      </c>
      <c r="F1904" t="str">
        <f>IF(AND(Entities[[#This Row],[ENT_TYPE]]="County",RIGHT(Entities[[#This Row],[ENT_NAME]],6)&lt;&gt;"County"),_xlfn.TEXTJOIN(" ",TRUE,Entities[[#This Row],[ENT_NAME]],"County"),Entities[[#This Row],[ENT_NAME]])</f>
        <v>Porter SUD</v>
      </c>
    </row>
    <row r="1905" spans="1:6" x14ac:dyDescent="0.25">
      <c r="A1905" s="304" t="s">
        <v>7289</v>
      </c>
      <c r="B1905" s="303" t="str">
        <f t="shared" si="29"/>
        <v>x06000443</v>
      </c>
      <c r="C1905" t="s">
        <v>4</v>
      </c>
      <c r="D1905" t="s">
        <v>7290</v>
      </c>
      <c r="E1905">
        <v>6</v>
      </c>
      <c r="F1905" t="str">
        <f>IF(AND(Entities[[#This Row],[ENT_TYPE]]="County",RIGHT(Entities[[#This Row],[ENT_NAME]],6)&lt;&gt;"County"),_xlfn.TEXTJOIN(" ",TRUE,Entities[[#This Row],[ENT_NAME]],"County"),Entities[[#This Row],[ENT_NAME]])</f>
        <v>Galveston County WCID 1</v>
      </c>
    </row>
    <row r="1906" spans="1:6" x14ac:dyDescent="0.25">
      <c r="A1906" s="302" t="s">
        <v>7291</v>
      </c>
      <c r="B1906" s="303" t="str">
        <f t="shared" si="29"/>
        <v>x06000446</v>
      </c>
      <c r="C1906" t="s">
        <v>4</v>
      </c>
      <c r="D1906" t="s">
        <v>7292</v>
      </c>
      <c r="E1906">
        <v>6</v>
      </c>
      <c r="F1906" t="str">
        <f>IF(AND(Entities[[#This Row],[ENT_TYPE]]="County",RIGHT(Entities[[#This Row],[ENT_NAME]],6)&lt;&gt;"County"),_xlfn.TEXTJOIN(" ",TRUE,Entities[[#This Row],[ENT_NAME]],"County"),Entities[[#This Row],[ENT_NAME]])</f>
        <v>Bauer Landing WCID</v>
      </c>
    </row>
    <row r="1907" spans="1:6" x14ac:dyDescent="0.25">
      <c r="A1907" s="304" t="s">
        <v>7293</v>
      </c>
      <c r="B1907" s="303" t="str">
        <f t="shared" si="29"/>
        <v>x06000449</v>
      </c>
      <c r="C1907" t="s">
        <v>4</v>
      </c>
      <c r="D1907" t="s">
        <v>7294</v>
      </c>
      <c r="E1907">
        <v>6</v>
      </c>
      <c r="F1907" t="str">
        <f>IF(AND(Entities[[#This Row],[ENT_TYPE]]="County",RIGHT(Entities[[#This Row],[ENT_NAME]],6)&lt;&gt;"County"),_xlfn.TEXTJOIN(" ",TRUE,Entities[[#This Row],[ENT_NAME]],"County"),Entities[[#This Row],[ENT_NAME]])</f>
        <v>Harris County MUD 476</v>
      </c>
    </row>
    <row r="1908" spans="1:6" x14ac:dyDescent="0.25">
      <c r="A1908" s="302" t="s">
        <v>7295</v>
      </c>
      <c r="B1908" s="303" t="str">
        <f t="shared" si="29"/>
        <v>x06000450</v>
      </c>
      <c r="C1908" t="s">
        <v>4</v>
      </c>
      <c r="D1908" t="s">
        <v>7296</v>
      </c>
      <c r="E1908">
        <v>6</v>
      </c>
      <c r="F1908" t="str">
        <f>IF(AND(Entities[[#This Row],[ENT_TYPE]]="County",RIGHT(Entities[[#This Row],[ENT_NAME]],6)&lt;&gt;"County"),_xlfn.TEXTJOIN(" ",TRUE,Entities[[#This Row],[ENT_NAME]],"County"),Entities[[#This Row],[ENT_NAME]])</f>
        <v>Harris County MUD 520</v>
      </c>
    </row>
    <row r="1909" spans="1:6" x14ac:dyDescent="0.25">
      <c r="A1909" s="304" t="s">
        <v>7297</v>
      </c>
      <c r="B1909" s="303" t="str">
        <f t="shared" si="29"/>
        <v>x06000452</v>
      </c>
      <c r="C1909" t="s">
        <v>4</v>
      </c>
      <c r="D1909" t="s">
        <v>7298</v>
      </c>
      <c r="E1909">
        <v>6</v>
      </c>
      <c r="F1909" t="str">
        <f>IF(AND(Entities[[#This Row],[ENT_TYPE]]="County",RIGHT(Entities[[#This Row],[ENT_NAME]],6)&lt;&gt;"County"),_xlfn.TEXTJOIN(" ",TRUE,Entities[[#This Row],[ENT_NAME]],"County"),Entities[[#This Row],[ENT_NAME]])</f>
        <v>Harris County MUD 1</v>
      </c>
    </row>
    <row r="1910" spans="1:6" x14ac:dyDescent="0.25">
      <c r="A1910" s="302" t="s">
        <v>7299</v>
      </c>
      <c r="B1910" s="303" t="str">
        <f t="shared" si="29"/>
        <v>x06000453</v>
      </c>
      <c r="C1910" t="s">
        <v>4</v>
      </c>
      <c r="D1910" t="s">
        <v>7300</v>
      </c>
      <c r="E1910">
        <v>6</v>
      </c>
      <c r="F1910" t="str">
        <f>IF(AND(Entities[[#This Row],[ENT_TYPE]]="County",RIGHT(Entities[[#This Row],[ENT_NAME]],6)&lt;&gt;"County"),_xlfn.TEXTJOIN(" ",TRUE,Entities[[#This Row],[ENT_NAME]],"County"),Entities[[#This Row],[ENT_NAME]])</f>
        <v>Harris County MUD 388</v>
      </c>
    </row>
    <row r="1911" spans="1:6" x14ac:dyDescent="0.25">
      <c r="A1911" s="304" t="s">
        <v>7301</v>
      </c>
      <c r="B1911" s="303" t="str">
        <f t="shared" si="29"/>
        <v>x06000454</v>
      </c>
      <c r="C1911" t="s">
        <v>4</v>
      </c>
      <c r="D1911" t="s">
        <v>7302</v>
      </c>
      <c r="E1911">
        <v>6</v>
      </c>
      <c r="F1911" t="str">
        <f>IF(AND(Entities[[#This Row],[ENT_TYPE]]="County",RIGHT(Entities[[#This Row],[ENT_NAME]],6)&lt;&gt;"County"),_xlfn.TEXTJOIN(" ",TRUE,Entities[[#This Row],[ENT_NAME]],"County"),Entities[[#This Row],[ENT_NAME]])</f>
        <v>CNP Utility District</v>
      </c>
    </row>
    <row r="1912" spans="1:6" x14ac:dyDescent="0.25">
      <c r="A1912" s="302" t="s">
        <v>7303</v>
      </c>
      <c r="B1912" s="303" t="str">
        <f t="shared" si="29"/>
        <v>x06000458</v>
      </c>
      <c r="C1912" t="s">
        <v>4</v>
      </c>
      <c r="D1912" t="s">
        <v>7304</v>
      </c>
      <c r="E1912">
        <v>6</v>
      </c>
      <c r="F1912" t="str">
        <f>IF(AND(Entities[[#This Row],[ENT_TYPE]]="County",RIGHT(Entities[[#This Row],[ENT_NAME]],6)&lt;&gt;"County"),_xlfn.TEXTJOIN(" ",TRUE,Entities[[#This Row],[ENT_NAME]],"County"),Entities[[#This Row],[ENT_NAME]])</f>
        <v>Harris County MUD 497</v>
      </c>
    </row>
    <row r="1913" spans="1:6" x14ac:dyDescent="0.25">
      <c r="A1913" s="304" t="s">
        <v>7305</v>
      </c>
      <c r="B1913" s="303" t="str">
        <f t="shared" si="29"/>
        <v>x06000460</v>
      </c>
      <c r="C1913" t="s">
        <v>4</v>
      </c>
      <c r="D1913" t="s">
        <v>7306</v>
      </c>
      <c r="E1913">
        <v>6</v>
      </c>
      <c r="F1913" t="str">
        <f>IF(AND(Entities[[#This Row],[ENT_TYPE]]="County",RIGHT(Entities[[#This Row],[ENT_NAME]],6)&lt;&gt;"County"),_xlfn.TEXTJOIN(" ",TRUE,Entities[[#This Row],[ENT_NAME]],"County"),Entities[[#This Row],[ENT_NAME]])</f>
        <v>Harris County MUD 477</v>
      </c>
    </row>
    <row r="1914" spans="1:6" x14ac:dyDescent="0.25">
      <c r="A1914" s="302" t="s">
        <v>7307</v>
      </c>
      <c r="B1914" s="303" t="str">
        <f t="shared" si="29"/>
        <v>x06000464</v>
      </c>
      <c r="C1914" t="s">
        <v>4</v>
      </c>
      <c r="D1914" t="s">
        <v>7308</v>
      </c>
      <c r="E1914">
        <v>6</v>
      </c>
      <c r="F1914" t="str">
        <f>IF(AND(Entities[[#This Row],[ENT_TYPE]]="County",RIGHT(Entities[[#This Row],[ENT_NAME]],6)&lt;&gt;"County"),_xlfn.TEXTJOIN(" ",TRUE,Entities[[#This Row],[ENT_NAME]],"County"),Entities[[#This Row],[ENT_NAME]])</f>
        <v>West Harris County MUD 11</v>
      </c>
    </row>
    <row r="1915" spans="1:6" x14ac:dyDescent="0.25">
      <c r="A1915" s="302" t="s">
        <v>7309</v>
      </c>
      <c r="B1915" s="303" t="str">
        <f t="shared" si="29"/>
        <v>x06000468</v>
      </c>
      <c r="C1915" t="s">
        <v>4</v>
      </c>
      <c r="D1915" t="s">
        <v>7310</v>
      </c>
      <c r="E1915">
        <v>6</v>
      </c>
      <c r="F1915" t="str">
        <f>IF(AND(Entities[[#This Row],[ENT_TYPE]]="County",RIGHT(Entities[[#This Row],[ENT_NAME]],6)&lt;&gt;"County"),_xlfn.TEXTJOIN(" ",TRUE,Entities[[#This Row],[ENT_NAME]],"County"),Entities[[#This Row],[ENT_NAME]])</f>
        <v>Harborside Management District</v>
      </c>
    </row>
    <row r="1916" spans="1:6" x14ac:dyDescent="0.25">
      <c r="A1916" s="304" t="s">
        <v>7311</v>
      </c>
      <c r="B1916" s="303" t="str">
        <f t="shared" si="29"/>
        <v>x06000469</v>
      </c>
      <c r="C1916" t="s">
        <v>4</v>
      </c>
      <c r="D1916" t="s">
        <v>7312</v>
      </c>
      <c r="E1916">
        <v>6</v>
      </c>
      <c r="F1916" t="str">
        <f>IF(AND(Entities[[#This Row],[ENT_TYPE]]="County",RIGHT(Entities[[#This Row],[ENT_NAME]],6)&lt;&gt;"County"),_xlfn.TEXTJOIN(" ",TRUE,Entities[[#This Row],[ENT_NAME]],"County"),Entities[[#This Row],[ENT_NAME]])</f>
        <v>Harris County Improvement District 7</v>
      </c>
    </row>
    <row r="1917" spans="1:6" x14ac:dyDescent="0.25">
      <c r="A1917" s="302" t="s">
        <v>7313</v>
      </c>
      <c r="B1917" s="303" t="str">
        <f t="shared" si="29"/>
        <v>x06000470</v>
      </c>
      <c r="C1917" t="s">
        <v>4</v>
      </c>
      <c r="D1917" t="s">
        <v>7314</v>
      </c>
      <c r="E1917">
        <v>6</v>
      </c>
      <c r="F1917" t="str">
        <f>IF(AND(Entities[[#This Row],[ENT_TYPE]]="County",RIGHT(Entities[[#This Row],[ENT_NAME]],6)&lt;&gt;"County"),_xlfn.TEXTJOIN(" ",TRUE,Entities[[#This Row],[ENT_NAME]],"County"),Entities[[#This Row],[ENT_NAME]])</f>
        <v>Airline Improvement District</v>
      </c>
    </row>
    <row r="1918" spans="1:6" x14ac:dyDescent="0.25">
      <c r="A1918" s="302" t="s">
        <v>7315</v>
      </c>
      <c r="B1918" s="303" t="str">
        <f t="shared" si="29"/>
        <v>x06000482</v>
      </c>
      <c r="C1918" t="s">
        <v>4</v>
      </c>
      <c r="D1918" t="s">
        <v>7316</v>
      </c>
      <c r="E1918">
        <v>6</v>
      </c>
      <c r="F1918" t="str">
        <f>IF(AND(Entities[[#This Row],[ENT_TYPE]]="County",RIGHT(Entities[[#This Row],[ENT_NAME]],6)&lt;&gt;"County"),_xlfn.TEXTJOIN(" ",TRUE,Entities[[#This Row],[ENT_NAME]],"County"),Entities[[#This Row],[ENT_NAME]])</f>
        <v>Montgomery County MUD 161</v>
      </c>
    </row>
    <row r="1919" spans="1:6" x14ac:dyDescent="0.25">
      <c r="A1919" s="304" t="s">
        <v>7317</v>
      </c>
      <c r="B1919" s="303" t="str">
        <f t="shared" si="29"/>
        <v>x06000483</v>
      </c>
      <c r="C1919" t="s">
        <v>4</v>
      </c>
      <c r="D1919" t="s">
        <v>7318</v>
      </c>
      <c r="E1919">
        <v>6</v>
      </c>
      <c r="F1919" t="str">
        <f>IF(AND(Entities[[#This Row],[ENT_TYPE]]="County",RIGHT(Entities[[#This Row],[ENT_NAME]],6)&lt;&gt;"County"),_xlfn.TEXTJOIN(" ",TRUE,Entities[[#This Row],[ENT_NAME]],"County"),Entities[[#This Row],[ENT_NAME]])</f>
        <v>Galveston County MUD 72</v>
      </c>
    </row>
    <row r="1920" spans="1:6" x14ac:dyDescent="0.25">
      <c r="A1920" s="304" t="s">
        <v>7319</v>
      </c>
      <c r="B1920" s="303" t="str">
        <f t="shared" si="29"/>
        <v>x06000488</v>
      </c>
      <c r="C1920" t="s">
        <v>4</v>
      </c>
      <c r="D1920" t="s">
        <v>7320</v>
      </c>
      <c r="E1920">
        <v>6</v>
      </c>
      <c r="F1920" t="str">
        <f>IF(AND(Entities[[#This Row],[ENT_TYPE]]="County",RIGHT(Entities[[#This Row],[ENT_NAME]],6)&lt;&gt;"County"),_xlfn.TEXTJOIN(" ",TRUE,Entities[[#This Row],[ENT_NAME]],"County"),Entities[[#This Row],[ENT_NAME]])</f>
        <v>West Harris County RWA</v>
      </c>
    </row>
    <row r="1921" spans="1:6" x14ac:dyDescent="0.25">
      <c r="A1921" s="302" t="s">
        <v>7321</v>
      </c>
      <c r="B1921" s="303" t="str">
        <f t="shared" si="29"/>
        <v>x06000489</v>
      </c>
      <c r="C1921" t="s">
        <v>4</v>
      </c>
      <c r="D1921" t="s">
        <v>7322</v>
      </c>
      <c r="E1921">
        <v>6</v>
      </c>
      <c r="F1921" t="str">
        <f>IF(AND(Entities[[#This Row],[ENT_TYPE]]="County",RIGHT(Entities[[#This Row],[ENT_NAME]],6)&lt;&gt;"County"),_xlfn.TEXTJOIN(" ",TRUE,Entities[[#This Row],[ENT_NAME]],"County"),Entities[[#This Row],[ENT_NAME]])</f>
        <v>Montgomery County MUD 83</v>
      </c>
    </row>
    <row r="1922" spans="1:6" x14ac:dyDescent="0.25">
      <c r="A1922" s="304" t="s">
        <v>7323</v>
      </c>
      <c r="B1922" s="303" t="str">
        <f t="shared" ref="B1922:B1985" si="30">_xlfn.CONCAT("x",TEXT(A1922,"00000000"))</f>
        <v>x06000490</v>
      </c>
      <c r="C1922" t="s">
        <v>4</v>
      </c>
      <c r="D1922" t="s">
        <v>7324</v>
      </c>
      <c r="E1922">
        <v>6</v>
      </c>
      <c r="F1922" t="str">
        <f>IF(AND(Entities[[#This Row],[ENT_TYPE]]="County",RIGHT(Entities[[#This Row],[ENT_NAME]],6)&lt;&gt;"County"),_xlfn.TEXTJOIN(" ",TRUE,Entities[[#This Row],[ENT_NAME]],"County"),Entities[[#This Row],[ENT_NAME]])</f>
        <v>Harris County MUD 144</v>
      </c>
    </row>
    <row r="1923" spans="1:6" x14ac:dyDescent="0.25">
      <c r="A1923" s="302" t="s">
        <v>7325</v>
      </c>
      <c r="B1923" s="303" t="str">
        <f t="shared" si="30"/>
        <v>x06000491</v>
      </c>
      <c r="C1923" t="s">
        <v>4</v>
      </c>
      <c r="D1923" t="s">
        <v>7326</v>
      </c>
      <c r="E1923">
        <v>6</v>
      </c>
      <c r="F1923" t="str">
        <f>IF(AND(Entities[[#This Row],[ENT_TYPE]]="County",RIGHT(Entities[[#This Row],[ENT_NAME]],6)&lt;&gt;"County"),_xlfn.TEXTJOIN(" ",TRUE,Entities[[#This Row],[ENT_NAME]],"County"),Entities[[#This Row],[ENT_NAME]])</f>
        <v>Harris County MUD 11</v>
      </c>
    </row>
    <row r="1924" spans="1:6" x14ac:dyDescent="0.25">
      <c r="A1924" s="304" t="s">
        <v>7327</v>
      </c>
      <c r="B1924" s="303" t="str">
        <f t="shared" si="30"/>
        <v>x06000495</v>
      </c>
      <c r="C1924" t="s">
        <v>4</v>
      </c>
      <c r="D1924" t="s">
        <v>7328</v>
      </c>
      <c r="E1924">
        <v>6</v>
      </c>
      <c r="F1924" t="str">
        <f>IF(AND(Entities[[#This Row],[ENT_TYPE]]="County",RIGHT(Entities[[#This Row],[ENT_NAME]],6)&lt;&gt;"County"),_xlfn.TEXTJOIN(" ",TRUE,Entities[[#This Row],[ENT_NAME]],"County"),Entities[[#This Row],[ENT_NAME]])</f>
        <v>Interstate MUD</v>
      </c>
    </row>
    <row r="1925" spans="1:6" x14ac:dyDescent="0.25">
      <c r="A1925" s="304" t="s">
        <v>7329</v>
      </c>
      <c r="B1925" s="303" t="str">
        <f t="shared" si="30"/>
        <v>x06000501</v>
      </c>
      <c r="C1925" t="s">
        <v>5166</v>
      </c>
      <c r="D1925" t="s">
        <v>7330</v>
      </c>
      <c r="E1925">
        <v>6</v>
      </c>
      <c r="F1925" t="str">
        <f>IF(AND(Entities[[#This Row],[ENT_TYPE]]="County",RIGHT(Entities[[#This Row],[ENT_NAME]],6)&lt;&gt;"County"),_xlfn.TEXTJOIN(" ",TRUE,Entities[[#This Row],[ENT_NAME]],"County"),Entities[[#This Row],[ENT_NAME]])</f>
        <v>Galveston County Consolidated Drainage District</v>
      </c>
    </row>
    <row r="1926" spans="1:6" x14ac:dyDescent="0.25">
      <c r="A1926" s="304" t="s">
        <v>7331</v>
      </c>
      <c r="B1926" s="303" t="str">
        <f t="shared" si="30"/>
        <v>x06000502</v>
      </c>
      <c r="C1926" t="s">
        <v>4</v>
      </c>
      <c r="D1926" t="s">
        <v>7332</v>
      </c>
      <c r="E1926">
        <v>6</v>
      </c>
      <c r="F1926" t="str">
        <f>IF(AND(Entities[[#This Row],[ENT_TYPE]]="County",RIGHT(Entities[[#This Row],[ENT_NAME]],6)&lt;&gt;"County"),_xlfn.TEXTJOIN(" ",TRUE,Entities[[#This Row],[ENT_NAME]],"County"),Entities[[#This Row],[ENT_NAME]])</f>
        <v>Greater Sharpstown Management District</v>
      </c>
    </row>
    <row r="1927" spans="1:6" x14ac:dyDescent="0.25">
      <c r="A1927" s="304" t="s">
        <v>7333</v>
      </c>
      <c r="B1927" s="303" t="str">
        <f t="shared" si="30"/>
        <v>x06000503</v>
      </c>
      <c r="C1927" t="s">
        <v>4</v>
      </c>
      <c r="D1927" t="s">
        <v>7334</v>
      </c>
      <c r="E1927">
        <v>6</v>
      </c>
      <c r="F1927" t="str">
        <f>IF(AND(Entities[[#This Row],[ENT_TYPE]]="County",RIGHT(Entities[[#This Row],[ENT_NAME]],6)&lt;&gt;"County"),_xlfn.TEXTJOIN(" ",TRUE,Entities[[#This Row],[ENT_NAME]],"County"),Entities[[#This Row],[ENT_NAME]])</f>
        <v>Harris County MUD 104</v>
      </c>
    </row>
    <row r="1928" spans="1:6" x14ac:dyDescent="0.25">
      <c r="A1928" s="302" t="s">
        <v>7335</v>
      </c>
      <c r="B1928" s="303" t="str">
        <f t="shared" si="30"/>
        <v>x06000504</v>
      </c>
      <c r="C1928" t="s">
        <v>4</v>
      </c>
      <c r="D1928" t="s">
        <v>7336</v>
      </c>
      <c r="E1928">
        <v>6</v>
      </c>
      <c r="F1928" t="str">
        <f>IF(AND(Entities[[#This Row],[ENT_TYPE]]="County",RIGHT(Entities[[#This Row],[ENT_NAME]],6)&lt;&gt;"County"),_xlfn.TEXTJOIN(" ",TRUE,Entities[[#This Row],[ENT_NAME]],"County"),Entities[[#This Row],[ENT_NAME]])</f>
        <v>Kleinwood MUD</v>
      </c>
    </row>
    <row r="1929" spans="1:6" x14ac:dyDescent="0.25">
      <c r="A1929" s="304" t="s">
        <v>7337</v>
      </c>
      <c r="B1929" s="303" t="str">
        <f t="shared" si="30"/>
        <v>x06000511</v>
      </c>
      <c r="C1929" t="s">
        <v>4</v>
      </c>
      <c r="D1929" t="s">
        <v>7338</v>
      </c>
      <c r="E1929">
        <v>6</v>
      </c>
      <c r="F1929" t="str">
        <f>IF(AND(Entities[[#This Row],[ENT_TYPE]]="County",RIGHT(Entities[[#This Row],[ENT_NAME]],6)&lt;&gt;"County"),_xlfn.TEXTJOIN(" ",TRUE,Entities[[#This Row],[ENT_NAME]],"County"),Entities[[#This Row],[ENT_NAME]])</f>
        <v>West Galveston Island Conservation District</v>
      </c>
    </row>
    <row r="1930" spans="1:6" x14ac:dyDescent="0.25">
      <c r="A1930" s="302" t="s">
        <v>7339</v>
      </c>
      <c r="B1930" s="303" t="str">
        <f t="shared" si="30"/>
        <v>x06000516</v>
      </c>
      <c r="C1930" t="s">
        <v>4</v>
      </c>
      <c r="D1930" t="s">
        <v>7340</v>
      </c>
      <c r="E1930">
        <v>6</v>
      </c>
      <c r="F1930" t="str">
        <f>IF(AND(Entities[[#This Row],[ENT_TYPE]]="County",RIGHT(Entities[[#This Row],[ENT_NAME]],6)&lt;&gt;"County"),_xlfn.TEXTJOIN(" ",TRUE,Entities[[#This Row],[ENT_NAME]],"County"),Entities[[#This Row],[ENT_NAME]])</f>
        <v>Terranova West MUD</v>
      </c>
    </row>
    <row r="1931" spans="1:6" x14ac:dyDescent="0.25">
      <c r="A1931" s="304" t="s">
        <v>7341</v>
      </c>
      <c r="B1931" s="303" t="str">
        <f t="shared" si="30"/>
        <v>x06000517</v>
      </c>
      <c r="C1931" t="s">
        <v>4</v>
      </c>
      <c r="D1931" t="s">
        <v>7342</v>
      </c>
      <c r="E1931">
        <v>6</v>
      </c>
      <c r="F1931" t="str">
        <f>IF(AND(Entities[[#This Row],[ENT_TYPE]]="County",RIGHT(Entities[[#This Row],[ENT_NAME]],6)&lt;&gt;"County"),_xlfn.TEXTJOIN(" ",TRUE,Entities[[#This Row],[ENT_NAME]],"County"),Entities[[#This Row],[ENT_NAME]])</f>
        <v>Harris County MUD 82</v>
      </c>
    </row>
    <row r="1932" spans="1:6" x14ac:dyDescent="0.25">
      <c r="A1932" s="302" t="s">
        <v>7343</v>
      </c>
      <c r="B1932" s="303" t="str">
        <f t="shared" si="30"/>
        <v>x06000518</v>
      </c>
      <c r="C1932" t="s">
        <v>4</v>
      </c>
      <c r="D1932" t="s">
        <v>7344</v>
      </c>
      <c r="E1932">
        <v>6</v>
      </c>
      <c r="F1932" t="str">
        <f>IF(AND(Entities[[#This Row],[ENT_TYPE]]="County",RIGHT(Entities[[#This Row],[ENT_NAME]],6)&lt;&gt;"County"),_xlfn.TEXTJOIN(" ",TRUE,Entities[[#This Row],[ENT_NAME]],"County"),Entities[[#This Row],[ENT_NAME]])</f>
        <v>Greenspoint District</v>
      </c>
    </row>
    <row r="1933" spans="1:6" x14ac:dyDescent="0.25">
      <c r="A1933" s="304" t="s">
        <v>7345</v>
      </c>
      <c r="B1933" s="303" t="str">
        <f t="shared" si="30"/>
        <v>x06000523</v>
      </c>
      <c r="C1933" t="s">
        <v>4</v>
      </c>
      <c r="D1933" t="s">
        <v>7346</v>
      </c>
      <c r="E1933">
        <v>6</v>
      </c>
      <c r="F1933" t="str">
        <f>IF(AND(Entities[[#This Row],[ENT_TYPE]]="County",RIGHT(Entities[[#This Row],[ENT_NAME]],6)&lt;&gt;"County"),_xlfn.TEXTJOIN(" ",TRUE,Entities[[#This Row],[ENT_NAME]],"County"),Entities[[#This Row],[ENT_NAME]])</f>
        <v>Greater Northside Management District</v>
      </c>
    </row>
    <row r="1934" spans="1:6" x14ac:dyDescent="0.25">
      <c r="A1934" s="304" t="s">
        <v>7347</v>
      </c>
      <c r="B1934" s="303" t="str">
        <f t="shared" si="30"/>
        <v>x06000528</v>
      </c>
      <c r="C1934" t="s">
        <v>4</v>
      </c>
      <c r="D1934" t="s">
        <v>7348</v>
      </c>
      <c r="E1934">
        <v>6</v>
      </c>
      <c r="F1934" t="str">
        <f>IF(AND(Entities[[#This Row],[ENT_TYPE]]="County",RIGHT(Entities[[#This Row],[ENT_NAME]],6)&lt;&gt;"County"),_xlfn.TEXTJOIN(" ",TRUE,Entities[[#This Row],[ENT_NAME]],"County"),Entities[[#This Row],[ENT_NAME]])</f>
        <v>Liberty County MUD 6</v>
      </c>
    </row>
    <row r="1935" spans="1:6" x14ac:dyDescent="0.25">
      <c r="A1935" s="302" t="s">
        <v>7349</v>
      </c>
      <c r="B1935" s="303" t="str">
        <f t="shared" si="30"/>
        <v>x06000529</v>
      </c>
      <c r="C1935" t="s">
        <v>4</v>
      </c>
      <c r="D1935" t="s">
        <v>7350</v>
      </c>
      <c r="E1935">
        <v>6</v>
      </c>
      <c r="F1935" t="str">
        <f>IF(AND(Entities[[#This Row],[ENT_TYPE]]="County",RIGHT(Entities[[#This Row],[ENT_NAME]],6)&lt;&gt;"County"),_xlfn.TEXTJOIN(" ",TRUE,Entities[[#This Row],[ENT_NAME]],"County"),Entities[[#This Row],[ENT_NAME]])</f>
        <v>Fort Bend-Waller Counties MUD 2</v>
      </c>
    </row>
    <row r="1936" spans="1:6" x14ac:dyDescent="0.25">
      <c r="A1936" s="302" t="s">
        <v>7351</v>
      </c>
      <c r="B1936" s="303" t="str">
        <f t="shared" si="30"/>
        <v>x06000530</v>
      </c>
      <c r="C1936" t="s">
        <v>4</v>
      </c>
      <c r="D1936" t="s">
        <v>7352</v>
      </c>
      <c r="E1936">
        <v>6</v>
      </c>
      <c r="F1936" t="str">
        <f>IF(AND(Entities[[#This Row],[ENT_TYPE]]="County",RIGHT(Entities[[#This Row],[ENT_NAME]],6)&lt;&gt;"County"),_xlfn.TEXTJOIN(" ",TRUE,Entities[[#This Row],[ENT_NAME]],"County"),Entities[[#This Row],[ENT_NAME]])</f>
        <v>Montgomery County Management District 1</v>
      </c>
    </row>
    <row r="1937" spans="1:6" x14ac:dyDescent="0.25">
      <c r="A1937" s="304" t="s">
        <v>7353</v>
      </c>
      <c r="B1937" s="303" t="str">
        <f t="shared" si="30"/>
        <v>x06000534</v>
      </c>
      <c r="C1937" t="s">
        <v>4</v>
      </c>
      <c r="D1937" t="s">
        <v>7354</v>
      </c>
      <c r="E1937">
        <v>6</v>
      </c>
      <c r="F1937" t="str">
        <f>IF(AND(Entities[[#This Row],[ENT_TYPE]]="County",RIGHT(Entities[[#This Row],[ENT_NAME]],6)&lt;&gt;"County"),_xlfn.TEXTJOIN(" ",TRUE,Entities[[#This Row],[ENT_NAME]],"County"),Entities[[#This Row],[ENT_NAME]])</f>
        <v>Brazoria County MUD 38</v>
      </c>
    </row>
    <row r="1938" spans="1:6" x14ac:dyDescent="0.25">
      <c r="A1938" s="302" t="s">
        <v>7355</v>
      </c>
      <c r="B1938" s="303" t="str">
        <f t="shared" si="30"/>
        <v>x06000535</v>
      </c>
      <c r="C1938" t="s">
        <v>4</v>
      </c>
      <c r="D1938" t="s">
        <v>7356</v>
      </c>
      <c r="E1938">
        <v>6</v>
      </c>
      <c r="F1938" t="str">
        <f>IF(AND(Entities[[#This Row],[ENT_TYPE]]="County",RIGHT(Entities[[#This Row],[ENT_NAME]],6)&lt;&gt;"County"),_xlfn.TEXTJOIN(" ",TRUE,Entities[[#This Row],[ENT_NAME]],"County"),Entities[[#This Row],[ENT_NAME]])</f>
        <v>Montgomery County MUD 162</v>
      </c>
    </row>
    <row r="1939" spans="1:6" x14ac:dyDescent="0.25">
      <c r="A1939" s="304" t="s">
        <v>7357</v>
      </c>
      <c r="B1939" s="303" t="str">
        <f t="shared" si="30"/>
        <v>x06000536</v>
      </c>
      <c r="C1939" t="s">
        <v>4</v>
      </c>
      <c r="D1939" t="s">
        <v>7358</v>
      </c>
      <c r="E1939">
        <v>6</v>
      </c>
      <c r="F1939" t="str">
        <f>IF(AND(Entities[[#This Row],[ENT_TYPE]]="County",RIGHT(Entities[[#This Row],[ENT_NAME]],6)&lt;&gt;"County"),_xlfn.TEXTJOIN(" ",TRUE,Entities[[#This Row],[ENT_NAME]],"County"),Entities[[#This Row],[ENT_NAME]])</f>
        <v>Montgomery County MUD 163</v>
      </c>
    </row>
    <row r="1940" spans="1:6" x14ac:dyDescent="0.25">
      <c r="A1940" s="302" t="s">
        <v>7359</v>
      </c>
      <c r="B1940" s="303" t="str">
        <f t="shared" si="30"/>
        <v>x06000537</v>
      </c>
      <c r="C1940" t="s">
        <v>4</v>
      </c>
      <c r="D1940" t="s">
        <v>7360</v>
      </c>
      <c r="E1940">
        <v>6</v>
      </c>
      <c r="F1940" t="str">
        <f>IF(AND(Entities[[#This Row],[ENT_TYPE]]="County",RIGHT(Entities[[#This Row],[ENT_NAME]],6)&lt;&gt;"County"),_xlfn.TEXTJOIN(" ",TRUE,Entities[[#This Row],[ENT_NAME]],"County"),Entities[[#This Row],[ENT_NAME]])</f>
        <v>Fort Bend County MUD 57</v>
      </c>
    </row>
    <row r="1941" spans="1:6" x14ac:dyDescent="0.25">
      <c r="A1941" s="304" t="s">
        <v>7361</v>
      </c>
      <c r="B1941" s="303" t="str">
        <f t="shared" si="30"/>
        <v>x06000543</v>
      </c>
      <c r="C1941" t="s">
        <v>4</v>
      </c>
      <c r="D1941" t="s">
        <v>7362</v>
      </c>
      <c r="E1941">
        <v>6</v>
      </c>
      <c r="F1941" t="str">
        <f>IF(AND(Entities[[#This Row],[ENT_TYPE]]="County",RIGHT(Entities[[#This Row],[ENT_NAME]],6)&lt;&gt;"County"),_xlfn.TEXTJOIN(" ",TRUE,Entities[[#This Row],[ENT_NAME]],"County"),Entities[[#This Row],[ENT_NAME]])</f>
        <v>Harris County WCID 96</v>
      </c>
    </row>
    <row r="1942" spans="1:6" x14ac:dyDescent="0.25">
      <c r="A1942" s="302" t="s">
        <v>7363</v>
      </c>
      <c r="B1942" s="303" t="str">
        <f t="shared" si="30"/>
        <v>x06000544</v>
      </c>
      <c r="C1942" t="s">
        <v>4</v>
      </c>
      <c r="D1942" t="s">
        <v>7364</v>
      </c>
      <c r="E1942">
        <v>6</v>
      </c>
      <c r="F1942" t="str">
        <f>IF(AND(Entities[[#This Row],[ENT_TYPE]]="County",RIGHT(Entities[[#This Row],[ENT_NAME]],6)&lt;&gt;"County"),_xlfn.TEXTJOIN(" ",TRUE,Entities[[#This Row],[ENT_NAME]],"County"),Entities[[#This Row],[ENT_NAME]])</f>
        <v>Brazoria County MUD 25</v>
      </c>
    </row>
    <row r="1943" spans="1:6" x14ac:dyDescent="0.25">
      <c r="A1943" s="304" t="s">
        <v>7365</v>
      </c>
      <c r="B1943" s="303" t="str">
        <f t="shared" si="30"/>
        <v>x06000545</v>
      </c>
      <c r="C1943" t="s">
        <v>4</v>
      </c>
      <c r="D1943" t="s">
        <v>7366</v>
      </c>
      <c r="E1943">
        <v>6</v>
      </c>
      <c r="F1943" t="str">
        <f>IF(AND(Entities[[#This Row],[ENT_TYPE]]="County",RIGHT(Entities[[#This Row],[ENT_NAME]],6)&lt;&gt;"County"),_xlfn.TEXTJOIN(" ",TRUE,Entities[[#This Row],[ENT_NAME]],"County"),Entities[[#This Row],[ENT_NAME]])</f>
        <v>Harris County Utility District 16</v>
      </c>
    </row>
    <row r="1944" spans="1:6" x14ac:dyDescent="0.25">
      <c r="A1944" s="302" t="s">
        <v>7367</v>
      </c>
      <c r="B1944" s="303" t="str">
        <f t="shared" si="30"/>
        <v>x06000547</v>
      </c>
      <c r="C1944" t="s">
        <v>4</v>
      </c>
      <c r="D1944" t="s">
        <v>7368</v>
      </c>
      <c r="E1944">
        <v>6</v>
      </c>
      <c r="F1944" t="str">
        <f>IF(AND(Entities[[#This Row],[ENT_TYPE]]="County",RIGHT(Entities[[#This Row],[ENT_NAME]],6)&lt;&gt;"County"),_xlfn.TEXTJOIN(" ",TRUE,Entities[[#This Row],[ENT_NAME]],"County"),Entities[[#This Row],[ENT_NAME]])</f>
        <v>Harris County MUD 439</v>
      </c>
    </row>
    <row r="1945" spans="1:6" x14ac:dyDescent="0.25">
      <c r="A1945" s="304" t="s">
        <v>7369</v>
      </c>
      <c r="B1945" s="303" t="str">
        <f t="shared" si="30"/>
        <v>x06000549</v>
      </c>
      <c r="C1945" t="s">
        <v>4</v>
      </c>
      <c r="D1945" t="s">
        <v>7370</v>
      </c>
      <c r="E1945">
        <v>6</v>
      </c>
      <c r="F1945" t="str">
        <f>IF(AND(Entities[[#This Row],[ENT_TYPE]]="County",RIGHT(Entities[[#This Row],[ENT_NAME]],6)&lt;&gt;"County"),_xlfn.TEXTJOIN(" ",TRUE,Entities[[#This Row],[ENT_NAME]],"County"),Entities[[#This Row],[ENT_NAME]])</f>
        <v>Montgomery County MUD 15</v>
      </c>
    </row>
    <row r="1946" spans="1:6" x14ac:dyDescent="0.25">
      <c r="A1946" s="302" t="s">
        <v>7371</v>
      </c>
      <c r="B1946" s="303" t="str">
        <f t="shared" si="30"/>
        <v>x06000553</v>
      </c>
      <c r="C1946" t="s">
        <v>4</v>
      </c>
      <c r="D1946" t="s">
        <v>7372</v>
      </c>
      <c r="E1946">
        <v>6</v>
      </c>
      <c r="F1946" t="str">
        <f>IF(AND(Entities[[#This Row],[ENT_TYPE]]="County",RIGHT(Entities[[#This Row],[ENT_NAME]],6)&lt;&gt;"County"),_xlfn.TEXTJOIN(" ",TRUE,Entities[[#This Row],[ENT_NAME]],"County"),Entities[[#This Row],[ENT_NAME]])</f>
        <v>Harris County MUD 382</v>
      </c>
    </row>
    <row r="1947" spans="1:6" x14ac:dyDescent="0.25">
      <c r="A1947" s="304" t="s">
        <v>7373</v>
      </c>
      <c r="B1947" s="303" t="str">
        <f t="shared" si="30"/>
        <v>x06000557</v>
      </c>
      <c r="C1947" t="s">
        <v>4</v>
      </c>
      <c r="D1947" t="s">
        <v>7374</v>
      </c>
      <c r="E1947">
        <v>6</v>
      </c>
      <c r="F1947" t="str">
        <f>IF(AND(Entities[[#This Row],[ENT_TYPE]]="County",RIGHT(Entities[[#This Row],[ENT_NAME]],6)&lt;&gt;"County"),_xlfn.TEXTJOIN(" ",TRUE,Entities[[#This Row],[ENT_NAME]],"County"),Entities[[#This Row],[ENT_NAME]])</f>
        <v>Harris County MUD 148</v>
      </c>
    </row>
    <row r="1948" spans="1:6" x14ac:dyDescent="0.25">
      <c r="A1948" s="302" t="s">
        <v>7375</v>
      </c>
      <c r="B1948" s="303" t="str">
        <f t="shared" si="30"/>
        <v>x06000558</v>
      </c>
      <c r="C1948" t="s">
        <v>4</v>
      </c>
      <c r="D1948" t="s">
        <v>7376</v>
      </c>
      <c r="E1948">
        <v>6</v>
      </c>
      <c r="F1948" t="str">
        <f>IF(AND(Entities[[#This Row],[ENT_TYPE]]="County",RIGHT(Entities[[#This Row],[ENT_NAME]],6)&lt;&gt;"County"),_xlfn.TEXTJOIN(" ",TRUE,Entities[[#This Row],[ENT_NAME]],"County"),Entities[[#This Row],[ENT_NAME]])</f>
        <v>Montgomery County MUD 6</v>
      </c>
    </row>
    <row r="1949" spans="1:6" x14ac:dyDescent="0.25">
      <c r="A1949" s="304" t="s">
        <v>7377</v>
      </c>
      <c r="B1949" s="303" t="str">
        <f t="shared" si="30"/>
        <v>x06000559</v>
      </c>
      <c r="C1949" t="s">
        <v>4</v>
      </c>
      <c r="D1949" t="s">
        <v>7378</v>
      </c>
      <c r="E1949">
        <v>6</v>
      </c>
      <c r="F1949" t="str">
        <f>IF(AND(Entities[[#This Row],[ENT_TYPE]]="County",RIGHT(Entities[[#This Row],[ENT_NAME]],6)&lt;&gt;"County"),_xlfn.TEXTJOIN(" ",TRUE,Entities[[#This Row],[ENT_NAME]],"County"),Entities[[#This Row],[ENT_NAME]])</f>
        <v>Harris County MUD 421</v>
      </c>
    </row>
    <row r="1950" spans="1:6" x14ac:dyDescent="0.25">
      <c r="A1950" s="302" t="s">
        <v>7379</v>
      </c>
      <c r="B1950" s="303" t="str">
        <f t="shared" si="30"/>
        <v>x06000560</v>
      </c>
      <c r="C1950" t="s">
        <v>4</v>
      </c>
      <c r="D1950" t="s">
        <v>7380</v>
      </c>
      <c r="E1950">
        <v>6</v>
      </c>
      <c r="F1950" t="str">
        <f>IF(AND(Entities[[#This Row],[ENT_TYPE]]="County",RIGHT(Entities[[#This Row],[ENT_NAME]],6)&lt;&gt;"County"),_xlfn.TEXTJOIN(" ",TRUE,Entities[[#This Row],[ENT_NAME]],"County"),Entities[[#This Row],[ENT_NAME]])</f>
        <v>Cinco MUD 14</v>
      </c>
    </row>
    <row r="1951" spans="1:6" x14ac:dyDescent="0.25">
      <c r="A1951" s="304" t="s">
        <v>7381</v>
      </c>
      <c r="B1951" s="303" t="str">
        <f t="shared" si="30"/>
        <v>x06000561</v>
      </c>
      <c r="C1951" t="s">
        <v>4</v>
      </c>
      <c r="D1951" t="s">
        <v>7382</v>
      </c>
      <c r="E1951">
        <v>6</v>
      </c>
      <c r="F1951" t="str">
        <f>IF(AND(Entities[[#This Row],[ENT_TYPE]]="County",RIGHT(Entities[[#This Row],[ENT_NAME]],6)&lt;&gt;"County"),_xlfn.TEXTJOIN(" ",TRUE,Entities[[#This Row],[ENT_NAME]],"County"),Entities[[#This Row],[ENT_NAME]])</f>
        <v>Fort Bend County MUD 161</v>
      </c>
    </row>
    <row r="1952" spans="1:6" x14ac:dyDescent="0.25">
      <c r="A1952" s="302" t="s">
        <v>7383</v>
      </c>
      <c r="B1952" s="303" t="str">
        <f t="shared" si="30"/>
        <v>x06000575</v>
      </c>
      <c r="C1952" t="s">
        <v>4</v>
      </c>
      <c r="D1952" t="s">
        <v>7384</v>
      </c>
      <c r="E1952">
        <v>6</v>
      </c>
      <c r="F1952" t="str">
        <f>IF(AND(Entities[[#This Row],[ENT_TYPE]]="County",RIGHT(Entities[[#This Row],[ENT_NAME]],6)&lt;&gt;"County"),_xlfn.TEXTJOIN(" ",TRUE,Entities[[#This Row],[ENT_NAME]],"County"),Entities[[#This Row],[ENT_NAME]])</f>
        <v>Roman Forest Consolidated MUD</v>
      </c>
    </row>
    <row r="1953" spans="1:6" x14ac:dyDescent="0.25">
      <c r="A1953" s="304" t="s">
        <v>7385</v>
      </c>
      <c r="B1953" s="303" t="str">
        <f t="shared" si="30"/>
        <v>x06000587</v>
      </c>
      <c r="C1953" t="s">
        <v>4</v>
      </c>
      <c r="D1953" t="s">
        <v>7386</v>
      </c>
      <c r="E1953">
        <v>6</v>
      </c>
      <c r="F1953" t="str">
        <f>IF(AND(Entities[[#This Row],[ENT_TYPE]]="County",RIGHT(Entities[[#This Row],[ENT_NAME]],6)&lt;&gt;"County"),_xlfn.TEXTJOIN(" ",TRUE,Entities[[#This Row],[ENT_NAME]],"County"),Entities[[#This Row],[ENT_NAME]])</f>
        <v>Spectrum Management District</v>
      </c>
    </row>
    <row r="1954" spans="1:6" x14ac:dyDescent="0.25">
      <c r="A1954" s="304" t="s">
        <v>7387</v>
      </c>
      <c r="B1954" s="303" t="str">
        <f t="shared" si="30"/>
        <v>x06000594</v>
      </c>
      <c r="C1954" t="s">
        <v>4</v>
      </c>
      <c r="D1954" t="s">
        <v>7388</v>
      </c>
      <c r="E1954">
        <v>6</v>
      </c>
      <c r="F1954" t="str">
        <f>IF(AND(Entities[[#This Row],[ENT_TYPE]]="County",RIGHT(Entities[[#This Row],[ENT_NAME]],6)&lt;&gt;"County"),_xlfn.TEXTJOIN(" ",TRUE,Entities[[#This Row],[ENT_NAME]],"County"),Entities[[#This Row],[ENT_NAME]])</f>
        <v>East Montgomery County MUD 13</v>
      </c>
    </row>
    <row r="1955" spans="1:6" x14ac:dyDescent="0.25">
      <c r="A1955" s="304" t="s">
        <v>7389</v>
      </c>
      <c r="B1955" s="303" t="str">
        <f t="shared" si="30"/>
        <v>x06000598</v>
      </c>
      <c r="C1955" t="s">
        <v>4</v>
      </c>
      <c r="D1955" t="s">
        <v>7390</v>
      </c>
      <c r="E1955">
        <v>6</v>
      </c>
      <c r="F1955" t="str">
        <f>IF(AND(Entities[[#This Row],[ENT_TYPE]]="County",RIGHT(Entities[[#This Row],[ENT_NAME]],6)&lt;&gt;"County"),_xlfn.TEXTJOIN(" ",TRUE,Entities[[#This Row],[ENT_NAME]],"County"),Entities[[#This Row],[ENT_NAME]])</f>
        <v>Green Trails MUD</v>
      </c>
    </row>
    <row r="1956" spans="1:6" x14ac:dyDescent="0.25">
      <c r="A1956" s="302" t="s">
        <v>7391</v>
      </c>
      <c r="B1956" s="303" t="str">
        <f t="shared" si="30"/>
        <v>x06000599</v>
      </c>
      <c r="C1956" t="s">
        <v>4</v>
      </c>
      <c r="D1956" t="s">
        <v>7392</v>
      </c>
      <c r="E1956">
        <v>6</v>
      </c>
      <c r="F1956" t="str">
        <f>IF(AND(Entities[[#This Row],[ENT_TYPE]]="County",RIGHT(Entities[[#This Row],[ENT_NAME]],6)&lt;&gt;"County"),_xlfn.TEXTJOIN(" ",TRUE,Entities[[#This Row],[ENT_NAME]],"County"),Entities[[#This Row],[ENT_NAME]])</f>
        <v>Faulkey Gully MUD</v>
      </c>
    </row>
    <row r="1957" spans="1:6" x14ac:dyDescent="0.25">
      <c r="A1957" s="304" t="s">
        <v>7393</v>
      </c>
      <c r="B1957" s="303" t="str">
        <f t="shared" si="30"/>
        <v>x06000600</v>
      </c>
      <c r="C1957" t="s">
        <v>4</v>
      </c>
      <c r="D1957" t="s">
        <v>7394</v>
      </c>
      <c r="E1957">
        <v>6</v>
      </c>
      <c r="F1957" t="str">
        <f>IF(AND(Entities[[#This Row],[ENT_TYPE]]="County",RIGHT(Entities[[#This Row],[ENT_NAME]],6)&lt;&gt;"County"),_xlfn.TEXTJOIN(" ",TRUE,Entities[[#This Row],[ENT_NAME]],"County"),Entities[[#This Row],[ENT_NAME]])</f>
        <v>Emerald Forest Utility District</v>
      </c>
    </row>
    <row r="1958" spans="1:6" x14ac:dyDescent="0.25">
      <c r="A1958" s="302" t="s">
        <v>7395</v>
      </c>
      <c r="B1958" s="303" t="str">
        <f t="shared" si="30"/>
        <v>x06000601</v>
      </c>
      <c r="C1958" t="s">
        <v>4</v>
      </c>
      <c r="D1958" t="s">
        <v>7396</v>
      </c>
      <c r="E1958">
        <v>6</v>
      </c>
      <c r="F1958" t="str">
        <f>IF(AND(Entities[[#This Row],[ENT_TYPE]]="County",RIGHT(Entities[[#This Row],[ENT_NAME]],6)&lt;&gt;"County"),_xlfn.TEXTJOIN(" ",TRUE,Entities[[#This Row],[ENT_NAME]],"County"),Entities[[#This Row],[ENT_NAME]])</f>
        <v>Harris County MUD 536</v>
      </c>
    </row>
    <row r="1959" spans="1:6" x14ac:dyDescent="0.25">
      <c r="A1959" s="304" t="s">
        <v>7397</v>
      </c>
      <c r="B1959" s="303" t="str">
        <f t="shared" si="30"/>
        <v>x06000602</v>
      </c>
      <c r="C1959" t="s">
        <v>4</v>
      </c>
      <c r="D1959" t="s">
        <v>7398</v>
      </c>
      <c r="E1959">
        <v>6</v>
      </c>
      <c r="F1959" t="str">
        <f>IF(AND(Entities[[#This Row],[ENT_TYPE]]="County",RIGHT(Entities[[#This Row],[ENT_NAME]],6)&lt;&gt;"County"),_xlfn.TEXTJOIN(" ",TRUE,Entities[[#This Row],[ENT_NAME]],"County"),Entities[[#This Row],[ENT_NAME]])</f>
        <v>Chambers County Improvement District 2</v>
      </c>
    </row>
    <row r="1960" spans="1:6" x14ac:dyDescent="0.25">
      <c r="A1960" s="302" t="s">
        <v>7399</v>
      </c>
      <c r="B1960" s="303" t="str">
        <f t="shared" si="30"/>
        <v>x06000609</v>
      </c>
      <c r="C1960" t="s">
        <v>4</v>
      </c>
      <c r="D1960" t="s">
        <v>7400</v>
      </c>
      <c r="E1960">
        <v>6</v>
      </c>
      <c r="F1960" t="str">
        <f>IF(AND(Entities[[#This Row],[ENT_TYPE]]="County",RIGHT(Entities[[#This Row],[ENT_NAME]],6)&lt;&gt;"County"),_xlfn.TEXTJOIN(" ",TRUE,Entities[[#This Row],[ENT_NAME]],"County"),Entities[[#This Row],[ENT_NAME]])</f>
        <v>Harris County MUD 502</v>
      </c>
    </row>
    <row r="1961" spans="1:6" x14ac:dyDescent="0.25">
      <c r="A1961" s="302" t="s">
        <v>7401</v>
      </c>
      <c r="B1961" s="303" t="str">
        <f t="shared" si="30"/>
        <v>x06000610</v>
      </c>
      <c r="C1961" t="s">
        <v>4</v>
      </c>
      <c r="D1961" t="s">
        <v>7402</v>
      </c>
      <c r="E1961">
        <v>6</v>
      </c>
      <c r="F1961" t="str">
        <f>IF(AND(Entities[[#This Row],[ENT_TYPE]]="County",RIGHT(Entities[[#This Row],[ENT_NAME]],6)&lt;&gt;"County"),_xlfn.TEXTJOIN(" ",TRUE,Entities[[#This Row],[ENT_NAME]],"County"),Entities[[#This Row],[ENT_NAME]])</f>
        <v>Waller Town Center Management District</v>
      </c>
    </row>
    <row r="1962" spans="1:6" x14ac:dyDescent="0.25">
      <c r="A1962" s="304" t="s">
        <v>7403</v>
      </c>
      <c r="B1962" s="303" t="str">
        <f t="shared" si="30"/>
        <v>x06000611</v>
      </c>
      <c r="C1962" t="s">
        <v>4</v>
      </c>
      <c r="D1962" t="s">
        <v>7404</v>
      </c>
      <c r="E1962">
        <v>6</v>
      </c>
      <c r="F1962" t="str">
        <f>IF(AND(Entities[[#This Row],[ENT_TYPE]]="County",RIGHT(Entities[[#This Row],[ENT_NAME]],6)&lt;&gt;"County"),_xlfn.TEXTJOIN(" ",TRUE,Entities[[#This Row],[ENT_NAME]],"County"),Entities[[#This Row],[ENT_NAME]])</f>
        <v>Waller County MUD 9</v>
      </c>
    </row>
    <row r="1963" spans="1:6" x14ac:dyDescent="0.25">
      <c r="A1963" s="302" t="s">
        <v>7405</v>
      </c>
      <c r="B1963" s="303" t="str">
        <f t="shared" si="30"/>
        <v>x06000616</v>
      </c>
      <c r="C1963" t="s">
        <v>4</v>
      </c>
      <c r="D1963" t="s">
        <v>7406</v>
      </c>
      <c r="E1963">
        <v>6</v>
      </c>
      <c r="F1963" t="str">
        <f>IF(AND(Entities[[#This Row],[ENT_TYPE]]="County",RIGHT(Entities[[#This Row],[ENT_NAME]],6)&lt;&gt;"County"),_xlfn.TEXTJOIN(" ",TRUE,Entities[[#This Row],[ENT_NAME]],"County"),Entities[[#This Row],[ENT_NAME]])</f>
        <v>CY Fair Community Improvement District</v>
      </c>
    </row>
    <row r="1964" spans="1:6" x14ac:dyDescent="0.25">
      <c r="A1964" s="304" t="s">
        <v>7407</v>
      </c>
      <c r="B1964" s="303" t="str">
        <f t="shared" si="30"/>
        <v>x06000617</v>
      </c>
      <c r="C1964" t="s">
        <v>4</v>
      </c>
      <c r="D1964" t="s">
        <v>7408</v>
      </c>
      <c r="E1964">
        <v>6</v>
      </c>
      <c r="F1964" t="str">
        <f>IF(AND(Entities[[#This Row],[ENT_TYPE]]="County",RIGHT(Entities[[#This Row],[ENT_NAME]],6)&lt;&gt;"County"),_xlfn.TEXTJOIN(" ",TRUE,Entities[[#This Row],[ENT_NAME]],"County"),Entities[[#This Row],[ENT_NAME]])</f>
        <v>Harris County MUD 503</v>
      </c>
    </row>
    <row r="1965" spans="1:6" x14ac:dyDescent="0.25">
      <c r="A1965" s="302" t="s">
        <v>7409</v>
      </c>
      <c r="B1965" s="303" t="str">
        <f t="shared" si="30"/>
        <v>x06000618</v>
      </c>
      <c r="C1965" t="s">
        <v>4</v>
      </c>
      <c r="D1965" t="s">
        <v>7410</v>
      </c>
      <c r="E1965">
        <v>6</v>
      </c>
      <c r="F1965" t="str">
        <f>IF(AND(Entities[[#This Row],[ENT_TYPE]]="County",RIGHT(Entities[[#This Row],[ENT_NAME]],6)&lt;&gt;"County"),_xlfn.TEXTJOIN(" ",TRUE,Entities[[#This Row],[ENT_NAME]],"County"),Entities[[#This Row],[ENT_NAME]])</f>
        <v>Harris County MUD 518</v>
      </c>
    </row>
    <row r="1966" spans="1:6" x14ac:dyDescent="0.25">
      <c r="A1966" s="304" t="s">
        <v>7411</v>
      </c>
      <c r="B1966" s="303" t="str">
        <f t="shared" si="30"/>
        <v>x06000619</v>
      </c>
      <c r="C1966" t="s">
        <v>4</v>
      </c>
      <c r="D1966" t="s">
        <v>7412</v>
      </c>
      <c r="E1966">
        <v>6</v>
      </c>
      <c r="F1966" t="str">
        <f>IF(AND(Entities[[#This Row],[ENT_TYPE]]="County",RIGHT(Entities[[#This Row],[ENT_NAME]],6)&lt;&gt;"County"),_xlfn.TEXTJOIN(" ",TRUE,Entities[[#This Row],[ENT_NAME]],"County"),Entities[[#This Row],[ENT_NAME]])</f>
        <v>Harris County MUD 525</v>
      </c>
    </row>
    <row r="1967" spans="1:6" x14ac:dyDescent="0.25">
      <c r="A1967" s="302" t="s">
        <v>7413</v>
      </c>
      <c r="B1967" s="303" t="str">
        <f t="shared" si="30"/>
        <v>x06000620</v>
      </c>
      <c r="C1967" t="s">
        <v>4</v>
      </c>
      <c r="D1967" t="s">
        <v>7414</v>
      </c>
      <c r="E1967">
        <v>6</v>
      </c>
      <c r="F1967" t="str">
        <f>IF(AND(Entities[[#This Row],[ENT_TYPE]]="County",RIGHT(Entities[[#This Row],[ENT_NAME]],6)&lt;&gt;"County"),_xlfn.TEXTJOIN(" ",TRUE,Entities[[#This Row],[ENT_NAME]],"County"),Entities[[#This Row],[ENT_NAME]])</f>
        <v>Southern Montgomery County MUD</v>
      </c>
    </row>
    <row r="1968" spans="1:6" x14ac:dyDescent="0.25">
      <c r="A1968" s="304" t="s">
        <v>7415</v>
      </c>
      <c r="B1968" s="303" t="str">
        <f t="shared" si="30"/>
        <v>x06000625</v>
      </c>
      <c r="C1968" t="s">
        <v>4</v>
      </c>
      <c r="D1968" t="s">
        <v>7416</v>
      </c>
      <c r="E1968">
        <v>6</v>
      </c>
      <c r="F1968" t="str">
        <f>IF(AND(Entities[[#This Row],[ENT_TYPE]]="County",RIGHT(Entities[[#This Row],[ENT_NAME]],6)&lt;&gt;"County"),_xlfn.TEXTJOIN(" ",TRUE,Entities[[#This Row],[ENT_NAME]],"County"),Entities[[#This Row],[ENT_NAME]])</f>
        <v>Montgomery County MUD 103</v>
      </c>
    </row>
    <row r="1969" spans="1:6" x14ac:dyDescent="0.25">
      <c r="A1969" s="302" t="s">
        <v>7417</v>
      </c>
      <c r="B1969" s="303" t="str">
        <f t="shared" si="30"/>
        <v>x06000626</v>
      </c>
      <c r="C1969" t="s">
        <v>4</v>
      </c>
      <c r="D1969" t="s">
        <v>7418</v>
      </c>
      <c r="E1969">
        <v>6</v>
      </c>
      <c r="F1969" t="str">
        <f>IF(AND(Entities[[#This Row],[ENT_TYPE]]="County",RIGHT(Entities[[#This Row],[ENT_NAME]],6)&lt;&gt;"County"),_xlfn.TEXTJOIN(" ",TRUE,Entities[[#This Row],[ENT_NAME]],"County"),Entities[[#This Row],[ENT_NAME]])</f>
        <v>Harris County MUD 505</v>
      </c>
    </row>
    <row r="1970" spans="1:6" x14ac:dyDescent="0.25">
      <c r="A1970" s="304" t="s">
        <v>7419</v>
      </c>
      <c r="B1970" s="303" t="str">
        <f t="shared" si="30"/>
        <v>x06000628</v>
      </c>
      <c r="C1970" t="s">
        <v>4</v>
      </c>
      <c r="D1970" t="s">
        <v>7420</v>
      </c>
      <c r="E1970">
        <v>6</v>
      </c>
      <c r="F1970" t="str">
        <f>IF(AND(Entities[[#This Row],[ENT_TYPE]]="County",RIGHT(Entities[[#This Row],[ENT_NAME]],6)&lt;&gt;"County"),_xlfn.TEXTJOIN(" ",TRUE,Entities[[#This Row],[ENT_NAME]],"County"),Entities[[#This Row],[ENT_NAME]])</f>
        <v>Brazoria County MUD 2</v>
      </c>
    </row>
    <row r="1971" spans="1:6" x14ac:dyDescent="0.25">
      <c r="A1971" s="302" t="s">
        <v>7421</v>
      </c>
      <c r="B1971" s="303" t="str">
        <f t="shared" si="30"/>
        <v>x06000629</v>
      </c>
      <c r="C1971" t="s">
        <v>4</v>
      </c>
      <c r="D1971" t="s">
        <v>7422</v>
      </c>
      <c r="E1971">
        <v>6</v>
      </c>
      <c r="F1971" t="str">
        <f>IF(AND(Entities[[#This Row],[ENT_TYPE]]="County",RIGHT(Entities[[#This Row],[ENT_NAME]],6)&lt;&gt;"County"),_xlfn.TEXTJOIN(" ",TRUE,Entities[[#This Row],[ENT_NAME]],"County"),Entities[[#This Row],[ENT_NAME]])</f>
        <v>West Park MUD</v>
      </c>
    </row>
    <row r="1972" spans="1:6" x14ac:dyDescent="0.25">
      <c r="A1972" s="304" t="s">
        <v>7423</v>
      </c>
      <c r="B1972" s="303" t="str">
        <f t="shared" si="30"/>
        <v>x06000630</v>
      </c>
      <c r="C1972" t="s">
        <v>4</v>
      </c>
      <c r="D1972" t="s">
        <v>7424</v>
      </c>
      <c r="E1972">
        <v>6</v>
      </c>
      <c r="F1972" t="str">
        <f>IF(AND(Entities[[#This Row],[ENT_TYPE]]="County",RIGHT(Entities[[#This Row],[ENT_NAME]],6)&lt;&gt;"County"),_xlfn.TEXTJOIN(" ",TRUE,Entities[[#This Row],[ENT_NAME]],"County"),Entities[[#This Row],[ENT_NAME]])</f>
        <v>Harris County MUD 504</v>
      </c>
    </row>
    <row r="1973" spans="1:6" x14ac:dyDescent="0.25">
      <c r="A1973" s="302" t="s">
        <v>7425</v>
      </c>
      <c r="B1973" s="303" t="str">
        <f t="shared" si="30"/>
        <v>x06000631</v>
      </c>
      <c r="C1973" t="s">
        <v>4</v>
      </c>
      <c r="D1973" t="s">
        <v>7426</v>
      </c>
      <c r="E1973">
        <v>6</v>
      </c>
      <c r="F1973" t="str">
        <f>IF(AND(Entities[[#This Row],[ENT_TYPE]]="County",RIGHT(Entities[[#This Row],[ENT_NAME]],6)&lt;&gt;"County"),_xlfn.TEXTJOIN(" ",TRUE,Entities[[#This Row],[ENT_NAME]],"County"),Entities[[#This Row],[ENT_NAME]])</f>
        <v>Montgomery County MUD 107</v>
      </c>
    </row>
    <row r="1974" spans="1:6" x14ac:dyDescent="0.25">
      <c r="A1974" s="304" t="s">
        <v>7427</v>
      </c>
      <c r="B1974" s="303" t="str">
        <f t="shared" si="30"/>
        <v>x06000634</v>
      </c>
      <c r="C1974" t="s">
        <v>4</v>
      </c>
      <c r="D1974" t="s">
        <v>7428</v>
      </c>
      <c r="E1974">
        <v>6</v>
      </c>
      <c r="F1974" t="str">
        <f>IF(AND(Entities[[#This Row],[ENT_TYPE]]="County",RIGHT(Entities[[#This Row],[ENT_NAME]],6)&lt;&gt;"County"),_xlfn.TEXTJOIN(" ",TRUE,Entities[[#This Row],[ENT_NAME]],"County"),Entities[[#This Row],[ENT_NAME]])</f>
        <v>Montgomery County MUD 101</v>
      </c>
    </row>
    <row r="1975" spans="1:6" x14ac:dyDescent="0.25">
      <c r="A1975" s="302" t="s">
        <v>7429</v>
      </c>
      <c r="B1975" s="303" t="str">
        <f t="shared" si="30"/>
        <v>x06000638</v>
      </c>
      <c r="C1975" t="s">
        <v>4</v>
      </c>
      <c r="D1975" t="s">
        <v>7430</v>
      </c>
      <c r="E1975">
        <v>6</v>
      </c>
      <c r="F1975" t="str">
        <f>IF(AND(Entities[[#This Row],[ENT_TYPE]]="County",RIGHT(Entities[[#This Row],[ENT_NAME]],6)&lt;&gt;"County"),_xlfn.TEXTJOIN(" ",TRUE,Entities[[#This Row],[ENT_NAME]],"County"),Entities[[#This Row],[ENT_NAME]])</f>
        <v>Northwest Harris County MUD 32</v>
      </c>
    </row>
    <row r="1976" spans="1:6" x14ac:dyDescent="0.25">
      <c r="A1976" s="304" t="s">
        <v>7431</v>
      </c>
      <c r="B1976" s="303" t="str">
        <f t="shared" si="30"/>
        <v>x06000639</v>
      </c>
      <c r="C1976" t="s">
        <v>4</v>
      </c>
      <c r="D1976" t="s">
        <v>7432</v>
      </c>
      <c r="E1976">
        <v>6</v>
      </c>
      <c r="F1976" t="str">
        <f>IF(AND(Entities[[#This Row],[ENT_TYPE]]="County",RIGHT(Entities[[#This Row],[ENT_NAME]],6)&lt;&gt;"County"),_xlfn.TEXTJOIN(" ",TRUE,Entities[[#This Row],[ENT_NAME]],"County"),Entities[[#This Row],[ENT_NAME]])</f>
        <v>Northeast Harris County MUD 1</v>
      </c>
    </row>
    <row r="1977" spans="1:6" x14ac:dyDescent="0.25">
      <c r="A1977" s="302" t="s">
        <v>7433</v>
      </c>
      <c r="B1977" s="303" t="str">
        <f t="shared" si="30"/>
        <v>x06000640</v>
      </c>
      <c r="C1977" t="s">
        <v>4</v>
      </c>
      <c r="D1977" t="s">
        <v>7434</v>
      </c>
      <c r="E1977">
        <v>6</v>
      </c>
      <c r="F1977" t="str">
        <f>IF(AND(Entities[[#This Row],[ENT_TYPE]]="County",RIGHT(Entities[[#This Row],[ENT_NAME]],6)&lt;&gt;"County"),_xlfn.TEXTJOIN(" ",TRUE,Entities[[#This Row],[ENT_NAME]],"County"),Entities[[#This Row],[ENT_NAME]])</f>
        <v>Harris County MUD 127</v>
      </c>
    </row>
    <row r="1978" spans="1:6" x14ac:dyDescent="0.25">
      <c r="A1978" s="304" t="s">
        <v>7435</v>
      </c>
      <c r="B1978" s="303" t="str">
        <f t="shared" si="30"/>
        <v>x06000643</v>
      </c>
      <c r="C1978" t="s">
        <v>4</v>
      </c>
      <c r="D1978" t="s">
        <v>7436</v>
      </c>
      <c r="E1978">
        <v>6</v>
      </c>
      <c r="F1978" t="str">
        <f>IF(AND(Entities[[#This Row],[ENT_TYPE]]="County",RIGHT(Entities[[#This Row],[ENT_NAME]],6)&lt;&gt;"County"),_xlfn.TEXTJOIN(" ",TRUE,Entities[[#This Row],[ENT_NAME]],"County"),Entities[[#This Row],[ENT_NAME]])</f>
        <v>Harris County MUD 437</v>
      </c>
    </row>
    <row r="1979" spans="1:6" x14ac:dyDescent="0.25">
      <c r="A1979" s="304" t="s">
        <v>7437</v>
      </c>
      <c r="B1979" s="303" t="str">
        <f t="shared" si="30"/>
        <v>x06000654</v>
      </c>
      <c r="C1979" t="s">
        <v>4</v>
      </c>
      <c r="D1979" t="s">
        <v>7438</v>
      </c>
      <c r="E1979">
        <v>6</v>
      </c>
      <c r="F1979" t="str">
        <f>IF(AND(Entities[[#This Row],[ENT_TYPE]]="County",RIGHT(Entities[[#This Row],[ENT_NAME]],6)&lt;&gt;"County"),_xlfn.TEXTJOIN(" ",TRUE,Entities[[#This Row],[ENT_NAME]],"County"),Entities[[#This Row],[ENT_NAME]])</f>
        <v>East Montgomery County MUD 8</v>
      </c>
    </row>
    <row r="1980" spans="1:6" x14ac:dyDescent="0.25">
      <c r="A1980" s="302" t="s">
        <v>7439</v>
      </c>
      <c r="B1980" s="303" t="str">
        <f t="shared" si="30"/>
        <v>x06000655</v>
      </c>
      <c r="C1980" t="s">
        <v>4</v>
      </c>
      <c r="D1980" t="s">
        <v>7440</v>
      </c>
      <c r="E1980">
        <v>6</v>
      </c>
      <c r="F1980" t="str">
        <f>IF(AND(Entities[[#This Row],[ENT_TYPE]]="County",RIGHT(Entities[[#This Row],[ENT_NAME]],6)&lt;&gt;"County"),_xlfn.TEXTJOIN(" ",TRUE,Entities[[#This Row],[ENT_NAME]],"County"),Entities[[#This Row],[ENT_NAME]])</f>
        <v>East Montgomery County MUD 9</v>
      </c>
    </row>
    <row r="1981" spans="1:6" x14ac:dyDescent="0.25">
      <c r="A1981" s="304" t="s">
        <v>7441</v>
      </c>
      <c r="B1981" s="303" t="str">
        <f t="shared" si="30"/>
        <v>x06000656</v>
      </c>
      <c r="C1981" t="s">
        <v>4</v>
      </c>
      <c r="D1981" t="s">
        <v>7442</v>
      </c>
      <c r="E1981">
        <v>6</v>
      </c>
      <c r="F1981" t="str">
        <f>IF(AND(Entities[[#This Row],[ENT_TYPE]]="County",RIGHT(Entities[[#This Row],[ENT_NAME]],6)&lt;&gt;"County"),_xlfn.TEXTJOIN(" ",TRUE,Entities[[#This Row],[ENT_NAME]],"County"),Entities[[#This Row],[ENT_NAME]])</f>
        <v>East Montgomery County MUD 10</v>
      </c>
    </row>
    <row r="1982" spans="1:6" x14ac:dyDescent="0.25">
      <c r="A1982" s="302" t="s">
        <v>7443</v>
      </c>
      <c r="B1982" s="303" t="str">
        <f t="shared" si="30"/>
        <v>x06000657</v>
      </c>
      <c r="C1982" t="s">
        <v>4</v>
      </c>
      <c r="D1982" t="s">
        <v>7444</v>
      </c>
      <c r="E1982">
        <v>6</v>
      </c>
      <c r="F1982" t="str">
        <f>IF(AND(Entities[[#This Row],[ENT_TYPE]]="County",RIGHT(Entities[[#This Row],[ENT_NAME]],6)&lt;&gt;"County"),_xlfn.TEXTJOIN(" ",TRUE,Entities[[#This Row],[ENT_NAME]],"County"),Entities[[#This Row],[ENT_NAME]])</f>
        <v>East Montgomery County MUD 11</v>
      </c>
    </row>
    <row r="1983" spans="1:6" x14ac:dyDescent="0.25">
      <c r="A1983" s="304" t="s">
        <v>7445</v>
      </c>
      <c r="B1983" s="303" t="str">
        <f t="shared" si="30"/>
        <v>x06000664</v>
      </c>
      <c r="C1983" t="s">
        <v>4</v>
      </c>
      <c r="D1983" t="s">
        <v>7446</v>
      </c>
      <c r="E1983">
        <v>6</v>
      </c>
      <c r="F1983" t="str">
        <f>IF(AND(Entities[[#This Row],[ENT_TYPE]]="County",RIGHT(Entities[[#This Row],[ENT_NAME]],6)&lt;&gt;"County"),_xlfn.TEXTJOIN(" ",TRUE,Entities[[#This Row],[ENT_NAME]],"County"),Entities[[#This Row],[ENT_NAME]])</f>
        <v>Montgomery County WCID 1</v>
      </c>
    </row>
    <row r="1984" spans="1:6" x14ac:dyDescent="0.25">
      <c r="A1984" s="302" t="s">
        <v>7447</v>
      </c>
      <c r="B1984" s="303" t="str">
        <f t="shared" si="30"/>
        <v>x06000665</v>
      </c>
      <c r="C1984" t="s">
        <v>4</v>
      </c>
      <c r="D1984" t="s">
        <v>7448</v>
      </c>
      <c r="E1984">
        <v>6</v>
      </c>
      <c r="F1984" t="str">
        <f>IF(AND(Entities[[#This Row],[ENT_TYPE]]="County",RIGHT(Entities[[#This Row],[ENT_NAME]],6)&lt;&gt;"County"),_xlfn.TEXTJOIN(" ",TRUE,Entities[[#This Row],[ENT_NAME]],"County"),Entities[[#This Row],[ENT_NAME]])</f>
        <v>Clear Lake City Water Authority</v>
      </c>
    </row>
    <row r="1985" spans="1:6" x14ac:dyDescent="0.25">
      <c r="A1985" s="304" t="s">
        <v>7449</v>
      </c>
      <c r="B1985" s="303" t="str">
        <f t="shared" si="30"/>
        <v>x06000667</v>
      </c>
      <c r="C1985" t="s">
        <v>4</v>
      </c>
      <c r="D1985" t="s">
        <v>7450</v>
      </c>
      <c r="E1985">
        <v>6</v>
      </c>
      <c r="F1985" t="str">
        <f>IF(AND(Entities[[#This Row],[ENT_TYPE]]="County",RIGHT(Entities[[#This Row],[ENT_NAME]],6)&lt;&gt;"County"),_xlfn.TEXTJOIN(" ",TRUE,Entities[[#This Row],[ENT_NAME]],"County"),Entities[[#This Row],[ENT_NAME]])</f>
        <v>Hardin Store Road MUD 1</v>
      </c>
    </row>
    <row r="1986" spans="1:6" x14ac:dyDescent="0.25">
      <c r="A1986" s="302" t="s">
        <v>7451</v>
      </c>
      <c r="B1986" s="303" t="str">
        <f t="shared" ref="B1986:B2049" si="31">_xlfn.CONCAT("x",TEXT(A1986,"00000000"))</f>
        <v>x06000672</v>
      </c>
      <c r="C1986" t="s">
        <v>4</v>
      </c>
      <c r="D1986" t="s">
        <v>7452</v>
      </c>
      <c r="E1986">
        <v>6</v>
      </c>
      <c r="F1986" t="str">
        <f>IF(AND(Entities[[#This Row],[ENT_TYPE]]="County",RIGHT(Entities[[#This Row],[ENT_NAME]],6)&lt;&gt;"County"),_xlfn.TEXTJOIN(" ",TRUE,Entities[[#This Row],[ENT_NAME]],"County"),Entities[[#This Row],[ENT_NAME]])</f>
        <v>Chambers-Liberty Counties Improvement District</v>
      </c>
    </row>
    <row r="1987" spans="1:6" x14ac:dyDescent="0.25">
      <c r="A1987" s="304" t="s">
        <v>7453</v>
      </c>
      <c r="B1987" s="303" t="str">
        <f t="shared" si="31"/>
        <v>x06000673</v>
      </c>
      <c r="C1987" t="s">
        <v>4</v>
      </c>
      <c r="D1987" t="s">
        <v>7454</v>
      </c>
      <c r="E1987">
        <v>6</v>
      </c>
      <c r="F1987" t="str">
        <f>IF(AND(Entities[[#This Row],[ENT_TYPE]]="County",RIGHT(Entities[[#This Row],[ENT_NAME]],6)&lt;&gt;"County"),_xlfn.TEXTJOIN(" ",TRUE,Entities[[#This Row],[ENT_NAME]],"County"),Entities[[#This Row],[ENT_NAME]])</f>
        <v>Galveston County MUD 64</v>
      </c>
    </row>
    <row r="1988" spans="1:6" x14ac:dyDescent="0.25">
      <c r="A1988" s="302" t="s">
        <v>7455</v>
      </c>
      <c r="B1988" s="303" t="str">
        <f t="shared" si="31"/>
        <v>x06000676</v>
      </c>
      <c r="C1988" t="s">
        <v>4</v>
      </c>
      <c r="D1988" t="s">
        <v>7456</v>
      </c>
      <c r="E1988">
        <v>6</v>
      </c>
      <c r="F1988" t="str">
        <f>IF(AND(Entities[[#This Row],[ENT_TYPE]]="County",RIGHT(Entities[[#This Row],[ENT_NAME]],6)&lt;&gt;"County"),_xlfn.TEXTJOIN(" ",TRUE,Entities[[#This Row],[ENT_NAME]],"County"),Entities[[#This Row],[ENT_NAME]])</f>
        <v>Brazoria-Fort Bend County MUD 1</v>
      </c>
    </row>
    <row r="1989" spans="1:6" x14ac:dyDescent="0.25">
      <c r="A1989" s="302" t="s">
        <v>7457</v>
      </c>
      <c r="B1989" s="303" t="str">
        <f t="shared" si="31"/>
        <v>x06000679</v>
      </c>
      <c r="C1989" t="s">
        <v>4</v>
      </c>
      <c r="D1989" t="s">
        <v>7458</v>
      </c>
      <c r="E1989">
        <v>6</v>
      </c>
      <c r="F1989" t="str">
        <f>IF(AND(Entities[[#This Row],[ENT_TYPE]]="County",RIGHT(Entities[[#This Row],[ENT_NAME]],6)&lt;&gt;"County"),_xlfn.TEXTJOIN(" ",TRUE,Entities[[#This Row],[ENT_NAME]],"County"),Entities[[#This Row],[ENT_NAME]])</f>
        <v>Harris County MUD 191</v>
      </c>
    </row>
    <row r="1990" spans="1:6" x14ac:dyDescent="0.25">
      <c r="A1990" s="304" t="s">
        <v>7459</v>
      </c>
      <c r="B1990" s="303" t="str">
        <f t="shared" si="31"/>
        <v>x06000685</v>
      </c>
      <c r="C1990" t="s">
        <v>4</v>
      </c>
      <c r="D1990" t="s">
        <v>7460</v>
      </c>
      <c r="E1990">
        <v>6</v>
      </c>
      <c r="F1990" t="str">
        <f>IF(AND(Entities[[#This Row],[ENT_TYPE]]="County",RIGHT(Entities[[#This Row],[ENT_NAME]],6)&lt;&gt;"County"),_xlfn.TEXTJOIN(" ",TRUE,Entities[[#This Row],[ENT_NAME]],"County"),Entities[[#This Row],[ENT_NAME]])</f>
        <v>Cinco Southwest MUD 4</v>
      </c>
    </row>
    <row r="1991" spans="1:6" x14ac:dyDescent="0.25">
      <c r="A1991" s="302" t="s">
        <v>7461</v>
      </c>
      <c r="B1991" s="303" t="str">
        <f t="shared" si="31"/>
        <v>x06000695</v>
      </c>
      <c r="C1991" t="s">
        <v>4</v>
      </c>
      <c r="D1991" t="s">
        <v>7462</v>
      </c>
      <c r="E1991">
        <v>6</v>
      </c>
      <c r="F1991" t="str">
        <f>IF(AND(Entities[[#This Row],[ENT_TYPE]]="County",RIGHT(Entities[[#This Row],[ENT_NAME]],6)&lt;&gt;"County"),_xlfn.TEXTJOIN(" ",TRUE,Entities[[#This Row],[ENT_NAME]],"County"),Entities[[#This Row],[ENT_NAME]])</f>
        <v>Harris County Improvement District 8</v>
      </c>
    </row>
    <row r="1992" spans="1:6" x14ac:dyDescent="0.25">
      <c r="A1992" s="304" t="s">
        <v>7463</v>
      </c>
      <c r="B1992" s="303" t="str">
        <f t="shared" si="31"/>
        <v>x06000696</v>
      </c>
      <c r="C1992" t="s">
        <v>4</v>
      </c>
      <c r="D1992" t="s">
        <v>7464</v>
      </c>
      <c r="E1992">
        <v>6</v>
      </c>
      <c r="F1992" t="str">
        <f>IF(AND(Entities[[#This Row],[ENT_TYPE]]="County",RIGHT(Entities[[#This Row],[ENT_NAME]],6)&lt;&gt;"County"),_xlfn.TEXTJOIN(" ",TRUE,Entities[[#This Row],[ENT_NAME]],"County"),Entities[[#This Row],[ENT_NAME]])</f>
        <v>Harris County Improvement District 13</v>
      </c>
    </row>
    <row r="1993" spans="1:6" x14ac:dyDescent="0.25">
      <c r="A1993" s="302" t="s">
        <v>7465</v>
      </c>
      <c r="B1993" s="303" t="str">
        <f t="shared" si="31"/>
        <v>x06000697</v>
      </c>
      <c r="C1993" t="s">
        <v>4</v>
      </c>
      <c r="D1993" t="s">
        <v>7466</v>
      </c>
      <c r="E1993">
        <v>6</v>
      </c>
      <c r="F1993" t="str">
        <f>IF(AND(Entities[[#This Row],[ENT_TYPE]]="County",RIGHT(Entities[[#This Row],[ENT_NAME]],6)&lt;&gt;"County"),_xlfn.TEXTJOIN(" ",TRUE,Entities[[#This Row],[ENT_NAME]],"County"),Entities[[#This Row],[ENT_NAME]])</f>
        <v>Harris County Improvement District 15</v>
      </c>
    </row>
    <row r="1994" spans="1:6" x14ac:dyDescent="0.25">
      <c r="A1994" s="304" t="s">
        <v>7467</v>
      </c>
      <c r="B1994" s="303" t="str">
        <f t="shared" si="31"/>
        <v>x06000701</v>
      </c>
      <c r="C1994" t="s">
        <v>4</v>
      </c>
      <c r="D1994" t="s">
        <v>7468</v>
      </c>
      <c r="E1994">
        <v>6</v>
      </c>
      <c r="F1994" t="str">
        <f>IF(AND(Entities[[#This Row],[ENT_TYPE]]="County",RIGHT(Entities[[#This Row],[ENT_NAME]],6)&lt;&gt;"County"),_xlfn.TEXTJOIN(" ",TRUE,Entities[[#This Row],[ENT_NAME]],"County"),Entities[[#This Row],[ENT_NAME]])</f>
        <v>Harris County MUD 290</v>
      </c>
    </row>
    <row r="1995" spans="1:6" x14ac:dyDescent="0.25">
      <c r="A1995" s="302" t="s">
        <v>7469</v>
      </c>
      <c r="B1995" s="303" t="str">
        <f t="shared" si="31"/>
        <v>x06000702</v>
      </c>
      <c r="C1995" t="s">
        <v>4</v>
      </c>
      <c r="D1995" t="s">
        <v>7470</v>
      </c>
      <c r="E1995">
        <v>6</v>
      </c>
      <c r="F1995" t="str">
        <f>IF(AND(Entities[[#This Row],[ENT_TYPE]]="County",RIGHT(Entities[[#This Row],[ENT_NAME]],6)&lt;&gt;"County"),_xlfn.TEXTJOIN(" ",TRUE,Entities[[#This Row],[ENT_NAME]],"County"),Entities[[#This Row],[ENT_NAME]])</f>
        <v>Montgomery County MUD 84</v>
      </c>
    </row>
    <row r="1996" spans="1:6" x14ac:dyDescent="0.25">
      <c r="A1996" s="302" t="s">
        <v>7471</v>
      </c>
      <c r="B1996" s="303" t="str">
        <f t="shared" si="31"/>
        <v>x06000711</v>
      </c>
      <c r="C1996" t="s">
        <v>4</v>
      </c>
      <c r="D1996" t="s">
        <v>7472</v>
      </c>
      <c r="E1996">
        <v>6</v>
      </c>
      <c r="F1996" t="str">
        <f>IF(AND(Entities[[#This Row],[ENT_TYPE]]="County",RIGHT(Entities[[#This Row],[ENT_NAME]],6)&lt;&gt;"County"),_xlfn.TEXTJOIN(" ",TRUE,Entities[[#This Row],[ENT_NAME]],"County"),Entities[[#This Row],[ENT_NAME]])</f>
        <v>Chambers County MUD 1</v>
      </c>
    </row>
    <row r="1997" spans="1:6" x14ac:dyDescent="0.25">
      <c r="A1997" s="304" t="s">
        <v>7473</v>
      </c>
      <c r="B1997" s="303" t="str">
        <f t="shared" si="31"/>
        <v>x06000713</v>
      </c>
      <c r="C1997" t="s">
        <v>4</v>
      </c>
      <c r="D1997" t="s">
        <v>7474</v>
      </c>
      <c r="E1997">
        <v>6</v>
      </c>
      <c r="F1997" t="str">
        <f>IF(AND(Entities[[#This Row],[ENT_TYPE]]="County",RIGHT(Entities[[#This Row],[ENT_NAME]],6)&lt;&gt;"County"),_xlfn.TEXTJOIN(" ",TRUE,Entities[[#This Row],[ENT_NAME]],"County"),Entities[[#This Row],[ENT_NAME]])</f>
        <v>Montgomery County MUD 102</v>
      </c>
    </row>
    <row r="1998" spans="1:6" x14ac:dyDescent="0.25">
      <c r="A1998" s="302" t="s">
        <v>7475</v>
      </c>
      <c r="B1998" s="303" t="str">
        <f t="shared" si="31"/>
        <v>x06000715</v>
      </c>
      <c r="C1998" t="s">
        <v>4</v>
      </c>
      <c r="D1998" t="s">
        <v>7476</v>
      </c>
      <c r="E1998">
        <v>6</v>
      </c>
      <c r="F1998" t="str">
        <f>IF(AND(Entities[[#This Row],[ENT_TYPE]]="County",RIGHT(Entities[[#This Row],[ENT_NAME]],6)&lt;&gt;"County"),_xlfn.TEXTJOIN(" ",TRUE,Entities[[#This Row],[ENT_NAME]],"County"),Entities[[#This Row],[ENT_NAME]])</f>
        <v>Harris County MUD 427</v>
      </c>
    </row>
    <row r="1999" spans="1:6" x14ac:dyDescent="0.25">
      <c r="A1999" s="304" t="s">
        <v>7477</v>
      </c>
      <c r="B1999" s="303" t="str">
        <f t="shared" si="31"/>
        <v>x06000716</v>
      </c>
      <c r="C1999" t="s">
        <v>4</v>
      </c>
      <c r="D1999" t="s">
        <v>7478</v>
      </c>
      <c r="E1999">
        <v>6</v>
      </c>
      <c r="F1999" t="str">
        <f>IF(AND(Entities[[#This Row],[ENT_TYPE]]="County",RIGHT(Entities[[#This Row],[ENT_NAME]],6)&lt;&gt;"County"),_xlfn.TEXTJOIN(" ",TRUE,Entities[[#This Row],[ENT_NAME]],"County"),Entities[[#This Row],[ENT_NAME]])</f>
        <v>Harris County MUD 428</v>
      </c>
    </row>
    <row r="2000" spans="1:6" x14ac:dyDescent="0.25">
      <c r="A2000" s="302" t="s">
        <v>7479</v>
      </c>
      <c r="B2000" s="303" t="str">
        <f t="shared" si="31"/>
        <v>x06000717</v>
      </c>
      <c r="C2000" t="s">
        <v>4</v>
      </c>
      <c r="D2000" t="s">
        <v>7480</v>
      </c>
      <c r="E2000">
        <v>6</v>
      </c>
      <c r="F2000" t="str">
        <f>IF(AND(Entities[[#This Row],[ENT_TYPE]]="County",RIGHT(Entities[[#This Row],[ENT_NAME]],6)&lt;&gt;"County"),_xlfn.TEXTJOIN(" ",TRUE,Entities[[#This Row],[ENT_NAME]],"County"),Entities[[#This Row],[ENT_NAME]])</f>
        <v>Harris County MUD 429</v>
      </c>
    </row>
    <row r="2001" spans="1:6" x14ac:dyDescent="0.25">
      <c r="A2001" s="304" t="s">
        <v>7481</v>
      </c>
      <c r="B2001" s="303" t="str">
        <f t="shared" si="31"/>
        <v>x06000721</v>
      </c>
      <c r="C2001" t="s">
        <v>4</v>
      </c>
      <c r="D2001" t="s">
        <v>7482</v>
      </c>
      <c r="E2001">
        <v>6</v>
      </c>
      <c r="F2001" t="str">
        <f>IF(AND(Entities[[#This Row],[ENT_TYPE]]="County",RIGHT(Entities[[#This Row],[ENT_NAME]],6)&lt;&gt;"County"),_xlfn.TEXTJOIN(" ",TRUE,Entities[[#This Row],[ENT_NAME]],"County"),Entities[[#This Row],[ENT_NAME]])</f>
        <v>Harris County Municipal Management District 1</v>
      </c>
    </row>
    <row r="2002" spans="1:6" x14ac:dyDescent="0.25">
      <c r="A2002" s="302" t="s">
        <v>7483</v>
      </c>
      <c r="B2002" s="303" t="str">
        <f t="shared" si="31"/>
        <v>x06000722</v>
      </c>
      <c r="C2002" t="s">
        <v>4</v>
      </c>
      <c r="D2002" t="s">
        <v>7484</v>
      </c>
      <c r="E2002">
        <v>6</v>
      </c>
      <c r="F2002" t="str">
        <f>IF(AND(Entities[[#This Row],[ENT_TYPE]]="County",RIGHT(Entities[[#This Row],[ENT_NAME]],6)&lt;&gt;"County"),_xlfn.TEXTJOIN(" ",TRUE,Entities[[#This Row],[ENT_NAME]],"County"),Entities[[#This Row],[ENT_NAME]])</f>
        <v>Galveston County WCID 8</v>
      </c>
    </row>
    <row r="2003" spans="1:6" x14ac:dyDescent="0.25">
      <c r="A2003" s="304" t="s">
        <v>7485</v>
      </c>
      <c r="B2003" s="303" t="str">
        <f t="shared" si="31"/>
        <v>x06000724</v>
      </c>
      <c r="C2003" t="s">
        <v>4</v>
      </c>
      <c r="D2003" t="s">
        <v>7486</v>
      </c>
      <c r="E2003">
        <v>6</v>
      </c>
      <c r="F2003" t="str">
        <f>IF(AND(Entities[[#This Row],[ENT_TYPE]]="County",RIGHT(Entities[[#This Row],[ENT_NAME]],6)&lt;&gt;"County"),_xlfn.TEXTJOIN(" ",TRUE,Entities[[#This Row],[ENT_NAME]],"County"),Entities[[#This Row],[ENT_NAME]])</f>
        <v>Montgomery County MUD 98</v>
      </c>
    </row>
    <row r="2004" spans="1:6" x14ac:dyDescent="0.25">
      <c r="A2004" s="302" t="s">
        <v>7487</v>
      </c>
      <c r="B2004" s="303" t="str">
        <f t="shared" si="31"/>
        <v>x06000725</v>
      </c>
      <c r="C2004" t="s">
        <v>4</v>
      </c>
      <c r="D2004" t="s">
        <v>7488</v>
      </c>
      <c r="E2004">
        <v>6</v>
      </c>
      <c r="F2004" t="str">
        <f>IF(AND(Entities[[#This Row],[ENT_TYPE]]="County",RIGHT(Entities[[#This Row],[ENT_NAME]],6)&lt;&gt;"County"),_xlfn.TEXTJOIN(" ",TRUE,Entities[[#This Row],[ENT_NAME]],"County"),Entities[[#This Row],[ENT_NAME]])</f>
        <v>Montgomery County MUD 94</v>
      </c>
    </row>
    <row r="2005" spans="1:6" x14ac:dyDescent="0.25">
      <c r="A2005" s="304" t="s">
        <v>7489</v>
      </c>
      <c r="B2005" s="303" t="str">
        <f t="shared" si="31"/>
        <v>x06000726</v>
      </c>
      <c r="C2005" t="s">
        <v>4</v>
      </c>
      <c r="D2005" t="s">
        <v>7490</v>
      </c>
      <c r="E2005">
        <v>6</v>
      </c>
      <c r="F2005" t="str">
        <f>IF(AND(Entities[[#This Row],[ENT_TYPE]]="County",RIGHT(Entities[[#This Row],[ENT_NAME]],6)&lt;&gt;"County"),_xlfn.TEXTJOIN(" ",TRUE,Entities[[#This Row],[ENT_NAME]],"County"),Entities[[#This Row],[ENT_NAME]])</f>
        <v>Harris County MUD 572</v>
      </c>
    </row>
    <row r="2006" spans="1:6" x14ac:dyDescent="0.25">
      <c r="A2006" s="302" t="s">
        <v>7491</v>
      </c>
      <c r="B2006" s="303" t="str">
        <f t="shared" si="31"/>
        <v>x06000734</v>
      </c>
      <c r="C2006" t="s">
        <v>4</v>
      </c>
      <c r="D2006" t="s">
        <v>7492</v>
      </c>
      <c r="E2006">
        <v>6</v>
      </c>
      <c r="F2006" t="str">
        <f>IF(AND(Entities[[#This Row],[ENT_TYPE]]="County",RIGHT(Entities[[#This Row],[ENT_NAME]],6)&lt;&gt;"County"),_xlfn.TEXTJOIN(" ",TRUE,Entities[[#This Row],[ENT_NAME]],"County"),Entities[[#This Row],[ENT_NAME]])</f>
        <v>Montgomery County MUD 177</v>
      </c>
    </row>
    <row r="2007" spans="1:6" x14ac:dyDescent="0.25">
      <c r="A2007" s="304" t="s">
        <v>7493</v>
      </c>
      <c r="B2007" s="303" t="str">
        <f t="shared" si="31"/>
        <v>x06000739</v>
      </c>
      <c r="C2007" t="s">
        <v>4</v>
      </c>
      <c r="D2007" t="s">
        <v>7494</v>
      </c>
      <c r="E2007">
        <v>6</v>
      </c>
      <c r="F2007" t="str">
        <f>IF(AND(Entities[[#This Row],[ENT_TYPE]]="County",RIGHT(Entities[[#This Row],[ENT_NAME]],6)&lt;&gt;"County"),_xlfn.TEXTJOIN(" ",TRUE,Entities[[#This Row],[ENT_NAME]],"County"),Entities[[#This Row],[ENT_NAME]])</f>
        <v>East Montgomery County MUD 14</v>
      </c>
    </row>
    <row r="2008" spans="1:6" x14ac:dyDescent="0.25">
      <c r="A2008" s="302" t="s">
        <v>7495</v>
      </c>
      <c r="B2008" s="303" t="str">
        <f t="shared" si="31"/>
        <v>x06000742</v>
      </c>
      <c r="C2008" t="s">
        <v>4</v>
      </c>
      <c r="D2008" t="s">
        <v>7496</v>
      </c>
      <c r="E2008">
        <v>6</v>
      </c>
      <c r="F2008" t="str">
        <f>IF(AND(Entities[[#This Row],[ENT_TYPE]]="County",RIGHT(Entities[[#This Row],[ENT_NAME]],6)&lt;&gt;"County"),_xlfn.TEXTJOIN(" ",TRUE,Entities[[#This Row],[ENT_NAME]],"County"),Entities[[#This Row],[ENT_NAME]])</f>
        <v>Galveston County MUD 65</v>
      </c>
    </row>
    <row r="2009" spans="1:6" x14ac:dyDescent="0.25">
      <c r="A2009" s="304" t="s">
        <v>7497</v>
      </c>
      <c r="B2009" s="303" t="str">
        <f t="shared" si="31"/>
        <v>x06000746</v>
      </c>
      <c r="C2009" t="s">
        <v>4</v>
      </c>
      <c r="D2009" t="s">
        <v>7498</v>
      </c>
      <c r="E2009">
        <v>6</v>
      </c>
      <c r="F2009" t="str">
        <f>IF(AND(Entities[[#This Row],[ENT_TYPE]]="County",RIGHT(Entities[[#This Row],[ENT_NAME]],6)&lt;&gt;"County"),_xlfn.TEXTJOIN(" ",TRUE,Entities[[#This Row],[ENT_NAME]],"County"),Entities[[#This Row],[ENT_NAME]])</f>
        <v>Montgomery County MUD 128</v>
      </c>
    </row>
    <row r="2010" spans="1:6" x14ac:dyDescent="0.25">
      <c r="A2010" s="302" t="s">
        <v>7499</v>
      </c>
      <c r="B2010" s="303" t="str">
        <f t="shared" si="31"/>
        <v>x06000747</v>
      </c>
      <c r="C2010" t="s">
        <v>4</v>
      </c>
      <c r="D2010" t="s">
        <v>7500</v>
      </c>
      <c r="E2010">
        <v>6</v>
      </c>
      <c r="F2010" t="str">
        <f>IF(AND(Entities[[#This Row],[ENT_TYPE]]="County",RIGHT(Entities[[#This Row],[ENT_NAME]],6)&lt;&gt;"County"),_xlfn.TEXTJOIN(" ",TRUE,Entities[[#This Row],[ENT_NAME]],"County"),Entities[[#This Row],[ENT_NAME]])</f>
        <v>Montgomery County MUD 124</v>
      </c>
    </row>
    <row r="2011" spans="1:6" x14ac:dyDescent="0.25">
      <c r="A2011" s="304" t="s">
        <v>7501</v>
      </c>
      <c r="B2011" s="303" t="str">
        <f t="shared" si="31"/>
        <v>x06000748</v>
      </c>
      <c r="C2011" t="s">
        <v>4</v>
      </c>
      <c r="D2011" t="s">
        <v>7502</v>
      </c>
      <c r="E2011">
        <v>6</v>
      </c>
      <c r="F2011" t="str">
        <f>IF(AND(Entities[[#This Row],[ENT_TYPE]]="County",RIGHT(Entities[[#This Row],[ENT_NAME]],6)&lt;&gt;"County"),_xlfn.TEXTJOIN(" ",TRUE,Entities[[#This Row],[ENT_NAME]],"County"),Entities[[#This Row],[ENT_NAME]])</f>
        <v>Montgomery County WCID 3</v>
      </c>
    </row>
    <row r="2012" spans="1:6" x14ac:dyDescent="0.25">
      <c r="A2012" s="302" t="s">
        <v>7503</v>
      </c>
      <c r="B2012" s="303" t="str">
        <f t="shared" si="31"/>
        <v>x06000749</v>
      </c>
      <c r="C2012" t="s">
        <v>4</v>
      </c>
      <c r="D2012" t="s">
        <v>7504</v>
      </c>
      <c r="E2012">
        <v>6</v>
      </c>
      <c r="F2012" t="str">
        <f>IF(AND(Entities[[#This Row],[ENT_TYPE]]="County",RIGHT(Entities[[#This Row],[ENT_NAME]],6)&lt;&gt;"County"),_xlfn.TEXTJOIN(" ",TRUE,Entities[[#This Row],[ENT_NAME]],"County"),Entities[[#This Row],[ENT_NAME]])</f>
        <v>Southeast Montgomery County MUD 1</v>
      </c>
    </row>
    <row r="2013" spans="1:6" x14ac:dyDescent="0.25">
      <c r="A2013" s="304" t="s">
        <v>7505</v>
      </c>
      <c r="B2013" s="303" t="str">
        <f t="shared" si="31"/>
        <v>x06000753</v>
      </c>
      <c r="C2013" t="s">
        <v>4</v>
      </c>
      <c r="D2013" t="s">
        <v>7506</v>
      </c>
      <c r="E2013">
        <v>6</v>
      </c>
      <c r="F2013" t="str">
        <f>IF(AND(Entities[[#This Row],[ENT_TYPE]]="County",RIGHT(Entities[[#This Row],[ENT_NAME]],6)&lt;&gt;"County"),_xlfn.TEXTJOIN(" ",TRUE,Entities[[#This Row],[ENT_NAME]],"County"),Entities[[#This Row],[ENT_NAME]])</f>
        <v>Montgomery County MUD 127</v>
      </c>
    </row>
    <row r="2014" spans="1:6" x14ac:dyDescent="0.25">
      <c r="A2014" s="302" t="s">
        <v>7507</v>
      </c>
      <c r="B2014" s="303" t="str">
        <f t="shared" si="31"/>
        <v>x06000756</v>
      </c>
      <c r="C2014" t="s">
        <v>4</v>
      </c>
      <c r="D2014" t="s">
        <v>7508</v>
      </c>
      <c r="E2014">
        <v>6</v>
      </c>
      <c r="F2014" t="str">
        <f>IF(AND(Entities[[#This Row],[ENT_TYPE]]="County",RIGHT(Entities[[#This Row],[ENT_NAME]],6)&lt;&gt;"County"),_xlfn.TEXTJOIN(" ",TRUE,Entities[[#This Row],[ENT_NAME]],"County"),Entities[[#This Row],[ENT_NAME]])</f>
        <v>Harris County MUD 478</v>
      </c>
    </row>
    <row r="2015" spans="1:6" x14ac:dyDescent="0.25">
      <c r="A2015" s="304" t="s">
        <v>7509</v>
      </c>
      <c r="B2015" s="303" t="str">
        <f t="shared" si="31"/>
        <v>x06000757</v>
      </c>
      <c r="C2015" t="s">
        <v>4</v>
      </c>
      <c r="D2015" t="s">
        <v>7510</v>
      </c>
      <c r="E2015">
        <v>6</v>
      </c>
      <c r="F2015" t="str">
        <f>IF(AND(Entities[[#This Row],[ENT_TYPE]]="County",RIGHT(Entities[[#This Row],[ENT_NAME]],6)&lt;&gt;"County"),_xlfn.TEXTJOIN(" ",TRUE,Entities[[#This Row],[ENT_NAME]],"County"),Entities[[#This Row],[ENT_NAME]])</f>
        <v>Montgomery County MUD 130</v>
      </c>
    </row>
    <row r="2016" spans="1:6" x14ac:dyDescent="0.25">
      <c r="A2016" s="302" t="s">
        <v>7511</v>
      </c>
      <c r="B2016" s="303" t="str">
        <f t="shared" si="31"/>
        <v>x06000760</v>
      </c>
      <c r="C2016" t="s">
        <v>4</v>
      </c>
      <c r="D2016" t="s">
        <v>7512</v>
      </c>
      <c r="E2016">
        <v>6</v>
      </c>
      <c r="F2016" t="str">
        <f>IF(AND(Entities[[#This Row],[ENT_TYPE]]="County",RIGHT(Entities[[#This Row],[ENT_NAME]],6)&lt;&gt;"County"),_xlfn.TEXTJOIN(" ",TRUE,Entities[[#This Row],[ENT_NAME]],"County"),Entities[[#This Row],[ENT_NAME]])</f>
        <v>Luce Bayou PUD</v>
      </c>
    </row>
    <row r="2017" spans="1:6" x14ac:dyDescent="0.25">
      <c r="A2017" s="304" t="s">
        <v>7513</v>
      </c>
      <c r="B2017" s="303" t="str">
        <f t="shared" si="31"/>
        <v>x06000761</v>
      </c>
      <c r="C2017" t="s">
        <v>4</v>
      </c>
      <c r="D2017" t="s">
        <v>7514</v>
      </c>
      <c r="E2017">
        <v>6</v>
      </c>
      <c r="F2017" t="str">
        <f>IF(AND(Entities[[#This Row],[ENT_TYPE]]="County",RIGHT(Entities[[#This Row],[ENT_NAME]],6)&lt;&gt;"County"),_xlfn.TEXTJOIN(" ",TRUE,Entities[[#This Row],[ENT_NAME]],"County"),Entities[[#This Row],[ENT_NAME]])</f>
        <v>Galveston County MUD 54</v>
      </c>
    </row>
    <row r="2018" spans="1:6" x14ac:dyDescent="0.25">
      <c r="A2018" s="302" t="s">
        <v>7515</v>
      </c>
      <c r="B2018" s="303" t="str">
        <f t="shared" si="31"/>
        <v>x06000765</v>
      </c>
      <c r="C2018" t="s">
        <v>4</v>
      </c>
      <c r="D2018" t="s">
        <v>7516</v>
      </c>
      <c r="E2018">
        <v>6</v>
      </c>
      <c r="F2018" t="str">
        <f>IF(AND(Entities[[#This Row],[ENT_TYPE]]="County",RIGHT(Entities[[#This Row],[ENT_NAME]],6)&lt;&gt;"County"),_xlfn.TEXTJOIN(" ",TRUE,Entities[[#This Row],[ENT_NAME]],"County"),Entities[[#This Row],[ENT_NAME]])</f>
        <v>Brazoria County MUD 34</v>
      </c>
    </row>
    <row r="2019" spans="1:6" x14ac:dyDescent="0.25">
      <c r="A2019" s="304" t="s">
        <v>7517</v>
      </c>
      <c r="B2019" s="303" t="str">
        <f t="shared" si="31"/>
        <v>x06000766</v>
      </c>
      <c r="C2019" t="s">
        <v>4</v>
      </c>
      <c r="D2019" t="s">
        <v>7518</v>
      </c>
      <c r="E2019">
        <v>6</v>
      </c>
      <c r="F2019" t="str">
        <f>IF(AND(Entities[[#This Row],[ENT_TYPE]]="County",RIGHT(Entities[[#This Row],[ENT_NAME]],6)&lt;&gt;"County"),_xlfn.TEXTJOIN(" ",TRUE,Entities[[#This Row],[ENT_NAME]],"County"),Entities[[#This Row],[ENT_NAME]])</f>
        <v>Harris County MUD 498</v>
      </c>
    </row>
    <row r="2020" spans="1:6" x14ac:dyDescent="0.25">
      <c r="A2020" s="302" t="s">
        <v>7519</v>
      </c>
      <c r="B2020" s="303" t="str">
        <f t="shared" si="31"/>
        <v>x06000768</v>
      </c>
      <c r="C2020" t="s">
        <v>4</v>
      </c>
      <c r="D2020" t="s">
        <v>7520</v>
      </c>
      <c r="E2020">
        <v>6</v>
      </c>
      <c r="F2020" t="str">
        <f>IF(AND(Entities[[#This Row],[ENT_TYPE]]="County",RIGHT(Entities[[#This Row],[ENT_NAME]],6)&lt;&gt;"County"),_xlfn.TEXTJOIN(" ",TRUE,Entities[[#This Row],[ENT_NAME]],"County"),Entities[[#This Row],[ENT_NAME]])</f>
        <v>Addicks Utility District</v>
      </c>
    </row>
    <row r="2021" spans="1:6" x14ac:dyDescent="0.25">
      <c r="A2021" s="304" t="s">
        <v>7521</v>
      </c>
      <c r="B2021" s="303" t="str">
        <f t="shared" si="31"/>
        <v>x06000770</v>
      </c>
      <c r="C2021" t="s">
        <v>4</v>
      </c>
      <c r="D2021" t="s">
        <v>7522</v>
      </c>
      <c r="E2021">
        <v>6</v>
      </c>
      <c r="F2021" t="str">
        <f>IF(AND(Entities[[#This Row],[ENT_TYPE]]="County",RIGHT(Entities[[#This Row],[ENT_NAME]],6)&lt;&gt;"County"),_xlfn.TEXTJOIN(" ",TRUE,Entities[[#This Row],[ENT_NAME]],"County"),Entities[[#This Row],[ENT_NAME]])</f>
        <v>Brazoria County MUD 31</v>
      </c>
    </row>
    <row r="2022" spans="1:6" x14ac:dyDescent="0.25">
      <c r="A2022" s="302" t="s">
        <v>7523</v>
      </c>
      <c r="B2022" s="303" t="str">
        <f t="shared" si="31"/>
        <v>x06000773</v>
      </c>
      <c r="C2022" t="s">
        <v>4</v>
      </c>
      <c r="D2022" t="s">
        <v>7524</v>
      </c>
      <c r="E2022">
        <v>6</v>
      </c>
      <c r="F2022" t="str">
        <f>IF(AND(Entities[[#This Row],[ENT_TYPE]]="County",RIGHT(Entities[[#This Row],[ENT_NAME]],6)&lt;&gt;"County"),_xlfn.TEXTJOIN(" ",TRUE,Entities[[#This Row],[ENT_NAME]],"County"),Entities[[#This Row],[ENT_NAME]])</f>
        <v>Highland MUD</v>
      </c>
    </row>
    <row r="2023" spans="1:6" x14ac:dyDescent="0.25">
      <c r="A2023" s="304" t="s">
        <v>7525</v>
      </c>
      <c r="B2023" s="303" t="str">
        <f t="shared" si="31"/>
        <v>x06000774</v>
      </c>
      <c r="C2023" t="s">
        <v>4</v>
      </c>
      <c r="D2023" t="s">
        <v>7526</v>
      </c>
      <c r="E2023">
        <v>6</v>
      </c>
      <c r="F2023" t="str">
        <f>IF(AND(Entities[[#This Row],[ENT_TYPE]]="County",RIGHT(Entities[[#This Row],[ENT_NAME]],6)&lt;&gt;"County"),_xlfn.TEXTJOIN(" ",TRUE,Entities[[#This Row],[ENT_NAME]],"County"),Entities[[#This Row],[ENT_NAME]])</f>
        <v>Montgomery County MUD 100</v>
      </c>
    </row>
    <row r="2024" spans="1:6" x14ac:dyDescent="0.25">
      <c r="A2024" s="302" t="s">
        <v>7527</v>
      </c>
      <c r="B2024" s="303" t="str">
        <f t="shared" si="31"/>
        <v>x06000776</v>
      </c>
      <c r="C2024" t="s">
        <v>4</v>
      </c>
      <c r="D2024" t="s">
        <v>7528</v>
      </c>
      <c r="E2024">
        <v>6</v>
      </c>
      <c r="F2024" t="str">
        <f>IF(AND(Entities[[#This Row],[ENT_TYPE]]="County",RIGHT(Entities[[#This Row],[ENT_NAME]],6)&lt;&gt;"County"),_xlfn.TEXTJOIN(" ",TRUE,Entities[[#This Row],[ENT_NAME]],"County"),Entities[[#This Row],[ENT_NAME]])</f>
        <v>Harris County Road Improvement District 2</v>
      </c>
    </row>
    <row r="2025" spans="1:6" x14ac:dyDescent="0.25">
      <c r="A2025" s="304" t="s">
        <v>7529</v>
      </c>
      <c r="B2025" s="303" t="str">
        <f t="shared" si="31"/>
        <v>x06000777</v>
      </c>
      <c r="C2025" t="s">
        <v>4</v>
      </c>
      <c r="D2025" t="s">
        <v>7530</v>
      </c>
      <c r="E2025">
        <v>6</v>
      </c>
      <c r="F2025" t="str">
        <f>IF(AND(Entities[[#This Row],[ENT_TYPE]]="County",RIGHT(Entities[[#This Row],[ENT_NAME]],6)&lt;&gt;"County"),_xlfn.TEXTJOIN(" ",TRUE,Entities[[#This Row],[ENT_NAME]],"County"),Entities[[#This Row],[ENT_NAME]])</f>
        <v>Harris County MUD 499</v>
      </c>
    </row>
    <row r="2026" spans="1:6" x14ac:dyDescent="0.25">
      <c r="A2026" s="302" t="s">
        <v>7531</v>
      </c>
      <c r="B2026" s="303" t="str">
        <f t="shared" si="31"/>
        <v>x06000782</v>
      </c>
      <c r="C2026" t="s">
        <v>4</v>
      </c>
      <c r="D2026" t="s">
        <v>7532</v>
      </c>
      <c r="E2026">
        <v>6</v>
      </c>
      <c r="F2026" t="str">
        <f>IF(AND(Entities[[#This Row],[ENT_TYPE]]="County",RIGHT(Entities[[#This Row],[ENT_NAME]],6)&lt;&gt;"County"),_xlfn.TEXTJOIN(" ",TRUE,Entities[[#This Row],[ENT_NAME]],"County"),Entities[[#This Row],[ENT_NAME]])</f>
        <v>Prestonwood Forest Utility District</v>
      </c>
    </row>
    <row r="2027" spans="1:6" x14ac:dyDescent="0.25">
      <c r="A2027" s="304" t="s">
        <v>7533</v>
      </c>
      <c r="B2027" s="303" t="str">
        <f t="shared" si="31"/>
        <v>x06000790</v>
      </c>
      <c r="C2027" t="s">
        <v>4</v>
      </c>
      <c r="D2027" t="s">
        <v>7534</v>
      </c>
      <c r="E2027">
        <v>6</v>
      </c>
      <c r="F2027" t="str">
        <f>IF(AND(Entities[[#This Row],[ENT_TYPE]]="County",RIGHT(Entities[[#This Row],[ENT_NAME]],6)&lt;&gt;"County"),_xlfn.TEXTJOIN(" ",TRUE,Entities[[#This Row],[ENT_NAME]],"County"),Entities[[#This Row],[ENT_NAME]])</f>
        <v>Montgomery County MUD 104</v>
      </c>
    </row>
    <row r="2028" spans="1:6" x14ac:dyDescent="0.25">
      <c r="A2028" s="302" t="s">
        <v>7535</v>
      </c>
      <c r="B2028" s="303" t="str">
        <f t="shared" si="31"/>
        <v>x06000791</v>
      </c>
      <c r="C2028" t="s">
        <v>4</v>
      </c>
      <c r="D2028" t="s">
        <v>7536</v>
      </c>
      <c r="E2028">
        <v>6</v>
      </c>
      <c r="F2028" t="str">
        <f>IF(AND(Entities[[#This Row],[ENT_TYPE]]="County",RIGHT(Entities[[#This Row],[ENT_NAME]],6)&lt;&gt;"County"),_xlfn.TEXTJOIN(" ",TRUE,Entities[[#This Row],[ENT_NAME]],"County"),Entities[[#This Row],[ENT_NAME]])</f>
        <v>Montgomery County MUD 117</v>
      </c>
    </row>
    <row r="2029" spans="1:6" x14ac:dyDescent="0.25">
      <c r="A2029" s="304" t="s">
        <v>7537</v>
      </c>
      <c r="B2029" s="303" t="str">
        <f t="shared" si="31"/>
        <v>x06000792</v>
      </c>
      <c r="C2029" t="s">
        <v>4</v>
      </c>
      <c r="D2029" t="s">
        <v>7538</v>
      </c>
      <c r="E2029">
        <v>6</v>
      </c>
      <c r="F2029" t="str">
        <f>IF(AND(Entities[[#This Row],[ENT_TYPE]]="County",RIGHT(Entities[[#This Row],[ENT_NAME]],6)&lt;&gt;"County"),_xlfn.TEXTJOIN(" ",TRUE,Entities[[#This Row],[ENT_NAME]],"County"),Entities[[#This Row],[ENT_NAME]])</f>
        <v>Harris County MUD 189</v>
      </c>
    </row>
    <row r="2030" spans="1:6" x14ac:dyDescent="0.25">
      <c r="A2030" s="302" t="s">
        <v>7539</v>
      </c>
      <c r="B2030" s="303" t="str">
        <f t="shared" si="31"/>
        <v>x06000794</v>
      </c>
      <c r="C2030" t="s">
        <v>4</v>
      </c>
      <c r="D2030" t="s">
        <v>7540</v>
      </c>
      <c r="E2030">
        <v>6</v>
      </c>
      <c r="F2030" t="str">
        <f>IF(AND(Entities[[#This Row],[ENT_TYPE]]="County",RIGHT(Entities[[#This Row],[ENT_NAME]],6)&lt;&gt;"County"),_xlfn.TEXTJOIN(" ",TRUE,Entities[[#This Row],[ENT_NAME]],"County"),Entities[[#This Row],[ENT_NAME]])</f>
        <v>Spring West MUD</v>
      </c>
    </row>
    <row r="2031" spans="1:6" x14ac:dyDescent="0.25">
      <c r="A2031" s="304" t="s">
        <v>7541</v>
      </c>
      <c r="B2031" s="303" t="str">
        <f t="shared" si="31"/>
        <v>x06000795</v>
      </c>
      <c r="C2031" t="s">
        <v>4</v>
      </c>
      <c r="D2031" t="s">
        <v>7542</v>
      </c>
      <c r="E2031">
        <v>6</v>
      </c>
      <c r="F2031" t="str">
        <f>IF(AND(Entities[[#This Row],[ENT_TYPE]]="County",RIGHT(Entities[[#This Row],[ENT_NAME]],6)&lt;&gt;"County"),_xlfn.TEXTJOIN(" ",TRUE,Entities[[#This Row],[ENT_NAME]],"County"),Entities[[#This Row],[ENT_NAME]])</f>
        <v>Harris County WCID 132</v>
      </c>
    </row>
    <row r="2032" spans="1:6" x14ac:dyDescent="0.25">
      <c r="A2032" s="302" t="s">
        <v>7543</v>
      </c>
      <c r="B2032" s="303" t="str">
        <f t="shared" si="31"/>
        <v>x06000797</v>
      </c>
      <c r="C2032" t="s">
        <v>4</v>
      </c>
      <c r="D2032" t="s">
        <v>7544</v>
      </c>
      <c r="E2032">
        <v>6</v>
      </c>
      <c r="F2032" t="str">
        <f>IF(AND(Entities[[#This Row],[ENT_TYPE]]="County",RIGHT(Entities[[#This Row],[ENT_NAME]],6)&lt;&gt;"County"),_xlfn.TEXTJOIN(" ",TRUE,Entities[[#This Row],[ENT_NAME]],"County"),Entities[[#This Row],[ENT_NAME]])</f>
        <v>Harris-Waller Counties MUD 2</v>
      </c>
    </row>
    <row r="2033" spans="1:6" x14ac:dyDescent="0.25">
      <c r="A2033" s="304" t="s">
        <v>7545</v>
      </c>
      <c r="B2033" s="303" t="str">
        <f t="shared" si="31"/>
        <v>x06000798</v>
      </c>
      <c r="C2033" t="s">
        <v>4</v>
      </c>
      <c r="D2033" t="s">
        <v>7546</v>
      </c>
      <c r="E2033">
        <v>6</v>
      </c>
      <c r="F2033" t="str">
        <f>IF(AND(Entities[[#This Row],[ENT_TYPE]]="County",RIGHT(Entities[[#This Row],[ENT_NAME]],6)&lt;&gt;"County"),_xlfn.TEXTJOIN(" ",TRUE,Entities[[#This Row],[ENT_NAME]],"County"),Entities[[#This Row],[ENT_NAME]])</f>
        <v>Spring Creek Utility District</v>
      </c>
    </row>
    <row r="2034" spans="1:6" x14ac:dyDescent="0.25">
      <c r="A2034" s="302" t="s">
        <v>7547</v>
      </c>
      <c r="B2034" s="303" t="str">
        <f t="shared" si="31"/>
        <v>x06000800</v>
      </c>
      <c r="C2034" t="s">
        <v>4</v>
      </c>
      <c r="D2034" t="s">
        <v>7548</v>
      </c>
      <c r="E2034">
        <v>6</v>
      </c>
      <c r="F2034" t="str">
        <f>IF(AND(Entities[[#This Row],[ENT_TYPE]]="County",RIGHT(Entities[[#This Row],[ENT_NAME]],6)&lt;&gt;"County"),_xlfn.TEXTJOIN(" ",TRUE,Entities[[#This Row],[ENT_NAME]],"County"),Entities[[#This Row],[ENT_NAME]])</f>
        <v>Westwood Magnolia Parkway Improvement District</v>
      </c>
    </row>
    <row r="2035" spans="1:6" x14ac:dyDescent="0.25">
      <c r="A2035" s="304" t="s">
        <v>7549</v>
      </c>
      <c r="B2035" s="303" t="str">
        <f t="shared" si="31"/>
        <v>x06000802</v>
      </c>
      <c r="C2035" t="s">
        <v>4</v>
      </c>
      <c r="D2035" t="s">
        <v>7550</v>
      </c>
      <c r="E2035">
        <v>6</v>
      </c>
      <c r="F2035" t="str">
        <f>IF(AND(Entities[[#This Row],[ENT_TYPE]]="County",RIGHT(Entities[[#This Row],[ENT_NAME]],6)&lt;&gt;"County"),_xlfn.TEXTJOIN(" ",TRUE,Entities[[#This Row],[ENT_NAME]],"County"),Entities[[#This Row],[ENT_NAME]])</f>
        <v>Blaketree MUD 1 of Montgomery County</v>
      </c>
    </row>
    <row r="2036" spans="1:6" x14ac:dyDescent="0.25">
      <c r="A2036" s="302" t="s">
        <v>7551</v>
      </c>
      <c r="B2036" s="303" t="str">
        <f t="shared" si="31"/>
        <v>x06000803</v>
      </c>
      <c r="C2036" t="s">
        <v>4</v>
      </c>
      <c r="D2036" t="s">
        <v>7552</v>
      </c>
      <c r="E2036">
        <v>6</v>
      </c>
      <c r="F2036" t="str">
        <f>IF(AND(Entities[[#This Row],[ENT_TYPE]]="County",RIGHT(Entities[[#This Row],[ENT_NAME]],6)&lt;&gt;"County"),_xlfn.TEXTJOIN(" ",TRUE,Entities[[#This Row],[ENT_NAME]],"County"),Entities[[#This Row],[ENT_NAME]])</f>
        <v>Harris County MUD 286</v>
      </c>
    </row>
    <row r="2037" spans="1:6" x14ac:dyDescent="0.25">
      <c r="A2037" s="304" t="s">
        <v>7553</v>
      </c>
      <c r="B2037" s="303" t="str">
        <f t="shared" si="31"/>
        <v>x06000804</v>
      </c>
      <c r="C2037" t="s">
        <v>4</v>
      </c>
      <c r="D2037" t="s">
        <v>7554</v>
      </c>
      <c r="E2037">
        <v>6</v>
      </c>
      <c r="F2037" t="str">
        <f>IF(AND(Entities[[#This Row],[ENT_TYPE]]="County",RIGHT(Entities[[#This Row],[ENT_NAME]],6)&lt;&gt;"County"),_xlfn.TEXTJOIN(" ",TRUE,Entities[[#This Row],[ENT_NAME]],"County"),Entities[[#This Row],[ENT_NAME]])</f>
        <v>Harris County MUD 70</v>
      </c>
    </row>
    <row r="2038" spans="1:6" x14ac:dyDescent="0.25">
      <c r="A2038" s="302" t="s">
        <v>7555</v>
      </c>
      <c r="B2038" s="303" t="str">
        <f t="shared" si="31"/>
        <v>x06000805</v>
      </c>
      <c r="C2038" t="s">
        <v>4</v>
      </c>
      <c r="D2038" t="s">
        <v>7556</v>
      </c>
      <c r="E2038">
        <v>6</v>
      </c>
      <c r="F2038" t="str">
        <f>IF(AND(Entities[[#This Row],[ENT_TYPE]]="County",RIGHT(Entities[[#This Row],[ENT_NAME]],6)&lt;&gt;"County"),_xlfn.TEXTJOIN(" ",TRUE,Entities[[#This Row],[ENT_NAME]],"County"),Entities[[#This Row],[ENT_NAME]])</f>
        <v>Brazoria County MUD 3</v>
      </c>
    </row>
    <row r="2039" spans="1:6" x14ac:dyDescent="0.25">
      <c r="A2039" s="304" t="s">
        <v>7557</v>
      </c>
      <c r="B2039" s="303" t="str">
        <f t="shared" si="31"/>
        <v>x06000806</v>
      </c>
      <c r="C2039" t="s">
        <v>4</v>
      </c>
      <c r="D2039" t="s">
        <v>7558</v>
      </c>
      <c r="E2039">
        <v>6</v>
      </c>
      <c r="F2039" t="str">
        <f>IF(AND(Entities[[#This Row],[ENT_TYPE]]="County",RIGHT(Entities[[#This Row],[ENT_NAME]],6)&lt;&gt;"County"),_xlfn.TEXTJOIN(" ",TRUE,Entities[[#This Row],[ENT_NAME]],"County"),Entities[[#This Row],[ENT_NAME]])</f>
        <v>Harris County MUD 186</v>
      </c>
    </row>
    <row r="2040" spans="1:6" x14ac:dyDescent="0.25">
      <c r="A2040" s="302" t="s">
        <v>7559</v>
      </c>
      <c r="B2040" s="303" t="str">
        <f t="shared" si="31"/>
        <v>x06000807</v>
      </c>
      <c r="C2040" t="s">
        <v>4</v>
      </c>
      <c r="D2040" t="s">
        <v>7560</v>
      </c>
      <c r="E2040">
        <v>6</v>
      </c>
      <c r="F2040" t="str">
        <f>IF(AND(Entities[[#This Row],[ENT_TYPE]]="County",RIGHT(Entities[[#This Row],[ENT_NAME]],6)&lt;&gt;"County"),_xlfn.TEXTJOIN(" ",TRUE,Entities[[#This Row],[ENT_NAME]],"County"),Entities[[#This Row],[ENT_NAME]])</f>
        <v>Harris County MUD 257</v>
      </c>
    </row>
    <row r="2041" spans="1:6" x14ac:dyDescent="0.25">
      <c r="A2041" s="304" t="s">
        <v>7561</v>
      </c>
      <c r="B2041" s="303" t="str">
        <f t="shared" si="31"/>
        <v>x06000808</v>
      </c>
      <c r="C2041" t="s">
        <v>4</v>
      </c>
      <c r="D2041" t="s">
        <v>7562</v>
      </c>
      <c r="E2041">
        <v>6</v>
      </c>
      <c r="F2041" t="str">
        <f>IF(AND(Entities[[#This Row],[ENT_TYPE]]="County",RIGHT(Entities[[#This Row],[ENT_NAME]],6)&lt;&gt;"County"),_xlfn.TEXTJOIN(" ",TRUE,Entities[[#This Row],[ENT_NAME]],"County"),Entities[[#This Row],[ENT_NAME]])</f>
        <v>Harris County MUD 231</v>
      </c>
    </row>
    <row r="2042" spans="1:6" x14ac:dyDescent="0.25">
      <c r="A2042" s="302" t="s">
        <v>7563</v>
      </c>
      <c r="B2042" s="303" t="str">
        <f t="shared" si="31"/>
        <v>x06000809</v>
      </c>
      <c r="C2042" t="s">
        <v>4</v>
      </c>
      <c r="D2042" t="s">
        <v>7564</v>
      </c>
      <c r="E2042">
        <v>6</v>
      </c>
      <c r="F2042" t="str">
        <f>IF(AND(Entities[[#This Row],[ENT_TYPE]]="County",RIGHT(Entities[[#This Row],[ENT_NAME]],6)&lt;&gt;"County"),_xlfn.TEXTJOIN(" ",TRUE,Entities[[#This Row],[ENT_NAME]],"County"),Entities[[#This Row],[ENT_NAME]])</f>
        <v>Camfield MUD</v>
      </c>
    </row>
    <row r="2043" spans="1:6" x14ac:dyDescent="0.25">
      <c r="A2043" s="304" t="s">
        <v>7565</v>
      </c>
      <c r="B2043" s="303" t="str">
        <f t="shared" si="31"/>
        <v>x06000810</v>
      </c>
      <c r="C2043" t="s">
        <v>4</v>
      </c>
      <c r="D2043" t="s">
        <v>7566</v>
      </c>
      <c r="E2043">
        <v>6</v>
      </c>
      <c r="F2043" t="str">
        <f>IF(AND(Entities[[#This Row],[ENT_TYPE]]="County",RIGHT(Entities[[#This Row],[ENT_NAME]],6)&lt;&gt;"County"),_xlfn.TEXTJOIN(" ",TRUE,Entities[[#This Row],[ENT_NAME]],"County"),Entities[[#This Row],[ENT_NAME]])</f>
        <v>Harris County MUD 346</v>
      </c>
    </row>
    <row r="2044" spans="1:6" x14ac:dyDescent="0.25">
      <c r="A2044" s="302" t="s">
        <v>7567</v>
      </c>
      <c r="B2044" s="303" t="str">
        <f t="shared" si="31"/>
        <v>x06000811</v>
      </c>
      <c r="C2044" t="s">
        <v>4</v>
      </c>
      <c r="D2044" t="s">
        <v>7568</v>
      </c>
      <c r="E2044">
        <v>6</v>
      </c>
      <c r="F2044" t="str">
        <f>IF(AND(Entities[[#This Row],[ENT_TYPE]]="County",RIGHT(Entities[[#This Row],[ENT_NAME]],6)&lt;&gt;"County"),_xlfn.TEXTJOIN(" ",TRUE,Entities[[#This Row],[ENT_NAME]],"County"),Entities[[#This Row],[ENT_NAME]])</f>
        <v>Montgomery County MUD 85</v>
      </c>
    </row>
    <row r="2045" spans="1:6" x14ac:dyDescent="0.25">
      <c r="A2045" s="304" t="s">
        <v>7569</v>
      </c>
      <c r="B2045" s="303" t="str">
        <f t="shared" si="31"/>
        <v>x06000813</v>
      </c>
      <c r="C2045" t="s">
        <v>4</v>
      </c>
      <c r="D2045" t="s">
        <v>7570</v>
      </c>
      <c r="E2045">
        <v>6</v>
      </c>
      <c r="F2045" t="str">
        <f>IF(AND(Entities[[#This Row],[ENT_TYPE]]="County",RIGHT(Entities[[#This Row],[ENT_NAME]],6)&lt;&gt;"County"),_xlfn.TEXTJOIN(" ",TRUE,Entities[[#This Row],[ENT_NAME]],"County"),Entities[[#This Row],[ENT_NAME]])</f>
        <v>Montgomery County MUD 87</v>
      </c>
    </row>
    <row r="2046" spans="1:6" x14ac:dyDescent="0.25">
      <c r="A2046" s="302" t="s">
        <v>7571</v>
      </c>
      <c r="B2046" s="303" t="str">
        <f t="shared" si="31"/>
        <v>x06000814</v>
      </c>
      <c r="C2046" t="s">
        <v>4</v>
      </c>
      <c r="D2046" t="s">
        <v>7572</v>
      </c>
      <c r="E2046">
        <v>6</v>
      </c>
      <c r="F2046" t="str">
        <f>IF(AND(Entities[[#This Row],[ENT_TYPE]]="County",RIGHT(Entities[[#This Row],[ENT_NAME]],6)&lt;&gt;"County"),_xlfn.TEXTJOIN(" ",TRUE,Entities[[#This Row],[ENT_NAME]],"County"),Entities[[#This Row],[ENT_NAME]])</f>
        <v>Harris County MUD 342</v>
      </c>
    </row>
    <row r="2047" spans="1:6" x14ac:dyDescent="0.25">
      <c r="A2047" s="304" t="s">
        <v>7573</v>
      </c>
      <c r="B2047" s="303" t="str">
        <f t="shared" si="31"/>
        <v>x06000819</v>
      </c>
      <c r="C2047" t="s">
        <v>4</v>
      </c>
      <c r="D2047" t="s">
        <v>7574</v>
      </c>
      <c r="E2047">
        <v>6</v>
      </c>
      <c r="F2047" t="str">
        <f>IF(AND(Entities[[#This Row],[ENT_TYPE]]="County",RIGHT(Entities[[#This Row],[ENT_NAME]],6)&lt;&gt;"County"),_xlfn.TEXTJOIN(" ",TRUE,Entities[[#This Row],[ENT_NAME]],"County"),Entities[[#This Row],[ENT_NAME]])</f>
        <v>Fort Bend County MUD 37</v>
      </c>
    </row>
    <row r="2048" spans="1:6" x14ac:dyDescent="0.25">
      <c r="A2048" s="302" t="s">
        <v>7575</v>
      </c>
      <c r="B2048" s="303" t="str">
        <f t="shared" si="31"/>
        <v>x06000820</v>
      </c>
      <c r="C2048" t="s">
        <v>4</v>
      </c>
      <c r="D2048" t="s">
        <v>7576</v>
      </c>
      <c r="E2048">
        <v>6</v>
      </c>
      <c r="F2048" t="str">
        <f>IF(AND(Entities[[#This Row],[ENT_TYPE]]="County",RIGHT(Entities[[#This Row],[ENT_NAME]],6)&lt;&gt;"County"),_xlfn.TEXTJOIN(" ",TRUE,Entities[[#This Row],[ENT_NAME]],"County"),Entities[[#This Row],[ENT_NAME]])</f>
        <v>Galveston County MUD 13</v>
      </c>
    </row>
    <row r="2049" spans="1:6" x14ac:dyDescent="0.25">
      <c r="A2049" s="304" t="s">
        <v>7577</v>
      </c>
      <c r="B2049" s="303" t="str">
        <f t="shared" si="31"/>
        <v>x06000822</v>
      </c>
      <c r="C2049" t="s">
        <v>4</v>
      </c>
      <c r="D2049" t="s">
        <v>7578</v>
      </c>
      <c r="E2049">
        <v>6</v>
      </c>
      <c r="F2049" t="str">
        <f>IF(AND(Entities[[#This Row],[ENT_TYPE]]="County",RIGHT(Entities[[#This Row],[ENT_NAME]],6)&lt;&gt;"County"),_xlfn.TEXTJOIN(" ",TRUE,Entities[[#This Row],[ENT_NAME]],"County"),Entities[[#This Row],[ENT_NAME]])</f>
        <v>Harris County MUD 19</v>
      </c>
    </row>
    <row r="2050" spans="1:6" x14ac:dyDescent="0.25">
      <c r="A2050" s="302" t="s">
        <v>7579</v>
      </c>
      <c r="B2050" s="303" t="str">
        <f t="shared" ref="B2050:B2113" si="32">_xlfn.CONCAT("x",TEXT(A2050,"00000000"))</f>
        <v>x06000823</v>
      </c>
      <c r="C2050" t="s">
        <v>4</v>
      </c>
      <c r="D2050" t="s">
        <v>7580</v>
      </c>
      <c r="E2050">
        <v>6</v>
      </c>
      <c r="F2050" t="str">
        <f>IF(AND(Entities[[#This Row],[ENT_TYPE]]="County",RIGHT(Entities[[#This Row],[ENT_NAME]],6)&lt;&gt;"County"),_xlfn.TEXTJOIN(" ",TRUE,Entities[[#This Row],[ENT_NAME]],"County"),Entities[[#This Row],[ENT_NAME]])</f>
        <v>Harris County MUD 6</v>
      </c>
    </row>
    <row r="2051" spans="1:6" x14ac:dyDescent="0.25">
      <c r="A2051" s="304" t="s">
        <v>7581</v>
      </c>
      <c r="B2051" s="303" t="str">
        <f t="shared" si="32"/>
        <v>x06000824</v>
      </c>
      <c r="C2051" t="s">
        <v>4</v>
      </c>
      <c r="D2051" t="s">
        <v>7582</v>
      </c>
      <c r="E2051">
        <v>6</v>
      </c>
      <c r="F2051" t="str">
        <f>IF(AND(Entities[[#This Row],[ENT_TYPE]]="County",RIGHT(Entities[[#This Row],[ENT_NAME]],6)&lt;&gt;"County"),_xlfn.TEXTJOIN(" ",TRUE,Entities[[#This Row],[ENT_NAME]],"County"),Entities[[#This Row],[ENT_NAME]])</f>
        <v>Harris County MUD 69</v>
      </c>
    </row>
    <row r="2052" spans="1:6" x14ac:dyDescent="0.25">
      <c r="A2052" s="302" t="s">
        <v>7583</v>
      </c>
      <c r="B2052" s="303" t="str">
        <f t="shared" si="32"/>
        <v>x06000825</v>
      </c>
      <c r="C2052" t="s">
        <v>4</v>
      </c>
      <c r="D2052" t="s">
        <v>7584</v>
      </c>
      <c r="E2052">
        <v>6</v>
      </c>
      <c r="F2052" t="str">
        <f>IF(AND(Entities[[#This Row],[ENT_TYPE]]="County",RIGHT(Entities[[#This Row],[ENT_NAME]],6)&lt;&gt;"County"),_xlfn.TEXTJOIN(" ",TRUE,Entities[[#This Row],[ENT_NAME]],"County"),Entities[[#This Row],[ENT_NAME]])</f>
        <v>Harris County MUD 535</v>
      </c>
    </row>
    <row r="2053" spans="1:6" x14ac:dyDescent="0.25">
      <c r="A2053" s="304" t="s">
        <v>7585</v>
      </c>
      <c r="B2053" s="303" t="str">
        <f t="shared" si="32"/>
        <v>x06000826</v>
      </c>
      <c r="C2053" t="s">
        <v>4</v>
      </c>
      <c r="D2053" t="s">
        <v>7586</v>
      </c>
      <c r="E2053">
        <v>6</v>
      </c>
      <c r="F2053" t="str">
        <f>IF(AND(Entities[[#This Row],[ENT_TYPE]]="County",RIGHT(Entities[[#This Row],[ENT_NAME]],6)&lt;&gt;"County"),_xlfn.TEXTJOIN(" ",TRUE,Entities[[#This Row],[ENT_NAME]],"County"),Entities[[#This Row],[ENT_NAME]])</f>
        <v>Liberty Lakes FWSD 1</v>
      </c>
    </row>
    <row r="2054" spans="1:6" x14ac:dyDescent="0.25">
      <c r="A2054" s="302" t="s">
        <v>7587</v>
      </c>
      <c r="B2054" s="303" t="str">
        <f t="shared" si="32"/>
        <v>x06000828</v>
      </c>
      <c r="C2054" t="s">
        <v>4</v>
      </c>
      <c r="D2054" t="s">
        <v>7588</v>
      </c>
      <c r="E2054">
        <v>6</v>
      </c>
      <c r="F2054" t="str">
        <f>IF(AND(Entities[[#This Row],[ENT_TYPE]]="County",RIGHT(Entities[[#This Row],[ENT_NAME]],6)&lt;&gt;"County"),_xlfn.TEXTJOIN(" ",TRUE,Entities[[#This Row],[ENT_NAME]],"County"),Entities[[#This Row],[ENT_NAME]])</f>
        <v>Cinco MUD 8</v>
      </c>
    </row>
    <row r="2055" spans="1:6" x14ac:dyDescent="0.25">
      <c r="A2055" s="304" t="s">
        <v>7589</v>
      </c>
      <c r="B2055" s="303" t="str">
        <f t="shared" si="32"/>
        <v>x06000829</v>
      </c>
      <c r="C2055" t="s">
        <v>4</v>
      </c>
      <c r="D2055" t="s">
        <v>7590</v>
      </c>
      <c r="E2055">
        <v>6</v>
      </c>
      <c r="F2055" t="str">
        <f>IF(AND(Entities[[#This Row],[ENT_TYPE]]="County",RIGHT(Entities[[#This Row],[ENT_NAME]],6)&lt;&gt;"County"),_xlfn.TEXTJOIN(" ",TRUE,Entities[[#This Row],[ENT_NAME]],"County"),Entities[[#This Row],[ENT_NAME]])</f>
        <v>Rolling Creek Utility District</v>
      </c>
    </row>
    <row r="2056" spans="1:6" x14ac:dyDescent="0.25">
      <c r="A2056" s="302" t="s">
        <v>7591</v>
      </c>
      <c r="B2056" s="303" t="str">
        <f t="shared" si="32"/>
        <v>x06000830</v>
      </c>
      <c r="C2056" t="s">
        <v>4</v>
      </c>
      <c r="D2056" t="s">
        <v>7592</v>
      </c>
      <c r="E2056">
        <v>6</v>
      </c>
      <c r="F2056" t="str">
        <f>IF(AND(Entities[[#This Row],[ENT_TYPE]]="County",RIGHT(Entities[[#This Row],[ENT_NAME]],6)&lt;&gt;"County"),_xlfn.TEXTJOIN(" ",TRUE,Entities[[#This Row],[ENT_NAME]],"County"),Entities[[#This Row],[ENT_NAME]])</f>
        <v>Harris County MUD 150</v>
      </c>
    </row>
    <row r="2057" spans="1:6" x14ac:dyDescent="0.25">
      <c r="A2057" s="304" t="s">
        <v>7593</v>
      </c>
      <c r="B2057" s="303" t="str">
        <f t="shared" si="32"/>
        <v>x06000839</v>
      </c>
      <c r="C2057" t="s">
        <v>4</v>
      </c>
      <c r="D2057" t="s">
        <v>7594</v>
      </c>
      <c r="E2057">
        <v>6</v>
      </c>
      <c r="F2057" t="str">
        <f>IF(AND(Entities[[#This Row],[ENT_TYPE]]="County",RIGHT(Entities[[#This Row],[ENT_NAME]],6)&lt;&gt;"County"),_xlfn.TEXTJOIN(" ",TRUE,Entities[[#This Row],[ENT_NAME]],"County"),Entities[[#This Row],[ENT_NAME]])</f>
        <v>Harris County Improvement District 16</v>
      </c>
    </row>
    <row r="2058" spans="1:6" x14ac:dyDescent="0.25">
      <c r="A2058" s="302" t="s">
        <v>7595</v>
      </c>
      <c r="B2058" s="303" t="str">
        <f t="shared" si="32"/>
        <v>x06000848</v>
      </c>
      <c r="C2058" t="s">
        <v>4</v>
      </c>
      <c r="D2058" t="s">
        <v>7596</v>
      </c>
      <c r="E2058">
        <v>6</v>
      </c>
      <c r="F2058" t="str">
        <f>IF(AND(Entities[[#This Row],[ENT_TYPE]]="County",RIGHT(Entities[[#This Row],[ENT_NAME]],6)&lt;&gt;"County"),_xlfn.TEXTJOIN(" ",TRUE,Entities[[#This Row],[ENT_NAME]],"County"),Entities[[#This Row],[ENT_NAME]])</f>
        <v>Harris Fort Bend Counties MUD 1</v>
      </c>
    </row>
    <row r="2059" spans="1:6" x14ac:dyDescent="0.25">
      <c r="A2059" s="304" t="s">
        <v>7597</v>
      </c>
      <c r="B2059" s="303" t="str">
        <f t="shared" si="32"/>
        <v>x06000849</v>
      </c>
      <c r="C2059" t="s">
        <v>4</v>
      </c>
      <c r="D2059" t="s">
        <v>7598</v>
      </c>
      <c r="E2059">
        <v>6</v>
      </c>
      <c r="F2059" t="str">
        <f>IF(AND(Entities[[#This Row],[ENT_TYPE]]="County",RIGHT(Entities[[#This Row],[ENT_NAME]],6)&lt;&gt;"County"),_xlfn.TEXTJOIN(" ",TRUE,Entities[[#This Row],[ENT_NAME]],"County"),Entities[[#This Row],[ENT_NAME]])</f>
        <v>Grand Northwest MUD</v>
      </c>
    </row>
    <row r="2060" spans="1:6" x14ac:dyDescent="0.25">
      <c r="A2060" s="302" t="s">
        <v>7599</v>
      </c>
      <c r="B2060" s="303" t="str">
        <f t="shared" si="32"/>
        <v>x06000850</v>
      </c>
      <c r="C2060" t="s">
        <v>4</v>
      </c>
      <c r="D2060" t="s">
        <v>7600</v>
      </c>
      <c r="E2060">
        <v>6</v>
      </c>
      <c r="F2060" t="str">
        <f>IF(AND(Entities[[#This Row],[ENT_TYPE]]="County",RIGHT(Entities[[#This Row],[ENT_NAME]],6)&lt;&gt;"County"),_xlfn.TEXTJOIN(" ",TRUE,Entities[[#This Row],[ENT_NAME]],"County"),Entities[[#This Row],[ENT_NAME]])</f>
        <v>Harris County FWSD 6</v>
      </c>
    </row>
    <row r="2061" spans="1:6" x14ac:dyDescent="0.25">
      <c r="A2061" s="304" t="s">
        <v>7601</v>
      </c>
      <c r="B2061" s="303" t="str">
        <f t="shared" si="32"/>
        <v>x06000855</v>
      </c>
      <c r="C2061" t="s">
        <v>4</v>
      </c>
      <c r="D2061" t="s">
        <v>7602</v>
      </c>
      <c r="E2061">
        <v>6</v>
      </c>
      <c r="F2061" t="str">
        <f>IF(AND(Entities[[#This Row],[ENT_TYPE]]="County",RIGHT(Entities[[#This Row],[ENT_NAME]],6)&lt;&gt;"County"),_xlfn.TEXTJOIN(" ",TRUE,Entities[[#This Row],[ENT_NAME]],"County"),Entities[[#This Row],[ENT_NAME]])</f>
        <v>Windfern Forest Utility District</v>
      </c>
    </row>
    <row r="2062" spans="1:6" x14ac:dyDescent="0.25">
      <c r="A2062" s="302" t="s">
        <v>7603</v>
      </c>
      <c r="B2062" s="303" t="str">
        <f t="shared" si="32"/>
        <v>x06000856</v>
      </c>
      <c r="C2062" t="s">
        <v>4</v>
      </c>
      <c r="D2062" t="s">
        <v>7604</v>
      </c>
      <c r="E2062">
        <v>6</v>
      </c>
      <c r="F2062" t="str">
        <f>IF(AND(Entities[[#This Row],[ENT_TYPE]]="County",RIGHT(Entities[[#This Row],[ENT_NAME]],6)&lt;&gt;"County"),_xlfn.TEXTJOIN(" ",TRUE,Entities[[#This Row],[ENT_NAME]],"County"),Entities[[#This Row],[ENT_NAME]])</f>
        <v>Porter MUD</v>
      </c>
    </row>
    <row r="2063" spans="1:6" x14ac:dyDescent="0.25">
      <c r="A2063" s="304" t="s">
        <v>7605</v>
      </c>
      <c r="B2063" s="303" t="str">
        <f t="shared" si="32"/>
        <v>x06000858</v>
      </c>
      <c r="C2063" t="s">
        <v>4</v>
      </c>
      <c r="D2063" t="s">
        <v>7606</v>
      </c>
      <c r="E2063">
        <v>6</v>
      </c>
      <c r="F2063" t="str">
        <f>IF(AND(Entities[[#This Row],[ENT_TYPE]]="County",RIGHT(Entities[[#This Row],[ENT_NAME]],6)&lt;&gt;"County"),_xlfn.TEXTJOIN(" ",TRUE,Entities[[#This Row],[ENT_NAME]],"County"),Entities[[#This Row],[ENT_NAME]])</f>
        <v>Brazoria County MUD 26</v>
      </c>
    </row>
    <row r="2064" spans="1:6" x14ac:dyDescent="0.25">
      <c r="A2064" s="302" t="s">
        <v>7607</v>
      </c>
      <c r="B2064" s="303" t="str">
        <f t="shared" si="32"/>
        <v>x06000859</v>
      </c>
      <c r="C2064" t="s">
        <v>4</v>
      </c>
      <c r="D2064" t="s">
        <v>7608</v>
      </c>
      <c r="E2064">
        <v>6</v>
      </c>
      <c r="F2064" t="str">
        <f>IF(AND(Entities[[#This Row],[ENT_TYPE]]="County",RIGHT(Entities[[#This Row],[ENT_NAME]],6)&lt;&gt;"County"),_xlfn.TEXTJOIN(" ",TRUE,Entities[[#This Row],[ENT_NAME]],"County"),Entities[[#This Row],[ENT_NAME]])</f>
        <v>Town Center Improvement District</v>
      </c>
    </row>
    <row r="2065" spans="1:6" x14ac:dyDescent="0.25">
      <c r="A2065" s="302" t="s">
        <v>7609</v>
      </c>
      <c r="B2065" s="303" t="str">
        <f t="shared" si="32"/>
        <v>x06000861</v>
      </c>
      <c r="C2065" t="s">
        <v>4</v>
      </c>
      <c r="D2065" t="s">
        <v>7610</v>
      </c>
      <c r="E2065">
        <v>6</v>
      </c>
      <c r="F2065" t="str">
        <f>IF(AND(Entities[[#This Row],[ENT_TYPE]]="County",RIGHT(Entities[[#This Row],[ENT_NAME]],6)&lt;&gt;"County"),_xlfn.TEXTJOIN(" ",TRUE,Entities[[#This Row],[ENT_NAME]],"County"),Entities[[#This Row],[ENT_NAME]])</f>
        <v>Chimney Hill MUD</v>
      </c>
    </row>
    <row r="2066" spans="1:6" x14ac:dyDescent="0.25">
      <c r="A2066" s="304" t="s">
        <v>7611</v>
      </c>
      <c r="B2066" s="303" t="str">
        <f t="shared" si="32"/>
        <v>x06000866</v>
      </c>
      <c r="C2066" t="s">
        <v>4</v>
      </c>
      <c r="D2066" t="s">
        <v>7612</v>
      </c>
      <c r="E2066">
        <v>6</v>
      </c>
      <c r="F2066" t="str">
        <f>IF(AND(Entities[[#This Row],[ENT_TYPE]]="County",RIGHT(Entities[[#This Row],[ENT_NAME]],6)&lt;&gt;"County"),_xlfn.TEXTJOIN(" ",TRUE,Entities[[#This Row],[ENT_NAME]],"County"),Entities[[#This Row],[ENT_NAME]])</f>
        <v>Fort Bend County MUD 199</v>
      </c>
    </row>
    <row r="2067" spans="1:6" x14ac:dyDescent="0.25">
      <c r="A2067" s="302" t="s">
        <v>7613</v>
      </c>
      <c r="B2067" s="303" t="str">
        <f t="shared" si="32"/>
        <v>x06000869</v>
      </c>
      <c r="C2067" t="s">
        <v>4</v>
      </c>
      <c r="D2067" t="s">
        <v>7614</v>
      </c>
      <c r="E2067">
        <v>6</v>
      </c>
      <c r="F2067" t="str">
        <f>IF(AND(Entities[[#This Row],[ENT_TYPE]]="County",RIGHT(Entities[[#This Row],[ENT_NAME]],6)&lt;&gt;"County"),_xlfn.TEXTJOIN(" ",TRUE,Entities[[#This Row],[ENT_NAME]],"County"),Entities[[#This Row],[ENT_NAME]])</f>
        <v>Harris County MUD 368</v>
      </c>
    </row>
    <row r="2068" spans="1:6" x14ac:dyDescent="0.25">
      <c r="A2068" s="304" t="s">
        <v>7615</v>
      </c>
      <c r="B2068" s="303" t="str">
        <f t="shared" si="32"/>
        <v>x06000885</v>
      </c>
      <c r="C2068" t="s">
        <v>4</v>
      </c>
      <c r="D2068" t="s">
        <v>7616</v>
      </c>
      <c r="E2068">
        <v>6</v>
      </c>
      <c r="F2068" t="str">
        <f>IF(AND(Entities[[#This Row],[ENT_TYPE]]="County",RIGHT(Entities[[#This Row],[ENT_NAME]],6)&lt;&gt;"County"),_xlfn.TEXTJOIN(" ",TRUE,Entities[[#This Row],[ENT_NAME]],"County"),Entities[[#This Row],[ENT_NAME]])</f>
        <v>Timberlake Improvement District</v>
      </c>
    </row>
    <row r="2069" spans="1:6" x14ac:dyDescent="0.25">
      <c r="A2069" s="302" t="s">
        <v>7617</v>
      </c>
      <c r="B2069" s="303" t="str">
        <f t="shared" si="32"/>
        <v>x06000886</v>
      </c>
      <c r="C2069" t="s">
        <v>4</v>
      </c>
      <c r="D2069" t="s">
        <v>7618</v>
      </c>
      <c r="E2069">
        <v>6</v>
      </c>
      <c r="F2069" t="str">
        <f>IF(AND(Entities[[#This Row],[ENT_TYPE]]="County",RIGHT(Entities[[#This Row],[ENT_NAME]],6)&lt;&gt;"County"),_xlfn.TEXTJOIN(" ",TRUE,Entities[[#This Row],[ENT_NAME]],"County"),Entities[[#This Row],[ENT_NAME]])</f>
        <v>Harris County WCID 136</v>
      </c>
    </row>
    <row r="2070" spans="1:6" x14ac:dyDescent="0.25">
      <c r="A2070" s="304" t="s">
        <v>7619</v>
      </c>
      <c r="B2070" s="303" t="str">
        <f t="shared" si="32"/>
        <v>x06000889</v>
      </c>
      <c r="C2070" t="s">
        <v>4</v>
      </c>
      <c r="D2070" t="s">
        <v>7620</v>
      </c>
      <c r="E2070">
        <v>6</v>
      </c>
      <c r="F2070" t="str">
        <f>IF(AND(Entities[[#This Row],[ENT_TYPE]]="County",RIGHT(Entities[[#This Row],[ENT_NAME]],6)&lt;&gt;"County"),_xlfn.TEXTJOIN(" ",TRUE,Entities[[#This Row],[ENT_NAME]],"County"),Entities[[#This Row],[ENT_NAME]])</f>
        <v>Grimes County MUD 1</v>
      </c>
    </row>
    <row r="2071" spans="1:6" x14ac:dyDescent="0.25">
      <c r="A2071" s="302" t="s">
        <v>7621</v>
      </c>
      <c r="B2071" s="303" t="str">
        <f t="shared" si="32"/>
        <v>x06000892</v>
      </c>
      <c r="C2071" t="s">
        <v>4</v>
      </c>
      <c r="D2071" t="s">
        <v>7622</v>
      </c>
      <c r="E2071">
        <v>6</v>
      </c>
      <c r="F2071" t="str">
        <f>IF(AND(Entities[[#This Row],[ENT_TYPE]]="County",RIGHT(Entities[[#This Row],[ENT_NAME]],6)&lt;&gt;"County"),_xlfn.TEXTJOIN(" ",TRUE,Entities[[#This Row],[ENT_NAME]],"County"),Entities[[#This Row],[ENT_NAME]])</f>
        <v>Galveston County FWSD 6</v>
      </c>
    </row>
    <row r="2072" spans="1:6" x14ac:dyDescent="0.25">
      <c r="A2072" s="304" t="s">
        <v>7623</v>
      </c>
      <c r="B2072" s="303" t="str">
        <f t="shared" si="32"/>
        <v>x06000893</v>
      </c>
      <c r="C2072" t="s">
        <v>4</v>
      </c>
      <c r="D2072" t="s">
        <v>7624</v>
      </c>
      <c r="E2072">
        <v>6</v>
      </c>
      <c r="F2072" t="str">
        <f>IF(AND(Entities[[#This Row],[ENT_TYPE]]="County",RIGHT(Entities[[#This Row],[ENT_NAME]],6)&lt;&gt;"County"),_xlfn.TEXTJOIN(" ",TRUE,Entities[[#This Row],[ENT_NAME]],"County"),Entities[[#This Row],[ENT_NAME]])</f>
        <v>South Shore Harbor MUD 6</v>
      </c>
    </row>
    <row r="2073" spans="1:6" x14ac:dyDescent="0.25">
      <c r="A2073" s="302" t="s">
        <v>7625</v>
      </c>
      <c r="B2073" s="303" t="str">
        <f t="shared" si="32"/>
        <v>x06000894</v>
      </c>
      <c r="C2073" t="s">
        <v>4</v>
      </c>
      <c r="D2073" t="s">
        <v>7626</v>
      </c>
      <c r="E2073">
        <v>6</v>
      </c>
      <c r="F2073" t="str">
        <f>IF(AND(Entities[[#This Row],[ENT_TYPE]]="County",RIGHT(Entities[[#This Row],[ENT_NAME]],6)&lt;&gt;"County"),_xlfn.TEXTJOIN(" ",TRUE,Entities[[#This Row],[ENT_NAME]],"County"),Entities[[#This Row],[ENT_NAME]])</f>
        <v>Harris County MUD 515</v>
      </c>
    </row>
    <row r="2074" spans="1:6" x14ac:dyDescent="0.25">
      <c r="A2074" s="304" t="s">
        <v>7627</v>
      </c>
      <c r="B2074" s="303" t="str">
        <f t="shared" si="32"/>
        <v>x06000898</v>
      </c>
      <c r="C2074" t="s">
        <v>4</v>
      </c>
      <c r="D2074" t="s">
        <v>7628</v>
      </c>
      <c r="E2074">
        <v>6</v>
      </c>
      <c r="F2074" t="str">
        <f>IF(AND(Entities[[#This Row],[ENT_TYPE]]="County",RIGHT(Entities[[#This Row],[ENT_NAME]],6)&lt;&gt;"County"),_xlfn.TEXTJOIN(" ",TRUE,Entities[[#This Row],[ENT_NAME]],"County"),Entities[[#This Row],[ENT_NAME]])</f>
        <v>Harris County MUD 354</v>
      </c>
    </row>
    <row r="2075" spans="1:6" x14ac:dyDescent="0.25">
      <c r="A2075" s="302" t="s">
        <v>7629</v>
      </c>
      <c r="B2075" s="303" t="str">
        <f t="shared" si="32"/>
        <v>x06000899</v>
      </c>
      <c r="C2075" t="s">
        <v>4</v>
      </c>
      <c r="D2075" t="s">
        <v>7630</v>
      </c>
      <c r="E2075">
        <v>6</v>
      </c>
      <c r="F2075" t="str">
        <f>IF(AND(Entities[[#This Row],[ENT_TYPE]]="County",RIGHT(Entities[[#This Row],[ENT_NAME]],6)&lt;&gt;"County"),_xlfn.TEXTJOIN(" ",TRUE,Entities[[#This Row],[ENT_NAME]],"County"),Entities[[#This Row],[ENT_NAME]])</f>
        <v>Harris County MUD 359</v>
      </c>
    </row>
    <row r="2076" spans="1:6" x14ac:dyDescent="0.25">
      <c r="A2076" s="304" t="s">
        <v>7631</v>
      </c>
      <c r="B2076" s="303" t="str">
        <f t="shared" si="32"/>
        <v>x06000900</v>
      </c>
      <c r="C2076" t="s">
        <v>4</v>
      </c>
      <c r="D2076" t="s">
        <v>7632</v>
      </c>
      <c r="E2076">
        <v>6</v>
      </c>
      <c r="F2076" t="str">
        <f>IF(AND(Entities[[#This Row],[ENT_TYPE]]="County",RIGHT(Entities[[#This Row],[ENT_NAME]],6)&lt;&gt;"County"),_xlfn.TEXTJOIN(" ",TRUE,Entities[[#This Row],[ENT_NAME]],"County"),Entities[[#This Row],[ENT_NAME]])</f>
        <v>Harris County WCID 133</v>
      </c>
    </row>
    <row r="2077" spans="1:6" x14ac:dyDescent="0.25">
      <c r="A2077" s="302" t="s">
        <v>7633</v>
      </c>
      <c r="B2077" s="303" t="str">
        <f t="shared" si="32"/>
        <v>x06000901</v>
      </c>
      <c r="C2077" t="s">
        <v>4</v>
      </c>
      <c r="D2077" t="s">
        <v>7634</v>
      </c>
      <c r="E2077">
        <v>6</v>
      </c>
      <c r="F2077" t="str">
        <f>IF(AND(Entities[[#This Row],[ENT_TYPE]]="County",RIGHT(Entities[[#This Row],[ENT_NAME]],6)&lt;&gt;"County"),_xlfn.TEXTJOIN(" ",TRUE,Entities[[#This Row],[ENT_NAME]],"County"),Entities[[#This Row],[ENT_NAME]])</f>
        <v>Harris County WCID 74</v>
      </c>
    </row>
    <row r="2078" spans="1:6" x14ac:dyDescent="0.25">
      <c r="A2078" s="304" t="s">
        <v>7635</v>
      </c>
      <c r="B2078" s="303" t="str">
        <f t="shared" si="32"/>
        <v>x06000905</v>
      </c>
      <c r="C2078" t="s">
        <v>4</v>
      </c>
      <c r="D2078" t="s">
        <v>7636</v>
      </c>
      <c r="E2078">
        <v>6</v>
      </c>
      <c r="F2078" t="str">
        <f>IF(AND(Entities[[#This Row],[ENT_TYPE]]="County",RIGHT(Entities[[#This Row],[ENT_NAME]],6)&lt;&gt;"County"),_xlfn.TEXTJOIN(" ",TRUE,Entities[[#This Row],[ENT_NAME]],"County"),Entities[[#This Row],[ENT_NAME]])</f>
        <v>Brazoria County MUD 55</v>
      </c>
    </row>
    <row r="2079" spans="1:6" x14ac:dyDescent="0.25">
      <c r="A2079" s="302" t="s">
        <v>7637</v>
      </c>
      <c r="B2079" s="303" t="str">
        <f t="shared" si="32"/>
        <v>x06000906</v>
      </c>
      <c r="C2079" t="s">
        <v>4</v>
      </c>
      <c r="D2079" t="s">
        <v>7638</v>
      </c>
      <c r="E2079">
        <v>6</v>
      </c>
      <c r="F2079" t="str">
        <f>IF(AND(Entities[[#This Row],[ENT_TYPE]]="County",RIGHT(Entities[[#This Row],[ENT_NAME]],6)&lt;&gt;"County"),_xlfn.TEXTJOIN(" ",TRUE,Entities[[#This Row],[ENT_NAME]],"County"),Entities[[#This Row],[ENT_NAME]])</f>
        <v>Harris County WCID 160</v>
      </c>
    </row>
    <row r="2080" spans="1:6" x14ac:dyDescent="0.25">
      <c r="A2080" s="304" t="s">
        <v>7639</v>
      </c>
      <c r="B2080" s="303" t="str">
        <f t="shared" si="32"/>
        <v>x06000907</v>
      </c>
      <c r="C2080" t="s">
        <v>4</v>
      </c>
      <c r="D2080" t="s">
        <v>7640</v>
      </c>
      <c r="E2080">
        <v>6</v>
      </c>
      <c r="F2080" t="str">
        <f>IF(AND(Entities[[#This Row],[ENT_TYPE]]="County",RIGHT(Entities[[#This Row],[ENT_NAME]],6)&lt;&gt;"County"),_xlfn.TEXTJOIN(" ",TRUE,Entities[[#This Row],[ENT_NAME]],"County"),Entities[[#This Row],[ENT_NAME]])</f>
        <v>Harris County MUD 514</v>
      </c>
    </row>
    <row r="2081" spans="1:6" x14ac:dyDescent="0.25">
      <c r="A2081" s="302" t="s">
        <v>7641</v>
      </c>
      <c r="B2081" s="303" t="str">
        <f t="shared" si="32"/>
        <v>x06000913</v>
      </c>
      <c r="C2081" t="s">
        <v>4</v>
      </c>
      <c r="D2081" t="s">
        <v>7642</v>
      </c>
      <c r="E2081">
        <v>6</v>
      </c>
      <c r="F2081" t="str">
        <f>IF(AND(Entities[[#This Row],[ENT_TYPE]]="County",RIGHT(Entities[[#This Row],[ENT_NAME]],6)&lt;&gt;"County"),_xlfn.TEXTJOIN(" ",TRUE,Entities[[#This Row],[ENT_NAME]],"County"),Entities[[#This Row],[ENT_NAME]])</f>
        <v>Harris County MUD 250</v>
      </c>
    </row>
    <row r="2082" spans="1:6" x14ac:dyDescent="0.25">
      <c r="A2082" s="302" t="s">
        <v>7643</v>
      </c>
      <c r="B2082" s="303" t="str">
        <f t="shared" si="32"/>
        <v>x06000920</v>
      </c>
      <c r="C2082" t="s">
        <v>4</v>
      </c>
      <c r="D2082" t="s">
        <v>7644</v>
      </c>
      <c r="E2082">
        <v>6</v>
      </c>
      <c r="F2082" t="str">
        <f>IF(AND(Entities[[#This Row],[ENT_TYPE]]="County",RIGHT(Entities[[#This Row],[ENT_NAME]],6)&lt;&gt;"County"),_xlfn.TEXTJOIN(" ",TRUE,Entities[[#This Row],[ENT_NAME]],"County"),Entities[[#This Row],[ENT_NAME]])</f>
        <v>Cinco MUD 7</v>
      </c>
    </row>
    <row r="2083" spans="1:6" x14ac:dyDescent="0.25">
      <c r="A2083" s="304" t="s">
        <v>7645</v>
      </c>
      <c r="B2083" s="303" t="str">
        <f t="shared" si="32"/>
        <v>x06000928</v>
      </c>
      <c r="C2083" t="s">
        <v>5166</v>
      </c>
      <c r="D2083" t="s">
        <v>7646</v>
      </c>
      <c r="E2083">
        <v>6</v>
      </c>
      <c r="F2083" t="str">
        <f>IF(AND(Entities[[#This Row],[ENT_TYPE]]="County",RIGHT(Entities[[#This Row],[ENT_NAME]],6)&lt;&gt;"County"),_xlfn.TEXTJOIN(" ",TRUE,Entities[[#This Row],[ENT_NAME]],"County"),Entities[[#This Row],[ENT_NAME]])</f>
        <v>Willow Fork Drainage District</v>
      </c>
    </row>
    <row r="2084" spans="1:6" x14ac:dyDescent="0.25">
      <c r="A2084" s="304" t="s">
        <v>7647</v>
      </c>
      <c r="B2084" s="303" t="str">
        <f t="shared" si="32"/>
        <v>x06000929</v>
      </c>
      <c r="C2084" t="s">
        <v>4</v>
      </c>
      <c r="D2084" t="s">
        <v>7648</v>
      </c>
      <c r="E2084">
        <v>6</v>
      </c>
      <c r="F2084" t="str">
        <f>IF(AND(Entities[[#This Row],[ENT_TYPE]]="County",RIGHT(Entities[[#This Row],[ENT_NAME]],6)&lt;&gt;"County"),_xlfn.TEXTJOIN(" ",TRUE,Entities[[#This Row],[ENT_NAME]],"County"),Entities[[#This Row],[ENT_NAME]])</f>
        <v>Harris County MUD 275</v>
      </c>
    </row>
    <row r="2085" spans="1:6" x14ac:dyDescent="0.25">
      <c r="A2085" s="302" t="s">
        <v>7649</v>
      </c>
      <c r="B2085" s="303" t="str">
        <f t="shared" si="32"/>
        <v>x06000930</v>
      </c>
      <c r="C2085" t="s">
        <v>4</v>
      </c>
      <c r="D2085" t="s">
        <v>7650</v>
      </c>
      <c r="E2085">
        <v>6</v>
      </c>
      <c r="F2085" t="str">
        <f>IF(AND(Entities[[#This Row],[ENT_TYPE]]="County",RIGHT(Entities[[#This Row],[ENT_NAME]],6)&lt;&gt;"County"),_xlfn.TEXTJOIN(" ",TRUE,Entities[[#This Row],[ENT_NAME]],"County"),Entities[[#This Row],[ENT_NAME]])</f>
        <v>Fort Bend County MUD 124</v>
      </c>
    </row>
    <row r="2086" spans="1:6" x14ac:dyDescent="0.25">
      <c r="A2086" s="304" t="s">
        <v>7651</v>
      </c>
      <c r="B2086" s="303" t="str">
        <f t="shared" si="32"/>
        <v>x06000931</v>
      </c>
      <c r="C2086" t="s">
        <v>4</v>
      </c>
      <c r="D2086" t="s">
        <v>7652</v>
      </c>
      <c r="E2086">
        <v>6</v>
      </c>
      <c r="F2086" t="str">
        <f>IF(AND(Entities[[#This Row],[ENT_TYPE]]="County",RIGHT(Entities[[#This Row],[ENT_NAME]],6)&lt;&gt;"County"),_xlfn.TEXTJOIN(" ",TRUE,Entities[[#This Row],[ENT_NAME]],"County"),Entities[[#This Row],[ENT_NAME]])</f>
        <v>San Leon MUD</v>
      </c>
    </row>
    <row r="2087" spans="1:6" x14ac:dyDescent="0.25">
      <c r="A2087" s="302" t="s">
        <v>7653</v>
      </c>
      <c r="B2087" s="303" t="str">
        <f t="shared" si="32"/>
        <v>x06000932</v>
      </c>
      <c r="C2087" t="s">
        <v>4</v>
      </c>
      <c r="D2087" t="s">
        <v>7654</v>
      </c>
      <c r="E2087">
        <v>6</v>
      </c>
      <c r="F2087" t="str">
        <f>IF(AND(Entities[[#This Row],[ENT_TYPE]]="County",RIGHT(Entities[[#This Row],[ENT_NAME]],6)&lt;&gt;"County"),_xlfn.TEXTJOIN(" ",TRUE,Entities[[#This Row],[ENT_NAME]],"County"),Entities[[#This Row],[ENT_NAME]])</f>
        <v>Galveston County MUD 3</v>
      </c>
    </row>
    <row r="2088" spans="1:6" x14ac:dyDescent="0.25">
      <c r="A2088" s="304" t="s">
        <v>7655</v>
      </c>
      <c r="B2088" s="303" t="str">
        <f t="shared" si="32"/>
        <v>x06000933</v>
      </c>
      <c r="C2088" t="s">
        <v>4</v>
      </c>
      <c r="D2088" t="s">
        <v>7656</v>
      </c>
      <c r="E2088">
        <v>6</v>
      </c>
      <c r="F2088" t="str">
        <f>IF(AND(Entities[[#This Row],[ENT_TYPE]]="County",RIGHT(Entities[[#This Row],[ENT_NAME]],6)&lt;&gt;"County"),_xlfn.TEXTJOIN(" ",TRUE,Entities[[#This Row],[ENT_NAME]],"County"),Entities[[#This Row],[ENT_NAME]])</f>
        <v>Galveston County MUD 2</v>
      </c>
    </row>
    <row r="2089" spans="1:6" x14ac:dyDescent="0.25">
      <c r="A2089" s="302" t="s">
        <v>7657</v>
      </c>
      <c r="B2089" s="303" t="str">
        <f t="shared" si="32"/>
        <v>x06000934</v>
      </c>
      <c r="C2089" t="s">
        <v>4</v>
      </c>
      <c r="D2089" t="s">
        <v>7658</v>
      </c>
      <c r="E2089">
        <v>6</v>
      </c>
      <c r="F2089" t="str">
        <f>IF(AND(Entities[[#This Row],[ENT_TYPE]]="County",RIGHT(Entities[[#This Row],[ENT_NAME]],6)&lt;&gt;"County"),_xlfn.TEXTJOIN(" ",TRUE,Entities[[#This Row],[ENT_NAME]],"County"),Entities[[#This Row],[ENT_NAME]])</f>
        <v>Galveston County MUD 12</v>
      </c>
    </row>
    <row r="2090" spans="1:6" x14ac:dyDescent="0.25">
      <c r="A2090" s="304" t="s">
        <v>7659</v>
      </c>
      <c r="B2090" s="303" t="str">
        <f t="shared" si="32"/>
        <v>x06000942</v>
      </c>
      <c r="C2090" t="s">
        <v>4</v>
      </c>
      <c r="D2090" t="s">
        <v>7660</v>
      </c>
      <c r="E2090">
        <v>6</v>
      </c>
      <c r="F2090" t="str">
        <f>IF(AND(Entities[[#This Row],[ENT_TYPE]]="County",RIGHT(Entities[[#This Row],[ENT_NAME]],6)&lt;&gt;"County"),_xlfn.TEXTJOIN(" ",TRUE,Entities[[#This Row],[ENT_NAME]],"County"),Entities[[#This Row],[ENT_NAME]])</f>
        <v>Corinthian Point MUD 2</v>
      </c>
    </row>
    <row r="2091" spans="1:6" x14ac:dyDescent="0.25">
      <c r="A2091" s="302" t="s">
        <v>7661</v>
      </c>
      <c r="B2091" s="303" t="str">
        <f t="shared" si="32"/>
        <v>x06000943</v>
      </c>
      <c r="C2091" t="s">
        <v>4</v>
      </c>
      <c r="D2091" t="s">
        <v>7662</v>
      </c>
      <c r="E2091">
        <v>6</v>
      </c>
      <c r="F2091" t="str">
        <f>IF(AND(Entities[[#This Row],[ENT_TYPE]]="County",RIGHT(Entities[[#This Row],[ENT_NAME]],6)&lt;&gt;"County"),_xlfn.TEXTJOIN(" ",TRUE,Entities[[#This Row],[ENT_NAME]],"County"),Entities[[#This Row],[ENT_NAME]])</f>
        <v>Chateau Woods MUD</v>
      </c>
    </row>
    <row r="2092" spans="1:6" x14ac:dyDescent="0.25">
      <c r="A2092" s="304" t="s">
        <v>7663</v>
      </c>
      <c r="B2092" s="303" t="str">
        <f t="shared" si="32"/>
        <v>x06000944</v>
      </c>
      <c r="C2092" t="s">
        <v>4</v>
      </c>
      <c r="D2092" t="s">
        <v>7664</v>
      </c>
      <c r="E2092">
        <v>6</v>
      </c>
      <c r="F2092" t="str">
        <f>IF(AND(Entities[[#This Row],[ENT_TYPE]]="County",RIGHT(Entities[[#This Row],[ENT_NAME]],6)&lt;&gt;"County"),_xlfn.TEXTJOIN(" ",TRUE,Entities[[#This Row],[ENT_NAME]],"County"),Entities[[#This Row],[ENT_NAME]])</f>
        <v>Montgomery County Utility District 3</v>
      </c>
    </row>
    <row r="2093" spans="1:6" x14ac:dyDescent="0.25">
      <c r="A2093" s="302" t="s">
        <v>7665</v>
      </c>
      <c r="B2093" s="303" t="str">
        <f t="shared" si="32"/>
        <v>x06000945</v>
      </c>
      <c r="C2093" t="s">
        <v>4</v>
      </c>
      <c r="D2093" t="s">
        <v>7666</v>
      </c>
      <c r="E2093">
        <v>6</v>
      </c>
      <c r="F2093" t="str">
        <f>IF(AND(Entities[[#This Row],[ENT_TYPE]]="County",RIGHT(Entities[[#This Row],[ENT_NAME]],6)&lt;&gt;"County"),_xlfn.TEXTJOIN(" ",TRUE,Entities[[#This Row],[ENT_NAME]],"County"),Entities[[#This Row],[ENT_NAME]])</f>
        <v>Wood Trace MUD 3</v>
      </c>
    </row>
    <row r="2094" spans="1:6" x14ac:dyDescent="0.25">
      <c r="A2094" s="304" t="s">
        <v>7667</v>
      </c>
      <c r="B2094" s="303" t="str">
        <f t="shared" si="32"/>
        <v>x06000946</v>
      </c>
      <c r="C2094" t="s">
        <v>4</v>
      </c>
      <c r="D2094" t="s">
        <v>7668</v>
      </c>
      <c r="E2094">
        <v>6</v>
      </c>
      <c r="F2094" t="str">
        <f>IF(AND(Entities[[#This Row],[ENT_TYPE]]="County",RIGHT(Entities[[#This Row],[ENT_NAME]],6)&lt;&gt;"County"),_xlfn.TEXTJOIN(" ",TRUE,Entities[[#This Row],[ENT_NAME]],"County"),Entities[[#This Row],[ENT_NAME]])</f>
        <v>River Plantation MUD</v>
      </c>
    </row>
    <row r="2095" spans="1:6" x14ac:dyDescent="0.25">
      <c r="A2095" s="302" t="s">
        <v>7669</v>
      </c>
      <c r="B2095" s="303" t="str">
        <f t="shared" si="32"/>
        <v>x06000952</v>
      </c>
      <c r="C2095" t="s">
        <v>4</v>
      </c>
      <c r="D2095" t="s">
        <v>7670</v>
      </c>
      <c r="E2095">
        <v>6</v>
      </c>
      <c r="F2095" t="str">
        <f>IF(AND(Entities[[#This Row],[ENT_TYPE]]="County",RIGHT(Entities[[#This Row],[ENT_NAME]],6)&lt;&gt;"County"),_xlfn.TEXTJOIN(" ",TRUE,Entities[[#This Row],[ENT_NAME]],"County"),Entities[[#This Row],[ENT_NAME]])</f>
        <v>Flamingo Isles MUD</v>
      </c>
    </row>
    <row r="2096" spans="1:6" x14ac:dyDescent="0.25">
      <c r="A2096" s="304" t="s">
        <v>7671</v>
      </c>
      <c r="B2096" s="303" t="str">
        <f t="shared" si="32"/>
        <v>x06000953</v>
      </c>
      <c r="C2096" t="s">
        <v>4</v>
      </c>
      <c r="D2096" t="s">
        <v>7672</v>
      </c>
      <c r="E2096">
        <v>6</v>
      </c>
      <c r="F2096" t="str">
        <f>IF(AND(Entities[[#This Row],[ENT_TYPE]]="County",RIGHT(Entities[[#This Row],[ENT_NAME]],6)&lt;&gt;"County"),_xlfn.TEXTJOIN(" ",TRUE,Entities[[#This Row],[ENT_NAME]],"County"),Entities[[#This Row],[ENT_NAME]])</f>
        <v>Bayview MUD</v>
      </c>
    </row>
    <row r="2097" spans="1:6" x14ac:dyDescent="0.25">
      <c r="A2097" s="302" t="s">
        <v>7673</v>
      </c>
      <c r="B2097" s="303" t="str">
        <f t="shared" si="32"/>
        <v>x06000954</v>
      </c>
      <c r="C2097" t="s">
        <v>4</v>
      </c>
      <c r="D2097" t="s">
        <v>7674</v>
      </c>
      <c r="E2097">
        <v>6</v>
      </c>
      <c r="F2097" t="str">
        <f>IF(AND(Entities[[#This Row],[ENT_TYPE]]="County",RIGHT(Entities[[#This Row],[ENT_NAME]],6)&lt;&gt;"County"),_xlfn.TEXTJOIN(" ",TRUE,Entities[[#This Row],[ENT_NAME]],"County"),Entities[[#This Row],[ENT_NAME]])</f>
        <v>Bacliff MUD</v>
      </c>
    </row>
    <row r="2098" spans="1:6" x14ac:dyDescent="0.25">
      <c r="A2098" s="304" t="s">
        <v>7675</v>
      </c>
      <c r="B2098" s="303" t="str">
        <f t="shared" si="32"/>
        <v>x06000955</v>
      </c>
      <c r="C2098" t="s">
        <v>4</v>
      </c>
      <c r="D2098" t="s">
        <v>7676</v>
      </c>
      <c r="E2098">
        <v>6</v>
      </c>
      <c r="F2098" t="str">
        <f>IF(AND(Entities[[#This Row],[ENT_TYPE]]="County",RIGHT(Entities[[#This Row],[ENT_NAME]],6)&lt;&gt;"County"),_xlfn.TEXTJOIN(" ",TRUE,Entities[[#This Row],[ENT_NAME]],"County"),Entities[[#This Row],[ENT_NAME]])</f>
        <v>Cinco MUD 9</v>
      </c>
    </row>
    <row r="2099" spans="1:6" x14ac:dyDescent="0.25">
      <c r="A2099" s="302" t="s">
        <v>7677</v>
      </c>
      <c r="B2099" s="303" t="str">
        <f t="shared" si="32"/>
        <v>x06000956</v>
      </c>
      <c r="C2099" t="s">
        <v>4</v>
      </c>
      <c r="D2099" t="s">
        <v>7678</v>
      </c>
      <c r="E2099">
        <v>6</v>
      </c>
      <c r="F2099" t="str">
        <f>IF(AND(Entities[[#This Row],[ENT_TYPE]]="County",RIGHT(Entities[[#This Row],[ENT_NAME]],6)&lt;&gt;"County"),_xlfn.TEXTJOIN(" ",TRUE,Entities[[#This Row],[ENT_NAME]],"County"),Entities[[#This Row],[ENT_NAME]])</f>
        <v>Cinco MUD 6</v>
      </c>
    </row>
    <row r="2100" spans="1:6" x14ac:dyDescent="0.25">
      <c r="A2100" s="304" t="s">
        <v>7679</v>
      </c>
      <c r="B2100" s="303" t="str">
        <f t="shared" si="32"/>
        <v>x06000958</v>
      </c>
      <c r="C2100" t="s">
        <v>4</v>
      </c>
      <c r="D2100" t="s">
        <v>7680</v>
      </c>
      <c r="E2100">
        <v>6</v>
      </c>
      <c r="F2100" t="str">
        <f>IF(AND(Entities[[#This Row],[ENT_TYPE]]="County",RIGHT(Entities[[#This Row],[ENT_NAME]],6)&lt;&gt;"County"),_xlfn.TEXTJOIN(" ",TRUE,Entities[[#This Row],[ENT_NAME]],"County"),Entities[[#This Row],[ENT_NAME]])</f>
        <v>Grand Lakes MUD 4</v>
      </c>
    </row>
    <row r="2101" spans="1:6" x14ac:dyDescent="0.25">
      <c r="A2101" s="302" t="s">
        <v>7681</v>
      </c>
      <c r="B2101" s="303" t="str">
        <f t="shared" si="32"/>
        <v>x06000961</v>
      </c>
      <c r="C2101" t="s">
        <v>4</v>
      </c>
      <c r="D2101" t="s">
        <v>7682</v>
      </c>
      <c r="E2101">
        <v>6</v>
      </c>
      <c r="F2101" t="str">
        <f>IF(AND(Entities[[#This Row],[ENT_TYPE]]="County",RIGHT(Entities[[#This Row],[ENT_NAME]],6)&lt;&gt;"County"),_xlfn.TEXTJOIN(" ",TRUE,Entities[[#This Row],[ENT_NAME]],"County"),Entities[[#This Row],[ENT_NAME]])</f>
        <v>Harris County FWSD 48</v>
      </c>
    </row>
    <row r="2102" spans="1:6" x14ac:dyDescent="0.25">
      <c r="A2102" s="304" t="s">
        <v>7683</v>
      </c>
      <c r="B2102" s="303" t="str">
        <f t="shared" si="32"/>
        <v>x06000963</v>
      </c>
      <c r="C2102" t="s">
        <v>4</v>
      </c>
      <c r="D2102" t="s">
        <v>7684</v>
      </c>
      <c r="E2102">
        <v>6</v>
      </c>
      <c r="F2102" t="str">
        <f>IF(AND(Entities[[#This Row],[ENT_TYPE]]="County",RIGHT(Entities[[#This Row],[ENT_NAME]],6)&lt;&gt;"County"),_xlfn.TEXTJOIN(" ",TRUE,Entities[[#This Row],[ENT_NAME]],"County"),Entities[[#This Row],[ENT_NAME]])</f>
        <v>Harris County Improvement District 12</v>
      </c>
    </row>
    <row r="2103" spans="1:6" x14ac:dyDescent="0.25">
      <c r="A2103" s="304" t="s">
        <v>7685</v>
      </c>
      <c r="B2103" s="303" t="str">
        <f t="shared" si="32"/>
        <v>x06000964</v>
      </c>
      <c r="C2103" t="s">
        <v>4</v>
      </c>
      <c r="D2103" t="s">
        <v>7686</v>
      </c>
      <c r="E2103">
        <v>6</v>
      </c>
      <c r="F2103" t="str">
        <f>IF(AND(Entities[[#This Row],[ENT_TYPE]]="County",RIGHT(Entities[[#This Row],[ENT_NAME]],6)&lt;&gt;"County"),_xlfn.TEXTJOIN(" ",TRUE,Entities[[#This Row],[ENT_NAME]],"County"),Entities[[#This Row],[ENT_NAME]])</f>
        <v>Fall Creek Management District</v>
      </c>
    </row>
    <row r="2104" spans="1:6" x14ac:dyDescent="0.25">
      <c r="A2104" s="302" t="s">
        <v>7687</v>
      </c>
      <c r="B2104" s="303" t="str">
        <f t="shared" si="32"/>
        <v>x06000975</v>
      </c>
      <c r="C2104" t="s">
        <v>4</v>
      </c>
      <c r="D2104" t="s">
        <v>7688</v>
      </c>
      <c r="E2104">
        <v>6</v>
      </c>
      <c r="F2104" t="str">
        <f>IF(AND(Entities[[#This Row],[ENT_TYPE]]="County",RIGHT(Entities[[#This Row],[ENT_NAME]],6)&lt;&gt;"County"),_xlfn.TEXTJOIN(" ",TRUE,Entities[[#This Row],[ENT_NAME]],"County"),Entities[[#This Row],[ENT_NAME]])</f>
        <v>East Plantation Utility District</v>
      </c>
    </row>
    <row r="2105" spans="1:6" x14ac:dyDescent="0.25">
      <c r="A2105" s="304" t="s">
        <v>7689</v>
      </c>
      <c r="B2105" s="303" t="str">
        <f t="shared" si="32"/>
        <v>x06000983</v>
      </c>
      <c r="C2105" t="s">
        <v>4</v>
      </c>
      <c r="D2105" t="s">
        <v>7690</v>
      </c>
      <c r="E2105">
        <v>6</v>
      </c>
      <c r="F2105" t="str">
        <f>IF(AND(Entities[[#This Row],[ENT_TYPE]]="County",RIGHT(Entities[[#This Row],[ENT_NAME]],6)&lt;&gt;"County"),_xlfn.TEXTJOIN(" ",TRUE,Entities[[#This Row],[ENT_NAME]],"County"),Entities[[#This Row],[ENT_NAME]])</f>
        <v>Harris County WCID-Fondren Road</v>
      </c>
    </row>
    <row r="2106" spans="1:6" x14ac:dyDescent="0.25">
      <c r="A2106" s="302" t="s">
        <v>7691</v>
      </c>
      <c r="B2106" s="303" t="str">
        <f t="shared" si="32"/>
        <v>x06000986</v>
      </c>
      <c r="C2106" t="s">
        <v>4</v>
      </c>
      <c r="D2106" t="s">
        <v>7692</v>
      </c>
      <c r="E2106">
        <v>6</v>
      </c>
      <c r="F2106" t="str">
        <f>IF(AND(Entities[[#This Row],[ENT_TYPE]]="County",RIGHT(Entities[[#This Row],[ENT_NAME]],6)&lt;&gt;"County"),_xlfn.TEXTJOIN(" ",TRUE,Entities[[#This Row],[ENT_NAME]],"County"),Entities[[#This Row],[ENT_NAME]])</f>
        <v>Kirkmont MUD</v>
      </c>
    </row>
    <row r="2107" spans="1:6" x14ac:dyDescent="0.25">
      <c r="A2107" s="304" t="s">
        <v>7693</v>
      </c>
      <c r="B2107" s="303" t="str">
        <f t="shared" si="32"/>
        <v>x06000987</v>
      </c>
      <c r="C2107" t="s">
        <v>4</v>
      </c>
      <c r="D2107" t="s">
        <v>7694</v>
      </c>
      <c r="E2107">
        <v>6</v>
      </c>
      <c r="F2107" t="str">
        <f>IF(AND(Entities[[#This Row],[ENT_TYPE]]="County",RIGHT(Entities[[#This Row],[ENT_NAME]],6)&lt;&gt;"County"),_xlfn.TEXTJOIN(" ",TRUE,Entities[[#This Row],[ENT_NAME]],"County"),Entities[[#This Row],[ENT_NAME]])</f>
        <v>Klein PUD</v>
      </c>
    </row>
    <row r="2108" spans="1:6" x14ac:dyDescent="0.25">
      <c r="A2108" s="302" t="s">
        <v>7695</v>
      </c>
      <c r="B2108" s="303" t="str">
        <f t="shared" si="32"/>
        <v>x06000988</v>
      </c>
      <c r="C2108" t="s">
        <v>4</v>
      </c>
      <c r="D2108" t="s">
        <v>7696</v>
      </c>
      <c r="E2108">
        <v>6</v>
      </c>
      <c r="F2108" t="str">
        <f>IF(AND(Entities[[#This Row],[ENT_TYPE]]="County",RIGHT(Entities[[#This Row],[ENT_NAME]],6)&lt;&gt;"County"),_xlfn.TEXTJOIN(" ",TRUE,Entities[[#This Row],[ENT_NAME]],"County"),Entities[[#This Row],[ENT_NAME]])</f>
        <v>Pine Bough PUD</v>
      </c>
    </row>
    <row r="2109" spans="1:6" x14ac:dyDescent="0.25">
      <c r="A2109" s="304" t="s">
        <v>7697</v>
      </c>
      <c r="B2109" s="303" t="str">
        <f t="shared" si="32"/>
        <v>x06000996</v>
      </c>
      <c r="C2109" t="s">
        <v>4</v>
      </c>
      <c r="D2109" t="s">
        <v>7698</v>
      </c>
      <c r="E2109">
        <v>6</v>
      </c>
      <c r="F2109" t="str">
        <f>IF(AND(Entities[[#This Row],[ENT_TYPE]]="County",RIGHT(Entities[[#This Row],[ENT_NAME]],6)&lt;&gt;"County"),_xlfn.TEXTJOIN(" ",TRUE,Entities[[#This Row],[ENT_NAME]],"County"),Entities[[#This Row],[ENT_NAME]])</f>
        <v>Harris County WCID 50</v>
      </c>
    </row>
    <row r="2110" spans="1:6" x14ac:dyDescent="0.25">
      <c r="A2110" s="302" t="s">
        <v>7699</v>
      </c>
      <c r="B2110" s="303" t="str">
        <f t="shared" si="32"/>
        <v>x06000997</v>
      </c>
      <c r="C2110" t="s">
        <v>4</v>
      </c>
      <c r="D2110" t="s">
        <v>7700</v>
      </c>
      <c r="E2110">
        <v>6</v>
      </c>
      <c r="F2110" t="str">
        <f>IF(AND(Entities[[#This Row],[ENT_TYPE]]="County",RIGHT(Entities[[#This Row],[ENT_NAME]],6)&lt;&gt;"County"),_xlfn.TEXTJOIN(" ",TRUE,Entities[[#This Row],[ENT_NAME]],"County"),Entities[[#This Row],[ENT_NAME]])</f>
        <v>Harris County WCID 145</v>
      </c>
    </row>
    <row r="2111" spans="1:6" x14ac:dyDescent="0.25">
      <c r="A2111" s="304" t="s">
        <v>7701</v>
      </c>
      <c r="B2111" s="303" t="str">
        <f t="shared" si="32"/>
        <v>x06000998</v>
      </c>
      <c r="C2111" t="s">
        <v>4</v>
      </c>
      <c r="D2111" t="s">
        <v>7702</v>
      </c>
      <c r="E2111">
        <v>6</v>
      </c>
      <c r="F2111" t="str">
        <f>IF(AND(Entities[[#This Row],[ENT_TYPE]]="County",RIGHT(Entities[[#This Row],[ENT_NAME]],6)&lt;&gt;"County"),_xlfn.TEXTJOIN(" ",TRUE,Entities[[#This Row],[ENT_NAME]],"County"),Entities[[#This Row],[ENT_NAME]])</f>
        <v>Harris County WCID 89</v>
      </c>
    </row>
    <row r="2112" spans="1:6" x14ac:dyDescent="0.25">
      <c r="A2112" s="302" t="s">
        <v>7703</v>
      </c>
      <c r="B2112" s="303" t="str">
        <f t="shared" si="32"/>
        <v>x06000999</v>
      </c>
      <c r="C2112" t="s">
        <v>4</v>
      </c>
      <c r="D2112" t="s">
        <v>7704</v>
      </c>
      <c r="E2112">
        <v>6</v>
      </c>
      <c r="F2112" t="str">
        <f>IF(AND(Entities[[#This Row],[ENT_TYPE]]="County",RIGHT(Entities[[#This Row],[ENT_NAME]],6)&lt;&gt;"County"),_xlfn.TEXTJOIN(" ",TRUE,Entities[[#This Row],[ENT_NAME]],"County"),Entities[[#This Row],[ENT_NAME]])</f>
        <v>Harris County WCID 113</v>
      </c>
    </row>
    <row r="2113" spans="1:6" x14ac:dyDescent="0.25">
      <c r="A2113" s="304" t="s">
        <v>7705</v>
      </c>
      <c r="B2113" s="303" t="str">
        <f t="shared" si="32"/>
        <v>x06001010</v>
      </c>
      <c r="C2113" t="s">
        <v>4</v>
      </c>
      <c r="D2113" t="s">
        <v>7706</v>
      </c>
      <c r="E2113">
        <v>6</v>
      </c>
      <c r="F2113" t="str">
        <f>IF(AND(Entities[[#This Row],[ENT_TYPE]]="County",RIGHT(Entities[[#This Row],[ENT_NAME]],6)&lt;&gt;"County"),_xlfn.TEXTJOIN(" ",TRUE,Entities[[#This Row],[ENT_NAME]],"County"),Entities[[#This Row],[ENT_NAME]])</f>
        <v>League City Improvement District</v>
      </c>
    </row>
    <row r="2114" spans="1:6" x14ac:dyDescent="0.25">
      <c r="A2114" s="302" t="s">
        <v>7707</v>
      </c>
      <c r="B2114" s="303" t="str">
        <f t="shared" ref="B2114:B2177" si="33">_xlfn.CONCAT("x",TEXT(A2114,"00000000"))</f>
        <v>x06001015</v>
      </c>
      <c r="C2114" t="s">
        <v>4</v>
      </c>
      <c r="D2114" t="s">
        <v>7708</v>
      </c>
      <c r="E2114">
        <v>6</v>
      </c>
      <c r="F2114" t="str">
        <f>IF(AND(Entities[[#This Row],[ENT_TYPE]]="County",RIGHT(Entities[[#This Row],[ENT_NAME]],6)&lt;&gt;"County"),_xlfn.TEXTJOIN(" ",TRUE,Entities[[#This Row],[ENT_NAME]],"County"),Entities[[#This Row],[ENT_NAME]])</f>
        <v>Harris County MUD 321</v>
      </c>
    </row>
    <row r="2115" spans="1:6" x14ac:dyDescent="0.25">
      <c r="A2115" s="304" t="s">
        <v>7709</v>
      </c>
      <c r="B2115" s="303" t="str">
        <f t="shared" si="33"/>
        <v>x06001021</v>
      </c>
      <c r="C2115" t="s">
        <v>4</v>
      </c>
      <c r="D2115" t="s">
        <v>7710</v>
      </c>
      <c r="E2115">
        <v>6</v>
      </c>
      <c r="F2115" t="str">
        <f>IF(AND(Entities[[#This Row],[ENT_TYPE]]="County",RIGHT(Entities[[#This Row],[ENT_NAME]],6)&lt;&gt;"County"),_xlfn.TEXTJOIN(" ",TRUE,Entities[[#This Row],[ENT_NAME]],"County"),Entities[[#This Row],[ENT_NAME]])</f>
        <v>Waller County WCID 2</v>
      </c>
    </row>
    <row r="2116" spans="1:6" x14ac:dyDescent="0.25">
      <c r="A2116" s="302" t="s">
        <v>7711</v>
      </c>
      <c r="B2116" s="303" t="str">
        <f t="shared" si="33"/>
        <v>x06001026</v>
      </c>
      <c r="C2116" t="s">
        <v>4</v>
      </c>
      <c r="D2116" t="s">
        <v>7712</v>
      </c>
      <c r="E2116">
        <v>6</v>
      </c>
      <c r="F2116" t="str">
        <f>IF(AND(Entities[[#This Row],[ENT_TYPE]]="County",RIGHT(Entities[[#This Row],[ENT_NAME]],6)&lt;&gt;"County"),_xlfn.TEXTJOIN(" ",TRUE,Entities[[#This Row],[ENT_NAME]],"County"),Entities[[#This Row],[ENT_NAME]])</f>
        <v>Galveston County MUD 52</v>
      </c>
    </row>
    <row r="2117" spans="1:6" x14ac:dyDescent="0.25">
      <c r="A2117" s="304" t="s">
        <v>7713</v>
      </c>
      <c r="B2117" s="303" t="str">
        <f t="shared" si="33"/>
        <v>x06001027</v>
      </c>
      <c r="C2117" t="s">
        <v>4</v>
      </c>
      <c r="D2117" t="s">
        <v>7714</v>
      </c>
      <c r="E2117">
        <v>6</v>
      </c>
      <c r="F2117" t="str">
        <f>IF(AND(Entities[[#This Row],[ENT_TYPE]]="County",RIGHT(Entities[[#This Row],[ENT_NAME]],6)&lt;&gt;"County"),_xlfn.TEXTJOIN(" ",TRUE,Entities[[#This Row],[ENT_NAME]],"County"),Entities[[#This Row],[ENT_NAME]])</f>
        <v>Cinco Southwest MUD 1</v>
      </c>
    </row>
    <row r="2118" spans="1:6" x14ac:dyDescent="0.25">
      <c r="A2118" s="302" t="s">
        <v>7715</v>
      </c>
      <c r="B2118" s="303" t="str">
        <f t="shared" si="33"/>
        <v>x06001029</v>
      </c>
      <c r="C2118" t="s">
        <v>4</v>
      </c>
      <c r="D2118" t="s">
        <v>7716</v>
      </c>
      <c r="E2118">
        <v>6</v>
      </c>
      <c r="F2118" t="str">
        <f>IF(AND(Entities[[#This Row],[ENT_TYPE]]="County",RIGHT(Entities[[#This Row],[ENT_NAME]],6)&lt;&gt;"County"),_xlfn.TEXTJOIN(" ",TRUE,Entities[[#This Row],[ENT_NAME]],"County"),Entities[[#This Row],[ENT_NAME]])</f>
        <v>Galveston County MUD 68</v>
      </c>
    </row>
    <row r="2119" spans="1:6" x14ac:dyDescent="0.25">
      <c r="A2119" s="304" t="s">
        <v>7717</v>
      </c>
      <c r="B2119" s="303" t="str">
        <f t="shared" si="33"/>
        <v>x06001032</v>
      </c>
      <c r="C2119" t="s">
        <v>4</v>
      </c>
      <c r="D2119" t="s">
        <v>7718</v>
      </c>
      <c r="E2119">
        <v>6</v>
      </c>
      <c r="F2119" t="str">
        <f>IF(AND(Entities[[#This Row],[ENT_TYPE]]="County",RIGHT(Entities[[#This Row],[ENT_NAME]],6)&lt;&gt;"County"),_xlfn.TEXTJOIN(" ",TRUE,Entities[[#This Row],[ENT_NAME]],"County"),Entities[[#This Row],[ENT_NAME]])</f>
        <v>Montgomery County MUD 92</v>
      </c>
    </row>
    <row r="2120" spans="1:6" x14ac:dyDescent="0.25">
      <c r="A2120" s="302" t="s">
        <v>7719</v>
      </c>
      <c r="B2120" s="303" t="str">
        <f t="shared" si="33"/>
        <v>x06001033</v>
      </c>
      <c r="C2120" t="s">
        <v>4</v>
      </c>
      <c r="D2120" t="s">
        <v>7720</v>
      </c>
      <c r="E2120">
        <v>6</v>
      </c>
      <c r="F2120" t="str">
        <f>IF(AND(Entities[[#This Row],[ENT_TYPE]]="County",RIGHT(Entities[[#This Row],[ENT_NAME]],6)&lt;&gt;"County"),_xlfn.TEXTJOIN(" ",TRUE,Entities[[#This Row],[ENT_NAME]],"County"),Entities[[#This Row],[ENT_NAME]])</f>
        <v>Galveston County MUD 46</v>
      </c>
    </row>
    <row r="2121" spans="1:6" x14ac:dyDescent="0.25">
      <c r="A2121" s="302" t="s">
        <v>7721</v>
      </c>
      <c r="B2121" s="303" t="str">
        <f t="shared" si="33"/>
        <v>x06001036</v>
      </c>
      <c r="C2121" t="s">
        <v>5166</v>
      </c>
      <c r="D2121" t="s">
        <v>7722</v>
      </c>
      <c r="E2121">
        <v>6</v>
      </c>
      <c r="F2121" t="str">
        <f>IF(AND(Entities[[#This Row],[ENT_TYPE]]="County",RIGHT(Entities[[#This Row],[ENT_NAME]],6)&lt;&gt;"County"),_xlfn.TEXTJOIN(" ",TRUE,Entities[[#This Row],[ENT_NAME]],"County"),Entities[[#This Row],[ENT_NAME]])</f>
        <v>Montgomery County Drainage District 10</v>
      </c>
    </row>
    <row r="2122" spans="1:6" x14ac:dyDescent="0.25">
      <c r="A2122" s="304" t="s">
        <v>7723</v>
      </c>
      <c r="B2122" s="303" t="str">
        <f t="shared" si="33"/>
        <v>x06001037</v>
      </c>
      <c r="C2122" t="s">
        <v>4</v>
      </c>
      <c r="D2122" t="s">
        <v>7724</v>
      </c>
      <c r="E2122">
        <v>6</v>
      </c>
      <c r="F2122" t="str">
        <f>IF(AND(Entities[[#This Row],[ENT_TYPE]]="County",RIGHT(Entities[[#This Row],[ENT_NAME]],6)&lt;&gt;"County"),_xlfn.TEXTJOIN(" ",TRUE,Entities[[#This Row],[ENT_NAME]],"County"),Entities[[#This Row],[ENT_NAME]])</f>
        <v>Pearland Municpal Management Dist 1</v>
      </c>
    </row>
    <row r="2123" spans="1:6" x14ac:dyDescent="0.25">
      <c r="A2123" s="304" t="s">
        <v>7725</v>
      </c>
      <c r="B2123" s="303" t="str">
        <f t="shared" si="33"/>
        <v>x06001039</v>
      </c>
      <c r="C2123" t="s">
        <v>4</v>
      </c>
      <c r="D2123" t="s">
        <v>7726</v>
      </c>
      <c r="E2123">
        <v>6</v>
      </c>
      <c r="F2123" t="str">
        <f>IF(AND(Entities[[#This Row],[ENT_TYPE]]="County",RIGHT(Entities[[#This Row],[ENT_NAME]],6)&lt;&gt;"County"),_xlfn.TEXTJOIN(" ",TRUE,Entities[[#This Row],[ENT_NAME]],"County"),Entities[[#This Row],[ENT_NAME]])</f>
        <v>Crosby MUD</v>
      </c>
    </row>
    <row r="2124" spans="1:6" x14ac:dyDescent="0.25">
      <c r="A2124" s="302" t="s">
        <v>7727</v>
      </c>
      <c r="B2124" s="303" t="str">
        <f t="shared" si="33"/>
        <v>x06001051</v>
      </c>
      <c r="C2124" t="s">
        <v>4</v>
      </c>
      <c r="D2124" t="s">
        <v>7728</v>
      </c>
      <c r="E2124">
        <v>6</v>
      </c>
      <c r="F2124" t="str">
        <f>IF(AND(Entities[[#This Row],[ENT_TYPE]]="County",RIGHT(Entities[[#This Row],[ENT_NAME]],6)&lt;&gt;"County"),_xlfn.TEXTJOIN(" ",TRUE,Entities[[#This Row],[ENT_NAME]],"County"),Entities[[#This Row],[ENT_NAME]])</f>
        <v>The Woodlands MUD 1</v>
      </c>
    </row>
    <row r="2125" spans="1:6" x14ac:dyDescent="0.25">
      <c r="A2125" s="304" t="s">
        <v>7729</v>
      </c>
      <c r="B2125" s="303" t="str">
        <f t="shared" si="33"/>
        <v>x06001052</v>
      </c>
      <c r="C2125" t="s">
        <v>4</v>
      </c>
      <c r="D2125" t="s">
        <v>7730</v>
      </c>
      <c r="E2125">
        <v>6</v>
      </c>
      <c r="F2125" t="str">
        <f>IF(AND(Entities[[#This Row],[ENT_TYPE]]="County",RIGHT(Entities[[#This Row],[ENT_NAME]],6)&lt;&gt;"County"),_xlfn.TEXTJOIN(" ",TRUE,Entities[[#This Row],[ENT_NAME]],"County"),Entities[[#This Row],[ENT_NAME]])</f>
        <v>Texas National MUD</v>
      </c>
    </row>
    <row r="2126" spans="1:6" x14ac:dyDescent="0.25">
      <c r="A2126" s="302" t="s">
        <v>7731</v>
      </c>
      <c r="B2126" s="303" t="str">
        <f t="shared" si="33"/>
        <v>x06001053</v>
      </c>
      <c r="C2126" t="s">
        <v>4</v>
      </c>
      <c r="D2126" t="s">
        <v>7732</v>
      </c>
      <c r="E2126">
        <v>6</v>
      </c>
      <c r="F2126" t="str">
        <f>IF(AND(Entities[[#This Row],[ENT_TYPE]]="County",RIGHT(Entities[[#This Row],[ENT_NAME]],6)&lt;&gt;"County"),_xlfn.TEXTJOIN(" ",TRUE,Entities[[#This Row],[ENT_NAME]],"County"),Entities[[#This Row],[ENT_NAME]])</f>
        <v>Roman Forest PUD 4</v>
      </c>
    </row>
    <row r="2127" spans="1:6" x14ac:dyDescent="0.25">
      <c r="A2127" s="304" t="s">
        <v>7733</v>
      </c>
      <c r="B2127" s="303" t="str">
        <f t="shared" si="33"/>
        <v>x06001054</v>
      </c>
      <c r="C2127" t="s">
        <v>4</v>
      </c>
      <c r="D2127" t="s">
        <v>7734</v>
      </c>
      <c r="E2127">
        <v>6</v>
      </c>
      <c r="F2127" t="str">
        <f>IF(AND(Entities[[#This Row],[ENT_TYPE]]="County",RIGHT(Entities[[#This Row],[ENT_NAME]],6)&lt;&gt;"County"),_xlfn.TEXTJOIN(" ",TRUE,Entities[[#This Row],[ENT_NAME]],"County"),Entities[[#This Row],[ENT_NAME]])</f>
        <v>Roman Forest PUD 3</v>
      </c>
    </row>
    <row r="2128" spans="1:6" x14ac:dyDescent="0.25">
      <c r="A2128" s="302" t="s">
        <v>7735</v>
      </c>
      <c r="B2128" s="303" t="str">
        <f t="shared" si="33"/>
        <v>x06001055</v>
      </c>
      <c r="C2128" t="s">
        <v>4</v>
      </c>
      <c r="D2128" t="s">
        <v>7736</v>
      </c>
      <c r="E2128">
        <v>6</v>
      </c>
      <c r="F2128" t="str">
        <f>IF(AND(Entities[[#This Row],[ENT_TYPE]]="County",RIGHT(Entities[[#This Row],[ENT_NAME]],6)&lt;&gt;"County"),_xlfn.TEXTJOIN(" ",TRUE,Entities[[#This Row],[ENT_NAME]],"County"),Entities[[#This Row],[ENT_NAME]])</f>
        <v>New Caney MUD</v>
      </c>
    </row>
    <row r="2129" spans="1:6" x14ac:dyDescent="0.25">
      <c r="A2129" s="304" t="s">
        <v>7737</v>
      </c>
      <c r="B2129" s="303" t="str">
        <f t="shared" si="33"/>
        <v>x06001061</v>
      </c>
      <c r="C2129" t="s">
        <v>4</v>
      </c>
      <c r="D2129" t="s">
        <v>7738</v>
      </c>
      <c r="E2129">
        <v>6</v>
      </c>
      <c r="F2129" t="str">
        <f>IF(AND(Entities[[#This Row],[ENT_TYPE]]="County",RIGHT(Entities[[#This Row],[ENT_NAME]],6)&lt;&gt;"County"),_xlfn.TEXTJOIN(" ",TRUE,Entities[[#This Row],[ENT_NAME]],"County"),Entities[[#This Row],[ENT_NAME]])</f>
        <v>Harris County MUD 463</v>
      </c>
    </row>
    <row r="2130" spans="1:6" x14ac:dyDescent="0.25">
      <c r="A2130" s="302" t="s">
        <v>7739</v>
      </c>
      <c r="B2130" s="303" t="str">
        <f t="shared" si="33"/>
        <v>x06001062</v>
      </c>
      <c r="C2130" t="s">
        <v>4</v>
      </c>
      <c r="D2130" t="s">
        <v>7740</v>
      </c>
      <c r="E2130">
        <v>6</v>
      </c>
      <c r="F2130" t="str">
        <f>IF(AND(Entities[[#This Row],[ENT_TYPE]]="County",RIGHT(Entities[[#This Row],[ENT_NAME]],6)&lt;&gt;"County"),_xlfn.TEXTJOIN(" ",TRUE,Entities[[#This Row],[ENT_NAME]],"County"),Entities[[#This Row],[ENT_NAME]])</f>
        <v>Galveston County MUD 55</v>
      </c>
    </row>
    <row r="2131" spans="1:6" x14ac:dyDescent="0.25">
      <c r="A2131" s="304" t="s">
        <v>7741</v>
      </c>
      <c r="B2131" s="303" t="str">
        <f t="shared" si="33"/>
        <v>x06001063</v>
      </c>
      <c r="C2131" t="s">
        <v>4</v>
      </c>
      <c r="D2131" t="s">
        <v>7742</v>
      </c>
      <c r="E2131">
        <v>6</v>
      </c>
      <c r="F2131" t="str">
        <f>IF(AND(Entities[[#This Row],[ENT_TYPE]]="County",RIGHT(Entities[[#This Row],[ENT_NAME]],6)&lt;&gt;"County"),_xlfn.TEXTJOIN(" ",TRUE,Entities[[#This Row],[ENT_NAME]],"County"),Entities[[#This Row],[ENT_NAME]])</f>
        <v>Galveston County MUD 57</v>
      </c>
    </row>
    <row r="2132" spans="1:6" x14ac:dyDescent="0.25">
      <c r="A2132" s="302" t="s">
        <v>7743</v>
      </c>
      <c r="B2132" s="303" t="str">
        <f t="shared" si="33"/>
        <v>x06001064</v>
      </c>
      <c r="C2132" t="s">
        <v>4</v>
      </c>
      <c r="D2132" t="s">
        <v>7744</v>
      </c>
      <c r="E2132">
        <v>6</v>
      </c>
      <c r="F2132" t="str">
        <f>IF(AND(Entities[[#This Row],[ENT_TYPE]]="County",RIGHT(Entities[[#This Row],[ENT_NAME]],6)&lt;&gt;"County"),_xlfn.TEXTJOIN(" ",TRUE,Entities[[#This Row],[ENT_NAME]],"County"),Entities[[#This Row],[ENT_NAME]])</f>
        <v>Harris County FWSD 52</v>
      </c>
    </row>
    <row r="2133" spans="1:6" x14ac:dyDescent="0.25">
      <c r="A2133" s="304" t="s">
        <v>7745</v>
      </c>
      <c r="B2133" s="303" t="str">
        <f t="shared" si="33"/>
        <v>x06001065</v>
      </c>
      <c r="C2133" t="s">
        <v>4</v>
      </c>
      <c r="D2133" t="s">
        <v>7746</v>
      </c>
      <c r="E2133">
        <v>6</v>
      </c>
      <c r="F2133" t="str">
        <f>IF(AND(Entities[[#This Row],[ENT_TYPE]]="County",RIGHT(Entities[[#This Row],[ENT_NAME]],6)&lt;&gt;"County"),_xlfn.TEXTJOIN(" ",TRUE,Entities[[#This Row],[ENT_NAME]],"County"),Entities[[#This Row],[ENT_NAME]])</f>
        <v>Harris County MUD 370</v>
      </c>
    </row>
    <row r="2134" spans="1:6" x14ac:dyDescent="0.25">
      <c r="A2134" s="302" t="s">
        <v>7747</v>
      </c>
      <c r="B2134" s="303" t="str">
        <f t="shared" si="33"/>
        <v>x06001066</v>
      </c>
      <c r="C2134" t="s">
        <v>4</v>
      </c>
      <c r="D2134" t="s">
        <v>7748</v>
      </c>
      <c r="E2134">
        <v>6</v>
      </c>
      <c r="F2134" t="str">
        <f>IF(AND(Entities[[#This Row],[ENT_TYPE]]="County",RIGHT(Entities[[#This Row],[ENT_NAME]],6)&lt;&gt;"County"),_xlfn.TEXTJOIN(" ",TRUE,Entities[[#This Row],[ENT_NAME]],"County"),Entities[[#This Row],[ENT_NAME]])</f>
        <v>Northwest Harris County MUD 29</v>
      </c>
    </row>
    <row r="2135" spans="1:6" x14ac:dyDescent="0.25">
      <c r="A2135" s="304" t="s">
        <v>7749</v>
      </c>
      <c r="B2135" s="303" t="str">
        <f t="shared" si="33"/>
        <v>x06001067</v>
      </c>
      <c r="C2135" t="s">
        <v>4</v>
      </c>
      <c r="D2135" t="s">
        <v>7750</v>
      </c>
      <c r="E2135">
        <v>6</v>
      </c>
      <c r="F2135" t="str">
        <f>IF(AND(Entities[[#This Row],[ENT_TYPE]]="County",RIGHT(Entities[[#This Row],[ENT_NAME]],6)&lt;&gt;"County"),_xlfn.TEXTJOIN(" ",TRUE,Entities[[#This Row],[ENT_NAME]],"County"),Entities[[#This Row],[ENT_NAME]])</f>
        <v>Weston MUD</v>
      </c>
    </row>
    <row r="2136" spans="1:6" x14ac:dyDescent="0.25">
      <c r="A2136" s="302" t="s">
        <v>7751</v>
      </c>
      <c r="B2136" s="303" t="str">
        <f t="shared" si="33"/>
        <v>x06001068</v>
      </c>
      <c r="C2136" t="s">
        <v>4</v>
      </c>
      <c r="D2136" t="s">
        <v>7752</v>
      </c>
      <c r="E2136">
        <v>6</v>
      </c>
      <c r="F2136" t="str">
        <f>IF(AND(Entities[[#This Row],[ENT_TYPE]]="County",RIGHT(Entities[[#This Row],[ENT_NAME]],6)&lt;&gt;"County"),_xlfn.TEXTJOIN(" ",TRUE,Entities[[#This Row],[ENT_NAME]],"County"),Entities[[#This Row],[ENT_NAME]])</f>
        <v>West Memorial MUD</v>
      </c>
    </row>
    <row r="2137" spans="1:6" x14ac:dyDescent="0.25">
      <c r="A2137" s="304" t="s">
        <v>7753</v>
      </c>
      <c r="B2137" s="303" t="str">
        <f t="shared" si="33"/>
        <v>x06001069</v>
      </c>
      <c r="C2137" t="s">
        <v>4</v>
      </c>
      <c r="D2137" t="s">
        <v>7754</v>
      </c>
      <c r="E2137">
        <v>6</v>
      </c>
      <c r="F2137" t="str">
        <f>IF(AND(Entities[[#This Row],[ENT_TYPE]]="County",RIGHT(Entities[[#This Row],[ENT_NAME]],6)&lt;&gt;"County"),_xlfn.TEXTJOIN(" ",TRUE,Entities[[#This Row],[ENT_NAME]],"County"),Entities[[#This Row],[ENT_NAME]])</f>
        <v>Woodcreek MUD</v>
      </c>
    </row>
    <row r="2138" spans="1:6" x14ac:dyDescent="0.25">
      <c r="A2138" s="302" t="s">
        <v>7755</v>
      </c>
      <c r="B2138" s="303" t="str">
        <f t="shared" si="33"/>
        <v>x06001070</v>
      </c>
      <c r="C2138" t="s">
        <v>4</v>
      </c>
      <c r="D2138" t="s">
        <v>7756</v>
      </c>
      <c r="E2138">
        <v>6</v>
      </c>
      <c r="F2138" t="str">
        <f>IF(AND(Entities[[#This Row],[ENT_TYPE]]="County",RIGHT(Entities[[#This Row],[ENT_NAME]],6)&lt;&gt;"County"),_xlfn.TEXTJOIN(" ",TRUE,Entities[[#This Row],[ENT_NAME]],"County"),Entities[[#This Row],[ENT_NAME]])</f>
        <v>Tara Glen MUD</v>
      </c>
    </row>
    <row r="2139" spans="1:6" x14ac:dyDescent="0.25">
      <c r="A2139" s="304" t="s">
        <v>7757</v>
      </c>
      <c r="B2139" s="303" t="str">
        <f t="shared" si="33"/>
        <v>x06001075</v>
      </c>
      <c r="C2139" t="s">
        <v>4</v>
      </c>
      <c r="D2139" t="s">
        <v>7758</v>
      </c>
      <c r="E2139">
        <v>6</v>
      </c>
      <c r="F2139" t="str">
        <f>IF(AND(Entities[[#This Row],[ENT_TYPE]]="County",RIGHT(Entities[[#This Row],[ENT_NAME]],6)&lt;&gt;"County"),_xlfn.TEXTJOIN(" ",TRUE,Entities[[#This Row],[ENT_NAME]],"County"),Entities[[#This Row],[ENT_NAME]])</f>
        <v>Harris County MUD 468</v>
      </c>
    </row>
    <row r="2140" spans="1:6" x14ac:dyDescent="0.25">
      <c r="A2140" s="302" t="s">
        <v>7759</v>
      </c>
      <c r="B2140" s="303" t="str">
        <f t="shared" si="33"/>
        <v>x06001076</v>
      </c>
      <c r="C2140" t="s">
        <v>4</v>
      </c>
      <c r="D2140" t="s">
        <v>7760</v>
      </c>
      <c r="E2140">
        <v>6</v>
      </c>
      <c r="F2140" t="str">
        <f>IF(AND(Entities[[#This Row],[ENT_TYPE]]="County",RIGHT(Entities[[#This Row],[ENT_NAME]],6)&lt;&gt;"County"),_xlfn.TEXTJOIN(" ",TRUE,Entities[[#This Row],[ENT_NAME]],"County"),Entities[[#This Row],[ENT_NAME]])</f>
        <v>Harris County MUD 454</v>
      </c>
    </row>
    <row r="2141" spans="1:6" x14ac:dyDescent="0.25">
      <c r="A2141" s="302" t="s">
        <v>7761</v>
      </c>
      <c r="B2141" s="303" t="str">
        <f t="shared" si="33"/>
        <v>x06001078</v>
      </c>
      <c r="C2141" t="s">
        <v>4</v>
      </c>
      <c r="D2141" t="s">
        <v>7762</v>
      </c>
      <c r="E2141">
        <v>6</v>
      </c>
      <c r="F2141" t="str">
        <f>IF(AND(Entities[[#This Row],[ENT_TYPE]]="County",RIGHT(Entities[[#This Row],[ENT_NAME]],6)&lt;&gt;"County"),_xlfn.TEXTJOIN(" ",TRUE,Entities[[#This Row],[ENT_NAME]],"County"),Entities[[#This Row],[ENT_NAME]])</f>
        <v>Galveston County Management District 1</v>
      </c>
    </row>
    <row r="2142" spans="1:6" x14ac:dyDescent="0.25">
      <c r="A2142" s="304" t="s">
        <v>7763</v>
      </c>
      <c r="B2142" s="303" t="str">
        <f t="shared" si="33"/>
        <v>x06001081</v>
      </c>
      <c r="C2142" t="s">
        <v>4</v>
      </c>
      <c r="D2142" t="s">
        <v>7764</v>
      </c>
      <c r="E2142">
        <v>6</v>
      </c>
      <c r="F2142" t="str">
        <f>IF(AND(Entities[[#This Row],[ENT_TYPE]]="County",RIGHT(Entities[[#This Row],[ENT_NAME]],6)&lt;&gt;"County"),_xlfn.TEXTJOIN(" ",TRUE,Entities[[#This Row],[ENT_NAME]],"County"),Entities[[#This Row],[ENT_NAME]])</f>
        <v>North Park PUD</v>
      </c>
    </row>
    <row r="2143" spans="1:6" x14ac:dyDescent="0.25">
      <c r="A2143" s="302" t="s">
        <v>7765</v>
      </c>
      <c r="B2143" s="303" t="str">
        <f t="shared" si="33"/>
        <v>x06001084</v>
      </c>
      <c r="C2143" t="s">
        <v>4</v>
      </c>
      <c r="D2143" t="s">
        <v>7766</v>
      </c>
      <c r="E2143">
        <v>6</v>
      </c>
      <c r="F2143" t="str">
        <f>IF(AND(Entities[[#This Row],[ENT_TYPE]]="County",RIGHT(Entities[[#This Row],[ENT_NAME]],6)&lt;&gt;"County"),_xlfn.TEXTJOIN(" ",TRUE,Entities[[#This Row],[ENT_NAME]],"County"),Entities[[#This Row],[ENT_NAME]])</f>
        <v>Harris County MUD 537</v>
      </c>
    </row>
    <row r="2144" spans="1:6" x14ac:dyDescent="0.25">
      <c r="A2144" s="304" t="s">
        <v>7767</v>
      </c>
      <c r="B2144" s="303" t="str">
        <f t="shared" si="33"/>
        <v>x06001087</v>
      </c>
      <c r="C2144" t="s">
        <v>4</v>
      </c>
      <c r="D2144" t="s">
        <v>7768</v>
      </c>
      <c r="E2144">
        <v>6</v>
      </c>
      <c r="F2144" t="str">
        <f>IF(AND(Entities[[#This Row],[ENT_TYPE]]="County",RIGHT(Entities[[#This Row],[ENT_NAME]],6)&lt;&gt;"County"),_xlfn.TEXTJOIN(" ",TRUE,Entities[[#This Row],[ENT_NAME]],"County"),Entities[[#This Row],[ENT_NAME]])</f>
        <v>Harris County MUD 154</v>
      </c>
    </row>
    <row r="2145" spans="1:6" x14ac:dyDescent="0.25">
      <c r="A2145" s="302" t="s">
        <v>7769</v>
      </c>
      <c r="B2145" s="303" t="str">
        <f t="shared" si="33"/>
        <v>x06001089</v>
      </c>
      <c r="C2145" t="s">
        <v>4</v>
      </c>
      <c r="D2145" t="s">
        <v>7770</v>
      </c>
      <c r="E2145">
        <v>6</v>
      </c>
      <c r="F2145" t="str">
        <f>IF(AND(Entities[[#This Row],[ENT_TYPE]]="County",RIGHT(Entities[[#This Row],[ENT_NAME]],6)&lt;&gt;"County"),_xlfn.TEXTJOIN(" ",TRUE,Entities[[#This Row],[ENT_NAME]],"County"),Entities[[#This Row],[ENT_NAME]])</f>
        <v>Harris County MUD 261</v>
      </c>
    </row>
    <row r="2146" spans="1:6" x14ac:dyDescent="0.25">
      <c r="A2146" s="304" t="s">
        <v>7771</v>
      </c>
      <c r="B2146" s="303" t="str">
        <f t="shared" si="33"/>
        <v>x06001090</v>
      </c>
      <c r="C2146" t="s">
        <v>4</v>
      </c>
      <c r="D2146" t="s">
        <v>7772</v>
      </c>
      <c r="E2146">
        <v>6</v>
      </c>
      <c r="F2146" t="str">
        <f>IF(AND(Entities[[#This Row],[ENT_TYPE]]="County",RIGHT(Entities[[#This Row],[ENT_NAME]],6)&lt;&gt;"County"),_xlfn.TEXTJOIN(" ",TRUE,Entities[[#This Row],[ENT_NAME]],"County"),Entities[[#This Row],[ENT_NAME]])</f>
        <v>Brazoria County MUD 30</v>
      </c>
    </row>
    <row r="2147" spans="1:6" x14ac:dyDescent="0.25">
      <c r="A2147" s="302" t="s">
        <v>7773</v>
      </c>
      <c r="B2147" s="303" t="str">
        <f t="shared" si="33"/>
        <v>x06001094</v>
      </c>
      <c r="C2147" t="s">
        <v>4</v>
      </c>
      <c r="D2147" t="s">
        <v>7774</v>
      </c>
      <c r="E2147">
        <v>6</v>
      </c>
      <c r="F2147" t="str">
        <f>IF(AND(Entities[[#This Row],[ENT_TYPE]]="County",RIGHT(Entities[[#This Row],[ENT_NAME]],6)&lt;&gt;"County"),_xlfn.TEXTJOIN(" ",TRUE,Entities[[#This Row],[ENT_NAME]],"County"),Entities[[#This Row],[ENT_NAME]])</f>
        <v>Bissonnet MUD</v>
      </c>
    </row>
    <row r="2148" spans="1:6" x14ac:dyDescent="0.25">
      <c r="A2148" s="304" t="s">
        <v>7775</v>
      </c>
      <c r="B2148" s="303" t="str">
        <f t="shared" si="33"/>
        <v>x06001099</v>
      </c>
      <c r="C2148" t="s">
        <v>4</v>
      </c>
      <c r="D2148" t="s">
        <v>7776</v>
      </c>
      <c r="E2148">
        <v>6</v>
      </c>
      <c r="F2148" t="str">
        <f>IF(AND(Entities[[#This Row],[ENT_TYPE]]="County",RIGHT(Entities[[#This Row],[ENT_NAME]],6)&lt;&gt;"County"),_xlfn.TEXTJOIN(" ",TRUE,Entities[[#This Row],[ENT_NAME]],"County"),Entities[[#This Row],[ENT_NAME]])</f>
        <v>Parkway Utility District</v>
      </c>
    </row>
    <row r="2149" spans="1:6" x14ac:dyDescent="0.25">
      <c r="A2149" s="302" t="s">
        <v>7777</v>
      </c>
      <c r="B2149" s="303" t="str">
        <f t="shared" si="33"/>
        <v>x06001100</v>
      </c>
      <c r="C2149" t="s">
        <v>4</v>
      </c>
      <c r="D2149" t="s">
        <v>7778</v>
      </c>
      <c r="E2149">
        <v>6</v>
      </c>
      <c r="F2149" t="str">
        <f>IF(AND(Entities[[#This Row],[ENT_TYPE]]="County",RIGHT(Entities[[#This Row],[ENT_NAME]],6)&lt;&gt;"County"),_xlfn.TEXTJOIN(" ",TRUE,Entities[[#This Row],[ENT_NAME]],"County"),Entities[[#This Row],[ENT_NAME]])</f>
        <v>Montgomery County MUD 99</v>
      </c>
    </row>
    <row r="2150" spans="1:6" x14ac:dyDescent="0.25">
      <c r="A2150" s="302" t="s">
        <v>7779</v>
      </c>
      <c r="B2150" s="303" t="str">
        <f t="shared" si="33"/>
        <v>x06001105</v>
      </c>
      <c r="C2150" t="s">
        <v>4</v>
      </c>
      <c r="D2150" t="s">
        <v>7780</v>
      </c>
      <c r="E2150">
        <v>6</v>
      </c>
      <c r="F2150" t="str">
        <f>IF(AND(Entities[[#This Row],[ENT_TYPE]]="County",RIGHT(Entities[[#This Row],[ENT_NAME]],6)&lt;&gt;"County"),_xlfn.TEXTJOIN(" ",TRUE,Entities[[#This Row],[ENT_NAME]],"County"),Entities[[#This Row],[ENT_NAME]])</f>
        <v>Five Corners Improvement District</v>
      </c>
    </row>
    <row r="2151" spans="1:6" x14ac:dyDescent="0.25">
      <c r="A2151" s="304" t="s">
        <v>7781</v>
      </c>
      <c r="B2151" s="303" t="str">
        <f t="shared" si="33"/>
        <v>x06001107</v>
      </c>
      <c r="C2151" t="s">
        <v>4</v>
      </c>
      <c r="D2151" t="s">
        <v>7782</v>
      </c>
      <c r="E2151">
        <v>6</v>
      </c>
      <c r="F2151" t="str">
        <f>IF(AND(Entities[[#This Row],[ENT_TYPE]]="County",RIGHT(Entities[[#This Row],[ENT_NAME]],6)&lt;&gt;"County"),_xlfn.TEXTJOIN(" ",TRUE,Entities[[#This Row],[ENT_NAME]],"County"),Entities[[#This Row],[ENT_NAME]])</f>
        <v>Harris County Improvement District 10A</v>
      </c>
    </row>
    <row r="2152" spans="1:6" x14ac:dyDescent="0.25">
      <c r="A2152" s="302" t="s">
        <v>7783</v>
      </c>
      <c r="B2152" s="303" t="str">
        <f t="shared" si="33"/>
        <v>x06001109</v>
      </c>
      <c r="C2152" t="s">
        <v>4</v>
      </c>
      <c r="D2152" t="s">
        <v>7784</v>
      </c>
      <c r="E2152">
        <v>6</v>
      </c>
      <c r="F2152" t="str">
        <f>IF(AND(Entities[[#This Row],[ENT_TYPE]]="County",RIGHT(Entities[[#This Row],[ENT_NAME]],6)&lt;&gt;"County"),_xlfn.TEXTJOIN(" ",TRUE,Entities[[#This Row],[ENT_NAME]],"County"),Entities[[#This Row],[ENT_NAME]])</f>
        <v>Horsepen Bayou MUD</v>
      </c>
    </row>
    <row r="2153" spans="1:6" x14ac:dyDescent="0.25">
      <c r="A2153" s="302" t="s">
        <v>7785</v>
      </c>
      <c r="B2153" s="303" t="str">
        <f t="shared" si="33"/>
        <v>x06001110</v>
      </c>
      <c r="C2153" t="s">
        <v>4</v>
      </c>
      <c r="D2153" t="s">
        <v>7786</v>
      </c>
      <c r="E2153">
        <v>6</v>
      </c>
      <c r="F2153" t="str">
        <f>IF(AND(Entities[[#This Row],[ENT_TYPE]]="County",RIGHT(Entities[[#This Row],[ENT_NAME]],6)&lt;&gt;"County"),_xlfn.TEXTJOIN(" ",TRUE,Entities[[#This Row],[ENT_NAME]],"County"),Entities[[#This Row],[ENT_NAME]])</f>
        <v>East Aldine Management District</v>
      </c>
    </row>
    <row r="2154" spans="1:6" x14ac:dyDescent="0.25">
      <c r="A2154" s="304" t="s">
        <v>7787</v>
      </c>
      <c r="B2154" s="303" t="str">
        <f t="shared" si="33"/>
        <v>x06001111</v>
      </c>
      <c r="C2154" t="s">
        <v>4</v>
      </c>
      <c r="D2154" t="s">
        <v>7788</v>
      </c>
      <c r="E2154">
        <v>6</v>
      </c>
      <c r="F2154" t="str">
        <f>IF(AND(Entities[[#This Row],[ENT_TYPE]]="County",RIGHT(Entities[[#This Row],[ENT_NAME]],6)&lt;&gt;"County"),_xlfn.TEXTJOIN(" ",TRUE,Entities[[#This Row],[ENT_NAME]],"County"),Entities[[#This Row],[ENT_NAME]])</f>
        <v>Post Wood MUD</v>
      </c>
    </row>
    <row r="2155" spans="1:6" x14ac:dyDescent="0.25">
      <c r="A2155" s="302" t="s">
        <v>7789</v>
      </c>
      <c r="B2155" s="303" t="str">
        <f t="shared" si="33"/>
        <v>x06001116</v>
      </c>
      <c r="C2155" t="s">
        <v>4</v>
      </c>
      <c r="D2155" t="s">
        <v>7790</v>
      </c>
      <c r="E2155">
        <v>6</v>
      </c>
      <c r="F2155" t="str">
        <f>IF(AND(Entities[[#This Row],[ENT_TYPE]]="County",RIGHT(Entities[[#This Row],[ENT_NAME]],6)&lt;&gt;"County"),_xlfn.TEXTJOIN(" ",TRUE,Entities[[#This Row],[ENT_NAME]],"County"),Entities[[#This Row],[ENT_NAME]])</f>
        <v>Ponderosa Forest Utility District</v>
      </c>
    </row>
    <row r="2156" spans="1:6" x14ac:dyDescent="0.25">
      <c r="A2156" s="304" t="s">
        <v>7791</v>
      </c>
      <c r="B2156" s="303" t="str">
        <f t="shared" si="33"/>
        <v>x06001117</v>
      </c>
      <c r="C2156" t="s">
        <v>4</v>
      </c>
      <c r="D2156" t="s">
        <v>7792</v>
      </c>
      <c r="E2156">
        <v>6</v>
      </c>
      <c r="F2156" t="str">
        <f>IF(AND(Entities[[#This Row],[ENT_TYPE]]="County",RIGHT(Entities[[#This Row],[ENT_NAME]],6)&lt;&gt;"County"),_xlfn.TEXTJOIN(" ",TRUE,Entities[[#This Row],[ENT_NAME]],"County"),Entities[[#This Row],[ENT_NAME]])</f>
        <v>Brazoria County MUD 16</v>
      </c>
    </row>
    <row r="2157" spans="1:6" x14ac:dyDescent="0.25">
      <c r="A2157" s="302" t="s">
        <v>7793</v>
      </c>
      <c r="B2157" s="303" t="str">
        <f t="shared" si="33"/>
        <v>x06001119</v>
      </c>
      <c r="C2157" t="s">
        <v>4</v>
      </c>
      <c r="D2157" t="s">
        <v>7794</v>
      </c>
      <c r="E2157">
        <v>6</v>
      </c>
      <c r="F2157" t="str">
        <f>IF(AND(Entities[[#This Row],[ENT_TYPE]]="County",RIGHT(Entities[[#This Row],[ENT_NAME]],6)&lt;&gt;"County"),_xlfn.TEXTJOIN(" ",TRUE,Entities[[#This Row],[ENT_NAME]],"County"),Entities[[#This Row],[ENT_NAME]])</f>
        <v>Montgomery County MUD 116</v>
      </c>
    </row>
    <row r="2158" spans="1:6" x14ac:dyDescent="0.25">
      <c r="A2158" s="304" t="s">
        <v>7795</v>
      </c>
      <c r="B2158" s="303" t="str">
        <f t="shared" si="33"/>
        <v>x06001120</v>
      </c>
      <c r="C2158" t="s">
        <v>4</v>
      </c>
      <c r="D2158" t="s">
        <v>7796</v>
      </c>
      <c r="E2158">
        <v>6</v>
      </c>
      <c r="F2158" t="str">
        <f>IF(AND(Entities[[#This Row],[ENT_TYPE]]="County",RIGHT(Entities[[#This Row],[ENT_NAME]],6)&lt;&gt;"County"),_xlfn.TEXTJOIN(" ",TRUE,Entities[[#This Row],[ENT_NAME]],"County"),Entities[[#This Row],[ENT_NAME]])</f>
        <v>Harris County MUD 425</v>
      </c>
    </row>
    <row r="2159" spans="1:6" x14ac:dyDescent="0.25">
      <c r="A2159" s="302" t="s">
        <v>7797</v>
      </c>
      <c r="B2159" s="303" t="str">
        <f t="shared" si="33"/>
        <v>x06001121</v>
      </c>
      <c r="C2159" t="s">
        <v>4</v>
      </c>
      <c r="D2159" t="s">
        <v>7798</v>
      </c>
      <c r="E2159">
        <v>6</v>
      </c>
      <c r="F2159" t="str">
        <f>IF(AND(Entities[[#This Row],[ENT_TYPE]]="County",RIGHT(Entities[[#This Row],[ENT_NAME]],6)&lt;&gt;"County"),_xlfn.TEXTJOIN(" ",TRUE,Entities[[#This Row],[ENT_NAME]],"County"),Entities[[#This Row],[ENT_NAME]])</f>
        <v>Harris County MUD 426</v>
      </c>
    </row>
    <row r="2160" spans="1:6" x14ac:dyDescent="0.25">
      <c r="A2160" s="304" t="s">
        <v>7799</v>
      </c>
      <c r="B2160" s="303" t="str">
        <f t="shared" si="33"/>
        <v>x06001122</v>
      </c>
      <c r="C2160" t="s">
        <v>4</v>
      </c>
      <c r="D2160" t="s">
        <v>7800</v>
      </c>
      <c r="E2160">
        <v>6</v>
      </c>
      <c r="F2160" t="str">
        <f>IF(AND(Entities[[#This Row],[ENT_TYPE]]="County",RIGHT(Entities[[#This Row],[ENT_NAME]],6)&lt;&gt;"County"),_xlfn.TEXTJOIN(" ",TRUE,Entities[[#This Row],[ENT_NAME]],"County"),Entities[[#This Row],[ENT_NAME]])</f>
        <v>Harris County MUD 485</v>
      </c>
    </row>
    <row r="2161" spans="1:6" x14ac:dyDescent="0.25">
      <c r="A2161" s="302" t="s">
        <v>7801</v>
      </c>
      <c r="B2161" s="303" t="str">
        <f t="shared" si="33"/>
        <v>x06001123</v>
      </c>
      <c r="C2161" t="s">
        <v>4</v>
      </c>
      <c r="D2161" t="s">
        <v>7802</v>
      </c>
      <c r="E2161">
        <v>6</v>
      </c>
      <c r="F2161" t="str">
        <f>IF(AND(Entities[[#This Row],[ENT_TYPE]]="County",RIGHT(Entities[[#This Row],[ENT_NAME]],6)&lt;&gt;"County"),_xlfn.TEXTJOIN(" ",TRUE,Entities[[#This Row],[ENT_NAME]],"County"),Entities[[#This Row],[ENT_NAME]])</f>
        <v>Harris County MUD 483</v>
      </c>
    </row>
    <row r="2162" spans="1:6" x14ac:dyDescent="0.25">
      <c r="A2162" s="304" t="s">
        <v>7803</v>
      </c>
      <c r="B2162" s="303" t="str">
        <f t="shared" si="33"/>
        <v>x06001124</v>
      </c>
      <c r="C2162" t="s">
        <v>4</v>
      </c>
      <c r="D2162" t="s">
        <v>7804</v>
      </c>
      <c r="E2162">
        <v>6</v>
      </c>
      <c r="F2162" t="str">
        <f>IF(AND(Entities[[#This Row],[ENT_TYPE]]="County",RIGHT(Entities[[#This Row],[ENT_NAME]],6)&lt;&gt;"County"),_xlfn.TEXTJOIN(" ",TRUE,Entities[[#This Row],[ENT_NAME]],"County"),Entities[[#This Row],[ENT_NAME]])</f>
        <v>Harris County MUD 484</v>
      </c>
    </row>
    <row r="2163" spans="1:6" x14ac:dyDescent="0.25">
      <c r="A2163" s="302" t="s">
        <v>7805</v>
      </c>
      <c r="B2163" s="303" t="str">
        <f t="shared" si="33"/>
        <v>x06001128</v>
      </c>
      <c r="C2163" t="s">
        <v>4</v>
      </c>
      <c r="D2163" t="s">
        <v>7806</v>
      </c>
      <c r="E2163">
        <v>6</v>
      </c>
      <c r="F2163" t="str">
        <f>IF(AND(Entities[[#This Row],[ENT_TYPE]]="County",RIGHT(Entities[[#This Row],[ENT_NAME]],6)&lt;&gt;"County"),_xlfn.TEXTJOIN(" ",TRUE,Entities[[#This Row],[ENT_NAME]],"County"),Entities[[#This Row],[ENT_NAME]])</f>
        <v>Harris County WCID 158</v>
      </c>
    </row>
    <row r="2164" spans="1:6" x14ac:dyDescent="0.25">
      <c r="A2164" s="304" t="s">
        <v>7807</v>
      </c>
      <c r="B2164" s="303" t="str">
        <f t="shared" si="33"/>
        <v>x06001136</v>
      </c>
      <c r="C2164" t="s">
        <v>4</v>
      </c>
      <c r="D2164" t="s">
        <v>7808</v>
      </c>
      <c r="E2164">
        <v>6</v>
      </c>
      <c r="F2164" t="str">
        <f>IF(AND(Entities[[#This Row],[ENT_TYPE]]="County",RIGHT(Entities[[#This Row],[ENT_NAME]],6)&lt;&gt;"County"),_xlfn.TEXTJOIN(" ",TRUE,Entities[[#This Row],[ENT_NAME]],"County"),Entities[[#This Row],[ENT_NAME]])</f>
        <v>Lake MUD</v>
      </c>
    </row>
    <row r="2165" spans="1:6" x14ac:dyDescent="0.25">
      <c r="A2165" s="302" t="s">
        <v>7809</v>
      </c>
      <c r="B2165" s="303" t="str">
        <f t="shared" si="33"/>
        <v>x06001137</v>
      </c>
      <c r="C2165" t="s">
        <v>4</v>
      </c>
      <c r="D2165" t="s">
        <v>7810</v>
      </c>
      <c r="E2165">
        <v>6</v>
      </c>
      <c r="F2165" t="str">
        <f>IF(AND(Entities[[#This Row],[ENT_TYPE]]="County",RIGHT(Entities[[#This Row],[ENT_NAME]],6)&lt;&gt;"County"),_xlfn.TEXTJOIN(" ",TRUE,Entities[[#This Row],[ENT_NAME]],"County"),Entities[[#This Row],[ENT_NAME]])</f>
        <v>Harris County MUD 282</v>
      </c>
    </row>
    <row r="2166" spans="1:6" x14ac:dyDescent="0.25">
      <c r="A2166" s="304" t="s">
        <v>7811</v>
      </c>
      <c r="B2166" s="303" t="str">
        <f t="shared" si="33"/>
        <v>x06001138</v>
      </c>
      <c r="C2166" t="s">
        <v>4</v>
      </c>
      <c r="D2166" t="s">
        <v>7812</v>
      </c>
      <c r="E2166">
        <v>6</v>
      </c>
      <c r="F2166" t="str">
        <f>IF(AND(Entities[[#This Row],[ENT_TYPE]]="County",RIGHT(Entities[[#This Row],[ENT_NAME]],6)&lt;&gt;"County"),_xlfn.TEXTJOIN(" ",TRUE,Entities[[#This Row],[ENT_NAME]],"County"),Entities[[#This Row],[ENT_NAME]])</f>
        <v>H-M-W SUD</v>
      </c>
    </row>
    <row r="2167" spans="1:6" x14ac:dyDescent="0.25">
      <c r="A2167" s="302" t="s">
        <v>7813</v>
      </c>
      <c r="B2167" s="303" t="str">
        <f t="shared" si="33"/>
        <v>x06001142</v>
      </c>
      <c r="C2167" t="s">
        <v>4</v>
      </c>
      <c r="D2167" t="s">
        <v>7814</v>
      </c>
      <c r="E2167">
        <v>6</v>
      </c>
      <c r="F2167" t="str">
        <f>IF(AND(Entities[[#This Row],[ENT_TYPE]]="County",RIGHT(Entities[[#This Row],[ENT_NAME]],6)&lt;&gt;"County"),_xlfn.TEXTJOIN(" ",TRUE,Entities[[#This Row],[ENT_NAME]],"County"),Entities[[#This Row],[ENT_NAME]])</f>
        <v>Harris County MUD 433</v>
      </c>
    </row>
    <row r="2168" spans="1:6" x14ac:dyDescent="0.25">
      <c r="A2168" s="304" t="s">
        <v>7815</v>
      </c>
      <c r="B2168" s="303" t="str">
        <f t="shared" si="33"/>
        <v>x06001143</v>
      </c>
      <c r="C2168" t="s">
        <v>4</v>
      </c>
      <c r="D2168" t="s">
        <v>7816</v>
      </c>
      <c r="E2168">
        <v>6</v>
      </c>
      <c r="F2168" t="str">
        <f>IF(AND(Entities[[#This Row],[ENT_TYPE]]="County",RIGHT(Entities[[#This Row],[ENT_NAME]],6)&lt;&gt;"County"),_xlfn.TEXTJOIN(" ",TRUE,Entities[[#This Row],[ENT_NAME]],"County"),Entities[[#This Row],[ENT_NAME]])</f>
        <v>Harris County MUD 449</v>
      </c>
    </row>
    <row r="2169" spans="1:6" x14ac:dyDescent="0.25">
      <c r="A2169" s="302" t="s">
        <v>7817</v>
      </c>
      <c r="B2169" s="303" t="str">
        <f t="shared" si="33"/>
        <v>x06001144</v>
      </c>
      <c r="C2169" t="s">
        <v>4</v>
      </c>
      <c r="D2169" t="s">
        <v>7818</v>
      </c>
      <c r="E2169">
        <v>6</v>
      </c>
      <c r="F2169" t="str">
        <f>IF(AND(Entities[[#This Row],[ENT_TYPE]]="County",RIGHT(Entities[[#This Row],[ENT_NAME]],6)&lt;&gt;"County"),_xlfn.TEXTJOIN(" ",TRUE,Entities[[#This Row],[ENT_NAME]],"County"),Entities[[#This Row],[ENT_NAME]])</f>
        <v>Clear Brook City MUD</v>
      </c>
    </row>
    <row r="2170" spans="1:6" x14ac:dyDescent="0.25">
      <c r="A2170" s="304" t="s">
        <v>7819</v>
      </c>
      <c r="B2170" s="303" t="str">
        <f t="shared" si="33"/>
        <v>x06001146</v>
      </c>
      <c r="C2170" t="s">
        <v>4</v>
      </c>
      <c r="D2170" t="s">
        <v>7820</v>
      </c>
      <c r="E2170">
        <v>6</v>
      </c>
      <c r="F2170" t="str">
        <f>IF(AND(Entities[[#This Row],[ENT_TYPE]]="County",RIGHT(Entities[[#This Row],[ENT_NAME]],6)&lt;&gt;"County"),_xlfn.TEXTJOIN(" ",TRUE,Entities[[#This Row],[ENT_NAME]],"County"),Entities[[#This Row],[ENT_NAME]])</f>
        <v>Harris County MUD 106</v>
      </c>
    </row>
    <row r="2171" spans="1:6" x14ac:dyDescent="0.25">
      <c r="A2171" s="302" t="s">
        <v>7821</v>
      </c>
      <c r="B2171" s="303" t="str">
        <f t="shared" si="33"/>
        <v>x06001148</v>
      </c>
      <c r="C2171" t="s">
        <v>4</v>
      </c>
      <c r="D2171" t="s">
        <v>7822</v>
      </c>
      <c r="E2171">
        <v>6</v>
      </c>
      <c r="F2171" t="str">
        <f>IF(AND(Entities[[#This Row],[ENT_TYPE]]="County",RIGHT(Entities[[#This Row],[ENT_NAME]],6)&lt;&gt;"County"),_xlfn.TEXTJOIN(" ",TRUE,Entities[[#This Row],[ENT_NAME]],"County"),Entities[[#This Row],[ENT_NAME]])</f>
        <v>Galveston County MUD 30</v>
      </c>
    </row>
    <row r="2172" spans="1:6" x14ac:dyDescent="0.25">
      <c r="A2172" s="304" t="s">
        <v>7823</v>
      </c>
      <c r="B2172" s="303" t="str">
        <f t="shared" si="33"/>
        <v>x06001149</v>
      </c>
      <c r="C2172" t="s">
        <v>4</v>
      </c>
      <c r="D2172" t="s">
        <v>7824</v>
      </c>
      <c r="E2172">
        <v>6</v>
      </c>
      <c r="F2172" t="str">
        <f>IF(AND(Entities[[#This Row],[ENT_TYPE]]="County",RIGHT(Entities[[#This Row],[ENT_NAME]],6)&lt;&gt;"County"),_xlfn.TEXTJOIN(" ",TRUE,Entities[[#This Row],[ENT_NAME]],"County"),Entities[[#This Row],[ENT_NAME]])</f>
        <v>Smith Ridge MUD</v>
      </c>
    </row>
    <row r="2173" spans="1:6" x14ac:dyDescent="0.25">
      <c r="A2173" s="302" t="s">
        <v>7825</v>
      </c>
      <c r="B2173" s="303" t="str">
        <f t="shared" si="33"/>
        <v>x06001151</v>
      </c>
      <c r="C2173" t="s">
        <v>4</v>
      </c>
      <c r="D2173" t="s">
        <v>7826</v>
      </c>
      <c r="E2173">
        <v>6</v>
      </c>
      <c r="F2173" t="str">
        <f>IF(AND(Entities[[#This Row],[ENT_TYPE]]="County",RIGHT(Entities[[#This Row],[ENT_NAME]],6)&lt;&gt;"County"),_xlfn.TEXTJOIN(" ",TRUE,Entities[[#This Row],[ENT_NAME]],"County"),Entities[[#This Row],[ENT_NAME]])</f>
        <v>Harris County MUD 211</v>
      </c>
    </row>
    <row r="2174" spans="1:6" x14ac:dyDescent="0.25">
      <c r="A2174" s="302" t="s">
        <v>7827</v>
      </c>
      <c r="B2174" s="303" t="str">
        <f t="shared" si="33"/>
        <v>x06001155</v>
      </c>
      <c r="C2174" t="s">
        <v>4</v>
      </c>
      <c r="D2174" t="s">
        <v>7828</v>
      </c>
      <c r="E2174">
        <v>6</v>
      </c>
      <c r="F2174" t="str">
        <f>IF(AND(Entities[[#This Row],[ENT_TYPE]]="County",RIGHT(Entities[[#This Row],[ENT_NAME]],6)&lt;&gt;"County"),_xlfn.TEXTJOIN(" ",TRUE,Entities[[#This Row],[ENT_NAME]],"County"),Entities[[#This Row],[ENT_NAME]])</f>
        <v>Galveston County MUD 18</v>
      </c>
    </row>
    <row r="2175" spans="1:6" x14ac:dyDescent="0.25">
      <c r="A2175" s="304" t="s">
        <v>7829</v>
      </c>
      <c r="B2175" s="303" t="str">
        <f t="shared" si="33"/>
        <v>x06001157</v>
      </c>
      <c r="C2175" t="s">
        <v>4</v>
      </c>
      <c r="D2175" t="s">
        <v>7830</v>
      </c>
      <c r="E2175">
        <v>6</v>
      </c>
      <c r="F2175" t="str">
        <f>IF(AND(Entities[[#This Row],[ENT_TYPE]]="County",RIGHT(Entities[[#This Row],[ENT_NAME]],6)&lt;&gt;"County"),_xlfn.TEXTJOIN(" ",TRUE,Entities[[#This Row],[ENT_NAME]],"County"),Entities[[#This Row],[ENT_NAME]])</f>
        <v>Sheldon Road MUD</v>
      </c>
    </row>
    <row r="2176" spans="1:6" x14ac:dyDescent="0.25">
      <c r="A2176" s="302" t="s">
        <v>7831</v>
      </c>
      <c r="B2176" s="303" t="str">
        <f t="shared" si="33"/>
        <v>x06001158</v>
      </c>
      <c r="C2176" t="s">
        <v>4</v>
      </c>
      <c r="D2176" t="s">
        <v>7832</v>
      </c>
      <c r="E2176">
        <v>6</v>
      </c>
      <c r="F2176" t="str">
        <f>IF(AND(Entities[[#This Row],[ENT_TYPE]]="County",RIGHT(Entities[[#This Row],[ENT_NAME]],6)&lt;&gt;"County"),_xlfn.TEXTJOIN(" ",TRUE,Entities[[#This Row],[ENT_NAME]],"County"),Entities[[#This Row],[ENT_NAME]])</f>
        <v>Heatherloch MUD</v>
      </c>
    </row>
    <row r="2177" spans="1:6" x14ac:dyDescent="0.25">
      <c r="A2177" s="304" t="s">
        <v>7833</v>
      </c>
      <c r="B2177" s="303" t="str">
        <f t="shared" si="33"/>
        <v>x06001159</v>
      </c>
      <c r="C2177" t="s">
        <v>4</v>
      </c>
      <c r="D2177" t="s">
        <v>7834</v>
      </c>
      <c r="E2177">
        <v>6</v>
      </c>
      <c r="F2177" t="str">
        <f>IF(AND(Entities[[#This Row],[ENT_TYPE]]="County",RIGHT(Entities[[#This Row],[ENT_NAME]],6)&lt;&gt;"County"),_xlfn.TEXTJOIN(" ",TRUE,Entities[[#This Row],[ENT_NAME]],"County"),Entities[[#This Row],[ENT_NAME]])</f>
        <v>Kings Manor MUD</v>
      </c>
    </row>
    <row r="2178" spans="1:6" x14ac:dyDescent="0.25">
      <c r="A2178" s="302" t="s">
        <v>7835</v>
      </c>
      <c r="B2178" s="303" t="str">
        <f t="shared" ref="B2178:B2241" si="34">_xlfn.CONCAT("x",TEXT(A2178,"00000000"))</f>
        <v>x06001161</v>
      </c>
      <c r="C2178" t="s">
        <v>4</v>
      </c>
      <c r="D2178" t="s">
        <v>7836</v>
      </c>
      <c r="E2178">
        <v>6</v>
      </c>
      <c r="F2178" t="str">
        <f>IF(AND(Entities[[#This Row],[ENT_TYPE]]="County",RIGHT(Entities[[#This Row],[ENT_NAME]],6)&lt;&gt;"County"),_xlfn.TEXTJOIN(" ",TRUE,Entities[[#This Row],[ENT_NAME]],"County"),Entities[[#This Row],[ENT_NAME]])</f>
        <v>Cypress Forest PUD</v>
      </c>
    </row>
    <row r="2179" spans="1:6" x14ac:dyDescent="0.25">
      <c r="A2179" s="304" t="s">
        <v>7837</v>
      </c>
      <c r="B2179" s="303" t="str">
        <f t="shared" si="34"/>
        <v>x06001162</v>
      </c>
      <c r="C2179" t="s">
        <v>4</v>
      </c>
      <c r="D2179" t="s">
        <v>7838</v>
      </c>
      <c r="E2179">
        <v>6</v>
      </c>
      <c r="F2179" t="str">
        <f>IF(AND(Entities[[#This Row],[ENT_TYPE]]="County",RIGHT(Entities[[#This Row],[ENT_NAME]],6)&lt;&gt;"County"),_xlfn.TEXTJOIN(" ",TRUE,Entities[[#This Row],[ENT_NAME]],"County"),Entities[[#This Row],[ENT_NAME]])</f>
        <v>Harris County WCID 157</v>
      </c>
    </row>
    <row r="2180" spans="1:6" x14ac:dyDescent="0.25">
      <c r="A2180" s="302" t="s">
        <v>7839</v>
      </c>
      <c r="B2180" s="303" t="str">
        <f t="shared" si="34"/>
        <v>x06001165</v>
      </c>
      <c r="C2180" t="s">
        <v>4</v>
      </c>
      <c r="D2180" t="s">
        <v>7840</v>
      </c>
      <c r="E2180">
        <v>6</v>
      </c>
      <c r="F2180" t="str">
        <f>IF(AND(Entities[[#This Row],[ENT_TYPE]]="County",RIGHT(Entities[[#This Row],[ENT_NAME]],6)&lt;&gt;"County"),_xlfn.TEXTJOIN(" ",TRUE,Entities[[#This Row],[ENT_NAME]],"County"),Entities[[#This Row],[ENT_NAME]])</f>
        <v>Brazoria County MUD 36</v>
      </c>
    </row>
    <row r="2181" spans="1:6" x14ac:dyDescent="0.25">
      <c r="A2181" s="304" t="s">
        <v>7841</v>
      </c>
      <c r="B2181" s="303" t="str">
        <f t="shared" si="34"/>
        <v>x06001166</v>
      </c>
      <c r="C2181" t="s">
        <v>4</v>
      </c>
      <c r="D2181" t="s">
        <v>7842</v>
      </c>
      <c r="E2181">
        <v>6</v>
      </c>
      <c r="F2181" t="str">
        <f>IF(AND(Entities[[#This Row],[ENT_TYPE]]="County",RIGHT(Entities[[#This Row],[ENT_NAME]],6)&lt;&gt;"County"),_xlfn.TEXTJOIN(" ",TRUE,Entities[[#This Row],[ENT_NAME]],"County"),Entities[[#This Row],[ENT_NAME]])</f>
        <v>Harris County MUD 167</v>
      </c>
    </row>
    <row r="2182" spans="1:6" x14ac:dyDescent="0.25">
      <c r="A2182" s="302" t="s">
        <v>7843</v>
      </c>
      <c r="B2182" s="303" t="str">
        <f t="shared" si="34"/>
        <v>x06001169</v>
      </c>
      <c r="C2182" t="s">
        <v>4</v>
      </c>
      <c r="D2182" t="s">
        <v>7844</v>
      </c>
      <c r="E2182">
        <v>6</v>
      </c>
      <c r="F2182" t="str">
        <f>IF(AND(Entities[[#This Row],[ENT_TYPE]]="County",RIGHT(Entities[[#This Row],[ENT_NAME]],6)&lt;&gt;"County"),_xlfn.TEXTJOIN(" ",TRUE,Entities[[#This Row],[ENT_NAME]],"County"),Entities[[#This Row],[ENT_NAME]])</f>
        <v>Harris County MUD 271</v>
      </c>
    </row>
    <row r="2183" spans="1:6" x14ac:dyDescent="0.25">
      <c r="A2183" s="304" t="s">
        <v>7845</v>
      </c>
      <c r="B2183" s="303" t="str">
        <f t="shared" si="34"/>
        <v>x06001170</v>
      </c>
      <c r="C2183" t="s">
        <v>4</v>
      </c>
      <c r="D2183" t="s">
        <v>7846</v>
      </c>
      <c r="E2183">
        <v>6</v>
      </c>
      <c r="F2183" t="str">
        <f>IF(AND(Entities[[#This Row],[ENT_TYPE]]="County",RIGHT(Entities[[#This Row],[ENT_NAME]],6)&lt;&gt;"County"),_xlfn.TEXTJOIN(" ",TRUE,Entities[[#This Row],[ENT_NAME]],"County"),Entities[[#This Row],[ENT_NAME]])</f>
        <v>Harris County Improvement District 4</v>
      </c>
    </row>
    <row r="2184" spans="1:6" x14ac:dyDescent="0.25">
      <c r="A2184" s="302" t="s">
        <v>7847</v>
      </c>
      <c r="B2184" s="303" t="str">
        <f t="shared" si="34"/>
        <v>x06001171</v>
      </c>
      <c r="C2184" t="s">
        <v>4</v>
      </c>
      <c r="D2184" t="s">
        <v>7848</v>
      </c>
      <c r="E2184">
        <v>6</v>
      </c>
      <c r="F2184" t="str">
        <f>IF(AND(Entities[[#This Row],[ENT_TYPE]]="County",RIGHT(Entities[[#This Row],[ENT_NAME]],6)&lt;&gt;"County"),_xlfn.TEXTJOIN(" ",TRUE,Entities[[#This Row],[ENT_NAME]],"County"),Entities[[#This Row],[ENT_NAME]])</f>
        <v>Harris County MUD 372</v>
      </c>
    </row>
    <row r="2185" spans="1:6" x14ac:dyDescent="0.25">
      <c r="A2185" s="304" t="s">
        <v>7849</v>
      </c>
      <c r="B2185" s="303" t="str">
        <f t="shared" si="34"/>
        <v>x06001172</v>
      </c>
      <c r="C2185" t="s">
        <v>4</v>
      </c>
      <c r="D2185" t="s">
        <v>7850</v>
      </c>
      <c r="E2185">
        <v>6</v>
      </c>
      <c r="F2185" t="str">
        <f>IF(AND(Entities[[#This Row],[ENT_TYPE]]="County",RIGHT(Entities[[#This Row],[ENT_NAME]],6)&lt;&gt;"County"),_xlfn.TEXTJOIN(" ",TRUE,Entities[[#This Row],[ENT_NAME]],"County"),Entities[[#This Row],[ENT_NAME]])</f>
        <v>Oakmont Public Utility District</v>
      </c>
    </row>
    <row r="2186" spans="1:6" x14ac:dyDescent="0.25">
      <c r="A2186" s="302" t="s">
        <v>7851</v>
      </c>
      <c r="B2186" s="303" t="str">
        <f t="shared" si="34"/>
        <v>x06001175</v>
      </c>
      <c r="C2186" t="s">
        <v>4</v>
      </c>
      <c r="D2186" t="s">
        <v>7852</v>
      </c>
      <c r="E2186">
        <v>6</v>
      </c>
      <c r="F2186" t="str">
        <f>IF(AND(Entities[[#This Row],[ENT_TYPE]]="County",RIGHT(Entities[[#This Row],[ENT_NAME]],6)&lt;&gt;"County"),_xlfn.TEXTJOIN(" ",TRUE,Entities[[#This Row],[ENT_NAME]],"County"),Entities[[#This Row],[ENT_NAME]])</f>
        <v>Harris County MUD 130</v>
      </c>
    </row>
    <row r="2187" spans="1:6" x14ac:dyDescent="0.25">
      <c r="A2187" s="302" t="s">
        <v>7853</v>
      </c>
      <c r="B2187" s="303" t="str">
        <f t="shared" si="34"/>
        <v>x06001177</v>
      </c>
      <c r="C2187" t="s">
        <v>4</v>
      </c>
      <c r="D2187" t="s">
        <v>7854</v>
      </c>
      <c r="E2187">
        <v>6</v>
      </c>
      <c r="F2187" t="str">
        <f>IF(AND(Entities[[#This Row],[ENT_TYPE]]="County",RIGHT(Entities[[#This Row],[ENT_NAME]],6)&lt;&gt;"County"),_xlfn.TEXTJOIN(" ",TRUE,Entities[[#This Row],[ENT_NAME]],"County"),Entities[[#This Row],[ENT_NAME]])</f>
        <v>Grand Lakes MUD 2</v>
      </c>
    </row>
    <row r="2188" spans="1:6" x14ac:dyDescent="0.25">
      <c r="A2188" s="304" t="s">
        <v>7855</v>
      </c>
      <c r="B2188" s="303" t="str">
        <f t="shared" si="34"/>
        <v>x06001178</v>
      </c>
      <c r="C2188" t="s">
        <v>4</v>
      </c>
      <c r="D2188" t="s">
        <v>7856</v>
      </c>
      <c r="E2188">
        <v>6</v>
      </c>
      <c r="F2188" t="str">
        <f>IF(AND(Entities[[#This Row],[ENT_TYPE]]="County",RIGHT(Entities[[#This Row],[ENT_NAME]],6)&lt;&gt;"County"),_xlfn.TEXTJOIN(" ",TRUE,Entities[[#This Row],[ENT_NAME]],"County"),Entities[[#This Row],[ENT_NAME]])</f>
        <v>Grand Lakes WCID</v>
      </c>
    </row>
    <row r="2189" spans="1:6" x14ac:dyDescent="0.25">
      <c r="A2189" s="302" t="s">
        <v>7857</v>
      </c>
      <c r="B2189" s="303" t="str">
        <f t="shared" si="34"/>
        <v>x06001180</v>
      </c>
      <c r="C2189" t="s">
        <v>4</v>
      </c>
      <c r="D2189" t="s">
        <v>7858</v>
      </c>
      <c r="E2189">
        <v>6</v>
      </c>
      <c r="F2189" t="str">
        <f>IF(AND(Entities[[#This Row],[ENT_TYPE]]="County",RIGHT(Entities[[#This Row],[ENT_NAME]],6)&lt;&gt;"County"),_xlfn.TEXTJOIN(" ",TRUE,Entities[[#This Row],[ENT_NAME]],"County"),Entities[[#This Row],[ENT_NAME]])</f>
        <v>Liberty County MUD 7</v>
      </c>
    </row>
    <row r="2190" spans="1:6" x14ac:dyDescent="0.25">
      <c r="A2190" s="304" t="s">
        <v>7859</v>
      </c>
      <c r="B2190" s="303" t="str">
        <f t="shared" si="34"/>
        <v>x06001190</v>
      </c>
      <c r="C2190" t="s">
        <v>4</v>
      </c>
      <c r="D2190" t="s">
        <v>7860</v>
      </c>
      <c r="E2190">
        <v>6</v>
      </c>
      <c r="F2190" t="str">
        <f>IF(AND(Entities[[#This Row],[ENT_TYPE]]="County",RIGHT(Entities[[#This Row],[ENT_NAME]],6)&lt;&gt;"County"),_xlfn.TEXTJOIN(" ",TRUE,Entities[[#This Row],[ENT_NAME]],"County"),Entities[[#This Row],[ENT_NAME]])</f>
        <v>Rolling Fork PUD</v>
      </c>
    </row>
    <row r="2191" spans="1:6" x14ac:dyDescent="0.25">
      <c r="A2191" s="302" t="s">
        <v>7861</v>
      </c>
      <c r="B2191" s="303" t="str">
        <f t="shared" si="34"/>
        <v>x06001191</v>
      </c>
      <c r="C2191" t="s">
        <v>4</v>
      </c>
      <c r="D2191" t="s">
        <v>7862</v>
      </c>
      <c r="E2191">
        <v>6</v>
      </c>
      <c r="F2191" t="str">
        <f>IF(AND(Entities[[#This Row],[ENT_TYPE]]="County",RIGHT(Entities[[#This Row],[ENT_NAME]],6)&lt;&gt;"County"),_xlfn.TEXTJOIN(" ",TRUE,Entities[[#This Row],[ENT_NAME]],"County"),Entities[[#This Row],[ENT_NAME]])</f>
        <v>Southwest Harris County MUD 1</v>
      </c>
    </row>
    <row r="2192" spans="1:6" x14ac:dyDescent="0.25">
      <c r="A2192" s="304" t="s">
        <v>7863</v>
      </c>
      <c r="B2192" s="303" t="str">
        <f t="shared" si="34"/>
        <v>x06001192</v>
      </c>
      <c r="C2192" t="s">
        <v>4</v>
      </c>
      <c r="D2192" t="s">
        <v>7864</v>
      </c>
      <c r="E2192">
        <v>6</v>
      </c>
      <c r="F2192" t="str">
        <f>IF(AND(Entities[[#This Row],[ENT_TYPE]]="County",RIGHT(Entities[[#This Row],[ENT_NAME]],6)&lt;&gt;"County"),_xlfn.TEXTJOIN(" ",TRUE,Entities[[#This Row],[ENT_NAME]],"County"),Entities[[#This Row],[ENT_NAME]])</f>
        <v>Spencer Road PUD</v>
      </c>
    </row>
    <row r="2193" spans="1:6" x14ac:dyDescent="0.25">
      <c r="A2193" s="302" t="s">
        <v>7865</v>
      </c>
      <c r="B2193" s="303" t="str">
        <f t="shared" si="34"/>
        <v>x06001193</v>
      </c>
      <c r="C2193" t="s">
        <v>4</v>
      </c>
      <c r="D2193" t="s">
        <v>7866</v>
      </c>
      <c r="E2193">
        <v>6</v>
      </c>
      <c r="F2193" t="str">
        <f>IF(AND(Entities[[#This Row],[ENT_TYPE]]="County",RIGHT(Entities[[#This Row],[ENT_NAME]],6)&lt;&gt;"County"),_xlfn.TEXTJOIN(" ",TRUE,Entities[[#This Row],[ENT_NAME]],"County"),Entities[[#This Row],[ENT_NAME]])</f>
        <v>Spring Creek Forest PUD</v>
      </c>
    </row>
    <row r="2194" spans="1:6" x14ac:dyDescent="0.25">
      <c r="A2194" s="304" t="s">
        <v>7867</v>
      </c>
      <c r="B2194" s="303" t="str">
        <f t="shared" si="34"/>
        <v>x06001194</v>
      </c>
      <c r="C2194" t="s">
        <v>4</v>
      </c>
      <c r="D2194" t="s">
        <v>7868</v>
      </c>
      <c r="E2194">
        <v>6</v>
      </c>
      <c r="F2194" t="str">
        <f>IF(AND(Entities[[#This Row],[ENT_TYPE]]="County",RIGHT(Entities[[#This Row],[ENT_NAME]],6)&lt;&gt;"County"),_xlfn.TEXTJOIN(" ",TRUE,Entities[[#This Row],[ENT_NAME]],"County"),Entities[[#This Row],[ENT_NAME]])</f>
        <v>Tattor Road MUD</v>
      </c>
    </row>
    <row r="2195" spans="1:6" x14ac:dyDescent="0.25">
      <c r="A2195" s="304" t="s">
        <v>7869</v>
      </c>
      <c r="B2195" s="303" t="str">
        <f t="shared" si="34"/>
        <v>x06001196</v>
      </c>
      <c r="C2195" t="s">
        <v>4</v>
      </c>
      <c r="D2195" t="s">
        <v>7870</v>
      </c>
      <c r="E2195">
        <v>6</v>
      </c>
      <c r="F2195" t="str">
        <f>IF(AND(Entities[[#This Row],[ENT_TYPE]]="County",RIGHT(Entities[[#This Row],[ENT_NAME]],6)&lt;&gt;"County"),_xlfn.TEXTJOIN(" ",TRUE,Entities[[#This Row],[ENT_NAME]],"County"),Entities[[#This Row],[ENT_NAME]])</f>
        <v>Bay Colony West MUD</v>
      </c>
    </row>
    <row r="2196" spans="1:6" x14ac:dyDescent="0.25">
      <c r="A2196" s="302" t="s">
        <v>7871</v>
      </c>
      <c r="B2196" s="303" t="str">
        <f t="shared" si="34"/>
        <v>x06001197</v>
      </c>
      <c r="C2196" t="s">
        <v>4</v>
      </c>
      <c r="D2196" t="s">
        <v>7872</v>
      </c>
      <c r="E2196">
        <v>6</v>
      </c>
      <c r="F2196" t="str">
        <f>IF(AND(Entities[[#This Row],[ENT_TYPE]]="County",RIGHT(Entities[[#This Row],[ENT_NAME]],6)&lt;&gt;"County"),_xlfn.TEXTJOIN(" ",TRUE,Entities[[#This Row],[ENT_NAME]],"County"),Entities[[#This Row],[ENT_NAME]])</f>
        <v>Brazoria County MUD 35</v>
      </c>
    </row>
    <row r="2197" spans="1:6" x14ac:dyDescent="0.25">
      <c r="A2197" s="304" t="s">
        <v>7873</v>
      </c>
      <c r="B2197" s="303" t="str">
        <f t="shared" si="34"/>
        <v>x06001198</v>
      </c>
      <c r="C2197" t="s">
        <v>4</v>
      </c>
      <c r="D2197" t="s">
        <v>7874</v>
      </c>
      <c r="E2197">
        <v>6</v>
      </c>
      <c r="F2197" t="str">
        <f>IF(AND(Entities[[#This Row],[ENT_TYPE]]="County",RIGHT(Entities[[#This Row],[ENT_NAME]],6)&lt;&gt;"County"),_xlfn.TEXTJOIN(" ",TRUE,Entities[[#This Row],[ENT_NAME]],"County"),Entities[[#This Row],[ENT_NAME]])</f>
        <v>Grand Oaks MUD</v>
      </c>
    </row>
    <row r="2198" spans="1:6" x14ac:dyDescent="0.25">
      <c r="A2198" s="302" t="s">
        <v>7875</v>
      </c>
      <c r="B2198" s="303" t="str">
        <f t="shared" si="34"/>
        <v>x06001199</v>
      </c>
      <c r="C2198" t="s">
        <v>4</v>
      </c>
      <c r="D2198" t="s">
        <v>7876</v>
      </c>
      <c r="E2198">
        <v>6</v>
      </c>
      <c r="F2198" t="str">
        <f>IF(AND(Entities[[#This Row],[ENT_TYPE]]="County",RIGHT(Entities[[#This Row],[ENT_NAME]],6)&lt;&gt;"County"),_xlfn.TEXTJOIN(" ",TRUE,Entities[[#This Row],[ENT_NAME]],"County"),Entities[[#This Row],[ENT_NAME]])</f>
        <v>Ricewood MUD</v>
      </c>
    </row>
    <row r="2199" spans="1:6" x14ac:dyDescent="0.25">
      <c r="A2199" s="304" t="s">
        <v>7877</v>
      </c>
      <c r="B2199" s="303" t="str">
        <f t="shared" si="34"/>
        <v>x06001203</v>
      </c>
      <c r="C2199" t="s">
        <v>4</v>
      </c>
      <c r="D2199" t="s">
        <v>7878</v>
      </c>
      <c r="E2199">
        <v>6</v>
      </c>
      <c r="F2199" t="str">
        <f>IF(AND(Entities[[#This Row],[ENT_TYPE]]="County",RIGHT(Entities[[#This Row],[ENT_NAME]],6)&lt;&gt;"County"),_xlfn.TEXTJOIN(" ",TRUE,Entities[[#This Row],[ENT_NAME]],"County"),Entities[[#This Row],[ENT_NAME]])</f>
        <v>Galveston County MUD 44</v>
      </c>
    </row>
    <row r="2200" spans="1:6" x14ac:dyDescent="0.25">
      <c r="A2200" s="304" t="s">
        <v>7879</v>
      </c>
      <c r="B2200" s="303" t="str">
        <f t="shared" si="34"/>
        <v>x06001212</v>
      </c>
      <c r="C2200" t="s">
        <v>4</v>
      </c>
      <c r="D2200" t="s">
        <v>7880</v>
      </c>
      <c r="E2200">
        <v>6</v>
      </c>
      <c r="F2200" t="str">
        <f>IF(AND(Entities[[#This Row],[ENT_TYPE]]="County",RIGHT(Entities[[#This Row],[ENT_NAME]],6)&lt;&gt;"County"),_xlfn.TEXTJOIN(" ",TRUE,Entities[[#This Row],[ENT_NAME]],"County"),Entities[[#This Row],[ENT_NAME]])</f>
        <v>Harris County MUD 173</v>
      </c>
    </row>
    <row r="2201" spans="1:6" x14ac:dyDescent="0.25">
      <c r="A2201" s="304" t="s">
        <v>7881</v>
      </c>
      <c r="B2201" s="303" t="str">
        <f t="shared" si="34"/>
        <v>x06001214</v>
      </c>
      <c r="C2201" t="s">
        <v>4</v>
      </c>
      <c r="D2201" t="s">
        <v>7882</v>
      </c>
      <c r="E2201">
        <v>6</v>
      </c>
      <c r="F2201" t="str">
        <f>IF(AND(Entities[[#This Row],[ENT_TYPE]]="County",RIGHT(Entities[[#This Row],[ENT_NAME]],6)&lt;&gt;"County"),_xlfn.TEXTJOIN(" ",TRUE,Entities[[#This Row],[ENT_NAME]],"County"),Entities[[#This Row],[ENT_NAME]])</f>
        <v>Harris County MUD 239</v>
      </c>
    </row>
    <row r="2202" spans="1:6" x14ac:dyDescent="0.25">
      <c r="A2202" s="302" t="s">
        <v>7883</v>
      </c>
      <c r="B2202" s="303" t="str">
        <f t="shared" si="34"/>
        <v>x06001222</v>
      </c>
      <c r="C2202" t="s">
        <v>4</v>
      </c>
      <c r="D2202" t="s">
        <v>7884</v>
      </c>
      <c r="E2202">
        <v>6</v>
      </c>
      <c r="F2202" t="str">
        <f>IF(AND(Entities[[#This Row],[ENT_TYPE]]="County",RIGHT(Entities[[#This Row],[ENT_NAME]],6)&lt;&gt;"County"),_xlfn.TEXTJOIN(" ",TRUE,Entities[[#This Row],[ENT_NAME]],"County"),Entities[[#This Row],[ENT_NAME]])</f>
        <v>Harris County WCID 99</v>
      </c>
    </row>
    <row r="2203" spans="1:6" x14ac:dyDescent="0.25">
      <c r="A2203" s="304" t="s">
        <v>7885</v>
      </c>
      <c r="B2203" s="303" t="str">
        <f t="shared" si="34"/>
        <v>x06001223</v>
      </c>
      <c r="C2203" t="s">
        <v>4</v>
      </c>
      <c r="D2203" t="s">
        <v>7886</v>
      </c>
      <c r="E2203">
        <v>6</v>
      </c>
      <c r="F2203" t="str">
        <f>IF(AND(Entities[[#This Row],[ENT_TYPE]]="County",RIGHT(Entities[[#This Row],[ENT_NAME]],6)&lt;&gt;"County"),_xlfn.TEXTJOIN(" ",TRUE,Entities[[#This Row],[ENT_NAME]],"County"),Entities[[#This Row],[ENT_NAME]])</f>
        <v>Timber Lane Utility District</v>
      </c>
    </row>
    <row r="2204" spans="1:6" x14ac:dyDescent="0.25">
      <c r="A2204" s="302" t="s">
        <v>7887</v>
      </c>
      <c r="B2204" s="303" t="str">
        <f t="shared" si="34"/>
        <v>x06001224</v>
      </c>
      <c r="C2204" t="s">
        <v>4</v>
      </c>
      <c r="D2204" t="s">
        <v>7888</v>
      </c>
      <c r="E2204">
        <v>6</v>
      </c>
      <c r="F2204" t="str">
        <f>IF(AND(Entities[[#This Row],[ENT_TYPE]]="County",RIGHT(Entities[[#This Row],[ENT_NAME]],6)&lt;&gt;"County"),_xlfn.TEXTJOIN(" ",TRUE,Entities[[#This Row],[ENT_NAME]],"County"),Entities[[#This Row],[ENT_NAME]])</f>
        <v>Harris County MUD 287</v>
      </c>
    </row>
    <row r="2205" spans="1:6" x14ac:dyDescent="0.25">
      <c r="A2205" s="304" t="s">
        <v>7889</v>
      </c>
      <c r="B2205" s="303" t="str">
        <f t="shared" si="34"/>
        <v>x06001225</v>
      </c>
      <c r="C2205" t="s">
        <v>4</v>
      </c>
      <c r="D2205" t="s">
        <v>7890</v>
      </c>
      <c r="E2205">
        <v>6</v>
      </c>
      <c r="F2205" t="str">
        <f>IF(AND(Entities[[#This Row],[ENT_TYPE]]="County",RIGHT(Entities[[#This Row],[ENT_NAME]],6)&lt;&gt;"County"),_xlfn.TEXTJOIN(" ",TRUE,Entities[[#This Row],[ENT_NAME]],"County"),Entities[[#This Row],[ENT_NAME]])</f>
        <v>Harris County MUD 36</v>
      </c>
    </row>
    <row r="2206" spans="1:6" x14ac:dyDescent="0.25">
      <c r="A2206" s="302" t="s">
        <v>7891</v>
      </c>
      <c r="B2206" s="303" t="str">
        <f t="shared" si="34"/>
        <v>x06001226</v>
      </c>
      <c r="C2206" t="s">
        <v>4</v>
      </c>
      <c r="D2206" t="s">
        <v>7892</v>
      </c>
      <c r="E2206">
        <v>6</v>
      </c>
      <c r="F2206" t="str">
        <f>IF(AND(Entities[[#This Row],[ENT_TYPE]]="County",RIGHT(Entities[[#This Row],[ENT_NAME]],6)&lt;&gt;"County"),_xlfn.TEXTJOIN(" ",TRUE,Entities[[#This Row],[ENT_NAME]],"County"),Entities[[#This Row],[ENT_NAME]])</f>
        <v>Fort Bend County MUD 26</v>
      </c>
    </row>
    <row r="2207" spans="1:6" x14ac:dyDescent="0.25">
      <c r="A2207" s="304" t="s">
        <v>7893</v>
      </c>
      <c r="B2207" s="303" t="str">
        <f t="shared" si="34"/>
        <v>x06001227</v>
      </c>
      <c r="C2207" t="s">
        <v>4</v>
      </c>
      <c r="D2207" t="s">
        <v>7894</v>
      </c>
      <c r="E2207">
        <v>6</v>
      </c>
      <c r="F2207" t="str">
        <f>IF(AND(Entities[[#This Row],[ENT_TYPE]]="County",RIGHT(Entities[[#This Row],[ENT_NAME]],6)&lt;&gt;"County"),_xlfn.TEXTJOIN(" ",TRUE,Entities[[#This Row],[ENT_NAME]],"County"),Entities[[#This Row],[ENT_NAME]])</f>
        <v>Harris County MUD 55</v>
      </c>
    </row>
    <row r="2208" spans="1:6" x14ac:dyDescent="0.25">
      <c r="A2208" s="302" t="s">
        <v>7895</v>
      </c>
      <c r="B2208" s="303" t="str">
        <f t="shared" si="34"/>
        <v>x06001229</v>
      </c>
      <c r="C2208" t="s">
        <v>4</v>
      </c>
      <c r="D2208" t="s">
        <v>7896</v>
      </c>
      <c r="E2208">
        <v>6</v>
      </c>
      <c r="F2208" t="str">
        <f>IF(AND(Entities[[#This Row],[ENT_TYPE]]="County",RIGHT(Entities[[#This Row],[ENT_NAME]],6)&lt;&gt;"County"),_xlfn.TEXTJOIN(" ",TRUE,Entities[[#This Row],[ENT_NAME]],"County"),Entities[[#This Row],[ENT_NAME]])</f>
        <v>Harris County MUD 432</v>
      </c>
    </row>
    <row r="2209" spans="1:6" x14ac:dyDescent="0.25">
      <c r="A2209" s="304" t="s">
        <v>7897</v>
      </c>
      <c r="B2209" s="303" t="str">
        <f t="shared" si="34"/>
        <v>x06001230</v>
      </c>
      <c r="C2209" t="s">
        <v>4</v>
      </c>
      <c r="D2209" t="s">
        <v>7898</v>
      </c>
      <c r="E2209">
        <v>6</v>
      </c>
      <c r="F2209" t="str">
        <f>IF(AND(Entities[[#This Row],[ENT_TYPE]]="County",RIGHT(Entities[[#This Row],[ENT_NAME]],6)&lt;&gt;"County"),_xlfn.TEXTJOIN(" ",TRUE,Entities[[#This Row],[ENT_NAME]],"County"),Entities[[#This Row],[ENT_NAME]])</f>
        <v>Harris County MUD 457</v>
      </c>
    </row>
    <row r="2210" spans="1:6" x14ac:dyDescent="0.25">
      <c r="A2210" s="302" t="s">
        <v>7899</v>
      </c>
      <c r="B2210" s="303" t="str">
        <f t="shared" si="34"/>
        <v>x06001232</v>
      </c>
      <c r="C2210" t="s">
        <v>4</v>
      </c>
      <c r="D2210" t="s">
        <v>7900</v>
      </c>
      <c r="E2210">
        <v>6</v>
      </c>
      <c r="F2210" t="str">
        <f>IF(AND(Entities[[#This Row],[ENT_TYPE]]="County",RIGHT(Entities[[#This Row],[ENT_NAME]],6)&lt;&gt;"County"),_xlfn.TEXTJOIN(" ",TRUE,Entities[[#This Row],[ENT_NAME]],"County"),Entities[[#This Row],[ENT_NAME]])</f>
        <v>Harris Fort Bend Counties MUD 5</v>
      </c>
    </row>
    <row r="2211" spans="1:6" x14ac:dyDescent="0.25">
      <c r="A2211" s="304" t="s">
        <v>7901</v>
      </c>
      <c r="B2211" s="303" t="str">
        <f t="shared" si="34"/>
        <v>x06001234</v>
      </c>
      <c r="C2211" t="s">
        <v>4</v>
      </c>
      <c r="D2211" t="s">
        <v>7902</v>
      </c>
      <c r="E2211">
        <v>6</v>
      </c>
      <c r="F2211" t="str">
        <f>IF(AND(Entities[[#This Row],[ENT_TYPE]]="County",RIGHT(Entities[[#This Row],[ENT_NAME]],6)&lt;&gt;"County"),_xlfn.TEXTJOIN(" ",TRUE,Entities[[#This Row],[ENT_NAME]],"County"),Entities[[#This Row],[ENT_NAME]])</f>
        <v>Harris Fort Bend Counties MUD 3</v>
      </c>
    </row>
    <row r="2212" spans="1:6" x14ac:dyDescent="0.25">
      <c r="A2212" s="302" t="s">
        <v>7903</v>
      </c>
      <c r="B2212" s="303" t="str">
        <f t="shared" si="34"/>
        <v>x06001235</v>
      </c>
      <c r="C2212" t="s">
        <v>4</v>
      </c>
      <c r="D2212" t="s">
        <v>7904</v>
      </c>
      <c r="E2212">
        <v>6</v>
      </c>
      <c r="F2212" t="str">
        <f>IF(AND(Entities[[#This Row],[ENT_TYPE]]="County",RIGHT(Entities[[#This Row],[ENT_NAME]],6)&lt;&gt;"County"),_xlfn.TEXTJOIN(" ",TRUE,Entities[[#This Row],[ENT_NAME]],"County"),Entities[[#This Row],[ENT_NAME]])</f>
        <v>Harris County WCID 156</v>
      </c>
    </row>
    <row r="2213" spans="1:6" x14ac:dyDescent="0.25">
      <c r="A2213" s="304" t="s">
        <v>7905</v>
      </c>
      <c r="B2213" s="303" t="str">
        <f t="shared" si="34"/>
        <v>x06001236</v>
      </c>
      <c r="C2213" t="s">
        <v>4</v>
      </c>
      <c r="D2213" t="s">
        <v>7906</v>
      </c>
      <c r="E2213">
        <v>6</v>
      </c>
      <c r="F2213" t="str">
        <f>IF(AND(Entities[[#This Row],[ENT_TYPE]]="County",RIGHT(Entities[[#This Row],[ENT_NAME]],6)&lt;&gt;"County"),_xlfn.TEXTJOIN(" ",TRUE,Entities[[#This Row],[ENT_NAME]],"County"),Entities[[#This Row],[ENT_NAME]])</f>
        <v>Mission Bend MUD 2</v>
      </c>
    </row>
    <row r="2214" spans="1:6" x14ac:dyDescent="0.25">
      <c r="A2214" s="302" t="s">
        <v>7907</v>
      </c>
      <c r="B2214" s="303" t="str">
        <f t="shared" si="34"/>
        <v>x06001237</v>
      </c>
      <c r="C2214" t="s">
        <v>4</v>
      </c>
      <c r="D2214" t="s">
        <v>7908</v>
      </c>
      <c r="E2214">
        <v>6</v>
      </c>
      <c r="F2214" t="str">
        <f>IF(AND(Entities[[#This Row],[ENT_TYPE]]="County",RIGHT(Entities[[#This Row],[ENT_NAME]],6)&lt;&gt;"County"),_xlfn.TEXTJOIN(" ",TRUE,Entities[[#This Row],[ENT_NAME]],"County"),Entities[[#This Row],[ENT_NAME]])</f>
        <v>North Green MUD</v>
      </c>
    </row>
    <row r="2215" spans="1:6" x14ac:dyDescent="0.25">
      <c r="A2215" s="304" t="s">
        <v>7909</v>
      </c>
      <c r="B2215" s="303" t="str">
        <f t="shared" si="34"/>
        <v>x06001239</v>
      </c>
      <c r="C2215" t="s">
        <v>4</v>
      </c>
      <c r="D2215" t="s">
        <v>7910</v>
      </c>
      <c r="E2215">
        <v>6</v>
      </c>
      <c r="F2215" t="str">
        <f>IF(AND(Entities[[#This Row],[ENT_TYPE]]="County",RIGHT(Entities[[#This Row],[ENT_NAME]],6)&lt;&gt;"County"),_xlfn.TEXTJOIN(" ",TRUE,Entities[[#This Row],[ENT_NAME]],"County"),Entities[[#This Row],[ENT_NAME]])</f>
        <v>Galveston County MUD 45</v>
      </c>
    </row>
    <row r="2216" spans="1:6" x14ac:dyDescent="0.25">
      <c r="A2216" s="302" t="s">
        <v>7911</v>
      </c>
      <c r="B2216" s="303" t="str">
        <f t="shared" si="34"/>
        <v>x06001242</v>
      </c>
      <c r="C2216" t="s">
        <v>4</v>
      </c>
      <c r="D2216" t="s">
        <v>7912</v>
      </c>
      <c r="E2216">
        <v>6</v>
      </c>
      <c r="F2216" t="str">
        <f>IF(AND(Entities[[#This Row],[ENT_TYPE]]="County",RIGHT(Entities[[#This Row],[ENT_NAME]],6)&lt;&gt;"County"),_xlfn.TEXTJOIN(" ",TRUE,Entities[[#This Row],[ENT_NAME]],"County"),Entities[[#This Row],[ENT_NAME]])</f>
        <v>Harris County MUD 71</v>
      </c>
    </row>
    <row r="2217" spans="1:6" x14ac:dyDescent="0.25">
      <c r="A2217" s="304" t="s">
        <v>7913</v>
      </c>
      <c r="B2217" s="303" t="str">
        <f t="shared" si="34"/>
        <v>x06001243</v>
      </c>
      <c r="C2217" t="s">
        <v>4</v>
      </c>
      <c r="D2217" t="s">
        <v>7914</v>
      </c>
      <c r="E2217">
        <v>6</v>
      </c>
      <c r="F2217" t="str">
        <f>IF(AND(Entities[[#This Row],[ENT_TYPE]]="County",RIGHT(Entities[[#This Row],[ENT_NAME]],6)&lt;&gt;"County"),_xlfn.TEXTJOIN(" ",TRUE,Entities[[#This Row],[ENT_NAME]],"County"),Entities[[#This Row],[ENT_NAME]])</f>
        <v>Harris County MUD 61</v>
      </c>
    </row>
    <row r="2218" spans="1:6" x14ac:dyDescent="0.25">
      <c r="A2218" s="302" t="s">
        <v>7915</v>
      </c>
      <c r="B2218" s="303" t="str">
        <f t="shared" si="34"/>
        <v>x06001249</v>
      </c>
      <c r="C2218" t="s">
        <v>4</v>
      </c>
      <c r="D2218" t="s">
        <v>7916</v>
      </c>
      <c r="E2218">
        <v>6</v>
      </c>
      <c r="F2218" t="str">
        <f>IF(AND(Entities[[#This Row],[ENT_TYPE]]="County",RIGHT(Entities[[#This Row],[ENT_NAME]],6)&lt;&gt;"County"),_xlfn.TEXTJOIN(" ",TRUE,Entities[[#This Row],[ENT_NAME]],"County"),Entities[[#This Row],[ENT_NAME]])</f>
        <v>Cimarron MUD</v>
      </c>
    </row>
    <row r="2219" spans="1:6" x14ac:dyDescent="0.25">
      <c r="A2219" s="304" t="s">
        <v>7917</v>
      </c>
      <c r="B2219" s="303" t="str">
        <f t="shared" si="34"/>
        <v>x06001250</v>
      </c>
      <c r="C2219" t="s">
        <v>4</v>
      </c>
      <c r="D2219" t="s">
        <v>7918</v>
      </c>
      <c r="E2219">
        <v>6</v>
      </c>
      <c r="F2219" t="str">
        <f>IF(AND(Entities[[#This Row],[ENT_TYPE]]="County",RIGHT(Entities[[#This Row],[ENT_NAME]],6)&lt;&gt;"County"),_xlfn.TEXTJOIN(" ",TRUE,Entities[[#This Row],[ENT_NAME]],"County"),Entities[[#This Row],[ENT_NAME]])</f>
        <v>Intercontinental MUD</v>
      </c>
    </row>
    <row r="2220" spans="1:6" x14ac:dyDescent="0.25">
      <c r="A2220" s="302" t="s">
        <v>7919</v>
      </c>
      <c r="B2220" s="303" t="str">
        <f t="shared" si="34"/>
        <v>x06001251</v>
      </c>
      <c r="C2220" t="s">
        <v>4</v>
      </c>
      <c r="D2220" t="s">
        <v>7920</v>
      </c>
      <c r="E2220">
        <v>6</v>
      </c>
      <c r="F2220" t="str">
        <f>IF(AND(Entities[[#This Row],[ENT_TYPE]]="County",RIGHT(Entities[[#This Row],[ENT_NAME]],6)&lt;&gt;"County"),_xlfn.TEXTJOIN(" ",TRUE,Entities[[#This Row],[ENT_NAME]],"County"),Entities[[#This Row],[ENT_NAME]])</f>
        <v>Montgomery County Utility District 4</v>
      </c>
    </row>
    <row r="2221" spans="1:6" x14ac:dyDescent="0.25">
      <c r="A2221" s="304" t="s">
        <v>7921</v>
      </c>
      <c r="B2221" s="303" t="str">
        <f t="shared" si="34"/>
        <v>x06001252</v>
      </c>
      <c r="C2221" t="s">
        <v>4</v>
      </c>
      <c r="D2221" t="s">
        <v>7922</v>
      </c>
      <c r="E2221">
        <v>6</v>
      </c>
      <c r="F2221" t="str">
        <f>IF(AND(Entities[[#This Row],[ENT_TYPE]]="County",RIGHT(Entities[[#This Row],[ENT_NAME]],6)&lt;&gt;"County"),_xlfn.TEXTJOIN(" ",TRUE,Entities[[#This Row],[ENT_NAME]],"County"),Entities[[#This Row],[ENT_NAME]])</f>
        <v>Northwest Harris County MUD 12</v>
      </c>
    </row>
    <row r="2222" spans="1:6" x14ac:dyDescent="0.25">
      <c r="A2222" s="302" t="s">
        <v>7923</v>
      </c>
      <c r="B2222" s="303" t="str">
        <f t="shared" si="34"/>
        <v>x06001257</v>
      </c>
      <c r="C2222" t="s">
        <v>4</v>
      </c>
      <c r="D2222" t="s">
        <v>7924</v>
      </c>
      <c r="E2222">
        <v>6</v>
      </c>
      <c r="F2222" t="str">
        <f>IF(AND(Entities[[#This Row],[ENT_TYPE]]="County",RIGHT(Entities[[#This Row],[ENT_NAME]],6)&lt;&gt;"County"),_xlfn.TEXTJOIN(" ",TRUE,Entities[[#This Row],[ENT_NAME]],"County"),Entities[[#This Row],[ENT_NAME]])</f>
        <v>Harris County MUD 188</v>
      </c>
    </row>
    <row r="2223" spans="1:6" x14ac:dyDescent="0.25">
      <c r="A2223" s="304" t="s">
        <v>7925</v>
      </c>
      <c r="B2223" s="303" t="str">
        <f t="shared" si="34"/>
        <v>x06001259</v>
      </c>
      <c r="C2223" t="s">
        <v>4</v>
      </c>
      <c r="D2223" t="s">
        <v>7926</v>
      </c>
      <c r="E2223">
        <v>6</v>
      </c>
      <c r="F2223" t="str">
        <f>IF(AND(Entities[[#This Row],[ENT_TYPE]]="County",RIGHT(Entities[[#This Row],[ENT_NAME]],6)&lt;&gt;"County"),_xlfn.TEXTJOIN(" ",TRUE,Entities[[#This Row],[ENT_NAME]],"County"),Entities[[#This Row],[ENT_NAME]])</f>
        <v>Harris County WCID 159</v>
      </c>
    </row>
    <row r="2224" spans="1:6" x14ac:dyDescent="0.25">
      <c r="A2224" s="302" t="s">
        <v>7927</v>
      </c>
      <c r="B2224" s="303" t="str">
        <f t="shared" si="34"/>
        <v>x06001263</v>
      </c>
      <c r="C2224" t="s">
        <v>4</v>
      </c>
      <c r="D2224" t="s">
        <v>7928</v>
      </c>
      <c r="E2224">
        <v>6</v>
      </c>
      <c r="F2224" t="str">
        <f>IF(AND(Entities[[#This Row],[ENT_TYPE]]="County",RIGHT(Entities[[#This Row],[ENT_NAME]],6)&lt;&gt;"County"),_xlfn.TEXTJOIN(" ",TRUE,Entities[[#This Row],[ENT_NAME]],"County"),Entities[[#This Row],[ENT_NAME]])</f>
        <v>Harris County MUD 58</v>
      </c>
    </row>
    <row r="2225" spans="1:6" x14ac:dyDescent="0.25">
      <c r="A2225" s="304" t="s">
        <v>7929</v>
      </c>
      <c r="B2225" s="303" t="str">
        <f t="shared" si="34"/>
        <v>x06001274</v>
      </c>
      <c r="C2225" t="s">
        <v>4</v>
      </c>
      <c r="D2225" t="s">
        <v>7930</v>
      </c>
      <c r="E2225">
        <v>6</v>
      </c>
      <c r="F2225" t="str">
        <f>IF(AND(Entities[[#This Row],[ENT_TYPE]]="County",RIGHT(Entities[[#This Row],[ENT_NAME]],6)&lt;&gt;"County"),_xlfn.TEXTJOIN(" ",TRUE,Entities[[#This Row],[ENT_NAME]],"County"),Entities[[#This Row],[ENT_NAME]])</f>
        <v>Fort Bend County MUD 123</v>
      </c>
    </row>
    <row r="2226" spans="1:6" x14ac:dyDescent="0.25">
      <c r="A2226" s="302" t="s">
        <v>7931</v>
      </c>
      <c r="B2226" s="303" t="str">
        <f t="shared" si="34"/>
        <v>x06001275</v>
      </c>
      <c r="C2226" t="s">
        <v>4</v>
      </c>
      <c r="D2226" t="s">
        <v>7932</v>
      </c>
      <c r="E2226">
        <v>6</v>
      </c>
      <c r="F2226" t="str">
        <f>IF(AND(Entities[[#This Row],[ENT_TYPE]]="County",RIGHT(Entities[[#This Row],[ENT_NAME]],6)&lt;&gt;"County"),_xlfn.TEXTJOIN(" ",TRUE,Entities[[#This Row],[ENT_NAME]],"County"),Entities[[#This Row],[ENT_NAME]])</f>
        <v>Northwest Park MUD</v>
      </c>
    </row>
    <row r="2227" spans="1:6" x14ac:dyDescent="0.25">
      <c r="A2227" s="302" t="s">
        <v>7933</v>
      </c>
      <c r="B2227" s="303" t="str">
        <f t="shared" si="34"/>
        <v>x06001277</v>
      </c>
      <c r="C2227" t="s">
        <v>4</v>
      </c>
      <c r="D2227" t="s">
        <v>7934</v>
      </c>
      <c r="E2227">
        <v>6</v>
      </c>
      <c r="F2227" t="str">
        <f>IF(AND(Entities[[#This Row],[ENT_TYPE]]="County",RIGHT(Entities[[#This Row],[ENT_NAME]],6)&lt;&gt;"County"),_xlfn.TEXTJOIN(" ",TRUE,Entities[[#This Row],[ENT_NAME]],"County"),Entities[[#This Row],[ENT_NAME]])</f>
        <v>Northwest Harris County MUD 21</v>
      </c>
    </row>
    <row r="2228" spans="1:6" x14ac:dyDescent="0.25">
      <c r="A2228" s="304" t="s">
        <v>7935</v>
      </c>
      <c r="B2228" s="303" t="str">
        <f t="shared" si="34"/>
        <v>x06001278</v>
      </c>
      <c r="C2228" t="s">
        <v>4</v>
      </c>
      <c r="D2228" t="s">
        <v>7936</v>
      </c>
      <c r="E2228">
        <v>6</v>
      </c>
      <c r="F2228" t="str">
        <f>IF(AND(Entities[[#This Row],[ENT_TYPE]]="County",RIGHT(Entities[[#This Row],[ENT_NAME]],6)&lt;&gt;"County"),_xlfn.TEXTJOIN(" ",TRUE,Entities[[#This Row],[ENT_NAME]],"County"),Entities[[#This Row],[ENT_NAME]])</f>
        <v>Northwest Harris County MUD 24</v>
      </c>
    </row>
    <row r="2229" spans="1:6" x14ac:dyDescent="0.25">
      <c r="A2229" s="302" t="s">
        <v>7937</v>
      </c>
      <c r="B2229" s="303" t="str">
        <f t="shared" si="34"/>
        <v>x06001279</v>
      </c>
      <c r="C2229" t="s">
        <v>4</v>
      </c>
      <c r="D2229" t="s">
        <v>7938</v>
      </c>
      <c r="E2229">
        <v>6</v>
      </c>
      <c r="F2229" t="str">
        <f>IF(AND(Entities[[#This Row],[ENT_TYPE]]="County",RIGHT(Entities[[#This Row],[ENT_NAME]],6)&lt;&gt;"County"),_xlfn.TEXTJOIN(" ",TRUE,Entities[[#This Row],[ENT_NAME]],"County"),Entities[[#This Row],[ENT_NAME]])</f>
        <v>Northwest Harris County MUD 28</v>
      </c>
    </row>
    <row r="2230" spans="1:6" x14ac:dyDescent="0.25">
      <c r="A2230" s="304" t="s">
        <v>7939</v>
      </c>
      <c r="B2230" s="303" t="str">
        <f t="shared" si="34"/>
        <v>x06001280</v>
      </c>
      <c r="C2230" t="s">
        <v>4</v>
      </c>
      <c r="D2230" t="s">
        <v>7940</v>
      </c>
      <c r="E2230">
        <v>6</v>
      </c>
      <c r="F2230" t="str">
        <f>IF(AND(Entities[[#This Row],[ENT_TYPE]]="County",RIGHT(Entities[[#This Row],[ENT_NAME]],6)&lt;&gt;"County"),_xlfn.TEXTJOIN(" ",TRUE,Entities[[#This Row],[ENT_NAME]],"County"),Entities[[#This Row],[ENT_NAME]])</f>
        <v>Harris County MUD 53</v>
      </c>
    </row>
    <row r="2231" spans="1:6" x14ac:dyDescent="0.25">
      <c r="A2231" s="302" t="s">
        <v>7941</v>
      </c>
      <c r="B2231" s="303" t="str">
        <f t="shared" si="34"/>
        <v>x06001287</v>
      </c>
      <c r="C2231" t="s">
        <v>4</v>
      </c>
      <c r="D2231" t="s">
        <v>7942</v>
      </c>
      <c r="E2231">
        <v>6</v>
      </c>
      <c r="F2231" t="str">
        <f>IF(AND(Entities[[#This Row],[ENT_TYPE]]="County",RIGHT(Entities[[#This Row],[ENT_NAME]],6)&lt;&gt;"County"),_xlfn.TEXTJOIN(" ",TRUE,Entities[[#This Row],[ENT_NAME]],"County"),Entities[[#This Row],[ENT_NAME]])</f>
        <v>Harris County MUD 281</v>
      </c>
    </row>
    <row r="2232" spans="1:6" x14ac:dyDescent="0.25">
      <c r="A2232" s="304" t="s">
        <v>7943</v>
      </c>
      <c r="B2232" s="303" t="str">
        <f t="shared" si="34"/>
        <v>x06001291</v>
      </c>
      <c r="C2232" t="s">
        <v>4</v>
      </c>
      <c r="D2232" t="s">
        <v>7944</v>
      </c>
      <c r="E2232">
        <v>6</v>
      </c>
      <c r="F2232" t="str">
        <f>IF(AND(Entities[[#This Row],[ENT_TYPE]]="County",RIGHT(Entities[[#This Row],[ENT_NAME]],6)&lt;&gt;"County"),_xlfn.TEXTJOIN(" ",TRUE,Entities[[#This Row],[ENT_NAME]],"County"),Entities[[#This Row],[ENT_NAME]])</f>
        <v>Northwest Harris County MUD 5</v>
      </c>
    </row>
    <row r="2233" spans="1:6" x14ac:dyDescent="0.25">
      <c r="A2233" s="302" t="s">
        <v>7945</v>
      </c>
      <c r="B2233" s="303" t="str">
        <f t="shared" si="34"/>
        <v>x06001292</v>
      </c>
      <c r="C2233" t="s">
        <v>4</v>
      </c>
      <c r="D2233" t="s">
        <v>7946</v>
      </c>
      <c r="E2233">
        <v>6</v>
      </c>
      <c r="F2233" t="str">
        <f>IF(AND(Entities[[#This Row],[ENT_TYPE]]="County",RIGHT(Entities[[#This Row],[ENT_NAME]],6)&lt;&gt;"County"),_xlfn.TEXTJOIN(" ",TRUE,Entities[[#This Row],[ENT_NAME]],"County"),Entities[[#This Row],[ENT_NAME]])</f>
        <v>Harris County MUD 451</v>
      </c>
    </row>
    <row r="2234" spans="1:6" x14ac:dyDescent="0.25">
      <c r="A2234" s="304" t="s">
        <v>7947</v>
      </c>
      <c r="B2234" s="303" t="str">
        <f t="shared" si="34"/>
        <v>x06001293</v>
      </c>
      <c r="C2234" t="s">
        <v>4</v>
      </c>
      <c r="D2234" t="s">
        <v>7948</v>
      </c>
      <c r="E2234">
        <v>6</v>
      </c>
      <c r="F2234" t="str">
        <f>IF(AND(Entities[[#This Row],[ENT_TYPE]]="County",RIGHT(Entities[[#This Row],[ENT_NAME]],6)&lt;&gt;"County"),_xlfn.TEXTJOIN(" ",TRUE,Entities[[#This Row],[ENT_NAME]],"County"),Entities[[#This Row],[ENT_NAME]])</f>
        <v>Montgomery County MUD 68</v>
      </c>
    </row>
    <row r="2235" spans="1:6" x14ac:dyDescent="0.25">
      <c r="A2235" s="302" t="s">
        <v>7949</v>
      </c>
      <c r="B2235" s="303" t="str">
        <f t="shared" si="34"/>
        <v>x06001298</v>
      </c>
      <c r="C2235" t="s">
        <v>4</v>
      </c>
      <c r="D2235" t="s">
        <v>7950</v>
      </c>
      <c r="E2235">
        <v>6</v>
      </c>
      <c r="F2235" t="str">
        <f>IF(AND(Entities[[#This Row],[ENT_TYPE]]="County",RIGHT(Entities[[#This Row],[ENT_NAME]],6)&lt;&gt;"County"),_xlfn.TEXTJOIN(" ",TRUE,Entities[[#This Row],[ENT_NAME]],"County"),Entities[[#This Row],[ENT_NAME]])</f>
        <v>West Harris County MUD 2</v>
      </c>
    </row>
    <row r="2236" spans="1:6" x14ac:dyDescent="0.25">
      <c r="A2236" s="304" t="s">
        <v>7951</v>
      </c>
      <c r="B2236" s="303" t="str">
        <f t="shared" si="34"/>
        <v>x06001305</v>
      </c>
      <c r="C2236" t="s">
        <v>4</v>
      </c>
      <c r="D2236" t="s">
        <v>7952</v>
      </c>
      <c r="E2236">
        <v>6</v>
      </c>
      <c r="F2236" t="str">
        <f>IF(AND(Entities[[#This Row],[ENT_TYPE]]="County",RIGHT(Entities[[#This Row],[ENT_NAME]],6)&lt;&gt;"County"),_xlfn.TEXTJOIN(" ",TRUE,Entities[[#This Row],[ENT_NAME]],"County"),Entities[[#This Row],[ENT_NAME]])</f>
        <v>Harris County MUD 371</v>
      </c>
    </row>
    <row r="2237" spans="1:6" x14ac:dyDescent="0.25">
      <c r="A2237" s="302" t="s">
        <v>7953</v>
      </c>
      <c r="B2237" s="303" t="str">
        <f t="shared" si="34"/>
        <v>x06001309</v>
      </c>
      <c r="C2237" t="s">
        <v>4</v>
      </c>
      <c r="D2237" t="s">
        <v>7954</v>
      </c>
      <c r="E2237">
        <v>6</v>
      </c>
      <c r="F2237" t="str">
        <f>IF(AND(Entities[[#This Row],[ENT_TYPE]]="County",RIGHT(Entities[[#This Row],[ENT_NAME]],6)&lt;&gt;"County"),_xlfn.TEXTJOIN(" ",TRUE,Entities[[#This Row],[ENT_NAME]],"County"),Entities[[#This Row],[ENT_NAME]])</f>
        <v>Galveston County MUD 14</v>
      </c>
    </row>
    <row r="2238" spans="1:6" x14ac:dyDescent="0.25">
      <c r="A2238" s="304" t="s">
        <v>7955</v>
      </c>
      <c r="B2238" s="303" t="str">
        <f t="shared" si="34"/>
        <v>x06001313</v>
      </c>
      <c r="C2238" t="s">
        <v>4</v>
      </c>
      <c r="D2238" t="s">
        <v>7956</v>
      </c>
      <c r="E2238">
        <v>6</v>
      </c>
      <c r="F2238" t="str">
        <f>IF(AND(Entities[[#This Row],[ENT_TYPE]]="County",RIGHT(Entities[[#This Row],[ENT_NAME]],6)&lt;&gt;"County"),_xlfn.TEXTJOIN(" ",TRUE,Entities[[#This Row],[ENT_NAME]],"County"),Entities[[#This Row],[ENT_NAME]])</f>
        <v>Harris County MUD 96</v>
      </c>
    </row>
    <row r="2239" spans="1:6" x14ac:dyDescent="0.25">
      <c r="A2239" s="302" t="s">
        <v>7957</v>
      </c>
      <c r="B2239" s="303" t="str">
        <f t="shared" si="34"/>
        <v>x06001314</v>
      </c>
      <c r="C2239" t="s">
        <v>4</v>
      </c>
      <c r="D2239" t="s">
        <v>7958</v>
      </c>
      <c r="E2239">
        <v>6</v>
      </c>
      <c r="F2239" t="str">
        <f>IF(AND(Entities[[#This Row],[ENT_TYPE]]="County",RIGHT(Entities[[#This Row],[ENT_NAME]],6)&lt;&gt;"County"),_xlfn.TEXTJOIN(" ",TRUE,Entities[[#This Row],[ENT_NAME]],"County"),Entities[[#This Row],[ENT_NAME]])</f>
        <v>Harris County MUD 364</v>
      </c>
    </row>
    <row r="2240" spans="1:6" x14ac:dyDescent="0.25">
      <c r="A2240" s="304" t="s">
        <v>7959</v>
      </c>
      <c r="B2240" s="303" t="str">
        <f t="shared" si="34"/>
        <v>x06001315</v>
      </c>
      <c r="C2240" t="s">
        <v>4</v>
      </c>
      <c r="D2240" t="s">
        <v>7960</v>
      </c>
      <c r="E2240">
        <v>6</v>
      </c>
      <c r="F2240" t="str">
        <f>IF(AND(Entities[[#This Row],[ENT_TYPE]]="County",RIGHT(Entities[[#This Row],[ENT_NAME]],6)&lt;&gt;"County"),_xlfn.TEXTJOIN(" ",TRUE,Entities[[#This Row],[ENT_NAME]],"County"),Entities[[#This Row],[ENT_NAME]])</f>
        <v>Harris County MUD 405</v>
      </c>
    </row>
    <row r="2241" spans="1:6" x14ac:dyDescent="0.25">
      <c r="A2241" s="302" t="s">
        <v>7961</v>
      </c>
      <c r="B2241" s="303" t="str">
        <f t="shared" si="34"/>
        <v>x06001316</v>
      </c>
      <c r="C2241" t="s">
        <v>4</v>
      </c>
      <c r="D2241" t="s">
        <v>7962</v>
      </c>
      <c r="E2241">
        <v>6</v>
      </c>
      <c r="F2241" t="str">
        <f>IF(AND(Entities[[#This Row],[ENT_TYPE]]="County",RIGHT(Entities[[#This Row],[ENT_NAME]],6)&lt;&gt;"County"),_xlfn.TEXTJOIN(" ",TRUE,Entities[[#This Row],[ENT_NAME]],"County"),Entities[[#This Row],[ENT_NAME]])</f>
        <v>Harris County MUD 411</v>
      </c>
    </row>
    <row r="2242" spans="1:6" x14ac:dyDescent="0.25">
      <c r="A2242" s="304" t="s">
        <v>7963</v>
      </c>
      <c r="B2242" s="303" t="str">
        <f t="shared" ref="B2242:B2305" si="35">_xlfn.CONCAT("x",TEXT(A2242,"00000000"))</f>
        <v>x06001317</v>
      </c>
      <c r="C2242" t="s">
        <v>4</v>
      </c>
      <c r="D2242" t="s">
        <v>7964</v>
      </c>
      <c r="E2242">
        <v>6</v>
      </c>
      <c r="F2242" t="str">
        <f>IF(AND(Entities[[#This Row],[ENT_TYPE]]="County",RIGHT(Entities[[#This Row],[ENT_NAME]],6)&lt;&gt;"County"),_xlfn.TEXTJOIN(" ",TRUE,Entities[[#This Row],[ENT_NAME]],"County"),Entities[[#This Row],[ENT_NAME]])</f>
        <v>Brazoria County MUD 6</v>
      </c>
    </row>
    <row r="2243" spans="1:6" x14ac:dyDescent="0.25">
      <c r="A2243" s="302" t="s">
        <v>7965</v>
      </c>
      <c r="B2243" s="303" t="str">
        <f t="shared" si="35"/>
        <v>x06001318</v>
      </c>
      <c r="C2243" t="s">
        <v>4</v>
      </c>
      <c r="D2243" t="s">
        <v>7966</v>
      </c>
      <c r="E2243">
        <v>6</v>
      </c>
      <c r="F2243" t="str">
        <f>IF(AND(Entities[[#This Row],[ENT_TYPE]]="County",RIGHT(Entities[[#This Row],[ENT_NAME]],6)&lt;&gt;"County"),_xlfn.TEXTJOIN(" ",TRUE,Entities[[#This Row],[ENT_NAME]],"County"),Entities[[#This Row],[ENT_NAME]])</f>
        <v>Brazoria County MUD 23</v>
      </c>
    </row>
    <row r="2244" spans="1:6" x14ac:dyDescent="0.25">
      <c r="A2244" s="304" t="s">
        <v>7967</v>
      </c>
      <c r="B2244" s="303" t="str">
        <f t="shared" si="35"/>
        <v>x06001320</v>
      </c>
      <c r="C2244" t="s">
        <v>4</v>
      </c>
      <c r="D2244" t="s">
        <v>7968</v>
      </c>
      <c r="E2244">
        <v>6</v>
      </c>
      <c r="F2244" t="str">
        <f>IF(AND(Entities[[#This Row],[ENT_TYPE]]="County",RIGHT(Entities[[#This Row],[ENT_NAME]],6)&lt;&gt;"County"),_xlfn.TEXTJOIN(" ",TRUE,Entities[[#This Row],[ENT_NAME]],"County"),Entities[[#This Row],[ENT_NAME]])</f>
        <v>Cypress Creek Utility District</v>
      </c>
    </row>
    <row r="2245" spans="1:6" x14ac:dyDescent="0.25">
      <c r="A2245" s="302" t="s">
        <v>7969</v>
      </c>
      <c r="B2245" s="303" t="str">
        <f t="shared" si="35"/>
        <v>x06001321</v>
      </c>
      <c r="C2245" t="s">
        <v>4</v>
      </c>
      <c r="D2245" t="s">
        <v>7970</v>
      </c>
      <c r="E2245">
        <v>6</v>
      </c>
      <c r="F2245" t="str">
        <f>IF(AND(Entities[[#This Row],[ENT_TYPE]]="County",RIGHT(Entities[[#This Row],[ENT_NAME]],6)&lt;&gt;"County"),_xlfn.TEXTJOIN(" ",TRUE,Entities[[#This Row],[ENT_NAME]],"County"),Entities[[#This Row],[ENT_NAME]])</f>
        <v>Northwest Harris County MUD 9</v>
      </c>
    </row>
    <row r="2246" spans="1:6" x14ac:dyDescent="0.25">
      <c r="A2246" s="304" t="s">
        <v>7971</v>
      </c>
      <c r="B2246" s="303" t="str">
        <f t="shared" si="35"/>
        <v>x06001326</v>
      </c>
      <c r="C2246" t="s">
        <v>4</v>
      </c>
      <c r="D2246" t="s">
        <v>7972</v>
      </c>
      <c r="E2246">
        <v>6</v>
      </c>
      <c r="F2246" t="str">
        <f>IF(AND(Entities[[#This Row],[ENT_TYPE]]="County",RIGHT(Entities[[#This Row],[ENT_NAME]],6)&lt;&gt;"County"),_xlfn.TEXTJOIN(" ",TRUE,Entities[[#This Row],[ENT_NAME]],"County"),Entities[[#This Row],[ENT_NAME]])</f>
        <v>Harris County MUD 422</v>
      </c>
    </row>
    <row r="2247" spans="1:6" x14ac:dyDescent="0.25">
      <c r="A2247" s="302" t="s">
        <v>7973</v>
      </c>
      <c r="B2247" s="303" t="str">
        <f t="shared" si="35"/>
        <v>x06001327</v>
      </c>
      <c r="C2247" t="s">
        <v>4</v>
      </c>
      <c r="D2247" t="s">
        <v>7974</v>
      </c>
      <c r="E2247">
        <v>6</v>
      </c>
      <c r="F2247" t="str">
        <f>IF(AND(Entities[[#This Row],[ENT_TYPE]]="County",RIGHT(Entities[[#This Row],[ENT_NAME]],6)&lt;&gt;"County"),_xlfn.TEXTJOIN(" ",TRUE,Entities[[#This Row],[ENT_NAME]],"County"),Entities[[#This Row],[ENT_NAME]])</f>
        <v>Harris County MUD 462</v>
      </c>
    </row>
    <row r="2248" spans="1:6" x14ac:dyDescent="0.25">
      <c r="A2248" s="304" t="s">
        <v>7975</v>
      </c>
      <c r="B2248" s="303" t="str">
        <f t="shared" si="35"/>
        <v>x06001328</v>
      </c>
      <c r="C2248" t="s">
        <v>4</v>
      </c>
      <c r="D2248" t="s">
        <v>7976</v>
      </c>
      <c r="E2248">
        <v>6</v>
      </c>
      <c r="F2248" t="str">
        <f>IF(AND(Entities[[#This Row],[ENT_TYPE]]="County",RIGHT(Entities[[#This Row],[ENT_NAME]],6)&lt;&gt;"County"),_xlfn.TEXTJOIN(" ",TRUE,Entities[[#This Row],[ENT_NAME]],"County"),Entities[[#This Row],[ENT_NAME]])</f>
        <v>Memorial Hills Utility District</v>
      </c>
    </row>
    <row r="2249" spans="1:6" x14ac:dyDescent="0.25">
      <c r="A2249" s="302" t="s">
        <v>7977</v>
      </c>
      <c r="B2249" s="303" t="str">
        <f t="shared" si="35"/>
        <v>x06001329</v>
      </c>
      <c r="C2249" t="s">
        <v>4</v>
      </c>
      <c r="D2249" t="s">
        <v>7978</v>
      </c>
      <c r="E2249">
        <v>6</v>
      </c>
      <c r="F2249" t="str">
        <f>IF(AND(Entities[[#This Row],[ENT_TYPE]]="County",RIGHT(Entities[[#This Row],[ENT_NAME]],6)&lt;&gt;"County"),_xlfn.TEXTJOIN(" ",TRUE,Entities[[#This Row],[ENT_NAME]],"County"),Entities[[#This Row],[ENT_NAME]])</f>
        <v>Harris County MUD 238</v>
      </c>
    </row>
    <row r="2250" spans="1:6" x14ac:dyDescent="0.25">
      <c r="A2250" s="304" t="s">
        <v>7979</v>
      </c>
      <c r="B2250" s="303" t="str">
        <f t="shared" si="35"/>
        <v>x06001331</v>
      </c>
      <c r="C2250" t="s">
        <v>4</v>
      </c>
      <c r="D2250" t="s">
        <v>7980</v>
      </c>
      <c r="E2250">
        <v>6</v>
      </c>
      <c r="F2250" t="str">
        <f>IF(AND(Entities[[#This Row],[ENT_TYPE]]="County",RIGHT(Entities[[#This Row],[ENT_NAME]],6)&lt;&gt;"County"),_xlfn.TEXTJOIN(" ",TRUE,Entities[[#This Row],[ENT_NAME]],"County"),Entities[[#This Row],[ENT_NAME]])</f>
        <v>Harris County MUD 205</v>
      </c>
    </row>
    <row r="2251" spans="1:6" x14ac:dyDescent="0.25">
      <c r="A2251" s="302" t="s">
        <v>7981</v>
      </c>
      <c r="B2251" s="303" t="str">
        <f t="shared" si="35"/>
        <v>x06001333</v>
      </c>
      <c r="C2251" t="s">
        <v>4</v>
      </c>
      <c r="D2251" t="s">
        <v>7982</v>
      </c>
      <c r="E2251">
        <v>6</v>
      </c>
      <c r="F2251" t="str">
        <f>IF(AND(Entities[[#This Row],[ENT_TYPE]]="County",RIGHT(Entities[[#This Row],[ENT_NAME]],6)&lt;&gt;"County"),_xlfn.TEXTJOIN(" ",TRUE,Entities[[#This Row],[ENT_NAME]],"County"),Entities[[#This Row],[ENT_NAME]])</f>
        <v>Harris County MUD 172</v>
      </c>
    </row>
    <row r="2252" spans="1:6" x14ac:dyDescent="0.25">
      <c r="A2252" s="304" t="s">
        <v>7983</v>
      </c>
      <c r="B2252" s="303" t="str">
        <f t="shared" si="35"/>
        <v>x06001334</v>
      </c>
      <c r="C2252" t="s">
        <v>4</v>
      </c>
      <c r="D2252" t="s">
        <v>7984</v>
      </c>
      <c r="E2252">
        <v>6</v>
      </c>
      <c r="F2252" t="str">
        <f>IF(AND(Entities[[#This Row],[ENT_TYPE]]="County",RIGHT(Entities[[#This Row],[ENT_NAME]],6)&lt;&gt;"County"),_xlfn.TEXTJOIN(" ",TRUE,Entities[[#This Row],[ENT_NAME]],"County"),Entities[[#This Row],[ENT_NAME]])</f>
        <v>Harris County MUD 390</v>
      </c>
    </row>
    <row r="2253" spans="1:6" x14ac:dyDescent="0.25">
      <c r="A2253" s="302" t="s">
        <v>7985</v>
      </c>
      <c r="B2253" s="303" t="str">
        <f t="shared" si="35"/>
        <v>x06001341</v>
      </c>
      <c r="C2253" t="s">
        <v>4</v>
      </c>
      <c r="D2253" t="s">
        <v>7986</v>
      </c>
      <c r="E2253">
        <v>6</v>
      </c>
      <c r="F2253" t="str">
        <f>IF(AND(Entities[[#This Row],[ENT_TYPE]]="County",RIGHT(Entities[[#This Row],[ENT_NAME]],6)&lt;&gt;"County"),_xlfn.TEXTJOIN(" ",TRUE,Entities[[#This Row],[ENT_NAME]],"County"),Entities[[#This Row],[ENT_NAME]])</f>
        <v>Harris County MUD 285</v>
      </c>
    </row>
    <row r="2254" spans="1:6" x14ac:dyDescent="0.25">
      <c r="A2254" s="304" t="s">
        <v>7987</v>
      </c>
      <c r="B2254" s="303" t="str">
        <f t="shared" si="35"/>
        <v>x06001342</v>
      </c>
      <c r="C2254" t="s">
        <v>4</v>
      </c>
      <c r="D2254" t="s">
        <v>7988</v>
      </c>
      <c r="E2254">
        <v>6</v>
      </c>
      <c r="F2254" t="str">
        <f>IF(AND(Entities[[#This Row],[ENT_TYPE]]="County",RIGHT(Entities[[#This Row],[ENT_NAME]],6)&lt;&gt;"County"),_xlfn.TEXTJOIN(" ",TRUE,Entities[[#This Row],[ENT_NAME]],"County"),Entities[[#This Row],[ENT_NAME]])</f>
        <v>Harris County WCID 92</v>
      </c>
    </row>
    <row r="2255" spans="1:6" x14ac:dyDescent="0.25">
      <c r="A2255" s="302" t="s">
        <v>7989</v>
      </c>
      <c r="B2255" s="303" t="str">
        <f t="shared" si="35"/>
        <v>x06001343</v>
      </c>
      <c r="C2255" t="s">
        <v>4</v>
      </c>
      <c r="D2255" t="s">
        <v>7990</v>
      </c>
      <c r="E2255">
        <v>6</v>
      </c>
      <c r="F2255" t="str">
        <f>IF(AND(Entities[[#This Row],[ENT_TYPE]]="County",RIGHT(Entities[[#This Row],[ENT_NAME]],6)&lt;&gt;"County"),_xlfn.TEXTJOIN(" ",TRUE,Entities[[#This Row],[ENT_NAME]],"County"),Entities[[#This Row],[ENT_NAME]])</f>
        <v>Fort Bend County MUD 151</v>
      </c>
    </row>
    <row r="2256" spans="1:6" x14ac:dyDescent="0.25">
      <c r="A2256" s="304" t="s">
        <v>7991</v>
      </c>
      <c r="B2256" s="303" t="str">
        <f t="shared" si="35"/>
        <v>x06001344</v>
      </c>
      <c r="C2256" t="s">
        <v>4</v>
      </c>
      <c r="D2256" t="s">
        <v>7992</v>
      </c>
      <c r="E2256">
        <v>6</v>
      </c>
      <c r="F2256" t="str">
        <f>IF(AND(Entities[[#This Row],[ENT_TYPE]]="County",RIGHT(Entities[[#This Row],[ENT_NAME]],6)&lt;&gt;"County"),_xlfn.TEXTJOIN(" ",TRUE,Entities[[#This Row],[ENT_NAME]],"County"),Entities[[#This Row],[ENT_NAME]])</f>
        <v>Richey Road MUD</v>
      </c>
    </row>
    <row r="2257" spans="1:6" x14ac:dyDescent="0.25">
      <c r="A2257" s="304" t="s">
        <v>7993</v>
      </c>
      <c r="B2257" s="303" t="str">
        <f t="shared" si="35"/>
        <v>x06001349</v>
      </c>
      <c r="C2257" t="s">
        <v>5166</v>
      </c>
      <c r="D2257" t="s">
        <v>7994</v>
      </c>
      <c r="E2257">
        <v>6</v>
      </c>
      <c r="F2257" t="str">
        <f>IF(AND(Entities[[#This Row],[ENT_TYPE]]="County",RIGHT(Entities[[#This Row],[ENT_NAME]],6)&lt;&gt;"County"),_xlfn.TEXTJOIN(" ",TRUE,Entities[[#This Row],[ENT_NAME]],"County"),Entities[[#This Row],[ENT_NAME]])</f>
        <v>Galveston County Drainage District 1</v>
      </c>
    </row>
    <row r="2258" spans="1:6" x14ac:dyDescent="0.25">
      <c r="A2258" s="302" t="s">
        <v>7995</v>
      </c>
      <c r="B2258" s="303" t="str">
        <f t="shared" si="35"/>
        <v>x06001353</v>
      </c>
      <c r="C2258" t="s">
        <v>4</v>
      </c>
      <c r="D2258" t="s">
        <v>7996</v>
      </c>
      <c r="E2258">
        <v>6</v>
      </c>
      <c r="F2258" t="str">
        <f>IF(AND(Entities[[#This Row],[ENT_TYPE]]="County",RIGHT(Entities[[#This Row],[ENT_NAME]],6)&lt;&gt;"County"),_xlfn.TEXTJOIN(" ",TRUE,Entities[[#This Row],[ENT_NAME]],"County"),Entities[[#This Row],[ENT_NAME]])</f>
        <v>Harris County MUD 280</v>
      </c>
    </row>
    <row r="2259" spans="1:6" x14ac:dyDescent="0.25">
      <c r="A2259" s="304" t="s">
        <v>7997</v>
      </c>
      <c r="B2259" s="303" t="str">
        <f t="shared" si="35"/>
        <v>x06001354</v>
      </c>
      <c r="C2259" t="s">
        <v>4</v>
      </c>
      <c r="D2259" t="s">
        <v>7998</v>
      </c>
      <c r="E2259">
        <v>6</v>
      </c>
      <c r="F2259" t="str">
        <f>IF(AND(Entities[[#This Row],[ENT_TYPE]]="County",RIGHT(Entities[[#This Row],[ENT_NAME]],6)&lt;&gt;"County"),_xlfn.TEXTJOIN(" ",TRUE,Entities[[#This Row],[ENT_NAME]],"County"),Entities[[#This Row],[ENT_NAME]])</f>
        <v>Harris County WCID 110</v>
      </c>
    </row>
    <row r="2260" spans="1:6" x14ac:dyDescent="0.25">
      <c r="A2260" s="302" t="s">
        <v>7999</v>
      </c>
      <c r="B2260" s="303" t="str">
        <f t="shared" si="35"/>
        <v>x06001355</v>
      </c>
      <c r="C2260" t="s">
        <v>4</v>
      </c>
      <c r="D2260" t="s">
        <v>8000</v>
      </c>
      <c r="E2260">
        <v>6</v>
      </c>
      <c r="F2260" t="str">
        <f>IF(AND(Entities[[#This Row],[ENT_TYPE]]="County",RIGHT(Entities[[#This Row],[ENT_NAME]],6)&lt;&gt;"County"),_xlfn.TEXTJOIN(" ",TRUE,Entities[[#This Row],[ENT_NAME]],"County"),Entities[[#This Row],[ENT_NAME]])</f>
        <v>Fallbrook Utility District</v>
      </c>
    </row>
    <row r="2261" spans="1:6" x14ac:dyDescent="0.25">
      <c r="A2261" s="304" t="s">
        <v>8001</v>
      </c>
      <c r="B2261" s="303" t="str">
        <f t="shared" si="35"/>
        <v>x06001357</v>
      </c>
      <c r="C2261" t="s">
        <v>4</v>
      </c>
      <c r="D2261" t="s">
        <v>8002</v>
      </c>
      <c r="E2261">
        <v>6</v>
      </c>
      <c r="F2261" t="str">
        <f>IF(AND(Entities[[#This Row],[ENT_TYPE]]="County",RIGHT(Entities[[#This Row],[ENT_NAME]],6)&lt;&gt;"County"),_xlfn.TEXTJOIN(" ",TRUE,Entities[[#This Row],[ENT_NAME]],"County"),Entities[[#This Row],[ENT_NAME]])</f>
        <v>Harris County MUD 171</v>
      </c>
    </row>
    <row r="2262" spans="1:6" x14ac:dyDescent="0.25">
      <c r="A2262" s="302" t="s">
        <v>8003</v>
      </c>
      <c r="B2262" s="303" t="str">
        <f t="shared" si="35"/>
        <v>x06001359</v>
      </c>
      <c r="C2262" t="s">
        <v>4</v>
      </c>
      <c r="D2262" t="s">
        <v>8004</v>
      </c>
      <c r="E2262">
        <v>6</v>
      </c>
      <c r="F2262" t="str">
        <f>IF(AND(Entities[[#This Row],[ENT_TYPE]]="County",RIGHT(Entities[[#This Row],[ENT_NAME]],6)&lt;&gt;"County"),_xlfn.TEXTJOIN(" ",TRUE,Entities[[#This Row],[ENT_NAME]],"County"),Entities[[#This Row],[ENT_NAME]])</f>
        <v>Forest Hills MUD</v>
      </c>
    </row>
    <row r="2263" spans="1:6" x14ac:dyDescent="0.25">
      <c r="A2263" s="304" t="s">
        <v>8005</v>
      </c>
      <c r="B2263" s="303" t="str">
        <f t="shared" si="35"/>
        <v>x06001365</v>
      </c>
      <c r="C2263" t="s">
        <v>4</v>
      </c>
      <c r="D2263" t="s">
        <v>8006</v>
      </c>
      <c r="E2263">
        <v>6</v>
      </c>
      <c r="F2263" t="str">
        <f>IF(AND(Entities[[#This Row],[ENT_TYPE]]="County",RIGHT(Entities[[#This Row],[ENT_NAME]],6)&lt;&gt;"County"),_xlfn.TEXTJOIN(" ",TRUE,Entities[[#This Row],[ENT_NAME]],"County"),Entities[[#This Row],[ENT_NAME]])</f>
        <v>Harris County MUD 153</v>
      </c>
    </row>
    <row r="2264" spans="1:6" x14ac:dyDescent="0.25">
      <c r="A2264" s="302" t="s">
        <v>8007</v>
      </c>
      <c r="B2264" s="303" t="str">
        <f t="shared" si="35"/>
        <v>x06001366</v>
      </c>
      <c r="C2264" t="s">
        <v>4</v>
      </c>
      <c r="D2264" t="s">
        <v>8008</v>
      </c>
      <c r="E2264">
        <v>6</v>
      </c>
      <c r="F2264" t="str">
        <f>IF(AND(Entities[[#This Row],[ENT_TYPE]]="County",RIGHT(Entities[[#This Row],[ENT_NAME]],6)&lt;&gt;"County"),_xlfn.TEXTJOIN(" ",TRUE,Entities[[#This Row],[ENT_NAME]],"County"),Entities[[#This Row],[ENT_NAME]])</f>
        <v>Harris County MUD 355</v>
      </c>
    </row>
    <row r="2265" spans="1:6" x14ac:dyDescent="0.25">
      <c r="A2265" s="304" t="s">
        <v>8009</v>
      </c>
      <c r="B2265" s="303" t="str">
        <f t="shared" si="35"/>
        <v>x06001369</v>
      </c>
      <c r="C2265" t="s">
        <v>4</v>
      </c>
      <c r="D2265" t="s">
        <v>8010</v>
      </c>
      <c r="E2265">
        <v>6</v>
      </c>
      <c r="F2265" t="str">
        <f>IF(AND(Entities[[#This Row],[ENT_TYPE]]="County",RIGHT(Entities[[#This Row],[ENT_NAME]],6)&lt;&gt;"County"),_xlfn.TEXTJOIN(" ",TRUE,Entities[[#This Row],[ENT_NAME]],"County"),Entities[[#This Row],[ENT_NAME]])</f>
        <v>Montgomery County MUD 18</v>
      </c>
    </row>
    <row r="2266" spans="1:6" x14ac:dyDescent="0.25">
      <c r="A2266" s="302" t="s">
        <v>8011</v>
      </c>
      <c r="B2266" s="303" t="str">
        <f t="shared" si="35"/>
        <v>x06001370</v>
      </c>
      <c r="C2266" t="s">
        <v>4</v>
      </c>
      <c r="D2266" t="s">
        <v>8012</v>
      </c>
      <c r="E2266">
        <v>6</v>
      </c>
      <c r="F2266" t="str">
        <f>IF(AND(Entities[[#This Row],[ENT_TYPE]]="County",RIGHT(Entities[[#This Row],[ENT_NAME]],6)&lt;&gt;"County"),_xlfn.TEXTJOIN(" ",TRUE,Entities[[#This Row],[ENT_NAME]],"County"),Entities[[#This Row],[ENT_NAME]])</f>
        <v>Galveston County MUD 60</v>
      </c>
    </row>
    <row r="2267" spans="1:6" x14ac:dyDescent="0.25">
      <c r="A2267" s="304" t="s">
        <v>8013</v>
      </c>
      <c r="B2267" s="303" t="str">
        <f t="shared" si="35"/>
        <v>x06001371</v>
      </c>
      <c r="C2267" t="s">
        <v>4</v>
      </c>
      <c r="D2267" t="s">
        <v>8014</v>
      </c>
      <c r="E2267">
        <v>6</v>
      </c>
      <c r="F2267" t="str">
        <f>IF(AND(Entities[[#This Row],[ENT_TYPE]]="County",RIGHT(Entities[[#This Row],[ENT_NAME]],6)&lt;&gt;"County"),_xlfn.TEXTJOIN(" ",TRUE,Entities[[#This Row],[ENT_NAME]],"County"),Entities[[#This Row],[ENT_NAME]])</f>
        <v>Galveston County MUD 32</v>
      </c>
    </row>
    <row r="2268" spans="1:6" x14ac:dyDescent="0.25">
      <c r="A2268" s="302" t="s">
        <v>8015</v>
      </c>
      <c r="B2268" s="303" t="str">
        <f t="shared" si="35"/>
        <v>x06001374</v>
      </c>
      <c r="C2268" t="s">
        <v>4</v>
      </c>
      <c r="D2268" t="s">
        <v>8016</v>
      </c>
      <c r="E2268">
        <v>6</v>
      </c>
      <c r="F2268" t="str">
        <f>IF(AND(Entities[[#This Row],[ENT_TYPE]]="County",RIGHT(Entities[[#This Row],[ENT_NAME]],6)&lt;&gt;"County"),_xlfn.TEXTJOIN(" ",TRUE,Entities[[#This Row],[ENT_NAME]],"County"),Entities[[#This Row],[ENT_NAME]])</f>
        <v>Harris County MUD 375</v>
      </c>
    </row>
    <row r="2269" spans="1:6" x14ac:dyDescent="0.25">
      <c r="A2269" s="304" t="s">
        <v>8017</v>
      </c>
      <c r="B2269" s="303" t="str">
        <f t="shared" si="35"/>
        <v>x06001375</v>
      </c>
      <c r="C2269" t="s">
        <v>4</v>
      </c>
      <c r="D2269" t="s">
        <v>8018</v>
      </c>
      <c r="E2269">
        <v>6</v>
      </c>
      <c r="F2269" t="str">
        <f>IF(AND(Entities[[#This Row],[ENT_TYPE]]="County",RIGHT(Entities[[#This Row],[ENT_NAME]],6)&lt;&gt;"County"),_xlfn.TEXTJOIN(" ",TRUE,Entities[[#This Row],[ENT_NAME]],"County"),Entities[[#This Row],[ENT_NAME]])</f>
        <v>Harris County MUD 410</v>
      </c>
    </row>
    <row r="2270" spans="1:6" x14ac:dyDescent="0.25">
      <c r="A2270" s="302" t="s">
        <v>8019</v>
      </c>
      <c r="B2270" s="303" t="str">
        <f t="shared" si="35"/>
        <v>x06001378</v>
      </c>
      <c r="C2270" t="s">
        <v>4</v>
      </c>
      <c r="D2270" t="s">
        <v>8020</v>
      </c>
      <c r="E2270">
        <v>6</v>
      </c>
      <c r="F2270" t="str">
        <f>IF(AND(Entities[[#This Row],[ENT_TYPE]]="County",RIGHT(Entities[[#This Row],[ENT_NAME]],6)&lt;&gt;"County"),_xlfn.TEXTJOIN(" ",TRUE,Entities[[#This Row],[ENT_NAME]],"County"),Entities[[#This Row],[ENT_NAME]])</f>
        <v>Harris County MUD 473</v>
      </c>
    </row>
    <row r="2271" spans="1:6" x14ac:dyDescent="0.25">
      <c r="A2271" s="304" t="s">
        <v>8021</v>
      </c>
      <c r="B2271" s="303" t="str">
        <f t="shared" si="35"/>
        <v>x06001380</v>
      </c>
      <c r="C2271" t="s">
        <v>4</v>
      </c>
      <c r="D2271" t="s">
        <v>8022</v>
      </c>
      <c r="E2271">
        <v>6</v>
      </c>
      <c r="F2271" t="str">
        <f>IF(AND(Entities[[#This Row],[ENT_TYPE]]="County",RIGHT(Entities[[#This Row],[ENT_NAME]],6)&lt;&gt;"County"),_xlfn.TEXTJOIN(" ",TRUE,Entities[[#This Row],[ENT_NAME]],"County"),Entities[[#This Row],[ENT_NAME]])</f>
        <v>Harris County MUD 25</v>
      </c>
    </row>
    <row r="2272" spans="1:6" x14ac:dyDescent="0.25">
      <c r="A2272" s="302" t="s">
        <v>8023</v>
      </c>
      <c r="B2272" s="303" t="str">
        <f t="shared" si="35"/>
        <v>x06001381</v>
      </c>
      <c r="C2272" t="s">
        <v>4</v>
      </c>
      <c r="D2272" t="s">
        <v>8024</v>
      </c>
      <c r="E2272">
        <v>6</v>
      </c>
      <c r="F2272" t="str">
        <f>IF(AND(Entities[[#This Row],[ENT_TYPE]]="County",RIGHT(Entities[[#This Row],[ENT_NAME]],6)&lt;&gt;"County"),_xlfn.TEXTJOIN(" ",TRUE,Entities[[#This Row],[ENT_NAME]],"County"),Entities[[#This Row],[ENT_NAME]])</f>
        <v>Montgomery County MUD 137</v>
      </c>
    </row>
    <row r="2273" spans="1:6" x14ac:dyDescent="0.25">
      <c r="A2273" s="304" t="s">
        <v>8025</v>
      </c>
      <c r="B2273" s="303" t="str">
        <f t="shared" si="35"/>
        <v>x06001386</v>
      </c>
      <c r="C2273" t="s">
        <v>4</v>
      </c>
      <c r="D2273" t="s">
        <v>8026</v>
      </c>
      <c r="E2273">
        <v>6</v>
      </c>
      <c r="F2273" t="str">
        <f>IF(AND(Entities[[#This Row],[ENT_TYPE]]="County",RIGHT(Entities[[#This Row],[ENT_NAME]],6)&lt;&gt;"County"),_xlfn.TEXTJOIN(" ",TRUE,Entities[[#This Row],[ENT_NAME]],"County"),Entities[[#This Row],[ENT_NAME]])</f>
        <v>Harris County WCID 36</v>
      </c>
    </row>
    <row r="2274" spans="1:6" x14ac:dyDescent="0.25">
      <c r="A2274" s="302" t="s">
        <v>8027</v>
      </c>
      <c r="B2274" s="303" t="str">
        <f t="shared" si="35"/>
        <v>x06001387</v>
      </c>
      <c r="C2274" t="s">
        <v>4</v>
      </c>
      <c r="D2274" t="s">
        <v>8028</v>
      </c>
      <c r="E2274">
        <v>6</v>
      </c>
      <c r="F2274" t="str">
        <f>IF(AND(Entities[[#This Row],[ENT_TYPE]]="County",RIGHT(Entities[[#This Row],[ENT_NAME]],6)&lt;&gt;"County"),_xlfn.TEXTJOIN(" ",TRUE,Entities[[#This Row],[ENT_NAME]],"County"),Entities[[#This Row],[ENT_NAME]])</f>
        <v>Montgomery County MUD 138</v>
      </c>
    </row>
    <row r="2275" spans="1:6" x14ac:dyDescent="0.25">
      <c r="A2275" s="304" t="s">
        <v>8029</v>
      </c>
      <c r="B2275" s="303" t="str">
        <f t="shared" si="35"/>
        <v>x06001388</v>
      </c>
      <c r="C2275" t="s">
        <v>4</v>
      </c>
      <c r="D2275" t="s">
        <v>8030</v>
      </c>
      <c r="E2275">
        <v>6</v>
      </c>
      <c r="F2275" t="str">
        <f>IF(AND(Entities[[#This Row],[ENT_TYPE]]="County",RIGHT(Entities[[#This Row],[ENT_NAME]],6)&lt;&gt;"County"),_xlfn.TEXTJOIN(" ",TRUE,Entities[[#This Row],[ENT_NAME]],"County"),Entities[[#This Row],[ENT_NAME]])</f>
        <v>Montgomery County MUD 142</v>
      </c>
    </row>
    <row r="2276" spans="1:6" x14ac:dyDescent="0.25">
      <c r="A2276" s="302" t="s">
        <v>8031</v>
      </c>
      <c r="B2276" s="303" t="str">
        <f t="shared" si="35"/>
        <v>x06001389</v>
      </c>
      <c r="C2276" t="s">
        <v>4</v>
      </c>
      <c r="D2276" t="s">
        <v>8032</v>
      </c>
      <c r="E2276">
        <v>6</v>
      </c>
      <c r="F2276" t="str">
        <f>IF(AND(Entities[[#This Row],[ENT_TYPE]]="County",RIGHT(Entities[[#This Row],[ENT_NAME]],6)&lt;&gt;"County"),_xlfn.TEXTJOIN(" ",TRUE,Entities[[#This Row],[ENT_NAME]],"County"),Entities[[#This Row],[ENT_NAME]])</f>
        <v>Royalwood MUD</v>
      </c>
    </row>
    <row r="2277" spans="1:6" x14ac:dyDescent="0.25">
      <c r="A2277" s="304" t="s">
        <v>8033</v>
      </c>
      <c r="B2277" s="303" t="str">
        <f t="shared" si="35"/>
        <v>x06001390</v>
      </c>
      <c r="C2277" t="s">
        <v>4</v>
      </c>
      <c r="D2277" t="s">
        <v>8034</v>
      </c>
      <c r="E2277">
        <v>6</v>
      </c>
      <c r="F2277" t="str">
        <f>IF(AND(Entities[[#This Row],[ENT_TYPE]]="County",RIGHT(Entities[[#This Row],[ENT_NAME]],6)&lt;&gt;"County"),_xlfn.TEXTJOIN(" ",TRUE,Entities[[#This Row],[ENT_NAME]],"County"),Entities[[#This Row],[ENT_NAME]])</f>
        <v>Baybrook MUD 1</v>
      </c>
    </row>
    <row r="2278" spans="1:6" x14ac:dyDescent="0.25">
      <c r="A2278" s="302" t="s">
        <v>8035</v>
      </c>
      <c r="B2278" s="303" t="str">
        <f t="shared" si="35"/>
        <v>x06001391</v>
      </c>
      <c r="C2278" t="s">
        <v>4</v>
      </c>
      <c r="D2278" t="s">
        <v>8036</v>
      </c>
      <c r="E2278">
        <v>6</v>
      </c>
      <c r="F2278" t="str">
        <f>IF(AND(Entities[[#This Row],[ENT_TYPE]]="County",RIGHT(Entities[[#This Row],[ENT_NAME]],6)&lt;&gt;"County"),_xlfn.TEXTJOIN(" ",TRUE,Entities[[#This Row],[ENT_NAME]],"County"),Entities[[#This Row],[ENT_NAME]])</f>
        <v>Lake Conroe Hills MUD</v>
      </c>
    </row>
    <row r="2279" spans="1:6" x14ac:dyDescent="0.25">
      <c r="A2279" s="304" t="s">
        <v>8037</v>
      </c>
      <c r="B2279" s="303" t="str">
        <f t="shared" si="35"/>
        <v>x06001394</v>
      </c>
      <c r="C2279" t="s">
        <v>4</v>
      </c>
      <c r="D2279" t="s">
        <v>8038</v>
      </c>
      <c r="E2279">
        <v>6</v>
      </c>
      <c r="F2279" t="str">
        <f>IF(AND(Entities[[#This Row],[ENT_TYPE]]="County",RIGHT(Entities[[#This Row],[ENT_NAME]],6)&lt;&gt;"County"),_xlfn.TEXTJOIN(" ",TRUE,Entities[[#This Row],[ENT_NAME]],"County"),Entities[[#This Row],[ENT_NAME]])</f>
        <v>Harris County MUD 452</v>
      </c>
    </row>
    <row r="2280" spans="1:6" x14ac:dyDescent="0.25">
      <c r="A2280" s="302" t="s">
        <v>8039</v>
      </c>
      <c r="B2280" s="303" t="str">
        <f t="shared" si="35"/>
        <v>x06001395</v>
      </c>
      <c r="C2280" t="s">
        <v>4</v>
      </c>
      <c r="D2280" t="s">
        <v>8040</v>
      </c>
      <c r="E2280">
        <v>6</v>
      </c>
      <c r="F2280" t="str">
        <f>IF(AND(Entities[[#This Row],[ENT_TYPE]]="County",RIGHT(Entities[[#This Row],[ENT_NAME]],6)&lt;&gt;"County"),_xlfn.TEXTJOIN(" ",TRUE,Entities[[#This Row],[ENT_NAME]],"County"),Entities[[#This Row],[ENT_NAME]])</f>
        <v>Near Northside Management District</v>
      </c>
    </row>
    <row r="2281" spans="1:6" x14ac:dyDescent="0.25">
      <c r="A2281" s="304" t="s">
        <v>8041</v>
      </c>
      <c r="B2281" s="303" t="str">
        <f t="shared" si="35"/>
        <v>x06001396</v>
      </c>
      <c r="C2281" t="s">
        <v>4</v>
      </c>
      <c r="D2281" t="s">
        <v>8042</v>
      </c>
      <c r="E2281">
        <v>6</v>
      </c>
      <c r="F2281" t="str">
        <f>IF(AND(Entities[[#This Row],[ENT_TYPE]]="County",RIGHT(Entities[[#This Row],[ENT_NAME]],6)&lt;&gt;"County"),_xlfn.TEXTJOIN(" ",TRUE,Entities[[#This Row],[ENT_NAME]],"County"),Entities[[#This Row],[ENT_NAME]])</f>
        <v>Montrose Management District</v>
      </c>
    </row>
    <row r="2282" spans="1:6" x14ac:dyDescent="0.25">
      <c r="A2282" s="302" t="s">
        <v>8043</v>
      </c>
      <c r="B2282" s="303" t="str">
        <f t="shared" si="35"/>
        <v>x06001400</v>
      </c>
      <c r="C2282" t="s">
        <v>4</v>
      </c>
      <c r="D2282" t="s">
        <v>8044</v>
      </c>
      <c r="E2282">
        <v>6</v>
      </c>
      <c r="F2282" t="str">
        <f>IF(AND(Entities[[#This Row],[ENT_TYPE]]="County",RIGHT(Entities[[#This Row],[ENT_NAME]],6)&lt;&gt;"County"),_xlfn.TEXTJOIN(" ",TRUE,Entities[[#This Row],[ENT_NAME]],"County"),Entities[[#This Row],[ENT_NAME]])</f>
        <v>Westchase District</v>
      </c>
    </row>
    <row r="2283" spans="1:6" x14ac:dyDescent="0.25">
      <c r="A2283" s="304" t="s">
        <v>8045</v>
      </c>
      <c r="B2283" s="303" t="str">
        <f t="shared" si="35"/>
        <v>x06001402</v>
      </c>
      <c r="C2283" t="s">
        <v>4</v>
      </c>
      <c r="D2283" t="s">
        <v>8046</v>
      </c>
      <c r="E2283">
        <v>6</v>
      </c>
      <c r="F2283" t="str">
        <f>IF(AND(Entities[[#This Row],[ENT_TYPE]]="County",RIGHT(Entities[[#This Row],[ENT_NAME]],6)&lt;&gt;"County"),_xlfn.TEXTJOIN(" ",TRUE,Entities[[#This Row],[ENT_NAME]],"County"),Entities[[#This Row],[ENT_NAME]])</f>
        <v>Harris County FWSD 47</v>
      </c>
    </row>
    <row r="2284" spans="1:6" x14ac:dyDescent="0.25">
      <c r="A2284" s="302" t="s">
        <v>8047</v>
      </c>
      <c r="B2284" s="303" t="str">
        <f t="shared" si="35"/>
        <v>x06001403</v>
      </c>
      <c r="C2284" t="s">
        <v>4</v>
      </c>
      <c r="D2284" t="s">
        <v>8048</v>
      </c>
      <c r="E2284">
        <v>6</v>
      </c>
      <c r="F2284" t="str">
        <f>IF(AND(Entities[[#This Row],[ENT_TYPE]]="County",RIGHT(Entities[[#This Row],[ENT_NAME]],6)&lt;&gt;"County"),_xlfn.TEXTJOIN(" ",TRUE,Entities[[#This Row],[ENT_NAME]],"County"),Entities[[#This Row],[ENT_NAME]])</f>
        <v>Montgomery County MUD 7</v>
      </c>
    </row>
    <row r="2285" spans="1:6" x14ac:dyDescent="0.25">
      <c r="A2285" s="304" t="s">
        <v>8049</v>
      </c>
      <c r="B2285" s="303" t="str">
        <f t="shared" si="35"/>
        <v>x06001404</v>
      </c>
      <c r="C2285" t="s">
        <v>4</v>
      </c>
      <c r="D2285" t="s">
        <v>8050</v>
      </c>
      <c r="E2285">
        <v>6</v>
      </c>
      <c r="F2285" t="str">
        <f>IF(AND(Entities[[#This Row],[ENT_TYPE]]="County",RIGHT(Entities[[#This Row],[ENT_NAME]],6)&lt;&gt;"County"),_xlfn.TEXTJOIN(" ",TRUE,Entities[[#This Row],[ENT_NAME]],"County"),Entities[[#This Row],[ENT_NAME]])</f>
        <v>Montgomery County MUD 9</v>
      </c>
    </row>
    <row r="2286" spans="1:6" x14ac:dyDescent="0.25">
      <c r="A2286" s="302" t="s">
        <v>8051</v>
      </c>
      <c r="B2286" s="303" t="str">
        <f t="shared" si="35"/>
        <v>x06001405</v>
      </c>
      <c r="C2286" t="s">
        <v>4</v>
      </c>
      <c r="D2286" t="s">
        <v>8052</v>
      </c>
      <c r="E2286">
        <v>6</v>
      </c>
      <c r="F2286" t="str">
        <f>IF(AND(Entities[[#This Row],[ENT_TYPE]]="County",RIGHT(Entities[[#This Row],[ENT_NAME]],6)&lt;&gt;"County"),_xlfn.TEXTJOIN(" ",TRUE,Entities[[#This Row],[ENT_NAME]],"County"),Entities[[#This Row],[ENT_NAME]])</f>
        <v>Montgomery County MUD 39</v>
      </c>
    </row>
    <row r="2287" spans="1:6" x14ac:dyDescent="0.25">
      <c r="A2287" s="304" t="s">
        <v>8053</v>
      </c>
      <c r="B2287" s="303" t="str">
        <f t="shared" si="35"/>
        <v>x06001406</v>
      </c>
      <c r="C2287" t="s">
        <v>4</v>
      </c>
      <c r="D2287" t="s">
        <v>8054</v>
      </c>
      <c r="E2287">
        <v>6</v>
      </c>
      <c r="F2287" t="str">
        <f>IF(AND(Entities[[#This Row],[ENT_TYPE]]="County",RIGHT(Entities[[#This Row],[ENT_NAME]],6)&lt;&gt;"County"),_xlfn.TEXTJOIN(" ",TRUE,Entities[[#This Row],[ENT_NAME]],"County"),Entities[[#This Row],[ENT_NAME]])</f>
        <v>Harris County MUD 91</v>
      </c>
    </row>
    <row r="2288" spans="1:6" x14ac:dyDescent="0.25">
      <c r="A2288" s="302" t="s">
        <v>8055</v>
      </c>
      <c r="B2288" s="303" t="str">
        <f t="shared" si="35"/>
        <v>x06001409</v>
      </c>
      <c r="C2288" t="s">
        <v>4</v>
      </c>
      <c r="D2288" t="s">
        <v>8056</v>
      </c>
      <c r="E2288">
        <v>6</v>
      </c>
      <c r="F2288" t="str">
        <f>IF(AND(Entities[[#This Row],[ENT_TYPE]]="County",RIGHT(Entities[[#This Row],[ENT_NAME]],6)&lt;&gt;"County"),_xlfn.TEXTJOIN(" ",TRUE,Entities[[#This Row],[ENT_NAME]],"County"),Entities[[#This Row],[ENT_NAME]])</f>
        <v>Harris County MUD 119</v>
      </c>
    </row>
    <row r="2289" spans="1:6" x14ac:dyDescent="0.25">
      <c r="A2289" s="304" t="s">
        <v>8057</v>
      </c>
      <c r="B2289" s="303" t="str">
        <f t="shared" si="35"/>
        <v>x06001410</v>
      </c>
      <c r="C2289" t="s">
        <v>4</v>
      </c>
      <c r="D2289" t="s">
        <v>8058</v>
      </c>
      <c r="E2289">
        <v>6</v>
      </c>
      <c r="F2289" t="str">
        <f>IF(AND(Entities[[#This Row],[ENT_TYPE]]="County",RIGHT(Entities[[#This Row],[ENT_NAME]],6)&lt;&gt;"County"),_xlfn.TEXTJOIN(" ",TRUE,Entities[[#This Row],[ENT_NAME]],"County"),Entities[[#This Row],[ENT_NAME]])</f>
        <v>Harris County MUD 132</v>
      </c>
    </row>
    <row r="2290" spans="1:6" x14ac:dyDescent="0.25">
      <c r="A2290" s="302" t="s">
        <v>8059</v>
      </c>
      <c r="B2290" s="303" t="str">
        <f t="shared" si="35"/>
        <v>x06001411</v>
      </c>
      <c r="C2290" t="s">
        <v>4</v>
      </c>
      <c r="D2290" t="s">
        <v>8060</v>
      </c>
      <c r="E2290">
        <v>6</v>
      </c>
      <c r="F2290" t="str">
        <f>IF(AND(Entities[[#This Row],[ENT_TYPE]]="County",RIGHT(Entities[[#This Row],[ENT_NAME]],6)&lt;&gt;"County"),_xlfn.TEXTJOIN(" ",TRUE,Entities[[#This Row],[ENT_NAME]],"County"),Entities[[#This Row],[ENT_NAME]])</f>
        <v>Harris County MUD 149</v>
      </c>
    </row>
    <row r="2291" spans="1:6" x14ac:dyDescent="0.25">
      <c r="A2291" s="304" t="s">
        <v>8061</v>
      </c>
      <c r="B2291" s="303" t="str">
        <f t="shared" si="35"/>
        <v>x06001412</v>
      </c>
      <c r="C2291" t="s">
        <v>4</v>
      </c>
      <c r="D2291" t="s">
        <v>8062</v>
      </c>
      <c r="E2291">
        <v>6</v>
      </c>
      <c r="F2291" t="str">
        <f>IF(AND(Entities[[#This Row],[ENT_TYPE]]="County",RIGHT(Entities[[#This Row],[ENT_NAME]],6)&lt;&gt;"County"),_xlfn.TEXTJOIN(" ",TRUE,Entities[[#This Row],[ENT_NAME]],"County"),Entities[[#This Row],[ENT_NAME]])</f>
        <v>Harris County MUD 180</v>
      </c>
    </row>
    <row r="2292" spans="1:6" x14ac:dyDescent="0.25">
      <c r="A2292" s="302" t="s">
        <v>8063</v>
      </c>
      <c r="B2292" s="303" t="str">
        <f t="shared" si="35"/>
        <v>x06001413</v>
      </c>
      <c r="C2292" t="s">
        <v>4</v>
      </c>
      <c r="D2292" t="s">
        <v>8064</v>
      </c>
      <c r="E2292">
        <v>6</v>
      </c>
      <c r="F2292" t="str">
        <f>IF(AND(Entities[[#This Row],[ENT_TYPE]]="County",RIGHT(Entities[[#This Row],[ENT_NAME]],6)&lt;&gt;"County"),_xlfn.TEXTJOIN(" ",TRUE,Entities[[#This Row],[ENT_NAME]],"County"),Entities[[#This Row],[ENT_NAME]])</f>
        <v>Reid Road MUD 1</v>
      </c>
    </row>
    <row r="2293" spans="1:6" x14ac:dyDescent="0.25">
      <c r="A2293" s="302" t="s">
        <v>8065</v>
      </c>
      <c r="B2293" s="303" t="str">
        <f t="shared" si="35"/>
        <v>x06001415</v>
      </c>
      <c r="C2293" t="s">
        <v>4</v>
      </c>
      <c r="D2293" t="s">
        <v>8066</v>
      </c>
      <c r="E2293">
        <v>6</v>
      </c>
      <c r="F2293" t="str">
        <f>IF(AND(Entities[[#This Row],[ENT_TYPE]]="County",RIGHT(Entities[[#This Row],[ENT_NAME]],6)&lt;&gt;"County"),_xlfn.TEXTJOIN(" ",TRUE,Entities[[#This Row],[ENT_NAME]],"County"),Entities[[#This Row],[ENT_NAME]])</f>
        <v>Harris County WCID 70</v>
      </c>
    </row>
    <row r="2294" spans="1:6" x14ac:dyDescent="0.25">
      <c r="A2294" s="304" t="s">
        <v>8067</v>
      </c>
      <c r="B2294" s="303" t="str">
        <f t="shared" si="35"/>
        <v>x06001416</v>
      </c>
      <c r="C2294" t="s">
        <v>4</v>
      </c>
      <c r="D2294" t="s">
        <v>8068</v>
      </c>
      <c r="E2294">
        <v>6</v>
      </c>
      <c r="F2294" t="str">
        <f>IF(AND(Entities[[#This Row],[ENT_TYPE]]="County",RIGHT(Entities[[#This Row],[ENT_NAME]],6)&lt;&gt;"County"),_xlfn.TEXTJOIN(" ",TRUE,Entities[[#This Row],[ENT_NAME]],"County"),Entities[[#This Row],[ENT_NAME]])</f>
        <v>Harris County MUD 65</v>
      </c>
    </row>
    <row r="2295" spans="1:6" x14ac:dyDescent="0.25">
      <c r="A2295" s="302" t="s">
        <v>8069</v>
      </c>
      <c r="B2295" s="303" t="str">
        <f t="shared" si="35"/>
        <v>x06001421</v>
      </c>
      <c r="C2295" t="s">
        <v>4</v>
      </c>
      <c r="D2295" t="s">
        <v>8070</v>
      </c>
      <c r="E2295">
        <v>6</v>
      </c>
      <c r="F2295" t="str">
        <f>IF(AND(Entities[[#This Row],[ENT_TYPE]]="County",RIGHT(Entities[[#This Row],[ENT_NAME]],6)&lt;&gt;"County"),_xlfn.TEXTJOIN(" ",TRUE,Entities[[#This Row],[ENT_NAME]],"County"),Entities[[#This Row],[ENT_NAME]])</f>
        <v>Harris County FWSD 1-B</v>
      </c>
    </row>
    <row r="2296" spans="1:6" x14ac:dyDescent="0.25">
      <c r="A2296" s="304" t="s">
        <v>8071</v>
      </c>
      <c r="B2296" s="303" t="str">
        <f t="shared" si="35"/>
        <v>x06001422</v>
      </c>
      <c r="C2296" t="s">
        <v>4</v>
      </c>
      <c r="D2296" t="s">
        <v>8072</v>
      </c>
      <c r="E2296">
        <v>6</v>
      </c>
      <c r="F2296" t="str">
        <f>IF(AND(Entities[[#This Row],[ENT_TYPE]]="County",RIGHT(Entities[[#This Row],[ENT_NAME]],6)&lt;&gt;"County"),_xlfn.TEXTJOIN(" ",TRUE,Entities[[#This Row],[ENT_NAME]],"County"),Entities[[#This Row],[ENT_NAME]])</f>
        <v>Harris County MUD 344</v>
      </c>
    </row>
    <row r="2297" spans="1:6" x14ac:dyDescent="0.25">
      <c r="A2297" s="302" t="s">
        <v>8073</v>
      </c>
      <c r="B2297" s="303" t="str">
        <f t="shared" si="35"/>
        <v>x06001423</v>
      </c>
      <c r="C2297" t="s">
        <v>4</v>
      </c>
      <c r="D2297" t="s">
        <v>8074</v>
      </c>
      <c r="E2297">
        <v>6</v>
      </c>
      <c r="F2297" t="str">
        <f>IF(AND(Entities[[#This Row],[ENT_TYPE]]="County",RIGHT(Entities[[#This Row],[ENT_NAME]],6)&lt;&gt;"County"),_xlfn.TEXTJOIN(" ",TRUE,Entities[[#This Row],[ENT_NAME]],"County"),Entities[[#This Row],[ENT_NAME]])</f>
        <v>Harris County MUD 276</v>
      </c>
    </row>
    <row r="2298" spans="1:6" x14ac:dyDescent="0.25">
      <c r="A2298" s="304" t="s">
        <v>8075</v>
      </c>
      <c r="B2298" s="303" t="str">
        <f t="shared" si="35"/>
        <v>x06001429</v>
      </c>
      <c r="C2298" t="s">
        <v>4</v>
      </c>
      <c r="D2298" t="s">
        <v>8076</v>
      </c>
      <c r="E2298">
        <v>6</v>
      </c>
      <c r="F2298" t="str">
        <f>IF(AND(Entities[[#This Row],[ENT_TYPE]]="County",RIGHT(Entities[[#This Row],[ENT_NAME]],6)&lt;&gt;"County"),_xlfn.TEXTJOIN(" ",TRUE,Entities[[#This Row],[ENT_NAME]],"County"),Entities[[#This Row],[ENT_NAME]])</f>
        <v>Montgomery County MUD 16</v>
      </c>
    </row>
    <row r="2299" spans="1:6" x14ac:dyDescent="0.25">
      <c r="A2299" s="302" t="s">
        <v>8077</v>
      </c>
      <c r="B2299" s="303" t="str">
        <f t="shared" si="35"/>
        <v>x06001430</v>
      </c>
      <c r="C2299" t="s">
        <v>4</v>
      </c>
      <c r="D2299" t="s">
        <v>8078</v>
      </c>
      <c r="E2299">
        <v>6</v>
      </c>
      <c r="F2299" t="str">
        <f>IF(AND(Entities[[#This Row],[ENT_TYPE]]="County",RIGHT(Entities[[#This Row],[ENT_NAME]],6)&lt;&gt;"County"),_xlfn.TEXTJOIN(" ",TRUE,Entities[[#This Row],[ENT_NAME]],"County"),Entities[[#This Row],[ENT_NAME]])</f>
        <v>Martin Creek MUD</v>
      </c>
    </row>
    <row r="2300" spans="1:6" x14ac:dyDescent="0.25">
      <c r="A2300" s="304" t="s">
        <v>8079</v>
      </c>
      <c r="B2300" s="303" t="str">
        <f t="shared" si="35"/>
        <v>x06001432</v>
      </c>
      <c r="C2300" t="s">
        <v>4</v>
      </c>
      <c r="D2300" t="s">
        <v>8080</v>
      </c>
      <c r="E2300">
        <v>6</v>
      </c>
      <c r="F2300" t="str">
        <f>IF(AND(Entities[[#This Row],[ENT_TYPE]]="County",RIGHT(Entities[[#This Row],[ENT_NAME]],6)&lt;&gt;"County"),_xlfn.TEXTJOIN(" ",TRUE,Entities[[#This Row],[ENT_NAME]],"County"),Entities[[#This Row],[ENT_NAME]])</f>
        <v>Galveston County MUD 58</v>
      </c>
    </row>
    <row r="2301" spans="1:6" x14ac:dyDescent="0.25">
      <c r="A2301" s="302" t="s">
        <v>8081</v>
      </c>
      <c r="B2301" s="303" t="str">
        <f t="shared" si="35"/>
        <v>x06001433</v>
      </c>
      <c r="C2301" t="s">
        <v>4</v>
      </c>
      <c r="D2301" t="s">
        <v>8082</v>
      </c>
      <c r="E2301">
        <v>6</v>
      </c>
      <c r="F2301" t="str">
        <f>IF(AND(Entities[[#This Row],[ENT_TYPE]]="County",RIGHT(Entities[[#This Row],[ENT_NAME]],6)&lt;&gt;"County"),_xlfn.TEXTJOIN(" ",TRUE,Entities[[#This Row],[ENT_NAME]],"County"),Entities[[#This Row],[ENT_NAME]])</f>
        <v>Galveston County MUD 43</v>
      </c>
    </row>
    <row r="2302" spans="1:6" x14ac:dyDescent="0.25">
      <c r="A2302" s="304" t="s">
        <v>8083</v>
      </c>
      <c r="B2302" s="303" t="str">
        <f t="shared" si="35"/>
        <v>x06001434</v>
      </c>
      <c r="C2302" t="s">
        <v>4</v>
      </c>
      <c r="D2302" t="s">
        <v>8084</v>
      </c>
      <c r="E2302">
        <v>6</v>
      </c>
      <c r="F2302" t="str">
        <f>IF(AND(Entities[[#This Row],[ENT_TYPE]]="County",RIGHT(Entities[[#This Row],[ENT_NAME]],6)&lt;&gt;"County"),_xlfn.TEXTJOIN(" ",TRUE,Entities[[#This Row],[ENT_NAME]],"County"),Entities[[#This Row],[ENT_NAME]])</f>
        <v>Harris County MUD 185</v>
      </c>
    </row>
    <row r="2303" spans="1:6" x14ac:dyDescent="0.25">
      <c r="A2303" s="302" t="s">
        <v>8085</v>
      </c>
      <c r="B2303" s="303" t="str">
        <f t="shared" si="35"/>
        <v>x06001435</v>
      </c>
      <c r="C2303" t="s">
        <v>4</v>
      </c>
      <c r="D2303" t="s">
        <v>8086</v>
      </c>
      <c r="E2303">
        <v>6</v>
      </c>
      <c r="F2303" t="str">
        <f>IF(AND(Entities[[#This Row],[ENT_TYPE]]="County",RIGHT(Entities[[#This Row],[ENT_NAME]],6)&lt;&gt;"County"),_xlfn.TEXTJOIN(" ",TRUE,Entities[[#This Row],[ENT_NAME]],"County"),Entities[[#This Row],[ENT_NAME]])</f>
        <v>Harris County MUD 389</v>
      </c>
    </row>
    <row r="2304" spans="1:6" x14ac:dyDescent="0.25">
      <c r="A2304" s="304" t="s">
        <v>8087</v>
      </c>
      <c r="B2304" s="303" t="str">
        <f t="shared" si="35"/>
        <v>x06001436</v>
      </c>
      <c r="C2304" t="s">
        <v>4</v>
      </c>
      <c r="D2304" t="s">
        <v>8088</v>
      </c>
      <c r="E2304">
        <v>6</v>
      </c>
      <c r="F2304" t="str">
        <f>IF(AND(Entities[[#This Row],[ENT_TYPE]]="County",RIGHT(Entities[[#This Row],[ENT_NAME]],6)&lt;&gt;"County"),_xlfn.TEXTJOIN(" ",TRUE,Entities[[#This Row],[ENT_NAME]],"County"),Entities[[#This Row],[ENT_NAME]])</f>
        <v>Sagemeadow Utility District</v>
      </c>
    </row>
    <row r="2305" spans="1:6" x14ac:dyDescent="0.25">
      <c r="A2305" s="302" t="s">
        <v>8089</v>
      </c>
      <c r="B2305" s="303" t="str">
        <f t="shared" si="35"/>
        <v>x06001437</v>
      </c>
      <c r="C2305" t="s">
        <v>4</v>
      </c>
      <c r="D2305" t="s">
        <v>8090</v>
      </c>
      <c r="E2305">
        <v>6</v>
      </c>
      <c r="F2305" t="str">
        <f>IF(AND(Entities[[#This Row],[ENT_TYPE]]="County",RIGHT(Entities[[#This Row],[ENT_NAME]],6)&lt;&gt;"County"),_xlfn.TEXTJOIN(" ",TRUE,Entities[[#This Row],[ENT_NAME]],"County"),Entities[[#This Row],[ENT_NAME]])</f>
        <v>Harris County MUD 48</v>
      </c>
    </row>
    <row r="2306" spans="1:6" x14ac:dyDescent="0.25">
      <c r="A2306" s="304" t="s">
        <v>8091</v>
      </c>
      <c r="B2306" s="303" t="str">
        <f t="shared" ref="B2306:B2369" si="36">_xlfn.CONCAT("x",TEXT(A2306,"00000000"))</f>
        <v>x06001439</v>
      </c>
      <c r="C2306" t="s">
        <v>4</v>
      </c>
      <c r="D2306" t="s">
        <v>8092</v>
      </c>
      <c r="E2306">
        <v>6</v>
      </c>
      <c r="F2306" t="str">
        <f>IF(AND(Entities[[#This Row],[ENT_TYPE]]="County",RIGHT(Entities[[#This Row],[ENT_NAME]],6)&lt;&gt;"County"),_xlfn.TEXTJOIN(" ",TRUE,Entities[[#This Row],[ENT_NAME]],"County"),Entities[[#This Row],[ENT_NAME]])</f>
        <v>Montgomery County MUD 19</v>
      </c>
    </row>
    <row r="2307" spans="1:6" x14ac:dyDescent="0.25">
      <c r="A2307" s="302" t="s">
        <v>8093</v>
      </c>
      <c r="B2307" s="303" t="str">
        <f t="shared" si="36"/>
        <v>x06001441</v>
      </c>
      <c r="C2307" t="s">
        <v>4</v>
      </c>
      <c r="D2307" t="s">
        <v>8094</v>
      </c>
      <c r="E2307">
        <v>6</v>
      </c>
      <c r="F2307" t="str">
        <f>IF(AND(Entities[[#This Row],[ENT_TYPE]]="County",RIGHT(Entities[[#This Row],[ENT_NAME]],6)&lt;&gt;"County"),_xlfn.TEXTJOIN(" ",TRUE,Entities[[#This Row],[ENT_NAME]],"County"),Entities[[#This Row],[ENT_NAME]])</f>
        <v>Harris County MUD 450</v>
      </c>
    </row>
    <row r="2308" spans="1:6" x14ac:dyDescent="0.25">
      <c r="A2308" s="304" t="s">
        <v>8095</v>
      </c>
      <c r="B2308" s="303" t="str">
        <f t="shared" si="36"/>
        <v>x06001442</v>
      </c>
      <c r="C2308" t="s">
        <v>4</v>
      </c>
      <c r="D2308" t="s">
        <v>8096</v>
      </c>
      <c r="E2308">
        <v>6</v>
      </c>
      <c r="F2308" t="str">
        <f>IF(AND(Entities[[#This Row],[ENT_TYPE]]="County",RIGHT(Entities[[#This Row],[ENT_NAME]],6)&lt;&gt;"County"),_xlfn.TEXTJOIN(" ",TRUE,Entities[[#This Row],[ENT_NAME]],"County"),Entities[[#This Row],[ENT_NAME]])</f>
        <v>Galveston County MUD 53</v>
      </c>
    </row>
    <row r="2309" spans="1:6" x14ac:dyDescent="0.25">
      <c r="A2309" s="302" t="s">
        <v>8097</v>
      </c>
      <c r="B2309" s="303" t="str">
        <f t="shared" si="36"/>
        <v>x06001445</v>
      </c>
      <c r="C2309" t="s">
        <v>4</v>
      </c>
      <c r="D2309" t="s">
        <v>8098</v>
      </c>
      <c r="E2309">
        <v>6</v>
      </c>
      <c r="F2309" t="str">
        <f>IF(AND(Entities[[#This Row],[ENT_TYPE]]="County",RIGHT(Entities[[#This Row],[ENT_NAME]],6)&lt;&gt;"County"),_xlfn.TEXTJOIN(" ",TRUE,Entities[[#This Row],[ENT_NAME]],"County"),Entities[[#This Row],[ENT_NAME]])</f>
        <v>Harris County MUD 489</v>
      </c>
    </row>
    <row r="2310" spans="1:6" x14ac:dyDescent="0.25">
      <c r="A2310" s="302" t="s">
        <v>8099</v>
      </c>
      <c r="B2310" s="303" t="str">
        <f t="shared" si="36"/>
        <v>x06001448</v>
      </c>
      <c r="C2310" t="s">
        <v>4</v>
      </c>
      <c r="D2310" t="s">
        <v>8100</v>
      </c>
      <c r="E2310">
        <v>6</v>
      </c>
      <c r="F2310" t="str">
        <f>IF(AND(Entities[[#This Row],[ENT_TYPE]]="County",RIGHT(Entities[[#This Row],[ENT_NAME]],6)&lt;&gt;"County"),_xlfn.TEXTJOIN(" ",TRUE,Entities[[#This Row],[ENT_NAME]],"County"),Entities[[#This Row],[ENT_NAME]])</f>
        <v>Cinco MUD 12</v>
      </c>
    </row>
    <row r="2311" spans="1:6" x14ac:dyDescent="0.25">
      <c r="A2311" s="304" t="s">
        <v>8101</v>
      </c>
      <c r="B2311" s="303" t="str">
        <f t="shared" si="36"/>
        <v>x06001450</v>
      </c>
      <c r="C2311" t="s">
        <v>4</v>
      </c>
      <c r="D2311" t="s">
        <v>8102</v>
      </c>
      <c r="E2311">
        <v>6</v>
      </c>
      <c r="F2311" t="str">
        <f>IF(AND(Entities[[#This Row],[ENT_TYPE]]="County",RIGHT(Entities[[#This Row],[ENT_NAME]],6)&lt;&gt;"County"),_xlfn.TEXTJOIN(" ",TRUE,Entities[[#This Row],[ENT_NAME]],"County"),Entities[[#This Row],[ENT_NAME]])</f>
        <v>Montgomery County MUD 56</v>
      </c>
    </row>
    <row r="2312" spans="1:6" x14ac:dyDescent="0.25">
      <c r="A2312" s="302" t="s">
        <v>8103</v>
      </c>
      <c r="B2312" s="303" t="str">
        <f t="shared" si="36"/>
        <v>x06001451</v>
      </c>
      <c r="C2312" t="s">
        <v>4</v>
      </c>
      <c r="D2312" t="s">
        <v>8104</v>
      </c>
      <c r="E2312">
        <v>6</v>
      </c>
      <c r="F2312" t="str">
        <f>IF(AND(Entities[[#This Row],[ENT_TYPE]]="County",RIGHT(Entities[[#This Row],[ENT_NAME]],6)&lt;&gt;"County"),_xlfn.TEXTJOIN(" ",TRUE,Entities[[#This Row],[ENT_NAME]],"County"),Entities[[#This Row],[ENT_NAME]])</f>
        <v>Montgomery County FWSD 6</v>
      </c>
    </row>
    <row r="2313" spans="1:6" x14ac:dyDescent="0.25">
      <c r="A2313" s="302" t="s">
        <v>8105</v>
      </c>
      <c r="B2313" s="303" t="str">
        <f t="shared" si="36"/>
        <v>x06001452</v>
      </c>
      <c r="C2313" t="s">
        <v>5166</v>
      </c>
      <c r="D2313" t="s">
        <v>8106</v>
      </c>
      <c r="E2313">
        <v>6</v>
      </c>
      <c r="F2313" t="str">
        <f>IF(AND(Entities[[#This Row],[ENT_TYPE]]="County",RIGHT(Entities[[#This Row],[ENT_NAME]],6)&lt;&gt;"County"),_xlfn.TEXTJOIN(" ",TRUE,Entities[[#This Row],[ENT_NAME]],"County"),Entities[[#This Row],[ENT_NAME]])</f>
        <v>Montgomery County Drainage District 9</v>
      </c>
    </row>
    <row r="2314" spans="1:6" x14ac:dyDescent="0.25">
      <c r="A2314" s="304" t="s">
        <v>8107</v>
      </c>
      <c r="B2314" s="303" t="str">
        <f t="shared" si="36"/>
        <v>x06001453</v>
      </c>
      <c r="C2314" t="s">
        <v>4</v>
      </c>
      <c r="D2314" t="s">
        <v>8108</v>
      </c>
      <c r="E2314">
        <v>6</v>
      </c>
      <c r="F2314" t="str">
        <f>IF(AND(Entities[[#This Row],[ENT_TYPE]]="County",RIGHT(Entities[[#This Row],[ENT_NAME]],6)&lt;&gt;"County"),_xlfn.TEXTJOIN(" ",TRUE,Entities[[#This Row],[ENT_NAME]],"County"),Entities[[#This Row],[ENT_NAME]])</f>
        <v>Harris County FWSD 45</v>
      </c>
    </row>
    <row r="2315" spans="1:6" x14ac:dyDescent="0.25">
      <c r="A2315" s="302" t="s">
        <v>8109</v>
      </c>
      <c r="B2315" s="303" t="str">
        <f t="shared" si="36"/>
        <v>x06001454</v>
      </c>
      <c r="C2315" t="s">
        <v>4</v>
      </c>
      <c r="D2315" t="s">
        <v>8110</v>
      </c>
      <c r="E2315">
        <v>6</v>
      </c>
      <c r="F2315" t="str">
        <f>IF(AND(Entities[[#This Row],[ENT_TYPE]]="County",RIGHT(Entities[[#This Row],[ENT_NAME]],6)&lt;&gt;"County"),_xlfn.TEXTJOIN(" ",TRUE,Entities[[#This Row],[ENT_NAME]],"County"),Entities[[#This Row],[ENT_NAME]])</f>
        <v>Mission Bend MUD 1</v>
      </c>
    </row>
    <row r="2316" spans="1:6" x14ac:dyDescent="0.25">
      <c r="A2316" s="304" t="s">
        <v>8111</v>
      </c>
      <c r="B2316" s="303" t="str">
        <f t="shared" si="36"/>
        <v>x06001455</v>
      </c>
      <c r="C2316" t="s">
        <v>4</v>
      </c>
      <c r="D2316" t="s">
        <v>8112</v>
      </c>
      <c r="E2316">
        <v>6</v>
      </c>
      <c r="F2316" t="str">
        <f>IF(AND(Entities[[#This Row],[ENT_TYPE]]="County",RIGHT(Entities[[#This Row],[ENT_NAME]],6)&lt;&gt;"County"),_xlfn.TEXTJOIN(" ",TRUE,Entities[[#This Row],[ENT_NAME]],"County"),Entities[[#This Row],[ENT_NAME]])</f>
        <v>Memorial MUD</v>
      </c>
    </row>
    <row r="2317" spans="1:6" x14ac:dyDescent="0.25">
      <c r="A2317" s="302" t="s">
        <v>8113</v>
      </c>
      <c r="B2317" s="303" t="str">
        <f t="shared" si="36"/>
        <v>x06001456</v>
      </c>
      <c r="C2317" t="s">
        <v>4</v>
      </c>
      <c r="D2317" t="s">
        <v>8114</v>
      </c>
      <c r="E2317">
        <v>6</v>
      </c>
      <c r="F2317" t="str">
        <f>IF(AND(Entities[[#This Row],[ENT_TYPE]]="County",RIGHT(Entities[[#This Row],[ENT_NAME]],6)&lt;&gt;"County"),_xlfn.TEXTJOIN(" ",TRUE,Entities[[#This Row],[ENT_NAME]],"County"),Entities[[#This Row],[ENT_NAME]])</f>
        <v>Beechnut  MUD</v>
      </c>
    </row>
    <row r="2318" spans="1:6" x14ac:dyDescent="0.25">
      <c r="A2318" s="304" t="s">
        <v>8115</v>
      </c>
      <c r="B2318" s="303" t="str">
        <f t="shared" si="36"/>
        <v>x06001457</v>
      </c>
      <c r="C2318" t="s">
        <v>4</v>
      </c>
      <c r="D2318" t="s">
        <v>8116</v>
      </c>
      <c r="E2318">
        <v>6</v>
      </c>
      <c r="F2318" t="str">
        <f>IF(AND(Entities[[#This Row],[ENT_TYPE]]="County",RIGHT(Entities[[#This Row],[ENT_NAME]],6)&lt;&gt;"County"),_xlfn.TEXTJOIN(" ",TRUE,Entities[[#This Row],[ENT_NAME]],"County"),Entities[[#This Row],[ENT_NAME]])</f>
        <v>Mayde Creek MUD</v>
      </c>
    </row>
    <row r="2319" spans="1:6" x14ac:dyDescent="0.25">
      <c r="A2319" s="302" t="s">
        <v>8117</v>
      </c>
      <c r="B2319" s="303" t="str">
        <f t="shared" si="36"/>
        <v>x06001458</v>
      </c>
      <c r="C2319" t="s">
        <v>4</v>
      </c>
      <c r="D2319" t="s">
        <v>8118</v>
      </c>
      <c r="E2319">
        <v>6</v>
      </c>
      <c r="F2319" t="str">
        <f>IF(AND(Entities[[#This Row],[ENT_TYPE]]="County",RIGHT(Entities[[#This Row],[ENT_NAME]],6)&lt;&gt;"County"),_xlfn.TEXTJOIN(" ",TRUE,Entities[[#This Row],[ENT_NAME]],"County"),Entities[[#This Row],[ENT_NAME]])</f>
        <v>Mason Creek Utility District</v>
      </c>
    </row>
    <row r="2320" spans="1:6" x14ac:dyDescent="0.25">
      <c r="A2320" s="304" t="s">
        <v>8119</v>
      </c>
      <c r="B2320" s="303" t="str">
        <f t="shared" si="36"/>
        <v>x06001459</v>
      </c>
      <c r="C2320" t="s">
        <v>4</v>
      </c>
      <c r="D2320" t="s">
        <v>8120</v>
      </c>
      <c r="E2320">
        <v>6</v>
      </c>
      <c r="F2320" t="str">
        <f>IF(AND(Entities[[#This Row],[ENT_TYPE]]="County",RIGHT(Entities[[#This Row],[ENT_NAME]],6)&lt;&gt;"County"),_xlfn.TEXTJOIN(" ",TRUE,Entities[[#This Row],[ENT_NAME]],"County"),Entities[[#This Row],[ENT_NAME]])</f>
        <v>Harris County FWSD 51</v>
      </c>
    </row>
    <row r="2321" spans="1:6" x14ac:dyDescent="0.25">
      <c r="A2321" s="302" t="s">
        <v>8121</v>
      </c>
      <c r="B2321" s="303" t="str">
        <f t="shared" si="36"/>
        <v>x06001460</v>
      </c>
      <c r="C2321" t="s">
        <v>4</v>
      </c>
      <c r="D2321" t="s">
        <v>8122</v>
      </c>
      <c r="E2321">
        <v>6</v>
      </c>
      <c r="F2321" t="str">
        <f>IF(AND(Entities[[#This Row],[ENT_TYPE]]="County",RIGHT(Entities[[#This Row],[ENT_NAME]],6)&lt;&gt;"County"),_xlfn.TEXTJOIN(" ",TRUE,Entities[[#This Row],[ENT_NAME]],"County"),Entities[[#This Row],[ENT_NAME]])</f>
        <v>Harris County MUD 170</v>
      </c>
    </row>
    <row r="2322" spans="1:6" x14ac:dyDescent="0.25">
      <c r="A2322" s="304" t="s">
        <v>8123</v>
      </c>
      <c r="B2322" s="303" t="str">
        <f t="shared" si="36"/>
        <v>x06001461</v>
      </c>
      <c r="C2322" t="s">
        <v>4</v>
      </c>
      <c r="D2322" t="s">
        <v>8124</v>
      </c>
      <c r="E2322">
        <v>6</v>
      </c>
      <c r="F2322" t="str">
        <f>IF(AND(Entities[[#This Row],[ENT_TYPE]]="County",RIGHT(Entities[[#This Row],[ENT_NAME]],6)&lt;&gt;"County"),_xlfn.TEXTJOIN(" ",TRUE,Entities[[#This Row],[ENT_NAME]],"County"),Entities[[#This Row],[ENT_NAME]])</f>
        <v>Harris County MUD 168</v>
      </c>
    </row>
    <row r="2323" spans="1:6" x14ac:dyDescent="0.25">
      <c r="A2323" s="302" t="s">
        <v>8125</v>
      </c>
      <c r="B2323" s="303" t="str">
        <f t="shared" si="36"/>
        <v>x06001462</v>
      </c>
      <c r="C2323" t="s">
        <v>4</v>
      </c>
      <c r="D2323" t="s">
        <v>8126</v>
      </c>
      <c r="E2323">
        <v>6</v>
      </c>
      <c r="F2323" t="str">
        <f>IF(AND(Entities[[#This Row],[ENT_TYPE]]="County",RIGHT(Entities[[#This Row],[ENT_NAME]],6)&lt;&gt;"County"),_xlfn.TEXTJOIN(" ",TRUE,Entities[[#This Row],[ENT_NAME]],"County"),Entities[[#This Row],[ENT_NAME]])</f>
        <v>Harris County MUD 500</v>
      </c>
    </row>
    <row r="2324" spans="1:6" x14ac:dyDescent="0.25">
      <c r="A2324" s="302" t="s">
        <v>8127</v>
      </c>
      <c r="B2324" s="303" t="str">
        <f t="shared" si="36"/>
        <v>x06001465</v>
      </c>
      <c r="C2324" t="s">
        <v>4</v>
      </c>
      <c r="D2324" t="s">
        <v>8128</v>
      </c>
      <c r="E2324">
        <v>6</v>
      </c>
      <c r="F2324" t="str">
        <f>IF(AND(Entities[[#This Row],[ENT_TYPE]]="County",RIGHT(Entities[[#This Row],[ENT_NAME]],6)&lt;&gt;"County"),_xlfn.TEXTJOIN(" ",TRUE,Entities[[#This Row],[ENT_NAME]],"County"),Entities[[#This Row],[ENT_NAME]])</f>
        <v>Memorial Villiages Water Authority</v>
      </c>
    </row>
    <row r="2325" spans="1:6" x14ac:dyDescent="0.25">
      <c r="A2325" s="304" t="s">
        <v>8129</v>
      </c>
      <c r="B2325" s="303" t="str">
        <f t="shared" si="36"/>
        <v>x06001466</v>
      </c>
      <c r="C2325" t="s">
        <v>4</v>
      </c>
      <c r="D2325" t="s">
        <v>8130</v>
      </c>
      <c r="E2325">
        <v>6</v>
      </c>
      <c r="F2325" t="str">
        <f>IF(AND(Entities[[#This Row],[ENT_TYPE]]="County",RIGHT(Entities[[#This Row],[ENT_NAME]],6)&lt;&gt;"County"),_xlfn.TEXTJOIN(" ",TRUE,Entities[[#This Row],[ENT_NAME]],"County"),Entities[[#This Row],[ENT_NAME]])</f>
        <v>Morton Road MUD</v>
      </c>
    </row>
    <row r="2326" spans="1:6" x14ac:dyDescent="0.25">
      <c r="A2326" s="302" t="s">
        <v>8131</v>
      </c>
      <c r="B2326" s="303" t="str">
        <f t="shared" si="36"/>
        <v>x06001467</v>
      </c>
      <c r="C2326" t="s">
        <v>4</v>
      </c>
      <c r="D2326" t="s">
        <v>8132</v>
      </c>
      <c r="E2326">
        <v>6</v>
      </c>
      <c r="F2326" t="str">
        <f>IF(AND(Entities[[#This Row],[ENT_TYPE]]="County",RIGHT(Entities[[#This Row],[ENT_NAME]],6)&lt;&gt;"County"),_xlfn.TEXTJOIN(" ",TRUE,Entities[[#This Row],[ENT_NAME]],"County"),Entities[[#This Row],[ENT_NAME]])</f>
        <v>Harris County MUD 221</v>
      </c>
    </row>
    <row r="2327" spans="1:6" x14ac:dyDescent="0.25">
      <c r="A2327" s="304" t="s">
        <v>8133</v>
      </c>
      <c r="B2327" s="303" t="str">
        <f t="shared" si="36"/>
        <v>x06001468</v>
      </c>
      <c r="C2327" t="s">
        <v>4</v>
      </c>
      <c r="D2327" t="s">
        <v>8134</v>
      </c>
      <c r="E2327">
        <v>6</v>
      </c>
      <c r="F2327" t="str">
        <f>IF(AND(Entities[[#This Row],[ENT_TYPE]]="County",RIGHT(Entities[[#This Row],[ENT_NAME]],6)&lt;&gt;"County"),_xlfn.TEXTJOIN(" ",TRUE,Entities[[#This Row],[ENT_NAME]],"County"),Entities[[#This Row],[ENT_NAME]])</f>
        <v>Langham Creek Utility District</v>
      </c>
    </row>
    <row r="2328" spans="1:6" x14ac:dyDescent="0.25">
      <c r="A2328" s="302" t="s">
        <v>8135</v>
      </c>
      <c r="B2328" s="303" t="str">
        <f t="shared" si="36"/>
        <v>x06001469</v>
      </c>
      <c r="C2328" t="s">
        <v>4</v>
      </c>
      <c r="D2328" t="s">
        <v>8136</v>
      </c>
      <c r="E2328">
        <v>6</v>
      </c>
      <c r="F2328" t="str">
        <f>IF(AND(Entities[[#This Row],[ENT_TYPE]]="County",RIGHT(Entities[[#This Row],[ENT_NAME]],6)&lt;&gt;"County"),_xlfn.TEXTJOIN(" ",TRUE,Entities[[#This Row],[ENT_NAME]],"County"),Entities[[#This Row],[ENT_NAME]])</f>
        <v>Point Aquarius MUD</v>
      </c>
    </row>
    <row r="2329" spans="1:6" x14ac:dyDescent="0.25">
      <c r="A2329" s="304" t="s">
        <v>8137</v>
      </c>
      <c r="B2329" s="303" t="str">
        <f t="shared" si="36"/>
        <v>x06001472</v>
      </c>
      <c r="C2329" t="s">
        <v>4</v>
      </c>
      <c r="D2329" t="s">
        <v>8138</v>
      </c>
      <c r="E2329">
        <v>6</v>
      </c>
      <c r="F2329" t="str">
        <f>IF(AND(Entities[[#This Row],[ENT_TYPE]]="County",RIGHT(Entities[[#This Row],[ENT_NAME]],6)&lt;&gt;"County"),_xlfn.TEXTJOIN(" ",TRUE,Entities[[#This Row],[ENT_NAME]],"County"),Entities[[#This Row],[ENT_NAME]])</f>
        <v>Stanley Lake MUD</v>
      </c>
    </row>
    <row r="2330" spans="1:6" x14ac:dyDescent="0.25">
      <c r="A2330" s="302" t="s">
        <v>8139</v>
      </c>
      <c r="B2330" s="303" t="str">
        <f t="shared" si="36"/>
        <v>x06001473</v>
      </c>
      <c r="C2330" t="s">
        <v>4</v>
      </c>
      <c r="D2330" t="s">
        <v>8140</v>
      </c>
      <c r="E2330">
        <v>6</v>
      </c>
      <c r="F2330" t="str">
        <f>IF(AND(Entities[[#This Row],[ENT_TYPE]]="County",RIGHT(Entities[[#This Row],[ENT_NAME]],6)&lt;&gt;"County"),_xlfn.TEXTJOIN(" ",TRUE,Entities[[#This Row],[ENT_NAME]],"County"),Entities[[#This Row],[ENT_NAME]])</f>
        <v>Galveston County MUD 6</v>
      </c>
    </row>
    <row r="2331" spans="1:6" x14ac:dyDescent="0.25">
      <c r="A2331" s="304" t="s">
        <v>8141</v>
      </c>
      <c r="B2331" s="303" t="str">
        <f t="shared" si="36"/>
        <v>x06001474</v>
      </c>
      <c r="C2331" t="s">
        <v>4</v>
      </c>
      <c r="D2331" t="s">
        <v>8142</v>
      </c>
      <c r="E2331">
        <v>6</v>
      </c>
      <c r="F2331" t="str">
        <f>IF(AND(Entities[[#This Row],[ENT_TYPE]]="County",RIGHT(Entities[[#This Row],[ENT_NAME]],6)&lt;&gt;"County"),_xlfn.TEXTJOIN(" ",TRUE,Entities[[#This Row],[ENT_NAME]],"County"),Entities[[#This Row],[ENT_NAME]])</f>
        <v>Northwest Harris County MUD 20</v>
      </c>
    </row>
    <row r="2332" spans="1:6" x14ac:dyDescent="0.25">
      <c r="A2332" s="302" t="s">
        <v>8143</v>
      </c>
      <c r="B2332" s="303" t="str">
        <f t="shared" si="36"/>
        <v>x06001478</v>
      </c>
      <c r="C2332" t="s">
        <v>4</v>
      </c>
      <c r="D2332" t="s">
        <v>8144</v>
      </c>
      <c r="E2332">
        <v>6</v>
      </c>
      <c r="F2332" t="str">
        <f>IF(AND(Entities[[#This Row],[ENT_TYPE]]="County",RIGHT(Entities[[#This Row],[ENT_NAME]],6)&lt;&gt;"County"),_xlfn.TEXTJOIN(" ",TRUE,Entities[[#This Row],[ENT_NAME]],"County"),Entities[[#This Row],[ENT_NAME]])</f>
        <v>Brazoria County MUD 19</v>
      </c>
    </row>
    <row r="2333" spans="1:6" x14ac:dyDescent="0.25">
      <c r="A2333" s="304" t="s">
        <v>8145</v>
      </c>
      <c r="B2333" s="303" t="str">
        <f t="shared" si="36"/>
        <v>x06001480</v>
      </c>
      <c r="C2333" t="s">
        <v>4</v>
      </c>
      <c r="D2333" t="s">
        <v>8146</v>
      </c>
      <c r="E2333">
        <v>6</v>
      </c>
      <c r="F2333" t="str">
        <f>IF(AND(Entities[[#This Row],[ENT_TYPE]]="County",RIGHT(Entities[[#This Row],[ENT_NAME]],6)&lt;&gt;"County"),_xlfn.TEXTJOIN(" ",TRUE,Entities[[#This Row],[ENT_NAME]],"County"),Entities[[#This Row],[ENT_NAME]])</f>
        <v>Harris Fort Bend Counties MUD 4</v>
      </c>
    </row>
    <row r="2334" spans="1:6" x14ac:dyDescent="0.25">
      <c r="A2334" s="304" t="s">
        <v>8147</v>
      </c>
      <c r="B2334" s="303" t="str">
        <f t="shared" si="36"/>
        <v>x06001481</v>
      </c>
      <c r="C2334" t="s">
        <v>4</v>
      </c>
      <c r="D2334" t="s">
        <v>8148</v>
      </c>
      <c r="E2334">
        <v>6</v>
      </c>
      <c r="F2334" t="str">
        <f>IF(AND(Entities[[#This Row],[ENT_TYPE]]="County",RIGHT(Entities[[#This Row],[ENT_NAME]],6)&lt;&gt;"County"),_xlfn.TEXTJOIN(" ",TRUE,Entities[[#This Row],[ENT_NAME]],"County"),Entities[[#This Row],[ENT_NAME]])</f>
        <v>Near Northwest Management District</v>
      </c>
    </row>
    <row r="2335" spans="1:6" x14ac:dyDescent="0.25">
      <c r="A2335" s="302" t="s">
        <v>8149</v>
      </c>
      <c r="B2335" s="303" t="str">
        <f t="shared" si="36"/>
        <v>x06001494</v>
      </c>
      <c r="C2335" t="s">
        <v>5166</v>
      </c>
      <c r="D2335" t="s">
        <v>8150</v>
      </c>
      <c r="E2335">
        <v>6</v>
      </c>
      <c r="F2335" t="str">
        <f>IF(AND(Entities[[#This Row],[ENT_TYPE]]="County",RIGHT(Entities[[#This Row],[ENT_NAME]],6)&lt;&gt;"County"),_xlfn.TEXTJOIN(" ",TRUE,Entities[[#This Row],[ENT_NAME]],"County"),Entities[[#This Row],[ENT_NAME]])</f>
        <v>Galveston County Drainage District 2</v>
      </c>
    </row>
    <row r="2336" spans="1:6" x14ac:dyDescent="0.25">
      <c r="A2336" s="302" t="s">
        <v>8151</v>
      </c>
      <c r="B2336" s="303" t="str">
        <f t="shared" si="36"/>
        <v>x06001499</v>
      </c>
      <c r="C2336" t="s">
        <v>4</v>
      </c>
      <c r="D2336" t="s">
        <v>8152</v>
      </c>
      <c r="E2336">
        <v>6</v>
      </c>
      <c r="F2336" t="str">
        <f>IF(AND(Entities[[#This Row],[ENT_TYPE]]="County",RIGHT(Entities[[#This Row],[ENT_NAME]],6)&lt;&gt;"County"),_xlfn.TEXTJOIN(" ",TRUE,Entities[[#This Row],[ENT_NAME]],"County"),Entities[[#This Row],[ENT_NAME]])</f>
        <v>Harris County MUD 163</v>
      </c>
    </row>
    <row r="2337" spans="1:6" x14ac:dyDescent="0.25">
      <c r="A2337" s="304" t="s">
        <v>8153</v>
      </c>
      <c r="B2337" s="303" t="str">
        <f t="shared" si="36"/>
        <v>x06001500</v>
      </c>
      <c r="C2337" t="s">
        <v>4</v>
      </c>
      <c r="D2337" t="s">
        <v>8154</v>
      </c>
      <c r="E2337">
        <v>6</v>
      </c>
      <c r="F2337" t="str">
        <f>IF(AND(Entities[[#This Row],[ENT_TYPE]]="County",RIGHT(Entities[[#This Row],[ENT_NAME]],6)&lt;&gt;"County"),_xlfn.TEXTJOIN(" ",TRUE,Entities[[#This Row],[ENT_NAME]],"County"),Entities[[#This Row],[ENT_NAME]])</f>
        <v>Harris County MUD 162</v>
      </c>
    </row>
    <row r="2338" spans="1:6" x14ac:dyDescent="0.25">
      <c r="A2338" s="302" t="s">
        <v>8155</v>
      </c>
      <c r="B2338" s="303" t="str">
        <f t="shared" si="36"/>
        <v>x06001501</v>
      </c>
      <c r="C2338" t="s">
        <v>4</v>
      </c>
      <c r="D2338" t="s">
        <v>8156</v>
      </c>
      <c r="E2338">
        <v>6</v>
      </c>
      <c r="F2338" t="str">
        <f>IF(AND(Entities[[#This Row],[ENT_TYPE]]="County",RIGHT(Entities[[#This Row],[ENT_NAME]],6)&lt;&gt;"County"),_xlfn.TEXTJOIN(" ",TRUE,Entities[[#This Row],[ENT_NAME]],"County"),Entities[[#This Row],[ENT_NAME]])</f>
        <v>Harris County MUD 16</v>
      </c>
    </row>
    <row r="2339" spans="1:6" x14ac:dyDescent="0.25">
      <c r="A2339" s="304" t="s">
        <v>8157</v>
      </c>
      <c r="B2339" s="303" t="str">
        <f t="shared" si="36"/>
        <v>x06001502</v>
      </c>
      <c r="C2339" t="s">
        <v>4</v>
      </c>
      <c r="D2339" t="s">
        <v>8158</v>
      </c>
      <c r="E2339">
        <v>6</v>
      </c>
      <c r="F2339" t="str">
        <f>IF(AND(Entities[[#This Row],[ENT_TYPE]]="County",RIGHT(Entities[[#This Row],[ENT_NAME]],6)&lt;&gt;"County"),_xlfn.TEXTJOIN(" ",TRUE,Entities[[#This Row],[ENT_NAME]],"County"),Entities[[#This Row],[ENT_NAME]])</f>
        <v>Harris County MUD 155</v>
      </c>
    </row>
    <row r="2340" spans="1:6" x14ac:dyDescent="0.25">
      <c r="A2340" s="302" t="s">
        <v>8159</v>
      </c>
      <c r="B2340" s="303" t="str">
        <f t="shared" si="36"/>
        <v>x06001503</v>
      </c>
      <c r="C2340" t="s">
        <v>4</v>
      </c>
      <c r="D2340" t="s">
        <v>8160</v>
      </c>
      <c r="E2340">
        <v>6</v>
      </c>
      <c r="F2340" t="str">
        <f>IF(AND(Entities[[#This Row],[ENT_TYPE]]="County",RIGHT(Entities[[#This Row],[ENT_NAME]],6)&lt;&gt;"County"),_xlfn.TEXTJOIN(" ",TRUE,Entities[[#This Row],[ENT_NAME]],"County"),Entities[[#This Row],[ENT_NAME]])</f>
        <v>Harris County MUD 152</v>
      </c>
    </row>
    <row r="2341" spans="1:6" x14ac:dyDescent="0.25">
      <c r="A2341" s="304" t="s">
        <v>8161</v>
      </c>
      <c r="B2341" s="303" t="str">
        <f t="shared" si="36"/>
        <v>x06001504</v>
      </c>
      <c r="C2341" t="s">
        <v>4</v>
      </c>
      <c r="D2341" t="s">
        <v>8162</v>
      </c>
      <c r="E2341">
        <v>6</v>
      </c>
      <c r="F2341" t="str">
        <f>IF(AND(Entities[[#This Row],[ENT_TYPE]]="County",RIGHT(Entities[[#This Row],[ENT_NAME]],6)&lt;&gt;"County"),_xlfn.TEXTJOIN(" ",TRUE,Entities[[#This Row],[ENT_NAME]],"County"),Entities[[#This Row],[ENT_NAME]])</f>
        <v>Harris County MUD 151</v>
      </c>
    </row>
    <row r="2342" spans="1:6" x14ac:dyDescent="0.25">
      <c r="A2342" s="302" t="s">
        <v>8163</v>
      </c>
      <c r="B2342" s="303" t="str">
        <f t="shared" si="36"/>
        <v>x06001505</v>
      </c>
      <c r="C2342" t="s">
        <v>4</v>
      </c>
      <c r="D2342" t="s">
        <v>8164</v>
      </c>
      <c r="E2342">
        <v>6</v>
      </c>
      <c r="F2342" t="str">
        <f>IF(AND(Entities[[#This Row],[ENT_TYPE]]="County",RIGHT(Entities[[#This Row],[ENT_NAME]],6)&lt;&gt;"County"),_xlfn.TEXTJOIN(" ",TRUE,Entities[[#This Row],[ENT_NAME]],"County"),Entities[[#This Row],[ENT_NAME]])</f>
        <v>Harris County MUD 122</v>
      </c>
    </row>
    <row r="2343" spans="1:6" x14ac:dyDescent="0.25">
      <c r="A2343" s="304" t="s">
        <v>8165</v>
      </c>
      <c r="B2343" s="303" t="str">
        <f t="shared" si="36"/>
        <v>x06001506</v>
      </c>
      <c r="C2343" t="s">
        <v>4</v>
      </c>
      <c r="D2343" t="s">
        <v>8166</v>
      </c>
      <c r="E2343">
        <v>6</v>
      </c>
      <c r="F2343" t="str">
        <f>IF(AND(Entities[[#This Row],[ENT_TYPE]]="County",RIGHT(Entities[[#This Row],[ENT_NAME]],6)&lt;&gt;"County"),_xlfn.TEXTJOIN(" ",TRUE,Entities[[#This Row],[ENT_NAME]],"County"),Entities[[#This Row],[ENT_NAME]])</f>
        <v>Harris County MUD 118</v>
      </c>
    </row>
    <row r="2344" spans="1:6" x14ac:dyDescent="0.25">
      <c r="A2344" s="302" t="s">
        <v>8167</v>
      </c>
      <c r="B2344" s="303" t="str">
        <f t="shared" si="36"/>
        <v>x06001507</v>
      </c>
      <c r="C2344" t="s">
        <v>4</v>
      </c>
      <c r="D2344" t="s">
        <v>8168</v>
      </c>
      <c r="E2344">
        <v>6</v>
      </c>
      <c r="F2344" t="str">
        <f>IF(AND(Entities[[#This Row],[ENT_TYPE]]="County",RIGHT(Entities[[#This Row],[ENT_NAME]],6)&lt;&gt;"County"),_xlfn.TEXTJOIN(" ",TRUE,Entities[[#This Row],[ENT_NAME]],"County"),Entities[[#This Row],[ENT_NAME]])</f>
        <v>Harris County MUD 50</v>
      </c>
    </row>
    <row r="2345" spans="1:6" x14ac:dyDescent="0.25">
      <c r="A2345" s="304" t="s">
        <v>8169</v>
      </c>
      <c r="B2345" s="303" t="str">
        <f t="shared" si="36"/>
        <v>x06001508</v>
      </c>
      <c r="C2345" t="s">
        <v>4</v>
      </c>
      <c r="D2345" t="s">
        <v>8170</v>
      </c>
      <c r="E2345">
        <v>6</v>
      </c>
      <c r="F2345" t="str">
        <f>IF(AND(Entities[[#This Row],[ENT_TYPE]]="County",RIGHT(Entities[[#This Row],[ENT_NAME]],6)&lt;&gt;"County"),_xlfn.TEXTJOIN(" ",TRUE,Entities[[#This Row],[ENT_NAME]],"County"),Entities[[#This Row],[ENT_NAME]])</f>
        <v>Harris County MUD 46</v>
      </c>
    </row>
    <row r="2346" spans="1:6" x14ac:dyDescent="0.25">
      <c r="A2346" s="302" t="s">
        <v>8171</v>
      </c>
      <c r="B2346" s="303" t="str">
        <f t="shared" si="36"/>
        <v>x06001513</v>
      </c>
      <c r="C2346" t="s">
        <v>4</v>
      </c>
      <c r="D2346" t="s">
        <v>8172</v>
      </c>
      <c r="E2346">
        <v>6</v>
      </c>
      <c r="F2346" t="str">
        <f>IF(AND(Entities[[#This Row],[ENT_TYPE]]="County",RIGHT(Entities[[#This Row],[ENT_NAME]],6)&lt;&gt;"County"),_xlfn.TEXTJOIN(" ",TRUE,Entities[[#This Row],[ENT_NAME]],"County"),Entities[[#This Row],[ENT_NAME]])</f>
        <v>Harris County MUD 438</v>
      </c>
    </row>
    <row r="2347" spans="1:6" x14ac:dyDescent="0.25">
      <c r="A2347" s="304" t="s">
        <v>8173</v>
      </c>
      <c r="B2347" s="303" t="str">
        <f t="shared" si="36"/>
        <v>x06001515</v>
      </c>
      <c r="C2347" t="s">
        <v>4</v>
      </c>
      <c r="D2347" t="s">
        <v>8174</v>
      </c>
      <c r="E2347">
        <v>6</v>
      </c>
      <c r="F2347" t="str">
        <f>IF(AND(Entities[[#This Row],[ENT_TYPE]]="County",RIGHT(Entities[[#This Row],[ENT_NAME]],6)&lt;&gt;"County"),_xlfn.TEXTJOIN(" ",TRUE,Entities[[#This Row],[ENT_NAME]],"County"),Entities[[#This Row],[ENT_NAME]])</f>
        <v>Harris County MUD 494</v>
      </c>
    </row>
    <row r="2348" spans="1:6" x14ac:dyDescent="0.25">
      <c r="A2348" s="302" t="s">
        <v>8175</v>
      </c>
      <c r="B2348" s="303" t="str">
        <f t="shared" si="36"/>
        <v>x06001516</v>
      </c>
      <c r="C2348" t="s">
        <v>4</v>
      </c>
      <c r="D2348" t="s">
        <v>7816</v>
      </c>
      <c r="E2348">
        <v>6</v>
      </c>
      <c r="F2348" t="str">
        <f>IF(AND(Entities[[#This Row],[ENT_TYPE]]="County",RIGHT(Entities[[#This Row],[ENT_NAME]],6)&lt;&gt;"County"),_xlfn.TEXTJOIN(" ",TRUE,Entities[[#This Row],[ENT_NAME]],"County"),Entities[[#This Row],[ENT_NAME]])</f>
        <v>Harris County MUD 449</v>
      </c>
    </row>
    <row r="2349" spans="1:6" x14ac:dyDescent="0.25">
      <c r="A2349" s="304" t="s">
        <v>8176</v>
      </c>
      <c r="B2349" s="303" t="str">
        <f t="shared" si="36"/>
        <v>x06001523</v>
      </c>
      <c r="C2349" t="s">
        <v>4</v>
      </c>
      <c r="D2349" t="s">
        <v>8177</v>
      </c>
      <c r="E2349">
        <v>6</v>
      </c>
      <c r="F2349" t="str">
        <f>IF(AND(Entities[[#This Row],[ENT_TYPE]]="County",RIGHT(Entities[[#This Row],[ENT_NAME]],6)&lt;&gt;"County"),_xlfn.TEXTJOIN(" ",TRUE,Entities[[#This Row],[ENT_NAME]],"County"),Entities[[#This Row],[ENT_NAME]])</f>
        <v>Harris County MUD 243</v>
      </c>
    </row>
    <row r="2350" spans="1:6" x14ac:dyDescent="0.25">
      <c r="A2350" s="302" t="s">
        <v>8178</v>
      </c>
      <c r="B2350" s="303" t="str">
        <f t="shared" si="36"/>
        <v>x06001524</v>
      </c>
      <c r="C2350" t="s">
        <v>4</v>
      </c>
      <c r="D2350" t="s">
        <v>8179</v>
      </c>
      <c r="E2350">
        <v>6</v>
      </c>
      <c r="F2350" t="str">
        <f>IF(AND(Entities[[#This Row],[ENT_TYPE]]="County",RIGHT(Entities[[#This Row],[ENT_NAME]],6)&lt;&gt;"County"),_xlfn.TEXTJOIN(" ",TRUE,Entities[[#This Row],[ENT_NAME]],"County"),Entities[[#This Row],[ENT_NAME]])</f>
        <v>Harris County MUD 225</v>
      </c>
    </row>
    <row r="2351" spans="1:6" x14ac:dyDescent="0.25">
      <c r="A2351" s="304" t="s">
        <v>8180</v>
      </c>
      <c r="B2351" s="303" t="str">
        <f t="shared" si="36"/>
        <v>x06001525</v>
      </c>
      <c r="C2351" t="s">
        <v>4</v>
      </c>
      <c r="D2351" t="s">
        <v>8181</v>
      </c>
      <c r="E2351">
        <v>6</v>
      </c>
      <c r="F2351" t="str">
        <f>IF(AND(Entities[[#This Row],[ENT_TYPE]]="County",RIGHT(Entities[[#This Row],[ENT_NAME]],6)&lt;&gt;"County"),_xlfn.TEXTJOIN(" ",TRUE,Entities[[#This Row],[ENT_NAME]],"County"),Entities[[#This Row],[ENT_NAME]])</f>
        <v>Harris County MUD 213</v>
      </c>
    </row>
    <row r="2352" spans="1:6" x14ac:dyDescent="0.25">
      <c r="A2352" s="302" t="s">
        <v>8182</v>
      </c>
      <c r="B2352" s="303" t="str">
        <f t="shared" si="36"/>
        <v>x06001526</v>
      </c>
      <c r="C2352" t="s">
        <v>4</v>
      </c>
      <c r="D2352" t="s">
        <v>8183</v>
      </c>
      <c r="E2352">
        <v>6</v>
      </c>
      <c r="F2352" t="str">
        <f>IF(AND(Entities[[#This Row],[ENT_TYPE]]="County",RIGHT(Entities[[#This Row],[ENT_NAME]],6)&lt;&gt;"County"),_xlfn.TEXTJOIN(" ",TRUE,Entities[[#This Row],[ENT_NAME]],"County"),Entities[[#This Row],[ENT_NAME]])</f>
        <v>Harris County MUD 166</v>
      </c>
    </row>
    <row r="2353" spans="1:6" x14ac:dyDescent="0.25">
      <c r="A2353" s="304" t="s">
        <v>8184</v>
      </c>
      <c r="B2353" s="303" t="str">
        <f t="shared" si="36"/>
        <v>x06001527</v>
      </c>
      <c r="C2353" t="s">
        <v>4</v>
      </c>
      <c r="D2353" t="s">
        <v>8185</v>
      </c>
      <c r="E2353">
        <v>6</v>
      </c>
      <c r="F2353" t="str">
        <f>IF(AND(Entities[[#This Row],[ENT_TYPE]]="County",RIGHT(Entities[[#This Row],[ENT_NAME]],6)&lt;&gt;"County"),_xlfn.TEXTJOIN(" ",TRUE,Entities[[#This Row],[ENT_NAME]],"County"),Entities[[#This Row],[ENT_NAME]])</f>
        <v>Harris County MUD 156</v>
      </c>
    </row>
    <row r="2354" spans="1:6" x14ac:dyDescent="0.25">
      <c r="A2354" s="302" t="s">
        <v>8186</v>
      </c>
      <c r="B2354" s="303" t="str">
        <f t="shared" si="36"/>
        <v>x06001528</v>
      </c>
      <c r="C2354" t="s">
        <v>4</v>
      </c>
      <c r="D2354" t="s">
        <v>8187</v>
      </c>
      <c r="E2354">
        <v>6</v>
      </c>
      <c r="F2354" t="str">
        <f>IF(AND(Entities[[#This Row],[ENT_TYPE]]="County",RIGHT(Entities[[#This Row],[ENT_NAME]],6)&lt;&gt;"County"),_xlfn.TEXTJOIN(" ",TRUE,Entities[[#This Row],[ENT_NAME]],"County"),Entities[[#This Row],[ENT_NAME]])</f>
        <v>Harris County MUD 147</v>
      </c>
    </row>
    <row r="2355" spans="1:6" x14ac:dyDescent="0.25">
      <c r="A2355" s="304" t="s">
        <v>8188</v>
      </c>
      <c r="B2355" s="303" t="str">
        <f t="shared" si="36"/>
        <v>x06001529</v>
      </c>
      <c r="C2355" t="s">
        <v>4</v>
      </c>
      <c r="D2355" t="s">
        <v>8189</v>
      </c>
      <c r="E2355">
        <v>6</v>
      </c>
      <c r="F2355" t="str">
        <f>IF(AND(Entities[[#This Row],[ENT_TYPE]]="County",RIGHT(Entities[[#This Row],[ENT_NAME]],6)&lt;&gt;"County"),_xlfn.TEXTJOIN(" ",TRUE,Entities[[#This Row],[ENT_NAME]],"County"),Entities[[#This Row],[ENT_NAME]])</f>
        <v>Harris County MUD 101</v>
      </c>
    </row>
    <row r="2356" spans="1:6" x14ac:dyDescent="0.25">
      <c r="A2356" s="302" t="s">
        <v>8190</v>
      </c>
      <c r="B2356" s="303" t="str">
        <f t="shared" si="36"/>
        <v>x06001531</v>
      </c>
      <c r="C2356" t="s">
        <v>4</v>
      </c>
      <c r="D2356" t="s">
        <v>8191</v>
      </c>
      <c r="E2356">
        <v>6</v>
      </c>
      <c r="F2356" t="str">
        <f>IF(AND(Entities[[#This Row],[ENT_TYPE]]="County",RIGHT(Entities[[#This Row],[ENT_NAME]],6)&lt;&gt;"County"),_xlfn.TEXTJOIN(" ",TRUE,Entities[[#This Row],[ENT_NAME]],"County"),Entities[[#This Row],[ENT_NAME]])</f>
        <v>Northgate Crossing Road Utility District</v>
      </c>
    </row>
    <row r="2357" spans="1:6" x14ac:dyDescent="0.25">
      <c r="A2357" s="304" t="s">
        <v>8192</v>
      </c>
      <c r="B2357" s="303" t="str">
        <f t="shared" si="36"/>
        <v>x06001533</v>
      </c>
      <c r="C2357" t="s">
        <v>4</v>
      </c>
      <c r="D2357" t="s">
        <v>8193</v>
      </c>
      <c r="E2357">
        <v>6</v>
      </c>
      <c r="F2357" t="str">
        <f>IF(AND(Entities[[#This Row],[ENT_TYPE]]="County",RIGHT(Entities[[#This Row],[ENT_NAME]],6)&lt;&gt;"County"),_xlfn.TEXTJOIN(" ",TRUE,Entities[[#This Row],[ENT_NAME]],"County"),Entities[[#This Row],[ENT_NAME]])</f>
        <v>Montgomery County MUD 36</v>
      </c>
    </row>
    <row r="2358" spans="1:6" x14ac:dyDescent="0.25">
      <c r="A2358" s="302" t="s">
        <v>8194</v>
      </c>
      <c r="B2358" s="303" t="str">
        <f t="shared" si="36"/>
        <v>x06001542</v>
      </c>
      <c r="C2358" t="s">
        <v>4</v>
      </c>
      <c r="D2358" t="s">
        <v>8195</v>
      </c>
      <c r="E2358">
        <v>6</v>
      </c>
      <c r="F2358" t="str">
        <f>IF(AND(Entities[[#This Row],[ENT_TYPE]]="County",RIGHT(Entities[[#This Row],[ENT_NAME]],6)&lt;&gt;"County"),_xlfn.TEXTJOIN(" ",TRUE,Entities[[#This Row],[ENT_NAME]],"County"),Entities[[#This Row],[ENT_NAME]])</f>
        <v>Harris County MUD 358</v>
      </c>
    </row>
    <row r="2359" spans="1:6" x14ac:dyDescent="0.25">
      <c r="A2359" s="304" t="s">
        <v>8196</v>
      </c>
      <c r="B2359" s="303" t="str">
        <f t="shared" si="36"/>
        <v>x06001543</v>
      </c>
      <c r="C2359" t="s">
        <v>4</v>
      </c>
      <c r="D2359" t="s">
        <v>8197</v>
      </c>
      <c r="E2359">
        <v>6</v>
      </c>
      <c r="F2359" t="str">
        <f>IF(AND(Entities[[#This Row],[ENT_TYPE]]="County",RIGHT(Entities[[#This Row],[ENT_NAME]],6)&lt;&gt;"County"),_xlfn.TEXTJOIN(" ",TRUE,Entities[[#This Row],[ENT_NAME]],"County"),Entities[[#This Row],[ENT_NAME]])</f>
        <v>Reid Road MUD 2</v>
      </c>
    </row>
    <row r="2360" spans="1:6" x14ac:dyDescent="0.25">
      <c r="A2360" s="302" t="s">
        <v>8198</v>
      </c>
      <c r="B2360" s="303" t="str">
        <f t="shared" si="36"/>
        <v>x06001544</v>
      </c>
      <c r="C2360" t="s">
        <v>4</v>
      </c>
      <c r="D2360" t="s">
        <v>8199</v>
      </c>
      <c r="E2360">
        <v>6</v>
      </c>
      <c r="F2360" t="str">
        <f>IF(AND(Entities[[#This Row],[ENT_TYPE]]="County",RIGHT(Entities[[#This Row],[ENT_NAME]],6)&lt;&gt;"County"),_xlfn.TEXTJOIN(" ",TRUE,Entities[[#This Row],[ENT_NAME]],"County"),Entities[[#This Row],[ENT_NAME]])</f>
        <v>Harris County MUD 49</v>
      </c>
    </row>
    <row r="2361" spans="1:6" x14ac:dyDescent="0.25">
      <c r="A2361" s="304" t="s">
        <v>8200</v>
      </c>
      <c r="B2361" s="303" t="str">
        <f t="shared" si="36"/>
        <v>x06001547</v>
      </c>
      <c r="C2361" t="s">
        <v>4</v>
      </c>
      <c r="D2361" t="s">
        <v>8201</v>
      </c>
      <c r="E2361">
        <v>6</v>
      </c>
      <c r="F2361" t="str">
        <f>IF(AND(Entities[[#This Row],[ENT_TYPE]]="County",RIGHT(Entities[[#This Row],[ENT_NAME]],6)&lt;&gt;"County"),_xlfn.TEXTJOIN(" ",TRUE,Entities[[#This Row],[ENT_NAME]],"County"),Entities[[#This Row],[ENT_NAME]])</f>
        <v>Montgomery County MUD 123</v>
      </c>
    </row>
    <row r="2362" spans="1:6" x14ac:dyDescent="0.25">
      <c r="A2362" s="304" t="s">
        <v>8202</v>
      </c>
      <c r="B2362" s="303" t="str">
        <f t="shared" si="36"/>
        <v>x06001548</v>
      </c>
      <c r="C2362" t="s">
        <v>5166</v>
      </c>
      <c r="D2362" t="s">
        <v>8203</v>
      </c>
      <c r="E2362">
        <v>6</v>
      </c>
      <c r="F2362" t="str">
        <f>IF(AND(Entities[[#This Row],[ENT_TYPE]]="County",RIGHT(Entities[[#This Row],[ENT_NAME]],6)&lt;&gt;"County"),_xlfn.TEXTJOIN(" ",TRUE,Entities[[#This Row],[ENT_NAME]],"County"),Entities[[#This Row],[ENT_NAME]])</f>
        <v>Montgomery County Drainage District 6</v>
      </c>
    </row>
    <row r="2363" spans="1:6" x14ac:dyDescent="0.25">
      <c r="A2363" s="302" t="s">
        <v>8204</v>
      </c>
      <c r="B2363" s="303" t="str">
        <f t="shared" si="36"/>
        <v>x06001549</v>
      </c>
      <c r="C2363" t="s">
        <v>4</v>
      </c>
      <c r="D2363" t="s">
        <v>8205</v>
      </c>
      <c r="E2363">
        <v>6</v>
      </c>
      <c r="F2363" t="str">
        <f>IF(AND(Entities[[#This Row],[ENT_TYPE]]="County",RIGHT(Entities[[#This Row],[ENT_NAME]],6)&lt;&gt;"County"),_xlfn.TEXTJOIN(" ",TRUE,Entities[[#This Row],[ENT_NAME]],"County"),Entities[[#This Row],[ENT_NAME]])</f>
        <v>Harris County MUD 44</v>
      </c>
    </row>
    <row r="2364" spans="1:6" x14ac:dyDescent="0.25">
      <c r="A2364" s="304" t="s">
        <v>8206</v>
      </c>
      <c r="B2364" s="303" t="str">
        <f t="shared" si="36"/>
        <v>x06001550</v>
      </c>
      <c r="C2364" t="s">
        <v>4</v>
      </c>
      <c r="D2364" t="s">
        <v>8207</v>
      </c>
      <c r="E2364">
        <v>6</v>
      </c>
      <c r="F2364" t="str">
        <f>IF(AND(Entities[[#This Row],[ENT_TYPE]]="County",RIGHT(Entities[[#This Row],[ENT_NAME]],6)&lt;&gt;"County"),_xlfn.TEXTJOIN(" ",TRUE,Entities[[#This Row],[ENT_NAME]],"County"),Entities[[#This Row],[ENT_NAME]])</f>
        <v>Harris County MUD 345</v>
      </c>
    </row>
    <row r="2365" spans="1:6" x14ac:dyDescent="0.25">
      <c r="A2365" s="302" t="s">
        <v>8208</v>
      </c>
      <c r="B2365" s="303" t="str">
        <f t="shared" si="36"/>
        <v>x06001551</v>
      </c>
      <c r="C2365" t="s">
        <v>4</v>
      </c>
      <c r="D2365" t="s">
        <v>8209</v>
      </c>
      <c r="E2365">
        <v>6</v>
      </c>
      <c r="F2365" t="str">
        <f>IF(AND(Entities[[#This Row],[ENT_TYPE]]="County",RIGHT(Entities[[#This Row],[ENT_NAME]],6)&lt;&gt;"County"),_xlfn.TEXTJOIN(" ",TRUE,Entities[[#This Row],[ENT_NAME]],"County"),Entities[[#This Row],[ENT_NAME]])</f>
        <v>Harris County MUD 341</v>
      </c>
    </row>
    <row r="2366" spans="1:6" x14ac:dyDescent="0.25">
      <c r="A2366" s="304" t="s">
        <v>8210</v>
      </c>
      <c r="B2366" s="303" t="str">
        <f t="shared" si="36"/>
        <v>x06001552</v>
      </c>
      <c r="C2366" t="s">
        <v>4</v>
      </c>
      <c r="D2366" t="s">
        <v>8211</v>
      </c>
      <c r="E2366">
        <v>6</v>
      </c>
      <c r="F2366" t="str">
        <f>IF(AND(Entities[[#This Row],[ENT_TYPE]]="County",RIGHT(Entities[[#This Row],[ENT_NAME]],6)&lt;&gt;"County"),_xlfn.TEXTJOIN(" ",TRUE,Entities[[#This Row],[ENT_NAME]],"County"),Entities[[#This Row],[ENT_NAME]])</f>
        <v>Harris County MUD 33</v>
      </c>
    </row>
    <row r="2367" spans="1:6" x14ac:dyDescent="0.25">
      <c r="A2367" s="302" t="s">
        <v>8212</v>
      </c>
      <c r="B2367" s="303" t="str">
        <f t="shared" si="36"/>
        <v>x06001553</v>
      </c>
      <c r="C2367" t="s">
        <v>4</v>
      </c>
      <c r="D2367" t="s">
        <v>8213</v>
      </c>
      <c r="E2367">
        <v>6</v>
      </c>
      <c r="F2367" t="str">
        <f>IF(AND(Entities[[#This Row],[ENT_TYPE]]="County",RIGHT(Entities[[#This Row],[ENT_NAME]],6)&lt;&gt;"County"),_xlfn.TEXTJOIN(" ",TRUE,Entities[[#This Row],[ENT_NAME]],"County"),Entities[[#This Row],[ENT_NAME]])</f>
        <v>Harris County MUD 316</v>
      </c>
    </row>
    <row r="2368" spans="1:6" x14ac:dyDescent="0.25">
      <c r="A2368" s="304" t="s">
        <v>8214</v>
      </c>
      <c r="B2368" s="303" t="str">
        <f t="shared" si="36"/>
        <v>x06001554</v>
      </c>
      <c r="C2368" t="s">
        <v>4</v>
      </c>
      <c r="D2368" t="s">
        <v>8215</v>
      </c>
      <c r="E2368">
        <v>6</v>
      </c>
      <c r="F2368" t="str">
        <f>IF(AND(Entities[[#This Row],[ENT_TYPE]]="County",RIGHT(Entities[[#This Row],[ENT_NAME]],6)&lt;&gt;"County"),_xlfn.TEXTJOIN(" ",TRUE,Entities[[#This Row],[ENT_NAME]],"County"),Entities[[#This Row],[ENT_NAME]])</f>
        <v>Harris County MUD 284</v>
      </c>
    </row>
    <row r="2369" spans="1:6" x14ac:dyDescent="0.25">
      <c r="A2369" s="302" t="s">
        <v>8216</v>
      </c>
      <c r="B2369" s="303" t="str">
        <f t="shared" si="36"/>
        <v>x06001555</v>
      </c>
      <c r="C2369" t="s">
        <v>4</v>
      </c>
      <c r="D2369" t="s">
        <v>8217</v>
      </c>
      <c r="E2369">
        <v>6</v>
      </c>
      <c r="F2369" t="str">
        <f>IF(AND(Entities[[#This Row],[ENT_TYPE]]="County",RIGHT(Entities[[#This Row],[ENT_NAME]],6)&lt;&gt;"County"),_xlfn.TEXTJOIN(" ",TRUE,Entities[[#This Row],[ENT_NAME]],"County"),Entities[[#This Row],[ENT_NAME]])</f>
        <v>Harris County MUD 264</v>
      </c>
    </row>
    <row r="2370" spans="1:6" x14ac:dyDescent="0.25">
      <c r="A2370" s="304" t="s">
        <v>8218</v>
      </c>
      <c r="B2370" s="303" t="str">
        <f t="shared" ref="B2370:B2433" si="37">_xlfn.CONCAT("x",TEXT(A2370,"00000000"))</f>
        <v>x06001556</v>
      </c>
      <c r="C2370" t="s">
        <v>4</v>
      </c>
      <c r="D2370" t="s">
        <v>8219</v>
      </c>
      <c r="E2370">
        <v>6</v>
      </c>
      <c r="F2370" t="str">
        <f>IF(AND(Entities[[#This Row],[ENT_TYPE]]="County",RIGHT(Entities[[#This Row],[ENT_NAME]],6)&lt;&gt;"County"),_xlfn.TEXTJOIN(" ",TRUE,Entities[[#This Row],[ENT_NAME]],"County"),Entities[[#This Row],[ENT_NAME]])</f>
        <v>Harris County MUD 255</v>
      </c>
    </row>
    <row r="2371" spans="1:6" x14ac:dyDescent="0.25">
      <c r="A2371" s="302" t="s">
        <v>8220</v>
      </c>
      <c r="B2371" s="303" t="str">
        <f t="shared" si="37"/>
        <v>x06001557</v>
      </c>
      <c r="C2371" t="s">
        <v>4</v>
      </c>
      <c r="D2371" t="s">
        <v>8221</v>
      </c>
      <c r="E2371">
        <v>6</v>
      </c>
      <c r="F2371" t="str">
        <f>IF(AND(Entities[[#This Row],[ENT_TYPE]]="County",RIGHT(Entities[[#This Row],[ENT_NAME]],6)&lt;&gt;"County"),_xlfn.TEXTJOIN(" ",TRUE,Entities[[#This Row],[ENT_NAME]],"County"),Entities[[#This Row],[ENT_NAME]])</f>
        <v>Galveston County MUD 29</v>
      </c>
    </row>
    <row r="2372" spans="1:6" x14ac:dyDescent="0.25">
      <c r="A2372" s="302" t="s">
        <v>8222</v>
      </c>
      <c r="B2372" s="303" t="str">
        <f t="shared" si="37"/>
        <v>x06001559</v>
      </c>
      <c r="C2372" t="s">
        <v>4</v>
      </c>
      <c r="D2372" t="s">
        <v>8223</v>
      </c>
      <c r="E2372">
        <v>6</v>
      </c>
      <c r="F2372" t="str">
        <f>IF(AND(Entities[[#This Row],[ENT_TYPE]]="County",RIGHT(Entities[[#This Row],[ENT_NAME]],6)&lt;&gt;"County"),_xlfn.TEXTJOIN(" ",TRUE,Entities[[#This Row],[ENT_NAME]],"County"),Entities[[#This Row],[ENT_NAME]])</f>
        <v>Bilma PUD</v>
      </c>
    </row>
    <row r="2373" spans="1:6" x14ac:dyDescent="0.25">
      <c r="A2373" s="304" t="s">
        <v>8224</v>
      </c>
      <c r="B2373" s="303" t="str">
        <f t="shared" si="37"/>
        <v>x06001560</v>
      </c>
      <c r="C2373" t="s">
        <v>4</v>
      </c>
      <c r="D2373" t="s">
        <v>8225</v>
      </c>
      <c r="E2373">
        <v>6</v>
      </c>
      <c r="F2373" t="str">
        <f>IF(AND(Entities[[#This Row],[ENT_TYPE]]="County",RIGHT(Entities[[#This Row],[ENT_NAME]],6)&lt;&gt;"County"),_xlfn.TEXTJOIN(" ",TRUE,Entities[[#This Row],[ENT_NAME]],"County"),Entities[[#This Row],[ENT_NAME]])</f>
        <v>Harris County MUD 26</v>
      </c>
    </row>
    <row r="2374" spans="1:6" x14ac:dyDescent="0.25">
      <c r="A2374" s="302" t="s">
        <v>8226</v>
      </c>
      <c r="B2374" s="303" t="str">
        <f t="shared" si="37"/>
        <v>x06001564</v>
      </c>
      <c r="C2374" t="s">
        <v>4</v>
      </c>
      <c r="D2374" t="s">
        <v>8227</v>
      </c>
      <c r="E2374">
        <v>6</v>
      </c>
      <c r="F2374" t="str">
        <f>IF(AND(Entities[[#This Row],[ENT_TYPE]]="County",RIGHT(Entities[[#This Row],[ENT_NAME]],6)&lt;&gt;"County"),_xlfn.TEXTJOIN(" ",TRUE,Entities[[#This Row],[ENT_NAME]],"County"),Entities[[#This Row],[ENT_NAME]])</f>
        <v>Harris County MUD 278</v>
      </c>
    </row>
    <row r="2375" spans="1:6" x14ac:dyDescent="0.25">
      <c r="A2375" s="304" t="s">
        <v>8228</v>
      </c>
      <c r="B2375" s="303" t="str">
        <f t="shared" si="37"/>
        <v>x06001566</v>
      </c>
      <c r="C2375" t="s">
        <v>4</v>
      </c>
      <c r="D2375" t="s">
        <v>8229</v>
      </c>
      <c r="E2375">
        <v>6</v>
      </c>
      <c r="F2375" t="str">
        <f>IF(AND(Entities[[#This Row],[ENT_TYPE]]="County",RIGHT(Entities[[#This Row],[ENT_NAME]],6)&lt;&gt;"County"),_xlfn.TEXTJOIN(" ",TRUE,Entities[[#This Row],[ENT_NAME]],"County"),Entities[[#This Row],[ENT_NAME]])</f>
        <v>Rankin Road West MUD</v>
      </c>
    </row>
    <row r="2376" spans="1:6" x14ac:dyDescent="0.25">
      <c r="A2376" s="302" t="s">
        <v>8230</v>
      </c>
      <c r="B2376" s="303" t="str">
        <f t="shared" si="37"/>
        <v>x06001567</v>
      </c>
      <c r="C2376" t="s">
        <v>4</v>
      </c>
      <c r="D2376" t="s">
        <v>8231</v>
      </c>
      <c r="E2376">
        <v>6</v>
      </c>
      <c r="F2376" t="str">
        <f>IF(AND(Entities[[#This Row],[ENT_TYPE]]="County",RIGHT(Entities[[#This Row],[ENT_NAME]],6)&lt;&gt;"County"),_xlfn.TEXTJOIN(" ",TRUE,Entities[[#This Row],[ENT_NAME]],"County"),Entities[[#This Row],[ENT_NAME]])</f>
        <v>Baker Road MUD</v>
      </c>
    </row>
    <row r="2377" spans="1:6" x14ac:dyDescent="0.25">
      <c r="A2377" s="304" t="s">
        <v>8232</v>
      </c>
      <c r="B2377" s="303" t="str">
        <f t="shared" si="37"/>
        <v>x06001568</v>
      </c>
      <c r="C2377" t="s">
        <v>4</v>
      </c>
      <c r="D2377" t="s">
        <v>8233</v>
      </c>
      <c r="E2377">
        <v>6</v>
      </c>
      <c r="F2377" t="str">
        <f>IF(AND(Entities[[#This Row],[ENT_TYPE]]="County",RIGHT(Entities[[#This Row],[ENT_NAME]],6)&lt;&gt;"County"),_xlfn.TEXTJOIN(" ",TRUE,Entities[[#This Row],[ENT_NAME]],"County"),Entities[[#This Row],[ENT_NAME]])</f>
        <v>Jackrabbit Road PUD</v>
      </c>
    </row>
    <row r="2378" spans="1:6" x14ac:dyDescent="0.25">
      <c r="A2378" s="302" t="s">
        <v>8234</v>
      </c>
      <c r="B2378" s="303" t="str">
        <f t="shared" si="37"/>
        <v>x06001569</v>
      </c>
      <c r="C2378" t="s">
        <v>4</v>
      </c>
      <c r="D2378" t="s">
        <v>8235</v>
      </c>
      <c r="E2378">
        <v>6</v>
      </c>
      <c r="F2378" t="str">
        <f>IF(AND(Entities[[#This Row],[ENT_TYPE]]="County",RIGHT(Entities[[#This Row],[ENT_NAME]],6)&lt;&gt;"County"),_xlfn.TEXTJOIN(" ",TRUE,Entities[[#This Row],[ENT_NAME]],"County"),Entities[[#This Row],[ENT_NAME]])</f>
        <v>Louetta Road Utility Dristrict</v>
      </c>
    </row>
    <row r="2379" spans="1:6" x14ac:dyDescent="0.25">
      <c r="A2379" s="304" t="s">
        <v>8236</v>
      </c>
      <c r="B2379" s="303" t="str">
        <f t="shared" si="37"/>
        <v>x06001572</v>
      </c>
      <c r="C2379" t="s">
        <v>4</v>
      </c>
      <c r="D2379" t="s">
        <v>8237</v>
      </c>
      <c r="E2379">
        <v>6</v>
      </c>
      <c r="F2379" t="str">
        <f>IF(AND(Entities[[#This Row],[ENT_TYPE]]="County",RIGHT(Entities[[#This Row],[ENT_NAME]],6)&lt;&gt;"County"),_xlfn.TEXTJOIN(" ",TRUE,Entities[[#This Row],[ENT_NAME]],"County"),Entities[[#This Row],[ENT_NAME]])</f>
        <v>North Channel Water Authority</v>
      </c>
    </row>
    <row r="2380" spans="1:6" x14ac:dyDescent="0.25">
      <c r="A2380" s="302" t="s">
        <v>8238</v>
      </c>
      <c r="B2380" s="303" t="str">
        <f t="shared" si="37"/>
        <v>x06001573</v>
      </c>
      <c r="C2380" t="s">
        <v>4</v>
      </c>
      <c r="D2380" t="s">
        <v>8239</v>
      </c>
      <c r="E2380">
        <v>6</v>
      </c>
      <c r="F2380" t="str">
        <f>IF(AND(Entities[[#This Row],[ENT_TYPE]]="County",RIGHT(Entities[[#This Row],[ENT_NAME]],6)&lt;&gt;"County"),_xlfn.TEXTJOIN(" ",TRUE,Entities[[#This Row],[ENT_NAME]],"County"),Entities[[#This Row],[ENT_NAME]])</f>
        <v>Harris County Improvement District 18</v>
      </c>
    </row>
    <row r="2381" spans="1:6" x14ac:dyDescent="0.25">
      <c r="A2381" s="304" t="s">
        <v>8240</v>
      </c>
      <c r="B2381" s="303" t="str">
        <f t="shared" si="37"/>
        <v>x06001576</v>
      </c>
      <c r="C2381" t="s">
        <v>4</v>
      </c>
      <c r="D2381" t="s">
        <v>8241</v>
      </c>
      <c r="E2381">
        <v>6</v>
      </c>
      <c r="F2381" t="str">
        <f>IF(AND(Entities[[#This Row],[ENT_TYPE]]="County",RIGHT(Entities[[#This Row],[ENT_NAME]],6)&lt;&gt;"County"),_xlfn.TEXTJOIN(" ",TRUE,Entities[[#This Row],[ENT_NAME]],"County"),Entities[[#This Row],[ENT_NAME]])</f>
        <v>Harris County FWSD 61</v>
      </c>
    </row>
    <row r="2382" spans="1:6" x14ac:dyDescent="0.25">
      <c r="A2382" s="302" t="s">
        <v>8242</v>
      </c>
      <c r="B2382" s="303" t="str">
        <f t="shared" si="37"/>
        <v>x06001577</v>
      </c>
      <c r="C2382" t="s">
        <v>4</v>
      </c>
      <c r="D2382" t="s">
        <v>8243</v>
      </c>
      <c r="E2382">
        <v>6</v>
      </c>
      <c r="F2382" t="str">
        <f>IF(AND(Entities[[#This Row],[ENT_TYPE]]="County",RIGHT(Entities[[#This Row],[ENT_NAME]],6)&lt;&gt;"County"),_xlfn.TEXTJOIN(" ",TRUE,Entities[[#This Row],[ENT_NAME]],"County"),Entities[[#This Row],[ENT_NAME]])</f>
        <v>Waller County Road Improvement District 1</v>
      </c>
    </row>
    <row r="2383" spans="1:6" x14ac:dyDescent="0.25">
      <c r="A2383" s="304" t="s">
        <v>8244</v>
      </c>
      <c r="B2383" s="303" t="str">
        <f t="shared" si="37"/>
        <v>x06001579</v>
      </c>
      <c r="C2383" t="s">
        <v>4</v>
      </c>
      <c r="D2383" t="s">
        <v>8245</v>
      </c>
      <c r="E2383">
        <v>6</v>
      </c>
      <c r="F2383" t="str">
        <f>IF(AND(Entities[[#This Row],[ENT_TYPE]]="County",RIGHT(Entities[[#This Row],[ENT_NAME]],6)&lt;&gt;"County"),_xlfn.TEXTJOIN(" ",TRUE,Entities[[#This Row],[ENT_NAME]],"County"),Entities[[#This Row],[ENT_NAME]])</f>
        <v>Harris-Liberty Counties MUD 1</v>
      </c>
    </row>
    <row r="2384" spans="1:6" x14ac:dyDescent="0.25">
      <c r="A2384" s="302" t="s">
        <v>8246</v>
      </c>
      <c r="B2384" s="303" t="str">
        <f t="shared" si="37"/>
        <v>x06001580</v>
      </c>
      <c r="C2384" t="s">
        <v>4</v>
      </c>
      <c r="D2384" t="s">
        <v>8247</v>
      </c>
      <c r="E2384">
        <v>6</v>
      </c>
      <c r="F2384" t="str">
        <f>IF(AND(Entities[[#This Row],[ENT_TYPE]]="County",RIGHT(Entities[[#This Row],[ENT_NAME]],6)&lt;&gt;"County"),_xlfn.TEXTJOIN(" ",TRUE,Entities[[#This Row],[ENT_NAME]],"County"),Entities[[#This Row],[ENT_NAME]])</f>
        <v>La Porte Area Water Authority</v>
      </c>
    </row>
    <row r="2385" spans="1:6" x14ac:dyDescent="0.25">
      <c r="A2385" s="302" t="s">
        <v>8248</v>
      </c>
      <c r="B2385" s="303" t="str">
        <f t="shared" si="37"/>
        <v>x06001583</v>
      </c>
      <c r="C2385" t="s">
        <v>5166</v>
      </c>
      <c r="D2385" t="s">
        <v>8249</v>
      </c>
      <c r="E2385">
        <v>6</v>
      </c>
      <c r="F2385" t="str">
        <f>IF(AND(Entities[[#This Row],[ENT_TYPE]]="County",RIGHT(Entities[[#This Row],[ENT_NAME]],6)&lt;&gt;"County"),_xlfn.TEXTJOIN(" ",TRUE,Entities[[#This Row],[ENT_NAME]],"County"),Entities[[#This Row],[ENT_NAME]])</f>
        <v>Brazoria Drainage District 4</v>
      </c>
    </row>
    <row r="2386" spans="1:6" x14ac:dyDescent="0.25">
      <c r="A2386" s="304" t="s">
        <v>8250</v>
      </c>
      <c r="B2386" s="303" t="str">
        <f t="shared" si="37"/>
        <v>x06001589</v>
      </c>
      <c r="C2386" t="s">
        <v>4</v>
      </c>
      <c r="D2386" t="s">
        <v>8251</v>
      </c>
      <c r="E2386">
        <v>6</v>
      </c>
      <c r="F2386" t="str">
        <f>IF(AND(Entities[[#This Row],[ENT_TYPE]]="County",RIGHT(Entities[[#This Row],[ENT_NAME]],6)&lt;&gt;"County"),_xlfn.TEXTJOIN(" ",TRUE,Entities[[#This Row],[ENT_NAME]],"County"),Entities[[#This Row],[ENT_NAME]])</f>
        <v>Liberty County MUD 2</v>
      </c>
    </row>
    <row r="2387" spans="1:6" x14ac:dyDescent="0.25">
      <c r="A2387" s="302" t="s">
        <v>8252</v>
      </c>
      <c r="B2387" s="303" t="str">
        <f t="shared" si="37"/>
        <v>x06001590</v>
      </c>
      <c r="C2387" t="s">
        <v>4</v>
      </c>
      <c r="D2387" t="s">
        <v>8253</v>
      </c>
      <c r="E2387">
        <v>6</v>
      </c>
      <c r="F2387" t="str">
        <f>IF(AND(Entities[[#This Row],[ENT_TYPE]]="County",RIGHT(Entities[[#This Row],[ENT_NAME]],6)&lt;&gt;"County"),_xlfn.TEXTJOIN(" ",TRUE,Entities[[#This Row],[ENT_NAME]],"County"),Entities[[#This Row],[ENT_NAME]])</f>
        <v>Liberty County MUD 3</v>
      </c>
    </row>
    <row r="2388" spans="1:6" x14ac:dyDescent="0.25">
      <c r="A2388" s="304" t="s">
        <v>8254</v>
      </c>
      <c r="B2388" s="303" t="str">
        <f t="shared" si="37"/>
        <v>x06001592</v>
      </c>
      <c r="C2388" t="s">
        <v>4</v>
      </c>
      <c r="D2388" t="s">
        <v>8255</v>
      </c>
      <c r="E2388">
        <v>6</v>
      </c>
      <c r="F2388" t="str">
        <f>IF(AND(Entities[[#This Row],[ENT_TYPE]]="County",RIGHT(Entities[[#This Row],[ENT_NAME]],6)&lt;&gt;"County"),_xlfn.TEXTJOIN(" ",TRUE,Entities[[#This Row],[ENT_NAME]],"County"),Entities[[#This Row],[ENT_NAME]])</f>
        <v>Galveston County MUD 35</v>
      </c>
    </row>
    <row r="2389" spans="1:6" x14ac:dyDescent="0.25">
      <c r="A2389" s="302" t="s">
        <v>8256</v>
      </c>
      <c r="B2389" s="303" t="str">
        <f t="shared" si="37"/>
        <v>x06001594</v>
      </c>
      <c r="C2389" t="s">
        <v>4</v>
      </c>
      <c r="D2389" t="s">
        <v>8257</v>
      </c>
      <c r="E2389">
        <v>6</v>
      </c>
      <c r="F2389" t="str">
        <f>IF(AND(Entities[[#This Row],[ENT_TYPE]]="County",RIGHT(Entities[[#This Row],[ENT_NAME]],6)&lt;&gt;"County"),_xlfn.TEXTJOIN(" ",TRUE,Entities[[#This Row],[ENT_NAME]],"County"),Entities[[#This Row],[ENT_NAME]])</f>
        <v>East Montgomery County MUD 4</v>
      </c>
    </row>
    <row r="2390" spans="1:6" x14ac:dyDescent="0.25">
      <c r="A2390" s="304" t="s">
        <v>8258</v>
      </c>
      <c r="B2390" s="303" t="str">
        <f t="shared" si="37"/>
        <v>x06001596</v>
      </c>
      <c r="C2390" t="s">
        <v>4</v>
      </c>
      <c r="D2390" t="s">
        <v>8259</v>
      </c>
      <c r="E2390">
        <v>6</v>
      </c>
      <c r="F2390" t="str">
        <f>IF(AND(Entities[[#This Row],[ENT_TYPE]]="County",RIGHT(Entities[[#This Row],[ENT_NAME]],6)&lt;&gt;"County"),_xlfn.TEXTJOIN(" ",TRUE,Entities[[#This Row],[ENT_NAME]],"County"),Entities[[#This Row],[ENT_NAME]])</f>
        <v>Harris County MUD 404</v>
      </c>
    </row>
    <row r="2391" spans="1:6" x14ac:dyDescent="0.25">
      <c r="A2391" s="302" t="s">
        <v>8260</v>
      </c>
      <c r="B2391" s="303" t="str">
        <f t="shared" si="37"/>
        <v>x06001597</v>
      </c>
      <c r="C2391" t="s">
        <v>4</v>
      </c>
      <c r="D2391" t="s">
        <v>8261</v>
      </c>
      <c r="E2391">
        <v>6</v>
      </c>
      <c r="F2391" t="str">
        <f>IF(AND(Entities[[#This Row],[ENT_TYPE]]="County",RIGHT(Entities[[#This Row],[ENT_NAME]],6)&lt;&gt;"County"),_xlfn.TEXTJOIN(" ",TRUE,Entities[[#This Row],[ENT_NAME]],"County"),Entities[[#This Row],[ENT_NAME]])</f>
        <v>Galveston County MUD 51</v>
      </c>
    </row>
    <row r="2392" spans="1:6" x14ac:dyDescent="0.25">
      <c r="A2392" s="304" t="s">
        <v>8262</v>
      </c>
      <c r="B2392" s="303" t="str">
        <f t="shared" si="37"/>
        <v>x06001598</v>
      </c>
      <c r="C2392" t="s">
        <v>4</v>
      </c>
      <c r="D2392" t="s">
        <v>8263</v>
      </c>
      <c r="E2392">
        <v>6</v>
      </c>
      <c r="F2392" t="str">
        <f>IF(AND(Entities[[#This Row],[ENT_TYPE]]="County",RIGHT(Entities[[#This Row],[ENT_NAME]],6)&lt;&gt;"County"),_xlfn.TEXTJOIN(" ",TRUE,Entities[[#This Row],[ENT_NAME]],"County"),Entities[[#This Row],[ENT_NAME]])</f>
        <v>Harris County MUD 403</v>
      </c>
    </row>
    <row r="2393" spans="1:6" x14ac:dyDescent="0.25">
      <c r="A2393" s="302" t="s">
        <v>8264</v>
      </c>
      <c r="B2393" s="303" t="str">
        <f t="shared" si="37"/>
        <v>x06001604</v>
      </c>
      <c r="C2393" t="s">
        <v>4</v>
      </c>
      <c r="D2393" t="s">
        <v>8265</v>
      </c>
      <c r="E2393">
        <v>6</v>
      </c>
      <c r="F2393" t="str">
        <f>IF(AND(Entities[[#This Row],[ENT_TYPE]]="County",RIGHT(Entities[[#This Row],[ENT_NAME]],6)&lt;&gt;"County"),_xlfn.TEXTJOIN(" ",TRUE,Entities[[#This Row],[ENT_NAME]],"County"),Entities[[#This Row],[ENT_NAME]])</f>
        <v>Pine Foest MUD</v>
      </c>
    </row>
    <row r="2394" spans="1:6" x14ac:dyDescent="0.25">
      <c r="A2394" s="304" t="s">
        <v>8266</v>
      </c>
      <c r="B2394" s="303" t="str">
        <f t="shared" si="37"/>
        <v>x06001605</v>
      </c>
      <c r="C2394" t="s">
        <v>4</v>
      </c>
      <c r="D2394" t="s">
        <v>8267</v>
      </c>
      <c r="E2394">
        <v>6</v>
      </c>
      <c r="F2394" t="str">
        <f>IF(AND(Entities[[#This Row],[ENT_TYPE]]="County",RIGHT(Entities[[#This Row],[ENT_NAME]],6)&lt;&gt;"County"),_xlfn.TEXTJOIN(" ",TRUE,Entities[[#This Row],[ENT_NAME]],"County"),Entities[[#This Row],[ENT_NAME]])</f>
        <v>Pine Village PUD</v>
      </c>
    </row>
    <row r="2395" spans="1:6" x14ac:dyDescent="0.25">
      <c r="A2395" s="302" t="s">
        <v>8268</v>
      </c>
      <c r="B2395" s="303" t="str">
        <f t="shared" si="37"/>
        <v>x06001606</v>
      </c>
      <c r="C2395" t="s">
        <v>4</v>
      </c>
      <c r="D2395" t="s">
        <v>8269</v>
      </c>
      <c r="E2395">
        <v>6</v>
      </c>
      <c r="F2395" t="str">
        <f>IF(AND(Entities[[#This Row],[ENT_TYPE]]="County",RIGHT(Entities[[#This Row],[ENT_NAME]],6)&lt;&gt;"County"),_xlfn.TEXTJOIN(" ",TRUE,Entities[[#This Row],[ENT_NAME]],"County"),Entities[[#This Row],[ENT_NAME]])</f>
        <v>Renn Road MUD</v>
      </c>
    </row>
    <row r="2396" spans="1:6" x14ac:dyDescent="0.25">
      <c r="A2396" s="304" t="s">
        <v>8270</v>
      </c>
      <c r="B2396" s="303" t="str">
        <f t="shared" si="37"/>
        <v>x06001611</v>
      </c>
      <c r="C2396" t="s">
        <v>4</v>
      </c>
      <c r="D2396" t="s">
        <v>8271</v>
      </c>
      <c r="E2396">
        <v>6</v>
      </c>
      <c r="F2396" t="str">
        <f>IF(AND(Entities[[#This Row],[ENT_TYPE]]="County",RIGHT(Entities[[#This Row],[ENT_NAME]],6)&lt;&gt;"County"),_xlfn.TEXTJOIN(" ",TRUE,Entities[[#This Row],[ENT_NAME]],"County"),Entities[[#This Row],[ENT_NAME]])</f>
        <v>Sedona Lakes MUD 1 of Brazoria County</v>
      </c>
    </row>
    <row r="2397" spans="1:6" x14ac:dyDescent="0.25">
      <c r="A2397" s="302" t="s">
        <v>8272</v>
      </c>
      <c r="B2397" s="303" t="str">
        <f t="shared" si="37"/>
        <v>x06001615</v>
      </c>
      <c r="C2397" t="s">
        <v>4</v>
      </c>
      <c r="D2397" t="s">
        <v>8273</v>
      </c>
      <c r="E2397">
        <v>6</v>
      </c>
      <c r="F2397" t="str">
        <f>IF(AND(Entities[[#This Row],[ENT_TYPE]]="County",RIGHT(Entities[[#This Row],[ENT_NAME]],6)&lt;&gt;"County"),_xlfn.TEXTJOIN(" ",TRUE,Entities[[#This Row],[ENT_NAME]],"County"),Entities[[#This Row],[ENT_NAME]])</f>
        <v>Cinco MUD 2</v>
      </c>
    </row>
    <row r="2398" spans="1:6" x14ac:dyDescent="0.25">
      <c r="A2398" s="304" t="s">
        <v>8274</v>
      </c>
      <c r="B2398" s="303" t="str">
        <f t="shared" si="37"/>
        <v>x06001621</v>
      </c>
      <c r="C2398" t="s">
        <v>4</v>
      </c>
      <c r="D2398" t="s">
        <v>8275</v>
      </c>
      <c r="E2398">
        <v>6</v>
      </c>
      <c r="F2398" t="str">
        <f>IF(AND(Entities[[#This Row],[ENT_TYPE]]="County",RIGHT(Entities[[#This Row],[ENT_NAME]],6)&lt;&gt;"County"),_xlfn.TEXTJOIN(" ",TRUE,Entities[[#This Row],[ENT_NAME]],"County"),Entities[[#This Row],[ENT_NAME]])</f>
        <v>Inverness Forest Improvement District</v>
      </c>
    </row>
    <row r="2399" spans="1:6" x14ac:dyDescent="0.25">
      <c r="A2399" s="302" t="s">
        <v>8276</v>
      </c>
      <c r="B2399" s="303" t="str">
        <f t="shared" si="37"/>
        <v>x06001622</v>
      </c>
      <c r="C2399" t="s">
        <v>4</v>
      </c>
      <c r="D2399" t="s">
        <v>8277</v>
      </c>
      <c r="E2399">
        <v>6</v>
      </c>
      <c r="F2399" t="str">
        <f>IF(AND(Entities[[#This Row],[ENT_TYPE]]="County",RIGHT(Entities[[#This Row],[ENT_NAME]],6)&lt;&gt;"County"),_xlfn.TEXTJOIN(" ",TRUE,Entities[[#This Row],[ENT_NAME]],"County"),Entities[[#This Row],[ENT_NAME]])</f>
        <v>Harris County WCID 116</v>
      </c>
    </row>
    <row r="2400" spans="1:6" x14ac:dyDescent="0.25">
      <c r="A2400" s="304" t="s">
        <v>8278</v>
      </c>
      <c r="B2400" s="303" t="str">
        <f t="shared" si="37"/>
        <v>x06001623</v>
      </c>
      <c r="C2400" t="s">
        <v>4</v>
      </c>
      <c r="D2400" t="s">
        <v>8279</v>
      </c>
      <c r="E2400">
        <v>6</v>
      </c>
      <c r="F2400" t="str">
        <f>IF(AND(Entities[[#This Row],[ENT_TYPE]]="County",RIGHT(Entities[[#This Row],[ENT_NAME]],6)&lt;&gt;"County"),_xlfn.TEXTJOIN(" ",TRUE,Entities[[#This Row],[ENT_NAME]],"County"),Entities[[#This Row],[ENT_NAME]])</f>
        <v>Harris County WCID 1</v>
      </c>
    </row>
    <row r="2401" spans="1:6" x14ac:dyDescent="0.25">
      <c r="A2401" s="304" t="s">
        <v>8280</v>
      </c>
      <c r="B2401" s="303" t="str">
        <f t="shared" si="37"/>
        <v>x06001624</v>
      </c>
      <c r="C2401" t="s">
        <v>4</v>
      </c>
      <c r="D2401" t="s">
        <v>8281</v>
      </c>
      <c r="E2401">
        <v>6</v>
      </c>
      <c r="F2401" t="str">
        <f>IF(AND(Entities[[#This Row],[ENT_TYPE]]="County",RIGHT(Entities[[#This Row],[ENT_NAME]],6)&lt;&gt;"County"),_xlfn.TEXTJOIN(" ",TRUE,Entities[[#This Row],[ENT_NAME]],"County"),Entities[[#This Row],[ENT_NAME]])</f>
        <v>Houston Downtown Management District</v>
      </c>
    </row>
    <row r="2402" spans="1:6" x14ac:dyDescent="0.25">
      <c r="A2402" s="302" t="s">
        <v>8282</v>
      </c>
      <c r="B2402" s="303" t="str">
        <f t="shared" si="37"/>
        <v>x06001625</v>
      </c>
      <c r="C2402" t="s">
        <v>4</v>
      </c>
      <c r="D2402" t="s">
        <v>8283</v>
      </c>
      <c r="E2402">
        <v>6</v>
      </c>
      <c r="F2402" t="str">
        <f>IF(AND(Entities[[#This Row],[ENT_TYPE]]="County",RIGHT(Entities[[#This Row],[ENT_NAME]],6)&lt;&gt;"County"),_xlfn.TEXTJOIN(" ",TRUE,Entities[[#This Row],[ENT_NAME]],"County"),Entities[[#This Row],[ENT_NAME]])</f>
        <v>West Harris County MUD 6</v>
      </c>
    </row>
    <row r="2403" spans="1:6" x14ac:dyDescent="0.25">
      <c r="A2403" s="304" t="s">
        <v>8284</v>
      </c>
      <c r="B2403" s="303" t="str">
        <f t="shared" si="37"/>
        <v>x06001626</v>
      </c>
      <c r="C2403" t="s">
        <v>4</v>
      </c>
      <c r="D2403" t="s">
        <v>8285</v>
      </c>
      <c r="E2403">
        <v>6</v>
      </c>
      <c r="F2403" t="str">
        <f>IF(AND(Entities[[#This Row],[ENT_TYPE]]="County",RIGHT(Entities[[#This Row],[ENT_NAME]],6)&lt;&gt;"County"),_xlfn.TEXTJOIN(" ",TRUE,Entities[[#This Row],[ENT_NAME]],"County"),Entities[[#This Row],[ENT_NAME]])</f>
        <v>West Harris County MUD 4</v>
      </c>
    </row>
    <row r="2404" spans="1:6" x14ac:dyDescent="0.25">
      <c r="A2404" s="302" t="s">
        <v>8286</v>
      </c>
      <c r="B2404" s="303" t="str">
        <f t="shared" si="37"/>
        <v>x06001627</v>
      </c>
      <c r="C2404" t="s">
        <v>4</v>
      </c>
      <c r="D2404" t="s">
        <v>8287</v>
      </c>
      <c r="E2404">
        <v>6</v>
      </c>
      <c r="F2404" t="str">
        <f>IF(AND(Entities[[#This Row],[ENT_TYPE]]="County",RIGHT(Entities[[#This Row],[ENT_NAME]],6)&lt;&gt;"County"),_xlfn.TEXTJOIN(" ",TRUE,Entities[[#This Row],[ENT_NAME]],"County"),Entities[[#This Row],[ENT_NAME]])</f>
        <v>West Harris County MUD 16</v>
      </c>
    </row>
    <row r="2405" spans="1:6" x14ac:dyDescent="0.25">
      <c r="A2405" s="304" t="s">
        <v>8288</v>
      </c>
      <c r="B2405" s="303" t="str">
        <f t="shared" si="37"/>
        <v>x06001628</v>
      </c>
      <c r="C2405" t="s">
        <v>4</v>
      </c>
      <c r="D2405" t="s">
        <v>8289</v>
      </c>
      <c r="E2405">
        <v>6</v>
      </c>
      <c r="F2405" t="str">
        <f>IF(AND(Entities[[#This Row],[ENT_TYPE]]="County",RIGHT(Entities[[#This Row],[ENT_NAME]],6)&lt;&gt;"County"),_xlfn.TEXTJOIN(" ",TRUE,Entities[[#This Row],[ENT_NAME]],"County"),Entities[[#This Row],[ENT_NAME]])</f>
        <v>West Harris County MUD 14</v>
      </c>
    </row>
    <row r="2406" spans="1:6" x14ac:dyDescent="0.25">
      <c r="A2406" s="302" t="s">
        <v>8290</v>
      </c>
      <c r="B2406" s="303" t="str">
        <f t="shared" si="37"/>
        <v>x06001629</v>
      </c>
      <c r="C2406" t="s">
        <v>4</v>
      </c>
      <c r="D2406" t="s">
        <v>8291</v>
      </c>
      <c r="E2406">
        <v>6</v>
      </c>
      <c r="F2406" t="str">
        <f>IF(AND(Entities[[#This Row],[ENT_TYPE]]="County",RIGHT(Entities[[#This Row],[ENT_NAME]],6)&lt;&gt;"County"),_xlfn.TEXTJOIN(" ",TRUE,Entities[[#This Row],[ENT_NAME]],"County"),Entities[[#This Row],[ENT_NAME]])</f>
        <v>West Harris County MUD 10</v>
      </c>
    </row>
    <row r="2407" spans="1:6" x14ac:dyDescent="0.25">
      <c r="A2407" s="304" t="s">
        <v>8292</v>
      </c>
      <c r="B2407" s="303" t="str">
        <f t="shared" si="37"/>
        <v>x06001630</v>
      </c>
      <c r="C2407" t="s">
        <v>4</v>
      </c>
      <c r="D2407" t="s">
        <v>8293</v>
      </c>
      <c r="E2407">
        <v>6</v>
      </c>
      <c r="F2407" t="str">
        <f>IF(AND(Entities[[#This Row],[ENT_TYPE]]="County",RIGHT(Entities[[#This Row],[ENT_NAME]],6)&lt;&gt;"County"),_xlfn.TEXTJOIN(" ",TRUE,Entities[[#This Row],[ENT_NAME]],"County"),Entities[[#This Row],[ENT_NAME]])</f>
        <v>Spanish Cove PUD</v>
      </c>
    </row>
    <row r="2408" spans="1:6" x14ac:dyDescent="0.25">
      <c r="A2408" s="302" t="s">
        <v>8294</v>
      </c>
      <c r="B2408" s="303" t="str">
        <f t="shared" si="37"/>
        <v>x06001631</v>
      </c>
      <c r="C2408" t="s">
        <v>4</v>
      </c>
      <c r="D2408" t="s">
        <v>8295</v>
      </c>
      <c r="E2408">
        <v>6</v>
      </c>
      <c r="F2408" t="str">
        <f>IF(AND(Entities[[#This Row],[ENT_TYPE]]="County",RIGHT(Entities[[#This Row],[ENT_NAME]],6)&lt;&gt;"County"),_xlfn.TEXTJOIN(" ",TRUE,Entities[[#This Row],[ENT_NAME]],"County"),Entities[[#This Row],[ENT_NAME]])</f>
        <v>Southbend MUD</v>
      </c>
    </row>
    <row r="2409" spans="1:6" x14ac:dyDescent="0.25">
      <c r="A2409" s="304" t="s">
        <v>8296</v>
      </c>
      <c r="B2409" s="303" t="str">
        <f t="shared" si="37"/>
        <v>x06001632</v>
      </c>
      <c r="C2409" t="s">
        <v>4</v>
      </c>
      <c r="D2409" t="s">
        <v>8297</v>
      </c>
      <c r="E2409">
        <v>6</v>
      </c>
      <c r="F2409" t="str">
        <f>IF(AND(Entities[[#This Row],[ENT_TYPE]]="County",RIGHT(Entities[[#This Row],[ENT_NAME]],6)&lt;&gt;"County"),_xlfn.TEXTJOIN(" ",TRUE,Entities[[#This Row],[ENT_NAME]],"County"),Entities[[#This Row],[ENT_NAME]])</f>
        <v>Sequoia Improvement District</v>
      </c>
    </row>
    <row r="2410" spans="1:6" x14ac:dyDescent="0.25">
      <c r="A2410" s="302" t="s">
        <v>8298</v>
      </c>
      <c r="B2410" s="303" t="str">
        <f t="shared" si="37"/>
        <v>x06001633</v>
      </c>
      <c r="C2410" t="s">
        <v>4</v>
      </c>
      <c r="D2410" t="s">
        <v>8299</v>
      </c>
      <c r="E2410">
        <v>6</v>
      </c>
      <c r="F2410" t="str">
        <f>IF(AND(Entities[[#This Row],[ENT_TYPE]]="County",RIGHT(Entities[[#This Row],[ENT_NAME]],6)&lt;&gt;"County"),_xlfn.TEXTJOIN(" ",TRUE,Entities[[#This Row],[ENT_NAME]],"County"),Entities[[#This Row],[ENT_NAME]])</f>
        <v>Robin PUD</v>
      </c>
    </row>
    <row r="2411" spans="1:6" x14ac:dyDescent="0.25">
      <c r="A2411" s="304" t="s">
        <v>8300</v>
      </c>
      <c r="B2411" s="303" t="str">
        <f t="shared" si="37"/>
        <v>x06001634</v>
      </c>
      <c r="C2411" t="s">
        <v>4</v>
      </c>
      <c r="D2411" t="s">
        <v>8301</v>
      </c>
      <c r="E2411">
        <v>6</v>
      </c>
      <c r="F2411" t="str">
        <f>IF(AND(Entities[[#This Row],[ENT_TYPE]]="County",RIGHT(Entities[[#This Row],[ENT_NAME]],6)&lt;&gt;"County"),_xlfn.TEXTJOIN(" ",TRUE,Entities[[#This Row],[ENT_NAME]],"County"),Entities[[#This Row],[ENT_NAME]])</f>
        <v>Northwest Harris County MUD 27</v>
      </c>
    </row>
    <row r="2412" spans="1:6" x14ac:dyDescent="0.25">
      <c r="A2412" s="302" t="s">
        <v>8302</v>
      </c>
      <c r="B2412" s="303" t="str">
        <f t="shared" si="37"/>
        <v>x06001640</v>
      </c>
      <c r="C2412" t="s">
        <v>4</v>
      </c>
      <c r="D2412" t="s">
        <v>8303</v>
      </c>
      <c r="E2412">
        <v>6</v>
      </c>
      <c r="F2412" t="str">
        <f>IF(AND(Entities[[#This Row],[ENT_TYPE]]="County",RIGHT(Entities[[#This Row],[ENT_NAME]],6)&lt;&gt;"County"),_xlfn.TEXTJOIN(" ",TRUE,Entities[[#This Row],[ENT_NAME]],"County"),Entities[[#This Row],[ENT_NAME]])</f>
        <v>Cinco MUD 5</v>
      </c>
    </row>
    <row r="2413" spans="1:6" x14ac:dyDescent="0.25">
      <c r="A2413" s="304" t="s">
        <v>8304</v>
      </c>
      <c r="B2413" s="303" t="str">
        <f t="shared" si="37"/>
        <v>x06001641</v>
      </c>
      <c r="C2413" t="s">
        <v>4</v>
      </c>
      <c r="D2413" t="s">
        <v>8305</v>
      </c>
      <c r="E2413">
        <v>6</v>
      </c>
      <c r="F2413" t="str">
        <f>IF(AND(Entities[[#This Row],[ENT_TYPE]]="County",RIGHT(Entities[[#This Row],[ENT_NAME]],6)&lt;&gt;"County"),_xlfn.TEXTJOIN(" ",TRUE,Entities[[#This Row],[ENT_NAME]],"County"),Entities[[#This Row],[ENT_NAME]])</f>
        <v>Cinco MUD 3</v>
      </c>
    </row>
    <row r="2414" spans="1:6" x14ac:dyDescent="0.25">
      <c r="A2414" s="302" t="s">
        <v>8306</v>
      </c>
      <c r="B2414" s="303" t="str">
        <f t="shared" si="37"/>
        <v>x06001642</v>
      </c>
      <c r="C2414" t="s">
        <v>4</v>
      </c>
      <c r="D2414" t="s">
        <v>8307</v>
      </c>
      <c r="E2414">
        <v>6</v>
      </c>
      <c r="F2414" t="str">
        <f>IF(AND(Entities[[#This Row],[ENT_TYPE]]="County",RIGHT(Entities[[#This Row],[ENT_NAME]],6)&lt;&gt;"County"),_xlfn.TEXTJOIN(" ",TRUE,Entities[[#This Row],[ENT_NAME]],"County"),Entities[[#This Row],[ENT_NAME]])</f>
        <v>Cinco MUD 10</v>
      </c>
    </row>
    <row r="2415" spans="1:6" x14ac:dyDescent="0.25">
      <c r="A2415" s="304" t="s">
        <v>8308</v>
      </c>
      <c r="B2415" s="303" t="str">
        <f t="shared" si="37"/>
        <v>x06001643</v>
      </c>
      <c r="C2415" t="s">
        <v>4</v>
      </c>
      <c r="D2415" t="s">
        <v>8309</v>
      </c>
      <c r="E2415">
        <v>6</v>
      </c>
      <c r="F2415" t="str">
        <f>IF(AND(Entities[[#This Row],[ENT_TYPE]]="County",RIGHT(Entities[[#This Row],[ENT_NAME]],6)&lt;&gt;"County"),_xlfn.TEXTJOIN(" ",TRUE,Entities[[#This Row],[ENT_NAME]],"County"),Entities[[#This Row],[ENT_NAME]])</f>
        <v>Cinco MUD 1</v>
      </c>
    </row>
    <row r="2416" spans="1:6" x14ac:dyDescent="0.25">
      <c r="A2416" s="302" t="s">
        <v>8310</v>
      </c>
      <c r="B2416" s="303" t="str">
        <f t="shared" si="37"/>
        <v>x06001644</v>
      </c>
      <c r="C2416" t="s">
        <v>4</v>
      </c>
      <c r="D2416" t="s">
        <v>8311</v>
      </c>
      <c r="E2416">
        <v>6</v>
      </c>
      <c r="F2416" t="str">
        <f>IF(AND(Entities[[#This Row],[ENT_TYPE]]="County",RIGHT(Entities[[#This Row],[ENT_NAME]],6)&lt;&gt;"County"),_xlfn.TEXTJOIN(" ",TRUE,Entities[[#This Row],[ENT_NAME]],"County"),Entities[[#This Row],[ENT_NAME]])</f>
        <v>Chelford City MUD</v>
      </c>
    </row>
    <row r="2417" spans="1:6" x14ac:dyDescent="0.25">
      <c r="A2417" s="304" t="s">
        <v>8312</v>
      </c>
      <c r="B2417" s="303" t="str">
        <f t="shared" si="37"/>
        <v>x06001645</v>
      </c>
      <c r="C2417" t="s">
        <v>4</v>
      </c>
      <c r="D2417" t="s">
        <v>8313</v>
      </c>
      <c r="E2417">
        <v>6</v>
      </c>
      <c r="F2417" t="str">
        <f>IF(AND(Entities[[#This Row],[ENT_TYPE]]="County",RIGHT(Entities[[#This Row],[ENT_NAME]],6)&lt;&gt;"County"),_xlfn.TEXTJOIN(" ",TRUE,Entities[[#This Row],[ENT_NAME]],"County"),Entities[[#This Row],[ENT_NAME]])</f>
        <v>Blue Ridge West MUD</v>
      </c>
    </row>
    <row r="2418" spans="1:6" x14ac:dyDescent="0.25">
      <c r="A2418" s="302" t="s">
        <v>8314</v>
      </c>
      <c r="B2418" s="303" t="str">
        <f t="shared" si="37"/>
        <v>x06001646</v>
      </c>
      <c r="C2418" t="s">
        <v>4</v>
      </c>
      <c r="D2418" t="s">
        <v>8315</v>
      </c>
      <c r="E2418">
        <v>6</v>
      </c>
      <c r="F2418" t="str">
        <f>IF(AND(Entities[[#This Row],[ENT_TYPE]]="County",RIGHT(Entities[[#This Row],[ENT_NAME]],6)&lt;&gt;"County"),_xlfn.TEXTJOIN(" ",TRUE,Entities[[#This Row],[ENT_NAME]],"County"),Entities[[#This Row],[ENT_NAME]])</f>
        <v>Fort Bend County MUD 53</v>
      </c>
    </row>
    <row r="2419" spans="1:6" x14ac:dyDescent="0.25">
      <c r="A2419" s="302" t="s">
        <v>8316</v>
      </c>
      <c r="B2419" s="303" t="str">
        <f t="shared" si="37"/>
        <v>x06001651</v>
      </c>
      <c r="C2419" t="s">
        <v>4</v>
      </c>
      <c r="D2419" t="s">
        <v>8317</v>
      </c>
      <c r="E2419">
        <v>6</v>
      </c>
      <c r="F2419" t="str">
        <f>IF(AND(Entities[[#This Row],[ENT_TYPE]]="County",RIGHT(Entities[[#This Row],[ENT_NAME]],6)&lt;&gt;"County"),_xlfn.TEXTJOIN(" ",TRUE,Entities[[#This Row],[ENT_NAME]],"County"),Entities[[#This Row],[ENT_NAME]])</f>
        <v>Galveston County WCID 19</v>
      </c>
    </row>
    <row r="2420" spans="1:6" x14ac:dyDescent="0.25">
      <c r="A2420" s="304" t="s">
        <v>8318</v>
      </c>
      <c r="B2420" s="303" t="str">
        <f t="shared" si="37"/>
        <v>x06001652</v>
      </c>
      <c r="C2420" t="s">
        <v>4</v>
      </c>
      <c r="D2420" t="s">
        <v>8319</v>
      </c>
      <c r="E2420">
        <v>6</v>
      </c>
      <c r="F2420" t="str">
        <f>IF(AND(Entities[[#This Row],[ENT_TYPE]]="County",RIGHT(Entities[[#This Row],[ENT_NAME]],6)&lt;&gt;"County"),_xlfn.TEXTJOIN(" ",TRUE,Entities[[#This Row],[ENT_NAME]],"County"),Entities[[#This Row],[ENT_NAME]])</f>
        <v>Harris County MUD 23</v>
      </c>
    </row>
    <row r="2421" spans="1:6" x14ac:dyDescent="0.25">
      <c r="A2421" s="302" t="s">
        <v>8320</v>
      </c>
      <c r="B2421" s="303" t="str">
        <f t="shared" si="37"/>
        <v>x06001653</v>
      </c>
      <c r="C2421" t="s">
        <v>4</v>
      </c>
      <c r="D2421" t="s">
        <v>8321</v>
      </c>
      <c r="E2421">
        <v>6</v>
      </c>
      <c r="F2421" t="str">
        <f>IF(AND(Entities[[#This Row],[ENT_TYPE]]="County",RIGHT(Entities[[#This Row],[ENT_NAME]],6)&lt;&gt;"County"),_xlfn.TEXTJOIN(" ",TRUE,Entities[[#This Row],[ENT_NAME]],"County"),Entities[[#This Row],[ENT_NAME]])</f>
        <v>Harris County MUD 222</v>
      </c>
    </row>
    <row r="2422" spans="1:6" x14ac:dyDescent="0.25">
      <c r="A2422" s="304" t="s">
        <v>8322</v>
      </c>
      <c r="B2422" s="303" t="str">
        <f t="shared" si="37"/>
        <v>x06001654</v>
      </c>
      <c r="C2422" t="s">
        <v>4</v>
      </c>
      <c r="D2422" t="s">
        <v>8323</v>
      </c>
      <c r="E2422">
        <v>6</v>
      </c>
      <c r="F2422" t="str">
        <f>IF(AND(Entities[[#This Row],[ENT_TYPE]]="County",RIGHT(Entities[[#This Row],[ENT_NAME]],6)&lt;&gt;"County"),_xlfn.TEXTJOIN(" ",TRUE,Entities[[#This Row],[ENT_NAME]],"County"),Entities[[#This Row],[ENT_NAME]])</f>
        <v>Harris County MUD 215</v>
      </c>
    </row>
    <row r="2423" spans="1:6" x14ac:dyDescent="0.25">
      <c r="A2423" s="302" t="s">
        <v>8324</v>
      </c>
      <c r="B2423" s="303" t="str">
        <f t="shared" si="37"/>
        <v>x06001655</v>
      </c>
      <c r="C2423" t="s">
        <v>4</v>
      </c>
      <c r="D2423" t="s">
        <v>8325</v>
      </c>
      <c r="E2423">
        <v>6</v>
      </c>
      <c r="F2423" t="str">
        <f>IF(AND(Entities[[#This Row],[ENT_TYPE]]="County",RIGHT(Entities[[#This Row],[ENT_NAME]],6)&lt;&gt;"County"),_xlfn.TEXTJOIN(" ",TRUE,Entities[[#This Row],[ENT_NAME]],"County"),Entities[[#This Row],[ENT_NAME]])</f>
        <v>Harris County MUD 322</v>
      </c>
    </row>
    <row r="2424" spans="1:6" x14ac:dyDescent="0.25">
      <c r="A2424" s="304" t="s">
        <v>8326</v>
      </c>
      <c r="B2424" s="303" t="str">
        <f t="shared" si="37"/>
        <v>x06001656</v>
      </c>
      <c r="C2424" t="s">
        <v>4</v>
      </c>
      <c r="D2424" t="s">
        <v>8327</v>
      </c>
      <c r="E2424">
        <v>6</v>
      </c>
      <c r="F2424" t="str">
        <f>IF(AND(Entities[[#This Row],[ENT_TYPE]]="County",RIGHT(Entities[[#This Row],[ENT_NAME]],6)&lt;&gt;"County"),_xlfn.TEXTJOIN(" ",TRUE,Entities[[#This Row],[ENT_NAME]],"County"),Entities[[#This Row],[ENT_NAME]])</f>
        <v>Harris County MUD 208</v>
      </c>
    </row>
    <row r="2425" spans="1:6" x14ac:dyDescent="0.25">
      <c r="A2425" s="302" t="s">
        <v>8328</v>
      </c>
      <c r="B2425" s="303" t="str">
        <f t="shared" si="37"/>
        <v>x06001657</v>
      </c>
      <c r="C2425" t="s">
        <v>4</v>
      </c>
      <c r="D2425" t="s">
        <v>8329</v>
      </c>
      <c r="E2425">
        <v>6</v>
      </c>
      <c r="F2425" t="str">
        <f>IF(AND(Entities[[#This Row],[ENT_TYPE]]="County",RIGHT(Entities[[#This Row],[ENT_NAME]],6)&lt;&gt;"County"),_xlfn.TEXTJOIN(" ",TRUE,Entities[[#This Row],[ENT_NAME]],"County"),Entities[[#This Row],[ENT_NAME]])</f>
        <v>Harris County MUD 183</v>
      </c>
    </row>
    <row r="2426" spans="1:6" x14ac:dyDescent="0.25">
      <c r="A2426" s="304" t="s">
        <v>8330</v>
      </c>
      <c r="B2426" s="303" t="str">
        <f t="shared" si="37"/>
        <v>x06001658</v>
      </c>
      <c r="C2426" t="s">
        <v>4</v>
      </c>
      <c r="D2426" t="s">
        <v>8331</v>
      </c>
      <c r="E2426">
        <v>6</v>
      </c>
      <c r="F2426" t="str">
        <f>IF(AND(Entities[[#This Row],[ENT_TYPE]]="County",RIGHT(Entities[[#This Row],[ENT_NAME]],6)&lt;&gt;"County"),_xlfn.TEXTJOIN(" ",TRUE,Entities[[#This Row],[ENT_NAME]],"County"),Entities[[#This Row],[ENT_NAME]])</f>
        <v>Harris County MUD 179</v>
      </c>
    </row>
    <row r="2427" spans="1:6" x14ac:dyDescent="0.25">
      <c r="A2427" s="302" t="s">
        <v>8332</v>
      </c>
      <c r="B2427" s="303" t="str">
        <f t="shared" si="37"/>
        <v>x06001659</v>
      </c>
      <c r="C2427" t="s">
        <v>4</v>
      </c>
      <c r="D2427" t="s">
        <v>8333</v>
      </c>
      <c r="E2427">
        <v>6</v>
      </c>
      <c r="F2427" t="str">
        <f>IF(AND(Entities[[#This Row],[ENT_TYPE]]="County",RIGHT(Entities[[#This Row],[ENT_NAME]],6)&lt;&gt;"County"),_xlfn.TEXTJOIN(" ",TRUE,Entities[[#This Row],[ENT_NAME]],"County"),Entities[[#This Row],[ENT_NAME]])</f>
        <v>Northwest Freeway MUD</v>
      </c>
    </row>
    <row r="2428" spans="1:6" x14ac:dyDescent="0.25">
      <c r="A2428" s="304" t="s">
        <v>8334</v>
      </c>
      <c r="B2428" s="303" t="str">
        <f t="shared" si="37"/>
        <v>x06001660</v>
      </c>
      <c r="C2428" t="s">
        <v>4</v>
      </c>
      <c r="D2428" t="s">
        <v>8335</v>
      </c>
      <c r="E2428">
        <v>6</v>
      </c>
      <c r="F2428" t="str">
        <f>IF(AND(Entities[[#This Row],[ENT_TYPE]]="County",RIGHT(Entities[[#This Row],[ENT_NAME]],6)&lt;&gt;"County"),_xlfn.TEXTJOIN(" ",TRUE,Entities[[#This Row],[ENT_NAME]],"County"),Entities[[#This Row],[ENT_NAME]])</f>
        <v>Northwest Harris County MUD 22</v>
      </c>
    </row>
    <row r="2429" spans="1:6" x14ac:dyDescent="0.25">
      <c r="A2429" s="302" t="s">
        <v>8336</v>
      </c>
      <c r="B2429" s="303" t="str">
        <f t="shared" si="37"/>
        <v>x06001661</v>
      </c>
      <c r="C2429" t="s">
        <v>4</v>
      </c>
      <c r="D2429" t="s">
        <v>8337</v>
      </c>
      <c r="E2429">
        <v>6</v>
      </c>
      <c r="F2429" t="str">
        <f>IF(AND(Entities[[#This Row],[ENT_TYPE]]="County",RIGHT(Entities[[#This Row],[ENT_NAME]],6)&lt;&gt;"County"),_xlfn.TEXTJOIN(" ",TRUE,Entities[[#This Row],[ENT_NAME]],"County"),Entities[[#This Row],[ENT_NAME]])</f>
        <v>Northwood MUD 1</v>
      </c>
    </row>
    <row r="2430" spans="1:6" x14ac:dyDescent="0.25">
      <c r="A2430" s="304" t="s">
        <v>8338</v>
      </c>
      <c r="B2430" s="303" t="str">
        <f t="shared" si="37"/>
        <v>x06001662</v>
      </c>
      <c r="C2430" t="s">
        <v>4</v>
      </c>
      <c r="D2430" t="s">
        <v>8339</v>
      </c>
      <c r="E2430">
        <v>6</v>
      </c>
      <c r="F2430" t="str">
        <f>IF(AND(Entities[[#This Row],[ENT_TYPE]]="County",RIGHT(Entities[[#This Row],[ENT_NAME]],6)&lt;&gt;"County"),_xlfn.TEXTJOIN(" ",TRUE,Entities[[#This Row],[ENT_NAME]],"County"),Entities[[#This Row],[ENT_NAME]])</f>
        <v>Clear Creek Forest MUD 2</v>
      </c>
    </row>
    <row r="2431" spans="1:6" x14ac:dyDescent="0.25">
      <c r="A2431" s="302" t="s">
        <v>8340</v>
      </c>
      <c r="B2431" s="303" t="str">
        <f t="shared" si="37"/>
        <v>x06001663</v>
      </c>
      <c r="C2431" t="s">
        <v>4</v>
      </c>
      <c r="D2431" t="s">
        <v>8341</v>
      </c>
      <c r="E2431">
        <v>6</v>
      </c>
      <c r="F2431" t="str">
        <f>IF(AND(Entities[[#This Row],[ENT_TYPE]]="County",RIGHT(Entities[[#This Row],[ENT_NAME]],6)&lt;&gt;"County"),_xlfn.TEXTJOIN(" ",TRUE,Entities[[#This Row],[ENT_NAME]],"County"),Entities[[#This Row],[ENT_NAME]])</f>
        <v>Clear Creek Forest MUD 1</v>
      </c>
    </row>
    <row r="2432" spans="1:6" x14ac:dyDescent="0.25">
      <c r="A2432" s="304" t="s">
        <v>8342</v>
      </c>
      <c r="B2432" s="303" t="str">
        <f t="shared" si="37"/>
        <v>x06001664</v>
      </c>
      <c r="C2432" t="s">
        <v>4</v>
      </c>
      <c r="D2432" t="s">
        <v>8343</v>
      </c>
      <c r="E2432">
        <v>6</v>
      </c>
      <c r="F2432" t="str">
        <f>IF(AND(Entities[[#This Row],[ENT_TYPE]]="County",RIGHT(Entities[[#This Row],[ENT_NAME]],6)&lt;&gt;"County"),_xlfn.TEXTJOIN(" ",TRUE,Entities[[#This Row],[ENT_NAME]],"County"),Entities[[#This Row],[ENT_NAME]])</f>
        <v>El Dorado Utility District</v>
      </c>
    </row>
    <row r="2433" spans="1:6" x14ac:dyDescent="0.25">
      <c r="A2433" s="302" t="s">
        <v>8344</v>
      </c>
      <c r="B2433" s="303" t="str">
        <f t="shared" si="37"/>
        <v>x06001681</v>
      </c>
      <c r="C2433" t="s">
        <v>4</v>
      </c>
      <c r="D2433" t="s">
        <v>8345</v>
      </c>
      <c r="E2433">
        <v>6</v>
      </c>
      <c r="F2433" t="str">
        <f>IF(AND(Entities[[#This Row],[ENT_TYPE]]="County",RIGHT(Entities[[#This Row],[ENT_NAME]],6)&lt;&gt;"County"),_xlfn.TEXTJOIN(" ",TRUE,Entities[[#This Row],[ENT_NAME]],"County"),Entities[[#This Row],[ENT_NAME]])</f>
        <v>Clovercreek MUD</v>
      </c>
    </row>
    <row r="2434" spans="1:6" x14ac:dyDescent="0.25">
      <c r="A2434" s="304" t="s">
        <v>8346</v>
      </c>
      <c r="B2434" s="303" t="str">
        <f t="shared" ref="B2434:B2497" si="38">_xlfn.CONCAT("x",TEXT(A2434,"00000000"))</f>
        <v>x06001682</v>
      </c>
      <c r="C2434" t="s">
        <v>4</v>
      </c>
      <c r="D2434" t="s">
        <v>8347</v>
      </c>
      <c r="E2434">
        <v>6</v>
      </c>
      <c r="F2434" t="str">
        <f>IF(AND(Entities[[#This Row],[ENT_TYPE]]="County",RIGHT(Entities[[#This Row],[ENT_NAME]],6)&lt;&gt;"County"),_xlfn.TEXTJOIN(" ",TRUE,Entities[[#This Row],[ENT_NAME]],"County"),Entities[[#This Row],[ENT_NAME]])</f>
        <v>Lazy River Improvement District</v>
      </c>
    </row>
    <row r="2435" spans="1:6" x14ac:dyDescent="0.25">
      <c r="A2435" s="302" t="s">
        <v>8348</v>
      </c>
      <c r="B2435" s="303" t="str">
        <f t="shared" si="38"/>
        <v>x06001683</v>
      </c>
      <c r="C2435" t="s">
        <v>4</v>
      </c>
      <c r="D2435" t="s">
        <v>8349</v>
      </c>
      <c r="E2435">
        <v>6</v>
      </c>
      <c r="F2435" t="str">
        <f>IF(AND(Entities[[#This Row],[ENT_TYPE]]="County",RIGHT(Entities[[#This Row],[ENT_NAME]],6)&lt;&gt;"County"),_xlfn.TEXTJOIN(" ",TRUE,Entities[[#This Row],[ENT_NAME]],"County"),Entities[[#This Row],[ENT_NAME]])</f>
        <v>Montgomery County Utility District 2</v>
      </c>
    </row>
    <row r="2436" spans="1:6" x14ac:dyDescent="0.25">
      <c r="A2436" s="304" t="s">
        <v>8350</v>
      </c>
      <c r="B2436" s="303" t="str">
        <f t="shared" si="38"/>
        <v>x06001684</v>
      </c>
      <c r="C2436" t="s">
        <v>4</v>
      </c>
      <c r="D2436" t="s">
        <v>8351</v>
      </c>
      <c r="E2436">
        <v>6</v>
      </c>
      <c r="F2436" t="str">
        <f>IF(AND(Entities[[#This Row],[ENT_TYPE]]="County",RIGHT(Entities[[#This Row],[ENT_NAME]],6)&lt;&gt;"County"),_xlfn.TEXTJOIN(" ",TRUE,Entities[[#This Row],[ENT_NAME]],"County"),Entities[[#This Row],[ENT_NAME]])</f>
        <v>Brazoria County MUD 17</v>
      </c>
    </row>
    <row r="2437" spans="1:6" x14ac:dyDescent="0.25">
      <c r="A2437" s="302" t="s">
        <v>8352</v>
      </c>
      <c r="B2437" s="303" t="str">
        <f t="shared" si="38"/>
        <v>x06001685</v>
      </c>
      <c r="C2437" t="s">
        <v>4</v>
      </c>
      <c r="D2437" t="s">
        <v>8353</v>
      </c>
      <c r="E2437">
        <v>6</v>
      </c>
      <c r="F2437" t="str">
        <f>IF(AND(Entities[[#This Row],[ENT_TYPE]]="County",RIGHT(Entities[[#This Row],[ENT_NAME]],6)&lt;&gt;"County"),_xlfn.TEXTJOIN(" ",TRUE,Entities[[#This Row],[ENT_NAME]],"County"),Entities[[#This Row],[ENT_NAME]])</f>
        <v>Harris County MUD 407</v>
      </c>
    </row>
    <row r="2438" spans="1:6" x14ac:dyDescent="0.25">
      <c r="A2438" s="304" t="s">
        <v>8354</v>
      </c>
      <c r="B2438" s="303" t="str">
        <f t="shared" si="38"/>
        <v>x06001687</v>
      </c>
      <c r="C2438" t="s">
        <v>4</v>
      </c>
      <c r="D2438" t="s">
        <v>8355</v>
      </c>
      <c r="E2438">
        <v>6</v>
      </c>
      <c r="F2438" t="str">
        <f>IF(AND(Entities[[#This Row],[ENT_TYPE]]="County",RIGHT(Entities[[#This Row],[ENT_NAME]],6)&lt;&gt;"County"),_xlfn.TEXTJOIN(" ",TRUE,Entities[[#This Row],[ENT_NAME]],"County"),Entities[[#This Row],[ENT_NAME]])</f>
        <v>Fort Bend County MUD 35</v>
      </c>
    </row>
    <row r="2439" spans="1:6" x14ac:dyDescent="0.25">
      <c r="A2439" s="302" t="s">
        <v>8356</v>
      </c>
      <c r="B2439" s="303" t="str">
        <f t="shared" si="38"/>
        <v>x06001692</v>
      </c>
      <c r="C2439" t="s">
        <v>4</v>
      </c>
      <c r="D2439" t="s">
        <v>8357</v>
      </c>
      <c r="E2439">
        <v>6</v>
      </c>
      <c r="F2439" t="str">
        <f>IF(AND(Entities[[#This Row],[ENT_TYPE]]="County",RIGHT(Entities[[#This Row],[ENT_NAME]],6)&lt;&gt;"County"),_xlfn.TEXTJOIN(" ",TRUE,Entities[[#This Row],[ENT_NAME]],"County"),Entities[[#This Row],[ENT_NAME]])</f>
        <v>Harris County MUD 480</v>
      </c>
    </row>
    <row r="2440" spans="1:6" x14ac:dyDescent="0.25">
      <c r="A2440" s="304" t="s">
        <v>8358</v>
      </c>
      <c r="B2440" s="303" t="str">
        <f t="shared" si="38"/>
        <v>x06001693</v>
      </c>
      <c r="C2440" t="s">
        <v>4</v>
      </c>
      <c r="D2440" t="s">
        <v>8359</v>
      </c>
      <c r="E2440">
        <v>6</v>
      </c>
      <c r="F2440" t="str">
        <f>IF(AND(Entities[[#This Row],[ENT_TYPE]]="County",RIGHT(Entities[[#This Row],[ENT_NAME]],6)&lt;&gt;"County"),_xlfn.TEXTJOIN(" ",TRUE,Entities[[#This Row],[ENT_NAME]],"County"),Entities[[#This Row],[ENT_NAME]])</f>
        <v>Harris County MUD 374</v>
      </c>
    </row>
    <row r="2441" spans="1:6" x14ac:dyDescent="0.25">
      <c r="A2441" s="302" t="s">
        <v>8360</v>
      </c>
      <c r="B2441" s="303" t="str">
        <f t="shared" si="38"/>
        <v>x06001694</v>
      </c>
      <c r="C2441" t="s">
        <v>4</v>
      </c>
      <c r="D2441" t="s">
        <v>8361</v>
      </c>
      <c r="E2441">
        <v>6</v>
      </c>
      <c r="F2441" t="str">
        <f>IF(AND(Entities[[#This Row],[ENT_TYPE]]="County",RIGHT(Entities[[#This Row],[ENT_NAME]],6)&lt;&gt;"County"),_xlfn.TEXTJOIN(" ",TRUE,Entities[[#This Row],[ENT_NAME]],"County"),Entities[[#This Row],[ENT_NAME]])</f>
        <v>The Woodlands Metro Center MUD</v>
      </c>
    </row>
    <row r="2442" spans="1:6" x14ac:dyDescent="0.25">
      <c r="A2442" s="304" t="s">
        <v>8362</v>
      </c>
      <c r="B2442" s="303" t="str">
        <f t="shared" si="38"/>
        <v>x06001699</v>
      </c>
      <c r="C2442" t="s">
        <v>4</v>
      </c>
      <c r="D2442" t="s">
        <v>8363</v>
      </c>
      <c r="E2442">
        <v>6</v>
      </c>
      <c r="F2442" t="str">
        <f>IF(AND(Entities[[#This Row],[ENT_TYPE]]="County",RIGHT(Entities[[#This Row],[ENT_NAME]],6)&lt;&gt;"County"),_xlfn.TEXTJOIN(" ",TRUE,Entities[[#This Row],[ENT_NAME]],"County"),Entities[[#This Row],[ENT_NAME]])</f>
        <v>Harris County MUD 373</v>
      </c>
    </row>
    <row r="2443" spans="1:6" x14ac:dyDescent="0.25">
      <c r="A2443" s="302" t="s">
        <v>8364</v>
      </c>
      <c r="B2443" s="303" t="str">
        <f t="shared" si="38"/>
        <v>x06001700</v>
      </c>
      <c r="C2443" t="s">
        <v>4</v>
      </c>
      <c r="D2443" t="s">
        <v>8365</v>
      </c>
      <c r="E2443">
        <v>6</v>
      </c>
      <c r="F2443" t="str">
        <f>IF(AND(Entities[[#This Row],[ENT_TYPE]]="County",RIGHT(Entities[[#This Row],[ENT_NAME]],6)&lt;&gt;"County"),_xlfn.TEXTJOIN(" ",TRUE,Entities[[#This Row],[ENT_NAME]],"County"),Entities[[#This Row],[ENT_NAME]])</f>
        <v>Harris County MUD 273</v>
      </c>
    </row>
    <row r="2444" spans="1:6" x14ac:dyDescent="0.25">
      <c r="A2444" s="304" t="s">
        <v>8366</v>
      </c>
      <c r="B2444" s="303" t="str">
        <f t="shared" si="38"/>
        <v>x06001701</v>
      </c>
      <c r="C2444" t="s">
        <v>4</v>
      </c>
      <c r="D2444" t="s">
        <v>8367</v>
      </c>
      <c r="E2444">
        <v>6</v>
      </c>
      <c r="F2444" t="str">
        <f>IF(AND(Entities[[#This Row],[ENT_TYPE]]="County",RIGHT(Entities[[#This Row],[ENT_NAME]],6)&lt;&gt;"County"),_xlfn.TEXTJOIN(" ",TRUE,Entities[[#This Row],[ENT_NAME]],"County"),Entities[[#This Row],[ENT_NAME]])</f>
        <v>Harris County MUD 459</v>
      </c>
    </row>
    <row r="2445" spans="1:6" x14ac:dyDescent="0.25">
      <c r="A2445" s="302" t="s">
        <v>8368</v>
      </c>
      <c r="B2445" s="303" t="str">
        <f t="shared" si="38"/>
        <v>x06001704</v>
      </c>
      <c r="C2445" t="s">
        <v>4</v>
      </c>
      <c r="D2445" t="s">
        <v>8369</v>
      </c>
      <c r="E2445">
        <v>6</v>
      </c>
      <c r="F2445" t="str">
        <f>IF(AND(Entities[[#This Row],[ENT_TYPE]]="County",RIGHT(Entities[[#This Row],[ENT_NAME]],6)&lt;&gt;"County"),_xlfn.TEXTJOIN(" ",TRUE,Entities[[#This Row],[ENT_NAME]],"County"),Entities[[#This Row],[ENT_NAME]])</f>
        <v>Nottingham Country MUD</v>
      </c>
    </row>
    <row r="2446" spans="1:6" x14ac:dyDescent="0.25">
      <c r="A2446" s="304" t="s">
        <v>8370</v>
      </c>
      <c r="B2446" s="303" t="str">
        <f t="shared" si="38"/>
        <v>x06001705</v>
      </c>
      <c r="C2446" t="s">
        <v>4</v>
      </c>
      <c r="D2446" t="s">
        <v>8371</v>
      </c>
      <c r="E2446">
        <v>6</v>
      </c>
      <c r="F2446" t="str">
        <f>IF(AND(Entities[[#This Row],[ENT_TYPE]]="County",RIGHT(Entities[[#This Row],[ENT_NAME]],6)&lt;&gt;"County"),_xlfn.TEXTJOIN(" ",TRUE,Entities[[#This Row],[ENT_NAME]],"County"),Entities[[#This Row],[ENT_NAME]])</f>
        <v>Northgate Crossing MUD 1</v>
      </c>
    </row>
    <row r="2447" spans="1:6" x14ac:dyDescent="0.25">
      <c r="A2447" s="302" t="s">
        <v>8372</v>
      </c>
      <c r="B2447" s="303" t="str">
        <f t="shared" si="38"/>
        <v>x06001706</v>
      </c>
      <c r="C2447" t="s">
        <v>4</v>
      </c>
      <c r="D2447" t="s">
        <v>8373</v>
      </c>
      <c r="E2447">
        <v>6</v>
      </c>
      <c r="F2447" t="str">
        <f>IF(AND(Entities[[#This Row],[ENT_TYPE]]="County",RIGHT(Entities[[#This Row],[ENT_NAME]],6)&lt;&gt;"County"),_xlfn.TEXTJOIN(" ",TRUE,Entities[[#This Row],[ENT_NAME]],"County"),Entities[[#This Row],[ENT_NAME]])</f>
        <v>Harris County MUD 81</v>
      </c>
    </row>
    <row r="2448" spans="1:6" x14ac:dyDescent="0.25">
      <c r="A2448" s="304" t="s">
        <v>8374</v>
      </c>
      <c r="B2448" s="303" t="str">
        <f t="shared" si="38"/>
        <v>x06001707</v>
      </c>
      <c r="C2448" t="s">
        <v>4</v>
      </c>
      <c r="D2448" t="s">
        <v>8375</v>
      </c>
      <c r="E2448">
        <v>6</v>
      </c>
      <c r="F2448" t="str">
        <f>IF(AND(Entities[[#This Row],[ENT_TYPE]]="County",RIGHT(Entities[[#This Row],[ENT_NAME]],6)&lt;&gt;"County"),_xlfn.TEXTJOIN(" ",TRUE,Entities[[#This Row],[ENT_NAME]],"County"),Entities[[#This Row],[ENT_NAME]])</f>
        <v>Harris County MUD 62</v>
      </c>
    </row>
    <row r="2449" spans="1:6" x14ac:dyDescent="0.25">
      <c r="A2449" s="302" t="s">
        <v>8376</v>
      </c>
      <c r="B2449" s="303" t="str">
        <f t="shared" si="38"/>
        <v>x06001708</v>
      </c>
      <c r="C2449" t="s">
        <v>4</v>
      </c>
      <c r="D2449" t="s">
        <v>8377</v>
      </c>
      <c r="E2449">
        <v>6</v>
      </c>
      <c r="F2449" t="str">
        <f>IF(AND(Entities[[#This Row],[ENT_TYPE]]="County",RIGHT(Entities[[#This Row],[ENT_NAME]],6)&lt;&gt;"County"),_xlfn.TEXTJOIN(" ",TRUE,Entities[[#This Row],[ENT_NAME]],"County"),Entities[[#This Row],[ENT_NAME]])</f>
        <v>West Harris County MUD 9</v>
      </c>
    </row>
    <row r="2450" spans="1:6" x14ac:dyDescent="0.25">
      <c r="A2450" s="304" t="s">
        <v>8378</v>
      </c>
      <c r="B2450" s="303" t="str">
        <f t="shared" si="38"/>
        <v>x06001709</v>
      </c>
      <c r="C2450" t="s">
        <v>4</v>
      </c>
      <c r="D2450" t="s">
        <v>8379</v>
      </c>
      <c r="E2450">
        <v>6</v>
      </c>
      <c r="F2450" t="str">
        <f>IF(AND(Entities[[#This Row],[ENT_TYPE]]="County",RIGHT(Entities[[#This Row],[ENT_NAME]],6)&lt;&gt;"County"),_xlfn.TEXTJOIN(" ",TRUE,Entities[[#This Row],[ENT_NAME]],"County"),Entities[[#This Row],[ENT_NAME]])</f>
        <v>Westador MUD</v>
      </c>
    </row>
    <row r="2451" spans="1:6" x14ac:dyDescent="0.25">
      <c r="A2451" s="302" t="s">
        <v>8380</v>
      </c>
      <c r="B2451" s="303" t="str">
        <f t="shared" si="38"/>
        <v>x06001710</v>
      </c>
      <c r="C2451" t="s">
        <v>4</v>
      </c>
      <c r="D2451" t="s">
        <v>8381</v>
      </c>
      <c r="E2451">
        <v>6</v>
      </c>
      <c r="F2451" t="str">
        <f>IF(AND(Entities[[#This Row],[ENT_TYPE]]="County",RIGHT(Entities[[#This Row],[ENT_NAME]],6)&lt;&gt;"County"),_xlfn.TEXTJOIN(" ",TRUE,Entities[[#This Row],[ENT_NAME]],"County"),Entities[[#This Row],[ENT_NAME]])</f>
        <v>Harris County WCID 91</v>
      </c>
    </row>
    <row r="2452" spans="1:6" x14ac:dyDescent="0.25">
      <c r="A2452" s="304" t="s">
        <v>8382</v>
      </c>
      <c r="B2452" s="303" t="str">
        <f t="shared" si="38"/>
        <v>x06001711</v>
      </c>
      <c r="C2452" t="s">
        <v>4</v>
      </c>
      <c r="D2452" t="s">
        <v>8383</v>
      </c>
      <c r="E2452">
        <v>6</v>
      </c>
      <c r="F2452" t="str">
        <f>IF(AND(Entities[[#This Row],[ENT_TYPE]]="County",RIGHT(Entities[[#This Row],[ENT_NAME]],6)&lt;&gt;"County"),_xlfn.TEXTJOIN(" ",TRUE,Entities[[#This Row],[ENT_NAME]],"County"),Entities[[#This Row],[ENT_NAME]])</f>
        <v>Harris County Utility District 15</v>
      </c>
    </row>
    <row r="2453" spans="1:6" x14ac:dyDescent="0.25">
      <c r="A2453" s="302" t="s">
        <v>8384</v>
      </c>
      <c r="B2453" s="303" t="str">
        <f t="shared" si="38"/>
        <v>x06001712</v>
      </c>
      <c r="C2453" t="s">
        <v>4</v>
      </c>
      <c r="D2453" t="s">
        <v>8385</v>
      </c>
      <c r="E2453">
        <v>6</v>
      </c>
      <c r="F2453" t="str">
        <f>IF(AND(Entities[[#This Row],[ENT_TYPE]]="County",RIGHT(Entities[[#This Row],[ENT_NAME]],6)&lt;&gt;"County"),_xlfn.TEXTJOIN(" ",TRUE,Entities[[#This Row],[ENT_NAME]],"County"),Entities[[#This Row],[ENT_NAME]])</f>
        <v>Harris County Utility District 14</v>
      </c>
    </row>
    <row r="2454" spans="1:6" x14ac:dyDescent="0.25">
      <c r="A2454" s="304" t="s">
        <v>8386</v>
      </c>
      <c r="B2454" s="303" t="str">
        <f t="shared" si="38"/>
        <v>x06001713</v>
      </c>
      <c r="C2454" t="s">
        <v>4</v>
      </c>
      <c r="D2454" t="s">
        <v>8387</v>
      </c>
      <c r="E2454">
        <v>6</v>
      </c>
      <c r="F2454" t="str">
        <f>IF(AND(Entities[[#This Row],[ENT_TYPE]]="County",RIGHT(Entities[[#This Row],[ENT_NAME]],6)&lt;&gt;"County"),_xlfn.TEXTJOIN(" ",TRUE,Entities[[#This Row],[ENT_NAME]],"County"),Entities[[#This Row],[ENT_NAME]])</f>
        <v>Shasla PUD</v>
      </c>
    </row>
    <row r="2455" spans="1:6" x14ac:dyDescent="0.25">
      <c r="A2455" s="302" t="s">
        <v>8388</v>
      </c>
      <c r="B2455" s="303" t="str">
        <f t="shared" si="38"/>
        <v>x06001714</v>
      </c>
      <c r="C2455" t="s">
        <v>4</v>
      </c>
      <c r="D2455" t="s">
        <v>8389</v>
      </c>
      <c r="E2455">
        <v>6</v>
      </c>
      <c r="F2455" t="str">
        <f>IF(AND(Entities[[#This Row],[ENT_TYPE]]="County",RIGHT(Entities[[#This Row],[ENT_NAME]],6)&lt;&gt;"County"),_xlfn.TEXTJOIN(" ",TRUE,Entities[[#This Row],[ENT_NAME]],"County"),Entities[[#This Row],[ENT_NAME]])</f>
        <v>Harris County WCID 84</v>
      </c>
    </row>
    <row r="2456" spans="1:6" x14ac:dyDescent="0.25">
      <c r="A2456" s="304" t="s">
        <v>8390</v>
      </c>
      <c r="B2456" s="303" t="str">
        <f t="shared" si="38"/>
        <v>x06001716</v>
      </c>
      <c r="C2456" t="s">
        <v>4</v>
      </c>
      <c r="D2456" t="s">
        <v>8391</v>
      </c>
      <c r="E2456">
        <v>6</v>
      </c>
      <c r="F2456" t="str">
        <f>IF(AND(Entities[[#This Row],[ENT_TYPE]]="County",RIGHT(Entities[[#This Row],[ENT_NAME]],6)&lt;&gt;"County"),_xlfn.TEXTJOIN(" ",TRUE,Entities[[#This Row],[ENT_NAME]],"County"),Entities[[#This Row],[ENT_NAME]])</f>
        <v>Fry Road MUD</v>
      </c>
    </row>
    <row r="2457" spans="1:6" x14ac:dyDescent="0.25">
      <c r="A2457" s="304" t="s">
        <v>8392</v>
      </c>
      <c r="B2457" s="303" t="str">
        <f t="shared" si="38"/>
        <v>x06001717</v>
      </c>
      <c r="C2457" t="s">
        <v>4</v>
      </c>
      <c r="D2457" t="s">
        <v>8393</v>
      </c>
      <c r="E2457">
        <v>6</v>
      </c>
      <c r="F2457" t="str">
        <f>IF(AND(Entities[[#This Row],[ENT_TYPE]]="County",RIGHT(Entities[[#This Row],[ENT_NAME]],6)&lt;&gt;"County"),_xlfn.TEXTJOIN(" ",TRUE,Entities[[#This Row],[ENT_NAME]],"County"),Entities[[#This Row],[ENT_NAME]])</f>
        <v>Conroe MMD 3</v>
      </c>
    </row>
    <row r="2458" spans="1:6" x14ac:dyDescent="0.25">
      <c r="A2458" s="302" t="s">
        <v>8394</v>
      </c>
      <c r="B2458" s="303" t="str">
        <f t="shared" si="38"/>
        <v>x06001718</v>
      </c>
      <c r="C2458" t="s">
        <v>4</v>
      </c>
      <c r="D2458" t="s">
        <v>8395</v>
      </c>
      <c r="E2458">
        <v>6</v>
      </c>
      <c r="F2458" t="str">
        <f>IF(AND(Entities[[#This Row],[ENT_TYPE]]="County",RIGHT(Entities[[#This Row],[ENT_NAME]],6)&lt;&gt;"County"),_xlfn.TEXTJOIN(" ",TRUE,Entities[[#This Row],[ENT_NAME]],"County"),Entities[[#This Row],[ENT_NAME]])</f>
        <v>Montgomery County MUD 167</v>
      </c>
    </row>
    <row r="2459" spans="1:6" x14ac:dyDescent="0.25">
      <c r="A2459" s="304" t="s">
        <v>8396</v>
      </c>
      <c r="B2459" s="303" t="str">
        <f t="shared" si="38"/>
        <v>x06001719</v>
      </c>
      <c r="C2459" t="s">
        <v>4</v>
      </c>
      <c r="D2459" t="s">
        <v>8397</v>
      </c>
      <c r="E2459">
        <v>6</v>
      </c>
      <c r="F2459" t="str">
        <f>IF(AND(Entities[[#This Row],[ENT_TYPE]]="County",RIGHT(Entities[[#This Row],[ENT_NAME]],6)&lt;&gt;"County"),_xlfn.TEXTJOIN(" ",TRUE,Entities[[#This Row],[ENT_NAME]],"County"),Entities[[#This Row],[ENT_NAME]])</f>
        <v>Enchanted Place PUD</v>
      </c>
    </row>
    <row r="2460" spans="1:6" x14ac:dyDescent="0.25">
      <c r="A2460" s="302" t="s">
        <v>8398</v>
      </c>
      <c r="B2460" s="303" t="str">
        <f t="shared" si="38"/>
        <v>x06001720</v>
      </c>
      <c r="C2460" t="s">
        <v>4</v>
      </c>
      <c r="D2460" t="s">
        <v>8399</v>
      </c>
      <c r="E2460">
        <v>6</v>
      </c>
      <c r="F2460" t="str">
        <f>IF(AND(Entities[[#This Row],[ENT_TYPE]]="County",RIGHT(Entities[[#This Row],[ENT_NAME]],6)&lt;&gt;"County"),_xlfn.TEXTJOIN(" ",TRUE,Entities[[#This Row],[ENT_NAME]],"County"),Entities[[#This Row],[ENT_NAME]])</f>
        <v>Castlewood MUD</v>
      </c>
    </row>
    <row r="2461" spans="1:6" x14ac:dyDescent="0.25">
      <c r="A2461" s="304" t="s">
        <v>8400</v>
      </c>
      <c r="B2461" s="303" t="str">
        <f t="shared" si="38"/>
        <v>x06001727</v>
      </c>
      <c r="C2461" t="s">
        <v>4</v>
      </c>
      <c r="D2461" t="s">
        <v>8401</v>
      </c>
      <c r="E2461">
        <v>6</v>
      </c>
      <c r="F2461" t="str">
        <f>IF(AND(Entities[[#This Row],[ENT_TYPE]]="County",RIGHT(Entities[[#This Row],[ENT_NAME]],6)&lt;&gt;"County"),_xlfn.TEXTJOIN(" ",TRUE,Entities[[#This Row],[ENT_NAME]],"County"),Entities[[#This Row],[ENT_NAME]])</f>
        <v>Oak Manor MUD</v>
      </c>
    </row>
    <row r="2462" spans="1:6" x14ac:dyDescent="0.25">
      <c r="A2462" s="302" t="s">
        <v>8402</v>
      </c>
      <c r="B2462" s="303" t="str">
        <f t="shared" si="38"/>
        <v>x06001729</v>
      </c>
      <c r="C2462" t="s">
        <v>4</v>
      </c>
      <c r="D2462" t="s">
        <v>8403</v>
      </c>
      <c r="E2462">
        <v>6</v>
      </c>
      <c r="F2462" t="str">
        <f>IF(AND(Entities[[#This Row],[ENT_TYPE]]="County",RIGHT(Entities[[#This Row],[ENT_NAME]],6)&lt;&gt;"County"),_xlfn.TEXTJOIN(" ",TRUE,Entities[[#This Row],[ENT_NAME]],"County"),Entities[[#This Row],[ENT_NAME]])</f>
        <v>Brazoria County MUD 7</v>
      </c>
    </row>
    <row r="2463" spans="1:6" x14ac:dyDescent="0.25">
      <c r="A2463" s="302" t="s">
        <v>8404</v>
      </c>
      <c r="B2463" s="303" t="str">
        <f t="shared" si="38"/>
        <v>x06001732</v>
      </c>
      <c r="C2463" t="s">
        <v>4</v>
      </c>
      <c r="D2463" t="s">
        <v>8405</v>
      </c>
      <c r="E2463">
        <v>6</v>
      </c>
      <c r="F2463" t="str">
        <f>IF(AND(Entities[[#This Row],[ENT_TYPE]]="County",RIGHT(Entities[[#This Row],[ENT_NAME]],6)&lt;&gt;"County"),_xlfn.TEXTJOIN(" ",TRUE,Entities[[#This Row],[ENT_NAME]],"County"),Entities[[#This Row],[ENT_NAME]])</f>
        <v>Village at Katy Development District</v>
      </c>
    </row>
    <row r="2464" spans="1:6" x14ac:dyDescent="0.25">
      <c r="A2464" s="304" t="s">
        <v>8406</v>
      </c>
      <c r="B2464" s="303" t="str">
        <f t="shared" si="38"/>
        <v>x06001738</v>
      </c>
      <c r="C2464" t="s">
        <v>4</v>
      </c>
      <c r="D2464" t="s">
        <v>8407</v>
      </c>
      <c r="E2464">
        <v>6</v>
      </c>
      <c r="F2464" t="str">
        <f>IF(AND(Entities[[#This Row],[ENT_TYPE]]="County",RIGHT(Entities[[#This Row],[ENT_NAME]],6)&lt;&gt;"County"),_xlfn.TEXTJOIN(" ",TRUE,Entities[[#This Row],[ENT_NAME]],"County"),Entities[[#This Row],[ENT_NAME]])</f>
        <v>South Shore Harbor MUD 7</v>
      </c>
    </row>
    <row r="2465" spans="1:6" x14ac:dyDescent="0.25">
      <c r="A2465" s="302" t="s">
        <v>8408</v>
      </c>
      <c r="B2465" s="303" t="str">
        <f t="shared" si="38"/>
        <v>x06001740</v>
      </c>
      <c r="C2465" t="s">
        <v>4</v>
      </c>
      <c r="D2465" t="s">
        <v>8409</v>
      </c>
      <c r="E2465">
        <v>6</v>
      </c>
      <c r="F2465" t="str">
        <f>IF(AND(Entities[[#This Row],[ENT_TYPE]]="County",RIGHT(Entities[[#This Row],[ENT_NAME]],6)&lt;&gt;"County"),_xlfn.TEXTJOIN(" ",TRUE,Entities[[#This Row],[ENT_NAME]],"County"),Entities[[#This Row],[ENT_NAME]])</f>
        <v>Montgomery County MUD 8</v>
      </c>
    </row>
    <row r="2466" spans="1:6" x14ac:dyDescent="0.25">
      <c r="A2466" s="304" t="s">
        <v>8410</v>
      </c>
      <c r="B2466" s="303" t="str">
        <f t="shared" si="38"/>
        <v>x06001743</v>
      </c>
      <c r="C2466" t="s">
        <v>4</v>
      </c>
      <c r="D2466" t="s">
        <v>8411</v>
      </c>
      <c r="E2466">
        <v>6</v>
      </c>
      <c r="F2466" t="str">
        <f>IF(AND(Entities[[#This Row],[ENT_TYPE]]="County",RIGHT(Entities[[#This Row],[ENT_NAME]],6)&lt;&gt;"County"),_xlfn.TEXTJOIN(" ",TRUE,Entities[[#This Row],[ENT_NAME]],"County"),Entities[[#This Row],[ENT_NAME]])</f>
        <v>Harris County MUD 409</v>
      </c>
    </row>
    <row r="2467" spans="1:6" x14ac:dyDescent="0.25">
      <c r="A2467" s="302" t="s">
        <v>8412</v>
      </c>
      <c r="B2467" s="303" t="str">
        <f t="shared" si="38"/>
        <v>x06001745</v>
      </c>
      <c r="C2467" t="s">
        <v>4</v>
      </c>
      <c r="D2467" t="s">
        <v>8413</v>
      </c>
      <c r="E2467">
        <v>6</v>
      </c>
      <c r="F2467" t="str">
        <f>IF(AND(Entities[[#This Row],[ENT_TYPE]]="County",RIGHT(Entities[[#This Row],[ENT_NAME]],6)&lt;&gt;"County"),_xlfn.TEXTJOIN(" ",TRUE,Entities[[#This Row],[ENT_NAME]],"County"),Entities[[#This Row],[ENT_NAME]])</f>
        <v>Harris County MUD 318</v>
      </c>
    </row>
    <row r="2468" spans="1:6" x14ac:dyDescent="0.25">
      <c r="A2468" s="304" t="s">
        <v>8414</v>
      </c>
      <c r="B2468" s="303" t="str">
        <f t="shared" si="38"/>
        <v>x06001746</v>
      </c>
      <c r="C2468" t="s">
        <v>4</v>
      </c>
      <c r="D2468" t="s">
        <v>8415</v>
      </c>
      <c r="E2468">
        <v>6</v>
      </c>
      <c r="F2468" t="str">
        <f>IF(AND(Entities[[#This Row],[ENT_TYPE]]="County",RIGHT(Entities[[#This Row],[ENT_NAME]],6)&lt;&gt;"County"),_xlfn.TEXTJOIN(" ",TRUE,Entities[[#This Row],[ENT_NAME]],"County"),Entities[[#This Row],[ENT_NAME]])</f>
        <v>Harris County MUD 317</v>
      </c>
    </row>
    <row r="2469" spans="1:6" x14ac:dyDescent="0.25">
      <c r="A2469" s="302" t="s">
        <v>8416</v>
      </c>
      <c r="B2469" s="303" t="str">
        <f t="shared" si="38"/>
        <v>x06001747</v>
      </c>
      <c r="C2469" t="s">
        <v>4</v>
      </c>
      <c r="D2469" t="s">
        <v>8417</v>
      </c>
      <c r="E2469">
        <v>6</v>
      </c>
      <c r="F2469" t="str">
        <f>IF(AND(Entities[[#This Row],[ENT_TYPE]]="County",RIGHT(Entities[[#This Row],[ENT_NAME]],6)&lt;&gt;"County"),_xlfn.TEXTJOIN(" ",TRUE,Entities[[#This Row],[ENT_NAME]],"County"),Entities[[#This Row],[ENT_NAME]])</f>
        <v>Spring Meadows MUD</v>
      </c>
    </row>
    <row r="2470" spans="1:6" x14ac:dyDescent="0.25">
      <c r="A2470" s="304" t="s">
        <v>8418</v>
      </c>
      <c r="B2470" s="303" t="str">
        <f t="shared" si="38"/>
        <v>x06001748</v>
      </c>
      <c r="C2470" t="s">
        <v>4</v>
      </c>
      <c r="D2470" t="s">
        <v>8419</v>
      </c>
      <c r="E2470">
        <v>6</v>
      </c>
      <c r="F2470" t="str">
        <f>IF(AND(Entities[[#This Row],[ENT_TYPE]]="County",RIGHT(Entities[[#This Row],[ENT_NAME]],6)&lt;&gt;"County"),_xlfn.TEXTJOIN(" ",TRUE,Entities[[#This Row],[ENT_NAME]],"County"),Entities[[#This Row],[ENT_NAME]])</f>
        <v>Bear Creek MUD</v>
      </c>
    </row>
    <row r="2471" spans="1:6" x14ac:dyDescent="0.25">
      <c r="A2471" s="302" t="s">
        <v>8420</v>
      </c>
      <c r="B2471" s="303" t="str">
        <f t="shared" si="38"/>
        <v>x06001749</v>
      </c>
      <c r="C2471" t="s">
        <v>4</v>
      </c>
      <c r="D2471" t="s">
        <v>8421</v>
      </c>
      <c r="E2471">
        <v>6</v>
      </c>
      <c r="F2471" t="str">
        <f>IF(AND(Entities[[#This Row],[ENT_TYPE]]="County",RIGHT(Entities[[#This Row],[ENT_NAME]],6)&lt;&gt;"County"),_xlfn.TEXTJOIN(" ",TRUE,Entities[[#This Row],[ENT_NAME]],"County"),Entities[[#This Row],[ENT_NAME]])</f>
        <v>Tower Oaks Plaza MUD</v>
      </c>
    </row>
    <row r="2472" spans="1:6" x14ac:dyDescent="0.25">
      <c r="A2472" s="304" t="s">
        <v>8422</v>
      </c>
      <c r="B2472" s="303" t="str">
        <f t="shared" si="38"/>
        <v>x06001750</v>
      </c>
      <c r="C2472" t="s">
        <v>4</v>
      </c>
      <c r="D2472" t="s">
        <v>8423</v>
      </c>
      <c r="E2472">
        <v>6</v>
      </c>
      <c r="F2472" t="str">
        <f>IF(AND(Entities[[#This Row],[ENT_TYPE]]="County",RIGHT(Entities[[#This Row],[ENT_NAME]],6)&lt;&gt;"County"),_xlfn.TEXTJOIN(" ",TRUE,Entities[[#This Row],[ENT_NAME]],"County"),Entities[[#This Row],[ENT_NAME]])</f>
        <v>Old Town Spring Improvement District</v>
      </c>
    </row>
    <row r="2473" spans="1:6" x14ac:dyDescent="0.25">
      <c r="A2473" s="302" t="s">
        <v>8424</v>
      </c>
      <c r="B2473" s="303" t="str">
        <f t="shared" si="38"/>
        <v>x06001751</v>
      </c>
      <c r="C2473" t="s">
        <v>4</v>
      </c>
      <c r="D2473" t="s">
        <v>8425</v>
      </c>
      <c r="E2473">
        <v>6</v>
      </c>
      <c r="F2473" t="str">
        <f>IF(AND(Entities[[#This Row],[ENT_TYPE]]="County",RIGHT(Entities[[#This Row],[ENT_NAME]],6)&lt;&gt;"County"),_xlfn.TEXTJOIN(" ",TRUE,Entities[[#This Row],[ENT_NAME]],"County"),Entities[[#This Row],[ENT_NAME]])</f>
        <v>Cedar Bayou Park Utility District</v>
      </c>
    </row>
    <row r="2474" spans="1:6" x14ac:dyDescent="0.25">
      <c r="A2474" s="302" t="s">
        <v>8426</v>
      </c>
      <c r="B2474" s="303" t="str">
        <f t="shared" si="38"/>
        <v>x06001753</v>
      </c>
      <c r="C2474" t="s">
        <v>4</v>
      </c>
      <c r="D2474" t="s">
        <v>8427</v>
      </c>
      <c r="E2474">
        <v>6</v>
      </c>
      <c r="F2474" t="str">
        <f>IF(AND(Entities[[#This Row],[ENT_TYPE]]="County",RIGHT(Entities[[#This Row],[ENT_NAME]],6)&lt;&gt;"County"),_xlfn.TEXTJOIN(" ",TRUE,Entities[[#This Row],[ENT_NAME]],"County"),Entities[[#This Row],[ENT_NAME]])</f>
        <v>Harris County MUD 217</v>
      </c>
    </row>
    <row r="2475" spans="1:6" x14ac:dyDescent="0.25">
      <c r="A2475" s="304" t="s">
        <v>8428</v>
      </c>
      <c r="B2475" s="303" t="str">
        <f t="shared" si="38"/>
        <v>x06001754</v>
      </c>
      <c r="C2475" t="s">
        <v>4</v>
      </c>
      <c r="D2475" t="s">
        <v>8429</v>
      </c>
      <c r="E2475">
        <v>6</v>
      </c>
      <c r="F2475" t="str">
        <f>IF(AND(Entities[[#This Row],[ENT_TYPE]]="County",RIGHT(Entities[[#This Row],[ENT_NAME]],6)&lt;&gt;"County"),_xlfn.TEXTJOIN(" ",TRUE,Entities[[#This Row],[ENT_NAME]],"County"),Entities[[#This Row],[ENT_NAME]])</f>
        <v>West Ranch Managment District</v>
      </c>
    </row>
    <row r="2476" spans="1:6" x14ac:dyDescent="0.25">
      <c r="A2476" s="304" t="s">
        <v>8430</v>
      </c>
      <c r="B2476" s="303" t="str">
        <f t="shared" si="38"/>
        <v>x06001760</v>
      </c>
      <c r="C2476" t="s">
        <v>4</v>
      </c>
      <c r="D2476" t="s">
        <v>8431</v>
      </c>
      <c r="E2476">
        <v>6</v>
      </c>
      <c r="F2476" t="str">
        <f>IF(AND(Entities[[#This Row],[ENT_TYPE]]="County",RIGHT(Entities[[#This Row],[ENT_NAME]],6)&lt;&gt;"County"),_xlfn.TEXTJOIN(" ",TRUE,Entities[[#This Row],[ENT_NAME]],"County"),Entities[[#This Row],[ENT_NAME]])</f>
        <v>Montgomery County MUD 96</v>
      </c>
    </row>
    <row r="2477" spans="1:6" x14ac:dyDescent="0.25">
      <c r="A2477" s="302" t="s">
        <v>8432</v>
      </c>
      <c r="B2477" s="303" t="str">
        <f t="shared" si="38"/>
        <v>x06001761</v>
      </c>
      <c r="C2477" t="s">
        <v>4</v>
      </c>
      <c r="D2477" t="s">
        <v>8433</v>
      </c>
      <c r="E2477">
        <v>6</v>
      </c>
      <c r="F2477" t="str">
        <f>IF(AND(Entities[[#This Row],[ENT_TYPE]]="County",RIGHT(Entities[[#This Row],[ENT_NAME]],6)&lt;&gt;"County"),_xlfn.TEXTJOIN(" ",TRUE,Entities[[#This Row],[ENT_NAME]],"County"),Entities[[#This Row],[ENT_NAME]])</f>
        <v>Briar Ridge MUD</v>
      </c>
    </row>
    <row r="2478" spans="1:6" x14ac:dyDescent="0.25">
      <c r="A2478" s="304" t="s">
        <v>8434</v>
      </c>
      <c r="B2478" s="303" t="str">
        <f t="shared" si="38"/>
        <v>x06001762</v>
      </c>
      <c r="C2478" t="s">
        <v>4</v>
      </c>
      <c r="D2478" t="s">
        <v>8435</v>
      </c>
      <c r="E2478">
        <v>6</v>
      </c>
      <c r="F2478" t="str">
        <f>IF(AND(Entities[[#This Row],[ENT_TYPE]]="County",RIGHT(Entities[[#This Row],[ENT_NAME]],6)&lt;&gt;"County"),_xlfn.TEXTJOIN(" ",TRUE,Entities[[#This Row],[ENT_NAME]],"County"),Entities[[#This Row],[ENT_NAME]])</f>
        <v>Beltway 8 MUD 3</v>
      </c>
    </row>
    <row r="2479" spans="1:6" x14ac:dyDescent="0.25">
      <c r="A2479" s="302" t="s">
        <v>8436</v>
      </c>
      <c r="B2479" s="303" t="str">
        <f t="shared" si="38"/>
        <v>x06001763</v>
      </c>
      <c r="C2479" t="s">
        <v>4</v>
      </c>
      <c r="D2479" t="s">
        <v>8437</v>
      </c>
      <c r="E2479">
        <v>6</v>
      </c>
      <c r="F2479" t="str">
        <f>IF(AND(Entities[[#This Row],[ENT_TYPE]]="County",RIGHT(Entities[[#This Row],[ENT_NAME]],6)&lt;&gt;"County"),_xlfn.TEXTJOIN(" ",TRUE,Entities[[#This Row],[ENT_NAME]],"County"),Entities[[#This Row],[ENT_NAME]])</f>
        <v>Beltway 8 MUD 2</v>
      </c>
    </row>
    <row r="2480" spans="1:6" x14ac:dyDescent="0.25">
      <c r="A2480" s="304" t="s">
        <v>8438</v>
      </c>
      <c r="B2480" s="303" t="str">
        <f t="shared" si="38"/>
        <v>x06001764</v>
      </c>
      <c r="C2480" t="s">
        <v>4</v>
      </c>
      <c r="D2480" t="s">
        <v>8439</v>
      </c>
      <c r="E2480">
        <v>6</v>
      </c>
      <c r="F2480" t="str">
        <f>IF(AND(Entities[[#This Row],[ENT_TYPE]]="County",RIGHT(Entities[[#This Row],[ENT_NAME]],6)&lt;&gt;"County"),_xlfn.TEXTJOIN(" ",TRUE,Entities[[#This Row],[ENT_NAME]],"County"),Entities[[#This Row],[ENT_NAME]])</f>
        <v>Beltway 8 MUD 1</v>
      </c>
    </row>
    <row r="2481" spans="1:6" x14ac:dyDescent="0.25">
      <c r="A2481" s="304" t="s">
        <v>8440</v>
      </c>
      <c r="B2481" s="303" t="str">
        <f t="shared" si="38"/>
        <v>x06001766</v>
      </c>
      <c r="C2481" t="s">
        <v>4</v>
      </c>
      <c r="D2481" t="s">
        <v>8441</v>
      </c>
      <c r="E2481">
        <v>6</v>
      </c>
      <c r="F2481" t="str">
        <f>IF(AND(Entities[[#This Row],[ENT_TYPE]]="County",RIGHT(Entities[[#This Row],[ENT_NAME]],6)&lt;&gt;"County"),_xlfn.TEXTJOIN(" ",TRUE,Entities[[#This Row],[ENT_NAME]],"County"),Entities[[#This Row],[ENT_NAME]])</f>
        <v>Cypresswood Utility District</v>
      </c>
    </row>
    <row r="2482" spans="1:6" x14ac:dyDescent="0.25">
      <c r="A2482" s="302" t="s">
        <v>8442</v>
      </c>
      <c r="B2482" s="303" t="str">
        <f t="shared" si="38"/>
        <v>x06001767</v>
      </c>
      <c r="C2482" t="s">
        <v>4</v>
      </c>
      <c r="D2482" t="s">
        <v>8443</v>
      </c>
      <c r="E2482">
        <v>6</v>
      </c>
      <c r="F2482" t="str">
        <f>IF(AND(Entities[[#This Row],[ENT_TYPE]]="County",RIGHT(Entities[[#This Row],[ENT_NAME]],6)&lt;&gt;"County"),_xlfn.TEXTJOIN(" ",TRUE,Entities[[#This Row],[ENT_NAME]],"County"),Entities[[#This Row],[ENT_NAME]])</f>
        <v>Cornerstones MUD</v>
      </c>
    </row>
    <row r="2483" spans="1:6" x14ac:dyDescent="0.25">
      <c r="A2483" s="304" t="s">
        <v>8444</v>
      </c>
      <c r="B2483" s="303" t="str">
        <f t="shared" si="38"/>
        <v>x06001768</v>
      </c>
      <c r="C2483" t="s">
        <v>4</v>
      </c>
      <c r="D2483" t="s">
        <v>8445</v>
      </c>
      <c r="E2483">
        <v>6</v>
      </c>
      <c r="F2483" t="str">
        <f>IF(AND(Entities[[#This Row],[ENT_TYPE]]="County",RIGHT(Entities[[#This Row],[ENT_NAME]],6)&lt;&gt;"County"),_xlfn.TEXTJOIN(" ",TRUE,Entities[[#This Row],[ENT_NAME]],"County"),Entities[[#This Row],[ENT_NAME]])</f>
        <v>Clay Road MUD</v>
      </c>
    </row>
    <row r="2484" spans="1:6" x14ac:dyDescent="0.25">
      <c r="A2484" s="302" t="s">
        <v>8446</v>
      </c>
      <c r="B2484" s="303" t="str">
        <f t="shared" si="38"/>
        <v>x06001769</v>
      </c>
      <c r="C2484" t="s">
        <v>4</v>
      </c>
      <c r="D2484" t="s">
        <v>8447</v>
      </c>
      <c r="E2484">
        <v>6</v>
      </c>
      <c r="F2484" t="str">
        <f>IF(AND(Entities[[#This Row],[ENT_TYPE]]="County",RIGHT(Entities[[#This Row],[ENT_NAME]],6)&lt;&gt;"County"),_xlfn.TEXTJOIN(" ",TRUE,Entities[[#This Row],[ENT_NAME]],"County"),Entities[[#This Row],[ENT_NAME]])</f>
        <v>Chelford One MUD</v>
      </c>
    </row>
    <row r="2485" spans="1:6" x14ac:dyDescent="0.25">
      <c r="A2485" s="304" t="s">
        <v>8448</v>
      </c>
      <c r="B2485" s="303" t="str">
        <f t="shared" si="38"/>
        <v>x06001770</v>
      </c>
      <c r="C2485" t="s">
        <v>4</v>
      </c>
      <c r="D2485" t="s">
        <v>8449</v>
      </c>
      <c r="E2485">
        <v>6</v>
      </c>
      <c r="F2485" t="str">
        <f>IF(AND(Entities[[#This Row],[ENT_TYPE]]="County",RIGHT(Entities[[#This Row],[ENT_NAME]],6)&lt;&gt;"County"),_xlfn.TEXTJOIN(" ",TRUE,Entities[[#This Row],[ENT_NAME]],"County"),Entities[[#This Row],[ENT_NAME]])</f>
        <v>Harris County MUD 80</v>
      </c>
    </row>
    <row r="2486" spans="1:6" x14ac:dyDescent="0.25">
      <c r="A2486" s="302" t="s">
        <v>8450</v>
      </c>
      <c r="B2486" s="303" t="str">
        <f t="shared" si="38"/>
        <v>x06001771</v>
      </c>
      <c r="C2486" t="s">
        <v>4</v>
      </c>
      <c r="D2486" t="s">
        <v>8451</v>
      </c>
      <c r="E2486">
        <v>6</v>
      </c>
      <c r="F2486" t="str">
        <f>IF(AND(Entities[[#This Row],[ENT_TYPE]]="County",RIGHT(Entities[[#This Row],[ENT_NAME]],6)&lt;&gt;"County"),_xlfn.TEXTJOIN(" ",TRUE,Entities[[#This Row],[ENT_NAME]],"County"),Entities[[#This Row],[ENT_NAME]])</f>
        <v>Harris County FWSD 27</v>
      </c>
    </row>
    <row r="2487" spans="1:6" x14ac:dyDescent="0.25">
      <c r="A2487" s="304" t="s">
        <v>8452</v>
      </c>
      <c r="B2487" s="303" t="str">
        <f t="shared" si="38"/>
        <v>x06001773</v>
      </c>
      <c r="C2487" t="s">
        <v>4</v>
      </c>
      <c r="D2487" t="s">
        <v>8453</v>
      </c>
      <c r="E2487">
        <v>6</v>
      </c>
      <c r="F2487" t="str">
        <f>IF(AND(Entities[[#This Row],[ENT_TYPE]]="County",RIGHT(Entities[[#This Row],[ENT_NAME]],6)&lt;&gt;"County"),_xlfn.TEXTJOIN(" ",TRUE,Entities[[#This Row],[ENT_NAME]],"County"),Entities[[#This Row],[ENT_NAME]])</f>
        <v>Harris County MUD 63</v>
      </c>
    </row>
    <row r="2488" spans="1:6" x14ac:dyDescent="0.25">
      <c r="A2488" s="302" t="s">
        <v>8454</v>
      </c>
      <c r="B2488" s="303" t="str">
        <f t="shared" si="38"/>
        <v>x06001775</v>
      </c>
      <c r="C2488" t="s">
        <v>4</v>
      </c>
      <c r="D2488" t="s">
        <v>8455</v>
      </c>
      <c r="E2488">
        <v>6</v>
      </c>
      <c r="F2488" t="str">
        <f>IF(AND(Entities[[#This Row],[ENT_TYPE]]="County",RIGHT(Entities[[#This Row],[ENT_NAME]],6)&lt;&gt;"County"),_xlfn.TEXTJOIN(" ",TRUE,Entities[[#This Row],[ENT_NAME]],"County"),Entities[[#This Row],[ENT_NAME]])</f>
        <v>Galveston County WCID 12</v>
      </c>
    </row>
    <row r="2489" spans="1:6" x14ac:dyDescent="0.25">
      <c r="A2489" s="304" t="s">
        <v>8456</v>
      </c>
      <c r="B2489" s="303" t="str">
        <f t="shared" si="38"/>
        <v>x06001778</v>
      </c>
      <c r="C2489" t="s">
        <v>4</v>
      </c>
      <c r="D2489" t="s">
        <v>8457</v>
      </c>
      <c r="E2489">
        <v>6</v>
      </c>
      <c r="F2489" t="str">
        <f>IF(AND(Entities[[#This Row],[ENT_TYPE]]="County",RIGHT(Entities[[#This Row],[ENT_NAME]],6)&lt;&gt;"County"),_xlfn.TEXTJOIN(" ",TRUE,Entities[[#This Row],[ENT_NAME]],"County"),Entities[[#This Row],[ENT_NAME]])</f>
        <v>Grand Lakes MUD 1</v>
      </c>
    </row>
    <row r="2490" spans="1:6" x14ac:dyDescent="0.25">
      <c r="A2490" s="302" t="s">
        <v>8458</v>
      </c>
      <c r="B2490" s="303" t="str">
        <f t="shared" si="38"/>
        <v>x06001781</v>
      </c>
      <c r="C2490" t="s">
        <v>4</v>
      </c>
      <c r="D2490" t="s">
        <v>8459</v>
      </c>
      <c r="E2490">
        <v>6</v>
      </c>
      <c r="F2490" t="str">
        <f>IF(AND(Entities[[#This Row],[ENT_TYPE]]="County",RIGHT(Entities[[#This Row],[ENT_NAME]],6)&lt;&gt;"County"),_xlfn.TEXTJOIN(" ",TRUE,Entities[[#This Row],[ENT_NAME]],"County"),Entities[[#This Row],[ENT_NAME]])</f>
        <v>Harris County MUD 516</v>
      </c>
    </row>
    <row r="2491" spans="1:6" x14ac:dyDescent="0.25">
      <c r="A2491" s="304" t="s">
        <v>8460</v>
      </c>
      <c r="B2491" s="303" t="str">
        <f t="shared" si="38"/>
        <v>x06001782</v>
      </c>
      <c r="C2491" t="s">
        <v>4</v>
      </c>
      <c r="D2491" t="s">
        <v>8461</v>
      </c>
      <c r="E2491">
        <v>6</v>
      </c>
      <c r="F2491" t="str">
        <f>IF(AND(Entities[[#This Row],[ENT_TYPE]]="County",RIGHT(Entities[[#This Row],[ENT_NAME]],6)&lt;&gt;"County"),_xlfn.TEXTJOIN(" ",TRUE,Entities[[#This Row],[ENT_NAME]],"County"),Entities[[#This Row],[ENT_NAME]])</f>
        <v>Harris County MUD 517</v>
      </c>
    </row>
    <row r="2492" spans="1:6" x14ac:dyDescent="0.25">
      <c r="A2492" s="302" t="s">
        <v>8462</v>
      </c>
      <c r="B2492" s="303" t="str">
        <f t="shared" si="38"/>
        <v>x06001783</v>
      </c>
      <c r="C2492" t="s">
        <v>4</v>
      </c>
      <c r="D2492" t="s">
        <v>8463</v>
      </c>
      <c r="E2492">
        <v>6</v>
      </c>
      <c r="F2492" t="str">
        <f>IF(AND(Entities[[#This Row],[ENT_TYPE]]="County",RIGHT(Entities[[#This Row],[ENT_NAME]],6)&lt;&gt;"County"),_xlfn.TEXTJOIN(" ",TRUE,Entities[[#This Row],[ENT_NAME]],"County"),Entities[[#This Row],[ENT_NAME]])</f>
        <v>Harris County MUD 436</v>
      </c>
    </row>
    <row r="2493" spans="1:6" x14ac:dyDescent="0.25">
      <c r="A2493" s="304" t="s">
        <v>8464</v>
      </c>
      <c r="B2493" s="303" t="str">
        <f t="shared" si="38"/>
        <v>x06001784</v>
      </c>
      <c r="C2493" t="s">
        <v>4</v>
      </c>
      <c r="D2493" t="s">
        <v>8465</v>
      </c>
      <c r="E2493">
        <v>6</v>
      </c>
      <c r="F2493" t="str">
        <f>IF(AND(Entities[[#This Row],[ENT_TYPE]]="County",RIGHT(Entities[[#This Row],[ENT_NAME]],6)&lt;&gt;"County"),_xlfn.TEXTJOIN(" ",TRUE,Entities[[#This Row],[ENT_NAME]],"County"),Entities[[#This Row],[ENT_NAME]])</f>
        <v>Far Hills Utility District</v>
      </c>
    </row>
    <row r="2494" spans="1:6" x14ac:dyDescent="0.25">
      <c r="A2494" s="302" t="s">
        <v>8466</v>
      </c>
      <c r="B2494" s="303" t="str">
        <f t="shared" si="38"/>
        <v>x06001795</v>
      </c>
      <c r="C2494" t="s">
        <v>4</v>
      </c>
      <c r="D2494" t="s">
        <v>8467</v>
      </c>
      <c r="E2494">
        <v>6</v>
      </c>
      <c r="F2494" t="str">
        <f>IF(AND(Entities[[#This Row],[ENT_TYPE]]="County",RIGHT(Entities[[#This Row],[ENT_NAME]],6)&lt;&gt;"County"),_xlfn.TEXTJOIN(" ",TRUE,Entities[[#This Row],[ENT_NAME]],"County"),Entities[[#This Row],[ENT_NAME]])</f>
        <v>Montgomery County MUD 86</v>
      </c>
    </row>
    <row r="2495" spans="1:6" x14ac:dyDescent="0.25">
      <c r="A2495" s="304" t="s">
        <v>8468</v>
      </c>
      <c r="B2495" s="303" t="str">
        <f t="shared" si="38"/>
        <v>x06001796</v>
      </c>
      <c r="C2495" t="s">
        <v>4</v>
      </c>
      <c r="D2495" t="s">
        <v>8469</v>
      </c>
      <c r="E2495">
        <v>6</v>
      </c>
      <c r="F2495" t="str">
        <f>IF(AND(Entities[[#This Row],[ENT_TYPE]]="County",RIGHT(Entities[[#This Row],[ENT_NAME]],6)&lt;&gt;"County"),_xlfn.TEXTJOIN(" ",TRUE,Entities[[#This Row],[ENT_NAME]],"County"),Entities[[#This Row],[ENT_NAME]])</f>
        <v>Montgomery County MUD 66</v>
      </c>
    </row>
    <row r="2496" spans="1:6" x14ac:dyDescent="0.25">
      <c r="A2496" s="302" t="s">
        <v>8470</v>
      </c>
      <c r="B2496" s="303" t="str">
        <f t="shared" si="38"/>
        <v>x06001797</v>
      </c>
      <c r="C2496" t="s">
        <v>4</v>
      </c>
      <c r="D2496" t="s">
        <v>8471</v>
      </c>
      <c r="E2496">
        <v>6</v>
      </c>
      <c r="F2496" t="str">
        <f>IF(AND(Entities[[#This Row],[ENT_TYPE]]="County",RIGHT(Entities[[#This Row],[ENT_NAME]],6)&lt;&gt;"County"),_xlfn.TEXTJOIN(" ",TRUE,Entities[[#This Row],[ENT_NAME]],"County"),Entities[[#This Row],[ENT_NAME]])</f>
        <v>Wood Trace MUD 2</v>
      </c>
    </row>
    <row r="2497" spans="1:6" x14ac:dyDescent="0.25">
      <c r="A2497" s="304" t="s">
        <v>8472</v>
      </c>
      <c r="B2497" s="303" t="str">
        <f t="shared" si="38"/>
        <v>x06001798</v>
      </c>
      <c r="C2497" t="s">
        <v>4</v>
      </c>
      <c r="D2497" t="s">
        <v>8473</v>
      </c>
      <c r="E2497">
        <v>6</v>
      </c>
      <c r="F2497" t="str">
        <f>IF(AND(Entities[[#This Row],[ENT_TYPE]]="County",RIGHT(Entities[[#This Row],[ENT_NAME]],6)&lt;&gt;"County"),_xlfn.TEXTJOIN(" ",TRUE,Entities[[#This Row],[ENT_NAME]],"County"),Entities[[#This Row],[ENT_NAME]])</f>
        <v>Wood Trace MUD 1</v>
      </c>
    </row>
    <row r="2498" spans="1:6" x14ac:dyDescent="0.25">
      <c r="A2498" s="302" t="s">
        <v>8474</v>
      </c>
      <c r="B2498" s="303" t="str">
        <f t="shared" ref="B2498:B2561" si="39">_xlfn.CONCAT("x",TEXT(A2498,"00000000"))</f>
        <v>x06001800</v>
      </c>
      <c r="C2498" t="s">
        <v>4</v>
      </c>
      <c r="D2498" t="s">
        <v>8475</v>
      </c>
      <c r="E2498">
        <v>6</v>
      </c>
      <c r="F2498" t="str">
        <f>IF(AND(Entities[[#This Row],[ENT_TYPE]]="County",RIGHT(Entities[[#This Row],[ENT_NAME]],6)&lt;&gt;"County"),_xlfn.TEXTJOIN(" ",TRUE,Entities[[#This Row],[ENT_NAME]],"County"),Entities[[#This Row],[ENT_NAME]])</f>
        <v>Galveston County MUD 66</v>
      </c>
    </row>
    <row r="2499" spans="1:6" x14ac:dyDescent="0.25">
      <c r="A2499" s="304" t="s">
        <v>8476</v>
      </c>
      <c r="B2499" s="303" t="str">
        <f t="shared" si="39"/>
        <v>x06001803</v>
      </c>
      <c r="C2499" t="s">
        <v>4</v>
      </c>
      <c r="D2499" t="s">
        <v>8477</v>
      </c>
      <c r="E2499">
        <v>6</v>
      </c>
      <c r="F2499" t="str">
        <f>IF(AND(Entities[[#This Row],[ENT_TYPE]]="County",RIGHT(Entities[[#This Row],[ENT_NAME]],6)&lt;&gt;"County"),_xlfn.TEXTJOIN(" ",TRUE,Entities[[#This Row],[ENT_NAME]],"County"),Entities[[#This Row],[ENT_NAME]])</f>
        <v>Aldine PUD</v>
      </c>
    </row>
    <row r="2500" spans="1:6" x14ac:dyDescent="0.25">
      <c r="A2500" s="302" t="s">
        <v>8478</v>
      </c>
      <c r="B2500" s="303" t="str">
        <f t="shared" si="39"/>
        <v>x06001804</v>
      </c>
      <c r="C2500" t="s">
        <v>4</v>
      </c>
      <c r="D2500" t="s">
        <v>8479</v>
      </c>
      <c r="E2500">
        <v>6</v>
      </c>
      <c r="F2500" t="str">
        <f>IF(AND(Entities[[#This Row],[ENT_TYPE]]="County",RIGHT(Entities[[#This Row],[ENT_NAME]],6)&lt;&gt;"County"),_xlfn.TEXTJOIN(" ",TRUE,Entities[[#This Row],[ENT_NAME]],"County"),Entities[[#This Row],[ENT_NAME]])</f>
        <v>Arcadian Gardens MUD</v>
      </c>
    </row>
    <row r="2501" spans="1:6" x14ac:dyDescent="0.25">
      <c r="A2501" s="304" t="s">
        <v>8480</v>
      </c>
      <c r="B2501" s="303" t="str">
        <f t="shared" si="39"/>
        <v>x06001807</v>
      </c>
      <c r="C2501" t="s">
        <v>4</v>
      </c>
      <c r="D2501" t="s">
        <v>8481</v>
      </c>
      <c r="E2501">
        <v>6</v>
      </c>
      <c r="F2501" t="str">
        <f>IF(AND(Entities[[#This Row],[ENT_TYPE]]="County",RIGHT(Entities[[#This Row],[ENT_NAME]],6)&lt;&gt;"County"),_xlfn.TEXTJOIN(" ",TRUE,Entities[[#This Row],[ENT_NAME]],"County"),Entities[[#This Row],[ENT_NAME]])</f>
        <v>Westlake MUD 1</v>
      </c>
    </row>
    <row r="2502" spans="1:6" x14ac:dyDescent="0.25">
      <c r="A2502" s="302" t="s">
        <v>8482</v>
      </c>
      <c r="B2502" s="303" t="str">
        <f t="shared" si="39"/>
        <v>x06001808</v>
      </c>
      <c r="C2502" t="s">
        <v>4</v>
      </c>
      <c r="D2502" t="s">
        <v>8483</v>
      </c>
      <c r="E2502">
        <v>6</v>
      </c>
      <c r="F2502" t="str">
        <f>IF(AND(Entities[[#This Row],[ENT_TYPE]]="County",RIGHT(Entities[[#This Row],[ENT_NAME]],6)&lt;&gt;"County"),_xlfn.TEXTJOIN(" ",TRUE,Entities[[#This Row],[ENT_NAME]],"County"),Entities[[#This Row],[ENT_NAME]])</f>
        <v>Montgomery County MUD 30</v>
      </c>
    </row>
    <row r="2503" spans="1:6" x14ac:dyDescent="0.25">
      <c r="A2503" s="304" t="s">
        <v>8484</v>
      </c>
      <c r="B2503" s="303" t="str">
        <f t="shared" si="39"/>
        <v>x06001809</v>
      </c>
      <c r="C2503" t="s">
        <v>4</v>
      </c>
      <c r="D2503" t="s">
        <v>8485</v>
      </c>
      <c r="E2503">
        <v>6</v>
      </c>
      <c r="F2503" t="str">
        <f>IF(AND(Entities[[#This Row],[ENT_TYPE]]="County",RIGHT(Entities[[#This Row],[ENT_NAME]],6)&lt;&gt;"County"),_xlfn.TEXTJOIN(" ",TRUE,Entities[[#This Row],[ENT_NAME]],"County"),Entities[[#This Row],[ENT_NAME]])</f>
        <v>Montgomery County MUD 38</v>
      </c>
    </row>
    <row r="2504" spans="1:6" x14ac:dyDescent="0.25">
      <c r="A2504" s="302" t="s">
        <v>8486</v>
      </c>
      <c r="B2504" s="303" t="str">
        <f t="shared" si="39"/>
        <v>x06001810</v>
      </c>
      <c r="C2504" t="s">
        <v>4</v>
      </c>
      <c r="D2504" t="s">
        <v>8487</v>
      </c>
      <c r="E2504">
        <v>6</v>
      </c>
      <c r="F2504" t="str">
        <f>IF(AND(Entities[[#This Row],[ENT_TYPE]]="County",RIGHT(Entities[[#This Row],[ENT_NAME]],6)&lt;&gt;"County"),_xlfn.TEXTJOIN(" ",TRUE,Entities[[#This Row],[ENT_NAME]],"County"),Entities[[#This Row],[ENT_NAME]])</f>
        <v>Montgomery County MUD 45</v>
      </c>
    </row>
    <row r="2505" spans="1:6" x14ac:dyDescent="0.25">
      <c r="A2505" s="304" t="s">
        <v>8488</v>
      </c>
      <c r="B2505" s="303" t="str">
        <f t="shared" si="39"/>
        <v>x06001812</v>
      </c>
      <c r="C2505" t="s">
        <v>4</v>
      </c>
      <c r="D2505" t="s">
        <v>8489</v>
      </c>
      <c r="E2505">
        <v>6</v>
      </c>
      <c r="F2505" t="str">
        <f>IF(AND(Entities[[#This Row],[ENT_TYPE]]="County",RIGHT(Entities[[#This Row],[ENT_NAME]],6)&lt;&gt;"County"),_xlfn.TEXTJOIN(" ",TRUE,Entities[[#This Row],[ENT_NAME]],"County"),Entities[[#This Row],[ENT_NAME]])</f>
        <v>Harris County MUD 136</v>
      </c>
    </row>
    <row r="2506" spans="1:6" x14ac:dyDescent="0.25">
      <c r="A2506" s="302" t="s">
        <v>8490</v>
      </c>
      <c r="B2506" s="303" t="str">
        <f t="shared" si="39"/>
        <v>x06001813</v>
      </c>
      <c r="C2506" t="s">
        <v>4</v>
      </c>
      <c r="D2506" t="s">
        <v>8491</v>
      </c>
      <c r="E2506">
        <v>6</v>
      </c>
      <c r="F2506" t="str">
        <f>IF(AND(Entities[[#This Row],[ENT_TYPE]]="County",RIGHT(Entities[[#This Row],[ENT_NAME]],6)&lt;&gt;"County"),_xlfn.TEXTJOIN(" ",TRUE,Entities[[#This Row],[ENT_NAME]],"County"),Entities[[#This Row],[ENT_NAME]])</f>
        <v>Woodcreek Reserve MUD</v>
      </c>
    </row>
    <row r="2507" spans="1:6" x14ac:dyDescent="0.25">
      <c r="A2507" s="304" t="s">
        <v>8492</v>
      </c>
      <c r="B2507" s="303" t="str">
        <f t="shared" si="39"/>
        <v>x06001815</v>
      </c>
      <c r="C2507" t="s">
        <v>4</v>
      </c>
      <c r="D2507" t="s">
        <v>8493</v>
      </c>
      <c r="E2507">
        <v>6</v>
      </c>
      <c r="F2507" t="str">
        <f>IF(AND(Entities[[#This Row],[ENT_TYPE]]="County",RIGHT(Entities[[#This Row],[ENT_NAME]],6)&lt;&gt;"County"),_xlfn.TEXTJOIN(" ",TRUE,Entities[[#This Row],[ENT_NAME]],"County"),Entities[[#This Row],[ENT_NAME]])</f>
        <v>Montgomery County FWSD 7</v>
      </c>
    </row>
    <row r="2508" spans="1:6" x14ac:dyDescent="0.25">
      <c r="A2508" s="302" t="s">
        <v>8494</v>
      </c>
      <c r="B2508" s="303" t="str">
        <f t="shared" si="39"/>
        <v>x06001817</v>
      </c>
      <c r="C2508" t="s">
        <v>4</v>
      </c>
      <c r="D2508" t="s">
        <v>8495</v>
      </c>
      <c r="E2508">
        <v>6</v>
      </c>
      <c r="F2508" t="str">
        <f>IF(AND(Entities[[#This Row],[ENT_TYPE]]="County",RIGHT(Entities[[#This Row],[ENT_NAME]],6)&lt;&gt;"County"),_xlfn.TEXTJOIN(" ",TRUE,Entities[[#This Row],[ENT_NAME]],"County"),Entities[[#This Row],[ENT_NAME]])</f>
        <v>Harris County MUD 43</v>
      </c>
    </row>
    <row r="2509" spans="1:6" x14ac:dyDescent="0.25">
      <c r="A2509" s="304" t="s">
        <v>8496</v>
      </c>
      <c r="B2509" s="303" t="str">
        <f t="shared" si="39"/>
        <v>x06001818</v>
      </c>
      <c r="C2509" t="s">
        <v>4</v>
      </c>
      <c r="D2509" t="s">
        <v>8497</v>
      </c>
      <c r="E2509">
        <v>6</v>
      </c>
      <c r="F2509" t="str">
        <f>IF(AND(Entities[[#This Row],[ENT_TYPE]]="County",RIGHT(Entities[[#This Row],[ENT_NAME]],6)&lt;&gt;"County"),_xlfn.TEXTJOIN(" ",TRUE,Entities[[#This Row],[ENT_NAME]],"County"),Entities[[#This Row],[ENT_NAME]])</f>
        <v>Forests Edge MUD</v>
      </c>
    </row>
    <row r="2510" spans="1:6" x14ac:dyDescent="0.25">
      <c r="A2510" s="302" t="s">
        <v>8498</v>
      </c>
      <c r="B2510" s="303" t="str">
        <f t="shared" si="39"/>
        <v>x06001819</v>
      </c>
      <c r="C2510" t="s">
        <v>4</v>
      </c>
      <c r="D2510" t="s">
        <v>8499</v>
      </c>
      <c r="E2510">
        <v>6</v>
      </c>
      <c r="F2510" t="str">
        <f>IF(AND(Entities[[#This Row],[ENT_TYPE]]="County",RIGHT(Entities[[#This Row],[ENT_NAME]],6)&lt;&gt;"County"),_xlfn.TEXTJOIN(" ",TRUE,Entities[[#This Row],[ENT_NAME]],"County"),Entities[[#This Row],[ENT_NAME]])</f>
        <v>Harris County MUD 306</v>
      </c>
    </row>
    <row r="2511" spans="1:6" x14ac:dyDescent="0.25">
      <c r="A2511" s="304" t="s">
        <v>8500</v>
      </c>
      <c r="B2511" s="303" t="str">
        <f t="shared" si="39"/>
        <v>x06001820</v>
      </c>
      <c r="C2511" t="s">
        <v>4</v>
      </c>
      <c r="D2511" t="s">
        <v>8501</v>
      </c>
      <c r="E2511">
        <v>6</v>
      </c>
      <c r="F2511" t="str">
        <f>IF(AND(Entities[[#This Row],[ENT_TYPE]]="County",RIGHT(Entities[[#This Row],[ENT_NAME]],6)&lt;&gt;"County"),_xlfn.TEXTJOIN(" ",TRUE,Entities[[#This Row],[ENT_NAME]],"County"),Entities[[#This Row],[ENT_NAME]])</f>
        <v>Harris County MUD 327</v>
      </c>
    </row>
    <row r="2512" spans="1:6" x14ac:dyDescent="0.25">
      <c r="A2512" s="302" t="s">
        <v>8502</v>
      </c>
      <c r="B2512" s="303" t="str">
        <f t="shared" si="39"/>
        <v>x06001821</v>
      </c>
      <c r="C2512" t="s">
        <v>4</v>
      </c>
      <c r="D2512" t="s">
        <v>8503</v>
      </c>
      <c r="E2512">
        <v>6</v>
      </c>
      <c r="F2512" t="str">
        <f>IF(AND(Entities[[#This Row],[ENT_TYPE]]="County",RIGHT(Entities[[#This Row],[ENT_NAME]],6)&lt;&gt;"County"),_xlfn.TEXTJOIN(" ",TRUE,Entities[[#This Row],[ENT_NAME]],"County"),Entities[[#This Row],[ENT_NAME]])</f>
        <v>Harris County MUD 8</v>
      </c>
    </row>
    <row r="2513" spans="1:6" x14ac:dyDescent="0.25">
      <c r="A2513" s="304" t="s">
        <v>8504</v>
      </c>
      <c r="B2513" s="303" t="str">
        <f t="shared" si="39"/>
        <v>x06001822</v>
      </c>
      <c r="C2513" t="s">
        <v>4</v>
      </c>
      <c r="D2513" t="s">
        <v>8505</v>
      </c>
      <c r="E2513">
        <v>6</v>
      </c>
      <c r="F2513" t="str">
        <f>IF(AND(Entities[[#This Row],[ENT_TYPE]]="County",RIGHT(Entities[[#This Row],[ENT_NAME]],6)&lt;&gt;"County"),_xlfn.TEXTJOIN(" ",TRUE,Entities[[#This Row],[ENT_NAME]],"County"),Entities[[#This Row],[ENT_NAME]])</f>
        <v>Harris County MUD 366</v>
      </c>
    </row>
    <row r="2514" spans="1:6" x14ac:dyDescent="0.25">
      <c r="A2514" s="302" t="s">
        <v>8506</v>
      </c>
      <c r="B2514" s="303" t="str">
        <f t="shared" si="39"/>
        <v>x06001837</v>
      </c>
      <c r="C2514" t="s">
        <v>4</v>
      </c>
      <c r="D2514" t="s">
        <v>8507</v>
      </c>
      <c r="E2514">
        <v>6</v>
      </c>
      <c r="F2514" t="str">
        <f>IF(AND(Entities[[#This Row],[ENT_TYPE]]="County",RIGHT(Entities[[#This Row],[ENT_NAME]],6)&lt;&gt;"County"),_xlfn.TEXTJOIN(" ",TRUE,Entities[[#This Row],[ENT_NAME]],"County"),Entities[[#This Row],[ENT_NAME]])</f>
        <v>Montgomery County MUD 111</v>
      </c>
    </row>
    <row r="2515" spans="1:6" x14ac:dyDescent="0.25">
      <c r="A2515" s="302" t="s">
        <v>8508</v>
      </c>
      <c r="B2515" s="303" t="str">
        <f t="shared" si="39"/>
        <v>x06001839</v>
      </c>
      <c r="C2515" t="s">
        <v>4</v>
      </c>
      <c r="D2515" t="s">
        <v>8509</v>
      </c>
      <c r="E2515">
        <v>6</v>
      </c>
      <c r="F2515" t="str">
        <f>IF(AND(Entities[[#This Row],[ENT_TYPE]]="County",RIGHT(Entities[[#This Row],[ENT_NAME]],6)&lt;&gt;"County"),_xlfn.TEXTJOIN(" ",TRUE,Entities[[#This Row],[ENT_NAME]],"County"),Entities[[#This Row],[ENT_NAME]])</f>
        <v>Montgomery County MUD 164</v>
      </c>
    </row>
    <row r="2516" spans="1:6" x14ac:dyDescent="0.25">
      <c r="A2516" s="304" t="s">
        <v>8510</v>
      </c>
      <c r="B2516" s="303" t="str">
        <f t="shared" si="39"/>
        <v>x06001840</v>
      </c>
      <c r="C2516" t="s">
        <v>4</v>
      </c>
      <c r="D2516" t="s">
        <v>8511</v>
      </c>
      <c r="E2516">
        <v>6</v>
      </c>
      <c r="F2516" t="str">
        <f>IF(AND(Entities[[#This Row],[ENT_TYPE]]="County",RIGHT(Entities[[#This Row],[ENT_NAME]],6)&lt;&gt;"County"),_xlfn.TEXTJOIN(" ",TRUE,Entities[[#This Row],[ENT_NAME]],"County"),Entities[[#This Row],[ENT_NAME]])</f>
        <v>Harris County WCID 163</v>
      </c>
    </row>
    <row r="2517" spans="1:6" x14ac:dyDescent="0.25">
      <c r="A2517" s="302" t="s">
        <v>8512</v>
      </c>
      <c r="B2517" s="303" t="str">
        <f t="shared" si="39"/>
        <v>x06001851</v>
      </c>
      <c r="C2517" t="s">
        <v>4</v>
      </c>
      <c r="D2517" t="s">
        <v>8513</v>
      </c>
      <c r="E2517">
        <v>6</v>
      </c>
      <c r="F2517" t="str">
        <f>IF(AND(Entities[[#This Row],[ENT_TYPE]]="County",RIGHT(Entities[[#This Row],[ENT_NAME]],6)&lt;&gt;"County"),_xlfn.TEXTJOIN(" ",TRUE,Entities[[#This Row],[ENT_NAME]],"County"),Entities[[#This Row],[ENT_NAME]])</f>
        <v>Waller County MUD 17</v>
      </c>
    </row>
    <row r="2518" spans="1:6" x14ac:dyDescent="0.25">
      <c r="A2518" s="304" t="s">
        <v>8514</v>
      </c>
      <c r="B2518" s="303" t="str">
        <f t="shared" si="39"/>
        <v>x06001854</v>
      </c>
      <c r="C2518" t="s">
        <v>4</v>
      </c>
      <c r="D2518" t="s">
        <v>8515</v>
      </c>
      <c r="E2518">
        <v>6</v>
      </c>
      <c r="F2518" t="str">
        <f>IF(AND(Entities[[#This Row],[ENT_TYPE]]="County",RIGHT(Entities[[#This Row],[ENT_NAME]],6)&lt;&gt;"County"),_xlfn.TEXTJOIN(" ",TRUE,Entities[[#This Row],[ENT_NAME]],"County"),Entities[[#This Row],[ENT_NAME]])</f>
        <v>Northwest Harris County MUD 19</v>
      </c>
    </row>
    <row r="2519" spans="1:6" x14ac:dyDescent="0.25">
      <c r="A2519" s="302" t="s">
        <v>8516</v>
      </c>
      <c r="B2519" s="303" t="str">
        <f t="shared" si="39"/>
        <v>x06001857</v>
      </c>
      <c r="C2519" t="s">
        <v>4</v>
      </c>
      <c r="D2519" t="s">
        <v>8517</v>
      </c>
      <c r="E2519">
        <v>6</v>
      </c>
      <c r="F2519" t="str">
        <f>IF(AND(Entities[[#This Row],[ENT_TYPE]]="County",RIGHT(Entities[[#This Row],[ENT_NAME]],6)&lt;&gt;"County"),_xlfn.TEXTJOIN(" ",TRUE,Entities[[#This Row],[ENT_NAME]],"County"),Entities[[#This Row],[ENT_NAME]])</f>
        <v>Harris County MUD 220</v>
      </c>
    </row>
    <row r="2520" spans="1:6" x14ac:dyDescent="0.25">
      <c r="A2520" s="304" t="s">
        <v>8518</v>
      </c>
      <c r="B2520" s="303" t="str">
        <f t="shared" si="39"/>
        <v>x06001858</v>
      </c>
      <c r="C2520" t="s">
        <v>4</v>
      </c>
      <c r="D2520" t="s">
        <v>8519</v>
      </c>
      <c r="E2520">
        <v>6</v>
      </c>
      <c r="F2520" t="str">
        <f>IF(AND(Entities[[#This Row],[ENT_TYPE]]="County",RIGHT(Entities[[#This Row],[ENT_NAME]],6)&lt;&gt;"County"),_xlfn.TEXTJOIN(" ",TRUE,Entities[[#This Row],[ENT_NAME]],"County"),Entities[[#This Row],[ENT_NAME]])</f>
        <v>Cypress Hill MUD 1</v>
      </c>
    </row>
    <row r="2521" spans="1:6" x14ac:dyDescent="0.25">
      <c r="A2521" s="302" t="s">
        <v>8520</v>
      </c>
      <c r="B2521" s="303" t="str">
        <f t="shared" si="39"/>
        <v>x06001859</v>
      </c>
      <c r="C2521" t="s">
        <v>4</v>
      </c>
      <c r="D2521" t="s">
        <v>8521</v>
      </c>
      <c r="E2521">
        <v>6</v>
      </c>
      <c r="F2521" t="str">
        <f>IF(AND(Entities[[#This Row],[ENT_TYPE]]="County",RIGHT(Entities[[#This Row],[ENT_NAME]],6)&lt;&gt;"County"),_xlfn.TEXTJOIN(" ",TRUE,Entities[[#This Row],[ENT_NAME]],"County"),Entities[[#This Row],[ENT_NAME]])</f>
        <v>Fort Bend County MUD 163</v>
      </c>
    </row>
    <row r="2522" spans="1:6" x14ac:dyDescent="0.25">
      <c r="A2522" s="304" t="s">
        <v>8522</v>
      </c>
      <c r="B2522" s="303" t="str">
        <f t="shared" si="39"/>
        <v>x06001860</v>
      </c>
      <c r="C2522" t="s">
        <v>4</v>
      </c>
      <c r="D2522" t="s">
        <v>8523</v>
      </c>
      <c r="E2522">
        <v>6</v>
      </c>
      <c r="F2522" t="str">
        <f>IF(AND(Entities[[#This Row],[ENT_TYPE]]="County",RIGHT(Entities[[#This Row],[ENT_NAME]],6)&lt;&gt;"County"),_xlfn.TEXTJOIN(" ",TRUE,Entities[[#This Row],[ENT_NAME]],"County"),Entities[[#This Row],[ENT_NAME]])</f>
        <v>Blaketree MUD 2 of Montgomery County</v>
      </c>
    </row>
    <row r="2523" spans="1:6" x14ac:dyDescent="0.25">
      <c r="A2523" s="302" t="s">
        <v>8524</v>
      </c>
      <c r="B2523" s="303" t="str">
        <f t="shared" si="39"/>
        <v>x06001861</v>
      </c>
      <c r="C2523" t="s">
        <v>4</v>
      </c>
      <c r="D2523" t="s">
        <v>8525</v>
      </c>
      <c r="E2523">
        <v>6</v>
      </c>
      <c r="F2523" t="str">
        <f>IF(AND(Entities[[#This Row],[ENT_TYPE]]="County",RIGHT(Entities[[#This Row],[ENT_NAME]],6)&lt;&gt;"County"),_xlfn.TEXTJOIN(" ",TRUE,Entities[[#This Row],[ENT_NAME]],"County"),Entities[[#This Row],[ENT_NAME]])</f>
        <v>Conroe MUD 1</v>
      </c>
    </row>
    <row r="2524" spans="1:6" x14ac:dyDescent="0.25">
      <c r="A2524" s="304" t="s">
        <v>8526</v>
      </c>
      <c r="B2524" s="303" t="str">
        <f t="shared" si="39"/>
        <v>x06001864</v>
      </c>
      <c r="C2524" t="s">
        <v>4</v>
      </c>
      <c r="D2524" t="s">
        <v>8527</v>
      </c>
      <c r="E2524">
        <v>6</v>
      </c>
      <c r="F2524" t="str">
        <f>IF(AND(Entities[[#This Row],[ENT_TYPE]]="County",RIGHT(Entities[[#This Row],[ENT_NAME]],6)&lt;&gt;"County"),_xlfn.TEXTJOIN(" ",TRUE,Entities[[#This Row],[ENT_NAME]],"County"),Entities[[#This Row],[ENT_NAME]])</f>
        <v>Harris County MUD 105</v>
      </c>
    </row>
    <row r="2525" spans="1:6" x14ac:dyDescent="0.25">
      <c r="A2525" s="302" t="s">
        <v>8528</v>
      </c>
      <c r="B2525" s="303" t="str">
        <f t="shared" si="39"/>
        <v>x06001865</v>
      </c>
      <c r="C2525" t="s">
        <v>4</v>
      </c>
      <c r="D2525" t="s">
        <v>8529</v>
      </c>
      <c r="E2525">
        <v>6</v>
      </c>
      <c r="F2525" t="str">
        <f>IF(AND(Entities[[#This Row],[ENT_TYPE]]="County",RIGHT(Entities[[#This Row],[ENT_NAME]],6)&lt;&gt;"County"),_xlfn.TEXTJOIN(" ",TRUE,Entities[[#This Row],[ENT_NAME]],"County"),Entities[[#This Row],[ENT_NAME]])</f>
        <v>Mills Road MUD</v>
      </c>
    </row>
    <row r="2526" spans="1:6" x14ac:dyDescent="0.25">
      <c r="A2526" s="304" t="s">
        <v>8530</v>
      </c>
      <c r="B2526" s="303" t="str">
        <f t="shared" si="39"/>
        <v>x06001866</v>
      </c>
      <c r="C2526" t="s">
        <v>4</v>
      </c>
      <c r="D2526" t="s">
        <v>8531</v>
      </c>
      <c r="E2526">
        <v>6</v>
      </c>
      <c r="F2526" t="str">
        <f>IF(AND(Entities[[#This Row],[ENT_TYPE]]="County",RIGHT(Entities[[#This Row],[ENT_NAME]],6)&lt;&gt;"County"),_xlfn.TEXTJOIN(" ",TRUE,Entities[[#This Row],[ENT_NAME]],"County"),Entities[[#This Row],[ENT_NAME]])</f>
        <v>Harris County MUD 216</v>
      </c>
    </row>
    <row r="2527" spans="1:6" x14ac:dyDescent="0.25">
      <c r="A2527" s="302" t="s">
        <v>8532</v>
      </c>
      <c r="B2527" s="303" t="str">
        <f t="shared" si="39"/>
        <v>x06001867</v>
      </c>
      <c r="C2527" t="s">
        <v>4</v>
      </c>
      <c r="D2527" t="s">
        <v>8533</v>
      </c>
      <c r="E2527">
        <v>6</v>
      </c>
      <c r="F2527" t="str">
        <f>IF(AND(Entities[[#This Row],[ENT_TYPE]]="County",RIGHT(Entities[[#This Row],[ENT_NAME]],6)&lt;&gt;"County"),_xlfn.TEXTJOIN(" ",TRUE,Entities[[#This Row],[ENT_NAME]],"County"),Entities[[#This Row],[ENT_NAME]])</f>
        <v>Harris County MUD 109</v>
      </c>
    </row>
    <row r="2528" spans="1:6" x14ac:dyDescent="0.25">
      <c r="A2528" s="304" t="s">
        <v>8534</v>
      </c>
      <c r="B2528" s="303" t="str">
        <f t="shared" si="39"/>
        <v>x06001869</v>
      </c>
      <c r="C2528" t="s">
        <v>4</v>
      </c>
      <c r="D2528" t="s">
        <v>8535</v>
      </c>
      <c r="E2528">
        <v>6</v>
      </c>
      <c r="F2528" t="str">
        <f>IF(AND(Entities[[#This Row],[ENT_TYPE]]="County",RIGHT(Entities[[#This Row],[ENT_NAME]],6)&lt;&gt;"County"),_xlfn.TEXTJOIN(" ",TRUE,Entities[[#This Row],[ENT_NAME]],"County"),Entities[[#This Row],[ENT_NAME]])</f>
        <v>Harris County MUD 492</v>
      </c>
    </row>
    <row r="2529" spans="1:6" x14ac:dyDescent="0.25">
      <c r="A2529" s="302" t="s">
        <v>8536</v>
      </c>
      <c r="B2529" s="303" t="str">
        <f t="shared" si="39"/>
        <v>x06001870</v>
      </c>
      <c r="C2529" t="s">
        <v>4</v>
      </c>
      <c r="D2529" t="s">
        <v>8537</v>
      </c>
      <c r="E2529">
        <v>6</v>
      </c>
      <c r="F2529" t="str">
        <f>IF(AND(Entities[[#This Row],[ENT_TYPE]]="County",RIGHT(Entities[[#This Row],[ENT_NAME]],6)&lt;&gt;"County"),_xlfn.TEXTJOIN(" ",TRUE,Entities[[#This Row],[ENT_NAME]],"County"),Entities[[#This Row],[ENT_NAME]])</f>
        <v>Harris County MUD 554</v>
      </c>
    </row>
    <row r="2530" spans="1:6" x14ac:dyDescent="0.25">
      <c r="A2530" s="304" t="s">
        <v>8538</v>
      </c>
      <c r="B2530" s="303" t="str">
        <f t="shared" si="39"/>
        <v>x06001871</v>
      </c>
      <c r="C2530" t="s">
        <v>4</v>
      </c>
      <c r="D2530" t="s">
        <v>8539</v>
      </c>
      <c r="E2530">
        <v>6</v>
      </c>
      <c r="F2530" t="str">
        <f>IF(AND(Entities[[#This Row],[ENT_TYPE]]="County",RIGHT(Entities[[#This Row],[ENT_NAME]],6)&lt;&gt;"County"),_xlfn.TEXTJOIN(" ",TRUE,Entities[[#This Row],[ENT_NAME]],"County"),Entities[[#This Row],[ENT_NAME]])</f>
        <v>Harris County MUD 506</v>
      </c>
    </row>
    <row r="2531" spans="1:6" x14ac:dyDescent="0.25">
      <c r="A2531" s="302" t="s">
        <v>8540</v>
      </c>
      <c r="B2531" s="303" t="str">
        <f t="shared" si="39"/>
        <v>x06001872</v>
      </c>
      <c r="C2531" t="s">
        <v>4</v>
      </c>
      <c r="D2531" t="s">
        <v>8541</v>
      </c>
      <c r="E2531">
        <v>6</v>
      </c>
      <c r="F2531" t="str">
        <f>IF(AND(Entities[[#This Row],[ENT_TYPE]]="County",RIGHT(Entities[[#This Row],[ENT_NAME]],6)&lt;&gt;"County"),_xlfn.TEXTJOIN(" ",TRUE,Entities[[#This Row],[ENT_NAME]],"County"),Entities[[#This Row],[ENT_NAME]])</f>
        <v>Harris County MUD 542</v>
      </c>
    </row>
    <row r="2532" spans="1:6" x14ac:dyDescent="0.25">
      <c r="A2532" s="302" t="s">
        <v>8542</v>
      </c>
      <c r="B2532" s="303" t="str">
        <f t="shared" si="39"/>
        <v>x06001873</v>
      </c>
      <c r="C2532" t="s">
        <v>4</v>
      </c>
      <c r="D2532" t="s">
        <v>8543</v>
      </c>
      <c r="E2532">
        <v>6</v>
      </c>
      <c r="F2532" t="str">
        <f>IF(AND(Entities[[#This Row],[ENT_TYPE]]="County",RIGHT(Entities[[#This Row],[ENT_NAME]],6)&lt;&gt;"County"),_xlfn.TEXTJOIN(" ",TRUE,Entities[[#This Row],[ENT_NAME]],"County"),Entities[[#This Row],[ENT_NAME]])</f>
        <v>Richfield Ranch Management District</v>
      </c>
    </row>
    <row r="2533" spans="1:6" x14ac:dyDescent="0.25">
      <c r="A2533" s="304" t="s">
        <v>8544</v>
      </c>
      <c r="B2533" s="303" t="str">
        <f t="shared" si="39"/>
        <v>x06001877</v>
      </c>
      <c r="C2533" t="s">
        <v>4</v>
      </c>
      <c r="D2533" t="s">
        <v>8545</v>
      </c>
      <c r="E2533">
        <v>6</v>
      </c>
      <c r="F2533" t="str">
        <f>IF(AND(Entities[[#This Row],[ENT_TYPE]]="County",RIGHT(Entities[[#This Row],[ENT_NAME]],6)&lt;&gt;"County"),_xlfn.TEXTJOIN(" ",TRUE,Entities[[#This Row],[ENT_NAME]],"County"),Entities[[#This Row],[ENT_NAME]])</f>
        <v>Harris County MUD 566</v>
      </c>
    </row>
    <row r="2534" spans="1:6" x14ac:dyDescent="0.25">
      <c r="A2534" s="302" t="s">
        <v>8546</v>
      </c>
      <c r="B2534" s="303" t="str">
        <f t="shared" si="39"/>
        <v>x06001878</v>
      </c>
      <c r="C2534" t="s">
        <v>4</v>
      </c>
      <c r="D2534" t="s">
        <v>8547</v>
      </c>
      <c r="E2534">
        <v>6</v>
      </c>
      <c r="F2534" t="str">
        <f>IF(AND(Entities[[#This Row],[ENT_TYPE]]="County",RIGHT(Entities[[#This Row],[ENT_NAME]],6)&lt;&gt;"County"),_xlfn.TEXTJOIN(" ",TRUE,Entities[[#This Row],[ENT_NAME]],"County"),Entities[[#This Row],[ENT_NAME]])</f>
        <v>Willow Point MUD</v>
      </c>
    </row>
    <row r="2535" spans="1:6" x14ac:dyDescent="0.25">
      <c r="A2535" s="304" t="s">
        <v>8548</v>
      </c>
      <c r="B2535" s="303" t="str">
        <f t="shared" si="39"/>
        <v>x06001880</v>
      </c>
      <c r="C2535" t="s">
        <v>4</v>
      </c>
      <c r="D2535" t="s">
        <v>8549</v>
      </c>
      <c r="E2535">
        <v>6</v>
      </c>
      <c r="F2535" t="str">
        <f>IF(AND(Entities[[#This Row],[ENT_TYPE]]="County",RIGHT(Entities[[#This Row],[ENT_NAME]],6)&lt;&gt;"County"),_xlfn.TEXTJOIN(" ",TRUE,Entities[[#This Row],[ENT_NAME]],"County"),Entities[[#This Row],[ENT_NAME]])</f>
        <v>East Montgomery County MUD 6</v>
      </c>
    </row>
    <row r="2536" spans="1:6" x14ac:dyDescent="0.25">
      <c r="A2536" s="302" t="s">
        <v>8550</v>
      </c>
      <c r="B2536" s="303" t="str">
        <f t="shared" si="39"/>
        <v>x06001881</v>
      </c>
      <c r="C2536" t="s">
        <v>4</v>
      </c>
      <c r="D2536" t="s">
        <v>8551</v>
      </c>
      <c r="E2536">
        <v>6</v>
      </c>
      <c r="F2536" t="str">
        <f>IF(AND(Entities[[#This Row],[ENT_TYPE]]="County",RIGHT(Entities[[#This Row],[ENT_NAME]],6)&lt;&gt;"County"),_xlfn.TEXTJOIN(" ",TRUE,Entities[[#This Row],[ENT_NAME]],"County"),Entities[[#This Row],[ENT_NAME]])</f>
        <v>East Montgomery County MUD 7</v>
      </c>
    </row>
    <row r="2537" spans="1:6" x14ac:dyDescent="0.25">
      <c r="A2537" s="304" t="s">
        <v>8552</v>
      </c>
      <c r="B2537" s="303" t="str">
        <f t="shared" si="39"/>
        <v>x06001882</v>
      </c>
      <c r="C2537" t="s">
        <v>4</v>
      </c>
      <c r="D2537" t="s">
        <v>8553</v>
      </c>
      <c r="E2537">
        <v>6</v>
      </c>
      <c r="F2537" t="str">
        <f>IF(AND(Entities[[#This Row],[ENT_TYPE]]="County",RIGHT(Entities[[#This Row],[ENT_NAME]],6)&lt;&gt;"County"),_xlfn.TEXTJOIN(" ",TRUE,Entities[[#This Row],[ENT_NAME]],"County"),Entities[[#This Row],[ENT_NAME]])</f>
        <v>Montgomery County MUD 24</v>
      </c>
    </row>
    <row r="2538" spans="1:6" x14ac:dyDescent="0.25">
      <c r="A2538" s="302" t="s">
        <v>8554</v>
      </c>
      <c r="B2538" s="303" t="str">
        <f t="shared" si="39"/>
        <v>x06001883</v>
      </c>
      <c r="C2538" t="s">
        <v>4</v>
      </c>
      <c r="D2538" t="s">
        <v>8555</v>
      </c>
      <c r="E2538">
        <v>6</v>
      </c>
      <c r="F2538" t="str">
        <f>IF(AND(Entities[[#This Row],[ENT_TYPE]]="County",RIGHT(Entities[[#This Row],[ENT_NAME]],6)&lt;&gt;"County"),_xlfn.TEXTJOIN(" ",TRUE,Entities[[#This Row],[ENT_NAME]],"County"),Entities[[#This Row],[ENT_NAME]])</f>
        <v>Montgomery County MUD 42</v>
      </c>
    </row>
    <row r="2539" spans="1:6" x14ac:dyDescent="0.25">
      <c r="A2539" s="304" t="s">
        <v>8556</v>
      </c>
      <c r="B2539" s="303" t="str">
        <f t="shared" si="39"/>
        <v>x06001885</v>
      </c>
      <c r="C2539" t="s">
        <v>4</v>
      </c>
      <c r="D2539" t="s">
        <v>8557</v>
      </c>
      <c r="E2539">
        <v>6</v>
      </c>
      <c r="F2539" t="str">
        <f>IF(AND(Entities[[#This Row],[ENT_TYPE]]="County",RIGHT(Entities[[#This Row],[ENT_NAME]],6)&lt;&gt;"County"),_xlfn.TEXTJOIN(" ",TRUE,Entities[[#This Row],[ENT_NAME]],"County"),Entities[[#This Row],[ENT_NAME]])</f>
        <v>Harris County MUD 416</v>
      </c>
    </row>
    <row r="2540" spans="1:6" x14ac:dyDescent="0.25">
      <c r="A2540" s="302" t="s">
        <v>8558</v>
      </c>
      <c r="B2540" s="303" t="str">
        <f t="shared" si="39"/>
        <v>x06001886</v>
      </c>
      <c r="C2540" t="s">
        <v>4</v>
      </c>
      <c r="D2540" t="s">
        <v>8559</v>
      </c>
      <c r="E2540">
        <v>6</v>
      </c>
      <c r="F2540" t="str">
        <f>IF(AND(Entities[[#This Row],[ENT_TYPE]]="County",RIGHT(Entities[[#This Row],[ENT_NAME]],6)&lt;&gt;"County"),_xlfn.TEXTJOIN(" ",TRUE,Entities[[#This Row],[ENT_NAME]],"County"),Entities[[#This Row],[ENT_NAME]])</f>
        <v>Harris County MUD 418</v>
      </c>
    </row>
    <row r="2541" spans="1:6" x14ac:dyDescent="0.25">
      <c r="A2541" s="304" t="s">
        <v>8560</v>
      </c>
      <c r="B2541" s="303" t="str">
        <f t="shared" si="39"/>
        <v>x06001890</v>
      </c>
      <c r="C2541" t="s">
        <v>4</v>
      </c>
      <c r="D2541" t="s">
        <v>8561</v>
      </c>
      <c r="E2541">
        <v>6</v>
      </c>
      <c r="F2541" t="str">
        <f>IF(AND(Entities[[#This Row],[ENT_TYPE]]="County",RIGHT(Entities[[#This Row],[ENT_NAME]],6)&lt;&gt;"County"),_xlfn.TEXTJOIN(" ",TRUE,Entities[[#This Row],[ENT_NAME]],"County"),Entities[[#This Row],[ENT_NAME]])</f>
        <v>Charterwood MUD</v>
      </c>
    </row>
    <row r="2542" spans="1:6" x14ac:dyDescent="0.25">
      <c r="A2542" s="302" t="s">
        <v>8562</v>
      </c>
      <c r="B2542" s="303" t="str">
        <f t="shared" si="39"/>
        <v>x06001891</v>
      </c>
      <c r="C2542" t="s">
        <v>4</v>
      </c>
      <c r="D2542" t="s">
        <v>8563</v>
      </c>
      <c r="E2542">
        <v>6</v>
      </c>
      <c r="F2542" t="str">
        <f>IF(AND(Entities[[#This Row],[ENT_TYPE]]="County",RIGHT(Entities[[#This Row],[ENT_NAME]],6)&lt;&gt;"County"),_xlfn.TEXTJOIN(" ",TRUE,Entities[[#This Row],[ENT_NAME]],"County"),Entities[[#This Row],[ENT_NAME]])</f>
        <v>Brazoria County MUD 53</v>
      </c>
    </row>
    <row r="2543" spans="1:6" x14ac:dyDescent="0.25">
      <c r="A2543" s="304" t="s">
        <v>8564</v>
      </c>
      <c r="B2543" s="303" t="str">
        <f t="shared" si="39"/>
        <v>x06001892</v>
      </c>
      <c r="C2543" t="s">
        <v>4</v>
      </c>
      <c r="D2543" t="s">
        <v>8565</v>
      </c>
      <c r="E2543">
        <v>6</v>
      </c>
      <c r="F2543" t="str">
        <f>IF(AND(Entities[[#This Row],[ENT_TYPE]]="County",RIGHT(Entities[[#This Row],[ENT_NAME]],6)&lt;&gt;"County"),_xlfn.TEXTJOIN(" ",TRUE,Entities[[#This Row],[ENT_NAME]],"County"),Entities[[#This Row],[ENT_NAME]])</f>
        <v>Harris County MUD 558</v>
      </c>
    </row>
    <row r="2544" spans="1:6" x14ac:dyDescent="0.25">
      <c r="A2544" s="302" t="s">
        <v>8566</v>
      </c>
      <c r="B2544" s="303" t="str">
        <f t="shared" si="39"/>
        <v>x06001894</v>
      </c>
      <c r="C2544" t="s">
        <v>4</v>
      </c>
      <c r="D2544" t="s">
        <v>8567</v>
      </c>
      <c r="E2544">
        <v>6</v>
      </c>
      <c r="F2544" t="str">
        <f>IF(AND(Entities[[#This Row],[ENT_TYPE]]="County",RIGHT(Entities[[#This Row],[ENT_NAME]],6)&lt;&gt;"County"),_xlfn.TEXTJOIN(" ",TRUE,Entities[[#This Row],[ENT_NAME]],"County"),Entities[[#This Row],[ENT_NAME]])</f>
        <v>Harris County MUD 461</v>
      </c>
    </row>
    <row r="2545" spans="1:6" x14ac:dyDescent="0.25">
      <c r="A2545" s="304" t="s">
        <v>8568</v>
      </c>
      <c r="B2545" s="303" t="str">
        <f t="shared" si="39"/>
        <v>x06001896</v>
      </c>
      <c r="C2545" t="s">
        <v>4</v>
      </c>
      <c r="D2545" t="s">
        <v>8569</v>
      </c>
      <c r="E2545">
        <v>6</v>
      </c>
      <c r="F2545" t="str">
        <f>IF(AND(Entities[[#This Row],[ENT_TYPE]]="County",RIGHT(Entities[[#This Row],[ENT_NAME]],6)&lt;&gt;"County"),_xlfn.TEXTJOIN(" ",TRUE,Entities[[#This Row],[ENT_NAME]],"County"),Entities[[#This Row],[ENT_NAME]])</f>
        <v>Montgomery County MUD 95</v>
      </c>
    </row>
    <row r="2546" spans="1:6" x14ac:dyDescent="0.25">
      <c r="A2546" s="302" t="s">
        <v>8570</v>
      </c>
      <c r="B2546" s="303" t="str">
        <f t="shared" si="39"/>
        <v>x06001897</v>
      </c>
      <c r="C2546" t="s">
        <v>4</v>
      </c>
      <c r="D2546" t="s">
        <v>8571</v>
      </c>
      <c r="E2546">
        <v>6</v>
      </c>
      <c r="F2546" t="str">
        <f>IF(AND(Entities[[#This Row],[ENT_TYPE]]="County",RIGHT(Entities[[#This Row],[ENT_NAME]],6)&lt;&gt;"County"),_xlfn.TEXTJOIN(" ",TRUE,Entities[[#This Row],[ENT_NAME]],"County"),Entities[[#This Row],[ENT_NAME]])</f>
        <v>Montgomery County MUD 106</v>
      </c>
    </row>
    <row r="2547" spans="1:6" x14ac:dyDescent="0.25">
      <c r="A2547" s="304" t="s">
        <v>8572</v>
      </c>
      <c r="B2547" s="303" t="str">
        <f t="shared" si="39"/>
        <v>x06001898</v>
      </c>
      <c r="C2547" t="s">
        <v>4</v>
      </c>
      <c r="D2547" t="s">
        <v>8573</v>
      </c>
      <c r="E2547">
        <v>6</v>
      </c>
      <c r="F2547" t="str">
        <f>IF(AND(Entities[[#This Row],[ENT_TYPE]]="County",RIGHT(Entities[[#This Row],[ENT_NAME]],6)&lt;&gt;"County"),_xlfn.TEXTJOIN(" ",TRUE,Entities[[#This Row],[ENT_NAME]],"County"),Entities[[#This Row],[ENT_NAME]])</f>
        <v>Montgomery County MUD 90</v>
      </c>
    </row>
    <row r="2548" spans="1:6" x14ac:dyDescent="0.25">
      <c r="A2548" s="302" t="s">
        <v>8574</v>
      </c>
      <c r="B2548" s="303" t="str">
        <f t="shared" si="39"/>
        <v>x06001899</v>
      </c>
      <c r="C2548" t="s">
        <v>4</v>
      </c>
      <c r="D2548" t="s">
        <v>8575</v>
      </c>
      <c r="E2548">
        <v>6</v>
      </c>
      <c r="F2548" t="str">
        <f>IF(AND(Entities[[#This Row],[ENT_TYPE]]="County",RIGHT(Entities[[#This Row],[ENT_NAME]],6)&lt;&gt;"County"),_xlfn.TEXTJOIN(" ",TRUE,Entities[[#This Row],[ENT_NAME]],"County"),Entities[[#This Row],[ENT_NAME]])</f>
        <v>Montgomery County MUD 46</v>
      </c>
    </row>
    <row r="2549" spans="1:6" x14ac:dyDescent="0.25">
      <c r="A2549" s="304" t="s">
        <v>8576</v>
      </c>
      <c r="B2549" s="303" t="str">
        <f t="shared" si="39"/>
        <v>x06001900</v>
      </c>
      <c r="C2549" t="s">
        <v>4</v>
      </c>
      <c r="D2549" t="s">
        <v>8577</v>
      </c>
      <c r="E2549">
        <v>6</v>
      </c>
      <c r="F2549" t="str">
        <f>IF(AND(Entities[[#This Row],[ENT_TYPE]]="County",RIGHT(Entities[[#This Row],[ENT_NAME]],6)&lt;&gt;"County"),_xlfn.TEXTJOIN(" ",TRUE,Entities[[#This Row],[ENT_NAME]],"County"),Entities[[#This Row],[ENT_NAME]])</f>
        <v>Brazoria County MUD 28</v>
      </c>
    </row>
    <row r="2550" spans="1:6" x14ac:dyDescent="0.25">
      <c r="A2550" s="302" t="s">
        <v>8578</v>
      </c>
      <c r="B2550" s="303" t="str">
        <f t="shared" si="39"/>
        <v>x06001901</v>
      </c>
      <c r="C2550" t="s">
        <v>4</v>
      </c>
      <c r="D2550" t="s">
        <v>8579</v>
      </c>
      <c r="E2550">
        <v>6</v>
      </c>
      <c r="F2550" t="str">
        <f>IF(AND(Entities[[#This Row],[ENT_TYPE]]="County",RIGHT(Entities[[#This Row],[ENT_NAME]],6)&lt;&gt;"County"),_xlfn.TEXTJOIN(" ",TRUE,Entities[[#This Row],[ENT_NAME]],"County"),Entities[[#This Row],[ENT_NAME]])</f>
        <v>Brazoria County MUD 39</v>
      </c>
    </row>
    <row r="2551" spans="1:6" x14ac:dyDescent="0.25">
      <c r="A2551" s="304" t="s">
        <v>8580</v>
      </c>
      <c r="B2551" s="303" t="str">
        <f t="shared" si="39"/>
        <v>x06001904</v>
      </c>
      <c r="C2551" t="s">
        <v>4</v>
      </c>
      <c r="D2551" t="s">
        <v>8581</v>
      </c>
      <c r="E2551">
        <v>6</v>
      </c>
      <c r="F2551" t="str">
        <f>IF(AND(Entities[[#This Row],[ENT_TYPE]]="County",RIGHT(Entities[[#This Row],[ENT_NAME]],6)&lt;&gt;"County"),_xlfn.TEXTJOIN(" ",TRUE,Entities[[#This Row],[ENT_NAME]],"County"),Entities[[#This Row],[ENT_NAME]])</f>
        <v>Harris County MUD 391</v>
      </c>
    </row>
    <row r="2552" spans="1:6" x14ac:dyDescent="0.25">
      <c r="A2552" s="302" t="s">
        <v>8582</v>
      </c>
      <c r="B2552" s="303" t="str">
        <f t="shared" si="39"/>
        <v>x06001905</v>
      </c>
      <c r="C2552" t="s">
        <v>4</v>
      </c>
      <c r="D2552" t="s">
        <v>8583</v>
      </c>
      <c r="E2552">
        <v>6</v>
      </c>
      <c r="F2552" t="str">
        <f>IF(AND(Entities[[#This Row],[ENT_TYPE]]="County",RIGHT(Entities[[#This Row],[ENT_NAME]],6)&lt;&gt;"County"),_xlfn.TEXTJOIN(" ",TRUE,Entities[[#This Row],[ENT_NAME]],"County"),Entities[[#This Row],[ENT_NAME]])</f>
        <v>Harris County MUD 493</v>
      </c>
    </row>
    <row r="2553" spans="1:6" x14ac:dyDescent="0.25">
      <c r="A2553" s="304" t="s">
        <v>8584</v>
      </c>
      <c r="B2553" s="303" t="str">
        <f t="shared" si="39"/>
        <v>x06001906</v>
      </c>
      <c r="C2553" t="s">
        <v>4</v>
      </c>
      <c r="D2553" t="s">
        <v>8585</v>
      </c>
      <c r="E2553">
        <v>6</v>
      </c>
      <c r="F2553" t="str">
        <f>IF(AND(Entities[[#This Row],[ENT_TYPE]]="County",RIGHT(Entities[[#This Row],[ENT_NAME]],6)&lt;&gt;"County"),_xlfn.TEXTJOIN(" ",TRUE,Entities[[#This Row],[ENT_NAME]],"County"),Entities[[#This Row],[ENT_NAME]])</f>
        <v>White Oak Bend MUD</v>
      </c>
    </row>
    <row r="2554" spans="1:6" x14ac:dyDescent="0.25">
      <c r="A2554" s="302" t="s">
        <v>8586</v>
      </c>
      <c r="B2554" s="303" t="str">
        <f t="shared" si="39"/>
        <v>x06001911</v>
      </c>
      <c r="C2554" t="s">
        <v>4</v>
      </c>
      <c r="D2554" t="s">
        <v>8587</v>
      </c>
      <c r="E2554">
        <v>6</v>
      </c>
      <c r="F2554" t="str">
        <f>IF(AND(Entities[[#This Row],[ENT_TYPE]]="County",RIGHT(Entities[[#This Row],[ENT_NAME]],6)&lt;&gt;"County"),_xlfn.TEXTJOIN(" ",TRUE,Entities[[#This Row],[ENT_NAME]],"County"),Entities[[#This Row],[ENT_NAME]])</f>
        <v>Harris County MUD 434</v>
      </c>
    </row>
    <row r="2555" spans="1:6" x14ac:dyDescent="0.25">
      <c r="A2555" s="304" t="s">
        <v>8588</v>
      </c>
      <c r="B2555" s="303" t="str">
        <f t="shared" si="39"/>
        <v>x06001913</v>
      </c>
      <c r="C2555" t="s">
        <v>4</v>
      </c>
      <c r="D2555" t="s">
        <v>8589</v>
      </c>
      <c r="E2555">
        <v>6</v>
      </c>
      <c r="F2555" t="str">
        <f>IF(AND(Entities[[#This Row],[ENT_TYPE]]="County",RIGHT(Entities[[#This Row],[ENT_NAME]],6)&lt;&gt;"County"),_xlfn.TEXTJOIN(" ",TRUE,Entities[[#This Row],[ENT_NAME]],"County"),Entities[[#This Row],[ENT_NAME]])</f>
        <v>Harris County MUD 387</v>
      </c>
    </row>
    <row r="2556" spans="1:6" x14ac:dyDescent="0.25">
      <c r="A2556" s="302" t="s">
        <v>8590</v>
      </c>
      <c r="B2556" s="303" t="str">
        <f t="shared" si="39"/>
        <v>x06001914</v>
      </c>
      <c r="C2556" t="s">
        <v>4</v>
      </c>
      <c r="D2556" t="s">
        <v>8591</v>
      </c>
      <c r="E2556">
        <v>6</v>
      </c>
      <c r="F2556" t="str">
        <f>IF(AND(Entities[[#This Row],[ENT_TYPE]]="County",RIGHT(Entities[[#This Row],[ENT_NAME]],6)&lt;&gt;"County"),_xlfn.TEXTJOIN(" ",TRUE,Entities[[#This Row],[ENT_NAME]],"County"),Entities[[#This Row],[ENT_NAME]])</f>
        <v>West Harris County MUD 15</v>
      </c>
    </row>
    <row r="2557" spans="1:6" x14ac:dyDescent="0.25">
      <c r="A2557" s="304" t="s">
        <v>8592</v>
      </c>
      <c r="B2557" s="303" t="str">
        <f t="shared" si="39"/>
        <v>x06001915</v>
      </c>
      <c r="C2557" t="s">
        <v>4</v>
      </c>
      <c r="D2557" t="s">
        <v>8593</v>
      </c>
      <c r="E2557">
        <v>6</v>
      </c>
      <c r="F2557" t="str">
        <f>IF(AND(Entities[[#This Row],[ENT_TYPE]]="County",RIGHT(Entities[[#This Row],[ENT_NAME]],6)&lt;&gt;"County"),_xlfn.TEXTJOIN(" ",TRUE,Entities[[#This Row],[ENT_NAME]],"County"),Entities[[#This Row],[ENT_NAME]])</f>
        <v>Harris County WCID 155</v>
      </c>
    </row>
    <row r="2558" spans="1:6" x14ac:dyDescent="0.25">
      <c r="A2558" s="302" t="s">
        <v>8594</v>
      </c>
      <c r="B2558" s="303" t="str">
        <f t="shared" si="39"/>
        <v>x06001917</v>
      </c>
      <c r="C2558" t="s">
        <v>4</v>
      </c>
      <c r="D2558" t="s">
        <v>8595</v>
      </c>
      <c r="E2558">
        <v>6</v>
      </c>
      <c r="F2558" t="str">
        <f>IF(AND(Entities[[#This Row],[ENT_TYPE]]="County",RIGHT(Entities[[#This Row],[ENT_NAME]],6)&lt;&gt;"County"),_xlfn.TEXTJOIN(" ",TRUE,Entities[[#This Row],[ENT_NAME]],"County"),Entities[[#This Row],[ENT_NAME]])</f>
        <v>Fort Bend County MUD 185</v>
      </c>
    </row>
    <row r="2559" spans="1:6" x14ac:dyDescent="0.25">
      <c r="A2559" s="304" t="s">
        <v>8596</v>
      </c>
      <c r="B2559" s="303" t="str">
        <f t="shared" si="39"/>
        <v>x06001920</v>
      </c>
      <c r="C2559" t="s">
        <v>4</v>
      </c>
      <c r="D2559" t="s">
        <v>8597</v>
      </c>
      <c r="E2559">
        <v>6</v>
      </c>
      <c r="F2559" t="str">
        <f>IF(AND(Entities[[#This Row],[ENT_TYPE]]="County",RIGHT(Entities[[#This Row],[ENT_NAME]],6)&lt;&gt;"County"),_xlfn.TEXTJOIN(" ",TRUE,Entities[[#This Row],[ENT_NAME]],"County"),Entities[[#This Row],[ENT_NAME]])</f>
        <v>Greenwood Utility District</v>
      </c>
    </row>
    <row r="2560" spans="1:6" x14ac:dyDescent="0.25">
      <c r="A2560" s="302" t="s">
        <v>8598</v>
      </c>
      <c r="B2560" s="303" t="str">
        <f t="shared" si="39"/>
        <v>x06001921</v>
      </c>
      <c r="C2560" t="s">
        <v>4</v>
      </c>
      <c r="D2560" t="s">
        <v>8599</v>
      </c>
      <c r="E2560">
        <v>6</v>
      </c>
      <c r="F2560" t="str">
        <f>IF(AND(Entities[[#This Row],[ENT_TYPE]]="County",RIGHT(Entities[[#This Row],[ENT_NAME]],6)&lt;&gt;"County"),_xlfn.TEXTJOIN(" ",TRUE,Entities[[#This Row],[ENT_NAME]],"County"),Entities[[#This Row],[ENT_NAME]])</f>
        <v>Montgomery County MUD 89</v>
      </c>
    </row>
    <row r="2561" spans="1:6" x14ac:dyDescent="0.25">
      <c r="A2561" s="304" t="s">
        <v>8600</v>
      </c>
      <c r="B2561" s="303" t="str">
        <f t="shared" si="39"/>
        <v>x06001922</v>
      </c>
      <c r="C2561" t="s">
        <v>4</v>
      </c>
      <c r="D2561" t="s">
        <v>8601</v>
      </c>
      <c r="E2561">
        <v>6</v>
      </c>
      <c r="F2561" t="str">
        <f>IF(AND(Entities[[#This Row],[ENT_TYPE]]="County",RIGHT(Entities[[#This Row],[ENT_NAME]],6)&lt;&gt;"County"),_xlfn.TEXTJOIN(" ",TRUE,Entities[[#This Row],[ENT_NAME]],"County"),Entities[[#This Row],[ENT_NAME]])</f>
        <v>Montgomery County MUD 88</v>
      </c>
    </row>
    <row r="2562" spans="1:6" x14ac:dyDescent="0.25">
      <c r="A2562" s="302" t="s">
        <v>8602</v>
      </c>
      <c r="B2562" s="303" t="str">
        <f t="shared" ref="B2562:B2625" si="40">_xlfn.CONCAT("x",TEXT(A2562,"00000000"))</f>
        <v>x06001923</v>
      </c>
      <c r="C2562" t="s">
        <v>4</v>
      </c>
      <c r="D2562" t="s">
        <v>8603</v>
      </c>
      <c r="E2562">
        <v>6</v>
      </c>
      <c r="F2562" t="str">
        <f>IF(AND(Entities[[#This Row],[ENT_TYPE]]="County",RIGHT(Entities[[#This Row],[ENT_NAME]],6)&lt;&gt;"County"),_xlfn.TEXTJOIN(" ",TRUE,Entities[[#This Row],[ENT_NAME]],"County"),Entities[[#This Row],[ENT_NAME]])</f>
        <v>Charleston MUD</v>
      </c>
    </row>
    <row r="2563" spans="1:6" x14ac:dyDescent="0.25">
      <c r="A2563" s="304" t="s">
        <v>8604</v>
      </c>
      <c r="B2563" s="303" t="str">
        <f t="shared" si="40"/>
        <v>x06001924</v>
      </c>
      <c r="C2563" t="s">
        <v>4</v>
      </c>
      <c r="D2563" t="s">
        <v>8605</v>
      </c>
      <c r="E2563">
        <v>6</v>
      </c>
      <c r="F2563" t="str">
        <f>IF(AND(Entities[[#This Row],[ENT_TYPE]]="County",RIGHT(Entities[[#This Row],[ENT_NAME]],6)&lt;&gt;"County"),_xlfn.TEXTJOIN(" ",TRUE,Entities[[#This Row],[ENT_NAME]],"County"),Entities[[#This Row],[ENT_NAME]])</f>
        <v>Harris County MUD 481</v>
      </c>
    </row>
    <row r="2564" spans="1:6" x14ac:dyDescent="0.25">
      <c r="A2564" s="302" t="s">
        <v>8606</v>
      </c>
      <c r="B2564" s="303" t="str">
        <f t="shared" si="40"/>
        <v>x06001925</v>
      </c>
      <c r="C2564" t="s">
        <v>4</v>
      </c>
      <c r="D2564" t="s">
        <v>8607</v>
      </c>
      <c r="E2564">
        <v>6</v>
      </c>
      <c r="F2564" t="str">
        <f>IF(AND(Entities[[#This Row],[ENT_TYPE]]="County",RIGHT(Entities[[#This Row],[ENT_NAME]],6)&lt;&gt;"County"),_xlfn.TEXTJOIN(" ",TRUE,Entities[[#This Row],[ENT_NAME]],"County"),Entities[[#This Row],[ENT_NAME]])</f>
        <v>Brazoria County MUD 32</v>
      </c>
    </row>
    <row r="2565" spans="1:6" x14ac:dyDescent="0.25">
      <c r="A2565" s="304" t="s">
        <v>8608</v>
      </c>
      <c r="B2565" s="303" t="str">
        <f t="shared" si="40"/>
        <v>x06001926</v>
      </c>
      <c r="C2565" t="s">
        <v>4</v>
      </c>
      <c r="D2565" t="s">
        <v>8609</v>
      </c>
      <c r="E2565">
        <v>6</v>
      </c>
      <c r="F2565" t="str">
        <f>IF(AND(Entities[[#This Row],[ENT_TYPE]]="County",RIGHT(Entities[[#This Row],[ENT_NAME]],6)&lt;&gt;"County"),_xlfn.TEXTJOIN(" ",TRUE,Entities[[#This Row],[ENT_NAME]],"County"),Entities[[#This Row],[ENT_NAME]])</f>
        <v>Harris County MUD 424</v>
      </c>
    </row>
    <row r="2566" spans="1:6" x14ac:dyDescent="0.25">
      <c r="A2566" s="302" t="s">
        <v>8610</v>
      </c>
      <c r="B2566" s="303" t="str">
        <f t="shared" si="40"/>
        <v>x06001927</v>
      </c>
      <c r="C2566" t="s">
        <v>4</v>
      </c>
      <c r="D2566" t="s">
        <v>8611</v>
      </c>
      <c r="E2566">
        <v>6</v>
      </c>
      <c r="F2566" t="str">
        <f>IF(AND(Entities[[#This Row],[ENT_TYPE]]="County",RIGHT(Entities[[#This Row],[ENT_NAME]],6)&lt;&gt;"County"),_xlfn.TEXTJOIN(" ",TRUE,Entities[[#This Row],[ENT_NAME]],"County"),Entities[[#This Row],[ENT_NAME]])</f>
        <v>Harris County MUD 482</v>
      </c>
    </row>
    <row r="2567" spans="1:6" x14ac:dyDescent="0.25">
      <c r="A2567" s="304" t="s">
        <v>8612</v>
      </c>
      <c r="B2567" s="303" t="str">
        <f t="shared" si="40"/>
        <v>x06001928</v>
      </c>
      <c r="C2567" t="s">
        <v>4</v>
      </c>
      <c r="D2567" t="s">
        <v>8613</v>
      </c>
      <c r="E2567">
        <v>6</v>
      </c>
      <c r="F2567" t="str">
        <f>IF(AND(Entities[[#This Row],[ENT_TYPE]]="County",RIGHT(Entities[[#This Row],[ENT_NAME]],6)&lt;&gt;"County"),_xlfn.TEXTJOIN(" ",TRUE,Entities[[#This Row],[ENT_NAME]],"County"),Entities[[#This Row],[ENT_NAME]])</f>
        <v>Galveston County MUD 36</v>
      </c>
    </row>
    <row r="2568" spans="1:6" x14ac:dyDescent="0.25">
      <c r="A2568" s="304" t="s">
        <v>8614</v>
      </c>
      <c r="B2568" s="303" t="str">
        <f t="shared" si="40"/>
        <v>x06001931</v>
      </c>
      <c r="C2568" t="s">
        <v>4</v>
      </c>
      <c r="D2568" t="s">
        <v>8615</v>
      </c>
      <c r="E2568">
        <v>6</v>
      </c>
      <c r="F2568" t="str">
        <f>IF(AND(Entities[[#This Row],[ENT_TYPE]]="County",RIGHT(Entities[[#This Row],[ENT_NAME]],6)&lt;&gt;"County"),_xlfn.TEXTJOIN(" ",TRUE,Entities[[#This Row],[ENT_NAME]],"County"),Entities[[#This Row],[ENT_NAME]])</f>
        <v>Harris County MUD 249</v>
      </c>
    </row>
    <row r="2569" spans="1:6" x14ac:dyDescent="0.25">
      <c r="A2569" s="302" t="s">
        <v>8616</v>
      </c>
      <c r="B2569" s="303" t="str">
        <f t="shared" si="40"/>
        <v>x06001932</v>
      </c>
      <c r="C2569" t="s">
        <v>4</v>
      </c>
      <c r="D2569" t="s">
        <v>8617</v>
      </c>
      <c r="E2569">
        <v>6</v>
      </c>
      <c r="F2569" t="str">
        <f>IF(AND(Entities[[#This Row],[ENT_TYPE]]="County",RIGHT(Entities[[#This Row],[ENT_NAME]],6)&lt;&gt;"County"),_xlfn.TEXTJOIN(" ",TRUE,Entities[[#This Row],[ENT_NAME]],"County"),Entities[[#This Row],[ENT_NAME]])</f>
        <v>Bammel Utility district</v>
      </c>
    </row>
    <row r="2570" spans="1:6" x14ac:dyDescent="0.25">
      <c r="A2570" s="304" t="s">
        <v>8618</v>
      </c>
      <c r="B2570" s="303" t="str">
        <f t="shared" si="40"/>
        <v>x06001933</v>
      </c>
      <c r="C2570" t="s">
        <v>4</v>
      </c>
      <c r="D2570" t="s">
        <v>8619</v>
      </c>
      <c r="E2570">
        <v>6</v>
      </c>
      <c r="F2570" t="str">
        <f>IF(AND(Entities[[#This Row],[ENT_TYPE]]="County",RIGHT(Entities[[#This Row],[ENT_NAME]],6)&lt;&gt;"County"),_xlfn.TEXTJOIN(" ",TRUE,Entities[[#This Row],[ENT_NAME]],"County"),Entities[[#This Row],[ENT_NAME]])</f>
        <v>Fort Bend-Waller Counties MUD 3</v>
      </c>
    </row>
    <row r="2571" spans="1:6" x14ac:dyDescent="0.25">
      <c r="A2571" s="302" t="s">
        <v>8620</v>
      </c>
      <c r="B2571" s="303" t="str">
        <f t="shared" si="40"/>
        <v>x06001937</v>
      </c>
      <c r="C2571" t="s">
        <v>4</v>
      </c>
      <c r="D2571" t="s">
        <v>8621</v>
      </c>
      <c r="E2571">
        <v>6</v>
      </c>
      <c r="F2571" t="str">
        <f>IF(AND(Entities[[#This Row],[ENT_TYPE]]="County",RIGHT(Entities[[#This Row],[ENT_NAME]],6)&lt;&gt;"County"),_xlfn.TEXTJOIN(" ",TRUE,Entities[[#This Row],[ENT_NAME]],"County"),Entities[[#This Row],[ENT_NAME]])</f>
        <v>Montgomery County MUD 114</v>
      </c>
    </row>
    <row r="2572" spans="1:6" x14ac:dyDescent="0.25">
      <c r="A2572" s="304" t="s">
        <v>8622</v>
      </c>
      <c r="B2572" s="303" t="str">
        <f t="shared" si="40"/>
        <v>x06001941</v>
      </c>
      <c r="C2572" t="s">
        <v>4</v>
      </c>
      <c r="D2572" t="s">
        <v>8623</v>
      </c>
      <c r="E2572">
        <v>6</v>
      </c>
      <c r="F2572" t="str">
        <f>IF(AND(Entities[[#This Row],[ENT_TYPE]]="County",RIGHT(Entities[[#This Row],[ENT_NAME]],6)&lt;&gt;"County"),_xlfn.TEXTJOIN(" ",TRUE,Entities[[#This Row],[ENT_NAME]],"County"),Entities[[#This Row],[ENT_NAME]])</f>
        <v>Harris County MUD 532</v>
      </c>
    </row>
    <row r="2573" spans="1:6" x14ac:dyDescent="0.25">
      <c r="A2573" s="302" t="s">
        <v>8624</v>
      </c>
      <c r="B2573" s="303" t="str">
        <f t="shared" si="40"/>
        <v>x06001942</v>
      </c>
      <c r="C2573" t="s">
        <v>4</v>
      </c>
      <c r="D2573" t="s">
        <v>8625</v>
      </c>
      <c r="E2573">
        <v>6</v>
      </c>
      <c r="F2573" t="str">
        <f>IF(AND(Entities[[#This Row],[ENT_TYPE]]="County",RIGHT(Entities[[#This Row],[ENT_NAME]],6)&lt;&gt;"County"),_xlfn.TEXTJOIN(" ",TRUE,Entities[[#This Row],[ENT_NAME]],"County"),Entities[[#This Row],[ENT_NAME]])</f>
        <v>Harris County MUD 519</v>
      </c>
    </row>
    <row r="2574" spans="1:6" x14ac:dyDescent="0.25">
      <c r="A2574" s="304" t="s">
        <v>8626</v>
      </c>
      <c r="B2574" s="303" t="str">
        <f t="shared" si="40"/>
        <v>x06001944</v>
      </c>
      <c r="C2574" t="s">
        <v>4</v>
      </c>
      <c r="D2574" t="s">
        <v>8627</v>
      </c>
      <c r="E2574">
        <v>6</v>
      </c>
      <c r="F2574" t="str">
        <f>IF(AND(Entities[[#This Row],[ENT_TYPE]]="County",RIGHT(Entities[[#This Row],[ENT_NAME]],6)&lt;&gt;"County"),_xlfn.TEXTJOIN(" ",TRUE,Entities[[#This Row],[ENT_NAME]],"County"),Entities[[#This Row],[ENT_NAME]])</f>
        <v>Montgomery County MUD 135</v>
      </c>
    </row>
    <row r="2575" spans="1:6" x14ac:dyDescent="0.25">
      <c r="A2575" s="302" t="s">
        <v>8628</v>
      </c>
      <c r="B2575" s="303" t="str">
        <f t="shared" si="40"/>
        <v>x06001946</v>
      </c>
      <c r="C2575" t="s">
        <v>4</v>
      </c>
      <c r="D2575" t="s">
        <v>8629</v>
      </c>
      <c r="E2575">
        <v>6</v>
      </c>
      <c r="F2575" t="str">
        <f>IF(AND(Entities[[#This Row],[ENT_TYPE]]="County",RIGHT(Entities[[#This Row],[ENT_NAME]],6)&lt;&gt;"County"),_xlfn.TEXTJOIN(" ",TRUE,Entities[[#This Row],[ENT_NAME]],"County"),Entities[[#This Row],[ENT_NAME]])</f>
        <v>Montgomery County MUD 139</v>
      </c>
    </row>
    <row r="2576" spans="1:6" x14ac:dyDescent="0.25">
      <c r="A2576" s="304" t="s">
        <v>8630</v>
      </c>
      <c r="B2576" s="303" t="str">
        <f t="shared" si="40"/>
        <v>x06001947</v>
      </c>
      <c r="C2576" t="s">
        <v>4</v>
      </c>
      <c r="D2576" t="s">
        <v>8631</v>
      </c>
      <c r="E2576">
        <v>6</v>
      </c>
      <c r="F2576" t="str">
        <f>IF(AND(Entities[[#This Row],[ENT_TYPE]]="County",RIGHT(Entities[[#This Row],[ENT_NAME]],6)&lt;&gt;"County"),_xlfn.TEXTJOIN(" ",TRUE,Entities[[#This Row],[ENT_NAME]],"County"),Entities[[#This Row],[ENT_NAME]])</f>
        <v>Montgomery County MUD 136</v>
      </c>
    </row>
    <row r="2577" spans="1:6" x14ac:dyDescent="0.25">
      <c r="A2577" s="302" t="s">
        <v>8632</v>
      </c>
      <c r="B2577" s="303" t="str">
        <f t="shared" si="40"/>
        <v>x06001949</v>
      </c>
      <c r="C2577" t="s">
        <v>4</v>
      </c>
      <c r="D2577" t="s">
        <v>8633</v>
      </c>
      <c r="E2577">
        <v>6</v>
      </c>
      <c r="F2577" t="str">
        <f>IF(AND(Entities[[#This Row],[ENT_TYPE]]="County",RIGHT(Entities[[#This Row],[ENT_NAME]],6)&lt;&gt;"County"),_xlfn.TEXTJOIN(" ",TRUE,Entities[[#This Row],[ENT_NAME]],"County"),Entities[[#This Row],[ENT_NAME]])</f>
        <v>Harris-Brazoria Counties MUD 509</v>
      </c>
    </row>
    <row r="2578" spans="1:6" x14ac:dyDescent="0.25">
      <c r="A2578" s="304" t="s">
        <v>8634</v>
      </c>
      <c r="B2578" s="303" t="str">
        <f t="shared" si="40"/>
        <v>x06001956</v>
      </c>
      <c r="C2578" t="s">
        <v>4</v>
      </c>
      <c r="D2578" t="s">
        <v>8635</v>
      </c>
      <c r="E2578">
        <v>6</v>
      </c>
      <c r="F2578" t="str">
        <f>IF(AND(Entities[[#This Row],[ENT_TYPE]]="County",RIGHT(Entities[[#This Row],[ENT_NAME]],6)&lt;&gt;"County"),_xlfn.TEXTJOIN(" ",TRUE,Entities[[#This Row],[ENT_NAME]],"County"),Entities[[#This Row],[ENT_NAME]])</f>
        <v>Harris County Utility District 6</v>
      </c>
    </row>
    <row r="2579" spans="1:6" x14ac:dyDescent="0.25">
      <c r="A2579" s="302" t="s">
        <v>8636</v>
      </c>
      <c r="B2579" s="303" t="str">
        <f t="shared" si="40"/>
        <v>x06001957</v>
      </c>
      <c r="C2579" t="s">
        <v>4</v>
      </c>
      <c r="D2579" t="s">
        <v>8637</v>
      </c>
      <c r="E2579">
        <v>6</v>
      </c>
      <c r="F2579" t="str">
        <f>IF(AND(Entities[[#This Row],[ENT_TYPE]]="County",RIGHT(Entities[[#This Row],[ENT_NAME]],6)&lt;&gt;"County"),_xlfn.TEXTJOIN(" ",TRUE,Entities[[#This Row],[ENT_NAME]],"County"),Entities[[#This Row],[ENT_NAME]])</f>
        <v>Harris County MUD 158</v>
      </c>
    </row>
    <row r="2580" spans="1:6" x14ac:dyDescent="0.25">
      <c r="A2580" s="304" t="s">
        <v>8638</v>
      </c>
      <c r="B2580" s="303" t="str">
        <f t="shared" si="40"/>
        <v>x06001958</v>
      </c>
      <c r="C2580" t="s">
        <v>4</v>
      </c>
      <c r="D2580" t="s">
        <v>8639</v>
      </c>
      <c r="E2580">
        <v>6</v>
      </c>
      <c r="F2580" t="str">
        <f>IF(AND(Entities[[#This Row],[ENT_TYPE]]="County",RIGHT(Entities[[#This Row],[ENT_NAME]],6)&lt;&gt;"County"),_xlfn.TEXTJOIN(" ",TRUE,Entities[[#This Row],[ENT_NAME]],"County"),Entities[[#This Row],[ENT_NAME]])</f>
        <v>Harris County WCID 109</v>
      </c>
    </row>
    <row r="2581" spans="1:6" x14ac:dyDescent="0.25">
      <c r="A2581" s="302" t="s">
        <v>8640</v>
      </c>
      <c r="B2581" s="303" t="str">
        <f t="shared" si="40"/>
        <v>x06001959</v>
      </c>
      <c r="C2581" t="s">
        <v>4</v>
      </c>
      <c r="D2581" t="s">
        <v>8641</v>
      </c>
      <c r="E2581">
        <v>6</v>
      </c>
      <c r="F2581" t="str">
        <f>IF(AND(Entities[[#This Row],[ENT_TYPE]]="County",RIGHT(Entities[[#This Row],[ENT_NAME]],6)&lt;&gt;"County"),_xlfn.TEXTJOIN(" ",TRUE,Entities[[#This Row],[ENT_NAME]],"County"),Entities[[#This Row],[ENT_NAME]])</f>
        <v>Woodridge MUD</v>
      </c>
    </row>
    <row r="2582" spans="1:6" x14ac:dyDescent="0.25">
      <c r="A2582" s="304" t="s">
        <v>8642</v>
      </c>
      <c r="B2582" s="303" t="str">
        <f t="shared" si="40"/>
        <v>x06001963</v>
      </c>
      <c r="C2582" t="s">
        <v>4</v>
      </c>
      <c r="D2582" t="s">
        <v>8643</v>
      </c>
      <c r="E2582">
        <v>6</v>
      </c>
      <c r="F2582" t="str">
        <f>IF(AND(Entities[[#This Row],[ENT_TYPE]]="County",RIGHT(Entities[[#This Row],[ENT_NAME]],6)&lt;&gt;"County"),_xlfn.TEXTJOIN(" ",TRUE,Entities[[#This Row],[ENT_NAME]],"County"),Entities[[#This Row],[ENT_NAME]])</f>
        <v>Harris County MUD 412</v>
      </c>
    </row>
    <row r="2583" spans="1:6" x14ac:dyDescent="0.25">
      <c r="A2583" s="302" t="s">
        <v>8644</v>
      </c>
      <c r="B2583" s="303" t="str">
        <f t="shared" si="40"/>
        <v>x06001966</v>
      </c>
      <c r="C2583" t="s">
        <v>4</v>
      </c>
      <c r="D2583" t="s">
        <v>8645</v>
      </c>
      <c r="E2583">
        <v>6</v>
      </c>
      <c r="F2583" t="str">
        <f>IF(AND(Entities[[#This Row],[ENT_TYPE]]="County",RIGHT(Entities[[#This Row],[ENT_NAME]],6)&lt;&gt;"County"),_xlfn.TEXTJOIN(" ",TRUE,Entities[[#This Row],[ENT_NAME]],"County"),Entities[[#This Row],[ENT_NAME]])</f>
        <v>Longhorn Town Utility District</v>
      </c>
    </row>
    <row r="2584" spans="1:6" x14ac:dyDescent="0.25">
      <c r="A2584" s="304" t="s">
        <v>8646</v>
      </c>
      <c r="B2584" s="303" t="str">
        <f t="shared" si="40"/>
        <v>x06001967</v>
      </c>
      <c r="C2584" t="s">
        <v>4</v>
      </c>
      <c r="D2584" t="s">
        <v>8647</v>
      </c>
      <c r="E2584">
        <v>6</v>
      </c>
      <c r="F2584" t="str">
        <f>IF(AND(Entities[[#This Row],[ENT_TYPE]]="County",RIGHT(Entities[[#This Row],[ENT_NAME]],6)&lt;&gt;"County"),_xlfn.TEXTJOIN(" ",TRUE,Entities[[#This Row],[ENT_NAME]],"County"),Entities[[#This Row],[ENT_NAME]])</f>
        <v>Fort Bend County MUD 168</v>
      </c>
    </row>
    <row r="2585" spans="1:6" x14ac:dyDescent="0.25">
      <c r="A2585" s="304" t="s">
        <v>8648</v>
      </c>
      <c r="B2585" s="303" t="str">
        <f t="shared" si="40"/>
        <v>x06001968</v>
      </c>
      <c r="C2585" t="s">
        <v>4</v>
      </c>
      <c r="D2585" t="s">
        <v>8649</v>
      </c>
      <c r="E2585">
        <v>6</v>
      </c>
      <c r="F2585" t="str">
        <f>IF(AND(Entities[[#This Row],[ENT_TYPE]]="County",RIGHT(Entities[[#This Row],[ENT_NAME]],6)&lt;&gt;"County"),_xlfn.TEXTJOIN(" ",TRUE,Entities[[#This Row],[ENT_NAME]],"County"),Entities[[#This Row],[ENT_NAME]])</f>
        <v>Midtown Management District</v>
      </c>
    </row>
    <row r="2586" spans="1:6" x14ac:dyDescent="0.25">
      <c r="A2586" s="302" t="s">
        <v>8650</v>
      </c>
      <c r="B2586" s="303" t="str">
        <f t="shared" si="40"/>
        <v>x06001970</v>
      </c>
      <c r="C2586" t="s">
        <v>4</v>
      </c>
      <c r="D2586" t="s">
        <v>8651</v>
      </c>
      <c r="E2586">
        <v>6</v>
      </c>
      <c r="F2586" t="str">
        <f>IF(AND(Entities[[#This Row],[ENT_TYPE]]="County",RIGHT(Entities[[#This Row],[ENT_NAME]],6)&lt;&gt;"County"),_xlfn.TEXTJOIN(" ",TRUE,Entities[[#This Row],[ENT_NAME]],"County"),Entities[[#This Row],[ENT_NAME]])</f>
        <v>Harris County Improvement District 3</v>
      </c>
    </row>
    <row r="2587" spans="1:6" x14ac:dyDescent="0.25">
      <c r="A2587" s="304" t="s">
        <v>8652</v>
      </c>
      <c r="B2587" s="303" t="str">
        <f t="shared" si="40"/>
        <v>x06001971</v>
      </c>
      <c r="C2587" t="s">
        <v>4</v>
      </c>
      <c r="D2587" t="s">
        <v>8653</v>
      </c>
      <c r="E2587">
        <v>6</v>
      </c>
      <c r="F2587" t="str">
        <f>IF(AND(Entities[[#This Row],[ENT_TYPE]]="County",RIGHT(Entities[[#This Row],[ENT_NAME]],6)&lt;&gt;"County"),_xlfn.TEXTJOIN(" ",TRUE,Entities[[#This Row],[ENT_NAME]],"County"),Entities[[#This Row],[ENT_NAME]])</f>
        <v>Hunter's Glen MUD</v>
      </c>
    </row>
    <row r="2588" spans="1:6" x14ac:dyDescent="0.25">
      <c r="A2588" s="302" t="s">
        <v>8654</v>
      </c>
      <c r="B2588" s="303" t="str">
        <f t="shared" si="40"/>
        <v>x06001972</v>
      </c>
      <c r="C2588" t="s">
        <v>4</v>
      </c>
      <c r="D2588" t="s">
        <v>8655</v>
      </c>
      <c r="E2588">
        <v>6</v>
      </c>
      <c r="F2588" t="str">
        <f>IF(AND(Entities[[#This Row],[ENT_TYPE]]="County",RIGHT(Entities[[#This Row],[ENT_NAME]],6)&lt;&gt;"County"),_xlfn.TEXTJOIN(" ",TRUE,Entities[[#This Row],[ENT_NAME]],"County"),Entities[[#This Row],[ENT_NAME]])</f>
        <v>Montgomery County MUD 131</v>
      </c>
    </row>
    <row r="2589" spans="1:6" x14ac:dyDescent="0.25">
      <c r="A2589" s="302" t="s">
        <v>8656</v>
      </c>
      <c r="B2589" s="303" t="str">
        <f t="shared" si="40"/>
        <v>x06001979</v>
      </c>
      <c r="C2589" t="s">
        <v>4</v>
      </c>
      <c r="D2589" t="s">
        <v>8657</v>
      </c>
      <c r="E2589">
        <v>6</v>
      </c>
      <c r="F2589" t="str">
        <f>IF(AND(Entities[[#This Row],[ENT_TYPE]]="County",RIGHT(Entities[[#This Row],[ENT_NAME]],6)&lt;&gt;"County"),_xlfn.TEXTJOIN(" ",TRUE,Entities[[#This Row],[ENT_NAME]],"County"),Entities[[#This Row],[ENT_NAME]])</f>
        <v>Brazoria County MUD 48</v>
      </c>
    </row>
    <row r="2590" spans="1:6" x14ac:dyDescent="0.25">
      <c r="A2590" s="304" t="s">
        <v>8658</v>
      </c>
      <c r="B2590" s="303" t="str">
        <f t="shared" si="40"/>
        <v>x06001981</v>
      </c>
      <c r="C2590" t="s">
        <v>4</v>
      </c>
      <c r="D2590" t="s">
        <v>8659</v>
      </c>
      <c r="E2590">
        <v>6</v>
      </c>
      <c r="F2590" t="str">
        <f>IF(AND(Entities[[#This Row],[ENT_TYPE]]="County",RIGHT(Entities[[#This Row],[ENT_NAME]],6)&lt;&gt;"County"),_xlfn.TEXTJOIN(" ",TRUE,Entities[[#This Row],[ENT_NAME]],"County"),Entities[[#This Row],[ENT_NAME]])</f>
        <v>Brazoria County MUD 49</v>
      </c>
    </row>
    <row r="2591" spans="1:6" x14ac:dyDescent="0.25">
      <c r="A2591" s="302" t="s">
        <v>8660</v>
      </c>
      <c r="B2591" s="303" t="str">
        <f t="shared" si="40"/>
        <v>x06001984</v>
      </c>
      <c r="C2591" t="s">
        <v>4</v>
      </c>
      <c r="D2591" t="s">
        <v>8661</v>
      </c>
      <c r="E2591">
        <v>6</v>
      </c>
      <c r="F2591" t="str">
        <f>IF(AND(Entities[[#This Row],[ENT_TYPE]]="County",RIGHT(Entities[[#This Row],[ENT_NAME]],6)&lt;&gt;"County"),_xlfn.TEXTJOIN(" ",TRUE,Entities[[#This Row],[ENT_NAME]],"County"),Entities[[#This Row],[ENT_NAME]])</f>
        <v>Brazoria County MUD 50</v>
      </c>
    </row>
    <row r="2592" spans="1:6" x14ac:dyDescent="0.25">
      <c r="A2592" s="304" t="s">
        <v>8662</v>
      </c>
      <c r="B2592" s="303" t="str">
        <f t="shared" si="40"/>
        <v>x06001985</v>
      </c>
      <c r="C2592" t="s">
        <v>4</v>
      </c>
      <c r="D2592" t="s">
        <v>8663</v>
      </c>
      <c r="E2592">
        <v>6</v>
      </c>
      <c r="F2592" t="str">
        <f>IF(AND(Entities[[#This Row],[ENT_TYPE]]="County",RIGHT(Entities[[#This Row],[ENT_NAME]],6)&lt;&gt;"County"),_xlfn.TEXTJOIN(" ",TRUE,Entities[[#This Row],[ENT_NAME]],"County"),Entities[[#This Row],[ENT_NAME]])</f>
        <v>Northwest Harris County MUD 30</v>
      </c>
    </row>
    <row r="2593" spans="1:6" x14ac:dyDescent="0.25">
      <c r="A2593" s="302" t="s">
        <v>8664</v>
      </c>
      <c r="B2593" s="303" t="str">
        <f t="shared" si="40"/>
        <v>x06001988</v>
      </c>
      <c r="C2593" t="s">
        <v>4</v>
      </c>
      <c r="D2593" t="s">
        <v>8665</v>
      </c>
      <c r="E2593">
        <v>6</v>
      </c>
      <c r="F2593" t="str">
        <f>IF(AND(Entities[[#This Row],[ENT_TYPE]]="County",RIGHT(Entities[[#This Row],[ENT_NAME]],6)&lt;&gt;"County"),_xlfn.TEXTJOIN(" ",TRUE,Entities[[#This Row],[ENT_NAME]],"County"),Entities[[#This Row],[ENT_NAME]])</f>
        <v>Brazoria County MUD 43</v>
      </c>
    </row>
    <row r="2594" spans="1:6" x14ac:dyDescent="0.25">
      <c r="A2594" s="304" t="s">
        <v>8666</v>
      </c>
      <c r="B2594" s="303" t="str">
        <f t="shared" si="40"/>
        <v>x06001989</v>
      </c>
      <c r="C2594" t="s">
        <v>4</v>
      </c>
      <c r="D2594" t="s">
        <v>8667</v>
      </c>
      <c r="E2594">
        <v>6</v>
      </c>
      <c r="F2594" t="str">
        <f>IF(AND(Entities[[#This Row],[ENT_TYPE]]="County",RIGHT(Entities[[#This Row],[ENT_NAME]],6)&lt;&gt;"County"),_xlfn.TEXTJOIN(" ",TRUE,Entities[[#This Row],[ENT_NAME]],"County"),Entities[[#This Row],[ENT_NAME]])</f>
        <v>Newport MUD</v>
      </c>
    </row>
    <row r="2595" spans="1:6" x14ac:dyDescent="0.25">
      <c r="A2595" s="302" t="s">
        <v>8668</v>
      </c>
      <c r="B2595" s="303" t="str">
        <f t="shared" si="40"/>
        <v>x06001995</v>
      </c>
      <c r="C2595" t="s">
        <v>4</v>
      </c>
      <c r="D2595" t="s">
        <v>8669</v>
      </c>
      <c r="E2595">
        <v>6</v>
      </c>
      <c r="F2595" t="str">
        <f>IF(AND(Entities[[#This Row],[ENT_TYPE]]="County",RIGHT(Entities[[#This Row],[ENT_NAME]],6)&lt;&gt;"County"),_xlfn.TEXTJOIN(" ",TRUE,Entities[[#This Row],[ENT_NAME]],"County"),Entities[[#This Row],[ENT_NAME]])</f>
        <v>Barker Cypress MUD</v>
      </c>
    </row>
    <row r="2596" spans="1:6" x14ac:dyDescent="0.25">
      <c r="A2596" s="304" t="s">
        <v>8670</v>
      </c>
      <c r="B2596" s="303" t="str">
        <f t="shared" si="40"/>
        <v>x06001997</v>
      </c>
      <c r="C2596" t="s">
        <v>4</v>
      </c>
      <c r="D2596" t="s">
        <v>8671</v>
      </c>
      <c r="E2596">
        <v>6</v>
      </c>
      <c r="F2596" t="str">
        <f>IF(AND(Entities[[#This Row],[ENT_TYPE]]="County",RIGHT(Entities[[#This Row],[ENT_NAME]],6)&lt;&gt;"County"),_xlfn.TEXTJOIN(" ",TRUE,Entities[[#This Row],[ENT_NAME]],"County"),Entities[[#This Row],[ENT_NAME]])</f>
        <v>East Montgomery County MUD 5</v>
      </c>
    </row>
    <row r="2597" spans="1:6" x14ac:dyDescent="0.25">
      <c r="A2597" s="302" t="s">
        <v>8672</v>
      </c>
      <c r="B2597" s="303" t="str">
        <f t="shared" si="40"/>
        <v>x06001998</v>
      </c>
      <c r="C2597" t="s">
        <v>4</v>
      </c>
      <c r="D2597" t="s">
        <v>8673</v>
      </c>
      <c r="E2597">
        <v>6</v>
      </c>
      <c r="F2597" t="str">
        <f>IF(AND(Entities[[#This Row],[ENT_TYPE]]="County",RIGHT(Entities[[#This Row],[ENT_NAME]],6)&lt;&gt;"County"),_xlfn.TEXTJOIN(" ",TRUE,Entities[[#This Row],[ENT_NAME]],"County"),Entities[[#This Row],[ENT_NAME]])</f>
        <v>Harris County MUD 465</v>
      </c>
    </row>
    <row r="2598" spans="1:6" x14ac:dyDescent="0.25">
      <c r="A2598" s="304" t="s">
        <v>8674</v>
      </c>
      <c r="B2598" s="303" t="str">
        <f t="shared" si="40"/>
        <v>x06002000</v>
      </c>
      <c r="C2598" t="s">
        <v>4</v>
      </c>
      <c r="D2598" t="s">
        <v>8675</v>
      </c>
      <c r="E2598">
        <v>6</v>
      </c>
      <c r="F2598" t="str">
        <f>IF(AND(Entities[[#This Row],[ENT_TYPE]]="County",RIGHT(Entities[[#This Row],[ENT_NAME]],6)&lt;&gt;"County"),_xlfn.TEXTJOIN(" ",TRUE,Entities[[#This Row],[ENT_NAME]],"County"),Entities[[#This Row],[ENT_NAME]])</f>
        <v>Northwest Harris County MUD 16</v>
      </c>
    </row>
    <row r="2599" spans="1:6" x14ac:dyDescent="0.25">
      <c r="A2599" s="302" t="s">
        <v>8676</v>
      </c>
      <c r="B2599" s="303" t="str">
        <f t="shared" si="40"/>
        <v>x06002004</v>
      </c>
      <c r="C2599" t="s">
        <v>4</v>
      </c>
      <c r="D2599" t="s">
        <v>8677</v>
      </c>
      <c r="E2599">
        <v>6</v>
      </c>
      <c r="F2599" t="str">
        <f>IF(AND(Entities[[#This Row],[ENT_TYPE]]="County",RIGHT(Entities[[#This Row],[ENT_NAME]],6)&lt;&gt;"County"),_xlfn.TEXTJOIN(" ",TRUE,Entities[[#This Row],[ENT_NAME]],"County"),Entities[[#This Row],[ENT_NAME]])</f>
        <v>Northwest Harris County MUD 23</v>
      </c>
    </row>
    <row r="2600" spans="1:6" x14ac:dyDescent="0.25">
      <c r="A2600" s="304" t="s">
        <v>8678</v>
      </c>
      <c r="B2600" s="303" t="str">
        <f t="shared" si="40"/>
        <v>x06002007</v>
      </c>
      <c r="C2600" t="s">
        <v>4</v>
      </c>
      <c r="D2600" t="s">
        <v>8679</v>
      </c>
      <c r="E2600">
        <v>6</v>
      </c>
      <c r="F2600" t="str">
        <f>IF(AND(Entities[[#This Row],[ENT_TYPE]]="County",RIGHT(Entities[[#This Row],[ENT_NAME]],6)&lt;&gt;"County"),_xlfn.TEXTJOIN(" ",TRUE,Entities[[#This Row],[ENT_NAME]],"County"),Entities[[#This Row],[ENT_NAME]])</f>
        <v>Harris County MUD 5</v>
      </c>
    </row>
    <row r="2601" spans="1:6" x14ac:dyDescent="0.25">
      <c r="A2601" s="302" t="s">
        <v>8680</v>
      </c>
      <c r="B2601" s="303" t="str">
        <f t="shared" si="40"/>
        <v>x06002008</v>
      </c>
      <c r="C2601" t="s">
        <v>4</v>
      </c>
      <c r="D2601" t="s">
        <v>8681</v>
      </c>
      <c r="E2601">
        <v>6</v>
      </c>
      <c r="F2601" t="str">
        <f>IF(AND(Entities[[#This Row],[ENT_TYPE]]="County",RIGHT(Entities[[#This Row],[ENT_NAME]],6)&lt;&gt;"County"),_xlfn.TEXTJOIN(" ",TRUE,Entities[[#This Row],[ENT_NAME]],"County"),Entities[[#This Row],[ENT_NAME]])</f>
        <v>Fort Bend County MUD 58</v>
      </c>
    </row>
    <row r="2602" spans="1:6" x14ac:dyDescent="0.25">
      <c r="A2602" s="304" t="s">
        <v>8682</v>
      </c>
      <c r="B2602" s="303" t="str">
        <f t="shared" si="40"/>
        <v>x06002009</v>
      </c>
      <c r="C2602" t="s">
        <v>4</v>
      </c>
      <c r="D2602" t="s">
        <v>8683</v>
      </c>
      <c r="E2602">
        <v>6</v>
      </c>
      <c r="F2602" t="str">
        <f>IF(AND(Entities[[#This Row],[ENT_TYPE]]="County",RIGHT(Entities[[#This Row],[ENT_NAME]],6)&lt;&gt;"County"),_xlfn.TEXTJOIN(" ",TRUE,Entities[[#This Row],[ENT_NAME]],"County"),Entities[[#This Row],[ENT_NAME]])</f>
        <v>Harris County MUD 86</v>
      </c>
    </row>
    <row r="2603" spans="1:6" x14ac:dyDescent="0.25">
      <c r="A2603" s="304" t="s">
        <v>8684</v>
      </c>
      <c r="B2603" s="303" t="str">
        <f t="shared" si="40"/>
        <v>x06002014</v>
      </c>
      <c r="C2603" t="s">
        <v>4</v>
      </c>
      <c r="D2603" t="s">
        <v>8685</v>
      </c>
      <c r="E2603">
        <v>6</v>
      </c>
      <c r="F2603" t="str">
        <f>IF(AND(Entities[[#This Row],[ENT_TYPE]]="County",RIGHT(Entities[[#This Row],[ENT_NAME]],6)&lt;&gt;"County"),_xlfn.TEXTJOIN(" ",TRUE,Entities[[#This Row],[ENT_NAME]],"County"),Entities[[#This Row],[ENT_NAME]])</f>
        <v>Harris County MUD 547</v>
      </c>
    </row>
    <row r="2604" spans="1:6" x14ac:dyDescent="0.25">
      <c r="A2604" s="302" t="s">
        <v>8686</v>
      </c>
      <c r="B2604" s="303" t="str">
        <f t="shared" si="40"/>
        <v>x06002015</v>
      </c>
      <c r="C2604" t="s">
        <v>4</v>
      </c>
      <c r="D2604" t="s">
        <v>8687</v>
      </c>
      <c r="E2604">
        <v>6</v>
      </c>
      <c r="F2604" t="str">
        <f>IF(AND(Entities[[#This Row],[ENT_TYPE]]="County",RIGHT(Entities[[#This Row],[ENT_NAME]],6)&lt;&gt;"County"),_xlfn.TEXTJOIN(" ",TRUE,Entities[[#This Row],[ENT_NAME]],"County"),Entities[[#This Row],[ENT_NAME]])</f>
        <v>Magnolia East MUD</v>
      </c>
    </row>
    <row r="2605" spans="1:6" x14ac:dyDescent="0.25">
      <c r="A2605" s="304" t="s">
        <v>8688</v>
      </c>
      <c r="B2605" s="303" t="str">
        <f t="shared" si="40"/>
        <v>x06002019</v>
      </c>
      <c r="C2605" t="s">
        <v>4</v>
      </c>
      <c r="D2605" t="s">
        <v>8689</v>
      </c>
      <c r="E2605">
        <v>6</v>
      </c>
      <c r="F2605" t="str">
        <f>IF(AND(Entities[[#This Row],[ENT_TYPE]]="County",RIGHT(Entities[[#This Row],[ENT_NAME]],6)&lt;&gt;"County"),_xlfn.TEXTJOIN(" ",TRUE,Entities[[#This Row],[ENT_NAME]],"County"),Entities[[#This Row],[ENT_NAME]])</f>
        <v>Brazoria County MUD 42</v>
      </c>
    </row>
    <row r="2606" spans="1:6" x14ac:dyDescent="0.25">
      <c r="A2606" s="302" t="s">
        <v>8690</v>
      </c>
      <c r="B2606" s="303" t="str">
        <f t="shared" si="40"/>
        <v>x06002020</v>
      </c>
      <c r="C2606" t="s">
        <v>4</v>
      </c>
      <c r="D2606" t="s">
        <v>8691</v>
      </c>
      <c r="E2606">
        <v>6</v>
      </c>
      <c r="F2606" t="str">
        <f>IF(AND(Entities[[#This Row],[ENT_TYPE]]="County",RIGHT(Entities[[#This Row],[ENT_NAME]],6)&lt;&gt;"County"),_xlfn.TEXTJOIN(" ",TRUE,Entities[[#This Row],[ENT_NAME]],"County"),Entities[[#This Row],[ENT_NAME]])</f>
        <v>Conroe MMD 1</v>
      </c>
    </row>
    <row r="2607" spans="1:6" x14ac:dyDescent="0.25">
      <c r="A2607" s="302" t="s">
        <v>8692</v>
      </c>
      <c r="B2607" s="303" t="str">
        <f t="shared" si="40"/>
        <v>x06002021</v>
      </c>
      <c r="C2607" t="s">
        <v>4</v>
      </c>
      <c r="D2607" t="s">
        <v>8693</v>
      </c>
      <c r="E2607">
        <v>6</v>
      </c>
      <c r="F2607" t="str">
        <f>IF(AND(Entities[[#This Row],[ENT_TYPE]]="County",RIGHT(Entities[[#This Row],[ENT_NAME]],6)&lt;&gt;"County"),_xlfn.TEXTJOIN(" ",TRUE,Entities[[#This Row],[ENT_NAME]],"County"),Entities[[#This Row],[ENT_NAME]])</f>
        <v>Harris County MUD 441</v>
      </c>
    </row>
    <row r="2608" spans="1:6" x14ac:dyDescent="0.25">
      <c r="A2608" s="304" t="s">
        <v>8694</v>
      </c>
      <c r="B2608" s="303" t="str">
        <f t="shared" si="40"/>
        <v>x06002022</v>
      </c>
      <c r="C2608" t="s">
        <v>4</v>
      </c>
      <c r="D2608" t="s">
        <v>8695</v>
      </c>
      <c r="E2608">
        <v>6</v>
      </c>
      <c r="F2608" t="str">
        <f>IF(AND(Entities[[#This Row],[ENT_TYPE]]="County",RIGHT(Entities[[#This Row],[ENT_NAME]],6)&lt;&gt;"County"),_xlfn.TEXTJOIN(" ",TRUE,Entities[[#This Row],[ENT_NAME]],"County"),Entities[[#This Row],[ENT_NAME]])</f>
        <v>Montgomery County MUD 140</v>
      </c>
    </row>
    <row r="2609" spans="1:6" x14ac:dyDescent="0.25">
      <c r="A2609" s="304" t="s">
        <v>8696</v>
      </c>
      <c r="B2609" s="303" t="str">
        <f t="shared" si="40"/>
        <v>x06002026</v>
      </c>
      <c r="C2609" t="s">
        <v>4</v>
      </c>
      <c r="D2609" t="s">
        <v>8697</v>
      </c>
      <c r="E2609">
        <v>6</v>
      </c>
      <c r="F2609" t="str">
        <f>IF(AND(Entities[[#This Row],[ENT_TYPE]]="County",RIGHT(Entities[[#This Row],[ENT_NAME]],6)&lt;&gt;"County"),_xlfn.TEXTJOIN(" ",TRUE,Entities[[#This Row],[ENT_NAME]],"County"),Entities[[#This Row],[ENT_NAME]])</f>
        <v>Harris County MUD 399</v>
      </c>
    </row>
    <row r="2610" spans="1:6" x14ac:dyDescent="0.25">
      <c r="A2610" s="302" t="s">
        <v>8698</v>
      </c>
      <c r="B2610" s="303" t="str">
        <f t="shared" si="40"/>
        <v>x06002027</v>
      </c>
      <c r="C2610" t="s">
        <v>4</v>
      </c>
      <c r="D2610" t="s">
        <v>8699</v>
      </c>
      <c r="E2610">
        <v>6</v>
      </c>
      <c r="F2610" t="str">
        <f>IF(AND(Entities[[#This Row],[ENT_TYPE]]="County",RIGHT(Entities[[#This Row],[ENT_NAME]],6)&lt;&gt;"County"),_xlfn.TEXTJOIN(" ",TRUE,Entities[[#This Row],[ENT_NAME]],"County"),Entities[[#This Row],[ENT_NAME]])</f>
        <v>Harris County MUD 419</v>
      </c>
    </row>
    <row r="2611" spans="1:6" x14ac:dyDescent="0.25">
      <c r="A2611" s="302" t="s">
        <v>8700</v>
      </c>
      <c r="B2611" s="303" t="str">
        <f t="shared" si="40"/>
        <v>x06002029</v>
      </c>
      <c r="C2611" t="s">
        <v>4</v>
      </c>
      <c r="D2611" t="s">
        <v>8701</v>
      </c>
      <c r="E2611">
        <v>6</v>
      </c>
      <c r="F2611" t="str">
        <f>IF(AND(Entities[[#This Row],[ENT_TYPE]]="County",RIGHT(Entities[[#This Row],[ENT_NAME]],6)&lt;&gt;"County"),_xlfn.TEXTJOIN(" ",TRUE,Entities[[#This Row],[ENT_NAME]],"County"),Entities[[#This Row],[ENT_NAME]])</f>
        <v>Harris County MUD 304</v>
      </c>
    </row>
    <row r="2612" spans="1:6" x14ac:dyDescent="0.25">
      <c r="A2612" s="304" t="s">
        <v>8702</v>
      </c>
      <c r="B2612" s="303" t="str">
        <f t="shared" si="40"/>
        <v>x06002033</v>
      </c>
      <c r="C2612" t="s">
        <v>4</v>
      </c>
      <c r="D2612" t="s">
        <v>8703</v>
      </c>
      <c r="E2612">
        <v>6</v>
      </c>
      <c r="F2612" t="str">
        <f>IF(AND(Entities[[#This Row],[ENT_TYPE]]="County",RIGHT(Entities[[#This Row],[ENT_NAME]],6)&lt;&gt;"County"),_xlfn.TEXTJOIN(" ",TRUE,Entities[[#This Row],[ENT_NAME]],"County"),Entities[[#This Row],[ENT_NAME]])</f>
        <v>Harris County MUD 397</v>
      </c>
    </row>
    <row r="2613" spans="1:6" x14ac:dyDescent="0.25">
      <c r="A2613" s="302" t="s">
        <v>8704</v>
      </c>
      <c r="B2613" s="303" t="str">
        <f t="shared" si="40"/>
        <v>x06002036</v>
      </c>
      <c r="C2613" t="s">
        <v>4</v>
      </c>
      <c r="D2613" t="s">
        <v>8705</v>
      </c>
      <c r="E2613">
        <v>6</v>
      </c>
      <c r="F2613" t="str">
        <f>IF(AND(Entities[[#This Row],[ENT_TYPE]]="County",RIGHT(Entities[[#This Row],[ENT_NAME]],6)&lt;&gt;"County"),_xlfn.TEXTJOIN(" ",TRUE,Entities[[#This Row],[ENT_NAME]],"County"),Entities[[#This Row],[ENT_NAME]])</f>
        <v>Harris County MUD 406</v>
      </c>
    </row>
    <row r="2614" spans="1:6" x14ac:dyDescent="0.25">
      <c r="A2614" s="304" t="s">
        <v>8706</v>
      </c>
      <c r="B2614" s="303" t="str">
        <f t="shared" si="40"/>
        <v>x06002037</v>
      </c>
      <c r="C2614" t="s">
        <v>4</v>
      </c>
      <c r="D2614" t="s">
        <v>8707</v>
      </c>
      <c r="E2614">
        <v>6</v>
      </c>
      <c r="F2614" t="str">
        <f>IF(AND(Entities[[#This Row],[ENT_TYPE]]="County",RIGHT(Entities[[#This Row],[ENT_NAME]],6)&lt;&gt;"County"),_xlfn.TEXTJOIN(" ",TRUE,Entities[[#This Row],[ENT_NAME]],"County"),Entities[[#This Row],[ENT_NAME]])</f>
        <v>Cypress-Klein Utiltiy District</v>
      </c>
    </row>
    <row r="2615" spans="1:6" x14ac:dyDescent="0.25">
      <c r="A2615" s="302" t="s">
        <v>8708</v>
      </c>
      <c r="B2615" s="303" t="str">
        <f t="shared" si="40"/>
        <v>x06002038</v>
      </c>
      <c r="C2615" t="s">
        <v>4</v>
      </c>
      <c r="D2615" t="s">
        <v>8709</v>
      </c>
      <c r="E2615">
        <v>6</v>
      </c>
      <c r="F2615" t="str">
        <f>IF(AND(Entities[[#This Row],[ENT_TYPE]]="County",RIGHT(Entities[[#This Row],[ENT_NAME]],6)&lt;&gt;"County"),_xlfn.TEXTJOIN(" ",TRUE,Entities[[#This Row],[ENT_NAME]],"County"),Entities[[#This Row],[ENT_NAME]])</f>
        <v>Brazoria County MUD 56</v>
      </c>
    </row>
    <row r="2616" spans="1:6" x14ac:dyDescent="0.25">
      <c r="A2616" s="304" t="s">
        <v>8710</v>
      </c>
      <c r="B2616" s="303" t="str">
        <f t="shared" si="40"/>
        <v>x06002039</v>
      </c>
      <c r="C2616" t="s">
        <v>4</v>
      </c>
      <c r="D2616" t="s">
        <v>8711</v>
      </c>
      <c r="E2616">
        <v>6</v>
      </c>
      <c r="F2616" t="str">
        <f>IF(AND(Entities[[#This Row],[ENT_TYPE]]="County",RIGHT(Entities[[#This Row],[ENT_NAME]],6)&lt;&gt;"County"),_xlfn.TEXTJOIN(" ",TRUE,Entities[[#This Row],[ENT_NAME]],"County"),Entities[[#This Row],[ENT_NAME]])</f>
        <v>Harris County MUD 365</v>
      </c>
    </row>
    <row r="2617" spans="1:6" x14ac:dyDescent="0.25">
      <c r="A2617" s="302" t="s">
        <v>8712</v>
      </c>
      <c r="B2617" s="303" t="str">
        <f t="shared" si="40"/>
        <v>x06002042</v>
      </c>
      <c r="C2617" t="s">
        <v>4</v>
      </c>
      <c r="D2617" t="s">
        <v>8713</v>
      </c>
      <c r="E2617">
        <v>6</v>
      </c>
      <c r="F2617" t="str">
        <f>IF(AND(Entities[[#This Row],[ENT_TYPE]]="County",RIGHT(Entities[[#This Row],[ENT_NAME]],6)&lt;&gt;"County"),_xlfn.TEXTJOIN(" ",TRUE,Entities[[#This Row],[ENT_NAME]],"County"),Entities[[#This Row],[ENT_NAME]])</f>
        <v>Westwood Management District</v>
      </c>
    </row>
    <row r="2618" spans="1:6" x14ac:dyDescent="0.25">
      <c r="A2618" s="304" t="s">
        <v>8714</v>
      </c>
      <c r="B2618" s="303" t="str">
        <f t="shared" si="40"/>
        <v>x06002048</v>
      </c>
      <c r="C2618" t="s">
        <v>4</v>
      </c>
      <c r="D2618" t="s">
        <v>8715</v>
      </c>
      <c r="E2618">
        <v>6</v>
      </c>
      <c r="F2618" t="str">
        <f>IF(AND(Entities[[#This Row],[ENT_TYPE]]="County",RIGHT(Entities[[#This Row],[ENT_NAME]],6)&lt;&gt;"County"),_xlfn.TEXTJOIN(" ",TRUE,Entities[[#This Row],[ENT_NAME]],"County"),Entities[[#This Row],[ENT_NAME]])</f>
        <v>Montgomery County MUD 113</v>
      </c>
    </row>
    <row r="2619" spans="1:6" x14ac:dyDescent="0.25">
      <c r="A2619" s="302" t="s">
        <v>8716</v>
      </c>
      <c r="B2619" s="303" t="str">
        <f t="shared" si="40"/>
        <v>x06002053</v>
      </c>
      <c r="C2619" t="s">
        <v>4</v>
      </c>
      <c r="D2619" t="s">
        <v>8717</v>
      </c>
      <c r="E2619">
        <v>6</v>
      </c>
      <c r="F2619" t="str">
        <f>IF(AND(Entities[[#This Row],[ENT_TYPE]]="County",RIGHT(Entities[[#This Row],[ENT_NAME]],6)&lt;&gt;"County"),_xlfn.TEXTJOIN(" ",TRUE,Entities[[#This Row],[ENT_NAME]],"County"),Entities[[#This Row],[ENT_NAME]])</f>
        <v>Grant Road PUD</v>
      </c>
    </row>
    <row r="2620" spans="1:6" x14ac:dyDescent="0.25">
      <c r="A2620" s="304" t="s">
        <v>8718</v>
      </c>
      <c r="B2620" s="303" t="str">
        <f t="shared" si="40"/>
        <v>x06002054</v>
      </c>
      <c r="C2620" t="s">
        <v>4</v>
      </c>
      <c r="D2620" t="s">
        <v>8719</v>
      </c>
      <c r="E2620">
        <v>6</v>
      </c>
      <c r="F2620" t="str">
        <f>IF(AND(Entities[[#This Row],[ENT_TYPE]]="County",RIGHT(Entities[[#This Row],[ENT_NAME]],6)&lt;&gt;"County"),_xlfn.TEXTJOIN(" ",TRUE,Entities[[#This Row],[ENT_NAME]],"County"),Entities[[#This Row],[ENT_NAME]])</f>
        <v>Galveston County MUD 31</v>
      </c>
    </row>
    <row r="2621" spans="1:6" x14ac:dyDescent="0.25">
      <c r="A2621" s="302" t="s">
        <v>8720</v>
      </c>
      <c r="B2621" s="303" t="str">
        <f t="shared" si="40"/>
        <v>x06002055</v>
      </c>
      <c r="C2621" t="s">
        <v>4</v>
      </c>
      <c r="D2621" t="s">
        <v>8721</v>
      </c>
      <c r="E2621">
        <v>6</v>
      </c>
      <c r="F2621" t="str">
        <f>IF(AND(Entities[[#This Row],[ENT_TYPE]]="County",RIGHT(Entities[[#This Row],[ENT_NAME]],6)&lt;&gt;"County"),_xlfn.TEXTJOIN(" ",TRUE,Entities[[#This Row],[ENT_NAME]],"County"),Entities[[#This Row],[ENT_NAME]])</f>
        <v>Harris County WCID 161</v>
      </c>
    </row>
    <row r="2622" spans="1:6" x14ac:dyDescent="0.25">
      <c r="A2622" s="304" t="s">
        <v>8722</v>
      </c>
      <c r="B2622" s="303" t="str">
        <f t="shared" si="40"/>
        <v>x06002057</v>
      </c>
      <c r="C2622" t="s">
        <v>4</v>
      </c>
      <c r="D2622" t="s">
        <v>8723</v>
      </c>
      <c r="E2622">
        <v>6</v>
      </c>
      <c r="F2622" t="str">
        <f>IF(AND(Entities[[#This Row],[ENT_TYPE]]="County",RIGHT(Entities[[#This Row],[ENT_NAME]],6)&lt;&gt;"County"),_xlfn.TEXTJOIN(" ",TRUE,Entities[[#This Row],[ENT_NAME]],"County"),Entities[[#This Row],[ENT_NAME]])</f>
        <v>East Montgomery County MUD 3</v>
      </c>
    </row>
    <row r="2623" spans="1:6" x14ac:dyDescent="0.25">
      <c r="A2623" s="302" t="s">
        <v>8724</v>
      </c>
      <c r="B2623" s="303" t="str">
        <f t="shared" si="40"/>
        <v>x06002058</v>
      </c>
      <c r="C2623" t="s">
        <v>4</v>
      </c>
      <c r="D2623" t="s">
        <v>8725</v>
      </c>
      <c r="E2623">
        <v>6</v>
      </c>
      <c r="F2623" t="str">
        <f>IF(AND(Entities[[#This Row],[ENT_TYPE]]="County",RIGHT(Entities[[#This Row],[ENT_NAME]],6)&lt;&gt;"County"),_xlfn.TEXTJOIN(" ",TRUE,Entities[[#This Row],[ENT_NAME]],"County"),Entities[[#This Row],[ENT_NAME]])</f>
        <v>Harris County MUD 530</v>
      </c>
    </row>
    <row r="2624" spans="1:6" x14ac:dyDescent="0.25">
      <c r="A2624" s="304" t="s">
        <v>8726</v>
      </c>
      <c r="B2624" s="303" t="str">
        <f t="shared" si="40"/>
        <v>x06002059</v>
      </c>
      <c r="C2624" t="s">
        <v>4</v>
      </c>
      <c r="D2624" t="s">
        <v>8727</v>
      </c>
      <c r="E2624">
        <v>6</v>
      </c>
      <c r="F2624" t="str">
        <f>IF(AND(Entities[[#This Row],[ENT_TYPE]]="County",RIGHT(Entities[[#This Row],[ENT_NAME]],6)&lt;&gt;"County"),_xlfn.TEXTJOIN(" ",TRUE,Entities[[#This Row],[ENT_NAME]],"County"),Entities[[#This Row],[ENT_NAME]])</f>
        <v>Harris County MUD 529</v>
      </c>
    </row>
    <row r="2625" spans="1:6" x14ac:dyDescent="0.25">
      <c r="A2625" s="302" t="s">
        <v>8728</v>
      </c>
      <c r="B2625" s="303" t="str">
        <f t="shared" si="40"/>
        <v>x06002061</v>
      </c>
      <c r="C2625" t="s">
        <v>4</v>
      </c>
      <c r="D2625" t="s">
        <v>8729</v>
      </c>
      <c r="E2625">
        <v>6</v>
      </c>
      <c r="F2625" t="str">
        <f>IF(AND(Entities[[#This Row],[ENT_TYPE]]="County",RIGHT(Entities[[#This Row],[ENT_NAME]],6)&lt;&gt;"County"),_xlfn.TEXTJOIN(" ",TRUE,Entities[[#This Row],[ENT_NAME]],"County"),Entities[[#This Row],[ENT_NAME]])</f>
        <v>Waller County Improvement District 2</v>
      </c>
    </row>
    <row r="2626" spans="1:6" x14ac:dyDescent="0.25">
      <c r="A2626" s="304" t="s">
        <v>8730</v>
      </c>
      <c r="B2626" s="303" t="str">
        <f t="shared" ref="B2626:B2689" si="41">_xlfn.CONCAT("x",TEXT(A2626,"00000000"))</f>
        <v>x06002062</v>
      </c>
      <c r="C2626" t="s">
        <v>4</v>
      </c>
      <c r="D2626" t="s">
        <v>8731</v>
      </c>
      <c r="E2626">
        <v>6</v>
      </c>
      <c r="F2626" t="str">
        <f>IF(AND(Entities[[#This Row],[ENT_TYPE]]="County",RIGHT(Entities[[#This Row],[ENT_NAME]],6)&lt;&gt;"County"),_xlfn.TEXTJOIN(" ",TRUE,Entities[[#This Row],[ENT_NAME]],"County"),Entities[[#This Row],[ENT_NAME]])</f>
        <v>Harris County MUD 120</v>
      </c>
    </row>
    <row r="2627" spans="1:6" x14ac:dyDescent="0.25">
      <c r="A2627" s="302" t="s">
        <v>8732</v>
      </c>
      <c r="B2627" s="303" t="str">
        <f t="shared" si="41"/>
        <v>x06002063</v>
      </c>
      <c r="C2627" t="s">
        <v>4</v>
      </c>
      <c r="D2627" t="s">
        <v>8733</v>
      </c>
      <c r="E2627">
        <v>6</v>
      </c>
      <c r="F2627" t="str">
        <f>IF(AND(Entities[[#This Row],[ENT_TYPE]]="County",RIGHT(Entities[[#This Row],[ENT_NAME]],6)&lt;&gt;"County"),_xlfn.TEXTJOIN(" ",TRUE,Entities[[#This Row],[ENT_NAME]],"County"),Entities[[#This Row],[ENT_NAME]])</f>
        <v>Harris County MUD 501</v>
      </c>
    </row>
    <row r="2628" spans="1:6" x14ac:dyDescent="0.25">
      <c r="A2628" s="304" t="s">
        <v>8734</v>
      </c>
      <c r="B2628" s="303" t="str">
        <f t="shared" si="41"/>
        <v>x06002064</v>
      </c>
      <c r="C2628" t="s">
        <v>4</v>
      </c>
      <c r="D2628" t="s">
        <v>8735</v>
      </c>
      <c r="E2628">
        <v>6</v>
      </c>
      <c r="F2628" t="str">
        <f>IF(AND(Entities[[#This Row],[ENT_TYPE]]="County",RIGHT(Entities[[#This Row],[ENT_NAME]],6)&lt;&gt;"County"),_xlfn.TEXTJOIN(" ",TRUE,Entities[[#This Row],[ENT_NAME]],"County"),Entities[[#This Row],[ENT_NAME]])</f>
        <v>Bridgestone MUD</v>
      </c>
    </row>
    <row r="2629" spans="1:6" x14ac:dyDescent="0.25">
      <c r="A2629" s="302" t="s">
        <v>8736</v>
      </c>
      <c r="B2629" s="303" t="str">
        <f t="shared" si="41"/>
        <v>x06002065</v>
      </c>
      <c r="C2629" t="s">
        <v>4</v>
      </c>
      <c r="D2629" t="s">
        <v>8737</v>
      </c>
      <c r="E2629">
        <v>6</v>
      </c>
      <c r="F2629" t="str">
        <f>IF(AND(Entities[[#This Row],[ENT_TYPE]]="County",RIGHT(Entities[[#This Row],[ENT_NAME]],6)&lt;&gt;"County"),_xlfn.TEXTJOIN(" ",TRUE,Entities[[#This Row],[ENT_NAME]],"County"),Entities[[#This Row],[ENT_NAME]])</f>
        <v>Harris County MUD 538</v>
      </c>
    </row>
    <row r="2630" spans="1:6" x14ac:dyDescent="0.25">
      <c r="A2630" s="304" t="s">
        <v>8738</v>
      </c>
      <c r="B2630" s="303" t="str">
        <f t="shared" si="41"/>
        <v>x06002066</v>
      </c>
      <c r="C2630" t="s">
        <v>4</v>
      </c>
      <c r="D2630" t="s">
        <v>8739</v>
      </c>
      <c r="E2630">
        <v>6</v>
      </c>
      <c r="F2630" t="str">
        <f>IF(AND(Entities[[#This Row],[ENT_TYPE]]="County",RIGHT(Entities[[#This Row],[ENT_NAME]],6)&lt;&gt;"County"),_xlfn.TEXTJOIN(" ",TRUE,Entities[[#This Row],[ENT_NAME]],"County"),Entities[[#This Row],[ENT_NAME]])</f>
        <v>Harris County MUD 551</v>
      </c>
    </row>
    <row r="2631" spans="1:6" x14ac:dyDescent="0.25">
      <c r="A2631" s="302" t="s">
        <v>8740</v>
      </c>
      <c r="B2631" s="303" t="str">
        <f t="shared" si="41"/>
        <v>x06002067</v>
      </c>
      <c r="C2631" t="s">
        <v>4</v>
      </c>
      <c r="D2631" t="s">
        <v>8741</v>
      </c>
      <c r="E2631">
        <v>6</v>
      </c>
      <c r="F2631" t="str">
        <f>IF(AND(Entities[[#This Row],[ENT_TYPE]]="County",RIGHT(Entities[[#This Row],[ENT_NAME]],6)&lt;&gt;"County"),_xlfn.TEXTJOIN(" ",TRUE,Entities[[#This Row],[ENT_NAME]],"County"),Entities[[#This Row],[ENT_NAME]])</f>
        <v>Brazoria County MUD 66</v>
      </c>
    </row>
    <row r="2632" spans="1:6" x14ac:dyDescent="0.25">
      <c r="A2632" s="304" t="s">
        <v>8742</v>
      </c>
      <c r="B2632" s="303" t="str">
        <f t="shared" si="41"/>
        <v>x06002070</v>
      </c>
      <c r="C2632" t="s">
        <v>4</v>
      </c>
      <c r="D2632" t="s">
        <v>8743</v>
      </c>
      <c r="E2632">
        <v>6</v>
      </c>
      <c r="F2632" t="str">
        <f>IF(AND(Entities[[#This Row],[ENT_TYPE]]="County",RIGHT(Entities[[#This Row],[ENT_NAME]],6)&lt;&gt;"County"),_xlfn.TEXTJOIN(" ",TRUE,Entities[[#This Row],[ENT_NAME]],"County"),Entities[[#This Row],[ENT_NAME]])</f>
        <v>Harris County MUD 18</v>
      </c>
    </row>
    <row r="2633" spans="1:6" x14ac:dyDescent="0.25">
      <c r="A2633" s="302" t="s">
        <v>8744</v>
      </c>
      <c r="B2633" s="303" t="str">
        <f t="shared" si="41"/>
        <v>x06002072</v>
      </c>
      <c r="C2633" t="s">
        <v>4</v>
      </c>
      <c r="D2633" t="s">
        <v>8745</v>
      </c>
      <c r="E2633">
        <v>6</v>
      </c>
      <c r="F2633" t="str">
        <f>IF(AND(Entities[[#This Row],[ENT_TYPE]]="County",RIGHT(Entities[[#This Row],[ENT_NAME]],6)&lt;&gt;"County"),_xlfn.TEXTJOIN(" ",TRUE,Entities[[#This Row],[ENT_NAME]],"County"),Entities[[#This Row],[ENT_NAME]])</f>
        <v>Lake Forest Utility District</v>
      </c>
    </row>
    <row r="2634" spans="1:6" x14ac:dyDescent="0.25">
      <c r="A2634" s="304" t="s">
        <v>8746</v>
      </c>
      <c r="B2634" s="303" t="str">
        <f t="shared" si="41"/>
        <v>x06002073</v>
      </c>
      <c r="C2634" t="s">
        <v>4</v>
      </c>
      <c r="D2634" t="s">
        <v>8747</v>
      </c>
      <c r="E2634">
        <v>6</v>
      </c>
      <c r="F2634" t="str">
        <f>IF(AND(Entities[[#This Row],[ENT_TYPE]]="County",RIGHT(Entities[[#This Row],[ENT_NAME]],6)&lt;&gt;"County"),_xlfn.TEXTJOIN(" ",TRUE,Entities[[#This Row],[ENT_NAME]],"County"),Entities[[#This Row],[ENT_NAME]])</f>
        <v>Harris County WCID 114</v>
      </c>
    </row>
    <row r="2635" spans="1:6" x14ac:dyDescent="0.25">
      <c r="A2635" s="302" t="s">
        <v>8748</v>
      </c>
      <c r="B2635" s="303" t="str">
        <f t="shared" si="41"/>
        <v>x06002074</v>
      </c>
      <c r="C2635" t="s">
        <v>4</v>
      </c>
      <c r="D2635" t="s">
        <v>8749</v>
      </c>
      <c r="E2635">
        <v>6</v>
      </c>
      <c r="F2635" t="str">
        <f>IF(AND(Entities[[#This Row],[ENT_TYPE]]="County",RIGHT(Entities[[#This Row],[ENT_NAME]],6)&lt;&gt;"County"),_xlfn.TEXTJOIN(" ",TRUE,Entities[[#This Row],[ENT_NAME]],"County"),Entities[[#This Row],[ENT_NAME]])</f>
        <v>Harris County MUD 379</v>
      </c>
    </row>
    <row r="2636" spans="1:6" x14ac:dyDescent="0.25">
      <c r="A2636" s="304" t="s">
        <v>8750</v>
      </c>
      <c r="B2636" s="303" t="str">
        <f t="shared" si="41"/>
        <v>x06002075</v>
      </c>
      <c r="C2636" t="s">
        <v>4</v>
      </c>
      <c r="D2636" t="s">
        <v>8751</v>
      </c>
      <c r="E2636">
        <v>6</v>
      </c>
      <c r="F2636" t="str">
        <f>IF(AND(Entities[[#This Row],[ENT_TYPE]]="County",RIGHT(Entities[[#This Row],[ENT_NAME]],6)&lt;&gt;"County"),_xlfn.TEXTJOIN(" ",TRUE,Entities[[#This Row],[ENT_NAME]],"County"),Entities[[#This Row],[ENT_NAME]])</f>
        <v>Montgomery County MUD 178</v>
      </c>
    </row>
    <row r="2637" spans="1:6" x14ac:dyDescent="0.25">
      <c r="A2637" s="302" t="s">
        <v>8752</v>
      </c>
      <c r="B2637" s="303" t="str">
        <f t="shared" si="41"/>
        <v>x06002078</v>
      </c>
      <c r="C2637" t="s">
        <v>4</v>
      </c>
      <c r="D2637" t="s">
        <v>8753</v>
      </c>
      <c r="E2637">
        <v>6</v>
      </c>
      <c r="F2637" t="str">
        <f>IF(AND(Entities[[#This Row],[ENT_TYPE]]="County",RIGHT(Entities[[#This Row],[ENT_NAME]],6)&lt;&gt;"County"),_xlfn.TEXTJOIN(" ",TRUE,Entities[[#This Row],[ENT_NAME]],"County"),Entities[[#This Row],[ENT_NAME]])</f>
        <v>Harris County MUD 534</v>
      </c>
    </row>
    <row r="2638" spans="1:6" x14ac:dyDescent="0.25">
      <c r="A2638" s="304" t="s">
        <v>8754</v>
      </c>
      <c r="B2638" s="303" t="str">
        <f t="shared" si="41"/>
        <v>x06002079</v>
      </c>
      <c r="C2638" t="s">
        <v>4</v>
      </c>
      <c r="D2638" t="s">
        <v>8755</v>
      </c>
      <c r="E2638">
        <v>6</v>
      </c>
      <c r="F2638" t="str">
        <f>IF(AND(Entities[[#This Row],[ENT_TYPE]]="County",RIGHT(Entities[[#This Row],[ENT_NAME]],6)&lt;&gt;"County"),_xlfn.TEXTJOIN(" ",TRUE,Entities[[#This Row],[ENT_NAME]],"County"),Entities[[#This Row],[ENT_NAME]])</f>
        <v>Harris County MUD 533</v>
      </c>
    </row>
    <row r="2639" spans="1:6" x14ac:dyDescent="0.25">
      <c r="A2639" s="302" t="s">
        <v>8756</v>
      </c>
      <c r="B2639" s="303" t="str">
        <f t="shared" si="41"/>
        <v>x06002080</v>
      </c>
      <c r="C2639" t="s">
        <v>4</v>
      </c>
      <c r="D2639" t="s">
        <v>8757</v>
      </c>
      <c r="E2639">
        <v>6</v>
      </c>
      <c r="F2639" t="str">
        <f>IF(AND(Entities[[#This Row],[ENT_TYPE]]="County",RIGHT(Entities[[#This Row],[ENT_NAME]],6)&lt;&gt;"County"),_xlfn.TEXTJOIN(" ",TRUE,Entities[[#This Row],[ENT_NAME]],"County"),Entities[[#This Row],[ENT_NAME]])</f>
        <v>Brazoria County MUD 61</v>
      </c>
    </row>
    <row r="2640" spans="1:6" x14ac:dyDescent="0.25">
      <c r="A2640" s="304" t="s">
        <v>8758</v>
      </c>
      <c r="B2640" s="303" t="str">
        <f t="shared" si="41"/>
        <v>x06002081</v>
      </c>
      <c r="C2640" t="s">
        <v>4</v>
      </c>
      <c r="D2640" t="s">
        <v>8759</v>
      </c>
      <c r="E2640">
        <v>6</v>
      </c>
      <c r="F2640" t="str">
        <f>IF(AND(Entities[[#This Row],[ENT_TYPE]]="County",RIGHT(Entities[[#This Row],[ENT_NAME]],6)&lt;&gt;"County"),_xlfn.TEXTJOIN(" ",TRUE,Entities[[#This Row],[ENT_NAME]],"County"),Entities[[#This Row],[ENT_NAME]])</f>
        <v>Harris County MUD 367</v>
      </c>
    </row>
    <row r="2641" spans="1:6" x14ac:dyDescent="0.25">
      <c r="A2641" s="302" t="s">
        <v>8760</v>
      </c>
      <c r="B2641" s="303" t="str">
        <f t="shared" si="41"/>
        <v>x06002083</v>
      </c>
      <c r="C2641" t="s">
        <v>4</v>
      </c>
      <c r="D2641" t="s">
        <v>8761</v>
      </c>
      <c r="E2641">
        <v>6</v>
      </c>
      <c r="F2641" t="str">
        <f>IF(AND(Entities[[#This Row],[ENT_TYPE]]="County",RIGHT(Entities[[#This Row],[ENT_NAME]],6)&lt;&gt;"County"),_xlfn.TEXTJOIN(" ",TRUE,Entities[[#This Row],[ENT_NAME]],"County"),Entities[[#This Row],[ENT_NAME]])</f>
        <v>Willow Creek Farms MUD</v>
      </c>
    </row>
    <row r="2642" spans="1:6" x14ac:dyDescent="0.25">
      <c r="A2642" s="304" t="s">
        <v>8762</v>
      </c>
      <c r="B2642" s="303" t="str">
        <f t="shared" si="41"/>
        <v>x06002084</v>
      </c>
      <c r="C2642" t="s">
        <v>4</v>
      </c>
      <c r="D2642" t="s">
        <v>8763</v>
      </c>
      <c r="E2642">
        <v>6</v>
      </c>
      <c r="F2642" t="str">
        <f>IF(AND(Entities[[#This Row],[ENT_TYPE]]="County",RIGHT(Entities[[#This Row],[ENT_NAME]],6)&lt;&gt;"County"),_xlfn.TEXTJOIN(" ",TRUE,Entities[[#This Row],[ENT_NAME]],"County"),Entities[[#This Row],[ENT_NAME]])</f>
        <v>Harris-montgomery Counties MUD 386</v>
      </c>
    </row>
    <row r="2643" spans="1:6" x14ac:dyDescent="0.25">
      <c r="A2643" s="302" t="s">
        <v>8764</v>
      </c>
      <c r="B2643" s="303" t="str">
        <f t="shared" si="41"/>
        <v>x06002088</v>
      </c>
      <c r="C2643" t="s">
        <v>4</v>
      </c>
      <c r="D2643" t="s">
        <v>8765</v>
      </c>
      <c r="E2643">
        <v>6</v>
      </c>
      <c r="F2643" t="str">
        <f>IF(AND(Entities[[#This Row],[ENT_TYPE]]="County",RIGHT(Entities[[#This Row],[ENT_NAME]],6)&lt;&gt;"County"),_xlfn.TEXTJOIN(" ",TRUE,Entities[[#This Row],[ENT_NAME]],"County"),Entities[[#This Row],[ENT_NAME]])</f>
        <v>Dowdell PUD</v>
      </c>
    </row>
    <row r="2644" spans="1:6" x14ac:dyDescent="0.25">
      <c r="A2644" s="304" t="s">
        <v>8766</v>
      </c>
      <c r="B2644" s="303" t="str">
        <f t="shared" si="41"/>
        <v>x06002091</v>
      </c>
      <c r="C2644" t="s">
        <v>4</v>
      </c>
      <c r="D2644" t="s">
        <v>8767</v>
      </c>
      <c r="E2644">
        <v>6</v>
      </c>
      <c r="F2644" t="str">
        <f>IF(AND(Entities[[#This Row],[ENT_TYPE]]="County",RIGHT(Entities[[#This Row],[ENT_NAME]],6)&lt;&gt;"County"),_xlfn.TEXTJOIN(" ",TRUE,Entities[[#This Row],[ENT_NAME]],"County"),Entities[[#This Row],[ENT_NAME]])</f>
        <v>Harris County MUD 400</v>
      </c>
    </row>
    <row r="2645" spans="1:6" x14ac:dyDescent="0.25">
      <c r="A2645" s="302" t="s">
        <v>8768</v>
      </c>
      <c r="B2645" s="303" t="str">
        <f t="shared" si="41"/>
        <v>x06002098</v>
      </c>
      <c r="C2645" t="s">
        <v>4</v>
      </c>
      <c r="D2645" t="s">
        <v>8769</v>
      </c>
      <c r="E2645">
        <v>6</v>
      </c>
      <c r="F2645" t="str">
        <f>IF(AND(Entities[[#This Row],[ENT_TYPE]]="County",RIGHT(Entities[[#This Row],[ENT_NAME]],6)&lt;&gt;"County"),_xlfn.TEXTJOIN(" ",TRUE,Entities[[#This Row],[ENT_NAME]],"County"),Entities[[#This Row],[ENT_NAME]])</f>
        <v>Montgomery County MUD 47</v>
      </c>
    </row>
    <row r="2646" spans="1:6" x14ac:dyDescent="0.25">
      <c r="A2646" s="304" t="s">
        <v>8770</v>
      </c>
      <c r="B2646" s="303" t="str">
        <f t="shared" si="41"/>
        <v>x06002099</v>
      </c>
      <c r="C2646" t="s">
        <v>4</v>
      </c>
      <c r="D2646" t="s">
        <v>8771</v>
      </c>
      <c r="E2646">
        <v>6</v>
      </c>
      <c r="F2646" t="str">
        <f>IF(AND(Entities[[#This Row],[ENT_TYPE]]="County",RIGHT(Entities[[#This Row],[ENT_NAME]],6)&lt;&gt;"County"),_xlfn.TEXTJOIN(" ",TRUE,Entities[[#This Row],[ENT_NAME]],"County"),Entities[[#This Row],[ENT_NAME]])</f>
        <v>Fort Bend County MUD 130</v>
      </c>
    </row>
    <row r="2647" spans="1:6" x14ac:dyDescent="0.25">
      <c r="A2647" s="302" t="s">
        <v>8772</v>
      </c>
      <c r="B2647" s="303" t="str">
        <f t="shared" si="41"/>
        <v>x06002102</v>
      </c>
      <c r="C2647" t="s">
        <v>4</v>
      </c>
      <c r="D2647" t="s">
        <v>8773</v>
      </c>
      <c r="E2647">
        <v>6</v>
      </c>
      <c r="F2647" t="str">
        <f>IF(AND(Entities[[#This Row],[ENT_TYPE]]="County",RIGHT(Entities[[#This Row],[ENT_NAME]],6)&lt;&gt;"County"),_xlfn.TEXTJOIN(" ",TRUE,Entities[[#This Row],[ENT_NAME]],"County"),Entities[[#This Row],[ENT_NAME]])</f>
        <v>Meadowhill Regional MUD</v>
      </c>
    </row>
    <row r="2648" spans="1:6" x14ac:dyDescent="0.25">
      <c r="A2648" s="304" t="s">
        <v>8774</v>
      </c>
      <c r="B2648" s="303" t="str">
        <f t="shared" si="41"/>
        <v>x06002104</v>
      </c>
      <c r="C2648" t="s">
        <v>4</v>
      </c>
      <c r="D2648" t="s">
        <v>8775</v>
      </c>
      <c r="E2648">
        <v>6</v>
      </c>
      <c r="F2648" t="str">
        <f>IF(AND(Entities[[#This Row],[ENT_TYPE]]="County",RIGHT(Entities[[#This Row],[ENT_NAME]],6)&lt;&gt;"County"),_xlfn.TEXTJOIN(" ",TRUE,Entities[[#This Row],[ENT_NAME]],"County"),Entities[[#This Row],[ENT_NAME]])</f>
        <v>Harris County MUD 376</v>
      </c>
    </row>
    <row r="2649" spans="1:6" x14ac:dyDescent="0.25">
      <c r="A2649" s="302" t="s">
        <v>8776</v>
      </c>
      <c r="B2649" s="303" t="str">
        <f t="shared" si="41"/>
        <v>x06002105</v>
      </c>
      <c r="C2649" t="s">
        <v>4</v>
      </c>
      <c r="D2649" t="s">
        <v>8777</v>
      </c>
      <c r="E2649">
        <v>6</v>
      </c>
      <c r="F2649" t="str">
        <f>IF(AND(Entities[[#This Row],[ENT_TYPE]]="County",RIGHT(Entities[[#This Row],[ENT_NAME]],6)&lt;&gt;"County"),_xlfn.TEXTJOIN(" ",TRUE,Entities[[#This Row],[ENT_NAME]],"County"),Entities[[#This Row],[ENT_NAME]])</f>
        <v>Harris County MUD 378</v>
      </c>
    </row>
    <row r="2650" spans="1:6" x14ac:dyDescent="0.25">
      <c r="A2650" s="304" t="s">
        <v>8778</v>
      </c>
      <c r="B2650" s="303" t="str">
        <f t="shared" si="41"/>
        <v>x06002106</v>
      </c>
      <c r="C2650" t="s">
        <v>4</v>
      </c>
      <c r="D2650" t="s">
        <v>8779</v>
      </c>
      <c r="E2650">
        <v>6</v>
      </c>
      <c r="F2650" t="str">
        <f>IF(AND(Entities[[#This Row],[ENT_TYPE]]="County",RIGHT(Entities[[#This Row],[ENT_NAME]],6)&lt;&gt;"County"),_xlfn.TEXTJOIN(" ",TRUE,Entities[[#This Row],[ENT_NAME]],"County"),Entities[[#This Row],[ENT_NAME]])</f>
        <v>Harris County MUD 396</v>
      </c>
    </row>
    <row r="2651" spans="1:6" x14ac:dyDescent="0.25">
      <c r="A2651" s="302" t="s">
        <v>8780</v>
      </c>
      <c r="B2651" s="303" t="str">
        <f t="shared" si="41"/>
        <v>x06002107</v>
      </c>
      <c r="C2651" t="s">
        <v>4</v>
      </c>
      <c r="D2651" t="s">
        <v>8781</v>
      </c>
      <c r="E2651">
        <v>6</v>
      </c>
      <c r="F2651" t="str">
        <f>IF(AND(Entities[[#This Row],[ENT_TYPE]]="County",RIGHT(Entities[[#This Row],[ENT_NAME]],6)&lt;&gt;"County"),_xlfn.TEXTJOIN(" ",TRUE,Entities[[#This Row],[ENT_NAME]],"County"),Entities[[#This Row],[ENT_NAME]])</f>
        <v>Harris County Road Improvement District 1</v>
      </c>
    </row>
    <row r="2652" spans="1:6" x14ac:dyDescent="0.25">
      <c r="A2652" s="304" t="s">
        <v>8782</v>
      </c>
      <c r="B2652" s="303" t="str">
        <f t="shared" si="41"/>
        <v>x06002109</v>
      </c>
      <c r="C2652" t="s">
        <v>4</v>
      </c>
      <c r="D2652" t="s">
        <v>8783</v>
      </c>
      <c r="E2652">
        <v>6</v>
      </c>
      <c r="F2652" t="str">
        <f>IF(AND(Entities[[#This Row],[ENT_TYPE]]="County",RIGHT(Entities[[#This Row],[ENT_NAME]],6)&lt;&gt;"County"),_xlfn.TEXTJOIN(" ",TRUE,Entities[[#This Row],[ENT_NAME]],"County"),Entities[[#This Row],[ENT_NAME]])</f>
        <v>Rayford Road MUD</v>
      </c>
    </row>
    <row r="2653" spans="1:6" x14ac:dyDescent="0.25">
      <c r="A2653" s="302" t="s">
        <v>8784</v>
      </c>
      <c r="B2653" s="303" t="str">
        <f t="shared" si="41"/>
        <v>x06002112</v>
      </c>
      <c r="C2653" t="s">
        <v>4</v>
      </c>
      <c r="D2653" t="s">
        <v>8785</v>
      </c>
      <c r="E2653">
        <v>6</v>
      </c>
      <c r="F2653" t="str">
        <f>IF(AND(Entities[[#This Row],[ENT_TYPE]]="County",RIGHT(Entities[[#This Row],[ENT_NAME]],6)&lt;&gt;"County"),_xlfn.TEXTJOIN(" ",TRUE,Entities[[#This Row],[ENT_NAME]],"County"),Entities[[#This Row],[ENT_NAME]])</f>
        <v>West Harris County MUD 7</v>
      </c>
    </row>
    <row r="2654" spans="1:6" x14ac:dyDescent="0.25">
      <c r="A2654" s="304" t="s">
        <v>8786</v>
      </c>
      <c r="B2654" s="303" t="str">
        <f t="shared" si="41"/>
        <v>x06002113</v>
      </c>
      <c r="C2654" t="s">
        <v>4</v>
      </c>
      <c r="D2654" t="s">
        <v>8787</v>
      </c>
      <c r="E2654">
        <v>6</v>
      </c>
      <c r="F2654" t="str">
        <f>IF(AND(Entities[[#This Row],[ENT_TYPE]]="County",RIGHT(Entities[[#This Row],[ENT_NAME]],6)&lt;&gt;"County"),_xlfn.TEXTJOIN(" ",TRUE,Entities[[#This Row],[ENT_NAME]],"County"),Entities[[#This Row],[ENT_NAME]])</f>
        <v>Harris County MUD 102</v>
      </c>
    </row>
    <row r="2655" spans="1:6" x14ac:dyDescent="0.25">
      <c r="A2655" s="302" t="s">
        <v>8788</v>
      </c>
      <c r="B2655" s="303" t="str">
        <f t="shared" si="41"/>
        <v>x06002114</v>
      </c>
      <c r="C2655" t="s">
        <v>4</v>
      </c>
      <c r="D2655" t="s">
        <v>8789</v>
      </c>
      <c r="E2655">
        <v>6</v>
      </c>
      <c r="F2655" t="str">
        <f>IF(AND(Entities[[#This Row],[ENT_TYPE]]="County",RIGHT(Entities[[#This Row],[ENT_NAME]],6)&lt;&gt;"County"),_xlfn.TEXTJOIN(" ",TRUE,Entities[[#This Row],[ENT_NAME]],"County"),Entities[[#This Row],[ENT_NAME]])</f>
        <v>Harris County MUD 381</v>
      </c>
    </row>
    <row r="2656" spans="1:6" x14ac:dyDescent="0.25">
      <c r="A2656" s="304" t="s">
        <v>8790</v>
      </c>
      <c r="B2656" s="303" t="str">
        <f t="shared" si="41"/>
        <v>x06002115</v>
      </c>
      <c r="C2656" t="s">
        <v>4</v>
      </c>
      <c r="D2656" t="s">
        <v>8791</v>
      </c>
      <c r="E2656">
        <v>6</v>
      </c>
      <c r="F2656" t="str">
        <f>IF(AND(Entities[[#This Row],[ENT_TYPE]]="County",RIGHT(Entities[[#This Row],[ENT_NAME]],6)&lt;&gt;"County"),_xlfn.TEXTJOIN(" ",TRUE,Entities[[#This Row],[ENT_NAME]],"County"),Entities[[#This Row],[ENT_NAME]])</f>
        <v>Fountainhead MUD</v>
      </c>
    </row>
    <row r="2657" spans="1:6" x14ac:dyDescent="0.25">
      <c r="A2657" s="302" t="s">
        <v>8792</v>
      </c>
      <c r="B2657" s="303" t="str">
        <f t="shared" si="41"/>
        <v>x06002118</v>
      </c>
      <c r="C2657" t="s">
        <v>4</v>
      </c>
      <c r="D2657" t="s">
        <v>8793</v>
      </c>
      <c r="E2657">
        <v>6</v>
      </c>
      <c r="F2657" t="str">
        <f>IF(AND(Entities[[#This Row],[ENT_TYPE]]="County",RIGHT(Entities[[#This Row],[ENT_NAME]],6)&lt;&gt;"County"),_xlfn.TEXTJOIN(" ",TRUE,Entities[[#This Row],[ENT_NAME]],"County"),Entities[[#This Row],[ENT_NAME]])</f>
        <v>Waller County Improvement District 1</v>
      </c>
    </row>
    <row r="2658" spans="1:6" x14ac:dyDescent="0.25">
      <c r="A2658" s="304" t="s">
        <v>8794</v>
      </c>
      <c r="B2658" s="303" t="str">
        <f t="shared" si="41"/>
        <v>x06002120</v>
      </c>
      <c r="C2658" t="s">
        <v>4</v>
      </c>
      <c r="D2658" t="s">
        <v>8795</v>
      </c>
      <c r="E2658">
        <v>6</v>
      </c>
      <c r="F2658" t="str">
        <f>IF(AND(Entities[[#This Row],[ENT_TYPE]]="County",RIGHT(Entities[[#This Row],[ENT_NAME]],6)&lt;&gt;"County"),_xlfn.TEXTJOIN(" ",TRUE,Entities[[#This Row],[ENT_NAME]],"County"),Entities[[#This Row],[ENT_NAME]])</f>
        <v>Brazoria County MUD 22</v>
      </c>
    </row>
    <row r="2659" spans="1:6" x14ac:dyDescent="0.25">
      <c r="A2659" s="304" t="s">
        <v>8796</v>
      </c>
      <c r="B2659" s="303" t="str">
        <f t="shared" si="41"/>
        <v>x06002129</v>
      </c>
      <c r="C2659" t="s">
        <v>4</v>
      </c>
      <c r="D2659" t="s">
        <v>8797</v>
      </c>
      <c r="E2659">
        <v>6</v>
      </c>
      <c r="F2659" t="str">
        <f>IF(AND(Entities[[#This Row],[ENT_TYPE]]="County",RIGHT(Entities[[#This Row],[ENT_NAME]],6)&lt;&gt;"County"),_xlfn.TEXTJOIN(" ",TRUE,Entities[[#This Row],[ENT_NAME]],"County"),Entities[[#This Row],[ENT_NAME]])</f>
        <v>Montgomery County MUD 67</v>
      </c>
    </row>
    <row r="2660" spans="1:6" x14ac:dyDescent="0.25">
      <c r="A2660" s="302" t="s">
        <v>8798</v>
      </c>
      <c r="B2660" s="303" t="str">
        <f t="shared" si="41"/>
        <v>x06002130</v>
      </c>
      <c r="C2660" t="s">
        <v>4</v>
      </c>
      <c r="D2660" t="s">
        <v>8799</v>
      </c>
      <c r="E2660">
        <v>6</v>
      </c>
      <c r="F2660" t="str">
        <f>IF(AND(Entities[[#This Row],[ENT_TYPE]]="County",RIGHT(Entities[[#This Row],[ENT_NAME]],6)&lt;&gt;"County"),_xlfn.TEXTJOIN(" ",TRUE,Entities[[#This Row],[ENT_NAME]],"County"),Entities[[#This Row],[ENT_NAME]])</f>
        <v>Montgomery County MUD 126</v>
      </c>
    </row>
    <row r="2661" spans="1:6" x14ac:dyDescent="0.25">
      <c r="A2661" s="304" t="s">
        <v>8800</v>
      </c>
      <c r="B2661" s="303" t="str">
        <f t="shared" si="41"/>
        <v>x06002131</v>
      </c>
      <c r="C2661" t="s">
        <v>4</v>
      </c>
      <c r="D2661" t="s">
        <v>8801</v>
      </c>
      <c r="E2661">
        <v>6</v>
      </c>
      <c r="F2661" t="str">
        <f>IF(AND(Entities[[#This Row],[ENT_TYPE]]="County",RIGHT(Entities[[#This Row],[ENT_NAME]],6)&lt;&gt;"County"),_xlfn.TEXTJOIN(" ",TRUE,Entities[[#This Row],[ENT_NAME]],"County"),Entities[[#This Row],[ENT_NAME]])</f>
        <v>North Forest MUD</v>
      </c>
    </row>
    <row r="2662" spans="1:6" x14ac:dyDescent="0.25">
      <c r="A2662" s="302" t="s">
        <v>8802</v>
      </c>
      <c r="B2662" s="303" t="str">
        <f t="shared" si="41"/>
        <v>x06002132</v>
      </c>
      <c r="C2662" t="s">
        <v>4</v>
      </c>
      <c r="D2662" t="s">
        <v>8803</v>
      </c>
      <c r="E2662">
        <v>6</v>
      </c>
      <c r="F2662" t="str">
        <f>IF(AND(Entities[[#This Row],[ENT_TYPE]]="County",RIGHT(Entities[[#This Row],[ENT_NAME]],6)&lt;&gt;"County"),_xlfn.TEXTJOIN(" ",TRUE,Entities[[#This Row],[ENT_NAME]],"County"),Entities[[#This Row],[ENT_NAME]])</f>
        <v>Montgomery County MUD 119</v>
      </c>
    </row>
    <row r="2663" spans="1:6" x14ac:dyDescent="0.25">
      <c r="A2663" s="304" t="s">
        <v>8804</v>
      </c>
      <c r="B2663" s="303" t="str">
        <f t="shared" si="41"/>
        <v>x06002133</v>
      </c>
      <c r="C2663" t="s">
        <v>4</v>
      </c>
      <c r="D2663" t="s">
        <v>8805</v>
      </c>
      <c r="E2663">
        <v>6</v>
      </c>
      <c r="F2663" t="str">
        <f>IF(AND(Entities[[#This Row],[ENT_TYPE]]="County",RIGHT(Entities[[#This Row],[ENT_NAME]],6)&lt;&gt;"County"),_xlfn.TEXTJOIN(" ",TRUE,Entities[[#This Row],[ENT_NAME]],"County"),Entities[[#This Row],[ENT_NAME]])</f>
        <v>Harris County FWSD 58</v>
      </c>
    </row>
    <row r="2664" spans="1:6" x14ac:dyDescent="0.25">
      <c r="A2664" s="302" t="s">
        <v>8806</v>
      </c>
      <c r="B2664" s="303" t="str">
        <f t="shared" si="41"/>
        <v>x06002134</v>
      </c>
      <c r="C2664" t="s">
        <v>4</v>
      </c>
      <c r="D2664" t="s">
        <v>8807</v>
      </c>
      <c r="E2664">
        <v>6</v>
      </c>
      <c r="F2664" t="str">
        <f>IF(AND(Entities[[#This Row],[ENT_TYPE]]="County",RIGHT(Entities[[#This Row],[ENT_NAME]],6)&lt;&gt;"County"),_xlfn.TEXTJOIN(" ",TRUE,Entities[[#This Row],[ENT_NAME]],"County"),Entities[[#This Row],[ENT_NAME]])</f>
        <v>Harris County MUD 182</v>
      </c>
    </row>
    <row r="2665" spans="1:6" x14ac:dyDescent="0.25">
      <c r="A2665" s="304" t="s">
        <v>8808</v>
      </c>
      <c r="B2665" s="303" t="str">
        <f t="shared" si="41"/>
        <v>x06002138</v>
      </c>
      <c r="C2665" t="s">
        <v>4</v>
      </c>
      <c r="D2665" t="s">
        <v>8809</v>
      </c>
      <c r="E2665">
        <v>6</v>
      </c>
      <c r="F2665" t="str">
        <f>IF(AND(Entities[[#This Row],[ENT_TYPE]]="County",RIGHT(Entities[[#This Row],[ENT_NAME]],6)&lt;&gt;"County"),_xlfn.TEXTJOIN(" ",TRUE,Entities[[#This Row],[ENT_NAME]],"County"),Entities[[#This Row],[ENT_NAME]])</f>
        <v>Louetta North PUD</v>
      </c>
    </row>
    <row r="2666" spans="1:6" x14ac:dyDescent="0.25">
      <c r="A2666" s="302" t="s">
        <v>8810</v>
      </c>
      <c r="B2666" s="303" t="str">
        <f t="shared" si="41"/>
        <v>x06002139</v>
      </c>
      <c r="C2666" t="s">
        <v>4</v>
      </c>
      <c r="D2666" t="s">
        <v>8811</v>
      </c>
      <c r="E2666">
        <v>6</v>
      </c>
      <c r="F2666" t="str">
        <f>IF(AND(Entities[[#This Row],[ENT_TYPE]]="County",RIGHT(Entities[[#This Row],[ENT_NAME]],6)&lt;&gt;"County"),_xlfn.TEXTJOIN(" ",TRUE,Entities[[#This Row],[ENT_NAME]],"County"),Entities[[#This Row],[ENT_NAME]])</f>
        <v>Lago Bello MUD 1</v>
      </c>
    </row>
    <row r="2667" spans="1:6" x14ac:dyDescent="0.25">
      <c r="A2667" s="304" t="s">
        <v>8812</v>
      </c>
      <c r="B2667" s="303" t="str">
        <f t="shared" si="41"/>
        <v>x06002142</v>
      </c>
      <c r="C2667" t="s">
        <v>4</v>
      </c>
      <c r="D2667" t="s">
        <v>8813</v>
      </c>
      <c r="E2667">
        <v>6</v>
      </c>
      <c r="F2667" t="str">
        <f>IF(AND(Entities[[#This Row],[ENT_TYPE]]="County",RIGHT(Entities[[#This Row],[ENT_NAME]],6)&lt;&gt;"County"),_xlfn.TEXTJOIN(" ",TRUE,Entities[[#This Row],[ENT_NAME]],"County"),Entities[[#This Row],[ENT_NAME]])</f>
        <v>Harris County MUD 570</v>
      </c>
    </row>
    <row r="2668" spans="1:6" x14ac:dyDescent="0.25">
      <c r="A2668" s="302" t="s">
        <v>8814</v>
      </c>
      <c r="B2668" s="303" t="str">
        <f t="shared" si="41"/>
        <v>x06002144</v>
      </c>
      <c r="C2668" t="s">
        <v>4</v>
      </c>
      <c r="D2668" t="s">
        <v>8815</v>
      </c>
      <c r="E2668">
        <v>6</v>
      </c>
      <c r="F2668" t="str">
        <f>IF(AND(Entities[[#This Row],[ENT_TYPE]]="County",RIGHT(Entities[[#This Row],[ENT_NAME]],6)&lt;&gt;"County"),_xlfn.TEXTJOIN(" ",TRUE,Entities[[#This Row],[ENT_NAME]],"County"),Entities[[#This Row],[ENT_NAME]])</f>
        <v>Valley Ranch MUD 1</v>
      </c>
    </row>
    <row r="2669" spans="1:6" x14ac:dyDescent="0.25">
      <c r="A2669" s="304" t="s">
        <v>8816</v>
      </c>
      <c r="B2669" s="303" t="str">
        <f t="shared" si="41"/>
        <v>x06002145</v>
      </c>
      <c r="C2669" t="s">
        <v>4</v>
      </c>
      <c r="D2669" t="s">
        <v>8817</v>
      </c>
      <c r="E2669">
        <v>6</v>
      </c>
      <c r="F2669" t="str">
        <f>IF(AND(Entities[[#This Row],[ENT_TYPE]]="County",RIGHT(Entities[[#This Row],[ENT_NAME]],6)&lt;&gt;"County"),_xlfn.TEXTJOIN(" ",TRUE,Entities[[#This Row],[ENT_NAME]],"County"),Entities[[#This Row],[ENT_NAME]])</f>
        <v>Galveston County MUD 15</v>
      </c>
    </row>
    <row r="2670" spans="1:6" x14ac:dyDescent="0.25">
      <c r="A2670" s="302" t="s">
        <v>8818</v>
      </c>
      <c r="B2670" s="303" t="str">
        <f t="shared" si="41"/>
        <v>x06002151</v>
      </c>
      <c r="C2670" t="s">
        <v>4</v>
      </c>
      <c r="D2670" t="s">
        <v>8819</v>
      </c>
      <c r="E2670">
        <v>6</v>
      </c>
      <c r="F2670" t="str">
        <f>IF(AND(Entities[[#This Row],[ENT_TYPE]]="County",RIGHT(Entities[[#This Row],[ENT_NAME]],6)&lt;&gt;"County"),_xlfn.TEXTJOIN(" ",TRUE,Entities[[#This Row],[ENT_NAME]],"County"),Entities[[#This Row],[ENT_NAME]])</f>
        <v>Fort Bend County MUD 190</v>
      </c>
    </row>
    <row r="2671" spans="1:6" x14ac:dyDescent="0.25">
      <c r="A2671" s="304" t="s">
        <v>8820</v>
      </c>
      <c r="B2671" s="303" t="str">
        <f t="shared" si="41"/>
        <v>x06002152</v>
      </c>
      <c r="C2671" t="s">
        <v>4</v>
      </c>
      <c r="D2671" t="s">
        <v>8821</v>
      </c>
      <c r="E2671">
        <v>6</v>
      </c>
      <c r="F2671" t="str">
        <f>IF(AND(Entities[[#This Row],[ENT_TYPE]]="County",RIGHT(Entities[[#This Row],[ENT_NAME]],6)&lt;&gt;"County"),_xlfn.TEXTJOIN(" ",TRUE,Entities[[#This Row],[ENT_NAME]],"County"),Entities[[#This Row],[ENT_NAME]])</f>
        <v>Mount Houston Road MUD</v>
      </c>
    </row>
    <row r="2672" spans="1:6" x14ac:dyDescent="0.25">
      <c r="A2672" s="302" t="s">
        <v>8822</v>
      </c>
      <c r="B2672" s="303" t="str">
        <f t="shared" si="41"/>
        <v>x06002154</v>
      </c>
      <c r="C2672" t="s">
        <v>4</v>
      </c>
      <c r="D2672" t="s">
        <v>8823</v>
      </c>
      <c r="E2672">
        <v>6</v>
      </c>
      <c r="F2672" t="str">
        <f>IF(AND(Entities[[#This Row],[ENT_TYPE]]="County",RIGHT(Entities[[#This Row],[ENT_NAME]],6)&lt;&gt;"County"),_xlfn.TEXTJOIN(" ",TRUE,Entities[[#This Row],[ENT_NAME]],"County"),Entities[[#This Row],[ENT_NAME]])</f>
        <v>Harris County WCID 21</v>
      </c>
    </row>
    <row r="2673" spans="1:6" x14ac:dyDescent="0.25">
      <c r="A2673" s="304" t="s">
        <v>8824</v>
      </c>
      <c r="B2673" s="303" t="str">
        <f t="shared" si="41"/>
        <v>x06002157</v>
      </c>
      <c r="C2673" t="s">
        <v>4</v>
      </c>
      <c r="D2673" t="s">
        <v>8825</v>
      </c>
      <c r="E2673">
        <v>6</v>
      </c>
      <c r="F2673" t="str">
        <f>IF(AND(Entities[[#This Row],[ENT_TYPE]]="County",RIGHT(Entities[[#This Row],[ENT_NAME]],6)&lt;&gt;"County"),_xlfn.TEXTJOIN(" ",TRUE,Entities[[#This Row],[ENT_NAME]],"County"),Entities[[#This Row],[ENT_NAME]])</f>
        <v>Galveston County MUD 76</v>
      </c>
    </row>
    <row r="2674" spans="1:6" x14ac:dyDescent="0.25">
      <c r="A2674" s="302" t="s">
        <v>8826</v>
      </c>
      <c r="B2674" s="303" t="str">
        <f t="shared" si="41"/>
        <v>x06002158</v>
      </c>
      <c r="C2674" t="s">
        <v>4</v>
      </c>
      <c r="D2674" t="s">
        <v>8827</v>
      </c>
      <c r="E2674">
        <v>6</v>
      </c>
      <c r="F2674" t="str">
        <f>IF(AND(Entities[[#This Row],[ENT_TYPE]]="County",RIGHT(Entities[[#This Row],[ENT_NAME]],6)&lt;&gt;"County"),_xlfn.TEXTJOIN(" ",TRUE,Entities[[#This Row],[ENT_NAME]],"County"),Entities[[#This Row],[ENT_NAME]])</f>
        <v>North Belt Utility District</v>
      </c>
    </row>
    <row r="2675" spans="1:6" x14ac:dyDescent="0.25">
      <c r="A2675" s="304" t="s">
        <v>8828</v>
      </c>
      <c r="B2675" s="303" t="str">
        <f t="shared" si="41"/>
        <v>x06002159</v>
      </c>
      <c r="C2675" t="s">
        <v>4</v>
      </c>
      <c r="D2675" t="s">
        <v>8829</v>
      </c>
      <c r="E2675">
        <v>6</v>
      </c>
      <c r="F2675" t="str">
        <f>IF(AND(Entities[[#This Row],[ENT_TYPE]]="County",RIGHT(Entities[[#This Row],[ENT_NAME]],6)&lt;&gt;"County"),_xlfn.TEXTJOIN(" ",TRUE,Entities[[#This Row],[ENT_NAME]],"County"),Entities[[#This Row],[ENT_NAME]])</f>
        <v>Northgate Crossing MUD 2</v>
      </c>
    </row>
    <row r="2676" spans="1:6" x14ac:dyDescent="0.25">
      <c r="A2676" s="302" t="s">
        <v>8830</v>
      </c>
      <c r="B2676" s="303" t="str">
        <f t="shared" si="41"/>
        <v>x06002160</v>
      </c>
      <c r="C2676" t="s">
        <v>4</v>
      </c>
      <c r="D2676" t="s">
        <v>8831</v>
      </c>
      <c r="E2676">
        <v>6</v>
      </c>
      <c r="F2676" t="str">
        <f>IF(AND(Entities[[#This Row],[ENT_TYPE]]="County",RIGHT(Entities[[#This Row],[ENT_NAME]],6)&lt;&gt;"County"),_xlfn.TEXTJOIN(" ",TRUE,Entities[[#This Row],[ENT_NAME]],"County"),Entities[[#This Row],[ENT_NAME]])</f>
        <v>Harris County MUD 490</v>
      </c>
    </row>
    <row r="2677" spans="1:6" x14ac:dyDescent="0.25">
      <c r="A2677" s="304" t="s">
        <v>8832</v>
      </c>
      <c r="B2677" s="303" t="str">
        <f t="shared" si="41"/>
        <v>x06002161</v>
      </c>
      <c r="C2677" t="s">
        <v>4</v>
      </c>
      <c r="D2677" t="s">
        <v>8833</v>
      </c>
      <c r="E2677">
        <v>6</v>
      </c>
      <c r="F2677" t="str">
        <f>IF(AND(Entities[[#This Row],[ENT_TYPE]]="County",RIGHT(Entities[[#This Row],[ENT_NAME]],6)&lt;&gt;"County"),_xlfn.TEXTJOIN(" ",TRUE,Entities[[#This Row],[ENT_NAME]],"County"),Entities[[#This Row],[ENT_NAME]])</f>
        <v>Harris County MUD 361</v>
      </c>
    </row>
    <row r="2678" spans="1:6" x14ac:dyDescent="0.25">
      <c r="A2678" s="302" t="s">
        <v>8834</v>
      </c>
      <c r="B2678" s="303" t="str">
        <f t="shared" si="41"/>
        <v>x06002163</v>
      </c>
      <c r="C2678" t="s">
        <v>4</v>
      </c>
      <c r="D2678" t="s">
        <v>8835</v>
      </c>
      <c r="E2678">
        <v>6</v>
      </c>
      <c r="F2678" t="str">
        <f>IF(AND(Entities[[#This Row],[ENT_TYPE]]="County",RIGHT(Entities[[#This Row],[ENT_NAME]],6)&lt;&gt;"County"),_xlfn.TEXTJOIN(" ",TRUE,Entities[[#This Row],[ENT_NAME]],"County"),Entities[[#This Row],[ENT_NAME]])</f>
        <v>East Downtown Mgmt District</v>
      </c>
    </row>
    <row r="2679" spans="1:6" x14ac:dyDescent="0.25">
      <c r="A2679" s="304" t="s">
        <v>8836</v>
      </c>
      <c r="B2679" s="303" t="str">
        <f t="shared" si="41"/>
        <v>x06002165</v>
      </c>
      <c r="C2679" t="s">
        <v>4</v>
      </c>
      <c r="D2679" t="s">
        <v>8837</v>
      </c>
      <c r="E2679">
        <v>6</v>
      </c>
      <c r="F2679" t="str">
        <f>IF(AND(Entities[[#This Row],[ENT_TYPE]]="County",RIGHT(Entities[[#This Row],[ENT_NAME]],6)&lt;&gt;"County"),_xlfn.TEXTJOIN(" ",TRUE,Entities[[#This Row],[ENT_NAME]],"County"),Entities[[#This Row],[ENT_NAME]])</f>
        <v>Brazoria County MUD 18</v>
      </c>
    </row>
    <row r="2680" spans="1:6" x14ac:dyDescent="0.25">
      <c r="A2680" s="302" t="s">
        <v>8838</v>
      </c>
      <c r="B2680" s="303" t="str">
        <f t="shared" si="41"/>
        <v>x06002166</v>
      </c>
      <c r="C2680" t="s">
        <v>4</v>
      </c>
      <c r="D2680" t="s">
        <v>8839</v>
      </c>
      <c r="E2680">
        <v>6</v>
      </c>
      <c r="F2680" t="str">
        <f>IF(AND(Entities[[#This Row],[ENT_TYPE]]="County",RIGHT(Entities[[#This Row],[ENT_NAME]],6)&lt;&gt;"County"),_xlfn.TEXTJOIN(" ",TRUE,Entities[[#This Row],[ENT_NAME]],"County"),Entities[[#This Row],[ENT_NAME]])</f>
        <v>Brazoria County MUD 21</v>
      </c>
    </row>
    <row r="2681" spans="1:6" x14ac:dyDescent="0.25">
      <c r="A2681" s="304" t="s">
        <v>8840</v>
      </c>
      <c r="B2681" s="303" t="str">
        <f t="shared" si="41"/>
        <v>x06002167</v>
      </c>
      <c r="C2681" t="s">
        <v>4</v>
      </c>
      <c r="D2681" t="s">
        <v>8841</v>
      </c>
      <c r="E2681">
        <v>6</v>
      </c>
      <c r="F2681" t="str">
        <f>IF(AND(Entities[[#This Row],[ENT_TYPE]]="County",RIGHT(Entities[[#This Row],[ENT_NAME]],6)&lt;&gt;"County"),_xlfn.TEXTJOIN(" ",TRUE,Entities[[#This Row],[ENT_NAME]],"County"),Entities[[#This Row],[ENT_NAME]])</f>
        <v>Fort Bend County MUD 122</v>
      </c>
    </row>
    <row r="2682" spans="1:6" x14ac:dyDescent="0.25">
      <c r="A2682" s="302" t="s">
        <v>8842</v>
      </c>
      <c r="B2682" s="303" t="str">
        <f t="shared" si="41"/>
        <v>x06002168</v>
      </c>
      <c r="C2682" t="s">
        <v>4</v>
      </c>
      <c r="D2682" t="s">
        <v>8843</v>
      </c>
      <c r="E2682">
        <v>6</v>
      </c>
      <c r="F2682" t="str">
        <f>IF(AND(Entities[[#This Row],[ENT_TYPE]]="County",RIGHT(Entities[[#This Row],[ENT_NAME]],6)&lt;&gt;"County"),_xlfn.TEXTJOIN(" ",TRUE,Entities[[#This Row],[ENT_NAME]],"County"),Entities[[#This Row],[ENT_NAME]])</f>
        <v>Galveston County MUD 39</v>
      </c>
    </row>
    <row r="2683" spans="1:6" x14ac:dyDescent="0.25">
      <c r="A2683" s="304" t="s">
        <v>8844</v>
      </c>
      <c r="B2683" s="303" t="str">
        <f t="shared" si="41"/>
        <v>x06002171</v>
      </c>
      <c r="C2683" t="s">
        <v>4</v>
      </c>
      <c r="D2683" t="s">
        <v>8845</v>
      </c>
      <c r="E2683">
        <v>6</v>
      </c>
      <c r="F2683" t="str">
        <f>IF(AND(Entities[[#This Row],[ENT_TYPE]]="County",RIGHT(Entities[[#This Row],[ENT_NAME]],6)&lt;&gt;"County"),_xlfn.TEXTJOIN(" ",TRUE,Entities[[#This Row],[ENT_NAME]],"County"),Entities[[#This Row],[ENT_NAME]])</f>
        <v>Big Oaks MUD</v>
      </c>
    </row>
    <row r="2684" spans="1:6" x14ac:dyDescent="0.25">
      <c r="A2684" s="302" t="s">
        <v>8846</v>
      </c>
      <c r="B2684" s="303" t="str">
        <f t="shared" si="41"/>
        <v>x06002173</v>
      </c>
      <c r="C2684" t="s">
        <v>4</v>
      </c>
      <c r="D2684" t="s">
        <v>8847</v>
      </c>
      <c r="E2684">
        <v>6</v>
      </c>
      <c r="F2684" t="str">
        <f>IF(AND(Entities[[#This Row],[ENT_TYPE]]="County",RIGHT(Entities[[#This Row],[ENT_NAME]],6)&lt;&gt;"County"),_xlfn.TEXTJOIN(" ",TRUE,Entities[[#This Row],[ENT_NAME]],"County"),Entities[[#This Row],[ENT_NAME]])</f>
        <v>Greater Southeast Management District</v>
      </c>
    </row>
    <row r="2685" spans="1:6" x14ac:dyDescent="0.25">
      <c r="A2685" s="302" t="s">
        <v>8848</v>
      </c>
      <c r="B2685" s="303" t="str">
        <f t="shared" si="41"/>
        <v>x06002174</v>
      </c>
      <c r="C2685" t="s">
        <v>4</v>
      </c>
      <c r="D2685" t="s">
        <v>8849</v>
      </c>
      <c r="E2685">
        <v>6</v>
      </c>
      <c r="F2685" t="str">
        <f>IF(AND(Entities[[#This Row],[ENT_TYPE]]="County",RIGHT(Entities[[#This Row],[ENT_NAME]],6)&lt;&gt;"County"),_xlfn.TEXTJOIN(" ",TRUE,Entities[[#This Row],[ENT_NAME]],"County"),Entities[[#This Row],[ENT_NAME]])</f>
        <v>Montgomery County MUD 60</v>
      </c>
    </row>
    <row r="2686" spans="1:6" x14ac:dyDescent="0.25">
      <c r="A2686" s="304" t="s">
        <v>8850</v>
      </c>
      <c r="B2686" s="303" t="str">
        <f t="shared" si="41"/>
        <v>x06002175</v>
      </c>
      <c r="C2686" t="s">
        <v>4</v>
      </c>
      <c r="D2686" t="s">
        <v>8851</v>
      </c>
      <c r="E2686">
        <v>6</v>
      </c>
      <c r="F2686" t="str">
        <f>IF(AND(Entities[[#This Row],[ENT_TYPE]]="County",RIGHT(Entities[[#This Row],[ENT_NAME]],6)&lt;&gt;"County"),_xlfn.TEXTJOIN(" ",TRUE,Entities[[#This Row],[ENT_NAME]],"County"),Entities[[#This Row],[ENT_NAME]])</f>
        <v>Northpointe WCID</v>
      </c>
    </row>
    <row r="2687" spans="1:6" x14ac:dyDescent="0.25">
      <c r="A2687" s="302" t="s">
        <v>8852</v>
      </c>
      <c r="B2687" s="303" t="str">
        <f t="shared" si="41"/>
        <v>x06002176</v>
      </c>
      <c r="C2687" t="s">
        <v>4</v>
      </c>
      <c r="D2687" t="s">
        <v>8853</v>
      </c>
      <c r="E2687">
        <v>6</v>
      </c>
      <c r="F2687" t="str">
        <f>IF(AND(Entities[[#This Row],[ENT_TYPE]]="County",RIGHT(Entities[[#This Row],[ENT_NAME]],6)&lt;&gt;"County"),_xlfn.TEXTJOIN(" ",TRUE,Entities[[#This Row],[ENT_NAME]],"County"),Entities[[#This Row],[ENT_NAME]])</f>
        <v>Northwest Harris County MUD 6</v>
      </c>
    </row>
    <row r="2688" spans="1:6" x14ac:dyDescent="0.25">
      <c r="A2688" s="304" t="s">
        <v>8854</v>
      </c>
      <c r="B2688" s="303" t="str">
        <f t="shared" si="41"/>
        <v>x06002181</v>
      </c>
      <c r="C2688" t="s">
        <v>4</v>
      </c>
      <c r="D2688" t="s">
        <v>8855</v>
      </c>
      <c r="E2688">
        <v>6</v>
      </c>
      <c r="F2688" t="str">
        <f>IF(AND(Entities[[#This Row],[ENT_TYPE]]="County",RIGHT(Entities[[#This Row],[ENT_NAME]],6)&lt;&gt;"County"),_xlfn.TEXTJOIN(" ",TRUE,Entities[[#This Row],[ENT_NAME]],"County"),Entities[[#This Row],[ENT_NAME]])</f>
        <v>Generation Park Management District</v>
      </c>
    </row>
    <row r="2689" spans="1:6" x14ac:dyDescent="0.25">
      <c r="A2689" s="304" t="s">
        <v>8856</v>
      </c>
      <c r="B2689" s="303" t="str">
        <f t="shared" si="41"/>
        <v>x06002182</v>
      </c>
      <c r="C2689" t="s">
        <v>4</v>
      </c>
      <c r="D2689" t="s">
        <v>8857</v>
      </c>
      <c r="E2689">
        <v>6</v>
      </c>
      <c r="F2689" t="str">
        <f>IF(AND(Entities[[#This Row],[ENT_TYPE]]="County",RIGHT(Entities[[#This Row],[ENT_NAME]],6)&lt;&gt;"County"),_xlfn.TEXTJOIN(" ",TRUE,Entities[[#This Row],[ENT_NAME]],"County"),Entities[[#This Row],[ENT_NAME]])</f>
        <v>Harris County MUD 496</v>
      </c>
    </row>
    <row r="2690" spans="1:6" x14ac:dyDescent="0.25">
      <c r="A2690" s="302" t="s">
        <v>8858</v>
      </c>
      <c r="B2690" s="303" t="str">
        <f t="shared" ref="B2690:B2753" si="42">_xlfn.CONCAT("x",TEXT(A2690,"00000000"))</f>
        <v>x06002183</v>
      </c>
      <c r="C2690" t="s">
        <v>4</v>
      </c>
      <c r="D2690" t="s">
        <v>8859</v>
      </c>
      <c r="E2690">
        <v>6</v>
      </c>
      <c r="F2690" t="str">
        <f>IF(AND(Entities[[#This Row],[ENT_TYPE]]="County",RIGHT(Entities[[#This Row],[ENT_NAME]],6)&lt;&gt;"County"),_xlfn.TEXTJOIN(" ",TRUE,Entities[[#This Row],[ENT_NAME]],"County"),Entities[[#This Row],[ENT_NAME]])</f>
        <v>Harris County MUD 420</v>
      </c>
    </row>
    <row r="2691" spans="1:6" x14ac:dyDescent="0.25">
      <c r="A2691" s="304" t="s">
        <v>8860</v>
      </c>
      <c r="B2691" s="303" t="str">
        <f t="shared" si="42"/>
        <v>x06002184</v>
      </c>
      <c r="C2691" t="s">
        <v>4</v>
      </c>
      <c r="D2691" t="s">
        <v>8861</v>
      </c>
      <c r="E2691">
        <v>6</v>
      </c>
      <c r="F2691" t="str">
        <f>IF(AND(Entities[[#This Row],[ENT_TYPE]]="County",RIGHT(Entities[[#This Row],[ENT_NAME]],6)&lt;&gt;"County"),_xlfn.TEXTJOIN(" ",TRUE,Entities[[#This Row],[ENT_NAME]],"County"),Entities[[#This Row],[ENT_NAME]])</f>
        <v>Harris County MUD 383</v>
      </c>
    </row>
    <row r="2692" spans="1:6" x14ac:dyDescent="0.25">
      <c r="A2692" s="302" t="s">
        <v>8862</v>
      </c>
      <c r="B2692" s="303" t="str">
        <f t="shared" si="42"/>
        <v>x06002187</v>
      </c>
      <c r="C2692" t="s">
        <v>4</v>
      </c>
      <c r="D2692" t="s">
        <v>8863</v>
      </c>
      <c r="E2692">
        <v>6</v>
      </c>
      <c r="F2692" t="str">
        <f>IF(AND(Entities[[#This Row],[ENT_TYPE]]="County",RIGHT(Entities[[#This Row],[ENT_NAME]],6)&lt;&gt;"County"),_xlfn.TEXTJOIN(" ",TRUE,Entities[[#This Row],[ENT_NAME]],"County"),Entities[[#This Row],[ENT_NAME]])</f>
        <v>Harris County MUD 544</v>
      </c>
    </row>
    <row r="2693" spans="1:6" x14ac:dyDescent="0.25">
      <c r="A2693" s="304" t="s">
        <v>8864</v>
      </c>
      <c r="B2693" s="303" t="str">
        <f t="shared" si="42"/>
        <v>x06002188</v>
      </c>
      <c r="C2693" t="s">
        <v>4</v>
      </c>
      <c r="D2693" t="s">
        <v>8865</v>
      </c>
      <c r="E2693">
        <v>6</v>
      </c>
      <c r="F2693" t="str">
        <f>IF(AND(Entities[[#This Row],[ENT_TYPE]]="County",RIGHT(Entities[[#This Row],[ENT_NAME]],6)&lt;&gt;"County"),_xlfn.TEXTJOIN(" ",TRUE,Entities[[#This Row],[ENT_NAME]],"County"),Entities[[#This Row],[ENT_NAME]])</f>
        <v>Harris County MUD 540</v>
      </c>
    </row>
    <row r="2694" spans="1:6" x14ac:dyDescent="0.25">
      <c r="A2694" s="302" t="s">
        <v>8866</v>
      </c>
      <c r="B2694" s="303" t="str">
        <f t="shared" si="42"/>
        <v>x06002189</v>
      </c>
      <c r="C2694" t="s">
        <v>4</v>
      </c>
      <c r="D2694" t="s">
        <v>8867</v>
      </c>
      <c r="E2694">
        <v>6</v>
      </c>
      <c r="F2694" t="str">
        <f>IF(AND(Entities[[#This Row],[ENT_TYPE]]="County",RIGHT(Entities[[#This Row],[ENT_NAME]],6)&lt;&gt;"County"),_xlfn.TEXTJOIN(" ",TRUE,Entities[[#This Row],[ENT_NAME]],"County"),Entities[[#This Row],[ENT_NAME]])</f>
        <v>Waller County MUD 33</v>
      </c>
    </row>
    <row r="2695" spans="1:6" x14ac:dyDescent="0.25">
      <c r="A2695" s="304" t="s">
        <v>8868</v>
      </c>
      <c r="B2695" s="303" t="str">
        <f t="shared" si="42"/>
        <v>x06002193</v>
      </c>
      <c r="C2695" t="s">
        <v>4</v>
      </c>
      <c r="D2695" t="s">
        <v>8869</v>
      </c>
      <c r="E2695">
        <v>6</v>
      </c>
      <c r="F2695" t="str">
        <f>IF(AND(Entities[[#This Row],[ENT_TYPE]]="County",RIGHT(Entities[[#This Row],[ENT_NAME]],6)&lt;&gt;"County"),_xlfn.TEXTJOIN(" ",TRUE,Entities[[#This Row],[ENT_NAME]],"County"),Entities[[#This Row],[ENT_NAME]])</f>
        <v>Montgomery County MUD 154A</v>
      </c>
    </row>
    <row r="2696" spans="1:6" x14ac:dyDescent="0.25">
      <c r="A2696" s="302" t="s">
        <v>8870</v>
      </c>
      <c r="B2696" s="303" t="str">
        <f t="shared" si="42"/>
        <v>x06002194</v>
      </c>
      <c r="C2696" t="s">
        <v>4</v>
      </c>
      <c r="D2696" t="s">
        <v>8871</v>
      </c>
      <c r="E2696">
        <v>6</v>
      </c>
      <c r="F2696" t="str">
        <f>IF(AND(Entities[[#This Row],[ENT_TYPE]]="County",RIGHT(Entities[[#This Row],[ENT_NAME]],6)&lt;&gt;"County"),_xlfn.TEXTJOIN(" ",TRUE,Entities[[#This Row],[ENT_NAME]],"County"),Entities[[#This Row],[ENT_NAME]])</f>
        <v>Brazoria County MUD 73</v>
      </c>
    </row>
    <row r="2697" spans="1:6" x14ac:dyDescent="0.25">
      <c r="A2697" s="304" t="s">
        <v>8872</v>
      </c>
      <c r="B2697" s="303" t="str">
        <f t="shared" si="42"/>
        <v>x06002195</v>
      </c>
      <c r="C2697" t="s">
        <v>4</v>
      </c>
      <c r="D2697" t="s">
        <v>8873</v>
      </c>
      <c r="E2697">
        <v>6</v>
      </c>
      <c r="F2697" t="str">
        <f>IF(AND(Entities[[#This Row],[ENT_TYPE]]="County",RIGHT(Entities[[#This Row],[ENT_NAME]],6)&lt;&gt;"County"),_xlfn.TEXTJOIN(" ",TRUE,Entities[[#This Row],[ENT_NAME]],"County"),Entities[[#This Row],[ENT_NAME]])</f>
        <v>Harris County MUD 495</v>
      </c>
    </row>
    <row r="2698" spans="1:6" x14ac:dyDescent="0.25">
      <c r="A2698" s="302" t="s">
        <v>8874</v>
      </c>
      <c r="B2698" s="303" t="str">
        <f t="shared" si="42"/>
        <v>x06002196</v>
      </c>
      <c r="C2698" t="s">
        <v>4</v>
      </c>
      <c r="D2698" t="s">
        <v>8875</v>
      </c>
      <c r="E2698">
        <v>6</v>
      </c>
      <c r="F2698" t="str">
        <f>IF(AND(Entities[[#This Row],[ENT_TYPE]]="County",RIGHT(Entities[[#This Row],[ENT_NAME]],6)&lt;&gt;"County"),_xlfn.TEXTJOIN(" ",TRUE,Entities[[#This Row],[ENT_NAME]],"County"),Entities[[#This Row],[ENT_NAME]])</f>
        <v>Harris County Improvemend District 25</v>
      </c>
    </row>
    <row r="2699" spans="1:6" x14ac:dyDescent="0.25">
      <c r="A2699" s="304" t="s">
        <v>8876</v>
      </c>
      <c r="B2699" s="303" t="str">
        <f t="shared" si="42"/>
        <v>x06002197</v>
      </c>
      <c r="C2699" t="s">
        <v>4</v>
      </c>
      <c r="D2699" t="s">
        <v>8877</v>
      </c>
      <c r="E2699">
        <v>6</v>
      </c>
      <c r="F2699" t="str">
        <f>IF(AND(Entities[[#This Row],[ENT_TYPE]]="County",RIGHT(Entities[[#This Row],[ENT_NAME]],6)&lt;&gt;"County"),_xlfn.TEXTJOIN(" ",TRUE,Entities[[#This Row],[ENT_NAME]],"County"),Entities[[#This Row],[ENT_NAME]])</f>
        <v>Harris County MUD 64</v>
      </c>
    </row>
    <row r="2700" spans="1:6" x14ac:dyDescent="0.25">
      <c r="A2700" s="304" t="s">
        <v>8878</v>
      </c>
      <c r="B2700" s="303" t="str">
        <f t="shared" si="42"/>
        <v>x06002199</v>
      </c>
      <c r="C2700" t="s">
        <v>4</v>
      </c>
      <c r="D2700" t="s">
        <v>8879</v>
      </c>
      <c r="E2700">
        <v>6</v>
      </c>
      <c r="F2700" t="str">
        <f>IF(AND(Entities[[#This Row],[ENT_TYPE]]="County",RIGHT(Entities[[#This Row],[ENT_NAME]],6)&lt;&gt;"County"),_xlfn.TEXTJOIN(" ",TRUE,Entities[[#This Row],[ENT_NAME]],"County"),Entities[[#This Row],[ENT_NAME]])</f>
        <v>Trinity Lakes MUD of Montgomery County</v>
      </c>
    </row>
    <row r="2701" spans="1:6" x14ac:dyDescent="0.25">
      <c r="A2701" s="302" t="s">
        <v>8880</v>
      </c>
      <c r="B2701" s="303" t="str">
        <f t="shared" si="42"/>
        <v>x06002205</v>
      </c>
      <c r="C2701" t="s">
        <v>4</v>
      </c>
      <c r="D2701" t="s">
        <v>8881</v>
      </c>
      <c r="E2701">
        <v>6</v>
      </c>
      <c r="F2701" t="str">
        <f>IF(AND(Entities[[#This Row],[ENT_TYPE]]="County",RIGHT(Entities[[#This Row],[ENT_NAME]],6)&lt;&gt;"County"),_xlfn.TEXTJOIN(" ",TRUE,Entities[[#This Row],[ENT_NAME]],"County"),Entities[[#This Row],[ENT_NAME]])</f>
        <v>Brazoria County MUD 40</v>
      </c>
    </row>
    <row r="2702" spans="1:6" x14ac:dyDescent="0.25">
      <c r="A2702" s="304" t="s">
        <v>8882</v>
      </c>
      <c r="B2702" s="303" t="str">
        <f t="shared" si="42"/>
        <v>x06002206</v>
      </c>
      <c r="C2702" t="s">
        <v>4</v>
      </c>
      <c r="D2702" t="s">
        <v>8883</v>
      </c>
      <c r="E2702">
        <v>6</v>
      </c>
      <c r="F2702" t="str">
        <f>IF(AND(Entities[[#This Row],[ENT_TYPE]]="County",RIGHT(Entities[[#This Row],[ENT_NAME]],6)&lt;&gt;"County"),_xlfn.TEXTJOIN(" ",TRUE,Entities[[#This Row],[ENT_NAME]],"County"),Entities[[#This Row],[ENT_NAME]])</f>
        <v>Greens Parkway MUD</v>
      </c>
    </row>
    <row r="2703" spans="1:6" x14ac:dyDescent="0.25">
      <c r="A2703" s="302" t="s">
        <v>8884</v>
      </c>
      <c r="B2703" s="303" t="str">
        <f t="shared" si="42"/>
        <v>x06002207</v>
      </c>
      <c r="C2703" t="s">
        <v>4</v>
      </c>
      <c r="D2703" t="s">
        <v>8885</v>
      </c>
      <c r="E2703">
        <v>6</v>
      </c>
      <c r="F2703" t="str">
        <f>IF(AND(Entities[[#This Row],[ENT_TYPE]]="County",RIGHT(Entities[[#This Row],[ENT_NAME]],6)&lt;&gt;"County"),_xlfn.TEXTJOIN(" ",TRUE,Entities[[#This Row],[ENT_NAME]],"County"),Entities[[#This Row],[ENT_NAME]])</f>
        <v>Harris County MUD 230</v>
      </c>
    </row>
    <row r="2704" spans="1:6" x14ac:dyDescent="0.25">
      <c r="A2704" s="304" t="s">
        <v>8886</v>
      </c>
      <c r="B2704" s="303" t="str">
        <f t="shared" si="42"/>
        <v>x06002209</v>
      </c>
      <c r="C2704" t="s">
        <v>4</v>
      </c>
      <c r="D2704" t="s">
        <v>8887</v>
      </c>
      <c r="E2704">
        <v>6</v>
      </c>
      <c r="F2704" t="str">
        <f>IF(AND(Entities[[#This Row],[ENT_TYPE]]="County",RIGHT(Entities[[#This Row],[ENT_NAME]],6)&lt;&gt;"County"),_xlfn.TEXTJOIN(" ",TRUE,Entities[[#This Row],[ENT_NAME]],"County"),Entities[[#This Row],[ENT_NAME]])</f>
        <v>Harris County MUD 196</v>
      </c>
    </row>
    <row r="2705" spans="1:6" x14ac:dyDescent="0.25">
      <c r="A2705" s="302" t="s">
        <v>8888</v>
      </c>
      <c r="B2705" s="303" t="str">
        <f t="shared" si="42"/>
        <v>x06002210</v>
      </c>
      <c r="C2705" t="s">
        <v>4</v>
      </c>
      <c r="D2705" t="s">
        <v>8889</v>
      </c>
      <c r="E2705">
        <v>6</v>
      </c>
      <c r="F2705" t="str">
        <f>IF(AND(Entities[[#This Row],[ENT_TYPE]]="County",RIGHT(Entities[[#This Row],[ENT_NAME]],6)&lt;&gt;"County"),_xlfn.TEXTJOIN(" ",TRUE,Entities[[#This Row],[ENT_NAME]],"County"),Entities[[#This Row],[ENT_NAME]])</f>
        <v>Montgomery County MUD 180</v>
      </c>
    </row>
    <row r="2706" spans="1:6" x14ac:dyDescent="0.25">
      <c r="A2706" s="304" t="s">
        <v>8890</v>
      </c>
      <c r="B2706" s="303" t="str">
        <f t="shared" si="42"/>
        <v>x06002212</v>
      </c>
      <c r="C2706" t="s">
        <v>4</v>
      </c>
      <c r="D2706" t="s">
        <v>8891</v>
      </c>
      <c r="E2706">
        <v>6</v>
      </c>
      <c r="F2706" t="str">
        <f>IF(AND(Entities[[#This Row],[ENT_TYPE]]="County",RIGHT(Entities[[#This Row],[ENT_NAME]],6)&lt;&gt;"County"),_xlfn.TEXTJOIN(" ",TRUE,Entities[[#This Row],[ENT_NAME]],"County"),Entities[[#This Row],[ENT_NAME]])</f>
        <v>Harris County MUD 423</v>
      </c>
    </row>
    <row r="2707" spans="1:6" x14ac:dyDescent="0.25">
      <c r="A2707" s="304" t="s">
        <v>8892</v>
      </c>
      <c r="B2707" s="303" t="str">
        <f t="shared" si="42"/>
        <v>x06002214</v>
      </c>
      <c r="C2707" t="s">
        <v>4</v>
      </c>
      <c r="D2707" t="s">
        <v>8893</v>
      </c>
      <c r="E2707">
        <v>6</v>
      </c>
      <c r="F2707" t="str">
        <f>IF(AND(Entities[[#This Row],[ENT_TYPE]]="County",RIGHT(Entities[[#This Row],[ENT_NAME]],6)&lt;&gt;"County"),_xlfn.TEXTJOIN(" ",TRUE,Entities[[#This Row],[ENT_NAME]],"County"),Entities[[#This Row],[ENT_NAME]])</f>
        <v>Montgomery County MUD 108</v>
      </c>
    </row>
    <row r="2708" spans="1:6" x14ac:dyDescent="0.25">
      <c r="A2708" s="302" t="s">
        <v>8894</v>
      </c>
      <c r="B2708" s="303" t="str">
        <f t="shared" si="42"/>
        <v>x06002215</v>
      </c>
      <c r="C2708" t="s">
        <v>4</v>
      </c>
      <c r="D2708" t="s">
        <v>8895</v>
      </c>
      <c r="E2708">
        <v>6</v>
      </c>
      <c r="F2708" t="str">
        <f>IF(AND(Entities[[#This Row],[ENT_TYPE]]="County",RIGHT(Entities[[#This Row],[ENT_NAME]],6)&lt;&gt;"County"),_xlfn.TEXTJOIN(" ",TRUE,Entities[[#This Row],[ENT_NAME]],"County"),Entities[[#This Row],[ENT_NAME]])</f>
        <v>Montgomery County MUD 166</v>
      </c>
    </row>
    <row r="2709" spans="1:6" x14ac:dyDescent="0.25">
      <c r="A2709" s="304" t="s">
        <v>8896</v>
      </c>
      <c r="B2709" s="303" t="str">
        <f t="shared" si="42"/>
        <v>x06002219</v>
      </c>
      <c r="C2709" t="s">
        <v>4</v>
      </c>
      <c r="D2709" t="s">
        <v>8897</v>
      </c>
      <c r="E2709">
        <v>6</v>
      </c>
      <c r="F2709" t="str">
        <f>IF(AND(Entities[[#This Row],[ENT_TYPE]]="County",RIGHT(Entities[[#This Row],[ENT_NAME]],6)&lt;&gt;"County"),_xlfn.TEXTJOIN(" ",TRUE,Entities[[#This Row],[ENT_NAME]],"County"),Entities[[#This Row],[ENT_NAME]])</f>
        <v>Galveston County MUD 56</v>
      </c>
    </row>
    <row r="2710" spans="1:6" x14ac:dyDescent="0.25">
      <c r="A2710" s="302" t="s">
        <v>8898</v>
      </c>
      <c r="B2710" s="303" t="str">
        <f t="shared" si="42"/>
        <v>x06002228</v>
      </c>
      <c r="C2710" t="s">
        <v>4</v>
      </c>
      <c r="D2710" t="s">
        <v>8899</v>
      </c>
      <c r="E2710">
        <v>6</v>
      </c>
      <c r="F2710" t="str">
        <f>IF(AND(Entities[[#This Row],[ENT_TYPE]]="County",RIGHT(Entities[[#This Row],[ENT_NAME]],6)&lt;&gt;"County"),_xlfn.TEXTJOIN(" ",TRUE,Entities[[#This Row],[ENT_NAME]],"County"),Entities[[#This Row],[ENT_NAME]])</f>
        <v>Green Tree Park MUD</v>
      </c>
    </row>
    <row r="2711" spans="1:6" x14ac:dyDescent="0.25">
      <c r="A2711" s="304" t="s">
        <v>8900</v>
      </c>
      <c r="B2711" s="303" t="str">
        <f t="shared" si="42"/>
        <v>x06002230</v>
      </c>
      <c r="C2711" t="s">
        <v>4</v>
      </c>
      <c r="D2711" t="s">
        <v>8901</v>
      </c>
      <c r="E2711">
        <v>6</v>
      </c>
      <c r="F2711" t="str">
        <f>IF(AND(Entities[[#This Row],[ENT_TYPE]]="County",RIGHT(Entities[[#This Row],[ENT_NAME]],6)&lt;&gt;"County"),_xlfn.TEXTJOIN(" ",TRUE,Entities[[#This Row],[ENT_NAME]],"County"),Entities[[#This Row],[ENT_NAME]])</f>
        <v>Harris County MUD 553</v>
      </c>
    </row>
    <row r="2712" spans="1:6" x14ac:dyDescent="0.25">
      <c r="A2712" s="302" t="s">
        <v>8902</v>
      </c>
      <c r="B2712" s="303" t="str">
        <f t="shared" si="42"/>
        <v>x06002232</v>
      </c>
      <c r="C2712" t="s">
        <v>4</v>
      </c>
      <c r="D2712" t="s">
        <v>8903</v>
      </c>
      <c r="E2712">
        <v>6</v>
      </c>
      <c r="F2712" t="str">
        <f>IF(AND(Entities[[#This Row],[ENT_TYPE]]="County",RIGHT(Entities[[#This Row],[ENT_NAME]],6)&lt;&gt;"County"),_xlfn.TEXTJOIN(" ",TRUE,Entities[[#This Row],[ENT_NAME]],"County"),Entities[[#This Row],[ENT_NAME]])</f>
        <v>East Montgomery County MUD 12</v>
      </c>
    </row>
    <row r="2713" spans="1:6" x14ac:dyDescent="0.25">
      <c r="A2713" s="302" t="s">
        <v>8904</v>
      </c>
      <c r="B2713" s="303" t="str">
        <f t="shared" si="42"/>
        <v>x06002237</v>
      </c>
      <c r="C2713" t="s">
        <v>4</v>
      </c>
      <c r="D2713" t="s">
        <v>8905</v>
      </c>
      <c r="E2713">
        <v>6</v>
      </c>
      <c r="F2713" t="str">
        <f>IF(AND(Entities[[#This Row],[ENT_TYPE]]="County",RIGHT(Entities[[#This Row],[ENT_NAME]],6)&lt;&gt;"County"),_xlfn.TEXTJOIN(" ",TRUE,Entities[[#This Row],[ENT_NAME]],"County"),Entities[[#This Row],[ENT_NAME]])</f>
        <v>City of Kemah MMD 1</v>
      </c>
    </row>
    <row r="2714" spans="1:6" x14ac:dyDescent="0.25">
      <c r="A2714" s="304" t="s">
        <v>8906</v>
      </c>
      <c r="B2714" s="303" t="str">
        <f t="shared" si="42"/>
        <v>x06002238</v>
      </c>
      <c r="C2714" t="s">
        <v>4</v>
      </c>
      <c r="D2714" t="s">
        <v>8907</v>
      </c>
      <c r="E2714">
        <v>6</v>
      </c>
      <c r="F2714" t="str">
        <f>IF(AND(Entities[[#This Row],[ENT_TYPE]]="County",RIGHT(Entities[[#This Row],[ENT_NAME]],6)&lt;&gt;"County"),_xlfn.TEXTJOIN(" ",TRUE,Entities[[#This Row],[ENT_NAME]],"County"),Entities[[#This Row],[ENT_NAME]])</f>
        <v>Montgomery County MUD 158</v>
      </c>
    </row>
    <row r="2715" spans="1:6" x14ac:dyDescent="0.25">
      <c r="A2715" s="302" t="s">
        <v>8908</v>
      </c>
      <c r="B2715" s="303" t="str">
        <f t="shared" si="42"/>
        <v>x06002239</v>
      </c>
      <c r="C2715" t="s">
        <v>4</v>
      </c>
      <c r="D2715" t="s">
        <v>8909</v>
      </c>
      <c r="E2715">
        <v>6</v>
      </c>
      <c r="F2715" t="str">
        <f>IF(AND(Entities[[#This Row],[ENT_TYPE]]="County",RIGHT(Entities[[#This Row],[ENT_NAME]],6)&lt;&gt;"County"),_xlfn.TEXTJOIN(" ",TRUE,Entities[[#This Row],[ENT_NAME]],"County"),Entities[[#This Row],[ENT_NAME]])</f>
        <v>Montgomery County MUD 179</v>
      </c>
    </row>
    <row r="2716" spans="1:6" x14ac:dyDescent="0.25">
      <c r="A2716" s="304" t="s">
        <v>8910</v>
      </c>
      <c r="B2716" s="303" t="str">
        <f t="shared" si="42"/>
        <v>x06002240</v>
      </c>
      <c r="C2716" t="s">
        <v>4</v>
      </c>
      <c r="D2716" t="s">
        <v>8911</v>
      </c>
      <c r="E2716">
        <v>6</v>
      </c>
      <c r="F2716" t="str">
        <f>IF(AND(Entities[[#This Row],[ENT_TYPE]]="County",RIGHT(Entities[[#This Row],[ENT_NAME]],6)&lt;&gt;"County"),_xlfn.TEXTJOIN(" ",TRUE,Entities[[#This Row],[ENT_NAME]],"County"),Entities[[#This Row],[ENT_NAME]])</f>
        <v>Fort Bend County MUD 34</v>
      </c>
    </row>
    <row r="2717" spans="1:6" x14ac:dyDescent="0.25">
      <c r="A2717" s="302" t="s">
        <v>8912</v>
      </c>
      <c r="B2717" s="303" t="str">
        <f t="shared" si="42"/>
        <v>x06002242</v>
      </c>
      <c r="C2717" t="s">
        <v>4</v>
      </c>
      <c r="D2717" t="s">
        <v>8913</v>
      </c>
      <c r="E2717">
        <v>6</v>
      </c>
      <c r="F2717" t="str">
        <f>IF(AND(Entities[[#This Row],[ENT_TYPE]]="County",RIGHT(Entities[[#This Row],[ENT_NAME]],6)&lt;&gt;"County"),_xlfn.TEXTJOIN(" ",TRUE,Entities[[#This Row],[ENT_NAME]],"County"),Entities[[#This Row],[ENT_NAME]])</f>
        <v>Harris County Improvement District 14</v>
      </c>
    </row>
    <row r="2718" spans="1:6" x14ac:dyDescent="0.25">
      <c r="A2718" s="304" t="s">
        <v>8914</v>
      </c>
      <c r="B2718" s="303" t="str">
        <f t="shared" si="42"/>
        <v>x06002243</v>
      </c>
      <c r="C2718" t="s">
        <v>4</v>
      </c>
      <c r="D2718" t="s">
        <v>8915</v>
      </c>
      <c r="E2718">
        <v>6</v>
      </c>
      <c r="F2718" t="str">
        <f>IF(AND(Entities[[#This Row],[ENT_TYPE]]="County",RIGHT(Entities[[#This Row],[ENT_NAME]],6)&lt;&gt;"County"),_xlfn.TEXTJOIN(" ",TRUE,Entities[[#This Row],[ENT_NAME]],"County"),Entities[[#This Row],[ENT_NAME]])</f>
        <v>Harris County MUD 157</v>
      </c>
    </row>
    <row r="2719" spans="1:6" x14ac:dyDescent="0.25">
      <c r="A2719" s="302" t="s">
        <v>8916</v>
      </c>
      <c r="B2719" s="303" t="str">
        <f t="shared" si="42"/>
        <v>x06002244</v>
      </c>
      <c r="C2719" t="s">
        <v>4</v>
      </c>
      <c r="D2719" t="s">
        <v>8917</v>
      </c>
      <c r="E2719">
        <v>6</v>
      </c>
      <c r="F2719" t="str">
        <f>IF(AND(Entities[[#This Row],[ENT_TYPE]]="County",RIGHT(Entities[[#This Row],[ENT_NAME]],6)&lt;&gt;"County"),_xlfn.TEXTJOIN(" ",TRUE,Entities[[#This Row],[ENT_NAME]],"County"),Entities[[#This Row],[ENT_NAME]])</f>
        <v>Brazoria County MUD 24</v>
      </c>
    </row>
    <row r="2720" spans="1:6" x14ac:dyDescent="0.25">
      <c r="A2720" s="304" t="s">
        <v>8918</v>
      </c>
      <c r="B2720" s="303" t="str">
        <f t="shared" si="42"/>
        <v>x06002245</v>
      </c>
      <c r="C2720" t="s">
        <v>4</v>
      </c>
      <c r="D2720" t="s">
        <v>8919</v>
      </c>
      <c r="E2720">
        <v>6</v>
      </c>
      <c r="F2720" t="str">
        <f>IF(AND(Entities[[#This Row],[ENT_TYPE]]="County",RIGHT(Entities[[#This Row],[ENT_NAME]],6)&lt;&gt;"County"),_xlfn.TEXTJOIN(" ",TRUE,Entities[[#This Row],[ENT_NAME]],"County"),Entities[[#This Row],[ENT_NAME]])</f>
        <v>Harris County MUD 24</v>
      </c>
    </row>
    <row r="2721" spans="1:6" x14ac:dyDescent="0.25">
      <c r="A2721" s="302" t="s">
        <v>8920</v>
      </c>
      <c r="B2721" s="303" t="str">
        <f t="shared" si="42"/>
        <v>x06002246</v>
      </c>
      <c r="C2721" t="s">
        <v>4</v>
      </c>
      <c r="D2721" t="s">
        <v>8921</v>
      </c>
      <c r="E2721">
        <v>6</v>
      </c>
      <c r="F2721" t="str">
        <f>IF(AND(Entities[[#This Row],[ENT_TYPE]]="County",RIGHT(Entities[[#This Row],[ENT_NAME]],6)&lt;&gt;"County"),_xlfn.TEXTJOIN(" ",TRUE,Entities[[#This Row],[ENT_NAME]],"County"),Entities[[#This Row],[ENT_NAME]])</f>
        <v>Montgomery County MUD 155</v>
      </c>
    </row>
    <row r="2722" spans="1:6" x14ac:dyDescent="0.25">
      <c r="A2722" s="304" t="s">
        <v>8922</v>
      </c>
      <c r="B2722" s="303" t="str">
        <f t="shared" si="42"/>
        <v>x06002252</v>
      </c>
      <c r="C2722" t="s">
        <v>4</v>
      </c>
      <c r="D2722" t="s">
        <v>8923</v>
      </c>
      <c r="E2722">
        <v>6</v>
      </c>
      <c r="F2722" t="str">
        <f>IF(AND(Entities[[#This Row],[ENT_TYPE]]="County",RIGHT(Entities[[#This Row],[ENT_NAME]],6)&lt;&gt;"County"),_xlfn.TEXTJOIN(" ",TRUE,Entities[[#This Row],[ENT_NAME]],"County"),Entities[[#This Row],[ENT_NAME]])</f>
        <v>CY Champ PUD</v>
      </c>
    </row>
    <row r="2723" spans="1:6" x14ac:dyDescent="0.25">
      <c r="A2723" s="302" t="s">
        <v>8924</v>
      </c>
      <c r="B2723" s="303" t="str">
        <f t="shared" si="42"/>
        <v>x06002253</v>
      </c>
      <c r="C2723" t="s">
        <v>4</v>
      </c>
      <c r="D2723" t="s">
        <v>8925</v>
      </c>
      <c r="E2723">
        <v>6</v>
      </c>
      <c r="F2723" t="str">
        <f>IF(AND(Entities[[#This Row],[ENT_TYPE]]="County",RIGHT(Entities[[#This Row],[ENT_NAME]],6)&lt;&gt;"County"),_xlfn.TEXTJOIN(" ",TRUE,Entities[[#This Row],[ENT_NAME]],"County"),Entities[[#This Row],[ENT_NAME]])</f>
        <v>Galveston County MUD 59</v>
      </c>
    </row>
    <row r="2724" spans="1:6" x14ac:dyDescent="0.25">
      <c r="A2724" s="304" t="s">
        <v>8926</v>
      </c>
      <c r="B2724" s="303" t="str">
        <f t="shared" si="42"/>
        <v>x06002254</v>
      </c>
      <c r="C2724" t="s">
        <v>4</v>
      </c>
      <c r="D2724" t="s">
        <v>8927</v>
      </c>
      <c r="E2724">
        <v>6</v>
      </c>
      <c r="F2724" t="str">
        <f>IF(AND(Entities[[#This Row],[ENT_TYPE]]="County",RIGHT(Entities[[#This Row],[ENT_NAME]],6)&lt;&gt;"County"),_xlfn.TEXTJOIN(" ",TRUE,Entities[[#This Row],[ENT_NAME]],"County"),Entities[[#This Row],[ENT_NAME]])</f>
        <v>West Harris County MUD 17</v>
      </c>
    </row>
    <row r="2725" spans="1:6" x14ac:dyDescent="0.25">
      <c r="A2725" s="302" t="s">
        <v>8928</v>
      </c>
      <c r="B2725" s="303" t="str">
        <f t="shared" si="42"/>
        <v>x06002256</v>
      </c>
      <c r="C2725" t="s">
        <v>4</v>
      </c>
      <c r="D2725" t="s">
        <v>8929</v>
      </c>
      <c r="E2725">
        <v>6</v>
      </c>
      <c r="F2725" t="str">
        <f>IF(AND(Entities[[#This Row],[ENT_TYPE]]="County",RIGHT(Entities[[#This Row],[ENT_NAME]],6)&lt;&gt;"County"),_xlfn.TEXTJOIN(" ",TRUE,Entities[[#This Row],[ENT_NAME]],"County"),Entities[[#This Row],[ENT_NAME]])</f>
        <v>Tarkington Management District 1</v>
      </c>
    </row>
    <row r="2726" spans="1:6" x14ac:dyDescent="0.25">
      <c r="A2726" s="304" t="s">
        <v>8930</v>
      </c>
      <c r="B2726" s="303" t="str">
        <f t="shared" si="42"/>
        <v>x06002257</v>
      </c>
      <c r="C2726" t="s">
        <v>4</v>
      </c>
      <c r="D2726" t="s">
        <v>8931</v>
      </c>
      <c r="E2726">
        <v>6</v>
      </c>
      <c r="F2726" t="str">
        <f>IF(AND(Entities[[#This Row],[ENT_TYPE]]="County",RIGHT(Entities[[#This Row],[ENT_NAME]],6)&lt;&gt;"County"),_xlfn.TEXTJOIN(" ",TRUE,Entities[[#This Row],[ENT_NAME]],"County"),Entities[[#This Row],[ENT_NAME]])</f>
        <v>Plum Creek Management District 1</v>
      </c>
    </row>
    <row r="2727" spans="1:6" x14ac:dyDescent="0.25">
      <c r="A2727" s="302" t="s">
        <v>8932</v>
      </c>
      <c r="B2727" s="303" t="str">
        <f t="shared" si="42"/>
        <v>x06002258</v>
      </c>
      <c r="C2727" t="s">
        <v>4</v>
      </c>
      <c r="D2727" t="s">
        <v>8933</v>
      </c>
      <c r="E2727">
        <v>6</v>
      </c>
      <c r="F2727" t="str">
        <f>IF(AND(Entities[[#This Row],[ENT_TYPE]]="County",RIGHT(Entities[[#This Row],[ENT_NAME]],6)&lt;&gt;"County"),_xlfn.TEXTJOIN(" ",TRUE,Entities[[#This Row],[ENT_NAME]],"County"),Entities[[#This Row],[ENT_NAME]])</f>
        <v>Montgomery County MUD 176</v>
      </c>
    </row>
    <row r="2728" spans="1:6" x14ac:dyDescent="0.25">
      <c r="A2728" s="304" t="s">
        <v>8934</v>
      </c>
      <c r="B2728" s="303" t="str">
        <f t="shared" si="42"/>
        <v>x06002259</v>
      </c>
      <c r="C2728" t="s">
        <v>4</v>
      </c>
      <c r="D2728" t="s">
        <v>8935</v>
      </c>
      <c r="E2728">
        <v>6</v>
      </c>
      <c r="F2728" t="str">
        <f>IF(AND(Entities[[#This Row],[ENT_TYPE]]="County",RIGHT(Entities[[#This Row],[ENT_NAME]],6)&lt;&gt;"County"),_xlfn.TEXTJOIN(" ",TRUE,Entities[[#This Row],[ENT_NAME]],"County"),Entities[[#This Row],[ENT_NAME]])</f>
        <v>Harris County Improvement District 24</v>
      </c>
    </row>
    <row r="2729" spans="1:6" x14ac:dyDescent="0.25">
      <c r="A2729" s="302" t="s">
        <v>8936</v>
      </c>
      <c r="B2729" s="303" t="str">
        <f t="shared" si="42"/>
        <v>x06002260</v>
      </c>
      <c r="C2729" t="s">
        <v>4</v>
      </c>
      <c r="D2729" t="s">
        <v>8937</v>
      </c>
      <c r="E2729">
        <v>6</v>
      </c>
      <c r="F2729" t="str">
        <f>IF(AND(Entities[[#This Row],[ENT_TYPE]]="County",RIGHT(Entities[[#This Row],[ENT_NAME]],6)&lt;&gt;"County"),_xlfn.TEXTJOIN(" ",TRUE,Entities[[#This Row],[ENT_NAME]],"County"),Entities[[#This Row],[ENT_NAME]])</f>
        <v>Harris County MUD 165</v>
      </c>
    </row>
    <row r="2730" spans="1:6" x14ac:dyDescent="0.25">
      <c r="A2730" s="304" t="s">
        <v>8938</v>
      </c>
      <c r="B2730" s="303" t="str">
        <f t="shared" si="42"/>
        <v>x06002261</v>
      </c>
      <c r="C2730" t="s">
        <v>4</v>
      </c>
      <c r="D2730" t="s">
        <v>8939</v>
      </c>
      <c r="E2730">
        <v>6</v>
      </c>
      <c r="F2730" t="str">
        <f>IF(AND(Entities[[#This Row],[ENT_TYPE]]="County",RIGHT(Entities[[#This Row],[ENT_NAME]],6)&lt;&gt;"County"),_xlfn.TEXTJOIN(" ",TRUE,Entities[[#This Row],[ENT_NAME]],"County"),Entities[[#This Row],[ENT_NAME]])</f>
        <v>Northwest Harris County MUD 15</v>
      </c>
    </row>
    <row r="2731" spans="1:6" x14ac:dyDescent="0.25">
      <c r="A2731" s="302" t="s">
        <v>8940</v>
      </c>
      <c r="B2731" s="303" t="str">
        <f t="shared" si="42"/>
        <v>x06002262</v>
      </c>
      <c r="C2731" t="s">
        <v>4</v>
      </c>
      <c r="D2731" t="s">
        <v>8941</v>
      </c>
      <c r="E2731">
        <v>6</v>
      </c>
      <c r="F2731" t="str">
        <f>IF(AND(Entities[[#This Row],[ENT_TYPE]]="County",RIGHT(Entities[[#This Row],[ENT_NAME]],6)&lt;&gt;"County"),_xlfn.TEXTJOIN(" ",TRUE,Entities[[#This Row],[ENT_NAME]],"County"),Entities[[#This Row],[ENT_NAME]])</f>
        <v>West Harris County MUD 21</v>
      </c>
    </row>
    <row r="2732" spans="1:6" x14ac:dyDescent="0.25">
      <c r="A2732" s="302" t="s">
        <v>8942</v>
      </c>
      <c r="B2732" s="303" t="str">
        <f t="shared" si="42"/>
        <v>x06002269</v>
      </c>
      <c r="C2732" t="s">
        <v>4</v>
      </c>
      <c r="D2732" t="s">
        <v>8943</v>
      </c>
      <c r="E2732">
        <v>6</v>
      </c>
      <c r="F2732" t="str">
        <f>IF(AND(Entities[[#This Row],[ENT_TYPE]]="County",RIGHT(Entities[[#This Row],[ENT_NAME]],6)&lt;&gt;"County"),_xlfn.TEXTJOIN(" ",TRUE,Entities[[#This Row],[ENT_NAME]],"County"),Entities[[#This Row],[ENT_NAME]])</f>
        <v>Liberty County MMD 1</v>
      </c>
    </row>
    <row r="2733" spans="1:6" x14ac:dyDescent="0.25">
      <c r="A2733" s="304" t="s">
        <v>8944</v>
      </c>
      <c r="B2733" s="303" t="str">
        <f t="shared" si="42"/>
        <v>x06002272</v>
      </c>
      <c r="C2733" t="s">
        <v>4</v>
      </c>
      <c r="D2733" t="s">
        <v>8863</v>
      </c>
      <c r="E2733">
        <v>6</v>
      </c>
      <c r="F2733" t="str">
        <f>IF(AND(Entities[[#This Row],[ENT_TYPE]]="County",RIGHT(Entities[[#This Row],[ENT_NAME]],6)&lt;&gt;"County"),_xlfn.TEXTJOIN(" ",TRUE,Entities[[#This Row],[ENT_NAME]],"County"),Entities[[#This Row],[ENT_NAME]])</f>
        <v>Harris County MUD 544</v>
      </c>
    </row>
    <row r="2734" spans="1:6" x14ac:dyDescent="0.25">
      <c r="A2734" s="302" t="s">
        <v>8945</v>
      </c>
      <c r="B2734" s="303" t="str">
        <f t="shared" si="42"/>
        <v>x06002274</v>
      </c>
      <c r="C2734" t="s">
        <v>4</v>
      </c>
      <c r="D2734" t="s">
        <v>8946</v>
      </c>
      <c r="E2734">
        <v>6</v>
      </c>
      <c r="F2734" t="str">
        <f>IF(AND(Entities[[#This Row],[ENT_TYPE]]="County",RIGHT(Entities[[#This Row],[ENT_NAME]],6)&lt;&gt;"County"),_xlfn.TEXTJOIN(" ",TRUE,Entities[[#This Row],[ENT_NAME]],"County"),Entities[[#This Row],[ENT_NAME]])</f>
        <v>Harris County FWSD 1A</v>
      </c>
    </row>
    <row r="2735" spans="1:6" x14ac:dyDescent="0.25">
      <c r="A2735" s="304" t="s">
        <v>8947</v>
      </c>
      <c r="B2735" s="303" t="str">
        <f t="shared" si="42"/>
        <v>x06002276</v>
      </c>
      <c r="C2735" t="s">
        <v>4</v>
      </c>
      <c r="D2735" t="s">
        <v>8948</v>
      </c>
      <c r="E2735">
        <v>6</v>
      </c>
      <c r="F2735" t="str">
        <f>IF(AND(Entities[[#This Row],[ENT_TYPE]]="County",RIGHT(Entities[[#This Row],[ENT_NAME]],6)&lt;&gt;"County"),_xlfn.TEXTJOIN(" ",TRUE,Entities[[#This Row],[ENT_NAME]],"County"),Entities[[#This Row],[ENT_NAME]])</f>
        <v>Montgomery County WCID 4</v>
      </c>
    </row>
    <row r="2736" spans="1:6" x14ac:dyDescent="0.25">
      <c r="A2736" s="302" t="s">
        <v>8949</v>
      </c>
      <c r="B2736" s="303" t="str">
        <f t="shared" si="42"/>
        <v>x06002278</v>
      </c>
      <c r="C2736" t="s">
        <v>4</v>
      </c>
      <c r="D2736" t="s">
        <v>8950</v>
      </c>
      <c r="E2736">
        <v>6</v>
      </c>
      <c r="F2736" t="str">
        <f>IF(AND(Entities[[#This Row],[ENT_TYPE]]="County",RIGHT(Entities[[#This Row],[ENT_NAME]],6)&lt;&gt;"County"),_xlfn.TEXTJOIN(" ",TRUE,Entities[[#This Row],[ENT_NAME]],"County"),Entities[[#This Row],[ENT_NAME]])</f>
        <v>Harris County MUD 565</v>
      </c>
    </row>
    <row r="2737" spans="1:6" x14ac:dyDescent="0.25">
      <c r="A2737" s="304" t="s">
        <v>8951</v>
      </c>
      <c r="B2737" s="303" t="str">
        <f t="shared" si="42"/>
        <v>x06002279</v>
      </c>
      <c r="C2737" t="s">
        <v>4</v>
      </c>
      <c r="D2737" t="s">
        <v>8952</v>
      </c>
      <c r="E2737">
        <v>6</v>
      </c>
      <c r="F2737" t="str">
        <f>IF(AND(Entities[[#This Row],[ENT_TYPE]]="County",RIGHT(Entities[[#This Row],[ENT_NAME]],6)&lt;&gt;"County"),_xlfn.TEXTJOIN(" ",TRUE,Entities[[#This Row],[ENT_NAME]],"County"),Entities[[#This Row],[ENT_NAME]])</f>
        <v>Harris Waller Counties MUD 4</v>
      </c>
    </row>
    <row r="2738" spans="1:6" x14ac:dyDescent="0.25">
      <c r="A2738" s="304" t="s">
        <v>8953</v>
      </c>
      <c r="B2738" s="303" t="str">
        <f t="shared" si="42"/>
        <v>x06002287</v>
      </c>
      <c r="C2738" t="s">
        <v>4</v>
      </c>
      <c r="D2738" t="s">
        <v>8954</v>
      </c>
      <c r="E2738">
        <v>6</v>
      </c>
      <c r="F2738" t="str">
        <f>IF(AND(Entities[[#This Row],[ENT_TYPE]]="County",RIGHT(Entities[[#This Row],[ENT_NAME]],6)&lt;&gt;"County"),_xlfn.TEXTJOIN(" ",TRUE,Entities[[#This Row],[ENT_NAME]],"County"),Entities[[#This Row],[ENT_NAME]])</f>
        <v>Harris County MUD 248</v>
      </c>
    </row>
    <row r="2739" spans="1:6" x14ac:dyDescent="0.25">
      <c r="A2739" s="302" t="s">
        <v>8955</v>
      </c>
      <c r="B2739" s="303" t="str">
        <f t="shared" si="42"/>
        <v>x06002288</v>
      </c>
      <c r="C2739" t="s">
        <v>4</v>
      </c>
      <c r="D2739" t="s">
        <v>8956</v>
      </c>
      <c r="E2739">
        <v>6</v>
      </c>
      <c r="F2739" t="str">
        <f>IF(AND(Entities[[#This Row],[ENT_TYPE]]="County",RIGHT(Entities[[#This Row],[ENT_NAME]],6)&lt;&gt;"County"),_xlfn.TEXTJOIN(" ",TRUE,Entities[[#This Row],[ENT_NAME]],"County"),Entities[[#This Row],[ENT_NAME]])</f>
        <v>Northwest Harris County MUD 10</v>
      </c>
    </row>
    <row r="2740" spans="1:6" x14ac:dyDescent="0.25">
      <c r="A2740" s="304" t="s">
        <v>8957</v>
      </c>
      <c r="B2740" s="303" t="str">
        <f t="shared" si="42"/>
        <v>x06002290</v>
      </c>
      <c r="C2740" t="s">
        <v>4</v>
      </c>
      <c r="D2740" t="s">
        <v>8958</v>
      </c>
      <c r="E2740">
        <v>6</v>
      </c>
      <c r="F2740" t="str">
        <f>IF(AND(Entities[[#This Row],[ENT_TYPE]]="County",RIGHT(Entities[[#This Row],[ENT_NAME]],6)&lt;&gt;"County"),_xlfn.TEXTJOIN(" ",TRUE,Entities[[#This Row],[ENT_NAME]],"County"),Entities[[#This Row],[ENT_NAME]])</f>
        <v>Lakewood MUD 2</v>
      </c>
    </row>
    <row r="2741" spans="1:6" x14ac:dyDescent="0.25">
      <c r="A2741" s="302" t="s">
        <v>8959</v>
      </c>
      <c r="B2741" s="303" t="str">
        <f t="shared" si="42"/>
        <v>x06002291</v>
      </c>
      <c r="C2741" t="s">
        <v>4</v>
      </c>
      <c r="D2741" t="s">
        <v>8960</v>
      </c>
      <c r="E2741">
        <v>6</v>
      </c>
      <c r="F2741" t="str">
        <f>IF(AND(Entities[[#This Row],[ENT_TYPE]]="County",RIGHT(Entities[[#This Row],[ENT_NAME]],6)&lt;&gt;"County"),_xlfn.TEXTJOIN(" ",TRUE,Entities[[#This Row],[ENT_NAME]],"County"),Entities[[#This Row],[ENT_NAME]])</f>
        <v>Montgomery County MUD 105</v>
      </c>
    </row>
    <row r="2742" spans="1:6" x14ac:dyDescent="0.25">
      <c r="A2742" s="304" t="s">
        <v>8961</v>
      </c>
      <c r="B2742" s="303" t="str">
        <f t="shared" si="42"/>
        <v>x06002292</v>
      </c>
      <c r="C2742" t="s">
        <v>4</v>
      </c>
      <c r="D2742" t="s">
        <v>8962</v>
      </c>
      <c r="E2742">
        <v>6</v>
      </c>
      <c r="F2742" t="str">
        <f>IF(AND(Entities[[#This Row],[ENT_TYPE]]="County",RIGHT(Entities[[#This Row],[ENT_NAME]],6)&lt;&gt;"County"),_xlfn.TEXTJOIN(" ",TRUE,Entities[[#This Row],[ENT_NAME]],"County"),Entities[[#This Row],[ENT_NAME]])</f>
        <v>Montgomery County MUD 112</v>
      </c>
    </row>
    <row r="2743" spans="1:6" x14ac:dyDescent="0.25">
      <c r="A2743" s="302" t="s">
        <v>8963</v>
      </c>
      <c r="B2743" s="303" t="str">
        <f t="shared" si="42"/>
        <v>x06002293</v>
      </c>
      <c r="C2743" t="s">
        <v>4</v>
      </c>
      <c r="D2743" t="s">
        <v>8964</v>
      </c>
      <c r="E2743">
        <v>6</v>
      </c>
      <c r="F2743" t="str">
        <f>IF(AND(Entities[[#This Row],[ENT_TYPE]]="County",RIGHT(Entities[[#This Row],[ENT_NAME]],6)&lt;&gt;"County"),_xlfn.TEXTJOIN(" ",TRUE,Entities[[#This Row],[ENT_NAME]],"County"),Entities[[#This Row],[ENT_NAME]])</f>
        <v>Montgomery County MUD 121</v>
      </c>
    </row>
    <row r="2744" spans="1:6" x14ac:dyDescent="0.25">
      <c r="A2744" s="302" t="s">
        <v>8965</v>
      </c>
      <c r="B2744" s="303" t="str">
        <f t="shared" si="42"/>
        <v>x06002297</v>
      </c>
      <c r="C2744" t="s">
        <v>4</v>
      </c>
      <c r="D2744" t="s">
        <v>8966</v>
      </c>
      <c r="E2744">
        <v>6</v>
      </c>
      <c r="F2744" t="str">
        <f>IF(AND(Entities[[#This Row],[ENT_TYPE]]="County",RIGHT(Entities[[#This Row],[ENT_NAME]],6)&lt;&gt;"County"),_xlfn.TEXTJOIN(" ",TRUE,Entities[[#This Row],[ENT_NAME]],"County"),Entities[[#This Row],[ENT_NAME]])</f>
        <v>Montgomery County MUD 159</v>
      </c>
    </row>
    <row r="2745" spans="1:6" x14ac:dyDescent="0.25">
      <c r="A2745" s="304" t="s">
        <v>8967</v>
      </c>
      <c r="B2745" s="303" t="str">
        <f t="shared" si="42"/>
        <v>x06002298</v>
      </c>
      <c r="C2745" t="s">
        <v>4</v>
      </c>
      <c r="D2745" t="s">
        <v>8968</v>
      </c>
      <c r="E2745">
        <v>6</v>
      </c>
      <c r="F2745" t="str">
        <f>IF(AND(Entities[[#This Row],[ENT_TYPE]]="County",RIGHT(Entities[[#This Row],[ENT_NAME]],6)&lt;&gt;"County"),_xlfn.TEXTJOIN(" ",TRUE,Entities[[#This Row],[ENT_NAME]],"County"),Entities[[#This Row],[ENT_NAME]])</f>
        <v>Lakewood MUD 3</v>
      </c>
    </row>
    <row r="2746" spans="1:6" x14ac:dyDescent="0.25">
      <c r="A2746" s="302" t="s">
        <v>8969</v>
      </c>
      <c r="B2746" s="303" t="str">
        <f t="shared" si="42"/>
        <v>x06002299</v>
      </c>
      <c r="C2746" t="s">
        <v>4</v>
      </c>
      <c r="D2746" t="s">
        <v>8970</v>
      </c>
      <c r="E2746">
        <v>6</v>
      </c>
      <c r="F2746" t="str">
        <f>IF(AND(Entities[[#This Row],[ENT_TYPE]]="County",RIGHT(Entities[[#This Row],[ENT_NAME]],6)&lt;&gt;"County"),_xlfn.TEXTJOIN(" ",TRUE,Entities[[#This Row],[ENT_NAME]],"County"),Entities[[#This Row],[ENT_NAME]])</f>
        <v>Lakewood Improvement District</v>
      </c>
    </row>
    <row r="2747" spans="1:6" x14ac:dyDescent="0.25">
      <c r="A2747" s="304" t="s">
        <v>8971</v>
      </c>
      <c r="B2747" s="303" t="str">
        <f t="shared" si="42"/>
        <v>x06002303</v>
      </c>
      <c r="C2747" t="s">
        <v>4</v>
      </c>
      <c r="D2747" t="s">
        <v>8972</v>
      </c>
      <c r="E2747">
        <v>6</v>
      </c>
      <c r="F2747" t="str">
        <f>IF(AND(Entities[[#This Row],[ENT_TYPE]]="County",RIGHT(Entities[[#This Row],[ENT_NAME]],6)&lt;&gt;"County"),_xlfn.TEXTJOIN(" ",TRUE,Entities[[#This Row],[ENT_NAME]],"County"),Entities[[#This Row],[ENT_NAME]])</f>
        <v>Harris County MUD 552</v>
      </c>
    </row>
    <row r="2748" spans="1:6" x14ac:dyDescent="0.25">
      <c r="A2748" s="302" t="s">
        <v>8973</v>
      </c>
      <c r="B2748" s="303" t="str">
        <f t="shared" si="42"/>
        <v>x06002304</v>
      </c>
      <c r="C2748" t="s">
        <v>4</v>
      </c>
      <c r="D2748" t="s">
        <v>8974</v>
      </c>
      <c r="E2748">
        <v>6</v>
      </c>
      <c r="F2748" t="str">
        <f>IF(AND(Entities[[#This Row],[ENT_TYPE]]="County",RIGHT(Entities[[#This Row],[ENT_NAME]],6)&lt;&gt;"County"),_xlfn.TEXTJOIN(" ",TRUE,Entities[[#This Row],[ENT_NAME]],"County"),Entities[[#This Row],[ENT_NAME]])</f>
        <v>Brazoria County MUD 69</v>
      </c>
    </row>
    <row r="2749" spans="1:6" x14ac:dyDescent="0.25">
      <c r="A2749" s="304" t="s">
        <v>8975</v>
      </c>
      <c r="B2749" s="303" t="str">
        <f t="shared" si="42"/>
        <v>x06002307</v>
      </c>
      <c r="C2749" t="s">
        <v>4</v>
      </c>
      <c r="D2749" t="s">
        <v>8976</v>
      </c>
      <c r="E2749">
        <v>6</v>
      </c>
      <c r="F2749" t="str">
        <f>IF(AND(Entities[[#This Row],[ENT_TYPE]]="County",RIGHT(Entities[[#This Row],[ENT_NAME]],6)&lt;&gt;"County"),_xlfn.TEXTJOIN(" ",TRUE,Entities[[#This Row],[ENT_NAME]],"County"),Entities[[#This Row],[ENT_NAME]])</f>
        <v>Harris County MUD 569</v>
      </c>
    </row>
    <row r="2750" spans="1:6" x14ac:dyDescent="0.25">
      <c r="A2750" s="302" t="s">
        <v>8977</v>
      </c>
      <c r="B2750" s="303" t="str">
        <f t="shared" si="42"/>
        <v>x06002310</v>
      </c>
      <c r="C2750" t="s">
        <v>4</v>
      </c>
      <c r="D2750" t="s">
        <v>8978</v>
      </c>
      <c r="E2750">
        <v>6</v>
      </c>
      <c r="F2750" t="str">
        <f>IF(AND(Entities[[#This Row],[ENT_TYPE]]="County",RIGHT(Entities[[#This Row],[ENT_NAME]],6)&lt;&gt;"County"),_xlfn.TEXTJOIN(" ",TRUE,Entities[[#This Row],[ENT_NAME]],"County"),Entities[[#This Row],[ENT_NAME]])</f>
        <v>Montgomery County MUD 175</v>
      </c>
    </row>
    <row r="2751" spans="1:6" x14ac:dyDescent="0.25">
      <c r="A2751" s="304" t="s">
        <v>8979</v>
      </c>
      <c r="B2751" s="303" t="str">
        <f t="shared" si="42"/>
        <v>x06002312</v>
      </c>
      <c r="C2751" t="s">
        <v>4</v>
      </c>
      <c r="D2751" t="s">
        <v>8980</v>
      </c>
      <c r="E2751">
        <v>6</v>
      </c>
      <c r="F2751" t="str">
        <f>IF(AND(Entities[[#This Row],[ENT_TYPE]]="County",RIGHT(Entities[[#This Row],[ENT_NAME]],6)&lt;&gt;"County"),_xlfn.TEXTJOIN(" ",TRUE,Entities[[#This Row],[ENT_NAME]],"County"),Entities[[#This Row],[ENT_NAME]])</f>
        <v>Harris County MUD 555</v>
      </c>
    </row>
    <row r="2752" spans="1:6" x14ac:dyDescent="0.25">
      <c r="A2752" s="302" t="s">
        <v>8981</v>
      </c>
      <c r="B2752" s="303" t="str">
        <f t="shared" si="42"/>
        <v>x06002313</v>
      </c>
      <c r="C2752" t="s">
        <v>4</v>
      </c>
      <c r="D2752" t="s">
        <v>8982</v>
      </c>
      <c r="E2752">
        <v>6</v>
      </c>
      <c r="F2752" t="str">
        <f>IF(AND(Entities[[#This Row],[ENT_TYPE]]="County",RIGHT(Entities[[#This Row],[ENT_NAME]],6)&lt;&gt;"County"),_xlfn.TEXTJOIN(" ",TRUE,Entities[[#This Row],[ENT_NAME]],"County"),Entities[[#This Row],[ENT_NAME]])</f>
        <v>Encanto Real Utility District</v>
      </c>
    </row>
    <row r="2753" spans="1:6" x14ac:dyDescent="0.25">
      <c r="A2753" s="304" t="s">
        <v>8983</v>
      </c>
      <c r="B2753" s="303" t="str">
        <f t="shared" si="42"/>
        <v>x06002314</v>
      </c>
      <c r="C2753" t="s">
        <v>4</v>
      </c>
      <c r="D2753" t="s">
        <v>8984</v>
      </c>
      <c r="E2753">
        <v>6</v>
      </c>
      <c r="F2753" t="str">
        <f>IF(AND(Entities[[#This Row],[ENT_TYPE]]="County",RIGHT(Entities[[#This Row],[ENT_NAME]],6)&lt;&gt;"County"),_xlfn.TEXTJOIN(" ",TRUE,Entities[[#This Row],[ENT_NAME]],"County"),Entities[[#This Row],[ENT_NAME]])</f>
        <v>Wood Trace WCID of Montgomery County</v>
      </c>
    </row>
    <row r="2754" spans="1:6" x14ac:dyDescent="0.25">
      <c r="A2754" s="302" t="s">
        <v>8985</v>
      </c>
      <c r="B2754" s="303" t="str">
        <f t="shared" ref="B2754:B2817" si="43">_xlfn.CONCAT("x",TEXT(A2754,"00000000"))</f>
        <v>x06002317</v>
      </c>
      <c r="C2754" t="s">
        <v>4</v>
      </c>
      <c r="D2754" t="s">
        <v>8986</v>
      </c>
      <c r="E2754">
        <v>6</v>
      </c>
      <c r="F2754" t="str">
        <f>IF(AND(Entities[[#This Row],[ENT_TYPE]]="County",RIGHT(Entities[[#This Row],[ENT_NAME]],6)&lt;&gt;"County"),_xlfn.TEXTJOIN(" ",TRUE,Entities[[#This Row],[ENT_NAME]],"County"),Entities[[#This Row],[ENT_NAME]])</f>
        <v>Northampton MUD</v>
      </c>
    </row>
    <row r="2755" spans="1:6" x14ac:dyDescent="0.25">
      <c r="A2755" s="304" t="s">
        <v>8987</v>
      </c>
      <c r="B2755" s="303" t="str">
        <f t="shared" si="43"/>
        <v>x06002318</v>
      </c>
      <c r="C2755" t="s">
        <v>4</v>
      </c>
      <c r="D2755" t="s">
        <v>8988</v>
      </c>
      <c r="E2755">
        <v>6</v>
      </c>
      <c r="F2755" t="str">
        <f>IF(AND(Entities[[#This Row],[ENT_TYPE]]="County",RIGHT(Entities[[#This Row],[ENT_NAME]],6)&lt;&gt;"County"),_xlfn.TEXTJOIN(" ",TRUE,Entities[[#This Row],[ENT_NAME]],"County"),Entities[[#This Row],[ENT_NAME]])</f>
        <v>Wood Trace MUD 4</v>
      </c>
    </row>
    <row r="2756" spans="1:6" x14ac:dyDescent="0.25">
      <c r="A2756" s="302" t="s">
        <v>8989</v>
      </c>
      <c r="B2756" s="303" t="str">
        <f t="shared" si="43"/>
        <v>x06002321</v>
      </c>
      <c r="C2756" t="s">
        <v>4</v>
      </c>
      <c r="D2756" t="s">
        <v>8990</v>
      </c>
      <c r="E2756">
        <v>6</v>
      </c>
      <c r="F2756" t="str">
        <f>IF(AND(Entities[[#This Row],[ENT_TYPE]]="County",RIGHT(Entities[[#This Row],[ENT_NAME]],6)&lt;&gt;"County"),_xlfn.TEXTJOIN(" ",TRUE,Entities[[#This Row],[ENT_NAME]],"County"),Entities[[#This Row],[ENT_NAME]])</f>
        <v>Brazoria-Fort Bend Counties MUD 3</v>
      </c>
    </row>
    <row r="2757" spans="1:6" x14ac:dyDescent="0.25">
      <c r="A2757" s="302" t="s">
        <v>8991</v>
      </c>
      <c r="B2757" s="303" t="str">
        <f t="shared" si="43"/>
        <v>x06002324</v>
      </c>
      <c r="C2757" t="s">
        <v>4</v>
      </c>
      <c r="D2757" t="s">
        <v>8992</v>
      </c>
      <c r="E2757">
        <v>6</v>
      </c>
      <c r="F2757" t="str">
        <f>IF(AND(Entities[[#This Row],[ENT_TYPE]]="County",RIGHT(Entities[[#This Row],[ENT_NAME]],6)&lt;&gt;"County"),_xlfn.TEXTJOIN(" ",TRUE,Entities[[#This Row],[ENT_NAME]],"County"),Entities[[#This Row],[ENT_NAME]])</f>
        <v>Harris Montgomery Counties Management District</v>
      </c>
    </row>
    <row r="2758" spans="1:6" x14ac:dyDescent="0.25">
      <c r="A2758" s="304" t="s">
        <v>8993</v>
      </c>
      <c r="B2758" s="303" t="str">
        <f t="shared" si="43"/>
        <v>x06002325</v>
      </c>
      <c r="C2758" t="s">
        <v>4</v>
      </c>
      <c r="D2758" t="s">
        <v>8994</v>
      </c>
      <c r="E2758">
        <v>6</v>
      </c>
      <c r="F2758" t="str">
        <f>IF(AND(Entities[[#This Row],[ENT_TYPE]]="County",RIGHT(Entities[[#This Row],[ENT_NAME]],6)&lt;&gt;"County"),_xlfn.TEXTJOIN(" ",TRUE,Entities[[#This Row],[ENT_NAME]],"County"),Entities[[#This Row],[ENT_NAME]])</f>
        <v>Montgomery County MUD 174</v>
      </c>
    </row>
    <row r="2759" spans="1:6" x14ac:dyDescent="0.25">
      <c r="A2759" s="304" t="s">
        <v>8995</v>
      </c>
      <c r="B2759" s="303" t="str">
        <f t="shared" si="43"/>
        <v>x06002328</v>
      </c>
      <c r="C2759" t="s">
        <v>4</v>
      </c>
      <c r="D2759" t="s">
        <v>8996</v>
      </c>
      <c r="E2759">
        <v>6</v>
      </c>
      <c r="F2759" t="str">
        <f>IF(AND(Entities[[#This Row],[ENT_TYPE]]="County",RIGHT(Entities[[#This Row],[ENT_NAME]],6)&lt;&gt;"County"),_xlfn.TEXTJOIN(" ",TRUE,Entities[[#This Row],[ENT_NAME]],"County"),Entities[[#This Row],[ENT_NAME]])</f>
        <v>Wood Trace Management District</v>
      </c>
    </row>
    <row r="2760" spans="1:6" x14ac:dyDescent="0.25">
      <c r="A2760" s="302" t="s">
        <v>8997</v>
      </c>
      <c r="B2760" s="303" t="str">
        <f t="shared" si="43"/>
        <v>x06002330</v>
      </c>
      <c r="C2760" t="s">
        <v>4</v>
      </c>
      <c r="D2760" t="s">
        <v>8998</v>
      </c>
      <c r="E2760">
        <v>6</v>
      </c>
      <c r="F2760" t="str">
        <f>IF(AND(Entities[[#This Row],[ENT_TYPE]]="County",RIGHT(Entities[[#This Row],[ENT_NAME]],6)&lt;&gt;"County"),_xlfn.TEXTJOIN(" ",TRUE,Entities[[#This Row],[ENT_NAME]],"County"),Entities[[#This Row],[ENT_NAME]])</f>
        <v>Malcomson Road Utility District</v>
      </c>
    </row>
    <row r="2761" spans="1:6" x14ac:dyDescent="0.25">
      <c r="A2761" s="304" t="s">
        <v>8999</v>
      </c>
      <c r="B2761" s="303" t="str">
        <f t="shared" si="43"/>
        <v>x06002332</v>
      </c>
      <c r="C2761" t="s">
        <v>4</v>
      </c>
      <c r="D2761" t="s">
        <v>9000</v>
      </c>
      <c r="E2761">
        <v>6</v>
      </c>
      <c r="F2761" t="str">
        <f>IF(AND(Entities[[#This Row],[ENT_TYPE]]="County",RIGHT(Entities[[#This Row],[ENT_NAME]],6)&lt;&gt;"County"),_xlfn.TEXTJOIN(" ",TRUE,Entities[[#This Row],[ENT_NAME]],"County"),Entities[[#This Row],[ENT_NAME]])</f>
        <v>Harris County Improvement District 27</v>
      </c>
    </row>
    <row r="2762" spans="1:6" x14ac:dyDescent="0.25">
      <c r="A2762" s="302" t="s">
        <v>9001</v>
      </c>
      <c r="B2762" s="303" t="str">
        <f t="shared" si="43"/>
        <v>x06002339</v>
      </c>
      <c r="C2762" t="s">
        <v>4</v>
      </c>
      <c r="D2762" t="s">
        <v>9002</v>
      </c>
      <c r="E2762">
        <v>6</v>
      </c>
      <c r="F2762" t="str">
        <f>IF(AND(Entities[[#This Row],[ENT_TYPE]]="County",RIGHT(Entities[[#This Row],[ENT_NAME]],6)&lt;&gt;"County"),_xlfn.TEXTJOIN(" ",TRUE,Entities[[#This Row],[ENT_NAME]],"County"),Entities[[#This Row],[ENT_NAME]])</f>
        <v>Harris County MUD 568</v>
      </c>
    </row>
    <row r="2763" spans="1:6" x14ac:dyDescent="0.25">
      <c r="A2763" s="304" t="s">
        <v>9003</v>
      </c>
      <c r="B2763" s="303" t="str">
        <f t="shared" si="43"/>
        <v>x06002340</v>
      </c>
      <c r="C2763" t="s">
        <v>4</v>
      </c>
      <c r="D2763" t="s">
        <v>9004</v>
      </c>
      <c r="E2763">
        <v>6</v>
      </c>
      <c r="F2763" t="str">
        <f>IF(AND(Entities[[#This Row],[ENT_TYPE]]="County",RIGHT(Entities[[#This Row],[ENT_NAME]],6)&lt;&gt;"County"),_xlfn.TEXTJOIN(" ",TRUE,Entities[[#This Row],[ENT_NAME]],"County"),Entities[[#This Row],[ENT_NAME]])</f>
        <v>Conroe MMD 2</v>
      </c>
    </row>
    <row r="2764" spans="1:6" x14ac:dyDescent="0.25">
      <c r="A2764" s="302" t="s">
        <v>9005</v>
      </c>
      <c r="B2764" s="303" t="str">
        <f t="shared" si="43"/>
        <v>x06002342</v>
      </c>
      <c r="C2764" t="s">
        <v>4</v>
      </c>
      <c r="D2764" t="s">
        <v>9006</v>
      </c>
      <c r="E2764">
        <v>6</v>
      </c>
      <c r="F2764" t="str">
        <f>IF(AND(Entities[[#This Row],[ENT_TYPE]]="County",RIGHT(Entities[[#This Row],[ENT_NAME]],6)&lt;&gt;"County"),_xlfn.TEXTJOIN(" ",TRUE,Entities[[#This Row],[ENT_NAME]],"County"),Entities[[#This Row],[ENT_NAME]])</f>
        <v>Liberty Grand MUD 1</v>
      </c>
    </row>
    <row r="2765" spans="1:6" x14ac:dyDescent="0.25">
      <c r="A2765" s="304" t="s">
        <v>9007</v>
      </c>
      <c r="B2765" s="303" t="str">
        <f t="shared" si="43"/>
        <v>x06002350</v>
      </c>
      <c r="C2765" t="s">
        <v>4</v>
      </c>
      <c r="D2765" t="s">
        <v>9008</v>
      </c>
      <c r="E2765">
        <v>6</v>
      </c>
      <c r="F2765" t="str">
        <f>IF(AND(Entities[[#This Row],[ENT_TYPE]]="County",RIGHT(Entities[[#This Row],[ENT_NAME]],6)&lt;&gt;"County"),_xlfn.TEXTJOIN(" ",TRUE,Entities[[#This Row],[ENT_NAME]],"County"),Entities[[#This Row],[ENT_NAME]])</f>
        <v>Remington MUD 1</v>
      </c>
    </row>
    <row r="2766" spans="1:6" x14ac:dyDescent="0.25">
      <c r="A2766" s="302" t="s">
        <v>9009</v>
      </c>
      <c r="B2766" s="303" t="str">
        <f t="shared" si="43"/>
        <v>x06002351</v>
      </c>
      <c r="C2766" t="s">
        <v>4</v>
      </c>
      <c r="D2766" t="s">
        <v>9010</v>
      </c>
      <c r="E2766">
        <v>6</v>
      </c>
      <c r="F2766" t="str">
        <f>IF(AND(Entities[[#This Row],[ENT_TYPE]]="County",RIGHT(Entities[[#This Row],[ENT_NAME]],6)&lt;&gt;"County"),_xlfn.TEXTJOIN(" ",TRUE,Entities[[#This Row],[ENT_NAME]],"County"),Entities[[#This Row],[ENT_NAME]])</f>
        <v>Montgomery County MUD 165</v>
      </c>
    </row>
    <row r="2767" spans="1:6" x14ac:dyDescent="0.25">
      <c r="A2767" s="304" t="s">
        <v>9011</v>
      </c>
      <c r="B2767" s="303" t="str">
        <f t="shared" si="43"/>
        <v>x06002353</v>
      </c>
      <c r="C2767" t="s">
        <v>4</v>
      </c>
      <c r="D2767" t="s">
        <v>9012</v>
      </c>
      <c r="E2767">
        <v>6</v>
      </c>
      <c r="F2767" t="str">
        <f>IF(AND(Entities[[#This Row],[ENT_TYPE]]="County",RIGHT(Entities[[#This Row],[ENT_NAME]],6)&lt;&gt;"County"),_xlfn.TEXTJOIN(" ",TRUE,Entities[[#This Row],[ENT_NAME]],"County"),Entities[[#This Row],[ENT_NAME]])</f>
        <v>Galveston County MUD 73</v>
      </c>
    </row>
    <row r="2768" spans="1:6" x14ac:dyDescent="0.25">
      <c r="A2768" s="302" t="s">
        <v>9013</v>
      </c>
      <c r="B2768" s="303" t="str">
        <f t="shared" si="43"/>
        <v>x06002354</v>
      </c>
      <c r="C2768" t="s">
        <v>4</v>
      </c>
      <c r="D2768" t="s">
        <v>9014</v>
      </c>
      <c r="E2768">
        <v>6</v>
      </c>
      <c r="F2768" t="str">
        <f>IF(AND(Entities[[#This Row],[ENT_TYPE]]="County",RIGHT(Entities[[#This Row],[ENT_NAME]],6)&lt;&gt;"County"),_xlfn.TEXTJOIN(" ",TRUE,Entities[[#This Row],[ENT_NAME]],"County"),Entities[[#This Row],[ENT_NAME]])</f>
        <v>Galveston County MUD 74</v>
      </c>
    </row>
    <row r="2769" spans="1:6" x14ac:dyDescent="0.25">
      <c r="A2769" s="304" t="s">
        <v>9015</v>
      </c>
      <c r="B2769" s="303" t="str">
        <f t="shared" si="43"/>
        <v>x06002355</v>
      </c>
      <c r="C2769" t="s">
        <v>4</v>
      </c>
      <c r="D2769" t="s">
        <v>9016</v>
      </c>
      <c r="E2769">
        <v>6</v>
      </c>
      <c r="F2769" t="str">
        <f>IF(AND(Entities[[#This Row],[ENT_TYPE]]="County",RIGHT(Entities[[#This Row],[ENT_NAME]],6)&lt;&gt;"County"),_xlfn.TEXTJOIN(" ",TRUE,Entities[[#This Row],[ENT_NAME]],"County"),Entities[[#This Row],[ENT_NAME]])</f>
        <v>Brazoria County MUD 51</v>
      </c>
    </row>
    <row r="2770" spans="1:6" x14ac:dyDescent="0.25">
      <c r="A2770" s="304" t="s">
        <v>9017</v>
      </c>
      <c r="B2770" s="303" t="str">
        <f t="shared" si="43"/>
        <v>x06002358</v>
      </c>
      <c r="C2770" t="s">
        <v>4</v>
      </c>
      <c r="D2770" t="s">
        <v>9018</v>
      </c>
      <c r="E2770">
        <v>6</v>
      </c>
      <c r="F2770" t="str">
        <f>IF(AND(Entities[[#This Row],[ENT_TYPE]]="County",RIGHT(Entities[[#This Row],[ENT_NAME]],6)&lt;&gt;"County"),_xlfn.TEXTJOIN(" ",TRUE,Entities[[#This Row],[ENT_NAME]],"County"),Entities[[#This Row],[ENT_NAME]])</f>
        <v>Waller County MUD 35</v>
      </c>
    </row>
    <row r="2771" spans="1:6" x14ac:dyDescent="0.25">
      <c r="A2771" s="302" t="s">
        <v>9019</v>
      </c>
      <c r="B2771" s="303" t="str">
        <f t="shared" si="43"/>
        <v>x06002360</v>
      </c>
      <c r="C2771" t="s">
        <v>4</v>
      </c>
      <c r="D2771" t="s">
        <v>9020</v>
      </c>
      <c r="E2771">
        <v>6</v>
      </c>
      <c r="F2771" t="str">
        <f>IF(AND(Entities[[#This Row],[ENT_TYPE]]="County",RIGHT(Entities[[#This Row],[ENT_NAME]],6)&lt;&gt;"County"),_xlfn.TEXTJOIN(" ",TRUE,Entities[[#This Row],[ENT_NAME]],"County"),Entities[[#This Row],[ENT_NAME]])</f>
        <v>Harris-Waller Counties MUD 3</v>
      </c>
    </row>
    <row r="2772" spans="1:6" x14ac:dyDescent="0.25">
      <c r="A2772" s="304" t="s">
        <v>9021</v>
      </c>
      <c r="B2772" s="303" t="str">
        <f t="shared" si="43"/>
        <v>x06002362</v>
      </c>
      <c r="C2772" t="s">
        <v>4</v>
      </c>
      <c r="D2772" t="s">
        <v>9022</v>
      </c>
      <c r="E2772">
        <v>6</v>
      </c>
      <c r="F2772" t="str">
        <f>IF(AND(Entities[[#This Row],[ENT_TYPE]]="County",RIGHT(Entities[[#This Row],[ENT_NAME]],6)&lt;&gt;"County"),_xlfn.TEXTJOIN(" ",TRUE,Entities[[#This Row],[ENT_NAME]],"County"),Entities[[#This Row],[ENT_NAME]])</f>
        <v>Lakewood MUD 1</v>
      </c>
    </row>
    <row r="2773" spans="1:6" x14ac:dyDescent="0.25">
      <c r="A2773" s="302" t="s">
        <v>9023</v>
      </c>
      <c r="B2773" s="303" t="str">
        <f t="shared" si="43"/>
        <v>x06002365</v>
      </c>
      <c r="C2773" t="s">
        <v>4</v>
      </c>
      <c r="D2773" t="s">
        <v>9024</v>
      </c>
      <c r="E2773">
        <v>6</v>
      </c>
      <c r="F2773" t="str">
        <f>IF(AND(Entities[[#This Row],[ENT_TYPE]]="County",RIGHT(Entities[[#This Row],[ENT_NAME]],6)&lt;&gt;"County"),_xlfn.TEXTJOIN(" ",TRUE,Entities[[#This Row],[ENT_NAME]],"County"),Entities[[#This Row],[ENT_NAME]])</f>
        <v>Harris County MUD 202</v>
      </c>
    </row>
    <row r="2774" spans="1:6" x14ac:dyDescent="0.25">
      <c r="A2774" s="304" t="s">
        <v>9025</v>
      </c>
      <c r="B2774" s="303" t="str">
        <f t="shared" si="43"/>
        <v>x06002368</v>
      </c>
      <c r="C2774" t="s">
        <v>4</v>
      </c>
      <c r="D2774" t="s">
        <v>9026</v>
      </c>
      <c r="E2774">
        <v>6</v>
      </c>
      <c r="F2774" t="str">
        <f>IF(AND(Entities[[#This Row],[ENT_TYPE]]="County",RIGHT(Entities[[#This Row],[ENT_NAME]],6)&lt;&gt;"County"),_xlfn.TEXTJOIN(" ",TRUE,Entities[[#This Row],[ENT_NAME]],"County"),Entities[[#This Row],[ENT_NAME]])</f>
        <v>Montgomery County MUD 157</v>
      </c>
    </row>
    <row r="2775" spans="1:6" x14ac:dyDescent="0.25">
      <c r="A2775" s="302" t="s">
        <v>9027</v>
      </c>
      <c r="B2775" s="303" t="str">
        <f t="shared" si="43"/>
        <v>x06002369</v>
      </c>
      <c r="C2775" t="s">
        <v>4</v>
      </c>
      <c r="D2775" t="s">
        <v>9028</v>
      </c>
      <c r="E2775">
        <v>6</v>
      </c>
      <c r="F2775" t="str">
        <f>IF(AND(Entities[[#This Row],[ENT_TYPE]]="County",RIGHT(Entities[[#This Row],[ENT_NAME]],6)&lt;&gt;"County"),_xlfn.TEXTJOIN(" ",TRUE,Entities[[#This Row],[ENT_NAME]],"County"),Entities[[#This Row],[ENT_NAME]])</f>
        <v>Montgomery County MUD 173</v>
      </c>
    </row>
    <row r="2776" spans="1:6" x14ac:dyDescent="0.25">
      <c r="A2776" s="304" t="s">
        <v>9029</v>
      </c>
      <c r="B2776" s="303" t="str">
        <f t="shared" si="43"/>
        <v>x06002370</v>
      </c>
      <c r="C2776" t="s">
        <v>4</v>
      </c>
      <c r="D2776" t="s">
        <v>9030</v>
      </c>
      <c r="E2776">
        <v>6</v>
      </c>
      <c r="F2776" t="str">
        <f>IF(AND(Entities[[#This Row],[ENT_TYPE]]="County",RIGHT(Entities[[#This Row],[ENT_NAME]],6)&lt;&gt;"County"),_xlfn.TEXTJOIN(" ",TRUE,Entities[[#This Row],[ENT_NAME]],"County"),Entities[[#This Row],[ENT_NAME]])</f>
        <v>Richfield Ranch WCID</v>
      </c>
    </row>
    <row r="2777" spans="1:6" x14ac:dyDescent="0.25">
      <c r="A2777" s="302" t="s">
        <v>9031</v>
      </c>
      <c r="B2777" s="303" t="str">
        <f t="shared" si="43"/>
        <v>x06002371</v>
      </c>
      <c r="C2777" t="s">
        <v>4</v>
      </c>
      <c r="D2777" t="s">
        <v>9032</v>
      </c>
      <c r="E2777">
        <v>6</v>
      </c>
      <c r="F2777" t="str">
        <f>IF(AND(Entities[[#This Row],[ENT_TYPE]]="County",RIGHT(Entities[[#This Row],[ENT_NAME]],6)&lt;&gt;"County"),_xlfn.TEXTJOIN(" ",TRUE,Entities[[#This Row],[ENT_NAME]],"County"),Entities[[#This Row],[ENT_NAME]])</f>
        <v>Harris County MUD 377</v>
      </c>
    </row>
    <row r="2778" spans="1:6" x14ac:dyDescent="0.25">
      <c r="A2778" s="304" t="s">
        <v>9033</v>
      </c>
      <c r="B2778" s="303" t="str">
        <f t="shared" si="43"/>
        <v>x06002372</v>
      </c>
      <c r="C2778" t="s">
        <v>4</v>
      </c>
      <c r="D2778" t="s">
        <v>9034</v>
      </c>
      <c r="E2778">
        <v>6</v>
      </c>
      <c r="F2778" t="str">
        <f>IF(AND(Entities[[#This Row],[ENT_TYPE]]="County",RIGHT(Entities[[#This Row],[ENT_NAME]],6)&lt;&gt;"County"),_xlfn.TEXTJOIN(" ",TRUE,Entities[[#This Row],[ENT_NAME]],"County"),Entities[[#This Row],[ENT_NAME]])</f>
        <v>Harris County MUD 380</v>
      </c>
    </row>
    <row r="2779" spans="1:6" x14ac:dyDescent="0.25">
      <c r="A2779" s="302" t="s">
        <v>9035</v>
      </c>
      <c r="B2779" s="303" t="str">
        <f t="shared" si="43"/>
        <v>x06002373</v>
      </c>
      <c r="C2779" t="s">
        <v>4</v>
      </c>
      <c r="D2779" t="s">
        <v>9036</v>
      </c>
      <c r="E2779">
        <v>6</v>
      </c>
      <c r="F2779" t="str">
        <f>IF(AND(Entities[[#This Row],[ENT_TYPE]]="County",RIGHT(Entities[[#This Row],[ENT_NAME]],6)&lt;&gt;"County"),_xlfn.TEXTJOIN(" ",TRUE,Entities[[#This Row],[ENT_NAME]],"County"),Entities[[#This Row],[ENT_NAME]])</f>
        <v>Montgomery County MUD 148</v>
      </c>
    </row>
    <row r="2780" spans="1:6" x14ac:dyDescent="0.25">
      <c r="A2780" s="304" t="s">
        <v>9037</v>
      </c>
      <c r="B2780" s="303" t="str">
        <f t="shared" si="43"/>
        <v>x06002419</v>
      </c>
      <c r="C2780" t="s">
        <v>5458</v>
      </c>
      <c r="D2780" t="s">
        <v>9038</v>
      </c>
      <c r="E2780">
        <v>6</v>
      </c>
      <c r="F2780" t="str">
        <f>IF(AND(Entities[[#This Row],[ENT_TYPE]]="County",RIGHT(Entities[[#This Row],[ENT_NAME]],6)&lt;&gt;"County"),_xlfn.TEXTJOIN(" ",TRUE,Entities[[#This Row],[ENT_NAME]],"County"),Entities[[#This Row],[ENT_NAME]])</f>
        <v>Patton Village</v>
      </c>
    </row>
    <row r="2781" spans="1:6" x14ac:dyDescent="0.25">
      <c r="A2781" s="302" t="s">
        <v>9039</v>
      </c>
      <c r="B2781" s="303" t="str">
        <f t="shared" si="43"/>
        <v>x06002420</v>
      </c>
      <c r="C2781" t="s">
        <v>5458</v>
      </c>
      <c r="D2781" t="s">
        <v>9040</v>
      </c>
      <c r="E2781">
        <v>6</v>
      </c>
      <c r="F2781" t="str">
        <f>IF(AND(Entities[[#This Row],[ENT_TYPE]]="County",RIGHT(Entities[[#This Row],[ENT_NAME]],6)&lt;&gt;"County"),_xlfn.TEXTJOIN(" ",TRUE,Entities[[#This Row],[ENT_NAME]],"County"),Entities[[#This Row],[ENT_NAME]])</f>
        <v>Roman Forest</v>
      </c>
    </row>
    <row r="2782" spans="1:6" x14ac:dyDescent="0.25">
      <c r="A2782" s="304" t="s">
        <v>9041</v>
      </c>
      <c r="B2782" s="303" t="str">
        <f t="shared" si="43"/>
        <v>x06002421</v>
      </c>
      <c r="C2782" t="s">
        <v>5458</v>
      </c>
      <c r="D2782" t="s">
        <v>9042</v>
      </c>
      <c r="E2782">
        <v>6</v>
      </c>
      <c r="F2782" t="str">
        <f>IF(AND(Entities[[#This Row],[ENT_TYPE]]="County",RIGHT(Entities[[#This Row],[ENT_NAME]],6)&lt;&gt;"County"),_xlfn.TEXTJOIN(" ",TRUE,Entities[[#This Row],[ENT_NAME]],"County"),Entities[[#This Row],[ENT_NAME]])</f>
        <v>Shenandoah</v>
      </c>
    </row>
    <row r="2783" spans="1:6" x14ac:dyDescent="0.25">
      <c r="A2783" s="302" t="s">
        <v>9043</v>
      </c>
      <c r="B2783" s="303" t="str">
        <f t="shared" si="43"/>
        <v>x06002422</v>
      </c>
      <c r="C2783" t="s">
        <v>5458</v>
      </c>
      <c r="D2783" t="s">
        <v>9044</v>
      </c>
      <c r="E2783">
        <v>6</v>
      </c>
      <c r="F2783" t="str">
        <f>IF(AND(Entities[[#This Row],[ENT_TYPE]]="County",RIGHT(Entities[[#This Row],[ENT_NAME]],6)&lt;&gt;"County"),_xlfn.TEXTJOIN(" ",TRUE,Entities[[#This Row],[ENT_NAME]],"County"),Entities[[#This Row],[ENT_NAME]])</f>
        <v>Woodbranch Village</v>
      </c>
    </row>
    <row r="2784" spans="1:6" x14ac:dyDescent="0.25">
      <c r="A2784" s="302" t="s">
        <v>9045</v>
      </c>
      <c r="B2784" s="303" t="str">
        <f t="shared" si="43"/>
        <v>x06002452</v>
      </c>
      <c r="C2784" t="s">
        <v>5458</v>
      </c>
      <c r="D2784" t="s">
        <v>9046</v>
      </c>
      <c r="E2784">
        <v>6</v>
      </c>
      <c r="F2784" t="str">
        <f>IF(AND(Entities[[#This Row],[ENT_TYPE]]="County",RIGHT(Entities[[#This Row],[ENT_NAME]],6)&lt;&gt;"County"),_xlfn.TEXTJOIN(" ",TRUE,Entities[[#This Row],[ENT_NAME]],"County"),Entities[[#This Row],[ENT_NAME]])</f>
        <v>Galena Park</v>
      </c>
    </row>
    <row r="2785" spans="1:6" x14ac:dyDescent="0.25">
      <c r="A2785" s="304" t="s">
        <v>9047</v>
      </c>
      <c r="B2785" s="303" t="str">
        <f t="shared" si="43"/>
        <v>x06002453</v>
      </c>
      <c r="C2785" t="s">
        <v>5458</v>
      </c>
      <c r="D2785" t="s">
        <v>9048</v>
      </c>
      <c r="E2785">
        <v>6</v>
      </c>
      <c r="F2785" t="str">
        <f>IF(AND(Entities[[#This Row],[ENT_TYPE]]="County",RIGHT(Entities[[#This Row],[ENT_NAME]],6)&lt;&gt;"County"),_xlfn.TEXTJOIN(" ",TRUE,Entities[[#This Row],[ENT_NAME]],"County"),Entities[[#This Row],[ENT_NAME]])</f>
        <v>Hedwig Village</v>
      </c>
    </row>
    <row r="2786" spans="1:6" x14ac:dyDescent="0.25">
      <c r="A2786" s="302" t="s">
        <v>9049</v>
      </c>
      <c r="B2786" s="303" t="str">
        <f t="shared" si="43"/>
        <v>x06002454</v>
      </c>
      <c r="C2786" t="s">
        <v>5458</v>
      </c>
      <c r="D2786" t="s">
        <v>9050</v>
      </c>
      <c r="E2786">
        <v>6</v>
      </c>
      <c r="F2786" t="str">
        <f>IF(AND(Entities[[#This Row],[ENT_TYPE]]="County",RIGHT(Entities[[#This Row],[ENT_NAME]],6)&lt;&gt;"County"),_xlfn.TEXTJOIN(" ",TRUE,Entities[[#This Row],[ENT_NAME]],"County"),Entities[[#This Row],[ENT_NAME]])</f>
        <v>Hilshire Village</v>
      </c>
    </row>
    <row r="2787" spans="1:6" x14ac:dyDescent="0.25">
      <c r="A2787" s="304" t="s">
        <v>9051</v>
      </c>
      <c r="B2787" s="303" t="str">
        <f t="shared" si="43"/>
        <v>x06002455</v>
      </c>
      <c r="C2787" t="s">
        <v>5458</v>
      </c>
      <c r="D2787" t="s">
        <v>9052</v>
      </c>
      <c r="E2787">
        <v>6</v>
      </c>
      <c r="F2787" t="str">
        <f>IF(AND(Entities[[#This Row],[ENT_TYPE]]="County",RIGHT(Entities[[#This Row],[ENT_NAME]],6)&lt;&gt;"County"),_xlfn.TEXTJOIN(" ",TRUE,Entities[[#This Row],[ENT_NAME]],"County"),Entities[[#This Row],[ENT_NAME]])</f>
        <v>Hunters Creek Village</v>
      </c>
    </row>
    <row r="2788" spans="1:6" x14ac:dyDescent="0.25">
      <c r="A2788" s="304" t="s">
        <v>9053</v>
      </c>
      <c r="B2788" s="303" t="str">
        <f t="shared" si="43"/>
        <v>x06002456</v>
      </c>
      <c r="C2788" t="s">
        <v>5458</v>
      </c>
      <c r="D2788" t="s">
        <v>9054</v>
      </c>
      <c r="E2788">
        <v>6</v>
      </c>
      <c r="F2788" t="str">
        <f>IF(AND(Entities[[#This Row],[ENT_TYPE]]="County",RIGHT(Entities[[#This Row],[ENT_NAME]],6)&lt;&gt;"County"),_xlfn.TEXTJOIN(" ",TRUE,Entities[[#This Row],[ENT_NAME]],"County"),Entities[[#This Row],[ENT_NAME]])</f>
        <v>Jacinto City</v>
      </c>
    </row>
    <row r="2789" spans="1:6" x14ac:dyDescent="0.25">
      <c r="A2789" s="302" t="s">
        <v>9055</v>
      </c>
      <c r="B2789" s="303" t="str">
        <f t="shared" si="43"/>
        <v>x06002457</v>
      </c>
      <c r="C2789" t="s">
        <v>5458</v>
      </c>
      <c r="D2789" t="s">
        <v>9056</v>
      </c>
      <c r="E2789">
        <v>6</v>
      </c>
      <c r="F2789" t="str">
        <f>IF(AND(Entities[[#This Row],[ENT_TYPE]]="County",RIGHT(Entities[[#This Row],[ENT_NAME]],6)&lt;&gt;"County"),_xlfn.TEXTJOIN(" ",TRUE,Entities[[#This Row],[ENT_NAME]],"County"),Entities[[#This Row],[ENT_NAME]])</f>
        <v>Jersey Village</v>
      </c>
    </row>
    <row r="2790" spans="1:6" x14ac:dyDescent="0.25">
      <c r="A2790" s="304" t="s">
        <v>9057</v>
      </c>
      <c r="B2790" s="303" t="str">
        <f t="shared" si="43"/>
        <v>x06002493</v>
      </c>
      <c r="C2790" t="s">
        <v>5458</v>
      </c>
      <c r="D2790" t="s">
        <v>9058</v>
      </c>
      <c r="E2790">
        <v>6</v>
      </c>
      <c r="F2790" t="str">
        <f>IF(AND(Entities[[#This Row],[ENT_TYPE]]="County",RIGHT(Entities[[#This Row],[ENT_NAME]],6)&lt;&gt;"County"),_xlfn.TEXTJOIN(" ",TRUE,Entities[[#This Row],[ENT_NAME]],"County"),Entities[[#This Row],[ENT_NAME]])</f>
        <v>Morgan's Point</v>
      </c>
    </row>
    <row r="2791" spans="1:6" x14ac:dyDescent="0.25">
      <c r="A2791" s="302" t="s">
        <v>9059</v>
      </c>
      <c r="B2791" s="303" t="str">
        <f t="shared" si="43"/>
        <v>x06002494</v>
      </c>
      <c r="C2791" t="s">
        <v>5458</v>
      </c>
      <c r="D2791" t="s">
        <v>9060</v>
      </c>
      <c r="E2791">
        <v>6</v>
      </c>
      <c r="F2791" t="str">
        <f>IF(AND(Entities[[#This Row],[ENT_TYPE]]="County",RIGHT(Entities[[#This Row],[ENT_NAME]],6)&lt;&gt;"County"),_xlfn.TEXTJOIN(" ",TRUE,Entities[[#This Row],[ENT_NAME]],"County"),Entities[[#This Row],[ENT_NAME]])</f>
        <v>Nassau Bay</v>
      </c>
    </row>
    <row r="2792" spans="1:6" x14ac:dyDescent="0.25">
      <c r="A2792" s="304" t="s">
        <v>9061</v>
      </c>
      <c r="B2792" s="303" t="str">
        <f t="shared" si="43"/>
        <v>x06002495</v>
      </c>
      <c r="C2792" t="s">
        <v>5458</v>
      </c>
      <c r="D2792" t="s">
        <v>9062</v>
      </c>
      <c r="E2792">
        <v>6</v>
      </c>
      <c r="F2792" t="str">
        <f>IF(AND(Entities[[#This Row],[ENT_TYPE]]="County",RIGHT(Entities[[#This Row],[ENT_NAME]],6)&lt;&gt;"County"),_xlfn.TEXTJOIN(" ",TRUE,Entities[[#This Row],[ENT_NAME]],"County"),Entities[[#This Row],[ENT_NAME]])</f>
        <v>Piney Point Village</v>
      </c>
    </row>
    <row r="2793" spans="1:6" x14ac:dyDescent="0.25">
      <c r="A2793" s="302" t="s">
        <v>9063</v>
      </c>
      <c r="B2793" s="303" t="str">
        <f t="shared" si="43"/>
        <v>x06002502</v>
      </c>
      <c r="C2793" t="s">
        <v>5458</v>
      </c>
      <c r="D2793" t="s">
        <v>9064</v>
      </c>
      <c r="E2793">
        <v>6</v>
      </c>
      <c r="F2793" t="str">
        <f>IF(AND(Entities[[#This Row],[ENT_TYPE]]="County",RIGHT(Entities[[#This Row],[ENT_NAME]],6)&lt;&gt;"County"),_xlfn.TEXTJOIN(" ",TRUE,Entities[[#This Row],[ENT_NAME]],"County"),Entities[[#This Row],[ENT_NAME]])</f>
        <v>South Houston</v>
      </c>
    </row>
    <row r="2794" spans="1:6" x14ac:dyDescent="0.25">
      <c r="A2794" s="302" t="s">
        <v>390</v>
      </c>
      <c r="B2794" s="303" t="str">
        <f t="shared" si="43"/>
        <v>x06002530</v>
      </c>
      <c r="C2794" t="s">
        <v>5458</v>
      </c>
      <c r="D2794" t="s">
        <v>9065</v>
      </c>
      <c r="E2794">
        <v>6</v>
      </c>
      <c r="F2794" t="str">
        <f>IF(AND(Entities[[#This Row],[ENT_TYPE]]="County",RIGHT(Entities[[#This Row],[ENT_NAME]],6)&lt;&gt;"County"),_xlfn.TEXTJOIN(" ",TRUE,Entities[[#This Row],[ENT_NAME]],"County"),Entities[[#This Row],[ENT_NAME]])</f>
        <v>Cleveland</v>
      </c>
    </row>
    <row r="2795" spans="1:6" x14ac:dyDescent="0.25">
      <c r="A2795" s="302" t="s">
        <v>9066</v>
      </c>
      <c r="B2795" s="303" t="str">
        <f t="shared" si="43"/>
        <v>x06002534</v>
      </c>
      <c r="C2795" t="s">
        <v>5458</v>
      </c>
      <c r="D2795" t="s">
        <v>9067</v>
      </c>
      <c r="E2795">
        <v>6</v>
      </c>
      <c r="F2795" t="str">
        <f>IF(AND(Entities[[#This Row],[ENT_TYPE]]="County",RIGHT(Entities[[#This Row],[ENT_NAME]],6)&lt;&gt;"County"),_xlfn.TEXTJOIN(" ",TRUE,Entities[[#This Row],[ENT_NAME]],"County"),Entities[[#This Row],[ENT_NAME]])</f>
        <v>Magnolia</v>
      </c>
    </row>
    <row r="2796" spans="1:6" x14ac:dyDescent="0.25">
      <c r="A2796" s="304" t="s">
        <v>9068</v>
      </c>
      <c r="B2796" s="303" t="str">
        <f t="shared" si="43"/>
        <v>x06002535</v>
      </c>
      <c r="C2796" t="s">
        <v>5458</v>
      </c>
      <c r="D2796" t="s">
        <v>9069</v>
      </c>
      <c r="E2796">
        <v>6</v>
      </c>
      <c r="F2796" t="str">
        <f>IF(AND(Entities[[#This Row],[ENT_TYPE]]="County",RIGHT(Entities[[#This Row],[ENT_NAME]],6)&lt;&gt;"County"),_xlfn.TEXTJOIN(" ",TRUE,Entities[[#This Row],[ENT_NAME]],"County"),Entities[[#This Row],[ENT_NAME]])</f>
        <v>Oak Ridge North</v>
      </c>
    </row>
    <row r="2797" spans="1:6" x14ac:dyDescent="0.25">
      <c r="A2797" s="302" t="s">
        <v>9070</v>
      </c>
      <c r="B2797" s="303" t="str">
        <f t="shared" si="43"/>
        <v>x06002536</v>
      </c>
      <c r="C2797" t="s">
        <v>5458</v>
      </c>
      <c r="D2797" t="s">
        <v>9071</v>
      </c>
      <c r="E2797">
        <v>6</v>
      </c>
      <c r="F2797" t="str">
        <f>IF(AND(Entities[[#This Row],[ENT_TYPE]]="County",RIGHT(Entities[[#This Row],[ENT_NAME]],6)&lt;&gt;"County"),_xlfn.TEXTJOIN(" ",TRUE,Entities[[#This Row],[ENT_NAME]],"County"),Entities[[#This Row],[ENT_NAME]])</f>
        <v>Panorama Village</v>
      </c>
    </row>
    <row r="2798" spans="1:6" x14ac:dyDescent="0.25">
      <c r="A2798" s="302" t="s">
        <v>9072</v>
      </c>
      <c r="B2798" s="303" t="str">
        <f t="shared" si="43"/>
        <v>x06002638</v>
      </c>
      <c r="C2798" t="s">
        <v>5458</v>
      </c>
      <c r="D2798" t="s">
        <v>9073</v>
      </c>
      <c r="E2798">
        <v>6</v>
      </c>
      <c r="F2798" t="str">
        <f>IF(AND(Entities[[#This Row],[ENT_TYPE]]="County",RIGHT(Entities[[#This Row],[ENT_NAME]],6)&lt;&gt;"County"),_xlfn.TEXTJOIN(" ",TRUE,Entities[[#This Row],[ENT_NAME]],"County"),Entities[[#This Row],[ENT_NAME]])</f>
        <v>Willis</v>
      </c>
    </row>
    <row r="2799" spans="1:6" x14ac:dyDescent="0.25">
      <c r="A2799" s="304" t="s">
        <v>9074</v>
      </c>
      <c r="B2799" s="303" t="str">
        <f t="shared" si="43"/>
        <v>x06002641</v>
      </c>
      <c r="C2799" t="s">
        <v>5458</v>
      </c>
      <c r="D2799" t="s">
        <v>9075</v>
      </c>
      <c r="E2799">
        <v>6</v>
      </c>
      <c r="F2799" t="str">
        <f>IF(AND(Entities[[#This Row],[ENT_TYPE]]="County",RIGHT(Entities[[#This Row],[ENT_NAME]],6)&lt;&gt;"County"),_xlfn.TEXTJOIN(" ",TRUE,Entities[[#This Row],[ENT_NAME]],"County"),Entities[[#This Row],[ENT_NAME]])</f>
        <v>Stagecoach</v>
      </c>
    </row>
    <row r="2800" spans="1:6" x14ac:dyDescent="0.25">
      <c r="A2800" s="302" t="s">
        <v>9076</v>
      </c>
      <c r="B2800" s="303" t="str">
        <f t="shared" si="43"/>
        <v>x06002646</v>
      </c>
      <c r="C2800" t="s">
        <v>5458</v>
      </c>
      <c r="D2800" t="s">
        <v>9077</v>
      </c>
      <c r="E2800">
        <v>6</v>
      </c>
      <c r="F2800" t="str">
        <f>IF(AND(Entities[[#This Row],[ENT_TYPE]]="County",RIGHT(Entities[[#This Row],[ENT_NAME]],6)&lt;&gt;"County"),_xlfn.TEXTJOIN(" ",TRUE,Entities[[#This Row],[ENT_NAME]],"County"),Entities[[#This Row],[ENT_NAME]])</f>
        <v>North Cleveland</v>
      </c>
    </row>
    <row r="2801" spans="1:6" x14ac:dyDescent="0.25">
      <c r="A2801" s="304" t="s">
        <v>9078</v>
      </c>
      <c r="B2801" s="303" t="str">
        <f t="shared" si="43"/>
        <v>x06002647</v>
      </c>
      <c r="C2801" t="s">
        <v>5458</v>
      </c>
      <c r="D2801" t="s">
        <v>9079</v>
      </c>
      <c r="E2801">
        <v>6</v>
      </c>
      <c r="F2801" t="str">
        <f>IF(AND(Entities[[#This Row],[ENT_TYPE]]="County",RIGHT(Entities[[#This Row],[ENT_NAME]],6)&lt;&gt;"County"),_xlfn.TEXTJOIN(" ",TRUE,Entities[[#This Row],[ENT_NAME]],"County"),Entities[[#This Row],[ENT_NAME]])</f>
        <v>Plum Grove</v>
      </c>
    </row>
    <row r="2802" spans="1:6" x14ac:dyDescent="0.25">
      <c r="A2802" s="302" t="s">
        <v>287</v>
      </c>
      <c r="B2802" s="303" t="str">
        <f t="shared" si="43"/>
        <v>x06002790</v>
      </c>
      <c r="C2802" t="s">
        <v>5458</v>
      </c>
      <c r="D2802" t="s">
        <v>9080</v>
      </c>
      <c r="E2802">
        <v>6</v>
      </c>
      <c r="F2802" t="str">
        <f>IF(AND(Entities[[#This Row],[ENT_TYPE]]="County",RIGHT(Entities[[#This Row],[ENT_NAME]],6)&lt;&gt;"County"),_xlfn.TEXTJOIN(" ",TRUE,Entities[[#This Row],[ENT_NAME]],"County"),Entities[[#This Row],[ENT_NAME]])</f>
        <v>Pearland</v>
      </c>
    </row>
    <row r="2803" spans="1:6" x14ac:dyDescent="0.25">
      <c r="A2803" s="304" t="s">
        <v>9081</v>
      </c>
      <c r="B2803" s="303" t="str">
        <f t="shared" si="43"/>
        <v>x06002794</v>
      </c>
      <c r="C2803" t="s">
        <v>5458</v>
      </c>
      <c r="D2803" t="s">
        <v>9082</v>
      </c>
      <c r="E2803">
        <v>6</v>
      </c>
      <c r="F2803" t="str">
        <f>IF(AND(Entities[[#This Row],[ENT_TYPE]]="County",RIGHT(Entities[[#This Row],[ENT_NAME]],6)&lt;&gt;"County"),_xlfn.TEXTJOIN(" ",TRUE,Entities[[#This Row],[ENT_NAME]],"County"),Entities[[#This Row],[ENT_NAME]])</f>
        <v>Katy</v>
      </c>
    </row>
    <row r="2804" spans="1:6" x14ac:dyDescent="0.25">
      <c r="A2804" s="302" t="s">
        <v>9083</v>
      </c>
      <c r="B2804" s="303" t="str">
        <f t="shared" si="43"/>
        <v>x06002795</v>
      </c>
      <c r="C2804" t="s">
        <v>5458</v>
      </c>
      <c r="D2804" t="s">
        <v>53</v>
      </c>
      <c r="E2804">
        <v>6</v>
      </c>
      <c r="F2804" t="str">
        <f>IF(AND(Entities[[#This Row],[ENT_TYPE]]="County",RIGHT(Entities[[#This Row],[ENT_NAME]],6)&lt;&gt;"County"),_xlfn.TEXTJOIN(" ",TRUE,Entities[[#This Row],[ENT_NAME]],"County"),Entities[[#This Row],[ENT_NAME]])</f>
        <v>Waller</v>
      </c>
    </row>
    <row r="2805" spans="1:6" x14ac:dyDescent="0.25">
      <c r="A2805" s="304" t="s">
        <v>312</v>
      </c>
      <c r="B2805" s="303" t="str">
        <f t="shared" si="43"/>
        <v>x06002806</v>
      </c>
      <c r="C2805" t="s">
        <v>5458</v>
      </c>
      <c r="D2805" t="s">
        <v>9084</v>
      </c>
      <c r="E2805">
        <v>6</v>
      </c>
      <c r="F2805" t="str">
        <f>IF(AND(Entities[[#This Row],[ENT_TYPE]]="County",RIGHT(Entities[[#This Row],[ENT_NAME]],6)&lt;&gt;"County"),_xlfn.TEXTJOIN(" ",TRUE,Entities[[#This Row],[ENT_NAME]],"County"),Entities[[#This Row],[ENT_NAME]])</f>
        <v>Bayou Vista</v>
      </c>
    </row>
    <row r="2806" spans="1:6" x14ac:dyDescent="0.25">
      <c r="A2806" s="302" t="s">
        <v>9085</v>
      </c>
      <c r="B2806" s="303" t="str">
        <f t="shared" si="43"/>
        <v>x06002808</v>
      </c>
      <c r="C2806" t="s">
        <v>5458</v>
      </c>
      <c r="D2806" t="s">
        <v>9086</v>
      </c>
      <c r="E2806">
        <v>6</v>
      </c>
      <c r="F2806" t="str">
        <f>IF(AND(Entities[[#This Row],[ENT_TYPE]]="County",RIGHT(Entities[[#This Row],[ENT_NAME]],6)&lt;&gt;"County"),_xlfn.TEXTJOIN(" ",TRUE,Entities[[#This Row],[ENT_NAME]],"County"),Entities[[#This Row],[ENT_NAME]])</f>
        <v>Clear Lake Shores</v>
      </c>
    </row>
    <row r="2807" spans="1:6" x14ac:dyDescent="0.25">
      <c r="A2807" s="304" t="s">
        <v>347</v>
      </c>
      <c r="B2807" s="303" t="str">
        <f t="shared" si="43"/>
        <v>x06002809</v>
      </c>
      <c r="C2807" t="s">
        <v>5458</v>
      </c>
      <c r="D2807" t="s">
        <v>46</v>
      </c>
      <c r="E2807">
        <v>6</v>
      </c>
      <c r="F2807" t="str">
        <f>IF(AND(Entities[[#This Row],[ENT_TYPE]]="County",RIGHT(Entities[[#This Row],[ENT_NAME]],6)&lt;&gt;"County"),_xlfn.TEXTJOIN(" ",TRUE,Entities[[#This Row],[ENT_NAME]],"County"),Entities[[#This Row],[ENT_NAME]])</f>
        <v>Galveston</v>
      </c>
    </row>
    <row r="2808" spans="1:6" x14ac:dyDescent="0.25">
      <c r="A2808" s="302" t="s">
        <v>9087</v>
      </c>
      <c r="B2808" s="303" t="str">
        <f t="shared" si="43"/>
        <v>x06002810</v>
      </c>
      <c r="C2808" t="s">
        <v>5458</v>
      </c>
      <c r="D2808" t="s">
        <v>9088</v>
      </c>
      <c r="E2808">
        <v>6</v>
      </c>
      <c r="F2808" t="str">
        <f>IF(AND(Entities[[#This Row],[ENT_TYPE]]="County",RIGHT(Entities[[#This Row],[ENT_NAME]],6)&lt;&gt;"County"),_xlfn.TEXTJOIN(" ",TRUE,Entities[[#This Row],[ENT_NAME]],"County"),Entities[[#This Row],[ENT_NAME]])</f>
        <v>Jamaica Beach</v>
      </c>
    </row>
    <row r="2809" spans="1:6" x14ac:dyDescent="0.25">
      <c r="A2809" s="304" t="s">
        <v>399</v>
      </c>
      <c r="B2809" s="303" t="str">
        <f t="shared" si="43"/>
        <v>x06002833</v>
      </c>
      <c r="C2809" t="s">
        <v>5458</v>
      </c>
      <c r="D2809" t="s">
        <v>9089</v>
      </c>
      <c r="E2809">
        <v>6</v>
      </c>
      <c r="F2809" t="str">
        <f>IF(AND(Entities[[#This Row],[ENT_TYPE]]="County",RIGHT(Entities[[#This Row],[ENT_NAME]],6)&lt;&gt;"County"),_xlfn.TEXTJOIN(" ",TRUE,Entities[[#This Row],[ENT_NAME]],"County"),Entities[[#This Row],[ENT_NAME]])</f>
        <v>Friendswood</v>
      </c>
    </row>
    <row r="2810" spans="1:6" x14ac:dyDescent="0.25">
      <c r="A2810" s="302" t="s">
        <v>9090</v>
      </c>
      <c r="B2810" s="303" t="str">
        <f t="shared" si="43"/>
        <v>x06002834</v>
      </c>
      <c r="C2810" t="s">
        <v>5458</v>
      </c>
      <c r="D2810" t="s">
        <v>9091</v>
      </c>
      <c r="E2810">
        <v>6</v>
      </c>
      <c r="F2810" t="str">
        <f>IF(AND(Entities[[#This Row],[ENT_TYPE]]="County",RIGHT(Entities[[#This Row],[ENT_NAME]],6)&lt;&gt;"County"),_xlfn.TEXTJOIN(" ",TRUE,Entities[[#This Row],[ENT_NAME]],"County"),Entities[[#This Row],[ENT_NAME]])</f>
        <v>La Porte</v>
      </c>
    </row>
    <row r="2811" spans="1:6" x14ac:dyDescent="0.25">
      <c r="A2811" s="302" t="s">
        <v>297</v>
      </c>
      <c r="B2811" s="303" t="str">
        <f t="shared" si="43"/>
        <v>x06002854</v>
      </c>
      <c r="C2811" t="s">
        <v>5458</v>
      </c>
      <c r="D2811" t="s">
        <v>9092</v>
      </c>
      <c r="E2811">
        <v>6</v>
      </c>
      <c r="F2811" t="str">
        <f>IF(AND(Entities[[#This Row],[ENT_TYPE]]="County",RIGHT(Entities[[#This Row],[ENT_NAME]],6)&lt;&gt;"County"),_xlfn.TEXTJOIN(" ",TRUE,Entities[[#This Row],[ENT_NAME]],"County"),Entities[[#This Row],[ENT_NAME]])</f>
        <v>Bellaire</v>
      </c>
    </row>
    <row r="2812" spans="1:6" x14ac:dyDescent="0.25">
      <c r="A2812" s="304" t="s">
        <v>306</v>
      </c>
      <c r="B2812" s="303" t="str">
        <f t="shared" si="43"/>
        <v>x06002856</v>
      </c>
      <c r="C2812" t="s">
        <v>5458</v>
      </c>
      <c r="D2812" t="s">
        <v>9093</v>
      </c>
      <c r="E2812">
        <v>6</v>
      </c>
      <c r="F2812" t="str">
        <f>IF(AND(Entities[[#This Row],[ENT_TYPE]]="County",RIGHT(Entities[[#This Row],[ENT_NAME]],6)&lt;&gt;"County"),_xlfn.TEXTJOIN(" ",TRUE,Entities[[#This Row],[ENT_NAME]],"County"),Entities[[#This Row],[ENT_NAME]])</f>
        <v>Bunker Hill Village</v>
      </c>
    </row>
    <row r="2813" spans="1:6" x14ac:dyDescent="0.25">
      <c r="A2813" s="302" t="s">
        <v>9094</v>
      </c>
      <c r="B2813" s="303" t="str">
        <f t="shared" si="43"/>
        <v>x06002857</v>
      </c>
      <c r="C2813" t="s">
        <v>5458</v>
      </c>
      <c r="D2813" t="s">
        <v>9095</v>
      </c>
      <c r="E2813">
        <v>6</v>
      </c>
      <c r="F2813" t="str">
        <f>IF(AND(Entities[[#This Row],[ENT_TYPE]]="County",RIGHT(Entities[[#This Row],[ENT_NAME]],6)&lt;&gt;"County"),_xlfn.TEXTJOIN(" ",TRUE,Entities[[#This Row],[ENT_NAME]],"County"),Entities[[#This Row],[ENT_NAME]])</f>
        <v>Deer Park</v>
      </c>
    </row>
    <row r="2814" spans="1:6" x14ac:dyDescent="0.25">
      <c r="A2814" s="304" t="s">
        <v>9096</v>
      </c>
      <c r="B2814" s="303" t="str">
        <f t="shared" si="43"/>
        <v>x06002858</v>
      </c>
      <c r="C2814" t="s">
        <v>5458</v>
      </c>
      <c r="D2814" t="s">
        <v>9097</v>
      </c>
      <c r="E2814">
        <v>6</v>
      </c>
      <c r="F2814" t="str">
        <f>IF(AND(Entities[[#This Row],[ENT_TYPE]]="County",RIGHT(Entities[[#This Row],[ENT_NAME]],6)&lt;&gt;"County"),_xlfn.TEXTJOIN(" ",TRUE,Entities[[#This Row],[ENT_NAME]],"County"),Entities[[#This Row],[ENT_NAME]])</f>
        <v>El Lago</v>
      </c>
    </row>
    <row r="2815" spans="1:6" x14ac:dyDescent="0.25">
      <c r="A2815" s="302" t="s">
        <v>9098</v>
      </c>
      <c r="B2815" s="303" t="str">
        <f t="shared" si="43"/>
        <v>x06002934</v>
      </c>
      <c r="C2815" t="s">
        <v>5458</v>
      </c>
      <c r="D2815" t="s">
        <v>9099</v>
      </c>
      <c r="E2815">
        <v>6</v>
      </c>
      <c r="F2815" t="str">
        <f>IF(AND(Entities[[#This Row],[ENT_TYPE]]="County",RIGHT(Entities[[#This Row],[ENT_NAME]],6)&lt;&gt;"County"),_xlfn.TEXTJOIN(" ",TRUE,Entities[[#This Row],[ENT_NAME]],"County"),Entities[[#This Row],[ENT_NAME]])</f>
        <v>Meadows Place</v>
      </c>
    </row>
    <row r="2816" spans="1:6" x14ac:dyDescent="0.25">
      <c r="A2816" s="304" t="s">
        <v>9100</v>
      </c>
      <c r="B2816" s="303" t="str">
        <f t="shared" si="43"/>
        <v>x06002950</v>
      </c>
      <c r="C2816" t="s">
        <v>5458</v>
      </c>
      <c r="D2816" t="s">
        <v>9101</v>
      </c>
      <c r="E2816">
        <v>6</v>
      </c>
      <c r="F2816" t="str">
        <f>IF(AND(Entities[[#This Row],[ENT_TYPE]]="County",RIGHT(Entities[[#This Row],[ENT_NAME]],6)&lt;&gt;"County"),_xlfn.TEXTJOIN(" ",TRUE,Entities[[#This Row],[ENT_NAME]],"County"),Entities[[#This Row],[ENT_NAME]])</f>
        <v>Plantersville</v>
      </c>
    </row>
    <row r="2817" spans="1:6" x14ac:dyDescent="0.25">
      <c r="A2817" s="302" t="s">
        <v>395</v>
      </c>
      <c r="B2817" s="303" t="str">
        <f t="shared" si="43"/>
        <v>x06002985</v>
      </c>
      <c r="C2817" t="s">
        <v>5458</v>
      </c>
      <c r="D2817" t="s">
        <v>9102</v>
      </c>
      <c r="E2817">
        <v>6</v>
      </c>
      <c r="F2817" t="str">
        <f>IF(AND(Entities[[#This Row],[ENT_TYPE]]="County",RIGHT(Entities[[#This Row],[ENT_NAME]],6)&lt;&gt;"County"),_xlfn.TEXTJOIN(" ",TRUE,Entities[[#This Row],[ENT_NAME]],"County"),Entities[[#This Row],[ENT_NAME]])</f>
        <v>Manvel</v>
      </c>
    </row>
    <row r="2818" spans="1:6" x14ac:dyDescent="0.25">
      <c r="A2818" s="304" t="s">
        <v>9103</v>
      </c>
      <c r="B2818" s="303" t="str">
        <f t="shared" ref="B2818:B2881" si="44">_xlfn.CONCAT("x",TEXT(A2818,"00000000"))</f>
        <v>x06002993</v>
      </c>
      <c r="C2818" t="s">
        <v>5458</v>
      </c>
      <c r="D2818" t="s">
        <v>9104</v>
      </c>
      <c r="E2818">
        <v>6</v>
      </c>
      <c r="F2818" t="str">
        <f>IF(AND(Entities[[#This Row],[ENT_TYPE]]="County",RIGHT(Entities[[#This Row],[ENT_NAME]],6)&lt;&gt;"County"),_xlfn.TEXTJOIN(" ",TRUE,Entities[[#This Row],[ENT_NAME]],"County"),Entities[[#This Row],[ENT_NAME]])</f>
        <v>Iowa Colony</v>
      </c>
    </row>
    <row r="2819" spans="1:6" x14ac:dyDescent="0.25">
      <c r="A2819" s="302" t="s">
        <v>9105</v>
      </c>
      <c r="B2819" s="303" t="str">
        <f t="shared" si="44"/>
        <v>x06003018</v>
      </c>
      <c r="C2819" t="s">
        <v>5458</v>
      </c>
      <c r="D2819" t="s">
        <v>9106</v>
      </c>
      <c r="E2819">
        <v>6</v>
      </c>
      <c r="F2819" t="str">
        <f>IF(AND(Entities[[#This Row],[ENT_TYPE]]="County",RIGHT(Entities[[#This Row],[ENT_NAME]],6)&lt;&gt;"County"),_xlfn.TEXTJOIN(" ",TRUE,Entities[[#This Row],[ENT_NAME]],"County"),Entities[[#This Row],[ENT_NAME]])</f>
        <v>Cut and Shoot</v>
      </c>
    </row>
    <row r="2820" spans="1:6" x14ac:dyDescent="0.25">
      <c r="A2820" s="302" t="s">
        <v>9107</v>
      </c>
      <c r="B2820" s="303" t="str">
        <f t="shared" si="44"/>
        <v>x06003024</v>
      </c>
      <c r="C2820" t="s">
        <v>5458</v>
      </c>
      <c r="D2820" t="s">
        <v>9108</v>
      </c>
      <c r="E2820">
        <v>6</v>
      </c>
      <c r="F2820" t="str">
        <f>IF(AND(Entities[[#This Row],[ENT_TYPE]]="County",RIGHT(Entities[[#This Row],[ENT_NAME]],6)&lt;&gt;"County"),_xlfn.TEXTJOIN(" ",TRUE,Entities[[#This Row],[ENT_NAME]],"County"),Entities[[#This Row],[ENT_NAME]])</f>
        <v>Brookside Village</v>
      </c>
    </row>
    <row r="2821" spans="1:6" x14ac:dyDescent="0.25">
      <c r="A2821" s="304" t="s">
        <v>392</v>
      </c>
      <c r="B2821" s="303" t="str">
        <f t="shared" si="44"/>
        <v>x06003026</v>
      </c>
      <c r="C2821" t="s">
        <v>5458</v>
      </c>
      <c r="D2821" t="s">
        <v>9109</v>
      </c>
      <c r="E2821">
        <v>6</v>
      </c>
      <c r="F2821" t="str">
        <f>IF(AND(Entities[[#This Row],[ENT_TYPE]]="County",RIGHT(Entities[[#This Row],[ENT_NAME]],6)&lt;&gt;"County"),_xlfn.TEXTJOIN(" ",TRUE,Entities[[#This Row],[ENT_NAME]],"County"),Entities[[#This Row],[ENT_NAME]])</f>
        <v>Hillcrest Village</v>
      </c>
    </row>
    <row r="2822" spans="1:6" x14ac:dyDescent="0.25">
      <c r="A2822" s="304" t="s">
        <v>9110</v>
      </c>
      <c r="B2822" s="303" t="str">
        <f t="shared" si="44"/>
        <v>x06003027</v>
      </c>
      <c r="C2822" t="s">
        <v>5458</v>
      </c>
      <c r="D2822" t="s">
        <v>9111</v>
      </c>
      <c r="E2822">
        <v>6</v>
      </c>
      <c r="F2822" t="str">
        <f>IF(AND(Entities[[#This Row],[ENT_TYPE]]="County",RIGHT(Entities[[#This Row],[ENT_NAME]],6)&lt;&gt;"County"),_xlfn.TEXTJOIN(" ",TRUE,Entities[[#This Row],[ENT_NAME]],"County"),Entities[[#This Row],[ENT_NAME]])</f>
        <v>Liverpool</v>
      </c>
    </row>
    <row r="2823" spans="1:6" x14ac:dyDescent="0.25">
      <c r="A2823" s="302" t="s">
        <v>9112</v>
      </c>
      <c r="B2823" s="303" t="str">
        <f t="shared" si="44"/>
        <v>x06003030</v>
      </c>
      <c r="C2823" t="s">
        <v>5458</v>
      </c>
      <c r="D2823" t="s">
        <v>9113</v>
      </c>
      <c r="E2823">
        <v>6</v>
      </c>
      <c r="F2823" t="str">
        <f>IF(AND(Entities[[#This Row],[ENT_TYPE]]="County",RIGHT(Entities[[#This Row],[ENT_NAME]],6)&lt;&gt;"County"),_xlfn.TEXTJOIN(" ",TRUE,Entities[[#This Row],[ENT_NAME]],"County"),Entities[[#This Row],[ENT_NAME]])</f>
        <v>Conroe</v>
      </c>
    </row>
    <row r="2824" spans="1:6" x14ac:dyDescent="0.25">
      <c r="A2824" s="304" t="s">
        <v>9114</v>
      </c>
      <c r="B2824" s="303" t="str">
        <f t="shared" si="44"/>
        <v>x06003031</v>
      </c>
      <c r="C2824" t="s">
        <v>5458</v>
      </c>
      <c r="D2824" t="s">
        <v>9115</v>
      </c>
      <c r="E2824">
        <v>6</v>
      </c>
      <c r="F2824" t="str">
        <f>IF(AND(Entities[[#This Row],[ENT_TYPE]]="County",RIGHT(Entities[[#This Row],[ENT_NAME]],6)&lt;&gt;"County"),_xlfn.TEXTJOIN(" ",TRUE,Entities[[#This Row],[ENT_NAME]],"County"),Entities[[#This Row],[ENT_NAME]])</f>
        <v>Splendora</v>
      </c>
    </row>
    <row r="2825" spans="1:6" x14ac:dyDescent="0.25">
      <c r="A2825" s="302" t="s">
        <v>9116</v>
      </c>
      <c r="B2825" s="303" t="str">
        <f t="shared" si="44"/>
        <v>x06003037</v>
      </c>
      <c r="C2825" t="s">
        <v>5458</v>
      </c>
      <c r="D2825" t="s">
        <v>9117</v>
      </c>
      <c r="E2825">
        <v>6</v>
      </c>
      <c r="F2825" t="str">
        <f>IF(AND(Entities[[#This Row],[ENT_TYPE]]="County",RIGHT(Entities[[#This Row],[ENT_NAME]],6)&lt;&gt;"County"),_xlfn.TEXTJOIN(" ",TRUE,Entities[[#This Row],[ENT_NAME]],"County"),Entities[[#This Row],[ENT_NAME]])</f>
        <v>Woodloch</v>
      </c>
    </row>
    <row r="2826" spans="1:6" x14ac:dyDescent="0.25">
      <c r="A2826" s="304" t="s">
        <v>9118</v>
      </c>
      <c r="B2826" s="303" t="str">
        <f t="shared" si="44"/>
        <v>x06003145</v>
      </c>
      <c r="C2826" t="s">
        <v>5458</v>
      </c>
      <c r="D2826" t="s">
        <v>9119</v>
      </c>
      <c r="E2826">
        <v>6</v>
      </c>
      <c r="F2826" t="str">
        <f>IF(AND(Entities[[#This Row],[ENT_TYPE]]="County",RIGHT(Entities[[#This Row],[ENT_NAME]],6)&lt;&gt;"County"),_xlfn.TEXTJOIN(" ",TRUE,Entities[[#This Row],[ENT_NAME]],"County"),Entities[[#This Row],[ENT_NAME]])</f>
        <v>Hitchcock</v>
      </c>
    </row>
    <row r="2827" spans="1:6" x14ac:dyDescent="0.25">
      <c r="A2827" s="302" t="s">
        <v>9120</v>
      </c>
      <c r="B2827" s="303" t="str">
        <f t="shared" si="44"/>
        <v>x06003146</v>
      </c>
      <c r="C2827" t="s">
        <v>5458</v>
      </c>
      <c r="D2827" t="s">
        <v>9121</v>
      </c>
      <c r="E2827">
        <v>6</v>
      </c>
      <c r="F2827" t="str">
        <f>IF(AND(Entities[[#This Row],[ENT_TYPE]]="County",RIGHT(Entities[[#This Row],[ENT_NAME]],6)&lt;&gt;"County"),_xlfn.TEXTJOIN(" ",TRUE,Entities[[#This Row],[ENT_NAME]],"County"),Entities[[#This Row],[ENT_NAME]])</f>
        <v>La Marque</v>
      </c>
    </row>
    <row r="2828" spans="1:6" x14ac:dyDescent="0.25">
      <c r="A2828" s="304" t="s">
        <v>401</v>
      </c>
      <c r="B2828" s="303" t="str">
        <f t="shared" si="44"/>
        <v>x06003147</v>
      </c>
      <c r="C2828" t="s">
        <v>5458</v>
      </c>
      <c r="D2828" t="s">
        <v>9122</v>
      </c>
      <c r="E2828">
        <v>6</v>
      </c>
      <c r="F2828" t="str">
        <f>IF(AND(Entities[[#This Row],[ENT_TYPE]]="County",RIGHT(Entities[[#This Row],[ENT_NAME]],6)&lt;&gt;"County"),_xlfn.TEXTJOIN(" ",TRUE,Entities[[#This Row],[ENT_NAME]],"County"),Entities[[#This Row],[ENT_NAME]])</f>
        <v>League City</v>
      </c>
    </row>
    <row r="2829" spans="1:6" x14ac:dyDescent="0.25">
      <c r="A2829" s="302" t="s">
        <v>377</v>
      </c>
      <c r="B2829" s="303" t="str">
        <f t="shared" si="44"/>
        <v>x06003149</v>
      </c>
      <c r="C2829" t="s">
        <v>5458</v>
      </c>
      <c r="D2829" t="s">
        <v>9123</v>
      </c>
      <c r="E2829">
        <v>6</v>
      </c>
      <c r="F2829" t="str">
        <f>IF(AND(Entities[[#This Row],[ENT_TYPE]]="County",RIGHT(Entities[[#This Row],[ENT_NAME]],6)&lt;&gt;"County"),_xlfn.TEXTJOIN(" ",TRUE,Entities[[#This Row],[ENT_NAME]],"County"),Entities[[#This Row],[ENT_NAME]])</f>
        <v>Santa Fe</v>
      </c>
    </row>
    <row r="2830" spans="1:6" x14ac:dyDescent="0.25">
      <c r="A2830" s="304" t="s">
        <v>9124</v>
      </c>
      <c r="B2830" s="303" t="str">
        <f t="shared" si="44"/>
        <v>x06003268</v>
      </c>
      <c r="C2830" t="s">
        <v>5458</v>
      </c>
      <c r="D2830" t="s">
        <v>7193</v>
      </c>
      <c r="E2830">
        <v>6</v>
      </c>
      <c r="F2830" t="str">
        <f>IF(AND(Entities[[#This Row],[ENT_TYPE]]="County",RIGHT(Entities[[#This Row],[ENT_NAME]],6)&lt;&gt;"County"),_xlfn.TEXTJOIN(" ",TRUE,Entities[[#This Row],[ENT_NAME]],"County"),Entities[[#This Row],[ENT_NAME]])</f>
        <v>Montgomery</v>
      </c>
    </row>
    <row r="2831" spans="1:6" x14ac:dyDescent="0.25">
      <c r="A2831" s="302" t="s">
        <v>9125</v>
      </c>
      <c r="B2831" s="303" t="str">
        <f t="shared" si="44"/>
        <v>x06003302</v>
      </c>
      <c r="C2831" t="s">
        <v>5458</v>
      </c>
      <c r="D2831" t="s">
        <v>9126</v>
      </c>
      <c r="E2831">
        <v>6</v>
      </c>
      <c r="F2831" t="str">
        <f>IF(AND(Entities[[#This Row],[ENT_TYPE]]="County",RIGHT(Entities[[#This Row],[ENT_NAME]],6)&lt;&gt;"County"),_xlfn.TEXTJOIN(" ",TRUE,Entities[[#This Row],[ENT_NAME]],"County"),Entities[[#This Row],[ENT_NAME]])</f>
        <v>Tomball</v>
      </c>
    </row>
    <row r="2832" spans="1:6" x14ac:dyDescent="0.25">
      <c r="A2832" s="304" t="s">
        <v>9127</v>
      </c>
      <c r="B2832" s="303" t="str">
        <f t="shared" si="44"/>
        <v>x06003305</v>
      </c>
      <c r="C2832" t="s">
        <v>5458</v>
      </c>
      <c r="D2832" t="s">
        <v>9128</v>
      </c>
      <c r="E2832">
        <v>6</v>
      </c>
      <c r="F2832" t="str">
        <f>IF(AND(Entities[[#This Row],[ENT_TYPE]]="County",RIGHT(Entities[[#This Row],[ENT_NAME]],6)&lt;&gt;"County"),_xlfn.TEXTJOIN(" ",TRUE,Entities[[#This Row],[ENT_NAME]],"County"),Entities[[#This Row],[ENT_NAME]])</f>
        <v>Southside Place</v>
      </c>
    </row>
    <row r="2833" spans="1:6" x14ac:dyDescent="0.25">
      <c r="A2833" s="304" t="s">
        <v>9129</v>
      </c>
      <c r="B2833" s="303" t="str">
        <f t="shared" si="44"/>
        <v>x06003306</v>
      </c>
      <c r="C2833" t="s">
        <v>5458</v>
      </c>
      <c r="D2833" t="s">
        <v>9130</v>
      </c>
      <c r="E2833">
        <v>6</v>
      </c>
      <c r="F2833" t="str">
        <f>IF(AND(Entities[[#This Row],[ENT_TYPE]]="County",RIGHT(Entities[[#This Row],[ENT_NAME]],6)&lt;&gt;"County"),_xlfn.TEXTJOIN(" ",TRUE,Entities[[#This Row],[ENT_NAME]],"County"),Entities[[#This Row],[ENT_NAME]])</f>
        <v>Webster</v>
      </c>
    </row>
    <row r="2834" spans="1:6" x14ac:dyDescent="0.25">
      <c r="A2834" s="302" t="s">
        <v>9131</v>
      </c>
      <c r="B2834" s="303" t="str">
        <f t="shared" si="44"/>
        <v>x06003307</v>
      </c>
      <c r="C2834" t="s">
        <v>5458</v>
      </c>
      <c r="D2834" t="s">
        <v>9132</v>
      </c>
      <c r="E2834">
        <v>6</v>
      </c>
      <c r="F2834" t="str">
        <f>IF(AND(Entities[[#This Row],[ENT_TYPE]]="County",RIGHT(Entities[[#This Row],[ENT_NAME]],6)&lt;&gt;"County"),_xlfn.TEXTJOIN(" ",TRUE,Entities[[#This Row],[ENT_NAME]],"County"),Entities[[#This Row],[ENT_NAME]])</f>
        <v>Pasadena</v>
      </c>
    </row>
    <row r="2835" spans="1:6" x14ac:dyDescent="0.25">
      <c r="A2835" s="304" t="s">
        <v>323</v>
      </c>
      <c r="B2835" s="303" t="str">
        <f t="shared" si="44"/>
        <v>x06003391</v>
      </c>
      <c r="C2835" t="s">
        <v>5458</v>
      </c>
      <c r="D2835" t="s">
        <v>9133</v>
      </c>
      <c r="E2835">
        <v>6</v>
      </c>
      <c r="F2835" t="str">
        <f>IF(AND(Entities[[#This Row],[ENT_TYPE]]="County",RIGHT(Entities[[#This Row],[ENT_NAME]],6)&lt;&gt;"County"),_xlfn.TEXTJOIN(" ",TRUE,Entities[[#This Row],[ENT_NAME]],"County"),Entities[[#This Row],[ENT_NAME]])</f>
        <v>New Waverly</v>
      </c>
    </row>
    <row r="2836" spans="1:6" x14ac:dyDescent="0.25">
      <c r="A2836" s="302" t="s">
        <v>329</v>
      </c>
      <c r="B2836" s="303" t="str">
        <f t="shared" si="44"/>
        <v>x06003396</v>
      </c>
      <c r="C2836" t="s">
        <v>5458</v>
      </c>
      <c r="D2836" t="s">
        <v>9134</v>
      </c>
      <c r="E2836">
        <v>6</v>
      </c>
      <c r="F2836" t="str">
        <f>IF(AND(Entities[[#This Row],[ENT_TYPE]]="County",RIGHT(Entities[[#This Row],[ENT_NAME]],6)&lt;&gt;"County"),_xlfn.TEXTJOIN(" ",TRUE,Entities[[#This Row],[ENT_NAME]],"County"),Entities[[#This Row],[ENT_NAME]])</f>
        <v>Kemah</v>
      </c>
    </row>
    <row r="2837" spans="1:6" x14ac:dyDescent="0.25">
      <c r="A2837" s="304" t="s">
        <v>9135</v>
      </c>
      <c r="B2837" s="303" t="str">
        <f t="shared" si="44"/>
        <v>x06003397</v>
      </c>
      <c r="C2837" t="s">
        <v>5458</v>
      </c>
      <c r="D2837" t="s">
        <v>9136</v>
      </c>
      <c r="E2837">
        <v>6</v>
      </c>
      <c r="F2837" t="str">
        <f>IF(AND(Entities[[#This Row],[ENT_TYPE]]="County",RIGHT(Entities[[#This Row],[ENT_NAME]],6)&lt;&gt;"County"),_xlfn.TEXTJOIN(" ",TRUE,Entities[[#This Row],[ENT_NAME]],"County"),Entities[[#This Row],[ENT_NAME]])</f>
        <v>Tiki Island</v>
      </c>
    </row>
    <row r="2838" spans="1:6" x14ac:dyDescent="0.25">
      <c r="A2838" s="302" t="s">
        <v>9137</v>
      </c>
      <c r="B2838" s="303" t="str">
        <f t="shared" si="44"/>
        <v>x06003398</v>
      </c>
      <c r="C2838" t="s">
        <v>5458</v>
      </c>
      <c r="D2838" t="s">
        <v>9138</v>
      </c>
      <c r="E2838">
        <v>6</v>
      </c>
      <c r="F2838" t="str">
        <f>IF(AND(Entities[[#This Row],[ENT_TYPE]]="County",RIGHT(Entities[[#This Row],[ENT_NAME]],6)&lt;&gt;"County"),_xlfn.TEXTJOIN(" ",TRUE,Entities[[#This Row],[ENT_NAME]],"County"),Entities[[#This Row],[ENT_NAME]])</f>
        <v>Dickinson</v>
      </c>
    </row>
    <row r="2839" spans="1:6" x14ac:dyDescent="0.25">
      <c r="A2839" s="304" t="s">
        <v>320</v>
      </c>
      <c r="B2839" s="303" t="str">
        <f t="shared" si="44"/>
        <v>x06003415</v>
      </c>
      <c r="C2839" t="s">
        <v>5458</v>
      </c>
      <c r="D2839" t="s">
        <v>9139</v>
      </c>
      <c r="E2839">
        <v>6</v>
      </c>
      <c r="F2839" t="str">
        <f>IF(AND(Entities[[#This Row],[ENT_TYPE]]="County",RIGHT(Entities[[#This Row],[ENT_NAME]],6)&lt;&gt;"County"),_xlfn.TEXTJOIN(" ",TRUE,Entities[[#This Row],[ENT_NAME]],"County"),Entities[[#This Row],[ENT_NAME]])</f>
        <v>Todd Mission</v>
      </c>
    </row>
    <row r="2840" spans="1:6" x14ac:dyDescent="0.25">
      <c r="A2840" s="304" t="s">
        <v>9140</v>
      </c>
      <c r="B2840" s="303" t="str">
        <f t="shared" si="44"/>
        <v>x06003512</v>
      </c>
      <c r="C2840" t="s">
        <v>5458</v>
      </c>
      <c r="D2840" t="s">
        <v>9141</v>
      </c>
      <c r="E2840">
        <v>6</v>
      </c>
      <c r="F2840" t="str">
        <f>IF(AND(Entities[[#This Row],[ENT_TYPE]]="County",RIGHT(Entities[[#This Row],[ENT_NAME]],6)&lt;&gt;"County"),_xlfn.TEXTJOIN(" ",TRUE,Entities[[#This Row],[ENT_NAME]],"County"),Entities[[#This Row],[ENT_NAME]])</f>
        <v>Seabrook</v>
      </c>
    </row>
    <row r="2841" spans="1:6" x14ac:dyDescent="0.25">
      <c r="A2841" s="302" t="s">
        <v>9142</v>
      </c>
      <c r="B2841" s="303" t="str">
        <f t="shared" si="44"/>
        <v>x06003544</v>
      </c>
      <c r="C2841" t="s">
        <v>5458</v>
      </c>
      <c r="D2841" t="s">
        <v>9143</v>
      </c>
      <c r="E2841">
        <v>6</v>
      </c>
      <c r="F2841" t="str">
        <f>IF(AND(Entities[[#This Row],[ENT_TYPE]]="County",RIGHT(Entities[[#This Row],[ENT_NAME]],6)&lt;&gt;"County"),_xlfn.TEXTJOIN(" ",TRUE,Entities[[#This Row],[ENT_NAME]],"County"),Entities[[#This Row],[ENT_NAME]])</f>
        <v>Shoreacres</v>
      </c>
    </row>
    <row r="2842" spans="1:6" x14ac:dyDescent="0.25">
      <c r="A2842" s="302" t="s">
        <v>9144</v>
      </c>
      <c r="B2842" s="303" t="str">
        <f t="shared" si="44"/>
        <v>x06003593</v>
      </c>
      <c r="C2842" t="s">
        <v>5458</v>
      </c>
      <c r="D2842" t="s">
        <v>9145</v>
      </c>
      <c r="E2842">
        <v>6</v>
      </c>
      <c r="F2842" t="str">
        <f>IF(AND(Entities[[#This Row],[ENT_TYPE]]="County",RIGHT(Entities[[#This Row],[ENT_NAME]],6)&lt;&gt;"County"),_xlfn.TEXTJOIN(" ",TRUE,Entities[[#This Row],[ENT_NAME]],"County"),Entities[[#This Row],[ENT_NAME]])</f>
        <v>Spring Valley Village</v>
      </c>
    </row>
    <row r="2843" spans="1:6" x14ac:dyDescent="0.25">
      <c r="A2843" s="304" t="s">
        <v>9146</v>
      </c>
      <c r="B2843" s="303" t="str">
        <f t="shared" si="44"/>
        <v>x06003594</v>
      </c>
      <c r="C2843" t="s">
        <v>5458</v>
      </c>
      <c r="D2843" t="s">
        <v>9147</v>
      </c>
      <c r="E2843">
        <v>6</v>
      </c>
      <c r="F2843" t="str">
        <f>IF(AND(Entities[[#This Row],[ENT_TYPE]]="County",RIGHT(Entities[[#This Row],[ENT_NAME]],6)&lt;&gt;"County"),_xlfn.TEXTJOIN(" ",TRUE,Entities[[#This Row],[ENT_NAME]],"County"),Entities[[#This Row],[ENT_NAME]])</f>
        <v>Taylor Lake Village</v>
      </c>
    </row>
    <row r="2844" spans="1:6" x14ac:dyDescent="0.25">
      <c r="A2844" s="302" t="s">
        <v>9148</v>
      </c>
      <c r="B2844" s="303" t="str">
        <f t="shared" si="44"/>
        <v>x06003595</v>
      </c>
      <c r="C2844" t="s">
        <v>5458</v>
      </c>
      <c r="D2844" t="s">
        <v>9149</v>
      </c>
      <c r="E2844">
        <v>6</v>
      </c>
      <c r="F2844" t="str">
        <f>IF(AND(Entities[[#This Row],[ENT_TYPE]]="County",RIGHT(Entities[[#This Row],[ENT_NAME]],6)&lt;&gt;"County"),_xlfn.TEXTJOIN(" ",TRUE,Entities[[#This Row],[ENT_NAME]],"County"),Entities[[#This Row],[ENT_NAME]])</f>
        <v>West University Place</v>
      </c>
    </row>
    <row r="2845" spans="1:6" x14ac:dyDescent="0.25">
      <c r="A2845" s="302" t="s">
        <v>9150</v>
      </c>
      <c r="B2845" s="303" t="str">
        <f t="shared" si="44"/>
        <v>x06003597</v>
      </c>
      <c r="C2845" t="s">
        <v>5458</v>
      </c>
      <c r="D2845" t="s">
        <v>9151</v>
      </c>
      <c r="E2845">
        <v>6</v>
      </c>
      <c r="F2845" t="str">
        <f>IF(AND(Entities[[#This Row],[ENT_TYPE]]="County",RIGHT(Entities[[#This Row],[ENT_NAME]],6)&lt;&gt;"County"),_xlfn.TEXTJOIN(" ",TRUE,Entities[[#This Row],[ENT_NAME]],"County"),Entities[[#This Row],[ENT_NAME]])</f>
        <v>Humble</v>
      </c>
    </row>
    <row r="2846" spans="1:6" x14ac:dyDescent="0.25">
      <c r="A2846" s="302" t="s">
        <v>9152</v>
      </c>
      <c r="B2846" s="303" t="str">
        <f t="shared" si="44"/>
        <v>x06003598</v>
      </c>
      <c r="C2846" t="s">
        <v>4</v>
      </c>
      <c r="D2846" t="s">
        <v>9153</v>
      </c>
      <c r="E2846">
        <v>6</v>
      </c>
      <c r="F2846" t="str">
        <f>IF(AND(Entities[[#This Row],[ENT_TYPE]]="County",RIGHT(Entities[[#This Row],[ENT_NAME]],6)&lt;&gt;"County"),_xlfn.TEXTJOIN(" ",TRUE,Entities[[#This Row],[ENT_NAME]],"County"),Entities[[#This Row],[ENT_NAME]])</f>
        <v>Woodlands Water Agency</v>
      </c>
    </row>
    <row r="2847" spans="1:6" x14ac:dyDescent="0.25">
      <c r="A2847" s="304" t="s">
        <v>9154</v>
      </c>
      <c r="B2847" s="303" t="str">
        <f t="shared" si="44"/>
        <v>x06003600</v>
      </c>
      <c r="C2847" t="s">
        <v>5458</v>
      </c>
      <c r="D2847" t="s">
        <v>9155</v>
      </c>
      <c r="E2847">
        <v>6</v>
      </c>
      <c r="F2847" t="str">
        <f>IF(AND(Entities[[#This Row],[ENT_TYPE]]="County",RIGHT(Entities[[#This Row],[ENT_NAME]],6)&lt;&gt;"County"),_xlfn.TEXTJOIN(" ",TRUE,Entities[[#This Row],[ENT_NAME]],"County"),Entities[[#This Row],[ENT_NAME]])</f>
        <v>Spring</v>
      </c>
    </row>
    <row r="2848" spans="1:6" x14ac:dyDescent="0.25">
      <c r="A2848" s="302" t="s">
        <v>9156</v>
      </c>
      <c r="B2848" s="303" t="str">
        <f t="shared" si="44"/>
        <v>x06003601</v>
      </c>
      <c r="C2848" t="s">
        <v>5458</v>
      </c>
      <c r="D2848" t="s">
        <v>9157</v>
      </c>
      <c r="E2848">
        <v>6</v>
      </c>
      <c r="F2848" t="str">
        <f>IF(AND(Entities[[#This Row],[ENT_TYPE]]="County",RIGHT(Entities[[#This Row],[ENT_NAME]],6)&lt;&gt;"County"),_xlfn.TEXTJOIN(" ",TRUE,Entities[[#This Row],[ENT_NAME]],"County"),Entities[[#This Row],[ENT_NAME]])</f>
        <v>The Woodlands</v>
      </c>
    </row>
    <row r="2849" spans="1:6" x14ac:dyDescent="0.25">
      <c r="A2849" s="302" t="s">
        <v>9158</v>
      </c>
      <c r="B2849" s="303" t="str">
        <f t="shared" si="44"/>
        <v>x06003602</v>
      </c>
      <c r="C2849" t="s">
        <v>4</v>
      </c>
      <c r="D2849" t="s">
        <v>9159</v>
      </c>
      <c r="E2849">
        <v>6</v>
      </c>
      <c r="F2849" t="str">
        <f>IF(AND(Entities[[#This Row],[ENT_TYPE]]="County",RIGHT(Entities[[#This Row],[ENT_NAME]],6)&lt;&gt;"County"),_xlfn.TEXTJOIN(" ",TRUE,Entities[[#This Row],[ENT_NAME]],"County"),Entities[[#This Row],[ENT_NAME]])</f>
        <v>Liberty County Water Control District 1</v>
      </c>
    </row>
    <row r="2850" spans="1:6" x14ac:dyDescent="0.25">
      <c r="A2850" s="304" t="s">
        <v>9160</v>
      </c>
      <c r="B2850" s="303" t="str">
        <f t="shared" si="44"/>
        <v>x07000111</v>
      </c>
      <c r="C2850" t="s">
        <v>4947</v>
      </c>
      <c r="D2850" t="s">
        <v>3331</v>
      </c>
      <c r="E2850">
        <v>7</v>
      </c>
      <c r="F2850" t="str">
        <f>IF(AND(Entities[[#This Row],[ENT_TYPE]]="County",RIGHT(Entities[[#This Row],[ENT_NAME]],6)&lt;&gt;"County"),_xlfn.TEXTJOIN(" ",TRUE,Entities[[#This Row],[ENT_NAME]],"County"),Entities[[#This Row],[ENT_NAME]])</f>
        <v>Shackelford County</v>
      </c>
    </row>
    <row r="2851" spans="1:6" x14ac:dyDescent="0.25">
      <c r="A2851" s="302" t="s">
        <v>3005</v>
      </c>
      <c r="B2851" s="303" t="str">
        <f t="shared" si="44"/>
        <v>x07000112</v>
      </c>
      <c r="C2851" t="s">
        <v>4947</v>
      </c>
      <c r="D2851" t="s">
        <v>2999</v>
      </c>
      <c r="E2851">
        <v>7</v>
      </c>
      <c r="F2851" t="str">
        <f>IF(AND(Entities[[#This Row],[ENT_TYPE]]="County",RIGHT(Entities[[#This Row],[ENT_NAME]],6)&lt;&gt;"County"),_xlfn.TEXTJOIN(" ",TRUE,Entities[[#This Row],[ENT_NAME]],"County"),Entities[[#This Row],[ENT_NAME]])</f>
        <v>Jones County</v>
      </c>
    </row>
    <row r="2852" spans="1:6" x14ac:dyDescent="0.25">
      <c r="A2852" s="302" t="s">
        <v>3030</v>
      </c>
      <c r="B2852" s="303" t="str">
        <f t="shared" si="44"/>
        <v>x07000114</v>
      </c>
      <c r="C2852" t="s">
        <v>4947</v>
      </c>
      <c r="D2852" t="s">
        <v>3026</v>
      </c>
      <c r="E2852">
        <v>7</v>
      </c>
      <c r="F2852" t="str">
        <f>IF(AND(Entities[[#This Row],[ENT_TYPE]]="County",RIGHT(Entities[[#This Row],[ENT_NAME]],6)&lt;&gt;"County"),_xlfn.TEXTJOIN(" ",TRUE,Entities[[#This Row],[ENT_NAME]],"County"),Entities[[#This Row],[ENT_NAME]])</f>
        <v>Fisher County</v>
      </c>
    </row>
    <row r="2853" spans="1:6" x14ac:dyDescent="0.25">
      <c r="A2853" s="304" t="s">
        <v>3281</v>
      </c>
      <c r="B2853" s="303" t="str">
        <f t="shared" si="44"/>
        <v>x07000179</v>
      </c>
      <c r="C2853" t="s">
        <v>4947</v>
      </c>
      <c r="D2853" t="s">
        <v>3226</v>
      </c>
      <c r="E2853">
        <v>7</v>
      </c>
      <c r="F2853" t="str">
        <f>IF(AND(Entities[[#This Row],[ENT_TYPE]]="County",RIGHT(Entities[[#This Row],[ENT_NAME]],6)&lt;&gt;"County"),_xlfn.TEXTJOIN(" ",TRUE,Entities[[#This Row],[ENT_NAME]],"County"),Entities[[#This Row],[ENT_NAME]])</f>
        <v>Stonewall County</v>
      </c>
    </row>
    <row r="2854" spans="1:6" x14ac:dyDescent="0.25">
      <c r="A2854" s="302" t="s">
        <v>3016</v>
      </c>
      <c r="B2854" s="303" t="str">
        <f t="shared" si="44"/>
        <v>x07000180</v>
      </c>
      <c r="C2854" t="s">
        <v>4947</v>
      </c>
      <c r="D2854" t="s">
        <v>3010</v>
      </c>
      <c r="E2854">
        <v>7</v>
      </c>
      <c r="F2854" t="str">
        <f>IF(AND(Entities[[#This Row],[ENT_TYPE]]="County",RIGHT(Entities[[#This Row],[ENT_NAME]],6)&lt;&gt;"County"),_xlfn.TEXTJOIN(" ",TRUE,Entities[[#This Row],[ENT_NAME]],"County"),Entities[[#This Row],[ENT_NAME]])</f>
        <v>Haskell County</v>
      </c>
    </row>
    <row r="2855" spans="1:6" x14ac:dyDescent="0.25">
      <c r="A2855" s="304" t="s">
        <v>3188</v>
      </c>
      <c r="B2855" s="303" t="str">
        <f t="shared" si="44"/>
        <v>x07000181</v>
      </c>
      <c r="C2855" t="s">
        <v>4947</v>
      </c>
      <c r="D2855" t="s">
        <v>3183</v>
      </c>
      <c r="E2855">
        <v>7</v>
      </c>
      <c r="F2855" t="str">
        <f>IF(AND(Entities[[#This Row],[ENT_TYPE]]="County",RIGHT(Entities[[#This Row],[ENT_NAME]],6)&lt;&gt;"County"),_xlfn.TEXTJOIN(" ",TRUE,Entities[[#This Row],[ENT_NAME]],"County"),Entities[[#This Row],[ENT_NAME]])</f>
        <v>Kent County</v>
      </c>
    </row>
    <row r="2856" spans="1:6" x14ac:dyDescent="0.25">
      <c r="A2856" s="302" t="s">
        <v>9161</v>
      </c>
      <c r="B2856" s="303" t="str">
        <f t="shared" si="44"/>
        <v>x07000182</v>
      </c>
      <c r="C2856" t="s">
        <v>4947</v>
      </c>
      <c r="D2856" t="s">
        <v>9162</v>
      </c>
      <c r="E2856">
        <v>7</v>
      </c>
      <c r="F2856" t="str">
        <f>IF(AND(Entities[[#This Row],[ENT_TYPE]]="County",RIGHT(Entities[[#This Row],[ENT_NAME]],6)&lt;&gt;"County"),_xlfn.TEXTJOIN(" ",TRUE,Entities[[#This Row],[ENT_NAME]],"County"),Entities[[#This Row],[ENT_NAME]])</f>
        <v>Throckmorton County</v>
      </c>
    </row>
    <row r="2857" spans="1:6" x14ac:dyDescent="0.25">
      <c r="A2857" s="302" t="s">
        <v>9163</v>
      </c>
      <c r="B2857" s="303" t="str">
        <f t="shared" si="44"/>
        <v>x07000201</v>
      </c>
      <c r="C2857" t="s">
        <v>4947</v>
      </c>
      <c r="D2857" t="s">
        <v>3299</v>
      </c>
      <c r="E2857">
        <v>7</v>
      </c>
      <c r="F2857" t="str">
        <f>IF(AND(Entities[[#This Row],[ENT_TYPE]]="County",RIGHT(Entities[[#This Row],[ENT_NAME]],6)&lt;&gt;"County"),_xlfn.TEXTJOIN(" ",TRUE,Entities[[#This Row],[ENT_NAME]],"County"),Entities[[#This Row],[ENT_NAME]])</f>
        <v>Lamb County</v>
      </c>
    </row>
    <row r="2858" spans="1:6" x14ac:dyDescent="0.25">
      <c r="A2858" s="304" t="s">
        <v>3202</v>
      </c>
      <c r="B2858" s="303" t="str">
        <f t="shared" si="44"/>
        <v>x07000202</v>
      </c>
      <c r="C2858" t="s">
        <v>4947</v>
      </c>
      <c r="D2858" t="s">
        <v>3197</v>
      </c>
      <c r="E2858">
        <v>7</v>
      </c>
      <c r="F2858" t="str">
        <f>IF(AND(Entities[[#This Row],[ENT_TYPE]]="County",RIGHT(Entities[[#This Row],[ENT_NAME]],6)&lt;&gt;"County"),_xlfn.TEXTJOIN(" ",TRUE,Entities[[#This Row],[ENT_NAME]],"County"),Entities[[#This Row],[ENT_NAME]])</f>
        <v>Bailey County</v>
      </c>
    </row>
    <row r="2859" spans="1:6" x14ac:dyDescent="0.25">
      <c r="A2859" s="302" t="s">
        <v>3371</v>
      </c>
      <c r="B2859" s="303" t="str">
        <f t="shared" si="44"/>
        <v>x07000222</v>
      </c>
      <c r="C2859" t="s">
        <v>4947</v>
      </c>
      <c r="D2859" t="s">
        <v>3043</v>
      </c>
      <c r="E2859">
        <v>7</v>
      </c>
      <c r="F2859" t="str">
        <f>IF(AND(Entities[[#This Row],[ENT_TYPE]]="County",RIGHT(Entities[[#This Row],[ENT_NAME]],6)&lt;&gt;"County"),_xlfn.TEXTJOIN(" ",TRUE,Entities[[#This Row],[ENT_NAME]],"County"),Entities[[#This Row],[ENT_NAME]])</f>
        <v>Lubbock County</v>
      </c>
    </row>
    <row r="2860" spans="1:6" x14ac:dyDescent="0.25">
      <c r="A2860" s="302" t="s">
        <v>3365</v>
      </c>
      <c r="B2860" s="303" t="str">
        <f t="shared" si="44"/>
        <v>x07000298</v>
      </c>
      <c r="C2860" t="s">
        <v>5127</v>
      </c>
      <c r="D2860" t="s">
        <v>9164</v>
      </c>
      <c r="E2860">
        <v>7</v>
      </c>
      <c r="F2860" t="str">
        <f>IF(AND(Entities[[#This Row],[ENT_TYPE]]="County",RIGHT(Entities[[#This Row],[ENT_NAME]],6)&lt;&gt;"County"),_xlfn.TEXTJOIN(" ",TRUE,Entities[[#This Row],[ENT_NAME]],"County"),Entities[[#This Row],[ENT_NAME]])</f>
        <v>North Central Texas MWA</v>
      </c>
    </row>
    <row r="2861" spans="1:6" x14ac:dyDescent="0.25">
      <c r="A2861" s="304" t="s">
        <v>9165</v>
      </c>
      <c r="B2861" s="303" t="str">
        <f t="shared" si="44"/>
        <v>x07000306</v>
      </c>
      <c r="C2861" t="s">
        <v>5127</v>
      </c>
      <c r="D2861" t="s">
        <v>9166</v>
      </c>
      <c r="E2861">
        <v>7</v>
      </c>
      <c r="F2861" t="str">
        <f>IF(AND(Entities[[#This Row],[ENT_TYPE]]="County",RIGHT(Entities[[#This Row],[ENT_NAME]],6)&lt;&gt;"County"),_xlfn.TEXTJOIN(" ",TRUE,Entities[[#This Row],[ENT_NAME]],"County"),Entities[[#This Row],[ENT_NAME]])</f>
        <v>West Central Texas Municipal Water District</v>
      </c>
    </row>
    <row r="2862" spans="1:6" x14ac:dyDescent="0.25">
      <c r="A2862" s="304" t="s">
        <v>9167</v>
      </c>
      <c r="B2862" s="303" t="str">
        <f t="shared" si="44"/>
        <v>x07000444</v>
      </c>
      <c r="C2862" t="s">
        <v>4</v>
      </c>
      <c r="D2862" t="s">
        <v>9168</v>
      </c>
      <c r="E2862">
        <v>7</v>
      </c>
      <c r="F2862" t="str">
        <f>IF(AND(Entities[[#This Row],[ENT_TYPE]]="County",RIGHT(Entities[[#This Row],[ENT_NAME]],6)&lt;&gt;"County"),_xlfn.TEXTJOIN(" ",TRUE,Entities[[#This Row],[ENT_NAME]],"County"),Entities[[#This Row],[ENT_NAME]])</f>
        <v>Fort Griffin SUD</v>
      </c>
    </row>
    <row r="2863" spans="1:6" x14ac:dyDescent="0.25">
      <c r="A2863" s="304" t="s">
        <v>9169</v>
      </c>
      <c r="B2863" s="303" t="str">
        <f t="shared" si="44"/>
        <v>x07000541</v>
      </c>
      <c r="C2863" t="s">
        <v>4</v>
      </c>
      <c r="D2863" t="s">
        <v>9170</v>
      </c>
      <c r="E2863">
        <v>7</v>
      </c>
      <c r="F2863" t="str">
        <f>IF(AND(Entities[[#This Row],[ENT_TYPE]]="County",RIGHT(Entities[[#This Row],[ENT_NAME]],6)&lt;&gt;"County"),_xlfn.TEXTJOIN(" ",TRUE,Entities[[#This Row],[ENT_NAME]],"County"),Entities[[#This Row],[ENT_NAME]])</f>
        <v>Stonewall County WCID 1</v>
      </c>
    </row>
    <row r="2864" spans="1:6" x14ac:dyDescent="0.25">
      <c r="A2864" s="304" t="s">
        <v>9171</v>
      </c>
      <c r="B2864" s="303" t="str">
        <f t="shared" si="44"/>
        <v>x07000644</v>
      </c>
      <c r="C2864" t="s">
        <v>4</v>
      </c>
      <c r="D2864" t="s">
        <v>9172</v>
      </c>
      <c r="E2864">
        <v>7</v>
      </c>
      <c r="F2864" t="str">
        <f>IF(AND(Entities[[#This Row],[ENT_TYPE]]="County",RIGHT(Entities[[#This Row],[ENT_NAME]],6)&lt;&gt;"County"),_xlfn.TEXTJOIN(" ",TRUE,Entities[[#This Row],[ENT_NAME]],"County"),Entities[[#This Row],[ENT_NAME]])</f>
        <v>Haskell County WSD 1</v>
      </c>
    </row>
    <row r="2865" spans="1:6" x14ac:dyDescent="0.25">
      <c r="A2865" s="302" t="s">
        <v>9173</v>
      </c>
      <c r="B2865" s="303" t="str">
        <f t="shared" si="44"/>
        <v>x07000649</v>
      </c>
      <c r="C2865" t="s">
        <v>4</v>
      </c>
      <c r="D2865" t="s">
        <v>9174</v>
      </c>
      <c r="E2865">
        <v>7</v>
      </c>
      <c r="F2865" t="str">
        <f>IF(AND(Entities[[#This Row],[ENT_TYPE]]="County",RIGHT(Entities[[#This Row],[ENT_NAME]],6)&lt;&gt;"County"),_xlfn.TEXTJOIN(" ",TRUE,Entities[[#This Row],[ENT_NAME]],"County"),Entities[[#This Row],[ENT_NAME]])</f>
        <v>White River MWD</v>
      </c>
    </row>
    <row r="2866" spans="1:6" x14ac:dyDescent="0.25">
      <c r="A2866" s="304" t="s">
        <v>9175</v>
      </c>
      <c r="B2866" s="303" t="str">
        <f t="shared" si="44"/>
        <v>x07000663</v>
      </c>
      <c r="C2866" t="s">
        <v>4</v>
      </c>
      <c r="D2866" t="s">
        <v>9176</v>
      </c>
      <c r="E2866">
        <v>7</v>
      </c>
      <c r="F2866" t="str">
        <f>IF(AND(Entities[[#This Row],[ENT_TYPE]]="County",RIGHT(Entities[[#This Row],[ENT_NAME]],6)&lt;&gt;"County"),_xlfn.TEXTJOIN(" ",TRUE,Entities[[#This Row],[ENT_NAME]],"County"),Entities[[#This Row],[ENT_NAME]])</f>
        <v>Knox County Drainage District 1</v>
      </c>
    </row>
    <row r="2867" spans="1:6" x14ac:dyDescent="0.25">
      <c r="A2867" s="302" t="s">
        <v>9177</v>
      </c>
      <c r="B2867" s="303" t="str">
        <f t="shared" si="44"/>
        <v>x07000668</v>
      </c>
      <c r="C2867" t="s">
        <v>4</v>
      </c>
      <c r="D2867" t="s">
        <v>9178</v>
      </c>
      <c r="E2867">
        <v>7</v>
      </c>
      <c r="F2867" t="str">
        <f>IF(AND(Entities[[#This Row],[ENT_TYPE]]="County",RIGHT(Entities[[#This Row],[ENT_NAME]],6)&lt;&gt;"County"),_xlfn.TEXTJOIN(" ",TRUE,Entities[[#This Row],[ENT_NAME]],"County"),Entities[[#This Row],[ENT_NAME]])</f>
        <v>Lytle Lake WCID</v>
      </c>
    </row>
    <row r="2868" spans="1:6" x14ac:dyDescent="0.25">
      <c r="A2868" s="302" t="s">
        <v>9179</v>
      </c>
      <c r="B2868" s="303" t="str">
        <f t="shared" si="44"/>
        <v>x07001587</v>
      </c>
      <c r="C2868" t="s">
        <v>4</v>
      </c>
      <c r="D2868" t="s">
        <v>9180</v>
      </c>
      <c r="E2868">
        <v>7</v>
      </c>
      <c r="F2868" t="str">
        <f>IF(AND(Entities[[#This Row],[ENT_TYPE]]="County",RIGHT(Entities[[#This Row],[ENT_NAME]],6)&lt;&gt;"County"),_xlfn.TEXTJOIN(" ",TRUE,Entities[[#This Row],[ENT_NAME]],"County"),Entities[[#This Row],[ENT_NAME]])</f>
        <v>Lake Alan Henry Water District</v>
      </c>
    </row>
    <row r="2869" spans="1:6" x14ac:dyDescent="0.25">
      <c r="A2869" s="304" t="s">
        <v>9181</v>
      </c>
      <c r="B2869" s="303" t="str">
        <f t="shared" si="44"/>
        <v>x07001789</v>
      </c>
      <c r="C2869" t="s">
        <v>4</v>
      </c>
      <c r="D2869" t="s">
        <v>9182</v>
      </c>
      <c r="E2869">
        <v>7</v>
      </c>
      <c r="F2869" t="str">
        <f>IF(AND(Entities[[#This Row],[ENT_TYPE]]="County",RIGHT(Entities[[#This Row],[ENT_NAME]],6)&lt;&gt;"County"),_xlfn.TEXTJOIN(" ",TRUE,Entities[[#This Row],[ENT_NAME]],"County"),Entities[[#This Row],[ENT_NAME]])</f>
        <v>Rotan Municipal Water Authority</v>
      </c>
    </row>
    <row r="2870" spans="1:6" x14ac:dyDescent="0.25">
      <c r="A2870" s="302" t="s">
        <v>9183</v>
      </c>
      <c r="B2870" s="303" t="str">
        <f t="shared" si="44"/>
        <v>x07002150</v>
      </c>
      <c r="C2870" t="s">
        <v>4</v>
      </c>
      <c r="D2870" t="s">
        <v>9184</v>
      </c>
      <c r="E2870">
        <v>7</v>
      </c>
      <c r="F2870" t="str">
        <f>IF(AND(Entities[[#This Row],[ENT_TYPE]]="County",RIGHT(Entities[[#This Row],[ENT_NAME]],6)&lt;&gt;"County"),_xlfn.TEXTJOIN(" ",TRUE,Entities[[#This Row],[ENT_NAME]],"County"),Entities[[#This Row],[ENT_NAME]])</f>
        <v>Lubbock County WCID 1</v>
      </c>
    </row>
    <row r="2871" spans="1:6" x14ac:dyDescent="0.25">
      <c r="A2871" s="304" t="s">
        <v>3296</v>
      </c>
      <c r="B2871" s="303" t="str">
        <f t="shared" si="44"/>
        <v>x07002386</v>
      </c>
      <c r="C2871" t="s">
        <v>5458</v>
      </c>
      <c r="D2871" t="s">
        <v>3292</v>
      </c>
      <c r="E2871">
        <v>7</v>
      </c>
      <c r="F2871" t="str">
        <f>IF(AND(Entities[[#This Row],[ENT_TYPE]]="County",RIGHT(Entities[[#This Row],[ENT_NAME]],6)&lt;&gt;"County"),_xlfn.TEXTJOIN(" ",TRUE,Entities[[#This Row],[ENT_NAME]],"County"),Entities[[#This Row],[ENT_NAME]])</f>
        <v>Dickens</v>
      </c>
    </row>
    <row r="2872" spans="1:6" x14ac:dyDescent="0.25">
      <c r="A2872" s="302" t="s">
        <v>9185</v>
      </c>
      <c r="B2872" s="303" t="str">
        <f t="shared" si="44"/>
        <v>x07002387</v>
      </c>
      <c r="C2872" t="s">
        <v>5458</v>
      </c>
      <c r="D2872" t="s">
        <v>9186</v>
      </c>
      <c r="E2872">
        <v>7</v>
      </c>
      <c r="F2872" t="str">
        <f>IF(AND(Entities[[#This Row],[ENT_TYPE]]="County",RIGHT(Entities[[#This Row],[ENT_NAME]],6)&lt;&gt;"County"),_xlfn.TEXTJOIN(" ",TRUE,Entities[[#This Row],[ENT_NAME]],"County"),Entities[[#This Row],[ENT_NAME]])</f>
        <v>Spur</v>
      </c>
    </row>
    <row r="2873" spans="1:6" x14ac:dyDescent="0.25">
      <c r="A2873" s="304" t="s">
        <v>9187</v>
      </c>
      <c r="B2873" s="303" t="str">
        <f t="shared" si="44"/>
        <v>x07002417</v>
      </c>
      <c r="C2873" t="s">
        <v>5458</v>
      </c>
      <c r="D2873" t="s">
        <v>9188</v>
      </c>
      <c r="E2873">
        <v>7</v>
      </c>
      <c r="F2873" t="str">
        <f>IF(AND(Entities[[#This Row],[ENT_TYPE]]="County",RIGHT(Entities[[#This Row],[ENT_NAME]],6)&lt;&gt;"County"),_xlfn.TEXTJOIN(" ",TRUE,Entities[[#This Row],[ENT_NAME]],"County"),Entities[[#This Row],[ENT_NAME]])</f>
        <v>Crosbyton</v>
      </c>
    </row>
    <row r="2874" spans="1:6" x14ac:dyDescent="0.25">
      <c r="A2874" s="302" t="s">
        <v>3270</v>
      </c>
      <c r="B2874" s="303" t="str">
        <f t="shared" si="44"/>
        <v>x07002418</v>
      </c>
      <c r="C2874" t="s">
        <v>5458</v>
      </c>
      <c r="D2874" t="s">
        <v>9189</v>
      </c>
      <c r="E2874">
        <v>7</v>
      </c>
      <c r="F2874" t="str">
        <f>IF(AND(Entities[[#This Row],[ENT_TYPE]]="County",RIGHT(Entities[[#This Row],[ENT_NAME]],6)&lt;&gt;"County"),_xlfn.TEXTJOIN(" ",TRUE,Entities[[#This Row],[ENT_NAME]],"County"),Entities[[#This Row],[ENT_NAME]])</f>
        <v>Ralls</v>
      </c>
    </row>
    <row r="2875" spans="1:6" x14ac:dyDescent="0.25">
      <c r="A2875" s="304" t="s">
        <v>3056</v>
      </c>
      <c r="B2875" s="303" t="str">
        <f t="shared" si="44"/>
        <v>x07002425</v>
      </c>
      <c r="C2875" t="s">
        <v>5458</v>
      </c>
      <c r="D2875" t="s">
        <v>9190</v>
      </c>
      <c r="E2875">
        <v>7</v>
      </c>
      <c r="F2875" t="str">
        <f>IF(AND(Entities[[#This Row],[ENT_TYPE]]="County",RIGHT(Entities[[#This Row],[ENT_NAME]],6)&lt;&gt;"County"),_xlfn.TEXTJOIN(" ",TRUE,Entities[[#This Row],[ENT_NAME]],"County"),Entities[[#This Row],[ENT_NAME]])</f>
        <v>Abilene</v>
      </c>
    </row>
    <row r="2876" spans="1:6" x14ac:dyDescent="0.25">
      <c r="A2876" s="302" t="s">
        <v>9191</v>
      </c>
      <c r="B2876" s="303" t="str">
        <f t="shared" si="44"/>
        <v>x07002445</v>
      </c>
      <c r="C2876" t="s">
        <v>5458</v>
      </c>
      <c r="D2876" t="s">
        <v>9192</v>
      </c>
      <c r="E2876">
        <v>7</v>
      </c>
      <c r="F2876" t="str">
        <f>IF(AND(Entities[[#This Row],[ENT_TYPE]]="County",RIGHT(Entities[[#This Row],[ENT_NAME]],6)&lt;&gt;"County"),_xlfn.TEXTJOIN(" ",TRUE,Entities[[#This Row],[ENT_NAME]],"County"),Entities[[#This Row],[ENT_NAME]])</f>
        <v>Hawley</v>
      </c>
    </row>
    <row r="2877" spans="1:6" x14ac:dyDescent="0.25">
      <c r="A2877" s="304" t="s">
        <v>9193</v>
      </c>
      <c r="B2877" s="303" t="str">
        <f t="shared" si="44"/>
        <v>x07002472</v>
      </c>
      <c r="C2877" t="s">
        <v>5458</v>
      </c>
      <c r="D2877" t="s">
        <v>9194</v>
      </c>
      <c r="E2877">
        <v>7</v>
      </c>
      <c r="F2877" t="str">
        <f>IF(AND(Entities[[#This Row],[ENT_TYPE]]="County",RIGHT(Entities[[#This Row],[ENT_NAME]],6)&lt;&gt;"County"),_xlfn.TEXTJOIN(" ",TRUE,Entities[[#This Row],[ENT_NAME]],"County"),Entities[[#This Row],[ENT_NAME]])</f>
        <v>O'Brien</v>
      </c>
    </row>
    <row r="2878" spans="1:6" x14ac:dyDescent="0.25">
      <c r="A2878" s="302" t="s">
        <v>9195</v>
      </c>
      <c r="B2878" s="303" t="str">
        <f t="shared" si="44"/>
        <v>x07002473</v>
      </c>
      <c r="C2878" t="s">
        <v>5458</v>
      </c>
      <c r="D2878" t="s">
        <v>9196</v>
      </c>
      <c r="E2878">
        <v>7</v>
      </c>
      <c r="F2878" t="str">
        <f>IF(AND(Entities[[#This Row],[ENT_TYPE]]="County",RIGHT(Entities[[#This Row],[ENT_NAME]],6)&lt;&gt;"County"),_xlfn.TEXTJOIN(" ",TRUE,Entities[[#This Row],[ENT_NAME]],"County"),Entities[[#This Row],[ENT_NAME]])</f>
        <v>Stamford</v>
      </c>
    </row>
    <row r="2879" spans="1:6" x14ac:dyDescent="0.25">
      <c r="A2879" s="304" t="s">
        <v>3223</v>
      </c>
      <c r="B2879" s="303" t="str">
        <f t="shared" si="44"/>
        <v>x07002478</v>
      </c>
      <c r="C2879" t="s">
        <v>5458</v>
      </c>
      <c r="D2879" t="s">
        <v>9197</v>
      </c>
      <c r="E2879">
        <v>7</v>
      </c>
      <c r="F2879" t="str">
        <f>IF(AND(Entities[[#This Row],[ENT_TYPE]]="County",RIGHT(Entities[[#This Row],[ENT_NAME]],6)&lt;&gt;"County"),_xlfn.TEXTJOIN(" ",TRUE,Entities[[#This Row],[ENT_NAME]],"County"),Entities[[#This Row],[ENT_NAME]])</f>
        <v>Anson</v>
      </c>
    </row>
    <row r="2880" spans="1:6" x14ac:dyDescent="0.25">
      <c r="A2880" s="302" t="s">
        <v>3238</v>
      </c>
      <c r="B2880" s="303" t="str">
        <f t="shared" si="44"/>
        <v>x07002528</v>
      </c>
      <c r="C2880" t="s">
        <v>5458</v>
      </c>
      <c r="D2880" t="s">
        <v>9198</v>
      </c>
      <c r="E2880">
        <v>7</v>
      </c>
      <c r="F2880" t="str">
        <f>IF(AND(Entities[[#This Row],[ENT_TYPE]]="County",RIGHT(Entities[[#This Row],[ENT_NAME]],6)&lt;&gt;"County"),_xlfn.TEXTJOIN(" ",TRUE,Entities[[#This Row],[ENT_NAME]],"County"),Entities[[#This Row],[ENT_NAME]])</f>
        <v>Jayton</v>
      </c>
    </row>
    <row r="2881" spans="1:6" x14ac:dyDescent="0.25">
      <c r="A2881" s="304" t="s">
        <v>9199</v>
      </c>
      <c r="B2881" s="303" t="str">
        <f t="shared" si="44"/>
        <v>x07002545</v>
      </c>
      <c r="C2881" t="s">
        <v>5458</v>
      </c>
      <c r="D2881" t="s">
        <v>9200</v>
      </c>
      <c r="E2881">
        <v>7</v>
      </c>
      <c r="F2881" t="str">
        <f>IF(AND(Entities[[#This Row],[ENT_TYPE]]="County",RIGHT(Entities[[#This Row],[ENT_NAME]],6)&lt;&gt;"County"),_xlfn.TEXTJOIN(" ",TRUE,Entities[[#This Row],[ENT_NAME]],"County"),Entities[[#This Row],[ENT_NAME]])</f>
        <v>Rotan</v>
      </c>
    </row>
    <row r="2882" spans="1:6" x14ac:dyDescent="0.25">
      <c r="A2882" s="302" t="s">
        <v>9201</v>
      </c>
      <c r="B2882" s="303" t="str">
        <f t="shared" ref="B2882:B2945" si="45">_xlfn.CONCAT("x",TEXT(A2882,"00000000"))</f>
        <v>x07002582</v>
      </c>
      <c r="C2882" t="s">
        <v>5458</v>
      </c>
      <c r="D2882" t="s">
        <v>9202</v>
      </c>
      <c r="E2882">
        <v>7</v>
      </c>
      <c r="F2882" t="str">
        <f>IF(AND(Entities[[#This Row],[ENT_TYPE]]="County",RIGHT(Entities[[#This Row],[ENT_NAME]],6)&lt;&gt;"County"),_xlfn.TEXTJOIN(" ",TRUE,Entities[[#This Row],[ENT_NAME]],"County"),Entities[[#This Row],[ENT_NAME]])</f>
        <v>Roscoe</v>
      </c>
    </row>
    <row r="2883" spans="1:6" x14ac:dyDescent="0.25">
      <c r="A2883" s="304" t="s">
        <v>3066</v>
      </c>
      <c r="B2883" s="303" t="str">
        <f t="shared" si="45"/>
        <v>x07002583</v>
      </c>
      <c r="C2883" t="s">
        <v>5458</v>
      </c>
      <c r="D2883" t="s">
        <v>9203</v>
      </c>
      <c r="E2883">
        <v>7</v>
      </c>
      <c r="F2883" t="str">
        <f>IF(AND(Entities[[#This Row],[ENT_TYPE]]="County",RIGHT(Entities[[#This Row],[ENT_NAME]],6)&lt;&gt;"County"),_xlfn.TEXTJOIN(" ",TRUE,Entities[[#This Row],[ENT_NAME]],"County"),Entities[[#This Row],[ENT_NAME]])</f>
        <v>Sweetwater</v>
      </c>
    </row>
    <row r="2884" spans="1:6" x14ac:dyDescent="0.25">
      <c r="A2884" s="302" t="s">
        <v>9204</v>
      </c>
      <c r="B2884" s="303" t="str">
        <f t="shared" si="45"/>
        <v>x07002649</v>
      </c>
      <c r="C2884" t="s">
        <v>5458</v>
      </c>
      <c r="D2884" t="s">
        <v>9205</v>
      </c>
      <c r="E2884">
        <v>7</v>
      </c>
      <c r="F2884" t="str">
        <f>IF(AND(Entities[[#This Row],[ENT_TYPE]]="County",RIGHT(Entities[[#This Row],[ENT_NAME]],6)&lt;&gt;"County"),_xlfn.TEXTJOIN(" ",TRUE,Entities[[#This Row],[ENT_NAME]],"County"),Entities[[#This Row],[ENT_NAME]])</f>
        <v>Tahoka</v>
      </c>
    </row>
    <row r="2885" spans="1:6" x14ac:dyDescent="0.25">
      <c r="A2885" s="302" t="s">
        <v>9206</v>
      </c>
      <c r="B2885" s="303" t="str">
        <f t="shared" si="45"/>
        <v>x07002724</v>
      </c>
      <c r="C2885" t="s">
        <v>5458</v>
      </c>
      <c r="D2885" t="s">
        <v>9207</v>
      </c>
      <c r="E2885">
        <v>7</v>
      </c>
      <c r="F2885" t="str">
        <f>IF(AND(Entities[[#This Row],[ENT_TYPE]]="County",RIGHT(Entities[[#This Row],[ENT_NAME]],6)&lt;&gt;"County"),_xlfn.TEXTJOIN(" ",TRUE,Entities[[#This Row],[ENT_NAME]],"County"),Entities[[#This Row],[ENT_NAME]])</f>
        <v>Floydada</v>
      </c>
    </row>
    <row r="2886" spans="1:6" x14ac:dyDescent="0.25">
      <c r="A2886" s="304" t="s">
        <v>9208</v>
      </c>
      <c r="B2886" s="303" t="str">
        <f t="shared" si="45"/>
        <v>x07002725</v>
      </c>
      <c r="C2886" t="s">
        <v>5458</v>
      </c>
      <c r="D2886" t="s">
        <v>9209</v>
      </c>
      <c r="E2886">
        <v>7</v>
      </c>
      <c r="F2886" t="str">
        <f>IF(AND(Entities[[#This Row],[ENT_TYPE]]="County",RIGHT(Entities[[#This Row],[ENT_NAME]],6)&lt;&gt;"County"),_xlfn.TEXTJOIN(" ",TRUE,Entities[[#This Row],[ENT_NAME]],"County"),Entities[[#This Row],[ENT_NAME]])</f>
        <v>Breckenridge</v>
      </c>
    </row>
    <row r="2887" spans="1:6" x14ac:dyDescent="0.25">
      <c r="A2887" s="302" t="s">
        <v>9210</v>
      </c>
      <c r="B2887" s="303" t="str">
        <f t="shared" si="45"/>
        <v>x07002741</v>
      </c>
      <c r="C2887" t="s">
        <v>5458</v>
      </c>
      <c r="D2887" t="s">
        <v>9211</v>
      </c>
      <c r="E2887">
        <v>7</v>
      </c>
      <c r="F2887" t="str">
        <f>IF(AND(Entities[[#This Row],[ENT_TYPE]]="County",RIGHT(Entities[[#This Row],[ENT_NAME]],6)&lt;&gt;"County"),_xlfn.TEXTJOIN(" ",TRUE,Entities[[#This Row],[ENT_NAME]],"County"),Entities[[#This Row],[ENT_NAME]])</f>
        <v>Anton</v>
      </c>
    </row>
    <row r="2888" spans="1:6" x14ac:dyDescent="0.25">
      <c r="A2888" s="304" t="s">
        <v>9212</v>
      </c>
      <c r="B2888" s="303" t="str">
        <f t="shared" si="45"/>
        <v>x07002753</v>
      </c>
      <c r="C2888" t="s">
        <v>5458</v>
      </c>
      <c r="D2888" t="s">
        <v>9213</v>
      </c>
      <c r="E2888">
        <v>7</v>
      </c>
      <c r="F2888" t="str">
        <f>IF(AND(Entities[[#This Row],[ENT_TYPE]]="County",RIGHT(Entities[[#This Row],[ENT_NAME]],6)&lt;&gt;"County"),_xlfn.TEXTJOIN(" ",TRUE,Entities[[#This Row],[ENT_NAME]],"County"),Entities[[#This Row],[ENT_NAME]])</f>
        <v>Lorenzo</v>
      </c>
    </row>
    <row r="2889" spans="1:6" x14ac:dyDescent="0.25">
      <c r="A2889" s="304" t="s">
        <v>3264</v>
      </c>
      <c r="B2889" s="303" t="str">
        <f t="shared" si="45"/>
        <v>x07002758</v>
      </c>
      <c r="C2889" t="s">
        <v>5458</v>
      </c>
      <c r="D2889" t="s">
        <v>9214</v>
      </c>
      <c r="E2889">
        <v>7</v>
      </c>
      <c r="F2889" t="str">
        <f>IF(AND(Entities[[#This Row],[ENT_TYPE]]="County",RIGHT(Entities[[#This Row],[ENT_NAME]],6)&lt;&gt;"County"),_xlfn.TEXTJOIN(" ",TRUE,Entities[[#This Row],[ENT_NAME]],"County"),Entities[[#This Row],[ENT_NAME]])</f>
        <v>Munday</v>
      </c>
    </row>
    <row r="2890" spans="1:6" x14ac:dyDescent="0.25">
      <c r="A2890" s="302" t="s">
        <v>3289</v>
      </c>
      <c r="B2890" s="303" t="str">
        <f t="shared" si="45"/>
        <v>x07002763</v>
      </c>
      <c r="C2890" t="s">
        <v>5458</v>
      </c>
      <c r="D2890" t="s">
        <v>9215</v>
      </c>
      <c r="E2890">
        <v>7</v>
      </c>
      <c r="F2890" t="str">
        <f>IF(AND(Entities[[#This Row],[ENT_TYPE]]="County",RIGHT(Entities[[#This Row],[ENT_NAME]],6)&lt;&gt;"County"),_xlfn.TEXTJOIN(" ",TRUE,Entities[[#This Row],[ENT_NAME]],"County"),Entities[[#This Row],[ENT_NAME]])</f>
        <v>Putnam</v>
      </c>
    </row>
    <row r="2891" spans="1:6" x14ac:dyDescent="0.25">
      <c r="A2891" s="302" t="s">
        <v>3282</v>
      </c>
      <c r="B2891" s="303" t="str">
        <f t="shared" si="45"/>
        <v>x07002771</v>
      </c>
      <c r="C2891" t="s">
        <v>5458</v>
      </c>
      <c r="D2891" t="s">
        <v>9216</v>
      </c>
      <c r="E2891">
        <v>7</v>
      </c>
      <c r="F2891" t="str">
        <f>IF(AND(Entities[[#This Row],[ENT_TYPE]]="County",RIGHT(Entities[[#This Row],[ENT_NAME]],6)&lt;&gt;"County"),_xlfn.TEXTJOIN(" ",TRUE,Entities[[#This Row],[ENT_NAME]],"County"),Entities[[#This Row],[ENT_NAME]])</f>
        <v>Benjamin</v>
      </c>
    </row>
    <row r="2892" spans="1:6" x14ac:dyDescent="0.25">
      <c r="A2892" s="304" t="s">
        <v>9217</v>
      </c>
      <c r="B2892" s="303" t="str">
        <f t="shared" si="45"/>
        <v>x07002772</v>
      </c>
      <c r="C2892" t="s">
        <v>5458</v>
      </c>
      <c r="D2892" t="s">
        <v>9218</v>
      </c>
      <c r="E2892">
        <v>7</v>
      </c>
      <c r="F2892" t="str">
        <f>IF(AND(Entities[[#This Row],[ENT_TYPE]]="County",RIGHT(Entities[[#This Row],[ENT_NAME]],6)&lt;&gt;"County"),_xlfn.TEXTJOIN(" ",TRUE,Entities[[#This Row],[ENT_NAME]],"County"),Entities[[#This Row],[ENT_NAME]])</f>
        <v>Knox City</v>
      </c>
    </row>
    <row r="2893" spans="1:6" x14ac:dyDescent="0.25">
      <c r="A2893" s="302" t="s">
        <v>9219</v>
      </c>
      <c r="B2893" s="303" t="str">
        <f t="shared" si="45"/>
        <v>x07002779</v>
      </c>
      <c r="C2893" t="s">
        <v>5458</v>
      </c>
      <c r="D2893" t="s">
        <v>9220</v>
      </c>
      <c r="E2893">
        <v>7</v>
      </c>
      <c r="F2893" t="str">
        <f>IF(AND(Entities[[#This Row],[ENT_TYPE]]="County",RIGHT(Entities[[#This Row],[ENT_NAME]],6)&lt;&gt;"County"),_xlfn.TEXTJOIN(" ",TRUE,Entities[[#This Row],[ENT_NAME]],"County"),Entities[[#This Row],[ENT_NAME]])</f>
        <v>Post</v>
      </c>
    </row>
    <row r="2894" spans="1:6" x14ac:dyDescent="0.25">
      <c r="A2894" s="304" t="s">
        <v>3231</v>
      </c>
      <c r="B2894" s="303" t="str">
        <f t="shared" si="45"/>
        <v>x07002782</v>
      </c>
      <c r="C2894" t="s">
        <v>5458</v>
      </c>
      <c r="D2894" t="s">
        <v>9221</v>
      </c>
      <c r="E2894">
        <v>7</v>
      </c>
      <c r="F2894" t="str">
        <f>IF(AND(Entities[[#This Row],[ENT_TYPE]]="County",RIGHT(Entities[[#This Row],[ENT_NAME]],6)&lt;&gt;"County"),_xlfn.TEXTJOIN(" ",TRUE,Entities[[#This Row],[ENT_NAME]],"County"),Entities[[#This Row],[ENT_NAME]])</f>
        <v>Aspermont</v>
      </c>
    </row>
    <row r="2895" spans="1:6" x14ac:dyDescent="0.25">
      <c r="A2895" s="302" t="s">
        <v>3277</v>
      </c>
      <c r="B2895" s="303" t="str">
        <f t="shared" si="45"/>
        <v>x07002801</v>
      </c>
      <c r="C2895" t="s">
        <v>5458</v>
      </c>
      <c r="D2895" t="s">
        <v>9222</v>
      </c>
      <c r="E2895">
        <v>7</v>
      </c>
      <c r="F2895" t="str">
        <f>IF(AND(Entities[[#This Row],[ENT_TYPE]]="County",RIGHT(Entities[[#This Row],[ENT_NAME]],6)&lt;&gt;"County"),_xlfn.TEXTJOIN(" ",TRUE,Entities[[#This Row],[ENT_NAME]],"County"),Entities[[#This Row],[ENT_NAME]])</f>
        <v>Bovina</v>
      </c>
    </row>
    <row r="2896" spans="1:6" x14ac:dyDescent="0.25">
      <c r="A2896" s="304" t="s">
        <v>9223</v>
      </c>
      <c r="B2896" s="303" t="str">
        <f t="shared" si="45"/>
        <v>x07002802</v>
      </c>
      <c r="C2896" t="s">
        <v>5458</v>
      </c>
      <c r="D2896" t="s">
        <v>9224</v>
      </c>
      <c r="E2896">
        <v>7</v>
      </c>
      <c r="F2896" t="str">
        <f>IF(AND(Entities[[#This Row],[ENT_TYPE]]="County",RIGHT(Entities[[#This Row],[ENT_NAME]],6)&lt;&gt;"County"),_xlfn.TEXTJOIN(" ",TRUE,Entities[[#This Row],[ENT_NAME]],"County"),Entities[[#This Row],[ENT_NAME]])</f>
        <v>Farwell</v>
      </c>
    </row>
    <row r="2897" spans="1:6" x14ac:dyDescent="0.25">
      <c r="A2897" s="302" t="s">
        <v>9225</v>
      </c>
      <c r="B2897" s="303" t="str">
        <f t="shared" si="45"/>
        <v>x07002816</v>
      </c>
      <c r="C2897" t="s">
        <v>5458</v>
      </c>
      <c r="D2897" t="s">
        <v>9226</v>
      </c>
      <c r="E2897">
        <v>7</v>
      </c>
      <c r="F2897" t="str">
        <f>IF(AND(Entities[[#This Row],[ENT_TYPE]]="County",RIGHT(Entities[[#This Row],[ENT_NAME]],6)&lt;&gt;"County"),_xlfn.TEXTJOIN(" ",TRUE,Entities[[#This Row],[ENT_NAME]],"County"),Entities[[#This Row],[ENT_NAME]])</f>
        <v>Dimmitt</v>
      </c>
    </row>
    <row r="2898" spans="1:6" x14ac:dyDescent="0.25">
      <c r="A2898" s="304" t="s">
        <v>9227</v>
      </c>
      <c r="B2898" s="303" t="str">
        <f t="shared" si="45"/>
        <v>x07002817</v>
      </c>
      <c r="C2898" t="s">
        <v>5458</v>
      </c>
      <c r="D2898" t="s">
        <v>9228</v>
      </c>
      <c r="E2898">
        <v>7</v>
      </c>
      <c r="F2898" t="str">
        <f>IF(AND(Entities[[#This Row],[ENT_TYPE]]="County",RIGHT(Entities[[#This Row],[ENT_NAME]],6)&lt;&gt;"County"),_xlfn.TEXTJOIN(" ",TRUE,Entities[[#This Row],[ENT_NAME]],"County"),Entities[[#This Row],[ENT_NAME]])</f>
        <v>Hart</v>
      </c>
    </row>
    <row r="2899" spans="1:6" x14ac:dyDescent="0.25">
      <c r="A2899" s="302" t="s">
        <v>9229</v>
      </c>
      <c r="B2899" s="303" t="str">
        <f t="shared" si="45"/>
        <v>x07002898</v>
      </c>
      <c r="C2899" t="s">
        <v>5458</v>
      </c>
      <c r="D2899" t="s">
        <v>3010</v>
      </c>
      <c r="E2899">
        <v>7</v>
      </c>
      <c r="F2899" t="str">
        <f>IF(AND(Entities[[#This Row],[ENT_TYPE]]="County",RIGHT(Entities[[#This Row],[ENT_NAME]],6)&lt;&gt;"County"),_xlfn.TEXTJOIN(" ",TRUE,Entities[[#This Row],[ENT_NAME]],"County"),Entities[[#This Row],[ENT_NAME]])</f>
        <v>Haskell</v>
      </c>
    </row>
    <row r="2900" spans="1:6" x14ac:dyDescent="0.25">
      <c r="A2900" s="304" t="s">
        <v>3345</v>
      </c>
      <c r="B2900" s="303" t="str">
        <f t="shared" si="45"/>
        <v>x07002899</v>
      </c>
      <c r="C2900" t="s">
        <v>5458</v>
      </c>
      <c r="D2900" t="s">
        <v>9230</v>
      </c>
      <c r="E2900">
        <v>7</v>
      </c>
      <c r="F2900" t="str">
        <f>IF(AND(Entities[[#This Row],[ENT_TYPE]]="County",RIGHT(Entities[[#This Row],[ENT_NAME]],6)&lt;&gt;"County"),_xlfn.TEXTJOIN(" ",TRUE,Entities[[#This Row],[ENT_NAME]],"County"),Entities[[#This Row],[ENT_NAME]])</f>
        <v>Rochester</v>
      </c>
    </row>
    <row r="2901" spans="1:6" x14ac:dyDescent="0.25">
      <c r="A2901" s="302" t="s">
        <v>9231</v>
      </c>
      <c r="B2901" s="303" t="str">
        <f t="shared" si="45"/>
        <v>x07002907</v>
      </c>
      <c r="C2901" t="s">
        <v>5458</v>
      </c>
      <c r="D2901" t="s">
        <v>9232</v>
      </c>
      <c r="E2901">
        <v>7</v>
      </c>
      <c r="F2901" t="str">
        <f>IF(AND(Entities[[#This Row],[ENT_TYPE]]="County",RIGHT(Entities[[#This Row],[ENT_NAME]],6)&lt;&gt;"County"),_xlfn.TEXTJOIN(" ",TRUE,Entities[[#This Row],[ENT_NAME]],"County"),Entities[[#This Row],[ENT_NAME]])</f>
        <v>Morton</v>
      </c>
    </row>
    <row r="2902" spans="1:6" x14ac:dyDescent="0.25">
      <c r="A2902" s="304" t="s">
        <v>9233</v>
      </c>
      <c r="B2902" s="303" t="str">
        <f t="shared" si="45"/>
        <v>x07002931</v>
      </c>
      <c r="C2902" t="s">
        <v>5458</v>
      </c>
      <c r="D2902" t="s">
        <v>9234</v>
      </c>
      <c r="E2902">
        <v>7</v>
      </c>
      <c r="F2902" t="str">
        <f>IF(AND(Entities[[#This Row],[ENT_TYPE]]="County",RIGHT(Entities[[#This Row],[ENT_NAME]],6)&lt;&gt;"County"),_xlfn.TEXTJOIN(" ",TRUE,Entities[[#This Row],[ENT_NAME]],"County"),Entities[[#This Row],[ENT_NAME]])</f>
        <v>Muleshoe</v>
      </c>
    </row>
    <row r="2903" spans="1:6" x14ac:dyDescent="0.25">
      <c r="A2903" s="304" t="s">
        <v>3304</v>
      </c>
      <c r="B2903" s="303" t="str">
        <f t="shared" si="45"/>
        <v>x07002968</v>
      </c>
      <c r="C2903" t="s">
        <v>5458</v>
      </c>
      <c r="D2903" t="s">
        <v>9235</v>
      </c>
      <c r="E2903">
        <v>7</v>
      </c>
      <c r="F2903" t="str">
        <f>IF(AND(Entities[[#This Row],[ENT_TYPE]]="County",RIGHT(Entities[[#This Row],[ENT_NAME]],6)&lt;&gt;"County"),_xlfn.TEXTJOIN(" ",TRUE,Entities[[#This Row],[ENT_NAME]],"County"),Entities[[#This Row],[ENT_NAME]])</f>
        <v>Amherst</v>
      </c>
    </row>
    <row r="2904" spans="1:6" x14ac:dyDescent="0.25">
      <c r="A2904" s="302" t="s">
        <v>9236</v>
      </c>
      <c r="B2904" s="303" t="str">
        <f t="shared" si="45"/>
        <v>x07002969</v>
      </c>
      <c r="C2904" t="s">
        <v>5458</v>
      </c>
      <c r="D2904" t="s">
        <v>9237</v>
      </c>
      <c r="E2904">
        <v>7</v>
      </c>
      <c r="F2904" t="str">
        <f>IF(AND(Entities[[#This Row],[ENT_TYPE]]="County",RIGHT(Entities[[#This Row],[ENT_NAME]],6)&lt;&gt;"County"),_xlfn.TEXTJOIN(" ",TRUE,Entities[[#This Row],[ENT_NAME]],"County"),Entities[[#This Row],[ENT_NAME]])</f>
        <v>Earth</v>
      </c>
    </row>
    <row r="2905" spans="1:6" x14ac:dyDescent="0.25">
      <c r="A2905" s="304" t="s">
        <v>9238</v>
      </c>
      <c r="B2905" s="303" t="str">
        <f t="shared" si="45"/>
        <v>x07002970</v>
      </c>
      <c r="C2905" t="s">
        <v>5458</v>
      </c>
      <c r="D2905" t="s">
        <v>9239</v>
      </c>
      <c r="E2905">
        <v>7</v>
      </c>
      <c r="F2905" t="str">
        <f>IF(AND(Entities[[#This Row],[ENT_TYPE]]="County",RIGHT(Entities[[#This Row],[ENT_NAME]],6)&lt;&gt;"County"),_xlfn.TEXTJOIN(" ",TRUE,Entities[[#This Row],[ENT_NAME]],"County"),Entities[[#This Row],[ENT_NAME]])</f>
        <v>Springlake</v>
      </c>
    </row>
    <row r="2906" spans="1:6" x14ac:dyDescent="0.25">
      <c r="A2906" s="302" t="s">
        <v>9240</v>
      </c>
      <c r="B2906" s="303" t="str">
        <f t="shared" si="45"/>
        <v>x07002971</v>
      </c>
      <c r="C2906" t="s">
        <v>5458</v>
      </c>
      <c r="D2906" t="s">
        <v>9241</v>
      </c>
      <c r="E2906">
        <v>7</v>
      </c>
      <c r="F2906" t="str">
        <f>IF(AND(Entities[[#This Row],[ENT_TYPE]]="County",RIGHT(Entities[[#This Row],[ENT_NAME]],6)&lt;&gt;"County"),_xlfn.TEXTJOIN(" ",TRUE,Entities[[#This Row],[ENT_NAME]],"County"),Entities[[#This Row],[ENT_NAME]])</f>
        <v>Sudan</v>
      </c>
    </row>
    <row r="2907" spans="1:6" x14ac:dyDescent="0.25">
      <c r="A2907" s="304" t="s">
        <v>9242</v>
      </c>
      <c r="B2907" s="303" t="str">
        <f t="shared" si="45"/>
        <v>x07002978</v>
      </c>
      <c r="C2907" t="s">
        <v>5458</v>
      </c>
      <c r="D2907" t="s">
        <v>9243</v>
      </c>
      <c r="E2907">
        <v>7</v>
      </c>
      <c r="F2907" t="str">
        <f>IF(AND(Entities[[#This Row],[ENT_TYPE]]="County",RIGHT(Entities[[#This Row],[ENT_NAME]],6)&lt;&gt;"County"),_xlfn.TEXTJOIN(" ",TRUE,Entities[[#This Row],[ENT_NAME]],"County"),Entities[[#This Row],[ENT_NAME]])</f>
        <v>Tye</v>
      </c>
    </row>
    <row r="2908" spans="1:6" x14ac:dyDescent="0.25">
      <c r="A2908" s="302" t="s">
        <v>9244</v>
      </c>
      <c r="B2908" s="303" t="str">
        <f t="shared" si="45"/>
        <v>x07002980</v>
      </c>
      <c r="C2908" t="s">
        <v>5458</v>
      </c>
      <c r="D2908" t="s">
        <v>9162</v>
      </c>
      <c r="E2908">
        <v>7</v>
      </c>
      <c r="F2908" t="str">
        <f>IF(AND(Entities[[#This Row],[ENT_TYPE]]="County",RIGHT(Entities[[#This Row],[ENT_NAME]],6)&lt;&gt;"County"),_xlfn.TEXTJOIN(" ",TRUE,Entities[[#This Row],[ENT_NAME]],"County"),Entities[[#This Row],[ENT_NAME]])</f>
        <v>Throckmorton</v>
      </c>
    </row>
    <row r="2909" spans="1:6" x14ac:dyDescent="0.25">
      <c r="A2909" s="302" t="s">
        <v>9245</v>
      </c>
      <c r="B2909" s="303" t="str">
        <f t="shared" si="45"/>
        <v>x07003155</v>
      </c>
      <c r="C2909" t="s">
        <v>5458</v>
      </c>
      <c r="D2909" t="s">
        <v>9246</v>
      </c>
      <c r="E2909">
        <v>7</v>
      </c>
      <c r="F2909" t="str">
        <f>IF(AND(Entities[[#This Row],[ENT_TYPE]]="County",RIGHT(Entities[[#This Row],[ENT_NAME]],6)&lt;&gt;"County"),_xlfn.TEXTJOIN(" ",TRUE,Entities[[#This Row],[ENT_NAME]],"County"),Entities[[#This Row],[ENT_NAME]])</f>
        <v>Abernathy</v>
      </c>
    </row>
    <row r="2910" spans="1:6" x14ac:dyDescent="0.25">
      <c r="A2910" s="304" t="s">
        <v>3258</v>
      </c>
      <c r="B2910" s="303" t="str">
        <f t="shared" si="45"/>
        <v>x07003157</v>
      </c>
      <c r="C2910" t="s">
        <v>5458</v>
      </c>
      <c r="D2910" t="s">
        <v>9247</v>
      </c>
      <c r="E2910">
        <v>7</v>
      </c>
      <c r="F2910" t="str">
        <f>IF(AND(Entities[[#This Row],[ENT_TYPE]]="County",RIGHT(Entities[[#This Row],[ENT_NAME]],6)&lt;&gt;"County"),_xlfn.TEXTJOIN(" ",TRUE,Entities[[#This Row],[ENT_NAME]],"County"),Entities[[#This Row],[ENT_NAME]])</f>
        <v>Hale Center</v>
      </c>
    </row>
    <row r="2911" spans="1:6" x14ac:dyDescent="0.25">
      <c r="A2911" s="302" t="s">
        <v>3310</v>
      </c>
      <c r="B2911" s="303" t="str">
        <f t="shared" si="45"/>
        <v>x07003158</v>
      </c>
      <c r="C2911" t="s">
        <v>5458</v>
      </c>
      <c r="D2911" t="s">
        <v>9248</v>
      </c>
      <c r="E2911">
        <v>7</v>
      </c>
      <c r="F2911" t="str">
        <f>IF(AND(Entities[[#This Row],[ENT_TYPE]]="County",RIGHT(Entities[[#This Row],[ENT_NAME]],6)&lt;&gt;"County"),_xlfn.TEXTJOIN(" ",TRUE,Entities[[#This Row],[ENT_NAME]],"County"),Entities[[#This Row],[ENT_NAME]])</f>
        <v>Petersburg</v>
      </c>
    </row>
    <row r="2912" spans="1:6" x14ac:dyDescent="0.25">
      <c r="A2912" s="304" t="s">
        <v>3210</v>
      </c>
      <c r="B2912" s="303" t="str">
        <f t="shared" si="45"/>
        <v>x07003159</v>
      </c>
      <c r="C2912" t="s">
        <v>5458</v>
      </c>
      <c r="D2912" t="s">
        <v>9249</v>
      </c>
      <c r="E2912">
        <v>7</v>
      </c>
      <c r="F2912" t="str">
        <f>IF(AND(Entities[[#This Row],[ENT_TYPE]]="County",RIGHT(Entities[[#This Row],[ENT_NAME]],6)&lt;&gt;"County"),_xlfn.TEXTJOIN(" ",TRUE,Entities[[#This Row],[ENT_NAME]],"County"),Entities[[#This Row],[ENT_NAME]])</f>
        <v>Plainview</v>
      </c>
    </row>
    <row r="2913" spans="1:6" x14ac:dyDescent="0.25">
      <c r="A2913" s="302" t="s">
        <v>3217</v>
      </c>
      <c r="B2913" s="303" t="str">
        <f t="shared" si="45"/>
        <v>x07003166</v>
      </c>
      <c r="C2913" t="s">
        <v>5458</v>
      </c>
      <c r="D2913" t="s">
        <v>9250</v>
      </c>
      <c r="E2913">
        <v>7</v>
      </c>
      <c r="F2913" t="str">
        <f>IF(AND(Entities[[#This Row],[ENT_TYPE]]="County",RIGHT(Entities[[#This Row],[ENT_NAME]],6)&lt;&gt;"County"),_xlfn.TEXTJOIN(" ",TRUE,Entities[[#This Row],[ENT_NAME]],"County"),Entities[[#This Row],[ENT_NAME]])</f>
        <v>Levelland</v>
      </c>
    </row>
    <row r="2914" spans="1:6" x14ac:dyDescent="0.25">
      <c r="A2914" s="304" t="s">
        <v>9251</v>
      </c>
      <c r="B2914" s="303" t="str">
        <f t="shared" si="45"/>
        <v>x07003167</v>
      </c>
      <c r="C2914" t="s">
        <v>5458</v>
      </c>
      <c r="D2914" t="s">
        <v>9252</v>
      </c>
      <c r="E2914">
        <v>7</v>
      </c>
      <c r="F2914" t="str">
        <f>IF(AND(Entities[[#This Row],[ENT_TYPE]]="County",RIGHT(Entities[[#This Row],[ENT_NAME]],6)&lt;&gt;"County"),_xlfn.TEXTJOIN(" ",TRUE,Entities[[#This Row],[ENT_NAME]],"County"),Entities[[#This Row],[ENT_NAME]])</f>
        <v>Opdyke West</v>
      </c>
    </row>
    <row r="2915" spans="1:6" x14ac:dyDescent="0.25">
      <c r="A2915" s="302" t="s">
        <v>3340</v>
      </c>
      <c r="B2915" s="303" t="str">
        <f t="shared" si="45"/>
        <v>x07003168</v>
      </c>
      <c r="C2915" t="s">
        <v>5458</v>
      </c>
      <c r="D2915" t="s">
        <v>9253</v>
      </c>
      <c r="E2915">
        <v>7</v>
      </c>
      <c r="F2915" t="str">
        <f>IF(AND(Entities[[#This Row],[ENT_TYPE]]="County",RIGHT(Entities[[#This Row],[ENT_NAME]],6)&lt;&gt;"County"),_xlfn.TEXTJOIN(" ",TRUE,Entities[[#This Row],[ENT_NAME]],"County"),Entities[[#This Row],[ENT_NAME]])</f>
        <v>Ropesville</v>
      </c>
    </row>
    <row r="2916" spans="1:6" x14ac:dyDescent="0.25">
      <c r="A2916" s="304" t="s">
        <v>3048</v>
      </c>
      <c r="B2916" s="303" t="str">
        <f t="shared" si="45"/>
        <v>x07003269</v>
      </c>
      <c r="C2916" t="s">
        <v>5458</v>
      </c>
      <c r="D2916" t="s">
        <v>3043</v>
      </c>
      <c r="E2916">
        <v>7</v>
      </c>
      <c r="F2916" t="str">
        <f>IF(AND(Entities[[#This Row],[ENT_TYPE]]="County",RIGHT(Entities[[#This Row],[ENT_NAME]],6)&lt;&gt;"County"),_xlfn.TEXTJOIN(" ",TRUE,Entities[[#This Row],[ENT_NAME]],"County"),Entities[[#This Row],[ENT_NAME]])</f>
        <v>Lubbock</v>
      </c>
    </row>
    <row r="2917" spans="1:6" x14ac:dyDescent="0.25">
      <c r="A2917" s="302" t="s">
        <v>9254</v>
      </c>
      <c r="B2917" s="303" t="str">
        <f t="shared" si="45"/>
        <v>x07003270</v>
      </c>
      <c r="C2917" t="s">
        <v>5458</v>
      </c>
      <c r="D2917" t="s">
        <v>9255</v>
      </c>
      <c r="E2917">
        <v>7</v>
      </c>
      <c r="F2917" t="str">
        <f>IF(AND(Entities[[#This Row],[ENT_TYPE]]="County",RIGHT(Entities[[#This Row],[ENT_NAME]],6)&lt;&gt;"County"),_xlfn.TEXTJOIN(" ",TRUE,Entities[[#This Row],[ENT_NAME]],"County"),Entities[[#This Row],[ENT_NAME]])</f>
        <v>Wolfforth</v>
      </c>
    </row>
    <row r="2918" spans="1:6" x14ac:dyDescent="0.25">
      <c r="A2918" s="304" t="s">
        <v>9256</v>
      </c>
      <c r="B2918" s="303" t="str">
        <f t="shared" si="45"/>
        <v>x07003278</v>
      </c>
      <c r="C2918" t="s">
        <v>5458</v>
      </c>
      <c r="D2918" t="s">
        <v>9257</v>
      </c>
      <c r="E2918">
        <v>7</v>
      </c>
      <c r="F2918" t="str">
        <f>IF(AND(Entities[[#This Row],[ENT_TYPE]]="County",RIGHT(Entities[[#This Row],[ENT_NAME]],6)&lt;&gt;"County"),_xlfn.TEXTJOIN(" ",TRUE,Entities[[#This Row],[ENT_NAME]],"County"),Entities[[#This Row],[ENT_NAME]])</f>
        <v>Woodson</v>
      </c>
    </row>
    <row r="2919" spans="1:6" x14ac:dyDescent="0.25">
      <c r="A2919" s="302" t="s">
        <v>3251</v>
      </c>
      <c r="B2919" s="303" t="str">
        <f t="shared" si="45"/>
        <v>x07003324</v>
      </c>
      <c r="C2919" t="s">
        <v>5458</v>
      </c>
      <c r="D2919" t="s">
        <v>9258</v>
      </c>
      <c r="E2919">
        <v>7</v>
      </c>
      <c r="F2919" t="str">
        <f>IF(AND(Entities[[#This Row],[ENT_TYPE]]="County",RIGHT(Entities[[#This Row],[ENT_NAME]],6)&lt;&gt;"County"),_xlfn.TEXTJOIN(" ",TRUE,Entities[[#This Row],[ENT_NAME]],"County"),Entities[[#This Row],[ENT_NAME]])</f>
        <v>Goree</v>
      </c>
    </row>
    <row r="2920" spans="1:6" x14ac:dyDescent="0.25">
      <c r="A2920" s="304" t="s">
        <v>3328</v>
      </c>
      <c r="B2920" s="303" t="str">
        <f t="shared" si="45"/>
        <v>x07003328</v>
      </c>
      <c r="C2920" t="s">
        <v>5458</v>
      </c>
      <c r="D2920" t="s">
        <v>9259</v>
      </c>
      <c r="E2920">
        <v>7</v>
      </c>
      <c r="F2920" t="str">
        <f>IF(AND(Entities[[#This Row],[ENT_TYPE]]="County",RIGHT(Entities[[#This Row],[ENT_NAME]],6)&lt;&gt;"County"),_xlfn.TEXTJOIN(" ",TRUE,Entities[[#This Row],[ENT_NAME]],"County"),Entities[[#This Row],[ENT_NAME]])</f>
        <v>Edmonson</v>
      </c>
    </row>
    <row r="2921" spans="1:6" x14ac:dyDescent="0.25">
      <c r="A2921" s="302" t="s">
        <v>9260</v>
      </c>
      <c r="B2921" s="303" t="str">
        <f t="shared" si="45"/>
        <v>x07003394</v>
      </c>
      <c r="C2921" t="s">
        <v>5458</v>
      </c>
      <c r="D2921" t="s">
        <v>9261</v>
      </c>
      <c r="E2921">
        <v>7</v>
      </c>
      <c r="F2921" t="str">
        <f>IF(AND(Entities[[#This Row],[ENT_TYPE]]="County",RIGHT(Entities[[#This Row],[ENT_NAME]],6)&lt;&gt;"County"),_xlfn.TEXTJOIN(" ",TRUE,Entities[[#This Row],[ENT_NAME]],"County"),Entities[[#This Row],[ENT_NAME]])</f>
        <v>Albany</v>
      </c>
    </row>
    <row r="2922" spans="1:6" x14ac:dyDescent="0.25">
      <c r="A2922" s="304" t="s">
        <v>3334</v>
      </c>
      <c r="B2922" s="303" t="str">
        <f t="shared" si="45"/>
        <v>x07003395</v>
      </c>
      <c r="C2922" t="s">
        <v>5458</v>
      </c>
      <c r="D2922" t="s">
        <v>9262</v>
      </c>
      <c r="E2922">
        <v>7</v>
      </c>
      <c r="F2922" t="str">
        <f>IF(AND(Entities[[#This Row],[ENT_TYPE]]="County",RIGHT(Entities[[#This Row],[ENT_NAME]],6)&lt;&gt;"County"),_xlfn.TEXTJOIN(" ",TRUE,Entities[[#This Row],[ENT_NAME]],"County"),Entities[[#This Row],[ENT_NAME]])</f>
        <v>Moran</v>
      </c>
    </row>
    <row r="2923" spans="1:6" x14ac:dyDescent="0.25">
      <c r="A2923" s="302" t="s">
        <v>3317</v>
      </c>
      <c r="B2923" s="303" t="str">
        <f t="shared" si="45"/>
        <v>x07003435</v>
      </c>
      <c r="C2923" t="s">
        <v>5458</v>
      </c>
      <c r="D2923" t="s">
        <v>9263</v>
      </c>
      <c r="E2923">
        <v>7</v>
      </c>
      <c r="F2923" t="str">
        <f>IF(AND(Entities[[#This Row],[ENT_TYPE]]="County",RIGHT(Entities[[#This Row],[ENT_NAME]],6)&lt;&gt;"County"),_xlfn.TEXTJOIN(" ",TRUE,Entities[[#This Row],[ENT_NAME]],"County"),Entities[[#This Row],[ENT_NAME]])</f>
        <v>Smyer</v>
      </c>
    </row>
    <row r="2924" spans="1:6" x14ac:dyDescent="0.25">
      <c r="A2924" s="304" t="s">
        <v>3088</v>
      </c>
      <c r="B2924" s="303" t="str">
        <f t="shared" si="45"/>
        <v>x07003441</v>
      </c>
      <c r="C2924" t="s">
        <v>5458</v>
      </c>
      <c r="D2924" t="s">
        <v>9264</v>
      </c>
      <c r="E2924">
        <v>7</v>
      </c>
      <c r="F2924" t="str">
        <f>IF(AND(Entities[[#This Row],[ENT_TYPE]]="County",RIGHT(Entities[[#This Row],[ENT_NAME]],6)&lt;&gt;"County"),_xlfn.TEXTJOIN(" ",TRUE,Entities[[#This Row],[ENT_NAME]],"County"),Entities[[#This Row],[ENT_NAME]])</f>
        <v>Lueders</v>
      </c>
    </row>
    <row r="2925" spans="1:6" x14ac:dyDescent="0.25">
      <c r="A2925" s="302" t="s">
        <v>9265</v>
      </c>
      <c r="B2925" s="303" t="str">
        <f t="shared" si="45"/>
        <v>x07003452</v>
      </c>
      <c r="C2925" t="s">
        <v>5458</v>
      </c>
      <c r="D2925" t="s">
        <v>9266</v>
      </c>
      <c r="E2925">
        <v>7</v>
      </c>
      <c r="F2925" t="str">
        <f>IF(AND(Entities[[#This Row],[ENT_TYPE]]="County",RIGHT(Entities[[#This Row],[ENT_NAME]],6)&lt;&gt;"County"),_xlfn.TEXTJOIN(" ",TRUE,Entities[[#This Row],[ENT_NAME]],"County"),Entities[[#This Row],[ENT_NAME]])</f>
        <v>Baird</v>
      </c>
    </row>
    <row r="2926" spans="1:6" x14ac:dyDescent="0.25">
      <c r="A2926" s="304" t="s">
        <v>9267</v>
      </c>
      <c r="B2926" s="303" t="str">
        <f t="shared" si="45"/>
        <v>x07003481</v>
      </c>
      <c r="C2926" t="s">
        <v>5458</v>
      </c>
      <c r="D2926" t="s">
        <v>3473</v>
      </c>
      <c r="E2926">
        <v>7</v>
      </c>
      <c r="F2926" t="str">
        <f>IF(AND(Entities[[#This Row],[ENT_TYPE]]="County",RIGHT(Entities[[#This Row],[ENT_NAME]],6)&lt;&gt;"County"),_xlfn.TEXTJOIN(" ",TRUE,Entities[[#This Row],[ENT_NAME]],"County"),Entities[[#This Row],[ENT_NAME]])</f>
        <v>Wilson</v>
      </c>
    </row>
    <row r="2927" spans="1:6" x14ac:dyDescent="0.25">
      <c r="A2927" s="302" t="s">
        <v>9268</v>
      </c>
      <c r="B2927" s="303" t="str">
        <f t="shared" si="45"/>
        <v>x07003483</v>
      </c>
      <c r="C2927" t="s">
        <v>5458</v>
      </c>
      <c r="D2927" t="s">
        <v>9269</v>
      </c>
      <c r="E2927">
        <v>7</v>
      </c>
      <c r="F2927" t="str">
        <f>IF(AND(Entities[[#This Row],[ENT_TYPE]]="County",RIGHT(Entities[[#This Row],[ENT_NAME]],6)&lt;&gt;"County"),_xlfn.TEXTJOIN(" ",TRUE,Entities[[#This Row],[ENT_NAME]],"County"),Entities[[#This Row],[ENT_NAME]])</f>
        <v>New Home</v>
      </c>
    </row>
    <row r="2928" spans="1:6" x14ac:dyDescent="0.25">
      <c r="A2928" s="304" t="s">
        <v>9270</v>
      </c>
      <c r="B2928" s="303" t="str">
        <f t="shared" si="45"/>
        <v>x07003484</v>
      </c>
      <c r="C2928" t="s">
        <v>5458</v>
      </c>
      <c r="D2928" t="s">
        <v>9271</v>
      </c>
      <c r="E2928">
        <v>7</v>
      </c>
      <c r="F2928" t="str">
        <f>IF(AND(Entities[[#This Row],[ENT_TYPE]]="County",RIGHT(Entities[[#This Row],[ENT_NAME]],6)&lt;&gt;"County"),_xlfn.TEXTJOIN(" ",TRUE,Entities[[#This Row],[ENT_NAME]],"County"),Entities[[#This Row],[ENT_NAME]])</f>
        <v>Hamlin</v>
      </c>
    </row>
    <row r="2929" spans="1:6" x14ac:dyDescent="0.25">
      <c r="A2929" s="302" t="s">
        <v>3081</v>
      </c>
      <c r="B2929" s="303" t="str">
        <f t="shared" si="45"/>
        <v>x07003485</v>
      </c>
      <c r="C2929" t="s">
        <v>5458</v>
      </c>
      <c r="D2929" t="s">
        <v>9272</v>
      </c>
      <c r="E2929">
        <v>7</v>
      </c>
      <c r="F2929" t="str">
        <f>IF(AND(Entities[[#This Row],[ENT_TYPE]]="County",RIGHT(Entities[[#This Row],[ENT_NAME]],6)&lt;&gt;"County"),_xlfn.TEXTJOIN(" ",TRUE,Entities[[#This Row],[ENT_NAME]],"County"),Entities[[#This Row],[ENT_NAME]])</f>
        <v>Roby</v>
      </c>
    </row>
    <row r="2930" spans="1:6" x14ac:dyDescent="0.25">
      <c r="A2930" s="304" t="s">
        <v>9273</v>
      </c>
      <c r="B2930" s="303" t="str">
        <f t="shared" si="45"/>
        <v>x07003503</v>
      </c>
      <c r="C2930" t="s">
        <v>5458</v>
      </c>
      <c r="D2930" t="s">
        <v>9274</v>
      </c>
      <c r="E2930">
        <v>7</v>
      </c>
      <c r="F2930" t="str">
        <f>IF(AND(Entities[[#This Row],[ENT_TYPE]]="County",RIGHT(Entities[[#This Row],[ENT_NAME]],6)&lt;&gt;"County"),_xlfn.TEXTJOIN(" ",TRUE,Entities[[#This Row],[ENT_NAME]],"County"),Entities[[#This Row],[ENT_NAME]])</f>
        <v>Littlefield</v>
      </c>
    </row>
    <row r="2931" spans="1:6" x14ac:dyDescent="0.25">
      <c r="A2931" s="302" t="s">
        <v>9275</v>
      </c>
      <c r="B2931" s="303" t="str">
        <f t="shared" si="45"/>
        <v>x07003504</v>
      </c>
      <c r="C2931" t="s">
        <v>5458</v>
      </c>
      <c r="D2931" t="s">
        <v>9276</v>
      </c>
      <c r="E2931">
        <v>7</v>
      </c>
      <c r="F2931" t="str">
        <f>IF(AND(Entities[[#This Row],[ENT_TYPE]]="County",RIGHT(Entities[[#This Row],[ENT_NAME]],6)&lt;&gt;"County"),_xlfn.TEXTJOIN(" ",TRUE,Entities[[#This Row],[ENT_NAME]],"County"),Entities[[#This Row],[ENT_NAME]])</f>
        <v>Olton</v>
      </c>
    </row>
    <row r="2932" spans="1:6" x14ac:dyDescent="0.25">
      <c r="A2932" s="304" t="s">
        <v>3391</v>
      </c>
      <c r="B2932" s="303" t="str">
        <f t="shared" si="45"/>
        <v>x07003505</v>
      </c>
      <c r="C2932" t="s">
        <v>5458</v>
      </c>
      <c r="D2932" t="s">
        <v>9277</v>
      </c>
      <c r="E2932">
        <v>7</v>
      </c>
      <c r="F2932" t="str">
        <f>IF(AND(Entities[[#This Row],[ENT_TYPE]]="County",RIGHT(Entities[[#This Row],[ENT_NAME]],6)&lt;&gt;"County"),_xlfn.TEXTJOIN(" ",TRUE,Entities[[#This Row],[ENT_NAME]],"County"),Entities[[#This Row],[ENT_NAME]])</f>
        <v>Buffalo Springs</v>
      </c>
    </row>
    <row r="2933" spans="1:6" x14ac:dyDescent="0.25">
      <c r="A2933" s="302" t="s">
        <v>4626</v>
      </c>
      <c r="B2933" s="303" t="str">
        <f t="shared" si="45"/>
        <v>x07003506</v>
      </c>
      <c r="C2933" t="s">
        <v>5458</v>
      </c>
      <c r="D2933" t="s">
        <v>9278</v>
      </c>
      <c r="E2933">
        <v>7</v>
      </c>
      <c r="F2933" t="str">
        <f>IF(AND(Entities[[#This Row],[ENT_TYPE]]="County",RIGHT(Entities[[#This Row],[ENT_NAME]],6)&lt;&gt;"County"),_xlfn.TEXTJOIN(" ",TRUE,Entities[[#This Row],[ENT_NAME]],"County"),Entities[[#This Row],[ENT_NAME]])</f>
        <v>Idalou</v>
      </c>
    </row>
    <row r="2934" spans="1:6" x14ac:dyDescent="0.25">
      <c r="A2934" s="304" t="s">
        <v>9279</v>
      </c>
      <c r="B2934" s="303" t="str">
        <f t="shared" si="45"/>
        <v>x07003507</v>
      </c>
      <c r="C2934" t="s">
        <v>5458</v>
      </c>
      <c r="D2934" t="s">
        <v>9280</v>
      </c>
      <c r="E2934">
        <v>7</v>
      </c>
      <c r="F2934" t="str">
        <f>IF(AND(Entities[[#This Row],[ENT_TYPE]]="County",RIGHT(Entities[[#This Row],[ENT_NAME]],6)&lt;&gt;"County"),_xlfn.TEXTJOIN(" ",TRUE,Entities[[#This Row],[ENT_NAME]],"County"),Entities[[#This Row],[ENT_NAME]])</f>
        <v>New Deal</v>
      </c>
    </row>
    <row r="2935" spans="1:6" x14ac:dyDescent="0.25">
      <c r="A2935" s="302" t="s">
        <v>3379</v>
      </c>
      <c r="B2935" s="303" t="str">
        <f t="shared" si="45"/>
        <v>x07003508</v>
      </c>
      <c r="C2935" t="s">
        <v>5458</v>
      </c>
      <c r="D2935" t="s">
        <v>9281</v>
      </c>
      <c r="E2935">
        <v>7</v>
      </c>
      <c r="F2935" t="str">
        <f>IF(AND(Entities[[#This Row],[ENT_TYPE]]="County",RIGHT(Entities[[#This Row],[ENT_NAME]],6)&lt;&gt;"County"),_xlfn.TEXTJOIN(" ",TRUE,Entities[[#This Row],[ENT_NAME]],"County"),Entities[[#This Row],[ENT_NAME]])</f>
        <v>Ransom Canyon</v>
      </c>
    </row>
    <row r="2936" spans="1:6" x14ac:dyDescent="0.25">
      <c r="A2936" s="304" t="s">
        <v>9282</v>
      </c>
      <c r="B2936" s="303" t="str">
        <f t="shared" si="45"/>
        <v>x07003509</v>
      </c>
      <c r="C2936" t="s">
        <v>5458</v>
      </c>
      <c r="D2936" t="s">
        <v>9283</v>
      </c>
      <c r="E2936">
        <v>7</v>
      </c>
      <c r="F2936" t="str">
        <f>IF(AND(Entities[[#This Row],[ENT_TYPE]]="County",RIGHT(Entities[[#This Row],[ENT_NAME]],6)&lt;&gt;"County"),_xlfn.TEXTJOIN(" ",TRUE,Entities[[#This Row],[ENT_NAME]],"County"),Entities[[#This Row],[ENT_NAME]])</f>
        <v>Shallowater</v>
      </c>
    </row>
    <row r="2937" spans="1:6" x14ac:dyDescent="0.25">
      <c r="A2937" s="302" t="s">
        <v>9284</v>
      </c>
      <c r="B2937" s="303" t="str">
        <f t="shared" si="45"/>
        <v>x07003510</v>
      </c>
      <c r="C2937" t="s">
        <v>5458</v>
      </c>
      <c r="D2937" t="s">
        <v>9285</v>
      </c>
      <c r="E2937">
        <v>7</v>
      </c>
      <c r="F2937" t="str">
        <f>IF(AND(Entities[[#This Row],[ENT_TYPE]]="County",RIGHT(Entities[[#This Row],[ENT_NAME]],6)&lt;&gt;"County"),_xlfn.TEXTJOIN(" ",TRUE,Entities[[#This Row],[ENT_NAME]],"County"),Entities[[#This Row],[ENT_NAME]])</f>
        <v>Buffalo Gap</v>
      </c>
    </row>
    <row r="2938" spans="1:6" x14ac:dyDescent="0.25">
      <c r="A2938" s="304" t="s">
        <v>3094</v>
      </c>
      <c r="B2938" s="303" t="str">
        <f t="shared" si="45"/>
        <v>x07003516</v>
      </c>
      <c r="C2938" t="s">
        <v>5458</v>
      </c>
      <c r="D2938" t="s">
        <v>9286</v>
      </c>
      <c r="E2938">
        <v>7</v>
      </c>
      <c r="F2938" t="str">
        <f>IF(AND(Entities[[#This Row],[ENT_TYPE]]="County",RIGHT(Entities[[#This Row],[ENT_NAME]],6)&lt;&gt;"County"),_xlfn.TEXTJOIN(" ",TRUE,Entities[[#This Row],[ENT_NAME]],"County"),Entities[[#This Row],[ENT_NAME]])</f>
        <v>Impact</v>
      </c>
    </row>
    <row r="2939" spans="1:6" x14ac:dyDescent="0.25">
      <c r="A2939" s="302" t="s">
        <v>9287</v>
      </c>
      <c r="B2939" s="303" t="str">
        <f t="shared" si="45"/>
        <v>x07003538</v>
      </c>
      <c r="C2939" t="s">
        <v>5458</v>
      </c>
      <c r="D2939" t="s">
        <v>9288</v>
      </c>
      <c r="E2939">
        <v>7</v>
      </c>
      <c r="F2939" t="str">
        <f>IF(AND(Entities[[#This Row],[ENT_TYPE]]="County",RIGHT(Entities[[#This Row],[ENT_NAME]],6)&lt;&gt;"County"),_xlfn.TEXTJOIN(" ",TRUE,Entities[[#This Row],[ENT_NAME]],"County"),Entities[[#This Row],[ENT_NAME]])</f>
        <v>Rule</v>
      </c>
    </row>
    <row r="2940" spans="1:6" x14ac:dyDescent="0.25">
      <c r="A2940" s="304" t="s">
        <v>3322</v>
      </c>
      <c r="B2940" s="303" t="str">
        <f t="shared" si="45"/>
        <v>x07003539</v>
      </c>
      <c r="C2940" t="s">
        <v>5458</v>
      </c>
      <c r="D2940" t="s">
        <v>9289</v>
      </c>
      <c r="E2940">
        <v>7</v>
      </c>
      <c r="F2940" t="str">
        <f>IF(AND(Entities[[#This Row],[ENT_TYPE]]="County",RIGHT(Entities[[#This Row],[ENT_NAME]],6)&lt;&gt;"County"),_xlfn.TEXTJOIN(" ",TRUE,Entities[[#This Row],[ENT_NAME]],"County"),Entities[[#This Row],[ENT_NAME]])</f>
        <v>Weinert</v>
      </c>
    </row>
    <row r="2941" spans="1:6" x14ac:dyDescent="0.25">
      <c r="A2941" s="302" t="s">
        <v>9290</v>
      </c>
      <c r="B2941" s="303" t="str">
        <f t="shared" si="45"/>
        <v>x07003541</v>
      </c>
      <c r="C2941" t="s">
        <v>5458</v>
      </c>
      <c r="D2941" t="s">
        <v>9291</v>
      </c>
      <c r="E2941">
        <v>7</v>
      </c>
      <c r="F2941" t="str">
        <f>IF(AND(Entities[[#This Row],[ENT_TYPE]]="County",RIGHT(Entities[[#This Row],[ENT_NAME]],6)&lt;&gt;"County"),_xlfn.TEXTJOIN(" ",TRUE,Entities[[#This Row],[ENT_NAME]],"County"),Entities[[#This Row],[ENT_NAME]])</f>
        <v>Newcastle</v>
      </c>
    </row>
    <row r="2942" spans="1:6" x14ac:dyDescent="0.25">
      <c r="A2942" s="304" t="s">
        <v>9292</v>
      </c>
      <c r="B2942" s="303" t="str">
        <f t="shared" si="45"/>
        <v>x07003546</v>
      </c>
      <c r="C2942" t="s">
        <v>5458</v>
      </c>
      <c r="D2942" t="s">
        <v>9293</v>
      </c>
      <c r="E2942">
        <v>7</v>
      </c>
      <c r="F2942" t="str">
        <f>IF(AND(Entities[[#This Row],[ENT_TYPE]]="County",RIGHT(Entities[[#This Row],[ENT_NAME]],6)&lt;&gt;"County"),_xlfn.TEXTJOIN(" ",TRUE,Entities[[#This Row],[ENT_NAME]],"County"),Entities[[#This Row],[ENT_NAME]])</f>
        <v>Whiteface</v>
      </c>
    </row>
    <row r="2943" spans="1:6" x14ac:dyDescent="0.25">
      <c r="A2943" s="302" t="s">
        <v>9294</v>
      </c>
      <c r="B2943" s="303" t="str">
        <f t="shared" si="45"/>
        <v>x07003550</v>
      </c>
      <c r="C2943" t="s">
        <v>5458</v>
      </c>
      <c r="D2943" t="s">
        <v>9295</v>
      </c>
      <c r="E2943">
        <v>7</v>
      </c>
      <c r="F2943" t="str">
        <f>IF(AND(Entities[[#This Row],[ENT_TYPE]]="County",RIGHT(Entities[[#This Row],[ENT_NAME]],6)&lt;&gt;"County"),_xlfn.TEXTJOIN(" ",TRUE,Entities[[#This Row],[ENT_NAME]],"County"),Entities[[#This Row],[ENT_NAME]])</f>
        <v>Slaton</v>
      </c>
    </row>
    <row r="2944" spans="1:6" x14ac:dyDescent="0.25">
      <c r="A2944" s="304" t="s">
        <v>9296</v>
      </c>
      <c r="B2944" s="303" t="str">
        <f t="shared" si="45"/>
        <v>x07003551</v>
      </c>
      <c r="C2944" t="s">
        <v>5458</v>
      </c>
      <c r="D2944" t="s">
        <v>9297</v>
      </c>
      <c r="E2944">
        <v>7</v>
      </c>
      <c r="F2944" t="str">
        <f>IF(AND(Entities[[#This Row],[ENT_TYPE]]="County",RIGHT(Entities[[#This Row],[ENT_NAME]],6)&lt;&gt;"County"),_xlfn.TEXTJOIN(" ",TRUE,Entities[[#This Row],[ENT_NAME]],"County"),Entities[[#This Row],[ENT_NAME]])</f>
        <v>Merkel</v>
      </c>
    </row>
    <row r="2945" spans="1:6" x14ac:dyDescent="0.25">
      <c r="A2945" s="302" t="s">
        <v>9298</v>
      </c>
      <c r="B2945" s="303" t="str">
        <f t="shared" si="45"/>
        <v>x07003552</v>
      </c>
      <c r="C2945" t="s">
        <v>5458</v>
      </c>
      <c r="D2945" t="s">
        <v>9299</v>
      </c>
      <c r="E2945">
        <v>7</v>
      </c>
      <c r="F2945" t="str">
        <f>IF(AND(Entities[[#This Row],[ENT_TYPE]]="County",RIGHT(Entities[[#This Row],[ENT_NAME]],6)&lt;&gt;"County"),_xlfn.TEXTJOIN(" ",TRUE,Entities[[#This Row],[ENT_NAME]],"County"),Entities[[#This Row],[ENT_NAME]])</f>
        <v>Trent</v>
      </c>
    </row>
    <row r="2946" spans="1:6" x14ac:dyDescent="0.25">
      <c r="A2946" s="302" t="s">
        <v>9300</v>
      </c>
      <c r="B2946" s="303" t="str">
        <f t="shared" ref="B2946:B3009" si="46">_xlfn.CONCAT("x",TEXT(A2946,"00000000"))</f>
        <v>x08000042</v>
      </c>
      <c r="C2946" t="s">
        <v>4947</v>
      </c>
      <c r="D2946" t="s">
        <v>5554</v>
      </c>
      <c r="E2946">
        <v>8</v>
      </c>
      <c r="F2946" t="str">
        <f>IF(AND(Entities[[#This Row],[ENT_TYPE]]="County",RIGHT(Entities[[#This Row],[ENT_NAME]],6)&lt;&gt;"County"),_xlfn.TEXTJOIN(" ",TRUE,Entities[[#This Row],[ENT_NAME]],"County"),Entities[[#This Row],[ENT_NAME]])</f>
        <v>Burleson County</v>
      </c>
    </row>
    <row r="2947" spans="1:6" x14ac:dyDescent="0.25">
      <c r="A2947" s="304" t="s">
        <v>9301</v>
      </c>
      <c r="B2947" s="303" t="str">
        <f t="shared" si="46"/>
        <v>x08000048</v>
      </c>
      <c r="C2947" t="s">
        <v>4947</v>
      </c>
      <c r="D2947" t="s">
        <v>4883</v>
      </c>
      <c r="E2947">
        <v>8</v>
      </c>
      <c r="F2947" t="str">
        <f>IF(AND(Entities[[#This Row],[ENT_TYPE]]="County",RIGHT(Entities[[#This Row],[ENT_NAME]],6)&lt;&gt;"County"),_xlfn.TEXTJOIN(" ",TRUE,Entities[[#This Row],[ENT_NAME]],"County"),Entities[[#This Row],[ENT_NAME]])</f>
        <v>Brazos County</v>
      </c>
    </row>
    <row r="2948" spans="1:6" x14ac:dyDescent="0.25">
      <c r="A2948" s="304" t="s">
        <v>9302</v>
      </c>
      <c r="B2948" s="303" t="str">
        <f t="shared" si="46"/>
        <v>x08000054</v>
      </c>
      <c r="C2948" t="s">
        <v>4947</v>
      </c>
      <c r="D2948" t="s">
        <v>9303</v>
      </c>
      <c r="E2948">
        <v>8</v>
      </c>
      <c r="F2948" t="str">
        <f>IF(AND(Entities[[#This Row],[ENT_TYPE]]="County",RIGHT(Entities[[#This Row],[ENT_NAME]],6)&lt;&gt;"County"),_xlfn.TEXTJOIN(" ",TRUE,Entities[[#This Row],[ENT_NAME]],"County"),Entities[[#This Row],[ENT_NAME]])</f>
        <v>Milam County</v>
      </c>
    </row>
    <row r="2949" spans="1:6" x14ac:dyDescent="0.25">
      <c r="A2949" s="304" t="s">
        <v>9304</v>
      </c>
      <c r="B2949" s="303" t="str">
        <f t="shared" si="46"/>
        <v>x08000060</v>
      </c>
      <c r="C2949" t="s">
        <v>4947</v>
      </c>
      <c r="D2949" t="s">
        <v>9305</v>
      </c>
      <c r="E2949">
        <v>8</v>
      </c>
      <c r="F2949" t="str">
        <f>IF(AND(Entities[[#This Row],[ENT_TYPE]]="County",RIGHT(Entities[[#This Row],[ENT_NAME]],6)&lt;&gt;"County"),_xlfn.TEXTJOIN(" ",TRUE,Entities[[#This Row],[ENT_NAME]],"County"),Entities[[#This Row],[ENT_NAME]])</f>
        <v>Bell County</v>
      </c>
    </row>
    <row r="2950" spans="1:6" x14ac:dyDescent="0.25">
      <c r="A2950" s="302" t="s">
        <v>9306</v>
      </c>
      <c r="B2950" s="303" t="str">
        <f t="shared" si="46"/>
        <v>x08000063</v>
      </c>
      <c r="C2950" t="s">
        <v>4947</v>
      </c>
      <c r="D2950" t="s">
        <v>9307</v>
      </c>
      <c r="E2950">
        <v>8</v>
      </c>
      <c r="F2950" t="str">
        <f>IF(AND(Entities[[#This Row],[ENT_TYPE]]="County",RIGHT(Entities[[#This Row],[ENT_NAME]],6)&lt;&gt;"County"),_xlfn.TEXTJOIN(" ",TRUE,Entities[[#This Row],[ENT_NAME]],"County"),Entities[[#This Row],[ENT_NAME]])</f>
        <v>Robertson County</v>
      </c>
    </row>
    <row r="2951" spans="1:6" x14ac:dyDescent="0.25">
      <c r="A2951" s="304" t="s">
        <v>9308</v>
      </c>
      <c r="B2951" s="303" t="str">
        <f t="shared" si="46"/>
        <v>x08000121</v>
      </c>
      <c r="C2951" t="s">
        <v>4947</v>
      </c>
      <c r="D2951" t="s">
        <v>9309</v>
      </c>
      <c r="E2951">
        <v>8</v>
      </c>
      <c r="F2951" t="str">
        <f>IF(AND(Entities[[#This Row],[ENT_TYPE]]="County",RIGHT(Entities[[#This Row],[ENT_NAME]],6)&lt;&gt;"County"),_xlfn.TEXTJOIN(" ",TRUE,Entities[[#This Row],[ENT_NAME]],"County"),Entities[[#This Row],[ENT_NAME]])</f>
        <v>Palo Pinto County</v>
      </c>
    </row>
    <row r="2952" spans="1:6" x14ac:dyDescent="0.25">
      <c r="A2952" s="304" t="s">
        <v>9310</v>
      </c>
      <c r="B2952" s="303" t="str">
        <f t="shared" si="46"/>
        <v>x08000123</v>
      </c>
      <c r="C2952" t="s">
        <v>4947</v>
      </c>
      <c r="D2952" t="s">
        <v>9311</v>
      </c>
      <c r="E2952">
        <v>8</v>
      </c>
      <c r="F2952" t="str">
        <f>IF(AND(Entities[[#This Row],[ENT_TYPE]]="County",RIGHT(Entities[[#This Row],[ENT_NAME]],6)&lt;&gt;"County"),_xlfn.TEXTJOIN(" ",TRUE,Entities[[#This Row],[ENT_NAME]],"County"),Entities[[#This Row],[ENT_NAME]])</f>
        <v>Falls County</v>
      </c>
    </row>
    <row r="2953" spans="1:6" x14ac:dyDescent="0.25">
      <c r="A2953" s="304" t="s">
        <v>9312</v>
      </c>
      <c r="B2953" s="303" t="str">
        <f t="shared" si="46"/>
        <v>x08000133</v>
      </c>
      <c r="C2953" t="s">
        <v>4947</v>
      </c>
      <c r="D2953" t="s">
        <v>9313</v>
      </c>
      <c r="E2953">
        <v>8</v>
      </c>
      <c r="F2953" t="str">
        <f>IF(AND(Entities[[#This Row],[ENT_TYPE]]="County",RIGHT(Entities[[#This Row],[ENT_NAME]],6)&lt;&gt;"County"),_xlfn.TEXTJOIN(" ",TRUE,Entities[[#This Row],[ENT_NAME]],"County"),Entities[[#This Row],[ENT_NAME]])</f>
        <v>Coryell County</v>
      </c>
    </row>
    <row r="2954" spans="1:6" x14ac:dyDescent="0.25">
      <c r="A2954" s="302" t="s">
        <v>9314</v>
      </c>
      <c r="B2954" s="303" t="str">
        <f t="shared" si="46"/>
        <v>x08000138</v>
      </c>
      <c r="C2954" t="s">
        <v>4947</v>
      </c>
      <c r="D2954" t="s">
        <v>3396</v>
      </c>
      <c r="E2954">
        <v>8</v>
      </c>
      <c r="F2954" t="str">
        <f>IF(AND(Entities[[#This Row],[ENT_TYPE]]="County",RIGHT(Entities[[#This Row],[ENT_NAME]],6)&lt;&gt;"County"),_xlfn.TEXTJOIN(" ",TRUE,Entities[[#This Row],[ENT_NAME]],"County"),Entities[[#This Row],[ENT_NAME]])</f>
        <v>McLennan County</v>
      </c>
    </row>
    <row r="2955" spans="1:6" x14ac:dyDescent="0.25">
      <c r="A2955" s="304" t="s">
        <v>9315</v>
      </c>
      <c r="B2955" s="303" t="str">
        <f t="shared" si="46"/>
        <v>x08000140</v>
      </c>
      <c r="C2955" t="s">
        <v>4947</v>
      </c>
      <c r="D2955" t="s">
        <v>9316</v>
      </c>
      <c r="E2955">
        <v>8</v>
      </c>
      <c r="F2955" t="str">
        <f>IF(AND(Entities[[#This Row],[ENT_TYPE]]="County",RIGHT(Entities[[#This Row],[ENT_NAME]],6)&lt;&gt;"County"),_xlfn.TEXTJOIN(" ",TRUE,Entities[[#This Row],[ENT_NAME]],"County"),Entities[[#This Row],[ENT_NAME]])</f>
        <v>Hamilton County</v>
      </c>
    </row>
    <row r="2956" spans="1:6" x14ac:dyDescent="0.25">
      <c r="A2956" s="302" t="s">
        <v>9317</v>
      </c>
      <c r="B2956" s="303" t="str">
        <f t="shared" si="46"/>
        <v>x08000158</v>
      </c>
      <c r="C2956" t="s">
        <v>4947</v>
      </c>
      <c r="D2956" t="s">
        <v>9318</v>
      </c>
      <c r="E2956">
        <v>8</v>
      </c>
      <c r="F2956" t="str">
        <f>IF(AND(Entities[[#This Row],[ENT_TYPE]]="County",RIGHT(Entities[[#This Row],[ENT_NAME]],6)&lt;&gt;"County"),_xlfn.TEXTJOIN(" ",TRUE,Entities[[#This Row],[ENT_NAME]],"County"),Entities[[#This Row],[ENT_NAME]])</f>
        <v>Bosque County</v>
      </c>
    </row>
    <row r="2957" spans="1:6" x14ac:dyDescent="0.25">
      <c r="A2957" s="304" t="s">
        <v>9319</v>
      </c>
      <c r="B2957" s="303" t="str">
        <f t="shared" si="46"/>
        <v>x08000162</v>
      </c>
      <c r="C2957" t="s">
        <v>4947</v>
      </c>
      <c r="D2957" t="s">
        <v>9320</v>
      </c>
      <c r="E2957">
        <v>8</v>
      </c>
      <c r="F2957" t="str">
        <f>IF(AND(Entities[[#This Row],[ENT_TYPE]]="County",RIGHT(Entities[[#This Row],[ENT_NAME]],6)&lt;&gt;"County"),_xlfn.TEXTJOIN(" ",TRUE,Entities[[#This Row],[ENT_NAME]],"County"),Entities[[#This Row],[ENT_NAME]])</f>
        <v>Somervell County</v>
      </c>
    </row>
    <row r="2958" spans="1:6" x14ac:dyDescent="0.25">
      <c r="A2958" s="302" t="s">
        <v>9321</v>
      </c>
      <c r="B2958" s="303" t="str">
        <f t="shared" si="46"/>
        <v>x08000169</v>
      </c>
      <c r="C2958" t="s">
        <v>4947</v>
      </c>
      <c r="D2958" t="s">
        <v>9322</v>
      </c>
      <c r="E2958">
        <v>8</v>
      </c>
      <c r="F2958" t="str">
        <f>IF(AND(Entities[[#This Row],[ENT_TYPE]]="County",RIGHT(Entities[[#This Row],[ENT_NAME]],6)&lt;&gt;"County"),_xlfn.TEXTJOIN(" ",TRUE,Entities[[#This Row],[ENT_NAME]],"County"),Entities[[#This Row],[ENT_NAME]])</f>
        <v>Erath County</v>
      </c>
    </row>
    <row r="2959" spans="1:6" x14ac:dyDescent="0.25">
      <c r="A2959" s="304" t="s">
        <v>9323</v>
      </c>
      <c r="B2959" s="303" t="str">
        <f t="shared" si="46"/>
        <v>x08000321</v>
      </c>
      <c r="C2959" t="s">
        <v>4</v>
      </c>
      <c r="D2959" t="s">
        <v>9324</v>
      </c>
      <c r="E2959">
        <v>8</v>
      </c>
      <c r="F2959" t="str">
        <f>IF(AND(Entities[[#This Row],[ENT_TYPE]]="County",RIGHT(Entities[[#This Row],[ENT_NAME]],6)&lt;&gt;"County"),_xlfn.TEXTJOIN(" ",TRUE,Entities[[#This Row],[ENT_NAME]],"County"),Entities[[#This Row],[ENT_NAME]])</f>
        <v>Fort Bend County MUD 238</v>
      </c>
    </row>
    <row r="2960" spans="1:6" x14ac:dyDescent="0.25">
      <c r="A2960" s="302" t="s">
        <v>9325</v>
      </c>
      <c r="B2960" s="303" t="str">
        <f t="shared" si="46"/>
        <v>x08000327</v>
      </c>
      <c r="C2960" t="s">
        <v>4</v>
      </c>
      <c r="D2960" t="s">
        <v>9326</v>
      </c>
      <c r="E2960">
        <v>8</v>
      </c>
      <c r="F2960" t="str">
        <f>IF(AND(Entities[[#This Row],[ENT_TYPE]]="County",RIGHT(Entities[[#This Row],[ENT_NAME]],6)&lt;&gt;"County"),_xlfn.TEXTJOIN(" ",TRUE,Entities[[#This Row],[ENT_NAME]],"County"),Entities[[#This Row],[ENT_NAME]])</f>
        <v>Northeast Burnet County Water District 1</v>
      </c>
    </row>
    <row r="2961" spans="1:6" x14ac:dyDescent="0.25">
      <c r="A2961" s="304" t="s">
        <v>9327</v>
      </c>
      <c r="B2961" s="303" t="str">
        <f t="shared" si="46"/>
        <v>x08000328</v>
      </c>
      <c r="C2961" t="s">
        <v>4</v>
      </c>
      <c r="D2961" t="s">
        <v>9328</v>
      </c>
      <c r="E2961">
        <v>8</v>
      </c>
      <c r="F2961" t="str">
        <f>IF(AND(Entities[[#This Row],[ENT_TYPE]]="County",RIGHT(Entities[[#This Row],[ENT_NAME]],6)&lt;&gt;"County"),_xlfn.TEXTJOIN(" ",TRUE,Entities[[#This Row],[ENT_NAME]],"County"),Entities[[#This Row],[ENT_NAME]])</f>
        <v>Fort Bend County MUD 222</v>
      </c>
    </row>
    <row r="2962" spans="1:6" x14ac:dyDescent="0.25">
      <c r="A2962" s="302" t="s">
        <v>9329</v>
      </c>
      <c r="B2962" s="303" t="str">
        <f t="shared" si="46"/>
        <v>x08000337</v>
      </c>
      <c r="C2962" t="s">
        <v>4</v>
      </c>
      <c r="D2962" t="s">
        <v>9330</v>
      </c>
      <c r="E2962">
        <v>8</v>
      </c>
      <c r="F2962" t="str">
        <f>IF(AND(Entities[[#This Row],[ENT_TYPE]]="County",RIGHT(Entities[[#This Row],[ENT_NAME]],6)&lt;&gt;"County"),_xlfn.TEXTJOIN(" ",TRUE,Entities[[#This Row],[ENT_NAME]],"County"),Entities[[#This Row],[ENT_NAME]])</f>
        <v>Sienna Plantation Management District</v>
      </c>
    </row>
    <row r="2963" spans="1:6" x14ac:dyDescent="0.25">
      <c r="A2963" s="304" t="s">
        <v>9331</v>
      </c>
      <c r="B2963" s="303" t="str">
        <f t="shared" si="46"/>
        <v>x08000348</v>
      </c>
      <c r="C2963" t="s">
        <v>4</v>
      </c>
      <c r="D2963" t="s">
        <v>9332</v>
      </c>
      <c r="E2963">
        <v>8</v>
      </c>
      <c r="F2963" t="str">
        <f>IF(AND(Entities[[#This Row],[ENT_TYPE]]="County",RIGHT(Entities[[#This Row],[ENT_NAME]],6)&lt;&gt;"County"),_xlfn.TEXTJOIN(" ",TRUE,Entities[[#This Row],[ENT_NAME]],"County"),Entities[[#This Row],[ENT_NAME]])</f>
        <v>Imperial Redevelopment District</v>
      </c>
    </row>
    <row r="2964" spans="1:6" x14ac:dyDescent="0.25">
      <c r="A2964" s="302" t="s">
        <v>9333</v>
      </c>
      <c r="B2964" s="303" t="str">
        <f t="shared" si="46"/>
        <v>x08000353</v>
      </c>
      <c r="C2964" t="s">
        <v>4</v>
      </c>
      <c r="D2964" t="s">
        <v>9334</v>
      </c>
      <c r="E2964">
        <v>8</v>
      </c>
      <c r="F2964" t="str">
        <f>IF(AND(Entities[[#This Row],[ENT_TYPE]]="County",RIGHT(Entities[[#This Row],[ENT_NAME]],6)&lt;&gt;"County"),_xlfn.TEXTJOIN(" ",TRUE,Entities[[#This Row],[ENT_NAME]],"County"),Entities[[#This Row],[ENT_NAME]])</f>
        <v>San Gabriel MUD 1</v>
      </c>
    </row>
    <row r="2965" spans="1:6" x14ac:dyDescent="0.25">
      <c r="A2965" s="304" t="s">
        <v>9335</v>
      </c>
      <c r="B2965" s="303" t="str">
        <f t="shared" si="46"/>
        <v>x08000354</v>
      </c>
      <c r="C2965" t="s">
        <v>4</v>
      </c>
      <c r="D2965" t="s">
        <v>9336</v>
      </c>
      <c r="E2965">
        <v>8</v>
      </c>
      <c r="F2965" t="str">
        <f>IF(AND(Entities[[#This Row],[ENT_TYPE]]="County",RIGHT(Entities[[#This Row],[ENT_NAME]],6)&lt;&gt;"County"),_xlfn.TEXTJOIN(" ",TRUE,Entities[[#This Row],[ENT_NAME]],"County"),Entities[[#This Row],[ENT_NAME]])</f>
        <v>Seven Oaks Ranch MUD</v>
      </c>
    </row>
    <row r="2966" spans="1:6" x14ac:dyDescent="0.25">
      <c r="A2966" s="302" t="s">
        <v>9337</v>
      </c>
      <c r="B2966" s="303" t="str">
        <f t="shared" si="46"/>
        <v>x08000359</v>
      </c>
      <c r="C2966" t="s">
        <v>4</v>
      </c>
      <c r="D2966" t="s">
        <v>9338</v>
      </c>
      <c r="E2966">
        <v>8</v>
      </c>
      <c r="F2966" t="str">
        <f>IF(AND(Entities[[#This Row],[ENT_TYPE]]="County",RIGHT(Entities[[#This Row],[ENT_NAME]],6)&lt;&gt;"County"),_xlfn.TEXTJOIN(" ",TRUE,Entities[[#This Row],[ENT_NAME]],"County"),Entities[[#This Row],[ENT_NAME]])</f>
        <v>Fort Bend County MUD 187</v>
      </c>
    </row>
    <row r="2967" spans="1:6" x14ac:dyDescent="0.25">
      <c r="A2967" s="304" t="s">
        <v>9339</v>
      </c>
      <c r="B2967" s="303" t="str">
        <f t="shared" si="46"/>
        <v>x08000366</v>
      </c>
      <c r="C2967" t="s">
        <v>4</v>
      </c>
      <c r="D2967" t="s">
        <v>9340</v>
      </c>
      <c r="E2967">
        <v>8</v>
      </c>
      <c r="F2967" t="str">
        <f>IF(AND(Entities[[#This Row],[ENT_TYPE]]="County",RIGHT(Entities[[#This Row],[ENT_NAME]],6)&lt;&gt;"County"),_xlfn.TEXTJOIN(" ",TRUE,Entities[[#This Row],[ENT_NAME]],"County"),Entities[[#This Row],[ENT_NAME]])</f>
        <v>South Fork Ranch MUD</v>
      </c>
    </row>
    <row r="2968" spans="1:6" x14ac:dyDescent="0.25">
      <c r="A2968" s="304" t="s">
        <v>9341</v>
      </c>
      <c r="B2968" s="303" t="str">
        <f t="shared" si="46"/>
        <v>x08000370</v>
      </c>
      <c r="C2968" t="s">
        <v>4</v>
      </c>
      <c r="D2968" t="s">
        <v>9342</v>
      </c>
      <c r="E2968">
        <v>8</v>
      </c>
      <c r="F2968" t="str">
        <f>IF(AND(Entities[[#This Row],[ENT_TYPE]]="County",RIGHT(Entities[[#This Row],[ENT_NAME]],6)&lt;&gt;"County"),_xlfn.TEXTJOIN(" ",TRUE,Entities[[#This Row],[ENT_NAME]],"County"),Entities[[#This Row],[ENT_NAME]])</f>
        <v>White Bluff WCID</v>
      </c>
    </row>
    <row r="2969" spans="1:6" x14ac:dyDescent="0.25">
      <c r="A2969" s="302" t="s">
        <v>9343</v>
      </c>
      <c r="B2969" s="303" t="str">
        <f t="shared" si="46"/>
        <v>x08000388</v>
      </c>
      <c r="C2969" t="s">
        <v>4</v>
      </c>
      <c r="D2969" t="s">
        <v>9344</v>
      </c>
      <c r="E2969">
        <v>8</v>
      </c>
      <c r="F2969" t="str">
        <f>IF(AND(Entities[[#This Row],[ENT_TYPE]]="County",RIGHT(Entities[[#This Row],[ENT_NAME]],6)&lt;&gt;"County"),_xlfn.TEXTJOIN(" ",TRUE,Entities[[#This Row],[ENT_NAME]],"County"),Entities[[#This Row],[ENT_NAME]])</f>
        <v>Fort Bend County MUD 143</v>
      </c>
    </row>
    <row r="2970" spans="1:6" x14ac:dyDescent="0.25">
      <c r="A2970" s="302" t="s">
        <v>9345</v>
      </c>
      <c r="B2970" s="303" t="str">
        <f t="shared" si="46"/>
        <v>x08000407</v>
      </c>
      <c r="C2970" t="s">
        <v>4</v>
      </c>
      <c r="D2970" t="s">
        <v>9346</v>
      </c>
      <c r="E2970">
        <v>8</v>
      </c>
      <c r="F2970" t="str">
        <f>IF(AND(Entities[[#This Row],[ENT_TYPE]]="County",RIGHT(Entities[[#This Row],[ENT_NAME]],6)&lt;&gt;"County"),_xlfn.TEXTJOIN(" ",TRUE,Entities[[#This Row],[ENT_NAME]],"County"),Entities[[#This Row],[ENT_NAME]])</f>
        <v>Fort Bend County Improvement District 24</v>
      </c>
    </row>
    <row r="2971" spans="1:6" x14ac:dyDescent="0.25">
      <c r="A2971" s="302" t="s">
        <v>9347</v>
      </c>
      <c r="B2971" s="303" t="str">
        <f t="shared" si="46"/>
        <v>x08000418</v>
      </c>
      <c r="C2971" t="s">
        <v>4</v>
      </c>
      <c r="D2971" t="s">
        <v>9348</v>
      </c>
      <c r="E2971">
        <v>8</v>
      </c>
      <c r="F2971" t="str">
        <f>IF(AND(Entities[[#This Row],[ENT_TYPE]]="County",RIGHT(Entities[[#This Row],[ENT_NAME]],6)&lt;&gt;"County"),_xlfn.TEXTJOIN(" ",TRUE,Entities[[#This Row],[ENT_NAME]],"County"),Entities[[#This Row],[ENT_NAME]])</f>
        <v>Brazoria County MUD 44</v>
      </c>
    </row>
    <row r="2972" spans="1:6" x14ac:dyDescent="0.25">
      <c r="A2972" s="304" t="s">
        <v>9349</v>
      </c>
      <c r="B2972" s="303" t="str">
        <f t="shared" si="46"/>
        <v>x08000425</v>
      </c>
      <c r="C2972" t="s">
        <v>4</v>
      </c>
      <c r="D2972" t="s">
        <v>9350</v>
      </c>
      <c r="E2972">
        <v>8</v>
      </c>
      <c r="F2972" t="str">
        <f>IF(AND(Entities[[#This Row],[ENT_TYPE]]="County",RIGHT(Entities[[#This Row],[ENT_NAME]],6)&lt;&gt;"County"),_xlfn.TEXTJOIN(" ",TRUE,Entities[[#This Row],[ENT_NAME]],"County"),Entities[[#This Row],[ENT_NAME]])</f>
        <v>Brookshire Municipal Water District</v>
      </c>
    </row>
    <row r="2973" spans="1:6" x14ac:dyDescent="0.25">
      <c r="A2973" s="304" t="s">
        <v>9351</v>
      </c>
      <c r="B2973" s="303" t="str">
        <f t="shared" si="46"/>
        <v>x08000432</v>
      </c>
      <c r="C2973" t="s">
        <v>4</v>
      </c>
      <c r="D2973" t="s">
        <v>9352</v>
      </c>
      <c r="E2973">
        <v>8</v>
      </c>
      <c r="F2973" t="str">
        <f>IF(AND(Entities[[#This Row],[ENT_TYPE]]="County",RIGHT(Entities[[#This Row],[ENT_NAME]],6)&lt;&gt;"County"),_xlfn.TEXTJOIN(" ",TRUE,Entities[[#This Row],[ENT_NAME]],"County"),Entities[[#This Row],[ENT_NAME]])</f>
        <v>Las Damas Management District</v>
      </c>
    </row>
    <row r="2974" spans="1:6" x14ac:dyDescent="0.25">
      <c r="A2974" s="302" t="s">
        <v>9353</v>
      </c>
      <c r="B2974" s="303" t="str">
        <f t="shared" si="46"/>
        <v>x08000434</v>
      </c>
      <c r="C2974" t="s">
        <v>4</v>
      </c>
      <c r="D2974" t="s">
        <v>9354</v>
      </c>
      <c r="E2974">
        <v>8</v>
      </c>
      <c r="F2974" t="str">
        <f>IF(AND(Entities[[#This Row],[ENT_TYPE]]="County",RIGHT(Entities[[#This Row],[ENT_NAME]],6)&lt;&gt;"County"),_xlfn.TEXTJOIN(" ",TRUE,Entities[[#This Row],[ENT_NAME]],"County"),Entities[[#This Row],[ENT_NAME]])</f>
        <v>Paloma Lake MUD 1</v>
      </c>
    </row>
    <row r="2975" spans="1:6" x14ac:dyDescent="0.25">
      <c r="A2975" s="304" t="s">
        <v>9355</v>
      </c>
      <c r="B2975" s="303" t="str">
        <f t="shared" si="46"/>
        <v>x08000438</v>
      </c>
      <c r="C2975" t="s">
        <v>4</v>
      </c>
      <c r="D2975" t="s">
        <v>9356</v>
      </c>
      <c r="E2975">
        <v>8</v>
      </c>
      <c r="F2975" t="str">
        <f>IF(AND(Entities[[#This Row],[ENT_TYPE]]="County",RIGHT(Entities[[#This Row],[ENT_NAME]],6)&lt;&gt;"County"),_xlfn.TEXTJOIN(" ",TRUE,Entities[[#This Row],[ENT_NAME]],"County"),Entities[[#This Row],[ENT_NAME]])</f>
        <v>Wright Farm MMD</v>
      </c>
    </row>
    <row r="2976" spans="1:6" x14ac:dyDescent="0.25">
      <c r="A2976" s="302" t="s">
        <v>9357</v>
      </c>
      <c r="B2976" s="303" t="str">
        <f t="shared" si="46"/>
        <v>x08000447</v>
      </c>
      <c r="C2976" t="s">
        <v>4</v>
      </c>
      <c r="D2976" t="s">
        <v>9358</v>
      </c>
      <c r="E2976">
        <v>8</v>
      </c>
      <c r="F2976" t="str">
        <f>IF(AND(Entities[[#This Row],[ENT_TYPE]]="County",RIGHT(Entities[[#This Row],[ENT_NAME]],6)&lt;&gt;"County"),_xlfn.TEXTJOIN(" ",TRUE,Entities[[#This Row],[ENT_NAME]],"County"),Entities[[#This Row],[ENT_NAME]])</f>
        <v>Fort Bend County MUD 134D</v>
      </c>
    </row>
    <row r="2977" spans="1:6" x14ac:dyDescent="0.25">
      <c r="A2977" s="302" t="s">
        <v>9359</v>
      </c>
      <c r="B2977" s="303" t="str">
        <f t="shared" si="46"/>
        <v>x08000456</v>
      </c>
      <c r="C2977" t="s">
        <v>4</v>
      </c>
      <c r="D2977" t="s">
        <v>9360</v>
      </c>
      <c r="E2977">
        <v>8</v>
      </c>
      <c r="F2977" t="str">
        <f>IF(AND(Entities[[#This Row],[ENT_TYPE]]="County",RIGHT(Entities[[#This Row],[ENT_NAME]],6)&lt;&gt;"County"),_xlfn.TEXTJOIN(" ",TRUE,Entities[[#This Row],[ENT_NAME]],"County"),Entities[[#This Row],[ENT_NAME]])</f>
        <v>West Fort Bend Management  District</v>
      </c>
    </row>
    <row r="2978" spans="1:6" x14ac:dyDescent="0.25">
      <c r="A2978" s="304" t="s">
        <v>9361</v>
      </c>
      <c r="B2978" s="303" t="str">
        <f t="shared" si="46"/>
        <v>x08000457</v>
      </c>
      <c r="C2978" t="s">
        <v>4</v>
      </c>
      <c r="D2978" t="s">
        <v>9362</v>
      </c>
      <c r="E2978">
        <v>8</v>
      </c>
      <c r="F2978" t="str">
        <f>IF(AND(Entities[[#This Row],[ENT_TYPE]]="County",RIGHT(Entities[[#This Row],[ENT_NAME]],6)&lt;&gt;"County"),_xlfn.TEXTJOIN(" ",TRUE,Entities[[#This Row],[ENT_NAME]],"County"),Entities[[#This Row],[ENT_NAME]])</f>
        <v>Williamson County WCID 3</v>
      </c>
    </row>
    <row r="2979" spans="1:6" x14ac:dyDescent="0.25">
      <c r="A2979" s="302" t="s">
        <v>9363</v>
      </c>
      <c r="B2979" s="303" t="str">
        <f t="shared" si="46"/>
        <v>x08000459</v>
      </c>
      <c r="C2979" t="s">
        <v>4</v>
      </c>
      <c r="D2979" t="s">
        <v>9364</v>
      </c>
      <c r="E2979">
        <v>8</v>
      </c>
      <c r="F2979" t="str">
        <f>IF(AND(Entities[[#This Row],[ENT_TYPE]]="County",RIGHT(Entities[[#This Row],[ENT_NAME]],6)&lt;&gt;"County"),_xlfn.TEXTJOIN(" ",TRUE,Entities[[#This Row],[ENT_NAME]],"County"),Entities[[#This Row],[ENT_NAME]])</f>
        <v>CLL MUD 1</v>
      </c>
    </row>
    <row r="2980" spans="1:6" x14ac:dyDescent="0.25">
      <c r="A2980" s="304" t="s">
        <v>9365</v>
      </c>
      <c r="B2980" s="303" t="str">
        <f t="shared" si="46"/>
        <v>x08000461</v>
      </c>
      <c r="C2980" t="s">
        <v>4</v>
      </c>
      <c r="D2980" t="s">
        <v>9366</v>
      </c>
      <c r="E2980">
        <v>8</v>
      </c>
      <c r="F2980" t="str">
        <f>IF(AND(Entities[[#This Row],[ENT_TYPE]]="County",RIGHT(Entities[[#This Row],[ENT_NAME]],6)&lt;&gt;"County"),_xlfn.TEXTJOIN(" ",TRUE,Entities[[#This Row],[ENT_NAME]],"County"),Entities[[#This Row],[ENT_NAME]])</f>
        <v>West Williamson County MUD 1</v>
      </c>
    </row>
    <row r="2981" spans="1:6" x14ac:dyDescent="0.25">
      <c r="A2981" s="302" t="s">
        <v>9367</v>
      </c>
      <c r="B2981" s="303" t="str">
        <f t="shared" si="46"/>
        <v>x08000465</v>
      </c>
      <c r="C2981" t="s">
        <v>4</v>
      </c>
      <c r="D2981" t="s">
        <v>9368</v>
      </c>
      <c r="E2981">
        <v>8</v>
      </c>
      <c r="F2981" t="str">
        <f>IF(AND(Entities[[#This Row],[ENT_TYPE]]="County",RIGHT(Entities[[#This Row],[ENT_NAME]],6)&lt;&gt;"County"),_xlfn.TEXTJOIN(" ",TRUE,Entities[[#This Row],[ENT_NAME]],"County"),Entities[[#This Row],[ENT_NAME]])</f>
        <v>Williamson County MUD 23</v>
      </c>
    </row>
    <row r="2982" spans="1:6" x14ac:dyDescent="0.25">
      <c r="A2982" s="304" t="s">
        <v>9369</v>
      </c>
      <c r="B2982" s="303" t="str">
        <f t="shared" si="46"/>
        <v>x08000500</v>
      </c>
      <c r="C2982" t="s">
        <v>4</v>
      </c>
      <c r="D2982" t="s">
        <v>9370</v>
      </c>
      <c r="E2982">
        <v>8</v>
      </c>
      <c r="F2982" t="str">
        <f>IF(AND(Entities[[#This Row],[ENT_TYPE]]="County",RIGHT(Entities[[#This Row],[ENT_NAME]],6)&lt;&gt;"County"),_xlfn.TEXTJOIN(" ",TRUE,Entities[[#This Row],[ENT_NAME]],"County"),Entities[[#This Row],[ENT_NAME]])</f>
        <v>Donahoe Creek Watershed Authority</v>
      </c>
    </row>
    <row r="2983" spans="1:6" x14ac:dyDescent="0.25">
      <c r="A2983" s="304" t="s">
        <v>9371</v>
      </c>
      <c r="B2983" s="303" t="str">
        <f t="shared" si="46"/>
        <v>x08000513</v>
      </c>
      <c r="C2983" t="s">
        <v>4</v>
      </c>
      <c r="D2983" t="s">
        <v>9372</v>
      </c>
      <c r="E2983">
        <v>8</v>
      </c>
      <c r="F2983" t="str">
        <f>IF(AND(Entities[[#This Row],[ENT_TYPE]]="County",RIGHT(Entities[[#This Row],[ENT_NAME]],6)&lt;&gt;"County"),_xlfn.TEXTJOIN(" ",TRUE,Entities[[#This Row],[ENT_NAME]],"County"),Entities[[#This Row],[ENT_NAME]])</f>
        <v>Palo Pinto County WCID 1</v>
      </c>
    </row>
    <row r="2984" spans="1:6" x14ac:dyDescent="0.25">
      <c r="A2984" s="302" t="s">
        <v>9373</v>
      </c>
      <c r="B2984" s="303" t="str">
        <f t="shared" si="46"/>
        <v>x08000515</v>
      </c>
      <c r="C2984" t="s">
        <v>4</v>
      </c>
      <c r="D2984" t="s">
        <v>9374</v>
      </c>
      <c r="E2984">
        <v>8</v>
      </c>
      <c r="F2984" t="str">
        <f>IF(AND(Entities[[#This Row],[ENT_TYPE]]="County",RIGHT(Entities[[#This Row],[ENT_NAME]],6)&lt;&gt;"County"),_xlfn.TEXTJOIN(" ",TRUE,Entities[[#This Row],[ENT_NAME]],"County"),Entities[[#This Row],[ENT_NAME]])</f>
        <v>Williamson County MUD 18</v>
      </c>
    </row>
    <row r="2985" spans="1:6" x14ac:dyDescent="0.25">
      <c r="A2985" s="304" t="s">
        <v>9375</v>
      </c>
      <c r="B2985" s="303" t="str">
        <f t="shared" si="46"/>
        <v>x08000525</v>
      </c>
      <c r="C2985" t="s">
        <v>4</v>
      </c>
      <c r="D2985" t="s">
        <v>9376</v>
      </c>
      <c r="E2985">
        <v>8</v>
      </c>
      <c r="F2985" t="str">
        <f>IF(AND(Entities[[#This Row],[ENT_TYPE]]="County",RIGHT(Entities[[#This Row],[ENT_NAME]],6)&lt;&gt;"County"),_xlfn.TEXTJOIN(" ",TRUE,Entities[[#This Row],[ENT_NAME]],"County"),Entities[[#This Row],[ENT_NAME]])</f>
        <v>Angleton Drainage District</v>
      </c>
    </row>
    <row r="2986" spans="1:6" x14ac:dyDescent="0.25">
      <c r="A2986" s="302" t="s">
        <v>9377</v>
      </c>
      <c r="B2986" s="303" t="str">
        <f t="shared" si="46"/>
        <v>x08000551</v>
      </c>
      <c r="C2986" t="s">
        <v>4</v>
      </c>
      <c r="D2986" t="s">
        <v>9378</v>
      </c>
      <c r="E2986">
        <v>8</v>
      </c>
      <c r="F2986" t="str">
        <f>IF(AND(Entities[[#This Row],[ENT_TYPE]]="County",RIGHT(Entities[[#This Row],[ENT_NAME]],6)&lt;&gt;"County"),_xlfn.TEXTJOIN(" ",TRUE,Entities[[#This Row],[ENT_NAME]],"County"),Entities[[#This Row],[ENT_NAME]])</f>
        <v>Fort Bend County MUD 200</v>
      </c>
    </row>
    <row r="2987" spans="1:6" x14ac:dyDescent="0.25">
      <c r="A2987" s="304" t="s">
        <v>9379</v>
      </c>
      <c r="B2987" s="303" t="str">
        <f t="shared" si="46"/>
        <v>x08000574</v>
      </c>
      <c r="C2987" t="s">
        <v>4</v>
      </c>
      <c r="D2987" t="s">
        <v>9380</v>
      </c>
      <c r="E2987">
        <v>8</v>
      </c>
      <c r="F2987" t="str">
        <f>IF(AND(Entities[[#This Row],[ENT_TYPE]]="County",RIGHT(Entities[[#This Row],[ENT_NAME]],6)&lt;&gt;"County"),_xlfn.TEXTJOIN(" ",TRUE,Entities[[#This Row],[ENT_NAME]],"County"),Entities[[#This Row],[ENT_NAME]])</f>
        <v>Fort Bend County WCID 10</v>
      </c>
    </row>
    <row r="2988" spans="1:6" x14ac:dyDescent="0.25">
      <c r="A2988" s="304" t="s">
        <v>9381</v>
      </c>
      <c r="B2988" s="303" t="str">
        <f t="shared" si="46"/>
        <v>x08000579</v>
      </c>
      <c r="C2988" t="s">
        <v>4</v>
      </c>
      <c r="D2988" t="s">
        <v>9382</v>
      </c>
      <c r="E2988">
        <v>8</v>
      </c>
      <c r="F2988" t="str">
        <f>IF(AND(Entities[[#This Row],[ENT_TYPE]]="County",RIGHT(Entities[[#This Row],[ENT_NAME]],6)&lt;&gt;"County"),_xlfn.TEXTJOIN(" ",TRUE,Entities[[#This Row],[ENT_NAME]],"County"),Entities[[#This Row],[ENT_NAME]])</f>
        <v>Velasco Drainage District</v>
      </c>
    </row>
    <row r="2989" spans="1:6" x14ac:dyDescent="0.25">
      <c r="A2989" s="302" t="s">
        <v>9383</v>
      </c>
      <c r="B2989" s="303" t="str">
        <f t="shared" si="46"/>
        <v>x08000591</v>
      </c>
      <c r="C2989" t="s">
        <v>4</v>
      </c>
      <c r="D2989" t="s">
        <v>9384</v>
      </c>
      <c r="E2989">
        <v>8</v>
      </c>
      <c r="F2989" t="str">
        <f>IF(AND(Entities[[#This Row],[ENT_TYPE]]="County",RIGHT(Entities[[#This Row],[ENT_NAME]],6)&lt;&gt;"County"),_xlfn.TEXTJOIN(" ",TRUE,Entities[[#This Row],[ENT_NAME]],"County"),Entities[[#This Row],[ENT_NAME]])</f>
        <v>Waller County MUD 3</v>
      </c>
    </row>
    <row r="2990" spans="1:6" x14ac:dyDescent="0.25">
      <c r="A2990" s="304" t="s">
        <v>9385</v>
      </c>
      <c r="B2990" s="303" t="str">
        <f t="shared" si="46"/>
        <v>x08000595</v>
      </c>
      <c r="C2990" t="s">
        <v>4</v>
      </c>
      <c r="D2990" t="s">
        <v>9386</v>
      </c>
      <c r="E2990">
        <v>8</v>
      </c>
      <c r="F2990" t="str">
        <f>IF(AND(Entities[[#This Row],[ENT_TYPE]]="County",RIGHT(Entities[[#This Row],[ENT_NAME]],6)&lt;&gt;"County"),_xlfn.TEXTJOIN(" ",TRUE,Entities[[#This Row],[ENT_NAME]],"County"),Entities[[#This Row],[ENT_NAME]])</f>
        <v>Fort Bend County MUD 146</v>
      </c>
    </row>
    <row r="2991" spans="1:6" x14ac:dyDescent="0.25">
      <c r="A2991" s="302" t="s">
        <v>9387</v>
      </c>
      <c r="B2991" s="303" t="str">
        <f t="shared" si="46"/>
        <v>x08000596</v>
      </c>
      <c r="C2991" t="s">
        <v>4</v>
      </c>
      <c r="D2991" t="s">
        <v>9388</v>
      </c>
      <c r="E2991">
        <v>8</v>
      </c>
      <c r="F2991" t="str">
        <f>IF(AND(Entities[[#This Row],[ENT_TYPE]]="County",RIGHT(Entities[[#This Row],[ENT_NAME]],6)&lt;&gt;"County"),_xlfn.TEXTJOIN(" ",TRUE,Entities[[#This Row],[ENT_NAME]],"County"),Entities[[#This Row],[ENT_NAME]])</f>
        <v>Fort Bend County MUD 145</v>
      </c>
    </row>
    <row r="2992" spans="1:6" x14ac:dyDescent="0.25">
      <c r="A2992" s="302" t="s">
        <v>9389</v>
      </c>
      <c r="B2992" s="303" t="str">
        <f t="shared" si="46"/>
        <v>x08000608</v>
      </c>
      <c r="C2992" t="s">
        <v>4</v>
      </c>
      <c r="D2992" t="s">
        <v>9390</v>
      </c>
      <c r="E2992">
        <v>8</v>
      </c>
      <c r="F2992" t="str">
        <f>IF(AND(Entities[[#This Row],[ENT_TYPE]]="County",RIGHT(Entities[[#This Row],[ENT_NAME]],6)&lt;&gt;"County"),_xlfn.TEXTJOIN(" ",TRUE,Entities[[#This Row],[ENT_NAME]],"County"),Entities[[#This Row],[ENT_NAME]])</f>
        <v>Brazoria County MUD 65</v>
      </c>
    </row>
    <row r="2993" spans="1:6" x14ac:dyDescent="0.25">
      <c r="A2993" s="304" t="s">
        <v>9391</v>
      </c>
      <c r="B2993" s="303" t="str">
        <f t="shared" si="46"/>
        <v>x08000612</v>
      </c>
      <c r="C2993" t="s">
        <v>4</v>
      </c>
      <c r="D2993" t="s">
        <v>9392</v>
      </c>
      <c r="E2993">
        <v>8</v>
      </c>
      <c r="F2993" t="str">
        <f>IF(AND(Entities[[#This Row],[ENT_TYPE]]="County",RIGHT(Entities[[#This Row],[ENT_NAME]],6)&lt;&gt;"County"),_xlfn.TEXTJOIN(" ",TRUE,Entities[[#This Row],[ENT_NAME]],"County"),Entities[[#This Row],[ENT_NAME]])</f>
        <v>Waller County MUD 2</v>
      </c>
    </row>
    <row r="2994" spans="1:6" x14ac:dyDescent="0.25">
      <c r="A2994" s="302" t="s">
        <v>9393</v>
      </c>
      <c r="B2994" s="303" t="str">
        <f t="shared" si="46"/>
        <v>x08000623</v>
      </c>
      <c r="C2994" t="s">
        <v>4</v>
      </c>
      <c r="D2994" t="s">
        <v>9394</v>
      </c>
      <c r="E2994">
        <v>8</v>
      </c>
      <c r="F2994" t="str">
        <f>IF(AND(Entities[[#This Row],[ENT_TYPE]]="County",RIGHT(Entities[[#This Row],[ENT_NAME]],6)&lt;&gt;"County"),_xlfn.TEXTJOIN(" ",TRUE,Entities[[#This Row],[ENT_NAME]],"County"),Entities[[#This Row],[ENT_NAME]])</f>
        <v>Fort Bend County MUD 198</v>
      </c>
    </row>
    <row r="2995" spans="1:6" x14ac:dyDescent="0.25">
      <c r="A2995" s="304" t="s">
        <v>9395</v>
      </c>
      <c r="B2995" s="303" t="str">
        <f t="shared" si="46"/>
        <v>x08000645</v>
      </c>
      <c r="C2995" t="s">
        <v>4</v>
      </c>
      <c r="D2995" t="s">
        <v>9396</v>
      </c>
      <c r="E2995">
        <v>8</v>
      </c>
      <c r="F2995" t="str">
        <f>IF(AND(Entities[[#This Row],[ENT_TYPE]]="County",RIGHT(Entities[[#This Row],[ENT_NAME]],6)&lt;&gt;"County"),_xlfn.TEXTJOIN(" ",TRUE,Entities[[#This Row],[ENT_NAME]],"County"),Entities[[#This Row],[ENT_NAME]])</f>
        <v>Lake Proctor Irrigation Authority</v>
      </c>
    </row>
    <row r="2996" spans="1:6" x14ac:dyDescent="0.25">
      <c r="A2996" s="302" t="s">
        <v>9397</v>
      </c>
      <c r="B2996" s="303" t="str">
        <f t="shared" si="46"/>
        <v>x08000651</v>
      </c>
      <c r="C2996" t="s">
        <v>4</v>
      </c>
      <c r="D2996" t="s">
        <v>9398</v>
      </c>
      <c r="E2996">
        <v>8</v>
      </c>
      <c r="F2996" t="str">
        <f>IF(AND(Entities[[#This Row],[ENT_TYPE]]="County",RIGHT(Entities[[#This Row],[ENT_NAME]],6)&lt;&gt;"County"),_xlfn.TEXTJOIN(" ",TRUE,Entities[[#This Row],[ENT_NAME]],"County"),Entities[[#This Row],[ENT_NAME]])</f>
        <v>Acton MUD</v>
      </c>
    </row>
    <row r="2997" spans="1:6" x14ac:dyDescent="0.25">
      <c r="A2997" s="302" t="s">
        <v>9399</v>
      </c>
      <c r="B2997" s="303" t="str">
        <f t="shared" si="46"/>
        <v>x08000658</v>
      </c>
      <c r="C2997" t="s">
        <v>4</v>
      </c>
      <c r="D2997" t="s">
        <v>9400</v>
      </c>
      <c r="E2997">
        <v>8</v>
      </c>
      <c r="F2997" t="str">
        <f>IF(AND(Entities[[#This Row],[ENT_TYPE]]="County",RIGHT(Entities[[#This Row],[ENT_NAME]],6)&lt;&gt;"County"),_xlfn.TEXTJOIN(" ",TRUE,Entities[[#This Row],[ENT_NAME]],"County"),Entities[[#This Row],[ENT_NAME]])</f>
        <v>Erath County Development District 1</v>
      </c>
    </row>
    <row r="2998" spans="1:6" x14ac:dyDescent="0.25">
      <c r="A2998" s="304" t="s">
        <v>9401</v>
      </c>
      <c r="B2998" s="303" t="str">
        <f t="shared" si="46"/>
        <v>x08000666</v>
      </c>
      <c r="C2998" t="s">
        <v>4</v>
      </c>
      <c r="D2998" t="s">
        <v>9402</v>
      </c>
      <c r="E2998">
        <v>8</v>
      </c>
      <c r="F2998" t="str">
        <f>IF(AND(Entities[[#This Row],[ENT_TYPE]]="County",RIGHT(Entities[[#This Row],[ENT_NAME]],6)&lt;&gt;"County"),_xlfn.TEXTJOIN(" ",TRUE,Entities[[#This Row],[ENT_NAME]],"County"),Entities[[#This Row],[ENT_NAME]])</f>
        <v>Falls County WCID 1</v>
      </c>
    </row>
    <row r="2999" spans="1:6" x14ac:dyDescent="0.25">
      <c r="A2999" s="304" t="s">
        <v>9403</v>
      </c>
      <c r="B2999" s="303" t="str">
        <f t="shared" si="46"/>
        <v>x08000678</v>
      </c>
      <c r="C2999" t="s">
        <v>4</v>
      </c>
      <c r="D2999" t="s">
        <v>9404</v>
      </c>
      <c r="E2999">
        <v>8</v>
      </c>
      <c r="F2999" t="str">
        <f>IF(AND(Entities[[#This Row],[ENT_TYPE]]="County",RIGHT(Entities[[#This Row],[ENT_NAME]],6)&lt;&gt;"County"),_xlfn.TEXTJOIN(" ",TRUE,Entities[[#This Row],[ENT_NAME]],"County"),Entities[[#This Row],[ENT_NAME]])</f>
        <v>Fort Bend County MUD 47</v>
      </c>
    </row>
    <row r="3000" spans="1:6" x14ac:dyDescent="0.25">
      <c r="A3000" s="302" t="s">
        <v>9405</v>
      </c>
      <c r="B3000" s="303" t="str">
        <f t="shared" si="46"/>
        <v>x08000680</v>
      </c>
      <c r="C3000" t="s">
        <v>4</v>
      </c>
      <c r="D3000" t="s">
        <v>9406</v>
      </c>
      <c r="E3000">
        <v>8</v>
      </c>
      <c r="F3000" t="str">
        <f>IF(AND(Entities[[#This Row],[ENT_TYPE]]="County",RIGHT(Entities[[#This Row],[ENT_NAME]],6)&lt;&gt;"County"),_xlfn.TEXTJOIN(" ",TRUE,Entities[[#This Row],[ENT_NAME]],"County"),Entities[[#This Row],[ENT_NAME]])</f>
        <v>Bell County WCID 6</v>
      </c>
    </row>
    <row r="3001" spans="1:6" x14ac:dyDescent="0.25">
      <c r="A3001" s="304" t="s">
        <v>9407</v>
      </c>
      <c r="B3001" s="303" t="str">
        <f t="shared" si="46"/>
        <v>x08000688</v>
      </c>
      <c r="C3001" t="s">
        <v>4</v>
      </c>
      <c r="D3001" t="s">
        <v>9408</v>
      </c>
      <c r="E3001">
        <v>8</v>
      </c>
      <c r="F3001" t="str">
        <f>IF(AND(Entities[[#This Row],[ENT_TYPE]]="County",RIGHT(Entities[[#This Row],[ENT_NAME]],6)&lt;&gt;"County"),_xlfn.TEXTJOIN(" ",TRUE,Entities[[#This Row],[ENT_NAME]],"County"),Entities[[#This Row],[ENT_NAME]])</f>
        <v>Fort Bend County MUD 204</v>
      </c>
    </row>
    <row r="3002" spans="1:6" x14ac:dyDescent="0.25">
      <c r="A3002" s="302" t="s">
        <v>9409</v>
      </c>
      <c r="B3002" s="303" t="str">
        <f t="shared" si="46"/>
        <v>x08000689</v>
      </c>
      <c r="C3002" t="s">
        <v>4</v>
      </c>
      <c r="D3002" t="s">
        <v>9410</v>
      </c>
      <c r="E3002">
        <v>8</v>
      </c>
      <c r="F3002" t="str">
        <f>IF(AND(Entities[[#This Row],[ENT_TYPE]]="County",RIGHT(Entities[[#This Row],[ENT_NAME]],6)&lt;&gt;"County"),_xlfn.TEXTJOIN(" ",TRUE,Entities[[#This Row],[ENT_NAME]],"County"),Entities[[#This Row],[ENT_NAME]])</f>
        <v>Fort Bend County MUD 203</v>
      </c>
    </row>
    <row r="3003" spans="1:6" x14ac:dyDescent="0.25">
      <c r="A3003" s="304" t="s">
        <v>9411</v>
      </c>
      <c r="B3003" s="303" t="str">
        <f t="shared" si="46"/>
        <v>x08000690</v>
      </c>
      <c r="C3003" t="s">
        <v>4</v>
      </c>
      <c r="D3003" t="s">
        <v>9412</v>
      </c>
      <c r="E3003">
        <v>8</v>
      </c>
      <c r="F3003" t="str">
        <f>IF(AND(Entities[[#This Row],[ENT_TYPE]]="County",RIGHT(Entities[[#This Row],[ENT_NAME]],6)&lt;&gt;"County"),_xlfn.TEXTJOIN(" ",TRUE,Entities[[#This Row],[ENT_NAME]],"County"),Entities[[#This Row],[ENT_NAME]])</f>
        <v>Fort Bend County MUD 202</v>
      </c>
    </row>
    <row r="3004" spans="1:6" x14ac:dyDescent="0.25">
      <c r="A3004" s="302" t="s">
        <v>9413</v>
      </c>
      <c r="B3004" s="303" t="str">
        <f t="shared" si="46"/>
        <v>x08000691</v>
      </c>
      <c r="C3004" t="s">
        <v>4</v>
      </c>
      <c r="D3004" t="s">
        <v>9414</v>
      </c>
      <c r="E3004">
        <v>8</v>
      </c>
      <c r="F3004" t="str">
        <f>IF(AND(Entities[[#This Row],[ENT_TYPE]]="County",RIGHT(Entities[[#This Row],[ENT_NAME]],6)&lt;&gt;"County"),_xlfn.TEXTJOIN(" ",TRUE,Entities[[#This Row],[ENT_NAME]],"County"),Entities[[#This Row],[ENT_NAME]])</f>
        <v>Fort Bend County MUD 201</v>
      </c>
    </row>
    <row r="3005" spans="1:6" x14ac:dyDescent="0.25">
      <c r="A3005" s="304" t="s">
        <v>9415</v>
      </c>
      <c r="B3005" s="303" t="str">
        <f t="shared" si="46"/>
        <v>x08000693</v>
      </c>
      <c r="C3005" t="s">
        <v>4</v>
      </c>
      <c r="D3005" t="s">
        <v>9416</v>
      </c>
      <c r="E3005">
        <v>8</v>
      </c>
      <c r="F3005" t="str">
        <f>IF(AND(Entities[[#This Row],[ENT_TYPE]]="County",RIGHT(Entities[[#This Row],[ENT_NAME]],6)&lt;&gt;"County"),_xlfn.TEXTJOIN(" ",TRUE,Entities[[#This Row],[ENT_NAME]],"County"),Entities[[#This Row],[ENT_NAME]])</f>
        <v>Brazoria County MUD 64</v>
      </c>
    </row>
    <row r="3006" spans="1:6" x14ac:dyDescent="0.25">
      <c r="A3006" s="302" t="s">
        <v>9417</v>
      </c>
      <c r="B3006" s="303" t="str">
        <f t="shared" si="46"/>
        <v>x08000698</v>
      </c>
      <c r="C3006" t="s">
        <v>4</v>
      </c>
      <c r="D3006" t="s">
        <v>9418</v>
      </c>
      <c r="E3006">
        <v>8</v>
      </c>
      <c r="F3006" t="str">
        <f>IF(AND(Entities[[#This Row],[ENT_TYPE]]="County",RIGHT(Entities[[#This Row],[ENT_NAME]],6)&lt;&gt;"County"),_xlfn.TEXTJOIN(" ",TRUE,Entities[[#This Row],[ENT_NAME]],"County"),Entities[[#This Row],[ENT_NAME]])</f>
        <v>Hood County Grandbury MUD 1</v>
      </c>
    </row>
    <row r="3007" spans="1:6" x14ac:dyDescent="0.25">
      <c r="A3007" s="304" t="s">
        <v>9419</v>
      </c>
      <c r="B3007" s="303" t="str">
        <f t="shared" si="46"/>
        <v>x08000704</v>
      </c>
      <c r="C3007" t="s">
        <v>4</v>
      </c>
      <c r="D3007" t="s">
        <v>9420</v>
      </c>
      <c r="E3007">
        <v>8</v>
      </c>
      <c r="F3007" t="str">
        <f>IF(AND(Entities[[#This Row],[ENT_TYPE]]="County",RIGHT(Entities[[#This Row],[ENT_NAME]],6)&lt;&gt;"County"),_xlfn.TEXTJOIN(" ",TRUE,Entities[[#This Row],[ENT_NAME]],"County"),Entities[[#This Row],[ENT_NAME]])</f>
        <v>Fort Bend County MUD 132</v>
      </c>
    </row>
    <row r="3008" spans="1:6" x14ac:dyDescent="0.25">
      <c r="A3008" s="302" t="s">
        <v>9421</v>
      </c>
      <c r="B3008" s="303" t="str">
        <f t="shared" si="46"/>
        <v>x08000718</v>
      </c>
      <c r="C3008" t="s">
        <v>4</v>
      </c>
      <c r="D3008" t="s">
        <v>9422</v>
      </c>
      <c r="E3008">
        <v>8</v>
      </c>
      <c r="F3008" t="str">
        <f>IF(AND(Entities[[#This Row],[ENT_TYPE]]="County",RIGHT(Entities[[#This Row],[ENT_NAME]],6)&lt;&gt;"County"),_xlfn.TEXTJOIN(" ",TRUE,Entities[[#This Row],[ENT_NAME]],"County"),Entities[[#This Row],[ENT_NAME]])</f>
        <v>First Colony MUD 10</v>
      </c>
    </row>
    <row r="3009" spans="1:6" x14ac:dyDescent="0.25">
      <c r="A3009" s="304" t="s">
        <v>9423</v>
      </c>
      <c r="B3009" s="303" t="str">
        <f t="shared" si="46"/>
        <v>x08000728</v>
      </c>
      <c r="C3009" t="s">
        <v>4</v>
      </c>
      <c r="D3009" t="s">
        <v>9424</v>
      </c>
      <c r="E3009">
        <v>8</v>
      </c>
      <c r="F3009" t="str">
        <f>IF(AND(Entities[[#This Row],[ENT_TYPE]]="County",RIGHT(Entities[[#This Row],[ENT_NAME]],6)&lt;&gt;"County"),_xlfn.TEXTJOIN(" ",TRUE,Entities[[#This Row],[ENT_NAME]],"County"),Entities[[#This Row],[ENT_NAME]])</f>
        <v>Brazoria County MUD 62</v>
      </c>
    </row>
    <row r="3010" spans="1:6" x14ac:dyDescent="0.25">
      <c r="A3010" s="302" t="s">
        <v>9425</v>
      </c>
      <c r="B3010" s="303" t="str">
        <f t="shared" ref="B3010:B3073" si="47">_xlfn.CONCAT("x",TEXT(A3010,"00000000"))</f>
        <v>x08000741</v>
      </c>
      <c r="C3010" t="s">
        <v>4</v>
      </c>
      <c r="D3010" t="s">
        <v>9426</v>
      </c>
      <c r="E3010">
        <v>8</v>
      </c>
      <c r="F3010" t="str">
        <f>IF(AND(Entities[[#This Row],[ENT_TYPE]]="County",RIGHT(Entities[[#This Row],[ENT_NAME]],6)&lt;&gt;"County"),_xlfn.TEXTJOIN(" ",TRUE,Entities[[#This Row],[ENT_NAME]],"County"),Entities[[#This Row],[ENT_NAME]])</f>
        <v>Fort Bend County MUD 183</v>
      </c>
    </row>
    <row r="3011" spans="1:6" x14ac:dyDescent="0.25">
      <c r="A3011" s="304" t="s">
        <v>9427</v>
      </c>
      <c r="B3011" s="303" t="str">
        <f t="shared" si="47"/>
        <v>x08000750</v>
      </c>
      <c r="C3011" t="s">
        <v>4</v>
      </c>
      <c r="D3011" t="s">
        <v>9428</v>
      </c>
      <c r="E3011">
        <v>8</v>
      </c>
      <c r="F3011" t="str">
        <f>IF(AND(Entities[[#This Row],[ENT_TYPE]]="County",RIGHT(Entities[[#This Row],[ENT_NAME]],6)&lt;&gt;"County"),_xlfn.TEXTJOIN(" ",TRUE,Entities[[#This Row],[ENT_NAME]],"County"),Entities[[#This Row],[ENT_NAME]])</f>
        <v>Waller County MUD 13</v>
      </c>
    </row>
    <row r="3012" spans="1:6" x14ac:dyDescent="0.25">
      <c r="A3012" s="302" t="s">
        <v>9429</v>
      </c>
      <c r="B3012" s="303" t="str">
        <f t="shared" si="47"/>
        <v>x08000751</v>
      </c>
      <c r="C3012" t="s">
        <v>4</v>
      </c>
      <c r="D3012" t="s">
        <v>9430</v>
      </c>
      <c r="E3012">
        <v>8</v>
      </c>
      <c r="F3012" t="str">
        <f>IF(AND(Entities[[#This Row],[ENT_TYPE]]="County",RIGHT(Entities[[#This Row],[ENT_NAME]],6)&lt;&gt;"County"),_xlfn.TEXTJOIN(" ",TRUE,Entities[[#This Row],[ENT_NAME]],"County"),Entities[[#This Row],[ENT_NAME]])</f>
        <v>Waller County MUD 14</v>
      </c>
    </row>
    <row r="3013" spans="1:6" x14ac:dyDescent="0.25">
      <c r="A3013" s="304" t="s">
        <v>9431</v>
      </c>
      <c r="B3013" s="303" t="str">
        <f t="shared" si="47"/>
        <v>x08000752</v>
      </c>
      <c r="C3013" t="s">
        <v>4</v>
      </c>
      <c r="D3013" t="s">
        <v>9432</v>
      </c>
      <c r="E3013">
        <v>8</v>
      </c>
      <c r="F3013" t="str">
        <f>IF(AND(Entities[[#This Row],[ENT_TYPE]]="County",RIGHT(Entities[[#This Row],[ENT_NAME]],6)&lt;&gt;"County"),_xlfn.TEXTJOIN(" ",TRUE,Entities[[#This Row],[ENT_NAME]],"County"),Entities[[#This Row],[ENT_NAME]])</f>
        <v>Waller County MUD 15</v>
      </c>
    </row>
    <row r="3014" spans="1:6" x14ac:dyDescent="0.25">
      <c r="A3014" s="302" t="s">
        <v>9433</v>
      </c>
      <c r="B3014" s="303" t="str">
        <f t="shared" si="47"/>
        <v>x08000762</v>
      </c>
      <c r="C3014" t="s">
        <v>4</v>
      </c>
      <c r="D3014" t="s">
        <v>9434</v>
      </c>
      <c r="E3014">
        <v>8</v>
      </c>
      <c r="F3014" t="str">
        <f>IF(AND(Entities[[#This Row],[ENT_TYPE]]="County",RIGHT(Entities[[#This Row],[ENT_NAME]],6)&lt;&gt;"County"),_xlfn.TEXTJOIN(" ",TRUE,Entities[[#This Row],[ENT_NAME]],"County"),Entities[[#This Row],[ENT_NAME]])</f>
        <v>Fort Bend County MUD 139</v>
      </c>
    </row>
    <row r="3015" spans="1:6" x14ac:dyDescent="0.25">
      <c r="A3015" s="304" t="s">
        <v>9435</v>
      </c>
      <c r="B3015" s="303" t="str">
        <f t="shared" si="47"/>
        <v>x08000763</v>
      </c>
      <c r="C3015" t="s">
        <v>4</v>
      </c>
      <c r="D3015" t="s">
        <v>9436</v>
      </c>
      <c r="E3015">
        <v>8</v>
      </c>
      <c r="F3015" t="str">
        <f>IF(AND(Entities[[#This Row],[ENT_TYPE]]="County",RIGHT(Entities[[#This Row],[ENT_NAME]],6)&lt;&gt;"County"),_xlfn.TEXTJOIN(" ",TRUE,Entities[[#This Row],[ENT_NAME]],"County"),Entities[[#This Row],[ENT_NAME]])</f>
        <v>Highlands at Mayfield Ranch MUD</v>
      </c>
    </row>
    <row r="3016" spans="1:6" x14ac:dyDescent="0.25">
      <c r="A3016" s="302" t="s">
        <v>9437</v>
      </c>
      <c r="B3016" s="303" t="str">
        <f t="shared" si="47"/>
        <v>x08000767</v>
      </c>
      <c r="C3016" t="s">
        <v>4</v>
      </c>
      <c r="D3016" t="s">
        <v>9438</v>
      </c>
      <c r="E3016">
        <v>8</v>
      </c>
      <c r="F3016" t="str">
        <f>IF(AND(Entities[[#This Row],[ENT_TYPE]]="County",RIGHT(Entities[[#This Row],[ENT_NAME]],6)&lt;&gt;"County"),_xlfn.TEXTJOIN(" ",TRUE,Entities[[#This Row],[ENT_NAME]],"County"),Entities[[#This Row],[ENT_NAME]])</f>
        <v>Fort Bend County MUD 215</v>
      </c>
    </row>
    <row r="3017" spans="1:6" x14ac:dyDescent="0.25">
      <c r="A3017" s="304" t="s">
        <v>9439</v>
      </c>
      <c r="B3017" s="303" t="str">
        <f t="shared" si="47"/>
        <v>x08000772</v>
      </c>
      <c r="C3017" t="s">
        <v>4</v>
      </c>
      <c r="D3017" t="s">
        <v>9440</v>
      </c>
      <c r="E3017">
        <v>8</v>
      </c>
      <c r="F3017" t="str">
        <f>IF(AND(Entities[[#This Row],[ENT_TYPE]]="County",RIGHT(Entities[[#This Row],[ENT_NAME]],6)&lt;&gt;"County"),_xlfn.TEXTJOIN(" ",TRUE,Entities[[#This Row],[ENT_NAME]],"County"),Entities[[#This Row],[ENT_NAME]])</f>
        <v>Booth Ranch MUD</v>
      </c>
    </row>
    <row r="3018" spans="1:6" x14ac:dyDescent="0.25">
      <c r="A3018" s="304" t="s">
        <v>9441</v>
      </c>
      <c r="B3018" s="303" t="str">
        <f t="shared" si="47"/>
        <v>x08000783</v>
      </c>
      <c r="C3018" t="s">
        <v>4</v>
      </c>
      <c r="D3018" t="s">
        <v>9442</v>
      </c>
      <c r="E3018">
        <v>8</v>
      </c>
      <c r="F3018" t="str">
        <f>IF(AND(Entities[[#This Row],[ENT_TYPE]]="County",RIGHT(Entities[[#This Row],[ENT_NAME]],6)&lt;&gt;"County"),_xlfn.TEXTJOIN(" ",TRUE,Entities[[#This Row],[ENT_NAME]],"County"),Entities[[#This Row],[ENT_NAME]])</f>
        <v>Williamson County MUD 16</v>
      </c>
    </row>
    <row r="3019" spans="1:6" x14ac:dyDescent="0.25">
      <c r="A3019" s="302" t="s">
        <v>9443</v>
      </c>
      <c r="B3019" s="303" t="str">
        <f t="shared" si="47"/>
        <v>x08000793</v>
      </c>
      <c r="C3019" t="s">
        <v>4</v>
      </c>
      <c r="D3019" t="s">
        <v>9444</v>
      </c>
      <c r="E3019">
        <v>8</v>
      </c>
      <c r="F3019" t="str">
        <f>IF(AND(Entities[[#This Row],[ENT_TYPE]]="County",RIGHT(Entities[[#This Row],[ENT_NAME]],6)&lt;&gt;"County"),_xlfn.TEXTJOIN(" ",TRUE,Entities[[#This Row],[ENT_NAME]],"County"),Entities[[#This Row],[ENT_NAME]])</f>
        <v>Fort Bend County MUD 188</v>
      </c>
    </row>
    <row r="3020" spans="1:6" x14ac:dyDescent="0.25">
      <c r="A3020" s="304" t="s">
        <v>9445</v>
      </c>
      <c r="B3020" s="303" t="str">
        <f t="shared" si="47"/>
        <v>x08000796</v>
      </c>
      <c r="C3020" t="s">
        <v>4</v>
      </c>
      <c r="D3020" t="s">
        <v>9446</v>
      </c>
      <c r="E3020">
        <v>8</v>
      </c>
      <c r="F3020" t="str">
        <f>IF(AND(Entities[[#This Row],[ENT_TYPE]]="County",RIGHT(Entities[[#This Row],[ENT_NAME]],6)&lt;&gt;"County"),_xlfn.TEXTJOIN(" ",TRUE,Entities[[#This Row],[ENT_NAME]],"County"),Entities[[#This Row],[ENT_NAME]])</f>
        <v>Bell County MUD 1</v>
      </c>
    </row>
    <row r="3021" spans="1:6" x14ac:dyDescent="0.25">
      <c r="A3021" s="302" t="s">
        <v>9447</v>
      </c>
      <c r="B3021" s="303" t="str">
        <f t="shared" si="47"/>
        <v>x08000801</v>
      </c>
      <c r="C3021" t="s">
        <v>4</v>
      </c>
      <c r="D3021" t="s">
        <v>9448</v>
      </c>
      <c r="E3021">
        <v>8</v>
      </c>
      <c r="F3021" t="str">
        <f>IF(AND(Entities[[#This Row],[ENT_TYPE]]="County",RIGHT(Entities[[#This Row],[ENT_NAME]],6)&lt;&gt;"County"),_xlfn.TEXTJOIN(" ",TRUE,Entities[[#This Row],[ENT_NAME]],"County"),Entities[[#This Row],[ENT_NAME]])</f>
        <v>Fort Bend County MUD 207</v>
      </c>
    </row>
    <row r="3022" spans="1:6" x14ac:dyDescent="0.25">
      <c r="A3022" s="304" t="s">
        <v>9449</v>
      </c>
      <c r="B3022" s="303" t="str">
        <f t="shared" si="47"/>
        <v>x08000812</v>
      </c>
      <c r="C3022" t="s">
        <v>4</v>
      </c>
      <c r="D3022" t="s">
        <v>9450</v>
      </c>
      <c r="E3022">
        <v>8</v>
      </c>
      <c r="F3022" t="str">
        <f>IF(AND(Entities[[#This Row],[ENT_TYPE]]="County",RIGHT(Entities[[#This Row],[ENT_NAME]],6)&lt;&gt;"County"),_xlfn.TEXTJOIN(" ",TRUE,Entities[[#This Row],[ENT_NAME]],"County"),Entities[[#This Row],[ENT_NAME]])</f>
        <v>Fort Bend County MUD 117</v>
      </c>
    </row>
    <row r="3023" spans="1:6" x14ac:dyDescent="0.25">
      <c r="A3023" s="302" t="s">
        <v>9451</v>
      </c>
      <c r="B3023" s="303" t="str">
        <f t="shared" si="47"/>
        <v>x08000816</v>
      </c>
      <c r="C3023" t="s">
        <v>4</v>
      </c>
      <c r="D3023" t="s">
        <v>9452</v>
      </c>
      <c r="E3023">
        <v>8</v>
      </c>
      <c r="F3023" t="str">
        <f>IF(AND(Entities[[#This Row],[ENT_TYPE]]="County",RIGHT(Entities[[#This Row],[ENT_NAME]],6)&lt;&gt;"County"),_xlfn.TEXTJOIN(" ",TRUE,Entities[[#This Row],[ENT_NAME]],"County"),Entities[[#This Row],[ENT_NAME]])</f>
        <v>Fort Bend County MUD 67</v>
      </c>
    </row>
    <row r="3024" spans="1:6" x14ac:dyDescent="0.25">
      <c r="A3024" s="304" t="s">
        <v>9453</v>
      </c>
      <c r="B3024" s="303" t="str">
        <f t="shared" si="47"/>
        <v>x08000817</v>
      </c>
      <c r="C3024" t="s">
        <v>4</v>
      </c>
      <c r="D3024" t="s">
        <v>9454</v>
      </c>
      <c r="E3024">
        <v>8</v>
      </c>
      <c r="F3024" t="str">
        <f>IF(AND(Entities[[#This Row],[ENT_TYPE]]="County",RIGHT(Entities[[#This Row],[ENT_NAME]],6)&lt;&gt;"County"),_xlfn.TEXTJOIN(" ",TRUE,Entities[[#This Row],[ENT_NAME]],"County"),Entities[[#This Row],[ENT_NAME]])</f>
        <v>Fort Bend County MUD 42</v>
      </c>
    </row>
    <row r="3025" spans="1:6" x14ac:dyDescent="0.25">
      <c r="A3025" s="302" t="s">
        <v>9455</v>
      </c>
      <c r="B3025" s="303" t="str">
        <f t="shared" si="47"/>
        <v>x08000818</v>
      </c>
      <c r="C3025" t="s">
        <v>4</v>
      </c>
      <c r="D3025" t="s">
        <v>9456</v>
      </c>
      <c r="E3025">
        <v>8</v>
      </c>
      <c r="F3025" t="str">
        <f>IF(AND(Entities[[#This Row],[ENT_TYPE]]="County",RIGHT(Entities[[#This Row],[ENT_NAME]],6)&lt;&gt;"County"),_xlfn.TEXTJOIN(" ",TRUE,Entities[[#This Row],[ENT_NAME]],"County"),Entities[[#This Row],[ENT_NAME]])</f>
        <v>Fort Bend County LID 7</v>
      </c>
    </row>
    <row r="3026" spans="1:6" x14ac:dyDescent="0.25">
      <c r="A3026" s="304" t="s">
        <v>9457</v>
      </c>
      <c r="B3026" s="303" t="str">
        <f t="shared" si="47"/>
        <v>x08000832</v>
      </c>
      <c r="C3026" t="s">
        <v>4</v>
      </c>
      <c r="D3026" t="s">
        <v>9458</v>
      </c>
      <c r="E3026">
        <v>8</v>
      </c>
      <c r="F3026" t="str">
        <f>IF(AND(Entities[[#This Row],[ENT_TYPE]]="County",RIGHT(Entities[[#This Row],[ENT_NAME]],6)&lt;&gt;"County"),_xlfn.TEXTJOIN(" ",TRUE,Entities[[#This Row],[ENT_NAME]],"County"),Entities[[#This Row],[ENT_NAME]])</f>
        <v>Fort Bend County MUD 209</v>
      </c>
    </row>
    <row r="3027" spans="1:6" x14ac:dyDescent="0.25">
      <c r="A3027" s="302" t="s">
        <v>9459</v>
      </c>
      <c r="B3027" s="303" t="str">
        <f t="shared" si="47"/>
        <v>x08000833</v>
      </c>
      <c r="C3027" t="s">
        <v>4</v>
      </c>
      <c r="D3027" t="s">
        <v>9460</v>
      </c>
      <c r="E3027">
        <v>8</v>
      </c>
      <c r="F3027" t="str">
        <f>IF(AND(Entities[[#This Row],[ENT_TYPE]]="County",RIGHT(Entities[[#This Row],[ENT_NAME]],6)&lt;&gt;"County"),_xlfn.TEXTJOIN(" ",TRUE,Entities[[#This Row],[ENT_NAME]],"County"),Entities[[#This Row],[ENT_NAME]])</f>
        <v>Fort Bend County MUD 208</v>
      </c>
    </row>
    <row r="3028" spans="1:6" x14ac:dyDescent="0.25">
      <c r="A3028" s="304" t="s">
        <v>9461</v>
      </c>
      <c r="B3028" s="303" t="str">
        <f t="shared" si="47"/>
        <v>x08000834</v>
      </c>
      <c r="C3028" t="s">
        <v>4</v>
      </c>
      <c r="D3028" t="s">
        <v>9462</v>
      </c>
      <c r="E3028">
        <v>8</v>
      </c>
      <c r="F3028" t="str">
        <f>IF(AND(Entities[[#This Row],[ENT_TYPE]]="County",RIGHT(Entities[[#This Row],[ENT_NAME]],6)&lt;&gt;"County"),_xlfn.TEXTJOIN(" ",TRUE,Entities[[#This Row],[ENT_NAME]],"County"),Entities[[#This Row],[ENT_NAME]])</f>
        <v>Fort Bend County MUD 184</v>
      </c>
    </row>
    <row r="3029" spans="1:6" x14ac:dyDescent="0.25">
      <c r="A3029" s="302" t="s">
        <v>9463</v>
      </c>
      <c r="B3029" s="303" t="str">
        <f t="shared" si="47"/>
        <v>x08000835</v>
      </c>
      <c r="C3029" t="s">
        <v>4</v>
      </c>
      <c r="D3029" t="s">
        <v>9464</v>
      </c>
      <c r="E3029">
        <v>8</v>
      </c>
      <c r="F3029" t="str">
        <f>IF(AND(Entities[[#This Row],[ENT_TYPE]]="County",RIGHT(Entities[[#This Row],[ENT_NAME]],6)&lt;&gt;"County"),_xlfn.TEXTJOIN(" ",TRUE,Entities[[#This Row],[ENT_NAME]],"County"),Entities[[#This Row],[ENT_NAME]])</f>
        <v>Fort Bend County MUD 213</v>
      </c>
    </row>
    <row r="3030" spans="1:6" x14ac:dyDescent="0.25">
      <c r="A3030" s="302" t="s">
        <v>9465</v>
      </c>
      <c r="B3030" s="303" t="str">
        <f t="shared" si="47"/>
        <v>x08000853</v>
      </c>
      <c r="C3030" t="s">
        <v>4</v>
      </c>
      <c r="D3030" t="s">
        <v>9466</v>
      </c>
      <c r="E3030">
        <v>8</v>
      </c>
      <c r="F3030" t="str">
        <f>IF(AND(Entities[[#This Row],[ENT_TYPE]]="County",RIGHT(Entities[[#This Row],[ENT_NAME]],6)&lt;&gt;"County"),_xlfn.TEXTJOIN(" ",TRUE,Entities[[#This Row],[ENT_NAME]],"County"),Entities[[#This Row],[ENT_NAME]])</f>
        <v>Aquilla WSD</v>
      </c>
    </row>
    <row r="3031" spans="1:6" x14ac:dyDescent="0.25">
      <c r="A3031" s="302" t="s">
        <v>9467</v>
      </c>
      <c r="B3031" s="303" t="str">
        <f t="shared" si="47"/>
        <v>x08000857</v>
      </c>
      <c r="C3031" t="s">
        <v>4</v>
      </c>
      <c r="D3031" t="s">
        <v>9468</v>
      </c>
      <c r="E3031">
        <v>8</v>
      </c>
      <c r="F3031" t="str">
        <f>IF(AND(Entities[[#This Row],[ENT_TYPE]]="County",RIGHT(Entities[[#This Row],[ENT_NAME]],6)&lt;&gt;"County"),_xlfn.TEXTJOIN(" ",TRUE,Entities[[#This Row],[ENT_NAME]],"County"),Entities[[#This Row],[ENT_NAME]])</f>
        <v>Bell County WCID 1</v>
      </c>
    </row>
    <row r="3032" spans="1:6" x14ac:dyDescent="0.25">
      <c r="A3032" s="302" t="s">
        <v>9469</v>
      </c>
      <c r="B3032" s="303" t="str">
        <f t="shared" si="47"/>
        <v>x08000863</v>
      </c>
      <c r="C3032" t="s">
        <v>4</v>
      </c>
      <c r="D3032" t="s">
        <v>9470</v>
      </c>
      <c r="E3032">
        <v>8</v>
      </c>
      <c r="F3032" t="str">
        <f>IF(AND(Entities[[#This Row],[ENT_TYPE]]="County",RIGHT(Entities[[#This Row],[ENT_NAME]],6)&lt;&gt;"County"),_xlfn.TEXTJOIN(" ",TRUE,Entities[[#This Row],[ENT_NAME]],"County"),Entities[[#This Row],[ENT_NAME]])</f>
        <v>Williamson County MUD 12</v>
      </c>
    </row>
    <row r="3033" spans="1:6" x14ac:dyDescent="0.25">
      <c r="A3033" s="304" t="s">
        <v>9471</v>
      </c>
      <c r="B3033" s="303" t="str">
        <f t="shared" si="47"/>
        <v>x08000864</v>
      </c>
      <c r="C3033" t="s">
        <v>4</v>
      </c>
      <c r="D3033" t="s">
        <v>9472</v>
      </c>
      <c r="E3033">
        <v>8</v>
      </c>
      <c r="F3033" t="str">
        <f>IF(AND(Entities[[#This Row],[ENT_TYPE]]="County",RIGHT(Entities[[#This Row],[ENT_NAME]],6)&lt;&gt;"County"),_xlfn.TEXTJOIN(" ",TRUE,Entities[[#This Row],[ENT_NAME]],"County"),Entities[[#This Row],[ENT_NAME]])</f>
        <v>Fort Bend County MUD 118</v>
      </c>
    </row>
    <row r="3034" spans="1:6" x14ac:dyDescent="0.25">
      <c r="A3034" s="302" t="s">
        <v>9473</v>
      </c>
      <c r="B3034" s="303" t="str">
        <f t="shared" si="47"/>
        <v>x08000867</v>
      </c>
      <c r="C3034" t="s">
        <v>4</v>
      </c>
      <c r="D3034" t="s">
        <v>9474</v>
      </c>
      <c r="E3034">
        <v>8</v>
      </c>
      <c r="F3034" t="str">
        <f>IF(AND(Entities[[#This Row],[ENT_TYPE]]="County",RIGHT(Entities[[#This Row],[ENT_NAME]],6)&lt;&gt;"County"),_xlfn.TEXTJOIN(" ",TRUE,Entities[[#This Row],[ENT_NAME]],"County"),Entities[[#This Row],[ENT_NAME]])</f>
        <v>Brazoria County FWSD 2</v>
      </c>
    </row>
    <row r="3035" spans="1:6" x14ac:dyDescent="0.25">
      <c r="A3035" s="302" t="s">
        <v>9475</v>
      </c>
      <c r="B3035" s="303" t="str">
        <f t="shared" si="47"/>
        <v>x08000897</v>
      </c>
      <c r="C3035" t="s">
        <v>4</v>
      </c>
      <c r="D3035" t="s">
        <v>9476</v>
      </c>
      <c r="E3035">
        <v>8</v>
      </c>
      <c r="F3035" t="str">
        <f>IF(AND(Entities[[#This Row],[ENT_TYPE]]="County",RIGHT(Entities[[#This Row],[ENT_NAME]],6)&lt;&gt;"County"),_xlfn.TEXTJOIN(" ",TRUE,Entities[[#This Row],[ENT_NAME]],"County"),Entities[[#This Row],[ENT_NAME]])</f>
        <v>Fort Bend County MUD 81</v>
      </c>
    </row>
    <row r="3036" spans="1:6" x14ac:dyDescent="0.25">
      <c r="A3036" s="304" t="s">
        <v>9477</v>
      </c>
      <c r="B3036" s="303" t="str">
        <f t="shared" si="47"/>
        <v>x08000914</v>
      </c>
      <c r="C3036" t="s">
        <v>4</v>
      </c>
      <c r="D3036" t="s">
        <v>9478</v>
      </c>
      <c r="E3036">
        <v>8</v>
      </c>
      <c r="F3036" t="str">
        <f>IF(AND(Entities[[#This Row],[ENT_TYPE]]="County",RIGHT(Entities[[#This Row],[ENT_NAME]],6)&lt;&gt;"County"),_xlfn.TEXTJOIN(" ",TRUE,Entities[[#This Row],[ENT_NAME]],"County"),Entities[[#This Row],[ENT_NAME]])</f>
        <v>Fort Bend County MUD 41</v>
      </c>
    </row>
    <row r="3037" spans="1:6" x14ac:dyDescent="0.25">
      <c r="A3037" s="302" t="s">
        <v>9479</v>
      </c>
      <c r="B3037" s="303" t="str">
        <f t="shared" si="47"/>
        <v>x08000916</v>
      </c>
      <c r="C3037" t="s">
        <v>4</v>
      </c>
      <c r="D3037" t="s">
        <v>9480</v>
      </c>
      <c r="E3037">
        <v>8</v>
      </c>
      <c r="F3037" t="str">
        <f>IF(AND(Entities[[#This Row],[ENT_TYPE]]="County",RIGHT(Entities[[#This Row],[ENT_NAME]],6)&lt;&gt;"County"),_xlfn.TEXTJOIN(" ",TRUE,Entities[[#This Row],[ENT_NAME]],"County"),Entities[[#This Row],[ENT_NAME]])</f>
        <v>Fort Bend County MUD 51</v>
      </c>
    </row>
    <row r="3038" spans="1:6" x14ac:dyDescent="0.25">
      <c r="A3038" s="302" t="s">
        <v>9481</v>
      </c>
      <c r="B3038" s="303" t="str">
        <f t="shared" si="47"/>
        <v>x08000924</v>
      </c>
      <c r="C3038" t="s">
        <v>4</v>
      </c>
      <c r="D3038" t="s">
        <v>9482</v>
      </c>
      <c r="E3038">
        <v>8</v>
      </c>
      <c r="F3038" t="str">
        <f>IF(AND(Entities[[#This Row],[ENT_TYPE]]="County",RIGHT(Entities[[#This Row],[ENT_NAME]],6)&lt;&gt;"County"),_xlfn.TEXTJOIN(" ",TRUE,Entities[[#This Row],[ENT_NAME]],"County"),Entities[[#This Row],[ENT_NAME]])</f>
        <v>Plantation MUD</v>
      </c>
    </row>
    <row r="3039" spans="1:6" x14ac:dyDescent="0.25">
      <c r="A3039" s="304" t="s">
        <v>9483</v>
      </c>
      <c r="B3039" s="303" t="str">
        <f t="shared" si="47"/>
        <v>x08000925</v>
      </c>
      <c r="C3039" t="s">
        <v>4</v>
      </c>
      <c r="D3039" t="s">
        <v>9484</v>
      </c>
      <c r="E3039">
        <v>8</v>
      </c>
      <c r="F3039" t="str">
        <f>IF(AND(Entities[[#This Row],[ENT_TYPE]]="County",RIGHT(Entities[[#This Row],[ENT_NAME]],6)&lt;&gt;"County"),_xlfn.TEXTJOIN(" ",TRUE,Entities[[#This Row],[ENT_NAME]],"County"),Entities[[#This Row],[ENT_NAME]])</f>
        <v>Palmer Plantation MUD 1</v>
      </c>
    </row>
    <row r="3040" spans="1:6" x14ac:dyDescent="0.25">
      <c r="A3040" s="302" t="s">
        <v>9485</v>
      </c>
      <c r="B3040" s="303" t="str">
        <f t="shared" si="47"/>
        <v>x08000935</v>
      </c>
      <c r="C3040" t="s">
        <v>4</v>
      </c>
      <c r="D3040" t="s">
        <v>9486</v>
      </c>
      <c r="E3040">
        <v>8</v>
      </c>
      <c r="F3040" t="str">
        <f>IF(AND(Entities[[#This Row],[ENT_TYPE]]="County",RIGHT(Entities[[#This Row],[ENT_NAME]],6)&lt;&gt;"County"),_xlfn.TEXTJOIN(" ",TRUE,Entities[[#This Row],[ENT_NAME]],"County"),Entities[[#This Row],[ENT_NAME]])</f>
        <v>Sienna Plantation MUD 7</v>
      </c>
    </row>
    <row r="3041" spans="1:6" x14ac:dyDescent="0.25">
      <c r="A3041" s="304" t="s">
        <v>9487</v>
      </c>
      <c r="B3041" s="303" t="str">
        <f t="shared" si="47"/>
        <v>x08000938</v>
      </c>
      <c r="C3041" t="s">
        <v>4</v>
      </c>
      <c r="D3041" t="s">
        <v>9488</v>
      </c>
      <c r="E3041">
        <v>8</v>
      </c>
      <c r="F3041" t="str">
        <f>IF(AND(Entities[[#This Row],[ENT_TYPE]]="County",RIGHT(Entities[[#This Row],[ENT_NAME]],6)&lt;&gt;"County"),_xlfn.TEXTJOIN(" ",TRUE,Entities[[#This Row],[ENT_NAME]],"County"),Entities[[#This Row],[ENT_NAME]])</f>
        <v>Sportsmans World MUD</v>
      </c>
    </row>
    <row r="3042" spans="1:6" x14ac:dyDescent="0.25">
      <c r="A3042" s="302" t="s">
        <v>9489</v>
      </c>
      <c r="B3042" s="303" t="str">
        <f t="shared" si="47"/>
        <v>x08000939</v>
      </c>
      <c r="C3042" t="s">
        <v>4</v>
      </c>
      <c r="D3042" t="s">
        <v>9490</v>
      </c>
      <c r="E3042">
        <v>8</v>
      </c>
      <c r="F3042" t="str">
        <f>IF(AND(Entities[[#This Row],[ENT_TYPE]]="County",RIGHT(Entities[[#This Row],[ENT_NAME]],6)&lt;&gt;"County"),_xlfn.TEXTJOIN(" ",TRUE,Entities[[#This Row],[ENT_NAME]],"County"),Entities[[#This Row],[ENT_NAME]])</f>
        <v>Palo Pinto County Municipal Water District 1</v>
      </c>
    </row>
    <row r="3043" spans="1:6" x14ac:dyDescent="0.25">
      <c r="A3043" s="304" t="s">
        <v>9491</v>
      </c>
      <c r="B3043" s="303" t="str">
        <f t="shared" si="47"/>
        <v>x08000957</v>
      </c>
      <c r="C3043" t="s">
        <v>4</v>
      </c>
      <c r="D3043" t="s">
        <v>9492</v>
      </c>
      <c r="E3043">
        <v>8</v>
      </c>
      <c r="F3043" t="str">
        <f>IF(AND(Entities[[#This Row],[ENT_TYPE]]="County",RIGHT(Entities[[#This Row],[ENT_NAME]],6)&lt;&gt;"County"),_xlfn.TEXTJOIN(" ",TRUE,Entities[[#This Row],[ENT_NAME]],"County"),Entities[[#This Row],[ENT_NAME]])</f>
        <v>Fort Bend County MUD 94</v>
      </c>
    </row>
    <row r="3044" spans="1:6" x14ac:dyDescent="0.25">
      <c r="A3044" s="302" t="s">
        <v>9493</v>
      </c>
      <c r="B3044" s="303" t="str">
        <f t="shared" si="47"/>
        <v>x08000976</v>
      </c>
      <c r="C3044" t="s">
        <v>4</v>
      </c>
      <c r="D3044" t="s">
        <v>9494</v>
      </c>
      <c r="E3044">
        <v>8</v>
      </c>
      <c r="F3044" t="str">
        <f>IF(AND(Entities[[#This Row],[ENT_TYPE]]="County",RIGHT(Entities[[#This Row],[ENT_NAME]],6)&lt;&gt;"County"),_xlfn.TEXTJOIN(" ",TRUE,Entities[[#This Row],[ENT_NAME]],"County"),Entities[[#This Row],[ENT_NAME]])</f>
        <v>Eastland County Water Supply District</v>
      </c>
    </row>
    <row r="3045" spans="1:6" x14ac:dyDescent="0.25">
      <c r="A3045" s="304" t="s">
        <v>9495</v>
      </c>
      <c r="B3045" s="303" t="str">
        <f t="shared" si="47"/>
        <v>x08000977</v>
      </c>
      <c r="C3045" t="s">
        <v>4</v>
      </c>
      <c r="D3045" t="s">
        <v>9496</v>
      </c>
      <c r="E3045">
        <v>8</v>
      </c>
      <c r="F3045" t="str">
        <f>IF(AND(Entities[[#This Row],[ENT_TYPE]]="County",RIGHT(Entities[[#This Row],[ENT_NAME]],6)&lt;&gt;"County"),_xlfn.TEXTJOIN(" ",TRUE,Entities[[#This Row],[ENT_NAME]],"County"),Entities[[#This Row],[ENT_NAME]])</f>
        <v>Bell County WCID 2</v>
      </c>
    </row>
    <row r="3046" spans="1:6" x14ac:dyDescent="0.25">
      <c r="A3046" s="302" t="s">
        <v>9497</v>
      </c>
      <c r="B3046" s="303" t="str">
        <f t="shared" si="47"/>
        <v>x08000978</v>
      </c>
      <c r="C3046" t="s">
        <v>4</v>
      </c>
      <c r="D3046" t="s">
        <v>9498</v>
      </c>
      <c r="E3046">
        <v>8</v>
      </c>
      <c r="F3046" t="str">
        <f>IF(AND(Entities[[#This Row],[ENT_TYPE]]="County",RIGHT(Entities[[#This Row],[ENT_NAME]],6)&lt;&gt;"County"),_xlfn.TEXTJOIN(" ",TRUE,Entities[[#This Row],[ENT_NAME]],"County"),Entities[[#This Row],[ENT_NAME]])</f>
        <v>Jonah Water SUD</v>
      </c>
    </row>
    <row r="3047" spans="1:6" x14ac:dyDescent="0.25">
      <c r="A3047" s="304" t="s">
        <v>9499</v>
      </c>
      <c r="B3047" s="303" t="str">
        <f t="shared" si="47"/>
        <v>x08000991</v>
      </c>
      <c r="C3047" t="s">
        <v>4</v>
      </c>
      <c r="D3047" t="s">
        <v>9500</v>
      </c>
      <c r="E3047">
        <v>8</v>
      </c>
      <c r="F3047" t="str">
        <f>IF(AND(Entities[[#This Row],[ENT_TYPE]]="County",RIGHT(Entities[[#This Row],[ENT_NAME]],6)&lt;&gt;"County"),_xlfn.TEXTJOIN(" ",TRUE,Entities[[#This Row],[ENT_NAME]],"County"),Entities[[#This Row],[ENT_NAME]])</f>
        <v>Bell County WCID 3</v>
      </c>
    </row>
    <row r="3048" spans="1:6" x14ac:dyDescent="0.25">
      <c r="A3048" s="302" t="s">
        <v>9501</v>
      </c>
      <c r="B3048" s="303" t="str">
        <f t="shared" si="47"/>
        <v>x08000992</v>
      </c>
      <c r="C3048" t="s">
        <v>4</v>
      </c>
      <c r="D3048" t="s">
        <v>9502</v>
      </c>
      <c r="E3048">
        <v>8</v>
      </c>
      <c r="F3048" t="str">
        <f>IF(AND(Entities[[#This Row],[ENT_TYPE]]="County",RIGHT(Entities[[#This Row],[ENT_NAME]],6)&lt;&gt;"County"),_xlfn.TEXTJOIN(" ",TRUE,Entities[[#This Row],[ENT_NAME]],"County"),Entities[[#This Row],[ENT_NAME]])</f>
        <v>Brazoria County MUD 15</v>
      </c>
    </row>
    <row r="3049" spans="1:6" x14ac:dyDescent="0.25">
      <c r="A3049" s="304" t="s">
        <v>9503</v>
      </c>
      <c r="B3049" s="303" t="str">
        <f t="shared" si="47"/>
        <v>x08001000</v>
      </c>
      <c r="C3049" t="s">
        <v>4</v>
      </c>
      <c r="D3049" t="s">
        <v>9504</v>
      </c>
      <c r="E3049">
        <v>8</v>
      </c>
      <c r="F3049" t="str">
        <f>IF(AND(Entities[[#This Row],[ENT_TYPE]]="County",RIGHT(Entities[[#This Row],[ENT_NAME]],6)&lt;&gt;"County"),_xlfn.TEXTJOIN(" ",TRUE,Entities[[#This Row],[ENT_NAME]],"County"),Entities[[#This Row],[ENT_NAME]])</f>
        <v>Williamson County MUD 9</v>
      </c>
    </row>
    <row r="3050" spans="1:6" x14ac:dyDescent="0.25">
      <c r="A3050" s="302" t="s">
        <v>9505</v>
      </c>
      <c r="B3050" s="303" t="str">
        <f t="shared" si="47"/>
        <v>x08001005</v>
      </c>
      <c r="C3050" t="s">
        <v>4</v>
      </c>
      <c r="D3050" t="s">
        <v>9506</v>
      </c>
      <c r="E3050">
        <v>8</v>
      </c>
      <c r="F3050" t="str">
        <f>IF(AND(Entities[[#This Row],[ENT_TYPE]]="County",RIGHT(Entities[[#This Row],[ENT_NAME]],6)&lt;&gt;"County"),_xlfn.TEXTJOIN(" ",TRUE,Entities[[#This Row],[ENT_NAME]],"County"),Entities[[#This Row],[ENT_NAME]])</f>
        <v>Graham WSD</v>
      </c>
    </row>
    <row r="3051" spans="1:6" x14ac:dyDescent="0.25">
      <c r="A3051" s="304" t="s">
        <v>9507</v>
      </c>
      <c r="B3051" s="303" t="str">
        <f t="shared" si="47"/>
        <v>x08001007</v>
      </c>
      <c r="C3051" t="s">
        <v>4</v>
      </c>
      <c r="D3051" t="s">
        <v>9508</v>
      </c>
      <c r="E3051">
        <v>8</v>
      </c>
      <c r="F3051" t="str">
        <f>IF(AND(Entities[[#This Row],[ENT_TYPE]]="County",RIGHT(Entities[[#This Row],[ENT_NAME]],6)&lt;&gt;"County"),_xlfn.TEXTJOIN(" ",TRUE,Entities[[#This Row],[ENT_NAME]],"County"),Entities[[#This Row],[ENT_NAME]])</f>
        <v>Chisholm Trail SUD</v>
      </c>
    </row>
    <row r="3052" spans="1:6" x14ac:dyDescent="0.25">
      <c r="A3052" s="304" t="s">
        <v>9509</v>
      </c>
      <c r="B3052" s="303" t="str">
        <f t="shared" si="47"/>
        <v>x08001011</v>
      </c>
      <c r="C3052" t="s">
        <v>4</v>
      </c>
      <c r="D3052" t="s">
        <v>9510</v>
      </c>
      <c r="E3052">
        <v>8</v>
      </c>
      <c r="F3052" t="str">
        <f>IF(AND(Entities[[#This Row],[ENT_TYPE]]="County",RIGHT(Entities[[#This Row],[ENT_NAME]],6)&lt;&gt;"County"),_xlfn.TEXTJOIN(" ",TRUE,Entities[[#This Row],[ENT_NAME]],"County"),Entities[[#This Row],[ENT_NAME]])</f>
        <v>Fort Bend County WCID 3</v>
      </c>
    </row>
    <row r="3053" spans="1:6" x14ac:dyDescent="0.25">
      <c r="A3053" s="302" t="s">
        <v>9511</v>
      </c>
      <c r="B3053" s="303" t="str">
        <f t="shared" si="47"/>
        <v>x08001014</v>
      </c>
      <c r="C3053" t="s">
        <v>4</v>
      </c>
      <c r="D3053" t="s">
        <v>9512</v>
      </c>
      <c r="E3053">
        <v>8</v>
      </c>
      <c r="F3053" t="str">
        <f>IF(AND(Entities[[#This Row],[ENT_TYPE]]="County",RIGHT(Entities[[#This Row],[ENT_NAME]],6)&lt;&gt;"County"),_xlfn.TEXTJOIN(" ",TRUE,Entities[[#This Row],[ENT_NAME]],"County"),Entities[[#This Row],[ENT_NAME]])</f>
        <v>Castleman Creek Watershed Association</v>
      </c>
    </row>
    <row r="3054" spans="1:6" x14ac:dyDescent="0.25">
      <c r="A3054" s="304" t="s">
        <v>9513</v>
      </c>
      <c r="B3054" s="303" t="str">
        <f t="shared" si="47"/>
        <v>x08001016</v>
      </c>
      <c r="C3054" t="s">
        <v>4</v>
      </c>
      <c r="D3054" t="s">
        <v>9514</v>
      </c>
      <c r="E3054">
        <v>8</v>
      </c>
      <c r="F3054" t="str">
        <f>IF(AND(Entities[[#This Row],[ENT_TYPE]]="County",RIGHT(Entities[[#This Row],[ENT_NAME]],6)&lt;&gt;"County"),_xlfn.TEXTJOIN(" ",TRUE,Entities[[#This Row],[ENT_NAME]],"County"),Entities[[#This Row],[ENT_NAME]])</f>
        <v>Williamson County MUD 14</v>
      </c>
    </row>
    <row r="3055" spans="1:6" x14ac:dyDescent="0.25">
      <c r="A3055" s="302" t="s">
        <v>9515</v>
      </c>
      <c r="B3055" s="303" t="str">
        <f t="shared" si="47"/>
        <v>x08001020</v>
      </c>
      <c r="C3055" t="s">
        <v>4</v>
      </c>
      <c r="D3055" t="s">
        <v>9516</v>
      </c>
      <c r="E3055">
        <v>8</v>
      </c>
      <c r="F3055" t="str">
        <f>IF(AND(Entities[[#This Row],[ENT_TYPE]]="County",RIGHT(Entities[[#This Row],[ENT_NAME]],6)&lt;&gt;"County"),_xlfn.TEXTJOIN(" ",TRUE,Entities[[#This Row],[ENT_NAME]],"County"),Entities[[#This Row],[ENT_NAME]])</f>
        <v>Oak Hill FWSD 1</v>
      </c>
    </row>
    <row r="3056" spans="1:6" x14ac:dyDescent="0.25">
      <c r="A3056" s="304" t="s">
        <v>9517</v>
      </c>
      <c r="B3056" s="303" t="str">
        <f t="shared" si="47"/>
        <v>x08001030</v>
      </c>
      <c r="C3056" t="s">
        <v>4</v>
      </c>
      <c r="D3056" t="s">
        <v>9518</v>
      </c>
      <c r="E3056">
        <v>8</v>
      </c>
      <c r="F3056" t="str">
        <f>IF(AND(Entities[[#This Row],[ENT_TYPE]]="County",RIGHT(Entities[[#This Row],[ENT_NAME]],6)&lt;&gt;"County"),_xlfn.TEXTJOIN(" ",TRUE,Entities[[#This Row],[ENT_NAME]],"County"),Entities[[#This Row],[ENT_NAME]])</f>
        <v>Fort Bend County MUD 176</v>
      </c>
    </row>
    <row r="3057" spans="1:6" x14ac:dyDescent="0.25">
      <c r="A3057" s="302" t="s">
        <v>9519</v>
      </c>
      <c r="B3057" s="303" t="str">
        <f t="shared" si="47"/>
        <v>x08001031</v>
      </c>
      <c r="C3057" t="s">
        <v>4</v>
      </c>
      <c r="D3057" t="s">
        <v>9520</v>
      </c>
      <c r="E3057">
        <v>8</v>
      </c>
      <c r="F3057" t="str">
        <f>IF(AND(Entities[[#This Row],[ENT_TYPE]]="County",RIGHT(Entities[[#This Row],[ENT_NAME]],6)&lt;&gt;"County"),_xlfn.TEXTJOIN(" ",TRUE,Entities[[#This Row],[ENT_NAME]],"County"),Entities[[#This Row],[ENT_NAME]])</f>
        <v>Northwest Williamson County MUD 1</v>
      </c>
    </row>
    <row r="3058" spans="1:6" x14ac:dyDescent="0.25">
      <c r="A3058" s="304" t="s">
        <v>9521</v>
      </c>
      <c r="B3058" s="303" t="str">
        <f t="shared" si="47"/>
        <v>x08001038</v>
      </c>
      <c r="C3058" t="s">
        <v>4</v>
      </c>
      <c r="D3058" t="s">
        <v>9522</v>
      </c>
      <c r="E3058">
        <v>8</v>
      </c>
      <c r="F3058" t="str">
        <f>IF(AND(Entities[[#This Row],[ENT_TYPE]]="County",RIGHT(Entities[[#This Row],[ENT_NAME]],6)&lt;&gt;"County"),_xlfn.TEXTJOIN(" ",TRUE,Entities[[#This Row],[ENT_NAME]],"County"),Entities[[#This Row],[ENT_NAME]])</f>
        <v>Fort Bend County MUD 165</v>
      </c>
    </row>
    <row r="3059" spans="1:6" x14ac:dyDescent="0.25">
      <c r="A3059" s="302" t="s">
        <v>9523</v>
      </c>
      <c r="B3059" s="303" t="str">
        <f t="shared" si="47"/>
        <v>x08001041</v>
      </c>
      <c r="C3059" t="s">
        <v>4</v>
      </c>
      <c r="D3059" t="s">
        <v>9524</v>
      </c>
      <c r="E3059">
        <v>8</v>
      </c>
      <c r="F3059" t="str">
        <f>IF(AND(Entities[[#This Row],[ENT_TYPE]]="County",RIGHT(Entities[[#This Row],[ENT_NAME]],6)&lt;&gt;"County"),_xlfn.TEXTJOIN(" ",TRUE,Entities[[#This Row],[ENT_NAME]],"County"),Entities[[#This Row],[ENT_NAME]])</f>
        <v>Brazoria County MUD 13</v>
      </c>
    </row>
    <row r="3060" spans="1:6" x14ac:dyDescent="0.25">
      <c r="A3060" s="304" t="s">
        <v>9525</v>
      </c>
      <c r="B3060" s="303" t="str">
        <f t="shared" si="47"/>
        <v>x08001042</v>
      </c>
      <c r="C3060" t="s">
        <v>4</v>
      </c>
      <c r="D3060" t="s">
        <v>9526</v>
      </c>
      <c r="E3060">
        <v>8</v>
      </c>
      <c r="F3060" t="str">
        <f>IF(AND(Entities[[#This Row],[ENT_TYPE]]="County",RIGHT(Entities[[#This Row],[ENT_NAME]],6)&lt;&gt;"County"),_xlfn.TEXTJOIN(" ",TRUE,Entities[[#This Row],[ENT_NAME]],"County"),Entities[[#This Row],[ENT_NAME]])</f>
        <v>Brazoria County MUD 12</v>
      </c>
    </row>
    <row r="3061" spans="1:6" x14ac:dyDescent="0.25">
      <c r="A3061" s="304" t="s">
        <v>9527</v>
      </c>
      <c r="B3061" s="303" t="str">
        <f t="shared" si="47"/>
        <v>x08001046</v>
      </c>
      <c r="C3061" t="s">
        <v>4</v>
      </c>
      <c r="D3061" t="s">
        <v>9528</v>
      </c>
      <c r="E3061">
        <v>8</v>
      </c>
      <c r="F3061" t="str">
        <f>IF(AND(Entities[[#This Row],[ENT_TYPE]]="County",RIGHT(Entities[[#This Row],[ENT_NAME]],6)&lt;&gt;"County"),_xlfn.TEXTJOIN(" ",TRUE,Entities[[#This Row],[ENT_NAME]],"County"),Entities[[#This Row],[ENT_NAME]])</f>
        <v>Brushy Creek MUD</v>
      </c>
    </row>
    <row r="3062" spans="1:6" x14ac:dyDescent="0.25">
      <c r="A3062" s="304" t="s">
        <v>9529</v>
      </c>
      <c r="B3062" s="303" t="str">
        <f t="shared" si="47"/>
        <v>x08001095</v>
      </c>
      <c r="C3062" t="s">
        <v>4</v>
      </c>
      <c r="D3062" t="s">
        <v>9530</v>
      </c>
      <c r="E3062">
        <v>8</v>
      </c>
      <c r="F3062" t="str">
        <f>IF(AND(Entities[[#This Row],[ENT_TYPE]]="County",RIGHT(Entities[[#This Row],[ENT_NAME]],6)&lt;&gt;"County"),_xlfn.TEXTJOIN(" ",TRUE,Entities[[#This Row],[ENT_NAME]],"County"),Entities[[#This Row],[ENT_NAME]])</f>
        <v>Williamson County MUD 11</v>
      </c>
    </row>
    <row r="3063" spans="1:6" x14ac:dyDescent="0.25">
      <c r="A3063" s="304" t="s">
        <v>9531</v>
      </c>
      <c r="B3063" s="303" t="str">
        <f t="shared" si="47"/>
        <v>x08001125</v>
      </c>
      <c r="C3063" t="s">
        <v>4</v>
      </c>
      <c r="D3063" t="s">
        <v>9532</v>
      </c>
      <c r="E3063">
        <v>8</v>
      </c>
      <c r="F3063" t="str">
        <f>IF(AND(Entities[[#This Row],[ENT_TYPE]]="County",RIGHT(Entities[[#This Row],[ENT_NAME]],6)&lt;&gt;"County"),_xlfn.TEXTJOIN(" ",TRUE,Entities[[#This Row],[ENT_NAME]],"County"),Entities[[#This Row],[ENT_NAME]])</f>
        <v>Williamson County MUD 15</v>
      </c>
    </row>
    <row r="3064" spans="1:6" x14ac:dyDescent="0.25">
      <c r="A3064" s="302" t="s">
        <v>9533</v>
      </c>
      <c r="B3064" s="303" t="str">
        <f t="shared" si="47"/>
        <v>x08001126</v>
      </c>
      <c r="C3064" t="s">
        <v>4</v>
      </c>
      <c r="D3064" t="s">
        <v>9534</v>
      </c>
      <c r="E3064">
        <v>8</v>
      </c>
      <c r="F3064" t="str">
        <f>IF(AND(Entities[[#This Row],[ENT_TYPE]]="County",RIGHT(Entities[[#This Row],[ENT_NAME]],6)&lt;&gt;"County"),_xlfn.TEXTJOIN(" ",TRUE,Entities[[#This Row],[ENT_NAME]],"County"),Entities[[#This Row],[ENT_NAME]])</f>
        <v>Siena MUD 1</v>
      </c>
    </row>
    <row r="3065" spans="1:6" x14ac:dyDescent="0.25">
      <c r="A3065" s="304" t="s">
        <v>9535</v>
      </c>
      <c r="B3065" s="303" t="str">
        <f t="shared" si="47"/>
        <v>x08001131</v>
      </c>
      <c r="C3065" t="s">
        <v>4</v>
      </c>
      <c r="D3065" t="s">
        <v>9536</v>
      </c>
      <c r="E3065">
        <v>8</v>
      </c>
      <c r="F3065" t="str">
        <f>IF(AND(Entities[[#This Row],[ENT_TYPE]]="County",RIGHT(Entities[[#This Row],[ENT_NAME]],6)&lt;&gt;"County"),_xlfn.TEXTJOIN(" ",TRUE,Entities[[#This Row],[ENT_NAME]],"County"),Entities[[#This Row],[ENT_NAME]])</f>
        <v>Sonterra MUD</v>
      </c>
    </row>
    <row r="3066" spans="1:6" x14ac:dyDescent="0.25">
      <c r="A3066" s="302" t="s">
        <v>9537</v>
      </c>
      <c r="B3066" s="303" t="str">
        <f t="shared" si="47"/>
        <v>x08001135</v>
      </c>
      <c r="C3066" t="s">
        <v>4</v>
      </c>
      <c r="D3066" t="s">
        <v>9538</v>
      </c>
      <c r="E3066">
        <v>8</v>
      </c>
      <c r="F3066" t="str">
        <f>IF(AND(Entities[[#This Row],[ENT_TYPE]]="County",RIGHT(Entities[[#This Row],[ENT_NAME]],6)&lt;&gt;"County"),_xlfn.TEXTJOIN(" ",TRUE,Entities[[#This Row],[ENT_NAME]],"County"),Entities[[#This Row],[ENT_NAME]])</f>
        <v>Fort Bend County MUD 126</v>
      </c>
    </row>
    <row r="3067" spans="1:6" x14ac:dyDescent="0.25">
      <c r="A3067" s="304" t="s">
        <v>9539</v>
      </c>
      <c r="B3067" s="303" t="str">
        <f t="shared" si="47"/>
        <v>x08001145</v>
      </c>
      <c r="C3067" t="s">
        <v>4</v>
      </c>
      <c r="D3067" t="s">
        <v>9540</v>
      </c>
      <c r="E3067">
        <v>8</v>
      </c>
      <c r="F3067" t="str">
        <f>IF(AND(Entities[[#This Row],[ENT_TYPE]]="County",RIGHT(Entities[[#This Row],[ENT_NAME]],6)&lt;&gt;"County"),_xlfn.TEXTJOIN(" ",TRUE,Entities[[#This Row],[ENT_NAME]],"County"),Entities[[#This Row],[ENT_NAME]])</f>
        <v>Fort Bend County LID 11</v>
      </c>
    </row>
    <row r="3068" spans="1:6" x14ac:dyDescent="0.25">
      <c r="A3068" s="302" t="s">
        <v>9541</v>
      </c>
      <c r="B3068" s="303" t="str">
        <f t="shared" si="47"/>
        <v>x08001152</v>
      </c>
      <c r="C3068" t="s">
        <v>4</v>
      </c>
      <c r="D3068" t="s">
        <v>9542</v>
      </c>
      <c r="E3068">
        <v>8</v>
      </c>
      <c r="F3068" t="str">
        <f>IF(AND(Entities[[#This Row],[ENT_TYPE]]="County",RIGHT(Entities[[#This Row],[ENT_NAME]],6)&lt;&gt;"County"),_xlfn.TEXTJOIN(" ",TRUE,Entities[[#This Row],[ENT_NAME]],"County"),Entities[[#This Row],[ENT_NAME]])</f>
        <v>Fort Bend County LID 14</v>
      </c>
    </row>
    <row r="3069" spans="1:6" x14ac:dyDescent="0.25">
      <c r="A3069" s="302" t="s">
        <v>9543</v>
      </c>
      <c r="B3069" s="303" t="str">
        <f t="shared" si="47"/>
        <v>x08001154</v>
      </c>
      <c r="C3069" t="s">
        <v>4</v>
      </c>
      <c r="D3069" t="s">
        <v>9544</v>
      </c>
      <c r="E3069">
        <v>8</v>
      </c>
      <c r="F3069" t="str">
        <f>IF(AND(Entities[[#This Row],[ENT_TYPE]]="County",RIGHT(Entities[[#This Row],[ENT_NAME]],6)&lt;&gt;"County"),_xlfn.TEXTJOIN(" ",TRUE,Entities[[#This Row],[ENT_NAME]],"County"),Entities[[#This Row],[ENT_NAME]])</f>
        <v>Fort Bend County LID 17</v>
      </c>
    </row>
    <row r="3070" spans="1:6" x14ac:dyDescent="0.25">
      <c r="A3070" s="304" t="s">
        <v>9545</v>
      </c>
      <c r="B3070" s="303" t="str">
        <f t="shared" si="47"/>
        <v>x08001156</v>
      </c>
      <c r="C3070" t="s">
        <v>4</v>
      </c>
      <c r="D3070" t="s">
        <v>9546</v>
      </c>
      <c r="E3070">
        <v>8</v>
      </c>
      <c r="F3070" t="str">
        <f>IF(AND(Entities[[#This Row],[ENT_TYPE]]="County",RIGHT(Entities[[#This Row],[ENT_NAME]],6)&lt;&gt;"County"),_xlfn.TEXTJOIN(" ",TRUE,Entities[[#This Row],[ENT_NAME]],"County"),Entities[[#This Row],[ENT_NAME]])</f>
        <v>Fort Bend County MUD 106</v>
      </c>
    </row>
    <row r="3071" spans="1:6" x14ac:dyDescent="0.25">
      <c r="A3071" s="302" t="s">
        <v>9547</v>
      </c>
      <c r="B3071" s="303" t="str">
        <f t="shared" si="47"/>
        <v>x08001160</v>
      </c>
      <c r="C3071" t="s">
        <v>4</v>
      </c>
      <c r="D3071" t="s">
        <v>9548</v>
      </c>
      <c r="E3071">
        <v>8</v>
      </c>
      <c r="F3071" t="str">
        <f>IF(AND(Entities[[#This Row],[ENT_TYPE]]="County",RIGHT(Entities[[#This Row],[ENT_NAME]],6)&lt;&gt;"County"),_xlfn.TEXTJOIN(" ",TRUE,Entities[[#This Row],[ENT_NAME]],"County"),Entities[[#This Row],[ENT_NAME]])</f>
        <v>Fort Bend County MUD 119</v>
      </c>
    </row>
    <row r="3072" spans="1:6" x14ac:dyDescent="0.25">
      <c r="A3072" s="304" t="s">
        <v>9549</v>
      </c>
      <c r="B3072" s="303" t="str">
        <f t="shared" si="47"/>
        <v>x08001168</v>
      </c>
      <c r="C3072" t="s">
        <v>4</v>
      </c>
      <c r="D3072" t="s">
        <v>9550</v>
      </c>
      <c r="E3072">
        <v>8</v>
      </c>
      <c r="F3072" t="str">
        <f>IF(AND(Entities[[#This Row],[ENT_TYPE]]="County",RIGHT(Entities[[#This Row],[ENT_NAME]],6)&lt;&gt;"County"),_xlfn.TEXTJOIN(" ",TRUE,Entities[[#This Row],[ENT_NAME]],"County"),Entities[[#This Row],[ENT_NAME]])</f>
        <v>Fort Bend County MUD 77</v>
      </c>
    </row>
    <row r="3073" spans="1:6" x14ac:dyDescent="0.25">
      <c r="A3073" s="302" t="s">
        <v>9551</v>
      </c>
      <c r="B3073" s="303" t="str">
        <f t="shared" si="47"/>
        <v>x08001200</v>
      </c>
      <c r="C3073" t="s">
        <v>4</v>
      </c>
      <c r="D3073" t="s">
        <v>9552</v>
      </c>
      <c r="E3073">
        <v>8</v>
      </c>
      <c r="F3073" t="str">
        <f>IF(AND(Entities[[#This Row],[ENT_TYPE]]="County",RIGHT(Entities[[#This Row],[ENT_NAME]],6)&lt;&gt;"County"),_xlfn.TEXTJOIN(" ",TRUE,Entities[[#This Row],[ENT_NAME]],"County"),Entities[[#This Row],[ENT_NAME]])</f>
        <v>Fort Bend County MUD 148</v>
      </c>
    </row>
    <row r="3074" spans="1:6" x14ac:dyDescent="0.25">
      <c r="A3074" s="304" t="s">
        <v>9553</v>
      </c>
      <c r="B3074" s="303" t="str">
        <f t="shared" ref="B3074:B3137" si="48">_xlfn.CONCAT("x",TEXT(A3074,"00000000"))</f>
        <v>x08001204</v>
      </c>
      <c r="C3074" t="s">
        <v>4</v>
      </c>
      <c r="D3074" t="s">
        <v>9554</v>
      </c>
      <c r="E3074">
        <v>8</v>
      </c>
      <c r="F3074" t="str">
        <f>IF(AND(Entities[[#This Row],[ENT_TYPE]]="County",RIGHT(Entities[[#This Row],[ENT_NAME]],6)&lt;&gt;"County"),_xlfn.TEXTJOIN(" ",TRUE,Entities[[#This Row],[ENT_NAME]],"County"),Entities[[#This Row],[ENT_NAME]])</f>
        <v>Brazos County MUD 2</v>
      </c>
    </row>
    <row r="3075" spans="1:6" x14ac:dyDescent="0.25">
      <c r="A3075" s="302" t="s">
        <v>9555</v>
      </c>
      <c r="B3075" s="303" t="str">
        <f t="shared" si="48"/>
        <v>x08001205</v>
      </c>
      <c r="C3075" t="s">
        <v>4</v>
      </c>
      <c r="D3075" t="s">
        <v>9556</v>
      </c>
      <c r="E3075">
        <v>8</v>
      </c>
      <c r="F3075" t="str">
        <f>IF(AND(Entities[[#This Row],[ENT_TYPE]]="County",RIGHT(Entities[[#This Row],[ENT_NAME]],6)&lt;&gt;"County"),_xlfn.TEXTJOIN(" ",TRUE,Entities[[#This Row],[ENT_NAME]],"County"),Entities[[#This Row],[ENT_NAME]])</f>
        <v>Williamson County MUD 17</v>
      </c>
    </row>
    <row r="3076" spans="1:6" x14ac:dyDescent="0.25">
      <c r="A3076" s="304" t="s">
        <v>9557</v>
      </c>
      <c r="B3076" s="303" t="str">
        <f t="shared" si="48"/>
        <v>x08001206</v>
      </c>
      <c r="C3076" t="s">
        <v>4</v>
      </c>
      <c r="D3076" t="s">
        <v>9558</v>
      </c>
      <c r="E3076">
        <v>8</v>
      </c>
      <c r="F3076" t="str">
        <f>IF(AND(Entities[[#This Row],[ENT_TYPE]]="County",RIGHT(Entities[[#This Row],[ENT_NAME]],6)&lt;&gt;"County"),_xlfn.TEXTJOIN(" ",TRUE,Entities[[#This Row],[ENT_NAME]],"County"),Entities[[#This Row],[ENT_NAME]])</f>
        <v>Sienna Plantation MUD 1</v>
      </c>
    </row>
    <row r="3077" spans="1:6" x14ac:dyDescent="0.25">
      <c r="A3077" s="302" t="s">
        <v>9559</v>
      </c>
      <c r="B3077" s="303" t="str">
        <f t="shared" si="48"/>
        <v>x08001209</v>
      </c>
      <c r="C3077" t="s">
        <v>4</v>
      </c>
      <c r="D3077" t="s">
        <v>9560</v>
      </c>
      <c r="E3077">
        <v>8</v>
      </c>
      <c r="F3077" t="str">
        <f>IF(AND(Entities[[#This Row],[ENT_TYPE]]="County",RIGHT(Entities[[#This Row],[ENT_NAME]],6)&lt;&gt;"County"),_xlfn.TEXTJOIN(" ",TRUE,Entities[[#This Row],[ENT_NAME]],"County"),Entities[[#This Row],[ENT_NAME]])</f>
        <v>Fort Bend County MUD 109</v>
      </c>
    </row>
    <row r="3078" spans="1:6" x14ac:dyDescent="0.25">
      <c r="A3078" s="302" t="s">
        <v>9561</v>
      </c>
      <c r="B3078" s="303" t="str">
        <f t="shared" si="48"/>
        <v>x08001218</v>
      </c>
      <c r="C3078" t="s">
        <v>4</v>
      </c>
      <c r="D3078" t="s">
        <v>9562</v>
      </c>
      <c r="E3078">
        <v>8</v>
      </c>
      <c r="F3078" t="str">
        <f>IF(AND(Entities[[#This Row],[ENT_TYPE]]="County",RIGHT(Entities[[#This Row],[ENT_NAME]],6)&lt;&gt;"County"),_xlfn.TEXTJOIN(" ",TRUE,Entities[[#This Row],[ENT_NAME]],"County"),Entities[[#This Row],[ENT_NAME]])</f>
        <v>Fort Bend County MUD 194</v>
      </c>
    </row>
    <row r="3079" spans="1:6" x14ac:dyDescent="0.25">
      <c r="A3079" s="304" t="s">
        <v>9563</v>
      </c>
      <c r="B3079" s="303" t="str">
        <f t="shared" si="48"/>
        <v>x08001221</v>
      </c>
      <c r="C3079" t="s">
        <v>4</v>
      </c>
      <c r="D3079" t="s">
        <v>9564</v>
      </c>
      <c r="E3079">
        <v>8</v>
      </c>
      <c r="F3079" t="str">
        <f>IF(AND(Entities[[#This Row],[ENT_TYPE]]="County",RIGHT(Entities[[#This Row],[ENT_NAME]],6)&lt;&gt;"County"),_xlfn.TEXTJOIN(" ",TRUE,Entities[[#This Row],[ENT_NAME]],"County"),Entities[[#This Row],[ENT_NAME]])</f>
        <v>Fort Bend County MUD 214</v>
      </c>
    </row>
    <row r="3080" spans="1:6" x14ac:dyDescent="0.25">
      <c r="A3080" s="302" t="s">
        <v>9565</v>
      </c>
      <c r="B3080" s="303" t="str">
        <f t="shared" si="48"/>
        <v>x08001228</v>
      </c>
      <c r="C3080" t="s">
        <v>4</v>
      </c>
      <c r="D3080" t="s">
        <v>9566</v>
      </c>
      <c r="E3080">
        <v>8</v>
      </c>
      <c r="F3080" t="str">
        <f>IF(AND(Entities[[#This Row],[ENT_TYPE]]="County",RIGHT(Entities[[#This Row],[ENT_NAME]],6)&lt;&gt;"County"),_xlfn.TEXTJOIN(" ",TRUE,Entities[[#This Row],[ENT_NAME]],"County"),Entities[[#This Row],[ENT_NAME]])</f>
        <v>Williamson County WCID 2</v>
      </c>
    </row>
    <row r="3081" spans="1:6" x14ac:dyDescent="0.25">
      <c r="A3081" s="304" t="s">
        <v>9567</v>
      </c>
      <c r="B3081" s="303" t="str">
        <f t="shared" si="48"/>
        <v>x08001231</v>
      </c>
      <c r="C3081" t="s">
        <v>4</v>
      </c>
      <c r="D3081" t="s">
        <v>9568</v>
      </c>
      <c r="E3081">
        <v>8</v>
      </c>
      <c r="F3081" t="str">
        <f>IF(AND(Entities[[#This Row],[ENT_TYPE]]="County",RIGHT(Entities[[#This Row],[ENT_NAME]],6)&lt;&gt;"County"),_xlfn.TEXTJOIN(" ",TRUE,Entities[[#This Row],[ENT_NAME]],"County"),Entities[[#This Row],[ENT_NAME]])</f>
        <v>Fort Bend County MUD 5</v>
      </c>
    </row>
    <row r="3082" spans="1:6" x14ac:dyDescent="0.25">
      <c r="A3082" s="302" t="s">
        <v>9569</v>
      </c>
      <c r="B3082" s="303" t="str">
        <f t="shared" si="48"/>
        <v>x08001254</v>
      </c>
      <c r="C3082" t="s">
        <v>4</v>
      </c>
      <c r="D3082" t="s">
        <v>9570</v>
      </c>
      <c r="E3082">
        <v>8</v>
      </c>
      <c r="F3082" t="str">
        <f>IF(AND(Entities[[#This Row],[ENT_TYPE]]="County",RIGHT(Entities[[#This Row],[ENT_NAME]],6)&lt;&gt;"County"),_xlfn.TEXTJOIN(" ",TRUE,Entities[[#This Row],[ENT_NAME]],"County"),Entities[[#This Row],[ENT_NAME]])</f>
        <v>Fulshear MUD 1</v>
      </c>
    </row>
    <row r="3083" spans="1:6" x14ac:dyDescent="0.25">
      <c r="A3083" s="304" t="s">
        <v>9571</v>
      </c>
      <c r="B3083" s="303" t="str">
        <f t="shared" si="48"/>
        <v>x08001260</v>
      </c>
      <c r="C3083" t="s">
        <v>4</v>
      </c>
      <c r="D3083" t="s">
        <v>9572</v>
      </c>
      <c r="E3083">
        <v>8</v>
      </c>
      <c r="F3083" t="str">
        <f>IF(AND(Entities[[#This Row],[ENT_TYPE]]="County",RIGHT(Entities[[#This Row],[ENT_NAME]],6)&lt;&gt;"County"),_xlfn.TEXTJOIN(" ",TRUE,Entities[[#This Row],[ENT_NAME]],"County"),Entities[[#This Row],[ENT_NAME]])</f>
        <v>Fort Bend County MUD 170</v>
      </c>
    </row>
    <row r="3084" spans="1:6" x14ac:dyDescent="0.25">
      <c r="A3084" s="302" t="s">
        <v>9573</v>
      </c>
      <c r="B3084" s="303" t="str">
        <f t="shared" si="48"/>
        <v>x08001261</v>
      </c>
      <c r="C3084" t="s">
        <v>4</v>
      </c>
      <c r="D3084" t="s">
        <v>9574</v>
      </c>
      <c r="E3084">
        <v>8</v>
      </c>
      <c r="F3084" t="str">
        <f>IF(AND(Entities[[#This Row],[ENT_TYPE]]="County",RIGHT(Entities[[#This Row],[ENT_NAME]],6)&lt;&gt;"County"),_xlfn.TEXTJOIN(" ",TRUE,Entities[[#This Row],[ENT_NAME]],"County"),Entities[[#This Row],[ENT_NAME]])</f>
        <v>Fort Bend County MUD 172</v>
      </c>
    </row>
    <row r="3085" spans="1:6" x14ac:dyDescent="0.25">
      <c r="A3085" s="304" t="s">
        <v>9575</v>
      </c>
      <c r="B3085" s="303" t="str">
        <f t="shared" si="48"/>
        <v>x08001262</v>
      </c>
      <c r="C3085" t="s">
        <v>4</v>
      </c>
      <c r="D3085" t="s">
        <v>9576</v>
      </c>
      <c r="E3085">
        <v>8</v>
      </c>
      <c r="F3085" t="str">
        <f>IF(AND(Entities[[#This Row],[ENT_TYPE]]="County",RIGHT(Entities[[#This Row],[ENT_NAME]],6)&lt;&gt;"County"),_xlfn.TEXTJOIN(" ",TRUE,Entities[[#This Row],[ENT_NAME]],"County"),Entities[[#This Row],[ENT_NAME]])</f>
        <v>Fort Bend County MUD 169</v>
      </c>
    </row>
    <row r="3086" spans="1:6" x14ac:dyDescent="0.25">
      <c r="A3086" s="302" t="s">
        <v>9577</v>
      </c>
      <c r="B3086" s="303" t="str">
        <f t="shared" si="48"/>
        <v>x08001273</v>
      </c>
      <c r="C3086" t="s">
        <v>4</v>
      </c>
      <c r="D3086" t="s">
        <v>9578</v>
      </c>
      <c r="E3086">
        <v>8</v>
      </c>
      <c r="F3086" t="str">
        <f>IF(AND(Entities[[#This Row],[ENT_TYPE]]="County",RIGHT(Entities[[#This Row],[ENT_NAME]],6)&lt;&gt;"County"),_xlfn.TEXTJOIN(" ",TRUE,Entities[[#This Row],[ENT_NAME]],"County"),Entities[[#This Row],[ENT_NAME]])</f>
        <v>Sienna Plantation MUD 13</v>
      </c>
    </row>
    <row r="3087" spans="1:6" x14ac:dyDescent="0.25">
      <c r="A3087" s="302" t="s">
        <v>9579</v>
      </c>
      <c r="B3087" s="303" t="str">
        <f t="shared" si="48"/>
        <v>x08001284</v>
      </c>
      <c r="C3087" t="s">
        <v>4</v>
      </c>
      <c r="D3087" t="s">
        <v>9580</v>
      </c>
      <c r="E3087">
        <v>8</v>
      </c>
      <c r="F3087" t="str">
        <f>IF(AND(Entities[[#This Row],[ENT_TYPE]]="County",RIGHT(Entities[[#This Row],[ENT_NAME]],6)&lt;&gt;"County"),_xlfn.TEXTJOIN(" ",TRUE,Entities[[#This Row],[ENT_NAME]],"County"),Entities[[#This Row],[ENT_NAME]])</f>
        <v>Fort Bend County MUD 79</v>
      </c>
    </row>
    <row r="3088" spans="1:6" x14ac:dyDescent="0.25">
      <c r="A3088" s="304" t="s">
        <v>9581</v>
      </c>
      <c r="B3088" s="303" t="str">
        <f t="shared" si="48"/>
        <v>x08001285</v>
      </c>
      <c r="C3088" t="s">
        <v>4</v>
      </c>
      <c r="D3088" t="s">
        <v>9582</v>
      </c>
      <c r="E3088">
        <v>8</v>
      </c>
      <c r="F3088" t="str">
        <f>IF(AND(Entities[[#This Row],[ENT_TYPE]]="County",RIGHT(Entities[[#This Row],[ENT_NAME]],6)&lt;&gt;"County"),_xlfn.TEXTJOIN(" ",TRUE,Entities[[#This Row],[ENT_NAME]],"County"),Entities[[#This Row],[ENT_NAME]])</f>
        <v>Fort Bend County MUD 52</v>
      </c>
    </row>
    <row r="3089" spans="1:6" x14ac:dyDescent="0.25">
      <c r="A3089" s="302" t="s">
        <v>9583</v>
      </c>
      <c r="B3089" s="303" t="str">
        <f t="shared" si="48"/>
        <v>x08001286</v>
      </c>
      <c r="C3089" t="s">
        <v>4</v>
      </c>
      <c r="D3089" t="s">
        <v>9584</v>
      </c>
      <c r="E3089">
        <v>8</v>
      </c>
      <c r="F3089" t="str">
        <f>IF(AND(Entities[[#This Row],[ENT_TYPE]]="County",RIGHT(Entities[[#This Row],[ENT_NAME]],6)&lt;&gt;"County"),_xlfn.TEXTJOIN(" ",TRUE,Entities[[#This Row],[ENT_NAME]],"County"),Entities[[#This Row],[ENT_NAME]])</f>
        <v>Fort Bend County MUD 121</v>
      </c>
    </row>
    <row r="3090" spans="1:6" x14ac:dyDescent="0.25">
      <c r="A3090" s="304" t="s">
        <v>9585</v>
      </c>
      <c r="B3090" s="303" t="str">
        <f t="shared" si="48"/>
        <v>x08001299</v>
      </c>
      <c r="C3090" t="s">
        <v>4</v>
      </c>
      <c r="D3090" t="s">
        <v>9586</v>
      </c>
      <c r="E3090">
        <v>8</v>
      </c>
      <c r="F3090" t="str">
        <f>IF(AND(Entities[[#This Row],[ENT_TYPE]]="County",RIGHT(Entities[[#This Row],[ENT_NAME]],6)&lt;&gt;"County"),_xlfn.TEXTJOIN(" ",TRUE,Entities[[#This Row],[ENT_NAME]],"County"),Entities[[#This Row],[ENT_NAME]])</f>
        <v>Shell Road MUD</v>
      </c>
    </row>
    <row r="3091" spans="1:6" x14ac:dyDescent="0.25">
      <c r="A3091" s="302" t="s">
        <v>9587</v>
      </c>
      <c r="B3091" s="303" t="str">
        <f t="shared" si="48"/>
        <v>x08001300</v>
      </c>
      <c r="C3091" t="s">
        <v>4</v>
      </c>
      <c r="D3091" t="s">
        <v>9588</v>
      </c>
      <c r="E3091">
        <v>8</v>
      </c>
      <c r="F3091" t="str">
        <f>IF(AND(Entities[[#This Row],[ENT_TYPE]]="County",RIGHT(Entities[[#This Row],[ENT_NAME]],6)&lt;&gt;"County"),_xlfn.TEXTJOIN(" ",TRUE,Entities[[#This Row],[ENT_NAME]],"County"),Entities[[#This Row],[ENT_NAME]])</f>
        <v>Pecan Grove MUD</v>
      </c>
    </row>
    <row r="3092" spans="1:6" x14ac:dyDescent="0.25">
      <c r="A3092" s="304" t="s">
        <v>9589</v>
      </c>
      <c r="B3092" s="303" t="str">
        <f t="shared" si="48"/>
        <v>x08001301</v>
      </c>
      <c r="C3092" t="s">
        <v>4</v>
      </c>
      <c r="D3092" t="s">
        <v>9590</v>
      </c>
      <c r="E3092">
        <v>8</v>
      </c>
      <c r="F3092" t="str">
        <f>IF(AND(Entities[[#This Row],[ENT_TYPE]]="County",RIGHT(Entities[[#This Row],[ENT_NAME]],6)&lt;&gt;"County"),_xlfn.TEXTJOIN(" ",TRUE,Entities[[#This Row],[ENT_NAME]],"County"),Entities[[#This Row],[ENT_NAME]])</f>
        <v>Sienna Plantation MUD 2</v>
      </c>
    </row>
    <row r="3093" spans="1:6" x14ac:dyDescent="0.25">
      <c r="A3093" s="304" t="s">
        <v>9591</v>
      </c>
      <c r="B3093" s="303" t="str">
        <f t="shared" si="48"/>
        <v>x08001310</v>
      </c>
      <c r="C3093" t="s">
        <v>4</v>
      </c>
      <c r="D3093" t="s">
        <v>9592</v>
      </c>
      <c r="E3093">
        <v>8</v>
      </c>
      <c r="F3093" t="str">
        <f>IF(AND(Entities[[#This Row],[ENT_TYPE]]="County",RIGHT(Entities[[#This Row],[ENT_NAME]],6)&lt;&gt;"County"),_xlfn.TEXTJOIN(" ",TRUE,Entities[[#This Row],[ENT_NAME]],"County"),Entities[[#This Row],[ENT_NAME]])</f>
        <v>Fort Bend County MUD 140</v>
      </c>
    </row>
    <row r="3094" spans="1:6" x14ac:dyDescent="0.25">
      <c r="A3094" s="302" t="s">
        <v>9593</v>
      </c>
      <c r="B3094" s="303" t="str">
        <f t="shared" si="48"/>
        <v>x08001311</v>
      </c>
      <c r="C3094" t="s">
        <v>4</v>
      </c>
      <c r="D3094" t="s">
        <v>9594</v>
      </c>
      <c r="E3094">
        <v>8</v>
      </c>
      <c r="F3094" t="str">
        <f>IF(AND(Entities[[#This Row],[ENT_TYPE]]="County",RIGHT(Entities[[#This Row],[ENT_NAME]],6)&lt;&gt;"County"),_xlfn.TEXTJOIN(" ",TRUE,Entities[[#This Row],[ENT_NAME]],"County"),Entities[[#This Row],[ENT_NAME]])</f>
        <v>Fort Bend County MUD 158</v>
      </c>
    </row>
    <row r="3095" spans="1:6" x14ac:dyDescent="0.25">
      <c r="A3095" s="304" t="s">
        <v>9595</v>
      </c>
      <c r="B3095" s="303" t="str">
        <f t="shared" si="48"/>
        <v>x08001319</v>
      </c>
      <c r="C3095" t="s">
        <v>4</v>
      </c>
      <c r="D3095" t="s">
        <v>9596</v>
      </c>
      <c r="E3095">
        <v>8</v>
      </c>
      <c r="F3095" t="str">
        <f>IF(AND(Entities[[#This Row],[ENT_TYPE]]="County",RIGHT(Entities[[#This Row],[ENT_NAME]],6)&lt;&gt;"County"),_xlfn.TEXTJOIN(" ",TRUE,Entities[[#This Row],[ENT_NAME]],"County"),Entities[[#This Row],[ENT_NAME]])</f>
        <v>Southeast Williamson County MUD 1</v>
      </c>
    </row>
    <row r="3096" spans="1:6" x14ac:dyDescent="0.25">
      <c r="A3096" s="302" t="s">
        <v>9597</v>
      </c>
      <c r="B3096" s="303" t="str">
        <f t="shared" si="48"/>
        <v>x08001332</v>
      </c>
      <c r="C3096" t="s">
        <v>4</v>
      </c>
      <c r="D3096" t="s">
        <v>9598</v>
      </c>
      <c r="E3096">
        <v>8</v>
      </c>
      <c r="F3096" t="str">
        <f>IF(AND(Entities[[#This Row],[ENT_TYPE]]="County",RIGHT(Entities[[#This Row],[ENT_NAME]],6)&lt;&gt;"County"),_xlfn.TEXTJOIN(" ",TRUE,Entities[[#This Row],[ENT_NAME]],"County"),Entities[[#This Row],[ENT_NAME]])</f>
        <v>Fort Bend County MUD 155</v>
      </c>
    </row>
    <row r="3097" spans="1:6" x14ac:dyDescent="0.25">
      <c r="A3097" s="304" t="s">
        <v>9599</v>
      </c>
      <c r="B3097" s="303" t="str">
        <f t="shared" si="48"/>
        <v>x08001335</v>
      </c>
      <c r="C3097" t="s">
        <v>4</v>
      </c>
      <c r="D3097" t="s">
        <v>9600</v>
      </c>
      <c r="E3097">
        <v>8</v>
      </c>
      <c r="F3097" t="str">
        <f>IF(AND(Entities[[#This Row],[ENT_TYPE]]="County",RIGHT(Entities[[#This Row],[ENT_NAME]],6)&lt;&gt;"County"),_xlfn.TEXTJOIN(" ",TRUE,Entities[[#This Row],[ENT_NAME]],"County"),Entities[[#This Row],[ENT_NAME]])</f>
        <v>Alden Lake Management District</v>
      </c>
    </row>
    <row r="3098" spans="1:6" x14ac:dyDescent="0.25">
      <c r="A3098" s="302" t="s">
        <v>9601</v>
      </c>
      <c r="B3098" s="303" t="str">
        <f t="shared" si="48"/>
        <v>x08001350</v>
      </c>
      <c r="C3098" t="s">
        <v>4</v>
      </c>
      <c r="D3098" t="s">
        <v>9602</v>
      </c>
      <c r="E3098">
        <v>8</v>
      </c>
      <c r="F3098" t="str">
        <f>IF(AND(Entities[[#This Row],[ENT_TYPE]]="County",RIGHT(Entities[[#This Row],[ENT_NAME]],6)&lt;&gt;"County"),_xlfn.TEXTJOIN(" ",TRUE,Entities[[#This Row],[ENT_NAME]],"County"),Entities[[#This Row],[ENT_NAME]])</f>
        <v>Somervell County Water District</v>
      </c>
    </row>
    <row r="3099" spans="1:6" x14ac:dyDescent="0.25">
      <c r="A3099" s="305" t="s">
        <v>9603</v>
      </c>
      <c r="B3099" s="303" t="str">
        <f t="shared" si="48"/>
        <v>x08001358</v>
      </c>
      <c r="C3099" t="s">
        <v>4</v>
      </c>
      <c r="D3099" t="s">
        <v>9604</v>
      </c>
      <c r="E3099">
        <v>8</v>
      </c>
      <c r="F3099" t="str">
        <f>IF(AND(Entities[[#This Row],[ENT_TYPE]]="County",RIGHT(Entities[[#This Row],[ENT_NAME]],6)&lt;&gt;"County"),_xlfn.TEXTJOIN(" ",TRUE,Entities[[#This Row],[ENT_NAME]],"County"),Entities[[#This Row],[ENT_NAME]])</f>
        <v>First Colony Management District</v>
      </c>
    </row>
    <row r="3100" spans="1:6" x14ac:dyDescent="0.25">
      <c r="A3100" s="303" t="s">
        <v>9605</v>
      </c>
      <c r="B3100" s="303" t="str">
        <f t="shared" si="48"/>
        <v>x08001373</v>
      </c>
      <c r="C3100" t="s">
        <v>4</v>
      </c>
      <c r="D3100" t="s">
        <v>9606</v>
      </c>
      <c r="E3100">
        <v>8</v>
      </c>
      <c r="F3100" t="str">
        <f>IF(AND(Entities[[#This Row],[ENT_TYPE]]="County",RIGHT(Entities[[#This Row],[ENT_NAME]],6)&lt;&gt;"County"),_xlfn.TEXTJOIN(" ",TRUE,Entities[[#This Row],[ENT_NAME]],"County"),Entities[[#This Row],[ENT_NAME]])</f>
        <v>Williamson-Liberty Hill MUD</v>
      </c>
    </row>
    <row r="3101" spans="1:6" x14ac:dyDescent="0.25">
      <c r="A3101" s="305" t="s">
        <v>9607</v>
      </c>
      <c r="B3101" s="303" t="str">
        <f t="shared" si="48"/>
        <v>x08001376</v>
      </c>
      <c r="C3101" t="s">
        <v>4</v>
      </c>
      <c r="D3101" t="s">
        <v>9608</v>
      </c>
      <c r="E3101">
        <v>8</v>
      </c>
      <c r="F3101" t="str">
        <f>IF(AND(Entities[[#This Row],[ENT_TYPE]]="County",RIGHT(Entities[[#This Row],[ENT_NAME]],6)&lt;&gt;"County"),_xlfn.TEXTJOIN(" ",TRUE,Entities[[#This Row],[ENT_NAME]],"County"),Entities[[#This Row],[ENT_NAME]])</f>
        <v>Walsh Ranch MUD</v>
      </c>
    </row>
    <row r="3102" spans="1:6" x14ac:dyDescent="0.25">
      <c r="A3102" s="303" t="s">
        <v>9609</v>
      </c>
      <c r="B3102" s="303" t="str">
        <f t="shared" si="48"/>
        <v>x08001377</v>
      </c>
      <c r="C3102" t="s">
        <v>4</v>
      </c>
      <c r="D3102" t="s">
        <v>9610</v>
      </c>
      <c r="E3102">
        <v>8</v>
      </c>
      <c r="F3102" t="str">
        <f>IF(AND(Entities[[#This Row],[ENT_TYPE]]="County",RIGHT(Entities[[#This Row],[ENT_NAME]],6)&lt;&gt;"County"),_xlfn.TEXTJOIN(" ",TRUE,Entities[[#This Row],[ENT_NAME]],"County"),Entities[[#This Row],[ENT_NAME]])</f>
        <v>Stonewall Ranch MUD</v>
      </c>
    </row>
    <row r="3103" spans="1:6" x14ac:dyDescent="0.25">
      <c r="A3103" s="305" t="s">
        <v>9611</v>
      </c>
      <c r="B3103" s="303" t="str">
        <f t="shared" si="48"/>
        <v>x08001382</v>
      </c>
      <c r="C3103" t="s">
        <v>4</v>
      </c>
      <c r="D3103" t="s">
        <v>9612</v>
      </c>
      <c r="E3103">
        <v>8</v>
      </c>
      <c r="F3103" t="str">
        <f>IF(AND(Entities[[#This Row],[ENT_TYPE]]="County",RIGHT(Entities[[#This Row],[ENT_NAME]],6)&lt;&gt;"County"),_xlfn.TEXTJOIN(" ",TRUE,Entities[[#This Row],[ENT_NAME]],"County"),Entities[[#This Row],[ENT_NAME]])</f>
        <v>Fort Bend County MUD 137</v>
      </c>
    </row>
    <row r="3104" spans="1:6" x14ac:dyDescent="0.25">
      <c r="A3104" s="303" t="s">
        <v>9613</v>
      </c>
      <c r="B3104" s="303" t="str">
        <f t="shared" si="48"/>
        <v>x08001383</v>
      </c>
      <c r="C3104" t="s">
        <v>4</v>
      </c>
      <c r="D3104" t="s">
        <v>9614</v>
      </c>
      <c r="E3104">
        <v>8</v>
      </c>
      <c r="F3104" t="str">
        <f>IF(AND(Entities[[#This Row],[ENT_TYPE]]="County",RIGHT(Entities[[#This Row],[ENT_NAME]],6)&lt;&gt;"County"),_xlfn.TEXTJOIN(" ",TRUE,Entities[[#This Row],[ENT_NAME]],"County"),Entities[[#This Row],[ENT_NAME]])</f>
        <v>Fort Bend County MUD 136</v>
      </c>
    </row>
    <row r="3105" spans="1:6" x14ac:dyDescent="0.25">
      <c r="A3105" s="305" t="s">
        <v>9615</v>
      </c>
      <c r="B3105" s="303" t="str">
        <f t="shared" si="48"/>
        <v>x08001392</v>
      </c>
      <c r="C3105" t="s">
        <v>4</v>
      </c>
      <c r="D3105" t="s">
        <v>9616</v>
      </c>
      <c r="E3105">
        <v>8</v>
      </c>
      <c r="F3105" t="str">
        <f>IF(AND(Entities[[#This Row],[ENT_TYPE]]="County",RIGHT(Entities[[#This Row],[ENT_NAME]],6)&lt;&gt;"County"),_xlfn.TEXTJOIN(" ",TRUE,Entities[[#This Row],[ENT_NAME]],"County"),Entities[[#This Row],[ENT_NAME]])</f>
        <v>Fort Bend County MUD 115</v>
      </c>
    </row>
    <row r="3106" spans="1:6" x14ac:dyDescent="0.25">
      <c r="A3106" s="303" t="s">
        <v>9617</v>
      </c>
      <c r="B3106" s="303" t="str">
        <f t="shared" si="48"/>
        <v>x08001397</v>
      </c>
      <c r="C3106" t="s">
        <v>4</v>
      </c>
      <c r="D3106" t="s">
        <v>9618</v>
      </c>
      <c r="E3106">
        <v>8</v>
      </c>
      <c r="F3106" t="str">
        <f>IF(AND(Entities[[#This Row],[ENT_TYPE]]="County",RIGHT(Entities[[#This Row],[ENT_NAME]],6)&lt;&gt;"County"),_xlfn.TEXTJOIN(" ",TRUE,Entities[[#This Row],[ENT_NAME]],"County"),Entities[[#This Row],[ENT_NAME]])</f>
        <v>Lone Star Regional Water Authority</v>
      </c>
    </row>
    <row r="3107" spans="1:6" x14ac:dyDescent="0.25">
      <c r="A3107" s="305" t="s">
        <v>9619</v>
      </c>
      <c r="B3107" s="303" t="str">
        <f t="shared" si="48"/>
        <v>x08001398</v>
      </c>
      <c r="C3107" t="s">
        <v>4</v>
      </c>
      <c r="D3107" t="s">
        <v>9620</v>
      </c>
      <c r="E3107">
        <v>8</v>
      </c>
      <c r="F3107" t="str">
        <f>IF(AND(Entities[[#This Row],[ENT_TYPE]]="County",RIGHT(Entities[[#This Row],[ENT_NAME]],6)&lt;&gt;"County"),_xlfn.TEXTJOIN(" ",TRUE,Entities[[#This Row],[ENT_NAME]],"County"),Entities[[#This Row],[ENT_NAME]])</f>
        <v>Fort Bend County MUD 167</v>
      </c>
    </row>
    <row r="3108" spans="1:6" x14ac:dyDescent="0.25">
      <c r="A3108" s="305" t="s">
        <v>9621</v>
      </c>
      <c r="B3108" s="303" t="str">
        <f t="shared" si="48"/>
        <v>x08001407</v>
      </c>
      <c r="C3108" t="s">
        <v>4</v>
      </c>
      <c r="D3108" t="s">
        <v>9622</v>
      </c>
      <c r="E3108">
        <v>8</v>
      </c>
      <c r="F3108" t="str">
        <f>IF(AND(Entities[[#This Row],[ENT_TYPE]]="County",RIGHT(Entities[[#This Row],[ENT_NAME]],6)&lt;&gt;"County"),_xlfn.TEXTJOIN(" ",TRUE,Entities[[#This Row],[ENT_NAME]],"County"),Entities[[#This Row],[ENT_NAME]])</f>
        <v>Fort Bend County MUD 66</v>
      </c>
    </row>
    <row r="3109" spans="1:6" x14ac:dyDescent="0.25">
      <c r="A3109" s="303" t="s">
        <v>9623</v>
      </c>
      <c r="B3109" s="303" t="str">
        <f t="shared" si="48"/>
        <v>x08001408</v>
      </c>
      <c r="C3109" t="s">
        <v>4</v>
      </c>
      <c r="D3109" t="s">
        <v>9624</v>
      </c>
      <c r="E3109">
        <v>8</v>
      </c>
      <c r="F3109" t="str">
        <f>IF(AND(Entities[[#This Row],[ENT_TYPE]]="County",RIGHT(Entities[[#This Row],[ENT_NAME]],6)&lt;&gt;"County"),_xlfn.TEXTJOIN(" ",TRUE,Entities[[#This Row],[ENT_NAME]],"County"),Entities[[#This Row],[ENT_NAME]])</f>
        <v>Fort Bend County MUD 65</v>
      </c>
    </row>
    <row r="3110" spans="1:6" x14ac:dyDescent="0.25">
      <c r="A3110" s="303" t="s">
        <v>9625</v>
      </c>
      <c r="B3110" s="303" t="str">
        <f t="shared" si="48"/>
        <v>x08001419</v>
      </c>
      <c r="C3110" t="s">
        <v>4</v>
      </c>
      <c r="D3110" t="s">
        <v>9626</v>
      </c>
      <c r="E3110">
        <v>8</v>
      </c>
      <c r="F3110" t="str">
        <f>IF(AND(Entities[[#This Row],[ENT_TYPE]]="County",RIGHT(Entities[[#This Row],[ENT_NAME]],6)&lt;&gt;"County"),_xlfn.TEXTJOIN(" ",TRUE,Entities[[#This Row],[ENT_NAME]],"County"),Entities[[#This Row],[ENT_NAME]])</f>
        <v>Williamson County MUD 26</v>
      </c>
    </row>
    <row r="3111" spans="1:6" x14ac:dyDescent="0.25">
      <c r="A3111" s="305" t="s">
        <v>9627</v>
      </c>
      <c r="B3111" s="303" t="str">
        <f t="shared" si="48"/>
        <v>x08001426</v>
      </c>
      <c r="C3111" t="s">
        <v>4</v>
      </c>
      <c r="D3111" t="s">
        <v>9628</v>
      </c>
      <c r="E3111">
        <v>8</v>
      </c>
      <c r="F3111" t="str">
        <f>IF(AND(Entities[[#This Row],[ENT_TYPE]]="County",RIGHT(Entities[[#This Row],[ENT_NAME]],6)&lt;&gt;"County"),_xlfn.TEXTJOIN(" ",TRUE,Entities[[#This Row],[ENT_NAME]],"County"),Entities[[#This Row],[ENT_NAME]])</f>
        <v>Meadows at Chandler Creek MUD</v>
      </c>
    </row>
    <row r="3112" spans="1:6" x14ac:dyDescent="0.25">
      <c r="A3112" s="303" t="s">
        <v>9629</v>
      </c>
      <c r="B3112" s="303" t="str">
        <f t="shared" si="48"/>
        <v>x08001427</v>
      </c>
      <c r="C3112" t="s">
        <v>4</v>
      </c>
      <c r="D3112" t="s">
        <v>9630</v>
      </c>
      <c r="E3112">
        <v>8</v>
      </c>
      <c r="F3112" t="str">
        <f>IF(AND(Entities[[#This Row],[ENT_TYPE]]="County",RIGHT(Entities[[#This Row],[ENT_NAME]],6)&lt;&gt;"County"),_xlfn.TEXTJOIN(" ",TRUE,Entities[[#This Row],[ENT_NAME]],"County"),Entities[[#This Row],[ENT_NAME]])</f>
        <v>Block House MUD</v>
      </c>
    </row>
    <row r="3113" spans="1:6" x14ac:dyDescent="0.25">
      <c r="A3113" s="305" t="s">
        <v>9631</v>
      </c>
      <c r="B3113" s="303" t="str">
        <f t="shared" si="48"/>
        <v>x08001431</v>
      </c>
      <c r="C3113" t="s">
        <v>4</v>
      </c>
      <c r="D3113" t="s">
        <v>9632</v>
      </c>
      <c r="E3113">
        <v>8</v>
      </c>
      <c r="F3113" t="str">
        <f>IF(AND(Entities[[#This Row],[ENT_TYPE]]="County",RIGHT(Entities[[#This Row],[ENT_NAME]],6)&lt;&gt;"County"),_xlfn.TEXTJOIN(" ",TRUE,Entities[[#This Row],[ENT_NAME]],"County"),Entities[[#This Row],[ENT_NAME]])</f>
        <v>Fort Bend County MUD 108</v>
      </c>
    </row>
    <row r="3114" spans="1:6" x14ac:dyDescent="0.25">
      <c r="A3114" s="303" t="s">
        <v>9633</v>
      </c>
      <c r="B3114" s="303" t="str">
        <f t="shared" si="48"/>
        <v>x08001463</v>
      </c>
      <c r="C3114" t="s">
        <v>4</v>
      </c>
      <c r="D3114" t="s">
        <v>9634</v>
      </c>
      <c r="E3114">
        <v>8</v>
      </c>
      <c r="F3114" t="str">
        <f>IF(AND(Entities[[#This Row],[ENT_TYPE]]="County",RIGHT(Entities[[#This Row],[ENT_NAME]],6)&lt;&gt;"County"),_xlfn.TEXTJOIN(" ",TRUE,Entities[[#This Row],[ENT_NAME]],"County"),Entities[[#This Row],[ENT_NAME]])</f>
        <v>Fort Bend County MUD 192</v>
      </c>
    </row>
    <row r="3115" spans="1:6" x14ac:dyDescent="0.25">
      <c r="A3115" s="305" t="s">
        <v>9635</v>
      </c>
      <c r="B3115" s="303" t="str">
        <f t="shared" si="48"/>
        <v>x08001483</v>
      </c>
      <c r="C3115" t="s">
        <v>4</v>
      </c>
      <c r="D3115" t="s">
        <v>9636</v>
      </c>
      <c r="E3115">
        <v>8</v>
      </c>
      <c r="F3115" t="str">
        <f>IF(AND(Entities[[#This Row],[ENT_TYPE]]="County",RIGHT(Entities[[#This Row],[ENT_NAME]],6)&lt;&gt;"County"),_xlfn.TEXTJOIN(" ",TRUE,Entities[[#This Row],[ENT_NAME]],"County"),Entities[[#This Row],[ENT_NAME]])</f>
        <v>Blue Water MUD</v>
      </c>
    </row>
    <row r="3116" spans="1:6" x14ac:dyDescent="0.25">
      <c r="A3116" s="303" t="s">
        <v>9637</v>
      </c>
      <c r="B3116" s="303" t="str">
        <f t="shared" si="48"/>
        <v>x08001517</v>
      </c>
      <c r="C3116" t="s">
        <v>4</v>
      </c>
      <c r="D3116" t="s">
        <v>9638</v>
      </c>
      <c r="E3116">
        <v>8</v>
      </c>
      <c r="F3116" t="str">
        <f>IF(AND(Entities[[#This Row],[ENT_TYPE]]="County",RIGHT(Entities[[#This Row],[ENT_NAME]],6)&lt;&gt;"County"),_xlfn.TEXTJOIN(" ",TRUE,Entities[[#This Row],[ENT_NAME]],"County"),Entities[[#This Row],[ENT_NAME]])</f>
        <v>West Williamson County MUD 2</v>
      </c>
    </row>
    <row r="3117" spans="1:6" x14ac:dyDescent="0.25">
      <c r="A3117" s="305" t="s">
        <v>9639</v>
      </c>
      <c r="B3117" s="303" t="str">
        <f t="shared" si="48"/>
        <v>x08001518</v>
      </c>
      <c r="C3117" t="s">
        <v>4</v>
      </c>
      <c r="D3117" t="s">
        <v>9640</v>
      </c>
      <c r="E3117">
        <v>8</v>
      </c>
      <c r="F3117" t="str">
        <f>IF(AND(Entities[[#This Row],[ENT_TYPE]]="County",RIGHT(Entities[[#This Row],[ENT_NAME]],6)&lt;&gt;"County"),_xlfn.TEXTJOIN(" ",TRUE,Entities[[#This Row],[ENT_NAME]],"County"),Entities[[#This Row],[ENT_NAME]])</f>
        <v>Williams Ranch MUD 1</v>
      </c>
    </row>
    <row r="3118" spans="1:6" x14ac:dyDescent="0.25">
      <c r="A3118" s="303" t="s">
        <v>9641</v>
      </c>
      <c r="B3118" s="303" t="str">
        <f t="shared" si="48"/>
        <v>x08001538</v>
      </c>
      <c r="C3118" t="s">
        <v>4</v>
      </c>
      <c r="D3118" t="s">
        <v>9642</v>
      </c>
      <c r="E3118">
        <v>8</v>
      </c>
      <c r="F3118" t="str">
        <f>IF(AND(Entities[[#This Row],[ENT_TYPE]]="County",RIGHT(Entities[[#This Row],[ENT_NAME]],6)&lt;&gt;"County"),_xlfn.TEXTJOIN(" ",TRUE,Entities[[#This Row],[ENT_NAME]],"County"),Entities[[#This Row],[ENT_NAME]])</f>
        <v>Sienna Plantation MUD 5</v>
      </c>
    </row>
    <row r="3119" spans="1:6" x14ac:dyDescent="0.25">
      <c r="A3119" s="303" t="s">
        <v>9643</v>
      </c>
      <c r="B3119" s="303" t="str">
        <f t="shared" si="48"/>
        <v>x08001574</v>
      </c>
      <c r="C3119" t="s">
        <v>4</v>
      </c>
      <c r="D3119" t="s">
        <v>9644</v>
      </c>
      <c r="E3119">
        <v>8</v>
      </c>
      <c r="F3119" t="str">
        <f>IF(AND(Entities[[#This Row],[ENT_TYPE]]="County",RIGHT(Entities[[#This Row],[ENT_NAME]],6)&lt;&gt;"County"),_xlfn.TEXTJOIN(" ",TRUE,Entities[[#This Row],[ENT_NAME]],"County"),Entities[[#This Row],[ENT_NAME]])</f>
        <v>Fort Bend County MUD 24</v>
      </c>
    </row>
    <row r="3120" spans="1:6" x14ac:dyDescent="0.25">
      <c r="A3120" s="305" t="s">
        <v>9645</v>
      </c>
      <c r="B3120" s="303" t="str">
        <f t="shared" si="48"/>
        <v>x08001575</v>
      </c>
      <c r="C3120" t="s">
        <v>4</v>
      </c>
      <c r="D3120" t="s">
        <v>9646</v>
      </c>
      <c r="E3120">
        <v>8</v>
      </c>
      <c r="F3120" t="str">
        <f>IF(AND(Entities[[#This Row],[ENT_TYPE]]="County",RIGHT(Entities[[#This Row],[ENT_NAME]],6)&lt;&gt;"County"),_xlfn.TEXTJOIN(" ",TRUE,Entities[[#This Row],[ENT_NAME]],"County"),Entities[[#This Row],[ENT_NAME]])</f>
        <v>Maverick Improvement District of Palo Pinto County</v>
      </c>
    </row>
    <row r="3121" spans="1:6" x14ac:dyDescent="0.25">
      <c r="A3121" s="303" t="s">
        <v>9647</v>
      </c>
      <c r="B3121" s="303" t="str">
        <f t="shared" si="48"/>
        <v>x08001581</v>
      </c>
      <c r="C3121" t="s">
        <v>4</v>
      </c>
      <c r="D3121" t="s">
        <v>9648</v>
      </c>
      <c r="E3121">
        <v>8</v>
      </c>
      <c r="F3121" t="str">
        <f>IF(AND(Entities[[#This Row],[ENT_TYPE]]="County",RIGHT(Entities[[#This Row],[ENT_NAME]],6)&lt;&gt;"County"),_xlfn.TEXTJOIN(" ",TRUE,Entities[[#This Row],[ENT_NAME]],"County"),Entities[[#This Row],[ENT_NAME]])</f>
        <v>Fort Bend County MUD 69</v>
      </c>
    </row>
    <row r="3122" spans="1:6" x14ac:dyDescent="0.25">
      <c r="A3122" s="305" t="s">
        <v>9649</v>
      </c>
      <c r="B3122" s="303" t="str">
        <f t="shared" si="48"/>
        <v>x08001582</v>
      </c>
      <c r="C3122" t="s">
        <v>4</v>
      </c>
      <c r="D3122" t="s">
        <v>9650</v>
      </c>
      <c r="E3122">
        <v>8</v>
      </c>
      <c r="F3122" t="str">
        <f>IF(AND(Entities[[#This Row],[ENT_TYPE]]="County",RIGHT(Entities[[#This Row],[ENT_NAME]],6)&lt;&gt;"County"),_xlfn.TEXTJOIN(" ",TRUE,Entities[[#This Row],[ENT_NAME]],"County"),Entities[[#This Row],[ENT_NAME]])</f>
        <v>Fort Bend County MUD 68</v>
      </c>
    </row>
    <row r="3123" spans="1:6" x14ac:dyDescent="0.25">
      <c r="A3123" s="303" t="s">
        <v>9651</v>
      </c>
      <c r="B3123" s="303" t="str">
        <f t="shared" si="48"/>
        <v>x08001584</v>
      </c>
      <c r="C3123" t="s">
        <v>4</v>
      </c>
      <c r="D3123" t="s">
        <v>9652</v>
      </c>
      <c r="E3123">
        <v>8</v>
      </c>
      <c r="F3123" t="str">
        <f>IF(AND(Entities[[#This Row],[ENT_TYPE]]="County",RIGHT(Entities[[#This Row],[ENT_NAME]],6)&lt;&gt;"County"),_xlfn.TEXTJOIN(" ",TRUE,Entities[[#This Row],[ENT_NAME]],"County"),Entities[[#This Row],[ENT_NAME]])</f>
        <v>Beaver Creek WCID 1</v>
      </c>
    </row>
    <row r="3124" spans="1:6" x14ac:dyDescent="0.25">
      <c r="A3124" s="305" t="s">
        <v>9653</v>
      </c>
      <c r="B3124" s="303" t="str">
        <f t="shared" si="48"/>
        <v>x08001588</v>
      </c>
      <c r="C3124" t="s">
        <v>4</v>
      </c>
      <c r="D3124" t="s">
        <v>9654</v>
      </c>
      <c r="E3124">
        <v>8</v>
      </c>
      <c r="F3124" t="str">
        <f>IF(AND(Entities[[#This Row],[ENT_TYPE]]="County",RIGHT(Entities[[#This Row],[ENT_NAME]],6)&lt;&gt;"County"),_xlfn.TEXTJOIN(" ",TRUE,Entities[[#This Row],[ENT_NAME]],"County"),Entities[[#This Row],[ENT_NAME]])</f>
        <v>Lakeside Water Supply District</v>
      </c>
    </row>
    <row r="3125" spans="1:6" x14ac:dyDescent="0.25">
      <c r="A3125" s="303" t="s">
        <v>9655</v>
      </c>
      <c r="B3125" s="303" t="str">
        <f t="shared" si="48"/>
        <v>x08001591</v>
      </c>
      <c r="C3125" t="s">
        <v>4</v>
      </c>
      <c r="D3125" t="s">
        <v>9656</v>
      </c>
      <c r="E3125">
        <v>8</v>
      </c>
      <c r="F3125" t="str">
        <f>IF(AND(Entities[[#This Row],[ENT_TYPE]]="County",RIGHT(Entities[[#This Row],[ENT_NAME]],6)&lt;&gt;"County"),_xlfn.TEXTJOIN(" ",TRUE,Entities[[#This Row],[ENT_NAME]],"County"),Entities[[#This Row],[ENT_NAME]])</f>
        <v>Siena MUD 2</v>
      </c>
    </row>
    <row r="3126" spans="1:6" x14ac:dyDescent="0.25">
      <c r="A3126" s="305" t="s">
        <v>9657</v>
      </c>
      <c r="B3126" s="303" t="str">
        <f t="shared" si="48"/>
        <v>x08001593</v>
      </c>
      <c r="C3126" t="s">
        <v>4</v>
      </c>
      <c r="D3126" t="s">
        <v>9658</v>
      </c>
      <c r="E3126">
        <v>8</v>
      </c>
      <c r="F3126" t="str">
        <f>IF(AND(Entities[[#This Row],[ENT_TYPE]]="County",RIGHT(Entities[[#This Row],[ENT_NAME]],6)&lt;&gt;"County"),_xlfn.TEXTJOIN(" ",TRUE,Entities[[#This Row],[ENT_NAME]],"County"),Entities[[#This Row],[ENT_NAME]])</f>
        <v>Williamson County MUD 19C</v>
      </c>
    </row>
    <row r="3127" spans="1:6" x14ac:dyDescent="0.25">
      <c r="A3127" s="303" t="s">
        <v>9659</v>
      </c>
      <c r="B3127" s="303" t="str">
        <f t="shared" si="48"/>
        <v>x08001607</v>
      </c>
      <c r="C3127" t="s">
        <v>4</v>
      </c>
      <c r="D3127" t="s">
        <v>9660</v>
      </c>
      <c r="E3127">
        <v>8</v>
      </c>
      <c r="F3127" t="str">
        <f>IF(AND(Entities[[#This Row],[ENT_TYPE]]="County",RIGHT(Entities[[#This Row],[ENT_NAME]],6)&lt;&gt;"County"),_xlfn.TEXTJOIN(" ",TRUE,Entities[[#This Row],[ENT_NAME]],"County"),Entities[[#This Row],[ENT_NAME]])</f>
        <v>Williamson County MUD 10</v>
      </c>
    </row>
    <row r="3128" spans="1:6" x14ac:dyDescent="0.25">
      <c r="A3128" s="305" t="s">
        <v>9661</v>
      </c>
      <c r="B3128" s="303" t="str">
        <f t="shared" si="48"/>
        <v>x08001613</v>
      </c>
      <c r="C3128" t="s">
        <v>4</v>
      </c>
      <c r="D3128" t="s">
        <v>9662</v>
      </c>
      <c r="E3128">
        <v>8</v>
      </c>
      <c r="F3128" t="str">
        <f>IF(AND(Entities[[#This Row],[ENT_TYPE]]="County",RIGHT(Entities[[#This Row],[ENT_NAME]],6)&lt;&gt;"County"),_xlfn.TEXTJOIN(" ",TRUE,Entities[[#This Row],[ENT_NAME]],"County"),Entities[[#This Row],[ENT_NAME]])</f>
        <v>Fern Bluff MUD</v>
      </c>
    </row>
    <row r="3129" spans="1:6" x14ac:dyDescent="0.25">
      <c r="A3129" s="303" t="s">
        <v>9663</v>
      </c>
      <c r="B3129" s="303" t="str">
        <f t="shared" si="48"/>
        <v>x08001614</v>
      </c>
      <c r="C3129" t="s">
        <v>4</v>
      </c>
      <c r="D3129" t="s">
        <v>9664</v>
      </c>
      <c r="E3129">
        <v>8</v>
      </c>
      <c r="F3129" t="str">
        <f>IF(AND(Entities[[#This Row],[ENT_TYPE]]="County",RIGHT(Entities[[#This Row],[ENT_NAME]],6)&lt;&gt;"County"),_xlfn.TEXTJOIN(" ",TRUE,Entities[[#This Row],[ENT_NAME]],"County"),Entities[[#This Row],[ENT_NAME]])</f>
        <v>Sienna Plantation MUD 12</v>
      </c>
    </row>
    <row r="3130" spans="1:6" x14ac:dyDescent="0.25">
      <c r="A3130" s="305" t="s">
        <v>9665</v>
      </c>
      <c r="B3130" s="303" t="str">
        <f t="shared" si="48"/>
        <v>x08001616</v>
      </c>
      <c r="C3130" t="s">
        <v>4</v>
      </c>
      <c r="D3130" t="s">
        <v>9666</v>
      </c>
      <c r="E3130">
        <v>8</v>
      </c>
      <c r="F3130" t="str">
        <f>IF(AND(Entities[[#This Row],[ENT_TYPE]]="County",RIGHT(Entities[[#This Row],[ENT_NAME]],6)&lt;&gt;"County"),_xlfn.TEXTJOIN(" ",TRUE,Entities[[#This Row],[ENT_NAME]],"County"),Entities[[#This Row],[ENT_NAME]])</f>
        <v>Fort Bend County LID 8</v>
      </c>
    </row>
    <row r="3131" spans="1:6" x14ac:dyDescent="0.25">
      <c r="A3131" s="303" t="s">
        <v>9667</v>
      </c>
      <c r="B3131" s="303" t="str">
        <f t="shared" si="48"/>
        <v>x08001617</v>
      </c>
      <c r="C3131" t="s">
        <v>4</v>
      </c>
      <c r="D3131" t="s">
        <v>9668</v>
      </c>
      <c r="E3131">
        <v>8</v>
      </c>
      <c r="F3131" t="str">
        <f>IF(AND(Entities[[#This Row],[ENT_TYPE]]="County",RIGHT(Entities[[#This Row],[ENT_NAME]],6)&lt;&gt;"County"),_xlfn.TEXTJOIN(" ",TRUE,Entities[[#This Row],[ENT_NAME]],"County"),Entities[[#This Row],[ENT_NAME]])</f>
        <v>Fort Bend County LID 2</v>
      </c>
    </row>
    <row r="3132" spans="1:6" x14ac:dyDescent="0.25">
      <c r="A3132" s="305" t="s">
        <v>9669</v>
      </c>
      <c r="B3132" s="303" t="str">
        <f t="shared" si="48"/>
        <v>x08001618</v>
      </c>
      <c r="C3132" t="s">
        <v>4</v>
      </c>
      <c r="D3132" t="s">
        <v>9670</v>
      </c>
      <c r="E3132">
        <v>8</v>
      </c>
      <c r="F3132" t="str">
        <f>IF(AND(Entities[[#This Row],[ENT_TYPE]]="County",RIGHT(Entities[[#This Row],[ENT_NAME]],6)&lt;&gt;"County"),_xlfn.TEXTJOIN(" ",TRUE,Entities[[#This Row],[ENT_NAME]],"County"),Entities[[#This Row],[ENT_NAME]])</f>
        <v>First Colony LID 2</v>
      </c>
    </row>
    <row r="3133" spans="1:6" x14ac:dyDescent="0.25">
      <c r="A3133" s="303" t="s">
        <v>9671</v>
      </c>
      <c r="B3133" s="303" t="str">
        <f t="shared" si="48"/>
        <v>x08001619</v>
      </c>
      <c r="C3133" t="s">
        <v>4</v>
      </c>
      <c r="D3133" t="s">
        <v>9672</v>
      </c>
      <c r="E3133">
        <v>8</v>
      </c>
      <c r="F3133" t="str">
        <f>IF(AND(Entities[[#This Row],[ENT_TYPE]]="County",RIGHT(Entities[[#This Row],[ENT_NAME]],6)&lt;&gt;"County"),_xlfn.TEXTJOIN(" ",TRUE,Entities[[#This Row],[ENT_NAME]],"County"),Entities[[#This Row],[ENT_NAME]])</f>
        <v>Fort Bend County MUD 111</v>
      </c>
    </row>
    <row r="3134" spans="1:6" x14ac:dyDescent="0.25">
      <c r="A3134" s="303" t="s">
        <v>9673</v>
      </c>
      <c r="B3134" s="303" t="str">
        <f t="shared" si="48"/>
        <v>x08001637</v>
      </c>
      <c r="C3134" t="s">
        <v>4</v>
      </c>
      <c r="D3134" t="s">
        <v>9674</v>
      </c>
      <c r="E3134">
        <v>8</v>
      </c>
      <c r="F3134" t="str">
        <f>IF(AND(Entities[[#This Row],[ENT_TYPE]]="County",RIGHT(Entities[[#This Row],[ENT_NAME]],6)&lt;&gt;"County"),_xlfn.TEXTJOIN(" ",TRUE,Entities[[#This Row],[ENT_NAME]],"County"),Entities[[#This Row],[ENT_NAME]])</f>
        <v>Lee County FWSD 1</v>
      </c>
    </row>
    <row r="3135" spans="1:6" x14ac:dyDescent="0.25">
      <c r="A3135" s="305" t="s">
        <v>9675</v>
      </c>
      <c r="B3135" s="303" t="str">
        <f t="shared" si="48"/>
        <v>x08001647</v>
      </c>
      <c r="C3135" t="s">
        <v>4</v>
      </c>
      <c r="D3135" t="s">
        <v>9676</v>
      </c>
      <c r="E3135">
        <v>8</v>
      </c>
      <c r="F3135" t="str">
        <f>IF(AND(Entities[[#This Row],[ENT_TYPE]]="County",RIGHT(Entities[[#This Row],[ENT_NAME]],6)&lt;&gt;"County"),_xlfn.TEXTJOIN(" ",TRUE,Entities[[#This Row],[ENT_NAME]],"County"),Entities[[#This Row],[ENT_NAME]])</f>
        <v>Fort Bend County MUD 49</v>
      </c>
    </row>
    <row r="3136" spans="1:6" x14ac:dyDescent="0.25">
      <c r="A3136" s="305" t="s">
        <v>9677</v>
      </c>
      <c r="B3136" s="303" t="str">
        <f t="shared" si="48"/>
        <v>x08001675</v>
      </c>
      <c r="C3136" t="s">
        <v>4</v>
      </c>
      <c r="D3136" t="s">
        <v>9678</v>
      </c>
      <c r="E3136">
        <v>8</v>
      </c>
      <c r="F3136" t="str">
        <f>IF(AND(Entities[[#This Row],[ENT_TYPE]]="County",RIGHT(Entities[[#This Row],[ENT_NAME]],6)&lt;&gt;"County"),_xlfn.TEXTJOIN(" ",TRUE,Entities[[#This Row],[ENT_NAME]],"County"),Entities[[#This Row],[ENT_NAME]])</f>
        <v>Burleson County MUD 1</v>
      </c>
    </row>
    <row r="3137" spans="1:6" x14ac:dyDescent="0.25">
      <c r="A3137" s="303" t="s">
        <v>9679</v>
      </c>
      <c r="B3137" s="303" t="str">
        <f t="shared" si="48"/>
        <v>x08001688</v>
      </c>
      <c r="C3137" t="s">
        <v>4</v>
      </c>
      <c r="D3137" t="s">
        <v>9680</v>
      </c>
      <c r="E3137">
        <v>8</v>
      </c>
      <c r="F3137" t="str">
        <f>IF(AND(Entities[[#This Row],[ENT_TYPE]]="County",RIGHT(Entities[[#This Row],[ENT_NAME]],6)&lt;&gt;"County"),_xlfn.TEXTJOIN(" ",TRUE,Entities[[#This Row],[ENT_NAME]],"County"),Entities[[#This Row],[ENT_NAME]])</f>
        <v>Fort Bend County MUD 112</v>
      </c>
    </row>
    <row r="3138" spans="1:6" x14ac:dyDescent="0.25">
      <c r="A3138" s="305" t="s">
        <v>9681</v>
      </c>
      <c r="B3138" s="303" t="str">
        <f t="shared" ref="B3138:B3201" si="49">_xlfn.CONCAT("x",TEXT(A3138,"00000000"))</f>
        <v>x08001689</v>
      </c>
      <c r="C3138" t="s">
        <v>4</v>
      </c>
      <c r="D3138" t="s">
        <v>9682</v>
      </c>
      <c r="E3138">
        <v>8</v>
      </c>
      <c r="F3138" t="str">
        <f>IF(AND(Entities[[#This Row],[ENT_TYPE]]="County",RIGHT(Entities[[#This Row],[ENT_NAME]],6)&lt;&gt;"County"),_xlfn.TEXTJOIN(" ",TRUE,Entities[[#This Row],[ENT_NAME]],"County"),Entities[[#This Row],[ENT_NAME]])</f>
        <v>Fort Bend County MUD 56</v>
      </c>
    </row>
    <row r="3139" spans="1:6" x14ac:dyDescent="0.25">
      <c r="A3139" s="303" t="s">
        <v>9683</v>
      </c>
      <c r="B3139" s="303" t="str">
        <f t="shared" si="49"/>
        <v>x08001690</v>
      </c>
      <c r="C3139" t="s">
        <v>4</v>
      </c>
      <c r="D3139" t="s">
        <v>9684</v>
      </c>
      <c r="E3139">
        <v>8</v>
      </c>
      <c r="F3139" t="str">
        <f>IF(AND(Entities[[#This Row],[ENT_TYPE]]="County",RIGHT(Entities[[#This Row],[ENT_NAME]],6)&lt;&gt;"County"),_xlfn.TEXTJOIN(" ",TRUE,Entities[[#This Row],[ENT_NAME]],"County"),Entities[[#This Row],[ENT_NAME]])</f>
        <v>Fort Bend County MUD 19</v>
      </c>
    </row>
    <row r="3140" spans="1:6" x14ac:dyDescent="0.25">
      <c r="A3140" s="305" t="s">
        <v>9685</v>
      </c>
      <c r="B3140" s="303" t="str">
        <f t="shared" si="49"/>
        <v>x08001703</v>
      </c>
      <c r="C3140" t="s">
        <v>4</v>
      </c>
      <c r="D3140" t="s">
        <v>9686</v>
      </c>
      <c r="E3140">
        <v>8</v>
      </c>
      <c r="F3140" t="str">
        <f>IF(AND(Entities[[#This Row],[ENT_TYPE]]="County",RIGHT(Entities[[#This Row],[ENT_NAME]],6)&lt;&gt;"County"),_xlfn.TEXTJOIN(" ",TRUE,Entities[[#This Row],[ENT_NAME]],"County"),Entities[[#This Row],[ENT_NAME]])</f>
        <v>Fort Bend County MUD 129</v>
      </c>
    </row>
    <row r="3141" spans="1:6" x14ac:dyDescent="0.25">
      <c r="A3141" s="303" t="s">
        <v>9687</v>
      </c>
      <c r="B3141" s="303" t="str">
        <f t="shared" si="49"/>
        <v>x08001715</v>
      </c>
      <c r="C3141" t="s">
        <v>4</v>
      </c>
      <c r="D3141" t="s">
        <v>9688</v>
      </c>
      <c r="E3141">
        <v>8</v>
      </c>
      <c r="F3141" t="str">
        <f>IF(AND(Entities[[#This Row],[ENT_TYPE]]="County",RIGHT(Entities[[#This Row],[ENT_NAME]],6)&lt;&gt;"County"),_xlfn.TEXTJOIN(" ",TRUE,Entities[[#This Row],[ENT_NAME]],"County"),Entities[[#This Row],[ENT_NAME]])</f>
        <v>First Colony LID</v>
      </c>
    </row>
    <row r="3142" spans="1:6" x14ac:dyDescent="0.25">
      <c r="A3142" s="305" t="s">
        <v>9689</v>
      </c>
      <c r="B3142" s="303" t="str">
        <f t="shared" si="49"/>
        <v>x08001723</v>
      </c>
      <c r="C3142" t="s">
        <v>4</v>
      </c>
      <c r="D3142" t="s">
        <v>9690</v>
      </c>
      <c r="E3142">
        <v>8</v>
      </c>
      <c r="F3142" t="str">
        <f>IF(AND(Entities[[#This Row],[ENT_TYPE]]="County",RIGHT(Entities[[#This Row],[ENT_NAME]],6)&lt;&gt;"County"),_xlfn.TEXTJOIN(" ",TRUE,Entities[[#This Row],[ENT_NAME]],"County"),Entities[[#This Row],[ENT_NAME]])</f>
        <v>Wickson Creek SUD</v>
      </c>
    </row>
    <row r="3143" spans="1:6" x14ac:dyDescent="0.25">
      <c r="A3143" s="303" t="s">
        <v>9691</v>
      </c>
      <c r="B3143" s="303" t="str">
        <f t="shared" si="49"/>
        <v>x08001724</v>
      </c>
      <c r="C3143" t="s">
        <v>4</v>
      </c>
      <c r="D3143" t="s">
        <v>9692</v>
      </c>
      <c r="E3143">
        <v>8</v>
      </c>
      <c r="F3143" t="str">
        <f>IF(AND(Entities[[#This Row],[ENT_TYPE]]="County",RIGHT(Entities[[#This Row],[ENT_NAME]],6)&lt;&gt;"County"),_xlfn.TEXTJOIN(" ",TRUE,Entities[[#This Row],[ENT_NAME]],"County"),Entities[[#This Row],[ENT_NAME]])</f>
        <v>Varner Creek Utility District</v>
      </c>
    </row>
    <row r="3144" spans="1:6" x14ac:dyDescent="0.25">
      <c r="A3144" s="305" t="s">
        <v>9693</v>
      </c>
      <c r="B3144" s="303" t="str">
        <f t="shared" si="49"/>
        <v>x08001725</v>
      </c>
      <c r="C3144" t="s">
        <v>4</v>
      </c>
      <c r="D3144" t="s">
        <v>9694</v>
      </c>
      <c r="E3144">
        <v>8</v>
      </c>
      <c r="F3144" t="str">
        <f>IF(AND(Entities[[#This Row],[ENT_TYPE]]="County",RIGHT(Entities[[#This Row],[ENT_NAME]],6)&lt;&gt;"County"),_xlfn.TEXTJOIN(" ",TRUE,Entities[[#This Row],[ENT_NAME]],"County"),Entities[[#This Row],[ENT_NAME]])</f>
        <v>Treasure Island MUD</v>
      </c>
    </row>
    <row r="3145" spans="1:6" x14ac:dyDescent="0.25">
      <c r="A3145" s="303" t="s">
        <v>9695</v>
      </c>
      <c r="B3145" s="303" t="str">
        <f t="shared" si="49"/>
        <v>x08001726</v>
      </c>
      <c r="C3145" t="s">
        <v>4</v>
      </c>
      <c r="D3145" t="s">
        <v>9696</v>
      </c>
      <c r="E3145">
        <v>8</v>
      </c>
      <c r="F3145" t="str">
        <f>IF(AND(Entities[[#This Row],[ENT_TYPE]]="County",RIGHT(Entities[[#This Row],[ENT_NAME]],6)&lt;&gt;"County"),_xlfn.TEXTJOIN(" ",TRUE,Entities[[#This Row],[ENT_NAME]],"County"),Entities[[#This Row],[ENT_NAME]])</f>
        <v>Rancho Isabella MUD</v>
      </c>
    </row>
    <row r="3146" spans="1:6" x14ac:dyDescent="0.25">
      <c r="A3146" s="305" t="s">
        <v>9697</v>
      </c>
      <c r="B3146" s="303" t="str">
        <f t="shared" si="49"/>
        <v>x08001728</v>
      </c>
      <c r="C3146" t="s">
        <v>4</v>
      </c>
      <c r="D3146" t="s">
        <v>9698</v>
      </c>
      <c r="E3146">
        <v>8</v>
      </c>
      <c r="F3146" t="str">
        <f>IF(AND(Entities[[#This Row],[ENT_TYPE]]="County",RIGHT(Entities[[#This Row],[ENT_NAME]],6)&lt;&gt;"County"),_xlfn.TEXTJOIN(" ",TRUE,Entities[[#This Row],[ENT_NAME]],"County"),Entities[[#This Row],[ENT_NAME]])</f>
        <v>Commodore Cove Improvement District</v>
      </c>
    </row>
    <row r="3147" spans="1:6" x14ac:dyDescent="0.25">
      <c r="A3147" s="303" t="s">
        <v>9699</v>
      </c>
      <c r="B3147" s="303" t="str">
        <f t="shared" si="49"/>
        <v>x08001730</v>
      </c>
      <c r="C3147" t="s">
        <v>4</v>
      </c>
      <c r="D3147" t="s">
        <v>9700</v>
      </c>
      <c r="E3147">
        <v>8</v>
      </c>
      <c r="F3147" t="str">
        <f>IF(AND(Entities[[#This Row],[ENT_TYPE]]="County",RIGHT(Entities[[#This Row],[ENT_NAME]],6)&lt;&gt;"County"),_xlfn.TEXTJOIN(" ",TRUE,Entities[[#This Row],[ENT_NAME]],"County"),Entities[[#This Row],[ENT_NAME]])</f>
        <v>Brazoria County MUD 14</v>
      </c>
    </row>
    <row r="3148" spans="1:6" x14ac:dyDescent="0.25">
      <c r="A3148" s="303" t="s">
        <v>9701</v>
      </c>
      <c r="B3148" s="303" t="str">
        <f t="shared" si="49"/>
        <v>x08001758</v>
      </c>
      <c r="C3148" t="s">
        <v>4</v>
      </c>
      <c r="D3148" t="s">
        <v>9702</v>
      </c>
      <c r="E3148">
        <v>8</v>
      </c>
      <c r="F3148" t="str">
        <f>IF(AND(Entities[[#This Row],[ENT_TYPE]]="County",RIGHT(Entities[[#This Row],[ENT_NAME]],6)&lt;&gt;"County"),_xlfn.TEXTJOIN(" ",TRUE,Entities[[#This Row],[ENT_NAME]],"County"),Entities[[#This Row],[ENT_NAME]])</f>
        <v>Paloma Lake MUD 2</v>
      </c>
    </row>
    <row r="3149" spans="1:6" x14ac:dyDescent="0.25">
      <c r="A3149" s="305" t="s">
        <v>9703</v>
      </c>
      <c r="B3149" s="303" t="str">
        <f t="shared" si="49"/>
        <v>x08001785</v>
      </c>
      <c r="C3149" t="s">
        <v>4</v>
      </c>
      <c r="D3149" t="s">
        <v>9704</v>
      </c>
      <c r="E3149">
        <v>8</v>
      </c>
      <c r="F3149" t="str">
        <f>IF(AND(Entities[[#This Row],[ENT_TYPE]]="County",RIGHT(Entities[[#This Row],[ENT_NAME]],6)&lt;&gt;"County"),_xlfn.TEXTJOIN(" ",TRUE,Entities[[#This Row],[ENT_NAME]],"County"),Entities[[#This Row],[ENT_NAME]])</f>
        <v>Sienna Plantation MUD 4</v>
      </c>
    </row>
    <row r="3150" spans="1:6" x14ac:dyDescent="0.25">
      <c r="A3150" s="303" t="s">
        <v>9705</v>
      </c>
      <c r="B3150" s="303" t="str">
        <f t="shared" si="49"/>
        <v>x08001786</v>
      </c>
      <c r="C3150" t="s">
        <v>4</v>
      </c>
      <c r="D3150" t="s">
        <v>9706</v>
      </c>
      <c r="E3150">
        <v>8</v>
      </c>
      <c r="F3150" t="str">
        <f>IF(AND(Entities[[#This Row],[ENT_TYPE]]="County",RIGHT(Entities[[#This Row],[ENT_NAME]],6)&lt;&gt;"County"),_xlfn.TEXTJOIN(" ",TRUE,Entities[[#This Row],[ENT_NAME]],"County"),Entities[[#This Row],[ENT_NAME]])</f>
        <v>Williamson County MUD 25</v>
      </c>
    </row>
    <row r="3151" spans="1:6" x14ac:dyDescent="0.25">
      <c r="A3151" s="305" t="s">
        <v>9707</v>
      </c>
      <c r="B3151" s="303" t="str">
        <f t="shared" si="49"/>
        <v>x08001791</v>
      </c>
      <c r="C3151" t="s">
        <v>4</v>
      </c>
      <c r="D3151" t="s">
        <v>9708</v>
      </c>
      <c r="E3151">
        <v>8</v>
      </c>
      <c r="F3151" t="str">
        <f>IF(AND(Entities[[#This Row],[ENT_TYPE]]="County",RIGHT(Entities[[#This Row],[ENT_NAME]],6)&lt;&gt;"County"),_xlfn.TEXTJOIN(" ",TRUE,Entities[[#This Row],[ENT_NAME]],"County"),Entities[[#This Row],[ENT_NAME]])</f>
        <v>Sienna Plantation MUD 6</v>
      </c>
    </row>
    <row r="3152" spans="1:6" x14ac:dyDescent="0.25">
      <c r="A3152" s="303" t="s">
        <v>9709</v>
      </c>
      <c r="B3152" s="303" t="str">
        <f t="shared" si="49"/>
        <v>x08001792</v>
      </c>
      <c r="C3152" t="s">
        <v>4</v>
      </c>
      <c r="D3152" t="s">
        <v>9710</v>
      </c>
      <c r="E3152">
        <v>8</v>
      </c>
      <c r="F3152" t="str">
        <f>IF(AND(Entities[[#This Row],[ENT_TYPE]]="County",RIGHT(Entities[[#This Row],[ENT_NAME]],6)&lt;&gt;"County"),_xlfn.TEXTJOIN(" ",TRUE,Entities[[#This Row],[ENT_NAME]],"County"),Entities[[#This Row],[ENT_NAME]])</f>
        <v>3 B&amp;J MUD</v>
      </c>
    </row>
    <row r="3153" spans="1:6" x14ac:dyDescent="0.25">
      <c r="A3153" s="303" t="s">
        <v>9711</v>
      </c>
      <c r="B3153" s="303" t="str">
        <f t="shared" si="49"/>
        <v>x08001805</v>
      </c>
      <c r="C3153" t="s">
        <v>4</v>
      </c>
      <c r="D3153" t="s">
        <v>9712</v>
      </c>
      <c r="E3153">
        <v>8</v>
      </c>
      <c r="F3153" t="str">
        <f>IF(AND(Entities[[#This Row],[ENT_TYPE]]="County",RIGHT(Entities[[#This Row],[ENT_NAME]],6)&lt;&gt;"County"),_xlfn.TEXTJOIN(" ",TRUE,Entities[[#This Row],[ENT_NAME]],"County"),Entities[[#This Row],[ENT_NAME]])</f>
        <v>Bellfort PUD</v>
      </c>
    </row>
    <row r="3154" spans="1:6" x14ac:dyDescent="0.25">
      <c r="A3154" s="305" t="s">
        <v>9713</v>
      </c>
      <c r="B3154" s="303" t="str">
        <f t="shared" si="49"/>
        <v>x08001814</v>
      </c>
      <c r="C3154" t="s">
        <v>4</v>
      </c>
      <c r="D3154" t="s">
        <v>9714</v>
      </c>
      <c r="E3154">
        <v>8</v>
      </c>
      <c r="F3154" t="str">
        <f>IF(AND(Entities[[#This Row],[ENT_TYPE]]="County",RIGHT(Entities[[#This Row],[ENT_NAME]],6)&lt;&gt;"County"),_xlfn.TEXTJOIN(" ",TRUE,Entities[[#This Row],[ENT_NAME]],"County"),Entities[[#This Row],[ENT_NAME]])</f>
        <v>Twinwood MUD</v>
      </c>
    </row>
    <row r="3155" spans="1:6" x14ac:dyDescent="0.25">
      <c r="A3155" s="303" t="s">
        <v>9715</v>
      </c>
      <c r="B3155" s="303" t="str">
        <f t="shared" si="49"/>
        <v>x08001830</v>
      </c>
      <c r="C3155" t="s">
        <v>4</v>
      </c>
      <c r="D3155" t="s">
        <v>9716</v>
      </c>
      <c r="E3155">
        <v>8</v>
      </c>
      <c r="F3155" t="str">
        <f>IF(AND(Entities[[#This Row],[ENT_TYPE]]="County",RIGHT(Entities[[#This Row],[ENT_NAME]],6)&lt;&gt;"County"),_xlfn.TEXTJOIN(" ",TRUE,Entities[[#This Row],[ENT_NAME]],"County"),Entities[[#This Row],[ENT_NAME]])</f>
        <v>Watch Hill MUD</v>
      </c>
    </row>
    <row r="3156" spans="1:6" x14ac:dyDescent="0.25">
      <c r="A3156" s="305" t="s">
        <v>9717</v>
      </c>
      <c r="B3156" s="303" t="str">
        <f t="shared" si="49"/>
        <v>x08001834</v>
      </c>
      <c r="C3156" t="s">
        <v>4</v>
      </c>
      <c r="D3156" t="s">
        <v>9718</v>
      </c>
      <c r="E3156">
        <v>8</v>
      </c>
      <c r="F3156" t="str">
        <f>IF(AND(Entities[[#This Row],[ENT_TYPE]]="County",RIGHT(Entities[[#This Row],[ENT_NAME]],6)&lt;&gt;"County"),_xlfn.TEXTJOIN(" ",TRUE,Entities[[#This Row],[ENT_NAME]],"County"),Entities[[#This Row],[ENT_NAME]])</f>
        <v>Rock Prairie Management District 2</v>
      </c>
    </row>
    <row r="3157" spans="1:6" x14ac:dyDescent="0.25">
      <c r="A3157" s="303" t="s">
        <v>9719</v>
      </c>
      <c r="B3157" s="303" t="str">
        <f t="shared" si="49"/>
        <v>x08001835</v>
      </c>
      <c r="C3157" t="s">
        <v>4</v>
      </c>
      <c r="D3157" t="s">
        <v>9690</v>
      </c>
      <c r="E3157">
        <v>8</v>
      </c>
      <c r="F3157" t="str">
        <f>IF(AND(Entities[[#This Row],[ENT_TYPE]]="County",RIGHT(Entities[[#This Row],[ENT_NAME]],6)&lt;&gt;"County"),_xlfn.TEXTJOIN(" ",TRUE,Entities[[#This Row],[ENT_NAME]],"County"),Entities[[#This Row],[ENT_NAME]])</f>
        <v>Wickson Creek SUD</v>
      </c>
    </row>
    <row r="3158" spans="1:6" x14ac:dyDescent="0.25">
      <c r="A3158" s="303" t="s">
        <v>9720</v>
      </c>
      <c r="B3158" s="303" t="str">
        <f t="shared" si="49"/>
        <v>x08001841</v>
      </c>
      <c r="C3158" t="s">
        <v>4</v>
      </c>
      <c r="D3158" t="s">
        <v>9721</v>
      </c>
      <c r="E3158">
        <v>8</v>
      </c>
      <c r="F3158" t="str">
        <f>IF(AND(Entities[[#This Row],[ENT_TYPE]]="County",RIGHT(Entities[[#This Row],[ENT_NAME]],6)&lt;&gt;"County"),_xlfn.TEXTJOIN(" ",TRUE,Entities[[#This Row],[ENT_NAME]],"County"),Entities[[#This Row],[ENT_NAME]])</f>
        <v>Fort Bend County MUD 152</v>
      </c>
    </row>
    <row r="3159" spans="1:6" x14ac:dyDescent="0.25">
      <c r="A3159" s="303" t="s">
        <v>9722</v>
      </c>
      <c r="B3159" s="303" t="str">
        <f t="shared" si="49"/>
        <v>x08001843</v>
      </c>
      <c r="C3159" t="s">
        <v>4</v>
      </c>
      <c r="D3159" t="s">
        <v>9723</v>
      </c>
      <c r="E3159">
        <v>8</v>
      </c>
      <c r="F3159" t="str">
        <f>IF(AND(Entities[[#This Row],[ENT_TYPE]]="County",RIGHT(Entities[[#This Row],[ENT_NAME]],6)&lt;&gt;"County"),_xlfn.TEXTJOIN(" ",TRUE,Entities[[#This Row],[ENT_NAME]],"County"),Entities[[#This Row],[ENT_NAME]])</f>
        <v>Fort Bend County MUD 171</v>
      </c>
    </row>
    <row r="3160" spans="1:6" x14ac:dyDescent="0.25">
      <c r="A3160" s="303" t="s">
        <v>9724</v>
      </c>
      <c r="B3160" s="303" t="str">
        <f t="shared" si="49"/>
        <v>x08001849</v>
      </c>
      <c r="C3160" t="s">
        <v>4</v>
      </c>
      <c r="D3160" t="s">
        <v>9725</v>
      </c>
      <c r="E3160">
        <v>8</v>
      </c>
      <c r="F3160" t="str">
        <f>IF(AND(Entities[[#This Row],[ENT_TYPE]]="County",RIGHT(Entities[[#This Row],[ENT_NAME]],6)&lt;&gt;"County"),_xlfn.TEXTJOIN(" ",TRUE,Entities[[#This Row],[ENT_NAME]],"County"),Entities[[#This Row],[ENT_NAME]])</f>
        <v>Leander Todd MUD 1</v>
      </c>
    </row>
    <row r="3161" spans="1:6" x14ac:dyDescent="0.25">
      <c r="A3161" s="305" t="s">
        <v>9726</v>
      </c>
      <c r="B3161" s="303" t="str">
        <f t="shared" si="49"/>
        <v>x08001850</v>
      </c>
      <c r="C3161" t="s">
        <v>4</v>
      </c>
      <c r="D3161" t="s">
        <v>9727</v>
      </c>
      <c r="E3161">
        <v>8</v>
      </c>
      <c r="F3161" t="str">
        <f>IF(AND(Entities[[#This Row],[ENT_TYPE]]="County",RIGHT(Entities[[#This Row],[ENT_NAME]],6)&lt;&gt;"County"),_xlfn.TEXTJOIN(" ",TRUE,Entities[[#This Row],[ENT_NAME]],"County"),Entities[[#This Row],[ENT_NAME]])</f>
        <v>Rock Prairie Management District 1</v>
      </c>
    </row>
    <row r="3162" spans="1:6" x14ac:dyDescent="0.25">
      <c r="A3162" s="303" t="s">
        <v>9728</v>
      </c>
      <c r="B3162" s="303" t="str">
        <f t="shared" si="49"/>
        <v>x08001879</v>
      </c>
      <c r="C3162" t="s">
        <v>4</v>
      </c>
      <c r="D3162" t="s">
        <v>9729</v>
      </c>
      <c r="E3162">
        <v>8</v>
      </c>
      <c r="F3162" t="str">
        <f>IF(AND(Entities[[#This Row],[ENT_TYPE]]="County",RIGHT(Entities[[#This Row],[ENT_NAME]],6)&lt;&gt;"County"),_xlfn.TEXTJOIN(" ",TRUE,Entities[[#This Row],[ENT_NAME]],"County"),Entities[[#This Row],[ENT_NAME]])</f>
        <v>Fort Bend County MUD 195</v>
      </c>
    </row>
    <row r="3163" spans="1:6" x14ac:dyDescent="0.25">
      <c r="A3163" s="305" t="s">
        <v>9730</v>
      </c>
      <c r="B3163" s="303" t="str">
        <f t="shared" si="49"/>
        <v>x08001888</v>
      </c>
      <c r="C3163" t="s">
        <v>4</v>
      </c>
      <c r="D3163" t="s">
        <v>9731</v>
      </c>
      <c r="E3163">
        <v>8</v>
      </c>
      <c r="F3163" t="str">
        <f>IF(AND(Entities[[#This Row],[ENT_TYPE]]="County",RIGHT(Entities[[#This Row],[ENT_NAME]],6)&lt;&gt;"County"),_xlfn.TEXTJOIN(" ",TRUE,Entities[[#This Row],[ENT_NAME]],"County"),Entities[[#This Row],[ENT_NAME]])</f>
        <v>Fort Bend County MUD 225</v>
      </c>
    </row>
    <row r="3164" spans="1:6" x14ac:dyDescent="0.25">
      <c r="A3164" s="303" t="s">
        <v>9732</v>
      </c>
      <c r="B3164" s="303" t="str">
        <f t="shared" si="49"/>
        <v>x08001893</v>
      </c>
      <c r="C3164" t="s">
        <v>4</v>
      </c>
      <c r="D3164" t="s">
        <v>9733</v>
      </c>
      <c r="E3164">
        <v>8</v>
      </c>
      <c r="F3164" t="str">
        <f>IF(AND(Entities[[#This Row],[ENT_TYPE]]="County",RIGHT(Entities[[#This Row],[ENT_NAME]],6)&lt;&gt;"County"),_xlfn.TEXTJOIN(" ",TRUE,Entities[[#This Row],[ENT_NAME]],"County"),Entities[[#This Row],[ENT_NAME]])</f>
        <v>Fort Bend County MUD 239</v>
      </c>
    </row>
    <row r="3165" spans="1:6" x14ac:dyDescent="0.25">
      <c r="A3165" s="305" t="s">
        <v>9734</v>
      </c>
      <c r="B3165" s="303" t="str">
        <f t="shared" si="49"/>
        <v>x08001895</v>
      </c>
      <c r="C3165" t="s">
        <v>4</v>
      </c>
      <c r="D3165" t="s">
        <v>9735</v>
      </c>
      <c r="E3165">
        <v>8</v>
      </c>
      <c r="F3165" t="str">
        <f>IF(AND(Entities[[#This Row],[ENT_TYPE]]="County",RIGHT(Entities[[#This Row],[ENT_NAME]],6)&lt;&gt;"County"),_xlfn.TEXTJOIN(" ",TRUE,Entities[[#This Row],[ENT_NAME]],"County"),Entities[[#This Row],[ENT_NAME]])</f>
        <v>Fort Bend County MUD 138</v>
      </c>
    </row>
    <row r="3166" spans="1:6" x14ac:dyDescent="0.25">
      <c r="A3166" s="303" t="s">
        <v>9736</v>
      </c>
      <c r="B3166" s="303" t="str">
        <f t="shared" si="49"/>
        <v>x08001903</v>
      </c>
      <c r="C3166" t="s">
        <v>4</v>
      </c>
      <c r="D3166" t="s">
        <v>9737</v>
      </c>
      <c r="E3166">
        <v>8</v>
      </c>
      <c r="F3166" t="str">
        <f>IF(AND(Entities[[#This Row],[ENT_TYPE]]="County",RIGHT(Entities[[#This Row],[ENT_NAME]],6)&lt;&gt;"County"),_xlfn.TEXTJOIN(" ",TRUE,Entities[[#This Row],[ENT_NAME]],"County"),Entities[[#This Row],[ENT_NAME]])</f>
        <v>Brazos County MUD 1</v>
      </c>
    </row>
    <row r="3167" spans="1:6" x14ac:dyDescent="0.25">
      <c r="A3167" s="305" t="s">
        <v>9738</v>
      </c>
      <c r="B3167" s="303" t="str">
        <f t="shared" si="49"/>
        <v>x08001912</v>
      </c>
      <c r="C3167" t="s">
        <v>4</v>
      </c>
      <c r="D3167" t="s">
        <v>9739</v>
      </c>
      <c r="E3167">
        <v>8</v>
      </c>
      <c r="F3167" t="str">
        <f>IF(AND(Entities[[#This Row],[ENT_TYPE]]="County",RIGHT(Entities[[#This Row],[ENT_NAME]],6)&lt;&gt;"County"),_xlfn.TEXTJOIN(" ",TRUE,Entities[[#This Row],[ENT_NAME]],"County"),Entities[[#This Row],[ENT_NAME]])</f>
        <v>Parkside at Mayfield Ranch MUD</v>
      </c>
    </row>
    <row r="3168" spans="1:6" x14ac:dyDescent="0.25">
      <c r="A3168" s="303" t="s">
        <v>9740</v>
      </c>
      <c r="B3168" s="303" t="str">
        <f t="shared" si="49"/>
        <v>x08001918</v>
      </c>
      <c r="C3168" t="s">
        <v>4</v>
      </c>
      <c r="D3168" t="s">
        <v>9741</v>
      </c>
      <c r="E3168">
        <v>8</v>
      </c>
      <c r="F3168" t="str">
        <f>IF(AND(Entities[[#This Row],[ENT_TYPE]]="County",RIGHT(Entities[[#This Row],[ENT_NAME]],6)&lt;&gt;"County"),_xlfn.TEXTJOIN(" ",TRUE,Entities[[#This Row],[ENT_NAME]],"County"),Entities[[#This Row],[ENT_NAME]])</f>
        <v>Williamson County MUD 30</v>
      </c>
    </row>
    <row r="3169" spans="1:6" x14ac:dyDescent="0.25">
      <c r="A3169" s="303" t="s">
        <v>9742</v>
      </c>
      <c r="B3169" s="303" t="str">
        <f t="shared" si="49"/>
        <v>x08001934</v>
      </c>
      <c r="C3169" t="s">
        <v>4</v>
      </c>
      <c r="D3169" t="s">
        <v>9743</v>
      </c>
      <c r="E3169">
        <v>8</v>
      </c>
      <c r="F3169" t="str">
        <f>IF(AND(Entities[[#This Row],[ENT_TYPE]]="County",RIGHT(Entities[[#This Row],[ENT_NAME]],6)&lt;&gt;"County"),_xlfn.TEXTJOIN(" ",TRUE,Entities[[#This Row],[ENT_NAME]],"County"),Entities[[#This Row],[ENT_NAME]])</f>
        <v>Fort Bend County MUD 134E</v>
      </c>
    </row>
    <row r="3170" spans="1:6" x14ac:dyDescent="0.25">
      <c r="A3170" s="305" t="s">
        <v>9744</v>
      </c>
      <c r="B3170" s="303" t="str">
        <f t="shared" si="49"/>
        <v>x08001936</v>
      </c>
      <c r="C3170" t="s">
        <v>4</v>
      </c>
      <c r="D3170" t="s">
        <v>9745</v>
      </c>
      <c r="E3170">
        <v>8</v>
      </c>
      <c r="F3170" t="str">
        <f>IF(AND(Entities[[#This Row],[ENT_TYPE]]="County",RIGHT(Entities[[#This Row],[ENT_NAME]],6)&lt;&gt;"County"),_xlfn.TEXTJOIN(" ",TRUE,Entities[[#This Row],[ENT_NAME]],"County"),Entities[[#This Row],[ENT_NAME]])</f>
        <v>Fulshear MUD 2</v>
      </c>
    </row>
    <row r="3171" spans="1:6" x14ac:dyDescent="0.25">
      <c r="A3171" s="303" t="s">
        <v>9746</v>
      </c>
      <c r="B3171" s="303" t="str">
        <f t="shared" si="49"/>
        <v>x08001940</v>
      </c>
      <c r="C3171" t="s">
        <v>4</v>
      </c>
      <c r="D3171" t="s">
        <v>9747</v>
      </c>
      <c r="E3171">
        <v>8</v>
      </c>
      <c r="F3171" t="str">
        <f>IF(AND(Entities[[#This Row],[ENT_TYPE]]="County",RIGHT(Entities[[#This Row],[ENT_NAME]],6)&lt;&gt;"County"),_xlfn.TEXTJOIN(" ",TRUE,Entities[[#This Row],[ENT_NAME]],"County"),Entities[[#This Row],[ENT_NAME]])</f>
        <v>Fort Bend County MUD 210</v>
      </c>
    </row>
    <row r="3172" spans="1:6" x14ac:dyDescent="0.25">
      <c r="A3172" s="305" t="s">
        <v>9748</v>
      </c>
      <c r="B3172" s="303" t="str">
        <f t="shared" si="49"/>
        <v>x08001955</v>
      </c>
      <c r="C3172" t="s">
        <v>4</v>
      </c>
      <c r="D3172" t="s">
        <v>9749</v>
      </c>
      <c r="E3172">
        <v>8</v>
      </c>
      <c r="F3172" t="str">
        <f>IF(AND(Entities[[#This Row],[ENT_TYPE]]="County",RIGHT(Entities[[#This Row],[ENT_NAME]],6)&lt;&gt;"County"),_xlfn.TEXTJOIN(" ",TRUE,Entities[[#This Row],[ENT_NAME]],"County"),Entities[[#This Row],[ENT_NAME]])</f>
        <v>Sienna Plantation MUD 3</v>
      </c>
    </row>
    <row r="3173" spans="1:6" x14ac:dyDescent="0.25">
      <c r="A3173" s="303" t="s">
        <v>9750</v>
      </c>
      <c r="B3173" s="303" t="str">
        <f t="shared" si="49"/>
        <v>x08001960</v>
      </c>
      <c r="C3173" t="s">
        <v>4</v>
      </c>
      <c r="D3173" t="s">
        <v>9751</v>
      </c>
      <c r="E3173">
        <v>8</v>
      </c>
      <c r="F3173" t="str">
        <f>IF(AND(Entities[[#This Row],[ENT_TYPE]]="County",RIGHT(Entities[[#This Row],[ENT_NAME]],6)&lt;&gt;"County"),_xlfn.TEXTJOIN(" ",TRUE,Entities[[#This Row],[ENT_NAME]],"County"),Entities[[#This Row],[ENT_NAME]])</f>
        <v>Fort Bend County MUD 166</v>
      </c>
    </row>
    <row r="3174" spans="1:6" x14ac:dyDescent="0.25">
      <c r="A3174" s="305" t="s">
        <v>9752</v>
      </c>
      <c r="B3174" s="303" t="str">
        <f t="shared" si="49"/>
        <v>x08001974</v>
      </c>
      <c r="C3174" t="s">
        <v>4</v>
      </c>
      <c r="D3174" t="s">
        <v>9753</v>
      </c>
      <c r="E3174">
        <v>8</v>
      </c>
      <c r="F3174" t="str">
        <f>IF(AND(Entities[[#This Row],[ENT_TYPE]]="County",RIGHT(Entities[[#This Row],[ENT_NAME]],6)&lt;&gt;"County"),_xlfn.TEXTJOIN(" ",TRUE,Entities[[#This Row],[ENT_NAME]],"County"),Entities[[#This Row],[ENT_NAME]])</f>
        <v>Fort Bend County MUD 46</v>
      </c>
    </row>
    <row r="3175" spans="1:6" x14ac:dyDescent="0.25">
      <c r="A3175" s="305" t="s">
        <v>9754</v>
      </c>
      <c r="B3175" s="303" t="str">
        <f t="shared" si="49"/>
        <v>x08001980</v>
      </c>
      <c r="C3175" t="s">
        <v>4</v>
      </c>
      <c r="D3175" t="s">
        <v>9755</v>
      </c>
      <c r="E3175">
        <v>8</v>
      </c>
      <c r="F3175" t="str">
        <f>IF(AND(Entities[[#This Row],[ENT_TYPE]]="County",RIGHT(Entities[[#This Row],[ENT_NAME]],6)&lt;&gt;"County"),_xlfn.TEXTJOIN(" ",TRUE,Entities[[#This Row],[ENT_NAME]],"County"),Entities[[#This Row],[ENT_NAME]])</f>
        <v>First Colony MUD 9</v>
      </c>
    </row>
    <row r="3176" spans="1:6" x14ac:dyDescent="0.25">
      <c r="A3176" s="303" t="s">
        <v>9756</v>
      </c>
      <c r="B3176" s="303" t="str">
        <f t="shared" si="49"/>
        <v>x08001982</v>
      </c>
      <c r="C3176" t="s">
        <v>4</v>
      </c>
      <c r="D3176" t="s">
        <v>9757</v>
      </c>
      <c r="E3176">
        <v>8</v>
      </c>
      <c r="F3176" t="str">
        <f>IF(AND(Entities[[#This Row],[ENT_TYPE]]="County",RIGHT(Entities[[#This Row],[ENT_NAME]],6)&lt;&gt;"County"),_xlfn.TEXTJOIN(" ",TRUE,Entities[[#This Row],[ENT_NAME]],"County"),Entities[[#This Row],[ENT_NAME]])</f>
        <v>Fort Bend County MUD 149</v>
      </c>
    </row>
    <row r="3177" spans="1:6" x14ac:dyDescent="0.25">
      <c r="A3177" s="305" t="s">
        <v>9758</v>
      </c>
      <c r="B3177" s="303" t="str">
        <f t="shared" si="49"/>
        <v>x08001983</v>
      </c>
      <c r="C3177" t="s">
        <v>4</v>
      </c>
      <c r="D3177" t="s">
        <v>9759</v>
      </c>
      <c r="E3177">
        <v>8</v>
      </c>
      <c r="F3177" t="str">
        <f>IF(AND(Entities[[#This Row],[ENT_TYPE]]="County",RIGHT(Entities[[#This Row],[ENT_NAME]],6)&lt;&gt;"County"),_xlfn.TEXTJOIN(" ",TRUE,Entities[[#This Row],[ENT_NAME]],"County"),Entities[[#This Row],[ENT_NAME]])</f>
        <v>Fort Bend County MUD 233</v>
      </c>
    </row>
    <row r="3178" spans="1:6" x14ac:dyDescent="0.25">
      <c r="A3178" s="305" t="s">
        <v>9760</v>
      </c>
      <c r="B3178" s="303" t="str">
        <f t="shared" si="49"/>
        <v>x08001994</v>
      </c>
      <c r="C3178" t="s">
        <v>4</v>
      </c>
      <c r="D3178" t="s">
        <v>9761</v>
      </c>
      <c r="E3178">
        <v>8</v>
      </c>
      <c r="F3178" t="str">
        <f>IF(AND(Entities[[#This Row],[ENT_TYPE]]="County",RIGHT(Entities[[#This Row],[ENT_NAME]],6)&lt;&gt;"County"),_xlfn.TEXTJOIN(" ",TRUE,Entities[[#This Row],[ENT_NAME]],"County"),Entities[[#This Row],[ENT_NAME]])</f>
        <v>Denton County FWSD 2-B</v>
      </c>
    </row>
    <row r="3179" spans="1:6" x14ac:dyDescent="0.25">
      <c r="A3179" s="303" t="s">
        <v>9762</v>
      </c>
      <c r="B3179" s="303" t="str">
        <f t="shared" si="49"/>
        <v>x08001996</v>
      </c>
      <c r="C3179" t="s">
        <v>4</v>
      </c>
      <c r="D3179" t="s">
        <v>9763</v>
      </c>
      <c r="E3179">
        <v>8</v>
      </c>
      <c r="F3179" t="str">
        <f>IF(AND(Entities[[#This Row],[ENT_TYPE]]="County",RIGHT(Entities[[#This Row],[ENT_NAME]],6)&lt;&gt;"County"),_xlfn.TEXTJOIN(" ",TRUE,Entities[[#This Row],[ENT_NAME]],"County"),Entities[[#This Row],[ENT_NAME]])</f>
        <v>Fort Bend County WCID 8</v>
      </c>
    </row>
    <row r="3180" spans="1:6" x14ac:dyDescent="0.25">
      <c r="A3180" s="305" t="s">
        <v>9764</v>
      </c>
      <c r="B3180" s="303" t="str">
        <f t="shared" si="49"/>
        <v>x08002005</v>
      </c>
      <c r="C3180" t="s">
        <v>4</v>
      </c>
      <c r="D3180" t="s">
        <v>9765</v>
      </c>
      <c r="E3180">
        <v>8</v>
      </c>
      <c r="F3180" t="str">
        <f>IF(AND(Entities[[#This Row],[ENT_TYPE]]="County",RIGHT(Entities[[#This Row],[ENT_NAME]],6)&lt;&gt;"County"),_xlfn.TEXTJOIN(" ",TRUE,Entities[[#This Row],[ENT_NAME]],"County"),Entities[[#This Row],[ENT_NAME]])</f>
        <v>Williamson County MUD 19A</v>
      </c>
    </row>
    <row r="3181" spans="1:6" x14ac:dyDescent="0.25">
      <c r="A3181" s="303" t="s">
        <v>9766</v>
      </c>
      <c r="B3181" s="303" t="str">
        <f t="shared" si="49"/>
        <v>x08002010</v>
      </c>
      <c r="C3181" t="s">
        <v>4</v>
      </c>
      <c r="D3181" t="s">
        <v>9767</v>
      </c>
      <c r="E3181">
        <v>8</v>
      </c>
      <c r="F3181" t="str">
        <f>IF(AND(Entities[[#This Row],[ENT_TYPE]]="County",RIGHT(Entities[[#This Row],[ENT_NAME]],6)&lt;&gt;"County"),_xlfn.TEXTJOIN(" ",TRUE,Entities[[#This Row],[ENT_NAME]],"County"),Entities[[#This Row],[ENT_NAME]])</f>
        <v>Williamson County MUD 19B</v>
      </c>
    </row>
    <row r="3182" spans="1:6" x14ac:dyDescent="0.25">
      <c r="A3182" s="303" t="s">
        <v>9768</v>
      </c>
      <c r="B3182" s="303" t="str">
        <f t="shared" si="49"/>
        <v>x08002013</v>
      </c>
      <c r="C3182" t="s">
        <v>4</v>
      </c>
      <c r="D3182" t="s">
        <v>9769</v>
      </c>
      <c r="E3182">
        <v>8</v>
      </c>
      <c r="F3182" t="str">
        <f>IF(AND(Entities[[#This Row],[ENT_TYPE]]="County",RIGHT(Entities[[#This Row],[ENT_NAME]],6)&lt;&gt;"County"),_xlfn.TEXTJOIN(" ",TRUE,Entities[[#This Row],[ENT_NAME]],"County"),Entities[[#This Row],[ENT_NAME]])</f>
        <v>Northwest Williamson County MUD 2</v>
      </c>
    </row>
    <row r="3183" spans="1:6" x14ac:dyDescent="0.25">
      <c r="A3183" s="303" t="s">
        <v>9770</v>
      </c>
      <c r="B3183" s="303" t="str">
        <f t="shared" si="49"/>
        <v>x08002025</v>
      </c>
      <c r="C3183" t="s">
        <v>4</v>
      </c>
      <c r="D3183" t="s">
        <v>9771</v>
      </c>
      <c r="E3183">
        <v>8</v>
      </c>
      <c r="F3183" t="str">
        <f>IF(AND(Entities[[#This Row],[ENT_TYPE]]="County",RIGHT(Entities[[#This Row],[ENT_NAME]],6)&lt;&gt;"County"),_xlfn.TEXTJOIN(" ",TRUE,Entities[[#This Row],[ENT_NAME]],"County"),Entities[[#This Row],[ENT_NAME]])</f>
        <v>Fort Bend County LID 19</v>
      </c>
    </row>
    <row r="3184" spans="1:6" x14ac:dyDescent="0.25">
      <c r="A3184" s="303" t="s">
        <v>9772</v>
      </c>
      <c r="B3184" s="303" t="str">
        <f t="shared" si="49"/>
        <v>x08002030</v>
      </c>
      <c r="C3184" t="s">
        <v>4</v>
      </c>
      <c r="D3184" t="s">
        <v>9773</v>
      </c>
      <c r="E3184">
        <v>8</v>
      </c>
      <c r="F3184" t="str">
        <f>IF(AND(Entities[[#This Row],[ENT_TYPE]]="County",RIGHT(Entities[[#This Row],[ENT_NAME]],6)&lt;&gt;"County"),_xlfn.TEXTJOIN(" ",TRUE,Entities[[#This Row],[ENT_NAME]],"County"),Entities[[#This Row],[ENT_NAME]])</f>
        <v>Fort Bend County MUD 159</v>
      </c>
    </row>
    <row r="3185" spans="1:6" x14ac:dyDescent="0.25">
      <c r="A3185" s="305" t="s">
        <v>9774</v>
      </c>
      <c r="B3185" s="303" t="str">
        <f t="shared" si="49"/>
        <v>x08002052</v>
      </c>
      <c r="C3185" t="s">
        <v>4</v>
      </c>
      <c r="D3185" t="s">
        <v>9775</v>
      </c>
      <c r="E3185">
        <v>8</v>
      </c>
      <c r="F3185" t="str">
        <f>IF(AND(Entities[[#This Row],[ENT_TYPE]]="County",RIGHT(Entities[[#This Row],[ENT_NAME]],6)&lt;&gt;"County"),_xlfn.TEXTJOIN(" ",TRUE,Entities[[#This Row],[ENT_NAME]],"County"),Entities[[#This Row],[ENT_NAME]])</f>
        <v>Fort Bend County MUD 128</v>
      </c>
    </row>
    <row r="3186" spans="1:6" x14ac:dyDescent="0.25">
      <c r="A3186" s="303" t="s">
        <v>9776</v>
      </c>
      <c r="B3186" s="303" t="str">
        <f t="shared" si="49"/>
        <v>x08002056</v>
      </c>
      <c r="C3186" t="s">
        <v>4</v>
      </c>
      <c r="D3186" t="s">
        <v>9777</v>
      </c>
      <c r="E3186">
        <v>8</v>
      </c>
      <c r="F3186" t="str">
        <f>IF(AND(Entities[[#This Row],[ENT_TYPE]]="County",RIGHT(Entities[[#This Row],[ENT_NAME]],6)&lt;&gt;"County"),_xlfn.TEXTJOIN(" ",TRUE,Entities[[#This Row],[ENT_NAME]],"County"),Entities[[#This Row],[ENT_NAME]])</f>
        <v>Fort Bend County MUD 211</v>
      </c>
    </row>
    <row r="3187" spans="1:6" x14ac:dyDescent="0.25">
      <c r="A3187" s="305" t="s">
        <v>9778</v>
      </c>
      <c r="B3187" s="303" t="str">
        <f t="shared" si="49"/>
        <v>x08002060</v>
      </c>
      <c r="C3187" t="s">
        <v>4</v>
      </c>
      <c r="D3187" t="s">
        <v>9779</v>
      </c>
      <c r="E3187">
        <v>8</v>
      </c>
      <c r="F3187" t="str">
        <f>IF(AND(Entities[[#This Row],[ENT_TYPE]]="County",RIGHT(Entities[[#This Row],[ENT_NAME]],6)&lt;&gt;"County"),_xlfn.TEXTJOIN(" ",TRUE,Entities[[#This Row],[ENT_NAME]],"County"),Entities[[#This Row],[ENT_NAME]])</f>
        <v>Fort Bend County MUD 212</v>
      </c>
    </row>
    <row r="3188" spans="1:6" x14ac:dyDescent="0.25">
      <c r="A3188" s="303" t="s">
        <v>9780</v>
      </c>
      <c r="B3188" s="303" t="str">
        <f t="shared" si="49"/>
        <v>x08002068</v>
      </c>
      <c r="C3188" t="s">
        <v>4</v>
      </c>
      <c r="D3188" t="s">
        <v>9781</v>
      </c>
      <c r="E3188">
        <v>8</v>
      </c>
      <c r="F3188" t="str">
        <f>IF(AND(Entities[[#This Row],[ENT_TYPE]]="County",RIGHT(Entities[[#This Row],[ENT_NAME]],6)&lt;&gt;"County"),_xlfn.TEXTJOIN(" ",TRUE,Entities[[#This Row],[ENT_NAME]],"County"),Entities[[#This Row],[ENT_NAME]])</f>
        <v>Williamson County MUD 22</v>
      </c>
    </row>
    <row r="3189" spans="1:6" x14ac:dyDescent="0.25">
      <c r="A3189" s="305" t="s">
        <v>9782</v>
      </c>
      <c r="B3189" s="303" t="str">
        <f t="shared" si="49"/>
        <v>x08002071</v>
      </c>
      <c r="C3189" t="s">
        <v>4</v>
      </c>
      <c r="D3189" t="s">
        <v>9783</v>
      </c>
      <c r="E3189">
        <v>8</v>
      </c>
      <c r="F3189" t="str">
        <f>IF(AND(Entities[[#This Row],[ENT_TYPE]]="County",RIGHT(Entities[[#This Row],[ENT_NAME]],6)&lt;&gt;"County"),_xlfn.TEXTJOIN(" ",TRUE,Entities[[#This Row],[ENT_NAME]],"County"),Entities[[#This Row],[ENT_NAME]])</f>
        <v>Fort Bend County MUD 116</v>
      </c>
    </row>
    <row r="3190" spans="1:6" x14ac:dyDescent="0.25">
      <c r="A3190" s="303" t="s">
        <v>9784</v>
      </c>
      <c r="B3190" s="303" t="str">
        <f t="shared" si="49"/>
        <v>x08002085</v>
      </c>
      <c r="C3190" t="s">
        <v>4</v>
      </c>
      <c r="D3190" t="s">
        <v>9785</v>
      </c>
      <c r="E3190">
        <v>8</v>
      </c>
      <c r="F3190" t="str">
        <f>IF(AND(Entities[[#This Row],[ENT_TYPE]]="County",RIGHT(Entities[[#This Row],[ENT_NAME]],6)&lt;&gt;"County"),_xlfn.TEXTJOIN(" ",TRUE,Entities[[#This Row],[ENT_NAME]],"County"),Entities[[#This Row],[ENT_NAME]])</f>
        <v>Williamson County MUD 13</v>
      </c>
    </row>
    <row r="3191" spans="1:6" x14ac:dyDescent="0.25">
      <c r="A3191" s="305" t="s">
        <v>9786</v>
      </c>
      <c r="B3191" s="303" t="str">
        <f t="shared" si="49"/>
        <v>x08002087</v>
      </c>
      <c r="C3191" t="s">
        <v>4</v>
      </c>
      <c r="D3191" t="s">
        <v>9787</v>
      </c>
      <c r="E3191">
        <v>8</v>
      </c>
      <c r="F3191" t="str">
        <f>IF(AND(Entities[[#This Row],[ENT_TYPE]]="County",RIGHT(Entities[[#This Row],[ENT_NAME]],6)&lt;&gt;"County"),_xlfn.TEXTJOIN(" ",TRUE,Entities[[#This Row],[ENT_NAME]],"County"),Entities[[#This Row],[ENT_NAME]])</f>
        <v>Bell County MUD 2</v>
      </c>
    </row>
    <row r="3192" spans="1:6" x14ac:dyDescent="0.25">
      <c r="A3192" s="303" t="s">
        <v>9788</v>
      </c>
      <c r="B3192" s="303" t="str">
        <f t="shared" si="49"/>
        <v>x08002095</v>
      </c>
      <c r="C3192" t="s">
        <v>4</v>
      </c>
      <c r="D3192" t="s">
        <v>9789</v>
      </c>
      <c r="E3192">
        <v>8</v>
      </c>
      <c r="F3192" t="str">
        <f>IF(AND(Entities[[#This Row],[ENT_TYPE]]="County",RIGHT(Entities[[#This Row],[ENT_NAME]],6)&lt;&gt;"County"),_xlfn.TEXTJOIN(" ",TRUE,Entities[[#This Row],[ENT_NAME]],"County"),Entities[[#This Row],[ENT_NAME]])</f>
        <v>Leander MUD 2</v>
      </c>
    </row>
    <row r="3193" spans="1:6" x14ac:dyDescent="0.25">
      <c r="A3193" s="305" t="s">
        <v>9790</v>
      </c>
      <c r="B3193" s="303" t="str">
        <f t="shared" si="49"/>
        <v>x08002096</v>
      </c>
      <c r="C3193" t="s">
        <v>4</v>
      </c>
      <c r="D3193" t="s">
        <v>9791</v>
      </c>
      <c r="E3193">
        <v>8</v>
      </c>
      <c r="F3193" t="str">
        <f>IF(AND(Entities[[#This Row],[ENT_TYPE]]="County",RIGHT(Entities[[#This Row],[ENT_NAME]],6)&lt;&gt;"County"),_xlfn.TEXTJOIN(" ",TRUE,Entities[[#This Row],[ENT_NAME]],"County"),Entities[[#This Row],[ENT_NAME]])</f>
        <v>Leander MUD 1</v>
      </c>
    </row>
    <row r="3194" spans="1:6" x14ac:dyDescent="0.25">
      <c r="A3194" s="303" t="s">
        <v>9792</v>
      </c>
      <c r="B3194" s="303" t="str">
        <f t="shared" si="49"/>
        <v>x08002122</v>
      </c>
      <c r="C3194" t="s">
        <v>4</v>
      </c>
      <c r="D3194" t="s">
        <v>9793</v>
      </c>
      <c r="E3194">
        <v>8</v>
      </c>
      <c r="F3194" t="str">
        <f>IF(AND(Entities[[#This Row],[ENT_TYPE]]="County",RIGHT(Entities[[#This Row],[ENT_NAME]],6)&lt;&gt;"County"),_xlfn.TEXTJOIN(" ",TRUE,Entities[[#This Row],[ENT_NAME]],"County"),Entities[[#This Row],[ENT_NAME]])</f>
        <v>Fort Bend County LID 6</v>
      </c>
    </row>
    <row r="3195" spans="1:6" x14ac:dyDescent="0.25">
      <c r="A3195" s="305" t="s">
        <v>9794</v>
      </c>
      <c r="B3195" s="303" t="str">
        <f t="shared" si="49"/>
        <v>x08002123</v>
      </c>
      <c r="C3195" t="s">
        <v>4</v>
      </c>
      <c r="D3195" t="s">
        <v>9795</v>
      </c>
      <c r="E3195">
        <v>8</v>
      </c>
      <c r="F3195" t="str">
        <f>IF(AND(Entities[[#This Row],[ENT_TYPE]]="County",RIGHT(Entities[[#This Row],[ENT_NAME]],6)&lt;&gt;"County"),_xlfn.TEXTJOIN(" ",TRUE,Entities[[#This Row],[ENT_NAME]],"County"),Entities[[#This Row],[ENT_NAME]])</f>
        <v>Sienna Plantation MUD 10</v>
      </c>
    </row>
    <row r="3196" spans="1:6" x14ac:dyDescent="0.25">
      <c r="A3196" s="303" t="s">
        <v>9796</v>
      </c>
      <c r="B3196" s="303" t="str">
        <f t="shared" si="49"/>
        <v>x08002124</v>
      </c>
      <c r="C3196" t="s">
        <v>4</v>
      </c>
      <c r="D3196" t="s">
        <v>9797</v>
      </c>
      <c r="E3196">
        <v>8</v>
      </c>
      <c r="F3196" t="str">
        <f>IF(AND(Entities[[#This Row],[ENT_TYPE]]="County",RIGHT(Entities[[#This Row],[ENT_NAME]],6)&lt;&gt;"County"),_xlfn.TEXTJOIN(" ",TRUE,Entities[[#This Row],[ENT_NAME]],"County"),Entities[[#This Row],[ENT_NAME]])</f>
        <v>Fort Bend County MMD 1</v>
      </c>
    </row>
    <row r="3197" spans="1:6" x14ac:dyDescent="0.25">
      <c r="A3197" s="305" t="s">
        <v>9798</v>
      </c>
      <c r="B3197" s="303" t="str">
        <f t="shared" si="49"/>
        <v>x08002125</v>
      </c>
      <c r="C3197" t="s">
        <v>4</v>
      </c>
      <c r="D3197" t="s">
        <v>9799</v>
      </c>
      <c r="E3197">
        <v>8</v>
      </c>
      <c r="F3197" t="str">
        <f>IF(AND(Entities[[#This Row],[ENT_TYPE]]="County",RIGHT(Entities[[#This Row],[ENT_NAME]],6)&lt;&gt;"County"),_xlfn.TEXTJOIN(" ",TRUE,Entities[[#This Row],[ENT_NAME]],"County"),Entities[[#This Row],[ENT_NAME]])</f>
        <v>Palmera Ridge MUD</v>
      </c>
    </row>
    <row r="3198" spans="1:6" x14ac:dyDescent="0.25">
      <c r="A3198" s="303" t="s">
        <v>9800</v>
      </c>
      <c r="B3198" s="303" t="str">
        <f t="shared" si="49"/>
        <v>x08002126</v>
      </c>
      <c r="C3198" t="s">
        <v>4</v>
      </c>
      <c r="D3198" t="s">
        <v>9801</v>
      </c>
      <c r="E3198">
        <v>8</v>
      </c>
      <c r="F3198" t="str">
        <f>IF(AND(Entities[[#This Row],[ENT_TYPE]]="County",RIGHT(Entities[[#This Row],[ENT_NAME]],6)&lt;&gt;"County"),_xlfn.TEXTJOIN(" ",TRUE,Entities[[#This Row],[ENT_NAME]],"County"),Entities[[#This Row],[ENT_NAME]])</f>
        <v>Fort Bend County MUD 25</v>
      </c>
    </row>
    <row r="3199" spans="1:6" x14ac:dyDescent="0.25">
      <c r="A3199" s="303" t="s">
        <v>9802</v>
      </c>
      <c r="B3199" s="303" t="str">
        <f t="shared" si="49"/>
        <v>x08002128</v>
      </c>
      <c r="C3199" t="s">
        <v>4</v>
      </c>
      <c r="D3199" t="s">
        <v>9803</v>
      </c>
      <c r="E3199">
        <v>8</v>
      </c>
      <c r="F3199" t="str">
        <f>IF(AND(Entities[[#This Row],[ENT_TYPE]]="County",RIGHT(Entities[[#This Row],[ENT_NAME]],6)&lt;&gt;"County"),_xlfn.TEXTJOIN(" ",TRUE,Entities[[#This Row],[ENT_NAME]],"County"),Entities[[#This Row],[ENT_NAME]])</f>
        <v>Fort Bend County MUD 134 A</v>
      </c>
    </row>
    <row r="3200" spans="1:6" x14ac:dyDescent="0.25">
      <c r="A3200" s="305" t="s">
        <v>9804</v>
      </c>
      <c r="B3200" s="303" t="str">
        <f t="shared" si="49"/>
        <v>x08002143</v>
      </c>
      <c r="C3200" t="s">
        <v>4</v>
      </c>
      <c r="D3200" t="s">
        <v>9805</v>
      </c>
      <c r="E3200">
        <v>8</v>
      </c>
      <c r="F3200" t="str">
        <f>IF(AND(Entities[[#This Row],[ENT_TYPE]]="County",RIGHT(Entities[[#This Row],[ENT_NAME]],6)&lt;&gt;"County"),_xlfn.TEXTJOIN(" ",TRUE,Entities[[#This Row],[ENT_NAME]],"County"),Entities[[#This Row],[ENT_NAME]])</f>
        <v>Fort Bend County MUD 144</v>
      </c>
    </row>
    <row r="3201" spans="1:6" x14ac:dyDescent="0.25">
      <c r="A3201" s="303" t="s">
        <v>9806</v>
      </c>
      <c r="B3201" s="303" t="str">
        <f t="shared" si="49"/>
        <v>x08002147</v>
      </c>
      <c r="C3201" t="s">
        <v>4</v>
      </c>
      <c r="D3201" t="s">
        <v>9807</v>
      </c>
      <c r="E3201">
        <v>8</v>
      </c>
      <c r="F3201" t="str">
        <f>IF(AND(Entities[[#This Row],[ENT_TYPE]]="County",RIGHT(Entities[[#This Row],[ENT_NAME]],6)&lt;&gt;"County"),_xlfn.TEXTJOIN(" ",TRUE,Entities[[#This Row],[ENT_NAME]],"County"),Entities[[#This Row],[ENT_NAME]])</f>
        <v>Fort Bend County LID 10</v>
      </c>
    </row>
    <row r="3202" spans="1:6" x14ac:dyDescent="0.25">
      <c r="A3202" s="305" t="s">
        <v>9808</v>
      </c>
      <c r="B3202" s="303" t="str">
        <f t="shared" ref="B3202:B3265" si="50">_xlfn.CONCAT("x",TEXT(A3202,"00000000"))</f>
        <v>x08002155</v>
      </c>
      <c r="C3202" t="s">
        <v>4</v>
      </c>
      <c r="D3202" t="s">
        <v>9809</v>
      </c>
      <c r="E3202">
        <v>8</v>
      </c>
      <c r="F3202" t="str">
        <f>IF(AND(Entities[[#This Row],[ENT_TYPE]]="County",RIGHT(Entities[[#This Row],[ENT_NAME]],6)&lt;&gt;"County"),_xlfn.TEXTJOIN(" ",TRUE,Entities[[#This Row],[ENT_NAME]],"County"),Entities[[#This Row],[ENT_NAME]])</f>
        <v>Fort Bend County MUD 174</v>
      </c>
    </row>
    <row r="3203" spans="1:6" x14ac:dyDescent="0.25">
      <c r="A3203" s="303" t="s">
        <v>9810</v>
      </c>
      <c r="B3203" s="303" t="str">
        <f t="shared" si="50"/>
        <v>x08002156</v>
      </c>
      <c r="C3203" t="s">
        <v>4</v>
      </c>
      <c r="D3203" t="s">
        <v>9811</v>
      </c>
      <c r="E3203">
        <v>8</v>
      </c>
      <c r="F3203" t="str">
        <f>IF(AND(Entities[[#This Row],[ENT_TYPE]]="County",RIGHT(Entities[[#This Row],[ENT_NAME]],6)&lt;&gt;"County"),_xlfn.TEXTJOIN(" ",TRUE,Entities[[#This Row],[ENT_NAME]],"County"),Entities[[#This Row],[ENT_NAME]])</f>
        <v>Fort Bend County MUD 220</v>
      </c>
    </row>
    <row r="3204" spans="1:6" x14ac:dyDescent="0.25">
      <c r="A3204" s="305" t="s">
        <v>9812</v>
      </c>
      <c r="B3204" s="303" t="str">
        <f t="shared" si="50"/>
        <v>x08002179</v>
      </c>
      <c r="C3204" t="s">
        <v>4</v>
      </c>
      <c r="D3204" t="s">
        <v>9813</v>
      </c>
      <c r="E3204">
        <v>8</v>
      </c>
      <c r="F3204" t="str">
        <f>IF(AND(Entities[[#This Row],[ENT_TYPE]]="County",RIGHT(Entities[[#This Row],[ENT_NAME]],6)&lt;&gt;"County"),_xlfn.TEXTJOIN(" ",TRUE,Entities[[#This Row],[ENT_NAME]],"County"),Entities[[#This Row],[ENT_NAME]])</f>
        <v>Williamson County MUD 34</v>
      </c>
    </row>
    <row r="3205" spans="1:6" x14ac:dyDescent="0.25">
      <c r="A3205" s="303" t="s">
        <v>9814</v>
      </c>
      <c r="B3205" s="303" t="str">
        <f t="shared" si="50"/>
        <v>x08002180</v>
      </c>
      <c r="C3205" t="s">
        <v>4</v>
      </c>
      <c r="D3205" t="s">
        <v>9815</v>
      </c>
      <c r="E3205">
        <v>8</v>
      </c>
      <c r="F3205" t="str">
        <f>IF(AND(Entities[[#This Row],[ENT_TYPE]]="County",RIGHT(Entities[[#This Row],[ENT_NAME]],6)&lt;&gt;"County"),_xlfn.TEXTJOIN(" ",TRUE,Entities[[#This Row],[ENT_NAME]],"County"),Entities[[#This Row],[ENT_NAME]])</f>
        <v>Brazoria County MUD 67</v>
      </c>
    </row>
    <row r="3206" spans="1:6" x14ac:dyDescent="0.25">
      <c r="A3206" s="303" t="s">
        <v>9816</v>
      </c>
      <c r="B3206" s="303" t="str">
        <f t="shared" si="50"/>
        <v>x08002190</v>
      </c>
      <c r="C3206" t="s">
        <v>4</v>
      </c>
      <c r="D3206" t="s">
        <v>9817</v>
      </c>
      <c r="E3206">
        <v>8</v>
      </c>
      <c r="F3206" t="str">
        <f>IF(AND(Entities[[#This Row],[ENT_TYPE]]="County",RIGHT(Entities[[#This Row],[ENT_NAME]],6)&lt;&gt;"County"),_xlfn.TEXTJOIN(" ",TRUE,Entities[[#This Row],[ENT_NAME]],"County"),Entities[[#This Row],[ENT_NAME]])</f>
        <v>Cool Water MUD</v>
      </c>
    </row>
    <row r="3207" spans="1:6" x14ac:dyDescent="0.25">
      <c r="A3207" s="303" t="s">
        <v>9818</v>
      </c>
      <c r="B3207" s="303" t="str">
        <f t="shared" si="50"/>
        <v>x08002203</v>
      </c>
      <c r="C3207" t="s">
        <v>4</v>
      </c>
      <c r="D3207" t="s">
        <v>9819</v>
      </c>
      <c r="E3207">
        <v>8</v>
      </c>
      <c r="F3207" t="str">
        <f>IF(AND(Entities[[#This Row],[ENT_TYPE]]="County",RIGHT(Entities[[#This Row],[ENT_NAME]],6)&lt;&gt;"County"),_xlfn.TEXTJOIN(" ",TRUE,Entities[[#This Row],[ENT_NAME]],"County"),Entities[[#This Row],[ENT_NAME]])</f>
        <v>East Williamson County MUD 1</v>
      </c>
    </row>
    <row r="3208" spans="1:6" x14ac:dyDescent="0.25">
      <c r="A3208" s="305" t="s">
        <v>9820</v>
      </c>
      <c r="B3208" s="303" t="str">
        <f t="shared" si="50"/>
        <v>x08002204</v>
      </c>
      <c r="C3208" t="s">
        <v>4</v>
      </c>
      <c r="D3208" t="s">
        <v>9821</v>
      </c>
      <c r="E3208">
        <v>8</v>
      </c>
      <c r="F3208" t="str">
        <f>IF(AND(Entities[[#This Row],[ENT_TYPE]]="County",RIGHT(Entities[[#This Row],[ENT_NAME]],6)&lt;&gt;"County"),_xlfn.TEXTJOIN(" ",TRUE,Entities[[#This Row],[ENT_NAME]],"County"),Entities[[#This Row],[ENT_NAME]])</f>
        <v>Williamson County MUD 19</v>
      </c>
    </row>
    <row r="3209" spans="1:6" x14ac:dyDescent="0.25">
      <c r="A3209" s="303" t="s">
        <v>9822</v>
      </c>
      <c r="B3209" s="303" t="str">
        <f t="shared" si="50"/>
        <v>x08002208</v>
      </c>
      <c r="C3209" t="s">
        <v>4</v>
      </c>
      <c r="D3209" t="s">
        <v>9823</v>
      </c>
      <c r="E3209">
        <v>8</v>
      </c>
      <c r="F3209" t="str">
        <f>IF(AND(Entities[[#This Row],[ENT_TYPE]]="County",RIGHT(Entities[[#This Row],[ENT_NAME]],6)&lt;&gt;"County"),_xlfn.TEXTJOIN(" ",TRUE,Entities[[#This Row],[ENT_NAME]],"County"),Entities[[#This Row],[ENT_NAME]])</f>
        <v>Leander MUD 3</v>
      </c>
    </row>
    <row r="3210" spans="1:6" x14ac:dyDescent="0.25">
      <c r="A3210" s="303" t="s">
        <v>9824</v>
      </c>
      <c r="B3210" s="303" t="str">
        <f t="shared" si="50"/>
        <v>x08002221</v>
      </c>
      <c r="C3210" t="s">
        <v>4</v>
      </c>
      <c r="D3210" t="s">
        <v>9825</v>
      </c>
      <c r="E3210">
        <v>8</v>
      </c>
      <c r="F3210" t="str">
        <f>IF(AND(Entities[[#This Row],[ENT_TYPE]]="County",RIGHT(Entities[[#This Row],[ENT_NAME]],6)&lt;&gt;"County"),_xlfn.TEXTJOIN(" ",TRUE,Entities[[#This Row],[ENT_NAME]],"County"),Entities[[#This Row],[ENT_NAME]])</f>
        <v>Fort Bend County MUD 147</v>
      </c>
    </row>
    <row r="3211" spans="1:6" x14ac:dyDescent="0.25">
      <c r="A3211" s="305" t="s">
        <v>9826</v>
      </c>
      <c r="B3211" s="303" t="str">
        <f t="shared" si="50"/>
        <v>x08002223</v>
      </c>
      <c r="C3211" t="s">
        <v>4</v>
      </c>
      <c r="D3211" t="s">
        <v>9827</v>
      </c>
      <c r="E3211">
        <v>8</v>
      </c>
      <c r="F3211" t="str">
        <f>IF(AND(Entities[[#This Row],[ENT_TYPE]]="County",RIGHT(Entities[[#This Row],[ENT_NAME]],6)&lt;&gt;"County"),_xlfn.TEXTJOIN(" ",TRUE,Entities[[#This Row],[ENT_NAME]],"County"),Entities[[#This Row],[ENT_NAME]])</f>
        <v>Fort Bend County Management District 3</v>
      </c>
    </row>
    <row r="3212" spans="1:6" x14ac:dyDescent="0.25">
      <c r="A3212" s="305" t="s">
        <v>9828</v>
      </c>
      <c r="B3212" s="303" t="str">
        <f t="shared" si="50"/>
        <v>x08002225</v>
      </c>
      <c r="C3212" t="s">
        <v>4</v>
      </c>
      <c r="D3212" t="s">
        <v>9829</v>
      </c>
      <c r="E3212">
        <v>8</v>
      </c>
      <c r="F3212" t="str">
        <f>IF(AND(Entities[[#This Row],[ENT_TYPE]]="County",RIGHT(Entities[[#This Row],[ENT_NAME]],6)&lt;&gt;"County"),_xlfn.TEXTJOIN(" ",TRUE,Entities[[#This Row],[ENT_NAME]],"County"),Entities[[#This Row],[ENT_NAME]])</f>
        <v>Fort Bend County LID 15</v>
      </c>
    </row>
    <row r="3213" spans="1:6" x14ac:dyDescent="0.25">
      <c r="A3213" s="303" t="s">
        <v>9830</v>
      </c>
      <c r="B3213" s="303" t="str">
        <f t="shared" si="50"/>
        <v>x08002227</v>
      </c>
      <c r="C3213" t="s">
        <v>4</v>
      </c>
      <c r="D3213" t="s">
        <v>9831</v>
      </c>
      <c r="E3213">
        <v>8</v>
      </c>
      <c r="F3213" t="str">
        <f>IF(AND(Entities[[#This Row],[ENT_TYPE]]="County",RIGHT(Entities[[#This Row],[ENT_NAME]],6)&lt;&gt;"County"),_xlfn.TEXTJOIN(" ",TRUE,Entities[[#This Row],[ENT_NAME]],"County"),Entities[[#This Row],[ENT_NAME]])</f>
        <v>Fort Bend County MUD 242</v>
      </c>
    </row>
    <row r="3214" spans="1:6" x14ac:dyDescent="0.25">
      <c r="A3214" s="305" t="s">
        <v>9832</v>
      </c>
      <c r="B3214" s="303" t="str">
        <f t="shared" si="50"/>
        <v>x08002229</v>
      </c>
      <c r="C3214" t="s">
        <v>4</v>
      </c>
      <c r="D3214" t="s">
        <v>9833</v>
      </c>
      <c r="E3214">
        <v>8</v>
      </c>
      <c r="F3214" t="str">
        <f>IF(AND(Entities[[#This Row],[ENT_TYPE]]="County",RIGHT(Entities[[#This Row],[ENT_NAME]],6)&lt;&gt;"County"),_xlfn.TEXTJOIN(" ",TRUE,Entities[[#This Row],[ENT_NAME]],"County"),Entities[[#This Row],[ENT_NAME]])</f>
        <v>Fort Bend County LID 20</v>
      </c>
    </row>
    <row r="3215" spans="1:6" x14ac:dyDescent="0.25">
      <c r="A3215" s="303" t="s">
        <v>9834</v>
      </c>
      <c r="B3215" s="303" t="str">
        <f t="shared" si="50"/>
        <v>x08002233</v>
      </c>
      <c r="C3215" t="s">
        <v>4</v>
      </c>
      <c r="D3215" t="s">
        <v>9835</v>
      </c>
      <c r="E3215">
        <v>8</v>
      </c>
      <c r="F3215" t="str">
        <f>IF(AND(Entities[[#This Row],[ENT_TYPE]]="County",RIGHT(Entities[[#This Row],[ENT_NAME]],6)&lt;&gt;"County"),_xlfn.TEXTJOIN(" ",TRUE,Entities[[#This Row],[ENT_NAME]],"County"),Entities[[#This Row],[ENT_NAME]])</f>
        <v>Williamson County MUD 31</v>
      </c>
    </row>
    <row r="3216" spans="1:6" x14ac:dyDescent="0.25">
      <c r="A3216" s="305" t="s">
        <v>9836</v>
      </c>
      <c r="B3216" s="303" t="str">
        <f t="shared" si="50"/>
        <v>x08002241</v>
      </c>
      <c r="C3216" t="s">
        <v>4</v>
      </c>
      <c r="D3216" t="s">
        <v>9837</v>
      </c>
      <c r="E3216">
        <v>8</v>
      </c>
      <c r="F3216" t="str">
        <f>IF(AND(Entities[[#This Row],[ENT_TYPE]]="County",RIGHT(Entities[[#This Row],[ENT_NAME]],6)&lt;&gt;"County"),_xlfn.TEXTJOIN(" ",TRUE,Entities[[#This Row],[ENT_NAME]],"County"),Entities[[#This Row],[ENT_NAME]])</f>
        <v>Fort Bend County MUD 134 B</v>
      </c>
    </row>
    <row r="3217" spans="1:6" x14ac:dyDescent="0.25">
      <c r="A3217" s="303" t="s">
        <v>9838</v>
      </c>
      <c r="B3217" s="303" t="str">
        <f t="shared" si="50"/>
        <v>x08002249</v>
      </c>
      <c r="C3217" t="s">
        <v>4</v>
      </c>
      <c r="D3217" t="s">
        <v>9839</v>
      </c>
      <c r="E3217">
        <v>8</v>
      </c>
      <c r="F3217" t="str">
        <f>IF(AND(Entities[[#This Row],[ENT_TYPE]]="County",RIGHT(Entities[[#This Row],[ENT_NAME]],6)&lt;&gt;"County"),_xlfn.TEXTJOIN(" ",TRUE,Entities[[#This Row],[ENT_NAME]],"County"),Entities[[#This Row],[ENT_NAME]])</f>
        <v>Round Rock MUD 2</v>
      </c>
    </row>
    <row r="3218" spans="1:6" x14ac:dyDescent="0.25">
      <c r="A3218" s="305" t="s">
        <v>9840</v>
      </c>
      <c r="B3218" s="303" t="str">
        <f t="shared" si="50"/>
        <v>x08002266</v>
      </c>
      <c r="C3218" t="s">
        <v>4</v>
      </c>
      <c r="D3218" t="s">
        <v>9841</v>
      </c>
      <c r="E3218">
        <v>8</v>
      </c>
      <c r="F3218" t="str">
        <f>IF(AND(Entities[[#This Row],[ENT_TYPE]]="County",RIGHT(Entities[[#This Row],[ENT_NAME]],6)&lt;&gt;"County"),_xlfn.TEXTJOIN(" ",TRUE,Entities[[#This Row],[ENT_NAME]],"County"),Entities[[#This Row],[ENT_NAME]])</f>
        <v>Fort Bend County MUD 157</v>
      </c>
    </row>
    <row r="3219" spans="1:6" x14ac:dyDescent="0.25">
      <c r="A3219" s="303" t="s">
        <v>9842</v>
      </c>
      <c r="B3219" s="303" t="str">
        <f t="shared" si="50"/>
        <v>x08002267</v>
      </c>
      <c r="C3219" t="s">
        <v>4</v>
      </c>
      <c r="D3219" t="s">
        <v>9843</v>
      </c>
      <c r="E3219">
        <v>8</v>
      </c>
      <c r="F3219" t="str">
        <f>IF(AND(Entities[[#This Row],[ENT_TYPE]]="County",RIGHT(Entities[[#This Row],[ENT_NAME]],6)&lt;&gt;"County"),_xlfn.TEXTJOIN(" ",TRUE,Entities[[#This Row],[ENT_NAME]],"County"),Entities[[#This Row],[ENT_NAME]])</f>
        <v>Fort Bend County MMD 2</v>
      </c>
    </row>
    <row r="3220" spans="1:6" x14ac:dyDescent="0.25">
      <c r="A3220" s="305" t="s">
        <v>9844</v>
      </c>
      <c r="B3220" s="303" t="str">
        <f t="shared" si="50"/>
        <v>x08002275</v>
      </c>
      <c r="C3220" t="s">
        <v>4</v>
      </c>
      <c r="D3220" t="s">
        <v>9845</v>
      </c>
      <c r="E3220">
        <v>8</v>
      </c>
      <c r="F3220" t="str">
        <f>IF(AND(Entities[[#This Row],[ENT_TYPE]]="County",RIGHT(Entities[[#This Row],[ENT_NAME]],6)&lt;&gt;"County"),_xlfn.TEXTJOIN(" ",TRUE,Entities[[#This Row],[ENT_NAME]],"County"),Entities[[#This Row],[ENT_NAME]])</f>
        <v>Round Rock MUD 1</v>
      </c>
    </row>
    <row r="3221" spans="1:6" x14ac:dyDescent="0.25">
      <c r="A3221" s="303" t="s">
        <v>9846</v>
      </c>
      <c r="B3221" s="303" t="str">
        <f t="shared" si="50"/>
        <v>x08002289</v>
      </c>
      <c r="C3221" t="s">
        <v>4</v>
      </c>
      <c r="D3221" t="s">
        <v>9847</v>
      </c>
      <c r="E3221">
        <v>8</v>
      </c>
      <c r="F3221" t="str">
        <f>IF(AND(Entities[[#This Row],[ENT_TYPE]]="County",RIGHT(Entities[[#This Row],[ENT_NAME]],6)&lt;&gt;"County"),_xlfn.TEXTJOIN(" ",TRUE,Entities[[#This Row],[ENT_NAME]],"County"),Entities[[#This Row],[ENT_NAME]])</f>
        <v>Waller County MUD 19</v>
      </c>
    </row>
    <row r="3222" spans="1:6" x14ac:dyDescent="0.25">
      <c r="A3222" s="303" t="s">
        <v>9848</v>
      </c>
      <c r="B3222" s="303" t="str">
        <f t="shared" si="50"/>
        <v>x08002295</v>
      </c>
      <c r="C3222" t="s">
        <v>4</v>
      </c>
      <c r="D3222" t="s">
        <v>9849</v>
      </c>
      <c r="E3222">
        <v>8</v>
      </c>
      <c r="F3222" t="str">
        <f>IF(AND(Entities[[#This Row],[ENT_TYPE]]="County",RIGHT(Entities[[#This Row],[ENT_NAME]],6)&lt;&gt;"County"),_xlfn.TEXTJOIN(" ",TRUE,Entities[[#This Row],[ENT_NAME]],"County"),Entities[[#This Row],[ENT_NAME]])</f>
        <v>Fort Bend County MUD 241</v>
      </c>
    </row>
    <row r="3223" spans="1:6" x14ac:dyDescent="0.25">
      <c r="A3223" s="305" t="s">
        <v>9850</v>
      </c>
      <c r="B3223" s="303" t="str">
        <f t="shared" si="50"/>
        <v>x08002296</v>
      </c>
      <c r="C3223" t="s">
        <v>4</v>
      </c>
      <c r="D3223" t="s">
        <v>9851</v>
      </c>
      <c r="E3223">
        <v>8</v>
      </c>
      <c r="F3223" t="str">
        <f>IF(AND(Entities[[#This Row],[ENT_TYPE]]="County",RIGHT(Entities[[#This Row],[ENT_NAME]],6)&lt;&gt;"County"),_xlfn.TEXTJOIN(" ",TRUE,Entities[[#This Row],[ENT_NAME]],"County"),Entities[[#This Row],[ENT_NAME]])</f>
        <v>Fort Bend County MUD 216</v>
      </c>
    </row>
    <row r="3224" spans="1:6" x14ac:dyDescent="0.25">
      <c r="A3224" s="303" t="s">
        <v>9852</v>
      </c>
      <c r="B3224" s="303" t="str">
        <f t="shared" si="50"/>
        <v>x08002300</v>
      </c>
      <c r="C3224" t="s">
        <v>4</v>
      </c>
      <c r="D3224" t="s">
        <v>9853</v>
      </c>
      <c r="E3224">
        <v>8</v>
      </c>
      <c r="F3224" t="str">
        <f>IF(AND(Entities[[#This Row],[ENT_TYPE]]="County",RIGHT(Entities[[#This Row],[ENT_NAME]],6)&lt;&gt;"County"),_xlfn.TEXTJOIN(" ",TRUE,Entities[[#This Row],[ENT_NAME]],"County"),Entities[[#This Row],[ENT_NAME]])</f>
        <v>Orchard MUD 1</v>
      </c>
    </row>
    <row r="3225" spans="1:6" x14ac:dyDescent="0.25">
      <c r="A3225" s="305" t="s">
        <v>9854</v>
      </c>
      <c r="B3225" s="303" t="str">
        <f t="shared" si="50"/>
        <v>x08002301</v>
      </c>
      <c r="C3225" t="s">
        <v>4</v>
      </c>
      <c r="D3225" t="s">
        <v>9855</v>
      </c>
      <c r="E3225">
        <v>8</v>
      </c>
      <c r="F3225" t="str">
        <f>IF(AND(Entities[[#This Row],[ENT_TYPE]]="County",RIGHT(Entities[[#This Row],[ENT_NAME]],6)&lt;&gt;"County"),_xlfn.TEXTJOIN(" ",TRUE,Entities[[#This Row],[ENT_NAME]],"County"),Entities[[#This Row],[ENT_NAME]])</f>
        <v>Fort Bend County MUD 237</v>
      </c>
    </row>
    <row r="3226" spans="1:6" x14ac:dyDescent="0.25">
      <c r="A3226" s="303" t="s">
        <v>9856</v>
      </c>
      <c r="B3226" s="303" t="str">
        <f t="shared" si="50"/>
        <v>x08002302</v>
      </c>
      <c r="C3226" t="s">
        <v>4</v>
      </c>
      <c r="D3226" t="s">
        <v>9857</v>
      </c>
      <c r="E3226">
        <v>8</v>
      </c>
      <c r="F3226" t="str">
        <f>IF(AND(Entities[[#This Row],[ENT_TYPE]]="County",RIGHT(Entities[[#This Row],[ENT_NAME]],6)&lt;&gt;"County"),_xlfn.TEXTJOIN(" ",TRUE,Entities[[#This Row],[ENT_NAME]],"County"),Entities[[#This Row],[ENT_NAME]])</f>
        <v>Fort Bend County MUD 224</v>
      </c>
    </row>
    <row r="3227" spans="1:6" x14ac:dyDescent="0.25">
      <c r="A3227" s="303" t="s">
        <v>9858</v>
      </c>
      <c r="B3227" s="303" t="str">
        <f t="shared" si="50"/>
        <v>x08002308</v>
      </c>
      <c r="C3227" t="s">
        <v>4</v>
      </c>
      <c r="D3227" t="s">
        <v>9859</v>
      </c>
      <c r="E3227">
        <v>8</v>
      </c>
      <c r="F3227" t="str">
        <f>IF(AND(Entities[[#This Row],[ENT_TYPE]]="County",RIGHT(Entities[[#This Row],[ENT_NAME]],6)&lt;&gt;"County"),_xlfn.TEXTJOIN(" ",TRUE,Entities[[#This Row],[ENT_NAME]],"County"),Entities[[#This Row],[ENT_NAME]])</f>
        <v>Williamson County MUD 28</v>
      </c>
    </row>
    <row r="3228" spans="1:6" x14ac:dyDescent="0.25">
      <c r="A3228" s="305" t="s">
        <v>9860</v>
      </c>
      <c r="B3228" s="303" t="str">
        <f t="shared" si="50"/>
        <v>x08002316</v>
      </c>
      <c r="C3228" t="s">
        <v>4</v>
      </c>
      <c r="D3228" t="s">
        <v>9861</v>
      </c>
      <c r="E3228">
        <v>8</v>
      </c>
      <c r="F3228" t="str">
        <f>IF(AND(Entities[[#This Row],[ENT_TYPE]]="County",RIGHT(Entities[[#This Row],[ENT_NAME]],6)&lt;&gt;"County"),_xlfn.TEXTJOIN(" ",TRUE,Entities[[#This Row],[ENT_NAME]],"County"),Entities[[#This Row],[ENT_NAME]])</f>
        <v>Brazoria County MUD 76</v>
      </c>
    </row>
    <row r="3229" spans="1:6" x14ac:dyDescent="0.25">
      <c r="A3229" s="303" t="s">
        <v>9862</v>
      </c>
      <c r="B3229" s="303" t="str">
        <f t="shared" si="50"/>
        <v>x08002319</v>
      </c>
      <c r="C3229" t="s">
        <v>4</v>
      </c>
      <c r="D3229" t="s">
        <v>9863</v>
      </c>
      <c r="E3229">
        <v>8</v>
      </c>
      <c r="F3229" t="str">
        <f>IF(AND(Entities[[#This Row],[ENT_TYPE]]="County",RIGHT(Entities[[#This Row],[ENT_NAME]],6)&lt;&gt;"County"),_xlfn.TEXTJOIN(" ",TRUE,Entities[[#This Row],[ENT_NAME]],"County"),Entities[[#This Row],[ENT_NAME]])</f>
        <v>Fort Bend County MUD 229</v>
      </c>
    </row>
    <row r="3230" spans="1:6" x14ac:dyDescent="0.25">
      <c r="A3230" s="305" t="s">
        <v>9864</v>
      </c>
      <c r="B3230" s="303" t="str">
        <f t="shared" si="50"/>
        <v>x08002320</v>
      </c>
      <c r="C3230" t="s">
        <v>4</v>
      </c>
      <c r="D3230" t="s">
        <v>9865</v>
      </c>
      <c r="E3230">
        <v>8</v>
      </c>
      <c r="F3230" t="str">
        <f>IF(AND(Entities[[#This Row],[ENT_TYPE]]="County",RIGHT(Entities[[#This Row],[ENT_NAME]],6)&lt;&gt;"County"),_xlfn.TEXTJOIN(" ",TRUE,Entities[[#This Row],[ENT_NAME]],"County"),Entities[[#This Row],[ENT_NAME]])</f>
        <v>Fort Bend County MUD 240</v>
      </c>
    </row>
    <row r="3231" spans="1:6" x14ac:dyDescent="0.25">
      <c r="A3231" s="303" t="s">
        <v>9866</v>
      </c>
      <c r="B3231" s="303" t="str">
        <f t="shared" si="50"/>
        <v>x08002323</v>
      </c>
      <c r="C3231" t="s">
        <v>4</v>
      </c>
      <c r="D3231" t="s">
        <v>9867</v>
      </c>
      <c r="E3231">
        <v>8</v>
      </c>
      <c r="F3231" t="str">
        <f>IF(AND(Entities[[#This Row],[ENT_TYPE]]="County",RIGHT(Entities[[#This Row],[ENT_NAME]],6)&lt;&gt;"County"),_xlfn.TEXTJOIN(" ",TRUE,Entities[[#This Row],[ENT_NAME]],"County"),Entities[[#This Row],[ENT_NAME]])</f>
        <v>Fort Bend County MUD 234</v>
      </c>
    </row>
    <row r="3232" spans="1:6" x14ac:dyDescent="0.25">
      <c r="A3232" s="305" t="s">
        <v>9868</v>
      </c>
      <c r="B3232" s="303" t="str">
        <f t="shared" si="50"/>
        <v>x08002327</v>
      </c>
      <c r="C3232" t="s">
        <v>4</v>
      </c>
      <c r="D3232" t="s">
        <v>9869</v>
      </c>
      <c r="E3232">
        <v>8</v>
      </c>
      <c r="F3232" t="str">
        <f>IF(AND(Entities[[#This Row],[ENT_TYPE]]="County",RIGHT(Entities[[#This Row],[ENT_NAME]],6)&lt;&gt;"County"),_xlfn.TEXTJOIN(" ",TRUE,Entities[[#This Row],[ENT_NAME]],"County"),Entities[[#This Row],[ENT_NAME]])</f>
        <v>Fort Bend County MUD 162</v>
      </c>
    </row>
    <row r="3233" spans="1:6" x14ac:dyDescent="0.25">
      <c r="A3233" s="303" t="s">
        <v>9870</v>
      </c>
      <c r="B3233" s="303" t="str">
        <f t="shared" si="50"/>
        <v>x08002331</v>
      </c>
      <c r="C3233" t="s">
        <v>4</v>
      </c>
      <c r="D3233" t="s">
        <v>9871</v>
      </c>
      <c r="E3233">
        <v>8</v>
      </c>
      <c r="F3233" t="str">
        <f>IF(AND(Entities[[#This Row],[ENT_TYPE]]="County",RIGHT(Entities[[#This Row],[ENT_NAME]],6)&lt;&gt;"County"),_xlfn.TEXTJOIN(" ",TRUE,Entities[[#This Row],[ENT_NAME]],"County"),Entities[[#This Row],[ENT_NAME]])</f>
        <v>Orchard Management District 1</v>
      </c>
    </row>
    <row r="3234" spans="1:6" x14ac:dyDescent="0.25">
      <c r="A3234" s="303" t="s">
        <v>9872</v>
      </c>
      <c r="B3234" s="303" t="str">
        <f t="shared" si="50"/>
        <v>x08002345</v>
      </c>
      <c r="C3234" t="s">
        <v>4</v>
      </c>
      <c r="D3234" t="s">
        <v>9873</v>
      </c>
      <c r="E3234">
        <v>8</v>
      </c>
      <c r="F3234" t="str">
        <f>IF(AND(Entities[[#This Row],[ENT_TYPE]]="County",RIGHT(Entities[[#This Row],[ENT_NAME]],6)&lt;&gt;"County"),_xlfn.TEXTJOIN(" ",TRUE,Entities[[#This Row],[ENT_NAME]],"County"),Entities[[#This Row],[ENT_NAME]])</f>
        <v>Belmont MUD</v>
      </c>
    </row>
    <row r="3235" spans="1:6" x14ac:dyDescent="0.25">
      <c r="A3235" s="305" t="s">
        <v>9874</v>
      </c>
      <c r="B3235" s="303" t="str">
        <f t="shared" si="50"/>
        <v>x08002352</v>
      </c>
      <c r="C3235" t="s">
        <v>4</v>
      </c>
      <c r="D3235" t="s">
        <v>9875</v>
      </c>
      <c r="E3235">
        <v>8</v>
      </c>
      <c r="F3235" t="str">
        <f>IF(AND(Entities[[#This Row],[ENT_TYPE]]="County",RIGHT(Entities[[#This Row],[ENT_NAME]],6)&lt;&gt;"County"),_xlfn.TEXTJOIN(" ",TRUE,Entities[[#This Row],[ENT_NAME]],"County"),Entities[[#This Row],[ENT_NAME]])</f>
        <v>Berry Creek Highlands MUD</v>
      </c>
    </row>
    <row r="3236" spans="1:6" x14ac:dyDescent="0.25">
      <c r="A3236" s="303" t="s">
        <v>9876</v>
      </c>
      <c r="B3236" s="303" t="str">
        <f t="shared" si="50"/>
        <v>x08002359</v>
      </c>
      <c r="C3236" t="s">
        <v>4</v>
      </c>
      <c r="D3236" t="s">
        <v>9877</v>
      </c>
      <c r="E3236">
        <v>8</v>
      </c>
      <c r="F3236" t="str">
        <f>IF(AND(Entities[[#This Row],[ENT_TYPE]]="County",RIGHT(Entities[[#This Row],[ENT_NAME]],6)&lt;&gt;"County"),_xlfn.TEXTJOIN(" ",TRUE,Entities[[#This Row],[ENT_NAME]],"County"),Entities[[#This Row],[ENT_NAME]])</f>
        <v>Williamson County MUD 32</v>
      </c>
    </row>
    <row r="3237" spans="1:6" x14ac:dyDescent="0.25">
      <c r="A3237" s="305" t="s">
        <v>9878</v>
      </c>
      <c r="B3237" s="303" t="str">
        <f t="shared" si="50"/>
        <v>x08002364</v>
      </c>
      <c r="C3237" t="s">
        <v>4</v>
      </c>
      <c r="D3237" t="s">
        <v>9879</v>
      </c>
      <c r="E3237">
        <v>8</v>
      </c>
      <c r="F3237" t="str">
        <f>IF(AND(Entities[[#This Row],[ENT_TYPE]]="County",RIGHT(Entities[[#This Row],[ENT_NAME]],6)&lt;&gt;"County"),_xlfn.TEXTJOIN(" ",TRUE,Entities[[#This Row],[ENT_NAME]],"County"),Entities[[#This Row],[ENT_NAME]])</f>
        <v>Williamson County MUD 29</v>
      </c>
    </row>
    <row r="3238" spans="1:6" x14ac:dyDescent="0.25">
      <c r="A3238" s="303" t="s">
        <v>9880</v>
      </c>
      <c r="B3238" s="303" t="str">
        <f t="shared" si="50"/>
        <v>x08002366</v>
      </c>
      <c r="C3238" t="s">
        <v>4</v>
      </c>
      <c r="D3238" t="s">
        <v>9881</v>
      </c>
      <c r="E3238">
        <v>8</v>
      </c>
      <c r="F3238" t="str">
        <f>IF(AND(Entities[[#This Row],[ENT_TYPE]]="County",RIGHT(Entities[[#This Row],[ENT_NAME]],6)&lt;&gt;"County"),_xlfn.TEXTJOIN(" ",TRUE,Entities[[#This Row],[ENT_NAME]],"County"),Entities[[#This Row],[ENT_NAME]])</f>
        <v>Cresson MUD 1 of Hood County</v>
      </c>
    </row>
    <row r="3239" spans="1:6" x14ac:dyDescent="0.25">
      <c r="A3239" s="305" t="s">
        <v>9882</v>
      </c>
      <c r="B3239" s="303" t="str">
        <f t="shared" si="50"/>
        <v>x08002374</v>
      </c>
      <c r="C3239" t="s">
        <v>4</v>
      </c>
      <c r="D3239" t="s">
        <v>9883</v>
      </c>
      <c r="E3239">
        <v>8</v>
      </c>
      <c r="F3239" t="str">
        <f>IF(AND(Entities[[#This Row],[ENT_TYPE]]="County",RIGHT(Entities[[#This Row],[ENT_NAME]],6)&lt;&gt;"County"),_xlfn.TEXTJOIN(" ",TRUE,Entities[[#This Row],[ENT_NAME]],"County"),Entities[[#This Row],[ENT_NAME]])</f>
        <v>Fort Bend County MUD 235</v>
      </c>
    </row>
    <row r="3240" spans="1:6" x14ac:dyDescent="0.25">
      <c r="A3240" s="303" t="s">
        <v>9884</v>
      </c>
      <c r="B3240" s="303" t="str">
        <f t="shared" si="50"/>
        <v>x08002379</v>
      </c>
      <c r="C3240" t="s">
        <v>5458</v>
      </c>
      <c r="D3240" t="s">
        <v>9885</v>
      </c>
      <c r="E3240">
        <v>8</v>
      </c>
      <c r="F3240" t="str">
        <f>IF(AND(Entities[[#This Row],[ENT_TYPE]]="County",RIGHT(Entities[[#This Row],[ENT_NAME]],6)&lt;&gt;"County"),_xlfn.TEXTJOIN(" ",TRUE,Entities[[#This Row],[ENT_NAME]],"County"),Entities[[#This Row],[ENT_NAME]])</f>
        <v>Gorman</v>
      </c>
    </row>
    <row r="3241" spans="1:6" x14ac:dyDescent="0.25">
      <c r="A3241" s="305" t="s">
        <v>9886</v>
      </c>
      <c r="B3241" s="303" t="str">
        <f t="shared" si="50"/>
        <v>x08002380</v>
      </c>
      <c r="C3241" t="s">
        <v>5458</v>
      </c>
      <c r="D3241" t="s">
        <v>5053</v>
      </c>
      <c r="E3241">
        <v>8</v>
      </c>
      <c r="F3241" t="str">
        <f>IF(AND(Entities[[#This Row],[ENT_TYPE]]="County",RIGHT(Entities[[#This Row],[ENT_NAME]],6)&lt;&gt;"County"),_xlfn.TEXTJOIN(" ",TRUE,Entities[[#This Row],[ENT_NAME]],"County"),Entities[[#This Row],[ENT_NAME]])</f>
        <v>Comanche</v>
      </c>
    </row>
    <row r="3242" spans="1:6" x14ac:dyDescent="0.25">
      <c r="A3242" s="303" t="s">
        <v>9887</v>
      </c>
      <c r="B3242" s="303" t="str">
        <f t="shared" si="50"/>
        <v>x08002381</v>
      </c>
      <c r="C3242" t="s">
        <v>5458</v>
      </c>
      <c r="D3242" t="s">
        <v>9888</v>
      </c>
      <c r="E3242">
        <v>8</v>
      </c>
      <c r="F3242" t="str">
        <f>IF(AND(Entities[[#This Row],[ENT_TYPE]]="County",RIGHT(Entities[[#This Row],[ENT_NAME]],6)&lt;&gt;"County"),_xlfn.TEXTJOIN(" ",TRUE,Entities[[#This Row],[ENT_NAME]],"County"),Entities[[#This Row],[ENT_NAME]])</f>
        <v>Gustine</v>
      </c>
    </row>
    <row r="3243" spans="1:6" x14ac:dyDescent="0.25">
      <c r="A3243" s="305" t="s">
        <v>9889</v>
      </c>
      <c r="B3243" s="303" t="str">
        <f t="shared" si="50"/>
        <v>x08002398</v>
      </c>
      <c r="C3243" t="s">
        <v>5458</v>
      </c>
      <c r="D3243" t="s">
        <v>9890</v>
      </c>
      <c r="E3243">
        <v>8</v>
      </c>
      <c r="F3243" t="str">
        <f>IF(AND(Entities[[#This Row],[ENT_TYPE]]="County",RIGHT(Entities[[#This Row],[ENT_NAME]],6)&lt;&gt;"County"),_xlfn.TEXTJOIN(" ",TRUE,Entities[[#This Row],[ENT_NAME]],"County"),Entities[[#This Row],[ENT_NAME]])</f>
        <v>Bremond</v>
      </c>
    </row>
    <row r="3244" spans="1:6" x14ac:dyDescent="0.25">
      <c r="A3244" s="303" t="s">
        <v>9891</v>
      </c>
      <c r="B3244" s="303" t="str">
        <f t="shared" si="50"/>
        <v>x08002399</v>
      </c>
      <c r="C3244" t="s">
        <v>5458</v>
      </c>
      <c r="D3244" t="s">
        <v>9892</v>
      </c>
      <c r="E3244">
        <v>8</v>
      </c>
      <c r="F3244" t="str">
        <f>IF(AND(Entities[[#This Row],[ENT_TYPE]]="County",RIGHT(Entities[[#This Row],[ENT_NAME]],6)&lt;&gt;"County"),_xlfn.TEXTJOIN(" ",TRUE,Entities[[#This Row],[ENT_NAME]],"County"),Entities[[#This Row],[ENT_NAME]])</f>
        <v>Hearne</v>
      </c>
    </row>
    <row r="3245" spans="1:6" x14ac:dyDescent="0.25">
      <c r="A3245" s="305" t="s">
        <v>9893</v>
      </c>
      <c r="B3245" s="303" t="str">
        <f t="shared" si="50"/>
        <v>x08002407</v>
      </c>
      <c r="C3245" t="s">
        <v>5458</v>
      </c>
      <c r="D3245" t="s">
        <v>9894</v>
      </c>
      <c r="E3245">
        <v>8</v>
      </c>
      <c r="F3245" t="str">
        <f>IF(AND(Entities[[#This Row],[ENT_TYPE]]="County",RIGHT(Entities[[#This Row],[ENT_NAME]],6)&lt;&gt;"County"),_xlfn.TEXTJOIN(" ",TRUE,Entities[[#This Row],[ENT_NAME]],"County"),Entities[[#This Row],[ENT_NAME]])</f>
        <v>Carbon</v>
      </c>
    </row>
    <row r="3246" spans="1:6" x14ac:dyDescent="0.25">
      <c r="A3246" s="305" t="s">
        <v>9895</v>
      </c>
      <c r="B3246" s="303" t="str">
        <f t="shared" si="50"/>
        <v>x08002423</v>
      </c>
      <c r="C3246" t="s">
        <v>5458</v>
      </c>
      <c r="D3246" t="s">
        <v>9896</v>
      </c>
      <c r="E3246">
        <v>8</v>
      </c>
      <c r="F3246" t="str">
        <f>IF(AND(Entities[[#This Row],[ENT_TYPE]]="County",RIGHT(Entities[[#This Row],[ENT_NAME]],6)&lt;&gt;"County"),_xlfn.TEXTJOIN(" ",TRUE,Entities[[#This Row],[ENT_NAME]],"County"),Entities[[#This Row],[ENT_NAME]])</f>
        <v>Temple</v>
      </c>
    </row>
    <row r="3247" spans="1:6" x14ac:dyDescent="0.25">
      <c r="A3247" s="305" t="s">
        <v>9897</v>
      </c>
      <c r="B3247" s="303" t="str">
        <f t="shared" si="50"/>
        <v>x08002431</v>
      </c>
      <c r="C3247" t="s">
        <v>5458</v>
      </c>
      <c r="D3247" t="s">
        <v>9898</v>
      </c>
      <c r="E3247">
        <v>8</v>
      </c>
      <c r="F3247" t="str">
        <f>IF(AND(Entities[[#This Row],[ENT_TYPE]]="County",RIGHT(Entities[[#This Row],[ENT_NAME]],6)&lt;&gt;"County"),_xlfn.TEXTJOIN(" ",TRUE,Entities[[#This Row],[ENT_NAME]],"County"),Entities[[#This Row],[ENT_NAME]])</f>
        <v>Salado</v>
      </c>
    </row>
    <row r="3248" spans="1:6" x14ac:dyDescent="0.25">
      <c r="A3248" s="305" t="s">
        <v>9899</v>
      </c>
      <c r="B3248" s="303" t="str">
        <f t="shared" si="50"/>
        <v>x08002477</v>
      </c>
      <c r="C3248" t="s">
        <v>5458</v>
      </c>
      <c r="D3248" t="s">
        <v>9900</v>
      </c>
      <c r="E3248">
        <v>8</v>
      </c>
      <c r="F3248" t="str">
        <f>IF(AND(Entities[[#This Row],[ENT_TYPE]]="County",RIGHT(Entities[[#This Row],[ENT_NAME]],6)&lt;&gt;"County"),_xlfn.TEXTJOIN(" ",TRUE,Entities[[#This Row],[ENT_NAME]],"County"),Entities[[#This Row],[ENT_NAME]])</f>
        <v>Mart</v>
      </c>
    </row>
    <row r="3249" spans="1:6" x14ac:dyDescent="0.25">
      <c r="A3249" s="303" t="s">
        <v>9901</v>
      </c>
      <c r="B3249" s="303" t="str">
        <f t="shared" si="50"/>
        <v>x08002499</v>
      </c>
      <c r="C3249" t="s">
        <v>5458</v>
      </c>
      <c r="D3249" t="s">
        <v>9902</v>
      </c>
      <c r="E3249">
        <v>8</v>
      </c>
      <c r="F3249" t="str">
        <f>IF(AND(Entities[[#This Row],[ENT_TYPE]]="County",RIGHT(Entities[[#This Row],[ENT_NAME]],6)&lt;&gt;"County"),_xlfn.TEXTJOIN(" ",TRUE,Entities[[#This Row],[ENT_NAME]],"County"),Entities[[#This Row],[ENT_NAME]])</f>
        <v>Godley</v>
      </c>
    </row>
    <row r="3250" spans="1:6" x14ac:dyDescent="0.25">
      <c r="A3250" s="305" t="s">
        <v>9903</v>
      </c>
      <c r="B3250" s="303" t="str">
        <f t="shared" si="50"/>
        <v>x08002500</v>
      </c>
      <c r="C3250" t="s">
        <v>5458</v>
      </c>
      <c r="D3250" t="s">
        <v>9904</v>
      </c>
      <c r="E3250">
        <v>8</v>
      </c>
      <c r="F3250" t="str">
        <f>IF(AND(Entities[[#This Row],[ENT_TYPE]]="County",RIGHT(Entities[[#This Row],[ENT_NAME]],6)&lt;&gt;"County"),_xlfn.TEXTJOIN(" ",TRUE,Entities[[#This Row],[ENT_NAME]],"County"),Entities[[#This Row],[ENT_NAME]])</f>
        <v>Rio Vista</v>
      </c>
    </row>
    <row r="3251" spans="1:6" x14ac:dyDescent="0.25">
      <c r="A3251" s="303" t="s">
        <v>9905</v>
      </c>
      <c r="B3251" s="303" t="str">
        <f t="shared" si="50"/>
        <v>x08002515</v>
      </c>
      <c r="C3251" t="s">
        <v>5458</v>
      </c>
      <c r="D3251" t="s">
        <v>9906</v>
      </c>
      <c r="E3251">
        <v>8</v>
      </c>
      <c r="F3251" t="str">
        <f>IF(AND(Entities[[#This Row],[ENT_TYPE]]="County",RIGHT(Entities[[#This Row],[ENT_NAME]],6)&lt;&gt;"County"),_xlfn.TEXTJOIN(" ",TRUE,Entities[[#This Row],[ENT_NAME]],"County"),Entities[[#This Row],[ENT_NAME]])</f>
        <v>Richmond</v>
      </c>
    </row>
    <row r="3252" spans="1:6" x14ac:dyDescent="0.25">
      <c r="A3252" s="305" t="s">
        <v>9907</v>
      </c>
      <c r="B3252" s="303" t="str">
        <f t="shared" si="50"/>
        <v>x08002518</v>
      </c>
      <c r="C3252" t="s">
        <v>5458</v>
      </c>
      <c r="D3252" t="s">
        <v>9908</v>
      </c>
      <c r="E3252">
        <v>8</v>
      </c>
      <c r="F3252" t="str">
        <f>IF(AND(Entities[[#This Row],[ENT_TYPE]]="County",RIGHT(Entities[[#This Row],[ENT_NAME]],6)&lt;&gt;"County"),_xlfn.TEXTJOIN(" ",TRUE,Entities[[#This Row],[ENT_NAME]],"County"),Entities[[#This Row],[ENT_NAME]])</f>
        <v>De Leon</v>
      </c>
    </row>
    <row r="3253" spans="1:6" x14ac:dyDescent="0.25">
      <c r="A3253" s="303" t="s">
        <v>9909</v>
      </c>
      <c r="B3253" s="303" t="str">
        <f t="shared" si="50"/>
        <v>x08002544</v>
      </c>
      <c r="C3253" t="s">
        <v>5458</v>
      </c>
      <c r="D3253" t="s">
        <v>1772</v>
      </c>
      <c r="E3253">
        <v>8</v>
      </c>
      <c r="F3253" t="str">
        <f>IF(AND(Entities[[#This Row],[ENT_TYPE]]="County",RIGHT(Entities[[#This Row],[ENT_NAME]],6)&lt;&gt;"County"),_xlfn.TEXTJOIN(" ",TRUE,Entities[[#This Row],[ENT_NAME]],"County"),Entities[[#This Row],[ENT_NAME]])</f>
        <v>Anderson</v>
      </c>
    </row>
    <row r="3254" spans="1:6" x14ac:dyDescent="0.25">
      <c r="A3254" s="305" t="s">
        <v>9910</v>
      </c>
      <c r="B3254" s="303" t="str">
        <f t="shared" si="50"/>
        <v>x08002550</v>
      </c>
      <c r="C3254" t="s">
        <v>5458</v>
      </c>
      <c r="D3254" t="s">
        <v>9911</v>
      </c>
      <c r="E3254">
        <v>8</v>
      </c>
      <c r="F3254" t="str">
        <f>IF(AND(Entities[[#This Row],[ENT_TYPE]]="County",RIGHT(Entities[[#This Row],[ENT_NAME]],6)&lt;&gt;"County"),_xlfn.TEXTJOIN(" ",TRUE,Entities[[#This Row],[ENT_NAME]],"County"),Entities[[#This Row],[ENT_NAME]])</f>
        <v>Kempner</v>
      </c>
    </row>
    <row r="3255" spans="1:6" x14ac:dyDescent="0.25">
      <c r="A3255" s="303" t="s">
        <v>9912</v>
      </c>
      <c r="B3255" s="303" t="str">
        <f t="shared" si="50"/>
        <v>x08002559</v>
      </c>
      <c r="C3255" t="s">
        <v>5458</v>
      </c>
      <c r="D3255" t="s">
        <v>9913</v>
      </c>
      <c r="E3255">
        <v>8</v>
      </c>
      <c r="F3255" t="str">
        <f>IF(AND(Entities[[#This Row],[ENT_TYPE]]="County",RIGHT(Entities[[#This Row],[ENT_NAME]],6)&lt;&gt;"County"),_xlfn.TEXTJOIN(" ",TRUE,Entities[[#This Row],[ENT_NAME]],"County"),Entities[[#This Row],[ENT_NAME]])</f>
        <v>Mingus</v>
      </c>
    </row>
    <row r="3256" spans="1:6" x14ac:dyDescent="0.25">
      <c r="A3256" s="305" t="s">
        <v>9914</v>
      </c>
      <c r="B3256" s="303" t="str">
        <f t="shared" si="50"/>
        <v>x08002568</v>
      </c>
      <c r="C3256" t="s">
        <v>5458</v>
      </c>
      <c r="D3256" t="s">
        <v>9915</v>
      </c>
      <c r="E3256">
        <v>8</v>
      </c>
      <c r="F3256" t="str">
        <f>IF(AND(Entities[[#This Row],[ENT_TYPE]]="County",RIGHT(Entities[[#This Row],[ENT_NAME]],6)&lt;&gt;"County"),_xlfn.TEXTJOIN(" ",TRUE,Entities[[#This Row],[ENT_NAME]],"County"),Entities[[#This Row],[ENT_NAME]])</f>
        <v>Thrall</v>
      </c>
    </row>
    <row r="3257" spans="1:6" x14ac:dyDescent="0.25">
      <c r="A3257" s="303" t="s">
        <v>9916</v>
      </c>
      <c r="B3257" s="303" t="str">
        <f t="shared" si="50"/>
        <v>x08002570</v>
      </c>
      <c r="C3257" t="s">
        <v>5458</v>
      </c>
      <c r="D3257" t="s">
        <v>9917</v>
      </c>
      <c r="E3257">
        <v>8</v>
      </c>
      <c r="F3257" t="str">
        <f>IF(AND(Entities[[#This Row],[ENT_TYPE]]="County",RIGHT(Entities[[#This Row],[ENT_NAME]],6)&lt;&gt;"County"),_xlfn.TEXTJOIN(" ",TRUE,Entities[[#This Row],[ENT_NAME]],"County"),Entities[[#This Row],[ENT_NAME]])</f>
        <v>Cool</v>
      </c>
    </row>
    <row r="3258" spans="1:6" x14ac:dyDescent="0.25">
      <c r="A3258" s="305" t="s">
        <v>9918</v>
      </c>
      <c r="B3258" s="303" t="str">
        <f t="shared" si="50"/>
        <v>x08002576</v>
      </c>
      <c r="C3258" t="s">
        <v>5458</v>
      </c>
      <c r="D3258" t="s">
        <v>9919</v>
      </c>
      <c r="E3258">
        <v>8</v>
      </c>
      <c r="F3258" t="str">
        <f>IF(AND(Entities[[#This Row],[ENT_TYPE]]="County",RIGHT(Entities[[#This Row],[ENT_NAME]],6)&lt;&gt;"County"),_xlfn.TEXTJOIN(" ",TRUE,Entities[[#This Row],[ENT_NAME]],"County"),Entities[[#This Row],[ENT_NAME]])</f>
        <v>Florence</v>
      </c>
    </row>
    <row r="3259" spans="1:6" x14ac:dyDescent="0.25">
      <c r="A3259" s="303" t="s">
        <v>4926</v>
      </c>
      <c r="B3259" s="303" t="str">
        <f t="shared" si="50"/>
        <v>x08002577</v>
      </c>
      <c r="C3259" t="s">
        <v>5458</v>
      </c>
      <c r="D3259" t="s">
        <v>9920</v>
      </c>
      <c r="E3259">
        <v>8</v>
      </c>
      <c r="F3259" t="str">
        <f>IF(AND(Entities[[#This Row],[ENT_TYPE]]="County",RIGHT(Entities[[#This Row],[ENT_NAME]],6)&lt;&gt;"County"),_xlfn.TEXTJOIN(" ",TRUE,Entities[[#This Row],[ENT_NAME]],"County"),Entities[[#This Row],[ENT_NAME]])</f>
        <v>Hutto</v>
      </c>
    </row>
    <row r="3260" spans="1:6" x14ac:dyDescent="0.25">
      <c r="A3260" s="305" t="s">
        <v>4889</v>
      </c>
      <c r="B3260" s="303" t="str">
        <f t="shared" si="50"/>
        <v>x08002580</v>
      </c>
      <c r="C3260" t="s">
        <v>5458</v>
      </c>
      <c r="D3260" t="s">
        <v>9921</v>
      </c>
      <c r="E3260">
        <v>8</v>
      </c>
      <c r="F3260" t="str">
        <f>IF(AND(Entities[[#This Row],[ENT_TYPE]]="County",RIGHT(Entities[[#This Row],[ENT_NAME]],6)&lt;&gt;"County"),_xlfn.TEXTJOIN(" ",TRUE,Entities[[#This Row],[ENT_NAME]],"County"),Entities[[#This Row],[ENT_NAME]])</f>
        <v>Georgetown</v>
      </c>
    </row>
    <row r="3261" spans="1:6" x14ac:dyDescent="0.25">
      <c r="A3261" s="303" t="s">
        <v>9922</v>
      </c>
      <c r="B3261" s="303" t="str">
        <f t="shared" si="50"/>
        <v>x08002592</v>
      </c>
      <c r="C3261" t="s">
        <v>5458</v>
      </c>
      <c r="D3261" t="s">
        <v>9923</v>
      </c>
      <c r="E3261">
        <v>8</v>
      </c>
      <c r="F3261" t="str">
        <f>IF(AND(Entities[[#This Row],[ENT_TYPE]]="County",RIGHT(Entities[[#This Row],[ENT_NAME]],6)&lt;&gt;"County"),_xlfn.TEXTJOIN(" ",TRUE,Entities[[#This Row],[ENT_NAME]],"County"),Entities[[#This Row],[ENT_NAME]])</f>
        <v>Walnut Springs</v>
      </c>
    </row>
    <row r="3262" spans="1:6" x14ac:dyDescent="0.25">
      <c r="A3262" s="303" t="s">
        <v>9924</v>
      </c>
      <c r="B3262" s="303" t="str">
        <f t="shared" si="50"/>
        <v>x08002604</v>
      </c>
      <c r="C3262" t="s">
        <v>5458</v>
      </c>
      <c r="D3262" t="s">
        <v>9925</v>
      </c>
      <c r="E3262">
        <v>8</v>
      </c>
      <c r="F3262" t="str">
        <f>IF(AND(Entities[[#This Row],[ENT_TYPE]]="County",RIGHT(Entities[[#This Row],[ENT_NAME]],6)&lt;&gt;"County"),_xlfn.TEXTJOIN(" ",TRUE,Entities[[#This Row],[ENT_NAME]],"County"),Entities[[#This Row],[ENT_NAME]])</f>
        <v>Covington</v>
      </c>
    </row>
    <row r="3263" spans="1:6" x14ac:dyDescent="0.25">
      <c r="A3263" s="303" t="s">
        <v>9926</v>
      </c>
      <c r="B3263" s="303" t="str">
        <f t="shared" si="50"/>
        <v>x08002608</v>
      </c>
      <c r="C3263" t="s">
        <v>5458</v>
      </c>
      <c r="D3263" t="s">
        <v>9927</v>
      </c>
      <c r="E3263">
        <v>8</v>
      </c>
      <c r="F3263" t="str">
        <f>IF(AND(Entities[[#This Row],[ENT_TYPE]]="County",RIGHT(Entities[[#This Row],[ENT_NAME]],6)&lt;&gt;"County"),_xlfn.TEXTJOIN(" ",TRUE,Entities[[#This Row],[ENT_NAME]],"County"),Entities[[#This Row],[ENT_NAME]])</f>
        <v>Mount Calm</v>
      </c>
    </row>
    <row r="3264" spans="1:6" x14ac:dyDescent="0.25">
      <c r="A3264" s="305" t="s">
        <v>9928</v>
      </c>
      <c r="B3264" s="303" t="str">
        <f t="shared" si="50"/>
        <v>x08002610</v>
      </c>
      <c r="C3264" t="s">
        <v>5458</v>
      </c>
      <c r="D3264" t="s">
        <v>9929</v>
      </c>
      <c r="E3264">
        <v>8</v>
      </c>
      <c r="F3264" t="str">
        <f>IF(AND(Entities[[#This Row],[ENT_TYPE]]="County",RIGHT(Entities[[#This Row],[ENT_NAME]],6)&lt;&gt;"County"),_xlfn.TEXTJOIN(" ",TRUE,Entities[[#This Row],[ENT_NAME]],"County"),Entities[[#This Row],[ENT_NAME]])</f>
        <v>Whitney</v>
      </c>
    </row>
    <row r="3265" spans="1:6" x14ac:dyDescent="0.25">
      <c r="A3265" s="303" t="s">
        <v>9930</v>
      </c>
      <c r="B3265" s="303" t="str">
        <f t="shared" si="50"/>
        <v>x08002654</v>
      </c>
      <c r="C3265" t="s">
        <v>5458</v>
      </c>
      <c r="D3265" t="s">
        <v>9931</v>
      </c>
      <c r="E3265">
        <v>8</v>
      </c>
      <c r="F3265" t="str">
        <f>IF(AND(Entities[[#This Row],[ENT_TYPE]]="County",RIGHT(Entities[[#This Row],[ENT_NAME]],6)&lt;&gt;"County"),_xlfn.TEXTJOIN(" ",TRUE,Entities[[#This Row],[ENT_NAME]],"County"),Entities[[#This Row],[ENT_NAME]])</f>
        <v>Bellville</v>
      </c>
    </row>
    <row r="3266" spans="1:6" x14ac:dyDescent="0.25">
      <c r="A3266" s="303" t="s">
        <v>9932</v>
      </c>
      <c r="B3266" s="303" t="str">
        <f t="shared" ref="B3266:B3329" si="51">_xlfn.CONCAT("x",TEXT(A3266,"00000000"))</f>
        <v>x08002713</v>
      </c>
      <c r="C3266" t="s">
        <v>5458</v>
      </c>
      <c r="D3266" t="s">
        <v>9933</v>
      </c>
      <c r="E3266">
        <v>8</v>
      </c>
      <c r="F3266" t="str">
        <f>IF(AND(Entities[[#This Row],[ENT_TYPE]]="County",RIGHT(Entities[[#This Row],[ENT_NAME]],6)&lt;&gt;"County"),_xlfn.TEXTJOIN(" ",TRUE,Entities[[#This Row],[ENT_NAME]],"County"),Entities[[#This Row],[ENT_NAME]])</f>
        <v>Copperas Cove</v>
      </c>
    </row>
    <row r="3267" spans="1:6" x14ac:dyDescent="0.25">
      <c r="A3267" s="305" t="s">
        <v>9934</v>
      </c>
      <c r="B3267" s="303" t="str">
        <f t="shared" si="51"/>
        <v>x08002714</v>
      </c>
      <c r="C3267" t="s">
        <v>5458</v>
      </c>
      <c r="D3267" t="s">
        <v>9935</v>
      </c>
      <c r="E3267">
        <v>8</v>
      </c>
      <c r="F3267" t="str">
        <f>IF(AND(Entities[[#This Row],[ENT_TYPE]]="County",RIGHT(Entities[[#This Row],[ENT_NAME]],6)&lt;&gt;"County"),_xlfn.TEXTJOIN(" ",TRUE,Entities[[#This Row],[ENT_NAME]],"County"),Entities[[#This Row],[ENT_NAME]])</f>
        <v>Strawn</v>
      </c>
    </row>
    <row r="3268" spans="1:6" x14ac:dyDescent="0.25">
      <c r="A3268" s="303" t="s">
        <v>9936</v>
      </c>
      <c r="B3268" s="303" t="str">
        <f t="shared" si="51"/>
        <v>x08002723</v>
      </c>
      <c r="C3268" t="s">
        <v>5458</v>
      </c>
      <c r="D3268" t="s">
        <v>9937</v>
      </c>
      <c r="E3268">
        <v>8</v>
      </c>
      <c r="F3268" t="str">
        <f>IF(AND(Entities[[#This Row],[ENT_TYPE]]="County",RIGHT(Entities[[#This Row],[ENT_NAME]],6)&lt;&gt;"County"),_xlfn.TEXTJOIN(" ",TRUE,Entities[[#This Row],[ENT_NAME]],"County"),Entities[[#This Row],[ENT_NAME]])</f>
        <v>Golinda</v>
      </c>
    </row>
    <row r="3269" spans="1:6" x14ac:dyDescent="0.25">
      <c r="A3269" s="305" t="s">
        <v>9938</v>
      </c>
      <c r="B3269" s="303" t="str">
        <f t="shared" si="51"/>
        <v>x08002736</v>
      </c>
      <c r="C3269" t="s">
        <v>5458</v>
      </c>
      <c r="D3269" t="s">
        <v>9939</v>
      </c>
      <c r="E3269">
        <v>8</v>
      </c>
      <c r="F3269" t="str">
        <f>IF(AND(Entities[[#This Row],[ENT_TYPE]]="County",RIGHT(Entities[[#This Row],[ENT_NAME]],6)&lt;&gt;"County"),_xlfn.TEXTJOIN(" ",TRUE,Entities[[#This Row],[ENT_NAME]],"County"),Entities[[#This Row],[ENT_NAME]])</f>
        <v>Robinson</v>
      </c>
    </row>
    <row r="3270" spans="1:6" x14ac:dyDescent="0.25">
      <c r="A3270" s="303" t="s">
        <v>9940</v>
      </c>
      <c r="B3270" s="303" t="str">
        <f t="shared" si="51"/>
        <v>x08002737</v>
      </c>
      <c r="C3270" t="s">
        <v>5458</v>
      </c>
      <c r="D3270" t="s">
        <v>9941</v>
      </c>
      <c r="E3270">
        <v>8</v>
      </c>
      <c r="F3270" t="str">
        <f>IF(AND(Entities[[#This Row],[ENT_TYPE]]="County",RIGHT(Entities[[#This Row],[ENT_NAME]],6)&lt;&gt;"County"),_xlfn.TEXTJOIN(" ",TRUE,Entities[[#This Row],[ENT_NAME]],"County"),Entities[[#This Row],[ENT_NAME]])</f>
        <v>Harker Heights</v>
      </c>
    </row>
    <row r="3271" spans="1:6" x14ac:dyDescent="0.25">
      <c r="A3271" s="305" t="s">
        <v>9942</v>
      </c>
      <c r="B3271" s="303" t="str">
        <f t="shared" si="51"/>
        <v>x08002749</v>
      </c>
      <c r="C3271" t="s">
        <v>5458</v>
      </c>
      <c r="D3271" t="s">
        <v>9943</v>
      </c>
      <c r="E3271">
        <v>8</v>
      </c>
      <c r="F3271" t="str">
        <f>IF(AND(Entities[[#This Row],[ENT_TYPE]]="County",RIGHT(Entities[[#This Row],[ENT_NAME]],6)&lt;&gt;"County"),_xlfn.TEXTJOIN(" ",TRUE,Entities[[#This Row],[ENT_NAME]],"County"),Entities[[#This Row],[ENT_NAME]])</f>
        <v>Kurten</v>
      </c>
    </row>
    <row r="3272" spans="1:6" x14ac:dyDescent="0.25">
      <c r="A3272" s="305" t="s">
        <v>9944</v>
      </c>
      <c r="B3272" s="303" t="str">
        <f t="shared" si="51"/>
        <v>x08002766</v>
      </c>
      <c r="C3272" t="s">
        <v>5458</v>
      </c>
      <c r="D3272" t="s">
        <v>5057</v>
      </c>
      <c r="E3272">
        <v>8</v>
      </c>
      <c r="F3272" t="str">
        <f>IF(AND(Entities[[#This Row],[ENT_TYPE]]="County",RIGHT(Entities[[#This Row],[ENT_NAME]],6)&lt;&gt;"County"),_xlfn.TEXTJOIN(" ",TRUE,Entities[[#This Row],[ENT_NAME]],"County"),Entities[[#This Row],[ENT_NAME]])</f>
        <v>Eastland</v>
      </c>
    </row>
    <row r="3273" spans="1:6" x14ac:dyDescent="0.25">
      <c r="A3273" s="303" t="s">
        <v>9945</v>
      </c>
      <c r="B3273" s="303" t="str">
        <f t="shared" si="51"/>
        <v>x08002767</v>
      </c>
      <c r="C3273" t="s">
        <v>5458</v>
      </c>
      <c r="D3273" t="s">
        <v>9946</v>
      </c>
      <c r="E3273">
        <v>8</v>
      </c>
      <c r="F3273" t="str">
        <f>IF(AND(Entities[[#This Row],[ENT_TYPE]]="County",RIGHT(Entities[[#This Row],[ENT_NAME]],6)&lt;&gt;"County"),_xlfn.TEXTJOIN(" ",TRUE,Entities[[#This Row],[ENT_NAME]],"County"),Entities[[#This Row],[ENT_NAME]])</f>
        <v>Ranger</v>
      </c>
    </row>
    <row r="3274" spans="1:6" x14ac:dyDescent="0.25">
      <c r="A3274" s="305" t="s">
        <v>9947</v>
      </c>
      <c r="B3274" s="303" t="str">
        <f t="shared" si="51"/>
        <v>x08002783</v>
      </c>
      <c r="C3274" t="s">
        <v>5458</v>
      </c>
      <c r="D3274" t="s">
        <v>9948</v>
      </c>
      <c r="E3274">
        <v>8</v>
      </c>
      <c r="F3274" t="str">
        <f>IF(AND(Entities[[#This Row],[ENT_TYPE]]="County",RIGHT(Entities[[#This Row],[ENT_NAME]],6)&lt;&gt;"County"),_xlfn.TEXTJOIN(" ",TRUE,Entities[[#This Row],[ENT_NAME]],"County"),Entities[[#This Row],[ENT_NAME]])</f>
        <v>Clifton</v>
      </c>
    </row>
    <row r="3275" spans="1:6" x14ac:dyDescent="0.25">
      <c r="A3275" s="303" t="s">
        <v>9949</v>
      </c>
      <c r="B3275" s="303" t="str">
        <f t="shared" si="51"/>
        <v>x08002784</v>
      </c>
      <c r="C3275" t="s">
        <v>5458</v>
      </c>
      <c r="D3275" t="s">
        <v>9950</v>
      </c>
      <c r="E3275">
        <v>8</v>
      </c>
      <c r="F3275" t="str">
        <f>IF(AND(Entities[[#This Row],[ENT_TYPE]]="County",RIGHT(Entities[[#This Row],[ENT_NAME]],6)&lt;&gt;"County"),_xlfn.TEXTJOIN(" ",TRUE,Entities[[#This Row],[ENT_NAME]],"County"),Entities[[#This Row],[ENT_NAME]])</f>
        <v>Cranfills Gap</v>
      </c>
    </row>
    <row r="3276" spans="1:6" x14ac:dyDescent="0.25">
      <c r="A3276" s="305" t="s">
        <v>9951</v>
      </c>
      <c r="B3276" s="303" t="str">
        <f t="shared" si="51"/>
        <v>x08002785</v>
      </c>
      <c r="C3276" t="s">
        <v>5458</v>
      </c>
      <c r="D3276" t="s">
        <v>9952</v>
      </c>
      <c r="E3276">
        <v>8</v>
      </c>
      <c r="F3276" t="str">
        <f>IF(AND(Entities[[#This Row],[ENT_TYPE]]="County",RIGHT(Entities[[#This Row],[ENT_NAME]],6)&lt;&gt;"County"),_xlfn.TEXTJOIN(" ",TRUE,Entities[[#This Row],[ENT_NAME]],"County"),Entities[[#This Row],[ENT_NAME]])</f>
        <v>Iredell</v>
      </c>
    </row>
    <row r="3277" spans="1:6" x14ac:dyDescent="0.25">
      <c r="A3277" s="303" t="s">
        <v>9953</v>
      </c>
      <c r="B3277" s="303" t="str">
        <f t="shared" si="51"/>
        <v>x08002786</v>
      </c>
      <c r="C3277" t="s">
        <v>5458</v>
      </c>
      <c r="D3277" t="s">
        <v>9954</v>
      </c>
      <c r="E3277">
        <v>8</v>
      </c>
      <c r="F3277" t="str">
        <f>IF(AND(Entities[[#This Row],[ENT_TYPE]]="County",RIGHT(Entities[[#This Row],[ENT_NAME]],6)&lt;&gt;"County"),_xlfn.TEXTJOIN(" ",TRUE,Entities[[#This Row],[ENT_NAME]],"County"),Entities[[#This Row],[ENT_NAME]])</f>
        <v>Meridian</v>
      </c>
    </row>
    <row r="3278" spans="1:6" x14ac:dyDescent="0.25">
      <c r="A3278" s="305" t="s">
        <v>9955</v>
      </c>
      <c r="B3278" s="303" t="str">
        <f t="shared" si="51"/>
        <v>x08002787</v>
      </c>
      <c r="C3278" t="s">
        <v>5458</v>
      </c>
      <c r="D3278" t="s">
        <v>9956</v>
      </c>
      <c r="E3278">
        <v>8</v>
      </c>
      <c r="F3278" t="str">
        <f>IF(AND(Entities[[#This Row],[ENT_TYPE]]="County",RIGHT(Entities[[#This Row],[ENT_NAME]],6)&lt;&gt;"County"),_xlfn.TEXTJOIN(" ",TRUE,Entities[[#This Row],[ENT_NAME]],"County"),Entities[[#This Row],[ENT_NAME]])</f>
        <v>Valley Mills</v>
      </c>
    </row>
    <row r="3279" spans="1:6" x14ac:dyDescent="0.25">
      <c r="A3279" s="303" t="s">
        <v>9957</v>
      </c>
      <c r="B3279" s="303" t="str">
        <f t="shared" si="51"/>
        <v>x08002788</v>
      </c>
      <c r="C3279" t="s">
        <v>5458</v>
      </c>
      <c r="D3279" t="s">
        <v>9958</v>
      </c>
      <c r="E3279">
        <v>8</v>
      </c>
      <c r="F3279" t="str">
        <f>IF(AND(Entities[[#This Row],[ENT_TYPE]]="County",RIGHT(Entities[[#This Row],[ENT_NAME]],6)&lt;&gt;"County"),_xlfn.TEXTJOIN(" ",TRUE,Entities[[#This Row],[ENT_NAME]],"County"),Entities[[#This Row],[ENT_NAME]])</f>
        <v>Glen Rose</v>
      </c>
    </row>
    <row r="3280" spans="1:6" x14ac:dyDescent="0.25">
      <c r="A3280" s="303" t="s">
        <v>9959</v>
      </c>
      <c r="B3280" s="303" t="str">
        <f t="shared" si="51"/>
        <v>x08002796</v>
      </c>
      <c r="C3280" t="s">
        <v>5458</v>
      </c>
      <c r="D3280" t="s">
        <v>9960</v>
      </c>
      <c r="E3280">
        <v>8</v>
      </c>
      <c r="F3280" t="str">
        <f>IF(AND(Entities[[#This Row],[ENT_TYPE]]="County",RIGHT(Entities[[#This Row],[ENT_NAME]],6)&lt;&gt;"County"),_xlfn.TEXTJOIN(" ",TRUE,Entities[[#This Row],[ENT_NAME]],"County"),Entities[[#This Row],[ENT_NAME]])</f>
        <v>Brookshire</v>
      </c>
    </row>
    <row r="3281" spans="1:6" x14ac:dyDescent="0.25">
      <c r="A3281" s="305" t="s">
        <v>9961</v>
      </c>
      <c r="B3281" s="303" t="str">
        <f t="shared" si="51"/>
        <v>x08002805</v>
      </c>
      <c r="C3281" t="s">
        <v>5458</v>
      </c>
      <c r="D3281" t="s">
        <v>9962</v>
      </c>
      <c r="E3281">
        <v>8</v>
      </c>
      <c r="F3281" t="str">
        <f>IF(AND(Entities[[#This Row],[ENT_TYPE]]="County",RIGHT(Entities[[#This Row],[ENT_NAME]],6)&lt;&gt;"County"),_xlfn.TEXTJOIN(" ",TRUE,Entities[[#This Row],[ENT_NAME]],"County"),Entities[[#This Row],[ENT_NAME]])</f>
        <v>Abbott</v>
      </c>
    </row>
    <row r="3282" spans="1:6" x14ac:dyDescent="0.25">
      <c r="A3282" s="303" t="s">
        <v>9963</v>
      </c>
      <c r="B3282" s="303" t="str">
        <f t="shared" si="51"/>
        <v>x08002830</v>
      </c>
      <c r="C3282" t="s">
        <v>5458</v>
      </c>
      <c r="D3282" t="s">
        <v>9964</v>
      </c>
      <c r="E3282">
        <v>8</v>
      </c>
      <c r="F3282" t="str">
        <f>IF(AND(Entities[[#This Row],[ENT_TYPE]]="County",RIGHT(Entities[[#This Row],[ENT_NAME]],6)&lt;&gt;"County"),_xlfn.TEXTJOIN(" ",TRUE,Entities[[#This Row],[ENT_NAME]],"County"),Entities[[#This Row],[ENT_NAME]])</f>
        <v>Liberty Hill</v>
      </c>
    </row>
    <row r="3283" spans="1:6" x14ac:dyDescent="0.25">
      <c r="A3283" s="305" t="s">
        <v>9965</v>
      </c>
      <c r="B3283" s="303" t="str">
        <f t="shared" si="51"/>
        <v>x08002835</v>
      </c>
      <c r="C3283" t="s">
        <v>5458</v>
      </c>
      <c r="D3283" t="s">
        <v>9966</v>
      </c>
      <c r="E3283">
        <v>8</v>
      </c>
      <c r="F3283" t="str">
        <f>IF(AND(Entities[[#This Row],[ENT_TYPE]]="County",RIGHT(Entities[[#This Row],[ENT_NAME]],6)&lt;&gt;"County"),_xlfn.TEXTJOIN(" ",TRUE,Entities[[#This Row],[ENT_NAME]],"County"),Entities[[#This Row],[ENT_NAME]])</f>
        <v>Weir</v>
      </c>
    </row>
    <row r="3284" spans="1:6" x14ac:dyDescent="0.25">
      <c r="A3284" s="305" t="s">
        <v>9967</v>
      </c>
      <c r="B3284" s="303" t="str">
        <f t="shared" si="51"/>
        <v>x08002869</v>
      </c>
      <c r="C3284" t="s">
        <v>5458</v>
      </c>
      <c r="D3284" t="s">
        <v>9968</v>
      </c>
      <c r="E3284">
        <v>8</v>
      </c>
      <c r="F3284" t="str">
        <f>IF(AND(Entities[[#This Row],[ENT_TYPE]]="County",RIGHT(Entities[[#This Row],[ENT_NAME]],6)&lt;&gt;"County"),_xlfn.TEXTJOIN(" ",TRUE,Entities[[#This Row],[ENT_NAME]],"County"),Entities[[#This Row],[ENT_NAME]])</f>
        <v>Jarrell</v>
      </c>
    </row>
    <row r="3285" spans="1:6" x14ac:dyDescent="0.25">
      <c r="A3285" s="303" t="s">
        <v>9969</v>
      </c>
      <c r="B3285" s="303" t="str">
        <f t="shared" si="51"/>
        <v>x08002877</v>
      </c>
      <c r="C3285" t="s">
        <v>5458</v>
      </c>
      <c r="D3285" t="s">
        <v>9970</v>
      </c>
      <c r="E3285">
        <v>8</v>
      </c>
      <c r="F3285" t="str">
        <f>IF(AND(Entities[[#This Row],[ENT_TYPE]]="County",RIGHT(Entities[[#This Row],[ENT_NAME]],6)&lt;&gt;"County"),_xlfn.TEXTJOIN(" ",TRUE,Entities[[#This Row],[ENT_NAME]],"County"),Entities[[#This Row],[ENT_NAME]])</f>
        <v>Belton</v>
      </c>
    </row>
    <row r="3286" spans="1:6" x14ac:dyDescent="0.25">
      <c r="A3286" s="305" t="s">
        <v>9971</v>
      </c>
      <c r="B3286" s="303" t="str">
        <f t="shared" si="51"/>
        <v>x08002878</v>
      </c>
      <c r="C3286" t="s">
        <v>5458</v>
      </c>
      <c r="D3286" t="s">
        <v>9972</v>
      </c>
      <c r="E3286">
        <v>8</v>
      </c>
      <c r="F3286" t="str">
        <f>IF(AND(Entities[[#This Row],[ENT_TYPE]]="County",RIGHT(Entities[[#This Row],[ENT_NAME]],6)&lt;&gt;"County"),_xlfn.TEXTJOIN(" ",TRUE,Entities[[#This Row],[ENT_NAME]],"County"),Entities[[#This Row],[ENT_NAME]])</f>
        <v>Little River-Academy</v>
      </c>
    </row>
    <row r="3287" spans="1:6" x14ac:dyDescent="0.25">
      <c r="A3287" s="303" t="s">
        <v>9973</v>
      </c>
      <c r="B3287" s="303" t="str">
        <f t="shared" si="51"/>
        <v>x08002883</v>
      </c>
      <c r="C3287" t="s">
        <v>5458</v>
      </c>
      <c r="D3287" t="s">
        <v>9974</v>
      </c>
      <c r="E3287">
        <v>8</v>
      </c>
      <c r="F3287" t="str">
        <f>IF(AND(Entities[[#This Row],[ENT_TYPE]]="County",RIGHT(Entities[[#This Row],[ENT_NAME]],6)&lt;&gt;"County"),_xlfn.TEXTJOIN(" ",TRUE,Entities[[#This Row],[ENT_NAME]],"County"),Entities[[#This Row],[ENT_NAME]])</f>
        <v>Nolanville</v>
      </c>
    </row>
    <row r="3288" spans="1:6" x14ac:dyDescent="0.25">
      <c r="A3288" s="305" t="s">
        <v>9975</v>
      </c>
      <c r="B3288" s="303" t="str">
        <f t="shared" si="51"/>
        <v>x08002893</v>
      </c>
      <c r="C3288" t="s">
        <v>5458</v>
      </c>
      <c r="D3288" t="s">
        <v>9976</v>
      </c>
      <c r="E3288">
        <v>8</v>
      </c>
      <c r="F3288" t="str">
        <f>IF(AND(Entities[[#This Row],[ENT_TYPE]]="County",RIGHT(Entities[[#This Row],[ENT_NAME]],6)&lt;&gt;"County"),_xlfn.TEXTJOIN(" ",TRUE,Entities[[#This Row],[ENT_NAME]],"County"),Entities[[#This Row],[ENT_NAME]])</f>
        <v>Evant</v>
      </c>
    </row>
    <row r="3289" spans="1:6" x14ac:dyDescent="0.25">
      <c r="A3289" s="303" t="s">
        <v>9977</v>
      </c>
      <c r="B3289" s="303" t="str">
        <f t="shared" si="51"/>
        <v>x08002894</v>
      </c>
      <c r="C3289" t="s">
        <v>5458</v>
      </c>
      <c r="D3289" t="s">
        <v>9978</v>
      </c>
      <c r="E3289">
        <v>8</v>
      </c>
      <c r="F3289" t="str">
        <f>IF(AND(Entities[[#This Row],[ENT_TYPE]]="County",RIGHT(Entities[[#This Row],[ENT_NAME]],6)&lt;&gt;"County"),_xlfn.TEXTJOIN(" ",TRUE,Entities[[#This Row],[ENT_NAME]],"County"),Entities[[#This Row],[ENT_NAME]])</f>
        <v>South Mountain</v>
      </c>
    </row>
    <row r="3290" spans="1:6" x14ac:dyDescent="0.25">
      <c r="A3290" s="305" t="s">
        <v>9979</v>
      </c>
      <c r="B3290" s="303" t="str">
        <f t="shared" si="51"/>
        <v>x08002906</v>
      </c>
      <c r="C3290" t="s">
        <v>5458</v>
      </c>
      <c r="D3290" t="s">
        <v>9980</v>
      </c>
      <c r="E3290">
        <v>8</v>
      </c>
      <c r="F3290" t="str">
        <f>IF(AND(Entities[[#This Row],[ENT_TYPE]]="County",RIGHT(Entities[[#This Row],[ENT_NAME]],6)&lt;&gt;"County"),_xlfn.TEXTJOIN(" ",TRUE,Entities[[#This Row],[ENT_NAME]],"County"),Entities[[#This Row],[ENT_NAME]])</f>
        <v>Stephenville</v>
      </c>
    </row>
    <row r="3291" spans="1:6" x14ac:dyDescent="0.25">
      <c r="A3291" s="305" t="s">
        <v>9981</v>
      </c>
      <c r="B3291" s="303" t="str">
        <f t="shared" si="51"/>
        <v>x08002912</v>
      </c>
      <c r="C3291" t="s">
        <v>5458</v>
      </c>
      <c r="D3291" t="s">
        <v>9982</v>
      </c>
      <c r="E3291">
        <v>8</v>
      </c>
      <c r="F3291" t="str">
        <f>IF(AND(Entities[[#This Row],[ENT_TYPE]]="County",RIGHT(Entities[[#This Row],[ENT_NAME]],6)&lt;&gt;"County"),_xlfn.TEXTJOIN(" ",TRUE,Entities[[#This Row],[ENT_NAME]],"County"),Entities[[#This Row],[ENT_NAME]])</f>
        <v>Thorndale</v>
      </c>
    </row>
    <row r="3292" spans="1:6" x14ac:dyDescent="0.25">
      <c r="A3292" s="303" t="s">
        <v>9983</v>
      </c>
      <c r="B3292" s="303" t="str">
        <f t="shared" si="51"/>
        <v>x08002913</v>
      </c>
      <c r="C3292" t="s">
        <v>5458</v>
      </c>
      <c r="D3292" t="s">
        <v>9984</v>
      </c>
      <c r="E3292">
        <v>8</v>
      </c>
      <c r="F3292" t="str">
        <f>IF(AND(Entities[[#This Row],[ENT_TYPE]]="County",RIGHT(Entities[[#This Row],[ENT_NAME]],6)&lt;&gt;"County"),_xlfn.TEXTJOIN(" ",TRUE,Entities[[#This Row],[ENT_NAME]],"County"),Entities[[#This Row],[ENT_NAME]])</f>
        <v>Leroy</v>
      </c>
    </row>
    <row r="3293" spans="1:6" x14ac:dyDescent="0.25">
      <c r="A3293" s="305" t="s">
        <v>3402</v>
      </c>
      <c r="B3293" s="303" t="str">
        <f t="shared" si="51"/>
        <v>x08002914</v>
      </c>
      <c r="C3293" t="s">
        <v>5458</v>
      </c>
      <c r="D3293" t="s">
        <v>9985</v>
      </c>
      <c r="E3293">
        <v>8</v>
      </c>
      <c r="F3293" t="str">
        <f>IF(AND(Entities[[#This Row],[ENT_TYPE]]="County",RIGHT(Entities[[#This Row],[ENT_NAME]],6)&lt;&gt;"County"),_xlfn.TEXTJOIN(" ",TRUE,Entities[[#This Row],[ENT_NAME]],"County"),Entities[[#This Row],[ENT_NAME]])</f>
        <v>Waco</v>
      </c>
    </row>
    <row r="3294" spans="1:6" x14ac:dyDescent="0.25">
      <c r="A3294" s="305" t="s">
        <v>9986</v>
      </c>
      <c r="B3294" s="303" t="str">
        <f t="shared" si="51"/>
        <v>x08002922</v>
      </c>
      <c r="C3294" t="s">
        <v>5458</v>
      </c>
      <c r="D3294" t="s">
        <v>9987</v>
      </c>
      <c r="E3294">
        <v>8</v>
      </c>
      <c r="F3294" t="str">
        <f>IF(AND(Entities[[#This Row],[ENT_TYPE]]="County",RIGHT(Entities[[#This Row],[ENT_NAME]],6)&lt;&gt;"County"),_xlfn.TEXTJOIN(" ",TRUE,Entities[[#This Row],[ENT_NAME]],"County"),Entities[[#This Row],[ENT_NAME]])</f>
        <v>Fairchilds</v>
      </c>
    </row>
    <row r="3295" spans="1:6" x14ac:dyDescent="0.25">
      <c r="A3295" s="303" t="s">
        <v>9988</v>
      </c>
      <c r="B3295" s="303" t="str">
        <f t="shared" si="51"/>
        <v>x08002936</v>
      </c>
      <c r="C3295" t="s">
        <v>5458</v>
      </c>
      <c r="D3295" t="s">
        <v>9989</v>
      </c>
      <c r="E3295">
        <v>8</v>
      </c>
      <c r="F3295" t="str">
        <f>IF(AND(Entities[[#This Row],[ENT_TYPE]]="County",RIGHT(Entities[[#This Row],[ENT_NAME]],6)&lt;&gt;"County"),_xlfn.TEXTJOIN(" ",TRUE,Entities[[#This Row],[ENT_NAME]],"County"),Entities[[#This Row],[ENT_NAME]])</f>
        <v>Orchard</v>
      </c>
    </row>
    <row r="3296" spans="1:6" x14ac:dyDescent="0.25">
      <c r="A3296" s="305" t="s">
        <v>9990</v>
      </c>
      <c r="B3296" s="303" t="str">
        <f t="shared" si="51"/>
        <v>x08002937</v>
      </c>
      <c r="C3296" t="s">
        <v>5458</v>
      </c>
      <c r="D3296" t="s">
        <v>9991</v>
      </c>
      <c r="E3296">
        <v>8</v>
      </c>
      <c r="F3296" t="str">
        <f>IF(AND(Entities[[#This Row],[ENT_TYPE]]="County",RIGHT(Entities[[#This Row],[ENT_NAME]],6)&lt;&gt;"County"),_xlfn.TEXTJOIN(" ",TRUE,Entities[[#This Row],[ENT_NAME]],"County"),Entities[[#This Row],[ENT_NAME]])</f>
        <v>Pleak</v>
      </c>
    </row>
    <row r="3297" spans="1:6" x14ac:dyDescent="0.25">
      <c r="A3297" s="303" t="s">
        <v>9992</v>
      </c>
      <c r="B3297" s="303" t="str">
        <f t="shared" si="51"/>
        <v>x08002938</v>
      </c>
      <c r="C3297" t="s">
        <v>5458</v>
      </c>
      <c r="D3297" t="s">
        <v>9993</v>
      </c>
      <c r="E3297">
        <v>8</v>
      </c>
      <c r="F3297" t="str">
        <f>IF(AND(Entities[[#This Row],[ENT_TYPE]]="County",RIGHT(Entities[[#This Row],[ENT_NAME]],6)&lt;&gt;"County"),_xlfn.TEXTJOIN(" ",TRUE,Entities[[#This Row],[ENT_NAME]],"County"),Entities[[#This Row],[ENT_NAME]])</f>
        <v>Simonton</v>
      </c>
    </row>
    <row r="3298" spans="1:6" x14ac:dyDescent="0.25">
      <c r="A3298" s="305" t="s">
        <v>9994</v>
      </c>
      <c r="B3298" s="303" t="str">
        <f t="shared" si="51"/>
        <v>x08002939</v>
      </c>
      <c r="C3298" t="s">
        <v>5458</v>
      </c>
      <c r="D3298" t="s">
        <v>9995</v>
      </c>
      <c r="E3298">
        <v>8</v>
      </c>
      <c r="F3298" t="str">
        <f>IF(AND(Entities[[#This Row],[ENT_TYPE]]="County",RIGHT(Entities[[#This Row],[ENT_NAME]],6)&lt;&gt;"County"),_xlfn.TEXTJOIN(" ",TRUE,Entities[[#This Row],[ENT_NAME]],"County"),Entities[[#This Row],[ENT_NAME]])</f>
        <v>Thompsons</v>
      </c>
    </row>
    <row r="3299" spans="1:6" x14ac:dyDescent="0.25">
      <c r="A3299" s="305" t="s">
        <v>9996</v>
      </c>
      <c r="B3299" s="303" t="str">
        <f t="shared" si="51"/>
        <v>x08002947</v>
      </c>
      <c r="C3299" t="s">
        <v>5458</v>
      </c>
      <c r="D3299" t="s">
        <v>9997</v>
      </c>
      <c r="E3299">
        <v>8</v>
      </c>
      <c r="F3299" t="str">
        <f>IF(AND(Entities[[#This Row],[ENT_TYPE]]="County",RIGHT(Entities[[#This Row],[ENT_NAME]],6)&lt;&gt;"County"),_xlfn.TEXTJOIN(" ",TRUE,Entities[[#This Row],[ENT_NAME]],"County"),Entities[[#This Row],[ENT_NAME]])</f>
        <v>Kosse</v>
      </c>
    </row>
    <row r="3300" spans="1:6" x14ac:dyDescent="0.25">
      <c r="A3300" s="303" t="s">
        <v>9998</v>
      </c>
      <c r="B3300" s="303" t="str">
        <f t="shared" si="51"/>
        <v>x08002956</v>
      </c>
      <c r="C3300" t="s">
        <v>5458</v>
      </c>
      <c r="D3300" t="s">
        <v>9999</v>
      </c>
      <c r="E3300">
        <v>8</v>
      </c>
      <c r="F3300" t="str">
        <f>IF(AND(Entities[[#This Row],[ENT_TYPE]]="County",RIGHT(Entities[[#This Row],[ENT_NAME]],6)&lt;&gt;"County"),_xlfn.TEXTJOIN(" ",TRUE,Entities[[#This Row],[ENT_NAME]],"County"),Entities[[#This Row],[ENT_NAME]])</f>
        <v>Bruceville-Eddy</v>
      </c>
    </row>
    <row r="3301" spans="1:6" x14ac:dyDescent="0.25">
      <c r="A3301" s="305" t="s">
        <v>10000</v>
      </c>
      <c r="B3301" s="303" t="str">
        <f t="shared" si="51"/>
        <v>x08002957</v>
      </c>
      <c r="C3301" t="s">
        <v>5458</v>
      </c>
      <c r="D3301" t="s">
        <v>10001</v>
      </c>
      <c r="E3301">
        <v>8</v>
      </c>
      <c r="F3301" t="str">
        <f>IF(AND(Entities[[#This Row],[ENT_TYPE]]="County",RIGHT(Entities[[#This Row],[ENT_NAME]],6)&lt;&gt;"County"),_xlfn.TEXTJOIN(" ",TRUE,Entities[[#This Row],[ENT_NAME]],"County"),Entities[[#This Row],[ENT_NAME]])</f>
        <v>Lott</v>
      </c>
    </row>
    <row r="3302" spans="1:6" x14ac:dyDescent="0.25">
      <c r="A3302" s="303" t="s">
        <v>10002</v>
      </c>
      <c r="B3302" s="303" t="str">
        <f t="shared" si="51"/>
        <v>x08002976</v>
      </c>
      <c r="C3302" t="s">
        <v>5458</v>
      </c>
      <c r="D3302" t="s">
        <v>10003</v>
      </c>
      <c r="E3302">
        <v>8</v>
      </c>
      <c r="F3302" t="str">
        <f>IF(AND(Entities[[#This Row],[ENT_TYPE]]="County",RIGHT(Entities[[#This Row],[ENT_NAME]],6)&lt;&gt;"County"),_xlfn.TEXTJOIN(" ",TRUE,Entities[[#This Row],[ENT_NAME]],"County"),Entities[[#This Row],[ENT_NAME]])</f>
        <v>Granger</v>
      </c>
    </row>
    <row r="3303" spans="1:6" x14ac:dyDescent="0.25">
      <c r="A3303" s="305" t="s">
        <v>10004</v>
      </c>
      <c r="B3303" s="303" t="str">
        <f t="shared" si="51"/>
        <v>x08002979</v>
      </c>
      <c r="C3303" t="s">
        <v>5458</v>
      </c>
      <c r="D3303" t="s">
        <v>10005</v>
      </c>
      <c r="E3303">
        <v>8</v>
      </c>
      <c r="F3303" t="str">
        <f>IF(AND(Entities[[#This Row],[ENT_TYPE]]="County",RIGHT(Entities[[#This Row],[ENT_NAME]],6)&lt;&gt;"County"),_xlfn.TEXTJOIN(" ",TRUE,Entities[[#This Row],[ENT_NAME]],"County"),Entities[[#This Row],[ENT_NAME]])</f>
        <v>Hallsburg</v>
      </c>
    </row>
    <row r="3304" spans="1:6" x14ac:dyDescent="0.25">
      <c r="A3304" s="305" t="s">
        <v>10006</v>
      </c>
      <c r="B3304" s="303" t="str">
        <f t="shared" si="51"/>
        <v>x08002983</v>
      </c>
      <c r="C3304" t="s">
        <v>5458</v>
      </c>
      <c r="D3304" t="s">
        <v>10007</v>
      </c>
      <c r="E3304">
        <v>8</v>
      </c>
      <c r="F3304" t="str">
        <f>IF(AND(Entities[[#This Row],[ENT_TYPE]]="County",RIGHT(Entities[[#This Row],[ENT_NAME]],6)&lt;&gt;"County"),_xlfn.TEXTJOIN(" ",TRUE,Entities[[#This Row],[ENT_NAME]],"County"),Entities[[#This Row],[ENT_NAME]])</f>
        <v>Angleton</v>
      </c>
    </row>
    <row r="3305" spans="1:6" x14ac:dyDescent="0.25">
      <c r="A3305" s="305" t="s">
        <v>10008</v>
      </c>
      <c r="B3305" s="303" t="str">
        <f t="shared" si="51"/>
        <v>x08002990</v>
      </c>
      <c r="C3305" t="s">
        <v>5458</v>
      </c>
      <c r="D3305" t="s">
        <v>10009</v>
      </c>
      <c r="E3305">
        <v>8</v>
      </c>
      <c r="F3305" t="str">
        <f>IF(AND(Entities[[#This Row],[ENT_TYPE]]="County",RIGHT(Entities[[#This Row],[ENT_NAME]],6)&lt;&gt;"County"),_xlfn.TEXTJOIN(" ",TRUE,Entities[[#This Row],[ENT_NAME]],"County"),Entities[[#This Row],[ENT_NAME]])</f>
        <v>South Frydek</v>
      </c>
    </row>
    <row r="3306" spans="1:6" x14ac:dyDescent="0.25">
      <c r="A3306" s="303" t="s">
        <v>10010</v>
      </c>
      <c r="B3306" s="303" t="str">
        <f t="shared" si="51"/>
        <v>x08002991</v>
      </c>
      <c r="C3306" t="s">
        <v>5458</v>
      </c>
      <c r="D3306" t="s">
        <v>10011</v>
      </c>
      <c r="E3306">
        <v>8</v>
      </c>
      <c r="F3306" t="str">
        <f>IF(AND(Entities[[#This Row],[ENT_TYPE]]="County",RIGHT(Entities[[#This Row],[ENT_NAME]],6)&lt;&gt;"County"),_xlfn.TEXTJOIN(" ",TRUE,Entities[[#This Row],[ENT_NAME]],"County"),Entities[[#This Row],[ENT_NAME]])</f>
        <v>Oglesby</v>
      </c>
    </row>
    <row r="3307" spans="1:6" x14ac:dyDescent="0.25">
      <c r="A3307" s="305" t="s">
        <v>10012</v>
      </c>
      <c r="B3307" s="303" t="str">
        <f t="shared" si="51"/>
        <v>x08002994</v>
      </c>
      <c r="C3307" t="s">
        <v>5458</v>
      </c>
      <c r="D3307" t="s">
        <v>10013</v>
      </c>
      <c r="E3307">
        <v>8</v>
      </c>
      <c r="F3307" t="str">
        <f>IF(AND(Entities[[#This Row],[ENT_TYPE]]="County",RIGHT(Entities[[#This Row],[ENT_NAME]],6)&lt;&gt;"County"),_xlfn.TEXTJOIN(" ",TRUE,Entities[[#This Row],[ENT_NAME]],"County"),Entities[[#This Row],[ENT_NAME]])</f>
        <v>Clute</v>
      </c>
    </row>
    <row r="3308" spans="1:6" x14ac:dyDescent="0.25">
      <c r="A3308" s="303" t="s">
        <v>10014</v>
      </c>
      <c r="B3308" s="303" t="str">
        <f t="shared" si="51"/>
        <v>x08002995</v>
      </c>
      <c r="C3308" t="s">
        <v>5458</v>
      </c>
      <c r="D3308" t="s">
        <v>10015</v>
      </c>
      <c r="E3308">
        <v>8</v>
      </c>
      <c r="F3308" t="str">
        <f>IF(AND(Entities[[#This Row],[ENT_TYPE]]="County",RIGHT(Entities[[#This Row],[ENT_NAME]],6)&lt;&gt;"County"),_xlfn.TEXTJOIN(" ",TRUE,Entities[[#This Row],[ENT_NAME]],"County"),Entities[[#This Row],[ENT_NAME]])</f>
        <v>Holiday Lakes</v>
      </c>
    </row>
    <row r="3309" spans="1:6" x14ac:dyDescent="0.25">
      <c r="A3309" s="305" t="s">
        <v>10016</v>
      </c>
      <c r="B3309" s="303" t="str">
        <f t="shared" si="51"/>
        <v>x08002997</v>
      </c>
      <c r="C3309" t="s">
        <v>5458</v>
      </c>
      <c r="D3309" t="s">
        <v>10017</v>
      </c>
      <c r="E3309">
        <v>8</v>
      </c>
      <c r="F3309" t="str">
        <f>IF(AND(Entities[[#This Row],[ENT_TYPE]]="County",RIGHT(Entities[[#This Row],[ENT_NAME]],6)&lt;&gt;"County"),_xlfn.TEXTJOIN(" ",TRUE,Entities[[#This Row],[ENT_NAME]],"County"),Entities[[#This Row],[ENT_NAME]])</f>
        <v>Stockton Bend</v>
      </c>
    </row>
    <row r="3310" spans="1:6" x14ac:dyDescent="0.25">
      <c r="A3310" s="305" t="s">
        <v>10018</v>
      </c>
      <c r="B3310" s="303" t="str">
        <f t="shared" si="51"/>
        <v>x08003010</v>
      </c>
      <c r="C3310" t="s">
        <v>5458</v>
      </c>
      <c r="D3310" t="s">
        <v>10019</v>
      </c>
      <c r="E3310">
        <v>8</v>
      </c>
      <c r="F3310" t="str">
        <f>IF(AND(Entities[[#This Row],[ENT_TYPE]]="County",RIGHT(Entities[[#This Row],[ENT_NAME]],6)&lt;&gt;"County"),_xlfn.TEXTJOIN(" ",TRUE,Entities[[#This Row],[ENT_NAME]],"County"),Entities[[#This Row],[ENT_NAME]])</f>
        <v>Cleburne</v>
      </c>
    </row>
    <row r="3311" spans="1:6" x14ac:dyDescent="0.25">
      <c r="A3311" s="303" t="s">
        <v>10020</v>
      </c>
      <c r="B3311" s="303" t="str">
        <f t="shared" si="51"/>
        <v>x08003021</v>
      </c>
      <c r="C3311" t="s">
        <v>5458</v>
      </c>
      <c r="D3311" t="s">
        <v>10021</v>
      </c>
      <c r="E3311">
        <v>8</v>
      </c>
      <c r="F3311" t="str">
        <f>IF(AND(Entities[[#This Row],[ENT_TYPE]]="County",RIGHT(Entities[[#This Row],[ENT_NAME]],6)&lt;&gt;"County"),_xlfn.TEXTJOIN(" ",TRUE,Entities[[#This Row],[ENT_NAME]],"County"),Entities[[#This Row],[ENT_NAME]])</f>
        <v>Bailey's Prairie</v>
      </c>
    </row>
    <row r="3312" spans="1:6" x14ac:dyDescent="0.25">
      <c r="A3312" s="305" t="s">
        <v>10022</v>
      </c>
      <c r="B3312" s="303" t="str">
        <f t="shared" si="51"/>
        <v>x08003022</v>
      </c>
      <c r="C3312" t="s">
        <v>5458</v>
      </c>
      <c r="D3312" t="s">
        <v>10023</v>
      </c>
      <c r="E3312">
        <v>8</v>
      </c>
      <c r="F3312" t="str">
        <f>IF(AND(Entities[[#This Row],[ENT_TYPE]]="County",RIGHT(Entities[[#This Row],[ENT_NAME]],6)&lt;&gt;"County"),_xlfn.TEXTJOIN(" ",TRUE,Entities[[#This Row],[ENT_NAME]],"County"),Entities[[#This Row],[ENT_NAME]])</f>
        <v>Bonney</v>
      </c>
    </row>
    <row r="3313" spans="1:6" x14ac:dyDescent="0.25">
      <c r="A3313" s="305" t="s">
        <v>10024</v>
      </c>
      <c r="B3313" s="303" t="str">
        <f t="shared" si="51"/>
        <v>x08003025</v>
      </c>
      <c r="C3313" t="s">
        <v>5458</v>
      </c>
      <c r="D3313" t="s">
        <v>10025</v>
      </c>
      <c r="E3313">
        <v>8</v>
      </c>
      <c r="F3313" t="str">
        <f>IF(AND(Entities[[#This Row],[ENT_TYPE]]="County",RIGHT(Entities[[#This Row],[ENT_NAME]],6)&lt;&gt;"County"),_xlfn.TEXTJOIN(" ",TRUE,Entities[[#This Row],[ENT_NAME]],"County"),Entities[[#This Row],[ENT_NAME]])</f>
        <v>Danbury</v>
      </c>
    </row>
    <row r="3314" spans="1:6" x14ac:dyDescent="0.25">
      <c r="A3314" s="303" t="s">
        <v>10026</v>
      </c>
      <c r="B3314" s="303" t="str">
        <f t="shared" si="51"/>
        <v>x08003035</v>
      </c>
      <c r="C3314" t="s">
        <v>5458</v>
      </c>
      <c r="D3314" t="s">
        <v>10027</v>
      </c>
      <c r="E3314">
        <v>8</v>
      </c>
      <c r="F3314" t="str">
        <f>IF(AND(Entities[[#This Row],[ENT_TYPE]]="County",RIGHT(Entities[[#This Row],[ENT_NAME]],6)&lt;&gt;"County"),_xlfn.TEXTJOIN(" ",TRUE,Entities[[#This Row],[ENT_NAME]],"County"),Entities[[#This Row],[ENT_NAME]])</f>
        <v>Buckholts</v>
      </c>
    </row>
    <row r="3315" spans="1:6" x14ac:dyDescent="0.25">
      <c r="A3315" s="305" t="s">
        <v>10028</v>
      </c>
      <c r="B3315" s="303" t="str">
        <f t="shared" si="51"/>
        <v>x08003036</v>
      </c>
      <c r="C3315" t="s">
        <v>5458</v>
      </c>
      <c r="D3315" t="s">
        <v>3848</v>
      </c>
      <c r="E3315">
        <v>8</v>
      </c>
      <c r="F3315" t="str">
        <f>IF(AND(Entities[[#This Row],[ENT_TYPE]]="County",RIGHT(Entities[[#This Row],[ENT_NAME]],6)&lt;&gt;"County"),_xlfn.TEXTJOIN(" ",TRUE,Entities[[#This Row],[ENT_NAME]],"County"),Entities[[#This Row],[ENT_NAME]])</f>
        <v>Cameron</v>
      </c>
    </row>
    <row r="3316" spans="1:6" x14ac:dyDescent="0.25">
      <c r="A3316" s="303" t="s">
        <v>10029</v>
      </c>
      <c r="B3316" s="303" t="str">
        <f t="shared" si="51"/>
        <v>x08003039</v>
      </c>
      <c r="C3316" t="s">
        <v>5458</v>
      </c>
      <c r="D3316" t="s">
        <v>10030</v>
      </c>
      <c r="E3316">
        <v>8</v>
      </c>
      <c r="F3316" t="str">
        <f>IF(AND(Entities[[#This Row],[ENT_TYPE]]="County",RIGHT(Entities[[#This Row],[ENT_NAME]],6)&lt;&gt;"County"),_xlfn.TEXTJOIN(" ",TRUE,Entities[[#This Row],[ENT_NAME]],"County"),Entities[[#This Row],[ENT_NAME]])</f>
        <v>Marlin</v>
      </c>
    </row>
    <row r="3317" spans="1:6" x14ac:dyDescent="0.25">
      <c r="A3317" s="305" t="s">
        <v>10031</v>
      </c>
      <c r="B3317" s="303" t="str">
        <f t="shared" si="51"/>
        <v>x08003040</v>
      </c>
      <c r="C3317" t="s">
        <v>5458</v>
      </c>
      <c r="D3317" t="s">
        <v>10032</v>
      </c>
      <c r="E3317">
        <v>8</v>
      </c>
      <c r="F3317" t="str">
        <f>IF(AND(Entities[[#This Row],[ENT_TYPE]]="County",RIGHT(Entities[[#This Row],[ENT_NAME]],6)&lt;&gt;"County"),_xlfn.TEXTJOIN(" ",TRUE,Entities[[#This Row],[ENT_NAME]],"County"),Entities[[#This Row],[ENT_NAME]])</f>
        <v>Rosebud</v>
      </c>
    </row>
    <row r="3318" spans="1:6" x14ac:dyDescent="0.25">
      <c r="A3318" s="303" t="s">
        <v>10033</v>
      </c>
      <c r="B3318" s="303" t="str">
        <f t="shared" si="51"/>
        <v>x08003044</v>
      </c>
      <c r="C3318" t="s">
        <v>5458</v>
      </c>
      <c r="D3318" t="s">
        <v>10034</v>
      </c>
      <c r="E3318">
        <v>8</v>
      </c>
      <c r="F3318" t="str">
        <f>IF(AND(Entities[[#This Row],[ENT_TYPE]]="County",RIGHT(Entities[[#This Row],[ENT_NAME]],6)&lt;&gt;"County"),_xlfn.TEXTJOIN(" ",TRUE,Entities[[#This Row],[ENT_NAME]],"County"),Entities[[#This Row],[ENT_NAME]])</f>
        <v>Milano</v>
      </c>
    </row>
    <row r="3319" spans="1:6" x14ac:dyDescent="0.25">
      <c r="A3319" s="305" t="s">
        <v>10035</v>
      </c>
      <c r="B3319" s="303" t="str">
        <f t="shared" si="51"/>
        <v>x08003045</v>
      </c>
      <c r="C3319" t="s">
        <v>5458</v>
      </c>
      <c r="D3319" t="s">
        <v>10036</v>
      </c>
      <c r="E3319">
        <v>8</v>
      </c>
      <c r="F3319" t="str">
        <f>IF(AND(Entities[[#This Row],[ENT_TYPE]]="County",RIGHT(Entities[[#This Row],[ENT_NAME]],6)&lt;&gt;"County"),_xlfn.TEXTJOIN(" ",TRUE,Entities[[#This Row],[ENT_NAME]],"County"),Entities[[#This Row],[ENT_NAME]])</f>
        <v>Rockdale</v>
      </c>
    </row>
    <row r="3320" spans="1:6" x14ac:dyDescent="0.25">
      <c r="A3320" s="305" t="s">
        <v>10037</v>
      </c>
      <c r="B3320" s="303" t="str">
        <f t="shared" si="51"/>
        <v>x08003093</v>
      </c>
      <c r="C3320" t="s">
        <v>5458</v>
      </c>
      <c r="D3320" t="s">
        <v>10038</v>
      </c>
      <c r="E3320">
        <v>8</v>
      </c>
      <c r="F3320" t="str">
        <f>IF(AND(Entities[[#This Row],[ENT_TYPE]]="County",RIGHT(Entities[[#This Row],[ENT_NAME]],6)&lt;&gt;"County"),_xlfn.TEXTJOIN(" ",TRUE,Entities[[#This Row],[ENT_NAME]],"County"),Entities[[#This Row],[ENT_NAME]])</f>
        <v>Oyster Creek</v>
      </c>
    </row>
    <row r="3321" spans="1:6" x14ac:dyDescent="0.25">
      <c r="A3321" s="303" t="s">
        <v>10039</v>
      </c>
      <c r="B3321" s="303" t="str">
        <f t="shared" si="51"/>
        <v>x08003094</v>
      </c>
      <c r="C3321" t="s">
        <v>5458</v>
      </c>
      <c r="D3321" t="s">
        <v>10040</v>
      </c>
      <c r="E3321">
        <v>8</v>
      </c>
      <c r="F3321" t="str">
        <f>IF(AND(Entities[[#This Row],[ENT_TYPE]]="County",RIGHT(Entities[[#This Row],[ENT_NAME]],6)&lt;&gt;"County"),_xlfn.TEXTJOIN(" ",TRUE,Entities[[#This Row],[ENT_NAME]],"County"),Entities[[#This Row],[ENT_NAME]])</f>
        <v>Quintana</v>
      </c>
    </row>
    <row r="3322" spans="1:6" x14ac:dyDescent="0.25">
      <c r="A3322" s="305" t="s">
        <v>10041</v>
      </c>
      <c r="B3322" s="303" t="str">
        <f t="shared" si="51"/>
        <v>x08003097</v>
      </c>
      <c r="C3322" t="s">
        <v>5458</v>
      </c>
      <c r="D3322" t="s">
        <v>10042</v>
      </c>
      <c r="E3322">
        <v>8</v>
      </c>
      <c r="F3322" t="str">
        <f>IF(AND(Entities[[#This Row],[ENT_TYPE]]="County",RIGHT(Entities[[#This Row],[ENT_NAME]],6)&lt;&gt;"County"),_xlfn.TEXTJOIN(" ",TRUE,Entities[[#This Row],[ENT_NAME]],"County"),Entities[[#This Row],[ENT_NAME]])</f>
        <v>Richwood</v>
      </c>
    </row>
    <row r="3323" spans="1:6" x14ac:dyDescent="0.25">
      <c r="A3323" s="303" t="s">
        <v>10043</v>
      </c>
      <c r="B3323" s="303" t="str">
        <f t="shared" si="51"/>
        <v>x08003098</v>
      </c>
      <c r="C3323" t="s">
        <v>5458</v>
      </c>
      <c r="D3323" t="s">
        <v>10044</v>
      </c>
      <c r="E3323">
        <v>8</v>
      </c>
      <c r="F3323" t="str">
        <f>IF(AND(Entities[[#This Row],[ENT_TYPE]]="County",RIGHT(Entities[[#This Row],[ENT_NAME]],6)&lt;&gt;"County"),_xlfn.TEXTJOIN(" ",TRUE,Entities[[#This Row],[ENT_NAME]],"County"),Entities[[#This Row],[ENT_NAME]])</f>
        <v>Surfside Beach</v>
      </c>
    </row>
    <row r="3324" spans="1:6" x14ac:dyDescent="0.25">
      <c r="A3324" s="305" t="s">
        <v>10045</v>
      </c>
      <c r="B3324" s="303" t="str">
        <f t="shared" si="51"/>
        <v>x08003102</v>
      </c>
      <c r="C3324" t="s">
        <v>5458</v>
      </c>
      <c r="D3324" t="s">
        <v>10046</v>
      </c>
      <c r="E3324">
        <v>8</v>
      </c>
      <c r="F3324" t="str">
        <f>IF(AND(Entities[[#This Row],[ENT_TYPE]]="County",RIGHT(Entities[[#This Row],[ENT_NAME]],6)&lt;&gt;"County"),_xlfn.TEXTJOIN(" ",TRUE,Entities[[#This Row],[ENT_NAME]],"County"),Entities[[#This Row],[ENT_NAME]])</f>
        <v>Dublin</v>
      </c>
    </row>
    <row r="3325" spans="1:6" x14ac:dyDescent="0.25">
      <c r="A3325" s="303" t="s">
        <v>10047</v>
      </c>
      <c r="B3325" s="303" t="str">
        <f t="shared" si="51"/>
        <v>x08003106</v>
      </c>
      <c r="C3325" t="s">
        <v>5458</v>
      </c>
      <c r="D3325" t="s">
        <v>10048</v>
      </c>
      <c r="E3325">
        <v>8</v>
      </c>
      <c r="F3325" t="str">
        <f>IF(AND(Entities[[#This Row],[ENT_TYPE]]="County",RIGHT(Entities[[#This Row],[ENT_NAME]],6)&lt;&gt;"County"),_xlfn.TEXTJOIN(" ",TRUE,Entities[[#This Row],[ENT_NAME]],"County"),Entities[[#This Row],[ENT_NAME]])</f>
        <v>Bertram</v>
      </c>
    </row>
    <row r="3326" spans="1:6" x14ac:dyDescent="0.25">
      <c r="A3326" s="303" t="s">
        <v>10049</v>
      </c>
      <c r="B3326" s="303" t="str">
        <f t="shared" si="51"/>
        <v>x08003126</v>
      </c>
      <c r="C3326" t="s">
        <v>5458</v>
      </c>
      <c r="D3326" t="s">
        <v>10050</v>
      </c>
      <c r="E3326">
        <v>8</v>
      </c>
      <c r="F3326" t="str">
        <f>IF(AND(Entities[[#This Row],[ENT_TYPE]]="County",RIGHT(Entities[[#This Row],[ENT_NAME]],6)&lt;&gt;"County"),_xlfn.TEXTJOIN(" ",TRUE,Entities[[#This Row],[ENT_NAME]],"County"),Entities[[#This Row],[ENT_NAME]])</f>
        <v>Gordon</v>
      </c>
    </row>
    <row r="3327" spans="1:6" x14ac:dyDescent="0.25">
      <c r="A3327" s="305" t="s">
        <v>10051</v>
      </c>
      <c r="B3327" s="303" t="str">
        <f t="shared" si="51"/>
        <v>x08003133</v>
      </c>
      <c r="C3327" t="s">
        <v>5458</v>
      </c>
      <c r="D3327" t="s">
        <v>5005</v>
      </c>
      <c r="E3327">
        <v>8</v>
      </c>
      <c r="F3327" t="str">
        <f>IF(AND(Entities[[#This Row],[ENT_TYPE]]="County",RIGHT(Entities[[#This Row],[ENT_NAME]],6)&lt;&gt;"County"),_xlfn.TEXTJOIN(" ",TRUE,Entities[[#This Row],[ENT_NAME]],"County"),Entities[[#This Row],[ENT_NAME]])</f>
        <v>Lampasas</v>
      </c>
    </row>
    <row r="3328" spans="1:6" x14ac:dyDescent="0.25">
      <c r="A3328" s="303" t="s">
        <v>10052</v>
      </c>
      <c r="B3328" s="303" t="str">
        <f t="shared" si="51"/>
        <v>x08003137</v>
      </c>
      <c r="C3328" t="s">
        <v>5458</v>
      </c>
      <c r="D3328" t="s">
        <v>10053</v>
      </c>
      <c r="E3328">
        <v>8</v>
      </c>
      <c r="F3328" t="str">
        <f>IF(AND(Entities[[#This Row],[ENT_TYPE]]="County",RIGHT(Entities[[#This Row],[ENT_NAME]],6)&lt;&gt;"County"),_xlfn.TEXTJOIN(" ",TRUE,Entities[[#This Row],[ENT_NAME]],"County"),Entities[[#This Row],[ENT_NAME]])</f>
        <v>Graford</v>
      </c>
    </row>
    <row r="3329" spans="1:6" x14ac:dyDescent="0.25">
      <c r="A3329" s="303" t="s">
        <v>10054</v>
      </c>
      <c r="B3329" s="303" t="str">
        <f t="shared" si="51"/>
        <v>x08003174</v>
      </c>
      <c r="C3329" t="s">
        <v>5458</v>
      </c>
      <c r="D3329" t="s">
        <v>10055</v>
      </c>
      <c r="E3329">
        <v>8</v>
      </c>
      <c r="F3329" t="str">
        <f>IF(AND(Entities[[#This Row],[ENT_TYPE]]="County",RIGHT(Entities[[#This Row],[ENT_NAME]],6)&lt;&gt;"County"),_xlfn.TEXTJOIN(" ",TRUE,Entities[[#This Row],[ENT_NAME]],"County"),Entities[[#This Row],[ENT_NAME]])</f>
        <v>Marquez</v>
      </c>
    </row>
    <row r="3330" spans="1:6" x14ac:dyDescent="0.25">
      <c r="A3330" s="303" t="s">
        <v>10056</v>
      </c>
      <c r="B3330" s="303" t="str">
        <f t="shared" ref="B3330:B3393" si="52">_xlfn.CONCAT("x",TEXT(A3330,"00000000"))</f>
        <v>x08003184</v>
      </c>
      <c r="C3330" t="s">
        <v>5458</v>
      </c>
      <c r="D3330" t="s">
        <v>10057</v>
      </c>
      <c r="E3330">
        <v>8</v>
      </c>
      <c r="F3330" t="str">
        <f>IF(AND(Entities[[#This Row],[ENT_TYPE]]="County",RIGHT(Entities[[#This Row],[ENT_NAME]],6)&lt;&gt;"County"),_xlfn.TEXTJOIN(" ",TRUE,Entities[[#This Row],[ENT_NAME]],"County"),Entities[[#This Row],[ENT_NAME]])</f>
        <v>Tolar</v>
      </c>
    </row>
    <row r="3331" spans="1:6" x14ac:dyDescent="0.25">
      <c r="A3331" s="305" t="s">
        <v>10058</v>
      </c>
      <c r="B3331" s="303" t="str">
        <f t="shared" si="52"/>
        <v>x08003185</v>
      </c>
      <c r="C3331" t="s">
        <v>5458</v>
      </c>
      <c r="D3331" t="s">
        <v>10059</v>
      </c>
      <c r="E3331">
        <v>8</v>
      </c>
      <c r="F3331" t="str">
        <f>IF(AND(Entities[[#This Row],[ENT_TYPE]]="County",RIGHT(Entities[[#This Row],[ENT_NAME]],6)&lt;&gt;"County"),_xlfn.TEXTJOIN(" ",TRUE,Entities[[#This Row],[ENT_NAME]],"County"),Entities[[#This Row],[ENT_NAME]])</f>
        <v>Granbury</v>
      </c>
    </row>
    <row r="3332" spans="1:6" x14ac:dyDescent="0.25">
      <c r="A3332" s="303" t="s">
        <v>10060</v>
      </c>
      <c r="B3332" s="303" t="str">
        <f t="shared" si="52"/>
        <v>x08003200</v>
      </c>
      <c r="C3332" t="s">
        <v>5458</v>
      </c>
      <c r="D3332" t="s">
        <v>10061</v>
      </c>
      <c r="E3332">
        <v>8</v>
      </c>
      <c r="F3332" t="str">
        <f>IF(AND(Entities[[#This Row],[ENT_TYPE]]="County",RIGHT(Entities[[#This Row],[ENT_NAME]],6)&lt;&gt;"County"),_xlfn.TEXTJOIN(" ",TRUE,Entities[[#This Row],[ENT_NAME]],"County"),Entities[[#This Row],[ENT_NAME]])</f>
        <v>Morgan</v>
      </c>
    </row>
    <row r="3333" spans="1:6" x14ac:dyDescent="0.25">
      <c r="A3333" s="305" t="s">
        <v>10062</v>
      </c>
      <c r="B3333" s="303" t="str">
        <f t="shared" si="52"/>
        <v>x08003223</v>
      </c>
      <c r="C3333" t="s">
        <v>5458</v>
      </c>
      <c r="D3333" t="s">
        <v>10063</v>
      </c>
      <c r="E3333">
        <v>8</v>
      </c>
      <c r="F3333" t="str">
        <f>IF(AND(Entities[[#This Row],[ENT_TYPE]]="County",RIGHT(Entities[[#This Row],[ENT_NAME]],6)&lt;&gt;"County"),_xlfn.TEXTJOIN(" ",TRUE,Entities[[#This Row],[ENT_NAME]],"County"),Entities[[#This Row],[ENT_NAME]])</f>
        <v>Sandy Point</v>
      </c>
    </row>
    <row r="3334" spans="1:6" x14ac:dyDescent="0.25">
      <c r="A3334" s="303" t="s">
        <v>10064</v>
      </c>
      <c r="B3334" s="303" t="str">
        <f t="shared" si="52"/>
        <v>x08003224</v>
      </c>
      <c r="C3334" t="s">
        <v>5458</v>
      </c>
      <c r="D3334" t="s">
        <v>10065</v>
      </c>
      <c r="E3334">
        <v>8</v>
      </c>
      <c r="F3334" t="str">
        <f>IF(AND(Entities[[#This Row],[ENT_TYPE]]="County",RIGHT(Entities[[#This Row],[ENT_NAME]],6)&lt;&gt;"County"),_xlfn.TEXTJOIN(" ",TRUE,Entities[[#This Row],[ENT_NAME]],"County"),Entities[[#This Row],[ENT_NAME]])</f>
        <v>Lipan</v>
      </c>
    </row>
    <row r="3335" spans="1:6" x14ac:dyDescent="0.25">
      <c r="A3335" s="305" t="s">
        <v>10066</v>
      </c>
      <c r="B3335" s="303" t="str">
        <f t="shared" si="52"/>
        <v>x08003225</v>
      </c>
      <c r="C3335" t="s">
        <v>5458</v>
      </c>
      <c r="D3335" t="s">
        <v>10067</v>
      </c>
      <c r="E3335">
        <v>8</v>
      </c>
      <c r="F3335" t="str">
        <f>IF(AND(Entities[[#This Row],[ENT_TYPE]]="County",RIGHT(Entities[[#This Row],[ENT_NAME]],6)&lt;&gt;"County"),_xlfn.TEXTJOIN(" ",TRUE,Entities[[#This Row],[ENT_NAME]],"County"),Entities[[#This Row],[ENT_NAME]])</f>
        <v>DeCordova</v>
      </c>
    </row>
    <row r="3336" spans="1:6" x14ac:dyDescent="0.25">
      <c r="A3336" s="303" t="s">
        <v>10068</v>
      </c>
      <c r="B3336" s="303" t="str">
        <f t="shared" si="52"/>
        <v>x08003226</v>
      </c>
      <c r="C3336" t="s">
        <v>5458</v>
      </c>
      <c r="D3336" t="s">
        <v>10069</v>
      </c>
      <c r="E3336">
        <v>8</v>
      </c>
      <c r="F3336" t="str">
        <f>IF(AND(Entities[[#This Row],[ENT_TYPE]]="County",RIGHT(Entities[[#This Row],[ENT_NAME]],6)&lt;&gt;"County"),_xlfn.TEXTJOIN(" ",TRUE,Entities[[#This Row],[ENT_NAME]],"County"),Entities[[#This Row],[ENT_NAME]])</f>
        <v>Bryson</v>
      </c>
    </row>
    <row r="3337" spans="1:6" x14ac:dyDescent="0.25">
      <c r="A3337" s="305" t="s">
        <v>10070</v>
      </c>
      <c r="B3337" s="303" t="str">
        <f t="shared" si="52"/>
        <v>x08003252</v>
      </c>
      <c r="C3337" t="s">
        <v>5458</v>
      </c>
      <c r="D3337" t="s">
        <v>10071</v>
      </c>
      <c r="E3337">
        <v>8</v>
      </c>
      <c r="F3337" t="str">
        <f>IF(AND(Entities[[#This Row],[ENT_TYPE]]="County",RIGHT(Entities[[#This Row],[ENT_NAME]],6)&lt;&gt;"County"),_xlfn.TEXTJOIN(" ",TRUE,Entities[[#This Row],[ENT_NAME]],"County"),Entities[[#This Row],[ENT_NAME]])</f>
        <v>Bellmead</v>
      </c>
    </row>
    <row r="3338" spans="1:6" x14ac:dyDescent="0.25">
      <c r="A3338" s="303" t="s">
        <v>10072</v>
      </c>
      <c r="B3338" s="303" t="str">
        <f t="shared" si="52"/>
        <v>x08003253</v>
      </c>
      <c r="C3338" t="s">
        <v>5458</v>
      </c>
      <c r="D3338" t="s">
        <v>10073</v>
      </c>
      <c r="E3338">
        <v>8</v>
      </c>
      <c r="F3338" t="str">
        <f>IF(AND(Entities[[#This Row],[ENT_TYPE]]="County",RIGHT(Entities[[#This Row],[ENT_NAME]],6)&lt;&gt;"County"),_xlfn.TEXTJOIN(" ",TRUE,Entities[[#This Row],[ENT_NAME]],"County"),Entities[[#This Row],[ENT_NAME]])</f>
        <v>Beverly Hills</v>
      </c>
    </row>
    <row r="3339" spans="1:6" x14ac:dyDescent="0.25">
      <c r="A3339" s="305" t="s">
        <v>10074</v>
      </c>
      <c r="B3339" s="303" t="str">
        <f t="shared" si="52"/>
        <v>x08003254</v>
      </c>
      <c r="C3339" t="s">
        <v>5458</v>
      </c>
      <c r="D3339" t="s">
        <v>10075</v>
      </c>
      <c r="E3339">
        <v>8</v>
      </c>
      <c r="F3339" t="str">
        <f>IF(AND(Entities[[#This Row],[ENT_TYPE]]="County",RIGHT(Entities[[#This Row],[ENT_NAME]],6)&lt;&gt;"County"),_xlfn.TEXTJOIN(" ",TRUE,Entities[[#This Row],[ENT_NAME]],"County"),Entities[[#This Row],[ENT_NAME]])</f>
        <v>Crawford</v>
      </c>
    </row>
    <row r="3340" spans="1:6" x14ac:dyDescent="0.25">
      <c r="A3340" s="303" t="s">
        <v>10076</v>
      </c>
      <c r="B3340" s="303" t="str">
        <f t="shared" si="52"/>
        <v>x08003255</v>
      </c>
      <c r="C3340" t="s">
        <v>5458</v>
      </c>
      <c r="D3340" t="s">
        <v>10077</v>
      </c>
      <c r="E3340">
        <v>8</v>
      </c>
      <c r="F3340" t="str">
        <f>IF(AND(Entities[[#This Row],[ENT_TYPE]]="County",RIGHT(Entities[[#This Row],[ENT_NAME]],6)&lt;&gt;"County"),_xlfn.TEXTJOIN(" ",TRUE,Entities[[#This Row],[ENT_NAME]],"County"),Entities[[#This Row],[ENT_NAME]])</f>
        <v>Gholson</v>
      </c>
    </row>
    <row r="3341" spans="1:6" x14ac:dyDescent="0.25">
      <c r="A3341" s="305" t="s">
        <v>10078</v>
      </c>
      <c r="B3341" s="303" t="str">
        <f t="shared" si="52"/>
        <v>x08003256</v>
      </c>
      <c r="C3341" t="s">
        <v>5458</v>
      </c>
      <c r="D3341" t="s">
        <v>10079</v>
      </c>
      <c r="E3341">
        <v>8</v>
      </c>
      <c r="F3341" t="str">
        <f>IF(AND(Entities[[#This Row],[ENT_TYPE]]="County",RIGHT(Entities[[#This Row],[ENT_NAME]],6)&lt;&gt;"County"),_xlfn.TEXTJOIN(" ",TRUE,Entities[[#This Row],[ENT_NAME]],"County"),Entities[[#This Row],[ENT_NAME]])</f>
        <v>Hewitt</v>
      </c>
    </row>
    <row r="3342" spans="1:6" x14ac:dyDescent="0.25">
      <c r="A3342" s="303" t="s">
        <v>10080</v>
      </c>
      <c r="B3342" s="303" t="str">
        <f t="shared" si="52"/>
        <v>x08003261</v>
      </c>
      <c r="C3342" t="s">
        <v>5458</v>
      </c>
      <c r="D3342" t="s">
        <v>10081</v>
      </c>
      <c r="E3342">
        <v>8</v>
      </c>
      <c r="F3342" t="str">
        <f>IF(AND(Entities[[#This Row],[ENT_TYPE]]="County",RIGHT(Entities[[#This Row],[ENT_NAME]],6)&lt;&gt;"County"),_xlfn.TEXTJOIN(" ",TRUE,Entities[[#This Row],[ENT_NAME]],"County"),Entities[[#This Row],[ENT_NAME]])</f>
        <v>Weston Lakes</v>
      </c>
    </row>
    <row r="3343" spans="1:6" x14ac:dyDescent="0.25">
      <c r="A3343" s="303" t="s">
        <v>10082</v>
      </c>
      <c r="B3343" s="303" t="str">
        <f t="shared" si="52"/>
        <v>x08003290</v>
      </c>
      <c r="C3343" t="s">
        <v>5458</v>
      </c>
      <c r="D3343" t="s">
        <v>10083</v>
      </c>
      <c r="E3343">
        <v>8</v>
      </c>
      <c r="F3343" t="str">
        <f>IF(AND(Entities[[#This Row],[ENT_TYPE]]="County",RIGHT(Entities[[#This Row],[ENT_NAME]],6)&lt;&gt;"County"),_xlfn.TEXTJOIN(" ",TRUE,Entities[[#This Row],[ENT_NAME]],"County"),Entities[[#This Row],[ENT_NAME]])</f>
        <v>Millsap</v>
      </c>
    </row>
    <row r="3344" spans="1:6" x14ac:dyDescent="0.25">
      <c r="A3344" s="305" t="s">
        <v>10084</v>
      </c>
      <c r="B3344" s="303" t="str">
        <f t="shared" si="52"/>
        <v>x08003291</v>
      </c>
      <c r="C3344" t="s">
        <v>5458</v>
      </c>
      <c r="D3344" t="s">
        <v>10085</v>
      </c>
      <c r="E3344">
        <v>8</v>
      </c>
      <c r="F3344" t="str">
        <f>IF(AND(Entities[[#This Row],[ENT_TYPE]]="County",RIGHT(Entities[[#This Row],[ENT_NAME]],6)&lt;&gt;"County"),_xlfn.TEXTJOIN(" ",TRUE,Entities[[#This Row],[ENT_NAME]],"County"),Entities[[#This Row],[ENT_NAME]])</f>
        <v>Mineral Wells</v>
      </c>
    </row>
    <row r="3345" spans="1:6" x14ac:dyDescent="0.25">
      <c r="A3345" s="305" t="s">
        <v>10086</v>
      </c>
      <c r="B3345" s="303" t="str">
        <f t="shared" si="52"/>
        <v>x08003293</v>
      </c>
      <c r="C3345" t="s">
        <v>5458</v>
      </c>
      <c r="D3345" t="s">
        <v>10087</v>
      </c>
      <c r="E3345">
        <v>8</v>
      </c>
      <c r="F3345" t="str">
        <f>IF(AND(Entities[[#This Row],[ENT_TYPE]]="County",RIGHT(Entities[[#This Row],[ENT_NAME]],6)&lt;&gt;"County"),_xlfn.TEXTJOIN(" ",TRUE,Entities[[#This Row],[ENT_NAME]],"County"),Entities[[#This Row],[ENT_NAME]])</f>
        <v>Gatesville</v>
      </c>
    </row>
    <row r="3346" spans="1:6" x14ac:dyDescent="0.25">
      <c r="A3346" s="303" t="s">
        <v>10088</v>
      </c>
      <c r="B3346" s="303" t="str">
        <f t="shared" si="52"/>
        <v>x08003294</v>
      </c>
      <c r="C3346" t="s">
        <v>5458</v>
      </c>
      <c r="D3346" t="s">
        <v>10089</v>
      </c>
      <c r="E3346">
        <v>8</v>
      </c>
      <c r="F3346" t="str">
        <f>IF(AND(Entities[[#This Row],[ENT_TYPE]]="County",RIGHT(Entities[[#This Row],[ENT_NAME]],6)&lt;&gt;"County"),_xlfn.TEXTJOIN(" ",TRUE,Entities[[#This Row],[ENT_NAME]],"County"),Entities[[#This Row],[ENT_NAME]])</f>
        <v>McGregor</v>
      </c>
    </row>
    <row r="3347" spans="1:6" x14ac:dyDescent="0.25">
      <c r="A3347" s="305" t="s">
        <v>10090</v>
      </c>
      <c r="B3347" s="303" t="str">
        <f t="shared" si="52"/>
        <v>x08003295</v>
      </c>
      <c r="C3347" t="s">
        <v>5458</v>
      </c>
      <c r="D3347" t="s">
        <v>10091</v>
      </c>
      <c r="E3347">
        <v>8</v>
      </c>
      <c r="F3347" t="str">
        <f>IF(AND(Entities[[#This Row],[ENT_TYPE]]="County",RIGHT(Entities[[#This Row],[ENT_NAME]],6)&lt;&gt;"County"),_xlfn.TEXTJOIN(" ",TRUE,Entities[[#This Row],[ENT_NAME]],"County"),Entities[[#This Row],[ENT_NAME]])</f>
        <v>Hico</v>
      </c>
    </row>
    <row r="3348" spans="1:6" x14ac:dyDescent="0.25">
      <c r="A3348" s="303" t="s">
        <v>10092</v>
      </c>
      <c r="B3348" s="303" t="str">
        <f t="shared" si="52"/>
        <v>x08003297</v>
      </c>
      <c r="C3348" t="s">
        <v>5458</v>
      </c>
      <c r="D3348" t="s">
        <v>10093</v>
      </c>
      <c r="E3348">
        <v>8</v>
      </c>
      <c r="F3348" t="str">
        <f>IF(AND(Entities[[#This Row],[ENT_TYPE]]="County",RIGHT(Entities[[#This Row],[ENT_NAME]],6)&lt;&gt;"County"),_xlfn.TEXTJOIN(" ",TRUE,Entities[[#This Row],[ENT_NAME]],"County"),Entities[[#This Row],[ENT_NAME]])</f>
        <v>Lacy-Lakeview</v>
      </c>
    </row>
    <row r="3349" spans="1:6" x14ac:dyDescent="0.25">
      <c r="A3349" s="305" t="s">
        <v>10094</v>
      </c>
      <c r="B3349" s="303" t="str">
        <f t="shared" si="52"/>
        <v>x08003298</v>
      </c>
      <c r="C3349" t="s">
        <v>5458</v>
      </c>
      <c r="D3349" t="s">
        <v>10095</v>
      </c>
      <c r="E3349">
        <v>8</v>
      </c>
      <c r="F3349" t="str">
        <f>IF(AND(Entities[[#This Row],[ENT_TYPE]]="County",RIGHT(Entities[[#This Row],[ENT_NAME]],6)&lt;&gt;"County"),_xlfn.TEXTJOIN(" ",TRUE,Entities[[#This Row],[ENT_NAME]],"County"),Entities[[#This Row],[ENT_NAME]])</f>
        <v>Lorena</v>
      </c>
    </row>
    <row r="3350" spans="1:6" x14ac:dyDescent="0.25">
      <c r="A3350" s="303" t="s">
        <v>10096</v>
      </c>
      <c r="B3350" s="303" t="str">
        <f t="shared" si="52"/>
        <v>x08003299</v>
      </c>
      <c r="C3350" t="s">
        <v>5458</v>
      </c>
      <c r="D3350" t="s">
        <v>10097</v>
      </c>
      <c r="E3350">
        <v>8</v>
      </c>
      <c r="F3350" t="str">
        <f>IF(AND(Entities[[#This Row],[ENT_TYPE]]="County",RIGHT(Entities[[#This Row],[ENT_NAME]],6)&lt;&gt;"County"),_xlfn.TEXTJOIN(" ",TRUE,Entities[[#This Row],[ENT_NAME]],"County"),Entities[[#This Row],[ENT_NAME]])</f>
        <v>Moody</v>
      </c>
    </row>
    <row r="3351" spans="1:6" x14ac:dyDescent="0.25">
      <c r="A3351" s="305" t="s">
        <v>10098</v>
      </c>
      <c r="B3351" s="303" t="str">
        <f t="shared" si="52"/>
        <v>x08003300</v>
      </c>
      <c r="C3351" t="s">
        <v>5458</v>
      </c>
      <c r="D3351" t="s">
        <v>10099</v>
      </c>
      <c r="E3351">
        <v>8</v>
      </c>
      <c r="F3351" t="str">
        <f>IF(AND(Entities[[#This Row],[ENT_TYPE]]="County",RIGHT(Entities[[#This Row],[ENT_NAME]],6)&lt;&gt;"County"),_xlfn.TEXTJOIN(" ",TRUE,Entities[[#This Row],[ENT_NAME]],"County"),Entities[[#This Row],[ENT_NAME]])</f>
        <v>Riesel</v>
      </c>
    </row>
    <row r="3352" spans="1:6" x14ac:dyDescent="0.25">
      <c r="A3352" s="303" t="s">
        <v>10100</v>
      </c>
      <c r="B3352" s="303" t="str">
        <f t="shared" si="52"/>
        <v>x08003301</v>
      </c>
      <c r="C3352" t="s">
        <v>5458</v>
      </c>
      <c r="D3352" t="s">
        <v>10101</v>
      </c>
      <c r="E3352">
        <v>8</v>
      </c>
      <c r="F3352" t="str">
        <f>IF(AND(Entities[[#This Row],[ENT_TYPE]]="County",RIGHT(Entities[[#This Row],[ENT_NAME]],6)&lt;&gt;"County"),_xlfn.TEXTJOIN(" ",TRUE,Entities[[#This Row],[ENT_NAME]],"County"),Entities[[#This Row],[ENT_NAME]])</f>
        <v>Ross</v>
      </c>
    </row>
    <row r="3353" spans="1:6" x14ac:dyDescent="0.25">
      <c r="A3353" s="305" t="s">
        <v>10102</v>
      </c>
      <c r="B3353" s="303" t="str">
        <f t="shared" si="52"/>
        <v>x08003303</v>
      </c>
      <c r="C3353" t="s">
        <v>5458</v>
      </c>
      <c r="D3353" t="s">
        <v>10103</v>
      </c>
      <c r="E3353">
        <v>8</v>
      </c>
      <c r="F3353" t="str">
        <f>IF(AND(Entities[[#This Row],[ENT_TYPE]]="County",RIGHT(Entities[[#This Row],[ENT_NAME]],6)&lt;&gt;"County"),_xlfn.TEXTJOIN(" ",TRUE,Entities[[#This Row],[ENT_NAME]],"County"),Entities[[#This Row],[ENT_NAME]])</f>
        <v>West</v>
      </c>
    </row>
    <row r="3354" spans="1:6" x14ac:dyDescent="0.25">
      <c r="A3354" s="303" t="s">
        <v>10104</v>
      </c>
      <c r="B3354" s="303" t="str">
        <f t="shared" si="52"/>
        <v>x08003315</v>
      </c>
      <c r="C3354" t="s">
        <v>5458</v>
      </c>
      <c r="D3354" t="s">
        <v>10105</v>
      </c>
      <c r="E3354">
        <v>8</v>
      </c>
      <c r="F3354" t="str">
        <f>IF(AND(Entities[[#This Row],[ENT_TYPE]]="County",RIGHT(Entities[[#This Row],[ENT_NAME]],6)&lt;&gt;"County"),_xlfn.TEXTJOIN(" ",TRUE,Entities[[#This Row],[ENT_NAME]],"County"),Entities[[#This Row],[ENT_NAME]])</f>
        <v>Rising Star</v>
      </c>
    </row>
    <row r="3355" spans="1:6" x14ac:dyDescent="0.25">
      <c r="A3355" s="305" t="s">
        <v>10106</v>
      </c>
      <c r="B3355" s="303" t="str">
        <f t="shared" si="52"/>
        <v>x08003319</v>
      </c>
      <c r="C3355" t="s">
        <v>5458</v>
      </c>
      <c r="D3355" t="s">
        <v>10107</v>
      </c>
      <c r="E3355">
        <v>8</v>
      </c>
      <c r="F3355" t="str">
        <f>IF(AND(Entities[[#This Row],[ENT_TYPE]]="County",RIGHT(Entities[[#This Row],[ENT_NAME]],6)&lt;&gt;"County"),_xlfn.TEXTJOIN(" ",TRUE,Entities[[#This Row],[ENT_NAME]],"County"),Entities[[#This Row],[ENT_NAME]])</f>
        <v>Groesbeck</v>
      </c>
    </row>
    <row r="3356" spans="1:6" x14ac:dyDescent="0.25">
      <c r="A3356" s="303" t="s">
        <v>10108</v>
      </c>
      <c r="B3356" s="303" t="str">
        <f t="shared" si="52"/>
        <v>x08003320</v>
      </c>
      <c r="C3356" t="s">
        <v>5458</v>
      </c>
      <c r="D3356" t="s">
        <v>10109</v>
      </c>
      <c r="E3356">
        <v>8</v>
      </c>
      <c r="F3356" t="str">
        <f>IF(AND(Entities[[#This Row],[ENT_TYPE]]="County",RIGHT(Entities[[#This Row],[ENT_NAME]],6)&lt;&gt;"County"),_xlfn.TEXTJOIN(" ",TRUE,Entities[[#This Row],[ENT_NAME]],"County"),Entities[[#This Row],[ENT_NAME]])</f>
        <v>Thornton</v>
      </c>
    </row>
    <row r="3357" spans="1:6" x14ac:dyDescent="0.25">
      <c r="A3357" s="305" t="s">
        <v>10110</v>
      </c>
      <c r="B3357" s="303" t="str">
        <f t="shared" si="52"/>
        <v>x08003334</v>
      </c>
      <c r="C3357" t="s">
        <v>5458</v>
      </c>
      <c r="D3357" t="s">
        <v>10111</v>
      </c>
      <c r="E3357">
        <v>8</v>
      </c>
      <c r="F3357" t="str">
        <f>IF(AND(Entities[[#This Row],[ENT_TYPE]]="County",RIGHT(Entities[[#This Row],[ENT_NAME]],6)&lt;&gt;"County"),_xlfn.TEXTJOIN(" ",TRUE,Entities[[#This Row],[ENT_NAME]],"County"),Entities[[#This Row],[ENT_NAME]])</f>
        <v>Woodway</v>
      </c>
    </row>
    <row r="3358" spans="1:6" x14ac:dyDescent="0.25">
      <c r="A3358" s="303" t="s">
        <v>10112</v>
      </c>
      <c r="B3358" s="303" t="str">
        <f t="shared" si="52"/>
        <v>x08003340</v>
      </c>
      <c r="C3358" t="s">
        <v>5458</v>
      </c>
      <c r="D3358" t="s">
        <v>1616</v>
      </c>
      <c r="E3358">
        <v>8</v>
      </c>
      <c r="F3358" t="str">
        <f>IF(AND(Entities[[#This Row],[ENT_TYPE]]="County",RIGHT(Entities[[#This Row],[ENT_NAME]],6)&lt;&gt;"County"),_xlfn.TEXTJOIN(" ",TRUE,Entities[[#This Row],[ENT_NAME]],"County"),Entities[[#This Row],[ENT_NAME]])</f>
        <v>Franklin</v>
      </c>
    </row>
    <row r="3359" spans="1:6" x14ac:dyDescent="0.25">
      <c r="A3359" s="305" t="s">
        <v>10113</v>
      </c>
      <c r="B3359" s="303" t="str">
        <f t="shared" si="52"/>
        <v>x08003341</v>
      </c>
      <c r="C3359" t="s">
        <v>5458</v>
      </c>
      <c r="D3359" t="s">
        <v>9316</v>
      </c>
      <c r="E3359">
        <v>8</v>
      </c>
      <c r="F3359" t="str">
        <f>IF(AND(Entities[[#This Row],[ENT_TYPE]]="County",RIGHT(Entities[[#This Row],[ENT_NAME]],6)&lt;&gt;"County"),_xlfn.TEXTJOIN(" ",TRUE,Entities[[#This Row],[ENT_NAME]],"County"),Entities[[#This Row],[ENT_NAME]])</f>
        <v>Hamilton</v>
      </c>
    </row>
    <row r="3360" spans="1:6" x14ac:dyDescent="0.25">
      <c r="A3360" s="303" t="s">
        <v>10114</v>
      </c>
      <c r="B3360" s="303" t="str">
        <f t="shared" si="52"/>
        <v>x08003364</v>
      </c>
      <c r="C3360" t="s">
        <v>5458</v>
      </c>
      <c r="D3360" t="s">
        <v>10115</v>
      </c>
      <c r="E3360">
        <v>8</v>
      </c>
      <c r="F3360" t="str">
        <f>IF(AND(Entities[[#This Row],[ENT_TYPE]]="County",RIGHT(Entities[[#This Row],[ENT_NAME]],6)&lt;&gt;"County"),_xlfn.TEXTJOIN(" ",TRUE,Entities[[#This Row],[ENT_NAME]],"County"),Entities[[#This Row],[ENT_NAME]])</f>
        <v>Aquilla</v>
      </c>
    </row>
    <row r="3361" spans="1:6" x14ac:dyDescent="0.25">
      <c r="A3361" s="305" t="s">
        <v>10116</v>
      </c>
      <c r="B3361" s="303" t="str">
        <f t="shared" si="52"/>
        <v>x08003365</v>
      </c>
      <c r="C3361" t="s">
        <v>5458</v>
      </c>
      <c r="D3361" t="s">
        <v>10117</v>
      </c>
      <c r="E3361">
        <v>8</v>
      </c>
      <c r="F3361" t="str">
        <f>IF(AND(Entities[[#This Row],[ENT_TYPE]]="County",RIGHT(Entities[[#This Row],[ENT_NAME]],6)&lt;&gt;"County"),_xlfn.TEXTJOIN(" ",TRUE,Entities[[#This Row],[ENT_NAME]],"County"),Entities[[#This Row],[ENT_NAME]])</f>
        <v>Blum</v>
      </c>
    </row>
    <row r="3362" spans="1:6" x14ac:dyDescent="0.25">
      <c r="A3362" s="303" t="s">
        <v>10118</v>
      </c>
      <c r="B3362" s="303" t="str">
        <f t="shared" si="52"/>
        <v>x08003366</v>
      </c>
      <c r="C3362" t="s">
        <v>5458</v>
      </c>
      <c r="D3362" t="s">
        <v>10119</v>
      </c>
      <c r="E3362">
        <v>8</v>
      </c>
      <c r="F3362" t="str">
        <f>IF(AND(Entities[[#This Row],[ENT_TYPE]]="County",RIGHT(Entities[[#This Row],[ENT_NAME]],6)&lt;&gt;"County"),_xlfn.TEXTJOIN(" ",TRUE,Entities[[#This Row],[ENT_NAME]],"County"),Entities[[#This Row],[ENT_NAME]])</f>
        <v>Hillsboro</v>
      </c>
    </row>
    <row r="3363" spans="1:6" x14ac:dyDescent="0.25">
      <c r="A3363" s="305" t="s">
        <v>10120</v>
      </c>
      <c r="B3363" s="303" t="str">
        <f t="shared" si="52"/>
        <v>x08003387</v>
      </c>
      <c r="C3363" t="s">
        <v>5458</v>
      </c>
      <c r="D3363" t="s">
        <v>10121</v>
      </c>
      <c r="E3363">
        <v>8</v>
      </c>
      <c r="F3363" t="str">
        <f>IF(AND(Entities[[#This Row],[ENT_TYPE]]="County",RIGHT(Entities[[#This Row],[ENT_NAME]],6)&lt;&gt;"County"),_xlfn.TEXTJOIN(" ",TRUE,Entities[[#This Row],[ENT_NAME]],"County"),Entities[[#This Row],[ENT_NAME]])</f>
        <v>Hempstead</v>
      </c>
    </row>
    <row r="3364" spans="1:6" x14ac:dyDescent="0.25">
      <c r="A3364" s="303" t="s">
        <v>10122</v>
      </c>
      <c r="B3364" s="303" t="str">
        <f t="shared" si="52"/>
        <v>x08003388</v>
      </c>
      <c r="C3364" t="s">
        <v>5458</v>
      </c>
      <c r="D3364" t="s">
        <v>10123</v>
      </c>
      <c r="E3364">
        <v>8</v>
      </c>
      <c r="F3364" t="str">
        <f>IF(AND(Entities[[#This Row],[ENT_TYPE]]="County",RIGHT(Entities[[#This Row],[ENT_NAME]],6)&lt;&gt;"County"),_xlfn.TEXTJOIN(" ",TRUE,Entities[[#This Row],[ENT_NAME]],"County"),Entities[[#This Row],[ENT_NAME]])</f>
        <v>Pattison</v>
      </c>
    </row>
    <row r="3365" spans="1:6" x14ac:dyDescent="0.25">
      <c r="A3365" s="305" t="s">
        <v>10124</v>
      </c>
      <c r="B3365" s="303" t="str">
        <f t="shared" si="52"/>
        <v>x08003389</v>
      </c>
      <c r="C3365" t="s">
        <v>5458</v>
      </c>
      <c r="D3365" t="s">
        <v>10125</v>
      </c>
      <c r="E3365">
        <v>8</v>
      </c>
      <c r="F3365" t="str">
        <f>IF(AND(Entities[[#This Row],[ENT_TYPE]]="County",RIGHT(Entities[[#This Row],[ENT_NAME]],6)&lt;&gt;"County"),_xlfn.TEXTJOIN(" ",TRUE,Entities[[#This Row],[ENT_NAME]],"County"),Entities[[#This Row],[ENT_NAME]])</f>
        <v>Pine Island</v>
      </c>
    </row>
    <row r="3366" spans="1:6" x14ac:dyDescent="0.25">
      <c r="A3366" s="305" t="s">
        <v>10126</v>
      </c>
      <c r="B3366" s="303" t="str">
        <f t="shared" si="52"/>
        <v>x08003399</v>
      </c>
      <c r="C3366" t="s">
        <v>5458</v>
      </c>
      <c r="D3366" t="s">
        <v>10127</v>
      </c>
      <c r="E3366">
        <v>8</v>
      </c>
      <c r="F3366" t="str">
        <f>IF(AND(Entities[[#This Row],[ENT_TYPE]]="County",RIGHT(Entities[[#This Row],[ENT_NAME]],6)&lt;&gt;"County"),_xlfn.TEXTJOIN(" ",TRUE,Entities[[#This Row],[ENT_NAME]],"County"),Entities[[#This Row],[ENT_NAME]])</f>
        <v>Brazos Country</v>
      </c>
    </row>
    <row r="3367" spans="1:6" x14ac:dyDescent="0.25">
      <c r="A3367" s="303" t="s">
        <v>10128</v>
      </c>
      <c r="B3367" s="303" t="str">
        <f t="shared" si="52"/>
        <v>x08003400</v>
      </c>
      <c r="C3367" t="s">
        <v>5458</v>
      </c>
      <c r="D3367" t="s">
        <v>10129</v>
      </c>
      <c r="E3367">
        <v>8</v>
      </c>
      <c r="F3367" t="str">
        <f>IF(AND(Entities[[#This Row],[ENT_TYPE]]="County",RIGHT(Entities[[#This Row],[ENT_NAME]],6)&lt;&gt;"County"),_xlfn.TEXTJOIN(" ",TRUE,Entities[[#This Row],[ENT_NAME]],"County"),Entities[[#This Row],[ENT_NAME]])</f>
        <v>Industry</v>
      </c>
    </row>
    <row r="3368" spans="1:6" x14ac:dyDescent="0.25">
      <c r="A3368" s="305" t="s">
        <v>10130</v>
      </c>
      <c r="B3368" s="303" t="str">
        <f t="shared" si="52"/>
        <v>x08003403</v>
      </c>
      <c r="C3368" t="s">
        <v>5458</v>
      </c>
      <c r="D3368" t="s">
        <v>10131</v>
      </c>
      <c r="E3368">
        <v>8</v>
      </c>
      <c r="F3368" t="str">
        <f>IF(AND(Entities[[#This Row],[ENT_TYPE]]="County",RIGHT(Entities[[#This Row],[ENT_NAME]],6)&lt;&gt;"County"),_xlfn.TEXTJOIN(" ",TRUE,Entities[[#This Row],[ENT_NAME]],"County"),Entities[[#This Row],[ENT_NAME]])</f>
        <v>Lexington</v>
      </c>
    </row>
    <row r="3369" spans="1:6" x14ac:dyDescent="0.25">
      <c r="A3369" s="303" t="s">
        <v>10132</v>
      </c>
      <c r="B3369" s="303" t="str">
        <f t="shared" si="52"/>
        <v>x08003406</v>
      </c>
      <c r="C3369" t="s">
        <v>5458</v>
      </c>
      <c r="D3369" t="s">
        <v>10133</v>
      </c>
      <c r="E3369">
        <v>8</v>
      </c>
      <c r="F3369" t="str">
        <f>IF(AND(Entities[[#This Row],[ENT_TYPE]]="County",RIGHT(Entities[[#This Row],[ENT_NAME]],6)&lt;&gt;"County"),_xlfn.TEXTJOIN(" ",TRUE,Entities[[#This Row],[ENT_NAME]],"County"),Entities[[#This Row],[ENT_NAME]])</f>
        <v>Graham</v>
      </c>
    </row>
    <row r="3370" spans="1:6" x14ac:dyDescent="0.25">
      <c r="A3370" s="305" t="s">
        <v>10134</v>
      </c>
      <c r="B3370" s="303" t="str">
        <f t="shared" si="52"/>
        <v>x08003407</v>
      </c>
      <c r="C3370" t="s">
        <v>5458</v>
      </c>
      <c r="D3370" t="s">
        <v>10135</v>
      </c>
      <c r="E3370">
        <v>8</v>
      </c>
      <c r="F3370" t="str">
        <f>IF(AND(Entities[[#This Row],[ENT_TYPE]]="County",RIGHT(Entities[[#This Row],[ENT_NAME]],6)&lt;&gt;"County"),_xlfn.TEXTJOIN(" ",TRUE,Entities[[#This Row],[ENT_NAME]],"County"),Entities[[#This Row],[ENT_NAME]])</f>
        <v>Olney</v>
      </c>
    </row>
    <row r="3371" spans="1:6" x14ac:dyDescent="0.25">
      <c r="A3371" s="303" t="s">
        <v>10136</v>
      </c>
      <c r="B3371" s="303" t="str">
        <f t="shared" si="52"/>
        <v>x08003413</v>
      </c>
      <c r="C3371" t="s">
        <v>5458</v>
      </c>
      <c r="D3371" t="s">
        <v>10137</v>
      </c>
      <c r="E3371">
        <v>8</v>
      </c>
      <c r="F3371" t="str">
        <f>IF(AND(Entities[[#This Row],[ENT_TYPE]]="County",RIGHT(Entities[[#This Row],[ENT_NAME]],6)&lt;&gt;"County"),_xlfn.TEXTJOIN(" ",TRUE,Entities[[#This Row],[ENT_NAME]],"County"),Entities[[#This Row],[ENT_NAME]])</f>
        <v>Navasota</v>
      </c>
    </row>
    <row r="3372" spans="1:6" x14ac:dyDescent="0.25">
      <c r="A3372" s="305" t="s">
        <v>10138</v>
      </c>
      <c r="B3372" s="303" t="str">
        <f t="shared" si="52"/>
        <v>x08003416</v>
      </c>
      <c r="C3372" t="s">
        <v>5458</v>
      </c>
      <c r="D3372" t="s">
        <v>10139</v>
      </c>
      <c r="E3372">
        <v>8</v>
      </c>
      <c r="F3372" t="str">
        <f>IF(AND(Entities[[#This Row],[ENT_TYPE]]="County",RIGHT(Entities[[#This Row],[ENT_NAME]],6)&lt;&gt;"County"),_xlfn.TEXTJOIN(" ",TRUE,Entities[[#This Row],[ENT_NAME]],"County"),Entities[[#This Row],[ENT_NAME]])</f>
        <v>Calvert</v>
      </c>
    </row>
    <row r="3373" spans="1:6" x14ac:dyDescent="0.25">
      <c r="A3373" s="303" t="s">
        <v>10140</v>
      </c>
      <c r="B3373" s="303" t="str">
        <f t="shared" si="52"/>
        <v>x08003417</v>
      </c>
      <c r="C3373" t="s">
        <v>5458</v>
      </c>
      <c r="D3373" t="s">
        <v>4961</v>
      </c>
      <c r="E3373">
        <v>8</v>
      </c>
      <c r="F3373" t="str">
        <f>IF(AND(Entities[[#This Row],[ENT_TYPE]]="County",RIGHT(Entities[[#This Row],[ENT_NAME]],6)&lt;&gt;"County"),_xlfn.TEXTJOIN(" ",TRUE,Entities[[#This Row],[ENT_NAME]],"County"),Entities[[#This Row],[ENT_NAME]])</f>
        <v>Caldwell</v>
      </c>
    </row>
    <row r="3374" spans="1:6" x14ac:dyDescent="0.25">
      <c r="A3374" s="305" t="s">
        <v>10141</v>
      </c>
      <c r="B3374" s="303" t="str">
        <f t="shared" si="52"/>
        <v>x08003423</v>
      </c>
      <c r="C3374" t="s">
        <v>5458</v>
      </c>
      <c r="D3374" t="s">
        <v>10142</v>
      </c>
      <c r="E3374">
        <v>8</v>
      </c>
      <c r="F3374" t="str">
        <f>IF(AND(Entities[[#This Row],[ENT_TYPE]]="County",RIGHT(Entities[[#This Row],[ENT_NAME]],6)&lt;&gt;"County"),_xlfn.TEXTJOIN(" ",TRUE,Entities[[#This Row],[ENT_NAME]],"County"),Entities[[#This Row],[ENT_NAME]])</f>
        <v>San Felipe</v>
      </c>
    </row>
    <row r="3375" spans="1:6" x14ac:dyDescent="0.25">
      <c r="A3375" s="303" t="s">
        <v>10143</v>
      </c>
      <c r="B3375" s="303" t="str">
        <f t="shared" si="52"/>
        <v>x08003424</v>
      </c>
      <c r="C3375" t="s">
        <v>5458</v>
      </c>
      <c r="D3375" t="s">
        <v>10144</v>
      </c>
      <c r="E3375">
        <v>8</v>
      </c>
      <c r="F3375" t="str">
        <f>IF(AND(Entities[[#This Row],[ENT_TYPE]]="County",RIGHT(Entities[[#This Row],[ENT_NAME]],6)&lt;&gt;"County"),_xlfn.TEXTJOIN(" ",TRUE,Entities[[#This Row],[ENT_NAME]],"County"),Entities[[#This Row],[ENT_NAME]])</f>
        <v>Brenham</v>
      </c>
    </row>
    <row r="3376" spans="1:6" x14ac:dyDescent="0.25">
      <c r="A3376" s="305" t="s">
        <v>10145</v>
      </c>
      <c r="B3376" s="303" t="str">
        <f t="shared" si="52"/>
        <v>x08003425</v>
      </c>
      <c r="C3376" t="s">
        <v>5458</v>
      </c>
      <c r="D3376" t="s">
        <v>10146</v>
      </c>
      <c r="E3376">
        <v>8</v>
      </c>
      <c r="F3376" t="str">
        <f>IF(AND(Entities[[#This Row],[ENT_TYPE]]="County",RIGHT(Entities[[#This Row],[ENT_NAME]],6)&lt;&gt;"County"),_xlfn.TEXTJOIN(" ",TRUE,Entities[[#This Row],[ENT_NAME]],"County"),Entities[[#This Row],[ENT_NAME]])</f>
        <v>Burton</v>
      </c>
    </row>
    <row r="3377" spans="1:6" x14ac:dyDescent="0.25">
      <c r="A3377" s="303" t="s">
        <v>10147</v>
      </c>
      <c r="B3377" s="303" t="str">
        <f t="shared" si="52"/>
        <v>x08003438</v>
      </c>
      <c r="C3377" t="s">
        <v>5458</v>
      </c>
      <c r="D3377" t="s">
        <v>10148</v>
      </c>
      <c r="E3377">
        <v>8</v>
      </c>
      <c r="F3377" t="str">
        <f>IF(AND(Entities[[#This Row],[ENT_TYPE]]="County",RIGHT(Entities[[#This Row],[ENT_NAME]],6)&lt;&gt;"County"),_xlfn.TEXTJOIN(" ",TRUE,Entities[[#This Row],[ENT_NAME]],"County"),Entities[[#This Row],[ENT_NAME]])</f>
        <v>Bryan</v>
      </c>
    </row>
    <row r="3378" spans="1:6" x14ac:dyDescent="0.25">
      <c r="A3378" s="305" t="s">
        <v>4937</v>
      </c>
      <c r="B3378" s="303" t="str">
        <f t="shared" si="52"/>
        <v>x08003439</v>
      </c>
      <c r="C3378" t="s">
        <v>5458</v>
      </c>
      <c r="D3378" t="s">
        <v>10149</v>
      </c>
      <c r="E3378">
        <v>8</v>
      </c>
      <c r="F3378" t="str">
        <f>IF(AND(Entities[[#This Row],[ENT_TYPE]]="County",RIGHT(Entities[[#This Row],[ENT_NAME]],6)&lt;&gt;"County"),_xlfn.TEXTJOIN(" ",TRUE,Entities[[#This Row],[ENT_NAME]],"County"),Entities[[#This Row],[ENT_NAME]])</f>
        <v>College Station</v>
      </c>
    </row>
    <row r="3379" spans="1:6" x14ac:dyDescent="0.25">
      <c r="A3379" s="303" t="s">
        <v>10150</v>
      </c>
      <c r="B3379" s="303" t="str">
        <f t="shared" si="52"/>
        <v>x08003440</v>
      </c>
      <c r="C3379" t="s">
        <v>5458</v>
      </c>
      <c r="D3379" t="s">
        <v>10151</v>
      </c>
      <c r="E3379">
        <v>8</v>
      </c>
      <c r="F3379" t="str">
        <f>IF(AND(Entities[[#This Row],[ENT_TYPE]]="County",RIGHT(Entities[[#This Row],[ENT_NAME]],6)&lt;&gt;"County"),_xlfn.TEXTJOIN(" ",TRUE,Entities[[#This Row],[ENT_NAME]],"County"),Entities[[#This Row],[ENT_NAME]])</f>
        <v>Wixon Valley</v>
      </c>
    </row>
    <row r="3380" spans="1:6" x14ac:dyDescent="0.25">
      <c r="A3380" s="303" t="s">
        <v>10152</v>
      </c>
      <c r="B3380" s="303" t="str">
        <f t="shared" si="52"/>
        <v>x08003471</v>
      </c>
      <c r="C3380" t="s">
        <v>5458</v>
      </c>
      <c r="D3380" t="s">
        <v>10153</v>
      </c>
      <c r="E3380">
        <v>8</v>
      </c>
      <c r="F3380" t="str">
        <f>IF(AND(Entities[[#This Row],[ENT_TYPE]]="County",RIGHT(Entities[[#This Row],[ENT_NAME]],6)&lt;&gt;"County"),_xlfn.TEXTJOIN(" ",TRUE,Entities[[#This Row],[ENT_NAME]],"County"),Entities[[#This Row],[ENT_NAME]])</f>
        <v>Snook</v>
      </c>
    </row>
    <row r="3381" spans="1:6" x14ac:dyDescent="0.25">
      <c r="A3381" s="305" t="s">
        <v>10154</v>
      </c>
      <c r="B3381" s="303" t="str">
        <f t="shared" si="52"/>
        <v>x08003480</v>
      </c>
      <c r="C3381" t="s">
        <v>5458</v>
      </c>
      <c r="D3381" t="s">
        <v>627</v>
      </c>
      <c r="E3381">
        <v>8</v>
      </c>
      <c r="F3381" t="str">
        <f>IF(AND(Entities[[#This Row],[ENT_TYPE]]="County",RIGHT(Entities[[#This Row],[ENT_NAME]],6)&lt;&gt;"County"),_xlfn.TEXTJOIN(" ",TRUE,Entities[[#This Row],[ENT_NAME]],"County"),Entities[[#This Row],[ENT_NAME]])</f>
        <v>Taylor</v>
      </c>
    </row>
    <row r="3382" spans="1:6" x14ac:dyDescent="0.25">
      <c r="A3382" s="303" t="s">
        <v>10155</v>
      </c>
      <c r="B3382" s="303" t="str">
        <f t="shared" si="52"/>
        <v>x08003488</v>
      </c>
      <c r="C3382" t="s">
        <v>5458</v>
      </c>
      <c r="D3382" t="s">
        <v>10156</v>
      </c>
      <c r="E3382">
        <v>8</v>
      </c>
      <c r="F3382" t="str">
        <f>IF(AND(Entities[[#This Row],[ENT_TYPE]]="County",RIGHT(Entities[[#This Row],[ENT_NAME]],6)&lt;&gt;"County"),_xlfn.TEXTJOIN(" ",TRUE,Entities[[#This Row],[ENT_NAME]],"County"),Entities[[#This Row],[ENT_NAME]])</f>
        <v>Somerville</v>
      </c>
    </row>
    <row r="3383" spans="1:6" x14ac:dyDescent="0.25">
      <c r="A3383" s="305" t="s">
        <v>10157</v>
      </c>
      <c r="B3383" s="303" t="str">
        <f t="shared" si="52"/>
        <v>x08003524</v>
      </c>
      <c r="C3383" t="s">
        <v>5458</v>
      </c>
      <c r="D3383" t="s">
        <v>10158</v>
      </c>
      <c r="E3383">
        <v>8</v>
      </c>
      <c r="F3383" t="str">
        <f>IF(AND(Entities[[#This Row],[ENT_TYPE]]="County",RIGHT(Entities[[#This Row],[ENT_NAME]],6)&lt;&gt;"County"),_xlfn.TEXTJOIN(" ",TRUE,Entities[[#This Row],[ENT_NAME]],"County"),Entities[[#This Row],[ENT_NAME]])</f>
        <v>Bartlett</v>
      </c>
    </row>
    <row r="3384" spans="1:6" x14ac:dyDescent="0.25">
      <c r="A3384" s="303" t="s">
        <v>10159</v>
      </c>
      <c r="B3384" s="303" t="str">
        <f t="shared" si="52"/>
        <v>x08003525</v>
      </c>
      <c r="C3384" t="s">
        <v>5458</v>
      </c>
      <c r="D3384" t="s">
        <v>10160</v>
      </c>
      <c r="E3384">
        <v>8</v>
      </c>
      <c r="F3384" t="str">
        <f>IF(AND(Entities[[#This Row],[ENT_TYPE]]="County",RIGHT(Entities[[#This Row],[ENT_NAME]],6)&lt;&gt;"County"),_xlfn.TEXTJOIN(" ",TRUE,Entities[[#This Row],[ENT_NAME]],"County"),Entities[[#This Row],[ENT_NAME]])</f>
        <v>Holland</v>
      </c>
    </row>
    <row r="3385" spans="1:6" x14ac:dyDescent="0.25">
      <c r="A3385" s="305" t="s">
        <v>10161</v>
      </c>
      <c r="B3385" s="303" t="str">
        <f t="shared" si="52"/>
        <v>x08003526</v>
      </c>
      <c r="C3385" t="s">
        <v>5458</v>
      </c>
      <c r="D3385" t="s">
        <v>10162</v>
      </c>
      <c r="E3385">
        <v>8</v>
      </c>
      <c r="F3385" t="str">
        <f>IF(AND(Entities[[#This Row],[ENT_TYPE]]="County",RIGHT(Entities[[#This Row],[ENT_NAME]],6)&lt;&gt;"County"),_xlfn.TEXTJOIN(" ",TRUE,Entities[[#This Row],[ENT_NAME]],"County"),Entities[[#This Row],[ENT_NAME]])</f>
        <v>Rogers</v>
      </c>
    </row>
    <row r="3386" spans="1:6" x14ac:dyDescent="0.25">
      <c r="A3386" s="303" t="s">
        <v>10163</v>
      </c>
      <c r="B3386" s="303" t="str">
        <f t="shared" si="52"/>
        <v>x08003527</v>
      </c>
      <c r="C3386" t="s">
        <v>5458</v>
      </c>
      <c r="D3386" t="s">
        <v>10164</v>
      </c>
      <c r="E3386">
        <v>8</v>
      </c>
      <c r="F3386" t="str">
        <f>IF(AND(Entities[[#This Row],[ENT_TYPE]]="County",RIGHT(Entities[[#This Row],[ENT_NAME]],6)&lt;&gt;"County"),_xlfn.TEXTJOIN(" ",TRUE,Entities[[#This Row],[ENT_NAME]],"County"),Entities[[#This Row],[ENT_NAME]])</f>
        <v>Troy</v>
      </c>
    </row>
    <row r="3387" spans="1:6" x14ac:dyDescent="0.25">
      <c r="A3387" s="305" t="s">
        <v>10165</v>
      </c>
      <c r="B3387" s="303" t="str">
        <f t="shared" si="52"/>
        <v>x08003530</v>
      </c>
      <c r="C3387" t="s">
        <v>5458</v>
      </c>
      <c r="D3387" t="s">
        <v>10166</v>
      </c>
      <c r="E3387">
        <v>8</v>
      </c>
      <c r="F3387" t="str">
        <f>IF(AND(Entities[[#This Row],[ENT_TYPE]]="County",RIGHT(Entities[[#This Row],[ENT_NAME]],6)&lt;&gt;"County"),_xlfn.TEXTJOIN(" ",TRUE,Entities[[#This Row],[ENT_NAME]],"County"),Entities[[#This Row],[ENT_NAME]])</f>
        <v>Killeen</v>
      </c>
    </row>
    <row r="3388" spans="1:6" x14ac:dyDescent="0.25">
      <c r="A3388" s="303" t="s">
        <v>10167</v>
      </c>
      <c r="B3388" s="303" t="str">
        <f t="shared" si="52"/>
        <v>x08003531</v>
      </c>
      <c r="C3388" t="s">
        <v>5458</v>
      </c>
      <c r="D3388" t="s">
        <v>10168</v>
      </c>
      <c r="E3388">
        <v>8</v>
      </c>
      <c r="F3388" t="str">
        <f>IF(AND(Entities[[#This Row],[ENT_TYPE]]="County",RIGHT(Entities[[#This Row],[ENT_NAME]],6)&lt;&gt;"County"),_xlfn.TEXTJOIN(" ",TRUE,Entities[[#This Row],[ENT_NAME]],"County"),Entities[[#This Row],[ENT_NAME]])</f>
        <v>Morgan's Point Resort</v>
      </c>
    </row>
    <row r="3389" spans="1:6" x14ac:dyDescent="0.25">
      <c r="A3389" s="305" t="s">
        <v>10169</v>
      </c>
      <c r="B3389" s="303" t="str">
        <f t="shared" si="52"/>
        <v>x08003532</v>
      </c>
      <c r="C3389" t="s">
        <v>4</v>
      </c>
      <c r="D3389" t="s">
        <v>10170</v>
      </c>
      <c r="E3389">
        <v>8</v>
      </c>
      <c r="F3389" t="str">
        <f>IF(AND(Entities[[#This Row],[ENT_TYPE]]="County",RIGHT(Entities[[#This Row],[ENT_NAME]],6)&lt;&gt;"County"),_xlfn.TEXTJOIN(" ",TRUE,Entities[[#This Row],[ENT_NAME]],"County"),Entities[[#This Row],[ENT_NAME]])</f>
        <v>Lower Brushy Creek WC&amp;ID</v>
      </c>
    </row>
    <row r="3390" spans="1:6" x14ac:dyDescent="0.25">
      <c r="A3390" s="303" t="s">
        <v>755</v>
      </c>
      <c r="B3390" s="303" t="str">
        <f t="shared" si="52"/>
        <v>x09000068</v>
      </c>
      <c r="C3390" t="s">
        <v>4947</v>
      </c>
      <c r="D3390" t="s">
        <v>750</v>
      </c>
      <c r="E3390">
        <v>9</v>
      </c>
      <c r="F3390" t="str">
        <f>IF(AND(Entities[[#This Row],[ENT_TYPE]]="County",RIGHT(Entities[[#This Row],[ENT_NAME]],6)&lt;&gt;"County"),_xlfn.TEXTJOIN(" ",TRUE,Entities[[#This Row],[ENT_NAME]],"County"),Entities[[#This Row],[ENT_NAME]])</f>
        <v>Irion County</v>
      </c>
    </row>
    <row r="3391" spans="1:6" x14ac:dyDescent="0.25">
      <c r="A3391" s="303" t="s">
        <v>550</v>
      </c>
      <c r="B3391" s="303" t="str">
        <f t="shared" si="52"/>
        <v>x09000118</v>
      </c>
      <c r="C3391" t="s">
        <v>4947</v>
      </c>
      <c r="D3391" t="s">
        <v>545</v>
      </c>
      <c r="E3391">
        <v>9</v>
      </c>
      <c r="F3391" t="str">
        <f>IF(AND(Entities[[#This Row],[ENT_TYPE]]="County",RIGHT(Entities[[#This Row],[ENT_NAME]],6)&lt;&gt;"County"),_xlfn.TEXTJOIN(" ",TRUE,Entities[[#This Row],[ENT_NAME]],"County"),Entities[[#This Row],[ENT_NAME]])</f>
        <v>Gaines County</v>
      </c>
    </row>
    <row r="3392" spans="1:6" x14ac:dyDescent="0.25">
      <c r="A3392" s="303" t="s">
        <v>872</v>
      </c>
      <c r="B3392" s="303" t="str">
        <f t="shared" si="52"/>
        <v>x09000131</v>
      </c>
      <c r="C3392" t="s">
        <v>4947</v>
      </c>
      <c r="D3392" t="s">
        <v>641</v>
      </c>
      <c r="E3392">
        <v>9</v>
      </c>
      <c r="F3392" t="str">
        <f>IF(AND(Entities[[#This Row],[ENT_TYPE]]="County",RIGHT(Entities[[#This Row],[ENT_NAME]],6)&lt;&gt;"County"),_xlfn.TEXTJOIN(" ",TRUE,Entities[[#This Row],[ENT_NAME]],"County"),Entities[[#This Row],[ENT_NAME]])</f>
        <v>Tom Green County</v>
      </c>
    </row>
    <row r="3393" spans="1:6" x14ac:dyDescent="0.25">
      <c r="A3393" s="303" t="s">
        <v>470</v>
      </c>
      <c r="B3393" s="303" t="str">
        <f t="shared" si="52"/>
        <v>x09000147</v>
      </c>
      <c r="C3393" t="s">
        <v>4947</v>
      </c>
      <c r="D3393" t="s">
        <v>721</v>
      </c>
      <c r="E3393">
        <v>9</v>
      </c>
      <c r="F3393" t="str">
        <f>IF(AND(Entities[[#This Row],[ENT_TYPE]]="County",RIGHT(Entities[[#This Row],[ENT_NAME]],6)&lt;&gt;"County"),_xlfn.TEXTJOIN(" ",TRUE,Entities[[#This Row],[ENT_NAME]],"County"),Entities[[#This Row],[ENT_NAME]])</f>
        <v>Coke County</v>
      </c>
    </row>
    <row r="3394" spans="1:6" x14ac:dyDescent="0.25">
      <c r="A3394" s="303" t="s">
        <v>862</v>
      </c>
      <c r="B3394" s="303" t="str">
        <f t="shared" ref="B3394:B3457" si="53">_xlfn.CONCAT("x",TEXT(A3394,"00000000"))</f>
        <v>x09000149</v>
      </c>
      <c r="C3394" t="s">
        <v>4947</v>
      </c>
      <c r="D3394" t="s">
        <v>858</v>
      </c>
      <c r="E3394">
        <v>9</v>
      </c>
      <c r="F3394" t="str">
        <f>IF(AND(Entities[[#This Row],[ENT_TYPE]]="County",RIGHT(Entities[[#This Row],[ENT_NAME]],6)&lt;&gt;"County"),_xlfn.TEXTJOIN(" ",TRUE,Entities[[#This Row],[ENT_NAME]],"County"),Entities[[#This Row],[ENT_NAME]])</f>
        <v>Sterling County</v>
      </c>
    </row>
    <row r="3395" spans="1:6" x14ac:dyDescent="0.25">
      <c r="A3395" s="303" t="s">
        <v>947</v>
      </c>
      <c r="B3395" s="303" t="str">
        <f t="shared" si="53"/>
        <v>x09000150</v>
      </c>
      <c r="C3395" t="s">
        <v>4947</v>
      </c>
      <c r="D3395" t="s">
        <v>945</v>
      </c>
      <c r="E3395">
        <v>9</v>
      </c>
      <c r="F3395" t="str">
        <f>IF(AND(Entities[[#This Row],[ENT_TYPE]]="County",RIGHT(Entities[[#This Row],[ENT_NAME]],6)&lt;&gt;"County"),_xlfn.TEXTJOIN(" ",TRUE,Entities[[#This Row],[ENT_NAME]],"County"),Entities[[#This Row],[ENT_NAME]])</f>
        <v>Glasscock County</v>
      </c>
    </row>
    <row r="3396" spans="1:6" x14ac:dyDescent="0.25">
      <c r="A3396" s="303" t="s">
        <v>955</v>
      </c>
      <c r="B3396" s="303" t="str">
        <f t="shared" si="53"/>
        <v>x09000173</v>
      </c>
      <c r="C3396" t="s">
        <v>4947</v>
      </c>
      <c r="D3396" t="s">
        <v>952</v>
      </c>
      <c r="E3396">
        <v>9</v>
      </c>
      <c r="F3396" t="str">
        <f>IF(AND(Entities[[#This Row],[ENT_TYPE]]="County",RIGHT(Entities[[#This Row],[ENT_NAME]],6)&lt;&gt;"County"),_xlfn.TEXTJOIN(" ",TRUE,Entities[[#This Row],[ENT_NAME]],"County"),Entities[[#This Row],[ENT_NAME]])</f>
        <v>Howard County</v>
      </c>
    </row>
    <row r="3397" spans="1:6" x14ac:dyDescent="0.25">
      <c r="A3397" s="303" t="s">
        <v>960</v>
      </c>
      <c r="B3397" s="303" t="str">
        <f t="shared" si="53"/>
        <v>x09000174</v>
      </c>
      <c r="C3397" t="s">
        <v>4947</v>
      </c>
      <c r="D3397" t="s">
        <v>597</v>
      </c>
      <c r="E3397">
        <v>9</v>
      </c>
      <c r="F3397" t="str">
        <f>IF(AND(Entities[[#This Row],[ENT_TYPE]]="County",RIGHT(Entities[[#This Row],[ENT_NAME]],6)&lt;&gt;"County"),_xlfn.TEXTJOIN(" ",TRUE,Entities[[#This Row],[ENT_NAME]],"County"),Entities[[#This Row],[ENT_NAME]])</f>
        <v>Martin County</v>
      </c>
    </row>
    <row r="3398" spans="1:6" x14ac:dyDescent="0.25">
      <c r="A3398" s="303" t="s">
        <v>980</v>
      </c>
      <c r="B3398" s="303" t="str">
        <f t="shared" si="53"/>
        <v>x09000206</v>
      </c>
      <c r="C3398" t="s">
        <v>4947</v>
      </c>
      <c r="D3398" t="s">
        <v>619</v>
      </c>
      <c r="E3398">
        <v>9</v>
      </c>
      <c r="F3398" t="str">
        <f>IF(AND(Entities[[#This Row],[ENT_TYPE]]="County",RIGHT(Entities[[#This Row],[ENT_NAME]],6)&lt;&gt;"County"),_xlfn.TEXTJOIN(" ",TRUE,Entities[[#This Row],[ENT_NAME]],"County"),Entities[[#This Row],[ENT_NAME]])</f>
        <v>Yoakum County</v>
      </c>
    </row>
    <row r="3399" spans="1:6" x14ac:dyDescent="0.25">
      <c r="A3399" s="303" t="s">
        <v>10171</v>
      </c>
      <c r="B3399" s="303" t="str">
        <f t="shared" si="53"/>
        <v>x09000288</v>
      </c>
      <c r="C3399" t="s">
        <v>5127</v>
      </c>
      <c r="D3399" t="s">
        <v>10172</v>
      </c>
      <c r="E3399">
        <v>9</v>
      </c>
      <c r="F3399" t="str">
        <f>IF(AND(Entities[[#This Row],[ENT_TYPE]]="County",RIGHT(Entities[[#This Row],[ENT_NAME]],6)&lt;&gt;"County"),_xlfn.TEXTJOIN(" ",TRUE,Entities[[#This Row],[ENT_NAME]],"County"),Entities[[#This Row],[ENT_NAME]])</f>
        <v>Colorado River MWD</v>
      </c>
    </row>
    <row r="3400" spans="1:6" x14ac:dyDescent="0.25">
      <c r="A3400" s="303" t="s">
        <v>10173</v>
      </c>
      <c r="B3400" s="303" t="str">
        <f t="shared" si="53"/>
        <v>x09000405</v>
      </c>
      <c r="C3400" t="s">
        <v>4</v>
      </c>
      <c r="D3400" t="s">
        <v>10174</v>
      </c>
      <c r="E3400">
        <v>9</v>
      </c>
      <c r="F3400" t="str">
        <f>IF(AND(Entities[[#This Row],[ENT_TYPE]]="County",RIGHT(Entities[[#This Row],[ENT_NAME]],6)&lt;&gt;"County"),_xlfn.TEXTJOIN(" ",TRUE,Entities[[#This Row],[ENT_NAME]],"County"),Entities[[#This Row],[ENT_NAME]])</f>
        <v>Martin County FWSD 1</v>
      </c>
    </row>
    <row r="3401" spans="1:6" x14ac:dyDescent="0.25">
      <c r="A3401" s="303" t="s">
        <v>10175</v>
      </c>
      <c r="B3401" s="303" t="str">
        <f t="shared" si="53"/>
        <v>x09000496</v>
      </c>
      <c r="C3401" t="s">
        <v>4</v>
      </c>
      <c r="D3401" t="s">
        <v>10176</v>
      </c>
      <c r="E3401">
        <v>9</v>
      </c>
      <c r="F3401" t="str">
        <f>IF(AND(Entities[[#This Row],[ENT_TYPE]]="County",RIGHT(Entities[[#This Row],[ENT_NAME]],6)&lt;&gt;"County"),_xlfn.TEXTJOIN(" ",TRUE,Entities[[#This Row],[ENT_NAME]],"County"),Entities[[#This Row],[ENT_NAME]])</f>
        <v>Tom Green County FWSD 2</v>
      </c>
    </row>
    <row r="3402" spans="1:6" x14ac:dyDescent="0.25">
      <c r="A3402" s="303" t="s">
        <v>10177</v>
      </c>
      <c r="B3402" s="303" t="str">
        <f t="shared" si="53"/>
        <v>x09000497</v>
      </c>
      <c r="C3402" t="s">
        <v>4</v>
      </c>
      <c r="D3402" t="s">
        <v>10178</v>
      </c>
      <c r="E3402">
        <v>9</v>
      </c>
      <c r="F3402" t="str">
        <f>IF(AND(Entities[[#This Row],[ENT_TYPE]]="County",RIGHT(Entities[[#This Row],[ENT_NAME]],6)&lt;&gt;"County"),_xlfn.TEXTJOIN(" ",TRUE,Entities[[#This Row],[ENT_NAME]],"County"),Entities[[#This Row],[ENT_NAME]])</f>
        <v>Tom Green County FWSD 1</v>
      </c>
    </row>
    <row r="3403" spans="1:6" x14ac:dyDescent="0.25">
      <c r="A3403" s="303" t="s">
        <v>10179</v>
      </c>
      <c r="B3403" s="303" t="str">
        <f t="shared" si="53"/>
        <v>x09000499</v>
      </c>
      <c r="C3403" t="s">
        <v>4</v>
      </c>
      <c r="D3403" t="s">
        <v>10180</v>
      </c>
      <c r="E3403">
        <v>9</v>
      </c>
      <c r="F3403" t="str">
        <f>IF(AND(Entities[[#This Row],[ENT_TYPE]]="County",RIGHT(Entities[[#This Row],[ENT_NAME]],6)&lt;&gt;"County"),_xlfn.TEXTJOIN(" ",TRUE,Entities[[#This Row],[ENT_NAME]],"County"),Entities[[#This Row],[ENT_NAME]])</f>
        <v>Nolan County FWSD 1</v>
      </c>
    </row>
    <row r="3404" spans="1:6" x14ac:dyDescent="0.25">
      <c r="A3404" s="303" t="s">
        <v>10181</v>
      </c>
      <c r="B3404" s="303" t="str">
        <f t="shared" si="53"/>
        <v>x09000539</v>
      </c>
      <c r="C3404" t="s">
        <v>4</v>
      </c>
      <c r="D3404" t="s">
        <v>10182</v>
      </c>
      <c r="E3404">
        <v>9</v>
      </c>
      <c r="F3404" t="str">
        <f>IF(AND(Entities[[#This Row],[ENT_TYPE]]="County",RIGHT(Entities[[#This Row],[ENT_NAME]],6)&lt;&gt;"County"),_xlfn.TEXTJOIN(" ",TRUE,Entities[[#This Row],[ENT_NAME]],"County"),Entities[[#This Row],[ENT_NAME]])</f>
        <v>Willow Creek Water Control District</v>
      </c>
    </row>
    <row r="3405" spans="1:6" x14ac:dyDescent="0.25">
      <c r="A3405" s="303" t="s">
        <v>10183</v>
      </c>
      <c r="B3405" s="303" t="str">
        <f t="shared" si="53"/>
        <v>x09000692</v>
      </c>
      <c r="C3405" t="s">
        <v>4</v>
      </c>
      <c r="D3405" t="s">
        <v>10184</v>
      </c>
      <c r="E3405">
        <v>9</v>
      </c>
      <c r="F3405" t="str">
        <f>IF(AND(Entities[[#This Row],[ENT_TYPE]]="County",RIGHT(Entities[[#This Row],[ENT_NAME]],6)&lt;&gt;"County"),_xlfn.TEXTJOIN(" ",TRUE,Entities[[#This Row],[ENT_NAME]],"County"),Entities[[#This Row],[ENT_NAME]])</f>
        <v>Downtown Midland Management District</v>
      </c>
    </row>
    <row r="3406" spans="1:6" x14ac:dyDescent="0.25">
      <c r="A3406" s="303" t="s">
        <v>10185</v>
      </c>
      <c r="B3406" s="303" t="str">
        <f t="shared" si="53"/>
        <v>x09000775</v>
      </c>
      <c r="C3406" t="s">
        <v>4</v>
      </c>
      <c r="D3406" t="s">
        <v>10186</v>
      </c>
      <c r="E3406">
        <v>9</v>
      </c>
      <c r="F3406" t="str">
        <f>IF(AND(Entities[[#This Row],[ENT_TYPE]]="County",RIGHT(Entities[[#This Row],[ENT_NAME]],6)&lt;&gt;"County"),_xlfn.TEXTJOIN(" ",TRUE,Entities[[#This Row],[ENT_NAME]],"County"),Entities[[#This Row],[ENT_NAME]])</f>
        <v>Tom Green County WCID 1</v>
      </c>
    </row>
    <row r="3407" spans="1:6" x14ac:dyDescent="0.25">
      <c r="A3407" s="303" t="s">
        <v>10187</v>
      </c>
      <c r="B3407" s="303" t="str">
        <f t="shared" si="53"/>
        <v>x09000852</v>
      </c>
      <c r="C3407" t="s">
        <v>4</v>
      </c>
      <c r="D3407" t="s">
        <v>10188</v>
      </c>
      <c r="E3407">
        <v>9</v>
      </c>
      <c r="F3407" t="str">
        <f>IF(AND(Entities[[#This Row],[ENT_TYPE]]="County",RIGHT(Entities[[#This Row],[ENT_NAME]],6)&lt;&gt;"County"),_xlfn.TEXTJOIN(" ",TRUE,Entities[[#This Row],[ENT_NAME]],"County"),Entities[[#This Row],[ENT_NAME]])</f>
        <v>Valley Creek Water Control District</v>
      </c>
    </row>
    <row r="3408" spans="1:6" x14ac:dyDescent="0.25">
      <c r="A3408" s="303" t="s">
        <v>10189</v>
      </c>
      <c r="B3408" s="303" t="str">
        <f t="shared" si="53"/>
        <v>x09000969</v>
      </c>
      <c r="C3408" t="s">
        <v>4</v>
      </c>
      <c r="D3408" t="s">
        <v>10190</v>
      </c>
      <c r="E3408">
        <v>9</v>
      </c>
      <c r="F3408" t="str">
        <f>IF(AND(Entities[[#This Row],[ENT_TYPE]]="County",RIGHT(Entities[[#This Row],[ENT_NAME]],6)&lt;&gt;"County"),_xlfn.TEXTJOIN(" ",TRUE,Entities[[#This Row],[ENT_NAME]],"County"),Entities[[#This Row],[ENT_NAME]])</f>
        <v>Red Creek MUD</v>
      </c>
    </row>
    <row r="3409" spans="1:6" x14ac:dyDescent="0.25">
      <c r="A3409" s="303" t="s">
        <v>10191</v>
      </c>
      <c r="B3409" s="303" t="str">
        <f t="shared" si="53"/>
        <v>x09001049</v>
      </c>
      <c r="C3409" t="s">
        <v>4</v>
      </c>
      <c r="D3409" t="s">
        <v>10192</v>
      </c>
      <c r="E3409">
        <v>9</v>
      </c>
      <c r="F3409" t="str">
        <f>IF(AND(Entities[[#This Row],[ENT_TYPE]]="County",RIGHT(Entities[[#This Row],[ENT_NAME]],6)&lt;&gt;"County"),_xlfn.TEXTJOIN(" ",TRUE,Entities[[#This Row],[ENT_NAME]],"County"),Entities[[#This Row],[ENT_NAME]])</f>
        <v>Midland County FWSD 1</v>
      </c>
    </row>
    <row r="3410" spans="1:6" x14ac:dyDescent="0.25">
      <c r="A3410" s="303" t="s">
        <v>10193</v>
      </c>
      <c r="B3410" s="303" t="str">
        <f t="shared" si="53"/>
        <v>x09001680</v>
      </c>
      <c r="C3410" t="s">
        <v>4</v>
      </c>
      <c r="D3410" t="s">
        <v>10194</v>
      </c>
      <c r="E3410">
        <v>9</v>
      </c>
      <c r="F3410" t="str">
        <f>IF(AND(Entities[[#This Row],[ENT_TYPE]]="County",RIGHT(Entities[[#This Row],[ENT_NAME]],6)&lt;&gt;"County"),_xlfn.TEXTJOIN(" ",TRUE,Entities[[#This Row],[ENT_NAME]],"County"),Entities[[#This Row],[ENT_NAME]])</f>
        <v>Howard County WCID 1</v>
      </c>
    </row>
    <row r="3411" spans="1:6" x14ac:dyDescent="0.25">
      <c r="A3411" s="303" t="s">
        <v>10195</v>
      </c>
      <c r="B3411" s="303" t="str">
        <f t="shared" si="53"/>
        <v>x09001698</v>
      </c>
      <c r="C3411" t="s">
        <v>4</v>
      </c>
      <c r="D3411" t="s">
        <v>10196</v>
      </c>
      <c r="E3411">
        <v>9</v>
      </c>
      <c r="F3411" t="str">
        <f>IF(AND(Entities[[#This Row],[ENT_TYPE]]="County",RIGHT(Entities[[#This Row],[ENT_NAME]],6)&lt;&gt;"County"),_xlfn.TEXTJOIN(" ",TRUE,Entities[[#This Row],[ENT_NAME]],"County"),Entities[[#This Row],[ENT_NAME]])</f>
        <v>Ector County Utility District</v>
      </c>
    </row>
    <row r="3412" spans="1:6" x14ac:dyDescent="0.25">
      <c r="A3412" s="303" t="s">
        <v>10197</v>
      </c>
      <c r="B3412" s="303" t="str">
        <f t="shared" si="53"/>
        <v>x09001828</v>
      </c>
      <c r="C3412" t="s">
        <v>4</v>
      </c>
      <c r="D3412" t="s">
        <v>10198</v>
      </c>
      <c r="E3412">
        <v>9</v>
      </c>
      <c r="F3412" t="str">
        <f>IF(AND(Entities[[#This Row],[ENT_TYPE]]="County",RIGHT(Entities[[#This Row],[ENT_NAME]],6)&lt;&gt;"County"),_xlfn.TEXTJOIN(" ",TRUE,Entities[[#This Row],[ENT_NAME]],"County"),Entities[[#This Row],[ENT_NAME]])</f>
        <v>Gaines County SWMD</v>
      </c>
    </row>
    <row r="3413" spans="1:6" x14ac:dyDescent="0.25">
      <c r="A3413" s="303" t="s">
        <v>10199</v>
      </c>
      <c r="B3413" s="303" t="str">
        <f t="shared" si="53"/>
        <v>x09002050</v>
      </c>
      <c r="C3413" t="s">
        <v>4</v>
      </c>
      <c r="D3413" t="s">
        <v>10200</v>
      </c>
      <c r="E3413">
        <v>9</v>
      </c>
      <c r="F3413" t="str">
        <f>IF(AND(Entities[[#This Row],[ENT_TYPE]]="County",RIGHT(Entities[[#This Row],[ENT_NAME]],6)&lt;&gt;"County"),_xlfn.TEXTJOIN(" ",TRUE,Entities[[#This Row],[ENT_NAME]],"County"),Entities[[#This Row],[ENT_NAME]])</f>
        <v>Midland County Utility District</v>
      </c>
    </row>
    <row r="3414" spans="1:6" x14ac:dyDescent="0.25">
      <c r="A3414" s="303" t="s">
        <v>10201</v>
      </c>
      <c r="B3414" s="303" t="str">
        <f t="shared" si="53"/>
        <v>x09002069</v>
      </c>
      <c r="C3414" t="s">
        <v>4</v>
      </c>
      <c r="D3414" t="s">
        <v>10202</v>
      </c>
      <c r="E3414">
        <v>9</v>
      </c>
      <c r="F3414" t="str">
        <f>IF(AND(Entities[[#This Row],[ENT_TYPE]]="County",RIGHT(Entities[[#This Row],[ENT_NAME]],6)&lt;&gt;"County"),_xlfn.TEXTJOIN(" ",TRUE,Entities[[#This Row],[ENT_NAME]],"County"),Entities[[#This Row],[ENT_NAME]])</f>
        <v>Tom Green County FWSD 3</v>
      </c>
    </row>
    <row r="3415" spans="1:6" x14ac:dyDescent="0.25">
      <c r="A3415" s="303" t="s">
        <v>10203</v>
      </c>
      <c r="B3415" s="303" t="str">
        <f t="shared" si="53"/>
        <v>x09002162</v>
      </c>
      <c r="C3415" t="s">
        <v>4</v>
      </c>
      <c r="D3415" t="s">
        <v>10204</v>
      </c>
      <c r="E3415">
        <v>9</v>
      </c>
      <c r="F3415" t="str">
        <f>IF(AND(Entities[[#This Row],[ENT_TYPE]]="County",RIGHT(Entities[[#This Row],[ENT_NAME]],6)&lt;&gt;"County"),_xlfn.TEXTJOIN(" ",TRUE,Entities[[#This Row],[ENT_NAME]],"County"),Entities[[#This Row],[ENT_NAME]])</f>
        <v>Coke County Kickapoo WCID 1</v>
      </c>
    </row>
    <row r="3416" spans="1:6" x14ac:dyDescent="0.25">
      <c r="A3416" s="303" t="s">
        <v>933</v>
      </c>
      <c r="B3416" s="303" t="str">
        <f t="shared" si="53"/>
        <v>x09002400</v>
      </c>
      <c r="C3416" t="s">
        <v>5458</v>
      </c>
      <c r="D3416" t="s">
        <v>10205</v>
      </c>
      <c r="E3416">
        <v>9</v>
      </c>
      <c r="F3416" t="str">
        <f>IF(AND(Entities[[#This Row],[ENT_TYPE]]="County",RIGHT(Entities[[#This Row],[ENT_NAME]],6)&lt;&gt;"County"),_xlfn.TEXTJOIN(" ",TRUE,Entities[[#This Row],[ENT_NAME]],"County"),Entities[[#This Row],[ENT_NAME]])</f>
        <v>Mertzon</v>
      </c>
    </row>
    <row r="3417" spans="1:6" x14ac:dyDescent="0.25">
      <c r="A3417" s="303" t="s">
        <v>10206</v>
      </c>
      <c r="B3417" s="303" t="str">
        <f t="shared" si="53"/>
        <v>x09002451</v>
      </c>
      <c r="C3417" t="s">
        <v>5458</v>
      </c>
      <c r="D3417" t="s">
        <v>10207</v>
      </c>
      <c r="E3417">
        <v>9</v>
      </c>
      <c r="F3417" t="str">
        <f>IF(AND(Entities[[#This Row],[ENT_TYPE]]="County",RIGHT(Entities[[#This Row],[ENT_NAME]],6)&lt;&gt;"County"),_xlfn.TEXTJOIN(" ",TRUE,Entities[[#This Row],[ENT_NAME]],"County"),Entities[[#This Row],[ENT_NAME]])</f>
        <v>Ballinger</v>
      </c>
    </row>
    <row r="3418" spans="1:6" x14ac:dyDescent="0.25">
      <c r="A3418" s="303" t="s">
        <v>10208</v>
      </c>
      <c r="B3418" s="303" t="str">
        <f t="shared" si="53"/>
        <v>x09002479</v>
      </c>
      <c r="C3418" t="s">
        <v>5458</v>
      </c>
      <c r="D3418" t="s">
        <v>10209</v>
      </c>
      <c r="E3418">
        <v>9</v>
      </c>
      <c r="F3418" t="str">
        <f>IF(AND(Entities[[#This Row],[ENT_TYPE]]="County",RIGHT(Entities[[#This Row],[ENT_NAME]],6)&lt;&gt;"County"),_xlfn.TEXTJOIN(" ",TRUE,Entities[[#This Row],[ENT_NAME]],"County"),Entities[[#This Row],[ENT_NAME]])</f>
        <v>Plains</v>
      </c>
    </row>
    <row r="3419" spans="1:6" x14ac:dyDescent="0.25">
      <c r="A3419" s="303" t="s">
        <v>10210</v>
      </c>
      <c r="B3419" s="303" t="str">
        <f t="shared" si="53"/>
        <v>x09002581</v>
      </c>
      <c r="C3419" t="s">
        <v>5458</v>
      </c>
      <c r="D3419" t="s">
        <v>10211</v>
      </c>
      <c r="E3419">
        <v>9</v>
      </c>
      <c r="F3419" t="str">
        <f>IF(AND(Entities[[#This Row],[ENT_TYPE]]="County",RIGHT(Entities[[#This Row],[ENT_NAME]],6)&lt;&gt;"County"),_xlfn.TEXTJOIN(" ",TRUE,Entities[[#This Row],[ENT_NAME]],"County"),Entities[[#This Row],[ENT_NAME]])</f>
        <v>Blackwell</v>
      </c>
    </row>
    <row r="3420" spans="1:6" x14ac:dyDescent="0.25">
      <c r="A3420" s="303" t="s">
        <v>909</v>
      </c>
      <c r="B3420" s="303" t="str">
        <f t="shared" si="53"/>
        <v>x09002653</v>
      </c>
      <c r="C3420" t="s">
        <v>5458</v>
      </c>
      <c r="D3420" t="s">
        <v>10212</v>
      </c>
      <c r="E3420">
        <v>9</v>
      </c>
      <c r="F3420" t="str">
        <f>IF(AND(Entities[[#This Row],[ENT_TYPE]]="County",RIGHT(Entities[[#This Row],[ENT_NAME]],6)&lt;&gt;"County"),_xlfn.TEXTJOIN(" ",TRUE,Entities[[#This Row],[ENT_NAME]],"County"),Entities[[#This Row],[ENT_NAME]])</f>
        <v>Paint Rock</v>
      </c>
    </row>
    <row r="3421" spans="1:6" x14ac:dyDescent="0.25">
      <c r="A3421" s="303" t="s">
        <v>10213</v>
      </c>
      <c r="B3421" s="303" t="str">
        <f t="shared" si="53"/>
        <v>x09002681</v>
      </c>
      <c r="C3421" t="s">
        <v>5458</v>
      </c>
      <c r="D3421" t="s">
        <v>10214</v>
      </c>
      <c r="E3421">
        <v>9</v>
      </c>
      <c r="F3421" t="str">
        <f>IF(AND(Entities[[#This Row],[ENT_TYPE]]="County",RIGHT(Entities[[#This Row],[ENT_NAME]],6)&lt;&gt;"County"),_xlfn.TEXTJOIN(" ",TRUE,Entities[[#This Row],[ENT_NAME]],"County"),Entities[[#This Row],[ENT_NAME]])</f>
        <v>Denver City</v>
      </c>
    </row>
    <row r="3422" spans="1:6" x14ac:dyDescent="0.25">
      <c r="A3422" s="303" t="s">
        <v>10215</v>
      </c>
      <c r="B3422" s="303" t="str">
        <f t="shared" si="53"/>
        <v>x09002684</v>
      </c>
      <c r="C3422" t="s">
        <v>5458</v>
      </c>
      <c r="D3422" t="s">
        <v>10216</v>
      </c>
      <c r="E3422">
        <v>9</v>
      </c>
      <c r="F3422" t="str">
        <f>IF(AND(Entities[[#This Row],[ENT_TYPE]]="County",RIGHT(Entities[[#This Row],[ENT_NAME]],6)&lt;&gt;"County"),_xlfn.TEXTJOIN(" ",TRUE,Entities[[#This Row],[ENT_NAME]],"County"),Entities[[#This Row],[ENT_NAME]])</f>
        <v>Seagraves</v>
      </c>
    </row>
    <row r="3423" spans="1:6" x14ac:dyDescent="0.25">
      <c r="A3423" s="303" t="s">
        <v>10217</v>
      </c>
      <c r="B3423" s="303" t="str">
        <f t="shared" si="53"/>
        <v>x09002685</v>
      </c>
      <c r="C3423" t="s">
        <v>5458</v>
      </c>
      <c r="D3423" t="s">
        <v>10218</v>
      </c>
      <c r="E3423">
        <v>9</v>
      </c>
      <c r="F3423" t="str">
        <f>IF(AND(Entities[[#This Row],[ENT_TYPE]]="County",RIGHT(Entities[[#This Row],[ENT_NAME]],6)&lt;&gt;"County"),_xlfn.TEXTJOIN(" ",TRUE,Entities[[#This Row],[ENT_NAME]],"County"),Entities[[#This Row],[ENT_NAME]])</f>
        <v>Robert Lee</v>
      </c>
    </row>
    <row r="3424" spans="1:6" x14ac:dyDescent="0.25">
      <c r="A3424" s="303" t="s">
        <v>10219</v>
      </c>
      <c r="B3424" s="303" t="str">
        <f t="shared" si="53"/>
        <v>x09002715</v>
      </c>
      <c r="C3424" t="s">
        <v>5458</v>
      </c>
      <c r="D3424" t="s">
        <v>10220</v>
      </c>
      <c r="E3424">
        <v>9</v>
      </c>
      <c r="F3424" t="str">
        <f>IF(AND(Entities[[#This Row],[ENT_TYPE]]="County",RIGHT(Entities[[#This Row],[ENT_NAME]],6)&lt;&gt;"County"),_xlfn.TEXTJOIN(" ",TRUE,Entities[[#This Row],[ENT_NAME]],"County"),Entities[[#This Row],[ENT_NAME]])</f>
        <v>Sterling City</v>
      </c>
    </row>
    <row r="3425" spans="1:6" x14ac:dyDescent="0.25">
      <c r="A3425" s="303" t="s">
        <v>10221</v>
      </c>
      <c r="B3425" s="303" t="str">
        <f t="shared" si="53"/>
        <v>x09002738</v>
      </c>
      <c r="C3425" t="s">
        <v>5458</v>
      </c>
      <c r="D3425" t="s">
        <v>10222</v>
      </c>
      <c r="E3425">
        <v>9</v>
      </c>
      <c r="F3425" t="str">
        <f>IF(AND(Entities[[#This Row],[ENT_TYPE]]="County",RIGHT(Entities[[#This Row],[ENT_NAME]],6)&lt;&gt;"County"),_xlfn.TEXTJOIN(" ",TRUE,Entities[[#This Row],[ENT_NAME]],"County"),Entities[[#This Row],[ENT_NAME]])</f>
        <v>Stanton</v>
      </c>
    </row>
    <row r="3426" spans="1:6" x14ac:dyDescent="0.25">
      <c r="A3426" s="303" t="s">
        <v>10223</v>
      </c>
      <c r="B3426" s="303" t="str">
        <f t="shared" si="53"/>
        <v>x09002836</v>
      </c>
      <c r="C3426" t="s">
        <v>5458</v>
      </c>
      <c r="D3426" t="s">
        <v>10224</v>
      </c>
      <c r="E3426">
        <v>9</v>
      </c>
      <c r="F3426" t="str">
        <f>IF(AND(Entities[[#This Row],[ENT_TYPE]]="County",RIGHT(Entities[[#This Row],[ENT_NAME]],6)&lt;&gt;"County"),_xlfn.TEXTJOIN(" ",TRUE,Entities[[#This Row],[ENT_NAME]],"County"),Entities[[#This Row],[ENT_NAME]])</f>
        <v>Odessa</v>
      </c>
    </row>
    <row r="3427" spans="1:6" x14ac:dyDescent="0.25">
      <c r="A3427" s="303" t="s">
        <v>10225</v>
      </c>
      <c r="B3427" s="303" t="str">
        <f t="shared" si="53"/>
        <v>x09002838</v>
      </c>
      <c r="C3427" t="s">
        <v>5458</v>
      </c>
      <c r="D3427" t="s">
        <v>879</v>
      </c>
      <c r="E3427">
        <v>9</v>
      </c>
      <c r="F3427" t="str">
        <f>IF(AND(Entities[[#This Row],[ENT_TYPE]]="County",RIGHT(Entities[[#This Row],[ENT_NAME]],6)&lt;&gt;"County"),_xlfn.TEXTJOIN(" ",TRUE,Entities[[#This Row],[ENT_NAME]],"County"),Entities[[#This Row],[ENT_NAME]])</f>
        <v>Midland</v>
      </c>
    </row>
    <row r="3428" spans="1:6" x14ac:dyDescent="0.25">
      <c r="A3428" s="303" t="s">
        <v>10226</v>
      </c>
      <c r="B3428" s="303" t="str">
        <f t="shared" si="53"/>
        <v>x09002888</v>
      </c>
      <c r="C3428" t="s">
        <v>5458</v>
      </c>
      <c r="D3428" t="s">
        <v>10227</v>
      </c>
      <c r="E3428">
        <v>9</v>
      </c>
      <c r="F3428" t="str">
        <f>IF(AND(Entities[[#This Row],[ENT_TYPE]]="County",RIGHT(Entities[[#This Row],[ENT_NAME]],6)&lt;&gt;"County"),_xlfn.TEXTJOIN(" ",TRUE,Entities[[#This Row],[ENT_NAME]],"County"),Entities[[#This Row],[ENT_NAME]])</f>
        <v>Los Ybanez</v>
      </c>
    </row>
    <row r="3429" spans="1:6" x14ac:dyDescent="0.25">
      <c r="A3429" s="303" t="s">
        <v>10228</v>
      </c>
      <c r="B3429" s="303" t="str">
        <f t="shared" si="53"/>
        <v>x09002972</v>
      </c>
      <c r="C3429" t="s">
        <v>5458</v>
      </c>
      <c r="D3429" t="s">
        <v>504</v>
      </c>
      <c r="E3429">
        <v>9</v>
      </c>
      <c r="F3429" t="str">
        <f>IF(AND(Entities[[#This Row],[ENT_TYPE]]="County",RIGHT(Entities[[#This Row],[ENT_NAME]],6)&lt;&gt;"County"),_xlfn.TEXTJOIN(" ",TRUE,Entities[[#This Row],[ENT_NAME]],"County"),Entities[[#This Row],[ENT_NAME]])</f>
        <v>Andrews</v>
      </c>
    </row>
    <row r="3430" spans="1:6" x14ac:dyDescent="0.25">
      <c r="A3430" s="303" t="s">
        <v>10229</v>
      </c>
      <c r="B3430" s="303" t="str">
        <f t="shared" si="53"/>
        <v>x09003111</v>
      </c>
      <c r="C3430" t="s">
        <v>5458</v>
      </c>
      <c r="D3430" t="s">
        <v>10230</v>
      </c>
      <c r="E3430">
        <v>9</v>
      </c>
      <c r="F3430" t="str">
        <f>IF(AND(Entities[[#This Row],[ENT_TYPE]]="County",RIGHT(Entities[[#This Row],[ENT_NAME]],6)&lt;&gt;"County"),_xlfn.TEXTJOIN(" ",TRUE,Entities[[#This Row],[ENT_NAME]],"County"),Entities[[#This Row],[ENT_NAME]])</f>
        <v>Brownfield</v>
      </c>
    </row>
    <row r="3431" spans="1:6" x14ac:dyDescent="0.25">
      <c r="A3431" s="303" t="s">
        <v>10231</v>
      </c>
      <c r="B3431" s="303" t="str">
        <f t="shared" si="53"/>
        <v>x09003112</v>
      </c>
      <c r="C3431" t="s">
        <v>5458</v>
      </c>
      <c r="D3431" t="s">
        <v>10232</v>
      </c>
      <c r="E3431">
        <v>9</v>
      </c>
      <c r="F3431" t="str">
        <f>IF(AND(Entities[[#This Row],[ENT_TYPE]]="County",RIGHT(Entities[[#This Row],[ENT_NAME]],6)&lt;&gt;"County"),_xlfn.TEXTJOIN(" ",TRUE,Entities[[#This Row],[ENT_NAME]],"County"),Entities[[#This Row],[ENT_NAME]])</f>
        <v>Wellman</v>
      </c>
    </row>
    <row r="3432" spans="1:6" x14ac:dyDescent="0.25">
      <c r="A3432" s="303" t="s">
        <v>10233</v>
      </c>
      <c r="B3432" s="303" t="str">
        <f t="shared" si="53"/>
        <v>x09003113</v>
      </c>
      <c r="C3432" t="s">
        <v>5458</v>
      </c>
      <c r="D3432" t="s">
        <v>10234</v>
      </c>
      <c r="E3432">
        <v>9</v>
      </c>
      <c r="F3432" t="str">
        <f>IF(AND(Entities[[#This Row],[ENT_TYPE]]="County",RIGHT(Entities[[#This Row],[ENT_NAME]],6)&lt;&gt;"County"),_xlfn.TEXTJOIN(" ",TRUE,Entities[[#This Row],[ENT_NAME]],"County"),Entities[[#This Row],[ENT_NAME]])</f>
        <v>Eldorado</v>
      </c>
    </row>
    <row r="3433" spans="1:6" x14ac:dyDescent="0.25">
      <c r="A3433" s="303" t="s">
        <v>10235</v>
      </c>
      <c r="B3433" s="303" t="str">
        <f t="shared" si="53"/>
        <v>x09003125</v>
      </c>
      <c r="C3433" t="s">
        <v>5458</v>
      </c>
      <c r="D3433" t="s">
        <v>10236</v>
      </c>
      <c r="E3433">
        <v>9</v>
      </c>
      <c r="F3433" t="str">
        <f>IF(AND(Entities[[#This Row],[ENT_TYPE]]="County",RIGHT(Entities[[#This Row],[ENT_NAME]],6)&lt;&gt;"County"),_xlfn.TEXTJOIN(" ",TRUE,Entities[[#This Row],[ENT_NAME]],"County"),Entities[[#This Row],[ENT_NAME]])</f>
        <v>Lamesa</v>
      </c>
    </row>
    <row r="3434" spans="1:6" x14ac:dyDescent="0.25">
      <c r="A3434" s="303" t="s">
        <v>10237</v>
      </c>
      <c r="B3434" s="303" t="str">
        <f t="shared" si="53"/>
        <v>x09003169</v>
      </c>
      <c r="C3434" t="s">
        <v>5458</v>
      </c>
      <c r="D3434" t="s">
        <v>10238</v>
      </c>
      <c r="E3434">
        <v>9</v>
      </c>
      <c r="F3434" t="str">
        <f>IF(AND(Entities[[#This Row],[ENT_TYPE]]="County",RIGHT(Entities[[#This Row],[ENT_NAME]],6)&lt;&gt;"County"),_xlfn.TEXTJOIN(" ",TRUE,Entities[[#This Row],[ENT_NAME]],"County"),Entities[[#This Row],[ENT_NAME]])</f>
        <v>Sundown</v>
      </c>
    </row>
    <row r="3435" spans="1:6" x14ac:dyDescent="0.25">
      <c r="A3435" s="303" t="s">
        <v>10239</v>
      </c>
      <c r="B3435" s="303" t="str">
        <f t="shared" si="53"/>
        <v>x09003231</v>
      </c>
      <c r="C3435" t="s">
        <v>5458</v>
      </c>
      <c r="D3435" t="s">
        <v>10240</v>
      </c>
      <c r="E3435">
        <v>9</v>
      </c>
      <c r="F3435" t="str">
        <f>IF(AND(Entities[[#This Row],[ENT_TYPE]]="County",RIGHT(Entities[[#This Row],[ENT_NAME]],6)&lt;&gt;"County"),_xlfn.TEXTJOIN(" ",TRUE,Entities[[#This Row],[ENT_NAME]],"County"),Entities[[#This Row],[ENT_NAME]])</f>
        <v>Seminole</v>
      </c>
    </row>
    <row r="3436" spans="1:6" x14ac:dyDescent="0.25">
      <c r="A3436" s="303" t="s">
        <v>10241</v>
      </c>
      <c r="B3436" s="303" t="str">
        <f t="shared" si="53"/>
        <v>x09003257</v>
      </c>
      <c r="C3436" t="s">
        <v>5458</v>
      </c>
      <c r="D3436" t="s">
        <v>10242</v>
      </c>
      <c r="E3436">
        <v>9</v>
      </c>
      <c r="F3436" t="str">
        <f>IF(AND(Entities[[#This Row],[ENT_TYPE]]="County",RIGHT(Entities[[#This Row],[ENT_NAME]],6)&lt;&gt;"County"),_xlfn.TEXTJOIN(" ",TRUE,Entities[[#This Row],[ENT_NAME]],"County"),Entities[[#This Row],[ENT_NAME]])</f>
        <v>San Angelo</v>
      </c>
    </row>
    <row r="3437" spans="1:6" x14ac:dyDescent="0.25">
      <c r="A3437" s="303" t="s">
        <v>10243</v>
      </c>
      <c r="B3437" s="303" t="str">
        <f t="shared" si="53"/>
        <v>x09003309</v>
      </c>
      <c r="C3437" t="s">
        <v>5458</v>
      </c>
      <c r="D3437" t="s">
        <v>10244</v>
      </c>
      <c r="E3437">
        <v>9</v>
      </c>
      <c r="F3437" t="str">
        <f>IF(AND(Entities[[#This Row],[ENT_TYPE]]="County",RIGHT(Entities[[#This Row],[ENT_NAME]],6)&lt;&gt;"County"),_xlfn.TEXTJOIN(" ",TRUE,Entities[[#This Row],[ENT_NAME]],"County"),Entities[[#This Row],[ENT_NAME]])</f>
        <v>Snyder</v>
      </c>
    </row>
    <row r="3438" spans="1:6" x14ac:dyDescent="0.25">
      <c r="A3438" s="303" t="s">
        <v>969</v>
      </c>
      <c r="B3438" s="303" t="str">
        <f t="shared" si="53"/>
        <v>x09003317</v>
      </c>
      <c r="C3438" t="s">
        <v>5458</v>
      </c>
      <c r="D3438" t="s">
        <v>10245</v>
      </c>
      <c r="E3438">
        <v>9</v>
      </c>
      <c r="F3438" t="str">
        <f>IF(AND(Entities[[#This Row],[ENT_TYPE]]="County",RIGHT(Entities[[#This Row],[ENT_NAME]],6)&lt;&gt;"County"),_xlfn.TEXTJOIN(" ",TRUE,Entities[[#This Row],[ENT_NAME]],"County"),Entities[[#This Row],[ENT_NAME]])</f>
        <v>Meadow</v>
      </c>
    </row>
    <row r="3439" spans="1:6" x14ac:dyDescent="0.25">
      <c r="A3439" s="303" t="s">
        <v>10246</v>
      </c>
      <c r="B3439" s="303" t="str">
        <f t="shared" si="53"/>
        <v>x09003374</v>
      </c>
      <c r="C3439" t="s">
        <v>5458</v>
      </c>
      <c r="D3439" t="s">
        <v>10247</v>
      </c>
      <c r="E3439">
        <v>9</v>
      </c>
      <c r="F3439" t="str">
        <f>IF(AND(Entities[[#This Row],[ENT_TYPE]]="County",RIGHT(Entities[[#This Row],[ENT_NAME]],6)&lt;&gt;"County"),_xlfn.TEXTJOIN(" ",TRUE,Entities[[#This Row],[ENT_NAME]],"County"),Entities[[#This Row],[ENT_NAME]])</f>
        <v>Winters</v>
      </c>
    </row>
    <row r="3440" spans="1:6" x14ac:dyDescent="0.25">
      <c r="A3440" s="303" t="s">
        <v>10248</v>
      </c>
      <c r="B3440" s="303" t="str">
        <f t="shared" si="53"/>
        <v>x09003385</v>
      </c>
      <c r="C3440" t="s">
        <v>5458</v>
      </c>
      <c r="D3440" t="s">
        <v>10249</v>
      </c>
      <c r="E3440">
        <v>9</v>
      </c>
      <c r="F3440" t="str">
        <f>IF(AND(Entities[[#This Row],[ENT_TYPE]]="County",RIGHT(Entities[[#This Row],[ENT_NAME]],6)&lt;&gt;"County"),_xlfn.TEXTJOIN(" ",TRUE,Entities[[#This Row],[ENT_NAME]],"County"),Entities[[#This Row],[ENT_NAME]])</f>
        <v>Coahoma</v>
      </c>
    </row>
    <row r="3441" spans="1:6" x14ac:dyDescent="0.25">
      <c r="A3441" s="303" t="s">
        <v>10250</v>
      </c>
      <c r="B3441" s="303" t="str">
        <f t="shared" si="53"/>
        <v>x09003386</v>
      </c>
      <c r="C3441" t="s">
        <v>5458</v>
      </c>
      <c r="D3441" t="s">
        <v>10251</v>
      </c>
      <c r="E3441">
        <v>9</v>
      </c>
      <c r="F3441" t="str">
        <f>IF(AND(Entities[[#This Row],[ENT_TYPE]]="County",RIGHT(Entities[[#This Row],[ENT_NAME]],6)&lt;&gt;"County"),_xlfn.TEXTJOIN(" ",TRUE,Entities[[#This Row],[ENT_NAME]],"County"),Entities[[#This Row],[ENT_NAME]])</f>
        <v>Forsan</v>
      </c>
    </row>
    <row r="3442" spans="1:6" x14ac:dyDescent="0.25">
      <c r="A3442" s="303" t="s">
        <v>10252</v>
      </c>
      <c r="B3442" s="303" t="str">
        <f t="shared" si="53"/>
        <v>x09003421</v>
      </c>
      <c r="C3442" t="s">
        <v>5458</v>
      </c>
      <c r="D3442" t="s">
        <v>10253</v>
      </c>
      <c r="E3442">
        <v>9</v>
      </c>
      <c r="F3442" t="str">
        <f>IF(AND(Entities[[#This Row],[ENT_TYPE]]="County",RIGHT(Entities[[#This Row],[ENT_NAME]],6)&lt;&gt;"County"),_xlfn.TEXTJOIN(" ",TRUE,Entities[[#This Row],[ENT_NAME]],"County"),Entities[[#This Row],[ENT_NAME]])</f>
        <v>Big Spring</v>
      </c>
    </row>
    <row r="3443" spans="1:6" x14ac:dyDescent="0.25">
      <c r="A3443" s="303" t="s">
        <v>10254</v>
      </c>
      <c r="B3443" s="303" t="str">
        <f t="shared" si="53"/>
        <v>x09003442</v>
      </c>
      <c r="C3443" t="s">
        <v>5458</v>
      </c>
      <c r="D3443" t="s">
        <v>10255</v>
      </c>
      <c r="E3443">
        <v>9</v>
      </c>
      <c r="F3443" t="str">
        <f>IF(AND(Entities[[#This Row],[ENT_TYPE]]="County",RIGHT(Entities[[#This Row],[ENT_NAME]],6)&lt;&gt;"County"),_xlfn.TEXTJOIN(" ",TRUE,Entities[[#This Row],[ENT_NAME]],"County"),Entities[[#This Row],[ENT_NAME]])</f>
        <v>Miles</v>
      </c>
    </row>
    <row r="3444" spans="1:6" x14ac:dyDescent="0.25">
      <c r="A3444" s="303" t="s">
        <v>10256</v>
      </c>
      <c r="B3444" s="303" t="str">
        <f t="shared" si="53"/>
        <v>x09003443</v>
      </c>
      <c r="C3444" t="s">
        <v>5458</v>
      </c>
      <c r="D3444" t="s">
        <v>10257</v>
      </c>
      <c r="E3444">
        <v>9</v>
      </c>
      <c r="F3444" t="str">
        <f>IF(AND(Entities[[#This Row],[ENT_TYPE]]="County",RIGHT(Entities[[#This Row],[ENT_NAME]],6)&lt;&gt;"County"),_xlfn.TEXTJOIN(" ",TRUE,Entities[[#This Row],[ENT_NAME]],"County"),Entities[[#This Row],[ENT_NAME]])</f>
        <v>Colorado City</v>
      </c>
    </row>
    <row r="3445" spans="1:6" x14ac:dyDescent="0.25">
      <c r="A3445" s="303" t="s">
        <v>10258</v>
      </c>
      <c r="B3445" s="303" t="str">
        <f t="shared" si="53"/>
        <v>x09003448</v>
      </c>
      <c r="C3445" t="s">
        <v>5458</v>
      </c>
      <c r="D3445" t="s">
        <v>10259</v>
      </c>
      <c r="E3445">
        <v>9</v>
      </c>
      <c r="F3445" t="str">
        <f>IF(AND(Entities[[#This Row],[ENT_TYPE]]="County",RIGHT(Entities[[#This Row],[ENT_NAME]],6)&lt;&gt;"County"),_xlfn.TEXTJOIN(" ",TRUE,Entities[[#This Row],[ENT_NAME]],"County"),Entities[[#This Row],[ENT_NAME]])</f>
        <v>Loraine</v>
      </c>
    </row>
    <row r="3446" spans="1:6" x14ac:dyDescent="0.25">
      <c r="A3446" s="303" t="s">
        <v>10260</v>
      </c>
      <c r="B3446" s="303" t="str">
        <f t="shared" si="53"/>
        <v>x09003449</v>
      </c>
      <c r="C3446" t="s">
        <v>5458</v>
      </c>
      <c r="D3446" t="s">
        <v>10261</v>
      </c>
      <c r="E3446">
        <v>9</v>
      </c>
      <c r="F3446" t="str">
        <f>IF(AND(Entities[[#This Row],[ENT_TYPE]]="County",RIGHT(Entities[[#This Row],[ENT_NAME]],6)&lt;&gt;"County"),_xlfn.TEXTJOIN(" ",TRUE,Entities[[#This Row],[ENT_NAME]],"County"),Entities[[#This Row],[ENT_NAME]])</f>
        <v>Westbrook</v>
      </c>
    </row>
    <row r="3447" spans="1:6" x14ac:dyDescent="0.25">
      <c r="A3447" s="303" t="s">
        <v>899</v>
      </c>
      <c r="B3447" s="303" t="str">
        <f t="shared" si="53"/>
        <v>x09003477</v>
      </c>
      <c r="C3447" t="s">
        <v>5458</v>
      </c>
      <c r="D3447" t="s">
        <v>10262</v>
      </c>
      <c r="E3447">
        <v>9</v>
      </c>
      <c r="F3447" t="str">
        <f>IF(AND(Entities[[#This Row],[ENT_TYPE]]="County",RIGHT(Entities[[#This Row],[ENT_NAME]],6)&lt;&gt;"County"),_xlfn.TEXTJOIN(" ",TRUE,Entities[[#This Row],[ENT_NAME]],"County"),Entities[[#This Row],[ENT_NAME]])</f>
        <v>Bronte</v>
      </c>
    </row>
    <row r="3448" spans="1:6" x14ac:dyDescent="0.25">
      <c r="A3448" s="303" t="s">
        <v>10263</v>
      </c>
      <c r="B3448" s="303" t="str">
        <f t="shared" si="53"/>
        <v>x09003482</v>
      </c>
      <c r="C3448" t="s">
        <v>5458</v>
      </c>
      <c r="D3448" t="s">
        <v>10264</v>
      </c>
      <c r="E3448">
        <v>9</v>
      </c>
      <c r="F3448" t="str">
        <f>IF(AND(Entities[[#This Row],[ENT_TYPE]]="County",RIGHT(Entities[[#This Row],[ENT_NAME]],6)&lt;&gt;"County"),_xlfn.TEXTJOIN(" ",TRUE,Entities[[#This Row],[ENT_NAME]],"County"),Entities[[#This Row],[ENT_NAME]])</f>
        <v>O'Donnell</v>
      </c>
    </row>
    <row r="3449" spans="1:6" x14ac:dyDescent="0.25">
      <c r="A3449" s="303" t="s">
        <v>10265</v>
      </c>
      <c r="B3449" s="303" t="str">
        <f t="shared" si="53"/>
        <v>x09003500</v>
      </c>
      <c r="C3449" t="s">
        <v>5458</v>
      </c>
      <c r="D3449" t="s">
        <v>10266</v>
      </c>
      <c r="E3449">
        <v>9</v>
      </c>
      <c r="F3449" t="str">
        <f>IF(AND(Entities[[#This Row],[ENT_TYPE]]="County",RIGHT(Entities[[#This Row],[ENT_NAME]],6)&lt;&gt;"County"),_xlfn.TEXTJOIN(" ",TRUE,Entities[[#This Row],[ENT_NAME]],"County"),Entities[[#This Row],[ENT_NAME]])</f>
        <v>Big Lake</v>
      </c>
    </row>
    <row r="3450" spans="1:6" x14ac:dyDescent="0.25">
      <c r="A3450" s="303" t="s">
        <v>10267</v>
      </c>
      <c r="B3450" s="303" t="str">
        <f t="shared" si="53"/>
        <v>x09003575</v>
      </c>
      <c r="C3450" t="s">
        <v>5458</v>
      </c>
      <c r="D3450" t="s">
        <v>10268</v>
      </c>
      <c r="E3450">
        <v>9</v>
      </c>
      <c r="F3450" t="str">
        <f>IF(AND(Entities[[#This Row],[ENT_TYPE]]="County",RIGHT(Entities[[#This Row],[ENT_NAME]],6)&lt;&gt;"County"),_xlfn.TEXTJOIN(" ",TRUE,Entities[[#This Row],[ENT_NAME]],"County"),Entities[[#This Row],[ENT_NAME]])</f>
        <v>Ackerly</v>
      </c>
    </row>
    <row r="3451" spans="1:6" x14ac:dyDescent="0.25">
      <c r="A3451" s="303" t="s">
        <v>10269</v>
      </c>
      <c r="B3451" s="303" t="str">
        <f t="shared" si="53"/>
        <v>x09003576</v>
      </c>
      <c r="C3451" t="s">
        <v>5458</v>
      </c>
      <c r="D3451" t="s">
        <v>10270</v>
      </c>
      <c r="E3451">
        <v>9</v>
      </c>
      <c r="F3451" t="str">
        <f>IF(AND(Entities[[#This Row],[ENT_TYPE]]="County",RIGHT(Entities[[#This Row],[ENT_NAME]],6)&lt;&gt;"County"),_xlfn.TEXTJOIN(" ",TRUE,Entities[[#This Row],[ENT_NAME]],"County"),Entities[[#This Row],[ENT_NAME]])</f>
        <v>Goldsmith</v>
      </c>
    </row>
    <row r="3452" spans="1:6" x14ac:dyDescent="0.25">
      <c r="A3452" s="305" t="s">
        <v>10271</v>
      </c>
      <c r="B3452" s="303" t="str">
        <f t="shared" si="53"/>
        <v>x10000004</v>
      </c>
      <c r="C3452" t="s">
        <v>4947</v>
      </c>
      <c r="D3452" t="s">
        <v>10272</v>
      </c>
      <c r="E3452">
        <v>10</v>
      </c>
      <c r="F3452" t="str">
        <f>IF(AND(Entities[[#This Row],[ENT_TYPE]]="County",RIGHT(Entities[[#This Row],[ENT_NAME]],6)&lt;&gt;"County"),_xlfn.TEXTJOIN(" ",TRUE,Entities[[#This Row],[ENT_NAME]],"County"),Entities[[#This Row],[ENT_NAME]])</f>
        <v>Wharton County</v>
      </c>
    </row>
    <row r="3453" spans="1:6" x14ac:dyDescent="0.25">
      <c r="A3453" s="305" t="s">
        <v>10273</v>
      </c>
      <c r="B3453" s="303" t="str">
        <f t="shared" si="53"/>
        <v>x10000012</v>
      </c>
      <c r="C3453" t="s">
        <v>4947</v>
      </c>
      <c r="D3453" t="s">
        <v>10274</v>
      </c>
      <c r="E3453">
        <v>10</v>
      </c>
      <c r="F3453" t="str">
        <f>IF(AND(Entities[[#This Row],[ENT_TYPE]]="County",RIGHT(Entities[[#This Row],[ENT_NAME]],6)&lt;&gt;"County"),_xlfn.TEXTJOIN(" ",TRUE,Entities[[#This Row],[ENT_NAME]],"County"),Entities[[#This Row],[ENT_NAME]])</f>
        <v>Colorado County</v>
      </c>
    </row>
    <row r="3454" spans="1:6" x14ac:dyDescent="0.25">
      <c r="A3454" s="303" t="s">
        <v>10275</v>
      </c>
      <c r="B3454" s="303" t="str">
        <f t="shared" si="53"/>
        <v>x10000039</v>
      </c>
      <c r="C3454" t="s">
        <v>4947</v>
      </c>
      <c r="D3454" t="s">
        <v>10276</v>
      </c>
      <c r="E3454">
        <v>10</v>
      </c>
      <c r="F3454" t="str">
        <f>IF(AND(Entities[[#This Row],[ENT_TYPE]]="County",RIGHT(Entities[[#This Row],[ENT_NAME]],6)&lt;&gt;"County"),_xlfn.TEXTJOIN(" ",TRUE,Entities[[#This Row],[ENT_NAME]],"County"),Entities[[#This Row],[ENT_NAME]])</f>
        <v>Kimble County</v>
      </c>
    </row>
    <row r="3455" spans="1:6" x14ac:dyDescent="0.25">
      <c r="A3455" s="305" t="s">
        <v>10277</v>
      </c>
      <c r="B3455" s="303" t="str">
        <f t="shared" si="53"/>
        <v>x10000045</v>
      </c>
      <c r="C3455" t="s">
        <v>4947</v>
      </c>
      <c r="D3455" t="s">
        <v>10278</v>
      </c>
      <c r="E3455">
        <v>10</v>
      </c>
      <c r="F3455" t="str">
        <f>IF(AND(Entities[[#This Row],[ENT_TYPE]]="County",RIGHT(Entities[[#This Row],[ENT_NAME]],6)&lt;&gt;"County"),_xlfn.TEXTJOIN(" ",TRUE,Entities[[#This Row],[ENT_NAME]],"County"),Entities[[#This Row],[ENT_NAME]])</f>
        <v>Llano  County</v>
      </c>
    </row>
    <row r="3456" spans="1:6" x14ac:dyDescent="0.25">
      <c r="A3456" s="305" t="s">
        <v>10279</v>
      </c>
      <c r="B3456" s="303" t="str">
        <f t="shared" si="53"/>
        <v>x10000046</v>
      </c>
      <c r="C3456" t="s">
        <v>4947</v>
      </c>
      <c r="D3456" t="s">
        <v>10280</v>
      </c>
      <c r="E3456">
        <v>10</v>
      </c>
      <c r="F3456" t="str">
        <f>IF(AND(Entities[[#This Row],[ENT_TYPE]]="County",RIGHT(Entities[[#This Row],[ENT_NAME]],6)&lt;&gt;"County"),_xlfn.TEXTJOIN(" ",TRUE,Entities[[#This Row],[ENT_NAME]],"County"),Entities[[#This Row],[ENT_NAME]])</f>
        <v>Mason County</v>
      </c>
    </row>
    <row r="3457" spans="1:6" x14ac:dyDescent="0.25">
      <c r="A3457" s="305" t="s">
        <v>10281</v>
      </c>
      <c r="B3457" s="303" t="str">
        <f t="shared" si="53"/>
        <v>x10000066</v>
      </c>
      <c r="C3457" t="s">
        <v>4947</v>
      </c>
      <c r="D3457" t="s">
        <v>10282</v>
      </c>
      <c r="E3457">
        <v>10</v>
      </c>
      <c r="F3457" t="str">
        <f>IF(AND(Entities[[#This Row],[ENT_TYPE]]="County",RIGHT(Entities[[#This Row],[ENT_NAME]],6)&lt;&gt;"County"),_xlfn.TEXTJOIN(" ",TRUE,Entities[[#This Row],[ENT_NAME]],"County"),Entities[[#This Row],[ENT_NAME]])</f>
        <v>San Saba County</v>
      </c>
    </row>
    <row r="3458" spans="1:6" x14ac:dyDescent="0.25">
      <c r="A3458" s="303" t="s">
        <v>10283</v>
      </c>
      <c r="B3458" s="303" t="str">
        <f t="shared" ref="B3458:B3521" si="54">_xlfn.CONCAT("x",TEXT(A3458,"00000000"))</f>
        <v>x10000067</v>
      </c>
      <c r="C3458" t="s">
        <v>4947</v>
      </c>
      <c r="D3458" t="s">
        <v>10284</v>
      </c>
      <c r="E3458">
        <v>10</v>
      </c>
      <c r="F3458" t="str">
        <f>IF(AND(Entities[[#This Row],[ENT_TYPE]]="County",RIGHT(Entities[[#This Row],[ENT_NAME]],6)&lt;&gt;"County"),_xlfn.TEXTJOIN(" ",TRUE,Entities[[#This Row],[ENT_NAME]],"County"),Entities[[#This Row],[ENT_NAME]])</f>
        <v>McCulloch County</v>
      </c>
    </row>
    <row r="3459" spans="1:6" x14ac:dyDescent="0.25">
      <c r="A3459" s="305" t="s">
        <v>10285</v>
      </c>
      <c r="B3459" s="303" t="str">
        <f t="shared" si="54"/>
        <v>x10000097</v>
      </c>
      <c r="C3459" t="s">
        <v>4947</v>
      </c>
      <c r="D3459" t="s">
        <v>10286</v>
      </c>
      <c r="E3459">
        <v>10</v>
      </c>
      <c r="F3459" t="str">
        <f>IF(AND(Entities[[#This Row],[ENT_TYPE]]="County",RIGHT(Entities[[#This Row],[ENT_NAME]],6)&lt;&gt;"County"),_xlfn.TEXTJOIN(" ",TRUE,Entities[[#This Row],[ENT_NAME]],"County"),Entities[[#This Row],[ENT_NAME]])</f>
        <v>Matagorda County</v>
      </c>
    </row>
    <row r="3460" spans="1:6" x14ac:dyDescent="0.25">
      <c r="A3460" s="303" t="s">
        <v>10287</v>
      </c>
      <c r="B3460" s="303" t="str">
        <f t="shared" si="54"/>
        <v>x10000098</v>
      </c>
      <c r="C3460" t="s">
        <v>4947</v>
      </c>
      <c r="D3460" t="s">
        <v>10288</v>
      </c>
      <c r="E3460">
        <v>10</v>
      </c>
      <c r="F3460" t="str">
        <f>IF(AND(Entities[[#This Row],[ENT_TYPE]]="County",RIGHT(Entities[[#This Row],[ENT_NAME]],6)&lt;&gt;"County"),_xlfn.TEXTJOIN(" ",TRUE,Entities[[#This Row],[ENT_NAME]],"County"),Entities[[#This Row],[ENT_NAME]])</f>
        <v>Jackson County</v>
      </c>
    </row>
    <row r="3461" spans="1:6" x14ac:dyDescent="0.25">
      <c r="A3461" s="305" t="s">
        <v>10289</v>
      </c>
      <c r="B3461" s="303" t="str">
        <f t="shared" si="54"/>
        <v>x10000292</v>
      </c>
      <c r="C3461" t="s">
        <v>5127</v>
      </c>
      <c r="D3461" t="s">
        <v>10290</v>
      </c>
      <c r="E3461">
        <v>10</v>
      </c>
      <c r="F3461" t="str">
        <f>IF(AND(Entities[[#This Row],[ENT_TYPE]]="County",RIGHT(Entities[[#This Row],[ENT_NAME]],6)&lt;&gt;"County"),_xlfn.TEXTJOIN(" ",TRUE,Entities[[#This Row],[ENT_NAME]],"County"),Entities[[#This Row],[ENT_NAME]])</f>
        <v>Lavaca - Navidad River Authority</v>
      </c>
    </row>
    <row r="3462" spans="1:6" x14ac:dyDescent="0.25">
      <c r="A3462" s="303" t="s">
        <v>10291</v>
      </c>
      <c r="B3462" s="303" t="str">
        <f t="shared" si="54"/>
        <v>x10000325</v>
      </c>
      <c r="C3462" t="s">
        <v>4</v>
      </c>
      <c r="D3462" t="s">
        <v>10292</v>
      </c>
      <c r="E3462">
        <v>10</v>
      </c>
      <c r="F3462" t="str">
        <f>IF(AND(Entities[[#This Row],[ENT_TYPE]]="County",RIGHT(Entities[[#This Row],[ENT_NAME]],6)&lt;&gt;"County"),_xlfn.TEXTJOIN(" ",TRUE,Entities[[#This Row],[ENT_NAME]],"County"),Entities[[#This Row],[ENT_NAME]])</f>
        <v>Fort Bend County MUD 231</v>
      </c>
    </row>
    <row r="3463" spans="1:6" x14ac:dyDescent="0.25">
      <c r="A3463" s="305" t="s">
        <v>10293</v>
      </c>
      <c r="B3463" s="303" t="str">
        <f t="shared" si="54"/>
        <v>x10000357</v>
      </c>
      <c r="C3463" t="s">
        <v>4</v>
      </c>
      <c r="D3463" t="s">
        <v>10294</v>
      </c>
      <c r="E3463">
        <v>10</v>
      </c>
      <c r="F3463" t="str">
        <f>IF(AND(Entities[[#This Row],[ENT_TYPE]]="County",RIGHT(Entities[[#This Row],[ENT_NAME]],6)&lt;&gt;"County"),_xlfn.TEXTJOIN(" ",TRUE,Entities[[#This Row],[ENT_NAME]],"County"),Entities[[#This Row],[ENT_NAME]])</f>
        <v>Jackson County Navigation District</v>
      </c>
    </row>
    <row r="3464" spans="1:6" x14ac:dyDescent="0.25">
      <c r="A3464" s="303" t="s">
        <v>10295</v>
      </c>
      <c r="B3464" s="303" t="str">
        <f t="shared" si="54"/>
        <v>x10000367</v>
      </c>
      <c r="C3464" t="s">
        <v>4</v>
      </c>
      <c r="D3464" t="s">
        <v>10296</v>
      </c>
      <c r="E3464">
        <v>10</v>
      </c>
      <c r="F3464" t="str">
        <f>IF(AND(Entities[[#This Row],[ENT_TYPE]]="County",RIGHT(Entities[[#This Row],[ENT_NAME]],6)&lt;&gt;"County"),_xlfn.TEXTJOIN(" ",TRUE,Entities[[#This Row],[ENT_NAME]],"County"),Entities[[#This Row],[ENT_NAME]])</f>
        <v>Lazy Nine MUD 1E</v>
      </c>
    </row>
    <row r="3465" spans="1:6" x14ac:dyDescent="0.25">
      <c r="A3465" s="305" t="s">
        <v>10297</v>
      </c>
      <c r="B3465" s="303" t="str">
        <f t="shared" si="54"/>
        <v>x10000377</v>
      </c>
      <c r="C3465" t="s">
        <v>5166</v>
      </c>
      <c r="D3465" t="s">
        <v>10298</v>
      </c>
      <c r="E3465">
        <v>10</v>
      </c>
      <c r="F3465" t="str">
        <f>IF(AND(Entities[[#This Row],[ENT_TYPE]]="County",RIGHT(Entities[[#This Row],[ENT_NAME]],6)&lt;&gt;"County"),_xlfn.TEXTJOIN(" ",TRUE,Entities[[#This Row],[ENT_NAME]],"County"),Entities[[#This Row],[ENT_NAME]])</f>
        <v>Saddletree WCID</v>
      </c>
    </row>
    <row r="3466" spans="1:6" x14ac:dyDescent="0.25">
      <c r="A3466" s="305" t="s">
        <v>10299</v>
      </c>
      <c r="B3466" s="303" t="str">
        <f t="shared" si="54"/>
        <v>x10000398</v>
      </c>
      <c r="C3466" t="s">
        <v>5166</v>
      </c>
      <c r="D3466" t="s">
        <v>10300</v>
      </c>
      <c r="E3466">
        <v>10</v>
      </c>
      <c r="F3466" t="str">
        <f>IF(AND(Entities[[#This Row],[ENT_TYPE]]="County",RIGHT(Entities[[#This Row],[ENT_NAME]],6)&lt;&gt;"County"),_xlfn.TEXTJOIN(" ",TRUE,Entities[[#This Row],[ENT_NAME]],"County"),Entities[[#This Row],[ENT_NAME]])</f>
        <v>Matagorda County Drainage District 3</v>
      </c>
    </row>
    <row r="3467" spans="1:6" x14ac:dyDescent="0.25">
      <c r="A3467" s="303" t="s">
        <v>10301</v>
      </c>
      <c r="B3467" s="303" t="str">
        <f t="shared" si="54"/>
        <v>x10000408</v>
      </c>
      <c r="C3467" t="s">
        <v>4</v>
      </c>
      <c r="D3467" t="s">
        <v>10302</v>
      </c>
      <c r="E3467">
        <v>10</v>
      </c>
      <c r="F3467" t="str">
        <f>IF(AND(Entities[[#This Row],[ENT_TYPE]]="County",RIGHT(Entities[[#This Row],[ENT_NAME]],6)&lt;&gt;"County"),_xlfn.TEXTJOIN(" ",TRUE,Entities[[#This Row],[ENT_NAME]],"County"),Entities[[#This Row],[ENT_NAME]])</f>
        <v>Matagorda County Navigation District 1</v>
      </c>
    </row>
    <row r="3468" spans="1:6" x14ac:dyDescent="0.25">
      <c r="A3468" s="305" t="s">
        <v>10303</v>
      </c>
      <c r="B3468" s="303" t="str">
        <f t="shared" si="54"/>
        <v>x10000419</v>
      </c>
      <c r="C3468" t="s">
        <v>5166</v>
      </c>
      <c r="D3468" t="s">
        <v>10304</v>
      </c>
      <c r="E3468">
        <v>10</v>
      </c>
      <c r="F3468" t="str">
        <f>IF(AND(Entities[[#This Row],[ENT_TYPE]]="County",RIGHT(Entities[[#This Row],[ENT_NAME]],6)&lt;&gt;"County"),_xlfn.TEXTJOIN(" ",TRUE,Entities[[#This Row],[ENT_NAME]],"County"),Entities[[#This Row],[ENT_NAME]])</f>
        <v>Calhoun County Drainage District 10</v>
      </c>
    </row>
    <row r="3469" spans="1:6" x14ac:dyDescent="0.25">
      <c r="A3469" s="303" t="s">
        <v>10305</v>
      </c>
      <c r="B3469" s="303" t="str">
        <f t="shared" si="54"/>
        <v>x10000420</v>
      </c>
      <c r="C3469" t="s">
        <v>5166</v>
      </c>
      <c r="D3469" t="s">
        <v>10306</v>
      </c>
      <c r="E3469">
        <v>10</v>
      </c>
      <c r="F3469" t="str">
        <f>IF(AND(Entities[[#This Row],[ENT_TYPE]]="County",RIGHT(Entities[[#This Row],[ENT_NAME]],6)&lt;&gt;"County"),_xlfn.TEXTJOIN(" ",TRUE,Entities[[#This Row],[ENT_NAME]],"County"),Entities[[#This Row],[ENT_NAME]])</f>
        <v>Calhoun County Drainage District 11</v>
      </c>
    </row>
    <row r="3470" spans="1:6" x14ac:dyDescent="0.25">
      <c r="A3470" s="305" t="s">
        <v>10307</v>
      </c>
      <c r="B3470" s="303" t="str">
        <f t="shared" si="54"/>
        <v>x10000428</v>
      </c>
      <c r="C3470" t="s">
        <v>4</v>
      </c>
      <c r="D3470" t="s">
        <v>10308</v>
      </c>
      <c r="E3470">
        <v>10</v>
      </c>
      <c r="F3470" t="str">
        <f>IF(AND(Entities[[#This Row],[ENT_TYPE]]="County",RIGHT(Entities[[#This Row],[ENT_NAME]],6)&lt;&gt;"County"),_xlfn.TEXTJOIN(" ",TRUE,Entities[[#This Row],[ENT_NAME]],"County"),Entities[[#This Row],[ENT_NAME]])</f>
        <v>New Sweden MUD 1</v>
      </c>
    </row>
    <row r="3471" spans="1:6" x14ac:dyDescent="0.25">
      <c r="A3471" s="303" t="s">
        <v>10309</v>
      </c>
      <c r="B3471" s="303" t="str">
        <f t="shared" si="54"/>
        <v>x10000442</v>
      </c>
      <c r="C3471" t="s">
        <v>5166</v>
      </c>
      <c r="D3471" t="s">
        <v>10310</v>
      </c>
      <c r="E3471">
        <v>10</v>
      </c>
      <c r="F3471" t="str">
        <f>IF(AND(Entities[[#This Row],[ENT_TYPE]]="County",RIGHT(Entities[[#This Row],[ENT_NAME]],6)&lt;&gt;"County"),_xlfn.TEXTJOIN(" ",TRUE,Entities[[#This Row],[ENT_NAME]],"County"),Entities[[#This Row],[ENT_NAME]])</f>
        <v>Burnet County WCID 1</v>
      </c>
    </row>
    <row r="3472" spans="1:6" x14ac:dyDescent="0.25">
      <c r="A3472" s="303" t="s">
        <v>10311</v>
      </c>
      <c r="B3472" s="303" t="str">
        <f t="shared" si="54"/>
        <v>x10000463</v>
      </c>
      <c r="C3472" t="s">
        <v>4</v>
      </c>
      <c r="D3472" t="s">
        <v>10312</v>
      </c>
      <c r="E3472">
        <v>10</v>
      </c>
      <c r="F3472" t="str">
        <f>IF(AND(Entities[[#This Row],[ENT_TYPE]]="County",RIGHT(Entities[[#This Row],[ENT_NAME]],6)&lt;&gt;"County"),_xlfn.TEXTJOIN(" ",TRUE,Entities[[#This Row],[ENT_NAME]],"County"),Entities[[#This Row],[ENT_NAME]])</f>
        <v>Waterford MUD 1</v>
      </c>
    </row>
    <row r="3473" spans="1:6" x14ac:dyDescent="0.25">
      <c r="A3473" s="305" t="s">
        <v>10313</v>
      </c>
      <c r="B3473" s="303" t="str">
        <f t="shared" si="54"/>
        <v>x10000467</v>
      </c>
      <c r="C3473" t="s">
        <v>4</v>
      </c>
      <c r="D3473" t="s">
        <v>10314</v>
      </c>
      <c r="E3473">
        <v>10</v>
      </c>
      <c r="F3473" t="str">
        <f>IF(AND(Entities[[#This Row],[ENT_TYPE]]="County",RIGHT(Entities[[#This Row],[ENT_NAME]],6)&lt;&gt;"County"),_xlfn.TEXTJOIN(" ",TRUE,Entities[[#This Row],[ENT_NAME]],"County"),Entities[[#This Row],[ENT_NAME]])</f>
        <v>Bastrop County MUD 1</v>
      </c>
    </row>
    <row r="3474" spans="1:6" x14ac:dyDescent="0.25">
      <c r="A3474" s="303" t="s">
        <v>10315</v>
      </c>
      <c r="B3474" s="303" t="str">
        <f t="shared" si="54"/>
        <v>x10000476</v>
      </c>
      <c r="C3474" t="s">
        <v>5166</v>
      </c>
      <c r="D3474" t="s">
        <v>10316</v>
      </c>
      <c r="E3474">
        <v>10</v>
      </c>
      <c r="F3474" t="str">
        <f>IF(AND(Entities[[#This Row],[ENT_TYPE]]="County",RIGHT(Entities[[#This Row],[ENT_NAME]],6)&lt;&gt;"County"),_xlfn.TEXTJOIN(" ",TRUE,Entities[[#This Row],[ENT_NAME]],"County"),Entities[[#This Row],[ENT_NAME]])</f>
        <v>Calhoun County Drainage District 6</v>
      </c>
    </row>
    <row r="3475" spans="1:6" x14ac:dyDescent="0.25">
      <c r="A3475" s="305" t="s">
        <v>10317</v>
      </c>
      <c r="B3475" s="303" t="str">
        <f t="shared" si="54"/>
        <v>x10000492</v>
      </c>
      <c r="C3475" t="s">
        <v>5166</v>
      </c>
      <c r="D3475" t="s">
        <v>10318</v>
      </c>
      <c r="E3475">
        <v>10</v>
      </c>
      <c r="F3475" t="str">
        <f>IF(AND(Entities[[#This Row],[ENT_TYPE]]="County",RIGHT(Entities[[#This Row],[ENT_NAME]],6)&lt;&gt;"County"),_xlfn.TEXTJOIN(" ",TRUE,Entities[[#This Row],[ENT_NAME]],"County"),Entities[[#This Row],[ENT_NAME]])</f>
        <v>Greenhawe WCID 2</v>
      </c>
    </row>
    <row r="3476" spans="1:6" x14ac:dyDescent="0.25">
      <c r="A3476" s="303" t="s">
        <v>10319</v>
      </c>
      <c r="B3476" s="303" t="str">
        <f t="shared" si="54"/>
        <v>x10000506</v>
      </c>
      <c r="C3476" t="s">
        <v>4</v>
      </c>
      <c r="D3476" t="s">
        <v>10320</v>
      </c>
      <c r="E3476">
        <v>10</v>
      </c>
      <c r="F3476" t="str">
        <f>IF(AND(Entities[[#This Row],[ENT_TYPE]]="County",RIGHT(Entities[[#This Row],[ENT_NAME]],6)&lt;&gt;"County"),_xlfn.TEXTJOIN(" ",TRUE,Entities[[#This Row],[ENT_NAME]],"County"),Entities[[#This Row],[ENT_NAME]])</f>
        <v>The Colony MUD 1D</v>
      </c>
    </row>
    <row r="3477" spans="1:6" x14ac:dyDescent="0.25">
      <c r="A3477" s="305" t="s">
        <v>10321</v>
      </c>
      <c r="B3477" s="303" t="str">
        <f t="shared" si="54"/>
        <v>x10000532</v>
      </c>
      <c r="C3477" t="s">
        <v>5166</v>
      </c>
      <c r="D3477" t="s">
        <v>10322</v>
      </c>
      <c r="E3477">
        <v>10</v>
      </c>
      <c r="F3477" t="str">
        <f>IF(AND(Entities[[#This Row],[ENT_TYPE]]="County",RIGHT(Entities[[#This Row],[ENT_NAME]],6)&lt;&gt;"County"),_xlfn.TEXTJOIN(" ",TRUE,Entities[[#This Row],[ENT_NAME]],"County"),Entities[[#This Row],[ENT_NAME]])</f>
        <v>Wharton County WCID 1</v>
      </c>
    </row>
    <row r="3478" spans="1:6" x14ac:dyDescent="0.25">
      <c r="A3478" s="303" t="s">
        <v>10323</v>
      </c>
      <c r="B3478" s="303" t="str">
        <f t="shared" si="54"/>
        <v>x10000540</v>
      </c>
      <c r="C3478" t="s">
        <v>5166</v>
      </c>
      <c r="D3478" t="s">
        <v>10324</v>
      </c>
      <c r="E3478">
        <v>10</v>
      </c>
      <c r="F3478" t="str">
        <f>IF(AND(Entities[[#This Row],[ENT_TYPE]]="County",RIGHT(Entities[[#This Row],[ENT_NAME]],6)&lt;&gt;"County"),_xlfn.TEXTJOIN(" ",TRUE,Entities[[#This Row],[ENT_NAME]],"County"),Entities[[#This Row],[ENT_NAME]])</f>
        <v>South Central Calhoun County WCID 1</v>
      </c>
    </row>
    <row r="3479" spans="1:6" x14ac:dyDescent="0.25">
      <c r="A3479" s="303" t="s">
        <v>10325</v>
      </c>
      <c r="B3479" s="303" t="str">
        <f t="shared" si="54"/>
        <v>x10000593</v>
      </c>
      <c r="C3479" t="s">
        <v>5166</v>
      </c>
      <c r="D3479" t="s">
        <v>10326</v>
      </c>
      <c r="E3479">
        <v>10</v>
      </c>
      <c r="F3479" t="str">
        <f>IF(AND(Entities[[#This Row],[ENT_TYPE]]="County",RIGHT(Entities[[#This Row],[ENT_NAME]],6)&lt;&gt;"County"),_xlfn.TEXTJOIN(" ",TRUE,Entities[[#This Row],[ENT_NAME]],"County"),Entities[[#This Row],[ENT_NAME]])</f>
        <v>Deerhaven WCID</v>
      </c>
    </row>
    <row r="3480" spans="1:6" x14ac:dyDescent="0.25">
      <c r="A3480" s="305" t="s">
        <v>10327</v>
      </c>
      <c r="B3480" s="303" t="str">
        <f t="shared" si="54"/>
        <v>x10000633</v>
      </c>
      <c r="C3480" t="s">
        <v>4</v>
      </c>
      <c r="D3480" t="s">
        <v>10328</v>
      </c>
      <c r="E3480">
        <v>10</v>
      </c>
      <c r="F3480" t="str">
        <f>IF(AND(Entities[[#This Row],[ENT_TYPE]]="County",RIGHT(Entities[[#This Row],[ENT_NAME]],6)&lt;&gt;"County"),_xlfn.TEXTJOIN(" ",TRUE,Entities[[#This Row],[ENT_NAME]],"County"),Entities[[#This Row],[ENT_NAME]])</f>
        <v>Mason County River Authority</v>
      </c>
    </row>
    <row r="3481" spans="1:6" x14ac:dyDescent="0.25">
      <c r="A3481" s="303" t="s">
        <v>10329</v>
      </c>
      <c r="B3481" s="303" t="str">
        <f t="shared" si="54"/>
        <v>x10000669</v>
      </c>
      <c r="C3481" t="s">
        <v>5166</v>
      </c>
      <c r="D3481" t="s">
        <v>10330</v>
      </c>
      <c r="E3481">
        <v>10</v>
      </c>
      <c r="F3481" t="str">
        <f>IF(AND(Entities[[#This Row],[ENT_TYPE]]="County",RIGHT(Entities[[#This Row],[ENT_NAME]],6)&lt;&gt;"County"),_xlfn.TEXTJOIN(" ",TRUE,Entities[[#This Row],[ENT_NAME]],"County"),Entities[[#This Row],[ENT_NAME]])</f>
        <v>Matagorda County Drainage District 4</v>
      </c>
    </row>
    <row r="3482" spans="1:6" x14ac:dyDescent="0.25">
      <c r="A3482" s="305" t="s">
        <v>10331</v>
      </c>
      <c r="B3482" s="303" t="str">
        <f t="shared" si="54"/>
        <v>x10000705</v>
      </c>
      <c r="C3482" t="s">
        <v>5166</v>
      </c>
      <c r="D3482" t="s">
        <v>10332</v>
      </c>
      <c r="E3482">
        <v>10</v>
      </c>
      <c r="F3482" t="str">
        <f>IF(AND(Entities[[#This Row],[ENT_TYPE]]="County",RIGHT(Entities[[#This Row],[ENT_NAME]],6)&lt;&gt;"County"),_xlfn.TEXTJOIN(" ",TRUE,Entities[[#This Row],[ENT_NAME]],"County"),Entities[[#This Row],[ENT_NAME]])</f>
        <v>Cypress Ranch WCID 1</v>
      </c>
    </row>
    <row r="3483" spans="1:6" x14ac:dyDescent="0.25">
      <c r="A3483" s="303" t="s">
        <v>10333</v>
      </c>
      <c r="B3483" s="303" t="str">
        <f t="shared" si="54"/>
        <v>x10000708</v>
      </c>
      <c r="C3483" t="s">
        <v>4</v>
      </c>
      <c r="D3483" t="s">
        <v>10334</v>
      </c>
      <c r="E3483">
        <v>10</v>
      </c>
      <c r="F3483" t="str">
        <f>IF(AND(Entities[[#This Row],[ENT_TYPE]]="County",RIGHT(Entities[[#This Row],[ENT_NAME]],6)&lt;&gt;"County"),_xlfn.TEXTJOIN(" ",TRUE,Entities[[#This Row],[ENT_NAME]],"County"),Entities[[#This Row],[ENT_NAME]])</f>
        <v>Pilot Knob MUD 5</v>
      </c>
    </row>
    <row r="3484" spans="1:6" x14ac:dyDescent="0.25">
      <c r="A3484" s="305" t="s">
        <v>10335</v>
      </c>
      <c r="B3484" s="303" t="str">
        <f t="shared" si="54"/>
        <v>x10000709</v>
      </c>
      <c r="C3484" t="s">
        <v>4</v>
      </c>
      <c r="D3484" t="s">
        <v>10336</v>
      </c>
      <c r="E3484">
        <v>10</v>
      </c>
      <c r="F3484" t="str">
        <f>IF(AND(Entities[[#This Row],[ENT_TYPE]]="County",RIGHT(Entities[[#This Row],[ENT_NAME]],6)&lt;&gt;"County"),_xlfn.TEXTJOIN(" ",TRUE,Entities[[#This Row],[ENT_NAME]],"County"),Entities[[#This Row],[ENT_NAME]])</f>
        <v>Pilot Knob MUD 4</v>
      </c>
    </row>
    <row r="3485" spans="1:6" x14ac:dyDescent="0.25">
      <c r="A3485" s="303" t="s">
        <v>10337</v>
      </c>
      <c r="B3485" s="303" t="str">
        <f t="shared" si="54"/>
        <v>x10000712</v>
      </c>
      <c r="C3485" t="s">
        <v>4</v>
      </c>
      <c r="D3485" t="s">
        <v>10338</v>
      </c>
      <c r="E3485">
        <v>10</v>
      </c>
      <c r="F3485" t="str">
        <f>IF(AND(Entities[[#This Row],[ENT_TYPE]]="County",RIGHT(Entities[[#This Row],[ENT_NAME]],6)&lt;&gt;"County"),_xlfn.TEXTJOIN(" ",TRUE,Entities[[#This Row],[ENT_NAME]],"County"),Entities[[#This Row],[ENT_NAME]])</f>
        <v>Pilot Knob MUD 2</v>
      </c>
    </row>
    <row r="3486" spans="1:6" x14ac:dyDescent="0.25">
      <c r="A3486" s="305" t="s">
        <v>10339</v>
      </c>
      <c r="B3486" s="303" t="str">
        <f t="shared" si="54"/>
        <v>x10000723</v>
      </c>
      <c r="C3486" t="s">
        <v>5166</v>
      </c>
      <c r="D3486" t="s">
        <v>10340</v>
      </c>
      <c r="E3486">
        <v>10</v>
      </c>
      <c r="F3486" t="str">
        <f>IF(AND(Entities[[#This Row],[ENT_TYPE]]="County",RIGHT(Entities[[#This Row],[ENT_NAME]],6)&lt;&gt;"County"),_xlfn.TEXTJOIN(" ",TRUE,Entities[[#This Row],[ENT_NAME]],"County"),Entities[[#This Row],[ENT_NAME]])</f>
        <v>Matagorda County Drainage District 2</v>
      </c>
    </row>
    <row r="3487" spans="1:6" x14ac:dyDescent="0.25">
      <c r="A3487" s="303" t="s">
        <v>10341</v>
      </c>
      <c r="B3487" s="303" t="str">
        <f t="shared" si="54"/>
        <v>x10000735</v>
      </c>
      <c r="C3487" t="s">
        <v>4</v>
      </c>
      <c r="D3487" t="s">
        <v>10342</v>
      </c>
      <c r="E3487">
        <v>10</v>
      </c>
      <c r="F3487" t="str">
        <f>IF(AND(Entities[[#This Row],[ENT_TYPE]]="County",RIGHT(Entities[[#This Row],[ENT_NAME]],6)&lt;&gt;"County"),_xlfn.TEXTJOIN(" ",TRUE,Entities[[#This Row],[ENT_NAME]],"County"),Entities[[#This Row],[ENT_NAME]])</f>
        <v>SH130 MMD 1</v>
      </c>
    </row>
    <row r="3488" spans="1:6" x14ac:dyDescent="0.25">
      <c r="A3488" s="305" t="s">
        <v>10343</v>
      </c>
      <c r="B3488" s="303" t="str">
        <f t="shared" si="54"/>
        <v>x10000764</v>
      </c>
      <c r="C3488" t="s">
        <v>4</v>
      </c>
      <c r="D3488" t="s">
        <v>10344</v>
      </c>
      <c r="E3488">
        <v>10</v>
      </c>
      <c r="F3488" t="str">
        <f>IF(AND(Entities[[#This Row],[ENT_TYPE]]="County",RIGHT(Entities[[#This Row],[ENT_NAME]],6)&lt;&gt;"County"),_xlfn.TEXTJOIN(" ",TRUE,Entities[[#This Row],[ENT_NAME]],"County"),Entities[[#This Row],[ENT_NAME]])</f>
        <v>Travis County Improvement District 1</v>
      </c>
    </row>
    <row r="3489" spans="1:6" x14ac:dyDescent="0.25">
      <c r="A3489" s="303" t="s">
        <v>10345</v>
      </c>
      <c r="B3489" s="303" t="str">
        <f t="shared" si="54"/>
        <v>x10000769</v>
      </c>
      <c r="C3489" t="s">
        <v>4</v>
      </c>
      <c r="D3489" t="s">
        <v>10346</v>
      </c>
      <c r="E3489">
        <v>10</v>
      </c>
      <c r="F3489" t="str">
        <f>IF(AND(Entities[[#This Row],[ENT_TYPE]]="County",RIGHT(Entities[[#This Row],[ENT_NAME]],6)&lt;&gt;"County"),_xlfn.TEXTJOIN(" ",TRUE,Entities[[#This Row],[ENT_NAME]],"County"),Entities[[#This Row],[ENT_NAME]])</f>
        <v>Kingsland MUD</v>
      </c>
    </row>
    <row r="3490" spans="1:6" x14ac:dyDescent="0.25">
      <c r="A3490" s="305" t="s">
        <v>10347</v>
      </c>
      <c r="B3490" s="303" t="str">
        <f t="shared" si="54"/>
        <v>x10000780</v>
      </c>
      <c r="C3490" t="s">
        <v>4</v>
      </c>
      <c r="D3490" t="s">
        <v>10348</v>
      </c>
      <c r="E3490">
        <v>10</v>
      </c>
      <c r="F3490" t="str">
        <f>IF(AND(Entities[[#This Row],[ENT_TYPE]]="County",RIGHT(Entities[[#This Row],[ENT_NAME]],6)&lt;&gt;"County"),_xlfn.TEXTJOIN(" ",TRUE,Entities[[#This Row],[ENT_NAME]],"County"),Entities[[#This Row],[ENT_NAME]])</f>
        <v>Pilot Knob MUD 1</v>
      </c>
    </row>
    <row r="3491" spans="1:6" x14ac:dyDescent="0.25">
      <c r="A3491" s="305" t="s">
        <v>10349</v>
      </c>
      <c r="B3491" s="303" t="str">
        <f t="shared" si="54"/>
        <v>x10000787</v>
      </c>
      <c r="C3491" t="s">
        <v>4</v>
      </c>
      <c r="D3491" t="s">
        <v>10350</v>
      </c>
      <c r="E3491">
        <v>10</v>
      </c>
      <c r="F3491" t="str">
        <f>IF(AND(Entities[[#This Row],[ENT_TYPE]]="County",RIGHT(Entities[[#This Row],[ENT_NAME]],6)&lt;&gt;"County"),_xlfn.TEXTJOIN(" ",TRUE,Entities[[#This Row],[ENT_NAME]],"County"),Entities[[#This Row],[ENT_NAME]])</f>
        <v>Hays County MUD 5</v>
      </c>
    </row>
    <row r="3492" spans="1:6" x14ac:dyDescent="0.25">
      <c r="A3492" s="303" t="s">
        <v>10351</v>
      </c>
      <c r="B3492" s="303" t="str">
        <f t="shared" si="54"/>
        <v>x10000815</v>
      </c>
      <c r="C3492" t="s">
        <v>4</v>
      </c>
      <c r="D3492" t="s">
        <v>10352</v>
      </c>
      <c r="E3492">
        <v>10</v>
      </c>
      <c r="F3492" t="str">
        <f>IF(AND(Entities[[#This Row],[ENT_TYPE]]="County",RIGHT(Entities[[#This Row],[ENT_NAME]],6)&lt;&gt;"County"),_xlfn.TEXTJOIN(" ",TRUE,Entities[[#This Row],[ENT_NAME]],"County"),Entities[[#This Row],[ENT_NAME]])</f>
        <v>Bastrop County MUD 2</v>
      </c>
    </row>
    <row r="3493" spans="1:6" x14ac:dyDescent="0.25">
      <c r="A3493" s="305" t="s">
        <v>10353</v>
      </c>
      <c r="B3493" s="303" t="str">
        <f t="shared" si="54"/>
        <v>x10000827</v>
      </c>
      <c r="C3493" t="s">
        <v>4</v>
      </c>
      <c r="D3493" t="s">
        <v>10354</v>
      </c>
      <c r="E3493">
        <v>10</v>
      </c>
      <c r="F3493" t="str">
        <f>IF(AND(Entities[[#This Row],[ENT_TYPE]]="County",RIGHT(Entities[[#This Row],[ENT_NAME]],6)&lt;&gt;"County"),_xlfn.TEXTJOIN(" ",TRUE,Entities[[#This Row],[ENT_NAME]],"County"),Entities[[#This Row],[ENT_NAME]])</f>
        <v>The Colony MUD 1E</v>
      </c>
    </row>
    <row r="3494" spans="1:6" x14ac:dyDescent="0.25">
      <c r="A3494" s="303" t="s">
        <v>10355</v>
      </c>
      <c r="B3494" s="303" t="str">
        <f t="shared" si="54"/>
        <v>x10000870</v>
      </c>
      <c r="C3494" t="s">
        <v>4</v>
      </c>
      <c r="D3494" t="s">
        <v>10356</v>
      </c>
      <c r="E3494">
        <v>10</v>
      </c>
      <c r="F3494" t="str">
        <f>IF(AND(Entities[[#This Row],[ENT_TYPE]]="County",RIGHT(Entities[[#This Row],[ENT_NAME]],6)&lt;&gt;"County"),_xlfn.TEXTJOIN(" ",TRUE,Entities[[#This Row],[ENT_NAME]],"County"),Entities[[#This Row],[ENT_NAME]])</f>
        <v>Garfield MUD 1</v>
      </c>
    </row>
    <row r="3495" spans="1:6" x14ac:dyDescent="0.25">
      <c r="A3495" s="303" t="s">
        <v>10357</v>
      </c>
      <c r="B3495" s="303" t="str">
        <f t="shared" si="54"/>
        <v>x10000891</v>
      </c>
      <c r="C3495" t="s">
        <v>5166</v>
      </c>
      <c r="D3495" t="s">
        <v>10358</v>
      </c>
      <c r="E3495">
        <v>10</v>
      </c>
      <c r="F3495" t="str">
        <f>IF(AND(Entities[[#This Row],[ENT_TYPE]]="County",RIGHT(Entities[[#This Row],[ENT_NAME]],6)&lt;&gt;"County"),_xlfn.TEXTJOIN(" ",TRUE,Entities[[#This Row],[ENT_NAME]],"County"),Entities[[#This Row],[ENT_NAME]])</f>
        <v>Stonewall WCID</v>
      </c>
    </row>
    <row r="3496" spans="1:6" x14ac:dyDescent="0.25">
      <c r="A3496" s="305" t="s">
        <v>10359</v>
      </c>
      <c r="B3496" s="303" t="str">
        <f t="shared" si="54"/>
        <v>x10000895</v>
      </c>
      <c r="C3496" t="s">
        <v>4</v>
      </c>
      <c r="D3496" t="s">
        <v>10360</v>
      </c>
      <c r="E3496">
        <v>10</v>
      </c>
      <c r="F3496" t="str">
        <f>IF(AND(Entities[[#This Row],[ENT_TYPE]]="County",RIGHT(Entities[[#This Row],[ENT_NAME]],6)&lt;&gt;"County"),_xlfn.TEXTJOIN(" ",TRUE,Entities[[#This Row],[ENT_NAME]],"County"),Entities[[#This Row],[ENT_NAME]])</f>
        <v>Lost Creek MUD</v>
      </c>
    </row>
    <row r="3497" spans="1:6" x14ac:dyDescent="0.25">
      <c r="A3497" s="303" t="s">
        <v>10361</v>
      </c>
      <c r="B3497" s="303" t="str">
        <f t="shared" si="54"/>
        <v>x10000917</v>
      </c>
      <c r="C3497" t="s">
        <v>4</v>
      </c>
      <c r="D3497" t="s">
        <v>10362</v>
      </c>
      <c r="E3497">
        <v>10</v>
      </c>
      <c r="F3497" t="str">
        <f>IF(AND(Entities[[#This Row],[ENT_TYPE]]="County",RIGHT(Entities[[#This Row],[ENT_NAME]],6)&lt;&gt;"County"),_xlfn.TEXTJOIN(" ",TRUE,Entities[[#This Row],[ENT_NAME]],"County"),Entities[[#This Row],[ENT_NAME]])</f>
        <v>Lakeway MUD</v>
      </c>
    </row>
    <row r="3498" spans="1:6" x14ac:dyDescent="0.25">
      <c r="A3498" s="305" t="s">
        <v>10363</v>
      </c>
      <c r="B3498" s="303" t="str">
        <f t="shared" si="54"/>
        <v>x10000947</v>
      </c>
      <c r="C3498" t="s">
        <v>5166</v>
      </c>
      <c r="D3498" t="s">
        <v>10364</v>
      </c>
      <c r="E3498">
        <v>10</v>
      </c>
      <c r="F3498" t="str">
        <f>IF(AND(Entities[[#This Row],[ENT_TYPE]]="County",RIGHT(Entities[[#This Row],[ENT_NAME]],6)&lt;&gt;"County"),_xlfn.TEXTJOIN(" ",TRUE,Entities[[#This Row],[ENT_NAME]],"County"),Entities[[#This Row],[ENT_NAME]])</f>
        <v>Menard County WCID 1</v>
      </c>
    </row>
    <row r="3499" spans="1:6" x14ac:dyDescent="0.25">
      <c r="A3499" s="303" t="s">
        <v>10365</v>
      </c>
      <c r="B3499" s="303" t="str">
        <f t="shared" si="54"/>
        <v>x10000950</v>
      </c>
      <c r="C3499" t="s">
        <v>4</v>
      </c>
      <c r="D3499" t="s">
        <v>10366</v>
      </c>
      <c r="E3499">
        <v>10</v>
      </c>
      <c r="F3499" t="str">
        <f>IF(AND(Entities[[#This Row],[ENT_TYPE]]="County",RIGHT(Entities[[#This Row],[ENT_NAME]],6)&lt;&gt;"County"),_xlfn.TEXTJOIN(" ",TRUE,Entities[[#This Row],[ENT_NAME]],"County"),Entities[[#This Row],[ENT_NAME]])</f>
        <v>Richland SUD</v>
      </c>
    </row>
    <row r="3500" spans="1:6" x14ac:dyDescent="0.25">
      <c r="A3500" s="305" t="s">
        <v>10367</v>
      </c>
      <c r="B3500" s="303" t="str">
        <f t="shared" si="54"/>
        <v>x10000962</v>
      </c>
      <c r="C3500" t="s">
        <v>4</v>
      </c>
      <c r="D3500" t="s">
        <v>10368</v>
      </c>
      <c r="E3500">
        <v>10</v>
      </c>
      <c r="F3500" t="str">
        <f>IF(AND(Entities[[#This Row],[ENT_TYPE]]="County",RIGHT(Entities[[#This Row],[ENT_NAME]],6)&lt;&gt;"County"),_xlfn.TEXTJOIN(" ",TRUE,Entities[[#This Row],[ENT_NAME]],"County"),Entities[[#This Row],[ENT_NAME]])</f>
        <v>West Travis County MUD 8</v>
      </c>
    </row>
    <row r="3501" spans="1:6" x14ac:dyDescent="0.25">
      <c r="A3501" s="305" t="s">
        <v>10369</v>
      </c>
      <c r="B3501" s="303" t="str">
        <f t="shared" si="54"/>
        <v>x10000966</v>
      </c>
      <c r="C3501" t="s">
        <v>4</v>
      </c>
      <c r="D3501" t="s">
        <v>10370</v>
      </c>
      <c r="E3501">
        <v>10</v>
      </c>
      <c r="F3501" t="str">
        <f>IF(AND(Entities[[#This Row],[ENT_TYPE]]="County",RIGHT(Entities[[#This Row],[ENT_NAME]],6)&lt;&gt;"County"),_xlfn.TEXTJOIN(" ",TRUE,Entities[[#This Row],[ENT_NAME]],"County"),Entities[[#This Row],[ENT_NAME]])</f>
        <v>Northtown MUD</v>
      </c>
    </row>
    <row r="3502" spans="1:6" x14ac:dyDescent="0.25">
      <c r="A3502" s="303" t="s">
        <v>10371</v>
      </c>
      <c r="B3502" s="303" t="str">
        <f t="shared" si="54"/>
        <v>x10000967</v>
      </c>
      <c r="C3502" t="s">
        <v>4</v>
      </c>
      <c r="D3502" t="s">
        <v>10372</v>
      </c>
      <c r="E3502">
        <v>10</v>
      </c>
      <c r="F3502" t="str">
        <f>IF(AND(Entities[[#This Row],[ENT_TYPE]]="County",RIGHT(Entities[[#This Row],[ENT_NAME]],6)&lt;&gt;"County"),_xlfn.TEXTJOIN(" ",TRUE,Entities[[#This Row],[ENT_NAME]],"County"),Entities[[#This Row],[ENT_NAME]])</f>
        <v>Travis County MUD 8</v>
      </c>
    </row>
    <row r="3503" spans="1:6" x14ac:dyDescent="0.25">
      <c r="A3503" s="305" t="s">
        <v>10373</v>
      </c>
      <c r="B3503" s="303" t="str">
        <f t="shared" si="54"/>
        <v>x10000968</v>
      </c>
      <c r="C3503" t="s">
        <v>4</v>
      </c>
      <c r="D3503" t="s">
        <v>10374</v>
      </c>
      <c r="E3503">
        <v>10</v>
      </c>
      <c r="F3503" t="str">
        <f>IF(AND(Entities[[#This Row],[ENT_TYPE]]="County",RIGHT(Entities[[#This Row],[ENT_NAME]],6)&lt;&gt;"County"),_xlfn.TEXTJOIN(" ",TRUE,Entities[[#This Row],[ENT_NAME]],"County"),Entities[[#This Row],[ENT_NAME]])</f>
        <v>Travis County MUD 5</v>
      </c>
    </row>
    <row r="3504" spans="1:6" x14ac:dyDescent="0.25">
      <c r="A3504" s="303" t="s">
        <v>10375</v>
      </c>
      <c r="B3504" s="303" t="str">
        <f t="shared" si="54"/>
        <v>x10000974</v>
      </c>
      <c r="C3504" t="s">
        <v>4</v>
      </c>
      <c r="D3504" t="s">
        <v>10376</v>
      </c>
      <c r="E3504">
        <v>10</v>
      </c>
      <c r="F3504" t="str">
        <f>IF(AND(Entities[[#This Row],[ENT_TYPE]]="County",RIGHT(Entities[[#This Row],[ENT_NAME]],6)&lt;&gt;"County"),_xlfn.TEXTJOIN(" ",TRUE,Entities[[#This Row],[ENT_NAME]],"County"),Entities[[#This Row],[ENT_NAME]])</f>
        <v>Beach Road MUD</v>
      </c>
    </row>
    <row r="3505" spans="1:6" x14ac:dyDescent="0.25">
      <c r="A3505" s="303" t="s">
        <v>10377</v>
      </c>
      <c r="B3505" s="303" t="str">
        <f t="shared" si="54"/>
        <v>x10000990</v>
      </c>
      <c r="C3505" t="s">
        <v>4</v>
      </c>
      <c r="D3505" t="s">
        <v>10378</v>
      </c>
      <c r="E3505">
        <v>10</v>
      </c>
      <c r="F3505" t="str">
        <f>IF(AND(Entities[[#This Row],[ENT_TYPE]]="County",RIGHT(Entities[[#This Row],[ENT_NAME]],6)&lt;&gt;"County"),_xlfn.TEXTJOIN(" ",TRUE,Entities[[#This Row],[ENT_NAME]],"County"),Entities[[#This Row],[ENT_NAME]])</f>
        <v>Hays County MUD 6</v>
      </c>
    </row>
    <row r="3506" spans="1:6" x14ac:dyDescent="0.25">
      <c r="A3506" s="305" t="s">
        <v>10379</v>
      </c>
      <c r="B3506" s="303" t="str">
        <f t="shared" si="54"/>
        <v>x10001001</v>
      </c>
      <c r="C3506" t="s">
        <v>5166</v>
      </c>
      <c r="D3506" t="s">
        <v>10380</v>
      </c>
      <c r="E3506">
        <v>10</v>
      </c>
      <c r="F3506" t="str">
        <f>IF(AND(Entities[[#This Row],[ENT_TYPE]]="County",RIGHT(Entities[[#This Row],[ENT_NAME]],6)&lt;&gt;"County"),_xlfn.TEXTJOIN(" ",TRUE,Entities[[#This Row],[ENT_NAME]],"County"),Entities[[#This Row],[ENT_NAME]])</f>
        <v>Matagorda County WCID 6</v>
      </c>
    </row>
    <row r="3507" spans="1:6" x14ac:dyDescent="0.25">
      <c r="A3507" s="303" t="s">
        <v>10381</v>
      </c>
      <c r="B3507" s="303" t="str">
        <f t="shared" si="54"/>
        <v>x10001002</v>
      </c>
      <c r="C3507" t="s">
        <v>5166</v>
      </c>
      <c r="D3507" t="s">
        <v>10382</v>
      </c>
      <c r="E3507">
        <v>10</v>
      </c>
      <c r="F3507" t="str">
        <f>IF(AND(Entities[[#This Row],[ENT_TYPE]]="County",RIGHT(Entities[[#This Row],[ENT_NAME]],6)&lt;&gt;"County"),_xlfn.TEXTJOIN(" ",TRUE,Entities[[#This Row],[ENT_NAME]],"County"),Entities[[#This Row],[ENT_NAME]])</f>
        <v>Matagorda County WCID 5</v>
      </c>
    </row>
    <row r="3508" spans="1:6" x14ac:dyDescent="0.25">
      <c r="A3508" s="305" t="s">
        <v>10383</v>
      </c>
      <c r="B3508" s="303" t="str">
        <f t="shared" si="54"/>
        <v>x10001003</v>
      </c>
      <c r="C3508" t="s">
        <v>5166</v>
      </c>
      <c r="D3508" t="s">
        <v>10384</v>
      </c>
      <c r="E3508">
        <v>10</v>
      </c>
      <c r="F3508" t="str">
        <f>IF(AND(Entities[[#This Row],[ENT_TYPE]]="County",RIGHT(Entities[[#This Row],[ENT_NAME]],6)&lt;&gt;"County"),_xlfn.TEXTJOIN(" ",TRUE,Entities[[#This Row],[ENT_NAME]],"County"),Entities[[#This Row],[ENT_NAME]])</f>
        <v>Matagorda County WCID 2</v>
      </c>
    </row>
    <row r="3509" spans="1:6" x14ac:dyDescent="0.25">
      <c r="A3509" s="303" t="s">
        <v>10385</v>
      </c>
      <c r="B3509" s="303" t="str">
        <f t="shared" si="54"/>
        <v>x10001004</v>
      </c>
      <c r="C3509" t="s">
        <v>4</v>
      </c>
      <c r="D3509" t="s">
        <v>10386</v>
      </c>
      <c r="E3509">
        <v>10</v>
      </c>
      <c r="F3509" t="str">
        <f>IF(AND(Entities[[#This Row],[ENT_TYPE]]="County",RIGHT(Entities[[#This Row],[ENT_NAME]],6)&lt;&gt;"County"),_xlfn.TEXTJOIN(" ",TRUE,Entities[[#This Row],[ENT_NAME]],"County"),Entities[[#This Row],[ENT_NAME]])</f>
        <v>Markham MUD</v>
      </c>
    </row>
    <row r="3510" spans="1:6" x14ac:dyDescent="0.25">
      <c r="A3510" s="305" t="s">
        <v>10387</v>
      </c>
      <c r="B3510" s="303" t="str">
        <f t="shared" si="54"/>
        <v>x10001009</v>
      </c>
      <c r="C3510" t="s">
        <v>5166</v>
      </c>
      <c r="D3510" t="s">
        <v>10388</v>
      </c>
      <c r="E3510">
        <v>10</v>
      </c>
      <c r="F3510" t="str">
        <f>IF(AND(Entities[[#This Row],[ENT_TYPE]]="County",RIGHT(Entities[[#This Row],[ENT_NAME]],6)&lt;&gt;"County"),_xlfn.TEXTJOIN(" ",TRUE,Entities[[#This Row],[ENT_NAME]],"County"),Entities[[#This Row],[ENT_NAME]])</f>
        <v>Jackson County Countywide Drainage District</v>
      </c>
    </row>
    <row r="3511" spans="1:6" x14ac:dyDescent="0.25">
      <c r="A3511" s="303" t="s">
        <v>10389</v>
      </c>
      <c r="B3511" s="303" t="str">
        <f t="shared" si="54"/>
        <v>x10001012</v>
      </c>
      <c r="C3511" t="s">
        <v>4</v>
      </c>
      <c r="D3511" t="s">
        <v>10390</v>
      </c>
      <c r="E3511">
        <v>10</v>
      </c>
      <c r="F3511" t="str">
        <f>IF(AND(Entities[[#This Row],[ENT_TYPE]]="County",RIGHT(Entities[[#This Row],[ENT_NAME]],6)&lt;&gt;"County"),_xlfn.TEXTJOIN(" ",TRUE,Entities[[#This Row],[ENT_NAME]],"County"),Entities[[#This Row],[ENT_NAME]])</f>
        <v>Cottonwood Creek MUD 1</v>
      </c>
    </row>
    <row r="3512" spans="1:6" x14ac:dyDescent="0.25">
      <c r="A3512" s="305" t="s">
        <v>10391</v>
      </c>
      <c r="B3512" s="303" t="str">
        <f t="shared" si="54"/>
        <v>x10001017</v>
      </c>
      <c r="C3512" t="s">
        <v>5166</v>
      </c>
      <c r="D3512" t="s">
        <v>10392</v>
      </c>
      <c r="E3512">
        <v>10</v>
      </c>
      <c r="F3512" t="str">
        <f>IF(AND(Entities[[#This Row],[ENT_TYPE]]="County",RIGHT(Entities[[#This Row],[ENT_NAME]],6)&lt;&gt;"County"),_xlfn.TEXTJOIN(" ",TRUE,Entities[[#This Row],[ENT_NAME]],"County"),Entities[[#This Row],[ENT_NAME]])</f>
        <v>Wharton County WCID 2</v>
      </c>
    </row>
    <row r="3513" spans="1:6" x14ac:dyDescent="0.25">
      <c r="A3513" s="303" t="s">
        <v>10393</v>
      </c>
      <c r="B3513" s="303" t="str">
        <f t="shared" si="54"/>
        <v>x10001018</v>
      </c>
      <c r="C3513" t="s">
        <v>4</v>
      </c>
      <c r="D3513" t="s">
        <v>10394</v>
      </c>
      <c r="E3513">
        <v>10</v>
      </c>
      <c r="F3513" t="str">
        <f>IF(AND(Entities[[#This Row],[ENT_TYPE]]="County",RIGHT(Entities[[#This Row],[ENT_NAME]],6)&lt;&gt;"County"),_xlfn.TEXTJOIN(" ",TRUE,Entities[[#This Row],[ENT_NAME]],"County"),Entities[[#This Row],[ENT_NAME]])</f>
        <v>Hungerford MUD 1</v>
      </c>
    </row>
    <row r="3514" spans="1:6" x14ac:dyDescent="0.25">
      <c r="A3514" s="305" t="s">
        <v>10395</v>
      </c>
      <c r="B3514" s="303" t="str">
        <f t="shared" si="54"/>
        <v>x10001019</v>
      </c>
      <c r="C3514" t="s">
        <v>4</v>
      </c>
      <c r="D3514" t="s">
        <v>10396</v>
      </c>
      <c r="E3514">
        <v>10</v>
      </c>
      <c r="F3514" t="str">
        <f>IF(AND(Entities[[#This Row],[ENT_TYPE]]="County",RIGHT(Entities[[#This Row],[ENT_NAME]],6)&lt;&gt;"County"),_xlfn.TEXTJOIN(" ",TRUE,Entities[[#This Row],[ENT_NAME]],"County"),Entities[[#This Row],[ENT_NAME]])</f>
        <v>Isaacson MUD</v>
      </c>
    </row>
    <row r="3515" spans="1:6" x14ac:dyDescent="0.25">
      <c r="A3515" s="303" t="s">
        <v>10397</v>
      </c>
      <c r="B3515" s="303" t="str">
        <f t="shared" si="54"/>
        <v>x10001023</v>
      </c>
      <c r="C3515" t="s">
        <v>5166</v>
      </c>
      <c r="D3515" t="s">
        <v>10398</v>
      </c>
      <c r="E3515">
        <v>10</v>
      </c>
      <c r="F3515" t="str">
        <f>IF(AND(Entities[[#This Row],[ENT_TYPE]]="County",RIGHT(Entities[[#This Row],[ENT_NAME]],6)&lt;&gt;"County"),_xlfn.TEXTJOIN(" ",TRUE,Entities[[#This Row],[ENT_NAME]],"County"),Entities[[#This Row],[ENT_NAME]])</f>
        <v>Victoria County WCID 2</v>
      </c>
    </row>
    <row r="3516" spans="1:6" x14ac:dyDescent="0.25">
      <c r="A3516" s="305" t="s">
        <v>10399</v>
      </c>
      <c r="B3516" s="303" t="str">
        <f t="shared" si="54"/>
        <v>x10001025</v>
      </c>
      <c r="C3516" t="s">
        <v>5166</v>
      </c>
      <c r="D3516" t="s">
        <v>10400</v>
      </c>
      <c r="E3516">
        <v>10</v>
      </c>
      <c r="F3516" t="str">
        <f>IF(AND(Entities[[#This Row],[ENT_TYPE]]="County",RIGHT(Entities[[#This Row],[ENT_NAME]],6)&lt;&gt;"County"),_xlfn.TEXTJOIN(" ",TRUE,Entities[[#This Row],[ENT_NAME]],"County"),Entities[[#This Row],[ENT_NAME]])</f>
        <v>Kelly Lane WCID 2 of Travis Co.</v>
      </c>
    </row>
    <row r="3517" spans="1:6" x14ac:dyDescent="0.25">
      <c r="A3517" s="303" t="s">
        <v>10401</v>
      </c>
      <c r="B3517" s="303" t="str">
        <f t="shared" si="54"/>
        <v>x10001028</v>
      </c>
      <c r="C3517" t="s">
        <v>4</v>
      </c>
      <c r="D3517" t="s">
        <v>10402</v>
      </c>
      <c r="E3517">
        <v>10</v>
      </c>
      <c r="F3517" t="str">
        <f>IF(AND(Entities[[#This Row],[ENT_TYPE]]="County",RIGHT(Entities[[#This Row],[ENT_NAME]],6)&lt;&gt;"County"),_xlfn.TEXTJOIN(" ",TRUE,Entities[[#This Row],[ENT_NAME]],"County"),Entities[[#This Row],[ENT_NAME]])</f>
        <v>Lazy Nine MUD 1B</v>
      </c>
    </row>
    <row r="3518" spans="1:6" x14ac:dyDescent="0.25">
      <c r="A3518" s="305" t="s">
        <v>10403</v>
      </c>
      <c r="B3518" s="303" t="str">
        <f t="shared" si="54"/>
        <v>x10001034</v>
      </c>
      <c r="C3518" t="s">
        <v>4</v>
      </c>
      <c r="D3518" t="s">
        <v>10404</v>
      </c>
      <c r="E3518">
        <v>10</v>
      </c>
      <c r="F3518" t="str">
        <f>IF(AND(Entities[[#This Row],[ENT_TYPE]]="County",RIGHT(Entities[[#This Row],[ENT_NAME]],6)&lt;&gt;"County"),_xlfn.TEXTJOIN(" ",TRUE,Entities[[#This Row],[ENT_NAME]],"County"),Entities[[#This Row],[ENT_NAME]])</f>
        <v>Volente MUD</v>
      </c>
    </row>
    <row r="3519" spans="1:6" x14ac:dyDescent="0.25">
      <c r="A3519" s="305" t="s">
        <v>10405</v>
      </c>
      <c r="B3519" s="303" t="str">
        <f t="shared" si="54"/>
        <v>x10001047</v>
      </c>
      <c r="C3519" t="s">
        <v>4</v>
      </c>
      <c r="D3519" t="s">
        <v>10406</v>
      </c>
      <c r="E3519">
        <v>10</v>
      </c>
      <c r="F3519" t="str">
        <f>IF(AND(Entities[[#This Row],[ENT_TYPE]]="County",RIGHT(Entities[[#This Row],[ENT_NAME]],6)&lt;&gt;"County"),_xlfn.TEXTJOIN(" ",TRUE,Entities[[#This Row],[ENT_NAME]],"County"),Entities[[#This Row],[ENT_NAME]])</f>
        <v>Caney Creek MUD of Matagorda County</v>
      </c>
    </row>
    <row r="3520" spans="1:6" x14ac:dyDescent="0.25">
      <c r="A3520" s="303" t="s">
        <v>10407</v>
      </c>
      <c r="B3520" s="303" t="str">
        <f t="shared" si="54"/>
        <v>x10001071</v>
      </c>
      <c r="C3520" t="s">
        <v>5166</v>
      </c>
      <c r="D3520" t="s">
        <v>10408</v>
      </c>
      <c r="E3520">
        <v>10</v>
      </c>
      <c r="F3520" t="str">
        <f>IF(AND(Entities[[#This Row],[ENT_TYPE]]="County",RIGHT(Entities[[#This Row],[ENT_NAME]],6)&lt;&gt;"County"),_xlfn.TEXTJOIN(" ",TRUE,Entities[[#This Row],[ENT_NAME]],"County"),Entities[[#This Row],[ENT_NAME]])</f>
        <v>Travis County WCID - Point Venture</v>
      </c>
    </row>
    <row r="3521" spans="1:6" x14ac:dyDescent="0.25">
      <c r="A3521" s="305" t="s">
        <v>10409</v>
      </c>
      <c r="B3521" s="303" t="str">
        <f t="shared" si="54"/>
        <v>x10001072</v>
      </c>
      <c r="C3521" t="s">
        <v>4</v>
      </c>
      <c r="D3521" t="s">
        <v>10410</v>
      </c>
      <c r="E3521">
        <v>10</v>
      </c>
      <c r="F3521" t="str">
        <f>IF(AND(Entities[[#This Row],[ENT_TYPE]]="County",RIGHT(Entities[[#This Row],[ENT_NAME]],6)&lt;&gt;"County"),_xlfn.TEXTJOIN(" ",TRUE,Entities[[#This Row],[ENT_NAME]],"County"),Entities[[#This Row],[ENT_NAME]])</f>
        <v>Travis County MUD 9</v>
      </c>
    </row>
    <row r="3522" spans="1:6" x14ac:dyDescent="0.25">
      <c r="A3522" s="303" t="s">
        <v>10411</v>
      </c>
      <c r="B3522" s="303" t="str">
        <f t="shared" ref="B3522:B3585" si="55">_xlfn.CONCAT("x",TEXT(A3522,"00000000"))</f>
        <v>x10001073</v>
      </c>
      <c r="C3522" t="s">
        <v>4</v>
      </c>
      <c r="D3522" t="s">
        <v>10412</v>
      </c>
      <c r="E3522">
        <v>10</v>
      </c>
      <c r="F3522" t="str">
        <f>IF(AND(Entities[[#This Row],[ENT_TYPE]]="County",RIGHT(Entities[[#This Row],[ENT_NAME]],6)&lt;&gt;"County"),_xlfn.TEXTJOIN(" ",TRUE,Entities[[#This Row],[ENT_NAME]],"County"),Entities[[#This Row],[ENT_NAME]])</f>
        <v>Travis County MUD 7</v>
      </c>
    </row>
    <row r="3523" spans="1:6" x14ac:dyDescent="0.25">
      <c r="A3523" s="305" t="s">
        <v>10413</v>
      </c>
      <c r="B3523" s="303" t="str">
        <f t="shared" si="55"/>
        <v>x10001074</v>
      </c>
      <c r="C3523" t="s">
        <v>4</v>
      </c>
      <c r="D3523" t="s">
        <v>10414</v>
      </c>
      <c r="E3523">
        <v>10</v>
      </c>
      <c r="F3523" t="str">
        <f>IF(AND(Entities[[#This Row],[ENT_TYPE]]="County",RIGHT(Entities[[#This Row],[ENT_NAME]],6)&lt;&gt;"County"),_xlfn.TEXTJOIN(" ",TRUE,Entities[[#This Row],[ENT_NAME]],"County"),Entities[[#This Row],[ENT_NAME]])</f>
        <v>Travis County MUD 6</v>
      </c>
    </row>
    <row r="3524" spans="1:6" x14ac:dyDescent="0.25">
      <c r="A3524" s="303" t="s">
        <v>10415</v>
      </c>
      <c r="B3524" s="303" t="str">
        <f t="shared" si="55"/>
        <v>x10001079</v>
      </c>
      <c r="C3524" t="s">
        <v>5166</v>
      </c>
      <c r="D3524" t="s">
        <v>10416</v>
      </c>
      <c r="E3524">
        <v>10</v>
      </c>
      <c r="F3524" t="str">
        <f>IF(AND(Entities[[#This Row],[ENT_TYPE]]="County",RIGHT(Entities[[#This Row],[ENT_NAME]],6)&lt;&gt;"County"),_xlfn.TEXTJOIN(" ",TRUE,Entities[[#This Row],[ENT_NAME]],"County"),Entities[[#This Row],[ENT_NAME]])</f>
        <v>Kelly Lane WCID 1 of Travis Co</v>
      </c>
    </row>
    <row r="3525" spans="1:6" x14ac:dyDescent="0.25">
      <c r="A3525" s="305" t="s">
        <v>10417</v>
      </c>
      <c r="B3525" s="303" t="str">
        <f t="shared" si="55"/>
        <v>x10001088</v>
      </c>
      <c r="C3525" t="s">
        <v>5166</v>
      </c>
      <c r="D3525" t="s">
        <v>10418</v>
      </c>
      <c r="E3525">
        <v>10</v>
      </c>
      <c r="F3525" t="str">
        <f>IF(AND(Entities[[#This Row],[ENT_TYPE]]="County",RIGHT(Entities[[#This Row],[ENT_NAME]],6)&lt;&gt;"County"),_xlfn.TEXTJOIN(" ",TRUE,Entities[[#This Row],[ENT_NAME]],"County"),Entities[[#This Row],[ENT_NAME]])</f>
        <v>Lakeside WCID 1</v>
      </c>
    </row>
    <row r="3526" spans="1:6" x14ac:dyDescent="0.25">
      <c r="A3526" s="303" t="s">
        <v>10419</v>
      </c>
      <c r="B3526" s="303" t="str">
        <f t="shared" si="55"/>
        <v>x10001091</v>
      </c>
      <c r="C3526" t="s">
        <v>4</v>
      </c>
      <c r="D3526" t="s">
        <v>10420</v>
      </c>
      <c r="E3526">
        <v>10</v>
      </c>
      <c r="F3526" t="str">
        <f>IF(AND(Entities[[#This Row],[ENT_TYPE]]="County",RIGHT(Entities[[#This Row],[ENT_NAME]],6)&lt;&gt;"County"),_xlfn.TEXTJOIN(" ",TRUE,Entities[[#This Row],[ENT_NAME]],"County"),Entities[[#This Row],[ENT_NAME]])</f>
        <v>Elgin MUD 1</v>
      </c>
    </row>
    <row r="3527" spans="1:6" x14ac:dyDescent="0.25">
      <c r="A3527" s="305" t="s">
        <v>10421</v>
      </c>
      <c r="B3527" s="303" t="str">
        <f t="shared" si="55"/>
        <v>x10001092</v>
      </c>
      <c r="C3527" t="s">
        <v>4</v>
      </c>
      <c r="D3527" t="s">
        <v>10422</v>
      </c>
      <c r="E3527">
        <v>10</v>
      </c>
      <c r="F3527" t="str">
        <f>IF(AND(Entities[[#This Row],[ENT_TYPE]]="County",RIGHT(Entities[[#This Row],[ENT_NAME]],6)&lt;&gt;"County"),_xlfn.TEXTJOIN(" ",TRUE,Entities[[#This Row],[ENT_NAME]],"County"),Entities[[#This Row],[ENT_NAME]])</f>
        <v>Elgin MUD 2</v>
      </c>
    </row>
    <row r="3528" spans="1:6" x14ac:dyDescent="0.25">
      <c r="A3528" s="303" t="s">
        <v>10423</v>
      </c>
      <c r="B3528" s="303" t="str">
        <f t="shared" si="55"/>
        <v>x10001096</v>
      </c>
      <c r="C3528" t="s">
        <v>4</v>
      </c>
      <c r="D3528" t="s">
        <v>10424</v>
      </c>
      <c r="E3528">
        <v>10</v>
      </c>
      <c r="F3528" t="str">
        <f>IF(AND(Entities[[#This Row],[ENT_TYPE]]="County",RIGHT(Entities[[#This Row],[ENT_NAME]],6)&lt;&gt;"County"),_xlfn.TEXTJOIN(" ",TRUE,Entities[[#This Row],[ENT_NAME]],"County"),Entities[[#This Row],[ENT_NAME]])</f>
        <v>Northeast Growth Corridor WSI&amp;D District 2</v>
      </c>
    </row>
    <row r="3529" spans="1:6" x14ac:dyDescent="0.25">
      <c r="A3529" s="305" t="s">
        <v>10425</v>
      </c>
      <c r="B3529" s="303" t="str">
        <f t="shared" si="55"/>
        <v>x10001101</v>
      </c>
      <c r="C3529" t="s">
        <v>4</v>
      </c>
      <c r="D3529" t="s">
        <v>10426</v>
      </c>
      <c r="E3529">
        <v>10</v>
      </c>
      <c r="F3529" t="str">
        <f>IF(AND(Entities[[#This Row],[ENT_TYPE]]="County",RIGHT(Entities[[#This Row],[ENT_NAME]],6)&lt;&gt;"County"),_xlfn.TEXTJOIN(" ",TRUE,Entities[[#This Row],[ENT_NAME]],"County"),Entities[[#This Row],[ENT_NAME]])</f>
        <v>The Calhoun Port Authority</v>
      </c>
    </row>
    <row r="3530" spans="1:6" x14ac:dyDescent="0.25">
      <c r="A3530" s="303" t="s">
        <v>10427</v>
      </c>
      <c r="B3530" s="303" t="str">
        <f t="shared" si="55"/>
        <v>x10001102</v>
      </c>
      <c r="C3530" t="s">
        <v>4</v>
      </c>
      <c r="D3530" t="s">
        <v>10428</v>
      </c>
      <c r="E3530">
        <v>10</v>
      </c>
      <c r="F3530" t="str">
        <f>IF(AND(Entities[[#This Row],[ENT_TYPE]]="County",RIGHT(Entities[[#This Row],[ENT_NAME]],6)&lt;&gt;"County"),_xlfn.TEXTJOIN(" ",TRUE,Entities[[#This Row],[ENT_NAME]],"County"),Entities[[#This Row],[ENT_NAME]])</f>
        <v>Bella Vista MUD</v>
      </c>
    </row>
    <row r="3531" spans="1:6" x14ac:dyDescent="0.25">
      <c r="A3531" s="305" t="s">
        <v>10429</v>
      </c>
      <c r="B3531" s="303" t="str">
        <f t="shared" si="55"/>
        <v>x10001106</v>
      </c>
      <c r="C3531" t="s">
        <v>4</v>
      </c>
      <c r="D3531" t="s">
        <v>10430</v>
      </c>
      <c r="E3531">
        <v>10</v>
      </c>
      <c r="F3531" t="str">
        <f>IF(AND(Entities[[#This Row],[ENT_TYPE]]="County",RIGHT(Entities[[#This Row],[ENT_NAME]],6)&lt;&gt;"County"),_xlfn.TEXTJOIN(" ",TRUE,Entities[[#This Row],[ENT_NAME]],"County"),Entities[[#This Row],[ENT_NAME]])</f>
        <v>Shady Hollow MUD</v>
      </c>
    </row>
    <row r="3532" spans="1:6" x14ac:dyDescent="0.25">
      <c r="A3532" s="303" t="s">
        <v>10431</v>
      </c>
      <c r="B3532" s="303" t="str">
        <f t="shared" si="55"/>
        <v>x10001112</v>
      </c>
      <c r="C3532" t="s">
        <v>4</v>
      </c>
      <c r="D3532" t="s">
        <v>10432</v>
      </c>
      <c r="E3532">
        <v>10</v>
      </c>
      <c r="F3532" t="str">
        <f>IF(AND(Entities[[#This Row],[ENT_TYPE]]="County",RIGHT(Entities[[#This Row],[ENT_NAME]],6)&lt;&gt;"County"),_xlfn.TEXTJOIN(" ",TRUE,Entities[[#This Row],[ENT_NAME]],"County"),Entities[[#This Row],[ENT_NAME]])</f>
        <v>Southeast Travis County MUD 1</v>
      </c>
    </row>
    <row r="3533" spans="1:6" x14ac:dyDescent="0.25">
      <c r="A3533" s="305" t="s">
        <v>10433</v>
      </c>
      <c r="B3533" s="303" t="str">
        <f t="shared" si="55"/>
        <v>x10001113</v>
      </c>
      <c r="C3533" t="s">
        <v>4</v>
      </c>
      <c r="D3533" t="s">
        <v>10434</v>
      </c>
      <c r="E3533">
        <v>10</v>
      </c>
      <c r="F3533" t="str">
        <f>IF(AND(Entities[[#This Row],[ENT_TYPE]]="County",RIGHT(Entities[[#This Row],[ENT_NAME]],6)&lt;&gt;"County"),_xlfn.TEXTJOIN(" ",TRUE,Entities[[#This Row],[ENT_NAME]],"County"),Entities[[#This Row],[ENT_NAME]])</f>
        <v>Southeast Travis County MUD 4</v>
      </c>
    </row>
    <row r="3534" spans="1:6" x14ac:dyDescent="0.25">
      <c r="A3534" s="303" t="s">
        <v>10435</v>
      </c>
      <c r="B3534" s="303" t="str">
        <f t="shared" si="55"/>
        <v>x10001114</v>
      </c>
      <c r="C3534" t="s">
        <v>4</v>
      </c>
      <c r="D3534" t="s">
        <v>10436</v>
      </c>
      <c r="E3534">
        <v>10</v>
      </c>
      <c r="F3534" t="str">
        <f>IF(AND(Entities[[#This Row],[ENT_TYPE]]="County",RIGHT(Entities[[#This Row],[ENT_NAME]],6)&lt;&gt;"County"),_xlfn.TEXTJOIN(" ",TRUE,Entities[[#This Row],[ENT_NAME]],"County"),Entities[[#This Row],[ENT_NAME]])</f>
        <v>Southeast Travis County MUD 3</v>
      </c>
    </row>
    <row r="3535" spans="1:6" x14ac:dyDescent="0.25">
      <c r="A3535" s="305" t="s">
        <v>10437</v>
      </c>
      <c r="B3535" s="303" t="str">
        <f t="shared" si="55"/>
        <v>x10001115</v>
      </c>
      <c r="C3535" t="s">
        <v>4</v>
      </c>
      <c r="D3535" t="s">
        <v>10438</v>
      </c>
      <c r="E3535">
        <v>10</v>
      </c>
      <c r="F3535" t="str">
        <f>IF(AND(Entities[[#This Row],[ENT_TYPE]]="County",RIGHT(Entities[[#This Row],[ENT_NAME]],6)&lt;&gt;"County"),_xlfn.TEXTJOIN(" ",TRUE,Entities[[#This Row],[ENT_NAME]],"County"),Entities[[#This Row],[ENT_NAME]])</f>
        <v>Southeast Travis County MUD 2</v>
      </c>
    </row>
    <row r="3536" spans="1:6" x14ac:dyDescent="0.25">
      <c r="A3536" s="303" t="s">
        <v>10439</v>
      </c>
      <c r="B3536" s="303" t="str">
        <f t="shared" si="55"/>
        <v>x10001118</v>
      </c>
      <c r="C3536" t="s">
        <v>5166</v>
      </c>
      <c r="D3536" t="s">
        <v>10440</v>
      </c>
      <c r="E3536">
        <v>10</v>
      </c>
      <c r="F3536" t="str">
        <f>IF(AND(Entities[[#This Row],[ENT_TYPE]]="County",RIGHT(Entities[[#This Row],[ENT_NAME]],6)&lt;&gt;"County"),_xlfn.TEXTJOIN(" ",TRUE,Entities[[#This Row],[ENT_NAME]],"County"),Entities[[#This Row],[ENT_NAME]])</f>
        <v>Williamson-Travis Counties WCID 1-G</v>
      </c>
    </row>
    <row r="3537" spans="1:6" x14ac:dyDescent="0.25">
      <c r="A3537" s="305" t="s">
        <v>10441</v>
      </c>
      <c r="B3537" s="303" t="str">
        <f t="shared" si="55"/>
        <v>x10001127</v>
      </c>
      <c r="C3537" t="s">
        <v>5166</v>
      </c>
      <c r="D3537" t="s">
        <v>10442</v>
      </c>
      <c r="E3537">
        <v>10</v>
      </c>
      <c r="F3537" t="str">
        <f>IF(AND(Entities[[#This Row],[ENT_TYPE]]="County",RIGHT(Entities[[#This Row],[ENT_NAME]],6)&lt;&gt;"County"),_xlfn.TEXTJOIN(" ",TRUE,Entities[[#This Row],[ENT_NAME]],"County"),Entities[[#This Row],[ENT_NAME]])</f>
        <v>Travis County WCID 17</v>
      </c>
    </row>
    <row r="3538" spans="1:6" x14ac:dyDescent="0.25">
      <c r="A3538" s="303" t="s">
        <v>10443</v>
      </c>
      <c r="B3538" s="303" t="str">
        <f t="shared" si="55"/>
        <v>x10001129</v>
      </c>
      <c r="C3538" t="s">
        <v>4</v>
      </c>
      <c r="D3538" t="s">
        <v>10444</v>
      </c>
      <c r="E3538">
        <v>10</v>
      </c>
      <c r="F3538" t="str">
        <f>IF(AND(Entities[[#This Row],[ENT_TYPE]]="County",RIGHT(Entities[[#This Row],[ENT_NAME]],6)&lt;&gt;"County"),_xlfn.TEXTJOIN(" ",TRUE,Entities[[#This Row],[ENT_NAME]],"County"),Entities[[#This Row],[ENT_NAME]])</f>
        <v>New Sweden MUD 3</v>
      </c>
    </row>
    <row r="3539" spans="1:6" x14ac:dyDescent="0.25">
      <c r="A3539" s="305" t="s">
        <v>10445</v>
      </c>
      <c r="B3539" s="303" t="str">
        <f t="shared" si="55"/>
        <v>x10001139</v>
      </c>
      <c r="C3539" t="s">
        <v>4</v>
      </c>
      <c r="D3539" t="s">
        <v>10446</v>
      </c>
      <c r="E3539">
        <v>10</v>
      </c>
      <c r="F3539" t="str">
        <f>IF(AND(Entities[[#This Row],[ENT_TYPE]]="County",RIGHT(Entities[[#This Row],[ENT_NAME]],6)&lt;&gt;"County"),_xlfn.TEXTJOIN(" ",TRUE,Entities[[#This Row],[ENT_NAME]],"County"),Entities[[#This Row],[ENT_NAME]])</f>
        <v>Travis County MUD 10</v>
      </c>
    </row>
    <row r="3540" spans="1:6" x14ac:dyDescent="0.25">
      <c r="A3540" s="303" t="s">
        <v>10447</v>
      </c>
      <c r="B3540" s="303" t="str">
        <f t="shared" si="55"/>
        <v>x10001140</v>
      </c>
      <c r="C3540" t="s">
        <v>4</v>
      </c>
      <c r="D3540" t="s">
        <v>10448</v>
      </c>
      <c r="E3540">
        <v>10</v>
      </c>
      <c r="F3540" t="str">
        <f>IF(AND(Entities[[#This Row],[ENT_TYPE]]="County",RIGHT(Entities[[#This Row],[ENT_NAME]],6)&lt;&gt;"County"),_xlfn.TEXTJOIN(" ",TRUE,Entities[[#This Row],[ENT_NAME]],"County"),Entities[[#This Row],[ENT_NAME]])</f>
        <v>Belvedere MUD</v>
      </c>
    </row>
    <row r="3541" spans="1:6" x14ac:dyDescent="0.25">
      <c r="A3541" s="305" t="s">
        <v>10449</v>
      </c>
      <c r="B3541" s="303" t="str">
        <f t="shared" si="55"/>
        <v>x10001147</v>
      </c>
      <c r="C3541" t="s">
        <v>5166</v>
      </c>
      <c r="D3541" t="s">
        <v>10450</v>
      </c>
      <c r="E3541">
        <v>10</v>
      </c>
      <c r="F3541" t="str">
        <f>IF(AND(Entities[[#This Row],[ENT_TYPE]]="County",RIGHT(Entities[[#This Row],[ENT_NAME]],6)&lt;&gt;"County"),_xlfn.TEXTJOIN(" ",TRUE,Entities[[#This Row],[ENT_NAME]],"County"),Entities[[#This Row],[ENT_NAME]])</f>
        <v>Lakeside WCID 2-D</v>
      </c>
    </row>
    <row r="3542" spans="1:6" x14ac:dyDescent="0.25">
      <c r="A3542" s="303" t="s">
        <v>10451</v>
      </c>
      <c r="B3542" s="303" t="str">
        <f t="shared" si="55"/>
        <v>x10001167</v>
      </c>
      <c r="C3542" t="s">
        <v>4</v>
      </c>
      <c r="D3542" t="s">
        <v>10452</v>
      </c>
      <c r="E3542">
        <v>10</v>
      </c>
      <c r="F3542" t="str">
        <f>IF(AND(Entities[[#This Row],[ENT_TYPE]]="County",RIGHT(Entities[[#This Row],[ENT_NAME]],6)&lt;&gt;"County"),_xlfn.TEXTJOIN(" ",TRUE,Entities[[#This Row],[ENT_NAME]],"County"),Entities[[#This Row],[ENT_NAME]])</f>
        <v>Hurst Creek MUD</v>
      </c>
    </row>
    <row r="3543" spans="1:6" x14ac:dyDescent="0.25">
      <c r="A3543" s="305" t="s">
        <v>10453</v>
      </c>
      <c r="B3543" s="303" t="str">
        <f t="shared" si="55"/>
        <v>x10001173</v>
      </c>
      <c r="C3543" t="s">
        <v>5166</v>
      </c>
      <c r="D3543" t="s">
        <v>10454</v>
      </c>
      <c r="E3543">
        <v>10</v>
      </c>
      <c r="F3543" t="str">
        <f>IF(AND(Entities[[#This Row],[ENT_TYPE]]="County",RIGHT(Entities[[#This Row],[ENT_NAME]],6)&lt;&gt;"County"),_xlfn.TEXTJOIN(" ",TRUE,Entities[[#This Row],[ENT_NAME]],"County"),Entities[[#This Row],[ENT_NAME]])</f>
        <v>Lakeside WCID 2-B</v>
      </c>
    </row>
    <row r="3544" spans="1:6" x14ac:dyDescent="0.25">
      <c r="A3544" s="303" t="s">
        <v>10455</v>
      </c>
      <c r="B3544" s="303" t="str">
        <f t="shared" si="55"/>
        <v>x10001202</v>
      </c>
      <c r="C3544" t="s">
        <v>4</v>
      </c>
      <c r="D3544" t="s">
        <v>10456</v>
      </c>
      <c r="E3544">
        <v>10</v>
      </c>
      <c r="F3544" t="str">
        <f>IF(AND(Entities[[#This Row],[ENT_TYPE]]="County",RIGHT(Entities[[#This Row],[ENT_NAME]],6)&lt;&gt;"County"),_xlfn.TEXTJOIN(" ",TRUE,Entities[[#This Row],[ENT_NAME]],"County"),Entities[[#This Row],[ENT_NAME]])</f>
        <v>Travis County MUD 23</v>
      </c>
    </row>
    <row r="3545" spans="1:6" x14ac:dyDescent="0.25">
      <c r="A3545" s="305" t="s">
        <v>10457</v>
      </c>
      <c r="B3545" s="303" t="str">
        <f t="shared" si="55"/>
        <v>x10001211</v>
      </c>
      <c r="C3545" t="s">
        <v>5166</v>
      </c>
      <c r="D3545" t="s">
        <v>10458</v>
      </c>
      <c r="E3545">
        <v>10</v>
      </c>
      <c r="F3545" t="str">
        <f>IF(AND(Entities[[#This Row],[ENT_TYPE]]="County",RIGHT(Entities[[#This Row],[ENT_NAME]],6)&lt;&gt;"County"),_xlfn.TEXTJOIN(" ",TRUE,Entities[[#This Row],[ENT_NAME]],"County"),Entities[[#This Row],[ENT_NAME]])</f>
        <v>Travis County WCID 19</v>
      </c>
    </row>
    <row r="3546" spans="1:6" x14ac:dyDescent="0.25">
      <c r="A3546" s="303" t="s">
        <v>10459</v>
      </c>
      <c r="B3546" s="303" t="str">
        <f t="shared" si="55"/>
        <v>x10001215</v>
      </c>
      <c r="C3546" t="s">
        <v>5166</v>
      </c>
      <c r="D3546" t="s">
        <v>10460</v>
      </c>
      <c r="E3546">
        <v>10</v>
      </c>
      <c r="F3546" t="str">
        <f>IF(AND(Entities[[#This Row],[ENT_TYPE]]="County",RIGHT(Entities[[#This Row],[ENT_NAME]],6)&lt;&gt;"County"),_xlfn.TEXTJOIN(" ",TRUE,Entities[[#This Row],[ENT_NAME]],"County"),Entities[[#This Row],[ENT_NAME]])</f>
        <v>Bastrop County WCID 2</v>
      </c>
    </row>
    <row r="3547" spans="1:6" x14ac:dyDescent="0.25">
      <c r="A3547" s="305" t="s">
        <v>10461</v>
      </c>
      <c r="B3547" s="303" t="str">
        <f t="shared" si="55"/>
        <v>x10001248</v>
      </c>
      <c r="C3547" t="s">
        <v>4</v>
      </c>
      <c r="D3547" t="s">
        <v>10462</v>
      </c>
      <c r="E3547">
        <v>10</v>
      </c>
      <c r="F3547" t="str">
        <f>IF(AND(Entities[[#This Row],[ENT_TYPE]]="County",RIGHT(Entities[[#This Row],[ENT_NAME]],6)&lt;&gt;"County"),_xlfn.TEXTJOIN(" ",TRUE,Entities[[#This Row],[ENT_NAME]],"County"),Entities[[#This Row],[ENT_NAME]])</f>
        <v>Backbone Creek MUD 1</v>
      </c>
    </row>
    <row r="3548" spans="1:6" x14ac:dyDescent="0.25">
      <c r="A3548" s="303" t="s">
        <v>10463</v>
      </c>
      <c r="B3548" s="303" t="str">
        <f t="shared" si="55"/>
        <v>x10001256</v>
      </c>
      <c r="C3548" t="s">
        <v>4</v>
      </c>
      <c r="D3548" t="s">
        <v>10464</v>
      </c>
      <c r="E3548">
        <v>10</v>
      </c>
      <c r="F3548" t="str">
        <f>IF(AND(Entities[[#This Row],[ENT_TYPE]]="County",RIGHT(Entities[[#This Row],[ENT_NAME]],6)&lt;&gt;"County"),_xlfn.TEXTJOIN(" ",TRUE,Entities[[#This Row],[ENT_NAME]],"County"),Entities[[#This Row],[ENT_NAME]])</f>
        <v>Travis County MUD 13</v>
      </c>
    </row>
    <row r="3549" spans="1:6" x14ac:dyDescent="0.25">
      <c r="A3549" s="305" t="s">
        <v>10465</v>
      </c>
      <c r="B3549" s="303" t="str">
        <f t="shared" si="55"/>
        <v>x10001264</v>
      </c>
      <c r="C3549" t="s">
        <v>5166</v>
      </c>
      <c r="D3549" t="s">
        <v>10466</v>
      </c>
      <c r="E3549">
        <v>10</v>
      </c>
      <c r="F3549" t="str">
        <f>IF(AND(Entities[[#This Row],[ENT_TYPE]]="County",RIGHT(Entities[[#This Row],[ENT_NAME]],6)&lt;&gt;"County"),_xlfn.TEXTJOIN(" ",TRUE,Entities[[#This Row],[ENT_NAME]],"County"),Entities[[#This Row],[ENT_NAME]])</f>
        <v>Hays County WCID 1</v>
      </c>
    </row>
    <row r="3550" spans="1:6" x14ac:dyDescent="0.25">
      <c r="A3550" s="303" t="s">
        <v>10467</v>
      </c>
      <c r="B3550" s="303" t="str">
        <f t="shared" si="55"/>
        <v>x10001272</v>
      </c>
      <c r="C3550" t="s">
        <v>4</v>
      </c>
      <c r="D3550" t="s">
        <v>10468</v>
      </c>
      <c r="E3550">
        <v>10</v>
      </c>
      <c r="F3550" t="str">
        <f>IF(AND(Entities[[#This Row],[ENT_TYPE]]="County",RIGHT(Entities[[#This Row],[ENT_NAME]],6)&lt;&gt;"County"),_xlfn.TEXTJOIN(" ",TRUE,Entities[[#This Row],[ENT_NAME]],"County"),Entities[[#This Row],[ENT_NAME]])</f>
        <v>Senna Hills MUD</v>
      </c>
    </row>
    <row r="3551" spans="1:6" x14ac:dyDescent="0.25">
      <c r="A3551" s="305" t="s">
        <v>10469</v>
      </c>
      <c r="B3551" s="303" t="str">
        <f t="shared" si="55"/>
        <v>x10001283</v>
      </c>
      <c r="C3551" t="s">
        <v>5166</v>
      </c>
      <c r="D3551" t="s">
        <v>10470</v>
      </c>
      <c r="E3551">
        <v>10</v>
      </c>
      <c r="F3551" t="str">
        <f>IF(AND(Entities[[#This Row],[ENT_TYPE]]="County",RIGHT(Entities[[#This Row],[ENT_NAME]],6)&lt;&gt;"County"),_xlfn.TEXTJOIN(" ",TRUE,Entities[[#This Row],[ENT_NAME]],"County"),Entities[[#This Row],[ENT_NAME]])</f>
        <v>Travis County WCID 10</v>
      </c>
    </row>
    <row r="3552" spans="1:6" x14ac:dyDescent="0.25">
      <c r="A3552" s="303" t="s">
        <v>10471</v>
      </c>
      <c r="B3552" s="303" t="str">
        <f t="shared" si="55"/>
        <v>x10001290</v>
      </c>
      <c r="C3552" t="s">
        <v>4</v>
      </c>
      <c r="D3552" t="s">
        <v>10472</v>
      </c>
      <c r="E3552">
        <v>10</v>
      </c>
      <c r="F3552" t="str">
        <f>IF(AND(Entities[[#This Row],[ENT_TYPE]]="County",RIGHT(Entities[[#This Row],[ENT_NAME]],6)&lt;&gt;"County"),_xlfn.TEXTJOIN(" ",TRUE,Entities[[#This Row],[ENT_NAME]],"County"),Entities[[#This Row],[ENT_NAME]])</f>
        <v>West Bastrop Village MUD</v>
      </c>
    </row>
    <row r="3553" spans="1:6" x14ac:dyDescent="0.25">
      <c r="A3553" s="305" t="s">
        <v>10473</v>
      </c>
      <c r="B3553" s="303" t="str">
        <f t="shared" si="55"/>
        <v>x10001294</v>
      </c>
      <c r="C3553" t="s">
        <v>5166</v>
      </c>
      <c r="D3553" t="s">
        <v>10474</v>
      </c>
      <c r="E3553">
        <v>10</v>
      </c>
      <c r="F3553" t="str">
        <f>IF(AND(Entities[[#This Row],[ENT_TYPE]]="County",RIGHT(Entities[[#This Row],[ENT_NAME]],6)&lt;&gt;"County"),_xlfn.TEXTJOIN(" ",TRUE,Entities[[#This Row],[ENT_NAME]],"County"),Entities[[#This Row],[ENT_NAME]])</f>
        <v>Williamson-Travis Counties WCID 1-F</v>
      </c>
    </row>
    <row r="3554" spans="1:6" x14ac:dyDescent="0.25">
      <c r="A3554" s="303" t="s">
        <v>10475</v>
      </c>
      <c r="B3554" s="303" t="str">
        <f t="shared" si="55"/>
        <v>x10001297</v>
      </c>
      <c r="C3554" t="s">
        <v>4</v>
      </c>
      <c r="D3554" t="s">
        <v>10476</v>
      </c>
      <c r="E3554">
        <v>10</v>
      </c>
      <c r="F3554" t="str">
        <f>IF(AND(Entities[[#This Row],[ENT_TYPE]]="County",RIGHT(Entities[[#This Row],[ENT_NAME]],6)&lt;&gt;"County"),_xlfn.TEXTJOIN(" ",TRUE,Entities[[#This Row],[ENT_NAME]],"County"),Entities[[#This Row],[ENT_NAME]])</f>
        <v>Travis County MUD 18</v>
      </c>
    </row>
    <row r="3555" spans="1:6" x14ac:dyDescent="0.25">
      <c r="A3555" s="303" t="s">
        <v>10477</v>
      </c>
      <c r="B3555" s="303" t="str">
        <f t="shared" si="55"/>
        <v>x10001307</v>
      </c>
      <c r="C3555" t="s">
        <v>4</v>
      </c>
      <c r="D3555" t="s">
        <v>10478</v>
      </c>
      <c r="E3555">
        <v>10</v>
      </c>
      <c r="F3555" t="str">
        <f>IF(AND(Entities[[#This Row],[ENT_TYPE]]="County",RIGHT(Entities[[#This Row],[ENT_NAME]],6)&lt;&gt;"County"),_xlfn.TEXTJOIN(" ",TRUE,Entities[[#This Row],[ENT_NAME]],"County"),Entities[[#This Row],[ENT_NAME]])</f>
        <v>Travis County MUD 16</v>
      </c>
    </row>
    <row r="3556" spans="1:6" x14ac:dyDescent="0.25">
      <c r="A3556" s="305" t="s">
        <v>10479</v>
      </c>
      <c r="B3556" s="303" t="str">
        <f t="shared" si="55"/>
        <v>x10001312</v>
      </c>
      <c r="C3556" t="s">
        <v>4</v>
      </c>
      <c r="D3556" t="s">
        <v>10480</v>
      </c>
      <c r="E3556">
        <v>10</v>
      </c>
      <c r="F3556" t="str">
        <f>IF(AND(Entities[[#This Row],[ENT_TYPE]]="County",RIGHT(Entities[[#This Row],[ENT_NAME]],6)&lt;&gt;"County"),_xlfn.TEXTJOIN(" ",TRUE,Entities[[#This Row],[ENT_NAME]],"County"),Entities[[#This Row],[ENT_NAME]])</f>
        <v>Travis County MUD 12</v>
      </c>
    </row>
    <row r="3557" spans="1:6" x14ac:dyDescent="0.25">
      <c r="A3557" s="303" t="s">
        <v>10481</v>
      </c>
      <c r="B3557" s="303" t="str">
        <f t="shared" si="55"/>
        <v>x10001325</v>
      </c>
      <c r="C3557" t="s">
        <v>4</v>
      </c>
      <c r="D3557" t="s">
        <v>10482</v>
      </c>
      <c r="E3557">
        <v>10</v>
      </c>
      <c r="F3557" t="str">
        <f>IF(AND(Entities[[#This Row],[ENT_TYPE]]="County",RIGHT(Entities[[#This Row],[ENT_NAME]],6)&lt;&gt;"County"),_xlfn.TEXTJOIN(" ",TRUE,Entities[[#This Row],[ENT_NAME]],"County"),Entities[[#This Row],[ENT_NAME]])</f>
        <v>New Sweden MUD 2</v>
      </c>
    </row>
    <row r="3558" spans="1:6" x14ac:dyDescent="0.25">
      <c r="A3558" s="305" t="s">
        <v>10483</v>
      </c>
      <c r="B3558" s="303" t="str">
        <f t="shared" si="55"/>
        <v>x10001330</v>
      </c>
      <c r="C3558" t="s">
        <v>4</v>
      </c>
      <c r="D3558" t="s">
        <v>10484</v>
      </c>
      <c r="E3558">
        <v>10</v>
      </c>
      <c r="F3558" t="str">
        <f>IF(AND(Entities[[#This Row],[ENT_TYPE]]="County",RIGHT(Entities[[#This Row],[ENT_NAME]],6)&lt;&gt;"County"),_xlfn.TEXTJOIN(" ",TRUE,Entities[[#This Row],[ENT_NAME]],"County"),Entities[[#This Row],[ENT_NAME]])</f>
        <v>Wilbarger Creek MUD 2</v>
      </c>
    </row>
    <row r="3559" spans="1:6" x14ac:dyDescent="0.25">
      <c r="A3559" s="303" t="s">
        <v>10485</v>
      </c>
      <c r="B3559" s="303" t="str">
        <f t="shared" si="55"/>
        <v>x10001337</v>
      </c>
      <c r="C3559" t="s">
        <v>4</v>
      </c>
      <c r="D3559" t="s">
        <v>10486</v>
      </c>
      <c r="E3559">
        <v>10</v>
      </c>
      <c r="F3559" t="str">
        <f>IF(AND(Entities[[#This Row],[ENT_TYPE]]="County",RIGHT(Entities[[#This Row],[ENT_NAME]],6)&lt;&gt;"County"),_xlfn.TEXTJOIN(" ",TRUE,Entities[[#This Row],[ENT_NAME]],"County"),Entities[[#This Row],[ENT_NAME]])</f>
        <v>Burnet County MUD 3</v>
      </c>
    </row>
    <row r="3560" spans="1:6" x14ac:dyDescent="0.25">
      <c r="A3560" s="305" t="s">
        <v>10487</v>
      </c>
      <c r="B3560" s="303" t="str">
        <f t="shared" si="55"/>
        <v>x10001338</v>
      </c>
      <c r="C3560" t="s">
        <v>4</v>
      </c>
      <c r="D3560" t="s">
        <v>10488</v>
      </c>
      <c r="E3560">
        <v>10</v>
      </c>
      <c r="F3560" t="str">
        <f>IF(AND(Entities[[#This Row],[ENT_TYPE]]="County",RIGHT(Entities[[#This Row],[ENT_NAME]],6)&lt;&gt;"County"),_xlfn.TEXTJOIN(" ",TRUE,Entities[[#This Row],[ENT_NAME]],"County"),Entities[[#This Row],[ENT_NAME]])</f>
        <v>Clearwater Ranch MUD 1</v>
      </c>
    </row>
    <row r="3561" spans="1:6" x14ac:dyDescent="0.25">
      <c r="A3561" s="303" t="s">
        <v>10489</v>
      </c>
      <c r="B3561" s="303" t="str">
        <f t="shared" si="55"/>
        <v>x10001339</v>
      </c>
      <c r="C3561" t="s">
        <v>4</v>
      </c>
      <c r="D3561" t="s">
        <v>10490</v>
      </c>
      <c r="E3561">
        <v>10</v>
      </c>
      <c r="F3561" t="str">
        <f>IF(AND(Entities[[#This Row],[ENT_TYPE]]="County",RIGHT(Entities[[#This Row],[ENT_NAME]],6)&lt;&gt;"County"),_xlfn.TEXTJOIN(" ",TRUE,Entities[[#This Row],[ENT_NAME]],"County"),Entities[[#This Row],[ENT_NAME]])</f>
        <v>Driftwood Economic Development Municipal Management District</v>
      </c>
    </row>
    <row r="3562" spans="1:6" x14ac:dyDescent="0.25">
      <c r="A3562" s="305" t="s">
        <v>10491</v>
      </c>
      <c r="B3562" s="303" t="str">
        <f t="shared" si="55"/>
        <v>x10001340</v>
      </c>
      <c r="C3562" t="s">
        <v>4</v>
      </c>
      <c r="D3562" t="s">
        <v>10492</v>
      </c>
      <c r="E3562">
        <v>10</v>
      </c>
      <c r="F3562" t="str">
        <f>IF(AND(Entities[[#This Row],[ENT_TYPE]]="County",RIGHT(Entities[[#This Row],[ENT_NAME]],6)&lt;&gt;"County"),_xlfn.TEXTJOIN(" ",TRUE,Entities[[#This Row],[ENT_NAME]],"County"),Entities[[#This Row],[ENT_NAME]])</f>
        <v>Hudson Ranch Water District</v>
      </c>
    </row>
    <row r="3563" spans="1:6" x14ac:dyDescent="0.25">
      <c r="A3563" s="303" t="s">
        <v>10493</v>
      </c>
      <c r="B3563" s="303" t="str">
        <f t="shared" si="55"/>
        <v>x10001367</v>
      </c>
      <c r="C3563" t="s">
        <v>5166</v>
      </c>
      <c r="D3563" t="s">
        <v>10494</v>
      </c>
      <c r="E3563">
        <v>10</v>
      </c>
      <c r="F3563" t="str">
        <f>IF(AND(Entities[[#This Row],[ENT_TYPE]]="County",RIGHT(Entities[[#This Row],[ENT_NAME]],6)&lt;&gt;"County"),_xlfn.TEXTJOIN(" ",TRUE,Entities[[#This Row],[ENT_NAME]],"County"),Entities[[#This Row],[ENT_NAME]])</f>
        <v>West Cypress Hills WCID 1</v>
      </c>
    </row>
    <row r="3564" spans="1:6" x14ac:dyDescent="0.25">
      <c r="A3564" s="305" t="s">
        <v>10495</v>
      </c>
      <c r="B3564" s="303" t="str">
        <f t="shared" si="55"/>
        <v>x10001368</v>
      </c>
      <c r="C3564" t="s">
        <v>4</v>
      </c>
      <c r="D3564" t="s">
        <v>10496</v>
      </c>
      <c r="E3564">
        <v>10</v>
      </c>
      <c r="F3564" t="str">
        <f>IF(AND(Entities[[#This Row],[ENT_TYPE]]="County",RIGHT(Entities[[#This Row],[ENT_NAME]],6)&lt;&gt;"County"),_xlfn.TEXTJOIN(" ",TRUE,Entities[[#This Row],[ENT_NAME]],"County"),Entities[[#This Row],[ENT_NAME]])</f>
        <v>Travis County MUD 11</v>
      </c>
    </row>
    <row r="3565" spans="1:6" x14ac:dyDescent="0.25">
      <c r="A3565" s="303" t="s">
        <v>10497</v>
      </c>
      <c r="B3565" s="303" t="str">
        <f t="shared" si="55"/>
        <v>x10001372</v>
      </c>
      <c r="C3565" t="s">
        <v>4</v>
      </c>
      <c r="D3565" t="s">
        <v>10498</v>
      </c>
      <c r="E3565">
        <v>10</v>
      </c>
      <c r="F3565" t="str">
        <f>IF(AND(Entities[[#This Row],[ENT_TYPE]]="County",RIGHT(Entities[[#This Row],[ENT_NAME]],6)&lt;&gt;"County"),_xlfn.TEXTJOIN(" ",TRUE,Entities[[#This Row],[ENT_NAME]],"County"),Entities[[#This Row],[ENT_NAME]])</f>
        <v>Headwaters MUD</v>
      </c>
    </row>
    <row r="3566" spans="1:6" x14ac:dyDescent="0.25">
      <c r="A3566" s="305" t="s">
        <v>10499</v>
      </c>
      <c r="B3566" s="303" t="str">
        <f t="shared" si="55"/>
        <v>x10001417</v>
      </c>
      <c r="C3566" t="s">
        <v>4</v>
      </c>
      <c r="D3566" t="s">
        <v>10500</v>
      </c>
      <c r="E3566">
        <v>10</v>
      </c>
      <c r="F3566" t="str">
        <f>IF(AND(Entities[[#This Row],[ENT_TYPE]]="County",RIGHT(Entities[[#This Row],[ENT_NAME]],6)&lt;&gt;"County"),_xlfn.TEXTJOIN(" ",TRUE,Entities[[#This Row],[ENT_NAME]],"County"),Entities[[#This Row],[ENT_NAME]])</f>
        <v>Lazy Nine MUD 1C</v>
      </c>
    </row>
    <row r="3567" spans="1:6" x14ac:dyDescent="0.25">
      <c r="A3567" s="303" t="s">
        <v>10501</v>
      </c>
      <c r="B3567" s="303" t="str">
        <f t="shared" si="55"/>
        <v>x10001420</v>
      </c>
      <c r="C3567" t="s">
        <v>5166</v>
      </c>
      <c r="D3567" t="s">
        <v>10502</v>
      </c>
      <c r="E3567">
        <v>10</v>
      </c>
      <c r="F3567" t="str">
        <f>IF(AND(Entities[[#This Row],[ENT_TYPE]]="County",RIGHT(Entities[[#This Row],[ENT_NAME]],6)&lt;&gt;"County"),_xlfn.TEXTJOIN(" ",TRUE,Entities[[#This Row],[ENT_NAME]],"County"),Entities[[#This Row],[ENT_NAME]])</f>
        <v>Travis County WCID 20</v>
      </c>
    </row>
    <row r="3568" spans="1:6" x14ac:dyDescent="0.25">
      <c r="A3568" s="305" t="s">
        <v>10503</v>
      </c>
      <c r="B3568" s="303" t="str">
        <f t="shared" si="55"/>
        <v>x10001424</v>
      </c>
      <c r="C3568" t="s">
        <v>4</v>
      </c>
      <c r="D3568" t="s">
        <v>10504</v>
      </c>
      <c r="E3568">
        <v>10</v>
      </c>
      <c r="F3568" t="str">
        <f>IF(AND(Entities[[#This Row],[ENT_TYPE]]="County",RIGHT(Entities[[#This Row],[ENT_NAME]],6)&lt;&gt;"County"),_xlfn.TEXTJOIN(" ",TRUE,Entities[[#This Row],[ENT_NAME]],"County"),Entities[[#This Row],[ENT_NAME]])</f>
        <v>Travis County MUD 3</v>
      </c>
    </row>
    <row r="3569" spans="1:6" x14ac:dyDescent="0.25">
      <c r="A3569" s="303" t="s">
        <v>10505</v>
      </c>
      <c r="B3569" s="303" t="str">
        <f t="shared" si="55"/>
        <v>x10001425</v>
      </c>
      <c r="C3569" t="s">
        <v>4</v>
      </c>
      <c r="D3569" t="s">
        <v>10506</v>
      </c>
      <c r="E3569">
        <v>10</v>
      </c>
      <c r="F3569" t="str">
        <f>IF(AND(Entities[[#This Row],[ENT_TYPE]]="County",RIGHT(Entities[[#This Row],[ENT_NAME]],6)&lt;&gt;"County"),_xlfn.TEXTJOIN(" ",TRUE,Entities[[#This Row],[ENT_NAME]],"County"),Entities[[#This Row],[ENT_NAME]])</f>
        <v>Travis County MUD 4</v>
      </c>
    </row>
    <row r="3570" spans="1:6" x14ac:dyDescent="0.25">
      <c r="A3570" s="305" t="s">
        <v>10507</v>
      </c>
      <c r="B3570" s="303" t="str">
        <f t="shared" si="55"/>
        <v>x10001428</v>
      </c>
      <c r="C3570" t="s">
        <v>4</v>
      </c>
      <c r="D3570" t="s">
        <v>10508</v>
      </c>
      <c r="E3570">
        <v>10</v>
      </c>
      <c r="F3570" t="str">
        <f>IF(AND(Entities[[#This Row],[ENT_TYPE]]="County",RIGHT(Entities[[#This Row],[ENT_NAME]],6)&lt;&gt;"County"),_xlfn.TEXTJOIN(" ",TRUE,Entities[[#This Row],[ENT_NAME]],"County"),Entities[[#This Row],[ENT_NAME]])</f>
        <v>Moores Crossing MUD</v>
      </c>
    </row>
    <row r="3571" spans="1:6" x14ac:dyDescent="0.25">
      <c r="A3571" s="303" t="s">
        <v>10509</v>
      </c>
      <c r="B3571" s="303" t="str">
        <f t="shared" si="55"/>
        <v>x10001440</v>
      </c>
      <c r="C3571" t="s">
        <v>4</v>
      </c>
      <c r="D3571" t="s">
        <v>10510</v>
      </c>
      <c r="E3571">
        <v>10</v>
      </c>
      <c r="F3571" t="str">
        <f>IF(AND(Entities[[#This Row],[ENT_TYPE]]="County",RIGHT(Entities[[#This Row],[ENT_NAME]],6)&lt;&gt;"County"),_xlfn.TEXTJOIN(" ",TRUE,Entities[[#This Row],[ENT_NAME]],"County"),Entities[[#This Row],[ENT_NAME]])</f>
        <v>The Colony MUD 1C</v>
      </c>
    </row>
    <row r="3572" spans="1:6" x14ac:dyDescent="0.25">
      <c r="A3572" s="305" t="s">
        <v>10511</v>
      </c>
      <c r="B3572" s="303" t="str">
        <f t="shared" si="55"/>
        <v>x10001444</v>
      </c>
      <c r="C3572" t="s">
        <v>4</v>
      </c>
      <c r="D3572" t="s">
        <v>10512</v>
      </c>
      <c r="E3572">
        <v>10</v>
      </c>
      <c r="F3572" t="str">
        <f>IF(AND(Entities[[#This Row],[ENT_TYPE]]="County",RIGHT(Entities[[#This Row],[ENT_NAME]],6)&lt;&gt;"County"),_xlfn.TEXTJOIN(" ",TRUE,Entities[[#This Row],[ENT_NAME]],"County"),Entities[[#This Row],[ENT_NAME]])</f>
        <v>Presidential Glen MUD</v>
      </c>
    </row>
    <row r="3573" spans="1:6" x14ac:dyDescent="0.25">
      <c r="A3573" s="303" t="s">
        <v>10513</v>
      </c>
      <c r="B3573" s="303" t="str">
        <f t="shared" si="55"/>
        <v>x10001470</v>
      </c>
      <c r="C3573" t="s">
        <v>4</v>
      </c>
      <c r="D3573" t="s">
        <v>10514</v>
      </c>
      <c r="E3573">
        <v>10</v>
      </c>
      <c r="F3573" t="str">
        <f>IF(AND(Entities[[#This Row],[ENT_TYPE]]="County",RIGHT(Entities[[#This Row],[ENT_NAME]],6)&lt;&gt;"County"),_xlfn.TEXTJOIN(" ",TRUE,Entities[[#This Row],[ENT_NAME]],"County"),Entities[[#This Row],[ENT_NAME]])</f>
        <v>Travis-Creedmoor MUD</v>
      </c>
    </row>
    <row r="3574" spans="1:6" x14ac:dyDescent="0.25">
      <c r="A3574" s="305" t="s">
        <v>10515</v>
      </c>
      <c r="B3574" s="303" t="str">
        <f t="shared" si="55"/>
        <v>x10001498</v>
      </c>
      <c r="C3574" t="s">
        <v>4</v>
      </c>
      <c r="D3574" t="s">
        <v>10516</v>
      </c>
      <c r="E3574">
        <v>10</v>
      </c>
      <c r="F3574" t="str">
        <f>IF(AND(Entities[[#This Row],[ENT_TYPE]]="County",RIGHT(Entities[[#This Row],[ENT_NAME]],6)&lt;&gt;"County"),_xlfn.TEXTJOIN(" ",TRUE,Entities[[#This Row],[ENT_NAME]],"County"),Entities[[#This Row],[ENT_NAME]])</f>
        <v>Boling MWD</v>
      </c>
    </row>
    <row r="3575" spans="1:6" x14ac:dyDescent="0.25">
      <c r="A3575" s="303" t="s">
        <v>10517</v>
      </c>
      <c r="B3575" s="303" t="str">
        <f t="shared" si="55"/>
        <v>x10001519</v>
      </c>
      <c r="C3575" t="s">
        <v>5166</v>
      </c>
      <c r="D3575" t="s">
        <v>10518</v>
      </c>
      <c r="E3575">
        <v>10</v>
      </c>
      <c r="F3575" t="str">
        <f>IF(AND(Entities[[#This Row],[ENT_TYPE]]="County",RIGHT(Entities[[#This Row],[ENT_NAME]],6)&lt;&gt;"County"),_xlfn.TEXTJOIN(" ",TRUE,Entities[[#This Row],[ENT_NAME]],"County"),Entities[[#This Row],[ENT_NAME]])</f>
        <v>Bastrop County WCID 3</v>
      </c>
    </row>
    <row r="3576" spans="1:6" x14ac:dyDescent="0.25">
      <c r="A3576" s="305" t="s">
        <v>10519</v>
      </c>
      <c r="B3576" s="303" t="str">
        <f t="shared" si="55"/>
        <v>x10001537</v>
      </c>
      <c r="C3576" t="s">
        <v>4</v>
      </c>
      <c r="D3576" t="s">
        <v>10520</v>
      </c>
      <c r="E3576">
        <v>10</v>
      </c>
      <c r="F3576" t="str">
        <f>IF(AND(Entities[[#This Row],[ENT_TYPE]]="County",RIGHT(Entities[[#This Row],[ENT_NAME]],6)&lt;&gt;"County"),_xlfn.TEXTJOIN(" ",TRUE,Entities[[#This Row],[ENT_NAME]],"County"),Entities[[#This Row],[ENT_NAME]])</f>
        <v>Travis County MUD 17</v>
      </c>
    </row>
    <row r="3577" spans="1:6" x14ac:dyDescent="0.25">
      <c r="A3577" s="303" t="s">
        <v>10521</v>
      </c>
      <c r="B3577" s="303" t="str">
        <f t="shared" si="55"/>
        <v>x10001545</v>
      </c>
      <c r="C3577" t="s">
        <v>5166</v>
      </c>
      <c r="D3577" t="s">
        <v>10522</v>
      </c>
      <c r="E3577">
        <v>10</v>
      </c>
      <c r="F3577" t="str">
        <f>IF(AND(Entities[[#This Row],[ENT_TYPE]]="County",RIGHT(Entities[[#This Row],[ENT_NAME]],6)&lt;&gt;"County"),_xlfn.TEXTJOIN(" ",TRUE,Entities[[#This Row],[ENT_NAME]],"County"),Entities[[#This Row],[ENT_NAME]])</f>
        <v>Travis County WCID 18</v>
      </c>
    </row>
    <row r="3578" spans="1:6" x14ac:dyDescent="0.25">
      <c r="A3578" s="305" t="s">
        <v>10523</v>
      </c>
      <c r="B3578" s="303" t="str">
        <f t="shared" si="55"/>
        <v>x10001561</v>
      </c>
      <c r="C3578" t="s">
        <v>4</v>
      </c>
      <c r="D3578" t="s">
        <v>10524</v>
      </c>
      <c r="E3578">
        <v>10</v>
      </c>
      <c r="F3578" t="str">
        <f>IF(AND(Entities[[#This Row],[ENT_TYPE]]="County",RIGHT(Entities[[#This Row],[ENT_NAME]],6)&lt;&gt;"County"),_xlfn.TEXTJOIN(" ",TRUE,Entities[[#This Row],[ENT_NAME]],"County"),Entities[[#This Row],[ENT_NAME]])</f>
        <v>Wilbarger Creek MUD 1</v>
      </c>
    </row>
    <row r="3579" spans="1:6" x14ac:dyDescent="0.25">
      <c r="A3579" s="303" t="s">
        <v>10525</v>
      </c>
      <c r="B3579" s="303" t="str">
        <f t="shared" si="55"/>
        <v>x10001563</v>
      </c>
      <c r="C3579" t="s">
        <v>4</v>
      </c>
      <c r="D3579" t="s">
        <v>10526</v>
      </c>
      <c r="E3579">
        <v>10</v>
      </c>
      <c r="F3579" t="str">
        <f>IF(AND(Entities[[#This Row],[ENT_TYPE]]="County",RIGHT(Entities[[#This Row],[ENT_NAME]],6)&lt;&gt;"County"),_xlfn.TEXTJOIN(" ",TRUE,Entities[[#This Row],[ENT_NAME]],"County"),Entities[[#This Row],[ENT_NAME]])</f>
        <v>Travis County MUD 2</v>
      </c>
    </row>
    <row r="3580" spans="1:6" x14ac:dyDescent="0.25">
      <c r="A3580" s="305" t="s">
        <v>10527</v>
      </c>
      <c r="B3580" s="303" t="str">
        <f t="shared" si="55"/>
        <v>x10001669</v>
      </c>
      <c r="C3580" t="s">
        <v>4</v>
      </c>
      <c r="D3580" t="s">
        <v>10528</v>
      </c>
      <c r="E3580">
        <v>10</v>
      </c>
      <c r="F3580" t="str">
        <f>IF(AND(Entities[[#This Row],[ENT_TYPE]]="County",RIGHT(Entities[[#This Row],[ENT_NAME]],6)&lt;&gt;"County"),_xlfn.TEXTJOIN(" ",TRUE,Entities[[#This Row],[ENT_NAME]],"County"),Entities[[#This Row],[ENT_NAME]])</f>
        <v>Glidden FWSD 1</v>
      </c>
    </row>
    <row r="3581" spans="1:6" x14ac:dyDescent="0.25">
      <c r="A3581" s="303" t="s">
        <v>10529</v>
      </c>
      <c r="B3581" s="303" t="str">
        <f t="shared" si="55"/>
        <v>x10001670</v>
      </c>
      <c r="C3581" t="s">
        <v>5166</v>
      </c>
      <c r="D3581" t="s">
        <v>10530</v>
      </c>
      <c r="E3581">
        <v>10</v>
      </c>
      <c r="F3581" t="str">
        <f>IF(AND(Entities[[#This Row],[ENT_TYPE]]="County",RIGHT(Entities[[#This Row],[ENT_NAME]],6)&lt;&gt;"County"),_xlfn.TEXTJOIN(" ",TRUE,Entities[[#This Row],[ENT_NAME]],"County"),Entities[[#This Row],[ENT_NAME]])</f>
        <v>Colorado County WCID 2</v>
      </c>
    </row>
    <row r="3582" spans="1:6" x14ac:dyDescent="0.25">
      <c r="A3582" s="305" t="s">
        <v>10531</v>
      </c>
      <c r="B3582" s="303" t="str">
        <f t="shared" si="55"/>
        <v>x10001674</v>
      </c>
      <c r="C3582" t="s">
        <v>5166</v>
      </c>
      <c r="D3582" t="s">
        <v>10532</v>
      </c>
      <c r="E3582">
        <v>10</v>
      </c>
      <c r="F3582" t="str">
        <f>IF(AND(Entities[[#This Row],[ENT_TYPE]]="County",RIGHT(Entities[[#This Row],[ENT_NAME]],6)&lt;&gt;"County"),_xlfn.TEXTJOIN(" ",TRUE,Entities[[#This Row],[ENT_NAME]],"County"),Entities[[#This Row],[ENT_NAME]])</f>
        <v>Calhoun County Drainage District 8</v>
      </c>
    </row>
    <row r="3583" spans="1:6" x14ac:dyDescent="0.25">
      <c r="A3583" s="303" t="s">
        <v>10533</v>
      </c>
      <c r="B3583" s="303" t="str">
        <f t="shared" si="55"/>
        <v>x10001677</v>
      </c>
      <c r="C3583" t="s">
        <v>5166</v>
      </c>
      <c r="D3583" t="s">
        <v>10534</v>
      </c>
      <c r="E3583">
        <v>10</v>
      </c>
      <c r="F3583" t="str">
        <f>IF(AND(Entities[[#This Row],[ENT_TYPE]]="County",RIGHT(Entities[[#This Row],[ENT_NAME]],6)&lt;&gt;"County"),_xlfn.TEXTJOIN(" ",TRUE,Entities[[#This Row],[ENT_NAME]],"County"),Entities[[#This Row],[ENT_NAME]])</f>
        <v>Jackson County WCID 1</v>
      </c>
    </row>
    <row r="3584" spans="1:6" x14ac:dyDescent="0.25">
      <c r="A3584" s="305" t="s">
        <v>10535</v>
      </c>
      <c r="B3584" s="303" t="str">
        <f t="shared" si="55"/>
        <v>x10001678</v>
      </c>
      <c r="C3584" t="s">
        <v>5166</v>
      </c>
      <c r="D3584" t="s">
        <v>10536</v>
      </c>
      <c r="E3584">
        <v>10</v>
      </c>
      <c r="F3584" t="str">
        <f>IF(AND(Entities[[#This Row],[ENT_TYPE]]="County",RIGHT(Entities[[#This Row],[ENT_NAME]],6)&lt;&gt;"County"),_xlfn.TEXTJOIN(" ",TRUE,Entities[[#This Row],[ENT_NAME]],"County"),Entities[[#This Row],[ENT_NAME]])</f>
        <v>Jackson County WCID 2</v>
      </c>
    </row>
    <row r="3585" spans="1:6" x14ac:dyDescent="0.25">
      <c r="A3585" s="303" t="s">
        <v>10537</v>
      </c>
      <c r="B3585" s="303" t="str">
        <f t="shared" si="55"/>
        <v>x10001691</v>
      </c>
      <c r="C3585" t="s">
        <v>5166</v>
      </c>
      <c r="D3585" t="s">
        <v>10538</v>
      </c>
      <c r="E3585">
        <v>10</v>
      </c>
      <c r="F3585" t="str">
        <f>IF(AND(Entities[[#This Row],[ENT_TYPE]]="County",RIGHT(Entities[[#This Row],[ENT_NAME]],6)&lt;&gt;"County"),_xlfn.TEXTJOIN(" ",TRUE,Entities[[#This Row],[ENT_NAME]],"County"),Entities[[#This Row],[ENT_NAME]])</f>
        <v>Cottonwood Creek WCID 2</v>
      </c>
    </row>
    <row r="3586" spans="1:6" x14ac:dyDescent="0.25">
      <c r="A3586" s="305" t="s">
        <v>10539</v>
      </c>
      <c r="B3586" s="303" t="str">
        <f t="shared" ref="B3586:B3649" si="56">_xlfn.CONCAT("x",TEXT(A3586,"00000000"))</f>
        <v>x10001721</v>
      </c>
      <c r="C3586" t="s">
        <v>4</v>
      </c>
      <c r="D3586" t="s">
        <v>10540</v>
      </c>
      <c r="E3586">
        <v>10</v>
      </c>
      <c r="F3586" t="str">
        <f>IF(AND(Entities[[#This Row],[ENT_TYPE]]="County",RIGHT(Entities[[#This Row],[ENT_NAME]],6)&lt;&gt;"County"),_xlfn.TEXTJOIN(" ",TRUE,Entities[[#This Row],[ENT_NAME]],"County"),Entities[[#This Row],[ENT_NAME]])</f>
        <v>Brown County Water Improvement District 1</v>
      </c>
    </row>
    <row r="3587" spans="1:6" x14ac:dyDescent="0.25">
      <c r="A3587" s="303" t="s">
        <v>10541</v>
      </c>
      <c r="B3587" s="303" t="str">
        <f t="shared" si="56"/>
        <v>x10001722</v>
      </c>
      <c r="C3587" t="s">
        <v>4</v>
      </c>
      <c r="D3587" t="s">
        <v>10542</v>
      </c>
      <c r="E3587">
        <v>10</v>
      </c>
      <c r="F3587" t="str">
        <f>IF(AND(Entities[[#This Row],[ENT_TYPE]]="County",RIGHT(Entities[[#This Row],[ENT_NAME]],6)&lt;&gt;"County"),_xlfn.TEXTJOIN(" ",TRUE,Entities[[#This Row],[ENT_NAME]],"County"),Entities[[#This Row],[ENT_NAME]])</f>
        <v>Brookesmith SUD</v>
      </c>
    </row>
    <row r="3588" spans="1:6" x14ac:dyDescent="0.25">
      <c r="A3588" s="305" t="s">
        <v>10543</v>
      </c>
      <c r="B3588" s="303" t="str">
        <f t="shared" si="56"/>
        <v>x10001736</v>
      </c>
      <c r="C3588" t="s">
        <v>4</v>
      </c>
      <c r="D3588" t="s">
        <v>10544</v>
      </c>
      <c r="E3588">
        <v>10</v>
      </c>
      <c r="F3588" t="str">
        <f>IF(AND(Entities[[#This Row],[ENT_TYPE]]="County",RIGHT(Entities[[#This Row],[ENT_NAME]],6)&lt;&gt;"County"),_xlfn.TEXTJOIN(" ",TRUE,Entities[[#This Row],[ENT_NAME]],"County"),Entities[[#This Row],[ENT_NAME]])</f>
        <v>West Travis County MUD 1</v>
      </c>
    </row>
    <row r="3589" spans="1:6" x14ac:dyDescent="0.25">
      <c r="A3589" s="303" t="s">
        <v>10545</v>
      </c>
      <c r="B3589" s="303" t="str">
        <f t="shared" si="56"/>
        <v>x10001737</v>
      </c>
      <c r="C3589" t="s">
        <v>4</v>
      </c>
      <c r="D3589" t="s">
        <v>10546</v>
      </c>
      <c r="E3589">
        <v>10</v>
      </c>
      <c r="F3589" t="str">
        <f>IF(AND(Entities[[#This Row],[ENT_TYPE]]="County",RIGHT(Entities[[#This Row],[ENT_NAME]],6)&lt;&gt;"County"),_xlfn.TEXTJOIN(" ",TRUE,Entities[[#This Row],[ENT_NAME]],"County"),Entities[[#This Row],[ENT_NAME]])</f>
        <v>West Travis County MUD 2</v>
      </c>
    </row>
    <row r="3590" spans="1:6" x14ac:dyDescent="0.25">
      <c r="A3590" s="305" t="s">
        <v>10547</v>
      </c>
      <c r="B3590" s="303" t="str">
        <f t="shared" si="56"/>
        <v>x10001742</v>
      </c>
      <c r="C3590" t="s">
        <v>4</v>
      </c>
      <c r="D3590" t="s">
        <v>10548</v>
      </c>
      <c r="E3590">
        <v>10</v>
      </c>
      <c r="F3590" t="str">
        <f>IF(AND(Entities[[#This Row],[ENT_TYPE]]="County",RIGHT(Entities[[#This Row],[ENT_NAME]],6)&lt;&gt;"County"),_xlfn.TEXTJOIN(" ",TRUE,Entities[[#This Row],[ENT_NAME]],"County"),Entities[[#This Row],[ENT_NAME]])</f>
        <v>The Falls MUD</v>
      </c>
    </row>
    <row r="3591" spans="1:6" x14ac:dyDescent="0.25">
      <c r="A3591" s="303" t="s">
        <v>10549</v>
      </c>
      <c r="B3591" s="303" t="str">
        <f t="shared" si="56"/>
        <v>x10001757</v>
      </c>
      <c r="C3591" t="s">
        <v>4</v>
      </c>
      <c r="D3591" t="s">
        <v>10550</v>
      </c>
      <c r="E3591">
        <v>10</v>
      </c>
      <c r="F3591" t="str">
        <f>IF(AND(Entities[[#This Row],[ENT_TYPE]]="County",RIGHT(Entities[[#This Row],[ENT_NAME]],6)&lt;&gt;"County"),_xlfn.TEXTJOIN(" ",TRUE,Entities[[#This Row],[ENT_NAME]],"County"),Entities[[#This Row],[ENT_NAME]])</f>
        <v>Lakeside MUD 6</v>
      </c>
    </row>
    <row r="3592" spans="1:6" x14ac:dyDescent="0.25">
      <c r="A3592" s="305" t="s">
        <v>10551</v>
      </c>
      <c r="B3592" s="303" t="str">
        <f t="shared" si="56"/>
        <v>x10001776</v>
      </c>
      <c r="C3592" t="s">
        <v>5166</v>
      </c>
      <c r="D3592" t="s">
        <v>10552</v>
      </c>
      <c r="E3592">
        <v>10</v>
      </c>
      <c r="F3592" t="str">
        <f>IF(AND(Entities[[#This Row],[ENT_TYPE]]="County",RIGHT(Entities[[#This Row],[ENT_NAME]],6)&lt;&gt;"County"),_xlfn.TEXTJOIN(" ",TRUE,Entities[[#This Row],[ENT_NAME]],"County"),Entities[[#This Row],[ENT_NAME]])</f>
        <v>Horseshoe Bay WCID 3</v>
      </c>
    </row>
    <row r="3593" spans="1:6" x14ac:dyDescent="0.25">
      <c r="A3593" s="303" t="s">
        <v>10553</v>
      </c>
      <c r="B3593" s="303" t="str">
        <f t="shared" si="56"/>
        <v>x10001779</v>
      </c>
      <c r="C3593" t="s">
        <v>5166</v>
      </c>
      <c r="D3593" t="s">
        <v>10554</v>
      </c>
      <c r="E3593">
        <v>10</v>
      </c>
      <c r="F3593" t="str">
        <f>IF(AND(Entities[[#This Row],[ENT_TYPE]]="County",RIGHT(Entities[[#This Row],[ENT_NAME]],6)&lt;&gt;"County"),_xlfn.TEXTJOIN(" ",TRUE,Entities[[#This Row],[ENT_NAME]],"County"),Entities[[#This Row],[ENT_NAME]])</f>
        <v>Fayette County WCID - Monument Hill</v>
      </c>
    </row>
    <row r="3594" spans="1:6" x14ac:dyDescent="0.25">
      <c r="A3594" s="305" t="s">
        <v>10555</v>
      </c>
      <c r="B3594" s="303" t="str">
        <f t="shared" si="56"/>
        <v>x10001790</v>
      </c>
      <c r="C3594" t="s">
        <v>5166</v>
      </c>
      <c r="D3594" t="s">
        <v>10556</v>
      </c>
      <c r="E3594">
        <v>10</v>
      </c>
      <c r="F3594" t="str">
        <f>IF(AND(Entities[[#This Row],[ENT_TYPE]]="County",RIGHT(Entities[[#This Row],[ENT_NAME]],6)&lt;&gt;"County"),_xlfn.TEXTJOIN(" ",TRUE,Entities[[#This Row],[ENT_NAME]],"County"),Entities[[#This Row],[ENT_NAME]])</f>
        <v>Horseshoe Bay WCID 1</v>
      </c>
    </row>
    <row r="3595" spans="1:6" x14ac:dyDescent="0.25">
      <c r="A3595" s="303" t="s">
        <v>10557</v>
      </c>
      <c r="B3595" s="303" t="str">
        <f t="shared" si="56"/>
        <v>x10001799</v>
      </c>
      <c r="C3595" t="s">
        <v>4</v>
      </c>
      <c r="D3595" t="s">
        <v>10558</v>
      </c>
      <c r="E3595">
        <v>10</v>
      </c>
      <c r="F3595" t="str">
        <f>IF(AND(Entities[[#This Row],[ENT_TYPE]]="County",RIGHT(Entities[[#This Row],[ENT_NAME]],6)&lt;&gt;"County"),_xlfn.TEXTJOIN(" ",TRUE,Entities[[#This Row],[ENT_NAME]],"County"),Entities[[#This Row],[ENT_NAME]])</f>
        <v>Northeast Growth Corridor WSI&amp;D District 1</v>
      </c>
    </row>
    <row r="3596" spans="1:6" x14ac:dyDescent="0.25">
      <c r="A3596" s="303" t="s">
        <v>10559</v>
      </c>
      <c r="B3596" s="303" t="str">
        <f t="shared" si="56"/>
        <v>x10001806</v>
      </c>
      <c r="C3596" t="s">
        <v>4</v>
      </c>
      <c r="D3596" t="s">
        <v>10560</v>
      </c>
      <c r="E3596">
        <v>10</v>
      </c>
      <c r="F3596" t="str">
        <f>IF(AND(Entities[[#This Row],[ENT_TYPE]]="County",RIGHT(Entities[[#This Row],[ENT_NAME]],6)&lt;&gt;"County"),_xlfn.TEXTJOIN(" ",TRUE,Entities[[#This Row],[ENT_NAME]],"County"),Entities[[#This Row],[ENT_NAME]])</f>
        <v>Llano County MUD 1</v>
      </c>
    </row>
    <row r="3597" spans="1:6" x14ac:dyDescent="0.25">
      <c r="A3597" s="305" t="s">
        <v>10561</v>
      </c>
      <c r="B3597" s="303" t="str">
        <f t="shared" si="56"/>
        <v>x10001811</v>
      </c>
      <c r="C3597" t="s">
        <v>4</v>
      </c>
      <c r="D3597" t="s">
        <v>10562</v>
      </c>
      <c r="E3597">
        <v>10</v>
      </c>
      <c r="F3597" t="str">
        <f>IF(AND(Entities[[#This Row],[ENT_TYPE]]="County",RIGHT(Entities[[#This Row],[ENT_NAME]],6)&lt;&gt;"County"),_xlfn.TEXTJOIN(" ",TRUE,Entities[[#This Row],[ENT_NAME]],"County"),Entities[[#This Row],[ENT_NAME]])</f>
        <v>West Travis County MUD 7</v>
      </c>
    </row>
    <row r="3598" spans="1:6" x14ac:dyDescent="0.25">
      <c r="A3598" s="303" t="s">
        <v>10563</v>
      </c>
      <c r="B3598" s="303" t="str">
        <f t="shared" si="56"/>
        <v>x10001816</v>
      </c>
      <c r="C3598" t="s">
        <v>5166</v>
      </c>
      <c r="D3598" t="s">
        <v>10564</v>
      </c>
      <c r="E3598">
        <v>10</v>
      </c>
      <c r="F3598" t="str">
        <f>IF(AND(Entities[[#This Row],[ENT_TYPE]]="County",RIGHT(Entities[[#This Row],[ENT_NAME]],6)&lt;&gt;"County"),_xlfn.TEXTJOIN(" ",TRUE,Entities[[#This Row],[ENT_NAME]],"County"),Entities[[#This Row],[ENT_NAME]])</f>
        <v>Cottonwood Creek WCID 3</v>
      </c>
    </row>
    <row r="3599" spans="1:6" x14ac:dyDescent="0.25">
      <c r="A3599" s="305" t="s">
        <v>10565</v>
      </c>
      <c r="B3599" s="303" t="str">
        <f t="shared" si="56"/>
        <v>x10001823</v>
      </c>
      <c r="C3599" t="s">
        <v>5166</v>
      </c>
      <c r="D3599" t="s">
        <v>10566</v>
      </c>
      <c r="E3599">
        <v>10</v>
      </c>
      <c r="F3599" t="str">
        <f>IF(AND(Entities[[#This Row],[ENT_TYPE]]="County",RIGHT(Entities[[#This Row],[ENT_NAME]],6)&lt;&gt;"County"),_xlfn.TEXTJOIN(" ",TRUE,Entities[[#This Row],[ENT_NAME]],"County"),Entities[[#This Row],[ENT_NAME]])</f>
        <v>Wharton County Drainage District</v>
      </c>
    </row>
    <row r="3600" spans="1:6" x14ac:dyDescent="0.25">
      <c r="A3600" s="303" t="s">
        <v>10567</v>
      </c>
      <c r="B3600" s="303" t="str">
        <f t="shared" si="56"/>
        <v>x10001829</v>
      </c>
      <c r="C3600" t="s">
        <v>4</v>
      </c>
      <c r="D3600" t="s">
        <v>10568</v>
      </c>
      <c r="E3600">
        <v>10</v>
      </c>
      <c r="F3600" t="str">
        <f>IF(AND(Entities[[#This Row],[ENT_TYPE]]="County",RIGHT(Entities[[#This Row],[ENT_NAME]],6)&lt;&gt;"County"),_xlfn.TEXTJOIN(" ",TRUE,Entities[[#This Row],[ENT_NAME]],"County"),Entities[[#This Row],[ENT_NAME]])</f>
        <v>Burnet County MUD 2</v>
      </c>
    </row>
    <row r="3601" spans="1:6" x14ac:dyDescent="0.25">
      <c r="A3601" s="305" t="s">
        <v>10569</v>
      </c>
      <c r="B3601" s="303" t="str">
        <f t="shared" si="56"/>
        <v>x10001833</v>
      </c>
      <c r="C3601" t="s">
        <v>5166</v>
      </c>
      <c r="D3601" t="s">
        <v>10570</v>
      </c>
      <c r="E3601">
        <v>10</v>
      </c>
      <c r="F3601" t="str">
        <f>IF(AND(Entities[[#This Row],[ENT_TYPE]]="County",RIGHT(Entities[[#This Row],[ENT_NAME]],6)&lt;&gt;"County"),_xlfn.TEXTJOIN(" ",TRUE,Entities[[#This Row],[ENT_NAME]],"County"),Entities[[#This Row],[ENT_NAME]])</f>
        <v>Reunion Ranch WCID</v>
      </c>
    </row>
    <row r="3602" spans="1:6" x14ac:dyDescent="0.25">
      <c r="A3602" s="303" t="s">
        <v>10571</v>
      </c>
      <c r="B3602" s="303" t="str">
        <f t="shared" si="56"/>
        <v>x10001845</v>
      </c>
      <c r="C3602" t="s">
        <v>4</v>
      </c>
      <c r="D3602" t="s">
        <v>10572</v>
      </c>
      <c r="E3602">
        <v>10</v>
      </c>
      <c r="F3602" t="str">
        <f>IF(AND(Entities[[#This Row],[ENT_TYPE]]="County",RIGHT(Entities[[#This Row],[ENT_NAME]],6)&lt;&gt;"County"),_xlfn.TEXTJOIN(" ",TRUE,Entities[[#This Row],[ENT_NAME]],"County"),Entities[[#This Row],[ENT_NAME]])</f>
        <v>Travis County MUD 19</v>
      </c>
    </row>
    <row r="3603" spans="1:6" x14ac:dyDescent="0.25">
      <c r="A3603" s="305" t="s">
        <v>10573</v>
      </c>
      <c r="B3603" s="303" t="str">
        <f t="shared" si="56"/>
        <v>x10001846</v>
      </c>
      <c r="C3603" t="s">
        <v>4</v>
      </c>
      <c r="D3603" t="s">
        <v>10574</v>
      </c>
      <c r="E3603">
        <v>10</v>
      </c>
      <c r="F3603" t="str">
        <f>IF(AND(Entities[[#This Row],[ENT_TYPE]]="County",RIGHT(Entities[[#This Row],[ENT_NAME]],6)&lt;&gt;"County"),_xlfn.TEXTJOIN(" ",TRUE,Entities[[#This Row],[ENT_NAME]],"County"),Entities[[#This Row],[ENT_NAME]])</f>
        <v>Lazy Nine MUD 1D</v>
      </c>
    </row>
    <row r="3604" spans="1:6" x14ac:dyDescent="0.25">
      <c r="A3604" s="303" t="s">
        <v>10575</v>
      </c>
      <c r="B3604" s="303" t="str">
        <f t="shared" si="56"/>
        <v>x10001847</v>
      </c>
      <c r="C3604" t="s">
        <v>5166</v>
      </c>
      <c r="D3604" t="s">
        <v>10576</v>
      </c>
      <c r="E3604">
        <v>10</v>
      </c>
      <c r="F3604" t="str">
        <f>IF(AND(Entities[[#This Row],[ENT_TYPE]]="County",RIGHT(Entities[[#This Row],[ENT_NAME]],6)&lt;&gt;"County"),_xlfn.TEXTJOIN(" ",TRUE,Entities[[#This Row],[ENT_NAME]],"County"),Entities[[#This Row],[ENT_NAME]])</f>
        <v>Greenhawe WCID 1</v>
      </c>
    </row>
    <row r="3605" spans="1:6" x14ac:dyDescent="0.25">
      <c r="A3605" s="305" t="s">
        <v>10577</v>
      </c>
      <c r="B3605" s="303" t="str">
        <f t="shared" si="56"/>
        <v>x10001848</v>
      </c>
      <c r="C3605" t="s">
        <v>5166</v>
      </c>
      <c r="D3605" t="s">
        <v>10578</v>
      </c>
      <c r="E3605">
        <v>10</v>
      </c>
      <c r="F3605" t="str">
        <f>IF(AND(Entities[[#This Row],[ENT_TYPE]]="County",RIGHT(Entities[[#This Row],[ENT_NAME]],6)&lt;&gt;"County"),_xlfn.TEXTJOIN(" ",TRUE,Entities[[#This Row],[ENT_NAME]],"County"),Entities[[#This Row],[ENT_NAME]])</f>
        <v>Lavaca County Flood Control District 3</v>
      </c>
    </row>
    <row r="3606" spans="1:6" x14ac:dyDescent="0.25">
      <c r="A3606" s="303" t="s">
        <v>10579</v>
      </c>
      <c r="B3606" s="303" t="str">
        <f t="shared" si="56"/>
        <v>x10001855</v>
      </c>
      <c r="C3606" t="s">
        <v>4</v>
      </c>
      <c r="D3606" t="s">
        <v>10580</v>
      </c>
      <c r="E3606">
        <v>10</v>
      </c>
      <c r="F3606" t="str">
        <f>IF(AND(Entities[[#This Row],[ENT_TYPE]]="County",RIGHT(Entities[[#This Row],[ENT_NAME]],6)&lt;&gt;"County"),_xlfn.TEXTJOIN(" ",TRUE,Entities[[#This Row],[ENT_NAME]],"County"),Entities[[#This Row],[ENT_NAME]])</f>
        <v>West Travis County MUD 6</v>
      </c>
    </row>
    <row r="3607" spans="1:6" x14ac:dyDescent="0.25">
      <c r="A3607" s="305" t="s">
        <v>10581</v>
      </c>
      <c r="B3607" s="303" t="str">
        <f t="shared" si="56"/>
        <v>x10001868</v>
      </c>
      <c r="C3607" t="s">
        <v>4</v>
      </c>
      <c r="D3607" t="s">
        <v>10582</v>
      </c>
      <c r="E3607">
        <v>10</v>
      </c>
      <c r="F3607" t="str">
        <f>IF(AND(Entities[[#This Row],[ENT_TYPE]]="County",RIGHT(Entities[[#This Row],[ENT_NAME]],6)&lt;&gt;"County"),_xlfn.TEXTJOIN(" ",TRUE,Entities[[#This Row],[ENT_NAME]],"County"),Entities[[#This Row],[ENT_NAME]])</f>
        <v>Travis County MUD 22</v>
      </c>
    </row>
    <row r="3608" spans="1:6" x14ac:dyDescent="0.25">
      <c r="A3608" s="303" t="s">
        <v>10583</v>
      </c>
      <c r="B3608" s="303" t="str">
        <f t="shared" si="56"/>
        <v>x10001876</v>
      </c>
      <c r="C3608" t="s">
        <v>4</v>
      </c>
      <c r="D3608" t="s">
        <v>10584</v>
      </c>
      <c r="E3608">
        <v>10</v>
      </c>
      <c r="F3608" t="str">
        <f>IF(AND(Entities[[#This Row],[ENT_TYPE]]="County",RIGHT(Entities[[#This Row],[ENT_NAME]],6)&lt;&gt;"County"),_xlfn.TEXTJOIN(" ",TRUE,Entities[[#This Row],[ENT_NAME]],"County"),Entities[[#This Row],[ENT_NAME]])</f>
        <v>Springhollow MUD</v>
      </c>
    </row>
    <row r="3609" spans="1:6" x14ac:dyDescent="0.25">
      <c r="A3609" s="305" t="s">
        <v>10585</v>
      </c>
      <c r="B3609" s="303" t="str">
        <f t="shared" si="56"/>
        <v>x10001884</v>
      </c>
      <c r="C3609" t="s">
        <v>5166</v>
      </c>
      <c r="D3609" t="s">
        <v>10586</v>
      </c>
      <c r="E3609">
        <v>10</v>
      </c>
      <c r="F3609" t="str">
        <f>IF(AND(Entities[[#This Row],[ENT_TYPE]]="County",RIGHT(Entities[[#This Row],[ENT_NAME]],6)&lt;&gt;"County"),_xlfn.TEXTJOIN(" ",TRUE,Entities[[#This Row],[ENT_NAME]],"County"),Entities[[#This Row],[ENT_NAME]])</f>
        <v>Hays County WCID 2</v>
      </c>
    </row>
    <row r="3610" spans="1:6" x14ac:dyDescent="0.25">
      <c r="A3610" s="303" t="s">
        <v>10587</v>
      </c>
      <c r="B3610" s="303" t="str">
        <f t="shared" si="56"/>
        <v>x10001902</v>
      </c>
      <c r="C3610" t="s">
        <v>4</v>
      </c>
      <c r="D3610" t="s">
        <v>10588</v>
      </c>
      <c r="E3610">
        <v>10</v>
      </c>
      <c r="F3610" t="str">
        <f>IF(AND(Entities[[#This Row],[ENT_TYPE]]="County",RIGHT(Entities[[#This Row],[ENT_NAME]],6)&lt;&gt;"County"),_xlfn.TEXTJOIN(" ",TRUE,Entities[[#This Row],[ENT_NAME]],"County"),Entities[[#This Row],[ENT_NAME]])</f>
        <v>Burnet County ID 1</v>
      </c>
    </row>
    <row r="3611" spans="1:6" x14ac:dyDescent="0.25">
      <c r="A3611" s="305" t="s">
        <v>10589</v>
      </c>
      <c r="B3611" s="303" t="str">
        <f t="shared" si="56"/>
        <v>x10001919</v>
      </c>
      <c r="C3611" t="s">
        <v>4</v>
      </c>
      <c r="D3611" t="s">
        <v>10590</v>
      </c>
      <c r="E3611">
        <v>10</v>
      </c>
      <c r="F3611" t="str">
        <f>IF(AND(Entities[[#This Row],[ENT_TYPE]]="County",RIGHT(Entities[[#This Row],[ENT_NAME]],6)&lt;&gt;"County"),_xlfn.TEXTJOIN(" ",TRUE,Entities[[#This Row],[ENT_NAME]],"County"),Entities[[#This Row],[ENT_NAME]])</f>
        <v>Vista MUD</v>
      </c>
    </row>
    <row r="3612" spans="1:6" x14ac:dyDescent="0.25">
      <c r="A3612" s="303" t="s">
        <v>10591</v>
      </c>
      <c r="B3612" s="303" t="str">
        <f t="shared" si="56"/>
        <v>x10001962</v>
      </c>
      <c r="C3612" t="s">
        <v>5166</v>
      </c>
      <c r="D3612" t="s">
        <v>10298</v>
      </c>
      <c r="E3612">
        <v>10</v>
      </c>
      <c r="F3612" t="str">
        <f>IF(AND(Entities[[#This Row],[ENT_TYPE]]="County",RIGHT(Entities[[#This Row],[ENT_NAME]],6)&lt;&gt;"County"),_xlfn.TEXTJOIN(" ",TRUE,Entities[[#This Row],[ENT_NAME]],"County"),Entities[[#This Row],[ENT_NAME]])</f>
        <v>Saddletree WCID</v>
      </c>
    </row>
    <row r="3613" spans="1:6" x14ac:dyDescent="0.25">
      <c r="A3613" s="305" t="s">
        <v>10592</v>
      </c>
      <c r="B3613" s="303" t="str">
        <f t="shared" si="56"/>
        <v>x10001964</v>
      </c>
      <c r="C3613" t="s">
        <v>4</v>
      </c>
      <c r="D3613" t="s">
        <v>10593</v>
      </c>
      <c r="E3613">
        <v>10</v>
      </c>
      <c r="F3613" t="str">
        <f>IF(AND(Entities[[#This Row],[ENT_TYPE]]="County",RIGHT(Entities[[#This Row],[ENT_NAME]],6)&lt;&gt;"County"),_xlfn.TEXTJOIN(" ",TRUE,Entities[[#This Row],[ENT_NAME]],"County"),Entities[[#This Row],[ENT_NAME]])</f>
        <v>The Colony MUD 1A</v>
      </c>
    </row>
    <row r="3614" spans="1:6" x14ac:dyDescent="0.25">
      <c r="A3614" s="303" t="s">
        <v>10594</v>
      </c>
      <c r="B3614" s="303" t="str">
        <f t="shared" si="56"/>
        <v>x10001965</v>
      </c>
      <c r="C3614" t="s">
        <v>4</v>
      </c>
      <c r="D3614" t="s">
        <v>10595</v>
      </c>
      <c r="E3614">
        <v>10</v>
      </c>
      <c r="F3614" t="str">
        <f>IF(AND(Entities[[#This Row],[ENT_TYPE]]="County",RIGHT(Entities[[#This Row],[ENT_NAME]],6)&lt;&gt;"County"),_xlfn.TEXTJOIN(" ",TRUE,Entities[[#This Row],[ENT_NAME]],"County"),Entities[[#This Row],[ENT_NAME]])</f>
        <v>The Colony MUD 1B</v>
      </c>
    </row>
    <row r="3615" spans="1:6" x14ac:dyDescent="0.25">
      <c r="A3615" s="305" t="s">
        <v>10596</v>
      </c>
      <c r="B3615" s="303" t="str">
        <f t="shared" si="56"/>
        <v>x10001973</v>
      </c>
      <c r="C3615" t="s">
        <v>4</v>
      </c>
      <c r="D3615" t="s">
        <v>10597</v>
      </c>
      <c r="E3615">
        <v>10</v>
      </c>
      <c r="F3615" t="str">
        <f>IF(AND(Entities[[#This Row],[ENT_TYPE]]="County",RIGHT(Entities[[#This Row],[ENT_NAME]],6)&lt;&gt;"County"),_xlfn.TEXTJOIN(" ",TRUE,Entities[[#This Row],[ENT_NAME]],"County"),Entities[[#This Row],[ENT_NAME]])</f>
        <v>Lazy Nine MUD 1A</v>
      </c>
    </row>
    <row r="3616" spans="1:6" x14ac:dyDescent="0.25">
      <c r="A3616" s="305" t="s">
        <v>10598</v>
      </c>
      <c r="B3616" s="303" t="str">
        <f t="shared" si="56"/>
        <v>x10001991</v>
      </c>
      <c r="C3616" t="s">
        <v>5166</v>
      </c>
      <c r="D3616" t="s">
        <v>10599</v>
      </c>
      <c r="E3616">
        <v>10</v>
      </c>
      <c r="F3616" t="str">
        <f>IF(AND(Entities[[#This Row],[ENT_TYPE]]="County",RIGHT(Entities[[#This Row],[ENT_NAME]],6)&lt;&gt;"County"),_xlfn.TEXTJOIN(" ",TRUE,Entities[[#This Row],[ENT_NAME]],"County"),Entities[[#This Row],[ENT_NAME]])</f>
        <v>Lakeside WCID 2-C</v>
      </c>
    </row>
    <row r="3617" spans="1:6" x14ac:dyDescent="0.25">
      <c r="A3617" s="303" t="s">
        <v>10600</v>
      </c>
      <c r="B3617" s="303" t="str">
        <f t="shared" si="56"/>
        <v>x10002002</v>
      </c>
      <c r="C3617" t="s">
        <v>4</v>
      </c>
      <c r="D3617" t="s">
        <v>10601</v>
      </c>
      <c r="E3617">
        <v>10</v>
      </c>
      <c r="F3617" t="str">
        <f>IF(AND(Entities[[#This Row],[ENT_TYPE]]="County",RIGHT(Entities[[#This Row],[ENT_NAME]],6)&lt;&gt;"County"),_xlfn.TEXTJOIN(" ",TRUE,Entities[[#This Row],[ENT_NAME]],"County"),Entities[[#This Row],[ENT_NAME]])</f>
        <v>The Colony MUD 1G</v>
      </c>
    </row>
    <row r="3618" spans="1:6" x14ac:dyDescent="0.25">
      <c r="A3618" s="305" t="s">
        <v>10602</v>
      </c>
      <c r="B3618" s="303" t="str">
        <f t="shared" si="56"/>
        <v>x10002003</v>
      </c>
      <c r="C3618" t="s">
        <v>4</v>
      </c>
      <c r="D3618" t="s">
        <v>10603</v>
      </c>
      <c r="E3618">
        <v>10</v>
      </c>
      <c r="F3618" t="str">
        <f>IF(AND(Entities[[#This Row],[ENT_TYPE]]="County",RIGHT(Entities[[#This Row],[ENT_NAME]],6)&lt;&gt;"County"),_xlfn.TEXTJOIN(" ",TRUE,Entities[[#This Row],[ENT_NAME]],"County"),Entities[[#This Row],[ENT_NAME]])</f>
        <v>The Colony MUD 1F</v>
      </c>
    </row>
    <row r="3619" spans="1:6" x14ac:dyDescent="0.25">
      <c r="A3619" s="303" t="s">
        <v>10604</v>
      </c>
      <c r="B3619" s="303" t="str">
        <f t="shared" si="56"/>
        <v>x10002006</v>
      </c>
      <c r="C3619" t="s">
        <v>4</v>
      </c>
      <c r="D3619" t="s">
        <v>10605</v>
      </c>
      <c r="E3619">
        <v>10</v>
      </c>
      <c r="F3619" t="str">
        <f>IF(AND(Entities[[#This Row],[ENT_TYPE]]="County",RIGHT(Entities[[#This Row],[ENT_NAME]],6)&lt;&gt;"County"),_xlfn.TEXTJOIN(" ",TRUE,Entities[[#This Row],[ENT_NAME]],"County"),Entities[[#This Row],[ENT_NAME]])</f>
        <v>River Place MUD</v>
      </c>
    </row>
    <row r="3620" spans="1:6" x14ac:dyDescent="0.25">
      <c r="A3620" s="305" t="s">
        <v>10606</v>
      </c>
      <c r="B3620" s="303" t="str">
        <f t="shared" si="56"/>
        <v>x10002011</v>
      </c>
      <c r="C3620" t="s">
        <v>4</v>
      </c>
      <c r="D3620" t="s">
        <v>10607</v>
      </c>
      <c r="E3620">
        <v>10</v>
      </c>
      <c r="F3620" t="str">
        <f>IF(AND(Entities[[#This Row],[ENT_TYPE]]="County",RIGHT(Entities[[#This Row],[ENT_NAME]],6)&lt;&gt;"County"),_xlfn.TEXTJOIN(" ",TRUE,Entities[[#This Row],[ENT_NAME]],"County"),Entities[[#This Row],[ENT_NAME]])</f>
        <v>XS Ranch MUD</v>
      </c>
    </row>
    <row r="3621" spans="1:6" x14ac:dyDescent="0.25">
      <c r="A3621" s="303" t="s">
        <v>10608</v>
      </c>
      <c r="B3621" s="303" t="str">
        <f t="shared" si="56"/>
        <v>x10002016</v>
      </c>
      <c r="C3621" t="s">
        <v>4</v>
      </c>
      <c r="D3621" t="s">
        <v>10609</v>
      </c>
      <c r="E3621">
        <v>10</v>
      </c>
      <c r="F3621" t="str">
        <f>IF(AND(Entities[[#This Row],[ENT_TYPE]]="County",RIGHT(Entities[[#This Row],[ENT_NAME]],6)&lt;&gt;"County"),_xlfn.TEXTJOIN(" ",TRUE,Entities[[#This Row],[ENT_NAME]],"County"),Entities[[#This Row],[ENT_NAME]])</f>
        <v>Travis County MUD 21</v>
      </c>
    </row>
    <row r="3622" spans="1:6" x14ac:dyDescent="0.25">
      <c r="A3622" s="305" t="s">
        <v>10610</v>
      </c>
      <c r="B3622" s="303" t="str">
        <f t="shared" si="56"/>
        <v>x10002035</v>
      </c>
      <c r="C3622" t="s">
        <v>4</v>
      </c>
      <c r="D3622" t="s">
        <v>10611</v>
      </c>
      <c r="E3622">
        <v>10</v>
      </c>
      <c r="F3622" t="str">
        <f>IF(AND(Entities[[#This Row],[ENT_TYPE]]="County",RIGHT(Entities[[#This Row],[ENT_NAME]],6)&lt;&gt;"County"),_xlfn.TEXTJOIN(" ",TRUE,Entities[[#This Row],[ENT_NAME]],"County"),Entities[[#This Row],[ENT_NAME]])</f>
        <v>Hays County Development District 1</v>
      </c>
    </row>
    <row r="3623" spans="1:6" x14ac:dyDescent="0.25">
      <c r="A3623" s="303" t="s">
        <v>10612</v>
      </c>
      <c r="B3623" s="303" t="str">
        <f t="shared" si="56"/>
        <v>x10002043</v>
      </c>
      <c r="C3623" t="s">
        <v>4</v>
      </c>
      <c r="D3623" t="s">
        <v>10613</v>
      </c>
      <c r="E3623">
        <v>10</v>
      </c>
      <c r="F3623" t="str">
        <f>IF(AND(Entities[[#This Row],[ENT_TYPE]]="County",RIGHT(Entities[[#This Row],[ENT_NAME]],6)&lt;&gt;"County"),_xlfn.TEXTJOIN(" ",TRUE,Entities[[#This Row],[ENT_NAME]],"County"),Entities[[#This Row],[ENT_NAME]])</f>
        <v>Cascades MUD 1</v>
      </c>
    </row>
    <row r="3624" spans="1:6" x14ac:dyDescent="0.25">
      <c r="A3624" s="303" t="s">
        <v>10614</v>
      </c>
      <c r="B3624" s="303" t="str">
        <f t="shared" si="56"/>
        <v>x10002076</v>
      </c>
      <c r="C3624" t="s">
        <v>4</v>
      </c>
      <c r="D3624" t="s">
        <v>10615</v>
      </c>
      <c r="E3624">
        <v>10</v>
      </c>
      <c r="F3624" t="str">
        <f>IF(AND(Entities[[#This Row],[ENT_TYPE]]="County",RIGHT(Entities[[#This Row],[ENT_NAME]],6)&lt;&gt;"County"),_xlfn.TEXTJOIN(" ",TRUE,Entities[[#This Row],[ENT_NAME]],"County"),Entities[[#This Row],[ENT_NAME]])</f>
        <v>Northeast Travis County Utility District</v>
      </c>
    </row>
    <row r="3625" spans="1:6" x14ac:dyDescent="0.25">
      <c r="A3625" s="305" t="s">
        <v>10616</v>
      </c>
      <c r="B3625" s="303" t="str">
        <f t="shared" si="56"/>
        <v>x10002077</v>
      </c>
      <c r="C3625" t="s">
        <v>4</v>
      </c>
      <c r="D3625" t="s">
        <v>10617</v>
      </c>
      <c r="E3625">
        <v>10</v>
      </c>
      <c r="F3625" t="str">
        <f>IF(AND(Entities[[#This Row],[ENT_TYPE]]="County",RIGHT(Entities[[#This Row],[ENT_NAME]],6)&lt;&gt;"County"),_xlfn.TEXTJOIN(" ",TRUE,Entities[[#This Row],[ENT_NAME]],"County"),Entities[[#This Row],[ENT_NAME]])</f>
        <v>Travis County MUD 20</v>
      </c>
    </row>
    <row r="3626" spans="1:6" x14ac:dyDescent="0.25">
      <c r="A3626" s="303" t="s">
        <v>10618</v>
      </c>
      <c r="B3626" s="303" t="str">
        <f t="shared" si="56"/>
        <v>x10002090</v>
      </c>
      <c r="C3626" t="s">
        <v>4</v>
      </c>
      <c r="D3626" t="s">
        <v>10619</v>
      </c>
      <c r="E3626">
        <v>10</v>
      </c>
      <c r="F3626" t="str">
        <f>IF(AND(Entities[[#This Row],[ENT_TYPE]]="County",RIGHT(Entities[[#This Row],[ENT_NAME]],6)&lt;&gt;"County"),_xlfn.TEXTJOIN(" ",TRUE,Entities[[#This Row],[ENT_NAME]],"County"),Entities[[#This Row],[ENT_NAME]])</f>
        <v>Kendleton Improvement District</v>
      </c>
    </row>
    <row r="3627" spans="1:6" x14ac:dyDescent="0.25">
      <c r="A3627" s="305" t="s">
        <v>10620</v>
      </c>
      <c r="B3627" s="303" t="str">
        <f t="shared" si="56"/>
        <v>x10002108</v>
      </c>
      <c r="C3627" t="s">
        <v>4</v>
      </c>
      <c r="D3627" t="s">
        <v>10621</v>
      </c>
      <c r="E3627">
        <v>10</v>
      </c>
      <c r="F3627" t="str">
        <f>IF(AND(Entities[[#This Row],[ENT_TYPE]]="County",RIGHT(Entities[[#This Row],[ENT_NAME]],6)&lt;&gt;"County"),_xlfn.TEXTJOIN(" ",TRUE,Entities[[#This Row],[ENT_NAME]],"County"),Entities[[#This Row],[ENT_NAME]])</f>
        <v>Hays County MUD 4</v>
      </c>
    </row>
    <row r="3628" spans="1:6" x14ac:dyDescent="0.25">
      <c r="A3628" s="303" t="s">
        <v>10622</v>
      </c>
      <c r="B3628" s="303" t="str">
        <f t="shared" si="56"/>
        <v>x10002117</v>
      </c>
      <c r="C3628" t="s">
        <v>4</v>
      </c>
      <c r="D3628" t="s">
        <v>10623</v>
      </c>
      <c r="E3628">
        <v>10</v>
      </c>
      <c r="F3628" t="str">
        <f>IF(AND(Entities[[#This Row],[ENT_TYPE]]="County",RIGHT(Entities[[#This Row],[ENT_NAME]],6)&lt;&gt;"County"),_xlfn.TEXTJOIN(" ",TRUE,Entities[[#This Row],[ENT_NAME]],"County"),Entities[[#This Row],[ENT_NAME]])</f>
        <v>Onion Creek Metro Park District</v>
      </c>
    </row>
    <row r="3629" spans="1:6" x14ac:dyDescent="0.25">
      <c r="A3629" s="305" t="s">
        <v>10624</v>
      </c>
      <c r="B3629" s="303" t="str">
        <f t="shared" si="56"/>
        <v>x10002119</v>
      </c>
      <c r="C3629" t="s">
        <v>5166</v>
      </c>
      <c r="D3629" t="s">
        <v>10625</v>
      </c>
      <c r="E3629">
        <v>10</v>
      </c>
      <c r="F3629" t="str">
        <f>IF(AND(Entities[[#This Row],[ENT_TYPE]]="County",RIGHT(Entities[[#This Row],[ENT_NAME]],6)&lt;&gt;"County"),_xlfn.TEXTJOIN(" ",TRUE,Entities[[#This Row],[ENT_NAME]],"County"),Entities[[#This Row],[ENT_NAME]])</f>
        <v>Lake LBJ WCID 1</v>
      </c>
    </row>
    <row r="3630" spans="1:6" x14ac:dyDescent="0.25">
      <c r="A3630" s="303" t="s">
        <v>10626</v>
      </c>
      <c r="B3630" s="303" t="str">
        <f t="shared" si="56"/>
        <v>x10002146</v>
      </c>
      <c r="C3630" t="s">
        <v>4</v>
      </c>
      <c r="D3630" t="s">
        <v>10627</v>
      </c>
      <c r="E3630">
        <v>10</v>
      </c>
      <c r="F3630" t="str">
        <f>IF(AND(Entities[[#This Row],[ENT_TYPE]]="County",RIGHT(Entities[[#This Row],[ENT_NAME]],6)&lt;&gt;"County"),_xlfn.TEXTJOIN(" ",TRUE,Entities[[#This Row],[ENT_NAME]],"County"),Entities[[#This Row],[ENT_NAME]])</f>
        <v>West Travis County MUD 5</v>
      </c>
    </row>
    <row r="3631" spans="1:6" x14ac:dyDescent="0.25">
      <c r="A3631" s="305" t="s">
        <v>10628</v>
      </c>
      <c r="B3631" s="303" t="str">
        <f t="shared" si="56"/>
        <v>x10002149</v>
      </c>
      <c r="C3631" t="s">
        <v>4</v>
      </c>
      <c r="D3631" t="s">
        <v>10629</v>
      </c>
      <c r="E3631">
        <v>10</v>
      </c>
      <c r="F3631" t="str">
        <f>IF(AND(Entities[[#This Row],[ENT_TYPE]]="County",RIGHT(Entities[[#This Row],[ENT_NAME]],6)&lt;&gt;"County"),_xlfn.TEXTJOIN(" ",TRUE,Entities[[#This Row],[ENT_NAME]],"County"),Entities[[#This Row],[ENT_NAME]])</f>
        <v>West Travis County MUD 3</v>
      </c>
    </row>
    <row r="3632" spans="1:6" x14ac:dyDescent="0.25">
      <c r="A3632" s="303" t="s">
        <v>10630</v>
      </c>
      <c r="B3632" s="303" t="str">
        <f t="shared" si="56"/>
        <v>x10002169</v>
      </c>
      <c r="C3632" t="s">
        <v>4</v>
      </c>
      <c r="D3632" t="s">
        <v>10631</v>
      </c>
      <c r="E3632">
        <v>10</v>
      </c>
      <c r="F3632" t="str">
        <f>IF(AND(Entities[[#This Row],[ENT_TYPE]]="County",RIGHT(Entities[[#This Row],[ENT_NAME]],6)&lt;&gt;"County"),_xlfn.TEXTJOIN(" ",TRUE,Entities[[#This Row],[ENT_NAME]],"County"),Entities[[#This Row],[ENT_NAME]])</f>
        <v>Travis County MUD 14</v>
      </c>
    </row>
    <row r="3633" spans="1:6" x14ac:dyDescent="0.25">
      <c r="A3633" s="305" t="s">
        <v>10632</v>
      </c>
      <c r="B3633" s="303" t="str">
        <f t="shared" si="56"/>
        <v>x10002170</v>
      </c>
      <c r="C3633" t="s">
        <v>4</v>
      </c>
      <c r="D3633" t="s">
        <v>10633</v>
      </c>
      <c r="E3633">
        <v>10</v>
      </c>
      <c r="F3633" t="str">
        <f>IF(AND(Entities[[#This Row],[ENT_TYPE]]="County",RIGHT(Entities[[#This Row],[ENT_NAME]],6)&lt;&gt;"County"),_xlfn.TEXTJOIN(" ",TRUE,Entities[[#This Row],[ENT_NAME]],"County"),Entities[[#This Row],[ENT_NAME]])</f>
        <v>Travis County MUD 15</v>
      </c>
    </row>
    <row r="3634" spans="1:6" x14ac:dyDescent="0.25">
      <c r="A3634" s="303" t="s">
        <v>10634</v>
      </c>
      <c r="B3634" s="303" t="str">
        <f t="shared" si="56"/>
        <v>x10002177</v>
      </c>
      <c r="C3634" t="s">
        <v>4</v>
      </c>
      <c r="D3634" t="s">
        <v>10635</v>
      </c>
      <c r="E3634">
        <v>10</v>
      </c>
      <c r="F3634" t="str">
        <f>IF(AND(Entities[[#This Row],[ENT_TYPE]]="County",RIGHT(Entities[[#This Row],[ENT_NAME]],6)&lt;&gt;"County"),_xlfn.TEXTJOIN(" ",TRUE,Entities[[#This Row],[ENT_NAME]],"County"),Entities[[#This Row],[ENT_NAME]])</f>
        <v>Travis County MUD 24</v>
      </c>
    </row>
    <row r="3635" spans="1:6" x14ac:dyDescent="0.25">
      <c r="A3635" s="305" t="s">
        <v>10636</v>
      </c>
      <c r="B3635" s="303" t="str">
        <f t="shared" si="56"/>
        <v>x10002250</v>
      </c>
      <c r="C3635" t="s">
        <v>4</v>
      </c>
      <c r="D3635" t="s">
        <v>10637</v>
      </c>
      <c r="E3635">
        <v>10</v>
      </c>
      <c r="F3635" t="str">
        <f>IF(AND(Entities[[#This Row],[ENT_TYPE]]="County",RIGHT(Entities[[#This Row],[ENT_NAME]],6)&lt;&gt;"County"),_xlfn.TEXTJOIN(" ",TRUE,Entities[[#This Row],[ENT_NAME]],"County"),Entities[[#This Row],[ENT_NAME]])</f>
        <v>Altessa MUD</v>
      </c>
    </row>
    <row r="3636" spans="1:6" x14ac:dyDescent="0.25">
      <c r="A3636" s="303" t="s">
        <v>10638</v>
      </c>
      <c r="B3636" s="303" t="str">
        <f t="shared" si="56"/>
        <v>x10002251</v>
      </c>
      <c r="C3636" t="s">
        <v>4</v>
      </c>
      <c r="D3636" t="s">
        <v>10639</v>
      </c>
      <c r="E3636">
        <v>10</v>
      </c>
      <c r="F3636" t="str">
        <f>IF(AND(Entities[[#This Row],[ENT_TYPE]]="County",RIGHT(Entities[[#This Row],[ENT_NAME]],6)&lt;&gt;"County"),_xlfn.TEXTJOIN(" ",TRUE,Entities[[#This Row],[ENT_NAME]],"County"),Entities[[#This Row],[ENT_NAME]])</f>
        <v>Driftwood Conservation District</v>
      </c>
    </row>
    <row r="3637" spans="1:6" x14ac:dyDescent="0.25">
      <c r="A3637" s="305" t="s">
        <v>10640</v>
      </c>
      <c r="B3637" s="303" t="str">
        <f t="shared" si="56"/>
        <v>x10002284</v>
      </c>
      <c r="C3637" t="s">
        <v>4</v>
      </c>
      <c r="D3637" t="s">
        <v>10641</v>
      </c>
      <c r="E3637">
        <v>10</v>
      </c>
      <c r="F3637" t="str">
        <f>IF(AND(Entities[[#This Row],[ENT_TYPE]]="County",RIGHT(Entities[[#This Row],[ENT_NAME]],6)&lt;&gt;"County"),_xlfn.TEXTJOIN(" ",TRUE,Entities[[#This Row],[ENT_NAME]],"County"),Entities[[#This Row],[ENT_NAME]])</f>
        <v>Brickston MUD</v>
      </c>
    </row>
    <row r="3638" spans="1:6" x14ac:dyDescent="0.25">
      <c r="A3638" s="303" t="s">
        <v>10642</v>
      </c>
      <c r="B3638" s="303" t="str">
        <f t="shared" si="56"/>
        <v>x10002286</v>
      </c>
      <c r="C3638" t="s">
        <v>4</v>
      </c>
      <c r="D3638" t="s">
        <v>10643</v>
      </c>
      <c r="E3638">
        <v>10</v>
      </c>
      <c r="F3638" t="str">
        <f>IF(AND(Entities[[#This Row],[ENT_TYPE]]="County",RIGHT(Entities[[#This Row],[ENT_NAME]],6)&lt;&gt;"County"),_xlfn.TEXTJOIN(" ",TRUE,Entities[[#This Row],[ENT_NAME]],"County"),Entities[[#This Row],[ENT_NAME]])</f>
        <v>Rio de Vida MUD 1</v>
      </c>
    </row>
    <row r="3639" spans="1:6" x14ac:dyDescent="0.25">
      <c r="A3639" s="305" t="s">
        <v>10644</v>
      </c>
      <c r="B3639" s="303" t="str">
        <f t="shared" si="56"/>
        <v>x10002309</v>
      </c>
      <c r="C3639" t="s">
        <v>4</v>
      </c>
      <c r="D3639" t="s">
        <v>10645</v>
      </c>
      <c r="E3639">
        <v>10</v>
      </c>
      <c r="F3639" t="str">
        <f>IF(AND(Entities[[#This Row],[ENT_TYPE]]="County",RIGHT(Entities[[#This Row],[ENT_NAME]],6)&lt;&gt;"County"),_xlfn.TEXTJOIN(" ",TRUE,Entities[[#This Row],[ENT_NAME]],"County"),Entities[[#This Row],[ENT_NAME]])</f>
        <v>Driftwood MUD 1</v>
      </c>
    </row>
    <row r="3640" spans="1:6" x14ac:dyDescent="0.25">
      <c r="A3640" s="303" t="s">
        <v>10646</v>
      </c>
      <c r="B3640" s="303" t="str">
        <f t="shared" si="56"/>
        <v>x10002315</v>
      </c>
      <c r="C3640" t="s">
        <v>4</v>
      </c>
      <c r="D3640" t="s">
        <v>10647</v>
      </c>
      <c r="E3640">
        <v>10</v>
      </c>
      <c r="F3640" t="str">
        <f>IF(AND(Entities[[#This Row],[ENT_TYPE]]="County",RIGHT(Entities[[#This Row],[ENT_NAME]],6)&lt;&gt;"County"),_xlfn.TEXTJOIN(" ",TRUE,Entities[[#This Row],[ENT_NAME]],"County"),Entities[[#This Row],[ENT_NAME]])</f>
        <v>Travis County MUD 25</v>
      </c>
    </row>
    <row r="3641" spans="1:6" x14ac:dyDescent="0.25">
      <c r="A3641" s="305" t="s">
        <v>10648</v>
      </c>
      <c r="B3641" s="303" t="str">
        <f t="shared" si="56"/>
        <v>x10002376</v>
      </c>
      <c r="C3641" t="s">
        <v>4</v>
      </c>
      <c r="D3641" t="s">
        <v>10649</v>
      </c>
      <c r="E3641">
        <v>10</v>
      </c>
      <c r="F3641" t="str">
        <f>IF(AND(Entities[[#This Row],[ENT_TYPE]]="County",RIGHT(Entities[[#This Row],[ENT_NAME]],6)&lt;&gt;"County"),_xlfn.TEXTJOIN(" ",TRUE,Entities[[#This Row],[ENT_NAME]],"County"),Entities[[#This Row],[ENT_NAME]])</f>
        <v>Gateway Park MMD</v>
      </c>
    </row>
    <row r="3642" spans="1:6" x14ac:dyDescent="0.25">
      <c r="A3642" s="303" t="s">
        <v>10650</v>
      </c>
      <c r="B3642" s="303" t="str">
        <f t="shared" si="56"/>
        <v>x10002377</v>
      </c>
      <c r="C3642" t="s">
        <v>4</v>
      </c>
      <c r="D3642" t="s">
        <v>10651</v>
      </c>
      <c r="E3642">
        <v>10</v>
      </c>
      <c r="F3642" t="str">
        <f>IF(AND(Entities[[#This Row],[ENT_TYPE]]="County",RIGHT(Entities[[#This Row],[ENT_NAME]],6)&lt;&gt;"County"),_xlfn.TEXTJOIN(" ",TRUE,Entities[[#This Row],[ENT_NAME]],"County"),Entities[[#This Row],[ENT_NAME]])</f>
        <v>Pilot Knob MUD 3</v>
      </c>
    </row>
    <row r="3643" spans="1:6" x14ac:dyDescent="0.25">
      <c r="A3643" s="303" t="s">
        <v>10652</v>
      </c>
      <c r="B3643" s="303" t="str">
        <f t="shared" si="56"/>
        <v>x10002409</v>
      </c>
      <c r="C3643" t="s">
        <v>5458</v>
      </c>
      <c r="D3643" t="s">
        <v>10653</v>
      </c>
      <c r="E3643">
        <v>10</v>
      </c>
      <c r="F3643" t="str">
        <f>IF(AND(Entities[[#This Row],[ENT_TYPE]]="County",RIGHT(Entities[[#This Row],[ENT_NAME]],6)&lt;&gt;"County"),_xlfn.TEXTJOIN(" ",TRUE,Entities[[#This Row],[ENT_NAME]],"County"),Entities[[#This Row],[ENT_NAME]])</f>
        <v>Mullin</v>
      </c>
    </row>
    <row r="3644" spans="1:6" x14ac:dyDescent="0.25">
      <c r="A3644" s="305" t="s">
        <v>10654</v>
      </c>
      <c r="B3644" s="303" t="str">
        <f t="shared" si="56"/>
        <v>x10002433</v>
      </c>
      <c r="C3644" t="s">
        <v>5458</v>
      </c>
      <c r="D3644" t="s">
        <v>10655</v>
      </c>
      <c r="E3644">
        <v>10</v>
      </c>
      <c r="F3644" t="str">
        <f>IF(AND(Entities[[#This Row],[ENT_TYPE]]="County",RIGHT(Entities[[#This Row],[ENT_NAME]],6)&lt;&gt;"County"),_xlfn.TEXTJOIN(" ",TRUE,Entities[[#This Row],[ENT_NAME]],"County"),Entities[[#This Row],[ENT_NAME]])</f>
        <v>East Bernard</v>
      </c>
    </row>
    <row r="3645" spans="1:6" x14ac:dyDescent="0.25">
      <c r="A3645" s="303" t="s">
        <v>10656</v>
      </c>
      <c r="B3645" s="303" t="str">
        <f t="shared" si="56"/>
        <v>x10002474</v>
      </c>
      <c r="C3645" t="s">
        <v>5458</v>
      </c>
      <c r="D3645" t="s">
        <v>10657</v>
      </c>
      <c r="E3645">
        <v>10</v>
      </c>
      <c r="F3645" t="str">
        <f>IF(AND(Entities[[#This Row],[ENT_TYPE]]="County",RIGHT(Entities[[#This Row],[ENT_NAME]],6)&lt;&gt;"County"),_xlfn.TEXTJOIN(" ",TRUE,Entities[[#This Row],[ENT_NAME]],"County"),Entities[[#This Row],[ENT_NAME]])</f>
        <v>Blanket</v>
      </c>
    </row>
    <row r="3646" spans="1:6" x14ac:dyDescent="0.25">
      <c r="A3646" s="305" t="s">
        <v>10658</v>
      </c>
      <c r="B3646" s="303" t="str">
        <f t="shared" si="56"/>
        <v>x10002505</v>
      </c>
      <c r="C3646" t="s">
        <v>5458</v>
      </c>
      <c r="D3646" t="s">
        <v>10659</v>
      </c>
      <c r="E3646">
        <v>10</v>
      </c>
      <c r="F3646" t="str">
        <f>IF(AND(Entities[[#This Row],[ENT_TYPE]]="County",RIGHT(Entities[[#This Row],[ENT_NAME]],6)&lt;&gt;"County"),_xlfn.TEXTJOIN(" ",TRUE,Entities[[#This Row],[ENT_NAME]],"County"),Entities[[#This Row],[ENT_NAME]])</f>
        <v>Novice</v>
      </c>
    </row>
    <row r="3647" spans="1:6" x14ac:dyDescent="0.25">
      <c r="A3647" s="303" t="s">
        <v>10660</v>
      </c>
      <c r="B3647" s="303" t="str">
        <f t="shared" si="56"/>
        <v>x10002525</v>
      </c>
      <c r="C3647" t="s">
        <v>5458</v>
      </c>
      <c r="D3647" t="s">
        <v>10661</v>
      </c>
      <c r="E3647">
        <v>10</v>
      </c>
      <c r="F3647" t="str">
        <f>IF(AND(Entities[[#This Row],[ENT_TYPE]]="County",RIGHT(Entities[[#This Row],[ENT_NAME]],6)&lt;&gt;"County"),_xlfn.TEXTJOIN(" ",TRUE,Entities[[#This Row],[ENT_NAME]],"County"),Entities[[#This Row],[ENT_NAME]])</f>
        <v>Brady</v>
      </c>
    </row>
    <row r="3648" spans="1:6" x14ac:dyDescent="0.25">
      <c r="A3648" s="305" t="s">
        <v>10662</v>
      </c>
      <c r="B3648" s="303" t="str">
        <f t="shared" si="56"/>
        <v>x10002526</v>
      </c>
      <c r="C3648" t="s">
        <v>5458</v>
      </c>
      <c r="D3648" t="s">
        <v>10663</v>
      </c>
      <c r="E3648">
        <v>10</v>
      </c>
      <c r="F3648" t="str">
        <f>IF(AND(Entities[[#This Row],[ENT_TYPE]]="County",RIGHT(Entities[[#This Row],[ENT_NAME]],6)&lt;&gt;"County"),_xlfn.TEXTJOIN(" ",TRUE,Entities[[#This Row],[ENT_NAME]],"County"),Entities[[#This Row],[ENT_NAME]])</f>
        <v>Smithville</v>
      </c>
    </row>
    <row r="3649" spans="1:6" x14ac:dyDescent="0.25">
      <c r="A3649" s="305" t="s">
        <v>10664</v>
      </c>
      <c r="B3649" s="303" t="str">
        <f t="shared" si="56"/>
        <v>x10002578</v>
      </c>
      <c r="C3649" t="s">
        <v>5458</v>
      </c>
      <c r="D3649" t="s">
        <v>10665</v>
      </c>
      <c r="E3649">
        <v>10</v>
      </c>
      <c r="F3649" t="str">
        <f>IF(AND(Entities[[#This Row],[ENT_TYPE]]="County",RIGHT(Entities[[#This Row],[ENT_NAME]],6)&lt;&gt;"County"),_xlfn.TEXTJOIN(" ",TRUE,Entities[[#This Row],[ENT_NAME]],"County"),Entities[[#This Row],[ENT_NAME]])</f>
        <v>Port Lavaca</v>
      </c>
    </row>
    <row r="3650" spans="1:6" x14ac:dyDescent="0.25">
      <c r="A3650" s="303" t="s">
        <v>10666</v>
      </c>
      <c r="B3650" s="303" t="str">
        <f t="shared" ref="B3650:B3713" si="57">_xlfn.CONCAT("x",TEXT(A3650,"00000000"))</f>
        <v>x10002612</v>
      </c>
      <c r="C3650" t="s">
        <v>5458</v>
      </c>
      <c r="D3650" t="s">
        <v>10667</v>
      </c>
      <c r="E3650">
        <v>10</v>
      </c>
      <c r="F3650" t="str">
        <f>IF(AND(Entities[[#This Row],[ENT_TYPE]]="County",RIGHT(Entities[[#This Row],[ENT_NAME]],6)&lt;&gt;"County"),_xlfn.TEXTJOIN(" ",TRUE,Entities[[#This Row],[ENT_NAME]],"County"),Entities[[#This Row],[ENT_NAME]])</f>
        <v>Lago Vista</v>
      </c>
    </row>
    <row r="3651" spans="1:6" x14ac:dyDescent="0.25">
      <c r="A3651" s="303" t="s">
        <v>10668</v>
      </c>
      <c r="B3651" s="303" t="str">
        <f t="shared" si="57"/>
        <v>x10002676</v>
      </c>
      <c r="C3651" t="s">
        <v>5458</v>
      </c>
      <c r="D3651" t="s">
        <v>5044</v>
      </c>
      <c r="E3651">
        <v>10</v>
      </c>
      <c r="F3651" t="str">
        <f>IF(AND(Entities[[#This Row],[ENT_TYPE]]="County",RIGHT(Entities[[#This Row],[ENT_NAME]],6)&lt;&gt;"County"),_xlfn.TEXTJOIN(" ",TRUE,Entities[[#This Row],[ENT_NAME]],"County"),Entities[[#This Row],[ENT_NAME]])</f>
        <v>Coleman</v>
      </c>
    </row>
    <row r="3652" spans="1:6" x14ac:dyDescent="0.25">
      <c r="A3652" s="305" t="s">
        <v>10669</v>
      </c>
      <c r="B3652" s="303" t="str">
        <f t="shared" si="57"/>
        <v>x10002677</v>
      </c>
      <c r="C3652" t="s">
        <v>5458</v>
      </c>
      <c r="D3652" t="s">
        <v>10670</v>
      </c>
      <c r="E3652">
        <v>10</v>
      </c>
      <c r="F3652" t="str">
        <f>IF(AND(Entities[[#This Row],[ENT_TYPE]]="County",RIGHT(Entities[[#This Row],[ENT_NAME]],6)&lt;&gt;"County"),_xlfn.TEXTJOIN(" ",TRUE,Entities[[#This Row],[ENT_NAME]],"County"),Entities[[#This Row],[ENT_NAME]])</f>
        <v>Santa Anna</v>
      </c>
    </row>
    <row r="3653" spans="1:6" x14ac:dyDescent="0.25">
      <c r="A3653" s="303" t="s">
        <v>10671</v>
      </c>
      <c r="B3653" s="303" t="str">
        <f t="shared" si="57"/>
        <v>x10002696</v>
      </c>
      <c r="C3653" t="s">
        <v>5458</v>
      </c>
      <c r="D3653" t="s">
        <v>10672</v>
      </c>
      <c r="E3653">
        <v>10</v>
      </c>
      <c r="F3653" t="str">
        <f>IF(AND(Entities[[#This Row],[ENT_TYPE]]="County",RIGHT(Entities[[#This Row],[ENT_NAME]],6)&lt;&gt;"County"),_xlfn.TEXTJOIN(" ",TRUE,Entities[[#This Row],[ENT_NAME]],"County"),Entities[[#This Row],[ENT_NAME]])</f>
        <v>Edna</v>
      </c>
    </row>
    <row r="3654" spans="1:6" x14ac:dyDescent="0.25">
      <c r="A3654" s="305" t="s">
        <v>10673</v>
      </c>
      <c r="B3654" s="303" t="str">
        <f t="shared" si="57"/>
        <v>x10002698</v>
      </c>
      <c r="C3654" t="s">
        <v>5458</v>
      </c>
      <c r="D3654" t="s">
        <v>10674</v>
      </c>
      <c r="E3654">
        <v>10</v>
      </c>
      <c r="F3654" t="str">
        <f>IF(AND(Entities[[#This Row],[ENT_TYPE]]="County",RIGHT(Entities[[#This Row],[ENT_NAME]],6)&lt;&gt;"County"),_xlfn.TEXTJOIN(" ",TRUE,Entities[[#This Row],[ENT_NAME]],"County"),Entities[[#This Row],[ENT_NAME]])</f>
        <v>Ganado</v>
      </c>
    </row>
    <row r="3655" spans="1:6" x14ac:dyDescent="0.25">
      <c r="A3655" s="303" t="s">
        <v>10675</v>
      </c>
      <c r="B3655" s="303" t="str">
        <f t="shared" si="57"/>
        <v>x10002701</v>
      </c>
      <c r="C3655" t="s">
        <v>5458</v>
      </c>
      <c r="D3655" t="s">
        <v>10676</v>
      </c>
      <c r="E3655">
        <v>10</v>
      </c>
      <c r="F3655" t="str">
        <f>IF(AND(Entities[[#This Row],[ENT_TYPE]]="County",RIGHT(Entities[[#This Row],[ENT_NAME]],6)&lt;&gt;"County"),_xlfn.TEXTJOIN(" ",TRUE,Entities[[#This Row],[ENT_NAME]],"County"),Entities[[#This Row],[ENT_NAME]])</f>
        <v>Dripping Springs</v>
      </c>
    </row>
    <row r="3656" spans="1:6" x14ac:dyDescent="0.25">
      <c r="A3656" s="305" t="s">
        <v>10677</v>
      </c>
      <c r="B3656" s="303" t="str">
        <f t="shared" si="57"/>
        <v>x10002702</v>
      </c>
      <c r="C3656" t="s">
        <v>5458</v>
      </c>
      <c r="D3656" t="s">
        <v>4976</v>
      </c>
      <c r="E3656">
        <v>10</v>
      </c>
      <c r="F3656" t="str">
        <f>IF(AND(Entities[[#This Row],[ENT_TYPE]]="County",RIGHT(Entities[[#This Row],[ENT_NAME]],6)&lt;&gt;"County"),_xlfn.TEXTJOIN(" ",TRUE,Entities[[#This Row],[ENT_NAME]],"County"),Entities[[#This Row],[ENT_NAME]])</f>
        <v>Hays</v>
      </c>
    </row>
    <row r="3657" spans="1:6" x14ac:dyDescent="0.25">
      <c r="A3657" s="303" t="s">
        <v>10678</v>
      </c>
      <c r="B3657" s="303" t="str">
        <f t="shared" si="57"/>
        <v>x10002705</v>
      </c>
      <c r="C3657" t="s">
        <v>5458</v>
      </c>
      <c r="D3657" t="s">
        <v>10679</v>
      </c>
      <c r="E3657">
        <v>10</v>
      </c>
      <c r="F3657" t="str">
        <f>IF(AND(Entities[[#This Row],[ENT_TYPE]]="County",RIGHT(Entities[[#This Row],[ENT_NAME]],6)&lt;&gt;"County"),_xlfn.TEXTJOIN(" ",TRUE,Entities[[#This Row],[ENT_NAME]],"County"),Entities[[#This Row],[ENT_NAME]])</f>
        <v>La Ward</v>
      </c>
    </row>
    <row r="3658" spans="1:6" x14ac:dyDescent="0.25">
      <c r="A3658" s="305" t="s">
        <v>10680</v>
      </c>
      <c r="B3658" s="303" t="str">
        <f t="shared" si="57"/>
        <v>x10002720</v>
      </c>
      <c r="C3658" t="s">
        <v>5458</v>
      </c>
      <c r="D3658" t="s">
        <v>619</v>
      </c>
      <c r="E3658">
        <v>10</v>
      </c>
      <c r="F3658" t="str">
        <f>IF(AND(Entities[[#This Row],[ENT_TYPE]]="County",RIGHT(Entities[[#This Row],[ENT_NAME]],6)&lt;&gt;"County"),_xlfn.TEXTJOIN(" ",TRUE,Entities[[#This Row],[ENT_NAME]],"County"),Entities[[#This Row],[ENT_NAME]])</f>
        <v>Yoakum</v>
      </c>
    </row>
    <row r="3659" spans="1:6" x14ac:dyDescent="0.25">
      <c r="A3659" s="303" t="s">
        <v>10681</v>
      </c>
      <c r="B3659" s="303" t="str">
        <f t="shared" si="57"/>
        <v>x10002726</v>
      </c>
      <c r="C3659" t="s">
        <v>5458</v>
      </c>
      <c r="D3659" t="s">
        <v>10682</v>
      </c>
      <c r="E3659">
        <v>10</v>
      </c>
      <c r="F3659" t="str">
        <f>IF(AND(Entities[[#This Row],[ENT_TYPE]]="County",RIGHT(Entities[[#This Row],[ENT_NAME]],6)&lt;&gt;"County"),_xlfn.TEXTJOIN(" ",TRUE,Entities[[#This Row],[ENT_NAME]],"County"),Entities[[#This Row],[ENT_NAME]])</f>
        <v>Richland Springs</v>
      </c>
    </row>
    <row r="3660" spans="1:6" x14ac:dyDescent="0.25">
      <c r="A3660" s="305" t="s">
        <v>10683</v>
      </c>
      <c r="B3660" s="303" t="str">
        <f t="shared" si="57"/>
        <v>x10002727</v>
      </c>
      <c r="C3660" t="s">
        <v>5458</v>
      </c>
      <c r="D3660" t="s">
        <v>10282</v>
      </c>
      <c r="E3660">
        <v>10</v>
      </c>
      <c r="F3660" t="str">
        <f>IF(AND(Entities[[#This Row],[ENT_TYPE]]="County",RIGHT(Entities[[#This Row],[ENT_NAME]],6)&lt;&gt;"County"),_xlfn.TEXTJOIN(" ",TRUE,Entities[[#This Row],[ENT_NAME]],"County"),Entities[[#This Row],[ENT_NAME]])</f>
        <v>San Saba</v>
      </c>
    </row>
    <row r="3661" spans="1:6" x14ac:dyDescent="0.25">
      <c r="A3661" s="303" t="s">
        <v>10684</v>
      </c>
      <c r="B3661" s="303" t="str">
        <f t="shared" si="57"/>
        <v>x10002755</v>
      </c>
      <c r="C3661" t="s">
        <v>5458</v>
      </c>
      <c r="D3661" t="s">
        <v>10685</v>
      </c>
      <c r="E3661">
        <v>10</v>
      </c>
      <c r="F3661" t="str">
        <f>IF(AND(Entities[[#This Row],[ENT_TYPE]]="County",RIGHT(Entities[[#This Row],[ENT_NAME]],6)&lt;&gt;"County"),_xlfn.TEXTJOIN(" ",TRUE,Entities[[#This Row],[ENT_NAME]],"County"),Entities[[#This Row],[ENT_NAME]])</f>
        <v>Cross Plains</v>
      </c>
    </row>
    <row r="3662" spans="1:6" x14ac:dyDescent="0.25">
      <c r="A3662" s="305" t="s">
        <v>10686</v>
      </c>
      <c r="B3662" s="303" t="str">
        <f t="shared" si="57"/>
        <v>x10002764</v>
      </c>
      <c r="C3662" t="s">
        <v>5458</v>
      </c>
      <c r="D3662" t="s">
        <v>4996</v>
      </c>
      <c r="E3662">
        <v>10</v>
      </c>
      <c r="F3662" t="str">
        <f>IF(AND(Entities[[#This Row],[ENT_TYPE]]="County",RIGHT(Entities[[#This Row],[ENT_NAME]],6)&lt;&gt;"County"),_xlfn.TEXTJOIN(" ",TRUE,Entities[[#This Row],[ENT_NAME]],"County"),Entities[[#This Row],[ENT_NAME]])</f>
        <v>Menard</v>
      </c>
    </row>
    <row r="3663" spans="1:6" x14ac:dyDescent="0.25">
      <c r="A3663" s="303" t="s">
        <v>10687</v>
      </c>
      <c r="B3663" s="303" t="str">
        <f t="shared" si="57"/>
        <v>x10002776</v>
      </c>
      <c r="C3663" t="s">
        <v>5458</v>
      </c>
      <c r="D3663" t="s">
        <v>10688</v>
      </c>
      <c r="E3663">
        <v>10</v>
      </c>
      <c r="F3663" t="str">
        <f>IF(AND(Entities[[#This Row],[ENT_TYPE]]="County",RIGHT(Entities[[#This Row],[ENT_NAME]],6)&lt;&gt;"County"),_xlfn.TEXTJOIN(" ",TRUE,Entities[[#This Row],[ENT_NAME]],"County"),Entities[[#This Row],[ENT_NAME]])</f>
        <v>Shiner</v>
      </c>
    </row>
    <row r="3664" spans="1:6" x14ac:dyDescent="0.25">
      <c r="A3664" s="305" t="s">
        <v>10689</v>
      </c>
      <c r="B3664" s="303" t="str">
        <f t="shared" si="57"/>
        <v>x10002777</v>
      </c>
      <c r="C3664" t="s">
        <v>5458</v>
      </c>
      <c r="D3664" t="s">
        <v>10690</v>
      </c>
      <c r="E3664">
        <v>10</v>
      </c>
      <c r="F3664" t="str">
        <f>IF(AND(Entities[[#This Row],[ENT_TYPE]]="County",RIGHT(Entities[[#This Row],[ENT_NAME]],6)&lt;&gt;"County"),_xlfn.TEXTJOIN(" ",TRUE,Entities[[#This Row],[ENT_NAME]],"County"),Entities[[#This Row],[ENT_NAME]])</f>
        <v>Moulton</v>
      </c>
    </row>
    <row r="3665" spans="1:6" x14ac:dyDescent="0.25">
      <c r="A3665" s="303" t="s">
        <v>10691</v>
      </c>
      <c r="B3665" s="303" t="str">
        <f t="shared" si="57"/>
        <v>x10002778</v>
      </c>
      <c r="C3665" t="s">
        <v>5458</v>
      </c>
      <c r="D3665" t="s">
        <v>10692</v>
      </c>
      <c r="E3665">
        <v>10</v>
      </c>
      <c r="F3665" t="str">
        <f>IF(AND(Entities[[#This Row],[ENT_TYPE]]="County",RIGHT(Entities[[#This Row],[ENT_NAME]],6)&lt;&gt;"County"),_xlfn.TEXTJOIN(" ",TRUE,Entities[[#This Row],[ENT_NAME]],"County"),Entities[[#This Row],[ENT_NAME]])</f>
        <v>Fayetteville</v>
      </c>
    </row>
    <row r="3666" spans="1:6" x14ac:dyDescent="0.25">
      <c r="A3666" s="305" t="s">
        <v>10693</v>
      </c>
      <c r="B3666" s="303" t="str">
        <f t="shared" si="57"/>
        <v>x10002798</v>
      </c>
      <c r="C3666" t="s">
        <v>5458</v>
      </c>
      <c r="D3666" t="s">
        <v>10694</v>
      </c>
      <c r="E3666">
        <v>10</v>
      </c>
      <c r="F3666" t="str">
        <f>IF(AND(Entities[[#This Row],[ENT_TYPE]]="County",RIGHT(Entities[[#This Row],[ENT_NAME]],6)&lt;&gt;"County"),_xlfn.TEXTJOIN(" ",TRUE,Entities[[#This Row],[ENT_NAME]],"County"),Entities[[#This Row],[ENT_NAME]])</f>
        <v>Bear Creek</v>
      </c>
    </row>
    <row r="3667" spans="1:6" x14ac:dyDescent="0.25">
      <c r="A3667" s="303" t="s">
        <v>10695</v>
      </c>
      <c r="B3667" s="303" t="str">
        <f t="shared" si="57"/>
        <v>x10002842</v>
      </c>
      <c r="C3667" t="s">
        <v>5458</v>
      </c>
      <c r="D3667" t="s">
        <v>10696</v>
      </c>
      <c r="E3667">
        <v>10</v>
      </c>
      <c r="F3667" t="str">
        <f>IF(AND(Entities[[#This Row],[ENT_TYPE]]="County",RIGHT(Entities[[#This Row],[ENT_NAME]],6)&lt;&gt;"County"),_xlfn.TEXTJOIN(" ",TRUE,Entities[[#This Row],[ENT_NAME]],"County"),Entities[[#This Row],[ENT_NAME]])</f>
        <v>Highland Haven</v>
      </c>
    </row>
    <row r="3668" spans="1:6" x14ac:dyDescent="0.25">
      <c r="A3668" s="305" t="s">
        <v>10697</v>
      </c>
      <c r="B3668" s="303" t="str">
        <f t="shared" si="57"/>
        <v>x10002873</v>
      </c>
      <c r="C3668" t="s">
        <v>5458</v>
      </c>
      <c r="D3668" t="s">
        <v>10698</v>
      </c>
      <c r="E3668">
        <v>10</v>
      </c>
      <c r="F3668" t="str">
        <f>IF(AND(Entities[[#This Row],[ENT_TYPE]]="County",RIGHT(Entities[[#This Row],[ENT_NAME]],6)&lt;&gt;"County"),_xlfn.TEXTJOIN(" ",TRUE,Entities[[#This Row],[ENT_NAME]],"County"),Entities[[#This Row],[ENT_NAME]])</f>
        <v>Hallettsville</v>
      </c>
    </row>
    <row r="3669" spans="1:6" x14ac:dyDescent="0.25">
      <c r="A3669" s="303" t="s">
        <v>10699</v>
      </c>
      <c r="B3669" s="303" t="str">
        <f t="shared" si="57"/>
        <v>x10002887</v>
      </c>
      <c r="C3669" t="s">
        <v>5458</v>
      </c>
      <c r="D3669" t="s">
        <v>10700</v>
      </c>
      <c r="E3669">
        <v>10</v>
      </c>
      <c r="F3669" t="str">
        <f>IF(AND(Entities[[#This Row],[ENT_TYPE]]="County",RIGHT(Entities[[#This Row],[ENT_NAME]],6)&lt;&gt;"County"),_xlfn.TEXTJOIN(" ",TRUE,Entities[[#This Row],[ENT_NAME]],"County"),Entities[[#This Row],[ENT_NAME]])</f>
        <v>Brownwood</v>
      </c>
    </row>
    <row r="3670" spans="1:6" x14ac:dyDescent="0.25">
      <c r="A3670" s="305" t="s">
        <v>10701</v>
      </c>
      <c r="B3670" s="303" t="str">
        <f t="shared" si="57"/>
        <v>x10002910</v>
      </c>
      <c r="C3670" t="s">
        <v>5458</v>
      </c>
      <c r="D3670" t="s">
        <v>10702</v>
      </c>
      <c r="E3670">
        <v>10</v>
      </c>
      <c r="F3670" t="str">
        <f>IF(AND(Entities[[#This Row],[ENT_TYPE]]="County",RIGHT(Entities[[#This Row],[ENT_NAME]],6)&lt;&gt;"County"),_xlfn.TEXTJOIN(" ",TRUE,Entities[[#This Row],[ENT_NAME]],"County"),Entities[[#This Row],[ENT_NAME]])</f>
        <v>Fredericksburg</v>
      </c>
    </row>
    <row r="3671" spans="1:6" x14ac:dyDescent="0.25">
      <c r="A3671" s="305" t="s">
        <v>10703</v>
      </c>
      <c r="B3671" s="303" t="str">
        <f t="shared" si="57"/>
        <v>x10002924</v>
      </c>
      <c r="C3671" t="s">
        <v>5458</v>
      </c>
      <c r="D3671" t="s">
        <v>10704</v>
      </c>
      <c r="E3671">
        <v>10</v>
      </c>
      <c r="F3671" t="str">
        <f>IF(AND(Entities[[#This Row],[ENT_TYPE]]="County",RIGHT(Entities[[#This Row],[ENT_NAME]],6)&lt;&gt;"County"),_xlfn.TEXTJOIN(" ",TRUE,Entities[[#This Row],[ENT_NAME]],"County"),Entities[[#This Row],[ENT_NAME]])</f>
        <v>Kendleton</v>
      </c>
    </row>
    <row r="3672" spans="1:6" x14ac:dyDescent="0.25">
      <c r="A3672" s="305" t="s">
        <v>10705</v>
      </c>
      <c r="B3672" s="303" t="str">
        <f t="shared" si="57"/>
        <v>x10002982</v>
      </c>
      <c r="C3672" t="s">
        <v>5458</v>
      </c>
      <c r="D3672" t="s">
        <v>10706</v>
      </c>
      <c r="E3672">
        <v>10</v>
      </c>
      <c r="F3672" t="str">
        <f>IF(AND(Entities[[#This Row],[ENT_TYPE]]="County",RIGHT(Entities[[#This Row],[ENT_NAME]],6)&lt;&gt;"County"),_xlfn.TEXTJOIN(" ",TRUE,Entities[[#This Row],[ENT_NAME]],"County"),Entities[[#This Row],[ENT_NAME]])</f>
        <v>Jones Creek</v>
      </c>
    </row>
    <row r="3673" spans="1:6" x14ac:dyDescent="0.25">
      <c r="A3673" s="303" t="s">
        <v>10707</v>
      </c>
      <c r="B3673" s="303" t="str">
        <f t="shared" si="57"/>
        <v>x10003061</v>
      </c>
      <c r="C3673" t="s">
        <v>5458</v>
      </c>
      <c r="D3673" t="s">
        <v>10708</v>
      </c>
      <c r="E3673">
        <v>10</v>
      </c>
      <c r="F3673" t="str">
        <f>IF(AND(Entities[[#This Row],[ENT_TYPE]]="County",RIGHT(Entities[[#This Row],[ENT_NAME]],6)&lt;&gt;"County"),_xlfn.TEXTJOIN(" ",TRUE,Entities[[#This Row],[ENT_NAME]],"County"),Entities[[#This Row],[ENT_NAME]])</f>
        <v>La Grange</v>
      </c>
    </row>
    <row r="3674" spans="1:6" x14ac:dyDescent="0.25">
      <c r="A3674" s="305" t="s">
        <v>10709</v>
      </c>
      <c r="B3674" s="303" t="str">
        <f t="shared" si="57"/>
        <v>x10003062</v>
      </c>
      <c r="C3674" t="s">
        <v>5458</v>
      </c>
      <c r="D3674" t="s">
        <v>10710</v>
      </c>
      <c r="E3674">
        <v>10</v>
      </c>
      <c r="F3674" t="str">
        <f>IF(AND(Entities[[#This Row],[ENT_TYPE]]="County",RIGHT(Entities[[#This Row],[ENT_NAME]],6)&lt;&gt;"County"),_xlfn.TEXTJOIN(" ",TRUE,Entities[[#This Row],[ENT_NAME]],"County"),Entities[[#This Row],[ENT_NAME]])</f>
        <v>Round Top</v>
      </c>
    </row>
    <row r="3675" spans="1:6" x14ac:dyDescent="0.25">
      <c r="A3675" s="303" t="s">
        <v>10711</v>
      </c>
      <c r="B3675" s="303" t="str">
        <f t="shared" si="57"/>
        <v>x10003069</v>
      </c>
      <c r="C3675" t="s">
        <v>5458</v>
      </c>
      <c r="D3675" t="s">
        <v>10712</v>
      </c>
      <c r="E3675">
        <v>10</v>
      </c>
      <c r="F3675" t="str">
        <f>IF(AND(Entities[[#This Row],[ENT_TYPE]]="County",RIGHT(Entities[[#This Row],[ENT_NAME]],6)&lt;&gt;"County"),_xlfn.TEXTJOIN(" ",TRUE,Entities[[#This Row],[ENT_NAME]],"County"),Entities[[#This Row],[ENT_NAME]])</f>
        <v>Eagle Lake</v>
      </c>
    </row>
    <row r="3676" spans="1:6" x14ac:dyDescent="0.25">
      <c r="A3676" s="305" t="s">
        <v>10713</v>
      </c>
      <c r="B3676" s="303" t="str">
        <f t="shared" si="57"/>
        <v>x10003070</v>
      </c>
      <c r="C3676" t="s">
        <v>5458</v>
      </c>
      <c r="D3676" t="s">
        <v>10714</v>
      </c>
      <c r="E3676">
        <v>10</v>
      </c>
      <c r="F3676" t="str">
        <f>IF(AND(Entities[[#This Row],[ENT_TYPE]]="County",RIGHT(Entities[[#This Row],[ENT_NAME]],6)&lt;&gt;"County"),_xlfn.TEXTJOIN(" ",TRUE,Entities[[#This Row],[ENT_NAME]],"County"),Entities[[#This Row],[ENT_NAME]])</f>
        <v>Weimar</v>
      </c>
    </row>
    <row r="3677" spans="1:6" x14ac:dyDescent="0.25">
      <c r="A3677" s="303" t="s">
        <v>10715</v>
      </c>
      <c r="B3677" s="303" t="str">
        <f t="shared" si="57"/>
        <v>x10003089</v>
      </c>
      <c r="C3677" t="s">
        <v>5458</v>
      </c>
      <c r="D3677" t="s">
        <v>10716</v>
      </c>
      <c r="E3677">
        <v>10</v>
      </c>
      <c r="F3677" t="str">
        <f>IF(AND(Entities[[#This Row],[ENT_TYPE]]="County",RIGHT(Entities[[#This Row],[ENT_NAME]],6)&lt;&gt;"County"),_xlfn.TEXTJOIN(" ",TRUE,Entities[[#This Row],[ENT_NAME]],"County"),Entities[[#This Row],[ENT_NAME]])</f>
        <v>Bangs</v>
      </c>
    </row>
    <row r="3678" spans="1:6" x14ac:dyDescent="0.25">
      <c r="A3678" s="305" t="s">
        <v>10717</v>
      </c>
      <c r="B3678" s="303" t="str">
        <f t="shared" si="57"/>
        <v>x10003090</v>
      </c>
      <c r="C3678" t="s">
        <v>5458</v>
      </c>
      <c r="D3678" t="s">
        <v>10718</v>
      </c>
      <c r="E3678">
        <v>10</v>
      </c>
      <c r="F3678" t="str">
        <f>IF(AND(Entities[[#This Row],[ENT_TYPE]]="County",RIGHT(Entities[[#This Row],[ENT_NAME]],6)&lt;&gt;"County"),_xlfn.TEXTJOIN(" ",TRUE,Entities[[#This Row],[ENT_NAME]],"County"),Entities[[#This Row],[ENT_NAME]])</f>
        <v>Early</v>
      </c>
    </row>
    <row r="3679" spans="1:6" x14ac:dyDescent="0.25">
      <c r="A3679" s="303" t="s">
        <v>10719</v>
      </c>
      <c r="B3679" s="303" t="str">
        <f t="shared" si="57"/>
        <v>x10003099</v>
      </c>
      <c r="C3679" t="s">
        <v>5458</v>
      </c>
      <c r="D3679" t="s">
        <v>10720</v>
      </c>
      <c r="E3679">
        <v>10</v>
      </c>
      <c r="F3679" t="str">
        <f>IF(AND(Entities[[#This Row],[ENT_TYPE]]="County",RIGHT(Entities[[#This Row],[ENT_NAME]],6)&lt;&gt;"County"),_xlfn.TEXTJOIN(" ",TRUE,Entities[[#This Row],[ENT_NAME]],"County"),Entities[[#This Row],[ENT_NAME]])</f>
        <v>Sweeny</v>
      </c>
    </row>
    <row r="3680" spans="1:6" x14ac:dyDescent="0.25">
      <c r="A3680" s="305" t="s">
        <v>10721</v>
      </c>
      <c r="B3680" s="303" t="str">
        <f t="shared" si="57"/>
        <v>x10003104</v>
      </c>
      <c r="C3680" t="s">
        <v>5458</v>
      </c>
      <c r="D3680" t="s">
        <v>10280</v>
      </c>
      <c r="E3680">
        <v>10</v>
      </c>
      <c r="F3680" t="str">
        <f>IF(AND(Entities[[#This Row],[ENT_TYPE]]="County",RIGHT(Entities[[#This Row],[ENT_NAME]],6)&lt;&gt;"County"),_xlfn.TEXTJOIN(" ",TRUE,Entities[[#This Row],[ENT_NAME]],"County"),Entities[[#This Row],[ENT_NAME]])</f>
        <v>Mason</v>
      </c>
    </row>
    <row r="3681" spans="1:6" x14ac:dyDescent="0.25">
      <c r="A3681" s="305" t="s">
        <v>10722</v>
      </c>
      <c r="B3681" s="303" t="str">
        <f t="shared" si="57"/>
        <v>x10003108</v>
      </c>
      <c r="C3681" t="s">
        <v>5458</v>
      </c>
      <c r="D3681" t="s">
        <v>10723</v>
      </c>
      <c r="E3681">
        <v>10</v>
      </c>
      <c r="F3681" t="str">
        <f>IF(AND(Entities[[#This Row],[ENT_TYPE]]="County",RIGHT(Entities[[#This Row],[ENT_NAME]],6)&lt;&gt;"County"),_xlfn.TEXTJOIN(" ",TRUE,Entities[[#This Row],[ENT_NAME]],"County"),Entities[[#This Row],[ENT_NAME]])</f>
        <v>Cottonwood Shores</v>
      </c>
    </row>
    <row r="3682" spans="1:6" x14ac:dyDescent="0.25">
      <c r="A3682" s="303" t="s">
        <v>10724</v>
      </c>
      <c r="B3682" s="303" t="str">
        <f t="shared" si="57"/>
        <v>x10003109</v>
      </c>
      <c r="C3682" t="s">
        <v>5458</v>
      </c>
      <c r="D3682" t="s">
        <v>10725</v>
      </c>
      <c r="E3682">
        <v>10</v>
      </c>
      <c r="F3682" t="str">
        <f>IF(AND(Entities[[#This Row],[ENT_TYPE]]="County",RIGHT(Entities[[#This Row],[ENT_NAME]],6)&lt;&gt;"County"),_xlfn.TEXTJOIN(" ",TRUE,Entities[[#This Row],[ENT_NAME]],"County"),Entities[[#This Row],[ENT_NAME]])</f>
        <v>Marble Falls</v>
      </c>
    </row>
    <row r="3683" spans="1:6" x14ac:dyDescent="0.25">
      <c r="A3683" s="305" t="s">
        <v>10726</v>
      </c>
      <c r="B3683" s="303" t="str">
        <f t="shared" si="57"/>
        <v>x10003110</v>
      </c>
      <c r="C3683" t="s">
        <v>5458</v>
      </c>
      <c r="D3683" t="s">
        <v>10727</v>
      </c>
      <c r="E3683">
        <v>10</v>
      </c>
      <c r="F3683" t="str">
        <f>IF(AND(Entities[[#This Row],[ENT_TYPE]]="County",RIGHT(Entities[[#This Row],[ENT_NAME]],6)&lt;&gt;"County"),_xlfn.TEXTJOIN(" ",TRUE,Entities[[#This Row],[ENT_NAME]],"County"),Entities[[#This Row],[ENT_NAME]])</f>
        <v>Meadowlakes</v>
      </c>
    </row>
    <row r="3684" spans="1:6" x14ac:dyDescent="0.25">
      <c r="A3684" s="303" t="s">
        <v>10728</v>
      </c>
      <c r="B3684" s="303" t="str">
        <f t="shared" si="57"/>
        <v>x10003115</v>
      </c>
      <c r="C3684" t="s">
        <v>5458</v>
      </c>
      <c r="D3684" t="s">
        <v>10729</v>
      </c>
      <c r="E3684">
        <v>10</v>
      </c>
      <c r="F3684" t="str">
        <f>IF(AND(Entities[[#This Row],[ENT_TYPE]]="County",RIGHT(Entities[[#This Row],[ENT_NAME]],6)&lt;&gt;"County"),_xlfn.TEXTJOIN(" ",TRUE,Entities[[#This Row],[ENT_NAME]],"County"),Entities[[#This Row],[ENT_NAME]])</f>
        <v>Schulenburg</v>
      </c>
    </row>
    <row r="3685" spans="1:6" x14ac:dyDescent="0.25">
      <c r="A3685" s="305" t="s">
        <v>10730</v>
      </c>
      <c r="B3685" s="303" t="str">
        <f t="shared" si="57"/>
        <v>x10003136</v>
      </c>
      <c r="C3685" t="s">
        <v>5458</v>
      </c>
      <c r="D3685" t="s">
        <v>10731</v>
      </c>
      <c r="E3685">
        <v>10</v>
      </c>
      <c r="F3685" t="str">
        <f>IF(AND(Entities[[#This Row],[ENT_TYPE]]="County",RIGHT(Entities[[#This Row],[ENT_NAME]],6)&lt;&gt;"County"),_xlfn.TEXTJOIN(" ",TRUE,Entities[[#This Row],[ENT_NAME]],"County"),Entities[[#This Row],[ENT_NAME]])</f>
        <v>El Campo</v>
      </c>
    </row>
    <row r="3686" spans="1:6" x14ac:dyDescent="0.25">
      <c r="A3686" s="303" t="s">
        <v>10732</v>
      </c>
      <c r="B3686" s="303" t="str">
        <f t="shared" si="57"/>
        <v>x10003176</v>
      </c>
      <c r="C3686" t="s">
        <v>5458</v>
      </c>
      <c r="D3686" t="s">
        <v>10733</v>
      </c>
      <c r="E3686">
        <v>10</v>
      </c>
      <c r="F3686" t="str">
        <f>IF(AND(Entities[[#This Row],[ENT_TYPE]]="County",RIGHT(Entities[[#This Row],[ENT_NAME]],6)&lt;&gt;"County"),_xlfn.TEXTJOIN(" ",TRUE,Entities[[#This Row],[ENT_NAME]],"County"),Entities[[#This Row],[ENT_NAME]])</f>
        <v>Point Comfort</v>
      </c>
    </row>
    <row r="3687" spans="1:6" x14ac:dyDescent="0.25">
      <c r="A3687" s="305" t="s">
        <v>10734</v>
      </c>
      <c r="B3687" s="303" t="str">
        <f t="shared" si="57"/>
        <v>x10003187</v>
      </c>
      <c r="C3687" t="s">
        <v>5458</v>
      </c>
      <c r="D3687" t="s">
        <v>10735</v>
      </c>
      <c r="E3687">
        <v>10</v>
      </c>
      <c r="F3687" t="str">
        <f>IF(AND(Entities[[#This Row],[ENT_TYPE]]="County",RIGHT(Entities[[#This Row],[ENT_NAME]],6)&lt;&gt;"County"),_xlfn.TEXTJOIN(" ",TRUE,Entities[[#This Row],[ENT_NAME]],"County"),Entities[[#This Row],[ENT_NAME]])</f>
        <v>Melvin</v>
      </c>
    </row>
    <row r="3688" spans="1:6" x14ac:dyDescent="0.25">
      <c r="A3688" s="303" t="s">
        <v>10736</v>
      </c>
      <c r="B3688" s="303" t="str">
        <f t="shared" si="57"/>
        <v>x10003188</v>
      </c>
      <c r="C3688" t="s">
        <v>5458</v>
      </c>
      <c r="D3688" t="s">
        <v>10737</v>
      </c>
      <c r="E3688">
        <v>10</v>
      </c>
      <c r="F3688" t="str">
        <f>IF(AND(Entities[[#This Row],[ENT_TYPE]]="County",RIGHT(Entities[[#This Row],[ENT_NAME]],6)&lt;&gt;"County"),_xlfn.TEXTJOIN(" ",TRUE,Entities[[#This Row],[ENT_NAME]],"County"),Entities[[#This Row],[ENT_NAME]])</f>
        <v>Briarcliff</v>
      </c>
    </row>
    <row r="3689" spans="1:6" x14ac:dyDescent="0.25">
      <c r="A3689" s="305" t="s">
        <v>10738</v>
      </c>
      <c r="B3689" s="303" t="str">
        <f t="shared" si="57"/>
        <v>x10003190</v>
      </c>
      <c r="C3689" t="s">
        <v>5458</v>
      </c>
      <c r="D3689" t="s">
        <v>10739</v>
      </c>
      <c r="E3689">
        <v>10</v>
      </c>
      <c r="F3689" t="str">
        <f>IF(AND(Entities[[#This Row],[ENT_TYPE]]="County",RIGHT(Entities[[#This Row],[ENT_NAME]],6)&lt;&gt;"County"),_xlfn.TEXTJOIN(" ",TRUE,Entities[[#This Row],[ENT_NAME]],"County"),Entities[[#This Row],[ENT_NAME]])</f>
        <v>Rollingwood</v>
      </c>
    </row>
    <row r="3690" spans="1:6" x14ac:dyDescent="0.25">
      <c r="A3690" s="303" t="s">
        <v>10740</v>
      </c>
      <c r="B3690" s="303" t="str">
        <f t="shared" si="57"/>
        <v>x10003192</v>
      </c>
      <c r="C3690" t="s">
        <v>5458</v>
      </c>
      <c r="D3690" t="s">
        <v>10741</v>
      </c>
      <c r="E3690">
        <v>10</v>
      </c>
      <c r="F3690" t="str">
        <f>IF(AND(Entities[[#This Row],[ENT_TYPE]]="County",RIGHT(Entities[[#This Row],[ENT_NAME]],6)&lt;&gt;"County"),_xlfn.TEXTJOIN(" ",TRUE,Entities[[#This Row],[ENT_NAME]],"County"),Entities[[#This Row],[ENT_NAME]])</f>
        <v>San Leanna</v>
      </c>
    </row>
    <row r="3691" spans="1:6" x14ac:dyDescent="0.25">
      <c r="A3691" s="305" t="s">
        <v>10742</v>
      </c>
      <c r="B3691" s="303" t="str">
        <f t="shared" si="57"/>
        <v>x10003193</v>
      </c>
      <c r="C3691" t="s">
        <v>5458</v>
      </c>
      <c r="D3691" t="s">
        <v>10743</v>
      </c>
      <c r="E3691">
        <v>10</v>
      </c>
      <c r="F3691" t="str">
        <f>IF(AND(Entities[[#This Row],[ENT_TYPE]]="County",RIGHT(Entities[[#This Row],[ENT_NAME]],6)&lt;&gt;"County"),_xlfn.TEXTJOIN(" ",TRUE,Entities[[#This Row],[ENT_NAME]],"County"),Entities[[#This Row],[ENT_NAME]])</f>
        <v>The Hills</v>
      </c>
    </row>
    <row r="3692" spans="1:6" x14ac:dyDescent="0.25">
      <c r="A3692" s="303" t="s">
        <v>10744</v>
      </c>
      <c r="B3692" s="303" t="str">
        <f t="shared" si="57"/>
        <v>x10003194</v>
      </c>
      <c r="C3692" t="s">
        <v>5458</v>
      </c>
      <c r="D3692" t="s">
        <v>10745</v>
      </c>
      <c r="E3692">
        <v>10</v>
      </c>
      <c r="F3692" t="str">
        <f>IF(AND(Entities[[#This Row],[ENT_TYPE]]="County",RIGHT(Entities[[#This Row],[ENT_NAME]],6)&lt;&gt;"County"),_xlfn.TEXTJOIN(" ",TRUE,Entities[[#This Row],[ENT_NAME]],"County"),Entities[[#This Row],[ENT_NAME]])</f>
        <v>Webberville</v>
      </c>
    </row>
    <row r="3693" spans="1:6" x14ac:dyDescent="0.25">
      <c r="A3693" s="305" t="s">
        <v>10746</v>
      </c>
      <c r="B3693" s="303" t="str">
        <f t="shared" si="57"/>
        <v>x10003201</v>
      </c>
      <c r="C3693" t="s">
        <v>5458</v>
      </c>
      <c r="D3693" t="s">
        <v>10747</v>
      </c>
      <c r="E3693">
        <v>10</v>
      </c>
      <c r="F3693" t="str">
        <f>IF(AND(Entities[[#This Row],[ENT_TYPE]]="County",RIGHT(Entities[[#This Row],[ENT_NAME]],6)&lt;&gt;"County"),_xlfn.TEXTJOIN(" ",TRUE,Entities[[#This Row],[ENT_NAME]],"County"),Entities[[#This Row],[ENT_NAME]])</f>
        <v>Elgin</v>
      </c>
    </row>
    <row r="3694" spans="1:6" x14ac:dyDescent="0.25">
      <c r="A3694" s="303" t="s">
        <v>10748</v>
      </c>
      <c r="B3694" s="303" t="str">
        <f t="shared" si="57"/>
        <v>x10003203</v>
      </c>
      <c r="C3694" t="s">
        <v>5458</v>
      </c>
      <c r="D3694" t="s">
        <v>4978</v>
      </c>
      <c r="E3694">
        <v>10</v>
      </c>
      <c r="F3694" t="str">
        <f>IF(AND(Entities[[#This Row],[ENT_TYPE]]="County",RIGHT(Entities[[#This Row],[ENT_NAME]],6)&lt;&gt;"County"),_xlfn.TEXTJOIN(" ",TRUE,Entities[[#This Row],[ENT_NAME]],"County"),Entities[[#This Row],[ENT_NAME]])</f>
        <v>Bastrop</v>
      </c>
    </row>
    <row r="3695" spans="1:6" x14ac:dyDescent="0.25">
      <c r="A3695" s="305" t="s">
        <v>10749</v>
      </c>
      <c r="B3695" s="303" t="str">
        <f t="shared" si="57"/>
        <v>x10003221</v>
      </c>
      <c r="C3695" t="s">
        <v>5458</v>
      </c>
      <c r="D3695" t="s">
        <v>10750</v>
      </c>
      <c r="E3695">
        <v>10</v>
      </c>
      <c r="F3695" t="str">
        <f>IF(AND(Entities[[#This Row],[ENT_TYPE]]="County",RIGHT(Entities[[#This Row],[ENT_NAME]],6)&lt;&gt;"County"),_xlfn.TEXTJOIN(" ",TRUE,Entities[[#This Row],[ENT_NAME]],"County"),Entities[[#This Row],[ENT_NAME]])</f>
        <v>Manor</v>
      </c>
    </row>
    <row r="3696" spans="1:6" x14ac:dyDescent="0.25">
      <c r="A3696" s="303" t="s">
        <v>10751</v>
      </c>
      <c r="B3696" s="303" t="str">
        <f t="shared" si="57"/>
        <v>x10003228</v>
      </c>
      <c r="C3696" t="s">
        <v>5458</v>
      </c>
      <c r="D3696" t="s">
        <v>10752</v>
      </c>
      <c r="E3696">
        <v>10</v>
      </c>
      <c r="F3696" t="str">
        <f>IF(AND(Entities[[#This Row],[ENT_TYPE]]="County",RIGHT(Entities[[#This Row],[ENT_NAME]],6)&lt;&gt;"County"),_xlfn.TEXTJOIN(" ",TRUE,Entities[[#This Row],[ENT_NAME]],"County"),Entities[[#This Row],[ENT_NAME]])</f>
        <v>Columbus</v>
      </c>
    </row>
    <row r="3697" spans="1:6" x14ac:dyDescent="0.25">
      <c r="A3697" s="305" t="s">
        <v>10753</v>
      </c>
      <c r="B3697" s="303" t="str">
        <f t="shared" si="57"/>
        <v>x10003259</v>
      </c>
      <c r="C3697" t="s">
        <v>5458</v>
      </c>
      <c r="D3697" t="s">
        <v>10754</v>
      </c>
      <c r="E3697">
        <v>10</v>
      </c>
      <c r="F3697" t="str">
        <f>IF(AND(Entities[[#This Row],[ENT_TYPE]]="County",RIGHT(Entities[[#This Row],[ENT_NAME]],6)&lt;&gt;"County"),_xlfn.TEXTJOIN(" ",TRUE,Entities[[#This Row],[ENT_NAME]],"County"),Entities[[#This Row],[ENT_NAME]])</f>
        <v>Llano</v>
      </c>
    </row>
    <row r="3698" spans="1:6" x14ac:dyDescent="0.25">
      <c r="A3698" s="303" t="s">
        <v>10755</v>
      </c>
      <c r="B3698" s="303" t="str">
        <f t="shared" si="57"/>
        <v>x10003322</v>
      </c>
      <c r="C3698" t="s">
        <v>5458</v>
      </c>
      <c r="D3698" t="s">
        <v>10756</v>
      </c>
      <c r="E3698">
        <v>10</v>
      </c>
      <c r="F3698" t="str">
        <f>IF(AND(Entities[[#This Row],[ENT_TYPE]]="County",RIGHT(Entities[[#This Row],[ENT_NAME]],6)&lt;&gt;"County"),_xlfn.TEXTJOIN(" ",TRUE,Entities[[#This Row],[ENT_NAME]],"County"),Entities[[#This Row],[ENT_NAME]])</f>
        <v>Eden</v>
      </c>
    </row>
    <row r="3699" spans="1:6" x14ac:dyDescent="0.25">
      <c r="A3699" s="305" t="s">
        <v>10757</v>
      </c>
      <c r="B3699" s="303" t="str">
        <f t="shared" si="57"/>
        <v>x10003338</v>
      </c>
      <c r="C3699" t="s">
        <v>5458</v>
      </c>
      <c r="D3699" t="s">
        <v>10758</v>
      </c>
      <c r="E3699">
        <v>10</v>
      </c>
      <c r="F3699" t="str">
        <f>IF(AND(Entities[[#This Row],[ENT_TYPE]]="County",RIGHT(Entities[[#This Row],[ENT_NAME]],6)&lt;&gt;"County"),_xlfn.TEXTJOIN(" ",TRUE,Entities[[#This Row],[ENT_NAME]],"County"),Entities[[#This Row],[ENT_NAME]])</f>
        <v>Johnson City</v>
      </c>
    </row>
    <row r="3700" spans="1:6" x14ac:dyDescent="0.25">
      <c r="A3700" s="303" t="s">
        <v>10759</v>
      </c>
      <c r="B3700" s="303" t="str">
        <f t="shared" si="57"/>
        <v>x10003339</v>
      </c>
      <c r="C3700" t="s">
        <v>5458</v>
      </c>
      <c r="D3700" t="s">
        <v>10760</v>
      </c>
      <c r="E3700">
        <v>10</v>
      </c>
      <c r="F3700" t="str">
        <f>IF(AND(Entities[[#This Row],[ENT_TYPE]]="County",RIGHT(Entities[[#This Row],[ENT_NAME]],6)&lt;&gt;"County"),_xlfn.TEXTJOIN(" ",TRUE,Entities[[#This Row],[ENT_NAME]],"County"),Entities[[#This Row],[ENT_NAME]])</f>
        <v>Round Mountain</v>
      </c>
    </row>
    <row r="3701" spans="1:6" x14ac:dyDescent="0.25">
      <c r="A3701" s="305" t="s">
        <v>10761</v>
      </c>
      <c r="B3701" s="303" t="str">
        <f t="shared" si="57"/>
        <v>x10003393</v>
      </c>
      <c r="C3701" t="s">
        <v>5458</v>
      </c>
      <c r="D3701" t="s">
        <v>10762</v>
      </c>
      <c r="E3701">
        <v>10</v>
      </c>
      <c r="F3701" t="str">
        <f>IF(AND(Entities[[#This Row],[ENT_TYPE]]="County",RIGHT(Entities[[#This Row],[ENT_NAME]],6)&lt;&gt;"County"),_xlfn.TEXTJOIN(" ",TRUE,Entities[[#This Row],[ENT_NAME]],"County"),Entities[[#This Row],[ENT_NAME]])</f>
        <v>Bay City</v>
      </c>
    </row>
    <row r="3702" spans="1:6" x14ac:dyDescent="0.25">
      <c r="A3702" s="303" t="s">
        <v>10763</v>
      </c>
      <c r="B3702" s="303" t="str">
        <f t="shared" si="57"/>
        <v>x10003429</v>
      </c>
      <c r="C3702" t="s">
        <v>5458</v>
      </c>
      <c r="D3702" t="s">
        <v>10764</v>
      </c>
      <c r="E3702">
        <v>10</v>
      </c>
      <c r="F3702" t="str">
        <f>IF(AND(Entities[[#This Row],[ENT_TYPE]]="County",RIGHT(Entities[[#This Row],[ENT_NAME]],6)&lt;&gt;"County"),_xlfn.TEXTJOIN(" ",TRUE,Entities[[#This Row],[ENT_NAME]],"County"),Entities[[#This Row],[ENT_NAME]])</f>
        <v>Granite Shoals</v>
      </c>
    </row>
    <row r="3703" spans="1:6" x14ac:dyDescent="0.25">
      <c r="A3703" s="305" t="s">
        <v>10765</v>
      </c>
      <c r="B3703" s="303" t="str">
        <f t="shared" si="57"/>
        <v>x10003431</v>
      </c>
      <c r="C3703" t="s">
        <v>5458</v>
      </c>
      <c r="D3703" t="s">
        <v>10272</v>
      </c>
      <c r="E3703">
        <v>10</v>
      </c>
      <c r="F3703" t="str">
        <f>IF(AND(Entities[[#This Row],[ENT_TYPE]]="County",RIGHT(Entities[[#This Row],[ENT_NAME]],6)&lt;&gt;"County"),_xlfn.TEXTJOIN(" ",TRUE,Entities[[#This Row],[ENT_NAME]],"County"),Entities[[#This Row],[ENT_NAME]])</f>
        <v>Wharton</v>
      </c>
    </row>
    <row r="3704" spans="1:6" x14ac:dyDescent="0.25">
      <c r="A3704" s="303" t="s">
        <v>10766</v>
      </c>
      <c r="B3704" s="303" t="str">
        <f t="shared" si="57"/>
        <v>x10003453</v>
      </c>
      <c r="C3704" t="s">
        <v>5458</v>
      </c>
      <c r="D3704" t="s">
        <v>10767</v>
      </c>
      <c r="E3704">
        <v>10</v>
      </c>
      <c r="F3704" t="str">
        <f>IF(AND(Entities[[#This Row],[ENT_TYPE]]="County",RIGHT(Entities[[#This Row],[ENT_NAME]],6)&lt;&gt;"County"),_xlfn.TEXTJOIN(" ",TRUE,Entities[[#This Row],[ENT_NAME]],"County"),Entities[[#This Row],[ENT_NAME]])</f>
        <v>Bee Cave</v>
      </c>
    </row>
    <row r="3705" spans="1:6" x14ac:dyDescent="0.25">
      <c r="A3705" s="305" t="s">
        <v>10768</v>
      </c>
      <c r="B3705" s="303" t="str">
        <f t="shared" si="57"/>
        <v>x10003455</v>
      </c>
      <c r="C3705" t="s">
        <v>5458</v>
      </c>
      <c r="D3705" t="s">
        <v>10769</v>
      </c>
      <c r="E3705">
        <v>10</v>
      </c>
      <c r="F3705" t="str">
        <f>IF(AND(Entities[[#This Row],[ENT_TYPE]]="County",RIGHT(Entities[[#This Row],[ENT_NAME]],6)&lt;&gt;"County"),_xlfn.TEXTJOIN(" ",TRUE,Entities[[#This Row],[ENT_NAME]],"County"),Entities[[#This Row],[ENT_NAME]])</f>
        <v>Jonestown</v>
      </c>
    </row>
    <row r="3706" spans="1:6" x14ac:dyDescent="0.25">
      <c r="A3706" s="303" t="s">
        <v>10770</v>
      </c>
      <c r="B3706" s="303" t="str">
        <f t="shared" si="57"/>
        <v>x10003456</v>
      </c>
      <c r="C3706" t="s">
        <v>5458</v>
      </c>
      <c r="D3706" t="s">
        <v>10771</v>
      </c>
      <c r="E3706">
        <v>10</v>
      </c>
      <c r="F3706" t="str">
        <f>IF(AND(Entities[[#This Row],[ENT_TYPE]]="County",RIGHT(Entities[[#This Row],[ENT_NAME]],6)&lt;&gt;"County"),_xlfn.TEXTJOIN(" ",TRUE,Entities[[#This Row],[ENT_NAME]],"County"),Entities[[#This Row],[ENT_NAME]])</f>
        <v>Lakeway</v>
      </c>
    </row>
    <row r="3707" spans="1:6" x14ac:dyDescent="0.25">
      <c r="A3707" s="303" t="s">
        <v>10772</v>
      </c>
      <c r="B3707" s="303" t="str">
        <f t="shared" si="57"/>
        <v>x10003459</v>
      </c>
      <c r="C3707" t="s">
        <v>5458</v>
      </c>
      <c r="D3707" t="s">
        <v>10773</v>
      </c>
      <c r="E3707">
        <v>10</v>
      </c>
      <c r="F3707" t="str">
        <f>IF(AND(Entities[[#This Row],[ENT_TYPE]]="County",RIGHT(Entities[[#This Row],[ENT_NAME]],6)&lt;&gt;"County"),_xlfn.TEXTJOIN(" ",TRUE,Entities[[#This Row],[ENT_NAME]],"County"),Entities[[#This Row],[ENT_NAME]])</f>
        <v>Sunset Valley</v>
      </c>
    </row>
    <row r="3708" spans="1:6" x14ac:dyDescent="0.25">
      <c r="A3708" s="305" t="s">
        <v>10774</v>
      </c>
      <c r="B3708" s="303" t="str">
        <f t="shared" si="57"/>
        <v>x10003460</v>
      </c>
      <c r="C3708" t="s">
        <v>5458</v>
      </c>
      <c r="D3708" t="s">
        <v>10775</v>
      </c>
      <c r="E3708">
        <v>10</v>
      </c>
      <c r="F3708" t="str">
        <f>IF(AND(Entities[[#This Row],[ENT_TYPE]]="County",RIGHT(Entities[[#This Row],[ENT_NAME]],6)&lt;&gt;"County"),_xlfn.TEXTJOIN(" ",TRUE,Entities[[#This Row],[ENT_NAME]],"County"),Entities[[#This Row],[ENT_NAME]])</f>
        <v>West Lake Hills</v>
      </c>
    </row>
    <row r="3709" spans="1:6" x14ac:dyDescent="0.25">
      <c r="A3709" s="303" t="s">
        <v>10776</v>
      </c>
      <c r="B3709" s="303" t="str">
        <f t="shared" si="57"/>
        <v>x10003461</v>
      </c>
      <c r="C3709" t="s">
        <v>5458</v>
      </c>
      <c r="D3709" t="s">
        <v>10777</v>
      </c>
      <c r="E3709">
        <v>10</v>
      </c>
      <c r="F3709" t="str">
        <f>IF(AND(Entities[[#This Row],[ENT_TYPE]]="County",RIGHT(Entities[[#This Row],[ENT_NAME]],6)&lt;&gt;"County"),_xlfn.TEXTJOIN(" ",TRUE,Entities[[#This Row],[ENT_NAME]],"County"),Entities[[#This Row],[ENT_NAME]])</f>
        <v>Volente</v>
      </c>
    </row>
    <row r="3710" spans="1:6" x14ac:dyDescent="0.25">
      <c r="A3710" s="305" t="s">
        <v>10778</v>
      </c>
      <c r="B3710" s="303" t="str">
        <f t="shared" si="57"/>
        <v>x10003476</v>
      </c>
      <c r="C3710" t="s">
        <v>5458</v>
      </c>
      <c r="D3710" t="s">
        <v>10779</v>
      </c>
      <c r="E3710">
        <v>10</v>
      </c>
      <c r="F3710" t="str">
        <f>IF(AND(Entities[[#This Row],[ENT_TYPE]]="County",RIGHT(Entities[[#This Row],[ENT_NAME]],6)&lt;&gt;"County"),_xlfn.TEXTJOIN(" ",TRUE,Entities[[#This Row],[ENT_NAME]],"County"),Entities[[#This Row],[ENT_NAME]])</f>
        <v>Horseshoe Bay</v>
      </c>
    </row>
    <row r="3711" spans="1:6" x14ac:dyDescent="0.25">
      <c r="A3711" s="303" t="s">
        <v>10780</v>
      </c>
      <c r="B3711" s="303" t="str">
        <f t="shared" si="57"/>
        <v>x10003494</v>
      </c>
      <c r="C3711" t="s">
        <v>5458</v>
      </c>
      <c r="D3711" t="s">
        <v>10781</v>
      </c>
      <c r="E3711">
        <v>10</v>
      </c>
      <c r="F3711" t="str">
        <f>IF(AND(Entities[[#This Row],[ENT_TYPE]]="County",RIGHT(Entities[[#This Row],[ENT_NAME]],6)&lt;&gt;"County"),_xlfn.TEXTJOIN(" ",TRUE,Entities[[#This Row],[ENT_NAME]],"County"),Entities[[#This Row],[ENT_NAME]])</f>
        <v>Palacios</v>
      </c>
    </row>
    <row r="3712" spans="1:6" x14ac:dyDescent="0.25">
      <c r="A3712" s="305" t="s">
        <v>10782</v>
      </c>
      <c r="B3712" s="303" t="str">
        <f t="shared" si="57"/>
        <v>x10003499</v>
      </c>
      <c r="C3712" t="s">
        <v>5458</v>
      </c>
      <c r="D3712" t="s">
        <v>10783</v>
      </c>
      <c r="E3712">
        <v>10</v>
      </c>
      <c r="F3712" t="str">
        <f>IF(AND(Entities[[#This Row],[ENT_TYPE]]="County",RIGHT(Entities[[#This Row],[ENT_NAME]],6)&lt;&gt;"County"),_xlfn.TEXTJOIN(" ",TRUE,Entities[[#This Row],[ENT_NAME]],"County"),Entities[[#This Row],[ENT_NAME]])</f>
        <v>Junction</v>
      </c>
    </row>
    <row r="3713" spans="1:6" x14ac:dyDescent="0.25">
      <c r="A3713" s="303" t="s">
        <v>10784</v>
      </c>
      <c r="B3713" s="303" t="str">
        <f t="shared" si="57"/>
        <v>x10003517</v>
      </c>
      <c r="C3713" t="s">
        <v>5458</v>
      </c>
      <c r="D3713" t="s">
        <v>10785</v>
      </c>
      <c r="E3713">
        <v>10</v>
      </c>
      <c r="F3713" t="str">
        <f>IF(AND(Entities[[#This Row],[ENT_TYPE]]="County",RIGHT(Entities[[#This Row],[ENT_NAME]],6)&lt;&gt;"County"),_xlfn.TEXTJOIN(" ",TRUE,Entities[[#This Row],[ENT_NAME]],"County"),Entities[[#This Row],[ENT_NAME]])</f>
        <v>Lawn</v>
      </c>
    </row>
    <row r="3714" spans="1:6" x14ac:dyDescent="0.25">
      <c r="A3714" s="305" t="s">
        <v>10786</v>
      </c>
      <c r="B3714" s="303" t="str">
        <f t="shared" ref="B3714:B3777" si="58">_xlfn.CONCAT("x",TEXT(A3714,"00000000"))</f>
        <v>x10003528</v>
      </c>
      <c r="C3714" t="s">
        <v>5458</v>
      </c>
      <c r="D3714" t="s">
        <v>10787</v>
      </c>
      <c r="E3714">
        <v>10</v>
      </c>
      <c r="F3714" t="str">
        <f>IF(AND(Entities[[#This Row],[ENT_TYPE]]="County",RIGHT(Entities[[#This Row],[ENT_NAME]],6)&lt;&gt;"County"),_xlfn.TEXTJOIN(" ",TRUE,Entities[[#This Row],[ENT_NAME]],"County"),Entities[[#This Row],[ENT_NAME]])</f>
        <v>Point Venture</v>
      </c>
    </row>
    <row r="3715" spans="1:6" x14ac:dyDescent="0.25">
      <c r="A3715" s="303" t="s">
        <v>10788</v>
      </c>
      <c r="B3715" s="303" t="str">
        <f t="shared" si="58"/>
        <v>x10003567</v>
      </c>
      <c r="C3715" t="s">
        <v>5458</v>
      </c>
      <c r="D3715" t="s">
        <v>10789</v>
      </c>
      <c r="E3715">
        <v>10</v>
      </c>
      <c r="F3715" t="str">
        <f>IF(AND(Entities[[#This Row],[ENT_TYPE]]="County",RIGHT(Entities[[#This Row],[ENT_NAME]],6)&lt;&gt;"County"),_xlfn.TEXTJOIN(" ",TRUE,Entities[[#This Row],[ENT_NAME]],"County"),Entities[[#This Row],[ENT_NAME]])</f>
        <v>Sunrise Beach Village</v>
      </c>
    </row>
    <row r="3716" spans="1:6" x14ac:dyDescent="0.25">
      <c r="A3716" s="303" t="s">
        <v>10790</v>
      </c>
      <c r="B3716" s="303" t="str">
        <f t="shared" si="58"/>
        <v>x11000387</v>
      </c>
      <c r="C3716" t="s">
        <v>4</v>
      </c>
      <c r="D3716" t="s">
        <v>10791</v>
      </c>
      <c r="E3716">
        <v>11</v>
      </c>
      <c r="F3716" t="str">
        <f>IF(AND(Entities[[#This Row],[ENT_TYPE]]="County",RIGHT(Entities[[#This Row],[ENT_NAME]],6)&lt;&gt;"County"),_xlfn.TEXTJOIN(" ",TRUE,Entities[[#This Row],[ENT_NAME]],"County"),Entities[[#This Row],[ENT_NAME]])</f>
        <v>Upper San Marcos Watershed Reclamation &amp; FCD</v>
      </c>
    </row>
    <row r="3717" spans="1:6" x14ac:dyDescent="0.25">
      <c r="A3717" s="303" t="s">
        <v>10792</v>
      </c>
      <c r="B3717" s="303" t="str">
        <f t="shared" si="58"/>
        <v>x11000462</v>
      </c>
      <c r="C3717" t="s">
        <v>4</v>
      </c>
      <c r="D3717" t="s">
        <v>10793</v>
      </c>
      <c r="E3717">
        <v>11</v>
      </c>
      <c r="F3717" t="str">
        <f>IF(AND(Entities[[#This Row],[ENT_TYPE]]="County",RIGHT(Entities[[#This Row],[ENT_NAME]],6)&lt;&gt;"County"),_xlfn.TEXTJOIN(" ",TRUE,Entities[[#This Row],[ENT_NAME]],"County"),Entities[[#This Row],[ENT_NAME]])</f>
        <v>Comal County Water Improvement District 2</v>
      </c>
    </row>
    <row r="3718" spans="1:6" x14ac:dyDescent="0.25">
      <c r="A3718" s="303" t="s">
        <v>10794</v>
      </c>
      <c r="B3718" s="303" t="str">
        <f t="shared" si="58"/>
        <v>x11000478</v>
      </c>
      <c r="C3718" t="s">
        <v>4</v>
      </c>
      <c r="D3718" t="s">
        <v>10795</v>
      </c>
      <c r="E3718">
        <v>11</v>
      </c>
      <c r="F3718" t="str">
        <f>IF(AND(Entities[[#This Row],[ENT_TYPE]]="County",RIGHT(Entities[[#This Row],[ENT_NAME]],6)&lt;&gt;"County"),_xlfn.TEXTJOIN(" ",TRUE,Entities[[#This Row],[ENT_NAME]],"County"),Entities[[#This Row],[ENT_NAME]])</f>
        <v>Dewitt County Drainage District 1</v>
      </c>
    </row>
    <row r="3719" spans="1:6" x14ac:dyDescent="0.25">
      <c r="A3719" s="303" t="s">
        <v>10796</v>
      </c>
      <c r="B3719" s="303" t="str">
        <f t="shared" si="58"/>
        <v>x11000494</v>
      </c>
      <c r="C3719" t="s">
        <v>4</v>
      </c>
      <c r="D3719" t="s">
        <v>10797</v>
      </c>
      <c r="E3719">
        <v>11</v>
      </c>
      <c r="F3719" t="str">
        <f>IF(AND(Entities[[#This Row],[ENT_TYPE]]="County",RIGHT(Entities[[#This Row],[ENT_NAME]],6)&lt;&gt;"County"),_xlfn.TEXTJOIN(" ",TRUE,Entities[[#This Row],[ENT_NAME]],"County"),Entities[[#This Row],[ENT_NAME]])</f>
        <v>Rebecca Creek MUD</v>
      </c>
    </row>
    <row r="3720" spans="1:6" x14ac:dyDescent="0.25">
      <c r="A3720" s="303" t="s">
        <v>10798</v>
      </c>
      <c r="B3720" s="303" t="str">
        <f t="shared" si="58"/>
        <v>x11000556</v>
      </c>
      <c r="C3720" t="s">
        <v>4</v>
      </c>
      <c r="D3720" t="s">
        <v>10799</v>
      </c>
      <c r="E3720">
        <v>11</v>
      </c>
      <c r="F3720" t="str">
        <f>IF(AND(Entities[[#This Row],[ENT_TYPE]]="County",RIGHT(Entities[[#This Row],[ENT_NAME]],6)&lt;&gt;"County"),_xlfn.TEXTJOIN(" ",TRUE,Entities[[#This Row],[ENT_NAME]],"County"),Entities[[#This Row],[ENT_NAME]])</f>
        <v>Comal County Water Improvement District 1</v>
      </c>
    </row>
    <row r="3721" spans="1:6" x14ac:dyDescent="0.25">
      <c r="A3721" s="303" t="s">
        <v>10800</v>
      </c>
      <c r="B3721" s="303" t="str">
        <f t="shared" si="58"/>
        <v>x11000583</v>
      </c>
      <c r="C3721" t="s">
        <v>4</v>
      </c>
      <c r="D3721" t="s">
        <v>10801</v>
      </c>
      <c r="E3721">
        <v>11</v>
      </c>
      <c r="F3721" t="str">
        <f>IF(AND(Entities[[#This Row],[ENT_TYPE]]="County",RIGHT(Entities[[#This Row],[ENT_NAME]],6)&lt;&gt;"County"),_xlfn.TEXTJOIN(" ",TRUE,Entities[[#This Row],[ENT_NAME]],"County"),Entities[[#This Row],[ENT_NAME]])</f>
        <v>Comal County Water Recreational District 1</v>
      </c>
    </row>
    <row r="3722" spans="1:6" x14ac:dyDescent="0.25">
      <c r="A3722" s="303" t="s">
        <v>10802</v>
      </c>
      <c r="B3722" s="303" t="str">
        <f t="shared" si="58"/>
        <v>x11000589</v>
      </c>
      <c r="C3722" t="s">
        <v>4</v>
      </c>
      <c r="D3722" t="s">
        <v>10803</v>
      </c>
      <c r="E3722">
        <v>11</v>
      </c>
      <c r="F3722" t="str">
        <f>IF(AND(Entities[[#This Row],[ENT_TYPE]]="County",RIGHT(Entities[[#This Row],[ENT_NAME]],6)&lt;&gt;"County"),_xlfn.TEXTJOIN(" ",TRUE,Entities[[#This Row],[ENT_NAME]],"County"),Entities[[#This Row],[ENT_NAME]])</f>
        <v>York Valley MUD</v>
      </c>
    </row>
    <row r="3723" spans="1:6" x14ac:dyDescent="0.25">
      <c r="A3723" s="303" t="s">
        <v>10804</v>
      </c>
      <c r="B3723" s="303" t="str">
        <f t="shared" si="58"/>
        <v>x11000607</v>
      </c>
      <c r="C3723" t="s">
        <v>4</v>
      </c>
      <c r="D3723" t="s">
        <v>10805</v>
      </c>
      <c r="E3723">
        <v>11</v>
      </c>
      <c r="F3723" t="str">
        <f>IF(AND(Entities[[#This Row],[ENT_TYPE]]="County",RIGHT(Entities[[#This Row],[ENT_NAME]],6)&lt;&gt;"County"),_xlfn.TEXTJOIN(" ",TRUE,Entities[[#This Row],[ENT_NAME]],"County"),Entities[[#This Row],[ENT_NAME]])</f>
        <v>Caldwell County MUD 1</v>
      </c>
    </row>
    <row r="3724" spans="1:6" x14ac:dyDescent="0.25">
      <c r="A3724" s="303" t="s">
        <v>10806</v>
      </c>
      <c r="B3724" s="303" t="str">
        <f t="shared" si="58"/>
        <v>x11000662</v>
      </c>
      <c r="C3724" t="s">
        <v>4</v>
      </c>
      <c r="D3724" t="s">
        <v>10807</v>
      </c>
      <c r="E3724">
        <v>11</v>
      </c>
      <c r="F3724" t="str">
        <f>IF(AND(Entities[[#This Row],[ENT_TYPE]]="County",RIGHT(Entities[[#This Row],[ENT_NAME]],6)&lt;&gt;"County"),_xlfn.TEXTJOIN(" ",TRUE,Entities[[#This Row],[ENT_NAME]],"County"),Entities[[#This Row],[ENT_NAME]])</f>
        <v>Kerr County-Center Point-WCID</v>
      </c>
    </row>
    <row r="3725" spans="1:6" x14ac:dyDescent="0.25">
      <c r="A3725" s="303" t="s">
        <v>10808</v>
      </c>
      <c r="B3725" s="303" t="str">
        <f t="shared" si="58"/>
        <v>x11000882</v>
      </c>
      <c r="C3725" t="s">
        <v>4</v>
      </c>
      <c r="D3725" t="s">
        <v>10809</v>
      </c>
      <c r="E3725">
        <v>11</v>
      </c>
      <c r="F3725" t="str">
        <f>IF(AND(Entities[[#This Row],[ENT_TYPE]]="County",RIGHT(Entities[[#This Row],[ENT_NAME]],6)&lt;&gt;"County"),_xlfn.TEXTJOIN(" ",TRUE,Entities[[#This Row],[ENT_NAME]],"County"),Entities[[#This Row],[ENT_NAME]])</f>
        <v>Guadalupe County Development Management District</v>
      </c>
    </row>
    <row r="3726" spans="1:6" x14ac:dyDescent="0.25">
      <c r="A3726" s="303" t="s">
        <v>10810</v>
      </c>
      <c r="B3726" s="303" t="str">
        <f t="shared" si="58"/>
        <v>x11000923</v>
      </c>
      <c r="C3726" t="s">
        <v>4</v>
      </c>
      <c r="D3726" t="s">
        <v>10811</v>
      </c>
      <c r="E3726">
        <v>11</v>
      </c>
      <c r="F3726" t="str">
        <f>IF(AND(Entities[[#This Row],[ENT_TYPE]]="County",RIGHT(Entities[[#This Row],[ENT_NAME]],6)&lt;&gt;"County"),_xlfn.TEXTJOIN(" ",TRUE,Entities[[#This Row],[ENT_NAME]],"County"),Entities[[#This Row],[ENT_NAME]])</f>
        <v>Kendall County WCID 1</v>
      </c>
    </row>
    <row r="3727" spans="1:6" x14ac:dyDescent="0.25">
      <c r="A3727" s="303" t="s">
        <v>10812</v>
      </c>
      <c r="B3727" s="303" t="str">
        <f t="shared" si="58"/>
        <v>x11001013</v>
      </c>
      <c r="C3727" t="s">
        <v>4</v>
      </c>
      <c r="D3727" t="s">
        <v>10813</v>
      </c>
      <c r="E3727">
        <v>11</v>
      </c>
      <c r="F3727" t="str">
        <f>IF(AND(Entities[[#This Row],[ENT_TYPE]]="County",RIGHT(Entities[[#This Row],[ENT_NAME]],6)&lt;&gt;"County"),_xlfn.TEXTJOIN(" ",TRUE,Entities[[#This Row],[ENT_NAME]],"County"),Entities[[#This Row],[ENT_NAME]])</f>
        <v>True Ranch MUD 1</v>
      </c>
    </row>
    <row r="3728" spans="1:6" x14ac:dyDescent="0.25">
      <c r="A3728" s="303" t="s">
        <v>10814</v>
      </c>
      <c r="B3728" s="303" t="str">
        <f t="shared" si="58"/>
        <v>x11001022</v>
      </c>
      <c r="C3728" t="s">
        <v>4</v>
      </c>
      <c r="D3728" t="s">
        <v>10815</v>
      </c>
      <c r="E3728">
        <v>11</v>
      </c>
      <c r="F3728" t="str">
        <f>IF(AND(Entities[[#This Row],[ENT_TYPE]]="County",RIGHT(Entities[[#This Row],[ENT_NAME]],6)&lt;&gt;"County"),_xlfn.TEXTJOIN(" ",TRUE,Entities[[#This Row],[ENT_NAME]],"County"),Entities[[#This Row],[ENT_NAME]])</f>
        <v>Victoria County WCID 1</v>
      </c>
    </row>
    <row r="3729" spans="1:6" x14ac:dyDescent="0.25">
      <c r="A3729" s="303" t="s">
        <v>10816</v>
      </c>
      <c r="B3729" s="303" t="str">
        <f t="shared" si="58"/>
        <v>x11001045</v>
      </c>
      <c r="C3729" t="s">
        <v>4</v>
      </c>
      <c r="D3729" t="s">
        <v>10817</v>
      </c>
      <c r="E3729">
        <v>11</v>
      </c>
      <c r="F3729" t="str">
        <f>IF(AND(Entities[[#This Row],[ENT_TYPE]]="County",RIGHT(Entities[[#This Row],[ENT_NAME]],6)&lt;&gt;"County"),_xlfn.TEXTJOIN(" ",TRUE,Entities[[#This Row],[ENT_NAME]],"County"),Entities[[#This Row],[ENT_NAME]])</f>
        <v>Guadalupe County MUD 3</v>
      </c>
    </row>
    <row r="3730" spans="1:6" x14ac:dyDescent="0.25">
      <c r="A3730" s="303" t="s">
        <v>10818</v>
      </c>
      <c r="B3730" s="303" t="str">
        <f t="shared" si="58"/>
        <v>x11001134</v>
      </c>
      <c r="C3730" t="s">
        <v>4</v>
      </c>
      <c r="D3730" t="s">
        <v>10819</v>
      </c>
      <c r="E3730">
        <v>11</v>
      </c>
      <c r="F3730" t="str">
        <f>IF(AND(Entities[[#This Row],[ENT_TYPE]]="County",RIGHT(Entities[[#This Row],[ENT_NAME]],6)&lt;&gt;"County"),_xlfn.TEXTJOIN(" ",TRUE,Entities[[#This Row],[ENT_NAME]],"County"),Entities[[#This Row],[ENT_NAME]])</f>
        <v>Sunfield MUD 4</v>
      </c>
    </row>
    <row r="3731" spans="1:6" x14ac:dyDescent="0.25">
      <c r="A3731" s="303" t="s">
        <v>10820</v>
      </c>
      <c r="B3731" s="303" t="str">
        <f t="shared" si="58"/>
        <v>x11001201</v>
      </c>
      <c r="C3731" t="s">
        <v>4</v>
      </c>
      <c r="D3731" t="s">
        <v>10821</v>
      </c>
      <c r="E3731">
        <v>11</v>
      </c>
      <c r="F3731" t="str">
        <f>IF(AND(Entities[[#This Row],[ENT_TYPE]]="County",RIGHT(Entities[[#This Row],[ENT_NAME]],6)&lt;&gt;"County"),_xlfn.TEXTJOIN(" ",TRUE,Entities[[#This Row],[ENT_NAME]],"County"),Entities[[#This Row],[ENT_NAME]])</f>
        <v>Meyer Ranch MUD</v>
      </c>
    </row>
    <row r="3732" spans="1:6" x14ac:dyDescent="0.25">
      <c r="A3732" s="303" t="s">
        <v>10822</v>
      </c>
      <c r="B3732" s="303" t="str">
        <f t="shared" si="58"/>
        <v>x11001438</v>
      </c>
      <c r="C3732" t="s">
        <v>4</v>
      </c>
      <c r="D3732" t="s">
        <v>10823</v>
      </c>
      <c r="E3732">
        <v>11</v>
      </c>
      <c r="F3732" t="str">
        <f>IF(AND(Entities[[#This Row],[ENT_TYPE]]="County",RIGHT(Entities[[#This Row],[ENT_NAME]],6)&lt;&gt;"County"),_xlfn.TEXTJOIN(" ",TRUE,Entities[[#This Row],[ENT_NAME]],"County"),Entities[[#This Row],[ENT_NAME]])</f>
        <v>LaSalle MUD 3</v>
      </c>
    </row>
    <row r="3733" spans="1:6" x14ac:dyDescent="0.25">
      <c r="A3733" s="303" t="s">
        <v>10824</v>
      </c>
      <c r="B3733" s="303" t="str">
        <f t="shared" si="58"/>
        <v>x11001443</v>
      </c>
      <c r="C3733" t="s">
        <v>4</v>
      </c>
      <c r="D3733" t="s">
        <v>10825</v>
      </c>
      <c r="E3733">
        <v>11</v>
      </c>
      <c r="F3733" t="str">
        <f>IF(AND(Entities[[#This Row],[ENT_TYPE]]="County",RIGHT(Entities[[#This Row],[ENT_NAME]],6)&lt;&gt;"County"),_xlfn.TEXTJOIN(" ",TRUE,Entities[[#This Row],[ENT_NAME]],"County"),Entities[[#This Row],[ENT_NAME]])</f>
        <v>LaSalle MUD 2</v>
      </c>
    </row>
    <row r="3734" spans="1:6" x14ac:dyDescent="0.25">
      <c r="A3734" s="303" t="s">
        <v>10826</v>
      </c>
      <c r="B3734" s="303" t="str">
        <f t="shared" si="58"/>
        <v>x11001471</v>
      </c>
      <c r="C3734" t="s">
        <v>4</v>
      </c>
      <c r="D3734" t="s">
        <v>10827</v>
      </c>
      <c r="E3734">
        <v>11</v>
      </c>
      <c r="F3734" t="str">
        <f>IF(AND(Entities[[#This Row],[ENT_TYPE]]="County",RIGHT(Entities[[#This Row],[ENT_NAME]],6)&lt;&gt;"County"),_xlfn.TEXTJOIN(" ",TRUE,Entities[[#This Row],[ENT_NAME]],"County"),Entities[[#This Row],[ENT_NAME]])</f>
        <v>Calhoun County MUD 1</v>
      </c>
    </row>
    <row r="3735" spans="1:6" x14ac:dyDescent="0.25">
      <c r="A3735" s="303" t="s">
        <v>10828</v>
      </c>
      <c r="B3735" s="303" t="str">
        <f t="shared" si="58"/>
        <v>x11001787</v>
      </c>
      <c r="C3735" t="s">
        <v>4</v>
      </c>
      <c r="D3735" t="s">
        <v>10829</v>
      </c>
      <c r="E3735">
        <v>11</v>
      </c>
      <c r="F3735" t="str">
        <f>IF(AND(Entities[[#This Row],[ENT_TYPE]]="County",RIGHT(Entities[[#This Row],[ENT_NAME]],6)&lt;&gt;"County"),_xlfn.TEXTJOIN(" ",TRUE,Entities[[#This Row],[ENT_NAME]],"County"),Entities[[#This Row],[ENT_NAME]])</f>
        <v>Quail Creek MUD</v>
      </c>
    </row>
    <row r="3736" spans="1:6" x14ac:dyDescent="0.25">
      <c r="A3736" s="303" t="s">
        <v>10830</v>
      </c>
      <c r="B3736" s="303" t="str">
        <f t="shared" si="58"/>
        <v>x11001852</v>
      </c>
      <c r="C3736" t="s">
        <v>4</v>
      </c>
      <c r="D3736" t="s">
        <v>10831</v>
      </c>
      <c r="E3736">
        <v>11</v>
      </c>
      <c r="F3736" t="str">
        <f>IF(AND(Entities[[#This Row],[ENT_TYPE]]="County",RIGHT(Entities[[#This Row],[ENT_NAME]],6)&lt;&gt;"County"),_xlfn.TEXTJOIN(" ",TRUE,Entities[[#This Row],[ENT_NAME]],"County"),Entities[[#This Row],[ENT_NAME]])</f>
        <v>Comal County WID 3</v>
      </c>
    </row>
    <row r="3737" spans="1:6" x14ac:dyDescent="0.25">
      <c r="A3737" s="303" t="s">
        <v>10832</v>
      </c>
      <c r="B3737" s="303" t="str">
        <f t="shared" si="58"/>
        <v>x11001853</v>
      </c>
      <c r="C3737" t="s">
        <v>4</v>
      </c>
      <c r="D3737" t="s">
        <v>10833</v>
      </c>
      <c r="E3737">
        <v>11</v>
      </c>
      <c r="F3737" t="str">
        <f>IF(AND(Entities[[#This Row],[ENT_TYPE]]="County",RIGHT(Entities[[#This Row],[ENT_NAME]],6)&lt;&gt;"County"),_xlfn.TEXTJOIN(" ",TRUE,Entities[[#This Row],[ENT_NAME]],"County"),Entities[[#This Row],[ENT_NAME]])</f>
        <v>Crosswinds MUD</v>
      </c>
    </row>
    <row r="3738" spans="1:6" x14ac:dyDescent="0.25">
      <c r="A3738" s="303" t="s">
        <v>10834</v>
      </c>
      <c r="B3738" s="303" t="str">
        <f t="shared" si="58"/>
        <v>x11001856</v>
      </c>
      <c r="C3738" t="s">
        <v>4</v>
      </c>
      <c r="D3738" t="s">
        <v>10835</v>
      </c>
      <c r="E3738">
        <v>11</v>
      </c>
      <c r="F3738" t="str">
        <f>IF(AND(Entities[[#This Row],[ENT_TYPE]]="County",RIGHT(Entities[[#This Row],[ENT_NAME]],6)&lt;&gt;"County"),_xlfn.TEXTJOIN(" ",TRUE,Entities[[#This Row],[ENT_NAME]],"County"),Entities[[#This Row],[ENT_NAME]])</f>
        <v>Parklands MUD 1</v>
      </c>
    </row>
    <row r="3739" spans="1:6" x14ac:dyDescent="0.25">
      <c r="A3739" s="303" t="s">
        <v>10836</v>
      </c>
      <c r="B3739" s="303" t="str">
        <f t="shared" si="58"/>
        <v>x11001889</v>
      </c>
      <c r="C3739" t="s">
        <v>4</v>
      </c>
      <c r="D3739" t="s">
        <v>10837</v>
      </c>
      <c r="E3739">
        <v>11</v>
      </c>
      <c r="F3739" t="str">
        <f>IF(AND(Entities[[#This Row],[ENT_TYPE]]="County",RIGHT(Entities[[#This Row],[ENT_NAME]],6)&lt;&gt;"County"),_xlfn.TEXTJOIN(" ",TRUE,Entities[[#This Row],[ENT_NAME]],"County"),Entities[[#This Row],[ENT_NAME]])</f>
        <v>Cotton Center MUD 1</v>
      </c>
    </row>
    <row r="3740" spans="1:6" x14ac:dyDescent="0.25">
      <c r="A3740" s="303" t="s">
        <v>10838</v>
      </c>
      <c r="B3740" s="303" t="str">
        <f t="shared" si="58"/>
        <v>x11001975</v>
      </c>
      <c r="C3740" t="s">
        <v>4</v>
      </c>
      <c r="D3740" t="s">
        <v>10839</v>
      </c>
      <c r="E3740">
        <v>11</v>
      </c>
      <c r="F3740" t="str">
        <f>IF(AND(Entities[[#This Row],[ENT_TYPE]]="County",RIGHT(Entities[[#This Row],[ENT_NAME]],6)&lt;&gt;"County"),_xlfn.TEXTJOIN(" ",TRUE,Entities[[#This Row],[ENT_NAME]],"County"),Entities[[#This Row],[ENT_NAME]])</f>
        <v>Cotton Center MUD 2</v>
      </c>
    </row>
    <row r="3741" spans="1:6" x14ac:dyDescent="0.25">
      <c r="A3741" s="303" t="s">
        <v>10840</v>
      </c>
      <c r="B3741" s="303" t="str">
        <f t="shared" si="58"/>
        <v>x11002049</v>
      </c>
      <c r="C3741" t="s">
        <v>4</v>
      </c>
      <c r="D3741" t="s">
        <v>10841</v>
      </c>
      <c r="E3741">
        <v>11</v>
      </c>
      <c r="F3741" t="str">
        <f>IF(AND(Entities[[#This Row],[ENT_TYPE]]="County",RIGHT(Entities[[#This Row],[ENT_NAME]],6)&lt;&gt;"County"),_xlfn.TEXTJOIN(" ",TRUE,Entities[[#This Row],[ENT_NAME]],"County"),Entities[[#This Row],[ENT_NAME]])</f>
        <v>Ranch at Clear Fork Creek MUD 2</v>
      </c>
    </row>
    <row r="3742" spans="1:6" x14ac:dyDescent="0.25">
      <c r="A3742" s="303" t="s">
        <v>10842</v>
      </c>
      <c r="B3742" s="303" t="str">
        <f t="shared" si="58"/>
        <v>x11002051</v>
      </c>
      <c r="C3742" t="s">
        <v>4</v>
      </c>
      <c r="D3742" t="s">
        <v>10843</v>
      </c>
      <c r="E3742">
        <v>11</v>
      </c>
      <c r="F3742" t="str">
        <f>IF(AND(Entities[[#This Row],[ENT_TYPE]]="County",RIGHT(Entities[[#This Row],[ENT_NAME]],6)&lt;&gt;"County"),_xlfn.TEXTJOIN(" ",TRUE,Entities[[#This Row],[ENT_NAME]],"County"),Entities[[#This Row],[ENT_NAME]])</f>
        <v>LaSalle MUD 1</v>
      </c>
    </row>
    <row r="3743" spans="1:6" x14ac:dyDescent="0.25">
      <c r="A3743" s="303" t="s">
        <v>10844</v>
      </c>
      <c r="B3743" s="303" t="str">
        <f t="shared" si="58"/>
        <v>x11002100</v>
      </c>
      <c r="C3743" t="s">
        <v>4</v>
      </c>
      <c r="D3743" t="s">
        <v>10845</v>
      </c>
      <c r="E3743">
        <v>11</v>
      </c>
      <c r="F3743" t="str">
        <f>IF(AND(Entities[[#This Row],[ENT_TYPE]]="County",RIGHT(Entities[[#This Row],[ENT_NAME]],6)&lt;&gt;"County"),_xlfn.TEXTJOIN(" ",TRUE,Entities[[#This Row],[ENT_NAME]],"County"),Entities[[#This Row],[ENT_NAME]])</f>
        <v>Caldwell Valley MUD 1</v>
      </c>
    </row>
    <row r="3744" spans="1:6" x14ac:dyDescent="0.25">
      <c r="A3744" s="303" t="s">
        <v>10846</v>
      </c>
      <c r="B3744" s="303" t="str">
        <f t="shared" si="58"/>
        <v>x11002101</v>
      </c>
      <c r="C3744" t="s">
        <v>4</v>
      </c>
      <c r="D3744" t="s">
        <v>10847</v>
      </c>
      <c r="E3744">
        <v>11</v>
      </c>
      <c r="F3744" t="str">
        <f>IF(AND(Entities[[#This Row],[ENT_TYPE]]="County",RIGHT(Entities[[#This Row],[ENT_NAME]],6)&lt;&gt;"County"),_xlfn.TEXTJOIN(" ",TRUE,Entities[[#This Row],[ENT_NAME]],"County"),Entities[[#This Row],[ENT_NAME]])</f>
        <v>Ranch At Clear Fork Creek MUD 1</v>
      </c>
    </row>
    <row r="3745" spans="1:6" x14ac:dyDescent="0.25">
      <c r="A3745" s="303" t="s">
        <v>10848</v>
      </c>
      <c r="B3745" s="303" t="str">
        <f t="shared" si="58"/>
        <v>x11002140</v>
      </c>
      <c r="C3745" t="s">
        <v>4</v>
      </c>
      <c r="D3745" t="s">
        <v>10849</v>
      </c>
      <c r="E3745">
        <v>11</v>
      </c>
      <c r="F3745" t="str">
        <f>IF(AND(Entities[[#This Row],[ENT_TYPE]]="County",RIGHT(Entities[[#This Row],[ENT_NAME]],6)&lt;&gt;"County"),_xlfn.TEXTJOIN(" ",TRUE,Entities[[#This Row],[ENT_NAME]],"County"),Entities[[#This Row],[ENT_NAME]])</f>
        <v>North Hays County MUD 1</v>
      </c>
    </row>
    <row r="3746" spans="1:6" x14ac:dyDescent="0.25">
      <c r="A3746" s="303" t="s">
        <v>10850</v>
      </c>
      <c r="B3746" s="303" t="str">
        <f t="shared" si="58"/>
        <v>x11002217</v>
      </c>
      <c r="C3746" t="s">
        <v>4</v>
      </c>
      <c r="D3746" t="s">
        <v>10851</v>
      </c>
      <c r="E3746">
        <v>11</v>
      </c>
      <c r="F3746" t="str">
        <f>IF(AND(Entities[[#This Row],[ENT_TYPE]]="County",RIGHT(Entities[[#This Row],[ENT_NAME]],6)&lt;&gt;"County"),_xlfn.TEXTJOIN(" ",TRUE,Entities[[#This Row],[ENT_NAME]],"County"),Entities[[#This Row],[ENT_NAME]])</f>
        <v>North Hays County MUD 2</v>
      </c>
    </row>
    <row r="3747" spans="1:6" x14ac:dyDescent="0.25">
      <c r="A3747" s="303" t="s">
        <v>10852</v>
      </c>
      <c r="B3747" s="303" t="str">
        <f t="shared" si="58"/>
        <v>x11002265</v>
      </c>
      <c r="C3747" t="s">
        <v>4</v>
      </c>
      <c r="D3747" t="s">
        <v>10853</v>
      </c>
      <c r="E3747">
        <v>11</v>
      </c>
      <c r="F3747" t="str">
        <f>IF(AND(Entities[[#This Row],[ENT_TYPE]]="County",RIGHT(Entities[[#This Row],[ENT_NAME]],6)&lt;&gt;"County"),_xlfn.TEXTJOIN(" ",TRUE,Entities[[#This Row],[ENT_NAME]],"County"),Entities[[#This Row],[ENT_NAME]])</f>
        <v>Lake Dunlap WCID</v>
      </c>
    </row>
    <row r="3748" spans="1:6" x14ac:dyDescent="0.25">
      <c r="A3748" s="303" t="s">
        <v>10854</v>
      </c>
      <c r="B3748" s="303" t="str">
        <f t="shared" si="58"/>
        <v>x11002282</v>
      </c>
      <c r="C3748" t="s">
        <v>4</v>
      </c>
      <c r="D3748" t="s">
        <v>10855</v>
      </c>
      <c r="E3748">
        <v>11</v>
      </c>
      <c r="F3748" t="str">
        <f>IF(AND(Entities[[#This Row],[ENT_TYPE]]="County",RIGHT(Entities[[#This Row],[ENT_NAME]],6)&lt;&gt;"County"),_xlfn.TEXTJOIN(" ",TRUE,Entities[[#This Row],[ENT_NAME]],"County"),Entities[[#This Row],[ENT_NAME]])</f>
        <v>LaSalle MUD 4</v>
      </c>
    </row>
    <row r="3749" spans="1:6" x14ac:dyDescent="0.25">
      <c r="A3749" s="303" t="s">
        <v>10856</v>
      </c>
      <c r="B3749" s="303" t="str">
        <f t="shared" si="58"/>
        <v>x11002285</v>
      </c>
      <c r="C3749" t="s">
        <v>4</v>
      </c>
      <c r="D3749" t="s">
        <v>10857</v>
      </c>
      <c r="E3749">
        <v>11</v>
      </c>
      <c r="F3749" t="str">
        <f>IF(AND(Entities[[#This Row],[ENT_TYPE]]="County",RIGHT(Entities[[#This Row],[ENT_NAME]],6)&lt;&gt;"County"),_xlfn.TEXTJOIN(" ",TRUE,Entities[[#This Row],[ENT_NAME]],"County"),Entities[[#This Row],[ENT_NAME]])</f>
        <v>LaSalle MUD 5</v>
      </c>
    </row>
    <row r="3750" spans="1:6" x14ac:dyDescent="0.25">
      <c r="A3750" s="303" t="s">
        <v>10858</v>
      </c>
      <c r="B3750" s="303" t="str">
        <f t="shared" si="58"/>
        <v>x11002322</v>
      </c>
      <c r="C3750" t="s">
        <v>4</v>
      </c>
      <c r="D3750" t="s">
        <v>10859</v>
      </c>
      <c r="E3750">
        <v>11</v>
      </c>
      <c r="F3750" t="str">
        <f>IF(AND(Entities[[#This Row],[ENT_TYPE]]="County",RIGHT(Entities[[#This Row],[ENT_NAME]],6)&lt;&gt;"County"),_xlfn.TEXTJOIN(" ",TRUE,Entities[[#This Row],[ENT_NAME]],"County"),Entities[[#This Row],[ENT_NAME]])</f>
        <v>Lone Oak Farm MUD</v>
      </c>
    </row>
    <row r="3751" spans="1:6" x14ac:dyDescent="0.25">
      <c r="A3751" s="303" t="s">
        <v>10860</v>
      </c>
      <c r="B3751" s="303" t="str">
        <f t="shared" si="58"/>
        <v>x11002333</v>
      </c>
      <c r="C3751" t="s">
        <v>4</v>
      </c>
      <c r="D3751" t="s">
        <v>10861</v>
      </c>
      <c r="E3751">
        <v>11</v>
      </c>
      <c r="F3751" t="str">
        <f>IF(AND(Entities[[#This Row],[ENT_TYPE]]="County",RIGHT(Entities[[#This Row],[ENT_NAME]],6)&lt;&gt;"County"),_xlfn.TEXTJOIN(" ",TRUE,Entities[[#This Row],[ENT_NAME]],"County"),Entities[[#This Row],[ENT_NAME]])</f>
        <v>Caldwell County MUD 2</v>
      </c>
    </row>
    <row r="3752" spans="1:6" x14ac:dyDescent="0.25">
      <c r="A3752" s="303" t="s">
        <v>10862</v>
      </c>
      <c r="B3752" s="303" t="str">
        <f t="shared" si="58"/>
        <v>x11002343</v>
      </c>
      <c r="C3752" t="s">
        <v>4</v>
      </c>
      <c r="D3752" t="s">
        <v>10863</v>
      </c>
      <c r="E3752">
        <v>11</v>
      </c>
      <c r="F3752" t="str">
        <f>IF(AND(Entities[[#This Row],[ENT_TYPE]]="County",RIGHT(Entities[[#This Row],[ENT_NAME]],6)&lt;&gt;"County"),_xlfn.TEXTJOIN(" ",TRUE,Entities[[#This Row],[ENT_NAME]],"County"),Entities[[#This Row],[ENT_NAME]])</f>
        <v>Maxwell SUD</v>
      </c>
    </row>
    <row r="3753" spans="1:6" x14ac:dyDescent="0.25">
      <c r="A3753" s="305" t="s">
        <v>10864</v>
      </c>
      <c r="B3753" s="303" t="str">
        <f t="shared" si="58"/>
        <v>x11002393</v>
      </c>
      <c r="C3753" t="s">
        <v>5458</v>
      </c>
      <c r="D3753" t="s">
        <v>10865</v>
      </c>
      <c r="E3753">
        <v>11</v>
      </c>
      <c r="F3753" t="str">
        <f>IF(AND(Entities[[#This Row],[ENT_TYPE]]="County",RIGHT(Entities[[#This Row],[ENT_NAME]],6)&lt;&gt;"County"),_xlfn.TEXTJOIN(" ",TRUE,Entities[[#This Row],[ENT_NAME]],"County"),Entities[[#This Row],[ENT_NAME]])</f>
        <v>Nixon</v>
      </c>
    </row>
    <row r="3754" spans="1:6" x14ac:dyDescent="0.25">
      <c r="A3754" s="303" t="s">
        <v>10866</v>
      </c>
      <c r="B3754" s="303" t="str">
        <f t="shared" si="58"/>
        <v>x11002394</v>
      </c>
      <c r="C3754" t="s">
        <v>5458</v>
      </c>
      <c r="D3754" t="s">
        <v>10867</v>
      </c>
      <c r="E3754">
        <v>11</v>
      </c>
      <c r="F3754" t="str">
        <f>IF(AND(Entities[[#This Row],[ENT_TYPE]]="County",RIGHT(Entities[[#This Row],[ENT_NAME]],6)&lt;&gt;"County"),_xlfn.TEXTJOIN(" ",TRUE,Entities[[#This Row],[ENT_NAME]],"County"),Entities[[#This Row],[ENT_NAME]])</f>
        <v>Smiley</v>
      </c>
    </row>
    <row r="3755" spans="1:6" x14ac:dyDescent="0.25">
      <c r="A3755" s="305" t="s">
        <v>10868</v>
      </c>
      <c r="B3755" s="303" t="str">
        <f t="shared" si="58"/>
        <v>x11002395</v>
      </c>
      <c r="C3755" t="s">
        <v>5458</v>
      </c>
      <c r="D3755" t="s">
        <v>10869</v>
      </c>
      <c r="E3755">
        <v>11</v>
      </c>
      <c r="F3755" t="str">
        <f>IF(AND(Entities[[#This Row],[ENT_TYPE]]="County",RIGHT(Entities[[#This Row],[ENT_NAME]],6)&lt;&gt;"County"),_xlfn.TEXTJOIN(" ",TRUE,Entities[[#This Row],[ENT_NAME]],"County"),Entities[[#This Row],[ENT_NAME]])</f>
        <v>Waelder</v>
      </c>
    </row>
    <row r="3756" spans="1:6" x14ac:dyDescent="0.25">
      <c r="A3756" s="303" t="s">
        <v>10870</v>
      </c>
      <c r="B3756" s="303" t="str">
        <f t="shared" si="58"/>
        <v>x11002401</v>
      </c>
      <c r="C3756" t="s">
        <v>5458</v>
      </c>
      <c r="D3756" t="s">
        <v>10871</v>
      </c>
      <c r="E3756">
        <v>11</v>
      </c>
      <c r="F3756" t="str">
        <f>IF(AND(Entities[[#This Row],[ENT_TYPE]]="County",RIGHT(Entities[[#This Row],[ENT_NAME]],6)&lt;&gt;"County"),_xlfn.TEXTJOIN(" ",TRUE,Entities[[#This Row],[ENT_NAME]],"County"),Entities[[#This Row],[ENT_NAME]])</f>
        <v>Cuero</v>
      </c>
    </row>
    <row r="3757" spans="1:6" x14ac:dyDescent="0.25">
      <c r="A3757" s="305" t="s">
        <v>10872</v>
      </c>
      <c r="B3757" s="303" t="str">
        <f t="shared" si="58"/>
        <v>x11002432</v>
      </c>
      <c r="C3757" t="s">
        <v>5458</v>
      </c>
      <c r="D3757" t="s">
        <v>10873</v>
      </c>
      <c r="E3757">
        <v>11</v>
      </c>
      <c r="F3757" t="str">
        <f>IF(AND(Entities[[#This Row],[ENT_TYPE]]="County",RIGHT(Entities[[#This Row],[ENT_NAME]],6)&lt;&gt;"County"),_xlfn.TEXTJOIN(" ",TRUE,Entities[[#This Row],[ENT_NAME]],"County"),Entities[[#This Row],[ENT_NAME]])</f>
        <v>Wimberley</v>
      </c>
    </row>
    <row r="3758" spans="1:6" x14ac:dyDescent="0.25">
      <c r="A3758" s="303" t="s">
        <v>10874</v>
      </c>
      <c r="B3758" s="303" t="str">
        <f t="shared" si="58"/>
        <v>x11002585</v>
      </c>
      <c r="C3758" t="s">
        <v>5458</v>
      </c>
      <c r="D3758" t="s">
        <v>10875</v>
      </c>
      <c r="E3758">
        <v>11</v>
      </c>
      <c r="F3758" t="str">
        <f>IF(AND(Entities[[#This Row],[ENT_TYPE]]="County",RIGHT(Entities[[#This Row],[ENT_NAME]],6)&lt;&gt;"County"),_xlfn.TEXTJOIN(" ",TRUE,Entities[[#This Row],[ENT_NAME]],"County"),Entities[[#This Row],[ENT_NAME]])</f>
        <v>Kerrville</v>
      </c>
    </row>
    <row r="3759" spans="1:6" x14ac:dyDescent="0.25">
      <c r="A3759" s="303" t="s">
        <v>10876</v>
      </c>
      <c r="B3759" s="303" t="str">
        <f t="shared" si="58"/>
        <v>x11002616</v>
      </c>
      <c r="C3759" t="s">
        <v>5458</v>
      </c>
      <c r="D3759" t="s">
        <v>10877</v>
      </c>
      <c r="E3759">
        <v>11</v>
      </c>
      <c r="F3759" t="str">
        <f>IF(AND(Entities[[#This Row],[ENT_TYPE]]="County",RIGHT(Entities[[#This Row],[ENT_NAME]],6)&lt;&gt;"County"),_xlfn.TEXTJOIN(" ",TRUE,Entities[[#This Row],[ENT_NAME]],"County"),Entities[[#This Row],[ENT_NAME]])</f>
        <v>Seguin</v>
      </c>
    </row>
    <row r="3760" spans="1:6" x14ac:dyDescent="0.25">
      <c r="A3760" s="303" t="s">
        <v>10878</v>
      </c>
      <c r="B3760" s="303" t="str">
        <f t="shared" si="58"/>
        <v>x11002680</v>
      </c>
      <c r="C3760" t="s">
        <v>5458</v>
      </c>
      <c r="D3760" t="s">
        <v>10879</v>
      </c>
      <c r="E3760">
        <v>11</v>
      </c>
      <c r="F3760" t="str">
        <f>IF(AND(Entities[[#This Row],[ENT_TYPE]]="County",RIGHT(Entities[[#This Row],[ENT_NAME]],6)&lt;&gt;"County"),_xlfn.TEXTJOIN(" ",TRUE,Entities[[#This Row],[ENT_NAME]],"County"),Entities[[#This Row],[ENT_NAME]])</f>
        <v>Niederwald</v>
      </c>
    </row>
    <row r="3761" spans="1:6" x14ac:dyDescent="0.25">
      <c r="A3761" s="305" t="s">
        <v>10880</v>
      </c>
      <c r="B3761" s="303" t="str">
        <f t="shared" si="58"/>
        <v>x11002686</v>
      </c>
      <c r="C3761" t="s">
        <v>5458</v>
      </c>
      <c r="D3761" t="s">
        <v>10881</v>
      </c>
      <c r="E3761">
        <v>11</v>
      </c>
      <c r="F3761" t="str">
        <f>IF(AND(Entities[[#This Row],[ENT_TYPE]]="County",RIGHT(Entities[[#This Row],[ENT_NAME]],6)&lt;&gt;"County"),_xlfn.TEXTJOIN(" ",TRUE,Entities[[#This Row],[ENT_NAME]],"County"),Entities[[#This Row],[ENT_NAME]])</f>
        <v>Uhland</v>
      </c>
    </row>
    <row r="3762" spans="1:6" x14ac:dyDescent="0.25">
      <c r="A3762" s="303" t="s">
        <v>10882</v>
      </c>
      <c r="B3762" s="303" t="str">
        <f t="shared" si="58"/>
        <v>x11002704</v>
      </c>
      <c r="C3762" t="s">
        <v>5458</v>
      </c>
      <c r="D3762" t="s">
        <v>10883</v>
      </c>
      <c r="E3762">
        <v>11</v>
      </c>
      <c r="F3762" t="str">
        <f>IF(AND(Entities[[#This Row],[ENT_TYPE]]="County",RIGHT(Entities[[#This Row],[ENT_NAME]],6)&lt;&gt;"County"),_xlfn.TEXTJOIN(" ",TRUE,Entities[[#This Row],[ENT_NAME]],"County"),Entities[[#This Row],[ENT_NAME]])</f>
        <v>Woodcreek</v>
      </c>
    </row>
    <row r="3763" spans="1:6" x14ac:dyDescent="0.25">
      <c r="A3763" s="305" t="s">
        <v>10884</v>
      </c>
      <c r="B3763" s="303" t="str">
        <f t="shared" si="58"/>
        <v>x11002722</v>
      </c>
      <c r="C3763" t="s">
        <v>5458</v>
      </c>
      <c r="D3763" t="s">
        <v>10885</v>
      </c>
      <c r="E3763">
        <v>11</v>
      </c>
      <c r="F3763" t="str">
        <f>IF(AND(Entities[[#This Row],[ENT_TYPE]]="County",RIGHT(Entities[[#This Row],[ENT_NAME]],6)&lt;&gt;"County"),_xlfn.TEXTJOIN(" ",TRUE,Entities[[#This Row],[ENT_NAME]],"County"),Entities[[#This Row],[ENT_NAME]])</f>
        <v>Yorktown</v>
      </c>
    </row>
    <row r="3764" spans="1:6" x14ac:dyDescent="0.25">
      <c r="A3764" s="305" t="s">
        <v>10886</v>
      </c>
      <c r="B3764" s="303" t="str">
        <f t="shared" si="58"/>
        <v>x11002992</v>
      </c>
      <c r="C3764" t="s">
        <v>5458</v>
      </c>
      <c r="D3764" t="s">
        <v>4952</v>
      </c>
      <c r="E3764">
        <v>11</v>
      </c>
      <c r="F3764" t="str">
        <f>IF(AND(Entities[[#This Row],[ENT_TYPE]]="County",RIGHT(Entities[[#This Row],[ENT_NAME]],6)&lt;&gt;"County"),_xlfn.TEXTJOIN(" ",TRUE,Entities[[#This Row],[ENT_NAME]],"County"),Entities[[#This Row],[ENT_NAME]])</f>
        <v>Gonzales</v>
      </c>
    </row>
    <row r="3765" spans="1:6" x14ac:dyDescent="0.25">
      <c r="A3765" s="303" t="s">
        <v>10887</v>
      </c>
      <c r="B3765" s="303" t="str">
        <f t="shared" si="58"/>
        <v>x11002996</v>
      </c>
      <c r="C3765" t="s">
        <v>5458</v>
      </c>
      <c r="D3765" t="s">
        <v>4984</v>
      </c>
      <c r="E3765">
        <v>11</v>
      </c>
      <c r="F3765" t="str">
        <f>IF(AND(Entities[[#This Row],[ENT_TYPE]]="County",RIGHT(Entities[[#This Row],[ENT_NAME]],6)&lt;&gt;"County"),_xlfn.TEXTJOIN(" ",TRUE,Entities[[#This Row],[ENT_NAME]],"County"),Entities[[#This Row],[ENT_NAME]])</f>
        <v>Blanco</v>
      </c>
    </row>
    <row r="3766" spans="1:6" x14ac:dyDescent="0.25">
      <c r="A3766" s="303" t="s">
        <v>10888</v>
      </c>
      <c r="B3766" s="303" t="str">
        <f t="shared" si="58"/>
        <v>x11003162</v>
      </c>
      <c r="C3766" t="s">
        <v>5458</v>
      </c>
      <c r="D3766" t="s">
        <v>10889</v>
      </c>
      <c r="E3766">
        <v>11</v>
      </c>
      <c r="F3766" t="str">
        <f>IF(AND(Entities[[#This Row],[ENT_TYPE]]="County",RIGHT(Entities[[#This Row],[ENT_NAME]],6)&lt;&gt;"County"),_xlfn.TEXTJOIN(" ",TRUE,Entities[[#This Row],[ENT_NAME]],"County"),Entities[[#This Row],[ENT_NAME]])</f>
        <v>Lockhart</v>
      </c>
    </row>
    <row r="3767" spans="1:6" x14ac:dyDescent="0.25">
      <c r="A3767" s="303" t="s">
        <v>10890</v>
      </c>
      <c r="B3767" s="303" t="str">
        <f t="shared" si="58"/>
        <v>x11003163</v>
      </c>
      <c r="C3767" t="s">
        <v>5458</v>
      </c>
      <c r="D3767" t="s">
        <v>10891</v>
      </c>
      <c r="E3767">
        <v>11</v>
      </c>
      <c r="F3767" t="str">
        <f>IF(AND(Entities[[#This Row],[ENT_TYPE]]="County",RIGHT(Entities[[#This Row],[ENT_NAME]],6)&lt;&gt;"County"),_xlfn.TEXTJOIN(" ",TRUE,Entities[[#This Row],[ENT_NAME]],"County"),Entities[[#This Row],[ENT_NAME]])</f>
        <v>San Marcos</v>
      </c>
    </row>
    <row r="3768" spans="1:6" x14ac:dyDescent="0.25">
      <c r="A3768" s="303" t="s">
        <v>10892</v>
      </c>
      <c r="B3768" s="303" t="str">
        <f t="shared" si="58"/>
        <v>x11003277</v>
      </c>
      <c r="C3768" t="s">
        <v>5458</v>
      </c>
      <c r="D3768" t="s">
        <v>10893</v>
      </c>
      <c r="E3768">
        <v>11</v>
      </c>
      <c r="F3768" t="str">
        <f>IF(AND(Entities[[#This Row],[ENT_TYPE]]="County",RIGHT(Entities[[#This Row],[ENT_NAME]],6)&lt;&gt;"County"),_xlfn.TEXTJOIN(" ",TRUE,Entities[[#This Row],[ENT_NAME]],"County"),Entities[[#This Row],[ENT_NAME]])</f>
        <v>Staples</v>
      </c>
    </row>
    <row r="3769" spans="1:6" x14ac:dyDescent="0.25">
      <c r="A3769" s="303" t="s">
        <v>10894</v>
      </c>
      <c r="B3769" s="303" t="str">
        <f t="shared" si="58"/>
        <v>x11003473</v>
      </c>
      <c r="C3769" t="s">
        <v>5458</v>
      </c>
      <c r="D3769" t="s">
        <v>10895</v>
      </c>
      <c r="E3769">
        <v>11</v>
      </c>
      <c r="F3769" t="str">
        <f>IF(AND(Entities[[#This Row],[ENT_TYPE]]="County",RIGHT(Entities[[#This Row],[ENT_NAME]],6)&lt;&gt;"County"),_xlfn.TEXTJOIN(" ",TRUE,Entities[[#This Row],[ENT_NAME]],"County"),Entities[[#This Row],[ENT_NAME]])</f>
        <v>Martindale</v>
      </c>
    </row>
    <row r="3770" spans="1:6" x14ac:dyDescent="0.25">
      <c r="A3770" s="303" t="s">
        <v>10896</v>
      </c>
      <c r="B3770" s="303" t="str">
        <f t="shared" si="58"/>
        <v>x11003474</v>
      </c>
      <c r="C3770" t="s">
        <v>5458</v>
      </c>
      <c r="D3770" t="s">
        <v>10897</v>
      </c>
      <c r="E3770">
        <v>11</v>
      </c>
      <c r="F3770" t="str">
        <f>IF(AND(Entities[[#This Row],[ENT_TYPE]]="County",RIGHT(Entities[[#This Row],[ENT_NAME]],6)&lt;&gt;"County"),_xlfn.TEXTJOIN(" ",TRUE,Entities[[#This Row],[ENT_NAME]],"County"),Entities[[#This Row],[ENT_NAME]])</f>
        <v>Luling</v>
      </c>
    </row>
    <row r="3771" spans="1:6" x14ac:dyDescent="0.25">
      <c r="A3771" s="303" t="s">
        <v>10898</v>
      </c>
      <c r="B3771" s="303" t="str">
        <f t="shared" si="58"/>
        <v>x11003486</v>
      </c>
      <c r="C3771" t="s">
        <v>5458</v>
      </c>
      <c r="D3771" t="s">
        <v>10899</v>
      </c>
      <c r="E3771">
        <v>11</v>
      </c>
      <c r="F3771" t="str">
        <f>IF(AND(Entities[[#This Row],[ENT_TYPE]]="County",RIGHT(Entities[[#This Row],[ENT_NAME]],6)&lt;&gt;"County"),_xlfn.TEXTJOIN(" ",TRUE,Entities[[#This Row],[ENT_NAME]],"County"),Entities[[#This Row],[ENT_NAME]])</f>
        <v>Ingram</v>
      </c>
    </row>
    <row r="3772" spans="1:6" x14ac:dyDescent="0.25">
      <c r="A3772" s="303" t="s">
        <v>10900</v>
      </c>
      <c r="B3772" s="303" t="str">
        <f t="shared" si="58"/>
        <v>x11003511</v>
      </c>
      <c r="C3772" t="s">
        <v>5458</v>
      </c>
      <c r="D3772" t="s">
        <v>10901</v>
      </c>
      <c r="E3772">
        <v>11</v>
      </c>
      <c r="F3772" t="str">
        <f>IF(AND(Entities[[#This Row],[ENT_TYPE]]="County",RIGHT(Entities[[#This Row],[ENT_NAME]],6)&lt;&gt;"County"),_xlfn.TEXTJOIN(" ",TRUE,Entities[[#This Row],[ENT_NAME]],"County"),Entities[[#This Row],[ENT_NAME]])</f>
        <v>Kingsbury</v>
      </c>
    </row>
    <row r="3773" spans="1:6" x14ac:dyDescent="0.25">
      <c r="A3773" s="303" t="s">
        <v>10902</v>
      </c>
      <c r="B3773" s="303" t="str">
        <f t="shared" si="58"/>
        <v>x11003532</v>
      </c>
      <c r="C3773" t="s">
        <v>5458</v>
      </c>
      <c r="D3773" t="s">
        <v>10903</v>
      </c>
      <c r="E3773">
        <v>11</v>
      </c>
      <c r="F3773" t="str">
        <f>IF(AND(Entities[[#This Row],[ENT_TYPE]]="County",RIGHT(Entities[[#This Row],[ENT_NAME]],6)&lt;&gt;"County"),_xlfn.TEXTJOIN(" ",TRUE,Entities[[#This Row],[ENT_NAME]],"County"),Entities[[#This Row],[ENT_NAME]])</f>
        <v>Spring Branch</v>
      </c>
    </row>
    <row r="3774" spans="1:6" x14ac:dyDescent="0.25">
      <c r="A3774" s="303" t="s">
        <v>10904</v>
      </c>
      <c r="B3774" s="303" t="str">
        <f t="shared" si="58"/>
        <v>x11003533</v>
      </c>
      <c r="C3774" t="s">
        <v>4</v>
      </c>
      <c r="D3774" t="s">
        <v>10905</v>
      </c>
      <c r="E3774">
        <v>11</v>
      </c>
      <c r="F3774" t="str">
        <f>IF(AND(Entities[[#This Row],[ENT_TYPE]]="County",RIGHT(Entities[[#This Row],[ENT_NAME]],6)&lt;&gt;"County"),_xlfn.TEXTJOIN(" ",TRUE,Entities[[#This Row],[ENT_NAME]],"County"),Entities[[#This Row],[ENT_NAME]])</f>
        <v>Plum Creek Conservation District</v>
      </c>
    </row>
    <row r="3775" spans="1:6" x14ac:dyDescent="0.25">
      <c r="A3775" s="303" t="s">
        <v>10906</v>
      </c>
      <c r="B3775" s="303" t="str">
        <f t="shared" si="58"/>
        <v>x11003534</v>
      </c>
      <c r="C3775" t="s">
        <v>4</v>
      </c>
      <c r="D3775" t="s">
        <v>10907</v>
      </c>
      <c r="E3775">
        <v>11</v>
      </c>
      <c r="F3775" t="str">
        <f>IF(AND(Entities[[#This Row],[ENT_TYPE]]="County",RIGHT(Entities[[#This Row],[ENT_NAME]],6)&lt;&gt;"County"),_xlfn.TEXTJOIN(" ",TRUE,Entities[[#This Row],[ENT_NAME]],"County"),Entities[[#This Row],[ENT_NAME]])</f>
        <v>Lockhart ISD</v>
      </c>
    </row>
    <row r="3776" spans="1:6" x14ac:dyDescent="0.25">
      <c r="A3776" s="303" t="s">
        <v>10908</v>
      </c>
      <c r="B3776" s="303" t="str">
        <f t="shared" si="58"/>
        <v>x11003535</v>
      </c>
      <c r="C3776" t="s">
        <v>4</v>
      </c>
      <c r="D3776" t="s">
        <v>10909</v>
      </c>
      <c r="E3776">
        <v>11</v>
      </c>
      <c r="F3776" t="str">
        <f>IF(AND(Entities[[#This Row],[ENT_TYPE]]="County",RIGHT(Entities[[#This Row],[ENT_NAME]],6)&lt;&gt;"County"),_xlfn.TEXTJOIN(" ",TRUE,Entities[[#This Row],[ENT_NAME]],"County"),Entities[[#This Row],[ENT_NAME]])</f>
        <v>Luling ISD</v>
      </c>
    </row>
    <row r="3777" spans="1:6" x14ac:dyDescent="0.25">
      <c r="A3777" s="303" t="s">
        <v>10910</v>
      </c>
      <c r="B3777" s="303" t="str">
        <f t="shared" si="58"/>
        <v>x11003536</v>
      </c>
      <c r="C3777" t="s">
        <v>4</v>
      </c>
      <c r="D3777" t="s">
        <v>10911</v>
      </c>
      <c r="E3777">
        <v>11</v>
      </c>
      <c r="F3777" t="str">
        <f>IF(AND(Entities[[#This Row],[ENT_TYPE]]="County",RIGHT(Entities[[#This Row],[ENT_NAME]],6)&lt;&gt;"County"),_xlfn.TEXTJOIN(" ",TRUE,Entities[[#This Row],[ENT_NAME]],"County"),Entities[[#This Row],[ENT_NAME]])</f>
        <v>Martindale Water Supply Corporation</v>
      </c>
    </row>
    <row r="3778" spans="1:6" x14ac:dyDescent="0.25">
      <c r="A3778" s="303" t="s">
        <v>10912</v>
      </c>
      <c r="B3778" s="303" t="str">
        <f t="shared" ref="B3778:B3841" si="59">_xlfn.CONCAT("x",TEXT(A3778,"00000000"))</f>
        <v>x11003537</v>
      </c>
      <c r="C3778" t="s">
        <v>4</v>
      </c>
      <c r="D3778" t="s">
        <v>10913</v>
      </c>
      <c r="E3778">
        <v>11</v>
      </c>
      <c r="F3778" t="str">
        <f>IF(AND(Entities[[#This Row],[ENT_TYPE]]="County",RIGHT(Entities[[#This Row],[ENT_NAME]],6)&lt;&gt;"County"),_xlfn.TEXTJOIN(" ",TRUE,Entities[[#This Row],[ENT_NAME]],"County"),Entities[[#This Row],[ENT_NAME]])</f>
        <v>Comal Master WID</v>
      </c>
    </row>
    <row r="3779" spans="1:6" x14ac:dyDescent="0.25">
      <c r="A3779" s="303" t="s">
        <v>10914</v>
      </c>
      <c r="B3779" s="303" t="str">
        <f t="shared" si="59"/>
        <v>x11003539</v>
      </c>
      <c r="C3779" t="s">
        <v>4</v>
      </c>
      <c r="D3779" t="s">
        <v>10915</v>
      </c>
      <c r="E3779">
        <v>11</v>
      </c>
      <c r="F3779" t="str">
        <f>IF(AND(Entities[[#This Row],[ENT_TYPE]]="County",RIGHT(Entities[[#This Row],[ENT_NAME]],6)&lt;&gt;"County"),_xlfn.TEXTJOIN(" ",TRUE,Entities[[#This Row],[ENT_NAME]],"County"),Entities[[#This Row],[ENT_NAME]])</f>
        <v>Caldwell County Emergency Service District #1</v>
      </c>
    </row>
    <row r="3780" spans="1:6" x14ac:dyDescent="0.25">
      <c r="A3780" s="303" t="s">
        <v>10916</v>
      </c>
      <c r="B3780" s="303" t="str">
        <f t="shared" si="59"/>
        <v>x11003540</v>
      </c>
      <c r="C3780" t="s">
        <v>4</v>
      </c>
      <c r="D3780" t="s">
        <v>10917</v>
      </c>
      <c r="E3780">
        <v>11</v>
      </c>
      <c r="F3780" t="str">
        <f>IF(AND(Entities[[#This Row],[ENT_TYPE]]="County",RIGHT(Entities[[#This Row],[ENT_NAME]],6)&lt;&gt;"County"),_xlfn.TEXTJOIN(" ",TRUE,Entities[[#This Row],[ENT_NAME]],"County"),Entities[[#This Row],[ENT_NAME]])</f>
        <v>Caldwell County Emergency Service District #3</v>
      </c>
    </row>
    <row r="3781" spans="1:6" x14ac:dyDescent="0.25">
      <c r="A3781" s="303" t="s">
        <v>10918</v>
      </c>
      <c r="B3781" s="303" t="str">
        <f t="shared" si="59"/>
        <v>x11003541</v>
      </c>
      <c r="C3781" t="s">
        <v>4</v>
      </c>
      <c r="D3781" t="s">
        <v>10919</v>
      </c>
      <c r="E3781">
        <v>11</v>
      </c>
      <c r="F3781" t="str">
        <f>IF(AND(Entities[[#This Row],[ENT_TYPE]]="County",RIGHT(Entities[[#This Row],[ENT_NAME]],6)&lt;&gt;"County"),_xlfn.TEXTJOIN(" ",TRUE,Entities[[#This Row],[ENT_NAME]],"County"),Entities[[#This Row],[ENT_NAME]])</f>
        <v>Caldwell County Emergency Service District #4</v>
      </c>
    </row>
    <row r="3782" spans="1:6" x14ac:dyDescent="0.25">
      <c r="A3782" s="303" t="s">
        <v>10920</v>
      </c>
      <c r="B3782" s="303" t="str">
        <f t="shared" si="59"/>
        <v>x11003542</v>
      </c>
      <c r="C3782" t="s">
        <v>4</v>
      </c>
      <c r="D3782" t="s">
        <v>10921</v>
      </c>
      <c r="E3782">
        <v>11</v>
      </c>
      <c r="F3782" t="str">
        <f>IF(AND(Entities[[#This Row],[ENT_TYPE]]="County",RIGHT(Entities[[#This Row],[ENT_NAME]],6)&lt;&gt;"County"),_xlfn.TEXTJOIN(" ",TRUE,Entities[[#This Row],[ENT_NAME]],"County"),Entities[[#This Row],[ENT_NAME]])</f>
        <v>Center Point ISD</v>
      </c>
    </row>
    <row r="3783" spans="1:6" x14ac:dyDescent="0.25">
      <c r="A3783" s="303" t="s">
        <v>10922</v>
      </c>
      <c r="B3783" s="303" t="str">
        <f t="shared" si="59"/>
        <v>x11003543</v>
      </c>
      <c r="C3783" t="s">
        <v>4</v>
      </c>
      <c r="D3783" t="s">
        <v>10923</v>
      </c>
      <c r="E3783">
        <v>11</v>
      </c>
      <c r="F3783" t="str">
        <f>IF(AND(Entities[[#This Row],[ENT_TYPE]]="County",RIGHT(Entities[[#This Row],[ENT_NAME]],6)&lt;&gt;"County"),_xlfn.TEXTJOIN(" ",TRUE,Entities[[#This Row],[ENT_NAME]],"County"),Entities[[#This Row],[ENT_NAME]])</f>
        <v>Hunt ISD</v>
      </c>
    </row>
    <row r="3784" spans="1:6" x14ac:dyDescent="0.25">
      <c r="A3784" s="303" t="s">
        <v>10924</v>
      </c>
      <c r="B3784" s="303" t="str">
        <f t="shared" si="59"/>
        <v>x11003544</v>
      </c>
      <c r="C3784" t="s">
        <v>4</v>
      </c>
      <c r="D3784" t="s">
        <v>10925</v>
      </c>
      <c r="E3784">
        <v>11</v>
      </c>
      <c r="F3784" t="str">
        <f>IF(AND(Entities[[#This Row],[ENT_TYPE]]="County",RIGHT(Entities[[#This Row],[ENT_NAME]],6)&lt;&gt;"County"),_xlfn.TEXTJOIN(" ",TRUE,Entities[[#This Row],[ENT_NAME]],"County"),Entities[[#This Row],[ENT_NAME]])</f>
        <v>Ingram ISD</v>
      </c>
    </row>
    <row r="3785" spans="1:6" x14ac:dyDescent="0.25">
      <c r="A3785" s="303" t="s">
        <v>10926</v>
      </c>
      <c r="B3785" s="303" t="str">
        <f t="shared" si="59"/>
        <v>x11003545</v>
      </c>
      <c r="C3785" t="s">
        <v>4</v>
      </c>
      <c r="D3785" t="s">
        <v>10927</v>
      </c>
      <c r="E3785">
        <v>11</v>
      </c>
      <c r="F3785" t="str">
        <f>IF(AND(Entities[[#This Row],[ENT_TYPE]]="County",RIGHT(Entities[[#This Row],[ENT_NAME]],6)&lt;&gt;"County"),_xlfn.TEXTJOIN(" ",TRUE,Entities[[#This Row],[ENT_NAME]],"County"),Entities[[#This Row],[ENT_NAME]])</f>
        <v>Kerrville ISD</v>
      </c>
    </row>
    <row r="3786" spans="1:6" x14ac:dyDescent="0.25">
      <c r="A3786" s="303" t="s">
        <v>3416</v>
      </c>
      <c r="B3786" s="303" t="str">
        <f t="shared" si="59"/>
        <v>x11003546</v>
      </c>
      <c r="C3786" t="s">
        <v>4</v>
      </c>
      <c r="D3786" t="s">
        <v>10928</v>
      </c>
      <c r="E3786">
        <v>11</v>
      </c>
      <c r="F3786" t="str">
        <f>IF(AND(Entities[[#This Row],[ENT_TYPE]]="County",RIGHT(Entities[[#This Row],[ENT_NAME]],6)&lt;&gt;"County"),_xlfn.TEXTJOIN(" ",TRUE,Entities[[#This Row],[ENT_NAME]],"County"),Entities[[#This Row],[ENT_NAME]])</f>
        <v>Guadalupe Regional Flood Planning Group</v>
      </c>
    </row>
    <row r="3787" spans="1:6" x14ac:dyDescent="0.25">
      <c r="A3787" s="303" t="s">
        <v>10929</v>
      </c>
      <c r="B3787" s="303" t="str">
        <f t="shared" si="59"/>
        <v>x12000480</v>
      </c>
      <c r="C3787" t="s">
        <v>4</v>
      </c>
      <c r="D3787" t="s">
        <v>10930</v>
      </c>
      <c r="E3787">
        <v>12</v>
      </c>
      <c r="F3787" t="str">
        <f>IF(AND(Entities[[#This Row],[ENT_TYPE]]="County",RIGHT(Entities[[#This Row],[ENT_NAME]],6)&lt;&gt;"County"),_xlfn.TEXTJOIN(" ",TRUE,Entities[[#This Row],[ENT_NAME]],"County"),Entities[[#This Row],[ENT_NAME]])</f>
        <v>Falcon Point WCID 1</v>
      </c>
    </row>
    <row r="3788" spans="1:6" x14ac:dyDescent="0.25">
      <c r="A3788" s="303" t="s">
        <v>10931</v>
      </c>
      <c r="B3788" s="303" t="str">
        <f t="shared" si="59"/>
        <v>x12000546</v>
      </c>
      <c r="C3788" t="s">
        <v>4</v>
      </c>
      <c r="D3788" t="s">
        <v>10932</v>
      </c>
      <c r="E3788">
        <v>12</v>
      </c>
      <c r="F3788" t="str">
        <f>IF(AND(Entities[[#This Row],[ENT_TYPE]]="County",RIGHT(Entities[[#This Row],[ENT_NAME]],6)&lt;&gt;"County"),_xlfn.TEXTJOIN(" ",TRUE,Entities[[#This Row],[ENT_NAME]],"County"),Entities[[#This Row],[ENT_NAME]])</f>
        <v>Medina County WCID 1</v>
      </c>
    </row>
    <row r="3789" spans="1:6" x14ac:dyDescent="0.25">
      <c r="A3789" s="303" t="s">
        <v>10933</v>
      </c>
      <c r="B3789" s="303" t="str">
        <f t="shared" si="59"/>
        <v>x12000592</v>
      </c>
      <c r="C3789" t="s">
        <v>4</v>
      </c>
      <c r="D3789" t="s">
        <v>10934</v>
      </c>
      <c r="E3789">
        <v>12</v>
      </c>
      <c r="F3789" t="str">
        <f>IF(AND(Entities[[#This Row],[ENT_TYPE]]="County",RIGHT(Entities[[#This Row],[ENT_NAME]],6)&lt;&gt;"County"),_xlfn.TEXTJOIN(" ",TRUE,Entities[[#This Row],[ENT_NAME]],"County"),Entities[[#This Row],[ENT_NAME]])</f>
        <v>Wilson County FWSD 1 of Wilson County Texas</v>
      </c>
    </row>
    <row r="3790" spans="1:6" x14ac:dyDescent="0.25">
      <c r="A3790" s="303" t="s">
        <v>10935</v>
      </c>
      <c r="B3790" s="303" t="str">
        <f t="shared" si="59"/>
        <v>x12000648</v>
      </c>
      <c r="C3790" t="s">
        <v>4</v>
      </c>
      <c r="D3790" t="s">
        <v>10936</v>
      </c>
      <c r="E3790">
        <v>12</v>
      </c>
      <c r="F3790" t="str">
        <f>IF(AND(Entities[[#This Row],[ENT_TYPE]]="County",RIGHT(Entities[[#This Row],[ENT_NAME]],6)&lt;&gt;"County"),_xlfn.TEXTJOIN(" ",TRUE,Entities[[#This Row],[ENT_NAME]],"County"),Entities[[#This Row],[ENT_NAME]])</f>
        <v>Westside 211 Special Improvement District</v>
      </c>
    </row>
    <row r="3791" spans="1:6" x14ac:dyDescent="0.25">
      <c r="A3791" s="303" t="s">
        <v>10937</v>
      </c>
      <c r="B3791" s="303" t="str">
        <f t="shared" si="59"/>
        <v>x12000731</v>
      </c>
      <c r="C3791" t="s">
        <v>4</v>
      </c>
      <c r="D3791" t="s">
        <v>10938</v>
      </c>
      <c r="E3791">
        <v>12</v>
      </c>
      <c r="F3791" t="str">
        <f>IF(AND(Entities[[#This Row],[ENT_TYPE]]="County",RIGHT(Entities[[#This Row],[ENT_NAME]],6)&lt;&gt;"County"),_xlfn.TEXTJOIN(" ",TRUE,Entities[[#This Row],[ENT_NAME]],"County"),Entities[[#This Row],[ENT_NAME]])</f>
        <v>Crosswinds at South Lake Special Improvement District</v>
      </c>
    </row>
    <row r="3792" spans="1:6" x14ac:dyDescent="0.25">
      <c r="A3792" s="303" t="s">
        <v>10939</v>
      </c>
      <c r="B3792" s="303" t="str">
        <f t="shared" si="59"/>
        <v>x12000874</v>
      </c>
      <c r="C3792" t="s">
        <v>4</v>
      </c>
      <c r="D3792" t="s">
        <v>10940</v>
      </c>
      <c r="E3792">
        <v>12</v>
      </c>
      <c r="F3792" t="str">
        <f>IF(AND(Entities[[#This Row],[ENT_TYPE]]="County",RIGHT(Entities[[#This Row],[ENT_NAME]],6)&lt;&gt;"County"),_xlfn.TEXTJOIN(" ",TRUE,Entities[[#This Row],[ENT_NAME]],"County"),Entities[[#This Row],[ENT_NAME]])</f>
        <v>Medina County FWSD 1</v>
      </c>
    </row>
    <row r="3793" spans="1:6" x14ac:dyDescent="0.25">
      <c r="A3793" s="303" t="s">
        <v>10941</v>
      </c>
      <c r="B3793" s="303" t="str">
        <f t="shared" si="59"/>
        <v>x12000937</v>
      </c>
      <c r="C3793" t="s">
        <v>4</v>
      </c>
      <c r="D3793" t="s">
        <v>10942</v>
      </c>
      <c r="E3793">
        <v>12</v>
      </c>
      <c r="F3793" t="str">
        <f>IF(AND(Entities[[#This Row],[ENT_TYPE]]="County",RIGHT(Entities[[#This Row],[ENT_NAME]],6)&lt;&gt;"County"),_xlfn.TEXTJOIN(" ",TRUE,Entities[[#This Row],[ENT_NAME]],"County"),Entities[[#This Row],[ENT_NAME]])</f>
        <v>Kendall County WCID 2A</v>
      </c>
    </row>
    <row r="3794" spans="1:6" x14ac:dyDescent="0.25">
      <c r="A3794" s="303" t="s">
        <v>10943</v>
      </c>
      <c r="B3794" s="303" t="str">
        <f t="shared" si="59"/>
        <v>x12000959</v>
      </c>
      <c r="C3794" t="s">
        <v>4</v>
      </c>
      <c r="D3794" t="s">
        <v>10944</v>
      </c>
      <c r="E3794">
        <v>12</v>
      </c>
      <c r="F3794" t="str">
        <f>IF(AND(Entities[[#This Row],[ENT_TYPE]]="County",RIGHT(Entities[[#This Row],[ENT_NAME]],6)&lt;&gt;"County"),_xlfn.TEXTJOIN(" ",TRUE,Entities[[#This Row],[ENT_NAME]],"County"),Entities[[#This Row],[ENT_NAME]])</f>
        <v>Cibolo Canyon Conservation and Improvement District 1</v>
      </c>
    </row>
    <row r="3795" spans="1:6" x14ac:dyDescent="0.25">
      <c r="A3795" s="303" t="s">
        <v>10945</v>
      </c>
      <c r="B3795" s="303" t="str">
        <f t="shared" si="59"/>
        <v>x12001057</v>
      </c>
      <c r="C3795" t="s">
        <v>4</v>
      </c>
      <c r="D3795" t="s">
        <v>10946</v>
      </c>
      <c r="E3795">
        <v>12</v>
      </c>
      <c r="F3795" t="str">
        <f>IF(AND(Entities[[#This Row],[ENT_TYPE]]="County",RIGHT(Entities[[#This Row],[ENT_NAME]],6)&lt;&gt;"County"),_xlfn.TEXTJOIN(" ",TRUE,Entities[[#This Row],[ENT_NAME]],"County"),Entities[[#This Row],[ENT_NAME]])</f>
        <v>Refugio County WCID 1</v>
      </c>
    </row>
    <row r="3796" spans="1:6" x14ac:dyDescent="0.25">
      <c r="A3796" s="303" t="s">
        <v>10947</v>
      </c>
      <c r="B3796" s="303" t="str">
        <f t="shared" si="59"/>
        <v>x12001130</v>
      </c>
      <c r="C3796" t="s">
        <v>4</v>
      </c>
      <c r="D3796" t="s">
        <v>10948</v>
      </c>
      <c r="E3796">
        <v>12</v>
      </c>
      <c r="F3796" t="str">
        <f>IF(AND(Entities[[#This Row],[ENT_TYPE]]="County",RIGHT(Entities[[#This Row],[ENT_NAME]],6)&lt;&gt;"County"),_xlfn.TEXTJOIN(" ",TRUE,Entities[[#This Row],[ENT_NAME]],"County"),Entities[[#This Row],[ENT_NAME]])</f>
        <v>La Salle WCID 1-A</v>
      </c>
    </row>
    <row r="3797" spans="1:6" x14ac:dyDescent="0.25">
      <c r="A3797" s="303" t="s">
        <v>10949</v>
      </c>
      <c r="B3797" s="303" t="str">
        <f t="shared" si="59"/>
        <v>x12001132</v>
      </c>
      <c r="C3797" t="s">
        <v>4</v>
      </c>
      <c r="D3797" t="s">
        <v>10950</v>
      </c>
      <c r="E3797">
        <v>12</v>
      </c>
      <c r="F3797" t="str">
        <f>IF(AND(Entities[[#This Row],[ENT_TYPE]]="County",RIGHT(Entities[[#This Row],[ENT_NAME]],6)&lt;&gt;"County"),_xlfn.TEXTJOIN(" ",TRUE,Entities[[#This Row],[ENT_NAME]],"County"),Entities[[#This Row],[ENT_NAME]])</f>
        <v>La Salle WCID 1-B</v>
      </c>
    </row>
    <row r="3798" spans="1:6" x14ac:dyDescent="0.25">
      <c r="A3798" s="303" t="s">
        <v>10951</v>
      </c>
      <c r="B3798" s="303" t="str">
        <f t="shared" si="59"/>
        <v>x12001324</v>
      </c>
      <c r="C3798" t="s">
        <v>4</v>
      </c>
      <c r="D3798" t="s">
        <v>10952</v>
      </c>
      <c r="E3798">
        <v>12</v>
      </c>
      <c r="F3798" t="str">
        <f>IF(AND(Entities[[#This Row],[ENT_TYPE]]="County",RIGHT(Entities[[#This Row],[ENT_NAME]],6)&lt;&gt;"County"),_xlfn.TEXTJOIN(" ",TRUE,Entities[[#This Row],[ENT_NAME]],"County"),Entities[[#This Row],[ENT_NAME]])</f>
        <v>Lerin Hills MUD</v>
      </c>
    </row>
    <row r="3799" spans="1:6" x14ac:dyDescent="0.25">
      <c r="A3799" s="303" t="s">
        <v>10953</v>
      </c>
      <c r="B3799" s="303" t="str">
        <f t="shared" si="59"/>
        <v>x12001484</v>
      </c>
      <c r="C3799" t="s">
        <v>4</v>
      </c>
      <c r="D3799" t="s">
        <v>10954</v>
      </c>
      <c r="E3799">
        <v>12</v>
      </c>
      <c r="F3799" t="str">
        <f>IF(AND(Entities[[#This Row],[ENT_TYPE]]="County",RIGHT(Entities[[#This Row],[ENT_NAME]],6)&lt;&gt;"County"),_xlfn.TEXTJOIN(" ",TRUE,Entities[[#This Row],[ENT_NAME]],"County"),Entities[[#This Row],[ENT_NAME]])</f>
        <v>San Antonio MUD 1</v>
      </c>
    </row>
    <row r="3800" spans="1:6" x14ac:dyDescent="0.25">
      <c r="A3800" s="303" t="s">
        <v>10955</v>
      </c>
      <c r="B3800" s="303" t="str">
        <f t="shared" si="59"/>
        <v>x12001486</v>
      </c>
      <c r="C3800" t="s">
        <v>4</v>
      </c>
      <c r="D3800" t="s">
        <v>10956</v>
      </c>
      <c r="E3800">
        <v>12</v>
      </c>
      <c r="F3800" t="str">
        <f>IF(AND(Entities[[#This Row],[ENT_TYPE]]="County",RIGHT(Entities[[#This Row],[ENT_NAME]],6)&lt;&gt;"County"),_xlfn.TEXTJOIN(" ",TRUE,Entities[[#This Row],[ENT_NAME]],"County"),Entities[[#This Row],[ENT_NAME]])</f>
        <v>Bexar County WCID 10</v>
      </c>
    </row>
    <row r="3801" spans="1:6" x14ac:dyDescent="0.25">
      <c r="A3801" s="303" t="s">
        <v>10957</v>
      </c>
      <c r="B3801" s="303" t="str">
        <f t="shared" si="59"/>
        <v>x12001520</v>
      </c>
      <c r="C3801" t="s">
        <v>4</v>
      </c>
      <c r="D3801" t="s">
        <v>10958</v>
      </c>
      <c r="E3801">
        <v>12</v>
      </c>
      <c r="F3801" t="str">
        <f>IF(AND(Entities[[#This Row],[ENT_TYPE]]="County",RIGHT(Entities[[#This Row],[ENT_NAME]],6)&lt;&gt;"County"),_xlfn.TEXTJOIN(" ",TRUE,Entities[[#This Row],[ENT_NAME]],"County"),Entities[[#This Row],[ENT_NAME]])</f>
        <v>Flying L PUD</v>
      </c>
    </row>
    <row r="3802" spans="1:6" x14ac:dyDescent="0.25">
      <c r="A3802" s="303" t="s">
        <v>10959</v>
      </c>
      <c r="B3802" s="303" t="str">
        <f t="shared" si="59"/>
        <v>x12001521</v>
      </c>
      <c r="C3802" t="s">
        <v>4</v>
      </c>
      <c r="D3802" t="s">
        <v>10960</v>
      </c>
      <c r="E3802">
        <v>12</v>
      </c>
      <c r="F3802" t="str">
        <f>IF(AND(Entities[[#This Row],[ENT_TYPE]]="County",RIGHT(Entities[[#This Row],[ENT_NAME]],6)&lt;&gt;"County"),_xlfn.TEXTJOIN(" ",TRUE,Entities[[#This Row],[ENT_NAME]],"County"),Entities[[#This Row],[ENT_NAME]])</f>
        <v>Bandera County FWSD 1</v>
      </c>
    </row>
    <row r="3803" spans="1:6" x14ac:dyDescent="0.25">
      <c r="A3803" s="303" t="s">
        <v>10961</v>
      </c>
      <c r="B3803" s="303" t="str">
        <f t="shared" si="59"/>
        <v>x12001530</v>
      </c>
      <c r="C3803" t="s">
        <v>4</v>
      </c>
      <c r="D3803" t="s">
        <v>10962</v>
      </c>
      <c r="E3803">
        <v>12</v>
      </c>
      <c r="F3803" t="str">
        <f>IF(AND(Entities[[#This Row],[ENT_TYPE]]="County",RIGHT(Entities[[#This Row],[ENT_NAME]],6)&lt;&gt;"County"),_xlfn.TEXTJOIN(" ",TRUE,Entities[[#This Row],[ENT_NAME]],"County"),Entities[[#This Row],[ENT_NAME]])</f>
        <v>Northeast Medina County WCID 1</v>
      </c>
    </row>
    <row r="3804" spans="1:6" x14ac:dyDescent="0.25">
      <c r="A3804" s="303" t="s">
        <v>10963</v>
      </c>
      <c r="B3804" s="303" t="str">
        <f t="shared" si="59"/>
        <v>x12001578</v>
      </c>
      <c r="C3804" t="s">
        <v>4</v>
      </c>
      <c r="D3804" t="s">
        <v>10964</v>
      </c>
      <c r="E3804">
        <v>12</v>
      </c>
      <c r="F3804" t="str">
        <f>IF(AND(Entities[[#This Row],[ENT_TYPE]]="County",RIGHT(Entities[[#This Row],[ENT_NAME]],6)&lt;&gt;"County"),_xlfn.TEXTJOIN(" ",TRUE,Entities[[#This Row],[ENT_NAME]],"County"),Entities[[#This Row],[ENT_NAME]])</f>
        <v>Johnson Ranch MUD</v>
      </c>
    </row>
    <row r="3805" spans="1:6" x14ac:dyDescent="0.25">
      <c r="A3805" s="303" t="s">
        <v>10965</v>
      </c>
      <c r="B3805" s="303" t="str">
        <f t="shared" si="59"/>
        <v>x12001595</v>
      </c>
      <c r="C3805" t="s">
        <v>4</v>
      </c>
      <c r="D3805" t="s">
        <v>10966</v>
      </c>
      <c r="E3805">
        <v>12</v>
      </c>
      <c r="F3805" t="str">
        <f>IF(AND(Entities[[#This Row],[ENT_TYPE]]="County",RIGHT(Entities[[#This Row],[ENT_NAME]],6)&lt;&gt;"County"),_xlfn.TEXTJOIN(" ",TRUE,Entities[[#This Row],[ENT_NAME]],"County"),Entities[[#This Row],[ENT_NAME]])</f>
        <v>East Central SUD</v>
      </c>
    </row>
    <row r="3806" spans="1:6" x14ac:dyDescent="0.25">
      <c r="A3806" s="303" t="s">
        <v>10967</v>
      </c>
      <c r="B3806" s="303" t="str">
        <f t="shared" si="59"/>
        <v>x12001650</v>
      </c>
      <c r="C3806" t="s">
        <v>4</v>
      </c>
      <c r="D3806" t="s">
        <v>10968</v>
      </c>
      <c r="E3806">
        <v>12</v>
      </c>
      <c r="F3806" t="str">
        <f>IF(AND(Entities[[#This Row],[ENT_TYPE]]="County",RIGHT(Entities[[#This Row],[ENT_NAME]],6)&lt;&gt;"County"),_xlfn.TEXTJOIN(" ",TRUE,Entities[[#This Row],[ENT_NAME]],"County"),Entities[[#This Row],[ENT_NAME]])</f>
        <v>Espada Development District</v>
      </c>
    </row>
    <row r="3807" spans="1:6" x14ac:dyDescent="0.25">
      <c r="A3807" s="303" t="s">
        <v>10969</v>
      </c>
      <c r="B3807" s="303" t="str">
        <f t="shared" si="59"/>
        <v>x12002226</v>
      </c>
      <c r="C3807" t="s">
        <v>4</v>
      </c>
      <c r="D3807" t="s">
        <v>10970</v>
      </c>
      <c r="E3807">
        <v>12</v>
      </c>
      <c r="F3807" t="str">
        <f>IF(AND(Entities[[#This Row],[ENT_TYPE]]="County",RIGHT(Entities[[#This Row],[ENT_NAME]],6)&lt;&gt;"County"),_xlfn.TEXTJOIN(" ",TRUE,Entities[[#This Row],[ENT_NAME]],"County"),Entities[[#This Row],[ENT_NAME]])</f>
        <v>Kendall County WCID 4</v>
      </c>
    </row>
    <row r="3808" spans="1:6" x14ac:dyDescent="0.25">
      <c r="A3808" s="303" t="s">
        <v>10971</v>
      </c>
      <c r="B3808" s="303" t="str">
        <f t="shared" si="59"/>
        <v>x12002367</v>
      </c>
      <c r="C3808" t="s">
        <v>4</v>
      </c>
      <c r="D3808" t="s">
        <v>10972</v>
      </c>
      <c r="E3808">
        <v>12</v>
      </c>
      <c r="F3808" t="str">
        <f>IF(AND(Entities[[#This Row],[ENT_TYPE]]="County",RIGHT(Entities[[#This Row],[ENT_NAME]],6)&lt;&gt;"County"),_xlfn.TEXTJOIN(" ",TRUE,Entities[[#This Row],[ENT_NAME]],"County"),Entities[[#This Row],[ENT_NAME]])</f>
        <v>Kendall County WCID 3</v>
      </c>
    </row>
    <row r="3809" spans="1:6" x14ac:dyDescent="0.25">
      <c r="A3809" s="303" t="s">
        <v>10973</v>
      </c>
      <c r="B3809" s="303" t="str">
        <f t="shared" si="59"/>
        <v>x12002436</v>
      </c>
      <c r="C3809" t="s">
        <v>5458</v>
      </c>
      <c r="D3809" t="s">
        <v>10974</v>
      </c>
      <c r="E3809">
        <v>12</v>
      </c>
      <c r="F3809" t="str">
        <f>IF(AND(Entities[[#This Row],[ENT_TYPE]]="County",RIGHT(Entities[[#This Row],[ENT_NAME]],6)&lt;&gt;"County"),_xlfn.TEXTJOIN(" ",TRUE,Entities[[#This Row],[ENT_NAME]],"County"),Entities[[#This Row],[ENT_NAME]])</f>
        <v>Fair Oaks Ranch</v>
      </c>
    </row>
    <row r="3810" spans="1:6" x14ac:dyDescent="0.25">
      <c r="A3810" s="303" t="s">
        <v>10975</v>
      </c>
      <c r="B3810" s="303" t="str">
        <f t="shared" si="59"/>
        <v>x12002437</v>
      </c>
      <c r="C3810" t="s">
        <v>5458</v>
      </c>
      <c r="D3810" t="s">
        <v>10976</v>
      </c>
      <c r="E3810">
        <v>12</v>
      </c>
      <c r="F3810" t="str">
        <f>IF(AND(Entities[[#This Row],[ENT_TYPE]]="County",RIGHT(Entities[[#This Row],[ENT_NAME]],6)&lt;&gt;"County"),_xlfn.TEXTJOIN(" ",TRUE,Entities[[#This Row],[ENT_NAME]],"County"),Entities[[#This Row],[ENT_NAME]])</f>
        <v>Alamo Heights</v>
      </c>
    </row>
    <row r="3811" spans="1:6" x14ac:dyDescent="0.25">
      <c r="A3811" s="303" t="s">
        <v>10977</v>
      </c>
      <c r="B3811" s="303" t="str">
        <f t="shared" si="59"/>
        <v>x12002438</v>
      </c>
      <c r="C3811" t="s">
        <v>5458</v>
      </c>
      <c r="D3811" t="s">
        <v>10978</v>
      </c>
      <c r="E3811">
        <v>12</v>
      </c>
      <c r="F3811" t="str">
        <f>IF(AND(Entities[[#This Row],[ENT_TYPE]]="County",RIGHT(Entities[[#This Row],[ENT_NAME]],6)&lt;&gt;"County"),_xlfn.TEXTJOIN(" ",TRUE,Entities[[#This Row],[ENT_NAME]],"County"),Entities[[#This Row],[ENT_NAME]])</f>
        <v>Balcones Heights</v>
      </c>
    </row>
    <row r="3812" spans="1:6" x14ac:dyDescent="0.25">
      <c r="A3812" s="303" t="s">
        <v>10979</v>
      </c>
      <c r="B3812" s="303" t="str">
        <f t="shared" si="59"/>
        <v>x12002439</v>
      </c>
      <c r="C3812" t="s">
        <v>5458</v>
      </c>
      <c r="D3812" t="s">
        <v>10980</v>
      </c>
      <c r="E3812">
        <v>12</v>
      </c>
      <c r="F3812" t="str">
        <f>IF(AND(Entities[[#This Row],[ENT_TYPE]]="County",RIGHT(Entities[[#This Row],[ENT_NAME]],6)&lt;&gt;"County"),_xlfn.TEXTJOIN(" ",TRUE,Entities[[#This Row],[ENT_NAME]],"County"),Entities[[#This Row],[ENT_NAME]])</f>
        <v>Castle Hills</v>
      </c>
    </row>
    <row r="3813" spans="1:6" x14ac:dyDescent="0.25">
      <c r="A3813" s="303" t="s">
        <v>10981</v>
      </c>
      <c r="B3813" s="303" t="str">
        <f t="shared" si="59"/>
        <v>x12002440</v>
      </c>
      <c r="C3813" t="s">
        <v>5458</v>
      </c>
      <c r="D3813" t="s">
        <v>10982</v>
      </c>
      <c r="E3813">
        <v>12</v>
      </c>
      <c r="F3813" t="str">
        <f>IF(AND(Entities[[#This Row],[ENT_TYPE]]="County",RIGHT(Entities[[#This Row],[ENT_NAME]],6)&lt;&gt;"County"),_xlfn.TEXTJOIN(" ",TRUE,Entities[[#This Row],[ENT_NAME]],"County"),Entities[[#This Row],[ENT_NAME]])</f>
        <v>China Grove</v>
      </c>
    </row>
    <row r="3814" spans="1:6" x14ac:dyDescent="0.25">
      <c r="A3814" s="303" t="s">
        <v>10983</v>
      </c>
      <c r="B3814" s="303" t="str">
        <f t="shared" si="59"/>
        <v>x12002441</v>
      </c>
      <c r="C3814" t="s">
        <v>5458</v>
      </c>
      <c r="D3814" t="s">
        <v>10984</v>
      </c>
      <c r="E3814">
        <v>12</v>
      </c>
      <c r="F3814" t="str">
        <f>IF(AND(Entities[[#This Row],[ENT_TYPE]]="County",RIGHT(Entities[[#This Row],[ENT_NAME]],6)&lt;&gt;"County"),_xlfn.TEXTJOIN(" ",TRUE,Entities[[#This Row],[ENT_NAME]],"County"),Entities[[#This Row],[ENT_NAME]])</f>
        <v>Converse</v>
      </c>
    </row>
    <row r="3815" spans="1:6" x14ac:dyDescent="0.25">
      <c r="A3815" s="303" t="s">
        <v>10985</v>
      </c>
      <c r="B3815" s="303" t="str">
        <f t="shared" si="59"/>
        <v>x12002442</v>
      </c>
      <c r="C3815" t="s">
        <v>5458</v>
      </c>
      <c r="D3815" t="s">
        <v>10986</v>
      </c>
      <c r="E3815">
        <v>12</v>
      </c>
      <c r="F3815" t="str">
        <f>IF(AND(Entities[[#This Row],[ENT_TYPE]]="County",RIGHT(Entities[[#This Row],[ENT_NAME]],6)&lt;&gt;"County"),_xlfn.TEXTJOIN(" ",TRUE,Entities[[#This Row],[ENT_NAME]],"County"),Entities[[#This Row],[ENT_NAME]])</f>
        <v>Elmendorf</v>
      </c>
    </row>
    <row r="3816" spans="1:6" x14ac:dyDescent="0.25">
      <c r="A3816" s="303" t="s">
        <v>10987</v>
      </c>
      <c r="B3816" s="303" t="str">
        <f t="shared" si="59"/>
        <v>x12002475</v>
      </c>
      <c r="C3816" t="s">
        <v>5458</v>
      </c>
      <c r="D3816" t="s">
        <v>10988</v>
      </c>
      <c r="E3816">
        <v>12</v>
      </c>
      <c r="F3816" t="str">
        <f>IF(AND(Entities[[#This Row],[ENT_TYPE]]="County",RIGHT(Entities[[#This Row],[ENT_NAME]],6)&lt;&gt;"County"),_xlfn.TEXTJOIN(" ",TRUE,Entities[[#This Row],[ENT_NAME]],"County"),Entities[[#This Row],[ENT_NAME]])</f>
        <v>Terrell Hills</v>
      </c>
    </row>
    <row r="3817" spans="1:6" x14ac:dyDescent="0.25">
      <c r="A3817" s="303" t="s">
        <v>10989</v>
      </c>
      <c r="B3817" s="303" t="str">
        <f t="shared" si="59"/>
        <v>x12002476</v>
      </c>
      <c r="C3817" t="s">
        <v>5458</v>
      </c>
      <c r="D3817" t="s">
        <v>10990</v>
      </c>
      <c r="E3817">
        <v>12</v>
      </c>
      <c r="F3817" t="str">
        <f>IF(AND(Entities[[#This Row],[ENT_TYPE]]="County",RIGHT(Entities[[#This Row],[ENT_NAME]],6)&lt;&gt;"County"),_xlfn.TEXTJOIN(" ",TRUE,Entities[[#This Row],[ENT_NAME]],"County"),Entities[[#This Row],[ENT_NAME]])</f>
        <v>Windcrest</v>
      </c>
    </row>
    <row r="3818" spans="1:6" x14ac:dyDescent="0.25">
      <c r="A3818" s="303" t="s">
        <v>10991</v>
      </c>
      <c r="B3818" s="303" t="str">
        <f t="shared" si="59"/>
        <v>x12002506</v>
      </c>
      <c r="C3818" t="s">
        <v>5458</v>
      </c>
      <c r="D3818" t="s">
        <v>10992</v>
      </c>
      <c r="E3818">
        <v>12</v>
      </c>
      <c r="F3818" t="str">
        <f>IF(AND(Entities[[#This Row],[ENT_TYPE]]="County",RIGHT(Entities[[#This Row],[ENT_NAME]],6)&lt;&gt;"County"),_xlfn.TEXTJOIN(" ",TRUE,Entities[[#This Row],[ENT_NAME]],"County"),Entities[[#This Row],[ENT_NAME]])</f>
        <v>Grey Forest</v>
      </c>
    </row>
    <row r="3819" spans="1:6" x14ac:dyDescent="0.25">
      <c r="A3819" s="303" t="s">
        <v>10993</v>
      </c>
      <c r="B3819" s="303" t="str">
        <f t="shared" si="59"/>
        <v>x12002507</v>
      </c>
      <c r="C3819" t="s">
        <v>5458</v>
      </c>
      <c r="D3819" t="s">
        <v>10994</v>
      </c>
      <c r="E3819">
        <v>12</v>
      </c>
      <c r="F3819" t="str">
        <f>IF(AND(Entities[[#This Row],[ENT_TYPE]]="County",RIGHT(Entities[[#This Row],[ENT_NAME]],6)&lt;&gt;"County"),_xlfn.TEXTJOIN(" ",TRUE,Entities[[#This Row],[ENT_NAME]],"County"),Entities[[#This Row],[ENT_NAME]])</f>
        <v>Hill Country Village</v>
      </c>
    </row>
    <row r="3820" spans="1:6" x14ac:dyDescent="0.25">
      <c r="A3820" s="303" t="s">
        <v>10995</v>
      </c>
      <c r="B3820" s="303" t="str">
        <f t="shared" si="59"/>
        <v>x12002508</v>
      </c>
      <c r="C3820" t="s">
        <v>5458</v>
      </c>
      <c r="D3820" t="s">
        <v>10996</v>
      </c>
      <c r="E3820">
        <v>12</v>
      </c>
      <c r="F3820" t="str">
        <f>IF(AND(Entities[[#This Row],[ENT_TYPE]]="County",RIGHT(Entities[[#This Row],[ENT_NAME]],6)&lt;&gt;"County"),_xlfn.TEXTJOIN(" ",TRUE,Entities[[#This Row],[ENT_NAME]],"County"),Entities[[#This Row],[ENT_NAME]])</f>
        <v>Hollywood Park</v>
      </c>
    </row>
    <row r="3821" spans="1:6" x14ac:dyDescent="0.25">
      <c r="A3821" s="303" t="s">
        <v>10997</v>
      </c>
      <c r="B3821" s="303" t="str">
        <f t="shared" si="59"/>
        <v>x12002510</v>
      </c>
      <c r="C3821" t="s">
        <v>5458</v>
      </c>
      <c r="D3821" t="s">
        <v>10998</v>
      </c>
      <c r="E3821">
        <v>12</v>
      </c>
      <c r="F3821" t="str">
        <f>IF(AND(Entities[[#This Row],[ENT_TYPE]]="County",RIGHT(Entities[[#This Row],[ENT_NAME]],6)&lt;&gt;"County"),_xlfn.TEXTJOIN(" ",TRUE,Entities[[#This Row],[ENT_NAME]],"County"),Entities[[#This Row],[ENT_NAME]])</f>
        <v>Kirby</v>
      </c>
    </row>
    <row r="3822" spans="1:6" x14ac:dyDescent="0.25">
      <c r="A3822" s="303" t="s">
        <v>10999</v>
      </c>
      <c r="B3822" s="303" t="str">
        <f t="shared" si="59"/>
        <v>x12002511</v>
      </c>
      <c r="C3822" t="s">
        <v>5458</v>
      </c>
      <c r="D3822" t="s">
        <v>11000</v>
      </c>
      <c r="E3822">
        <v>12</v>
      </c>
      <c r="F3822" t="str">
        <f>IF(AND(Entities[[#This Row],[ENT_TYPE]]="County",RIGHT(Entities[[#This Row],[ENT_NAME]],6)&lt;&gt;"County"),_xlfn.TEXTJOIN(" ",TRUE,Entities[[#This Row],[ENT_NAME]],"County"),Entities[[#This Row],[ENT_NAME]])</f>
        <v>Leon Valley</v>
      </c>
    </row>
    <row r="3823" spans="1:6" x14ac:dyDescent="0.25">
      <c r="A3823" s="303" t="s">
        <v>11001</v>
      </c>
      <c r="B3823" s="303" t="str">
        <f t="shared" si="59"/>
        <v>x12002512</v>
      </c>
      <c r="C3823" t="s">
        <v>5458</v>
      </c>
      <c r="D3823" t="s">
        <v>11002</v>
      </c>
      <c r="E3823">
        <v>12</v>
      </c>
      <c r="F3823" t="str">
        <f>IF(AND(Entities[[#This Row],[ENT_TYPE]]="County",RIGHT(Entities[[#This Row],[ENT_NAME]],6)&lt;&gt;"County"),_xlfn.TEXTJOIN(" ",TRUE,Entities[[#This Row],[ENT_NAME]],"County"),Entities[[#This Row],[ENT_NAME]])</f>
        <v>Live Oak</v>
      </c>
    </row>
    <row r="3824" spans="1:6" x14ac:dyDescent="0.25">
      <c r="A3824" s="303" t="s">
        <v>3454</v>
      </c>
      <c r="B3824" s="303" t="str">
        <f t="shared" si="59"/>
        <v>x12002756</v>
      </c>
      <c r="C3824" t="s">
        <v>5458</v>
      </c>
      <c r="D3824" t="s">
        <v>11003</v>
      </c>
      <c r="E3824">
        <v>12</v>
      </c>
      <c r="F3824" t="str">
        <f>IF(AND(Entities[[#This Row],[ENT_TYPE]]="County",RIGHT(Entities[[#This Row],[ENT_NAME]],6)&lt;&gt;"County"),_xlfn.TEXTJOIN(" ",TRUE,Entities[[#This Row],[ENT_NAME]],"County"),Entities[[#This Row],[ENT_NAME]])</f>
        <v>Karnes City</v>
      </c>
    </row>
    <row r="3825" spans="1:6" x14ac:dyDescent="0.25">
      <c r="A3825" s="303" t="s">
        <v>3467</v>
      </c>
      <c r="B3825" s="303" t="str">
        <f t="shared" si="59"/>
        <v>x12002757</v>
      </c>
      <c r="C3825" t="s">
        <v>5458</v>
      </c>
      <c r="D3825" t="s">
        <v>11004</v>
      </c>
      <c r="E3825">
        <v>12</v>
      </c>
      <c r="F3825" t="str">
        <f>IF(AND(Entities[[#This Row],[ENT_TYPE]]="County",RIGHT(Entities[[#This Row],[ENT_NAME]],6)&lt;&gt;"County"),_xlfn.TEXTJOIN(" ",TRUE,Entities[[#This Row],[ENT_NAME]],"County"),Entities[[#This Row],[ENT_NAME]])</f>
        <v>Runge</v>
      </c>
    </row>
    <row r="3826" spans="1:6" x14ac:dyDescent="0.25">
      <c r="A3826" s="303" t="s">
        <v>11005</v>
      </c>
      <c r="B3826" s="303" t="str">
        <f t="shared" si="59"/>
        <v>x12002855</v>
      </c>
      <c r="C3826" t="s">
        <v>5458</v>
      </c>
      <c r="D3826" t="s">
        <v>11006</v>
      </c>
      <c r="E3826">
        <v>12</v>
      </c>
      <c r="F3826" t="str">
        <f>IF(AND(Entities[[#This Row],[ENT_TYPE]]="County",RIGHT(Entities[[#This Row],[ENT_NAME]],6)&lt;&gt;"County"),_xlfn.TEXTJOIN(" ",TRUE,Entities[[#This Row],[ENT_NAME]],"County"),Entities[[#This Row],[ENT_NAME]])</f>
        <v>Boerne</v>
      </c>
    </row>
    <row r="3827" spans="1:6" x14ac:dyDescent="0.25">
      <c r="A3827" s="303" t="s">
        <v>11007</v>
      </c>
      <c r="B3827" s="303" t="str">
        <f t="shared" si="59"/>
        <v>x12002889</v>
      </c>
      <c r="C3827" t="s">
        <v>5458</v>
      </c>
      <c r="D3827" t="s">
        <v>11008</v>
      </c>
      <c r="E3827">
        <v>12</v>
      </c>
      <c r="F3827" t="str">
        <f>IF(AND(Entities[[#This Row],[ENT_TYPE]]="County",RIGHT(Entities[[#This Row],[ENT_NAME]],6)&lt;&gt;"County"),_xlfn.TEXTJOIN(" ",TRUE,Entities[[#This Row],[ENT_NAME]],"County"),Entities[[#This Row],[ENT_NAME]])</f>
        <v>Olmos Park</v>
      </c>
    </row>
    <row r="3828" spans="1:6" x14ac:dyDescent="0.25">
      <c r="A3828" s="303" t="s">
        <v>3551</v>
      </c>
      <c r="B3828" s="303" t="str">
        <f t="shared" si="59"/>
        <v>x12002925</v>
      </c>
      <c r="C3828" t="s">
        <v>5458</v>
      </c>
      <c r="D3828" t="s">
        <v>11009</v>
      </c>
      <c r="E3828">
        <v>12</v>
      </c>
      <c r="F3828" t="str">
        <f>IF(AND(Entities[[#This Row],[ENT_TYPE]]="County",RIGHT(Entities[[#This Row],[ENT_NAME]],6)&lt;&gt;"County"),_xlfn.TEXTJOIN(" ",TRUE,Entities[[#This Row],[ENT_NAME]],"County"),Entities[[#This Row],[ENT_NAME]])</f>
        <v>Floresville</v>
      </c>
    </row>
    <row r="3829" spans="1:6" x14ac:dyDescent="0.25">
      <c r="A3829" s="303" t="s">
        <v>3533</v>
      </c>
      <c r="B3829" s="303" t="str">
        <f t="shared" si="59"/>
        <v>x12002954</v>
      </c>
      <c r="C3829" t="s">
        <v>5458</v>
      </c>
      <c r="D3829" t="s">
        <v>11010</v>
      </c>
      <c r="E3829">
        <v>12</v>
      </c>
      <c r="F3829" t="str">
        <f>IF(AND(Entities[[#This Row],[ENT_TYPE]]="County",RIGHT(Entities[[#This Row],[ENT_NAME]],6)&lt;&gt;"County"),_xlfn.TEXTJOIN(" ",TRUE,Entities[[#This Row],[ENT_NAME]],"County"),Entities[[#This Row],[ENT_NAME]])</f>
        <v>LaCoste</v>
      </c>
    </row>
    <row r="3830" spans="1:6" x14ac:dyDescent="0.25">
      <c r="A3830" s="303" t="s">
        <v>11011</v>
      </c>
      <c r="B3830" s="303" t="str">
        <f t="shared" si="59"/>
        <v>x12002966</v>
      </c>
      <c r="C3830" t="s">
        <v>5458</v>
      </c>
      <c r="D3830" t="s">
        <v>1647</v>
      </c>
      <c r="E3830">
        <v>12</v>
      </c>
      <c r="F3830" t="str">
        <f>IF(AND(Entities[[#This Row],[ENT_TYPE]]="County",RIGHT(Entities[[#This Row],[ENT_NAME]],6)&lt;&gt;"County"),_xlfn.TEXTJOIN(" ",TRUE,Entities[[#This Row],[ENT_NAME]],"County"),Entities[[#This Row],[ENT_NAME]])</f>
        <v>Marion</v>
      </c>
    </row>
    <row r="3831" spans="1:6" x14ac:dyDescent="0.25">
      <c r="A3831" s="303" t="s">
        <v>11012</v>
      </c>
      <c r="B3831" s="303" t="str">
        <f t="shared" si="59"/>
        <v>x12002967</v>
      </c>
      <c r="C3831" t="s">
        <v>5458</v>
      </c>
      <c r="D3831" t="s">
        <v>11013</v>
      </c>
      <c r="E3831">
        <v>12</v>
      </c>
      <c r="F3831" t="str">
        <f>IF(AND(Entities[[#This Row],[ENT_TYPE]]="County",RIGHT(Entities[[#This Row],[ENT_NAME]],6)&lt;&gt;"County"),_xlfn.TEXTJOIN(" ",TRUE,Entities[[#This Row],[ENT_NAME]],"County"),Entities[[#This Row],[ENT_NAME]])</f>
        <v>Universal City</v>
      </c>
    </row>
    <row r="3832" spans="1:6" x14ac:dyDescent="0.25">
      <c r="A3832" s="303" t="s">
        <v>3442</v>
      </c>
      <c r="B3832" s="303" t="str">
        <f t="shared" si="59"/>
        <v>x12002974</v>
      </c>
      <c r="C3832" t="s">
        <v>5458</v>
      </c>
      <c r="D3832" t="s">
        <v>11014</v>
      </c>
      <c r="E3832">
        <v>12</v>
      </c>
      <c r="F3832" t="str">
        <f>IF(AND(Entities[[#This Row],[ENT_TYPE]]="County",RIGHT(Entities[[#This Row],[ENT_NAME]],6)&lt;&gt;"County"),_xlfn.TEXTJOIN(" ",TRUE,Entities[[#This Row],[ENT_NAME]],"County"),Entities[[#This Row],[ENT_NAME]])</f>
        <v>Falls City</v>
      </c>
    </row>
    <row r="3833" spans="1:6" x14ac:dyDescent="0.25">
      <c r="A3833" s="303" t="s">
        <v>3461</v>
      </c>
      <c r="B3833" s="303" t="str">
        <f t="shared" si="59"/>
        <v>x12002975</v>
      </c>
      <c r="C3833" t="s">
        <v>5458</v>
      </c>
      <c r="D3833" t="s">
        <v>5009</v>
      </c>
      <c r="E3833">
        <v>12</v>
      </c>
      <c r="F3833" t="str">
        <f>IF(AND(Entities[[#This Row],[ENT_TYPE]]="County",RIGHT(Entities[[#This Row],[ENT_NAME]],6)&lt;&gt;"County"),_xlfn.TEXTJOIN(" ",TRUE,Entities[[#This Row],[ENT_NAME]],"County"),Entities[[#This Row],[ENT_NAME]])</f>
        <v>Kenedy</v>
      </c>
    </row>
    <row r="3834" spans="1:6" x14ac:dyDescent="0.25">
      <c r="A3834" s="303" t="s">
        <v>11015</v>
      </c>
      <c r="B3834" s="303" t="str">
        <f t="shared" si="59"/>
        <v>x12002986</v>
      </c>
      <c r="C3834" t="s">
        <v>5458</v>
      </c>
      <c r="D3834" t="s">
        <v>5019</v>
      </c>
      <c r="E3834">
        <v>12</v>
      </c>
      <c r="F3834" t="str">
        <f>IF(AND(Entities[[#This Row],[ENT_TYPE]]="County",RIGHT(Entities[[#This Row],[ENT_NAME]],6)&lt;&gt;"County"),_xlfn.TEXTJOIN(" ",TRUE,Entities[[#This Row],[ENT_NAME]],"County"),Entities[[#This Row],[ENT_NAME]])</f>
        <v>Goliad</v>
      </c>
    </row>
    <row r="3835" spans="1:6" x14ac:dyDescent="0.25">
      <c r="A3835" s="303" t="s">
        <v>11016</v>
      </c>
      <c r="B3835" s="303" t="str">
        <f t="shared" si="59"/>
        <v>x12003000</v>
      </c>
      <c r="C3835" t="s">
        <v>5458</v>
      </c>
      <c r="D3835" t="s">
        <v>11017</v>
      </c>
      <c r="E3835">
        <v>12</v>
      </c>
      <c r="F3835" t="str">
        <f>IF(AND(Entities[[#This Row],[ENT_TYPE]]="County",RIGHT(Entities[[#This Row],[ENT_NAME]],6)&lt;&gt;"County"),_xlfn.TEXTJOIN(" ",TRUE,Entities[[#This Row],[ENT_NAME]],"County"),Entities[[#This Row],[ENT_NAME]])</f>
        <v>Shavano Park</v>
      </c>
    </row>
    <row r="3836" spans="1:6" x14ac:dyDescent="0.25">
      <c r="A3836" s="303" t="s">
        <v>11018</v>
      </c>
      <c r="B3836" s="303" t="str">
        <f t="shared" si="59"/>
        <v>x12003002</v>
      </c>
      <c r="C3836" t="s">
        <v>5458</v>
      </c>
      <c r="D3836" t="s">
        <v>11019</v>
      </c>
      <c r="E3836">
        <v>12</v>
      </c>
      <c r="F3836" t="str">
        <f>IF(AND(Entities[[#This Row],[ENT_TYPE]]="County",RIGHT(Entities[[#This Row],[ENT_NAME]],6)&lt;&gt;"County"),_xlfn.TEXTJOIN(" ",TRUE,Entities[[#This Row],[ENT_NAME]],"County"),Entities[[#This Row],[ENT_NAME]])</f>
        <v>Helotes</v>
      </c>
    </row>
    <row r="3837" spans="1:6" x14ac:dyDescent="0.25">
      <c r="A3837" s="303" t="s">
        <v>11020</v>
      </c>
      <c r="B3837" s="303" t="str">
        <f t="shared" si="59"/>
        <v>x12003003</v>
      </c>
      <c r="C3837" t="s">
        <v>5458</v>
      </c>
      <c r="D3837" t="s">
        <v>11021</v>
      </c>
      <c r="E3837">
        <v>12</v>
      </c>
      <c r="F3837" t="str">
        <f>IF(AND(Entities[[#This Row],[ENT_TYPE]]="County",RIGHT(Entities[[#This Row],[ENT_NAME]],6)&lt;&gt;"County"),_xlfn.TEXTJOIN(" ",TRUE,Entities[[#This Row],[ENT_NAME]],"County"),Entities[[#This Row],[ENT_NAME]])</f>
        <v>Somerset</v>
      </c>
    </row>
    <row r="3838" spans="1:6" x14ac:dyDescent="0.25">
      <c r="A3838" s="303" t="s">
        <v>11022</v>
      </c>
      <c r="B3838" s="303" t="str">
        <f t="shared" si="59"/>
        <v>x12003004</v>
      </c>
      <c r="C3838" t="s">
        <v>5458</v>
      </c>
      <c r="D3838" t="s">
        <v>11023</v>
      </c>
      <c r="E3838">
        <v>12</v>
      </c>
      <c r="F3838" t="str">
        <f>IF(AND(Entities[[#This Row],[ENT_TYPE]]="County",RIGHT(Entities[[#This Row],[ENT_NAME]],6)&lt;&gt;"County"),_xlfn.TEXTJOIN(" ",TRUE,Entities[[#This Row],[ENT_NAME]],"County"),Entities[[#This Row],[ENT_NAME]])</f>
        <v>St. Hedwig</v>
      </c>
    </row>
    <row r="3839" spans="1:6" x14ac:dyDescent="0.25">
      <c r="A3839" s="303" t="s">
        <v>11024</v>
      </c>
      <c r="B3839" s="303" t="str">
        <f t="shared" si="59"/>
        <v>x12003103</v>
      </c>
      <c r="C3839" t="s">
        <v>5458</v>
      </c>
      <c r="D3839" t="s">
        <v>11025</v>
      </c>
      <c r="E3839">
        <v>12</v>
      </c>
      <c r="F3839" t="str">
        <f>IF(AND(Entities[[#This Row],[ENT_TYPE]]="County",RIGHT(Entities[[#This Row],[ENT_NAME]],6)&lt;&gt;"County"),_xlfn.TEXTJOIN(" ",TRUE,Entities[[#This Row],[ENT_NAME]],"County"),Entities[[#This Row],[ENT_NAME]])</f>
        <v>Austwell</v>
      </c>
    </row>
    <row r="3840" spans="1:6" x14ac:dyDescent="0.25">
      <c r="A3840" s="303" t="s">
        <v>11026</v>
      </c>
      <c r="B3840" s="303" t="str">
        <f t="shared" si="59"/>
        <v>x12003175</v>
      </c>
      <c r="C3840" t="s">
        <v>5458</v>
      </c>
      <c r="D3840" t="s">
        <v>11027</v>
      </c>
      <c r="E3840">
        <v>12</v>
      </c>
      <c r="F3840" t="str">
        <f>IF(AND(Entities[[#This Row],[ENT_TYPE]]="County",RIGHT(Entities[[#This Row],[ENT_NAME]],6)&lt;&gt;"County"),_xlfn.TEXTJOIN(" ",TRUE,Entities[[#This Row],[ENT_NAME]],"County"),Entities[[#This Row],[ENT_NAME]])</f>
        <v>Seadrift</v>
      </c>
    </row>
    <row r="3841" spans="1:6" x14ac:dyDescent="0.25">
      <c r="A3841" s="303" t="s">
        <v>3542</v>
      </c>
      <c r="B3841" s="303" t="str">
        <f t="shared" si="59"/>
        <v>x12003180</v>
      </c>
      <c r="C3841" t="s">
        <v>5458</v>
      </c>
      <c r="D3841" t="s">
        <v>11028</v>
      </c>
      <c r="E3841">
        <v>12</v>
      </c>
      <c r="F3841" t="str">
        <f>IF(AND(Entities[[#This Row],[ENT_TYPE]]="County",RIGHT(Entities[[#This Row],[ENT_NAME]],6)&lt;&gt;"County"),_xlfn.TEXTJOIN(" ",TRUE,Entities[[#This Row],[ENT_NAME]],"County"),Entities[[#This Row],[ENT_NAME]])</f>
        <v>La Vernia</v>
      </c>
    </row>
    <row r="3842" spans="1:6" x14ac:dyDescent="0.25">
      <c r="A3842" s="303" t="s">
        <v>3478</v>
      </c>
      <c r="B3842" s="303" t="str">
        <f t="shared" ref="B3842:B3905" si="60">_xlfn.CONCAT("x",TEXT(A3842,"00000000"))</f>
        <v>x12003181</v>
      </c>
      <c r="C3842" t="s">
        <v>5458</v>
      </c>
      <c r="D3842" t="s">
        <v>11029</v>
      </c>
      <c r="E3842">
        <v>12</v>
      </c>
      <c r="F3842" t="str">
        <f>IF(AND(Entities[[#This Row],[ENT_TYPE]]="County",RIGHT(Entities[[#This Row],[ENT_NAME]],6)&lt;&gt;"County"),_xlfn.TEXTJOIN(" ",TRUE,Entities[[#This Row],[ENT_NAME]],"County"),Entities[[#This Row],[ENT_NAME]])</f>
        <v>Poth</v>
      </c>
    </row>
    <row r="3843" spans="1:6" x14ac:dyDescent="0.25">
      <c r="A3843" s="303" t="s">
        <v>11030</v>
      </c>
      <c r="B3843" s="303" t="str">
        <f t="shared" si="60"/>
        <v>x12003182</v>
      </c>
      <c r="C3843" t="s">
        <v>5458</v>
      </c>
      <c r="D3843" t="s">
        <v>11031</v>
      </c>
      <c r="E3843">
        <v>12</v>
      </c>
      <c r="F3843" t="str">
        <f>IF(AND(Entities[[#This Row],[ENT_TYPE]]="County",RIGHT(Entities[[#This Row],[ENT_NAME]],6)&lt;&gt;"County"),_xlfn.TEXTJOIN(" ",TRUE,Entities[[#This Row],[ENT_NAME]],"County"),Entities[[#This Row],[ENT_NAME]])</f>
        <v>Stockdale</v>
      </c>
    </row>
    <row r="3844" spans="1:6" x14ac:dyDescent="0.25">
      <c r="A3844" s="303" t="s">
        <v>11032</v>
      </c>
      <c r="B3844" s="303" t="str">
        <f t="shared" si="60"/>
        <v>x12003220</v>
      </c>
      <c r="C3844" t="s">
        <v>5458</v>
      </c>
      <c r="D3844" t="s">
        <v>11033</v>
      </c>
      <c r="E3844">
        <v>12</v>
      </c>
      <c r="F3844" t="str">
        <f>IF(AND(Entities[[#This Row],[ENT_TYPE]]="County",RIGHT(Entities[[#This Row],[ENT_NAME]],6)&lt;&gt;"County"),_xlfn.TEXTJOIN(" ",TRUE,Entities[[#This Row],[ENT_NAME]],"County"),Entities[[#This Row],[ENT_NAME]])</f>
        <v>Sandy Oaks</v>
      </c>
    </row>
    <row r="3845" spans="1:6" x14ac:dyDescent="0.25">
      <c r="A3845" s="303" t="s">
        <v>11034</v>
      </c>
      <c r="B3845" s="303" t="str">
        <f t="shared" si="60"/>
        <v>x12003258</v>
      </c>
      <c r="C3845" t="s">
        <v>5458</v>
      </c>
      <c r="D3845" t="s">
        <v>11035</v>
      </c>
      <c r="E3845">
        <v>12</v>
      </c>
      <c r="F3845" t="str">
        <f>IF(AND(Entities[[#This Row],[ENT_TYPE]]="County",RIGHT(Entities[[#This Row],[ENT_NAME]],6)&lt;&gt;"County"),_xlfn.TEXTJOIN(" ",TRUE,Entities[[#This Row],[ENT_NAME]],"County"),Entities[[#This Row],[ENT_NAME]])</f>
        <v>Selma</v>
      </c>
    </row>
    <row r="3846" spans="1:6" x14ac:dyDescent="0.25">
      <c r="A3846" s="303" t="s">
        <v>11036</v>
      </c>
      <c r="B3846" s="303" t="str">
        <f t="shared" si="60"/>
        <v>x12003318</v>
      </c>
      <c r="C3846" t="s">
        <v>5458</v>
      </c>
      <c r="D3846" t="s">
        <v>11037</v>
      </c>
      <c r="E3846">
        <v>12</v>
      </c>
      <c r="F3846" t="str">
        <f>IF(AND(Entities[[#This Row],[ENT_TYPE]]="County",RIGHT(Entities[[#This Row],[ENT_NAME]],6)&lt;&gt;"County"),_xlfn.TEXTJOIN(" ",TRUE,Entities[[#This Row],[ENT_NAME]],"County"),Entities[[#This Row],[ENT_NAME]])</f>
        <v>Von Ormy</v>
      </c>
    </row>
    <row r="3847" spans="1:6" x14ac:dyDescent="0.25">
      <c r="A3847" s="303" t="s">
        <v>11038</v>
      </c>
      <c r="B3847" s="303" t="str">
        <f t="shared" si="60"/>
        <v>x12003327</v>
      </c>
      <c r="C3847" t="s">
        <v>5458</v>
      </c>
      <c r="D3847" t="s">
        <v>3435</v>
      </c>
      <c r="E3847">
        <v>12</v>
      </c>
      <c r="F3847" t="str">
        <f>IF(AND(Entities[[#This Row],[ENT_TYPE]]="County",RIGHT(Entities[[#This Row],[ENT_NAME]],6)&lt;&gt;"County"),_xlfn.TEXTJOIN(" ",TRUE,Entities[[#This Row],[ENT_NAME]],"County"),Entities[[#This Row],[ENT_NAME]])</f>
        <v>San Antonio</v>
      </c>
    </row>
    <row r="3848" spans="1:6" x14ac:dyDescent="0.25">
      <c r="A3848" s="303" t="s">
        <v>11039</v>
      </c>
      <c r="B3848" s="303" t="str">
        <f t="shared" si="60"/>
        <v>x12003377</v>
      </c>
      <c r="C3848" t="s">
        <v>5458</v>
      </c>
      <c r="D3848" t="s">
        <v>11040</v>
      </c>
      <c r="E3848">
        <v>12</v>
      </c>
      <c r="F3848" t="str">
        <f>IF(AND(Entities[[#This Row],[ENT_TYPE]]="County",RIGHT(Entities[[#This Row],[ENT_NAME]],6)&lt;&gt;"County"),_xlfn.TEXTJOIN(" ",TRUE,Entities[[#This Row],[ENT_NAME]],"County"),Entities[[#This Row],[ENT_NAME]])</f>
        <v>Castroville</v>
      </c>
    </row>
    <row r="3849" spans="1:6" x14ac:dyDescent="0.25">
      <c r="A3849" s="303" t="s">
        <v>11041</v>
      </c>
      <c r="B3849" s="303" t="str">
        <f t="shared" si="60"/>
        <v>x12003414</v>
      </c>
      <c r="C3849" t="s">
        <v>5458</v>
      </c>
      <c r="D3849" t="s">
        <v>4955</v>
      </c>
      <c r="E3849">
        <v>12</v>
      </c>
      <c r="F3849" t="str">
        <f>IF(AND(Entities[[#This Row],[ENT_TYPE]]="County",RIGHT(Entities[[#This Row],[ENT_NAME]],6)&lt;&gt;"County"),_xlfn.TEXTJOIN(" ",TRUE,Entities[[#This Row],[ENT_NAME]],"County"),Entities[[#This Row],[ENT_NAME]])</f>
        <v>Bandera</v>
      </c>
    </row>
    <row r="3850" spans="1:6" x14ac:dyDescent="0.25">
      <c r="A3850" s="305" t="s">
        <v>3605</v>
      </c>
      <c r="B3850" s="303" t="str">
        <f t="shared" si="60"/>
        <v>x13000001</v>
      </c>
      <c r="C3850" t="s">
        <v>4947</v>
      </c>
      <c r="D3850" t="s">
        <v>11042</v>
      </c>
      <c r="E3850">
        <v>13</v>
      </c>
      <c r="F3850" t="str">
        <f>IF(AND(Entities[[#This Row],[ENT_TYPE]]="County",RIGHT(Entities[[#This Row],[ENT_NAME]],6)&lt;&gt;"County"),_xlfn.TEXTJOIN(" ",TRUE,Entities[[#This Row],[ENT_NAME]],"County"),Entities[[#This Row],[ENT_NAME]])</f>
        <v>Uvalde County</v>
      </c>
    </row>
    <row r="3851" spans="1:6" x14ac:dyDescent="0.25">
      <c r="A3851" s="305" t="s">
        <v>11043</v>
      </c>
      <c r="B3851" s="303" t="str">
        <f t="shared" si="60"/>
        <v>x13000077</v>
      </c>
      <c r="C3851" t="s">
        <v>4947</v>
      </c>
      <c r="D3851" t="s">
        <v>11044</v>
      </c>
      <c r="E3851">
        <v>13</v>
      </c>
      <c r="F3851" t="str">
        <f>IF(AND(Entities[[#This Row],[ENT_TYPE]]="County",RIGHT(Entities[[#This Row],[ENT_NAME]],6)&lt;&gt;"County"),_xlfn.TEXTJOIN(" ",TRUE,Entities[[#This Row],[ENT_NAME]],"County"),Entities[[#This Row],[ENT_NAME]])</f>
        <v>Kleberg County</v>
      </c>
    </row>
    <row r="3852" spans="1:6" x14ac:dyDescent="0.25">
      <c r="A3852" s="303" t="s">
        <v>11045</v>
      </c>
      <c r="B3852" s="303" t="str">
        <f t="shared" si="60"/>
        <v>x13000078</v>
      </c>
      <c r="C3852" t="s">
        <v>4947</v>
      </c>
      <c r="D3852" t="s">
        <v>3573</v>
      </c>
      <c r="E3852">
        <v>13</v>
      </c>
      <c r="F3852" t="str">
        <f>IF(AND(Entities[[#This Row],[ENT_TYPE]]="County",RIGHT(Entities[[#This Row],[ENT_NAME]],6)&lt;&gt;"County"),_xlfn.TEXTJOIN(" ",TRUE,Entities[[#This Row],[ENT_NAME]],"County"),Entities[[#This Row],[ENT_NAME]])</f>
        <v>Nueces County</v>
      </c>
    </row>
    <row r="3853" spans="1:6" x14ac:dyDescent="0.25">
      <c r="A3853" s="305" t="s">
        <v>3822</v>
      </c>
      <c r="B3853" s="303" t="str">
        <f t="shared" si="60"/>
        <v>x13000079</v>
      </c>
      <c r="C3853" t="s">
        <v>4947</v>
      </c>
      <c r="D3853" t="s">
        <v>3816</v>
      </c>
      <c r="E3853">
        <v>13</v>
      </c>
      <c r="F3853" t="str">
        <f>IF(AND(Entities[[#This Row],[ENT_TYPE]]="County",RIGHT(Entities[[#This Row],[ENT_NAME]],6)&lt;&gt;"County"),_xlfn.TEXTJOIN(" ",TRUE,Entities[[#This Row],[ENT_NAME]],"County"),Entities[[#This Row],[ENT_NAME]])</f>
        <v>Duval County</v>
      </c>
    </row>
    <row r="3854" spans="1:6" x14ac:dyDescent="0.25">
      <c r="A3854" s="303" t="s">
        <v>3663</v>
      </c>
      <c r="B3854" s="303" t="str">
        <f t="shared" si="60"/>
        <v>x13000080</v>
      </c>
      <c r="C3854" t="s">
        <v>4947</v>
      </c>
      <c r="D3854" t="s">
        <v>3647</v>
      </c>
      <c r="E3854">
        <v>13</v>
      </c>
      <c r="F3854" t="str">
        <f>IF(AND(Entities[[#This Row],[ENT_TYPE]]="County",RIGHT(Entities[[#This Row],[ENT_NAME]],6)&lt;&gt;"County"),_xlfn.TEXTJOIN(" ",TRUE,Entities[[#This Row],[ENT_NAME]],"County"),Entities[[#This Row],[ENT_NAME]])</f>
        <v>Jim Wells County</v>
      </c>
    </row>
    <row r="3855" spans="1:6" x14ac:dyDescent="0.25">
      <c r="A3855" s="305" t="s">
        <v>3712</v>
      </c>
      <c r="B3855" s="303" t="str">
        <f t="shared" si="60"/>
        <v>x13000081</v>
      </c>
      <c r="C3855" t="s">
        <v>4947</v>
      </c>
      <c r="D3855" t="s">
        <v>3727</v>
      </c>
      <c r="E3855">
        <v>13</v>
      </c>
      <c r="F3855" t="str">
        <f>IF(AND(Entities[[#This Row],[ENT_TYPE]]="County",RIGHT(Entities[[#This Row],[ENT_NAME]],6)&lt;&gt;"County"),_xlfn.TEXTJOIN(" ",TRUE,Entities[[#This Row],[ENT_NAME]],"County"),Entities[[#This Row],[ENT_NAME]])</f>
        <v>San Patricio County</v>
      </c>
    </row>
    <row r="3856" spans="1:6" x14ac:dyDescent="0.25">
      <c r="A3856" s="305" t="s">
        <v>11046</v>
      </c>
      <c r="B3856" s="303" t="str">
        <f t="shared" si="60"/>
        <v>x13000085</v>
      </c>
      <c r="C3856" t="s">
        <v>4947</v>
      </c>
      <c r="D3856" t="s">
        <v>11047</v>
      </c>
      <c r="E3856">
        <v>13</v>
      </c>
      <c r="F3856" t="str">
        <f>IF(AND(Entities[[#This Row],[ENT_TYPE]]="County",RIGHT(Entities[[#This Row],[ENT_NAME]],6)&lt;&gt;"County"),_xlfn.TEXTJOIN(" ",TRUE,Entities[[#This Row],[ENT_NAME]],"County"),Entities[[#This Row],[ENT_NAME]])</f>
        <v>La Salle County</v>
      </c>
    </row>
    <row r="3857" spans="1:6" x14ac:dyDescent="0.25">
      <c r="A3857" s="303" t="s">
        <v>11048</v>
      </c>
      <c r="B3857" s="303" t="str">
        <f t="shared" si="60"/>
        <v>x13000086</v>
      </c>
      <c r="C3857" t="s">
        <v>4947</v>
      </c>
      <c r="D3857" t="s">
        <v>11049</v>
      </c>
      <c r="E3857">
        <v>13</v>
      </c>
      <c r="F3857" t="str">
        <f>IF(AND(Entities[[#This Row],[ENT_TYPE]]="County",RIGHT(Entities[[#This Row],[ENT_NAME]],6)&lt;&gt;"County"),_xlfn.TEXTJOIN(" ",TRUE,Entities[[#This Row],[ENT_NAME]],"County"),Entities[[#This Row],[ENT_NAME]])</f>
        <v>McMullen County</v>
      </c>
    </row>
    <row r="3858" spans="1:6" x14ac:dyDescent="0.25">
      <c r="A3858" s="305" t="s">
        <v>11050</v>
      </c>
      <c r="B3858" s="303" t="str">
        <f t="shared" si="60"/>
        <v>x13000087</v>
      </c>
      <c r="C3858" t="s">
        <v>4947</v>
      </c>
      <c r="D3858" t="s">
        <v>11051</v>
      </c>
      <c r="E3858">
        <v>13</v>
      </c>
      <c r="F3858" t="str">
        <f>IF(AND(Entities[[#This Row],[ENT_TYPE]]="County",RIGHT(Entities[[#This Row],[ENT_NAME]],6)&lt;&gt;"County"),_xlfn.TEXTJOIN(" ",TRUE,Entities[[#This Row],[ENT_NAME]],"County"),Entities[[#This Row],[ENT_NAME]])</f>
        <v>Bee County</v>
      </c>
    </row>
    <row r="3859" spans="1:6" x14ac:dyDescent="0.25">
      <c r="A3859" s="303" t="s">
        <v>11052</v>
      </c>
      <c r="B3859" s="303" t="str">
        <f t="shared" si="60"/>
        <v>x13000089</v>
      </c>
      <c r="C3859" t="s">
        <v>4947</v>
      </c>
      <c r="D3859" t="s">
        <v>11002</v>
      </c>
      <c r="E3859">
        <v>13</v>
      </c>
      <c r="F3859" t="str">
        <f>IF(AND(Entities[[#This Row],[ENT_TYPE]]="County",RIGHT(Entities[[#This Row],[ENT_NAME]],6)&lt;&gt;"County"),_xlfn.TEXTJOIN(" ",TRUE,Entities[[#This Row],[ENT_NAME]],"County"),Entities[[#This Row],[ENT_NAME]])</f>
        <v>Live Oak County</v>
      </c>
    </row>
    <row r="3860" spans="1:6" x14ac:dyDescent="0.25">
      <c r="A3860" s="305" t="s">
        <v>11053</v>
      </c>
      <c r="B3860" s="303" t="str">
        <f t="shared" si="60"/>
        <v>x13000092</v>
      </c>
      <c r="C3860" t="s">
        <v>4947</v>
      </c>
      <c r="D3860" t="s">
        <v>11054</v>
      </c>
      <c r="E3860">
        <v>13</v>
      </c>
      <c r="F3860" t="str">
        <f>IF(AND(Entities[[#This Row],[ENT_TYPE]]="County",RIGHT(Entities[[#This Row],[ENT_NAME]],6)&lt;&gt;"County"),_xlfn.TEXTJOIN(" ",TRUE,Entities[[#This Row],[ENT_NAME]],"County"),Entities[[#This Row],[ENT_NAME]])</f>
        <v>Zavala County</v>
      </c>
    </row>
    <row r="3861" spans="1:6" x14ac:dyDescent="0.25">
      <c r="A3861" s="303" t="s">
        <v>11055</v>
      </c>
      <c r="B3861" s="303" t="str">
        <f t="shared" si="60"/>
        <v>x13000093</v>
      </c>
      <c r="C3861" t="s">
        <v>4947</v>
      </c>
      <c r="D3861" t="s">
        <v>11056</v>
      </c>
      <c r="E3861">
        <v>13</v>
      </c>
      <c r="F3861" t="str">
        <f>IF(AND(Entities[[#This Row],[ENT_TYPE]]="County",RIGHT(Entities[[#This Row],[ENT_NAME]],6)&lt;&gt;"County"),_xlfn.TEXTJOIN(" ",TRUE,Entities[[#This Row],[ENT_NAME]],"County"),Entities[[#This Row],[ENT_NAME]])</f>
        <v>Frio County</v>
      </c>
    </row>
    <row r="3862" spans="1:6" x14ac:dyDescent="0.25">
      <c r="A3862" s="303" t="s">
        <v>11057</v>
      </c>
      <c r="B3862" s="303" t="str">
        <f t="shared" si="60"/>
        <v>x13000381</v>
      </c>
      <c r="C3862" t="s">
        <v>4</v>
      </c>
      <c r="D3862" t="s">
        <v>11058</v>
      </c>
      <c r="E3862">
        <v>13</v>
      </c>
      <c r="F3862" t="str">
        <f>IF(AND(Entities[[#This Row],[ENT_TYPE]]="County",RIGHT(Entities[[#This Row],[ENT_NAME]],6)&lt;&gt;"County"),_xlfn.TEXTJOIN(" ",TRUE,Entities[[#This Row],[ENT_NAME]],"County"),Entities[[#This Row],[ENT_NAME]])</f>
        <v>Aransas County Navigation District</v>
      </c>
    </row>
    <row r="3863" spans="1:6" x14ac:dyDescent="0.25">
      <c r="A3863" s="305" t="s">
        <v>11059</v>
      </c>
      <c r="B3863" s="303" t="str">
        <f t="shared" si="60"/>
        <v>x13000384</v>
      </c>
      <c r="C3863" t="s">
        <v>4</v>
      </c>
      <c r="D3863" t="s">
        <v>11060</v>
      </c>
      <c r="E3863">
        <v>13</v>
      </c>
      <c r="F3863" t="str">
        <f>IF(AND(Entities[[#This Row],[ENT_TYPE]]="County",RIGHT(Entities[[#This Row],[ENT_NAME]],6)&lt;&gt;"County"),_xlfn.TEXTJOIN(" ",TRUE,Entities[[#This Row],[ENT_NAME]],"County"),Entities[[#This Row],[ENT_NAME]])</f>
        <v>Nueces County Bishop Driscoll Drainage District 3</v>
      </c>
    </row>
    <row r="3864" spans="1:6" x14ac:dyDescent="0.25">
      <c r="A3864" s="305" t="s">
        <v>11061</v>
      </c>
      <c r="B3864" s="303" t="str">
        <f t="shared" si="60"/>
        <v>x13000409</v>
      </c>
      <c r="C3864" t="s">
        <v>4</v>
      </c>
      <c r="D3864" t="s">
        <v>11062</v>
      </c>
      <c r="E3864">
        <v>13</v>
      </c>
      <c r="F3864" t="str">
        <f>IF(AND(Entities[[#This Row],[ENT_TYPE]]="County",RIGHT(Entities[[#This Row],[ENT_NAME]],6)&lt;&gt;"County"),_xlfn.TEXTJOIN(" ",TRUE,Entities[[#This Row],[ENT_NAME]],"County"),Entities[[#This Row],[ENT_NAME]])</f>
        <v>Port of Corpus Christi Authority</v>
      </c>
    </row>
    <row r="3865" spans="1:6" x14ac:dyDescent="0.25">
      <c r="A3865" s="303" t="s">
        <v>11063</v>
      </c>
      <c r="B3865" s="303" t="str">
        <f t="shared" si="60"/>
        <v>x13000576</v>
      </c>
      <c r="C3865" t="s">
        <v>4</v>
      </c>
      <c r="D3865" t="s">
        <v>11064</v>
      </c>
      <c r="E3865">
        <v>13</v>
      </c>
      <c r="F3865" t="str">
        <f>IF(AND(Entities[[#This Row],[ENT_TYPE]]="County",RIGHT(Entities[[#This Row],[ENT_NAME]],6)&lt;&gt;"County"),_xlfn.TEXTJOIN(" ",TRUE,Entities[[#This Row],[ENT_NAME]],"County"),Entities[[#This Row],[ENT_NAME]])</f>
        <v>San Patricio County Navigation District 1</v>
      </c>
    </row>
    <row r="3866" spans="1:6" x14ac:dyDescent="0.25">
      <c r="A3866" s="305" t="s">
        <v>11065</v>
      </c>
      <c r="B3866" s="303" t="str">
        <f t="shared" si="60"/>
        <v>x13000585</v>
      </c>
      <c r="C3866" t="s">
        <v>4</v>
      </c>
      <c r="D3866" t="s">
        <v>11066</v>
      </c>
      <c r="E3866">
        <v>13</v>
      </c>
      <c r="F3866" t="str">
        <f>IF(AND(Entities[[#This Row],[ENT_TYPE]]="County",RIGHT(Entities[[#This Row],[ENT_NAME]],6)&lt;&gt;"County"),_xlfn.TEXTJOIN(" ",TRUE,Entities[[#This Row],[ENT_NAME]],"County"),Entities[[#This Row],[ENT_NAME]])</f>
        <v>San Patricio County Drainage District</v>
      </c>
    </row>
    <row r="3867" spans="1:6" x14ac:dyDescent="0.25">
      <c r="A3867" s="303" t="s">
        <v>11067</v>
      </c>
      <c r="B3867" s="303" t="str">
        <f t="shared" si="60"/>
        <v>x13000586</v>
      </c>
      <c r="C3867" t="s">
        <v>4</v>
      </c>
      <c r="D3867" t="s">
        <v>11068</v>
      </c>
      <c r="E3867">
        <v>13</v>
      </c>
      <c r="F3867" t="str">
        <f>IF(AND(Entities[[#This Row],[ENT_TYPE]]="County",RIGHT(Entities[[#This Row],[ENT_NAME]],6)&lt;&gt;"County"),_xlfn.TEXTJOIN(" ",TRUE,Entities[[#This Row],[ENT_NAME]],"County"),Entities[[#This Row],[ENT_NAME]])</f>
        <v>San Patricio MWD</v>
      </c>
    </row>
    <row r="3868" spans="1:6" x14ac:dyDescent="0.25">
      <c r="A3868" s="305" t="s">
        <v>11069</v>
      </c>
      <c r="B3868" s="303" t="str">
        <f t="shared" si="60"/>
        <v>x13000674</v>
      </c>
      <c r="C3868" t="s">
        <v>4</v>
      </c>
      <c r="D3868" t="s">
        <v>11070</v>
      </c>
      <c r="E3868">
        <v>13</v>
      </c>
      <c r="F3868" t="str">
        <f>IF(AND(Entities[[#This Row],[ENT_TYPE]]="County",RIGHT(Entities[[#This Row],[ENT_NAME]],6)&lt;&gt;"County"),_xlfn.TEXTJOIN(" ",TRUE,Entities[[#This Row],[ENT_NAME]],"County"),Entities[[#This Row],[ENT_NAME]])</f>
        <v>Riviera WCID</v>
      </c>
    </row>
    <row r="3869" spans="1:6" x14ac:dyDescent="0.25">
      <c r="A3869" s="305" t="s">
        <v>11071</v>
      </c>
      <c r="B3869" s="303" t="str">
        <f t="shared" si="60"/>
        <v>x13000727</v>
      </c>
      <c r="C3869" t="s">
        <v>4</v>
      </c>
      <c r="D3869" t="s">
        <v>11072</v>
      </c>
      <c r="E3869">
        <v>13</v>
      </c>
      <c r="F3869" t="str">
        <f>IF(AND(Entities[[#This Row],[ENT_TYPE]]="County",RIGHT(Entities[[#This Row],[ENT_NAME]],6)&lt;&gt;"County"),_xlfn.TEXTJOIN(" ",TRUE,Entities[[#This Row],[ENT_NAME]],"County"),Entities[[#This Row],[ENT_NAME]])</f>
        <v>Aransas County WCID 1</v>
      </c>
    </row>
    <row r="3870" spans="1:6" x14ac:dyDescent="0.25">
      <c r="A3870" s="305" t="s">
        <v>11073</v>
      </c>
      <c r="B3870" s="303" t="str">
        <f t="shared" si="60"/>
        <v>x13000779</v>
      </c>
      <c r="C3870" t="s">
        <v>4</v>
      </c>
      <c r="D3870" t="s">
        <v>11074</v>
      </c>
      <c r="E3870">
        <v>13</v>
      </c>
      <c r="F3870" t="str">
        <f>IF(AND(Entities[[#This Row],[ENT_TYPE]]="County",RIGHT(Entities[[#This Row],[ENT_NAME]],6)&lt;&gt;"County"),_xlfn.TEXTJOIN(" ",TRUE,Entities[[#This Row],[ENT_NAME]],"County"),Entities[[#This Row],[ENT_NAME]])</f>
        <v>South Texas Water Authority</v>
      </c>
    </row>
    <row r="3871" spans="1:6" x14ac:dyDescent="0.25">
      <c r="A3871" s="303" t="s">
        <v>11075</v>
      </c>
      <c r="B3871" s="303" t="str">
        <f t="shared" si="60"/>
        <v>x13000842</v>
      </c>
      <c r="C3871" t="s">
        <v>4</v>
      </c>
      <c r="D3871" t="s">
        <v>11076</v>
      </c>
      <c r="E3871">
        <v>13</v>
      </c>
      <c r="F3871" t="str">
        <f>IF(AND(Entities[[#This Row],[ENT_TYPE]]="County",RIGHT(Entities[[#This Row],[ENT_NAME]],6)&lt;&gt;"County"),_xlfn.TEXTJOIN(" ",TRUE,Entities[[#This Row],[ENT_NAME]],"County"),Entities[[#This Row],[ENT_NAME]])</f>
        <v>Jim Wells County FWSD 1</v>
      </c>
    </row>
    <row r="3872" spans="1:6" x14ac:dyDescent="0.25">
      <c r="A3872" s="305" t="s">
        <v>11077</v>
      </c>
      <c r="B3872" s="303" t="str">
        <f t="shared" si="60"/>
        <v>x13000843</v>
      </c>
      <c r="C3872" t="s">
        <v>4</v>
      </c>
      <c r="D3872" t="s">
        <v>11078</v>
      </c>
      <c r="E3872">
        <v>13</v>
      </c>
      <c r="F3872" t="str">
        <f>IF(AND(Entities[[#This Row],[ENT_TYPE]]="County",RIGHT(Entities[[#This Row],[ENT_NAME]],6)&lt;&gt;"County"),_xlfn.TEXTJOIN(" ",TRUE,Entities[[#This Row],[ENT_NAME]],"County"),Entities[[#This Row],[ENT_NAME]])</f>
        <v>Jim Hogg County WCID  2</v>
      </c>
    </row>
    <row r="3873" spans="1:6" x14ac:dyDescent="0.25">
      <c r="A3873" s="303" t="s">
        <v>11079</v>
      </c>
      <c r="B3873" s="303" t="str">
        <f t="shared" si="60"/>
        <v>x13000851</v>
      </c>
      <c r="C3873" t="s">
        <v>4</v>
      </c>
      <c r="D3873" t="s">
        <v>11080</v>
      </c>
      <c r="E3873">
        <v>13</v>
      </c>
      <c r="F3873" t="str">
        <f>IF(AND(Entities[[#This Row],[ENT_TYPE]]="County",RIGHT(Entities[[#This Row],[ENT_NAME]],6)&lt;&gt;"County"),_xlfn.TEXTJOIN(" ",TRUE,Entities[[#This Row],[ENT_NAME]],"County"),Entities[[#This Row],[ENT_NAME]])</f>
        <v>Three Rivers Water District</v>
      </c>
    </row>
    <row r="3874" spans="1:6" x14ac:dyDescent="0.25">
      <c r="A3874" s="305" t="s">
        <v>11081</v>
      </c>
      <c r="B3874" s="303" t="str">
        <f t="shared" si="60"/>
        <v>x13000876</v>
      </c>
      <c r="C3874" t="s">
        <v>4</v>
      </c>
      <c r="D3874" t="s">
        <v>11082</v>
      </c>
      <c r="E3874">
        <v>13</v>
      </c>
      <c r="F3874" t="str">
        <f>IF(AND(Entities[[#This Row],[ENT_TYPE]]="County",RIGHT(Entities[[#This Row],[ENT_NAME]],6)&lt;&gt;"County"),_xlfn.TEXTJOIN(" ",TRUE,Entities[[#This Row],[ENT_NAME]],"County"),Entities[[#This Row],[ENT_NAME]])</f>
        <v>Padre Island Gateway Municipal Management District</v>
      </c>
    </row>
    <row r="3875" spans="1:6" x14ac:dyDescent="0.25">
      <c r="A3875" s="303" t="s">
        <v>11083</v>
      </c>
      <c r="B3875" s="303" t="str">
        <f t="shared" si="60"/>
        <v>x13000881</v>
      </c>
      <c r="C3875" t="s">
        <v>4</v>
      </c>
      <c r="D3875" t="s">
        <v>11084</v>
      </c>
      <c r="E3875">
        <v>13</v>
      </c>
      <c r="F3875" t="str">
        <f>IF(AND(Entities[[#This Row],[ENT_TYPE]]="County",RIGHT(Entities[[#This Row],[ENT_NAME]],6)&lt;&gt;"County"),_xlfn.TEXTJOIN(" ",TRUE,Entities[[#This Row],[ENT_NAME]],"County"),Entities[[#This Row],[ENT_NAME]])</f>
        <v>Aransas County MUD 1</v>
      </c>
    </row>
    <row r="3876" spans="1:6" x14ac:dyDescent="0.25">
      <c r="A3876" s="305" t="s">
        <v>11085</v>
      </c>
      <c r="B3876" s="303" t="str">
        <f t="shared" si="60"/>
        <v>x13000902</v>
      </c>
      <c r="C3876" t="s">
        <v>4</v>
      </c>
      <c r="D3876" t="s">
        <v>11086</v>
      </c>
      <c r="E3876">
        <v>13</v>
      </c>
      <c r="F3876" t="str">
        <f>IF(AND(Entities[[#This Row],[ENT_TYPE]]="County",RIGHT(Entities[[#This Row],[ENT_NAME]],6)&lt;&gt;"County"),_xlfn.TEXTJOIN(" ",TRUE,Entities[[#This Row],[ENT_NAME]],"County"),Entities[[#This Row],[ENT_NAME]])</f>
        <v>Zavala County WCID  1</v>
      </c>
    </row>
    <row r="3877" spans="1:6" x14ac:dyDescent="0.25">
      <c r="A3877" s="303" t="s">
        <v>11087</v>
      </c>
      <c r="B3877" s="303" t="str">
        <f t="shared" si="60"/>
        <v>x13000940</v>
      </c>
      <c r="C3877" t="s">
        <v>4</v>
      </c>
      <c r="D3877" t="s">
        <v>11088</v>
      </c>
      <c r="E3877">
        <v>13</v>
      </c>
      <c r="F3877" t="str">
        <f>IF(AND(Entities[[#This Row],[ENT_TYPE]]="County",RIGHT(Entities[[#This Row],[ENT_NAME]],6)&lt;&gt;"County"),_xlfn.TEXTJOIN(" ",TRUE,Entities[[#This Row],[ENT_NAME]],"County"),Entities[[#This Row],[ENT_NAME]])</f>
        <v>Nueces County Drainage &amp; Conservation District 2</v>
      </c>
    </row>
    <row r="3878" spans="1:6" x14ac:dyDescent="0.25">
      <c r="A3878" s="305" t="s">
        <v>11089</v>
      </c>
      <c r="B3878" s="303" t="str">
        <f t="shared" si="60"/>
        <v>x13000948</v>
      </c>
      <c r="C3878" t="s">
        <v>4</v>
      </c>
      <c r="D3878" t="s">
        <v>11090</v>
      </c>
      <c r="E3878">
        <v>13</v>
      </c>
      <c r="F3878" t="str">
        <f>IF(AND(Entities[[#This Row],[ENT_TYPE]]="County",RIGHT(Entities[[#This Row],[ENT_NAME]],6)&lt;&gt;"County"),_xlfn.TEXTJOIN(" ",TRUE,Entities[[#This Row],[ENT_NAME]],"County"),Entities[[#This Row],[ENT_NAME]])</f>
        <v>Medina County WCID 2</v>
      </c>
    </row>
    <row r="3879" spans="1:6" x14ac:dyDescent="0.25">
      <c r="A3879" s="303" t="s">
        <v>11091</v>
      </c>
      <c r="B3879" s="303" t="str">
        <f t="shared" si="60"/>
        <v>x13000949</v>
      </c>
      <c r="C3879" t="s">
        <v>4</v>
      </c>
      <c r="D3879" t="s">
        <v>11092</v>
      </c>
      <c r="E3879">
        <v>13</v>
      </c>
      <c r="F3879" t="str">
        <f>IF(AND(Entities[[#This Row],[ENT_TYPE]]="County",RIGHT(Entities[[#This Row],[ENT_NAME]],6)&lt;&gt;"County"),_xlfn.TEXTJOIN(" ",TRUE,Entities[[#This Row],[ENT_NAME]],"County"),Entities[[#This Row],[ENT_NAME]])</f>
        <v>McMullen County WCID 1</v>
      </c>
    </row>
    <row r="3880" spans="1:6" x14ac:dyDescent="0.25">
      <c r="A3880" s="303" t="s">
        <v>11093</v>
      </c>
      <c r="B3880" s="303" t="str">
        <f t="shared" si="60"/>
        <v>x13000972</v>
      </c>
      <c r="C3880" t="s">
        <v>4</v>
      </c>
      <c r="D3880" t="s">
        <v>11094</v>
      </c>
      <c r="E3880">
        <v>13</v>
      </c>
      <c r="F3880" t="str">
        <f>IF(AND(Entities[[#This Row],[ENT_TYPE]]="County",RIGHT(Entities[[#This Row],[ENT_NAME]],6)&lt;&gt;"County"),_xlfn.TEXTJOIN(" ",TRUE,Entities[[#This Row],[ENT_NAME]],"County"),Entities[[#This Row],[ENT_NAME]])</f>
        <v>San Patricio County MUD 1</v>
      </c>
    </row>
    <row r="3881" spans="1:6" x14ac:dyDescent="0.25">
      <c r="A3881" s="305" t="s">
        <v>11095</v>
      </c>
      <c r="B3881" s="303" t="str">
        <f t="shared" si="60"/>
        <v>x13000980</v>
      </c>
      <c r="C3881" t="s">
        <v>4</v>
      </c>
      <c r="D3881" t="s">
        <v>11096</v>
      </c>
      <c r="E3881">
        <v>13</v>
      </c>
      <c r="F3881" t="str">
        <f>IF(AND(Entities[[#This Row],[ENT_TYPE]]="County",RIGHT(Entities[[#This Row],[ENT_NAME]],6)&lt;&gt;"County"),_xlfn.TEXTJOIN(" ",TRUE,Entities[[#This Row],[ENT_NAME]],"County"),Entities[[#This Row],[ENT_NAME]])</f>
        <v>Nueces County WCID 5</v>
      </c>
    </row>
    <row r="3882" spans="1:6" x14ac:dyDescent="0.25">
      <c r="A3882" s="303" t="s">
        <v>11097</v>
      </c>
      <c r="B3882" s="303" t="str">
        <f t="shared" si="60"/>
        <v>x13000981</v>
      </c>
      <c r="C3882" t="s">
        <v>4</v>
      </c>
      <c r="D3882" t="s">
        <v>11098</v>
      </c>
      <c r="E3882">
        <v>13</v>
      </c>
      <c r="F3882" t="str">
        <f>IF(AND(Entities[[#This Row],[ENT_TYPE]]="County",RIGHT(Entities[[#This Row],[ENT_NAME]],6)&lt;&gt;"County"),_xlfn.TEXTJOIN(" ",TRUE,Entities[[#This Row],[ENT_NAME]],"County"),Entities[[#This Row],[ENT_NAME]])</f>
        <v>Nueces County WCID 4</v>
      </c>
    </row>
    <row r="3883" spans="1:6" x14ac:dyDescent="0.25">
      <c r="A3883" s="305" t="s">
        <v>11099</v>
      </c>
      <c r="B3883" s="303" t="str">
        <f t="shared" si="60"/>
        <v>x13000982</v>
      </c>
      <c r="C3883" t="s">
        <v>4</v>
      </c>
      <c r="D3883" t="s">
        <v>11100</v>
      </c>
      <c r="E3883">
        <v>13</v>
      </c>
      <c r="F3883" t="str">
        <f>IF(AND(Entities[[#This Row],[ENT_TYPE]]="County",RIGHT(Entities[[#This Row],[ENT_NAME]],6)&lt;&gt;"County"),_xlfn.TEXTJOIN(" ",TRUE,Entities[[#This Row],[ENT_NAME]],"County"),Entities[[#This Row],[ENT_NAME]])</f>
        <v>Nueces County WCID 3</v>
      </c>
    </row>
    <row r="3884" spans="1:6" x14ac:dyDescent="0.25">
      <c r="A3884" s="303" t="s">
        <v>11101</v>
      </c>
      <c r="B3884" s="303" t="str">
        <f t="shared" si="60"/>
        <v>x13001044</v>
      </c>
      <c r="C3884" t="s">
        <v>4</v>
      </c>
      <c r="D3884" t="s">
        <v>11102</v>
      </c>
      <c r="E3884">
        <v>13</v>
      </c>
      <c r="F3884" t="str">
        <f>IF(AND(Entities[[#This Row],[ENT_TYPE]]="County",RIGHT(Entities[[#This Row],[ENT_NAME]],6)&lt;&gt;"County"),_xlfn.TEXTJOIN(" ",TRUE,Entities[[#This Row],[ENT_NAME]],"County"),Entities[[#This Row],[ENT_NAME]])</f>
        <v>Lamar Improvement District</v>
      </c>
    </row>
    <row r="3885" spans="1:6" x14ac:dyDescent="0.25">
      <c r="A3885" s="305" t="s">
        <v>11103</v>
      </c>
      <c r="B3885" s="303" t="str">
        <f t="shared" si="60"/>
        <v>x13001487</v>
      </c>
      <c r="C3885" t="s">
        <v>4</v>
      </c>
      <c r="D3885" t="s">
        <v>11104</v>
      </c>
      <c r="E3885">
        <v>13</v>
      </c>
      <c r="F3885" t="str">
        <f>IF(AND(Entities[[#This Row],[ENT_TYPE]]="County",RIGHT(Entities[[#This Row],[ENT_NAME]],6)&lt;&gt;"County"),_xlfn.TEXTJOIN(" ",TRUE,Entities[[#This Row],[ENT_NAME]],"County"),Entities[[#This Row],[ENT_NAME]])</f>
        <v>Pettus MUD</v>
      </c>
    </row>
    <row r="3886" spans="1:6" x14ac:dyDescent="0.25">
      <c r="A3886" s="303" t="s">
        <v>11105</v>
      </c>
      <c r="B3886" s="303" t="str">
        <f t="shared" si="60"/>
        <v>x13001488</v>
      </c>
      <c r="C3886" t="s">
        <v>4</v>
      </c>
      <c r="D3886" t="s">
        <v>11106</v>
      </c>
      <c r="E3886">
        <v>13</v>
      </c>
      <c r="F3886" t="str">
        <f>IF(AND(Entities[[#This Row],[ENT_TYPE]]="County",RIGHT(Entities[[#This Row],[ENT_NAME]],6)&lt;&gt;"County"),_xlfn.TEXTJOIN(" ",TRUE,Entities[[#This Row],[ENT_NAME]],"County"),Entities[[#This Row],[ENT_NAME]])</f>
        <v>Beeville Water Supply District</v>
      </c>
    </row>
    <row r="3887" spans="1:6" x14ac:dyDescent="0.25">
      <c r="A3887" s="305" t="s">
        <v>11107</v>
      </c>
      <c r="B3887" s="303" t="str">
        <f t="shared" si="60"/>
        <v>x13001665</v>
      </c>
      <c r="C3887" t="s">
        <v>4</v>
      </c>
      <c r="D3887" t="s">
        <v>11108</v>
      </c>
      <c r="E3887">
        <v>13</v>
      </c>
      <c r="F3887" t="str">
        <f>IF(AND(Entities[[#This Row],[ENT_TYPE]]="County",RIGHT(Entities[[#This Row],[ENT_NAME]],6)&lt;&gt;"County"),_xlfn.TEXTJOIN(" ",TRUE,Entities[[#This Row],[ENT_NAME]],"County"),Entities[[#This Row],[ENT_NAME]])</f>
        <v>Freer WCID</v>
      </c>
    </row>
    <row r="3888" spans="1:6" x14ac:dyDescent="0.25">
      <c r="A3888" s="303" t="s">
        <v>11109</v>
      </c>
      <c r="B3888" s="303" t="str">
        <f t="shared" si="60"/>
        <v>x13001666</v>
      </c>
      <c r="C3888" t="s">
        <v>4</v>
      </c>
      <c r="D3888" t="s">
        <v>11110</v>
      </c>
      <c r="E3888">
        <v>13</v>
      </c>
      <c r="F3888" t="str">
        <f>IF(AND(Entities[[#This Row],[ENT_TYPE]]="County",RIGHT(Entities[[#This Row],[ENT_NAME]],6)&lt;&gt;"County"),_xlfn.TEXTJOIN(" ",TRUE,Entities[[#This Row],[ENT_NAME]],"County"),Entities[[#This Row],[ENT_NAME]])</f>
        <v>Duval County Conservation &amp; Reclamation District</v>
      </c>
    </row>
    <row r="3889" spans="1:6" x14ac:dyDescent="0.25">
      <c r="A3889" s="305" t="s">
        <v>11111</v>
      </c>
      <c r="B3889" s="303" t="str">
        <f t="shared" si="60"/>
        <v>x13001739</v>
      </c>
      <c r="C3889" t="s">
        <v>4</v>
      </c>
      <c r="D3889" t="s">
        <v>11112</v>
      </c>
      <c r="E3889">
        <v>13</v>
      </c>
      <c r="F3889" t="str">
        <f>IF(AND(Entities[[#This Row],[ENT_TYPE]]="County",RIGHT(Entities[[#This Row],[ENT_NAME]],6)&lt;&gt;"County"),_xlfn.TEXTJOIN(" ",TRUE,Entities[[#This Row],[ENT_NAME]],"County"),Entities[[#This Row],[ENT_NAME]])</f>
        <v>Corpus Christi Downtown Management District</v>
      </c>
    </row>
    <row r="3890" spans="1:6" x14ac:dyDescent="0.25">
      <c r="A3890" s="303" t="s">
        <v>11113</v>
      </c>
      <c r="B3890" s="303" t="str">
        <f t="shared" si="60"/>
        <v>x13001741</v>
      </c>
      <c r="C3890" t="s">
        <v>4</v>
      </c>
      <c r="D3890" t="s">
        <v>11114</v>
      </c>
      <c r="E3890">
        <v>13</v>
      </c>
      <c r="F3890" t="str">
        <f>IF(AND(Entities[[#This Row],[ENT_TYPE]]="County",RIGHT(Entities[[#This Row],[ENT_NAME]],6)&lt;&gt;"County"),_xlfn.TEXTJOIN(" ",TRUE,Entities[[#This Row],[ENT_NAME]],"County"),Entities[[#This Row],[ENT_NAME]])</f>
        <v>San Diego MUD 1</v>
      </c>
    </row>
    <row r="3891" spans="1:6" x14ac:dyDescent="0.25">
      <c r="A3891" s="305" t="s">
        <v>11115</v>
      </c>
      <c r="B3891" s="303" t="str">
        <f t="shared" si="60"/>
        <v>x13001788</v>
      </c>
      <c r="C3891" t="s">
        <v>4</v>
      </c>
      <c r="D3891" t="s">
        <v>11116</v>
      </c>
      <c r="E3891">
        <v>13</v>
      </c>
      <c r="F3891" t="str">
        <f>IF(AND(Entities[[#This Row],[ENT_TYPE]]="County",RIGHT(Entities[[#This Row],[ENT_NAME]],6)&lt;&gt;"County"),_xlfn.TEXTJOIN(" ",TRUE,Entities[[#This Row],[ENT_NAME]],"County"),Entities[[#This Row],[ENT_NAME]])</f>
        <v>Alice Water Authority</v>
      </c>
    </row>
    <row r="3892" spans="1:6" x14ac:dyDescent="0.25">
      <c r="A3892" s="303" t="s">
        <v>11117</v>
      </c>
      <c r="B3892" s="303" t="str">
        <f t="shared" si="60"/>
        <v>x13002378</v>
      </c>
      <c r="C3892" t="s">
        <v>5458</v>
      </c>
      <c r="D3892" t="s">
        <v>11118</v>
      </c>
      <c r="E3892">
        <v>13</v>
      </c>
      <c r="F3892" t="str">
        <f>IF(AND(Entities[[#This Row],[ENT_TYPE]]="County",RIGHT(Entities[[#This Row],[ENT_NAME]],6)&lt;&gt;"County"),_xlfn.TEXTJOIN(" ",TRUE,Entities[[#This Row],[ENT_NAME]],"County"),Entities[[#This Row],[ENT_NAME]])</f>
        <v>Kingsville</v>
      </c>
    </row>
    <row r="3893" spans="1:6" x14ac:dyDescent="0.25">
      <c r="A3893" s="305" t="s">
        <v>11119</v>
      </c>
      <c r="B3893" s="303" t="str">
        <f t="shared" si="60"/>
        <v>x13002388</v>
      </c>
      <c r="C3893" t="s">
        <v>5458</v>
      </c>
      <c r="D3893" t="s">
        <v>11120</v>
      </c>
      <c r="E3893">
        <v>13</v>
      </c>
      <c r="F3893" t="str">
        <f>IF(AND(Entities[[#This Row],[ENT_TYPE]]="County",RIGHT(Entities[[#This Row],[ENT_NAME]],6)&lt;&gt;"County"),_xlfn.TEXTJOIN(" ",TRUE,Entities[[#This Row],[ENT_NAME]],"County"),Entities[[#This Row],[ENT_NAME]])</f>
        <v>Bishop</v>
      </c>
    </row>
    <row r="3894" spans="1:6" x14ac:dyDescent="0.25">
      <c r="A3894" s="303" t="s">
        <v>11121</v>
      </c>
      <c r="B3894" s="303" t="str">
        <f t="shared" si="60"/>
        <v>x13002389</v>
      </c>
      <c r="C3894" t="s">
        <v>5458</v>
      </c>
      <c r="D3894" t="s">
        <v>11122</v>
      </c>
      <c r="E3894">
        <v>13</v>
      </c>
      <c r="F3894" t="str">
        <f>IF(AND(Entities[[#This Row],[ENT_TYPE]]="County",RIGHT(Entities[[#This Row],[ENT_NAME]],6)&lt;&gt;"County"),_xlfn.TEXTJOIN(" ",TRUE,Entities[[#This Row],[ENT_NAME]],"County"),Entities[[#This Row],[ENT_NAME]])</f>
        <v>Driscoll</v>
      </c>
    </row>
    <row r="3895" spans="1:6" x14ac:dyDescent="0.25">
      <c r="A3895" s="305" t="s">
        <v>11123</v>
      </c>
      <c r="B3895" s="303" t="str">
        <f t="shared" si="60"/>
        <v>x13002390</v>
      </c>
      <c r="C3895" t="s">
        <v>5458</v>
      </c>
      <c r="D3895" t="s">
        <v>11124</v>
      </c>
      <c r="E3895">
        <v>13</v>
      </c>
      <c r="F3895" t="str">
        <f>IF(AND(Entities[[#This Row],[ENT_TYPE]]="County",RIGHT(Entities[[#This Row],[ENT_NAME]],6)&lt;&gt;"County"),_xlfn.TEXTJOIN(" ",TRUE,Entities[[#This Row],[ENT_NAME]],"County"),Entities[[#This Row],[ENT_NAME]])</f>
        <v>Petronila</v>
      </c>
    </row>
    <row r="3896" spans="1:6" x14ac:dyDescent="0.25">
      <c r="A3896" s="303" t="s">
        <v>11125</v>
      </c>
      <c r="B3896" s="303" t="str">
        <f t="shared" si="60"/>
        <v>x13002392</v>
      </c>
      <c r="C3896" t="s">
        <v>5458</v>
      </c>
      <c r="D3896" t="s">
        <v>11126</v>
      </c>
      <c r="E3896">
        <v>13</v>
      </c>
      <c r="F3896" t="str">
        <f>IF(AND(Entities[[#This Row],[ENT_TYPE]]="County",RIGHT(Entities[[#This Row],[ENT_NAME]],6)&lt;&gt;"County"),_xlfn.TEXTJOIN(" ",TRUE,Entities[[#This Row],[ENT_NAME]],"County"),Entities[[#This Row],[ENT_NAME]])</f>
        <v>Robstown</v>
      </c>
    </row>
    <row r="3897" spans="1:6" x14ac:dyDescent="0.25">
      <c r="A3897" s="305" t="s">
        <v>11127</v>
      </c>
      <c r="B3897" s="303" t="str">
        <f t="shared" si="60"/>
        <v>x13002446</v>
      </c>
      <c r="C3897" t="s">
        <v>5458</v>
      </c>
      <c r="D3897" t="s">
        <v>11128</v>
      </c>
      <c r="E3897">
        <v>13</v>
      </c>
      <c r="F3897" t="str">
        <f>IF(AND(Entities[[#This Row],[ENT_TYPE]]="County",RIGHT(Entities[[#This Row],[ENT_NAME]],6)&lt;&gt;"County"),_xlfn.TEXTJOIN(" ",TRUE,Entities[[#This Row],[ENT_NAME]],"County"),Entities[[#This Row],[ENT_NAME]])</f>
        <v>Lytle</v>
      </c>
    </row>
    <row r="3898" spans="1:6" x14ac:dyDescent="0.25">
      <c r="A3898" s="303" t="s">
        <v>11129</v>
      </c>
      <c r="B3898" s="303" t="str">
        <f t="shared" si="60"/>
        <v>x13002540</v>
      </c>
      <c r="C3898" t="s">
        <v>5458</v>
      </c>
      <c r="D3898" t="s">
        <v>11130</v>
      </c>
      <c r="E3898">
        <v>13</v>
      </c>
      <c r="F3898" t="str">
        <f>IF(AND(Entities[[#This Row],[ENT_TYPE]]="County",RIGHT(Entities[[#This Row],[ENT_NAME]],6)&lt;&gt;"County"),_xlfn.TEXTJOIN(" ",TRUE,Entities[[#This Row],[ENT_NAME]],"County"),Entities[[#This Row],[ENT_NAME]])</f>
        <v>Three Rivers</v>
      </c>
    </row>
    <row r="3899" spans="1:6" x14ac:dyDescent="0.25">
      <c r="A3899" s="305" t="s">
        <v>11131</v>
      </c>
      <c r="B3899" s="303" t="str">
        <f t="shared" si="60"/>
        <v>x13002546</v>
      </c>
      <c r="C3899" t="s">
        <v>5458</v>
      </c>
      <c r="D3899" t="s">
        <v>11132</v>
      </c>
      <c r="E3899">
        <v>13</v>
      </c>
      <c r="F3899" t="str">
        <f>IF(AND(Entities[[#This Row],[ENT_TYPE]]="County",RIGHT(Entities[[#This Row],[ENT_NAME]],6)&lt;&gt;"County"),_xlfn.TEXTJOIN(" ",TRUE,Entities[[#This Row],[ENT_NAME]],"County"),Entities[[#This Row],[ENT_NAME]])</f>
        <v>Agua Dulce</v>
      </c>
    </row>
    <row r="3900" spans="1:6" x14ac:dyDescent="0.25">
      <c r="A3900" s="303" t="s">
        <v>11133</v>
      </c>
      <c r="B3900" s="303" t="str">
        <f t="shared" si="60"/>
        <v>x13002553</v>
      </c>
      <c r="C3900" t="s">
        <v>5458</v>
      </c>
      <c r="D3900" t="s">
        <v>11134</v>
      </c>
      <c r="E3900">
        <v>13</v>
      </c>
      <c r="F3900" t="str">
        <f>IF(AND(Entities[[#This Row],[ENT_TYPE]]="County",RIGHT(Entities[[#This Row],[ENT_NAME]],6)&lt;&gt;"County"),_xlfn.TEXTJOIN(" ",TRUE,Entities[[#This Row],[ENT_NAME]],"County"),Entities[[#This Row],[ENT_NAME]])</f>
        <v>Big Wells</v>
      </c>
    </row>
    <row r="3901" spans="1:6" x14ac:dyDescent="0.25">
      <c r="A3901" s="305" t="s">
        <v>11135</v>
      </c>
      <c r="B3901" s="303" t="str">
        <f t="shared" si="60"/>
        <v>x13002555</v>
      </c>
      <c r="C3901" t="s">
        <v>5458</v>
      </c>
      <c r="D3901" t="s">
        <v>11136</v>
      </c>
      <c r="E3901">
        <v>13</v>
      </c>
      <c r="F3901" t="str">
        <f>IF(AND(Entities[[#This Row],[ENT_TYPE]]="County",RIGHT(Entities[[#This Row],[ENT_NAME]],6)&lt;&gt;"County"),_xlfn.TEXTJOIN(" ",TRUE,Entities[[#This Row],[ENT_NAME]],"County"),Entities[[#This Row],[ENT_NAME]])</f>
        <v>Asherton</v>
      </c>
    </row>
    <row r="3902" spans="1:6" x14ac:dyDescent="0.25">
      <c r="A3902" s="303" t="s">
        <v>11137</v>
      </c>
      <c r="B3902" s="303" t="str">
        <f t="shared" si="60"/>
        <v>x13002556</v>
      </c>
      <c r="C3902" t="s">
        <v>5458</v>
      </c>
      <c r="D3902" t="s">
        <v>11138</v>
      </c>
      <c r="E3902">
        <v>13</v>
      </c>
      <c r="F3902" t="str">
        <f>IF(AND(Entities[[#This Row],[ENT_TYPE]]="County",RIGHT(Entities[[#This Row],[ENT_NAME]],6)&lt;&gt;"County"),_xlfn.TEXTJOIN(" ",TRUE,Entities[[#This Row],[ENT_NAME]],"County"),Entities[[#This Row],[ENT_NAME]])</f>
        <v>Carrizo Springs</v>
      </c>
    </row>
    <row r="3903" spans="1:6" x14ac:dyDescent="0.25">
      <c r="A3903" s="305" t="s">
        <v>11139</v>
      </c>
      <c r="B3903" s="303" t="str">
        <f t="shared" si="60"/>
        <v>x13002558</v>
      </c>
      <c r="C3903" t="s">
        <v>5458</v>
      </c>
      <c r="D3903" t="s">
        <v>11140</v>
      </c>
      <c r="E3903">
        <v>13</v>
      </c>
      <c r="F3903" t="str">
        <f>IF(AND(Entities[[#This Row],[ENT_TYPE]]="County",RIGHT(Entities[[#This Row],[ENT_NAME]],6)&lt;&gt;"County"),_xlfn.TEXTJOIN(" ",TRUE,Entities[[#This Row],[ENT_NAME]],"County"),Entities[[#This Row],[ENT_NAME]])</f>
        <v>Gregory</v>
      </c>
    </row>
    <row r="3904" spans="1:6" x14ac:dyDescent="0.25">
      <c r="A3904" s="303" t="s">
        <v>11141</v>
      </c>
      <c r="B3904" s="303" t="str">
        <f t="shared" si="60"/>
        <v>x13002625</v>
      </c>
      <c r="C3904" t="s">
        <v>5458</v>
      </c>
      <c r="D3904" t="s">
        <v>11142</v>
      </c>
      <c r="E3904">
        <v>13</v>
      </c>
      <c r="F3904" t="str">
        <f>IF(AND(Entities[[#This Row],[ENT_TYPE]]="County",RIGHT(Entities[[#This Row],[ENT_NAME]],6)&lt;&gt;"County"),_xlfn.TEXTJOIN(" ",TRUE,Entities[[#This Row],[ENT_NAME]],"County"),Entities[[#This Row],[ENT_NAME]])</f>
        <v>Camp Wood</v>
      </c>
    </row>
    <row r="3905" spans="1:6" x14ac:dyDescent="0.25">
      <c r="A3905" s="305" t="s">
        <v>11143</v>
      </c>
      <c r="B3905" s="303" t="str">
        <f t="shared" si="60"/>
        <v>x13002626</v>
      </c>
      <c r="C3905" t="s">
        <v>5458</v>
      </c>
      <c r="D3905" t="s">
        <v>11144</v>
      </c>
      <c r="E3905">
        <v>13</v>
      </c>
      <c r="F3905" t="str">
        <f>IF(AND(Entities[[#This Row],[ENT_TYPE]]="County",RIGHT(Entities[[#This Row],[ENT_NAME]],6)&lt;&gt;"County"),_xlfn.TEXTJOIN(" ",TRUE,Entities[[#This Row],[ENT_NAME]],"County"),Entities[[#This Row],[ENT_NAME]])</f>
        <v>Leakey</v>
      </c>
    </row>
    <row r="3906" spans="1:6" x14ac:dyDescent="0.25">
      <c r="A3906" s="303" t="s">
        <v>11145</v>
      </c>
      <c r="B3906" s="303" t="str">
        <f t="shared" ref="B3906:B3969" si="61">_xlfn.CONCAT("x",TEXT(A3906,"00000000"))</f>
        <v>x13002711</v>
      </c>
      <c r="C3906" t="s">
        <v>5458</v>
      </c>
      <c r="D3906" t="s">
        <v>11146</v>
      </c>
      <c r="E3906">
        <v>13</v>
      </c>
      <c r="F3906" t="str">
        <f>IF(AND(Entities[[#This Row],[ENT_TYPE]]="County",RIGHT(Entities[[#This Row],[ENT_NAME]],6)&lt;&gt;"County"),_xlfn.TEXTJOIN(" ",TRUE,Entities[[#This Row],[ENT_NAME]],"County"),Entities[[#This Row],[ENT_NAME]])</f>
        <v>Beeville</v>
      </c>
    </row>
    <row r="3907" spans="1:6" x14ac:dyDescent="0.25">
      <c r="A3907" s="305" t="s">
        <v>3812</v>
      </c>
      <c r="B3907" s="303" t="str">
        <f t="shared" si="61"/>
        <v>x13002735</v>
      </c>
      <c r="C3907" t="s">
        <v>5458</v>
      </c>
      <c r="D3907" t="s">
        <v>11147</v>
      </c>
      <c r="E3907">
        <v>13</v>
      </c>
      <c r="F3907" t="str">
        <f>IF(AND(Entities[[#This Row],[ENT_TYPE]]="County",RIGHT(Entities[[#This Row],[ENT_NAME]],6)&lt;&gt;"County"),_xlfn.TEXTJOIN(" ",TRUE,Entities[[#This Row],[ENT_NAME]],"County"),Entities[[#This Row],[ENT_NAME]])</f>
        <v>Aransas Pass</v>
      </c>
    </row>
    <row r="3908" spans="1:6" x14ac:dyDescent="0.25">
      <c r="A3908" s="303" t="s">
        <v>3752</v>
      </c>
      <c r="B3908" s="303" t="str">
        <f t="shared" si="61"/>
        <v>x13002864</v>
      </c>
      <c r="C3908" t="s">
        <v>5458</v>
      </c>
      <c r="D3908" t="s">
        <v>11148</v>
      </c>
      <c r="E3908">
        <v>13</v>
      </c>
      <c r="F3908" t="str">
        <f>IF(AND(Entities[[#This Row],[ENT_TYPE]]="County",RIGHT(Entities[[#This Row],[ENT_NAME]],6)&lt;&gt;"County"),_xlfn.TEXTJOIN(" ",TRUE,Entities[[#This Row],[ENT_NAME]],"County"),Entities[[#This Row],[ENT_NAME]])</f>
        <v>Sinton</v>
      </c>
    </row>
    <row r="3909" spans="1:6" x14ac:dyDescent="0.25">
      <c r="A3909" s="305" t="s">
        <v>3764</v>
      </c>
      <c r="B3909" s="303" t="str">
        <f t="shared" si="61"/>
        <v>x13002882</v>
      </c>
      <c r="C3909" t="s">
        <v>5458</v>
      </c>
      <c r="D3909" t="s">
        <v>11149</v>
      </c>
      <c r="E3909">
        <v>13</v>
      </c>
      <c r="F3909" t="str">
        <f>IF(AND(Entities[[#This Row],[ENT_TYPE]]="County",RIGHT(Entities[[#This Row],[ENT_NAME]],6)&lt;&gt;"County"),_xlfn.TEXTJOIN(" ",TRUE,Entities[[#This Row],[ENT_NAME]],"County"),Entities[[#This Row],[ENT_NAME]])</f>
        <v>Taft</v>
      </c>
    </row>
    <row r="3910" spans="1:6" x14ac:dyDescent="0.25">
      <c r="A3910" s="303" t="s">
        <v>3676</v>
      </c>
      <c r="B3910" s="303" t="str">
        <f t="shared" si="61"/>
        <v>x13002900</v>
      </c>
      <c r="C3910" t="s">
        <v>5458</v>
      </c>
      <c r="D3910" t="s">
        <v>11150</v>
      </c>
      <c r="E3910">
        <v>13</v>
      </c>
      <c r="F3910" t="str">
        <f>IF(AND(Entities[[#This Row],[ENT_TYPE]]="County",RIGHT(Entities[[#This Row],[ENT_NAME]],6)&lt;&gt;"County"),_xlfn.TEXTJOIN(" ",TRUE,Entities[[#This Row],[ENT_NAME]],"County"),Entities[[#This Row],[ENT_NAME]])</f>
        <v>Corpus Christi</v>
      </c>
    </row>
    <row r="3911" spans="1:6" x14ac:dyDescent="0.25">
      <c r="A3911" s="305" t="s">
        <v>11151</v>
      </c>
      <c r="B3911" s="303" t="str">
        <f t="shared" si="61"/>
        <v>x13002930</v>
      </c>
      <c r="C3911" t="s">
        <v>5458</v>
      </c>
      <c r="D3911" t="s">
        <v>11152</v>
      </c>
      <c r="E3911">
        <v>13</v>
      </c>
      <c r="F3911" t="str">
        <f>IF(AND(Entities[[#This Row],[ENT_TYPE]]="County",RIGHT(Entities[[#This Row],[ENT_NAME]],6)&lt;&gt;"County"),_xlfn.TEXTJOIN(" ",TRUE,Entities[[#This Row],[ENT_NAME]],"County"),Entities[[#This Row],[ENT_NAME]])</f>
        <v>Ingleside</v>
      </c>
    </row>
    <row r="3912" spans="1:6" x14ac:dyDescent="0.25">
      <c r="A3912" s="303" t="s">
        <v>11153</v>
      </c>
      <c r="B3912" s="303" t="str">
        <f t="shared" si="61"/>
        <v>x13002952</v>
      </c>
      <c r="C3912" t="s">
        <v>5458</v>
      </c>
      <c r="D3912" t="s">
        <v>11042</v>
      </c>
      <c r="E3912">
        <v>13</v>
      </c>
      <c r="F3912" t="str">
        <f>IF(AND(Entities[[#This Row],[ENT_TYPE]]="County",RIGHT(Entities[[#This Row],[ENT_NAME]],6)&lt;&gt;"County"),_xlfn.TEXTJOIN(" ",TRUE,Entities[[#This Row],[ENT_NAME]],"County"),Entities[[#This Row],[ENT_NAME]])</f>
        <v>Uvalde</v>
      </c>
    </row>
    <row r="3913" spans="1:6" x14ac:dyDescent="0.25">
      <c r="A3913" s="305" t="s">
        <v>3579</v>
      </c>
      <c r="B3913" s="303" t="str">
        <f t="shared" si="61"/>
        <v>x13002953</v>
      </c>
      <c r="C3913" t="s">
        <v>5458</v>
      </c>
      <c r="D3913" t="s">
        <v>11154</v>
      </c>
      <c r="E3913">
        <v>13</v>
      </c>
      <c r="F3913" t="str">
        <f>IF(AND(Entities[[#This Row],[ENT_TYPE]]="County",RIGHT(Entities[[#This Row],[ENT_NAME]],6)&lt;&gt;"County"),_xlfn.TEXTJOIN(" ",TRUE,Entities[[#This Row],[ENT_NAME]],"County"),Entities[[#This Row],[ENT_NAME]])</f>
        <v>Hondo</v>
      </c>
    </row>
    <row r="3914" spans="1:6" x14ac:dyDescent="0.25">
      <c r="A3914" s="303" t="s">
        <v>11155</v>
      </c>
      <c r="B3914" s="303" t="str">
        <f t="shared" si="61"/>
        <v>x13002955</v>
      </c>
      <c r="C3914" t="s">
        <v>5458</v>
      </c>
      <c r="D3914" t="s">
        <v>11156</v>
      </c>
      <c r="E3914">
        <v>13</v>
      </c>
      <c r="F3914" t="str">
        <f>IF(AND(Entities[[#This Row],[ENT_TYPE]]="County",RIGHT(Entities[[#This Row],[ENT_NAME]],6)&lt;&gt;"County"),_xlfn.TEXTJOIN(" ",TRUE,Entities[[#This Row],[ENT_NAME]],"County"),Entities[[#This Row],[ENT_NAME]])</f>
        <v>Natalia</v>
      </c>
    </row>
    <row r="3915" spans="1:6" x14ac:dyDescent="0.25">
      <c r="A3915" s="305" t="s">
        <v>11157</v>
      </c>
      <c r="B3915" s="303" t="str">
        <f t="shared" si="61"/>
        <v>x13003005</v>
      </c>
      <c r="C3915" t="s">
        <v>5458</v>
      </c>
      <c r="D3915" t="s">
        <v>11158</v>
      </c>
      <c r="E3915">
        <v>13</v>
      </c>
      <c r="F3915" t="str">
        <f>IF(AND(Entities[[#This Row],[ENT_TYPE]]="County",RIGHT(Entities[[#This Row],[ENT_NAME]],6)&lt;&gt;"County"),_xlfn.TEXTJOIN(" ",TRUE,Entities[[#This Row],[ENT_NAME]],"County"),Entities[[#This Row],[ENT_NAME]])</f>
        <v>Cotulla</v>
      </c>
    </row>
    <row r="3916" spans="1:6" x14ac:dyDescent="0.25">
      <c r="A3916" s="303" t="s">
        <v>11159</v>
      </c>
      <c r="B3916" s="303" t="str">
        <f t="shared" si="61"/>
        <v>x13003006</v>
      </c>
      <c r="C3916" t="s">
        <v>5458</v>
      </c>
      <c r="D3916" t="s">
        <v>11160</v>
      </c>
      <c r="E3916">
        <v>13</v>
      </c>
      <c r="F3916" t="str">
        <f>IF(AND(Entities[[#This Row],[ENT_TYPE]]="County",RIGHT(Entities[[#This Row],[ENT_NAME]],6)&lt;&gt;"County"),_xlfn.TEXTJOIN(" ",TRUE,Entities[[#This Row],[ENT_NAME]],"County"),Entities[[#This Row],[ENT_NAME]])</f>
        <v>Encinal</v>
      </c>
    </row>
    <row r="3917" spans="1:6" x14ac:dyDescent="0.25">
      <c r="A3917" s="305" t="s">
        <v>11161</v>
      </c>
      <c r="B3917" s="303" t="str">
        <f t="shared" si="61"/>
        <v>x13003038</v>
      </c>
      <c r="C3917" t="s">
        <v>5458</v>
      </c>
      <c r="D3917" t="s">
        <v>11162</v>
      </c>
      <c r="E3917">
        <v>13</v>
      </c>
      <c r="F3917" t="str">
        <f>IF(AND(Entities[[#This Row],[ENT_TYPE]]="County",RIGHT(Entities[[#This Row],[ENT_NAME]],6)&lt;&gt;"County"),_xlfn.TEXTJOIN(" ",TRUE,Entities[[#This Row],[ENT_NAME]],"County"),Entities[[#This Row],[ENT_NAME]])</f>
        <v>Falfurrias</v>
      </c>
    </row>
    <row r="3918" spans="1:6" x14ac:dyDescent="0.25">
      <c r="A3918" s="303" t="s">
        <v>11163</v>
      </c>
      <c r="B3918" s="303" t="str">
        <f t="shared" si="61"/>
        <v>x13003073</v>
      </c>
      <c r="C3918" t="s">
        <v>5458</v>
      </c>
      <c r="D3918" t="s">
        <v>11164</v>
      </c>
      <c r="E3918">
        <v>13</v>
      </c>
      <c r="F3918" t="str">
        <f>IF(AND(Entities[[#This Row],[ENT_TYPE]]="County",RIGHT(Entities[[#This Row],[ENT_NAME]],6)&lt;&gt;"County"),_xlfn.TEXTJOIN(" ",TRUE,Entities[[#This Row],[ENT_NAME]],"County"),Entities[[#This Row],[ENT_NAME]])</f>
        <v>Dilley</v>
      </c>
    </row>
    <row r="3919" spans="1:6" x14ac:dyDescent="0.25">
      <c r="A3919" s="305" t="s">
        <v>11165</v>
      </c>
      <c r="B3919" s="303" t="str">
        <f t="shared" si="61"/>
        <v>x13003096</v>
      </c>
      <c r="C3919" t="s">
        <v>5458</v>
      </c>
      <c r="D3919" t="s">
        <v>11166</v>
      </c>
      <c r="E3919">
        <v>13</v>
      </c>
      <c r="F3919" t="str">
        <f>IF(AND(Entities[[#This Row],[ENT_TYPE]]="County",RIGHT(Entities[[#This Row],[ENT_NAME]],6)&lt;&gt;"County"),_xlfn.TEXTJOIN(" ",TRUE,Entities[[#This Row],[ENT_NAME]],"County"),Entities[[#This Row],[ENT_NAME]])</f>
        <v>George West</v>
      </c>
    </row>
    <row r="3920" spans="1:6" x14ac:dyDescent="0.25">
      <c r="A3920" s="303" t="s">
        <v>3626</v>
      </c>
      <c r="B3920" s="303" t="str">
        <f t="shared" si="61"/>
        <v>x13003116</v>
      </c>
      <c r="C3920" t="s">
        <v>5458</v>
      </c>
      <c r="D3920" t="s">
        <v>11167</v>
      </c>
      <c r="E3920">
        <v>13</v>
      </c>
      <c r="F3920" t="str">
        <f>IF(AND(Entities[[#This Row],[ENT_TYPE]]="County",RIGHT(Entities[[#This Row],[ENT_NAME]],6)&lt;&gt;"County"),_xlfn.TEXTJOIN(" ",TRUE,Entities[[#This Row],[ENT_NAME]],"County"),Entities[[#This Row],[ENT_NAME]])</f>
        <v>Jourdanton</v>
      </c>
    </row>
    <row r="3921" spans="1:6" x14ac:dyDescent="0.25">
      <c r="A3921" s="305" t="s">
        <v>11168</v>
      </c>
      <c r="B3921" s="303" t="str">
        <f t="shared" si="61"/>
        <v>x13003117</v>
      </c>
      <c r="C3921" t="s">
        <v>5458</v>
      </c>
      <c r="D3921" t="s">
        <v>11169</v>
      </c>
      <c r="E3921">
        <v>13</v>
      </c>
      <c r="F3921" t="str">
        <f>IF(AND(Entities[[#This Row],[ENT_TYPE]]="County",RIGHT(Entities[[#This Row],[ENT_NAME]],6)&lt;&gt;"County"),_xlfn.TEXTJOIN(" ",TRUE,Entities[[#This Row],[ENT_NAME]],"County"),Entities[[#This Row],[ENT_NAME]])</f>
        <v>Pleasanton</v>
      </c>
    </row>
    <row r="3922" spans="1:6" x14ac:dyDescent="0.25">
      <c r="A3922" s="303" t="s">
        <v>3642</v>
      </c>
      <c r="B3922" s="303" t="str">
        <f t="shared" si="61"/>
        <v>x13003118</v>
      </c>
      <c r="C3922" t="s">
        <v>5458</v>
      </c>
      <c r="D3922" t="s">
        <v>11170</v>
      </c>
      <c r="E3922">
        <v>13</v>
      </c>
      <c r="F3922" t="str">
        <f>IF(AND(Entities[[#This Row],[ENT_TYPE]]="County",RIGHT(Entities[[#This Row],[ENT_NAME]],6)&lt;&gt;"County"),_xlfn.TEXTJOIN(" ",TRUE,Entities[[#This Row],[ENT_NAME]],"County"),Entities[[#This Row],[ENT_NAME]])</f>
        <v>Poteet</v>
      </c>
    </row>
    <row r="3923" spans="1:6" x14ac:dyDescent="0.25">
      <c r="A3923" s="305" t="s">
        <v>11171</v>
      </c>
      <c r="B3923" s="303" t="str">
        <f t="shared" si="61"/>
        <v>x13003122</v>
      </c>
      <c r="C3923" t="s">
        <v>5458</v>
      </c>
      <c r="D3923" t="s">
        <v>11172</v>
      </c>
      <c r="E3923">
        <v>13</v>
      </c>
      <c r="F3923" t="str">
        <f>IF(AND(Entities[[#This Row],[ENT_TYPE]]="County",RIGHT(Entities[[#This Row],[ENT_NAME]],6)&lt;&gt;"County"),_xlfn.TEXTJOIN(" ",TRUE,Entities[[#This Row],[ENT_NAME]],"County"),Entities[[#This Row],[ENT_NAME]])</f>
        <v>Bayside</v>
      </c>
    </row>
    <row r="3924" spans="1:6" x14ac:dyDescent="0.25">
      <c r="A3924" s="303" t="s">
        <v>11173</v>
      </c>
      <c r="B3924" s="303" t="str">
        <f t="shared" si="61"/>
        <v>x13003123</v>
      </c>
      <c r="C3924" t="s">
        <v>5458</v>
      </c>
      <c r="D3924" t="s">
        <v>5015</v>
      </c>
      <c r="E3924">
        <v>13</v>
      </c>
      <c r="F3924" t="str">
        <f>IF(AND(Entities[[#This Row],[ENT_TYPE]]="County",RIGHT(Entities[[#This Row],[ENT_NAME]],6)&lt;&gt;"County"),_xlfn.TEXTJOIN(" ",TRUE,Entities[[#This Row],[ENT_NAME]],"County"),Entities[[#This Row],[ENT_NAME]])</f>
        <v>Refugio</v>
      </c>
    </row>
    <row r="3925" spans="1:6" x14ac:dyDescent="0.25">
      <c r="A3925" s="305" t="s">
        <v>11174</v>
      </c>
      <c r="B3925" s="303" t="str">
        <f t="shared" si="61"/>
        <v>x13003124</v>
      </c>
      <c r="C3925" t="s">
        <v>5458</v>
      </c>
      <c r="D3925" t="s">
        <v>11175</v>
      </c>
      <c r="E3925">
        <v>13</v>
      </c>
      <c r="F3925" t="str">
        <f>IF(AND(Entities[[#This Row],[ENT_TYPE]]="County",RIGHT(Entities[[#This Row],[ENT_NAME]],6)&lt;&gt;"County"),_xlfn.TEXTJOIN(" ",TRUE,Entities[[#This Row],[ENT_NAME]],"County"),Entities[[#This Row],[ENT_NAME]])</f>
        <v>Woodsboro</v>
      </c>
    </row>
    <row r="3926" spans="1:6" x14ac:dyDescent="0.25">
      <c r="A3926" s="303" t="s">
        <v>11176</v>
      </c>
      <c r="B3926" s="303" t="str">
        <f t="shared" si="61"/>
        <v>x13003127</v>
      </c>
      <c r="C3926" t="s">
        <v>5458</v>
      </c>
      <c r="D3926" t="s">
        <v>11177</v>
      </c>
      <c r="E3926">
        <v>13</v>
      </c>
      <c r="F3926" t="str">
        <f>IF(AND(Entities[[#This Row],[ENT_TYPE]]="County",RIGHT(Entities[[#This Row],[ENT_NAME]],6)&lt;&gt;"County"),_xlfn.TEXTJOIN(" ",TRUE,Entities[[#This Row],[ENT_NAME]],"County"),Entities[[#This Row],[ENT_NAME]])</f>
        <v>San Diego</v>
      </c>
    </row>
    <row r="3927" spans="1:6" x14ac:dyDescent="0.25">
      <c r="A3927" s="305" t="s">
        <v>3652</v>
      </c>
      <c r="B3927" s="303" t="str">
        <f t="shared" si="61"/>
        <v>x13003128</v>
      </c>
      <c r="C3927" t="s">
        <v>5458</v>
      </c>
      <c r="D3927" t="s">
        <v>11178</v>
      </c>
      <c r="E3927">
        <v>13</v>
      </c>
      <c r="F3927" t="str">
        <f>IF(AND(Entities[[#This Row],[ENT_TYPE]]="County",RIGHT(Entities[[#This Row],[ENT_NAME]],6)&lt;&gt;"County"),_xlfn.TEXTJOIN(" ",TRUE,Entities[[#This Row],[ENT_NAME]],"County"),Entities[[#This Row],[ENT_NAME]])</f>
        <v>Alice</v>
      </c>
    </row>
    <row r="3928" spans="1:6" x14ac:dyDescent="0.25">
      <c r="A3928" s="303" t="s">
        <v>11179</v>
      </c>
      <c r="B3928" s="303" t="str">
        <f t="shared" si="61"/>
        <v>x13003130</v>
      </c>
      <c r="C3928" t="s">
        <v>5458</v>
      </c>
      <c r="D3928" t="s">
        <v>11180</v>
      </c>
      <c r="E3928">
        <v>13</v>
      </c>
      <c r="F3928" t="str">
        <f>IF(AND(Entities[[#This Row],[ENT_TYPE]]="County",RIGHT(Entities[[#This Row],[ENT_NAME]],6)&lt;&gt;"County"),_xlfn.TEXTJOIN(" ",TRUE,Entities[[#This Row],[ENT_NAME]],"County"),Entities[[#This Row],[ENT_NAME]])</f>
        <v>Orange Grove</v>
      </c>
    </row>
    <row r="3929" spans="1:6" x14ac:dyDescent="0.25">
      <c r="A3929" s="305" t="s">
        <v>11181</v>
      </c>
      <c r="B3929" s="303" t="str">
        <f t="shared" si="61"/>
        <v>x13003131</v>
      </c>
      <c r="C3929" t="s">
        <v>5458</v>
      </c>
      <c r="D3929" t="s">
        <v>11182</v>
      </c>
      <c r="E3929">
        <v>13</v>
      </c>
      <c r="F3929" t="str">
        <f>IF(AND(Entities[[#This Row],[ENT_TYPE]]="County",RIGHT(Entities[[#This Row],[ENT_NAME]],6)&lt;&gt;"County"),_xlfn.TEXTJOIN(" ",TRUE,Entities[[#This Row],[ENT_NAME]],"County"),Entities[[#This Row],[ENT_NAME]])</f>
        <v>Premont</v>
      </c>
    </row>
    <row r="3930" spans="1:6" x14ac:dyDescent="0.25">
      <c r="A3930" s="303" t="s">
        <v>3617</v>
      </c>
      <c r="B3930" s="303" t="str">
        <f t="shared" si="61"/>
        <v>x13003214</v>
      </c>
      <c r="C3930" t="s">
        <v>5458</v>
      </c>
      <c r="D3930" t="s">
        <v>11183</v>
      </c>
      <c r="E3930">
        <v>13</v>
      </c>
      <c r="F3930" t="str">
        <f>IF(AND(Entities[[#This Row],[ENT_TYPE]]="County",RIGHT(Entities[[#This Row],[ENT_NAME]],6)&lt;&gt;"County"),_xlfn.TEXTJOIN(" ",TRUE,Entities[[#This Row],[ENT_NAME]],"County"),Entities[[#This Row],[ENT_NAME]])</f>
        <v>Charlotte</v>
      </c>
    </row>
    <row r="3931" spans="1:6" x14ac:dyDescent="0.25">
      <c r="A3931" s="305" t="s">
        <v>11184</v>
      </c>
      <c r="B3931" s="303" t="str">
        <f t="shared" si="61"/>
        <v>x13003215</v>
      </c>
      <c r="C3931" t="s">
        <v>5458</v>
      </c>
      <c r="D3931" t="s">
        <v>11185</v>
      </c>
      <c r="E3931">
        <v>13</v>
      </c>
      <c r="F3931" t="str">
        <f>IF(AND(Entities[[#This Row],[ENT_TYPE]]="County",RIGHT(Entities[[#This Row],[ENT_NAME]],6)&lt;&gt;"County"),_xlfn.TEXTJOIN(" ",TRUE,Entities[[#This Row],[ENT_NAME]],"County"),Entities[[#This Row],[ENT_NAME]])</f>
        <v>Christine</v>
      </c>
    </row>
    <row r="3932" spans="1:6" x14ac:dyDescent="0.25">
      <c r="A3932" s="303" t="s">
        <v>11186</v>
      </c>
      <c r="B3932" s="303" t="str">
        <f t="shared" si="61"/>
        <v>x13003230</v>
      </c>
      <c r="C3932" t="s">
        <v>5458</v>
      </c>
      <c r="D3932" t="s">
        <v>11187</v>
      </c>
      <c r="E3932">
        <v>13</v>
      </c>
      <c r="F3932" t="str">
        <f>IF(AND(Entities[[#This Row],[ENT_TYPE]]="County",RIGHT(Entities[[#This Row],[ENT_NAME]],6)&lt;&gt;"County"),_xlfn.TEXTJOIN(" ",TRUE,Entities[[#This Row],[ENT_NAME]],"County"),Entities[[#This Row],[ENT_NAME]])</f>
        <v>Pearsall</v>
      </c>
    </row>
    <row r="3933" spans="1:6" x14ac:dyDescent="0.25">
      <c r="A3933" s="305" t="s">
        <v>3743</v>
      </c>
      <c r="B3933" s="303" t="str">
        <f t="shared" si="61"/>
        <v>x13003233</v>
      </c>
      <c r="C3933" t="s">
        <v>5458</v>
      </c>
      <c r="D3933" t="s">
        <v>11188</v>
      </c>
      <c r="E3933">
        <v>13</v>
      </c>
      <c r="F3933" t="str">
        <f>IF(AND(Entities[[#This Row],[ENT_TYPE]]="County",RIGHT(Entities[[#This Row],[ENT_NAME]],6)&lt;&gt;"County"),_xlfn.TEXTJOIN(" ",TRUE,Entities[[#This Row],[ENT_NAME]],"County"),Entities[[#This Row],[ENT_NAME]])</f>
        <v>Portland</v>
      </c>
    </row>
    <row r="3934" spans="1:6" x14ac:dyDescent="0.25">
      <c r="A3934" s="303" t="s">
        <v>11189</v>
      </c>
      <c r="B3934" s="303" t="str">
        <f t="shared" si="61"/>
        <v>x13003234</v>
      </c>
      <c r="C3934" t="s">
        <v>5458</v>
      </c>
      <c r="D3934" t="s">
        <v>3727</v>
      </c>
      <c r="E3934">
        <v>13</v>
      </c>
      <c r="F3934" t="str">
        <f>IF(AND(Entities[[#This Row],[ENT_TYPE]]="County",RIGHT(Entities[[#This Row],[ENT_NAME]],6)&lt;&gt;"County"),_xlfn.TEXTJOIN(" ",TRUE,Entities[[#This Row],[ENT_NAME]],"County"),Entities[[#This Row],[ENT_NAME]])</f>
        <v>San Patricio</v>
      </c>
    </row>
    <row r="3935" spans="1:6" x14ac:dyDescent="0.25">
      <c r="A3935" s="305" t="s">
        <v>3721</v>
      </c>
      <c r="B3935" s="303" t="str">
        <f t="shared" si="61"/>
        <v>x13003248</v>
      </c>
      <c r="C3935" t="s">
        <v>5458</v>
      </c>
      <c r="D3935" t="s">
        <v>11190</v>
      </c>
      <c r="E3935">
        <v>13</v>
      </c>
      <c r="F3935" t="str">
        <f>IF(AND(Entities[[#This Row],[ENT_TYPE]]="County",RIGHT(Entities[[#This Row],[ENT_NAME]],6)&lt;&gt;"County"),_xlfn.TEXTJOIN(" ",TRUE,Entities[[#This Row],[ENT_NAME]],"County"),Entities[[#This Row],[ENT_NAME]])</f>
        <v>Ingleside on the Bay</v>
      </c>
    </row>
    <row r="3936" spans="1:6" x14ac:dyDescent="0.25">
      <c r="A3936" s="303" t="s">
        <v>11191</v>
      </c>
      <c r="B3936" s="303" t="str">
        <f t="shared" si="61"/>
        <v>x13003249</v>
      </c>
      <c r="C3936" t="s">
        <v>5458</v>
      </c>
      <c r="D3936" t="s">
        <v>11192</v>
      </c>
      <c r="E3936">
        <v>13</v>
      </c>
      <c r="F3936" t="str">
        <f>IF(AND(Entities[[#This Row],[ENT_TYPE]]="County",RIGHT(Entities[[#This Row],[ENT_NAME]],6)&lt;&gt;"County"),_xlfn.TEXTJOIN(" ",TRUE,Entities[[#This Row],[ENT_NAME]],"County"),Entities[[#This Row],[ENT_NAME]])</f>
        <v>Lake City</v>
      </c>
    </row>
    <row r="3937" spans="1:6" x14ac:dyDescent="0.25">
      <c r="A3937" s="305" t="s">
        <v>11193</v>
      </c>
      <c r="B3937" s="303" t="str">
        <f t="shared" si="61"/>
        <v>x13003250</v>
      </c>
      <c r="C3937" t="s">
        <v>5458</v>
      </c>
      <c r="D3937" t="s">
        <v>6862</v>
      </c>
      <c r="E3937">
        <v>13</v>
      </c>
      <c r="F3937" t="str">
        <f>IF(AND(Entities[[#This Row],[ENT_TYPE]]="County",RIGHT(Entities[[#This Row],[ENT_NAME]],6)&lt;&gt;"County"),_xlfn.TEXTJOIN(" ",TRUE,Entities[[#This Row],[ENT_NAME]],"County"),Entities[[#This Row],[ENT_NAME]])</f>
        <v>Lakeside</v>
      </c>
    </row>
    <row r="3938" spans="1:6" x14ac:dyDescent="0.25">
      <c r="A3938" s="303" t="s">
        <v>11194</v>
      </c>
      <c r="B3938" s="303" t="str">
        <f t="shared" si="61"/>
        <v>x13003251</v>
      </c>
      <c r="C3938" t="s">
        <v>5458</v>
      </c>
      <c r="D3938" t="s">
        <v>11195</v>
      </c>
      <c r="E3938">
        <v>13</v>
      </c>
      <c r="F3938" t="str">
        <f>IF(AND(Entities[[#This Row],[ENT_TYPE]]="County",RIGHT(Entities[[#This Row],[ENT_NAME]],6)&lt;&gt;"County"),_xlfn.TEXTJOIN(" ",TRUE,Entities[[#This Row],[ENT_NAME]],"County"),Entities[[#This Row],[ENT_NAME]])</f>
        <v>Mathis</v>
      </c>
    </row>
    <row r="3939" spans="1:6" x14ac:dyDescent="0.25">
      <c r="A3939" s="305" t="s">
        <v>11196</v>
      </c>
      <c r="B3939" s="303" t="str">
        <f t="shared" si="61"/>
        <v>x13003329</v>
      </c>
      <c r="C3939" t="s">
        <v>5458</v>
      </c>
      <c r="D3939" t="s">
        <v>11197</v>
      </c>
      <c r="E3939">
        <v>13</v>
      </c>
      <c r="F3939" t="str">
        <f>IF(AND(Entities[[#This Row],[ENT_TYPE]]="County",RIGHT(Entities[[#This Row],[ENT_NAME]],6)&lt;&gt;"County"),_xlfn.TEXTJOIN(" ",TRUE,Entities[[#This Row],[ENT_NAME]],"County"),Entities[[#This Row],[ENT_NAME]])</f>
        <v>Sabinal</v>
      </c>
    </row>
    <row r="3940" spans="1:6" x14ac:dyDescent="0.25">
      <c r="A3940" s="303" t="s">
        <v>11198</v>
      </c>
      <c r="B3940" s="303" t="str">
        <f t="shared" si="61"/>
        <v>x13003368</v>
      </c>
      <c r="C3940" t="s">
        <v>5458</v>
      </c>
      <c r="D3940" t="s">
        <v>11199</v>
      </c>
      <c r="E3940">
        <v>13</v>
      </c>
      <c r="F3940" t="str">
        <f>IF(AND(Entities[[#This Row],[ENT_TYPE]]="County",RIGHT(Entities[[#This Row],[ENT_NAME]],6)&lt;&gt;"County"),_xlfn.TEXTJOIN(" ",TRUE,Entities[[#This Row],[ENT_NAME]],"County"),Entities[[#This Row],[ENT_NAME]])</f>
        <v>Port Aransas</v>
      </c>
    </row>
    <row r="3941" spans="1:6" x14ac:dyDescent="0.25">
      <c r="A3941" s="305" t="s">
        <v>11200</v>
      </c>
      <c r="B3941" s="303" t="str">
        <f t="shared" si="61"/>
        <v>x13003378</v>
      </c>
      <c r="C3941" t="s">
        <v>5458</v>
      </c>
      <c r="D3941" t="s">
        <v>11201</v>
      </c>
      <c r="E3941">
        <v>13</v>
      </c>
      <c r="F3941" t="str">
        <f>IF(AND(Entities[[#This Row],[ENT_TYPE]]="County",RIGHT(Entities[[#This Row],[ENT_NAME]],6)&lt;&gt;"County"),_xlfn.TEXTJOIN(" ",TRUE,Entities[[#This Row],[ENT_NAME]],"County"),Entities[[#This Row],[ENT_NAME]])</f>
        <v>Devine</v>
      </c>
    </row>
    <row r="3942" spans="1:6" x14ac:dyDescent="0.25">
      <c r="A3942" s="303" t="s">
        <v>11202</v>
      </c>
      <c r="B3942" s="303" t="str">
        <f t="shared" si="61"/>
        <v>x13003410</v>
      </c>
      <c r="C3942" t="s">
        <v>5458</v>
      </c>
      <c r="D3942" t="s">
        <v>11203</v>
      </c>
      <c r="E3942">
        <v>13</v>
      </c>
      <c r="F3942" t="str">
        <f>IF(AND(Entities[[#This Row],[ENT_TYPE]]="County",RIGHT(Entities[[#This Row],[ENT_NAME]],6)&lt;&gt;"County"),_xlfn.TEXTJOIN(" ",TRUE,Entities[[#This Row],[ENT_NAME]],"County"),Entities[[#This Row],[ENT_NAME]])</f>
        <v>Benavides</v>
      </c>
    </row>
    <row r="3943" spans="1:6" x14ac:dyDescent="0.25">
      <c r="A3943" s="305" t="s">
        <v>11204</v>
      </c>
      <c r="B3943" s="303" t="str">
        <f t="shared" si="61"/>
        <v>x13003411</v>
      </c>
      <c r="C3943" t="s">
        <v>5458</v>
      </c>
      <c r="D3943" t="s">
        <v>11205</v>
      </c>
      <c r="E3943">
        <v>13</v>
      </c>
      <c r="F3943" t="str">
        <f>IF(AND(Entities[[#This Row],[ENT_TYPE]]="County",RIGHT(Entities[[#This Row],[ENT_NAME]],6)&lt;&gt;"County"),_xlfn.TEXTJOIN(" ",TRUE,Entities[[#This Row],[ENT_NAME]],"County"),Entities[[#This Row],[ENT_NAME]])</f>
        <v>Freer</v>
      </c>
    </row>
    <row r="3944" spans="1:6" x14ac:dyDescent="0.25">
      <c r="A3944" s="303" t="s">
        <v>3732</v>
      </c>
      <c r="B3944" s="303" t="str">
        <f t="shared" si="61"/>
        <v>x13003412</v>
      </c>
      <c r="C3944" t="s">
        <v>5458</v>
      </c>
      <c r="D3944" t="s">
        <v>11206</v>
      </c>
      <c r="E3944">
        <v>13</v>
      </c>
      <c r="F3944" t="str">
        <f>IF(AND(Entities[[#This Row],[ENT_TYPE]]="County",RIGHT(Entities[[#This Row],[ENT_NAME]],6)&lt;&gt;"County"),_xlfn.TEXTJOIN(" ",TRUE,Entities[[#This Row],[ENT_NAME]],"County"),Entities[[#This Row],[ENT_NAME]])</f>
        <v>Odem</v>
      </c>
    </row>
    <row r="3945" spans="1:6" x14ac:dyDescent="0.25">
      <c r="A3945" s="305" t="s">
        <v>11207</v>
      </c>
      <c r="B3945" s="303" t="str">
        <f t="shared" si="61"/>
        <v>x13003432</v>
      </c>
      <c r="C3945" t="s">
        <v>5458</v>
      </c>
      <c r="D3945" t="s">
        <v>11208</v>
      </c>
      <c r="E3945">
        <v>13</v>
      </c>
      <c r="F3945" t="str">
        <f>IF(AND(Entities[[#This Row],[ENT_TYPE]]="County",RIGHT(Entities[[#This Row],[ENT_NAME]],6)&lt;&gt;"County"),_xlfn.TEXTJOIN(" ",TRUE,Entities[[#This Row],[ENT_NAME]],"County"),Entities[[#This Row],[ENT_NAME]])</f>
        <v>Crystal City</v>
      </c>
    </row>
    <row r="3946" spans="1:6" x14ac:dyDescent="0.25">
      <c r="A3946" s="303" t="s">
        <v>11209</v>
      </c>
      <c r="B3946" s="303" t="str">
        <f t="shared" si="61"/>
        <v>x13003450</v>
      </c>
      <c r="C3946" t="s">
        <v>5458</v>
      </c>
      <c r="D3946" t="s">
        <v>11210</v>
      </c>
      <c r="E3946">
        <v>13</v>
      </c>
      <c r="F3946" t="str">
        <f>IF(AND(Entities[[#This Row],[ENT_TYPE]]="County",RIGHT(Entities[[#This Row],[ENT_NAME]],6)&lt;&gt;"County"),_xlfn.TEXTJOIN(" ",TRUE,Entities[[#This Row],[ENT_NAME]],"County"),Entities[[#This Row],[ENT_NAME]])</f>
        <v>Fulton</v>
      </c>
    </row>
    <row r="3947" spans="1:6" x14ac:dyDescent="0.25">
      <c r="A3947" s="305" t="s">
        <v>11211</v>
      </c>
      <c r="B3947" s="303" t="str">
        <f t="shared" si="61"/>
        <v>x13003451</v>
      </c>
      <c r="C3947" t="s">
        <v>5458</v>
      </c>
      <c r="D3947" t="s">
        <v>11212</v>
      </c>
      <c r="E3947">
        <v>13</v>
      </c>
      <c r="F3947" t="str">
        <f>IF(AND(Entities[[#This Row],[ENT_TYPE]]="County",RIGHT(Entities[[#This Row],[ENT_NAME]],6)&lt;&gt;"County"),_xlfn.TEXTJOIN(" ",TRUE,Entities[[#This Row],[ENT_NAME]],"County"),Entities[[#This Row],[ENT_NAME]])</f>
        <v>Rockport</v>
      </c>
    </row>
    <row r="3948" spans="1:6" x14ac:dyDescent="0.25">
      <c r="A3948" s="305" t="s">
        <v>11213</v>
      </c>
      <c r="B3948" s="303" t="str">
        <f t="shared" si="61"/>
        <v>x13003452</v>
      </c>
      <c r="C3948" t="s">
        <v>5166</v>
      </c>
      <c r="D3948" t="s">
        <v>11214</v>
      </c>
      <c r="E3948">
        <v>13</v>
      </c>
      <c r="F3948" t="str">
        <f>IF(AND(Entities[[#This Row],[ENT_TYPE]]="County",RIGHT(Entities[[#This Row],[ENT_NAME]],6)&lt;&gt;"County"),_xlfn.TEXTJOIN(" ",TRUE,Entities[[#This Row],[ENT_NAME]],"County"),Entities[[#This Row],[ENT_NAME]])</f>
        <v>Region 13 - Nueces Regional Flood Planning Group</v>
      </c>
    </row>
    <row r="3949" spans="1:6" x14ac:dyDescent="0.25">
      <c r="A3949" s="303" t="s">
        <v>11215</v>
      </c>
      <c r="B3949" s="303" t="str">
        <f t="shared" si="61"/>
        <v>x13003453</v>
      </c>
      <c r="C3949" t="s">
        <v>4</v>
      </c>
      <c r="D3949" t="s">
        <v>11216</v>
      </c>
      <c r="E3949">
        <v>13</v>
      </c>
      <c r="F3949" t="str">
        <f>IF(AND(Entities[[#This Row],[ENT_TYPE]]="County",RIGHT(Entities[[#This Row],[ENT_NAME]],6)&lt;&gt;"County"),_xlfn.TEXTJOIN(" ",TRUE,Entities[[#This Row],[ENT_NAME]],"County"),Entities[[#This Row],[ENT_NAME]])</f>
        <v>Uvalde County UWCD</v>
      </c>
    </row>
    <row r="3950" spans="1:6" x14ac:dyDescent="0.25">
      <c r="A3950" s="303" t="s">
        <v>11217</v>
      </c>
      <c r="B3950" s="303" t="str">
        <f t="shared" si="61"/>
        <v>x13003454</v>
      </c>
      <c r="C3950" t="s">
        <v>5458</v>
      </c>
      <c r="D3950" t="s">
        <v>11218</v>
      </c>
      <c r="E3950">
        <v>13</v>
      </c>
      <c r="F3950" t="str">
        <f>IF(AND(Entities[[#This Row],[ENT_TYPE]]="County",RIGHT(Entities[[#This Row],[ENT_NAME]],6)&lt;&gt;"County"),_xlfn.TEXTJOIN(" ",TRUE,Entities[[#This Row],[ENT_NAME]],"County"),Entities[[#This Row],[ENT_NAME]])</f>
        <v>Banquete</v>
      </c>
    </row>
    <row r="3951" spans="1:6" x14ac:dyDescent="0.25">
      <c r="A3951" s="303" t="s">
        <v>11219</v>
      </c>
      <c r="B3951" s="303" t="str">
        <f t="shared" si="61"/>
        <v>x14000000</v>
      </c>
      <c r="C3951" t="s">
        <v>4</v>
      </c>
      <c r="D3951" t="s">
        <v>11220</v>
      </c>
      <c r="E3951">
        <v>14</v>
      </c>
      <c r="F3951" t="str">
        <f>IF(AND(Entities[[#This Row],[ENT_TYPE]]="County",RIGHT(Entities[[#This Row],[ENT_NAME]],6)&lt;&gt;"County"),_xlfn.TEXTJOIN(" ",TRUE,Entities[[#This Row],[ENT_NAME]],"County"),Entities[[#This Row],[ENT_NAME]])</f>
        <v>Upper Rio Grande Regional Flood Planning Group</v>
      </c>
    </row>
    <row r="3952" spans="1:6" x14ac:dyDescent="0.25">
      <c r="A3952" s="303" t="s">
        <v>11221</v>
      </c>
      <c r="B3952" s="303" t="str">
        <f t="shared" si="61"/>
        <v>x14000036</v>
      </c>
      <c r="C3952" t="s">
        <v>4947</v>
      </c>
      <c r="D3952" t="s">
        <v>11222</v>
      </c>
      <c r="E3952">
        <v>14</v>
      </c>
      <c r="F3952" t="str">
        <f>IF(AND(Entities[[#This Row],[ENT_TYPE]]="County",RIGHT(Entities[[#This Row],[ENT_NAME]],6)&lt;&gt;"County"),_xlfn.TEXTJOIN(" ",TRUE,Entities[[#This Row],[ENT_NAME]],"County"),Entities[[#This Row],[ENT_NAME]])</f>
        <v>Terrell County</v>
      </c>
    </row>
    <row r="3953" spans="1:6" x14ac:dyDescent="0.25">
      <c r="A3953" s="303" t="s">
        <v>11223</v>
      </c>
      <c r="B3953" s="303" t="str">
        <f t="shared" si="61"/>
        <v>x14000040</v>
      </c>
      <c r="C3953" t="s">
        <v>4947</v>
      </c>
      <c r="D3953" t="s">
        <v>11224</v>
      </c>
      <c r="E3953">
        <v>14</v>
      </c>
      <c r="F3953" t="str">
        <f>IF(AND(Entities[[#This Row],[ENT_TYPE]]="County",RIGHT(Entities[[#This Row],[ENT_NAME]],6)&lt;&gt;"County"),_xlfn.TEXTJOIN(" ",TRUE,Entities[[#This Row],[ENT_NAME]],"County"),Entities[[#This Row],[ENT_NAME]])</f>
        <v>Brewster County</v>
      </c>
    </row>
    <row r="3954" spans="1:6" x14ac:dyDescent="0.25">
      <c r="A3954" s="303" t="s">
        <v>11225</v>
      </c>
      <c r="B3954" s="303" t="str">
        <f t="shared" si="61"/>
        <v>x14000041</v>
      </c>
      <c r="C3954" t="s">
        <v>4947</v>
      </c>
      <c r="D3954" t="s">
        <v>11226</v>
      </c>
      <c r="E3954">
        <v>14</v>
      </c>
      <c r="F3954" t="str">
        <f>IF(AND(Entities[[#This Row],[ENT_TYPE]]="County",RIGHT(Entities[[#This Row],[ENT_NAME]],6)&lt;&gt;"County"),_xlfn.TEXTJOIN(" ",TRUE,Entities[[#This Row],[ENT_NAME]],"County"),Entities[[#This Row],[ENT_NAME]])</f>
        <v>Presidio County</v>
      </c>
    </row>
    <row r="3955" spans="1:6" x14ac:dyDescent="0.25">
      <c r="A3955" s="303" t="s">
        <v>11227</v>
      </c>
      <c r="B3955" s="303" t="str">
        <f t="shared" si="61"/>
        <v>x14000056</v>
      </c>
      <c r="C3955" t="s">
        <v>4947</v>
      </c>
      <c r="D3955" t="s">
        <v>11228</v>
      </c>
      <c r="E3955">
        <v>14</v>
      </c>
      <c r="F3955" t="str">
        <f>IF(AND(Entities[[#This Row],[ENT_TYPE]]="County",RIGHT(Entities[[#This Row],[ENT_NAME]],6)&lt;&gt;"County"),_xlfn.TEXTJOIN(" ",TRUE,Entities[[#This Row],[ENT_NAME]],"County"),Entities[[#This Row],[ENT_NAME]])</f>
        <v>Jeff Davis County</v>
      </c>
    </row>
    <row r="3956" spans="1:6" x14ac:dyDescent="0.25">
      <c r="A3956" s="303" t="s">
        <v>11229</v>
      </c>
      <c r="B3956" s="303" t="str">
        <f t="shared" si="61"/>
        <v>x14000062</v>
      </c>
      <c r="C3956" t="s">
        <v>4947</v>
      </c>
      <c r="D3956" t="s">
        <v>11230</v>
      </c>
      <c r="E3956">
        <v>14</v>
      </c>
      <c r="F3956" t="str">
        <f>IF(AND(Entities[[#This Row],[ENT_TYPE]]="County",RIGHT(Entities[[#This Row],[ENT_NAME]],6)&lt;&gt;"County"),_xlfn.TEXTJOIN(" ",TRUE,Entities[[#This Row],[ENT_NAME]],"County"),Entities[[#This Row],[ENT_NAME]])</f>
        <v>Pecos County</v>
      </c>
    </row>
    <row r="3957" spans="1:6" x14ac:dyDescent="0.25">
      <c r="A3957" s="303" t="s">
        <v>11231</v>
      </c>
      <c r="B3957" s="303" t="str">
        <f t="shared" si="61"/>
        <v>x14000129</v>
      </c>
      <c r="C3957" t="s">
        <v>4947</v>
      </c>
      <c r="D3957" t="s">
        <v>11232</v>
      </c>
      <c r="E3957">
        <v>14</v>
      </c>
      <c r="F3957" t="str">
        <f>IF(AND(Entities[[#This Row],[ENT_TYPE]]="County",RIGHT(Entities[[#This Row],[ENT_NAME]],6)&lt;&gt;"County"),_xlfn.TEXTJOIN(" ",TRUE,Entities[[#This Row],[ENT_NAME]],"County"),Entities[[#This Row],[ENT_NAME]])</f>
        <v>Crane County</v>
      </c>
    </row>
    <row r="3958" spans="1:6" x14ac:dyDescent="0.25">
      <c r="A3958" s="303" t="s">
        <v>11233</v>
      </c>
      <c r="B3958" s="303" t="str">
        <f t="shared" si="61"/>
        <v>x14000130</v>
      </c>
      <c r="C3958" t="s">
        <v>4947</v>
      </c>
      <c r="D3958" t="s">
        <v>11234</v>
      </c>
      <c r="E3958">
        <v>14</v>
      </c>
      <c r="F3958" t="str">
        <f>IF(AND(Entities[[#This Row],[ENT_TYPE]]="County",RIGHT(Entities[[#This Row],[ENT_NAME]],6)&lt;&gt;"County"),_xlfn.TEXTJOIN(" ",TRUE,Entities[[#This Row],[ENT_NAME]],"County"),Entities[[#This Row],[ENT_NAME]])</f>
        <v>Ward County</v>
      </c>
    </row>
    <row r="3959" spans="1:6" x14ac:dyDescent="0.25">
      <c r="A3959" s="303" t="s">
        <v>11235</v>
      </c>
      <c r="B3959" s="303" t="str">
        <f t="shared" si="61"/>
        <v>x14000141</v>
      </c>
      <c r="C3959" t="s">
        <v>4947</v>
      </c>
      <c r="D3959" t="s">
        <v>11236</v>
      </c>
      <c r="E3959">
        <v>14</v>
      </c>
      <c r="F3959" t="str">
        <f>IF(AND(Entities[[#This Row],[ENT_TYPE]]="County",RIGHT(Entities[[#This Row],[ENT_NAME]],6)&lt;&gt;"County"),_xlfn.TEXTJOIN(" ",TRUE,Entities[[#This Row],[ENT_NAME]],"County"),Entities[[#This Row],[ENT_NAME]])</f>
        <v>Loving County</v>
      </c>
    </row>
    <row r="3960" spans="1:6" x14ac:dyDescent="0.25">
      <c r="A3960" s="303" t="s">
        <v>11237</v>
      </c>
      <c r="B3960" s="303" t="str">
        <f t="shared" si="61"/>
        <v>x14000142</v>
      </c>
      <c r="C3960" t="s">
        <v>4947</v>
      </c>
      <c r="D3960" t="s">
        <v>11238</v>
      </c>
      <c r="E3960">
        <v>14</v>
      </c>
      <c r="F3960" t="str">
        <f>IF(AND(Entities[[#This Row],[ENT_TYPE]]="County",RIGHT(Entities[[#This Row],[ENT_NAME]],6)&lt;&gt;"County"),_xlfn.TEXTJOIN(" ",TRUE,Entities[[#This Row],[ENT_NAME]],"County"),Entities[[#This Row],[ENT_NAME]])</f>
        <v>Reeves County</v>
      </c>
    </row>
    <row r="3961" spans="1:6" x14ac:dyDescent="0.25">
      <c r="A3961" s="303" t="s">
        <v>11239</v>
      </c>
      <c r="B3961" s="303" t="str">
        <f t="shared" si="61"/>
        <v>x14000148</v>
      </c>
      <c r="C3961" t="s">
        <v>4947</v>
      </c>
      <c r="D3961" t="s">
        <v>11240</v>
      </c>
      <c r="E3961">
        <v>14</v>
      </c>
      <c r="F3961" t="str">
        <f>IF(AND(Entities[[#This Row],[ENT_TYPE]]="County",RIGHT(Entities[[#This Row],[ENT_NAME]],6)&lt;&gt;"County"),_xlfn.TEXTJOIN(" ",TRUE,Entities[[#This Row],[ENT_NAME]],"County"),Entities[[#This Row],[ENT_NAME]])</f>
        <v>Culberson County</v>
      </c>
    </row>
    <row r="3962" spans="1:6" x14ac:dyDescent="0.25">
      <c r="A3962" s="303" t="s">
        <v>11241</v>
      </c>
      <c r="B3962" s="303" t="str">
        <f t="shared" si="61"/>
        <v>x14000155</v>
      </c>
      <c r="C3962" t="s">
        <v>4947</v>
      </c>
      <c r="D3962" t="s">
        <v>11242</v>
      </c>
      <c r="E3962">
        <v>14</v>
      </c>
      <c r="F3962" t="str">
        <f>IF(AND(Entities[[#This Row],[ENT_TYPE]]="County",RIGHT(Entities[[#This Row],[ENT_NAME]],6)&lt;&gt;"County"),_xlfn.TEXTJOIN(" ",TRUE,Entities[[#This Row],[ENT_NAME]],"County"),Entities[[#This Row],[ENT_NAME]])</f>
        <v>Hudspeth County</v>
      </c>
    </row>
    <row r="3963" spans="1:6" x14ac:dyDescent="0.25">
      <c r="A3963" s="303" t="s">
        <v>11243</v>
      </c>
      <c r="B3963" s="303" t="str">
        <f t="shared" si="61"/>
        <v>x14000157</v>
      </c>
      <c r="C3963" t="s">
        <v>4947</v>
      </c>
      <c r="D3963" t="s">
        <v>11244</v>
      </c>
      <c r="E3963">
        <v>14</v>
      </c>
      <c r="F3963" t="str">
        <f>IF(AND(Entities[[#This Row],[ENT_TYPE]]="County",RIGHT(Entities[[#This Row],[ENT_NAME]],6)&lt;&gt;"County"),_xlfn.TEXTJOIN(" ",TRUE,Entities[[#This Row],[ENT_NAME]],"County"),Entities[[#This Row],[ENT_NAME]])</f>
        <v>El Paso County</v>
      </c>
    </row>
    <row r="3964" spans="1:6" x14ac:dyDescent="0.25">
      <c r="A3964" s="303" t="s">
        <v>11245</v>
      </c>
      <c r="B3964" s="303" t="str">
        <f t="shared" si="61"/>
        <v>x14000273</v>
      </c>
      <c r="C3964" t="s">
        <v>4</v>
      </c>
      <c r="D3964" t="s">
        <v>11246</v>
      </c>
      <c r="E3964">
        <v>14</v>
      </c>
      <c r="F3964" t="str">
        <f>IF(AND(Entities[[#This Row],[ENT_TYPE]]="County",RIGHT(Entities[[#This Row],[ENT_NAME]],6)&lt;&gt;"County"),_xlfn.TEXTJOIN(" ",TRUE,Entities[[#This Row],[ENT_NAME]],"County"),Entities[[#This Row],[ENT_NAME]])</f>
        <v>Rio Grande Council of Governments</v>
      </c>
    </row>
    <row r="3965" spans="1:6" x14ac:dyDescent="0.25">
      <c r="A3965" s="303" t="s">
        <v>11247</v>
      </c>
      <c r="B3965" s="303" t="str">
        <f t="shared" si="61"/>
        <v>x14000332</v>
      </c>
      <c r="C3965" t="s">
        <v>4</v>
      </c>
      <c r="D3965" t="s">
        <v>11248</v>
      </c>
      <c r="E3965">
        <v>14</v>
      </c>
      <c r="F3965" t="str">
        <f>IF(AND(Entities[[#This Row],[ENT_TYPE]]="County",RIGHT(Entities[[#This Row],[ENT_NAME]],6)&lt;&gt;"County"),_xlfn.TEXTJOIN(" ",TRUE,Entities[[#This Row],[ENT_NAME]],"County"),Entities[[#This Row],[ENT_NAME]])</f>
        <v>Loving County WID 1</v>
      </c>
    </row>
    <row r="3966" spans="1:6" x14ac:dyDescent="0.25">
      <c r="A3966" s="303" t="s">
        <v>11249</v>
      </c>
      <c r="B3966" s="303" t="str">
        <f t="shared" si="61"/>
        <v>x14000355</v>
      </c>
      <c r="C3966" t="s">
        <v>4</v>
      </c>
      <c r="D3966" t="s">
        <v>11250</v>
      </c>
      <c r="E3966">
        <v>14</v>
      </c>
      <c r="F3966" t="str">
        <f>IF(AND(Entities[[#This Row],[ENT_TYPE]]="County",RIGHT(Entities[[#This Row],[ENT_NAME]],6)&lt;&gt;"County"),_xlfn.TEXTJOIN(" ",TRUE,Entities[[#This Row],[ENT_NAME]],"County"),Entities[[#This Row],[ENT_NAME]])</f>
        <v>Tornillo Management District</v>
      </c>
    </row>
    <row r="3967" spans="1:6" x14ac:dyDescent="0.25">
      <c r="A3967" s="303" t="s">
        <v>11251</v>
      </c>
      <c r="B3967" s="303" t="str">
        <f t="shared" si="61"/>
        <v>x14000358</v>
      </c>
      <c r="C3967" t="s">
        <v>4</v>
      </c>
      <c r="D3967" t="s">
        <v>11252</v>
      </c>
      <c r="E3967">
        <v>14</v>
      </c>
      <c r="F3967" t="str">
        <f>IF(AND(Entities[[#This Row],[ENT_TYPE]]="County",RIGHT(Entities[[#This Row],[ENT_NAME]],6)&lt;&gt;"County"),_xlfn.TEXTJOIN(" ",TRUE,Entities[[#This Row],[ENT_NAME]],"County"),Entities[[#This Row],[ENT_NAME]])</f>
        <v>Pecos County WCID 1</v>
      </c>
    </row>
    <row r="3968" spans="1:6" x14ac:dyDescent="0.25">
      <c r="A3968" s="303" t="s">
        <v>11253</v>
      </c>
      <c r="B3968" s="303" t="str">
        <f t="shared" si="61"/>
        <v>x14000479</v>
      </c>
      <c r="C3968" t="s">
        <v>4</v>
      </c>
      <c r="D3968" t="s">
        <v>11254</v>
      </c>
      <c r="E3968">
        <v>14</v>
      </c>
      <c r="F3968" t="str">
        <f>IF(AND(Entities[[#This Row],[ENT_TYPE]]="County",RIGHT(Entities[[#This Row],[ENT_NAME]],6)&lt;&gt;"County"),_xlfn.TEXTJOIN(" ",TRUE,Entities[[#This Row],[ENT_NAME]],"County"),Entities[[#This Row],[ENT_NAME]])</f>
        <v>El Paso County Tornillo WID</v>
      </c>
    </row>
    <row r="3969" spans="1:6" x14ac:dyDescent="0.25">
      <c r="A3969" s="303" t="s">
        <v>11255</v>
      </c>
      <c r="B3969" s="303" t="str">
        <f t="shared" si="61"/>
        <v>x14000604</v>
      </c>
      <c r="C3969" t="s">
        <v>4</v>
      </c>
      <c r="D3969" t="s">
        <v>11256</v>
      </c>
      <c r="E3969">
        <v>14</v>
      </c>
      <c r="F3969" t="str">
        <f>IF(AND(Entities[[#This Row],[ENT_TYPE]]="County",RIGHT(Entities[[#This Row],[ENT_NAME]],6)&lt;&gt;"County"),_xlfn.TEXTJOIN(" ",TRUE,Entities[[#This Row],[ENT_NAME]],"County"),Entities[[#This Row],[ENT_NAME]])</f>
        <v>Reeves County WID 2</v>
      </c>
    </row>
    <row r="3970" spans="1:6" x14ac:dyDescent="0.25">
      <c r="A3970" s="303" t="s">
        <v>11257</v>
      </c>
      <c r="B3970" s="303" t="str">
        <f t="shared" ref="B3970:B4033" si="62">_xlfn.CONCAT("x",TEXT(A3970,"00000000"))</f>
        <v>x14000621</v>
      </c>
      <c r="C3970" t="s">
        <v>4</v>
      </c>
      <c r="D3970" t="s">
        <v>11258</v>
      </c>
      <c r="E3970">
        <v>14</v>
      </c>
      <c r="F3970" t="str">
        <f>IF(AND(Entities[[#This Row],[ENT_TYPE]]="County",RIGHT(Entities[[#This Row],[ENT_NAME]],6)&lt;&gt;"County"),_xlfn.TEXTJOIN(" ",TRUE,Entities[[#This Row],[ENT_NAME]],"County"),Entities[[#This Row],[ENT_NAME]])</f>
        <v>El Paso County MUD 3</v>
      </c>
    </row>
    <row r="3971" spans="1:6" x14ac:dyDescent="0.25">
      <c r="A3971" s="303" t="s">
        <v>11259</v>
      </c>
      <c r="B3971" s="303" t="str">
        <f t="shared" si="62"/>
        <v>x14000622</v>
      </c>
      <c r="C3971" t="s">
        <v>4</v>
      </c>
      <c r="D3971" t="s">
        <v>11260</v>
      </c>
      <c r="E3971">
        <v>14</v>
      </c>
      <c r="F3971" t="str">
        <f>IF(AND(Entities[[#This Row],[ENT_TYPE]]="County",RIGHT(Entities[[#This Row],[ENT_NAME]],6)&lt;&gt;"County"),_xlfn.TEXTJOIN(" ",TRUE,Entities[[#This Row],[ENT_NAME]],"County"),Entities[[#This Row],[ENT_NAME]])</f>
        <v>El Paso County MUD 4</v>
      </c>
    </row>
    <row r="3972" spans="1:6" x14ac:dyDescent="0.25">
      <c r="A3972" s="303" t="s">
        <v>11261</v>
      </c>
      <c r="B3972" s="303" t="str">
        <f t="shared" si="62"/>
        <v>x14000659</v>
      </c>
      <c r="C3972" t="s">
        <v>4</v>
      </c>
      <c r="D3972" t="s">
        <v>11262</v>
      </c>
      <c r="E3972">
        <v>14</v>
      </c>
      <c r="F3972" t="str">
        <f>IF(AND(Entities[[#This Row],[ENT_TYPE]]="County",RIGHT(Entities[[#This Row],[ENT_NAME]],6)&lt;&gt;"County"),_xlfn.TEXTJOIN(" ",TRUE,Entities[[#This Row],[ENT_NAME]],"County"),Entities[[#This Row],[ENT_NAME]])</f>
        <v>Esperanza FWSD 1 of Hudspeth County</v>
      </c>
    </row>
    <row r="3973" spans="1:6" x14ac:dyDescent="0.25">
      <c r="A3973" s="303" t="s">
        <v>11263</v>
      </c>
      <c r="B3973" s="303" t="str">
        <f t="shared" si="62"/>
        <v>x14000675</v>
      </c>
      <c r="C3973" t="s">
        <v>4</v>
      </c>
      <c r="D3973" t="s">
        <v>11264</v>
      </c>
      <c r="E3973">
        <v>14</v>
      </c>
      <c r="F3973" t="str">
        <f>IF(AND(Entities[[#This Row],[ENT_TYPE]]="County",RIGHT(Entities[[#This Row],[ENT_NAME]],6)&lt;&gt;"County"),_xlfn.TEXTJOIN(" ",TRUE,Entities[[#This Row],[ENT_NAME]],"County"),Entities[[#This Row],[ENT_NAME]])</f>
        <v>Ward County Irrigation District 1</v>
      </c>
    </row>
    <row r="3974" spans="1:6" x14ac:dyDescent="0.25">
      <c r="A3974" s="303" t="s">
        <v>11265</v>
      </c>
      <c r="B3974" s="303" t="str">
        <f t="shared" si="62"/>
        <v>x14000699</v>
      </c>
      <c r="C3974" t="s">
        <v>4</v>
      </c>
      <c r="D3974" t="s">
        <v>11266</v>
      </c>
      <c r="E3974">
        <v>14</v>
      </c>
      <c r="F3974" t="str">
        <f>IF(AND(Entities[[#This Row],[ENT_TYPE]]="County",RIGHT(Entities[[#This Row],[ENT_NAME]],6)&lt;&gt;"County"),_xlfn.TEXTJOIN(" ",TRUE,Entities[[#This Row],[ENT_NAME]],"County"),Entities[[#This Row],[ENT_NAME]])</f>
        <v>Hudspeth County Conservation &amp; Reclamation District 1</v>
      </c>
    </row>
    <row r="3975" spans="1:6" x14ac:dyDescent="0.25">
      <c r="A3975" s="303" t="s">
        <v>11267</v>
      </c>
      <c r="B3975" s="303" t="str">
        <f t="shared" si="62"/>
        <v>x14000707</v>
      </c>
      <c r="C3975" t="s">
        <v>4</v>
      </c>
      <c r="D3975" t="s">
        <v>11268</v>
      </c>
      <c r="E3975">
        <v>14</v>
      </c>
      <c r="F3975" t="str">
        <f>IF(AND(Entities[[#This Row],[ENT_TYPE]]="County",RIGHT(Entities[[#This Row],[ENT_NAME]],6)&lt;&gt;"County"),_xlfn.TEXTJOIN(" ",TRUE,Entities[[#This Row],[ENT_NAME]],"County"),Entities[[#This Row],[ENT_NAME]])</f>
        <v>El Paso County WID 1</v>
      </c>
    </row>
    <row r="3976" spans="1:6" x14ac:dyDescent="0.25">
      <c r="A3976" s="303" t="s">
        <v>11269</v>
      </c>
      <c r="B3976" s="303" t="str">
        <f t="shared" si="62"/>
        <v>x14000736</v>
      </c>
      <c r="C3976" t="s">
        <v>4</v>
      </c>
      <c r="D3976" t="s">
        <v>11270</v>
      </c>
      <c r="E3976">
        <v>14</v>
      </c>
      <c r="F3976" t="str">
        <f>IF(AND(Entities[[#This Row],[ENT_TYPE]]="County",RIGHT(Entities[[#This Row],[ENT_NAME]],6)&lt;&gt;"County"),_xlfn.TEXTJOIN(" ",TRUE,Entities[[#This Row],[ENT_NAME]],"County"),Entities[[#This Row],[ENT_NAME]])</f>
        <v>West Pecos Management District</v>
      </c>
    </row>
    <row r="3977" spans="1:6" x14ac:dyDescent="0.25">
      <c r="A3977" s="303" t="s">
        <v>11271</v>
      </c>
      <c r="B3977" s="303" t="str">
        <f t="shared" si="62"/>
        <v>x14000759</v>
      </c>
      <c r="C3977" t="s">
        <v>4</v>
      </c>
      <c r="D3977" t="s">
        <v>11272</v>
      </c>
      <c r="E3977">
        <v>14</v>
      </c>
      <c r="F3977" t="str">
        <f>IF(AND(Entities[[#This Row],[ENT_TYPE]]="County",RIGHT(Entities[[#This Row],[ENT_NAME]],6)&lt;&gt;"County"),_xlfn.TEXTJOIN(" ",TRUE,Entities[[#This Row],[ENT_NAME]],"County"),Entities[[#This Row],[ENT_NAME]])</f>
        <v>Ward County WID 2</v>
      </c>
    </row>
    <row r="3978" spans="1:6" x14ac:dyDescent="0.25">
      <c r="A3978" s="303" t="s">
        <v>11273</v>
      </c>
      <c r="B3978" s="303" t="str">
        <f t="shared" si="62"/>
        <v>x14000845</v>
      </c>
      <c r="C3978" t="s">
        <v>4</v>
      </c>
      <c r="D3978" t="s">
        <v>11274</v>
      </c>
      <c r="E3978">
        <v>14</v>
      </c>
      <c r="F3978" t="str">
        <f>IF(AND(Entities[[#This Row],[ENT_TYPE]]="County",RIGHT(Entities[[#This Row],[ENT_NAME]],6)&lt;&gt;"County"),_xlfn.TEXTJOIN(" ",TRUE,Entities[[#This Row],[ENT_NAME]],"County"),Entities[[#This Row],[ENT_NAME]])</f>
        <v>Hudspeth County WCID 1</v>
      </c>
    </row>
    <row r="3979" spans="1:6" x14ac:dyDescent="0.25">
      <c r="A3979" s="303" t="s">
        <v>11275</v>
      </c>
      <c r="B3979" s="303" t="str">
        <f t="shared" si="62"/>
        <v>x14000883</v>
      </c>
      <c r="C3979" t="s">
        <v>4</v>
      </c>
      <c r="D3979" t="s">
        <v>11276</v>
      </c>
      <c r="E3979">
        <v>14</v>
      </c>
      <c r="F3979" t="str">
        <f>IF(AND(Entities[[#This Row],[ENT_TYPE]]="County",RIGHT(Entities[[#This Row],[ENT_NAME]],6)&lt;&gt;"County"),_xlfn.TEXTJOIN(" ",TRUE,Entities[[#This Row],[ENT_NAME]],"County"),Entities[[#This Row],[ENT_NAME]])</f>
        <v>Horizon Regional MUD</v>
      </c>
    </row>
    <row r="3980" spans="1:6" x14ac:dyDescent="0.25">
      <c r="A3980" s="303" t="s">
        <v>11277</v>
      </c>
      <c r="B3980" s="303" t="str">
        <f t="shared" si="62"/>
        <v>x14000970</v>
      </c>
      <c r="C3980" t="s">
        <v>4</v>
      </c>
      <c r="D3980" t="s">
        <v>11278</v>
      </c>
      <c r="E3980">
        <v>14</v>
      </c>
      <c r="F3980" t="str">
        <f>IF(AND(Entities[[#This Row],[ENT_TYPE]]="County",RIGHT(Entities[[#This Row],[ENT_NAME]],6)&lt;&gt;"County"),_xlfn.TEXTJOIN(" ",TRUE,Entities[[#This Row],[ENT_NAME]],"County"),Entities[[#This Row],[ENT_NAME]])</f>
        <v>Terrell County WCID 1</v>
      </c>
    </row>
    <row r="3981" spans="1:6" x14ac:dyDescent="0.25">
      <c r="A3981" s="303" t="s">
        <v>11279</v>
      </c>
      <c r="B3981" s="303" t="str">
        <f t="shared" si="62"/>
        <v>x14001024</v>
      </c>
      <c r="C3981" t="s">
        <v>4</v>
      </c>
      <c r="D3981" t="s">
        <v>11280</v>
      </c>
      <c r="E3981">
        <v>14</v>
      </c>
      <c r="F3981" t="str">
        <f>IF(AND(Entities[[#This Row],[ENT_TYPE]]="County",RIGHT(Entities[[#This Row],[ENT_NAME]],6)&lt;&gt;"County"),_xlfn.TEXTJOIN(" ",TRUE,Entities[[#This Row],[ENT_NAME]],"County"),Entities[[#This Row],[ENT_NAME]])</f>
        <v>Val Verde County WCID-Comstock</v>
      </c>
    </row>
    <row r="3982" spans="1:6" x14ac:dyDescent="0.25">
      <c r="A3982" s="303" t="s">
        <v>11281</v>
      </c>
      <c r="B3982" s="303" t="str">
        <f t="shared" si="62"/>
        <v>x14001040</v>
      </c>
      <c r="C3982" t="s">
        <v>4</v>
      </c>
      <c r="D3982" t="s">
        <v>11282</v>
      </c>
      <c r="E3982">
        <v>14</v>
      </c>
      <c r="F3982" t="str">
        <f>IF(AND(Entities[[#This Row],[ENT_TYPE]]="County",RIGHT(Entities[[#This Row],[ENT_NAME]],6)&lt;&gt;"County"),_xlfn.TEXTJOIN(" ",TRUE,Entities[[#This Row],[ENT_NAME]],"County"),Entities[[#This Row],[ENT_NAME]])</f>
        <v>Crane County Water District</v>
      </c>
    </row>
    <row r="3983" spans="1:6" x14ac:dyDescent="0.25">
      <c r="A3983" s="303" t="s">
        <v>11283</v>
      </c>
      <c r="B3983" s="303" t="str">
        <f t="shared" si="62"/>
        <v>x14001083</v>
      </c>
      <c r="C3983" t="s">
        <v>4</v>
      </c>
      <c r="D3983" t="s">
        <v>11284</v>
      </c>
      <c r="E3983">
        <v>14</v>
      </c>
      <c r="F3983" t="str">
        <f>IF(AND(Entities[[#This Row],[ENT_TYPE]]="County",RIGHT(Entities[[#This Row],[ENT_NAME]],6)&lt;&gt;"County"),_xlfn.TEXTJOIN(" ",TRUE,Entities[[#This Row],[ENT_NAME]],"County"),Entities[[#This Row],[ENT_NAME]])</f>
        <v>Lower Valley Water District</v>
      </c>
    </row>
    <row r="3984" spans="1:6" x14ac:dyDescent="0.25">
      <c r="A3984" s="303" t="s">
        <v>11285</v>
      </c>
      <c r="B3984" s="303" t="str">
        <f t="shared" si="62"/>
        <v>x14001085</v>
      </c>
      <c r="C3984" t="s">
        <v>4</v>
      </c>
      <c r="D3984" t="s">
        <v>11286</v>
      </c>
      <c r="E3984">
        <v>14</v>
      </c>
      <c r="F3984" t="str">
        <f>IF(AND(Entities[[#This Row],[ENT_TYPE]]="County",RIGHT(Entities[[#This Row],[ENT_NAME]],6)&lt;&gt;"County"),_xlfn.TEXTJOIN(" ",TRUE,Entities[[#This Row],[ENT_NAME]],"County"),Entities[[#This Row],[ENT_NAME]])</f>
        <v>Paseo Del Este MUD 3</v>
      </c>
    </row>
    <row r="3985" spans="1:6" x14ac:dyDescent="0.25">
      <c r="A3985" s="303" t="s">
        <v>11287</v>
      </c>
      <c r="B3985" s="303" t="str">
        <f t="shared" si="62"/>
        <v>x14001086</v>
      </c>
      <c r="C3985" t="s">
        <v>4</v>
      </c>
      <c r="D3985" t="s">
        <v>11288</v>
      </c>
      <c r="E3985">
        <v>14</v>
      </c>
      <c r="F3985" t="str">
        <f>IF(AND(Entities[[#This Row],[ENT_TYPE]]="County",RIGHT(Entities[[#This Row],[ENT_NAME]],6)&lt;&gt;"County"),_xlfn.TEXTJOIN(" ",TRUE,Entities[[#This Row],[ENT_NAME]],"County"),Entities[[#This Row],[ENT_NAME]])</f>
        <v>Paseo Del Este MUD 1</v>
      </c>
    </row>
    <row r="3986" spans="1:6" x14ac:dyDescent="0.25">
      <c r="A3986" s="303" t="s">
        <v>11289</v>
      </c>
      <c r="B3986" s="303" t="str">
        <f t="shared" si="62"/>
        <v>x14001150</v>
      </c>
      <c r="C3986" t="s">
        <v>4</v>
      </c>
      <c r="D3986" t="s">
        <v>11290</v>
      </c>
      <c r="E3986">
        <v>14</v>
      </c>
      <c r="F3986" t="str">
        <f>IF(AND(Entities[[#This Row],[ENT_TYPE]]="County",RIGHT(Entities[[#This Row],[ENT_NAME]],6)&lt;&gt;"County"),_xlfn.TEXTJOIN(" ",TRUE,Entities[[#This Row],[ENT_NAME]],"County"),Entities[[#This Row],[ENT_NAME]])</f>
        <v>El Paso County WCID 4</v>
      </c>
    </row>
    <row r="3987" spans="1:6" x14ac:dyDescent="0.25">
      <c r="A3987" s="303" t="s">
        <v>11291</v>
      </c>
      <c r="B3987" s="303" t="str">
        <f t="shared" si="62"/>
        <v>x14001181</v>
      </c>
      <c r="C3987" t="s">
        <v>4</v>
      </c>
      <c r="D3987" t="s">
        <v>11292</v>
      </c>
      <c r="E3987">
        <v>14</v>
      </c>
      <c r="F3987" t="str">
        <f>IF(AND(Entities[[#This Row],[ENT_TYPE]]="County",RIGHT(Entities[[#This Row],[ENT_NAME]],6)&lt;&gt;"County"),_xlfn.TEXTJOIN(" ",TRUE,Entities[[#This Row],[ENT_NAME]],"County"),Entities[[#This Row],[ENT_NAME]])</f>
        <v>Pecos County WID 2</v>
      </c>
    </row>
    <row r="3988" spans="1:6" x14ac:dyDescent="0.25">
      <c r="A3988" s="303" t="s">
        <v>11293</v>
      </c>
      <c r="B3988" s="303" t="str">
        <f t="shared" si="62"/>
        <v>x14001182</v>
      </c>
      <c r="C3988" t="s">
        <v>4</v>
      </c>
      <c r="D3988" t="s">
        <v>11294</v>
      </c>
      <c r="E3988">
        <v>14</v>
      </c>
      <c r="F3988" t="str">
        <f>IF(AND(Entities[[#This Row],[ENT_TYPE]]="County",RIGHT(Entities[[#This Row],[ENT_NAME]],6)&lt;&gt;"County"),_xlfn.TEXTJOIN(" ",TRUE,Entities[[#This Row],[ENT_NAME]],"County"),Entities[[#This Row],[ENT_NAME]])</f>
        <v>Pecos County WID 3</v>
      </c>
    </row>
    <row r="3989" spans="1:6" x14ac:dyDescent="0.25">
      <c r="A3989" s="303" t="s">
        <v>11295</v>
      </c>
      <c r="B3989" s="303" t="str">
        <f t="shared" si="62"/>
        <v>x14001241</v>
      </c>
      <c r="C3989" t="s">
        <v>4</v>
      </c>
      <c r="D3989" t="s">
        <v>11296</v>
      </c>
      <c r="E3989">
        <v>14</v>
      </c>
      <c r="F3989" t="str">
        <f>IF(AND(Entities[[#This Row],[ENT_TYPE]]="County",RIGHT(Entities[[#This Row],[ENT_NAME]],6)&lt;&gt;"County"),_xlfn.TEXTJOIN(" ",TRUE,Entities[[#This Row],[ENT_NAME]],"County"),Entities[[#This Row],[ENT_NAME]])</f>
        <v>Paseo Del Este MUD 8</v>
      </c>
    </row>
    <row r="3990" spans="1:6" x14ac:dyDescent="0.25">
      <c r="A3990" s="303" t="s">
        <v>11297</v>
      </c>
      <c r="B3990" s="303" t="str">
        <f t="shared" si="62"/>
        <v>x14001266</v>
      </c>
      <c r="C3990" t="s">
        <v>4</v>
      </c>
      <c r="D3990" t="s">
        <v>11298</v>
      </c>
      <c r="E3990">
        <v>14</v>
      </c>
      <c r="F3990" t="str">
        <f>IF(AND(Entities[[#This Row],[ENT_TYPE]]="County",RIGHT(Entities[[#This Row],[ENT_NAME]],6)&lt;&gt;"County"),_xlfn.TEXTJOIN(" ",TRUE,Entities[[#This Row],[ENT_NAME]],"County"),Entities[[#This Row],[ENT_NAME]])</f>
        <v>Paseo Del Este MUD 2</v>
      </c>
    </row>
    <row r="3991" spans="1:6" x14ac:dyDescent="0.25">
      <c r="A3991" s="303" t="s">
        <v>11299</v>
      </c>
      <c r="B3991" s="303" t="str">
        <f t="shared" si="62"/>
        <v>x14001267</v>
      </c>
      <c r="C3991" t="s">
        <v>4</v>
      </c>
      <c r="D3991" t="s">
        <v>11300</v>
      </c>
      <c r="E3991">
        <v>14</v>
      </c>
      <c r="F3991" t="str">
        <f>IF(AND(Entities[[#This Row],[ENT_TYPE]]="County",RIGHT(Entities[[#This Row],[ENT_NAME]],6)&lt;&gt;"County"),_xlfn.TEXTJOIN(" ",TRUE,Entities[[#This Row],[ENT_NAME]],"County"),Entities[[#This Row],[ENT_NAME]])</f>
        <v>Paseo Del Este MUD 5</v>
      </c>
    </row>
    <row r="3992" spans="1:6" x14ac:dyDescent="0.25">
      <c r="A3992" s="303" t="s">
        <v>11301</v>
      </c>
      <c r="B3992" s="303" t="str">
        <f t="shared" si="62"/>
        <v>x14001268</v>
      </c>
      <c r="C3992" t="s">
        <v>4</v>
      </c>
      <c r="D3992" t="s">
        <v>11302</v>
      </c>
      <c r="E3992">
        <v>14</v>
      </c>
      <c r="F3992" t="str">
        <f>IF(AND(Entities[[#This Row],[ENT_TYPE]]="County",RIGHT(Entities[[#This Row],[ENT_NAME]],6)&lt;&gt;"County"),_xlfn.TEXTJOIN(" ",TRUE,Entities[[#This Row],[ENT_NAME]],"County"),Entities[[#This Row],[ENT_NAME]])</f>
        <v>Paseo Del Este MUD 6</v>
      </c>
    </row>
    <row r="3993" spans="1:6" x14ac:dyDescent="0.25">
      <c r="A3993" s="303" t="s">
        <v>11303</v>
      </c>
      <c r="B3993" s="303" t="str">
        <f t="shared" si="62"/>
        <v>x14001269</v>
      </c>
      <c r="C3993" t="s">
        <v>4</v>
      </c>
      <c r="D3993" t="s">
        <v>11304</v>
      </c>
      <c r="E3993">
        <v>14</v>
      </c>
      <c r="F3993" t="str">
        <f>IF(AND(Entities[[#This Row],[ENT_TYPE]]="County",RIGHT(Entities[[#This Row],[ENT_NAME]],6)&lt;&gt;"County"),_xlfn.TEXTJOIN(" ",TRUE,Entities[[#This Row],[ENT_NAME]],"County"),Entities[[#This Row],[ENT_NAME]])</f>
        <v>Paseo Del Este MUD 7</v>
      </c>
    </row>
    <row r="3994" spans="1:6" x14ac:dyDescent="0.25">
      <c r="A3994" s="303" t="s">
        <v>11305</v>
      </c>
      <c r="B3994" s="303" t="str">
        <f t="shared" si="62"/>
        <v>x14001270</v>
      </c>
      <c r="C3994" t="s">
        <v>4</v>
      </c>
      <c r="D3994" t="s">
        <v>11306</v>
      </c>
      <c r="E3994">
        <v>14</v>
      </c>
      <c r="F3994" t="str">
        <f>IF(AND(Entities[[#This Row],[ENT_TYPE]]="County",RIGHT(Entities[[#This Row],[ENT_NAME]],6)&lt;&gt;"County"),_xlfn.TEXTJOIN(" ",TRUE,Entities[[#This Row],[ENT_NAME]],"County"),Entities[[#This Row],[ENT_NAME]])</f>
        <v>Paseo Del Este MUD 4</v>
      </c>
    </row>
    <row r="3995" spans="1:6" x14ac:dyDescent="0.25">
      <c r="A3995" s="303" t="s">
        <v>11307</v>
      </c>
      <c r="B3995" s="303" t="str">
        <f t="shared" si="62"/>
        <v>x14001271</v>
      </c>
      <c r="C3995" t="s">
        <v>4</v>
      </c>
      <c r="D3995" t="s">
        <v>11308</v>
      </c>
      <c r="E3995">
        <v>14</v>
      </c>
      <c r="F3995" t="str">
        <f>IF(AND(Entities[[#This Row],[ENT_TYPE]]="County",RIGHT(Entities[[#This Row],[ENT_NAME]],6)&lt;&gt;"County"),_xlfn.TEXTJOIN(" ",TRUE,Entities[[#This Row],[ENT_NAME]],"County"),Entities[[#This Row],[ENT_NAME]])</f>
        <v>Paseo Del Este MUD 9</v>
      </c>
    </row>
    <row r="3996" spans="1:6" x14ac:dyDescent="0.25">
      <c r="A3996" s="303" t="s">
        <v>11309</v>
      </c>
      <c r="B3996" s="303" t="str">
        <f t="shared" si="62"/>
        <v>x14001479</v>
      </c>
      <c r="C3996" t="s">
        <v>4</v>
      </c>
      <c r="D3996" t="s">
        <v>11310</v>
      </c>
      <c r="E3996">
        <v>14</v>
      </c>
      <c r="F3996" t="str">
        <f>IF(AND(Entities[[#This Row],[ENT_TYPE]]="County",RIGHT(Entities[[#This Row],[ENT_NAME]],6)&lt;&gt;"County"),_xlfn.TEXTJOIN(" ",TRUE,Entities[[#This Row],[ENT_NAME]],"County"),Entities[[#This Row],[ENT_NAME]])</f>
        <v>Paseo Del Este MUD 10</v>
      </c>
    </row>
    <row r="3997" spans="1:6" x14ac:dyDescent="0.25">
      <c r="A3997" s="303" t="s">
        <v>11311</v>
      </c>
      <c r="B3997" s="303" t="str">
        <f t="shared" si="62"/>
        <v>x14001497</v>
      </c>
      <c r="C3997" t="s">
        <v>4</v>
      </c>
      <c r="D3997" t="s">
        <v>11312</v>
      </c>
      <c r="E3997">
        <v>14</v>
      </c>
      <c r="F3997" t="str">
        <f>IF(AND(Entities[[#This Row],[ENT_TYPE]]="County",RIGHT(Entities[[#This Row],[ENT_NAME]],6)&lt;&gt;"County"),_xlfn.TEXTJOIN(" ",TRUE,Entities[[#This Row],[ENT_NAME]],"County"),Entities[[#This Row],[ENT_NAME]])</f>
        <v>Presidio County WID 1</v>
      </c>
    </row>
    <row r="3998" spans="1:6" x14ac:dyDescent="0.25">
      <c r="A3998" s="303" t="s">
        <v>11313</v>
      </c>
      <c r="B3998" s="303" t="str">
        <f t="shared" si="62"/>
        <v>x14001562</v>
      </c>
      <c r="C3998" t="s">
        <v>4</v>
      </c>
      <c r="D3998" t="s">
        <v>11314</v>
      </c>
      <c r="E3998">
        <v>14</v>
      </c>
      <c r="F3998" t="str">
        <f>IF(AND(Entities[[#This Row],[ENT_TYPE]]="County",RIGHT(Entities[[#This Row],[ENT_NAME]],6)&lt;&gt;"County"),_xlfn.TEXTJOIN(" ",TRUE,Entities[[#This Row],[ENT_NAME]],"County"),Entities[[#This Row],[ENT_NAME]])</f>
        <v>Fort Hancock WCID</v>
      </c>
    </row>
    <row r="3999" spans="1:6" x14ac:dyDescent="0.25">
      <c r="A3999" s="303" t="s">
        <v>11315</v>
      </c>
      <c r="B3999" s="303" t="str">
        <f t="shared" si="62"/>
        <v>x14001612</v>
      </c>
      <c r="C3999" t="s">
        <v>4</v>
      </c>
      <c r="D3999" t="s">
        <v>11316</v>
      </c>
      <c r="E3999">
        <v>14</v>
      </c>
      <c r="F3999" t="str">
        <f>IF(AND(Entities[[#This Row],[ENT_TYPE]]="County",RIGHT(Entities[[#This Row],[ENT_NAME]],6)&lt;&gt;"County"),_xlfn.TEXTJOIN(" ",TRUE,Entities[[#This Row],[ENT_NAME]],"County"),Entities[[#This Row],[ENT_NAME]])</f>
        <v>Paseo Del Este MUD 11</v>
      </c>
    </row>
    <row r="4000" spans="1:6" x14ac:dyDescent="0.25">
      <c r="A4000" s="303" t="s">
        <v>11317</v>
      </c>
      <c r="B4000" s="303" t="str">
        <f t="shared" si="62"/>
        <v>x14001668</v>
      </c>
      <c r="C4000" t="s">
        <v>4</v>
      </c>
      <c r="D4000" t="s">
        <v>11318</v>
      </c>
      <c r="E4000">
        <v>14</v>
      </c>
      <c r="F4000" t="str">
        <f>IF(AND(Entities[[#This Row],[ENT_TYPE]]="County",RIGHT(Entities[[#This Row],[ENT_NAME]],6)&lt;&gt;"County"),_xlfn.TEXTJOIN(" ",TRUE,Entities[[#This Row],[ENT_NAME]],"County"),Entities[[#This Row],[ENT_NAME]])</f>
        <v>Crockett County WCID 1</v>
      </c>
    </row>
    <row r="4001" spans="1:6" x14ac:dyDescent="0.25">
      <c r="A4001" s="303" t="s">
        <v>11319</v>
      </c>
      <c r="B4001" s="303" t="str">
        <f t="shared" si="62"/>
        <v>x14001744</v>
      </c>
      <c r="C4001" t="s">
        <v>4</v>
      </c>
      <c r="D4001" t="s">
        <v>11320</v>
      </c>
      <c r="E4001">
        <v>14</v>
      </c>
      <c r="F4001" t="str">
        <f>IF(AND(Entities[[#This Row],[ENT_TYPE]]="County",RIGHT(Entities[[#This Row],[ENT_NAME]],6)&lt;&gt;"County"),_xlfn.TEXTJOIN(" ",TRUE,Entities[[#This Row],[ENT_NAME]],"County"),Entities[[#This Row],[ENT_NAME]])</f>
        <v>El Paso Downtown Management District</v>
      </c>
    </row>
    <row r="4002" spans="1:6" x14ac:dyDescent="0.25">
      <c r="A4002" s="303" t="s">
        <v>11321</v>
      </c>
      <c r="B4002" s="303" t="str">
        <f t="shared" si="62"/>
        <v>x14001777</v>
      </c>
      <c r="C4002" t="s">
        <v>4</v>
      </c>
      <c r="D4002" t="s">
        <v>11322</v>
      </c>
      <c r="E4002">
        <v>14</v>
      </c>
      <c r="F4002" t="str">
        <f>IF(AND(Entities[[#This Row],[ENT_TYPE]]="County",RIGHT(Entities[[#This Row],[ENT_NAME]],6)&lt;&gt;"County"),_xlfn.TEXTJOIN(" ",TRUE,Entities[[#This Row],[ENT_NAME]],"County"),Entities[[#This Row],[ENT_NAME]])</f>
        <v>Haciendas Del Norte WID</v>
      </c>
    </row>
    <row r="4003" spans="1:6" x14ac:dyDescent="0.25">
      <c r="A4003" s="303" t="s">
        <v>11323</v>
      </c>
      <c r="B4003" s="303" t="str">
        <f t="shared" si="62"/>
        <v>x14001831</v>
      </c>
      <c r="C4003" t="s">
        <v>4</v>
      </c>
      <c r="D4003" t="s">
        <v>11324</v>
      </c>
      <c r="E4003">
        <v>14</v>
      </c>
      <c r="F4003" t="str">
        <f>IF(AND(Entities[[#This Row],[ENT_TYPE]]="County",RIGHT(Entities[[#This Row],[ENT_NAME]],6)&lt;&gt;"County"),_xlfn.TEXTJOIN(" ",TRUE,Entities[[#This Row],[ENT_NAME]],"County"),Entities[[#This Row],[ENT_NAME]])</f>
        <v>Montecillo MMD 1</v>
      </c>
    </row>
    <row r="4004" spans="1:6" x14ac:dyDescent="0.25">
      <c r="A4004" s="303" t="s">
        <v>11325</v>
      </c>
      <c r="B4004" s="303" t="str">
        <f t="shared" si="62"/>
        <v>x14002247</v>
      </c>
      <c r="C4004" t="s">
        <v>4</v>
      </c>
      <c r="D4004" t="s">
        <v>11326</v>
      </c>
      <c r="E4004">
        <v>14</v>
      </c>
      <c r="F4004" t="str">
        <f>IF(AND(Entities[[#This Row],[ENT_TYPE]]="County",RIGHT(Entities[[#This Row],[ENT_NAME]],6)&lt;&gt;"County"),_xlfn.TEXTJOIN(" ",TRUE,Entities[[#This Row],[ENT_NAME]],"County"),Entities[[#This Row],[ENT_NAME]])</f>
        <v>Butterfield Trail MUD 1</v>
      </c>
    </row>
    <row r="4005" spans="1:6" x14ac:dyDescent="0.25">
      <c r="A4005" s="303" t="s">
        <v>11327</v>
      </c>
      <c r="B4005" s="303" t="str">
        <f t="shared" si="62"/>
        <v>x14002248</v>
      </c>
      <c r="C4005" t="s">
        <v>4</v>
      </c>
      <c r="D4005" t="s">
        <v>11328</v>
      </c>
      <c r="E4005">
        <v>14</v>
      </c>
      <c r="F4005" t="str">
        <f>IF(AND(Entities[[#This Row],[ENT_TYPE]]="County",RIGHT(Entities[[#This Row],[ENT_NAME]],6)&lt;&gt;"County"),_xlfn.TEXTJOIN(" ",TRUE,Entities[[#This Row],[ENT_NAME]],"County"),Entities[[#This Row],[ENT_NAME]])</f>
        <v>Butterfield Trail MUD 2</v>
      </c>
    </row>
    <row r="4006" spans="1:6" x14ac:dyDescent="0.25">
      <c r="A4006" s="303" t="s">
        <v>11329</v>
      </c>
      <c r="B4006" s="303" t="str">
        <f t="shared" si="62"/>
        <v>x14002326</v>
      </c>
      <c r="C4006" t="s">
        <v>4</v>
      </c>
      <c r="D4006" t="s">
        <v>11330</v>
      </c>
      <c r="E4006">
        <v>14</v>
      </c>
      <c r="F4006" t="str">
        <f>IF(AND(Entities[[#This Row],[ENT_TYPE]]="County",RIGHT(Entities[[#This Row],[ENT_NAME]],6)&lt;&gt;"County"),_xlfn.TEXTJOIN(" ",TRUE,Entities[[#This Row],[ENT_NAME]],"County"),Entities[[#This Row],[ENT_NAME]])</f>
        <v>City of El Paso MMD 1</v>
      </c>
    </row>
    <row r="4007" spans="1:6" x14ac:dyDescent="0.25">
      <c r="A4007" s="303" t="s">
        <v>11331</v>
      </c>
      <c r="B4007" s="303" t="str">
        <f t="shared" si="62"/>
        <v>x14002406</v>
      </c>
      <c r="C4007" t="s">
        <v>5458</v>
      </c>
      <c r="D4007" t="s">
        <v>11332</v>
      </c>
      <c r="E4007">
        <v>14</v>
      </c>
      <c r="F4007" t="str">
        <f>IF(AND(Entities[[#This Row],[ENT_TYPE]]="County",RIGHT(Entities[[#This Row],[ENT_NAME]],6)&lt;&gt;"County"),_xlfn.TEXTJOIN(" ",TRUE,Entities[[#This Row],[ENT_NAME]],"County"),Entities[[#This Row],[ENT_NAME]])</f>
        <v>Van Horn town</v>
      </c>
    </row>
    <row r="4008" spans="1:6" x14ac:dyDescent="0.25">
      <c r="A4008" s="303" t="s">
        <v>11333</v>
      </c>
      <c r="B4008" s="303" t="str">
        <f t="shared" si="62"/>
        <v>x14002443</v>
      </c>
      <c r="C4008" t="s">
        <v>5458</v>
      </c>
      <c r="D4008" t="s">
        <v>11334</v>
      </c>
      <c r="E4008">
        <v>14</v>
      </c>
      <c r="F4008" t="str">
        <f>IF(AND(Entities[[#This Row],[ENT_TYPE]]="County",RIGHT(Entities[[#This Row],[ENT_NAME]],6)&lt;&gt;"County"),_xlfn.TEXTJOIN(" ",TRUE,Entities[[#This Row],[ENT_NAME]],"County"),Entities[[#This Row],[ENT_NAME]])</f>
        <v>Anthony town</v>
      </c>
    </row>
    <row r="4009" spans="1:6" x14ac:dyDescent="0.25">
      <c r="A4009" s="303" t="s">
        <v>11335</v>
      </c>
      <c r="B4009" s="303" t="str">
        <f t="shared" si="62"/>
        <v>x14002444</v>
      </c>
      <c r="C4009" t="s">
        <v>5458</v>
      </c>
      <c r="D4009" t="s">
        <v>11336</v>
      </c>
      <c r="E4009">
        <v>14</v>
      </c>
      <c r="F4009" t="str">
        <f>IF(AND(Entities[[#This Row],[ENT_TYPE]]="County",RIGHT(Entities[[#This Row],[ENT_NAME]],6)&lt;&gt;"County"),_xlfn.TEXTJOIN(" ",TRUE,Entities[[#This Row],[ENT_NAME]],"County"),Entities[[#This Row],[ENT_NAME]])</f>
        <v>El Paso city</v>
      </c>
    </row>
    <row r="4010" spans="1:6" x14ac:dyDescent="0.25">
      <c r="A4010" s="303" t="s">
        <v>11337</v>
      </c>
      <c r="B4010" s="303" t="str">
        <f t="shared" si="62"/>
        <v>x14002509</v>
      </c>
      <c r="C4010" t="s">
        <v>5458</v>
      </c>
      <c r="D4010" t="s">
        <v>11338</v>
      </c>
      <c r="E4010">
        <v>14</v>
      </c>
      <c r="F4010" t="str">
        <f>IF(AND(Entities[[#This Row],[ENT_TYPE]]="County",RIGHT(Entities[[#This Row],[ENT_NAME]],6)&lt;&gt;"County"),_xlfn.TEXTJOIN(" ",TRUE,Entities[[#This Row],[ENT_NAME]],"County"),Entities[[#This Row],[ENT_NAME]])</f>
        <v>Valentine town</v>
      </c>
    </row>
    <row r="4011" spans="1:6" x14ac:dyDescent="0.25">
      <c r="A4011" s="303" t="s">
        <v>11339</v>
      </c>
      <c r="B4011" s="303" t="str">
        <f t="shared" si="62"/>
        <v>x14002574</v>
      </c>
      <c r="C4011" t="s">
        <v>5458</v>
      </c>
      <c r="D4011" t="s">
        <v>11340</v>
      </c>
      <c r="E4011">
        <v>14</v>
      </c>
      <c r="F4011" t="str">
        <f>IF(AND(Entities[[#This Row],[ENT_TYPE]]="County",RIGHT(Entities[[#This Row],[ENT_NAME]],6)&lt;&gt;"County"),_xlfn.TEXTJOIN(" ",TRUE,Entities[[#This Row],[ENT_NAME]],"County"),Entities[[#This Row],[ENT_NAME]])</f>
        <v>Monahans city</v>
      </c>
    </row>
    <row r="4012" spans="1:6" x14ac:dyDescent="0.25">
      <c r="A4012" s="303" t="s">
        <v>11341</v>
      </c>
      <c r="B4012" s="303" t="str">
        <f t="shared" si="62"/>
        <v>x14002721</v>
      </c>
      <c r="C4012" t="s">
        <v>5458</v>
      </c>
      <c r="D4012" t="s">
        <v>11342</v>
      </c>
      <c r="E4012">
        <v>14</v>
      </c>
      <c r="F4012" t="str">
        <f>IF(AND(Entities[[#This Row],[ENT_TYPE]]="County",RIGHT(Entities[[#This Row],[ENT_NAME]],6)&lt;&gt;"County"),_xlfn.TEXTJOIN(" ",TRUE,Entities[[#This Row],[ENT_NAME]],"County"),Entities[[#This Row],[ENT_NAME]])</f>
        <v>San Elizario city</v>
      </c>
    </row>
    <row r="4013" spans="1:6" x14ac:dyDescent="0.25">
      <c r="A4013" s="303" t="s">
        <v>11343</v>
      </c>
      <c r="B4013" s="303" t="str">
        <f t="shared" si="62"/>
        <v>x14002792</v>
      </c>
      <c r="C4013" t="s">
        <v>5458</v>
      </c>
      <c r="D4013" t="s">
        <v>11344</v>
      </c>
      <c r="E4013">
        <v>14</v>
      </c>
      <c r="F4013" t="str">
        <f>IF(AND(Entities[[#This Row],[ENT_TYPE]]="County",RIGHT(Entities[[#This Row],[ENT_NAME]],6)&lt;&gt;"County"),_xlfn.TEXTJOIN(" ",TRUE,Entities[[#This Row],[ENT_NAME]],"County"),Entities[[#This Row],[ENT_NAME]])</f>
        <v>Sonora city</v>
      </c>
    </row>
    <row r="4014" spans="1:6" x14ac:dyDescent="0.25">
      <c r="A4014" s="303" t="s">
        <v>11345</v>
      </c>
      <c r="B4014" s="303" t="str">
        <f t="shared" si="62"/>
        <v>x14002793</v>
      </c>
      <c r="C4014" t="s">
        <v>5458</v>
      </c>
      <c r="D4014" t="s">
        <v>11346</v>
      </c>
      <c r="E4014">
        <v>14</v>
      </c>
      <c r="F4014" t="str">
        <f>IF(AND(Entities[[#This Row],[ENT_TYPE]]="County",RIGHT(Entities[[#This Row],[ENT_NAME]],6)&lt;&gt;"County"),_xlfn.TEXTJOIN(" ",TRUE,Entities[[#This Row],[ENT_NAME]],"County"),Entities[[#This Row],[ENT_NAME]])</f>
        <v>McCamey city</v>
      </c>
    </row>
    <row r="4015" spans="1:6" x14ac:dyDescent="0.25">
      <c r="A4015" s="303" t="s">
        <v>11347</v>
      </c>
      <c r="B4015" s="303" t="str">
        <f t="shared" si="62"/>
        <v>x14002847</v>
      </c>
      <c r="C4015" t="s">
        <v>5458</v>
      </c>
      <c r="D4015" t="s">
        <v>11348</v>
      </c>
      <c r="E4015">
        <v>14</v>
      </c>
      <c r="F4015" t="str">
        <f>IF(AND(Entities[[#This Row],[ENT_TYPE]]="County",RIGHT(Entities[[#This Row],[ENT_NAME]],6)&lt;&gt;"County"),_xlfn.TEXTJOIN(" ",TRUE,Entities[[#This Row],[ENT_NAME]],"County"),Entities[[#This Row],[ENT_NAME]])</f>
        <v>Horizon City city</v>
      </c>
    </row>
    <row r="4016" spans="1:6" x14ac:dyDescent="0.25">
      <c r="A4016" s="303" t="s">
        <v>11349</v>
      </c>
      <c r="B4016" s="303" t="str">
        <f t="shared" si="62"/>
        <v>x14002848</v>
      </c>
      <c r="C4016" t="s">
        <v>5458</v>
      </c>
      <c r="D4016" t="s">
        <v>11350</v>
      </c>
      <c r="E4016">
        <v>14</v>
      </c>
      <c r="F4016" t="str">
        <f>IF(AND(Entities[[#This Row],[ENT_TYPE]]="County",RIGHT(Entities[[#This Row],[ENT_NAME]],6)&lt;&gt;"County"),_xlfn.TEXTJOIN(" ",TRUE,Entities[[#This Row],[ENT_NAME]],"County"),Entities[[#This Row],[ENT_NAME]])</f>
        <v>Socorro city</v>
      </c>
    </row>
    <row r="4017" spans="1:6" x14ac:dyDescent="0.25">
      <c r="A4017" s="303" t="s">
        <v>11351</v>
      </c>
      <c r="B4017" s="303" t="str">
        <f t="shared" si="62"/>
        <v>x14002849</v>
      </c>
      <c r="C4017" t="s">
        <v>5458</v>
      </c>
      <c r="D4017" t="s">
        <v>11352</v>
      </c>
      <c r="E4017">
        <v>14</v>
      </c>
      <c r="F4017" t="str">
        <f>IF(AND(Entities[[#This Row],[ENT_TYPE]]="County",RIGHT(Entities[[#This Row],[ENT_NAME]],6)&lt;&gt;"County"),_xlfn.TEXTJOIN(" ",TRUE,Entities[[#This Row],[ENT_NAME]],"County"),Entities[[#This Row],[ENT_NAME]])</f>
        <v>Vinton village</v>
      </c>
    </row>
    <row r="4018" spans="1:6" x14ac:dyDescent="0.25">
      <c r="A4018" s="303" t="s">
        <v>11353</v>
      </c>
      <c r="B4018" s="303" t="str">
        <f t="shared" si="62"/>
        <v>x14002911</v>
      </c>
      <c r="C4018" t="s">
        <v>5458</v>
      </c>
      <c r="D4018" t="s">
        <v>11354</v>
      </c>
      <c r="E4018">
        <v>14</v>
      </c>
      <c r="F4018" t="str">
        <f>IF(AND(Entities[[#This Row],[ENT_TYPE]]="County",RIGHT(Entities[[#This Row],[ENT_NAME]],6)&lt;&gt;"County"),_xlfn.TEXTJOIN(" ",TRUE,Entities[[#This Row],[ENT_NAME]],"County"),Entities[[#This Row],[ENT_NAME]])</f>
        <v>Kermit city</v>
      </c>
    </row>
    <row r="4019" spans="1:6" x14ac:dyDescent="0.25">
      <c r="A4019" s="303" t="s">
        <v>11355</v>
      </c>
      <c r="B4019" s="303" t="str">
        <f t="shared" si="62"/>
        <v>x14002944</v>
      </c>
      <c r="C4019" t="s">
        <v>5458</v>
      </c>
      <c r="D4019" t="s">
        <v>11356</v>
      </c>
      <c r="E4019">
        <v>14</v>
      </c>
      <c r="F4019" t="str">
        <f>IF(AND(Entities[[#This Row],[ENT_TYPE]]="County",RIGHT(Entities[[#This Row],[ENT_NAME]],6)&lt;&gt;"County"),_xlfn.TEXTJOIN(" ",TRUE,Entities[[#This Row],[ENT_NAME]],"County"),Entities[[#This Row],[ENT_NAME]])</f>
        <v>Barstow city</v>
      </c>
    </row>
    <row r="4020" spans="1:6" x14ac:dyDescent="0.25">
      <c r="A4020" s="303" t="s">
        <v>11357</v>
      </c>
      <c r="B4020" s="303" t="str">
        <f t="shared" si="62"/>
        <v>x14002945</v>
      </c>
      <c r="C4020" t="s">
        <v>5458</v>
      </c>
      <c r="D4020" t="s">
        <v>11358</v>
      </c>
      <c r="E4020">
        <v>14</v>
      </c>
      <c r="F4020" t="str">
        <f>IF(AND(Entities[[#This Row],[ENT_TYPE]]="County",RIGHT(Entities[[#This Row],[ENT_NAME]],6)&lt;&gt;"County"),_xlfn.TEXTJOIN(" ",TRUE,Entities[[#This Row],[ENT_NAME]],"County"),Entities[[#This Row],[ENT_NAME]])</f>
        <v>Pyote town</v>
      </c>
    </row>
    <row r="4021" spans="1:6" x14ac:dyDescent="0.25">
      <c r="A4021" s="303" t="s">
        <v>11359</v>
      </c>
      <c r="B4021" s="303" t="str">
        <f t="shared" si="62"/>
        <v>x14003142</v>
      </c>
      <c r="C4021" t="s">
        <v>5458</v>
      </c>
      <c r="D4021" t="s">
        <v>11360</v>
      </c>
      <c r="E4021">
        <v>14</v>
      </c>
      <c r="F4021" t="str">
        <f>IF(AND(Entities[[#This Row],[ENT_TYPE]]="County",RIGHT(Entities[[#This Row],[ENT_NAME]],6)&lt;&gt;"County"),_xlfn.TEXTJOIN(" ",TRUE,Entities[[#This Row],[ENT_NAME]],"County"),Entities[[#This Row],[ENT_NAME]])</f>
        <v>Clint town</v>
      </c>
    </row>
    <row r="4022" spans="1:6" x14ac:dyDescent="0.25">
      <c r="A4022" s="303" t="s">
        <v>11361</v>
      </c>
      <c r="B4022" s="303" t="str">
        <f t="shared" si="62"/>
        <v>x14003148</v>
      </c>
      <c r="C4022" t="s">
        <v>5458</v>
      </c>
      <c r="D4022" t="s">
        <v>11362</v>
      </c>
      <c r="E4022">
        <v>14</v>
      </c>
      <c r="F4022" t="str">
        <f>IF(AND(Entities[[#This Row],[ENT_TYPE]]="County",RIGHT(Entities[[#This Row],[ENT_NAME]],6)&lt;&gt;"County"),_xlfn.TEXTJOIN(" ",TRUE,Entities[[#This Row],[ENT_NAME]],"County"),Entities[[#This Row],[ENT_NAME]])</f>
        <v>Toyah town</v>
      </c>
    </row>
    <row r="4023" spans="1:6" x14ac:dyDescent="0.25">
      <c r="A4023" s="303" t="s">
        <v>11363</v>
      </c>
      <c r="B4023" s="303" t="str">
        <f t="shared" si="62"/>
        <v>x14003208</v>
      </c>
      <c r="C4023" t="s">
        <v>5458</v>
      </c>
      <c r="D4023" t="s">
        <v>11364</v>
      </c>
      <c r="E4023">
        <v>14</v>
      </c>
      <c r="F4023" t="str">
        <f>IF(AND(Entities[[#This Row],[ENT_TYPE]]="County",RIGHT(Entities[[#This Row],[ENT_NAME]],6)&lt;&gt;"County"),_xlfn.TEXTJOIN(" ",TRUE,Entities[[#This Row],[ENT_NAME]],"County"),Entities[[#This Row],[ENT_NAME]])</f>
        <v>Alpine city</v>
      </c>
    </row>
    <row r="4024" spans="1:6" x14ac:dyDescent="0.25">
      <c r="A4024" s="303" t="s">
        <v>11365</v>
      </c>
      <c r="B4024" s="303" t="str">
        <f t="shared" si="62"/>
        <v>x14003232</v>
      </c>
      <c r="C4024" t="s">
        <v>5458</v>
      </c>
      <c r="D4024" t="s">
        <v>11366</v>
      </c>
      <c r="E4024">
        <v>14</v>
      </c>
      <c r="F4024" t="str">
        <f>IF(AND(Entities[[#This Row],[ENT_TYPE]]="County",RIGHT(Entities[[#This Row],[ENT_NAME]],6)&lt;&gt;"County"),_xlfn.TEXTJOIN(" ",TRUE,Entities[[#This Row],[ENT_NAME]],"County"),Entities[[#This Row],[ENT_NAME]])</f>
        <v>Fort Stockton city</v>
      </c>
    </row>
    <row r="4025" spans="1:6" x14ac:dyDescent="0.25">
      <c r="A4025" s="303" t="s">
        <v>11367</v>
      </c>
      <c r="B4025" s="303" t="str">
        <f t="shared" si="62"/>
        <v>x14003238</v>
      </c>
      <c r="C4025" t="s">
        <v>5458</v>
      </c>
      <c r="D4025" t="s">
        <v>11368</v>
      </c>
      <c r="E4025">
        <v>14</v>
      </c>
      <c r="F4025" t="str">
        <f>IF(AND(Entities[[#This Row],[ENT_TYPE]]="County",RIGHT(Entities[[#This Row],[ENT_NAME]],6)&lt;&gt;"County"),_xlfn.TEXTJOIN(" ",TRUE,Entities[[#This Row],[ENT_NAME]],"County"),Entities[[#This Row],[ENT_NAME]])</f>
        <v>Iraan city</v>
      </c>
    </row>
    <row r="4026" spans="1:6" x14ac:dyDescent="0.25">
      <c r="A4026" s="303" t="s">
        <v>11369</v>
      </c>
      <c r="B4026" s="303" t="str">
        <f t="shared" si="62"/>
        <v>x14003245</v>
      </c>
      <c r="C4026" t="s">
        <v>5458</v>
      </c>
      <c r="D4026" t="s">
        <v>11370</v>
      </c>
      <c r="E4026">
        <v>14</v>
      </c>
      <c r="F4026" t="str">
        <f>IF(AND(Entities[[#This Row],[ENT_TYPE]]="County",RIGHT(Entities[[#This Row],[ENT_NAME]],6)&lt;&gt;"County"),_xlfn.TEXTJOIN(" ",TRUE,Entities[[#This Row],[ENT_NAME]],"County"),Entities[[#This Row],[ENT_NAME]])</f>
        <v>Grandfalls town</v>
      </c>
    </row>
    <row r="4027" spans="1:6" x14ac:dyDescent="0.25">
      <c r="A4027" s="303" t="s">
        <v>11371</v>
      </c>
      <c r="B4027" s="303" t="str">
        <f t="shared" si="62"/>
        <v>x14003246</v>
      </c>
      <c r="C4027" t="s">
        <v>5458</v>
      </c>
      <c r="D4027" t="s">
        <v>11372</v>
      </c>
      <c r="E4027">
        <v>14</v>
      </c>
      <c r="F4027" t="str">
        <f>IF(AND(Entities[[#This Row],[ENT_TYPE]]="County",RIGHT(Entities[[#This Row],[ENT_NAME]],6)&lt;&gt;"County"),_xlfn.TEXTJOIN(" ",TRUE,Entities[[#This Row],[ENT_NAME]],"County"),Entities[[#This Row],[ENT_NAME]])</f>
        <v>Thorntonville town</v>
      </c>
    </row>
    <row r="4028" spans="1:6" x14ac:dyDescent="0.25">
      <c r="A4028" s="303" t="s">
        <v>11373</v>
      </c>
      <c r="B4028" s="303" t="str">
        <f t="shared" si="62"/>
        <v>x14003247</v>
      </c>
      <c r="C4028" t="s">
        <v>5458</v>
      </c>
      <c r="D4028" t="s">
        <v>11374</v>
      </c>
      <c r="E4028">
        <v>14</v>
      </c>
      <c r="F4028" t="str">
        <f>IF(AND(Entities[[#This Row],[ENT_TYPE]]="County",RIGHT(Entities[[#This Row],[ENT_NAME]],6)&lt;&gt;"County"),_xlfn.TEXTJOIN(" ",TRUE,Entities[[#This Row],[ENT_NAME]],"County"),Entities[[#This Row],[ENT_NAME]])</f>
        <v>Wickett town</v>
      </c>
    </row>
    <row r="4029" spans="1:6" x14ac:dyDescent="0.25">
      <c r="A4029" s="303" t="s">
        <v>11375</v>
      </c>
      <c r="B4029" s="303" t="str">
        <f t="shared" si="62"/>
        <v>x14003260</v>
      </c>
      <c r="C4029" t="s">
        <v>5458</v>
      </c>
      <c r="D4029" t="s">
        <v>11376</v>
      </c>
      <c r="E4029">
        <v>14</v>
      </c>
      <c r="F4029" t="str">
        <f>IF(AND(Entities[[#This Row],[ENT_TYPE]]="County",RIGHT(Entities[[#This Row],[ENT_NAME]],6)&lt;&gt;"County"),_xlfn.TEXTJOIN(" ",TRUE,Entities[[#This Row],[ENT_NAME]],"County"),Entities[[#This Row],[ENT_NAME]])</f>
        <v>Crane city</v>
      </c>
    </row>
    <row r="4030" spans="1:6" x14ac:dyDescent="0.25">
      <c r="A4030" s="303" t="s">
        <v>11377</v>
      </c>
      <c r="B4030" s="303" t="str">
        <f t="shared" si="62"/>
        <v>x14003279</v>
      </c>
      <c r="C4030" t="s">
        <v>5458</v>
      </c>
      <c r="D4030" t="s">
        <v>11378</v>
      </c>
      <c r="E4030">
        <v>14</v>
      </c>
      <c r="F4030" t="str">
        <f>IF(AND(Entities[[#This Row],[ENT_TYPE]]="County",RIGHT(Entities[[#This Row],[ENT_NAME]],6)&lt;&gt;"County"),_xlfn.TEXTJOIN(" ",TRUE,Entities[[#This Row],[ENT_NAME]],"County"),Entities[[#This Row],[ENT_NAME]])</f>
        <v>Balmorhea city</v>
      </c>
    </row>
    <row r="4031" spans="1:6" x14ac:dyDescent="0.25">
      <c r="A4031" s="303" t="s">
        <v>11379</v>
      </c>
      <c r="B4031" s="303" t="str">
        <f t="shared" si="62"/>
        <v>x14003280</v>
      </c>
      <c r="C4031" t="s">
        <v>5458</v>
      </c>
      <c r="D4031" t="s">
        <v>11380</v>
      </c>
      <c r="E4031">
        <v>14</v>
      </c>
      <c r="F4031" t="str">
        <f>IF(AND(Entities[[#This Row],[ENT_TYPE]]="County",RIGHT(Entities[[#This Row],[ENT_NAME]],6)&lt;&gt;"County"),_xlfn.TEXTJOIN(" ",TRUE,Entities[[#This Row],[ENT_NAME]],"County"),Entities[[#This Row],[ENT_NAME]])</f>
        <v>Pecos city</v>
      </c>
    </row>
    <row r="4032" spans="1:6" x14ac:dyDescent="0.25">
      <c r="A4032" s="303" t="s">
        <v>11381</v>
      </c>
      <c r="B4032" s="303" t="str">
        <f t="shared" si="62"/>
        <v>x14003289</v>
      </c>
      <c r="C4032" t="s">
        <v>5458</v>
      </c>
      <c r="D4032" t="s">
        <v>11382</v>
      </c>
      <c r="E4032">
        <v>14</v>
      </c>
      <c r="F4032" t="str">
        <f>IF(AND(Entities[[#This Row],[ENT_TYPE]]="County",RIGHT(Entities[[#This Row],[ENT_NAME]],6)&lt;&gt;"County"),_xlfn.TEXTJOIN(" ",TRUE,Entities[[#This Row],[ENT_NAME]],"County"),Entities[[#This Row],[ENT_NAME]])</f>
        <v>Dell City city</v>
      </c>
    </row>
    <row r="4033" spans="1:6" x14ac:dyDescent="0.25">
      <c r="A4033" s="303" t="s">
        <v>11383</v>
      </c>
      <c r="B4033" s="303" t="str">
        <f t="shared" si="62"/>
        <v>x14003326</v>
      </c>
      <c r="C4033" t="s">
        <v>5458</v>
      </c>
      <c r="D4033" t="s">
        <v>11384</v>
      </c>
      <c r="E4033">
        <v>14</v>
      </c>
      <c r="F4033" t="str">
        <f>IF(AND(Entities[[#This Row],[ENT_TYPE]]="County",RIGHT(Entities[[#This Row],[ENT_NAME]],6)&lt;&gt;"County"),_xlfn.TEXTJOIN(" ",TRUE,Entities[[#This Row],[ENT_NAME]],"County"),Entities[[#This Row],[ENT_NAME]])</f>
        <v>Marfa city</v>
      </c>
    </row>
    <row r="4034" spans="1:6" x14ac:dyDescent="0.25">
      <c r="A4034" s="303" t="s">
        <v>11385</v>
      </c>
      <c r="B4034" s="303" t="str">
        <f t="shared" ref="B4034:B4097" si="63">_xlfn.CONCAT("x",TEXT(A4034,"00000000"))</f>
        <v>x14003375</v>
      </c>
      <c r="C4034" t="s">
        <v>5458</v>
      </c>
      <c r="D4034" t="s">
        <v>11386</v>
      </c>
      <c r="E4034">
        <v>14</v>
      </c>
      <c r="F4034" t="str">
        <f>IF(AND(Entities[[#This Row],[ENT_TYPE]]="County",RIGHT(Entities[[#This Row],[ENT_NAME]],6)&lt;&gt;"County"),_xlfn.TEXTJOIN(" ",TRUE,Entities[[#This Row],[ENT_NAME]],"County"),Entities[[#This Row],[ENT_NAME]])</f>
        <v>Presidio city</v>
      </c>
    </row>
    <row r="4035" spans="1:6" x14ac:dyDescent="0.25">
      <c r="A4035" s="303" t="s">
        <v>11387</v>
      </c>
      <c r="B4035" s="303" t="str">
        <f t="shared" si="63"/>
        <v>x14003536</v>
      </c>
      <c r="C4035" t="s">
        <v>5458</v>
      </c>
      <c r="D4035" t="s">
        <v>11388</v>
      </c>
      <c r="E4035">
        <v>14</v>
      </c>
      <c r="F4035" t="str">
        <f>IF(AND(Entities[[#This Row],[ENT_TYPE]]="County",RIGHT(Entities[[#This Row],[ENT_NAME]],6)&lt;&gt;"County"),_xlfn.TEXTJOIN(" ",TRUE,Entities[[#This Row],[ENT_NAME]],"County"),Entities[[#This Row],[ENT_NAME]])</f>
        <v>Wink city</v>
      </c>
    </row>
    <row r="4036" spans="1:6" x14ac:dyDescent="0.25">
      <c r="A4036" s="303" t="s">
        <v>11389</v>
      </c>
      <c r="B4036" s="303" t="str">
        <f t="shared" si="63"/>
        <v>x14003563</v>
      </c>
      <c r="C4036" t="s">
        <v>5458</v>
      </c>
      <c r="D4036" t="s">
        <v>11390</v>
      </c>
      <c r="E4036">
        <v>14</v>
      </c>
      <c r="F4036" t="str">
        <f>IF(AND(Entities[[#This Row],[ENT_TYPE]]="County",RIGHT(Entities[[#This Row],[ENT_NAME]],6)&lt;&gt;"County"),_xlfn.TEXTJOIN(" ",TRUE,Entities[[#This Row],[ENT_NAME]],"County"),Entities[[#This Row],[ENT_NAME]])</f>
        <v>Rankin city</v>
      </c>
    </row>
    <row r="4037" spans="1:6" x14ac:dyDescent="0.25">
      <c r="A4037" s="303" t="s">
        <v>11391</v>
      </c>
      <c r="B4037" s="303" t="str">
        <f t="shared" si="63"/>
        <v>x14003564</v>
      </c>
      <c r="C4037" t="s">
        <v>4</v>
      </c>
      <c r="D4037" t="s">
        <v>11392</v>
      </c>
      <c r="E4037">
        <v>14</v>
      </c>
      <c r="F4037" t="str">
        <f>IF(AND(Entities[[#This Row],[ENT_TYPE]]="County",RIGHT(Entities[[#This Row],[ENT_NAME]],6)&lt;&gt;"County"),_xlfn.TEXTJOIN(" ",TRUE,Entities[[#This Row],[ENT_NAME]],"County"),Entities[[#This Row],[ENT_NAME]])</f>
        <v>Amistad National Recreation Area</v>
      </c>
    </row>
    <row r="4038" spans="1:6" x14ac:dyDescent="0.25">
      <c r="A4038" s="303" t="s">
        <v>11393</v>
      </c>
      <c r="B4038" s="303" t="str">
        <f t="shared" si="63"/>
        <v>x14003565</v>
      </c>
      <c r="C4038" t="s">
        <v>4</v>
      </c>
      <c r="D4038" t="s">
        <v>11394</v>
      </c>
      <c r="E4038">
        <v>14</v>
      </c>
      <c r="F4038" t="str">
        <f>IF(AND(Entities[[#This Row],[ENT_TYPE]]="County",RIGHT(Entities[[#This Row],[ENT_NAME]],6)&lt;&gt;"County"),_xlfn.TEXTJOIN(" ",TRUE,Entities[[#This Row],[ENT_NAME]],"County"),Entities[[#This Row],[ENT_NAME]])</f>
        <v>Balmorhea SP</v>
      </c>
    </row>
    <row r="4039" spans="1:6" x14ac:dyDescent="0.25">
      <c r="A4039" s="303" t="s">
        <v>11395</v>
      </c>
      <c r="B4039" s="303" t="str">
        <f t="shared" si="63"/>
        <v>x14003566</v>
      </c>
      <c r="C4039" t="s">
        <v>4</v>
      </c>
      <c r="D4039" t="s">
        <v>11396</v>
      </c>
      <c r="E4039">
        <v>14</v>
      </c>
      <c r="F4039" t="str">
        <f>IF(AND(Entities[[#This Row],[ENT_TYPE]]="County",RIGHT(Entities[[#This Row],[ENT_NAME]],6)&lt;&gt;"County"),_xlfn.TEXTJOIN(" ",TRUE,Entities[[#This Row],[ENT_NAME]],"County"),Entities[[#This Row],[ENT_NAME]])</f>
        <v>Big Bend National Park</v>
      </c>
    </row>
    <row r="4040" spans="1:6" x14ac:dyDescent="0.25">
      <c r="A4040" s="303" t="s">
        <v>11397</v>
      </c>
      <c r="B4040" s="303" t="str">
        <f t="shared" si="63"/>
        <v>x14003567</v>
      </c>
      <c r="C4040" t="s">
        <v>4</v>
      </c>
      <c r="D4040" t="s">
        <v>11398</v>
      </c>
      <c r="E4040">
        <v>14</v>
      </c>
      <c r="F4040" t="str">
        <f>IF(AND(Entities[[#This Row],[ENT_TYPE]]="County",RIGHT(Entities[[#This Row],[ENT_NAME]],6)&lt;&gt;"County"),_xlfn.TEXTJOIN(" ",TRUE,Entities[[#This Row],[ENT_NAME]],"County"),Entities[[#This Row],[ENT_NAME]])</f>
        <v>Big Bend Ranch SP</v>
      </c>
    </row>
    <row r="4041" spans="1:6" x14ac:dyDescent="0.25">
      <c r="A4041" s="303" t="s">
        <v>11399</v>
      </c>
      <c r="B4041" s="303" t="str">
        <f t="shared" si="63"/>
        <v>x14003568</v>
      </c>
      <c r="C4041" t="s">
        <v>4</v>
      </c>
      <c r="D4041" t="s">
        <v>11400</v>
      </c>
      <c r="E4041">
        <v>14</v>
      </c>
      <c r="F4041" t="str">
        <f>IF(AND(Entities[[#This Row],[ENT_TYPE]]="County",RIGHT(Entities[[#This Row],[ENT_NAME]],6)&lt;&gt;"County"),_xlfn.TEXTJOIN(" ",TRUE,Entities[[#This Row],[ENT_NAME]],"County"),Entities[[#This Row],[ENT_NAME]])</f>
        <v>Black Gap WMA</v>
      </c>
    </row>
    <row r="4042" spans="1:6" x14ac:dyDescent="0.25">
      <c r="A4042" s="303" t="s">
        <v>11401</v>
      </c>
      <c r="B4042" s="303" t="str">
        <f t="shared" si="63"/>
        <v>x14003569</v>
      </c>
      <c r="C4042" t="s">
        <v>4</v>
      </c>
      <c r="D4042" t="s">
        <v>11402</v>
      </c>
      <c r="E4042">
        <v>14</v>
      </c>
      <c r="F4042" t="str">
        <f>IF(AND(Entities[[#This Row],[ENT_TYPE]]="County",RIGHT(Entities[[#This Row],[ENT_NAME]],6)&lt;&gt;"County"),_xlfn.TEXTJOIN(" ",TRUE,Entities[[#This Row],[ENT_NAME]],"County"),Entities[[#This Row],[ENT_NAME]])</f>
        <v>Chamizal National Memorial</v>
      </c>
    </row>
    <row r="4043" spans="1:6" x14ac:dyDescent="0.25">
      <c r="A4043" s="303" t="s">
        <v>11403</v>
      </c>
      <c r="B4043" s="303" t="str">
        <f t="shared" si="63"/>
        <v>x14003570</v>
      </c>
      <c r="C4043" t="s">
        <v>4</v>
      </c>
      <c r="D4043" t="s">
        <v>11404</v>
      </c>
      <c r="E4043">
        <v>14</v>
      </c>
      <c r="F4043" t="str">
        <f>IF(AND(Entities[[#This Row],[ENT_TYPE]]="County",RIGHT(Entities[[#This Row],[ENT_NAME]],6)&lt;&gt;"County"),_xlfn.TEXTJOIN(" ",TRUE,Entities[[#This Row],[ENT_NAME]],"County"),Entities[[#This Row],[ENT_NAME]])</f>
        <v>Chinati Mountains SNA</v>
      </c>
    </row>
    <row r="4044" spans="1:6" x14ac:dyDescent="0.25">
      <c r="A4044" s="303" t="s">
        <v>11405</v>
      </c>
      <c r="B4044" s="303" t="str">
        <f t="shared" si="63"/>
        <v>x14003571</v>
      </c>
      <c r="C4044" t="s">
        <v>4</v>
      </c>
      <c r="D4044" t="s">
        <v>11406</v>
      </c>
      <c r="E4044">
        <v>14</v>
      </c>
      <c r="F4044" t="str">
        <f>IF(AND(Entities[[#This Row],[ENT_TYPE]]="County",RIGHT(Entities[[#This Row],[ENT_NAME]],6)&lt;&gt;"County"),_xlfn.TEXTJOIN(" ",TRUE,Entities[[#This Row],[ENT_NAME]],"County"),Entities[[#This Row],[ENT_NAME]])</f>
        <v>Davis Mountains SP</v>
      </c>
    </row>
    <row r="4045" spans="1:6" x14ac:dyDescent="0.25">
      <c r="A4045" s="303" t="s">
        <v>11407</v>
      </c>
      <c r="B4045" s="303" t="str">
        <f t="shared" si="63"/>
        <v>x14003572</v>
      </c>
      <c r="C4045" t="s">
        <v>4</v>
      </c>
      <c r="D4045" t="s">
        <v>11408</v>
      </c>
      <c r="E4045">
        <v>14</v>
      </c>
      <c r="F4045" t="str">
        <f>IF(AND(Entities[[#This Row],[ENT_TYPE]]="County",RIGHT(Entities[[#This Row],[ENT_NAME]],6)&lt;&gt;"County"),_xlfn.TEXTJOIN(" ",TRUE,Entities[[#This Row],[ENT_NAME]],"County"),Entities[[#This Row],[ENT_NAME]])</f>
        <v>Devils River SNA - Big Satan Unit</v>
      </c>
    </row>
    <row r="4046" spans="1:6" x14ac:dyDescent="0.25">
      <c r="A4046" s="303" t="s">
        <v>11409</v>
      </c>
      <c r="B4046" s="303" t="str">
        <f t="shared" si="63"/>
        <v>x14003573</v>
      </c>
      <c r="C4046" t="s">
        <v>4</v>
      </c>
      <c r="D4046" t="s">
        <v>11410</v>
      </c>
      <c r="E4046">
        <v>14</v>
      </c>
      <c r="F4046" t="str">
        <f>IF(AND(Entities[[#This Row],[ENT_TYPE]]="County",RIGHT(Entities[[#This Row],[ENT_NAME]],6)&lt;&gt;"County"),_xlfn.TEXTJOIN(" ",TRUE,Entities[[#This Row],[ENT_NAME]],"County"),Entities[[#This Row],[ENT_NAME]])</f>
        <v>Devils River SNA - Del Norte Unit</v>
      </c>
    </row>
    <row r="4047" spans="1:6" x14ac:dyDescent="0.25">
      <c r="A4047" s="303" t="s">
        <v>11411</v>
      </c>
      <c r="B4047" s="303" t="str">
        <f t="shared" si="63"/>
        <v>x14003574</v>
      </c>
      <c r="C4047" t="s">
        <v>4</v>
      </c>
      <c r="D4047" t="s">
        <v>11412</v>
      </c>
      <c r="E4047">
        <v>14</v>
      </c>
      <c r="F4047" t="str">
        <f>IF(AND(Entities[[#This Row],[ENT_TYPE]]="County",RIGHT(Entities[[#This Row],[ENT_NAME]],6)&lt;&gt;"County"),_xlfn.TEXTJOIN(" ",TRUE,Entities[[#This Row],[ENT_NAME]],"County"),Entities[[#This Row],[ENT_NAME]])</f>
        <v>Elephant Mountain WMA</v>
      </c>
    </row>
    <row r="4048" spans="1:6" x14ac:dyDescent="0.25">
      <c r="A4048" s="303" t="s">
        <v>11413</v>
      </c>
      <c r="B4048" s="303" t="str">
        <f t="shared" si="63"/>
        <v>x14003575</v>
      </c>
      <c r="C4048" t="s">
        <v>4</v>
      </c>
      <c r="D4048" t="s">
        <v>11414</v>
      </c>
      <c r="E4048">
        <v>14</v>
      </c>
      <c r="F4048" t="str">
        <f>IF(AND(Entities[[#This Row],[ENT_TYPE]]="County",RIGHT(Entities[[#This Row],[ENT_NAME]],6)&lt;&gt;"County"),_xlfn.TEXTJOIN(" ",TRUE,Entities[[#This Row],[ENT_NAME]],"County"),Entities[[#This Row],[ENT_NAME]])</f>
        <v>Fort Bliss, U.S. Army</v>
      </c>
    </row>
    <row r="4049" spans="1:6" x14ac:dyDescent="0.25">
      <c r="A4049" s="303" t="s">
        <v>11415</v>
      </c>
      <c r="B4049" s="303" t="str">
        <f t="shared" si="63"/>
        <v>x14003576</v>
      </c>
      <c r="C4049" t="s">
        <v>4</v>
      </c>
      <c r="D4049" t="s">
        <v>11416</v>
      </c>
      <c r="E4049">
        <v>14</v>
      </c>
      <c r="F4049" t="str">
        <f>IF(AND(Entities[[#This Row],[ENT_TYPE]]="County",RIGHT(Entities[[#This Row],[ENT_NAME]],6)&lt;&gt;"County"),_xlfn.TEXTJOIN(" ",TRUE,Entities[[#This Row],[ENT_NAME]],"County"),Entities[[#This Row],[ENT_NAME]])</f>
        <v>Fort Davis National Historic Site</v>
      </c>
    </row>
    <row r="4050" spans="1:6" x14ac:dyDescent="0.25">
      <c r="A4050" s="303" t="s">
        <v>11417</v>
      </c>
      <c r="B4050" s="303" t="str">
        <f t="shared" si="63"/>
        <v>x14003577</v>
      </c>
      <c r="C4050" t="s">
        <v>4</v>
      </c>
      <c r="D4050" t="s">
        <v>11418</v>
      </c>
      <c r="E4050">
        <v>14</v>
      </c>
      <c r="F4050" t="str">
        <f>IF(AND(Entities[[#This Row],[ENT_TYPE]]="County",RIGHT(Entities[[#This Row],[ENT_NAME]],6)&lt;&gt;"County"),_xlfn.TEXTJOIN(" ",TRUE,Entities[[#This Row],[ENT_NAME]],"County"),Entities[[#This Row],[ENT_NAME]])</f>
        <v>Fort Leaton SHS</v>
      </c>
    </row>
    <row r="4051" spans="1:6" x14ac:dyDescent="0.25">
      <c r="A4051" s="303" t="s">
        <v>11419</v>
      </c>
      <c r="B4051" s="303" t="str">
        <f t="shared" si="63"/>
        <v>x14003578</v>
      </c>
      <c r="C4051" t="s">
        <v>4</v>
      </c>
      <c r="D4051" t="s">
        <v>11420</v>
      </c>
      <c r="E4051">
        <v>14</v>
      </c>
      <c r="F4051" t="str">
        <f>IF(AND(Entities[[#This Row],[ENT_TYPE]]="County",RIGHT(Entities[[#This Row],[ENT_NAME]],6)&lt;&gt;"County"),_xlfn.TEXTJOIN(" ",TRUE,Entities[[#This Row],[ENT_NAME]],"County"),Entities[[#This Row],[ENT_NAME]])</f>
        <v>Franklin Mountains SP</v>
      </c>
    </row>
    <row r="4052" spans="1:6" x14ac:dyDescent="0.25">
      <c r="A4052" s="303" t="s">
        <v>11421</v>
      </c>
      <c r="B4052" s="303" t="str">
        <f t="shared" si="63"/>
        <v>x14003579</v>
      </c>
      <c r="C4052" t="s">
        <v>4</v>
      </c>
      <c r="D4052" t="s">
        <v>11422</v>
      </c>
      <c r="E4052">
        <v>14</v>
      </c>
      <c r="F4052" t="str">
        <f>IF(AND(Entities[[#This Row],[ENT_TYPE]]="County",RIGHT(Entities[[#This Row],[ENT_NAME]],6)&lt;&gt;"County"),_xlfn.TEXTJOIN(" ",TRUE,Entities[[#This Row],[ENT_NAME]],"County"),Entities[[#This Row],[ENT_NAME]])</f>
        <v>Guadalupe Mountains National Park</v>
      </c>
    </row>
    <row r="4053" spans="1:6" x14ac:dyDescent="0.25">
      <c r="A4053" s="303" t="s">
        <v>11423</v>
      </c>
      <c r="B4053" s="303" t="str">
        <f t="shared" si="63"/>
        <v>x14003580</v>
      </c>
      <c r="C4053" t="s">
        <v>4</v>
      </c>
      <c r="D4053" t="s">
        <v>11424</v>
      </c>
      <c r="E4053">
        <v>14</v>
      </c>
      <c r="F4053" t="str">
        <f>IF(AND(Entities[[#This Row],[ENT_TYPE]]="County",RIGHT(Entities[[#This Row],[ENT_NAME]],6)&lt;&gt;"County"),_xlfn.TEXTJOIN(" ",TRUE,Entities[[#This Row],[ENT_NAME]],"County"),Entities[[#This Row],[ENT_NAME]])</f>
        <v>Hueco Tanks SP &amp; SHS</v>
      </c>
    </row>
    <row r="4054" spans="1:6" x14ac:dyDescent="0.25">
      <c r="A4054" s="303" t="s">
        <v>11425</v>
      </c>
      <c r="B4054" s="303" t="str">
        <f t="shared" si="63"/>
        <v>x14003581</v>
      </c>
      <c r="C4054" t="s">
        <v>4</v>
      </c>
      <c r="D4054" t="s">
        <v>11426</v>
      </c>
      <c r="E4054">
        <v>14</v>
      </c>
      <c r="F4054" t="str">
        <f>IF(AND(Entities[[#This Row],[ENT_TYPE]]="County",RIGHT(Entities[[#This Row],[ENT_NAME]],6)&lt;&gt;"County"),_xlfn.TEXTJOIN(" ",TRUE,Entities[[#This Row],[ENT_NAME]],"County"),Entities[[#This Row],[ENT_NAME]])</f>
        <v>Monahans Sandhills SP</v>
      </c>
    </row>
    <row r="4055" spans="1:6" x14ac:dyDescent="0.25">
      <c r="A4055" s="303" t="s">
        <v>11427</v>
      </c>
      <c r="B4055" s="303" t="str">
        <f t="shared" si="63"/>
        <v>x14003582</v>
      </c>
      <c r="C4055" t="s">
        <v>4</v>
      </c>
      <c r="D4055" t="s">
        <v>11428</v>
      </c>
      <c r="E4055">
        <v>14</v>
      </c>
      <c r="F4055" t="str">
        <f>IF(AND(Entities[[#This Row],[ENT_TYPE]]="County",RIGHT(Entities[[#This Row],[ENT_NAME]],6)&lt;&gt;"County"),_xlfn.TEXTJOIN(" ",TRUE,Entities[[#This Row],[ENT_NAME]],"County"),Entities[[#This Row],[ENT_NAME]])</f>
        <v>Red Bluff Water Power Control District</v>
      </c>
    </row>
    <row r="4056" spans="1:6" x14ac:dyDescent="0.25">
      <c r="A4056" s="303" t="s">
        <v>11429</v>
      </c>
      <c r="B4056" s="303" t="str">
        <f t="shared" si="63"/>
        <v>x14003583</v>
      </c>
      <c r="C4056" t="s">
        <v>4</v>
      </c>
      <c r="D4056" t="s">
        <v>11430</v>
      </c>
      <c r="E4056">
        <v>14</v>
      </c>
      <c r="F4056" t="str">
        <f>IF(AND(Entities[[#This Row],[ENT_TYPE]]="County",RIGHT(Entities[[#This Row],[ENT_NAME]],6)&lt;&gt;"County"),_xlfn.TEXTJOIN(" ",TRUE,Entities[[#This Row],[ENT_NAME]],"County"),Entities[[#This Row],[ENT_NAME]])</f>
        <v>Rio Grande Wild and Scenic River</v>
      </c>
    </row>
    <row r="4057" spans="1:6" x14ac:dyDescent="0.25">
      <c r="A4057" s="303" t="s">
        <v>11431</v>
      </c>
      <c r="B4057" s="303" t="str">
        <f t="shared" si="63"/>
        <v>x14003584</v>
      </c>
      <c r="C4057" t="s">
        <v>4</v>
      </c>
      <c r="D4057" t="s">
        <v>11432</v>
      </c>
      <c r="E4057">
        <v>14</v>
      </c>
      <c r="F4057" t="str">
        <f>IF(AND(Entities[[#This Row],[ENT_TYPE]]="County",RIGHT(Entities[[#This Row],[ENT_NAME]],6)&lt;&gt;"County"),_xlfn.TEXTJOIN(" ",TRUE,Entities[[#This Row],[ENT_NAME]],"County"),Entities[[#This Row],[ENT_NAME]])</f>
        <v>Seminole Canyon SP &amp; SHS</v>
      </c>
    </row>
    <row r="4058" spans="1:6" x14ac:dyDescent="0.25">
      <c r="A4058" s="303" t="s">
        <v>11433</v>
      </c>
      <c r="B4058" s="303" t="str">
        <f t="shared" si="63"/>
        <v>x14003585</v>
      </c>
      <c r="C4058" t="s">
        <v>4</v>
      </c>
      <c r="D4058" t="s">
        <v>11434</v>
      </c>
      <c r="E4058">
        <v>14</v>
      </c>
      <c r="F4058" t="str">
        <f>IF(AND(Entities[[#This Row],[ENT_TYPE]]="County",RIGHT(Entities[[#This Row],[ENT_NAME]],6)&lt;&gt;"County"),_xlfn.TEXTJOIN(" ",TRUE,Entities[[#This Row],[ENT_NAME]],"County"),Entities[[#This Row],[ENT_NAME]])</f>
        <v>Sierra Diablo WMA</v>
      </c>
    </row>
    <row r="4059" spans="1:6" x14ac:dyDescent="0.25">
      <c r="A4059" s="303" t="s">
        <v>11435</v>
      </c>
      <c r="B4059" s="303" t="str">
        <f t="shared" si="63"/>
        <v>x14003586</v>
      </c>
      <c r="C4059" t="s">
        <v>4</v>
      </c>
      <c r="D4059" t="s">
        <v>11436</v>
      </c>
      <c r="E4059">
        <v>14</v>
      </c>
      <c r="F4059" t="str">
        <f>IF(AND(Entities[[#This Row],[ENT_TYPE]]="County",RIGHT(Entities[[#This Row],[ENT_NAME]],6)&lt;&gt;"County"),_xlfn.TEXTJOIN(" ",TRUE,Entities[[#This Row],[ENT_NAME]],"County"),Entities[[#This Row],[ENT_NAME]])</f>
        <v>Ward County Irrigation District 3</v>
      </c>
    </row>
    <row r="4060" spans="1:6" x14ac:dyDescent="0.25">
      <c r="A4060" s="303" t="s">
        <v>11437</v>
      </c>
      <c r="B4060" s="303" t="str">
        <f t="shared" si="63"/>
        <v>x14003587</v>
      </c>
      <c r="C4060" t="s">
        <v>4947</v>
      </c>
      <c r="D4060" t="s">
        <v>11438</v>
      </c>
      <c r="E4060">
        <v>14</v>
      </c>
      <c r="F4060" t="str">
        <f>IF(AND(Entities[[#This Row],[ENT_TYPE]]="County",RIGHT(Entities[[#This Row],[ENT_NAME]],6)&lt;&gt;"County"),_xlfn.TEXTJOIN(" ",TRUE,Entities[[#This Row],[ENT_NAME]],"County"),Entities[[#This Row],[ENT_NAME]])</f>
        <v>Doña Ana County</v>
      </c>
    </row>
    <row r="4061" spans="1:6" x14ac:dyDescent="0.25">
      <c r="A4061" s="303" t="s">
        <v>11439</v>
      </c>
      <c r="B4061" s="303" t="str">
        <f t="shared" si="63"/>
        <v>x14003588</v>
      </c>
      <c r="C4061" t="s">
        <v>4</v>
      </c>
      <c r="D4061" t="s">
        <v>11440</v>
      </c>
      <c r="E4061">
        <v>14</v>
      </c>
      <c r="F4061" t="str">
        <f>IF(AND(Entities[[#This Row],[ENT_TYPE]]="County",RIGHT(Entities[[#This Row],[ENT_NAME]],6)&lt;&gt;"County"),_xlfn.TEXTJOIN(" ",TRUE,Entities[[#This Row],[ENT_NAME]],"County"),Entities[[#This Row],[ENT_NAME]])</f>
        <v>Elephant Butte Irrigation District, Precinct 9</v>
      </c>
    </row>
    <row r="4062" spans="1:6" x14ac:dyDescent="0.25">
      <c r="A4062" s="305" t="s">
        <v>4341</v>
      </c>
      <c r="B4062" s="303" t="str">
        <f t="shared" si="63"/>
        <v>x15000001</v>
      </c>
      <c r="C4062" t="s">
        <v>4947</v>
      </c>
      <c r="D4062" t="s">
        <v>3848</v>
      </c>
      <c r="E4062">
        <v>15</v>
      </c>
      <c r="F4062" t="str">
        <f>IF(AND(Entities[[#This Row],[ENT_TYPE]]="County",RIGHT(Entities[[#This Row],[ENT_NAME]],6)&lt;&gt;"County"),_xlfn.TEXTJOIN(" ",TRUE,Entities[[#This Row],[ENT_NAME]],"County"),Entities[[#This Row],[ENT_NAME]])</f>
        <v>Cameron County</v>
      </c>
    </row>
    <row r="4063" spans="1:6" x14ac:dyDescent="0.25">
      <c r="A4063" s="303" t="s">
        <v>11441</v>
      </c>
      <c r="B4063" s="303" t="str">
        <f t="shared" si="63"/>
        <v>x15000002</v>
      </c>
      <c r="C4063" t="s">
        <v>4947</v>
      </c>
      <c r="D4063" t="s">
        <v>4087</v>
      </c>
      <c r="E4063">
        <v>15</v>
      </c>
      <c r="F4063" t="str">
        <f>IF(AND(Entities[[#This Row],[ENT_TYPE]]="County",RIGHT(Entities[[#This Row],[ENT_NAME]],6)&lt;&gt;"County"),_xlfn.TEXTJOIN(" ",TRUE,Entities[[#This Row],[ENT_NAME]],"County"),Entities[[#This Row],[ENT_NAME]])</f>
        <v>Willacy County</v>
      </c>
    </row>
    <row r="4064" spans="1:6" x14ac:dyDescent="0.25">
      <c r="A4064" s="305" t="s">
        <v>3898</v>
      </c>
      <c r="B4064" s="303" t="str">
        <f t="shared" si="63"/>
        <v>x15000003</v>
      </c>
      <c r="C4064" t="s">
        <v>4947</v>
      </c>
      <c r="D4064" t="s">
        <v>4050</v>
      </c>
      <c r="E4064">
        <v>15</v>
      </c>
      <c r="F4064" t="str">
        <f>IF(AND(Entities[[#This Row],[ENT_TYPE]]="County",RIGHT(Entities[[#This Row],[ENT_NAME]],6)&lt;&gt;"County"),_xlfn.TEXTJOIN(" ",TRUE,Entities[[#This Row],[ENT_NAME]],"County"),Entities[[#This Row],[ENT_NAME]])</f>
        <v>Starr County</v>
      </c>
    </row>
    <row r="4065" spans="1:6" x14ac:dyDescent="0.25">
      <c r="A4065" s="303" t="s">
        <v>4107</v>
      </c>
      <c r="B4065" s="303" t="str">
        <f t="shared" si="63"/>
        <v>x15000004</v>
      </c>
      <c r="C4065" t="s">
        <v>4947</v>
      </c>
      <c r="D4065" t="s">
        <v>3864</v>
      </c>
      <c r="E4065">
        <v>15</v>
      </c>
      <c r="F4065" t="str">
        <f>IF(AND(Entities[[#This Row],[ENT_TYPE]]="County",RIGHT(Entities[[#This Row],[ENT_NAME]],6)&lt;&gt;"County"),_xlfn.TEXTJOIN(" ",TRUE,Entities[[#This Row],[ENT_NAME]],"County"),Entities[[#This Row],[ENT_NAME]])</f>
        <v>Hidalgo County</v>
      </c>
    </row>
    <row r="4066" spans="1:6" x14ac:dyDescent="0.25">
      <c r="A4066" s="305" t="s">
        <v>11442</v>
      </c>
      <c r="B4066" s="303" t="str">
        <f t="shared" si="63"/>
        <v>x15000005</v>
      </c>
      <c r="C4066" t="s">
        <v>4947</v>
      </c>
      <c r="D4066" t="s">
        <v>11443</v>
      </c>
      <c r="E4066">
        <v>15</v>
      </c>
      <c r="F4066" t="str">
        <f>IF(AND(Entities[[#This Row],[ENT_TYPE]]="County",RIGHT(Entities[[#This Row],[ENT_NAME]],6)&lt;&gt;"County"),_xlfn.TEXTJOIN(" ",TRUE,Entities[[#This Row],[ENT_NAME]],"County"),Entities[[#This Row],[ENT_NAME]])</f>
        <v>Zapata County</v>
      </c>
    </row>
    <row r="4067" spans="1:6" x14ac:dyDescent="0.25">
      <c r="A4067" s="303" t="s">
        <v>11444</v>
      </c>
      <c r="B4067" s="303" t="str">
        <f t="shared" si="63"/>
        <v>x15000006</v>
      </c>
      <c r="C4067" t="s">
        <v>4</v>
      </c>
      <c r="D4067" t="s">
        <v>11445</v>
      </c>
      <c r="E4067">
        <v>15</v>
      </c>
      <c r="F4067" t="str">
        <f>IF(AND(Entities[[#This Row],[ENT_TYPE]]="County",RIGHT(Entities[[#This Row],[ENT_NAME]],6)&lt;&gt;"County"),_xlfn.TEXTJOIN(" ",TRUE,Entities[[#This Row],[ENT_NAME]],"County"),Entities[[#This Row],[ENT_NAME]])</f>
        <v>Lower Rio Grande Valley Development Council</v>
      </c>
    </row>
    <row r="4068" spans="1:6" x14ac:dyDescent="0.25">
      <c r="A4068" s="305">
        <v>15000007</v>
      </c>
      <c r="B4068" s="303" t="str">
        <f t="shared" si="63"/>
        <v>x15000007</v>
      </c>
      <c r="C4068" t="s">
        <v>4</v>
      </c>
      <c r="D4068" t="s">
        <v>11446</v>
      </c>
      <c r="E4068">
        <v>15</v>
      </c>
      <c r="F4068" t="str">
        <f>IF(AND(Entities[[#This Row],[ENT_TYPE]]="County",RIGHT(Entities[[#This Row],[ENT_NAME]],6)&lt;&gt;"County"),_xlfn.TEXTJOIN(" ",TRUE,Entities[[#This Row],[ENT_NAME]],"County"),Entities[[#This Row],[ENT_NAME]])</f>
        <v>Delta Lake Irrigation District</v>
      </c>
    </row>
    <row r="4069" spans="1:6" x14ac:dyDescent="0.25">
      <c r="A4069" s="303" t="s">
        <v>11447</v>
      </c>
      <c r="B4069" s="303" t="str">
        <f t="shared" si="63"/>
        <v>x15000008</v>
      </c>
      <c r="C4069" t="s">
        <v>4</v>
      </c>
      <c r="D4069" t="s">
        <v>11448</v>
      </c>
      <c r="E4069">
        <v>15</v>
      </c>
      <c r="F4069" t="str">
        <f>IF(AND(Entities[[#This Row],[ENT_TYPE]]="County",RIGHT(Entities[[#This Row],[ENT_NAME]],6)&lt;&gt;"County"),_xlfn.TEXTJOIN(" ",TRUE,Entities[[#This Row],[ENT_NAME]],"County"),Entities[[#This Row],[ENT_NAME]])</f>
        <v>Hidalgo County Irrigation District 5</v>
      </c>
    </row>
    <row r="4070" spans="1:6" x14ac:dyDescent="0.25">
      <c r="A4070" s="305" t="s">
        <v>11449</v>
      </c>
      <c r="B4070" s="303" t="str">
        <f t="shared" si="63"/>
        <v>x15000009</v>
      </c>
      <c r="C4070" t="s">
        <v>4</v>
      </c>
      <c r="D4070" t="s">
        <v>11450</v>
      </c>
      <c r="E4070">
        <v>15</v>
      </c>
      <c r="F4070" t="str">
        <f>IF(AND(Entities[[#This Row],[ENT_TYPE]]="County",RIGHT(Entities[[#This Row],[ENT_NAME]],6)&lt;&gt;"County"),_xlfn.TEXTJOIN(" ",TRUE,Entities[[#This Row],[ENT_NAME]],"County"),Entities[[#This Row],[ENT_NAME]])</f>
        <v>Hidalgo County Irrigation District 13</v>
      </c>
    </row>
    <row r="4071" spans="1:6" x14ac:dyDescent="0.25">
      <c r="A4071" s="303" t="s">
        <v>11451</v>
      </c>
      <c r="B4071" s="303" t="str">
        <f t="shared" si="63"/>
        <v>x15000010</v>
      </c>
      <c r="C4071" t="s">
        <v>4</v>
      </c>
      <c r="D4071" t="s">
        <v>11452</v>
      </c>
      <c r="E4071">
        <v>15</v>
      </c>
      <c r="F4071" t="str">
        <f>IF(AND(Entities[[#This Row],[ENT_TYPE]]="County",RIGHT(Entities[[#This Row],[ENT_NAME]],6)&lt;&gt;"County"),_xlfn.TEXTJOIN(" ",TRUE,Entities[[#This Row],[ENT_NAME]],"County"),Entities[[#This Row],[ENT_NAME]])</f>
        <v>Bayview Irrigation District 11</v>
      </c>
    </row>
    <row r="4072" spans="1:6" x14ac:dyDescent="0.25">
      <c r="A4072" s="305" t="s">
        <v>11453</v>
      </c>
      <c r="B4072" s="303" t="str">
        <f t="shared" si="63"/>
        <v>x15000011</v>
      </c>
      <c r="C4072" t="s">
        <v>4</v>
      </c>
      <c r="D4072" t="s">
        <v>11454</v>
      </c>
      <c r="E4072">
        <v>15</v>
      </c>
      <c r="F4072" t="str">
        <f>IF(AND(Entities[[#This Row],[ENT_TYPE]]="County",RIGHT(Entities[[#This Row],[ENT_NAME]],6)&lt;&gt;"County"),_xlfn.TEXTJOIN(" ",TRUE,Entities[[#This Row],[ENT_NAME]],"County"),Entities[[#This Row],[ENT_NAME]])</f>
        <v>Webb County Drainage District 1</v>
      </c>
    </row>
    <row r="4073" spans="1:6" x14ac:dyDescent="0.25">
      <c r="A4073" s="303" t="s">
        <v>11455</v>
      </c>
      <c r="B4073" s="303" t="str">
        <f t="shared" si="63"/>
        <v>x15000012</v>
      </c>
      <c r="C4073" t="s">
        <v>4</v>
      </c>
      <c r="D4073" t="s">
        <v>11456</v>
      </c>
      <c r="E4073">
        <v>15</v>
      </c>
      <c r="F4073" t="str">
        <f>IF(AND(Entities[[#This Row],[ENT_TYPE]]="County",RIGHT(Entities[[#This Row],[ENT_NAME]],6)&lt;&gt;"County"),_xlfn.TEXTJOIN(" ",TRUE,Entities[[#This Row],[ENT_NAME]],"County"),Entities[[#This Row],[ENT_NAME]])</f>
        <v>Cameron County Irrigation District 2</v>
      </c>
    </row>
    <row r="4074" spans="1:6" x14ac:dyDescent="0.25">
      <c r="A4074" s="305" t="s">
        <v>11457</v>
      </c>
      <c r="B4074" s="303" t="str">
        <f t="shared" si="63"/>
        <v>x15000013</v>
      </c>
      <c r="C4074" t="s">
        <v>4</v>
      </c>
      <c r="D4074" t="s">
        <v>11458</v>
      </c>
      <c r="E4074">
        <v>15</v>
      </c>
      <c r="F4074" t="str">
        <f>IF(AND(Entities[[#This Row],[ENT_TYPE]]="County",RIGHT(Entities[[#This Row],[ENT_NAME]],6)&lt;&gt;"County"),_xlfn.TEXTJOIN(" ",TRUE,Entities[[#This Row],[ENT_NAME]],"County"),Entities[[#This Row],[ENT_NAME]])</f>
        <v>Cameron County Irrigation District 6</v>
      </c>
    </row>
    <row r="4075" spans="1:6" x14ac:dyDescent="0.25">
      <c r="A4075" s="303" t="s">
        <v>11459</v>
      </c>
      <c r="B4075" s="303" t="str">
        <f t="shared" si="63"/>
        <v>x15000014</v>
      </c>
      <c r="C4075" t="s">
        <v>4</v>
      </c>
      <c r="D4075" t="s">
        <v>11460</v>
      </c>
      <c r="E4075">
        <v>15</v>
      </c>
      <c r="F4075" t="str">
        <f>IF(AND(Entities[[#This Row],[ENT_TYPE]]="County",RIGHT(Entities[[#This Row],[ENT_NAME]],6)&lt;&gt;"County"),_xlfn.TEXTJOIN(" ",TRUE,Entities[[#This Row],[ENT_NAME]],"County"),Entities[[#This Row],[ENT_NAME]])</f>
        <v>Engelman Irrigation District</v>
      </c>
    </row>
    <row r="4076" spans="1:6" x14ac:dyDescent="0.25">
      <c r="A4076" s="305" t="s">
        <v>11461</v>
      </c>
      <c r="B4076" s="303" t="str">
        <f t="shared" si="63"/>
        <v>x15000015</v>
      </c>
      <c r="C4076" t="s">
        <v>4</v>
      </c>
      <c r="D4076" t="s">
        <v>11462</v>
      </c>
      <c r="E4076">
        <v>15</v>
      </c>
      <c r="F4076" t="str">
        <f>IF(AND(Entities[[#This Row],[ENT_TYPE]]="County",RIGHT(Entities[[#This Row],[ENT_NAME]],6)&lt;&gt;"County"),_xlfn.TEXTJOIN(" ",TRUE,Entities[[#This Row],[ENT_NAME]],"County"),Entities[[#This Row],[ENT_NAME]])</f>
        <v>Hidalgo County Irrigation District 1</v>
      </c>
    </row>
    <row r="4077" spans="1:6" x14ac:dyDescent="0.25">
      <c r="A4077" s="303" t="s">
        <v>11463</v>
      </c>
      <c r="B4077" s="303" t="str">
        <f t="shared" si="63"/>
        <v>x15000016</v>
      </c>
      <c r="C4077" t="s">
        <v>4</v>
      </c>
      <c r="D4077" t="s">
        <v>11464</v>
      </c>
      <c r="E4077">
        <v>15</v>
      </c>
      <c r="F4077" t="str">
        <f>IF(AND(Entities[[#This Row],[ENT_TYPE]]="County",RIGHT(Entities[[#This Row],[ENT_NAME]],6)&lt;&gt;"County"),_xlfn.TEXTJOIN(" ",TRUE,Entities[[#This Row],[ENT_NAME]],"County"),Entities[[#This Row],[ENT_NAME]])</f>
        <v>Hidalgo County Irrigation District 16</v>
      </c>
    </row>
    <row r="4078" spans="1:6" x14ac:dyDescent="0.25">
      <c r="A4078" s="305" t="s">
        <v>11465</v>
      </c>
      <c r="B4078" s="303" t="str">
        <f t="shared" si="63"/>
        <v>x15000017</v>
      </c>
      <c r="C4078" t="s">
        <v>4</v>
      </c>
      <c r="D4078" t="s">
        <v>11466</v>
      </c>
      <c r="E4078">
        <v>15</v>
      </c>
      <c r="F4078" t="str">
        <f>IF(AND(Entities[[#This Row],[ENT_TYPE]]="County",RIGHT(Entities[[#This Row],[ENT_NAME]],6)&lt;&gt;"County"),_xlfn.TEXTJOIN(" ",TRUE,Entities[[#This Row],[ENT_NAME]],"County"),Entities[[#This Row],[ENT_NAME]])</f>
        <v>Hidalgo County Irrigation District 2</v>
      </c>
    </row>
    <row r="4079" spans="1:6" x14ac:dyDescent="0.25">
      <c r="A4079" s="303" t="s">
        <v>11467</v>
      </c>
      <c r="B4079" s="303" t="str">
        <f t="shared" si="63"/>
        <v>x15000018</v>
      </c>
      <c r="C4079" t="s">
        <v>4</v>
      </c>
      <c r="D4079" t="s">
        <v>11468</v>
      </c>
      <c r="E4079">
        <v>15</v>
      </c>
      <c r="F4079" t="str">
        <f>IF(AND(Entities[[#This Row],[ENT_TYPE]]="County",RIGHT(Entities[[#This Row],[ENT_NAME]],6)&lt;&gt;"County"),_xlfn.TEXTJOIN(" ",TRUE,Entities[[#This Row],[ENT_NAME]],"County"),Entities[[#This Row],[ENT_NAME]])</f>
        <v>Hidalgo County Irrigation District 6</v>
      </c>
    </row>
    <row r="4080" spans="1:6" x14ac:dyDescent="0.25">
      <c r="A4080" s="305" t="s">
        <v>11469</v>
      </c>
      <c r="B4080" s="303" t="str">
        <f t="shared" si="63"/>
        <v>x15000019</v>
      </c>
      <c r="C4080" t="s">
        <v>4</v>
      </c>
      <c r="D4080" t="s">
        <v>11470</v>
      </c>
      <c r="E4080">
        <v>15</v>
      </c>
      <c r="F4080" t="str">
        <f>IF(AND(Entities[[#This Row],[ENT_TYPE]]="County",RIGHT(Entities[[#This Row],[ENT_NAME]],6)&lt;&gt;"County"),_xlfn.TEXTJOIN(" ",TRUE,Entities[[#This Row],[ENT_NAME]],"County"),Entities[[#This Row],[ENT_NAME]])</f>
        <v>Santa Cruz Irrigation District 15</v>
      </c>
    </row>
    <row r="4081" spans="1:6" x14ac:dyDescent="0.25">
      <c r="A4081" s="303" t="s">
        <v>11471</v>
      </c>
      <c r="B4081" s="303" t="str">
        <f t="shared" si="63"/>
        <v>x15000020</v>
      </c>
      <c r="C4081" t="s">
        <v>4</v>
      </c>
      <c r="D4081" t="s">
        <v>11472</v>
      </c>
      <c r="E4081">
        <v>15</v>
      </c>
      <c r="F4081" t="str">
        <f>IF(AND(Entities[[#This Row],[ENT_TYPE]]="County",RIGHT(Entities[[#This Row],[ENT_NAME]],6)&lt;&gt;"County"),_xlfn.TEXTJOIN(" ",TRUE,Entities[[#This Row],[ENT_NAME]],"County"),Entities[[#This Row],[ENT_NAME]])</f>
        <v>Valley Acres Irrigation District</v>
      </c>
    </row>
    <row r="4082" spans="1:6" x14ac:dyDescent="0.25">
      <c r="A4082" s="305" t="s">
        <v>4091</v>
      </c>
      <c r="B4082" s="303" t="str">
        <f t="shared" si="63"/>
        <v>x15000021</v>
      </c>
      <c r="C4082" t="s">
        <v>4</v>
      </c>
      <c r="D4082" t="s">
        <v>11473</v>
      </c>
      <c r="E4082">
        <v>15</v>
      </c>
      <c r="F4082" t="str">
        <f>IF(AND(Entities[[#This Row],[ENT_TYPE]]="County",RIGHT(Entities[[#This Row],[ENT_NAME]],6)&lt;&gt;"County"),_xlfn.TEXTJOIN(" ",TRUE,Entities[[#This Row],[ENT_NAME]],"County"),Entities[[#This Row],[ENT_NAME]])</f>
        <v>Willacy County Drainage District 1</v>
      </c>
    </row>
    <row r="4083" spans="1:6" x14ac:dyDescent="0.25">
      <c r="A4083" s="303" t="s">
        <v>11474</v>
      </c>
      <c r="B4083" s="303" t="str">
        <f t="shared" si="63"/>
        <v>x15000022</v>
      </c>
      <c r="C4083" t="s">
        <v>4</v>
      </c>
      <c r="D4083" t="s">
        <v>11475</v>
      </c>
      <c r="E4083">
        <v>15</v>
      </c>
      <c r="F4083" t="str">
        <f>IF(AND(Entities[[#This Row],[ENT_TYPE]]="County",RIGHT(Entities[[#This Row],[ENT_NAME]],6)&lt;&gt;"County"),_xlfn.TEXTJOIN(" ",TRUE,Entities[[#This Row],[ENT_NAME]],"County"),Entities[[#This Row],[ENT_NAME]])</f>
        <v>Starr County Drainage District</v>
      </c>
    </row>
    <row r="4084" spans="1:6" x14ac:dyDescent="0.25">
      <c r="A4084" s="305" t="s">
        <v>11476</v>
      </c>
      <c r="B4084" s="303" t="str">
        <f t="shared" si="63"/>
        <v>x15000023</v>
      </c>
      <c r="C4084" t="s">
        <v>4</v>
      </c>
      <c r="D4084" t="s">
        <v>11477</v>
      </c>
      <c r="E4084">
        <v>15</v>
      </c>
      <c r="F4084" t="str">
        <f>IF(AND(Entities[[#This Row],[ENT_TYPE]]="County",RIGHT(Entities[[#This Row],[ENT_NAME]],6)&lt;&gt;"County"),_xlfn.TEXTJOIN(" ",TRUE,Entities[[#This Row],[ENT_NAME]],"County"),Entities[[#This Row],[ENT_NAME]])</f>
        <v>Willacy County Drainage District 2</v>
      </c>
    </row>
    <row r="4085" spans="1:6" x14ac:dyDescent="0.25">
      <c r="A4085" s="303" t="s">
        <v>11478</v>
      </c>
      <c r="B4085" s="303" t="str">
        <f t="shared" si="63"/>
        <v>x15000024</v>
      </c>
      <c r="C4085" t="s">
        <v>4</v>
      </c>
      <c r="D4085" t="s">
        <v>11479</v>
      </c>
      <c r="E4085">
        <v>15</v>
      </c>
      <c r="F4085" t="str">
        <f>IF(AND(Entities[[#This Row],[ENT_TYPE]]="County",RIGHT(Entities[[#This Row],[ENT_NAME]],6)&lt;&gt;"County"),_xlfn.TEXTJOIN(" ",TRUE,Entities[[#This Row],[ENT_NAME]],"County"),Entities[[#This Row],[ENT_NAME]])</f>
        <v>Cameron County Drainage District 3</v>
      </c>
    </row>
    <row r="4086" spans="1:6" x14ac:dyDescent="0.25">
      <c r="A4086" s="305" t="s">
        <v>11480</v>
      </c>
      <c r="B4086" s="303" t="str">
        <f t="shared" si="63"/>
        <v>x15000025</v>
      </c>
      <c r="C4086" t="s">
        <v>4</v>
      </c>
      <c r="D4086" t="s">
        <v>11481</v>
      </c>
      <c r="E4086">
        <v>15</v>
      </c>
      <c r="F4086" t="str">
        <f>IF(AND(Entities[[#This Row],[ENT_TYPE]]="County",RIGHT(Entities[[#This Row],[ENT_NAME]],6)&lt;&gt;"County"),_xlfn.TEXTJOIN(" ",TRUE,Entities[[#This Row],[ENT_NAME]],"County"),Entities[[#This Row],[ENT_NAME]])</f>
        <v>Cameron County Drainage District 4</v>
      </c>
    </row>
    <row r="4087" spans="1:6" x14ac:dyDescent="0.25">
      <c r="A4087" s="303" t="s">
        <v>11482</v>
      </c>
      <c r="B4087" s="303" t="str">
        <f t="shared" si="63"/>
        <v>x15000026</v>
      </c>
      <c r="C4087" t="s">
        <v>4</v>
      </c>
      <c r="D4087" t="s">
        <v>11483</v>
      </c>
      <c r="E4087">
        <v>15</v>
      </c>
      <c r="F4087" t="str">
        <f>IF(AND(Entities[[#This Row],[ENT_TYPE]]="County",RIGHT(Entities[[#This Row],[ENT_NAME]],6)&lt;&gt;"County"),_xlfn.TEXTJOIN(" ",TRUE,Entities[[#This Row],[ENT_NAME]],"County"),Entities[[#This Row],[ENT_NAME]])</f>
        <v>Cameron County Irrigation District 16</v>
      </c>
    </row>
    <row r="4088" spans="1:6" x14ac:dyDescent="0.25">
      <c r="A4088" s="305" t="s">
        <v>11484</v>
      </c>
      <c r="B4088" s="303" t="str">
        <f t="shared" si="63"/>
        <v>x15000027</v>
      </c>
      <c r="C4088" t="s">
        <v>4</v>
      </c>
      <c r="D4088" t="s">
        <v>11485</v>
      </c>
      <c r="E4088">
        <v>15</v>
      </c>
      <c r="F4088" t="str">
        <f>IF(AND(Entities[[#This Row],[ENT_TYPE]]="County",RIGHT(Entities[[#This Row],[ENT_NAME]],6)&lt;&gt;"County"),_xlfn.TEXTJOIN(" ",TRUE,Entities[[#This Row],[ENT_NAME]],"County"),Entities[[#This Row],[ENT_NAME]])</f>
        <v>Donna Irrigation District Hidalgo County 1</v>
      </c>
    </row>
    <row r="4089" spans="1:6" x14ac:dyDescent="0.25">
      <c r="A4089" s="303" t="s">
        <v>11486</v>
      </c>
      <c r="B4089" s="303" t="str">
        <f t="shared" si="63"/>
        <v>x15000028</v>
      </c>
      <c r="C4089" t="s">
        <v>4</v>
      </c>
      <c r="D4089" t="s">
        <v>11487</v>
      </c>
      <c r="E4089">
        <v>15</v>
      </c>
      <c r="F4089" t="str">
        <f>IF(AND(Entities[[#This Row],[ENT_TYPE]]="County",RIGHT(Entities[[#This Row],[ENT_NAME]],6)&lt;&gt;"County"),_xlfn.TEXTJOIN(" ",TRUE,Entities[[#This Row],[ENT_NAME]],"County"),Entities[[#This Row],[ENT_NAME]])</f>
        <v>United Irrigation District</v>
      </c>
    </row>
    <row r="4090" spans="1:6" x14ac:dyDescent="0.25">
      <c r="A4090" s="305" t="s">
        <v>4123</v>
      </c>
      <c r="B4090" s="303" t="str">
        <f t="shared" si="63"/>
        <v>x15000029</v>
      </c>
      <c r="C4090" t="s">
        <v>4</v>
      </c>
      <c r="D4090" t="s">
        <v>11488</v>
      </c>
      <c r="E4090">
        <v>15</v>
      </c>
      <c r="F4090" t="str">
        <f>IF(AND(Entities[[#This Row],[ENT_TYPE]]="County",RIGHT(Entities[[#This Row],[ENT_NAME]],6)&lt;&gt;"County"),_xlfn.TEXTJOIN(" ",TRUE,Entities[[#This Row],[ENT_NAME]],"County"),Entities[[#This Row],[ENT_NAME]])</f>
        <v>Cameron County Drainage District 1</v>
      </c>
    </row>
    <row r="4091" spans="1:6" x14ac:dyDescent="0.25">
      <c r="A4091" s="303" t="s">
        <v>4099</v>
      </c>
      <c r="B4091" s="303" t="str">
        <f t="shared" si="63"/>
        <v>x15000030</v>
      </c>
      <c r="C4091" t="s">
        <v>4</v>
      </c>
      <c r="D4091" t="s">
        <v>11489</v>
      </c>
      <c r="E4091">
        <v>15</v>
      </c>
      <c r="F4091" t="str">
        <f>IF(AND(Entities[[#This Row],[ENT_TYPE]]="County",RIGHT(Entities[[#This Row],[ENT_NAME]],6)&lt;&gt;"County"),_xlfn.TEXTJOIN(" ",TRUE,Entities[[#This Row],[ENT_NAME]],"County"),Entities[[#This Row],[ENT_NAME]])</f>
        <v>Cameron County Drainage District 5</v>
      </c>
    </row>
    <row r="4092" spans="1:6" x14ac:dyDescent="0.25">
      <c r="A4092" s="305" t="s">
        <v>11490</v>
      </c>
      <c r="B4092" s="303" t="str">
        <f t="shared" si="63"/>
        <v>x15000031</v>
      </c>
      <c r="C4092" t="s">
        <v>4</v>
      </c>
      <c r="D4092" t="s">
        <v>11491</v>
      </c>
      <c r="E4092">
        <v>15</v>
      </c>
      <c r="F4092" t="str">
        <f>IF(AND(Entities[[#This Row],[ENT_TYPE]]="County",RIGHT(Entities[[#This Row],[ENT_NAME]],6)&lt;&gt;"County"),_xlfn.TEXTJOIN(" ",TRUE,Entities[[#This Row],[ENT_NAME]],"County"),Entities[[#This Row],[ENT_NAME]])</f>
        <v>Los Fresnos MUD 1</v>
      </c>
    </row>
    <row r="4093" spans="1:6" x14ac:dyDescent="0.25">
      <c r="A4093" s="303" t="s">
        <v>11492</v>
      </c>
      <c r="B4093" s="303" t="str">
        <f t="shared" si="63"/>
        <v>x15000032</v>
      </c>
      <c r="C4093" t="s">
        <v>4</v>
      </c>
      <c r="D4093" t="s">
        <v>11493</v>
      </c>
      <c r="E4093">
        <v>15</v>
      </c>
      <c r="F4093" t="str">
        <f>IF(AND(Entities[[#This Row],[ENT_TYPE]]="County",RIGHT(Entities[[#This Row],[ENT_NAME]],6)&lt;&gt;"County"),_xlfn.TEXTJOIN(" ",TRUE,Entities[[#This Row],[ENT_NAME]],"County"),Entities[[#This Row],[ENT_NAME]])</f>
        <v>Brownsville Irrigation District</v>
      </c>
    </row>
    <row r="4094" spans="1:6" x14ac:dyDescent="0.25">
      <c r="A4094" s="305" t="s">
        <v>11494</v>
      </c>
      <c r="B4094" s="303" t="str">
        <f t="shared" si="63"/>
        <v>x15000033</v>
      </c>
      <c r="C4094" t="s">
        <v>4</v>
      </c>
      <c r="D4094" t="s">
        <v>11495</v>
      </c>
      <c r="E4094">
        <v>15</v>
      </c>
      <c r="F4094" t="str">
        <f>IF(AND(Entities[[#This Row],[ENT_TYPE]]="County",RIGHT(Entities[[#This Row],[ENT_NAME]],6)&lt;&gt;"County"),_xlfn.TEXTJOIN(" ",TRUE,Entities[[#This Row],[ENT_NAME]],"County"),Entities[[#This Row],[ENT_NAME]])</f>
        <v>Los Fresnos MUD 2</v>
      </c>
    </row>
    <row r="4095" spans="1:6" x14ac:dyDescent="0.25">
      <c r="A4095" s="303" t="s">
        <v>11496</v>
      </c>
      <c r="B4095" s="303" t="str">
        <f t="shared" si="63"/>
        <v>x15000034</v>
      </c>
      <c r="C4095" t="s">
        <v>4</v>
      </c>
      <c r="D4095" t="s">
        <v>11497</v>
      </c>
      <c r="E4095">
        <v>15</v>
      </c>
      <c r="F4095" t="str">
        <f>IF(AND(Entities[[#This Row],[ENT_TYPE]]="County",RIGHT(Entities[[#This Row],[ENT_NAME]],6)&lt;&gt;"County"),_xlfn.TEXTJOIN(" ",TRUE,Entities[[#This Row],[ENT_NAME]],"County"),Entities[[#This Row],[ENT_NAME]])</f>
        <v>La Feria Irrigation District Cameron County 3</v>
      </c>
    </row>
    <row r="4096" spans="1:6" x14ac:dyDescent="0.25">
      <c r="A4096" s="303" t="s">
        <v>11498</v>
      </c>
      <c r="B4096" s="303" t="str">
        <f t="shared" si="63"/>
        <v>x15000035</v>
      </c>
      <c r="C4096" t="s">
        <v>4</v>
      </c>
      <c r="D4096" t="s">
        <v>11499</v>
      </c>
      <c r="E4096">
        <v>15</v>
      </c>
      <c r="F4096" t="str">
        <f>IF(AND(Entities[[#This Row],[ENT_TYPE]]="County",RIGHT(Entities[[#This Row],[ENT_NAME]],6)&lt;&gt;"County"),_xlfn.TEXTJOIN(" ",TRUE,Entities[[#This Row],[ENT_NAME]],"County"),Entities[[#This Row],[ENT_NAME]])</f>
        <v>Paseo De La Resaca MUD 1</v>
      </c>
    </row>
    <row r="4097" spans="1:6" x14ac:dyDescent="0.25">
      <c r="A4097" s="305" t="s">
        <v>11500</v>
      </c>
      <c r="B4097" s="303" t="str">
        <f t="shared" si="63"/>
        <v>x15000036</v>
      </c>
      <c r="C4097" t="s">
        <v>4</v>
      </c>
      <c r="D4097" t="s">
        <v>11501</v>
      </c>
      <c r="E4097">
        <v>15</v>
      </c>
      <c r="F4097" t="str">
        <f>IF(AND(Entities[[#This Row],[ENT_TYPE]]="County",RIGHT(Entities[[#This Row],[ENT_NAME]],6)&lt;&gt;"County"),_xlfn.TEXTJOIN(" ",TRUE,Entities[[#This Row],[ENT_NAME]],"County"),Entities[[#This Row],[ENT_NAME]])</f>
        <v>Paseo De La Resaca MUD 2</v>
      </c>
    </row>
    <row r="4098" spans="1:6" x14ac:dyDescent="0.25">
      <c r="A4098" s="303" t="s">
        <v>11502</v>
      </c>
      <c r="B4098" s="303" t="str">
        <f t="shared" ref="B4098:B4161" si="64">_xlfn.CONCAT("x",TEXT(A4098,"00000000"))</f>
        <v>x15000037</v>
      </c>
      <c r="C4098" t="s">
        <v>4</v>
      </c>
      <c r="D4098" t="s">
        <v>11503</v>
      </c>
      <c r="E4098">
        <v>15</v>
      </c>
      <c r="F4098" t="str">
        <f>IF(AND(Entities[[#This Row],[ENT_TYPE]]="County",RIGHT(Entities[[#This Row],[ENT_NAME]],6)&lt;&gt;"County"),_xlfn.TEXTJOIN(" ",TRUE,Entities[[#This Row],[ENT_NAME]],"County"),Entities[[#This Row],[ENT_NAME]])</f>
        <v>Paseo De La Resaca MUD 3</v>
      </c>
    </row>
    <row r="4099" spans="1:6" x14ac:dyDescent="0.25">
      <c r="A4099" s="305" t="s">
        <v>11504</v>
      </c>
      <c r="B4099" s="303" t="str">
        <f t="shared" si="64"/>
        <v>x15000038</v>
      </c>
      <c r="C4099" t="s">
        <v>5458</v>
      </c>
      <c r="D4099" t="s">
        <v>11505</v>
      </c>
      <c r="E4099">
        <v>15</v>
      </c>
      <c r="F4099" t="str">
        <f>IF(AND(Entities[[#This Row],[ENT_TYPE]]="County",RIGHT(Entities[[#This Row],[ENT_NAME]],6)&lt;&gt;"County"),_xlfn.TEXTJOIN(" ",TRUE,Entities[[#This Row],[ENT_NAME]],"County"),Entities[[#This Row],[ENT_NAME]])</f>
        <v>Del Rio</v>
      </c>
    </row>
    <row r="4100" spans="1:6" x14ac:dyDescent="0.25">
      <c r="A4100" s="303" t="s">
        <v>11506</v>
      </c>
      <c r="B4100" s="303" t="str">
        <f t="shared" si="64"/>
        <v>x15000039</v>
      </c>
      <c r="C4100" t="s">
        <v>5458</v>
      </c>
      <c r="D4100" t="s">
        <v>11507</v>
      </c>
      <c r="E4100">
        <v>15</v>
      </c>
      <c r="F4100" t="str">
        <f>IF(AND(Entities[[#This Row],[ENT_TYPE]]="County",RIGHT(Entities[[#This Row],[ENT_NAME]],6)&lt;&gt;"County"),_xlfn.TEXTJOIN(" ",TRUE,Entities[[#This Row],[ENT_NAME]],"County"),Entities[[#This Row],[ENT_NAME]])</f>
        <v>La Grulla</v>
      </c>
    </row>
    <row r="4101" spans="1:6" x14ac:dyDescent="0.25">
      <c r="A4101" s="305" t="s">
        <v>11508</v>
      </c>
      <c r="B4101" s="303" t="str">
        <f t="shared" si="64"/>
        <v>x15000040</v>
      </c>
      <c r="C4101" t="s">
        <v>5458</v>
      </c>
      <c r="D4101" t="s">
        <v>11509</v>
      </c>
      <c r="E4101">
        <v>15</v>
      </c>
      <c r="F4101" t="str">
        <f>IF(AND(Entities[[#This Row],[ENT_TYPE]]="County",RIGHT(Entities[[#This Row],[ENT_NAME]],6)&lt;&gt;"County"),_xlfn.TEXTJOIN(" ",TRUE,Entities[[#This Row],[ENT_NAME]],"County"),Entities[[#This Row],[ENT_NAME]])</f>
        <v>Roma</v>
      </c>
    </row>
    <row r="4102" spans="1:6" x14ac:dyDescent="0.25">
      <c r="A4102" s="303" t="s">
        <v>11510</v>
      </c>
      <c r="B4102" s="303" t="str">
        <f t="shared" si="64"/>
        <v>x15000041</v>
      </c>
      <c r="C4102" t="s">
        <v>5458</v>
      </c>
      <c r="D4102" t="s">
        <v>11511</v>
      </c>
      <c r="E4102">
        <v>15</v>
      </c>
      <c r="F4102" t="str">
        <f>IF(AND(Entities[[#This Row],[ENT_TYPE]]="County",RIGHT(Entities[[#This Row],[ENT_NAME]],6)&lt;&gt;"County"),_xlfn.TEXTJOIN(" ",TRUE,Entities[[#This Row],[ENT_NAME]],"County"),Entities[[#This Row],[ENT_NAME]])</f>
        <v>Escobares</v>
      </c>
    </row>
    <row r="4103" spans="1:6" x14ac:dyDescent="0.25">
      <c r="A4103" s="305" t="s">
        <v>11512</v>
      </c>
      <c r="B4103" s="303" t="str">
        <f t="shared" si="64"/>
        <v>x15000042</v>
      </c>
      <c r="C4103" t="s">
        <v>5458</v>
      </c>
      <c r="D4103" t="s">
        <v>11513</v>
      </c>
      <c r="E4103">
        <v>15</v>
      </c>
      <c r="F4103" t="str">
        <f>IF(AND(Entities[[#This Row],[ENT_TYPE]]="County",RIGHT(Entities[[#This Row],[ENT_NAME]],6)&lt;&gt;"County"),_xlfn.TEXTJOIN(" ",TRUE,Entities[[#This Row],[ENT_NAME]],"County"),Entities[[#This Row],[ENT_NAME]])</f>
        <v>Eagle Pass</v>
      </c>
    </row>
    <row r="4104" spans="1:6" x14ac:dyDescent="0.25">
      <c r="A4104" s="303" t="s">
        <v>4231</v>
      </c>
      <c r="B4104" s="303" t="str">
        <f t="shared" si="64"/>
        <v>x15000043</v>
      </c>
      <c r="C4104" t="s">
        <v>5458</v>
      </c>
      <c r="D4104" t="s">
        <v>4230</v>
      </c>
      <c r="E4104">
        <v>15</v>
      </c>
      <c r="F4104" t="str">
        <f>IF(AND(Entities[[#This Row],[ENT_TYPE]]="County",RIGHT(Entities[[#This Row],[ENT_NAME]],6)&lt;&gt;"County"),_xlfn.TEXTJOIN(" ",TRUE,Entities[[#This Row],[ENT_NAME]],"County"),Entities[[#This Row],[ENT_NAME]])</f>
        <v>Harlingen</v>
      </c>
    </row>
    <row r="4105" spans="1:6" x14ac:dyDescent="0.25">
      <c r="A4105" s="305" t="s">
        <v>11514</v>
      </c>
      <c r="B4105" s="303" t="str">
        <f t="shared" si="64"/>
        <v>x15000044</v>
      </c>
      <c r="C4105" t="s">
        <v>5458</v>
      </c>
      <c r="D4105" t="s">
        <v>11515</v>
      </c>
      <c r="E4105">
        <v>15</v>
      </c>
      <c r="F4105" t="str">
        <f>IF(AND(Entities[[#This Row],[ENT_TYPE]]="County",RIGHT(Entities[[#This Row],[ENT_NAME]],6)&lt;&gt;"County"),_xlfn.TEXTJOIN(" ",TRUE,Entities[[#This Row],[ENT_NAME]],"County"),Entities[[#This Row],[ENT_NAME]])</f>
        <v>Palm Valley</v>
      </c>
    </row>
    <row r="4106" spans="1:6" x14ac:dyDescent="0.25">
      <c r="A4106" s="303" t="s">
        <v>4134</v>
      </c>
      <c r="B4106" s="303" t="str">
        <f t="shared" si="64"/>
        <v>x15000045</v>
      </c>
      <c r="C4106" t="s">
        <v>5458</v>
      </c>
      <c r="D4106" t="s">
        <v>11516</v>
      </c>
      <c r="E4106">
        <v>15</v>
      </c>
      <c r="F4106" t="str">
        <f>IF(AND(Entities[[#This Row],[ENT_TYPE]]="County",RIGHT(Entities[[#This Row],[ENT_NAME]],6)&lt;&gt;"County"),_xlfn.TEXTJOIN(" ",TRUE,Entities[[#This Row],[ENT_NAME]],"County"),Entities[[#This Row],[ENT_NAME]])</f>
        <v>South Padre Island</v>
      </c>
    </row>
    <row r="4107" spans="1:6" x14ac:dyDescent="0.25">
      <c r="A4107" s="305" t="s">
        <v>4118</v>
      </c>
      <c r="B4107" s="303" t="str">
        <f t="shared" si="64"/>
        <v>x15000046</v>
      </c>
      <c r="C4107" t="s">
        <v>5458</v>
      </c>
      <c r="D4107" t="s">
        <v>11517</v>
      </c>
      <c r="E4107">
        <v>15</v>
      </c>
      <c r="F4107" t="str">
        <f>IF(AND(Entities[[#This Row],[ENT_TYPE]]="County",RIGHT(Entities[[#This Row],[ENT_NAME]],6)&lt;&gt;"County"),_xlfn.TEXTJOIN(" ",TRUE,Entities[[#This Row],[ENT_NAME]],"County"),Entities[[#This Row],[ENT_NAME]])</f>
        <v>Indian Lake</v>
      </c>
    </row>
    <row r="4108" spans="1:6" x14ac:dyDescent="0.25">
      <c r="A4108" s="303" t="s">
        <v>4237</v>
      </c>
      <c r="B4108" s="303" t="str">
        <f t="shared" si="64"/>
        <v>x15000047</v>
      </c>
      <c r="C4108" t="s">
        <v>5458</v>
      </c>
      <c r="D4108" t="s">
        <v>4236</v>
      </c>
      <c r="E4108">
        <v>15</v>
      </c>
      <c r="F4108" t="str">
        <f>IF(AND(Entities[[#This Row],[ENT_TYPE]]="County",RIGHT(Entities[[#This Row],[ENT_NAME]],6)&lt;&gt;"County"),_xlfn.TEXTJOIN(" ",TRUE,Entities[[#This Row],[ENT_NAME]],"County"),Entities[[#This Row],[ENT_NAME]])</f>
        <v>La Feria</v>
      </c>
    </row>
    <row r="4109" spans="1:6" x14ac:dyDescent="0.25">
      <c r="A4109" s="305" t="s">
        <v>4082</v>
      </c>
      <c r="B4109" s="303" t="str">
        <f t="shared" si="64"/>
        <v>x15000048</v>
      </c>
      <c r="C4109" t="s">
        <v>5458</v>
      </c>
      <c r="D4109" t="s">
        <v>11518</v>
      </c>
      <c r="E4109">
        <v>15</v>
      </c>
      <c r="F4109" t="str">
        <f>IF(AND(Entities[[#This Row],[ENT_TYPE]]="County",RIGHT(Entities[[#This Row],[ENT_NAME]],6)&lt;&gt;"County"),_xlfn.TEXTJOIN(" ",TRUE,Entities[[#This Row],[ENT_NAME]],"County"),Entities[[#This Row],[ENT_NAME]])</f>
        <v>Laguna Vista</v>
      </c>
    </row>
    <row r="4110" spans="1:6" x14ac:dyDescent="0.25">
      <c r="A4110" s="303" t="s">
        <v>4244</v>
      </c>
      <c r="B4110" s="303" t="str">
        <f t="shared" si="64"/>
        <v>x15000049</v>
      </c>
      <c r="C4110" t="s">
        <v>5458</v>
      </c>
      <c r="D4110" t="s">
        <v>4243</v>
      </c>
      <c r="E4110">
        <v>15</v>
      </c>
      <c r="F4110" t="str">
        <f>IF(AND(Entities[[#This Row],[ENT_TYPE]]="County",RIGHT(Entities[[#This Row],[ENT_NAME]],6)&lt;&gt;"County"),_xlfn.TEXTJOIN(" ",TRUE,Entities[[#This Row],[ENT_NAME]],"County"),Entities[[#This Row],[ENT_NAME]])</f>
        <v>Los Fresnos</v>
      </c>
    </row>
    <row r="4111" spans="1:6" x14ac:dyDescent="0.25">
      <c r="A4111" s="305" t="s">
        <v>11519</v>
      </c>
      <c r="B4111" s="303" t="str">
        <f t="shared" si="64"/>
        <v>x15000050</v>
      </c>
      <c r="C4111" t="s">
        <v>5458</v>
      </c>
      <c r="D4111" t="s">
        <v>11520</v>
      </c>
      <c r="E4111">
        <v>15</v>
      </c>
      <c r="F4111" t="str">
        <f>IF(AND(Entities[[#This Row],[ENT_TYPE]]="County",RIGHT(Entities[[#This Row],[ENT_NAME]],6)&lt;&gt;"County"),_xlfn.TEXTJOIN(" ",TRUE,Entities[[#This Row],[ENT_NAME]],"County"),Entities[[#This Row],[ENT_NAME]])</f>
        <v>Los Indios</v>
      </c>
    </row>
    <row r="4112" spans="1:6" x14ac:dyDescent="0.25">
      <c r="A4112" s="303" t="s">
        <v>4206</v>
      </c>
      <c r="B4112" s="303" t="str">
        <f t="shared" si="64"/>
        <v>x15000051</v>
      </c>
      <c r="C4112" t="s">
        <v>5458</v>
      </c>
      <c r="D4112" t="s">
        <v>11521</v>
      </c>
      <c r="E4112">
        <v>15</v>
      </c>
      <c r="F4112" t="str">
        <f>IF(AND(Entities[[#This Row],[ENT_TYPE]]="County",RIGHT(Entities[[#This Row],[ENT_NAME]],6)&lt;&gt;"County"),_xlfn.TEXTJOIN(" ",TRUE,Entities[[#This Row],[ENT_NAME]],"County"),Entities[[#This Row],[ENT_NAME]])</f>
        <v>Port Isabel</v>
      </c>
    </row>
    <row r="4113" spans="1:6" x14ac:dyDescent="0.25">
      <c r="A4113" s="305" t="s">
        <v>3991</v>
      </c>
      <c r="B4113" s="303" t="str">
        <f t="shared" si="64"/>
        <v>x15000052</v>
      </c>
      <c r="C4113" t="s">
        <v>5458</v>
      </c>
      <c r="D4113" t="s">
        <v>4249</v>
      </c>
      <c r="E4113">
        <v>15</v>
      </c>
      <c r="F4113" t="str">
        <f>IF(AND(Entities[[#This Row],[ENT_TYPE]]="County",RIGHT(Entities[[#This Row],[ENT_NAME]],6)&lt;&gt;"County"),_xlfn.TEXTJOIN(" ",TRUE,Entities[[#This Row],[ENT_NAME]],"County"),Entities[[#This Row],[ENT_NAME]])</f>
        <v>Primera</v>
      </c>
    </row>
    <row r="4114" spans="1:6" x14ac:dyDescent="0.25">
      <c r="A4114" s="303" t="s">
        <v>3919</v>
      </c>
      <c r="B4114" s="303" t="str">
        <f t="shared" si="64"/>
        <v>x15000053</v>
      </c>
      <c r="C4114" t="s">
        <v>5458</v>
      </c>
      <c r="D4114" t="s">
        <v>11522</v>
      </c>
      <c r="E4114">
        <v>15</v>
      </c>
      <c r="F4114" t="str">
        <f>IF(AND(Entities[[#This Row],[ENT_TYPE]]="County",RIGHT(Entities[[#This Row],[ENT_NAME]],6)&lt;&gt;"County"),_xlfn.TEXTJOIN(" ",TRUE,Entities[[#This Row],[ENT_NAME]],"County"),Entities[[#This Row],[ENT_NAME]])</f>
        <v>Rancho Viejo</v>
      </c>
    </row>
    <row r="4115" spans="1:6" x14ac:dyDescent="0.25">
      <c r="A4115" s="305" t="s">
        <v>4215</v>
      </c>
      <c r="B4115" s="303" t="str">
        <f t="shared" si="64"/>
        <v>x15000054</v>
      </c>
      <c r="C4115" t="s">
        <v>5458</v>
      </c>
      <c r="D4115" t="s">
        <v>11523</v>
      </c>
      <c r="E4115">
        <v>15</v>
      </c>
      <c r="F4115" t="str">
        <f>IF(AND(Entities[[#This Row],[ENT_TYPE]]="County",RIGHT(Entities[[#This Row],[ENT_NAME]],6)&lt;&gt;"County"),_xlfn.TEXTJOIN(" ",TRUE,Entities[[#This Row],[ENT_NAME]],"County"),Entities[[#This Row],[ENT_NAME]])</f>
        <v>Rio Hondo</v>
      </c>
    </row>
    <row r="4116" spans="1:6" x14ac:dyDescent="0.25">
      <c r="A4116" s="303" t="s">
        <v>4153</v>
      </c>
      <c r="B4116" s="303" t="str">
        <f t="shared" si="64"/>
        <v>x15000055</v>
      </c>
      <c r="C4116" t="s">
        <v>5458</v>
      </c>
      <c r="D4116" t="s">
        <v>4255</v>
      </c>
      <c r="E4116">
        <v>15</v>
      </c>
      <c r="F4116" t="str">
        <f>IF(AND(Entities[[#This Row],[ENT_TYPE]]="County",RIGHT(Entities[[#This Row],[ENT_NAME]],6)&lt;&gt;"County"),_xlfn.TEXTJOIN(" ",TRUE,Entities[[#This Row],[ENT_NAME]],"County"),Entities[[#This Row],[ENT_NAME]])</f>
        <v>Alamo</v>
      </c>
    </row>
    <row r="4117" spans="1:6" x14ac:dyDescent="0.25">
      <c r="A4117" s="305" t="s">
        <v>4164</v>
      </c>
      <c r="B4117" s="303" t="str">
        <f t="shared" si="64"/>
        <v>x15000056</v>
      </c>
      <c r="C4117" t="s">
        <v>5458</v>
      </c>
      <c r="D4117" t="s">
        <v>11524</v>
      </c>
      <c r="E4117">
        <v>15</v>
      </c>
      <c r="F4117" t="str">
        <f>IF(AND(Entities[[#This Row],[ENT_TYPE]]="County",RIGHT(Entities[[#This Row],[ENT_NAME]],6)&lt;&gt;"County"),_xlfn.TEXTJOIN(" ",TRUE,Entities[[#This Row],[ENT_NAME]],"County"),Entities[[#This Row],[ENT_NAME]])</f>
        <v>Edcouch</v>
      </c>
    </row>
    <row r="4118" spans="1:6" x14ac:dyDescent="0.25">
      <c r="A4118" s="303" t="s">
        <v>4260</v>
      </c>
      <c r="B4118" s="303" t="str">
        <f t="shared" si="64"/>
        <v>x15000057</v>
      </c>
      <c r="C4118" t="s">
        <v>5458</v>
      </c>
      <c r="D4118" t="s">
        <v>4259</v>
      </c>
      <c r="E4118">
        <v>15</v>
      </c>
      <c r="F4118" t="str">
        <f>IF(AND(Entities[[#This Row],[ENT_TYPE]]="County",RIGHT(Entities[[#This Row],[ENT_NAME]],6)&lt;&gt;"County"),_xlfn.TEXTJOIN(" ",TRUE,Entities[[#This Row],[ENT_NAME]],"County"),Entities[[#This Row],[ENT_NAME]])</f>
        <v>Elsa</v>
      </c>
    </row>
    <row r="4119" spans="1:6" x14ac:dyDescent="0.25">
      <c r="A4119" s="305" t="s">
        <v>11525</v>
      </c>
      <c r="B4119" s="303" t="str">
        <f t="shared" si="64"/>
        <v>x15000058</v>
      </c>
      <c r="C4119" t="s">
        <v>5458</v>
      </c>
      <c r="D4119" t="s">
        <v>11526</v>
      </c>
      <c r="E4119">
        <v>15</v>
      </c>
      <c r="F4119" t="str">
        <f>IF(AND(Entities[[#This Row],[ENT_TYPE]]="County",RIGHT(Entities[[#This Row],[ENT_NAME]],6)&lt;&gt;"County"),_xlfn.TEXTJOIN(" ",TRUE,Entities[[#This Row],[ENT_NAME]],"County"),Entities[[#This Row],[ENT_NAME]])</f>
        <v>Laredo</v>
      </c>
    </row>
    <row r="4120" spans="1:6" x14ac:dyDescent="0.25">
      <c r="A4120" s="303" t="s">
        <v>11527</v>
      </c>
      <c r="B4120" s="303" t="str">
        <f t="shared" si="64"/>
        <v>x15000059</v>
      </c>
      <c r="C4120" t="s">
        <v>5458</v>
      </c>
      <c r="D4120" t="s">
        <v>11528</v>
      </c>
      <c r="E4120">
        <v>15</v>
      </c>
      <c r="F4120" t="str">
        <f>IF(AND(Entities[[#This Row],[ENT_TYPE]]="County",RIGHT(Entities[[#This Row],[ENT_NAME]],6)&lt;&gt;"County"),_xlfn.TEXTJOIN(" ",TRUE,Entities[[#This Row],[ENT_NAME]],"County"),Entities[[#This Row],[ENT_NAME]])</f>
        <v>Rio Bravo</v>
      </c>
    </row>
    <row r="4121" spans="1:6" x14ac:dyDescent="0.25">
      <c r="A4121" s="305" t="s">
        <v>11529</v>
      </c>
      <c r="B4121" s="303" t="str">
        <f t="shared" si="64"/>
        <v>x15000060</v>
      </c>
      <c r="C4121" t="s">
        <v>5458</v>
      </c>
      <c r="D4121" t="s">
        <v>11530</v>
      </c>
      <c r="E4121">
        <v>15</v>
      </c>
      <c r="F4121" t="str">
        <f>IF(AND(Entities[[#This Row],[ENT_TYPE]]="County",RIGHT(Entities[[#This Row],[ENT_NAME]],6)&lt;&gt;"County"),_xlfn.TEXTJOIN(" ",TRUE,Entities[[#This Row],[ENT_NAME]],"County"),Entities[[#This Row],[ENT_NAME]])</f>
        <v>Santa Rosa</v>
      </c>
    </row>
    <row r="4122" spans="1:6" x14ac:dyDescent="0.25">
      <c r="A4122" s="303" t="s">
        <v>4173</v>
      </c>
      <c r="B4122" s="303" t="str">
        <f t="shared" si="64"/>
        <v>x15000061</v>
      </c>
      <c r="C4122" t="s">
        <v>5458</v>
      </c>
      <c r="D4122" t="s">
        <v>3864</v>
      </c>
      <c r="E4122">
        <v>15</v>
      </c>
      <c r="F4122" t="str">
        <f>IF(AND(Entities[[#This Row],[ENT_TYPE]]="County",RIGHT(Entities[[#This Row],[ENT_NAME]],6)&lt;&gt;"County"),_xlfn.TEXTJOIN(" ",TRUE,Entities[[#This Row],[ENT_NAME]],"County"),Entities[[#This Row],[ENT_NAME]])</f>
        <v>Hidalgo</v>
      </c>
    </row>
    <row r="4123" spans="1:6" x14ac:dyDescent="0.25">
      <c r="A4123" s="305" t="s">
        <v>3865</v>
      </c>
      <c r="B4123" s="303" t="str">
        <f t="shared" si="64"/>
        <v>x15000062</v>
      </c>
      <c r="C4123" t="s">
        <v>5458</v>
      </c>
      <c r="D4123" t="s">
        <v>4267</v>
      </c>
      <c r="E4123">
        <v>15</v>
      </c>
      <c r="F4123" t="str">
        <f>IF(AND(Entities[[#This Row],[ENT_TYPE]]="County",RIGHT(Entities[[#This Row],[ENT_NAME]],6)&lt;&gt;"County"),_xlfn.TEXTJOIN(" ",TRUE,Entities[[#This Row],[ENT_NAME]],"County"),Entities[[#This Row],[ENT_NAME]])</f>
        <v>La Joya</v>
      </c>
    </row>
    <row r="4124" spans="1:6" x14ac:dyDescent="0.25">
      <c r="A4124" s="303" t="s">
        <v>3881</v>
      </c>
      <c r="B4124" s="303" t="str">
        <f t="shared" si="64"/>
        <v>x15000063</v>
      </c>
      <c r="C4124" t="s">
        <v>5458</v>
      </c>
      <c r="D4124" t="s">
        <v>4273</v>
      </c>
      <c r="E4124">
        <v>15</v>
      </c>
      <c r="F4124" t="str">
        <f>IF(AND(Entities[[#This Row],[ENT_TYPE]]="County",RIGHT(Entities[[#This Row],[ENT_NAME]],6)&lt;&gt;"County"),_xlfn.TEXTJOIN(" ",TRUE,Entities[[#This Row],[ENT_NAME]],"County"),Entities[[#This Row],[ENT_NAME]])</f>
        <v>Mercedes</v>
      </c>
    </row>
    <row r="4125" spans="1:6" x14ac:dyDescent="0.25">
      <c r="A4125" s="305" t="s">
        <v>4197</v>
      </c>
      <c r="B4125" s="303" t="str">
        <f t="shared" si="64"/>
        <v>x15000064</v>
      </c>
      <c r="C4125" t="s">
        <v>5458</v>
      </c>
      <c r="D4125" t="s">
        <v>4279</v>
      </c>
      <c r="E4125">
        <v>15</v>
      </c>
      <c r="F4125" t="str">
        <f>IF(AND(Entities[[#This Row],[ENT_TYPE]]="County",RIGHT(Entities[[#This Row],[ENT_NAME]],6)&lt;&gt;"County"),_xlfn.TEXTJOIN(" ",TRUE,Entities[[#This Row],[ENT_NAME]],"County"),Entities[[#This Row],[ENT_NAME]])</f>
        <v>Palmview</v>
      </c>
    </row>
    <row r="4126" spans="1:6" x14ac:dyDescent="0.25">
      <c r="A4126" s="303" t="s">
        <v>11531</v>
      </c>
      <c r="B4126" s="303" t="str">
        <f t="shared" si="64"/>
        <v>x15000065</v>
      </c>
      <c r="C4126" t="s">
        <v>5458</v>
      </c>
      <c r="D4126" t="s">
        <v>11532</v>
      </c>
      <c r="E4126">
        <v>15</v>
      </c>
      <c r="F4126" t="str">
        <f>IF(AND(Entities[[#This Row],[ENT_TYPE]]="County",RIGHT(Entities[[#This Row],[ENT_NAME]],6)&lt;&gt;"County"),_xlfn.TEXTJOIN(" ",TRUE,Entities[[#This Row],[ENT_NAME]],"County"),Entities[[#This Row],[ENT_NAME]])</f>
        <v>Penitas</v>
      </c>
    </row>
    <row r="4127" spans="1:6" x14ac:dyDescent="0.25">
      <c r="A4127" s="305" t="s">
        <v>11533</v>
      </c>
      <c r="B4127" s="303" t="str">
        <f t="shared" si="64"/>
        <v>x15000066</v>
      </c>
      <c r="C4127" t="s">
        <v>5458</v>
      </c>
      <c r="D4127" t="s">
        <v>11534</v>
      </c>
      <c r="E4127">
        <v>15</v>
      </c>
      <c r="F4127" t="str">
        <f>IF(AND(Entities[[#This Row],[ENT_TYPE]]="County",RIGHT(Entities[[#This Row],[ENT_NAME]],6)&lt;&gt;"County"),_xlfn.TEXTJOIN(" ",TRUE,Entities[[#This Row],[ENT_NAME]],"County"),Entities[[#This Row],[ENT_NAME]])</f>
        <v>Progreso Lakes</v>
      </c>
    </row>
    <row r="4128" spans="1:6" x14ac:dyDescent="0.25">
      <c r="A4128" s="303" t="s">
        <v>11535</v>
      </c>
      <c r="B4128" s="303" t="str">
        <f t="shared" si="64"/>
        <v>x15000067</v>
      </c>
      <c r="C4128" t="s">
        <v>5458</v>
      </c>
      <c r="D4128" t="s">
        <v>11536</v>
      </c>
      <c r="E4128">
        <v>15</v>
      </c>
      <c r="F4128" t="str">
        <f>IF(AND(Entities[[#This Row],[ENT_TYPE]]="County",RIGHT(Entities[[#This Row],[ENT_NAME]],6)&lt;&gt;"County"),_xlfn.TEXTJOIN(" ",TRUE,Entities[[#This Row],[ENT_NAME]],"County"),Entities[[#This Row],[ENT_NAME]])</f>
        <v>Sullivan City</v>
      </c>
    </row>
    <row r="4129" spans="1:6" x14ac:dyDescent="0.25">
      <c r="A4129" s="305" t="s">
        <v>3897</v>
      </c>
      <c r="B4129" s="303" t="str">
        <f t="shared" si="64"/>
        <v>x15000068</v>
      </c>
      <c r="C4129" t="s">
        <v>5458</v>
      </c>
      <c r="D4129" t="s">
        <v>4282</v>
      </c>
      <c r="E4129">
        <v>15</v>
      </c>
      <c r="F4129" t="str">
        <f>IF(AND(Entities[[#This Row],[ENT_TYPE]]="County",RIGHT(Entities[[#This Row],[ENT_NAME]],6)&lt;&gt;"County"),_xlfn.TEXTJOIN(" ",TRUE,Entities[[#This Row],[ENT_NAME]],"County"),Entities[[#This Row],[ENT_NAME]])</f>
        <v>Weslaco</v>
      </c>
    </row>
    <row r="4130" spans="1:6" x14ac:dyDescent="0.25">
      <c r="A4130" s="303" t="s">
        <v>4286</v>
      </c>
      <c r="B4130" s="303" t="str">
        <f t="shared" si="64"/>
        <v>x15000069</v>
      </c>
      <c r="C4130" t="s">
        <v>5458</v>
      </c>
      <c r="D4130" t="s">
        <v>4285</v>
      </c>
      <c r="E4130">
        <v>15</v>
      </c>
      <c r="F4130" t="str">
        <f>IF(AND(Entities[[#This Row],[ENT_TYPE]]="County",RIGHT(Entities[[#This Row],[ENT_NAME]],6)&lt;&gt;"County"),_xlfn.TEXTJOIN(" ",TRUE,Entities[[#This Row],[ENT_NAME]],"County"),Entities[[#This Row],[ENT_NAME]])</f>
        <v>Donna</v>
      </c>
    </row>
    <row r="4131" spans="1:6" x14ac:dyDescent="0.25">
      <c r="A4131" s="305" t="s">
        <v>3936</v>
      </c>
      <c r="B4131" s="303" t="str">
        <f t="shared" si="64"/>
        <v>x15000070</v>
      </c>
      <c r="C4131" t="s">
        <v>5458</v>
      </c>
      <c r="D4131" t="s">
        <v>11537</v>
      </c>
      <c r="E4131">
        <v>15</v>
      </c>
      <c r="F4131" t="str">
        <f>IF(AND(Entities[[#This Row],[ENT_TYPE]]="County",RIGHT(Entities[[#This Row],[ENT_NAME]],6)&lt;&gt;"County"),_xlfn.TEXTJOIN(" ",TRUE,Entities[[#This Row],[ENT_NAME]],"County"),Entities[[#This Row],[ENT_NAME]])</f>
        <v>Progreso</v>
      </c>
    </row>
    <row r="4132" spans="1:6" x14ac:dyDescent="0.25">
      <c r="A4132" s="303" t="s">
        <v>3945</v>
      </c>
      <c r="B4132" s="303" t="str">
        <f t="shared" si="64"/>
        <v>x15000071</v>
      </c>
      <c r="C4132" t="s">
        <v>5458</v>
      </c>
      <c r="D4132" t="s">
        <v>4292</v>
      </c>
      <c r="E4132">
        <v>15</v>
      </c>
      <c r="F4132" t="str">
        <f>IF(AND(Entities[[#This Row],[ENT_TYPE]]="County",RIGHT(Entities[[#This Row],[ENT_NAME]],6)&lt;&gt;"County"),_xlfn.TEXTJOIN(" ",TRUE,Entities[[#This Row],[ENT_NAME]],"County"),Entities[[#This Row],[ENT_NAME]])</f>
        <v>Palmhurst</v>
      </c>
    </row>
    <row r="4133" spans="1:6" x14ac:dyDescent="0.25">
      <c r="A4133" s="305" t="s">
        <v>4159</v>
      </c>
      <c r="B4133" s="303" t="str">
        <f t="shared" si="64"/>
        <v>x15000072</v>
      </c>
      <c r="C4133" t="s">
        <v>5458</v>
      </c>
      <c r="D4133" t="s">
        <v>4299</v>
      </c>
      <c r="E4133">
        <v>15</v>
      </c>
      <c r="F4133" t="str">
        <f>IF(AND(Entities[[#This Row],[ENT_TYPE]]="County",RIGHT(Entities[[#This Row],[ENT_NAME]],6)&lt;&gt;"County"),_xlfn.TEXTJOIN(" ",TRUE,Entities[[#This Row],[ENT_NAME]],"County"),Entities[[#This Row],[ENT_NAME]])</f>
        <v>Brownsville</v>
      </c>
    </row>
    <row r="4134" spans="1:6" x14ac:dyDescent="0.25">
      <c r="A4134" s="303" t="s">
        <v>4220</v>
      </c>
      <c r="B4134" s="303" t="str">
        <f t="shared" si="64"/>
        <v>x15000073</v>
      </c>
      <c r="C4134" t="s">
        <v>5458</v>
      </c>
      <c r="D4134" t="s">
        <v>4305</v>
      </c>
      <c r="E4134">
        <v>15</v>
      </c>
      <c r="F4134" t="str">
        <f>IF(AND(Entities[[#This Row],[ENT_TYPE]]="County",RIGHT(Entities[[#This Row],[ENT_NAME]],6)&lt;&gt;"County"),_xlfn.TEXTJOIN(" ",TRUE,Entities[[#This Row],[ENT_NAME]],"County"),Entities[[#This Row],[ENT_NAME]])</f>
        <v>San Benito</v>
      </c>
    </row>
    <row r="4135" spans="1:6" x14ac:dyDescent="0.25">
      <c r="A4135" s="305" t="s">
        <v>4146</v>
      </c>
      <c r="B4135" s="303" t="str">
        <f t="shared" si="64"/>
        <v>x15000074</v>
      </c>
      <c r="C4135" t="s">
        <v>5458</v>
      </c>
      <c r="D4135" t="s">
        <v>11538</v>
      </c>
      <c r="E4135">
        <v>15</v>
      </c>
      <c r="F4135" t="str">
        <f>IF(AND(Entities[[#This Row],[ENT_TYPE]]="County",RIGHT(Entities[[#This Row],[ENT_NAME]],6)&lt;&gt;"County"),_xlfn.TEXTJOIN(" ",TRUE,Entities[[#This Row],[ENT_NAME]],"County"),Entities[[#This Row],[ENT_NAME]])</f>
        <v>Bayview</v>
      </c>
    </row>
    <row r="4136" spans="1:6" x14ac:dyDescent="0.25">
      <c r="A4136" s="303" t="s">
        <v>4312</v>
      </c>
      <c r="B4136" s="303" t="str">
        <f t="shared" si="64"/>
        <v>x15000075</v>
      </c>
      <c r="C4136" t="s">
        <v>5458</v>
      </c>
      <c r="D4136" t="s">
        <v>4311</v>
      </c>
      <c r="E4136">
        <v>15</v>
      </c>
      <c r="F4136" t="str">
        <f>IF(AND(Entities[[#This Row],[ENT_TYPE]]="County",RIGHT(Entities[[#This Row],[ENT_NAME]],6)&lt;&gt;"County"),_xlfn.TEXTJOIN(" ",TRUE,Entities[[#This Row],[ENT_NAME]],"County"),Entities[[#This Row],[ENT_NAME]])</f>
        <v>Combes</v>
      </c>
    </row>
    <row r="4137" spans="1:6" x14ac:dyDescent="0.25">
      <c r="A4137" s="305" t="s">
        <v>11539</v>
      </c>
      <c r="B4137" s="303" t="str">
        <f t="shared" si="64"/>
        <v>x15000076</v>
      </c>
      <c r="C4137" t="s">
        <v>5458</v>
      </c>
      <c r="D4137" t="s">
        <v>11540</v>
      </c>
      <c r="E4137">
        <v>15</v>
      </c>
      <c r="F4137" t="str">
        <f>IF(AND(Entities[[#This Row],[ENT_TYPE]]="County",RIGHT(Entities[[#This Row],[ENT_NAME]],6)&lt;&gt;"County"),_xlfn.TEXTJOIN(" ",TRUE,Entities[[#This Row],[ENT_NAME]],"County"),Entities[[#This Row],[ENT_NAME]])</f>
        <v>Lyford</v>
      </c>
    </row>
    <row r="4138" spans="1:6" x14ac:dyDescent="0.25">
      <c r="A4138" s="303" t="s">
        <v>11541</v>
      </c>
      <c r="B4138" s="303" t="str">
        <f t="shared" si="64"/>
        <v>x15000077</v>
      </c>
      <c r="C4138" t="s">
        <v>5458</v>
      </c>
      <c r="D4138" t="s">
        <v>11542</v>
      </c>
      <c r="E4138">
        <v>15</v>
      </c>
      <c r="F4138" t="str">
        <f>IF(AND(Entities[[#This Row],[ENT_TYPE]]="County",RIGHT(Entities[[#This Row],[ENT_NAME]],6)&lt;&gt;"County"),_xlfn.TEXTJOIN(" ",TRUE,Entities[[#This Row],[ENT_NAME]],"County"),Entities[[#This Row],[ENT_NAME]])</f>
        <v>Raymondville</v>
      </c>
    </row>
    <row r="4139" spans="1:6" x14ac:dyDescent="0.25">
      <c r="A4139" s="305" t="s">
        <v>11543</v>
      </c>
      <c r="B4139" s="303" t="str">
        <f t="shared" si="64"/>
        <v>x15000078</v>
      </c>
      <c r="C4139" t="s">
        <v>5458</v>
      </c>
      <c r="D4139" t="s">
        <v>11544</v>
      </c>
      <c r="E4139">
        <v>15</v>
      </c>
      <c r="F4139" t="str">
        <f>IF(AND(Entities[[#This Row],[ENT_TYPE]]="County",RIGHT(Entities[[#This Row],[ENT_NAME]],6)&lt;&gt;"County"),_xlfn.TEXTJOIN(" ",TRUE,Entities[[#This Row],[ENT_NAME]],"County"),Entities[[#This Row],[ENT_NAME]])</f>
        <v>Spofford</v>
      </c>
    </row>
    <row r="4140" spans="1:6" x14ac:dyDescent="0.25">
      <c r="A4140" s="303" t="s">
        <v>11545</v>
      </c>
      <c r="B4140" s="303" t="str">
        <f t="shared" si="64"/>
        <v>x15000079</v>
      </c>
      <c r="C4140" t="s">
        <v>5458</v>
      </c>
      <c r="D4140" t="s">
        <v>11546</v>
      </c>
      <c r="E4140">
        <v>15</v>
      </c>
      <c r="F4140" t="str">
        <f>IF(AND(Entities[[#This Row],[ENT_TYPE]]="County",RIGHT(Entities[[#This Row],[ENT_NAME]],6)&lt;&gt;"County"),_xlfn.TEXTJOIN(" ",TRUE,Entities[[#This Row],[ENT_NAME]],"County"),Entities[[#This Row],[ENT_NAME]])</f>
        <v>El Cenizo</v>
      </c>
    </row>
    <row r="4141" spans="1:6" x14ac:dyDescent="0.25">
      <c r="A4141" s="305" t="s">
        <v>11547</v>
      </c>
      <c r="B4141" s="303" t="str">
        <f t="shared" si="64"/>
        <v>x15000080</v>
      </c>
      <c r="C4141" t="s">
        <v>5458</v>
      </c>
      <c r="D4141" t="s">
        <v>11548</v>
      </c>
      <c r="E4141">
        <v>15</v>
      </c>
      <c r="F4141" t="str">
        <f>IF(AND(Entities[[#This Row],[ENT_TYPE]]="County",RIGHT(Entities[[#This Row],[ENT_NAME]],6)&lt;&gt;"County"),_xlfn.TEXTJOIN(" ",TRUE,Entities[[#This Row],[ENT_NAME]],"County"),Entities[[#This Row],[ENT_NAME]])</f>
        <v>San Perlita</v>
      </c>
    </row>
    <row r="4142" spans="1:6" x14ac:dyDescent="0.25">
      <c r="A4142" s="303" t="s">
        <v>11549</v>
      </c>
      <c r="B4142" s="303" t="str">
        <f t="shared" si="64"/>
        <v>x15000081</v>
      </c>
      <c r="C4142" t="s">
        <v>5458</v>
      </c>
      <c r="D4142" t="s">
        <v>11550</v>
      </c>
      <c r="E4142">
        <v>15</v>
      </c>
      <c r="F4142" t="str">
        <f>IF(AND(Entities[[#This Row],[ENT_TYPE]]="County",RIGHT(Entities[[#This Row],[ENT_NAME]],6)&lt;&gt;"County"),_xlfn.TEXTJOIN(" ",TRUE,Entities[[#This Row],[ENT_NAME]],"County"),Entities[[#This Row],[ENT_NAME]])</f>
        <v>Rio Grande City</v>
      </c>
    </row>
    <row r="4143" spans="1:6" x14ac:dyDescent="0.25">
      <c r="A4143" s="305" t="s">
        <v>4168</v>
      </c>
      <c r="B4143" s="303" t="str">
        <f t="shared" si="64"/>
        <v>x15000082</v>
      </c>
      <c r="C4143" t="s">
        <v>5458</v>
      </c>
      <c r="D4143" t="s">
        <v>4318</v>
      </c>
      <c r="E4143">
        <v>15</v>
      </c>
      <c r="F4143" t="str">
        <f>IF(AND(Entities[[#This Row],[ENT_TYPE]]="County",RIGHT(Entities[[#This Row],[ENT_NAME]],6)&lt;&gt;"County"),_xlfn.TEXTJOIN(" ",TRUE,Entities[[#This Row],[ENT_NAME]],"County"),Entities[[#This Row],[ENT_NAME]])</f>
        <v>Edinburg</v>
      </c>
    </row>
    <row r="4144" spans="1:6" x14ac:dyDescent="0.25">
      <c r="A4144" s="303" t="s">
        <v>11551</v>
      </c>
      <c r="B4144" s="303" t="str">
        <f t="shared" si="64"/>
        <v>x15000083</v>
      </c>
      <c r="C4144" t="s">
        <v>5458</v>
      </c>
      <c r="D4144" t="s">
        <v>11552</v>
      </c>
      <c r="E4144">
        <v>15</v>
      </c>
      <c r="F4144" t="str">
        <f>IF(AND(Entities[[#This Row],[ENT_TYPE]]="County",RIGHT(Entities[[#This Row],[ENT_NAME]],6)&lt;&gt;"County"),_xlfn.TEXTJOIN(" ",TRUE,Entities[[#This Row],[ENT_NAME]],"County"),Entities[[#This Row],[ENT_NAME]])</f>
        <v>Granjeno</v>
      </c>
    </row>
    <row r="4145" spans="1:6" x14ac:dyDescent="0.25">
      <c r="A4145" s="305" t="s">
        <v>4185</v>
      </c>
      <c r="B4145" s="303" t="str">
        <f t="shared" si="64"/>
        <v>x15000084</v>
      </c>
      <c r="C4145" t="s">
        <v>5458</v>
      </c>
      <c r="D4145" t="s">
        <v>11553</v>
      </c>
      <c r="E4145">
        <v>15</v>
      </c>
      <c r="F4145" t="str">
        <f>IF(AND(Entities[[#This Row],[ENT_TYPE]]="County",RIGHT(Entities[[#This Row],[ENT_NAME]],6)&lt;&gt;"County"),_xlfn.TEXTJOIN(" ",TRUE,Entities[[#This Row],[ENT_NAME]],"County"),Entities[[#This Row],[ENT_NAME]])</f>
        <v>McAllen</v>
      </c>
    </row>
    <row r="4146" spans="1:6" x14ac:dyDescent="0.25">
      <c r="A4146" s="303" t="s">
        <v>4193</v>
      </c>
      <c r="B4146" s="303" t="str">
        <f t="shared" si="64"/>
        <v>x15000085</v>
      </c>
      <c r="C4146" t="s">
        <v>5458</v>
      </c>
      <c r="D4146" t="s">
        <v>4324</v>
      </c>
      <c r="E4146">
        <v>15</v>
      </c>
      <c r="F4146" t="str">
        <f>IF(AND(Entities[[#This Row],[ENT_TYPE]]="County",RIGHT(Entities[[#This Row],[ENT_NAME]],6)&lt;&gt;"County"),_xlfn.TEXTJOIN(" ",TRUE,Entities[[#This Row],[ENT_NAME]],"County"),Entities[[#This Row],[ENT_NAME]])</f>
        <v>Mission</v>
      </c>
    </row>
    <row r="4147" spans="1:6" x14ac:dyDescent="0.25">
      <c r="A4147" s="305" t="s">
        <v>4202</v>
      </c>
      <c r="B4147" s="303" t="str">
        <f t="shared" si="64"/>
        <v>x15000086</v>
      </c>
      <c r="C4147" t="s">
        <v>5458</v>
      </c>
      <c r="D4147" t="s">
        <v>11554</v>
      </c>
      <c r="E4147">
        <v>15</v>
      </c>
      <c r="F4147" t="str">
        <f>IF(AND(Entities[[#This Row],[ENT_TYPE]]="County",RIGHT(Entities[[#This Row],[ENT_NAME]],6)&lt;&gt;"County"),_xlfn.TEXTJOIN(" ",TRUE,Entities[[#This Row],[ENT_NAME]],"County"),Entities[[#This Row],[ENT_NAME]])</f>
        <v>Pharr</v>
      </c>
    </row>
    <row r="4148" spans="1:6" x14ac:dyDescent="0.25">
      <c r="A4148" s="303" t="s">
        <v>4328</v>
      </c>
      <c r="B4148" s="303" t="str">
        <f t="shared" si="64"/>
        <v>x15000087</v>
      </c>
      <c r="C4148" t="s">
        <v>5458</v>
      </c>
      <c r="D4148" t="s">
        <v>4327</v>
      </c>
      <c r="E4148">
        <v>15</v>
      </c>
      <c r="F4148" t="str">
        <f>IF(AND(Entities[[#This Row],[ENT_TYPE]]="County",RIGHT(Entities[[#This Row],[ENT_NAME]],6)&lt;&gt;"County"),_xlfn.TEXTJOIN(" ",TRUE,Entities[[#This Row],[ENT_NAME]],"County"),Entities[[#This Row],[ENT_NAME]])</f>
        <v>San Juan</v>
      </c>
    </row>
    <row r="4149" spans="1:6" x14ac:dyDescent="0.25">
      <c r="A4149" s="305" t="s">
        <v>4332</v>
      </c>
      <c r="B4149" s="303" t="str">
        <f t="shared" si="64"/>
        <v>x15000088</v>
      </c>
      <c r="C4149" t="s">
        <v>5458</v>
      </c>
      <c r="D4149" t="s">
        <v>4331</v>
      </c>
      <c r="E4149">
        <v>15</v>
      </c>
      <c r="F4149" t="str">
        <f>IF(AND(Entities[[#This Row],[ENT_TYPE]]="County",RIGHT(Entities[[#This Row],[ENT_NAME]],6)&lt;&gt;"County"),_xlfn.TEXTJOIN(" ",TRUE,Entities[[#This Row],[ENT_NAME]],"County"),Entities[[#This Row],[ENT_NAME]])</f>
        <v>Alton</v>
      </c>
    </row>
    <row r="4150" spans="1:6" x14ac:dyDescent="0.25">
      <c r="A4150" s="303" t="s">
        <v>3890</v>
      </c>
      <c r="B4150" s="303" t="str">
        <f t="shared" si="64"/>
        <v>x15000089</v>
      </c>
      <c r="C4150" t="s">
        <v>5458</v>
      </c>
      <c r="D4150" t="s">
        <v>4335</v>
      </c>
      <c r="E4150">
        <v>15</v>
      </c>
      <c r="F4150" t="str">
        <f>IF(AND(Entities[[#This Row],[ENT_TYPE]]="County",RIGHT(Entities[[#This Row],[ENT_NAME]],6)&lt;&gt;"County"),_xlfn.TEXTJOIN(" ",TRUE,Entities[[#This Row],[ENT_NAME]],"County"),Entities[[#This Row],[ENT_NAME]])</f>
        <v>La Villa</v>
      </c>
    </row>
    <row r="4151" spans="1:6" x14ac:dyDescent="0.25">
      <c r="A4151" s="305" t="s">
        <v>11555</v>
      </c>
      <c r="B4151" s="303" t="str">
        <f t="shared" si="64"/>
        <v>x15000090</v>
      </c>
      <c r="C4151" t="s">
        <v>4</v>
      </c>
      <c r="D4151" t="s">
        <v>11556</v>
      </c>
      <c r="E4151">
        <v>15</v>
      </c>
      <c r="F4151" t="str">
        <f>IF(AND(Entities[[#This Row],[ENT_TYPE]]="County",RIGHT(Entities[[#This Row],[ENT_NAME]],6)&lt;&gt;"County"),_xlfn.TEXTJOIN(" ",TRUE,Entities[[#This Row],[ENT_NAME]],"County"),Entities[[#This Row],[ENT_NAME]])</f>
        <v>Hidalgo County MUD 1</v>
      </c>
    </row>
    <row r="4152" spans="1:6" x14ac:dyDescent="0.25">
      <c r="A4152" s="303" t="s">
        <v>11557</v>
      </c>
      <c r="B4152" s="303" t="str">
        <f t="shared" si="64"/>
        <v>x15000091</v>
      </c>
      <c r="C4152" t="s">
        <v>4</v>
      </c>
      <c r="D4152" t="s">
        <v>11558</v>
      </c>
      <c r="E4152">
        <v>15</v>
      </c>
      <c r="F4152" t="str">
        <f>IF(AND(Entities[[#This Row],[ENT_TYPE]]="County",RIGHT(Entities[[#This Row],[ENT_NAME]],6)&lt;&gt;"County"),_xlfn.TEXTJOIN(" ",TRUE,Entities[[#This Row],[ENT_NAME]],"County"),Entities[[#This Row],[ENT_NAME]])</f>
        <v>Hidalgo &amp; Cameron Counties Irrigation District 9</v>
      </c>
    </row>
    <row r="4153" spans="1:6" x14ac:dyDescent="0.25">
      <c r="A4153" s="305" t="s">
        <v>11559</v>
      </c>
      <c r="B4153" s="303" t="str">
        <f t="shared" si="64"/>
        <v>x15000092</v>
      </c>
      <c r="C4153" t="s">
        <v>4</v>
      </c>
      <c r="D4153" t="s">
        <v>11560</v>
      </c>
      <c r="E4153">
        <v>15</v>
      </c>
      <c r="F4153" t="str">
        <f>IF(AND(Entities[[#This Row],[ENT_TYPE]]="County",RIGHT(Entities[[#This Row],[ENT_NAME]],6)&lt;&gt;"County"),_xlfn.TEXTJOIN(" ",TRUE,Entities[[#This Row],[ENT_NAME]],"County"),Entities[[#This Row],[ENT_NAME]])</f>
        <v>San Ygnacio MUD</v>
      </c>
    </row>
    <row r="4154" spans="1:6" x14ac:dyDescent="0.25">
      <c r="A4154" s="303" t="s">
        <v>11561</v>
      </c>
      <c r="B4154" s="303" t="str">
        <f t="shared" si="64"/>
        <v>x15000093</v>
      </c>
      <c r="C4154" t="s">
        <v>4</v>
      </c>
      <c r="D4154" t="s">
        <v>11562</v>
      </c>
      <c r="E4154">
        <v>15</v>
      </c>
      <c r="F4154" t="str">
        <f>IF(AND(Entities[[#This Row],[ENT_TYPE]]="County",RIGHT(Entities[[#This Row],[ENT_NAME]],6)&lt;&gt;"County"),_xlfn.TEXTJOIN(" ",TRUE,Entities[[#This Row],[ENT_NAME]],"County"),Entities[[#This Row],[ENT_NAME]])</f>
        <v>Valley MUD 2</v>
      </c>
    </row>
    <row r="4155" spans="1:6" x14ac:dyDescent="0.25">
      <c r="A4155" s="305" t="s">
        <v>11563</v>
      </c>
      <c r="B4155" s="303" t="str">
        <f t="shared" si="64"/>
        <v>x15000094</v>
      </c>
      <c r="C4155" t="s">
        <v>4</v>
      </c>
      <c r="D4155" t="s">
        <v>11564</v>
      </c>
      <c r="E4155">
        <v>15</v>
      </c>
      <c r="F4155" t="str">
        <f>IF(AND(Entities[[#This Row],[ENT_TYPE]]="County",RIGHT(Entities[[#This Row],[ENT_NAME]],6)&lt;&gt;"County"),_xlfn.TEXTJOIN(" ",TRUE,Entities[[#This Row],[ENT_NAME]],"County"),Entities[[#This Row],[ENT_NAME]])</f>
        <v>Sebastian MUD</v>
      </c>
    </row>
    <row r="4156" spans="1:6" x14ac:dyDescent="0.25">
      <c r="A4156" s="303" t="s">
        <v>11565</v>
      </c>
      <c r="B4156" s="303" t="str">
        <f t="shared" si="64"/>
        <v>x15000095</v>
      </c>
      <c r="C4156" t="s">
        <v>4</v>
      </c>
      <c r="D4156" t="s">
        <v>11566</v>
      </c>
      <c r="E4156">
        <v>15</v>
      </c>
      <c r="F4156" t="str">
        <f>IF(AND(Entities[[#This Row],[ENT_TYPE]]="County",RIGHT(Entities[[#This Row],[ENT_NAME]],6)&lt;&gt;"County"),_xlfn.TEXTJOIN(" ",TRUE,Entities[[#This Row],[ENT_NAME]],"County"),Entities[[#This Row],[ENT_NAME]])</f>
        <v>Fort Clark MUD</v>
      </c>
    </row>
    <row r="4157" spans="1:6" x14ac:dyDescent="0.25">
      <c r="A4157" s="305" t="s">
        <v>11567</v>
      </c>
      <c r="B4157" s="303" t="str">
        <f t="shared" si="64"/>
        <v>x15000096</v>
      </c>
      <c r="C4157" t="s">
        <v>5458</v>
      </c>
      <c r="D4157" t="s">
        <v>11568</v>
      </c>
      <c r="E4157">
        <v>15</v>
      </c>
      <c r="F4157" t="str">
        <f>IF(AND(Entities[[#This Row],[ENT_TYPE]]="County",RIGHT(Entities[[#This Row],[ENT_NAME]],6)&lt;&gt;"County"),_xlfn.TEXTJOIN(" ",TRUE,Entities[[#This Row],[ENT_NAME]],"County"),Entities[[#This Row],[ENT_NAME]])</f>
        <v>Brackettville</v>
      </c>
    </row>
    <row r="4158" spans="1:6" x14ac:dyDescent="0.25">
      <c r="A4158" s="303" t="s">
        <v>11569</v>
      </c>
      <c r="B4158" s="303" t="str">
        <f t="shared" si="64"/>
        <v>x15000097</v>
      </c>
      <c r="C4158" t="s">
        <v>5458</v>
      </c>
      <c r="D4158" t="s">
        <v>11570</v>
      </c>
      <c r="E4158">
        <v>15</v>
      </c>
      <c r="F4158" t="str">
        <f>IF(AND(Entities[[#This Row],[ENT_TYPE]]="County",RIGHT(Entities[[#This Row],[ENT_NAME]],6)&lt;&gt;"County"),_xlfn.TEXTJOIN(" ",TRUE,Entities[[#This Row],[ENT_NAME]],"County"),Entities[[#This Row],[ENT_NAME]])</f>
        <v>Rangerville</v>
      </c>
    </row>
    <row r="4159" spans="1:6" x14ac:dyDescent="0.25">
      <c r="A4159" s="305" t="s">
        <v>11571</v>
      </c>
      <c r="B4159" s="303" t="str">
        <f t="shared" si="64"/>
        <v>x15000098</v>
      </c>
      <c r="C4159" t="s">
        <v>4</v>
      </c>
      <c r="D4159" t="s">
        <v>11572</v>
      </c>
      <c r="E4159">
        <v>15</v>
      </c>
      <c r="F4159" t="str">
        <f>IF(AND(Entities[[#This Row],[ENT_TYPE]]="County",RIGHT(Entities[[#This Row],[ENT_NAME]],6)&lt;&gt;"County"),_xlfn.TEXTJOIN(" ",TRUE,Entities[[#This Row],[ENT_NAME]],"County"),Entities[[#This Row],[ENT_NAME]])</f>
        <v>Cameron County Drainage District 6</v>
      </c>
    </row>
    <row r="4160" spans="1:6" x14ac:dyDescent="0.25">
      <c r="A4160" s="303" t="s">
        <v>11573</v>
      </c>
      <c r="B4160" s="303" t="str">
        <f t="shared" si="64"/>
        <v>x15000099</v>
      </c>
      <c r="C4160" t="s">
        <v>4</v>
      </c>
      <c r="D4160" t="s">
        <v>11574</v>
      </c>
      <c r="E4160">
        <v>15</v>
      </c>
      <c r="F4160" t="str">
        <f>IF(AND(Entities[[#This Row],[ENT_TYPE]]="County",RIGHT(Entities[[#This Row],[ENT_NAME]],6)&lt;&gt;"County"),_xlfn.TEXTJOIN(" ",TRUE,Entities[[#This Row],[ENT_NAME]],"County"),Entities[[#This Row],[ENT_NAME]])</f>
        <v>Hidalgo County Drainage District 1</v>
      </c>
    </row>
    <row r="4161" spans="1:6" x14ac:dyDescent="0.25">
      <c r="A4161" s="305" t="s">
        <v>11575</v>
      </c>
      <c r="B4161" s="303" t="str">
        <f t="shared" si="64"/>
        <v>x15000100</v>
      </c>
      <c r="C4161" t="s">
        <v>4</v>
      </c>
      <c r="D4161" t="s">
        <v>11576</v>
      </c>
      <c r="E4161">
        <v>15</v>
      </c>
      <c r="F4161" t="str">
        <f>IF(AND(Entities[[#This Row],[ENT_TYPE]]="County",RIGHT(Entities[[#This Row],[ENT_NAME]],6)&lt;&gt;"County"),_xlfn.TEXTJOIN(" ",TRUE,Entities[[#This Row],[ENT_NAME]],"County"),Entities[[#This Row],[ENT_NAME]])</f>
        <v>Harlingen Irrigation District</v>
      </c>
    </row>
    <row r="4162" spans="1:6" x14ac:dyDescent="0.25">
      <c r="A4162" s="303" t="s">
        <v>11577</v>
      </c>
      <c r="B4162" s="303" t="str">
        <f t="shared" ref="B4162" si="65">_xlfn.CONCAT("x",TEXT(A4162,"00000000"))</f>
        <v>x15000101</v>
      </c>
      <c r="C4162" t="s">
        <v>4</v>
      </c>
      <c r="D4162" t="s">
        <v>11578</v>
      </c>
      <c r="E4162">
        <v>15</v>
      </c>
      <c r="F4162" t="str">
        <f>IF(AND(Entities[[#This Row],[ENT_TYPE]]="County",RIGHT(Entities[[#This Row],[ENT_NAME]],6)&lt;&gt;"County"),_xlfn.TEXTJOIN(" ",TRUE,Entities[[#This Row],[ENT_NAME]],"County"),Entities[[#This Row],[ENT_NAME]])</f>
        <v>International Boundary and Water Commission</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35A1-D8E8-409F-B302-6C18B00D333A}">
  <dimension ref="A1:Q772"/>
  <sheetViews>
    <sheetView workbookViewId="0">
      <selection activeCell="U27" sqref="U27"/>
    </sheetView>
  </sheetViews>
  <sheetFormatPr defaultRowHeight="15" x14ac:dyDescent="0.25"/>
  <cols>
    <col min="1" max="1" width="10" customWidth="1"/>
    <col min="2" max="2" width="17.140625" customWidth="1"/>
    <col min="3" max="3" width="15.140625" customWidth="1"/>
    <col min="4" max="4" width="14.42578125" customWidth="1"/>
    <col min="5" max="5" width="14.5703125" customWidth="1"/>
    <col min="6" max="6" width="13.85546875" customWidth="1"/>
    <col min="7" max="7" width="5.42578125" customWidth="1"/>
    <col min="8" max="8" width="5.5703125" customWidth="1"/>
    <col min="9" max="9" width="5.85546875" customWidth="1"/>
    <col min="10" max="10" width="6.42578125" customWidth="1"/>
    <col min="11" max="11" width="19.42578125" customWidth="1"/>
    <col min="12" max="12" width="11.5703125" customWidth="1"/>
    <col min="13" max="13" width="5.5703125" customWidth="1"/>
    <col min="14" max="14" width="6.140625" customWidth="1"/>
    <col min="15" max="15" width="6.42578125" customWidth="1"/>
    <col min="16" max="16" width="5.5703125" customWidth="1"/>
    <col min="17" max="17" width="22.42578125" customWidth="1"/>
  </cols>
  <sheetData>
    <row r="1" spans="1:17" ht="15.75" x14ac:dyDescent="0.25">
      <c r="A1" s="156" t="s">
        <v>181</v>
      </c>
      <c r="B1" s="299" t="s">
        <v>11579</v>
      </c>
      <c r="C1" t="s">
        <v>11580</v>
      </c>
      <c r="D1" t="s">
        <v>11581</v>
      </c>
      <c r="E1" t="s">
        <v>11582</v>
      </c>
      <c r="F1" t="s">
        <v>11583</v>
      </c>
      <c r="G1" t="s">
        <v>11584</v>
      </c>
      <c r="H1" t="s">
        <v>11585</v>
      </c>
      <c r="I1" t="s">
        <v>11586</v>
      </c>
      <c r="J1" t="s">
        <v>11587</v>
      </c>
      <c r="K1" t="s">
        <v>11588</v>
      </c>
      <c r="L1" t="s">
        <v>11589</v>
      </c>
      <c r="M1" t="s">
        <v>11590</v>
      </c>
      <c r="N1" t="s">
        <v>11591</v>
      </c>
      <c r="O1" t="s">
        <v>11592</v>
      </c>
      <c r="P1" t="s">
        <v>11593</v>
      </c>
      <c r="Q1" t="s">
        <v>11594</v>
      </c>
    </row>
    <row r="2" spans="1:17" x14ac:dyDescent="0.25">
      <c r="A2" t="s">
        <v>1089</v>
      </c>
      <c r="B2" t="s">
        <v>1098</v>
      </c>
      <c r="C2" t="str">
        <f>IF(ISNUMBER(VALUE(LEFT(B2,7))),_xlfn.CONCAT("x",TEXT(SUBSTITUTE(B2,",",", "),"00000000")),"")</f>
        <v>x01002682</v>
      </c>
      <c r="D2" t="str">
        <f>SUBSTITUTE(SUBSTITUTE(Table3[[#This Row],[Sponsor_list_tranform]],",",",x")," ","")</f>
        <v>x01002682</v>
      </c>
      <c r="E2" t="s">
        <v>11655</v>
      </c>
      <c r="K2" t="str">
        <f>IF(LEN(E2)&lt;&gt;0,_xlfn.XLOOKUP(E2,[1]!Entities[ID_with_x],[1]!Entities[Name_w_County],_xlfn.CONCAT("Entity ID ",RIGHT(Table3[[#This Row],[Sponsor_1_num]],8)," not found")),"")</f>
        <v>Quitaque</v>
      </c>
      <c r="L2" t="str">
        <f>IF(LEN(F2)&lt;&gt;0,_xlfn.XLOOKUP(F2,[1]!Entities[ID_with_x],[1]!Entities[Name_w_County],_xlfn.CONCAT("Entity ID ",RIGHT(Table3[[#This Row],[Sponsor_1_num]],8)," not found")),"")</f>
        <v/>
      </c>
      <c r="M2" t="str">
        <f>IF(LEN(G2)&lt;&gt;0,_xlfn.XLOOKUP(G2,[1]!Entities[ID_with_x],[1]!Entities[Name_w_County],_xlfn.CONCAT("Entity ID ",RIGHT(Table3[[#This Row],[Sponsor_1_num]],8)," not found")),"")</f>
        <v/>
      </c>
      <c r="N2" t="str">
        <f>IF(LEN(H2)&lt;&gt;0,_xlfn.XLOOKUP(H2,[1]!Entities[ID_with_x],[1]!Entities[Name_w_County],_xlfn.CONCAT("Entity ID ",RIGHT(Table3[[#This Row],[Sponsor_1_num]],8)," not found")),"")</f>
        <v/>
      </c>
      <c r="O2" t="str">
        <f>IF(LEN(I2)&lt;&gt;0,_xlfn.XLOOKUP(I2,[1]!Entities[ID_with_x],[1]!Entities[Name_w_County],_xlfn.CONCAT("Entity ID ",RIGHT(Table3[[#This Row],[Sponsor_1_num]],8)," not found")),"")</f>
        <v/>
      </c>
      <c r="P2" t="str">
        <f>IF(LEN(J2)&lt;&gt;0,_xlfn.XLOOKUP(J2,[1]!Entities[ID_with_x],[1]!Entities[Name_w_County],_xlfn.CONCAT("Entity ID ",RIGHT(Table3[[#This Row],[Sponsor_1_num]],8)," not found")),"")</f>
        <v/>
      </c>
      <c r="Q2" t="str">
        <f>IF(LEN(K2)&gt;0,_xlfn.TEXTJOIN(", ",TRUE,K2:P2),Table3[[#This Row],[SPONSOR_LIST]])</f>
        <v>Quitaque</v>
      </c>
    </row>
    <row r="3" spans="1:17" x14ac:dyDescent="0.25">
      <c r="A3" t="s">
        <v>1102</v>
      </c>
      <c r="B3" t="s">
        <v>1109</v>
      </c>
      <c r="C3" t="str">
        <f t="shared" ref="C3:C5" si="0">IF(ISNUMBER(VALUE(LEFT(B3,7))),_xlfn.CONCAT("x",TEXT(SUBSTITUTE(B3,",",", "),"00000000")),"")</f>
        <v>x01002549</v>
      </c>
      <c r="D3" t="str">
        <f>SUBSTITUTE(SUBSTITUTE(Table3[[#This Row],[Sponsor_list_tranform]],",",",x")," ","")</f>
        <v>x01002549</v>
      </c>
      <c r="E3" t="s">
        <v>11656</v>
      </c>
      <c r="K3" t="str">
        <f>IF(LEN(E3)&lt;&gt;0,_xlfn.XLOOKUP(E3,[1]!Entities[ID_with_x],[1]!Entities[Name_w_County],_xlfn.CONCAT("Entity ID ",RIGHT(Table3[[#This Row],[Sponsor_1_num]],8)," not found")),"")</f>
        <v>Dean</v>
      </c>
      <c r="L3" t="str">
        <f>IF(LEN(F3)&lt;&gt;0,_xlfn.XLOOKUP(F3,[1]!Entities[ID_with_x],[1]!Entities[Name_w_County],_xlfn.CONCAT("Entity ID ",RIGHT(Table3[[#This Row],[Sponsor_1_num]],8)," not found")),"")</f>
        <v/>
      </c>
      <c r="M3" t="str">
        <f>IF(LEN(G3)&lt;&gt;0,_xlfn.XLOOKUP(G3,[1]!Entities[ID_with_x],[1]!Entities[Name_w_County],_xlfn.CONCAT("Entity ID ",RIGHT(Table3[[#This Row],[Sponsor_1_num]],8)," not found")),"")</f>
        <v/>
      </c>
      <c r="N3" t="str">
        <f>IF(LEN(H3)&lt;&gt;0,_xlfn.XLOOKUP(H3,[1]!Entities[ID_with_x],[1]!Entities[Name_w_County],_xlfn.CONCAT("Entity ID ",RIGHT(Table3[[#This Row],[Sponsor_1_num]],8)," not found")),"")</f>
        <v/>
      </c>
      <c r="O3" t="str">
        <f>IF(LEN(I3)&lt;&gt;0,_xlfn.XLOOKUP(I3,[1]!Entities[ID_with_x],[1]!Entities[Name_w_County],_xlfn.CONCAT("Entity ID ",RIGHT(Table3[[#This Row],[Sponsor_1_num]],8)," not found")),"")</f>
        <v/>
      </c>
      <c r="P3" t="str">
        <f>IF(LEN(J3)&lt;&gt;0,_xlfn.XLOOKUP(J3,[1]!Entities[ID_with_x],[1]!Entities[Name_w_County],_xlfn.CONCAT("Entity ID ",RIGHT(Table3[[#This Row],[Sponsor_1_num]],8)," not found")),"")</f>
        <v/>
      </c>
      <c r="Q3" t="str">
        <f>IF(LEN(K3)&gt;0,_xlfn.TEXTJOIN(", ",TRUE,K3:P3),Table3[[#This Row],[SPONSOR_LIST]])</f>
        <v>Dean</v>
      </c>
    </row>
    <row r="4" spans="1:17" x14ac:dyDescent="0.25">
      <c r="A4" t="s">
        <v>1111</v>
      </c>
      <c r="B4" t="s">
        <v>1117</v>
      </c>
      <c r="C4" t="str">
        <f t="shared" si="0"/>
        <v>x01003239</v>
      </c>
      <c r="D4" t="str">
        <f>SUBSTITUTE(SUBSTITUTE(Table3[[#This Row],[Sponsor_list_tranform]],",",",x")," ","")</f>
        <v>x01003239</v>
      </c>
      <c r="E4" t="s">
        <v>11657</v>
      </c>
      <c r="K4" t="str">
        <f>IF(LEN(E4)&lt;&gt;0,_xlfn.XLOOKUP(E4,[1]!Entities[ID_with_x],[1]!Entities[Name_w_County],_xlfn.CONCAT("Entity ID ",RIGHT(Table3[[#This Row],[Sponsor_1_num]],8)," not found")),"")</f>
        <v>Jolly</v>
      </c>
      <c r="L4" t="str">
        <f>IF(LEN(F4)&lt;&gt;0,_xlfn.XLOOKUP(F4,[1]!Entities[ID_with_x],[1]!Entities[Name_w_County],_xlfn.CONCAT("Entity ID ",RIGHT(Table3[[#This Row],[Sponsor_1_num]],8)," not found")),"")</f>
        <v/>
      </c>
      <c r="M4" t="str">
        <f>IF(LEN(G4)&lt;&gt;0,_xlfn.XLOOKUP(G4,[1]!Entities[ID_with_x],[1]!Entities[Name_w_County],_xlfn.CONCAT("Entity ID ",RIGHT(Table3[[#This Row],[Sponsor_1_num]],8)," not found")),"")</f>
        <v/>
      </c>
      <c r="N4" t="str">
        <f>IF(LEN(H4)&lt;&gt;0,_xlfn.XLOOKUP(H4,[1]!Entities[ID_with_x],[1]!Entities[Name_w_County],_xlfn.CONCAT("Entity ID ",RIGHT(Table3[[#This Row],[Sponsor_1_num]],8)," not found")),"")</f>
        <v/>
      </c>
      <c r="O4" t="str">
        <f>IF(LEN(I4)&lt;&gt;0,_xlfn.XLOOKUP(I4,[1]!Entities[ID_with_x],[1]!Entities[Name_w_County],_xlfn.CONCAT("Entity ID ",RIGHT(Table3[[#This Row],[Sponsor_1_num]],8)," not found")),"")</f>
        <v/>
      </c>
      <c r="P4" t="str">
        <f>IF(LEN(J4)&lt;&gt;0,_xlfn.XLOOKUP(J4,[1]!Entities[ID_with_x],[1]!Entities[Name_w_County],_xlfn.CONCAT("Entity ID ",RIGHT(Table3[[#This Row],[Sponsor_1_num]],8)," not found")),"")</f>
        <v/>
      </c>
      <c r="Q4" t="str">
        <f>IF(LEN(K4)&gt;0,_xlfn.TEXTJOIN(", ",TRUE,K4:P4),Table3[[#This Row],[SPONSOR_LIST]])</f>
        <v>Jolly</v>
      </c>
    </row>
    <row r="5" spans="1:17" x14ac:dyDescent="0.25">
      <c r="A5" t="s">
        <v>1119</v>
      </c>
      <c r="B5" t="s">
        <v>1126</v>
      </c>
      <c r="C5" t="str">
        <f t="shared" si="0"/>
        <v>x01003342</v>
      </c>
      <c r="D5" t="str">
        <f>SUBSTITUTE(SUBSTITUTE(Table3[[#This Row],[Sponsor_list_tranform]],",",",x")," ","")</f>
        <v>x01003342</v>
      </c>
      <c r="E5" t="s">
        <v>11658</v>
      </c>
      <c r="K5" t="str">
        <f>IF(LEN(E5)&lt;&gt;0,_xlfn.XLOOKUP(E5,[1]!Entities[ID_with_x],[1]!Entities[Name_w_County],_xlfn.CONCAT("Entity ID ",RIGHT(Table3[[#This Row],[Sponsor_1_num]],8)," not found")),"")</f>
        <v>Mobeetie</v>
      </c>
      <c r="L5" t="str">
        <f>IF(LEN(F5)&lt;&gt;0,_xlfn.XLOOKUP(F5,[1]!Entities[ID_with_x],[1]!Entities[Name_w_County],_xlfn.CONCAT("Entity ID ",RIGHT(Table3[[#This Row],[Sponsor_1_num]],8)," not found")),"")</f>
        <v/>
      </c>
      <c r="M5" t="str">
        <f>IF(LEN(G5)&lt;&gt;0,_xlfn.XLOOKUP(G5,[1]!Entities[ID_with_x],[1]!Entities[Name_w_County],_xlfn.CONCAT("Entity ID ",RIGHT(Table3[[#This Row],[Sponsor_1_num]],8)," not found")),"")</f>
        <v/>
      </c>
      <c r="N5" t="str">
        <f>IF(LEN(H5)&lt;&gt;0,_xlfn.XLOOKUP(H5,[1]!Entities[ID_with_x],[1]!Entities[Name_w_County],_xlfn.CONCAT("Entity ID ",RIGHT(Table3[[#This Row],[Sponsor_1_num]],8)," not found")),"")</f>
        <v/>
      </c>
      <c r="O5" t="str">
        <f>IF(LEN(I5)&lt;&gt;0,_xlfn.XLOOKUP(I5,[1]!Entities[ID_with_x],[1]!Entities[Name_w_County],_xlfn.CONCAT("Entity ID ",RIGHT(Table3[[#This Row],[Sponsor_1_num]],8)," not found")),"")</f>
        <v/>
      </c>
      <c r="P5" t="str">
        <f>IF(LEN(J5)&lt;&gt;0,_xlfn.XLOOKUP(J5,[1]!Entities[ID_with_x],[1]!Entities[Name_w_County],_xlfn.CONCAT("Entity ID ",RIGHT(Table3[[#This Row],[Sponsor_1_num]],8)," not found")),"")</f>
        <v/>
      </c>
      <c r="Q5" t="str">
        <f>IF(LEN(K5)&gt;0,_xlfn.TEXTJOIN(", ",TRUE,K5:P5),Table3[[#This Row],[SPONSOR_LIST]])</f>
        <v>Mobeetie</v>
      </c>
    </row>
    <row r="6" spans="1:17" x14ac:dyDescent="0.25">
      <c r="A6" s="304" t="s">
        <v>1128</v>
      </c>
      <c r="B6" t="s">
        <v>1135</v>
      </c>
      <c r="C6" t="str">
        <f t="shared" ref="C6:C69" si="1">IF(ISNUMBER(VALUE(LEFT(B6,7))),_xlfn.CONCAT("x",TEXT(SUBSTITUTE(B6,",",", "),"00000000")),"")</f>
        <v>x01002569</v>
      </c>
      <c r="D6" t="str">
        <f>SUBSTITUTE(SUBSTITUTE(Table3[[#This Row],[Sponsor_list_tranform]],",",",x")," ","")</f>
        <v>x01002569</v>
      </c>
      <c r="E6" t="s">
        <v>11659</v>
      </c>
      <c r="K6" t="str">
        <f>IF(LEN(E6)&lt;&gt;0,_xlfn.XLOOKUP(E6,[1]!Entities[ID_with_x],[1]!Entities[Name_w_County],_xlfn.CONCAT("Entity ID ",RIGHT(Table3[[#This Row],[Sponsor_1_num]],8)," not found")),"")</f>
        <v>Hedley</v>
      </c>
      <c r="L6" t="str">
        <f>IF(LEN(F6)&lt;&gt;0,_xlfn.XLOOKUP(F6,[1]!Entities[ID_with_x],[1]!Entities[Name_w_County],_xlfn.CONCAT("Entity ID ",RIGHT(Table3[[#This Row],[Sponsor_1_num]],8)," not found")),"")</f>
        <v/>
      </c>
      <c r="M6" t="str">
        <f>IF(LEN(G6)&lt;&gt;0,_xlfn.XLOOKUP(G6,[1]!Entities[ID_with_x],[1]!Entities[Name_w_County],_xlfn.CONCAT("Entity ID ",RIGHT(Table3[[#This Row],[Sponsor_1_num]],8)," not found")),"")</f>
        <v/>
      </c>
      <c r="N6" t="str">
        <f>IF(LEN(H6)&lt;&gt;0,_xlfn.XLOOKUP(H6,[1]!Entities[ID_with_x],[1]!Entities[Name_w_County],_xlfn.CONCAT("Entity ID ",RIGHT(Table3[[#This Row],[Sponsor_1_num]],8)," not found")),"")</f>
        <v/>
      </c>
      <c r="O6" t="str">
        <f>IF(LEN(I6)&lt;&gt;0,_xlfn.XLOOKUP(I6,[1]!Entities[ID_with_x],[1]!Entities[Name_w_County],_xlfn.CONCAT("Entity ID ",RIGHT(Table3[[#This Row],[Sponsor_1_num]],8)," not found")),"")</f>
        <v/>
      </c>
      <c r="P6" t="str">
        <f>IF(LEN(J6)&lt;&gt;0,_xlfn.XLOOKUP(J6,[1]!Entities[ID_with_x],[1]!Entities[Name_w_County],_xlfn.CONCAT("Entity ID ",RIGHT(Table3[[#This Row],[Sponsor_1_num]],8)," not found")),"")</f>
        <v/>
      </c>
      <c r="Q6" t="str">
        <f>IF(LEN(K6)&gt;0,_xlfn.TEXTJOIN(", ",TRUE,K6:P6),Table3[[#This Row],[SPONSOR_LIST]])</f>
        <v>Hedley</v>
      </c>
    </row>
    <row r="7" spans="1:17" x14ac:dyDescent="0.25">
      <c r="A7" s="304" t="s">
        <v>1137</v>
      </c>
      <c r="B7" t="s">
        <v>1144</v>
      </c>
      <c r="C7" t="str">
        <f t="shared" si="1"/>
        <v>x01002818</v>
      </c>
      <c r="D7" t="str">
        <f>SUBSTITUTE(SUBSTITUTE(Table3[[#This Row],[Sponsor_list_tranform]],",",",x")," ","")</f>
        <v>x01002818</v>
      </c>
      <c r="E7" t="s">
        <v>11660</v>
      </c>
      <c r="K7" t="str">
        <f>IF(LEN(E7)&lt;&gt;0,_xlfn.XLOOKUP(E7,[1]!Entities[ID_with_x],[1]!Entities[Name_w_County],_xlfn.CONCAT("Entity ID ",RIGHT(Table3[[#This Row],[Sponsor_1_num]],8)," not found")),"")</f>
        <v>Nazareth</v>
      </c>
      <c r="L7" t="str">
        <f>IF(LEN(F7)&lt;&gt;0,_xlfn.XLOOKUP(F7,[1]!Entities[ID_with_x],[1]!Entities[Name_w_County],_xlfn.CONCAT("Entity ID ",RIGHT(Table3[[#This Row],[Sponsor_1_num]],8)," not found")),"")</f>
        <v/>
      </c>
      <c r="M7" t="str">
        <f>IF(LEN(G7)&lt;&gt;0,_xlfn.XLOOKUP(G7,[1]!Entities[ID_with_x],[1]!Entities[Name_w_County],_xlfn.CONCAT("Entity ID ",RIGHT(Table3[[#This Row],[Sponsor_1_num]],8)," not found")),"")</f>
        <v/>
      </c>
      <c r="N7" t="str">
        <f>IF(LEN(H7)&lt;&gt;0,_xlfn.XLOOKUP(H7,[1]!Entities[ID_with_x],[1]!Entities[Name_w_County],_xlfn.CONCAT("Entity ID ",RIGHT(Table3[[#This Row],[Sponsor_1_num]],8)," not found")),"")</f>
        <v/>
      </c>
      <c r="O7" t="str">
        <f>IF(LEN(I7)&lt;&gt;0,_xlfn.XLOOKUP(I7,[1]!Entities[ID_with_x],[1]!Entities[Name_w_County],_xlfn.CONCAT("Entity ID ",RIGHT(Table3[[#This Row],[Sponsor_1_num]],8)," not found")),"")</f>
        <v/>
      </c>
      <c r="P7" t="str">
        <f>IF(LEN(J7)&lt;&gt;0,_xlfn.XLOOKUP(J7,[1]!Entities[ID_with_x],[1]!Entities[Name_w_County],_xlfn.CONCAT("Entity ID ",RIGHT(Table3[[#This Row],[Sponsor_1_num]],8)," not found")),"")</f>
        <v/>
      </c>
      <c r="Q7" t="str">
        <f>IF(LEN(K7)&gt;0,_xlfn.TEXTJOIN(", ",TRUE,K7:P7),Table3[[#This Row],[SPONSOR_LIST]])</f>
        <v>Nazareth</v>
      </c>
    </row>
    <row r="8" spans="1:17" x14ac:dyDescent="0.25">
      <c r="A8" s="304" t="s">
        <v>1146</v>
      </c>
      <c r="B8" t="s">
        <v>1153</v>
      </c>
      <c r="C8" t="str">
        <f t="shared" si="1"/>
        <v>x01002804</v>
      </c>
      <c r="D8" t="str">
        <f>SUBSTITUTE(SUBSTITUTE(Table3[[#This Row],[Sponsor_list_tranform]],",",",x")," ","")</f>
        <v>x01002804</v>
      </c>
      <c r="E8" t="s">
        <v>11661</v>
      </c>
      <c r="K8" t="str">
        <f>IF(LEN(E8)&lt;&gt;0,_xlfn.XLOOKUP(E8,[1]!Entities[ID_with_x],[1]!Entities[Name_w_County],_xlfn.CONCAT("Entity ID ",RIGHT(Table3[[#This Row],[Sponsor_1_num]],8)," not found")),"")</f>
        <v>Texhoma</v>
      </c>
      <c r="L8" t="str">
        <f>IF(LEN(F8)&lt;&gt;0,_xlfn.XLOOKUP(F8,[1]!Entities[ID_with_x],[1]!Entities[Name_w_County],_xlfn.CONCAT("Entity ID ",RIGHT(Table3[[#This Row],[Sponsor_1_num]],8)," not found")),"")</f>
        <v/>
      </c>
      <c r="M8" t="str">
        <f>IF(LEN(G8)&lt;&gt;0,_xlfn.XLOOKUP(G8,[1]!Entities[ID_with_x],[1]!Entities[Name_w_County],_xlfn.CONCAT("Entity ID ",RIGHT(Table3[[#This Row],[Sponsor_1_num]],8)," not found")),"")</f>
        <v/>
      </c>
      <c r="N8" t="str">
        <f>IF(LEN(H8)&lt;&gt;0,_xlfn.XLOOKUP(H8,[1]!Entities[ID_with_x],[1]!Entities[Name_w_County],_xlfn.CONCAT("Entity ID ",RIGHT(Table3[[#This Row],[Sponsor_1_num]],8)," not found")),"")</f>
        <v/>
      </c>
      <c r="O8" t="str">
        <f>IF(LEN(I8)&lt;&gt;0,_xlfn.XLOOKUP(I8,[1]!Entities[ID_with_x],[1]!Entities[Name_w_County],_xlfn.CONCAT("Entity ID ",RIGHT(Table3[[#This Row],[Sponsor_1_num]],8)," not found")),"")</f>
        <v/>
      </c>
      <c r="P8" t="str">
        <f>IF(LEN(J8)&lt;&gt;0,_xlfn.XLOOKUP(J8,[1]!Entities[ID_with_x],[1]!Entities[Name_w_County],_xlfn.CONCAT("Entity ID ",RIGHT(Table3[[#This Row],[Sponsor_1_num]],8)," not found")),"")</f>
        <v/>
      </c>
      <c r="Q8" t="str">
        <f>IF(LEN(K8)&gt;0,_xlfn.TEXTJOIN(", ",TRUE,K8:P8),Table3[[#This Row],[SPONSOR_LIST]])</f>
        <v>Texhoma</v>
      </c>
    </row>
    <row r="9" spans="1:17" x14ac:dyDescent="0.25">
      <c r="A9" s="304" t="s">
        <v>1155</v>
      </c>
      <c r="B9" t="s">
        <v>1162</v>
      </c>
      <c r="C9" t="str">
        <f t="shared" si="1"/>
        <v>x01002383</v>
      </c>
      <c r="D9" t="str">
        <f>SUBSTITUTE(SUBSTITUTE(Table3[[#This Row],[Sponsor_list_tranform]],",",",x")," ","")</f>
        <v>x01002383</v>
      </c>
      <c r="E9" t="s">
        <v>11662</v>
      </c>
      <c r="K9" t="str">
        <f>IF(LEN(E9)&lt;&gt;0,_xlfn.XLOOKUP(E9,[1]!Entities[ID_with_x],[1]!Entities[Name_w_County],_xlfn.CONCAT("Entity ID ",RIGHT(Table3[[#This Row],[Sponsor_1_num]],8)," not found")),"")</f>
        <v>Lakeview</v>
      </c>
      <c r="L9" t="str">
        <f>IF(LEN(F9)&lt;&gt;0,_xlfn.XLOOKUP(F9,[1]!Entities[ID_with_x],[1]!Entities[Name_w_County],_xlfn.CONCAT("Entity ID ",RIGHT(Table3[[#This Row],[Sponsor_1_num]],8)," not found")),"")</f>
        <v/>
      </c>
      <c r="M9" t="str">
        <f>IF(LEN(G9)&lt;&gt;0,_xlfn.XLOOKUP(G9,[1]!Entities[ID_with_x],[1]!Entities[Name_w_County],_xlfn.CONCAT("Entity ID ",RIGHT(Table3[[#This Row],[Sponsor_1_num]],8)," not found")),"")</f>
        <v/>
      </c>
      <c r="N9" t="str">
        <f>IF(LEN(H9)&lt;&gt;0,_xlfn.XLOOKUP(H9,[1]!Entities[ID_with_x],[1]!Entities[Name_w_County],_xlfn.CONCAT("Entity ID ",RIGHT(Table3[[#This Row],[Sponsor_1_num]],8)," not found")),"")</f>
        <v/>
      </c>
      <c r="O9" t="str">
        <f>IF(LEN(I9)&lt;&gt;0,_xlfn.XLOOKUP(I9,[1]!Entities[ID_with_x],[1]!Entities[Name_w_County],_xlfn.CONCAT("Entity ID ",RIGHT(Table3[[#This Row],[Sponsor_1_num]],8)," not found")),"")</f>
        <v/>
      </c>
      <c r="P9" t="str">
        <f>IF(LEN(J9)&lt;&gt;0,_xlfn.XLOOKUP(J9,[1]!Entities[ID_with_x],[1]!Entities[Name_w_County],_xlfn.CONCAT("Entity ID ",RIGHT(Table3[[#This Row],[Sponsor_1_num]],8)," not found")),"")</f>
        <v/>
      </c>
      <c r="Q9" t="str">
        <f>IF(LEN(K9)&gt;0,_xlfn.TEXTJOIN(", ",TRUE,K9:P9),Table3[[#This Row],[SPONSOR_LIST]])</f>
        <v>Lakeview</v>
      </c>
    </row>
    <row r="10" spans="1:17" x14ac:dyDescent="0.25">
      <c r="A10" s="304" t="s">
        <v>1164</v>
      </c>
      <c r="B10" t="s">
        <v>1169</v>
      </c>
      <c r="C10" t="str">
        <f t="shared" si="1"/>
        <v>x01002928</v>
      </c>
      <c r="D10" t="str">
        <f>SUBSTITUTE(SUBSTITUTE(Table3[[#This Row],[Sponsor_list_tranform]],",",",x")," ","")</f>
        <v>x01002928</v>
      </c>
      <c r="E10" t="s">
        <v>11663</v>
      </c>
      <c r="K10" t="str">
        <f>IF(LEN(E10)&lt;&gt;0,_xlfn.XLOOKUP(E10,[1]!Entities[ID_with_x],[1]!Entities[Name_w_County],_xlfn.CONCAT("Entity ID ",RIGHT(Table3[[#This Row],[Sponsor_1_num]],8)," not found")),"")</f>
        <v>Estelline</v>
      </c>
      <c r="L10" t="str">
        <f>IF(LEN(F10)&lt;&gt;0,_xlfn.XLOOKUP(F10,[1]!Entities[ID_with_x],[1]!Entities[Name_w_County],_xlfn.CONCAT("Entity ID ",RIGHT(Table3[[#This Row],[Sponsor_1_num]],8)," not found")),"")</f>
        <v/>
      </c>
      <c r="M10" t="str">
        <f>IF(LEN(G10)&lt;&gt;0,_xlfn.XLOOKUP(G10,[1]!Entities[ID_with_x],[1]!Entities[Name_w_County],_xlfn.CONCAT("Entity ID ",RIGHT(Table3[[#This Row],[Sponsor_1_num]],8)," not found")),"")</f>
        <v/>
      </c>
      <c r="N10" t="str">
        <f>IF(LEN(H10)&lt;&gt;0,_xlfn.XLOOKUP(H10,[1]!Entities[ID_with_x],[1]!Entities[Name_w_County],_xlfn.CONCAT("Entity ID ",RIGHT(Table3[[#This Row],[Sponsor_1_num]],8)," not found")),"")</f>
        <v/>
      </c>
      <c r="O10" t="str">
        <f>IF(LEN(I10)&lt;&gt;0,_xlfn.XLOOKUP(I10,[1]!Entities[ID_with_x],[1]!Entities[Name_w_County],_xlfn.CONCAT("Entity ID ",RIGHT(Table3[[#This Row],[Sponsor_1_num]],8)," not found")),"")</f>
        <v/>
      </c>
      <c r="P10" t="str">
        <f>IF(LEN(J10)&lt;&gt;0,_xlfn.XLOOKUP(J10,[1]!Entities[ID_with_x],[1]!Entities[Name_w_County],_xlfn.CONCAT("Entity ID ",RIGHT(Table3[[#This Row],[Sponsor_1_num]],8)," not found")),"")</f>
        <v/>
      </c>
      <c r="Q10" t="str">
        <f>IF(LEN(K10)&gt;0,_xlfn.TEXTJOIN(", ",TRUE,K10:P10),Table3[[#This Row],[SPONSOR_LIST]])</f>
        <v>Estelline</v>
      </c>
    </row>
    <row r="11" spans="1:17" x14ac:dyDescent="0.25">
      <c r="A11" s="304" t="s">
        <v>1171</v>
      </c>
      <c r="B11" t="s">
        <v>1177</v>
      </c>
      <c r="C11" t="str">
        <f t="shared" si="1"/>
        <v>x01002803</v>
      </c>
      <c r="D11" t="str">
        <f>SUBSTITUTE(SUBSTITUTE(Table3[[#This Row],[Sponsor_list_tranform]],",",",x")," ","")</f>
        <v>x01002803</v>
      </c>
      <c r="E11" t="s">
        <v>11664</v>
      </c>
      <c r="K11" t="str">
        <f>IF(LEN(E11)&lt;&gt;0,_xlfn.XLOOKUP(E11,[1]!Entities[ID_with_x],[1]!Entities[Name_w_County],_xlfn.CONCAT("Entity ID ",RIGHT(Table3[[#This Row],[Sponsor_1_num]],8)," not found")),"")</f>
        <v>Stratford</v>
      </c>
      <c r="L11" t="str">
        <f>IF(LEN(F11)&lt;&gt;0,_xlfn.XLOOKUP(F11,[1]!Entities[ID_with_x],[1]!Entities[Name_w_County],_xlfn.CONCAT("Entity ID ",RIGHT(Table3[[#This Row],[Sponsor_1_num]],8)," not found")),"")</f>
        <v/>
      </c>
      <c r="M11" t="str">
        <f>IF(LEN(G11)&lt;&gt;0,_xlfn.XLOOKUP(G11,[1]!Entities[ID_with_x],[1]!Entities[Name_w_County],_xlfn.CONCAT("Entity ID ",RIGHT(Table3[[#This Row],[Sponsor_1_num]],8)," not found")),"")</f>
        <v/>
      </c>
      <c r="N11" t="str">
        <f>IF(LEN(H11)&lt;&gt;0,_xlfn.XLOOKUP(H11,[1]!Entities[ID_with_x],[1]!Entities[Name_w_County],_xlfn.CONCAT("Entity ID ",RIGHT(Table3[[#This Row],[Sponsor_1_num]],8)," not found")),"")</f>
        <v/>
      </c>
      <c r="O11" t="str">
        <f>IF(LEN(I11)&lt;&gt;0,_xlfn.XLOOKUP(I11,[1]!Entities[ID_with_x],[1]!Entities[Name_w_County],_xlfn.CONCAT("Entity ID ",RIGHT(Table3[[#This Row],[Sponsor_1_num]],8)," not found")),"")</f>
        <v/>
      </c>
      <c r="P11" t="str">
        <f>IF(LEN(J11)&lt;&gt;0,_xlfn.XLOOKUP(J11,[1]!Entities[ID_with_x],[1]!Entities[Name_w_County],_xlfn.CONCAT("Entity ID ",RIGHT(Table3[[#This Row],[Sponsor_1_num]],8)," not found")),"")</f>
        <v/>
      </c>
      <c r="Q11" t="str">
        <f>IF(LEN(K11)&gt;0,_xlfn.TEXTJOIN(", ",TRUE,K11:P11),Table3[[#This Row],[SPONSOR_LIST]])</f>
        <v>Stratford</v>
      </c>
    </row>
    <row r="12" spans="1:17" x14ac:dyDescent="0.25">
      <c r="A12" s="304" t="s">
        <v>1179</v>
      </c>
      <c r="B12" t="s">
        <v>1185</v>
      </c>
      <c r="C12" t="str">
        <f t="shared" si="1"/>
        <v>x01002591</v>
      </c>
      <c r="D12" t="str">
        <f>SUBSTITUTE(SUBSTITUTE(Table3[[#This Row],[Sponsor_list_tranform]],",",",x")," ","")</f>
        <v>x01002591</v>
      </c>
      <c r="E12" t="s">
        <v>11665</v>
      </c>
      <c r="K12" t="str">
        <f>IF(LEN(E12)&lt;&gt;0,_xlfn.XLOOKUP(E12,[1]!Entities[ID_with_x],[1]!Entities[Name_w_County],_xlfn.CONCAT("Entity ID ",RIGHT(Table3[[#This Row],[Sponsor_1_num]],8)," not found")),"")</f>
        <v>Windthorst</v>
      </c>
      <c r="L12" t="str">
        <f>IF(LEN(F12)&lt;&gt;0,_xlfn.XLOOKUP(F12,[1]!Entities[ID_with_x],[1]!Entities[Name_w_County],_xlfn.CONCAT("Entity ID ",RIGHT(Table3[[#This Row],[Sponsor_1_num]],8)," not found")),"")</f>
        <v/>
      </c>
      <c r="M12" t="str">
        <f>IF(LEN(G12)&lt;&gt;0,_xlfn.XLOOKUP(G12,[1]!Entities[ID_with_x],[1]!Entities[Name_w_County],_xlfn.CONCAT("Entity ID ",RIGHT(Table3[[#This Row],[Sponsor_1_num]],8)," not found")),"")</f>
        <v/>
      </c>
      <c r="N12" t="str">
        <f>IF(LEN(H12)&lt;&gt;0,_xlfn.XLOOKUP(H12,[1]!Entities[ID_with_x],[1]!Entities[Name_w_County],_xlfn.CONCAT("Entity ID ",RIGHT(Table3[[#This Row],[Sponsor_1_num]],8)," not found")),"")</f>
        <v/>
      </c>
      <c r="O12" t="str">
        <f>IF(LEN(I12)&lt;&gt;0,_xlfn.XLOOKUP(I12,[1]!Entities[ID_with_x],[1]!Entities[Name_w_County],_xlfn.CONCAT("Entity ID ",RIGHT(Table3[[#This Row],[Sponsor_1_num]],8)," not found")),"")</f>
        <v/>
      </c>
      <c r="P12" t="str">
        <f>IF(LEN(J12)&lt;&gt;0,_xlfn.XLOOKUP(J12,[1]!Entities[ID_with_x],[1]!Entities[Name_w_County],_xlfn.CONCAT("Entity ID ",RIGHT(Table3[[#This Row],[Sponsor_1_num]],8)," not found")),"")</f>
        <v/>
      </c>
      <c r="Q12" t="str">
        <f>IF(LEN(K12)&gt;0,_xlfn.TEXTJOIN(", ",TRUE,K12:P12),Table3[[#This Row],[SPONSOR_LIST]])</f>
        <v>Windthorst</v>
      </c>
    </row>
    <row r="13" spans="1:17" x14ac:dyDescent="0.25">
      <c r="A13" s="304" t="s">
        <v>1187</v>
      </c>
      <c r="B13" t="s">
        <v>1193</v>
      </c>
      <c r="C13" t="str">
        <f t="shared" si="1"/>
        <v>x01002547</v>
      </c>
      <c r="D13" t="str">
        <f>SUBSTITUTE(SUBSTITUTE(Table3[[#This Row],[Sponsor_list_tranform]],",",",x")," ","")</f>
        <v>x01002547</v>
      </c>
      <c r="E13" t="s">
        <v>11666</v>
      </c>
      <c r="K13" t="str">
        <f>IF(LEN(E13)&lt;&gt;0,_xlfn.XLOOKUP(E13,[1]!Entities[ID_with_x],[1]!Entities[Name_w_County],_xlfn.CONCAT("Entity ID ",RIGHT(Table3[[#This Row],[Sponsor_1_num]],8)," not found")),"")</f>
        <v>Bellevue</v>
      </c>
      <c r="L13" t="str">
        <f>IF(LEN(F13)&lt;&gt;0,_xlfn.XLOOKUP(F13,[1]!Entities[ID_with_x],[1]!Entities[Name_w_County],_xlfn.CONCAT("Entity ID ",RIGHT(Table3[[#This Row],[Sponsor_1_num]],8)," not found")),"")</f>
        <v/>
      </c>
      <c r="M13" t="str">
        <f>IF(LEN(G13)&lt;&gt;0,_xlfn.XLOOKUP(G13,[1]!Entities[ID_with_x],[1]!Entities[Name_w_County],_xlfn.CONCAT("Entity ID ",RIGHT(Table3[[#This Row],[Sponsor_1_num]],8)," not found")),"")</f>
        <v/>
      </c>
      <c r="N13" t="str">
        <f>IF(LEN(H13)&lt;&gt;0,_xlfn.XLOOKUP(H13,[1]!Entities[ID_with_x],[1]!Entities[Name_w_County],_xlfn.CONCAT("Entity ID ",RIGHT(Table3[[#This Row],[Sponsor_1_num]],8)," not found")),"")</f>
        <v/>
      </c>
      <c r="O13" t="str">
        <f>IF(LEN(I13)&lt;&gt;0,_xlfn.XLOOKUP(I13,[1]!Entities[ID_with_x],[1]!Entities[Name_w_County],_xlfn.CONCAT("Entity ID ",RIGHT(Table3[[#This Row],[Sponsor_1_num]],8)," not found")),"")</f>
        <v/>
      </c>
      <c r="P13" t="str">
        <f>IF(LEN(J13)&lt;&gt;0,_xlfn.XLOOKUP(J13,[1]!Entities[ID_with_x],[1]!Entities[Name_w_County],_xlfn.CONCAT("Entity ID ",RIGHT(Table3[[#This Row],[Sponsor_1_num]],8)," not found")),"")</f>
        <v/>
      </c>
      <c r="Q13" t="str">
        <f>IF(LEN(K13)&gt;0,_xlfn.TEXTJOIN(", ",TRUE,K13:P13),Table3[[#This Row],[SPONSOR_LIST]])</f>
        <v>Bellevue</v>
      </c>
    </row>
    <row r="14" spans="1:17" x14ac:dyDescent="0.25">
      <c r="A14" s="304" t="s">
        <v>1195</v>
      </c>
      <c r="B14" t="s">
        <v>1202</v>
      </c>
      <c r="C14" t="str">
        <f t="shared" si="1"/>
        <v>x01002845</v>
      </c>
      <c r="D14" t="str">
        <f>SUBSTITUTE(SUBSTITUTE(Table3[[#This Row],[Sponsor_list_tranform]],",",",x")," ","")</f>
        <v>x01002845</v>
      </c>
      <c r="E14" t="s">
        <v>11667</v>
      </c>
      <c r="K14" t="str">
        <f>IF(LEN(E14)&lt;&gt;0,_xlfn.XLOOKUP(E14,[1]!Entities[ID_with_x],[1]!Entities[Name_w_County],_xlfn.CONCAT("Entity ID ",RIGHT(Table3[[#This Row],[Sponsor_1_num]],8)," not found")),"")</f>
        <v>Adrian</v>
      </c>
      <c r="L14" t="str">
        <f>IF(LEN(F14)&lt;&gt;0,_xlfn.XLOOKUP(F14,[1]!Entities[ID_with_x],[1]!Entities[Name_w_County],_xlfn.CONCAT("Entity ID ",RIGHT(Table3[[#This Row],[Sponsor_1_num]],8)," not found")),"")</f>
        <v/>
      </c>
      <c r="M14" t="str">
        <f>IF(LEN(G14)&lt;&gt;0,_xlfn.XLOOKUP(G14,[1]!Entities[ID_with_x],[1]!Entities[Name_w_County],_xlfn.CONCAT("Entity ID ",RIGHT(Table3[[#This Row],[Sponsor_1_num]],8)," not found")),"")</f>
        <v/>
      </c>
      <c r="N14" t="str">
        <f>IF(LEN(H14)&lt;&gt;0,_xlfn.XLOOKUP(H14,[1]!Entities[ID_with_x],[1]!Entities[Name_w_County],_xlfn.CONCAT("Entity ID ",RIGHT(Table3[[#This Row],[Sponsor_1_num]],8)," not found")),"")</f>
        <v/>
      </c>
      <c r="O14" t="str">
        <f>IF(LEN(I14)&lt;&gt;0,_xlfn.XLOOKUP(I14,[1]!Entities[ID_with_x],[1]!Entities[Name_w_County],_xlfn.CONCAT("Entity ID ",RIGHT(Table3[[#This Row],[Sponsor_1_num]],8)," not found")),"")</f>
        <v/>
      </c>
      <c r="P14" t="str">
        <f>IF(LEN(J14)&lt;&gt;0,_xlfn.XLOOKUP(J14,[1]!Entities[ID_with_x],[1]!Entities[Name_w_County],_xlfn.CONCAT("Entity ID ",RIGHT(Table3[[#This Row],[Sponsor_1_num]],8)," not found")),"")</f>
        <v/>
      </c>
      <c r="Q14" t="str">
        <f>IF(LEN(K14)&gt;0,_xlfn.TEXTJOIN(", ",TRUE,K14:P14),Table3[[#This Row],[SPONSOR_LIST]])</f>
        <v>Adrian</v>
      </c>
    </row>
    <row r="15" spans="1:17" x14ac:dyDescent="0.25">
      <c r="A15" s="304" t="s">
        <v>1204</v>
      </c>
      <c r="B15" t="s">
        <v>1211</v>
      </c>
      <c r="C15" t="str">
        <f t="shared" si="1"/>
        <v>x01003332</v>
      </c>
      <c r="D15" t="str">
        <f>SUBSTITUTE(SUBSTITUTE(Table3[[#This Row],[Sponsor_list_tranform]],",",",x")," ","")</f>
        <v>x01003332</v>
      </c>
      <c r="E15" t="s">
        <v>11668</v>
      </c>
      <c r="K15" t="str">
        <f>IF(LEN(E15)&lt;&gt;0,_xlfn.XLOOKUP(E15,[1]!Entities[ID_with_x],[1]!Entities[Name_w_County],_xlfn.CONCAT("Entity ID ",RIGHT(Table3[[#This Row],[Sponsor_1_num]],8)," not found")),"")</f>
        <v>Cashion Community</v>
      </c>
      <c r="L15" t="str">
        <f>IF(LEN(F15)&lt;&gt;0,_xlfn.XLOOKUP(F15,[1]!Entities[ID_with_x],[1]!Entities[Name_w_County],_xlfn.CONCAT("Entity ID ",RIGHT(Table3[[#This Row],[Sponsor_1_num]],8)," not found")),"")</f>
        <v/>
      </c>
      <c r="M15" t="str">
        <f>IF(LEN(G15)&lt;&gt;0,_xlfn.XLOOKUP(G15,[1]!Entities[ID_with_x],[1]!Entities[Name_w_County],_xlfn.CONCAT("Entity ID ",RIGHT(Table3[[#This Row],[Sponsor_1_num]],8)," not found")),"")</f>
        <v/>
      </c>
      <c r="N15" t="str">
        <f>IF(LEN(H15)&lt;&gt;0,_xlfn.XLOOKUP(H15,[1]!Entities[ID_with_x],[1]!Entities[Name_w_County],_xlfn.CONCAT("Entity ID ",RIGHT(Table3[[#This Row],[Sponsor_1_num]],8)," not found")),"")</f>
        <v/>
      </c>
      <c r="O15" t="str">
        <f>IF(LEN(I15)&lt;&gt;0,_xlfn.XLOOKUP(I15,[1]!Entities[ID_with_x],[1]!Entities[Name_w_County],_xlfn.CONCAT("Entity ID ",RIGHT(Table3[[#This Row],[Sponsor_1_num]],8)," not found")),"")</f>
        <v/>
      </c>
      <c r="P15" t="str">
        <f>IF(LEN(J15)&lt;&gt;0,_xlfn.XLOOKUP(J15,[1]!Entities[ID_with_x],[1]!Entities[Name_w_County],_xlfn.CONCAT("Entity ID ",RIGHT(Table3[[#This Row],[Sponsor_1_num]],8)," not found")),"")</f>
        <v/>
      </c>
      <c r="Q15" t="str">
        <f>IF(LEN(K15)&gt;0,_xlfn.TEXTJOIN(", ",TRUE,K15:P15),Table3[[#This Row],[SPONSOR_LIST]])</f>
        <v>Cashion Community</v>
      </c>
    </row>
    <row r="16" spans="1:17" x14ac:dyDescent="0.25">
      <c r="A16" s="304" t="s">
        <v>1213</v>
      </c>
      <c r="B16" t="s">
        <v>1220</v>
      </c>
      <c r="C16" t="str">
        <f t="shared" si="1"/>
        <v>x01003419</v>
      </c>
      <c r="D16" t="str">
        <f>SUBSTITUTE(SUBSTITUTE(Table3[[#This Row],[Sponsor_list_tranform]],",",",x")," ","")</f>
        <v>x01003419</v>
      </c>
      <c r="E16" t="s">
        <v>11669</v>
      </c>
      <c r="K16" t="str">
        <f>IF(LEN(E16)&lt;&gt;0,_xlfn.XLOOKUP(E16,[1]!Entities[ID_with_x],[1]!Entities[Name_w_County],_xlfn.CONCAT("Entity ID ",RIGHT(Table3[[#This Row],[Sponsor_1_num]],8)," not found")),"")</f>
        <v>Dodson</v>
      </c>
      <c r="L16" t="str">
        <f>IF(LEN(F16)&lt;&gt;0,_xlfn.XLOOKUP(F16,[1]!Entities[ID_with_x],[1]!Entities[Name_w_County],_xlfn.CONCAT("Entity ID ",RIGHT(Table3[[#This Row],[Sponsor_1_num]],8)," not found")),"")</f>
        <v/>
      </c>
      <c r="M16" t="str">
        <f>IF(LEN(G16)&lt;&gt;0,_xlfn.XLOOKUP(G16,[1]!Entities[ID_with_x],[1]!Entities[Name_w_County],_xlfn.CONCAT("Entity ID ",RIGHT(Table3[[#This Row],[Sponsor_1_num]],8)," not found")),"")</f>
        <v/>
      </c>
      <c r="N16" t="str">
        <f>IF(LEN(H16)&lt;&gt;0,_xlfn.XLOOKUP(H16,[1]!Entities[ID_with_x],[1]!Entities[Name_w_County],_xlfn.CONCAT("Entity ID ",RIGHT(Table3[[#This Row],[Sponsor_1_num]],8)," not found")),"")</f>
        <v/>
      </c>
      <c r="O16" t="str">
        <f>IF(LEN(I16)&lt;&gt;0,_xlfn.XLOOKUP(I16,[1]!Entities[ID_with_x],[1]!Entities[Name_w_County],_xlfn.CONCAT("Entity ID ",RIGHT(Table3[[#This Row],[Sponsor_1_num]],8)," not found")),"")</f>
        <v/>
      </c>
      <c r="P16" t="str">
        <f>IF(LEN(J16)&lt;&gt;0,_xlfn.XLOOKUP(J16,[1]!Entities[ID_with_x],[1]!Entities[Name_w_County],_xlfn.CONCAT("Entity ID ",RIGHT(Table3[[#This Row],[Sponsor_1_num]],8)," not found")),"")</f>
        <v/>
      </c>
      <c r="Q16" t="str">
        <f>IF(LEN(K16)&gt;0,_xlfn.TEXTJOIN(", ",TRUE,K16:P16),Table3[[#This Row],[SPONSOR_LIST]])</f>
        <v>Dodson</v>
      </c>
    </row>
    <row r="17" spans="1:17" x14ac:dyDescent="0.25">
      <c r="A17" s="304" t="s">
        <v>1222</v>
      </c>
      <c r="B17" t="s">
        <v>1227</v>
      </c>
      <c r="C17" t="str">
        <f t="shared" si="1"/>
        <v>x01002683</v>
      </c>
      <c r="D17" t="str">
        <f>SUBSTITUTE(SUBSTITUTE(Table3[[#This Row],[Sponsor_list_tranform]],",",",x")," ","")</f>
        <v>x01002683</v>
      </c>
      <c r="E17" t="s">
        <v>11670</v>
      </c>
      <c r="K17" t="str">
        <f>IF(LEN(E17)&lt;&gt;0,_xlfn.XLOOKUP(E17,[1]!Entities[ID_with_x],[1]!Entities[Name_w_County],_xlfn.CONCAT("Entity ID ",RIGHT(Table3[[#This Row],[Sponsor_1_num]],8)," not found")),"")</f>
        <v>Silverton</v>
      </c>
      <c r="L17" t="str">
        <f>IF(LEN(F17)&lt;&gt;0,_xlfn.XLOOKUP(F17,[1]!Entities[ID_with_x],[1]!Entities[Name_w_County],_xlfn.CONCAT("Entity ID ",RIGHT(Table3[[#This Row],[Sponsor_1_num]],8)," not found")),"")</f>
        <v/>
      </c>
      <c r="M17" t="str">
        <f>IF(LEN(G17)&lt;&gt;0,_xlfn.XLOOKUP(G17,[1]!Entities[ID_with_x],[1]!Entities[Name_w_County],_xlfn.CONCAT("Entity ID ",RIGHT(Table3[[#This Row],[Sponsor_1_num]],8)," not found")),"")</f>
        <v/>
      </c>
      <c r="N17" t="str">
        <f>IF(LEN(H17)&lt;&gt;0,_xlfn.XLOOKUP(H17,[1]!Entities[ID_with_x],[1]!Entities[Name_w_County],_xlfn.CONCAT("Entity ID ",RIGHT(Table3[[#This Row],[Sponsor_1_num]],8)," not found")),"")</f>
        <v/>
      </c>
      <c r="O17" t="str">
        <f>IF(LEN(I17)&lt;&gt;0,_xlfn.XLOOKUP(I17,[1]!Entities[ID_with_x],[1]!Entities[Name_w_County],_xlfn.CONCAT("Entity ID ",RIGHT(Table3[[#This Row],[Sponsor_1_num]],8)," not found")),"")</f>
        <v/>
      </c>
      <c r="P17" t="str">
        <f>IF(LEN(J17)&lt;&gt;0,_xlfn.XLOOKUP(J17,[1]!Entities[ID_with_x],[1]!Entities[Name_w_County],_xlfn.CONCAT("Entity ID ",RIGHT(Table3[[#This Row],[Sponsor_1_num]],8)," not found")),"")</f>
        <v/>
      </c>
      <c r="Q17" t="str">
        <f>IF(LEN(K17)&gt;0,_xlfn.TEXTJOIN(", ",TRUE,K17:P17),Table3[[#This Row],[SPONSOR_LIST]])</f>
        <v>Silverton</v>
      </c>
    </row>
    <row r="18" spans="1:17" x14ac:dyDescent="0.25">
      <c r="A18" s="304" t="s">
        <v>1229</v>
      </c>
      <c r="B18" t="s">
        <v>1235</v>
      </c>
      <c r="C18" t="str">
        <f t="shared" si="1"/>
        <v>x00003100</v>
      </c>
      <c r="D18" t="str">
        <f>SUBSTITUTE(SUBSTITUTE(Table3[[#This Row],[Sponsor_list_tranform]],",",",x")," ","")</f>
        <v>x00003100</v>
      </c>
      <c r="E18" t="s">
        <v>11671</v>
      </c>
      <c r="K18" t="str">
        <f>IF(LEN(E18)&lt;&gt;0,_xlfn.XLOOKUP(E18,[1]!Entities[ID_with_x],[1]!Entities[Name_w_County],_xlfn.CONCAT("Entity ID ",RIGHT(Table3[[#This Row],[Sponsor_1_num]],8)," not found")),"")</f>
        <v>Lockney</v>
      </c>
      <c r="L18" t="str">
        <f>IF(LEN(F18)&lt;&gt;0,_xlfn.XLOOKUP(F18,[1]!Entities[ID_with_x],[1]!Entities[Name_w_County],_xlfn.CONCAT("Entity ID ",RIGHT(Table3[[#This Row],[Sponsor_1_num]],8)," not found")),"")</f>
        <v/>
      </c>
      <c r="M18" t="str">
        <f>IF(LEN(G18)&lt;&gt;0,_xlfn.XLOOKUP(G18,[1]!Entities[ID_with_x],[1]!Entities[Name_w_County],_xlfn.CONCAT("Entity ID ",RIGHT(Table3[[#This Row],[Sponsor_1_num]],8)," not found")),"")</f>
        <v/>
      </c>
      <c r="N18" t="str">
        <f>IF(LEN(H18)&lt;&gt;0,_xlfn.XLOOKUP(H18,[1]!Entities[ID_with_x],[1]!Entities[Name_w_County],_xlfn.CONCAT("Entity ID ",RIGHT(Table3[[#This Row],[Sponsor_1_num]],8)," not found")),"")</f>
        <v/>
      </c>
      <c r="O18" t="str">
        <f>IF(LEN(I18)&lt;&gt;0,_xlfn.XLOOKUP(I18,[1]!Entities[ID_with_x],[1]!Entities[Name_w_County],_xlfn.CONCAT("Entity ID ",RIGHT(Table3[[#This Row],[Sponsor_1_num]],8)," not found")),"")</f>
        <v/>
      </c>
      <c r="P18" t="str">
        <f>IF(LEN(J18)&lt;&gt;0,_xlfn.XLOOKUP(J18,[1]!Entities[ID_with_x],[1]!Entities[Name_w_County],_xlfn.CONCAT("Entity ID ",RIGHT(Table3[[#This Row],[Sponsor_1_num]],8)," not found")),"")</f>
        <v/>
      </c>
      <c r="Q18" t="str">
        <f>IF(LEN(K18)&gt;0,_xlfn.TEXTJOIN(", ",TRUE,K18:P18),Table3[[#This Row],[SPONSOR_LIST]])</f>
        <v>Lockney</v>
      </c>
    </row>
    <row r="19" spans="1:17" x14ac:dyDescent="0.25">
      <c r="A19" s="304" t="s">
        <v>1237</v>
      </c>
      <c r="B19" t="s">
        <v>1243</v>
      </c>
      <c r="C19" t="str">
        <f t="shared" si="1"/>
        <v>x01003222</v>
      </c>
      <c r="D19" t="str">
        <f>SUBSTITUTE(SUBSTITUTE(Table3[[#This Row],[Sponsor_list_tranform]],",",",x")," ","")</f>
        <v>x01003222</v>
      </c>
      <c r="E19" t="s">
        <v>11672</v>
      </c>
      <c r="K19" t="str">
        <f>IF(LEN(E19)&lt;&gt;0,_xlfn.XLOOKUP(E19,[1]!Entities[ID_with_x],[1]!Entities[Name_w_County],_xlfn.CONCAT("Entity ID ",RIGHT(Table3[[#This Row],[Sponsor_1_num]],8)," not found")),"")</f>
        <v>Chillicothe</v>
      </c>
      <c r="L19" t="str">
        <f>IF(LEN(F19)&lt;&gt;0,_xlfn.XLOOKUP(F19,[1]!Entities[ID_with_x],[1]!Entities[Name_w_County],_xlfn.CONCAT("Entity ID ",RIGHT(Table3[[#This Row],[Sponsor_1_num]],8)," not found")),"")</f>
        <v/>
      </c>
      <c r="M19" t="str">
        <f>IF(LEN(G19)&lt;&gt;0,_xlfn.XLOOKUP(G19,[1]!Entities[ID_with_x],[1]!Entities[Name_w_County],_xlfn.CONCAT("Entity ID ",RIGHT(Table3[[#This Row],[Sponsor_1_num]],8)," not found")),"")</f>
        <v/>
      </c>
      <c r="N19" t="str">
        <f>IF(LEN(H19)&lt;&gt;0,_xlfn.XLOOKUP(H19,[1]!Entities[ID_with_x],[1]!Entities[Name_w_County],_xlfn.CONCAT("Entity ID ",RIGHT(Table3[[#This Row],[Sponsor_1_num]],8)," not found")),"")</f>
        <v/>
      </c>
      <c r="O19" t="str">
        <f>IF(LEN(I19)&lt;&gt;0,_xlfn.XLOOKUP(I19,[1]!Entities[ID_with_x],[1]!Entities[Name_w_County],_xlfn.CONCAT("Entity ID ",RIGHT(Table3[[#This Row],[Sponsor_1_num]],8)," not found")),"")</f>
        <v/>
      </c>
      <c r="P19" t="str">
        <f>IF(LEN(J19)&lt;&gt;0,_xlfn.XLOOKUP(J19,[1]!Entities[ID_with_x],[1]!Entities[Name_w_County],_xlfn.CONCAT("Entity ID ",RIGHT(Table3[[#This Row],[Sponsor_1_num]],8)," not found")),"")</f>
        <v/>
      </c>
      <c r="Q19" t="str">
        <f>IF(LEN(K19)&gt;0,_xlfn.TEXTJOIN(", ",TRUE,K19:P19),Table3[[#This Row],[SPONSOR_LIST]])</f>
        <v>Chillicothe</v>
      </c>
    </row>
    <row r="20" spans="1:17" x14ac:dyDescent="0.25">
      <c r="A20" s="304" t="s">
        <v>1245</v>
      </c>
      <c r="B20" t="s">
        <v>1251</v>
      </c>
      <c r="C20" t="str">
        <f t="shared" si="1"/>
        <v>x01002846</v>
      </c>
      <c r="D20" t="str">
        <f>SUBSTITUTE(SUBSTITUTE(Table3[[#This Row],[Sponsor_list_tranform]],",",",x")," ","")</f>
        <v>x01002846</v>
      </c>
      <c r="E20" t="s">
        <v>11673</v>
      </c>
      <c r="K20" t="str">
        <f>IF(LEN(E20)&lt;&gt;0,_xlfn.XLOOKUP(E20,[1]!Entities[ID_with_x],[1]!Entities[Name_w_County],_xlfn.CONCAT("Entity ID ",RIGHT(Table3[[#This Row],[Sponsor_1_num]],8)," not found")),"")</f>
        <v>Vega</v>
      </c>
      <c r="L20" t="str">
        <f>IF(LEN(F20)&lt;&gt;0,_xlfn.XLOOKUP(F20,[1]!Entities[ID_with_x],[1]!Entities[Name_w_County],_xlfn.CONCAT("Entity ID ",RIGHT(Table3[[#This Row],[Sponsor_1_num]],8)," not found")),"")</f>
        <v/>
      </c>
      <c r="M20" t="str">
        <f>IF(LEN(G20)&lt;&gt;0,_xlfn.XLOOKUP(G20,[1]!Entities[ID_with_x],[1]!Entities[Name_w_County],_xlfn.CONCAT("Entity ID ",RIGHT(Table3[[#This Row],[Sponsor_1_num]],8)," not found")),"")</f>
        <v/>
      </c>
      <c r="N20" t="str">
        <f>IF(LEN(H20)&lt;&gt;0,_xlfn.XLOOKUP(H20,[1]!Entities[ID_with_x],[1]!Entities[Name_w_County],_xlfn.CONCAT("Entity ID ",RIGHT(Table3[[#This Row],[Sponsor_1_num]],8)," not found")),"")</f>
        <v/>
      </c>
      <c r="O20" t="str">
        <f>IF(LEN(I20)&lt;&gt;0,_xlfn.XLOOKUP(I20,[1]!Entities[ID_with_x],[1]!Entities[Name_w_County],_xlfn.CONCAT("Entity ID ",RIGHT(Table3[[#This Row],[Sponsor_1_num]],8)," not found")),"")</f>
        <v/>
      </c>
      <c r="P20" t="str">
        <f>IF(LEN(J20)&lt;&gt;0,_xlfn.XLOOKUP(J20,[1]!Entities[ID_with_x],[1]!Entities[Name_w_County],_xlfn.CONCAT("Entity ID ",RIGHT(Table3[[#This Row],[Sponsor_1_num]],8)," not found")),"")</f>
        <v/>
      </c>
      <c r="Q20" t="str">
        <f>IF(LEN(K20)&gt;0,_xlfn.TEXTJOIN(", ",TRUE,K20:P20),Table3[[#This Row],[SPONSOR_LIST]])</f>
        <v>Vega</v>
      </c>
    </row>
    <row r="21" spans="1:17" x14ac:dyDescent="0.25">
      <c r="A21" s="304" t="s">
        <v>1253</v>
      </c>
      <c r="B21" t="s">
        <v>1260</v>
      </c>
      <c r="C21" t="str">
        <f t="shared" si="1"/>
        <v>x01003129</v>
      </c>
      <c r="D21" t="str">
        <f>SUBSTITUTE(SUBSTITUTE(Table3[[#This Row],[Sponsor_list_tranform]],",",",x")," ","")</f>
        <v>x01003129</v>
      </c>
      <c r="E21" t="s">
        <v>11674</v>
      </c>
      <c r="K21" t="str">
        <f>IF(LEN(E21)&lt;&gt;0,_xlfn.XLOOKUP(E21,[1]!Entities[ID_with_x],[1]!Entities[Name_w_County],_xlfn.CONCAT("Entity ID ",RIGHT(Table3[[#This Row],[Sponsor_1_num]],8)," not found")),"")</f>
        <v>McLean</v>
      </c>
      <c r="L21" t="str">
        <f>IF(LEN(F21)&lt;&gt;0,_xlfn.XLOOKUP(F21,[1]!Entities[ID_with_x],[1]!Entities[Name_w_County],_xlfn.CONCAT("Entity ID ",RIGHT(Table3[[#This Row],[Sponsor_1_num]],8)," not found")),"")</f>
        <v/>
      </c>
      <c r="M21" t="str">
        <f>IF(LEN(G21)&lt;&gt;0,_xlfn.XLOOKUP(G21,[1]!Entities[ID_with_x],[1]!Entities[Name_w_County],_xlfn.CONCAT("Entity ID ",RIGHT(Table3[[#This Row],[Sponsor_1_num]],8)," not found")),"")</f>
        <v/>
      </c>
      <c r="N21" t="str">
        <f>IF(LEN(H21)&lt;&gt;0,_xlfn.XLOOKUP(H21,[1]!Entities[ID_with_x],[1]!Entities[Name_w_County],_xlfn.CONCAT("Entity ID ",RIGHT(Table3[[#This Row],[Sponsor_1_num]],8)," not found")),"")</f>
        <v/>
      </c>
      <c r="O21" t="str">
        <f>IF(LEN(I21)&lt;&gt;0,_xlfn.XLOOKUP(I21,[1]!Entities[ID_with_x],[1]!Entities[Name_w_County],_xlfn.CONCAT("Entity ID ",RIGHT(Table3[[#This Row],[Sponsor_1_num]],8)," not found")),"")</f>
        <v/>
      </c>
      <c r="P21" t="str">
        <f>IF(LEN(J21)&lt;&gt;0,_xlfn.XLOOKUP(J21,[1]!Entities[ID_with_x],[1]!Entities[Name_w_County],_xlfn.CONCAT("Entity ID ",RIGHT(Table3[[#This Row],[Sponsor_1_num]],8)," not found")),"")</f>
        <v/>
      </c>
      <c r="Q21" t="str">
        <f>IF(LEN(K21)&gt;0,_xlfn.TEXTJOIN(", ",TRUE,K21:P21),Table3[[#This Row],[SPONSOR_LIST]])</f>
        <v>McLean</v>
      </c>
    </row>
    <row r="22" spans="1:17" x14ac:dyDescent="0.25">
      <c r="A22" s="304" t="s">
        <v>1262</v>
      </c>
      <c r="B22" t="s">
        <v>1269</v>
      </c>
      <c r="C22" t="str">
        <f t="shared" si="1"/>
        <v>x01002814</v>
      </c>
      <c r="D22" t="str">
        <f>SUBSTITUTE(SUBSTITUTE(Table3[[#This Row],[Sponsor_list_tranform]],",",",x")," ","")</f>
        <v>x01002814</v>
      </c>
      <c r="E22" t="s">
        <v>11675</v>
      </c>
      <c r="K22" t="str">
        <f>IF(LEN(E22)&lt;&gt;0,_xlfn.XLOOKUP(E22,[1]!Entities[ID_with_x],[1]!Entities[Name_w_County],_xlfn.CONCAT("Entity ID ",RIGHT(Table3[[#This Row],[Sponsor_1_num]],8)," not found")),"")</f>
        <v>Stinnett</v>
      </c>
      <c r="L22" t="str">
        <f>IF(LEN(F22)&lt;&gt;0,_xlfn.XLOOKUP(F22,[1]!Entities[ID_with_x],[1]!Entities[Name_w_County],_xlfn.CONCAT("Entity ID ",RIGHT(Table3[[#This Row],[Sponsor_1_num]],8)," not found")),"")</f>
        <v/>
      </c>
      <c r="M22" t="str">
        <f>IF(LEN(G22)&lt;&gt;0,_xlfn.XLOOKUP(G22,[1]!Entities[ID_with_x],[1]!Entities[Name_w_County],_xlfn.CONCAT("Entity ID ",RIGHT(Table3[[#This Row],[Sponsor_1_num]],8)," not found")),"")</f>
        <v/>
      </c>
      <c r="N22" t="str">
        <f>IF(LEN(H22)&lt;&gt;0,_xlfn.XLOOKUP(H22,[1]!Entities[ID_with_x],[1]!Entities[Name_w_County],_xlfn.CONCAT("Entity ID ",RIGHT(Table3[[#This Row],[Sponsor_1_num]],8)," not found")),"")</f>
        <v/>
      </c>
      <c r="O22" t="str">
        <f>IF(LEN(I22)&lt;&gt;0,_xlfn.XLOOKUP(I22,[1]!Entities[ID_with_x],[1]!Entities[Name_w_County],_xlfn.CONCAT("Entity ID ",RIGHT(Table3[[#This Row],[Sponsor_1_num]],8)," not found")),"")</f>
        <v/>
      </c>
      <c r="P22" t="str">
        <f>IF(LEN(J22)&lt;&gt;0,_xlfn.XLOOKUP(J22,[1]!Entities[ID_with_x],[1]!Entities[Name_w_County],_xlfn.CONCAT("Entity ID ",RIGHT(Table3[[#This Row],[Sponsor_1_num]],8)," not found")),"")</f>
        <v/>
      </c>
      <c r="Q22" t="str">
        <f>IF(LEN(K22)&gt;0,_xlfn.TEXTJOIN(", ",TRUE,K22:P22),Table3[[#This Row],[SPONSOR_LIST]])</f>
        <v>Stinnett</v>
      </c>
    </row>
    <row r="23" spans="1:17" x14ac:dyDescent="0.25">
      <c r="A23" s="304" t="s">
        <v>1271</v>
      </c>
      <c r="B23" t="s">
        <v>1275</v>
      </c>
      <c r="C23" t="str">
        <f t="shared" si="1"/>
        <v>x01002813</v>
      </c>
      <c r="D23" t="str">
        <f>SUBSTITUTE(SUBSTITUTE(Table3[[#This Row],[Sponsor_list_tranform]],",",",x")," ","")</f>
        <v>x01002813</v>
      </c>
      <c r="E23" t="s">
        <v>11676</v>
      </c>
      <c r="K23" t="str">
        <f>IF(LEN(E23)&lt;&gt;0,_xlfn.XLOOKUP(E23,[1]!Entities[ID_with_x],[1]!Entities[Name_w_County],_xlfn.CONCAT("Entity ID ",RIGHT(Table3[[#This Row],[Sponsor_1_num]],8)," not found")),"")</f>
        <v>Sanford</v>
      </c>
      <c r="L23" t="str">
        <f>IF(LEN(F23)&lt;&gt;0,_xlfn.XLOOKUP(F23,[1]!Entities[ID_with_x],[1]!Entities[Name_w_County],_xlfn.CONCAT("Entity ID ",RIGHT(Table3[[#This Row],[Sponsor_1_num]],8)," not found")),"")</f>
        <v/>
      </c>
      <c r="M23" t="str">
        <f>IF(LEN(G23)&lt;&gt;0,_xlfn.XLOOKUP(G23,[1]!Entities[ID_with_x],[1]!Entities[Name_w_County],_xlfn.CONCAT("Entity ID ",RIGHT(Table3[[#This Row],[Sponsor_1_num]],8)," not found")),"")</f>
        <v/>
      </c>
      <c r="N23" t="str">
        <f>IF(LEN(H23)&lt;&gt;0,_xlfn.XLOOKUP(H23,[1]!Entities[ID_with_x],[1]!Entities[Name_w_County],_xlfn.CONCAT("Entity ID ",RIGHT(Table3[[#This Row],[Sponsor_1_num]],8)," not found")),"")</f>
        <v/>
      </c>
      <c r="O23" t="str">
        <f>IF(LEN(I23)&lt;&gt;0,_xlfn.XLOOKUP(I23,[1]!Entities[ID_with_x],[1]!Entities[Name_w_County],_xlfn.CONCAT("Entity ID ",RIGHT(Table3[[#This Row],[Sponsor_1_num]],8)," not found")),"")</f>
        <v/>
      </c>
      <c r="P23" t="str">
        <f>IF(LEN(J23)&lt;&gt;0,_xlfn.XLOOKUP(J23,[1]!Entities[ID_with_x],[1]!Entities[Name_w_County],_xlfn.CONCAT("Entity ID ",RIGHT(Table3[[#This Row],[Sponsor_1_num]],8)," not found")),"")</f>
        <v/>
      </c>
      <c r="Q23" t="str">
        <f>IF(LEN(K23)&gt;0,_xlfn.TEXTJOIN(", ",TRUE,K23:P23),Table3[[#This Row],[SPONSOR_LIST]])</f>
        <v>Sanford</v>
      </c>
    </row>
    <row r="24" spans="1:17" x14ac:dyDescent="0.25">
      <c r="A24" s="304" t="s">
        <v>1277</v>
      </c>
      <c r="B24" t="s">
        <v>1284</v>
      </c>
      <c r="C24" t="str">
        <f t="shared" si="1"/>
        <v>x01003570</v>
      </c>
      <c r="D24" t="str">
        <f>SUBSTITUTE(SUBSTITUTE(Table3[[#This Row],[Sponsor_list_tranform]],",",",x")," ","")</f>
        <v>x01003570</v>
      </c>
      <c r="E24" t="s">
        <v>11677</v>
      </c>
      <c r="K24" t="str">
        <f>IF(LEN(E24)&lt;&gt;0,_xlfn.XLOOKUP(E24,[1]!Entities[ID_with_x],[1]!Entities[Name_w_County],_xlfn.CONCAT("Entity ID ",RIGHT(Table3[[#This Row],[Sponsor_1_num]],8)," not found")),"")</f>
        <v>Perryton</v>
      </c>
      <c r="L24" t="str">
        <f>IF(LEN(F24)&lt;&gt;0,_xlfn.XLOOKUP(F24,[1]!Entities[ID_with_x],[1]!Entities[Name_w_County],_xlfn.CONCAT("Entity ID ",RIGHT(Table3[[#This Row],[Sponsor_1_num]],8)," not found")),"")</f>
        <v/>
      </c>
      <c r="M24" t="str">
        <f>IF(LEN(G24)&lt;&gt;0,_xlfn.XLOOKUP(G24,[1]!Entities[ID_with_x],[1]!Entities[Name_w_County],_xlfn.CONCAT("Entity ID ",RIGHT(Table3[[#This Row],[Sponsor_1_num]],8)," not found")),"")</f>
        <v/>
      </c>
      <c r="N24" t="str">
        <f>IF(LEN(H24)&lt;&gt;0,_xlfn.XLOOKUP(H24,[1]!Entities[ID_with_x],[1]!Entities[Name_w_County],_xlfn.CONCAT("Entity ID ",RIGHT(Table3[[#This Row],[Sponsor_1_num]],8)," not found")),"")</f>
        <v/>
      </c>
      <c r="O24" t="str">
        <f>IF(LEN(I24)&lt;&gt;0,_xlfn.XLOOKUP(I24,[1]!Entities[ID_with_x],[1]!Entities[Name_w_County],_xlfn.CONCAT("Entity ID ",RIGHT(Table3[[#This Row],[Sponsor_1_num]],8)," not found")),"")</f>
        <v/>
      </c>
      <c r="P24" t="str">
        <f>IF(LEN(J24)&lt;&gt;0,_xlfn.XLOOKUP(J24,[1]!Entities[ID_with_x],[1]!Entities[Name_w_County],_xlfn.CONCAT("Entity ID ",RIGHT(Table3[[#This Row],[Sponsor_1_num]],8)," not found")),"")</f>
        <v/>
      </c>
      <c r="Q24" t="str">
        <f>IF(LEN(K24)&gt;0,_xlfn.TEXTJOIN(", ",TRUE,K24:P24),Table3[[#This Row],[SPONSOR_LIST]])</f>
        <v>Perryton</v>
      </c>
    </row>
    <row r="25" spans="1:17" x14ac:dyDescent="0.25">
      <c r="A25" s="304" t="s">
        <v>1286</v>
      </c>
      <c r="B25" t="s">
        <v>1292</v>
      </c>
      <c r="C25" t="str">
        <f t="shared" si="1"/>
        <v>x01003091</v>
      </c>
      <c r="D25" t="str">
        <f>SUBSTITUTE(SUBSTITUTE(Table3[[#This Row],[Sponsor_list_tranform]],",",",x")," ","")</f>
        <v>x01003091</v>
      </c>
      <c r="E25" t="s">
        <v>11678</v>
      </c>
      <c r="K25" t="str">
        <f>IF(LEN(E25)&lt;&gt;0,_xlfn.XLOOKUP(E25,[1]!Entities[ID_with_x],[1]!Entities[Name_w_County],_xlfn.CONCAT("Entity ID ",RIGHT(Table3[[#This Row],[Sponsor_1_num]],8)," not found")),"")</f>
        <v>Miami</v>
      </c>
      <c r="L25" t="str">
        <f>IF(LEN(F25)&lt;&gt;0,_xlfn.XLOOKUP(F25,[1]!Entities[ID_with_x],[1]!Entities[Name_w_County],_xlfn.CONCAT("Entity ID ",RIGHT(Table3[[#This Row],[Sponsor_1_num]],8)," not found")),"")</f>
        <v/>
      </c>
      <c r="M25" t="str">
        <f>IF(LEN(G25)&lt;&gt;0,_xlfn.XLOOKUP(G25,[1]!Entities[ID_with_x],[1]!Entities[Name_w_County],_xlfn.CONCAT("Entity ID ",RIGHT(Table3[[#This Row],[Sponsor_1_num]],8)," not found")),"")</f>
        <v/>
      </c>
      <c r="N25" t="str">
        <f>IF(LEN(H25)&lt;&gt;0,_xlfn.XLOOKUP(H25,[1]!Entities[ID_with_x],[1]!Entities[Name_w_County],_xlfn.CONCAT("Entity ID ",RIGHT(Table3[[#This Row],[Sponsor_1_num]],8)," not found")),"")</f>
        <v/>
      </c>
      <c r="O25" t="str">
        <f>IF(LEN(I25)&lt;&gt;0,_xlfn.XLOOKUP(I25,[1]!Entities[ID_with_x],[1]!Entities[Name_w_County],_xlfn.CONCAT("Entity ID ",RIGHT(Table3[[#This Row],[Sponsor_1_num]],8)," not found")),"")</f>
        <v/>
      </c>
      <c r="P25" t="str">
        <f>IF(LEN(J25)&lt;&gt;0,_xlfn.XLOOKUP(J25,[1]!Entities[ID_with_x],[1]!Entities[Name_w_County],_xlfn.CONCAT("Entity ID ",RIGHT(Table3[[#This Row],[Sponsor_1_num]],8)," not found")),"")</f>
        <v/>
      </c>
      <c r="Q25" t="str">
        <f>IF(LEN(K25)&gt;0,_xlfn.TEXTJOIN(", ",TRUE,K25:P25),Table3[[#This Row],[SPONSOR_LIST]])</f>
        <v>Miami</v>
      </c>
    </row>
    <row r="26" spans="1:17" x14ac:dyDescent="0.25">
      <c r="A26" s="304" t="s">
        <v>1294</v>
      </c>
      <c r="B26" t="s">
        <v>1300</v>
      </c>
      <c r="C26" t="str">
        <f t="shared" si="1"/>
        <v>x01003056</v>
      </c>
      <c r="D26" t="str">
        <f>SUBSTITUTE(SUBSTITUTE(Table3[[#This Row],[Sponsor_list_tranform]],",",",x")," ","")</f>
        <v>x01003056</v>
      </c>
      <c r="E26" t="s">
        <v>11679</v>
      </c>
      <c r="K26" t="str">
        <f>IF(LEN(E26)&lt;&gt;0,_xlfn.XLOOKUP(E26,[1]!Entities[ID_with_x],[1]!Entities[Name_w_County],_xlfn.CONCAT("Entity ID ",RIGHT(Table3[[#This Row],[Sponsor_1_num]],8)," not found")),"")</f>
        <v>Skellytown</v>
      </c>
      <c r="L26" t="str">
        <f>IF(LEN(F26)&lt;&gt;0,_xlfn.XLOOKUP(F26,[1]!Entities[ID_with_x],[1]!Entities[Name_w_County],_xlfn.CONCAT("Entity ID ",RIGHT(Table3[[#This Row],[Sponsor_1_num]],8)," not found")),"")</f>
        <v/>
      </c>
      <c r="M26" t="str">
        <f>IF(LEN(G26)&lt;&gt;0,_xlfn.XLOOKUP(G26,[1]!Entities[ID_with_x],[1]!Entities[Name_w_County],_xlfn.CONCAT("Entity ID ",RIGHT(Table3[[#This Row],[Sponsor_1_num]],8)," not found")),"")</f>
        <v/>
      </c>
      <c r="N26" t="str">
        <f>IF(LEN(H26)&lt;&gt;0,_xlfn.XLOOKUP(H26,[1]!Entities[ID_with_x],[1]!Entities[Name_w_County],_xlfn.CONCAT("Entity ID ",RIGHT(Table3[[#This Row],[Sponsor_1_num]],8)," not found")),"")</f>
        <v/>
      </c>
      <c r="O26" t="str">
        <f>IF(LEN(I26)&lt;&gt;0,_xlfn.XLOOKUP(I26,[1]!Entities[ID_with_x],[1]!Entities[Name_w_County],_xlfn.CONCAT("Entity ID ",RIGHT(Table3[[#This Row],[Sponsor_1_num]],8)," not found")),"")</f>
        <v/>
      </c>
      <c r="P26" t="str">
        <f>IF(LEN(J26)&lt;&gt;0,_xlfn.XLOOKUP(J26,[1]!Entities[ID_with_x],[1]!Entities[Name_w_County],_xlfn.CONCAT("Entity ID ",RIGHT(Table3[[#This Row],[Sponsor_1_num]],8)," not found")),"")</f>
        <v/>
      </c>
      <c r="Q26" t="str">
        <f>IF(LEN(K26)&gt;0,_xlfn.TEXTJOIN(", ",TRUE,K26:P26),Table3[[#This Row],[SPONSOR_LIST]])</f>
        <v>Skellytown</v>
      </c>
    </row>
    <row r="27" spans="1:17" x14ac:dyDescent="0.25">
      <c r="A27" s="304" t="s">
        <v>1302</v>
      </c>
      <c r="B27" t="s">
        <v>1309</v>
      </c>
      <c r="C27" t="str">
        <f t="shared" si="1"/>
        <v>x01003436</v>
      </c>
      <c r="D27" t="str">
        <f>SUBSTITUTE(SUBSTITUTE(Table3[[#This Row],[Sponsor_list_tranform]],",",",x")," ","")</f>
        <v>x01003436</v>
      </c>
      <c r="E27" t="s">
        <v>11680</v>
      </c>
      <c r="K27" t="str">
        <f>IF(LEN(E27)&lt;&gt;0,_xlfn.XLOOKUP(E27,[1]!Entities[ID_with_x],[1]!Entities[Name_w_County],_xlfn.CONCAT("Entity ID ",RIGHT(Table3[[#This Row],[Sponsor_1_num]],8)," not found")),"")</f>
        <v>Claude</v>
      </c>
      <c r="L27" t="str">
        <f>IF(LEN(F27)&lt;&gt;0,_xlfn.XLOOKUP(F27,[1]!Entities[ID_with_x],[1]!Entities[Name_w_County],_xlfn.CONCAT("Entity ID ",RIGHT(Table3[[#This Row],[Sponsor_1_num]],8)," not found")),"")</f>
        <v/>
      </c>
      <c r="M27" t="str">
        <f>IF(LEN(G27)&lt;&gt;0,_xlfn.XLOOKUP(G27,[1]!Entities[ID_with_x],[1]!Entities[Name_w_County],_xlfn.CONCAT("Entity ID ",RIGHT(Table3[[#This Row],[Sponsor_1_num]],8)," not found")),"")</f>
        <v/>
      </c>
      <c r="N27" t="str">
        <f>IF(LEN(H27)&lt;&gt;0,_xlfn.XLOOKUP(H27,[1]!Entities[ID_with_x],[1]!Entities[Name_w_County],_xlfn.CONCAT("Entity ID ",RIGHT(Table3[[#This Row],[Sponsor_1_num]],8)," not found")),"")</f>
        <v/>
      </c>
      <c r="O27" t="str">
        <f>IF(LEN(I27)&lt;&gt;0,_xlfn.XLOOKUP(I27,[1]!Entities[ID_with_x],[1]!Entities[Name_w_County],_xlfn.CONCAT("Entity ID ",RIGHT(Table3[[#This Row],[Sponsor_1_num]],8)," not found")),"")</f>
        <v/>
      </c>
      <c r="P27" t="str">
        <f>IF(LEN(J27)&lt;&gt;0,_xlfn.XLOOKUP(J27,[1]!Entities[ID_with_x],[1]!Entities[Name_w_County],_xlfn.CONCAT("Entity ID ",RIGHT(Table3[[#This Row],[Sponsor_1_num]],8)," not found")),"")</f>
        <v/>
      </c>
      <c r="Q27" t="str">
        <f>IF(LEN(K27)&gt;0,_xlfn.TEXTJOIN(", ",TRUE,K27:P27),Table3[[#This Row],[SPONSOR_LIST]])</f>
        <v>Claude</v>
      </c>
    </row>
    <row r="28" spans="1:17" x14ac:dyDescent="0.25">
      <c r="A28" s="304" t="s">
        <v>1311</v>
      </c>
      <c r="B28" t="s">
        <v>1318</v>
      </c>
      <c r="C28" t="str">
        <f t="shared" si="1"/>
        <v>x01002470</v>
      </c>
      <c r="D28" t="str">
        <f>SUBSTITUTE(SUBSTITUTE(Table3[[#This Row],[Sponsor_list_tranform]],",",",x")," ","")</f>
        <v>x01002470</v>
      </c>
      <c r="E28" t="s">
        <v>11681</v>
      </c>
      <c r="K28" t="str">
        <f>IF(LEN(E28)&lt;&gt;0,_xlfn.XLOOKUP(E28,[1]!Entities[ID_with_x],[1]!Entities[Name_w_County],_xlfn.CONCAT("Entity ID ",RIGHT(Table3[[#This Row],[Sponsor_1_num]],8)," not found")),"")</f>
        <v>Matador</v>
      </c>
      <c r="L28" t="str">
        <f>IF(LEN(F28)&lt;&gt;0,_xlfn.XLOOKUP(F28,[1]!Entities[ID_with_x],[1]!Entities[Name_w_County],_xlfn.CONCAT("Entity ID ",RIGHT(Table3[[#This Row],[Sponsor_1_num]],8)," not found")),"")</f>
        <v/>
      </c>
      <c r="M28" t="str">
        <f>IF(LEN(G28)&lt;&gt;0,_xlfn.XLOOKUP(G28,[1]!Entities[ID_with_x],[1]!Entities[Name_w_County],_xlfn.CONCAT("Entity ID ",RIGHT(Table3[[#This Row],[Sponsor_1_num]],8)," not found")),"")</f>
        <v/>
      </c>
      <c r="N28" t="str">
        <f>IF(LEN(H28)&lt;&gt;0,_xlfn.XLOOKUP(H28,[1]!Entities[ID_with_x],[1]!Entities[Name_w_County],_xlfn.CONCAT("Entity ID ",RIGHT(Table3[[#This Row],[Sponsor_1_num]],8)," not found")),"")</f>
        <v/>
      </c>
      <c r="O28" t="str">
        <f>IF(LEN(I28)&lt;&gt;0,_xlfn.XLOOKUP(I28,[1]!Entities[ID_with_x],[1]!Entities[Name_w_County],_xlfn.CONCAT("Entity ID ",RIGHT(Table3[[#This Row],[Sponsor_1_num]],8)," not found")),"")</f>
        <v/>
      </c>
      <c r="P28" t="str">
        <f>IF(LEN(J28)&lt;&gt;0,_xlfn.XLOOKUP(J28,[1]!Entities[ID_with_x],[1]!Entities[Name_w_County],_xlfn.CONCAT("Entity ID ",RIGHT(Table3[[#This Row],[Sponsor_1_num]],8)," not found")),"")</f>
        <v/>
      </c>
      <c r="Q28" t="str">
        <f>IF(LEN(K28)&gt;0,_xlfn.TEXTJOIN(", ",TRUE,K28:P28),Table3[[#This Row],[SPONSOR_LIST]])</f>
        <v>Matador</v>
      </c>
    </row>
    <row r="29" spans="1:17" x14ac:dyDescent="0.25">
      <c r="A29" s="304" t="s">
        <v>1320</v>
      </c>
      <c r="B29" t="s">
        <v>1325</v>
      </c>
      <c r="C29" t="str">
        <f t="shared" si="1"/>
        <v>x01000197</v>
      </c>
      <c r="D29" t="str">
        <f>SUBSTITUTE(SUBSTITUTE(Table3[[#This Row],[Sponsor_list_tranform]],",",",x")," ","")</f>
        <v>x01000197</v>
      </c>
      <c r="E29" t="s">
        <v>11682</v>
      </c>
      <c r="K29" t="str">
        <f>IF(LEN(E29)&lt;&gt;0,_xlfn.XLOOKUP(E29,[1]!Entities[ID_with_x],[1]!Entities[Name_w_County],_xlfn.CONCAT("Entity ID ",RIGHT(Table3[[#This Row],[Sponsor_1_num]],8)," not found")),"")</f>
        <v>Cottle County</v>
      </c>
      <c r="L29" t="str">
        <f>IF(LEN(F29)&lt;&gt;0,_xlfn.XLOOKUP(F29,[1]!Entities[ID_with_x],[1]!Entities[Name_w_County],_xlfn.CONCAT("Entity ID ",RIGHT(Table3[[#This Row],[Sponsor_1_num]],8)," not found")),"")</f>
        <v/>
      </c>
      <c r="M29" t="str">
        <f>IF(LEN(G29)&lt;&gt;0,_xlfn.XLOOKUP(G29,[1]!Entities[ID_with_x],[1]!Entities[Name_w_County],_xlfn.CONCAT("Entity ID ",RIGHT(Table3[[#This Row],[Sponsor_1_num]],8)," not found")),"")</f>
        <v/>
      </c>
      <c r="N29" t="str">
        <f>IF(LEN(H29)&lt;&gt;0,_xlfn.XLOOKUP(H29,[1]!Entities[ID_with_x],[1]!Entities[Name_w_County],_xlfn.CONCAT("Entity ID ",RIGHT(Table3[[#This Row],[Sponsor_1_num]],8)," not found")),"")</f>
        <v/>
      </c>
      <c r="O29" t="str">
        <f>IF(LEN(I29)&lt;&gt;0,_xlfn.XLOOKUP(I29,[1]!Entities[ID_with_x],[1]!Entities[Name_w_County],_xlfn.CONCAT("Entity ID ",RIGHT(Table3[[#This Row],[Sponsor_1_num]],8)," not found")),"")</f>
        <v/>
      </c>
      <c r="P29" t="str">
        <f>IF(LEN(J29)&lt;&gt;0,_xlfn.XLOOKUP(J29,[1]!Entities[ID_with_x],[1]!Entities[Name_w_County],_xlfn.CONCAT("Entity ID ",RIGHT(Table3[[#This Row],[Sponsor_1_num]],8)," not found")),"")</f>
        <v/>
      </c>
      <c r="Q29" t="str">
        <f>IF(LEN(K29)&gt;0,_xlfn.TEXTJOIN(", ",TRUE,K29:P29),Table3[[#This Row],[SPONSOR_LIST]])</f>
        <v>Cottle County</v>
      </c>
    </row>
    <row r="30" spans="1:17" x14ac:dyDescent="0.25">
      <c r="A30" s="304" t="s">
        <v>1327</v>
      </c>
      <c r="B30" t="s">
        <v>1331</v>
      </c>
      <c r="C30" t="str">
        <f t="shared" si="1"/>
        <v>x01000204</v>
      </c>
      <c r="D30" t="str">
        <f>SUBSTITUTE(SUBSTITUTE(Table3[[#This Row],[Sponsor_list_tranform]],",",",x")," ","")</f>
        <v>x01000204</v>
      </c>
      <c r="E30" t="s">
        <v>11683</v>
      </c>
      <c r="K30" t="str">
        <f>IF(LEN(E30)&lt;&gt;0,_xlfn.XLOOKUP(E30,[1]!Entities[ID_with_x],[1]!Entities[Name_w_County],_xlfn.CONCAT("Entity ID ",RIGHT(Table3[[#This Row],[Sponsor_1_num]],8)," not found")),"")</f>
        <v>Hardeman County</v>
      </c>
      <c r="L30" t="str">
        <f>IF(LEN(F30)&lt;&gt;0,_xlfn.XLOOKUP(F30,[1]!Entities[ID_with_x],[1]!Entities[Name_w_County],_xlfn.CONCAT("Entity ID ",RIGHT(Table3[[#This Row],[Sponsor_1_num]],8)," not found")),"")</f>
        <v/>
      </c>
      <c r="M30" t="str">
        <f>IF(LEN(G30)&lt;&gt;0,_xlfn.XLOOKUP(G30,[1]!Entities[ID_with_x],[1]!Entities[Name_w_County],_xlfn.CONCAT("Entity ID ",RIGHT(Table3[[#This Row],[Sponsor_1_num]],8)," not found")),"")</f>
        <v/>
      </c>
      <c r="N30" t="str">
        <f>IF(LEN(H30)&lt;&gt;0,_xlfn.XLOOKUP(H30,[1]!Entities[ID_with_x],[1]!Entities[Name_w_County],_xlfn.CONCAT("Entity ID ",RIGHT(Table3[[#This Row],[Sponsor_1_num]],8)," not found")),"")</f>
        <v/>
      </c>
      <c r="O30" t="str">
        <f>IF(LEN(I30)&lt;&gt;0,_xlfn.XLOOKUP(I30,[1]!Entities[ID_with_x],[1]!Entities[Name_w_County],_xlfn.CONCAT("Entity ID ",RIGHT(Table3[[#This Row],[Sponsor_1_num]],8)," not found")),"")</f>
        <v/>
      </c>
      <c r="P30" t="str">
        <f>IF(LEN(J30)&lt;&gt;0,_xlfn.XLOOKUP(J30,[1]!Entities[ID_with_x],[1]!Entities[Name_w_County],_xlfn.CONCAT("Entity ID ",RIGHT(Table3[[#This Row],[Sponsor_1_num]],8)," not found")),"")</f>
        <v/>
      </c>
      <c r="Q30" t="str">
        <f>IF(LEN(K30)&gt;0,_xlfn.TEXTJOIN(", ",TRUE,K30:P30),Table3[[#This Row],[SPONSOR_LIST]])</f>
        <v>Hardeman County</v>
      </c>
    </row>
    <row r="31" spans="1:17" x14ac:dyDescent="0.25">
      <c r="A31" s="304" t="s">
        <v>1333</v>
      </c>
      <c r="B31" t="s">
        <v>1340</v>
      </c>
      <c r="C31" t="str">
        <f t="shared" si="1"/>
        <v>x00000217</v>
      </c>
      <c r="D31" t="str">
        <f>SUBSTITUTE(SUBSTITUTE(Table3[[#This Row],[Sponsor_list_tranform]],",",",x")," ","")</f>
        <v>x00000217</v>
      </c>
      <c r="E31" t="s">
        <v>11614</v>
      </c>
      <c r="K31" t="str">
        <f>IF(LEN(E31)&lt;&gt;0,_xlfn.XLOOKUP(E31,[1]!Entities[ID_with_x],[1]!Entities[Name_w_County],_xlfn.CONCAT("Entity ID ",RIGHT(Table3[[#This Row],[Sponsor_1_num]],8)," not found")),"")</f>
        <v>Knox County</v>
      </c>
      <c r="L31" t="str">
        <f>IF(LEN(F31)&lt;&gt;0,_xlfn.XLOOKUP(F31,[1]!Entities[ID_with_x],[1]!Entities[Name_w_County],_xlfn.CONCAT("Entity ID ",RIGHT(Table3[[#This Row],[Sponsor_1_num]],8)," not found")),"")</f>
        <v/>
      </c>
      <c r="M31" t="str">
        <f>IF(LEN(G31)&lt;&gt;0,_xlfn.XLOOKUP(G31,[1]!Entities[ID_with_x],[1]!Entities[Name_w_County],_xlfn.CONCAT("Entity ID ",RIGHT(Table3[[#This Row],[Sponsor_1_num]],8)," not found")),"")</f>
        <v/>
      </c>
      <c r="N31" t="str">
        <f>IF(LEN(H31)&lt;&gt;0,_xlfn.XLOOKUP(H31,[1]!Entities[ID_with_x],[1]!Entities[Name_w_County],_xlfn.CONCAT("Entity ID ",RIGHT(Table3[[#This Row],[Sponsor_1_num]],8)," not found")),"")</f>
        <v/>
      </c>
      <c r="O31" t="str">
        <f>IF(LEN(I31)&lt;&gt;0,_xlfn.XLOOKUP(I31,[1]!Entities[ID_with_x],[1]!Entities[Name_w_County],_xlfn.CONCAT("Entity ID ",RIGHT(Table3[[#This Row],[Sponsor_1_num]],8)," not found")),"")</f>
        <v/>
      </c>
      <c r="P31" t="str">
        <f>IF(LEN(J31)&lt;&gt;0,_xlfn.XLOOKUP(J31,[1]!Entities[ID_with_x],[1]!Entities[Name_w_County],_xlfn.CONCAT("Entity ID ",RIGHT(Table3[[#This Row],[Sponsor_1_num]],8)," not found")),"")</f>
        <v/>
      </c>
      <c r="Q31" t="str">
        <f>IF(LEN(K31)&gt;0,_xlfn.TEXTJOIN(", ",TRUE,K31:P31),Table3[[#This Row],[SPONSOR_LIST]])</f>
        <v>Knox County</v>
      </c>
    </row>
    <row r="32" spans="1:17" x14ac:dyDescent="0.25">
      <c r="A32" s="304" t="s">
        <v>1342</v>
      </c>
      <c r="B32" t="s">
        <v>1346</v>
      </c>
      <c r="C32" t="str">
        <f t="shared" si="1"/>
        <v>x01000226</v>
      </c>
      <c r="D32" t="str">
        <f>SUBSTITUTE(SUBSTITUTE(Table3[[#This Row],[Sponsor_list_tranform]],",",",x")," ","")</f>
        <v>x01000226</v>
      </c>
      <c r="E32" t="s">
        <v>11684</v>
      </c>
      <c r="K32" t="str">
        <f>IF(LEN(E32)&lt;&gt;0,_xlfn.XLOOKUP(E32,[1]!Entities[ID_with_x],[1]!Entities[Name_w_County],_xlfn.CONCAT("Entity ID ",RIGHT(Table3[[#This Row],[Sponsor_1_num]],8)," not found")),"")</f>
        <v>Carson County</v>
      </c>
      <c r="L32" t="str">
        <f>IF(LEN(F32)&lt;&gt;0,_xlfn.XLOOKUP(F32,[1]!Entities[ID_with_x],[1]!Entities[Name_w_County],_xlfn.CONCAT("Entity ID ",RIGHT(Table3[[#This Row],[Sponsor_1_num]],8)," not found")),"")</f>
        <v/>
      </c>
      <c r="M32" t="str">
        <f>IF(LEN(G32)&lt;&gt;0,_xlfn.XLOOKUP(G32,[1]!Entities[ID_with_x],[1]!Entities[Name_w_County],_xlfn.CONCAT("Entity ID ",RIGHT(Table3[[#This Row],[Sponsor_1_num]],8)," not found")),"")</f>
        <v/>
      </c>
      <c r="N32" t="str">
        <f>IF(LEN(H32)&lt;&gt;0,_xlfn.XLOOKUP(H32,[1]!Entities[ID_with_x],[1]!Entities[Name_w_County],_xlfn.CONCAT("Entity ID ",RIGHT(Table3[[#This Row],[Sponsor_1_num]],8)," not found")),"")</f>
        <v/>
      </c>
      <c r="O32" t="str">
        <f>IF(LEN(I32)&lt;&gt;0,_xlfn.XLOOKUP(I32,[1]!Entities[ID_with_x],[1]!Entities[Name_w_County],_xlfn.CONCAT("Entity ID ",RIGHT(Table3[[#This Row],[Sponsor_1_num]],8)," not found")),"")</f>
        <v/>
      </c>
      <c r="P32" t="str">
        <f>IF(LEN(J32)&lt;&gt;0,_xlfn.XLOOKUP(J32,[1]!Entities[ID_with_x],[1]!Entities[Name_w_County],_xlfn.CONCAT("Entity ID ",RIGHT(Table3[[#This Row],[Sponsor_1_num]],8)," not found")),"")</f>
        <v/>
      </c>
      <c r="Q32" t="str">
        <f>IF(LEN(K32)&gt;0,_xlfn.TEXTJOIN(", ",TRUE,K32:P32),Table3[[#This Row],[SPONSOR_LIST]])</f>
        <v>Carson County</v>
      </c>
    </row>
    <row r="33" spans="1:17" x14ac:dyDescent="0.25">
      <c r="A33" s="304" t="s">
        <v>1348</v>
      </c>
      <c r="B33" t="s">
        <v>1353</v>
      </c>
      <c r="C33" t="str">
        <f t="shared" si="1"/>
        <v>x01000229</v>
      </c>
      <c r="D33" t="str">
        <f>SUBSTITUTE(SUBSTITUTE(Table3[[#This Row],[Sponsor_list_tranform]],",",",x")," ","")</f>
        <v>x01000229</v>
      </c>
      <c r="E33" t="s">
        <v>11685</v>
      </c>
      <c r="K33" t="str">
        <f>IF(LEN(E33)&lt;&gt;0,_xlfn.XLOOKUP(E33,[1]!Entities[ID_with_x],[1]!Entities[Name_w_County],_xlfn.CONCAT("Entity ID ",RIGHT(Table3[[#This Row],[Sponsor_1_num]],8)," not found")),"")</f>
        <v>Hemphill County</v>
      </c>
      <c r="L33" t="str">
        <f>IF(LEN(F33)&lt;&gt;0,_xlfn.XLOOKUP(F33,[1]!Entities[ID_with_x],[1]!Entities[Name_w_County],_xlfn.CONCAT("Entity ID ",RIGHT(Table3[[#This Row],[Sponsor_1_num]],8)," not found")),"")</f>
        <v/>
      </c>
      <c r="M33" t="str">
        <f>IF(LEN(G33)&lt;&gt;0,_xlfn.XLOOKUP(G33,[1]!Entities[ID_with_x],[1]!Entities[Name_w_County],_xlfn.CONCAT("Entity ID ",RIGHT(Table3[[#This Row],[Sponsor_1_num]],8)," not found")),"")</f>
        <v/>
      </c>
      <c r="N33" t="str">
        <f>IF(LEN(H33)&lt;&gt;0,_xlfn.XLOOKUP(H33,[1]!Entities[ID_with_x],[1]!Entities[Name_w_County],_xlfn.CONCAT("Entity ID ",RIGHT(Table3[[#This Row],[Sponsor_1_num]],8)," not found")),"")</f>
        <v/>
      </c>
      <c r="O33" t="str">
        <f>IF(LEN(I33)&lt;&gt;0,_xlfn.XLOOKUP(I33,[1]!Entities[ID_with_x],[1]!Entities[Name_w_County],_xlfn.CONCAT("Entity ID ",RIGHT(Table3[[#This Row],[Sponsor_1_num]],8)," not found")),"")</f>
        <v/>
      </c>
      <c r="P33" t="str">
        <f>IF(LEN(J33)&lt;&gt;0,_xlfn.XLOOKUP(J33,[1]!Entities[ID_with_x],[1]!Entities[Name_w_County],_xlfn.CONCAT("Entity ID ",RIGHT(Table3[[#This Row],[Sponsor_1_num]],8)," not found")),"")</f>
        <v/>
      </c>
      <c r="Q33" t="str">
        <f>IF(LEN(K33)&gt;0,_xlfn.TEXTJOIN(", ",TRUE,K33:P33),Table3[[#This Row],[SPONSOR_LIST]])</f>
        <v>Hemphill County</v>
      </c>
    </row>
    <row r="34" spans="1:17" x14ac:dyDescent="0.25">
      <c r="A34" s="304" t="s">
        <v>1355</v>
      </c>
      <c r="B34" t="s">
        <v>1359</v>
      </c>
      <c r="C34" t="str">
        <f t="shared" si="1"/>
        <v>x01000230</v>
      </c>
      <c r="D34" t="str">
        <f>SUBSTITUTE(SUBSTITUTE(Table3[[#This Row],[Sponsor_list_tranform]],",",",x")," ","")</f>
        <v>x01000230</v>
      </c>
      <c r="E34" t="s">
        <v>11686</v>
      </c>
      <c r="K34" t="str">
        <f>IF(LEN(E34)&lt;&gt;0,_xlfn.XLOOKUP(E34,[1]!Entities[ID_with_x],[1]!Entities[Name_w_County],_xlfn.CONCAT("Entity ID ",RIGHT(Table3[[#This Row],[Sponsor_1_num]],8)," not found")),"")</f>
        <v>Roberts County</v>
      </c>
      <c r="L34" t="str">
        <f>IF(LEN(F34)&lt;&gt;0,_xlfn.XLOOKUP(F34,[1]!Entities[ID_with_x],[1]!Entities[Name_w_County],_xlfn.CONCAT("Entity ID ",RIGHT(Table3[[#This Row],[Sponsor_1_num]],8)," not found")),"")</f>
        <v/>
      </c>
      <c r="M34" t="str">
        <f>IF(LEN(G34)&lt;&gt;0,_xlfn.XLOOKUP(G34,[1]!Entities[ID_with_x],[1]!Entities[Name_w_County],_xlfn.CONCAT("Entity ID ",RIGHT(Table3[[#This Row],[Sponsor_1_num]],8)," not found")),"")</f>
        <v/>
      </c>
      <c r="N34" t="str">
        <f>IF(LEN(H34)&lt;&gt;0,_xlfn.XLOOKUP(H34,[1]!Entities[ID_with_x],[1]!Entities[Name_w_County],_xlfn.CONCAT("Entity ID ",RIGHT(Table3[[#This Row],[Sponsor_1_num]],8)," not found")),"")</f>
        <v/>
      </c>
      <c r="O34" t="str">
        <f>IF(LEN(I34)&lt;&gt;0,_xlfn.XLOOKUP(I34,[1]!Entities[ID_with_x],[1]!Entities[Name_w_County],_xlfn.CONCAT("Entity ID ",RIGHT(Table3[[#This Row],[Sponsor_1_num]],8)," not found")),"")</f>
        <v/>
      </c>
      <c r="P34" t="str">
        <f>IF(LEN(J34)&lt;&gt;0,_xlfn.XLOOKUP(J34,[1]!Entities[ID_with_x],[1]!Entities[Name_w_County],_xlfn.CONCAT("Entity ID ",RIGHT(Table3[[#This Row],[Sponsor_1_num]],8)," not found")),"")</f>
        <v/>
      </c>
      <c r="Q34" t="str">
        <f>IF(LEN(K34)&gt;0,_xlfn.TEXTJOIN(", ",TRUE,K34:P34),Table3[[#This Row],[SPONSOR_LIST]])</f>
        <v>Roberts County</v>
      </c>
    </row>
    <row r="35" spans="1:17" x14ac:dyDescent="0.25">
      <c r="A35" s="304" t="s">
        <v>1361</v>
      </c>
      <c r="B35" t="s">
        <v>1365</v>
      </c>
      <c r="C35" t="str">
        <f t="shared" si="1"/>
        <v>x01000231</v>
      </c>
      <c r="D35" t="str">
        <f>SUBSTITUTE(SUBSTITUTE(Table3[[#This Row],[Sponsor_list_tranform]],",",",x")," ","")</f>
        <v>x01000231</v>
      </c>
      <c r="E35" t="s">
        <v>11687</v>
      </c>
      <c r="K35" t="str">
        <f>IF(LEN(E35)&lt;&gt;0,_xlfn.XLOOKUP(E35,[1]!Entities[ID_with_x],[1]!Entities[Name_w_County],_xlfn.CONCAT("Entity ID ",RIGHT(Table3[[#This Row],[Sponsor_1_num]],8)," not found")),"")</f>
        <v>Hutchinson County</v>
      </c>
      <c r="L35" t="str">
        <f>IF(LEN(F35)&lt;&gt;0,_xlfn.XLOOKUP(F35,[1]!Entities[ID_with_x],[1]!Entities[Name_w_County],_xlfn.CONCAT("Entity ID ",RIGHT(Table3[[#This Row],[Sponsor_1_num]],8)," not found")),"")</f>
        <v/>
      </c>
      <c r="M35" t="str">
        <f>IF(LEN(G35)&lt;&gt;0,_xlfn.XLOOKUP(G35,[1]!Entities[ID_with_x],[1]!Entities[Name_w_County],_xlfn.CONCAT("Entity ID ",RIGHT(Table3[[#This Row],[Sponsor_1_num]],8)," not found")),"")</f>
        <v/>
      </c>
      <c r="N35" t="str">
        <f>IF(LEN(H35)&lt;&gt;0,_xlfn.XLOOKUP(H35,[1]!Entities[ID_with_x],[1]!Entities[Name_w_County],_xlfn.CONCAT("Entity ID ",RIGHT(Table3[[#This Row],[Sponsor_1_num]],8)," not found")),"")</f>
        <v/>
      </c>
      <c r="O35" t="str">
        <f>IF(LEN(I35)&lt;&gt;0,_xlfn.XLOOKUP(I35,[1]!Entities[ID_with_x],[1]!Entities[Name_w_County],_xlfn.CONCAT("Entity ID ",RIGHT(Table3[[#This Row],[Sponsor_1_num]],8)," not found")),"")</f>
        <v/>
      </c>
      <c r="P35" t="str">
        <f>IF(LEN(J35)&lt;&gt;0,_xlfn.XLOOKUP(J35,[1]!Entities[ID_with_x],[1]!Entities[Name_w_County],_xlfn.CONCAT("Entity ID ",RIGHT(Table3[[#This Row],[Sponsor_1_num]],8)," not found")),"")</f>
        <v/>
      </c>
      <c r="Q35" t="str">
        <f>IF(LEN(K35)&gt;0,_xlfn.TEXTJOIN(", ",TRUE,K35:P35),Table3[[#This Row],[SPONSOR_LIST]])</f>
        <v>Hutchinson County</v>
      </c>
    </row>
    <row r="36" spans="1:17" x14ac:dyDescent="0.25">
      <c r="A36" s="304" t="s">
        <v>1367</v>
      </c>
      <c r="B36" t="s">
        <v>1372</v>
      </c>
      <c r="C36" t="str">
        <f t="shared" si="1"/>
        <v>x01000232</v>
      </c>
      <c r="D36" t="str">
        <f>SUBSTITUTE(SUBSTITUTE(Table3[[#This Row],[Sponsor_list_tranform]],",",",x")," ","")</f>
        <v>x01000232</v>
      </c>
      <c r="E36" t="s">
        <v>11688</v>
      </c>
      <c r="K36" t="str">
        <f>IF(LEN(E36)&lt;&gt;0,_xlfn.XLOOKUP(E36,[1]!Entities[ID_with_x],[1]!Entities[Name_w_County],_xlfn.CONCAT("Entity ID ",RIGHT(Table3[[#This Row],[Sponsor_1_num]],8)," not found")),"")</f>
        <v>Moore County</v>
      </c>
      <c r="L36" t="str">
        <f>IF(LEN(F36)&lt;&gt;0,_xlfn.XLOOKUP(F36,[1]!Entities[ID_with_x],[1]!Entities[Name_w_County],_xlfn.CONCAT("Entity ID ",RIGHT(Table3[[#This Row],[Sponsor_1_num]],8)," not found")),"")</f>
        <v/>
      </c>
      <c r="M36" t="str">
        <f>IF(LEN(G36)&lt;&gt;0,_xlfn.XLOOKUP(G36,[1]!Entities[ID_with_x],[1]!Entities[Name_w_County],_xlfn.CONCAT("Entity ID ",RIGHT(Table3[[#This Row],[Sponsor_1_num]],8)," not found")),"")</f>
        <v/>
      </c>
      <c r="N36" t="str">
        <f>IF(LEN(H36)&lt;&gt;0,_xlfn.XLOOKUP(H36,[1]!Entities[ID_with_x],[1]!Entities[Name_w_County],_xlfn.CONCAT("Entity ID ",RIGHT(Table3[[#This Row],[Sponsor_1_num]],8)," not found")),"")</f>
        <v/>
      </c>
      <c r="O36" t="str">
        <f>IF(LEN(I36)&lt;&gt;0,_xlfn.XLOOKUP(I36,[1]!Entities[ID_with_x],[1]!Entities[Name_w_County],_xlfn.CONCAT("Entity ID ",RIGHT(Table3[[#This Row],[Sponsor_1_num]],8)," not found")),"")</f>
        <v/>
      </c>
      <c r="P36" t="str">
        <f>IF(LEN(J36)&lt;&gt;0,_xlfn.XLOOKUP(J36,[1]!Entities[ID_with_x],[1]!Entities[Name_w_County],_xlfn.CONCAT("Entity ID ",RIGHT(Table3[[#This Row],[Sponsor_1_num]],8)," not found")),"")</f>
        <v/>
      </c>
      <c r="Q36" t="str">
        <f>IF(LEN(K36)&gt;0,_xlfn.TEXTJOIN(", ",TRUE,K36:P36),Table3[[#This Row],[SPONSOR_LIST]])</f>
        <v>Moore County</v>
      </c>
    </row>
    <row r="37" spans="1:17" x14ac:dyDescent="0.25">
      <c r="A37" s="304" t="s">
        <v>1374</v>
      </c>
      <c r="B37" t="s">
        <v>1379</v>
      </c>
      <c r="C37" t="str">
        <f t="shared" si="1"/>
        <v>x01000233</v>
      </c>
      <c r="D37" t="str">
        <f>SUBSTITUTE(SUBSTITUTE(Table3[[#This Row],[Sponsor_list_tranform]],",",",x")," ","")</f>
        <v>x01000233</v>
      </c>
      <c r="E37" t="s">
        <v>11689</v>
      </c>
      <c r="K37" t="str">
        <f>IF(LEN(E37)&lt;&gt;0,_xlfn.XLOOKUP(E37,[1]!Entities[ID_with_x],[1]!Entities[Name_w_County],_xlfn.CONCAT("Entity ID ",RIGHT(Table3[[#This Row],[Sponsor_1_num]],8)," not found")),"")</f>
        <v>Hartley County</v>
      </c>
      <c r="L37" t="str">
        <f>IF(LEN(F37)&lt;&gt;0,_xlfn.XLOOKUP(F37,[1]!Entities[ID_with_x],[1]!Entities[Name_w_County],_xlfn.CONCAT("Entity ID ",RIGHT(Table3[[#This Row],[Sponsor_1_num]],8)," not found")),"")</f>
        <v/>
      </c>
      <c r="M37" t="str">
        <f>IF(LEN(G37)&lt;&gt;0,_xlfn.XLOOKUP(G37,[1]!Entities[ID_with_x],[1]!Entities[Name_w_County],_xlfn.CONCAT("Entity ID ",RIGHT(Table3[[#This Row],[Sponsor_1_num]],8)," not found")),"")</f>
        <v/>
      </c>
      <c r="N37" t="str">
        <f>IF(LEN(H37)&lt;&gt;0,_xlfn.XLOOKUP(H37,[1]!Entities[ID_with_x],[1]!Entities[Name_w_County],_xlfn.CONCAT("Entity ID ",RIGHT(Table3[[#This Row],[Sponsor_1_num]],8)," not found")),"")</f>
        <v/>
      </c>
      <c r="O37" t="str">
        <f>IF(LEN(I37)&lt;&gt;0,_xlfn.XLOOKUP(I37,[1]!Entities[ID_with_x],[1]!Entities[Name_w_County],_xlfn.CONCAT("Entity ID ",RIGHT(Table3[[#This Row],[Sponsor_1_num]],8)," not found")),"")</f>
        <v/>
      </c>
      <c r="P37" t="str">
        <f>IF(LEN(J37)&lt;&gt;0,_xlfn.XLOOKUP(J37,[1]!Entities[ID_with_x],[1]!Entities[Name_w_County],_xlfn.CONCAT("Entity ID ",RIGHT(Table3[[#This Row],[Sponsor_1_num]],8)," not found")),"")</f>
        <v/>
      </c>
      <c r="Q37" t="str">
        <f>IF(LEN(K37)&gt;0,_xlfn.TEXTJOIN(", ",TRUE,K37:P37),Table3[[#This Row],[SPONSOR_LIST]])</f>
        <v>Hartley County</v>
      </c>
    </row>
    <row r="38" spans="1:17" x14ac:dyDescent="0.25">
      <c r="A38" s="304" t="s">
        <v>1381</v>
      </c>
      <c r="B38" t="s">
        <v>1385</v>
      </c>
      <c r="C38" t="str">
        <f t="shared" si="1"/>
        <v>x01000236</v>
      </c>
      <c r="D38" t="str">
        <f>SUBSTITUTE(SUBSTITUTE(Table3[[#This Row],[Sponsor_list_tranform]],",",",x")," ","")</f>
        <v>x01000236</v>
      </c>
      <c r="E38" t="s">
        <v>11690</v>
      </c>
      <c r="K38" t="str">
        <f>IF(LEN(E38)&lt;&gt;0,_xlfn.XLOOKUP(E38,[1]!Entities[ID_with_x],[1]!Entities[Name_w_County],_xlfn.CONCAT("Entity ID ",RIGHT(Table3[[#This Row],[Sponsor_1_num]],8)," not found")),"")</f>
        <v>Briscoe County</v>
      </c>
      <c r="L38" t="str">
        <f>IF(LEN(F38)&lt;&gt;0,_xlfn.XLOOKUP(F38,[1]!Entities[ID_with_x],[1]!Entities[Name_w_County],_xlfn.CONCAT("Entity ID ",RIGHT(Table3[[#This Row],[Sponsor_1_num]],8)," not found")),"")</f>
        <v/>
      </c>
      <c r="M38" t="str">
        <f>IF(LEN(G38)&lt;&gt;0,_xlfn.XLOOKUP(G38,[1]!Entities[ID_with_x],[1]!Entities[Name_w_County],_xlfn.CONCAT("Entity ID ",RIGHT(Table3[[#This Row],[Sponsor_1_num]],8)," not found")),"")</f>
        <v/>
      </c>
      <c r="N38" t="str">
        <f>IF(LEN(H38)&lt;&gt;0,_xlfn.XLOOKUP(H38,[1]!Entities[ID_with_x],[1]!Entities[Name_w_County],_xlfn.CONCAT("Entity ID ",RIGHT(Table3[[#This Row],[Sponsor_1_num]],8)," not found")),"")</f>
        <v/>
      </c>
      <c r="O38" t="str">
        <f>IF(LEN(I38)&lt;&gt;0,_xlfn.XLOOKUP(I38,[1]!Entities[ID_with_x],[1]!Entities[Name_w_County],_xlfn.CONCAT("Entity ID ",RIGHT(Table3[[#This Row],[Sponsor_1_num]],8)," not found")),"")</f>
        <v/>
      </c>
      <c r="P38" t="str">
        <f>IF(LEN(J38)&lt;&gt;0,_xlfn.XLOOKUP(J38,[1]!Entities[ID_with_x],[1]!Entities[Name_w_County],_xlfn.CONCAT("Entity ID ",RIGHT(Table3[[#This Row],[Sponsor_1_num]],8)," not found")),"")</f>
        <v/>
      </c>
      <c r="Q38" t="str">
        <f>IF(LEN(K38)&gt;0,_xlfn.TEXTJOIN(", ",TRUE,K38:P38),Table3[[#This Row],[SPONSOR_LIST]])</f>
        <v>Briscoe County</v>
      </c>
    </row>
    <row r="39" spans="1:17" x14ac:dyDescent="0.25">
      <c r="A39" s="304" t="s">
        <v>1387</v>
      </c>
      <c r="B39" t="s">
        <v>1391</v>
      </c>
      <c r="C39" t="str">
        <f t="shared" si="1"/>
        <v>x01000241</v>
      </c>
      <c r="D39" t="str">
        <f>SUBSTITUTE(SUBSTITUTE(Table3[[#This Row],[Sponsor_list_tranform]],",",",x")," ","")</f>
        <v>x01000241</v>
      </c>
      <c r="E39" t="s">
        <v>11691</v>
      </c>
      <c r="K39" t="str">
        <f>IF(LEN(E39)&lt;&gt;0,_xlfn.XLOOKUP(E39,[1]!Entities[ID_with_x],[1]!Entities[Name_w_County],_xlfn.CONCAT("Entity ID ",RIGHT(Table3[[#This Row],[Sponsor_1_num]],8)," not found")),"")</f>
        <v>Donley County</v>
      </c>
      <c r="L39" t="str">
        <f>IF(LEN(F39)&lt;&gt;0,_xlfn.XLOOKUP(F39,[1]!Entities[ID_with_x],[1]!Entities[Name_w_County],_xlfn.CONCAT("Entity ID ",RIGHT(Table3[[#This Row],[Sponsor_1_num]],8)," not found")),"")</f>
        <v/>
      </c>
      <c r="M39" t="str">
        <f>IF(LEN(G39)&lt;&gt;0,_xlfn.XLOOKUP(G39,[1]!Entities[ID_with_x],[1]!Entities[Name_w_County],_xlfn.CONCAT("Entity ID ",RIGHT(Table3[[#This Row],[Sponsor_1_num]],8)," not found")),"")</f>
        <v/>
      </c>
      <c r="N39" t="str">
        <f>IF(LEN(H39)&lt;&gt;0,_xlfn.XLOOKUP(H39,[1]!Entities[ID_with_x],[1]!Entities[Name_w_County],_xlfn.CONCAT("Entity ID ",RIGHT(Table3[[#This Row],[Sponsor_1_num]],8)," not found")),"")</f>
        <v/>
      </c>
      <c r="O39" t="str">
        <f>IF(LEN(I39)&lt;&gt;0,_xlfn.XLOOKUP(I39,[1]!Entities[ID_with_x],[1]!Entities[Name_w_County],_xlfn.CONCAT("Entity ID ",RIGHT(Table3[[#This Row],[Sponsor_1_num]],8)," not found")),"")</f>
        <v/>
      </c>
      <c r="P39" t="str">
        <f>IF(LEN(J39)&lt;&gt;0,_xlfn.XLOOKUP(J39,[1]!Entities[ID_with_x],[1]!Entities[Name_w_County],_xlfn.CONCAT("Entity ID ",RIGHT(Table3[[#This Row],[Sponsor_1_num]],8)," not found")),"")</f>
        <v/>
      </c>
      <c r="Q39" t="str">
        <f>IF(LEN(K39)&gt;0,_xlfn.TEXTJOIN(", ",TRUE,K39:P39),Table3[[#This Row],[SPONSOR_LIST]])</f>
        <v>Donley County</v>
      </c>
    </row>
    <row r="40" spans="1:17" x14ac:dyDescent="0.25">
      <c r="A40" s="304" t="s">
        <v>1393</v>
      </c>
      <c r="B40" t="s">
        <v>1397</v>
      </c>
      <c r="C40" t="str">
        <f t="shared" si="1"/>
        <v>x01000242</v>
      </c>
      <c r="D40" t="str">
        <f>SUBSTITUTE(SUBSTITUTE(Table3[[#This Row],[Sponsor_list_tranform]],",",",x")," ","")</f>
        <v>x01000242</v>
      </c>
      <c r="E40" t="s">
        <v>11692</v>
      </c>
      <c r="K40" t="str">
        <f>IF(LEN(E40)&lt;&gt;0,_xlfn.XLOOKUP(E40,[1]!Entities[ID_with_x],[1]!Entities[Name_w_County],_xlfn.CONCAT("Entity ID ",RIGHT(Table3[[#This Row],[Sponsor_1_num]],8)," not found")),"")</f>
        <v>Armstrong County</v>
      </c>
      <c r="L40" t="str">
        <f>IF(LEN(F40)&lt;&gt;0,_xlfn.XLOOKUP(F40,[1]!Entities[ID_with_x],[1]!Entities[Name_w_County],_xlfn.CONCAT("Entity ID ",RIGHT(Table3[[#This Row],[Sponsor_1_num]],8)," not found")),"")</f>
        <v/>
      </c>
      <c r="M40" t="str">
        <f>IF(LEN(G40)&lt;&gt;0,_xlfn.XLOOKUP(G40,[1]!Entities[ID_with_x],[1]!Entities[Name_w_County],_xlfn.CONCAT("Entity ID ",RIGHT(Table3[[#This Row],[Sponsor_1_num]],8)," not found")),"")</f>
        <v/>
      </c>
      <c r="N40" t="str">
        <f>IF(LEN(H40)&lt;&gt;0,_xlfn.XLOOKUP(H40,[1]!Entities[ID_with_x],[1]!Entities[Name_w_County],_xlfn.CONCAT("Entity ID ",RIGHT(Table3[[#This Row],[Sponsor_1_num]],8)," not found")),"")</f>
        <v/>
      </c>
      <c r="O40" t="str">
        <f>IF(LEN(I40)&lt;&gt;0,_xlfn.XLOOKUP(I40,[1]!Entities[ID_with_x],[1]!Entities[Name_w_County],_xlfn.CONCAT("Entity ID ",RIGHT(Table3[[#This Row],[Sponsor_1_num]],8)," not found")),"")</f>
        <v/>
      </c>
      <c r="P40" t="str">
        <f>IF(LEN(J40)&lt;&gt;0,_xlfn.XLOOKUP(J40,[1]!Entities[ID_with_x],[1]!Entities[Name_w_County],_xlfn.CONCAT("Entity ID ",RIGHT(Table3[[#This Row],[Sponsor_1_num]],8)," not found")),"")</f>
        <v/>
      </c>
      <c r="Q40" t="str">
        <f>IF(LEN(K40)&gt;0,_xlfn.TEXTJOIN(", ",TRUE,K40:P40),Table3[[#This Row],[SPONSOR_LIST]])</f>
        <v>Armstrong County</v>
      </c>
    </row>
    <row r="41" spans="1:17" x14ac:dyDescent="0.25">
      <c r="A41" s="304" t="s">
        <v>1439</v>
      </c>
      <c r="B41" t="s">
        <v>1444</v>
      </c>
      <c r="C41" t="str">
        <f t="shared" si="1"/>
        <v>x01000244</v>
      </c>
      <c r="D41" t="str">
        <f>SUBSTITUTE(SUBSTITUTE(Table3[[#This Row],[Sponsor_list_tranform]],",",",x")," ","")</f>
        <v>x01000244</v>
      </c>
      <c r="E41" t="s">
        <v>11693</v>
      </c>
      <c r="K41" t="str">
        <f>IF(LEN(E41)&lt;&gt;0,_xlfn.XLOOKUP(E41,[1]!Entities[ID_with_x],[1]!Entities[Name_w_County],_xlfn.CONCAT("Entity ID ",RIGHT(Table3[[#This Row],[Sponsor_1_num]],8)," not found")),"")</f>
        <v>Deaf Smith County</v>
      </c>
      <c r="L41" t="str">
        <f>IF(LEN(F41)&lt;&gt;0,_xlfn.XLOOKUP(F41,[1]!Entities[ID_with_x],[1]!Entities[Name_w_County],_xlfn.CONCAT("Entity ID ",RIGHT(Table3[[#This Row],[Sponsor_1_num]],8)," not found")),"")</f>
        <v/>
      </c>
      <c r="M41" t="str">
        <f>IF(LEN(G41)&lt;&gt;0,_xlfn.XLOOKUP(G41,[1]!Entities[ID_with_x],[1]!Entities[Name_w_County],_xlfn.CONCAT("Entity ID ",RIGHT(Table3[[#This Row],[Sponsor_1_num]],8)," not found")),"")</f>
        <v/>
      </c>
      <c r="N41" t="str">
        <f>IF(LEN(H41)&lt;&gt;0,_xlfn.XLOOKUP(H41,[1]!Entities[ID_with_x],[1]!Entities[Name_w_County],_xlfn.CONCAT("Entity ID ",RIGHT(Table3[[#This Row],[Sponsor_1_num]],8)," not found")),"")</f>
        <v/>
      </c>
      <c r="O41" t="str">
        <f>IF(LEN(I41)&lt;&gt;0,_xlfn.XLOOKUP(I41,[1]!Entities[ID_with_x],[1]!Entities[Name_w_County],_xlfn.CONCAT("Entity ID ",RIGHT(Table3[[#This Row],[Sponsor_1_num]],8)," not found")),"")</f>
        <v/>
      </c>
      <c r="P41" t="str">
        <f>IF(LEN(J41)&lt;&gt;0,_xlfn.XLOOKUP(J41,[1]!Entities[ID_with_x],[1]!Entities[Name_w_County],_xlfn.CONCAT("Entity ID ",RIGHT(Table3[[#This Row],[Sponsor_1_num]],8)," not found")),"")</f>
        <v/>
      </c>
      <c r="Q41" t="str">
        <f>IF(LEN(K41)&gt;0,_xlfn.TEXTJOIN(", ",TRUE,K41:P41),Table3[[#This Row],[SPONSOR_LIST]])</f>
        <v>Deaf Smith County</v>
      </c>
    </row>
    <row r="42" spans="1:17" x14ac:dyDescent="0.25">
      <c r="A42" s="304" t="s">
        <v>1398</v>
      </c>
      <c r="B42" t="s">
        <v>1402</v>
      </c>
      <c r="C42" t="str">
        <f t="shared" si="1"/>
        <v>x01000245</v>
      </c>
      <c r="D42" t="str">
        <f>SUBSTITUTE(SUBSTITUTE(Table3[[#This Row],[Sponsor_list_tranform]],",",",x")," ","")</f>
        <v>x01000245</v>
      </c>
      <c r="E42" t="s">
        <v>11694</v>
      </c>
      <c r="K42" t="str">
        <f>IF(LEN(E42)&lt;&gt;0,_xlfn.XLOOKUP(E42,[1]!Entities[ID_with_x],[1]!Entities[Name_w_County],_xlfn.CONCAT("Entity ID ",RIGHT(Table3[[#This Row],[Sponsor_1_num]],8)," not found")),"")</f>
        <v>Wheeler County</v>
      </c>
      <c r="L42" t="str">
        <f>IF(LEN(F42)&lt;&gt;0,_xlfn.XLOOKUP(F42,[1]!Entities[ID_with_x],[1]!Entities[Name_w_County],_xlfn.CONCAT("Entity ID ",RIGHT(Table3[[#This Row],[Sponsor_1_num]],8)," not found")),"")</f>
        <v/>
      </c>
      <c r="M42" t="str">
        <f>IF(LEN(G42)&lt;&gt;0,_xlfn.XLOOKUP(G42,[1]!Entities[ID_with_x],[1]!Entities[Name_w_County],_xlfn.CONCAT("Entity ID ",RIGHT(Table3[[#This Row],[Sponsor_1_num]],8)," not found")),"")</f>
        <v/>
      </c>
      <c r="N42" t="str">
        <f>IF(LEN(H42)&lt;&gt;0,_xlfn.XLOOKUP(H42,[1]!Entities[ID_with_x],[1]!Entities[Name_w_County],_xlfn.CONCAT("Entity ID ",RIGHT(Table3[[#This Row],[Sponsor_1_num]],8)," not found")),"")</f>
        <v/>
      </c>
      <c r="O42" t="str">
        <f>IF(LEN(I42)&lt;&gt;0,_xlfn.XLOOKUP(I42,[1]!Entities[ID_with_x],[1]!Entities[Name_w_County],_xlfn.CONCAT("Entity ID ",RIGHT(Table3[[#This Row],[Sponsor_1_num]],8)," not found")),"")</f>
        <v/>
      </c>
      <c r="P42" t="str">
        <f>IF(LEN(J42)&lt;&gt;0,_xlfn.XLOOKUP(J42,[1]!Entities[ID_with_x],[1]!Entities[Name_w_County],_xlfn.CONCAT("Entity ID ",RIGHT(Table3[[#This Row],[Sponsor_1_num]],8)," not found")),"")</f>
        <v/>
      </c>
      <c r="Q42" t="str">
        <f>IF(LEN(K42)&gt;0,_xlfn.TEXTJOIN(", ",TRUE,K42:P42),Table3[[#This Row],[SPONSOR_LIST]])</f>
        <v>Wheeler County</v>
      </c>
    </row>
    <row r="43" spans="1:17" x14ac:dyDescent="0.25">
      <c r="A43" s="304" t="s">
        <v>1404</v>
      </c>
      <c r="B43" t="s">
        <v>1408</v>
      </c>
      <c r="C43" t="str">
        <f t="shared" si="1"/>
        <v>x01000247</v>
      </c>
      <c r="D43" t="str">
        <f>SUBSTITUTE(SUBSTITUTE(Table3[[#This Row],[Sponsor_list_tranform]],",",",x")," ","")</f>
        <v>x01000247</v>
      </c>
      <c r="E43" t="s">
        <v>11695</v>
      </c>
      <c r="K43" t="str">
        <f>IF(LEN(E43)&lt;&gt;0,_xlfn.XLOOKUP(E43,[1]!Entities[ID_with_x],[1]!Entities[Name_w_County],_xlfn.CONCAT("Entity ID ",RIGHT(Table3[[#This Row],[Sponsor_1_num]],8)," not found")),"")</f>
        <v>Sherman County</v>
      </c>
      <c r="L43" t="str">
        <f>IF(LEN(F43)&lt;&gt;0,_xlfn.XLOOKUP(F43,[1]!Entities[ID_with_x],[1]!Entities[Name_w_County],_xlfn.CONCAT("Entity ID ",RIGHT(Table3[[#This Row],[Sponsor_1_num]],8)," not found")),"")</f>
        <v/>
      </c>
      <c r="M43" t="str">
        <f>IF(LEN(G43)&lt;&gt;0,_xlfn.XLOOKUP(G43,[1]!Entities[ID_with_x],[1]!Entities[Name_w_County],_xlfn.CONCAT("Entity ID ",RIGHT(Table3[[#This Row],[Sponsor_1_num]],8)," not found")),"")</f>
        <v/>
      </c>
      <c r="N43" t="str">
        <f>IF(LEN(H43)&lt;&gt;0,_xlfn.XLOOKUP(H43,[1]!Entities[ID_with_x],[1]!Entities[Name_w_County],_xlfn.CONCAT("Entity ID ",RIGHT(Table3[[#This Row],[Sponsor_1_num]],8)," not found")),"")</f>
        <v/>
      </c>
      <c r="O43" t="str">
        <f>IF(LEN(I43)&lt;&gt;0,_xlfn.XLOOKUP(I43,[1]!Entities[ID_with_x],[1]!Entities[Name_w_County],_xlfn.CONCAT("Entity ID ",RIGHT(Table3[[#This Row],[Sponsor_1_num]],8)," not found")),"")</f>
        <v/>
      </c>
      <c r="P43" t="str">
        <f>IF(LEN(J43)&lt;&gt;0,_xlfn.XLOOKUP(J43,[1]!Entities[ID_with_x],[1]!Entities[Name_w_County],_xlfn.CONCAT("Entity ID ",RIGHT(Table3[[#This Row],[Sponsor_1_num]],8)," not found")),"")</f>
        <v/>
      </c>
      <c r="Q43" t="str">
        <f>IF(LEN(K43)&gt;0,_xlfn.TEXTJOIN(", ",TRUE,K43:P43),Table3[[#This Row],[SPONSOR_LIST]])</f>
        <v>Sherman County</v>
      </c>
    </row>
    <row r="44" spans="1:17" x14ac:dyDescent="0.25">
      <c r="A44" s="304" t="s">
        <v>1410</v>
      </c>
      <c r="B44" t="s">
        <v>1415</v>
      </c>
      <c r="C44" t="str">
        <f t="shared" si="1"/>
        <v>x01000248</v>
      </c>
      <c r="D44" t="str">
        <f>SUBSTITUTE(SUBSTITUTE(Table3[[#This Row],[Sponsor_list_tranform]],",",",x")," ","")</f>
        <v>x01000248</v>
      </c>
      <c r="E44" t="s">
        <v>11696</v>
      </c>
      <c r="K44" t="str">
        <f>IF(LEN(E44)&lt;&gt;0,_xlfn.XLOOKUP(E44,[1]!Entities[ID_with_x],[1]!Entities[Name_w_County],_xlfn.CONCAT("Entity ID ",RIGHT(Table3[[#This Row],[Sponsor_1_num]],8)," not found")),"")</f>
        <v>Dallam County</v>
      </c>
      <c r="L44" t="str">
        <f>IF(LEN(F44)&lt;&gt;0,_xlfn.XLOOKUP(F44,[1]!Entities[ID_with_x],[1]!Entities[Name_w_County],_xlfn.CONCAT("Entity ID ",RIGHT(Table3[[#This Row],[Sponsor_1_num]],8)," not found")),"")</f>
        <v/>
      </c>
      <c r="M44" t="str">
        <f>IF(LEN(G44)&lt;&gt;0,_xlfn.XLOOKUP(G44,[1]!Entities[ID_with_x],[1]!Entities[Name_w_County],_xlfn.CONCAT("Entity ID ",RIGHT(Table3[[#This Row],[Sponsor_1_num]],8)," not found")),"")</f>
        <v/>
      </c>
      <c r="N44" t="str">
        <f>IF(LEN(H44)&lt;&gt;0,_xlfn.XLOOKUP(H44,[1]!Entities[ID_with_x],[1]!Entities[Name_w_County],_xlfn.CONCAT("Entity ID ",RIGHT(Table3[[#This Row],[Sponsor_1_num]],8)," not found")),"")</f>
        <v/>
      </c>
      <c r="O44" t="str">
        <f>IF(LEN(I44)&lt;&gt;0,_xlfn.XLOOKUP(I44,[1]!Entities[ID_with_x],[1]!Entities[Name_w_County],_xlfn.CONCAT("Entity ID ",RIGHT(Table3[[#This Row],[Sponsor_1_num]],8)," not found")),"")</f>
        <v/>
      </c>
      <c r="P44" t="str">
        <f>IF(LEN(J44)&lt;&gt;0,_xlfn.XLOOKUP(J44,[1]!Entities[ID_with_x],[1]!Entities[Name_w_County],_xlfn.CONCAT("Entity ID ",RIGHT(Table3[[#This Row],[Sponsor_1_num]],8)," not found")),"")</f>
        <v/>
      </c>
      <c r="Q44" t="str">
        <f>IF(LEN(K44)&gt;0,_xlfn.TEXTJOIN(", ",TRUE,K44:P44),Table3[[#This Row],[SPONSOR_LIST]])</f>
        <v>Dallam County</v>
      </c>
    </row>
    <row r="45" spans="1:17" x14ac:dyDescent="0.25">
      <c r="A45" s="304" t="s">
        <v>1417</v>
      </c>
      <c r="B45" t="s">
        <v>1422</v>
      </c>
      <c r="C45" t="str">
        <f t="shared" si="1"/>
        <v>x01000250</v>
      </c>
      <c r="D45" t="str">
        <f>SUBSTITUTE(SUBSTITUTE(Table3[[#This Row],[Sponsor_list_tranform]],",",",x")," ","")</f>
        <v>x01000250</v>
      </c>
      <c r="E45" t="s">
        <v>11697</v>
      </c>
      <c r="K45" t="str">
        <f>IF(LEN(E45)&lt;&gt;0,_xlfn.XLOOKUP(E45,[1]!Entities[ID_with_x],[1]!Entities[Name_w_County],_xlfn.CONCAT("Entity ID ",RIGHT(Table3[[#This Row],[Sponsor_1_num]],8)," not found")),"")</f>
        <v>Lipscomb County</v>
      </c>
      <c r="L45" t="str">
        <f>IF(LEN(F45)&lt;&gt;0,_xlfn.XLOOKUP(F45,[1]!Entities[ID_with_x],[1]!Entities[Name_w_County],_xlfn.CONCAT("Entity ID ",RIGHT(Table3[[#This Row],[Sponsor_1_num]],8)," not found")),"")</f>
        <v/>
      </c>
      <c r="M45" t="str">
        <f>IF(LEN(G45)&lt;&gt;0,_xlfn.XLOOKUP(G45,[1]!Entities[ID_with_x],[1]!Entities[Name_w_County],_xlfn.CONCAT("Entity ID ",RIGHT(Table3[[#This Row],[Sponsor_1_num]],8)," not found")),"")</f>
        <v/>
      </c>
      <c r="N45" t="str">
        <f>IF(LEN(H45)&lt;&gt;0,_xlfn.XLOOKUP(H45,[1]!Entities[ID_with_x],[1]!Entities[Name_w_County],_xlfn.CONCAT("Entity ID ",RIGHT(Table3[[#This Row],[Sponsor_1_num]],8)," not found")),"")</f>
        <v/>
      </c>
      <c r="O45" t="str">
        <f>IF(LEN(I45)&lt;&gt;0,_xlfn.XLOOKUP(I45,[1]!Entities[ID_with_x],[1]!Entities[Name_w_County],_xlfn.CONCAT("Entity ID ",RIGHT(Table3[[#This Row],[Sponsor_1_num]],8)," not found")),"")</f>
        <v/>
      </c>
      <c r="P45" t="str">
        <f>IF(LEN(J45)&lt;&gt;0,_xlfn.XLOOKUP(J45,[1]!Entities[ID_with_x],[1]!Entities[Name_w_County],_xlfn.CONCAT("Entity ID ",RIGHT(Table3[[#This Row],[Sponsor_1_num]],8)," not found")),"")</f>
        <v/>
      </c>
      <c r="Q45" t="str">
        <f>IF(LEN(K45)&gt;0,_xlfn.TEXTJOIN(", ",TRUE,K45:P45),Table3[[#This Row],[SPONSOR_LIST]])</f>
        <v>Lipscomb County</v>
      </c>
    </row>
    <row r="46" spans="1:17" x14ac:dyDescent="0.25">
      <c r="A46" s="304" t="s">
        <v>1424</v>
      </c>
      <c r="B46" t="s">
        <v>1428</v>
      </c>
      <c r="C46" t="str">
        <f t="shared" si="1"/>
        <v>x01000251</v>
      </c>
      <c r="D46" t="str">
        <f>SUBSTITUTE(SUBSTITUTE(Table3[[#This Row],[Sponsor_list_tranform]],",",",x")," ","")</f>
        <v>x01000251</v>
      </c>
      <c r="E46" t="s">
        <v>11698</v>
      </c>
      <c r="K46" t="str">
        <f>IF(LEN(E46)&lt;&gt;0,_xlfn.XLOOKUP(E46,[1]!Entities[ID_with_x],[1]!Entities[Name_w_County],_xlfn.CONCAT("Entity ID ",RIGHT(Table3[[#This Row],[Sponsor_1_num]],8)," not found")),"")</f>
        <v>Ochiltree County</v>
      </c>
      <c r="L46" t="str">
        <f>IF(LEN(F46)&lt;&gt;0,_xlfn.XLOOKUP(F46,[1]!Entities[ID_with_x],[1]!Entities[Name_w_County],_xlfn.CONCAT("Entity ID ",RIGHT(Table3[[#This Row],[Sponsor_1_num]],8)," not found")),"")</f>
        <v/>
      </c>
      <c r="M46" t="str">
        <f>IF(LEN(G46)&lt;&gt;0,_xlfn.XLOOKUP(G46,[1]!Entities[ID_with_x],[1]!Entities[Name_w_County],_xlfn.CONCAT("Entity ID ",RIGHT(Table3[[#This Row],[Sponsor_1_num]],8)," not found")),"")</f>
        <v/>
      </c>
      <c r="N46" t="str">
        <f>IF(LEN(H46)&lt;&gt;0,_xlfn.XLOOKUP(H46,[1]!Entities[ID_with_x],[1]!Entities[Name_w_County],_xlfn.CONCAT("Entity ID ",RIGHT(Table3[[#This Row],[Sponsor_1_num]],8)," not found")),"")</f>
        <v/>
      </c>
      <c r="O46" t="str">
        <f>IF(LEN(I46)&lt;&gt;0,_xlfn.XLOOKUP(I46,[1]!Entities[ID_with_x],[1]!Entities[Name_w_County],_xlfn.CONCAT("Entity ID ",RIGHT(Table3[[#This Row],[Sponsor_1_num]],8)," not found")),"")</f>
        <v/>
      </c>
      <c r="P46" t="str">
        <f>IF(LEN(J46)&lt;&gt;0,_xlfn.XLOOKUP(J46,[1]!Entities[ID_with_x],[1]!Entities[Name_w_County],_xlfn.CONCAT("Entity ID ",RIGHT(Table3[[#This Row],[Sponsor_1_num]],8)," not found")),"")</f>
        <v/>
      </c>
      <c r="Q46" t="str">
        <f>IF(LEN(K46)&gt;0,_xlfn.TEXTJOIN(", ",TRUE,K46:P46),Table3[[#This Row],[SPONSOR_LIST]])</f>
        <v>Ochiltree County</v>
      </c>
    </row>
    <row r="47" spans="1:17" x14ac:dyDescent="0.25">
      <c r="A47" s="304" t="s">
        <v>1446</v>
      </c>
      <c r="B47" t="s">
        <v>1450</v>
      </c>
      <c r="C47" t="str">
        <f t="shared" si="1"/>
        <v>x00000271</v>
      </c>
      <c r="D47" t="str">
        <f>SUBSTITUTE(SUBSTITUTE(Table3[[#This Row],[Sponsor_list_tranform]],",",",x")," ","")</f>
        <v>x00000271</v>
      </c>
      <c r="E47" t="s">
        <v>11702</v>
      </c>
      <c r="K47" t="str">
        <f>IF(LEN(E47)&lt;&gt;0,_xlfn.XLOOKUP(E47,[1]!Entities[ID_with_x],[1]!Entities[Name_w_County],_xlfn.CONCAT("Entity ID ",RIGHT(Table3[[#This Row],[Sponsor_1_num]],8)," not found")),"")</f>
        <v>Panhandle Regional Planning Commission</v>
      </c>
      <c r="L47" t="str">
        <f>IF(LEN(F47)&lt;&gt;0,_xlfn.XLOOKUP(F47,[1]!Entities[ID_with_x],[1]!Entities[Name_w_County],_xlfn.CONCAT("Entity ID ",RIGHT(Table3[[#This Row],[Sponsor_1_num]],8)," not found")),"")</f>
        <v/>
      </c>
      <c r="M47" t="str">
        <f>IF(LEN(G47)&lt;&gt;0,_xlfn.XLOOKUP(G47,[1]!Entities[ID_with_x],[1]!Entities[Name_w_County],_xlfn.CONCAT("Entity ID ",RIGHT(Table3[[#This Row],[Sponsor_1_num]],8)," not found")),"")</f>
        <v/>
      </c>
      <c r="N47" t="str">
        <f>IF(LEN(H47)&lt;&gt;0,_xlfn.XLOOKUP(H47,[1]!Entities[ID_with_x],[1]!Entities[Name_w_County],_xlfn.CONCAT("Entity ID ",RIGHT(Table3[[#This Row],[Sponsor_1_num]],8)," not found")),"")</f>
        <v/>
      </c>
      <c r="O47" t="str">
        <f>IF(LEN(I47)&lt;&gt;0,_xlfn.XLOOKUP(I47,[1]!Entities[ID_with_x],[1]!Entities[Name_w_County],_xlfn.CONCAT("Entity ID ",RIGHT(Table3[[#This Row],[Sponsor_1_num]],8)," not found")),"")</f>
        <v/>
      </c>
      <c r="P47" t="str">
        <f>IF(LEN(J47)&lt;&gt;0,_xlfn.XLOOKUP(J47,[1]!Entities[ID_with_x],[1]!Entities[Name_w_County],_xlfn.CONCAT("Entity ID ",RIGHT(Table3[[#This Row],[Sponsor_1_num]],8)," not found")),"")</f>
        <v/>
      </c>
      <c r="Q47" t="str">
        <f>IF(LEN(K47)&gt;0,_xlfn.TEXTJOIN(", ",TRUE,K47:P47),Table3[[#This Row],[SPONSOR_LIST]])</f>
        <v>Panhandle Regional Planning Commission</v>
      </c>
    </row>
    <row r="48" spans="1:17" x14ac:dyDescent="0.25">
      <c r="A48" s="304" t="s">
        <v>1451</v>
      </c>
      <c r="B48" t="s">
        <v>1450</v>
      </c>
      <c r="C48" t="str">
        <f t="shared" si="1"/>
        <v>x00000271</v>
      </c>
      <c r="D48" t="str">
        <f>SUBSTITUTE(SUBSTITUTE(Table3[[#This Row],[Sponsor_list_tranform]],",",",x")," ","")</f>
        <v>x00000271</v>
      </c>
      <c r="E48" t="s">
        <v>11702</v>
      </c>
      <c r="K48" t="str">
        <f>IF(LEN(E48)&lt;&gt;0,_xlfn.XLOOKUP(E48,[1]!Entities[ID_with_x],[1]!Entities[Name_w_County],_xlfn.CONCAT("Entity ID ",RIGHT(Table3[[#This Row],[Sponsor_1_num]],8)," not found")),"")</f>
        <v>Panhandle Regional Planning Commission</v>
      </c>
      <c r="L48" t="str">
        <f>IF(LEN(F48)&lt;&gt;0,_xlfn.XLOOKUP(F48,[1]!Entities[ID_with_x],[1]!Entities[Name_w_County],_xlfn.CONCAT("Entity ID ",RIGHT(Table3[[#This Row],[Sponsor_1_num]],8)," not found")),"")</f>
        <v/>
      </c>
      <c r="M48" t="str">
        <f>IF(LEN(G48)&lt;&gt;0,_xlfn.XLOOKUP(G48,[1]!Entities[ID_with_x],[1]!Entities[Name_w_County],_xlfn.CONCAT("Entity ID ",RIGHT(Table3[[#This Row],[Sponsor_1_num]],8)," not found")),"")</f>
        <v/>
      </c>
      <c r="N48" t="str">
        <f>IF(LEN(H48)&lt;&gt;0,_xlfn.XLOOKUP(H48,[1]!Entities[ID_with_x],[1]!Entities[Name_w_County],_xlfn.CONCAT("Entity ID ",RIGHT(Table3[[#This Row],[Sponsor_1_num]],8)," not found")),"")</f>
        <v/>
      </c>
      <c r="O48" t="str">
        <f>IF(LEN(I48)&lt;&gt;0,_xlfn.XLOOKUP(I48,[1]!Entities[ID_with_x],[1]!Entities[Name_w_County],_xlfn.CONCAT("Entity ID ",RIGHT(Table3[[#This Row],[Sponsor_1_num]],8)," not found")),"")</f>
        <v/>
      </c>
      <c r="P48" t="str">
        <f>IF(LEN(J48)&lt;&gt;0,_xlfn.XLOOKUP(J48,[1]!Entities[ID_with_x],[1]!Entities[Name_w_County],_xlfn.CONCAT("Entity ID ",RIGHT(Table3[[#This Row],[Sponsor_1_num]],8)," not found")),"")</f>
        <v/>
      </c>
      <c r="Q48" t="str">
        <f>IF(LEN(K48)&gt;0,_xlfn.TEXTJOIN(", ",TRUE,K48:P48),Table3[[#This Row],[SPONSOR_LIST]])</f>
        <v>Panhandle Regional Planning Commission</v>
      </c>
    </row>
    <row r="49" spans="1:17" x14ac:dyDescent="0.25">
      <c r="A49" s="304" t="s">
        <v>1484</v>
      </c>
      <c r="B49" t="s">
        <v>1492</v>
      </c>
      <c r="C49" t="str">
        <f t="shared" si="1"/>
        <v>x01002770,  01000243</v>
      </c>
      <c r="D49" t="str">
        <f>SUBSTITUTE(SUBSTITUTE(Table3[[#This Row],[Sponsor_list_tranform]],",",",x")," ","")</f>
        <v>x01002770,x01000243</v>
      </c>
      <c r="E49" t="s">
        <v>11699</v>
      </c>
      <c r="F49" t="s">
        <v>11608</v>
      </c>
      <c r="K49" t="str">
        <f>IF(LEN(E49)&lt;&gt;0,_xlfn.XLOOKUP(E49,[1]!Entities[ID_with_x],[1]!Entities[Name_w_County],_xlfn.CONCAT("Entity ID ",RIGHT(Table3[[#This Row],[Sponsor_1_num]],8)," not found")),"")</f>
        <v>Amarillo</v>
      </c>
      <c r="L49" t="str">
        <f>IF(LEN(F49)&lt;&gt;0,_xlfn.XLOOKUP(F49,[1]!Entities[ID_with_x],[1]!Entities[Name_w_County],_xlfn.CONCAT("Entity ID ",RIGHT(Table3[[#This Row],[Sponsor_1_num]],8)," not found")),"")</f>
        <v>Randall County</v>
      </c>
      <c r="M49" t="str">
        <f>IF(LEN(G49)&lt;&gt;0,_xlfn.XLOOKUP(G49,[1]!Entities[ID_with_x],[1]!Entities[Name_w_County],_xlfn.CONCAT("Entity ID ",RIGHT(Table3[[#This Row],[Sponsor_1_num]],8)," not found")),"")</f>
        <v/>
      </c>
      <c r="N49" t="str">
        <f>IF(LEN(H49)&lt;&gt;0,_xlfn.XLOOKUP(H49,[1]!Entities[ID_with_x],[1]!Entities[Name_w_County],_xlfn.CONCAT("Entity ID ",RIGHT(Table3[[#This Row],[Sponsor_1_num]],8)," not found")),"")</f>
        <v/>
      </c>
      <c r="O49" t="str">
        <f>IF(LEN(I49)&lt;&gt;0,_xlfn.XLOOKUP(I49,[1]!Entities[ID_with_x],[1]!Entities[Name_w_County],_xlfn.CONCAT("Entity ID ",RIGHT(Table3[[#This Row],[Sponsor_1_num]],8)," not found")),"")</f>
        <v/>
      </c>
      <c r="P49" t="str">
        <f>IF(LEN(J49)&lt;&gt;0,_xlfn.XLOOKUP(J49,[1]!Entities[ID_with_x],[1]!Entities[Name_w_County],_xlfn.CONCAT("Entity ID ",RIGHT(Table3[[#This Row],[Sponsor_1_num]],8)," not found")),"")</f>
        <v/>
      </c>
      <c r="Q49" t="str">
        <f>IF(LEN(K49)&gt;0,_xlfn.TEXTJOIN(", ",TRUE,K49:P49),Table3[[#This Row],[SPONSOR_LIST]])</f>
        <v>Amarillo, Randall County</v>
      </c>
    </row>
    <row r="50" spans="1:17" x14ac:dyDescent="0.25">
      <c r="A50" s="304" t="s">
        <v>1495</v>
      </c>
      <c r="B50" t="s">
        <v>1492</v>
      </c>
      <c r="C50" t="str">
        <f t="shared" si="1"/>
        <v>x01002770,  01000243</v>
      </c>
      <c r="D50" t="str">
        <f>SUBSTITUTE(SUBSTITUTE(Table3[[#This Row],[Sponsor_list_tranform]],",",",x")," ","")</f>
        <v>x01002770,x01000243</v>
      </c>
      <c r="E50" t="s">
        <v>11699</v>
      </c>
      <c r="F50" t="s">
        <v>11608</v>
      </c>
      <c r="K50" t="str">
        <f>IF(LEN(E50)&lt;&gt;0,_xlfn.XLOOKUP(E50,[1]!Entities[ID_with_x],[1]!Entities[Name_w_County],_xlfn.CONCAT("Entity ID ",RIGHT(Table3[[#This Row],[Sponsor_1_num]],8)," not found")),"")</f>
        <v>Amarillo</v>
      </c>
      <c r="L50" t="str">
        <f>IF(LEN(F50)&lt;&gt;0,_xlfn.XLOOKUP(F50,[1]!Entities[ID_with_x],[1]!Entities[Name_w_County],_xlfn.CONCAT("Entity ID ",RIGHT(Table3[[#This Row],[Sponsor_1_num]],8)," not found")),"")</f>
        <v>Randall County</v>
      </c>
      <c r="M50" t="str">
        <f>IF(LEN(G50)&lt;&gt;0,_xlfn.XLOOKUP(G50,[1]!Entities[ID_with_x],[1]!Entities[Name_w_County],_xlfn.CONCAT("Entity ID ",RIGHT(Table3[[#This Row],[Sponsor_1_num]],8)," not found")),"")</f>
        <v/>
      </c>
      <c r="N50" t="str">
        <f>IF(LEN(H50)&lt;&gt;0,_xlfn.XLOOKUP(H50,[1]!Entities[ID_with_x],[1]!Entities[Name_w_County],_xlfn.CONCAT("Entity ID ",RIGHT(Table3[[#This Row],[Sponsor_1_num]],8)," not found")),"")</f>
        <v/>
      </c>
      <c r="O50" t="str">
        <f>IF(LEN(I50)&lt;&gt;0,_xlfn.XLOOKUP(I50,[1]!Entities[ID_with_x],[1]!Entities[Name_w_County],_xlfn.CONCAT("Entity ID ",RIGHT(Table3[[#This Row],[Sponsor_1_num]],8)," not found")),"")</f>
        <v/>
      </c>
      <c r="P50" t="str">
        <f>IF(LEN(J50)&lt;&gt;0,_xlfn.XLOOKUP(J50,[1]!Entities[ID_with_x],[1]!Entities[Name_w_County],_xlfn.CONCAT("Entity ID ",RIGHT(Table3[[#This Row],[Sponsor_1_num]],8)," not found")),"")</f>
        <v/>
      </c>
      <c r="Q50" t="str">
        <f>IF(LEN(K50)&gt;0,_xlfn.TEXTJOIN(", ",TRUE,K50:P50),Table3[[#This Row],[SPONSOR_LIST]])</f>
        <v>Amarillo, Randall County</v>
      </c>
    </row>
    <row r="51" spans="1:17" x14ac:dyDescent="0.25">
      <c r="A51" s="304" t="s">
        <v>1499</v>
      </c>
      <c r="B51" t="s">
        <v>1492</v>
      </c>
      <c r="C51" t="str">
        <f t="shared" si="1"/>
        <v>x01002770,  01000243</v>
      </c>
      <c r="D51" t="str">
        <f>SUBSTITUTE(SUBSTITUTE(Table3[[#This Row],[Sponsor_list_tranform]],",",",x")," ","")</f>
        <v>x01002770,x01000243</v>
      </c>
      <c r="E51" t="s">
        <v>11699</v>
      </c>
      <c r="F51" t="s">
        <v>11608</v>
      </c>
      <c r="K51" t="str">
        <f>IF(LEN(E51)&lt;&gt;0,_xlfn.XLOOKUP(E51,[1]!Entities[ID_with_x],[1]!Entities[Name_w_County],_xlfn.CONCAT("Entity ID ",RIGHT(Table3[[#This Row],[Sponsor_1_num]],8)," not found")),"")</f>
        <v>Amarillo</v>
      </c>
      <c r="L51" t="str">
        <f>IF(LEN(F51)&lt;&gt;0,_xlfn.XLOOKUP(F51,[1]!Entities[ID_with_x],[1]!Entities[Name_w_County],_xlfn.CONCAT("Entity ID ",RIGHT(Table3[[#This Row],[Sponsor_1_num]],8)," not found")),"")</f>
        <v>Randall County</v>
      </c>
      <c r="M51" t="str">
        <f>IF(LEN(G51)&lt;&gt;0,_xlfn.XLOOKUP(G51,[1]!Entities[ID_with_x],[1]!Entities[Name_w_County],_xlfn.CONCAT("Entity ID ",RIGHT(Table3[[#This Row],[Sponsor_1_num]],8)," not found")),"")</f>
        <v/>
      </c>
      <c r="N51" t="str">
        <f>IF(LEN(H51)&lt;&gt;0,_xlfn.XLOOKUP(H51,[1]!Entities[ID_with_x],[1]!Entities[Name_w_County],_xlfn.CONCAT("Entity ID ",RIGHT(Table3[[#This Row],[Sponsor_1_num]],8)," not found")),"")</f>
        <v/>
      </c>
      <c r="O51" t="str">
        <f>IF(LEN(I51)&lt;&gt;0,_xlfn.XLOOKUP(I51,[1]!Entities[ID_with_x],[1]!Entities[Name_w_County],_xlfn.CONCAT("Entity ID ",RIGHT(Table3[[#This Row],[Sponsor_1_num]],8)," not found")),"")</f>
        <v/>
      </c>
      <c r="P51" t="str">
        <f>IF(LEN(J51)&lt;&gt;0,_xlfn.XLOOKUP(J51,[1]!Entities[ID_with_x],[1]!Entities[Name_w_County],_xlfn.CONCAT("Entity ID ",RIGHT(Table3[[#This Row],[Sponsor_1_num]],8)," not found")),"")</f>
        <v/>
      </c>
      <c r="Q51" t="str">
        <f>IF(LEN(K51)&gt;0,_xlfn.TEXTJOIN(", ",TRUE,K51:P51),Table3[[#This Row],[SPONSOR_LIST]])</f>
        <v>Amarillo, Randall County</v>
      </c>
    </row>
    <row r="52" spans="1:17" x14ac:dyDescent="0.25">
      <c r="A52" s="304" t="s">
        <v>1503</v>
      </c>
      <c r="B52" t="s">
        <v>1492</v>
      </c>
      <c r="C52" t="str">
        <f t="shared" si="1"/>
        <v>x01002770,  01000243</v>
      </c>
      <c r="D52" t="str">
        <f>SUBSTITUTE(SUBSTITUTE(Table3[[#This Row],[Sponsor_list_tranform]],",",",x")," ","")</f>
        <v>x01002770,x01000243</v>
      </c>
      <c r="E52" t="s">
        <v>11699</v>
      </c>
      <c r="F52" t="s">
        <v>11608</v>
      </c>
      <c r="K52" t="str">
        <f>IF(LEN(E52)&lt;&gt;0,_xlfn.XLOOKUP(E52,[1]!Entities[ID_with_x],[1]!Entities[Name_w_County],_xlfn.CONCAT("Entity ID ",RIGHT(Table3[[#This Row],[Sponsor_1_num]],8)," not found")),"")</f>
        <v>Amarillo</v>
      </c>
      <c r="L52" t="str">
        <f>IF(LEN(F52)&lt;&gt;0,_xlfn.XLOOKUP(F52,[1]!Entities[ID_with_x],[1]!Entities[Name_w_County],_xlfn.CONCAT("Entity ID ",RIGHT(Table3[[#This Row],[Sponsor_1_num]],8)," not found")),"")</f>
        <v>Randall County</v>
      </c>
      <c r="M52" t="str">
        <f>IF(LEN(G52)&lt;&gt;0,_xlfn.XLOOKUP(G52,[1]!Entities[ID_with_x],[1]!Entities[Name_w_County],_xlfn.CONCAT("Entity ID ",RIGHT(Table3[[#This Row],[Sponsor_1_num]],8)," not found")),"")</f>
        <v/>
      </c>
      <c r="N52" t="str">
        <f>IF(LEN(H52)&lt;&gt;0,_xlfn.XLOOKUP(H52,[1]!Entities[ID_with_x],[1]!Entities[Name_w_County],_xlfn.CONCAT("Entity ID ",RIGHT(Table3[[#This Row],[Sponsor_1_num]],8)," not found")),"")</f>
        <v/>
      </c>
      <c r="O52" t="str">
        <f>IF(LEN(I52)&lt;&gt;0,_xlfn.XLOOKUP(I52,[1]!Entities[ID_with_x],[1]!Entities[Name_w_County],_xlfn.CONCAT("Entity ID ",RIGHT(Table3[[#This Row],[Sponsor_1_num]],8)," not found")),"")</f>
        <v/>
      </c>
      <c r="P52" t="str">
        <f>IF(LEN(J52)&lt;&gt;0,_xlfn.XLOOKUP(J52,[1]!Entities[ID_with_x],[1]!Entities[Name_w_County],_xlfn.CONCAT("Entity ID ",RIGHT(Table3[[#This Row],[Sponsor_1_num]],8)," not found")),"")</f>
        <v/>
      </c>
      <c r="Q52" t="str">
        <f>IF(LEN(K52)&gt;0,_xlfn.TEXTJOIN(", ",TRUE,K52:P52),Table3[[#This Row],[SPONSOR_LIST]])</f>
        <v>Amarillo, Randall County</v>
      </c>
    </row>
    <row r="53" spans="1:17" x14ac:dyDescent="0.25">
      <c r="A53" s="304" t="s">
        <v>1454</v>
      </c>
      <c r="B53" t="s">
        <v>1463</v>
      </c>
      <c r="C53" t="str">
        <f t="shared" si="1"/>
        <v>x01003426,  01000243</v>
      </c>
      <c r="D53" t="str">
        <f>SUBSTITUTE(SUBSTITUTE(Table3[[#This Row],[Sponsor_list_tranform]],",",",x")," ","")</f>
        <v>x01003426,x01000243</v>
      </c>
      <c r="E53" t="s">
        <v>11607</v>
      </c>
      <c r="F53" t="s">
        <v>11608</v>
      </c>
      <c r="K53" t="str">
        <f>IF(LEN(E53)&lt;&gt;0,_xlfn.XLOOKUP(E53,[1]!Entities[ID_with_x],[1]!Entities[Name_w_County],_xlfn.CONCAT("Entity ID ",RIGHT(Table3[[#This Row],[Sponsor_1_num]],8)," not found")),"")</f>
        <v>Canyon</v>
      </c>
      <c r="L53" t="str">
        <f>IF(LEN(F53)&lt;&gt;0,_xlfn.XLOOKUP(F53,[1]!Entities[ID_with_x],[1]!Entities[Name_w_County],_xlfn.CONCAT("Entity ID ",RIGHT(Table3[[#This Row],[Sponsor_1_num]],8)," not found")),"")</f>
        <v>Randall County</v>
      </c>
      <c r="M53" t="str">
        <f>IF(LEN(G53)&lt;&gt;0,_xlfn.XLOOKUP(G53,[1]!Entities[ID_with_x],[1]!Entities[Name_w_County],_xlfn.CONCAT("Entity ID ",RIGHT(Table3[[#This Row],[Sponsor_1_num]],8)," not found")),"")</f>
        <v/>
      </c>
      <c r="N53" t="str">
        <f>IF(LEN(H53)&lt;&gt;0,_xlfn.XLOOKUP(H53,[1]!Entities[ID_with_x],[1]!Entities[Name_w_County],_xlfn.CONCAT("Entity ID ",RIGHT(Table3[[#This Row],[Sponsor_1_num]],8)," not found")),"")</f>
        <v/>
      </c>
      <c r="O53" t="str">
        <f>IF(LEN(I53)&lt;&gt;0,_xlfn.XLOOKUP(I53,[1]!Entities[ID_with_x],[1]!Entities[Name_w_County],_xlfn.CONCAT("Entity ID ",RIGHT(Table3[[#This Row],[Sponsor_1_num]],8)," not found")),"")</f>
        <v/>
      </c>
      <c r="P53" t="str">
        <f>IF(LEN(J53)&lt;&gt;0,_xlfn.XLOOKUP(J53,[1]!Entities[ID_with_x],[1]!Entities[Name_w_County],_xlfn.CONCAT("Entity ID ",RIGHT(Table3[[#This Row],[Sponsor_1_num]],8)," not found")),"")</f>
        <v/>
      </c>
      <c r="Q53" t="str">
        <f>IF(LEN(K53)&gt;0,_xlfn.TEXTJOIN(", ",TRUE,K53:P53),Table3[[#This Row],[SPONSOR_LIST]])</f>
        <v>Canyon, Randall County</v>
      </c>
    </row>
    <row r="54" spans="1:17" x14ac:dyDescent="0.25">
      <c r="A54" s="304" t="s">
        <v>1465</v>
      </c>
      <c r="B54" t="s">
        <v>1463</v>
      </c>
      <c r="C54" t="str">
        <f t="shared" si="1"/>
        <v>x01003426,  01000243</v>
      </c>
      <c r="D54" t="str">
        <f>SUBSTITUTE(SUBSTITUTE(Table3[[#This Row],[Sponsor_list_tranform]],",",",x")," ","")</f>
        <v>x01003426,x01000243</v>
      </c>
      <c r="E54" t="s">
        <v>11607</v>
      </c>
      <c r="F54" t="s">
        <v>11608</v>
      </c>
      <c r="K54" t="str">
        <f>IF(LEN(E54)&lt;&gt;0,_xlfn.XLOOKUP(E54,[1]!Entities[ID_with_x],[1]!Entities[Name_w_County],_xlfn.CONCAT("Entity ID ",RIGHT(Table3[[#This Row],[Sponsor_1_num]],8)," not found")),"")</f>
        <v>Canyon</v>
      </c>
      <c r="L54" t="str">
        <f>IF(LEN(F54)&lt;&gt;0,_xlfn.XLOOKUP(F54,[1]!Entities[ID_with_x],[1]!Entities[Name_w_County],_xlfn.CONCAT("Entity ID ",RIGHT(Table3[[#This Row],[Sponsor_1_num]],8)," not found")),"")</f>
        <v>Randall County</v>
      </c>
      <c r="M54" t="str">
        <f>IF(LEN(G54)&lt;&gt;0,_xlfn.XLOOKUP(G54,[1]!Entities[ID_with_x],[1]!Entities[Name_w_County],_xlfn.CONCAT("Entity ID ",RIGHT(Table3[[#This Row],[Sponsor_1_num]],8)," not found")),"")</f>
        <v/>
      </c>
      <c r="N54" t="str">
        <f>IF(LEN(H54)&lt;&gt;0,_xlfn.XLOOKUP(H54,[1]!Entities[ID_with_x],[1]!Entities[Name_w_County],_xlfn.CONCAT("Entity ID ",RIGHT(Table3[[#This Row],[Sponsor_1_num]],8)," not found")),"")</f>
        <v/>
      </c>
      <c r="O54" t="str">
        <f>IF(LEN(I54)&lt;&gt;0,_xlfn.XLOOKUP(I54,[1]!Entities[ID_with_x],[1]!Entities[Name_w_County],_xlfn.CONCAT("Entity ID ",RIGHT(Table3[[#This Row],[Sponsor_1_num]],8)," not found")),"")</f>
        <v/>
      </c>
      <c r="P54" t="str">
        <f>IF(LEN(J54)&lt;&gt;0,_xlfn.XLOOKUP(J54,[1]!Entities[ID_with_x],[1]!Entities[Name_w_County],_xlfn.CONCAT("Entity ID ",RIGHT(Table3[[#This Row],[Sponsor_1_num]],8)," not found")),"")</f>
        <v/>
      </c>
      <c r="Q54" t="str">
        <f>IF(LEN(K54)&gt;0,_xlfn.TEXTJOIN(", ",TRUE,K54:P54),Table3[[#This Row],[SPONSOR_LIST]])</f>
        <v>Canyon, Randall County</v>
      </c>
    </row>
    <row r="55" spans="1:17" x14ac:dyDescent="0.25">
      <c r="A55" s="304" t="s">
        <v>1469</v>
      </c>
      <c r="B55" t="s">
        <v>1463</v>
      </c>
      <c r="C55" t="str">
        <f t="shared" si="1"/>
        <v>x01003426,  01000243</v>
      </c>
      <c r="D55" t="str">
        <f>SUBSTITUTE(SUBSTITUTE(Table3[[#This Row],[Sponsor_list_tranform]],",",",x")," ","")</f>
        <v>x01003426,x01000243</v>
      </c>
      <c r="E55" t="s">
        <v>11607</v>
      </c>
      <c r="F55" t="s">
        <v>11608</v>
      </c>
      <c r="K55" t="str">
        <f>IF(LEN(E55)&lt;&gt;0,_xlfn.XLOOKUP(E55,[1]!Entities[ID_with_x],[1]!Entities[Name_w_County],_xlfn.CONCAT("Entity ID ",RIGHT(Table3[[#This Row],[Sponsor_1_num]],8)," not found")),"")</f>
        <v>Canyon</v>
      </c>
      <c r="L55" t="str">
        <f>IF(LEN(F55)&lt;&gt;0,_xlfn.XLOOKUP(F55,[1]!Entities[ID_with_x],[1]!Entities[Name_w_County],_xlfn.CONCAT("Entity ID ",RIGHT(Table3[[#This Row],[Sponsor_1_num]],8)," not found")),"")</f>
        <v>Randall County</v>
      </c>
      <c r="M55" t="str">
        <f>IF(LEN(G55)&lt;&gt;0,_xlfn.XLOOKUP(G55,[1]!Entities[ID_with_x],[1]!Entities[Name_w_County],_xlfn.CONCAT("Entity ID ",RIGHT(Table3[[#This Row],[Sponsor_1_num]],8)," not found")),"")</f>
        <v/>
      </c>
      <c r="N55" t="str">
        <f>IF(LEN(H55)&lt;&gt;0,_xlfn.XLOOKUP(H55,[1]!Entities[ID_with_x],[1]!Entities[Name_w_County],_xlfn.CONCAT("Entity ID ",RIGHT(Table3[[#This Row],[Sponsor_1_num]],8)," not found")),"")</f>
        <v/>
      </c>
      <c r="O55" t="str">
        <f>IF(LEN(I55)&lt;&gt;0,_xlfn.XLOOKUP(I55,[1]!Entities[ID_with_x],[1]!Entities[Name_w_County],_xlfn.CONCAT("Entity ID ",RIGHT(Table3[[#This Row],[Sponsor_1_num]],8)," not found")),"")</f>
        <v/>
      </c>
      <c r="P55" t="str">
        <f>IF(LEN(J55)&lt;&gt;0,_xlfn.XLOOKUP(J55,[1]!Entities[ID_with_x],[1]!Entities[Name_w_County],_xlfn.CONCAT("Entity ID ",RIGHT(Table3[[#This Row],[Sponsor_1_num]],8)," not found")),"")</f>
        <v/>
      </c>
      <c r="Q55" t="str">
        <f>IF(LEN(K55)&gt;0,_xlfn.TEXTJOIN(", ",TRUE,K55:P55),Table3[[#This Row],[SPONSOR_LIST]])</f>
        <v>Canyon, Randall County</v>
      </c>
    </row>
    <row r="56" spans="1:17" x14ac:dyDescent="0.25">
      <c r="A56" s="304" t="s">
        <v>1472</v>
      </c>
      <c r="B56" t="s">
        <v>1463</v>
      </c>
      <c r="C56" t="str">
        <f t="shared" si="1"/>
        <v>x01003426,  01000243</v>
      </c>
      <c r="D56" t="str">
        <f>SUBSTITUTE(SUBSTITUTE(Table3[[#This Row],[Sponsor_list_tranform]],",",",x")," ","")</f>
        <v>x01003426,x01000243</v>
      </c>
      <c r="E56" t="s">
        <v>11607</v>
      </c>
      <c r="F56" t="s">
        <v>11608</v>
      </c>
      <c r="K56" t="str">
        <f>IF(LEN(E56)&lt;&gt;0,_xlfn.XLOOKUP(E56,[1]!Entities[ID_with_x],[1]!Entities[Name_w_County],_xlfn.CONCAT("Entity ID ",RIGHT(Table3[[#This Row],[Sponsor_1_num]],8)," not found")),"")</f>
        <v>Canyon</v>
      </c>
      <c r="L56" t="str">
        <f>IF(LEN(F56)&lt;&gt;0,_xlfn.XLOOKUP(F56,[1]!Entities[ID_with_x],[1]!Entities[Name_w_County],_xlfn.CONCAT("Entity ID ",RIGHT(Table3[[#This Row],[Sponsor_1_num]],8)," not found")),"")</f>
        <v>Randall County</v>
      </c>
      <c r="M56" t="str">
        <f>IF(LEN(G56)&lt;&gt;0,_xlfn.XLOOKUP(G56,[1]!Entities[ID_with_x],[1]!Entities[Name_w_County],_xlfn.CONCAT("Entity ID ",RIGHT(Table3[[#This Row],[Sponsor_1_num]],8)," not found")),"")</f>
        <v/>
      </c>
      <c r="N56" t="str">
        <f>IF(LEN(H56)&lt;&gt;0,_xlfn.XLOOKUP(H56,[1]!Entities[ID_with_x],[1]!Entities[Name_w_County],_xlfn.CONCAT("Entity ID ",RIGHT(Table3[[#This Row],[Sponsor_1_num]],8)," not found")),"")</f>
        <v/>
      </c>
      <c r="O56" t="str">
        <f>IF(LEN(I56)&lt;&gt;0,_xlfn.XLOOKUP(I56,[1]!Entities[ID_with_x],[1]!Entities[Name_w_County],_xlfn.CONCAT("Entity ID ",RIGHT(Table3[[#This Row],[Sponsor_1_num]],8)," not found")),"")</f>
        <v/>
      </c>
      <c r="P56" t="str">
        <f>IF(LEN(J56)&lt;&gt;0,_xlfn.XLOOKUP(J56,[1]!Entities[ID_with_x],[1]!Entities[Name_w_County],_xlfn.CONCAT("Entity ID ",RIGHT(Table3[[#This Row],[Sponsor_1_num]],8)," not found")),"")</f>
        <v/>
      </c>
      <c r="Q56" t="str">
        <f>IF(LEN(K56)&gt;0,_xlfn.TEXTJOIN(", ",TRUE,K56:P56),Table3[[#This Row],[SPONSOR_LIST]])</f>
        <v>Canyon, Randall County</v>
      </c>
    </row>
    <row r="57" spans="1:17" x14ac:dyDescent="0.25">
      <c r="A57" s="304" t="s">
        <v>1475</v>
      </c>
      <c r="B57" t="s">
        <v>1463</v>
      </c>
      <c r="C57" t="str">
        <f t="shared" si="1"/>
        <v>x01003426,  01000243</v>
      </c>
      <c r="D57" t="str">
        <f>SUBSTITUTE(SUBSTITUTE(Table3[[#This Row],[Sponsor_list_tranform]],",",",x")," ","")</f>
        <v>x01003426,x01000243</v>
      </c>
      <c r="E57" t="s">
        <v>11607</v>
      </c>
      <c r="F57" t="s">
        <v>11608</v>
      </c>
      <c r="K57" t="str">
        <f>IF(LEN(E57)&lt;&gt;0,_xlfn.XLOOKUP(E57,[1]!Entities[ID_with_x],[1]!Entities[Name_w_County],_xlfn.CONCAT("Entity ID ",RIGHT(Table3[[#This Row],[Sponsor_1_num]],8)," not found")),"")</f>
        <v>Canyon</v>
      </c>
      <c r="L57" t="str">
        <f>IF(LEN(F57)&lt;&gt;0,_xlfn.XLOOKUP(F57,[1]!Entities[ID_with_x],[1]!Entities[Name_w_County],_xlfn.CONCAT("Entity ID ",RIGHT(Table3[[#This Row],[Sponsor_1_num]],8)," not found")),"")</f>
        <v>Randall County</v>
      </c>
      <c r="M57" t="str">
        <f>IF(LEN(G57)&lt;&gt;0,_xlfn.XLOOKUP(G57,[1]!Entities[ID_with_x],[1]!Entities[Name_w_County],_xlfn.CONCAT("Entity ID ",RIGHT(Table3[[#This Row],[Sponsor_1_num]],8)," not found")),"")</f>
        <v/>
      </c>
      <c r="N57" t="str">
        <f>IF(LEN(H57)&lt;&gt;0,_xlfn.XLOOKUP(H57,[1]!Entities[ID_with_x],[1]!Entities[Name_w_County],_xlfn.CONCAT("Entity ID ",RIGHT(Table3[[#This Row],[Sponsor_1_num]],8)," not found")),"")</f>
        <v/>
      </c>
      <c r="O57" t="str">
        <f>IF(LEN(I57)&lt;&gt;0,_xlfn.XLOOKUP(I57,[1]!Entities[ID_with_x],[1]!Entities[Name_w_County],_xlfn.CONCAT("Entity ID ",RIGHT(Table3[[#This Row],[Sponsor_1_num]],8)," not found")),"")</f>
        <v/>
      </c>
      <c r="P57" t="str">
        <f>IF(LEN(J57)&lt;&gt;0,_xlfn.XLOOKUP(J57,[1]!Entities[ID_with_x],[1]!Entities[Name_w_County],_xlfn.CONCAT("Entity ID ",RIGHT(Table3[[#This Row],[Sponsor_1_num]],8)," not found")),"")</f>
        <v/>
      </c>
      <c r="Q57" t="str">
        <f>IF(LEN(K57)&gt;0,_xlfn.TEXTJOIN(", ",TRUE,K57:P57),Table3[[#This Row],[SPONSOR_LIST]])</f>
        <v>Canyon, Randall County</v>
      </c>
    </row>
    <row r="58" spans="1:17" x14ac:dyDescent="0.25">
      <c r="A58" s="304" t="s">
        <v>1478</v>
      </c>
      <c r="B58" t="s">
        <v>1463</v>
      </c>
      <c r="C58" t="str">
        <f t="shared" si="1"/>
        <v>x01003426,  01000243</v>
      </c>
      <c r="D58" t="str">
        <f>SUBSTITUTE(SUBSTITUTE(Table3[[#This Row],[Sponsor_list_tranform]],",",",x")," ","")</f>
        <v>x01003426,x01000243</v>
      </c>
      <c r="E58" t="s">
        <v>11607</v>
      </c>
      <c r="F58" t="s">
        <v>11608</v>
      </c>
      <c r="K58" t="str">
        <f>IF(LEN(E58)&lt;&gt;0,_xlfn.XLOOKUP(E58,[1]!Entities[ID_with_x],[1]!Entities[Name_w_County],_xlfn.CONCAT("Entity ID ",RIGHT(Table3[[#This Row],[Sponsor_1_num]],8)," not found")),"")</f>
        <v>Canyon</v>
      </c>
      <c r="L58" t="str">
        <f>IF(LEN(F58)&lt;&gt;0,_xlfn.XLOOKUP(F58,[1]!Entities[ID_with_x],[1]!Entities[Name_w_County],_xlfn.CONCAT("Entity ID ",RIGHT(Table3[[#This Row],[Sponsor_1_num]],8)," not found")),"")</f>
        <v>Randall County</v>
      </c>
      <c r="M58" t="str">
        <f>IF(LEN(G58)&lt;&gt;0,_xlfn.XLOOKUP(G58,[1]!Entities[ID_with_x],[1]!Entities[Name_w_County],_xlfn.CONCAT("Entity ID ",RIGHT(Table3[[#This Row],[Sponsor_1_num]],8)," not found")),"")</f>
        <v/>
      </c>
      <c r="N58" t="str">
        <f>IF(LEN(H58)&lt;&gt;0,_xlfn.XLOOKUP(H58,[1]!Entities[ID_with_x],[1]!Entities[Name_w_County],_xlfn.CONCAT("Entity ID ",RIGHT(Table3[[#This Row],[Sponsor_1_num]],8)," not found")),"")</f>
        <v/>
      </c>
      <c r="O58" t="str">
        <f>IF(LEN(I58)&lt;&gt;0,_xlfn.XLOOKUP(I58,[1]!Entities[ID_with_x],[1]!Entities[Name_w_County],_xlfn.CONCAT("Entity ID ",RIGHT(Table3[[#This Row],[Sponsor_1_num]],8)," not found")),"")</f>
        <v/>
      </c>
      <c r="P58" t="str">
        <f>IF(LEN(J58)&lt;&gt;0,_xlfn.XLOOKUP(J58,[1]!Entities[ID_with_x],[1]!Entities[Name_w_County],_xlfn.CONCAT("Entity ID ",RIGHT(Table3[[#This Row],[Sponsor_1_num]],8)," not found")),"")</f>
        <v/>
      </c>
      <c r="Q58" t="str">
        <f>IF(LEN(K58)&gt;0,_xlfn.TEXTJOIN(", ",TRUE,K58:P58),Table3[[#This Row],[SPONSOR_LIST]])</f>
        <v>Canyon, Randall County</v>
      </c>
    </row>
    <row r="59" spans="1:17" x14ac:dyDescent="0.25">
      <c r="A59" s="304" t="s">
        <v>1506</v>
      </c>
      <c r="B59" t="s">
        <v>1511</v>
      </c>
      <c r="C59" t="str">
        <f t="shared" si="1"/>
        <v>x01000195</v>
      </c>
      <c r="D59" t="str">
        <f>SUBSTITUTE(SUBSTITUTE(Table3[[#This Row],[Sponsor_list_tranform]],",",",x")," ","")</f>
        <v>x01000195</v>
      </c>
      <c r="E59" t="s">
        <v>11700</v>
      </c>
      <c r="K59" t="str">
        <f>IF(LEN(E59)&lt;&gt;0,_xlfn.XLOOKUP(E59,[1]!Entities[ID_with_x],[1]!Entities[Name_w_County],_xlfn.CONCAT("Entity ID ",RIGHT(Table3[[#This Row],[Sponsor_1_num]],8)," not found")),"")</f>
        <v>Wichita County</v>
      </c>
      <c r="L59" t="str">
        <f>IF(LEN(F59)&lt;&gt;0,_xlfn.XLOOKUP(F59,[1]!Entities[ID_with_x],[1]!Entities[Name_w_County],_xlfn.CONCAT("Entity ID ",RIGHT(Table3[[#This Row],[Sponsor_1_num]],8)," not found")),"")</f>
        <v/>
      </c>
      <c r="M59" t="str">
        <f>IF(LEN(G59)&lt;&gt;0,_xlfn.XLOOKUP(G59,[1]!Entities[ID_with_x],[1]!Entities[Name_w_County],_xlfn.CONCAT("Entity ID ",RIGHT(Table3[[#This Row],[Sponsor_1_num]],8)," not found")),"")</f>
        <v/>
      </c>
      <c r="N59" t="str">
        <f>IF(LEN(H59)&lt;&gt;0,_xlfn.XLOOKUP(H59,[1]!Entities[ID_with_x],[1]!Entities[Name_w_County],_xlfn.CONCAT("Entity ID ",RIGHT(Table3[[#This Row],[Sponsor_1_num]],8)," not found")),"")</f>
        <v/>
      </c>
      <c r="O59" t="str">
        <f>IF(LEN(I59)&lt;&gt;0,_xlfn.XLOOKUP(I59,[1]!Entities[ID_with_x],[1]!Entities[Name_w_County],_xlfn.CONCAT("Entity ID ",RIGHT(Table3[[#This Row],[Sponsor_1_num]],8)," not found")),"")</f>
        <v/>
      </c>
      <c r="P59" t="str">
        <f>IF(LEN(J59)&lt;&gt;0,_xlfn.XLOOKUP(J59,[1]!Entities[ID_with_x],[1]!Entities[Name_w_County],_xlfn.CONCAT("Entity ID ",RIGHT(Table3[[#This Row],[Sponsor_1_num]],8)," not found")),"")</f>
        <v/>
      </c>
      <c r="Q59" t="str">
        <f>IF(LEN(K59)&gt;0,_xlfn.TEXTJOIN(", ",TRUE,K59:P59),Table3[[#This Row],[SPONSOR_LIST]])</f>
        <v>Wichita County</v>
      </c>
    </row>
    <row r="60" spans="1:17" x14ac:dyDescent="0.25">
      <c r="A60" s="304" t="s">
        <v>1430</v>
      </c>
      <c r="B60" t="s">
        <v>1437</v>
      </c>
      <c r="C60" t="str">
        <f t="shared" si="1"/>
        <v>x01002382</v>
      </c>
      <c r="D60" t="str">
        <f>SUBSTITUTE(SUBSTITUTE(Table3[[#This Row],[Sponsor_list_tranform]],",",",x")," ","")</f>
        <v>x01002382</v>
      </c>
      <c r="E60" t="s">
        <v>11701</v>
      </c>
      <c r="K60" t="str">
        <f>IF(LEN(E60)&lt;&gt;0,_xlfn.XLOOKUP(E60,[1]!Entities[ID_with_x],[1]!Entities[Name_w_County],_xlfn.CONCAT("Entity ID ",RIGHT(Table3[[#This Row],[Sponsor_1_num]],8)," not found")),"")</f>
        <v>Channing</v>
      </c>
      <c r="L60" t="str">
        <f>IF(LEN(F60)&lt;&gt;0,_xlfn.XLOOKUP(F60,[1]!Entities[ID_with_x],[1]!Entities[Name_w_County],_xlfn.CONCAT("Entity ID ",RIGHT(Table3[[#This Row],[Sponsor_1_num]],8)," not found")),"")</f>
        <v/>
      </c>
      <c r="M60" t="str">
        <f>IF(LEN(G60)&lt;&gt;0,_xlfn.XLOOKUP(G60,[1]!Entities[ID_with_x],[1]!Entities[Name_w_County],_xlfn.CONCAT("Entity ID ",RIGHT(Table3[[#This Row],[Sponsor_1_num]],8)," not found")),"")</f>
        <v/>
      </c>
      <c r="N60" t="str">
        <f>IF(LEN(H60)&lt;&gt;0,_xlfn.XLOOKUP(H60,[1]!Entities[ID_with_x],[1]!Entities[Name_w_County],_xlfn.CONCAT("Entity ID ",RIGHT(Table3[[#This Row],[Sponsor_1_num]],8)," not found")),"")</f>
        <v/>
      </c>
      <c r="O60" t="str">
        <f>IF(LEN(I60)&lt;&gt;0,_xlfn.XLOOKUP(I60,[1]!Entities[ID_with_x],[1]!Entities[Name_w_County],_xlfn.CONCAT("Entity ID ",RIGHT(Table3[[#This Row],[Sponsor_1_num]],8)," not found")),"")</f>
        <v/>
      </c>
      <c r="P60" t="str">
        <f>IF(LEN(J60)&lt;&gt;0,_xlfn.XLOOKUP(J60,[1]!Entities[ID_with_x],[1]!Entities[Name_w_County],_xlfn.CONCAT("Entity ID ",RIGHT(Table3[[#This Row],[Sponsor_1_num]],8)," not found")),"")</f>
        <v/>
      </c>
      <c r="Q60" t="str">
        <f>IF(LEN(K60)&gt;0,_xlfn.TEXTJOIN(", ",TRUE,K60:P60),Table3[[#This Row],[SPONSOR_LIST]])</f>
        <v>Channing</v>
      </c>
    </row>
    <row r="61" spans="1:17" x14ac:dyDescent="0.25">
      <c r="A61" s="304" t="s">
        <v>1481</v>
      </c>
      <c r="B61" t="s">
        <v>1450</v>
      </c>
      <c r="C61" t="str">
        <f t="shared" si="1"/>
        <v>x00000271</v>
      </c>
      <c r="D61" t="str">
        <f>SUBSTITUTE(SUBSTITUTE(Table3[[#This Row],[Sponsor_list_tranform]],",",",x")," ","")</f>
        <v>x00000271</v>
      </c>
      <c r="E61" t="s">
        <v>11702</v>
      </c>
      <c r="K61" t="str">
        <f>IF(LEN(E61)&lt;&gt;0,_xlfn.XLOOKUP(E61,[1]!Entities[ID_with_x],[1]!Entities[Name_w_County],_xlfn.CONCAT("Entity ID ",RIGHT(Table3[[#This Row],[Sponsor_1_num]],8)," not found")),"")</f>
        <v>Panhandle Regional Planning Commission</v>
      </c>
      <c r="L61" t="str">
        <f>IF(LEN(F61)&lt;&gt;0,_xlfn.XLOOKUP(F61,[1]!Entities[ID_with_x],[1]!Entities[Name_w_County],_xlfn.CONCAT("Entity ID ",RIGHT(Table3[[#This Row],[Sponsor_1_num]],8)," not found")),"")</f>
        <v/>
      </c>
      <c r="M61" t="str">
        <f>IF(LEN(G61)&lt;&gt;0,_xlfn.XLOOKUP(G61,[1]!Entities[ID_with_x],[1]!Entities[Name_w_County],_xlfn.CONCAT("Entity ID ",RIGHT(Table3[[#This Row],[Sponsor_1_num]],8)," not found")),"")</f>
        <v/>
      </c>
      <c r="N61" t="str">
        <f>IF(LEN(H61)&lt;&gt;0,_xlfn.XLOOKUP(H61,[1]!Entities[ID_with_x],[1]!Entities[Name_w_County],_xlfn.CONCAT("Entity ID ",RIGHT(Table3[[#This Row],[Sponsor_1_num]],8)," not found")),"")</f>
        <v/>
      </c>
      <c r="O61" t="str">
        <f>IF(LEN(I61)&lt;&gt;0,_xlfn.XLOOKUP(I61,[1]!Entities[ID_with_x],[1]!Entities[Name_w_County],_xlfn.CONCAT("Entity ID ",RIGHT(Table3[[#This Row],[Sponsor_1_num]],8)," not found")),"")</f>
        <v/>
      </c>
      <c r="P61" t="str">
        <f>IF(LEN(J61)&lt;&gt;0,_xlfn.XLOOKUP(J61,[1]!Entities[ID_with_x],[1]!Entities[Name_w_County],_xlfn.CONCAT("Entity ID ",RIGHT(Table3[[#This Row],[Sponsor_1_num]],8)," not found")),"")</f>
        <v/>
      </c>
      <c r="Q61" t="str">
        <f>IF(LEN(K61)&gt;0,_xlfn.TEXTJOIN(", ",TRUE,K61:P61),Table3[[#This Row],[SPONSOR_LIST]])</f>
        <v>Panhandle Regional Planning Commission</v>
      </c>
    </row>
    <row r="62" spans="1:17" x14ac:dyDescent="0.25">
      <c r="A62" s="304" t="s">
        <v>1513</v>
      </c>
      <c r="B62" t="s">
        <v>1522</v>
      </c>
      <c r="C62" t="str">
        <f t="shared" si="1"/>
        <v/>
      </c>
      <c r="D62" t="str">
        <f>SUBSTITUTE(SUBSTITUTE(Table3[[#This Row],[Sponsor_list_tranform]],",",",x")," ","")</f>
        <v/>
      </c>
      <c r="K62" t="str">
        <f>IF(LEN(E62)&lt;&gt;0,_xlfn.XLOOKUP(E62,[1]!Entities[ID_with_x],[1]!Entities[Name_w_County],_xlfn.CONCAT("Entity ID ",RIGHT(Table3[[#This Row],[Sponsor_1_num]],8)," not found")),"")</f>
        <v/>
      </c>
      <c r="L62" t="str">
        <f>IF(LEN(F62)&lt;&gt;0,_xlfn.XLOOKUP(F62,[1]!Entities[ID_with_x],[1]!Entities[Name_w_County],_xlfn.CONCAT("Entity ID ",RIGHT(Table3[[#This Row],[Sponsor_1_num]],8)," not found")),"")</f>
        <v/>
      </c>
      <c r="M62" t="str">
        <f>IF(LEN(G62)&lt;&gt;0,_xlfn.XLOOKUP(G62,[1]!Entities[ID_with_x],[1]!Entities[Name_w_County],_xlfn.CONCAT("Entity ID ",RIGHT(Table3[[#This Row],[Sponsor_1_num]],8)," not found")),"")</f>
        <v/>
      </c>
      <c r="N62" t="str">
        <f>IF(LEN(H62)&lt;&gt;0,_xlfn.XLOOKUP(H62,[1]!Entities[ID_with_x],[1]!Entities[Name_w_County],_xlfn.CONCAT("Entity ID ",RIGHT(Table3[[#This Row],[Sponsor_1_num]],8)," not found")),"")</f>
        <v/>
      </c>
      <c r="O62" t="str">
        <f>IF(LEN(I62)&lt;&gt;0,_xlfn.XLOOKUP(I62,[1]!Entities[ID_with_x],[1]!Entities[Name_w_County],_xlfn.CONCAT("Entity ID ",RIGHT(Table3[[#This Row],[Sponsor_1_num]],8)," not found")),"")</f>
        <v/>
      </c>
      <c r="P62" t="str">
        <f>IF(LEN(J62)&lt;&gt;0,_xlfn.XLOOKUP(J62,[1]!Entities[ID_with_x],[1]!Entities[Name_w_County],_xlfn.CONCAT("Entity ID ",RIGHT(Table3[[#This Row],[Sponsor_1_num]],8)," not found")),"")</f>
        <v/>
      </c>
      <c r="Q62" t="str">
        <f>IF(LEN(K62)&gt;0,_xlfn.TEXTJOIN(", ",TRUE,K62:P62),Table3[[#This Row],[SPONSOR_LIST]])</f>
        <v>City of Avinger</v>
      </c>
    </row>
    <row r="63" spans="1:17" x14ac:dyDescent="0.25">
      <c r="A63" s="304" t="s">
        <v>1526</v>
      </c>
      <c r="B63" t="s">
        <v>1532</v>
      </c>
      <c r="C63" t="str">
        <f t="shared" si="1"/>
        <v/>
      </c>
      <c r="D63" t="str">
        <f>SUBSTITUTE(SUBSTITUTE(Table3[[#This Row],[Sponsor_list_tranform]],",",",x")," ","")</f>
        <v/>
      </c>
      <c r="K63" t="str">
        <f>IF(LEN(E63)&lt;&gt;0,_xlfn.XLOOKUP(E63,[1]!Entities[ID_with_x],[1]!Entities[Name_w_County],_xlfn.CONCAT("Entity ID ",RIGHT(Table3[[#This Row],[Sponsor_1_num]],8)," not found")),"")</f>
        <v/>
      </c>
      <c r="L63" t="str">
        <f>IF(LEN(F63)&lt;&gt;0,_xlfn.XLOOKUP(F63,[1]!Entities[ID_with_x],[1]!Entities[Name_w_County],_xlfn.CONCAT("Entity ID ",RIGHT(Table3[[#This Row],[Sponsor_1_num]],8)," not found")),"")</f>
        <v/>
      </c>
      <c r="M63" t="str">
        <f>IF(LEN(G63)&lt;&gt;0,_xlfn.XLOOKUP(G63,[1]!Entities[ID_with_x],[1]!Entities[Name_w_County],_xlfn.CONCAT("Entity ID ",RIGHT(Table3[[#This Row],[Sponsor_1_num]],8)," not found")),"")</f>
        <v/>
      </c>
      <c r="N63" t="str">
        <f>IF(LEN(H63)&lt;&gt;0,_xlfn.XLOOKUP(H63,[1]!Entities[ID_with_x],[1]!Entities[Name_w_County],_xlfn.CONCAT("Entity ID ",RIGHT(Table3[[#This Row],[Sponsor_1_num]],8)," not found")),"")</f>
        <v/>
      </c>
      <c r="O63" t="str">
        <f>IF(LEN(I63)&lt;&gt;0,_xlfn.XLOOKUP(I63,[1]!Entities[ID_with_x],[1]!Entities[Name_w_County],_xlfn.CONCAT("Entity ID ",RIGHT(Table3[[#This Row],[Sponsor_1_num]],8)," not found")),"")</f>
        <v/>
      </c>
      <c r="P63" t="str">
        <f>IF(LEN(J63)&lt;&gt;0,_xlfn.XLOOKUP(J63,[1]!Entities[ID_with_x],[1]!Entities[Name_w_County],_xlfn.CONCAT("Entity ID ",RIGHT(Table3[[#This Row],[Sponsor_1_num]],8)," not found")),"")</f>
        <v/>
      </c>
      <c r="Q63" t="str">
        <f>IF(LEN(K63)&gt;0,_xlfn.TEXTJOIN(", ",TRUE,K63:P63),Table3[[#This Row],[SPONSOR_LIST]])</f>
        <v>City of Bells</v>
      </c>
    </row>
    <row r="64" spans="1:17" x14ac:dyDescent="0.25">
      <c r="A64" s="304" t="s">
        <v>1535</v>
      </c>
      <c r="B64" t="s">
        <v>1541</v>
      </c>
      <c r="C64" t="str">
        <f t="shared" si="1"/>
        <v/>
      </c>
      <c r="D64" t="str">
        <f>SUBSTITUTE(SUBSTITUTE(Table3[[#This Row],[Sponsor_list_tranform]],",",",x")," ","")</f>
        <v/>
      </c>
      <c r="K64" t="str">
        <f>IF(LEN(E64)&lt;&gt;0,_xlfn.XLOOKUP(E64,[1]!Entities[ID_with_x],[1]!Entities[Name_w_County],_xlfn.CONCAT("Entity ID ",RIGHT(Table3[[#This Row],[Sponsor_1_num]],8)," not found")),"")</f>
        <v/>
      </c>
      <c r="L64" t="str">
        <f>IF(LEN(F64)&lt;&gt;0,_xlfn.XLOOKUP(F64,[1]!Entities[ID_with_x],[1]!Entities[Name_w_County],_xlfn.CONCAT("Entity ID ",RIGHT(Table3[[#This Row],[Sponsor_1_num]],8)," not found")),"")</f>
        <v/>
      </c>
      <c r="M64" t="str">
        <f>IF(LEN(G64)&lt;&gt;0,_xlfn.XLOOKUP(G64,[1]!Entities[ID_with_x],[1]!Entities[Name_w_County],_xlfn.CONCAT("Entity ID ",RIGHT(Table3[[#This Row],[Sponsor_1_num]],8)," not found")),"")</f>
        <v/>
      </c>
      <c r="N64" t="str">
        <f>IF(LEN(H64)&lt;&gt;0,_xlfn.XLOOKUP(H64,[1]!Entities[ID_with_x],[1]!Entities[Name_w_County],_xlfn.CONCAT("Entity ID ",RIGHT(Table3[[#This Row],[Sponsor_1_num]],8)," not found")),"")</f>
        <v/>
      </c>
      <c r="O64" t="str">
        <f>IF(LEN(I64)&lt;&gt;0,_xlfn.XLOOKUP(I64,[1]!Entities[ID_with_x],[1]!Entities[Name_w_County],_xlfn.CONCAT("Entity ID ",RIGHT(Table3[[#This Row],[Sponsor_1_num]],8)," not found")),"")</f>
        <v/>
      </c>
      <c r="P64" t="str">
        <f>IF(LEN(J64)&lt;&gt;0,_xlfn.XLOOKUP(J64,[1]!Entities[ID_with_x],[1]!Entities[Name_w_County],_xlfn.CONCAT("Entity ID ",RIGHT(Table3[[#This Row],[Sponsor_1_num]],8)," not found")),"")</f>
        <v/>
      </c>
      <c r="Q64" t="str">
        <f>IF(LEN(K64)&gt;0,_xlfn.TEXTJOIN(", ",TRUE,K64:P64),Table3[[#This Row],[SPONSOR_LIST]])</f>
        <v>City of Cooper</v>
      </c>
    </row>
    <row r="65" spans="1:17" x14ac:dyDescent="0.25">
      <c r="A65" s="304" t="s">
        <v>1543</v>
      </c>
      <c r="B65" t="s">
        <v>1549</v>
      </c>
      <c r="C65" t="str">
        <f t="shared" si="1"/>
        <v/>
      </c>
      <c r="D65" t="str">
        <f>SUBSTITUTE(SUBSTITUTE(Table3[[#This Row],[Sponsor_list_tranform]],",",",x")," ","")</f>
        <v/>
      </c>
      <c r="K65" t="str">
        <f>IF(LEN(E65)&lt;&gt;0,_xlfn.XLOOKUP(E65,[1]!Entities[ID_with_x],[1]!Entities[Name_w_County],_xlfn.CONCAT("Entity ID ",RIGHT(Table3[[#This Row],[Sponsor_1_num]],8)," not found")),"")</f>
        <v/>
      </c>
      <c r="L65" t="str">
        <f>IF(LEN(F65)&lt;&gt;0,_xlfn.XLOOKUP(F65,[1]!Entities[ID_with_x],[1]!Entities[Name_w_County],_xlfn.CONCAT("Entity ID ",RIGHT(Table3[[#This Row],[Sponsor_1_num]],8)," not found")),"")</f>
        <v/>
      </c>
      <c r="M65" t="str">
        <f>IF(LEN(G65)&lt;&gt;0,_xlfn.XLOOKUP(G65,[1]!Entities[ID_with_x],[1]!Entities[Name_w_County],_xlfn.CONCAT("Entity ID ",RIGHT(Table3[[#This Row],[Sponsor_1_num]],8)," not found")),"")</f>
        <v/>
      </c>
      <c r="N65" t="str">
        <f>IF(LEN(H65)&lt;&gt;0,_xlfn.XLOOKUP(H65,[1]!Entities[ID_with_x],[1]!Entities[Name_w_County],_xlfn.CONCAT("Entity ID ",RIGHT(Table3[[#This Row],[Sponsor_1_num]],8)," not found")),"")</f>
        <v/>
      </c>
      <c r="O65" t="str">
        <f>IF(LEN(I65)&lt;&gt;0,_xlfn.XLOOKUP(I65,[1]!Entities[ID_with_x],[1]!Entities[Name_w_County],_xlfn.CONCAT("Entity ID ",RIGHT(Table3[[#This Row],[Sponsor_1_num]],8)," not found")),"")</f>
        <v/>
      </c>
      <c r="P65" t="str">
        <f>IF(LEN(J65)&lt;&gt;0,_xlfn.XLOOKUP(J65,[1]!Entities[ID_with_x],[1]!Entities[Name_w_County],_xlfn.CONCAT("Entity ID ",RIGHT(Table3[[#This Row],[Sponsor_1_num]],8)," not found")),"")</f>
        <v/>
      </c>
      <c r="Q65" t="str">
        <f>IF(LEN(K65)&gt;0,_xlfn.TEXTJOIN(", ",TRUE,K65:P65),Table3[[#This Row],[SPONSOR_LIST]])</f>
        <v>City of Domino</v>
      </c>
    </row>
    <row r="66" spans="1:17" x14ac:dyDescent="0.25">
      <c r="A66" s="304" t="s">
        <v>1551</v>
      </c>
      <c r="B66" t="s">
        <v>1556</v>
      </c>
      <c r="C66" t="str">
        <f t="shared" si="1"/>
        <v/>
      </c>
      <c r="D66" t="str">
        <f>SUBSTITUTE(SUBSTITUTE(Table3[[#This Row],[Sponsor_list_tranform]],",",",x")," ","")</f>
        <v/>
      </c>
      <c r="K66" t="str">
        <f>IF(LEN(E66)&lt;&gt;0,_xlfn.XLOOKUP(E66,[1]!Entities[ID_with_x],[1]!Entities[Name_w_County],_xlfn.CONCAT("Entity ID ",RIGHT(Table3[[#This Row],[Sponsor_1_num]],8)," not found")),"")</f>
        <v/>
      </c>
      <c r="L66" t="str">
        <f>IF(LEN(F66)&lt;&gt;0,_xlfn.XLOOKUP(F66,[1]!Entities[ID_with_x],[1]!Entities[Name_w_County],_xlfn.CONCAT("Entity ID ",RIGHT(Table3[[#This Row],[Sponsor_1_num]],8)," not found")),"")</f>
        <v/>
      </c>
      <c r="M66" t="str">
        <f>IF(LEN(G66)&lt;&gt;0,_xlfn.XLOOKUP(G66,[1]!Entities[ID_with_x],[1]!Entities[Name_w_County],_xlfn.CONCAT("Entity ID ",RIGHT(Table3[[#This Row],[Sponsor_1_num]],8)," not found")),"")</f>
        <v/>
      </c>
      <c r="N66" t="str">
        <f>IF(LEN(H66)&lt;&gt;0,_xlfn.XLOOKUP(H66,[1]!Entities[ID_with_x],[1]!Entities[Name_w_County],_xlfn.CONCAT("Entity ID ",RIGHT(Table3[[#This Row],[Sponsor_1_num]],8)," not found")),"")</f>
        <v/>
      </c>
      <c r="O66" t="str">
        <f>IF(LEN(I66)&lt;&gt;0,_xlfn.XLOOKUP(I66,[1]!Entities[ID_with_x],[1]!Entities[Name_w_County],_xlfn.CONCAT("Entity ID ",RIGHT(Table3[[#This Row],[Sponsor_1_num]],8)," not found")),"")</f>
        <v/>
      </c>
      <c r="P66" t="str">
        <f>IF(LEN(J66)&lt;&gt;0,_xlfn.XLOOKUP(J66,[1]!Entities[ID_with_x],[1]!Entities[Name_w_County],_xlfn.CONCAT("Entity ID ",RIGHT(Table3[[#This Row],[Sponsor_1_num]],8)," not found")),"")</f>
        <v/>
      </c>
      <c r="Q66" t="str">
        <f>IF(LEN(K66)&gt;0,_xlfn.TEXTJOIN(", ",TRUE,K66:P66),Table3[[#This Row],[SPONSOR_LIST]])</f>
        <v>City of Douglassville</v>
      </c>
    </row>
    <row r="67" spans="1:17" x14ac:dyDescent="0.25">
      <c r="A67" s="304" t="s">
        <v>1558</v>
      </c>
      <c r="B67" t="s">
        <v>1564</v>
      </c>
      <c r="C67" t="str">
        <f t="shared" si="1"/>
        <v/>
      </c>
      <c r="D67" t="str">
        <f>SUBSTITUTE(SUBSTITUTE(Table3[[#This Row],[Sponsor_list_tranform]],",",",x")," ","")</f>
        <v/>
      </c>
      <c r="K67" t="str">
        <f>IF(LEN(E67)&lt;&gt;0,_xlfn.XLOOKUP(E67,[1]!Entities[ID_with_x],[1]!Entities[Name_w_County],_xlfn.CONCAT("Entity ID ",RIGHT(Table3[[#This Row],[Sponsor_1_num]],8)," not found")),"")</f>
        <v/>
      </c>
      <c r="L67" t="str">
        <f>IF(LEN(F67)&lt;&gt;0,_xlfn.XLOOKUP(F67,[1]!Entities[ID_with_x],[1]!Entities[Name_w_County],_xlfn.CONCAT("Entity ID ",RIGHT(Table3[[#This Row],[Sponsor_1_num]],8)," not found")),"")</f>
        <v/>
      </c>
      <c r="M67" t="str">
        <f>IF(LEN(G67)&lt;&gt;0,_xlfn.XLOOKUP(G67,[1]!Entities[ID_with_x],[1]!Entities[Name_w_County],_xlfn.CONCAT("Entity ID ",RIGHT(Table3[[#This Row],[Sponsor_1_num]],8)," not found")),"")</f>
        <v/>
      </c>
      <c r="N67" t="str">
        <f>IF(LEN(H67)&lt;&gt;0,_xlfn.XLOOKUP(H67,[1]!Entities[ID_with_x],[1]!Entities[Name_w_County],_xlfn.CONCAT("Entity ID ",RIGHT(Table3[[#This Row],[Sponsor_1_num]],8)," not found")),"")</f>
        <v/>
      </c>
      <c r="O67" t="str">
        <f>IF(LEN(I67)&lt;&gt;0,_xlfn.XLOOKUP(I67,[1]!Entities[ID_with_x],[1]!Entities[Name_w_County],_xlfn.CONCAT("Entity ID ",RIGHT(Table3[[#This Row],[Sponsor_1_num]],8)," not found")),"")</f>
        <v/>
      </c>
      <c r="P67" t="str">
        <f>IF(LEN(J67)&lt;&gt;0,_xlfn.XLOOKUP(J67,[1]!Entities[ID_with_x],[1]!Entities[Name_w_County],_xlfn.CONCAT("Entity ID ",RIGHT(Table3[[#This Row],[Sponsor_1_num]],8)," not found")),"")</f>
        <v/>
      </c>
      <c r="Q67" t="str">
        <f>IF(LEN(K67)&gt;0,_xlfn.TEXTJOIN(", ",TRUE,K67:P67),Table3[[#This Row],[SPONSOR_LIST]])</f>
        <v>City of Marietta</v>
      </c>
    </row>
    <row r="68" spans="1:17" x14ac:dyDescent="0.25">
      <c r="A68" s="304" t="s">
        <v>1566</v>
      </c>
      <c r="B68" t="s">
        <v>1571</v>
      </c>
      <c r="C68" t="str">
        <f t="shared" si="1"/>
        <v/>
      </c>
      <c r="D68" t="str">
        <f>SUBSTITUTE(SUBSTITUTE(Table3[[#This Row],[Sponsor_list_tranform]],",",",x")," ","")</f>
        <v/>
      </c>
      <c r="K68" t="str">
        <f>IF(LEN(E68)&lt;&gt;0,_xlfn.XLOOKUP(E68,[1]!Entities[ID_with_x],[1]!Entities[Name_w_County],_xlfn.CONCAT("Entity ID ",RIGHT(Table3[[#This Row],[Sponsor_1_num]],8)," not found")),"")</f>
        <v/>
      </c>
      <c r="L68" t="str">
        <f>IF(LEN(F68)&lt;&gt;0,_xlfn.XLOOKUP(F68,[1]!Entities[ID_with_x],[1]!Entities[Name_w_County],_xlfn.CONCAT("Entity ID ",RIGHT(Table3[[#This Row],[Sponsor_1_num]],8)," not found")),"")</f>
        <v/>
      </c>
      <c r="M68" t="str">
        <f>IF(LEN(G68)&lt;&gt;0,_xlfn.XLOOKUP(G68,[1]!Entities[ID_with_x],[1]!Entities[Name_w_County],_xlfn.CONCAT("Entity ID ",RIGHT(Table3[[#This Row],[Sponsor_1_num]],8)," not found")),"")</f>
        <v/>
      </c>
      <c r="N68" t="str">
        <f>IF(LEN(H68)&lt;&gt;0,_xlfn.XLOOKUP(H68,[1]!Entities[ID_with_x],[1]!Entities[Name_w_County],_xlfn.CONCAT("Entity ID ",RIGHT(Table3[[#This Row],[Sponsor_1_num]],8)," not found")),"")</f>
        <v/>
      </c>
      <c r="O68" t="str">
        <f>IF(LEN(I68)&lt;&gt;0,_xlfn.XLOOKUP(I68,[1]!Entities[ID_with_x],[1]!Entities[Name_w_County],_xlfn.CONCAT("Entity ID ",RIGHT(Table3[[#This Row],[Sponsor_1_num]],8)," not found")),"")</f>
        <v/>
      </c>
      <c r="P68" t="str">
        <f>IF(LEN(J68)&lt;&gt;0,_xlfn.XLOOKUP(J68,[1]!Entities[ID_with_x],[1]!Entities[Name_w_County],_xlfn.CONCAT("Entity ID ",RIGHT(Table3[[#This Row],[Sponsor_1_num]],8)," not found")),"")</f>
        <v/>
      </c>
      <c r="Q68" t="str">
        <f>IF(LEN(K68)&gt;0,_xlfn.TEXTJOIN(", ",TRUE,K68:P68),Table3[[#This Row],[SPONSOR_LIST]])</f>
        <v>City of Sherman</v>
      </c>
    </row>
    <row r="69" spans="1:17" x14ac:dyDescent="0.25">
      <c r="A69" s="304" t="s">
        <v>1735</v>
      </c>
      <c r="B69" t="s">
        <v>1739</v>
      </c>
      <c r="C69" t="str">
        <f t="shared" si="1"/>
        <v/>
      </c>
      <c r="D69" t="str">
        <f>SUBSTITUTE(SUBSTITUTE(Table3[[#This Row],[Sponsor_list_tranform]],",",",x")," ","")</f>
        <v/>
      </c>
      <c r="K69" t="str">
        <f>IF(LEN(E69)&lt;&gt;0,_xlfn.XLOOKUP(E69,[1]!Entities[ID_with_x],[1]!Entities[Name_w_County],_xlfn.CONCAT("Entity ID ",RIGHT(Table3[[#This Row],[Sponsor_1_num]],8)," not found")),"")</f>
        <v/>
      </c>
      <c r="L69" t="str">
        <f>IF(LEN(F69)&lt;&gt;0,_xlfn.XLOOKUP(F69,[1]!Entities[ID_with_x],[1]!Entities[Name_w_County],_xlfn.CONCAT("Entity ID ",RIGHT(Table3[[#This Row],[Sponsor_1_num]],8)," not found")),"")</f>
        <v/>
      </c>
      <c r="M69" t="str">
        <f>IF(LEN(G69)&lt;&gt;0,_xlfn.XLOOKUP(G69,[1]!Entities[ID_with_x],[1]!Entities[Name_w_County],_xlfn.CONCAT("Entity ID ",RIGHT(Table3[[#This Row],[Sponsor_1_num]],8)," not found")),"")</f>
        <v/>
      </c>
      <c r="N69" t="str">
        <f>IF(LEN(H69)&lt;&gt;0,_xlfn.XLOOKUP(H69,[1]!Entities[ID_with_x],[1]!Entities[Name_w_County],_xlfn.CONCAT("Entity ID ",RIGHT(Table3[[#This Row],[Sponsor_1_num]],8)," not found")),"")</f>
        <v/>
      </c>
      <c r="O69" t="str">
        <f>IF(LEN(I69)&lt;&gt;0,_xlfn.XLOOKUP(I69,[1]!Entities[ID_with_x],[1]!Entities[Name_w_County],_xlfn.CONCAT("Entity ID ",RIGHT(Table3[[#This Row],[Sponsor_1_num]],8)," not found")),"")</f>
        <v/>
      </c>
      <c r="P69" t="str">
        <f>IF(LEN(J69)&lt;&gt;0,_xlfn.XLOOKUP(J69,[1]!Entities[ID_with_x],[1]!Entities[Name_w_County],_xlfn.CONCAT("Entity ID ",RIGHT(Table3[[#This Row],[Sponsor_1_num]],8)," not found")),"")</f>
        <v/>
      </c>
      <c r="Q69" t="str">
        <f>IF(LEN(K69)&gt;0,_xlfn.TEXTJOIN(", ",TRUE,K69:P69),Table3[[#This Row],[SPONSOR_LIST]])</f>
        <v>City of Tom Bean</v>
      </c>
    </row>
    <row r="70" spans="1:17" x14ac:dyDescent="0.25">
      <c r="A70" s="304" t="s">
        <v>1573</v>
      </c>
      <c r="B70" t="s">
        <v>1579</v>
      </c>
      <c r="C70" t="str">
        <f t="shared" ref="C70:C133" si="2">IF(ISNUMBER(VALUE(LEFT(B70,7))),_xlfn.CONCAT("x",TEXT(SUBSTITUTE(B70,",",", "),"00000000")),"")</f>
        <v/>
      </c>
      <c r="D70" t="str">
        <f>SUBSTITUTE(SUBSTITUTE(Table3[[#This Row],[Sponsor_list_tranform]],",",",x")," ","")</f>
        <v/>
      </c>
      <c r="K70" t="str">
        <f>IF(LEN(E70)&lt;&gt;0,_xlfn.XLOOKUP(E70,[1]!Entities[ID_with_x],[1]!Entities[Name_w_County],_xlfn.CONCAT("Entity ID ",RIGHT(Table3[[#This Row],[Sponsor_1_num]],8)," not found")),"")</f>
        <v/>
      </c>
      <c r="L70" t="str">
        <f>IF(LEN(F70)&lt;&gt;0,_xlfn.XLOOKUP(F70,[1]!Entities[ID_with_x],[1]!Entities[Name_w_County],_xlfn.CONCAT("Entity ID ",RIGHT(Table3[[#This Row],[Sponsor_1_num]],8)," not found")),"")</f>
        <v/>
      </c>
      <c r="M70" t="str">
        <f>IF(LEN(G70)&lt;&gt;0,_xlfn.XLOOKUP(G70,[1]!Entities[ID_with_x],[1]!Entities[Name_w_County],_xlfn.CONCAT("Entity ID ",RIGHT(Table3[[#This Row],[Sponsor_1_num]],8)," not found")),"")</f>
        <v/>
      </c>
      <c r="N70" t="str">
        <f>IF(LEN(H70)&lt;&gt;0,_xlfn.XLOOKUP(H70,[1]!Entities[ID_with_x],[1]!Entities[Name_w_County],_xlfn.CONCAT("Entity ID ",RIGHT(Table3[[#This Row],[Sponsor_1_num]],8)," not found")),"")</f>
        <v/>
      </c>
      <c r="O70" t="str">
        <f>IF(LEN(I70)&lt;&gt;0,_xlfn.XLOOKUP(I70,[1]!Entities[ID_with_x],[1]!Entities[Name_w_County],_xlfn.CONCAT("Entity ID ",RIGHT(Table3[[#This Row],[Sponsor_1_num]],8)," not found")),"")</f>
        <v/>
      </c>
      <c r="P70" t="str">
        <f>IF(LEN(J70)&lt;&gt;0,_xlfn.XLOOKUP(J70,[1]!Entities[ID_with_x],[1]!Entities[Name_w_County],_xlfn.CONCAT("Entity ID ",RIGHT(Table3[[#This Row],[Sponsor_1_num]],8)," not found")),"")</f>
        <v/>
      </c>
      <c r="Q70" t="str">
        <f>IF(LEN(K70)&gt;0,_xlfn.TEXTJOIN(", ",TRUE,K70:P70),Table3[[#This Row],[SPONSOR_LIST]])</f>
        <v>City of Wolfe</v>
      </c>
    </row>
    <row r="71" spans="1:17" x14ac:dyDescent="0.25">
      <c r="A71" s="304" t="s">
        <v>1581</v>
      </c>
      <c r="B71" t="s">
        <v>1586</v>
      </c>
      <c r="C71" t="str">
        <f t="shared" si="2"/>
        <v/>
      </c>
      <c r="D71" t="str">
        <f>SUBSTITUTE(SUBSTITUTE(Table3[[#This Row],[Sponsor_list_tranform]],",",",x")," ","")</f>
        <v/>
      </c>
      <c r="K71" t="str">
        <f>IF(LEN(E71)&lt;&gt;0,_xlfn.XLOOKUP(E71,[1]!Entities[ID_with_x],[1]!Entities[Name_w_County],_xlfn.CONCAT("Entity ID ",RIGHT(Table3[[#This Row],[Sponsor_1_num]],8)," not found")),"")</f>
        <v/>
      </c>
      <c r="L71" t="str">
        <f>IF(LEN(F71)&lt;&gt;0,_xlfn.XLOOKUP(F71,[1]!Entities[ID_with_x],[1]!Entities[Name_w_County],_xlfn.CONCAT("Entity ID ",RIGHT(Table3[[#This Row],[Sponsor_1_num]],8)," not found")),"")</f>
        <v/>
      </c>
      <c r="M71" t="str">
        <f>IF(LEN(G71)&lt;&gt;0,_xlfn.XLOOKUP(G71,[1]!Entities[ID_with_x],[1]!Entities[Name_w_County],_xlfn.CONCAT("Entity ID ",RIGHT(Table3[[#This Row],[Sponsor_1_num]],8)," not found")),"")</f>
        <v/>
      </c>
      <c r="N71" t="str">
        <f>IF(LEN(H71)&lt;&gt;0,_xlfn.XLOOKUP(H71,[1]!Entities[ID_with_x],[1]!Entities[Name_w_County],_xlfn.CONCAT("Entity ID ",RIGHT(Table3[[#This Row],[Sponsor_1_num]],8)," not found")),"")</f>
        <v/>
      </c>
      <c r="O71" t="str">
        <f>IF(LEN(I71)&lt;&gt;0,_xlfn.XLOOKUP(I71,[1]!Entities[ID_with_x],[1]!Entities[Name_w_County],_xlfn.CONCAT("Entity ID ",RIGHT(Table3[[#This Row],[Sponsor_1_num]],8)," not found")),"")</f>
        <v/>
      </c>
      <c r="P71" t="str">
        <f>IF(LEN(J71)&lt;&gt;0,_xlfn.XLOOKUP(J71,[1]!Entities[ID_with_x],[1]!Entities[Name_w_County],_xlfn.CONCAT("Entity ID ",RIGHT(Table3[[#This Row],[Sponsor_1_num]],8)," not found")),"")</f>
        <v/>
      </c>
      <c r="Q71" t="str">
        <f>IF(LEN(K71)&gt;0,_xlfn.TEXTJOIN(", ",TRUE,K71:P71),Table3[[#This Row],[SPONSOR_LIST]])</f>
        <v>Bowie County</v>
      </c>
    </row>
    <row r="72" spans="1:17" x14ac:dyDescent="0.25">
      <c r="A72" s="304" t="s">
        <v>1588</v>
      </c>
      <c r="B72" t="s">
        <v>1594</v>
      </c>
      <c r="C72" t="str">
        <f t="shared" si="2"/>
        <v/>
      </c>
      <c r="D72" t="str">
        <f>SUBSTITUTE(SUBSTITUTE(Table3[[#This Row],[Sponsor_list_tranform]],",",",x")," ","")</f>
        <v/>
      </c>
      <c r="K72" t="str">
        <f>IF(LEN(E72)&lt;&gt;0,_xlfn.XLOOKUP(E72,[1]!Entities[ID_with_x],[1]!Entities[Name_w_County],_xlfn.CONCAT("Entity ID ",RIGHT(Table3[[#This Row],[Sponsor_1_num]],8)," not found")),"")</f>
        <v/>
      </c>
      <c r="L72" t="str">
        <f>IF(LEN(F72)&lt;&gt;0,_xlfn.XLOOKUP(F72,[1]!Entities[ID_with_x],[1]!Entities[Name_w_County],_xlfn.CONCAT("Entity ID ",RIGHT(Table3[[#This Row],[Sponsor_1_num]],8)," not found")),"")</f>
        <v/>
      </c>
      <c r="M72" t="str">
        <f>IF(LEN(G72)&lt;&gt;0,_xlfn.XLOOKUP(G72,[1]!Entities[ID_with_x],[1]!Entities[Name_w_County],_xlfn.CONCAT("Entity ID ",RIGHT(Table3[[#This Row],[Sponsor_1_num]],8)," not found")),"")</f>
        <v/>
      </c>
      <c r="N72" t="str">
        <f>IF(LEN(H72)&lt;&gt;0,_xlfn.XLOOKUP(H72,[1]!Entities[ID_with_x],[1]!Entities[Name_w_County],_xlfn.CONCAT("Entity ID ",RIGHT(Table3[[#This Row],[Sponsor_1_num]],8)," not found")),"")</f>
        <v/>
      </c>
      <c r="O72" t="str">
        <f>IF(LEN(I72)&lt;&gt;0,_xlfn.XLOOKUP(I72,[1]!Entities[ID_with_x],[1]!Entities[Name_w_County],_xlfn.CONCAT("Entity ID ",RIGHT(Table3[[#This Row],[Sponsor_1_num]],8)," not found")),"")</f>
        <v/>
      </c>
      <c r="P72" t="str">
        <f>IF(LEN(J72)&lt;&gt;0,_xlfn.XLOOKUP(J72,[1]!Entities[ID_with_x],[1]!Entities[Name_w_County],_xlfn.CONCAT("Entity ID ",RIGHT(Table3[[#This Row],[Sponsor_1_num]],8)," not found")),"")</f>
        <v/>
      </c>
      <c r="Q72" t="str">
        <f>IF(LEN(K72)&gt;0,_xlfn.TEXTJOIN(", ",TRUE,K72:P72),Table3[[#This Row],[SPONSOR_LIST]])</f>
        <v>Camp County</v>
      </c>
    </row>
    <row r="73" spans="1:17" x14ac:dyDescent="0.25">
      <c r="A73" s="304" t="s">
        <v>1596</v>
      </c>
      <c r="B73" t="s">
        <v>1599</v>
      </c>
      <c r="C73" t="str">
        <f t="shared" si="2"/>
        <v/>
      </c>
      <c r="D73" t="str">
        <f>SUBSTITUTE(SUBSTITUTE(Table3[[#This Row],[Sponsor_list_tranform]],",",",x")," ","")</f>
        <v/>
      </c>
      <c r="K73" t="str">
        <f>IF(LEN(E73)&lt;&gt;0,_xlfn.XLOOKUP(E73,[1]!Entities[ID_with_x],[1]!Entities[Name_w_County],_xlfn.CONCAT("Entity ID ",RIGHT(Table3[[#This Row],[Sponsor_1_num]],8)," not found")),"")</f>
        <v/>
      </c>
      <c r="L73" t="str">
        <f>IF(LEN(F73)&lt;&gt;0,_xlfn.XLOOKUP(F73,[1]!Entities[ID_with_x],[1]!Entities[Name_w_County],_xlfn.CONCAT("Entity ID ",RIGHT(Table3[[#This Row],[Sponsor_1_num]],8)," not found")),"")</f>
        <v/>
      </c>
      <c r="M73" t="str">
        <f>IF(LEN(G73)&lt;&gt;0,_xlfn.XLOOKUP(G73,[1]!Entities[ID_with_x],[1]!Entities[Name_w_County],_xlfn.CONCAT("Entity ID ",RIGHT(Table3[[#This Row],[Sponsor_1_num]],8)," not found")),"")</f>
        <v/>
      </c>
      <c r="N73" t="str">
        <f>IF(LEN(H73)&lt;&gt;0,_xlfn.XLOOKUP(H73,[1]!Entities[ID_with_x],[1]!Entities[Name_w_County],_xlfn.CONCAT("Entity ID ",RIGHT(Table3[[#This Row],[Sponsor_1_num]],8)," not found")),"")</f>
        <v/>
      </c>
      <c r="O73" t="str">
        <f>IF(LEN(I73)&lt;&gt;0,_xlfn.XLOOKUP(I73,[1]!Entities[ID_with_x],[1]!Entities[Name_w_County],_xlfn.CONCAT("Entity ID ",RIGHT(Table3[[#This Row],[Sponsor_1_num]],8)," not found")),"")</f>
        <v/>
      </c>
      <c r="P73" t="str">
        <f>IF(LEN(J73)&lt;&gt;0,_xlfn.XLOOKUP(J73,[1]!Entities[ID_with_x],[1]!Entities[Name_w_County],_xlfn.CONCAT("Entity ID ",RIGHT(Table3[[#This Row],[Sponsor_1_num]],8)," not found")),"")</f>
        <v/>
      </c>
      <c r="Q73" t="str">
        <f>IF(LEN(K73)&gt;0,_xlfn.TEXTJOIN(", ",TRUE,K73:P73),Table3[[#This Row],[SPONSOR_LIST]])</f>
        <v>Cass County</v>
      </c>
    </row>
    <row r="74" spans="1:17" x14ac:dyDescent="0.25">
      <c r="A74" s="304" t="s">
        <v>1601</v>
      </c>
      <c r="B74" t="s">
        <v>1606</v>
      </c>
      <c r="C74" t="str">
        <f t="shared" si="2"/>
        <v/>
      </c>
      <c r="D74" t="str">
        <f>SUBSTITUTE(SUBSTITUTE(Table3[[#This Row],[Sponsor_list_tranform]],",",",x")," ","")</f>
        <v/>
      </c>
      <c r="K74" t="str">
        <f>IF(LEN(E74)&lt;&gt;0,_xlfn.XLOOKUP(E74,[1]!Entities[ID_with_x],[1]!Entities[Name_w_County],_xlfn.CONCAT("Entity ID ",RIGHT(Table3[[#This Row],[Sponsor_1_num]],8)," not found")),"")</f>
        <v/>
      </c>
      <c r="L74" t="str">
        <f>IF(LEN(F74)&lt;&gt;0,_xlfn.XLOOKUP(F74,[1]!Entities[ID_with_x],[1]!Entities[Name_w_County],_xlfn.CONCAT("Entity ID ",RIGHT(Table3[[#This Row],[Sponsor_1_num]],8)," not found")),"")</f>
        <v/>
      </c>
      <c r="M74" t="str">
        <f>IF(LEN(G74)&lt;&gt;0,_xlfn.XLOOKUP(G74,[1]!Entities[ID_with_x],[1]!Entities[Name_w_County],_xlfn.CONCAT("Entity ID ",RIGHT(Table3[[#This Row],[Sponsor_1_num]],8)," not found")),"")</f>
        <v/>
      </c>
      <c r="N74" t="str">
        <f>IF(LEN(H74)&lt;&gt;0,_xlfn.XLOOKUP(H74,[1]!Entities[ID_with_x],[1]!Entities[Name_w_County],_xlfn.CONCAT("Entity ID ",RIGHT(Table3[[#This Row],[Sponsor_1_num]],8)," not found")),"")</f>
        <v/>
      </c>
      <c r="O74" t="str">
        <f>IF(LEN(I74)&lt;&gt;0,_xlfn.XLOOKUP(I74,[1]!Entities[ID_with_x],[1]!Entities[Name_w_County],_xlfn.CONCAT("Entity ID ",RIGHT(Table3[[#This Row],[Sponsor_1_num]],8)," not found")),"")</f>
        <v/>
      </c>
      <c r="P74" t="str">
        <f>IF(LEN(J74)&lt;&gt;0,_xlfn.XLOOKUP(J74,[1]!Entities[ID_with_x],[1]!Entities[Name_w_County],_xlfn.CONCAT("Entity ID ",RIGHT(Table3[[#This Row],[Sponsor_1_num]],8)," not found")),"")</f>
        <v/>
      </c>
      <c r="Q74" t="str">
        <f>IF(LEN(K74)&gt;0,_xlfn.TEXTJOIN(", ",TRUE,K74:P74),Table3[[#This Row],[SPONSOR_LIST]])</f>
        <v>Delta County</v>
      </c>
    </row>
    <row r="75" spans="1:17" x14ac:dyDescent="0.25">
      <c r="A75" s="304" t="s">
        <v>1608</v>
      </c>
      <c r="B75" t="s">
        <v>1612</v>
      </c>
      <c r="C75" t="str">
        <f t="shared" si="2"/>
        <v/>
      </c>
      <c r="D75" t="str">
        <f>SUBSTITUTE(SUBSTITUTE(Table3[[#This Row],[Sponsor_list_tranform]],",",",x")," ","")</f>
        <v/>
      </c>
      <c r="K75" t="str">
        <f>IF(LEN(E75)&lt;&gt;0,_xlfn.XLOOKUP(E75,[1]!Entities[ID_with_x],[1]!Entities[Name_w_County],_xlfn.CONCAT("Entity ID ",RIGHT(Table3[[#This Row],[Sponsor_1_num]],8)," not found")),"")</f>
        <v/>
      </c>
      <c r="L75" t="str">
        <f>IF(LEN(F75)&lt;&gt;0,_xlfn.XLOOKUP(F75,[1]!Entities[ID_with_x],[1]!Entities[Name_w_County],_xlfn.CONCAT("Entity ID ",RIGHT(Table3[[#This Row],[Sponsor_1_num]],8)," not found")),"")</f>
        <v/>
      </c>
      <c r="M75" t="str">
        <f>IF(LEN(G75)&lt;&gt;0,_xlfn.XLOOKUP(G75,[1]!Entities[ID_with_x],[1]!Entities[Name_w_County],_xlfn.CONCAT("Entity ID ",RIGHT(Table3[[#This Row],[Sponsor_1_num]],8)," not found")),"")</f>
        <v/>
      </c>
      <c r="N75" t="str">
        <f>IF(LEN(H75)&lt;&gt;0,_xlfn.XLOOKUP(H75,[1]!Entities[ID_with_x],[1]!Entities[Name_w_County],_xlfn.CONCAT("Entity ID ",RIGHT(Table3[[#This Row],[Sponsor_1_num]],8)," not found")),"")</f>
        <v/>
      </c>
      <c r="O75" t="str">
        <f>IF(LEN(I75)&lt;&gt;0,_xlfn.XLOOKUP(I75,[1]!Entities[ID_with_x],[1]!Entities[Name_w_County],_xlfn.CONCAT("Entity ID ",RIGHT(Table3[[#This Row],[Sponsor_1_num]],8)," not found")),"")</f>
        <v/>
      </c>
      <c r="P75" t="str">
        <f>IF(LEN(J75)&lt;&gt;0,_xlfn.XLOOKUP(J75,[1]!Entities[ID_with_x],[1]!Entities[Name_w_County],_xlfn.CONCAT("Entity ID ",RIGHT(Table3[[#This Row],[Sponsor_1_num]],8)," not found")),"")</f>
        <v/>
      </c>
      <c r="Q75" t="str">
        <f>IF(LEN(K75)&gt;0,_xlfn.TEXTJOIN(", ",TRUE,K75:P75),Table3[[#This Row],[SPONSOR_LIST]])</f>
        <v>Fannin County</v>
      </c>
    </row>
    <row r="76" spans="1:17" x14ac:dyDescent="0.25">
      <c r="A76" s="304" t="s">
        <v>1614</v>
      </c>
      <c r="B76" t="s">
        <v>1619</v>
      </c>
      <c r="C76" t="str">
        <f t="shared" si="2"/>
        <v/>
      </c>
      <c r="D76" t="str">
        <f>SUBSTITUTE(SUBSTITUTE(Table3[[#This Row],[Sponsor_list_tranform]],",",",x")," ","")</f>
        <v/>
      </c>
      <c r="K76" t="str">
        <f>IF(LEN(E76)&lt;&gt;0,_xlfn.XLOOKUP(E76,[1]!Entities[ID_with_x],[1]!Entities[Name_w_County],_xlfn.CONCAT("Entity ID ",RIGHT(Table3[[#This Row],[Sponsor_1_num]],8)," not found")),"")</f>
        <v/>
      </c>
      <c r="L76" t="str">
        <f>IF(LEN(F76)&lt;&gt;0,_xlfn.XLOOKUP(F76,[1]!Entities[ID_with_x],[1]!Entities[Name_w_County],_xlfn.CONCAT("Entity ID ",RIGHT(Table3[[#This Row],[Sponsor_1_num]],8)," not found")),"")</f>
        <v/>
      </c>
      <c r="M76" t="str">
        <f>IF(LEN(G76)&lt;&gt;0,_xlfn.XLOOKUP(G76,[1]!Entities[ID_with_x],[1]!Entities[Name_w_County],_xlfn.CONCAT("Entity ID ",RIGHT(Table3[[#This Row],[Sponsor_1_num]],8)," not found")),"")</f>
        <v/>
      </c>
      <c r="N76" t="str">
        <f>IF(LEN(H76)&lt;&gt;0,_xlfn.XLOOKUP(H76,[1]!Entities[ID_with_x],[1]!Entities[Name_w_County],_xlfn.CONCAT("Entity ID ",RIGHT(Table3[[#This Row],[Sponsor_1_num]],8)," not found")),"")</f>
        <v/>
      </c>
      <c r="O76" t="str">
        <f>IF(LEN(I76)&lt;&gt;0,_xlfn.XLOOKUP(I76,[1]!Entities[ID_with_x],[1]!Entities[Name_w_County],_xlfn.CONCAT("Entity ID ",RIGHT(Table3[[#This Row],[Sponsor_1_num]],8)," not found")),"")</f>
        <v/>
      </c>
      <c r="P76" t="str">
        <f>IF(LEN(J76)&lt;&gt;0,_xlfn.XLOOKUP(J76,[1]!Entities[ID_with_x],[1]!Entities[Name_w_County],_xlfn.CONCAT("Entity ID ",RIGHT(Table3[[#This Row],[Sponsor_1_num]],8)," not found")),"")</f>
        <v/>
      </c>
      <c r="Q76" t="str">
        <f>IF(LEN(K76)&gt;0,_xlfn.TEXTJOIN(", ",TRUE,K76:P76),Table3[[#This Row],[SPONSOR_LIST]])</f>
        <v>Franklin County</v>
      </c>
    </row>
    <row r="77" spans="1:17" x14ac:dyDescent="0.25">
      <c r="A77" s="304" t="s">
        <v>1621</v>
      </c>
      <c r="B77" t="s">
        <v>1624</v>
      </c>
      <c r="C77" t="str">
        <f t="shared" si="2"/>
        <v/>
      </c>
      <c r="D77" t="str">
        <f>SUBSTITUTE(SUBSTITUTE(Table3[[#This Row],[Sponsor_list_tranform]],",",",x")," ","")</f>
        <v/>
      </c>
      <c r="K77" t="str">
        <f>IF(LEN(E77)&lt;&gt;0,_xlfn.XLOOKUP(E77,[1]!Entities[ID_with_x],[1]!Entities[Name_w_County],_xlfn.CONCAT("Entity ID ",RIGHT(Table3[[#This Row],[Sponsor_1_num]],8)," not found")),"")</f>
        <v/>
      </c>
      <c r="L77" t="str">
        <f>IF(LEN(F77)&lt;&gt;0,_xlfn.XLOOKUP(F77,[1]!Entities[ID_with_x],[1]!Entities[Name_w_County],_xlfn.CONCAT("Entity ID ",RIGHT(Table3[[#This Row],[Sponsor_1_num]],8)," not found")),"")</f>
        <v/>
      </c>
      <c r="M77" t="str">
        <f>IF(LEN(G77)&lt;&gt;0,_xlfn.XLOOKUP(G77,[1]!Entities[ID_with_x],[1]!Entities[Name_w_County],_xlfn.CONCAT("Entity ID ",RIGHT(Table3[[#This Row],[Sponsor_1_num]],8)," not found")),"")</f>
        <v/>
      </c>
      <c r="N77" t="str">
        <f>IF(LEN(H77)&lt;&gt;0,_xlfn.XLOOKUP(H77,[1]!Entities[ID_with_x],[1]!Entities[Name_w_County],_xlfn.CONCAT("Entity ID ",RIGHT(Table3[[#This Row],[Sponsor_1_num]],8)," not found")),"")</f>
        <v/>
      </c>
      <c r="O77" t="str">
        <f>IF(LEN(I77)&lt;&gt;0,_xlfn.XLOOKUP(I77,[1]!Entities[ID_with_x],[1]!Entities[Name_w_County],_xlfn.CONCAT("Entity ID ",RIGHT(Table3[[#This Row],[Sponsor_1_num]],8)," not found")),"")</f>
        <v/>
      </c>
      <c r="P77" t="str">
        <f>IF(LEN(J77)&lt;&gt;0,_xlfn.XLOOKUP(J77,[1]!Entities[ID_with_x],[1]!Entities[Name_w_County],_xlfn.CONCAT("Entity ID ",RIGHT(Table3[[#This Row],[Sponsor_1_num]],8)," not found")),"")</f>
        <v/>
      </c>
      <c r="Q77" t="str">
        <f>IF(LEN(K77)&gt;0,_xlfn.TEXTJOIN(", ",TRUE,K77:P77),Table3[[#This Row],[SPONSOR_LIST]])</f>
        <v>Grayson County</v>
      </c>
    </row>
    <row r="78" spans="1:17" x14ac:dyDescent="0.25">
      <c r="A78" s="304" t="s">
        <v>1626</v>
      </c>
      <c r="B78" t="s">
        <v>1630</v>
      </c>
      <c r="C78" t="str">
        <f t="shared" si="2"/>
        <v/>
      </c>
      <c r="D78" t="str">
        <f>SUBSTITUTE(SUBSTITUTE(Table3[[#This Row],[Sponsor_list_tranform]],",",",x")," ","")</f>
        <v/>
      </c>
      <c r="K78" t="str">
        <f>IF(LEN(E78)&lt;&gt;0,_xlfn.XLOOKUP(E78,[1]!Entities[ID_with_x],[1]!Entities[Name_w_County],_xlfn.CONCAT("Entity ID ",RIGHT(Table3[[#This Row],[Sponsor_1_num]],8)," not found")),"")</f>
        <v/>
      </c>
      <c r="L78" t="str">
        <f>IF(LEN(F78)&lt;&gt;0,_xlfn.XLOOKUP(F78,[1]!Entities[ID_with_x],[1]!Entities[Name_w_County],_xlfn.CONCAT("Entity ID ",RIGHT(Table3[[#This Row],[Sponsor_1_num]],8)," not found")),"")</f>
        <v/>
      </c>
      <c r="M78" t="str">
        <f>IF(LEN(G78)&lt;&gt;0,_xlfn.XLOOKUP(G78,[1]!Entities[ID_with_x],[1]!Entities[Name_w_County],_xlfn.CONCAT("Entity ID ",RIGHT(Table3[[#This Row],[Sponsor_1_num]],8)," not found")),"")</f>
        <v/>
      </c>
      <c r="N78" t="str">
        <f>IF(LEN(H78)&lt;&gt;0,_xlfn.XLOOKUP(H78,[1]!Entities[ID_with_x],[1]!Entities[Name_w_County],_xlfn.CONCAT("Entity ID ",RIGHT(Table3[[#This Row],[Sponsor_1_num]],8)," not found")),"")</f>
        <v/>
      </c>
      <c r="O78" t="str">
        <f>IF(LEN(I78)&lt;&gt;0,_xlfn.XLOOKUP(I78,[1]!Entities[ID_with_x],[1]!Entities[Name_w_County],_xlfn.CONCAT("Entity ID ",RIGHT(Table3[[#This Row],[Sponsor_1_num]],8)," not found")),"")</f>
        <v/>
      </c>
      <c r="P78" t="str">
        <f>IF(LEN(J78)&lt;&gt;0,_xlfn.XLOOKUP(J78,[1]!Entities[ID_with_x],[1]!Entities[Name_w_County],_xlfn.CONCAT("Entity ID ",RIGHT(Table3[[#This Row],[Sponsor_1_num]],8)," not found")),"")</f>
        <v/>
      </c>
      <c r="Q78" t="str">
        <f>IF(LEN(K78)&gt;0,_xlfn.TEXTJOIN(", ",TRUE,K78:P78),Table3[[#This Row],[SPONSOR_LIST]])</f>
        <v>Harrison County</v>
      </c>
    </row>
    <row r="79" spans="1:17" x14ac:dyDescent="0.25">
      <c r="A79" s="304" t="s">
        <v>1632</v>
      </c>
      <c r="B79" t="s">
        <v>1637</v>
      </c>
      <c r="C79" t="str">
        <f t="shared" si="2"/>
        <v/>
      </c>
      <c r="D79" t="str">
        <f>SUBSTITUTE(SUBSTITUTE(Table3[[#This Row],[Sponsor_list_tranform]],",",",x")," ","")</f>
        <v/>
      </c>
      <c r="K79" t="str">
        <f>IF(LEN(E79)&lt;&gt;0,_xlfn.XLOOKUP(E79,[1]!Entities[ID_with_x],[1]!Entities[Name_w_County],_xlfn.CONCAT("Entity ID ",RIGHT(Table3[[#This Row],[Sponsor_1_num]],8)," not found")),"")</f>
        <v/>
      </c>
      <c r="L79" t="str">
        <f>IF(LEN(F79)&lt;&gt;0,_xlfn.XLOOKUP(F79,[1]!Entities[ID_with_x],[1]!Entities[Name_w_County],_xlfn.CONCAT("Entity ID ",RIGHT(Table3[[#This Row],[Sponsor_1_num]],8)," not found")),"")</f>
        <v/>
      </c>
      <c r="M79" t="str">
        <f>IF(LEN(G79)&lt;&gt;0,_xlfn.XLOOKUP(G79,[1]!Entities[ID_with_x],[1]!Entities[Name_w_County],_xlfn.CONCAT("Entity ID ",RIGHT(Table3[[#This Row],[Sponsor_1_num]],8)," not found")),"")</f>
        <v/>
      </c>
      <c r="N79" t="str">
        <f>IF(LEN(H79)&lt;&gt;0,_xlfn.XLOOKUP(H79,[1]!Entities[ID_with_x],[1]!Entities[Name_w_County],_xlfn.CONCAT("Entity ID ",RIGHT(Table3[[#This Row],[Sponsor_1_num]],8)," not found")),"")</f>
        <v/>
      </c>
      <c r="O79" t="str">
        <f>IF(LEN(I79)&lt;&gt;0,_xlfn.XLOOKUP(I79,[1]!Entities[ID_with_x],[1]!Entities[Name_w_County],_xlfn.CONCAT("Entity ID ",RIGHT(Table3[[#This Row],[Sponsor_1_num]],8)," not found")),"")</f>
        <v/>
      </c>
      <c r="P79" t="str">
        <f>IF(LEN(J79)&lt;&gt;0,_xlfn.XLOOKUP(J79,[1]!Entities[ID_with_x],[1]!Entities[Name_w_County],_xlfn.CONCAT("Entity ID ",RIGHT(Table3[[#This Row],[Sponsor_1_num]],8)," not found")),"")</f>
        <v/>
      </c>
      <c r="Q79" t="str">
        <f>IF(LEN(K79)&gt;0,_xlfn.TEXTJOIN(", ",TRUE,K79:P79),Table3[[#This Row],[SPONSOR_LIST]])</f>
        <v>Hopkins County</v>
      </c>
    </row>
    <row r="80" spans="1:17" x14ac:dyDescent="0.25">
      <c r="A80" s="304" t="s">
        <v>1639</v>
      </c>
      <c r="B80" t="s">
        <v>1643</v>
      </c>
      <c r="C80" t="str">
        <f t="shared" si="2"/>
        <v/>
      </c>
      <c r="D80" t="str">
        <f>SUBSTITUTE(SUBSTITUTE(Table3[[#This Row],[Sponsor_list_tranform]],",",",x")," ","")</f>
        <v/>
      </c>
      <c r="K80" t="str">
        <f>IF(LEN(E80)&lt;&gt;0,_xlfn.XLOOKUP(E80,[1]!Entities[ID_with_x],[1]!Entities[Name_w_County],_xlfn.CONCAT("Entity ID ",RIGHT(Table3[[#This Row],[Sponsor_1_num]],8)," not found")),"")</f>
        <v/>
      </c>
      <c r="L80" t="str">
        <f>IF(LEN(F80)&lt;&gt;0,_xlfn.XLOOKUP(F80,[1]!Entities[ID_with_x],[1]!Entities[Name_w_County],_xlfn.CONCAT("Entity ID ",RIGHT(Table3[[#This Row],[Sponsor_1_num]],8)," not found")),"")</f>
        <v/>
      </c>
      <c r="M80" t="str">
        <f>IF(LEN(G80)&lt;&gt;0,_xlfn.XLOOKUP(G80,[1]!Entities[ID_with_x],[1]!Entities[Name_w_County],_xlfn.CONCAT("Entity ID ",RIGHT(Table3[[#This Row],[Sponsor_1_num]],8)," not found")),"")</f>
        <v/>
      </c>
      <c r="N80" t="str">
        <f>IF(LEN(H80)&lt;&gt;0,_xlfn.XLOOKUP(H80,[1]!Entities[ID_with_x],[1]!Entities[Name_w_County],_xlfn.CONCAT("Entity ID ",RIGHT(Table3[[#This Row],[Sponsor_1_num]],8)," not found")),"")</f>
        <v/>
      </c>
      <c r="O80" t="str">
        <f>IF(LEN(I80)&lt;&gt;0,_xlfn.XLOOKUP(I80,[1]!Entities[ID_with_x],[1]!Entities[Name_w_County],_xlfn.CONCAT("Entity ID ",RIGHT(Table3[[#This Row],[Sponsor_1_num]],8)," not found")),"")</f>
        <v/>
      </c>
      <c r="P80" t="str">
        <f>IF(LEN(J80)&lt;&gt;0,_xlfn.XLOOKUP(J80,[1]!Entities[ID_with_x],[1]!Entities[Name_w_County],_xlfn.CONCAT("Entity ID ",RIGHT(Table3[[#This Row],[Sponsor_1_num]],8)," not found")),"")</f>
        <v/>
      </c>
      <c r="Q80" t="str">
        <f>IF(LEN(K80)&gt;0,_xlfn.TEXTJOIN(", ",TRUE,K80:P80),Table3[[#This Row],[SPONSOR_LIST]])</f>
        <v>Lamar County</v>
      </c>
    </row>
    <row r="81" spans="1:17" x14ac:dyDescent="0.25">
      <c r="A81" s="304" t="s">
        <v>1645</v>
      </c>
      <c r="B81" t="s">
        <v>1650</v>
      </c>
      <c r="C81" t="str">
        <f t="shared" si="2"/>
        <v/>
      </c>
      <c r="D81" t="str">
        <f>SUBSTITUTE(SUBSTITUTE(Table3[[#This Row],[Sponsor_list_tranform]],",",",x")," ","")</f>
        <v/>
      </c>
      <c r="K81" t="str">
        <f>IF(LEN(E81)&lt;&gt;0,_xlfn.XLOOKUP(E81,[1]!Entities[ID_with_x],[1]!Entities[Name_w_County],_xlfn.CONCAT("Entity ID ",RIGHT(Table3[[#This Row],[Sponsor_1_num]],8)," not found")),"")</f>
        <v/>
      </c>
      <c r="L81" t="str">
        <f>IF(LEN(F81)&lt;&gt;0,_xlfn.XLOOKUP(F81,[1]!Entities[ID_with_x],[1]!Entities[Name_w_County],_xlfn.CONCAT("Entity ID ",RIGHT(Table3[[#This Row],[Sponsor_1_num]],8)," not found")),"")</f>
        <v/>
      </c>
      <c r="M81" t="str">
        <f>IF(LEN(G81)&lt;&gt;0,_xlfn.XLOOKUP(G81,[1]!Entities[ID_with_x],[1]!Entities[Name_w_County],_xlfn.CONCAT("Entity ID ",RIGHT(Table3[[#This Row],[Sponsor_1_num]],8)," not found")),"")</f>
        <v/>
      </c>
      <c r="N81" t="str">
        <f>IF(LEN(H81)&lt;&gt;0,_xlfn.XLOOKUP(H81,[1]!Entities[ID_with_x],[1]!Entities[Name_w_County],_xlfn.CONCAT("Entity ID ",RIGHT(Table3[[#This Row],[Sponsor_1_num]],8)," not found")),"")</f>
        <v/>
      </c>
      <c r="O81" t="str">
        <f>IF(LEN(I81)&lt;&gt;0,_xlfn.XLOOKUP(I81,[1]!Entities[ID_with_x],[1]!Entities[Name_w_County],_xlfn.CONCAT("Entity ID ",RIGHT(Table3[[#This Row],[Sponsor_1_num]],8)," not found")),"")</f>
        <v/>
      </c>
      <c r="P81" t="str">
        <f>IF(LEN(J81)&lt;&gt;0,_xlfn.XLOOKUP(J81,[1]!Entities[ID_with_x],[1]!Entities[Name_w_County],_xlfn.CONCAT("Entity ID ",RIGHT(Table3[[#This Row],[Sponsor_1_num]],8)," not found")),"")</f>
        <v/>
      </c>
      <c r="Q81" t="str">
        <f>IF(LEN(K81)&gt;0,_xlfn.TEXTJOIN(", ",TRUE,K81:P81),Table3[[#This Row],[SPONSOR_LIST]])</f>
        <v>Marion County</v>
      </c>
    </row>
    <row r="82" spans="1:17" x14ac:dyDescent="0.25">
      <c r="A82" s="304" t="s">
        <v>1652</v>
      </c>
      <c r="B82" t="s">
        <v>1658</v>
      </c>
      <c r="C82" t="str">
        <f t="shared" si="2"/>
        <v/>
      </c>
      <c r="D82" t="str">
        <f>SUBSTITUTE(SUBSTITUTE(Table3[[#This Row],[Sponsor_list_tranform]],",",",x")," ","")</f>
        <v/>
      </c>
      <c r="K82" t="str">
        <f>IF(LEN(E82)&lt;&gt;0,_xlfn.XLOOKUP(E82,[1]!Entities[ID_with_x],[1]!Entities[Name_w_County],_xlfn.CONCAT("Entity ID ",RIGHT(Table3[[#This Row],[Sponsor_1_num]],8)," not found")),"")</f>
        <v/>
      </c>
      <c r="L82" t="str">
        <f>IF(LEN(F82)&lt;&gt;0,_xlfn.XLOOKUP(F82,[1]!Entities[ID_with_x],[1]!Entities[Name_w_County],_xlfn.CONCAT("Entity ID ",RIGHT(Table3[[#This Row],[Sponsor_1_num]],8)," not found")),"")</f>
        <v/>
      </c>
      <c r="M82" t="str">
        <f>IF(LEN(G82)&lt;&gt;0,_xlfn.XLOOKUP(G82,[1]!Entities[ID_with_x],[1]!Entities[Name_w_County],_xlfn.CONCAT("Entity ID ",RIGHT(Table3[[#This Row],[Sponsor_1_num]],8)," not found")),"")</f>
        <v/>
      </c>
      <c r="N82" t="str">
        <f>IF(LEN(H82)&lt;&gt;0,_xlfn.XLOOKUP(H82,[1]!Entities[ID_with_x],[1]!Entities[Name_w_County],_xlfn.CONCAT("Entity ID ",RIGHT(Table3[[#This Row],[Sponsor_1_num]],8)," not found")),"")</f>
        <v/>
      </c>
      <c r="O82" t="str">
        <f>IF(LEN(I82)&lt;&gt;0,_xlfn.XLOOKUP(I82,[1]!Entities[ID_with_x],[1]!Entities[Name_w_County],_xlfn.CONCAT("Entity ID ",RIGHT(Table3[[#This Row],[Sponsor_1_num]],8)," not found")),"")</f>
        <v/>
      </c>
      <c r="P82" t="str">
        <f>IF(LEN(J82)&lt;&gt;0,_xlfn.XLOOKUP(J82,[1]!Entities[ID_with_x],[1]!Entities[Name_w_County],_xlfn.CONCAT("Entity ID ",RIGHT(Table3[[#This Row],[Sponsor_1_num]],8)," not found")),"")</f>
        <v/>
      </c>
      <c r="Q82" t="str">
        <f>IF(LEN(K82)&gt;0,_xlfn.TEXTJOIN(", ",TRUE,K82:P82),Table3[[#This Row],[SPONSOR_LIST]])</f>
        <v>Morris County</v>
      </c>
    </row>
    <row r="83" spans="1:17" x14ac:dyDescent="0.25">
      <c r="A83" s="304" t="s">
        <v>1660</v>
      </c>
      <c r="B83" t="s">
        <v>1664</v>
      </c>
      <c r="C83" t="str">
        <f t="shared" si="2"/>
        <v/>
      </c>
      <c r="D83" t="str">
        <f>SUBSTITUTE(SUBSTITUTE(Table3[[#This Row],[Sponsor_list_tranform]],",",",x")," ","")</f>
        <v/>
      </c>
      <c r="K83" t="str">
        <f>IF(LEN(E83)&lt;&gt;0,_xlfn.XLOOKUP(E83,[1]!Entities[ID_with_x],[1]!Entities[Name_w_County],_xlfn.CONCAT("Entity ID ",RIGHT(Table3[[#This Row],[Sponsor_1_num]],8)," not found")),"")</f>
        <v/>
      </c>
      <c r="L83" t="str">
        <f>IF(LEN(F83)&lt;&gt;0,_xlfn.XLOOKUP(F83,[1]!Entities[ID_with_x],[1]!Entities[Name_w_County],_xlfn.CONCAT("Entity ID ",RIGHT(Table3[[#This Row],[Sponsor_1_num]],8)," not found")),"")</f>
        <v/>
      </c>
      <c r="M83" t="str">
        <f>IF(LEN(G83)&lt;&gt;0,_xlfn.XLOOKUP(G83,[1]!Entities[ID_with_x],[1]!Entities[Name_w_County],_xlfn.CONCAT("Entity ID ",RIGHT(Table3[[#This Row],[Sponsor_1_num]],8)," not found")),"")</f>
        <v/>
      </c>
      <c r="N83" t="str">
        <f>IF(LEN(H83)&lt;&gt;0,_xlfn.XLOOKUP(H83,[1]!Entities[ID_with_x],[1]!Entities[Name_w_County],_xlfn.CONCAT("Entity ID ",RIGHT(Table3[[#This Row],[Sponsor_1_num]],8)," not found")),"")</f>
        <v/>
      </c>
      <c r="O83" t="str">
        <f>IF(LEN(I83)&lt;&gt;0,_xlfn.XLOOKUP(I83,[1]!Entities[ID_with_x],[1]!Entities[Name_w_County],_xlfn.CONCAT("Entity ID ",RIGHT(Table3[[#This Row],[Sponsor_1_num]],8)," not found")),"")</f>
        <v/>
      </c>
      <c r="P83" t="str">
        <f>IF(LEN(J83)&lt;&gt;0,_xlfn.XLOOKUP(J83,[1]!Entities[ID_with_x],[1]!Entities[Name_w_County],_xlfn.CONCAT("Entity ID ",RIGHT(Table3[[#This Row],[Sponsor_1_num]],8)," not found")),"")</f>
        <v/>
      </c>
      <c r="Q83" t="str">
        <f>IF(LEN(K83)&gt;0,_xlfn.TEXTJOIN(", ",TRUE,K83:P83),Table3[[#This Row],[SPONSOR_LIST]])</f>
        <v>Red River County</v>
      </c>
    </row>
    <row r="84" spans="1:17" x14ac:dyDescent="0.25">
      <c r="A84" s="304" t="s">
        <v>1666</v>
      </c>
      <c r="B84" t="s">
        <v>1671</v>
      </c>
      <c r="C84" t="str">
        <f t="shared" si="2"/>
        <v/>
      </c>
      <c r="D84" t="str">
        <f>SUBSTITUTE(SUBSTITUTE(Table3[[#This Row],[Sponsor_list_tranform]],",",",x")," ","")</f>
        <v/>
      </c>
      <c r="K84" t="str">
        <f>IF(LEN(E84)&lt;&gt;0,_xlfn.XLOOKUP(E84,[1]!Entities[ID_with_x],[1]!Entities[Name_w_County],_xlfn.CONCAT("Entity ID ",RIGHT(Table3[[#This Row],[Sponsor_1_num]],8)," not found")),"")</f>
        <v/>
      </c>
      <c r="L84" t="str">
        <f>IF(LEN(F84)&lt;&gt;0,_xlfn.XLOOKUP(F84,[1]!Entities[ID_with_x],[1]!Entities[Name_w_County],_xlfn.CONCAT("Entity ID ",RIGHT(Table3[[#This Row],[Sponsor_1_num]],8)," not found")),"")</f>
        <v/>
      </c>
      <c r="M84" t="str">
        <f>IF(LEN(G84)&lt;&gt;0,_xlfn.XLOOKUP(G84,[1]!Entities[ID_with_x],[1]!Entities[Name_w_County],_xlfn.CONCAT("Entity ID ",RIGHT(Table3[[#This Row],[Sponsor_1_num]],8)," not found")),"")</f>
        <v/>
      </c>
      <c r="N84" t="str">
        <f>IF(LEN(H84)&lt;&gt;0,_xlfn.XLOOKUP(H84,[1]!Entities[ID_with_x],[1]!Entities[Name_w_County],_xlfn.CONCAT("Entity ID ",RIGHT(Table3[[#This Row],[Sponsor_1_num]],8)," not found")),"")</f>
        <v/>
      </c>
      <c r="O84" t="str">
        <f>IF(LEN(I84)&lt;&gt;0,_xlfn.XLOOKUP(I84,[1]!Entities[ID_with_x],[1]!Entities[Name_w_County],_xlfn.CONCAT("Entity ID ",RIGHT(Table3[[#This Row],[Sponsor_1_num]],8)," not found")),"")</f>
        <v/>
      </c>
      <c r="P84" t="str">
        <f>IF(LEN(J84)&lt;&gt;0,_xlfn.XLOOKUP(J84,[1]!Entities[ID_with_x],[1]!Entities[Name_w_County],_xlfn.CONCAT("Entity ID ",RIGHT(Table3[[#This Row],[Sponsor_1_num]],8)," not found")),"")</f>
        <v/>
      </c>
      <c r="Q84" t="str">
        <f>IF(LEN(K84)&gt;0,_xlfn.TEXTJOIN(", ",TRUE,K84:P84),Table3[[#This Row],[SPONSOR_LIST]])</f>
        <v>Titus County</v>
      </c>
    </row>
    <row r="85" spans="1:17" x14ac:dyDescent="0.25">
      <c r="A85" s="304" t="s">
        <v>1733</v>
      </c>
      <c r="B85" t="s">
        <v>1679</v>
      </c>
      <c r="C85" t="str">
        <f t="shared" si="2"/>
        <v/>
      </c>
      <c r="D85" t="str">
        <f>SUBSTITUTE(SUBSTITUTE(Table3[[#This Row],[Sponsor_list_tranform]],",",",x")," ","")</f>
        <v/>
      </c>
      <c r="K85" t="str">
        <f>IF(LEN(E85)&lt;&gt;0,_xlfn.XLOOKUP(E85,[1]!Entities[ID_with_x],[1]!Entities[Name_w_County],_xlfn.CONCAT("Entity ID ",RIGHT(Table3[[#This Row],[Sponsor_1_num]],8)," not found")),"")</f>
        <v/>
      </c>
      <c r="L85" t="str">
        <f>IF(LEN(F85)&lt;&gt;0,_xlfn.XLOOKUP(F85,[1]!Entities[ID_with_x],[1]!Entities[Name_w_County],_xlfn.CONCAT("Entity ID ",RIGHT(Table3[[#This Row],[Sponsor_1_num]],8)," not found")),"")</f>
        <v/>
      </c>
      <c r="M85" t="str">
        <f>IF(LEN(G85)&lt;&gt;0,_xlfn.XLOOKUP(G85,[1]!Entities[ID_with_x],[1]!Entities[Name_w_County],_xlfn.CONCAT("Entity ID ",RIGHT(Table3[[#This Row],[Sponsor_1_num]],8)," not found")),"")</f>
        <v/>
      </c>
      <c r="N85" t="str">
        <f>IF(LEN(H85)&lt;&gt;0,_xlfn.XLOOKUP(H85,[1]!Entities[ID_with_x],[1]!Entities[Name_w_County],_xlfn.CONCAT("Entity ID ",RIGHT(Table3[[#This Row],[Sponsor_1_num]],8)," not found")),"")</f>
        <v/>
      </c>
      <c r="O85" t="str">
        <f>IF(LEN(I85)&lt;&gt;0,_xlfn.XLOOKUP(I85,[1]!Entities[ID_with_x],[1]!Entities[Name_w_County],_xlfn.CONCAT("Entity ID ",RIGHT(Table3[[#This Row],[Sponsor_1_num]],8)," not found")),"")</f>
        <v/>
      </c>
      <c r="P85" t="str">
        <f>IF(LEN(J85)&lt;&gt;0,_xlfn.XLOOKUP(J85,[1]!Entities[ID_with_x],[1]!Entities[Name_w_County],_xlfn.CONCAT("Entity ID ",RIGHT(Table3[[#This Row],[Sponsor_1_num]],8)," not found")),"")</f>
        <v/>
      </c>
      <c r="Q85" t="str">
        <f>IF(LEN(K85)&gt;0,_xlfn.TEXTJOIN(", ",TRUE,K85:P85),Table3[[#This Row],[SPONSOR_LIST]])</f>
        <v>Upshur County</v>
      </c>
    </row>
    <row r="86" spans="1:17" x14ac:dyDescent="0.25">
      <c r="A86" s="304" t="s">
        <v>1682</v>
      </c>
      <c r="B86" t="s">
        <v>1687</v>
      </c>
      <c r="C86" t="str">
        <f t="shared" si="2"/>
        <v/>
      </c>
      <c r="D86" t="str">
        <f>SUBSTITUTE(SUBSTITUTE(Table3[[#This Row],[Sponsor_list_tranform]],",",",x")," ","")</f>
        <v/>
      </c>
      <c r="K86" t="str">
        <f>IF(LEN(E86)&lt;&gt;0,_xlfn.XLOOKUP(E86,[1]!Entities[ID_with_x],[1]!Entities[Name_w_County],_xlfn.CONCAT("Entity ID ",RIGHT(Table3[[#This Row],[Sponsor_1_num]],8)," not found")),"")</f>
        <v/>
      </c>
      <c r="L86" t="str">
        <f>IF(LEN(F86)&lt;&gt;0,_xlfn.XLOOKUP(F86,[1]!Entities[ID_with_x],[1]!Entities[Name_w_County],_xlfn.CONCAT("Entity ID ",RIGHT(Table3[[#This Row],[Sponsor_1_num]],8)," not found")),"")</f>
        <v/>
      </c>
      <c r="M86" t="str">
        <f>IF(LEN(G86)&lt;&gt;0,_xlfn.XLOOKUP(G86,[1]!Entities[ID_with_x],[1]!Entities[Name_w_County],_xlfn.CONCAT("Entity ID ",RIGHT(Table3[[#This Row],[Sponsor_1_num]],8)," not found")),"")</f>
        <v/>
      </c>
      <c r="N86" t="str">
        <f>IF(LEN(H86)&lt;&gt;0,_xlfn.XLOOKUP(H86,[1]!Entities[ID_with_x],[1]!Entities[Name_w_County],_xlfn.CONCAT("Entity ID ",RIGHT(Table3[[#This Row],[Sponsor_1_num]],8)," not found")),"")</f>
        <v/>
      </c>
      <c r="O86" t="str">
        <f>IF(LEN(I86)&lt;&gt;0,_xlfn.XLOOKUP(I86,[1]!Entities[ID_with_x],[1]!Entities[Name_w_County],_xlfn.CONCAT("Entity ID ",RIGHT(Table3[[#This Row],[Sponsor_1_num]],8)," not found")),"")</f>
        <v/>
      </c>
      <c r="P86" t="str">
        <f>IF(LEN(J86)&lt;&gt;0,_xlfn.XLOOKUP(J86,[1]!Entities[ID_with_x],[1]!Entities[Name_w_County],_xlfn.CONCAT("Entity ID ",RIGHT(Table3[[#This Row],[Sponsor_1_num]],8)," not found")),"")</f>
        <v/>
      </c>
      <c r="Q86" t="str">
        <f>IF(LEN(K86)&gt;0,_xlfn.TEXTJOIN(", ",TRUE,K86:P86),Table3[[#This Row],[SPONSOR_LIST]])</f>
        <v>City of Commerce</v>
      </c>
    </row>
    <row r="87" spans="1:17" x14ac:dyDescent="0.25">
      <c r="A87" s="304" t="s">
        <v>1689</v>
      </c>
      <c r="B87" t="s">
        <v>1694</v>
      </c>
      <c r="C87" t="str">
        <f t="shared" si="2"/>
        <v/>
      </c>
      <c r="D87" t="str">
        <f>SUBSTITUTE(SUBSTITUTE(Table3[[#This Row],[Sponsor_list_tranform]],",",",x")," ","")</f>
        <v/>
      </c>
      <c r="K87" t="str">
        <f>IF(LEN(E87)&lt;&gt;0,_xlfn.XLOOKUP(E87,[1]!Entities[ID_with_x],[1]!Entities[Name_w_County],_xlfn.CONCAT("Entity ID ",RIGHT(Table3[[#This Row],[Sponsor_1_num]],8)," not found")),"")</f>
        <v/>
      </c>
      <c r="L87" t="str">
        <f>IF(LEN(F87)&lt;&gt;0,_xlfn.XLOOKUP(F87,[1]!Entities[ID_with_x],[1]!Entities[Name_w_County],_xlfn.CONCAT("Entity ID ",RIGHT(Table3[[#This Row],[Sponsor_1_num]],8)," not found")),"")</f>
        <v/>
      </c>
      <c r="M87" t="str">
        <f>IF(LEN(G87)&lt;&gt;0,_xlfn.XLOOKUP(G87,[1]!Entities[ID_with_x],[1]!Entities[Name_w_County],_xlfn.CONCAT("Entity ID ",RIGHT(Table3[[#This Row],[Sponsor_1_num]],8)," not found")),"")</f>
        <v/>
      </c>
      <c r="N87" t="str">
        <f>IF(LEN(H87)&lt;&gt;0,_xlfn.XLOOKUP(H87,[1]!Entities[ID_with_x],[1]!Entities[Name_w_County],_xlfn.CONCAT("Entity ID ",RIGHT(Table3[[#This Row],[Sponsor_1_num]],8)," not found")),"")</f>
        <v/>
      </c>
      <c r="O87" t="str">
        <f>IF(LEN(I87)&lt;&gt;0,_xlfn.XLOOKUP(I87,[1]!Entities[ID_with_x],[1]!Entities[Name_w_County],_xlfn.CONCAT("Entity ID ",RIGHT(Table3[[#This Row],[Sponsor_1_num]],8)," not found")),"")</f>
        <v/>
      </c>
      <c r="P87" t="str">
        <f>IF(LEN(J87)&lt;&gt;0,_xlfn.XLOOKUP(J87,[1]!Entities[ID_with_x],[1]!Entities[Name_w_County],_xlfn.CONCAT("Entity ID ",RIGHT(Table3[[#This Row],[Sponsor_1_num]],8)," not found")),"")</f>
        <v/>
      </c>
      <c r="Q87" t="str">
        <f>IF(LEN(K87)&gt;0,_xlfn.TEXTJOIN(", ",TRUE,K87:P87),Table3[[#This Row],[SPONSOR_LIST]])</f>
        <v>City of Whitewright</v>
      </c>
    </row>
    <row r="88" spans="1:17" x14ac:dyDescent="0.25">
      <c r="A88" s="304" t="s">
        <v>1696</v>
      </c>
      <c r="B88" t="s">
        <v>1571</v>
      </c>
      <c r="C88" t="str">
        <f t="shared" si="2"/>
        <v/>
      </c>
      <c r="D88" t="str">
        <f>SUBSTITUTE(SUBSTITUTE(Table3[[#This Row],[Sponsor_list_tranform]],",",",x")," ","")</f>
        <v/>
      </c>
      <c r="K88" t="str">
        <f>IF(LEN(E88)&lt;&gt;0,_xlfn.XLOOKUP(E88,[1]!Entities[ID_with_x],[1]!Entities[Name_w_County],_xlfn.CONCAT("Entity ID ",RIGHT(Table3[[#This Row],[Sponsor_1_num]],8)," not found")),"")</f>
        <v/>
      </c>
      <c r="L88" t="str">
        <f>IF(LEN(F88)&lt;&gt;0,_xlfn.XLOOKUP(F88,[1]!Entities[ID_with_x],[1]!Entities[Name_w_County],_xlfn.CONCAT("Entity ID ",RIGHT(Table3[[#This Row],[Sponsor_1_num]],8)," not found")),"")</f>
        <v/>
      </c>
      <c r="M88" t="str">
        <f>IF(LEN(G88)&lt;&gt;0,_xlfn.XLOOKUP(G88,[1]!Entities[ID_with_x],[1]!Entities[Name_w_County],_xlfn.CONCAT("Entity ID ",RIGHT(Table3[[#This Row],[Sponsor_1_num]],8)," not found")),"")</f>
        <v/>
      </c>
      <c r="N88" t="str">
        <f>IF(LEN(H88)&lt;&gt;0,_xlfn.XLOOKUP(H88,[1]!Entities[ID_with_x],[1]!Entities[Name_w_County],_xlfn.CONCAT("Entity ID ",RIGHT(Table3[[#This Row],[Sponsor_1_num]],8)," not found")),"")</f>
        <v/>
      </c>
      <c r="O88" t="str">
        <f>IF(LEN(I88)&lt;&gt;0,_xlfn.XLOOKUP(I88,[1]!Entities[ID_with_x],[1]!Entities[Name_w_County],_xlfn.CONCAT("Entity ID ",RIGHT(Table3[[#This Row],[Sponsor_1_num]],8)," not found")),"")</f>
        <v/>
      </c>
      <c r="P88" t="str">
        <f>IF(LEN(J88)&lt;&gt;0,_xlfn.XLOOKUP(J88,[1]!Entities[ID_with_x],[1]!Entities[Name_w_County],_xlfn.CONCAT("Entity ID ",RIGHT(Table3[[#This Row],[Sponsor_1_num]],8)," not found")),"")</f>
        <v/>
      </c>
      <c r="Q88" t="str">
        <f>IF(LEN(K88)&gt;0,_xlfn.TEXTJOIN(", ",TRUE,K88:P88),Table3[[#This Row],[SPONSOR_LIST]])</f>
        <v>City of Sherman</v>
      </c>
    </row>
    <row r="89" spans="1:17" x14ac:dyDescent="0.25">
      <c r="A89" s="304" t="s">
        <v>1701</v>
      </c>
      <c r="B89" t="s">
        <v>1624</v>
      </c>
      <c r="C89" t="str">
        <f t="shared" si="2"/>
        <v/>
      </c>
      <c r="D89" t="str">
        <f>SUBSTITUTE(SUBSTITUTE(Table3[[#This Row],[Sponsor_list_tranform]],",",",x")," ","")</f>
        <v/>
      </c>
      <c r="K89" t="str">
        <f>IF(LEN(E89)&lt;&gt;0,_xlfn.XLOOKUP(E89,[1]!Entities[ID_with_x],[1]!Entities[Name_w_County],_xlfn.CONCAT("Entity ID ",RIGHT(Table3[[#This Row],[Sponsor_1_num]],8)," not found")),"")</f>
        <v/>
      </c>
      <c r="L89" t="str">
        <f>IF(LEN(F89)&lt;&gt;0,_xlfn.XLOOKUP(F89,[1]!Entities[ID_with_x],[1]!Entities[Name_w_County],_xlfn.CONCAT("Entity ID ",RIGHT(Table3[[#This Row],[Sponsor_1_num]],8)," not found")),"")</f>
        <v/>
      </c>
      <c r="M89" t="str">
        <f>IF(LEN(G89)&lt;&gt;0,_xlfn.XLOOKUP(G89,[1]!Entities[ID_with_x],[1]!Entities[Name_w_County],_xlfn.CONCAT("Entity ID ",RIGHT(Table3[[#This Row],[Sponsor_1_num]],8)," not found")),"")</f>
        <v/>
      </c>
      <c r="N89" t="str">
        <f>IF(LEN(H89)&lt;&gt;0,_xlfn.XLOOKUP(H89,[1]!Entities[ID_with_x],[1]!Entities[Name_w_County],_xlfn.CONCAT("Entity ID ",RIGHT(Table3[[#This Row],[Sponsor_1_num]],8)," not found")),"")</f>
        <v/>
      </c>
      <c r="O89" t="str">
        <f>IF(LEN(I89)&lt;&gt;0,_xlfn.XLOOKUP(I89,[1]!Entities[ID_with_x],[1]!Entities[Name_w_County],_xlfn.CONCAT("Entity ID ",RIGHT(Table3[[#This Row],[Sponsor_1_num]],8)," not found")),"")</f>
        <v/>
      </c>
      <c r="P89" t="str">
        <f>IF(LEN(J89)&lt;&gt;0,_xlfn.XLOOKUP(J89,[1]!Entities[ID_with_x],[1]!Entities[Name_w_County],_xlfn.CONCAT("Entity ID ",RIGHT(Table3[[#This Row],[Sponsor_1_num]],8)," not found")),"")</f>
        <v/>
      </c>
      <c r="Q89" t="str">
        <f>IF(LEN(K89)&gt;0,_xlfn.TEXTJOIN(", ",TRUE,K89:P89),Table3[[#This Row],[SPONSOR_LIST]])</f>
        <v>Grayson County</v>
      </c>
    </row>
    <row r="90" spans="1:17" x14ac:dyDescent="0.25">
      <c r="A90" s="304" t="s">
        <v>1705</v>
      </c>
      <c r="B90" t="s">
        <v>1711</v>
      </c>
      <c r="C90" t="str">
        <f t="shared" si="2"/>
        <v/>
      </c>
      <c r="D90" t="str">
        <f>SUBSTITUTE(SUBSTITUTE(Table3[[#This Row],[Sponsor_list_tranform]],",",",x")," ","")</f>
        <v/>
      </c>
      <c r="K90" t="str">
        <f>IF(LEN(E90)&lt;&gt;0,_xlfn.XLOOKUP(E90,[1]!Entities[ID_with_x],[1]!Entities[Name_w_County],_xlfn.CONCAT("Entity ID ",RIGHT(Table3[[#This Row],[Sponsor_1_num]],8)," not found")),"")</f>
        <v/>
      </c>
      <c r="L90" t="str">
        <f>IF(LEN(F90)&lt;&gt;0,_xlfn.XLOOKUP(F90,[1]!Entities[ID_with_x],[1]!Entities[Name_w_County],_xlfn.CONCAT("Entity ID ",RIGHT(Table3[[#This Row],[Sponsor_1_num]],8)," not found")),"")</f>
        <v/>
      </c>
      <c r="M90" t="str">
        <f>IF(LEN(G90)&lt;&gt;0,_xlfn.XLOOKUP(G90,[1]!Entities[ID_with_x],[1]!Entities[Name_w_County],_xlfn.CONCAT("Entity ID ",RIGHT(Table3[[#This Row],[Sponsor_1_num]],8)," not found")),"")</f>
        <v/>
      </c>
      <c r="N90" t="str">
        <f>IF(LEN(H90)&lt;&gt;0,_xlfn.XLOOKUP(H90,[1]!Entities[ID_with_x],[1]!Entities[Name_w_County],_xlfn.CONCAT("Entity ID ",RIGHT(Table3[[#This Row],[Sponsor_1_num]],8)," not found")),"")</f>
        <v/>
      </c>
      <c r="O90" t="str">
        <f>IF(LEN(I90)&lt;&gt;0,_xlfn.XLOOKUP(I90,[1]!Entities[ID_with_x],[1]!Entities[Name_w_County],_xlfn.CONCAT("Entity ID ",RIGHT(Table3[[#This Row],[Sponsor_1_num]],8)," not found")),"")</f>
        <v/>
      </c>
      <c r="P90" t="str">
        <f>IF(LEN(J90)&lt;&gt;0,_xlfn.XLOOKUP(J90,[1]!Entities[ID_with_x],[1]!Entities[Name_w_County],_xlfn.CONCAT("Entity ID ",RIGHT(Table3[[#This Row],[Sponsor_1_num]],8)," not found")),"")</f>
        <v/>
      </c>
      <c r="Q90" t="str">
        <f>IF(LEN(K90)&gt;0,_xlfn.TEXTJOIN(", ",TRUE,K90:P90),Table3[[#This Row],[SPONSOR_LIST]])</f>
        <v>City of Bonham</v>
      </c>
    </row>
    <row r="91" spans="1:17" x14ac:dyDescent="0.25">
      <c r="A91" s="304" t="s">
        <v>1713</v>
      </c>
      <c r="B91" t="s">
        <v>1612</v>
      </c>
      <c r="C91" t="str">
        <f t="shared" si="2"/>
        <v/>
      </c>
      <c r="D91" t="str">
        <f>SUBSTITUTE(SUBSTITUTE(Table3[[#This Row],[Sponsor_list_tranform]],",",",x")," ","")</f>
        <v/>
      </c>
      <c r="K91" t="str">
        <f>IF(LEN(E91)&lt;&gt;0,_xlfn.XLOOKUP(E91,[1]!Entities[ID_with_x],[1]!Entities[Name_w_County],_xlfn.CONCAT("Entity ID ",RIGHT(Table3[[#This Row],[Sponsor_1_num]],8)," not found")),"")</f>
        <v/>
      </c>
      <c r="L91" t="str">
        <f>IF(LEN(F91)&lt;&gt;0,_xlfn.XLOOKUP(F91,[1]!Entities[ID_with_x],[1]!Entities[Name_w_County],_xlfn.CONCAT("Entity ID ",RIGHT(Table3[[#This Row],[Sponsor_1_num]],8)," not found")),"")</f>
        <v/>
      </c>
      <c r="M91" t="str">
        <f>IF(LEN(G91)&lt;&gt;0,_xlfn.XLOOKUP(G91,[1]!Entities[ID_with_x],[1]!Entities[Name_w_County],_xlfn.CONCAT("Entity ID ",RIGHT(Table3[[#This Row],[Sponsor_1_num]],8)," not found")),"")</f>
        <v/>
      </c>
      <c r="N91" t="str">
        <f>IF(LEN(H91)&lt;&gt;0,_xlfn.XLOOKUP(H91,[1]!Entities[ID_with_x],[1]!Entities[Name_w_County],_xlfn.CONCAT("Entity ID ",RIGHT(Table3[[#This Row],[Sponsor_1_num]],8)," not found")),"")</f>
        <v/>
      </c>
      <c r="O91" t="str">
        <f>IF(LEN(I91)&lt;&gt;0,_xlfn.XLOOKUP(I91,[1]!Entities[ID_with_x],[1]!Entities[Name_w_County],_xlfn.CONCAT("Entity ID ",RIGHT(Table3[[#This Row],[Sponsor_1_num]],8)," not found")),"")</f>
        <v/>
      </c>
      <c r="P91" t="str">
        <f>IF(LEN(J91)&lt;&gt;0,_xlfn.XLOOKUP(J91,[1]!Entities[ID_with_x],[1]!Entities[Name_w_County],_xlfn.CONCAT("Entity ID ",RIGHT(Table3[[#This Row],[Sponsor_1_num]],8)," not found")),"")</f>
        <v/>
      </c>
      <c r="Q91" t="str">
        <f>IF(LEN(K91)&gt;0,_xlfn.TEXTJOIN(", ",TRUE,K91:P91),Table3[[#This Row],[SPONSOR_LIST]])</f>
        <v>Fannin County</v>
      </c>
    </row>
    <row r="92" spans="1:17" x14ac:dyDescent="0.25">
      <c r="A92" s="304" t="s">
        <v>1716</v>
      </c>
      <c r="B92" t="s">
        <v>1724</v>
      </c>
      <c r="C92" t="str">
        <f t="shared" si="2"/>
        <v/>
      </c>
      <c r="D92" t="str">
        <f>SUBSTITUTE(SUBSTITUTE(Table3[[#This Row],[Sponsor_list_tranform]],",",",x")," ","")</f>
        <v/>
      </c>
      <c r="K92" t="str">
        <f>IF(LEN(E92)&lt;&gt;0,_xlfn.XLOOKUP(E92,[1]!Entities[ID_with_x],[1]!Entities[Name_w_County],_xlfn.CONCAT("Entity ID ",RIGHT(Table3[[#This Row],[Sponsor_1_num]],8)," not found")),"")</f>
        <v/>
      </c>
      <c r="L92" t="str">
        <f>IF(LEN(F92)&lt;&gt;0,_xlfn.XLOOKUP(F92,[1]!Entities[ID_with_x],[1]!Entities[Name_w_County],_xlfn.CONCAT("Entity ID ",RIGHT(Table3[[#This Row],[Sponsor_1_num]],8)," not found")),"")</f>
        <v/>
      </c>
      <c r="M92" t="str">
        <f>IF(LEN(G92)&lt;&gt;0,_xlfn.XLOOKUP(G92,[1]!Entities[ID_with_x],[1]!Entities[Name_w_County],_xlfn.CONCAT("Entity ID ",RIGHT(Table3[[#This Row],[Sponsor_1_num]],8)," not found")),"")</f>
        <v/>
      </c>
      <c r="N92" t="str">
        <f>IF(LEN(H92)&lt;&gt;0,_xlfn.XLOOKUP(H92,[1]!Entities[ID_with_x],[1]!Entities[Name_w_County],_xlfn.CONCAT("Entity ID ",RIGHT(Table3[[#This Row],[Sponsor_1_num]],8)," not found")),"")</f>
        <v/>
      </c>
      <c r="O92" t="str">
        <f>IF(LEN(I92)&lt;&gt;0,_xlfn.XLOOKUP(I92,[1]!Entities[ID_with_x],[1]!Entities[Name_w_County],_xlfn.CONCAT("Entity ID ",RIGHT(Table3[[#This Row],[Sponsor_1_num]],8)," not found")),"")</f>
        <v/>
      </c>
      <c r="P92" t="str">
        <f>IF(LEN(J92)&lt;&gt;0,_xlfn.XLOOKUP(J92,[1]!Entities[ID_with_x],[1]!Entities[Name_w_County],_xlfn.CONCAT("Entity ID ",RIGHT(Table3[[#This Row],[Sponsor_1_num]],8)," not found")),"")</f>
        <v/>
      </c>
      <c r="Q92" t="str">
        <f>IF(LEN(K92)&gt;0,_xlfn.TEXTJOIN(", ",TRUE,K92:P92),Table3[[#This Row],[SPONSOR_LIST]])</f>
        <v>City of Sadler</v>
      </c>
    </row>
    <row r="93" spans="1:17" x14ac:dyDescent="0.25">
      <c r="A93" s="304" t="s">
        <v>1726</v>
      </c>
      <c r="B93" t="s">
        <v>1671</v>
      </c>
      <c r="C93" t="str">
        <f t="shared" si="2"/>
        <v/>
      </c>
      <c r="D93" t="str">
        <f>SUBSTITUTE(SUBSTITUTE(Table3[[#This Row],[Sponsor_list_tranform]],",",",x")," ","")</f>
        <v/>
      </c>
      <c r="K93" t="str">
        <f>IF(LEN(E93)&lt;&gt;0,_xlfn.XLOOKUP(E93,[1]!Entities[ID_with_x],[1]!Entities[Name_w_County],_xlfn.CONCAT("Entity ID ",RIGHT(Table3[[#This Row],[Sponsor_1_num]],8)," not found")),"")</f>
        <v/>
      </c>
      <c r="L93" t="str">
        <f>IF(LEN(F93)&lt;&gt;0,_xlfn.XLOOKUP(F93,[1]!Entities[ID_with_x],[1]!Entities[Name_w_County],_xlfn.CONCAT("Entity ID ",RIGHT(Table3[[#This Row],[Sponsor_1_num]],8)," not found")),"")</f>
        <v/>
      </c>
      <c r="M93" t="str">
        <f>IF(LEN(G93)&lt;&gt;0,_xlfn.XLOOKUP(G93,[1]!Entities[ID_with_x],[1]!Entities[Name_w_County],_xlfn.CONCAT("Entity ID ",RIGHT(Table3[[#This Row],[Sponsor_1_num]],8)," not found")),"")</f>
        <v/>
      </c>
      <c r="N93" t="str">
        <f>IF(LEN(H93)&lt;&gt;0,_xlfn.XLOOKUP(H93,[1]!Entities[ID_with_x],[1]!Entities[Name_w_County],_xlfn.CONCAT("Entity ID ",RIGHT(Table3[[#This Row],[Sponsor_1_num]],8)," not found")),"")</f>
        <v/>
      </c>
      <c r="O93" t="str">
        <f>IF(LEN(I93)&lt;&gt;0,_xlfn.XLOOKUP(I93,[1]!Entities[ID_with_x],[1]!Entities[Name_w_County],_xlfn.CONCAT("Entity ID ",RIGHT(Table3[[#This Row],[Sponsor_1_num]],8)," not found")),"")</f>
        <v/>
      </c>
      <c r="P93" t="str">
        <f>IF(LEN(J93)&lt;&gt;0,_xlfn.XLOOKUP(J93,[1]!Entities[ID_with_x],[1]!Entities[Name_w_County],_xlfn.CONCAT("Entity ID ",RIGHT(Table3[[#This Row],[Sponsor_1_num]],8)," not found")),"")</f>
        <v/>
      </c>
      <c r="Q93" t="str">
        <f>IF(LEN(K93)&gt;0,_xlfn.TEXTJOIN(", ",TRUE,K93:P93),Table3[[#This Row],[SPONSOR_LIST]])</f>
        <v>Titus County</v>
      </c>
    </row>
    <row r="94" spans="1:17" x14ac:dyDescent="0.25">
      <c r="A94" s="304" t="s">
        <v>1673</v>
      </c>
      <c r="B94" t="s">
        <v>1679</v>
      </c>
      <c r="C94" t="str">
        <f t="shared" si="2"/>
        <v/>
      </c>
      <c r="D94" t="str">
        <f>SUBSTITUTE(SUBSTITUTE(Table3[[#This Row],[Sponsor_list_tranform]],",",",x")," ","")</f>
        <v/>
      </c>
      <c r="K94" t="str">
        <f>IF(LEN(E94)&lt;&gt;0,_xlfn.XLOOKUP(E94,[1]!Entities[ID_with_x],[1]!Entities[Name_w_County],_xlfn.CONCAT("Entity ID ",RIGHT(Table3[[#This Row],[Sponsor_1_num]],8)," not found")),"")</f>
        <v/>
      </c>
      <c r="L94" t="str">
        <f>IF(LEN(F94)&lt;&gt;0,_xlfn.XLOOKUP(F94,[1]!Entities[ID_with_x],[1]!Entities[Name_w_County],_xlfn.CONCAT("Entity ID ",RIGHT(Table3[[#This Row],[Sponsor_1_num]],8)," not found")),"")</f>
        <v/>
      </c>
      <c r="M94" t="str">
        <f>IF(LEN(G94)&lt;&gt;0,_xlfn.XLOOKUP(G94,[1]!Entities[ID_with_x],[1]!Entities[Name_w_County],_xlfn.CONCAT("Entity ID ",RIGHT(Table3[[#This Row],[Sponsor_1_num]],8)," not found")),"")</f>
        <v/>
      </c>
      <c r="N94" t="str">
        <f>IF(LEN(H94)&lt;&gt;0,_xlfn.XLOOKUP(H94,[1]!Entities[ID_with_x],[1]!Entities[Name_w_County],_xlfn.CONCAT("Entity ID ",RIGHT(Table3[[#This Row],[Sponsor_1_num]],8)," not found")),"")</f>
        <v/>
      </c>
      <c r="O94" t="str">
        <f>IF(LEN(I94)&lt;&gt;0,_xlfn.XLOOKUP(I94,[1]!Entities[ID_with_x],[1]!Entities[Name_w_County],_xlfn.CONCAT("Entity ID ",RIGHT(Table3[[#This Row],[Sponsor_1_num]],8)," not found")),"")</f>
        <v/>
      </c>
      <c r="P94" t="str">
        <f>IF(LEN(J94)&lt;&gt;0,_xlfn.XLOOKUP(J94,[1]!Entities[ID_with_x],[1]!Entities[Name_w_County],_xlfn.CONCAT("Entity ID ",RIGHT(Table3[[#This Row],[Sponsor_1_num]],8)," not found")),"")</f>
        <v/>
      </c>
      <c r="Q94" t="str">
        <f>IF(LEN(K94)&gt;0,_xlfn.TEXTJOIN(", ",TRUE,K94:P94),Table3[[#This Row],[SPONSOR_LIST]])</f>
        <v>Upshur County</v>
      </c>
    </row>
    <row r="95" spans="1:17" x14ac:dyDescent="0.25">
      <c r="A95" s="304" t="s">
        <v>1750</v>
      </c>
      <c r="B95" t="s">
        <v>1748</v>
      </c>
      <c r="C95" t="str">
        <f t="shared" si="2"/>
        <v/>
      </c>
      <c r="D95" t="str">
        <f>SUBSTITUTE(SUBSTITUTE(Table3[[#This Row],[Sponsor_list_tranform]],",",",x")," ","")</f>
        <v/>
      </c>
      <c r="K95" t="str">
        <f>IF(LEN(E95)&lt;&gt;0,_xlfn.XLOOKUP(E95,[1]!Entities[ID_with_x],[1]!Entities[Name_w_County],_xlfn.CONCAT("Entity ID ",RIGHT(Table3[[#This Row],[Sponsor_1_num]],8)," not found")),"")</f>
        <v/>
      </c>
      <c r="L95" t="str">
        <f>IF(LEN(F95)&lt;&gt;0,_xlfn.XLOOKUP(F95,[1]!Entities[ID_with_x],[1]!Entities[Name_w_County],_xlfn.CONCAT("Entity ID ",RIGHT(Table3[[#This Row],[Sponsor_1_num]],8)," not found")),"")</f>
        <v/>
      </c>
      <c r="M95" t="str">
        <f>IF(LEN(G95)&lt;&gt;0,_xlfn.XLOOKUP(G95,[1]!Entities[ID_with_x],[1]!Entities[Name_w_County],_xlfn.CONCAT("Entity ID ",RIGHT(Table3[[#This Row],[Sponsor_1_num]],8)," not found")),"")</f>
        <v/>
      </c>
      <c r="N95" t="str">
        <f>IF(LEN(H95)&lt;&gt;0,_xlfn.XLOOKUP(H95,[1]!Entities[ID_with_x],[1]!Entities[Name_w_County],_xlfn.CONCAT("Entity ID ",RIGHT(Table3[[#This Row],[Sponsor_1_num]],8)," not found")),"")</f>
        <v/>
      </c>
      <c r="O95" t="str">
        <f>IF(LEN(I95)&lt;&gt;0,_xlfn.XLOOKUP(I95,[1]!Entities[ID_with_x],[1]!Entities[Name_w_County],_xlfn.CONCAT("Entity ID ",RIGHT(Table3[[#This Row],[Sponsor_1_num]],8)," not found")),"")</f>
        <v/>
      </c>
      <c r="P95" t="str">
        <f>IF(LEN(J95)&lt;&gt;0,_xlfn.XLOOKUP(J95,[1]!Entities[ID_with_x],[1]!Entities[Name_w_County],_xlfn.CONCAT("Entity ID ",RIGHT(Table3[[#This Row],[Sponsor_1_num]],8)," not found")),"")</f>
        <v/>
      </c>
      <c r="Q95" t="str">
        <f>IF(LEN(K95)&gt;0,_xlfn.TEXTJOIN(", ",TRUE,K95:P95),Table3[[#This Row],[SPONSOR_LIST]])</f>
        <v>Ark - Tex Council of Goverments</v>
      </c>
    </row>
    <row r="96" spans="1:17" x14ac:dyDescent="0.25">
      <c r="A96" s="304" t="s">
        <v>1760</v>
      </c>
      <c r="B96" t="s">
        <v>1766</v>
      </c>
      <c r="C96" t="str">
        <f t="shared" si="2"/>
        <v/>
      </c>
      <c r="D96" t="str">
        <f>SUBSTITUTE(SUBSTITUTE(Table3[[#This Row],[Sponsor_list_tranform]],",",",x")," ","")</f>
        <v/>
      </c>
      <c r="K96" t="str">
        <f>IF(LEN(E96)&lt;&gt;0,_xlfn.XLOOKUP(E96,[1]!Entities[ID_with_x],[1]!Entities[Name_w_County],_xlfn.CONCAT("Entity ID ",RIGHT(Table3[[#This Row],[Sponsor_1_num]],8)," not found")),"")</f>
        <v/>
      </c>
      <c r="L96" t="str">
        <f>IF(LEN(F96)&lt;&gt;0,_xlfn.XLOOKUP(F96,[1]!Entities[ID_with_x],[1]!Entities[Name_w_County],_xlfn.CONCAT("Entity ID ",RIGHT(Table3[[#This Row],[Sponsor_1_num]],8)," not found")),"")</f>
        <v/>
      </c>
      <c r="M96" t="str">
        <f>IF(LEN(G96)&lt;&gt;0,_xlfn.XLOOKUP(G96,[1]!Entities[ID_with_x],[1]!Entities[Name_w_County],_xlfn.CONCAT("Entity ID ",RIGHT(Table3[[#This Row],[Sponsor_1_num]],8)," not found")),"")</f>
        <v/>
      </c>
      <c r="N96" t="str">
        <f>IF(LEN(H96)&lt;&gt;0,_xlfn.XLOOKUP(H96,[1]!Entities[ID_with_x],[1]!Entities[Name_w_County],_xlfn.CONCAT("Entity ID ",RIGHT(Table3[[#This Row],[Sponsor_1_num]],8)," not found")),"")</f>
        <v/>
      </c>
      <c r="O96" t="str">
        <f>IF(LEN(I96)&lt;&gt;0,_xlfn.XLOOKUP(I96,[1]!Entities[ID_with_x],[1]!Entities[Name_w_County],_xlfn.CONCAT("Entity ID ",RIGHT(Table3[[#This Row],[Sponsor_1_num]],8)," not found")),"")</f>
        <v/>
      </c>
      <c r="P96" t="str">
        <f>IF(LEN(J96)&lt;&gt;0,_xlfn.XLOOKUP(J96,[1]!Entities[ID_with_x],[1]!Entities[Name_w_County],_xlfn.CONCAT("Entity ID ",RIGHT(Table3[[#This Row],[Sponsor_1_num]],8)," not found")),"")</f>
        <v/>
      </c>
      <c r="Q96" t="str">
        <f>IF(LEN(K96)&gt;0,_xlfn.TEXTJOIN(", ",TRUE,K96:P96),Table3[[#This Row],[SPONSOR_LIST]])</f>
        <v>City of Denison</v>
      </c>
    </row>
    <row r="97" spans="1:17" x14ac:dyDescent="0.25">
      <c r="A97" s="304" t="s">
        <v>1754</v>
      </c>
      <c r="B97" t="s">
        <v>1748</v>
      </c>
      <c r="C97" t="str">
        <f t="shared" si="2"/>
        <v/>
      </c>
      <c r="D97" t="str">
        <f>SUBSTITUTE(SUBSTITUTE(Table3[[#This Row],[Sponsor_list_tranform]],",",",x")," ","")</f>
        <v/>
      </c>
      <c r="K97" t="str">
        <f>IF(LEN(E97)&lt;&gt;0,_xlfn.XLOOKUP(E97,[1]!Entities[ID_with_x],[1]!Entities[Name_w_County],_xlfn.CONCAT("Entity ID ",RIGHT(Table3[[#This Row],[Sponsor_1_num]],8)," not found")),"")</f>
        <v/>
      </c>
      <c r="L97" t="str">
        <f>IF(LEN(F97)&lt;&gt;0,_xlfn.XLOOKUP(F97,[1]!Entities[ID_with_x],[1]!Entities[Name_w_County],_xlfn.CONCAT("Entity ID ",RIGHT(Table3[[#This Row],[Sponsor_1_num]],8)," not found")),"")</f>
        <v/>
      </c>
      <c r="M97" t="str">
        <f>IF(LEN(G97)&lt;&gt;0,_xlfn.XLOOKUP(G97,[1]!Entities[ID_with_x],[1]!Entities[Name_w_County],_xlfn.CONCAT("Entity ID ",RIGHT(Table3[[#This Row],[Sponsor_1_num]],8)," not found")),"")</f>
        <v/>
      </c>
      <c r="N97" t="str">
        <f>IF(LEN(H97)&lt;&gt;0,_xlfn.XLOOKUP(H97,[1]!Entities[ID_with_x],[1]!Entities[Name_w_County],_xlfn.CONCAT("Entity ID ",RIGHT(Table3[[#This Row],[Sponsor_1_num]],8)," not found")),"")</f>
        <v/>
      </c>
      <c r="O97" t="str">
        <f>IF(LEN(I97)&lt;&gt;0,_xlfn.XLOOKUP(I97,[1]!Entities[ID_with_x],[1]!Entities[Name_w_County],_xlfn.CONCAT("Entity ID ",RIGHT(Table3[[#This Row],[Sponsor_1_num]],8)," not found")),"")</f>
        <v/>
      </c>
      <c r="P97" t="str">
        <f>IF(LEN(J97)&lt;&gt;0,_xlfn.XLOOKUP(J97,[1]!Entities[ID_with_x],[1]!Entities[Name_w_County],_xlfn.CONCAT("Entity ID ",RIGHT(Table3[[#This Row],[Sponsor_1_num]],8)," not found")),"")</f>
        <v/>
      </c>
      <c r="Q97" t="str">
        <f>IF(LEN(K97)&gt;0,_xlfn.TEXTJOIN(", ",TRUE,K97:P97),Table3[[#This Row],[SPONSOR_LIST]])</f>
        <v>Ark - Tex Council of Goverments</v>
      </c>
    </row>
    <row r="98" spans="1:17" x14ac:dyDescent="0.25">
      <c r="A98" s="304" t="s">
        <v>1741</v>
      </c>
      <c r="B98" t="s">
        <v>1748</v>
      </c>
      <c r="C98" t="str">
        <f t="shared" si="2"/>
        <v/>
      </c>
      <c r="D98" t="str">
        <f>SUBSTITUTE(SUBSTITUTE(Table3[[#This Row],[Sponsor_list_tranform]],",",",x")," ","")</f>
        <v/>
      </c>
      <c r="K98" t="str">
        <f>IF(LEN(E98)&lt;&gt;0,_xlfn.XLOOKUP(E98,[1]!Entities[ID_with_x],[1]!Entities[Name_w_County],_xlfn.CONCAT("Entity ID ",RIGHT(Table3[[#This Row],[Sponsor_1_num]],8)," not found")),"")</f>
        <v/>
      </c>
      <c r="L98" t="str">
        <f>IF(LEN(F98)&lt;&gt;0,_xlfn.XLOOKUP(F98,[1]!Entities[ID_with_x],[1]!Entities[Name_w_County],_xlfn.CONCAT("Entity ID ",RIGHT(Table3[[#This Row],[Sponsor_1_num]],8)," not found")),"")</f>
        <v/>
      </c>
      <c r="M98" t="str">
        <f>IF(LEN(G98)&lt;&gt;0,_xlfn.XLOOKUP(G98,[1]!Entities[ID_with_x],[1]!Entities[Name_w_County],_xlfn.CONCAT("Entity ID ",RIGHT(Table3[[#This Row],[Sponsor_1_num]],8)," not found")),"")</f>
        <v/>
      </c>
      <c r="N98" t="str">
        <f>IF(LEN(H98)&lt;&gt;0,_xlfn.XLOOKUP(H98,[1]!Entities[ID_with_x],[1]!Entities[Name_w_County],_xlfn.CONCAT("Entity ID ",RIGHT(Table3[[#This Row],[Sponsor_1_num]],8)," not found")),"")</f>
        <v/>
      </c>
      <c r="O98" t="str">
        <f>IF(LEN(I98)&lt;&gt;0,_xlfn.XLOOKUP(I98,[1]!Entities[ID_with_x],[1]!Entities[Name_w_County],_xlfn.CONCAT("Entity ID ",RIGHT(Table3[[#This Row],[Sponsor_1_num]],8)," not found")),"")</f>
        <v/>
      </c>
      <c r="P98" t="str">
        <f>IF(LEN(J98)&lt;&gt;0,_xlfn.XLOOKUP(J98,[1]!Entities[ID_with_x],[1]!Entities[Name_w_County],_xlfn.CONCAT("Entity ID ",RIGHT(Table3[[#This Row],[Sponsor_1_num]],8)," not found")),"")</f>
        <v/>
      </c>
      <c r="Q98" t="str">
        <f>IF(LEN(K98)&gt;0,_xlfn.TEXTJOIN(", ",TRUE,K98:P98),Table3[[#This Row],[SPONSOR_LIST]])</f>
        <v>Ark - Tex Council of Goverments</v>
      </c>
    </row>
    <row r="99" spans="1:17" x14ac:dyDescent="0.25">
      <c r="A99" s="304" t="s">
        <v>1757</v>
      </c>
      <c r="B99" t="s">
        <v>1748</v>
      </c>
      <c r="C99" t="str">
        <f t="shared" si="2"/>
        <v/>
      </c>
      <c r="D99" t="str">
        <f>SUBSTITUTE(SUBSTITUTE(Table3[[#This Row],[Sponsor_list_tranform]],",",",x")," ","")</f>
        <v/>
      </c>
      <c r="K99" t="str">
        <f>IF(LEN(E99)&lt;&gt;0,_xlfn.XLOOKUP(E99,[1]!Entities[ID_with_x],[1]!Entities[Name_w_County],_xlfn.CONCAT("Entity ID ",RIGHT(Table3[[#This Row],[Sponsor_1_num]],8)," not found")),"")</f>
        <v/>
      </c>
      <c r="L99" t="str">
        <f>IF(LEN(F99)&lt;&gt;0,_xlfn.XLOOKUP(F99,[1]!Entities[ID_with_x],[1]!Entities[Name_w_County],_xlfn.CONCAT("Entity ID ",RIGHT(Table3[[#This Row],[Sponsor_1_num]],8)," not found")),"")</f>
        <v/>
      </c>
      <c r="M99" t="str">
        <f>IF(LEN(G99)&lt;&gt;0,_xlfn.XLOOKUP(G99,[1]!Entities[ID_with_x],[1]!Entities[Name_w_County],_xlfn.CONCAT("Entity ID ",RIGHT(Table3[[#This Row],[Sponsor_1_num]],8)," not found")),"")</f>
        <v/>
      </c>
      <c r="N99" t="str">
        <f>IF(LEN(H99)&lt;&gt;0,_xlfn.XLOOKUP(H99,[1]!Entities[ID_with_x],[1]!Entities[Name_w_County],_xlfn.CONCAT("Entity ID ",RIGHT(Table3[[#This Row],[Sponsor_1_num]],8)," not found")),"")</f>
        <v/>
      </c>
      <c r="O99" t="str">
        <f>IF(LEN(I99)&lt;&gt;0,_xlfn.XLOOKUP(I99,[1]!Entities[ID_with_x],[1]!Entities[Name_w_County],_xlfn.CONCAT("Entity ID ",RIGHT(Table3[[#This Row],[Sponsor_1_num]],8)," not found")),"")</f>
        <v/>
      </c>
      <c r="P99" t="str">
        <f>IF(LEN(J99)&lt;&gt;0,_xlfn.XLOOKUP(J99,[1]!Entities[ID_with_x],[1]!Entities[Name_w_County],_xlfn.CONCAT("Entity ID ",RIGHT(Table3[[#This Row],[Sponsor_1_num]],8)," not found")),"")</f>
        <v/>
      </c>
      <c r="Q99" t="str">
        <f>IF(LEN(K99)&gt;0,_xlfn.TEXTJOIN(", ",TRUE,K99:P99),Table3[[#This Row],[SPONSOR_LIST]])</f>
        <v>Ark - Tex Council of Goverments</v>
      </c>
    </row>
    <row r="100" spans="1:17" x14ac:dyDescent="0.25">
      <c r="A100" s="304" t="s">
        <v>2048</v>
      </c>
      <c r="B100" t="s">
        <v>4429</v>
      </c>
      <c r="C100" t="str">
        <f t="shared" si="2"/>
        <v/>
      </c>
      <c r="D100" t="str">
        <f>SUBSTITUTE(SUBSTITUTE(Table3[[#This Row],[Sponsor_list_tranform]],",",",x")," ","")</f>
        <v/>
      </c>
      <c r="K100" t="str">
        <f>IF(LEN(E100)&lt;&gt;0,_xlfn.XLOOKUP(E100,[1]!Entities[ID_with_x],[1]!Entities[Name_w_County],_xlfn.CONCAT("Entity ID ",RIGHT(Table3[[#This Row],[Sponsor_1_num]],8)," not found")),"")</f>
        <v/>
      </c>
      <c r="L100" t="str">
        <f>IF(LEN(F100)&lt;&gt;0,_xlfn.XLOOKUP(F100,[1]!Entities[ID_with_x],[1]!Entities[Name_w_County],_xlfn.CONCAT("Entity ID ",RIGHT(Table3[[#This Row],[Sponsor_1_num]],8)," not found")),"")</f>
        <v/>
      </c>
      <c r="M100" t="str">
        <f>IF(LEN(G100)&lt;&gt;0,_xlfn.XLOOKUP(G100,[1]!Entities[ID_with_x],[1]!Entities[Name_w_County],_xlfn.CONCAT("Entity ID ",RIGHT(Table3[[#This Row],[Sponsor_1_num]],8)," not found")),"")</f>
        <v/>
      </c>
      <c r="N100" t="str">
        <f>IF(LEN(H100)&lt;&gt;0,_xlfn.XLOOKUP(H100,[1]!Entities[ID_with_x],[1]!Entities[Name_w_County],_xlfn.CONCAT("Entity ID ",RIGHT(Table3[[#This Row],[Sponsor_1_num]],8)," not found")),"")</f>
        <v/>
      </c>
      <c r="O100" t="str">
        <f>IF(LEN(I100)&lt;&gt;0,_xlfn.XLOOKUP(I100,[1]!Entities[ID_with_x],[1]!Entities[Name_w_County],_xlfn.CONCAT("Entity ID ",RIGHT(Table3[[#This Row],[Sponsor_1_num]],8)," not found")),"")</f>
        <v/>
      </c>
      <c r="P100" t="str">
        <f>IF(LEN(J100)&lt;&gt;0,_xlfn.XLOOKUP(J100,[1]!Entities[ID_with_x],[1]!Entities[Name_w_County],_xlfn.CONCAT("Entity ID ",RIGHT(Table3[[#This Row],[Sponsor_1_num]],8)," not found")),"")</f>
        <v/>
      </c>
      <c r="Q100" t="str">
        <f>IF(LEN(K100)&gt;0,_xlfn.TEXTJOIN(", ",TRUE,K100:P100),Table3[[#This Row],[SPONSOR_LIST]])</f>
        <v>Lavon</v>
      </c>
    </row>
    <row r="101" spans="1:17" x14ac:dyDescent="0.25">
      <c r="A101" s="304" t="s">
        <v>2054</v>
      </c>
      <c r="B101" t="s">
        <v>4431</v>
      </c>
      <c r="C101" t="str">
        <f t="shared" si="2"/>
        <v/>
      </c>
      <c r="D101" t="str">
        <f>SUBSTITUTE(SUBSTITUTE(Table3[[#This Row],[Sponsor_list_tranform]],",",",x")," ","")</f>
        <v/>
      </c>
      <c r="K101" t="str">
        <f>IF(LEN(E101)&lt;&gt;0,_xlfn.XLOOKUP(E101,[1]!Entities[ID_with_x],[1]!Entities[Name_w_County],_xlfn.CONCAT("Entity ID ",RIGHT(Table3[[#This Row],[Sponsor_1_num]],8)," not found")),"")</f>
        <v/>
      </c>
      <c r="L101" t="str">
        <f>IF(LEN(F101)&lt;&gt;0,_xlfn.XLOOKUP(F101,[1]!Entities[ID_with_x],[1]!Entities[Name_w_County],_xlfn.CONCAT("Entity ID ",RIGHT(Table3[[#This Row],[Sponsor_1_num]],8)," not found")),"")</f>
        <v/>
      </c>
      <c r="M101" t="str">
        <f>IF(LEN(G101)&lt;&gt;0,_xlfn.XLOOKUP(G101,[1]!Entities[ID_with_x],[1]!Entities[Name_w_County],_xlfn.CONCAT("Entity ID ",RIGHT(Table3[[#This Row],[Sponsor_1_num]],8)," not found")),"")</f>
        <v/>
      </c>
      <c r="N101" t="str">
        <f>IF(LEN(H101)&lt;&gt;0,_xlfn.XLOOKUP(H101,[1]!Entities[ID_with_x],[1]!Entities[Name_w_County],_xlfn.CONCAT("Entity ID ",RIGHT(Table3[[#This Row],[Sponsor_1_num]],8)," not found")),"")</f>
        <v/>
      </c>
      <c r="O101" t="str">
        <f>IF(LEN(I101)&lt;&gt;0,_xlfn.XLOOKUP(I101,[1]!Entities[ID_with_x],[1]!Entities[Name_w_County],_xlfn.CONCAT("Entity ID ",RIGHT(Table3[[#This Row],[Sponsor_1_num]],8)," not found")),"")</f>
        <v/>
      </c>
      <c r="P101" t="str">
        <f>IF(LEN(J101)&lt;&gt;0,_xlfn.XLOOKUP(J101,[1]!Entities[ID_with_x],[1]!Entities[Name_w_County],_xlfn.CONCAT("Entity ID ",RIGHT(Table3[[#This Row],[Sponsor_1_num]],8)," not found")),"")</f>
        <v/>
      </c>
      <c r="Q101" t="str">
        <f>IF(LEN(K101)&gt;0,_xlfn.TEXTJOIN(", ",TRUE,K101:P101),Table3[[#This Row],[SPONSOR_LIST]])</f>
        <v>Lindsay</v>
      </c>
    </row>
    <row r="102" spans="1:17" x14ac:dyDescent="0.25">
      <c r="A102" s="304" t="s">
        <v>1863</v>
      </c>
      <c r="B102" t="s">
        <v>4386</v>
      </c>
      <c r="C102" t="str">
        <f t="shared" si="2"/>
        <v/>
      </c>
      <c r="D102" t="str">
        <f>SUBSTITUTE(SUBSTITUTE(Table3[[#This Row],[Sponsor_list_tranform]],",",",x")," ","")</f>
        <v/>
      </c>
      <c r="K102" t="str">
        <f>IF(LEN(E102)&lt;&gt;0,_xlfn.XLOOKUP(E102,[1]!Entities[ID_with_x],[1]!Entities[Name_w_County],_xlfn.CONCAT("Entity ID ",RIGHT(Table3[[#This Row],[Sponsor_1_num]],8)," not found")),"")</f>
        <v/>
      </c>
      <c r="L102" t="str">
        <f>IF(LEN(F102)&lt;&gt;0,_xlfn.XLOOKUP(F102,[1]!Entities[ID_with_x],[1]!Entities[Name_w_County],_xlfn.CONCAT("Entity ID ",RIGHT(Table3[[#This Row],[Sponsor_1_num]],8)," not found")),"")</f>
        <v/>
      </c>
      <c r="M102" t="str">
        <f>IF(LEN(G102)&lt;&gt;0,_xlfn.XLOOKUP(G102,[1]!Entities[ID_with_x],[1]!Entities[Name_w_County],_xlfn.CONCAT("Entity ID ",RIGHT(Table3[[#This Row],[Sponsor_1_num]],8)," not found")),"")</f>
        <v/>
      </c>
      <c r="N102" t="str">
        <f>IF(LEN(H102)&lt;&gt;0,_xlfn.XLOOKUP(H102,[1]!Entities[ID_with_x],[1]!Entities[Name_w_County],_xlfn.CONCAT("Entity ID ",RIGHT(Table3[[#This Row],[Sponsor_1_num]],8)," not found")),"")</f>
        <v/>
      </c>
      <c r="O102" t="str">
        <f>IF(LEN(I102)&lt;&gt;0,_xlfn.XLOOKUP(I102,[1]!Entities[ID_with_x],[1]!Entities[Name_w_County],_xlfn.CONCAT("Entity ID ",RIGHT(Table3[[#This Row],[Sponsor_1_num]],8)," not found")),"")</f>
        <v/>
      </c>
      <c r="P102" t="str">
        <f>IF(LEN(J102)&lt;&gt;0,_xlfn.XLOOKUP(J102,[1]!Entities[ID_with_x],[1]!Entities[Name_w_County],_xlfn.CONCAT("Entity ID ",RIGHT(Table3[[#This Row],[Sponsor_1_num]],8)," not found")),"")</f>
        <v/>
      </c>
      <c r="Q102" t="str">
        <f>IF(LEN(K102)&gt;0,_xlfn.TEXTJOIN(", ",TRUE,K102:P102),Table3[[#This Row],[SPONSOR_LIST]])</f>
        <v>Irving</v>
      </c>
    </row>
    <row r="103" spans="1:17" x14ac:dyDescent="0.25">
      <c r="A103" s="304" t="s">
        <v>1875</v>
      </c>
      <c r="B103" t="s">
        <v>4390</v>
      </c>
      <c r="C103" t="str">
        <f t="shared" si="2"/>
        <v/>
      </c>
      <c r="D103" t="str">
        <f>SUBSTITUTE(SUBSTITUTE(Table3[[#This Row],[Sponsor_list_tranform]],",",",x")," ","")</f>
        <v/>
      </c>
      <c r="K103" t="str">
        <f>IF(LEN(E103)&lt;&gt;0,_xlfn.XLOOKUP(E103,[1]!Entities[ID_with_x],[1]!Entities[Name_w_County],_xlfn.CONCAT("Entity ID ",RIGHT(Table3[[#This Row],[Sponsor_1_num]],8)," not found")),"")</f>
        <v/>
      </c>
      <c r="L103" t="str">
        <f>IF(LEN(F103)&lt;&gt;0,_xlfn.XLOOKUP(F103,[1]!Entities[ID_with_x],[1]!Entities[Name_w_County],_xlfn.CONCAT("Entity ID ",RIGHT(Table3[[#This Row],[Sponsor_1_num]],8)," not found")),"")</f>
        <v/>
      </c>
      <c r="M103" t="str">
        <f>IF(LEN(G103)&lt;&gt;0,_xlfn.XLOOKUP(G103,[1]!Entities[ID_with_x],[1]!Entities[Name_w_County],_xlfn.CONCAT("Entity ID ",RIGHT(Table3[[#This Row],[Sponsor_1_num]],8)," not found")),"")</f>
        <v/>
      </c>
      <c r="N103" t="str">
        <f>IF(LEN(H103)&lt;&gt;0,_xlfn.XLOOKUP(H103,[1]!Entities[ID_with_x],[1]!Entities[Name_w_County],_xlfn.CONCAT("Entity ID ",RIGHT(Table3[[#This Row],[Sponsor_1_num]],8)," not found")),"")</f>
        <v/>
      </c>
      <c r="O103" t="str">
        <f>IF(LEN(I103)&lt;&gt;0,_xlfn.XLOOKUP(I103,[1]!Entities[ID_with_x],[1]!Entities[Name_w_County],_xlfn.CONCAT("Entity ID ",RIGHT(Table3[[#This Row],[Sponsor_1_num]],8)," not found")),"")</f>
        <v/>
      </c>
      <c r="P103" t="str">
        <f>IF(LEN(J103)&lt;&gt;0,_xlfn.XLOOKUP(J103,[1]!Entities[ID_with_x],[1]!Entities[Name_w_County],_xlfn.CONCAT("Entity ID ",RIGHT(Table3[[#This Row],[Sponsor_1_num]],8)," not found")),"")</f>
        <v/>
      </c>
      <c r="Q103" t="str">
        <f>IF(LEN(K103)&gt;0,_xlfn.TEXTJOIN(", ",TRUE,K103:P103),Table3[[#This Row],[SPONSOR_LIST]])</f>
        <v>Richardson</v>
      </c>
    </row>
    <row r="104" spans="1:17" x14ac:dyDescent="0.25">
      <c r="A104" s="304" t="s">
        <v>1882</v>
      </c>
      <c r="B104" t="s">
        <v>4391</v>
      </c>
      <c r="C104" t="str">
        <f t="shared" si="2"/>
        <v/>
      </c>
      <c r="D104" t="str">
        <f>SUBSTITUTE(SUBSTITUTE(Table3[[#This Row],[Sponsor_list_tranform]],",",",x")," ","")</f>
        <v/>
      </c>
      <c r="K104" t="str">
        <f>IF(LEN(E104)&lt;&gt;0,_xlfn.XLOOKUP(E104,[1]!Entities[ID_with_x],[1]!Entities[Name_w_County],_xlfn.CONCAT("Entity ID ",RIGHT(Table3[[#This Row],[Sponsor_1_num]],8)," not found")),"")</f>
        <v/>
      </c>
      <c r="L104" t="str">
        <f>IF(LEN(F104)&lt;&gt;0,_xlfn.XLOOKUP(F104,[1]!Entities[ID_with_x],[1]!Entities[Name_w_County],_xlfn.CONCAT("Entity ID ",RIGHT(Table3[[#This Row],[Sponsor_1_num]],8)," not found")),"")</f>
        <v/>
      </c>
      <c r="M104" t="str">
        <f>IF(LEN(G104)&lt;&gt;0,_xlfn.XLOOKUP(G104,[1]!Entities[ID_with_x],[1]!Entities[Name_w_County],_xlfn.CONCAT("Entity ID ",RIGHT(Table3[[#This Row],[Sponsor_1_num]],8)," not found")),"")</f>
        <v/>
      </c>
      <c r="N104" t="str">
        <f>IF(LEN(H104)&lt;&gt;0,_xlfn.XLOOKUP(H104,[1]!Entities[ID_with_x],[1]!Entities[Name_w_County],_xlfn.CONCAT("Entity ID ",RIGHT(Table3[[#This Row],[Sponsor_1_num]],8)," not found")),"")</f>
        <v/>
      </c>
      <c r="O104" t="str">
        <f>IF(LEN(I104)&lt;&gt;0,_xlfn.XLOOKUP(I104,[1]!Entities[ID_with_x],[1]!Entities[Name_w_County],_xlfn.CONCAT("Entity ID ",RIGHT(Table3[[#This Row],[Sponsor_1_num]],8)," not found")),"")</f>
        <v/>
      </c>
      <c r="P104" t="str">
        <f>IF(LEN(J104)&lt;&gt;0,_xlfn.XLOOKUP(J104,[1]!Entities[ID_with_x],[1]!Entities[Name_w_County],_xlfn.CONCAT("Entity ID ",RIGHT(Table3[[#This Row],[Sponsor_1_num]],8)," not found")),"")</f>
        <v/>
      </c>
      <c r="Q104" t="str">
        <f>IF(LEN(K104)&gt;0,_xlfn.TEXTJOIN(", ",TRUE,K104:P104),Table3[[#This Row],[SPONSOR_LIST]])</f>
        <v>Lewisville</v>
      </c>
    </row>
    <row r="105" spans="1:17" x14ac:dyDescent="0.25">
      <c r="A105" s="304" t="s">
        <v>2061</v>
      </c>
      <c r="B105" t="s">
        <v>4433</v>
      </c>
      <c r="C105" t="str">
        <f t="shared" si="2"/>
        <v/>
      </c>
      <c r="D105" t="str">
        <f>SUBSTITUTE(SUBSTITUTE(Table3[[#This Row],[Sponsor_list_tranform]],",",",x")," ","")</f>
        <v/>
      </c>
      <c r="K105" t="str">
        <f>IF(LEN(E105)&lt;&gt;0,_xlfn.XLOOKUP(E105,[1]!Entities[ID_with_x],[1]!Entities[Name_w_County],_xlfn.CONCAT("Entity ID ",RIGHT(Table3[[#This Row],[Sponsor_1_num]],8)," not found")),"")</f>
        <v/>
      </c>
      <c r="L105" t="str">
        <f>IF(LEN(F105)&lt;&gt;0,_xlfn.XLOOKUP(F105,[1]!Entities[ID_with_x],[1]!Entities[Name_w_County],_xlfn.CONCAT("Entity ID ",RIGHT(Table3[[#This Row],[Sponsor_1_num]],8)," not found")),"")</f>
        <v/>
      </c>
      <c r="M105" t="str">
        <f>IF(LEN(G105)&lt;&gt;0,_xlfn.XLOOKUP(G105,[1]!Entities[ID_with_x],[1]!Entities[Name_w_County],_xlfn.CONCAT("Entity ID ",RIGHT(Table3[[#This Row],[Sponsor_1_num]],8)," not found")),"")</f>
        <v/>
      </c>
      <c r="N105" t="str">
        <f>IF(LEN(H105)&lt;&gt;0,_xlfn.XLOOKUP(H105,[1]!Entities[ID_with_x],[1]!Entities[Name_w_County],_xlfn.CONCAT("Entity ID ",RIGHT(Table3[[#This Row],[Sponsor_1_num]],8)," not found")),"")</f>
        <v/>
      </c>
      <c r="O105" t="str">
        <f>IF(LEN(I105)&lt;&gt;0,_xlfn.XLOOKUP(I105,[1]!Entities[ID_with_x],[1]!Entities[Name_w_County],_xlfn.CONCAT("Entity ID ",RIGHT(Table3[[#This Row],[Sponsor_1_num]],8)," not found")),"")</f>
        <v/>
      </c>
      <c r="P105" t="str">
        <f>IF(LEN(J105)&lt;&gt;0,_xlfn.XLOOKUP(J105,[1]!Entities[ID_with_x],[1]!Entities[Name_w_County],_xlfn.CONCAT("Entity ID ",RIGHT(Table3[[#This Row],[Sponsor_1_num]],8)," not found")),"")</f>
        <v/>
      </c>
      <c r="Q105" t="str">
        <f>IF(LEN(K105)&gt;0,_xlfn.TEXTJOIN(", ",TRUE,K105:P105),Table3[[#This Row],[SPONSOR_LIST]])</f>
        <v>Houston County</v>
      </c>
    </row>
    <row r="106" spans="1:17" x14ac:dyDescent="0.25">
      <c r="A106" s="304" t="s">
        <v>2068</v>
      </c>
      <c r="B106" t="s">
        <v>4435</v>
      </c>
      <c r="C106" t="str">
        <f t="shared" si="2"/>
        <v/>
      </c>
      <c r="D106" t="str">
        <f>SUBSTITUTE(SUBSTITUTE(Table3[[#This Row],[Sponsor_list_tranform]],",",",x")," ","")</f>
        <v/>
      </c>
      <c r="K106" t="str">
        <f>IF(LEN(E106)&lt;&gt;0,_xlfn.XLOOKUP(E106,[1]!Entities[ID_with_x],[1]!Entities[Name_w_County],_xlfn.CONCAT("Entity ID ",RIGHT(Table3[[#This Row],[Sponsor_1_num]],8)," not found")),"")</f>
        <v/>
      </c>
      <c r="L106" t="str">
        <f>IF(LEN(F106)&lt;&gt;0,_xlfn.XLOOKUP(F106,[1]!Entities[ID_with_x],[1]!Entities[Name_w_County],_xlfn.CONCAT("Entity ID ",RIGHT(Table3[[#This Row],[Sponsor_1_num]],8)," not found")),"")</f>
        <v/>
      </c>
      <c r="M106" t="str">
        <f>IF(LEN(G106)&lt;&gt;0,_xlfn.XLOOKUP(G106,[1]!Entities[ID_with_x],[1]!Entities[Name_w_County],_xlfn.CONCAT("Entity ID ",RIGHT(Table3[[#This Row],[Sponsor_1_num]],8)," not found")),"")</f>
        <v/>
      </c>
      <c r="N106" t="str">
        <f>IF(LEN(H106)&lt;&gt;0,_xlfn.XLOOKUP(H106,[1]!Entities[ID_with_x],[1]!Entities[Name_w_County],_xlfn.CONCAT("Entity ID ",RIGHT(Table3[[#This Row],[Sponsor_1_num]],8)," not found")),"")</f>
        <v/>
      </c>
      <c r="O106" t="str">
        <f>IF(LEN(I106)&lt;&gt;0,_xlfn.XLOOKUP(I106,[1]!Entities[ID_with_x],[1]!Entities[Name_w_County],_xlfn.CONCAT("Entity ID ",RIGHT(Table3[[#This Row],[Sponsor_1_num]],8)," not found")),"")</f>
        <v/>
      </c>
      <c r="P106" t="str">
        <f>IF(LEN(J106)&lt;&gt;0,_xlfn.XLOOKUP(J106,[1]!Entities[ID_with_x],[1]!Entities[Name_w_County],_xlfn.CONCAT("Entity ID ",RIGHT(Table3[[#This Row],[Sponsor_1_num]],8)," not found")),"")</f>
        <v/>
      </c>
      <c r="Q106" t="str">
        <f>IF(LEN(K106)&gt;0,_xlfn.TEXTJOIN(", ",TRUE,K106:P106),Table3[[#This Row],[SPONSOR_LIST]])</f>
        <v>Hunt County</v>
      </c>
    </row>
    <row r="107" spans="1:17" x14ac:dyDescent="0.25">
      <c r="A107" s="304" t="s">
        <v>1890</v>
      </c>
      <c r="B107" t="s">
        <v>4393</v>
      </c>
      <c r="C107" t="str">
        <f t="shared" si="2"/>
        <v/>
      </c>
      <c r="D107" t="str">
        <f>SUBSTITUTE(SUBSTITUTE(Table3[[#This Row],[Sponsor_list_tranform]],",",",x")," ","")</f>
        <v/>
      </c>
      <c r="K107" t="str">
        <f>IF(LEN(E107)&lt;&gt;0,_xlfn.XLOOKUP(E107,[1]!Entities[ID_with_x],[1]!Entities[Name_w_County],_xlfn.CONCAT("Entity ID ",RIGHT(Table3[[#This Row],[Sponsor_1_num]],8)," not found")),"")</f>
        <v/>
      </c>
      <c r="L107" t="str">
        <f>IF(LEN(F107)&lt;&gt;0,_xlfn.XLOOKUP(F107,[1]!Entities[ID_with_x],[1]!Entities[Name_w_County],_xlfn.CONCAT("Entity ID ",RIGHT(Table3[[#This Row],[Sponsor_1_num]],8)," not found")),"")</f>
        <v/>
      </c>
      <c r="M107" t="str">
        <f>IF(LEN(G107)&lt;&gt;0,_xlfn.XLOOKUP(G107,[1]!Entities[ID_with_x],[1]!Entities[Name_w_County],_xlfn.CONCAT("Entity ID ",RIGHT(Table3[[#This Row],[Sponsor_1_num]],8)," not found")),"")</f>
        <v/>
      </c>
      <c r="N107" t="str">
        <f>IF(LEN(H107)&lt;&gt;0,_xlfn.XLOOKUP(H107,[1]!Entities[ID_with_x],[1]!Entities[Name_w_County],_xlfn.CONCAT("Entity ID ",RIGHT(Table3[[#This Row],[Sponsor_1_num]],8)," not found")),"")</f>
        <v/>
      </c>
      <c r="O107" t="str">
        <f>IF(LEN(I107)&lt;&gt;0,_xlfn.XLOOKUP(I107,[1]!Entities[ID_with_x],[1]!Entities[Name_w_County],_xlfn.CONCAT("Entity ID ",RIGHT(Table3[[#This Row],[Sponsor_1_num]],8)," not found")),"")</f>
        <v/>
      </c>
      <c r="P107" t="str">
        <f>IF(LEN(J107)&lt;&gt;0,_xlfn.XLOOKUP(J107,[1]!Entities[ID_with_x],[1]!Entities[Name_w_County],_xlfn.CONCAT("Entity ID ",RIGHT(Table3[[#This Row],[Sponsor_1_num]],8)," not found")),"")</f>
        <v/>
      </c>
      <c r="Q107" t="str">
        <f>IF(LEN(K107)&gt;0,_xlfn.TEXTJOIN(", ",TRUE,K107:P107),Table3[[#This Row],[SPONSOR_LIST]])</f>
        <v>Kemp</v>
      </c>
    </row>
    <row r="108" spans="1:17" x14ac:dyDescent="0.25">
      <c r="A108" s="304" t="s">
        <v>2074</v>
      </c>
      <c r="B108" t="s">
        <v>4437</v>
      </c>
      <c r="C108" t="str">
        <f t="shared" si="2"/>
        <v/>
      </c>
      <c r="D108" t="str">
        <f>SUBSTITUTE(SUBSTITUTE(Table3[[#This Row],[Sponsor_list_tranform]],",",",x")," ","")</f>
        <v/>
      </c>
      <c r="K108" t="str">
        <f>IF(LEN(E108)&lt;&gt;0,_xlfn.XLOOKUP(E108,[1]!Entities[ID_with_x],[1]!Entities[Name_w_County],_xlfn.CONCAT("Entity ID ",RIGHT(Table3[[#This Row],[Sponsor_1_num]],8)," not found")),"")</f>
        <v/>
      </c>
      <c r="L108" t="str">
        <f>IF(LEN(F108)&lt;&gt;0,_xlfn.XLOOKUP(F108,[1]!Entities[ID_with_x],[1]!Entities[Name_w_County],_xlfn.CONCAT("Entity ID ",RIGHT(Table3[[#This Row],[Sponsor_1_num]],8)," not found")),"")</f>
        <v/>
      </c>
      <c r="M108" t="str">
        <f>IF(LEN(G108)&lt;&gt;0,_xlfn.XLOOKUP(G108,[1]!Entities[ID_with_x],[1]!Entities[Name_w_County],_xlfn.CONCAT("Entity ID ",RIGHT(Table3[[#This Row],[Sponsor_1_num]],8)," not found")),"")</f>
        <v/>
      </c>
      <c r="N108" t="str">
        <f>IF(LEN(H108)&lt;&gt;0,_xlfn.XLOOKUP(H108,[1]!Entities[ID_with_x],[1]!Entities[Name_w_County],_xlfn.CONCAT("Entity ID ",RIGHT(Table3[[#This Row],[Sponsor_1_num]],8)," not found")),"")</f>
        <v/>
      </c>
      <c r="O108" t="str">
        <f>IF(LEN(I108)&lt;&gt;0,_xlfn.XLOOKUP(I108,[1]!Entities[ID_with_x],[1]!Entities[Name_w_County],_xlfn.CONCAT("Entity ID ",RIGHT(Table3[[#This Row],[Sponsor_1_num]],8)," not found")),"")</f>
        <v/>
      </c>
      <c r="P108" t="str">
        <f>IF(LEN(J108)&lt;&gt;0,_xlfn.XLOOKUP(J108,[1]!Entities[ID_with_x],[1]!Entities[Name_w_County],_xlfn.CONCAT("Entity ID ",RIGHT(Table3[[#This Row],[Sponsor_1_num]],8)," not found")),"")</f>
        <v/>
      </c>
      <c r="Q108" t="str">
        <f>IF(LEN(K108)&gt;0,_xlfn.TEXTJOIN(", ",TRUE,K108:P108),Table3[[#This Row],[SPONSOR_LIST]])</f>
        <v>Leon County</v>
      </c>
    </row>
    <row r="109" spans="1:17" x14ac:dyDescent="0.25">
      <c r="A109" s="304" t="s">
        <v>1896</v>
      </c>
      <c r="B109" t="s">
        <v>4395</v>
      </c>
      <c r="C109" t="str">
        <f t="shared" si="2"/>
        <v/>
      </c>
      <c r="D109" t="str">
        <f>SUBSTITUTE(SUBSTITUTE(Table3[[#This Row],[Sponsor_list_tranform]],",",",x")," ","")</f>
        <v/>
      </c>
      <c r="K109" t="str">
        <f>IF(LEN(E109)&lt;&gt;0,_xlfn.XLOOKUP(E109,[1]!Entities[ID_with_x],[1]!Entities[Name_w_County],_xlfn.CONCAT("Entity ID ",RIGHT(Table3[[#This Row],[Sponsor_1_num]],8)," not found")),"")</f>
        <v/>
      </c>
      <c r="L109" t="str">
        <f>IF(LEN(F109)&lt;&gt;0,_xlfn.XLOOKUP(F109,[1]!Entities[ID_with_x],[1]!Entities[Name_w_County],_xlfn.CONCAT("Entity ID ",RIGHT(Table3[[#This Row],[Sponsor_1_num]],8)," not found")),"")</f>
        <v/>
      </c>
      <c r="M109" t="str">
        <f>IF(LEN(G109)&lt;&gt;0,_xlfn.XLOOKUP(G109,[1]!Entities[ID_with_x],[1]!Entities[Name_w_County],_xlfn.CONCAT("Entity ID ",RIGHT(Table3[[#This Row],[Sponsor_1_num]],8)," not found")),"")</f>
        <v/>
      </c>
      <c r="N109" t="str">
        <f>IF(LEN(H109)&lt;&gt;0,_xlfn.XLOOKUP(H109,[1]!Entities[ID_with_x],[1]!Entities[Name_w_County],_xlfn.CONCAT("Entity ID ",RIGHT(Table3[[#This Row],[Sponsor_1_num]],8)," not found")),"")</f>
        <v/>
      </c>
      <c r="O109" t="str">
        <f>IF(LEN(I109)&lt;&gt;0,_xlfn.XLOOKUP(I109,[1]!Entities[ID_with_x],[1]!Entities[Name_w_County],_xlfn.CONCAT("Entity ID ",RIGHT(Table3[[#This Row],[Sponsor_1_num]],8)," not found")),"")</f>
        <v/>
      </c>
      <c r="P109" t="str">
        <f>IF(LEN(J109)&lt;&gt;0,_xlfn.XLOOKUP(J109,[1]!Entities[ID_with_x],[1]!Entities[Name_w_County],_xlfn.CONCAT("Entity ID ",RIGHT(Table3[[#This Row],[Sponsor_1_num]],8)," not found")),"")</f>
        <v/>
      </c>
      <c r="Q109" t="str">
        <f>IF(LEN(K109)&gt;0,_xlfn.TEXTJOIN(", ",TRUE,K109:P109),Table3[[#This Row],[SPONSOR_LIST]])</f>
        <v>Rockwall County</v>
      </c>
    </row>
    <row r="110" spans="1:17" x14ac:dyDescent="0.25">
      <c r="A110" s="304" t="s">
        <v>1954</v>
      </c>
      <c r="B110" t="s">
        <v>4406</v>
      </c>
      <c r="C110" t="str">
        <f t="shared" si="2"/>
        <v/>
      </c>
      <c r="D110" t="str">
        <f>SUBSTITUTE(SUBSTITUTE(Table3[[#This Row],[Sponsor_list_tranform]],",",",x")," ","")</f>
        <v/>
      </c>
      <c r="K110" t="str">
        <f>IF(LEN(E110)&lt;&gt;0,_xlfn.XLOOKUP(E110,[1]!Entities[ID_with_x],[1]!Entities[Name_w_County],_xlfn.CONCAT("Entity ID ",RIGHT(Table3[[#This Row],[Sponsor_1_num]],8)," not found")),"")</f>
        <v/>
      </c>
      <c r="L110" t="str">
        <f>IF(LEN(F110)&lt;&gt;0,_xlfn.XLOOKUP(F110,[1]!Entities[ID_with_x],[1]!Entities[Name_w_County],_xlfn.CONCAT("Entity ID ",RIGHT(Table3[[#This Row],[Sponsor_1_num]],8)," not found")),"")</f>
        <v/>
      </c>
      <c r="M110" t="str">
        <f>IF(LEN(G110)&lt;&gt;0,_xlfn.XLOOKUP(G110,[1]!Entities[ID_with_x],[1]!Entities[Name_w_County],_xlfn.CONCAT("Entity ID ",RIGHT(Table3[[#This Row],[Sponsor_1_num]],8)," not found")),"")</f>
        <v/>
      </c>
      <c r="N110" t="str">
        <f>IF(LEN(H110)&lt;&gt;0,_xlfn.XLOOKUP(H110,[1]!Entities[ID_with_x],[1]!Entities[Name_w_County],_xlfn.CONCAT("Entity ID ",RIGHT(Table3[[#This Row],[Sponsor_1_num]],8)," not found")),"")</f>
        <v/>
      </c>
      <c r="O110" t="str">
        <f>IF(LEN(I110)&lt;&gt;0,_xlfn.XLOOKUP(I110,[1]!Entities[ID_with_x],[1]!Entities[Name_w_County],_xlfn.CONCAT("Entity ID ",RIGHT(Table3[[#This Row],[Sponsor_1_num]],8)," not found")),"")</f>
        <v/>
      </c>
      <c r="P110" t="str">
        <f>IF(LEN(J110)&lt;&gt;0,_xlfn.XLOOKUP(J110,[1]!Entities[ID_with_x],[1]!Entities[Name_w_County],_xlfn.CONCAT("Entity ID ",RIGHT(Table3[[#This Row],[Sponsor_1_num]],8)," not found")),"")</f>
        <v/>
      </c>
      <c r="Q110" t="str">
        <f>IF(LEN(K110)&gt;0,_xlfn.TEXTJOIN(", ",TRUE,K110:P110),Table3[[#This Row],[SPONSOR_LIST]])</f>
        <v>Everman</v>
      </c>
    </row>
    <row r="111" spans="1:17" x14ac:dyDescent="0.25">
      <c r="A111" s="304" t="s">
        <v>2097</v>
      </c>
      <c r="B111" t="s">
        <v>4388</v>
      </c>
      <c r="C111" t="str">
        <f t="shared" si="2"/>
        <v/>
      </c>
      <c r="D111" t="str">
        <f>SUBSTITUTE(SUBSTITUTE(Table3[[#This Row],[Sponsor_list_tranform]],",",",x")," ","")</f>
        <v/>
      </c>
      <c r="K111" t="str">
        <f>IF(LEN(E111)&lt;&gt;0,_xlfn.XLOOKUP(E111,[1]!Entities[ID_with_x],[1]!Entities[Name_w_County],_xlfn.CONCAT("Entity ID ",RIGHT(Table3[[#This Row],[Sponsor_1_num]],8)," not found")),"")</f>
        <v/>
      </c>
      <c r="L111" t="str">
        <f>IF(LEN(F111)&lt;&gt;0,_xlfn.XLOOKUP(F111,[1]!Entities[ID_with_x],[1]!Entities[Name_w_County],_xlfn.CONCAT("Entity ID ",RIGHT(Table3[[#This Row],[Sponsor_1_num]],8)," not found")),"")</f>
        <v/>
      </c>
      <c r="M111" t="str">
        <f>IF(LEN(G111)&lt;&gt;0,_xlfn.XLOOKUP(G111,[1]!Entities[ID_with_x],[1]!Entities[Name_w_County],_xlfn.CONCAT("Entity ID ",RIGHT(Table3[[#This Row],[Sponsor_1_num]],8)," not found")),"")</f>
        <v/>
      </c>
      <c r="N111" t="str">
        <f>IF(LEN(H111)&lt;&gt;0,_xlfn.XLOOKUP(H111,[1]!Entities[ID_with_x],[1]!Entities[Name_w_County],_xlfn.CONCAT("Entity ID ",RIGHT(Table3[[#This Row],[Sponsor_1_num]],8)," not found")),"")</f>
        <v/>
      </c>
      <c r="O111" t="str">
        <f>IF(LEN(I111)&lt;&gt;0,_xlfn.XLOOKUP(I111,[1]!Entities[ID_with_x],[1]!Entities[Name_w_County],_xlfn.CONCAT("Entity ID ",RIGHT(Table3[[#This Row],[Sponsor_1_num]],8)," not found")),"")</f>
        <v/>
      </c>
      <c r="P111" t="str">
        <f>IF(LEN(J111)&lt;&gt;0,_xlfn.XLOOKUP(J111,[1]!Entities[ID_with_x],[1]!Entities[Name_w_County],_xlfn.CONCAT("Entity ID ",RIGHT(Table3[[#This Row],[Sponsor_1_num]],8)," not found")),"")</f>
        <v/>
      </c>
      <c r="Q111" t="str">
        <f>IF(LEN(K111)&gt;0,_xlfn.TEXTJOIN(", ",TRUE,K111:P111),Table3[[#This Row],[SPONSOR_LIST]])</f>
        <v>Mansfield</v>
      </c>
    </row>
    <row r="112" spans="1:17" x14ac:dyDescent="0.25">
      <c r="A112" s="304" t="s">
        <v>1903</v>
      </c>
      <c r="B112" t="s">
        <v>4396</v>
      </c>
      <c r="C112" t="str">
        <f t="shared" si="2"/>
        <v/>
      </c>
      <c r="D112" t="str">
        <f>SUBSTITUTE(SUBSTITUTE(Table3[[#This Row],[Sponsor_list_tranform]],",",",x")," ","")</f>
        <v/>
      </c>
      <c r="K112" t="str">
        <f>IF(LEN(E112)&lt;&gt;0,_xlfn.XLOOKUP(E112,[1]!Entities[ID_with_x],[1]!Entities[Name_w_County],_xlfn.CONCAT("Entity ID ",RIGHT(Table3[[#This Row],[Sponsor_1_num]],8)," not found")),"")</f>
        <v/>
      </c>
      <c r="L112" t="str">
        <f>IF(LEN(F112)&lt;&gt;0,_xlfn.XLOOKUP(F112,[1]!Entities[ID_with_x],[1]!Entities[Name_w_County],_xlfn.CONCAT("Entity ID ",RIGHT(Table3[[#This Row],[Sponsor_1_num]],8)," not found")),"")</f>
        <v/>
      </c>
      <c r="M112" t="str">
        <f>IF(LEN(G112)&lt;&gt;0,_xlfn.XLOOKUP(G112,[1]!Entities[ID_with_x],[1]!Entities[Name_w_County],_xlfn.CONCAT("Entity ID ",RIGHT(Table3[[#This Row],[Sponsor_1_num]],8)," not found")),"")</f>
        <v/>
      </c>
      <c r="N112" t="str">
        <f>IF(LEN(H112)&lt;&gt;0,_xlfn.XLOOKUP(H112,[1]!Entities[ID_with_x],[1]!Entities[Name_w_County],_xlfn.CONCAT("Entity ID ",RIGHT(Table3[[#This Row],[Sponsor_1_num]],8)," not found")),"")</f>
        <v/>
      </c>
      <c r="O112" t="str">
        <f>IF(LEN(I112)&lt;&gt;0,_xlfn.XLOOKUP(I112,[1]!Entities[ID_with_x],[1]!Entities[Name_w_County],_xlfn.CONCAT("Entity ID ",RIGHT(Table3[[#This Row],[Sponsor_1_num]],8)," not found")),"")</f>
        <v/>
      </c>
      <c r="P112" t="str">
        <f>IF(LEN(J112)&lt;&gt;0,_xlfn.XLOOKUP(J112,[1]!Entities[ID_with_x],[1]!Entities[Name_w_County],_xlfn.CONCAT("Entity ID ",RIGHT(Table3[[#This Row],[Sponsor_1_num]],8)," not found")),"")</f>
        <v/>
      </c>
      <c r="Q112" t="str">
        <f>IF(LEN(K112)&gt;0,_xlfn.TEXTJOIN(", ",TRUE,K112:P112),Table3[[#This Row],[SPONSOR_LIST]])</f>
        <v>Dalworthington Gardens</v>
      </c>
    </row>
    <row r="113" spans="1:17" x14ac:dyDescent="0.25">
      <c r="A113" s="304" t="s">
        <v>1910</v>
      </c>
      <c r="B113" t="s">
        <v>4397</v>
      </c>
      <c r="C113" t="str">
        <f t="shared" si="2"/>
        <v/>
      </c>
      <c r="D113" t="str">
        <f>SUBSTITUTE(SUBSTITUTE(Table3[[#This Row],[Sponsor_list_tranform]],",",",x")," ","")</f>
        <v/>
      </c>
      <c r="K113" t="str">
        <f>IF(LEN(E113)&lt;&gt;0,_xlfn.XLOOKUP(E113,[1]!Entities[ID_with_x],[1]!Entities[Name_w_County],_xlfn.CONCAT("Entity ID ",RIGHT(Table3[[#This Row],[Sponsor_1_num]],8)," not found")),"")</f>
        <v/>
      </c>
      <c r="L113" t="str">
        <f>IF(LEN(F113)&lt;&gt;0,_xlfn.XLOOKUP(F113,[1]!Entities[ID_with_x],[1]!Entities[Name_w_County],_xlfn.CONCAT("Entity ID ",RIGHT(Table3[[#This Row],[Sponsor_1_num]],8)," not found")),"")</f>
        <v/>
      </c>
      <c r="M113" t="str">
        <f>IF(LEN(G113)&lt;&gt;0,_xlfn.XLOOKUP(G113,[1]!Entities[ID_with_x],[1]!Entities[Name_w_County],_xlfn.CONCAT("Entity ID ",RIGHT(Table3[[#This Row],[Sponsor_1_num]],8)," not found")),"")</f>
        <v/>
      </c>
      <c r="N113" t="str">
        <f>IF(LEN(H113)&lt;&gt;0,_xlfn.XLOOKUP(H113,[1]!Entities[ID_with_x],[1]!Entities[Name_w_County],_xlfn.CONCAT("Entity ID ",RIGHT(Table3[[#This Row],[Sponsor_1_num]],8)," not found")),"")</f>
        <v/>
      </c>
      <c r="O113" t="str">
        <f>IF(LEN(I113)&lt;&gt;0,_xlfn.XLOOKUP(I113,[1]!Entities[ID_with_x],[1]!Entities[Name_w_County],_xlfn.CONCAT("Entity ID ",RIGHT(Table3[[#This Row],[Sponsor_1_num]],8)," not found")),"")</f>
        <v/>
      </c>
      <c r="P113" t="str">
        <f>IF(LEN(J113)&lt;&gt;0,_xlfn.XLOOKUP(J113,[1]!Entities[ID_with_x],[1]!Entities[Name_w_County],_xlfn.CONCAT("Entity ID ",RIGHT(Table3[[#This Row],[Sponsor_1_num]],8)," not found")),"")</f>
        <v/>
      </c>
      <c r="Q113" t="str">
        <f>IF(LEN(K113)&gt;0,_xlfn.TEXTJOIN(", ",TRUE,K113:P113),Table3[[#This Row],[SPONSOR_LIST]])</f>
        <v>Colleyville</v>
      </c>
    </row>
    <row r="114" spans="1:17" x14ac:dyDescent="0.25">
      <c r="A114" s="304" t="s">
        <v>2081</v>
      </c>
      <c r="B114" t="s">
        <v>4439</v>
      </c>
      <c r="C114" t="str">
        <f t="shared" si="2"/>
        <v/>
      </c>
      <c r="D114" t="str">
        <f>SUBSTITUTE(SUBSTITUTE(Table3[[#This Row],[Sponsor_list_tranform]],",",",x")," ","")</f>
        <v/>
      </c>
      <c r="K114" t="str">
        <f>IF(LEN(E114)&lt;&gt;0,_xlfn.XLOOKUP(E114,[1]!Entities[ID_with_x],[1]!Entities[Name_w_County],_xlfn.CONCAT("Entity ID ",RIGHT(Table3[[#This Row],[Sponsor_1_num]],8)," not found")),"")</f>
        <v/>
      </c>
      <c r="L114" t="str">
        <f>IF(LEN(F114)&lt;&gt;0,_xlfn.XLOOKUP(F114,[1]!Entities[ID_with_x],[1]!Entities[Name_w_County],_xlfn.CONCAT("Entity ID ",RIGHT(Table3[[#This Row],[Sponsor_1_num]],8)," not found")),"")</f>
        <v/>
      </c>
      <c r="M114" t="str">
        <f>IF(LEN(G114)&lt;&gt;0,_xlfn.XLOOKUP(G114,[1]!Entities[ID_with_x],[1]!Entities[Name_w_County],_xlfn.CONCAT("Entity ID ",RIGHT(Table3[[#This Row],[Sponsor_1_num]],8)," not found")),"")</f>
        <v/>
      </c>
      <c r="N114" t="str">
        <f>IF(LEN(H114)&lt;&gt;0,_xlfn.XLOOKUP(H114,[1]!Entities[ID_with_x],[1]!Entities[Name_w_County],_xlfn.CONCAT("Entity ID ",RIGHT(Table3[[#This Row],[Sponsor_1_num]],8)," not found")),"")</f>
        <v/>
      </c>
      <c r="O114" t="str">
        <f>IF(LEN(I114)&lt;&gt;0,_xlfn.XLOOKUP(I114,[1]!Entities[ID_with_x],[1]!Entities[Name_w_County],_xlfn.CONCAT("Entity ID ",RIGHT(Table3[[#This Row],[Sponsor_1_num]],8)," not found")),"")</f>
        <v/>
      </c>
      <c r="P114" t="str">
        <f>IF(LEN(J114)&lt;&gt;0,_xlfn.XLOOKUP(J114,[1]!Entities[ID_with_x],[1]!Entities[Name_w_County],_xlfn.CONCAT("Entity ID ",RIGHT(Table3[[#This Row],[Sponsor_1_num]],8)," not found")),"")</f>
        <v/>
      </c>
      <c r="Q114" t="str">
        <f>IF(LEN(K114)&gt;0,_xlfn.TEXTJOIN(", ",TRUE,K114:P114),Table3[[#This Row],[SPONSOR_LIST]])</f>
        <v>Haslet</v>
      </c>
    </row>
    <row r="115" spans="1:17" x14ac:dyDescent="0.25">
      <c r="A115" s="304" t="s">
        <v>2095</v>
      </c>
      <c r="B115" t="s">
        <v>4441</v>
      </c>
      <c r="C115" t="str">
        <f t="shared" si="2"/>
        <v/>
      </c>
      <c r="D115" t="str">
        <f>SUBSTITUTE(SUBSTITUTE(Table3[[#This Row],[Sponsor_list_tranform]],",",",x")," ","")</f>
        <v/>
      </c>
      <c r="K115" t="str">
        <f>IF(LEN(E115)&lt;&gt;0,_xlfn.XLOOKUP(E115,[1]!Entities[ID_with_x],[1]!Entities[Name_w_County],_xlfn.CONCAT("Entity ID ",RIGHT(Table3[[#This Row],[Sponsor_1_num]],8)," not found")),"")</f>
        <v/>
      </c>
      <c r="L115" t="str">
        <f>IF(LEN(F115)&lt;&gt;0,_xlfn.XLOOKUP(F115,[1]!Entities[ID_with_x],[1]!Entities[Name_w_County],_xlfn.CONCAT("Entity ID ",RIGHT(Table3[[#This Row],[Sponsor_1_num]],8)," not found")),"")</f>
        <v/>
      </c>
      <c r="M115" t="str">
        <f>IF(LEN(G115)&lt;&gt;0,_xlfn.XLOOKUP(G115,[1]!Entities[ID_with_x],[1]!Entities[Name_w_County],_xlfn.CONCAT("Entity ID ",RIGHT(Table3[[#This Row],[Sponsor_1_num]],8)," not found")),"")</f>
        <v/>
      </c>
      <c r="N115" t="str">
        <f>IF(LEN(H115)&lt;&gt;0,_xlfn.XLOOKUP(H115,[1]!Entities[ID_with_x],[1]!Entities[Name_w_County],_xlfn.CONCAT("Entity ID ",RIGHT(Table3[[#This Row],[Sponsor_1_num]],8)," not found")),"")</f>
        <v/>
      </c>
      <c r="O115" t="str">
        <f>IF(LEN(I115)&lt;&gt;0,_xlfn.XLOOKUP(I115,[1]!Entities[ID_with_x],[1]!Entities[Name_w_County],_xlfn.CONCAT("Entity ID ",RIGHT(Table3[[#This Row],[Sponsor_1_num]],8)," not found")),"")</f>
        <v/>
      </c>
      <c r="P115" t="str">
        <f>IF(LEN(J115)&lt;&gt;0,_xlfn.XLOOKUP(J115,[1]!Entities[ID_with_x],[1]!Entities[Name_w_County],_xlfn.CONCAT("Entity ID ",RIGHT(Table3[[#This Row],[Sponsor_1_num]],8)," not found")),"")</f>
        <v/>
      </c>
      <c r="Q115" t="str">
        <f>IF(LEN(K115)&gt;0,_xlfn.TEXTJOIN(", ",TRUE,K115:P115),Table3[[#This Row],[SPONSOR_LIST]])</f>
        <v>Grand Prairie</v>
      </c>
    </row>
    <row r="116" spans="1:17" x14ac:dyDescent="0.25">
      <c r="A116" s="304" t="s">
        <v>2088</v>
      </c>
      <c r="B116" t="s">
        <v>4441</v>
      </c>
      <c r="C116" t="str">
        <f t="shared" si="2"/>
        <v/>
      </c>
      <c r="D116" t="str">
        <f>SUBSTITUTE(SUBSTITUTE(Table3[[#This Row],[Sponsor_list_tranform]],",",",x")," ","")</f>
        <v/>
      </c>
      <c r="K116" t="str">
        <f>IF(LEN(E116)&lt;&gt;0,_xlfn.XLOOKUP(E116,[1]!Entities[ID_with_x],[1]!Entities[Name_w_County],_xlfn.CONCAT("Entity ID ",RIGHT(Table3[[#This Row],[Sponsor_1_num]],8)," not found")),"")</f>
        <v/>
      </c>
      <c r="L116" t="str">
        <f>IF(LEN(F116)&lt;&gt;0,_xlfn.XLOOKUP(F116,[1]!Entities[ID_with_x],[1]!Entities[Name_w_County],_xlfn.CONCAT("Entity ID ",RIGHT(Table3[[#This Row],[Sponsor_1_num]],8)," not found")),"")</f>
        <v/>
      </c>
      <c r="M116" t="str">
        <f>IF(LEN(G116)&lt;&gt;0,_xlfn.XLOOKUP(G116,[1]!Entities[ID_with_x],[1]!Entities[Name_w_County],_xlfn.CONCAT("Entity ID ",RIGHT(Table3[[#This Row],[Sponsor_1_num]],8)," not found")),"")</f>
        <v/>
      </c>
      <c r="N116" t="str">
        <f>IF(LEN(H116)&lt;&gt;0,_xlfn.XLOOKUP(H116,[1]!Entities[ID_with_x],[1]!Entities[Name_w_County],_xlfn.CONCAT("Entity ID ",RIGHT(Table3[[#This Row],[Sponsor_1_num]],8)," not found")),"")</f>
        <v/>
      </c>
      <c r="O116" t="str">
        <f>IF(LEN(I116)&lt;&gt;0,_xlfn.XLOOKUP(I116,[1]!Entities[ID_with_x],[1]!Entities[Name_w_County],_xlfn.CONCAT("Entity ID ",RIGHT(Table3[[#This Row],[Sponsor_1_num]],8)," not found")),"")</f>
        <v/>
      </c>
      <c r="P116" t="str">
        <f>IF(LEN(J116)&lt;&gt;0,_xlfn.XLOOKUP(J116,[1]!Entities[ID_with_x],[1]!Entities[Name_w_County],_xlfn.CONCAT("Entity ID ",RIGHT(Table3[[#This Row],[Sponsor_1_num]],8)," not found")),"")</f>
        <v/>
      </c>
      <c r="Q116" t="str">
        <f>IF(LEN(K116)&gt;0,_xlfn.TEXTJOIN(", ",TRUE,K116:P116),Table3[[#This Row],[SPONSOR_LIST]])</f>
        <v>Grand Prairie</v>
      </c>
    </row>
    <row r="117" spans="1:17" x14ac:dyDescent="0.25">
      <c r="A117" s="304" t="s">
        <v>2100</v>
      </c>
      <c r="B117" t="s">
        <v>1624</v>
      </c>
      <c r="C117" t="str">
        <f t="shared" si="2"/>
        <v/>
      </c>
      <c r="D117" t="str">
        <f>SUBSTITUTE(SUBSTITUTE(Table3[[#This Row],[Sponsor_list_tranform]],",",",x")," ","")</f>
        <v/>
      </c>
      <c r="K117" t="str">
        <f>IF(LEN(E117)&lt;&gt;0,_xlfn.XLOOKUP(E117,[1]!Entities[ID_with_x],[1]!Entities[Name_w_County],_xlfn.CONCAT("Entity ID ",RIGHT(Table3[[#This Row],[Sponsor_1_num]],8)," not found")),"")</f>
        <v/>
      </c>
      <c r="L117" t="str">
        <f>IF(LEN(F117)&lt;&gt;0,_xlfn.XLOOKUP(F117,[1]!Entities[ID_with_x],[1]!Entities[Name_w_County],_xlfn.CONCAT("Entity ID ",RIGHT(Table3[[#This Row],[Sponsor_1_num]],8)," not found")),"")</f>
        <v/>
      </c>
      <c r="M117" t="str">
        <f>IF(LEN(G117)&lt;&gt;0,_xlfn.XLOOKUP(G117,[1]!Entities[ID_with_x],[1]!Entities[Name_w_County],_xlfn.CONCAT("Entity ID ",RIGHT(Table3[[#This Row],[Sponsor_1_num]],8)," not found")),"")</f>
        <v/>
      </c>
      <c r="N117" t="str">
        <f>IF(LEN(H117)&lt;&gt;0,_xlfn.XLOOKUP(H117,[1]!Entities[ID_with_x],[1]!Entities[Name_w_County],_xlfn.CONCAT("Entity ID ",RIGHT(Table3[[#This Row],[Sponsor_1_num]],8)," not found")),"")</f>
        <v/>
      </c>
      <c r="O117" t="str">
        <f>IF(LEN(I117)&lt;&gt;0,_xlfn.XLOOKUP(I117,[1]!Entities[ID_with_x],[1]!Entities[Name_w_County],_xlfn.CONCAT("Entity ID ",RIGHT(Table3[[#This Row],[Sponsor_1_num]],8)," not found")),"")</f>
        <v/>
      </c>
      <c r="P117" t="str">
        <f>IF(LEN(J117)&lt;&gt;0,_xlfn.XLOOKUP(J117,[1]!Entities[ID_with_x],[1]!Entities[Name_w_County],_xlfn.CONCAT("Entity ID ",RIGHT(Table3[[#This Row],[Sponsor_1_num]],8)," not found")),"")</f>
        <v/>
      </c>
      <c r="Q117" t="str">
        <f>IF(LEN(K117)&gt;0,_xlfn.TEXTJOIN(", ",TRUE,K117:P117),Table3[[#This Row],[SPONSOR_LIST]])</f>
        <v>Grayson County</v>
      </c>
    </row>
    <row r="118" spans="1:17" x14ac:dyDescent="0.25">
      <c r="A118" s="304" t="s">
        <v>1823</v>
      </c>
      <c r="B118" t="s">
        <v>4375</v>
      </c>
      <c r="C118" t="str">
        <f t="shared" si="2"/>
        <v/>
      </c>
      <c r="D118" t="str">
        <f>SUBSTITUTE(SUBSTITUTE(Table3[[#This Row],[Sponsor_list_tranform]],",",",x")," ","")</f>
        <v/>
      </c>
      <c r="K118" t="str">
        <f>IF(LEN(E118)&lt;&gt;0,_xlfn.XLOOKUP(E118,[1]!Entities[ID_with_x],[1]!Entities[Name_w_County],_xlfn.CONCAT("Entity ID ",RIGHT(Table3[[#This Row],[Sponsor_1_num]],8)," not found")),"")</f>
        <v/>
      </c>
      <c r="L118" t="str">
        <f>IF(LEN(F118)&lt;&gt;0,_xlfn.XLOOKUP(F118,[1]!Entities[ID_with_x],[1]!Entities[Name_w_County],_xlfn.CONCAT("Entity ID ",RIGHT(Table3[[#This Row],[Sponsor_1_num]],8)," not found")),"")</f>
        <v/>
      </c>
      <c r="M118" t="str">
        <f>IF(LEN(G118)&lt;&gt;0,_xlfn.XLOOKUP(G118,[1]!Entities[ID_with_x],[1]!Entities[Name_w_County],_xlfn.CONCAT("Entity ID ",RIGHT(Table3[[#This Row],[Sponsor_1_num]],8)," not found")),"")</f>
        <v/>
      </c>
      <c r="N118" t="str">
        <f>IF(LEN(H118)&lt;&gt;0,_xlfn.XLOOKUP(H118,[1]!Entities[ID_with_x],[1]!Entities[Name_w_County],_xlfn.CONCAT("Entity ID ",RIGHT(Table3[[#This Row],[Sponsor_1_num]],8)," not found")),"")</f>
        <v/>
      </c>
      <c r="O118" t="str">
        <f>IF(LEN(I118)&lt;&gt;0,_xlfn.XLOOKUP(I118,[1]!Entities[ID_with_x],[1]!Entities[Name_w_County],_xlfn.CONCAT("Entity ID ",RIGHT(Table3[[#This Row],[Sponsor_1_num]],8)," not found")),"")</f>
        <v/>
      </c>
      <c r="P118" t="str">
        <f>IF(LEN(J118)&lt;&gt;0,_xlfn.XLOOKUP(J118,[1]!Entities[ID_with_x],[1]!Entities[Name_w_County],_xlfn.CONCAT("Entity ID ",RIGHT(Table3[[#This Row],[Sponsor_1_num]],8)," not found")),"")</f>
        <v/>
      </c>
      <c r="Q118" t="str">
        <f>IF(LEN(K118)&gt;0,_xlfn.TEXTJOIN(", ",TRUE,K118:P118),Table3[[#This Row],[SPONSOR_LIST]])</f>
        <v>Dallas County</v>
      </c>
    </row>
    <row r="119" spans="1:17" x14ac:dyDescent="0.25">
      <c r="A119" s="304" t="s">
        <v>1784</v>
      </c>
      <c r="B119" t="s">
        <v>4368</v>
      </c>
      <c r="C119" t="str">
        <f t="shared" si="2"/>
        <v/>
      </c>
      <c r="D119" t="str">
        <f>SUBSTITUTE(SUBSTITUTE(Table3[[#This Row],[Sponsor_list_tranform]],",",",x")," ","")</f>
        <v/>
      </c>
      <c r="K119" t="str">
        <f>IF(LEN(E119)&lt;&gt;0,_xlfn.XLOOKUP(E119,[1]!Entities[ID_with_x],[1]!Entities[Name_w_County],_xlfn.CONCAT("Entity ID ",RIGHT(Table3[[#This Row],[Sponsor_1_num]],8)," not found")),"")</f>
        <v/>
      </c>
      <c r="L119" t="str">
        <f>IF(LEN(F119)&lt;&gt;0,_xlfn.XLOOKUP(F119,[1]!Entities[ID_with_x],[1]!Entities[Name_w_County],_xlfn.CONCAT("Entity ID ",RIGHT(Table3[[#This Row],[Sponsor_1_num]],8)," not found")),"")</f>
        <v/>
      </c>
      <c r="M119" t="str">
        <f>IF(LEN(G119)&lt;&gt;0,_xlfn.XLOOKUP(G119,[1]!Entities[ID_with_x],[1]!Entities[Name_w_County],_xlfn.CONCAT("Entity ID ",RIGHT(Table3[[#This Row],[Sponsor_1_num]],8)," not found")),"")</f>
        <v/>
      </c>
      <c r="N119" t="str">
        <f>IF(LEN(H119)&lt;&gt;0,_xlfn.XLOOKUP(H119,[1]!Entities[ID_with_x],[1]!Entities[Name_w_County],_xlfn.CONCAT("Entity ID ",RIGHT(Table3[[#This Row],[Sponsor_1_num]],8)," not found")),"")</f>
        <v/>
      </c>
      <c r="O119" t="str">
        <f>IF(LEN(I119)&lt;&gt;0,_xlfn.XLOOKUP(I119,[1]!Entities[ID_with_x],[1]!Entities[Name_w_County],_xlfn.CONCAT("Entity ID ",RIGHT(Table3[[#This Row],[Sponsor_1_num]],8)," not found")),"")</f>
        <v/>
      </c>
      <c r="P119" t="str">
        <f>IF(LEN(J119)&lt;&gt;0,_xlfn.XLOOKUP(J119,[1]!Entities[ID_with_x],[1]!Entities[Name_w_County],_xlfn.CONCAT("Entity ID ",RIGHT(Table3[[#This Row],[Sponsor_1_num]],8)," not found")),"")</f>
        <v/>
      </c>
      <c r="Q119" t="str">
        <f>IF(LEN(K119)&gt;0,_xlfn.TEXTJOIN(", ",TRUE,K119:P119),Table3[[#This Row],[SPONSOR_LIST]])</f>
        <v>Anderson County</v>
      </c>
    </row>
    <row r="120" spans="1:17" x14ac:dyDescent="0.25">
      <c r="A120" s="304" t="s">
        <v>2104</v>
      </c>
      <c r="B120" t="s">
        <v>4445</v>
      </c>
      <c r="C120" t="str">
        <f t="shared" si="2"/>
        <v/>
      </c>
      <c r="D120" t="str">
        <f>SUBSTITUTE(SUBSTITUTE(Table3[[#This Row],[Sponsor_list_tranform]],",",",x")," ","")</f>
        <v/>
      </c>
      <c r="K120" t="str">
        <f>IF(LEN(E120)&lt;&gt;0,_xlfn.XLOOKUP(E120,[1]!Entities[ID_with_x],[1]!Entities[Name_w_County],_xlfn.CONCAT("Entity ID ",RIGHT(Table3[[#This Row],[Sponsor_1_num]],8)," not found")),"")</f>
        <v/>
      </c>
      <c r="L120" t="str">
        <f>IF(LEN(F120)&lt;&gt;0,_xlfn.XLOOKUP(F120,[1]!Entities[ID_with_x],[1]!Entities[Name_w_County],_xlfn.CONCAT("Entity ID ",RIGHT(Table3[[#This Row],[Sponsor_1_num]],8)," not found")),"")</f>
        <v/>
      </c>
      <c r="M120" t="str">
        <f>IF(LEN(G120)&lt;&gt;0,_xlfn.XLOOKUP(G120,[1]!Entities[ID_with_x],[1]!Entities[Name_w_County],_xlfn.CONCAT("Entity ID ",RIGHT(Table3[[#This Row],[Sponsor_1_num]],8)," not found")),"")</f>
        <v/>
      </c>
      <c r="N120" t="str">
        <f>IF(LEN(H120)&lt;&gt;0,_xlfn.XLOOKUP(H120,[1]!Entities[ID_with_x],[1]!Entities[Name_w_County],_xlfn.CONCAT("Entity ID ",RIGHT(Table3[[#This Row],[Sponsor_1_num]],8)," not found")),"")</f>
        <v/>
      </c>
      <c r="O120" t="str">
        <f>IF(LEN(I120)&lt;&gt;0,_xlfn.XLOOKUP(I120,[1]!Entities[ID_with_x],[1]!Entities[Name_w_County],_xlfn.CONCAT("Entity ID ",RIGHT(Table3[[#This Row],[Sponsor_1_num]],8)," not found")),"")</f>
        <v/>
      </c>
      <c r="P120" t="str">
        <f>IF(LEN(J120)&lt;&gt;0,_xlfn.XLOOKUP(J120,[1]!Entities[ID_with_x],[1]!Entities[Name_w_County],_xlfn.CONCAT("Entity ID ",RIGHT(Table3[[#This Row],[Sponsor_1_num]],8)," not found")),"")</f>
        <v/>
      </c>
      <c r="Q120" t="str">
        <f>IF(LEN(K120)&gt;0,_xlfn.TEXTJOIN(", ",TRUE,K120:P120),Table3[[#This Row],[SPONSOR_LIST]])</f>
        <v>Corinth, Hickory Creek, Lake Dallas, Little Elm, Shady Shores, The Colony</v>
      </c>
    </row>
    <row r="121" spans="1:17" x14ac:dyDescent="0.25">
      <c r="A121" s="304" t="s">
        <v>1915</v>
      </c>
      <c r="B121" t="s">
        <v>4399</v>
      </c>
      <c r="C121" t="str">
        <f t="shared" si="2"/>
        <v/>
      </c>
      <c r="D121" t="str">
        <f>SUBSTITUTE(SUBSTITUTE(Table3[[#This Row],[Sponsor_list_tranform]],",",",x")," ","")</f>
        <v/>
      </c>
      <c r="K121" t="str">
        <f>IF(LEN(E121)&lt;&gt;0,_xlfn.XLOOKUP(E121,[1]!Entities[ID_with_x],[1]!Entities[Name_w_County],_xlfn.CONCAT("Entity ID ",RIGHT(Table3[[#This Row],[Sponsor_1_num]],8)," not found")),"")</f>
        <v/>
      </c>
      <c r="L121" t="str">
        <f>IF(LEN(F121)&lt;&gt;0,_xlfn.XLOOKUP(F121,[1]!Entities[ID_with_x],[1]!Entities[Name_w_County],_xlfn.CONCAT("Entity ID ",RIGHT(Table3[[#This Row],[Sponsor_1_num]],8)," not found")),"")</f>
        <v/>
      </c>
      <c r="M121" t="str">
        <f>IF(LEN(G121)&lt;&gt;0,_xlfn.XLOOKUP(G121,[1]!Entities[ID_with_x],[1]!Entities[Name_w_County],_xlfn.CONCAT("Entity ID ",RIGHT(Table3[[#This Row],[Sponsor_1_num]],8)," not found")),"")</f>
        <v/>
      </c>
      <c r="N121" t="str">
        <f>IF(LEN(H121)&lt;&gt;0,_xlfn.XLOOKUP(H121,[1]!Entities[ID_with_x],[1]!Entities[Name_w_County],_xlfn.CONCAT("Entity ID ",RIGHT(Table3[[#This Row],[Sponsor_1_num]],8)," not found")),"")</f>
        <v/>
      </c>
      <c r="O121" t="str">
        <f>IF(LEN(I121)&lt;&gt;0,_xlfn.XLOOKUP(I121,[1]!Entities[ID_with_x],[1]!Entities[Name_w_County],_xlfn.CONCAT("Entity ID ",RIGHT(Table3[[#This Row],[Sponsor_1_num]],8)," not found")),"")</f>
        <v/>
      </c>
      <c r="P121" t="str">
        <f>IF(LEN(J121)&lt;&gt;0,_xlfn.XLOOKUP(J121,[1]!Entities[ID_with_x],[1]!Entities[Name_w_County],_xlfn.CONCAT("Entity ID ",RIGHT(Table3[[#This Row],[Sponsor_1_num]],8)," not found")),"")</f>
        <v/>
      </c>
      <c r="Q121" t="str">
        <f>IF(LEN(K121)&gt;0,_xlfn.TEXTJOIN(", ",TRUE,K121:P121),Table3[[#This Row],[SPONSOR_LIST]])</f>
        <v>Hill County</v>
      </c>
    </row>
    <row r="122" spans="1:17" x14ac:dyDescent="0.25">
      <c r="A122" s="304" t="s">
        <v>1827</v>
      </c>
      <c r="B122" t="s">
        <v>4377</v>
      </c>
      <c r="C122" t="str">
        <f t="shared" si="2"/>
        <v/>
      </c>
      <c r="D122" t="str">
        <f>SUBSTITUTE(SUBSTITUTE(Table3[[#This Row],[Sponsor_list_tranform]],",",",x")," ","")</f>
        <v/>
      </c>
      <c r="K122" t="str">
        <f>IF(LEN(E122)&lt;&gt;0,_xlfn.XLOOKUP(E122,[1]!Entities[ID_with_x],[1]!Entities[Name_w_County],_xlfn.CONCAT("Entity ID ",RIGHT(Table3[[#This Row],[Sponsor_1_num]],8)," not found")),"")</f>
        <v/>
      </c>
      <c r="L122" t="str">
        <f>IF(LEN(F122)&lt;&gt;0,_xlfn.XLOOKUP(F122,[1]!Entities[ID_with_x],[1]!Entities[Name_w_County],_xlfn.CONCAT("Entity ID ",RIGHT(Table3[[#This Row],[Sponsor_1_num]],8)," not found")),"")</f>
        <v/>
      </c>
      <c r="M122" t="str">
        <f>IF(LEN(G122)&lt;&gt;0,_xlfn.XLOOKUP(G122,[1]!Entities[ID_with_x],[1]!Entities[Name_w_County],_xlfn.CONCAT("Entity ID ",RIGHT(Table3[[#This Row],[Sponsor_1_num]],8)," not found")),"")</f>
        <v/>
      </c>
      <c r="N122" t="str">
        <f>IF(LEN(H122)&lt;&gt;0,_xlfn.XLOOKUP(H122,[1]!Entities[ID_with_x],[1]!Entities[Name_w_County],_xlfn.CONCAT("Entity ID ",RIGHT(Table3[[#This Row],[Sponsor_1_num]],8)," not found")),"")</f>
        <v/>
      </c>
      <c r="O122" t="str">
        <f>IF(LEN(I122)&lt;&gt;0,_xlfn.XLOOKUP(I122,[1]!Entities[ID_with_x],[1]!Entities[Name_w_County],_xlfn.CONCAT("Entity ID ",RIGHT(Table3[[#This Row],[Sponsor_1_num]],8)," not found")),"")</f>
        <v/>
      </c>
      <c r="P122" t="str">
        <f>IF(LEN(J122)&lt;&gt;0,_xlfn.XLOOKUP(J122,[1]!Entities[ID_with_x],[1]!Entities[Name_w_County],_xlfn.CONCAT("Entity ID ",RIGHT(Table3[[#This Row],[Sponsor_1_num]],8)," not found")),"")</f>
        <v/>
      </c>
      <c r="Q122" t="str">
        <f>IF(LEN(K122)&gt;0,_xlfn.TEXTJOIN(", ",TRUE,K122:P122),Table3[[#This Row],[SPONSOR_LIST]])</f>
        <v>Freestone County</v>
      </c>
    </row>
    <row r="123" spans="1:17" x14ac:dyDescent="0.25">
      <c r="A123" s="304" t="s">
        <v>2110</v>
      </c>
      <c r="B123" t="s">
        <v>4446</v>
      </c>
      <c r="C123" t="str">
        <f t="shared" si="2"/>
        <v/>
      </c>
      <c r="D123" t="str">
        <f>SUBSTITUTE(SUBSTITUTE(Table3[[#This Row],[Sponsor_list_tranform]],",",",x")," ","")</f>
        <v/>
      </c>
      <c r="K123" t="str">
        <f>IF(LEN(E123)&lt;&gt;0,_xlfn.XLOOKUP(E123,[1]!Entities[ID_with_x],[1]!Entities[Name_w_County],_xlfn.CONCAT("Entity ID ",RIGHT(Table3[[#This Row],[Sponsor_1_num]],8)," not found")),"")</f>
        <v/>
      </c>
      <c r="L123" t="str">
        <f>IF(LEN(F123)&lt;&gt;0,_xlfn.XLOOKUP(F123,[1]!Entities[ID_with_x],[1]!Entities[Name_w_County],_xlfn.CONCAT("Entity ID ",RIGHT(Table3[[#This Row],[Sponsor_1_num]],8)," not found")),"")</f>
        <v/>
      </c>
      <c r="M123" t="str">
        <f>IF(LEN(G123)&lt;&gt;0,_xlfn.XLOOKUP(G123,[1]!Entities[ID_with_x],[1]!Entities[Name_w_County],_xlfn.CONCAT("Entity ID ",RIGHT(Table3[[#This Row],[Sponsor_1_num]],8)," not found")),"")</f>
        <v/>
      </c>
      <c r="N123" t="str">
        <f>IF(LEN(H123)&lt;&gt;0,_xlfn.XLOOKUP(H123,[1]!Entities[ID_with_x],[1]!Entities[Name_w_County],_xlfn.CONCAT("Entity ID ",RIGHT(Table3[[#This Row],[Sponsor_1_num]],8)," not found")),"")</f>
        <v/>
      </c>
      <c r="O123" t="str">
        <f>IF(LEN(I123)&lt;&gt;0,_xlfn.XLOOKUP(I123,[1]!Entities[ID_with_x],[1]!Entities[Name_w_County],_xlfn.CONCAT("Entity ID ",RIGHT(Table3[[#This Row],[Sponsor_1_num]],8)," not found")),"")</f>
        <v/>
      </c>
      <c r="P123" t="str">
        <f>IF(LEN(J123)&lt;&gt;0,_xlfn.XLOOKUP(J123,[1]!Entities[ID_with_x],[1]!Entities[Name_w_County],_xlfn.CONCAT("Entity ID ",RIGHT(Table3[[#This Row],[Sponsor_1_num]],8)," not found")),"")</f>
        <v/>
      </c>
      <c r="Q123" t="str">
        <f>IF(LEN(K123)&gt;0,_xlfn.TEXTJOIN(", ",TRUE,K123:P123),Table3[[#This Row],[SPONSOR_LIST]])</f>
        <v>Caney City</v>
      </c>
    </row>
    <row r="124" spans="1:17" x14ac:dyDescent="0.25">
      <c r="A124" s="304" t="s">
        <v>2118</v>
      </c>
      <c r="B124" t="s">
        <v>4437</v>
      </c>
      <c r="C124" t="str">
        <f t="shared" si="2"/>
        <v/>
      </c>
      <c r="D124" t="str">
        <f>SUBSTITUTE(SUBSTITUTE(Table3[[#This Row],[Sponsor_list_tranform]],",",",x")," ","")</f>
        <v/>
      </c>
      <c r="K124" t="str">
        <f>IF(LEN(E124)&lt;&gt;0,_xlfn.XLOOKUP(E124,[1]!Entities[ID_with_x],[1]!Entities[Name_w_County],_xlfn.CONCAT("Entity ID ",RIGHT(Table3[[#This Row],[Sponsor_1_num]],8)," not found")),"")</f>
        <v/>
      </c>
      <c r="L124" t="str">
        <f>IF(LEN(F124)&lt;&gt;0,_xlfn.XLOOKUP(F124,[1]!Entities[ID_with_x],[1]!Entities[Name_w_County],_xlfn.CONCAT("Entity ID ",RIGHT(Table3[[#This Row],[Sponsor_1_num]],8)," not found")),"")</f>
        <v/>
      </c>
      <c r="M124" t="str">
        <f>IF(LEN(G124)&lt;&gt;0,_xlfn.XLOOKUP(G124,[1]!Entities[ID_with_x],[1]!Entities[Name_w_County],_xlfn.CONCAT("Entity ID ",RIGHT(Table3[[#This Row],[Sponsor_1_num]],8)," not found")),"")</f>
        <v/>
      </c>
      <c r="N124" t="str">
        <f>IF(LEN(H124)&lt;&gt;0,_xlfn.XLOOKUP(H124,[1]!Entities[ID_with_x],[1]!Entities[Name_w_County],_xlfn.CONCAT("Entity ID ",RIGHT(Table3[[#This Row],[Sponsor_1_num]],8)," not found")),"")</f>
        <v/>
      </c>
      <c r="O124" t="str">
        <f>IF(LEN(I124)&lt;&gt;0,_xlfn.XLOOKUP(I124,[1]!Entities[ID_with_x],[1]!Entities[Name_w_County],_xlfn.CONCAT("Entity ID ",RIGHT(Table3[[#This Row],[Sponsor_1_num]],8)," not found")),"")</f>
        <v/>
      </c>
      <c r="P124" t="str">
        <f>IF(LEN(J124)&lt;&gt;0,_xlfn.XLOOKUP(J124,[1]!Entities[ID_with_x],[1]!Entities[Name_w_County],_xlfn.CONCAT("Entity ID ",RIGHT(Table3[[#This Row],[Sponsor_1_num]],8)," not found")),"")</f>
        <v/>
      </c>
      <c r="Q124" t="str">
        <f>IF(LEN(K124)&gt;0,_xlfn.TEXTJOIN(", ",TRUE,K124:P124),Table3[[#This Row],[SPONSOR_LIST]])</f>
        <v>Leon County</v>
      </c>
    </row>
    <row r="125" spans="1:17" x14ac:dyDescent="0.25">
      <c r="A125" s="304" t="s">
        <v>2485</v>
      </c>
      <c r="B125" t="s">
        <v>4395</v>
      </c>
      <c r="C125" t="str">
        <f t="shared" si="2"/>
        <v/>
      </c>
      <c r="D125" t="str">
        <f>SUBSTITUTE(SUBSTITUTE(Table3[[#This Row],[Sponsor_list_tranform]],",",",x")," ","")</f>
        <v/>
      </c>
      <c r="K125" t="str">
        <f>IF(LEN(E125)&lt;&gt;0,_xlfn.XLOOKUP(E125,[1]!Entities[ID_with_x],[1]!Entities[Name_w_County],_xlfn.CONCAT("Entity ID ",RIGHT(Table3[[#This Row],[Sponsor_1_num]],8)," not found")),"")</f>
        <v/>
      </c>
      <c r="L125" t="str">
        <f>IF(LEN(F125)&lt;&gt;0,_xlfn.XLOOKUP(F125,[1]!Entities[ID_with_x],[1]!Entities[Name_w_County],_xlfn.CONCAT("Entity ID ",RIGHT(Table3[[#This Row],[Sponsor_1_num]],8)," not found")),"")</f>
        <v/>
      </c>
      <c r="M125" t="str">
        <f>IF(LEN(G125)&lt;&gt;0,_xlfn.XLOOKUP(G125,[1]!Entities[ID_with_x],[1]!Entities[Name_w_County],_xlfn.CONCAT("Entity ID ",RIGHT(Table3[[#This Row],[Sponsor_1_num]],8)," not found")),"")</f>
        <v/>
      </c>
      <c r="N125" t="str">
        <f>IF(LEN(H125)&lt;&gt;0,_xlfn.XLOOKUP(H125,[1]!Entities[ID_with_x],[1]!Entities[Name_w_County],_xlfn.CONCAT("Entity ID ",RIGHT(Table3[[#This Row],[Sponsor_1_num]],8)," not found")),"")</f>
        <v/>
      </c>
      <c r="O125" t="str">
        <f>IF(LEN(I125)&lt;&gt;0,_xlfn.XLOOKUP(I125,[1]!Entities[ID_with_x],[1]!Entities[Name_w_County],_xlfn.CONCAT("Entity ID ",RIGHT(Table3[[#This Row],[Sponsor_1_num]],8)," not found")),"")</f>
        <v/>
      </c>
      <c r="P125" t="str">
        <f>IF(LEN(J125)&lt;&gt;0,_xlfn.XLOOKUP(J125,[1]!Entities[ID_with_x],[1]!Entities[Name_w_County],_xlfn.CONCAT("Entity ID ",RIGHT(Table3[[#This Row],[Sponsor_1_num]],8)," not found")),"")</f>
        <v/>
      </c>
      <c r="Q125" t="str">
        <f>IF(LEN(K125)&gt;0,_xlfn.TEXTJOIN(", ",TRUE,K125:P125),Table3[[#This Row],[SPONSOR_LIST]])</f>
        <v>Rockwall County</v>
      </c>
    </row>
    <row r="126" spans="1:17" x14ac:dyDescent="0.25">
      <c r="A126" s="304" t="s">
        <v>2121</v>
      </c>
      <c r="B126" t="s">
        <v>4448</v>
      </c>
      <c r="C126" t="str">
        <f t="shared" si="2"/>
        <v/>
      </c>
      <c r="D126" t="str">
        <f>SUBSTITUTE(SUBSTITUTE(Table3[[#This Row],[Sponsor_list_tranform]],",",",x")," ","")</f>
        <v/>
      </c>
      <c r="K126" t="str">
        <f>IF(LEN(E126)&lt;&gt;0,_xlfn.XLOOKUP(E126,[1]!Entities[ID_with_x],[1]!Entities[Name_w_County],_xlfn.CONCAT("Entity ID ",RIGHT(Table3[[#This Row],[Sponsor_1_num]],8)," not found")),"")</f>
        <v/>
      </c>
      <c r="L126" t="str">
        <f>IF(LEN(F126)&lt;&gt;0,_xlfn.XLOOKUP(F126,[1]!Entities[ID_with_x],[1]!Entities[Name_w_County],_xlfn.CONCAT("Entity ID ",RIGHT(Table3[[#This Row],[Sponsor_1_num]],8)," not found")),"")</f>
        <v/>
      </c>
      <c r="M126" t="str">
        <f>IF(LEN(G126)&lt;&gt;0,_xlfn.XLOOKUP(G126,[1]!Entities[ID_with_x],[1]!Entities[Name_w_County],_xlfn.CONCAT("Entity ID ",RIGHT(Table3[[#This Row],[Sponsor_1_num]],8)," not found")),"")</f>
        <v/>
      </c>
      <c r="N126" t="str">
        <f>IF(LEN(H126)&lt;&gt;0,_xlfn.XLOOKUP(H126,[1]!Entities[ID_with_x],[1]!Entities[Name_w_County],_xlfn.CONCAT("Entity ID ",RIGHT(Table3[[#This Row],[Sponsor_1_num]],8)," not found")),"")</f>
        <v/>
      </c>
      <c r="O126" t="str">
        <f>IF(LEN(I126)&lt;&gt;0,_xlfn.XLOOKUP(I126,[1]!Entities[ID_with_x],[1]!Entities[Name_w_County],_xlfn.CONCAT("Entity ID ",RIGHT(Table3[[#This Row],[Sponsor_1_num]],8)," not found")),"")</f>
        <v/>
      </c>
      <c r="P126" t="str">
        <f>IF(LEN(J126)&lt;&gt;0,_xlfn.XLOOKUP(J126,[1]!Entities[ID_with_x],[1]!Entities[Name_w_County],_xlfn.CONCAT("Entity ID ",RIGHT(Table3[[#This Row],[Sponsor_1_num]],8)," not found")),"")</f>
        <v/>
      </c>
      <c r="Q126" t="str">
        <f>IF(LEN(K126)&gt;0,_xlfn.TEXTJOIN(", ",TRUE,K126:P126),Table3[[#This Row],[SPONSOR_LIST]])</f>
        <v>San Jacinto County, Shepherd, Coldspring, Point Blank</v>
      </c>
    </row>
    <row r="127" spans="1:17" x14ac:dyDescent="0.25">
      <c r="A127" s="304" t="s">
        <v>2128</v>
      </c>
      <c r="B127" t="s">
        <v>4450</v>
      </c>
      <c r="C127" t="str">
        <f t="shared" si="2"/>
        <v/>
      </c>
      <c r="D127" t="str">
        <f>SUBSTITUTE(SUBSTITUTE(Table3[[#This Row],[Sponsor_list_tranform]],",",",x")," ","")</f>
        <v/>
      </c>
      <c r="K127" t="str">
        <f>IF(LEN(E127)&lt;&gt;0,_xlfn.XLOOKUP(E127,[1]!Entities[ID_with_x],[1]!Entities[Name_w_County],_xlfn.CONCAT("Entity ID ",RIGHT(Table3[[#This Row],[Sponsor_1_num]],8)," not found")),"")</f>
        <v/>
      </c>
      <c r="L127" t="str">
        <f>IF(LEN(F127)&lt;&gt;0,_xlfn.XLOOKUP(F127,[1]!Entities[ID_with_x],[1]!Entities[Name_w_County],_xlfn.CONCAT("Entity ID ",RIGHT(Table3[[#This Row],[Sponsor_1_num]],8)," not found")),"")</f>
        <v/>
      </c>
      <c r="M127" t="str">
        <f>IF(LEN(G127)&lt;&gt;0,_xlfn.XLOOKUP(G127,[1]!Entities[ID_with_x],[1]!Entities[Name_w_County],_xlfn.CONCAT("Entity ID ",RIGHT(Table3[[#This Row],[Sponsor_1_num]],8)," not found")),"")</f>
        <v/>
      </c>
      <c r="N127" t="str">
        <f>IF(LEN(H127)&lt;&gt;0,_xlfn.XLOOKUP(H127,[1]!Entities[ID_with_x],[1]!Entities[Name_w_County],_xlfn.CONCAT("Entity ID ",RIGHT(Table3[[#This Row],[Sponsor_1_num]],8)," not found")),"")</f>
        <v/>
      </c>
      <c r="O127" t="str">
        <f>IF(LEN(I127)&lt;&gt;0,_xlfn.XLOOKUP(I127,[1]!Entities[ID_with_x],[1]!Entities[Name_w_County],_xlfn.CONCAT("Entity ID ",RIGHT(Table3[[#This Row],[Sponsor_1_num]],8)," not found")),"")</f>
        <v/>
      </c>
      <c r="P127" t="str">
        <f>IF(LEN(J127)&lt;&gt;0,_xlfn.XLOOKUP(J127,[1]!Entities[ID_with_x],[1]!Entities[Name_w_County],_xlfn.CONCAT("Entity ID ",RIGHT(Table3[[#This Row],[Sponsor_1_num]],8)," not found")),"")</f>
        <v/>
      </c>
      <c r="Q127" t="str">
        <f>IF(LEN(K127)&gt;0,_xlfn.TEXTJOIN(", ",TRUE,K127:P127),Table3[[#This Row],[SPONSOR_LIST]])</f>
        <v>Montague County</v>
      </c>
    </row>
    <row r="128" spans="1:17" x14ac:dyDescent="0.25">
      <c r="A128" s="304" t="s">
        <v>1922</v>
      </c>
      <c r="B128" t="s">
        <v>4400</v>
      </c>
      <c r="C128" t="str">
        <f t="shared" si="2"/>
        <v/>
      </c>
      <c r="D128" t="str">
        <f>SUBSTITUTE(SUBSTITUTE(Table3[[#This Row],[Sponsor_list_tranform]],",",",x")," ","")</f>
        <v/>
      </c>
      <c r="K128" t="str">
        <f>IF(LEN(E128)&lt;&gt;0,_xlfn.XLOOKUP(E128,[1]!Entities[ID_with_x],[1]!Entities[Name_w_County],_xlfn.CONCAT("Entity ID ",RIGHT(Table3[[#This Row],[Sponsor_1_num]],8)," not found")),"")</f>
        <v/>
      </c>
      <c r="L128" t="str">
        <f>IF(LEN(F128)&lt;&gt;0,_xlfn.XLOOKUP(F128,[1]!Entities[ID_with_x],[1]!Entities[Name_w_County],_xlfn.CONCAT("Entity ID ",RIGHT(Table3[[#This Row],[Sponsor_1_num]],8)," not found")),"")</f>
        <v/>
      </c>
      <c r="M128" t="str">
        <f>IF(LEN(G128)&lt;&gt;0,_xlfn.XLOOKUP(G128,[1]!Entities[ID_with_x],[1]!Entities[Name_w_County],_xlfn.CONCAT("Entity ID ",RIGHT(Table3[[#This Row],[Sponsor_1_num]],8)," not found")),"")</f>
        <v/>
      </c>
      <c r="N128" t="str">
        <f>IF(LEN(H128)&lt;&gt;0,_xlfn.XLOOKUP(H128,[1]!Entities[ID_with_x],[1]!Entities[Name_w_County],_xlfn.CONCAT("Entity ID ",RIGHT(Table3[[#This Row],[Sponsor_1_num]],8)," not found")),"")</f>
        <v/>
      </c>
      <c r="O128" t="str">
        <f>IF(LEN(I128)&lt;&gt;0,_xlfn.XLOOKUP(I128,[1]!Entities[ID_with_x],[1]!Entities[Name_w_County],_xlfn.CONCAT("Entity ID ",RIGHT(Table3[[#This Row],[Sponsor_1_num]],8)," not found")),"")</f>
        <v/>
      </c>
      <c r="P128" t="str">
        <f>IF(LEN(J128)&lt;&gt;0,_xlfn.XLOOKUP(J128,[1]!Entities[ID_with_x],[1]!Entities[Name_w_County],_xlfn.CONCAT("Entity ID ",RIGHT(Table3[[#This Row],[Sponsor_1_num]],8)," not found")),"")</f>
        <v/>
      </c>
      <c r="Q128" t="str">
        <f>IF(LEN(K128)&gt;0,_xlfn.TEXTJOIN(", ",TRUE,K128:P128),Table3[[#This Row],[SPONSOR_LIST]])</f>
        <v>Westlake</v>
      </c>
    </row>
    <row r="129" spans="1:17" x14ac:dyDescent="0.25">
      <c r="A129" s="304" t="s">
        <v>2135</v>
      </c>
      <c r="B129" t="s">
        <v>4452</v>
      </c>
      <c r="C129" t="str">
        <f t="shared" si="2"/>
        <v/>
      </c>
      <c r="D129" t="str">
        <f>SUBSTITUTE(SUBSTITUTE(Table3[[#This Row],[Sponsor_list_tranform]],",",",x")," ","")</f>
        <v/>
      </c>
      <c r="K129" t="str">
        <f>IF(LEN(E129)&lt;&gt;0,_xlfn.XLOOKUP(E129,[1]!Entities[ID_with_x],[1]!Entities[Name_w_County],_xlfn.CONCAT("Entity ID ",RIGHT(Table3[[#This Row],[Sponsor_1_num]],8)," not found")),"")</f>
        <v/>
      </c>
      <c r="L129" t="str">
        <f>IF(LEN(F129)&lt;&gt;0,_xlfn.XLOOKUP(F129,[1]!Entities[ID_with_x],[1]!Entities[Name_w_County],_xlfn.CONCAT("Entity ID ",RIGHT(Table3[[#This Row],[Sponsor_1_num]],8)," not found")),"")</f>
        <v/>
      </c>
      <c r="M129" t="str">
        <f>IF(LEN(G129)&lt;&gt;0,_xlfn.XLOOKUP(G129,[1]!Entities[ID_with_x],[1]!Entities[Name_w_County],_xlfn.CONCAT("Entity ID ",RIGHT(Table3[[#This Row],[Sponsor_1_num]],8)," not found")),"")</f>
        <v/>
      </c>
      <c r="N129" t="str">
        <f>IF(LEN(H129)&lt;&gt;0,_xlfn.XLOOKUP(H129,[1]!Entities[ID_with_x],[1]!Entities[Name_w_County],_xlfn.CONCAT("Entity ID ",RIGHT(Table3[[#This Row],[Sponsor_1_num]],8)," not found")),"")</f>
        <v/>
      </c>
      <c r="O129" t="str">
        <f>IF(LEN(I129)&lt;&gt;0,_xlfn.XLOOKUP(I129,[1]!Entities[ID_with_x],[1]!Entities[Name_w_County],_xlfn.CONCAT("Entity ID ",RIGHT(Table3[[#This Row],[Sponsor_1_num]],8)," not found")),"")</f>
        <v/>
      </c>
      <c r="P129" t="str">
        <f>IF(LEN(J129)&lt;&gt;0,_xlfn.XLOOKUP(J129,[1]!Entities[ID_with_x],[1]!Entities[Name_w_County],_xlfn.CONCAT("Entity ID ",RIGHT(Table3[[#This Row],[Sponsor_1_num]],8)," not found")),"")</f>
        <v/>
      </c>
      <c r="Q129" t="str">
        <f>IF(LEN(K129)&gt;0,_xlfn.TEXTJOIN(", ",TRUE,K129:P129),Table3[[#This Row],[SPONSOR_LIST]])</f>
        <v>Wills Point</v>
      </c>
    </row>
    <row r="130" spans="1:17" x14ac:dyDescent="0.25">
      <c r="A130" s="304" t="s">
        <v>1805</v>
      </c>
      <c r="B130" t="s">
        <v>4373</v>
      </c>
      <c r="C130" t="str">
        <f t="shared" si="2"/>
        <v/>
      </c>
      <c r="D130" t="str">
        <f>SUBSTITUTE(SUBSTITUTE(Table3[[#This Row],[Sponsor_list_tranform]],",",",x")," ","")</f>
        <v/>
      </c>
      <c r="K130" t="str">
        <f>IF(LEN(E130)&lt;&gt;0,_xlfn.XLOOKUP(E130,[1]!Entities[ID_with_x],[1]!Entities[Name_w_County],_xlfn.CONCAT("Entity ID ",RIGHT(Table3[[#This Row],[Sponsor_1_num]],8)," not found")),"")</f>
        <v/>
      </c>
      <c r="L130" t="str">
        <f>IF(LEN(F130)&lt;&gt;0,_xlfn.XLOOKUP(F130,[1]!Entities[ID_with_x],[1]!Entities[Name_w_County],_xlfn.CONCAT("Entity ID ",RIGHT(Table3[[#This Row],[Sponsor_1_num]],8)," not found")),"")</f>
        <v/>
      </c>
      <c r="M130" t="str">
        <f>IF(LEN(G130)&lt;&gt;0,_xlfn.XLOOKUP(G130,[1]!Entities[ID_with_x],[1]!Entities[Name_w_County],_xlfn.CONCAT("Entity ID ",RIGHT(Table3[[#This Row],[Sponsor_1_num]],8)," not found")),"")</f>
        <v/>
      </c>
      <c r="N130" t="str">
        <f>IF(LEN(H130)&lt;&gt;0,_xlfn.XLOOKUP(H130,[1]!Entities[ID_with_x],[1]!Entities[Name_w_County],_xlfn.CONCAT("Entity ID ",RIGHT(Table3[[#This Row],[Sponsor_1_num]],8)," not found")),"")</f>
        <v/>
      </c>
      <c r="O130" t="str">
        <f>IF(LEN(I130)&lt;&gt;0,_xlfn.XLOOKUP(I130,[1]!Entities[ID_with_x],[1]!Entities[Name_w_County],_xlfn.CONCAT("Entity ID ",RIGHT(Table3[[#This Row],[Sponsor_1_num]],8)," not found")),"")</f>
        <v/>
      </c>
      <c r="P130" t="str">
        <f>IF(LEN(J130)&lt;&gt;0,_xlfn.XLOOKUP(J130,[1]!Entities[ID_with_x],[1]!Entities[Name_w_County],_xlfn.CONCAT("Entity ID ",RIGHT(Table3[[#This Row],[Sponsor_1_num]],8)," not found")),"")</f>
        <v/>
      </c>
      <c r="Q130" t="str">
        <f>IF(LEN(K130)&gt;0,_xlfn.TEXTJOIN(", ",TRUE,K130:P130),Table3[[#This Row],[SPONSOR_LIST]])</f>
        <v>Valley View</v>
      </c>
    </row>
    <row r="131" spans="1:17" x14ac:dyDescent="0.25">
      <c r="A131" s="304" t="s">
        <v>2142</v>
      </c>
      <c r="B131" t="s">
        <v>4453</v>
      </c>
      <c r="C131" t="str">
        <f t="shared" si="2"/>
        <v/>
      </c>
      <c r="D131" t="str">
        <f>SUBSTITUTE(SUBSTITUTE(Table3[[#This Row],[Sponsor_list_tranform]],",",",x")," ","")</f>
        <v/>
      </c>
      <c r="K131" t="str">
        <f>IF(LEN(E131)&lt;&gt;0,_xlfn.XLOOKUP(E131,[1]!Entities[ID_with_x],[1]!Entities[Name_w_County],_xlfn.CONCAT("Entity ID ",RIGHT(Table3[[#This Row],[Sponsor_1_num]],8)," not found")),"")</f>
        <v/>
      </c>
      <c r="L131" t="str">
        <f>IF(LEN(F131)&lt;&gt;0,_xlfn.XLOOKUP(F131,[1]!Entities[ID_with_x],[1]!Entities[Name_w_County],_xlfn.CONCAT("Entity ID ",RIGHT(Table3[[#This Row],[Sponsor_1_num]],8)," not found")),"")</f>
        <v/>
      </c>
      <c r="M131" t="str">
        <f>IF(LEN(G131)&lt;&gt;0,_xlfn.XLOOKUP(G131,[1]!Entities[ID_with_x],[1]!Entities[Name_w_County],_xlfn.CONCAT("Entity ID ",RIGHT(Table3[[#This Row],[Sponsor_1_num]],8)," not found")),"")</f>
        <v/>
      </c>
      <c r="N131" t="str">
        <f>IF(LEN(H131)&lt;&gt;0,_xlfn.XLOOKUP(H131,[1]!Entities[ID_with_x],[1]!Entities[Name_w_County],_xlfn.CONCAT("Entity ID ",RIGHT(Table3[[#This Row],[Sponsor_1_num]],8)," not found")),"")</f>
        <v/>
      </c>
      <c r="O131" t="str">
        <f>IF(LEN(I131)&lt;&gt;0,_xlfn.XLOOKUP(I131,[1]!Entities[ID_with_x],[1]!Entities[Name_w_County],_xlfn.CONCAT("Entity ID ",RIGHT(Table3[[#This Row],[Sponsor_1_num]],8)," not found")),"")</f>
        <v/>
      </c>
      <c r="P131" t="str">
        <f>IF(LEN(J131)&lt;&gt;0,_xlfn.XLOOKUP(J131,[1]!Entities[ID_with_x],[1]!Entities[Name_w_County],_xlfn.CONCAT("Entity ID ",RIGHT(Table3[[#This Row],[Sponsor_1_num]],8)," not found")),"")</f>
        <v/>
      </c>
      <c r="Q131" t="str">
        <f>IF(LEN(K131)&gt;0,_xlfn.TEXTJOIN(", ",TRUE,K131:P131),Table3[[#This Row],[SPONSOR_LIST]])</f>
        <v>Sachse</v>
      </c>
    </row>
    <row r="132" spans="1:17" x14ac:dyDescent="0.25">
      <c r="A132" s="304" t="s">
        <v>2149</v>
      </c>
      <c r="B132" t="s">
        <v>4455</v>
      </c>
      <c r="C132" t="str">
        <f t="shared" si="2"/>
        <v/>
      </c>
      <c r="D132" t="str">
        <f>SUBSTITUTE(SUBSTITUTE(Table3[[#This Row],[Sponsor_list_tranform]],",",",x")," ","")</f>
        <v/>
      </c>
      <c r="K132" t="str">
        <f>IF(LEN(E132)&lt;&gt;0,_xlfn.XLOOKUP(E132,[1]!Entities[ID_with_x],[1]!Entities[Name_w_County],_xlfn.CONCAT("Entity ID ",RIGHT(Table3[[#This Row],[Sponsor_1_num]],8)," not found")),"")</f>
        <v/>
      </c>
      <c r="L132" t="str">
        <f>IF(LEN(F132)&lt;&gt;0,_xlfn.XLOOKUP(F132,[1]!Entities[ID_with_x],[1]!Entities[Name_w_County],_xlfn.CONCAT("Entity ID ",RIGHT(Table3[[#This Row],[Sponsor_1_num]],8)," not found")),"")</f>
        <v/>
      </c>
      <c r="M132" t="str">
        <f>IF(LEN(G132)&lt;&gt;0,_xlfn.XLOOKUP(G132,[1]!Entities[ID_with_x],[1]!Entities[Name_w_County],_xlfn.CONCAT("Entity ID ",RIGHT(Table3[[#This Row],[Sponsor_1_num]],8)," not found")),"")</f>
        <v/>
      </c>
      <c r="N132" t="str">
        <f>IF(LEN(H132)&lt;&gt;0,_xlfn.XLOOKUP(H132,[1]!Entities[ID_with_x],[1]!Entities[Name_w_County],_xlfn.CONCAT("Entity ID ",RIGHT(Table3[[#This Row],[Sponsor_1_num]],8)," not found")),"")</f>
        <v/>
      </c>
      <c r="O132" t="str">
        <f>IF(LEN(I132)&lt;&gt;0,_xlfn.XLOOKUP(I132,[1]!Entities[ID_with_x],[1]!Entities[Name_w_County],_xlfn.CONCAT("Entity ID ",RIGHT(Table3[[#This Row],[Sponsor_1_num]],8)," not found")),"")</f>
        <v/>
      </c>
      <c r="P132" t="str">
        <f>IF(LEN(J132)&lt;&gt;0,_xlfn.XLOOKUP(J132,[1]!Entities[ID_with_x],[1]!Entities[Name_w_County],_xlfn.CONCAT("Entity ID ",RIGHT(Table3[[#This Row],[Sponsor_1_num]],8)," not found")),"")</f>
        <v/>
      </c>
      <c r="Q132" t="str">
        <f>IF(LEN(K132)&gt;0,_xlfn.TEXTJOIN(", ",TRUE,K132:P132),Table3[[#This Row],[SPONSOR_LIST]])</f>
        <v>Carrollton</v>
      </c>
    </row>
    <row r="133" spans="1:17" x14ac:dyDescent="0.25">
      <c r="A133" s="304" t="s">
        <v>2156</v>
      </c>
      <c r="B133" t="s">
        <v>4457</v>
      </c>
      <c r="C133" t="str">
        <f t="shared" si="2"/>
        <v/>
      </c>
      <c r="D133" t="str">
        <f>SUBSTITUTE(SUBSTITUTE(Table3[[#This Row],[Sponsor_list_tranform]],",",",x")," ","")</f>
        <v/>
      </c>
      <c r="K133" t="str">
        <f>IF(LEN(E133)&lt;&gt;0,_xlfn.XLOOKUP(E133,[1]!Entities[ID_with_x],[1]!Entities[Name_w_County],_xlfn.CONCAT("Entity ID ",RIGHT(Table3[[#This Row],[Sponsor_1_num]],8)," not found")),"")</f>
        <v/>
      </c>
      <c r="L133" t="str">
        <f>IF(LEN(F133)&lt;&gt;0,_xlfn.XLOOKUP(F133,[1]!Entities[ID_with_x],[1]!Entities[Name_w_County],_xlfn.CONCAT("Entity ID ",RIGHT(Table3[[#This Row],[Sponsor_1_num]],8)," not found")),"")</f>
        <v/>
      </c>
      <c r="M133" t="str">
        <f>IF(LEN(G133)&lt;&gt;0,_xlfn.XLOOKUP(G133,[1]!Entities[ID_with_x],[1]!Entities[Name_w_County],_xlfn.CONCAT("Entity ID ",RIGHT(Table3[[#This Row],[Sponsor_1_num]],8)," not found")),"")</f>
        <v/>
      </c>
      <c r="N133" t="str">
        <f>IF(LEN(H133)&lt;&gt;0,_xlfn.XLOOKUP(H133,[1]!Entities[ID_with_x],[1]!Entities[Name_w_County],_xlfn.CONCAT("Entity ID ",RIGHT(Table3[[#This Row],[Sponsor_1_num]],8)," not found")),"")</f>
        <v/>
      </c>
      <c r="O133" t="str">
        <f>IF(LEN(I133)&lt;&gt;0,_xlfn.XLOOKUP(I133,[1]!Entities[ID_with_x],[1]!Entities[Name_w_County],_xlfn.CONCAT("Entity ID ",RIGHT(Table3[[#This Row],[Sponsor_1_num]],8)," not found")),"")</f>
        <v/>
      </c>
      <c r="P133" t="str">
        <f>IF(LEN(J133)&lt;&gt;0,_xlfn.XLOOKUP(J133,[1]!Entities[ID_with_x],[1]!Entities[Name_w_County],_xlfn.CONCAT("Entity ID ",RIGHT(Table3[[#This Row],[Sponsor_1_num]],8)," not found")),"")</f>
        <v/>
      </c>
      <c r="Q133" t="str">
        <f>IF(LEN(K133)&gt;0,_xlfn.TEXTJOIN(", ",TRUE,K133:P133),Table3[[#This Row],[SPONSOR_LIST]])</f>
        <v>Sunnyvale</v>
      </c>
    </row>
    <row r="134" spans="1:17" x14ac:dyDescent="0.25">
      <c r="A134" s="304" t="s">
        <v>2162</v>
      </c>
      <c r="B134" t="s">
        <v>4459</v>
      </c>
      <c r="C134" t="str">
        <f t="shared" ref="C134:C197" si="3">IF(ISNUMBER(VALUE(LEFT(B134,7))),_xlfn.CONCAT("x",TEXT(SUBSTITUTE(B134,",",", "),"00000000")),"")</f>
        <v/>
      </c>
      <c r="D134" t="str">
        <f>SUBSTITUTE(SUBSTITUTE(Table3[[#This Row],[Sponsor_list_tranform]],",",",x")," ","")</f>
        <v/>
      </c>
      <c r="K134" t="str">
        <f>IF(LEN(E134)&lt;&gt;0,_xlfn.XLOOKUP(E134,[1]!Entities[ID_with_x],[1]!Entities[Name_w_County],_xlfn.CONCAT("Entity ID ",RIGHT(Table3[[#This Row],[Sponsor_1_num]],8)," not found")),"")</f>
        <v/>
      </c>
      <c r="L134" t="str">
        <f>IF(LEN(F134)&lt;&gt;0,_xlfn.XLOOKUP(F134,[1]!Entities[ID_with_x],[1]!Entities[Name_w_County],_xlfn.CONCAT("Entity ID ",RIGHT(Table3[[#This Row],[Sponsor_1_num]],8)," not found")),"")</f>
        <v/>
      </c>
      <c r="M134" t="str">
        <f>IF(LEN(G134)&lt;&gt;0,_xlfn.XLOOKUP(G134,[1]!Entities[ID_with_x],[1]!Entities[Name_w_County],_xlfn.CONCAT("Entity ID ",RIGHT(Table3[[#This Row],[Sponsor_1_num]],8)," not found")),"")</f>
        <v/>
      </c>
      <c r="N134" t="str">
        <f>IF(LEN(H134)&lt;&gt;0,_xlfn.XLOOKUP(H134,[1]!Entities[ID_with_x],[1]!Entities[Name_w_County],_xlfn.CONCAT("Entity ID ",RIGHT(Table3[[#This Row],[Sponsor_1_num]],8)," not found")),"")</f>
        <v/>
      </c>
      <c r="O134" t="str">
        <f>IF(LEN(I134)&lt;&gt;0,_xlfn.XLOOKUP(I134,[1]!Entities[ID_with_x],[1]!Entities[Name_w_County],_xlfn.CONCAT("Entity ID ",RIGHT(Table3[[#This Row],[Sponsor_1_num]],8)," not found")),"")</f>
        <v/>
      </c>
      <c r="P134" t="str">
        <f>IF(LEN(J134)&lt;&gt;0,_xlfn.XLOOKUP(J134,[1]!Entities[ID_with_x],[1]!Entities[Name_w_County],_xlfn.CONCAT("Entity ID ",RIGHT(Table3[[#This Row],[Sponsor_1_num]],8)," not found")),"")</f>
        <v/>
      </c>
      <c r="Q134" t="str">
        <f>IF(LEN(K134)&gt;0,_xlfn.TEXTJOIN(", ",TRUE,K134:P134),Table3[[#This Row],[SPONSOR_LIST]])</f>
        <v>Itasca</v>
      </c>
    </row>
    <row r="135" spans="1:17" x14ac:dyDescent="0.25">
      <c r="A135" s="304" t="s">
        <v>1846</v>
      </c>
      <c r="B135" t="s">
        <v>4381</v>
      </c>
      <c r="C135" t="str">
        <f t="shared" si="3"/>
        <v/>
      </c>
      <c r="D135" t="str">
        <f>SUBSTITUTE(SUBSTITUTE(Table3[[#This Row],[Sponsor_list_tranform]],",",",x")," ","")</f>
        <v/>
      </c>
      <c r="K135" t="str">
        <f>IF(LEN(E135)&lt;&gt;0,_xlfn.XLOOKUP(E135,[1]!Entities[ID_with_x],[1]!Entities[Name_w_County],_xlfn.CONCAT("Entity ID ",RIGHT(Table3[[#This Row],[Sponsor_1_num]],8)," not found")),"")</f>
        <v/>
      </c>
      <c r="L135" t="str">
        <f>IF(LEN(F135)&lt;&gt;0,_xlfn.XLOOKUP(F135,[1]!Entities[ID_with_x],[1]!Entities[Name_w_County],_xlfn.CONCAT("Entity ID ",RIGHT(Table3[[#This Row],[Sponsor_1_num]],8)," not found")),"")</f>
        <v/>
      </c>
      <c r="M135" t="str">
        <f>IF(LEN(G135)&lt;&gt;0,_xlfn.XLOOKUP(G135,[1]!Entities[ID_with_x],[1]!Entities[Name_w_County],_xlfn.CONCAT("Entity ID ",RIGHT(Table3[[#This Row],[Sponsor_1_num]],8)," not found")),"")</f>
        <v/>
      </c>
      <c r="N135" t="str">
        <f>IF(LEN(H135)&lt;&gt;0,_xlfn.XLOOKUP(H135,[1]!Entities[ID_with_x],[1]!Entities[Name_w_County],_xlfn.CONCAT("Entity ID ",RIGHT(Table3[[#This Row],[Sponsor_1_num]],8)," not found")),"")</f>
        <v/>
      </c>
      <c r="O135" t="str">
        <f>IF(LEN(I135)&lt;&gt;0,_xlfn.XLOOKUP(I135,[1]!Entities[ID_with_x],[1]!Entities[Name_w_County],_xlfn.CONCAT("Entity ID ",RIGHT(Table3[[#This Row],[Sponsor_1_num]],8)," not found")),"")</f>
        <v/>
      </c>
      <c r="P135" t="str">
        <f>IF(LEN(J135)&lt;&gt;0,_xlfn.XLOOKUP(J135,[1]!Entities[ID_with_x],[1]!Entities[Name_w_County],_xlfn.CONCAT("Entity ID ",RIGHT(Table3[[#This Row],[Sponsor_1_num]],8)," not found")),"")</f>
        <v/>
      </c>
      <c r="Q135" t="str">
        <f>IF(LEN(K135)&gt;0,_xlfn.TEXTJOIN(", ",TRUE,K135:P135),Table3[[#This Row],[SPONSOR_LIST]])</f>
        <v>Kaufman County</v>
      </c>
    </row>
    <row r="136" spans="1:17" x14ac:dyDescent="0.25">
      <c r="A136" s="304" t="s">
        <v>1960</v>
      </c>
      <c r="B136" t="s">
        <v>4407</v>
      </c>
      <c r="C136" t="str">
        <f t="shared" si="3"/>
        <v/>
      </c>
      <c r="D136" t="str">
        <f>SUBSTITUTE(SUBSTITUTE(Table3[[#This Row],[Sponsor_list_tranform]],",",",x")," ","")</f>
        <v/>
      </c>
      <c r="K136" t="str">
        <f>IF(LEN(E136)&lt;&gt;0,_xlfn.XLOOKUP(E136,[1]!Entities[ID_with_x],[1]!Entities[Name_w_County],_xlfn.CONCAT("Entity ID ",RIGHT(Table3[[#This Row],[Sponsor_1_num]],8)," not found")),"")</f>
        <v/>
      </c>
      <c r="L136" t="str">
        <f>IF(LEN(F136)&lt;&gt;0,_xlfn.XLOOKUP(F136,[1]!Entities[ID_with_x],[1]!Entities[Name_w_County],_xlfn.CONCAT("Entity ID ",RIGHT(Table3[[#This Row],[Sponsor_1_num]],8)," not found")),"")</f>
        <v/>
      </c>
      <c r="M136" t="str">
        <f>IF(LEN(G136)&lt;&gt;0,_xlfn.XLOOKUP(G136,[1]!Entities[ID_with_x],[1]!Entities[Name_w_County],_xlfn.CONCAT("Entity ID ",RIGHT(Table3[[#This Row],[Sponsor_1_num]],8)," not found")),"")</f>
        <v/>
      </c>
      <c r="N136" t="str">
        <f>IF(LEN(H136)&lt;&gt;0,_xlfn.XLOOKUP(H136,[1]!Entities[ID_with_x],[1]!Entities[Name_w_County],_xlfn.CONCAT("Entity ID ",RIGHT(Table3[[#This Row],[Sponsor_1_num]],8)," not found")),"")</f>
        <v/>
      </c>
      <c r="O136" t="str">
        <f>IF(LEN(I136)&lt;&gt;0,_xlfn.XLOOKUP(I136,[1]!Entities[ID_with_x],[1]!Entities[Name_w_County],_xlfn.CONCAT("Entity ID ",RIGHT(Table3[[#This Row],[Sponsor_1_num]],8)," not found")),"")</f>
        <v/>
      </c>
      <c r="P136" t="str">
        <f>IF(LEN(J136)&lt;&gt;0,_xlfn.XLOOKUP(J136,[1]!Entities[ID_with_x],[1]!Entities[Name_w_County],_xlfn.CONCAT("Entity ID ",RIGHT(Table3[[#This Row],[Sponsor_1_num]],8)," not found")),"")</f>
        <v/>
      </c>
      <c r="Q136" t="str">
        <f>IF(LEN(K136)&gt;0,_xlfn.TEXTJOIN(", ",TRUE,K136:P136),Table3[[#This Row],[SPONSOR_LIST]])</f>
        <v>North Central Texas Council of Govt</v>
      </c>
    </row>
    <row r="137" spans="1:17" x14ac:dyDescent="0.25">
      <c r="A137" s="304" t="s">
        <v>2018</v>
      </c>
      <c r="B137" t="s">
        <v>4390</v>
      </c>
      <c r="C137" t="str">
        <f t="shared" si="3"/>
        <v/>
      </c>
      <c r="D137" t="str">
        <f>SUBSTITUTE(SUBSTITUTE(Table3[[#This Row],[Sponsor_list_tranform]],",",",x")," ","")</f>
        <v/>
      </c>
      <c r="K137" t="str">
        <f>IF(LEN(E137)&lt;&gt;0,_xlfn.XLOOKUP(E137,[1]!Entities[ID_with_x],[1]!Entities[Name_w_County],_xlfn.CONCAT("Entity ID ",RIGHT(Table3[[#This Row],[Sponsor_1_num]],8)," not found")),"")</f>
        <v/>
      </c>
      <c r="L137" t="str">
        <f>IF(LEN(F137)&lt;&gt;0,_xlfn.XLOOKUP(F137,[1]!Entities[ID_with_x],[1]!Entities[Name_w_County],_xlfn.CONCAT("Entity ID ",RIGHT(Table3[[#This Row],[Sponsor_1_num]],8)," not found")),"")</f>
        <v/>
      </c>
      <c r="M137" t="str">
        <f>IF(LEN(G137)&lt;&gt;0,_xlfn.XLOOKUP(G137,[1]!Entities[ID_with_x],[1]!Entities[Name_w_County],_xlfn.CONCAT("Entity ID ",RIGHT(Table3[[#This Row],[Sponsor_1_num]],8)," not found")),"")</f>
        <v/>
      </c>
      <c r="N137" t="str">
        <f>IF(LEN(H137)&lt;&gt;0,_xlfn.XLOOKUP(H137,[1]!Entities[ID_with_x],[1]!Entities[Name_w_County],_xlfn.CONCAT("Entity ID ",RIGHT(Table3[[#This Row],[Sponsor_1_num]],8)," not found")),"")</f>
        <v/>
      </c>
      <c r="O137" t="str">
        <f>IF(LEN(I137)&lt;&gt;0,_xlfn.XLOOKUP(I137,[1]!Entities[ID_with_x],[1]!Entities[Name_w_County],_xlfn.CONCAT("Entity ID ",RIGHT(Table3[[#This Row],[Sponsor_1_num]],8)," not found")),"")</f>
        <v/>
      </c>
      <c r="P137" t="str">
        <f>IF(LEN(J137)&lt;&gt;0,_xlfn.XLOOKUP(J137,[1]!Entities[ID_with_x],[1]!Entities[Name_w_County],_xlfn.CONCAT("Entity ID ",RIGHT(Table3[[#This Row],[Sponsor_1_num]],8)," not found")),"")</f>
        <v/>
      </c>
      <c r="Q137" t="str">
        <f>IF(LEN(K137)&gt;0,_xlfn.TEXTJOIN(", ",TRUE,K137:P137),Table3[[#This Row],[SPONSOR_LIST]])</f>
        <v>Richardson</v>
      </c>
    </row>
    <row r="138" spans="1:17" x14ac:dyDescent="0.25">
      <c r="A138" s="304" t="s">
        <v>2169</v>
      </c>
      <c r="B138" t="s">
        <v>4433</v>
      </c>
      <c r="C138" t="str">
        <f t="shared" si="3"/>
        <v/>
      </c>
      <c r="D138" t="str">
        <f>SUBSTITUTE(SUBSTITUTE(Table3[[#This Row],[Sponsor_list_tranform]],",",",x")," ","")</f>
        <v/>
      </c>
      <c r="K138" t="str">
        <f>IF(LEN(E138)&lt;&gt;0,_xlfn.XLOOKUP(E138,[1]!Entities[ID_with_x],[1]!Entities[Name_w_County],_xlfn.CONCAT("Entity ID ",RIGHT(Table3[[#This Row],[Sponsor_1_num]],8)," not found")),"")</f>
        <v/>
      </c>
      <c r="L138" t="str">
        <f>IF(LEN(F138)&lt;&gt;0,_xlfn.XLOOKUP(F138,[1]!Entities[ID_with_x],[1]!Entities[Name_w_County],_xlfn.CONCAT("Entity ID ",RIGHT(Table3[[#This Row],[Sponsor_1_num]],8)," not found")),"")</f>
        <v/>
      </c>
      <c r="M138" t="str">
        <f>IF(LEN(G138)&lt;&gt;0,_xlfn.XLOOKUP(G138,[1]!Entities[ID_with_x],[1]!Entities[Name_w_County],_xlfn.CONCAT("Entity ID ",RIGHT(Table3[[#This Row],[Sponsor_1_num]],8)," not found")),"")</f>
        <v/>
      </c>
      <c r="N138" t="str">
        <f>IF(LEN(H138)&lt;&gt;0,_xlfn.XLOOKUP(H138,[1]!Entities[ID_with_x],[1]!Entities[Name_w_County],_xlfn.CONCAT("Entity ID ",RIGHT(Table3[[#This Row],[Sponsor_1_num]],8)," not found")),"")</f>
        <v/>
      </c>
      <c r="O138" t="str">
        <f>IF(LEN(I138)&lt;&gt;0,_xlfn.XLOOKUP(I138,[1]!Entities[ID_with_x],[1]!Entities[Name_w_County],_xlfn.CONCAT("Entity ID ",RIGHT(Table3[[#This Row],[Sponsor_1_num]],8)," not found")),"")</f>
        <v/>
      </c>
      <c r="P138" t="str">
        <f>IF(LEN(J138)&lt;&gt;0,_xlfn.XLOOKUP(J138,[1]!Entities[ID_with_x],[1]!Entities[Name_w_County],_xlfn.CONCAT("Entity ID ",RIGHT(Table3[[#This Row],[Sponsor_1_num]],8)," not found")),"")</f>
        <v/>
      </c>
      <c r="Q138" t="str">
        <f>IF(LEN(K138)&gt;0,_xlfn.TEXTJOIN(", ",TRUE,K138:P138),Table3[[#This Row],[SPONSOR_LIST]])</f>
        <v>Houston County</v>
      </c>
    </row>
    <row r="139" spans="1:17" x14ac:dyDescent="0.25">
      <c r="A139" s="304" t="s">
        <v>1850</v>
      </c>
      <c r="B139" t="s">
        <v>4382</v>
      </c>
      <c r="C139" t="str">
        <f t="shared" si="3"/>
        <v/>
      </c>
      <c r="D139" t="str">
        <f>SUBSTITUTE(SUBSTITUTE(Table3[[#This Row],[Sponsor_list_tranform]],",",",x")," ","")</f>
        <v/>
      </c>
      <c r="K139" t="str">
        <f>IF(LEN(E139)&lt;&gt;0,_xlfn.XLOOKUP(E139,[1]!Entities[ID_with_x],[1]!Entities[Name_w_County],_xlfn.CONCAT("Entity ID ",RIGHT(Table3[[#This Row],[Sponsor_1_num]],8)," not found")),"")</f>
        <v/>
      </c>
      <c r="L139" t="str">
        <f>IF(LEN(F139)&lt;&gt;0,_xlfn.XLOOKUP(F139,[1]!Entities[ID_with_x],[1]!Entities[Name_w_County],_xlfn.CONCAT("Entity ID ",RIGHT(Table3[[#This Row],[Sponsor_1_num]],8)," not found")),"")</f>
        <v/>
      </c>
      <c r="M139" t="str">
        <f>IF(LEN(G139)&lt;&gt;0,_xlfn.XLOOKUP(G139,[1]!Entities[ID_with_x],[1]!Entities[Name_w_County],_xlfn.CONCAT("Entity ID ",RIGHT(Table3[[#This Row],[Sponsor_1_num]],8)," not found")),"")</f>
        <v/>
      </c>
      <c r="N139" t="str">
        <f>IF(LEN(H139)&lt;&gt;0,_xlfn.XLOOKUP(H139,[1]!Entities[ID_with_x],[1]!Entities[Name_w_County],_xlfn.CONCAT("Entity ID ",RIGHT(Table3[[#This Row],[Sponsor_1_num]],8)," not found")),"")</f>
        <v/>
      </c>
      <c r="O139" t="str">
        <f>IF(LEN(I139)&lt;&gt;0,_xlfn.XLOOKUP(I139,[1]!Entities[ID_with_x],[1]!Entities[Name_w_County],_xlfn.CONCAT("Entity ID ",RIGHT(Table3[[#This Row],[Sponsor_1_num]],8)," not found")),"")</f>
        <v/>
      </c>
      <c r="P139" t="str">
        <f>IF(LEN(J139)&lt;&gt;0,_xlfn.XLOOKUP(J139,[1]!Entities[ID_with_x],[1]!Entities[Name_w_County],_xlfn.CONCAT("Entity ID ",RIGHT(Table3[[#This Row],[Sponsor_1_num]],8)," not found")),"")</f>
        <v/>
      </c>
      <c r="Q139" t="str">
        <f>IF(LEN(K139)&gt;0,_xlfn.TEXTJOIN(", ",TRUE,K139:P139),Table3[[#This Row],[SPONSOR_LIST]])</f>
        <v>Kaufman County, Terrell, Kemp, Kaufman</v>
      </c>
    </row>
    <row r="140" spans="1:17" x14ac:dyDescent="0.25">
      <c r="A140" s="304" t="s">
        <v>2173</v>
      </c>
      <c r="B140" t="s">
        <v>4453</v>
      </c>
      <c r="C140" t="str">
        <f t="shared" si="3"/>
        <v/>
      </c>
      <c r="D140" t="str">
        <f>SUBSTITUTE(SUBSTITUTE(Table3[[#This Row],[Sponsor_list_tranform]],",",",x")," ","")</f>
        <v/>
      </c>
      <c r="K140" t="str">
        <f>IF(LEN(E140)&lt;&gt;0,_xlfn.XLOOKUP(E140,[1]!Entities[ID_with_x],[1]!Entities[Name_w_County],_xlfn.CONCAT("Entity ID ",RIGHT(Table3[[#This Row],[Sponsor_1_num]],8)," not found")),"")</f>
        <v/>
      </c>
      <c r="L140" t="str">
        <f>IF(LEN(F140)&lt;&gt;0,_xlfn.XLOOKUP(F140,[1]!Entities[ID_with_x],[1]!Entities[Name_w_County],_xlfn.CONCAT("Entity ID ",RIGHT(Table3[[#This Row],[Sponsor_1_num]],8)," not found")),"")</f>
        <v/>
      </c>
      <c r="M140" t="str">
        <f>IF(LEN(G140)&lt;&gt;0,_xlfn.XLOOKUP(G140,[1]!Entities[ID_with_x],[1]!Entities[Name_w_County],_xlfn.CONCAT("Entity ID ",RIGHT(Table3[[#This Row],[Sponsor_1_num]],8)," not found")),"")</f>
        <v/>
      </c>
      <c r="N140" t="str">
        <f>IF(LEN(H140)&lt;&gt;0,_xlfn.XLOOKUP(H140,[1]!Entities[ID_with_x],[1]!Entities[Name_w_County],_xlfn.CONCAT("Entity ID ",RIGHT(Table3[[#This Row],[Sponsor_1_num]],8)," not found")),"")</f>
        <v/>
      </c>
      <c r="O140" t="str">
        <f>IF(LEN(I140)&lt;&gt;0,_xlfn.XLOOKUP(I140,[1]!Entities[ID_with_x],[1]!Entities[Name_w_County],_xlfn.CONCAT("Entity ID ",RIGHT(Table3[[#This Row],[Sponsor_1_num]],8)," not found")),"")</f>
        <v/>
      </c>
      <c r="P140" t="str">
        <f>IF(LEN(J140)&lt;&gt;0,_xlfn.XLOOKUP(J140,[1]!Entities[ID_with_x],[1]!Entities[Name_w_County],_xlfn.CONCAT("Entity ID ",RIGHT(Table3[[#This Row],[Sponsor_1_num]],8)," not found")),"")</f>
        <v/>
      </c>
      <c r="Q140" t="str">
        <f>IF(LEN(K140)&gt;0,_xlfn.TEXTJOIN(", ",TRUE,K140:P140),Table3[[#This Row],[SPONSOR_LIST]])</f>
        <v>Sachse</v>
      </c>
    </row>
    <row r="141" spans="1:17" x14ac:dyDescent="0.25">
      <c r="A141" s="304" t="s">
        <v>2177</v>
      </c>
      <c r="B141" t="s">
        <v>4461</v>
      </c>
      <c r="C141" t="str">
        <f t="shared" si="3"/>
        <v/>
      </c>
      <c r="D141" t="str">
        <f>SUBSTITUTE(SUBSTITUTE(Table3[[#This Row],[Sponsor_list_tranform]],",",",x")," ","")</f>
        <v/>
      </c>
      <c r="K141" t="str">
        <f>IF(LEN(E141)&lt;&gt;0,_xlfn.XLOOKUP(E141,[1]!Entities[ID_with_x],[1]!Entities[Name_w_County],_xlfn.CONCAT("Entity ID ",RIGHT(Table3[[#This Row],[Sponsor_1_num]],8)," not found")),"")</f>
        <v/>
      </c>
      <c r="L141" t="str">
        <f>IF(LEN(F141)&lt;&gt;0,_xlfn.XLOOKUP(F141,[1]!Entities[ID_with_x],[1]!Entities[Name_w_County],_xlfn.CONCAT("Entity ID ",RIGHT(Table3[[#This Row],[Sponsor_1_num]],8)," not found")),"")</f>
        <v/>
      </c>
      <c r="M141" t="str">
        <f>IF(LEN(G141)&lt;&gt;0,_xlfn.XLOOKUP(G141,[1]!Entities[ID_with_x],[1]!Entities[Name_w_County],_xlfn.CONCAT("Entity ID ",RIGHT(Table3[[#This Row],[Sponsor_1_num]],8)," not found")),"")</f>
        <v/>
      </c>
      <c r="N141" t="str">
        <f>IF(LEN(H141)&lt;&gt;0,_xlfn.XLOOKUP(H141,[1]!Entities[ID_with_x],[1]!Entities[Name_w_County],_xlfn.CONCAT("Entity ID ",RIGHT(Table3[[#This Row],[Sponsor_1_num]],8)," not found")),"")</f>
        <v/>
      </c>
      <c r="O141" t="str">
        <f>IF(LEN(I141)&lt;&gt;0,_xlfn.XLOOKUP(I141,[1]!Entities[ID_with_x],[1]!Entities[Name_w_County],_xlfn.CONCAT("Entity ID ",RIGHT(Table3[[#This Row],[Sponsor_1_num]],8)," not found")),"")</f>
        <v/>
      </c>
      <c r="P141" t="str">
        <f>IF(LEN(J141)&lt;&gt;0,_xlfn.XLOOKUP(J141,[1]!Entities[ID_with_x],[1]!Entities[Name_w_County],_xlfn.CONCAT("Entity ID ",RIGHT(Table3[[#This Row],[Sponsor_1_num]],8)," not found")),"")</f>
        <v/>
      </c>
      <c r="Q141" t="str">
        <f>IF(LEN(K141)&gt;0,_xlfn.TEXTJOIN(", ",TRUE,K141:P141),Table3[[#This Row],[SPONSOR_LIST]])</f>
        <v>Addison, Carrollton</v>
      </c>
    </row>
    <row r="142" spans="1:17" x14ac:dyDescent="0.25">
      <c r="A142" s="304" t="s">
        <v>1965</v>
      </c>
      <c r="B142" t="s">
        <v>4409</v>
      </c>
      <c r="C142" t="str">
        <f t="shared" si="3"/>
        <v/>
      </c>
      <c r="D142" t="str">
        <f>SUBSTITUTE(SUBSTITUTE(Table3[[#This Row],[Sponsor_list_tranform]],",",",x")," ","")</f>
        <v/>
      </c>
      <c r="K142" t="str">
        <f>IF(LEN(E142)&lt;&gt;0,_xlfn.XLOOKUP(E142,[1]!Entities[ID_with_x],[1]!Entities[Name_w_County],_xlfn.CONCAT("Entity ID ",RIGHT(Table3[[#This Row],[Sponsor_1_num]],8)," not found")),"")</f>
        <v/>
      </c>
      <c r="L142" t="str">
        <f>IF(LEN(F142)&lt;&gt;0,_xlfn.XLOOKUP(F142,[1]!Entities[ID_with_x],[1]!Entities[Name_w_County],_xlfn.CONCAT("Entity ID ",RIGHT(Table3[[#This Row],[Sponsor_1_num]],8)," not found")),"")</f>
        <v/>
      </c>
      <c r="M142" t="str">
        <f>IF(LEN(G142)&lt;&gt;0,_xlfn.XLOOKUP(G142,[1]!Entities[ID_with_x],[1]!Entities[Name_w_County],_xlfn.CONCAT("Entity ID ",RIGHT(Table3[[#This Row],[Sponsor_1_num]],8)," not found")),"")</f>
        <v/>
      </c>
      <c r="N142" t="str">
        <f>IF(LEN(H142)&lt;&gt;0,_xlfn.XLOOKUP(H142,[1]!Entities[ID_with_x],[1]!Entities[Name_w_County],_xlfn.CONCAT("Entity ID ",RIGHT(Table3[[#This Row],[Sponsor_1_num]],8)," not found")),"")</f>
        <v/>
      </c>
      <c r="O142" t="str">
        <f>IF(LEN(I142)&lt;&gt;0,_xlfn.XLOOKUP(I142,[1]!Entities[ID_with_x],[1]!Entities[Name_w_County],_xlfn.CONCAT("Entity ID ",RIGHT(Table3[[#This Row],[Sponsor_1_num]],8)," not found")),"")</f>
        <v/>
      </c>
      <c r="P142" t="str">
        <f>IF(LEN(J142)&lt;&gt;0,_xlfn.XLOOKUP(J142,[1]!Entities[ID_with_x],[1]!Entities[Name_w_County],_xlfn.CONCAT("Entity ID ",RIGHT(Table3[[#This Row],[Sponsor_1_num]],8)," not found")),"")</f>
        <v/>
      </c>
      <c r="Q142" t="str">
        <f>IF(LEN(K142)&gt;0,_xlfn.TEXTJOIN(", ",TRUE,K142:P142),Table3[[#This Row],[SPONSOR_LIST]])</f>
        <v>Corsicana</v>
      </c>
    </row>
    <row r="143" spans="1:17" x14ac:dyDescent="0.25">
      <c r="A143" s="304" t="s">
        <v>2182</v>
      </c>
      <c r="B143" t="s">
        <v>4463</v>
      </c>
      <c r="C143" t="str">
        <f t="shared" si="3"/>
        <v/>
      </c>
      <c r="D143" t="str">
        <f>SUBSTITUTE(SUBSTITUTE(Table3[[#This Row],[Sponsor_list_tranform]],",",",x")," ","")</f>
        <v/>
      </c>
      <c r="K143" t="str">
        <f>IF(LEN(E143)&lt;&gt;0,_xlfn.XLOOKUP(E143,[1]!Entities[ID_with_x],[1]!Entities[Name_w_County],_xlfn.CONCAT("Entity ID ",RIGHT(Table3[[#This Row],[Sponsor_1_num]],8)," not found")),"")</f>
        <v/>
      </c>
      <c r="L143" t="str">
        <f>IF(LEN(F143)&lt;&gt;0,_xlfn.XLOOKUP(F143,[1]!Entities[ID_with_x],[1]!Entities[Name_w_County],_xlfn.CONCAT("Entity ID ",RIGHT(Table3[[#This Row],[Sponsor_1_num]],8)," not found")),"")</f>
        <v/>
      </c>
      <c r="M143" t="str">
        <f>IF(LEN(G143)&lt;&gt;0,_xlfn.XLOOKUP(G143,[1]!Entities[ID_with_x],[1]!Entities[Name_w_County],_xlfn.CONCAT("Entity ID ",RIGHT(Table3[[#This Row],[Sponsor_1_num]],8)," not found")),"")</f>
        <v/>
      </c>
      <c r="N143" t="str">
        <f>IF(LEN(H143)&lt;&gt;0,_xlfn.XLOOKUP(H143,[1]!Entities[ID_with_x],[1]!Entities[Name_w_County],_xlfn.CONCAT("Entity ID ",RIGHT(Table3[[#This Row],[Sponsor_1_num]],8)," not found")),"")</f>
        <v/>
      </c>
      <c r="O143" t="str">
        <f>IF(LEN(I143)&lt;&gt;0,_xlfn.XLOOKUP(I143,[1]!Entities[ID_with_x],[1]!Entities[Name_w_County],_xlfn.CONCAT("Entity ID ",RIGHT(Table3[[#This Row],[Sponsor_1_num]],8)," not found")),"")</f>
        <v/>
      </c>
      <c r="P143" t="str">
        <f>IF(LEN(J143)&lt;&gt;0,_xlfn.XLOOKUP(J143,[1]!Entities[ID_with_x],[1]!Entities[Name_w_County],_xlfn.CONCAT("Entity ID ",RIGHT(Table3[[#This Row],[Sponsor_1_num]],8)," not found")),"")</f>
        <v/>
      </c>
      <c r="Q143" t="str">
        <f>IF(LEN(K143)&gt;0,_xlfn.TEXTJOIN(", ",TRUE,K143:P143),Table3[[#This Row],[SPONSOR_LIST]])</f>
        <v>Weatherford</v>
      </c>
    </row>
    <row r="144" spans="1:17" x14ac:dyDescent="0.25">
      <c r="A144" s="304" t="s">
        <v>2190</v>
      </c>
      <c r="B144" t="s">
        <v>4464</v>
      </c>
      <c r="C144" t="str">
        <f t="shared" si="3"/>
        <v/>
      </c>
      <c r="D144" t="str">
        <f>SUBSTITUTE(SUBSTITUTE(Table3[[#This Row],[Sponsor_list_tranform]],",",",x")," ","")</f>
        <v/>
      </c>
      <c r="K144" t="str">
        <f>IF(LEN(E144)&lt;&gt;0,_xlfn.XLOOKUP(E144,[1]!Entities[ID_with_x],[1]!Entities[Name_w_County],_xlfn.CONCAT("Entity ID ",RIGHT(Table3[[#This Row],[Sponsor_1_num]],8)," not found")),"")</f>
        <v/>
      </c>
      <c r="L144" t="str">
        <f>IF(LEN(F144)&lt;&gt;0,_xlfn.XLOOKUP(F144,[1]!Entities[ID_with_x],[1]!Entities[Name_w_County],_xlfn.CONCAT("Entity ID ",RIGHT(Table3[[#This Row],[Sponsor_1_num]],8)," not found")),"")</f>
        <v/>
      </c>
      <c r="M144" t="str">
        <f>IF(LEN(G144)&lt;&gt;0,_xlfn.XLOOKUP(G144,[1]!Entities[ID_with_x],[1]!Entities[Name_w_County],_xlfn.CONCAT("Entity ID ",RIGHT(Table3[[#This Row],[Sponsor_1_num]],8)," not found")),"")</f>
        <v/>
      </c>
      <c r="N144" t="str">
        <f>IF(LEN(H144)&lt;&gt;0,_xlfn.XLOOKUP(H144,[1]!Entities[ID_with_x],[1]!Entities[Name_w_County],_xlfn.CONCAT("Entity ID ",RIGHT(Table3[[#This Row],[Sponsor_1_num]],8)," not found")),"")</f>
        <v/>
      </c>
      <c r="O144" t="str">
        <f>IF(LEN(I144)&lt;&gt;0,_xlfn.XLOOKUP(I144,[1]!Entities[ID_with_x],[1]!Entities[Name_w_County],_xlfn.CONCAT("Entity ID ",RIGHT(Table3[[#This Row],[Sponsor_1_num]],8)," not found")),"")</f>
        <v/>
      </c>
      <c r="P144" t="str">
        <f>IF(LEN(J144)&lt;&gt;0,_xlfn.XLOOKUP(J144,[1]!Entities[ID_with_x],[1]!Entities[Name_w_County],_xlfn.CONCAT("Entity ID ",RIGHT(Table3[[#This Row],[Sponsor_1_num]],8)," not found")),"")</f>
        <v/>
      </c>
      <c r="Q144" t="str">
        <f>IF(LEN(K144)&gt;0,_xlfn.TEXTJOIN(", ",TRUE,K144:P144),Table3[[#This Row],[SPONSOR_LIST]])</f>
        <v>Richland Hills</v>
      </c>
    </row>
    <row r="145" spans="1:17" x14ac:dyDescent="0.25">
      <c r="A145" s="304" t="s">
        <v>2005</v>
      </c>
      <c r="B145" t="s">
        <v>4421</v>
      </c>
      <c r="C145" t="str">
        <f t="shared" si="3"/>
        <v/>
      </c>
      <c r="D145" t="str">
        <f>SUBSTITUTE(SUBSTITUTE(Table3[[#This Row],[Sponsor_list_tranform]],",",",x")," ","")</f>
        <v/>
      </c>
      <c r="K145" t="str">
        <f>IF(LEN(E145)&lt;&gt;0,_xlfn.XLOOKUP(E145,[1]!Entities[ID_with_x],[1]!Entities[Name_w_County],_xlfn.CONCAT("Entity ID ",RIGHT(Table3[[#This Row],[Sponsor_1_num]],8)," not found")),"")</f>
        <v/>
      </c>
      <c r="L145" t="str">
        <f>IF(LEN(F145)&lt;&gt;0,_xlfn.XLOOKUP(F145,[1]!Entities[ID_with_x],[1]!Entities[Name_w_County],_xlfn.CONCAT("Entity ID ",RIGHT(Table3[[#This Row],[Sponsor_1_num]],8)," not found")),"")</f>
        <v/>
      </c>
      <c r="M145" t="str">
        <f>IF(LEN(G145)&lt;&gt;0,_xlfn.XLOOKUP(G145,[1]!Entities[ID_with_x],[1]!Entities[Name_w_County],_xlfn.CONCAT("Entity ID ",RIGHT(Table3[[#This Row],[Sponsor_1_num]],8)," not found")),"")</f>
        <v/>
      </c>
      <c r="N145" t="str">
        <f>IF(LEN(H145)&lt;&gt;0,_xlfn.XLOOKUP(H145,[1]!Entities[ID_with_x],[1]!Entities[Name_w_County],_xlfn.CONCAT("Entity ID ",RIGHT(Table3[[#This Row],[Sponsor_1_num]],8)," not found")),"")</f>
        <v/>
      </c>
      <c r="O145" t="str">
        <f>IF(LEN(I145)&lt;&gt;0,_xlfn.XLOOKUP(I145,[1]!Entities[ID_with_x],[1]!Entities[Name_w_County],_xlfn.CONCAT("Entity ID ",RIGHT(Table3[[#This Row],[Sponsor_1_num]],8)," not found")),"")</f>
        <v/>
      </c>
      <c r="P145" t="str">
        <f>IF(LEN(J145)&lt;&gt;0,_xlfn.XLOOKUP(J145,[1]!Entities[ID_with_x],[1]!Entities[Name_w_County],_xlfn.CONCAT("Entity ID ",RIGHT(Table3[[#This Row],[Sponsor_1_num]],8)," not found")),"")</f>
        <v/>
      </c>
      <c r="Q145" t="str">
        <f>IF(LEN(K145)&gt;0,_xlfn.TEXTJOIN(", ",TRUE,K145:P145),Table3[[#This Row],[SPONSOR_LIST]])</f>
        <v>Polk County, Corrigan, Goodrich, Livingston, Onalaska, Seven Oaks</v>
      </c>
    </row>
    <row r="146" spans="1:17" x14ac:dyDescent="0.25">
      <c r="A146" s="304" t="s">
        <v>1972</v>
      </c>
      <c r="B146" t="s">
        <v>4411</v>
      </c>
      <c r="C146" t="str">
        <f t="shared" si="3"/>
        <v/>
      </c>
      <c r="D146" t="str">
        <f>SUBSTITUTE(SUBSTITUTE(Table3[[#This Row],[Sponsor_list_tranform]],",",",x")," ","")</f>
        <v/>
      </c>
      <c r="K146" t="str">
        <f>IF(LEN(E146)&lt;&gt;0,_xlfn.XLOOKUP(E146,[1]!Entities[ID_with_x],[1]!Entities[Name_w_County],_xlfn.CONCAT("Entity ID ",RIGHT(Table3[[#This Row],[Sponsor_1_num]],8)," not found")),"")</f>
        <v/>
      </c>
      <c r="L146" t="str">
        <f>IF(LEN(F146)&lt;&gt;0,_xlfn.XLOOKUP(F146,[1]!Entities[ID_with_x],[1]!Entities[Name_w_County],_xlfn.CONCAT("Entity ID ",RIGHT(Table3[[#This Row],[Sponsor_1_num]],8)," not found")),"")</f>
        <v/>
      </c>
      <c r="M146" t="str">
        <f>IF(LEN(G146)&lt;&gt;0,_xlfn.XLOOKUP(G146,[1]!Entities[ID_with_x],[1]!Entities[Name_w_County],_xlfn.CONCAT("Entity ID ",RIGHT(Table3[[#This Row],[Sponsor_1_num]],8)," not found")),"")</f>
        <v/>
      </c>
      <c r="N146" t="str">
        <f>IF(LEN(H146)&lt;&gt;0,_xlfn.XLOOKUP(H146,[1]!Entities[ID_with_x],[1]!Entities[Name_w_County],_xlfn.CONCAT("Entity ID ",RIGHT(Table3[[#This Row],[Sponsor_1_num]],8)," not found")),"")</f>
        <v/>
      </c>
      <c r="O146" t="str">
        <f>IF(LEN(I146)&lt;&gt;0,_xlfn.XLOOKUP(I146,[1]!Entities[ID_with_x],[1]!Entities[Name_w_County],_xlfn.CONCAT("Entity ID ",RIGHT(Table3[[#This Row],[Sponsor_1_num]],8)," not found")),"")</f>
        <v/>
      </c>
      <c r="P146" t="str">
        <f>IF(LEN(J146)&lt;&gt;0,_xlfn.XLOOKUP(J146,[1]!Entities[ID_with_x],[1]!Entities[Name_w_County],_xlfn.CONCAT("Entity ID ",RIGHT(Table3[[#This Row],[Sponsor_1_num]],8)," not found")),"")</f>
        <v/>
      </c>
      <c r="Q146" t="str">
        <f>IF(LEN(K146)&gt;0,_xlfn.TEXTJOIN(", ",TRUE,K146:P146),Table3[[#This Row],[SPONSOR_LIST]])</f>
        <v>Cedar Hill</v>
      </c>
    </row>
    <row r="147" spans="1:17" x14ac:dyDescent="0.25">
      <c r="A147" s="304" t="s">
        <v>1979</v>
      </c>
      <c r="B147" t="s">
        <v>4413</v>
      </c>
      <c r="C147" t="str">
        <f t="shared" si="3"/>
        <v/>
      </c>
      <c r="D147" t="str">
        <f>SUBSTITUTE(SUBSTITUTE(Table3[[#This Row],[Sponsor_list_tranform]],",",",x")," ","")</f>
        <v/>
      </c>
      <c r="K147" t="str">
        <f>IF(LEN(E147)&lt;&gt;0,_xlfn.XLOOKUP(E147,[1]!Entities[ID_with_x],[1]!Entities[Name_w_County],_xlfn.CONCAT("Entity ID ",RIGHT(Table3[[#This Row],[Sponsor_1_num]],8)," not found")),"")</f>
        <v/>
      </c>
      <c r="L147" t="str">
        <f>IF(LEN(F147)&lt;&gt;0,_xlfn.XLOOKUP(F147,[1]!Entities[ID_with_x],[1]!Entities[Name_w_County],_xlfn.CONCAT("Entity ID ",RIGHT(Table3[[#This Row],[Sponsor_1_num]],8)," not found")),"")</f>
        <v/>
      </c>
      <c r="M147" t="str">
        <f>IF(LEN(G147)&lt;&gt;0,_xlfn.XLOOKUP(G147,[1]!Entities[ID_with_x],[1]!Entities[Name_w_County],_xlfn.CONCAT("Entity ID ",RIGHT(Table3[[#This Row],[Sponsor_1_num]],8)," not found")),"")</f>
        <v/>
      </c>
      <c r="N147" t="str">
        <f>IF(LEN(H147)&lt;&gt;0,_xlfn.XLOOKUP(H147,[1]!Entities[ID_with_x],[1]!Entities[Name_w_County],_xlfn.CONCAT("Entity ID ",RIGHT(Table3[[#This Row],[Sponsor_1_num]],8)," not found")),"")</f>
        <v/>
      </c>
      <c r="O147" t="str">
        <f>IF(LEN(I147)&lt;&gt;0,_xlfn.XLOOKUP(I147,[1]!Entities[ID_with_x],[1]!Entities[Name_w_County],_xlfn.CONCAT("Entity ID ",RIGHT(Table3[[#This Row],[Sponsor_1_num]],8)," not found")),"")</f>
        <v/>
      </c>
      <c r="P147" t="str">
        <f>IF(LEN(J147)&lt;&gt;0,_xlfn.XLOOKUP(J147,[1]!Entities[ID_with_x],[1]!Entities[Name_w_County],_xlfn.CONCAT("Entity ID ",RIGHT(Table3[[#This Row],[Sponsor_1_num]],8)," not found")),"")</f>
        <v/>
      </c>
      <c r="Q147" t="str">
        <f>IF(LEN(K147)&gt;0,_xlfn.TEXTJOIN(", ",TRUE,K147:P147),Table3[[#This Row],[SPONSOR_LIST]])</f>
        <v>Lancaster</v>
      </c>
    </row>
    <row r="148" spans="1:17" x14ac:dyDescent="0.25">
      <c r="A148" s="304" t="s">
        <v>1986</v>
      </c>
      <c r="B148" t="s">
        <v>4415</v>
      </c>
      <c r="C148" t="str">
        <f t="shared" si="3"/>
        <v/>
      </c>
      <c r="D148" t="str">
        <f>SUBSTITUTE(SUBSTITUTE(Table3[[#This Row],[Sponsor_list_tranform]],",",",x")," ","")</f>
        <v/>
      </c>
      <c r="K148" t="str">
        <f>IF(LEN(E148)&lt;&gt;0,_xlfn.XLOOKUP(E148,[1]!Entities[ID_with_x],[1]!Entities[Name_w_County],_xlfn.CONCAT("Entity ID ",RIGHT(Table3[[#This Row],[Sponsor_1_num]],8)," not found")),"")</f>
        <v/>
      </c>
      <c r="L148" t="str">
        <f>IF(LEN(F148)&lt;&gt;0,_xlfn.XLOOKUP(F148,[1]!Entities[ID_with_x],[1]!Entities[Name_w_County],_xlfn.CONCAT("Entity ID ",RIGHT(Table3[[#This Row],[Sponsor_1_num]],8)," not found")),"")</f>
        <v/>
      </c>
      <c r="M148" t="str">
        <f>IF(LEN(G148)&lt;&gt;0,_xlfn.XLOOKUP(G148,[1]!Entities[ID_with_x],[1]!Entities[Name_w_County],_xlfn.CONCAT("Entity ID ",RIGHT(Table3[[#This Row],[Sponsor_1_num]],8)," not found")),"")</f>
        <v/>
      </c>
      <c r="N148" t="str">
        <f>IF(LEN(H148)&lt;&gt;0,_xlfn.XLOOKUP(H148,[1]!Entities[ID_with_x],[1]!Entities[Name_w_County],_xlfn.CONCAT("Entity ID ",RIGHT(Table3[[#This Row],[Sponsor_1_num]],8)," not found")),"")</f>
        <v/>
      </c>
      <c r="O148" t="str">
        <f>IF(LEN(I148)&lt;&gt;0,_xlfn.XLOOKUP(I148,[1]!Entities[ID_with_x],[1]!Entities[Name_w_County],_xlfn.CONCAT("Entity ID ",RIGHT(Table3[[#This Row],[Sponsor_1_num]],8)," not found")),"")</f>
        <v/>
      </c>
      <c r="P148" t="str">
        <f>IF(LEN(J148)&lt;&gt;0,_xlfn.XLOOKUP(J148,[1]!Entities[ID_with_x],[1]!Entities[Name_w_County],_xlfn.CONCAT("Entity ID ",RIGHT(Table3[[#This Row],[Sponsor_1_num]],8)," not found")),"")</f>
        <v/>
      </c>
      <c r="Q148" t="str">
        <f>IF(LEN(K148)&gt;0,_xlfn.TEXTJOIN(", ",TRUE,K148:P148),Table3[[#This Row],[SPONSOR_LIST]])</f>
        <v>Midway</v>
      </c>
    </row>
    <row r="149" spans="1:17" x14ac:dyDescent="0.25">
      <c r="A149" s="304" t="s">
        <v>2196</v>
      </c>
      <c r="B149" t="s">
        <v>4450</v>
      </c>
      <c r="C149" t="str">
        <f t="shared" si="3"/>
        <v/>
      </c>
      <c r="D149" t="str">
        <f>SUBSTITUTE(SUBSTITUTE(Table3[[#This Row],[Sponsor_list_tranform]],",",",x")," ","")</f>
        <v/>
      </c>
      <c r="K149" t="str">
        <f>IF(LEN(E149)&lt;&gt;0,_xlfn.XLOOKUP(E149,[1]!Entities[ID_with_x],[1]!Entities[Name_w_County],_xlfn.CONCAT("Entity ID ",RIGHT(Table3[[#This Row],[Sponsor_1_num]],8)," not found")),"")</f>
        <v/>
      </c>
      <c r="L149" t="str">
        <f>IF(LEN(F149)&lt;&gt;0,_xlfn.XLOOKUP(F149,[1]!Entities[ID_with_x],[1]!Entities[Name_w_County],_xlfn.CONCAT("Entity ID ",RIGHT(Table3[[#This Row],[Sponsor_1_num]],8)," not found")),"")</f>
        <v/>
      </c>
      <c r="M149" t="str">
        <f>IF(LEN(G149)&lt;&gt;0,_xlfn.XLOOKUP(G149,[1]!Entities[ID_with_x],[1]!Entities[Name_w_County],_xlfn.CONCAT("Entity ID ",RIGHT(Table3[[#This Row],[Sponsor_1_num]],8)," not found")),"")</f>
        <v/>
      </c>
      <c r="N149" t="str">
        <f>IF(LEN(H149)&lt;&gt;0,_xlfn.XLOOKUP(H149,[1]!Entities[ID_with_x],[1]!Entities[Name_w_County],_xlfn.CONCAT("Entity ID ",RIGHT(Table3[[#This Row],[Sponsor_1_num]],8)," not found")),"")</f>
        <v/>
      </c>
      <c r="O149" t="str">
        <f>IF(LEN(I149)&lt;&gt;0,_xlfn.XLOOKUP(I149,[1]!Entities[ID_with_x],[1]!Entities[Name_w_County],_xlfn.CONCAT("Entity ID ",RIGHT(Table3[[#This Row],[Sponsor_1_num]],8)," not found")),"")</f>
        <v/>
      </c>
      <c r="P149" t="str">
        <f>IF(LEN(J149)&lt;&gt;0,_xlfn.XLOOKUP(J149,[1]!Entities[ID_with_x],[1]!Entities[Name_w_County],_xlfn.CONCAT("Entity ID ",RIGHT(Table3[[#This Row],[Sponsor_1_num]],8)," not found")),"")</f>
        <v/>
      </c>
      <c r="Q149" t="str">
        <f>IF(LEN(K149)&gt;0,_xlfn.TEXTJOIN(", ",TRUE,K149:P149),Table3[[#This Row],[SPONSOR_LIST]])</f>
        <v>Montague County</v>
      </c>
    </row>
    <row r="150" spans="1:17" x14ac:dyDescent="0.25">
      <c r="A150" s="304" t="s">
        <v>2199</v>
      </c>
      <c r="B150" t="s">
        <v>4450</v>
      </c>
      <c r="C150" t="str">
        <f t="shared" si="3"/>
        <v/>
      </c>
      <c r="D150" t="str">
        <f>SUBSTITUTE(SUBSTITUTE(Table3[[#This Row],[Sponsor_list_tranform]],",",",x")," ","")</f>
        <v/>
      </c>
      <c r="K150" t="str">
        <f>IF(LEN(E150)&lt;&gt;0,_xlfn.XLOOKUP(E150,[1]!Entities[ID_with_x],[1]!Entities[Name_w_County],_xlfn.CONCAT("Entity ID ",RIGHT(Table3[[#This Row],[Sponsor_1_num]],8)," not found")),"")</f>
        <v/>
      </c>
      <c r="L150" t="str">
        <f>IF(LEN(F150)&lt;&gt;0,_xlfn.XLOOKUP(F150,[1]!Entities[ID_with_x],[1]!Entities[Name_w_County],_xlfn.CONCAT("Entity ID ",RIGHT(Table3[[#This Row],[Sponsor_1_num]],8)," not found")),"")</f>
        <v/>
      </c>
      <c r="M150" t="str">
        <f>IF(LEN(G150)&lt;&gt;0,_xlfn.XLOOKUP(G150,[1]!Entities[ID_with_x],[1]!Entities[Name_w_County],_xlfn.CONCAT("Entity ID ",RIGHT(Table3[[#This Row],[Sponsor_1_num]],8)," not found")),"")</f>
        <v/>
      </c>
      <c r="N150" t="str">
        <f>IF(LEN(H150)&lt;&gt;0,_xlfn.XLOOKUP(H150,[1]!Entities[ID_with_x],[1]!Entities[Name_w_County],_xlfn.CONCAT("Entity ID ",RIGHT(Table3[[#This Row],[Sponsor_1_num]],8)," not found")),"")</f>
        <v/>
      </c>
      <c r="O150" t="str">
        <f>IF(LEN(I150)&lt;&gt;0,_xlfn.XLOOKUP(I150,[1]!Entities[ID_with_x],[1]!Entities[Name_w_County],_xlfn.CONCAT("Entity ID ",RIGHT(Table3[[#This Row],[Sponsor_1_num]],8)," not found")),"")</f>
        <v/>
      </c>
      <c r="P150" t="str">
        <f>IF(LEN(J150)&lt;&gt;0,_xlfn.XLOOKUP(J150,[1]!Entities[ID_with_x],[1]!Entities[Name_w_County],_xlfn.CONCAT("Entity ID ",RIGHT(Table3[[#This Row],[Sponsor_1_num]],8)," not found")),"")</f>
        <v/>
      </c>
      <c r="Q150" t="str">
        <f>IF(LEN(K150)&gt;0,_xlfn.TEXTJOIN(", ",TRUE,K150:P150),Table3[[#This Row],[SPONSOR_LIST]])</f>
        <v>Montague County</v>
      </c>
    </row>
    <row r="151" spans="1:17" x14ac:dyDescent="0.25">
      <c r="A151" s="304" t="s">
        <v>2033</v>
      </c>
      <c r="B151" t="s">
        <v>4426</v>
      </c>
      <c r="C151" t="str">
        <f t="shared" si="3"/>
        <v/>
      </c>
      <c r="D151" t="str">
        <f>SUBSTITUTE(SUBSTITUTE(Table3[[#This Row],[Sponsor_list_tranform]],",",",x")," ","")</f>
        <v/>
      </c>
      <c r="K151" t="str">
        <f>IF(LEN(E151)&lt;&gt;0,_xlfn.XLOOKUP(E151,[1]!Entities[ID_with_x],[1]!Entities[Name_w_County],_xlfn.CONCAT("Entity ID ",RIGHT(Table3[[#This Row],[Sponsor_1_num]],8)," not found")),"")</f>
        <v/>
      </c>
      <c r="L151" t="str">
        <f>IF(LEN(F151)&lt;&gt;0,_xlfn.XLOOKUP(F151,[1]!Entities[ID_with_x],[1]!Entities[Name_w_County],_xlfn.CONCAT("Entity ID ",RIGHT(Table3[[#This Row],[Sponsor_1_num]],8)," not found")),"")</f>
        <v/>
      </c>
      <c r="M151" t="str">
        <f>IF(LEN(G151)&lt;&gt;0,_xlfn.XLOOKUP(G151,[1]!Entities[ID_with_x],[1]!Entities[Name_w_County],_xlfn.CONCAT("Entity ID ",RIGHT(Table3[[#This Row],[Sponsor_1_num]],8)," not found")),"")</f>
        <v/>
      </c>
      <c r="N151" t="str">
        <f>IF(LEN(H151)&lt;&gt;0,_xlfn.XLOOKUP(H151,[1]!Entities[ID_with_x],[1]!Entities[Name_w_County],_xlfn.CONCAT("Entity ID ",RIGHT(Table3[[#This Row],[Sponsor_1_num]],8)," not found")),"")</f>
        <v/>
      </c>
      <c r="O151" t="str">
        <f>IF(LEN(I151)&lt;&gt;0,_xlfn.XLOOKUP(I151,[1]!Entities[ID_with_x],[1]!Entities[Name_w_County],_xlfn.CONCAT("Entity ID ",RIGHT(Table3[[#This Row],[Sponsor_1_num]],8)," not found")),"")</f>
        <v/>
      </c>
      <c r="P151" t="str">
        <f>IF(LEN(J151)&lt;&gt;0,_xlfn.XLOOKUP(J151,[1]!Entities[ID_with_x],[1]!Entities[Name_w_County],_xlfn.CONCAT("Entity ID ",RIGHT(Table3[[#This Row],[Sponsor_1_num]],8)," not found")),"")</f>
        <v/>
      </c>
      <c r="Q151" t="str">
        <f>IF(LEN(K151)&gt;0,_xlfn.TEXTJOIN(", ",TRUE,K151:P151),Table3[[#This Row],[SPONSOR_LIST]])</f>
        <v>Shepherd, San Jacinto County</v>
      </c>
    </row>
    <row r="152" spans="1:17" x14ac:dyDescent="0.25">
      <c r="A152" s="304" t="s">
        <v>2202</v>
      </c>
      <c r="B152" t="s">
        <v>4466</v>
      </c>
      <c r="C152" t="str">
        <f t="shared" si="3"/>
        <v/>
      </c>
      <c r="D152" t="str">
        <f>SUBSTITUTE(SUBSTITUTE(Table3[[#This Row],[Sponsor_list_tranform]],",",",x")," ","")</f>
        <v/>
      </c>
      <c r="K152" t="str">
        <f>IF(LEN(E152)&lt;&gt;0,_xlfn.XLOOKUP(E152,[1]!Entities[ID_with_x],[1]!Entities[Name_w_County],_xlfn.CONCAT("Entity ID ",RIGHT(Table3[[#This Row],[Sponsor_1_num]],8)," not found")),"")</f>
        <v/>
      </c>
      <c r="L152" t="str">
        <f>IF(LEN(F152)&lt;&gt;0,_xlfn.XLOOKUP(F152,[1]!Entities[ID_with_x],[1]!Entities[Name_w_County],_xlfn.CONCAT("Entity ID ",RIGHT(Table3[[#This Row],[Sponsor_1_num]],8)," not found")),"")</f>
        <v/>
      </c>
      <c r="M152" t="str">
        <f>IF(LEN(G152)&lt;&gt;0,_xlfn.XLOOKUP(G152,[1]!Entities[ID_with_x],[1]!Entities[Name_w_County],_xlfn.CONCAT("Entity ID ",RIGHT(Table3[[#This Row],[Sponsor_1_num]],8)," not found")),"")</f>
        <v/>
      </c>
      <c r="N152" t="str">
        <f>IF(LEN(H152)&lt;&gt;0,_xlfn.XLOOKUP(H152,[1]!Entities[ID_with_x],[1]!Entities[Name_w_County],_xlfn.CONCAT("Entity ID ",RIGHT(Table3[[#This Row],[Sponsor_1_num]],8)," not found")),"")</f>
        <v/>
      </c>
      <c r="O152" t="str">
        <f>IF(LEN(I152)&lt;&gt;0,_xlfn.XLOOKUP(I152,[1]!Entities[ID_with_x],[1]!Entities[Name_w_County],_xlfn.CONCAT("Entity ID ",RIGHT(Table3[[#This Row],[Sponsor_1_num]],8)," not found")),"")</f>
        <v/>
      </c>
      <c r="P152" t="str">
        <f>IF(LEN(J152)&lt;&gt;0,_xlfn.XLOOKUP(J152,[1]!Entities[ID_with_x],[1]!Entities[Name_w_County],_xlfn.CONCAT("Entity ID ",RIGHT(Table3[[#This Row],[Sponsor_1_num]],8)," not found")),"")</f>
        <v/>
      </c>
      <c r="Q152" t="str">
        <f>IF(LEN(K152)&gt;0,_xlfn.TEXTJOIN(", ",TRUE,K152:P152),Table3[[#This Row],[SPONSOR_LIST]])</f>
        <v>Johnson County</v>
      </c>
    </row>
    <row r="153" spans="1:17" x14ac:dyDescent="0.25">
      <c r="A153" s="304" t="s">
        <v>2040</v>
      </c>
      <c r="B153" t="s">
        <v>4404</v>
      </c>
      <c r="C153" t="str">
        <f t="shared" si="3"/>
        <v/>
      </c>
      <c r="D153" t="str">
        <f>SUBSTITUTE(SUBSTITUTE(Table3[[#This Row],[Sponsor_list_tranform]],",",",x")," ","")</f>
        <v/>
      </c>
      <c r="K153" t="str">
        <f>IF(LEN(E153)&lt;&gt;0,_xlfn.XLOOKUP(E153,[1]!Entities[ID_with_x],[1]!Entities[Name_w_County],_xlfn.CONCAT("Entity ID ",RIGHT(Table3[[#This Row],[Sponsor_1_num]],8)," not found")),"")</f>
        <v/>
      </c>
      <c r="L153" t="str">
        <f>IF(LEN(F153)&lt;&gt;0,_xlfn.XLOOKUP(F153,[1]!Entities[ID_with_x],[1]!Entities[Name_w_County],_xlfn.CONCAT("Entity ID ",RIGHT(Table3[[#This Row],[Sponsor_1_num]],8)," not found")),"")</f>
        <v/>
      </c>
      <c r="M153" t="str">
        <f>IF(LEN(G153)&lt;&gt;0,_xlfn.XLOOKUP(G153,[1]!Entities[ID_with_x],[1]!Entities[Name_w_County],_xlfn.CONCAT("Entity ID ",RIGHT(Table3[[#This Row],[Sponsor_1_num]],8)," not found")),"")</f>
        <v/>
      </c>
      <c r="N153" t="str">
        <f>IF(LEN(H153)&lt;&gt;0,_xlfn.XLOOKUP(H153,[1]!Entities[ID_with_x],[1]!Entities[Name_w_County],_xlfn.CONCAT("Entity ID ",RIGHT(Table3[[#This Row],[Sponsor_1_num]],8)," not found")),"")</f>
        <v/>
      </c>
      <c r="O153" t="str">
        <f>IF(LEN(I153)&lt;&gt;0,_xlfn.XLOOKUP(I153,[1]!Entities[ID_with_x],[1]!Entities[Name_w_County],_xlfn.CONCAT("Entity ID ",RIGHT(Table3[[#This Row],[Sponsor_1_num]],8)," not found")),"")</f>
        <v/>
      </c>
      <c r="P153" t="str">
        <f>IF(LEN(J153)&lt;&gt;0,_xlfn.XLOOKUP(J153,[1]!Entities[ID_with_x],[1]!Entities[Name_w_County],_xlfn.CONCAT("Entity ID ",RIGHT(Table3[[#This Row],[Sponsor_1_num]],8)," not found")),"")</f>
        <v/>
      </c>
      <c r="Q153" t="str">
        <f>IF(LEN(K153)&gt;0,_xlfn.TEXTJOIN(", ",TRUE,K153:P153),Table3[[#This Row],[SPONSOR_LIST]])</f>
        <v>Walker County</v>
      </c>
    </row>
    <row r="154" spans="1:17" x14ac:dyDescent="0.25">
      <c r="A154" s="304" t="s">
        <v>1768</v>
      </c>
      <c r="B154" t="s">
        <v>4368</v>
      </c>
      <c r="C154" t="str">
        <f t="shared" si="3"/>
        <v/>
      </c>
      <c r="D154" t="str">
        <f>SUBSTITUTE(SUBSTITUTE(Table3[[#This Row],[Sponsor_list_tranform]],",",",x")," ","")</f>
        <v/>
      </c>
      <c r="K154" t="str">
        <f>IF(LEN(E154)&lt;&gt;0,_xlfn.XLOOKUP(E154,[1]!Entities[ID_with_x],[1]!Entities[Name_w_County],_xlfn.CONCAT("Entity ID ",RIGHT(Table3[[#This Row],[Sponsor_1_num]],8)," not found")),"")</f>
        <v/>
      </c>
      <c r="L154" t="str">
        <f>IF(LEN(F154)&lt;&gt;0,_xlfn.XLOOKUP(F154,[1]!Entities[ID_with_x],[1]!Entities[Name_w_County],_xlfn.CONCAT("Entity ID ",RIGHT(Table3[[#This Row],[Sponsor_1_num]],8)," not found")),"")</f>
        <v/>
      </c>
      <c r="M154" t="str">
        <f>IF(LEN(G154)&lt;&gt;0,_xlfn.XLOOKUP(G154,[1]!Entities[ID_with_x],[1]!Entities[Name_w_County],_xlfn.CONCAT("Entity ID ",RIGHT(Table3[[#This Row],[Sponsor_1_num]],8)," not found")),"")</f>
        <v/>
      </c>
      <c r="N154" t="str">
        <f>IF(LEN(H154)&lt;&gt;0,_xlfn.XLOOKUP(H154,[1]!Entities[ID_with_x],[1]!Entities[Name_w_County],_xlfn.CONCAT("Entity ID ",RIGHT(Table3[[#This Row],[Sponsor_1_num]],8)," not found")),"")</f>
        <v/>
      </c>
      <c r="O154" t="str">
        <f>IF(LEN(I154)&lt;&gt;0,_xlfn.XLOOKUP(I154,[1]!Entities[ID_with_x],[1]!Entities[Name_w_County],_xlfn.CONCAT("Entity ID ",RIGHT(Table3[[#This Row],[Sponsor_1_num]],8)," not found")),"")</f>
        <v/>
      </c>
      <c r="P154" t="str">
        <f>IF(LEN(J154)&lt;&gt;0,_xlfn.XLOOKUP(J154,[1]!Entities[ID_with_x],[1]!Entities[Name_w_County],_xlfn.CONCAT("Entity ID ",RIGHT(Table3[[#This Row],[Sponsor_1_num]],8)," not found")),"")</f>
        <v/>
      </c>
      <c r="Q154" t="str">
        <f>IF(LEN(K154)&gt;0,_xlfn.TEXTJOIN(", ",TRUE,K154:P154),Table3[[#This Row],[SPONSOR_LIST]])</f>
        <v>Anderson County</v>
      </c>
    </row>
    <row r="155" spans="1:17" x14ac:dyDescent="0.25">
      <c r="A155" s="304" t="s">
        <v>1788</v>
      </c>
      <c r="B155" t="s">
        <v>4370</v>
      </c>
      <c r="C155" t="str">
        <f t="shared" si="3"/>
        <v/>
      </c>
      <c r="D155" t="str">
        <f>SUBSTITUTE(SUBSTITUTE(Table3[[#This Row],[Sponsor_list_tranform]],",",",x")," ","")</f>
        <v/>
      </c>
      <c r="K155" t="str">
        <f>IF(LEN(E155)&lt;&gt;0,_xlfn.XLOOKUP(E155,[1]!Entities[ID_with_x],[1]!Entities[Name_w_County],_xlfn.CONCAT("Entity ID ",RIGHT(Table3[[#This Row],[Sponsor_1_num]],8)," not found")),"")</f>
        <v/>
      </c>
      <c r="L155" t="str">
        <f>IF(LEN(F155)&lt;&gt;0,_xlfn.XLOOKUP(F155,[1]!Entities[ID_with_x],[1]!Entities[Name_w_County],_xlfn.CONCAT("Entity ID ",RIGHT(Table3[[#This Row],[Sponsor_1_num]],8)," not found")),"")</f>
        <v/>
      </c>
      <c r="M155" t="str">
        <f>IF(LEN(G155)&lt;&gt;0,_xlfn.XLOOKUP(G155,[1]!Entities[ID_with_x],[1]!Entities[Name_w_County],_xlfn.CONCAT("Entity ID ",RIGHT(Table3[[#This Row],[Sponsor_1_num]],8)," not found")),"")</f>
        <v/>
      </c>
      <c r="N155" t="str">
        <f>IF(LEN(H155)&lt;&gt;0,_xlfn.XLOOKUP(H155,[1]!Entities[ID_with_x],[1]!Entities[Name_w_County],_xlfn.CONCAT("Entity ID ",RIGHT(Table3[[#This Row],[Sponsor_1_num]],8)," not found")),"")</f>
        <v/>
      </c>
      <c r="O155" t="str">
        <f>IF(LEN(I155)&lt;&gt;0,_xlfn.XLOOKUP(I155,[1]!Entities[ID_with_x],[1]!Entities[Name_w_County],_xlfn.CONCAT("Entity ID ",RIGHT(Table3[[#This Row],[Sponsor_1_num]],8)," not found")),"")</f>
        <v/>
      </c>
      <c r="P155" t="str">
        <f>IF(LEN(J155)&lt;&gt;0,_xlfn.XLOOKUP(J155,[1]!Entities[ID_with_x],[1]!Entities[Name_w_County],_xlfn.CONCAT("Entity ID ",RIGHT(Table3[[#This Row],[Sponsor_1_num]],8)," not found")),"")</f>
        <v/>
      </c>
      <c r="Q155" t="str">
        <f>IF(LEN(K155)&gt;0,_xlfn.TEXTJOIN(", ",TRUE,K155:P155),Table3[[#This Row],[SPONSOR_LIST]])</f>
        <v>Collin County</v>
      </c>
    </row>
    <row r="156" spans="1:17" x14ac:dyDescent="0.25">
      <c r="A156" s="304" t="s">
        <v>1802</v>
      </c>
      <c r="B156" t="s">
        <v>4372</v>
      </c>
      <c r="C156" t="str">
        <f t="shared" si="3"/>
        <v/>
      </c>
      <c r="D156" t="str">
        <f>SUBSTITUTE(SUBSTITUTE(Table3[[#This Row],[Sponsor_list_tranform]],",",",x")," ","")</f>
        <v/>
      </c>
      <c r="K156" t="str">
        <f>IF(LEN(E156)&lt;&gt;0,_xlfn.XLOOKUP(E156,[1]!Entities[ID_with_x],[1]!Entities[Name_w_County],_xlfn.CONCAT("Entity ID ",RIGHT(Table3[[#This Row],[Sponsor_1_num]],8)," not found")),"")</f>
        <v/>
      </c>
      <c r="L156" t="str">
        <f>IF(LEN(F156)&lt;&gt;0,_xlfn.XLOOKUP(F156,[1]!Entities[ID_with_x],[1]!Entities[Name_w_County],_xlfn.CONCAT("Entity ID ",RIGHT(Table3[[#This Row],[Sponsor_1_num]],8)," not found")),"")</f>
        <v/>
      </c>
      <c r="M156" t="str">
        <f>IF(LEN(G156)&lt;&gt;0,_xlfn.XLOOKUP(G156,[1]!Entities[ID_with_x],[1]!Entities[Name_w_County],_xlfn.CONCAT("Entity ID ",RIGHT(Table3[[#This Row],[Sponsor_1_num]],8)," not found")),"")</f>
        <v/>
      </c>
      <c r="N156" t="str">
        <f>IF(LEN(H156)&lt;&gt;0,_xlfn.XLOOKUP(H156,[1]!Entities[ID_with_x],[1]!Entities[Name_w_County],_xlfn.CONCAT("Entity ID ",RIGHT(Table3[[#This Row],[Sponsor_1_num]],8)," not found")),"")</f>
        <v/>
      </c>
      <c r="O156" t="str">
        <f>IF(LEN(I156)&lt;&gt;0,_xlfn.XLOOKUP(I156,[1]!Entities[ID_with_x],[1]!Entities[Name_w_County],_xlfn.CONCAT("Entity ID ",RIGHT(Table3[[#This Row],[Sponsor_1_num]],8)," not found")),"")</f>
        <v/>
      </c>
      <c r="P156" t="str">
        <f>IF(LEN(J156)&lt;&gt;0,_xlfn.XLOOKUP(J156,[1]!Entities[ID_with_x],[1]!Entities[Name_w_County],_xlfn.CONCAT("Entity ID ",RIGHT(Table3[[#This Row],[Sponsor_1_num]],8)," not found")),"")</f>
        <v/>
      </c>
      <c r="Q156" t="str">
        <f>IF(LEN(K156)&gt;0,_xlfn.TEXTJOIN(", ",TRUE,K156:P156),Table3[[#This Row],[SPONSOR_LIST]])</f>
        <v>Cooke County</v>
      </c>
    </row>
    <row r="157" spans="1:17" x14ac:dyDescent="0.25">
      <c r="A157" s="304" t="s">
        <v>1813</v>
      </c>
      <c r="B157" t="s">
        <v>4375</v>
      </c>
      <c r="C157" t="str">
        <f t="shared" si="3"/>
        <v/>
      </c>
      <c r="D157" t="str">
        <f>SUBSTITUTE(SUBSTITUTE(Table3[[#This Row],[Sponsor_list_tranform]],",",",x")," ","")</f>
        <v/>
      </c>
      <c r="K157" t="str">
        <f>IF(LEN(E157)&lt;&gt;0,_xlfn.XLOOKUP(E157,[1]!Entities[ID_with_x],[1]!Entities[Name_w_County],_xlfn.CONCAT("Entity ID ",RIGHT(Table3[[#This Row],[Sponsor_1_num]],8)," not found")),"")</f>
        <v/>
      </c>
      <c r="L157" t="str">
        <f>IF(LEN(F157)&lt;&gt;0,_xlfn.XLOOKUP(F157,[1]!Entities[ID_with_x],[1]!Entities[Name_w_County],_xlfn.CONCAT("Entity ID ",RIGHT(Table3[[#This Row],[Sponsor_1_num]],8)," not found")),"")</f>
        <v/>
      </c>
      <c r="M157" t="str">
        <f>IF(LEN(G157)&lt;&gt;0,_xlfn.XLOOKUP(G157,[1]!Entities[ID_with_x],[1]!Entities[Name_w_County],_xlfn.CONCAT("Entity ID ",RIGHT(Table3[[#This Row],[Sponsor_1_num]],8)," not found")),"")</f>
        <v/>
      </c>
      <c r="N157" t="str">
        <f>IF(LEN(H157)&lt;&gt;0,_xlfn.XLOOKUP(H157,[1]!Entities[ID_with_x],[1]!Entities[Name_w_County],_xlfn.CONCAT("Entity ID ",RIGHT(Table3[[#This Row],[Sponsor_1_num]],8)," not found")),"")</f>
        <v/>
      </c>
      <c r="O157" t="str">
        <f>IF(LEN(I157)&lt;&gt;0,_xlfn.XLOOKUP(I157,[1]!Entities[ID_with_x],[1]!Entities[Name_w_County],_xlfn.CONCAT("Entity ID ",RIGHT(Table3[[#This Row],[Sponsor_1_num]],8)," not found")),"")</f>
        <v/>
      </c>
      <c r="P157" t="str">
        <f>IF(LEN(J157)&lt;&gt;0,_xlfn.XLOOKUP(J157,[1]!Entities[ID_with_x],[1]!Entities[Name_w_County],_xlfn.CONCAT("Entity ID ",RIGHT(Table3[[#This Row],[Sponsor_1_num]],8)," not found")),"")</f>
        <v/>
      </c>
      <c r="Q157" t="str">
        <f>IF(LEN(K157)&gt;0,_xlfn.TEXTJOIN(", ",TRUE,K157:P157),Table3[[#This Row],[SPONSOR_LIST]])</f>
        <v>Dallas County</v>
      </c>
    </row>
    <row r="158" spans="1:17" x14ac:dyDescent="0.25">
      <c r="A158" s="304" t="s">
        <v>2209</v>
      </c>
      <c r="B158" t="s">
        <v>1624</v>
      </c>
      <c r="C158" t="str">
        <f t="shared" si="3"/>
        <v/>
      </c>
      <c r="D158" t="str">
        <f>SUBSTITUTE(SUBSTITUTE(Table3[[#This Row],[Sponsor_list_tranform]],",",",x")," ","")</f>
        <v/>
      </c>
      <c r="K158" t="str">
        <f>IF(LEN(E158)&lt;&gt;0,_xlfn.XLOOKUP(E158,[1]!Entities[ID_with_x],[1]!Entities[Name_w_County],_xlfn.CONCAT("Entity ID ",RIGHT(Table3[[#This Row],[Sponsor_1_num]],8)," not found")),"")</f>
        <v/>
      </c>
      <c r="L158" t="str">
        <f>IF(LEN(F158)&lt;&gt;0,_xlfn.XLOOKUP(F158,[1]!Entities[ID_with_x],[1]!Entities[Name_w_County],_xlfn.CONCAT("Entity ID ",RIGHT(Table3[[#This Row],[Sponsor_1_num]],8)," not found")),"")</f>
        <v/>
      </c>
      <c r="M158" t="str">
        <f>IF(LEN(G158)&lt;&gt;0,_xlfn.XLOOKUP(G158,[1]!Entities[ID_with_x],[1]!Entities[Name_w_County],_xlfn.CONCAT("Entity ID ",RIGHT(Table3[[#This Row],[Sponsor_1_num]],8)," not found")),"")</f>
        <v/>
      </c>
      <c r="N158" t="str">
        <f>IF(LEN(H158)&lt;&gt;0,_xlfn.XLOOKUP(H158,[1]!Entities[ID_with_x],[1]!Entities[Name_w_County],_xlfn.CONCAT("Entity ID ",RIGHT(Table3[[#This Row],[Sponsor_1_num]],8)," not found")),"")</f>
        <v/>
      </c>
      <c r="O158" t="str">
        <f>IF(LEN(I158)&lt;&gt;0,_xlfn.XLOOKUP(I158,[1]!Entities[ID_with_x],[1]!Entities[Name_w_County],_xlfn.CONCAT("Entity ID ",RIGHT(Table3[[#This Row],[Sponsor_1_num]],8)," not found")),"")</f>
        <v/>
      </c>
      <c r="P158" t="str">
        <f>IF(LEN(J158)&lt;&gt;0,_xlfn.XLOOKUP(J158,[1]!Entities[ID_with_x],[1]!Entities[Name_w_County],_xlfn.CONCAT("Entity ID ",RIGHT(Table3[[#This Row],[Sponsor_1_num]],8)," not found")),"")</f>
        <v/>
      </c>
      <c r="Q158" t="str">
        <f>IF(LEN(K158)&gt;0,_xlfn.TEXTJOIN(", ",TRUE,K158:P158),Table3[[#This Row],[SPONSOR_LIST]])</f>
        <v>Grayson County</v>
      </c>
    </row>
    <row r="159" spans="1:17" x14ac:dyDescent="0.25">
      <c r="A159" s="304" t="s">
        <v>2213</v>
      </c>
      <c r="B159" t="s">
        <v>4467</v>
      </c>
      <c r="C159" t="str">
        <f t="shared" si="3"/>
        <v/>
      </c>
      <c r="D159" t="str">
        <f>SUBSTITUTE(SUBSTITUTE(Table3[[#This Row],[Sponsor_list_tranform]],",",",x")," ","")</f>
        <v/>
      </c>
      <c r="K159" t="str">
        <f>IF(LEN(E159)&lt;&gt;0,_xlfn.XLOOKUP(E159,[1]!Entities[ID_with_x],[1]!Entities[Name_w_County],_xlfn.CONCAT("Entity ID ",RIGHT(Table3[[#This Row],[Sponsor_1_num]],8)," not found")),"")</f>
        <v/>
      </c>
      <c r="L159" t="str">
        <f>IF(LEN(F159)&lt;&gt;0,_xlfn.XLOOKUP(F159,[1]!Entities[ID_with_x],[1]!Entities[Name_w_County],_xlfn.CONCAT("Entity ID ",RIGHT(Table3[[#This Row],[Sponsor_1_num]],8)," not found")),"")</f>
        <v/>
      </c>
      <c r="M159" t="str">
        <f>IF(LEN(G159)&lt;&gt;0,_xlfn.XLOOKUP(G159,[1]!Entities[ID_with_x],[1]!Entities[Name_w_County],_xlfn.CONCAT("Entity ID ",RIGHT(Table3[[#This Row],[Sponsor_1_num]],8)," not found")),"")</f>
        <v/>
      </c>
      <c r="N159" t="str">
        <f>IF(LEN(H159)&lt;&gt;0,_xlfn.XLOOKUP(H159,[1]!Entities[ID_with_x],[1]!Entities[Name_w_County],_xlfn.CONCAT("Entity ID ",RIGHT(Table3[[#This Row],[Sponsor_1_num]],8)," not found")),"")</f>
        <v/>
      </c>
      <c r="O159" t="str">
        <f>IF(LEN(I159)&lt;&gt;0,_xlfn.XLOOKUP(I159,[1]!Entities[ID_with_x],[1]!Entities[Name_w_County],_xlfn.CONCAT("Entity ID ",RIGHT(Table3[[#This Row],[Sponsor_1_num]],8)," not found")),"")</f>
        <v/>
      </c>
      <c r="P159" t="str">
        <f>IF(LEN(J159)&lt;&gt;0,_xlfn.XLOOKUP(J159,[1]!Entities[ID_with_x],[1]!Entities[Name_w_County],_xlfn.CONCAT("Entity ID ",RIGHT(Table3[[#This Row],[Sponsor_1_num]],8)," not found")),"")</f>
        <v/>
      </c>
      <c r="Q159" t="str">
        <f>IF(LEN(K159)&gt;0,_xlfn.TEXTJOIN(", ",TRUE,K159:P159),Table3[[#This Row],[SPONSOR_LIST]])</f>
        <v>Terrell</v>
      </c>
    </row>
    <row r="160" spans="1:17" x14ac:dyDescent="0.25">
      <c r="A160" s="304" t="s">
        <v>2219</v>
      </c>
      <c r="B160" t="s">
        <v>4437</v>
      </c>
      <c r="C160" t="str">
        <f t="shared" si="3"/>
        <v/>
      </c>
      <c r="D160" t="str">
        <f>SUBSTITUTE(SUBSTITUTE(Table3[[#This Row],[Sponsor_list_tranform]],",",",x")," ","")</f>
        <v/>
      </c>
      <c r="K160" t="str">
        <f>IF(LEN(E160)&lt;&gt;0,_xlfn.XLOOKUP(E160,[1]!Entities[ID_with_x],[1]!Entities[Name_w_County],_xlfn.CONCAT("Entity ID ",RIGHT(Table3[[#This Row],[Sponsor_1_num]],8)," not found")),"")</f>
        <v/>
      </c>
      <c r="L160" t="str">
        <f>IF(LEN(F160)&lt;&gt;0,_xlfn.XLOOKUP(F160,[1]!Entities[ID_with_x],[1]!Entities[Name_w_County],_xlfn.CONCAT("Entity ID ",RIGHT(Table3[[#This Row],[Sponsor_1_num]],8)," not found")),"")</f>
        <v/>
      </c>
      <c r="M160" t="str">
        <f>IF(LEN(G160)&lt;&gt;0,_xlfn.XLOOKUP(G160,[1]!Entities[ID_with_x],[1]!Entities[Name_w_County],_xlfn.CONCAT("Entity ID ",RIGHT(Table3[[#This Row],[Sponsor_1_num]],8)," not found")),"")</f>
        <v/>
      </c>
      <c r="N160" t="str">
        <f>IF(LEN(H160)&lt;&gt;0,_xlfn.XLOOKUP(H160,[1]!Entities[ID_with_x],[1]!Entities[Name_w_County],_xlfn.CONCAT("Entity ID ",RIGHT(Table3[[#This Row],[Sponsor_1_num]],8)," not found")),"")</f>
        <v/>
      </c>
      <c r="O160" t="str">
        <f>IF(LEN(I160)&lt;&gt;0,_xlfn.XLOOKUP(I160,[1]!Entities[ID_with_x],[1]!Entities[Name_w_County],_xlfn.CONCAT("Entity ID ",RIGHT(Table3[[#This Row],[Sponsor_1_num]],8)," not found")),"")</f>
        <v/>
      </c>
      <c r="P160" t="str">
        <f>IF(LEN(J160)&lt;&gt;0,_xlfn.XLOOKUP(J160,[1]!Entities[ID_with_x],[1]!Entities[Name_w_County],_xlfn.CONCAT("Entity ID ",RIGHT(Table3[[#This Row],[Sponsor_1_num]],8)," not found")),"")</f>
        <v/>
      </c>
      <c r="Q160" t="str">
        <f>IF(LEN(K160)&gt;0,_xlfn.TEXTJOIN(", ",TRUE,K160:P160),Table3[[#This Row],[SPONSOR_LIST]])</f>
        <v>Leon County</v>
      </c>
    </row>
    <row r="161" spans="1:17" x14ac:dyDescent="0.25">
      <c r="A161" s="304" t="s">
        <v>4556</v>
      </c>
      <c r="B161" t="s">
        <v>4560</v>
      </c>
      <c r="C161" t="str">
        <f t="shared" si="3"/>
        <v/>
      </c>
      <c r="D161" t="str">
        <f>SUBSTITUTE(SUBSTITUTE(Table3[[#This Row],[Sponsor_list_tranform]],",",",x")," ","")</f>
        <v/>
      </c>
      <c r="K161" t="str">
        <f>IF(LEN(E161)&lt;&gt;0,_xlfn.XLOOKUP(E161,[1]!Entities[ID_with_x],[1]!Entities[Name_w_County],_xlfn.CONCAT("Entity ID ",RIGHT(Table3[[#This Row],[Sponsor_1_num]],8)," not found")),"")</f>
        <v/>
      </c>
      <c r="L161" t="str">
        <f>IF(LEN(F161)&lt;&gt;0,_xlfn.XLOOKUP(F161,[1]!Entities[ID_with_x],[1]!Entities[Name_w_County],_xlfn.CONCAT("Entity ID ",RIGHT(Table3[[#This Row],[Sponsor_1_num]],8)," not found")),"")</f>
        <v/>
      </c>
      <c r="M161" t="str">
        <f>IF(LEN(G161)&lt;&gt;0,_xlfn.XLOOKUP(G161,[1]!Entities[ID_with_x],[1]!Entities[Name_w_County],_xlfn.CONCAT("Entity ID ",RIGHT(Table3[[#This Row],[Sponsor_1_num]],8)," not found")),"")</f>
        <v/>
      </c>
      <c r="N161" t="str">
        <f>IF(LEN(H161)&lt;&gt;0,_xlfn.XLOOKUP(H161,[1]!Entities[ID_with_x],[1]!Entities[Name_w_County],_xlfn.CONCAT("Entity ID ",RIGHT(Table3[[#This Row],[Sponsor_1_num]],8)," not found")),"")</f>
        <v/>
      </c>
      <c r="O161" t="str">
        <f>IF(LEN(I161)&lt;&gt;0,_xlfn.XLOOKUP(I161,[1]!Entities[ID_with_x],[1]!Entities[Name_w_County],_xlfn.CONCAT("Entity ID ",RIGHT(Table3[[#This Row],[Sponsor_1_num]],8)," not found")),"")</f>
        <v/>
      </c>
      <c r="P161" t="str">
        <f>IF(LEN(J161)&lt;&gt;0,_xlfn.XLOOKUP(J161,[1]!Entities[ID_with_x],[1]!Entities[Name_w_County],_xlfn.CONCAT("Entity ID ",RIGHT(Table3[[#This Row],[Sponsor_1_num]],8)," not found")),"")</f>
        <v/>
      </c>
      <c r="Q161" t="str">
        <f>IF(LEN(K161)&gt;0,_xlfn.TEXTJOIN(", ",TRUE,K161:P161),Table3[[#This Row],[SPONSOR_LIST]])</f>
        <v>Fate</v>
      </c>
    </row>
    <row r="162" spans="1:17" x14ac:dyDescent="0.25">
      <c r="A162" s="304" t="s">
        <v>2012</v>
      </c>
      <c r="B162" t="s">
        <v>4422</v>
      </c>
      <c r="C162" t="str">
        <f t="shared" si="3"/>
        <v/>
      </c>
      <c r="D162" t="str">
        <f>SUBSTITUTE(SUBSTITUTE(Table3[[#This Row],[Sponsor_list_tranform]],",",",x")," ","")</f>
        <v/>
      </c>
      <c r="K162" t="str">
        <f>IF(LEN(E162)&lt;&gt;0,_xlfn.XLOOKUP(E162,[1]!Entities[ID_with_x],[1]!Entities[Name_w_County],_xlfn.CONCAT("Entity ID ",RIGHT(Table3[[#This Row],[Sponsor_1_num]],8)," not found")),"")</f>
        <v/>
      </c>
      <c r="L162" t="str">
        <f>IF(LEN(F162)&lt;&gt;0,_xlfn.XLOOKUP(F162,[1]!Entities[ID_with_x],[1]!Entities[Name_w_County],_xlfn.CONCAT("Entity ID ",RIGHT(Table3[[#This Row],[Sponsor_1_num]],8)," not found")),"")</f>
        <v/>
      </c>
      <c r="M162" t="str">
        <f>IF(LEN(G162)&lt;&gt;0,_xlfn.XLOOKUP(G162,[1]!Entities[ID_with_x],[1]!Entities[Name_w_County],_xlfn.CONCAT("Entity ID ",RIGHT(Table3[[#This Row],[Sponsor_1_num]],8)," not found")),"")</f>
        <v/>
      </c>
      <c r="N162" t="str">
        <f>IF(LEN(H162)&lt;&gt;0,_xlfn.XLOOKUP(H162,[1]!Entities[ID_with_x],[1]!Entities[Name_w_County],_xlfn.CONCAT("Entity ID ",RIGHT(Table3[[#This Row],[Sponsor_1_num]],8)," not found")),"")</f>
        <v/>
      </c>
      <c r="O162" t="str">
        <f>IF(LEN(I162)&lt;&gt;0,_xlfn.XLOOKUP(I162,[1]!Entities[ID_with_x],[1]!Entities[Name_w_County],_xlfn.CONCAT("Entity ID ",RIGHT(Table3[[#This Row],[Sponsor_1_num]],8)," not found")),"")</f>
        <v/>
      </c>
      <c r="P162" t="str">
        <f>IF(LEN(J162)&lt;&gt;0,_xlfn.XLOOKUP(J162,[1]!Entities[ID_with_x],[1]!Entities[Name_w_County],_xlfn.CONCAT("Entity ID ",RIGHT(Table3[[#This Row],[Sponsor_1_num]],8)," not found")),"")</f>
        <v/>
      </c>
      <c r="Q162" t="str">
        <f>IF(LEN(K162)&gt;0,_xlfn.TEXTJOIN(", ",TRUE,K162:P162),Table3[[#This Row],[SPONSOR_LIST]])</f>
        <v>Kennedale</v>
      </c>
    </row>
    <row r="163" spans="1:17" x14ac:dyDescent="0.25">
      <c r="A163" s="304" t="s">
        <v>1870</v>
      </c>
      <c r="B163" t="s">
        <v>4388</v>
      </c>
      <c r="C163" t="str">
        <f t="shared" si="3"/>
        <v/>
      </c>
      <c r="D163" t="str">
        <f>SUBSTITUTE(SUBSTITUTE(Table3[[#This Row],[Sponsor_list_tranform]],",",",x")," ","")</f>
        <v/>
      </c>
      <c r="K163" t="str">
        <f>IF(LEN(E163)&lt;&gt;0,_xlfn.XLOOKUP(E163,[1]!Entities[ID_with_x],[1]!Entities[Name_w_County],_xlfn.CONCAT("Entity ID ",RIGHT(Table3[[#This Row],[Sponsor_1_num]],8)," not found")),"")</f>
        <v/>
      </c>
      <c r="L163" t="str">
        <f>IF(LEN(F163)&lt;&gt;0,_xlfn.XLOOKUP(F163,[1]!Entities[ID_with_x],[1]!Entities[Name_w_County],_xlfn.CONCAT("Entity ID ",RIGHT(Table3[[#This Row],[Sponsor_1_num]],8)," not found")),"")</f>
        <v/>
      </c>
      <c r="M163" t="str">
        <f>IF(LEN(G163)&lt;&gt;0,_xlfn.XLOOKUP(G163,[1]!Entities[ID_with_x],[1]!Entities[Name_w_County],_xlfn.CONCAT("Entity ID ",RIGHT(Table3[[#This Row],[Sponsor_1_num]],8)," not found")),"")</f>
        <v/>
      </c>
      <c r="N163" t="str">
        <f>IF(LEN(H163)&lt;&gt;0,_xlfn.XLOOKUP(H163,[1]!Entities[ID_with_x],[1]!Entities[Name_w_County],_xlfn.CONCAT("Entity ID ",RIGHT(Table3[[#This Row],[Sponsor_1_num]],8)," not found")),"")</f>
        <v/>
      </c>
      <c r="O163" t="str">
        <f>IF(LEN(I163)&lt;&gt;0,_xlfn.XLOOKUP(I163,[1]!Entities[ID_with_x],[1]!Entities[Name_w_County],_xlfn.CONCAT("Entity ID ",RIGHT(Table3[[#This Row],[Sponsor_1_num]],8)," not found")),"")</f>
        <v/>
      </c>
      <c r="P163" t="str">
        <f>IF(LEN(J163)&lt;&gt;0,_xlfn.XLOOKUP(J163,[1]!Entities[ID_with_x],[1]!Entities[Name_w_County],_xlfn.CONCAT("Entity ID ",RIGHT(Table3[[#This Row],[Sponsor_1_num]],8)," not found")),"")</f>
        <v/>
      </c>
      <c r="Q163" t="str">
        <f>IF(LEN(K163)&gt;0,_xlfn.TEXTJOIN(", ",TRUE,K163:P163),Table3[[#This Row],[SPONSOR_LIST]])</f>
        <v>Mansfield</v>
      </c>
    </row>
    <row r="164" spans="1:17" x14ac:dyDescent="0.25">
      <c r="A164" s="304" t="s">
        <v>2002</v>
      </c>
      <c r="B164" t="s">
        <v>4402</v>
      </c>
      <c r="C164" t="str">
        <f t="shared" si="3"/>
        <v/>
      </c>
      <c r="D164" t="str">
        <f>SUBSTITUTE(SUBSTITUTE(Table3[[#This Row],[Sponsor_list_tranform]],",",",x")," ","")</f>
        <v/>
      </c>
      <c r="K164" t="str">
        <f>IF(LEN(E164)&lt;&gt;0,_xlfn.XLOOKUP(E164,[1]!Entities[ID_with_x],[1]!Entities[Name_w_County],_xlfn.CONCAT("Entity ID ",RIGHT(Table3[[#This Row],[Sponsor_1_num]],8)," not found")),"")</f>
        <v/>
      </c>
      <c r="L164" t="str">
        <f>IF(LEN(F164)&lt;&gt;0,_xlfn.XLOOKUP(F164,[1]!Entities[ID_with_x],[1]!Entities[Name_w_County],_xlfn.CONCAT("Entity ID ",RIGHT(Table3[[#This Row],[Sponsor_1_num]],8)," not found")),"")</f>
        <v/>
      </c>
      <c r="M164" t="str">
        <f>IF(LEN(G164)&lt;&gt;0,_xlfn.XLOOKUP(G164,[1]!Entities[ID_with_x],[1]!Entities[Name_w_County],_xlfn.CONCAT("Entity ID ",RIGHT(Table3[[#This Row],[Sponsor_1_num]],8)," not found")),"")</f>
        <v/>
      </c>
      <c r="N164" t="str">
        <f>IF(LEN(H164)&lt;&gt;0,_xlfn.XLOOKUP(H164,[1]!Entities[ID_with_x],[1]!Entities[Name_w_County],_xlfn.CONCAT("Entity ID ",RIGHT(Table3[[#This Row],[Sponsor_1_num]],8)," not found")),"")</f>
        <v/>
      </c>
      <c r="O164" t="str">
        <f>IF(LEN(I164)&lt;&gt;0,_xlfn.XLOOKUP(I164,[1]!Entities[ID_with_x],[1]!Entities[Name_w_County],_xlfn.CONCAT("Entity ID ",RIGHT(Table3[[#This Row],[Sponsor_1_num]],8)," not found")),"")</f>
        <v/>
      </c>
      <c r="P164" t="str">
        <f>IF(LEN(J164)&lt;&gt;0,_xlfn.XLOOKUP(J164,[1]!Entities[ID_with_x],[1]!Entities[Name_w_County],_xlfn.CONCAT("Entity ID ",RIGHT(Table3[[#This Row],[Sponsor_1_num]],8)," not found")),"")</f>
        <v/>
      </c>
      <c r="Q164" t="str">
        <f>IF(LEN(K164)&gt;0,_xlfn.TEXTJOIN(", ",TRUE,K164:P164),Table3[[#This Row],[SPONSOR_LIST]])</f>
        <v xml:space="preserve">Tarrant County </v>
      </c>
    </row>
    <row r="165" spans="1:17" x14ac:dyDescent="0.25">
      <c r="A165" s="304" t="s">
        <v>1998</v>
      </c>
      <c r="B165" t="s">
        <v>4418</v>
      </c>
      <c r="C165" t="str">
        <f t="shared" si="3"/>
        <v/>
      </c>
      <c r="D165" t="str">
        <f>SUBSTITUTE(SUBSTITUTE(Table3[[#This Row],[Sponsor_list_tranform]],",",",x")," ","")</f>
        <v/>
      </c>
      <c r="K165" t="str">
        <f>IF(LEN(E165)&lt;&gt;0,_xlfn.XLOOKUP(E165,[1]!Entities[ID_with_x],[1]!Entities[Name_w_County],_xlfn.CONCAT("Entity ID ",RIGHT(Table3[[#This Row],[Sponsor_1_num]],8)," not found")),"")</f>
        <v/>
      </c>
      <c r="L165" t="str">
        <f>IF(LEN(F165)&lt;&gt;0,_xlfn.XLOOKUP(F165,[1]!Entities[ID_with_x],[1]!Entities[Name_w_County],_xlfn.CONCAT("Entity ID ",RIGHT(Table3[[#This Row],[Sponsor_1_num]],8)," not found")),"")</f>
        <v/>
      </c>
      <c r="M165" t="str">
        <f>IF(LEN(G165)&lt;&gt;0,_xlfn.XLOOKUP(G165,[1]!Entities[ID_with_x],[1]!Entities[Name_w_County],_xlfn.CONCAT("Entity ID ",RIGHT(Table3[[#This Row],[Sponsor_1_num]],8)," not found")),"")</f>
        <v/>
      </c>
      <c r="N165" t="str">
        <f>IF(LEN(H165)&lt;&gt;0,_xlfn.XLOOKUP(H165,[1]!Entities[ID_with_x],[1]!Entities[Name_w_County],_xlfn.CONCAT("Entity ID ",RIGHT(Table3[[#This Row],[Sponsor_1_num]],8)," not found")),"")</f>
        <v/>
      </c>
      <c r="O165" t="str">
        <f>IF(LEN(I165)&lt;&gt;0,_xlfn.XLOOKUP(I165,[1]!Entities[ID_with_x],[1]!Entities[Name_w_County],_xlfn.CONCAT("Entity ID ",RIGHT(Table3[[#This Row],[Sponsor_1_num]],8)," not found")),"")</f>
        <v/>
      </c>
      <c r="P165" t="str">
        <f>IF(LEN(J165)&lt;&gt;0,_xlfn.XLOOKUP(J165,[1]!Entities[ID_with_x],[1]!Entities[Name_w_County],_xlfn.CONCAT("Entity ID ",RIGHT(Table3[[#This Row],[Sponsor_1_num]],8)," not found")),"")</f>
        <v/>
      </c>
      <c r="Q165" t="str">
        <f>IF(LEN(K165)&gt;0,_xlfn.TEXTJOIN(", ",TRUE,K165:P165),Table3[[#This Row],[SPONSOR_LIST]])</f>
        <v>Walker County, New Waverly, Riverside</v>
      </c>
    </row>
    <row r="166" spans="1:17" x14ac:dyDescent="0.25">
      <c r="A166" s="304" t="s">
        <v>1993</v>
      </c>
      <c r="B166" t="s">
        <v>4417</v>
      </c>
      <c r="C166" t="str">
        <f t="shared" si="3"/>
        <v/>
      </c>
      <c r="D166" t="str">
        <f>SUBSTITUTE(SUBSTITUTE(Table3[[#This Row],[Sponsor_list_tranform]],",",",x")," ","")</f>
        <v/>
      </c>
      <c r="K166" t="str">
        <f>IF(LEN(E166)&lt;&gt;0,_xlfn.XLOOKUP(E166,[1]!Entities[ID_with_x],[1]!Entities[Name_w_County],_xlfn.CONCAT("Entity ID ",RIGHT(Table3[[#This Row],[Sponsor_1_num]],8)," not found")),"")</f>
        <v/>
      </c>
      <c r="L166" t="str">
        <f>IF(LEN(F166)&lt;&gt;0,_xlfn.XLOOKUP(F166,[1]!Entities[ID_with_x],[1]!Entities[Name_w_County],_xlfn.CONCAT("Entity ID ",RIGHT(Table3[[#This Row],[Sponsor_1_num]],8)," not found")),"")</f>
        <v/>
      </c>
      <c r="M166" t="str">
        <f>IF(LEN(G166)&lt;&gt;0,_xlfn.XLOOKUP(G166,[1]!Entities[ID_with_x],[1]!Entities[Name_w_County],_xlfn.CONCAT("Entity ID ",RIGHT(Table3[[#This Row],[Sponsor_1_num]],8)," not found")),"")</f>
        <v/>
      </c>
      <c r="N166" t="str">
        <f>IF(LEN(H166)&lt;&gt;0,_xlfn.XLOOKUP(H166,[1]!Entities[ID_with_x],[1]!Entities[Name_w_County],_xlfn.CONCAT("Entity ID ",RIGHT(Table3[[#This Row],[Sponsor_1_num]],8)," not found")),"")</f>
        <v/>
      </c>
      <c r="O166" t="str">
        <f>IF(LEN(I166)&lt;&gt;0,_xlfn.XLOOKUP(I166,[1]!Entities[ID_with_x],[1]!Entities[Name_w_County],_xlfn.CONCAT("Entity ID ",RIGHT(Table3[[#This Row],[Sponsor_1_num]],8)," not found")),"")</f>
        <v/>
      </c>
      <c r="P166" t="str">
        <f>IF(LEN(J166)&lt;&gt;0,_xlfn.XLOOKUP(J166,[1]!Entities[ID_with_x],[1]!Entities[Name_w_County],_xlfn.CONCAT("Entity ID ",RIGHT(Table3[[#This Row],[Sponsor_1_num]],8)," not found")),"")</f>
        <v/>
      </c>
      <c r="Q166" t="str">
        <f>IF(LEN(K166)&gt;0,_xlfn.TEXTJOIN(", ",TRUE,K166:P166),Table3[[#This Row],[SPONSOR_LIST]])</f>
        <v>Wise County</v>
      </c>
    </row>
    <row r="167" spans="1:17" x14ac:dyDescent="0.25">
      <c r="A167" s="304" t="s">
        <v>2223</v>
      </c>
      <c r="B167" t="s">
        <v>4468</v>
      </c>
      <c r="C167" t="str">
        <f t="shared" si="3"/>
        <v/>
      </c>
      <c r="D167" t="str">
        <f>SUBSTITUTE(SUBSTITUTE(Table3[[#This Row],[Sponsor_list_tranform]],",",",x")," ","")</f>
        <v/>
      </c>
      <c r="K167" t="str">
        <f>IF(LEN(E167)&lt;&gt;0,_xlfn.XLOOKUP(E167,[1]!Entities[ID_with_x],[1]!Entities[Name_w_County],_xlfn.CONCAT("Entity ID ",RIGHT(Table3[[#This Row],[Sponsor_1_num]],8)," not found")),"")</f>
        <v/>
      </c>
      <c r="L167" t="str">
        <f>IF(LEN(F167)&lt;&gt;0,_xlfn.XLOOKUP(F167,[1]!Entities[ID_with_x],[1]!Entities[Name_w_County],_xlfn.CONCAT("Entity ID ",RIGHT(Table3[[#This Row],[Sponsor_1_num]],8)," not found")),"")</f>
        <v/>
      </c>
      <c r="M167" t="str">
        <f>IF(LEN(G167)&lt;&gt;0,_xlfn.XLOOKUP(G167,[1]!Entities[ID_with_x],[1]!Entities[Name_w_County],_xlfn.CONCAT("Entity ID ",RIGHT(Table3[[#This Row],[Sponsor_1_num]],8)," not found")),"")</f>
        <v/>
      </c>
      <c r="N167" t="str">
        <f>IF(LEN(H167)&lt;&gt;0,_xlfn.XLOOKUP(H167,[1]!Entities[ID_with_x],[1]!Entities[Name_w_County],_xlfn.CONCAT("Entity ID ",RIGHT(Table3[[#This Row],[Sponsor_1_num]],8)," not found")),"")</f>
        <v/>
      </c>
      <c r="O167" t="str">
        <f>IF(LEN(I167)&lt;&gt;0,_xlfn.XLOOKUP(I167,[1]!Entities[ID_with_x],[1]!Entities[Name_w_County],_xlfn.CONCAT("Entity ID ",RIGHT(Table3[[#This Row],[Sponsor_1_num]],8)," not found")),"")</f>
        <v/>
      </c>
      <c r="P167" t="str">
        <f>IF(LEN(J167)&lt;&gt;0,_xlfn.XLOOKUP(J167,[1]!Entities[ID_with_x],[1]!Entities[Name_w_County],_xlfn.CONCAT("Entity ID ",RIGHT(Table3[[#This Row],[Sponsor_1_num]],8)," not found")),"")</f>
        <v/>
      </c>
      <c r="Q167" t="str">
        <f>IF(LEN(K167)&gt;0,_xlfn.TEXTJOIN(", ",TRUE,K167:P167),Table3[[#This Row],[SPONSOR_LIST]])</f>
        <v>Chico</v>
      </c>
    </row>
    <row r="168" spans="1:17" x14ac:dyDescent="0.25">
      <c r="A168" s="304" t="s">
        <v>2232</v>
      </c>
      <c r="B168" t="s">
        <v>4470</v>
      </c>
      <c r="C168" t="str">
        <f t="shared" si="3"/>
        <v/>
      </c>
      <c r="D168" t="str">
        <f>SUBSTITUTE(SUBSTITUTE(Table3[[#This Row],[Sponsor_list_tranform]],",",",x")," ","")</f>
        <v/>
      </c>
      <c r="K168" t="str">
        <f>IF(LEN(E168)&lt;&gt;0,_xlfn.XLOOKUP(E168,[1]!Entities[ID_with_x],[1]!Entities[Name_w_County],_xlfn.CONCAT("Entity ID ",RIGHT(Table3[[#This Row],[Sponsor_1_num]],8)," not found")),"")</f>
        <v/>
      </c>
      <c r="L168" t="str">
        <f>IF(LEN(F168)&lt;&gt;0,_xlfn.XLOOKUP(F168,[1]!Entities[ID_with_x],[1]!Entities[Name_w_County],_xlfn.CONCAT("Entity ID ",RIGHT(Table3[[#This Row],[Sponsor_1_num]],8)," not found")),"")</f>
        <v/>
      </c>
      <c r="M168" t="str">
        <f>IF(LEN(G168)&lt;&gt;0,_xlfn.XLOOKUP(G168,[1]!Entities[ID_with_x],[1]!Entities[Name_w_County],_xlfn.CONCAT("Entity ID ",RIGHT(Table3[[#This Row],[Sponsor_1_num]],8)," not found")),"")</f>
        <v/>
      </c>
      <c r="N168" t="str">
        <f>IF(LEN(H168)&lt;&gt;0,_xlfn.XLOOKUP(H168,[1]!Entities[ID_with_x],[1]!Entities[Name_w_County],_xlfn.CONCAT("Entity ID ",RIGHT(Table3[[#This Row],[Sponsor_1_num]],8)," not found")),"")</f>
        <v/>
      </c>
      <c r="O168" t="str">
        <f>IF(LEN(I168)&lt;&gt;0,_xlfn.XLOOKUP(I168,[1]!Entities[ID_with_x],[1]!Entities[Name_w_County],_xlfn.CONCAT("Entity ID ",RIGHT(Table3[[#This Row],[Sponsor_1_num]],8)," not found")),"")</f>
        <v/>
      </c>
      <c r="P168" t="str">
        <f>IF(LEN(J168)&lt;&gt;0,_xlfn.XLOOKUP(J168,[1]!Entities[ID_with_x],[1]!Entities[Name_w_County],_xlfn.CONCAT("Entity ID ",RIGHT(Table3[[#This Row],[Sponsor_1_num]],8)," not found")),"")</f>
        <v/>
      </c>
      <c r="Q168" t="str">
        <f>IF(LEN(K168)&gt;0,_xlfn.TEXTJOIN(", ",TRUE,K168:P168),Table3[[#This Row],[SPONSOR_LIST]])</f>
        <v xml:space="preserve"> Burleson</v>
      </c>
    </row>
    <row r="169" spans="1:17" x14ac:dyDescent="0.25">
      <c r="A169" s="304" t="s">
        <v>2043</v>
      </c>
      <c r="B169" t="s">
        <v>4427</v>
      </c>
      <c r="C169" t="str">
        <f t="shared" si="3"/>
        <v/>
      </c>
      <c r="D169" t="str">
        <f>SUBSTITUTE(SUBSTITUTE(Table3[[#This Row],[Sponsor_list_tranform]],",",",x")," ","")</f>
        <v/>
      </c>
      <c r="K169" t="str">
        <f>IF(LEN(E169)&lt;&gt;0,_xlfn.XLOOKUP(E169,[1]!Entities[ID_with_x],[1]!Entities[Name_w_County],_xlfn.CONCAT("Entity ID ",RIGHT(Table3[[#This Row],[Sponsor_1_num]],8)," not found")),"")</f>
        <v/>
      </c>
      <c r="L169" t="str">
        <f>IF(LEN(F169)&lt;&gt;0,_xlfn.XLOOKUP(F169,[1]!Entities[ID_with_x],[1]!Entities[Name_w_County],_xlfn.CONCAT("Entity ID ",RIGHT(Table3[[#This Row],[Sponsor_1_num]],8)," not found")),"")</f>
        <v/>
      </c>
      <c r="M169" t="str">
        <f>IF(LEN(G169)&lt;&gt;0,_xlfn.XLOOKUP(G169,[1]!Entities[ID_with_x],[1]!Entities[Name_w_County],_xlfn.CONCAT("Entity ID ",RIGHT(Table3[[#This Row],[Sponsor_1_num]],8)," not found")),"")</f>
        <v/>
      </c>
      <c r="N169" t="str">
        <f>IF(LEN(H169)&lt;&gt;0,_xlfn.XLOOKUP(H169,[1]!Entities[ID_with_x],[1]!Entities[Name_w_County],_xlfn.CONCAT("Entity ID ",RIGHT(Table3[[#This Row],[Sponsor_1_num]],8)," not found")),"")</f>
        <v/>
      </c>
      <c r="O169" t="str">
        <f>IF(LEN(I169)&lt;&gt;0,_xlfn.XLOOKUP(I169,[1]!Entities[ID_with_x],[1]!Entities[Name_w_County],_xlfn.CONCAT("Entity ID ",RIGHT(Table3[[#This Row],[Sponsor_1_num]],8)," not found")),"")</f>
        <v/>
      </c>
      <c r="P169" t="str">
        <f>IF(LEN(J169)&lt;&gt;0,_xlfn.XLOOKUP(J169,[1]!Entities[ID_with_x],[1]!Entities[Name_w_County],_xlfn.CONCAT("Entity ID ",RIGHT(Table3[[#This Row],[Sponsor_1_num]],8)," not found")),"")</f>
        <v/>
      </c>
      <c r="Q169" t="str">
        <f>IF(LEN(K169)&gt;0,_xlfn.TEXTJOIN(", ",TRUE,K169:P169),Table3[[#This Row],[SPONSOR_LIST]])</f>
        <v xml:space="preserve"> Hurst</v>
      </c>
    </row>
    <row r="170" spans="1:17" x14ac:dyDescent="0.25">
      <c r="A170" s="304" t="s">
        <v>1779</v>
      </c>
      <c r="B170" t="s">
        <v>4368</v>
      </c>
      <c r="C170" t="str">
        <f t="shared" si="3"/>
        <v/>
      </c>
      <c r="D170" t="str">
        <f>SUBSTITUTE(SUBSTITUTE(Table3[[#This Row],[Sponsor_list_tranform]],",",",x")," ","")</f>
        <v/>
      </c>
      <c r="K170" t="str">
        <f>IF(LEN(E170)&lt;&gt;0,_xlfn.XLOOKUP(E170,[1]!Entities[ID_with_x],[1]!Entities[Name_w_County],_xlfn.CONCAT("Entity ID ",RIGHT(Table3[[#This Row],[Sponsor_1_num]],8)," not found")),"")</f>
        <v/>
      </c>
      <c r="L170" t="str">
        <f>IF(LEN(F170)&lt;&gt;0,_xlfn.XLOOKUP(F170,[1]!Entities[ID_with_x],[1]!Entities[Name_w_County],_xlfn.CONCAT("Entity ID ",RIGHT(Table3[[#This Row],[Sponsor_1_num]],8)," not found")),"")</f>
        <v/>
      </c>
      <c r="M170" t="str">
        <f>IF(LEN(G170)&lt;&gt;0,_xlfn.XLOOKUP(G170,[1]!Entities[ID_with_x],[1]!Entities[Name_w_County],_xlfn.CONCAT("Entity ID ",RIGHT(Table3[[#This Row],[Sponsor_1_num]],8)," not found")),"")</f>
        <v/>
      </c>
      <c r="N170" t="str">
        <f>IF(LEN(H170)&lt;&gt;0,_xlfn.XLOOKUP(H170,[1]!Entities[ID_with_x],[1]!Entities[Name_w_County],_xlfn.CONCAT("Entity ID ",RIGHT(Table3[[#This Row],[Sponsor_1_num]],8)," not found")),"")</f>
        <v/>
      </c>
      <c r="O170" t="str">
        <f>IF(LEN(I170)&lt;&gt;0,_xlfn.XLOOKUP(I170,[1]!Entities[ID_with_x],[1]!Entities[Name_w_County],_xlfn.CONCAT("Entity ID ",RIGHT(Table3[[#This Row],[Sponsor_1_num]],8)," not found")),"")</f>
        <v/>
      </c>
      <c r="P170" t="str">
        <f>IF(LEN(J170)&lt;&gt;0,_xlfn.XLOOKUP(J170,[1]!Entities[ID_with_x],[1]!Entities[Name_w_County],_xlfn.CONCAT("Entity ID ",RIGHT(Table3[[#This Row],[Sponsor_1_num]],8)," not found")),"")</f>
        <v/>
      </c>
      <c r="Q170" t="str">
        <f>IF(LEN(K170)&gt;0,_xlfn.TEXTJOIN(", ",TRUE,K170:P170),Table3[[#This Row],[SPONSOR_LIST]])</f>
        <v>Anderson County</v>
      </c>
    </row>
    <row r="171" spans="1:17" x14ac:dyDescent="0.25">
      <c r="A171" s="304" t="s">
        <v>1795</v>
      </c>
      <c r="B171" t="s">
        <v>4372</v>
      </c>
      <c r="C171" t="str">
        <f t="shared" si="3"/>
        <v/>
      </c>
      <c r="D171" t="str">
        <f>SUBSTITUTE(SUBSTITUTE(Table3[[#This Row],[Sponsor_list_tranform]],",",",x")," ","")</f>
        <v/>
      </c>
      <c r="K171" t="str">
        <f>IF(LEN(E171)&lt;&gt;0,_xlfn.XLOOKUP(E171,[1]!Entities[ID_with_x],[1]!Entities[Name_w_County],_xlfn.CONCAT("Entity ID ",RIGHT(Table3[[#This Row],[Sponsor_1_num]],8)," not found")),"")</f>
        <v/>
      </c>
      <c r="L171" t="str">
        <f>IF(LEN(F171)&lt;&gt;0,_xlfn.XLOOKUP(F171,[1]!Entities[ID_with_x],[1]!Entities[Name_w_County],_xlfn.CONCAT("Entity ID ",RIGHT(Table3[[#This Row],[Sponsor_1_num]],8)," not found")),"")</f>
        <v/>
      </c>
      <c r="M171" t="str">
        <f>IF(LEN(G171)&lt;&gt;0,_xlfn.XLOOKUP(G171,[1]!Entities[ID_with_x],[1]!Entities[Name_w_County],_xlfn.CONCAT("Entity ID ",RIGHT(Table3[[#This Row],[Sponsor_1_num]],8)," not found")),"")</f>
        <v/>
      </c>
      <c r="N171" t="str">
        <f>IF(LEN(H171)&lt;&gt;0,_xlfn.XLOOKUP(H171,[1]!Entities[ID_with_x],[1]!Entities[Name_w_County],_xlfn.CONCAT("Entity ID ",RIGHT(Table3[[#This Row],[Sponsor_1_num]],8)," not found")),"")</f>
        <v/>
      </c>
      <c r="O171" t="str">
        <f>IF(LEN(I171)&lt;&gt;0,_xlfn.XLOOKUP(I171,[1]!Entities[ID_with_x],[1]!Entities[Name_w_County],_xlfn.CONCAT("Entity ID ",RIGHT(Table3[[#This Row],[Sponsor_1_num]],8)," not found")),"")</f>
        <v/>
      </c>
      <c r="P171" t="str">
        <f>IF(LEN(J171)&lt;&gt;0,_xlfn.XLOOKUP(J171,[1]!Entities[ID_with_x],[1]!Entities[Name_w_County],_xlfn.CONCAT("Entity ID ",RIGHT(Table3[[#This Row],[Sponsor_1_num]],8)," not found")),"")</f>
        <v/>
      </c>
      <c r="Q171" t="str">
        <f>IF(LEN(K171)&gt;0,_xlfn.TEXTJOIN(", ",TRUE,K171:P171),Table3[[#This Row],[SPONSOR_LIST]])</f>
        <v>Cooke County</v>
      </c>
    </row>
    <row r="172" spans="1:17" x14ac:dyDescent="0.25">
      <c r="A172" s="304" t="s">
        <v>2239</v>
      </c>
      <c r="B172" t="s">
        <v>4472</v>
      </c>
      <c r="C172" t="str">
        <f t="shared" si="3"/>
        <v/>
      </c>
      <c r="D172" t="str">
        <f>SUBSTITUTE(SUBSTITUTE(Table3[[#This Row],[Sponsor_list_tranform]],",",",x")," ","")</f>
        <v/>
      </c>
      <c r="K172" t="str">
        <f>IF(LEN(E172)&lt;&gt;0,_xlfn.XLOOKUP(E172,[1]!Entities[ID_with_x],[1]!Entities[Name_w_County],_xlfn.CONCAT("Entity ID ",RIGHT(Table3[[#This Row],[Sponsor_1_num]],8)," not found")),"")</f>
        <v/>
      </c>
      <c r="L172" t="str">
        <f>IF(LEN(F172)&lt;&gt;0,_xlfn.XLOOKUP(F172,[1]!Entities[ID_with_x],[1]!Entities[Name_w_County],_xlfn.CONCAT("Entity ID ",RIGHT(Table3[[#This Row],[Sponsor_1_num]],8)," not found")),"")</f>
        <v/>
      </c>
      <c r="M172" t="str">
        <f>IF(LEN(G172)&lt;&gt;0,_xlfn.XLOOKUP(G172,[1]!Entities[ID_with_x],[1]!Entities[Name_w_County],_xlfn.CONCAT("Entity ID ",RIGHT(Table3[[#This Row],[Sponsor_1_num]],8)," not found")),"")</f>
        <v/>
      </c>
      <c r="N172" t="str">
        <f>IF(LEN(H172)&lt;&gt;0,_xlfn.XLOOKUP(H172,[1]!Entities[ID_with_x],[1]!Entities[Name_w_County],_xlfn.CONCAT("Entity ID ",RIGHT(Table3[[#This Row],[Sponsor_1_num]],8)," not found")),"")</f>
        <v/>
      </c>
      <c r="O172" t="str">
        <f>IF(LEN(I172)&lt;&gt;0,_xlfn.XLOOKUP(I172,[1]!Entities[ID_with_x],[1]!Entities[Name_w_County],_xlfn.CONCAT("Entity ID ",RIGHT(Table3[[#This Row],[Sponsor_1_num]],8)," not found")),"")</f>
        <v/>
      </c>
      <c r="P172" t="str">
        <f>IF(LEN(J172)&lt;&gt;0,_xlfn.XLOOKUP(J172,[1]!Entities[ID_with_x],[1]!Entities[Name_w_County],_xlfn.CONCAT("Entity ID ",RIGHT(Table3[[#This Row],[Sponsor_1_num]],8)," not found")),"")</f>
        <v/>
      </c>
      <c r="Q172" t="str">
        <f>IF(LEN(K172)&gt;0,_xlfn.TEXTJOIN(", ",TRUE,K172:P172),Table3[[#This Row],[SPONSOR_LIST]])</f>
        <v>Glenn Heights, Seagoville, Wilmer</v>
      </c>
    </row>
    <row r="173" spans="1:17" x14ac:dyDescent="0.25">
      <c r="A173" s="304" t="s">
        <v>2244</v>
      </c>
      <c r="B173" t="s">
        <v>4474</v>
      </c>
      <c r="C173" t="str">
        <f t="shared" si="3"/>
        <v/>
      </c>
      <c r="D173" t="str">
        <f>SUBSTITUTE(SUBSTITUTE(Table3[[#This Row],[Sponsor_list_tranform]],",",",x")," ","")</f>
        <v/>
      </c>
      <c r="K173" t="str">
        <f>IF(LEN(E173)&lt;&gt;0,_xlfn.XLOOKUP(E173,[1]!Entities[ID_with_x],[1]!Entities[Name_w_County],_xlfn.CONCAT("Entity ID ",RIGHT(Table3[[#This Row],[Sponsor_1_num]],8)," not found")),"")</f>
        <v/>
      </c>
      <c r="L173" t="str">
        <f>IF(LEN(F173)&lt;&gt;0,_xlfn.XLOOKUP(F173,[1]!Entities[ID_with_x],[1]!Entities[Name_w_County],_xlfn.CONCAT("Entity ID ",RIGHT(Table3[[#This Row],[Sponsor_1_num]],8)," not found")),"")</f>
        <v/>
      </c>
      <c r="M173" t="str">
        <f>IF(LEN(G173)&lt;&gt;0,_xlfn.XLOOKUP(G173,[1]!Entities[ID_with_x],[1]!Entities[Name_w_County],_xlfn.CONCAT("Entity ID ",RIGHT(Table3[[#This Row],[Sponsor_1_num]],8)," not found")),"")</f>
        <v/>
      </c>
      <c r="N173" t="str">
        <f>IF(LEN(H173)&lt;&gt;0,_xlfn.XLOOKUP(H173,[1]!Entities[ID_with_x],[1]!Entities[Name_w_County],_xlfn.CONCAT("Entity ID ",RIGHT(Table3[[#This Row],[Sponsor_1_num]],8)," not found")),"")</f>
        <v/>
      </c>
      <c r="O173" t="str">
        <f>IF(LEN(I173)&lt;&gt;0,_xlfn.XLOOKUP(I173,[1]!Entities[ID_with_x],[1]!Entities[Name_w_County],_xlfn.CONCAT("Entity ID ",RIGHT(Table3[[#This Row],[Sponsor_1_num]],8)," not found")),"")</f>
        <v/>
      </c>
      <c r="P173" t="str">
        <f>IF(LEN(J173)&lt;&gt;0,_xlfn.XLOOKUP(J173,[1]!Entities[ID_with_x],[1]!Entities[Name_w_County],_xlfn.CONCAT("Entity ID ",RIGHT(Table3[[#This Row],[Sponsor_1_num]],8)," not found")),"")</f>
        <v/>
      </c>
      <c r="Q173" t="str">
        <f>IF(LEN(K173)&gt;0,_xlfn.TEXTJOIN(", ",TRUE,K173:P173),Table3[[#This Row],[SPONSOR_LIST]])</f>
        <v>Krum</v>
      </c>
    </row>
    <row r="174" spans="1:17" x14ac:dyDescent="0.25">
      <c r="A174" s="304" t="s">
        <v>2249</v>
      </c>
      <c r="B174" t="s">
        <v>1612</v>
      </c>
      <c r="C174" t="str">
        <f t="shared" si="3"/>
        <v/>
      </c>
      <c r="D174" t="str">
        <f>SUBSTITUTE(SUBSTITUTE(Table3[[#This Row],[Sponsor_list_tranform]],",",",x")," ","")</f>
        <v/>
      </c>
      <c r="K174" t="str">
        <f>IF(LEN(E174)&lt;&gt;0,_xlfn.XLOOKUP(E174,[1]!Entities[ID_with_x],[1]!Entities[Name_w_County],_xlfn.CONCAT("Entity ID ",RIGHT(Table3[[#This Row],[Sponsor_1_num]],8)," not found")),"")</f>
        <v/>
      </c>
      <c r="L174" t="str">
        <f>IF(LEN(F174)&lt;&gt;0,_xlfn.XLOOKUP(F174,[1]!Entities[ID_with_x],[1]!Entities[Name_w_County],_xlfn.CONCAT("Entity ID ",RIGHT(Table3[[#This Row],[Sponsor_1_num]],8)," not found")),"")</f>
        <v/>
      </c>
      <c r="M174" t="str">
        <f>IF(LEN(G174)&lt;&gt;0,_xlfn.XLOOKUP(G174,[1]!Entities[ID_with_x],[1]!Entities[Name_w_County],_xlfn.CONCAT("Entity ID ",RIGHT(Table3[[#This Row],[Sponsor_1_num]],8)," not found")),"")</f>
        <v/>
      </c>
      <c r="N174" t="str">
        <f>IF(LEN(H174)&lt;&gt;0,_xlfn.XLOOKUP(H174,[1]!Entities[ID_with_x],[1]!Entities[Name_w_County],_xlfn.CONCAT("Entity ID ",RIGHT(Table3[[#This Row],[Sponsor_1_num]],8)," not found")),"")</f>
        <v/>
      </c>
      <c r="O174" t="str">
        <f>IF(LEN(I174)&lt;&gt;0,_xlfn.XLOOKUP(I174,[1]!Entities[ID_with_x],[1]!Entities[Name_w_County],_xlfn.CONCAT("Entity ID ",RIGHT(Table3[[#This Row],[Sponsor_1_num]],8)," not found")),"")</f>
        <v/>
      </c>
      <c r="P174" t="str">
        <f>IF(LEN(J174)&lt;&gt;0,_xlfn.XLOOKUP(J174,[1]!Entities[ID_with_x],[1]!Entities[Name_w_County],_xlfn.CONCAT("Entity ID ",RIGHT(Table3[[#This Row],[Sponsor_1_num]],8)," not found")),"")</f>
        <v/>
      </c>
      <c r="Q174" t="str">
        <f>IF(LEN(K174)&gt;0,_xlfn.TEXTJOIN(", ",TRUE,K174:P174),Table3[[#This Row],[SPONSOR_LIST]])</f>
        <v>Fannin County</v>
      </c>
    </row>
    <row r="175" spans="1:17" x14ac:dyDescent="0.25">
      <c r="A175" s="304" t="s">
        <v>2254</v>
      </c>
      <c r="B175" t="s">
        <v>1612</v>
      </c>
      <c r="C175" t="str">
        <f t="shared" si="3"/>
        <v/>
      </c>
      <c r="D175" t="str">
        <f>SUBSTITUTE(SUBSTITUTE(Table3[[#This Row],[Sponsor_list_tranform]],",",",x")," ","")</f>
        <v/>
      </c>
      <c r="K175" t="str">
        <f>IF(LEN(E175)&lt;&gt;0,_xlfn.XLOOKUP(E175,[1]!Entities[ID_with_x],[1]!Entities[Name_w_County],_xlfn.CONCAT("Entity ID ",RIGHT(Table3[[#This Row],[Sponsor_1_num]],8)," not found")),"")</f>
        <v/>
      </c>
      <c r="L175" t="str">
        <f>IF(LEN(F175)&lt;&gt;0,_xlfn.XLOOKUP(F175,[1]!Entities[ID_with_x],[1]!Entities[Name_w_County],_xlfn.CONCAT("Entity ID ",RIGHT(Table3[[#This Row],[Sponsor_1_num]],8)," not found")),"")</f>
        <v/>
      </c>
      <c r="M175" t="str">
        <f>IF(LEN(G175)&lt;&gt;0,_xlfn.XLOOKUP(G175,[1]!Entities[ID_with_x],[1]!Entities[Name_w_County],_xlfn.CONCAT("Entity ID ",RIGHT(Table3[[#This Row],[Sponsor_1_num]],8)," not found")),"")</f>
        <v/>
      </c>
      <c r="N175" t="str">
        <f>IF(LEN(H175)&lt;&gt;0,_xlfn.XLOOKUP(H175,[1]!Entities[ID_with_x],[1]!Entities[Name_w_County],_xlfn.CONCAT("Entity ID ",RIGHT(Table3[[#This Row],[Sponsor_1_num]],8)," not found")),"")</f>
        <v/>
      </c>
      <c r="O175" t="str">
        <f>IF(LEN(I175)&lt;&gt;0,_xlfn.XLOOKUP(I175,[1]!Entities[ID_with_x],[1]!Entities[Name_w_County],_xlfn.CONCAT("Entity ID ",RIGHT(Table3[[#This Row],[Sponsor_1_num]],8)," not found")),"")</f>
        <v/>
      </c>
      <c r="P175" t="str">
        <f>IF(LEN(J175)&lt;&gt;0,_xlfn.XLOOKUP(J175,[1]!Entities[ID_with_x],[1]!Entities[Name_w_County],_xlfn.CONCAT("Entity ID ",RIGHT(Table3[[#This Row],[Sponsor_1_num]],8)," not found")),"")</f>
        <v/>
      </c>
      <c r="Q175" t="str">
        <f>IF(LEN(K175)&gt;0,_xlfn.TEXTJOIN(", ",TRUE,K175:P175),Table3[[#This Row],[SPONSOR_LIST]])</f>
        <v>Fannin County</v>
      </c>
    </row>
    <row r="176" spans="1:17" x14ac:dyDescent="0.25">
      <c r="A176" s="304" t="s">
        <v>2257</v>
      </c>
      <c r="B176" t="s">
        <v>1624</v>
      </c>
      <c r="C176" t="str">
        <f t="shared" si="3"/>
        <v/>
      </c>
      <c r="D176" t="str">
        <f>SUBSTITUTE(SUBSTITUTE(Table3[[#This Row],[Sponsor_list_tranform]],",",",x")," ","")</f>
        <v/>
      </c>
      <c r="K176" t="str">
        <f>IF(LEN(E176)&lt;&gt;0,_xlfn.XLOOKUP(E176,[1]!Entities[ID_with_x],[1]!Entities[Name_w_County],_xlfn.CONCAT("Entity ID ",RIGHT(Table3[[#This Row],[Sponsor_1_num]],8)," not found")),"")</f>
        <v/>
      </c>
      <c r="L176" t="str">
        <f>IF(LEN(F176)&lt;&gt;0,_xlfn.XLOOKUP(F176,[1]!Entities[ID_with_x],[1]!Entities[Name_w_County],_xlfn.CONCAT("Entity ID ",RIGHT(Table3[[#This Row],[Sponsor_1_num]],8)," not found")),"")</f>
        <v/>
      </c>
      <c r="M176" t="str">
        <f>IF(LEN(G176)&lt;&gt;0,_xlfn.XLOOKUP(G176,[1]!Entities[ID_with_x],[1]!Entities[Name_w_County],_xlfn.CONCAT("Entity ID ",RIGHT(Table3[[#This Row],[Sponsor_1_num]],8)," not found")),"")</f>
        <v/>
      </c>
      <c r="N176" t="str">
        <f>IF(LEN(H176)&lt;&gt;0,_xlfn.XLOOKUP(H176,[1]!Entities[ID_with_x],[1]!Entities[Name_w_County],_xlfn.CONCAT("Entity ID ",RIGHT(Table3[[#This Row],[Sponsor_1_num]],8)," not found")),"")</f>
        <v/>
      </c>
      <c r="O176" t="str">
        <f>IF(LEN(I176)&lt;&gt;0,_xlfn.XLOOKUP(I176,[1]!Entities[ID_with_x],[1]!Entities[Name_w_County],_xlfn.CONCAT("Entity ID ",RIGHT(Table3[[#This Row],[Sponsor_1_num]],8)," not found")),"")</f>
        <v/>
      </c>
      <c r="P176" t="str">
        <f>IF(LEN(J176)&lt;&gt;0,_xlfn.XLOOKUP(J176,[1]!Entities[ID_with_x],[1]!Entities[Name_w_County],_xlfn.CONCAT("Entity ID ",RIGHT(Table3[[#This Row],[Sponsor_1_num]],8)," not found")),"")</f>
        <v/>
      </c>
      <c r="Q176" t="str">
        <f>IF(LEN(K176)&gt;0,_xlfn.TEXTJOIN(", ",TRUE,K176:P176),Table3[[#This Row],[SPONSOR_LIST]])</f>
        <v>Grayson County</v>
      </c>
    </row>
    <row r="177" spans="1:17" x14ac:dyDescent="0.25">
      <c r="A177" s="304" t="s">
        <v>1951</v>
      </c>
      <c r="B177" t="s">
        <v>4399</v>
      </c>
      <c r="C177" t="str">
        <f t="shared" si="3"/>
        <v/>
      </c>
      <c r="D177" t="str">
        <f>SUBSTITUTE(SUBSTITUTE(Table3[[#This Row],[Sponsor_list_tranform]],",",",x")," ","")</f>
        <v/>
      </c>
      <c r="K177" t="str">
        <f>IF(LEN(E177)&lt;&gt;0,_xlfn.XLOOKUP(E177,[1]!Entities[ID_with_x],[1]!Entities[Name_w_County],_xlfn.CONCAT("Entity ID ",RIGHT(Table3[[#This Row],[Sponsor_1_num]],8)," not found")),"")</f>
        <v/>
      </c>
      <c r="L177" t="str">
        <f>IF(LEN(F177)&lt;&gt;0,_xlfn.XLOOKUP(F177,[1]!Entities[ID_with_x],[1]!Entities[Name_w_County],_xlfn.CONCAT("Entity ID ",RIGHT(Table3[[#This Row],[Sponsor_1_num]],8)," not found")),"")</f>
        <v/>
      </c>
      <c r="M177" t="str">
        <f>IF(LEN(G177)&lt;&gt;0,_xlfn.XLOOKUP(G177,[1]!Entities[ID_with_x],[1]!Entities[Name_w_County],_xlfn.CONCAT("Entity ID ",RIGHT(Table3[[#This Row],[Sponsor_1_num]],8)," not found")),"")</f>
        <v/>
      </c>
      <c r="N177" t="str">
        <f>IF(LEN(H177)&lt;&gt;0,_xlfn.XLOOKUP(H177,[1]!Entities[ID_with_x],[1]!Entities[Name_w_County],_xlfn.CONCAT("Entity ID ",RIGHT(Table3[[#This Row],[Sponsor_1_num]],8)," not found")),"")</f>
        <v/>
      </c>
      <c r="O177" t="str">
        <f>IF(LEN(I177)&lt;&gt;0,_xlfn.XLOOKUP(I177,[1]!Entities[ID_with_x],[1]!Entities[Name_w_County],_xlfn.CONCAT("Entity ID ",RIGHT(Table3[[#This Row],[Sponsor_1_num]],8)," not found")),"")</f>
        <v/>
      </c>
      <c r="P177" t="str">
        <f>IF(LEN(J177)&lt;&gt;0,_xlfn.XLOOKUP(J177,[1]!Entities[ID_with_x],[1]!Entities[Name_w_County],_xlfn.CONCAT("Entity ID ",RIGHT(Table3[[#This Row],[Sponsor_1_num]],8)," not found")),"")</f>
        <v/>
      </c>
      <c r="Q177" t="str">
        <f>IF(LEN(K177)&gt;0,_xlfn.TEXTJOIN(", ",TRUE,K177:P177),Table3[[#This Row],[SPONSOR_LIST]])</f>
        <v>Hill County</v>
      </c>
    </row>
    <row r="178" spans="1:17" x14ac:dyDescent="0.25">
      <c r="A178" s="304" t="s">
        <v>2260</v>
      </c>
      <c r="B178" t="s">
        <v>4433</v>
      </c>
      <c r="C178" t="str">
        <f t="shared" si="3"/>
        <v/>
      </c>
      <c r="D178" t="str">
        <f>SUBSTITUTE(SUBSTITUTE(Table3[[#This Row],[Sponsor_list_tranform]],",",",x")," ","")</f>
        <v/>
      </c>
      <c r="K178" t="str">
        <f>IF(LEN(E178)&lt;&gt;0,_xlfn.XLOOKUP(E178,[1]!Entities[ID_with_x],[1]!Entities[Name_w_County],_xlfn.CONCAT("Entity ID ",RIGHT(Table3[[#This Row],[Sponsor_1_num]],8)," not found")),"")</f>
        <v/>
      </c>
      <c r="L178" t="str">
        <f>IF(LEN(F178)&lt;&gt;0,_xlfn.XLOOKUP(F178,[1]!Entities[ID_with_x],[1]!Entities[Name_w_County],_xlfn.CONCAT("Entity ID ",RIGHT(Table3[[#This Row],[Sponsor_1_num]],8)," not found")),"")</f>
        <v/>
      </c>
      <c r="M178" t="str">
        <f>IF(LEN(G178)&lt;&gt;0,_xlfn.XLOOKUP(G178,[1]!Entities[ID_with_x],[1]!Entities[Name_w_County],_xlfn.CONCAT("Entity ID ",RIGHT(Table3[[#This Row],[Sponsor_1_num]],8)," not found")),"")</f>
        <v/>
      </c>
      <c r="N178" t="str">
        <f>IF(LEN(H178)&lt;&gt;0,_xlfn.XLOOKUP(H178,[1]!Entities[ID_with_x],[1]!Entities[Name_w_County],_xlfn.CONCAT("Entity ID ",RIGHT(Table3[[#This Row],[Sponsor_1_num]],8)," not found")),"")</f>
        <v/>
      </c>
      <c r="O178" t="str">
        <f>IF(LEN(I178)&lt;&gt;0,_xlfn.XLOOKUP(I178,[1]!Entities[ID_with_x],[1]!Entities[Name_w_County],_xlfn.CONCAT("Entity ID ",RIGHT(Table3[[#This Row],[Sponsor_1_num]],8)," not found")),"")</f>
        <v/>
      </c>
      <c r="P178" t="str">
        <f>IF(LEN(J178)&lt;&gt;0,_xlfn.XLOOKUP(J178,[1]!Entities[ID_with_x],[1]!Entities[Name_w_County],_xlfn.CONCAT("Entity ID ",RIGHT(Table3[[#This Row],[Sponsor_1_num]],8)," not found")),"")</f>
        <v/>
      </c>
      <c r="Q178" t="str">
        <f>IF(LEN(K178)&gt;0,_xlfn.TEXTJOIN(", ",TRUE,K178:P178),Table3[[#This Row],[SPONSOR_LIST]])</f>
        <v>Houston County</v>
      </c>
    </row>
    <row r="179" spans="1:17" x14ac:dyDescent="0.25">
      <c r="A179" s="304" t="s">
        <v>1833</v>
      </c>
      <c r="B179" t="s">
        <v>4379</v>
      </c>
      <c r="C179" t="str">
        <f t="shared" si="3"/>
        <v/>
      </c>
      <c r="D179" t="str">
        <f>SUBSTITUTE(SUBSTITUTE(Table3[[#This Row],[Sponsor_list_tranform]],",",",x")," ","")</f>
        <v/>
      </c>
      <c r="K179" t="str">
        <f>IF(LEN(E179)&lt;&gt;0,_xlfn.XLOOKUP(E179,[1]!Entities[ID_with_x],[1]!Entities[Name_w_County],_xlfn.CONCAT("Entity ID ",RIGHT(Table3[[#This Row],[Sponsor_1_num]],8)," not found")),"")</f>
        <v/>
      </c>
      <c r="L179" t="str">
        <f>IF(LEN(F179)&lt;&gt;0,_xlfn.XLOOKUP(F179,[1]!Entities[ID_with_x],[1]!Entities[Name_w_County],_xlfn.CONCAT("Entity ID ",RIGHT(Table3[[#This Row],[Sponsor_1_num]],8)," not found")),"")</f>
        <v/>
      </c>
      <c r="M179" t="str">
        <f>IF(LEN(G179)&lt;&gt;0,_xlfn.XLOOKUP(G179,[1]!Entities[ID_with_x],[1]!Entities[Name_w_County],_xlfn.CONCAT("Entity ID ",RIGHT(Table3[[#This Row],[Sponsor_1_num]],8)," not found")),"")</f>
        <v/>
      </c>
      <c r="N179" t="str">
        <f>IF(LEN(H179)&lt;&gt;0,_xlfn.XLOOKUP(H179,[1]!Entities[ID_with_x],[1]!Entities[Name_w_County],_xlfn.CONCAT("Entity ID ",RIGHT(Table3[[#This Row],[Sponsor_1_num]],8)," not found")),"")</f>
        <v/>
      </c>
      <c r="O179" t="str">
        <f>IF(LEN(I179)&lt;&gt;0,_xlfn.XLOOKUP(I179,[1]!Entities[ID_with_x],[1]!Entities[Name_w_County],_xlfn.CONCAT("Entity ID ",RIGHT(Table3[[#This Row],[Sponsor_1_num]],8)," not found")),"")</f>
        <v/>
      </c>
      <c r="P179" t="str">
        <f>IF(LEN(J179)&lt;&gt;0,_xlfn.XLOOKUP(J179,[1]!Entities[ID_with_x],[1]!Entities[Name_w_County],_xlfn.CONCAT("Entity ID ",RIGHT(Table3[[#This Row],[Sponsor_1_num]],8)," not found")),"")</f>
        <v/>
      </c>
      <c r="Q179" t="str">
        <f>IF(LEN(K179)&gt;0,_xlfn.TEXTJOIN(", ",TRUE,K179:P179),Table3[[#This Row],[SPONSOR_LIST]])</f>
        <v>Jack County</v>
      </c>
    </row>
    <row r="180" spans="1:17" x14ac:dyDescent="0.25">
      <c r="A180" s="304" t="s">
        <v>1840</v>
      </c>
      <c r="B180" t="s">
        <v>4381</v>
      </c>
      <c r="C180" t="str">
        <f t="shared" si="3"/>
        <v/>
      </c>
      <c r="D180" t="str">
        <f>SUBSTITUTE(SUBSTITUTE(Table3[[#This Row],[Sponsor_list_tranform]],",",",x")," ","")</f>
        <v/>
      </c>
      <c r="K180" t="str">
        <f>IF(LEN(E180)&lt;&gt;0,_xlfn.XLOOKUP(E180,[1]!Entities[ID_with_x],[1]!Entities[Name_w_County],_xlfn.CONCAT("Entity ID ",RIGHT(Table3[[#This Row],[Sponsor_1_num]],8)," not found")),"")</f>
        <v/>
      </c>
      <c r="L180" t="str">
        <f>IF(LEN(F180)&lt;&gt;0,_xlfn.XLOOKUP(F180,[1]!Entities[ID_with_x],[1]!Entities[Name_w_County],_xlfn.CONCAT("Entity ID ",RIGHT(Table3[[#This Row],[Sponsor_1_num]],8)," not found")),"")</f>
        <v/>
      </c>
      <c r="M180" t="str">
        <f>IF(LEN(G180)&lt;&gt;0,_xlfn.XLOOKUP(G180,[1]!Entities[ID_with_x],[1]!Entities[Name_w_County],_xlfn.CONCAT("Entity ID ",RIGHT(Table3[[#This Row],[Sponsor_1_num]],8)," not found")),"")</f>
        <v/>
      </c>
      <c r="N180" t="str">
        <f>IF(LEN(H180)&lt;&gt;0,_xlfn.XLOOKUP(H180,[1]!Entities[ID_with_x],[1]!Entities[Name_w_County],_xlfn.CONCAT("Entity ID ",RIGHT(Table3[[#This Row],[Sponsor_1_num]],8)," not found")),"")</f>
        <v/>
      </c>
      <c r="O180" t="str">
        <f>IF(LEN(I180)&lt;&gt;0,_xlfn.XLOOKUP(I180,[1]!Entities[ID_with_x],[1]!Entities[Name_w_County],_xlfn.CONCAT("Entity ID ",RIGHT(Table3[[#This Row],[Sponsor_1_num]],8)," not found")),"")</f>
        <v/>
      </c>
      <c r="P180" t="str">
        <f>IF(LEN(J180)&lt;&gt;0,_xlfn.XLOOKUP(J180,[1]!Entities[ID_with_x],[1]!Entities[Name_w_County],_xlfn.CONCAT("Entity ID ",RIGHT(Table3[[#This Row],[Sponsor_1_num]],8)," not found")),"")</f>
        <v/>
      </c>
      <c r="Q180" t="str">
        <f>IF(LEN(K180)&gt;0,_xlfn.TEXTJOIN(", ",TRUE,K180:P180),Table3[[#This Row],[SPONSOR_LIST]])</f>
        <v>Kaufman County</v>
      </c>
    </row>
    <row r="181" spans="1:17" x14ac:dyDescent="0.25">
      <c r="A181" s="304" t="s">
        <v>2263</v>
      </c>
      <c r="B181" t="s">
        <v>4450</v>
      </c>
      <c r="C181" t="str">
        <f t="shared" si="3"/>
        <v/>
      </c>
      <c r="D181" t="str">
        <f>SUBSTITUTE(SUBSTITUTE(Table3[[#This Row],[Sponsor_list_tranform]],",",",x")," ","")</f>
        <v/>
      </c>
      <c r="K181" t="str">
        <f>IF(LEN(E181)&lt;&gt;0,_xlfn.XLOOKUP(E181,[1]!Entities[ID_with_x],[1]!Entities[Name_w_County],_xlfn.CONCAT("Entity ID ",RIGHT(Table3[[#This Row],[Sponsor_1_num]],8)," not found")),"")</f>
        <v/>
      </c>
      <c r="L181" t="str">
        <f>IF(LEN(F181)&lt;&gt;0,_xlfn.XLOOKUP(F181,[1]!Entities[ID_with_x],[1]!Entities[Name_w_County],_xlfn.CONCAT("Entity ID ",RIGHT(Table3[[#This Row],[Sponsor_1_num]],8)," not found")),"")</f>
        <v/>
      </c>
      <c r="M181" t="str">
        <f>IF(LEN(G181)&lt;&gt;0,_xlfn.XLOOKUP(G181,[1]!Entities[ID_with_x],[1]!Entities[Name_w_County],_xlfn.CONCAT("Entity ID ",RIGHT(Table3[[#This Row],[Sponsor_1_num]],8)," not found")),"")</f>
        <v/>
      </c>
      <c r="N181" t="str">
        <f>IF(LEN(H181)&lt;&gt;0,_xlfn.XLOOKUP(H181,[1]!Entities[ID_with_x],[1]!Entities[Name_w_County],_xlfn.CONCAT("Entity ID ",RIGHT(Table3[[#This Row],[Sponsor_1_num]],8)," not found")),"")</f>
        <v/>
      </c>
      <c r="O181" t="str">
        <f>IF(LEN(I181)&lt;&gt;0,_xlfn.XLOOKUP(I181,[1]!Entities[ID_with_x],[1]!Entities[Name_w_County],_xlfn.CONCAT("Entity ID ",RIGHT(Table3[[#This Row],[Sponsor_1_num]],8)," not found")),"")</f>
        <v/>
      </c>
      <c r="P181" t="str">
        <f>IF(LEN(J181)&lt;&gt;0,_xlfn.XLOOKUP(J181,[1]!Entities[ID_with_x],[1]!Entities[Name_w_County],_xlfn.CONCAT("Entity ID ",RIGHT(Table3[[#This Row],[Sponsor_1_num]],8)," not found")),"")</f>
        <v/>
      </c>
      <c r="Q181" t="str">
        <f>IF(LEN(K181)&gt;0,_xlfn.TEXTJOIN(", ",TRUE,K181:P181),Table3[[#This Row],[SPONSOR_LIST]])</f>
        <v>Montague County</v>
      </c>
    </row>
    <row r="182" spans="1:17" x14ac:dyDescent="0.25">
      <c r="A182" s="304" t="s">
        <v>2021</v>
      </c>
      <c r="B182" t="s">
        <v>4424</v>
      </c>
      <c r="C182" t="str">
        <f t="shared" si="3"/>
        <v/>
      </c>
      <c r="D182" t="str">
        <f>SUBSTITUTE(SUBSTITUTE(Table3[[#This Row],[Sponsor_list_tranform]],",",",x")," ","")</f>
        <v/>
      </c>
      <c r="K182" t="str">
        <f>IF(LEN(E182)&lt;&gt;0,_xlfn.XLOOKUP(E182,[1]!Entities[ID_with_x],[1]!Entities[Name_w_County],_xlfn.CONCAT("Entity ID ",RIGHT(Table3[[#This Row],[Sponsor_1_num]],8)," not found")),"")</f>
        <v/>
      </c>
      <c r="L182" t="str">
        <f>IF(LEN(F182)&lt;&gt;0,_xlfn.XLOOKUP(F182,[1]!Entities[ID_with_x],[1]!Entities[Name_w_County],_xlfn.CONCAT("Entity ID ",RIGHT(Table3[[#This Row],[Sponsor_1_num]],8)," not found")),"")</f>
        <v/>
      </c>
      <c r="M182" t="str">
        <f>IF(LEN(G182)&lt;&gt;0,_xlfn.XLOOKUP(G182,[1]!Entities[ID_with_x],[1]!Entities[Name_w_County],_xlfn.CONCAT("Entity ID ",RIGHT(Table3[[#This Row],[Sponsor_1_num]],8)," not found")),"")</f>
        <v/>
      </c>
      <c r="N182" t="str">
        <f>IF(LEN(H182)&lt;&gt;0,_xlfn.XLOOKUP(H182,[1]!Entities[ID_with_x],[1]!Entities[Name_w_County],_xlfn.CONCAT("Entity ID ",RIGHT(Table3[[#This Row],[Sponsor_1_num]],8)," not found")),"")</f>
        <v/>
      </c>
      <c r="O182" t="str">
        <f>IF(LEN(I182)&lt;&gt;0,_xlfn.XLOOKUP(I182,[1]!Entities[ID_with_x],[1]!Entities[Name_w_County],_xlfn.CONCAT("Entity ID ",RIGHT(Table3[[#This Row],[Sponsor_1_num]],8)," not found")),"")</f>
        <v/>
      </c>
      <c r="P182" t="str">
        <f>IF(LEN(J182)&lt;&gt;0,_xlfn.XLOOKUP(J182,[1]!Entities[ID_with_x],[1]!Entities[Name_w_County],_xlfn.CONCAT("Entity ID ",RIGHT(Table3[[#This Row],[Sponsor_1_num]],8)," not found")),"")</f>
        <v/>
      </c>
      <c r="Q182" t="str">
        <f>IF(LEN(K182)&gt;0,_xlfn.TEXTJOIN(", ",TRUE,K182:P182),Table3[[#This Row],[SPONSOR_LIST]])</f>
        <v>Weatherford, Hudson Oaks, Aledo, Parker County</v>
      </c>
    </row>
    <row r="183" spans="1:17" x14ac:dyDescent="0.25">
      <c r="A183" s="304" t="s">
        <v>2266</v>
      </c>
      <c r="B183" t="s">
        <v>4476</v>
      </c>
      <c r="C183" t="str">
        <f t="shared" si="3"/>
        <v/>
      </c>
      <c r="D183" t="str">
        <f>SUBSTITUTE(SUBSTITUTE(Table3[[#This Row],[Sponsor_list_tranform]],",",",x")," ","")</f>
        <v/>
      </c>
      <c r="K183" t="str">
        <f>IF(LEN(E183)&lt;&gt;0,_xlfn.XLOOKUP(E183,[1]!Entities[ID_with_x],[1]!Entities[Name_w_County],_xlfn.CONCAT("Entity ID ",RIGHT(Table3[[#This Row],[Sponsor_1_num]],8)," not found")),"")</f>
        <v/>
      </c>
      <c r="L183" t="str">
        <f>IF(LEN(F183)&lt;&gt;0,_xlfn.XLOOKUP(F183,[1]!Entities[ID_with_x],[1]!Entities[Name_w_County],_xlfn.CONCAT("Entity ID ",RIGHT(Table3[[#This Row],[Sponsor_1_num]],8)," not found")),"")</f>
        <v/>
      </c>
      <c r="M183" t="str">
        <f>IF(LEN(G183)&lt;&gt;0,_xlfn.XLOOKUP(G183,[1]!Entities[ID_with_x],[1]!Entities[Name_w_County],_xlfn.CONCAT("Entity ID ",RIGHT(Table3[[#This Row],[Sponsor_1_num]],8)," not found")),"")</f>
        <v/>
      </c>
      <c r="N183" t="str">
        <f>IF(LEN(H183)&lt;&gt;0,_xlfn.XLOOKUP(H183,[1]!Entities[ID_with_x],[1]!Entities[Name_w_County],_xlfn.CONCAT("Entity ID ",RIGHT(Table3[[#This Row],[Sponsor_1_num]],8)," not found")),"")</f>
        <v/>
      </c>
      <c r="O183" t="str">
        <f>IF(LEN(I183)&lt;&gt;0,_xlfn.XLOOKUP(I183,[1]!Entities[ID_with_x],[1]!Entities[Name_w_County],_xlfn.CONCAT("Entity ID ",RIGHT(Table3[[#This Row],[Sponsor_1_num]],8)," not found")),"")</f>
        <v/>
      </c>
      <c r="P183" t="str">
        <f>IF(LEN(J183)&lt;&gt;0,_xlfn.XLOOKUP(J183,[1]!Entities[ID_with_x],[1]!Entities[Name_w_County],_xlfn.CONCAT("Entity ID ",RIGHT(Table3[[#This Row],[Sponsor_1_num]],8)," not found")),"")</f>
        <v/>
      </c>
      <c r="Q183" t="str">
        <f>IF(LEN(K183)&gt;0,_xlfn.TEXTJOIN(", ",TRUE,K183:P183),Table3[[#This Row],[SPONSOR_LIST]])</f>
        <v>Livingston</v>
      </c>
    </row>
    <row r="184" spans="1:17" x14ac:dyDescent="0.25">
      <c r="A184" s="304" t="s">
        <v>1943</v>
      </c>
      <c r="B184" t="s">
        <v>4405</v>
      </c>
      <c r="C184" t="str">
        <f t="shared" si="3"/>
        <v/>
      </c>
      <c r="D184" t="str">
        <f>SUBSTITUTE(SUBSTITUTE(Table3[[#This Row],[Sponsor_list_tranform]],",",",x")," ","")</f>
        <v/>
      </c>
      <c r="K184" t="str">
        <f>IF(LEN(E184)&lt;&gt;0,_xlfn.XLOOKUP(E184,[1]!Entities[ID_with_x],[1]!Entities[Name_w_County],_xlfn.CONCAT("Entity ID ",RIGHT(Table3[[#This Row],[Sponsor_1_num]],8)," not found")),"")</f>
        <v/>
      </c>
      <c r="L184" t="str">
        <f>IF(LEN(F184)&lt;&gt;0,_xlfn.XLOOKUP(F184,[1]!Entities[ID_with_x],[1]!Entities[Name_w_County],_xlfn.CONCAT("Entity ID ",RIGHT(Table3[[#This Row],[Sponsor_1_num]],8)," not found")),"")</f>
        <v/>
      </c>
      <c r="M184" t="str">
        <f>IF(LEN(G184)&lt;&gt;0,_xlfn.XLOOKUP(G184,[1]!Entities[ID_with_x],[1]!Entities[Name_w_County],_xlfn.CONCAT("Entity ID ",RIGHT(Table3[[#This Row],[Sponsor_1_num]],8)," not found")),"")</f>
        <v/>
      </c>
      <c r="N184" t="str">
        <f>IF(LEN(H184)&lt;&gt;0,_xlfn.XLOOKUP(H184,[1]!Entities[ID_with_x],[1]!Entities[Name_w_County],_xlfn.CONCAT("Entity ID ",RIGHT(Table3[[#This Row],[Sponsor_1_num]],8)," not found")),"")</f>
        <v/>
      </c>
      <c r="O184" t="str">
        <f>IF(LEN(I184)&lt;&gt;0,_xlfn.XLOOKUP(I184,[1]!Entities[ID_with_x],[1]!Entities[Name_w_County],_xlfn.CONCAT("Entity ID ",RIGHT(Table3[[#This Row],[Sponsor_1_num]],8)," not found")),"")</f>
        <v/>
      </c>
      <c r="P184" t="str">
        <f>IF(LEN(J184)&lt;&gt;0,_xlfn.XLOOKUP(J184,[1]!Entities[ID_with_x],[1]!Entities[Name_w_County],_xlfn.CONCAT("Entity ID ",RIGHT(Table3[[#This Row],[Sponsor_1_num]],8)," not found")),"")</f>
        <v/>
      </c>
      <c r="Q184" t="str">
        <f>IF(LEN(K184)&gt;0,_xlfn.TEXTJOIN(", ",TRUE,K184:P184),Table3[[#This Row],[SPONSOR_LIST]])</f>
        <v>River Oaks</v>
      </c>
    </row>
    <row r="185" spans="1:17" x14ac:dyDescent="0.25">
      <c r="A185" s="304" t="s">
        <v>1931</v>
      </c>
      <c r="B185" t="s">
        <v>4402</v>
      </c>
      <c r="C185" t="str">
        <f t="shared" si="3"/>
        <v/>
      </c>
      <c r="D185" t="str">
        <f>SUBSTITUTE(SUBSTITUTE(Table3[[#This Row],[Sponsor_list_tranform]],",",",x")," ","")</f>
        <v/>
      </c>
      <c r="K185" t="str">
        <f>IF(LEN(E185)&lt;&gt;0,_xlfn.XLOOKUP(E185,[1]!Entities[ID_with_x],[1]!Entities[Name_w_County],_xlfn.CONCAT("Entity ID ",RIGHT(Table3[[#This Row],[Sponsor_1_num]],8)," not found")),"")</f>
        <v/>
      </c>
      <c r="L185" t="str">
        <f>IF(LEN(F185)&lt;&gt;0,_xlfn.XLOOKUP(F185,[1]!Entities[ID_with_x],[1]!Entities[Name_w_County],_xlfn.CONCAT("Entity ID ",RIGHT(Table3[[#This Row],[Sponsor_1_num]],8)," not found")),"")</f>
        <v/>
      </c>
      <c r="M185" t="str">
        <f>IF(LEN(G185)&lt;&gt;0,_xlfn.XLOOKUP(G185,[1]!Entities[ID_with_x],[1]!Entities[Name_w_County],_xlfn.CONCAT("Entity ID ",RIGHT(Table3[[#This Row],[Sponsor_1_num]],8)," not found")),"")</f>
        <v/>
      </c>
      <c r="N185" t="str">
        <f>IF(LEN(H185)&lt;&gt;0,_xlfn.XLOOKUP(H185,[1]!Entities[ID_with_x],[1]!Entities[Name_w_County],_xlfn.CONCAT("Entity ID ",RIGHT(Table3[[#This Row],[Sponsor_1_num]],8)," not found")),"")</f>
        <v/>
      </c>
      <c r="O185" t="str">
        <f>IF(LEN(I185)&lt;&gt;0,_xlfn.XLOOKUP(I185,[1]!Entities[ID_with_x],[1]!Entities[Name_w_County],_xlfn.CONCAT("Entity ID ",RIGHT(Table3[[#This Row],[Sponsor_1_num]],8)," not found")),"")</f>
        <v/>
      </c>
      <c r="P185" t="str">
        <f>IF(LEN(J185)&lt;&gt;0,_xlfn.XLOOKUP(J185,[1]!Entities[ID_with_x],[1]!Entities[Name_w_County],_xlfn.CONCAT("Entity ID ",RIGHT(Table3[[#This Row],[Sponsor_1_num]],8)," not found")),"")</f>
        <v/>
      </c>
      <c r="Q185" t="str">
        <f>IF(LEN(K185)&gt;0,_xlfn.TEXTJOIN(", ",TRUE,K185:P185),Table3[[#This Row],[SPONSOR_LIST]])</f>
        <v xml:space="preserve">Tarrant County </v>
      </c>
    </row>
    <row r="186" spans="1:17" x14ac:dyDescent="0.25">
      <c r="A186" s="304" t="s">
        <v>2488</v>
      </c>
      <c r="B186" t="s">
        <v>4532</v>
      </c>
      <c r="C186" t="str">
        <f t="shared" si="3"/>
        <v/>
      </c>
      <c r="D186" t="str">
        <f>SUBSTITUTE(SUBSTITUTE(Table3[[#This Row],[Sponsor_list_tranform]],",",",x")," ","")</f>
        <v/>
      </c>
      <c r="K186" t="str">
        <f>IF(LEN(E186)&lt;&gt;0,_xlfn.XLOOKUP(E186,[1]!Entities[ID_with_x],[1]!Entities[Name_w_County],_xlfn.CONCAT("Entity ID ",RIGHT(Table3[[#This Row],[Sponsor_1_num]],8)," not found")),"")</f>
        <v/>
      </c>
      <c r="L186" t="str">
        <f>IF(LEN(F186)&lt;&gt;0,_xlfn.XLOOKUP(F186,[1]!Entities[ID_with_x],[1]!Entities[Name_w_County],_xlfn.CONCAT("Entity ID ",RIGHT(Table3[[#This Row],[Sponsor_1_num]],8)," not found")),"")</f>
        <v/>
      </c>
      <c r="M186" t="str">
        <f>IF(LEN(G186)&lt;&gt;0,_xlfn.XLOOKUP(G186,[1]!Entities[ID_with_x],[1]!Entities[Name_w_County],_xlfn.CONCAT("Entity ID ",RIGHT(Table3[[#This Row],[Sponsor_1_num]],8)," not found")),"")</f>
        <v/>
      </c>
      <c r="N186" t="str">
        <f>IF(LEN(H186)&lt;&gt;0,_xlfn.XLOOKUP(H186,[1]!Entities[ID_with_x],[1]!Entities[Name_w_County],_xlfn.CONCAT("Entity ID ",RIGHT(Table3[[#This Row],[Sponsor_1_num]],8)," not found")),"")</f>
        <v/>
      </c>
      <c r="O186" t="str">
        <f>IF(LEN(I186)&lt;&gt;0,_xlfn.XLOOKUP(I186,[1]!Entities[ID_with_x],[1]!Entities[Name_w_County],_xlfn.CONCAT("Entity ID ",RIGHT(Table3[[#This Row],[Sponsor_1_num]],8)," not found")),"")</f>
        <v/>
      </c>
      <c r="P186" t="str">
        <f>IF(LEN(J186)&lt;&gt;0,_xlfn.XLOOKUP(J186,[1]!Entities[ID_with_x],[1]!Entities[Name_w_County],_xlfn.CONCAT("Entity ID ",RIGHT(Table3[[#This Row],[Sponsor_1_num]],8)," not found")),"")</f>
        <v/>
      </c>
      <c r="Q186" t="str">
        <f>IF(LEN(K186)&gt;0,_xlfn.TEXTJOIN(", ",TRUE,K186:P186),Table3[[#This Row],[SPONSOR_LIST]])</f>
        <v>Van Zandt County</v>
      </c>
    </row>
    <row r="187" spans="1:17" x14ac:dyDescent="0.25">
      <c r="A187" s="304" t="s">
        <v>1936</v>
      </c>
      <c r="B187" t="s">
        <v>4404</v>
      </c>
      <c r="C187" t="str">
        <f t="shared" si="3"/>
        <v/>
      </c>
      <c r="D187" t="str">
        <f>SUBSTITUTE(SUBSTITUTE(Table3[[#This Row],[Sponsor_list_tranform]],",",",x")," ","")</f>
        <v/>
      </c>
      <c r="K187" t="str">
        <f>IF(LEN(E187)&lt;&gt;0,_xlfn.XLOOKUP(E187,[1]!Entities[ID_with_x],[1]!Entities[Name_w_County],_xlfn.CONCAT("Entity ID ",RIGHT(Table3[[#This Row],[Sponsor_1_num]],8)," not found")),"")</f>
        <v/>
      </c>
      <c r="L187" t="str">
        <f>IF(LEN(F187)&lt;&gt;0,_xlfn.XLOOKUP(F187,[1]!Entities[ID_with_x],[1]!Entities[Name_w_County],_xlfn.CONCAT("Entity ID ",RIGHT(Table3[[#This Row],[Sponsor_1_num]],8)," not found")),"")</f>
        <v/>
      </c>
      <c r="M187" t="str">
        <f>IF(LEN(G187)&lt;&gt;0,_xlfn.XLOOKUP(G187,[1]!Entities[ID_with_x],[1]!Entities[Name_w_County],_xlfn.CONCAT("Entity ID ",RIGHT(Table3[[#This Row],[Sponsor_1_num]],8)," not found")),"")</f>
        <v/>
      </c>
      <c r="N187" t="str">
        <f>IF(LEN(H187)&lt;&gt;0,_xlfn.XLOOKUP(H187,[1]!Entities[ID_with_x],[1]!Entities[Name_w_County],_xlfn.CONCAT("Entity ID ",RIGHT(Table3[[#This Row],[Sponsor_1_num]],8)," not found")),"")</f>
        <v/>
      </c>
      <c r="O187" t="str">
        <f>IF(LEN(I187)&lt;&gt;0,_xlfn.XLOOKUP(I187,[1]!Entities[ID_with_x],[1]!Entities[Name_w_County],_xlfn.CONCAT("Entity ID ",RIGHT(Table3[[#This Row],[Sponsor_1_num]],8)," not found")),"")</f>
        <v/>
      </c>
      <c r="P187" t="str">
        <f>IF(LEN(J187)&lt;&gt;0,_xlfn.XLOOKUP(J187,[1]!Entities[ID_with_x],[1]!Entities[Name_w_County],_xlfn.CONCAT("Entity ID ",RIGHT(Table3[[#This Row],[Sponsor_1_num]],8)," not found")),"")</f>
        <v/>
      </c>
      <c r="Q187" t="str">
        <f>IF(LEN(K187)&gt;0,_xlfn.TEXTJOIN(", ",TRUE,K187:P187),Table3[[#This Row],[SPONSOR_LIST]])</f>
        <v>Walker County</v>
      </c>
    </row>
    <row r="188" spans="1:17" x14ac:dyDescent="0.25">
      <c r="A188" s="304" t="s">
        <v>2273</v>
      </c>
      <c r="B188" t="s">
        <v>4468</v>
      </c>
      <c r="C188" t="str">
        <f t="shared" si="3"/>
        <v/>
      </c>
      <c r="D188" t="str">
        <f>SUBSTITUTE(SUBSTITUTE(Table3[[#This Row],[Sponsor_list_tranform]],",",",x")," ","")</f>
        <v/>
      </c>
      <c r="K188" t="str">
        <f>IF(LEN(E188)&lt;&gt;0,_xlfn.XLOOKUP(E188,[1]!Entities[ID_with_x],[1]!Entities[Name_w_County],_xlfn.CONCAT("Entity ID ",RIGHT(Table3[[#This Row],[Sponsor_1_num]],8)," not found")),"")</f>
        <v/>
      </c>
      <c r="L188" t="str">
        <f>IF(LEN(F188)&lt;&gt;0,_xlfn.XLOOKUP(F188,[1]!Entities[ID_with_x],[1]!Entities[Name_w_County],_xlfn.CONCAT("Entity ID ",RIGHT(Table3[[#This Row],[Sponsor_1_num]],8)," not found")),"")</f>
        <v/>
      </c>
      <c r="M188" t="str">
        <f>IF(LEN(G188)&lt;&gt;0,_xlfn.XLOOKUP(G188,[1]!Entities[ID_with_x],[1]!Entities[Name_w_County],_xlfn.CONCAT("Entity ID ",RIGHT(Table3[[#This Row],[Sponsor_1_num]],8)," not found")),"")</f>
        <v/>
      </c>
      <c r="N188" t="str">
        <f>IF(LEN(H188)&lt;&gt;0,_xlfn.XLOOKUP(H188,[1]!Entities[ID_with_x],[1]!Entities[Name_w_County],_xlfn.CONCAT("Entity ID ",RIGHT(Table3[[#This Row],[Sponsor_1_num]],8)," not found")),"")</f>
        <v/>
      </c>
      <c r="O188" t="str">
        <f>IF(LEN(I188)&lt;&gt;0,_xlfn.XLOOKUP(I188,[1]!Entities[ID_with_x],[1]!Entities[Name_w_County],_xlfn.CONCAT("Entity ID ",RIGHT(Table3[[#This Row],[Sponsor_1_num]],8)," not found")),"")</f>
        <v/>
      </c>
      <c r="P188" t="str">
        <f>IF(LEN(J188)&lt;&gt;0,_xlfn.XLOOKUP(J188,[1]!Entities[ID_with_x],[1]!Entities[Name_w_County],_xlfn.CONCAT("Entity ID ",RIGHT(Table3[[#This Row],[Sponsor_1_num]],8)," not found")),"")</f>
        <v/>
      </c>
      <c r="Q188" t="str">
        <f>IF(LEN(K188)&gt;0,_xlfn.TEXTJOIN(", ",TRUE,K188:P188),Table3[[#This Row],[SPONSOR_LIST]])</f>
        <v>Chico</v>
      </c>
    </row>
    <row r="189" spans="1:17" x14ac:dyDescent="0.25">
      <c r="A189" s="304" t="s">
        <v>1819</v>
      </c>
      <c r="B189" t="s">
        <v>4375</v>
      </c>
      <c r="C189" t="str">
        <f t="shared" si="3"/>
        <v/>
      </c>
      <c r="D189" t="str">
        <f>SUBSTITUTE(SUBSTITUTE(Table3[[#This Row],[Sponsor_list_tranform]],",",",x")," ","")</f>
        <v/>
      </c>
      <c r="K189" t="str">
        <f>IF(LEN(E189)&lt;&gt;0,_xlfn.XLOOKUP(E189,[1]!Entities[ID_with_x],[1]!Entities[Name_w_County],_xlfn.CONCAT("Entity ID ",RIGHT(Table3[[#This Row],[Sponsor_1_num]],8)," not found")),"")</f>
        <v/>
      </c>
      <c r="L189" t="str">
        <f>IF(LEN(F189)&lt;&gt;0,_xlfn.XLOOKUP(F189,[1]!Entities[ID_with_x],[1]!Entities[Name_w_County],_xlfn.CONCAT("Entity ID ",RIGHT(Table3[[#This Row],[Sponsor_1_num]],8)," not found")),"")</f>
        <v/>
      </c>
      <c r="M189" t="str">
        <f>IF(LEN(G189)&lt;&gt;0,_xlfn.XLOOKUP(G189,[1]!Entities[ID_with_x],[1]!Entities[Name_w_County],_xlfn.CONCAT("Entity ID ",RIGHT(Table3[[#This Row],[Sponsor_1_num]],8)," not found")),"")</f>
        <v/>
      </c>
      <c r="N189" t="str">
        <f>IF(LEN(H189)&lt;&gt;0,_xlfn.XLOOKUP(H189,[1]!Entities[ID_with_x],[1]!Entities[Name_w_County],_xlfn.CONCAT("Entity ID ",RIGHT(Table3[[#This Row],[Sponsor_1_num]],8)," not found")),"")</f>
        <v/>
      </c>
      <c r="O189" t="str">
        <f>IF(LEN(I189)&lt;&gt;0,_xlfn.XLOOKUP(I189,[1]!Entities[ID_with_x],[1]!Entities[Name_w_County],_xlfn.CONCAT("Entity ID ",RIGHT(Table3[[#This Row],[Sponsor_1_num]],8)," not found")),"")</f>
        <v/>
      </c>
      <c r="P189" t="str">
        <f>IF(LEN(J189)&lt;&gt;0,_xlfn.XLOOKUP(J189,[1]!Entities[ID_with_x],[1]!Entities[Name_w_County],_xlfn.CONCAT("Entity ID ",RIGHT(Table3[[#This Row],[Sponsor_1_num]],8)," not found")),"")</f>
        <v/>
      </c>
      <c r="Q189" t="str">
        <f>IF(LEN(K189)&gt;0,_xlfn.TEXTJOIN(", ",TRUE,K189:P189),Table3[[#This Row],[SPONSOR_LIST]])</f>
        <v>Dallas County</v>
      </c>
    </row>
    <row r="190" spans="1:17" x14ac:dyDescent="0.25">
      <c r="A190" s="304" t="s">
        <v>2028</v>
      </c>
      <c r="B190" t="s">
        <v>4425</v>
      </c>
      <c r="C190" t="str">
        <f t="shared" si="3"/>
        <v/>
      </c>
      <c r="D190" t="str">
        <f>SUBSTITUTE(SUBSTITUTE(Table3[[#This Row],[Sponsor_list_tranform]],",",",x")," ","")</f>
        <v/>
      </c>
      <c r="K190" t="str">
        <f>IF(LEN(E190)&lt;&gt;0,_xlfn.XLOOKUP(E190,[1]!Entities[ID_with_x],[1]!Entities[Name_w_County],_xlfn.CONCAT("Entity ID ",RIGHT(Table3[[#This Row],[Sponsor_1_num]],8)," not found")),"")</f>
        <v/>
      </c>
      <c r="L190" t="str">
        <f>IF(LEN(F190)&lt;&gt;0,_xlfn.XLOOKUP(F190,[1]!Entities[ID_with_x],[1]!Entities[Name_w_County],_xlfn.CONCAT("Entity ID ",RIGHT(Table3[[#This Row],[Sponsor_1_num]],8)," not found")),"")</f>
        <v/>
      </c>
      <c r="M190" t="str">
        <f>IF(LEN(G190)&lt;&gt;0,_xlfn.XLOOKUP(G190,[1]!Entities[ID_with_x],[1]!Entities[Name_w_County],_xlfn.CONCAT("Entity ID ",RIGHT(Table3[[#This Row],[Sponsor_1_num]],8)," not found")),"")</f>
        <v/>
      </c>
      <c r="N190" t="str">
        <f>IF(LEN(H190)&lt;&gt;0,_xlfn.XLOOKUP(H190,[1]!Entities[ID_with_x],[1]!Entities[Name_w_County],_xlfn.CONCAT("Entity ID ",RIGHT(Table3[[#This Row],[Sponsor_1_num]],8)," not found")),"")</f>
        <v/>
      </c>
      <c r="O190" t="str">
        <f>IF(LEN(I190)&lt;&gt;0,_xlfn.XLOOKUP(I190,[1]!Entities[ID_with_x],[1]!Entities[Name_w_County],_xlfn.CONCAT("Entity ID ",RIGHT(Table3[[#This Row],[Sponsor_1_num]],8)," not found")),"")</f>
        <v/>
      </c>
      <c r="P190" t="str">
        <f>IF(LEN(J190)&lt;&gt;0,_xlfn.XLOOKUP(J190,[1]!Entities[ID_with_x],[1]!Entities[Name_w_County],_xlfn.CONCAT("Entity ID ",RIGHT(Table3[[#This Row],[Sponsor_1_num]],8)," not found")),"")</f>
        <v/>
      </c>
      <c r="Q190" t="str">
        <f>IF(LEN(K190)&gt;0,_xlfn.TEXTJOIN(", ",TRUE,K190:P190),Table3[[#This Row],[SPONSOR_LIST]])</f>
        <v>Parker County, Hudson Oaks</v>
      </c>
    </row>
    <row r="191" spans="1:17" x14ac:dyDescent="0.25">
      <c r="A191" s="304" t="s">
        <v>2276</v>
      </c>
      <c r="B191" t="s">
        <v>4478</v>
      </c>
      <c r="C191" t="str">
        <f t="shared" si="3"/>
        <v/>
      </c>
      <c r="D191" t="str">
        <f>SUBSTITUTE(SUBSTITUTE(Table3[[#This Row],[Sponsor_list_tranform]],",",",x")," ","")</f>
        <v/>
      </c>
      <c r="K191" t="str">
        <f>IF(LEN(E191)&lt;&gt;0,_xlfn.XLOOKUP(E191,[1]!Entities[ID_with_x],[1]!Entities[Name_w_County],_xlfn.CONCAT("Entity ID ",RIGHT(Table3[[#This Row],[Sponsor_1_num]],8)," not found")),"")</f>
        <v/>
      </c>
      <c r="L191" t="str">
        <f>IF(LEN(F191)&lt;&gt;0,_xlfn.XLOOKUP(F191,[1]!Entities[ID_with_x],[1]!Entities[Name_w_County],_xlfn.CONCAT("Entity ID ",RIGHT(Table3[[#This Row],[Sponsor_1_num]],8)," not found")),"")</f>
        <v/>
      </c>
      <c r="M191" t="str">
        <f>IF(LEN(G191)&lt;&gt;0,_xlfn.XLOOKUP(G191,[1]!Entities[ID_with_x],[1]!Entities[Name_w_County],_xlfn.CONCAT("Entity ID ",RIGHT(Table3[[#This Row],[Sponsor_1_num]],8)," not found")),"")</f>
        <v/>
      </c>
      <c r="N191" t="str">
        <f>IF(LEN(H191)&lt;&gt;0,_xlfn.XLOOKUP(H191,[1]!Entities[ID_with_x],[1]!Entities[Name_w_County],_xlfn.CONCAT("Entity ID ",RIGHT(Table3[[#This Row],[Sponsor_1_num]],8)," not found")),"")</f>
        <v/>
      </c>
      <c r="O191" t="str">
        <f>IF(LEN(I191)&lt;&gt;0,_xlfn.XLOOKUP(I191,[1]!Entities[ID_with_x],[1]!Entities[Name_w_County],_xlfn.CONCAT("Entity ID ",RIGHT(Table3[[#This Row],[Sponsor_1_num]],8)," not found")),"")</f>
        <v/>
      </c>
      <c r="P191" t="str">
        <f>IF(LEN(J191)&lt;&gt;0,_xlfn.XLOOKUP(J191,[1]!Entities[ID_with_x],[1]!Entities[Name_w_County],_xlfn.CONCAT("Entity ID ",RIGHT(Table3[[#This Row],[Sponsor_1_num]],8)," not found")),"")</f>
        <v/>
      </c>
      <c r="Q191" t="str">
        <f>IF(LEN(K191)&gt;0,_xlfn.TEXTJOIN(", ",TRUE,K191:P191),Table3[[#This Row],[SPONSOR_LIST]])</f>
        <v>Krugerville</v>
      </c>
    </row>
    <row r="192" spans="1:17" x14ac:dyDescent="0.25">
      <c r="A192" s="304" t="s">
        <v>1855</v>
      </c>
      <c r="B192" t="s">
        <v>4384</v>
      </c>
      <c r="C192" t="str">
        <f t="shared" si="3"/>
        <v/>
      </c>
      <c r="D192" t="str">
        <f>SUBSTITUTE(SUBSTITUTE(Table3[[#This Row],[Sponsor_list_tranform]],",",",x")," ","")</f>
        <v/>
      </c>
      <c r="K192" t="str">
        <f>IF(LEN(E192)&lt;&gt;0,_xlfn.XLOOKUP(E192,[1]!Entities[ID_with_x],[1]!Entities[Name_w_County],_xlfn.CONCAT("Entity ID ",RIGHT(Table3[[#This Row],[Sponsor_1_num]],8)," not found")),"")</f>
        <v/>
      </c>
      <c r="L192" t="str">
        <f>IF(LEN(F192)&lt;&gt;0,_xlfn.XLOOKUP(F192,[1]!Entities[ID_with_x],[1]!Entities[Name_w_County],_xlfn.CONCAT("Entity ID ",RIGHT(Table3[[#This Row],[Sponsor_1_num]],8)," not found")),"")</f>
        <v/>
      </c>
      <c r="M192" t="str">
        <f>IF(LEN(G192)&lt;&gt;0,_xlfn.XLOOKUP(G192,[1]!Entities[ID_with_x],[1]!Entities[Name_w_County],_xlfn.CONCAT("Entity ID ",RIGHT(Table3[[#This Row],[Sponsor_1_num]],8)," not found")),"")</f>
        <v/>
      </c>
      <c r="N192" t="str">
        <f>IF(LEN(H192)&lt;&gt;0,_xlfn.XLOOKUP(H192,[1]!Entities[ID_with_x],[1]!Entities[Name_w_County],_xlfn.CONCAT("Entity ID ",RIGHT(Table3[[#This Row],[Sponsor_1_num]],8)," not found")),"")</f>
        <v/>
      </c>
      <c r="O192" t="str">
        <f>IF(LEN(I192)&lt;&gt;0,_xlfn.XLOOKUP(I192,[1]!Entities[ID_with_x],[1]!Entities[Name_w_County],_xlfn.CONCAT("Entity ID ",RIGHT(Table3[[#This Row],[Sponsor_1_num]],8)," not found")),"")</f>
        <v/>
      </c>
      <c r="P192" t="str">
        <f>IF(LEN(J192)&lt;&gt;0,_xlfn.XLOOKUP(J192,[1]!Entities[ID_with_x],[1]!Entities[Name_w_County],_xlfn.CONCAT("Entity ID ",RIGHT(Table3[[#This Row],[Sponsor_1_num]],8)," not found")),"")</f>
        <v/>
      </c>
      <c r="Q192" t="str">
        <f>IF(LEN(K192)&gt;0,_xlfn.TEXTJOIN(", ",TRUE,K192:P192),Table3[[#This Row],[SPONSOR_LIST]])</f>
        <v>Euless</v>
      </c>
    </row>
    <row r="193" spans="1:17" x14ac:dyDescent="0.25">
      <c r="A193" s="304" t="s">
        <v>2281</v>
      </c>
      <c r="B193" t="s">
        <v>4391</v>
      </c>
      <c r="C193" t="str">
        <f t="shared" si="3"/>
        <v/>
      </c>
      <c r="D193" t="str">
        <f>SUBSTITUTE(SUBSTITUTE(Table3[[#This Row],[Sponsor_list_tranform]],",",",x")," ","")</f>
        <v/>
      </c>
      <c r="K193" t="str">
        <f>IF(LEN(E193)&lt;&gt;0,_xlfn.XLOOKUP(E193,[1]!Entities[ID_with_x],[1]!Entities[Name_w_County],_xlfn.CONCAT("Entity ID ",RIGHT(Table3[[#This Row],[Sponsor_1_num]],8)," not found")),"")</f>
        <v/>
      </c>
      <c r="L193" t="str">
        <f>IF(LEN(F193)&lt;&gt;0,_xlfn.XLOOKUP(F193,[1]!Entities[ID_with_x],[1]!Entities[Name_w_County],_xlfn.CONCAT("Entity ID ",RIGHT(Table3[[#This Row],[Sponsor_1_num]],8)," not found")),"")</f>
        <v/>
      </c>
      <c r="M193" t="str">
        <f>IF(LEN(G193)&lt;&gt;0,_xlfn.XLOOKUP(G193,[1]!Entities[ID_with_x],[1]!Entities[Name_w_County],_xlfn.CONCAT("Entity ID ",RIGHT(Table3[[#This Row],[Sponsor_1_num]],8)," not found")),"")</f>
        <v/>
      </c>
      <c r="N193" t="str">
        <f>IF(LEN(H193)&lt;&gt;0,_xlfn.XLOOKUP(H193,[1]!Entities[ID_with_x],[1]!Entities[Name_w_County],_xlfn.CONCAT("Entity ID ",RIGHT(Table3[[#This Row],[Sponsor_1_num]],8)," not found")),"")</f>
        <v/>
      </c>
      <c r="O193" t="str">
        <f>IF(LEN(I193)&lt;&gt;0,_xlfn.XLOOKUP(I193,[1]!Entities[ID_with_x],[1]!Entities[Name_w_County],_xlfn.CONCAT("Entity ID ",RIGHT(Table3[[#This Row],[Sponsor_1_num]],8)," not found")),"")</f>
        <v/>
      </c>
      <c r="P193" t="str">
        <f>IF(LEN(J193)&lt;&gt;0,_xlfn.XLOOKUP(J193,[1]!Entities[ID_with_x],[1]!Entities[Name_w_County],_xlfn.CONCAT("Entity ID ",RIGHT(Table3[[#This Row],[Sponsor_1_num]],8)," not found")),"")</f>
        <v/>
      </c>
      <c r="Q193" t="str">
        <f>IF(LEN(K193)&gt;0,_xlfn.TEXTJOIN(", ",TRUE,K193:P193),Table3[[#This Row],[SPONSOR_LIST]])</f>
        <v>Lewisville</v>
      </c>
    </row>
    <row r="194" spans="1:17" x14ac:dyDescent="0.25">
      <c r="A194" s="304" t="s">
        <v>2287</v>
      </c>
      <c r="B194" t="s">
        <v>4480</v>
      </c>
      <c r="C194" t="str">
        <f t="shared" si="3"/>
        <v/>
      </c>
      <c r="D194" t="str">
        <f>SUBSTITUTE(SUBSTITUTE(Table3[[#This Row],[Sponsor_list_tranform]],",",",x")," ","")</f>
        <v/>
      </c>
      <c r="K194" t="str">
        <f>IF(LEN(E194)&lt;&gt;0,_xlfn.XLOOKUP(E194,[1]!Entities[ID_with_x],[1]!Entities[Name_w_County],_xlfn.CONCAT("Entity ID ",RIGHT(Table3[[#This Row],[Sponsor_1_num]],8)," not found")),"")</f>
        <v/>
      </c>
      <c r="L194" t="str">
        <f>IF(LEN(F194)&lt;&gt;0,_xlfn.XLOOKUP(F194,[1]!Entities[ID_with_x],[1]!Entities[Name_w_County],_xlfn.CONCAT("Entity ID ",RIGHT(Table3[[#This Row],[Sponsor_1_num]],8)," not found")),"")</f>
        <v/>
      </c>
      <c r="M194" t="str">
        <f>IF(LEN(G194)&lt;&gt;0,_xlfn.XLOOKUP(G194,[1]!Entities[ID_with_x],[1]!Entities[Name_w_County],_xlfn.CONCAT("Entity ID ",RIGHT(Table3[[#This Row],[Sponsor_1_num]],8)," not found")),"")</f>
        <v/>
      </c>
      <c r="N194" t="str">
        <f>IF(LEN(H194)&lt;&gt;0,_xlfn.XLOOKUP(H194,[1]!Entities[ID_with_x],[1]!Entities[Name_w_County],_xlfn.CONCAT("Entity ID ",RIGHT(Table3[[#This Row],[Sponsor_1_num]],8)," not found")),"")</f>
        <v/>
      </c>
      <c r="O194" t="str">
        <f>IF(LEN(I194)&lt;&gt;0,_xlfn.XLOOKUP(I194,[1]!Entities[ID_with_x],[1]!Entities[Name_w_County],_xlfn.CONCAT("Entity ID ",RIGHT(Table3[[#This Row],[Sponsor_1_num]],8)," not found")),"")</f>
        <v/>
      </c>
      <c r="P194" t="str">
        <f>IF(LEN(J194)&lt;&gt;0,_xlfn.XLOOKUP(J194,[1]!Entities[ID_with_x],[1]!Entities[Name_w_County],_xlfn.CONCAT("Entity ID ",RIGHT(Table3[[#This Row],[Sponsor_1_num]],8)," not found")),"")</f>
        <v/>
      </c>
      <c r="Q194" t="str">
        <f>IF(LEN(K194)&gt;0,_xlfn.TEXTJOIN(", ",TRUE,K194:P194),Table3[[#This Row],[SPONSOR_LIST]])</f>
        <v>Retreat</v>
      </c>
    </row>
    <row r="195" spans="1:17" x14ac:dyDescent="0.25">
      <c r="A195" s="304" t="s">
        <v>2293</v>
      </c>
      <c r="B195" t="s">
        <v>4483</v>
      </c>
      <c r="C195" t="str">
        <f t="shared" si="3"/>
        <v/>
      </c>
      <c r="D195" t="str">
        <f>SUBSTITUTE(SUBSTITUTE(Table3[[#This Row],[Sponsor_list_tranform]],",",",x")," ","")</f>
        <v/>
      </c>
      <c r="K195" t="str">
        <f>IF(LEN(E195)&lt;&gt;0,_xlfn.XLOOKUP(E195,[1]!Entities[ID_with_x],[1]!Entities[Name_w_County],_xlfn.CONCAT("Entity ID ",RIGHT(Table3[[#This Row],[Sponsor_1_num]],8)," not found")),"")</f>
        <v/>
      </c>
      <c r="L195" t="str">
        <f>IF(LEN(F195)&lt;&gt;0,_xlfn.XLOOKUP(F195,[1]!Entities[ID_with_x],[1]!Entities[Name_w_County],_xlfn.CONCAT("Entity ID ",RIGHT(Table3[[#This Row],[Sponsor_1_num]],8)," not found")),"")</f>
        <v/>
      </c>
      <c r="M195" t="str">
        <f>IF(LEN(G195)&lt;&gt;0,_xlfn.XLOOKUP(G195,[1]!Entities[ID_with_x],[1]!Entities[Name_w_County],_xlfn.CONCAT("Entity ID ",RIGHT(Table3[[#This Row],[Sponsor_1_num]],8)," not found")),"")</f>
        <v/>
      </c>
      <c r="N195" t="str">
        <f>IF(LEN(H195)&lt;&gt;0,_xlfn.XLOOKUP(H195,[1]!Entities[ID_with_x],[1]!Entities[Name_w_County],_xlfn.CONCAT("Entity ID ",RIGHT(Table3[[#This Row],[Sponsor_1_num]],8)," not found")),"")</f>
        <v/>
      </c>
      <c r="O195" t="str">
        <f>IF(LEN(I195)&lt;&gt;0,_xlfn.XLOOKUP(I195,[1]!Entities[ID_with_x],[1]!Entities[Name_w_County],_xlfn.CONCAT("Entity ID ",RIGHT(Table3[[#This Row],[Sponsor_1_num]],8)," not found")),"")</f>
        <v/>
      </c>
      <c r="P195" t="str">
        <f>IF(LEN(J195)&lt;&gt;0,_xlfn.XLOOKUP(J195,[1]!Entities[ID_with_x],[1]!Entities[Name_w_County],_xlfn.CONCAT("Entity ID ",RIGHT(Table3[[#This Row],[Sponsor_1_num]],8)," not found")),"")</f>
        <v/>
      </c>
      <c r="Q195" t="str">
        <f>IF(LEN(K195)&gt;0,_xlfn.TEXTJOIN(", ",TRUE,K195:P195),Table3[[#This Row],[SPONSOR_LIST]])</f>
        <v>Streetman</v>
      </c>
    </row>
    <row r="196" spans="1:17" x14ac:dyDescent="0.25">
      <c r="A196" s="304" t="s">
        <v>2298</v>
      </c>
      <c r="B196" t="s">
        <v>4485</v>
      </c>
      <c r="C196" t="str">
        <f t="shared" si="3"/>
        <v/>
      </c>
      <c r="D196" t="str">
        <f>SUBSTITUTE(SUBSTITUTE(Table3[[#This Row],[Sponsor_list_tranform]],",",",x")," ","")</f>
        <v/>
      </c>
      <c r="K196" t="str">
        <f>IF(LEN(E196)&lt;&gt;0,_xlfn.XLOOKUP(E196,[1]!Entities[ID_with_x],[1]!Entities[Name_w_County],_xlfn.CONCAT("Entity ID ",RIGHT(Table3[[#This Row],[Sponsor_1_num]],8)," not found")),"")</f>
        <v/>
      </c>
      <c r="L196" t="str">
        <f>IF(LEN(F196)&lt;&gt;0,_xlfn.XLOOKUP(F196,[1]!Entities[ID_with_x],[1]!Entities[Name_w_County],_xlfn.CONCAT("Entity ID ",RIGHT(Table3[[#This Row],[Sponsor_1_num]],8)," not found")),"")</f>
        <v/>
      </c>
      <c r="M196" t="str">
        <f>IF(LEN(G196)&lt;&gt;0,_xlfn.XLOOKUP(G196,[1]!Entities[ID_with_x],[1]!Entities[Name_w_County],_xlfn.CONCAT("Entity ID ",RIGHT(Table3[[#This Row],[Sponsor_1_num]],8)," not found")),"")</f>
        <v/>
      </c>
      <c r="N196" t="str">
        <f>IF(LEN(H196)&lt;&gt;0,_xlfn.XLOOKUP(H196,[1]!Entities[ID_with_x],[1]!Entities[Name_w_County],_xlfn.CONCAT("Entity ID ",RIGHT(Table3[[#This Row],[Sponsor_1_num]],8)," not found")),"")</f>
        <v/>
      </c>
      <c r="O196" t="str">
        <f>IF(LEN(I196)&lt;&gt;0,_xlfn.XLOOKUP(I196,[1]!Entities[ID_with_x],[1]!Entities[Name_w_County],_xlfn.CONCAT("Entity ID ",RIGHT(Table3[[#This Row],[Sponsor_1_num]],8)," not found")),"")</f>
        <v/>
      </c>
      <c r="P196" t="str">
        <f>IF(LEN(J196)&lt;&gt;0,_xlfn.XLOOKUP(J196,[1]!Entities[ID_with_x],[1]!Entities[Name_w_County],_xlfn.CONCAT("Entity ID ",RIGHT(Table3[[#This Row],[Sponsor_1_num]],8)," not found")),"")</f>
        <v/>
      </c>
      <c r="Q196" t="str">
        <f>IF(LEN(K196)&gt;0,_xlfn.TEXTJOIN(", ",TRUE,K196:P196),Table3[[#This Row],[SPONSOR_LIST]])</f>
        <v>Alma</v>
      </c>
    </row>
    <row r="197" spans="1:17" x14ac:dyDescent="0.25">
      <c r="A197" s="304" t="s">
        <v>2305</v>
      </c>
      <c r="B197" t="s">
        <v>4486</v>
      </c>
      <c r="C197" t="str">
        <f t="shared" si="3"/>
        <v/>
      </c>
      <c r="D197" t="str">
        <f>SUBSTITUTE(SUBSTITUTE(Table3[[#This Row],[Sponsor_list_tranform]],",",",x")," ","")</f>
        <v/>
      </c>
      <c r="K197" t="str">
        <f>IF(LEN(E197)&lt;&gt;0,_xlfn.XLOOKUP(E197,[1]!Entities[ID_with_x],[1]!Entities[Name_w_County],_xlfn.CONCAT("Entity ID ",RIGHT(Table3[[#This Row],[Sponsor_1_num]],8)," not found")),"")</f>
        <v/>
      </c>
      <c r="L197" t="str">
        <f>IF(LEN(F197)&lt;&gt;0,_xlfn.XLOOKUP(F197,[1]!Entities[ID_with_x],[1]!Entities[Name_w_County],_xlfn.CONCAT("Entity ID ",RIGHT(Table3[[#This Row],[Sponsor_1_num]],8)," not found")),"")</f>
        <v/>
      </c>
      <c r="M197" t="str">
        <f>IF(LEN(G197)&lt;&gt;0,_xlfn.XLOOKUP(G197,[1]!Entities[ID_with_x],[1]!Entities[Name_w_County],_xlfn.CONCAT("Entity ID ",RIGHT(Table3[[#This Row],[Sponsor_1_num]],8)," not found")),"")</f>
        <v/>
      </c>
      <c r="N197" t="str">
        <f>IF(LEN(H197)&lt;&gt;0,_xlfn.XLOOKUP(H197,[1]!Entities[ID_with_x],[1]!Entities[Name_w_County],_xlfn.CONCAT("Entity ID ",RIGHT(Table3[[#This Row],[Sponsor_1_num]],8)," not found")),"")</f>
        <v/>
      </c>
      <c r="O197" t="str">
        <f>IF(LEN(I197)&lt;&gt;0,_xlfn.XLOOKUP(I197,[1]!Entities[ID_with_x],[1]!Entities[Name_w_County],_xlfn.CONCAT("Entity ID ",RIGHT(Table3[[#This Row],[Sponsor_1_num]],8)," not found")),"")</f>
        <v/>
      </c>
      <c r="P197" t="str">
        <f>IF(LEN(J197)&lt;&gt;0,_xlfn.XLOOKUP(J197,[1]!Entities[ID_with_x],[1]!Entities[Name_w_County],_xlfn.CONCAT("Entity ID ",RIGHT(Table3[[#This Row],[Sponsor_1_num]],8)," not found")),"")</f>
        <v/>
      </c>
      <c r="Q197" t="str">
        <f>IF(LEN(K197)&gt;0,_xlfn.TEXTJOIN(", ",TRUE,K197:P197),Table3[[#This Row],[SPONSOR_LIST]])</f>
        <v>Alvord</v>
      </c>
    </row>
    <row r="198" spans="1:17" x14ac:dyDescent="0.25">
      <c r="A198" s="304" t="s">
        <v>2311</v>
      </c>
      <c r="B198" t="s">
        <v>4487</v>
      </c>
      <c r="C198" t="str">
        <f t="shared" ref="C198:C261" si="4">IF(ISNUMBER(VALUE(LEFT(B198,7))),_xlfn.CONCAT("x",TEXT(SUBSTITUTE(B198,",",", "),"00000000")),"")</f>
        <v/>
      </c>
      <c r="D198" t="str">
        <f>SUBSTITUTE(SUBSTITUTE(Table3[[#This Row],[Sponsor_list_tranform]],",",",x")," ","")</f>
        <v/>
      </c>
      <c r="K198" t="str">
        <f>IF(LEN(E198)&lt;&gt;0,_xlfn.XLOOKUP(E198,[1]!Entities[ID_with_x],[1]!Entities[Name_w_County],_xlfn.CONCAT("Entity ID ",RIGHT(Table3[[#This Row],[Sponsor_1_num]],8)," not found")),"")</f>
        <v/>
      </c>
      <c r="L198" t="str">
        <f>IF(LEN(F198)&lt;&gt;0,_xlfn.XLOOKUP(F198,[1]!Entities[ID_with_x],[1]!Entities[Name_w_County],_xlfn.CONCAT("Entity ID ",RIGHT(Table3[[#This Row],[Sponsor_1_num]],8)," not found")),"")</f>
        <v/>
      </c>
      <c r="M198" t="str">
        <f>IF(LEN(G198)&lt;&gt;0,_xlfn.XLOOKUP(G198,[1]!Entities[ID_with_x],[1]!Entities[Name_w_County],_xlfn.CONCAT("Entity ID ",RIGHT(Table3[[#This Row],[Sponsor_1_num]],8)," not found")),"")</f>
        <v/>
      </c>
      <c r="N198" t="str">
        <f>IF(LEN(H198)&lt;&gt;0,_xlfn.XLOOKUP(H198,[1]!Entities[ID_with_x],[1]!Entities[Name_w_County],_xlfn.CONCAT("Entity ID ",RIGHT(Table3[[#This Row],[Sponsor_1_num]],8)," not found")),"")</f>
        <v/>
      </c>
      <c r="O198" t="str">
        <f>IF(LEN(I198)&lt;&gt;0,_xlfn.XLOOKUP(I198,[1]!Entities[ID_with_x],[1]!Entities[Name_w_County],_xlfn.CONCAT("Entity ID ",RIGHT(Table3[[#This Row],[Sponsor_1_num]],8)," not found")),"")</f>
        <v/>
      </c>
      <c r="P198" t="str">
        <f>IF(LEN(J198)&lt;&gt;0,_xlfn.XLOOKUP(J198,[1]!Entities[ID_with_x],[1]!Entities[Name_w_County],_xlfn.CONCAT("Entity ID ",RIGHT(Table3[[#This Row],[Sponsor_1_num]],8)," not found")),"")</f>
        <v/>
      </c>
      <c r="Q198" t="str">
        <f>IF(LEN(K198)&gt;0,_xlfn.TEXTJOIN(", ",TRUE,K198:P198),Table3[[#This Row],[SPONSOR_LIST]])</f>
        <v>Angus</v>
      </c>
    </row>
    <row r="199" spans="1:17" x14ac:dyDescent="0.25">
      <c r="A199" s="304" t="s">
        <v>2317</v>
      </c>
      <c r="B199" t="s">
        <v>4489</v>
      </c>
      <c r="C199" t="str">
        <f t="shared" si="4"/>
        <v/>
      </c>
      <c r="D199" t="str">
        <f>SUBSTITUTE(SUBSTITUTE(Table3[[#This Row],[Sponsor_list_tranform]],",",",x")," ","")</f>
        <v/>
      </c>
      <c r="K199" t="str">
        <f>IF(LEN(E199)&lt;&gt;0,_xlfn.XLOOKUP(E199,[1]!Entities[ID_with_x],[1]!Entities[Name_w_County],_xlfn.CONCAT("Entity ID ",RIGHT(Table3[[#This Row],[Sponsor_1_num]],8)," not found")),"")</f>
        <v/>
      </c>
      <c r="L199" t="str">
        <f>IF(LEN(F199)&lt;&gt;0,_xlfn.XLOOKUP(F199,[1]!Entities[ID_with_x],[1]!Entities[Name_w_County],_xlfn.CONCAT("Entity ID ",RIGHT(Table3[[#This Row],[Sponsor_1_num]],8)," not found")),"")</f>
        <v/>
      </c>
      <c r="M199" t="str">
        <f>IF(LEN(G199)&lt;&gt;0,_xlfn.XLOOKUP(G199,[1]!Entities[ID_with_x],[1]!Entities[Name_w_County],_xlfn.CONCAT("Entity ID ",RIGHT(Table3[[#This Row],[Sponsor_1_num]],8)," not found")),"")</f>
        <v/>
      </c>
      <c r="N199" t="str">
        <f>IF(LEN(H199)&lt;&gt;0,_xlfn.XLOOKUP(H199,[1]!Entities[ID_with_x],[1]!Entities[Name_w_County],_xlfn.CONCAT("Entity ID ",RIGHT(Table3[[#This Row],[Sponsor_1_num]],8)," not found")),"")</f>
        <v/>
      </c>
      <c r="O199" t="str">
        <f>IF(LEN(I199)&lt;&gt;0,_xlfn.XLOOKUP(I199,[1]!Entities[ID_with_x],[1]!Entities[Name_w_County],_xlfn.CONCAT("Entity ID ",RIGHT(Table3[[#This Row],[Sponsor_1_num]],8)," not found")),"")</f>
        <v/>
      </c>
      <c r="P199" t="str">
        <f>IF(LEN(J199)&lt;&gt;0,_xlfn.XLOOKUP(J199,[1]!Entities[ID_with_x],[1]!Entities[Name_w_County],_xlfn.CONCAT("Entity ID ",RIGHT(Table3[[#This Row],[Sponsor_1_num]],8)," not found")),"")</f>
        <v/>
      </c>
      <c r="Q199" t="str">
        <f>IF(LEN(K199)&gt;0,_xlfn.TEXTJOIN(", ",TRUE,K199:P199),Table3[[#This Row],[SPONSOR_LIST]])</f>
        <v>Bedias</v>
      </c>
    </row>
    <row r="200" spans="1:17" x14ac:dyDescent="0.25">
      <c r="A200" s="304" t="s">
        <v>2321</v>
      </c>
      <c r="B200" t="s">
        <v>4490</v>
      </c>
      <c r="C200" t="str">
        <f t="shared" si="4"/>
        <v/>
      </c>
      <c r="D200" t="str">
        <f>SUBSTITUTE(SUBSTITUTE(Table3[[#This Row],[Sponsor_list_tranform]],",",",x")," ","")</f>
        <v/>
      </c>
      <c r="K200" t="str">
        <f>IF(LEN(E200)&lt;&gt;0,_xlfn.XLOOKUP(E200,[1]!Entities[ID_with_x],[1]!Entities[Name_w_County],_xlfn.CONCAT("Entity ID ",RIGHT(Table3[[#This Row],[Sponsor_1_num]],8)," not found")),"")</f>
        <v/>
      </c>
      <c r="L200" t="str">
        <f>IF(LEN(F200)&lt;&gt;0,_xlfn.XLOOKUP(F200,[1]!Entities[ID_with_x],[1]!Entities[Name_w_County],_xlfn.CONCAT("Entity ID ",RIGHT(Table3[[#This Row],[Sponsor_1_num]],8)," not found")),"")</f>
        <v/>
      </c>
      <c r="M200" t="str">
        <f>IF(LEN(G200)&lt;&gt;0,_xlfn.XLOOKUP(G200,[1]!Entities[ID_with_x],[1]!Entities[Name_w_County],_xlfn.CONCAT("Entity ID ",RIGHT(Table3[[#This Row],[Sponsor_1_num]],8)," not found")),"")</f>
        <v/>
      </c>
      <c r="N200" t="str">
        <f>IF(LEN(H200)&lt;&gt;0,_xlfn.XLOOKUP(H200,[1]!Entities[ID_with_x],[1]!Entities[Name_w_County],_xlfn.CONCAT("Entity ID ",RIGHT(Table3[[#This Row],[Sponsor_1_num]],8)," not found")),"")</f>
        <v/>
      </c>
      <c r="O200" t="str">
        <f>IF(LEN(I200)&lt;&gt;0,_xlfn.XLOOKUP(I200,[1]!Entities[ID_with_x],[1]!Entities[Name_w_County],_xlfn.CONCAT("Entity ID ",RIGHT(Table3[[#This Row],[Sponsor_1_num]],8)," not found")),"")</f>
        <v/>
      </c>
      <c r="P200" t="str">
        <f>IF(LEN(J200)&lt;&gt;0,_xlfn.XLOOKUP(J200,[1]!Entities[ID_with_x],[1]!Entities[Name_w_County],_xlfn.CONCAT("Entity ID ",RIGHT(Table3[[#This Row],[Sponsor_1_num]],8)," not found")),"")</f>
        <v/>
      </c>
      <c r="Q200" t="str">
        <f>IF(LEN(K200)&gt;0,_xlfn.TEXTJOIN(", ",TRUE,K200:P200),Table3[[#This Row],[SPONSOR_LIST]])</f>
        <v>Bynum</v>
      </c>
    </row>
    <row r="201" spans="1:17" x14ac:dyDescent="0.25">
      <c r="A201" s="304" t="s">
        <v>2326</v>
      </c>
      <c r="B201" t="s">
        <v>4492</v>
      </c>
      <c r="C201" t="str">
        <f t="shared" si="4"/>
        <v/>
      </c>
      <c r="D201" t="str">
        <f>SUBSTITUTE(SUBSTITUTE(Table3[[#This Row],[Sponsor_list_tranform]],",",",x")," ","")</f>
        <v/>
      </c>
      <c r="K201" t="str">
        <f>IF(LEN(E201)&lt;&gt;0,_xlfn.XLOOKUP(E201,[1]!Entities[ID_with_x],[1]!Entities[Name_w_County],_xlfn.CONCAT("Entity ID ",RIGHT(Table3[[#This Row],[Sponsor_1_num]],8)," not found")),"")</f>
        <v/>
      </c>
      <c r="L201" t="str">
        <f>IF(LEN(F201)&lt;&gt;0,_xlfn.XLOOKUP(F201,[1]!Entities[ID_with_x],[1]!Entities[Name_w_County],_xlfn.CONCAT("Entity ID ",RIGHT(Table3[[#This Row],[Sponsor_1_num]],8)," not found")),"")</f>
        <v/>
      </c>
      <c r="M201" t="str">
        <f>IF(LEN(G201)&lt;&gt;0,_xlfn.XLOOKUP(G201,[1]!Entities[ID_with_x],[1]!Entities[Name_w_County],_xlfn.CONCAT("Entity ID ",RIGHT(Table3[[#This Row],[Sponsor_1_num]],8)," not found")),"")</f>
        <v/>
      </c>
      <c r="N201" t="str">
        <f>IF(LEN(H201)&lt;&gt;0,_xlfn.XLOOKUP(H201,[1]!Entities[ID_with_x],[1]!Entities[Name_w_County],_xlfn.CONCAT("Entity ID ",RIGHT(Table3[[#This Row],[Sponsor_1_num]],8)," not found")),"")</f>
        <v/>
      </c>
      <c r="O201" t="str">
        <f>IF(LEN(I201)&lt;&gt;0,_xlfn.XLOOKUP(I201,[1]!Entities[ID_with_x],[1]!Entities[Name_w_County],_xlfn.CONCAT("Entity ID ",RIGHT(Table3[[#This Row],[Sponsor_1_num]],8)," not found")),"")</f>
        <v/>
      </c>
      <c r="P201" t="str">
        <f>IF(LEN(J201)&lt;&gt;0,_xlfn.XLOOKUP(J201,[1]!Entities[ID_with_x],[1]!Entities[Name_w_County],_xlfn.CONCAT("Entity ID ",RIGHT(Table3[[#This Row],[Sponsor_1_num]],8)," not found")),"")</f>
        <v/>
      </c>
      <c r="Q201" t="str">
        <f>IF(LEN(K201)&gt;0,_xlfn.TEXTJOIN(", ",TRUE,K201:P201),Table3[[#This Row],[SPONSOR_LIST]])</f>
        <v>Carl's Corner</v>
      </c>
    </row>
    <row r="202" spans="1:17" x14ac:dyDescent="0.25">
      <c r="A202" s="304" t="s">
        <v>2331</v>
      </c>
      <c r="B202" t="s">
        <v>4495</v>
      </c>
      <c r="C202" t="str">
        <f t="shared" si="4"/>
        <v/>
      </c>
      <c r="D202" t="str">
        <f>SUBSTITUTE(SUBSTITUTE(Table3[[#This Row],[Sponsor_list_tranform]],",",",x")," ","")</f>
        <v/>
      </c>
      <c r="K202" t="str">
        <f>IF(LEN(E202)&lt;&gt;0,_xlfn.XLOOKUP(E202,[1]!Entities[ID_with_x],[1]!Entities[Name_w_County],_xlfn.CONCAT("Entity ID ",RIGHT(Table3[[#This Row],[Sponsor_1_num]],8)," not found")),"")</f>
        <v/>
      </c>
      <c r="L202" t="str">
        <f>IF(LEN(F202)&lt;&gt;0,_xlfn.XLOOKUP(F202,[1]!Entities[ID_with_x],[1]!Entities[Name_w_County],_xlfn.CONCAT("Entity ID ",RIGHT(Table3[[#This Row],[Sponsor_1_num]],8)," not found")),"")</f>
        <v/>
      </c>
      <c r="M202" t="str">
        <f>IF(LEN(G202)&lt;&gt;0,_xlfn.XLOOKUP(G202,[1]!Entities[ID_with_x],[1]!Entities[Name_w_County],_xlfn.CONCAT("Entity ID ",RIGHT(Table3[[#This Row],[Sponsor_1_num]],8)," not found")),"")</f>
        <v/>
      </c>
      <c r="N202" t="str">
        <f>IF(LEN(H202)&lt;&gt;0,_xlfn.XLOOKUP(H202,[1]!Entities[ID_with_x],[1]!Entities[Name_w_County],_xlfn.CONCAT("Entity ID ",RIGHT(Table3[[#This Row],[Sponsor_1_num]],8)," not found")),"")</f>
        <v/>
      </c>
      <c r="O202" t="str">
        <f>IF(LEN(I202)&lt;&gt;0,_xlfn.XLOOKUP(I202,[1]!Entities[ID_with_x],[1]!Entities[Name_w_County],_xlfn.CONCAT("Entity ID ",RIGHT(Table3[[#This Row],[Sponsor_1_num]],8)," not found")),"")</f>
        <v/>
      </c>
      <c r="P202" t="str">
        <f>IF(LEN(J202)&lt;&gt;0,_xlfn.XLOOKUP(J202,[1]!Entities[ID_with_x],[1]!Entities[Name_w_County],_xlfn.CONCAT("Entity ID ",RIGHT(Table3[[#This Row],[Sponsor_1_num]],8)," not found")),"")</f>
        <v/>
      </c>
      <c r="Q202" t="str">
        <f>IF(LEN(K202)&gt;0,_xlfn.TEXTJOIN(", ",TRUE,K202:P202),Table3[[#This Row],[SPONSOR_LIST]])</f>
        <v>Combine</v>
      </c>
    </row>
    <row r="203" spans="1:17" x14ac:dyDescent="0.25">
      <c r="A203" s="304" t="s">
        <v>2335</v>
      </c>
      <c r="B203" t="s">
        <v>4497</v>
      </c>
      <c r="C203" t="str">
        <f t="shared" si="4"/>
        <v/>
      </c>
      <c r="D203" t="str">
        <f>SUBSTITUTE(SUBSTITUTE(Table3[[#This Row],[Sponsor_list_tranform]],",",",x")," ","")</f>
        <v/>
      </c>
      <c r="K203" t="str">
        <f>IF(LEN(E203)&lt;&gt;0,_xlfn.XLOOKUP(E203,[1]!Entities[ID_with_x],[1]!Entities[Name_w_County],_xlfn.CONCAT("Entity ID ",RIGHT(Table3[[#This Row],[Sponsor_1_num]],8)," not found")),"")</f>
        <v/>
      </c>
      <c r="L203" t="str">
        <f>IF(LEN(F203)&lt;&gt;0,_xlfn.XLOOKUP(F203,[1]!Entities[ID_with_x],[1]!Entities[Name_w_County],_xlfn.CONCAT("Entity ID ",RIGHT(Table3[[#This Row],[Sponsor_1_num]],8)," not found")),"")</f>
        <v/>
      </c>
      <c r="M203" t="str">
        <f>IF(LEN(G203)&lt;&gt;0,_xlfn.XLOOKUP(G203,[1]!Entities[ID_with_x],[1]!Entities[Name_w_County],_xlfn.CONCAT("Entity ID ",RIGHT(Table3[[#This Row],[Sponsor_1_num]],8)," not found")),"")</f>
        <v/>
      </c>
      <c r="N203" t="str">
        <f>IF(LEN(H203)&lt;&gt;0,_xlfn.XLOOKUP(H203,[1]!Entities[ID_with_x],[1]!Entities[Name_w_County],_xlfn.CONCAT("Entity ID ",RIGHT(Table3[[#This Row],[Sponsor_1_num]],8)," not found")),"")</f>
        <v/>
      </c>
      <c r="O203" t="str">
        <f>IF(LEN(I203)&lt;&gt;0,_xlfn.XLOOKUP(I203,[1]!Entities[ID_with_x],[1]!Entities[Name_w_County],_xlfn.CONCAT("Entity ID ",RIGHT(Table3[[#This Row],[Sponsor_1_num]],8)," not found")),"")</f>
        <v/>
      </c>
      <c r="P203" t="str">
        <f>IF(LEN(J203)&lt;&gt;0,_xlfn.XLOOKUP(J203,[1]!Entities[ID_with_x],[1]!Entities[Name_w_County],_xlfn.CONCAT("Entity ID ",RIGHT(Table3[[#This Row],[Sponsor_1_num]],8)," not found")),"")</f>
        <v/>
      </c>
      <c r="Q203" t="str">
        <f>IF(LEN(K203)&gt;0,_xlfn.TEXTJOIN(", ",TRUE,K203:P203),Table3[[#This Row],[SPONSOR_LIST]])</f>
        <v>Coyote Flats</v>
      </c>
    </row>
    <row r="204" spans="1:17" x14ac:dyDescent="0.25">
      <c r="A204" s="304" t="s">
        <v>2340</v>
      </c>
      <c r="B204" t="s">
        <v>4499</v>
      </c>
      <c r="C204" t="str">
        <f t="shared" si="4"/>
        <v/>
      </c>
      <c r="D204" t="str">
        <f>SUBSTITUTE(SUBSTITUTE(Table3[[#This Row],[Sponsor_list_tranform]],",",",x")," ","")</f>
        <v/>
      </c>
      <c r="K204" t="str">
        <f>IF(LEN(E204)&lt;&gt;0,_xlfn.XLOOKUP(E204,[1]!Entities[ID_with_x],[1]!Entities[Name_w_County],_xlfn.CONCAT("Entity ID ",RIGHT(Table3[[#This Row],[Sponsor_1_num]],8)," not found")),"")</f>
        <v/>
      </c>
      <c r="L204" t="str">
        <f>IF(LEN(F204)&lt;&gt;0,_xlfn.XLOOKUP(F204,[1]!Entities[ID_with_x],[1]!Entities[Name_w_County],_xlfn.CONCAT("Entity ID ",RIGHT(Table3[[#This Row],[Sponsor_1_num]],8)," not found")),"")</f>
        <v/>
      </c>
      <c r="M204" t="str">
        <f>IF(LEN(G204)&lt;&gt;0,_xlfn.XLOOKUP(G204,[1]!Entities[ID_with_x],[1]!Entities[Name_w_County],_xlfn.CONCAT("Entity ID ",RIGHT(Table3[[#This Row],[Sponsor_1_num]],8)," not found")),"")</f>
        <v/>
      </c>
      <c r="N204" t="str">
        <f>IF(LEN(H204)&lt;&gt;0,_xlfn.XLOOKUP(H204,[1]!Entities[ID_with_x],[1]!Entities[Name_w_County],_xlfn.CONCAT("Entity ID ",RIGHT(Table3[[#This Row],[Sponsor_1_num]],8)," not found")),"")</f>
        <v/>
      </c>
      <c r="O204" t="str">
        <f>IF(LEN(I204)&lt;&gt;0,_xlfn.XLOOKUP(I204,[1]!Entities[ID_with_x],[1]!Entities[Name_w_County],_xlfn.CONCAT("Entity ID ",RIGHT(Table3[[#This Row],[Sponsor_1_num]],8)," not found")),"")</f>
        <v/>
      </c>
      <c r="P204" t="str">
        <f>IF(LEN(J204)&lt;&gt;0,_xlfn.XLOOKUP(J204,[1]!Entities[ID_with_x],[1]!Entities[Name_w_County],_xlfn.CONCAT("Entity ID ",RIGHT(Table3[[#This Row],[Sponsor_1_num]],8)," not found")),"")</f>
        <v/>
      </c>
      <c r="Q204" t="str">
        <f>IF(LEN(K204)&gt;0,_xlfn.TEXTJOIN(", ",TRUE,K204:P204),Table3[[#This Row],[SPONSOR_LIST]])</f>
        <v>Dorchester</v>
      </c>
    </row>
    <row r="205" spans="1:17" x14ac:dyDescent="0.25">
      <c r="A205" s="304" t="s">
        <v>2452</v>
      </c>
      <c r="B205" t="s">
        <v>4525</v>
      </c>
      <c r="C205" t="str">
        <f t="shared" si="4"/>
        <v/>
      </c>
      <c r="D205" t="str">
        <f>SUBSTITUTE(SUBSTITUTE(Table3[[#This Row],[Sponsor_list_tranform]],",",",x")," ","")</f>
        <v/>
      </c>
      <c r="K205" t="str">
        <f>IF(LEN(E205)&lt;&gt;0,_xlfn.XLOOKUP(E205,[1]!Entities[ID_with_x],[1]!Entities[Name_w_County],_xlfn.CONCAT("Entity ID ",RIGHT(Table3[[#This Row],[Sponsor_1_num]],8)," not found")),"")</f>
        <v/>
      </c>
      <c r="L205" t="str">
        <f>IF(LEN(F205)&lt;&gt;0,_xlfn.XLOOKUP(F205,[1]!Entities[ID_with_x],[1]!Entities[Name_w_County],_xlfn.CONCAT("Entity ID ",RIGHT(Table3[[#This Row],[Sponsor_1_num]],8)," not found")),"")</f>
        <v/>
      </c>
      <c r="M205" t="str">
        <f>IF(LEN(G205)&lt;&gt;0,_xlfn.XLOOKUP(G205,[1]!Entities[ID_with_x],[1]!Entities[Name_w_County],_xlfn.CONCAT("Entity ID ",RIGHT(Table3[[#This Row],[Sponsor_1_num]],8)," not found")),"")</f>
        <v/>
      </c>
      <c r="N205" t="str">
        <f>IF(LEN(H205)&lt;&gt;0,_xlfn.XLOOKUP(H205,[1]!Entities[ID_with_x],[1]!Entities[Name_w_County],_xlfn.CONCAT("Entity ID ",RIGHT(Table3[[#This Row],[Sponsor_1_num]],8)," not found")),"")</f>
        <v/>
      </c>
      <c r="O205" t="str">
        <f>IF(LEN(I205)&lt;&gt;0,_xlfn.XLOOKUP(I205,[1]!Entities[ID_with_x],[1]!Entities[Name_w_County],_xlfn.CONCAT("Entity ID ",RIGHT(Table3[[#This Row],[Sponsor_1_num]],8)," not found")),"")</f>
        <v/>
      </c>
      <c r="P205" t="str">
        <f>IF(LEN(J205)&lt;&gt;0,_xlfn.XLOOKUP(J205,[1]!Entities[ID_with_x],[1]!Entities[Name_w_County],_xlfn.CONCAT("Entity ID ",RIGHT(Table3[[#This Row],[Sponsor_1_num]],8)," not found")),"")</f>
        <v/>
      </c>
      <c r="Q205" t="str">
        <f>IF(LEN(K205)&gt;0,_xlfn.TEXTJOIN(", ",TRUE,K205:P205),Table3[[#This Row],[SPONSOR_LIST]])</f>
        <v>Draper</v>
      </c>
    </row>
    <row r="206" spans="1:17" x14ac:dyDescent="0.25">
      <c r="A206" s="304" t="s">
        <v>2345</v>
      </c>
      <c r="B206" t="s">
        <v>4500</v>
      </c>
      <c r="C206" t="str">
        <f t="shared" si="4"/>
        <v/>
      </c>
      <c r="D206" t="str">
        <f>SUBSTITUTE(SUBSTITUTE(Table3[[#This Row],[Sponsor_list_tranform]],",",",x")," ","")</f>
        <v/>
      </c>
      <c r="K206" t="str">
        <f>IF(LEN(E206)&lt;&gt;0,_xlfn.XLOOKUP(E206,[1]!Entities[ID_with_x],[1]!Entities[Name_w_County],_xlfn.CONCAT("Entity ID ",RIGHT(Table3[[#This Row],[Sponsor_1_num]],8)," not found")),"")</f>
        <v/>
      </c>
      <c r="L206" t="str">
        <f>IF(LEN(F206)&lt;&gt;0,_xlfn.XLOOKUP(F206,[1]!Entities[ID_with_x],[1]!Entities[Name_w_County],_xlfn.CONCAT("Entity ID ",RIGHT(Table3[[#This Row],[Sponsor_1_num]],8)," not found")),"")</f>
        <v/>
      </c>
      <c r="M206" t="str">
        <f>IF(LEN(G206)&lt;&gt;0,_xlfn.XLOOKUP(G206,[1]!Entities[ID_with_x],[1]!Entities[Name_w_County],_xlfn.CONCAT("Entity ID ",RIGHT(Table3[[#This Row],[Sponsor_1_num]],8)," not found")),"")</f>
        <v/>
      </c>
      <c r="N206" t="str">
        <f>IF(LEN(H206)&lt;&gt;0,_xlfn.XLOOKUP(H206,[1]!Entities[ID_with_x],[1]!Entities[Name_w_County],_xlfn.CONCAT("Entity ID ",RIGHT(Table3[[#This Row],[Sponsor_1_num]],8)," not found")),"")</f>
        <v/>
      </c>
      <c r="O206" t="str">
        <f>IF(LEN(I206)&lt;&gt;0,_xlfn.XLOOKUP(I206,[1]!Entities[ID_with_x],[1]!Entities[Name_w_County],_xlfn.CONCAT("Entity ID ",RIGHT(Table3[[#This Row],[Sponsor_1_num]],8)," not found")),"")</f>
        <v/>
      </c>
      <c r="P206" t="str">
        <f>IF(LEN(J206)&lt;&gt;0,_xlfn.XLOOKUP(J206,[1]!Entities[ID_with_x],[1]!Entities[Name_w_County],_xlfn.CONCAT("Entity ID ",RIGHT(Table3[[#This Row],[Sponsor_1_num]],8)," not found")),"")</f>
        <v/>
      </c>
      <c r="Q206" t="str">
        <f>IF(LEN(K206)&gt;0,_xlfn.TEXTJOIN(", ",TRUE,K206:P206),Table3[[#This Row],[SPONSOR_LIST]])</f>
        <v>Emhouse</v>
      </c>
    </row>
    <row r="207" spans="1:17" x14ac:dyDescent="0.25">
      <c r="A207" s="304" t="s">
        <v>2352</v>
      </c>
      <c r="B207" t="s">
        <v>4502</v>
      </c>
      <c r="C207" t="str">
        <f t="shared" si="4"/>
        <v/>
      </c>
      <c r="D207" t="str">
        <f>SUBSTITUTE(SUBSTITUTE(Table3[[#This Row],[Sponsor_list_tranform]],",",",x")," ","")</f>
        <v/>
      </c>
      <c r="K207" t="str">
        <f>IF(LEN(E207)&lt;&gt;0,_xlfn.XLOOKUP(E207,[1]!Entities[ID_with_x],[1]!Entities[Name_w_County],_xlfn.CONCAT("Entity ID ",RIGHT(Table3[[#This Row],[Sponsor_1_num]],8)," not found")),"")</f>
        <v/>
      </c>
      <c r="L207" t="str">
        <f>IF(LEN(F207)&lt;&gt;0,_xlfn.XLOOKUP(F207,[1]!Entities[ID_with_x],[1]!Entities[Name_w_County],_xlfn.CONCAT("Entity ID ",RIGHT(Table3[[#This Row],[Sponsor_1_num]],8)," not found")),"")</f>
        <v/>
      </c>
      <c r="M207" t="str">
        <f>IF(LEN(G207)&lt;&gt;0,_xlfn.XLOOKUP(G207,[1]!Entities[ID_with_x],[1]!Entities[Name_w_County],_xlfn.CONCAT("Entity ID ",RIGHT(Table3[[#This Row],[Sponsor_1_num]],8)," not found")),"")</f>
        <v/>
      </c>
      <c r="N207" t="str">
        <f>IF(LEN(H207)&lt;&gt;0,_xlfn.XLOOKUP(H207,[1]!Entities[ID_with_x],[1]!Entities[Name_w_County],_xlfn.CONCAT("Entity ID ",RIGHT(Table3[[#This Row],[Sponsor_1_num]],8)," not found")),"")</f>
        <v/>
      </c>
      <c r="O207" t="str">
        <f>IF(LEN(I207)&lt;&gt;0,_xlfn.XLOOKUP(I207,[1]!Entities[ID_with_x],[1]!Entities[Name_w_County],_xlfn.CONCAT("Entity ID ",RIGHT(Table3[[#This Row],[Sponsor_1_num]],8)," not found")),"")</f>
        <v/>
      </c>
      <c r="P207" t="str">
        <f>IF(LEN(J207)&lt;&gt;0,_xlfn.XLOOKUP(J207,[1]!Entities[ID_with_x],[1]!Entities[Name_w_County],_xlfn.CONCAT("Entity ID ",RIGHT(Table3[[#This Row],[Sponsor_1_num]],8)," not found")),"")</f>
        <v/>
      </c>
      <c r="Q207" t="str">
        <f>IF(LEN(K207)&gt;0,_xlfn.TEXTJOIN(", ",TRUE,K207:P207),Table3[[#This Row],[SPONSOR_LIST]])</f>
        <v>Eureka</v>
      </c>
    </row>
    <row r="208" spans="1:17" x14ac:dyDescent="0.25">
      <c r="A208" s="304" t="s">
        <v>2356</v>
      </c>
      <c r="B208" t="s">
        <v>4503</v>
      </c>
      <c r="C208" t="str">
        <f t="shared" si="4"/>
        <v/>
      </c>
      <c r="D208" t="str">
        <f>SUBSTITUTE(SUBSTITUTE(Table3[[#This Row],[Sponsor_list_tranform]],",",",x")," ","")</f>
        <v/>
      </c>
      <c r="K208" t="str">
        <f>IF(LEN(E208)&lt;&gt;0,_xlfn.XLOOKUP(E208,[1]!Entities[ID_with_x],[1]!Entities[Name_w_County],_xlfn.CONCAT("Entity ID ",RIGHT(Table3[[#This Row],[Sponsor_1_num]],8)," not found")),"")</f>
        <v/>
      </c>
      <c r="L208" t="str">
        <f>IF(LEN(F208)&lt;&gt;0,_xlfn.XLOOKUP(F208,[1]!Entities[ID_with_x],[1]!Entities[Name_w_County],_xlfn.CONCAT("Entity ID ",RIGHT(Table3[[#This Row],[Sponsor_1_num]],8)," not found")),"")</f>
        <v/>
      </c>
      <c r="M208" t="str">
        <f>IF(LEN(G208)&lt;&gt;0,_xlfn.XLOOKUP(G208,[1]!Entities[ID_with_x],[1]!Entities[Name_w_County],_xlfn.CONCAT("Entity ID ",RIGHT(Table3[[#This Row],[Sponsor_1_num]],8)," not found")),"")</f>
        <v/>
      </c>
      <c r="N208" t="str">
        <f>IF(LEN(H208)&lt;&gt;0,_xlfn.XLOOKUP(H208,[1]!Entities[ID_with_x],[1]!Entities[Name_w_County],_xlfn.CONCAT("Entity ID ",RIGHT(Table3[[#This Row],[Sponsor_1_num]],8)," not found")),"")</f>
        <v/>
      </c>
      <c r="O208" t="str">
        <f>IF(LEN(I208)&lt;&gt;0,_xlfn.XLOOKUP(I208,[1]!Entities[ID_with_x],[1]!Entities[Name_w_County],_xlfn.CONCAT("Entity ID ",RIGHT(Table3[[#This Row],[Sponsor_1_num]],8)," not found")),"")</f>
        <v/>
      </c>
      <c r="P208" t="str">
        <f>IF(LEN(J208)&lt;&gt;0,_xlfn.XLOOKUP(J208,[1]!Entities[ID_with_x],[1]!Entities[Name_w_County],_xlfn.CONCAT("Entity ID ",RIGHT(Table3[[#This Row],[Sponsor_1_num]],8)," not found")),"")</f>
        <v/>
      </c>
      <c r="Q208" t="str">
        <f>IF(LEN(K208)&gt;0,_xlfn.TEXTJOIN(", ",TRUE,K208:P208),Table3[[#This Row],[SPONSOR_LIST]])</f>
        <v>Goodlow</v>
      </c>
    </row>
    <row r="209" spans="1:17" x14ac:dyDescent="0.25">
      <c r="A209" s="304" t="s">
        <v>2362</v>
      </c>
      <c r="B209" t="s">
        <v>4505</v>
      </c>
      <c r="C209" t="str">
        <f t="shared" si="4"/>
        <v/>
      </c>
      <c r="D209" t="str">
        <f>SUBSTITUTE(SUBSTITUTE(Table3[[#This Row],[Sponsor_list_tranform]],",",",x")," ","")</f>
        <v/>
      </c>
      <c r="K209" t="str">
        <f>IF(LEN(E209)&lt;&gt;0,_xlfn.XLOOKUP(E209,[1]!Entities[ID_with_x],[1]!Entities[Name_w_County],_xlfn.CONCAT("Entity ID ",RIGHT(Table3[[#This Row],[Sponsor_1_num]],8)," not found")),"")</f>
        <v/>
      </c>
      <c r="L209" t="str">
        <f>IF(LEN(F209)&lt;&gt;0,_xlfn.XLOOKUP(F209,[1]!Entities[ID_with_x],[1]!Entities[Name_w_County],_xlfn.CONCAT("Entity ID ",RIGHT(Table3[[#This Row],[Sponsor_1_num]],8)," not found")),"")</f>
        <v/>
      </c>
      <c r="M209" t="str">
        <f>IF(LEN(G209)&lt;&gt;0,_xlfn.XLOOKUP(G209,[1]!Entities[ID_with_x],[1]!Entities[Name_w_County],_xlfn.CONCAT("Entity ID ",RIGHT(Table3[[#This Row],[Sponsor_1_num]],8)," not found")),"")</f>
        <v/>
      </c>
      <c r="N209" t="str">
        <f>IF(LEN(H209)&lt;&gt;0,_xlfn.XLOOKUP(H209,[1]!Entities[ID_with_x],[1]!Entities[Name_w_County],_xlfn.CONCAT("Entity ID ",RIGHT(Table3[[#This Row],[Sponsor_1_num]],8)," not found")),"")</f>
        <v/>
      </c>
      <c r="O209" t="str">
        <f>IF(LEN(I209)&lt;&gt;0,_xlfn.XLOOKUP(I209,[1]!Entities[ID_with_x],[1]!Entities[Name_w_County],_xlfn.CONCAT("Entity ID ",RIGHT(Table3[[#This Row],[Sponsor_1_num]],8)," not found")),"")</f>
        <v/>
      </c>
      <c r="P209" t="str">
        <f>IF(LEN(J209)&lt;&gt;0,_xlfn.XLOOKUP(J209,[1]!Entities[ID_with_x],[1]!Entities[Name_w_County],_xlfn.CONCAT("Entity ID ",RIGHT(Table3[[#This Row],[Sponsor_1_num]],8)," not found")),"")</f>
        <v/>
      </c>
      <c r="Q209" t="str">
        <f>IF(LEN(K209)&gt;0,_xlfn.TEXTJOIN(", ",TRUE,K209:P209),Table3[[#This Row],[SPONSOR_LIST]])</f>
        <v>Grays Prairie</v>
      </c>
    </row>
    <row r="210" spans="1:17" x14ac:dyDescent="0.25">
      <c r="A210" s="304" t="s">
        <v>2368</v>
      </c>
      <c r="B210" t="s">
        <v>4506</v>
      </c>
      <c r="C210" t="str">
        <f t="shared" si="4"/>
        <v/>
      </c>
      <c r="D210" t="str">
        <f>SUBSTITUTE(SUBSTITUTE(Table3[[#This Row],[Sponsor_list_tranform]],",",",x")," ","")</f>
        <v/>
      </c>
      <c r="K210" t="str">
        <f>IF(LEN(E210)&lt;&gt;0,_xlfn.XLOOKUP(E210,[1]!Entities[ID_with_x],[1]!Entities[Name_w_County],_xlfn.CONCAT("Entity ID ",RIGHT(Table3[[#This Row],[Sponsor_1_num]],8)," not found")),"")</f>
        <v/>
      </c>
      <c r="L210" t="str">
        <f>IF(LEN(F210)&lt;&gt;0,_xlfn.XLOOKUP(F210,[1]!Entities[ID_with_x],[1]!Entities[Name_w_County],_xlfn.CONCAT("Entity ID ",RIGHT(Table3[[#This Row],[Sponsor_1_num]],8)," not found")),"")</f>
        <v/>
      </c>
      <c r="M210" t="str">
        <f>IF(LEN(G210)&lt;&gt;0,_xlfn.XLOOKUP(G210,[1]!Entities[ID_with_x],[1]!Entities[Name_w_County],_xlfn.CONCAT("Entity ID ",RIGHT(Table3[[#This Row],[Sponsor_1_num]],8)," not found")),"")</f>
        <v/>
      </c>
      <c r="N210" t="str">
        <f>IF(LEN(H210)&lt;&gt;0,_xlfn.XLOOKUP(H210,[1]!Entities[ID_with_x],[1]!Entities[Name_w_County],_xlfn.CONCAT("Entity ID ",RIGHT(Table3[[#This Row],[Sponsor_1_num]],8)," not found")),"")</f>
        <v/>
      </c>
      <c r="O210" t="str">
        <f>IF(LEN(I210)&lt;&gt;0,_xlfn.XLOOKUP(I210,[1]!Entities[ID_with_x],[1]!Entities[Name_w_County],_xlfn.CONCAT("Entity ID ",RIGHT(Table3[[#This Row],[Sponsor_1_num]],8)," not found")),"")</f>
        <v/>
      </c>
      <c r="P210" t="str">
        <f>IF(LEN(J210)&lt;&gt;0,_xlfn.XLOOKUP(J210,[1]!Entities[ID_with_x],[1]!Entities[Name_w_County],_xlfn.CONCAT("Entity ID ",RIGHT(Table3[[#This Row],[Sponsor_1_num]],8)," not found")),"")</f>
        <v/>
      </c>
      <c r="Q210" t="str">
        <f>IF(LEN(K210)&gt;0,_xlfn.TEXTJOIN(", ",TRUE,K210:P210),Table3[[#This Row],[SPONSOR_LIST]])</f>
        <v>Hebron</v>
      </c>
    </row>
    <row r="211" spans="1:17" x14ac:dyDescent="0.25">
      <c r="A211" s="304" t="s">
        <v>2373</v>
      </c>
      <c r="B211" t="s">
        <v>4508</v>
      </c>
      <c r="C211" t="str">
        <f t="shared" si="4"/>
        <v/>
      </c>
      <c r="D211" t="str">
        <f>SUBSTITUTE(SUBSTITUTE(Table3[[#This Row],[Sponsor_list_tranform]],",",",x")," ","")</f>
        <v/>
      </c>
      <c r="K211" t="str">
        <f>IF(LEN(E211)&lt;&gt;0,_xlfn.XLOOKUP(E211,[1]!Entities[ID_with_x],[1]!Entities[Name_w_County],_xlfn.CONCAT("Entity ID ",RIGHT(Table3[[#This Row],[Sponsor_1_num]],8)," not found")),"")</f>
        <v/>
      </c>
      <c r="L211" t="str">
        <f>IF(LEN(F211)&lt;&gt;0,_xlfn.XLOOKUP(F211,[1]!Entities[ID_with_x],[1]!Entities[Name_w_County],_xlfn.CONCAT("Entity ID ",RIGHT(Table3[[#This Row],[Sponsor_1_num]],8)," not found")),"")</f>
        <v/>
      </c>
      <c r="M211" t="str">
        <f>IF(LEN(G211)&lt;&gt;0,_xlfn.XLOOKUP(G211,[1]!Entities[ID_with_x],[1]!Entities[Name_w_County],_xlfn.CONCAT("Entity ID ",RIGHT(Table3[[#This Row],[Sponsor_1_num]],8)," not found")),"")</f>
        <v/>
      </c>
      <c r="N211" t="str">
        <f>IF(LEN(H211)&lt;&gt;0,_xlfn.XLOOKUP(H211,[1]!Entities[ID_with_x],[1]!Entities[Name_w_County],_xlfn.CONCAT("Entity ID ",RIGHT(Table3[[#This Row],[Sponsor_1_num]],8)," not found")),"")</f>
        <v/>
      </c>
      <c r="O211" t="str">
        <f>IF(LEN(I211)&lt;&gt;0,_xlfn.XLOOKUP(I211,[1]!Entities[ID_with_x],[1]!Entities[Name_w_County],_xlfn.CONCAT("Entity ID ",RIGHT(Table3[[#This Row],[Sponsor_1_num]],8)," not found")),"")</f>
        <v/>
      </c>
      <c r="P211" t="str">
        <f>IF(LEN(J211)&lt;&gt;0,_xlfn.XLOOKUP(J211,[1]!Entities[ID_with_x],[1]!Entities[Name_w_County],_xlfn.CONCAT("Entity ID ",RIGHT(Table3[[#This Row],[Sponsor_1_num]],8)," not found")),"")</f>
        <v/>
      </c>
      <c r="Q211" t="str">
        <f>IF(LEN(K211)&gt;0,_xlfn.TEXTJOIN(", ",TRUE,K211:P211),Table3[[#This Row],[SPONSOR_LIST]])</f>
        <v>Iola</v>
      </c>
    </row>
    <row r="212" spans="1:17" x14ac:dyDescent="0.25">
      <c r="A212" s="304" t="s">
        <v>2378</v>
      </c>
      <c r="B212" t="s">
        <v>4509</v>
      </c>
      <c r="C212" t="str">
        <f t="shared" si="4"/>
        <v/>
      </c>
      <c r="D212" t="str">
        <f>SUBSTITUTE(SUBSTITUTE(Table3[[#This Row],[Sponsor_list_tranform]],",",",x")," ","")</f>
        <v/>
      </c>
      <c r="K212" t="str">
        <f>IF(LEN(E212)&lt;&gt;0,_xlfn.XLOOKUP(E212,[1]!Entities[ID_with_x],[1]!Entities[Name_w_County],_xlfn.CONCAT("Entity ID ",RIGHT(Table3[[#This Row],[Sponsor_1_num]],8)," not found")),"")</f>
        <v/>
      </c>
      <c r="L212" t="str">
        <f>IF(LEN(F212)&lt;&gt;0,_xlfn.XLOOKUP(F212,[1]!Entities[ID_with_x],[1]!Entities[Name_w_County],_xlfn.CONCAT("Entity ID ",RIGHT(Table3[[#This Row],[Sponsor_1_num]],8)," not found")),"")</f>
        <v/>
      </c>
      <c r="M212" t="str">
        <f>IF(LEN(G212)&lt;&gt;0,_xlfn.XLOOKUP(G212,[1]!Entities[ID_with_x],[1]!Entities[Name_w_County],_xlfn.CONCAT("Entity ID ",RIGHT(Table3[[#This Row],[Sponsor_1_num]],8)," not found")),"")</f>
        <v/>
      </c>
      <c r="N212" t="str">
        <f>IF(LEN(H212)&lt;&gt;0,_xlfn.XLOOKUP(H212,[1]!Entities[ID_with_x],[1]!Entities[Name_w_County],_xlfn.CONCAT("Entity ID ",RIGHT(Table3[[#This Row],[Sponsor_1_num]],8)," not found")),"")</f>
        <v/>
      </c>
      <c r="O212" t="str">
        <f>IF(LEN(I212)&lt;&gt;0,_xlfn.XLOOKUP(I212,[1]!Entities[ID_with_x],[1]!Entities[Name_w_County],_xlfn.CONCAT("Entity ID ",RIGHT(Table3[[#This Row],[Sponsor_1_num]],8)," not found")),"")</f>
        <v/>
      </c>
      <c r="P212" t="str">
        <f>IF(LEN(J212)&lt;&gt;0,_xlfn.XLOOKUP(J212,[1]!Entities[ID_with_x],[1]!Entities[Name_w_County],_xlfn.CONCAT("Entity ID ",RIGHT(Table3[[#This Row],[Sponsor_1_num]],8)," not found")),"")</f>
        <v/>
      </c>
      <c r="Q212" t="str">
        <f>IF(LEN(K212)&gt;0,_xlfn.TEXTJOIN(", ",TRUE,K212:P212),Table3[[#This Row],[SPONSOR_LIST]])</f>
        <v>Kirvin</v>
      </c>
    </row>
    <row r="213" spans="1:17" x14ac:dyDescent="0.25">
      <c r="A213" s="304" t="s">
        <v>2386</v>
      </c>
      <c r="B213" t="s">
        <v>4510</v>
      </c>
      <c r="C213" t="str">
        <f t="shared" si="4"/>
        <v/>
      </c>
      <c r="D213" t="str">
        <f>SUBSTITUTE(SUBSTITUTE(Table3[[#This Row],[Sponsor_list_tranform]],",",",x")," ","")</f>
        <v/>
      </c>
      <c r="K213" t="str">
        <f>IF(LEN(E213)&lt;&gt;0,_xlfn.XLOOKUP(E213,[1]!Entities[ID_with_x],[1]!Entities[Name_w_County],_xlfn.CONCAT("Entity ID ",RIGHT(Table3[[#This Row],[Sponsor_1_num]],8)," not found")),"")</f>
        <v/>
      </c>
      <c r="L213" t="str">
        <f>IF(LEN(F213)&lt;&gt;0,_xlfn.XLOOKUP(F213,[1]!Entities[ID_with_x],[1]!Entities[Name_w_County],_xlfn.CONCAT("Entity ID ",RIGHT(Table3[[#This Row],[Sponsor_1_num]],8)," not found")),"")</f>
        <v/>
      </c>
      <c r="M213" t="str">
        <f>IF(LEN(G213)&lt;&gt;0,_xlfn.XLOOKUP(G213,[1]!Entities[ID_with_x],[1]!Entities[Name_w_County],_xlfn.CONCAT("Entity ID ",RIGHT(Table3[[#This Row],[Sponsor_1_num]],8)," not found")),"")</f>
        <v/>
      </c>
      <c r="N213" t="str">
        <f>IF(LEN(H213)&lt;&gt;0,_xlfn.XLOOKUP(H213,[1]!Entities[ID_with_x],[1]!Entities[Name_w_County],_xlfn.CONCAT("Entity ID ",RIGHT(Table3[[#This Row],[Sponsor_1_num]],8)," not found")),"")</f>
        <v/>
      </c>
      <c r="O213" t="str">
        <f>IF(LEN(I213)&lt;&gt;0,_xlfn.XLOOKUP(I213,[1]!Entities[ID_with_x],[1]!Entities[Name_w_County],_xlfn.CONCAT("Entity ID ",RIGHT(Table3[[#This Row],[Sponsor_1_num]],8)," not found")),"")</f>
        <v/>
      </c>
      <c r="P213" t="str">
        <f>IF(LEN(J213)&lt;&gt;0,_xlfn.XLOOKUP(J213,[1]!Entities[ID_with_x],[1]!Entities[Name_w_County],_xlfn.CONCAT("Entity ID ",RIGHT(Table3[[#This Row],[Sponsor_1_num]],8)," not found")),"")</f>
        <v/>
      </c>
      <c r="Q213" t="str">
        <f>IF(LEN(K213)&gt;0,_xlfn.TEXTJOIN(", ",TRUE,K213:P213),Table3[[#This Row],[SPONSOR_LIST]])</f>
        <v>Latexo</v>
      </c>
    </row>
    <row r="214" spans="1:17" x14ac:dyDescent="0.25">
      <c r="A214" s="304" t="s">
        <v>2392</v>
      </c>
      <c r="B214" t="s">
        <v>4511</v>
      </c>
      <c r="C214" t="str">
        <f t="shared" si="4"/>
        <v/>
      </c>
      <c r="D214" t="str">
        <f>SUBSTITUTE(SUBSTITUTE(Table3[[#This Row],[Sponsor_list_tranform]],",",",x")," ","")</f>
        <v/>
      </c>
      <c r="K214" t="str">
        <f>IF(LEN(E214)&lt;&gt;0,_xlfn.XLOOKUP(E214,[1]!Entities[ID_with_x],[1]!Entities[Name_w_County],_xlfn.CONCAT("Entity ID ",RIGHT(Table3[[#This Row],[Sponsor_1_num]],8)," not found")),"")</f>
        <v/>
      </c>
      <c r="L214" t="str">
        <f>IF(LEN(F214)&lt;&gt;0,_xlfn.XLOOKUP(F214,[1]!Entities[ID_with_x],[1]!Entities[Name_w_County],_xlfn.CONCAT("Entity ID ",RIGHT(Table3[[#This Row],[Sponsor_1_num]],8)," not found")),"")</f>
        <v/>
      </c>
      <c r="M214" t="str">
        <f>IF(LEN(G214)&lt;&gt;0,_xlfn.XLOOKUP(G214,[1]!Entities[ID_with_x],[1]!Entities[Name_w_County],_xlfn.CONCAT("Entity ID ",RIGHT(Table3[[#This Row],[Sponsor_1_num]],8)," not found")),"")</f>
        <v/>
      </c>
      <c r="N214" t="str">
        <f>IF(LEN(H214)&lt;&gt;0,_xlfn.XLOOKUP(H214,[1]!Entities[ID_with_x],[1]!Entities[Name_w_County],_xlfn.CONCAT("Entity ID ",RIGHT(Table3[[#This Row],[Sponsor_1_num]],8)," not found")),"")</f>
        <v/>
      </c>
      <c r="O214" t="str">
        <f>IF(LEN(I214)&lt;&gt;0,_xlfn.XLOOKUP(I214,[1]!Entities[ID_with_x],[1]!Entities[Name_w_County],_xlfn.CONCAT("Entity ID ",RIGHT(Table3[[#This Row],[Sponsor_1_num]],8)," not found")),"")</f>
        <v/>
      </c>
      <c r="P214" t="str">
        <f>IF(LEN(J214)&lt;&gt;0,_xlfn.XLOOKUP(J214,[1]!Entities[ID_with_x],[1]!Entities[Name_w_County],_xlfn.CONCAT("Entity ID ",RIGHT(Table3[[#This Row],[Sponsor_1_num]],8)," not found")),"")</f>
        <v/>
      </c>
      <c r="Q214" t="str">
        <f>IF(LEN(K214)&gt;0,_xlfn.TEXTJOIN(", ",TRUE,K214:P214),Table3[[#This Row],[SPONSOR_LIST]])</f>
        <v>Leona</v>
      </c>
    </row>
    <row r="215" spans="1:17" x14ac:dyDescent="0.25">
      <c r="A215" s="304" t="s">
        <v>2398</v>
      </c>
      <c r="B215" t="s">
        <v>4415</v>
      </c>
      <c r="C215" t="str">
        <f t="shared" si="4"/>
        <v/>
      </c>
      <c r="D215" t="str">
        <f>SUBSTITUTE(SUBSTITUTE(Table3[[#This Row],[Sponsor_list_tranform]],",",",x")," ","")</f>
        <v/>
      </c>
      <c r="K215" t="str">
        <f>IF(LEN(E215)&lt;&gt;0,_xlfn.XLOOKUP(E215,[1]!Entities[ID_with_x],[1]!Entities[Name_w_County],_xlfn.CONCAT("Entity ID ",RIGHT(Table3[[#This Row],[Sponsor_1_num]],8)," not found")),"")</f>
        <v/>
      </c>
      <c r="L215" t="str">
        <f>IF(LEN(F215)&lt;&gt;0,_xlfn.XLOOKUP(F215,[1]!Entities[ID_with_x],[1]!Entities[Name_w_County],_xlfn.CONCAT("Entity ID ",RIGHT(Table3[[#This Row],[Sponsor_1_num]],8)," not found")),"")</f>
        <v/>
      </c>
      <c r="M215" t="str">
        <f>IF(LEN(G215)&lt;&gt;0,_xlfn.XLOOKUP(G215,[1]!Entities[ID_with_x],[1]!Entities[Name_w_County],_xlfn.CONCAT("Entity ID ",RIGHT(Table3[[#This Row],[Sponsor_1_num]],8)," not found")),"")</f>
        <v/>
      </c>
      <c r="N215" t="str">
        <f>IF(LEN(H215)&lt;&gt;0,_xlfn.XLOOKUP(H215,[1]!Entities[ID_with_x],[1]!Entities[Name_w_County],_xlfn.CONCAT("Entity ID ",RIGHT(Table3[[#This Row],[Sponsor_1_num]],8)," not found")),"")</f>
        <v/>
      </c>
      <c r="O215" t="str">
        <f>IF(LEN(I215)&lt;&gt;0,_xlfn.XLOOKUP(I215,[1]!Entities[ID_with_x],[1]!Entities[Name_w_County],_xlfn.CONCAT("Entity ID ",RIGHT(Table3[[#This Row],[Sponsor_1_num]],8)," not found")),"")</f>
        <v/>
      </c>
      <c r="P215" t="str">
        <f>IF(LEN(J215)&lt;&gt;0,_xlfn.XLOOKUP(J215,[1]!Entities[ID_with_x],[1]!Entities[Name_w_County],_xlfn.CONCAT("Entity ID ",RIGHT(Table3[[#This Row],[Sponsor_1_num]],8)," not found")),"")</f>
        <v/>
      </c>
      <c r="Q215" t="str">
        <f>IF(LEN(K215)&gt;0,_xlfn.TEXTJOIN(", ",TRUE,K215:P215),Table3[[#This Row],[SPONSOR_LIST]])</f>
        <v>Midway</v>
      </c>
    </row>
    <row r="216" spans="1:17" x14ac:dyDescent="0.25">
      <c r="A216" s="304" t="s">
        <v>2407</v>
      </c>
      <c r="B216" t="s">
        <v>4513</v>
      </c>
      <c r="C216" t="str">
        <f t="shared" si="4"/>
        <v/>
      </c>
      <c r="D216" t="str">
        <f>SUBSTITUTE(SUBSTITUTE(Table3[[#This Row],[Sponsor_list_tranform]],",",",x")," ","")</f>
        <v/>
      </c>
      <c r="K216" t="str">
        <f>IF(LEN(E216)&lt;&gt;0,_xlfn.XLOOKUP(E216,[1]!Entities[ID_with_x],[1]!Entities[Name_w_County],_xlfn.CONCAT("Entity ID ",RIGHT(Table3[[#This Row],[Sponsor_1_num]],8)," not found")),"")</f>
        <v/>
      </c>
      <c r="L216" t="str">
        <f>IF(LEN(F216)&lt;&gt;0,_xlfn.XLOOKUP(F216,[1]!Entities[ID_with_x],[1]!Entities[Name_w_County],_xlfn.CONCAT("Entity ID ",RIGHT(Table3[[#This Row],[Sponsor_1_num]],8)," not found")),"")</f>
        <v/>
      </c>
      <c r="M216" t="str">
        <f>IF(LEN(G216)&lt;&gt;0,_xlfn.XLOOKUP(G216,[1]!Entities[ID_with_x],[1]!Entities[Name_w_County],_xlfn.CONCAT("Entity ID ",RIGHT(Table3[[#This Row],[Sponsor_1_num]],8)," not found")),"")</f>
        <v/>
      </c>
      <c r="N216" t="str">
        <f>IF(LEN(H216)&lt;&gt;0,_xlfn.XLOOKUP(H216,[1]!Entities[ID_with_x],[1]!Entities[Name_w_County],_xlfn.CONCAT("Entity ID ",RIGHT(Table3[[#This Row],[Sponsor_1_num]],8)," not found")),"")</f>
        <v/>
      </c>
      <c r="O216" t="str">
        <f>IF(LEN(I216)&lt;&gt;0,_xlfn.XLOOKUP(I216,[1]!Entities[ID_with_x],[1]!Entities[Name_w_County],_xlfn.CONCAT("Entity ID ",RIGHT(Table3[[#This Row],[Sponsor_1_num]],8)," not found")),"")</f>
        <v/>
      </c>
      <c r="P216" t="str">
        <f>IF(LEN(J216)&lt;&gt;0,_xlfn.XLOOKUP(J216,[1]!Entities[ID_with_x],[1]!Entities[Name_w_County],_xlfn.CONCAT("Entity ID ",RIGHT(Table3[[#This Row],[Sponsor_1_num]],8)," not found")),"")</f>
        <v/>
      </c>
      <c r="Q216" t="str">
        <f>IF(LEN(K216)&gt;0,_xlfn.TEXTJOIN(", ",TRUE,K216:P216),Table3[[#This Row],[SPONSOR_LIST]])</f>
        <v>Mustang</v>
      </c>
    </row>
    <row r="217" spans="1:17" x14ac:dyDescent="0.25">
      <c r="A217" s="304" t="s">
        <v>2412</v>
      </c>
      <c r="B217" t="s">
        <v>4515</v>
      </c>
      <c r="C217" t="str">
        <f t="shared" si="4"/>
        <v/>
      </c>
      <c r="D217" t="str">
        <f>SUBSTITUTE(SUBSTITUTE(Table3[[#This Row],[Sponsor_list_tranform]],",",",x")," ","")</f>
        <v/>
      </c>
      <c r="K217" t="str">
        <f>IF(LEN(E217)&lt;&gt;0,_xlfn.XLOOKUP(E217,[1]!Entities[ID_with_x],[1]!Entities[Name_w_County],_xlfn.CONCAT("Entity ID ",RIGHT(Table3[[#This Row],[Sponsor_1_num]],8)," not found")),"")</f>
        <v/>
      </c>
      <c r="L217" t="str">
        <f>IF(LEN(F217)&lt;&gt;0,_xlfn.XLOOKUP(F217,[1]!Entities[ID_with_x],[1]!Entities[Name_w_County],_xlfn.CONCAT("Entity ID ",RIGHT(Table3[[#This Row],[Sponsor_1_num]],8)," not found")),"")</f>
        <v/>
      </c>
      <c r="M217" t="str">
        <f>IF(LEN(G217)&lt;&gt;0,_xlfn.XLOOKUP(G217,[1]!Entities[ID_with_x],[1]!Entities[Name_w_County],_xlfn.CONCAT("Entity ID ",RIGHT(Table3[[#This Row],[Sponsor_1_num]],8)," not found")),"")</f>
        <v/>
      </c>
      <c r="N217" t="str">
        <f>IF(LEN(H217)&lt;&gt;0,_xlfn.XLOOKUP(H217,[1]!Entities[ID_with_x],[1]!Entities[Name_w_County],_xlfn.CONCAT("Entity ID ",RIGHT(Table3[[#This Row],[Sponsor_1_num]],8)," not found")),"")</f>
        <v/>
      </c>
      <c r="O217" t="str">
        <f>IF(LEN(I217)&lt;&gt;0,_xlfn.XLOOKUP(I217,[1]!Entities[ID_with_x],[1]!Entities[Name_w_County],_xlfn.CONCAT("Entity ID ",RIGHT(Table3[[#This Row],[Sponsor_1_num]],8)," not found")),"")</f>
        <v/>
      </c>
      <c r="P217" t="str">
        <f>IF(LEN(J217)&lt;&gt;0,_xlfn.XLOOKUP(J217,[1]!Entities[ID_with_x],[1]!Entities[Name_w_County],_xlfn.CONCAT("Entity ID ",RIGHT(Table3[[#This Row],[Sponsor_1_num]],8)," not found")),"")</f>
        <v/>
      </c>
      <c r="Q217" t="str">
        <f>IF(LEN(K217)&gt;0,_xlfn.TEXTJOIN(", ",TRUE,K217:P217),Table3[[#This Row],[SPONSOR_LIST]])</f>
        <v>Nevada</v>
      </c>
    </row>
    <row r="218" spans="1:17" x14ac:dyDescent="0.25">
      <c r="A218" s="304" t="s">
        <v>2417</v>
      </c>
      <c r="B218" t="s">
        <v>4516</v>
      </c>
      <c r="C218" t="str">
        <f t="shared" si="4"/>
        <v/>
      </c>
      <c r="D218" t="str">
        <f>SUBSTITUTE(SUBSTITUTE(Table3[[#This Row],[Sponsor_list_tranform]],",",",x")," ","")</f>
        <v/>
      </c>
      <c r="K218" t="str">
        <f>IF(LEN(E218)&lt;&gt;0,_xlfn.XLOOKUP(E218,[1]!Entities[ID_with_x],[1]!Entities[Name_w_County],_xlfn.CONCAT("Entity ID ",RIGHT(Table3[[#This Row],[Sponsor_1_num]],8)," not found")),"")</f>
        <v/>
      </c>
      <c r="L218" t="str">
        <f>IF(LEN(F218)&lt;&gt;0,_xlfn.XLOOKUP(F218,[1]!Entities[ID_with_x],[1]!Entities[Name_w_County],_xlfn.CONCAT("Entity ID ",RIGHT(Table3[[#This Row],[Sponsor_1_num]],8)," not found")),"")</f>
        <v/>
      </c>
      <c r="M218" t="str">
        <f>IF(LEN(G218)&lt;&gt;0,_xlfn.XLOOKUP(G218,[1]!Entities[ID_with_x],[1]!Entities[Name_w_County],_xlfn.CONCAT("Entity ID ",RIGHT(Table3[[#This Row],[Sponsor_1_num]],8)," not found")),"")</f>
        <v/>
      </c>
      <c r="N218" t="str">
        <f>IF(LEN(H218)&lt;&gt;0,_xlfn.XLOOKUP(H218,[1]!Entities[ID_with_x],[1]!Entities[Name_w_County],_xlfn.CONCAT("Entity ID ",RIGHT(Table3[[#This Row],[Sponsor_1_num]],8)," not found")),"")</f>
        <v/>
      </c>
      <c r="O218" t="str">
        <f>IF(LEN(I218)&lt;&gt;0,_xlfn.XLOOKUP(I218,[1]!Entities[ID_with_x],[1]!Entities[Name_w_County],_xlfn.CONCAT("Entity ID ",RIGHT(Table3[[#This Row],[Sponsor_1_num]],8)," not found")),"")</f>
        <v/>
      </c>
      <c r="P218" t="str">
        <f>IF(LEN(J218)&lt;&gt;0,_xlfn.XLOOKUP(J218,[1]!Entities[ID_with_x],[1]!Entities[Name_w_County],_xlfn.CONCAT("Entity ID ",RIGHT(Table3[[#This Row],[Sponsor_1_num]],8)," not found")),"")</f>
        <v/>
      </c>
      <c r="Q218" t="str">
        <f>IF(LEN(K218)&gt;0,_xlfn.TEXTJOIN(", ",TRUE,K218:P218),Table3[[#This Row],[SPONSOR_LIST]])</f>
        <v>Oak Grove</v>
      </c>
    </row>
    <row r="219" spans="1:17" x14ac:dyDescent="0.25">
      <c r="A219" s="304" t="s">
        <v>2421</v>
      </c>
      <c r="B219" t="s">
        <v>4517</v>
      </c>
      <c r="C219" t="str">
        <f t="shared" si="4"/>
        <v/>
      </c>
      <c r="D219" t="str">
        <f>SUBSTITUTE(SUBSTITUTE(Table3[[#This Row],[Sponsor_list_tranform]],",",",x")," ","")</f>
        <v/>
      </c>
      <c r="K219" t="str">
        <f>IF(LEN(E219)&lt;&gt;0,_xlfn.XLOOKUP(E219,[1]!Entities[ID_with_x],[1]!Entities[Name_w_County],_xlfn.CONCAT("Entity ID ",RIGHT(Table3[[#This Row],[Sponsor_1_num]],8)," not found")),"")</f>
        <v/>
      </c>
      <c r="L219" t="str">
        <f>IF(LEN(F219)&lt;&gt;0,_xlfn.XLOOKUP(F219,[1]!Entities[ID_with_x],[1]!Entities[Name_w_County],_xlfn.CONCAT("Entity ID ",RIGHT(Table3[[#This Row],[Sponsor_1_num]],8)," not found")),"")</f>
        <v/>
      </c>
      <c r="M219" t="str">
        <f>IF(LEN(G219)&lt;&gt;0,_xlfn.XLOOKUP(G219,[1]!Entities[ID_with_x],[1]!Entities[Name_w_County],_xlfn.CONCAT("Entity ID ",RIGHT(Table3[[#This Row],[Sponsor_1_num]],8)," not found")),"")</f>
        <v/>
      </c>
      <c r="N219" t="str">
        <f>IF(LEN(H219)&lt;&gt;0,_xlfn.XLOOKUP(H219,[1]!Entities[ID_with_x],[1]!Entities[Name_w_County],_xlfn.CONCAT("Entity ID ",RIGHT(Table3[[#This Row],[Sponsor_1_num]],8)," not found")),"")</f>
        <v/>
      </c>
      <c r="O219" t="str">
        <f>IF(LEN(I219)&lt;&gt;0,_xlfn.XLOOKUP(I219,[1]!Entities[ID_with_x],[1]!Entities[Name_w_County],_xlfn.CONCAT("Entity ID ",RIGHT(Table3[[#This Row],[Sponsor_1_num]],8)," not found")),"")</f>
        <v/>
      </c>
      <c r="P219" t="str">
        <f>IF(LEN(J219)&lt;&gt;0,_xlfn.XLOOKUP(J219,[1]!Entities[ID_with_x],[1]!Entities[Name_w_County],_xlfn.CONCAT("Entity ID ",RIGHT(Table3[[#This Row],[Sponsor_1_num]],8)," not found")),"")</f>
        <v/>
      </c>
      <c r="Q219" t="str">
        <f>IF(LEN(K219)&gt;0,_xlfn.TEXTJOIN(", ",TRUE,K219:P219),Table3[[#This Row],[SPONSOR_LIST]])</f>
        <v>Oak Valley</v>
      </c>
    </row>
    <row r="220" spans="1:17" x14ac:dyDescent="0.25">
      <c r="A220" s="304" t="s">
        <v>2427</v>
      </c>
      <c r="B220" t="s">
        <v>4518</v>
      </c>
      <c r="C220" t="str">
        <f t="shared" si="4"/>
        <v/>
      </c>
      <c r="D220" t="str">
        <f>SUBSTITUTE(SUBSTITUTE(Table3[[#This Row],[Sponsor_list_tranform]],",",",x")," ","")</f>
        <v/>
      </c>
      <c r="K220" t="str">
        <f>IF(LEN(E220)&lt;&gt;0,_xlfn.XLOOKUP(E220,[1]!Entities[ID_with_x],[1]!Entities[Name_w_County],_xlfn.CONCAT("Entity ID ",RIGHT(Table3[[#This Row],[Sponsor_1_num]],8)," not found")),"")</f>
        <v/>
      </c>
      <c r="L220" t="str">
        <f>IF(LEN(F220)&lt;&gt;0,_xlfn.XLOOKUP(F220,[1]!Entities[ID_with_x],[1]!Entities[Name_w_County],_xlfn.CONCAT("Entity ID ",RIGHT(Table3[[#This Row],[Sponsor_1_num]],8)," not found")),"")</f>
        <v/>
      </c>
      <c r="M220" t="str">
        <f>IF(LEN(G220)&lt;&gt;0,_xlfn.XLOOKUP(G220,[1]!Entities[ID_with_x],[1]!Entities[Name_w_County],_xlfn.CONCAT("Entity ID ",RIGHT(Table3[[#This Row],[Sponsor_1_num]],8)," not found")),"")</f>
        <v/>
      </c>
      <c r="N220" t="str">
        <f>IF(LEN(H220)&lt;&gt;0,_xlfn.XLOOKUP(H220,[1]!Entities[ID_with_x],[1]!Entities[Name_w_County],_xlfn.CONCAT("Entity ID ",RIGHT(Table3[[#This Row],[Sponsor_1_num]],8)," not found")),"")</f>
        <v/>
      </c>
      <c r="O220" t="str">
        <f>IF(LEN(I220)&lt;&gt;0,_xlfn.XLOOKUP(I220,[1]!Entities[ID_with_x],[1]!Entities[Name_w_County],_xlfn.CONCAT("Entity ID ",RIGHT(Table3[[#This Row],[Sponsor_1_num]],8)," not found")),"")</f>
        <v/>
      </c>
      <c r="P220" t="str">
        <f>IF(LEN(J220)&lt;&gt;0,_xlfn.XLOOKUP(J220,[1]!Entities[ID_with_x],[1]!Entities[Name_w_County],_xlfn.CONCAT("Entity ID ",RIGHT(Table3[[#This Row],[Sponsor_1_num]],8)," not found")),"")</f>
        <v/>
      </c>
      <c r="Q220" t="str">
        <f>IF(LEN(K220)&gt;0,_xlfn.TEXTJOIN(", ",TRUE,K220:P220),Table3[[#This Row],[SPONSOR_LIST]])</f>
        <v>Penelope</v>
      </c>
    </row>
    <row r="221" spans="1:17" x14ac:dyDescent="0.25">
      <c r="A221" s="304" t="s">
        <v>2432</v>
      </c>
      <c r="B221" t="s">
        <v>4519</v>
      </c>
      <c r="C221" t="str">
        <f t="shared" si="4"/>
        <v/>
      </c>
      <c r="D221" t="str">
        <f>SUBSTITUTE(SUBSTITUTE(Table3[[#This Row],[Sponsor_list_tranform]],",",",x")," ","")</f>
        <v/>
      </c>
      <c r="K221" t="str">
        <f>IF(LEN(E221)&lt;&gt;0,_xlfn.XLOOKUP(E221,[1]!Entities[ID_with_x],[1]!Entities[Name_w_County],_xlfn.CONCAT("Entity ID ",RIGHT(Table3[[#This Row],[Sponsor_1_num]],8)," not found")),"")</f>
        <v/>
      </c>
      <c r="L221" t="str">
        <f>IF(LEN(F221)&lt;&gt;0,_xlfn.XLOOKUP(F221,[1]!Entities[ID_with_x],[1]!Entities[Name_w_County],_xlfn.CONCAT("Entity ID ",RIGHT(Table3[[#This Row],[Sponsor_1_num]],8)," not found")),"")</f>
        <v/>
      </c>
      <c r="M221" t="str">
        <f>IF(LEN(G221)&lt;&gt;0,_xlfn.XLOOKUP(G221,[1]!Entities[ID_with_x],[1]!Entities[Name_w_County],_xlfn.CONCAT("Entity ID ",RIGHT(Table3[[#This Row],[Sponsor_1_num]],8)," not found")),"")</f>
        <v/>
      </c>
      <c r="N221" t="str">
        <f>IF(LEN(H221)&lt;&gt;0,_xlfn.XLOOKUP(H221,[1]!Entities[ID_with_x],[1]!Entities[Name_w_County],_xlfn.CONCAT("Entity ID ",RIGHT(Table3[[#This Row],[Sponsor_1_num]],8)," not found")),"")</f>
        <v/>
      </c>
      <c r="O221" t="str">
        <f>IF(LEN(I221)&lt;&gt;0,_xlfn.XLOOKUP(I221,[1]!Entities[ID_with_x],[1]!Entities[Name_w_County],_xlfn.CONCAT("Entity ID ",RIGHT(Table3[[#This Row],[Sponsor_1_num]],8)," not found")),"")</f>
        <v/>
      </c>
      <c r="P221" t="str">
        <f>IF(LEN(J221)&lt;&gt;0,_xlfn.XLOOKUP(J221,[1]!Entities[ID_with_x],[1]!Entities[Name_w_County],_xlfn.CONCAT("Entity ID ",RIGHT(Table3[[#This Row],[Sponsor_1_num]],8)," not found")),"")</f>
        <v/>
      </c>
      <c r="Q221" t="str">
        <f>IF(LEN(K221)&gt;0,_xlfn.TEXTJOIN(", ",TRUE,K221:P221),Table3[[#This Row],[SPONSOR_LIST]])</f>
        <v>Post Oak Bend</v>
      </c>
    </row>
    <row r="222" spans="1:17" x14ac:dyDescent="0.25">
      <c r="A222" s="304" t="s">
        <v>2437</v>
      </c>
      <c r="B222" t="s">
        <v>4521</v>
      </c>
      <c r="C222" t="str">
        <f t="shared" si="4"/>
        <v/>
      </c>
      <c r="D222" t="str">
        <f>SUBSTITUTE(SUBSTITUTE(Table3[[#This Row],[Sponsor_list_tranform]],",",",x")," ","")</f>
        <v/>
      </c>
      <c r="K222" t="str">
        <f>IF(LEN(E222)&lt;&gt;0,_xlfn.XLOOKUP(E222,[1]!Entities[ID_with_x],[1]!Entities[Name_w_County],_xlfn.CONCAT("Entity ID ",RIGHT(Table3[[#This Row],[Sponsor_1_num]],8)," not found")),"")</f>
        <v/>
      </c>
      <c r="L222" t="str">
        <f>IF(LEN(F222)&lt;&gt;0,_xlfn.XLOOKUP(F222,[1]!Entities[ID_with_x],[1]!Entities[Name_w_County],_xlfn.CONCAT("Entity ID ",RIGHT(Table3[[#This Row],[Sponsor_1_num]],8)," not found")),"")</f>
        <v/>
      </c>
      <c r="M222" t="str">
        <f>IF(LEN(G222)&lt;&gt;0,_xlfn.XLOOKUP(G222,[1]!Entities[ID_with_x],[1]!Entities[Name_w_County],_xlfn.CONCAT("Entity ID ",RIGHT(Table3[[#This Row],[Sponsor_1_num]],8)," not found")),"")</f>
        <v/>
      </c>
      <c r="N222" t="str">
        <f>IF(LEN(H222)&lt;&gt;0,_xlfn.XLOOKUP(H222,[1]!Entities[ID_with_x],[1]!Entities[Name_w_County],_xlfn.CONCAT("Entity ID ",RIGHT(Table3[[#This Row],[Sponsor_1_num]],8)," not found")),"")</f>
        <v/>
      </c>
      <c r="O222" t="str">
        <f>IF(LEN(I222)&lt;&gt;0,_xlfn.XLOOKUP(I222,[1]!Entities[ID_with_x],[1]!Entities[Name_w_County],_xlfn.CONCAT("Entity ID ",RIGHT(Table3[[#This Row],[Sponsor_1_num]],8)," not found")),"")</f>
        <v/>
      </c>
      <c r="P222" t="str">
        <f>IF(LEN(J222)&lt;&gt;0,_xlfn.XLOOKUP(J222,[1]!Entities[ID_with_x],[1]!Entities[Name_w_County],_xlfn.CONCAT("Entity ID ",RIGHT(Table3[[#This Row],[Sponsor_1_num]],8)," not found")),"")</f>
        <v/>
      </c>
      <c r="Q222" t="str">
        <f>IF(LEN(K222)&gt;0,_xlfn.TEXTJOIN(", ",TRUE,K222:P222),Table3[[#This Row],[SPONSOR_LIST]])</f>
        <v>Providence Village</v>
      </c>
    </row>
    <row r="223" spans="1:17" x14ac:dyDescent="0.25">
      <c r="A223" s="304" t="s">
        <v>2472</v>
      </c>
      <c r="B223" t="s">
        <v>4529</v>
      </c>
      <c r="C223" t="str">
        <f t="shared" si="4"/>
        <v/>
      </c>
      <c r="D223" t="str">
        <f>SUBSTITUTE(SUBSTITUTE(Table3[[#This Row],[Sponsor_list_tranform]],",",",x")," ","")</f>
        <v/>
      </c>
      <c r="K223" t="str">
        <f>IF(LEN(E223)&lt;&gt;0,_xlfn.XLOOKUP(E223,[1]!Entities[ID_with_x],[1]!Entities[Name_w_County],_xlfn.CONCAT("Entity ID ",RIGHT(Table3[[#This Row],[Sponsor_1_num]],8)," not found")),"")</f>
        <v/>
      </c>
      <c r="L223" t="str">
        <f>IF(LEN(F223)&lt;&gt;0,_xlfn.XLOOKUP(F223,[1]!Entities[ID_with_x],[1]!Entities[Name_w_County],_xlfn.CONCAT("Entity ID ",RIGHT(Table3[[#This Row],[Sponsor_1_num]],8)," not found")),"")</f>
        <v/>
      </c>
      <c r="M223" t="str">
        <f>IF(LEN(G223)&lt;&gt;0,_xlfn.XLOOKUP(G223,[1]!Entities[ID_with_x],[1]!Entities[Name_w_County],_xlfn.CONCAT("Entity ID ",RIGHT(Table3[[#This Row],[Sponsor_1_num]],8)," not found")),"")</f>
        <v/>
      </c>
      <c r="N223" t="str">
        <f>IF(LEN(H223)&lt;&gt;0,_xlfn.XLOOKUP(H223,[1]!Entities[ID_with_x],[1]!Entities[Name_w_County],_xlfn.CONCAT("Entity ID ",RIGHT(Table3[[#This Row],[Sponsor_1_num]],8)," not found")),"")</f>
        <v/>
      </c>
      <c r="O223" t="str">
        <f>IF(LEN(I223)&lt;&gt;0,_xlfn.XLOOKUP(I223,[1]!Entities[ID_with_x],[1]!Entities[Name_w_County],_xlfn.CONCAT("Entity ID ",RIGHT(Table3[[#This Row],[Sponsor_1_num]],8)," not found")),"")</f>
        <v/>
      </c>
      <c r="P223" t="str">
        <f>IF(LEN(J223)&lt;&gt;0,_xlfn.XLOOKUP(J223,[1]!Entities[ID_with_x],[1]!Entities[Name_w_County],_xlfn.CONCAT("Entity ID ",RIGHT(Table3[[#This Row],[Sponsor_1_num]],8)," not found")),"")</f>
        <v/>
      </c>
      <c r="Q223" t="str">
        <f>IF(LEN(K223)&gt;0,_xlfn.TEXTJOIN(", ",TRUE,K223:P223),Table3[[#This Row],[SPONSOR_LIST]])</f>
        <v>Road Runner</v>
      </c>
    </row>
    <row r="224" spans="1:17" x14ac:dyDescent="0.25">
      <c r="A224" s="304" t="s">
        <v>2441</v>
      </c>
      <c r="B224" t="s">
        <v>4522</v>
      </c>
      <c r="C224" t="str">
        <f t="shared" si="4"/>
        <v/>
      </c>
      <c r="D224" t="str">
        <f>SUBSTITUTE(SUBSTITUTE(Table3[[#This Row],[Sponsor_list_tranform]],",",",x")," ","")</f>
        <v/>
      </c>
      <c r="K224" t="str">
        <f>IF(LEN(E224)&lt;&gt;0,_xlfn.XLOOKUP(E224,[1]!Entities[ID_with_x],[1]!Entities[Name_w_County],_xlfn.CONCAT("Entity ID ",RIGHT(Table3[[#This Row],[Sponsor_1_num]],8)," not found")),"")</f>
        <v/>
      </c>
      <c r="L224" t="str">
        <f>IF(LEN(F224)&lt;&gt;0,_xlfn.XLOOKUP(F224,[1]!Entities[ID_with_x],[1]!Entities[Name_w_County],_xlfn.CONCAT("Entity ID ",RIGHT(Table3[[#This Row],[Sponsor_1_num]],8)," not found")),"")</f>
        <v/>
      </c>
      <c r="M224" t="str">
        <f>IF(LEN(G224)&lt;&gt;0,_xlfn.XLOOKUP(G224,[1]!Entities[ID_with_x],[1]!Entities[Name_w_County],_xlfn.CONCAT("Entity ID ",RIGHT(Table3[[#This Row],[Sponsor_1_num]],8)," not found")),"")</f>
        <v/>
      </c>
      <c r="N224" t="str">
        <f>IF(LEN(H224)&lt;&gt;0,_xlfn.XLOOKUP(H224,[1]!Entities[ID_with_x],[1]!Entities[Name_w_County],_xlfn.CONCAT("Entity ID ",RIGHT(Table3[[#This Row],[Sponsor_1_num]],8)," not found")),"")</f>
        <v/>
      </c>
      <c r="O224" t="str">
        <f>IF(LEN(I224)&lt;&gt;0,_xlfn.XLOOKUP(I224,[1]!Entities[ID_with_x],[1]!Entities[Name_w_County],_xlfn.CONCAT("Entity ID ",RIGHT(Table3[[#This Row],[Sponsor_1_num]],8)," not found")),"")</f>
        <v/>
      </c>
      <c r="P224" t="str">
        <f>IF(LEN(J224)&lt;&gt;0,_xlfn.XLOOKUP(J224,[1]!Entities[ID_with_x],[1]!Entities[Name_w_County],_xlfn.CONCAT("Entity ID ",RIGHT(Table3[[#This Row],[Sponsor_1_num]],8)," not found")),"")</f>
        <v/>
      </c>
      <c r="Q224" t="str">
        <f>IF(LEN(K224)&gt;0,_xlfn.TEXTJOIN(", ",TRUE,K224:P224),Table3[[#This Row],[SPONSOR_LIST]])</f>
        <v>Rosser</v>
      </c>
    </row>
    <row r="225" spans="1:17" x14ac:dyDescent="0.25">
      <c r="A225" s="304" t="s">
        <v>2446</v>
      </c>
      <c r="B225" t="s">
        <v>4524</v>
      </c>
      <c r="C225" t="str">
        <f t="shared" si="4"/>
        <v/>
      </c>
      <c r="D225" t="str">
        <f>SUBSTITUTE(SUBSTITUTE(Table3[[#This Row],[Sponsor_list_tranform]],",",",x")," ","")</f>
        <v/>
      </c>
      <c r="K225" t="str">
        <f>IF(LEN(E225)&lt;&gt;0,_xlfn.XLOOKUP(E225,[1]!Entities[ID_with_x],[1]!Entities[Name_w_County],_xlfn.CONCAT("Entity ID ",RIGHT(Table3[[#This Row],[Sponsor_1_num]],8)," not found")),"")</f>
        <v/>
      </c>
      <c r="L225" t="str">
        <f>IF(LEN(F225)&lt;&gt;0,_xlfn.XLOOKUP(F225,[1]!Entities[ID_with_x],[1]!Entities[Name_w_County],_xlfn.CONCAT("Entity ID ",RIGHT(Table3[[#This Row],[Sponsor_1_num]],8)," not found")),"")</f>
        <v/>
      </c>
      <c r="M225" t="str">
        <f>IF(LEN(G225)&lt;&gt;0,_xlfn.XLOOKUP(G225,[1]!Entities[ID_with_x],[1]!Entities[Name_w_County],_xlfn.CONCAT("Entity ID ",RIGHT(Table3[[#This Row],[Sponsor_1_num]],8)," not found")),"")</f>
        <v/>
      </c>
      <c r="N225" t="str">
        <f>IF(LEN(H225)&lt;&gt;0,_xlfn.XLOOKUP(H225,[1]!Entities[ID_with_x],[1]!Entities[Name_w_County],_xlfn.CONCAT("Entity ID ",RIGHT(Table3[[#This Row],[Sponsor_1_num]],8)," not found")),"")</f>
        <v/>
      </c>
      <c r="O225" t="str">
        <f>IF(LEN(I225)&lt;&gt;0,_xlfn.XLOOKUP(I225,[1]!Entities[ID_with_x],[1]!Entities[Name_w_County],_xlfn.CONCAT("Entity ID ",RIGHT(Table3[[#This Row],[Sponsor_1_num]],8)," not found")),"")</f>
        <v/>
      </c>
      <c r="P225" t="str">
        <f>IF(LEN(J225)&lt;&gt;0,_xlfn.XLOOKUP(J225,[1]!Entities[ID_with_x],[1]!Entities[Name_w_County],_xlfn.CONCAT("Entity ID ",RIGHT(Table3[[#This Row],[Sponsor_1_num]],8)," not found")),"")</f>
        <v/>
      </c>
      <c r="Q225" t="str">
        <f>IF(LEN(K225)&gt;0,_xlfn.TEXTJOIN(", ",TRUE,K225:P225),Table3[[#This Row],[SPONSOR_LIST]])</f>
        <v>Tehuacana</v>
      </c>
    </row>
    <row r="226" spans="1:17" x14ac:dyDescent="0.25">
      <c r="A226" s="304" t="s">
        <v>2457</v>
      </c>
      <c r="B226" t="s">
        <v>2091</v>
      </c>
      <c r="C226" t="str">
        <f t="shared" si="4"/>
        <v/>
      </c>
      <c r="D226" t="str">
        <f>SUBSTITUTE(SUBSTITUTE(Table3[[#This Row],[Sponsor_list_tranform]],",",",x")," ","")</f>
        <v/>
      </c>
      <c r="K226" t="str">
        <f>IF(LEN(E226)&lt;&gt;0,_xlfn.XLOOKUP(E226,[1]!Entities[ID_with_x],[1]!Entities[Name_w_County],_xlfn.CONCAT("Entity ID ",RIGHT(Table3[[#This Row],[Sponsor_1_num]],8)," not found")),"")</f>
        <v/>
      </c>
      <c r="L226" t="str">
        <f>IF(LEN(F226)&lt;&gt;0,_xlfn.XLOOKUP(F226,[1]!Entities[ID_with_x],[1]!Entities[Name_w_County],_xlfn.CONCAT("Entity ID ",RIGHT(Table3[[#This Row],[Sponsor_1_num]],8)," not found")),"")</f>
        <v/>
      </c>
      <c r="M226" t="str">
        <f>IF(LEN(G226)&lt;&gt;0,_xlfn.XLOOKUP(G226,[1]!Entities[ID_with_x],[1]!Entities[Name_w_County],_xlfn.CONCAT("Entity ID ",RIGHT(Table3[[#This Row],[Sponsor_1_num]],8)," not found")),"")</f>
        <v/>
      </c>
      <c r="N226" t="str">
        <f>IF(LEN(H226)&lt;&gt;0,_xlfn.XLOOKUP(H226,[1]!Entities[ID_with_x],[1]!Entities[Name_w_County],_xlfn.CONCAT("Entity ID ",RIGHT(Table3[[#This Row],[Sponsor_1_num]],8)," not found")),"")</f>
        <v/>
      </c>
      <c r="O226" t="str">
        <f>IF(LEN(I226)&lt;&gt;0,_xlfn.XLOOKUP(I226,[1]!Entities[ID_with_x],[1]!Entities[Name_w_County],_xlfn.CONCAT("Entity ID ",RIGHT(Table3[[#This Row],[Sponsor_1_num]],8)," not found")),"")</f>
        <v/>
      </c>
      <c r="P226" t="str">
        <f>IF(LEN(J226)&lt;&gt;0,_xlfn.XLOOKUP(J226,[1]!Entities[ID_with_x],[1]!Entities[Name_w_County],_xlfn.CONCAT("Entity ID ",RIGHT(Table3[[#This Row],[Sponsor_1_num]],8)," not found")),"")</f>
        <v/>
      </c>
      <c r="Q226" t="str">
        <f>IF(LEN(K226)&gt;0,_xlfn.TEXTJOIN(", ",TRUE,K226:P226),Table3[[#This Row],[SPONSOR_LIST]])</f>
        <v>Dallas</v>
      </c>
    </row>
    <row r="227" spans="1:17" x14ac:dyDescent="0.25">
      <c r="A227" s="304" t="s">
        <v>2462</v>
      </c>
      <c r="B227" t="s">
        <v>4528</v>
      </c>
      <c r="C227" t="str">
        <f t="shared" si="4"/>
        <v/>
      </c>
      <c r="D227" t="str">
        <f>SUBSTITUTE(SUBSTITUTE(Table3[[#This Row],[Sponsor_list_tranform]],",",",x")," ","")</f>
        <v/>
      </c>
      <c r="K227" t="str">
        <f>IF(LEN(E227)&lt;&gt;0,_xlfn.XLOOKUP(E227,[1]!Entities[ID_with_x],[1]!Entities[Name_w_County],_xlfn.CONCAT("Entity ID ",RIGHT(Table3[[#This Row],[Sponsor_1_num]],8)," not found")),"")</f>
        <v/>
      </c>
      <c r="L227" t="str">
        <f>IF(LEN(F227)&lt;&gt;0,_xlfn.XLOOKUP(F227,[1]!Entities[ID_with_x],[1]!Entities[Name_w_County],_xlfn.CONCAT("Entity ID ",RIGHT(Table3[[#This Row],[Sponsor_1_num]],8)," not found")),"")</f>
        <v/>
      </c>
      <c r="M227" t="str">
        <f>IF(LEN(G227)&lt;&gt;0,_xlfn.XLOOKUP(G227,[1]!Entities[ID_with_x],[1]!Entities[Name_w_County],_xlfn.CONCAT("Entity ID ",RIGHT(Table3[[#This Row],[Sponsor_1_num]],8)," not found")),"")</f>
        <v/>
      </c>
      <c r="N227" t="str">
        <f>IF(LEN(H227)&lt;&gt;0,_xlfn.XLOOKUP(H227,[1]!Entities[ID_with_x],[1]!Entities[Name_w_County],_xlfn.CONCAT("Entity ID ",RIGHT(Table3[[#This Row],[Sponsor_1_num]],8)," not found")),"")</f>
        <v/>
      </c>
      <c r="O227" t="str">
        <f>IF(LEN(I227)&lt;&gt;0,_xlfn.XLOOKUP(I227,[1]!Entities[ID_with_x],[1]!Entities[Name_w_County],_xlfn.CONCAT("Entity ID ",RIGHT(Table3[[#This Row],[Sponsor_1_num]],8)," not found")),"")</f>
        <v/>
      </c>
      <c r="P227" t="str">
        <f>IF(LEN(J227)&lt;&gt;0,_xlfn.XLOOKUP(J227,[1]!Entities[ID_with_x],[1]!Entities[Name_w_County],_xlfn.CONCAT("Entity ID ",RIGHT(Table3[[#This Row],[Sponsor_1_num]],8)," not found")),"")</f>
        <v/>
      </c>
      <c r="Q227" t="str">
        <f>IF(LEN(K227)&gt;0,_xlfn.TEXTJOIN(", ",TRUE,K227:P227),Table3[[#This Row],[SPONSOR_LIST]])</f>
        <v>Fort Worth</v>
      </c>
    </row>
    <row r="228" spans="1:17" x14ac:dyDescent="0.25">
      <c r="A228" s="304" t="s">
        <v>2468</v>
      </c>
      <c r="B228" t="s">
        <v>4431</v>
      </c>
      <c r="C228" t="str">
        <f t="shared" si="4"/>
        <v/>
      </c>
      <c r="D228" t="str">
        <f>SUBSTITUTE(SUBSTITUTE(Table3[[#This Row],[Sponsor_list_tranform]],",",",x")," ","")</f>
        <v/>
      </c>
      <c r="K228" t="str">
        <f>IF(LEN(E228)&lt;&gt;0,_xlfn.XLOOKUP(E228,[1]!Entities[ID_with_x],[1]!Entities[Name_w_County],_xlfn.CONCAT("Entity ID ",RIGHT(Table3[[#This Row],[Sponsor_1_num]],8)," not found")),"")</f>
        <v/>
      </c>
      <c r="L228" t="str">
        <f>IF(LEN(F228)&lt;&gt;0,_xlfn.XLOOKUP(F228,[1]!Entities[ID_with_x],[1]!Entities[Name_w_County],_xlfn.CONCAT("Entity ID ",RIGHT(Table3[[#This Row],[Sponsor_1_num]],8)," not found")),"")</f>
        <v/>
      </c>
      <c r="M228" t="str">
        <f>IF(LEN(G228)&lt;&gt;0,_xlfn.XLOOKUP(G228,[1]!Entities[ID_with_x],[1]!Entities[Name_w_County],_xlfn.CONCAT("Entity ID ",RIGHT(Table3[[#This Row],[Sponsor_1_num]],8)," not found")),"")</f>
        <v/>
      </c>
      <c r="N228" t="str">
        <f>IF(LEN(H228)&lt;&gt;0,_xlfn.XLOOKUP(H228,[1]!Entities[ID_with_x],[1]!Entities[Name_w_County],_xlfn.CONCAT("Entity ID ",RIGHT(Table3[[#This Row],[Sponsor_1_num]],8)," not found")),"")</f>
        <v/>
      </c>
      <c r="O228" t="str">
        <f>IF(LEN(I228)&lt;&gt;0,_xlfn.XLOOKUP(I228,[1]!Entities[ID_with_x],[1]!Entities[Name_w_County],_xlfn.CONCAT("Entity ID ",RIGHT(Table3[[#This Row],[Sponsor_1_num]],8)," not found")),"")</f>
        <v/>
      </c>
      <c r="P228" t="str">
        <f>IF(LEN(J228)&lt;&gt;0,_xlfn.XLOOKUP(J228,[1]!Entities[ID_with_x],[1]!Entities[Name_w_County],_xlfn.CONCAT("Entity ID ",RIGHT(Table3[[#This Row],[Sponsor_1_num]],8)," not found")),"")</f>
        <v/>
      </c>
      <c r="Q228" t="str">
        <f>IF(LEN(K228)&gt;0,_xlfn.TEXTJOIN(", ",TRUE,K228:P228),Table3[[#This Row],[SPONSOR_LIST]])</f>
        <v>Lindsay</v>
      </c>
    </row>
    <row r="229" spans="1:17" x14ac:dyDescent="0.25">
      <c r="A229" s="304" t="s">
        <v>2401</v>
      </c>
      <c r="B229" t="s">
        <v>4512</v>
      </c>
      <c r="C229" t="str">
        <f t="shared" si="4"/>
        <v/>
      </c>
      <c r="D229" t="str">
        <f>SUBSTITUTE(SUBSTITUTE(Table3[[#This Row],[Sponsor_list_tranform]],",",",x")," ","")</f>
        <v/>
      </c>
      <c r="K229" t="str">
        <f>IF(LEN(E229)&lt;&gt;0,_xlfn.XLOOKUP(E229,[1]!Entities[ID_with_x],[1]!Entities[Name_w_County],_xlfn.CONCAT("Entity ID ",RIGHT(Table3[[#This Row],[Sponsor_1_num]],8)," not found")),"")</f>
        <v/>
      </c>
      <c r="L229" t="str">
        <f>IF(LEN(F229)&lt;&gt;0,_xlfn.XLOOKUP(F229,[1]!Entities[ID_with_x],[1]!Entities[Name_w_County],_xlfn.CONCAT("Entity ID ",RIGHT(Table3[[#This Row],[Sponsor_1_num]],8)," not found")),"")</f>
        <v/>
      </c>
      <c r="M229" t="str">
        <f>IF(LEN(G229)&lt;&gt;0,_xlfn.XLOOKUP(G229,[1]!Entities[ID_with_x],[1]!Entities[Name_w_County],_xlfn.CONCAT("Entity ID ",RIGHT(Table3[[#This Row],[Sponsor_1_num]],8)," not found")),"")</f>
        <v/>
      </c>
      <c r="N229" t="str">
        <f>IF(LEN(H229)&lt;&gt;0,_xlfn.XLOOKUP(H229,[1]!Entities[ID_with_x],[1]!Entities[Name_w_County],_xlfn.CONCAT("Entity ID ",RIGHT(Table3[[#This Row],[Sponsor_1_num]],8)," not found")),"")</f>
        <v/>
      </c>
      <c r="O229" t="str">
        <f>IF(LEN(I229)&lt;&gt;0,_xlfn.XLOOKUP(I229,[1]!Entities[ID_with_x],[1]!Entities[Name_w_County],_xlfn.CONCAT("Entity ID ",RIGHT(Table3[[#This Row],[Sponsor_1_num]],8)," not found")),"")</f>
        <v/>
      </c>
      <c r="P229" t="str">
        <f>IF(LEN(J229)&lt;&gt;0,_xlfn.XLOOKUP(J229,[1]!Entities[ID_with_x],[1]!Entities[Name_w_County],_xlfn.CONCAT("Entity ID ",RIGHT(Table3[[#This Row],[Sponsor_1_num]],8)," not found")),"")</f>
        <v/>
      </c>
      <c r="Q229" t="str">
        <f>IF(LEN(K229)&gt;0,_xlfn.TEXTJOIN(", ",TRUE,K229:P229),Table3[[#This Row],[SPONSOR_LIST]])</f>
        <v>Mobile City</v>
      </c>
    </row>
    <row r="230" spans="1:17" x14ac:dyDescent="0.25">
      <c r="A230" s="304" t="s">
        <v>2477</v>
      </c>
      <c r="B230" t="s">
        <v>4528</v>
      </c>
      <c r="C230" t="str">
        <f t="shared" si="4"/>
        <v/>
      </c>
      <c r="D230" t="str">
        <f>SUBSTITUTE(SUBSTITUTE(Table3[[#This Row],[Sponsor_list_tranform]],",",",x")," ","")</f>
        <v/>
      </c>
      <c r="K230" t="str">
        <f>IF(LEN(E230)&lt;&gt;0,_xlfn.XLOOKUP(E230,[1]!Entities[ID_with_x],[1]!Entities[Name_w_County],_xlfn.CONCAT("Entity ID ",RIGHT(Table3[[#This Row],[Sponsor_1_num]],8)," not found")),"")</f>
        <v/>
      </c>
      <c r="L230" t="str">
        <f>IF(LEN(F230)&lt;&gt;0,_xlfn.XLOOKUP(F230,[1]!Entities[ID_with_x],[1]!Entities[Name_w_County],_xlfn.CONCAT("Entity ID ",RIGHT(Table3[[#This Row],[Sponsor_1_num]],8)," not found")),"")</f>
        <v/>
      </c>
      <c r="M230" t="str">
        <f>IF(LEN(G230)&lt;&gt;0,_xlfn.XLOOKUP(G230,[1]!Entities[ID_with_x],[1]!Entities[Name_w_County],_xlfn.CONCAT("Entity ID ",RIGHT(Table3[[#This Row],[Sponsor_1_num]],8)," not found")),"")</f>
        <v/>
      </c>
      <c r="N230" t="str">
        <f>IF(LEN(H230)&lt;&gt;0,_xlfn.XLOOKUP(H230,[1]!Entities[ID_with_x],[1]!Entities[Name_w_County],_xlfn.CONCAT("Entity ID ",RIGHT(Table3[[#This Row],[Sponsor_1_num]],8)," not found")),"")</f>
        <v/>
      </c>
      <c r="O230" t="str">
        <f>IF(LEN(I230)&lt;&gt;0,_xlfn.XLOOKUP(I230,[1]!Entities[ID_with_x],[1]!Entities[Name_w_County],_xlfn.CONCAT("Entity ID ",RIGHT(Table3[[#This Row],[Sponsor_1_num]],8)," not found")),"")</f>
        <v/>
      </c>
      <c r="P230" t="str">
        <f>IF(LEN(J230)&lt;&gt;0,_xlfn.XLOOKUP(J230,[1]!Entities[ID_with_x],[1]!Entities[Name_w_County],_xlfn.CONCAT("Entity ID ",RIGHT(Table3[[#This Row],[Sponsor_1_num]],8)," not found")),"")</f>
        <v/>
      </c>
      <c r="Q230" t="str">
        <f>IF(LEN(K230)&gt;0,_xlfn.TEXTJOIN(", ",TRUE,K230:P230),Table3[[#This Row],[SPONSOR_LIST]])</f>
        <v>Fort Worth</v>
      </c>
    </row>
    <row r="231" spans="1:17" x14ac:dyDescent="0.25">
      <c r="A231" s="304" t="s">
        <v>2481</v>
      </c>
      <c r="B231" t="s">
        <v>4470</v>
      </c>
      <c r="C231" t="str">
        <f t="shared" si="4"/>
        <v/>
      </c>
      <c r="D231" t="str">
        <f>SUBSTITUTE(SUBSTITUTE(Table3[[#This Row],[Sponsor_list_tranform]],",",",x")," ","")</f>
        <v/>
      </c>
      <c r="K231" t="str">
        <f>IF(LEN(E231)&lt;&gt;0,_xlfn.XLOOKUP(E231,[1]!Entities[ID_with_x],[1]!Entities[Name_w_County],_xlfn.CONCAT("Entity ID ",RIGHT(Table3[[#This Row],[Sponsor_1_num]],8)," not found")),"")</f>
        <v/>
      </c>
      <c r="L231" t="str">
        <f>IF(LEN(F231)&lt;&gt;0,_xlfn.XLOOKUP(F231,[1]!Entities[ID_with_x],[1]!Entities[Name_w_County],_xlfn.CONCAT("Entity ID ",RIGHT(Table3[[#This Row],[Sponsor_1_num]],8)," not found")),"")</f>
        <v/>
      </c>
      <c r="M231" t="str">
        <f>IF(LEN(G231)&lt;&gt;0,_xlfn.XLOOKUP(G231,[1]!Entities[ID_with_x],[1]!Entities[Name_w_County],_xlfn.CONCAT("Entity ID ",RIGHT(Table3[[#This Row],[Sponsor_1_num]],8)," not found")),"")</f>
        <v/>
      </c>
      <c r="N231" t="str">
        <f>IF(LEN(H231)&lt;&gt;0,_xlfn.XLOOKUP(H231,[1]!Entities[ID_with_x],[1]!Entities[Name_w_County],_xlfn.CONCAT("Entity ID ",RIGHT(Table3[[#This Row],[Sponsor_1_num]],8)," not found")),"")</f>
        <v/>
      </c>
      <c r="O231" t="str">
        <f>IF(LEN(I231)&lt;&gt;0,_xlfn.XLOOKUP(I231,[1]!Entities[ID_with_x],[1]!Entities[Name_w_County],_xlfn.CONCAT("Entity ID ",RIGHT(Table3[[#This Row],[Sponsor_1_num]],8)," not found")),"")</f>
        <v/>
      </c>
      <c r="P231" t="str">
        <f>IF(LEN(J231)&lt;&gt;0,_xlfn.XLOOKUP(J231,[1]!Entities[ID_with_x],[1]!Entities[Name_w_County],_xlfn.CONCAT("Entity ID ",RIGHT(Table3[[#This Row],[Sponsor_1_num]],8)," not found")),"")</f>
        <v/>
      </c>
      <c r="Q231" t="str">
        <f>IF(LEN(K231)&gt;0,_xlfn.TEXTJOIN(", ",TRUE,K231:P231),Table3[[#This Row],[SPONSOR_LIST]])</f>
        <v xml:space="preserve"> Burleson</v>
      </c>
    </row>
    <row r="232" spans="1:17" x14ac:dyDescent="0.25">
      <c r="A232" s="304" t="s">
        <v>2495</v>
      </c>
      <c r="B232" t="s">
        <v>4533</v>
      </c>
      <c r="C232" t="str">
        <f t="shared" si="4"/>
        <v/>
      </c>
      <c r="D232" t="str">
        <f>SUBSTITUTE(SUBSTITUTE(Table3[[#This Row],[Sponsor_list_tranform]],",",",x")," ","")</f>
        <v/>
      </c>
      <c r="K232" t="str">
        <f>IF(LEN(E232)&lt;&gt;0,_xlfn.XLOOKUP(E232,[1]!Entities[ID_with_x],[1]!Entities[Name_w_County],_xlfn.CONCAT("Entity ID ",RIGHT(Table3[[#This Row],[Sponsor_1_num]],8)," not found")),"")</f>
        <v/>
      </c>
      <c r="L232" t="str">
        <f>IF(LEN(F232)&lt;&gt;0,_xlfn.XLOOKUP(F232,[1]!Entities[ID_with_x],[1]!Entities[Name_w_County],_xlfn.CONCAT("Entity ID ",RIGHT(Table3[[#This Row],[Sponsor_1_num]],8)," not found")),"")</f>
        <v/>
      </c>
      <c r="M232" t="str">
        <f>IF(LEN(G232)&lt;&gt;0,_xlfn.XLOOKUP(G232,[1]!Entities[ID_with_x],[1]!Entities[Name_w_County],_xlfn.CONCAT("Entity ID ",RIGHT(Table3[[#This Row],[Sponsor_1_num]],8)," not found")),"")</f>
        <v/>
      </c>
      <c r="N232" t="str">
        <f>IF(LEN(H232)&lt;&gt;0,_xlfn.XLOOKUP(H232,[1]!Entities[ID_with_x],[1]!Entities[Name_w_County],_xlfn.CONCAT("Entity ID ",RIGHT(Table3[[#This Row],[Sponsor_1_num]],8)," not found")),"")</f>
        <v/>
      </c>
      <c r="O232" t="str">
        <f>IF(LEN(I232)&lt;&gt;0,_xlfn.XLOOKUP(I232,[1]!Entities[ID_with_x],[1]!Entities[Name_w_County],_xlfn.CONCAT("Entity ID ",RIGHT(Table3[[#This Row],[Sponsor_1_num]],8)," not found")),"")</f>
        <v/>
      </c>
      <c r="P232" t="str">
        <f>IF(LEN(J232)&lt;&gt;0,_xlfn.XLOOKUP(J232,[1]!Entities[ID_with_x],[1]!Entities[Name_w_County],_xlfn.CONCAT("Entity ID ",RIGHT(Table3[[#This Row],[Sponsor_1_num]],8)," not found")),"")</f>
        <v/>
      </c>
      <c r="Q232" t="str">
        <f>IF(LEN(K232)&gt;0,_xlfn.TEXTJOIN(", ",TRUE,K232:P232),Table3[[#This Row],[SPONSOR_LIST]])</f>
        <v xml:space="preserve"> Grand Prairie</v>
      </c>
    </row>
    <row r="233" spans="1:17" x14ac:dyDescent="0.25">
      <c r="A233" s="304" t="s">
        <v>2500</v>
      </c>
      <c r="B233" t="s">
        <v>4427</v>
      </c>
      <c r="C233" t="str">
        <f t="shared" si="4"/>
        <v/>
      </c>
      <c r="D233" t="str">
        <f>SUBSTITUTE(SUBSTITUTE(Table3[[#This Row],[Sponsor_list_tranform]],",",",x")," ","")</f>
        <v/>
      </c>
      <c r="K233" t="str">
        <f>IF(LEN(E233)&lt;&gt;0,_xlfn.XLOOKUP(E233,[1]!Entities[ID_with_x],[1]!Entities[Name_w_County],_xlfn.CONCAT("Entity ID ",RIGHT(Table3[[#This Row],[Sponsor_1_num]],8)," not found")),"")</f>
        <v/>
      </c>
      <c r="L233" t="str">
        <f>IF(LEN(F233)&lt;&gt;0,_xlfn.XLOOKUP(F233,[1]!Entities[ID_with_x],[1]!Entities[Name_w_County],_xlfn.CONCAT("Entity ID ",RIGHT(Table3[[#This Row],[Sponsor_1_num]],8)," not found")),"")</f>
        <v/>
      </c>
      <c r="M233" t="str">
        <f>IF(LEN(G233)&lt;&gt;0,_xlfn.XLOOKUP(G233,[1]!Entities[ID_with_x],[1]!Entities[Name_w_County],_xlfn.CONCAT("Entity ID ",RIGHT(Table3[[#This Row],[Sponsor_1_num]],8)," not found")),"")</f>
        <v/>
      </c>
      <c r="N233" t="str">
        <f>IF(LEN(H233)&lt;&gt;0,_xlfn.XLOOKUP(H233,[1]!Entities[ID_with_x],[1]!Entities[Name_w_County],_xlfn.CONCAT("Entity ID ",RIGHT(Table3[[#This Row],[Sponsor_1_num]],8)," not found")),"")</f>
        <v/>
      </c>
      <c r="O233" t="str">
        <f>IF(LEN(I233)&lt;&gt;0,_xlfn.XLOOKUP(I233,[1]!Entities[ID_with_x],[1]!Entities[Name_w_County],_xlfn.CONCAT("Entity ID ",RIGHT(Table3[[#This Row],[Sponsor_1_num]],8)," not found")),"")</f>
        <v/>
      </c>
      <c r="P233" t="str">
        <f>IF(LEN(J233)&lt;&gt;0,_xlfn.XLOOKUP(J233,[1]!Entities[ID_with_x],[1]!Entities[Name_w_County],_xlfn.CONCAT("Entity ID ",RIGHT(Table3[[#This Row],[Sponsor_1_num]],8)," not found")),"")</f>
        <v/>
      </c>
      <c r="Q233" t="str">
        <f>IF(LEN(K233)&gt;0,_xlfn.TEXTJOIN(", ",TRUE,K233:P233),Table3[[#This Row],[SPONSOR_LIST]])</f>
        <v xml:space="preserve"> Hurst</v>
      </c>
    </row>
    <row r="234" spans="1:17" x14ac:dyDescent="0.25">
      <c r="A234" s="304" t="s">
        <v>2503</v>
      </c>
      <c r="B234" t="s">
        <v>4536</v>
      </c>
      <c r="C234" t="str">
        <f t="shared" si="4"/>
        <v/>
      </c>
      <c r="D234" t="str">
        <f>SUBSTITUTE(SUBSTITUTE(Table3[[#This Row],[Sponsor_list_tranform]],",",",x")," ","")</f>
        <v/>
      </c>
      <c r="K234" t="str">
        <f>IF(LEN(E234)&lt;&gt;0,_xlfn.XLOOKUP(E234,[1]!Entities[ID_with_x],[1]!Entities[Name_w_County],_xlfn.CONCAT("Entity ID ",RIGHT(Table3[[#This Row],[Sponsor_1_num]],8)," not found")),"")</f>
        <v/>
      </c>
      <c r="L234" t="str">
        <f>IF(LEN(F234)&lt;&gt;0,_xlfn.XLOOKUP(F234,[1]!Entities[ID_with_x],[1]!Entities[Name_w_County],_xlfn.CONCAT("Entity ID ",RIGHT(Table3[[#This Row],[Sponsor_1_num]],8)," not found")),"")</f>
        <v/>
      </c>
      <c r="M234" t="str">
        <f>IF(LEN(G234)&lt;&gt;0,_xlfn.XLOOKUP(G234,[1]!Entities[ID_with_x],[1]!Entities[Name_w_County],_xlfn.CONCAT("Entity ID ",RIGHT(Table3[[#This Row],[Sponsor_1_num]],8)," not found")),"")</f>
        <v/>
      </c>
      <c r="N234" t="str">
        <f>IF(LEN(H234)&lt;&gt;0,_xlfn.XLOOKUP(H234,[1]!Entities[ID_with_x],[1]!Entities[Name_w_County],_xlfn.CONCAT("Entity ID ",RIGHT(Table3[[#This Row],[Sponsor_1_num]],8)," not found")),"")</f>
        <v/>
      </c>
      <c r="O234" t="str">
        <f>IF(LEN(I234)&lt;&gt;0,_xlfn.XLOOKUP(I234,[1]!Entities[ID_with_x],[1]!Entities[Name_w_County],_xlfn.CONCAT("Entity ID ",RIGHT(Table3[[#This Row],[Sponsor_1_num]],8)," not found")),"")</f>
        <v/>
      </c>
      <c r="P234" t="str">
        <f>IF(LEN(J234)&lt;&gt;0,_xlfn.XLOOKUP(J234,[1]!Entities[ID_with_x],[1]!Entities[Name_w_County],_xlfn.CONCAT("Entity ID ",RIGHT(Table3[[#This Row],[Sponsor_1_num]],8)," not found")),"")</f>
        <v/>
      </c>
      <c r="Q234" t="str">
        <f>IF(LEN(K234)&gt;0,_xlfn.TEXTJOIN(", ",TRUE,K234:P234),Table3[[#This Row],[SPONSOR_LIST]])</f>
        <v xml:space="preserve"> Garland</v>
      </c>
    </row>
    <row r="235" spans="1:17" x14ac:dyDescent="0.25">
      <c r="A235" s="304" t="s">
        <v>2507</v>
      </c>
      <c r="B235" t="s">
        <v>4467</v>
      </c>
      <c r="C235" t="str">
        <f t="shared" si="4"/>
        <v/>
      </c>
      <c r="D235" t="str">
        <f>SUBSTITUTE(SUBSTITUTE(Table3[[#This Row],[Sponsor_list_tranform]],",",",x")," ","")</f>
        <v/>
      </c>
      <c r="K235" t="str">
        <f>IF(LEN(E235)&lt;&gt;0,_xlfn.XLOOKUP(E235,[1]!Entities[ID_with_x],[1]!Entities[Name_w_County],_xlfn.CONCAT("Entity ID ",RIGHT(Table3[[#This Row],[Sponsor_1_num]],8)," not found")),"")</f>
        <v/>
      </c>
      <c r="L235" t="str">
        <f>IF(LEN(F235)&lt;&gt;0,_xlfn.XLOOKUP(F235,[1]!Entities[ID_with_x],[1]!Entities[Name_w_County],_xlfn.CONCAT("Entity ID ",RIGHT(Table3[[#This Row],[Sponsor_1_num]],8)," not found")),"")</f>
        <v/>
      </c>
      <c r="M235" t="str">
        <f>IF(LEN(G235)&lt;&gt;0,_xlfn.XLOOKUP(G235,[1]!Entities[ID_with_x],[1]!Entities[Name_w_County],_xlfn.CONCAT("Entity ID ",RIGHT(Table3[[#This Row],[Sponsor_1_num]],8)," not found")),"")</f>
        <v/>
      </c>
      <c r="N235" t="str">
        <f>IF(LEN(H235)&lt;&gt;0,_xlfn.XLOOKUP(H235,[1]!Entities[ID_with_x],[1]!Entities[Name_w_County],_xlfn.CONCAT("Entity ID ",RIGHT(Table3[[#This Row],[Sponsor_1_num]],8)," not found")),"")</f>
        <v/>
      </c>
      <c r="O235" t="str">
        <f>IF(LEN(I235)&lt;&gt;0,_xlfn.XLOOKUP(I235,[1]!Entities[ID_with_x],[1]!Entities[Name_w_County],_xlfn.CONCAT("Entity ID ",RIGHT(Table3[[#This Row],[Sponsor_1_num]],8)," not found")),"")</f>
        <v/>
      </c>
      <c r="P235" t="str">
        <f>IF(LEN(J235)&lt;&gt;0,_xlfn.XLOOKUP(J235,[1]!Entities[ID_with_x],[1]!Entities[Name_w_County],_xlfn.CONCAT("Entity ID ",RIGHT(Table3[[#This Row],[Sponsor_1_num]],8)," not found")),"")</f>
        <v/>
      </c>
      <c r="Q235" t="str">
        <f>IF(LEN(K235)&gt;0,_xlfn.TEXTJOIN(", ",TRUE,K235:P235),Table3[[#This Row],[SPONSOR_LIST]])</f>
        <v>Terrell</v>
      </c>
    </row>
    <row r="236" spans="1:17" x14ac:dyDescent="0.25">
      <c r="A236" s="304" t="s">
        <v>4538</v>
      </c>
      <c r="B236" t="s">
        <v>4545</v>
      </c>
      <c r="C236" t="str">
        <f t="shared" si="4"/>
        <v/>
      </c>
      <c r="D236" t="str">
        <f>SUBSTITUTE(SUBSTITUTE(Table3[[#This Row],[Sponsor_list_tranform]],",",",x")," ","")</f>
        <v/>
      </c>
      <c r="K236" t="str">
        <f>IF(LEN(E236)&lt;&gt;0,_xlfn.XLOOKUP(E236,[1]!Entities[ID_with_x],[1]!Entities[Name_w_County],_xlfn.CONCAT("Entity ID ",RIGHT(Table3[[#This Row],[Sponsor_1_num]],8)," not found")),"")</f>
        <v/>
      </c>
      <c r="L236" t="str">
        <f>IF(LEN(F236)&lt;&gt;0,_xlfn.XLOOKUP(F236,[1]!Entities[ID_with_x],[1]!Entities[Name_w_County],_xlfn.CONCAT("Entity ID ",RIGHT(Table3[[#This Row],[Sponsor_1_num]],8)," not found")),"")</f>
        <v/>
      </c>
      <c r="M236" t="str">
        <f>IF(LEN(G236)&lt;&gt;0,_xlfn.XLOOKUP(G236,[1]!Entities[ID_with_x],[1]!Entities[Name_w_County],_xlfn.CONCAT("Entity ID ",RIGHT(Table3[[#This Row],[Sponsor_1_num]],8)," not found")),"")</f>
        <v/>
      </c>
      <c r="N236" t="str">
        <f>IF(LEN(H236)&lt;&gt;0,_xlfn.XLOOKUP(H236,[1]!Entities[ID_with_x],[1]!Entities[Name_w_County],_xlfn.CONCAT("Entity ID ",RIGHT(Table3[[#This Row],[Sponsor_1_num]],8)," not found")),"")</f>
        <v/>
      </c>
      <c r="O236" t="str">
        <f>IF(LEN(I236)&lt;&gt;0,_xlfn.XLOOKUP(I236,[1]!Entities[ID_with_x],[1]!Entities[Name_w_County],_xlfn.CONCAT("Entity ID ",RIGHT(Table3[[#This Row],[Sponsor_1_num]],8)," not found")),"")</f>
        <v/>
      </c>
      <c r="P236" t="str">
        <f>IF(LEN(J236)&lt;&gt;0,_xlfn.XLOOKUP(J236,[1]!Entities[ID_with_x],[1]!Entities[Name_w_County],_xlfn.CONCAT("Entity ID ",RIGHT(Table3[[#This Row],[Sponsor_1_num]],8)," not found")),"")</f>
        <v/>
      </c>
      <c r="Q236" t="str">
        <f>IF(LEN(K236)&gt;0,_xlfn.TEXTJOIN(", ",TRUE,K236:P236),Table3[[#This Row],[SPONSOR_LIST]])</f>
        <v>The Nature Conservancy (TNC)</v>
      </c>
    </row>
    <row r="237" spans="1:17" x14ac:dyDescent="0.25">
      <c r="A237" s="304" t="s">
        <v>4549</v>
      </c>
      <c r="B237" t="s">
        <v>4553</v>
      </c>
      <c r="C237" t="str">
        <f t="shared" si="4"/>
        <v/>
      </c>
      <c r="D237" t="str">
        <f>SUBSTITUTE(SUBSTITUTE(Table3[[#This Row],[Sponsor_list_tranform]],",",",x")," ","")</f>
        <v/>
      </c>
      <c r="K237" t="str">
        <f>IF(LEN(E237)&lt;&gt;0,_xlfn.XLOOKUP(E237,[1]!Entities[ID_with_x],[1]!Entities[Name_w_County],_xlfn.CONCAT("Entity ID ",RIGHT(Table3[[#This Row],[Sponsor_1_num]],8)," not found")),"")</f>
        <v/>
      </c>
      <c r="L237" t="str">
        <f>IF(LEN(F237)&lt;&gt;0,_xlfn.XLOOKUP(F237,[1]!Entities[ID_with_x],[1]!Entities[Name_w_County],_xlfn.CONCAT("Entity ID ",RIGHT(Table3[[#This Row],[Sponsor_1_num]],8)," not found")),"")</f>
        <v/>
      </c>
      <c r="M237" t="str">
        <f>IF(LEN(G237)&lt;&gt;0,_xlfn.XLOOKUP(G237,[1]!Entities[ID_with_x],[1]!Entities[Name_w_County],_xlfn.CONCAT("Entity ID ",RIGHT(Table3[[#This Row],[Sponsor_1_num]],8)," not found")),"")</f>
        <v/>
      </c>
      <c r="N237" t="str">
        <f>IF(LEN(H237)&lt;&gt;0,_xlfn.XLOOKUP(H237,[1]!Entities[ID_with_x],[1]!Entities[Name_w_County],_xlfn.CONCAT("Entity ID ",RIGHT(Table3[[#This Row],[Sponsor_1_num]],8)," not found")),"")</f>
        <v/>
      </c>
      <c r="O237" t="str">
        <f>IF(LEN(I237)&lt;&gt;0,_xlfn.XLOOKUP(I237,[1]!Entities[ID_with_x],[1]!Entities[Name_w_County],_xlfn.CONCAT("Entity ID ",RIGHT(Table3[[#This Row],[Sponsor_1_num]],8)," not found")),"")</f>
        <v/>
      </c>
      <c r="P237" t="str">
        <f>IF(LEN(J237)&lt;&gt;0,_xlfn.XLOOKUP(J237,[1]!Entities[ID_with_x],[1]!Entities[Name_w_County],_xlfn.CONCAT("Entity ID ",RIGHT(Table3[[#This Row],[Sponsor_1_num]],8)," not found")),"")</f>
        <v/>
      </c>
      <c r="Q237" t="str">
        <f>IF(LEN(K237)&gt;0,_xlfn.TEXTJOIN(", ",TRUE,K237:P237),Table3[[#This Row],[SPONSOR_LIST]])</f>
        <v xml:space="preserve">Balch Springs </v>
      </c>
    </row>
    <row r="238" spans="1:17" x14ac:dyDescent="0.25">
      <c r="A238" s="304" t="s">
        <v>4738</v>
      </c>
      <c r="B238" t="s">
        <v>4745</v>
      </c>
      <c r="C238" t="str">
        <f t="shared" si="4"/>
        <v>x00000027</v>
      </c>
      <c r="D238" t="str">
        <f>SUBSTITUTE(SUBSTITUTE(Table3[[#This Row],[Sponsor_list_tranform]],",",",x")," ","")</f>
        <v>x00000027</v>
      </c>
      <c r="E238" t="s">
        <v>11873</v>
      </c>
      <c r="K238" t="str">
        <f>IF(LEN(E238)&lt;&gt;0,_xlfn.XLOOKUP(E238,[1]!Entities[ID_with_x],[1]!Entities[Name_w_County],_xlfn.CONCAT("Entity ID ",RIGHT(Table3[[#This Row],[Sponsor_1_num]],8)," not found")),"")</f>
        <v>Orange County</v>
      </c>
      <c r="L238" t="str">
        <f>IF(LEN(F238)&lt;&gt;0,_xlfn.XLOOKUP(F238,[1]!Entities[ID_with_x],[1]!Entities[Name_w_County],_xlfn.CONCAT("Entity ID ",RIGHT(Table3[[#This Row],[Sponsor_1_num]],8)," not found")),"")</f>
        <v/>
      </c>
      <c r="M238" t="str">
        <f>IF(LEN(G238)&lt;&gt;0,_xlfn.XLOOKUP(G238,[1]!Entities[ID_with_x],[1]!Entities[Name_w_County],_xlfn.CONCAT("Entity ID ",RIGHT(Table3[[#This Row],[Sponsor_1_num]],8)," not found")),"")</f>
        <v/>
      </c>
      <c r="N238" t="str">
        <f>IF(LEN(H238)&lt;&gt;0,_xlfn.XLOOKUP(H238,[1]!Entities[ID_with_x],[1]!Entities[Name_w_County],_xlfn.CONCAT("Entity ID ",RIGHT(Table3[[#This Row],[Sponsor_1_num]],8)," not found")),"")</f>
        <v/>
      </c>
      <c r="O238" t="str">
        <f>IF(LEN(I238)&lt;&gt;0,_xlfn.XLOOKUP(I238,[1]!Entities[ID_with_x],[1]!Entities[Name_w_County],_xlfn.CONCAT("Entity ID ",RIGHT(Table3[[#This Row],[Sponsor_1_num]],8)," not found")),"")</f>
        <v/>
      </c>
      <c r="P238" t="str">
        <f>IF(LEN(J238)&lt;&gt;0,_xlfn.XLOOKUP(J238,[1]!Entities[ID_with_x],[1]!Entities[Name_w_County],_xlfn.CONCAT("Entity ID ",RIGHT(Table3[[#This Row],[Sponsor_1_num]],8)," not found")),"")</f>
        <v/>
      </c>
      <c r="Q238" t="str">
        <f>IF(LEN(K238)&gt;0,_xlfn.TEXTJOIN(", ",TRUE,K238:P238),Table3[[#This Row],[SPONSOR_LIST]])</f>
        <v>Orange County</v>
      </c>
    </row>
    <row r="239" spans="1:17" x14ac:dyDescent="0.25">
      <c r="A239" s="304" t="s">
        <v>4746</v>
      </c>
      <c r="B239" t="s">
        <v>4745</v>
      </c>
      <c r="C239" t="str">
        <f t="shared" si="4"/>
        <v>x00000027</v>
      </c>
      <c r="D239" t="str">
        <f>SUBSTITUTE(SUBSTITUTE(Table3[[#This Row],[Sponsor_list_tranform]],",",",x")," ","")</f>
        <v>x00000027</v>
      </c>
      <c r="E239" t="s">
        <v>11873</v>
      </c>
      <c r="K239" t="str">
        <f>IF(LEN(E239)&lt;&gt;0,_xlfn.XLOOKUP(E239,[1]!Entities[ID_with_x],[1]!Entities[Name_w_County],_xlfn.CONCAT("Entity ID ",RIGHT(Table3[[#This Row],[Sponsor_1_num]],8)," not found")),"")</f>
        <v>Orange County</v>
      </c>
      <c r="L239" t="str">
        <f>IF(LEN(F239)&lt;&gt;0,_xlfn.XLOOKUP(F239,[1]!Entities[ID_with_x],[1]!Entities[Name_w_County],_xlfn.CONCAT("Entity ID ",RIGHT(Table3[[#This Row],[Sponsor_1_num]],8)," not found")),"")</f>
        <v/>
      </c>
      <c r="M239" t="str">
        <f>IF(LEN(G239)&lt;&gt;0,_xlfn.XLOOKUP(G239,[1]!Entities[ID_with_x],[1]!Entities[Name_w_County],_xlfn.CONCAT("Entity ID ",RIGHT(Table3[[#This Row],[Sponsor_1_num]],8)," not found")),"")</f>
        <v/>
      </c>
      <c r="N239" t="str">
        <f>IF(LEN(H239)&lt;&gt;0,_xlfn.XLOOKUP(H239,[1]!Entities[ID_with_x],[1]!Entities[Name_w_County],_xlfn.CONCAT("Entity ID ",RIGHT(Table3[[#This Row],[Sponsor_1_num]],8)," not found")),"")</f>
        <v/>
      </c>
      <c r="O239" t="str">
        <f>IF(LEN(I239)&lt;&gt;0,_xlfn.XLOOKUP(I239,[1]!Entities[ID_with_x],[1]!Entities[Name_w_County],_xlfn.CONCAT("Entity ID ",RIGHT(Table3[[#This Row],[Sponsor_1_num]],8)," not found")),"")</f>
        <v/>
      </c>
      <c r="P239" t="str">
        <f>IF(LEN(J239)&lt;&gt;0,_xlfn.XLOOKUP(J239,[1]!Entities[ID_with_x],[1]!Entities[Name_w_County],_xlfn.CONCAT("Entity ID ",RIGHT(Table3[[#This Row],[Sponsor_1_num]],8)," not found")),"")</f>
        <v/>
      </c>
      <c r="Q239" t="str">
        <f>IF(LEN(K239)&gt;0,_xlfn.TEXTJOIN(", ",TRUE,K239:P239),Table3[[#This Row],[SPONSOR_LIST]])</f>
        <v>Orange County</v>
      </c>
    </row>
    <row r="240" spans="1:17" x14ac:dyDescent="0.25">
      <c r="A240" s="304" t="s">
        <v>4749</v>
      </c>
      <c r="B240" t="s">
        <v>4745</v>
      </c>
      <c r="C240" t="str">
        <f t="shared" si="4"/>
        <v>x00000027</v>
      </c>
      <c r="D240" t="str">
        <f>SUBSTITUTE(SUBSTITUTE(Table3[[#This Row],[Sponsor_list_tranform]],",",",x")," ","")</f>
        <v>x00000027</v>
      </c>
      <c r="E240" t="s">
        <v>11873</v>
      </c>
      <c r="K240" t="str">
        <f>IF(LEN(E240)&lt;&gt;0,_xlfn.XLOOKUP(E240,[1]!Entities[ID_with_x],[1]!Entities[Name_w_County],_xlfn.CONCAT("Entity ID ",RIGHT(Table3[[#This Row],[Sponsor_1_num]],8)," not found")),"")</f>
        <v>Orange County</v>
      </c>
      <c r="L240" t="str">
        <f>IF(LEN(F240)&lt;&gt;0,_xlfn.XLOOKUP(F240,[1]!Entities[ID_with_x],[1]!Entities[Name_w_County],_xlfn.CONCAT("Entity ID ",RIGHT(Table3[[#This Row],[Sponsor_1_num]],8)," not found")),"")</f>
        <v/>
      </c>
      <c r="M240" t="str">
        <f>IF(LEN(G240)&lt;&gt;0,_xlfn.XLOOKUP(G240,[1]!Entities[ID_with_x],[1]!Entities[Name_w_County],_xlfn.CONCAT("Entity ID ",RIGHT(Table3[[#This Row],[Sponsor_1_num]],8)," not found")),"")</f>
        <v/>
      </c>
      <c r="N240" t="str">
        <f>IF(LEN(H240)&lt;&gt;0,_xlfn.XLOOKUP(H240,[1]!Entities[ID_with_x],[1]!Entities[Name_w_County],_xlfn.CONCAT("Entity ID ",RIGHT(Table3[[#This Row],[Sponsor_1_num]],8)," not found")),"")</f>
        <v/>
      </c>
      <c r="O240" t="str">
        <f>IF(LEN(I240)&lt;&gt;0,_xlfn.XLOOKUP(I240,[1]!Entities[ID_with_x],[1]!Entities[Name_w_County],_xlfn.CONCAT("Entity ID ",RIGHT(Table3[[#This Row],[Sponsor_1_num]],8)," not found")),"")</f>
        <v/>
      </c>
      <c r="P240" t="str">
        <f>IF(LEN(J240)&lt;&gt;0,_xlfn.XLOOKUP(J240,[1]!Entities[ID_with_x],[1]!Entities[Name_w_County],_xlfn.CONCAT("Entity ID ",RIGHT(Table3[[#This Row],[Sponsor_1_num]],8)," not found")),"")</f>
        <v/>
      </c>
      <c r="Q240" t="str">
        <f>IF(LEN(K240)&gt;0,_xlfn.TEXTJOIN(", ",TRUE,K240:P240),Table3[[#This Row],[SPONSOR_LIST]])</f>
        <v>Orange County</v>
      </c>
    </row>
    <row r="241" spans="1:17" x14ac:dyDescent="0.25">
      <c r="A241" s="304" t="s">
        <v>4753</v>
      </c>
      <c r="B241" t="s">
        <v>4745</v>
      </c>
      <c r="C241" t="str">
        <f t="shared" si="4"/>
        <v>x00000027</v>
      </c>
      <c r="D241" t="str">
        <f>SUBSTITUTE(SUBSTITUTE(Table3[[#This Row],[Sponsor_list_tranform]],",",",x")," ","")</f>
        <v>x00000027</v>
      </c>
      <c r="E241" t="s">
        <v>11873</v>
      </c>
      <c r="K241" t="str">
        <f>IF(LEN(E241)&lt;&gt;0,_xlfn.XLOOKUP(E241,[1]!Entities[ID_with_x],[1]!Entities[Name_w_County],_xlfn.CONCAT("Entity ID ",RIGHT(Table3[[#This Row],[Sponsor_1_num]],8)," not found")),"")</f>
        <v>Orange County</v>
      </c>
      <c r="L241" t="str">
        <f>IF(LEN(F241)&lt;&gt;0,_xlfn.XLOOKUP(F241,[1]!Entities[ID_with_x],[1]!Entities[Name_w_County],_xlfn.CONCAT("Entity ID ",RIGHT(Table3[[#This Row],[Sponsor_1_num]],8)," not found")),"")</f>
        <v/>
      </c>
      <c r="M241" t="str">
        <f>IF(LEN(G241)&lt;&gt;0,_xlfn.XLOOKUP(G241,[1]!Entities[ID_with_x],[1]!Entities[Name_w_County],_xlfn.CONCAT("Entity ID ",RIGHT(Table3[[#This Row],[Sponsor_1_num]],8)," not found")),"")</f>
        <v/>
      </c>
      <c r="N241" t="str">
        <f>IF(LEN(H241)&lt;&gt;0,_xlfn.XLOOKUP(H241,[1]!Entities[ID_with_x],[1]!Entities[Name_w_County],_xlfn.CONCAT("Entity ID ",RIGHT(Table3[[#This Row],[Sponsor_1_num]],8)," not found")),"")</f>
        <v/>
      </c>
      <c r="O241" t="str">
        <f>IF(LEN(I241)&lt;&gt;0,_xlfn.XLOOKUP(I241,[1]!Entities[ID_with_x],[1]!Entities[Name_w_County],_xlfn.CONCAT("Entity ID ",RIGHT(Table3[[#This Row],[Sponsor_1_num]],8)," not found")),"")</f>
        <v/>
      </c>
      <c r="P241" t="str">
        <f>IF(LEN(J241)&lt;&gt;0,_xlfn.XLOOKUP(J241,[1]!Entities[ID_with_x],[1]!Entities[Name_w_County],_xlfn.CONCAT("Entity ID ",RIGHT(Table3[[#This Row],[Sponsor_1_num]],8)," not found")),"")</f>
        <v/>
      </c>
      <c r="Q241" t="str">
        <f>IF(LEN(K241)&gt;0,_xlfn.TEXTJOIN(", ",TRUE,K241:P241),Table3[[#This Row],[SPONSOR_LIST]])</f>
        <v>Orange County</v>
      </c>
    </row>
    <row r="242" spans="1:17" x14ac:dyDescent="0.25">
      <c r="A242" s="304" t="s">
        <v>4757</v>
      </c>
      <c r="B242" t="s">
        <v>2494</v>
      </c>
      <c r="C242" t="str">
        <f t="shared" si="4"/>
        <v>x00000110</v>
      </c>
      <c r="D242" t="str">
        <f>SUBSTITUTE(SUBSTITUTE(Table3[[#This Row],[Sponsor_list_tranform]],",",",x")," ","")</f>
        <v>x00000110</v>
      </c>
      <c r="E242" t="s">
        <v>11642</v>
      </c>
      <c r="K242" t="str">
        <f>IF(LEN(E242)&lt;&gt;0,_xlfn.XLOOKUP(E242,[1]!Entities[ID_with_x],[1]!Entities[Name_w_County],_xlfn.CONCAT("Entity ID ",RIGHT(Table3[[#This Row],[Sponsor_1_num]],8)," not found")),"")</f>
        <v>Van Zandt County</v>
      </c>
      <c r="L242" t="str">
        <f>IF(LEN(F242)&lt;&gt;0,_xlfn.XLOOKUP(F242,[1]!Entities[ID_with_x],[1]!Entities[Name_w_County],_xlfn.CONCAT("Entity ID ",RIGHT(Table3[[#This Row],[Sponsor_1_num]],8)," not found")),"")</f>
        <v/>
      </c>
      <c r="M242" t="str">
        <f>IF(LEN(G242)&lt;&gt;0,_xlfn.XLOOKUP(G242,[1]!Entities[ID_with_x],[1]!Entities[Name_w_County],_xlfn.CONCAT("Entity ID ",RIGHT(Table3[[#This Row],[Sponsor_1_num]],8)," not found")),"")</f>
        <v/>
      </c>
      <c r="N242" t="str">
        <f>IF(LEN(H242)&lt;&gt;0,_xlfn.XLOOKUP(H242,[1]!Entities[ID_with_x],[1]!Entities[Name_w_County],_xlfn.CONCAT("Entity ID ",RIGHT(Table3[[#This Row],[Sponsor_1_num]],8)," not found")),"")</f>
        <v/>
      </c>
      <c r="O242" t="str">
        <f>IF(LEN(I242)&lt;&gt;0,_xlfn.XLOOKUP(I242,[1]!Entities[ID_with_x],[1]!Entities[Name_w_County],_xlfn.CONCAT("Entity ID ",RIGHT(Table3[[#This Row],[Sponsor_1_num]],8)," not found")),"")</f>
        <v/>
      </c>
      <c r="P242" t="str">
        <f>IF(LEN(J242)&lt;&gt;0,_xlfn.XLOOKUP(J242,[1]!Entities[ID_with_x],[1]!Entities[Name_w_County],_xlfn.CONCAT("Entity ID ",RIGHT(Table3[[#This Row],[Sponsor_1_num]],8)," not found")),"")</f>
        <v/>
      </c>
      <c r="Q242" t="str">
        <f>IF(LEN(K242)&gt;0,_xlfn.TEXTJOIN(", ",TRUE,K242:P242),Table3[[#This Row],[SPONSOR_LIST]])</f>
        <v>Van Zandt County</v>
      </c>
    </row>
    <row r="243" spans="1:17" x14ac:dyDescent="0.25">
      <c r="A243" s="304" t="s">
        <v>4762</v>
      </c>
      <c r="B243" t="s">
        <v>1902</v>
      </c>
      <c r="C243" t="str">
        <f t="shared" si="4"/>
        <v>x00000175</v>
      </c>
      <c r="D243" t="str">
        <f>SUBSTITUTE(SUBSTITUTE(Table3[[#This Row],[Sponsor_list_tranform]],",",",x")," ","")</f>
        <v>x00000175</v>
      </c>
      <c r="E243" t="s">
        <v>11623</v>
      </c>
      <c r="K243" t="str">
        <f>IF(LEN(E243)&lt;&gt;0,_xlfn.XLOOKUP(E243,[1]!Entities[ID_with_x],[1]!Entities[Name_w_County],_xlfn.CONCAT("Entity ID ",RIGHT(Table3[[#This Row],[Sponsor_1_num]],8)," not found")),"")</f>
        <v>Rockwall County</v>
      </c>
      <c r="L243" t="str">
        <f>IF(LEN(F243)&lt;&gt;0,_xlfn.XLOOKUP(F243,[1]!Entities[ID_with_x],[1]!Entities[Name_w_County],_xlfn.CONCAT("Entity ID ",RIGHT(Table3[[#This Row],[Sponsor_1_num]],8)," not found")),"")</f>
        <v/>
      </c>
      <c r="M243" t="str">
        <f>IF(LEN(G243)&lt;&gt;0,_xlfn.XLOOKUP(G243,[1]!Entities[ID_with_x],[1]!Entities[Name_w_County],_xlfn.CONCAT("Entity ID ",RIGHT(Table3[[#This Row],[Sponsor_1_num]],8)," not found")),"")</f>
        <v/>
      </c>
      <c r="N243" t="str">
        <f>IF(LEN(H243)&lt;&gt;0,_xlfn.XLOOKUP(H243,[1]!Entities[ID_with_x],[1]!Entities[Name_w_County],_xlfn.CONCAT("Entity ID ",RIGHT(Table3[[#This Row],[Sponsor_1_num]],8)," not found")),"")</f>
        <v/>
      </c>
      <c r="O243" t="str">
        <f>IF(LEN(I243)&lt;&gt;0,_xlfn.XLOOKUP(I243,[1]!Entities[ID_with_x],[1]!Entities[Name_w_County],_xlfn.CONCAT("Entity ID ",RIGHT(Table3[[#This Row],[Sponsor_1_num]],8)," not found")),"")</f>
        <v/>
      </c>
      <c r="P243" t="str">
        <f>IF(LEN(J243)&lt;&gt;0,_xlfn.XLOOKUP(J243,[1]!Entities[ID_with_x],[1]!Entities[Name_w_County],_xlfn.CONCAT("Entity ID ",RIGHT(Table3[[#This Row],[Sponsor_1_num]],8)," not found")),"")</f>
        <v/>
      </c>
      <c r="Q243" t="str">
        <f>IF(LEN(K243)&gt;0,_xlfn.TEXTJOIN(", ",TRUE,K243:P243),Table3[[#This Row],[SPONSOR_LIST]])</f>
        <v>Rockwall County</v>
      </c>
    </row>
    <row r="244" spans="1:17" x14ac:dyDescent="0.25">
      <c r="A244" s="304" t="s">
        <v>2564</v>
      </c>
      <c r="B244" t="s">
        <v>2567</v>
      </c>
      <c r="C244" t="str">
        <f t="shared" si="4"/>
        <v>x00000512</v>
      </c>
      <c r="D244" t="str">
        <f>SUBSTITUTE(SUBSTITUTE(Table3[[#This Row],[Sponsor_list_tranform]],",",",x")," ","")</f>
        <v>x00000512</v>
      </c>
      <c r="E244" t="s">
        <v>11636</v>
      </c>
      <c r="K244" t="str">
        <f>IF(LEN(E244)&lt;&gt;0,_xlfn.XLOOKUP(E244,[1]!Entities[ID_with_x],[1]!Entities[Name_w_County],_xlfn.CONCAT("Entity ID ",RIGHT(Table3[[#This Row],[Sponsor_1_num]],8)," not found")),"")</f>
        <v>Orange County Drainage District</v>
      </c>
      <c r="L244" t="str">
        <f>IF(LEN(F244)&lt;&gt;0,_xlfn.XLOOKUP(F244,[1]!Entities[ID_with_x],[1]!Entities[Name_w_County],_xlfn.CONCAT("Entity ID ",RIGHT(Table3[[#This Row],[Sponsor_1_num]],8)," not found")),"")</f>
        <v/>
      </c>
      <c r="M244" t="str">
        <f>IF(LEN(G244)&lt;&gt;0,_xlfn.XLOOKUP(G244,[1]!Entities[ID_with_x],[1]!Entities[Name_w_County],_xlfn.CONCAT("Entity ID ",RIGHT(Table3[[#This Row],[Sponsor_1_num]],8)," not found")),"")</f>
        <v/>
      </c>
      <c r="N244" t="str">
        <f>IF(LEN(H244)&lt;&gt;0,_xlfn.XLOOKUP(H244,[1]!Entities[ID_with_x],[1]!Entities[Name_w_County],_xlfn.CONCAT("Entity ID ",RIGHT(Table3[[#This Row],[Sponsor_1_num]],8)," not found")),"")</f>
        <v/>
      </c>
      <c r="O244" t="str">
        <f>IF(LEN(I244)&lt;&gt;0,_xlfn.XLOOKUP(I244,[1]!Entities[ID_with_x],[1]!Entities[Name_w_County],_xlfn.CONCAT("Entity ID ",RIGHT(Table3[[#This Row],[Sponsor_1_num]],8)," not found")),"")</f>
        <v/>
      </c>
      <c r="P244" t="str">
        <f>IF(LEN(J244)&lt;&gt;0,_xlfn.XLOOKUP(J244,[1]!Entities[ID_with_x],[1]!Entities[Name_w_County],_xlfn.CONCAT("Entity ID ",RIGHT(Table3[[#This Row],[Sponsor_1_num]],8)," not found")),"")</f>
        <v/>
      </c>
      <c r="Q244" t="str">
        <f>IF(LEN(K244)&gt;0,_xlfn.TEXTJOIN(", ",TRUE,K244:P244),Table3[[#This Row],[SPONSOR_LIST]])</f>
        <v>Orange County Drainage District</v>
      </c>
    </row>
    <row r="245" spans="1:17" x14ac:dyDescent="0.25">
      <c r="A245" s="304" t="s">
        <v>4768</v>
      </c>
      <c r="B245" t="s">
        <v>2567</v>
      </c>
      <c r="C245" t="str">
        <f t="shared" si="4"/>
        <v>x00000512</v>
      </c>
      <c r="D245" t="str">
        <f>SUBSTITUTE(SUBSTITUTE(Table3[[#This Row],[Sponsor_list_tranform]],",",",x")," ","")</f>
        <v>x00000512</v>
      </c>
      <c r="E245" t="s">
        <v>11636</v>
      </c>
      <c r="K245" t="str">
        <f>IF(LEN(E245)&lt;&gt;0,_xlfn.XLOOKUP(E245,[1]!Entities[ID_with_x],[1]!Entities[Name_w_County],_xlfn.CONCAT("Entity ID ",RIGHT(Table3[[#This Row],[Sponsor_1_num]],8)," not found")),"")</f>
        <v>Orange County Drainage District</v>
      </c>
      <c r="L245" t="str">
        <f>IF(LEN(F245)&lt;&gt;0,_xlfn.XLOOKUP(F245,[1]!Entities[ID_with_x],[1]!Entities[Name_w_County],_xlfn.CONCAT("Entity ID ",RIGHT(Table3[[#This Row],[Sponsor_1_num]],8)," not found")),"")</f>
        <v/>
      </c>
      <c r="M245" t="str">
        <f>IF(LEN(G245)&lt;&gt;0,_xlfn.XLOOKUP(G245,[1]!Entities[ID_with_x],[1]!Entities[Name_w_County],_xlfn.CONCAT("Entity ID ",RIGHT(Table3[[#This Row],[Sponsor_1_num]],8)," not found")),"")</f>
        <v/>
      </c>
      <c r="N245" t="str">
        <f>IF(LEN(H245)&lt;&gt;0,_xlfn.XLOOKUP(H245,[1]!Entities[ID_with_x],[1]!Entities[Name_w_County],_xlfn.CONCAT("Entity ID ",RIGHT(Table3[[#This Row],[Sponsor_1_num]],8)," not found")),"")</f>
        <v/>
      </c>
      <c r="O245" t="str">
        <f>IF(LEN(I245)&lt;&gt;0,_xlfn.XLOOKUP(I245,[1]!Entities[ID_with_x],[1]!Entities[Name_w_County],_xlfn.CONCAT("Entity ID ",RIGHT(Table3[[#This Row],[Sponsor_1_num]],8)," not found")),"")</f>
        <v/>
      </c>
      <c r="P245" t="str">
        <f>IF(LEN(J245)&lt;&gt;0,_xlfn.XLOOKUP(J245,[1]!Entities[ID_with_x],[1]!Entities[Name_w_County],_xlfn.CONCAT("Entity ID ",RIGHT(Table3[[#This Row],[Sponsor_1_num]],8)," not found")),"")</f>
        <v/>
      </c>
      <c r="Q245" t="str">
        <f>IF(LEN(K245)&gt;0,_xlfn.TEXTJOIN(", ",TRUE,K245:P245),Table3[[#This Row],[SPONSOR_LIST]])</f>
        <v>Orange County Drainage District</v>
      </c>
    </row>
    <row r="246" spans="1:17" x14ac:dyDescent="0.25">
      <c r="A246" s="304" t="s">
        <v>4770</v>
      </c>
      <c r="B246" t="s">
        <v>2567</v>
      </c>
      <c r="C246" t="str">
        <f t="shared" si="4"/>
        <v>x00000512</v>
      </c>
      <c r="D246" t="str">
        <f>SUBSTITUTE(SUBSTITUTE(Table3[[#This Row],[Sponsor_list_tranform]],",",",x")," ","")</f>
        <v>x00000512</v>
      </c>
      <c r="E246" t="s">
        <v>11636</v>
      </c>
      <c r="K246" t="str">
        <f>IF(LEN(E246)&lt;&gt;0,_xlfn.XLOOKUP(E246,[1]!Entities[ID_with_x],[1]!Entities[Name_w_County],_xlfn.CONCAT("Entity ID ",RIGHT(Table3[[#This Row],[Sponsor_1_num]],8)," not found")),"")</f>
        <v>Orange County Drainage District</v>
      </c>
      <c r="L246" t="str">
        <f>IF(LEN(F246)&lt;&gt;0,_xlfn.XLOOKUP(F246,[1]!Entities[ID_with_x],[1]!Entities[Name_w_County],_xlfn.CONCAT("Entity ID ",RIGHT(Table3[[#This Row],[Sponsor_1_num]],8)," not found")),"")</f>
        <v/>
      </c>
      <c r="M246" t="str">
        <f>IF(LEN(G246)&lt;&gt;0,_xlfn.XLOOKUP(G246,[1]!Entities[ID_with_x],[1]!Entities[Name_w_County],_xlfn.CONCAT("Entity ID ",RIGHT(Table3[[#This Row],[Sponsor_1_num]],8)," not found")),"")</f>
        <v/>
      </c>
      <c r="N246" t="str">
        <f>IF(LEN(H246)&lt;&gt;0,_xlfn.XLOOKUP(H246,[1]!Entities[ID_with_x],[1]!Entities[Name_w_County],_xlfn.CONCAT("Entity ID ",RIGHT(Table3[[#This Row],[Sponsor_1_num]],8)," not found")),"")</f>
        <v/>
      </c>
      <c r="O246" t="str">
        <f>IF(LEN(I246)&lt;&gt;0,_xlfn.XLOOKUP(I246,[1]!Entities[ID_with_x],[1]!Entities[Name_w_County],_xlfn.CONCAT("Entity ID ",RIGHT(Table3[[#This Row],[Sponsor_1_num]],8)," not found")),"")</f>
        <v/>
      </c>
      <c r="P246" t="str">
        <f>IF(LEN(J246)&lt;&gt;0,_xlfn.XLOOKUP(J246,[1]!Entities[ID_with_x],[1]!Entities[Name_w_County],_xlfn.CONCAT("Entity ID ",RIGHT(Table3[[#This Row],[Sponsor_1_num]],8)," not found")),"")</f>
        <v/>
      </c>
      <c r="Q246" t="str">
        <f>IF(LEN(K246)&gt;0,_xlfn.TEXTJOIN(", ",TRUE,K246:P246),Table3[[#This Row],[SPONSOR_LIST]])</f>
        <v>Orange County Drainage District</v>
      </c>
    </row>
    <row r="247" spans="1:17" x14ac:dyDescent="0.25">
      <c r="A247" s="304" t="s">
        <v>2568</v>
      </c>
      <c r="B247" t="s">
        <v>2522</v>
      </c>
      <c r="C247" t="str">
        <f t="shared" si="4"/>
        <v>x04002462</v>
      </c>
      <c r="D247" t="str">
        <f>SUBSTITUTE(SUBSTITUTE(Table3[[#This Row],[Sponsor_list_tranform]],",",",x")," ","")</f>
        <v>x04002462</v>
      </c>
      <c r="E247" t="s">
        <v>11703</v>
      </c>
      <c r="K247" t="str">
        <f>IF(LEN(E247)&lt;&gt;0,_xlfn.XLOOKUP(E247,[1]!Entities[ID_with_x],[1]!Entities[Name_w_County],_xlfn.CONCAT("Entity ID ",RIGHT(Table3[[#This Row],[Sponsor_1_num]],8)," not found")),"")</f>
        <v>Edgewood</v>
      </c>
      <c r="L247" t="str">
        <f>IF(LEN(F247)&lt;&gt;0,_xlfn.XLOOKUP(F247,[1]!Entities[ID_with_x],[1]!Entities[Name_w_County],_xlfn.CONCAT("Entity ID ",RIGHT(Table3[[#This Row],[Sponsor_1_num]],8)," not found")),"")</f>
        <v/>
      </c>
      <c r="M247" t="str">
        <f>IF(LEN(G247)&lt;&gt;0,_xlfn.XLOOKUP(G247,[1]!Entities[ID_with_x],[1]!Entities[Name_w_County],_xlfn.CONCAT("Entity ID ",RIGHT(Table3[[#This Row],[Sponsor_1_num]],8)," not found")),"")</f>
        <v/>
      </c>
      <c r="N247" t="str">
        <f>IF(LEN(H247)&lt;&gt;0,_xlfn.XLOOKUP(H247,[1]!Entities[ID_with_x],[1]!Entities[Name_w_County],_xlfn.CONCAT("Entity ID ",RIGHT(Table3[[#This Row],[Sponsor_1_num]],8)," not found")),"")</f>
        <v/>
      </c>
      <c r="O247" t="str">
        <f>IF(LEN(I247)&lt;&gt;0,_xlfn.XLOOKUP(I247,[1]!Entities[ID_with_x],[1]!Entities[Name_w_County],_xlfn.CONCAT("Entity ID ",RIGHT(Table3[[#This Row],[Sponsor_1_num]],8)," not found")),"")</f>
        <v/>
      </c>
      <c r="P247" t="str">
        <f>IF(LEN(J247)&lt;&gt;0,_xlfn.XLOOKUP(J247,[1]!Entities[ID_with_x],[1]!Entities[Name_w_County],_xlfn.CONCAT("Entity ID ",RIGHT(Table3[[#This Row],[Sponsor_1_num]],8)," not found")),"")</f>
        <v/>
      </c>
      <c r="Q247" t="str">
        <f>IF(LEN(K247)&gt;0,_xlfn.TEXTJOIN(", ",TRUE,K247:P247),Table3[[#This Row],[SPONSOR_LIST]])</f>
        <v>Edgewood</v>
      </c>
    </row>
    <row r="248" spans="1:17" x14ac:dyDescent="0.25">
      <c r="A248" s="304" t="s">
        <v>4775</v>
      </c>
      <c r="B248" t="s">
        <v>4781</v>
      </c>
      <c r="C248" t="str">
        <f t="shared" si="4"/>
        <v>x04002514</v>
      </c>
      <c r="D248" t="str">
        <f>SUBSTITUTE(SUBSTITUTE(Table3[[#This Row],[Sponsor_list_tranform]],",",",x")," ","")</f>
        <v>x04002514</v>
      </c>
      <c r="E248" t="s">
        <v>11874</v>
      </c>
      <c r="K248" t="str">
        <f>IF(LEN(E248)&lt;&gt;0,_xlfn.XLOOKUP(E248,[1]!Entities[ID_with_x],[1]!Entities[Name_w_County],_xlfn.CONCAT("Entity ID ",RIGHT(Table3[[#This Row],[Sponsor_1_num]],8)," not found")),"")</f>
        <v>Greenville</v>
      </c>
      <c r="L248" t="str">
        <f>IF(LEN(F248)&lt;&gt;0,_xlfn.XLOOKUP(F248,[1]!Entities[ID_with_x],[1]!Entities[Name_w_County],_xlfn.CONCAT("Entity ID ",RIGHT(Table3[[#This Row],[Sponsor_1_num]],8)," not found")),"")</f>
        <v/>
      </c>
      <c r="M248" t="str">
        <f>IF(LEN(G248)&lt;&gt;0,_xlfn.XLOOKUP(G248,[1]!Entities[ID_with_x],[1]!Entities[Name_w_County],_xlfn.CONCAT("Entity ID ",RIGHT(Table3[[#This Row],[Sponsor_1_num]],8)," not found")),"")</f>
        <v/>
      </c>
      <c r="N248" t="str">
        <f>IF(LEN(H248)&lt;&gt;0,_xlfn.XLOOKUP(H248,[1]!Entities[ID_with_x],[1]!Entities[Name_w_County],_xlfn.CONCAT("Entity ID ",RIGHT(Table3[[#This Row],[Sponsor_1_num]],8)," not found")),"")</f>
        <v/>
      </c>
      <c r="O248" t="str">
        <f>IF(LEN(I248)&lt;&gt;0,_xlfn.XLOOKUP(I248,[1]!Entities[ID_with_x],[1]!Entities[Name_w_County],_xlfn.CONCAT("Entity ID ",RIGHT(Table3[[#This Row],[Sponsor_1_num]],8)," not found")),"")</f>
        <v/>
      </c>
      <c r="P248" t="str">
        <f>IF(LEN(J248)&lt;&gt;0,_xlfn.XLOOKUP(J248,[1]!Entities[ID_with_x],[1]!Entities[Name_w_County],_xlfn.CONCAT("Entity ID ",RIGHT(Table3[[#This Row],[Sponsor_1_num]],8)," not found")),"")</f>
        <v/>
      </c>
      <c r="Q248" t="str">
        <f>IF(LEN(K248)&gt;0,_xlfn.TEXTJOIN(", ",TRUE,K248:P248),Table3[[#This Row],[SPONSOR_LIST]])</f>
        <v>Greenville</v>
      </c>
    </row>
    <row r="249" spans="1:17" x14ac:dyDescent="0.25">
      <c r="A249" s="304" t="s">
        <v>4782</v>
      </c>
      <c r="B249" t="s">
        <v>4788</v>
      </c>
      <c r="C249" t="str">
        <f t="shared" si="4"/>
        <v>x04002537</v>
      </c>
      <c r="D249" t="str">
        <f>SUBSTITUTE(SUBSTITUTE(Table3[[#This Row],[Sponsor_list_tranform]],",",",x")," ","")</f>
        <v>x04002537</v>
      </c>
      <c r="E249" t="s">
        <v>11875</v>
      </c>
      <c r="K249" t="str">
        <f>IF(LEN(E249)&lt;&gt;0,_xlfn.XLOOKUP(E249,[1]!Entities[ID_with_x],[1]!Entities[Name_w_County],_xlfn.CONCAT("Entity ID ",RIGHT(Table3[[#This Row],[Sponsor_1_num]],8)," not found")),"")</f>
        <v>Fruitvale</v>
      </c>
      <c r="L249" t="str">
        <f>IF(LEN(F249)&lt;&gt;0,_xlfn.XLOOKUP(F249,[1]!Entities[ID_with_x],[1]!Entities[Name_w_County],_xlfn.CONCAT("Entity ID ",RIGHT(Table3[[#This Row],[Sponsor_1_num]],8)," not found")),"")</f>
        <v/>
      </c>
      <c r="M249" t="str">
        <f>IF(LEN(G249)&lt;&gt;0,_xlfn.XLOOKUP(G249,[1]!Entities[ID_with_x],[1]!Entities[Name_w_County],_xlfn.CONCAT("Entity ID ",RIGHT(Table3[[#This Row],[Sponsor_1_num]],8)," not found")),"")</f>
        <v/>
      </c>
      <c r="N249" t="str">
        <f>IF(LEN(H249)&lt;&gt;0,_xlfn.XLOOKUP(H249,[1]!Entities[ID_with_x],[1]!Entities[Name_w_County],_xlfn.CONCAT("Entity ID ",RIGHT(Table3[[#This Row],[Sponsor_1_num]],8)," not found")),"")</f>
        <v/>
      </c>
      <c r="O249" t="str">
        <f>IF(LEN(I249)&lt;&gt;0,_xlfn.XLOOKUP(I249,[1]!Entities[ID_with_x],[1]!Entities[Name_w_County],_xlfn.CONCAT("Entity ID ",RIGHT(Table3[[#This Row],[Sponsor_1_num]],8)," not found")),"")</f>
        <v/>
      </c>
      <c r="P249" t="str">
        <f>IF(LEN(J249)&lt;&gt;0,_xlfn.XLOOKUP(J249,[1]!Entities[ID_with_x],[1]!Entities[Name_w_County],_xlfn.CONCAT("Entity ID ",RIGHT(Table3[[#This Row],[Sponsor_1_num]],8)," not found")),"")</f>
        <v/>
      </c>
      <c r="Q249" t="str">
        <f>IF(LEN(K249)&gt;0,_xlfn.TEXTJOIN(", ",TRUE,K249:P249),Table3[[#This Row],[SPONSOR_LIST]])</f>
        <v>Fruitvale</v>
      </c>
    </row>
    <row r="250" spans="1:17" x14ac:dyDescent="0.25">
      <c r="A250" s="304" t="s">
        <v>4789</v>
      </c>
      <c r="B250" t="s">
        <v>4788</v>
      </c>
      <c r="C250" t="str">
        <f t="shared" si="4"/>
        <v>x04002537</v>
      </c>
      <c r="D250" t="str">
        <f>SUBSTITUTE(SUBSTITUTE(Table3[[#This Row],[Sponsor_list_tranform]],",",",x")," ","")</f>
        <v>x04002537</v>
      </c>
      <c r="E250" t="s">
        <v>11875</v>
      </c>
      <c r="K250" t="str">
        <f>IF(LEN(E250)&lt;&gt;0,_xlfn.XLOOKUP(E250,[1]!Entities[ID_with_x],[1]!Entities[Name_w_County],_xlfn.CONCAT("Entity ID ",RIGHT(Table3[[#This Row],[Sponsor_1_num]],8)," not found")),"")</f>
        <v>Fruitvale</v>
      </c>
      <c r="L250" t="str">
        <f>IF(LEN(F250)&lt;&gt;0,_xlfn.XLOOKUP(F250,[1]!Entities[ID_with_x],[1]!Entities[Name_w_County],_xlfn.CONCAT("Entity ID ",RIGHT(Table3[[#This Row],[Sponsor_1_num]],8)," not found")),"")</f>
        <v/>
      </c>
      <c r="M250" t="str">
        <f>IF(LEN(G250)&lt;&gt;0,_xlfn.XLOOKUP(G250,[1]!Entities[ID_with_x],[1]!Entities[Name_w_County],_xlfn.CONCAT("Entity ID ",RIGHT(Table3[[#This Row],[Sponsor_1_num]],8)," not found")),"")</f>
        <v/>
      </c>
      <c r="N250" t="str">
        <f>IF(LEN(H250)&lt;&gt;0,_xlfn.XLOOKUP(H250,[1]!Entities[ID_with_x],[1]!Entities[Name_w_County],_xlfn.CONCAT("Entity ID ",RIGHT(Table3[[#This Row],[Sponsor_1_num]],8)," not found")),"")</f>
        <v/>
      </c>
      <c r="O250" t="str">
        <f>IF(LEN(I250)&lt;&gt;0,_xlfn.XLOOKUP(I250,[1]!Entities[ID_with_x],[1]!Entities[Name_w_County],_xlfn.CONCAT("Entity ID ",RIGHT(Table3[[#This Row],[Sponsor_1_num]],8)," not found")),"")</f>
        <v/>
      </c>
      <c r="P250" t="str">
        <f>IF(LEN(J250)&lt;&gt;0,_xlfn.XLOOKUP(J250,[1]!Entities[ID_with_x],[1]!Entities[Name_w_County],_xlfn.CONCAT("Entity ID ",RIGHT(Table3[[#This Row],[Sponsor_1_num]],8)," not found")),"")</f>
        <v/>
      </c>
      <c r="Q250" t="str">
        <f>IF(LEN(K250)&gt;0,_xlfn.TEXTJOIN(", ",TRUE,K250:P250),Table3[[#This Row],[SPONSOR_LIST]])</f>
        <v>Fruitvale</v>
      </c>
    </row>
    <row r="251" spans="1:17" x14ac:dyDescent="0.25">
      <c r="A251" s="304" t="s">
        <v>4793</v>
      </c>
      <c r="B251" t="s">
        <v>2526</v>
      </c>
      <c r="C251" t="str">
        <f t="shared" si="4"/>
        <v>x00002538</v>
      </c>
      <c r="D251" t="str">
        <f>SUBSTITUTE(SUBSTITUTE(Table3[[#This Row],[Sponsor_list_tranform]],",",",x")," ","")</f>
        <v>x00002538</v>
      </c>
      <c r="E251" t="s">
        <v>11766</v>
      </c>
      <c r="K251" t="str">
        <f>IF(LEN(E251)&lt;&gt;0,_xlfn.XLOOKUP(E251,[1]!Entities[ID_with_x],[1]!Entities[Name_w_County],_xlfn.CONCAT("Entity ID ",RIGHT(Table3[[#This Row],[Sponsor_1_num]],8)," not found")),"")</f>
        <v>Van</v>
      </c>
      <c r="L251" t="str">
        <f>IF(LEN(F251)&lt;&gt;0,_xlfn.XLOOKUP(F251,[1]!Entities[ID_with_x],[1]!Entities[Name_w_County],_xlfn.CONCAT("Entity ID ",RIGHT(Table3[[#This Row],[Sponsor_1_num]],8)," not found")),"")</f>
        <v/>
      </c>
      <c r="M251" t="str">
        <f>IF(LEN(G251)&lt;&gt;0,_xlfn.XLOOKUP(G251,[1]!Entities[ID_with_x],[1]!Entities[Name_w_County],_xlfn.CONCAT("Entity ID ",RIGHT(Table3[[#This Row],[Sponsor_1_num]],8)," not found")),"")</f>
        <v/>
      </c>
      <c r="N251" t="str">
        <f>IF(LEN(H251)&lt;&gt;0,_xlfn.XLOOKUP(H251,[1]!Entities[ID_with_x],[1]!Entities[Name_w_County],_xlfn.CONCAT("Entity ID ",RIGHT(Table3[[#This Row],[Sponsor_1_num]],8)," not found")),"")</f>
        <v/>
      </c>
      <c r="O251" t="str">
        <f>IF(LEN(I251)&lt;&gt;0,_xlfn.XLOOKUP(I251,[1]!Entities[ID_with_x],[1]!Entities[Name_w_County],_xlfn.CONCAT("Entity ID ",RIGHT(Table3[[#This Row],[Sponsor_1_num]],8)," not found")),"")</f>
        <v/>
      </c>
      <c r="P251" t="str">
        <f>IF(LEN(J251)&lt;&gt;0,_xlfn.XLOOKUP(J251,[1]!Entities[ID_with_x],[1]!Entities[Name_w_County],_xlfn.CONCAT("Entity ID ",RIGHT(Table3[[#This Row],[Sponsor_1_num]],8)," not found")),"")</f>
        <v/>
      </c>
      <c r="Q251" t="str">
        <f>IF(LEN(K251)&gt;0,_xlfn.TEXTJOIN(", ",TRUE,K251:P251),Table3[[#This Row],[SPONSOR_LIST]])</f>
        <v>Van</v>
      </c>
    </row>
    <row r="252" spans="1:17" x14ac:dyDescent="0.25">
      <c r="A252" s="304" t="s">
        <v>2527</v>
      </c>
      <c r="B252" t="s">
        <v>2526</v>
      </c>
      <c r="C252" t="str">
        <f t="shared" si="4"/>
        <v>x00002538</v>
      </c>
      <c r="D252" t="str">
        <f>SUBSTITUTE(SUBSTITUTE(Table3[[#This Row],[Sponsor_list_tranform]],",",",x")," ","")</f>
        <v>x00002538</v>
      </c>
      <c r="E252" t="s">
        <v>11766</v>
      </c>
      <c r="K252" t="str">
        <f>IF(LEN(E252)&lt;&gt;0,_xlfn.XLOOKUP(E252,[1]!Entities[ID_with_x],[1]!Entities[Name_w_County],_xlfn.CONCAT("Entity ID ",RIGHT(Table3[[#This Row],[Sponsor_1_num]],8)," not found")),"")</f>
        <v>Van</v>
      </c>
      <c r="L252" t="str">
        <f>IF(LEN(F252)&lt;&gt;0,_xlfn.XLOOKUP(F252,[1]!Entities[ID_with_x],[1]!Entities[Name_w_County],_xlfn.CONCAT("Entity ID ",RIGHT(Table3[[#This Row],[Sponsor_1_num]],8)," not found")),"")</f>
        <v/>
      </c>
      <c r="M252" t="str">
        <f>IF(LEN(G252)&lt;&gt;0,_xlfn.XLOOKUP(G252,[1]!Entities[ID_with_x],[1]!Entities[Name_w_County],_xlfn.CONCAT("Entity ID ",RIGHT(Table3[[#This Row],[Sponsor_1_num]],8)," not found")),"")</f>
        <v/>
      </c>
      <c r="N252" t="str">
        <f>IF(LEN(H252)&lt;&gt;0,_xlfn.XLOOKUP(H252,[1]!Entities[ID_with_x],[1]!Entities[Name_w_County],_xlfn.CONCAT("Entity ID ",RIGHT(Table3[[#This Row],[Sponsor_1_num]],8)," not found")),"")</f>
        <v/>
      </c>
      <c r="O252" t="str">
        <f>IF(LEN(I252)&lt;&gt;0,_xlfn.XLOOKUP(I252,[1]!Entities[ID_with_x],[1]!Entities[Name_w_County],_xlfn.CONCAT("Entity ID ",RIGHT(Table3[[#This Row],[Sponsor_1_num]],8)," not found")),"")</f>
        <v/>
      </c>
      <c r="P252" t="str">
        <f>IF(LEN(J252)&lt;&gt;0,_xlfn.XLOOKUP(J252,[1]!Entities[ID_with_x],[1]!Entities[Name_w_County],_xlfn.CONCAT("Entity ID ",RIGHT(Table3[[#This Row],[Sponsor_1_num]],8)," not found")),"")</f>
        <v/>
      </c>
      <c r="Q252" t="str">
        <f>IF(LEN(K252)&gt;0,_xlfn.TEXTJOIN(", ",TRUE,K252:P252),Table3[[#This Row],[SPONSOR_LIST]])</f>
        <v>Van</v>
      </c>
    </row>
    <row r="253" spans="1:17" x14ac:dyDescent="0.25">
      <c r="A253" s="304" t="s">
        <v>4795</v>
      </c>
      <c r="B253" t="s">
        <v>2531</v>
      </c>
      <c r="C253" t="str">
        <f t="shared" si="4"/>
        <v>x04002588</v>
      </c>
      <c r="D253" t="str">
        <f>SUBSTITUTE(SUBSTITUTE(Table3[[#This Row],[Sponsor_list_tranform]],",",",x")," ","")</f>
        <v>x04002588</v>
      </c>
      <c r="E253" t="s">
        <v>11704</v>
      </c>
      <c r="K253" t="str">
        <f>IF(LEN(E253)&lt;&gt;0,_xlfn.XLOOKUP(E253,[1]!Entities[ID_with_x],[1]!Entities[Name_w_County],_xlfn.CONCAT("Entity ID ",RIGHT(Table3[[#This Row],[Sponsor_1_num]],8)," not found")),"")</f>
        <v>Grand Saline</v>
      </c>
      <c r="L253" t="str">
        <f>IF(LEN(F253)&lt;&gt;0,_xlfn.XLOOKUP(F253,[1]!Entities[ID_with_x],[1]!Entities[Name_w_County],_xlfn.CONCAT("Entity ID ",RIGHT(Table3[[#This Row],[Sponsor_1_num]],8)," not found")),"")</f>
        <v/>
      </c>
      <c r="M253" t="str">
        <f>IF(LEN(G253)&lt;&gt;0,_xlfn.XLOOKUP(G253,[1]!Entities[ID_with_x],[1]!Entities[Name_w_County],_xlfn.CONCAT("Entity ID ",RIGHT(Table3[[#This Row],[Sponsor_1_num]],8)," not found")),"")</f>
        <v/>
      </c>
      <c r="N253" t="str">
        <f>IF(LEN(H253)&lt;&gt;0,_xlfn.XLOOKUP(H253,[1]!Entities[ID_with_x],[1]!Entities[Name_w_County],_xlfn.CONCAT("Entity ID ",RIGHT(Table3[[#This Row],[Sponsor_1_num]],8)," not found")),"")</f>
        <v/>
      </c>
      <c r="O253" t="str">
        <f>IF(LEN(I253)&lt;&gt;0,_xlfn.XLOOKUP(I253,[1]!Entities[ID_with_x],[1]!Entities[Name_w_County],_xlfn.CONCAT("Entity ID ",RIGHT(Table3[[#This Row],[Sponsor_1_num]],8)," not found")),"")</f>
        <v/>
      </c>
      <c r="P253" t="str">
        <f>IF(LEN(J253)&lt;&gt;0,_xlfn.XLOOKUP(J253,[1]!Entities[ID_with_x],[1]!Entities[Name_w_County],_xlfn.CONCAT("Entity ID ",RIGHT(Table3[[#This Row],[Sponsor_1_num]],8)," not found")),"")</f>
        <v/>
      </c>
      <c r="Q253" t="str">
        <f>IF(LEN(K253)&gt;0,_xlfn.TEXTJOIN(", ",TRUE,K253:P253),Table3[[#This Row],[SPONSOR_LIST]])</f>
        <v>Grand Saline</v>
      </c>
    </row>
    <row r="254" spans="1:17" x14ac:dyDescent="0.25">
      <c r="A254" s="304" t="s">
        <v>2574</v>
      </c>
      <c r="B254" t="s">
        <v>2531</v>
      </c>
      <c r="C254" t="str">
        <f t="shared" si="4"/>
        <v>x04002588</v>
      </c>
      <c r="D254" t="str">
        <f>SUBSTITUTE(SUBSTITUTE(Table3[[#This Row],[Sponsor_list_tranform]],",",",x")," ","")</f>
        <v>x04002588</v>
      </c>
      <c r="E254" t="s">
        <v>11704</v>
      </c>
      <c r="K254" t="str">
        <f>IF(LEN(E254)&lt;&gt;0,_xlfn.XLOOKUP(E254,[1]!Entities[ID_with_x],[1]!Entities[Name_w_County],_xlfn.CONCAT("Entity ID ",RIGHT(Table3[[#This Row],[Sponsor_1_num]],8)," not found")),"")</f>
        <v>Grand Saline</v>
      </c>
      <c r="L254" t="str">
        <f>IF(LEN(F254)&lt;&gt;0,_xlfn.XLOOKUP(F254,[1]!Entities[ID_with_x],[1]!Entities[Name_w_County],_xlfn.CONCAT("Entity ID ",RIGHT(Table3[[#This Row],[Sponsor_1_num]],8)," not found")),"")</f>
        <v/>
      </c>
      <c r="M254" t="str">
        <f>IF(LEN(G254)&lt;&gt;0,_xlfn.XLOOKUP(G254,[1]!Entities[ID_with_x],[1]!Entities[Name_w_County],_xlfn.CONCAT("Entity ID ",RIGHT(Table3[[#This Row],[Sponsor_1_num]],8)," not found")),"")</f>
        <v/>
      </c>
      <c r="N254" t="str">
        <f>IF(LEN(H254)&lt;&gt;0,_xlfn.XLOOKUP(H254,[1]!Entities[ID_with_x],[1]!Entities[Name_w_County],_xlfn.CONCAT("Entity ID ",RIGHT(Table3[[#This Row],[Sponsor_1_num]],8)," not found")),"")</f>
        <v/>
      </c>
      <c r="O254" t="str">
        <f>IF(LEN(I254)&lt;&gt;0,_xlfn.XLOOKUP(I254,[1]!Entities[ID_with_x],[1]!Entities[Name_w_County],_xlfn.CONCAT("Entity ID ",RIGHT(Table3[[#This Row],[Sponsor_1_num]],8)," not found")),"")</f>
        <v/>
      </c>
      <c r="P254" t="str">
        <f>IF(LEN(J254)&lt;&gt;0,_xlfn.XLOOKUP(J254,[1]!Entities[ID_with_x],[1]!Entities[Name_w_County],_xlfn.CONCAT("Entity ID ",RIGHT(Table3[[#This Row],[Sponsor_1_num]],8)," not found")),"")</f>
        <v/>
      </c>
      <c r="Q254" t="str">
        <f>IF(LEN(K254)&gt;0,_xlfn.TEXTJOIN(", ",TRUE,K254:P254),Table3[[#This Row],[SPONSOR_LIST]])</f>
        <v>Grand Saline</v>
      </c>
    </row>
    <row r="255" spans="1:17" x14ac:dyDescent="0.25">
      <c r="A255" s="304" t="s">
        <v>4799</v>
      </c>
      <c r="B255" t="s">
        <v>2141</v>
      </c>
      <c r="C255" t="str">
        <f t="shared" si="4"/>
        <v>x00002589</v>
      </c>
      <c r="D255" t="str">
        <f>SUBSTITUTE(SUBSTITUTE(Table3[[#This Row],[Sponsor_list_tranform]],",",",x")," ","")</f>
        <v>x00002589</v>
      </c>
      <c r="E255" t="s">
        <v>11706</v>
      </c>
      <c r="K255" t="str">
        <f>IF(LEN(E255)&lt;&gt;0,_xlfn.XLOOKUP(E255,[1]!Entities[ID_with_x],[1]!Entities[Name_w_County],_xlfn.CONCAT("Entity ID ",RIGHT(Table3[[#This Row],[Sponsor_1_num]],8)," not found")),"")</f>
        <v>Wills Point</v>
      </c>
      <c r="L255" t="str">
        <f>IF(LEN(F255)&lt;&gt;0,_xlfn.XLOOKUP(F255,[1]!Entities[ID_with_x],[1]!Entities[Name_w_County],_xlfn.CONCAT("Entity ID ",RIGHT(Table3[[#This Row],[Sponsor_1_num]],8)," not found")),"")</f>
        <v/>
      </c>
      <c r="M255" t="str">
        <f>IF(LEN(G255)&lt;&gt;0,_xlfn.XLOOKUP(G255,[1]!Entities[ID_with_x],[1]!Entities[Name_w_County],_xlfn.CONCAT("Entity ID ",RIGHT(Table3[[#This Row],[Sponsor_1_num]],8)," not found")),"")</f>
        <v/>
      </c>
      <c r="N255" t="str">
        <f>IF(LEN(H255)&lt;&gt;0,_xlfn.XLOOKUP(H255,[1]!Entities[ID_with_x],[1]!Entities[Name_w_County],_xlfn.CONCAT("Entity ID ",RIGHT(Table3[[#This Row],[Sponsor_1_num]],8)," not found")),"")</f>
        <v/>
      </c>
      <c r="O255" t="str">
        <f>IF(LEN(I255)&lt;&gt;0,_xlfn.XLOOKUP(I255,[1]!Entities[ID_with_x],[1]!Entities[Name_w_County],_xlfn.CONCAT("Entity ID ",RIGHT(Table3[[#This Row],[Sponsor_1_num]],8)," not found")),"")</f>
        <v/>
      </c>
      <c r="P255" t="str">
        <f>IF(LEN(J255)&lt;&gt;0,_xlfn.XLOOKUP(J255,[1]!Entities[ID_with_x],[1]!Entities[Name_w_County],_xlfn.CONCAT("Entity ID ",RIGHT(Table3[[#This Row],[Sponsor_1_num]],8)," not found")),"")</f>
        <v/>
      </c>
      <c r="Q255" t="str">
        <f>IF(LEN(K255)&gt;0,_xlfn.TEXTJOIN(", ",TRUE,K255:P255),Table3[[#This Row],[SPONSOR_LIST]])</f>
        <v>Wills Point</v>
      </c>
    </row>
    <row r="256" spans="1:17" x14ac:dyDescent="0.25">
      <c r="A256" s="304" t="s">
        <v>4801</v>
      </c>
      <c r="B256" t="s">
        <v>2141</v>
      </c>
      <c r="C256" t="str">
        <f t="shared" si="4"/>
        <v>x00002589</v>
      </c>
      <c r="D256" t="str">
        <f>SUBSTITUTE(SUBSTITUTE(Table3[[#This Row],[Sponsor_list_tranform]],",",",x")," ","")</f>
        <v>x00002589</v>
      </c>
      <c r="E256" t="s">
        <v>11706</v>
      </c>
      <c r="K256" t="str">
        <f>IF(LEN(E256)&lt;&gt;0,_xlfn.XLOOKUP(E256,[1]!Entities[ID_with_x],[1]!Entities[Name_w_County],_xlfn.CONCAT("Entity ID ",RIGHT(Table3[[#This Row],[Sponsor_1_num]],8)," not found")),"")</f>
        <v>Wills Point</v>
      </c>
      <c r="L256" t="str">
        <f>IF(LEN(F256)&lt;&gt;0,_xlfn.XLOOKUP(F256,[1]!Entities[ID_with_x],[1]!Entities[Name_w_County],_xlfn.CONCAT("Entity ID ",RIGHT(Table3[[#This Row],[Sponsor_1_num]],8)," not found")),"")</f>
        <v/>
      </c>
      <c r="M256" t="str">
        <f>IF(LEN(G256)&lt;&gt;0,_xlfn.XLOOKUP(G256,[1]!Entities[ID_with_x],[1]!Entities[Name_w_County],_xlfn.CONCAT("Entity ID ",RIGHT(Table3[[#This Row],[Sponsor_1_num]],8)," not found")),"")</f>
        <v/>
      </c>
      <c r="N256" t="str">
        <f>IF(LEN(H256)&lt;&gt;0,_xlfn.XLOOKUP(H256,[1]!Entities[ID_with_x],[1]!Entities[Name_w_County],_xlfn.CONCAT("Entity ID ",RIGHT(Table3[[#This Row],[Sponsor_1_num]],8)," not found")),"")</f>
        <v/>
      </c>
      <c r="O256" t="str">
        <f>IF(LEN(I256)&lt;&gt;0,_xlfn.XLOOKUP(I256,[1]!Entities[ID_with_x],[1]!Entities[Name_w_County],_xlfn.CONCAT("Entity ID ",RIGHT(Table3[[#This Row],[Sponsor_1_num]],8)," not found")),"")</f>
        <v/>
      </c>
      <c r="P256" t="str">
        <f>IF(LEN(J256)&lt;&gt;0,_xlfn.XLOOKUP(J256,[1]!Entities[ID_with_x],[1]!Entities[Name_w_County],_xlfn.CONCAT("Entity ID ",RIGHT(Table3[[#This Row],[Sponsor_1_num]],8)," not found")),"")</f>
        <v/>
      </c>
      <c r="Q256" t="str">
        <f>IF(LEN(K256)&gt;0,_xlfn.TEXTJOIN(", ",TRUE,K256:P256),Table3[[#This Row],[SPONSOR_LIST]])</f>
        <v>Wills Point</v>
      </c>
    </row>
    <row r="257" spans="1:17" x14ac:dyDescent="0.25">
      <c r="A257" s="304" t="s">
        <v>2534</v>
      </c>
      <c r="B257" t="s">
        <v>2141</v>
      </c>
      <c r="C257" t="str">
        <f t="shared" si="4"/>
        <v>x00002589</v>
      </c>
      <c r="D257" t="str">
        <f>SUBSTITUTE(SUBSTITUTE(Table3[[#This Row],[Sponsor_list_tranform]],",",",x")," ","")</f>
        <v>x00002589</v>
      </c>
      <c r="E257" t="s">
        <v>11706</v>
      </c>
      <c r="K257" t="str">
        <f>IF(LEN(E257)&lt;&gt;0,_xlfn.XLOOKUP(E257,[1]!Entities[ID_with_x],[1]!Entities[Name_w_County],_xlfn.CONCAT("Entity ID ",RIGHT(Table3[[#This Row],[Sponsor_1_num]],8)," not found")),"")</f>
        <v>Wills Point</v>
      </c>
      <c r="L257" t="str">
        <f>IF(LEN(F257)&lt;&gt;0,_xlfn.XLOOKUP(F257,[1]!Entities[ID_with_x],[1]!Entities[Name_w_County],_xlfn.CONCAT("Entity ID ",RIGHT(Table3[[#This Row],[Sponsor_1_num]],8)," not found")),"")</f>
        <v/>
      </c>
      <c r="M257" t="str">
        <f>IF(LEN(G257)&lt;&gt;0,_xlfn.XLOOKUP(G257,[1]!Entities[ID_with_x],[1]!Entities[Name_w_County],_xlfn.CONCAT("Entity ID ",RIGHT(Table3[[#This Row],[Sponsor_1_num]],8)," not found")),"")</f>
        <v/>
      </c>
      <c r="N257" t="str">
        <f>IF(LEN(H257)&lt;&gt;0,_xlfn.XLOOKUP(H257,[1]!Entities[ID_with_x],[1]!Entities[Name_w_County],_xlfn.CONCAT("Entity ID ",RIGHT(Table3[[#This Row],[Sponsor_1_num]],8)," not found")),"")</f>
        <v/>
      </c>
      <c r="O257" t="str">
        <f>IF(LEN(I257)&lt;&gt;0,_xlfn.XLOOKUP(I257,[1]!Entities[ID_with_x],[1]!Entities[Name_w_County],_xlfn.CONCAT("Entity ID ",RIGHT(Table3[[#This Row],[Sponsor_1_num]],8)," not found")),"")</f>
        <v/>
      </c>
      <c r="P257" t="str">
        <f>IF(LEN(J257)&lt;&gt;0,_xlfn.XLOOKUP(J257,[1]!Entities[ID_with_x],[1]!Entities[Name_w_County],_xlfn.CONCAT("Entity ID ",RIGHT(Table3[[#This Row],[Sponsor_1_num]],8)," not found")),"")</f>
        <v/>
      </c>
      <c r="Q257" t="str">
        <f>IF(LEN(K257)&gt;0,_xlfn.TEXTJOIN(", ",TRUE,K257:P257),Table3[[#This Row],[SPONSOR_LIST]])</f>
        <v>Wills Point</v>
      </c>
    </row>
    <row r="258" spans="1:17" x14ac:dyDescent="0.25">
      <c r="A258" s="304" t="s">
        <v>4803</v>
      </c>
      <c r="B258" t="s">
        <v>2141</v>
      </c>
      <c r="C258" t="str">
        <f t="shared" si="4"/>
        <v>x00002589</v>
      </c>
      <c r="D258" t="str">
        <f>SUBSTITUTE(SUBSTITUTE(Table3[[#This Row],[Sponsor_list_tranform]],",",",x")," ","")</f>
        <v>x00002589</v>
      </c>
      <c r="E258" t="s">
        <v>11706</v>
      </c>
      <c r="K258" t="str">
        <f>IF(LEN(E258)&lt;&gt;0,_xlfn.XLOOKUP(E258,[1]!Entities[ID_with_x],[1]!Entities[Name_w_County],_xlfn.CONCAT("Entity ID ",RIGHT(Table3[[#This Row],[Sponsor_1_num]],8)," not found")),"")</f>
        <v>Wills Point</v>
      </c>
      <c r="L258" t="str">
        <f>IF(LEN(F258)&lt;&gt;0,_xlfn.XLOOKUP(F258,[1]!Entities[ID_with_x],[1]!Entities[Name_w_County],_xlfn.CONCAT("Entity ID ",RIGHT(Table3[[#This Row],[Sponsor_1_num]],8)," not found")),"")</f>
        <v/>
      </c>
      <c r="M258" t="str">
        <f>IF(LEN(G258)&lt;&gt;0,_xlfn.XLOOKUP(G258,[1]!Entities[ID_with_x],[1]!Entities[Name_w_County],_xlfn.CONCAT("Entity ID ",RIGHT(Table3[[#This Row],[Sponsor_1_num]],8)," not found")),"")</f>
        <v/>
      </c>
      <c r="N258" t="str">
        <f>IF(LEN(H258)&lt;&gt;0,_xlfn.XLOOKUP(H258,[1]!Entities[ID_with_x],[1]!Entities[Name_w_County],_xlfn.CONCAT("Entity ID ",RIGHT(Table3[[#This Row],[Sponsor_1_num]],8)," not found")),"")</f>
        <v/>
      </c>
      <c r="O258" t="str">
        <f>IF(LEN(I258)&lt;&gt;0,_xlfn.XLOOKUP(I258,[1]!Entities[ID_with_x],[1]!Entities[Name_w_County],_xlfn.CONCAT("Entity ID ",RIGHT(Table3[[#This Row],[Sponsor_1_num]],8)," not found")),"")</f>
        <v/>
      </c>
      <c r="P258" t="str">
        <f>IF(LEN(J258)&lt;&gt;0,_xlfn.XLOOKUP(J258,[1]!Entities[ID_with_x],[1]!Entities[Name_w_County],_xlfn.CONCAT("Entity ID ",RIGHT(Table3[[#This Row],[Sponsor_1_num]],8)," not found")),"")</f>
        <v/>
      </c>
      <c r="Q258" t="str">
        <f>IF(LEN(K258)&gt;0,_xlfn.TEXTJOIN(", ",TRUE,K258:P258),Table3[[#This Row],[SPONSOR_LIST]])</f>
        <v>Wills Point</v>
      </c>
    </row>
    <row r="259" spans="1:17" x14ac:dyDescent="0.25">
      <c r="A259" s="304" t="s">
        <v>2585</v>
      </c>
      <c r="B259" t="s">
        <v>2581</v>
      </c>
      <c r="C259" t="str">
        <f t="shared" si="4"/>
        <v>x00002648</v>
      </c>
      <c r="D259" t="str">
        <f>SUBSTITUTE(SUBSTITUTE(Table3[[#This Row],[Sponsor_list_tranform]],",",",x")," ","")</f>
        <v>x00002648</v>
      </c>
      <c r="E259" t="s">
        <v>11705</v>
      </c>
      <c r="K259" t="str">
        <f>IF(LEN(E259)&lt;&gt;0,_xlfn.XLOOKUP(E259,[1]!Entities[ID_with_x],[1]!Entities[Name_w_County],_xlfn.CONCAT("Entity ID ",RIGHT(Table3[[#This Row],[Sponsor_1_num]],8)," not found")),"")</f>
        <v>Fate</v>
      </c>
      <c r="L259" t="str">
        <f>IF(LEN(F259)&lt;&gt;0,_xlfn.XLOOKUP(F259,[1]!Entities[ID_with_x],[1]!Entities[Name_w_County],_xlfn.CONCAT("Entity ID ",RIGHT(Table3[[#This Row],[Sponsor_1_num]],8)," not found")),"")</f>
        <v/>
      </c>
      <c r="M259" t="str">
        <f>IF(LEN(G259)&lt;&gt;0,_xlfn.XLOOKUP(G259,[1]!Entities[ID_with_x],[1]!Entities[Name_w_County],_xlfn.CONCAT("Entity ID ",RIGHT(Table3[[#This Row],[Sponsor_1_num]],8)," not found")),"")</f>
        <v/>
      </c>
      <c r="N259" t="str">
        <f>IF(LEN(H259)&lt;&gt;0,_xlfn.XLOOKUP(H259,[1]!Entities[ID_with_x],[1]!Entities[Name_w_County],_xlfn.CONCAT("Entity ID ",RIGHT(Table3[[#This Row],[Sponsor_1_num]],8)," not found")),"")</f>
        <v/>
      </c>
      <c r="O259" t="str">
        <f>IF(LEN(I259)&lt;&gt;0,_xlfn.XLOOKUP(I259,[1]!Entities[ID_with_x],[1]!Entities[Name_w_County],_xlfn.CONCAT("Entity ID ",RIGHT(Table3[[#This Row],[Sponsor_1_num]],8)," not found")),"")</f>
        <v/>
      </c>
      <c r="P259" t="str">
        <f>IF(LEN(J259)&lt;&gt;0,_xlfn.XLOOKUP(J259,[1]!Entities[ID_with_x],[1]!Entities[Name_w_County],_xlfn.CONCAT("Entity ID ",RIGHT(Table3[[#This Row],[Sponsor_1_num]],8)," not found")),"")</f>
        <v/>
      </c>
      <c r="Q259" t="str">
        <f>IF(LEN(K259)&gt;0,_xlfn.TEXTJOIN(", ",TRUE,K259:P259),Table3[[#This Row],[SPONSOR_LIST]])</f>
        <v>Fate</v>
      </c>
    </row>
    <row r="260" spans="1:17" x14ac:dyDescent="0.25">
      <c r="A260" s="304" t="s">
        <v>4807</v>
      </c>
      <c r="B260" t="s">
        <v>2541</v>
      </c>
      <c r="C260" t="str">
        <f t="shared" si="4"/>
        <v>x04002773</v>
      </c>
      <c r="D260" t="str">
        <f>SUBSTITUTE(SUBSTITUTE(Table3[[#This Row],[Sponsor_list_tranform]],",",",x")," ","")</f>
        <v>x04002773</v>
      </c>
      <c r="E260" t="s">
        <v>11820</v>
      </c>
      <c r="K260" t="str">
        <f>IF(LEN(E260)&lt;&gt;0,_xlfn.XLOOKUP(E260,[1]!Entities[ID_with_x],[1]!Entities[Name_w_County],_xlfn.CONCAT("Entity ID ",RIGHT(Table3[[#This Row],[Sponsor_1_num]],8)," not found")),"")</f>
        <v>Gladewater</v>
      </c>
      <c r="L260" t="str">
        <f>IF(LEN(F260)&lt;&gt;0,_xlfn.XLOOKUP(F260,[1]!Entities[ID_with_x],[1]!Entities[Name_w_County],_xlfn.CONCAT("Entity ID ",RIGHT(Table3[[#This Row],[Sponsor_1_num]],8)," not found")),"")</f>
        <v/>
      </c>
      <c r="M260" t="str">
        <f>IF(LEN(G260)&lt;&gt;0,_xlfn.XLOOKUP(G260,[1]!Entities[ID_with_x],[1]!Entities[Name_w_County],_xlfn.CONCAT("Entity ID ",RIGHT(Table3[[#This Row],[Sponsor_1_num]],8)," not found")),"")</f>
        <v/>
      </c>
      <c r="N260" t="str">
        <f>IF(LEN(H260)&lt;&gt;0,_xlfn.XLOOKUP(H260,[1]!Entities[ID_with_x],[1]!Entities[Name_w_County],_xlfn.CONCAT("Entity ID ",RIGHT(Table3[[#This Row],[Sponsor_1_num]],8)," not found")),"")</f>
        <v/>
      </c>
      <c r="O260" t="str">
        <f>IF(LEN(I260)&lt;&gt;0,_xlfn.XLOOKUP(I260,[1]!Entities[ID_with_x],[1]!Entities[Name_w_County],_xlfn.CONCAT("Entity ID ",RIGHT(Table3[[#This Row],[Sponsor_1_num]],8)," not found")),"")</f>
        <v/>
      </c>
      <c r="P260" t="str">
        <f>IF(LEN(J260)&lt;&gt;0,_xlfn.XLOOKUP(J260,[1]!Entities[ID_with_x],[1]!Entities[Name_w_County],_xlfn.CONCAT("Entity ID ",RIGHT(Table3[[#This Row],[Sponsor_1_num]],8)," not found")),"")</f>
        <v/>
      </c>
      <c r="Q260" t="str">
        <f>IF(LEN(K260)&gt;0,_xlfn.TEXTJOIN(", ",TRUE,K260:P260),Table3[[#This Row],[SPONSOR_LIST]])</f>
        <v>Gladewater</v>
      </c>
    </row>
    <row r="261" spans="1:17" x14ac:dyDescent="0.25">
      <c r="A261" s="304" t="s">
        <v>4810</v>
      </c>
      <c r="B261" t="s">
        <v>2541</v>
      </c>
      <c r="C261" t="str">
        <f t="shared" si="4"/>
        <v>x04002773</v>
      </c>
      <c r="D261" t="str">
        <f>SUBSTITUTE(SUBSTITUTE(Table3[[#This Row],[Sponsor_list_tranform]],",",",x")," ","")</f>
        <v>x04002773</v>
      </c>
      <c r="E261" t="s">
        <v>11820</v>
      </c>
      <c r="K261" t="str">
        <f>IF(LEN(E261)&lt;&gt;0,_xlfn.XLOOKUP(E261,[1]!Entities[ID_with_x],[1]!Entities[Name_w_County],_xlfn.CONCAT("Entity ID ",RIGHT(Table3[[#This Row],[Sponsor_1_num]],8)," not found")),"")</f>
        <v>Gladewater</v>
      </c>
      <c r="L261" t="str">
        <f>IF(LEN(F261)&lt;&gt;0,_xlfn.XLOOKUP(F261,[1]!Entities[ID_with_x],[1]!Entities[Name_w_County],_xlfn.CONCAT("Entity ID ",RIGHT(Table3[[#This Row],[Sponsor_1_num]],8)," not found")),"")</f>
        <v/>
      </c>
      <c r="M261" t="str">
        <f>IF(LEN(G261)&lt;&gt;0,_xlfn.XLOOKUP(G261,[1]!Entities[ID_with_x],[1]!Entities[Name_w_County],_xlfn.CONCAT("Entity ID ",RIGHT(Table3[[#This Row],[Sponsor_1_num]],8)," not found")),"")</f>
        <v/>
      </c>
      <c r="N261" t="str">
        <f>IF(LEN(H261)&lt;&gt;0,_xlfn.XLOOKUP(H261,[1]!Entities[ID_with_x],[1]!Entities[Name_w_County],_xlfn.CONCAT("Entity ID ",RIGHT(Table3[[#This Row],[Sponsor_1_num]],8)," not found")),"")</f>
        <v/>
      </c>
      <c r="O261" t="str">
        <f>IF(LEN(I261)&lt;&gt;0,_xlfn.XLOOKUP(I261,[1]!Entities[ID_with_x],[1]!Entities[Name_w_County],_xlfn.CONCAT("Entity ID ",RIGHT(Table3[[#This Row],[Sponsor_1_num]],8)," not found")),"")</f>
        <v/>
      </c>
      <c r="P261" t="str">
        <f>IF(LEN(J261)&lt;&gt;0,_xlfn.XLOOKUP(J261,[1]!Entities[ID_with_x],[1]!Entities[Name_w_County],_xlfn.CONCAT("Entity ID ",RIGHT(Table3[[#This Row],[Sponsor_1_num]],8)," not found")),"")</f>
        <v/>
      </c>
      <c r="Q261" t="str">
        <f>IF(LEN(K261)&gt;0,_xlfn.TEXTJOIN(", ",TRUE,K261:P261),Table3[[#This Row],[SPONSOR_LIST]])</f>
        <v>Gladewater</v>
      </c>
    </row>
    <row r="262" spans="1:17" x14ac:dyDescent="0.25">
      <c r="A262" s="304" t="s">
        <v>2542</v>
      </c>
      <c r="B262" t="s">
        <v>2541</v>
      </c>
      <c r="C262" t="str">
        <f t="shared" ref="C262:C325" si="5">IF(ISNUMBER(VALUE(LEFT(B262,7))),_xlfn.CONCAT("x",TEXT(SUBSTITUTE(B262,",",", "),"00000000")),"")</f>
        <v>x04002773</v>
      </c>
      <c r="D262" t="str">
        <f>SUBSTITUTE(SUBSTITUTE(Table3[[#This Row],[Sponsor_list_tranform]],",",",x")," ","")</f>
        <v>x04002773</v>
      </c>
      <c r="E262" t="s">
        <v>11820</v>
      </c>
      <c r="K262" t="str">
        <f>IF(LEN(E262)&lt;&gt;0,_xlfn.XLOOKUP(E262,[1]!Entities[ID_with_x],[1]!Entities[Name_w_County],_xlfn.CONCAT("Entity ID ",RIGHT(Table3[[#This Row],[Sponsor_1_num]],8)," not found")),"")</f>
        <v>Gladewater</v>
      </c>
      <c r="L262" t="str">
        <f>IF(LEN(F262)&lt;&gt;0,_xlfn.XLOOKUP(F262,[1]!Entities[ID_with_x],[1]!Entities[Name_w_County],_xlfn.CONCAT("Entity ID ",RIGHT(Table3[[#This Row],[Sponsor_1_num]],8)," not found")),"")</f>
        <v/>
      </c>
      <c r="M262" t="str">
        <f>IF(LEN(G262)&lt;&gt;0,_xlfn.XLOOKUP(G262,[1]!Entities[ID_with_x],[1]!Entities[Name_w_County],_xlfn.CONCAT("Entity ID ",RIGHT(Table3[[#This Row],[Sponsor_1_num]],8)," not found")),"")</f>
        <v/>
      </c>
      <c r="N262" t="str">
        <f>IF(LEN(H262)&lt;&gt;0,_xlfn.XLOOKUP(H262,[1]!Entities[ID_with_x],[1]!Entities[Name_w_County],_xlfn.CONCAT("Entity ID ",RIGHT(Table3[[#This Row],[Sponsor_1_num]],8)," not found")),"")</f>
        <v/>
      </c>
      <c r="O262" t="str">
        <f>IF(LEN(I262)&lt;&gt;0,_xlfn.XLOOKUP(I262,[1]!Entities[ID_with_x],[1]!Entities[Name_w_County],_xlfn.CONCAT("Entity ID ",RIGHT(Table3[[#This Row],[Sponsor_1_num]],8)," not found")),"")</f>
        <v/>
      </c>
      <c r="P262" t="str">
        <f>IF(LEN(J262)&lt;&gt;0,_xlfn.XLOOKUP(J262,[1]!Entities[ID_with_x],[1]!Entities[Name_w_County],_xlfn.CONCAT("Entity ID ",RIGHT(Table3[[#This Row],[Sponsor_1_num]],8)," not found")),"")</f>
        <v/>
      </c>
      <c r="Q262" t="str">
        <f>IF(LEN(K262)&gt;0,_xlfn.TEXTJOIN(", ",TRUE,K262:P262),Table3[[#This Row],[SPONSOR_LIST]])</f>
        <v>Gladewater</v>
      </c>
    </row>
    <row r="263" spans="1:17" x14ac:dyDescent="0.25">
      <c r="A263" s="304" t="s">
        <v>4812</v>
      </c>
      <c r="B263" t="s">
        <v>2541</v>
      </c>
      <c r="C263" t="str">
        <f t="shared" si="5"/>
        <v>x04002773</v>
      </c>
      <c r="D263" t="str">
        <f>SUBSTITUTE(SUBSTITUTE(Table3[[#This Row],[Sponsor_list_tranform]],",",",x")," ","")</f>
        <v>x04002773</v>
      </c>
      <c r="E263" t="s">
        <v>11820</v>
      </c>
      <c r="K263" t="str">
        <f>IF(LEN(E263)&lt;&gt;0,_xlfn.XLOOKUP(E263,[1]!Entities[ID_with_x],[1]!Entities[Name_w_County],_xlfn.CONCAT("Entity ID ",RIGHT(Table3[[#This Row],[Sponsor_1_num]],8)," not found")),"")</f>
        <v>Gladewater</v>
      </c>
      <c r="L263" t="str">
        <f>IF(LEN(F263)&lt;&gt;0,_xlfn.XLOOKUP(F263,[1]!Entities[ID_with_x],[1]!Entities[Name_w_County],_xlfn.CONCAT("Entity ID ",RIGHT(Table3[[#This Row],[Sponsor_1_num]],8)," not found")),"")</f>
        <v/>
      </c>
      <c r="M263" t="str">
        <f>IF(LEN(G263)&lt;&gt;0,_xlfn.XLOOKUP(G263,[1]!Entities[ID_with_x],[1]!Entities[Name_w_County],_xlfn.CONCAT("Entity ID ",RIGHT(Table3[[#This Row],[Sponsor_1_num]],8)," not found")),"")</f>
        <v/>
      </c>
      <c r="N263" t="str">
        <f>IF(LEN(H263)&lt;&gt;0,_xlfn.XLOOKUP(H263,[1]!Entities[ID_with_x],[1]!Entities[Name_w_County],_xlfn.CONCAT("Entity ID ",RIGHT(Table3[[#This Row],[Sponsor_1_num]],8)," not found")),"")</f>
        <v/>
      </c>
      <c r="O263" t="str">
        <f>IF(LEN(I263)&lt;&gt;0,_xlfn.XLOOKUP(I263,[1]!Entities[ID_with_x],[1]!Entities[Name_w_County],_xlfn.CONCAT("Entity ID ",RIGHT(Table3[[#This Row],[Sponsor_1_num]],8)," not found")),"")</f>
        <v/>
      </c>
      <c r="P263" t="str">
        <f>IF(LEN(J263)&lt;&gt;0,_xlfn.XLOOKUP(J263,[1]!Entities[ID_with_x],[1]!Entities[Name_w_County],_xlfn.CONCAT("Entity ID ",RIGHT(Table3[[#This Row],[Sponsor_1_num]],8)," not found")),"")</f>
        <v/>
      </c>
      <c r="Q263" t="str">
        <f>IF(LEN(K263)&gt;0,_xlfn.TEXTJOIN(", ",TRUE,K263:P263),Table3[[#This Row],[SPONSOR_LIST]])</f>
        <v>Gladewater</v>
      </c>
    </row>
    <row r="264" spans="1:17" x14ac:dyDescent="0.25">
      <c r="A264" s="304" t="s">
        <v>4814</v>
      </c>
      <c r="B264" t="s">
        <v>2545</v>
      </c>
      <c r="C264" t="str">
        <f t="shared" si="5"/>
        <v>x04002775</v>
      </c>
      <c r="D264" t="str">
        <f>SUBSTITUTE(SUBSTITUTE(Table3[[#This Row],[Sponsor_list_tranform]],",",",x")," ","")</f>
        <v>x04002775</v>
      </c>
      <c r="E264" t="s">
        <v>11768</v>
      </c>
      <c r="K264" t="str">
        <f>IF(LEN(E264)&lt;&gt;0,_xlfn.XLOOKUP(E264,[1]!Entities[ID_with_x],[1]!Entities[Name_w_County],_xlfn.CONCAT("Entity ID ",RIGHT(Table3[[#This Row],[Sponsor_1_num]],8)," not found")),"")</f>
        <v>Kilgore</v>
      </c>
      <c r="L264" t="str">
        <f>IF(LEN(F264)&lt;&gt;0,_xlfn.XLOOKUP(F264,[1]!Entities[ID_with_x],[1]!Entities[Name_w_County],_xlfn.CONCAT("Entity ID ",RIGHT(Table3[[#This Row],[Sponsor_1_num]],8)," not found")),"")</f>
        <v/>
      </c>
      <c r="M264" t="str">
        <f>IF(LEN(G264)&lt;&gt;0,_xlfn.XLOOKUP(G264,[1]!Entities[ID_with_x],[1]!Entities[Name_w_County],_xlfn.CONCAT("Entity ID ",RIGHT(Table3[[#This Row],[Sponsor_1_num]],8)," not found")),"")</f>
        <v/>
      </c>
      <c r="N264" t="str">
        <f>IF(LEN(H264)&lt;&gt;0,_xlfn.XLOOKUP(H264,[1]!Entities[ID_with_x],[1]!Entities[Name_w_County],_xlfn.CONCAT("Entity ID ",RIGHT(Table3[[#This Row],[Sponsor_1_num]],8)," not found")),"")</f>
        <v/>
      </c>
      <c r="O264" t="str">
        <f>IF(LEN(I264)&lt;&gt;0,_xlfn.XLOOKUP(I264,[1]!Entities[ID_with_x],[1]!Entities[Name_w_County],_xlfn.CONCAT("Entity ID ",RIGHT(Table3[[#This Row],[Sponsor_1_num]],8)," not found")),"")</f>
        <v/>
      </c>
      <c r="P264" t="str">
        <f>IF(LEN(J264)&lt;&gt;0,_xlfn.XLOOKUP(J264,[1]!Entities[ID_with_x],[1]!Entities[Name_w_County],_xlfn.CONCAT("Entity ID ",RIGHT(Table3[[#This Row],[Sponsor_1_num]],8)," not found")),"")</f>
        <v/>
      </c>
      <c r="Q264" t="str">
        <f>IF(LEN(K264)&gt;0,_xlfn.TEXTJOIN(", ",TRUE,K264:P264),Table3[[#This Row],[SPONSOR_LIST]])</f>
        <v>Kilgore</v>
      </c>
    </row>
    <row r="265" spans="1:17" x14ac:dyDescent="0.25">
      <c r="A265" s="304" t="s">
        <v>2588</v>
      </c>
      <c r="B265" t="s">
        <v>2545</v>
      </c>
      <c r="C265" t="str">
        <f t="shared" si="5"/>
        <v>x04002775</v>
      </c>
      <c r="D265" t="str">
        <f>SUBSTITUTE(SUBSTITUTE(Table3[[#This Row],[Sponsor_list_tranform]],",",",x")," ","")</f>
        <v>x04002775</v>
      </c>
      <c r="E265" t="s">
        <v>11768</v>
      </c>
      <c r="K265" t="str">
        <f>IF(LEN(E265)&lt;&gt;0,_xlfn.XLOOKUP(E265,[1]!Entities[ID_with_x],[1]!Entities[Name_w_County],_xlfn.CONCAT("Entity ID ",RIGHT(Table3[[#This Row],[Sponsor_1_num]],8)," not found")),"")</f>
        <v>Kilgore</v>
      </c>
      <c r="L265" t="str">
        <f>IF(LEN(F265)&lt;&gt;0,_xlfn.XLOOKUP(F265,[1]!Entities[ID_with_x],[1]!Entities[Name_w_County],_xlfn.CONCAT("Entity ID ",RIGHT(Table3[[#This Row],[Sponsor_1_num]],8)," not found")),"")</f>
        <v/>
      </c>
      <c r="M265" t="str">
        <f>IF(LEN(G265)&lt;&gt;0,_xlfn.XLOOKUP(G265,[1]!Entities[ID_with_x],[1]!Entities[Name_w_County],_xlfn.CONCAT("Entity ID ",RIGHT(Table3[[#This Row],[Sponsor_1_num]],8)," not found")),"")</f>
        <v/>
      </c>
      <c r="N265" t="str">
        <f>IF(LEN(H265)&lt;&gt;0,_xlfn.XLOOKUP(H265,[1]!Entities[ID_with_x],[1]!Entities[Name_w_County],_xlfn.CONCAT("Entity ID ",RIGHT(Table3[[#This Row],[Sponsor_1_num]],8)," not found")),"")</f>
        <v/>
      </c>
      <c r="O265" t="str">
        <f>IF(LEN(I265)&lt;&gt;0,_xlfn.XLOOKUP(I265,[1]!Entities[ID_with_x],[1]!Entities[Name_w_County],_xlfn.CONCAT("Entity ID ",RIGHT(Table3[[#This Row],[Sponsor_1_num]],8)," not found")),"")</f>
        <v/>
      </c>
      <c r="P265" t="str">
        <f>IF(LEN(J265)&lt;&gt;0,_xlfn.XLOOKUP(J265,[1]!Entities[ID_with_x],[1]!Entities[Name_w_County],_xlfn.CONCAT("Entity ID ",RIGHT(Table3[[#This Row],[Sponsor_1_num]],8)," not found")),"")</f>
        <v/>
      </c>
      <c r="Q265" t="str">
        <f>IF(LEN(K265)&gt;0,_xlfn.TEXTJOIN(", ",TRUE,K265:P265),Table3[[#This Row],[SPONSOR_LIST]])</f>
        <v>Kilgore</v>
      </c>
    </row>
    <row r="266" spans="1:17" x14ac:dyDescent="0.25">
      <c r="A266" s="304" t="s">
        <v>2546</v>
      </c>
      <c r="B266" t="s">
        <v>2552</v>
      </c>
      <c r="C266" t="str">
        <f t="shared" si="5"/>
        <v>x04003052</v>
      </c>
      <c r="D266" t="str">
        <f>SUBSTITUTE(SUBSTITUTE(Table3[[#This Row],[Sponsor_list_tranform]],",",",x")," ","")</f>
        <v>x04003052</v>
      </c>
      <c r="E266" t="s">
        <v>11821</v>
      </c>
      <c r="K266" t="str">
        <f>IF(LEN(E266)&lt;&gt;0,_xlfn.XLOOKUP(E266,[1]!Entities[ID_with_x],[1]!Entities[Name_w_County],_xlfn.CONCAT("Entity ID ",RIGHT(Table3[[#This Row],[Sponsor_1_num]],8)," not found")),"")</f>
        <v>Clarksville City</v>
      </c>
      <c r="L266" t="str">
        <f>IF(LEN(F266)&lt;&gt;0,_xlfn.XLOOKUP(F266,[1]!Entities[ID_with_x],[1]!Entities[Name_w_County],_xlfn.CONCAT("Entity ID ",RIGHT(Table3[[#This Row],[Sponsor_1_num]],8)," not found")),"")</f>
        <v/>
      </c>
      <c r="M266" t="str">
        <f>IF(LEN(G266)&lt;&gt;0,_xlfn.XLOOKUP(G266,[1]!Entities[ID_with_x],[1]!Entities[Name_w_County],_xlfn.CONCAT("Entity ID ",RIGHT(Table3[[#This Row],[Sponsor_1_num]],8)," not found")),"")</f>
        <v/>
      </c>
      <c r="N266" t="str">
        <f>IF(LEN(H266)&lt;&gt;0,_xlfn.XLOOKUP(H266,[1]!Entities[ID_with_x],[1]!Entities[Name_w_County],_xlfn.CONCAT("Entity ID ",RIGHT(Table3[[#This Row],[Sponsor_1_num]],8)," not found")),"")</f>
        <v/>
      </c>
      <c r="O266" t="str">
        <f>IF(LEN(I266)&lt;&gt;0,_xlfn.XLOOKUP(I266,[1]!Entities[ID_with_x],[1]!Entities[Name_w_County],_xlfn.CONCAT("Entity ID ",RIGHT(Table3[[#This Row],[Sponsor_1_num]],8)," not found")),"")</f>
        <v/>
      </c>
      <c r="P266" t="str">
        <f>IF(LEN(J266)&lt;&gt;0,_xlfn.XLOOKUP(J266,[1]!Entities[ID_with_x],[1]!Entities[Name_w_County],_xlfn.CONCAT("Entity ID ",RIGHT(Table3[[#This Row],[Sponsor_1_num]],8)," not found")),"")</f>
        <v/>
      </c>
      <c r="Q266" t="str">
        <f>IF(LEN(K266)&gt;0,_xlfn.TEXTJOIN(", ",TRUE,K266:P266),Table3[[#This Row],[SPONSOR_LIST]])</f>
        <v>Clarksville City</v>
      </c>
    </row>
    <row r="267" spans="1:17" x14ac:dyDescent="0.25">
      <c r="A267" s="304" t="s">
        <v>4821</v>
      </c>
      <c r="B267" t="s">
        <v>4737</v>
      </c>
      <c r="C267" t="str">
        <f t="shared" si="5"/>
        <v>x00003055</v>
      </c>
      <c r="D267" t="str">
        <f>SUBSTITUTE(SUBSTITUTE(Table3[[#This Row],[Sponsor_list_tranform]],",",",x")," ","")</f>
        <v>x00003055</v>
      </c>
      <c r="E267" t="s">
        <v>11876</v>
      </c>
      <c r="K267" t="str">
        <f>IF(LEN(E267)&lt;&gt;0,_xlfn.XLOOKUP(E267,[1]!Entities[ID_with_x],[1]!Entities[Name_w_County],_xlfn.CONCAT("Entity ID ",RIGHT(Table3[[#This Row],[Sponsor_1_num]],8)," not found")),"")</f>
        <v>Longview</v>
      </c>
      <c r="L267" t="str">
        <f>IF(LEN(F267)&lt;&gt;0,_xlfn.XLOOKUP(F267,[1]!Entities[ID_with_x],[1]!Entities[Name_w_County],_xlfn.CONCAT("Entity ID ",RIGHT(Table3[[#This Row],[Sponsor_1_num]],8)," not found")),"")</f>
        <v/>
      </c>
      <c r="M267" t="str">
        <f>IF(LEN(G267)&lt;&gt;0,_xlfn.XLOOKUP(G267,[1]!Entities[ID_with_x],[1]!Entities[Name_w_County],_xlfn.CONCAT("Entity ID ",RIGHT(Table3[[#This Row],[Sponsor_1_num]],8)," not found")),"")</f>
        <v/>
      </c>
      <c r="N267" t="str">
        <f>IF(LEN(H267)&lt;&gt;0,_xlfn.XLOOKUP(H267,[1]!Entities[ID_with_x],[1]!Entities[Name_w_County],_xlfn.CONCAT("Entity ID ",RIGHT(Table3[[#This Row],[Sponsor_1_num]],8)," not found")),"")</f>
        <v/>
      </c>
      <c r="O267" t="str">
        <f>IF(LEN(I267)&lt;&gt;0,_xlfn.XLOOKUP(I267,[1]!Entities[ID_with_x],[1]!Entities[Name_w_County],_xlfn.CONCAT("Entity ID ",RIGHT(Table3[[#This Row],[Sponsor_1_num]],8)," not found")),"")</f>
        <v/>
      </c>
      <c r="P267" t="str">
        <f>IF(LEN(J267)&lt;&gt;0,_xlfn.XLOOKUP(J267,[1]!Entities[ID_with_x],[1]!Entities[Name_w_County],_xlfn.CONCAT("Entity ID ",RIGHT(Table3[[#This Row],[Sponsor_1_num]],8)," not found")),"")</f>
        <v/>
      </c>
      <c r="Q267" t="str">
        <f>IF(LEN(K267)&gt;0,_xlfn.TEXTJOIN(", ",TRUE,K267:P267),Table3[[#This Row],[SPONSOR_LIST]])</f>
        <v>Longview</v>
      </c>
    </row>
    <row r="268" spans="1:17" x14ac:dyDescent="0.25">
      <c r="A268" s="304" t="s">
        <v>4827</v>
      </c>
      <c r="B268" t="s">
        <v>4737</v>
      </c>
      <c r="C268" t="str">
        <f t="shared" si="5"/>
        <v>x00003055</v>
      </c>
      <c r="D268" t="str">
        <f>SUBSTITUTE(SUBSTITUTE(Table3[[#This Row],[Sponsor_list_tranform]],",",",x")," ","")</f>
        <v>x00003055</v>
      </c>
      <c r="E268" t="s">
        <v>11876</v>
      </c>
      <c r="K268" t="str">
        <f>IF(LEN(E268)&lt;&gt;0,_xlfn.XLOOKUP(E268,[1]!Entities[ID_with_x],[1]!Entities[Name_w_County],_xlfn.CONCAT("Entity ID ",RIGHT(Table3[[#This Row],[Sponsor_1_num]],8)," not found")),"")</f>
        <v>Longview</v>
      </c>
      <c r="L268" t="str">
        <f>IF(LEN(F268)&lt;&gt;0,_xlfn.XLOOKUP(F268,[1]!Entities[ID_with_x],[1]!Entities[Name_w_County],_xlfn.CONCAT("Entity ID ",RIGHT(Table3[[#This Row],[Sponsor_1_num]],8)," not found")),"")</f>
        <v/>
      </c>
      <c r="M268" t="str">
        <f>IF(LEN(G268)&lt;&gt;0,_xlfn.XLOOKUP(G268,[1]!Entities[ID_with_x],[1]!Entities[Name_w_County],_xlfn.CONCAT("Entity ID ",RIGHT(Table3[[#This Row],[Sponsor_1_num]],8)," not found")),"")</f>
        <v/>
      </c>
      <c r="N268" t="str">
        <f>IF(LEN(H268)&lt;&gt;0,_xlfn.XLOOKUP(H268,[1]!Entities[ID_with_x],[1]!Entities[Name_w_County],_xlfn.CONCAT("Entity ID ",RIGHT(Table3[[#This Row],[Sponsor_1_num]],8)," not found")),"")</f>
        <v/>
      </c>
      <c r="O268" t="str">
        <f>IF(LEN(I268)&lt;&gt;0,_xlfn.XLOOKUP(I268,[1]!Entities[ID_with_x],[1]!Entities[Name_w_County],_xlfn.CONCAT("Entity ID ",RIGHT(Table3[[#This Row],[Sponsor_1_num]],8)," not found")),"")</f>
        <v/>
      </c>
      <c r="P268" t="str">
        <f>IF(LEN(J268)&lt;&gt;0,_xlfn.XLOOKUP(J268,[1]!Entities[ID_with_x],[1]!Entities[Name_w_County],_xlfn.CONCAT("Entity ID ",RIGHT(Table3[[#This Row],[Sponsor_1_num]],8)," not found")),"")</f>
        <v/>
      </c>
      <c r="Q268" t="str">
        <f>IF(LEN(K268)&gt;0,_xlfn.TEXTJOIN(", ",TRUE,K268:P268),Table3[[#This Row],[SPONSOR_LIST]])</f>
        <v>Longview</v>
      </c>
    </row>
    <row r="269" spans="1:17" x14ac:dyDescent="0.25">
      <c r="A269" s="304" t="s">
        <v>4830</v>
      </c>
      <c r="B269" t="s">
        <v>4737</v>
      </c>
      <c r="C269" t="str">
        <f t="shared" si="5"/>
        <v>x00003055</v>
      </c>
      <c r="D269" t="str">
        <f>SUBSTITUTE(SUBSTITUTE(Table3[[#This Row],[Sponsor_list_tranform]],",",",x")," ","")</f>
        <v>x00003055</v>
      </c>
      <c r="E269" t="s">
        <v>11876</v>
      </c>
      <c r="K269" t="str">
        <f>IF(LEN(E269)&lt;&gt;0,_xlfn.XLOOKUP(E269,[1]!Entities[ID_with_x],[1]!Entities[Name_w_County],_xlfn.CONCAT("Entity ID ",RIGHT(Table3[[#This Row],[Sponsor_1_num]],8)," not found")),"")</f>
        <v>Longview</v>
      </c>
      <c r="L269" t="str">
        <f>IF(LEN(F269)&lt;&gt;0,_xlfn.XLOOKUP(F269,[1]!Entities[ID_with_x],[1]!Entities[Name_w_County],_xlfn.CONCAT("Entity ID ",RIGHT(Table3[[#This Row],[Sponsor_1_num]],8)," not found")),"")</f>
        <v/>
      </c>
      <c r="M269" t="str">
        <f>IF(LEN(G269)&lt;&gt;0,_xlfn.XLOOKUP(G269,[1]!Entities[ID_with_x],[1]!Entities[Name_w_County],_xlfn.CONCAT("Entity ID ",RIGHT(Table3[[#This Row],[Sponsor_1_num]],8)," not found")),"")</f>
        <v/>
      </c>
      <c r="N269" t="str">
        <f>IF(LEN(H269)&lt;&gt;0,_xlfn.XLOOKUP(H269,[1]!Entities[ID_with_x],[1]!Entities[Name_w_County],_xlfn.CONCAT("Entity ID ",RIGHT(Table3[[#This Row],[Sponsor_1_num]],8)," not found")),"")</f>
        <v/>
      </c>
      <c r="O269" t="str">
        <f>IF(LEN(I269)&lt;&gt;0,_xlfn.XLOOKUP(I269,[1]!Entities[ID_with_x],[1]!Entities[Name_w_County],_xlfn.CONCAT("Entity ID ",RIGHT(Table3[[#This Row],[Sponsor_1_num]],8)," not found")),"")</f>
        <v/>
      </c>
      <c r="P269" t="str">
        <f>IF(LEN(J269)&lt;&gt;0,_xlfn.XLOOKUP(J269,[1]!Entities[ID_with_x],[1]!Entities[Name_w_County],_xlfn.CONCAT("Entity ID ",RIGHT(Table3[[#This Row],[Sponsor_1_num]],8)," not found")),"")</f>
        <v/>
      </c>
      <c r="Q269" t="str">
        <f>IF(LEN(K269)&gt;0,_xlfn.TEXTJOIN(", ",TRUE,K269:P269),Table3[[#This Row],[SPONSOR_LIST]])</f>
        <v>Longview</v>
      </c>
    </row>
    <row r="270" spans="1:17" x14ac:dyDescent="0.25">
      <c r="A270" s="304" t="s">
        <v>4833</v>
      </c>
      <c r="B270" t="s">
        <v>4737</v>
      </c>
      <c r="C270" t="str">
        <f t="shared" si="5"/>
        <v>x00003055</v>
      </c>
      <c r="D270" t="str">
        <f>SUBSTITUTE(SUBSTITUTE(Table3[[#This Row],[Sponsor_list_tranform]],",",",x")," ","")</f>
        <v>x00003055</v>
      </c>
      <c r="E270" t="s">
        <v>11876</v>
      </c>
      <c r="K270" t="str">
        <f>IF(LEN(E270)&lt;&gt;0,_xlfn.XLOOKUP(E270,[1]!Entities[ID_with_x],[1]!Entities[Name_w_County],_xlfn.CONCAT("Entity ID ",RIGHT(Table3[[#This Row],[Sponsor_1_num]],8)," not found")),"")</f>
        <v>Longview</v>
      </c>
      <c r="L270" t="str">
        <f>IF(LEN(F270)&lt;&gt;0,_xlfn.XLOOKUP(F270,[1]!Entities[ID_with_x],[1]!Entities[Name_w_County],_xlfn.CONCAT("Entity ID ",RIGHT(Table3[[#This Row],[Sponsor_1_num]],8)," not found")),"")</f>
        <v/>
      </c>
      <c r="M270" t="str">
        <f>IF(LEN(G270)&lt;&gt;0,_xlfn.XLOOKUP(G270,[1]!Entities[ID_with_x],[1]!Entities[Name_w_County],_xlfn.CONCAT("Entity ID ",RIGHT(Table3[[#This Row],[Sponsor_1_num]],8)," not found")),"")</f>
        <v/>
      </c>
      <c r="N270" t="str">
        <f>IF(LEN(H270)&lt;&gt;0,_xlfn.XLOOKUP(H270,[1]!Entities[ID_with_x],[1]!Entities[Name_w_County],_xlfn.CONCAT("Entity ID ",RIGHT(Table3[[#This Row],[Sponsor_1_num]],8)," not found")),"")</f>
        <v/>
      </c>
      <c r="O270" t="str">
        <f>IF(LEN(I270)&lt;&gt;0,_xlfn.XLOOKUP(I270,[1]!Entities[ID_with_x],[1]!Entities[Name_w_County],_xlfn.CONCAT("Entity ID ",RIGHT(Table3[[#This Row],[Sponsor_1_num]],8)," not found")),"")</f>
        <v/>
      </c>
      <c r="P270" t="str">
        <f>IF(LEN(J270)&lt;&gt;0,_xlfn.XLOOKUP(J270,[1]!Entities[ID_with_x],[1]!Entities[Name_w_County],_xlfn.CONCAT("Entity ID ",RIGHT(Table3[[#This Row],[Sponsor_1_num]],8)," not found")),"")</f>
        <v/>
      </c>
      <c r="Q270" t="str">
        <f>IF(LEN(K270)&gt;0,_xlfn.TEXTJOIN(", ",TRUE,K270:P270),Table3[[#This Row],[SPONSOR_LIST]])</f>
        <v>Longview</v>
      </c>
    </row>
    <row r="271" spans="1:17" x14ac:dyDescent="0.25">
      <c r="A271" s="304" t="s">
        <v>4836</v>
      </c>
      <c r="B271" t="s">
        <v>2557</v>
      </c>
      <c r="C271" t="str">
        <f t="shared" si="5"/>
        <v>x00003178</v>
      </c>
      <c r="D271" t="str">
        <f>SUBSTITUTE(SUBSTITUTE(Table3[[#This Row],[Sponsor_list_tranform]],",",",x")," ","")</f>
        <v>x00003178</v>
      </c>
      <c r="E271" t="s">
        <v>11765</v>
      </c>
      <c r="K271" t="str">
        <f>IF(LEN(E271)&lt;&gt;0,_xlfn.XLOOKUP(E271,[1]!Entities[ID_with_x],[1]!Entities[Name_w_County],_xlfn.CONCAT("Entity ID ",RIGHT(Table3[[#This Row],[Sponsor_1_num]],8)," not found")),"")</f>
        <v>Hideaway</v>
      </c>
      <c r="L271" t="str">
        <f>IF(LEN(F271)&lt;&gt;0,_xlfn.XLOOKUP(F271,[1]!Entities[ID_with_x],[1]!Entities[Name_w_County],_xlfn.CONCAT("Entity ID ",RIGHT(Table3[[#This Row],[Sponsor_1_num]],8)," not found")),"")</f>
        <v/>
      </c>
      <c r="M271" t="str">
        <f>IF(LEN(G271)&lt;&gt;0,_xlfn.XLOOKUP(G271,[1]!Entities[ID_with_x],[1]!Entities[Name_w_County],_xlfn.CONCAT("Entity ID ",RIGHT(Table3[[#This Row],[Sponsor_1_num]],8)," not found")),"")</f>
        <v/>
      </c>
      <c r="N271" t="str">
        <f>IF(LEN(H271)&lt;&gt;0,_xlfn.XLOOKUP(H271,[1]!Entities[ID_with_x],[1]!Entities[Name_w_County],_xlfn.CONCAT("Entity ID ",RIGHT(Table3[[#This Row],[Sponsor_1_num]],8)," not found")),"")</f>
        <v/>
      </c>
      <c r="O271" t="str">
        <f>IF(LEN(I271)&lt;&gt;0,_xlfn.XLOOKUP(I271,[1]!Entities[ID_with_x],[1]!Entities[Name_w_County],_xlfn.CONCAT("Entity ID ",RIGHT(Table3[[#This Row],[Sponsor_1_num]],8)," not found")),"")</f>
        <v/>
      </c>
      <c r="P271" t="str">
        <f>IF(LEN(J271)&lt;&gt;0,_xlfn.XLOOKUP(J271,[1]!Entities[ID_with_x],[1]!Entities[Name_w_County],_xlfn.CONCAT("Entity ID ",RIGHT(Table3[[#This Row],[Sponsor_1_num]],8)," not found")),"")</f>
        <v/>
      </c>
      <c r="Q271" t="str">
        <f>IF(LEN(K271)&gt;0,_xlfn.TEXTJOIN(", ",TRUE,K271:P271),Table3[[#This Row],[SPONSOR_LIST]])</f>
        <v>Hideaway</v>
      </c>
    </row>
    <row r="272" spans="1:17" x14ac:dyDescent="0.25">
      <c r="A272" s="304" t="s">
        <v>4839</v>
      </c>
      <c r="B272" t="s">
        <v>2557</v>
      </c>
      <c r="C272" t="str">
        <f t="shared" si="5"/>
        <v>x00003178</v>
      </c>
      <c r="D272" t="str">
        <f>SUBSTITUTE(SUBSTITUTE(Table3[[#This Row],[Sponsor_list_tranform]],",",",x")," ","")</f>
        <v>x00003178</v>
      </c>
      <c r="E272" t="s">
        <v>11765</v>
      </c>
      <c r="K272" t="str">
        <f>IF(LEN(E272)&lt;&gt;0,_xlfn.XLOOKUP(E272,[1]!Entities[ID_with_x],[1]!Entities[Name_w_County],_xlfn.CONCAT("Entity ID ",RIGHT(Table3[[#This Row],[Sponsor_1_num]],8)," not found")),"")</f>
        <v>Hideaway</v>
      </c>
      <c r="L272" t="str">
        <f>IF(LEN(F272)&lt;&gt;0,_xlfn.XLOOKUP(F272,[1]!Entities[ID_with_x],[1]!Entities[Name_w_County],_xlfn.CONCAT("Entity ID ",RIGHT(Table3[[#This Row],[Sponsor_1_num]],8)," not found")),"")</f>
        <v/>
      </c>
      <c r="M272" t="str">
        <f>IF(LEN(G272)&lt;&gt;0,_xlfn.XLOOKUP(G272,[1]!Entities[ID_with_x],[1]!Entities[Name_w_County],_xlfn.CONCAT("Entity ID ",RIGHT(Table3[[#This Row],[Sponsor_1_num]],8)," not found")),"")</f>
        <v/>
      </c>
      <c r="N272" t="str">
        <f>IF(LEN(H272)&lt;&gt;0,_xlfn.XLOOKUP(H272,[1]!Entities[ID_with_x],[1]!Entities[Name_w_County],_xlfn.CONCAT("Entity ID ",RIGHT(Table3[[#This Row],[Sponsor_1_num]],8)," not found")),"")</f>
        <v/>
      </c>
      <c r="O272" t="str">
        <f>IF(LEN(I272)&lt;&gt;0,_xlfn.XLOOKUP(I272,[1]!Entities[ID_with_x],[1]!Entities[Name_w_County],_xlfn.CONCAT("Entity ID ",RIGHT(Table3[[#This Row],[Sponsor_1_num]],8)," not found")),"")</f>
        <v/>
      </c>
      <c r="P272" t="str">
        <f>IF(LEN(J272)&lt;&gt;0,_xlfn.XLOOKUP(J272,[1]!Entities[ID_with_x],[1]!Entities[Name_w_County],_xlfn.CONCAT("Entity ID ",RIGHT(Table3[[#This Row],[Sponsor_1_num]],8)," not found")),"")</f>
        <v/>
      </c>
      <c r="Q272" t="str">
        <f>IF(LEN(K272)&gt;0,_xlfn.TEXTJOIN(", ",TRUE,K272:P272),Table3[[#This Row],[SPONSOR_LIST]])</f>
        <v>Hideaway</v>
      </c>
    </row>
    <row r="273" spans="1:17" x14ac:dyDescent="0.25">
      <c r="A273" s="304" t="s">
        <v>4842</v>
      </c>
      <c r="B273" t="s">
        <v>2557</v>
      </c>
      <c r="C273" t="str">
        <f t="shared" si="5"/>
        <v>x00003178</v>
      </c>
      <c r="D273" t="str">
        <f>SUBSTITUTE(SUBSTITUTE(Table3[[#This Row],[Sponsor_list_tranform]],",",",x")," ","")</f>
        <v>x00003178</v>
      </c>
      <c r="E273" t="s">
        <v>11765</v>
      </c>
      <c r="K273" t="str">
        <f>IF(LEN(E273)&lt;&gt;0,_xlfn.XLOOKUP(E273,[1]!Entities[ID_with_x],[1]!Entities[Name_w_County],_xlfn.CONCAT("Entity ID ",RIGHT(Table3[[#This Row],[Sponsor_1_num]],8)," not found")),"")</f>
        <v>Hideaway</v>
      </c>
      <c r="L273" t="str">
        <f>IF(LEN(F273)&lt;&gt;0,_xlfn.XLOOKUP(F273,[1]!Entities[ID_with_x],[1]!Entities[Name_w_County],_xlfn.CONCAT("Entity ID ",RIGHT(Table3[[#This Row],[Sponsor_1_num]],8)," not found")),"")</f>
        <v/>
      </c>
      <c r="M273" t="str">
        <f>IF(LEN(G273)&lt;&gt;0,_xlfn.XLOOKUP(G273,[1]!Entities[ID_with_x],[1]!Entities[Name_w_County],_xlfn.CONCAT("Entity ID ",RIGHT(Table3[[#This Row],[Sponsor_1_num]],8)," not found")),"")</f>
        <v/>
      </c>
      <c r="N273" t="str">
        <f>IF(LEN(H273)&lt;&gt;0,_xlfn.XLOOKUP(H273,[1]!Entities[ID_with_x],[1]!Entities[Name_w_County],_xlfn.CONCAT("Entity ID ",RIGHT(Table3[[#This Row],[Sponsor_1_num]],8)," not found")),"")</f>
        <v/>
      </c>
      <c r="O273" t="str">
        <f>IF(LEN(I273)&lt;&gt;0,_xlfn.XLOOKUP(I273,[1]!Entities[ID_with_x],[1]!Entities[Name_w_County],_xlfn.CONCAT("Entity ID ",RIGHT(Table3[[#This Row],[Sponsor_1_num]],8)," not found")),"")</f>
        <v/>
      </c>
      <c r="P273" t="str">
        <f>IF(LEN(J273)&lt;&gt;0,_xlfn.XLOOKUP(J273,[1]!Entities[ID_with_x],[1]!Entities[Name_w_County],_xlfn.CONCAT("Entity ID ",RIGHT(Table3[[#This Row],[Sponsor_1_num]],8)," not found")),"")</f>
        <v/>
      </c>
      <c r="Q273" t="str">
        <f>IF(LEN(K273)&gt;0,_xlfn.TEXTJOIN(", ",TRUE,K273:P273),Table3[[#This Row],[SPONSOR_LIST]])</f>
        <v>Hideaway</v>
      </c>
    </row>
    <row r="274" spans="1:17" x14ac:dyDescent="0.25">
      <c r="A274" s="304" t="s">
        <v>2582</v>
      </c>
      <c r="B274" t="s">
        <v>2557</v>
      </c>
      <c r="C274" t="str">
        <f t="shared" si="5"/>
        <v>x00003178</v>
      </c>
      <c r="D274" t="str">
        <f>SUBSTITUTE(SUBSTITUTE(Table3[[#This Row],[Sponsor_list_tranform]],",",",x")," ","")</f>
        <v>x00003178</v>
      </c>
      <c r="E274" t="s">
        <v>11765</v>
      </c>
      <c r="K274" t="str">
        <f>IF(LEN(E274)&lt;&gt;0,_xlfn.XLOOKUP(E274,[1]!Entities[ID_with_x],[1]!Entities[Name_w_County],_xlfn.CONCAT("Entity ID ",RIGHT(Table3[[#This Row],[Sponsor_1_num]],8)," not found")),"")</f>
        <v>Hideaway</v>
      </c>
      <c r="L274" t="str">
        <f>IF(LEN(F274)&lt;&gt;0,_xlfn.XLOOKUP(F274,[1]!Entities[ID_with_x],[1]!Entities[Name_w_County],_xlfn.CONCAT("Entity ID ",RIGHT(Table3[[#This Row],[Sponsor_1_num]],8)," not found")),"")</f>
        <v/>
      </c>
      <c r="M274" t="str">
        <f>IF(LEN(G274)&lt;&gt;0,_xlfn.XLOOKUP(G274,[1]!Entities[ID_with_x],[1]!Entities[Name_w_County],_xlfn.CONCAT("Entity ID ",RIGHT(Table3[[#This Row],[Sponsor_1_num]],8)," not found")),"")</f>
        <v/>
      </c>
      <c r="N274" t="str">
        <f>IF(LEN(H274)&lt;&gt;0,_xlfn.XLOOKUP(H274,[1]!Entities[ID_with_x],[1]!Entities[Name_w_County],_xlfn.CONCAT("Entity ID ",RIGHT(Table3[[#This Row],[Sponsor_1_num]],8)," not found")),"")</f>
        <v/>
      </c>
      <c r="O274" t="str">
        <f>IF(LEN(I274)&lt;&gt;0,_xlfn.XLOOKUP(I274,[1]!Entities[ID_with_x],[1]!Entities[Name_w_County],_xlfn.CONCAT("Entity ID ",RIGHT(Table3[[#This Row],[Sponsor_1_num]],8)," not found")),"")</f>
        <v/>
      </c>
      <c r="P274" t="str">
        <f>IF(LEN(J274)&lt;&gt;0,_xlfn.XLOOKUP(J274,[1]!Entities[ID_with_x],[1]!Entities[Name_w_County],_xlfn.CONCAT("Entity ID ",RIGHT(Table3[[#This Row],[Sponsor_1_num]],8)," not found")),"")</f>
        <v/>
      </c>
      <c r="Q274" t="str">
        <f>IF(LEN(K274)&gt;0,_xlfn.TEXTJOIN(", ",TRUE,K274:P274),Table3[[#This Row],[SPONSOR_LIST]])</f>
        <v>Hideaway</v>
      </c>
    </row>
    <row r="275" spans="1:17" x14ac:dyDescent="0.25">
      <c r="A275" s="304" t="s">
        <v>4844</v>
      </c>
      <c r="B275" t="s">
        <v>4850</v>
      </c>
      <c r="C275" t="str">
        <f t="shared" si="5"/>
        <v>x04003179</v>
      </c>
      <c r="D275" t="str">
        <f>SUBSTITUTE(SUBSTITUTE(Table3[[#This Row],[Sponsor_list_tranform]],",",",x")," ","")</f>
        <v>x04003179</v>
      </c>
      <c r="E275" t="s">
        <v>11877</v>
      </c>
      <c r="K275" t="str">
        <f>IF(LEN(E275)&lt;&gt;0,_xlfn.XLOOKUP(E275,[1]!Entities[ID_with_x],[1]!Entities[Name_w_County],_xlfn.CONCAT("Entity ID ",RIGHT(Table3[[#This Row],[Sponsor_1_num]],8)," not found")),"")</f>
        <v>Winona</v>
      </c>
      <c r="L275" t="str">
        <f>IF(LEN(F275)&lt;&gt;0,_xlfn.XLOOKUP(F275,[1]!Entities[ID_with_x],[1]!Entities[Name_w_County],_xlfn.CONCAT("Entity ID ",RIGHT(Table3[[#This Row],[Sponsor_1_num]],8)," not found")),"")</f>
        <v/>
      </c>
      <c r="M275" t="str">
        <f>IF(LEN(G275)&lt;&gt;0,_xlfn.XLOOKUP(G275,[1]!Entities[ID_with_x],[1]!Entities[Name_w_County],_xlfn.CONCAT("Entity ID ",RIGHT(Table3[[#This Row],[Sponsor_1_num]],8)," not found")),"")</f>
        <v/>
      </c>
      <c r="N275" t="str">
        <f>IF(LEN(H275)&lt;&gt;0,_xlfn.XLOOKUP(H275,[1]!Entities[ID_with_x],[1]!Entities[Name_w_County],_xlfn.CONCAT("Entity ID ",RIGHT(Table3[[#This Row],[Sponsor_1_num]],8)," not found")),"")</f>
        <v/>
      </c>
      <c r="O275" t="str">
        <f>IF(LEN(I275)&lt;&gt;0,_xlfn.XLOOKUP(I275,[1]!Entities[ID_with_x],[1]!Entities[Name_w_County],_xlfn.CONCAT("Entity ID ",RIGHT(Table3[[#This Row],[Sponsor_1_num]],8)," not found")),"")</f>
        <v/>
      </c>
      <c r="P275" t="str">
        <f>IF(LEN(J275)&lt;&gt;0,_xlfn.XLOOKUP(J275,[1]!Entities[ID_with_x],[1]!Entities[Name_w_County],_xlfn.CONCAT("Entity ID ",RIGHT(Table3[[#This Row],[Sponsor_1_num]],8)," not found")),"")</f>
        <v/>
      </c>
      <c r="Q275" t="str">
        <f>IF(LEN(K275)&gt;0,_xlfn.TEXTJOIN(", ",TRUE,K275:P275),Table3[[#This Row],[SPONSOR_LIST]])</f>
        <v>Winona</v>
      </c>
    </row>
    <row r="276" spans="1:17" x14ac:dyDescent="0.25">
      <c r="A276" s="304" t="s">
        <v>4851</v>
      </c>
      <c r="B276" t="s">
        <v>4858</v>
      </c>
      <c r="C276" t="str">
        <f t="shared" si="5"/>
        <v>x04003312</v>
      </c>
      <c r="D276" t="str">
        <f>SUBSTITUTE(SUBSTITUTE(Table3[[#This Row],[Sponsor_list_tranform]],",",",x")," ","")</f>
        <v>x04003312</v>
      </c>
      <c r="E276" t="s">
        <v>11878</v>
      </c>
      <c r="K276" t="str">
        <f>IF(LEN(E276)&lt;&gt;0,_xlfn.XLOOKUP(E276,[1]!Entities[ID_with_x],[1]!Entities[Name_w_County],_xlfn.CONCAT("Entity ID ",RIGHT(Table3[[#This Row],[Sponsor_1_num]],8)," not found")),"")</f>
        <v>Royse City</v>
      </c>
      <c r="L276" t="str">
        <f>IF(LEN(F276)&lt;&gt;0,_xlfn.XLOOKUP(F276,[1]!Entities[ID_with_x],[1]!Entities[Name_w_County],_xlfn.CONCAT("Entity ID ",RIGHT(Table3[[#This Row],[Sponsor_1_num]],8)," not found")),"")</f>
        <v/>
      </c>
      <c r="M276" t="str">
        <f>IF(LEN(G276)&lt;&gt;0,_xlfn.XLOOKUP(G276,[1]!Entities[ID_with_x],[1]!Entities[Name_w_County],_xlfn.CONCAT("Entity ID ",RIGHT(Table3[[#This Row],[Sponsor_1_num]],8)," not found")),"")</f>
        <v/>
      </c>
      <c r="N276" t="str">
        <f>IF(LEN(H276)&lt;&gt;0,_xlfn.XLOOKUP(H276,[1]!Entities[ID_with_x],[1]!Entities[Name_w_County],_xlfn.CONCAT("Entity ID ",RIGHT(Table3[[#This Row],[Sponsor_1_num]],8)," not found")),"")</f>
        <v/>
      </c>
      <c r="O276" t="str">
        <f>IF(LEN(I276)&lt;&gt;0,_xlfn.XLOOKUP(I276,[1]!Entities[ID_with_x],[1]!Entities[Name_w_County],_xlfn.CONCAT("Entity ID ",RIGHT(Table3[[#This Row],[Sponsor_1_num]],8)," not found")),"")</f>
        <v/>
      </c>
      <c r="P276" t="str">
        <f>IF(LEN(J276)&lt;&gt;0,_xlfn.XLOOKUP(J276,[1]!Entities[ID_with_x],[1]!Entities[Name_w_County],_xlfn.CONCAT("Entity ID ",RIGHT(Table3[[#This Row],[Sponsor_1_num]],8)," not found")),"")</f>
        <v/>
      </c>
      <c r="Q276" t="str">
        <f>IF(LEN(K276)&gt;0,_xlfn.TEXTJOIN(", ",TRUE,K276:P276),Table3[[#This Row],[SPONSOR_LIST]])</f>
        <v>Royse City</v>
      </c>
    </row>
    <row r="277" spans="1:17" x14ac:dyDescent="0.25">
      <c r="A277" s="304" t="s">
        <v>4859</v>
      </c>
      <c r="B277" t="s">
        <v>4858</v>
      </c>
      <c r="C277" t="str">
        <f t="shared" si="5"/>
        <v>x04003312</v>
      </c>
      <c r="D277" t="str">
        <f>SUBSTITUTE(SUBSTITUTE(Table3[[#This Row],[Sponsor_list_tranform]],",",",x")," ","")</f>
        <v>x04003312</v>
      </c>
      <c r="E277" t="s">
        <v>11878</v>
      </c>
      <c r="K277" t="str">
        <f>IF(LEN(E277)&lt;&gt;0,_xlfn.XLOOKUP(E277,[1]!Entities[ID_with_x],[1]!Entities[Name_w_County],_xlfn.CONCAT("Entity ID ",RIGHT(Table3[[#This Row],[Sponsor_1_num]],8)," not found")),"")</f>
        <v>Royse City</v>
      </c>
      <c r="L277" t="str">
        <f>IF(LEN(F277)&lt;&gt;0,_xlfn.XLOOKUP(F277,[1]!Entities[ID_with_x],[1]!Entities[Name_w_County],_xlfn.CONCAT("Entity ID ",RIGHT(Table3[[#This Row],[Sponsor_1_num]],8)," not found")),"")</f>
        <v/>
      </c>
      <c r="M277" t="str">
        <f>IF(LEN(G277)&lt;&gt;0,_xlfn.XLOOKUP(G277,[1]!Entities[ID_with_x],[1]!Entities[Name_w_County],_xlfn.CONCAT("Entity ID ",RIGHT(Table3[[#This Row],[Sponsor_1_num]],8)," not found")),"")</f>
        <v/>
      </c>
      <c r="N277" t="str">
        <f>IF(LEN(H277)&lt;&gt;0,_xlfn.XLOOKUP(H277,[1]!Entities[ID_with_x],[1]!Entities[Name_w_County],_xlfn.CONCAT("Entity ID ",RIGHT(Table3[[#This Row],[Sponsor_1_num]],8)," not found")),"")</f>
        <v/>
      </c>
      <c r="O277" t="str">
        <f>IF(LEN(I277)&lt;&gt;0,_xlfn.XLOOKUP(I277,[1]!Entities[ID_with_x],[1]!Entities[Name_w_County],_xlfn.CONCAT("Entity ID ",RIGHT(Table3[[#This Row],[Sponsor_1_num]],8)," not found")),"")</f>
        <v/>
      </c>
      <c r="P277" t="str">
        <f>IF(LEN(J277)&lt;&gt;0,_xlfn.XLOOKUP(J277,[1]!Entities[ID_with_x],[1]!Entities[Name_w_County],_xlfn.CONCAT("Entity ID ",RIGHT(Table3[[#This Row],[Sponsor_1_num]],8)," not found")),"")</f>
        <v/>
      </c>
      <c r="Q277" t="str">
        <f>IF(LEN(K277)&gt;0,_xlfn.TEXTJOIN(", ",TRUE,K277:P277),Table3[[#This Row],[SPONSOR_LIST]])</f>
        <v>Royse City</v>
      </c>
    </row>
    <row r="278" spans="1:17" x14ac:dyDescent="0.25">
      <c r="A278" s="304" t="s">
        <v>4862</v>
      </c>
      <c r="B278" t="s">
        <v>4869</v>
      </c>
      <c r="C278" t="str">
        <f t="shared" si="5"/>
        <v>x00003418</v>
      </c>
      <c r="D278" t="str">
        <f>SUBSTITUTE(SUBSTITUTE(Table3[[#This Row],[Sponsor_list_tranform]],",",",x")," ","")</f>
        <v>x00003418</v>
      </c>
      <c r="E278" t="s">
        <v>11879</v>
      </c>
      <c r="K278" t="str">
        <f>IF(LEN(E278)&lt;&gt;0,_xlfn.XLOOKUP(E278,[1]!Entities[ID_with_x],[1]!Entities[Name_w_County],_xlfn.CONCAT("Entity ID ",RIGHT(Table3[[#This Row],[Sponsor_1_num]],8)," not found")),"")</f>
        <v>Como</v>
      </c>
      <c r="L278" t="str">
        <f>IF(LEN(F278)&lt;&gt;0,_xlfn.XLOOKUP(F278,[1]!Entities[ID_with_x],[1]!Entities[Name_w_County],_xlfn.CONCAT("Entity ID ",RIGHT(Table3[[#This Row],[Sponsor_1_num]],8)," not found")),"")</f>
        <v/>
      </c>
      <c r="M278" t="str">
        <f>IF(LEN(G278)&lt;&gt;0,_xlfn.XLOOKUP(G278,[1]!Entities[ID_with_x],[1]!Entities[Name_w_County],_xlfn.CONCAT("Entity ID ",RIGHT(Table3[[#This Row],[Sponsor_1_num]],8)," not found")),"")</f>
        <v/>
      </c>
      <c r="N278" t="str">
        <f>IF(LEN(H278)&lt;&gt;0,_xlfn.XLOOKUP(H278,[1]!Entities[ID_with_x],[1]!Entities[Name_w_County],_xlfn.CONCAT("Entity ID ",RIGHT(Table3[[#This Row],[Sponsor_1_num]],8)," not found")),"")</f>
        <v/>
      </c>
      <c r="O278" t="str">
        <f>IF(LEN(I278)&lt;&gt;0,_xlfn.XLOOKUP(I278,[1]!Entities[ID_with_x],[1]!Entities[Name_w_County],_xlfn.CONCAT("Entity ID ",RIGHT(Table3[[#This Row],[Sponsor_1_num]],8)," not found")),"")</f>
        <v/>
      </c>
      <c r="P278" t="str">
        <f>IF(LEN(J278)&lt;&gt;0,_xlfn.XLOOKUP(J278,[1]!Entities[ID_with_x],[1]!Entities[Name_w_County],_xlfn.CONCAT("Entity ID ",RIGHT(Table3[[#This Row],[Sponsor_1_num]],8)," not found")),"")</f>
        <v/>
      </c>
      <c r="Q278" t="str">
        <f>IF(LEN(K278)&gt;0,_xlfn.TEXTJOIN(", ",TRUE,K278:P278),Table3[[#This Row],[SPONSOR_LIST]])</f>
        <v>Como</v>
      </c>
    </row>
    <row r="279" spans="1:17" x14ac:dyDescent="0.25">
      <c r="A279" s="304" t="s">
        <v>4875</v>
      </c>
      <c r="B279" t="s">
        <v>4874</v>
      </c>
      <c r="C279" t="str">
        <f t="shared" si="5"/>
        <v>x00003433</v>
      </c>
      <c r="D279" t="str">
        <f>SUBSTITUTE(SUBSTITUTE(Table3[[#This Row],[Sponsor_list_tranform]],",",",x")," ","")</f>
        <v>x00003433</v>
      </c>
      <c r="E279" t="s">
        <v>11880</v>
      </c>
      <c r="K279" t="str">
        <f>IF(LEN(E279)&lt;&gt;0,_xlfn.XLOOKUP(E279,[1]!Entities[ID_with_x],[1]!Entities[Name_w_County],_xlfn.CONCAT("Entity ID ",RIGHT(Table3[[#This Row],[Sponsor_1_num]],8)," not found")),"")</f>
        <v>Cumby</v>
      </c>
      <c r="L279" t="str">
        <f>IF(LEN(F279)&lt;&gt;0,_xlfn.XLOOKUP(F279,[1]!Entities[ID_with_x],[1]!Entities[Name_w_County],_xlfn.CONCAT("Entity ID ",RIGHT(Table3[[#This Row],[Sponsor_1_num]],8)," not found")),"")</f>
        <v/>
      </c>
      <c r="M279" t="str">
        <f>IF(LEN(G279)&lt;&gt;0,_xlfn.XLOOKUP(G279,[1]!Entities[ID_with_x],[1]!Entities[Name_w_County],_xlfn.CONCAT("Entity ID ",RIGHT(Table3[[#This Row],[Sponsor_1_num]],8)," not found")),"")</f>
        <v/>
      </c>
      <c r="N279" t="str">
        <f>IF(LEN(H279)&lt;&gt;0,_xlfn.XLOOKUP(H279,[1]!Entities[ID_with_x],[1]!Entities[Name_w_County],_xlfn.CONCAT("Entity ID ",RIGHT(Table3[[#This Row],[Sponsor_1_num]],8)," not found")),"")</f>
        <v/>
      </c>
      <c r="O279" t="str">
        <f>IF(LEN(I279)&lt;&gt;0,_xlfn.XLOOKUP(I279,[1]!Entities[ID_with_x],[1]!Entities[Name_w_County],_xlfn.CONCAT("Entity ID ",RIGHT(Table3[[#This Row],[Sponsor_1_num]],8)," not found")),"")</f>
        <v/>
      </c>
      <c r="P279" t="str">
        <f>IF(LEN(J279)&lt;&gt;0,_xlfn.XLOOKUP(J279,[1]!Entities[ID_with_x],[1]!Entities[Name_w_County],_xlfn.CONCAT("Entity ID ",RIGHT(Table3[[#This Row],[Sponsor_1_num]],8)," not found")),"")</f>
        <v/>
      </c>
      <c r="Q279" t="str">
        <f>IF(LEN(K279)&gt;0,_xlfn.TEXTJOIN(", ",TRUE,K279:P279),Table3[[#This Row],[SPONSOR_LIST]])</f>
        <v>Cumby</v>
      </c>
    </row>
    <row r="280" spans="1:17" x14ac:dyDescent="0.25">
      <c r="A280" s="304" t="s">
        <v>2558</v>
      </c>
      <c r="B280" t="s">
        <v>4606</v>
      </c>
      <c r="C280" t="str">
        <f t="shared" si="5"/>
        <v>x00000293</v>
      </c>
      <c r="D280" t="str">
        <f>SUBSTITUTE(SUBSTITUTE(Table3[[#This Row],[Sponsor_list_tranform]],",",",x")," ","")</f>
        <v>x00000293</v>
      </c>
      <c r="E280" t="s">
        <v>11767</v>
      </c>
      <c r="K280" t="str">
        <f>IF(LEN(E280)&lt;&gt;0,_xlfn.XLOOKUP(E280,[1]!Entities[ID_with_x],[1]!Entities[Name_w_County],_xlfn.CONCAT("Entity ID ",RIGHT(Table3[[#This Row],[Sponsor_1_num]],8)," not found")),"")</f>
        <v>Sabine River Authority</v>
      </c>
      <c r="L280" t="str">
        <f>IF(LEN(F280)&lt;&gt;0,_xlfn.XLOOKUP(F280,[1]!Entities[ID_with_x],[1]!Entities[Name_w_County],_xlfn.CONCAT("Entity ID ",RIGHT(Table3[[#This Row],[Sponsor_1_num]],8)," not found")),"")</f>
        <v/>
      </c>
      <c r="M280" t="str">
        <f>IF(LEN(G280)&lt;&gt;0,_xlfn.XLOOKUP(G280,[1]!Entities[ID_with_x],[1]!Entities[Name_w_County],_xlfn.CONCAT("Entity ID ",RIGHT(Table3[[#This Row],[Sponsor_1_num]],8)," not found")),"")</f>
        <v/>
      </c>
      <c r="N280" t="str">
        <f>IF(LEN(H280)&lt;&gt;0,_xlfn.XLOOKUP(H280,[1]!Entities[ID_with_x],[1]!Entities[Name_w_County],_xlfn.CONCAT("Entity ID ",RIGHT(Table3[[#This Row],[Sponsor_1_num]],8)," not found")),"")</f>
        <v/>
      </c>
      <c r="O280" t="str">
        <f>IF(LEN(I280)&lt;&gt;0,_xlfn.XLOOKUP(I280,[1]!Entities[ID_with_x],[1]!Entities[Name_w_County],_xlfn.CONCAT("Entity ID ",RIGHT(Table3[[#This Row],[Sponsor_1_num]],8)," not found")),"")</f>
        <v/>
      </c>
      <c r="P280" t="str">
        <f>IF(LEN(J280)&lt;&gt;0,_xlfn.XLOOKUP(J280,[1]!Entities[ID_with_x],[1]!Entities[Name_w_County],_xlfn.CONCAT("Entity ID ",RIGHT(Table3[[#This Row],[Sponsor_1_num]],8)," not found")),"")</f>
        <v/>
      </c>
      <c r="Q280" t="str">
        <f>IF(LEN(K280)&gt;0,_xlfn.TEXTJOIN(", ",TRUE,K280:P280),Table3[[#This Row],[SPONSOR_LIST]])</f>
        <v>Sabine River Authority</v>
      </c>
    </row>
    <row r="281" spans="1:17" x14ac:dyDescent="0.25">
      <c r="A281" s="304" t="s">
        <v>4561</v>
      </c>
      <c r="B281" t="s">
        <v>2073</v>
      </c>
      <c r="C281" t="str">
        <f t="shared" si="5"/>
        <v>x00000212</v>
      </c>
      <c r="D281" t="str">
        <f>SUBSTITUTE(SUBSTITUTE(Table3[[#This Row],[Sponsor_list_tranform]],",",",x")," ","")</f>
        <v>x00000212</v>
      </c>
      <c r="E281" t="s">
        <v>11622</v>
      </c>
      <c r="K281" t="str">
        <f>IF(LEN(E281)&lt;&gt;0,_xlfn.XLOOKUP(E281,[1]!Entities[ID_with_x],[1]!Entities[Name_w_County],_xlfn.CONCAT("Entity ID ",RIGHT(Table3[[#This Row],[Sponsor_1_num]],8)," not found")),"")</f>
        <v>Hunt County</v>
      </c>
      <c r="L281" t="str">
        <f>IF(LEN(F281)&lt;&gt;0,_xlfn.XLOOKUP(F281,[1]!Entities[ID_with_x],[1]!Entities[Name_w_County],_xlfn.CONCAT("Entity ID ",RIGHT(Table3[[#This Row],[Sponsor_1_num]],8)," not found")),"")</f>
        <v/>
      </c>
      <c r="M281" t="str">
        <f>IF(LEN(G281)&lt;&gt;0,_xlfn.XLOOKUP(G281,[1]!Entities[ID_with_x],[1]!Entities[Name_w_County],_xlfn.CONCAT("Entity ID ",RIGHT(Table3[[#This Row],[Sponsor_1_num]],8)," not found")),"")</f>
        <v/>
      </c>
      <c r="N281" t="str">
        <f>IF(LEN(H281)&lt;&gt;0,_xlfn.XLOOKUP(H281,[1]!Entities[ID_with_x],[1]!Entities[Name_w_County],_xlfn.CONCAT("Entity ID ",RIGHT(Table3[[#This Row],[Sponsor_1_num]],8)," not found")),"")</f>
        <v/>
      </c>
      <c r="O281" t="str">
        <f>IF(LEN(I281)&lt;&gt;0,_xlfn.XLOOKUP(I281,[1]!Entities[ID_with_x],[1]!Entities[Name_w_County],_xlfn.CONCAT("Entity ID ",RIGHT(Table3[[#This Row],[Sponsor_1_num]],8)," not found")),"")</f>
        <v/>
      </c>
      <c r="P281" t="str">
        <f>IF(LEN(J281)&lt;&gt;0,_xlfn.XLOOKUP(J281,[1]!Entities[ID_with_x],[1]!Entities[Name_w_County],_xlfn.CONCAT("Entity ID ",RIGHT(Table3[[#This Row],[Sponsor_1_num]],8)," not found")),"")</f>
        <v/>
      </c>
      <c r="Q281" t="str">
        <f>IF(LEN(K281)&gt;0,_xlfn.TEXTJOIN(", ",TRUE,K281:P281),Table3[[#This Row],[SPONSOR_LIST]])</f>
        <v>Hunt County</v>
      </c>
    </row>
    <row r="282" spans="1:17" x14ac:dyDescent="0.25">
      <c r="A282" s="304" t="s">
        <v>4568</v>
      </c>
      <c r="B282" t="s">
        <v>1902</v>
      </c>
      <c r="C282" t="str">
        <f t="shared" si="5"/>
        <v>x00000175</v>
      </c>
      <c r="D282" t="str">
        <f>SUBSTITUTE(SUBSTITUTE(Table3[[#This Row],[Sponsor_list_tranform]],",",",x")," ","")</f>
        <v>x00000175</v>
      </c>
      <c r="E282" t="s">
        <v>11623</v>
      </c>
      <c r="K282" t="str">
        <f>IF(LEN(E282)&lt;&gt;0,_xlfn.XLOOKUP(E282,[1]!Entities[ID_with_x],[1]!Entities[Name_w_County],_xlfn.CONCAT("Entity ID ",RIGHT(Table3[[#This Row],[Sponsor_1_num]],8)," not found")),"")</f>
        <v>Rockwall County</v>
      </c>
      <c r="L282" t="str">
        <f>IF(LEN(F282)&lt;&gt;0,_xlfn.XLOOKUP(F282,[1]!Entities[ID_with_x],[1]!Entities[Name_w_County],_xlfn.CONCAT("Entity ID ",RIGHT(Table3[[#This Row],[Sponsor_1_num]],8)," not found")),"")</f>
        <v/>
      </c>
      <c r="M282" t="str">
        <f>IF(LEN(G282)&lt;&gt;0,_xlfn.XLOOKUP(G282,[1]!Entities[ID_with_x],[1]!Entities[Name_w_County],_xlfn.CONCAT("Entity ID ",RIGHT(Table3[[#This Row],[Sponsor_1_num]],8)," not found")),"")</f>
        <v/>
      </c>
      <c r="N282" t="str">
        <f>IF(LEN(H282)&lt;&gt;0,_xlfn.XLOOKUP(H282,[1]!Entities[ID_with_x],[1]!Entities[Name_w_County],_xlfn.CONCAT("Entity ID ",RIGHT(Table3[[#This Row],[Sponsor_1_num]],8)," not found")),"")</f>
        <v/>
      </c>
      <c r="O282" t="str">
        <f>IF(LEN(I282)&lt;&gt;0,_xlfn.XLOOKUP(I282,[1]!Entities[ID_with_x],[1]!Entities[Name_w_County],_xlfn.CONCAT("Entity ID ",RIGHT(Table3[[#This Row],[Sponsor_1_num]],8)," not found")),"")</f>
        <v/>
      </c>
      <c r="P282" t="str">
        <f>IF(LEN(J282)&lt;&gt;0,_xlfn.XLOOKUP(J282,[1]!Entities[ID_with_x],[1]!Entities[Name_w_County],_xlfn.CONCAT("Entity ID ",RIGHT(Table3[[#This Row],[Sponsor_1_num]],8)," not found")),"")</f>
        <v/>
      </c>
      <c r="Q282" t="str">
        <f>IF(LEN(K282)&gt;0,_xlfn.TEXTJOIN(", ",TRUE,K282:P282),Table3[[#This Row],[SPONSOR_LIST]])</f>
        <v>Rockwall County</v>
      </c>
    </row>
    <row r="283" spans="1:17" x14ac:dyDescent="0.25">
      <c r="A283" s="304" t="s">
        <v>4573</v>
      </c>
      <c r="B283" t="s">
        <v>1902</v>
      </c>
      <c r="C283" t="str">
        <f t="shared" si="5"/>
        <v>x00000175</v>
      </c>
      <c r="D283" t="str">
        <f>SUBSTITUTE(SUBSTITUTE(Table3[[#This Row],[Sponsor_list_tranform]],",",",x")," ","")</f>
        <v>x00000175</v>
      </c>
      <c r="E283" t="s">
        <v>11623</v>
      </c>
      <c r="K283" t="str">
        <f>IF(LEN(E283)&lt;&gt;0,_xlfn.XLOOKUP(E283,[1]!Entities[ID_with_x],[1]!Entities[Name_w_County],_xlfn.CONCAT("Entity ID ",RIGHT(Table3[[#This Row],[Sponsor_1_num]],8)," not found")),"")</f>
        <v>Rockwall County</v>
      </c>
      <c r="L283" t="str">
        <f>IF(LEN(F283)&lt;&gt;0,_xlfn.XLOOKUP(F283,[1]!Entities[ID_with_x],[1]!Entities[Name_w_County],_xlfn.CONCAT("Entity ID ",RIGHT(Table3[[#This Row],[Sponsor_1_num]],8)," not found")),"")</f>
        <v/>
      </c>
      <c r="M283" t="str">
        <f>IF(LEN(G283)&lt;&gt;0,_xlfn.XLOOKUP(G283,[1]!Entities[ID_with_x],[1]!Entities[Name_w_County],_xlfn.CONCAT("Entity ID ",RIGHT(Table3[[#This Row],[Sponsor_1_num]],8)," not found")),"")</f>
        <v/>
      </c>
      <c r="N283" t="str">
        <f>IF(LEN(H283)&lt;&gt;0,_xlfn.XLOOKUP(H283,[1]!Entities[ID_with_x],[1]!Entities[Name_w_County],_xlfn.CONCAT("Entity ID ",RIGHT(Table3[[#This Row],[Sponsor_1_num]],8)," not found")),"")</f>
        <v/>
      </c>
      <c r="O283" t="str">
        <f>IF(LEN(I283)&lt;&gt;0,_xlfn.XLOOKUP(I283,[1]!Entities[ID_with_x],[1]!Entities[Name_w_County],_xlfn.CONCAT("Entity ID ",RIGHT(Table3[[#This Row],[Sponsor_1_num]],8)," not found")),"")</f>
        <v/>
      </c>
      <c r="P283" t="str">
        <f>IF(LEN(J283)&lt;&gt;0,_xlfn.XLOOKUP(J283,[1]!Entities[ID_with_x],[1]!Entities[Name_w_County],_xlfn.CONCAT("Entity ID ",RIGHT(Table3[[#This Row],[Sponsor_1_num]],8)," not found")),"")</f>
        <v/>
      </c>
      <c r="Q283" t="str">
        <f>IF(LEN(K283)&gt;0,_xlfn.TEXTJOIN(", ",TRUE,K283:P283),Table3[[#This Row],[SPONSOR_LIST]])</f>
        <v>Rockwall County</v>
      </c>
    </row>
    <row r="284" spans="1:17" x14ac:dyDescent="0.25">
      <c r="A284" s="304" t="s">
        <v>4576</v>
      </c>
      <c r="B284" t="s">
        <v>2141</v>
      </c>
      <c r="C284" t="str">
        <f t="shared" si="5"/>
        <v>x00002589</v>
      </c>
      <c r="D284" t="str">
        <f>SUBSTITUTE(SUBSTITUTE(Table3[[#This Row],[Sponsor_list_tranform]],",",",x")," ","")</f>
        <v>x00002589</v>
      </c>
      <c r="E284" t="s">
        <v>11706</v>
      </c>
      <c r="K284" t="str">
        <f>IF(LEN(E284)&lt;&gt;0,_xlfn.XLOOKUP(E284,[1]!Entities[ID_with_x],[1]!Entities[Name_w_County],_xlfn.CONCAT("Entity ID ",RIGHT(Table3[[#This Row],[Sponsor_1_num]],8)," not found")),"")</f>
        <v>Wills Point</v>
      </c>
      <c r="L284" t="str">
        <f>IF(LEN(F284)&lt;&gt;0,_xlfn.XLOOKUP(F284,[1]!Entities[ID_with_x],[1]!Entities[Name_w_County],_xlfn.CONCAT("Entity ID ",RIGHT(Table3[[#This Row],[Sponsor_1_num]],8)," not found")),"")</f>
        <v/>
      </c>
      <c r="M284" t="str">
        <f>IF(LEN(G284)&lt;&gt;0,_xlfn.XLOOKUP(G284,[1]!Entities[ID_with_x],[1]!Entities[Name_w_County],_xlfn.CONCAT("Entity ID ",RIGHT(Table3[[#This Row],[Sponsor_1_num]],8)," not found")),"")</f>
        <v/>
      </c>
      <c r="N284" t="str">
        <f>IF(LEN(H284)&lt;&gt;0,_xlfn.XLOOKUP(H284,[1]!Entities[ID_with_x],[1]!Entities[Name_w_County],_xlfn.CONCAT("Entity ID ",RIGHT(Table3[[#This Row],[Sponsor_1_num]],8)," not found")),"")</f>
        <v/>
      </c>
      <c r="O284" t="str">
        <f>IF(LEN(I284)&lt;&gt;0,_xlfn.XLOOKUP(I284,[1]!Entities[ID_with_x],[1]!Entities[Name_w_County],_xlfn.CONCAT("Entity ID ",RIGHT(Table3[[#This Row],[Sponsor_1_num]],8)," not found")),"")</f>
        <v/>
      </c>
      <c r="P284" t="str">
        <f>IF(LEN(J284)&lt;&gt;0,_xlfn.XLOOKUP(J284,[1]!Entities[ID_with_x],[1]!Entities[Name_w_County],_xlfn.CONCAT("Entity ID ",RIGHT(Table3[[#This Row],[Sponsor_1_num]],8)," not found")),"")</f>
        <v/>
      </c>
      <c r="Q284" t="str">
        <f>IF(LEN(K284)&gt;0,_xlfn.TEXTJOIN(", ",TRUE,K284:P284),Table3[[#This Row],[SPONSOR_LIST]])</f>
        <v>Wills Point</v>
      </c>
    </row>
    <row r="285" spans="1:17" x14ac:dyDescent="0.25">
      <c r="A285" s="304" t="s">
        <v>4579</v>
      </c>
      <c r="B285" t="s">
        <v>1845</v>
      </c>
      <c r="C285" t="str">
        <f t="shared" si="5"/>
        <v>x00000108</v>
      </c>
      <c r="D285" t="str">
        <f>SUBSTITUTE(SUBSTITUTE(Table3[[#This Row],[Sponsor_list_tranform]],",",",x")," ","")</f>
        <v>x00000108</v>
      </c>
      <c r="E285" t="s">
        <v>11620</v>
      </c>
      <c r="K285" t="str">
        <f>IF(LEN(E285)&lt;&gt;0,_xlfn.XLOOKUP(E285,[1]!Entities[ID_with_x],[1]!Entities[Name_w_County],_xlfn.CONCAT("Entity ID ",RIGHT(Table3[[#This Row],[Sponsor_1_num]],8)," not found")),"")</f>
        <v>Kaufman County</v>
      </c>
      <c r="L285" t="str">
        <f>IF(LEN(F285)&lt;&gt;0,_xlfn.XLOOKUP(F285,[1]!Entities[ID_with_x],[1]!Entities[Name_w_County],_xlfn.CONCAT("Entity ID ",RIGHT(Table3[[#This Row],[Sponsor_1_num]],8)," not found")),"")</f>
        <v/>
      </c>
      <c r="M285" t="str">
        <f>IF(LEN(G285)&lt;&gt;0,_xlfn.XLOOKUP(G285,[1]!Entities[ID_with_x],[1]!Entities[Name_w_County],_xlfn.CONCAT("Entity ID ",RIGHT(Table3[[#This Row],[Sponsor_1_num]],8)," not found")),"")</f>
        <v/>
      </c>
      <c r="N285" t="str">
        <f>IF(LEN(H285)&lt;&gt;0,_xlfn.XLOOKUP(H285,[1]!Entities[ID_with_x],[1]!Entities[Name_w_County],_xlfn.CONCAT("Entity ID ",RIGHT(Table3[[#This Row],[Sponsor_1_num]],8)," not found")),"")</f>
        <v/>
      </c>
      <c r="O285" t="str">
        <f>IF(LEN(I285)&lt;&gt;0,_xlfn.XLOOKUP(I285,[1]!Entities[ID_with_x],[1]!Entities[Name_w_County],_xlfn.CONCAT("Entity ID ",RIGHT(Table3[[#This Row],[Sponsor_1_num]],8)," not found")),"")</f>
        <v/>
      </c>
      <c r="P285" t="str">
        <f>IF(LEN(J285)&lt;&gt;0,_xlfn.XLOOKUP(J285,[1]!Entities[ID_with_x],[1]!Entities[Name_w_County],_xlfn.CONCAT("Entity ID ",RIGHT(Table3[[#This Row],[Sponsor_1_num]],8)," not found")),"")</f>
        <v/>
      </c>
      <c r="Q285" t="str">
        <f>IF(LEN(K285)&gt;0,_xlfn.TEXTJOIN(", ",TRUE,K285:P285),Table3[[#This Row],[SPONSOR_LIST]])</f>
        <v>Kaufman County</v>
      </c>
    </row>
    <row r="286" spans="1:17" x14ac:dyDescent="0.25">
      <c r="A286" s="304" t="s">
        <v>4584</v>
      </c>
      <c r="B286" t="s">
        <v>1845</v>
      </c>
      <c r="C286" t="str">
        <f t="shared" si="5"/>
        <v>x00000108</v>
      </c>
      <c r="D286" t="str">
        <f>SUBSTITUTE(SUBSTITUTE(Table3[[#This Row],[Sponsor_list_tranform]],",",",x")," ","")</f>
        <v>x00000108</v>
      </c>
      <c r="E286" t="s">
        <v>11620</v>
      </c>
      <c r="K286" t="str">
        <f>IF(LEN(E286)&lt;&gt;0,_xlfn.XLOOKUP(E286,[1]!Entities[ID_with_x],[1]!Entities[Name_w_County],_xlfn.CONCAT("Entity ID ",RIGHT(Table3[[#This Row],[Sponsor_1_num]],8)," not found")),"")</f>
        <v>Kaufman County</v>
      </c>
      <c r="L286" t="str">
        <f>IF(LEN(F286)&lt;&gt;0,_xlfn.XLOOKUP(F286,[1]!Entities[ID_with_x],[1]!Entities[Name_w_County],_xlfn.CONCAT("Entity ID ",RIGHT(Table3[[#This Row],[Sponsor_1_num]],8)," not found")),"")</f>
        <v/>
      </c>
      <c r="M286" t="str">
        <f>IF(LEN(G286)&lt;&gt;0,_xlfn.XLOOKUP(G286,[1]!Entities[ID_with_x],[1]!Entities[Name_w_County],_xlfn.CONCAT("Entity ID ",RIGHT(Table3[[#This Row],[Sponsor_1_num]],8)," not found")),"")</f>
        <v/>
      </c>
      <c r="N286" t="str">
        <f>IF(LEN(H286)&lt;&gt;0,_xlfn.XLOOKUP(H286,[1]!Entities[ID_with_x],[1]!Entities[Name_w_County],_xlfn.CONCAT("Entity ID ",RIGHT(Table3[[#This Row],[Sponsor_1_num]],8)," not found")),"")</f>
        <v/>
      </c>
      <c r="O286" t="str">
        <f>IF(LEN(I286)&lt;&gt;0,_xlfn.XLOOKUP(I286,[1]!Entities[ID_with_x],[1]!Entities[Name_w_County],_xlfn.CONCAT("Entity ID ",RIGHT(Table3[[#This Row],[Sponsor_1_num]],8)," not found")),"")</f>
        <v/>
      </c>
      <c r="P286" t="str">
        <f>IF(LEN(J286)&lt;&gt;0,_xlfn.XLOOKUP(J286,[1]!Entities[ID_with_x],[1]!Entities[Name_w_County],_xlfn.CONCAT("Entity ID ",RIGHT(Table3[[#This Row],[Sponsor_1_num]],8)," not found")),"")</f>
        <v/>
      </c>
      <c r="Q286" t="str">
        <f>IF(LEN(K286)&gt;0,_xlfn.TEXTJOIN(", ",TRUE,K286:P286),Table3[[#This Row],[SPONSOR_LIST]])</f>
        <v>Kaufman County</v>
      </c>
    </row>
    <row r="287" spans="1:17" x14ac:dyDescent="0.25">
      <c r="A287" s="304" t="s">
        <v>4592</v>
      </c>
      <c r="B287" t="s">
        <v>2545</v>
      </c>
      <c r="C287" t="str">
        <f t="shared" si="5"/>
        <v>x04002775</v>
      </c>
      <c r="D287" t="str">
        <f>SUBSTITUTE(SUBSTITUTE(Table3[[#This Row],[Sponsor_list_tranform]],",",",x")," ","")</f>
        <v>x04002775</v>
      </c>
      <c r="E287" t="s">
        <v>11768</v>
      </c>
      <c r="K287" t="str">
        <f>IF(LEN(E287)&lt;&gt;0,_xlfn.XLOOKUP(E287,[1]!Entities[ID_with_x],[1]!Entities[Name_w_County],_xlfn.CONCAT("Entity ID ",RIGHT(Table3[[#This Row],[Sponsor_1_num]],8)," not found")),"")</f>
        <v>Kilgore</v>
      </c>
      <c r="L287" t="str">
        <f>IF(LEN(F287)&lt;&gt;0,_xlfn.XLOOKUP(F287,[1]!Entities[ID_with_x],[1]!Entities[Name_w_County],_xlfn.CONCAT("Entity ID ",RIGHT(Table3[[#This Row],[Sponsor_1_num]],8)," not found")),"")</f>
        <v/>
      </c>
      <c r="M287" t="str">
        <f>IF(LEN(G287)&lt;&gt;0,_xlfn.XLOOKUP(G287,[1]!Entities[ID_with_x],[1]!Entities[Name_w_County],_xlfn.CONCAT("Entity ID ",RIGHT(Table3[[#This Row],[Sponsor_1_num]],8)," not found")),"")</f>
        <v/>
      </c>
      <c r="N287" t="str">
        <f>IF(LEN(H287)&lt;&gt;0,_xlfn.XLOOKUP(H287,[1]!Entities[ID_with_x],[1]!Entities[Name_w_County],_xlfn.CONCAT("Entity ID ",RIGHT(Table3[[#This Row],[Sponsor_1_num]],8)," not found")),"")</f>
        <v/>
      </c>
      <c r="O287" t="str">
        <f>IF(LEN(I287)&lt;&gt;0,_xlfn.XLOOKUP(I287,[1]!Entities[ID_with_x],[1]!Entities[Name_w_County],_xlfn.CONCAT("Entity ID ",RIGHT(Table3[[#This Row],[Sponsor_1_num]],8)," not found")),"")</f>
        <v/>
      </c>
      <c r="P287" t="str">
        <f>IF(LEN(J287)&lt;&gt;0,_xlfn.XLOOKUP(J287,[1]!Entities[ID_with_x],[1]!Entities[Name_w_County],_xlfn.CONCAT("Entity ID ",RIGHT(Table3[[#This Row],[Sponsor_1_num]],8)," not found")),"")</f>
        <v/>
      </c>
      <c r="Q287" t="str">
        <f>IF(LEN(K287)&gt;0,_xlfn.TEXTJOIN(", ",TRUE,K287:P287),Table3[[#This Row],[SPONSOR_LIST]])</f>
        <v>Kilgore</v>
      </c>
    </row>
    <row r="288" spans="1:17" x14ac:dyDescent="0.25">
      <c r="A288" s="304" t="s">
        <v>4585</v>
      </c>
      <c r="B288" t="s">
        <v>1845</v>
      </c>
      <c r="C288" t="str">
        <f t="shared" si="5"/>
        <v>x00000108</v>
      </c>
      <c r="D288" t="str">
        <f>SUBSTITUTE(SUBSTITUTE(Table3[[#This Row],[Sponsor_list_tranform]],",",",x")," ","")</f>
        <v>x00000108</v>
      </c>
      <c r="E288" t="s">
        <v>11620</v>
      </c>
      <c r="K288" t="str">
        <f>IF(LEN(E288)&lt;&gt;0,_xlfn.XLOOKUP(E288,[1]!Entities[ID_with_x],[1]!Entities[Name_w_County],_xlfn.CONCAT("Entity ID ",RIGHT(Table3[[#This Row],[Sponsor_1_num]],8)," not found")),"")</f>
        <v>Kaufman County</v>
      </c>
      <c r="L288" t="str">
        <f>IF(LEN(F288)&lt;&gt;0,_xlfn.XLOOKUP(F288,[1]!Entities[ID_with_x],[1]!Entities[Name_w_County],_xlfn.CONCAT("Entity ID ",RIGHT(Table3[[#This Row],[Sponsor_1_num]],8)," not found")),"")</f>
        <v/>
      </c>
      <c r="M288" t="str">
        <f>IF(LEN(G288)&lt;&gt;0,_xlfn.XLOOKUP(G288,[1]!Entities[ID_with_x],[1]!Entities[Name_w_County],_xlfn.CONCAT("Entity ID ",RIGHT(Table3[[#This Row],[Sponsor_1_num]],8)," not found")),"")</f>
        <v/>
      </c>
      <c r="N288" t="str">
        <f>IF(LEN(H288)&lt;&gt;0,_xlfn.XLOOKUP(H288,[1]!Entities[ID_with_x],[1]!Entities[Name_w_County],_xlfn.CONCAT("Entity ID ",RIGHT(Table3[[#This Row],[Sponsor_1_num]],8)," not found")),"")</f>
        <v/>
      </c>
      <c r="O288" t="str">
        <f>IF(LEN(I288)&lt;&gt;0,_xlfn.XLOOKUP(I288,[1]!Entities[ID_with_x],[1]!Entities[Name_w_County],_xlfn.CONCAT("Entity ID ",RIGHT(Table3[[#This Row],[Sponsor_1_num]],8)," not found")),"")</f>
        <v/>
      </c>
      <c r="P288" t="str">
        <f>IF(LEN(J288)&lt;&gt;0,_xlfn.XLOOKUP(J288,[1]!Entities[ID_with_x],[1]!Entities[Name_w_County],_xlfn.CONCAT("Entity ID ",RIGHT(Table3[[#This Row],[Sponsor_1_num]],8)," not found")),"")</f>
        <v/>
      </c>
      <c r="Q288" t="str">
        <f>IF(LEN(K288)&gt;0,_xlfn.TEXTJOIN(", ",TRUE,K288:P288),Table3[[#This Row],[SPONSOR_LIST]])</f>
        <v>Kaufman County</v>
      </c>
    </row>
    <row r="289" spans="1:17" x14ac:dyDescent="0.25">
      <c r="A289" s="304" t="s">
        <v>4587</v>
      </c>
      <c r="B289" t="s">
        <v>2416</v>
      </c>
      <c r="C289" t="str">
        <f t="shared" si="5"/>
        <v>x00002657</v>
      </c>
      <c r="D289" t="str">
        <f>SUBSTITUTE(SUBSTITUTE(Table3[[#This Row],[Sponsor_list_tranform]],",",",x")," ","")</f>
        <v>x00002657</v>
      </c>
      <c r="E289" t="s">
        <v>11707</v>
      </c>
      <c r="K289" t="str">
        <f>IF(LEN(E289)&lt;&gt;0,_xlfn.XLOOKUP(E289,[1]!Entities[ID_with_x],[1]!Entities[Name_w_County],_xlfn.CONCAT("Entity ID ",RIGHT(Table3[[#This Row],[Sponsor_1_num]],8)," not found")),"")</f>
        <v>Nevada</v>
      </c>
      <c r="L289" t="str">
        <f>IF(LEN(F289)&lt;&gt;0,_xlfn.XLOOKUP(F289,[1]!Entities[ID_with_x],[1]!Entities[Name_w_County],_xlfn.CONCAT("Entity ID ",RIGHT(Table3[[#This Row],[Sponsor_1_num]],8)," not found")),"")</f>
        <v/>
      </c>
      <c r="M289" t="str">
        <f>IF(LEN(G289)&lt;&gt;0,_xlfn.XLOOKUP(G289,[1]!Entities[ID_with_x],[1]!Entities[Name_w_County],_xlfn.CONCAT("Entity ID ",RIGHT(Table3[[#This Row],[Sponsor_1_num]],8)," not found")),"")</f>
        <v/>
      </c>
      <c r="N289" t="str">
        <f>IF(LEN(H289)&lt;&gt;0,_xlfn.XLOOKUP(H289,[1]!Entities[ID_with_x],[1]!Entities[Name_w_County],_xlfn.CONCAT("Entity ID ",RIGHT(Table3[[#This Row],[Sponsor_1_num]],8)," not found")),"")</f>
        <v/>
      </c>
      <c r="O289" t="str">
        <f>IF(LEN(I289)&lt;&gt;0,_xlfn.XLOOKUP(I289,[1]!Entities[ID_with_x],[1]!Entities[Name_w_County],_xlfn.CONCAT("Entity ID ",RIGHT(Table3[[#This Row],[Sponsor_1_num]],8)," not found")),"")</f>
        <v/>
      </c>
      <c r="P289" t="str">
        <f>IF(LEN(J289)&lt;&gt;0,_xlfn.XLOOKUP(J289,[1]!Entities[ID_with_x],[1]!Entities[Name_w_County],_xlfn.CONCAT("Entity ID ",RIGHT(Table3[[#This Row],[Sponsor_1_num]],8)," not found")),"")</f>
        <v/>
      </c>
      <c r="Q289" t="str">
        <f>IF(LEN(K289)&gt;0,_xlfn.TEXTJOIN(", ",TRUE,K289:P289),Table3[[#This Row],[SPONSOR_LIST]])</f>
        <v>Nevada</v>
      </c>
    </row>
    <row r="290" spans="1:17" x14ac:dyDescent="0.25">
      <c r="A290" s="304" t="s">
        <v>4588</v>
      </c>
      <c r="B290" t="s">
        <v>2494</v>
      </c>
      <c r="C290" t="str">
        <f t="shared" si="5"/>
        <v>x00000110</v>
      </c>
      <c r="D290" t="str">
        <f>SUBSTITUTE(SUBSTITUTE(Table3[[#This Row],[Sponsor_list_tranform]],",",",x")," ","")</f>
        <v>x00000110</v>
      </c>
      <c r="E290" t="s">
        <v>11642</v>
      </c>
      <c r="K290" t="str">
        <f>IF(LEN(E290)&lt;&gt;0,_xlfn.XLOOKUP(E290,[1]!Entities[ID_with_x],[1]!Entities[Name_w_County],_xlfn.CONCAT("Entity ID ",RIGHT(Table3[[#This Row],[Sponsor_1_num]],8)," not found")),"")</f>
        <v>Van Zandt County</v>
      </c>
      <c r="L290" t="str">
        <f>IF(LEN(F290)&lt;&gt;0,_xlfn.XLOOKUP(F290,[1]!Entities[ID_with_x],[1]!Entities[Name_w_County],_xlfn.CONCAT("Entity ID ",RIGHT(Table3[[#This Row],[Sponsor_1_num]],8)," not found")),"")</f>
        <v/>
      </c>
      <c r="M290" t="str">
        <f>IF(LEN(G290)&lt;&gt;0,_xlfn.XLOOKUP(G290,[1]!Entities[ID_with_x],[1]!Entities[Name_w_County],_xlfn.CONCAT("Entity ID ",RIGHT(Table3[[#This Row],[Sponsor_1_num]],8)," not found")),"")</f>
        <v/>
      </c>
      <c r="N290" t="str">
        <f>IF(LEN(H290)&lt;&gt;0,_xlfn.XLOOKUP(H290,[1]!Entities[ID_with_x],[1]!Entities[Name_w_County],_xlfn.CONCAT("Entity ID ",RIGHT(Table3[[#This Row],[Sponsor_1_num]],8)," not found")),"")</f>
        <v/>
      </c>
      <c r="O290" t="str">
        <f>IF(LEN(I290)&lt;&gt;0,_xlfn.XLOOKUP(I290,[1]!Entities[ID_with_x],[1]!Entities[Name_w_County],_xlfn.CONCAT("Entity ID ",RIGHT(Table3[[#This Row],[Sponsor_1_num]],8)," not found")),"")</f>
        <v/>
      </c>
      <c r="P290" t="str">
        <f>IF(LEN(J290)&lt;&gt;0,_xlfn.XLOOKUP(J290,[1]!Entities[ID_with_x],[1]!Entities[Name_w_County],_xlfn.CONCAT("Entity ID ",RIGHT(Table3[[#This Row],[Sponsor_1_num]],8)," not found")),"")</f>
        <v/>
      </c>
      <c r="Q290" t="str">
        <f>IF(LEN(K290)&gt;0,_xlfn.TEXTJOIN(", ",TRUE,K290:P290),Table3[[#This Row],[SPONSOR_LIST]])</f>
        <v>Van Zandt County</v>
      </c>
    </row>
    <row r="291" spans="1:17" x14ac:dyDescent="0.25">
      <c r="A291" s="304" t="s">
        <v>2679</v>
      </c>
      <c r="B291" t="s">
        <v>2678</v>
      </c>
      <c r="C291" t="str">
        <f t="shared" si="5"/>
        <v>x05000125</v>
      </c>
      <c r="D291" t="str">
        <f>SUBSTITUTE(SUBSTITUTE(Table3[[#This Row],[Sponsor_list_tranform]],",",",x")," ","")</f>
        <v>x05000125</v>
      </c>
      <c r="E291" t="s">
        <v>11611</v>
      </c>
      <c r="K291" t="str">
        <f>IF(LEN(E291)&lt;&gt;0,_xlfn.XLOOKUP(E291,[1]!Entities[ID_with_x],[1]!Entities[Name_w_County],_xlfn.CONCAT("Entity ID ",RIGHT(Table3[[#This Row],[Sponsor_1_num]],8)," not found")),"")</f>
        <v>Angelina County</v>
      </c>
      <c r="L291" t="str">
        <f>IF(LEN(F291)&lt;&gt;0,_xlfn.XLOOKUP(F291,[1]!Entities[ID_with_x],[1]!Entities[Name_w_County],_xlfn.CONCAT("Entity ID ",RIGHT(Table3[[#This Row],[Sponsor_1_num]],8)," not found")),"")</f>
        <v/>
      </c>
      <c r="M291" t="str">
        <f>IF(LEN(G291)&lt;&gt;0,_xlfn.XLOOKUP(G291,[1]!Entities[ID_with_x],[1]!Entities[Name_w_County],_xlfn.CONCAT("Entity ID ",RIGHT(Table3[[#This Row],[Sponsor_1_num]],8)," not found")),"")</f>
        <v/>
      </c>
      <c r="N291" t="str">
        <f>IF(LEN(H291)&lt;&gt;0,_xlfn.XLOOKUP(H291,[1]!Entities[ID_with_x],[1]!Entities[Name_w_County],_xlfn.CONCAT("Entity ID ",RIGHT(Table3[[#This Row],[Sponsor_1_num]],8)," not found")),"")</f>
        <v/>
      </c>
      <c r="O291" t="str">
        <f>IF(LEN(I291)&lt;&gt;0,_xlfn.XLOOKUP(I291,[1]!Entities[ID_with_x],[1]!Entities[Name_w_County],_xlfn.CONCAT("Entity ID ",RIGHT(Table3[[#This Row],[Sponsor_1_num]],8)," not found")),"")</f>
        <v/>
      </c>
      <c r="P291" t="str">
        <f>IF(LEN(J291)&lt;&gt;0,_xlfn.XLOOKUP(J291,[1]!Entities[ID_with_x],[1]!Entities[Name_w_County],_xlfn.CONCAT("Entity ID ",RIGHT(Table3[[#This Row],[Sponsor_1_num]],8)," not found")),"")</f>
        <v/>
      </c>
      <c r="Q291" t="str">
        <f>IF(LEN(K291)&gt;0,_xlfn.TEXTJOIN(", ",TRUE,K291:P291),Table3[[#This Row],[SPONSOR_LIST]])</f>
        <v>Angelina County</v>
      </c>
    </row>
    <row r="292" spans="1:17" x14ac:dyDescent="0.25">
      <c r="A292" s="304" t="s">
        <v>2673</v>
      </c>
      <c r="B292" t="s">
        <v>2678</v>
      </c>
      <c r="C292" t="str">
        <f t="shared" si="5"/>
        <v>x05000125</v>
      </c>
      <c r="D292" t="str">
        <f>SUBSTITUTE(SUBSTITUTE(Table3[[#This Row],[Sponsor_list_tranform]],",",",x")," ","")</f>
        <v>x05000125</v>
      </c>
      <c r="E292" t="s">
        <v>11611</v>
      </c>
      <c r="K292" t="str">
        <f>IF(LEN(E292)&lt;&gt;0,_xlfn.XLOOKUP(E292,[1]!Entities[ID_with_x],[1]!Entities[Name_w_County],_xlfn.CONCAT("Entity ID ",RIGHT(Table3[[#This Row],[Sponsor_1_num]],8)," not found")),"")</f>
        <v>Angelina County</v>
      </c>
      <c r="L292" t="str">
        <f>IF(LEN(F292)&lt;&gt;0,_xlfn.XLOOKUP(F292,[1]!Entities[ID_with_x],[1]!Entities[Name_w_County],_xlfn.CONCAT("Entity ID ",RIGHT(Table3[[#This Row],[Sponsor_1_num]],8)," not found")),"")</f>
        <v/>
      </c>
      <c r="M292" t="str">
        <f>IF(LEN(G292)&lt;&gt;0,_xlfn.XLOOKUP(G292,[1]!Entities[ID_with_x],[1]!Entities[Name_w_County],_xlfn.CONCAT("Entity ID ",RIGHT(Table3[[#This Row],[Sponsor_1_num]],8)," not found")),"")</f>
        <v/>
      </c>
      <c r="N292" t="str">
        <f>IF(LEN(H292)&lt;&gt;0,_xlfn.XLOOKUP(H292,[1]!Entities[ID_with_x],[1]!Entities[Name_w_County],_xlfn.CONCAT("Entity ID ",RIGHT(Table3[[#This Row],[Sponsor_1_num]],8)," not found")),"")</f>
        <v/>
      </c>
      <c r="O292" t="str">
        <f>IF(LEN(I292)&lt;&gt;0,_xlfn.XLOOKUP(I292,[1]!Entities[ID_with_x],[1]!Entities[Name_w_County],_xlfn.CONCAT("Entity ID ",RIGHT(Table3[[#This Row],[Sponsor_1_num]],8)," not found")),"")</f>
        <v/>
      </c>
      <c r="P292" t="str">
        <f>IF(LEN(J292)&lt;&gt;0,_xlfn.XLOOKUP(J292,[1]!Entities[ID_with_x],[1]!Entities[Name_w_County],_xlfn.CONCAT("Entity ID ",RIGHT(Table3[[#This Row],[Sponsor_1_num]],8)," not found")),"")</f>
        <v/>
      </c>
      <c r="Q292" t="str">
        <f>IF(LEN(K292)&gt;0,_xlfn.TEXTJOIN(", ",TRUE,K292:P292),Table3[[#This Row],[SPONSOR_LIST]])</f>
        <v>Angelina County</v>
      </c>
    </row>
    <row r="293" spans="1:17" x14ac:dyDescent="0.25">
      <c r="A293" s="304" t="s">
        <v>2949</v>
      </c>
      <c r="B293" t="s">
        <v>2948</v>
      </c>
      <c r="C293" t="str">
        <f t="shared" si="5"/>
        <v>x00000035</v>
      </c>
      <c r="D293" t="str">
        <f>SUBSTITUTE(SUBSTITUTE(Table3[[#This Row],[Sponsor_list_tranform]],",",",x")," ","")</f>
        <v>x00000035</v>
      </c>
      <c r="E293" t="s">
        <v>11635</v>
      </c>
      <c r="K293" t="str">
        <f>IF(LEN(E293)&lt;&gt;0,_xlfn.XLOOKUP(E293,[1]!Entities[ID_with_x],[1]!Entities[Name_w_County],_xlfn.CONCAT("Entity ID ",RIGHT(Table3[[#This Row],[Sponsor_1_num]],8)," not found")),"")</f>
        <v>Hardin County</v>
      </c>
      <c r="L293" t="str">
        <f>IF(LEN(F293)&lt;&gt;0,_xlfn.XLOOKUP(F293,[1]!Entities[ID_with_x],[1]!Entities[Name_w_County],_xlfn.CONCAT("Entity ID ",RIGHT(Table3[[#This Row],[Sponsor_1_num]],8)," not found")),"")</f>
        <v/>
      </c>
      <c r="M293" t="str">
        <f>IF(LEN(G293)&lt;&gt;0,_xlfn.XLOOKUP(G293,[1]!Entities[ID_with_x],[1]!Entities[Name_w_County],_xlfn.CONCAT("Entity ID ",RIGHT(Table3[[#This Row],[Sponsor_1_num]],8)," not found")),"")</f>
        <v/>
      </c>
      <c r="N293" t="str">
        <f>IF(LEN(H293)&lt;&gt;0,_xlfn.XLOOKUP(H293,[1]!Entities[ID_with_x],[1]!Entities[Name_w_County],_xlfn.CONCAT("Entity ID ",RIGHT(Table3[[#This Row],[Sponsor_1_num]],8)," not found")),"")</f>
        <v/>
      </c>
      <c r="O293" t="str">
        <f>IF(LEN(I293)&lt;&gt;0,_xlfn.XLOOKUP(I293,[1]!Entities[ID_with_x],[1]!Entities[Name_w_County],_xlfn.CONCAT("Entity ID ",RIGHT(Table3[[#This Row],[Sponsor_1_num]],8)," not found")),"")</f>
        <v/>
      </c>
      <c r="P293" t="str">
        <f>IF(LEN(J293)&lt;&gt;0,_xlfn.XLOOKUP(J293,[1]!Entities[ID_with_x],[1]!Entities[Name_w_County],_xlfn.CONCAT("Entity ID ",RIGHT(Table3[[#This Row],[Sponsor_1_num]],8)," not found")),"")</f>
        <v/>
      </c>
      <c r="Q293" t="str">
        <f>IF(LEN(K293)&gt;0,_xlfn.TEXTJOIN(", ",TRUE,K293:P293),Table3[[#This Row],[SPONSOR_LIST]])</f>
        <v>Hardin County</v>
      </c>
    </row>
    <row r="294" spans="1:17" x14ac:dyDescent="0.25">
      <c r="A294" s="304" t="s">
        <v>2943</v>
      </c>
      <c r="B294" t="s">
        <v>2948</v>
      </c>
      <c r="C294" t="str">
        <f t="shared" si="5"/>
        <v>x00000035</v>
      </c>
      <c r="D294" t="str">
        <f>SUBSTITUTE(SUBSTITUTE(Table3[[#This Row],[Sponsor_list_tranform]],",",",x")," ","")</f>
        <v>x00000035</v>
      </c>
      <c r="E294" t="s">
        <v>11635</v>
      </c>
      <c r="K294" t="str">
        <f>IF(LEN(E294)&lt;&gt;0,_xlfn.XLOOKUP(E294,[1]!Entities[ID_with_x],[1]!Entities[Name_w_County],_xlfn.CONCAT("Entity ID ",RIGHT(Table3[[#This Row],[Sponsor_1_num]],8)," not found")),"")</f>
        <v>Hardin County</v>
      </c>
      <c r="L294" t="str">
        <f>IF(LEN(F294)&lt;&gt;0,_xlfn.XLOOKUP(F294,[1]!Entities[ID_with_x],[1]!Entities[Name_w_County],_xlfn.CONCAT("Entity ID ",RIGHT(Table3[[#This Row],[Sponsor_1_num]],8)," not found")),"")</f>
        <v/>
      </c>
      <c r="M294" t="str">
        <f>IF(LEN(G294)&lt;&gt;0,_xlfn.XLOOKUP(G294,[1]!Entities[ID_with_x],[1]!Entities[Name_w_County],_xlfn.CONCAT("Entity ID ",RIGHT(Table3[[#This Row],[Sponsor_1_num]],8)," not found")),"")</f>
        <v/>
      </c>
      <c r="N294" t="str">
        <f>IF(LEN(H294)&lt;&gt;0,_xlfn.XLOOKUP(H294,[1]!Entities[ID_with_x],[1]!Entities[Name_w_County],_xlfn.CONCAT("Entity ID ",RIGHT(Table3[[#This Row],[Sponsor_1_num]],8)," not found")),"")</f>
        <v/>
      </c>
      <c r="O294" t="str">
        <f>IF(LEN(I294)&lt;&gt;0,_xlfn.XLOOKUP(I294,[1]!Entities[ID_with_x],[1]!Entities[Name_w_County],_xlfn.CONCAT("Entity ID ",RIGHT(Table3[[#This Row],[Sponsor_1_num]],8)," not found")),"")</f>
        <v/>
      </c>
      <c r="P294" t="str">
        <f>IF(LEN(J294)&lt;&gt;0,_xlfn.XLOOKUP(J294,[1]!Entities[ID_with_x],[1]!Entities[Name_w_County],_xlfn.CONCAT("Entity ID ",RIGHT(Table3[[#This Row],[Sponsor_1_num]],8)," not found")),"")</f>
        <v/>
      </c>
      <c r="Q294" t="str">
        <f>IF(LEN(K294)&gt;0,_xlfn.TEXTJOIN(", ",TRUE,K294:P294),Table3[[#This Row],[SPONSOR_LIST]])</f>
        <v>Hardin County</v>
      </c>
    </row>
    <row r="295" spans="1:17" x14ac:dyDescent="0.25">
      <c r="A295" s="304" t="s">
        <v>2880</v>
      </c>
      <c r="B295" t="s">
        <v>2879</v>
      </c>
      <c r="C295" t="str">
        <f t="shared" si="5"/>
        <v>x05003028</v>
      </c>
      <c r="D295" t="str">
        <f>SUBSTITUTE(SUBSTITUTE(Table3[[#This Row],[Sponsor_list_tranform]],",",",x")," ","")</f>
        <v>x05003028</v>
      </c>
      <c r="E295" t="s">
        <v>11714</v>
      </c>
      <c r="K295" t="str">
        <f>IF(LEN(E295)&lt;&gt;0,_xlfn.XLOOKUP(E295,[1]!Entities[ID_with_x],[1]!Entities[Name_w_County],_xlfn.CONCAT("Entity ID ",RIGHT(Table3[[#This Row],[Sponsor_1_num]],8)," not found")),"")</f>
        <v>Kountze</v>
      </c>
      <c r="L295" t="str">
        <f>IF(LEN(F295)&lt;&gt;0,_xlfn.XLOOKUP(F295,[1]!Entities[ID_with_x],[1]!Entities[Name_w_County],_xlfn.CONCAT("Entity ID ",RIGHT(Table3[[#This Row],[Sponsor_1_num]],8)," not found")),"")</f>
        <v/>
      </c>
      <c r="M295" t="str">
        <f>IF(LEN(G295)&lt;&gt;0,_xlfn.XLOOKUP(G295,[1]!Entities[ID_with_x],[1]!Entities[Name_w_County],_xlfn.CONCAT("Entity ID ",RIGHT(Table3[[#This Row],[Sponsor_1_num]],8)," not found")),"")</f>
        <v/>
      </c>
      <c r="N295" t="str">
        <f>IF(LEN(H295)&lt;&gt;0,_xlfn.XLOOKUP(H295,[1]!Entities[ID_with_x],[1]!Entities[Name_w_County],_xlfn.CONCAT("Entity ID ",RIGHT(Table3[[#This Row],[Sponsor_1_num]],8)," not found")),"")</f>
        <v/>
      </c>
      <c r="O295" t="str">
        <f>IF(LEN(I295)&lt;&gt;0,_xlfn.XLOOKUP(I295,[1]!Entities[ID_with_x],[1]!Entities[Name_w_County],_xlfn.CONCAT("Entity ID ",RIGHT(Table3[[#This Row],[Sponsor_1_num]],8)," not found")),"")</f>
        <v/>
      </c>
      <c r="P295" t="str">
        <f>IF(LEN(J295)&lt;&gt;0,_xlfn.XLOOKUP(J295,[1]!Entities[ID_with_x],[1]!Entities[Name_w_County],_xlfn.CONCAT("Entity ID ",RIGHT(Table3[[#This Row],[Sponsor_1_num]],8)," not found")),"")</f>
        <v/>
      </c>
      <c r="Q295" t="str">
        <f>IF(LEN(K295)&gt;0,_xlfn.TEXTJOIN(", ",TRUE,K295:P295),Table3[[#This Row],[SPONSOR_LIST]])</f>
        <v>Kountze</v>
      </c>
    </row>
    <row r="296" spans="1:17" x14ac:dyDescent="0.25">
      <c r="A296" s="304" t="s">
        <v>2892</v>
      </c>
      <c r="B296" t="s">
        <v>2891</v>
      </c>
      <c r="C296" t="str">
        <f t="shared" si="5"/>
        <v>x05002488</v>
      </c>
      <c r="D296" t="str">
        <f>SUBSTITUTE(SUBSTITUTE(Table3[[#This Row],[Sponsor_list_tranform]],",",",x")," ","")</f>
        <v>x05002488</v>
      </c>
      <c r="E296" t="s">
        <v>11715</v>
      </c>
      <c r="K296" t="str">
        <f>IF(LEN(E296)&lt;&gt;0,_xlfn.XLOOKUP(E296,[1]!Entities[ID_with_x],[1]!Entities[Name_w_County],_xlfn.CONCAT("Entity ID ",RIGHT(Table3[[#This Row],[Sponsor_1_num]],8)," not found")),"")</f>
        <v>Lumberton</v>
      </c>
      <c r="L296" t="str">
        <f>IF(LEN(F296)&lt;&gt;0,_xlfn.XLOOKUP(F296,[1]!Entities[ID_with_x],[1]!Entities[Name_w_County],_xlfn.CONCAT("Entity ID ",RIGHT(Table3[[#This Row],[Sponsor_1_num]],8)," not found")),"")</f>
        <v/>
      </c>
      <c r="M296" t="str">
        <f>IF(LEN(G296)&lt;&gt;0,_xlfn.XLOOKUP(G296,[1]!Entities[ID_with_x],[1]!Entities[Name_w_County],_xlfn.CONCAT("Entity ID ",RIGHT(Table3[[#This Row],[Sponsor_1_num]],8)," not found")),"")</f>
        <v/>
      </c>
      <c r="N296" t="str">
        <f>IF(LEN(H296)&lt;&gt;0,_xlfn.XLOOKUP(H296,[1]!Entities[ID_with_x],[1]!Entities[Name_w_County],_xlfn.CONCAT("Entity ID ",RIGHT(Table3[[#This Row],[Sponsor_1_num]],8)," not found")),"")</f>
        <v/>
      </c>
      <c r="O296" t="str">
        <f>IF(LEN(I296)&lt;&gt;0,_xlfn.XLOOKUP(I296,[1]!Entities[ID_with_x],[1]!Entities[Name_w_County],_xlfn.CONCAT("Entity ID ",RIGHT(Table3[[#This Row],[Sponsor_1_num]],8)," not found")),"")</f>
        <v/>
      </c>
      <c r="P296" t="str">
        <f>IF(LEN(J296)&lt;&gt;0,_xlfn.XLOOKUP(J296,[1]!Entities[ID_with_x],[1]!Entities[Name_w_County],_xlfn.CONCAT("Entity ID ",RIGHT(Table3[[#This Row],[Sponsor_1_num]],8)," not found")),"")</f>
        <v/>
      </c>
      <c r="Q296" t="str">
        <f>IF(LEN(K296)&gt;0,_xlfn.TEXTJOIN(", ",TRUE,K296:P296),Table3[[#This Row],[SPONSOR_LIST]])</f>
        <v>Lumberton</v>
      </c>
    </row>
    <row r="297" spans="1:17" x14ac:dyDescent="0.25">
      <c r="A297" s="304" t="s">
        <v>2897</v>
      </c>
      <c r="B297" t="s">
        <v>2902</v>
      </c>
      <c r="C297" t="str">
        <f t="shared" si="5"/>
        <v>x05003029</v>
      </c>
      <c r="D297" t="str">
        <f>SUBSTITUTE(SUBSTITUTE(Table3[[#This Row],[Sponsor_list_tranform]],",",",x")," ","")</f>
        <v>x05003029</v>
      </c>
      <c r="E297" t="s">
        <v>11716</v>
      </c>
      <c r="K297" t="str">
        <f>IF(LEN(E297)&lt;&gt;0,_xlfn.XLOOKUP(E297,[1]!Entities[ID_with_x],[1]!Entities[Name_w_County],_xlfn.CONCAT("Entity ID ",RIGHT(Table3[[#This Row],[Sponsor_1_num]],8)," not found")),"")</f>
        <v>Rose Hill Acres</v>
      </c>
      <c r="L297" t="str">
        <f>IF(LEN(F297)&lt;&gt;0,_xlfn.XLOOKUP(F297,[1]!Entities[ID_with_x],[1]!Entities[Name_w_County],_xlfn.CONCAT("Entity ID ",RIGHT(Table3[[#This Row],[Sponsor_1_num]],8)," not found")),"")</f>
        <v/>
      </c>
      <c r="M297" t="str">
        <f>IF(LEN(G297)&lt;&gt;0,_xlfn.XLOOKUP(G297,[1]!Entities[ID_with_x],[1]!Entities[Name_w_County],_xlfn.CONCAT("Entity ID ",RIGHT(Table3[[#This Row],[Sponsor_1_num]],8)," not found")),"")</f>
        <v/>
      </c>
      <c r="N297" t="str">
        <f>IF(LEN(H297)&lt;&gt;0,_xlfn.XLOOKUP(H297,[1]!Entities[ID_with_x],[1]!Entities[Name_w_County],_xlfn.CONCAT("Entity ID ",RIGHT(Table3[[#This Row],[Sponsor_1_num]],8)," not found")),"")</f>
        <v/>
      </c>
      <c r="O297" t="str">
        <f>IF(LEN(I297)&lt;&gt;0,_xlfn.XLOOKUP(I297,[1]!Entities[ID_with_x],[1]!Entities[Name_w_County],_xlfn.CONCAT("Entity ID ",RIGHT(Table3[[#This Row],[Sponsor_1_num]],8)," not found")),"")</f>
        <v/>
      </c>
      <c r="P297" t="str">
        <f>IF(LEN(J297)&lt;&gt;0,_xlfn.XLOOKUP(J297,[1]!Entities[ID_with_x],[1]!Entities[Name_w_County],_xlfn.CONCAT("Entity ID ",RIGHT(Table3[[#This Row],[Sponsor_1_num]],8)," not found")),"")</f>
        <v/>
      </c>
      <c r="Q297" t="str">
        <f>IF(LEN(K297)&gt;0,_xlfn.TEXTJOIN(", ",TRUE,K297:P297),Table3[[#This Row],[SPONSOR_LIST]])</f>
        <v>Rose Hill Acres</v>
      </c>
    </row>
    <row r="298" spans="1:17" x14ac:dyDescent="0.25">
      <c r="A298" s="304" t="s">
        <v>2903</v>
      </c>
      <c r="B298" t="s">
        <v>2902</v>
      </c>
      <c r="C298" t="str">
        <f t="shared" si="5"/>
        <v>x05003029</v>
      </c>
      <c r="D298" t="str">
        <f>SUBSTITUTE(SUBSTITUTE(Table3[[#This Row],[Sponsor_list_tranform]],",",",x")," ","")</f>
        <v>x05003029</v>
      </c>
      <c r="E298" t="s">
        <v>11716</v>
      </c>
      <c r="K298" t="str">
        <f>IF(LEN(E298)&lt;&gt;0,_xlfn.XLOOKUP(E298,[1]!Entities[ID_with_x],[1]!Entities[Name_w_County],_xlfn.CONCAT("Entity ID ",RIGHT(Table3[[#This Row],[Sponsor_1_num]],8)," not found")),"")</f>
        <v>Rose Hill Acres</v>
      </c>
      <c r="L298" t="str">
        <f>IF(LEN(F298)&lt;&gt;0,_xlfn.XLOOKUP(F298,[1]!Entities[ID_with_x],[1]!Entities[Name_w_County],_xlfn.CONCAT("Entity ID ",RIGHT(Table3[[#This Row],[Sponsor_1_num]],8)," not found")),"")</f>
        <v/>
      </c>
      <c r="M298" t="str">
        <f>IF(LEN(G298)&lt;&gt;0,_xlfn.XLOOKUP(G298,[1]!Entities[ID_with_x],[1]!Entities[Name_w_County],_xlfn.CONCAT("Entity ID ",RIGHT(Table3[[#This Row],[Sponsor_1_num]],8)," not found")),"")</f>
        <v/>
      </c>
      <c r="N298" t="str">
        <f>IF(LEN(H298)&lt;&gt;0,_xlfn.XLOOKUP(H298,[1]!Entities[ID_with_x],[1]!Entities[Name_w_County],_xlfn.CONCAT("Entity ID ",RIGHT(Table3[[#This Row],[Sponsor_1_num]],8)," not found")),"")</f>
        <v/>
      </c>
      <c r="O298" t="str">
        <f>IF(LEN(I298)&lt;&gt;0,_xlfn.XLOOKUP(I298,[1]!Entities[ID_with_x],[1]!Entities[Name_w_County],_xlfn.CONCAT("Entity ID ",RIGHT(Table3[[#This Row],[Sponsor_1_num]],8)," not found")),"")</f>
        <v/>
      </c>
      <c r="P298" t="str">
        <f>IF(LEN(J298)&lt;&gt;0,_xlfn.XLOOKUP(J298,[1]!Entities[ID_with_x],[1]!Entities[Name_w_County],_xlfn.CONCAT("Entity ID ",RIGHT(Table3[[#This Row],[Sponsor_1_num]],8)," not found")),"")</f>
        <v/>
      </c>
      <c r="Q298" t="str">
        <f>IF(LEN(K298)&gt;0,_xlfn.TEXTJOIN(", ",TRUE,K298:P298),Table3[[#This Row],[SPONSOR_LIST]])</f>
        <v>Rose Hill Acres</v>
      </c>
    </row>
    <row r="299" spans="1:17" x14ac:dyDescent="0.25">
      <c r="A299" s="304" t="s">
        <v>2926</v>
      </c>
      <c r="B299" t="s">
        <v>2920</v>
      </c>
      <c r="C299" t="str">
        <f t="shared" si="5"/>
        <v>x05002932</v>
      </c>
      <c r="D299" t="str">
        <f>SUBSTITUTE(SUBSTITUTE(Table3[[#This Row],[Sponsor_list_tranform]],",",",x")," ","")</f>
        <v>x05002932</v>
      </c>
      <c r="E299" t="s">
        <v>11717</v>
      </c>
      <c r="K299" t="str">
        <f>IF(LEN(E299)&lt;&gt;0,_xlfn.XLOOKUP(E299,[1]!Entities[ID_with_x],[1]!Entities[Name_w_County],_xlfn.CONCAT("Entity ID ",RIGHT(Table3[[#This Row],[Sponsor_1_num]],8)," not found")),"")</f>
        <v>Silsbee</v>
      </c>
      <c r="L299" t="str">
        <f>IF(LEN(F299)&lt;&gt;0,_xlfn.XLOOKUP(F299,[1]!Entities[ID_with_x],[1]!Entities[Name_w_County],_xlfn.CONCAT("Entity ID ",RIGHT(Table3[[#This Row],[Sponsor_1_num]],8)," not found")),"")</f>
        <v/>
      </c>
      <c r="M299" t="str">
        <f>IF(LEN(G299)&lt;&gt;0,_xlfn.XLOOKUP(G299,[1]!Entities[ID_with_x],[1]!Entities[Name_w_County],_xlfn.CONCAT("Entity ID ",RIGHT(Table3[[#This Row],[Sponsor_1_num]],8)," not found")),"")</f>
        <v/>
      </c>
      <c r="N299" t="str">
        <f>IF(LEN(H299)&lt;&gt;0,_xlfn.XLOOKUP(H299,[1]!Entities[ID_with_x],[1]!Entities[Name_w_County],_xlfn.CONCAT("Entity ID ",RIGHT(Table3[[#This Row],[Sponsor_1_num]],8)," not found")),"")</f>
        <v/>
      </c>
      <c r="O299" t="str">
        <f>IF(LEN(I299)&lt;&gt;0,_xlfn.XLOOKUP(I299,[1]!Entities[ID_with_x],[1]!Entities[Name_w_County],_xlfn.CONCAT("Entity ID ",RIGHT(Table3[[#This Row],[Sponsor_1_num]],8)," not found")),"")</f>
        <v/>
      </c>
      <c r="P299" t="str">
        <f>IF(LEN(J299)&lt;&gt;0,_xlfn.XLOOKUP(J299,[1]!Entities[ID_with_x],[1]!Entities[Name_w_County],_xlfn.CONCAT("Entity ID ",RIGHT(Table3[[#This Row],[Sponsor_1_num]],8)," not found")),"")</f>
        <v/>
      </c>
      <c r="Q299" t="str">
        <f>IF(LEN(K299)&gt;0,_xlfn.TEXTJOIN(", ",TRUE,K299:P299),Table3[[#This Row],[SPONSOR_LIST]])</f>
        <v>Silsbee</v>
      </c>
    </row>
    <row r="300" spans="1:17" x14ac:dyDescent="0.25">
      <c r="A300" s="304" t="s">
        <v>2941</v>
      </c>
      <c r="B300" t="s">
        <v>2934</v>
      </c>
      <c r="C300" t="str">
        <f t="shared" si="5"/>
        <v>x05002933</v>
      </c>
      <c r="D300" t="str">
        <f>SUBSTITUTE(SUBSTITUTE(Table3[[#This Row],[Sponsor_list_tranform]],",",",x")," ","")</f>
        <v>x05002933</v>
      </c>
      <c r="E300" t="s">
        <v>11718</v>
      </c>
      <c r="K300" t="str">
        <f>IF(LEN(E300)&lt;&gt;0,_xlfn.XLOOKUP(E300,[1]!Entities[ID_with_x],[1]!Entities[Name_w_County],_xlfn.CONCAT("Entity ID ",RIGHT(Table3[[#This Row],[Sponsor_1_num]],8)," not found")),"")</f>
        <v>Sour Lake</v>
      </c>
      <c r="L300" t="str">
        <f>IF(LEN(F300)&lt;&gt;0,_xlfn.XLOOKUP(F300,[1]!Entities[ID_with_x],[1]!Entities[Name_w_County],_xlfn.CONCAT("Entity ID ",RIGHT(Table3[[#This Row],[Sponsor_1_num]],8)," not found")),"")</f>
        <v/>
      </c>
      <c r="M300" t="str">
        <f>IF(LEN(G300)&lt;&gt;0,_xlfn.XLOOKUP(G300,[1]!Entities[ID_with_x],[1]!Entities[Name_w_County],_xlfn.CONCAT("Entity ID ",RIGHT(Table3[[#This Row],[Sponsor_1_num]],8)," not found")),"")</f>
        <v/>
      </c>
      <c r="N300" t="str">
        <f>IF(LEN(H300)&lt;&gt;0,_xlfn.XLOOKUP(H300,[1]!Entities[ID_with_x],[1]!Entities[Name_w_County],_xlfn.CONCAT("Entity ID ",RIGHT(Table3[[#This Row],[Sponsor_1_num]],8)," not found")),"")</f>
        <v/>
      </c>
      <c r="O300" t="str">
        <f>IF(LEN(I300)&lt;&gt;0,_xlfn.XLOOKUP(I300,[1]!Entities[ID_with_x],[1]!Entities[Name_w_County],_xlfn.CONCAT("Entity ID ",RIGHT(Table3[[#This Row],[Sponsor_1_num]],8)," not found")),"")</f>
        <v/>
      </c>
      <c r="P300" t="str">
        <f>IF(LEN(J300)&lt;&gt;0,_xlfn.XLOOKUP(J300,[1]!Entities[ID_with_x],[1]!Entities[Name_w_County],_xlfn.CONCAT("Entity ID ",RIGHT(Table3[[#This Row],[Sponsor_1_num]],8)," not found")),"")</f>
        <v/>
      </c>
      <c r="Q300" t="str">
        <f>IF(LEN(K300)&gt;0,_xlfn.TEXTJOIN(", ",TRUE,K300:P300),Table3[[#This Row],[SPONSOR_LIST]])</f>
        <v>Sour Lake</v>
      </c>
    </row>
    <row r="301" spans="1:17" x14ac:dyDescent="0.25">
      <c r="A301" s="304" t="s">
        <v>2650</v>
      </c>
      <c r="B301" t="s">
        <v>2656</v>
      </c>
      <c r="C301" t="str">
        <f t="shared" si="5"/>
        <v>x05000025</v>
      </c>
      <c r="D301" t="str">
        <f>SUBSTITUTE(SUBSTITUTE(Table3[[#This Row],[Sponsor_list_tranform]],",",",x")," ","")</f>
        <v>x05000025</v>
      </c>
      <c r="E301" t="s">
        <v>11612</v>
      </c>
      <c r="K301" t="str">
        <f>IF(LEN(E301)&lt;&gt;0,_xlfn.XLOOKUP(E301,[1]!Entities[ID_with_x],[1]!Entities[Name_w_County],_xlfn.CONCAT("Entity ID ",RIGHT(Table3[[#This Row],[Sponsor_1_num]],8)," not found")),"")</f>
        <v>Jefferson County</v>
      </c>
      <c r="L301" t="str">
        <f>IF(LEN(F301)&lt;&gt;0,_xlfn.XLOOKUP(F301,[1]!Entities[ID_with_x],[1]!Entities[Name_w_County],_xlfn.CONCAT("Entity ID ",RIGHT(Table3[[#This Row],[Sponsor_1_num]],8)," not found")),"")</f>
        <v/>
      </c>
      <c r="M301" t="str">
        <f>IF(LEN(G301)&lt;&gt;0,_xlfn.XLOOKUP(G301,[1]!Entities[ID_with_x],[1]!Entities[Name_w_County],_xlfn.CONCAT("Entity ID ",RIGHT(Table3[[#This Row],[Sponsor_1_num]],8)," not found")),"")</f>
        <v/>
      </c>
      <c r="N301" t="str">
        <f>IF(LEN(H301)&lt;&gt;0,_xlfn.XLOOKUP(H301,[1]!Entities[ID_with_x],[1]!Entities[Name_w_County],_xlfn.CONCAT("Entity ID ",RIGHT(Table3[[#This Row],[Sponsor_1_num]],8)," not found")),"")</f>
        <v/>
      </c>
      <c r="O301" t="str">
        <f>IF(LEN(I301)&lt;&gt;0,_xlfn.XLOOKUP(I301,[1]!Entities[ID_with_x],[1]!Entities[Name_w_County],_xlfn.CONCAT("Entity ID ",RIGHT(Table3[[#This Row],[Sponsor_1_num]],8)," not found")),"")</f>
        <v/>
      </c>
      <c r="P301" t="str">
        <f>IF(LEN(J301)&lt;&gt;0,_xlfn.XLOOKUP(J301,[1]!Entities[ID_with_x],[1]!Entities[Name_w_County],_xlfn.CONCAT("Entity ID ",RIGHT(Table3[[#This Row],[Sponsor_1_num]],8)," not found")),"")</f>
        <v/>
      </c>
      <c r="Q301" t="str">
        <f>IF(LEN(K301)&gt;0,_xlfn.TEXTJOIN(", ",TRUE,K301:P301),Table3[[#This Row],[SPONSOR_LIST]])</f>
        <v>Jefferson County</v>
      </c>
    </row>
    <row r="302" spans="1:17" x14ac:dyDescent="0.25">
      <c r="A302" s="304" t="s">
        <v>2657</v>
      </c>
      <c r="B302" t="s">
        <v>273</v>
      </c>
      <c r="C302" t="str">
        <f t="shared" si="5"/>
        <v>x00000033</v>
      </c>
      <c r="D302" t="str">
        <f>SUBSTITUTE(SUBSTITUTE(Table3[[#This Row],[Sponsor_list_tranform]],",",",x")," ","")</f>
        <v>x00000033</v>
      </c>
      <c r="E302" t="s">
        <v>11613</v>
      </c>
      <c r="K302" t="str">
        <f>IF(LEN(E302)&lt;&gt;0,_xlfn.XLOOKUP(E302,[1]!Entities[ID_with_x],[1]!Entities[Name_w_County],_xlfn.CONCAT("Entity ID ",RIGHT(Table3[[#This Row],[Sponsor_1_num]],8)," not found")),"")</f>
        <v>Liberty County</v>
      </c>
      <c r="L302" t="str">
        <f>IF(LEN(F302)&lt;&gt;0,_xlfn.XLOOKUP(F302,[1]!Entities[ID_with_x],[1]!Entities[Name_w_County],_xlfn.CONCAT("Entity ID ",RIGHT(Table3[[#This Row],[Sponsor_1_num]],8)," not found")),"")</f>
        <v/>
      </c>
      <c r="M302" t="str">
        <f>IF(LEN(G302)&lt;&gt;0,_xlfn.XLOOKUP(G302,[1]!Entities[ID_with_x],[1]!Entities[Name_w_County],_xlfn.CONCAT("Entity ID ",RIGHT(Table3[[#This Row],[Sponsor_1_num]],8)," not found")),"")</f>
        <v/>
      </c>
      <c r="N302" t="str">
        <f>IF(LEN(H302)&lt;&gt;0,_xlfn.XLOOKUP(H302,[1]!Entities[ID_with_x],[1]!Entities[Name_w_County],_xlfn.CONCAT("Entity ID ",RIGHT(Table3[[#This Row],[Sponsor_1_num]],8)," not found")),"")</f>
        <v/>
      </c>
      <c r="O302" t="str">
        <f>IF(LEN(I302)&lt;&gt;0,_xlfn.XLOOKUP(I302,[1]!Entities[ID_with_x],[1]!Entities[Name_w_County],_xlfn.CONCAT("Entity ID ",RIGHT(Table3[[#This Row],[Sponsor_1_num]],8)," not found")),"")</f>
        <v/>
      </c>
      <c r="P302" t="str">
        <f>IF(LEN(J302)&lt;&gt;0,_xlfn.XLOOKUP(J302,[1]!Entities[ID_with_x],[1]!Entities[Name_w_County],_xlfn.CONCAT("Entity ID ",RIGHT(Table3[[#This Row],[Sponsor_1_num]],8)," not found")),"")</f>
        <v/>
      </c>
      <c r="Q302" t="str">
        <f>IF(LEN(K302)&gt;0,_xlfn.TEXTJOIN(", ",TRUE,K302:P302),Table3[[#This Row],[SPONSOR_LIST]])</f>
        <v>Liberty County</v>
      </c>
    </row>
    <row r="303" spans="1:17" x14ac:dyDescent="0.25">
      <c r="A303" s="304" t="s">
        <v>2715</v>
      </c>
      <c r="B303" t="s">
        <v>2630</v>
      </c>
      <c r="C303" t="str">
        <f t="shared" si="5"/>
        <v>x05002929</v>
      </c>
      <c r="D303" t="str">
        <f>SUBSTITUTE(SUBSTITUTE(Table3[[#This Row],[Sponsor_list_tranform]],",",",x")," ","")</f>
        <v>x05002929</v>
      </c>
      <c r="E303" t="s">
        <v>11708</v>
      </c>
      <c r="K303" t="str">
        <f>IF(LEN(E303)&lt;&gt;0,_xlfn.XLOOKUP(E303,[1]!Entities[ID_with_x],[1]!Entities[Name_w_County],_xlfn.CONCAT("Entity ID ",RIGHT(Table3[[#This Row],[Sponsor_1_num]],8)," not found")),"")</f>
        <v>Nacogdoches</v>
      </c>
      <c r="L303" t="str">
        <f>IF(LEN(F303)&lt;&gt;0,_xlfn.XLOOKUP(F303,[1]!Entities[ID_with_x],[1]!Entities[Name_w_County],_xlfn.CONCAT("Entity ID ",RIGHT(Table3[[#This Row],[Sponsor_1_num]],8)," not found")),"")</f>
        <v/>
      </c>
      <c r="M303" t="str">
        <f>IF(LEN(G303)&lt;&gt;0,_xlfn.XLOOKUP(G303,[1]!Entities[ID_with_x],[1]!Entities[Name_w_County],_xlfn.CONCAT("Entity ID ",RIGHT(Table3[[#This Row],[Sponsor_1_num]],8)," not found")),"")</f>
        <v/>
      </c>
      <c r="N303" t="str">
        <f>IF(LEN(H303)&lt;&gt;0,_xlfn.XLOOKUP(H303,[1]!Entities[ID_with_x],[1]!Entities[Name_w_County],_xlfn.CONCAT("Entity ID ",RIGHT(Table3[[#This Row],[Sponsor_1_num]],8)," not found")),"")</f>
        <v/>
      </c>
      <c r="O303" t="str">
        <f>IF(LEN(I303)&lt;&gt;0,_xlfn.XLOOKUP(I303,[1]!Entities[ID_with_x],[1]!Entities[Name_w_County],_xlfn.CONCAT("Entity ID ",RIGHT(Table3[[#This Row],[Sponsor_1_num]],8)," not found")),"")</f>
        <v/>
      </c>
      <c r="P303" t="str">
        <f>IF(LEN(J303)&lt;&gt;0,_xlfn.XLOOKUP(J303,[1]!Entities[ID_with_x],[1]!Entities[Name_w_County],_xlfn.CONCAT("Entity ID ",RIGHT(Table3[[#This Row],[Sponsor_1_num]],8)," not found")),"")</f>
        <v/>
      </c>
      <c r="Q303" t="str">
        <f>IF(LEN(K303)&gt;0,_xlfn.TEXTJOIN(", ",TRUE,K303:P303),Table3[[#This Row],[SPONSOR_LIST]])</f>
        <v>Nacogdoches</v>
      </c>
    </row>
    <row r="304" spans="1:17" x14ac:dyDescent="0.25">
      <c r="A304" s="304" t="s">
        <v>2699</v>
      </c>
      <c r="B304" t="s">
        <v>2694</v>
      </c>
      <c r="C304" t="str">
        <f t="shared" si="5"/>
        <v>x00000136</v>
      </c>
      <c r="D304" t="str">
        <f>SUBSTITUTE(SUBSTITUTE(Table3[[#This Row],[Sponsor_list_tranform]],",",",x")," ","")</f>
        <v>x00000136</v>
      </c>
      <c r="E304" t="s">
        <v>11638</v>
      </c>
      <c r="K304" t="str">
        <f>IF(LEN(E304)&lt;&gt;0,_xlfn.XLOOKUP(E304,[1]!Entities[ID_with_x],[1]!Entities[Name_w_County],_xlfn.CONCAT("Entity ID ",RIGHT(Table3[[#This Row],[Sponsor_1_num]],8)," not found")),"")</f>
        <v>San Augustine County</v>
      </c>
      <c r="L304" t="str">
        <f>IF(LEN(F304)&lt;&gt;0,_xlfn.XLOOKUP(F304,[1]!Entities[ID_with_x],[1]!Entities[Name_w_County],_xlfn.CONCAT("Entity ID ",RIGHT(Table3[[#This Row],[Sponsor_1_num]],8)," not found")),"")</f>
        <v/>
      </c>
      <c r="M304" t="str">
        <f>IF(LEN(G304)&lt;&gt;0,_xlfn.XLOOKUP(G304,[1]!Entities[ID_with_x],[1]!Entities[Name_w_County],_xlfn.CONCAT("Entity ID ",RIGHT(Table3[[#This Row],[Sponsor_1_num]],8)," not found")),"")</f>
        <v/>
      </c>
      <c r="N304" t="str">
        <f>IF(LEN(H304)&lt;&gt;0,_xlfn.XLOOKUP(H304,[1]!Entities[ID_with_x],[1]!Entities[Name_w_County],_xlfn.CONCAT("Entity ID ",RIGHT(Table3[[#This Row],[Sponsor_1_num]],8)," not found")),"")</f>
        <v/>
      </c>
      <c r="O304" t="str">
        <f>IF(LEN(I304)&lt;&gt;0,_xlfn.XLOOKUP(I304,[1]!Entities[ID_with_x],[1]!Entities[Name_w_County],_xlfn.CONCAT("Entity ID ",RIGHT(Table3[[#This Row],[Sponsor_1_num]],8)," not found")),"")</f>
        <v/>
      </c>
      <c r="P304" t="str">
        <f>IF(LEN(J304)&lt;&gt;0,_xlfn.XLOOKUP(J304,[1]!Entities[ID_with_x],[1]!Entities[Name_w_County],_xlfn.CONCAT("Entity ID ",RIGHT(Table3[[#This Row],[Sponsor_1_num]],8)," not found")),"")</f>
        <v/>
      </c>
      <c r="Q304" t="str">
        <f>IF(LEN(K304)&gt;0,_xlfn.TEXTJOIN(", ",TRUE,K304:P304),Table3[[#This Row],[SPONSOR_LIST]])</f>
        <v>San Augustine County</v>
      </c>
    </row>
    <row r="305" spans="1:17" x14ac:dyDescent="0.25">
      <c r="A305" s="304" t="s">
        <v>2696</v>
      </c>
      <c r="B305" t="s">
        <v>2694</v>
      </c>
      <c r="C305" t="str">
        <f t="shared" si="5"/>
        <v>x00000136</v>
      </c>
      <c r="D305" t="str">
        <f>SUBSTITUTE(SUBSTITUTE(Table3[[#This Row],[Sponsor_list_tranform]],",",",x")," ","")</f>
        <v>x00000136</v>
      </c>
      <c r="E305" t="s">
        <v>11638</v>
      </c>
      <c r="K305" t="str">
        <f>IF(LEN(E305)&lt;&gt;0,_xlfn.XLOOKUP(E305,[1]!Entities[ID_with_x],[1]!Entities[Name_w_County],_xlfn.CONCAT("Entity ID ",RIGHT(Table3[[#This Row],[Sponsor_1_num]],8)," not found")),"")</f>
        <v>San Augustine County</v>
      </c>
      <c r="L305" t="str">
        <f>IF(LEN(F305)&lt;&gt;0,_xlfn.XLOOKUP(F305,[1]!Entities[ID_with_x],[1]!Entities[Name_w_County],_xlfn.CONCAT("Entity ID ",RIGHT(Table3[[#This Row],[Sponsor_1_num]],8)," not found")),"")</f>
        <v/>
      </c>
      <c r="M305" t="str">
        <f>IF(LEN(G305)&lt;&gt;0,_xlfn.XLOOKUP(G305,[1]!Entities[ID_with_x],[1]!Entities[Name_w_County],_xlfn.CONCAT("Entity ID ",RIGHT(Table3[[#This Row],[Sponsor_1_num]],8)," not found")),"")</f>
        <v/>
      </c>
      <c r="N305" t="str">
        <f>IF(LEN(H305)&lt;&gt;0,_xlfn.XLOOKUP(H305,[1]!Entities[ID_with_x],[1]!Entities[Name_w_County],_xlfn.CONCAT("Entity ID ",RIGHT(Table3[[#This Row],[Sponsor_1_num]],8)," not found")),"")</f>
        <v/>
      </c>
      <c r="O305" t="str">
        <f>IF(LEN(I305)&lt;&gt;0,_xlfn.XLOOKUP(I305,[1]!Entities[ID_with_x],[1]!Entities[Name_w_County],_xlfn.CONCAT("Entity ID ",RIGHT(Table3[[#This Row],[Sponsor_1_num]],8)," not found")),"")</f>
        <v/>
      </c>
      <c r="P305" t="str">
        <f>IF(LEN(J305)&lt;&gt;0,_xlfn.XLOOKUP(J305,[1]!Entities[ID_with_x],[1]!Entities[Name_w_County],_xlfn.CONCAT("Entity ID ",RIGHT(Table3[[#This Row],[Sponsor_1_num]],8)," not found")),"")</f>
        <v/>
      </c>
      <c r="Q305" t="str">
        <f>IF(LEN(K305)&gt;0,_xlfn.TEXTJOIN(", ",TRUE,K305:P305),Table3[[#This Row],[SPONSOR_LIST]])</f>
        <v>San Augustine County</v>
      </c>
    </row>
    <row r="306" spans="1:17" x14ac:dyDescent="0.25">
      <c r="A306" s="304" t="s">
        <v>2707</v>
      </c>
      <c r="B306" t="s">
        <v>2706</v>
      </c>
      <c r="C306" t="str">
        <f t="shared" si="5"/>
        <v>x00000153</v>
      </c>
      <c r="D306" t="str">
        <f>SUBSTITUTE(SUBSTITUTE(Table3[[#This Row],[Sponsor_list_tranform]],",",",x")," ","")</f>
        <v>x00000153</v>
      </c>
      <c r="E306" t="s">
        <v>11639</v>
      </c>
      <c r="K306" t="str">
        <f>IF(LEN(E306)&lt;&gt;0,_xlfn.XLOOKUP(E306,[1]!Entities[ID_with_x],[1]!Entities[Name_w_County],_xlfn.CONCAT("Entity ID ",RIGHT(Table3[[#This Row],[Sponsor_1_num]],8)," not found")),"")</f>
        <v>Shelby County</v>
      </c>
      <c r="L306" t="str">
        <f>IF(LEN(F306)&lt;&gt;0,_xlfn.XLOOKUP(F306,[1]!Entities[ID_with_x],[1]!Entities[Name_w_County],_xlfn.CONCAT("Entity ID ",RIGHT(Table3[[#This Row],[Sponsor_1_num]],8)," not found")),"")</f>
        <v/>
      </c>
      <c r="M306" t="str">
        <f>IF(LEN(G306)&lt;&gt;0,_xlfn.XLOOKUP(G306,[1]!Entities[ID_with_x],[1]!Entities[Name_w_County],_xlfn.CONCAT("Entity ID ",RIGHT(Table3[[#This Row],[Sponsor_1_num]],8)," not found")),"")</f>
        <v/>
      </c>
      <c r="N306" t="str">
        <f>IF(LEN(H306)&lt;&gt;0,_xlfn.XLOOKUP(H306,[1]!Entities[ID_with_x],[1]!Entities[Name_w_County],_xlfn.CONCAT("Entity ID ",RIGHT(Table3[[#This Row],[Sponsor_1_num]],8)," not found")),"")</f>
        <v/>
      </c>
      <c r="O306" t="str">
        <f>IF(LEN(I306)&lt;&gt;0,_xlfn.XLOOKUP(I306,[1]!Entities[ID_with_x],[1]!Entities[Name_w_County],_xlfn.CONCAT("Entity ID ",RIGHT(Table3[[#This Row],[Sponsor_1_num]],8)," not found")),"")</f>
        <v/>
      </c>
      <c r="P306" t="str">
        <f>IF(LEN(J306)&lt;&gt;0,_xlfn.XLOOKUP(J306,[1]!Entities[ID_with_x],[1]!Entities[Name_w_County],_xlfn.CONCAT("Entity ID ",RIGHT(Table3[[#This Row],[Sponsor_1_num]],8)," not found")),"")</f>
        <v/>
      </c>
      <c r="Q306" t="str">
        <f>IF(LEN(K306)&gt;0,_xlfn.TEXTJOIN(", ",TRUE,K306:P306),Table3[[#This Row],[SPONSOR_LIST]])</f>
        <v>Shelby County</v>
      </c>
    </row>
    <row r="307" spans="1:17" x14ac:dyDescent="0.25">
      <c r="A307" s="304" t="s">
        <v>2669</v>
      </c>
      <c r="B307" t="s">
        <v>2668</v>
      </c>
      <c r="C307" t="str">
        <f t="shared" si="5"/>
        <v>x00000065</v>
      </c>
      <c r="D307" t="str">
        <f>SUBSTITUTE(SUBSTITUTE(Table3[[#This Row],[Sponsor_list_tranform]],",",",x")," ","")</f>
        <v>x00000065</v>
      </c>
      <c r="E307" t="s">
        <v>11641</v>
      </c>
      <c r="K307" t="str">
        <f>IF(LEN(E307)&lt;&gt;0,_xlfn.XLOOKUP(E307,[1]!Entities[ID_with_x],[1]!Entities[Name_w_County],_xlfn.CONCAT("Entity ID ",RIGHT(Table3[[#This Row],[Sponsor_1_num]],8)," not found")),"")</f>
        <v>Trinity County</v>
      </c>
      <c r="L307" t="str">
        <f>IF(LEN(F307)&lt;&gt;0,_xlfn.XLOOKUP(F307,[1]!Entities[ID_with_x],[1]!Entities[Name_w_County],_xlfn.CONCAT("Entity ID ",RIGHT(Table3[[#This Row],[Sponsor_1_num]],8)," not found")),"")</f>
        <v/>
      </c>
      <c r="M307" t="str">
        <f>IF(LEN(G307)&lt;&gt;0,_xlfn.XLOOKUP(G307,[1]!Entities[ID_with_x],[1]!Entities[Name_w_County],_xlfn.CONCAT("Entity ID ",RIGHT(Table3[[#This Row],[Sponsor_1_num]],8)," not found")),"")</f>
        <v/>
      </c>
      <c r="N307" t="str">
        <f>IF(LEN(H307)&lt;&gt;0,_xlfn.XLOOKUP(H307,[1]!Entities[ID_with_x],[1]!Entities[Name_w_County],_xlfn.CONCAT("Entity ID ",RIGHT(Table3[[#This Row],[Sponsor_1_num]],8)," not found")),"")</f>
        <v/>
      </c>
      <c r="O307" t="str">
        <f>IF(LEN(I307)&lt;&gt;0,_xlfn.XLOOKUP(I307,[1]!Entities[ID_with_x],[1]!Entities[Name_w_County],_xlfn.CONCAT("Entity ID ",RIGHT(Table3[[#This Row],[Sponsor_1_num]],8)," not found")),"")</f>
        <v/>
      </c>
      <c r="P307" t="str">
        <f>IF(LEN(J307)&lt;&gt;0,_xlfn.XLOOKUP(J307,[1]!Entities[ID_with_x],[1]!Entities[Name_w_County],_xlfn.CONCAT("Entity ID ",RIGHT(Table3[[#This Row],[Sponsor_1_num]],8)," not found")),"")</f>
        <v/>
      </c>
      <c r="Q307" t="str">
        <f>IF(LEN(K307)&gt;0,_xlfn.TEXTJOIN(", ",TRUE,K307:P307),Table3[[#This Row],[SPONSOR_LIST]])</f>
        <v>Trinity County</v>
      </c>
    </row>
    <row r="308" spans="1:17" x14ac:dyDescent="0.25">
      <c r="A308" s="304" t="s">
        <v>2726</v>
      </c>
      <c r="B308" t="s">
        <v>2725</v>
      </c>
      <c r="C308" t="str">
        <f t="shared" si="5"/>
        <v>x00003580</v>
      </c>
      <c r="D308" t="str">
        <f>SUBSTITUTE(SUBSTITUTE(Table3[[#This Row],[Sponsor_list_tranform]],",",",x")," ","")</f>
        <v>x00003580</v>
      </c>
      <c r="E308" t="s">
        <v>11722</v>
      </c>
      <c r="K308" t="str">
        <f>IF(LEN(E308)&lt;&gt;0,_xlfn.XLOOKUP(E308,[1]!Entities[ID_with_x],[1]!Entities[Name_w_County],_xlfn.CONCAT("Entity ID ",RIGHT(Table3[[#This Row],[Sponsor_1_num]],8)," not found")),"")</f>
        <v>Groveton</v>
      </c>
      <c r="L308" t="str">
        <f>IF(LEN(F308)&lt;&gt;0,_xlfn.XLOOKUP(F308,[1]!Entities[ID_with_x],[1]!Entities[Name_w_County],_xlfn.CONCAT("Entity ID ",RIGHT(Table3[[#This Row],[Sponsor_1_num]],8)," not found")),"")</f>
        <v/>
      </c>
      <c r="M308" t="str">
        <f>IF(LEN(G308)&lt;&gt;0,_xlfn.XLOOKUP(G308,[1]!Entities[ID_with_x],[1]!Entities[Name_w_County],_xlfn.CONCAT("Entity ID ",RIGHT(Table3[[#This Row],[Sponsor_1_num]],8)," not found")),"")</f>
        <v/>
      </c>
      <c r="N308" t="str">
        <f>IF(LEN(H308)&lt;&gt;0,_xlfn.XLOOKUP(H308,[1]!Entities[ID_with_x],[1]!Entities[Name_w_County],_xlfn.CONCAT("Entity ID ",RIGHT(Table3[[#This Row],[Sponsor_1_num]],8)," not found")),"")</f>
        <v/>
      </c>
      <c r="O308" t="str">
        <f>IF(LEN(I308)&lt;&gt;0,_xlfn.XLOOKUP(I308,[1]!Entities[ID_with_x],[1]!Entities[Name_w_County],_xlfn.CONCAT("Entity ID ",RIGHT(Table3[[#This Row],[Sponsor_1_num]],8)," not found")),"")</f>
        <v/>
      </c>
      <c r="P308" t="str">
        <f>IF(LEN(J308)&lt;&gt;0,_xlfn.XLOOKUP(J308,[1]!Entities[ID_with_x],[1]!Entities[Name_w_County],_xlfn.CONCAT("Entity ID ",RIGHT(Table3[[#This Row],[Sponsor_1_num]],8)," not found")),"")</f>
        <v/>
      </c>
      <c r="Q308" t="str">
        <f>IF(LEN(K308)&gt;0,_xlfn.TEXTJOIN(", ",TRUE,K308:P308),Table3[[#This Row],[SPONSOR_LIST]])</f>
        <v>Groveton</v>
      </c>
    </row>
    <row r="309" spans="1:17" x14ac:dyDescent="0.25">
      <c r="A309" s="304" t="s">
        <v>2798</v>
      </c>
      <c r="B309" t="s">
        <v>1776</v>
      </c>
      <c r="C309" t="str">
        <f t="shared" si="5"/>
        <v>x00000156</v>
      </c>
      <c r="D309" t="str">
        <f>SUBSTITUTE(SUBSTITUTE(Table3[[#This Row],[Sponsor_list_tranform]],",",",x")," ","")</f>
        <v>x00000156</v>
      </c>
      <c r="E309" t="s">
        <v>11709</v>
      </c>
      <c r="K309" t="str">
        <f>IF(LEN(E309)&lt;&gt;0,_xlfn.XLOOKUP(E309,[1]!Entities[ID_with_x],[1]!Entities[Name_w_County],_xlfn.CONCAT("Entity ID ",RIGHT(Table3[[#This Row],[Sponsor_1_num]],8)," not found")),"")</f>
        <v>Anderson County</v>
      </c>
      <c r="L309" t="str">
        <f>IF(LEN(F309)&lt;&gt;0,_xlfn.XLOOKUP(F309,[1]!Entities[ID_with_x],[1]!Entities[Name_w_County],_xlfn.CONCAT("Entity ID ",RIGHT(Table3[[#This Row],[Sponsor_1_num]],8)," not found")),"")</f>
        <v/>
      </c>
      <c r="M309" t="str">
        <f>IF(LEN(G309)&lt;&gt;0,_xlfn.XLOOKUP(G309,[1]!Entities[ID_with_x],[1]!Entities[Name_w_County],_xlfn.CONCAT("Entity ID ",RIGHT(Table3[[#This Row],[Sponsor_1_num]],8)," not found")),"")</f>
        <v/>
      </c>
      <c r="N309" t="str">
        <f>IF(LEN(H309)&lt;&gt;0,_xlfn.XLOOKUP(H309,[1]!Entities[ID_with_x],[1]!Entities[Name_w_County],_xlfn.CONCAT("Entity ID ",RIGHT(Table3[[#This Row],[Sponsor_1_num]],8)," not found")),"")</f>
        <v/>
      </c>
      <c r="O309" t="str">
        <f>IF(LEN(I309)&lt;&gt;0,_xlfn.XLOOKUP(I309,[1]!Entities[ID_with_x],[1]!Entities[Name_w_County],_xlfn.CONCAT("Entity ID ",RIGHT(Table3[[#This Row],[Sponsor_1_num]],8)," not found")),"")</f>
        <v/>
      </c>
      <c r="P309" t="str">
        <f>IF(LEN(J309)&lt;&gt;0,_xlfn.XLOOKUP(J309,[1]!Entities[ID_with_x],[1]!Entities[Name_w_County],_xlfn.CONCAT("Entity ID ",RIGHT(Table3[[#This Row],[Sponsor_1_num]],8)," not found")),"")</f>
        <v/>
      </c>
      <c r="Q309" t="str">
        <f>IF(LEN(K309)&gt;0,_xlfn.TEXTJOIN(", ",TRUE,K309:P309),Table3[[#This Row],[SPONSOR_LIST]])</f>
        <v>Anderson County</v>
      </c>
    </row>
    <row r="310" spans="1:17" x14ac:dyDescent="0.25">
      <c r="A310" s="304" t="s">
        <v>2634</v>
      </c>
      <c r="B310" t="s">
        <v>1776</v>
      </c>
      <c r="C310" t="str">
        <f t="shared" si="5"/>
        <v>x00000156</v>
      </c>
      <c r="D310" t="str">
        <f>SUBSTITUTE(SUBSTITUTE(Table3[[#This Row],[Sponsor_list_tranform]],",",",x")," ","")</f>
        <v>x00000156</v>
      </c>
      <c r="E310" t="s">
        <v>11709</v>
      </c>
      <c r="K310" t="str">
        <f>IF(LEN(E310)&lt;&gt;0,_xlfn.XLOOKUP(E310,[1]!Entities[ID_with_x],[1]!Entities[Name_w_County],_xlfn.CONCAT("Entity ID ",RIGHT(Table3[[#This Row],[Sponsor_1_num]],8)," not found")),"")</f>
        <v>Anderson County</v>
      </c>
      <c r="L310" t="str">
        <f>IF(LEN(F310)&lt;&gt;0,_xlfn.XLOOKUP(F310,[1]!Entities[ID_with_x],[1]!Entities[Name_w_County],_xlfn.CONCAT("Entity ID ",RIGHT(Table3[[#This Row],[Sponsor_1_num]],8)," not found")),"")</f>
        <v/>
      </c>
      <c r="M310" t="str">
        <f>IF(LEN(G310)&lt;&gt;0,_xlfn.XLOOKUP(G310,[1]!Entities[ID_with_x],[1]!Entities[Name_w_County],_xlfn.CONCAT("Entity ID ",RIGHT(Table3[[#This Row],[Sponsor_1_num]],8)," not found")),"")</f>
        <v/>
      </c>
      <c r="N310" t="str">
        <f>IF(LEN(H310)&lt;&gt;0,_xlfn.XLOOKUP(H310,[1]!Entities[ID_with_x],[1]!Entities[Name_w_County],_xlfn.CONCAT("Entity ID ",RIGHT(Table3[[#This Row],[Sponsor_1_num]],8)," not found")),"")</f>
        <v/>
      </c>
      <c r="O310" t="str">
        <f>IF(LEN(I310)&lt;&gt;0,_xlfn.XLOOKUP(I310,[1]!Entities[ID_with_x],[1]!Entities[Name_w_County],_xlfn.CONCAT("Entity ID ",RIGHT(Table3[[#This Row],[Sponsor_1_num]],8)," not found")),"")</f>
        <v/>
      </c>
      <c r="P310" t="str">
        <f>IF(LEN(J310)&lt;&gt;0,_xlfn.XLOOKUP(J310,[1]!Entities[ID_with_x],[1]!Entities[Name_w_County],_xlfn.CONCAT("Entity ID ",RIGHT(Table3[[#This Row],[Sponsor_1_num]],8)," not found")),"")</f>
        <v/>
      </c>
      <c r="Q310" t="str">
        <f>IF(LEN(K310)&gt;0,_xlfn.TEXTJOIN(", ",TRUE,K310:P310),Table3[[#This Row],[SPONSOR_LIST]])</f>
        <v>Anderson County</v>
      </c>
    </row>
    <row r="311" spans="1:17" x14ac:dyDescent="0.25">
      <c r="A311" s="304" t="s">
        <v>2866</v>
      </c>
      <c r="B311" t="s">
        <v>2721</v>
      </c>
      <c r="C311" t="str">
        <f t="shared" si="5"/>
        <v>x05003405</v>
      </c>
      <c r="D311" t="str">
        <f>SUBSTITUTE(SUBSTITUTE(Table3[[#This Row],[Sponsor_list_tranform]],",",",x")," ","")</f>
        <v>x05003405</v>
      </c>
      <c r="E311" t="s">
        <v>11710</v>
      </c>
      <c r="K311" t="str">
        <f>IF(LEN(E311)&lt;&gt;0,_xlfn.XLOOKUP(E311,[1]!Entities[ID_with_x],[1]!Entities[Name_w_County],_xlfn.CONCAT("Entity ID ",RIGHT(Table3[[#This Row],[Sponsor_1_num]],8)," not found")),"")</f>
        <v>Frankston</v>
      </c>
      <c r="L311" t="str">
        <f>IF(LEN(F311)&lt;&gt;0,_xlfn.XLOOKUP(F311,[1]!Entities[ID_with_x],[1]!Entities[Name_w_County],_xlfn.CONCAT("Entity ID ",RIGHT(Table3[[#This Row],[Sponsor_1_num]],8)," not found")),"")</f>
        <v/>
      </c>
      <c r="M311" t="str">
        <f>IF(LEN(G311)&lt;&gt;0,_xlfn.XLOOKUP(G311,[1]!Entities[ID_with_x],[1]!Entities[Name_w_County],_xlfn.CONCAT("Entity ID ",RIGHT(Table3[[#This Row],[Sponsor_1_num]],8)," not found")),"")</f>
        <v/>
      </c>
      <c r="N311" t="str">
        <f>IF(LEN(H311)&lt;&gt;0,_xlfn.XLOOKUP(H311,[1]!Entities[ID_with_x],[1]!Entities[Name_w_County],_xlfn.CONCAT("Entity ID ",RIGHT(Table3[[#This Row],[Sponsor_1_num]],8)," not found")),"")</f>
        <v/>
      </c>
      <c r="O311" t="str">
        <f>IF(LEN(I311)&lt;&gt;0,_xlfn.XLOOKUP(I311,[1]!Entities[ID_with_x],[1]!Entities[Name_w_County],_xlfn.CONCAT("Entity ID ",RIGHT(Table3[[#This Row],[Sponsor_1_num]],8)," not found")),"")</f>
        <v/>
      </c>
      <c r="P311" t="str">
        <f>IF(LEN(J311)&lt;&gt;0,_xlfn.XLOOKUP(J311,[1]!Entities[ID_with_x],[1]!Entities[Name_w_County],_xlfn.CONCAT("Entity ID ",RIGHT(Table3[[#This Row],[Sponsor_1_num]],8)," not found")),"")</f>
        <v/>
      </c>
      <c r="Q311" t="str">
        <f>IF(LEN(K311)&gt;0,_xlfn.TEXTJOIN(", ",TRUE,K311:P311),Table3[[#This Row],[SPONSOR_LIST]])</f>
        <v>Frankston</v>
      </c>
    </row>
    <row r="312" spans="1:17" x14ac:dyDescent="0.25">
      <c r="A312" s="304" t="s">
        <v>2852</v>
      </c>
      <c r="B312" t="s">
        <v>2858</v>
      </c>
      <c r="C312" t="str">
        <f t="shared" si="5"/>
        <v>x00003346</v>
      </c>
      <c r="D312" t="str">
        <f>SUBSTITUTE(SUBSTITUTE(Table3[[#This Row],[Sponsor_list_tranform]],",",",x")," ","")</f>
        <v>x00003346</v>
      </c>
      <c r="E312" t="s">
        <v>11711</v>
      </c>
      <c r="K312" t="str">
        <f>IF(LEN(E312)&lt;&gt;0,_xlfn.XLOOKUP(E312,[1]!Entities[ID_with_x],[1]!Entities[Name_w_County],_xlfn.CONCAT("Entity ID ",RIGHT(Table3[[#This Row],[Sponsor_1_num]],8)," not found")),"")</f>
        <v>Palestine</v>
      </c>
      <c r="L312" t="str">
        <f>IF(LEN(F312)&lt;&gt;0,_xlfn.XLOOKUP(F312,[1]!Entities[ID_with_x],[1]!Entities[Name_w_County],_xlfn.CONCAT("Entity ID ",RIGHT(Table3[[#This Row],[Sponsor_1_num]],8)," not found")),"")</f>
        <v/>
      </c>
      <c r="M312" t="str">
        <f>IF(LEN(G312)&lt;&gt;0,_xlfn.XLOOKUP(G312,[1]!Entities[ID_with_x],[1]!Entities[Name_w_County],_xlfn.CONCAT("Entity ID ",RIGHT(Table3[[#This Row],[Sponsor_1_num]],8)," not found")),"")</f>
        <v/>
      </c>
      <c r="N312" t="str">
        <f>IF(LEN(H312)&lt;&gt;0,_xlfn.XLOOKUP(H312,[1]!Entities[ID_with_x],[1]!Entities[Name_w_County],_xlfn.CONCAT("Entity ID ",RIGHT(Table3[[#This Row],[Sponsor_1_num]],8)," not found")),"")</f>
        <v/>
      </c>
      <c r="O312" t="str">
        <f>IF(LEN(I312)&lt;&gt;0,_xlfn.XLOOKUP(I312,[1]!Entities[ID_with_x],[1]!Entities[Name_w_County],_xlfn.CONCAT("Entity ID ",RIGHT(Table3[[#This Row],[Sponsor_1_num]],8)," not found")),"")</f>
        <v/>
      </c>
      <c r="P312" t="str">
        <f>IF(LEN(J312)&lt;&gt;0,_xlfn.XLOOKUP(J312,[1]!Entities[ID_with_x],[1]!Entities[Name_w_County],_xlfn.CONCAT("Entity ID ",RIGHT(Table3[[#This Row],[Sponsor_1_num]],8)," not found")),"")</f>
        <v/>
      </c>
      <c r="Q312" t="str">
        <f>IF(LEN(K312)&gt;0,_xlfn.TEXTJOIN(", ",TRUE,K312:P312),Table3[[#This Row],[SPONSOR_LIST]])</f>
        <v>Palestine</v>
      </c>
    </row>
    <row r="313" spans="1:17" x14ac:dyDescent="0.25">
      <c r="A313" s="304" t="s">
        <v>2758</v>
      </c>
      <c r="B313" t="s">
        <v>2678</v>
      </c>
      <c r="C313" t="str">
        <f t="shared" si="5"/>
        <v>x05000125</v>
      </c>
      <c r="D313" t="str">
        <f>SUBSTITUTE(SUBSTITUTE(Table3[[#This Row],[Sponsor_list_tranform]],",",",x")," ","")</f>
        <v>x05000125</v>
      </c>
      <c r="E313" t="s">
        <v>11611</v>
      </c>
      <c r="K313" t="str">
        <f>IF(LEN(E313)&lt;&gt;0,_xlfn.XLOOKUP(E313,[1]!Entities[ID_with_x],[1]!Entities[Name_w_County],_xlfn.CONCAT("Entity ID ",RIGHT(Table3[[#This Row],[Sponsor_1_num]],8)," not found")),"")</f>
        <v>Angelina County</v>
      </c>
      <c r="L313" t="str">
        <f>IF(LEN(F313)&lt;&gt;0,_xlfn.XLOOKUP(F313,[1]!Entities[ID_with_x],[1]!Entities[Name_w_County],_xlfn.CONCAT("Entity ID ",RIGHT(Table3[[#This Row],[Sponsor_1_num]],8)," not found")),"")</f>
        <v/>
      </c>
      <c r="M313" t="str">
        <f>IF(LEN(G313)&lt;&gt;0,_xlfn.XLOOKUP(G313,[1]!Entities[ID_with_x],[1]!Entities[Name_w_County],_xlfn.CONCAT("Entity ID ",RIGHT(Table3[[#This Row],[Sponsor_1_num]],8)," not found")),"")</f>
        <v/>
      </c>
      <c r="N313" t="str">
        <f>IF(LEN(H313)&lt;&gt;0,_xlfn.XLOOKUP(H313,[1]!Entities[ID_with_x],[1]!Entities[Name_w_County],_xlfn.CONCAT("Entity ID ",RIGHT(Table3[[#This Row],[Sponsor_1_num]],8)," not found")),"")</f>
        <v/>
      </c>
      <c r="O313" t="str">
        <f>IF(LEN(I313)&lt;&gt;0,_xlfn.XLOOKUP(I313,[1]!Entities[ID_with_x],[1]!Entities[Name_w_County],_xlfn.CONCAT("Entity ID ",RIGHT(Table3[[#This Row],[Sponsor_1_num]],8)," not found")),"")</f>
        <v/>
      </c>
      <c r="P313" t="str">
        <f>IF(LEN(J313)&lt;&gt;0,_xlfn.XLOOKUP(J313,[1]!Entities[ID_with_x],[1]!Entities[Name_w_County],_xlfn.CONCAT("Entity ID ",RIGHT(Table3[[#This Row],[Sponsor_1_num]],8)," not found")),"")</f>
        <v/>
      </c>
      <c r="Q313" t="str">
        <f>IF(LEN(K313)&gt;0,_xlfn.TEXTJOIN(", ",TRUE,K313:P313),Table3[[#This Row],[SPONSOR_LIST]])</f>
        <v>Angelina County</v>
      </c>
    </row>
    <row r="314" spans="1:17" x14ac:dyDescent="0.25">
      <c r="A314" s="304" t="s">
        <v>2838</v>
      </c>
      <c r="B314" t="s">
        <v>2843</v>
      </c>
      <c r="C314" t="str">
        <f t="shared" si="5"/>
        <v>x05003195</v>
      </c>
      <c r="D314" t="str">
        <f>SUBSTITUTE(SUBSTITUTE(Table3[[#This Row],[Sponsor_list_tranform]],",",",x")," ","")</f>
        <v>x05003195</v>
      </c>
      <c r="E314" t="s">
        <v>11712</v>
      </c>
      <c r="K314" t="str">
        <f>IF(LEN(E314)&lt;&gt;0,_xlfn.XLOOKUP(E314,[1]!Entities[ID_with_x],[1]!Entities[Name_w_County],_xlfn.CONCAT("Entity ID ",RIGHT(Table3[[#This Row],[Sponsor_1_num]],8)," not found")),"")</f>
        <v>Burke</v>
      </c>
      <c r="L314" t="str">
        <f>IF(LEN(F314)&lt;&gt;0,_xlfn.XLOOKUP(F314,[1]!Entities[ID_with_x],[1]!Entities[Name_w_County],_xlfn.CONCAT("Entity ID ",RIGHT(Table3[[#This Row],[Sponsor_1_num]],8)," not found")),"")</f>
        <v/>
      </c>
      <c r="M314" t="str">
        <f>IF(LEN(G314)&lt;&gt;0,_xlfn.XLOOKUP(G314,[1]!Entities[ID_with_x],[1]!Entities[Name_w_County],_xlfn.CONCAT("Entity ID ",RIGHT(Table3[[#This Row],[Sponsor_1_num]],8)," not found")),"")</f>
        <v/>
      </c>
      <c r="N314" t="str">
        <f>IF(LEN(H314)&lt;&gt;0,_xlfn.XLOOKUP(H314,[1]!Entities[ID_with_x],[1]!Entities[Name_w_County],_xlfn.CONCAT("Entity ID ",RIGHT(Table3[[#This Row],[Sponsor_1_num]],8)," not found")),"")</f>
        <v/>
      </c>
      <c r="O314" t="str">
        <f>IF(LEN(I314)&lt;&gt;0,_xlfn.XLOOKUP(I314,[1]!Entities[ID_with_x],[1]!Entities[Name_w_County],_xlfn.CONCAT("Entity ID ",RIGHT(Table3[[#This Row],[Sponsor_1_num]],8)," not found")),"")</f>
        <v/>
      </c>
      <c r="P314" t="str">
        <f>IF(LEN(J314)&lt;&gt;0,_xlfn.XLOOKUP(J314,[1]!Entities[ID_with_x],[1]!Entities[Name_w_County],_xlfn.CONCAT("Entity ID ",RIGHT(Table3[[#This Row],[Sponsor_1_num]],8)," not found")),"")</f>
        <v/>
      </c>
      <c r="Q314" t="str">
        <f>IF(LEN(K314)&gt;0,_xlfn.TEXTJOIN(", ",TRUE,K314:P314),Table3[[#This Row],[SPONSOR_LIST]])</f>
        <v>Burke</v>
      </c>
    </row>
    <row r="315" spans="1:17" x14ac:dyDescent="0.25">
      <c r="A315" s="304" t="s">
        <v>2728</v>
      </c>
      <c r="B315" t="s">
        <v>2649</v>
      </c>
      <c r="C315" t="str">
        <f t="shared" si="5"/>
        <v>x00000013</v>
      </c>
      <c r="D315" t="str">
        <f>SUBSTITUTE(SUBSTITUTE(Table3[[#This Row],[Sponsor_list_tranform]],",",",x")," ","")</f>
        <v>x00000013</v>
      </c>
      <c r="E315" t="s">
        <v>11634</v>
      </c>
      <c r="K315" t="str">
        <f>IF(LEN(E315)&lt;&gt;0,_xlfn.XLOOKUP(E315,[1]!Entities[ID_with_x],[1]!Entities[Name_w_County],_xlfn.CONCAT("Entity ID ",RIGHT(Table3[[#This Row],[Sponsor_1_num]],8)," not found")),"")</f>
        <v>Chambers County</v>
      </c>
      <c r="L315" t="str">
        <f>IF(LEN(F315)&lt;&gt;0,_xlfn.XLOOKUP(F315,[1]!Entities[ID_with_x],[1]!Entities[Name_w_County],_xlfn.CONCAT("Entity ID ",RIGHT(Table3[[#This Row],[Sponsor_1_num]],8)," not found")),"")</f>
        <v/>
      </c>
      <c r="M315" t="str">
        <f>IF(LEN(G315)&lt;&gt;0,_xlfn.XLOOKUP(G315,[1]!Entities[ID_with_x],[1]!Entities[Name_w_County],_xlfn.CONCAT("Entity ID ",RIGHT(Table3[[#This Row],[Sponsor_1_num]],8)," not found")),"")</f>
        <v/>
      </c>
      <c r="N315" t="str">
        <f>IF(LEN(H315)&lt;&gt;0,_xlfn.XLOOKUP(H315,[1]!Entities[ID_with_x],[1]!Entities[Name_w_County],_xlfn.CONCAT("Entity ID ",RIGHT(Table3[[#This Row],[Sponsor_1_num]],8)," not found")),"")</f>
        <v/>
      </c>
      <c r="O315" t="str">
        <f>IF(LEN(I315)&lt;&gt;0,_xlfn.XLOOKUP(I315,[1]!Entities[ID_with_x],[1]!Entities[Name_w_County],_xlfn.CONCAT("Entity ID ",RIGHT(Table3[[#This Row],[Sponsor_1_num]],8)," not found")),"")</f>
        <v/>
      </c>
      <c r="P315" t="str">
        <f>IF(LEN(J315)&lt;&gt;0,_xlfn.XLOOKUP(J315,[1]!Entities[ID_with_x],[1]!Entities[Name_w_County],_xlfn.CONCAT("Entity ID ",RIGHT(Table3[[#This Row],[Sponsor_1_num]],8)," not found")),"")</f>
        <v/>
      </c>
      <c r="Q315" t="str">
        <f>IF(LEN(K315)&gt;0,_xlfn.TEXTJOIN(", ",TRUE,K315:P315),Table3[[#This Row],[SPONSOR_LIST]])</f>
        <v>Chambers County</v>
      </c>
    </row>
    <row r="316" spans="1:17" x14ac:dyDescent="0.25">
      <c r="A316" s="304" t="s">
        <v>2801</v>
      </c>
      <c r="B316" t="s">
        <v>2805</v>
      </c>
      <c r="C316" t="str">
        <f t="shared" si="5"/>
        <v>x05000159</v>
      </c>
      <c r="D316" t="str">
        <f>SUBSTITUTE(SUBSTITUTE(Table3[[#This Row],[Sponsor_list_tranform]],",",",x")," ","")</f>
        <v>x05000159</v>
      </c>
      <c r="E316" t="s">
        <v>11758</v>
      </c>
      <c r="K316" t="str">
        <f>IF(LEN(E316)&lt;&gt;0,_xlfn.XLOOKUP(E316,[1]!Entities[ID_with_x],[1]!Entities[Name_w_County],_xlfn.CONCAT("Entity ID ",RIGHT(Table3[[#This Row],[Sponsor_1_num]],8)," not found")),"")</f>
        <v>Cherokee County</v>
      </c>
      <c r="L316" t="str">
        <f>IF(LEN(F316)&lt;&gt;0,_xlfn.XLOOKUP(F316,[1]!Entities[ID_with_x],[1]!Entities[Name_w_County],_xlfn.CONCAT("Entity ID ",RIGHT(Table3[[#This Row],[Sponsor_1_num]],8)," not found")),"")</f>
        <v/>
      </c>
      <c r="M316" t="str">
        <f>IF(LEN(G316)&lt;&gt;0,_xlfn.XLOOKUP(G316,[1]!Entities[ID_with_x],[1]!Entities[Name_w_County],_xlfn.CONCAT("Entity ID ",RIGHT(Table3[[#This Row],[Sponsor_1_num]],8)," not found")),"")</f>
        <v/>
      </c>
      <c r="N316" t="str">
        <f>IF(LEN(H316)&lt;&gt;0,_xlfn.XLOOKUP(H316,[1]!Entities[ID_with_x],[1]!Entities[Name_w_County],_xlfn.CONCAT("Entity ID ",RIGHT(Table3[[#This Row],[Sponsor_1_num]],8)," not found")),"")</f>
        <v/>
      </c>
      <c r="O316" t="str">
        <f>IF(LEN(I316)&lt;&gt;0,_xlfn.XLOOKUP(I316,[1]!Entities[ID_with_x],[1]!Entities[Name_w_County],_xlfn.CONCAT("Entity ID ",RIGHT(Table3[[#This Row],[Sponsor_1_num]],8)," not found")),"")</f>
        <v/>
      </c>
      <c r="P316" t="str">
        <f>IF(LEN(J316)&lt;&gt;0,_xlfn.XLOOKUP(J316,[1]!Entities[ID_with_x],[1]!Entities[Name_w_County],_xlfn.CONCAT("Entity ID ",RIGHT(Table3[[#This Row],[Sponsor_1_num]],8)," not found")),"")</f>
        <v/>
      </c>
      <c r="Q316" t="str">
        <f>IF(LEN(K316)&gt;0,_xlfn.TEXTJOIN(", ",TRUE,K316:P316),Table3[[#This Row],[SPONSOR_LIST]])</f>
        <v>Cherokee County</v>
      </c>
    </row>
    <row r="317" spans="1:17" x14ac:dyDescent="0.25">
      <c r="A317" s="304" t="s">
        <v>2814</v>
      </c>
      <c r="B317" t="s">
        <v>2820</v>
      </c>
      <c r="C317" t="str">
        <f t="shared" si="5"/>
        <v>x05002862</v>
      </c>
      <c r="D317" t="str">
        <f>SUBSTITUTE(SUBSTITUTE(Table3[[#This Row],[Sponsor_list_tranform]],",",",x")," ","")</f>
        <v>x05002862</v>
      </c>
      <c r="E317" t="s">
        <v>11827</v>
      </c>
      <c r="K317" t="str">
        <f>IF(LEN(E317)&lt;&gt;0,_xlfn.XLOOKUP(E317,[1]!Entities[ID_with_x],[1]!Entities[Name_w_County],_xlfn.CONCAT("Entity ID ",RIGHT(Table3[[#This Row],[Sponsor_1_num]],8)," not found")),"")</f>
        <v>Alto</v>
      </c>
      <c r="L317" t="str">
        <f>IF(LEN(F317)&lt;&gt;0,_xlfn.XLOOKUP(F317,[1]!Entities[ID_with_x],[1]!Entities[Name_w_County],_xlfn.CONCAT("Entity ID ",RIGHT(Table3[[#This Row],[Sponsor_1_num]],8)," not found")),"")</f>
        <v/>
      </c>
      <c r="M317" t="str">
        <f>IF(LEN(G317)&lt;&gt;0,_xlfn.XLOOKUP(G317,[1]!Entities[ID_with_x],[1]!Entities[Name_w_County],_xlfn.CONCAT("Entity ID ",RIGHT(Table3[[#This Row],[Sponsor_1_num]],8)," not found")),"")</f>
        <v/>
      </c>
      <c r="N317" t="str">
        <f>IF(LEN(H317)&lt;&gt;0,_xlfn.XLOOKUP(H317,[1]!Entities[ID_with_x],[1]!Entities[Name_w_County],_xlfn.CONCAT("Entity ID ",RIGHT(Table3[[#This Row],[Sponsor_1_num]],8)," not found")),"")</f>
        <v/>
      </c>
      <c r="O317" t="str">
        <f>IF(LEN(I317)&lt;&gt;0,_xlfn.XLOOKUP(I317,[1]!Entities[ID_with_x],[1]!Entities[Name_w_County],_xlfn.CONCAT("Entity ID ",RIGHT(Table3[[#This Row],[Sponsor_1_num]],8)," not found")),"")</f>
        <v/>
      </c>
      <c r="P317" t="str">
        <f>IF(LEN(J317)&lt;&gt;0,_xlfn.XLOOKUP(J317,[1]!Entities[ID_with_x],[1]!Entities[Name_w_County],_xlfn.CONCAT("Entity ID ",RIGHT(Table3[[#This Row],[Sponsor_1_num]],8)," not found")),"")</f>
        <v/>
      </c>
      <c r="Q317" t="str">
        <f>IF(LEN(K317)&gt;0,_xlfn.TEXTJOIN(", ",TRUE,K317:P317),Table3[[#This Row],[SPONSOR_LIST]])</f>
        <v>Alto</v>
      </c>
    </row>
    <row r="318" spans="1:17" x14ac:dyDescent="0.25">
      <c r="A318" s="304" t="s">
        <v>2821</v>
      </c>
      <c r="B318" t="s">
        <v>2612</v>
      </c>
      <c r="C318" t="str">
        <f t="shared" si="5"/>
        <v>x05002866</v>
      </c>
      <c r="D318" t="str">
        <f>SUBSTITUTE(SUBSTITUTE(Table3[[#This Row],[Sponsor_list_tranform]],",",",x")," ","")</f>
        <v>x05002866</v>
      </c>
      <c r="E318" t="s">
        <v>11713</v>
      </c>
      <c r="K318" t="str">
        <f>IF(LEN(E318)&lt;&gt;0,_xlfn.XLOOKUP(E318,[1]!Entities[ID_with_x],[1]!Entities[Name_w_County],_xlfn.CONCAT("Entity ID ",RIGHT(Table3[[#This Row],[Sponsor_1_num]],8)," not found")),"")</f>
        <v>Reklaw</v>
      </c>
      <c r="L318" t="str">
        <f>IF(LEN(F318)&lt;&gt;0,_xlfn.XLOOKUP(F318,[1]!Entities[ID_with_x],[1]!Entities[Name_w_County],_xlfn.CONCAT("Entity ID ",RIGHT(Table3[[#This Row],[Sponsor_1_num]],8)," not found")),"")</f>
        <v/>
      </c>
      <c r="M318" t="str">
        <f>IF(LEN(G318)&lt;&gt;0,_xlfn.XLOOKUP(G318,[1]!Entities[ID_with_x],[1]!Entities[Name_w_County],_xlfn.CONCAT("Entity ID ",RIGHT(Table3[[#This Row],[Sponsor_1_num]],8)," not found")),"")</f>
        <v/>
      </c>
      <c r="N318" t="str">
        <f>IF(LEN(H318)&lt;&gt;0,_xlfn.XLOOKUP(H318,[1]!Entities[ID_with_x],[1]!Entities[Name_w_County],_xlfn.CONCAT("Entity ID ",RIGHT(Table3[[#This Row],[Sponsor_1_num]],8)," not found")),"")</f>
        <v/>
      </c>
      <c r="O318" t="str">
        <f>IF(LEN(I318)&lt;&gt;0,_xlfn.XLOOKUP(I318,[1]!Entities[ID_with_x],[1]!Entities[Name_w_County],_xlfn.CONCAT("Entity ID ",RIGHT(Table3[[#This Row],[Sponsor_1_num]],8)," not found")),"")</f>
        <v/>
      </c>
      <c r="P318" t="str">
        <f>IF(LEN(J318)&lt;&gt;0,_xlfn.XLOOKUP(J318,[1]!Entities[ID_with_x],[1]!Entities[Name_w_County],_xlfn.CONCAT("Entity ID ",RIGHT(Table3[[#This Row],[Sponsor_1_num]],8)," not found")),"")</f>
        <v/>
      </c>
      <c r="Q318" t="str">
        <f>IF(LEN(K318)&gt;0,_xlfn.TEXTJOIN(", ",TRUE,K318:P318),Table3[[#This Row],[SPONSOR_LIST]])</f>
        <v>Reklaw</v>
      </c>
    </row>
    <row r="319" spans="1:17" x14ac:dyDescent="0.25">
      <c r="A319" s="304" t="s">
        <v>2824</v>
      </c>
      <c r="B319" t="s">
        <v>2714</v>
      </c>
      <c r="C319" t="str">
        <f t="shared" si="5"/>
        <v>x05002867</v>
      </c>
      <c r="D319" t="str">
        <f>SUBSTITUTE(SUBSTITUTE(Table3[[#This Row],[Sponsor_list_tranform]],",",",x")," ","")</f>
        <v>x05002867</v>
      </c>
      <c r="E319" t="s">
        <v>11828</v>
      </c>
      <c r="K319" t="str">
        <f>IF(LEN(E319)&lt;&gt;0,_xlfn.XLOOKUP(E319,[1]!Entities[ID_with_x],[1]!Entities[Name_w_County],_xlfn.CONCAT("Entity ID ",RIGHT(Table3[[#This Row],[Sponsor_1_num]],8)," not found")),"")</f>
        <v>Rusk</v>
      </c>
      <c r="L319" t="str">
        <f>IF(LEN(F319)&lt;&gt;0,_xlfn.XLOOKUP(F319,[1]!Entities[ID_with_x],[1]!Entities[Name_w_County],_xlfn.CONCAT("Entity ID ",RIGHT(Table3[[#This Row],[Sponsor_1_num]],8)," not found")),"")</f>
        <v/>
      </c>
      <c r="M319" t="str">
        <f>IF(LEN(G319)&lt;&gt;0,_xlfn.XLOOKUP(G319,[1]!Entities[ID_with_x],[1]!Entities[Name_w_County],_xlfn.CONCAT("Entity ID ",RIGHT(Table3[[#This Row],[Sponsor_1_num]],8)," not found")),"")</f>
        <v/>
      </c>
      <c r="N319" t="str">
        <f>IF(LEN(H319)&lt;&gt;0,_xlfn.XLOOKUP(H319,[1]!Entities[ID_with_x],[1]!Entities[Name_w_County],_xlfn.CONCAT("Entity ID ",RIGHT(Table3[[#This Row],[Sponsor_1_num]],8)," not found")),"")</f>
        <v/>
      </c>
      <c r="O319" t="str">
        <f>IF(LEN(I319)&lt;&gt;0,_xlfn.XLOOKUP(I319,[1]!Entities[ID_with_x],[1]!Entities[Name_w_County],_xlfn.CONCAT("Entity ID ",RIGHT(Table3[[#This Row],[Sponsor_1_num]],8)," not found")),"")</f>
        <v/>
      </c>
      <c r="P319" t="str">
        <f>IF(LEN(J319)&lt;&gt;0,_xlfn.XLOOKUP(J319,[1]!Entities[ID_with_x],[1]!Entities[Name_w_County],_xlfn.CONCAT("Entity ID ",RIGHT(Table3[[#This Row],[Sponsor_1_num]],8)," not found")),"")</f>
        <v/>
      </c>
      <c r="Q319" t="str">
        <f>IF(LEN(K319)&gt;0,_xlfn.TEXTJOIN(", ",TRUE,K319:P319),Table3[[#This Row],[SPONSOR_LIST]])</f>
        <v>Rusk</v>
      </c>
    </row>
    <row r="320" spans="1:17" x14ac:dyDescent="0.25">
      <c r="A320" s="304" t="s">
        <v>2826</v>
      </c>
      <c r="B320" t="s">
        <v>2830</v>
      </c>
      <c r="C320" t="str">
        <f t="shared" si="5"/>
        <v>x05002868</v>
      </c>
      <c r="D320" t="str">
        <f>SUBSTITUTE(SUBSTITUTE(Table3[[#This Row],[Sponsor_list_tranform]],",",",x")," ","")</f>
        <v>x05002868</v>
      </c>
      <c r="E320" t="s">
        <v>11829</v>
      </c>
      <c r="K320" t="str">
        <f>IF(LEN(E320)&lt;&gt;0,_xlfn.XLOOKUP(E320,[1]!Entities[ID_with_x],[1]!Entities[Name_w_County],_xlfn.CONCAT("Entity ID ",RIGHT(Table3[[#This Row],[Sponsor_1_num]],8)," not found")),"")</f>
        <v>Wells</v>
      </c>
      <c r="L320" t="str">
        <f>IF(LEN(F320)&lt;&gt;0,_xlfn.XLOOKUP(F320,[1]!Entities[ID_with_x],[1]!Entities[Name_w_County],_xlfn.CONCAT("Entity ID ",RIGHT(Table3[[#This Row],[Sponsor_1_num]],8)," not found")),"")</f>
        <v/>
      </c>
      <c r="M320" t="str">
        <f>IF(LEN(G320)&lt;&gt;0,_xlfn.XLOOKUP(G320,[1]!Entities[ID_with_x],[1]!Entities[Name_w_County],_xlfn.CONCAT("Entity ID ",RIGHT(Table3[[#This Row],[Sponsor_1_num]],8)," not found")),"")</f>
        <v/>
      </c>
      <c r="N320" t="str">
        <f>IF(LEN(H320)&lt;&gt;0,_xlfn.XLOOKUP(H320,[1]!Entities[ID_with_x],[1]!Entities[Name_w_County],_xlfn.CONCAT("Entity ID ",RIGHT(Table3[[#This Row],[Sponsor_1_num]],8)," not found")),"")</f>
        <v/>
      </c>
      <c r="O320" t="str">
        <f>IF(LEN(I320)&lt;&gt;0,_xlfn.XLOOKUP(I320,[1]!Entities[ID_with_x],[1]!Entities[Name_w_County],_xlfn.CONCAT("Entity ID ",RIGHT(Table3[[#This Row],[Sponsor_1_num]],8)," not found")),"")</f>
        <v/>
      </c>
      <c r="P320" t="str">
        <f>IF(LEN(J320)&lt;&gt;0,_xlfn.XLOOKUP(J320,[1]!Entities[ID_with_x],[1]!Entities[Name_w_County],_xlfn.CONCAT("Entity ID ",RIGHT(Table3[[#This Row],[Sponsor_1_num]],8)," not found")),"")</f>
        <v/>
      </c>
      <c r="Q320" t="str">
        <f>IF(LEN(K320)&gt;0,_xlfn.TEXTJOIN(", ",TRUE,K320:P320),Table3[[#This Row],[SPONSOR_LIST]])</f>
        <v>Wells</v>
      </c>
    </row>
    <row r="321" spans="1:17" x14ac:dyDescent="0.25">
      <c r="A321" s="304" t="s">
        <v>2951</v>
      </c>
      <c r="B321" t="s">
        <v>2948</v>
      </c>
      <c r="C321" t="str">
        <f t="shared" si="5"/>
        <v>x00000035</v>
      </c>
      <c r="D321" t="str">
        <f>SUBSTITUTE(SUBSTITUTE(Table3[[#This Row],[Sponsor_list_tranform]],",",",x")," ","")</f>
        <v>x00000035</v>
      </c>
      <c r="E321" t="s">
        <v>11635</v>
      </c>
      <c r="K321" t="str">
        <f>IF(LEN(E321)&lt;&gt;0,_xlfn.XLOOKUP(E321,[1]!Entities[ID_with_x],[1]!Entities[Name_w_County],_xlfn.CONCAT("Entity ID ",RIGHT(Table3[[#This Row],[Sponsor_1_num]],8)," not found")),"")</f>
        <v>Hardin County</v>
      </c>
      <c r="L321" t="str">
        <f>IF(LEN(F321)&lt;&gt;0,_xlfn.XLOOKUP(F321,[1]!Entities[ID_with_x],[1]!Entities[Name_w_County],_xlfn.CONCAT("Entity ID ",RIGHT(Table3[[#This Row],[Sponsor_1_num]],8)," not found")),"")</f>
        <v/>
      </c>
      <c r="M321" t="str">
        <f>IF(LEN(G321)&lt;&gt;0,_xlfn.XLOOKUP(G321,[1]!Entities[ID_with_x],[1]!Entities[Name_w_County],_xlfn.CONCAT("Entity ID ",RIGHT(Table3[[#This Row],[Sponsor_1_num]],8)," not found")),"")</f>
        <v/>
      </c>
      <c r="N321" t="str">
        <f>IF(LEN(H321)&lt;&gt;0,_xlfn.XLOOKUP(H321,[1]!Entities[ID_with_x],[1]!Entities[Name_w_County],_xlfn.CONCAT("Entity ID ",RIGHT(Table3[[#This Row],[Sponsor_1_num]],8)," not found")),"")</f>
        <v/>
      </c>
      <c r="O321" t="str">
        <f>IF(LEN(I321)&lt;&gt;0,_xlfn.XLOOKUP(I321,[1]!Entities[ID_with_x],[1]!Entities[Name_w_County],_xlfn.CONCAT("Entity ID ",RIGHT(Table3[[#This Row],[Sponsor_1_num]],8)," not found")),"")</f>
        <v/>
      </c>
      <c r="P321" t="str">
        <f>IF(LEN(J321)&lt;&gt;0,_xlfn.XLOOKUP(J321,[1]!Entities[ID_with_x],[1]!Entities[Name_w_County],_xlfn.CONCAT("Entity ID ",RIGHT(Table3[[#This Row],[Sponsor_1_num]],8)," not found")),"")</f>
        <v/>
      </c>
      <c r="Q321" t="str">
        <f>IF(LEN(K321)&gt;0,_xlfn.TEXTJOIN(", ",TRUE,K321:P321),Table3[[#This Row],[SPONSOR_LIST]])</f>
        <v>Hardin County</v>
      </c>
    </row>
    <row r="322" spans="1:17" x14ac:dyDescent="0.25">
      <c r="A322" s="304" t="s">
        <v>2956</v>
      </c>
      <c r="B322" t="s">
        <v>2948</v>
      </c>
      <c r="C322" t="str">
        <f t="shared" si="5"/>
        <v>x00000035</v>
      </c>
      <c r="D322" t="str">
        <f>SUBSTITUTE(SUBSTITUTE(Table3[[#This Row],[Sponsor_list_tranform]],",",",x")," ","")</f>
        <v>x00000035</v>
      </c>
      <c r="E322" t="s">
        <v>11635</v>
      </c>
      <c r="K322" t="str">
        <f>IF(LEN(E322)&lt;&gt;0,_xlfn.XLOOKUP(E322,[1]!Entities[ID_with_x],[1]!Entities[Name_w_County],_xlfn.CONCAT("Entity ID ",RIGHT(Table3[[#This Row],[Sponsor_1_num]],8)," not found")),"")</f>
        <v>Hardin County</v>
      </c>
      <c r="L322" t="str">
        <f>IF(LEN(F322)&lt;&gt;0,_xlfn.XLOOKUP(F322,[1]!Entities[ID_with_x],[1]!Entities[Name_w_County],_xlfn.CONCAT("Entity ID ",RIGHT(Table3[[#This Row],[Sponsor_1_num]],8)," not found")),"")</f>
        <v/>
      </c>
      <c r="M322" t="str">
        <f>IF(LEN(G322)&lt;&gt;0,_xlfn.XLOOKUP(G322,[1]!Entities[ID_with_x],[1]!Entities[Name_w_County],_xlfn.CONCAT("Entity ID ",RIGHT(Table3[[#This Row],[Sponsor_1_num]],8)," not found")),"")</f>
        <v/>
      </c>
      <c r="N322" t="str">
        <f>IF(LEN(H322)&lt;&gt;0,_xlfn.XLOOKUP(H322,[1]!Entities[ID_with_x],[1]!Entities[Name_w_County],_xlfn.CONCAT("Entity ID ",RIGHT(Table3[[#This Row],[Sponsor_1_num]],8)," not found")),"")</f>
        <v/>
      </c>
      <c r="O322" t="str">
        <f>IF(LEN(I322)&lt;&gt;0,_xlfn.XLOOKUP(I322,[1]!Entities[ID_with_x],[1]!Entities[Name_w_County],_xlfn.CONCAT("Entity ID ",RIGHT(Table3[[#This Row],[Sponsor_1_num]],8)," not found")),"")</f>
        <v/>
      </c>
      <c r="P322" t="str">
        <f>IF(LEN(J322)&lt;&gt;0,_xlfn.XLOOKUP(J322,[1]!Entities[ID_with_x],[1]!Entities[Name_w_County],_xlfn.CONCAT("Entity ID ",RIGHT(Table3[[#This Row],[Sponsor_1_num]],8)," not found")),"")</f>
        <v/>
      </c>
      <c r="Q322" t="str">
        <f>IF(LEN(K322)&gt;0,_xlfn.TEXTJOIN(", ",TRUE,K322:P322),Table3[[#This Row],[SPONSOR_LIST]])</f>
        <v>Hardin County</v>
      </c>
    </row>
    <row r="323" spans="1:17" x14ac:dyDescent="0.25">
      <c r="A323" s="304" t="s">
        <v>2954</v>
      </c>
      <c r="B323" t="s">
        <v>2948</v>
      </c>
      <c r="C323" t="str">
        <f t="shared" si="5"/>
        <v>x00000035</v>
      </c>
      <c r="D323" t="str">
        <f>SUBSTITUTE(SUBSTITUTE(Table3[[#This Row],[Sponsor_list_tranform]],",",",x")," ","")</f>
        <v>x00000035</v>
      </c>
      <c r="E323" t="s">
        <v>11635</v>
      </c>
      <c r="K323" t="str">
        <f>IF(LEN(E323)&lt;&gt;0,_xlfn.XLOOKUP(E323,[1]!Entities[ID_with_x],[1]!Entities[Name_w_County],_xlfn.CONCAT("Entity ID ",RIGHT(Table3[[#This Row],[Sponsor_1_num]],8)," not found")),"")</f>
        <v>Hardin County</v>
      </c>
      <c r="L323" t="str">
        <f>IF(LEN(F323)&lt;&gt;0,_xlfn.XLOOKUP(F323,[1]!Entities[ID_with_x],[1]!Entities[Name_w_County],_xlfn.CONCAT("Entity ID ",RIGHT(Table3[[#This Row],[Sponsor_1_num]],8)," not found")),"")</f>
        <v/>
      </c>
      <c r="M323" t="str">
        <f>IF(LEN(G323)&lt;&gt;0,_xlfn.XLOOKUP(G323,[1]!Entities[ID_with_x],[1]!Entities[Name_w_County],_xlfn.CONCAT("Entity ID ",RIGHT(Table3[[#This Row],[Sponsor_1_num]],8)," not found")),"")</f>
        <v/>
      </c>
      <c r="N323" t="str">
        <f>IF(LEN(H323)&lt;&gt;0,_xlfn.XLOOKUP(H323,[1]!Entities[ID_with_x],[1]!Entities[Name_w_County],_xlfn.CONCAT("Entity ID ",RIGHT(Table3[[#This Row],[Sponsor_1_num]],8)," not found")),"")</f>
        <v/>
      </c>
      <c r="O323" t="str">
        <f>IF(LEN(I323)&lt;&gt;0,_xlfn.XLOOKUP(I323,[1]!Entities[ID_with_x],[1]!Entities[Name_w_County],_xlfn.CONCAT("Entity ID ",RIGHT(Table3[[#This Row],[Sponsor_1_num]],8)," not found")),"")</f>
        <v/>
      </c>
      <c r="P323" t="str">
        <f>IF(LEN(J323)&lt;&gt;0,_xlfn.XLOOKUP(J323,[1]!Entities[ID_with_x],[1]!Entities[Name_w_County],_xlfn.CONCAT("Entity ID ",RIGHT(Table3[[#This Row],[Sponsor_1_num]],8)," not found")),"")</f>
        <v/>
      </c>
      <c r="Q323" t="str">
        <f>IF(LEN(K323)&gt;0,_xlfn.TEXTJOIN(", ",TRUE,K323:P323),Table3[[#This Row],[SPONSOR_LIST]])</f>
        <v>Hardin County</v>
      </c>
    </row>
    <row r="324" spans="1:17" x14ac:dyDescent="0.25">
      <c r="A324" s="304" t="s">
        <v>2885</v>
      </c>
      <c r="B324" t="s">
        <v>2879</v>
      </c>
      <c r="C324" t="str">
        <f t="shared" si="5"/>
        <v>x05003028</v>
      </c>
      <c r="D324" t="str">
        <f>SUBSTITUTE(SUBSTITUTE(Table3[[#This Row],[Sponsor_list_tranform]],",",",x")," ","")</f>
        <v>x05003028</v>
      </c>
      <c r="E324" t="s">
        <v>11714</v>
      </c>
      <c r="K324" t="str">
        <f>IF(LEN(E324)&lt;&gt;0,_xlfn.XLOOKUP(E324,[1]!Entities[ID_with_x],[1]!Entities[Name_w_County],_xlfn.CONCAT("Entity ID ",RIGHT(Table3[[#This Row],[Sponsor_1_num]],8)," not found")),"")</f>
        <v>Kountze</v>
      </c>
      <c r="L324" t="str">
        <f>IF(LEN(F324)&lt;&gt;0,_xlfn.XLOOKUP(F324,[1]!Entities[ID_with_x],[1]!Entities[Name_w_County],_xlfn.CONCAT("Entity ID ",RIGHT(Table3[[#This Row],[Sponsor_1_num]],8)," not found")),"")</f>
        <v/>
      </c>
      <c r="M324" t="str">
        <f>IF(LEN(G324)&lt;&gt;0,_xlfn.XLOOKUP(G324,[1]!Entities[ID_with_x],[1]!Entities[Name_w_County],_xlfn.CONCAT("Entity ID ",RIGHT(Table3[[#This Row],[Sponsor_1_num]],8)," not found")),"")</f>
        <v/>
      </c>
      <c r="N324" t="str">
        <f>IF(LEN(H324)&lt;&gt;0,_xlfn.XLOOKUP(H324,[1]!Entities[ID_with_x],[1]!Entities[Name_w_County],_xlfn.CONCAT("Entity ID ",RIGHT(Table3[[#This Row],[Sponsor_1_num]],8)," not found")),"")</f>
        <v/>
      </c>
      <c r="O324" t="str">
        <f>IF(LEN(I324)&lt;&gt;0,_xlfn.XLOOKUP(I324,[1]!Entities[ID_with_x],[1]!Entities[Name_w_County],_xlfn.CONCAT("Entity ID ",RIGHT(Table3[[#This Row],[Sponsor_1_num]],8)," not found")),"")</f>
        <v/>
      </c>
      <c r="P324" t="str">
        <f>IF(LEN(J324)&lt;&gt;0,_xlfn.XLOOKUP(J324,[1]!Entities[ID_with_x],[1]!Entities[Name_w_County],_xlfn.CONCAT("Entity ID ",RIGHT(Table3[[#This Row],[Sponsor_1_num]],8)," not found")),"")</f>
        <v/>
      </c>
      <c r="Q324" t="str">
        <f>IF(LEN(K324)&gt;0,_xlfn.TEXTJOIN(", ",TRUE,K324:P324),Table3[[#This Row],[SPONSOR_LIST]])</f>
        <v>Kountze</v>
      </c>
    </row>
    <row r="325" spans="1:17" x14ac:dyDescent="0.25">
      <c r="A325" s="304" t="s">
        <v>2883</v>
      </c>
      <c r="B325" t="s">
        <v>2879</v>
      </c>
      <c r="C325" t="str">
        <f t="shared" si="5"/>
        <v>x05003028</v>
      </c>
      <c r="D325" t="str">
        <f>SUBSTITUTE(SUBSTITUTE(Table3[[#This Row],[Sponsor_list_tranform]],",",",x")," ","")</f>
        <v>x05003028</v>
      </c>
      <c r="E325" t="s">
        <v>11714</v>
      </c>
      <c r="K325" t="str">
        <f>IF(LEN(E325)&lt;&gt;0,_xlfn.XLOOKUP(E325,[1]!Entities[ID_with_x],[1]!Entities[Name_w_County],_xlfn.CONCAT("Entity ID ",RIGHT(Table3[[#This Row],[Sponsor_1_num]],8)," not found")),"")</f>
        <v>Kountze</v>
      </c>
      <c r="L325" t="str">
        <f>IF(LEN(F325)&lt;&gt;0,_xlfn.XLOOKUP(F325,[1]!Entities[ID_with_x],[1]!Entities[Name_w_County],_xlfn.CONCAT("Entity ID ",RIGHT(Table3[[#This Row],[Sponsor_1_num]],8)," not found")),"")</f>
        <v/>
      </c>
      <c r="M325" t="str">
        <f>IF(LEN(G325)&lt;&gt;0,_xlfn.XLOOKUP(G325,[1]!Entities[ID_with_x],[1]!Entities[Name_w_County],_xlfn.CONCAT("Entity ID ",RIGHT(Table3[[#This Row],[Sponsor_1_num]],8)," not found")),"")</f>
        <v/>
      </c>
      <c r="N325" t="str">
        <f>IF(LEN(H325)&lt;&gt;0,_xlfn.XLOOKUP(H325,[1]!Entities[ID_with_x],[1]!Entities[Name_w_County],_xlfn.CONCAT("Entity ID ",RIGHT(Table3[[#This Row],[Sponsor_1_num]],8)," not found")),"")</f>
        <v/>
      </c>
      <c r="O325" t="str">
        <f>IF(LEN(I325)&lt;&gt;0,_xlfn.XLOOKUP(I325,[1]!Entities[ID_with_x],[1]!Entities[Name_w_County],_xlfn.CONCAT("Entity ID ",RIGHT(Table3[[#This Row],[Sponsor_1_num]],8)," not found")),"")</f>
        <v/>
      </c>
      <c r="P325" t="str">
        <f>IF(LEN(J325)&lt;&gt;0,_xlfn.XLOOKUP(J325,[1]!Entities[ID_with_x],[1]!Entities[Name_w_County],_xlfn.CONCAT("Entity ID ",RIGHT(Table3[[#This Row],[Sponsor_1_num]],8)," not found")),"")</f>
        <v/>
      </c>
      <c r="Q325" t="str">
        <f>IF(LEN(K325)&gt;0,_xlfn.TEXTJOIN(", ",TRUE,K325:P325),Table3[[#This Row],[SPONSOR_LIST]])</f>
        <v>Kountze</v>
      </c>
    </row>
    <row r="326" spans="1:17" x14ac:dyDescent="0.25">
      <c r="A326" s="304" t="s">
        <v>2871</v>
      </c>
      <c r="B326" t="s">
        <v>2879</v>
      </c>
      <c r="C326" t="str">
        <f t="shared" ref="C326:C389" si="6">IF(ISNUMBER(VALUE(LEFT(B326,7))),_xlfn.CONCAT("x",TEXT(SUBSTITUTE(B326,",",", "),"00000000")),"")</f>
        <v>x05003028</v>
      </c>
      <c r="D326" t="str">
        <f>SUBSTITUTE(SUBSTITUTE(Table3[[#This Row],[Sponsor_list_tranform]],",",",x")," ","")</f>
        <v>x05003028</v>
      </c>
      <c r="E326" t="s">
        <v>11714</v>
      </c>
      <c r="K326" t="str">
        <f>IF(LEN(E326)&lt;&gt;0,_xlfn.XLOOKUP(E326,[1]!Entities[ID_with_x],[1]!Entities[Name_w_County],_xlfn.CONCAT("Entity ID ",RIGHT(Table3[[#This Row],[Sponsor_1_num]],8)," not found")),"")</f>
        <v>Kountze</v>
      </c>
      <c r="L326" t="str">
        <f>IF(LEN(F326)&lt;&gt;0,_xlfn.XLOOKUP(F326,[1]!Entities[ID_with_x],[1]!Entities[Name_w_County],_xlfn.CONCAT("Entity ID ",RIGHT(Table3[[#This Row],[Sponsor_1_num]],8)," not found")),"")</f>
        <v/>
      </c>
      <c r="M326" t="str">
        <f>IF(LEN(G326)&lt;&gt;0,_xlfn.XLOOKUP(G326,[1]!Entities[ID_with_x],[1]!Entities[Name_w_County],_xlfn.CONCAT("Entity ID ",RIGHT(Table3[[#This Row],[Sponsor_1_num]],8)," not found")),"")</f>
        <v/>
      </c>
      <c r="N326" t="str">
        <f>IF(LEN(H326)&lt;&gt;0,_xlfn.XLOOKUP(H326,[1]!Entities[ID_with_x],[1]!Entities[Name_w_County],_xlfn.CONCAT("Entity ID ",RIGHT(Table3[[#This Row],[Sponsor_1_num]],8)," not found")),"")</f>
        <v/>
      </c>
      <c r="O326" t="str">
        <f>IF(LEN(I326)&lt;&gt;0,_xlfn.XLOOKUP(I326,[1]!Entities[ID_with_x],[1]!Entities[Name_w_County],_xlfn.CONCAT("Entity ID ",RIGHT(Table3[[#This Row],[Sponsor_1_num]],8)," not found")),"")</f>
        <v/>
      </c>
      <c r="P326" t="str">
        <f>IF(LEN(J326)&lt;&gt;0,_xlfn.XLOOKUP(J326,[1]!Entities[ID_with_x],[1]!Entities[Name_w_County],_xlfn.CONCAT("Entity ID ",RIGHT(Table3[[#This Row],[Sponsor_1_num]],8)," not found")),"")</f>
        <v/>
      </c>
      <c r="Q326" t="str">
        <f>IF(LEN(K326)&gt;0,_xlfn.TEXTJOIN(", ",TRUE,K326:P326),Table3[[#This Row],[SPONSOR_LIST]])</f>
        <v>Kountze</v>
      </c>
    </row>
    <row r="327" spans="1:17" x14ac:dyDescent="0.25">
      <c r="A327" s="304" t="s">
        <v>2895</v>
      </c>
      <c r="B327" t="s">
        <v>2891</v>
      </c>
      <c r="C327" t="str">
        <f t="shared" si="6"/>
        <v>x05002488</v>
      </c>
      <c r="D327" t="str">
        <f>SUBSTITUTE(SUBSTITUTE(Table3[[#This Row],[Sponsor_list_tranform]],",",",x")," ","")</f>
        <v>x05002488</v>
      </c>
      <c r="E327" t="s">
        <v>11715</v>
      </c>
      <c r="K327" t="str">
        <f>IF(LEN(E327)&lt;&gt;0,_xlfn.XLOOKUP(E327,[1]!Entities[ID_with_x],[1]!Entities[Name_w_County],_xlfn.CONCAT("Entity ID ",RIGHT(Table3[[#This Row],[Sponsor_1_num]],8)," not found")),"")</f>
        <v>Lumberton</v>
      </c>
      <c r="L327" t="str">
        <f>IF(LEN(F327)&lt;&gt;0,_xlfn.XLOOKUP(F327,[1]!Entities[ID_with_x],[1]!Entities[Name_w_County],_xlfn.CONCAT("Entity ID ",RIGHT(Table3[[#This Row],[Sponsor_1_num]],8)," not found")),"")</f>
        <v/>
      </c>
      <c r="M327" t="str">
        <f>IF(LEN(G327)&lt;&gt;0,_xlfn.XLOOKUP(G327,[1]!Entities[ID_with_x],[1]!Entities[Name_w_County],_xlfn.CONCAT("Entity ID ",RIGHT(Table3[[#This Row],[Sponsor_1_num]],8)," not found")),"")</f>
        <v/>
      </c>
      <c r="N327" t="str">
        <f>IF(LEN(H327)&lt;&gt;0,_xlfn.XLOOKUP(H327,[1]!Entities[ID_with_x],[1]!Entities[Name_w_County],_xlfn.CONCAT("Entity ID ",RIGHT(Table3[[#This Row],[Sponsor_1_num]],8)," not found")),"")</f>
        <v/>
      </c>
      <c r="O327" t="str">
        <f>IF(LEN(I327)&lt;&gt;0,_xlfn.XLOOKUP(I327,[1]!Entities[ID_with_x],[1]!Entities[Name_w_County],_xlfn.CONCAT("Entity ID ",RIGHT(Table3[[#This Row],[Sponsor_1_num]],8)," not found")),"")</f>
        <v/>
      </c>
      <c r="P327" t="str">
        <f>IF(LEN(J327)&lt;&gt;0,_xlfn.XLOOKUP(J327,[1]!Entities[ID_with_x],[1]!Entities[Name_w_County],_xlfn.CONCAT("Entity ID ",RIGHT(Table3[[#This Row],[Sponsor_1_num]],8)," not found")),"")</f>
        <v/>
      </c>
      <c r="Q327" t="str">
        <f>IF(LEN(K327)&gt;0,_xlfn.TEXTJOIN(", ",TRUE,K327:P327),Table3[[#This Row],[SPONSOR_LIST]])</f>
        <v>Lumberton</v>
      </c>
    </row>
    <row r="328" spans="1:17" x14ac:dyDescent="0.25">
      <c r="A328" s="304" t="s">
        <v>2909</v>
      </c>
      <c r="B328" t="s">
        <v>2902</v>
      </c>
      <c r="C328" t="str">
        <f t="shared" si="6"/>
        <v>x05003029</v>
      </c>
      <c r="D328" t="str">
        <f>SUBSTITUTE(SUBSTITUTE(Table3[[#This Row],[Sponsor_list_tranform]],",",",x")," ","")</f>
        <v>x05003029</v>
      </c>
      <c r="E328" t="s">
        <v>11716</v>
      </c>
      <c r="K328" t="str">
        <f>IF(LEN(E328)&lt;&gt;0,_xlfn.XLOOKUP(E328,[1]!Entities[ID_with_x],[1]!Entities[Name_w_County],_xlfn.CONCAT("Entity ID ",RIGHT(Table3[[#This Row],[Sponsor_1_num]],8)," not found")),"")</f>
        <v>Rose Hill Acres</v>
      </c>
      <c r="L328" t="str">
        <f>IF(LEN(F328)&lt;&gt;0,_xlfn.XLOOKUP(F328,[1]!Entities[ID_with_x],[1]!Entities[Name_w_County],_xlfn.CONCAT("Entity ID ",RIGHT(Table3[[#This Row],[Sponsor_1_num]],8)," not found")),"")</f>
        <v/>
      </c>
      <c r="M328" t="str">
        <f>IF(LEN(G328)&lt;&gt;0,_xlfn.XLOOKUP(G328,[1]!Entities[ID_with_x],[1]!Entities[Name_w_County],_xlfn.CONCAT("Entity ID ",RIGHT(Table3[[#This Row],[Sponsor_1_num]],8)," not found")),"")</f>
        <v/>
      </c>
      <c r="N328" t="str">
        <f>IF(LEN(H328)&lt;&gt;0,_xlfn.XLOOKUP(H328,[1]!Entities[ID_with_x],[1]!Entities[Name_w_County],_xlfn.CONCAT("Entity ID ",RIGHT(Table3[[#This Row],[Sponsor_1_num]],8)," not found")),"")</f>
        <v/>
      </c>
      <c r="O328" t="str">
        <f>IF(LEN(I328)&lt;&gt;0,_xlfn.XLOOKUP(I328,[1]!Entities[ID_with_x],[1]!Entities[Name_w_County],_xlfn.CONCAT("Entity ID ",RIGHT(Table3[[#This Row],[Sponsor_1_num]],8)," not found")),"")</f>
        <v/>
      </c>
      <c r="P328" t="str">
        <f>IF(LEN(J328)&lt;&gt;0,_xlfn.XLOOKUP(J328,[1]!Entities[ID_with_x],[1]!Entities[Name_w_County],_xlfn.CONCAT("Entity ID ",RIGHT(Table3[[#This Row],[Sponsor_1_num]],8)," not found")),"")</f>
        <v/>
      </c>
      <c r="Q328" t="str">
        <f>IF(LEN(K328)&gt;0,_xlfn.TEXTJOIN(", ",TRUE,K328:P328),Table3[[#This Row],[SPONSOR_LIST]])</f>
        <v>Rose Hill Acres</v>
      </c>
    </row>
    <row r="329" spans="1:17" x14ac:dyDescent="0.25">
      <c r="A329" s="304" t="s">
        <v>2906</v>
      </c>
      <c r="B329" t="s">
        <v>2902</v>
      </c>
      <c r="C329" t="str">
        <f t="shared" si="6"/>
        <v>x05003029</v>
      </c>
      <c r="D329" t="str">
        <f>SUBSTITUTE(SUBSTITUTE(Table3[[#This Row],[Sponsor_list_tranform]],",",",x")," ","")</f>
        <v>x05003029</v>
      </c>
      <c r="E329" t="s">
        <v>11716</v>
      </c>
      <c r="K329" t="str">
        <f>IF(LEN(E329)&lt;&gt;0,_xlfn.XLOOKUP(E329,[1]!Entities[ID_with_x],[1]!Entities[Name_w_County],_xlfn.CONCAT("Entity ID ",RIGHT(Table3[[#This Row],[Sponsor_1_num]],8)," not found")),"")</f>
        <v>Rose Hill Acres</v>
      </c>
      <c r="L329" t="str">
        <f>IF(LEN(F329)&lt;&gt;0,_xlfn.XLOOKUP(F329,[1]!Entities[ID_with_x],[1]!Entities[Name_w_County],_xlfn.CONCAT("Entity ID ",RIGHT(Table3[[#This Row],[Sponsor_1_num]],8)," not found")),"")</f>
        <v/>
      </c>
      <c r="M329" t="str">
        <f>IF(LEN(G329)&lt;&gt;0,_xlfn.XLOOKUP(G329,[1]!Entities[ID_with_x],[1]!Entities[Name_w_County],_xlfn.CONCAT("Entity ID ",RIGHT(Table3[[#This Row],[Sponsor_1_num]],8)," not found")),"")</f>
        <v/>
      </c>
      <c r="N329" t="str">
        <f>IF(LEN(H329)&lt;&gt;0,_xlfn.XLOOKUP(H329,[1]!Entities[ID_with_x],[1]!Entities[Name_w_County],_xlfn.CONCAT("Entity ID ",RIGHT(Table3[[#This Row],[Sponsor_1_num]],8)," not found")),"")</f>
        <v/>
      </c>
      <c r="O329" t="str">
        <f>IF(LEN(I329)&lt;&gt;0,_xlfn.XLOOKUP(I329,[1]!Entities[ID_with_x],[1]!Entities[Name_w_County],_xlfn.CONCAT("Entity ID ",RIGHT(Table3[[#This Row],[Sponsor_1_num]],8)," not found")),"")</f>
        <v/>
      </c>
      <c r="P329" t="str">
        <f>IF(LEN(J329)&lt;&gt;0,_xlfn.XLOOKUP(J329,[1]!Entities[ID_with_x],[1]!Entities[Name_w_County],_xlfn.CONCAT("Entity ID ",RIGHT(Table3[[#This Row],[Sponsor_1_num]],8)," not found")),"")</f>
        <v/>
      </c>
      <c r="Q329" t="str">
        <f>IF(LEN(K329)&gt;0,_xlfn.TEXTJOIN(", ",TRUE,K329:P329),Table3[[#This Row],[SPONSOR_LIST]])</f>
        <v>Rose Hill Acres</v>
      </c>
    </row>
    <row r="330" spans="1:17" x14ac:dyDescent="0.25">
      <c r="A330" s="304" t="s">
        <v>2924</v>
      </c>
      <c r="B330" t="s">
        <v>2920</v>
      </c>
      <c r="C330" t="str">
        <f t="shared" si="6"/>
        <v>x05002932</v>
      </c>
      <c r="D330" t="str">
        <f>SUBSTITUTE(SUBSTITUTE(Table3[[#This Row],[Sponsor_list_tranform]],",",",x")," ","")</f>
        <v>x05002932</v>
      </c>
      <c r="E330" t="s">
        <v>11717</v>
      </c>
      <c r="K330" t="str">
        <f>IF(LEN(E330)&lt;&gt;0,_xlfn.XLOOKUP(E330,[1]!Entities[ID_with_x],[1]!Entities[Name_w_County],_xlfn.CONCAT("Entity ID ",RIGHT(Table3[[#This Row],[Sponsor_1_num]],8)," not found")),"")</f>
        <v>Silsbee</v>
      </c>
      <c r="L330" t="str">
        <f>IF(LEN(F330)&lt;&gt;0,_xlfn.XLOOKUP(F330,[1]!Entities[ID_with_x],[1]!Entities[Name_w_County],_xlfn.CONCAT("Entity ID ",RIGHT(Table3[[#This Row],[Sponsor_1_num]],8)," not found")),"")</f>
        <v/>
      </c>
      <c r="M330" t="str">
        <f>IF(LEN(G330)&lt;&gt;0,_xlfn.XLOOKUP(G330,[1]!Entities[ID_with_x],[1]!Entities[Name_w_County],_xlfn.CONCAT("Entity ID ",RIGHT(Table3[[#This Row],[Sponsor_1_num]],8)," not found")),"")</f>
        <v/>
      </c>
      <c r="N330" t="str">
        <f>IF(LEN(H330)&lt;&gt;0,_xlfn.XLOOKUP(H330,[1]!Entities[ID_with_x],[1]!Entities[Name_w_County],_xlfn.CONCAT("Entity ID ",RIGHT(Table3[[#This Row],[Sponsor_1_num]],8)," not found")),"")</f>
        <v/>
      </c>
      <c r="O330" t="str">
        <f>IF(LEN(I330)&lt;&gt;0,_xlfn.XLOOKUP(I330,[1]!Entities[ID_with_x],[1]!Entities[Name_w_County],_xlfn.CONCAT("Entity ID ",RIGHT(Table3[[#This Row],[Sponsor_1_num]],8)," not found")),"")</f>
        <v/>
      </c>
      <c r="P330" t="str">
        <f>IF(LEN(J330)&lt;&gt;0,_xlfn.XLOOKUP(J330,[1]!Entities[ID_with_x],[1]!Entities[Name_w_County],_xlfn.CONCAT("Entity ID ",RIGHT(Table3[[#This Row],[Sponsor_1_num]],8)," not found")),"")</f>
        <v/>
      </c>
      <c r="Q330" t="str">
        <f>IF(LEN(K330)&gt;0,_xlfn.TEXTJOIN(", ",TRUE,K330:P330),Table3[[#This Row],[SPONSOR_LIST]])</f>
        <v>Silsbee</v>
      </c>
    </row>
    <row r="331" spans="1:17" x14ac:dyDescent="0.25">
      <c r="A331" s="304" t="s">
        <v>2912</v>
      </c>
      <c r="B331" t="s">
        <v>2920</v>
      </c>
      <c r="C331" t="str">
        <f t="shared" si="6"/>
        <v>x05002932</v>
      </c>
      <c r="D331" t="str">
        <f>SUBSTITUTE(SUBSTITUTE(Table3[[#This Row],[Sponsor_list_tranform]],",",",x")," ","")</f>
        <v>x05002932</v>
      </c>
      <c r="E331" t="s">
        <v>11717</v>
      </c>
      <c r="K331" t="str">
        <f>IF(LEN(E331)&lt;&gt;0,_xlfn.XLOOKUP(E331,[1]!Entities[ID_with_x],[1]!Entities[Name_w_County],_xlfn.CONCAT("Entity ID ",RIGHT(Table3[[#This Row],[Sponsor_1_num]],8)," not found")),"")</f>
        <v>Silsbee</v>
      </c>
      <c r="L331" t="str">
        <f>IF(LEN(F331)&lt;&gt;0,_xlfn.XLOOKUP(F331,[1]!Entities[ID_with_x],[1]!Entities[Name_w_County],_xlfn.CONCAT("Entity ID ",RIGHT(Table3[[#This Row],[Sponsor_1_num]],8)," not found")),"")</f>
        <v/>
      </c>
      <c r="M331" t="str">
        <f>IF(LEN(G331)&lt;&gt;0,_xlfn.XLOOKUP(G331,[1]!Entities[ID_with_x],[1]!Entities[Name_w_County],_xlfn.CONCAT("Entity ID ",RIGHT(Table3[[#This Row],[Sponsor_1_num]],8)," not found")),"")</f>
        <v/>
      </c>
      <c r="N331" t="str">
        <f>IF(LEN(H331)&lt;&gt;0,_xlfn.XLOOKUP(H331,[1]!Entities[ID_with_x],[1]!Entities[Name_w_County],_xlfn.CONCAT("Entity ID ",RIGHT(Table3[[#This Row],[Sponsor_1_num]],8)," not found")),"")</f>
        <v/>
      </c>
      <c r="O331" t="str">
        <f>IF(LEN(I331)&lt;&gt;0,_xlfn.XLOOKUP(I331,[1]!Entities[ID_with_x],[1]!Entities[Name_w_County],_xlfn.CONCAT("Entity ID ",RIGHT(Table3[[#This Row],[Sponsor_1_num]],8)," not found")),"")</f>
        <v/>
      </c>
      <c r="P331" t="str">
        <f>IF(LEN(J331)&lt;&gt;0,_xlfn.XLOOKUP(J331,[1]!Entities[ID_with_x],[1]!Entities[Name_w_County],_xlfn.CONCAT("Entity ID ",RIGHT(Table3[[#This Row],[Sponsor_1_num]],8)," not found")),"")</f>
        <v/>
      </c>
      <c r="Q331" t="str">
        <f>IF(LEN(K331)&gt;0,_xlfn.TEXTJOIN(", ",TRUE,K331:P331),Table3[[#This Row],[SPONSOR_LIST]])</f>
        <v>Silsbee</v>
      </c>
    </row>
    <row r="332" spans="1:17" x14ac:dyDescent="0.25">
      <c r="A332" s="304" t="s">
        <v>2921</v>
      </c>
      <c r="B332" t="s">
        <v>2920</v>
      </c>
      <c r="C332" t="str">
        <f t="shared" si="6"/>
        <v>x05002932</v>
      </c>
      <c r="D332" t="str">
        <f>SUBSTITUTE(SUBSTITUTE(Table3[[#This Row],[Sponsor_list_tranform]],",",",x")," ","")</f>
        <v>x05002932</v>
      </c>
      <c r="E332" t="s">
        <v>11717</v>
      </c>
      <c r="K332" t="str">
        <f>IF(LEN(E332)&lt;&gt;0,_xlfn.XLOOKUP(E332,[1]!Entities[ID_with_x],[1]!Entities[Name_w_County],_xlfn.CONCAT("Entity ID ",RIGHT(Table3[[#This Row],[Sponsor_1_num]],8)," not found")),"")</f>
        <v>Silsbee</v>
      </c>
      <c r="L332" t="str">
        <f>IF(LEN(F332)&lt;&gt;0,_xlfn.XLOOKUP(F332,[1]!Entities[ID_with_x],[1]!Entities[Name_w_County],_xlfn.CONCAT("Entity ID ",RIGHT(Table3[[#This Row],[Sponsor_1_num]],8)," not found")),"")</f>
        <v/>
      </c>
      <c r="M332" t="str">
        <f>IF(LEN(G332)&lt;&gt;0,_xlfn.XLOOKUP(G332,[1]!Entities[ID_with_x],[1]!Entities[Name_w_County],_xlfn.CONCAT("Entity ID ",RIGHT(Table3[[#This Row],[Sponsor_1_num]],8)," not found")),"")</f>
        <v/>
      </c>
      <c r="N332" t="str">
        <f>IF(LEN(H332)&lt;&gt;0,_xlfn.XLOOKUP(H332,[1]!Entities[ID_with_x],[1]!Entities[Name_w_County],_xlfn.CONCAT("Entity ID ",RIGHT(Table3[[#This Row],[Sponsor_1_num]],8)," not found")),"")</f>
        <v/>
      </c>
      <c r="O332" t="str">
        <f>IF(LEN(I332)&lt;&gt;0,_xlfn.XLOOKUP(I332,[1]!Entities[ID_with_x],[1]!Entities[Name_w_County],_xlfn.CONCAT("Entity ID ",RIGHT(Table3[[#This Row],[Sponsor_1_num]],8)," not found")),"")</f>
        <v/>
      </c>
      <c r="P332" t="str">
        <f>IF(LEN(J332)&lt;&gt;0,_xlfn.XLOOKUP(J332,[1]!Entities[ID_with_x],[1]!Entities[Name_w_County],_xlfn.CONCAT("Entity ID ",RIGHT(Table3[[#This Row],[Sponsor_1_num]],8)," not found")),"")</f>
        <v/>
      </c>
      <c r="Q332" t="str">
        <f>IF(LEN(K332)&gt;0,_xlfn.TEXTJOIN(", ",TRUE,K332:P332),Table3[[#This Row],[SPONSOR_LIST]])</f>
        <v>Silsbee</v>
      </c>
    </row>
    <row r="333" spans="1:17" x14ac:dyDescent="0.25">
      <c r="A333" s="304" t="s">
        <v>2938</v>
      </c>
      <c r="B333" t="s">
        <v>2934</v>
      </c>
      <c r="C333" t="str">
        <f t="shared" si="6"/>
        <v>x05002933</v>
      </c>
      <c r="D333" t="str">
        <f>SUBSTITUTE(SUBSTITUTE(Table3[[#This Row],[Sponsor_list_tranform]],",",",x")," ","")</f>
        <v>x05002933</v>
      </c>
      <c r="E333" t="s">
        <v>11718</v>
      </c>
      <c r="K333" t="str">
        <f>IF(LEN(E333)&lt;&gt;0,_xlfn.XLOOKUP(E333,[1]!Entities[ID_with_x],[1]!Entities[Name_w_County],_xlfn.CONCAT("Entity ID ",RIGHT(Table3[[#This Row],[Sponsor_1_num]],8)," not found")),"")</f>
        <v>Sour Lake</v>
      </c>
      <c r="L333" t="str">
        <f>IF(LEN(F333)&lt;&gt;0,_xlfn.XLOOKUP(F333,[1]!Entities[ID_with_x],[1]!Entities[Name_w_County],_xlfn.CONCAT("Entity ID ",RIGHT(Table3[[#This Row],[Sponsor_1_num]],8)," not found")),"")</f>
        <v/>
      </c>
      <c r="M333" t="str">
        <f>IF(LEN(G333)&lt;&gt;0,_xlfn.XLOOKUP(G333,[1]!Entities[ID_with_x],[1]!Entities[Name_w_County],_xlfn.CONCAT("Entity ID ",RIGHT(Table3[[#This Row],[Sponsor_1_num]],8)," not found")),"")</f>
        <v/>
      </c>
      <c r="N333" t="str">
        <f>IF(LEN(H333)&lt;&gt;0,_xlfn.XLOOKUP(H333,[1]!Entities[ID_with_x],[1]!Entities[Name_w_County],_xlfn.CONCAT("Entity ID ",RIGHT(Table3[[#This Row],[Sponsor_1_num]],8)," not found")),"")</f>
        <v/>
      </c>
      <c r="O333" t="str">
        <f>IF(LEN(I333)&lt;&gt;0,_xlfn.XLOOKUP(I333,[1]!Entities[ID_with_x],[1]!Entities[Name_w_County],_xlfn.CONCAT("Entity ID ",RIGHT(Table3[[#This Row],[Sponsor_1_num]],8)," not found")),"")</f>
        <v/>
      </c>
      <c r="P333" t="str">
        <f>IF(LEN(J333)&lt;&gt;0,_xlfn.XLOOKUP(J333,[1]!Entities[ID_with_x],[1]!Entities[Name_w_County],_xlfn.CONCAT("Entity ID ",RIGHT(Table3[[#This Row],[Sponsor_1_num]],8)," not found")),"")</f>
        <v/>
      </c>
      <c r="Q333" t="str">
        <f>IF(LEN(K333)&gt;0,_xlfn.TEXTJOIN(", ",TRUE,K333:P333),Table3[[#This Row],[SPONSOR_LIST]])</f>
        <v>Sour Lake</v>
      </c>
    </row>
    <row r="334" spans="1:17" x14ac:dyDescent="0.25">
      <c r="A334" s="304" t="s">
        <v>2928</v>
      </c>
      <c r="B334" t="s">
        <v>2934</v>
      </c>
      <c r="C334" t="str">
        <f t="shared" si="6"/>
        <v>x05002933</v>
      </c>
      <c r="D334" t="str">
        <f>SUBSTITUTE(SUBSTITUTE(Table3[[#This Row],[Sponsor_list_tranform]],",",",x")," ","")</f>
        <v>x05002933</v>
      </c>
      <c r="E334" t="s">
        <v>11718</v>
      </c>
      <c r="K334" t="str">
        <f>IF(LEN(E334)&lt;&gt;0,_xlfn.XLOOKUP(E334,[1]!Entities[ID_with_x],[1]!Entities[Name_w_County],_xlfn.CONCAT("Entity ID ",RIGHT(Table3[[#This Row],[Sponsor_1_num]],8)," not found")),"")</f>
        <v>Sour Lake</v>
      </c>
      <c r="L334" t="str">
        <f>IF(LEN(F334)&lt;&gt;0,_xlfn.XLOOKUP(F334,[1]!Entities[ID_with_x],[1]!Entities[Name_w_County],_xlfn.CONCAT("Entity ID ",RIGHT(Table3[[#This Row],[Sponsor_1_num]],8)," not found")),"")</f>
        <v/>
      </c>
      <c r="M334" t="str">
        <f>IF(LEN(G334)&lt;&gt;0,_xlfn.XLOOKUP(G334,[1]!Entities[ID_with_x],[1]!Entities[Name_w_County],_xlfn.CONCAT("Entity ID ",RIGHT(Table3[[#This Row],[Sponsor_1_num]],8)," not found")),"")</f>
        <v/>
      </c>
      <c r="N334" t="str">
        <f>IF(LEN(H334)&lt;&gt;0,_xlfn.XLOOKUP(H334,[1]!Entities[ID_with_x],[1]!Entities[Name_w_County],_xlfn.CONCAT("Entity ID ",RIGHT(Table3[[#This Row],[Sponsor_1_num]],8)," not found")),"")</f>
        <v/>
      </c>
      <c r="O334" t="str">
        <f>IF(LEN(I334)&lt;&gt;0,_xlfn.XLOOKUP(I334,[1]!Entities[ID_with_x],[1]!Entities[Name_w_County],_xlfn.CONCAT("Entity ID ",RIGHT(Table3[[#This Row],[Sponsor_1_num]],8)," not found")),"")</f>
        <v/>
      </c>
      <c r="P334" t="str">
        <f>IF(LEN(J334)&lt;&gt;0,_xlfn.XLOOKUP(J334,[1]!Entities[ID_with_x],[1]!Entities[Name_w_County],_xlfn.CONCAT("Entity ID ",RIGHT(Table3[[#This Row],[Sponsor_1_num]],8)," not found")),"")</f>
        <v/>
      </c>
      <c r="Q334" t="str">
        <f>IF(LEN(K334)&gt;0,_xlfn.TEXTJOIN(", ",TRUE,K334:P334),Table3[[#This Row],[SPONSOR_LIST]])</f>
        <v>Sour Lake</v>
      </c>
    </row>
    <row r="335" spans="1:17" x14ac:dyDescent="0.25">
      <c r="A335" s="304" t="s">
        <v>2935</v>
      </c>
      <c r="B335" t="s">
        <v>2934</v>
      </c>
      <c r="C335" t="str">
        <f t="shared" si="6"/>
        <v>x05002933</v>
      </c>
      <c r="D335" t="str">
        <f>SUBSTITUTE(SUBSTITUTE(Table3[[#This Row],[Sponsor_list_tranform]],",",",x")," ","")</f>
        <v>x05002933</v>
      </c>
      <c r="E335" t="s">
        <v>11718</v>
      </c>
      <c r="K335" t="str">
        <f>IF(LEN(E335)&lt;&gt;0,_xlfn.XLOOKUP(E335,[1]!Entities[ID_with_x],[1]!Entities[Name_w_County],_xlfn.CONCAT("Entity ID ",RIGHT(Table3[[#This Row],[Sponsor_1_num]],8)," not found")),"")</f>
        <v>Sour Lake</v>
      </c>
      <c r="L335" t="str">
        <f>IF(LEN(F335)&lt;&gt;0,_xlfn.XLOOKUP(F335,[1]!Entities[ID_with_x],[1]!Entities[Name_w_County],_xlfn.CONCAT("Entity ID ",RIGHT(Table3[[#This Row],[Sponsor_1_num]],8)," not found")),"")</f>
        <v/>
      </c>
      <c r="M335" t="str">
        <f>IF(LEN(G335)&lt;&gt;0,_xlfn.XLOOKUP(G335,[1]!Entities[ID_with_x],[1]!Entities[Name_w_County],_xlfn.CONCAT("Entity ID ",RIGHT(Table3[[#This Row],[Sponsor_1_num]],8)," not found")),"")</f>
        <v/>
      </c>
      <c r="N335" t="str">
        <f>IF(LEN(H335)&lt;&gt;0,_xlfn.XLOOKUP(H335,[1]!Entities[ID_with_x],[1]!Entities[Name_w_County],_xlfn.CONCAT("Entity ID ",RIGHT(Table3[[#This Row],[Sponsor_1_num]],8)," not found")),"")</f>
        <v/>
      </c>
      <c r="O335" t="str">
        <f>IF(LEN(I335)&lt;&gt;0,_xlfn.XLOOKUP(I335,[1]!Entities[ID_with_x],[1]!Entities[Name_w_County],_xlfn.CONCAT("Entity ID ",RIGHT(Table3[[#This Row],[Sponsor_1_num]],8)," not found")),"")</f>
        <v/>
      </c>
      <c r="P335" t="str">
        <f>IF(LEN(J335)&lt;&gt;0,_xlfn.XLOOKUP(J335,[1]!Entities[ID_with_x],[1]!Entities[Name_w_County],_xlfn.CONCAT("Entity ID ",RIGHT(Table3[[#This Row],[Sponsor_1_num]],8)," not found")),"")</f>
        <v/>
      </c>
      <c r="Q335" t="str">
        <f>IF(LEN(K335)&gt;0,_xlfn.TEXTJOIN(", ",TRUE,K335:P335),Table3[[#This Row],[SPONSOR_LIST]])</f>
        <v>Sour Lake</v>
      </c>
    </row>
    <row r="336" spans="1:17" x14ac:dyDescent="0.25">
      <c r="A336" s="304" t="s">
        <v>2764</v>
      </c>
      <c r="B336" t="s">
        <v>2067</v>
      </c>
      <c r="C336" t="str">
        <f t="shared" si="6"/>
        <v>x00000128</v>
      </c>
      <c r="D336" t="str">
        <f>SUBSTITUTE(SUBSTITUTE(Table3[[#This Row],[Sponsor_list_tranform]],",",",x")," ","")</f>
        <v>x00000128</v>
      </c>
      <c r="E336" t="s">
        <v>11651</v>
      </c>
      <c r="K336" t="str">
        <f>IF(LEN(E336)&lt;&gt;0,_xlfn.XLOOKUP(E336,[1]!Entities[ID_with_x],[1]!Entities[Name_w_County],_xlfn.CONCAT("Entity ID ",RIGHT(Table3[[#This Row],[Sponsor_1_num]],8)," not found")),"")</f>
        <v>Houston County</v>
      </c>
      <c r="L336" t="str">
        <f>IF(LEN(F336)&lt;&gt;0,_xlfn.XLOOKUP(F336,[1]!Entities[ID_with_x],[1]!Entities[Name_w_County],_xlfn.CONCAT("Entity ID ",RIGHT(Table3[[#This Row],[Sponsor_1_num]],8)," not found")),"")</f>
        <v/>
      </c>
      <c r="M336" t="str">
        <f>IF(LEN(G336)&lt;&gt;0,_xlfn.XLOOKUP(G336,[1]!Entities[ID_with_x],[1]!Entities[Name_w_County],_xlfn.CONCAT("Entity ID ",RIGHT(Table3[[#This Row],[Sponsor_1_num]],8)," not found")),"")</f>
        <v/>
      </c>
      <c r="N336" t="str">
        <f>IF(LEN(H336)&lt;&gt;0,_xlfn.XLOOKUP(H336,[1]!Entities[ID_with_x],[1]!Entities[Name_w_County],_xlfn.CONCAT("Entity ID ",RIGHT(Table3[[#This Row],[Sponsor_1_num]],8)," not found")),"")</f>
        <v/>
      </c>
      <c r="O336" t="str">
        <f>IF(LEN(I336)&lt;&gt;0,_xlfn.XLOOKUP(I336,[1]!Entities[ID_with_x],[1]!Entities[Name_w_County],_xlfn.CONCAT("Entity ID ",RIGHT(Table3[[#This Row],[Sponsor_1_num]],8)," not found")),"")</f>
        <v/>
      </c>
      <c r="P336" t="str">
        <f>IF(LEN(J336)&lt;&gt;0,_xlfn.XLOOKUP(J336,[1]!Entities[ID_with_x],[1]!Entities[Name_w_County],_xlfn.CONCAT("Entity ID ",RIGHT(Table3[[#This Row],[Sponsor_1_num]],8)," not found")),"")</f>
        <v/>
      </c>
      <c r="Q336" t="str">
        <f>IF(LEN(K336)&gt;0,_xlfn.TEXTJOIN(", ",TRUE,K336:P336),Table3[[#This Row],[SPONSOR_LIST]])</f>
        <v>Houston County</v>
      </c>
    </row>
    <row r="337" spans="1:17" x14ac:dyDescent="0.25">
      <c r="A337" s="304" t="s">
        <v>2761</v>
      </c>
      <c r="B337" t="s">
        <v>2067</v>
      </c>
      <c r="C337" t="str">
        <f t="shared" si="6"/>
        <v>x00000128</v>
      </c>
      <c r="D337" t="str">
        <f>SUBSTITUTE(SUBSTITUTE(Table3[[#This Row],[Sponsor_list_tranform]],",",",x")," ","")</f>
        <v>x00000128</v>
      </c>
      <c r="E337" t="s">
        <v>11651</v>
      </c>
      <c r="K337" t="str">
        <f>IF(LEN(E337)&lt;&gt;0,_xlfn.XLOOKUP(E337,[1]!Entities[ID_with_x],[1]!Entities[Name_w_County],_xlfn.CONCAT("Entity ID ",RIGHT(Table3[[#This Row],[Sponsor_1_num]],8)," not found")),"")</f>
        <v>Houston County</v>
      </c>
      <c r="L337" t="str">
        <f>IF(LEN(F337)&lt;&gt;0,_xlfn.XLOOKUP(F337,[1]!Entities[ID_with_x],[1]!Entities[Name_w_County],_xlfn.CONCAT("Entity ID ",RIGHT(Table3[[#This Row],[Sponsor_1_num]],8)," not found")),"")</f>
        <v/>
      </c>
      <c r="M337" t="str">
        <f>IF(LEN(G337)&lt;&gt;0,_xlfn.XLOOKUP(G337,[1]!Entities[ID_with_x],[1]!Entities[Name_w_County],_xlfn.CONCAT("Entity ID ",RIGHT(Table3[[#This Row],[Sponsor_1_num]],8)," not found")),"")</f>
        <v/>
      </c>
      <c r="N337" t="str">
        <f>IF(LEN(H337)&lt;&gt;0,_xlfn.XLOOKUP(H337,[1]!Entities[ID_with_x],[1]!Entities[Name_w_County],_xlfn.CONCAT("Entity ID ",RIGHT(Table3[[#This Row],[Sponsor_1_num]],8)," not found")),"")</f>
        <v/>
      </c>
      <c r="O337" t="str">
        <f>IF(LEN(I337)&lt;&gt;0,_xlfn.XLOOKUP(I337,[1]!Entities[ID_with_x],[1]!Entities[Name_w_County],_xlfn.CONCAT("Entity ID ",RIGHT(Table3[[#This Row],[Sponsor_1_num]],8)," not found")),"")</f>
        <v/>
      </c>
      <c r="P337" t="str">
        <f>IF(LEN(J337)&lt;&gt;0,_xlfn.XLOOKUP(J337,[1]!Entities[ID_with_x],[1]!Entities[Name_w_County],_xlfn.CONCAT("Entity ID ",RIGHT(Table3[[#This Row],[Sponsor_1_num]],8)," not found")),"")</f>
        <v/>
      </c>
      <c r="Q337" t="str">
        <f>IF(LEN(K337)&gt;0,_xlfn.TEXTJOIN(", ",TRUE,K337:P337),Table3[[#This Row],[SPONSOR_LIST]])</f>
        <v>Houston County</v>
      </c>
    </row>
    <row r="338" spans="1:17" x14ac:dyDescent="0.25">
      <c r="A338" s="304" t="s">
        <v>2767</v>
      </c>
      <c r="B338" t="s">
        <v>2067</v>
      </c>
      <c r="C338" t="str">
        <f t="shared" si="6"/>
        <v>x00000128</v>
      </c>
      <c r="D338" t="str">
        <f>SUBSTITUTE(SUBSTITUTE(Table3[[#This Row],[Sponsor_list_tranform]],",",",x")," ","")</f>
        <v>x00000128</v>
      </c>
      <c r="E338" t="s">
        <v>11651</v>
      </c>
      <c r="K338" t="str">
        <f>IF(LEN(E338)&lt;&gt;0,_xlfn.XLOOKUP(E338,[1]!Entities[ID_with_x],[1]!Entities[Name_w_County],_xlfn.CONCAT("Entity ID ",RIGHT(Table3[[#This Row],[Sponsor_1_num]],8)," not found")),"")</f>
        <v>Houston County</v>
      </c>
      <c r="L338" t="str">
        <f>IF(LEN(F338)&lt;&gt;0,_xlfn.XLOOKUP(F338,[1]!Entities[ID_with_x],[1]!Entities[Name_w_County],_xlfn.CONCAT("Entity ID ",RIGHT(Table3[[#This Row],[Sponsor_1_num]],8)," not found")),"")</f>
        <v/>
      </c>
      <c r="M338" t="str">
        <f>IF(LEN(G338)&lt;&gt;0,_xlfn.XLOOKUP(G338,[1]!Entities[ID_with_x],[1]!Entities[Name_w_County],_xlfn.CONCAT("Entity ID ",RIGHT(Table3[[#This Row],[Sponsor_1_num]],8)," not found")),"")</f>
        <v/>
      </c>
      <c r="N338" t="str">
        <f>IF(LEN(H338)&lt;&gt;0,_xlfn.XLOOKUP(H338,[1]!Entities[ID_with_x],[1]!Entities[Name_w_County],_xlfn.CONCAT("Entity ID ",RIGHT(Table3[[#This Row],[Sponsor_1_num]],8)," not found")),"")</f>
        <v/>
      </c>
      <c r="O338" t="str">
        <f>IF(LEN(I338)&lt;&gt;0,_xlfn.XLOOKUP(I338,[1]!Entities[ID_with_x],[1]!Entities[Name_w_County],_xlfn.CONCAT("Entity ID ",RIGHT(Table3[[#This Row],[Sponsor_1_num]],8)," not found")),"")</f>
        <v/>
      </c>
      <c r="P338" t="str">
        <f>IF(LEN(J338)&lt;&gt;0,_xlfn.XLOOKUP(J338,[1]!Entities[ID_with_x],[1]!Entities[Name_w_County],_xlfn.CONCAT("Entity ID ",RIGHT(Table3[[#This Row],[Sponsor_1_num]],8)," not found")),"")</f>
        <v/>
      </c>
      <c r="Q338" t="str">
        <f>IF(LEN(K338)&gt;0,_xlfn.TEXTJOIN(", ",TRUE,K338:P338),Table3[[#This Row],[SPONSOR_LIST]])</f>
        <v>Houston County</v>
      </c>
    </row>
    <row r="339" spans="1:17" x14ac:dyDescent="0.25">
      <c r="A339" s="304" t="s">
        <v>2771</v>
      </c>
      <c r="B339" t="s">
        <v>2774</v>
      </c>
      <c r="C339" t="str">
        <f t="shared" si="6"/>
        <v>x05002532</v>
      </c>
      <c r="D339" t="str">
        <f>SUBSTITUTE(SUBSTITUTE(Table3[[#This Row],[Sponsor_list_tranform]],",",",x")," ","")</f>
        <v>x05002532</v>
      </c>
      <c r="E339" t="s">
        <v>11769</v>
      </c>
      <c r="K339" t="str">
        <f>IF(LEN(E339)&lt;&gt;0,_xlfn.XLOOKUP(E339,[1]!Entities[ID_with_x],[1]!Entities[Name_w_County],_xlfn.CONCAT("Entity ID ",RIGHT(Table3[[#This Row],[Sponsor_1_num]],8)," not found")),"")</f>
        <v>Kennard</v>
      </c>
      <c r="L339" t="str">
        <f>IF(LEN(F339)&lt;&gt;0,_xlfn.XLOOKUP(F339,[1]!Entities[ID_with_x],[1]!Entities[Name_w_County],_xlfn.CONCAT("Entity ID ",RIGHT(Table3[[#This Row],[Sponsor_1_num]],8)," not found")),"")</f>
        <v/>
      </c>
      <c r="M339" t="str">
        <f>IF(LEN(G339)&lt;&gt;0,_xlfn.XLOOKUP(G339,[1]!Entities[ID_with_x],[1]!Entities[Name_w_County],_xlfn.CONCAT("Entity ID ",RIGHT(Table3[[#This Row],[Sponsor_1_num]],8)," not found")),"")</f>
        <v/>
      </c>
      <c r="N339" t="str">
        <f>IF(LEN(H339)&lt;&gt;0,_xlfn.XLOOKUP(H339,[1]!Entities[ID_with_x],[1]!Entities[Name_w_County],_xlfn.CONCAT("Entity ID ",RIGHT(Table3[[#This Row],[Sponsor_1_num]],8)," not found")),"")</f>
        <v/>
      </c>
      <c r="O339" t="str">
        <f>IF(LEN(I339)&lt;&gt;0,_xlfn.XLOOKUP(I339,[1]!Entities[ID_with_x],[1]!Entities[Name_w_County],_xlfn.CONCAT("Entity ID ",RIGHT(Table3[[#This Row],[Sponsor_1_num]],8)," not found")),"")</f>
        <v/>
      </c>
      <c r="P339" t="str">
        <f>IF(LEN(J339)&lt;&gt;0,_xlfn.XLOOKUP(J339,[1]!Entities[ID_with_x],[1]!Entities[Name_w_County],_xlfn.CONCAT("Entity ID ",RIGHT(Table3[[#This Row],[Sponsor_1_num]],8)," not found")),"")</f>
        <v/>
      </c>
      <c r="Q339" t="str">
        <f>IF(LEN(K339)&gt;0,_xlfn.TEXTJOIN(", ",TRUE,K339:P339),Table3[[#This Row],[SPONSOR_LIST]])</f>
        <v>Kennard</v>
      </c>
    </row>
    <row r="340" spans="1:17" x14ac:dyDescent="0.25">
      <c r="A340" s="304" t="s">
        <v>2732</v>
      </c>
      <c r="B340" t="s">
        <v>273</v>
      </c>
      <c r="C340" t="str">
        <f t="shared" si="6"/>
        <v>x00000033</v>
      </c>
      <c r="D340" t="str">
        <f>SUBSTITUTE(SUBSTITUTE(Table3[[#This Row],[Sponsor_list_tranform]],",",",x")," ","")</f>
        <v>x00000033</v>
      </c>
      <c r="E340" t="s">
        <v>11613</v>
      </c>
      <c r="K340" t="str">
        <f>IF(LEN(E340)&lt;&gt;0,_xlfn.XLOOKUP(E340,[1]!Entities[ID_with_x],[1]!Entities[Name_w_County],_xlfn.CONCAT("Entity ID ",RIGHT(Table3[[#This Row],[Sponsor_1_num]],8)," not found")),"")</f>
        <v>Liberty County</v>
      </c>
      <c r="L340" t="str">
        <f>IF(LEN(F340)&lt;&gt;0,_xlfn.XLOOKUP(F340,[1]!Entities[ID_with_x],[1]!Entities[Name_w_County],_xlfn.CONCAT("Entity ID ",RIGHT(Table3[[#This Row],[Sponsor_1_num]],8)," not found")),"")</f>
        <v/>
      </c>
      <c r="M340" t="str">
        <f>IF(LEN(G340)&lt;&gt;0,_xlfn.XLOOKUP(G340,[1]!Entities[ID_with_x],[1]!Entities[Name_w_County],_xlfn.CONCAT("Entity ID ",RIGHT(Table3[[#This Row],[Sponsor_1_num]],8)," not found")),"")</f>
        <v/>
      </c>
      <c r="N340" t="str">
        <f>IF(LEN(H340)&lt;&gt;0,_xlfn.XLOOKUP(H340,[1]!Entities[ID_with_x],[1]!Entities[Name_w_County],_xlfn.CONCAT("Entity ID ",RIGHT(Table3[[#This Row],[Sponsor_1_num]],8)," not found")),"")</f>
        <v/>
      </c>
      <c r="O340" t="str">
        <f>IF(LEN(I340)&lt;&gt;0,_xlfn.XLOOKUP(I340,[1]!Entities[ID_with_x],[1]!Entities[Name_w_County],_xlfn.CONCAT("Entity ID ",RIGHT(Table3[[#This Row],[Sponsor_1_num]],8)," not found")),"")</f>
        <v/>
      </c>
      <c r="P340" t="str">
        <f>IF(LEN(J340)&lt;&gt;0,_xlfn.XLOOKUP(J340,[1]!Entities[ID_with_x],[1]!Entities[Name_w_County],_xlfn.CONCAT("Entity ID ",RIGHT(Table3[[#This Row],[Sponsor_1_num]],8)," not found")),"")</f>
        <v/>
      </c>
      <c r="Q340" t="str">
        <f>IF(LEN(K340)&gt;0,_xlfn.TEXTJOIN(", ",TRUE,K340:P340),Table3[[#This Row],[SPONSOR_LIST]])</f>
        <v>Liberty County</v>
      </c>
    </row>
    <row r="341" spans="1:17" x14ac:dyDescent="0.25">
      <c r="A341" s="304" t="s">
        <v>2811</v>
      </c>
      <c r="B341" t="s">
        <v>2621</v>
      </c>
      <c r="C341" t="str">
        <f t="shared" si="6"/>
        <v>x05002480</v>
      </c>
      <c r="D341" t="str">
        <f>SUBSTITUTE(SUBSTITUTE(Table3[[#This Row],[Sponsor_list_tranform]],",",",x")," ","")</f>
        <v>x05002480</v>
      </c>
      <c r="E341" t="s">
        <v>11719</v>
      </c>
      <c r="K341" t="str">
        <f>IF(LEN(E341)&lt;&gt;0,_xlfn.XLOOKUP(E341,[1]!Entities[ID_with_x],[1]!Entities[Name_w_County],_xlfn.CONCAT("Entity ID ",RIGHT(Table3[[#This Row],[Sponsor_1_num]],8)," not found")),"")</f>
        <v>Daisetta</v>
      </c>
      <c r="L341" t="str">
        <f>IF(LEN(F341)&lt;&gt;0,_xlfn.XLOOKUP(F341,[1]!Entities[ID_with_x],[1]!Entities[Name_w_County],_xlfn.CONCAT("Entity ID ",RIGHT(Table3[[#This Row],[Sponsor_1_num]],8)," not found")),"")</f>
        <v/>
      </c>
      <c r="M341" t="str">
        <f>IF(LEN(G341)&lt;&gt;0,_xlfn.XLOOKUP(G341,[1]!Entities[ID_with_x],[1]!Entities[Name_w_County],_xlfn.CONCAT("Entity ID ",RIGHT(Table3[[#This Row],[Sponsor_1_num]],8)," not found")),"")</f>
        <v/>
      </c>
      <c r="N341" t="str">
        <f>IF(LEN(H341)&lt;&gt;0,_xlfn.XLOOKUP(H341,[1]!Entities[ID_with_x],[1]!Entities[Name_w_County],_xlfn.CONCAT("Entity ID ",RIGHT(Table3[[#This Row],[Sponsor_1_num]],8)," not found")),"")</f>
        <v/>
      </c>
      <c r="O341" t="str">
        <f>IF(LEN(I341)&lt;&gt;0,_xlfn.XLOOKUP(I341,[1]!Entities[ID_with_x],[1]!Entities[Name_w_County],_xlfn.CONCAT("Entity ID ",RIGHT(Table3[[#This Row],[Sponsor_1_num]],8)," not found")),"")</f>
        <v/>
      </c>
      <c r="P341" t="str">
        <f>IF(LEN(J341)&lt;&gt;0,_xlfn.XLOOKUP(J341,[1]!Entities[ID_with_x],[1]!Entities[Name_w_County],_xlfn.CONCAT("Entity ID ",RIGHT(Table3[[#This Row],[Sponsor_1_num]],8)," not found")),"")</f>
        <v/>
      </c>
      <c r="Q341" t="str">
        <f>IF(LEN(K341)&gt;0,_xlfn.TEXTJOIN(", ",TRUE,K341:P341),Table3[[#This Row],[SPONSOR_LIST]])</f>
        <v>Daisetta</v>
      </c>
    </row>
    <row r="342" spans="1:17" x14ac:dyDescent="0.25">
      <c r="A342" s="304" t="s">
        <v>2808</v>
      </c>
      <c r="B342" t="s">
        <v>2567</v>
      </c>
      <c r="C342" t="str">
        <f t="shared" si="6"/>
        <v>x00000512</v>
      </c>
      <c r="D342" t="str">
        <f>SUBSTITUTE(SUBSTITUTE(Table3[[#This Row],[Sponsor_list_tranform]],",",",x")," ","")</f>
        <v>x00000512</v>
      </c>
      <c r="E342" t="s">
        <v>11636</v>
      </c>
      <c r="K342" t="str">
        <f>IF(LEN(E342)&lt;&gt;0,_xlfn.XLOOKUP(E342,[1]!Entities[ID_with_x],[1]!Entities[Name_w_County],_xlfn.CONCAT("Entity ID ",RIGHT(Table3[[#This Row],[Sponsor_1_num]],8)," not found")),"")</f>
        <v>Orange County Drainage District</v>
      </c>
      <c r="L342" t="str">
        <f>IF(LEN(F342)&lt;&gt;0,_xlfn.XLOOKUP(F342,[1]!Entities[ID_with_x],[1]!Entities[Name_w_County],_xlfn.CONCAT("Entity ID ",RIGHT(Table3[[#This Row],[Sponsor_1_num]],8)," not found")),"")</f>
        <v/>
      </c>
      <c r="M342" t="str">
        <f>IF(LEN(G342)&lt;&gt;0,_xlfn.XLOOKUP(G342,[1]!Entities[ID_with_x],[1]!Entities[Name_w_County],_xlfn.CONCAT("Entity ID ",RIGHT(Table3[[#This Row],[Sponsor_1_num]],8)," not found")),"")</f>
        <v/>
      </c>
      <c r="N342" t="str">
        <f>IF(LEN(H342)&lt;&gt;0,_xlfn.XLOOKUP(H342,[1]!Entities[ID_with_x],[1]!Entities[Name_w_County],_xlfn.CONCAT("Entity ID ",RIGHT(Table3[[#This Row],[Sponsor_1_num]],8)," not found")),"")</f>
        <v/>
      </c>
      <c r="O342" t="str">
        <f>IF(LEN(I342)&lt;&gt;0,_xlfn.XLOOKUP(I342,[1]!Entities[ID_with_x],[1]!Entities[Name_w_County],_xlfn.CONCAT("Entity ID ",RIGHT(Table3[[#This Row],[Sponsor_1_num]],8)," not found")),"")</f>
        <v/>
      </c>
      <c r="P342" t="str">
        <f>IF(LEN(J342)&lt;&gt;0,_xlfn.XLOOKUP(J342,[1]!Entities[ID_with_x],[1]!Entities[Name_w_County],_xlfn.CONCAT("Entity ID ",RIGHT(Table3[[#This Row],[Sponsor_1_num]],8)," not found")),"")</f>
        <v/>
      </c>
      <c r="Q342" t="str">
        <f>IF(LEN(K342)&gt;0,_xlfn.TEXTJOIN(", ",TRUE,K342:P342),Table3[[#This Row],[SPONSOR_LIST]])</f>
        <v>Orange County Drainage District</v>
      </c>
    </row>
    <row r="343" spans="1:17" x14ac:dyDescent="0.25">
      <c r="A343" s="304" t="s">
        <v>2737</v>
      </c>
      <c r="B343" t="s">
        <v>2664</v>
      </c>
      <c r="C343" t="str">
        <f t="shared" si="6"/>
        <v>x00000058</v>
      </c>
      <c r="D343" t="str">
        <f>SUBSTITUTE(SUBSTITUTE(Table3[[#This Row],[Sponsor_list_tranform]],",",",x")," ","")</f>
        <v>x00000058</v>
      </c>
      <c r="E343" t="s">
        <v>11637</v>
      </c>
      <c r="K343" t="str">
        <f>IF(LEN(E343)&lt;&gt;0,_xlfn.XLOOKUP(E343,[1]!Entities[ID_with_x],[1]!Entities[Name_w_County],_xlfn.CONCAT("Entity ID ",RIGHT(Table3[[#This Row],[Sponsor_1_num]],8)," not found")),"")</f>
        <v>Polk County</v>
      </c>
      <c r="L343" t="str">
        <f>IF(LEN(F343)&lt;&gt;0,_xlfn.XLOOKUP(F343,[1]!Entities[ID_with_x],[1]!Entities[Name_w_County],_xlfn.CONCAT("Entity ID ",RIGHT(Table3[[#This Row],[Sponsor_1_num]],8)," not found")),"")</f>
        <v/>
      </c>
      <c r="M343" t="str">
        <f>IF(LEN(G343)&lt;&gt;0,_xlfn.XLOOKUP(G343,[1]!Entities[ID_with_x],[1]!Entities[Name_w_County],_xlfn.CONCAT("Entity ID ",RIGHT(Table3[[#This Row],[Sponsor_1_num]],8)," not found")),"")</f>
        <v/>
      </c>
      <c r="N343" t="str">
        <f>IF(LEN(H343)&lt;&gt;0,_xlfn.XLOOKUP(H343,[1]!Entities[ID_with_x],[1]!Entities[Name_w_County],_xlfn.CONCAT("Entity ID ",RIGHT(Table3[[#This Row],[Sponsor_1_num]],8)," not found")),"")</f>
        <v/>
      </c>
      <c r="O343" t="str">
        <f>IF(LEN(I343)&lt;&gt;0,_xlfn.XLOOKUP(I343,[1]!Entities[ID_with_x],[1]!Entities[Name_w_County],_xlfn.CONCAT("Entity ID ",RIGHT(Table3[[#This Row],[Sponsor_1_num]],8)," not found")),"")</f>
        <v/>
      </c>
      <c r="P343" t="str">
        <f>IF(LEN(J343)&lt;&gt;0,_xlfn.XLOOKUP(J343,[1]!Entities[ID_with_x],[1]!Entities[Name_w_County],_xlfn.CONCAT("Entity ID ",RIGHT(Table3[[#This Row],[Sponsor_1_num]],8)," not found")),"")</f>
        <v/>
      </c>
      <c r="Q343" t="str">
        <f>IF(LEN(K343)&gt;0,_xlfn.TEXTJOIN(", ",TRUE,K343:P343),Table3[[#This Row],[SPONSOR_LIST]])</f>
        <v>Polk County</v>
      </c>
    </row>
    <row r="344" spans="1:17" x14ac:dyDescent="0.25">
      <c r="A344" s="304" t="s">
        <v>2740</v>
      </c>
      <c r="B344" t="s">
        <v>2664</v>
      </c>
      <c r="C344" t="str">
        <f t="shared" si="6"/>
        <v>x00000058</v>
      </c>
      <c r="D344" t="str">
        <f>SUBSTITUTE(SUBSTITUTE(Table3[[#This Row],[Sponsor_list_tranform]],",",",x")," ","")</f>
        <v>x00000058</v>
      </c>
      <c r="E344" t="s">
        <v>11637</v>
      </c>
      <c r="K344" t="str">
        <f>IF(LEN(E344)&lt;&gt;0,_xlfn.XLOOKUP(E344,[1]!Entities[ID_with_x],[1]!Entities[Name_w_County],_xlfn.CONCAT("Entity ID ",RIGHT(Table3[[#This Row],[Sponsor_1_num]],8)," not found")),"")</f>
        <v>Polk County</v>
      </c>
      <c r="L344" t="str">
        <f>IF(LEN(F344)&lt;&gt;0,_xlfn.XLOOKUP(F344,[1]!Entities[ID_with_x],[1]!Entities[Name_w_County],_xlfn.CONCAT("Entity ID ",RIGHT(Table3[[#This Row],[Sponsor_1_num]],8)," not found")),"")</f>
        <v/>
      </c>
      <c r="M344" t="str">
        <f>IF(LEN(G344)&lt;&gt;0,_xlfn.XLOOKUP(G344,[1]!Entities[ID_with_x],[1]!Entities[Name_w_County],_xlfn.CONCAT("Entity ID ",RIGHT(Table3[[#This Row],[Sponsor_1_num]],8)," not found")),"")</f>
        <v/>
      </c>
      <c r="N344" t="str">
        <f>IF(LEN(H344)&lt;&gt;0,_xlfn.XLOOKUP(H344,[1]!Entities[ID_with_x],[1]!Entities[Name_w_County],_xlfn.CONCAT("Entity ID ",RIGHT(Table3[[#This Row],[Sponsor_1_num]],8)," not found")),"")</f>
        <v/>
      </c>
      <c r="O344" t="str">
        <f>IF(LEN(I344)&lt;&gt;0,_xlfn.XLOOKUP(I344,[1]!Entities[ID_with_x],[1]!Entities[Name_w_County],_xlfn.CONCAT("Entity ID ",RIGHT(Table3[[#This Row],[Sponsor_1_num]],8)," not found")),"")</f>
        <v/>
      </c>
      <c r="P344" t="str">
        <f>IF(LEN(J344)&lt;&gt;0,_xlfn.XLOOKUP(J344,[1]!Entities[ID_with_x],[1]!Entities[Name_w_County],_xlfn.CONCAT("Entity ID ",RIGHT(Table3[[#This Row],[Sponsor_1_num]],8)," not found")),"")</f>
        <v/>
      </c>
      <c r="Q344" t="str">
        <f>IF(LEN(K344)&gt;0,_xlfn.TEXTJOIN(", ",TRUE,K344:P344),Table3[[#This Row],[SPONSOR_LIST]])</f>
        <v>Polk County</v>
      </c>
    </row>
    <row r="345" spans="1:17" x14ac:dyDescent="0.25">
      <c r="A345" s="304" t="s">
        <v>2595</v>
      </c>
      <c r="B345" t="s">
        <v>2604</v>
      </c>
      <c r="C345" t="str">
        <f t="shared" si="6"/>
        <v>x00002895</v>
      </c>
      <c r="D345" t="str">
        <f>SUBSTITUTE(SUBSTITUTE(Table3[[#This Row],[Sponsor_list_tranform]],",",",x")," ","")</f>
        <v>x00002895</v>
      </c>
      <c r="E345" t="s">
        <v>11770</v>
      </c>
      <c r="K345" t="str">
        <f>IF(LEN(E345)&lt;&gt;0,_xlfn.XLOOKUP(E345,[1]!Entities[ID_with_x],[1]!Entities[Name_w_County],_xlfn.CONCAT("Entity ID ",RIGHT(Table3[[#This Row],[Sponsor_1_num]],8)," not found")),"")</f>
        <v>Henderson</v>
      </c>
      <c r="L345" t="str">
        <f>IF(LEN(F345)&lt;&gt;0,_xlfn.XLOOKUP(F345,[1]!Entities[ID_with_x],[1]!Entities[Name_w_County],_xlfn.CONCAT("Entity ID ",RIGHT(Table3[[#This Row],[Sponsor_1_num]],8)," not found")),"")</f>
        <v/>
      </c>
      <c r="M345" t="str">
        <f>IF(LEN(G345)&lt;&gt;0,_xlfn.XLOOKUP(G345,[1]!Entities[ID_with_x],[1]!Entities[Name_w_County],_xlfn.CONCAT("Entity ID ",RIGHT(Table3[[#This Row],[Sponsor_1_num]],8)," not found")),"")</f>
        <v/>
      </c>
      <c r="N345" t="str">
        <f>IF(LEN(H345)&lt;&gt;0,_xlfn.XLOOKUP(H345,[1]!Entities[ID_with_x],[1]!Entities[Name_w_County],_xlfn.CONCAT("Entity ID ",RIGHT(Table3[[#This Row],[Sponsor_1_num]],8)," not found")),"")</f>
        <v/>
      </c>
      <c r="O345" t="str">
        <f>IF(LEN(I345)&lt;&gt;0,_xlfn.XLOOKUP(I345,[1]!Entities[ID_with_x],[1]!Entities[Name_w_County],_xlfn.CONCAT("Entity ID ",RIGHT(Table3[[#This Row],[Sponsor_1_num]],8)," not found")),"")</f>
        <v/>
      </c>
      <c r="P345" t="str">
        <f>IF(LEN(J345)&lt;&gt;0,_xlfn.XLOOKUP(J345,[1]!Entities[ID_with_x],[1]!Entities[Name_w_County],_xlfn.CONCAT("Entity ID ",RIGHT(Table3[[#This Row],[Sponsor_1_num]],8)," not found")),"")</f>
        <v/>
      </c>
      <c r="Q345" t="str">
        <f>IF(LEN(K345)&gt;0,_xlfn.TEXTJOIN(", ",TRUE,K345:P345),Table3[[#This Row],[SPONSOR_LIST]])</f>
        <v>Henderson</v>
      </c>
    </row>
    <row r="346" spans="1:17" x14ac:dyDescent="0.25">
      <c r="A346" s="304" t="s">
        <v>2778</v>
      </c>
      <c r="B346" t="s">
        <v>2694</v>
      </c>
      <c r="C346" t="str">
        <f t="shared" si="6"/>
        <v>x00000136</v>
      </c>
      <c r="D346" t="str">
        <f>SUBSTITUTE(SUBSTITUTE(Table3[[#This Row],[Sponsor_list_tranform]],",",",x")," ","")</f>
        <v>x00000136</v>
      </c>
      <c r="E346" t="s">
        <v>11638</v>
      </c>
      <c r="K346" t="str">
        <f>IF(LEN(E346)&lt;&gt;0,_xlfn.XLOOKUP(E346,[1]!Entities[ID_with_x],[1]!Entities[Name_w_County],_xlfn.CONCAT("Entity ID ",RIGHT(Table3[[#This Row],[Sponsor_1_num]],8)," not found")),"")</f>
        <v>San Augustine County</v>
      </c>
      <c r="L346" t="str">
        <f>IF(LEN(F346)&lt;&gt;0,_xlfn.XLOOKUP(F346,[1]!Entities[ID_with_x],[1]!Entities[Name_w_County],_xlfn.CONCAT("Entity ID ",RIGHT(Table3[[#This Row],[Sponsor_1_num]],8)," not found")),"")</f>
        <v/>
      </c>
      <c r="M346" t="str">
        <f>IF(LEN(G346)&lt;&gt;0,_xlfn.XLOOKUP(G346,[1]!Entities[ID_with_x],[1]!Entities[Name_w_County],_xlfn.CONCAT("Entity ID ",RIGHT(Table3[[#This Row],[Sponsor_1_num]],8)," not found")),"")</f>
        <v/>
      </c>
      <c r="N346" t="str">
        <f>IF(LEN(H346)&lt;&gt;0,_xlfn.XLOOKUP(H346,[1]!Entities[ID_with_x],[1]!Entities[Name_w_County],_xlfn.CONCAT("Entity ID ",RIGHT(Table3[[#This Row],[Sponsor_1_num]],8)," not found")),"")</f>
        <v/>
      </c>
      <c r="O346" t="str">
        <f>IF(LEN(I346)&lt;&gt;0,_xlfn.XLOOKUP(I346,[1]!Entities[ID_with_x],[1]!Entities[Name_w_County],_xlfn.CONCAT("Entity ID ",RIGHT(Table3[[#This Row],[Sponsor_1_num]],8)," not found")),"")</f>
        <v/>
      </c>
      <c r="P346" t="str">
        <f>IF(LEN(J346)&lt;&gt;0,_xlfn.XLOOKUP(J346,[1]!Entities[ID_with_x],[1]!Entities[Name_w_County],_xlfn.CONCAT("Entity ID ",RIGHT(Table3[[#This Row],[Sponsor_1_num]],8)," not found")),"")</f>
        <v/>
      </c>
      <c r="Q346" t="str">
        <f>IF(LEN(K346)&gt;0,_xlfn.TEXTJOIN(", ",TRUE,K346:P346),Table3[[#This Row],[SPONSOR_LIST]])</f>
        <v>San Augustine County</v>
      </c>
    </row>
    <row r="347" spans="1:17" x14ac:dyDescent="0.25">
      <c r="A347" s="304" t="s">
        <v>2780</v>
      </c>
      <c r="B347" t="s">
        <v>2694</v>
      </c>
      <c r="C347" t="str">
        <f t="shared" si="6"/>
        <v>x00000136</v>
      </c>
      <c r="D347" t="str">
        <f>SUBSTITUTE(SUBSTITUTE(Table3[[#This Row],[Sponsor_list_tranform]],",",",x")," ","")</f>
        <v>x00000136</v>
      </c>
      <c r="E347" t="s">
        <v>11638</v>
      </c>
      <c r="K347" t="str">
        <f>IF(LEN(E347)&lt;&gt;0,_xlfn.XLOOKUP(E347,[1]!Entities[ID_with_x],[1]!Entities[Name_w_County],_xlfn.CONCAT("Entity ID ",RIGHT(Table3[[#This Row],[Sponsor_1_num]],8)," not found")),"")</f>
        <v>San Augustine County</v>
      </c>
      <c r="L347" t="str">
        <f>IF(LEN(F347)&lt;&gt;0,_xlfn.XLOOKUP(F347,[1]!Entities[ID_with_x],[1]!Entities[Name_w_County],_xlfn.CONCAT("Entity ID ",RIGHT(Table3[[#This Row],[Sponsor_1_num]],8)," not found")),"")</f>
        <v/>
      </c>
      <c r="M347" t="str">
        <f>IF(LEN(G347)&lt;&gt;0,_xlfn.XLOOKUP(G347,[1]!Entities[ID_with_x],[1]!Entities[Name_w_County],_xlfn.CONCAT("Entity ID ",RIGHT(Table3[[#This Row],[Sponsor_1_num]],8)," not found")),"")</f>
        <v/>
      </c>
      <c r="N347" t="str">
        <f>IF(LEN(H347)&lt;&gt;0,_xlfn.XLOOKUP(H347,[1]!Entities[ID_with_x],[1]!Entities[Name_w_County],_xlfn.CONCAT("Entity ID ",RIGHT(Table3[[#This Row],[Sponsor_1_num]],8)," not found")),"")</f>
        <v/>
      </c>
      <c r="O347" t="str">
        <f>IF(LEN(I347)&lt;&gt;0,_xlfn.XLOOKUP(I347,[1]!Entities[ID_with_x],[1]!Entities[Name_w_County],_xlfn.CONCAT("Entity ID ",RIGHT(Table3[[#This Row],[Sponsor_1_num]],8)," not found")),"")</f>
        <v/>
      </c>
      <c r="P347" t="str">
        <f>IF(LEN(J347)&lt;&gt;0,_xlfn.XLOOKUP(J347,[1]!Entities[ID_with_x],[1]!Entities[Name_w_County],_xlfn.CONCAT("Entity ID ",RIGHT(Table3[[#This Row],[Sponsor_1_num]],8)," not found")),"")</f>
        <v/>
      </c>
      <c r="Q347" t="str">
        <f>IF(LEN(K347)&gt;0,_xlfn.TEXTJOIN(", ",TRUE,K347:P347),Table3[[#This Row],[SPONSOR_LIST]])</f>
        <v>San Augustine County</v>
      </c>
    </row>
    <row r="348" spans="1:17" x14ac:dyDescent="0.25">
      <c r="A348" s="304" t="s">
        <v>2775</v>
      </c>
      <c r="B348" t="s">
        <v>2694</v>
      </c>
      <c r="C348" t="str">
        <f t="shared" si="6"/>
        <v>x00000136</v>
      </c>
      <c r="D348" t="str">
        <f>SUBSTITUTE(SUBSTITUTE(Table3[[#This Row],[Sponsor_list_tranform]],",",",x")," ","")</f>
        <v>x00000136</v>
      </c>
      <c r="E348" t="s">
        <v>11638</v>
      </c>
      <c r="K348" t="str">
        <f>IF(LEN(E348)&lt;&gt;0,_xlfn.XLOOKUP(E348,[1]!Entities[ID_with_x],[1]!Entities[Name_w_County],_xlfn.CONCAT("Entity ID ",RIGHT(Table3[[#This Row],[Sponsor_1_num]],8)," not found")),"")</f>
        <v>San Augustine County</v>
      </c>
      <c r="L348" t="str">
        <f>IF(LEN(F348)&lt;&gt;0,_xlfn.XLOOKUP(F348,[1]!Entities[ID_with_x],[1]!Entities[Name_w_County],_xlfn.CONCAT("Entity ID ",RIGHT(Table3[[#This Row],[Sponsor_1_num]],8)," not found")),"")</f>
        <v/>
      </c>
      <c r="M348" t="str">
        <f>IF(LEN(G348)&lt;&gt;0,_xlfn.XLOOKUP(G348,[1]!Entities[ID_with_x],[1]!Entities[Name_w_County],_xlfn.CONCAT("Entity ID ",RIGHT(Table3[[#This Row],[Sponsor_1_num]],8)," not found")),"")</f>
        <v/>
      </c>
      <c r="N348" t="str">
        <f>IF(LEN(H348)&lt;&gt;0,_xlfn.XLOOKUP(H348,[1]!Entities[ID_with_x],[1]!Entities[Name_w_County],_xlfn.CONCAT("Entity ID ",RIGHT(Table3[[#This Row],[Sponsor_1_num]],8)," not found")),"")</f>
        <v/>
      </c>
      <c r="O348" t="str">
        <f>IF(LEN(I348)&lt;&gt;0,_xlfn.XLOOKUP(I348,[1]!Entities[ID_with_x],[1]!Entities[Name_w_County],_xlfn.CONCAT("Entity ID ",RIGHT(Table3[[#This Row],[Sponsor_1_num]],8)," not found")),"")</f>
        <v/>
      </c>
      <c r="P348" t="str">
        <f>IF(LEN(J348)&lt;&gt;0,_xlfn.XLOOKUP(J348,[1]!Entities[ID_with_x],[1]!Entities[Name_w_County],_xlfn.CONCAT("Entity ID ",RIGHT(Table3[[#This Row],[Sponsor_1_num]],8)," not found")),"")</f>
        <v/>
      </c>
      <c r="Q348" t="str">
        <f>IF(LEN(K348)&gt;0,_xlfn.TEXTJOIN(", ",TRUE,K348:P348),Table3[[#This Row],[SPONSOR_LIST]])</f>
        <v>San Augustine County</v>
      </c>
    </row>
    <row r="349" spans="1:17" x14ac:dyDescent="0.25">
      <c r="A349" s="304" t="s">
        <v>2783</v>
      </c>
      <c r="B349" t="s">
        <v>2694</v>
      </c>
      <c r="C349" t="str">
        <f t="shared" si="6"/>
        <v>x00000136</v>
      </c>
      <c r="D349" t="str">
        <f>SUBSTITUTE(SUBSTITUTE(Table3[[#This Row],[Sponsor_list_tranform]],",",",x")," ","")</f>
        <v>x00000136</v>
      </c>
      <c r="E349" t="s">
        <v>11638</v>
      </c>
      <c r="K349" t="str">
        <f>IF(LEN(E349)&lt;&gt;0,_xlfn.XLOOKUP(E349,[1]!Entities[ID_with_x],[1]!Entities[Name_w_County],_xlfn.CONCAT("Entity ID ",RIGHT(Table3[[#This Row],[Sponsor_1_num]],8)," not found")),"")</f>
        <v>San Augustine County</v>
      </c>
      <c r="L349" t="str">
        <f>IF(LEN(F349)&lt;&gt;0,_xlfn.XLOOKUP(F349,[1]!Entities[ID_with_x],[1]!Entities[Name_w_County],_xlfn.CONCAT("Entity ID ",RIGHT(Table3[[#This Row],[Sponsor_1_num]],8)," not found")),"")</f>
        <v/>
      </c>
      <c r="M349" t="str">
        <f>IF(LEN(G349)&lt;&gt;0,_xlfn.XLOOKUP(G349,[1]!Entities[ID_with_x],[1]!Entities[Name_w_County],_xlfn.CONCAT("Entity ID ",RIGHT(Table3[[#This Row],[Sponsor_1_num]],8)," not found")),"")</f>
        <v/>
      </c>
      <c r="N349" t="str">
        <f>IF(LEN(H349)&lt;&gt;0,_xlfn.XLOOKUP(H349,[1]!Entities[ID_with_x],[1]!Entities[Name_w_County],_xlfn.CONCAT("Entity ID ",RIGHT(Table3[[#This Row],[Sponsor_1_num]],8)," not found")),"")</f>
        <v/>
      </c>
      <c r="O349" t="str">
        <f>IF(LEN(I349)&lt;&gt;0,_xlfn.XLOOKUP(I349,[1]!Entities[ID_with_x],[1]!Entities[Name_w_County],_xlfn.CONCAT("Entity ID ",RIGHT(Table3[[#This Row],[Sponsor_1_num]],8)," not found")),"")</f>
        <v/>
      </c>
      <c r="P349" t="str">
        <f>IF(LEN(J349)&lt;&gt;0,_xlfn.XLOOKUP(J349,[1]!Entities[ID_with_x],[1]!Entities[Name_w_County],_xlfn.CONCAT("Entity ID ",RIGHT(Table3[[#This Row],[Sponsor_1_num]],8)," not found")),"")</f>
        <v/>
      </c>
      <c r="Q349" t="str">
        <f>IF(LEN(K349)&gt;0,_xlfn.TEXTJOIN(", ",TRUE,K349:P349),Table3[[#This Row],[SPONSOR_LIST]])</f>
        <v>San Augustine County</v>
      </c>
    </row>
    <row r="350" spans="1:17" x14ac:dyDescent="0.25">
      <c r="A350" s="304" t="s">
        <v>2844</v>
      </c>
      <c r="B350" t="s">
        <v>2850</v>
      </c>
      <c r="C350" t="str">
        <f t="shared" si="6"/>
        <v>x05003487</v>
      </c>
      <c r="D350" t="str">
        <f>SUBSTITUTE(SUBSTITUTE(Table3[[#This Row],[Sponsor_list_tranform]],",",",x")," ","")</f>
        <v>x05003487</v>
      </c>
      <c r="E350" t="s">
        <v>11720</v>
      </c>
      <c r="K350" t="str">
        <f>IF(LEN(E350)&lt;&gt;0,_xlfn.XLOOKUP(E350,[1]!Entities[ID_with_x],[1]!Entities[Name_w_County],_xlfn.CONCAT("Entity ID ",RIGHT(Table3[[#This Row],[Sponsor_1_num]],8)," not found")),"")</f>
        <v>San Augustine</v>
      </c>
      <c r="L350" t="str">
        <f>IF(LEN(F350)&lt;&gt;0,_xlfn.XLOOKUP(F350,[1]!Entities[ID_with_x],[1]!Entities[Name_w_County],_xlfn.CONCAT("Entity ID ",RIGHT(Table3[[#This Row],[Sponsor_1_num]],8)," not found")),"")</f>
        <v/>
      </c>
      <c r="M350" t="str">
        <f>IF(LEN(G350)&lt;&gt;0,_xlfn.XLOOKUP(G350,[1]!Entities[ID_with_x],[1]!Entities[Name_w_County],_xlfn.CONCAT("Entity ID ",RIGHT(Table3[[#This Row],[Sponsor_1_num]],8)," not found")),"")</f>
        <v/>
      </c>
      <c r="N350" t="str">
        <f>IF(LEN(H350)&lt;&gt;0,_xlfn.XLOOKUP(H350,[1]!Entities[ID_with_x],[1]!Entities[Name_w_County],_xlfn.CONCAT("Entity ID ",RIGHT(Table3[[#This Row],[Sponsor_1_num]],8)," not found")),"")</f>
        <v/>
      </c>
      <c r="O350" t="str">
        <f>IF(LEN(I350)&lt;&gt;0,_xlfn.XLOOKUP(I350,[1]!Entities[ID_with_x],[1]!Entities[Name_w_County],_xlfn.CONCAT("Entity ID ",RIGHT(Table3[[#This Row],[Sponsor_1_num]],8)," not found")),"")</f>
        <v/>
      </c>
      <c r="P350" t="str">
        <f>IF(LEN(J350)&lt;&gt;0,_xlfn.XLOOKUP(J350,[1]!Entities[ID_with_x],[1]!Entities[Name_w_County],_xlfn.CONCAT("Entity ID ",RIGHT(Table3[[#This Row],[Sponsor_1_num]],8)," not found")),"")</f>
        <v/>
      </c>
      <c r="Q350" t="str">
        <f>IF(LEN(K350)&gt;0,_xlfn.TEXTJOIN(", ",TRUE,K350:P350),Table3[[#This Row],[SPONSOR_LIST]])</f>
        <v>San Augustine</v>
      </c>
    </row>
    <row r="351" spans="1:17" x14ac:dyDescent="0.25">
      <c r="A351" s="304" t="s">
        <v>2794</v>
      </c>
      <c r="B351" t="s">
        <v>2706</v>
      </c>
      <c r="C351" t="str">
        <f t="shared" si="6"/>
        <v>x00000153</v>
      </c>
      <c r="D351" t="str">
        <f>SUBSTITUTE(SUBSTITUTE(Table3[[#This Row],[Sponsor_list_tranform]],",",",x")," ","")</f>
        <v>x00000153</v>
      </c>
      <c r="E351" t="s">
        <v>11639</v>
      </c>
      <c r="K351" t="str">
        <f>IF(LEN(E351)&lt;&gt;0,_xlfn.XLOOKUP(E351,[1]!Entities[ID_with_x],[1]!Entities[Name_w_County],_xlfn.CONCAT("Entity ID ",RIGHT(Table3[[#This Row],[Sponsor_1_num]],8)," not found")),"")</f>
        <v>Shelby County</v>
      </c>
      <c r="L351" t="str">
        <f>IF(LEN(F351)&lt;&gt;0,_xlfn.XLOOKUP(F351,[1]!Entities[ID_with_x],[1]!Entities[Name_w_County],_xlfn.CONCAT("Entity ID ",RIGHT(Table3[[#This Row],[Sponsor_1_num]],8)," not found")),"")</f>
        <v/>
      </c>
      <c r="M351" t="str">
        <f>IF(LEN(G351)&lt;&gt;0,_xlfn.XLOOKUP(G351,[1]!Entities[ID_with_x],[1]!Entities[Name_w_County],_xlfn.CONCAT("Entity ID ",RIGHT(Table3[[#This Row],[Sponsor_1_num]],8)," not found")),"")</f>
        <v/>
      </c>
      <c r="N351" t="str">
        <f>IF(LEN(H351)&lt;&gt;0,_xlfn.XLOOKUP(H351,[1]!Entities[ID_with_x],[1]!Entities[Name_w_County],_xlfn.CONCAT("Entity ID ",RIGHT(Table3[[#This Row],[Sponsor_1_num]],8)," not found")),"")</f>
        <v/>
      </c>
      <c r="O351" t="str">
        <f>IF(LEN(I351)&lt;&gt;0,_xlfn.XLOOKUP(I351,[1]!Entities[ID_with_x],[1]!Entities[Name_w_County],_xlfn.CONCAT("Entity ID ",RIGHT(Table3[[#This Row],[Sponsor_1_num]],8)," not found")),"")</f>
        <v/>
      </c>
      <c r="P351" t="str">
        <f>IF(LEN(J351)&lt;&gt;0,_xlfn.XLOOKUP(J351,[1]!Entities[ID_with_x],[1]!Entities[Name_w_County],_xlfn.CONCAT("Entity ID ",RIGHT(Table3[[#This Row],[Sponsor_1_num]],8)," not found")),"")</f>
        <v/>
      </c>
      <c r="Q351" t="str">
        <f>IF(LEN(K351)&gt;0,_xlfn.TEXTJOIN(", ",TRUE,K351:P351),Table3[[#This Row],[SPONSOR_LIST]])</f>
        <v>Shelby County</v>
      </c>
    </row>
    <row r="352" spans="1:17" x14ac:dyDescent="0.25">
      <c r="A352" s="304" t="s">
        <v>2791</v>
      </c>
      <c r="B352" t="s">
        <v>2706</v>
      </c>
      <c r="C352" t="str">
        <f t="shared" si="6"/>
        <v>x00000153</v>
      </c>
      <c r="D352" t="str">
        <f>SUBSTITUTE(SUBSTITUTE(Table3[[#This Row],[Sponsor_list_tranform]],",",",x")," ","")</f>
        <v>x00000153</v>
      </c>
      <c r="E352" t="s">
        <v>11639</v>
      </c>
      <c r="K352" t="str">
        <f>IF(LEN(E352)&lt;&gt;0,_xlfn.XLOOKUP(E352,[1]!Entities[ID_with_x],[1]!Entities[Name_w_County],_xlfn.CONCAT("Entity ID ",RIGHT(Table3[[#This Row],[Sponsor_1_num]],8)," not found")),"")</f>
        <v>Shelby County</v>
      </c>
      <c r="L352" t="str">
        <f>IF(LEN(F352)&lt;&gt;0,_xlfn.XLOOKUP(F352,[1]!Entities[ID_with_x],[1]!Entities[Name_w_County],_xlfn.CONCAT("Entity ID ",RIGHT(Table3[[#This Row],[Sponsor_1_num]],8)," not found")),"")</f>
        <v/>
      </c>
      <c r="M352" t="str">
        <f>IF(LEN(G352)&lt;&gt;0,_xlfn.XLOOKUP(G352,[1]!Entities[ID_with_x],[1]!Entities[Name_w_County],_xlfn.CONCAT("Entity ID ",RIGHT(Table3[[#This Row],[Sponsor_1_num]],8)," not found")),"")</f>
        <v/>
      </c>
      <c r="N352" t="str">
        <f>IF(LEN(H352)&lt;&gt;0,_xlfn.XLOOKUP(H352,[1]!Entities[ID_with_x],[1]!Entities[Name_w_County],_xlfn.CONCAT("Entity ID ",RIGHT(Table3[[#This Row],[Sponsor_1_num]],8)," not found")),"")</f>
        <v/>
      </c>
      <c r="O352" t="str">
        <f>IF(LEN(I352)&lt;&gt;0,_xlfn.XLOOKUP(I352,[1]!Entities[ID_with_x],[1]!Entities[Name_w_County],_xlfn.CONCAT("Entity ID ",RIGHT(Table3[[#This Row],[Sponsor_1_num]],8)," not found")),"")</f>
        <v/>
      </c>
      <c r="P352" t="str">
        <f>IF(LEN(J352)&lt;&gt;0,_xlfn.XLOOKUP(J352,[1]!Entities[ID_with_x],[1]!Entities[Name_w_County],_xlfn.CONCAT("Entity ID ",RIGHT(Table3[[#This Row],[Sponsor_1_num]],8)," not found")),"")</f>
        <v/>
      </c>
      <c r="Q352" t="str">
        <f>IF(LEN(K352)&gt;0,_xlfn.TEXTJOIN(", ",TRUE,K352:P352),Table3[[#This Row],[SPONSOR_LIST]])</f>
        <v>Shelby County</v>
      </c>
    </row>
    <row r="353" spans="1:17" x14ac:dyDescent="0.25">
      <c r="A353" s="304" t="s">
        <v>2788</v>
      </c>
      <c r="B353" t="s">
        <v>2706</v>
      </c>
      <c r="C353" t="str">
        <f t="shared" si="6"/>
        <v>x00000153</v>
      </c>
      <c r="D353" t="str">
        <f>SUBSTITUTE(SUBSTITUTE(Table3[[#This Row],[Sponsor_list_tranform]],",",",x")," ","")</f>
        <v>x00000153</v>
      </c>
      <c r="E353" t="s">
        <v>11639</v>
      </c>
      <c r="K353" t="str">
        <f>IF(LEN(E353)&lt;&gt;0,_xlfn.XLOOKUP(E353,[1]!Entities[ID_with_x],[1]!Entities[Name_w_County],_xlfn.CONCAT("Entity ID ",RIGHT(Table3[[#This Row],[Sponsor_1_num]],8)," not found")),"")</f>
        <v>Shelby County</v>
      </c>
      <c r="L353" t="str">
        <f>IF(LEN(F353)&lt;&gt;0,_xlfn.XLOOKUP(F353,[1]!Entities[ID_with_x],[1]!Entities[Name_w_County],_xlfn.CONCAT("Entity ID ",RIGHT(Table3[[#This Row],[Sponsor_1_num]],8)," not found")),"")</f>
        <v/>
      </c>
      <c r="M353" t="str">
        <f>IF(LEN(G353)&lt;&gt;0,_xlfn.XLOOKUP(G353,[1]!Entities[ID_with_x],[1]!Entities[Name_w_County],_xlfn.CONCAT("Entity ID ",RIGHT(Table3[[#This Row],[Sponsor_1_num]],8)," not found")),"")</f>
        <v/>
      </c>
      <c r="N353" t="str">
        <f>IF(LEN(H353)&lt;&gt;0,_xlfn.XLOOKUP(H353,[1]!Entities[ID_with_x],[1]!Entities[Name_w_County],_xlfn.CONCAT("Entity ID ",RIGHT(Table3[[#This Row],[Sponsor_1_num]],8)," not found")),"")</f>
        <v/>
      </c>
      <c r="O353" t="str">
        <f>IF(LEN(I353)&lt;&gt;0,_xlfn.XLOOKUP(I353,[1]!Entities[ID_with_x],[1]!Entities[Name_w_County],_xlfn.CONCAT("Entity ID ",RIGHT(Table3[[#This Row],[Sponsor_1_num]],8)," not found")),"")</f>
        <v/>
      </c>
      <c r="P353" t="str">
        <f>IF(LEN(J353)&lt;&gt;0,_xlfn.XLOOKUP(J353,[1]!Entities[ID_with_x],[1]!Entities[Name_w_County],_xlfn.CONCAT("Entity ID ",RIGHT(Table3[[#This Row],[Sponsor_1_num]],8)," not found")),"")</f>
        <v/>
      </c>
      <c r="Q353" t="str">
        <f>IF(LEN(K353)&gt;0,_xlfn.TEXTJOIN(", ",TRUE,K353:P353),Table3[[#This Row],[SPONSOR_LIST]])</f>
        <v>Shelby County</v>
      </c>
    </row>
    <row r="354" spans="1:17" x14ac:dyDescent="0.25">
      <c r="A354" s="304" t="s">
        <v>2786</v>
      </c>
      <c r="B354" t="s">
        <v>2706</v>
      </c>
      <c r="C354" t="str">
        <f t="shared" si="6"/>
        <v>x00000153</v>
      </c>
      <c r="D354" t="str">
        <f>SUBSTITUTE(SUBSTITUTE(Table3[[#This Row],[Sponsor_list_tranform]],",",",x")," ","")</f>
        <v>x00000153</v>
      </c>
      <c r="E354" t="s">
        <v>11639</v>
      </c>
      <c r="K354" t="str">
        <f>IF(LEN(E354)&lt;&gt;0,_xlfn.XLOOKUP(E354,[1]!Entities[ID_with_x],[1]!Entities[Name_w_County],_xlfn.CONCAT("Entity ID ",RIGHT(Table3[[#This Row],[Sponsor_1_num]],8)," not found")),"")</f>
        <v>Shelby County</v>
      </c>
      <c r="L354" t="str">
        <f>IF(LEN(F354)&lt;&gt;0,_xlfn.XLOOKUP(F354,[1]!Entities[ID_with_x],[1]!Entities[Name_w_County],_xlfn.CONCAT("Entity ID ",RIGHT(Table3[[#This Row],[Sponsor_1_num]],8)," not found")),"")</f>
        <v/>
      </c>
      <c r="M354" t="str">
        <f>IF(LEN(G354)&lt;&gt;0,_xlfn.XLOOKUP(G354,[1]!Entities[ID_with_x],[1]!Entities[Name_w_County],_xlfn.CONCAT("Entity ID ",RIGHT(Table3[[#This Row],[Sponsor_1_num]],8)," not found")),"")</f>
        <v/>
      </c>
      <c r="N354" t="str">
        <f>IF(LEN(H354)&lt;&gt;0,_xlfn.XLOOKUP(H354,[1]!Entities[ID_with_x],[1]!Entities[Name_w_County],_xlfn.CONCAT("Entity ID ",RIGHT(Table3[[#This Row],[Sponsor_1_num]],8)," not found")),"")</f>
        <v/>
      </c>
      <c r="O354" t="str">
        <f>IF(LEN(I354)&lt;&gt;0,_xlfn.XLOOKUP(I354,[1]!Entities[ID_with_x],[1]!Entities[Name_w_County],_xlfn.CONCAT("Entity ID ",RIGHT(Table3[[#This Row],[Sponsor_1_num]],8)," not found")),"")</f>
        <v/>
      </c>
      <c r="P354" t="str">
        <f>IF(LEN(J354)&lt;&gt;0,_xlfn.XLOOKUP(J354,[1]!Entities[ID_with_x],[1]!Entities[Name_w_County],_xlfn.CONCAT("Entity ID ",RIGHT(Table3[[#This Row],[Sponsor_1_num]],8)," not found")),"")</f>
        <v/>
      </c>
      <c r="Q354" t="str">
        <f>IF(LEN(K354)&gt;0,_xlfn.TEXTJOIN(", ",TRUE,K354:P354),Table3[[#This Row],[SPONSOR_LIST]])</f>
        <v>Shelby County</v>
      </c>
    </row>
    <row r="355" spans="1:17" x14ac:dyDescent="0.25">
      <c r="A355" s="304" t="s">
        <v>2859</v>
      </c>
      <c r="B355" t="s">
        <v>2865</v>
      </c>
      <c r="C355" t="str">
        <f t="shared" si="6"/>
        <v>x00003371</v>
      </c>
      <c r="D355" t="str">
        <f>SUBSTITUTE(SUBSTITUTE(Table3[[#This Row],[Sponsor_list_tranform]],",",",x")," ","")</f>
        <v>x00003371</v>
      </c>
      <c r="E355" t="s">
        <v>11640</v>
      </c>
      <c r="K355" t="str">
        <f>IF(LEN(E355)&lt;&gt;0,_xlfn.XLOOKUP(E355,[1]!Entities[ID_with_x],[1]!Entities[Name_w_County],_xlfn.CONCAT("Entity ID ",RIGHT(Table3[[#This Row],[Sponsor_1_num]],8)," not found")),"")</f>
        <v>Tyler</v>
      </c>
      <c r="L355" t="str">
        <f>IF(LEN(F355)&lt;&gt;0,_xlfn.XLOOKUP(F355,[1]!Entities[ID_with_x],[1]!Entities[Name_w_County],_xlfn.CONCAT("Entity ID ",RIGHT(Table3[[#This Row],[Sponsor_1_num]],8)," not found")),"")</f>
        <v/>
      </c>
      <c r="M355" t="str">
        <f>IF(LEN(G355)&lt;&gt;0,_xlfn.XLOOKUP(G355,[1]!Entities[ID_with_x],[1]!Entities[Name_w_County],_xlfn.CONCAT("Entity ID ",RIGHT(Table3[[#This Row],[Sponsor_1_num]],8)," not found")),"")</f>
        <v/>
      </c>
      <c r="N355" t="str">
        <f>IF(LEN(H355)&lt;&gt;0,_xlfn.XLOOKUP(H355,[1]!Entities[ID_with_x],[1]!Entities[Name_w_County],_xlfn.CONCAT("Entity ID ",RIGHT(Table3[[#This Row],[Sponsor_1_num]],8)," not found")),"")</f>
        <v/>
      </c>
      <c r="O355" t="str">
        <f>IF(LEN(I355)&lt;&gt;0,_xlfn.XLOOKUP(I355,[1]!Entities[ID_with_x],[1]!Entities[Name_w_County],_xlfn.CONCAT("Entity ID ",RIGHT(Table3[[#This Row],[Sponsor_1_num]],8)," not found")),"")</f>
        <v/>
      </c>
      <c r="P355" t="str">
        <f>IF(LEN(J355)&lt;&gt;0,_xlfn.XLOOKUP(J355,[1]!Entities[ID_with_x],[1]!Entities[Name_w_County],_xlfn.CONCAT("Entity ID ",RIGHT(Table3[[#This Row],[Sponsor_1_num]],8)," not found")),"")</f>
        <v/>
      </c>
      <c r="Q355" t="str">
        <f>IF(LEN(K355)&gt;0,_xlfn.TEXTJOIN(", ",TRUE,K355:P355),Table3[[#This Row],[SPONSOR_LIST]])</f>
        <v>Tyler</v>
      </c>
    </row>
    <row r="356" spans="1:17" x14ac:dyDescent="0.25">
      <c r="A356" s="304" t="s">
        <v>2831</v>
      </c>
      <c r="B356" t="s">
        <v>2837</v>
      </c>
      <c r="C356" t="str">
        <f t="shared" si="6"/>
        <v>x05003033</v>
      </c>
      <c r="D356" t="str">
        <f>SUBSTITUTE(SUBSTITUTE(Table3[[#This Row],[Sponsor_list_tranform]],",",",x")," ","")</f>
        <v>x05003033</v>
      </c>
      <c r="E356" t="s">
        <v>11721</v>
      </c>
      <c r="K356" t="str">
        <f>IF(LEN(E356)&lt;&gt;0,_xlfn.XLOOKUP(E356,[1]!Entities[ID_with_x],[1]!Entities[Name_w_County],_xlfn.CONCAT("Entity ID ",RIGHT(Table3[[#This Row],[Sponsor_1_num]],8)," not found")),"")</f>
        <v>Whitehouse</v>
      </c>
      <c r="L356" t="str">
        <f>IF(LEN(F356)&lt;&gt;0,_xlfn.XLOOKUP(F356,[1]!Entities[ID_with_x],[1]!Entities[Name_w_County],_xlfn.CONCAT("Entity ID ",RIGHT(Table3[[#This Row],[Sponsor_1_num]],8)," not found")),"")</f>
        <v/>
      </c>
      <c r="M356" t="str">
        <f>IF(LEN(G356)&lt;&gt;0,_xlfn.XLOOKUP(G356,[1]!Entities[ID_with_x],[1]!Entities[Name_w_County],_xlfn.CONCAT("Entity ID ",RIGHT(Table3[[#This Row],[Sponsor_1_num]],8)," not found")),"")</f>
        <v/>
      </c>
      <c r="N356" t="str">
        <f>IF(LEN(H356)&lt;&gt;0,_xlfn.XLOOKUP(H356,[1]!Entities[ID_with_x],[1]!Entities[Name_w_County],_xlfn.CONCAT("Entity ID ",RIGHT(Table3[[#This Row],[Sponsor_1_num]],8)," not found")),"")</f>
        <v/>
      </c>
      <c r="O356" t="str">
        <f>IF(LEN(I356)&lt;&gt;0,_xlfn.XLOOKUP(I356,[1]!Entities[ID_with_x],[1]!Entities[Name_w_County],_xlfn.CONCAT("Entity ID ",RIGHT(Table3[[#This Row],[Sponsor_1_num]],8)," not found")),"")</f>
        <v/>
      </c>
      <c r="P356" t="str">
        <f>IF(LEN(J356)&lt;&gt;0,_xlfn.XLOOKUP(J356,[1]!Entities[ID_with_x],[1]!Entities[Name_w_County],_xlfn.CONCAT("Entity ID ",RIGHT(Table3[[#This Row],[Sponsor_1_num]],8)," not found")),"")</f>
        <v/>
      </c>
      <c r="Q356" t="str">
        <f>IF(LEN(K356)&gt;0,_xlfn.TEXTJOIN(", ",TRUE,K356:P356),Table3[[#This Row],[SPONSOR_LIST]])</f>
        <v>Whitehouse</v>
      </c>
    </row>
    <row r="357" spans="1:17" x14ac:dyDescent="0.25">
      <c r="A357" s="304" t="s">
        <v>2743</v>
      </c>
      <c r="B357" t="s">
        <v>2668</v>
      </c>
      <c r="C357" t="str">
        <f t="shared" si="6"/>
        <v>x00000065</v>
      </c>
      <c r="D357" t="str">
        <f>SUBSTITUTE(SUBSTITUTE(Table3[[#This Row],[Sponsor_list_tranform]],",",",x")," ","")</f>
        <v>x00000065</v>
      </c>
      <c r="E357" t="s">
        <v>11641</v>
      </c>
      <c r="K357" t="str">
        <f>IF(LEN(E357)&lt;&gt;0,_xlfn.XLOOKUP(E357,[1]!Entities[ID_with_x],[1]!Entities[Name_w_County],_xlfn.CONCAT("Entity ID ",RIGHT(Table3[[#This Row],[Sponsor_1_num]],8)," not found")),"")</f>
        <v>Trinity County</v>
      </c>
      <c r="L357" t="str">
        <f>IF(LEN(F357)&lt;&gt;0,_xlfn.XLOOKUP(F357,[1]!Entities[ID_with_x],[1]!Entities[Name_w_County],_xlfn.CONCAT("Entity ID ",RIGHT(Table3[[#This Row],[Sponsor_1_num]],8)," not found")),"")</f>
        <v/>
      </c>
      <c r="M357" t="str">
        <f>IF(LEN(G357)&lt;&gt;0,_xlfn.XLOOKUP(G357,[1]!Entities[ID_with_x],[1]!Entities[Name_w_County],_xlfn.CONCAT("Entity ID ",RIGHT(Table3[[#This Row],[Sponsor_1_num]],8)," not found")),"")</f>
        <v/>
      </c>
      <c r="N357" t="str">
        <f>IF(LEN(H357)&lt;&gt;0,_xlfn.XLOOKUP(H357,[1]!Entities[ID_with_x],[1]!Entities[Name_w_County],_xlfn.CONCAT("Entity ID ",RIGHT(Table3[[#This Row],[Sponsor_1_num]],8)," not found")),"")</f>
        <v/>
      </c>
      <c r="O357" t="str">
        <f>IF(LEN(I357)&lt;&gt;0,_xlfn.XLOOKUP(I357,[1]!Entities[ID_with_x],[1]!Entities[Name_w_County],_xlfn.CONCAT("Entity ID ",RIGHT(Table3[[#This Row],[Sponsor_1_num]],8)," not found")),"")</f>
        <v/>
      </c>
      <c r="P357" t="str">
        <f>IF(LEN(J357)&lt;&gt;0,_xlfn.XLOOKUP(J357,[1]!Entities[ID_with_x],[1]!Entities[Name_w_County],_xlfn.CONCAT("Entity ID ",RIGHT(Table3[[#This Row],[Sponsor_1_num]],8)," not found")),"")</f>
        <v/>
      </c>
      <c r="Q357" t="str">
        <f>IF(LEN(K357)&gt;0,_xlfn.TEXTJOIN(", ",TRUE,K357:P357),Table3[[#This Row],[SPONSOR_LIST]])</f>
        <v>Trinity County</v>
      </c>
    </row>
    <row r="358" spans="1:17" x14ac:dyDescent="0.25">
      <c r="A358" s="304" t="s">
        <v>2746</v>
      </c>
      <c r="B358" t="s">
        <v>2668</v>
      </c>
      <c r="C358" t="str">
        <f t="shared" si="6"/>
        <v>x00000065</v>
      </c>
      <c r="D358" t="str">
        <f>SUBSTITUTE(SUBSTITUTE(Table3[[#This Row],[Sponsor_list_tranform]],",",",x")," ","")</f>
        <v>x00000065</v>
      </c>
      <c r="E358" t="s">
        <v>11641</v>
      </c>
      <c r="K358" t="str">
        <f>IF(LEN(E358)&lt;&gt;0,_xlfn.XLOOKUP(E358,[1]!Entities[ID_with_x],[1]!Entities[Name_w_County],_xlfn.CONCAT("Entity ID ",RIGHT(Table3[[#This Row],[Sponsor_1_num]],8)," not found")),"")</f>
        <v>Trinity County</v>
      </c>
      <c r="L358" t="str">
        <f>IF(LEN(F358)&lt;&gt;0,_xlfn.XLOOKUP(F358,[1]!Entities[ID_with_x],[1]!Entities[Name_w_County],_xlfn.CONCAT("Entity ID ",RIGHT(Table3[[#This Row],[Sponsor_1_num]],8)," not found")),"")</f>
        <v/>
      </c>
      <c r="M358" t="str">
        <f>IF(LEN(G358)&lt;&gt;0,_xlfn.XLOOKUP(G358,[1]!Entities[ID_with_x],[1]!Entities[Name_w_County],_xlfn.CONCAT("Entity ID ",RIGHT(Table3[[#This Row],[Sponsor_1_num]],8)," not found")),"")</f>
        <v/>
      </c>
      <c r="N358" t="str">
        <f>IF(LEN(H358)&lt;&gt;0,_xlfn.XLOOKUP(H358,[1]!Entities[ID_with_x],[1]!Entities[Name_w_County],_xlfn.CONCAT("Entity ID ",RIGHT(Table3[[#This Row],[Sponsor_1_num]],8)," not found")),"")</f>
        <v/>
      </c>
      <c r="O358" t="str">
        <f>IF(LEN(I358)&lt;&gt;0,_xlfn.XLOOKUP(I358,[1]!Entities[ID_with_x],[1]!Entities[Name_w_County],_xlfn.CONCAT("Entity ID ",RIGHT(Table3[[#This Row],[Sponsor_1_num]],8)," not found")),"")</f>
        <v/>
      </c>
      <c r="P358" t="str">
        <f>IF(LEN(J358)&lt;&gt;0,_xlfn.XLOOKUP(J358,[1]!Entities[ID_with_x],[1]!Entities[Name_w_County],_xlfn.CONCAT("Entity ID ",RIGHT(Table3[[#This Row],[Sponsor_1_num]],8)," not found")),"")</f>
        <v/>
      </c>
      <c r="Q358" t="str">
        <f>IF(LEN(K358)&gt;0,_xlfn.TEXTJOIN(", ",TRUE,K358:P358),Table3[[#This Row],[SPONSOR_LIST]])</f>
        <v>Trinity County</v>
      </c>
    </row>
    <row r="359" spans="1:17" x14ac:dyDescent="0.25">
      <c r="A359" s="304" t="s">
        <v>2868</v>
      </c>
      <c r="B359" t="s">
        <v>2725</v>
      </c>
      <c r="C359" t="str">
        <f t="shared" si="6"/>
        <v>x00003580</v>
      </c>
      <c r="D359" t="str">
        <f>SUBSTITUTE(SUBSTITUTE(Table3[[#This Row],[Sponsor_list_tranform]],",",",x")," ","")</f>
        <v>x00003580</v>
      </c>
      <c r="E359" t="s">
        <v>11722</v>
      </c>
      <c r="K359" t="str">
        <f>IF(LEN(E359)&lt;&gt;0,_xlfn.XLOOKUP(E359,[1]!Entities[ID_with_x],[1]!Entities[Name_w_County],_xlfn.CONCAT("Entity ID ",RIGHT(Table3[[#This Row],[Sponsor_1_num]],8)," not found")),"")</f>
        <v>Groveton</v>
      </c>
      <c r="L359" t="str">
        <f>IF(LEN(F359)&lt;&gt;0,_xlfn.XLOOKUP(F359,[1]!Entities[ID_with_x],[1]!Entities[Name_w_County],_xlfn.CONCAT("Entity ID ",RIGHT(Table3[[#This Row],[Sponsor_1_num]],8)," not found")),"")</f>
        <v/>
      </c>
      <c r="M359" t="str">
        <f>IF(LEN(G359)&lt;&gt;0,_xlfn.XLOOKUP(G359,[1]!Entities[ID_with_x],[1]!Entities[Name_w_County],_xlfn.CONCAT("Entity ID ",RIGHT(Table3[[#This Row],[Sponsor_1_num]],8)," not found")),"")</f>
        <v/>
      </c>
      <c r="N359" t="str">
        <f>IF(LEN(H359)&lt;&gt;0,_xlfn.XLOOKUP(H359,[1]!Entities[ID_with_x],[1]!Entities[Name_w_County],_xlfn.CONCAT("Entity ID ",RIGHT(Table3[[#This Row],[Sponsor_1_num]],8)," not found")),"")</f>
        <v/>
      </c>
      <c r="O359" t="str">
        <f>IF(LEN(I359)&lt;&gt;0,_xlfn.XLOOKUP(I359,[1]!Entities[ID_with_x],[1]!Entities[Name_w_County],_xlfn.CONCAT("Entity ID ",RIGHT(Table3[[#This Row],[Sponsor_1_num]],8)," not found")),"")</f>
        <v/>
      </c>
      <c r="P359" t="str">
        <f>IF(LEN(J359)&lt;&gt;0,_xlfn.XLOOKUP(J359,[1]!Entities[ID_with_x],[1]!Entities[Name_w_County],_xlfn.CONCAT("Entity ID ",RIGHT(Table3[[#This Row],[Sponsor_1_num]],8)," not found")),"")</f>
        <v/>
      </c>
      <c r="Q359" t="str">
        <f>IF(LEN(K359)&gt;0,_xlfn.TEXTJOIN(", ",TRUE,K359:P359),Table3[[#This Row],[SPONSOR_LIST]])</f>
        <v>Groveton</v>
      </c>
    </row>
    <row r="360" spans="1:17" x14ac:dyDescent="0.25">
      <c r="A360" s="304" t="s">
        <v>2755</v>
      </c>
      <c r="B360" t="s">
        <v>2494</v>
      </c>
      <c r="C360" t="str">
        <f t="shared" si="6"/>
        <v>x00000110</v>
      </c>
      <c r="D360" t="str">
        <f>SUBSTITUTE(SUBSTITUTE(Table3[[#This Row],[Sponsor_list_tranform]],",",",x")," ","")</f>
        <v>x00000110</v>
      </c>
      <c r="E360" t="s">
        <v>11642</v>
      </c>
      <c r="K360" t="str">
        <f>IF(LEN(E360)&lt;&gt;0,_xlfn.XLOOKUP(E360,[1]!Entities[ID_with_x],[1]!Entities[Name_w_County],_xlfn.CONCAT("Entity ID ",RIGHT(Table3[[#This Row],[Sponsor_1_num]],8)," not found")),"")</f>
        <v>Van Zandt County</v>
      </c>
      <c r="L360" t="str">
        <f>IF(LEN(F360)&lt;&gt;0,_xlfn.XLOOKUP(F360,[1]!Entities[ID_with_x],[1]!Entities[Name_w_County],_xlfn.CONCAT("Entity ID ",RIGHT(Table3[[#This Row],[Sponsor_1_num]],8)," not found")),"")</f>
        <v/>
      </c>
      <c r="M360" t="str">
        <f>IF(LEN(G360)&lt;&gt;0,_xlfn.XLOOKUP(G360,[1]!Entities[ID_with_x],[1]!Entities[Name_w_County],_xlfn.CONCAT("Entity ID ",RIGHT(Table3[[#This Row],[Sponsor_1_num]],8)," not found")),"")</f>
        <v/>
      </c>
      <c r="N360" t="str">
        <f>IF(LEN(H360)&lt;&gt;0,_xlfn.XLOOKUP(H360,[1]!Entities[ID_with_x],[1]!Entities[Name_w_County],_xlfn.CONCAT("Entity ID ",RIGHT(Table3[[#This Row],[Sponsor_1_num]],8)," not found")),"")</f>
        <v/>
      </c>
      <c r="O360" t="str">
        <f>IF(LEN(I360)&lt;&gt;0,_xlfn.XLOOKUP(I360,[1]!Entities[ID_with_x],[1]!Entities[Name_w_County],_xlfn.CONCAT("Entity ID ",RIGHT(Table3[[#This Row],[Sponsor_1_num]],8)," not found")),"")</f>
        <v/>
      </c>
      <c r="P360" t="str">
        <f>IF(LEN(J360)&lt;&gt;0,_xlfn.XLOOKUP(J360,[1]!Entities[ID_with_x],[1]!Entities[Name_w_County],_xlfn.CONCAT("Entity ID ",RIGHT(Table3[[#This Row],[Sponsor_1_num]],8)," not found")),"")</f>
        <v/>
      </c>
      <c r="Q360" t="str">
        <f>IF(LEN(K360)&gt;0,_xlfn.TEXTJOIN(", ",TRUE,K360:P360),Table3[[#This Row],[SPONSOR_LIST]])</f>
        <v>Van Zandt County</v>
      </c>
    </row>
    <row r="361" spans="1:17" x14ac:dyDescent="0.25">
      <c r="A361" s="304" t="s">
        <v>2749</v>
      </c>
      <c r="B361" t="s">
        <v>2494</v>
      </c>
      <c r="C361" t="str">
        <f t="shared" si="6"/>
        <v>x00000110</v>
      </c>
      <c r="D361" t="str">
        <f>SUBSTITUTE(SUBSTITUTE(Table3[[#This Row],[Sponsor_list_tranform]],",",",x")," ","")</f>
        <v>x00000110</v>
      </c>
      <c r="E361" t="s">
        <v>11642</v>
      </c>
      <c r="K361" t="str">
        <f>IF(LEN(E361)&lt;&gt;0,_xlfn.XLOOKUP(E361,[1]!Entities[ID_with_x],[1]!Entities[Name_w_County],_xlfn.CONCAT("Entity ID ",RIGHT(Table3[[#This Row],[Sponsor_1_num]],8)," not found")),"")</f>
        <v>Van Zandt County</v>
      </c>
      <c r="L361" t="str">
        <f>IF(LEN(F361)&lt;&gt;0,_xlfn.XLOOKUP(F361,[1]!Entities[ID_with_x],[1]!Entities[Name_w_County],_xlfn.CONCAT("Entity ID ",RIGHT(Table3[[#This Row],[Sponsor_1_num]],8)," not found")),"")</f>
        <v/>
      </c>
      <c r="M361" t="str">
        <f>IF(LEN(G361)&lt;&gt;0,_xlfn.XLOOKUP(G361,[1]!Entities[ID_with_x],[1]!Entities[Name_w_County],_xlfn.CONCAT("Entity ID ",RIGHT(Table3[[#This Row],[Sponsor_1_num]],8)," not found")),"")</f>
        <v/>
      </c>
      <c r="N361" t="str">
        <f>IF(LEN(H361)&lt;&gt;0,_xlfn.XLOOKUP(H361,[1]!Entities[ID_with_x],[1]!Entities[Name_w_County],_xlfn.CONCAT("Entity ID ",RIGHT(Table3[[#This Row],[Sponsor_1_num]],8)," not found")),"")</f>
        <v/>
      </c>
      <c r="O361" t="str">
        <f>IF(LEN(I361)&lt;&gt;0,_xlfn.XLOOKUP(I361,[1]!Entities[ID_with_x],[1]!Entities[Name_w_County],_xlfn.CONCAT("Entity ID ",RIGHT(Table3[[#This Row],[Sponsor_1_num]],8)," not found")),"")</f>
        <v/>
      </c>
      <c r="P361" t="str">
        <f>IF(LEN(J361)&lt;&gt;0,_xlfn.XLOOKUP(J361,[1]!Entities[ID_with_x],[1]!Entities[Name_w_County],_xlfn.CONCAT("Entity ID ",RIGHT(Table3[[#This Row],[Sponsor_1_num]],8)," not found")),"")</f>
        <v/>
      </c>
      <c r="Q361" t="str">
        <f>IF(LEN(K361)&gt;0,_xlfn.TEXTJOIN(", ",TRUE,K361:P361),Table3[[#This Row],[SPONSOR_LIST]])</f>
        <v>Van Zandt County</v>
      </c>
    </row>
    <row r="362" spans="1:17" x14ac:dyDescent="0.25">
      <c r="A362" s="304" t="s">
        <v>2752</v>
      </c>
      <c r="B362" t="s">
        <v>2494</v>
      </c>
      <c r="C362" t="str">
        <f t="shared" si="6"/>
        <v>x00000110</v>
      </c>
      <c r="D362" t="str">
        <f>SUBSTITUTE(SUBSTITUTE(Table3[[#This Row],[Sponsor_list_tranform]],",",",x")," ","")</f>
        <v>x00000110</v>
      </c>
      <c r="E362" t="s">
        <v>11642</v>
      </c>
      <c r="K362" t="str">
        <f>IF(LEN(E362)&lt;&gt;0,_xlfn.XLOOKUP(E362,[1]!Entities[ID_with_x],[1]!Entities[Name_w_County],_xlfn.CONCAT("Entity ID ",RIGHT(Table3[[#This Row],[Sponsor_1_num]],8)," not found")),"")</f>
        <v>Van Zandt County</v>
      </c>
      <c r="L362" t="str">
        <f>IF(LEN(F362)&lt;&gt;0,_xlfn.XLOOKUP(F362,[1]!Entities[ID_with_x],[1]!Entities[Name_w_County],_xlfn.CONCAT("Entity ID ",RIGHT(Table3[[#This Row],[Sponsor_1_num]],8)," not found")),"")</f>
        <v/>
      </c>
      <c r="M362" t="str">
        <f>IF(LEN(G362)&lt;&gt;0,_xlfn.XLOOKUP(G362,[1]!Entities[ID_with_x],[1]!Entities[Name_w_County],_xlfn.CONCAT("Entity ID ",RIGHT(Table3[[#This Row],[Sponsor_1_num]],8)," not found")),"")</f>
        <v/>
      </c>
      <c r="N362" t="str">
        <f>IF(LEN(H362)&lt;&gt;0,_xlfn.XLOOKUP(H362,[1]!Entities[ID_with_x],[1]!Entities[Name_w_County],_xlfn.CONCAT("Entity ID ",RIGHT(Table3[[#This Row],[Sponsor_1_num]],8)," not found")),"")</f>
        <v/>
      </c>
      <c r="O362" t="str">
        <f>IF(LEN(I362)&lt;&gt;0,_xlfn.XLOOKUP(I362,[1]!Entities[ID_with_x],[1]!Entities[Name_w_County],_xlfn.CONCAT("Entity ID ",RIGHT(Table3[[#This Row],[Sponsor_1_num]],8)," not found")),"")</f>
        <v/>
      </c>
      <c r="P362" t="str">
        <f>IF(LEN(J362)&lt;&gt;0,_xlfn.XLOOKUP(J362,[1]!Entities[ID_with_x],[1]!Entities[Name_w_County],_xlfn.CONCAT("Entity ID ",RIGHT(Table3[[#This Row],[Sponsor_1_num]],8)," not found")),"")</f>
        <v/>
      </c>
      <c r="Q362" t="str">
        <f>IF(LEN(K362)&gt;0,_xlfn.TEXTJOIN(", ",TRUE,K362:P362),Table3[[#This Row],[SPONSOR_LIST]])</f>
        <v>Van Zandt County</v>
      </c>
    </row>
    <row r="363" spans="1:17" x14ac:dyDescent="0.25">
      <c r="A363" s="304" t="s">
        <v>1</v>
      </c>
      <c r="B363" t="s">
        <v>297</v>
      </c>
      <c r="C363" t="str">
        <f t="shared" si="6"/>
        <v>x06002854</v>
      </c>
      <c r="D363" t="str">
        <f>SUBSTITUTE(SUBSTITUTE(Table3[[#This Row],[Sponsor_list_tranform]],",",",x")," ","")</f>
        <v>x06002854</v>
      </c>
      <c r="E363" t="s">
        <v>11648</v>
      </c>
      <c r="K363" t="str">
        <f>IF(LEN(E363)&lt;&gt;0,_xlfn.XLOOKUP(E363,[1]!Entities[ID_with_x],[1]!Entities[Name_w_County],_xlfn.CONCAT("Entity ID ",RIGHT(Table3[[#This Row],[Sponsor_1_num]],8)," not found")),"")</f>
        <v>Bellaire</v>
      </c>
      <c r="L363" t="str">
        <f>IF(LEN(F363)&lt;&gt;0,_xlfn.XLOOKUP(F363,[1]!Entities[ID_with_x],[1]!Entities[Name_w_County],_xlfn.CONCAT("Entity ID ",RIGHT(Table3[[#This Row],[Sponsor_1_num]],8)," not found")),"")</f>
        <v/>
      </c>
      <c r="M363" t="str">
        <f>IF(LEN(G363)&lt;&gt;0,_xlfn.XLOOKUP(G363,[1]!Entities[ID_with_x],[1]!Entities[Name_w_County],_xlfn.CONCAT("Entity ID ",RIGHT(Table3[[#This Row],[Sponsor_1_num]],8)," not found")),"")</f>
        <v/>
      </c>
      <c r="N363" t="str">
        <f>IF(LEN(H363)&lt;&gt;0,_xlfn.XLOOKUP(H363,[1]!Entities[ID_with_x],[1]!Entities[Name_w_County],_xlfn.CONCAT("Entity ID ",RIGHT(Table3[[#This Row],[Sponsor_1_num]],8)," not found")),"")</f>
        <v/>
      </c>
      <c r="O363" t="str">
        <f>IF(LEN(I363)&lt;&gt;0,_xlfn.XLOOKUP(I363,[1]!Entities[ID_with_x],[1]!Entities[Name_w_County],_xlfn.CONCAT("Entity ID ",RIGHT(Table3[[#This Row],[Sponsor_1_num]],8)," not found")),"")</f>
        <v/>
      </c>
      <c r="P363" t="str">
        <f>IF(LEN(J363)&lt;&gt;0,_xlfn.XLOOKUP(J363,[1]!Entities[ID_with_x],[1]!Entities[Name_w_County],_xlfn.CONCAT("Entity ID ",RIGHT(Table3[[#This Row],[Sponsor_1_num]],8)," not found")),"")</f>
        <v/>
      </c>
      <c r="Q363" t="str">
        <f>IF(LEN(K363)&gt;0,_xlfn.TEXTJOIN(", ",TRUE,K363:P363),Table3[[#This Row],[SPONSOR_LIST]])</f>
        <v>Bellaire</v>
      </c>
    </row>
    <row r="364" spans="1:17" x14ac:dyDescent="0.25">
      <c r="A364" s="304" t="s">
        <v>8</v>
      </c>
      <c r="B364" t="s">
        <v>297</v>
      </c>
      <c r="C364" t="str">
        <f t="shared" si="6"/>
        <v>x06002854</v>
      </c>
      <c r="D364" t="str">
        <f>SUBSTITUTE(SUBSTITUTE(Table3[[#This Row],[Sponsor_list_tranform]],",",",x")," ","")</f>
        <v>x06002854</v>
      </c>
      <c r="E364" t="s">
        <v>11648</v>
      </c>
      <c r="K364" t="str">
        <f>IF(LEN(E364)&lt;&gt;0,_xlfn.XLOOKUP(E364,[1]!Entities[ID_with_x],[1]!Entities[Name_w_County],_xlfn.CONCAT("Entity ID ",RIGHT(Table3[[#This Row],[Sponsor_1_num]],8)," not found")),"")</f>
        <v>Bellaire</v>
      </c>
      <c r="L364" t="str">
        <f>IF(LEN(F364)&lt;&gt;0,_xlfn.XLOOKUP(F364,[1]!Entities[ID_with_x],[1]!Entities[Name_w_County],_xlfn.CONCAT("Entity ID ",RIGHT(Table3[[#This Row],[Sponsor_1_num]],8)," not found")),"")</f>
        <v/>
      </c>
      <c r="M364" t="str">
        <f>IF(LEN(G364)&lt;&gt;0,_xlfn.XLOOKUP(G364,[1]!Entities[ID_with_x],[1]!Entities[Name_w_County],_xlfn.CONCAT("Entity ID ",RIGHT(Table3[[#This Row],[Sponsor_1_num]],8)," not found")),"")</f>
        <v/>
      </c>
      <c r="N364" t="str">
        <f>IF(LEN(H364)&lt;&gt;0,_xlfn.XLOOKUP(H364,[1]!Entities[ID_with_x],[1]!Entities[Name_w_County],_xlfn.CONCAT("Entity ID ",RIGHT(Table3[[#This Row],[Sponsor_1_num]],8)," not found")),"")</f>
        <v/>
      </c>
      <c r="O364" t="str">
        <f>IF(LEN(I364)&lt;&gt;0,_xlfn.XLOOKUP(I364,[1]!Entities[ID_with_x],[1]!Entities[Name_w_County],_xlfn.CONCAT("Entity ID ",RIGHT(Table3[[#This Row],[Sponsor_1_num]],8)," not found")),"")</f>
        <v/>
      </c>
      <c r="P364" t="str">
        <f>IF(LEN(J364)&lt;&gt;0,_xlfn.XLOOKUP(J364,[1]!Entities[ID_with_x],[1]!Entities[Name_w_County],_xlfn.CONCAT("Entity ID ",RIGHT(Table3[[#This Row],[Sponsor_1_num]],8)," not found")),"")</f>
        <v/>
      </c>
      <c r="Q364" t="str">
        <f>IF(LEN(K364)&gt;0,_xlfn.TEXTJOIN(", ",TRUE,K364:P364),Table3[[#This Row],[SPONSOR_LIST]])</f>
        <v>Bellaire</v>
      </c>
    </row>
    <row r="365" spans="1:17" x14ac:dyDescent="0.25">
      <c r="A365" s="304" t="s">
        <v>9</v>
      </c>
      <c r="B365" t="s">
        <v>297</v>
      </c>
      <c r="C365" t="str">
        <f t="shared" si="6"/>
        <v>x06002854</v>
      </c>
      <c r="D365" t="str">
        <f>SUBSTITUTE(SUBSTITUTE(Table3[[#This Row],[Sponsor_list_tranform]],",",",x")," ","")</f>
        <v>x06002854</v>
      </c>
      <c r="E365" t="s">
        <v>11648</v>
      </c>
      <c r="K365" t="str">
        <f>IF(LEN(E365)&lt;&gt;0,_xlfn.XLOOKUP(E365,[1]!Entities[ID_with_x],[1]!Entities[Name_w_County],_xlfn.CONCAT("Entity ID ",RIGHT(Table3[[#This Row],[Sponsor_1_num]],8)," not found")),"")</f>
        <v>Bellaire</v>
      </c>
      <c r="L365" t="str">
        <f>IF(LEN(F365)&lt;&gt;0,_xlfn.XLOOKUP(F365,[1]!Entities[ID_with_x],[1]!Entities[Name_w_County],_xlfn.CONCAT("Entity ID ",RIGHT(Table3[[#This Row],[Sponsor_1_num]],8)," not found")),"")</f>
        <v/>
      </c>
      <c r="M365" t="str">
        <f>IF(LEN(G365)&lt;&gt;0,_xlfn.XLOOKUP(G365,[1]!Entities[ID_with_x],[1]!Entities[Name_w_County],_xlfn.CONCAT("Entity ID ",RIGHT(Table3[[#This Row],[Sponsor_1_num]],8)," not found")),"")</f>
        <v/>
      </c>
      <c r="N365" t="str">
        <f>IF(LEN(H365)&lt;&gt;0,_xlfn.XLOOKUP(H365,[1]!Entities[ID_with_x],[1]!Entities[Name_w_County],_xlfn.CONCAT("Entity ID ",RIGHT(Table3[[#This Row],[Sponsor_1_num]],8)," not found")),"")</f>
        <v/>
      </c>
      <c r="O365" t="str">
        <f>IF(LEN(I365)&lt;&gt;0,_xlfn.XLOOKUP(I365,[1]!Entities[ID_with_x],[1]!Entities[Name_w_County],_xlfn.CONCAT("Entity ID ",RIGHT(Table3[[#This Row],[Sponsor_1_num]],8)," not found")),"")</f>
        <v/>
      </c>
      <c r="P365" t="str">
        <f>IF(LEN(J365)&lt;&gt;0,_xlfn.XLOOKUP(J365,[1]!Entities[ID_with_x],[1]!Entities[Name_w_County],_xlfn.CONCAT("Entity ID ",RIGHT(Table3[[#This Row],[Sponsor_1_num]],8)," not found")),"")</f>
        <v/>
      </c>
      <c r="Q365" t="str">
        <f>IF(LEN(K365)&gt;0,_xlfn.TEXTJOIN(", ",TRUE,K365:P365),Table3[[#This Row],[SPONSOR_LIST]])</f>
        <v>Bellaire</v>
      </c>
    </row>
    <row r="366" spans="1:17" x14ac:dyDescent="0.25">
      <c r="A366" s="304" t="s">
        <v>10</v>
      </c>
      <c r="B366" t="s">
        <v>297</v>
      </c>
      <c r="C366" t="str">
        <f t="shared" si="6"/>
        <v>x06002854</v>
      </c>
      <c r="D366" t="str">
        <f>SUBSTITUTE(SUBSTITUTE(Table3[[#This Row],[Sponsor_list_tranform]],",",",x")," ","")</f>
        <v>x06002854</v>
      </c>
      <c r="E366" t="s">
        <v>11648</v>
      </c>
      <c r="K366" t="str">
        <f>IF(LEN(E366)&lt;&gt;0,_xlfn.XLOOKUP(E366,[1]!Entities[ID_with_x],[1]!Entities[Name_w_County],_xlfn.CONCAT("Entity ID ",RIGHT(Table3[[#This Row],[Sponsor_1_num]],8)," not found")),"")</f>
        <v>Bellaire</v>
      </c>
      <c r="L366" t="str">
        <f>IF(LEN(F366)&lt;&gt;0,_xlfn.XLOOKUP(F366,[1]!Entities[ID_with_x],[1]!Entities[Name_w_County],_xlfn.CONCAT("Entity ID ",RIGHT(Table3[[#This Row],[Sponsor_1_num]],8)," not found")),"")</f>
        <v/>
      </c>
      <c r="M366" t="str">
        <f>IF(LEN(G366)&lt;&gt;0,_xlfn.XLOOKUP(G366,[1]!Entities[ID_with_x],[1]!Entities[Name_w_County],_xlfn.CONCAT("Entity ID ",RIGHT(Table3[[#This Row],[Sponsor_1_num]],8)," not found")),"")</f>
        <v/>
      </c>
      <c r="N366" t="str">
        <f>IF(LEN(H366)&lt;&gt;0,_xlfn.XLOOKUP(H366,[1]!Entities[ID_with_x],[1]!Entities[Name_w_County],_xlfn.CONCAT("Entity ID ",RIGHT(Table3[[#This Row],[Sponsor_1_num]],8)," not found")),"")</f>
        <v/>
      </c>
      <c r="O366" t="str">
        <f>IF(LEN(I366)&lt;&gt;0,_xlfn.XLOOKUP(I366,[1]!Entities[ID_with_x],[1]!Entities[Name_w_County],_xlfn.CONCAT("Entity ID ",RIGHT(Table3[[#This Row],[Sponsor_1_num]],8)," not found")),"")</f>
        <v/>
      </c>
      <c r="P366" t="str">
        <f>IF(LEN(J366)&lt;&gt;0,_xlfn.XLOOKUP(J366,[1]!Entities[ID_with_x],[1]!Entities[Name_w_County],_xlfn.CONCAT("Entity ID ",RIGHT(Table3[[#This Row],[Sponsor_1_num]],8)," not found")),"")</f>
        <v/>
      </c>
      <c r="Q366" t="str">
        <f>IF(LEN(K366)&gt;0,_xlfn.TEXTJOIN(", ",TRUE,K366:P366),Table3[[#This Row],[SPONSOR_LIST]])</f>
        <v>Bellaire</v>
      </c>
    </row>
    <row r="367" spans="1:17" x14ac:dyDescent="0.25">
      <c r="A367" s="304" t="s">
        <v>11</v>
      </c>
      <c r="B367" t="s">
        <v>297</v>
      </c>
      <c r="C367" t="str">
        <f t="shared" si="6"/>
        <v>x06002854</v>
      </c>
      <c r="D367" t="str">
        <f>SUBSTITUTE(SUBSTITUTE(Table3[[#This Row],[Sponsor_list_tranform]],",",",x")," ","")</f>
        <v>x06002854</v>
      </c>
      <c r="E367" t="s">
        <v>11648</v>
      </c>
      <c r="K367" t="str">
        <f>IF(LEN(E367)&lt;&gt;0,_xlfn.XLOOKUP(E367,[1]!Entities[ID_with_x],[1]!Entities[Name_w_County],_xlfn.CONCAT("Entity ID ",RIGHT(Table3[[#This Row],[Sponsor_1_num]],8)," not found")),"")</f>
        <v>Bellaire</v>
      </c>
      <c r="L367" t="str">
        <f>IF(LEN(F367)&lt;&gt;0,_xlfn.XLOOKUP(F367,[1]!Entities[ID_with_x],[1]!Entities[Name_w_County],_xlfn.CONCAT("Entity ID ",RIGHT(Table3[[#This Row],[Sponsor_1_num]],8)," not found")),"")</f>
        <v/>
      </c>
      <c r="M367" t="str">
        <f>IF(LEN(G367)&lt;&gt;0,_xlfn.XLOOKUP(G367,[1]!Entities[ID_with_x],[1]!Entities[Name_w_County],_xlfn.CONCAT("Entity ID ",RIGHT(Table3[[#This Row],[Sponsor_1_num]],8)," not found")),"")</f>
        <v/>
      </c>
      <c r="N367" t="str">
        <f>IF(LEN(H367)&lt;&gt;0,_xlfn.XLOOKUP(H367,[1]!Entities[ID_with_x],[1]!Entities[Name_w_County],_xlfn.CONCAT("Entity ID ",RIGHT(Table3[[#This Row],[Sponsor_1_num]],8)," not found")),"")</f>
        <v/>
      </c>
      <c r="O367" t="str">
        <f>IF(LEN(I367)&lt;&gt;0,_xlfn.XLOOKUP(I367,[1]!Entities[ID_with_x],[1]!Entities[Name_w_County],_xlfn.CONCAT("Entity ID ",RIGHT(Table3[[#This Row],[Sponsor_1_num]],8)," not found")),"")</f>
        <v/>
      </c>
      <c r="P367" t="str">
        <f>IF(LEN(J367)&lt;&gt;0,_xlfn.XLOOKUP(J367,[1]!Entities[ID_with_x],[1]!Entities[Name_w_County],_xlfn.CONCAT("Entity ID ",RIGHT(Table3[[#This Row],[Sponsor_1_num]],8)," not found")),"")</f>
        <v/>
      </c>
      <c r="Q367" t="str">
        <f>IF(LEN(K367)&gt;0,_xlfn.TEXTJOIN(", ",TRUE,K367:P367),Table3[[#This Row],[SPONSOR_LIST]])</f>
        <v>Bellaire</v>
      </c>
    </row>
    <row r="368" spans="1:17" x14ac:dyDescent="0.25">
      <c r="A368" s="304" t="s">
        <v>14</v>
      </c>
      <c r="B368" t="s">
        <v>306</v>
      </c>
      <c r="C368" t="str">
        <f t="shared" si="6"/>
        <v>x06002856</v>
      </c>
      <c r="D368" t="str">
        <f>SUBSTITUTE(SUBSTITUTE(Table3[[#This Row],[Sponsor_list_tranform]],",",",x")," ","")</f>
        <v>x06002856</v>
      </c>
      <c r="E368" t="s">
        <v>11813</v>
      </c>
      <c r="K368" t="str">
        <f>IF(LEN(E368)&lt;&gt;0,_xlfn.XLOOKUP(E368,[1]!Entities[ID_with_x],[1]!Entities[Name_w_County],_xlfn.CONCAT("Entity ID ",RIGHT(Table3[[#This Row],[Sponsor_1_num]],8)," not found")),"")</f>
        <v>Bunker Hill Village</v>
      </c>
      <c r="L368" t="str">
        <f>IF(LEN(F368)&lt;&gt;0,_xlfn.XLOOKUP(F368,[1]!Entities[ID_with_x],[1]!Entities[Name_w_County],_xlfn.CONCAT("Entity ID ",RIGHT(Table3[[#This Row],[Sponsor_1_num]],8)," not found")),"")</f>
        <v/>
      </c>
      <c r="M368" t="str">
        <f>IF(LEN(G368)&lt;&gt;0,_xlfn.XLOOKUP(G368,[1]!Entities[ID_with_x],[1]!Entities[Name_w_County],_xlfn.CONCAT("Entity ID ",RIGHT(Table3[[#This Row],[Sponsor_1_num]],8)," not found")),"")</f>
        <v/>
      </c>
      <c r="N368" t="str">
        <f>IF(LEN(H368)&lt;&gt;0,_xlfn.XLOOKUP(H368,[1]!Entities[ID_with_x],[1]!Entities[Name_w_County],_xlfn.CONCAT("Entity ID ",RIGHT(Table3[[#This Row],[Sponsor_1_num]],8)," not found")),"")</f>
        <v/>
      </c>
      <c r="O368" t="str">
        <f>IF(LEN(I368)&lt;&gt;0,_xlfn.XLOOKUP(I368,[1]!Entities[ID_with_x],[1]!Entities[Name_w_County],_xlfn.CONCAT("Entity ID ",RIGHT(Table3[[#This Row],[Sponsor_1_num]],8)," not found")),"")</f>
        <v/>
      </c>
      <c r="P368" t="str">
        <f>IF(LEN(J368)&lt;&gt;0,_xlfn.XLOOKUP(J368,[1]!Entities[ID_with_x],[1]!Entities[Name_w_County],_xlfn.CONCAT("Entity ID ",RIGHT(Table3[[#This Row],[Sponsor_1_num]],8)," not found")),"")</f>
        <v/>
      </c>
      <c r="Q368" t="str">
        <f>IF(LEN(K368)&gt;0,_xlfn.TEXTJOIN(", ",TRUE,K368:P368),Table3[[#This Row],[SPONSOR_LIST]])</f>
        <v>Bunker Hill Village</v>
      </c>
    </row>
    <row r="369" spans="1:17" x14ac:dyDescent="0.25">
      <c r="A369" s="304" t="s">
        <v>18</v>
      </c>
      <c r="B369" t="s">
        <v>306</v>
      </c>
      <c r="C369" t="str">
        <f t="shared" si="6"/>
        <v>x06002856</v>
      </c>
      <c r="D369" t="str">
        <f>SUBSTITUTE(SUBSTITUTE(Table3[[#This Row],[Sponsor_list_tranform]],",",",x")," ","")</f>
        <v>x06002856</v>
      </c>
      <c r="E369" t="s">
        <v>11813</v>
      </c>
      <c r="K369" t="str">
        <f>IF(LEN(E369)&lt;&gt;0,_xlfn.XLOOKUP(E369,[1]!Entities[ID_with_x],[1]!Entities[Name_w_County],_xlfn.CONCAT("Entity ID ",RIGHT(Table3[[#This Row],[Sponsor_1_num]],8)," not found")),"")</f>
        <v>Bunker Hill Village</v>
      </c>
      <c r="L369" t="str">
        <f>IF(LEN(F369)&lt;&gt;0,_xlfn.XLOOKUP(F369,[1]!Entities[ID_with_x],[1]!Entities[Name_w_County],_xlfn.CONCAT("Entity ID ",RIGHT(Table3[[#This Row],[Sponsor_1_num]],8)," not found")),"")</f>
        <v/>
      </c>
      <c r="M369" t="str">
        <f>IF(LEN(G369)&lt;&gt;0,_xlfn.XLOOKUP(G369,[1]!Entities[ID_with_x],[1]!Entities[Name_w_County],_xlfn.CONCAT("Entity ID ",RIGHT(Table3[[#This Row],[Sponsor_1_num]],8)," not found")),"")</f>
        <v/>
      </c>
      <c r="N369" t="str">
        <f>IF(LEN(H369)&lt;&gt;0,_xlfn.XLOOKUP(H369,[1]!Entities[ID_with_x],[1]!Entities[Name_w_County],_xlfn.CONCAT("Entity ID ",RIGHT(Table3[[#This Row],[Sponsor_1_num]],8)," not found")),"")</f>
        <v/>
      </c>
      <c r="O369" t="str">
        <f>IF(LEN(I369)&lt;&gt;0,_xlfn.XLOOKUP(I369,[1]!Entities[ID_with_x],[1]!Entities[Name_w_County],_xlfn.CONCAT("Entity ID ",RIGHT(Table3[[#This Row],[Sponsor_1_num]],8)," not found")),"")</f>
        <v/>
      </c>
      <c r="P369" t="str">
        <f>IF(LEN(J369)&lt;&gt;0,_xlfn.XLOOKUP(J369,[1]!Entities[ID_with_x],[1]!Entities[Name_w_County],_xlfn.CONCAT("Entity ID ",RIGHT(Table3[[#This Row],[Sponsor_1_num]],8)," not found")),"")</f>
        <v/>
      </c>
      <c r="Q369" t="str">
        <f>IF(LEN(K369)&gt;0,_xlfn.TEXTJOIN(", ",TRUE,K369:P369),Table3[[#This Row],[SPONSOR_LIST]])</f>
        <v>Bunker Hill Village</v>
      </c>
    </row>
    <row r="370" spans="1:17" x14ac:dyDescent="0.25">
      <c r="A370" s="304" t="s">
        <v>22</v>
      </c>
      <c r="B370" t="s">
        <v>290</v>
      </c>
      <c r="C370" t="str">
        <f t="shared" si="6"/>
        <v>x00000020</v>
      </c>
      <c r="D370" t="str">
        <f>SUBSTITUTE(SUBSTITUTE(Table3[[#This Row],[Sponsor_list_tranform]],",",",x")," ","")</f>
        <v>x00000020</v>
      </c>
      <c r="E370" t="s">
        <v>11597</v>
      </c>
      <c r="K370" t="str">
        <f>IF(LEN(E370)&lt;&gt;0,_xlfn.XLOOKUP(E370,[1]!Entities[ID_with_x],[1]!Entities[Name_w_County],_xlfn.CONCAT("Entity ID ",RIGHT(Table3[[#This Row],[Sponsor_1_num]],8)," not found")),"")</f>
        <v>Harris County</v>
      </c>
      <c r="L370" t="str">
        <f>IF(LEN(F370)&lt;&gt;0,_xlfn.XLOOKUP(F370,[1]!Entities[ID_with_x],[1]!Entities[Name_w_County],_xlfn.CONCAT("Entity ID ",RIGHT(Table3[[#This Row],[Sponsor_1_num]],8)," not found")),"")</f>
        <v/>
      </c>
      <c r="M370" t="str">
        <f>IF(LEN(G370)&lt;&gt;0,_xlfn.XLOOKUP(G370,[1]!Entities[ID_with_x],[1]!Entities[Name_w_County],_xlfn.CONCAT("Entity ID ",RIGHT(Table3[[#This Row],[Sponsor_1_num]],8)," not found")),"")</f>
        <v/>
      </c>
      <c r="N370" t="str">
        <f>IF(LEN(H370)&lt;&gt;0,_xlfn.XLOOKUP(H370,[1]!Entities[ID_with_x],[1]!Entities[Name_w_County],_xlfn.CONCAT("Entity ID ",RIGHT(Table3[[#This Row],[Sponsor_1_num]],8)," not found")),"")</f>
        <v/>
      </c>
      <c r="O370" t="str">
        <f>IF(LEN(I370)&lt;&gt;0,_xlfn.XLOOKUP(I370,[1]!Entities[ID_with_x],[1]!Entities[Name_w_County],_xlfn.CONCAT("Entity ID ",RIGHT(Table3[[#This Row],[Sponsor_1_num]],8)," not found")),"")</f>
        <v/>
      </c>
      <c r="P370" t="str">
        <f>IF(LEN(J370)&lt;&gt;0,_xlfn.XLOOKUP(J370,[1]!Entities[ID_with_x],[1]!Entities[Name_w_County],_xlfn.CONCAT("Entity ID ",RIGHT(Table3[[#This Row],[Sponsor_1_num]],8)," not found")),"")</f>
        <v/>
      </c>
      <c r="Q370" t="str">
        <f>IF(LEN(K370)&gt;0,_xlfn.TEXTJOIN(", ",TRUE,K370:P370),Table3[[#This Row],[SPONSOR_LIST]])</f>
        <v>Harris County</v>
      </c>
    </row>
    <row r="371" spans="1:17" x14ac:dyDescent="0.25">
      <c r="A371" s="304" t="s">
        <v>25</v>
      </c>
      <c r="B371" t="s">
        <v>290</v>
      </c>
      <c r="C371" t="str">
        <f t="shared" si="6"/>
        <v>x00000020</v>
      </c>
      <c r="D371" t="str">
        <f>SUBSTITUTE(SUBSTITUTE(Table3[[#This Row],[Sponsor_list_tranform]],",",",x")," ","")</f>
        <v>x00000020</v>
      </c>
      <c r="E371" t="s">
        <v>11597</v>
      </c>
      <c r="K371" t="str">
        <f>IF(LEN(E371)&lt;&gt;0,_xlfn.XLOOKUP(E371,[1]!Entities[ID_with_x],[1]!Entities[Name_w_County],_xlfn.CONCAT("Entity ID ",RIGHT(Table3[[#This Row],[Sponsor_1_num]],8)," not found")),"")</f>
        <v>Harris County</v>
      </c>
      <c r="L371" t="str">
        <f>IF(LEN(F371)&lt;&gt;0,_xlfn.XLOOKUP(F371,[1]!Entities[ID_with_x],[1]!Entities[Name_w_County],_xlfn.CONCAT("Entity ID ",RIGHT(Table3[[#This Row],[Sponsor_1_num]],8)," not found")),"")</f>
        <v/>
      </c>
      <c r="M371" t="str">
        <f>IF(LEN(G371)&lt;&gt;0,_xlfn.XLOOKUP(G371,[1]!Entities[ID_with_x],[1]!Entities[Name_w_County],_xlfn.CONCAT("Entity ID ",RIGHT(Table3[[#This Row],[Sponsor_1_num]],8)," not found")),"")</f>
        <v/>
      </c>
      <c r="N371" t="str">
        <f>IF(LEN(H371)&lt;&gt;0,_xlfn.XLOOKUP(H371,[1]!Entities[ID_with_x],[1]!Entities[Name_w_County],_xlfn.CONCAT("Entity ID ",RIGHT(Table3[[#This Row],[Sponsor_1_num]],8)," not found")),"")</f>
        <v/>
      </c>
      <c r="O371" t="str">
        <f>IF(LEN(I371)&lt;&gt;0,_xlfn.XLOOKUP(I371,[1]!Entities[ID_with_x],[1]!Entities[Name_w_County],_xlfn.CONCAT("Entity ID ",RIGHT(Table3[[#This Row],[Sponsor_1_num]],8)," not found")),"")</f>
        <v/>
      </c>
      <c r="P371" t="str">
        <f>IF(LEN(J371)&lt;&gt;0,_xlfn.XLOOKUP(J371,[1]!Entities[ID_with_x],[1]!Entities[Name_w_County],_xlfn.CONCAT("Entity ID ",RIGHT(Table3[[#This Row],[Sponsor_1_num]],8)," not found")),"")</f>
        <v/>
      </c>
      <c r="Q371" t="str">
        <f>IF(LEN(K371)&gt;0,_xlfn.TEXTJOIN(", ",TRUE,K371:P371),Table3[[#This Row],[SPONSOR_LIST]])</f>
        <v>Harris County</v>
      </c>
    </row>
    <row r="372" spans="1:17" x14ac:dyDescent="0.25">
      <c r="A372" s="304" t="s">
        <v>29</v>
      </c>
      <c r="B372" t="s">
        <v>290</v>
      </c>
      <c r="C372" t="str">
        <f t="shared" si="6"/>
        <v>x00000020</v>
      </c>
      <c r="D372" t="str">
        <f>SUBSTITUTE(SUBSTITUTE(Table3[[#This Row],[Sponsor_list_tranform]],",",",x")," ","")</f>
        <v>x00000020</v>
      </c>
      <c r="E372" t="s">
        <v>11597</v>
      </c>
      <c r="K372" t="str">
        <f>IF(LEN(E372)&lt;&gt;0,_xlfn.XLOOKUP(E372,[1]!Entities[ID_with_x],[1]!Entities[Name_w_County],_xlfn.CONCAT("Entity ID ",RIGHT(Table3[[#This Row],[Sponsor_1_num]],8)," not found")),"")</f>
        <v>Harris County</v>
      </c>
      <c r="L372" t="str">
        <f>IF(LEN(F372)&lt;&gt;0,_xlfn.XLOOKUP(F372,[1]!Entities[ID_with_x],[1]!Entities[Name_w_County],_xlfn.CONCAT("Entity ID ",RIGHT(Table3[[#This Row],[Sponsor_1_num]],8)," not found")),"")</f>
        <v/>
      </c>
      <c r="M372" t="str">
        <f>IF(LEN(G372)&lt;&gt;0,_xlfn.XLOOKUP(G372,[1]!Entities[ID_with_x],[1]!Entities[Name_w_County],_xlfn.CONCAT("Entity ID ",RIGHT(Table3[[#This Row],[Sponsor_1_num]],8)," not found")),"")</f>
        <v/>
      </c>
      <c r="N372" t="str">
        <f>IF(LEN(H372)&lt;&gt;0,_xlfn.XLOOKUP(H372,[1]!Entities[ID_with_x],[1]!Entities[Name_w_County],_xlfn.CONCAT("Entity ID ",RIGHT(Table3[[#This Row],[Sponsor_1_num]],8)," not found")),"")</f>
        <v/>
      </c>
      <c r="O372" t="str">
        <f>IF(LEN(I372)&lt;&gt;0,_xlfn.XLOOKUP(I372,[1]!Entities[ID_with_x],[1]!Entities[Name_w_County],_xlfn.CONCAT("Entity ID ",RIGHT(Table3[[#This Row],[Sponsor_1_num]],8)," not found")),"")</f>
        <v/>
      </c>
      <c r="P372" t="str">
        <f>IF(LEN(J372)&lt;&gt;0,_xlfn.XLOOKUP(J372,[1]!Entities[ID_with_x],[1]!Entities[Name_w_County],_xlfn.CONCAT("Entity ID ",RIGHT(Table3[[#This Row],[Sponsor_1_num]],8)," not found")),"")</f>
        <v/>
      </c>
      <c r="Q372" t="str">
        <f>IF(LEN(K372)&gt;0,_xlfn.TEXTJOIN(", ",TRUE,K372:P372),Table3[[#This Row],[SPONSOR_LIST]])</f>
        <v>Harris County</v>
      </c>
    </row>
    <row r="373" spans="1:17" x14ac:dyDescent="0.25">
      <c r="A373" s="304" t="s">
        <v>32</v>
      </c>
      <c r="B373" t="s">
        <v>290</v>
      </c>
      <c r="C373" t="str">
        <f t="shared" si="6"/>
        <v>x00000020</v>
      </c>
      <c r="D373" t="str">
        <f>SUBSTITUTE(SUBSTITUTE(Table3[[#This Row],[Sponsor_list_tranform]],",",",x")," ","")</f>
        <v>x00000020</v>
      </c>
      <c r="E373" t="s">
        <v>11597</v>
      </c>
      <c r="K373" t="str">
        <f>IF(LEN(E373)&lt;&gt;0,_xlfn.XLOOKUP(E373,[1]!Entities[ID_with_x],[1]!Entities[Name_w_County],_xlfn.CONCAT("Entity ID ",RIGHT(Table3[[#This Row],[Sponsor_1_num]],8)," not found")),"")</f>
        <v>Harris County</v>
      </c>
      <c r="L373" t="str">
        <f>IF(LEN(F373)&lt;&gt;0,_xlfn.XLOOKUP(F373,[1]!Entities[ID_with_x],[1]!Entities[Name_w_County],_xlfn.CONCAT("Entity ID ",RIGHT(Table3[[#This Row],[Sponsor_1_num]],8)," not found")),"")</f>
        <v/>
      </c>
      <c r="M373" t="str">
        <f>IF(LEN(G373)&lt;&gt;0,_xlfn.XLOOKUP(G373,[1]!Entities[ID_with_x],[1]!Entities[Name_w_County],_xlfn.CONCAT("Entity ID ",RIGHT(Table3[[#This Row],[Sponsor_1_num]],8)," not found")),"")</f>
        <v/>
      </c>
      <c r="N373" t="str">
        <f>IF(LEN(H373)&lt;&gt;0,_xlfn.XLOOKUP(H373,[1]!Entities[ID_with_x],[1]!Entities[Name_w_County],_xlfn.CONCAT("Entity ID ",RIGHT(Table3[[#This Row],[Sponsor_1_num]],8)," not found")),"")</f>
        <v/>
      </c>
      <c r="O373" t="str">
        <f>IF(LEN(I373)&lt;&gt;0,_xlfn.XLOOKUP(I373,[1]!Entities[ID_with_x],[1]!Entities[Name_w_County],_xlfn.CONCAT("Entity ID ",RIGHT(Table3[[#This Row],[Sponsor_1_num]],8)," not found")),"")</f>
        <v/>
      </c>
      <c r="P373" t="str">
        <f>IF(LEN(J373)&lt;&gt;0,_xlfn.XLOOKUP(J373,[1]!Entities[ID_with_x],[1]!Entities[Name_w_County],_xlfn.CONCAT("Entity ID ",RIGHT(Table3[[#This Row],[Sponsor_1_num]],8)," not found")),"")</f>
        <v/>
      </c>
      <c r="Q373" t="str">
        <f>IF(LEN(K373)&gt;0,_xlfn.TEXTJOIN(", ",TRUE,K373:P373),Table3[[#This Row],[SPONSOR_LIST]])</f>
        <v>Harris County</v>
      </c>
    </row>
    <row r="374" spans="1:17" x14ac:dyDescent="0.25">
      <c r="A374" s="304" t="s">
        <v>35</v>
      </c>
      <c r="B374" t="s">
        <v>280</v>
      </c>
      <c r="C374" t="str">
        <f t="shared" si="6"/>
        <v>x00003020</v>
      </c>
      <c r="D374" t="str">
        <f>SUBSTITUTE(SUBSTITUTE(Table3[[#This Row],[Sponsor_list_tranform]],",",",x")," ","")</f>
        <v>x00003020</v>
      </c>
      <c r="E374" t="s">
        <v>11832</v>
      </c>
      <c r="K374" t="str">
        <f>IF(LEN(E374)&lt;&gt;0,_xlfn.XLOOKUP(E374,[1]!Entities[ID_with_x],[1]!Entities[Name_w_County],_xlfn.CONCAT("Entity ID ",RIGHT(Table3[[#This Row],[Sponsor_1_num]],8)," not found")),"")</f>
        <v>Alvin</v>
      </c>
      <c r="L374" t="str">
        <f>IF(LEN(F374)&lt;&gt;0,_xlfn.XLOOKUP(F374,[1]!Entities[ID_with_x],[1]!Entities[Name_w_County],_xlfn.CONCAT("Entity ID ",RIGHT(Table3[[#This Row],[Sponsor_1_num]],8)," not found")),"")</f>
        <v/>
      </c>
      <c r="M374" t="str">
        <f>IF(LEN(G374)&lt;&gt;0,_xlfn.XLOOKUP(G374,[1]!Entities[ID_with_x],[1]!Entities[Name_w_County],_xlfn.CONCAT("Entity ID ",RIGHT(Table3[[#This Row],[Sponsor_1_num]],8)," not found")),"")</f>
        <v/>
      </c>
      <c r="N374" t="str">
        <f>IF(LEN(H374)&lt;&gt;0,_xlfn.XLOOKUP(H374,[1]!Entities[ID_with_x],[1]!Entities[Name_w_County],_xlfn.CONCAT("Entity ID ",RIGHT(Table3[[#This Row],[Sponsor_1_num]],8)," not found")),"")</f>
        <v/>
      </c>
      <c r="O374" t="str">
        <f>IF(LEN(I374)&lt;&gt;0,_xlfn.XLOOKUP(I374,[1]!Entities[ID_with_x],[1]!Entities[Name_w_County],_xlfn.CONCAT("Entity ID ",RIGHT(Table3[[#This Row],[Sponsor_1_num]],8)," not found")),"")</f>
        <v/>
      </c>
      <c r="P374" t="str">
        <f>IF(LEN(J374)&lt;&gt;0,_xlfn.XLOOKUP(J374,[1]!Entities[ID_with_x],[1]!Entities[Name_w_County],_xlfn.CONCAT("Entity ID ",RIGHT(Table3[[#This Row],[Sponsor_1_num]],8)," not found")),"")</f>
        <v/>
      </c>
      <c r="Q374" t="str">
        <f>IF(LEN(K374)&gt;0,_xlfn.TEXTJOIN(", ",TRUE,K374:P374),Table3[[#This Row],[SPONSOR_LIST]])</f>
        <v>Alvin</v>
      </c>
    </row>
    <row r="375" spans="1:17" x14ac:dyDescent="0.25">
      <c r="A375" s="304" t="s">
        <v>40</v>
      </c>
      <c r="B375" t="s">
        <v>342</v>
      </c>
      <c r="C375" t="str">
        <f t="shared" si="6"/>
        <v>x00000003</v>
      </c>
      <c r="D375" t="str">
        <f>SUBSTITUTE(SUBSTITUTE(Table3[[#This Row],[Sponsor_list_tranform]],",",",x")," ","")</f>
        <v>x00000003</v>
      </c>
      <c r="E375" t="s">
        <v>11603</v>
      </c>
      <c r="K375" t="str">
        <f>IF(LEN(E375)&lt;&gt;0,_xlfn.XLOOKUP(E375,[1]!Entities[ID_with_x],[1]!Entities[Name_w_County],_xlfn.CONCAT("Entity ID ",RIGHT(Table3[[#This Row],[Sponsor_1_num]],8)," not found")),"")</f>
        <v>Brazoria County</v>
      </c>
      <c r="L375" t="str">
        <f>IF(LEN(F375)&lt;&gt;0,_xlfn.XLOOKUP(F375,[1]!Entities[ID_with_x],[1]!Entities[Name_w_County],_xlfn.CONCAT("Entity ID ",RIGHT(Table3[[#This Row],[Sponsor_1_num]],8)," not found")),"")</f>
        <v/>
      </c>
      <c r="M375" t="str">
        <f>IF(LEN(G375)&lt;&gt;0,_xlfn.XLOOKUP(G375,[1]!Entities[ID_with_x],[1]!Entities[Name_w_County],_xlfn.CONCAT("Entity ID ",RIGHT(Table3[[#This Row],[Sponsor_1_num]],8)," not found")),"")</f>
        <v/>
      </c>
      <c r="N375" t="str">
        <f>IF(LEN(H375)&lt;&gt;0,_xlfn.XLOOKUP(H375,[1]!Entities[ID_with_x],[1]!Entities[Name_w_County],_xlfn.CONCAT("Entity ID ",RIGHT(Table3[[#This Row],[Sponsor_1_num]],8)," not found")),"")</f>
        <v/>
      </c>
      <c r="O375" t="str">
        <f>IF(LEN(I375)&lt;&gt;0,_xlfn.XLOOKUP(I375,[1]!Entities[ID_with_x],[1]!Entities[Name_w_County],_xlfn.CONCAT("Entity ID ",RIGHT(Table3[[#This Row],[Sponsor_1_num]],8)," not found")),"")</f>
        <v/>
      </c>
      <c r="P375" t="str">
        <f>IF(LEN(J375)&lt;&gt;0,_xlfn.XLOOKUP(J375,[1]!Entities[ID_with_x],[1]!Entities[Name_w_County],_xlfn.CONCAT("Entity ID ",RIGHT(Table3[[#This Row],[Sponsor_1_num]],8)," not found")),"")</f>
        <v/>
      </c>
      <c r="Q375" t="str">
        <f>IF(LEN(K375)&gt;0,_xlfn.TEXTJOIN(", ",TRUE,K375:P375),Table3[[#This Row],[SPONSOR_LIST]])</f>
        <v>Brazoria County</v>
      </c>
    </row>
    <row r="376" spans="1:17" x14ac:dyDescent="0.25">
      <c r="A376" s="304" t="s">
        <v>43</v>
      </c>
      <c r="B376" t="s">
        <v>347</v>
      </c>
      <c r="C376" t="str">
        <f t="shared" si="6"/>
        <v>x06002809</v>
      </c>
      <c r="D376" t="str">
        <f>SUBSTITUTE(SUBSTITUTE(Table3[[#This Row],[Sponsor_list_tranform]],",",",x")," ","")</f>
        <v>x06002809</v>
      </c>
      <c r="E376" t="s">
        <v>11826</v>
      </c>
      <c r="K376" t="str">
        <f>IF(LEN(E376)&lt;&gt;0,_xlfn.XLOOKUP(E376,[1]!Entities[ID_with_x],[1]!Entities[Name_w_County],_xlfn.CONCAT("Entity ID ",RIGHT(Table3[[#This Row],[Sponsor_1_num]],8)," not found")),"")</f>
        <v>Galveston</v>
      </c>
      <c r="L376" t="str">
        <f>IF(LEN(F376)&lt;&gt;0,_xlfn.XLOOKUP(F376,[1]!Entities[ID_with_x],[1]!Entities[Name_w_County],_xlfn.CONCAT("Entity ID ",RIGHT(Table3[[#This Row],[Sponsor_1_num]],8)," not found")),"")</f>
        <v/>
      </c>
      <c r="M376" t="str">
        <f>IF(LEN(G376)&lt;&gt;0,_xlfn.XLOOKUP(G376,[1]!Entities[ID_with_x],[1]!Entities[Name_w_County],_xlfn.CONCAT("Entity ID ",RIGHT(Table3[[#This Row],[Sponsor_1_num]],8)," not found")),"")</f>
        <v/>
      </c>
      <c r="N376" t="str">
        <f>IF(LEN(H376)&lt;&gt;0,_xlfn.XLOOKUP(H376,[1]!Entities[ID_with_x],[1]!Entities[Name_w_County],_xlfn.CONCAT("Entity ID ",RIGHT(Table3[[#This Row],[Sponsor_1_num]],8)," not found")),"")</f>
        <v/>
      </c>
      <c r="O376" t="str">
        <f>IF(LEN(I376)&lt;&gt;0,_xlfn.XLOOKUP(I376,[1]!Entities[ID_with_x],[1]!Entities[Name_w_County],_xlfn.CONCAT("Entity ID ",RIGHT(Table3[[#This Row],[Sponsor_1_num]],8)," not found")),"")</f>
        <v/>
      </c>
      <c r="P376" t="str">
        <f>IF(LEN(J376)&lt;&gt;0,_xlfn.XLOOKUP(J376,[1]!Entities[ID_with_x],[1]!Entities[Name_w_County],_xlfn.CONCAT("Entity ID ",RIGHT(Table3[[#This Row],[Sponsor_1_num]],8)," not found")),"")</f>
        <v/>
      </c>
      <c r="Q376" t="str">
        <f>IF(LEN(K376)&gt;0,_xlfn.TEXTJOIN(", ",TRUE,K376:P376),Table3[[#This Row],[SPONSOR_LIST]])</f>
        <v>Galveston</v>
      </c>
    </row>
    <row r="377" spans="1:17" x14ac:dyDescent="0.25">
      <c r="A377" s="304" t="s">
        <v>47</v>
      </c>
      <c r="B377" t="s">
        <v>267</v>
      </c>
      <c r="C377" t="str">
        <f t="shared" si="6"/>
        <v>x00000006</v>
      </c>
      <c r="D377" t="str">
        <f>SUBSTITUTE(SUBSTITUTE(Table3[[#This Row],[Sponsor_list_tranform]],",",",x")," ","")</f>
        <v>x00000006</v>
      </c>
      <c r="E377" t="s">
        <v>11605</v>
      </c>
      <c r="K377" t="str">
        <f>IF(LEN(E377)&lt;&gt;0,_xlfn.XLOOKUP(E377,[1]!Entities[ID_with_x],[1]!Entities[Name_w_County],_xlfn.CONCAT("Entity ID ",RIGHT(Table3[[#This Row],[Sponsor_1_num]],8)," not found")),"")</f>
        <v>Galveston County</v>
      </c>
      <c r="L377" t="str">
        <f>IF(LEN(F377)&lt;&gt;0,_xlfn.XLOOKUP(F377,[1]!Entities[ID_with_x],[1]!Entities[Name_w_County],_xlfn.CONCAT("Entity ID ",RIGHT(Table3[[#This Row],[Sponsor_1_num]],8)," not found")),"")</f>
        <v/>
      </c>
      <c r="M377" t="str">
        <f>IF(LEN(G377)&lt;&gt;0,_xlfn.XLOOKUP(G377,[1]!Entities[ID_with_x],[1]!Entities[Name_w_County],_xlfn.CONCAT("Entity ID ",RIGHT(Table3[[#This Row],[Sponsor_1_num]],8)," not found")),"")</f>
        <v/>
      </c>
      <c r="N377" t="str">
        <f>IF(LEN(H377)&lt;&gt;0,_xlfn.XLOOKUP(H377,[1]!Entities[ID_with_x],[1]!Entities[Name_w_County],_xlfn.CONCAT("Entity ID ",RIGHT(Table3[[#This Row],[Sponsor_1_num]],8)," not found")),"")</f>
        <v/>
      </c>
      <c r="O377" t="str">
        <f>IF(LEN(I377)&lt;&gt;0,_xlfn.XLOOKUP(I377,[1]!Entities[ID_with_x],[1]!Entities[Name_w_County],_xlfn.CONCAT("Entity ID ",RIGHT(Table3[[#This Row],[Sponsor_1_num]],8)," not found")),"")</f>
        <v/>
      </c>
      <c r="P377" t="str">
        <f>IF(LEN(J377)&lt;&gt;0,_xlfn.XLOOKUP(J377,[1]!Entities[ID_with_x],[1]!Entities[Name_w_County],_xlfn.CONCAT("Entity ID ",RIGHT(Table3[[#This Row],[Sponsor_1_num]],8)," not found")),"")</f>
        <v/>
      </c>
      <c r="Q377" t="str">
        <f>IF(LEN(K377)&gt;0,_xlfn.TEXTJOIN(", ",TRUE,K377:P377),Table3[[#This Row],[SPONSOR_LIST]])</f>
        <v>Galveston County</v>
      </c>
    </row>
    <row r="378" spans="1:17" x14ac:dyDescent="0.25">
      <c r="A378" s="304" t="s">
        <v>51</v>
      </c>
      <c r="B378" t="s">
        <v>336</v>
      </c>
      <c r="C378" t="str">
        <f t="shared" si="6"/>
        <v>x00000024</v>
      </c>
      <c r="D378" t="str">
        <f>SUBSTITUTE(SUBSTITUTE(Table3[[#This Row],[Sponsor_list_tranform]],",",",x")," ","")</f>
        <v>x00000024</v>
      </c>
      <c r="E378" t="s">
        <v>11650</v>
      </c>
      <c r="K378" t="str">
        <f>IF(LEN(E378)&lt;&gt;0,_xlfn.XLOOKUP(E378,[1]!Entities[ID_with_x],[1]!Entities[Name_w_County],_xlfn.CONCAT("Entity ID ",RIGHT(Table3[[#This Row],[Sponsor_1_num]],8)," not found")),"")</f>
        <v>Waller County</v>
      </c>
      <c r="L378" t="str">
        <f>IF(LEN(F378)&lt;&gt;0,_xlfn.XLOOKUP(F378,[1]!Entities[ID_with_x],[1]!Entities[Name_w_County],_xlfn.CONCAT("Entity ID ",RIGHT(Table3[[#This Row],[Sponsor_1_num]],8)," not found")),"")</f>
        <v/>
      </c>
      <c r="M378" t="str">
        <f>IF(LEN(G378)&lt;&gt;0,_xlfn.XLOOKUP(G378,[1]!Entities[ID_with_x],[1]!Entities[Name_w_County],_xlfn.CONCAT("Entity ID ",RIGHT(Table3[[#This Row],[Sponsor_1_num]],8)," not found")),"")</f>
        <v/>
      </c>
      <c r="N378" t="str">
        <f>IF(LEN(H378)&lt;&gt;0,_xlfn.XLOOKUP(H378,[1]!Entities[ID_with_x],[1]!Entities[Name_w_County],_xlfn.CONCAT("Entity ID ",RIGHT(Table3[[#This Row],[Sponsor_1_num]],8)," not found")),"")</f>
        <v/>
      </c>
      <c r="O378" t="str">
        <f>IF(LEN(I378)&lt;&gt;0,_xlfn.XLOOKUP(I378,[1]!Entities[ID_with_x],[1]!Entities[Name_w_County],_xlfn.CONCAT("Entity ID ",RIGHT(Table3[[#This Row],[Sponsor_1_num]],8)," not found")),"")</f>
        <v/>
      </c>
      <c r="P378" t="str">
        <f>IF(LEN(J378)&lt;&gt;0,_xlfn.XLOOKUP(J378,[1]!Entities[ID_with_x],[1]!Entities[Name_w_County],_xlfn.CONCAT("Entity ID ",RIGHT(Table3[[#This Row],[Sponsor_1_num]],8)," not found")),"")</f>
        <v/>
      </c>
      <c r="Q378" t="str">
        <f>IF(LEN(K378)&gt;0,_xlfn.TEXTJOIN(", ",TRUE,K378:P378),Table3[[#This Row],[SPONSOR_LIST]])</f>
        <v>Waller County</v>
      </c>
    </row>
    <row r="379" spans="1:17" x14ac:dyDescent="0.25">
      <c r="A379" s="304" t="s">
        <v>54</v>
      </c>
      <c r="B379" t="s">
        <v>329</v>
      </c>
      <c r="C379" t="str">
        <f t="shared" si="6"/>
        <v>x06003396</v>
      </c>
      <c r="D379" t="str">
        <f>SUBSTITUTE(SUBSTITUTE(Table3[[#This Row],[Sponsor_list_tranform]],",",",x")," ","")</f>
        <v>x06003396</v>
      </c>
      <c r="E379" t="s">
        <v>11830</v>
      </c>
      <c r="K379" t="str">
        <f>IF(LEN(E379)&lt;&gt;0,_xlfn.XLOOKUP(E379,[1]!Entities[ID_with_x],[1]!Entities[Name_w_County],_xlfn.CONCAT("Entity ID ",RIGHT(Table3[[#This Row],[Sponsor_1_num]],8)," not found")),"")</f>
        <v>Kemah</v>
      </c>
      <c r="L379" t="str">
        <f>IF(LEN(F379)&lt;&gt;0,_xlfn.XLOOKUP(F379,[1]!Entities[ID_with_x],[1]!Entities[Name_w_County],_xlfn.CONCAT("Entity ID ",RIGHT(Table3[[#This Row],[Sponsor_1_num]],8)," not found")),"")</f>
        <v/>
      </c>
      <c r="M379" t="str">
        <f>IF(LEN(G379)&lt;&gt;0,_xlfn.XLOOKUP(G379,[1]!Entities[ID_with_x],[1]!Entities[Name_w_County],_xlfn.CONCAT("Entity ID ",RIGHT(Table3[[#This Row],[Sponsor_1_num]],8)," not found")),"")</f>
        <v/>
      </c>
      <c r="N379" t="str">
        <f>IF(LEN(H379)&lt;&gt;0,_xlfn.XLOOKUP(H379,[1]!Entities[ID_with_x],[1]!Entities[Name_w_County],_xlfn.CONCAT("Entity ID ",RIGHT(Table3[[#This Row],[Sponsor_1_num]],8)," not found")),"")</f>
        <v/>
      </c>
      <c r="O379" t="str">
        <f>IF(LEN(I379)&lt;&gt;0,_xlfn.XLOOKUP(I379,[1]!Entities[ID_with_x],[1]!Entities[Name_w_County],_xlfn.CONCAT("Entity ID ",RIGHT(Table3[[#This Row],[Sponsor_1_num]],8)," not found")),"")</f>
        <v/>
      </c>
      <c r="P379" t="str">
        <f>IF(LEN(J379)&lt;&gt;0,_xlfn.XLOOKUP(J379,[1]!Entities[ID_with_x],[1]!Entities[Name_w_County],_xlfn.CONCAT("Entity ID ",RIGHT(Table3[[#This Row],[Sponsor_1_num]],8)," not found")),"")</f>
        <v/>
      </c>
      <c r="Q379" t="str">
        <f>IF(LEN(K379)&gt;0,_xlfn.TEXTJOIN(", ",TRUE,K379:P379),Table3[[#This Row],[SPONSOR_LIST]])</f>
        <v>Kemah</v>
      </c>
    </row>
    <row r="380" spans="1:17" x14ac:dyDescent="0.25">
      <c r="A380" s="304" t="s">
        <v>57</v>
      </c>
      <c r="B380" t="s">
        <v>267</v>
      </c>
      <c r="C380" t="str">
        <f t="shared" si="6"/>
        <v>x00000006</v>
      </c>
      <c r="D380" t="str">
        <f>SUBSTITUTE(SUBSTITUTE(Table3[[#This Row],[Sponsor_list_tranform]],",",",x")," ","")</f>
        <v>x00000006</v>
      </c>
      <c r="E380" t="s">
        <v>11605</v>
      </c>
      <c r="K380" t="str">
        <f>IF(LEN(E380)&lt;&gt;0,_xlfn.XLOOKUP(E380,[1]!Entities[ID_with_x],[1]!Entities[Name_w_County],_xlfn.CONCAT("Entity ID ",RIGHT(Table3[[#This Row],[Sponsor_1_num]],8)," not found")),"")</f>
        <v>Galveston County</v>
      </c>
      <c r="L380" t="str">
        <f>IF(LEN(F380)&lt;&gt;0,_xlfn.XLOOKUP(F380,[1]!Entities[ID_with_x],[1]!Entities[Name_w_County],_xlfn.CONCAT("Entity ID ",RIGHT(Table3[[#This Row],[Sponsor_1_num]],8)," not found")),"")</f>
        <v/>
      </c>
      <c r="M380" t="str">
        <f>IF(LEN(G380)&lt;&gt;0,_xlfn.XLOOKUP(G380,[1]!Entities[ID_with_x],[1]!Entities[Name_w_County],_xlfn.CONCAT("Entity ID ",RIGHT(Table3[[#This Row],[Sponsor_1_num]],8)," not found")),"")</f>
        <v/>
      </c>
      <c r="N380" t="str">
        <f>IF(LEN(H380)&lt;&gt;0,_xlfn.XLOOKUP(H380,[1]!Entities[ID_with_x],[1]!Entities[Name_w_County],_xlfn.CONCAT("Entity ID ",RIGHT(Table3[[#This Row],[Sponsor_1_num]],8)," not found")),"")</f>
        <v/>
      </c>
      <c r="O380" t="str">
        <f>IF(LEN(I380)&lt;&gt;0,_xlfn.XLOOKUP(I380,[1]!Entities[ID_with_x],[1]!Entities[Name_w_County],_xlfn.CONCAT("Entity ID ",RIGHT(Table3[[#This Row],[Sponsor_1_num]],8)," not found")),"")</f>
        <v/>
      </c>
      <c r="P380" t="str">
        <f>IF(LEN(J380)&lt;&gt;0,_xlfn.XLOOKUP(J380,[1]!Entities[ID_with_x],[1]!Entities[Name_w_County],_xlfn.CONCAT("Entity ID ",RIGHT(Table3[[#This Row],[Sponsor_1_num]],8)," not found")),"")</f>
        <v/>
      </c>
      <c r="Q380" t="str">
        <f>IF(LEN(K380)&gt;0,_xlfn.TEXTJOIN(", ",TRUE,K380:P380),Table3[[#This Row],[SPONSOR_LIST]])</f>
        <v>Galveston County</v>
      </c>
    </row>
    <row r="381" spans="1:17" x14ac:dyDescent="0.25">
      <c r="A381" s="304" t="s">
        <v>60</v>
      </c>
      <c r="B381" t="s">
        <v>323</v>
      </c>
      <c r="C381" t="str">
        <f t="shared" si="6"/>
        <v>x06003391</v>
      </c>
      <c r="D381" t="str">
        <f>SUBSTITUTE(SUBSTITUTE(Table3[[#This Row],[Sponsor_list_tranform]],",",",x")," ","")</f>
        <v>x06003391</v>
      </c>
      <c r="E381" t="s">
        <v>11855</v>
      </c>
      <c r="K381" t="str">
        <f>IF(LEN(E381)&lt;&gt;0,_xlfn.XLOOKUP(E381,[1]!Entities[ID_with_x],[1]!Entities[Name_w_County],_xlfn.CONCAT("Entity ID ",RIGHT(Table3[[#This Row],[Sponsor_1_num]],8)," not found")),"")</f>
        <v>New Waverly</v>
      </c>
      <c r="L381" t="str">
        <f>IF(LEN(F381)&lt;&gt;0,_xlfn.XLOOKUP(F381,[1]!Entities[ID_with_x],[1]!Entities[Name_w_County],_xlfn.CONCAT("Entity ID ",RIGHT(Table3[[#This Row],[Sponsor_1_num]],8)," not found")),"")</f>
        <v/>
      </c>
      <c r="M381" t="str">
        <f>IF(LEN(G381)&lt;&gt;0,_xlfn.XLOOKUP(G381,[1]!Entities[ID_with_x],[1]!Entities[Name_w_County],_xlfn.CONCAT("Entity ID ",RIGHT(Table3[[#This Row],[Sponsor_1_num]],8)," not found")),"")</f>
        <v/>
      </c>
      <c r="N381" t="str">
        <f>IF(LEN(H381)&lt;&gt;0,_xlfn.XLOOKUP(H381,[1]!Entities[ID_with_x],[1]!Entities[Name_w_County],_xlfn.CONCAT("Entity ID ",RIGHT(Table3[[#This Row],[Sponsor_1_num]],8)," not found")),"")</f>
        <v/>
      </c>
      <c r="O381" t="str">
        <f>IF(LEN(I381)&lt;&gt;0,_xlfn.XLOOKUP(I381,[1]!Entities[ID_with_x],[1]!Entities[Name_w_County],_xlfn.CONCAT("Entity ID ",RIGHT(Table3[[#This Row],[Sponsor_1_num]],8)," not found")),"")</f>
        <v/>
      </c>
      <c r="P381" t="str">
        <f>IF(LEN(J381)&lt;&gt;0,_xlfn.XLOOKUP(J381,[1]!Entities[ID_with_x],[1]!Entities[Name_w_County],_xlfn.CONCAT("Entity ID ",RIGHT(Table3[[#This Row],[Sponsor_1_num]],8)," not found")),"")</f>
        <v/>
      </c>
      <c r="Q381" t="str">
        <f>IF(LEN(K381)&gt;0,_xlfn.TEXTJOIN(", ",TRUE,K381:P381),Table3[[#This Row],[SPONSOR_LIST]])</f>
        <v>New Waverly</v>
      </c>
    </row>
    <row r="382" spans="1:17" x14ac:dyDescent="0.25">
      <c r="A382" s="304" t="s">
        <v>66</v>
      </c>
      <c r="B382" t="s">
        <v>315</v>
      </c>
      <c r="C382" t="str">
        <f t="shared" si="6"/>
        <v>x00002557</v>
      </c>
      <c r="D382" t="str">
        <f>SUBSTITUTE(SUBSTITUTE(Table3[[#This Row],[Sponsor_list_tranform]],",",",x")," ","")</f>
        <v>x00002557</v>
      </c>
      <c r="E382" t="s">
        <v>11836</v>
      </c>
      <c r="K382" t="str">
        <f>IF(LEN(E382)&lt;&gt;0,_xlfn.XLOOKUP(E382,[1]!Entities[ID_with_x],[1]!Entities[Name_w_County],_xlfn.CONCAT("Entity ID ",RIGHT(Table3[[#This Row],[Sponsor_1_num]],8)," not found")),"")</f>
        <v>Arcola</v>
      </c>
      <c r="L382" t="str">
        <f>IF(LEN(F382)&lt;&gt;0,_xlfn.XLOOKUP(F382,[1]!Entities[ID_with_x],[1]!Entities[Name_w_County],_xlfn.CONCAT("Entity ID ",RIGHT(Table3[[#This Row],[Sponsor_1_num]],8)," not found")),"")</f>
        <v/>
      </c>
      <c r="M382" t="str">
        <f>IF(LEN(G382)&lt;&gt;0,_xlfn.XLOOKUP(G382,[1]!Entities[ID_with_x],[1]!Entities[Name_w_County],_xlfn.CONCAT("Entity ID ",RIGHT(Table3[[#This Row],[Sponsor_1_num]],8)," not found")),"")</f>
        <v/>
      </c>
      <c r="N382" t="str">
        <f>IF(LEN(H382)&lt;&gt;0,_xlfn.XLOOKUP(H382,[1]!Entities[ID_with_x],[1]!Entities[Name_w_County],_xlfn.CONCAT("Entity ID ",RIGHT(Table3[[#This Row],[Sponsor_1_num]],8)," not found")),"")</f>
        <v/>
      </c>
      <c r="O382" t="str">
        <f>IF(LEN(I382)&lt;&gt;0,_xlfn.XLOOKUP(I382,[1]!Entities[ID_with_x],[1]!Entities[Name_w_County],_xlfn.CONCAT("Entity ID ",RIGHT(Table3[[#This Row],[Sponsor_1_num]],8)," not found")),"")</f>
        <v/>
      </c>
      <c r="P382" t="str">
        <f>IF(LEN(J382)&lt;&gt;0,_xlfn.XLOOKUP(J382,[1]!Entities[ID_with_x],[1]!Entities[Name_w_County],_xlfn.CONCAT("Entity ID ",RIGHT(Table3[[#This Row],[Sponsor_1_num]],8)," not found")),"")</f>
        <v/>
      </c>
      <c r="Q382" t="str">
        <f>IF(LEN(K382)&gt;0,_xlfn.TEXTJOIN(", ",TRUE,K382:P382),Table3[[#This Row],[SPONSOR_LIST]])</f>
        <v>Arcola</v>
      </c>
    </row>
    <row r="383" spans="1:17" x14ac:dyDescent="0.25">
      <c r="A383" s="304" t="s">
        <v>71</v>
      </c>
      <c r="B383" t="s">
        <v>320</v>
      </c>
      <c r="C383" t="str">
        <f t="shared" si="6"/>
        <v>x06003415</v>
      </c>
      <c r="D383" t="str">
        <f>SUBSTITUTE(SUBSTITUTE(Table3[[#This Row],[Sponsor_list_tranform]],",",",x")," ","")</f>
        <v>x06003415</v>
      </c>
      <c r="E383" t="s">
        <v>11837</v>
      </c>
      <c r="K383" t="str">
        <f>IF(LEN(E383)&lt;&gt;0,_xlfn.XLOOKUP(E383,[1]!Entities[ID_with_x],[1]!Entities[Name_w_County],_xlfn.CONCAT("Entity ID ",RIGHT(Table3[[#This Row],[Sponsor_1_num]],8)," not found")),"")</f>
        <v>Todd Mission</v>
      </c>
      <c r="L383" t="str">
        <f>IF(LEN(F383)&lt;&gt;0,_xlfn.XLOOKUP(F383,[1]!Entities[ID_with_x],[1]!Entities[Name_w_County],_xlfn.CONCAT("Entity ID ",RIGHT(Table3[[#This Row],[Sponsor_1_num]],8)," not found")),"")</f>
        <v/>
      </c>
      <c r="M383" t="str">
        <f>IF(LEN(G383)&lt;&gt;0,_xlfn.XLOOKUP(G383,[1]!Entities[ID_with_x],[1]!Entities[Name_w_County],_xlfn.CONCAT("Entity ID ",RIGHT(Table3[[#This Row],[Sponsor_1_num]],8)," not found")),"")</f>
        <v/>
      </c>
      <c r="N383" t="str">
        <f>IF(LEN(H383)&lt;&gt;0,_xlfn.XLOOKUP(H383,[1]!Entities[ID_with_x],[1]!Entities[Name_w_County],_xlfn.CONCAT("Entity ID ",RIGHT(Table3[[#This Row],[Sponsor_1_num]],8)," not found")),"")</f>
        <v/>
      </c>
      <c r="O383" t="str">
        <f>IF(LEN(I383)&lt;&gt;0,_xlfn.XLOOKUP(I383,[1]!Entities[ID_with_x],[1]!Entities[Name_w_County],_xlfn.CONCAT("Entity ID ",RIGHT(Table3[[#This Row],[Sponsor_1_num]],8)," not found")),"")</f>
        <v/>
      </c>
      <c r="P383" t="str">
        <f>IF(LEN(J383)&lt;&gt;0,_xlfn.XLOOKUP(J383,[1]!Entities[ID_with_x],[1]!Entities[Name_w_County],_xlfn.CONCAT("Entity ID ",RIGHT(Table3[[#This Row],[Sponsor_1_num]],8)," not found")),"")</f>
        <v/>
      </c>
      <c r="Q383" t="str">
        <f>IF(LEN(K383)&gt;0,_xlfn.TEXTJOIN(", ",TRUE,K383:P383),Table3[[#This Row],[SPONSOR_LIST]])</f>
        <v>Todd Mission</v>
      </c>
    </row>
    <row r="384" spans="1:17" x14ac:dyDescent="0.25">
      <c r="A384" s="304" t="s">
        <v>75</v>
      </c>
      <c r="B384" t="s">
        <v>315</v>
      </c>
      <c r="C384" t="str">
        <f t="shared" si="6"/>
        <v>x00002557</v>
      </c>
      <c r="D384" t="str">
        <f>SUBSTITUTE(SUBSTITUTE(Table3[[#This Row],[Sponsor_list_tranform]],",",",x")," ","")</f>
        <v>x00002557</v>
      </c>
      <c r="E384" t="s">
        <v>11836</v>
      </c>
      <c r="K384" t="str">
        <f>IF(LEN(E384)&lt;&gt;0,_xlfn.XLOOKUP(E384,[1]!Entities[ID_with_x],[1]!Entities[Name_w_County],_xlfn.CONCAT("Entity ID ",RIGHT(Table3[[#This Row],[Sponsor_1_num]],8)," not found")),"")</f>
        <v>Arcola</v>
      </c>
      <c r="L384" t="str">
        <f>IF(LEN(F384)&lt;&gt;0,_xlfn.XLOOKUP(F384,[1]!Entities[ID_with_x],[1]!Entities[Name_w_County],_xlfn.CONCAT("Entity ID ",RIGHT(Table3[[#This Row],[Sponsor_1_num]],8)," not found")),"")</f>
        <v/>
      </c>
      <c r="M384" t="str">
        <f>IF(LEN(G384)&lt;&gt;0,_xlfn.XLOOKUP(G384,[1]!Entities[ID_with_x],[1]!Entities[Name_w_County],_xlfn.CONCAT("Entity ID ",RIGHT(Table3[[#This Row],[Sponsor_1_num]],8)," not found")),"")</f>
        <v/>
      </c>
      <c r="N384" t="str">
        <f>IF(LEN(H384)&lt;&gt;0,_xlfn.XLOOKUP(H384,[1]!Entities[ID_with_x],[1]!Entities[Name_w_County],_xlfn.CONCAT("Entity ID ",RIGHT(Table3[[#This Row],[Sponsor_1_num]],8)," not found")),"")</f>
        <v/>
      </c>
      <c r="O384" t="str">
        <f>IF(LEN(I384)&lt;&gt;0,_xlfn.XLOOKUP(I384,[1]!Entities[ID_with_x],[1]!Entities[Name_w_County],_xlfn.CONCAT("Entity ID ",RIGHT(Table3[[#This Row],[Sponsor_1_num]],8)," not found")),"")</f>
        <v/>
      </c>
      <c r="P384" t="str">
        <f>IF(LEN(J384)&lt;&gt;0,_xlfn.XLOOKUP(J384,[1]!Entities[ID_with_x],[1]!Entities[Name_w_County],_xlfn.CONCAT("Entity ID ",RIGHT(Table3[[#This Row],[Sponsor_1_num]],8)," not found")),"")</f>
        <v/>
      </c>
      <c r="Q384" t="str">
        <f>IF(LEN(K384)&gt;0,_xlfn.TEXTJOIN(", ",TRUE,K384:P384),Table3[[#This Row],[SPONSOR_LIST]])</f>
        <v>Arcola</v>
      </c>
    </row>
    <row r="385" spans="1:17" x14ac:dyDescent="0.25">
      <c r="A385" s="304" t="s">
        <v>78</v>
      </c>
      <c r="B385" t="s">
        <v>273</v>
      </c>
      <c r="C385" t="str">
        <f t="shared" si="6"/>
        <v>x00000033</v>
      </c>
      <c r="D385" t="str">
        <f>SUBSTITUTE(SUBSTITUTE(Table3[[#This Row],[Sponsor_list_tranform]],",",",x")," ","")</f>
        <v>x00000033</v>
      </c>
      <c r="E385" t="s">
        <v>11613</v>
      </c>
      <c r="K385" t="str">
        <f>IF(LEN(E385)&lt;&gt;0,_xlfn.XLOOKUP(E385,[1]!Entities[ID_with_x],[1]!Entities[Name_w_County],_xlfn.CONCAT("Entity ID ",RIGHT(Table3[[#This Row],[Sponsor_1_num]],8)," not found")),"")</f>
        <v>Liberty County</v>
      </c>
      <c r="L385" t="str">
        <f>IF(LEN(F385)&lt;&gt;0,_xlfn.XLOOKUP(F385,[1]!Entities[ID_with_x],[1]!Entities[Name_w_County],_xlfn.CONCAT("Entity ID ",RIGHT(Table3[[#This Row],[Sponsor_1_num]],8)," not found")),"")</f>
        <v/>
      </c>
      <c r="M385" t="str">
        <f>IF(LEN(G385)&lt;&gt;0,_xlfn.XLOOKUP(G385,[1]!Entities[ID_with_x],[1]!Entities[Name_w_County],_xlfn.CONCAT("Entity ID ",RIGHT(Table3[[#This Row],[Sponsor_1_num]],8)," not found")),"")</f>
        <v/>
      </c>
      <c r="N385" t="str">
        <f>IF(LEN(H385)&lt;&gt;0,_xlfn.XLOOKUP(H385,[1]!Entities[ID_with_x],[1]!Entities[Name_w_County],_xlfn.CONCAT("Entity ID ",RIGHT(Table3[[#This Row],[Sponsor_1_num]],8)," not found")),"")</f>
        <v/>
      </c>
      <c r="O385" t="str">
        <f>IF(LEN(I385)&lt;&gt;0,_xlfn.XLOOKUP(I385,[1]!Entities[ID_with_x],[1]!Entities[Name_w_County],_xlfn.CONCAT("Entity ID ",RIGHT(Table3[[#This Row],[Sponsor_1_num]],8)," not found")),"")</f>
        <v/>
      </c>
      <c r="P385" t="str">
        <f>IF(LEN(J385)&lt;&gt;0,_xlfn.XLOOKUP(J385,[1]!Entities[ID_with_x],[1]!Entities[Name_w_County],_xlfn.CONCAT("Entity ID ",RIGHT(Table3[[#This Row],[Sponsor_1_num]],8)," not found")),"")</f>
        <v/>
      </c>
      <c r="Q385" t="str">
        <f>IF(LEN(K385)&gt;0,_xlfn.TEXTJOIN(", ",TRUE,K385:P385),Table3[[#This Row],[SPONSOR_LIST]])</f>
        <v>Liberty County</v>
      </c>
    </row>
    <row r="386" spans="1:17" x14ac:dyDescent="0.25">
      <c r="A386" s="304" t="s">
        <v>82</v>
      </c>
      <c r="B386" t="s">
        <v>267</v>
      </c>
      <c r="C386" t="str">
        <f t="shared" si="6"/>
        <v>x00000006</v>
      </c>
      <c r="D386" t="str">
        <f>SUBSTITUTE(SUBSTITUTE(Table3[[#This Row],[Sponsor_list_tranform]],",",",x")," ","")</f>
        <v>x00000006</v>
      </c>
      <c r="E386" t="s">
        <v>11605</v>
      </c>
      <c r="K386" t="str">
        <f>IF(LEN(E386)&lt;&gt;0,_xlfn.XLOOKUP(E386,[1]!Entities[ID_with_x],[1]!Entities[Name_w_County],_xlfn.CONCAT("Entity ID ",RIGHT(Table3[[#This Row],[Sponsor_1_num]],8)," not found")),"")</f>
        <v>Galveston County</v>
      </c>
      <c r="L386" t="str">
        <f>IF(LEN(F386)&lt;&gt;0,_xlfn.XLOOKUP(F386,[1]!Entities[ID_with_x],[1]!Entities[Name_w_County],_xlfn.CONCAT("Entity ID ",RIGHT(Table3[[#This Row],[Sponsor_1_num]],8)," not found")),"")</f>
        <v/>
      </c>
      <c r="M386" t="str">
        <f>IF(LEN(G386)&lt;&gt;0,_xlfn.XLOOKUP(G386,[1]!Entities[ID_with_x],[1]!Entities[Name_w_County],_xlfn.CONCAT("Entity ID ",RIGHT(Table3[[#This Row],[Sponsor_1_num]],8)," not found")),"")</f>
        <v/>
      </c>
      <c r="N386" t="str">
        <f>IF(LEN(H386)&lt;&gt;0,_xlfn.XLOOKUP(H386,[1]!Entities[ID_with_x],[1]!Entities[Name_w_County],_xlfn.CONCAT("Entity ID ",RIGHT(Table3[[#This Row],[Sponsor_1_num]],8)," not found")),"")</f>
        <v/>
      </c>
      <c r="O386" t="str">
        <f>IF(LEN(I386)&lt;&gt;0,_xlfn.XLOOKUP(I386,[1]!Entities[ID_with_x],[1]!Entities[Name_w_County],_xlfn.CONCAT("Entity ID ",RIGHT(Table3[[#This Row],[Sponsor_1_num]],8)," not found")),"")</f>
        <v/>
      </c>
      <c r="P386" t="str">
        <f>IF(LEN(J386)&lt;&gt;0,_xlfn.XLOOKUP(J386,[1]!Entities[ID_with_x],[1]!Entities[Name_w_County],_xlfn.CONCAT("Entity ID ",RIGHT(Table3[[#This Row],[Sponsor_1_num]],8)," not found")),"")</f>
        <v/>
      </c>
      <c r="Q386" t="str">
        <f>IF(LEN(K386)&gt;0,_xlfn.TEXTJOIN(", ",TRUE,K386:P386),Table3[[#This Row],[SPONSOR_LIST]])</f>
        <v>Galveston County</v>
      </c>
    </row>
    <row r="387" spans="1:17" x14ac:dyDescent="0.25">
      <c r="A387" s="304" t="s">
        <v>86</v>
      </c>
      <c r="B387" t="s">
        <v>312</v>
      </c>
      <c r="C387" t="str">
        <f t="shared" si="6"/>
        <v>x06002806</v>
      </c>
      <c r="D387" t="str">
        <f>SUBSTITUTE(SUBSTITUTE(Table3[[#This Row],[Sponsor_list_tranform]],",",",x")," ","")</f>
        <v>x06002806</v>
      </c>
      <c r="E387" t="s">
        <v>11831</v>
      </c>
      <c r="K387" t="str">
        <f>IF(LEN(E387)&lt;&gt;0,_xlfn.XLOOKUP(E387,[1]!Entities[ID_with_x],[1]!Entities[Name_w_County],_xlfn.CONCAT("Entity ID ",RIGHT(Table3[[#This Row],[Sponsor_1_num]],8)," not found")),"")</f>
        <v>Bayou Vista</v>
      </c>
      <c r="L387" t="str">
        <f>IF(LEN(F387)&lt;&gt;0,_xlfn.XLOOKUP(F387,[1]!Entities[ID_with_x],[1]!Entities[Name_w_County],_xlfn.CONCAT("Entity ID ",RIGHT(Table3[[#This Row],[Sponsor_1_num]],8)," not found")),"")</f>
        <v/>
      </c>
      <c r="M387" t="str">
        <f>IF(LEN(G387)&lt;&gt;0,_xlfn.XLOOKUP(G387,[1]!Entities[ID_with_x],[1]!Entities[Name_w_County],_xlfn.CONCAT("Entity ID ",RIGHT(Table3[[#This Row],[Sponsor_1_num]],8)," not found")),"")</f>
        <v/>
      </c>
      <c r="N387" t="str">
        <f>IF(LEN(H387)&lt;&gt;0,_xlfn.XLOOKUP(H387,[1]!Entities[ID_with_x],[1]!Entities[Name_w_County],_xlfn.CONCAT("Entity ID ",RIGHT(Table3[[#This Row],[Sponsor_1_num]],8)," not found")),"")</f>
        <v/>
      </c>
      <c r="O387" t="str">
        <f>IF(LEN(I387)&lt;&gt;0,_xlfn.XLOOKUP(I387,[1]!Entities[ID_with_x],[1]!Entities[Name_w_County],_xlfn.CONCAT("Entity ID ",RIGHT(Table3[[#This Row],[Sponsor_1_num]],8)," not found")),"")</f>
        <v/>
      </c>
      <c r="P387" t="str">
        <f>IF(LEN(J387)&lt;&gt;0,_xlfn.XLOOKUP(J387,[1]!Entities[ID_with_x],[1]!Entities[Name_w_County],_xlfn.CONCAT("Entity ID ",RIGHT(Table3[[#This Row],[Sponsor_1_num]],8)," not found")),"")</f>
        <v/>
      </c>
      <c r="Q387" t="str">
        <f>IF(LEN(K387)&gt;0,_xlfn.TEXTJOIN(", ",TRUE,K387:P387),Table3[[#This Row],[SPONSOR_LIST]])</f>
        <v>Bayou Vista</v>
      </c>
    </row>
    <row r="388" spans="1:17" x14ac:dyDescent="0.25">
      <c r="A388" s="304" t="s">
        <v>90</v>
      </c>
      <c r="B388" t="s">
        <v>338</v>
      </c>
      <c r="C388" t="str">
        <f t="shared" si="6"/>
        <v>x00000053</v>
      </c>
      <c r="D388" t="str">
        <f>SUBSTITUTE(SUBSTITUTE(Table3[[#This Row],[Sponsor_list_tranform]],",",",x")," ","")</f>
        <v>x00000053</v>
      </c>
      <c r="E388" t="s">
        <v>11643</v>
      </c>
      <c r="K388" t="str">
        <f>IF(LEN(E388)&lt;&gt;0,_xlfn.XLOOKUP(E388,[1]!Entities[ID_with_x],[1]!Entities[Name_w_County],_xlfn.CONCAT("Entity ID ",RIGHT(Table3[[#This Row],[Sponsor_1_num]],8)," not found")),"")</f>
        <v>Walker County</v>
      </c>
      <c r="L388" t="str">
        <f>IF(LEN(F388)&lt;&gt;0,_xlfn.XLOOKUP(F388,[1]!Entities[ID_with_x],[1]!Entities[Name_w_County],_xlfn.CONCAT("Entity ID ",RIGHT(Table3[[#This Row],[Sponsor_1_num]],8)," not found")),"")</f>
        <v/>
      </c>
      <c r="M388" t="str">
        <f>IF(LEN(G388)&lt;&gt;0,_xlfn.XLOOKUP(G388,[1]!Entities[ID_with_x],[1]!Entities[Name_w_County],_xlfn.CONCAT("Entity ID ",RIGHT(Table3[[#This Row],[Sponsor_1_num]],8)," not found")),"")</f>
        <v/>
      </c>
      <c r="N388" t="str">
        <f>IF(LEN(H388)&lt;&gt;0,_xlfn.XLOOKUP(H388,[1]!Entities[ID_with_x],[1]!Entities[Name_w_County],_xlfn.CONCAT("Entity ID ",RIGHT(Table3[[#This Row],[Sponsor_1_num]],8)," not found")),"")</f>
        <v/>
      </c>
      <c r="O388" t="str">
        <f>IF(LEN(I388)&lt;&gt;0,_xlfn.XLOOKUP(I388,[1]!Entities[ID_with_x],[1]!Entities[Name_w_County],_xlfn.CONCAT("Entity ID ",RIGHT(Table3[[#This Row],[Sponsor_1_num]],8)," not found")),"")</f>
        <v/>
      </c>
      <c r="P388" t="str">
        <f>IF(LEN(J388)&lt;&gt;0,_xlfn.XLOOKUP(J388,[1]!Entities[ID_with_x],[1]!Entities[Name_w_County],_xlfn.CONCAT("Entity ID ",RIGHT(Table3[[#This Row],[Sponsor_1_num]],8)," not found")),"")</f>
        <v/>
      </c>
      <c r="Q388" t="str">
        <f>IF(LEN(K388)&gt;0,_xlfn.TEXTJOIN(", ",TRUE,K388:P388),Table3[[#This Row],[SPONSOR_LIST]])</f>
        <v>Walker County</v>
      </c>
    </row>
    <row r="389" spans="1:17" x14ac:dyDescent="0.25">
      <c r="A389" s="304" t="s">
        <v>93</v>
      </c>
      <c r="B389" t="s">
        <v>312</v>
      </c>
      <c r="C389" t="str">
        <f t="shared" si="6"/>
        <v>x06002806</v>
      </c>
      <c r="D389" t="str">
        <f>SUBSTITUTE(SUBSTITUTE(Table3[[#This Row],[Sponsor_list_tranform]],",",",x")," ","")</f>
        <v>x06002806</v>
      </c>
      <c r="E389" t="s">
        <v>11831</v>
      </c>
      <c r="K389" t="str">
        <f>IF(LEN(E389)&lt;&gt;0,_xlfn.XLOOKUP(E389,[1]!Entities[ID_with_x],[1]!Entities[Name_w_County],_xlfn.CONCAT("Entity ID ",RIGHT(Table3[[#This Row],[Sponsor_1_num]],8)," not found")),"")</f>
        <v>Bayou Vista</v>
      </c>
      <c r="L389" t="str">
        <f>IF(LEN(F389)&lt;&gt;0,_xlfn.XLOOKUP(F389,[1]!Entities[ID_with_x],[1]!Entities[Name_w_County],_xlfn.CONCAT("Entity ID ",RIGHT(Table3[[#This Row],[Sponsor_1_num]],8)," not found")),"")</f>
        <v/>
      </c>
      <c r="M389" t="str">
        <f>IF(LEN(G389)&lt;&gt;0,_xlfn.XLOOKUP(G389,[1]!Entities[ID_with_x],[1]!Entities[Name_w_County],_xlfn.CONCAT("Entity ID ",RIGHT(Table3[[#This Row],[Sponsor_1_num]],8)," not found")),"")</f>
        <v/>
      </c>
      <c r="N389" t="str">
        <f>IF(LEN(H389)&lt;&gt;0,_xlfn.XLOOKUP(H389,[1]!Entities[ID_with_x],[1]!Entities[Name_w_County],_xlfn.CONCAT("Entity ID ",RIGHT(Table3[[#This Row],[Sponsor_1_num]],8)," not found")),"")</f>
        <v/>
      </c>
      <c r="O389" t="str">
        <f>IF(LEN(I389)&lt;&gt;0,_xlfn.XLOOKUP(I389,[1]!Entities[ID_with_x],[1]!Entities[Name_w_County],_xlfn.CONCAT("Entity ID ",RIGHT(Table3[[#This Row],[Sponsor_1_num]],8)," not found")),"")</f>
        <v/>
      </c>
      <c r="P389" t="str">
        <f>IF(LEN(J389)&lt;&gt;0,_xlfn.XLOOKUP(J389,[1]!Entities[ID_with_x],[1]!Entities[Name_w_County],_xlfn.CONCAT("Entity ID ",RIGHT(Table3[[#This Row],[Sponsor_1_num]],8)," not found")),"")</f>
        <v/>
      </c>
      <c r="Q389" t="str">
        <f>IF(LEN(K389)&gt;0,_xlfn.TEXTJOIN(", ",TRUE,K389:P389),Table3[[#This Row],[SPONSOR_LIST]])</f>
        <v>Bayou Vista</v>
      </c>
    </row>
    <row r="390" spans="1:17" x14ac:dyDescent="0.25">
      <c r="A390" s="304" t="s">
        <v>96</v>
      </c>
      <c r="B390" t="s">
        <v>2975</v>
      </c>
      <c r="C390" t="str">
        <f t="shared" ref="C390:C453" si="7">IF(ISNUMBER(VALUE(LEFT(B390,7))),_xlfn.CONCAT("x",TEXT(SUBSTITUTE(B390,",",", "),"00000000")),"")</f>
        <v>x00004002</v>
      </c>
      <c r="D390" t="str">
        <f>SUBSTITUTE(SUBSTITUTE(Table3[[#This Row],[Sponsor_list_tranform]],",",",x")," ","")</f>
        <v>x00004002</v>
      </c>
      <c r="E390" t="s">
        <v>11598</v>
      </c>
      <c r="K390" t="str">
        <f>IF(LEN(E390)&lt;&gt;0,_xlfn.XLOOKUP(E390,[1]!Entities[ID_with_x],[1]!Entities[Name_w_County],_xlfn.CONCAT("Entity ID ",RIGHT(Table3[[#This Row],[Sponsor_1_num]],8)," not found")),"")</f>
        <v>Coastal Prairie Conservancy</v>
      </c>
      <c r="L390" t="str">
        <f>IF(LEN(F390)&lt;&gt;0,_xlfn.XLOOKUP(F390,[1]!Entities[ID_with_x],[1]!Entities[Name_w_County],_xlfn.CONCAT("Entity ID ",RIGHT(Table3[[#This Row],[Sponsor_1_num]],8)," not found")),"")</f>
        <v/>
      </c>
      <c r="M390" t="str">
        <f>IF(LEN(G390)&lt;&gt;0,_xlfn.XLOOKUP(G390,[1]!Entities[ID_with_x],[1]!Entities[Name_w_County],_xlfn.CONCAT("Entity ID ",RIGHT(Table3[[#This Row],[Sponsor_1_num]],8)," not found")),"")</f>
        <v/>
      </c>
      <c r="N390" t="str">
        <f>IF(LEN(H390)&lt;&gt;0,_xlfn.XLOOKUP(H390,[1]!Entities[ID_with_x],[1]!Entities[Name_w_County],_xlfn.CONCAT("Entity ID ",RIGHT(Table3[[#This Row],[Sponsor_1_num]],8)," not found")),"")</f>
        <v/>
      </c>
      <c r="O390" t="str">
        <f>IF(LEN(I390)&lt;&gt;0,_xlfn.XLOOKUP(I390,[1]!Entities[ID_with_x],[1]!Entities[Name_w_County],_xlfn.CONCAT("Entity ID ",RIGHT(Table3[[#This Row],[Sponsor_1_num]],8)," not found")),"")</f>
        <v/>
      </c>
      <c r="P390" t="str">
        <f>IF(LEN(J390)&lt;&gt;0,_xlfn.XLOOKUP(J390,[1]!Entities[ID_with_x],[1]!Entities[Name_w_County],_xlfn.CONCAT("Entity ID ",RIGHT(Table3[[#This Row],[Sponsor_1_num]],8)," not found")),"")</f>
        <v/>
      </c>
      <c r="Q390" t="str">
        <f>IF(LEN(K390)&gt;0,_xlfn.TEXTJOIN(", ",TRUE,K390:P390),Table3[[#This Row],[SPONSOR_LIST]])</f>
        <v>Coastal Prairie Conservancy</v>
      </c>
    </row>
    <row r="391" spans="1:17" x14ac:dyDescent="0.25">
      <c r="A391" s="304" t="s">
        <v>99</v>
      </c>
      <c r="B391" t="s">
        <v>2975</v>
      </c>
      <c r="C391" t="str">
        <f t="shared" si="7"/>
        <v>x00004002</v>
      </c>
      <c r="D391" t="str">
        <f>SUBSTITUTE(SUBSTITUTE(Table3[[#This Row],[Sponsor_list_tranform]],",",",x")," ","")</f>
        <v>x00004002</v>
      </c>
      <c r="E391" t="s">
        <v>11598</v>
      </c>
      <c r="K391" t="str">
        <f>IF(LEN(E391)&lt;&gt;0,_xlfn.XLOOKUP(E391,[1]!Entities[ID_with_x],[1]!Entities[Name_w_County],_xlfn.CONCAT("Entity ID ",RIGHT(Table3[[#This Row],[Sponsor_1_num]],8)," not found")),"")</f>
        <v>Coastal Prairie Conservancy</v>
      </c>
      <c r="L391" t="str">
        <f>IF(LEN(F391)&lt;&gt;0,_xlfn.XLOOKUP(F391,[1]!Entities[ID_with_x],[1]!Entities[Name_w_County],_xlfn.CONCAT("Entity ID ",RIGHT(Table3[[#This Row],[Sponsor_1_num]],8)," not found")),"")</f>
        <v/>
      </c>
      <c r="M391" t="str">
        <f>IF(LEN(G391)&lt;&gt;0,_xlfn.XLOOKUP(G391,[1]!Entities[ID_with_x],[1]!Entities[Name_w_County],_xlfn.CONCAT("Entity ID ",RIGHT(Table3[[#This Row],[Sponsor_1_num]],8)," not found")),"")</f>
        <v/>
      </c>
      <c r="N391" t="str">
        <f>IF(LEN(H391)&lt;&gt;0,_xlfn.XLOOKUP(H391,[1]!Entities[ID_with_x],[1]!Entities[Name_w_County],_xlfn.CONCAT("Entity ID ",RIGHT(Table3[[#This Row],[Sponsor_1_num]],8)," not found")),"")</f>
        <v/>
      </c>
      <c r="O391" t="str">
        <f>IF(LEN(I391)&lt;&gt;0,_xlfn.XLOOKUP(I391,[1]!Entities[ID_with_x],[1]!Entities[Name_w_County],_xlfn.CONCAT("Entity ID ",RIGHT(Table3[[#This Row],[Sponsor_1_num]],8)," not found")),"")</f>
        <v/>
      </c>
      <c r="P391" t="str">
        <f>IF(LEN(J391)&lt;&gt;0,_xlfn.XLOOKUP(J391,[1]!Entities[ID_with_x],[1]!Entities[Name_w_County],_xlfn.CONCAT("Entity ID ",RIGHT(Table3[[#This Row],[Sponsor_1_num]],8)," not found")),"")</f>
        <v/>
      </c>
      <c r="Q391" t="str">
        <f>IF(LEN(K391)&gt;0,_xlfn.TEXTJOIN(", ",TRUE,K391:P391),Table3[[#This Row],[SPONSOR_LIST]])</f>
        <v>Coastal Prairie Conservancy</v>
      </c>
    </row>
    <row r="392" spans="1:17" x14ac:dyDescent="0.25">
      <c r="A392" s="304" t="s">
        <v>101</v>
      </c>
      <c r="B392" t="s">
        <v>342</v>
      </c>
      <c r="C392" t="str">
        <f t="shared" si="7"/>
        <v>x00000003</v>
      </c>
      <c r="D392" t="str">
        <f>SUBSTITUTE(SUBSTITUTE(Table3[[#This Row],[Sponsor_list_tranform]],",",",x")," ","")</f>
        <v>x00000003</v>
      </c>
      <c r="E392" t="s">
        <v>11603</v>
      </c>
      <c r="K392" t="str">
        <f>IF(LEN(E392)&lt;&gt;0,_xlfn.XLOOKUP(E392,[1]!Entities[ID_with_x],[1]!Entities[Name_w_County],_xlfn.CONCAT("Entity ID ",RIGHT(Table3[[#This Row],[Sponsor_1_num]],8)," not found")),"")</f>
        <v>Brazoria County</v>
      </c>
      <c r="L392" t="str">
        <f>IF(LEN(F392)&lt;&gt;0,_xlfn.XLOOKUP(F392,[1]!Entities[ID_with_x],[1]!Entities[Name_w_County],_xlfn.CONCAT("Entity ID ",RIGHT(Table3[[#This Row],[Sponsor_1_num]],8)," not found")),"")</f>
        <v/>
      </c>
      <c r="M392" t="str">
        <f>IF(LEN(G392)&lt;&gt;0,_xlfn.XLOOKUP(G392,[1]!Entities[ID_with_x],[1]!Entities[Name_w_County],_xlfn.CONCAT("Entity ID ",RIGHT(Table3[[#This Row],[Sponsor_1_num]],8)," not found")),"")</f>
        <v/>
      </c>
      <c r="N392" t="str">
        <f>IF(LEN(H392)&lt;&gt;0,_xlfn.XLOOKUP(H392,[1]!Entities[ID_with_x],[1]!Entities[Name_w_County],_xlfn.CONCAT("Entity ID ",RIGHT(Table3[[#This Row],[Sponsor_1_num]],8)," not found")),"")</f>
        <v/>
      </c>
      <c r="O392" t="str">
        <f>IF(LEN(I392)&lt;&gt;0,_xlfn.XLOOKUP(I392,[1]!Entities[ID_with_x],[1]!Entities[Name_w_County],_xlfn.CONCAT("Entity ID ",RIGHT(Table3[[#This Row],[Sponsor_1_num]],8)," not found")),"")</f>
        <v/>
      </c>
      <c r="P392" t="str">
        <f>IF(LEN(J392)&lt;&gt;0,_xlfn.XLOOKUP(J392,[1]!Entities[ID_with_x],[1]!Entities[Name_w_County],_xlfn.CONCAT("Entity ID ",RIGHT(Table3[[#This Row],[Sponsor_1_num]],8)," not found")),"")</f>
        <v/>
      </c>
      <c r="Q392" t="str">
        <f>IF(LEN(K392)&gt;0,_xlfn.TEXTJOIN(", ",TRUE,K392:P392),Table3[[#This Row],[SPONSOR_LIST]])</f>
        <v>Brazoria County</v>
      </c>
    </row>
    <row r="393" spans="1:17" x14ac:dyDescent="0.25">
      <c r="A393" s="304" t="s">
        <v>103</v>
      </c>
      <c r="B393" t="s">
        <v>342</v>
      </c>
      <c r="C393" t="str">
        <f t="shared" si="7"/>
        <v>x00000003</v>
      </c>
      <c r="D393" t="str">
        <f>SUBSTITUTE(SUBSTITUTE(Table3[[#This Row],[Sponsor_list_tranform]],",",",x")," ","")</f>
        <v>x00000003</v>
      </c>
      <c r="E393" t="s">
        <v>11603</v>
      </c>
      <c r="K393" t="str">
        <f>IF(LEN(E393)&lt;&gt;0,_xlfn.XLOOKUP(E393,[1]!Entities[ID_with_x],[1]!Entities[Name_w_County],_xlfn.CONCAT("Entity ID ",RIGHT(Table3[[#This Row],[Sponsor_1_num]],8)," not found")),"")</f>
        <v>Brazoria County</v>
      </c>
      <c r="L393" t="str">
        <f>IF(LEN(F393)&lt;&gt;0,_xlfn.XLOOKUP(F393,[1]!Entities[ID_with_x],[1]!Entities[Name_w_County],_xlfn.CONCAT("Entity ID ",RIGHT(Table3[[#This Row],[Sponsor_1_num]],8)," not found")),"")</f>
        <v/>
      </c>
      <c r="M393" t="str">
        <f>IF(LEN(G393)&lt;&gt;0,_xlfn.XLOOKUP(G393,[1]!Entities[ID_with_x],[1]!Entities[Name_w_County],_xlfn.CONCAT("Entity ID ",RIGHT(Table3[[#This Row],[Sponsor_1_num]],8)," not found")),"")</f>
        <v/>
      </c>
      <c r="N393" t="str">
        <f>IF(LEN(H393)&lt;&gt;0,_xlfn.XLOOKUP(H393,[1]!Entities[ID_with_x],[1]!Entities[Name_w_County],_xlfn.CONCAT("Entity ID ",RIGHT(Table3[[#This Row],[Sponsor_1_num]],8)," not found")),"")</f>
        <v/>
      </c>
      <c r="O393" t="str">
        <f>IF(LEN(I393)&lt;&gt;0,_xlfn.XLOOKUP(I393,[1]!Entities[ID_with_x],[1]!Entities[Name_w_County],_xlfn.CONCAT("Entity ID ",RIGHT(Table3[[#This Row],[Sponsor_1_num]],8)," not found")),"")</f>
        <v/>
      </c>
      <c r="P393" t="str">
        <f>IF(LEN(J393)&lt;&gt;0,_xlfn.XLOOKUP(J393,[1]!Entities[ID_with_x],[1]!Entities[Name_w_County],_xlfn.CONCAT("Entity ID ",RIGHT(Table3[[#This Row],[Sponsor_1_num]],8)," not found")),"")</f>
        <v/>
      </c>
      <c r="Q393" t="str">
        <f>IF(LEN(K393)&gt;0,_xlfn.TEXTJOIN(", ",TRUE,K393:P393),Table3[[#This Row],[SPONSOR_LIST]])</f>
        <v>Brazoria County</v>
      </c>
    </row>
    <row r="394" spans="1:17" x14ac:dyDescent="0.25">
      <c r="A394" s="304" t="s">
        <v>105</v>
      </c>
      <c r="B394" t="s">
        <v>297</v>
      </c>
      <c r="C394" t="str">
        <f t="shared" si="7"/>
        <v>x06002854</v>
      </c>
      <c r="D394" t="str">
        <f>SUBSTITUTE(SUBSTITUTE(Table3[[#This Row],[Sponsor_list_tranform]],",",",x")," ","")</f>
        <v>x06002854</v>
      </c>
      <c r="E394" t="s">
        <v>11648</v>
      </c>
      <c r="K394" t="str">
        <f>IF(LEN(E394)&lt;&gt;0,_xlfn.XLOOKUP(E394,[1]!Entities[ID_with_x],[1]!Entities[Name_w_County],_xlfn.CONCAT("Entity ID ",RIGHT(Table3[[#This Row],[Sponsor_1_num]],8)," not found")),"")</f>
        <v>Bellaire</v>
      </c>
      <c r="L394" t="str">
        <f>IF(LEN(F394)&lt;&gt;0,_xlfn.XLOOKUP(F394,[1]!Entities[ID_with_x],[1]!Entities[Name_w_County],_xlfn.CONCAT("Entity ID ",RIGHT(Table3[[#This Row],[Sponsor_1_num]],8)," not found")),"")</f>
        <v/>
      </c>
      <c r="M394" t="str">
        <f>IF(LEN(G394)&lt;&gt;0,_xlfn.XLOOKUP(G394,[1]!Entities[ID_with_x],[1]!Entities[Name_w_County],_xlfn.CONCAT("Entity ID ",RIGHT(Table3[[#This Row],[Sponsor_1_num]],8)," not found")),"")</f>
        <v/>
      </c>
      <c r="N394" t="str">
        <f>IF(LEN(H394)&lt;&gt;0,_xlfn.XLOOKUP(H394,[1]!Entities[ID_with_x],[1]!Entities[Name_w_County],_xlfn.CONCAT("Entity ID ",RIGHT(Table3[[#This Row],[Sponsor_1_num]],8)," not found")),"")</f>
        <v/>
      </c>
      <c r="O394" t="str">
        <f>IF(LEN(I394)&lt;&gt;0,_xlfn.XLOOKUP(I394,[1]!Entities[ID_with_x],[1]!Entities[Name_w_County],_xlfn.CONCAT("Entity ID ",RIGHT(Table3[[#This Row],[Sponsor_1_num]],8)," not found")),"")</f>
        <v/>
      </c>
      <c r="P394" t="str">
        <f>IF(LEN(J394)&lt;&gt;0,_xlfn.XLOOKUP(J394,[1]!Entities[ID_with_x],[1]!Entities[Name_w_County],_xlfn.CONCAT("Entity ID ",RIGHT(Table3[[#This Row],[Sponsor_1_num]],8)," not found")),"")</f>
        <v/>
      </c>
      <c r="Q394" t="str">
        <f>IF(LEN(K394)&gt;0,_xlfn.TEXTJOIN(", ",TRUE,K394:P394),Table3[[#This Row],[SPONSOR_LIST]])</f>
        <v>Bellaire</v>
      </c>
    </row>
    <row r="395" spans="1:17" x14ac:dyDescent="0.25">
      <c r="A395" s="304" t="s">
        <v>107</v>
      </c>
      <c r="B395" t="s">
        <v>342</v>
      </c>
      <c r="C395" t="str">
        <f t="shared" si="7"/>
        <v>x00000003</v>
      </c>
      <c r="D395" t="str">
        <f>SUBSTITUTE(SUBSTITUTE(Table3[[#This Row],[Sponsor_list_tranform]],",",",x")," ","")</f>
        <v>x00000003</v>
      </c>
      <c r="E395" t="s">
        <v>11603</v>
      </c>
      <c r="K395" t="str">
        <f>IF(LEN(E395)&lt;&gt;0,_xlfn.XLOOKUP(E395,[1]!Entities[ID_with_x],[1]!Entities[Name_w_County],_xlfn.CONCAT("Entity ID ",RIGHT(Table3[[#This Row],[Sponsor_1_num]],8)," not found")),"")</f>
        <v>Brazoria County</v>
      </c>
      <c r="L395" t="str">
        <f>IF(LEN(F395)&lt;&gt;0,_xlfn.XLOOKUP(F395,[1]!Entities[ID_with_x],[1]!Entities[Name_w_County],_xlfn.CONCAT("Entity ID ",RIGHT(Table3[[#This Row],[Sponsor_1_num]],8)," not found")),"")</f>
        <v/>
      </c>
      <c r="M395" t="str">
        <f>IF(LEN(G395)&lt;&gt;0,_xlfn.XLOOKUP(G395,[1]!Entities[ID_with_x],[1]!Entities[Name_w_County],_xlfn.CONCAT("Entity ID ",RIGHT(Table3[[#This Row],[Sponsor_1_num]],8)," not found")),"")</f>
        <v/>
      </c>
      <c r="N395" t="str">
        <f>IF(LEN(H395)&lt;&gt;0,_xlfn.XLOOKUP(H395,[1]!Entities[ID_with_x],[1]!Entities[Name_w_County],_xlfn.CONCAT("Entity ID ",RIGHT(Table3[[#This Row],[Sponsor_1_num]],8)," not found")),"")</f>
        <v/>
      </c>
      <c r="O395" t="str">
        <f>IF(LEN(I395)&lt;&gt;0,_xlfn.XLOOKUP(I395,[1]!Entities[ID_with_x],[1]!Entities[Name_w_County],_xlfn.CONCAT("Entity ID ",RIGHT(Table3[[#This Row],[Sponsor_1_num]],8)," not found")),"")</f>
        <v/>
      </c>
      <c r="P395" t="str">
        <f>IF(LEN(J395)&lt;&gt;0,_xlfn.XLOOKUP(J395,[1]!Entities[ID_with_x],[1]!Entities[Name_w_County],_xlfn.CONCAT("Entity ID ",RIGHT(Table3[[#This Row],[Sponsor_1_num]],8)," not found")),"")</f>
        <v/>
      </c>
      <c r="Q395" t="str">
        <f>IF(LEN(K395)&gt;0,_xlfn.TEXTJOIN(", ",TRUE,K395:P395),Table3[[#This Row],[SPONSOR_LIST]])</f>
        <v>Brazoria County</v>
      </c>
    </row>
    <row r="396" spans="1:17" x14ac:dyDescent="0.25">
      <c r="A396" s="304" t="s">
        <v>110</v>
      </c>
      <c r="B396" t="s">
        <v>372</v>
      </c>
      <c r="C396" t="str">
        <f t="shared" si="7"/>
        <v>x00000044</v>
      </c>
      <c r="D396" t="str">
        <f>SUBSTITUTE(SUBSTITUTE(Table3[[#This Row],[Sponsor_list_tranform]],",",",x")," ","")</f>
        <v>x00000044</v>
      </c>
      <c r="E396" t="s">
        <v>11723</v>
      </c>
      <c r="K396" t="str">
        <f>IF(LEN(E396)&lt;&gt;0,_xlfn.XLOOKUP(E396,[1]!Entities[ID_with_x],[1]!Entities[Name_w_County],_xlfn.CONCAT("Entity ID ",RIGHT(Table3[[#This Row],[Sponsor_1_num]],8)," not found")),"")</f>
        <v>Grimes County</v>
      </c>
      <c r="L396" t="str">
        <f>IF(LEN(F396)&lt;&gt;0,_xlfn.XLOOKUP(F396,[1]!Entities[ID_with_x],[1]!Entities[Name_w_County],_xlfn.CONCAT("Entity ID ",RIGHT(Table3[[#This Row],[Sponsor_1_num]],8)," not found")),"")</f>
        <v/>
      </c>
      <c r="M396" t="str">
        <f>IF(LEN(G396)&lt;&gt;0,_xlfn.XLOOKUP(G396,[1]!Entities[ID_with_x],[1]!Entities[Name_w_County],_xlfn.CONCAT("Entity ID ",RIGHT(Table3[[#This Row],[Sponsor_1_num]],8)," not found")),"")</f>
        <v/>
      </c>
      <c r="N396" t="str">
        <f>IF(LEN(H396)&lt;&gt;0,_xlfn.XLOOKUP(H396,[1]!Entities[ID_with_x],[1]!Entities[Name_w_County],_xlfn.CONCAT("Entity ID ",RIGHT(Table3[[#This Row],[Sponsor_1_num]],8)," not found")),"")</f>
        <v/>
      </c>
      <c r="O396" t="str">
        <f>IF(LEN(I396)&lt;&gt;0,_xlfn.XLOOKUP(I396,[1]!Entities[ID_with_x],[1]!Entities[Name_w_County],_xlfn.CONCAT("Entity ID ",RIGHT(Table3[[#This Row],[Sponsor_1_num]],8)," not found")),"")</f>
        <v/>
      </c>
      <c r="P396" t="str">
        <f>IF(LEN(J396)&lt;&gt;0,_xlfn.XLOOKUP(J396,[1]!Entities[ID_with_x],[1]!Entities[Name_w_County],_xlfn.CONCAT("Entity ID ",RIGHT(Table3[[#This Row],[Sponsor_1_num]],8)," not found")),"")</f>
        <v/>
      </c>
      <c r="Q396" t="str">
        <f>IF(LEN(K396)&gt;0,_xlfn.TEXTJOIN(", ",TRUE,K396:P396),Table3[[#This Row],[SPONSOR_LIST]])</f>
        <v>Grimes County</v>
      </c>
    </row>
    <row r="397" spans="1:17" x14ac:dyDescent="0.25">
      <c r="A397" s="304" t="s">
        <v>113</v>
      </c>
      <c r="B397" t="s">
        <v>372</v>
      </c>
      <c r="C397" t="str">
        <f t="shared" si="7"/>
        <v>x00000044</v>
      </c>
      <c r="D397" t="str">
        <f>SUBSTITUTE(SUBSTITUTE(Table3[[#This Row],[Sponsor_list_tranform]],",",",x")," ","")</f>
        <v>x00000044</v>
      </c>
      <c r="E397" t="s">
        <v>11723</v>
      </c>
      <c r="K397" t="str">
        <f>IF(LEN(E397)&lt;&gt;0,_xlfn.XLOOKUP(E397,[1]!Entities[ID_with_x],[1]!Entities[Name_w_County],_xlfn.CONCAT("Entity ID ",RIGHT(Table3[[#This Row],[Sponsor_1_num]],8)," not found")),"")</f>
        <v>Grimes County</v>
      </c>
      <c r="L397" t="str">
        <f>IF(LEN(F397)&lt;&gt;0,_xlfn.XLOOKUP(F397,[1]!Entities[ID_with_x],[1]!Entities[Name_w_County],_xlfn.CONCAT("Entity ID ",RIGHT(Table3[[#This Row],[Sponsor_1_num]],8)," not found")),"")</f>
        <v/>
      </c>
      <c r="M397" t="str">
        <f>IF(LEN(G397)&lt;&gt;0,_xlfn.XLOOKUP(G397,[1]!Entities[ID_with_x],[1]!Entities[Name_w_County],_xlfn.CONCAT("Entity ID ",RIGHT(Table3[[#This Row],[Sponsor_1_num]],8)," not found")),"")</f>
        <v/>
      </c>
      <c r="N397" t="str">
        <f>IF(LEN(H397)&lt;&gt;0,_xlfn.XLOOKUP(H397,[1]!Entities[ID_with_x],[1]!Entities[Name_w_County],_xlfn.CONCAT("Entity ID ",RIGHT(Table3[[#This Row],[Sponsor_1_num]],8)," not found")),"")</f>
        <v/>
      </c>
      <c r="O397" t="str">
        <f>IF(LEN(I397)&lt;&gt;0,_xlfn.XLOOKUP(I397,[1]!Entities[ID_with_x],[1]!Entities[Name_w_County],_xlfn.CONCAT("Entity ID ",RIGHT(Table3[[#This Row],[Sponsor_1_num]],8)," not found")),"")</f>
        <v/>
      </c>
      <c r="P397" t="str">
        <f>IF(LEN(J397)&lt;&gt;0,_xlfn.XLOOKUP(J397,[1]!Entities[ID_with_x],[1]!Entities[Name_w_County],_xlfn.CONCAT("Entity ID ",RIGHT(Table3[[#This Row],[Sponsor_1_num]],8)," not found")),"")</f>
        <v/>
      </c>
      <c r="Q397" t="str">
        <f>IF(LEN(K397)&gt;0,_xlfn.TEXTJOIN(", ",TRUE,K397:P397),Table3[[#This Row],[SPONSOR_LIST]])</f>
        <v>Grimes County</v>
      </c>
    </row>
    <row r="398" spans="1:17" x14ac:dyDescent="0.25">
      <c r="A398" s="304" t="s">
        <v>116</v>
      </c>
      <c r="B398" t="s">
        <v>372</v>
      </c>
      <c r="C398" t="str">
        <f t="shared" si="7"/>
        <v>x00000044</v>
      </c>
      <c r="D398" t="str">
        <f>SUBSTITUTE(SUBSTITUTE(Table3[[#This Row],[Sponsor_list_tranform]],",",",x")," ","")</f>
        <v>x00000044</v>
      </c>
      <c r="E398" t="s">
        <v>11723</v>
      </c>
      <c r="K398" t="str">
        <f>IF(LEN(E398)&lt;&gt;0,_xlfn.XLOOKUP(E398,[1]!Entities[ID_with_x],[1]!Entities[Name_w_County],_xlfn.CONCAT("Entity ID ",RIGHT(Table3[[#This Row],[Sponsor_1_num]],8)," not found")),"")</f>
        <v>Grimes County</v>
      </c>
      <c r="L398" t="str">
        <f>IF(LEN(F398)&lt;&gt;0,_xlfn.XLOOKUP(F398,[1]!Entities[ID_with_x],[1]!Entities[Name_w_County],_xlfn.CONCAT("Entity ID ",RIGHT(Table3[[#This Row],[Sponsor_1_num]],8)," not found")),"")</f>
        <v/>
      </c>
      <c r="M398" t="str">
        <f>IF(LEN(G398)&lt;&gt;0,_xlfn.XLOOKUP(G398,[1]!Entities[ID_with_x],[1]!Entities[Name_w_County],_xlfn.CONCAT("Entity ID ",RIGHT(Table3[[#This Row],[Sponsor_1_num]],8)," not found")),"")</f>
        <v/>
      </c>
      <c r="N398" t="str">
        <f>IF(LEN(H398)&lt;&gt;0,_xlfn.XLOOKUP(H398,[1]!Entities[ID_with_x],[1]!Entities[Name_w_County],_xlfn.CONCAT("Entity ID ",RIGHT(Table3[[#This Row],[Sponsor_1_num]],8)," not found")),"")</f>
        <v/>
      </c>
      <c r="O398" t="str">
        <f>IF(LEN(I398)&lt;&gt;0,_xlfn.XLOOKUP(I398,[1]!Entities[ID_with_x],[1]!Entities[Name_w_County],_xlfn.CONCAT("Entity ID ",RIGHT(Table3[[#This Row],[Sponsor_1_num]],8)," not found")),"")</f>
        <v/>
      </c>
      <c r="P398" t="str">
        <f>IF(LEN(J398)&lt;&gt;0,_xlfn.XLOOKUP(J398,[1]!Entities[ID_with_x],[1]!Entities[Name_w_County],_xlfn.CONCAT("Entity ID ",RIGHT(Table3[[#This Row],[Sponsor_1_num]],8)," not found")),"")</f>
        <v/>
      </c>
      <c r="Q398" t="str">
        <f>IF(LEN(K398)&gt;0,_xlfn.TEXTJOIN(", ",TRUE,K398:P398),Table3[[#This Row],[SPONSOR_LIST]])</f>
        <v>Grimes County</v>
      </c>
    </row>
    <row r="399" spans="1:17" x14ac:dyDescent="0.25">
      <c r="A399" s="304" t="s">
        <v>118</v>
      </c>
      <c r="B399" t="s">
        <v>377</v>
      </c>
      <c r="C399" t="str">
        <f t="shared" si="7"/>
        <v>x06003149</v>
      </c>
      <c r="D399" t="str">
        <f>SUBSTITUTE(SUBSTITUTE(Table3[[#This Row],[Sponsor_list_tranform]],",",",x")," ","")</f>
        <v>x06003149</v>
      </c>
      <c r="E399" t="s">
        <v>11624</v>
      </c>
      <c r="K399" t="str">
        <f>IF(LEN(E399)&lt;&gt;0,_xlfn.XLOOKUP(E399,[1]!Entities[ID_with_x],[1]!Entities[Name_w_County],_xlfn.CONCAT("Entity ID ",RIGHT(Table3[[#This Row],[Sponsor_1_num]],8)," not found")),"")</f>
        <v>Santa Fe</v>
      </c>
      <c r="L399" t="str">
        <f>IF(LEN(F399)&lt;&gt;0,_xlfn.XLOOKUP(F399,[1]!Entities[ID_with_x],[1]!Entities[Name_w_County],_xlfn.CONCAT("Entity ID ",RIGHT(Table3[[#This Row],[Sponsor_1_num]],8)," not found")),"")</f>
        <v/>
      </c>
      <c r="M399" t="str">
        <f>IF(LEN(G399)&lt;&gt;0,_xlfn.XLOOKUP(G399,[1]!Entities[ID_with_x],[1]!Entities[Name_w_County],_xlfn.CONCAT("Entity ID ",RIGHT(Table3[[#This Row],[Sponsor_1_num]],8)," not found")),"")</f>
        <v/>
      </c>
      <c r="N399" t="str">
        <f>IF(LEN(H399)&lt;&gt;0,_xlfn.XLOOKUP(H399,[1]!Entities[ID_with_x],[1]!Entities[Name_w_County],_xlfn.CONCAT("Entity ID ",RIGHT(Table3[[#This Row],[Sponsor_1_num]],8)," not found")),"")</f>
        <v/>
      </c>
      <c r="O399" t="str">
        <f>IF(LEN(I399)&lt;&gt;0,_xlfn.XLOOKUP(I399,[1]!Entities[ID_with_x],[1]!Entities[Name_w_County],_xlfn.CONCAT("Entity ID ",RIGHT(Table3[[#This Row],[Sponsor_1_num]],8)," not found")),"")</f>
        <v/>
      </c>
      <c r="P399" t="str">
        <f>IF(LEN(J399)&lt;&gt;0,_xlfn.XLOOKUP(J399,[1]!Entities[ID_with_x],[1]!Entities[Name_w_County],_xlfn.CONCAT("Entity ID ",RIGHT(Table3[[#This Row],[Sponsor_1_num]],8)," not found")),"")</f>
        <v/>
      </c>
      <c r="Q399" t="str">
        <f>IF(LEN(K399)&gt;0,_xlfn.TEXTJOIN(", ",TRUE,K399:P399),Table3[[#This Row],[SPONSOR_LIST]])</f>
        <v>Santa Fe</v>
      </c>
    </row>
    <row r="400" spans="1:17" x14ac:dyDescent="0.25">
      <c r="A400" s="304" t="s">
        <v>121</v>
      </c>
      <c r="B400" t="s">
        <v>336</v>
      </c>
      <c r="C400" t="str">
        <f t="shared" si="7"/>
        <v>x00000024</v>
      </c>
      <c r="D400" t="str">
        <f>SUBSTITUTE(SUBSTITUTE(Table3[[#This Row],[Sponsor_list_tranform]],",",",x")," ","")</f>
        <v>x00000024</v>
      </c>
      <c r="E400" t="s">
        <v>11650</v>
      </c>
      <c r="K400" t="str">
        <f>IF(LEN(E400)&lt;&gt;0,_xlfn.XLOOKUP(E400,[1]!Entities[ID_with_x],[1]!Entities[Name_w_County],_xlfn.CONCAT("Entity ID ",RIGHT(Table3[[#This Row],[Sponsor_1_num]],8)," not found")),"")</f>
        <v>Waller County</v>
      </c>
      <c r="L400" t="str">
        <f>IF(LEN(F400)&lt;&gt;0,_xlfn.XLOOKUP(F400,[1]!Entities[ID_with_x],[1]!Entities[Name_w_County],_xlfn.CONCAT("Entity ID ",RIGHT(Table3[[#This Row],[Sponsor_1_num]],8)," not found")),"")</f>
        <v/>
      </c>
      <c r="M400" t="str">
        <f>IF(LEN(G400)&lt;&gt;0,_xlfn.XLOOKUP(G400,[1]!Entities[ID_with_x],[1]!Entities[Name_w_County],_xlfn.CONCAT("Entity ID ",RIGHT(Table3[[#This Row],[Sponsor_1_num]],8)," not found")),"")</f>
        <v/>
      </c>
      <c r="N400" t="str">
        <f>IF(LEN(H400)&lt;&gt;0,_xlfn.XLOOKUP(H400,[1]!Entities[ID_with_x],[1]!Entities[Name_w_County],_xlfn.CONCAT("Entity ID ",RIGHT(Table3[[#This Row],[Sponsor_1_num]],8)," not found")),"")</f>
        <v/>
      </c>
      <c r="O400" t="str">
        <f>IF(LEN(I400)&lt;&gt;0,_xlfn.XLOOKUP(I400,[1]!Entities[ID_with_x],[1]!Entities[Name_w_County],_xlfn.CONCAT("Entity ID ",RIGHT(Table3[[#This Row],[Sponsor_1_num]],8)," not found")),"")</f>
        <v/>
      </c>
      <c r="P400" t="str">
        <f>IF(LEN(J400)&lt;&gt;0,_xlfn.XLOOKUP(J400,[1]!Entities[ID_with_x],[1]!Entities[Name_w_County],_xlfn.CONCAT("Entity ID ",RIGHT(Table3[[#This Row],[Sponsor_1_num]],8)," not found")),"")</f>
        <v/>
      </c>
      <c r="Q400" t="str">
        <f>IF(LEN(K400)&gt;0,_xlfn.TEXTJOIN(", ",TRUE,K400:P400),Table3[[#This Row],[SPONSOR_LIST]])</f>
        <v>Waller County</v>
      </c>
    </row>
    <row r="401" spans="1:17" x14ac:dyDescent="0.25">
      <c r="A401" s="304" t="s">
        <v>124</v>
      </c>
      <c r="B401" t="s">
        <v>336</v>
      </c>
      <c r="C401" t="str">
        <f t="shared" si="7"/>
        <v>x00000024</v>
      </c>
      <c r="D401" t="str">
        <f>SUBSTITUTE(SUBSTITUTE(Table3[[#This Row],[Sponsor_list_tranform]],",",",x")," ","")</f>
        <v>x00000024</v>
      </c>
      <c r="E401" t="s">
        <v>11650</v>
      </c>
      <c r="K401" t="str">
        <f>IF(LEN(E401)&lt;&gt;0,_xlfn.XLOOKUP(E401,[1]!Entities[ID_with_x],[1]!Entities[Name_w_County],_xlfn.CONCAT("Entity ID ",RIGHT(Table3[[#This Row],[Sponsor_1_num]],8)," not found")),"")</f>
        <v>Waller County</v>
      </c>
      <c r="L401" t="str">
        <f>IF(LEN(F401)&lt;&gt;0,_xlfn.XLOOKUP(F401,[1]!Entities[ID_with_x],[1]!Entities[Name_w_County],_xlfn.CONCAT("Entity ID ",RIGHT(Table3[[#This Row],[Sponsor_1_num]],8)," not found")),"")</f>
        <v/>
      </c>
      <c r="M401" t="str">
        <f>IF(LEN(G401)&lt;&gt;0,_xlfn.XLOOKUP(G401,[1]!Entities[ID_with_x],[1]!Entities[Name_w_County],_xlfn.CONCAT("Entity ID ",RIGHT(Table3[[#This Row],[Sponsor_1_num]],8)," not found")),"")</f>
        <v/>
      </c>
      <c r="N401" t="str">
        <f>IF(LEN(H401)&lt;&gt;0,_xlfn.XLOOKUP(H401,[1]!Entities[ID_with_x],[1]!Entities[Name_w_County],_xlfn.CONCAT("Entity ID ",RIGHT(Table3[[#This Row],[Sponsor_1_num]],8)," not found")),"")</f>
        <v/>
      </c>
      <c r="O401" t="str">
        <f>IF(LEN(I401)&lt;&gt;0,_xlfn.XLOOKUP(I401,[1]!Entities[ID_with_x],[1]!Entities[Name_w_County],_xlfn.CONCAT("Entity ID ",RIGHT(Table3[[#This Row],[Sponsor_1_num]],8)," not found")),"")</f>
        <v/>
      </c>
      <c r="P401" t="str">
        <f>IF(LEN(J401)&lt;&gt;0,_xlfn.XLOOKUP(J401,[1]!Entities[ID_with_x],[1]!Entities[Name_w_County],_xlfn.CONCAT("Entity ID ",RIGHT(Table3[[#This Row],[Sponsor_1_num]],8)," not found")),"")</f>
        <v/>
      </c>
      <c r="Q401" t="str">
        <f>IF(LEN(K401)&gt;0,_xlfn.TEXTJOIN(", ",TRUE,K401:P401),Table3[[#This Row],[SPONSOR_LIST]])</f>
        <v>Waller County</v>
      </c>
    </row>
    <row r="402" spans="1:17" x14ac:dyDescent="0.25">
      <c r="A402" s="304" t="s">
        <v>126</v>
      </c>
      <c r="B402" t="s">
        <v>336</v>
      </c>
      <c r="C402" t="str">
        <f t="shared" si="7"/>
        <v>x00000024</v>
      </c>
      <c r="D402" t="str">
        <f>SUBSTITUTE(SUBSTITUTE(Table3[[#This Row],[Sponsor_list_tranform]],",",",x")," ","")</f>
        <v>x00000024</v>
      </c>
      <c r="E402" t="s">
        <v>11650</v>
      </c>
      <c r="K402" t="str">
        <f>IF(LEN(E402)&lt;&gt;0,_xlfn.XLOOKUP(E402,[1]!Entities[ID_with_x],[1]!Entities[Name_w_County],_xlfn.CONCAT("Entity ID ",RIGHT(Table3[[#This Row],[Sponsor_1_num]],8)," not found")),"")</f>
        <v>Waller County</v>
      </c>
      <c r="L402" t="str">
        <f>IF(LEN(F402)&lt;&gt;0,_xlfn.XLOOKUP(F402,[1]!Entities[ID_with_x],[1]!Entities[Name_w_County],_xlfn.CONCAT("Entity ID ",RIGHT(Table3[[#This Row],[Sponsor_1_num]],8)," not found")),"")</f>
        <v/>
      </c>
      <c r="M402" t="str">
        <f>IF(LEN(G402)&lt;&gt;0,_xlfn.XLOOKUP(G402,[1]!Entities[ID_with_x],[1]!Entities[Name_w_County],_xlfn.CONCAT("Entity ID ",RIGHT(Table3[[#This Row],[Sponsor_1_num]],8)," not found")),"")</f>
        <v/>
      </c>
      <c r="N402" t="str">
        <f>IF(LEN(H402)&lt;&gt;0,_xlfn.XLOOKUP(H402,[1]!Entities[ID_with_x],[1]!Entities[Name_w_County],_xlfn.CONCAT("Entity ID ",RIGHT(Table3[[#This Row],[Sponsor_1_num]],8)," not found")),"")</f>
        <v/>
      </c>
      <c r="O402" t="str">
        <f>IF(LEN(I402)&lt;&gt;0,_xlfn.XLOOKUP(I402,[1]!Entities[ID_with_x],[1]!Entities[Name_w_County],_xlfn.CONCAT("Entity ID ",RIGHT(Table3[[#This Row],[Sponsor_1_num]],8)," not found")),"")</f>
        <v/>
      </c>
      <c r="P402" t="str">
        <f>IF(LEN(J402)&lt;&gt;0,_xlfn.XLOOKUP(J402,[1]!Entities[ID_with_x],[1]!Entities[Name_w_County],_xlfn.CONCAT("Entity ID ",RIGHT(Table3[[#This Row],[Sponsor_1_num]],8)," not found")),"")</f>
        <v/>
      </c>
      <c r="Q402" t="str">
        <f>IF(LEN(K402)&gt;0,_xlfn.TEXTJOIN(", ",TRUE,K402:P402),Table3[[#This Row],[SPONSOR_LIST]])</f>
        <v>Waller County</v>
      </c>
    </row>
    <row r="403" spans="1:17" x14ac:dyDescent="0.25">
      <c r="A403" s="304" t="s">
        <v>129</v>
      </c>
      <c r="B403" t="s">
        <v>338</v>
      </c>
      <c r="C403" t="str">
        <f t="shared" si="7"/>
        <v>x00000053</v>
      </c>
      <c r="D403" t="str">
        <f>SUBSTITUTE(SUBSTITUTE(Table3[[#This Row],[Sponsor_list_tranform]],",",",x")," ","")</f>
        <v>x00000053</v>
      </c>
      <c r="E403" t="s">
        <v>11643</v>
      </c>
      <c r="K403" t="str">
        <f>IF(LEN(E403)&lt;&gt;0,_xlfn.XLOOKUP(E403,[1]!Entities[ID_with_x],[1]!Entities[Name_w_County],_xlfn.CONCAT("Entity ID ",RIGHT(Table3[[#This Row],[Sponsor_1_num]],8)," not found")),"")</f>
        <v>Walker County</v>
      </c>
      <c r="L403" t="str">
        <f>IF(LEN(F403)&lt;&gt;0,_xlfn.XLOOKUP(F403,[1]!Entities[ID_with_x],[1]!Entities[Name_w_County],_xlfn.CONCAT("Entity ID ",RIGHT(Table3[[#This Row],[Sponsor_1_num]],8)," not found")),"")</f>
        <v/>
      </c>
      <c r="M403" t="str">
        <f>IF(LEN(G403)&lt;&gt;0,_xlfn.XLOOKUP(G403,[1]!Entities[ID_with_x],[1]!Entities[Name_w_County],_xlfn.CONCAT("Entity ID ",RIGHT(Table3[[#This Row],[Sponsor_1_num]],8)," not found")),"")</f>
        <v/>
      </c>
      <c r="N403" t="str">
        <f>IF(LEN(H403)&lt;&gt;0,_xlfn.XLOOKUP(H403,[1]!Entities[ID_with_x],[1]!Entities[Name_w_County],_xlfn.CONCAT("Entity ID ",RIGHT(Table3[[#This Row],[Sponsor_1_num]],8)," not found")),"")</f>
        <v/>
      </c>
      <c r="O403" t="str">
        <f>IF(LEN(I403)&lt;&gt;0,_xlfn.XLOOKUP(I403,[1]!Entities[ID_with_x],[1]!Entities[Name_w_County],_xlfn.CONCAT("Entity ID ",RIGHT(Table3[[#This Row],[Sponsor_1_num]],8)," not found")),"")</f>
        <v/>
      </c>
      <c r="P403" t="str">
        <f>IF(LEN(J403)&lt;&gt;0,_xlfn.XLOOKUP(J403,[1]!Entities[ID_with_x],[1]!Entities[Name_w_County],_xlfn.CONCAT("Entity ID ",RIGHT(Table3[[#This Row],[Sponsor_1_num]],8)," not found")),"")</f>
        <v/>
      </c>
      <c r="Q403" t="str">
        <f>IF(LEN(K403)&gt;0,_xlfn.TEXTJOIN(", ",TRUE,K403:P403),Table3[[#This Row],[SPONSOR_LIST]])</f>
        <v>Walker County</v>
      </c>
    </row>
    <row r="404" spans="1:17" x14ac:dyDescent="0.25">
      <c r="A404" s="304" t="s">
        <v>132</v>
      </c>
      <c r="B404" t="s">
        <v>338</v>
      </c>
      <c r="C404" t="str">
        <f t="shared" si="7"/>
        <v>x00000053</v>
      </c>
      <c r="D404" t="str">
        <f>SUBSTITUTE(SUBSTITUTE(Table3[[#This Row],[Sponsor_list_tranform]],",",",x")," ","")</f>
        <v>x00000053</v>
      </c>
      <c r="E404" t="s">
        <v>11643</v>
      </c>
      <c r="K404" t="str">
        <f>IF(LEN(E404)&lt;&gt;0,_xlfn.XLOOKUP(E404,[1]!Entities[ID_with_x],[1]!Entities[Name_w_County],_xlfn.CONCAT("Entity ID ",RIGHT(Table3[[#This Row],[Sponsor_1_num]],8)," not found")),"")</f>
        <v>Walker County</v>
      </c>
      <c r="L404" t="str">
        <f>IF(LEN(F404)&lt;&gt;0,_xlfn.XLOOKUP(F404,[1]!Entities[ID_with_x],[1]!Entities[Name_w_County],_xlfn.CONCAT("Entity ID ",RIGHT(Table3[[#This Row],[Sponsor_1_num]],8)," not found")),"")</f>
        <v/>
      </c>
      <c r="M404" t="str">
        <f>IF(LEN(G404)&lt;&gt;0,_xlfn.XLOOKUP(G404,[1]!Entities[ID_with_x],[1]!Entities[Name_w_County],_xlfn.CONCAT("Entity ID ",RIGHT(Table3[[#This Row],[Sponsor_1_num]],8)," not found")),"")</f>
        <v/>
      </c>
      <c r="N404" t="str">
        <f>IF(LEN(H404)&lt;&gt;0,_xlfn.XLOOKUP(H404,[1]!Entities[ID_with_x],[1]!Entities[Name_w_County],_xlfn.CONCAT("Entity ID ",RIGHT(Table3[[#This Row],[Sponsor_1_num]],8)," not found")),"")</f>
        <v/>
      </c>
      <c r="O404" t="str">
        <f>IF(LEN(I404)&lt;&gt;0,_xlfn.XLOOKUP(I404,[1]!Entities[ID_with_x],[1]!Entities[Name_w_County],_xlfn.CONCAT("Entity ID ",RIGHT(Table3[[#This Row],[Sponsor_1_num]],8)," not found")),"")</f>
        <v/>
      </c>
      <c r="P404" t="str">
        <f>IF(LEN(J404)&lt;&gt;0,_xlfn.XLOOKUP(J404,[1]!Entities[ID_with_x],[1]!Entities[Name_w_County],_xlfn.CONCAT("Entity ID ",RIGHT(Table3[[#This Row],[Sponsor_1_num]],8)," not found")),"")</f>
        <v/>
      </c>
      <c r="Q404" t="str">
        <f>IF(LEN(K404)&gt;0,_xlfn.TEXTJOIN(", ",TRUE,K404:P404),Table3[[#This Row],[SPONSOR_LIST]])</f>
        <v>Walker County</v>
      </c>
    </row>
    <row r="405" spans="1:17" x14ac:dyDescent="0.25">
      <c r="A405" s="304" t="s">
        <v>135</v>
      </c>
      <c r="B405" t="s">
        <v>338</v>
      </c>
      <c r="C405" t="str">
        <f t="shared" si="7"/>
        <v>x00000053</v>
      </c>
      <c r="D405" t="str">
        <f>SUBSTITUTE(SUBSTITUTE(Table3[[#This Row],[Sponsor_list_tranform]],",",",x")," ","")</f>
        <v>x00000053</v>
      </c>
      <c r="E405" t="s">
        <v>11643</v>
      </c>
      <c r="K405" t="str">
        <f>IF(LEN(E405)&lt;&gt;0,_xlfn.XLOOKUP(E405,[1]!Entities[ID_with_x],[1]!Entities[Name_w_County],_xlfn.CONCAT("Entity ID ",RIGHT(Table3[[#This Row],[Sponsor_1_num]],8)," not found")),"")</f>
        <v>Walker County</v>
      </c>
      <c r="L405" t="str">
        <f>IF(LEN(F405)&lt;&gt;0,_xlfn.XLOOKUP(F405,[1]!Entities[ID_with_x],[1]!Entities[Name_w_County],_xlfn.CONCAT("Entity ID ",RIGHT(Table3[[#This Row],[Sponsor_1_num]],8)," not found")),"")</f>
        <v/>
      </c>
      <c r="M405" t="str">
        <f>IF(LEN(G405)&lt;&gt;0,_xlfn.XLOOKUP(G405,[1]!Entities[ID_with_x],[1]!Entities[Name_w_County],_xlfn.CONCAT("Entity ID ",RIGHT(Table3[[#This Row],[Sponsor_1_num]],8)," not found")),"")</f>
        <v/>
      </c>
      <c r="N405" t="str">
        <f>IF(LEN(H405)&lt;&gt;0,_xlfn.XLOOKUP(H405,[1]!Entities[ID_with_x],[1]!Entities[Name_w_County],_xlfn.CONCAT("Entity ID ",RIGHT(Table3[[#This Row],[Sponsor_1_num]],8)," not found")),"")</f>
        <v/>
      </c>
      <c r="O405" t="str">
        <f>IF(LEN(I405)&lt;&gt;0,_xlfn.XLOOKUP(I405,[1]!Entities[ID_with_x],[1]!Entities[Name_w_County],_xlfn.CONCAT("Entity ID ",RIGHT(Table3[[#This Row],[Sponsor_1_num]],8)," not found")),"")</f>
        <v/>
      </c>
      <c r="P405" t="str">
        <f>IF(LEN(J405)&lt;&gt;0,_xlfn.XLOOKUP(J405,[1]!Entities[ID_with_x],[1]!Entities[Name_w_County],_xlfn.CONCAT("Entity ID ",RIGHT(Table3[[#This Row],[Sponsor_1_num]],8)," not found")),"")</f>
        <v/>
      </c>
      <c r="Q405" t="str">
        <f>IF(LEN(K405)&gt;0,_xlfn.TEXTJOIN(", ",TRUE,K405:P405),Table3[[#This Row],[SPONSOR_LIST]])</f>
        <v>Walker County</v>
      </c>
    </row>
    <row r="406" spans="1:17" x14ac:dyDescent="0.25">
      <c r="A406" s="304" t="s">
        <v>138</v>
      </c>
      <c r="B406" t="s">
        <v>390</v>
      </c>
      <c r="C406" t="str">
        <f t="shared" si="7"/>
        <v>x06002530</v>
      </c>
      <c r="D406" t="str">
        <f>SUBSTITUTE(SUBSTITUTE(Table3[[#This Row],[Sponsor_list_tranform]],",",",x")," ","")</f>
        <v>x06002530</v>
      </c>
      <c r="E406" t="s">
        <v>11625</v>
      </c>
      <c r="K406" t="str">
        <f>IF(LEN(E406)&lt;&gt;0,_xlfn.XLOOKUP(E406,[1]!Entities[ID_with_x],[1]!Entities[Name_w_County],_xlfn.CONCAT("Entity ID ",RIGHT(Table3[[#This Row],[Sponsor_1_num]],8)," not found")),"")</f>
        <v>Cleveland</v>
      </c>
      <c r="L406" t="str">
        <f>IF(LEN(F406)&lt;&gt;0,_xlfn.XLOOKUP(F406,[1]!Entities[ID_with_x],[1]!Entities[Name_w_County],_xlfn.CONCAT("Entity ID ",RIGHT(Table3[[#This Row],[Sponsor_1_num]],8)," not found")),"")</f>
        <v/>
      </c>
      <c r="M406" t="str">
        <f>IF(LEN(G406)&lt;&gt;0,_xlfn.XLOOKUP(G406,[1]!Entities[ID_with_x],[1]!Entities[Name_w_County],_xlfn.CONCAT("Entity ID ",RIGHT(Table3[[#This Row],[Sponsor_1_num]],8)," not found")),"")</f>
        <v/>
      </c>
      <c r="N406" t="str">
        <f>IF(LEN(H406)&lt;&gt;0,_xlfn.XLOOKUP(H406,[1]!Entities[ID_with_x],[1]!Entities[Name_w_County],_xlfn.CONCAT("Entity ID ",RIGHT(Table3[[#This Row],[Sponsor_1_num]],8)," not found")),"")</f>
        <v/>
      </c>
      <c r="O406" t="str">
        <f>IF(LEN(I406)&lt;&gt;0,_xlfn.XLOOKUP(I406,[1]!Entities[ID_with_x],[1]!Entities[Name_w_County],_xlfn.CONCAT("Entity ID ",RIGHT(Table3[[#This Row],[Sponsor_1_num]],8)," not found")),"")</f>
        <v/>
      </c>
      <c r="P406" t="str">
        <f>IF(LEN(J406)&lt;&gt;0,_xlfn.XLOOKUP(J406,[1]!Entities[ID_with_x],[1]!Entities[Name_w_County],_xlfn.CONCAT("Entity ID ",RIGHT(Table3[[#This Row],[Sponsor_1_num]],8)," not found")),"")</f>
        <v/>
      </c>
      <c r="Q406" t="str">
        <f>IF(LEN(K406)&gt;0,_xlfn.TEXTJOIN(", ",TRUE,K406:P406),Table3[[#This Row],[SPONSOR_LIST]])</f>
        <v>Cleveland</v>
      </c>
    </row>
    <row r="407" spans="1:17" x14ac:dyDescent="0.25">
      <c r="A407" s="304" t="s">
        <v>140</v>
      </c>
      <c r="B407" t="s">
        <v>392</v>
      </c>
      <c r="C407" t="str">
        <f t="shared" si="7"/>
        <v>x06003026</v>
      </c>
      <c r="D407" t="str">
        <f>SUBSTITUTE(SUBSTITUTE(Table3[[#This Row],[Sponsor_list_tranform]],",",",x")," ","")</f>
        <v>x06003026</v>
      </c>
      <c r="E407" t="s">
        <v>11823</v>
      </c>
      <c r="K407" t="str">
        <f>IF(LEN(E407)&lt;&gt;0,_xlfn.XLOOKUP(E407,[1]!Entities[ID_with_x],[1]!Entities[Name_w_County],_xlfn.CONCAT("Entity ID ",RIGHT(Table3[[#This Row],[Sponsor_1_num]],8)," not found")),"")</f>
        <v>Hillcrest Village</v>
      </c>
      <c r="L407" t="str">
        <f>IF(LEN(F407)&lt;&gt;0,_xlfn.XLOOKUP(F407,[1]!Entities[ID_with_x],[1]!Entities[Name_w_County],_xlfn.CONCAT("Entity ID ",RIGHT(Table3[[#This Row],[Sponsor_1_num]],8)," not found")),"")</f>
        <v/>
      </c>
      <c r="M407" t="str">
        <f>IF(LEN(G407)&lt;&gt;0,_xlfn.XLOOKUP(G407,[1]!Entities[ID_with_x],[1]!Entities[Name_w_County],_xlfn.CONCAT("Entity ID ",RIGHT(Table3[[#This Row],[Sponsor_1_num]],8)," not found")),"")</f>
        <v/>
      </c>
      <c r="N407" t="str">
        <f>IF(LEN(H407)&lt;&gt;0,_xlfn.XLOOKUP(H407,[1]!Entities[ID_with_x],[1]!Entities[Name_w_County],_xlfn.CONCAT("Entity ID ",RIGHT(Table3[[#This Row],[Sponsor_1_num]],8)," not found")),"")</f>
        <v/>
      </c>
      <c r="O407" t="str">
        <f>IF(LEN(I407)&lt;&gt;0,_xlfn.XLOOKUP(I407,[1]!Entities[ID_with_x],[1]!Entities[Name_w_County],_xlfn.CONCAT("Entity ID ",RIGHT(Table3[[#This Row],[Sponsor_1_num]],8)," not found")),"")</f>
        <v/>
      </c>
      <c r="P407" t="str">
        <f>IF(LEN(J407)&lt;&gt;0,_xlfn.XLOOKUP(J407,[1]!Entities[ID_with_x],[1]!Entities[Name_w_County],_xlfn.CONCAT("Entity ID ",RIGHT(Table3[[#This Row],[Sponsor_1_num]],8)," not found")),"")</f>
        <v/>
      </c>
      <c r="Q407" t="str">
        <f>IF(LEN(K407)&gt;0,_xlfn.TEXTJOIN(", ",TRUE,K407:P407),Table3[[#This Row],[SPONSOR_LIST]])</f>
        <v>Hillcrest Village</v>
      </c>
    </row>
    <row r="408" spans="1:17" x14ac:dyDescent="0.25">
      <c r="A408" s="304" t="s">
        <v>143</v>
      </c>
      <c r="B408" t="s">
        <v>395</v>
      </c>
      <c r="C408" t="str">
        <f t="shared" si="7"/>
        <v>x06002985</v>
      </c>
      <c r="D408" t="str">
        <f>SUBSTITUTE(SUBSTITUTE(Table3[[#This Row],[Sponsor_list_tranform]],",",",x")," ","")</f>
        <v>x06002985</v>
      </c>
      <c r="E408" t="s">
        <v>11646</v>
      </c>
      <c r="K408" t="str">
        <f>IF(LEN(E408)&lt;&gt;0,_xlfn.XLOOKUP(E408,[1]!Entities[ID_with_x],[1]!Entities[Name_w_County],_xlfn.CONCAT("Entity ID ",RIGHT(Table3[[#This Row],[Sponsor_1_num]],8)," not found")),"")</f>
        <v>Manvel</v>
      </c>
      <c r="L408" t="str">
        <f>IF(LEN(F408)&lt;&gt;0,_xlfn.XLOOKUP(F408,[1]!Entities[ID_with_x],[1]!Entities[Name_w_County],_xlfn.CONCAT("Entity ID ",RIGHT(Table3[[#This Row],[Sponsor_1_num]],8)," not found")),"")</f>
        <v/>
      </c>
      <c r="M408" t="str">
        <f>IF(LEN(G408)&lt;&gt;0,_xlfn.XLOOKUP(G408,[1]!Entities[ID_with_x],[1]!Entities[Name_w_County],_xlfn.CONCAT("Entity ID ",RIGHT(Table3[[#This Row],[Sponsor_1_num]],8)," not found")),"")</f>
        <v/>
      </c>
      <c r="N408" t="str">
        <f>IF(LEN(H408)&lt;&gt;0,_xlfn.XLOOKUP(H408,[1]!Entities[ID_with_x],[1]!Entities[Name_w_County],_xlfn.CONCAT("Entity ID ",RIGHT(Table3[[#This Row],[Sponsor_1_num]],8)," not found")),"")</f>
        <v/>
      </c>
      <c r="O408" t="str">
        <f>IF(LEN(I408)&lt;&gt;0,_xlfn.XLOOKUP(I408,[1]!Entities[ID_with_x],[1]!Entities[Name_w_County],_xlfn.CONCAT("Entity ID ",RIGHT(Table3[[#This Row],[Sponsor_1_num]],8)," not found")),"")</f>
        <v/>
      </c>
      <c r="P408" t="str">
        <f>IF(LEN(J408)&lt;&gt;0,_xlfn.XLOOKUP(J408,[1]!Entities[ID_with_x],[1]!Entities[Name_w_County],_xlfn.CONCAT("Entity ID ",RIGHT(Table3[[#This Row],[Sponsor_1_num]],8)," not found")),"")</f>
        <v/>
      </c>
      <c r="Q408" t="str">
        <f>IF(LEN(K408)&gt;0,_xlfn.TEXTJOIN(", ",TRUE,K408:P408),Table3[[#This Row],[SPONSOR_LIST]])</f>
        <v>Manvel</v>
      </c>
    </row>
    <row r="409" spans="1:17" x14ac:dyDescent="0.25">
      <c r="A409" s="304" t="s">
        <v>144</v>
      </c>
      <c r="B409" t="s">
        <v>297</v>
      </c>
      <c r="C409" t="str">
        <f t="shared" si="7"/>
        <v>x06002854</v>
      </c>
      <c r="D409" t="str">
        <f>SUBSTITUTE(SUBSTITUTE(Table3[[#This Row],[Sponsor_list_tranform]],",",",x")," ","")</f>
        <v>x06002854</v>
      </c>
      <c r="E409" t="s">
        <v>11648</v>
      </c>
      <c r="K409" t="str">
        <f>IF(LEN(E409)&lt;&gt;0,_xlfn.XLOOKUP(E409,[1]!Entities[ID_with_x],[1]!Entities[Name_w_County],_xlfn.CONCAT("Entity ID ",RIGHT(Table3[[#This Row],[Sponsor_1_num]],8)," not found")),"")</f>
        <v>Bellaire</v>
      </c>
      <c r="L409" t="str">
        <f>IF(LEN(F409)&lt;&gt;0,_xlfn.XLOOKUP(F409,[1]!Entities[ID_with_x],[1]!Entities[Name_w_County],_xlfn.CONCAT("Entity ID ",RIGHT(Table3[[#This Row],[Sponsor_1_num]],8)," not found")),"")</f>
        <v/>
      </c>
      <c r="M409" t="str">
        <f>IF(LEN(G409)&lt;&gt;0,_xlfn.XLOOKUP(G409,[1]!Entities[ID_with_x],[1]!Entities[Name_w_County],_xlfn.CONCAT("Entity ID ",RIGHT(Table3[[#This Row],[Sponsor_1_num]],8)," not found")),"")</f>
        <v/>
      </c>
      <c r="N409" t="str">
        <f>IF(LEN(H409)&lt;&gt;0,_xlfn.XLOOKUP(H409,[1]!Entities[ID_with_x],[1]!Entities[Name_w_County],_xlfn.CONCAT("Entity ID ",RIGHT(Table3[[#This Row],[Sponsor_1_num]],8)," not found")),"")</f>
        <v/>
      </c>
      <c r="O409" t="str">
        <f>IF(LEN(I409)&lt;&gt;0,_xlfn.XLOOKUP(I409,[1]!Entities[ID_with_x],[1]!Entities[Name_w_County],_xlfn.CONCAT("Entity ID ",RIGHT(Table3[[#This Row],[Sponsor_1_num]],8)," not found")),"")</f>
        <v/>
      </c>
      <c r="P409" t="str">
        <f>IF(LEN(J409)&lt;&gt;0,_xlfn.XLOOKUP(J409,[1]!Entities[ID_with_x],[1]!Entities[Name_w_County],_xlfn.CONCAT("Entity ID ",RIGHT(Table3[[#This Row],[Sponsor_1_num]],8)," not found")),"")</f>
        <v/>
      </c>
      <c r="Q409" t="str">
        <f>IF(LEN(K409)&gt;0,_xlfn.TEXTJOIN(", ",TRUE,K409:P409),Table3[[#This Row],[SPONSOR_LIST]])</f>
        <v>Bellaire</v>
      </c>
    </row>
    <row r="410" spans="1:17" x14ac:dyDescent="0.25">
      <c r="A410" s="304" t="s">
        <v>145</v>
      </c>
      <c r="B410" t="s">
        <v>312</v>
      </c>
      <c r="C410" t="str">
        <f t="shared" si="7"/>
        <v>x06002806</v>
      </c>
      <c r="D410" t="str">
        <f>SUBSTITUTE(SUBSTITUTE(Table3[[#This Row],[Sponsor_list_tranform]],",",",x")," ","")</f>
        <v>x06002806</v>
      </c>
      <c r="E410" t="s">
        <v>11831</v>
      </c>
      <c r="K410" t="str">
        <f>IF(LEN(E410)&lt;&gt;0,_xlfn.XLOOKUP(E410,[1]!Entities[ID_with_x],[1]!Entities[Name_w_County],_xlfn.CONCAT("Entity ID ",RIGHT(Table3[[#This Row],[Sponsor_1_num]],8)," not found")),"")</f>
        <v>Bayou Vista</v>
      </c>
      <c r="L410" t="str">
        <f>IF(LEN(F410)&lt;&gt;0,_xlfn.XLOOKUP(F410,[1]!Entities[ID_with_x],[1]!Entities[Name_w_County],_xlfn.CONCAT("Entity ID ",RIGHT(Table3[[#This Row],[Sponsor_1_num]],8)," not found")),"")</f>
        <v/>
      </c>
      <c r="M410" t="str">
        <f>IF(LEN(G410)&lt;&gt;0,_xlfn.XLOOKUP(G410,[1]!Entities[ID_with_x],[1]!Entities[Name_w_County],_xlfn.CONCAT("Entity ID ",RIGHT(Table3[[#This Row],[Sponsor_1_num]],8)," not found")),"")</f>
        <v/>
      </c>
      <c r="N410" t="str">
        <f>IF(LEN(H410)&lt;&gt;0,_xlfn.XLOOKUP(H410,[1]!Entities[ID_with_x],[1]!Entities[Name_w_County],_xlfn.CONCAT("Entity ID ",RIGHT(Table3[[#This Row],[Sponsor_1_num]],8)," not found")),"")</f>
        <v/>
      </c>
      <c r="O410" t="str">
        <f>IF(LEN(I410)&lt;&gt;0,_xlfn.XLOOKUP(I410,[1]!Entities[ID_with_x],[1]!Entities[Name_w_County],_xlfn.CONCAT("Entity ID ",RIGHT(Table3[[#This Row],[Sponsor_1_num]],8)," not found")),"")</f>
        <v/>
      </c>
      <c r="P410" t="str">
        <f>IF(LEN(J410)&lt;&gt;0,_xlfn.XLOOKUP(J410,[1]!Entities[ID_with_x],[1]!Entities[Name_w_County],_xlfn.CONCAT("Entity ID ",RIGHT(Table3[[#This Row],[Sponsor_1_num]],8)," not found")),"")</f>
        <v/>
      </c>
      <c r="Q410" t="str">
        <f>IF(LEN(K410)&gt;0,_xlfn.TEXTJOIN(", ",TRUE,K410:P410),Table3[[#This Row],[SPONSOR_LIST]])</f>
        <v>Bayou Vista</v>
      </c>
    </row>
    <row r="411" spans="1:17" x14ac:dyDescent="0.25">
      <c r="A411" s="304" t="s">
        <v>147</v>
      </c>
      <c r="B411" t="s">
        <v>399</v>
      </c>
      <c r="C411" t="str">
        <f t="shared" si="7"/>
        <v>x06002833</v>
      </c>
      <c r="D411" t="str">
        <f>SUBSTITUTE(SUBSTITUTE(Table3[[#This Row],[Sponsor_list_tranform]],",",",x")," ","")</f>
        <v>x06002833</v>
      </c>
      <c r="E411" t="s">
        <v>11764</v>
      </c>
      <c r="K411" t="str">
        <f>IF(LEN(E411)&lt;&gt;0,_xlfn.XLOOKUP(E411,[1]!Entities[ID_with_x],[1]!Entities[Name_w_County],_xlfn.CONCAT("Entity ID ",RIGHT(Table3[[#This Row],[Sponsor_1_num]],8)," not found")),"")</f>
        <v>Friendswood</v>
      </c>
      <c r="L411" t="str">
        <f>IF(LEN(F411)&lt;&gt;0,_xlfn.XLOOKUP(F411,[1]!Entities[ID_with_x],[1]!Entities[Name_w_County],_xlfn.CONCAT("Entity ID ",RIGHT(Table3[[#This Row],[Sponsor_1_num]],8)," not found")),"")</f>
        <v/>
      </c>
      <c r="M411" t="str">
        <f>IF(LEN(G411)&lt;&gt;0,_xlfn.XLOOKUP(G411,[1]!Entities[ID_with_x],[1]!Entities[Name_w_County],_xlfn.CONCAT("Entity ID ",RIGHT(Table3[[#This Row],[Sponsor_1_num]],8)," not found")),"")</f>
        <v/>
      </c>
      <c r="N411" t="str">
        <f>IF(LEN(H411)&lt;&gt;0,_xlfn.XLOOKUP(H411,[1]!Entities[ID_with_x],[1]!Entities[Name_w_County],_xlfn.CONCAT("Entity ID ",RIGHT(Table3[[#This Row],[Sponsor_1_num]],8)," not found")),"")</f>
        <v/>
      </c>
      <c r="O411" t="str">
        <f>IF(LEN(I411)&lt;&gt;0,_xlfn.XLOOKUP(I411,[1]!Entities[ID_with_x],[1]!Entities[Name_w_County],_xlfn.CONCAT("Entity ID ",RIGHT(Table3[[#This Row],[Sponsor_1_num]],8)," not found")),"")</f>
        <v/>
      </c>
      <c r="P411" t="str">
        <f>IF(LEN(J411)&lt;&gt;0,_xlfn.XLOOKUP(J411,[1]!Entities[ID_with_x],[1]!Entities[Name_w_County],_xlfn.CONCAT("Entity ID ",RIGHT(Table3[[#This Row],[Sponsor_1_num]],8)," not found")),"")</f>
        <v/>
      </c>
      <c r="Q411" t="str">
        <f>IF(LEN(K411)&gt;0,_xlfn.TEXTJOIN(", ",TRUE,K411:P411),Table3[[#This Row],[SPONSOR_LIST]])</f>
        <v>Friendswood</v>
      </c>
    </row>
    <row r="412" spans="1:17" x14ac:dyDescent="0.25">
      <c r="A412" s="304" t="s">
        <v>1046</v>
      </c>
      <c r="B412" t="s">
        <v>401</v>
      </c>
      <c r="C412" t="str">
        <f t="shared" si="7"/>
        <v>x06003147</v>
      </c>
      <c r="D412" t="str">
        <f>SUBSTITUTE(SUBSTITUTE(Table3[[#This Row],[Sponsor_list_tranform]],",",",x")," ","")</f>
        <v>x06003147</v>
      </c>
      <c r="E412" t="s">
        <v>11596</v>
      </c>
      <c r="K412" t="str">
        <f>IF(LEN(E412)&lt;&gt;0,_xlfn.XLOOKUP(E412,[1]!Entities[ID_with_x],[1]!Entities[Name_w_County],_xlfn.CONCAT("Entity ID ",RIGHT(Table3[[#This Row],[Sponsor_1_num]],8)," not found")),"")</f>
        <v>League City</v>
      </c>
      <c r="L412" t="str">
        <f>IF(LEN(F412)&lt;&gt;0,_xlfn.XLOOKUP(F412,[1]!Entities[ID_with_x],[1]!Entities[Name_w_County],_xlfn.CONCAT("Entity ID ",RIGHT(Table3[[#This Row],[Sponsor_1_num]],8)," not found")),"")</f>
        <v/>
      </c>
      <c r="M412" t="str">
        <f>IF(LEN(G412)&lt;&gt;0,_xlfn.XLOOKUP(G412,[1]!Entities[ID_with_x],[1]!Entities[Name_w_County],_xlfn.CONCAT("Entity ID ",RIGHT(Table3[[#This Row],[Sponsor_1_num]],8)," not found")),"")</f>
        <v/>
      </c>
      <c r="N412" t="str">
        <f>IF(LEN(H412)&lt;&gt;0,_xlfn.XLOOKUP(H412,[1]!Entities[ID_with_x],[1]!Entities[Name_w_County],_xlfn.CONCAT("Entity ID ",RIGHT(Table3[[#This Row],[Sponsor_1_num]],8)," not found")),"")</f>
        <v/>
      </c>
      <c r="O412" t="str">
        <f>IF(LEN(I412)&lt;&gt;0,_xlfn.XLOOKUP(I412,[1]!Entities[ID_with_x],[1]!Entities[Name_w_County],_xlfn.CONCAT("Entity ID ",RIGHT(Table3[[#This Row],[Sponsor_1_num]],8)," not found")),"")</f>
        <v/>
      </c>
      <c r="P412" t="str">
        <f>IF(LEN(J412)&lt;&gt;0,_xlfn.XLOOKUP(J412,[1]!Entities[ID_with_x],[1]!Entities[Name_w_County],_xlfn.CONCAT("Entity ID ",RIGHT(Table3[[#This Row],[Sponsor_1_num]],8)," not found")),"")</f>
        <v/>
      </c>
      <c r="Q412" t="str">
        <f>IF(LEN(K412)&gt;0,_xlfn.TEXTJOIN(", ",TRUE,K412:P412),Table3[[#This Row],[SPONSOR_LIST]])</f>
        <v>League City</v>
      </c>
    </row>
    <row r="413" spans="1:17" x14ac:dyDescent="0.25">
      <c r="A413" s="304" t="s">
        <v>151</v>
      </c>
      <c r="B413" t="s">
        <v>377</v>
      </c>
      <c r="C413" t="str">
        <f t="shared" si="7"/>
        <v>x06003149</v>
      </c>
      <c r="D413" t="str">
        <f>SUBSTITUTE(SUBSTITUTE(Table3[[#This Row],[Sponsor_list_tranform]],",",",x")," ","")</f>
        <v>x06003149</v>
      </c>
      <c r="E413" t="s">
        <v>11624</v>
      </c>
      <c r="K413" t="str">
        <f>IF(LEN(E413)&lt;&gt;0,_xlfn.XLOOKUP(E413,[1]!Entities[ID_with_x],[1]!Entities[Name_w_County],_xlfn.CONCAT("Entity ID ",RIGHT(Table3[[#This Row],[Sponsor_1_num]],8)," not found")),"")</f>
        <v>Santa Fe</v>
      </c>
      <c r="L413" t="str">
        <f>IF(LEN(F413)&lt;&gt;0,_xlfn.XLOOKUP(F413,[1]!Entities[ID_with_x],[1]!Entities[Name_w_County],_xlfn.CONCAT("Entity ID ",RIGHT(Table3[[#This Row],[Sponsor_1_num]],8)," not found")),"")</f>
        <v/>
      </c>
      <c r="M413" t="str">
        <f>IF(LEN(G413)&lt;&gt;0,_xlfn.XLOOKUP(G413,[1]!Entities[ID_with_x],[1]!Entities[Name_w_County],_xlfn.CONCAT("Entity ID ",RIGHT(Table3[[#This Row],[Sponsor_1_num]],8)," not found")),"")</f>
        <v/>
      </c>
      <c r="N413" t="str">
        <f>IF(LEN(H413)&lt;&gt;0,_xlfn.XLOOKUP(H413,[1]!Entities[ID_with_x],[1]!Entities[Name_w_County],_xlfn.CONCAT("Entity ID ",RIGHT(Table3[[#This Row],[Sponsor_1_num]],8)," not found")),"")</f>
        <v/>
      </c>
      <c r="O413" t="str">
        <f>IF(LEN(I413)&lt;&gt;0,_xlfn.XLOOKUP(I413,[1]!Entities[ID_with_x],[1]!Entities[Name_w_County],_xlfn.CONCAT("Entity ID ",RIGHT(Table3[[#This Row],[Sponsor_1_num]],8)," not found")),"")</f>
        <v/>
      </c>
      <c r="P413" t="str">
        <f>IF(LEN(J413)&lt;&gt;0,_xlfn.XLOOKUP(J413,[1]!Entities[ID_with_x],[1]!Entities[Name_w_County],_xlfn.CONCAT("Entity ID ",RIGHT(Table3[[#This Row],[Sponsor_1_num]],8)," not found")),"")</f>
        <v/>
      </c>
      <c r="Q413" t="str">
        <f>IF(LEN(K413)&gt;0,_xlfn.TEXTJOIN(", ",TRUE,K413:P413),Table3[[#This Row],[SPONSOR_LIST]])</f>
        <v>Santa Fe</v>
      </c>
    </row>
    <row r="414" spans="1:17" x14ac:dyDescent="0.25">
      <c r="A414" s="304" t="s">
        <v>152</v>
      </c>
      <c r="B414" t="s">
        <v>377</v>
      </c>
      <c r="C414" t="str">
        <f t="shared" si="7"/>
        <v>x06003149</v>
      </c>
      <c r="D414" t="str">
        <f>SUBSTITUTE(SUBSTITUTE(Table3[[#This Row],[Sponsor_list_tranform]],",",",x")," ","")</f>
        <v>x06003149</v>
      </c>
      <c r="E414" t="s">
        <v>11624</v>
      </c>
      <c r="K414" t="str">
        <f>IF(LEN(E414)&lt;&gt;0,_xlfn.XLOOKUP(E414,[1]!Entities[ID_with_x],[1]!Entities[Name_w_County],_xlfn.CONCAT("Entity ID ",RIGHT(Table3[[#This Row],[Sponsor_1_num]],8)," not found")),"")</f>
        <v>Santa Fe</v>
      </c>
      <c r="L414" t="str">
        <f>IF(LEN(F414)&lt;&gt;0,_xlfn.XLOOKUP(F414,[1]!Entities[ID_with_x],[1]!Entities[Name_w_County],_xlfn.CONCAT("Entity ID ",RIGHT(Table3[[#This Row],[Sponsor_1_num]],8)," not found")),"")</f>
        <v/>
      </c>
      <c r="M414" t="str">
        <f>IF(LEN(G414)&lt;&gt;0,_xlfn.XLOOKUP(G414,[1]!Entities[ID_with_x],[1]!Entities[Name_w_County],_xlfn.CONCAT("Entity ID ",RIGHT(Table3[[#This Row],[Sponsor_1_num]],8)," not found")),"")</f>
        <v/>
      </c>
      <c r="N414" t="str">
        <f>IF(LEN(H414)&lt;&gt;0,_xlfn.XLOOKUP(H414,[1]!Entities[ID_with_x],[1]!Entities[Name_w_County],_xlfn.CONCAT("Entity ID ",RIGHT(Table3[[#This Row],[Sponsor_1_num]],8)," not found")),"")</f>
        <v/>
      </c>
      <c r="O414" t="str">
        <f>IF(LEN(I414)&lt;&gt;0,_xlfn.XLOOKUP(I414,[1]!Entities[ID_with_x],[1]!Entities[Name_w_County],_xlfn.CONCAT("Entity ID ",RIGHT(Table3[[#This Row],[Sponsor_1_num]],8)," not found")),"")</f>
        <v/>
      </c>
      <c r="P414" t="str">
        <f>IF(LEN(J414)&lt;&gt;0,_xlfn.XLOOKUP(J414,[1]!Entities[ID_with_x],[1]!Entities[Name_w_County],_xlfn.CONCAT("Entity ID ",RIGHT(Table3[[#This Row],[Sponsor_1_num]],8)," not found")),"")</f>
        <v/>
      </c>
      <c r="Q414" t="str">
        <f>IF(LEN(K414)&gt;0,_xlfn.TEXTJOIN(", ",TRUE,K414:P414),Table3[[#This Row],[SPONSOR_LIST]])</f>
        <v>Santa Fe</v>
      </c>
    </row>
    <row r="415" spans="1:17" x14ac:dyDescent="0.25">
      <c r="A415" s="304" t="s">
        <v>154</v>
      </c>
      <c r="B415" t="s">
        <v>273</v>
      </c>
      <c r="C415" t="str">
        <f t="shared" si="7"/>
        <v>x00000033</v>
      </c>
      <c r="D415" t="str">
        <f>SUBSTITUTE(SUBSTITUTE(Table3[[#This Row],[Sponsor_list_tranform]],",",",x")," ","")</f>
        <v>x00000033</v>
      </c>
      <c r="E415" t="s">
        <v>11613</v>
      </c>
      <c r="K415" t="str">
        <f>IF(LEN(E415)&lt;&gt;0,_xlfn.XLOOKUP(E415,[1]!Entities[ID_with_x],[1]!Entities[Name_w_County],_xlfn.CONCAT("Entity ID ",RIGHT(Table3[[#This Row],[Sponsor_1_num]],8)," not found")),"")</f>
        <v>Liberty County</v>
      </c>
      <c r="L415" t="str">
        <f>IF(LEN(F415)&lt;&gt;0,_xlfn.XLOOKUP(F415,[1]!Entities[ID_with_x],[1]!Entities[Name_w_County],_xlfn.CONCAT("Entity ID ",RIGHT(Table3[[#This Row],[Sponsor_1_num]],8)," not found")),"")</f>
        <v/>
      </c>
      <c r="M415" t="str">
        <f>IF(LEN(G415)&lt;&gt;0,_xlfn.XLOOKUP(G415,[1]!Entities[ID_with_x],[1]!Entities[Name_w_County],_xlfn.CONCAT("Entity ID ",RIGHT(Table3[[#This Row],[Sponsor_1_num]],8)," not found")),"")</f>
        <v/>
      </c>
      <c r="N415" t="str">
        <f>IF(LEN(H415)&lt;&gt;0,_xlfn.XLOOKUP(H415,[1]!Entities[ID_with_x],[1]!Entities[Name_w_County],_xlfn.CONCAT("Entity ID ",RIGHT(Table3[[#This Row],[Sponsor_1_num]],8)," not found")),"")</f>
        <v/>
      </c>
      <c r="O415" t="str">
        <f>IF(LEN(I415)&lt;&gt;0,_xlfn.XLOOKUP(I415,[1]!Entities[ID_with_x],[1]!Entities[Name_w_County],_xlfn.CONCAT("Entity ID ",RIGHT(Table3[[#This Row],[Sponsor_1_num]],8)," not found")),"")</f>
        <v/>
      </c>
      <c r="P415" t="str">
        <f>IF(LEN(J415)&lt;&gt;0,_xlfn.XLOOKUP(J415,[1]!Entities[ID_with_x],[1]!Entities[Name_w_County],_xlfn.CONCAT("Entity ID ",RIGHT(Table3[[#This Row],[Sponsor_1_num]],8)," not found")),"")</f>
        <v/>
      </c>
      <c r="Q415" t="str">
        <f>IF(LEN(K415)&gt;0,_xlfn.TEXTJOIN(", ",TRUE,K415:P415),Table3[[#This Row],[SPONSOR_LIST]])</f>
        <v>Liberty County</v>
      </c>
    </row>
    <row r="416" spans="1:17" x14ac:dyDescent="0.25">
      <c r="A416" s="304" t="s">
        <v>156</v>
      </c>
      <c r="B416" t="s">
        <v>347</v>
      </c>
      <c r="C416" t="str">
        <f t="shared" si="7"/>
        <v>x06002809</v>
      </c>
      <c r="D416" t="str">
        <f>SUBSTITUTE(SUBSTITUTE(Table3[[#This Row],[Sponsor_list_tranform]],",",",x")," ","")</f>
        <v>x06002809</v>
      </c>
      <c r="E416" t="s">
        <v>11826</v>
      </c>
      <c r="K416" t="str">
        <f>IF(LEN(E416)&lt;&gt;0,_xlfn.XLOOKUP(E416,[1]!Entities[ID_with_x],[1]!Entities[Name_w_County],_xlfn.CONCAT("Entity ID ",RIGHT(Table3[[#This Row],[Sponsor_1_num]],8)," not found")),"")</f>
        <v>Galveston</v>
      </c>
      <c r="L416" t="str">
        <f>IF(LEN(F416)&lt;&gt;0,_xlfn.XLOOKUP(F416,[1]!Entities[ID_with_x],[1]!Entities[Name_w_County],_xlfn.CONCAT("Entity ID ",RIGHT(Table3[[#This Row],[Sponsor_1_num]],8)," not found")),"")</f>
        <v/>
      </c>
      <c r="M416" t="str">
        <f>IF(LEN(G416)&lt;&gt;0,_xlfn.XLOOKUP(G416,[1]!Entities[ID_with_x],[1]!Entities[Name_w_County],_xlfn.CONCAT("Entity ID ",RIGHT(Table3[[#This Row],[Sponsor_1_num]],8)," not found")),"")</f>
        <v/>
      </c>
      <c r="N416" t="str">
        <f>IF(LEN(H416)&lt;&gt;0,_xlfn.XLOOKUP(H416,[1]!Entities[ID_with_x],[1]!Entities[Name_w_County],_xlfn.CONCAT("Entity ID ",RIGHT(Table3[[#This Row],[Sponsor_1_num]],8)," not found")),"")</f>
        <v/>
      </c>
      <c r="O416" t="str">
        <f>IF(LEN(I416)&lt;&gt;0,_xlfn.XLOOKUP(I416,[1]!Entities[ID_with_x],[1]!Entities[Name_w_County],_xlfn.CONCAT("Entity ID ",RIGHT(Table3[[#This Row],[Sponsor_1_num]],8)," not found")),"")</f>
        <v/>
      </c>
      <c r="P416" t="str">
        <f>IF(LEN(J416)&lt;&gt;0,_xlfn.XLOOKUP(J416,[1]!Entities[ID_with_x],[1]!Entities[Name_w_County],_xlfn.CONCAT("Entity ID ",RIGHT(Table3[[#This Row],[Sponsor_1_num]],8)," not found")),"")</f>
        <v/>
      </c>
      <c r="Q416" t="str">
        <f>IF(LEN(K416)&gt;0,_xlfn.TEXTJOIN(", ",TRUE,K416:P416),Table3[[#This Row],[SPONSOR_LIST]])</f>
        <v>Galveston</v>
      </c>
    </row>
    <row r="417" spans="1:17" x14ac:dyDescent="0.25">
      <c r="A417" s="304" t="s">
        <v>159</v>
      </c>
      <c r="B417" t="s">
        <v>347</v>
      </c>
      <c r="C417" t="str">
        <f t="shared" si="7"/>
        <v>x06002809</v>
      </c>
      <c r="D417" t="str">
        <f>SUBSTITUTE(SUBSTITUTE(Table3[[#This Row],[Sponsor_list_tranform]],",",",x")," ","")</f>
        <v>x06002809</v>
      </c>
      <c r="E417" t="s">
        <v>11826</v>
      </c>
      <c r="K417" t="str">
        <f>IF(LEN(E417)&lt;&gt;0,_xlfn.XLOOKUP(E417,[1]!Entities[ID_with_x],[1]!Entities[Name_w_County],_xlfn.CONCAT("Entity ID ",RIGHT(Table3[[#This Row],[Sponsor_1_num]],8)," not found")),"")</f>
        <v>Galveston</v>
      </c>
      <c r="L417" t="str">
        <f>IF(LEN(F417)&lt;&gt;0,_xlfn.XLOOKUP(F417,[1]!Entities[ID_with_x],[1]!Entities[Name_w_County],_xlfn.CONCAT("Entity ID ",RIGHT(Table3[[#This Row],[Sponsor_1_num]],8)," not found")),"")</f>
        <v/>
      </c>
      <c r="M417" t="str">
        <f>IF(LEN(G417)&lt;&gt;0,_xlfn.XLOOKUP(G417,[1]!Entities[ID_with_x],[1]!Entities[Name_w_County],_xlfn.CONCAT("Entity ID ",RIGHT(Table3[[#This Row],[Sponsor_1_num]],8)," not found")),"")</f>
        <v/>
      </c>
      <c r="N417" t="str">
        <f>IF(LEN(H417)&lt;&gt;0,_xlfn.XLOOKUP(H417,[1]!Entities[ID_with_x],[1]!Entities[Name_w_County],_xlfn.CONCAT("Entity ID ",RIGHT(Table3[[#This Row],[Sponsor_1_num]],8)," not found")),"")</f>
        <v/>
      </c>
      <c r="O417" t="str">
        <f>IF(LEN(I417)&lt;&gt;0,_xlfn.XLOOKUP(I417,[1]!Entities[ID_with_x],[1]!Entities[Name_w_County],_xlfn.CONCAT("Entity ID ",RIGHT(Table3[[#This Row],[Sponsor_1_num]],8)," not found")),"")</f>
        <v/>
      </c>
      <c r="P417" t="str">
        <f>IF(LEN(J417)&lt;&gt;0,_xlfn.XLOOKUP(J417,[1]!Entities[ID_with_x],[1]!Entities[Name_w_County],_xlfn.CONCAT("Entity ID ",RIGHT(Table3[[#This Row],[Sponsor_1_num]],8)," not found")),"")</f>
        <v/>
      </c>
      <c r="Q417" t="str">
        <f>IF(LEN(K417)&gt;0,_xlfn.TEXTJOIN(", ",TRUE,K417:P417),Table3[[#This Row],[SPONSOR_LIST]])</f>
        <v>Galveston</v>
      </c>
    </row>
    <row r="418" spans="1:17" x14ac:dyDescent="0.25">
      <c r="A418" s="304" t="s">
        <v>161</v>
      </c>
      <c r="B418" t="s">
        <v>306</v>
      </c>
      <c r="C418" t="str">
        <f t="shared" si="7"/>
        <v>x06002856</v>
      </c>
      <c r="D418" t="str">
        <f>SUBSTITUTE(SUBSTITUTE(Table3[[#This Row],[Sponsor_list_tranform]],",",",x")," ","")</f>
        <v>x06002856</v>
      </c>
      <c r="E418" t="s">
        <v>11813</v>
      </c>
      <c r="K418" t="str">
        <f>IF(LEN(E418)&lt;&gt;0,_xlfn.XLOOKUP(E418,[1]!Entities[ID_with_x],[1]!Entities[Name_w_County],_xlfn.CONCAT("Entity ID ",RIGHT(Table3[[#This Row],[Sponsor_1_num]],8)," not found")),"")</f>
        <v>Bunker Hill Village</v>
      </c>
      <c r="L418" t="str">
        <f>IF(LEN(F418)&lt;&gt;0,_xlfn.XLOOKUP(F418,[1]!Entities[ID_with_x],[1]!Entities[Name_w_County],_xlfn.CONCAT("Entity ID ",RIGHT(Table3[[#This Row],[Sponsor_1_num]],8)," not found")),"")</f>
        <v/>
      </c>
      <c r="M418" t="str">
        <f>IF(LEN(G418)&lt;&gt;0,_xlfn.XLOOKUP(G418,[1]!Entities[ID_with_x],[1]!Entities[Name_w_County],_xlfn.CONCAT("Entity ID ",RIGHT(Table3[[#This Row],[Sponsor_1_num]],8)," not found")),"")</f>
        <v/>
      </c>
      <c r="N418" t="str">
        <f>IF(LEN(H418)&lt;&gt;0,_xlfn.XLOOKUP(H418,[1]!Entities[ID_with_x],[1]!Entities[Name_w_County],_xlfn.CONCAT("Entity ID ",RIGHT(Table3[[#This Row],[Sponsor_1_num]],8)," not found")),"")</f>
        <v/>
      </c>
      <c r="O418" t="str">
        <f>IF(LEN(I418)&lt;&gt;0,_xlfn.XLOOKUP(I418,[1]!Entities[ID_with_x],[1]!Entities[Name_w_County],_xlfn.CONCAT("Entity ID ",RIGHT(Table3[[#This Row],[Sponsor_1_num]],8)," not found")),"")</f>
        <v/>
      </c>
      <c r="P418" t="str">
        <f>IF(LEN(J418)&lt;&gt;0,_xlfn.XLOOKUP(J418,[1]!Entities[ID_with_x],[1]!Entities[Name_w_County],_xlfn.CONCAT("Entity ID ",RIGHT(Table3[[#This Row],[Sponsor_1_num]],8)," not found")),"")</f>
        <v/>
      </c>
      <c r="Q418" t="str">
        <f>IF(LEN(K418)&gt;0,_xlfn.TEXTJOIN(", ",TRUE,K418:P418),Table3[[#This Row],[SPONSOR_LIST]])</f>
        <v>Bunker Hill Village</v>
      </c>
    </row>
    <row r="419" spans="1:17" x14ac:dyDescent="0.25">
      <c r="A419" s="304" t="s">
        <v>164</v>
      </c>
      <c r="B419" t="s">
        <v>320</v>
      </c>
      <c r="C419" t="str">
        <f t="shared" si="7"/>
        <v>x06003415</v>
      </c>
      <c r="D419" t="str">
        <f>SUBSTITUTE(SUBSTITUTE(Table3[[#This Row],[Sponsor_list_tranform]],",",",x")," ","")</f>
        <v>x06003415</v>
      </c>
      <c r="E419" t="s">
        <v>11837</v>
      </c>
      <c r="K419" t="str">
        <f>IF(LEN(E419)&lt;&gt;0,_xlfn.XLOOKUP(E419,[1]!Entities[ID_with_x],[1]!Entities[Name_w_County],_xlfn.CONCAT("Entity ID ",RIGHT(Table3[[#This Row],[Sponsor_1_num]],8)," not found")),"")</f>
        <v>Todd Mission</v>
      </c>
      <c r="L419" t="str">
        <f>IF(LEN(F419)&lt;&gt;0,_xlfn.XLOOKUP(F419,[1]!Entities[ID_with_x],[1]!Entities[Name_w_County],_xlfn.CONCAT("Entity ID ",RIGHT(Table3[[#This Row],[Sponsor_1_num]],8)," not found")),"")</f>
        <v/>
      </c>
      <c r="M419" t="str">
        <f>IF(LEN(G419)&lt;&gt;0,_xlfn.XLOOKUP(G419,[1]!Entities[ID_with_x],[1]!Entities[Name_w_County],_xlfn.CONCAT("Entity ID ",RIGHT(Table3[[#This Row],[Sponsor_1_num]],8)," not found")),"")</f>
        <v/>
      </c>
      <c r="N419" t="str">
        <f>IF(LEN(H419)&lt;&gt;0,_xlfn.XLOOKUP(H419,[1]!Entities[ID_with_x],[1]!Entities[Name_w_County],_xlfn.CONCAT("Entity ID ",RIGHT(Table3[[#This Row],[Sponsor_1_num]],8)," not found")),"")</f>
        <v/>
      </c>
      <c r="O419" t="str">
        <f>IF(LEN(I419)&lt;&gt;0,_xlfn.XLOOKUP(I419,[1]!Entities[ID_with_x],[1]!Entities[Name_w_County],_xlfn.CONCAT("Entity ID ",RIGHT(Table3[[#This Row],[Sponsor_1_num]],8)," not found")),"")</f>
        <v/>
      </c>
      <c r="P419" t="str">
        <f>IF(LEN(J419)&lt;&gt;0,_xlfn.XLOOKUP(J419,[1]!Entities[ID_with_x],[1]!Entities[Name_w_County],_xlfn.CONCAT("Entity ID ",RIGHT(Table3[[#This Row],[Sponsor_1_num]],8)," not found")),"")</f>
        <v/>
      </c>
      <c r="Q419" t="str">
        <f>IF(LEN(K419)&gt;0,_xlfn.TEXTJOIN(", ",TRUE,K419:P419),Table3[[#This Row],[SPONSOR_LIST]])</f>
        <v>Todd Mission</v>
      </c>
    </row>
    <row r="420" spans="1:17" x14ac:dyDescent="0.25">
      <c r="A420" s="304" t="s">
        <v>166</v>
      </c>
      <c r="B420" t="s">
        <v>290</v>
      </c>
      <c r="C420" t="str">
        <f t="shared" si="7"/>
        <v>x00000020</v>
      </c>
      <c r="D420" t="str">
        <f>SUBSTITUTE(SUBSTITUTE(Table3[[#This Row],[Sponsor_list_tranform]],",",",x")," ","")</f>
        <v>x00000020</v>
      </c>
      <c r="E420" t="s">
        <v>11597</v>
      </c>
      <c r="K420" t="str">
        <f>IF(LEN(E420)&lt;&gt;0,_xlfn.XLOOKUP(E420,[1]!Entities[ID_with_x],[1]!Entities[Name_w_County],_xlfn.CONCAT("Entity ID ",RIGHT(Table3[[#This Row],[Sponsor_1_num]],8)," not found")),"")</f>
        <v>Harris County</v>
      </c>
      <c r="L420" t="str">
        <f>IF(LEN(F420)&lt;&gt;0,_xlfn.XLOOKUP(F420,[1]!Entities[ID_with_x],[1]!Entities[Name_w_County],_xlfn.CONCAT("Entity ID ",RIGHT(Table3[[#This Row],[Sponsor_1_num]],8)," not found")),"")</f>
        <v/>
      </c>
      <c r="M420" t="str">
        <f>IF(LEN(G420)&lt;&gt;0,_xlfn.XLOOKUP(G420,[1]!Entities[ID_with_x],[1]!Entities[Name_w_County],_xlfn.CONCAT("Entity ID ",RIGHT(Table3[[#This Row],[Sponsor_1_num]],8)," not found")),"")</f>
        <v/>
      </c>
      <c r="N420" t="str">
        <f>IF(LEN(H420)&lt;&gt;0,_xlfn.XLOOKUP(H420,[1]!Entities[ID_with_x],[1]!Entities[Name_w_County],_xlfn.CONCAT("Entity ID ",RIGHT(Table3[[#This Row],[Sponsor_1_num]],8)," not found")),"")</f>
        <v/>
      </c>
      <c r="O420" t="str">
        <f>IF(LEN(I420)&lt;&gt;0,_xlfn.XLOOKUP(I420,[1]!Entities[ID_with_x],[1]!Entities[Name_w_County],_xlfn.CONCAT("Entity ID ",RIGHT(Table3[[#This Row],[Sponsor_1_num]],8)," not found")),"")</f>
        <v/>
      </c>
      <c r="P420" t="str">
        <f>IF(LEN(J420)&lt;&gt;0,_xlfn.XLOOKUP(J420,[1]!Entities[ID_with_x],[1]!Entities[Name_w_County],_xlfn.CONCAT("Entity ID ",RIGHT(Table3[[#This Row],[Sponsor_1_num]],8)," not found")),"")</f>
        <v/>
      </c>
      <c r="Q420" t="str">
        <f>IF(LEN(K420)&gt;0,_xlfn.TEXTJOIN(", ",TRUE,K420:P420),Table3[[#This Row],[SPONSOR_LIST]])</f>
        <v>Harris County</v>
      </c>
    </row>
    <row r="421" spans="1:17" x14ac:dyDescent="0.25">
      <c r="A421" s="304" t="s">
        <v>274</v>
      </c>
      <c r="B421" t="s">
        <v>280</v>
      </c>
      <c r="C421" t="str">
        <f t="shared" si="7"/>
        <v>x00003020</v>
      </c>
      <c r="D421" t="str">
        <f>SUBSTITUTE(SUBSTITUTE(Table3[[#This Row],[Sponsor_list_tranform]],",",",x")," ","")</f>
        <v>x00003020</v>
      </c>
      <c r="E421" t="s">
        <v>11832</v>
      </c>
      <c r="K421" t="str">
        <f>IF(LEN(E421)&lt;&gt;0,_xlfn.XLOOKUP(E421,[1]!Entities[ID_with_x],[1]!Entities[Name_w_County],_xlfn.CONCAT("Entity ID ",RIGHT(Table3[[#This Row],[Sponsor_1_num]],8)," not found")),"")</f>
        <v>Alvin</v>
      </c>
      <c r="L421" t="str">
        <f>IF(LEN(F421)&lt;&gt;0,_xlfn.XLOOKUP(F421,[1]!Entities[ID_with_x],[1]!Entities[Name_w_County],_xlfn.CONCAT("Entity ID ",RIGHT(Table3[[#This Row],[Sponsor_1_num]],8)," not found")),"")</f>
        <v/>
      </c>
      <c r="M421" t="str">
        <f>IF(LEN(G421)&lt;&gt;0,_xlfn.XLOOKUP(G421,[1]!Entities[ID_with_x],[1]!Entities[Name_w_County],_xlfn.CONCAT("Entity ID ",RIGHT(Table3[[#This Row],[Sponsor_1_num]],8)," not found")),"")</f>
        <v/>
      </c>
      <c r="N421" t="str">
        <f>IF(LEN(H421)&lt;&gt;0,_xlfn.XLOOKUP(H421,[1]!Entities[ID_with_x],[1]!Entities[Name_w_County],_xlfn.CONCAT("Entity ID ",RIGHT(Table3[[#This Row],[Sponsor_1_num]],8)," not found")),"")</f>
        <v/>
      </c>
      <c r="O421" t="str">
        <f>IF(LEN(I421)&lt;&gt;0,_xlfn.XLOOKUP(I421,[1]!Entities[ID_with_x],[1]!Entities[Name_w_County],_xlfn.CONCAT("Entity ID ",RIGHT(Table3[[#This Row],[Sponsor_1_num]],8)," not found")),"")</f>
        <v/>
      </c>
      <c r="P421" t="str">
        <f>IF(LEN(J421)&lt;&gt;0,_xlfn.XLOOKUP(J421,[1]!Entities[ID_with_x],[1]!Entities[Name_w_County],_xlfn.CONCAT("Entity ID ",RIGHT(Table3[[#This Row],[Sponsor_1_num]],8)," not found")),"")</f>
        <v/>
      </c>
      <c r="Q421" t="str">
        <f>IF(LEN(K421)&gt;0,_xlfn.TEXTJOIN(", ",TRUE,K421:P421),Table3[[#This Row],[SPONSOR_LIST]])</f>
        <v>Alvin</v>
      </c>
    </row>
    <row r="422" spans="1:17" x14ac:dyDescent="0.25">
      <c r="A422" s="304" t="s">
        <v>281</v>
      </c>
      <c r="B422" t="s">
        <v>287</v>
      </c>
      <c r="C422" t="str">
        <f t="shared" si="7"/>
        <v>x06002790</v>
      </c>
      <c r="D422" t="str">
        <f>SUBSTITUTE(SUBSTITUTE(Table3[[#This Row],[Sponsor_list_tranform]],",",",x")," ","")</f>
        <v>x06002790</v>
      </c>
      <c r="E422" t="s">
        <v>11824</v>
      </c>
      <c r="K422" t="str">
        <f>IF(LEN(E422)&lt;&gt;0,_xlfn.XLOOKUP(E422,[1]!Entities[ID_with_x],[1]!Entities[Name_w_County],_xlfn.CONCAT("Entity ID ",RIGHT(Table3[[#This Row],[Sponsor_1_num]],8)," not found")),"")</f>
        <v>Pearland</v>
      </c>
      <c r="L422" t="str">
        <f>IF(LEN(F422)&lt;&gt;0,_xlfn.XLOOKUP(F422,[1]!Entities[ID_with_x],[1]!Entities[Name_w_County],_xlfn.CONCAT("Entity ID ",RIGHT(Table3[[#This Row],[Sponsor_1_num]],8)," not found")),"")</f>
        <v/>
      </c>
      <c r="M422" t="str">
        <f>IF(LEN(G422)&lt;&gt;0,_xlfn.XLOOKUP(G422,[1]!Entities[ID_with_x],[1]!Entities[Name_w_County],_xlfn.CONCAT("Entity ID ",RIGHT(Table3[[#This Row],[Sponsor_1_num]],8)," not found")),"")</f>
        <v/>
      </c>
      <c r="N422" t="str">
        <f>IF(LEN(H422)&lt;&gt;0,_xlfn.XLOOKUP(H422,[1]!Entities[ID_with_x],[1]!Entities[Name_w_County],_xlfn.CONCAT("Entity ID ",RIGHT(Table3[[#This Row],[Sponsor_1_num]],8)," not found")),"")</f>
        <v/>
      </c>
      <c r="O422" t="str">
        <f>IF(LEN(I422)&lt;&gt;0,_xlfn.XLOOKUP(I422,[1]!Entities[ID_with_x],[1]!Entities[Name_w_County],_xlfn.CONCAT("Entity ID ",RIGHT(Table3[[#This Row],[Sponsor_1_num]],8)," not found")),"")</f>
        <v/>
      </c>
      <c r="P422" t="str">
        <f>IF(LEN(J422)&lt;&gt;0,_xlfn.XLOOKUP(J422,[1]!Entities[ID_with_x],[1]!Entities[Name_w_County],_xlfn.CONCAT("Entity ID ",RIGHT(Table3[[#This Row],[Sponsor_1_num]],8)," not found")),"")</f>
        <v/>
      </c>
      <c r="Q422" t="str">
        <f>IF(LEN(K422)&gt;0,_xlfn.TEXTJOIN(", ",TRUE,K422:P422),Table3[[#This Row],[SPONSOR_LIST]])</f>
        <v>Pearland</v>
      </c>
    </row>
    <row r="423" spans="1:17" x14ac:dyDescent="0.25">
      <c r="A423" s="304" t="s">
        <v>173</v>
      </c>
      <c r="B423" t="s">
        <v>262</v>
      </c>
      <c r="C423" t="str">
        <f t="shared" si="7"/>
        <v>x00000310</v>
      </c>
      <c r="D423" t="str">
        <f>SUBSTITUTE(SUBSTITUTE(Table3[[#This Row],[Sponsor_list_tranform]],",",",x")," ","")</f>
        <v>x00000310</v>
      </c>
      <c r="E423" t="s">
        <v>11595</v>
      </c>
      <c r="K423" t="str">
        <f>IF(LEN(E423)&lt;&gt;0,_xlfn.XLOOKUP(E423,[1]!Entities[ID_with_x],[1]!Entities[Name_w_County],_xlfn.CONCAT("Entity ID ",RIGHT(Table3[[#This Row],[Sponsor_1_num]],8)," not found")),"")</f>
        <v>Harris County Flood Control District</v>
      </c>
      <c r="L423" t="str">
        <f>IF(LEN(F423)&lt;&gt;0,_xlfn.XLOOKUP(F423,[1]!Entities[ID_with_x],[1]!Entities[Name_w_County],_xlfn.CONCAT("Entity ID ",RIGHT(Table3[[#This Row],[Sponsor_1_num]],8)," not found")),"")</f>
        <v/>
      </c>
      <c r="M423" t="str">
        <f>IF(LEN(G423)&lt;&gt;0,_xlfn.XLOOKUP(G423,[1]!Entities[ID_with_x],[1]!Entities[Name_w_County],_xlfn.CONCAT("Entity ID ",RIGHT(Table3[[#This Row],[Sponsor_1_num]],8)," not found")),"")</f>
        <v/>
      </c>
      <c r="N423" t="str">
        <f>IF(LEN(H423)&lt;&gt;0,_xlfn.XLOOKUP(H423,[1]!Entities[ID_with_x],[1]!Entities[Name_w_County],_xlfn.CONCAT("Entity ID ",RIGHT(Table3[[#This Row],[Sponsor_1_num]],8)," not found")),"")</f>
        <v/>
      </c>
      <c r="O423" t="str">
        <f>IF(LEN(I423)&lt;&gt;0,_xlfn.XLOOKUP(I423,[1]!Entities[ID_with_x],[1]!Entities[Name_w_County],_xlfn.CONCAT("Entity ID ",RIGHT(Table3[[#This Row],[Sponsor_1_num]],8)," not found")),"")</f>
        <v/>
      </c>
      <c r="P423" t="str">
        <f>IF(LEN(J423)&lt;&gt;0,_xlfn.XLOOKUP(J423,[1]!Entities[ID_with_x],[1]!Entities[Name_w_County],_xlfn.CONCAT("Entity ID ",RIGHT(Table3[[#This Row],[Sponsor_1_num]],8)," not found")),"")</f>
        <v/>
      </c>
      <c r="Q423" t="str">
        <f>IF(LEN(K423)&gt;0,_xlfn.TEXTJOIN(", ",TRUE,K423:P423),Table3[[#This Row],[SPONSOR_LIST]])</f>
        <v>Harris County Flood Control District</v>
      </c>
    </row>
    <row r="424" spans="1:17" x14ac:dyDescent="0.25">
      <c r="A424" s="304" t="s">
        <v>176</v>
      </c>
      <c r="B424" t="s">
        <v>267</v>
      </c>
      <c r="C424" t="str">
        <f t="shared" si="7"/>
        <v>x00000006</v>
      </c>
      <c r="D424" t="str">
        <f>SUBSTITUTE(SUBSTITUTE(Table3[[#This Row],[Sponsor_list_tranform]],",",",x")," ","")</f>
        <v>x00000006</v>
      </c>
      <c r="E424" t="s">
        <v>11605</v>
      </c>
      <c r="K424" t="str">
        <f>IF(LEN(E424)&lt;&gt;0,_xlfn.XLOOKUP(E424,[1]!Entities[ID_with_x],[1]!Entities[Name_w_County],_xlfn.CONCAT("Entity ID ",RIGHT(Table3[[#This Row],[Sponsor_1_num]],8)," not found")),"")</f>
        <v>Galveston County</v>
      </c>
      <c r="L424" t="str">
        <f>IF(LEN(F424)&lt;&gt;0,_xlfn.XLOOKUP(F424,[1]!Entities[ID_with_x],[1]!Entities[Name_w_County],_xlfn.CONCAT("Entity ID ",RIGHT(Table3[[#This Row],[Sponsor_1_num]],8)," not found")),"")</f>
        <v/>
      </c>
      <c r="M424" t="str">
        <f>IF(LEN(G424)&lt;&gt;0,_xlfn.XLOOKUP(G424,[1]!Entities[ID_with_x],[1]!Entities[Name_w_County],_xlfn.CONCAT("Entity ID ",RIGHT(Table3[[#This Row],[Sponsor_1_num]],8)," not found")),"")</f>
        <v/>
      </c>
      <c r="N424" t="str">
        <f>IF(LEN(H424)&lt;&gt;0,_xlfn.XLOOKUP(H424,[1]!Entities[ID_with_x],[1]!Entities[Name_w_County],_xlfn.CONCAT("Entity ID ",RIGHT(Table3[[#This Row],[Sponsor_1_num]],8)," not found")),"")</f>
        <v/>
      </c>
      <c r="O424" t="str">
        <f>IF(LEN(I424)&lt;&gt;0,_xlfn.XLOOKUP(I424,[1]!Entities[ID_with_x],[1]!Entities[Name_w_County],_xlfn.CONCAT("Entity ID ",RIGHT(Table3[[#This Row],[Sponsor_1_num]],8)," not found")),"")</f>
        <v/>
      </c>
      <c r="P424" t="str">
        <f>IF(LEN(J424)&lt;&gt;0,_xlfn.XLOOKUP(J424,[1]!Entities[ID_with_x],[1]!Entities[Name_w_County],_xlfn.CONCAT("Entity ID ",RIGHT(Table3[[#This Row],[Sponsor_1_num]],8)," not found")),"")</f>
        <v/>
      </c>
      <c r="Q424" t="str">
        <f>IF(LEN(K424)&gt;0,_xlfn.TEXTJOIN(", ",TRUE,K424:P424),Table3[[#This Row],[SPONSOR_LIST]])</f>
        <v>Galveston County</v>
      </c>
    </row>
    <row r="425" spans="1:17" x14ac:dyDescent="0.25">
      <c r="A425" s="304" t="s">
        <v>178</v>
      </c>
      <c r="B425" t="s">
        <v>273</v>
      </c>
      <c r="C425" t="str">
        <f t="shared" si="7"/>
        <v>x00000033</v>
      </c>
      <c r="D425" t="str">
        <f>SUBSTITUTE(SUBSTITUTE(Table3[[#This Row],[Sponsor_list_tranform]],",",",x")," ","")</f>
        <v>x00000033</v>
      </c>
      <c r="E425" t="s">
        <v>11613</v>
      </c>
      <c r="K425" t="str">
        <f>IF(LEN(E425)&lt;&gt;0,_xlfn.XLOOKUP(E425,[1]!Entities[ID_with_x],[1]!Entities[Name_w_County],_xlfn.CONCAT("Entity ID ",RIGHT(Table3[[#This Row],[Sponsor_1_num]],8)," not found")),"")</f>
        <v>Liberty County</v>
      </c>
      <c r="L425" t="str">
        <f>IF(LEN(F425)&lt;&gt;0,_xlfn.XLOOKUP(F425,[1]!Entities[ID_with_x],[1]!Entities[Name_w_County],_xlfn.CONCAT("Entity ID ",RIGHT(Table3[[#This Row],[Sponsor_1_num]],8)," not found")),"")</f>
        <v/>
      </c>
      <c r="M425" t="str">
        <f>IF(LEN(G425)&lt;&gt;0,_xlfn.XLOOKUP(G425,[1]!Entities[ID_with_x],[1]!Entities[Name_w_County],_xlfn.CONCAT("Entity ID ",RIGHT(Table3[[#This Row],[Sponsor_1_num]],8)," not found")),"")</f>
        <v/>
      </c>
      <c r="N425" t="str">
        <f>IF(LEN(H425)&lt;&gt;0,_xlfn.XLOOKUP(H425,[1]!Entities[ID_with_x],[1]!Entities[Name_w_County],_xlfn.CONCAT("Entity ID ",RIGHT(Table3[[#This Row],[Sponsor_1_num]],8)," not found")),"")</f>
        <v/>
      </c>
      <c r="O425" t="str">
        <f>IF(LEN(I425)&lt;&gt;0,_xlfn.XLOOKUP(I425,[1]!Entities[ID_with_x],[1]!Entities[Name_w_County],_xlfn.CONCAT("Entity ID ",RIGHT(Table3[[#This Row],[Sponsor_1_num]],8)," not found")),"")</f>
        <v/>
      </c>
      <c r="P425" t="str">
        <f>IF(LEN(J425)&lt;&gt;0,_xlfn.XLOOKUP(J425,[1]!Entities[ID_with_x],[1]!Entities[Name_w_County],_xlfn.CONCAT("Entity ID ",RIGHT(Table3[[#This Row],[Sponsor_1_num]],8)," not found")),"")</f>
        <v/>
      </c>
      <c r="Q425" t="str">
        <f>IF(LEN(K425)&gt;0,_xlfn.TEXTJOIN(", ",TRUE,K425:P425),Table3[[#This Row],[SPONSOR_LIST]])</f>
        <v>Liberty County</v>
      </c>
    </row>
    <row r="426" spans="1:17" x14ac:dyDescent="0.25">
      <c r="A426" s="304" t="s">
        <v>4607</v>
      </c>
      <c r="B426" t="s">
        <v>2975</v>
      </c>
      <c r="C426" t="str">
        <f t="shared" si="7"/>
        <v>x00004002</v>
      </c>
      <c r="D426" t="str">
        <f>SUBSTITUTE(SUBSTITUTE(Table3[[#This Row],[Sponsor_list_tranform]],",",",x")," ","")</f>
        <v>x00004002</v>
      </c>
      <c r="E426" t="s">
        <v>11598</v>
      </c>
      <c r="K426" t="str">
        <f>IF(LEN(E426)&lt;&gt;0,_xlfn.XLOOKUP(E426,[1]!Entities[ID_with_x],[1]!Entities[Name_w_County],_xlfn.CONCAT("Entity ID ",RIGHT(Table3[[#This Row],[Sponsor_1_num]],8)," not found")),"")</f>
        <v>Coastal Prairie Conservancy</v>
      </c>
      <c r="L426" t="str">
        <f>IF(LEN(F426)&lt;&gt;0,_xlfn.XLOOKUP(F426,[1]!Entities[ID_with_x],[1]!Entities[Name_w_County],_xlfn.CONCAT("Entity ID ",RIGHT(Table3[[#This Row],[Sponsor_1_num]],8)," not found")),"")</f>
        <v/>
      </c>
      <c r="M426" t="str">
        <f>IF(LEN(G426)&lt;&gt;0,_xlfn.XLOOKUP(G426,[1]!Entities[ID_with_x],[1]!Entities[Name_w_County],_xlfn.CONCAT("Entity ID ",RIGHT(Table3[[#This Row],[Sponsor_1_num]],8)," not found")),"")</f>
        <v/>
      </c>
      <c r="N426" t="str">
        <f>IF(LEN(H426)&lt;&gt;0,_xlfn.XLOOKUP(H426,[1]!Entities[ID_with_x],[1]!Entities[Name_w_County],_xlfn.CONCAT("Entity ID ",RIGHT(Table3[[#This Row],[Sponsor_1_num]],8)," not found")),"")</f>
        <v/>
      </c>
      <c r="O426" t="str">
        <f>IF(LEN(I426)&lt;&gt;0,_xlfn.XLOOKUP(I426,[1]!Entities[ID_with_x],[1]!Entities[Name_w_County],_xlfn.CONCAT("Entity ID ",RIGHT(Table3[[#This Row],[Sponsor_1_num]],8)," not found")),"")</f>
        <v/>
      </c>
      <c r="P426" t="str">
        <f>IF(LEN(J426)&lt;&gt;0,_xlfn.XLOOKUP(J426,[1]!Entities[ID_with_x],[1]!Entities[Name_w_County],_xlfn.CONCAT("Entity ID ",RIGHT(Table3[[#This Row],[Sponsor_1_num]],8)," not found")),"")</f>
        <v/>
      </c>
      <c r="Q426" t="str">
        <f>IF(LEN(K426)&gt;0,_xlfn.TEXTJOIN(", ",TRUE,K426:P426),Table3[[#This Row],[SPONSOR_LIST]])</f>
        <v>Coastal Prairie Conservancy</v>
      </c>
    </row>
    <row r="427" spans="1:17" x14ac:dyDescent="0.25">
      <c r="A427" s="304" t="s">
        <v>4615</v>
      </c>
      <c r="B427" t="s">
        <v>2975</v>
      </c>
      <c r="C427" t="str">
        <f t="shared" si="7"/>
        <v>x00004002</v>
      </c>
      <c r="D427" t="str">
        <f>SUBSTITUTE(SUBSTITUTE(Table3[[#This Row],[Sponsor_list_tranform]],",",",x")," ","")</f>
        <v>x00004002</v>
      </c>
      <c r="E427" t="s">
        <v>11598</v>
      </c>
      <c r="K427" t="str">
        <f>IF(LEN(E427)&lt;&gt;0,_xlfn.XLOOKUP(E427,[1]!Entities[ID_with_x],[1]!Entities[Name_w_County],_xlfn.CONCAT("Entity ID ",RIGHT(Table3[[#This Row],[Sponsor_1_num]],8)," not found")),"")</f>
        <v>Coastal Prairie Conservancy</v>
      </c>
      <c r="L427" t="str">
        <f>IF(LEN(F427)&lt;&gt;0,_xlfn.XLOOKUP(F427,[1]!Entities[ID_with_x],[1]!Entities[Name_w_County],_xlfn.CONCAT("Entity ID ",RIGHT(Table3[[#This Row],[Sponsor_1_num]],8)," not found")),"")</f>
        <v/>
      </c>
      <c r="M427" t="str">
        <f>IF(LEN(G427)&lt;&gt;0,_xlfn.XLOOKUP(G427,[1]!Entities[ID_with_x],[1]!Entities[Name_w_County],_xlfn.CONCAT("Entity ID ",RIGHT(Table3[[#This Row],[Sponsor_1_num]],8)," not found")),"")</f>
        <v/>
      </c>
      <c r="N427" t="str">
        <f>IF(LEN(H427)&lt;&gt;0,_xlfn.XLOOKUP(H427,[1]!Entities[ID_with_x],[1]!Entities[Name_w_County],_xlfn.CONCAT("Entity ID ",RIGHT(Table3[[#This Row],[Sponsor_1_num]],8)," not found")),"")</f>
        <v/>
      </c>
      <c r="O427" t="str">
        <f>IF(LEN(I427)&lt;&gt;0,_xlfn.XLOOKUP(I427,[1]!Entities[ID_with_x],[1]!Entities[Name_w_County],_xlfn.CONCAT("Entity ID ",RIGHT(Table3[[#This Row],[Sponsor_1_num]],8)," not found")),"")</f>
        <v/>
      </c>
      <c r="P427" t="str">
        <f>IF(LEN(J427)&lt;&gt;0,_xlfn.XLOOKUP(J427,[1]!Entities[ID_with_x],[1]!Entities[Name_w_County],_xlfn.CONCAT("Entity ID ",RIGHT(Table3[[#This Row],[Sponsor_1_num]],8)," not found")),"")</f>
        <v/>
      </c>
      <c r="Q427" t="str">
        <f>IF(LEN(K427)&gt;0,_xlfn.TEXTJOIN(", ",TRUE,K427:P427),Table3[[#This Row],[SPONSOR_LIST]])</f>
        <v>Coastal Prairie Conservancy</v>
      </c>
    </row>
    <row r="428" spans="1:17" x14ac:dyDescent="0.25">
      <c r="A428" s="304" t="s">
        <v>3195</v>
      </c>
      <c r="B428" t="s">
        <v>3202</v>
      </c>
      <c r="C428" t="str">
        <f t="shared" si="7"/>
        <v>x07000202</v>
      </c>
      <c r="D428" t="str">
        <f>SUBSTITUTE(SUBSTITUTE(Table3[[#This Row],[Sponsor_list_tranform]],",",",x")," ","")</f>
        <v>x07000202</v>
      </c>
      <c r="E428" t="s">
        <v>11771</v>
      </c>
      <c r="K428" t="str">
        <f>IF(LEN(E428)&lt;&gt;0,_xlfn.XLOOKUP(E428,[1]!Entities[ID_with_x],[1]!Entities[Name_w_County],_xlfn.CONCAT("Entity ID ",RIGHT(Table3[[#This Row],[Sponsor_1_num]],8)," not found")),"")</f>
        <v>Bailey County</v>
      </c>
      <c r="L428" t="str">
        <f>IF(LEN(F428)&lt;&gt;0,_xlfn.XLOOKUP(F428,[1]!Entities[ID_with_x],[1]!Entities[Name_w_County],_xlfn.CONCAT("Entity ID ",RIGHT(Table3[[#This Row],[Sponsor_1_num]],8)," not found")),"")</f>
        <v/>
      </c>
      <c r="M428" t="str">
        <f>IF(LEN(G428)&lt;&gt;0,_xlfn.XLOOKUP(G428,[1]!Entities[ID_with_x],[1]!Entities[Name_w_County],_xlfn.CONCAT("Entity ID ",RIGHT(Table3[[#This Row],[Sponsor_1_num]],8)," not found")),"")</f>
        <v/>
      </c>
      <c r="N428" t="str">
        <f>IF(LEN(H428)&lt;&gt;0,_xlfn.XLOOKUP(H428,[1]!Entities[ID_with_x],[1]!Entities[Name_w_County],_xlfn.CONCAT("Entity ID ",RIGHT(Table3[[#This Row],[Sponsor_1_num]],8)," not found")),"")</f>
        <v/>
      </c>
      <c r="O428" t="str">
        <f>IF(LEN(I428)&lt;&gt;0,_xlfn.XLOOKUP(I428,[1]!Entities[ID_with_x],[1]!Entities[Name_w_County],_xlfn.CONCAT("Entity ID ",RIGHT(Table3[[#This Row],[Sponsor_1_num]],8)," not found")),"")</f>
        <v/>
      </c>
      <c r="P428" t="str">
        <f>IF(LEN(J428)&lt;&gt;0,_xlfn.XLOOKUP(J428,[1]!Entities[ID_with_x],[1]!Entities[Name_w_County],_xlfn.CONCAT("Entity ID ",RIGHT(Table3[[#This Row],[Sponsor_1_num]],8)," not found")),"")</f>
        <v/>
      </c>
      <c r="Q428" t="str">
        <f>IF(LEN(K428)&gt;0,_xlfn.TEXTJOIN(", ",TRUE,K428:P428),Table3[[#This Row],[SPONSOR_LIST]])</f>
        <v>Bailey County</v>
      </c>
    </row>
    <row r="429" spans="1:17" x14ac:dyDescent="0.25">
      <c r="A429" s="304" t="s">
        <v>3153</v>
      </c>
      <c r="B429" t="s">
        <v>434</v>
      </c>
      <c r="C429" t="str">
        <f t="shared" si="7"/>
        <v>x00000115</v>
      </c>
      <c r="D429" t="str">
        <f>SUBSTITUTE(SUBSTITUTE(Table3[[#This Row],[Sponsor_list_tranform]],",",",x")," ","")</f>
        <v>x00000115</v>
      </c>
      <c r="E429" t="s">
        <v>11726</v>
      </c>
      <c r="K429" t="str">
        <f>IF(LEN(E429)&lt;&gt;0,_xlfn.XLOOKUP(E429,[1]!Entities[ID_with_x],[1]!Entities[Name_w_County],_xlfn.CONCAT("Entity ID ",RIGHT(Table3[[#This Row],[Sponsor_1_num]],8)," not found")),"")</f>
        <v>Borden County</v>
      </c>
      <c r="L429" t="str">
        <f>IF(LEN(F429)&lt;&gt;0,_xlfn.XLOOKUP(F429,[1]!Entities[ID_with_x],[1]!Entities[Name_w_County],_xlfn.CONCAT("Entity ID ",RIGHT(Table3[[#This Row],[Sponsor_1_num]],8)," not found")),"")</f>
        <v/>
      </c>
      <c r="M429" t="str">
        <f>IF(LEN(G429)&lt;&gt;0,_xlfn.XLOOKUP(G429,[1]!Entities[ID_with_x],[1]!Entities[Name_w_County],_xlfn.CONCAT("Entity ID ",RIGHT(Table3[[#This Row],[Sponsor_1_num]],8)," not found")),"")</f>
        <v/>
      </c>
      <c r="N429" t="str">
        <f>IF(LEN(H429)&lt;&gt;0,_xlfn.XLOOKUP(H429,[1]!Entities[ID_with_x],[1]!Entities[Name_w_County],_xlfn.CONCAT("Entity ID ",RIGHT(Table3[[#This Row],[Sponsor_1_num]],8)," not found")),"")</f>
        <v/>
      </c>
      <c r="O429" t="str">
        <f>IF(LEN(I429)&lt;&gt;0,_xlfn.XLOOKUP(I429,[1]!Entities[ID_with_x],[1]!Entities[Name_w_County],_xlfn.CONCAT("Entity ID ",RIGHT(Table3[[#This Row],[Sponsor_1_num]],8)," not found")),"")</f>
        <v/>
      </c>
      <c r="P429" t="str">
        <f>IF(LEN(J429)&lt;&gt;0,_xlfn.XLOOKUP(J429,[1]!Entities[ID_with_x],[1]!Entities[Name_w_County],_xlfn.CONCAT("Entity ID ",RIGHT(Table3[[#This Row],[Sponsor_1_num]],8)," not found")),"")</f>
        <v/>
      </c>
      <c r="Q429" t="str">
        <f>IF(LEN(K429)&gt;0,_xlfn.TEXTJOIN(", ",TRUE,K429:P429),Table3[[#This Row],[SPONSOR_LIST]])</f>
        <v>Borden County</v>
      </c>
    </row>
    <row r="430" spans="1:17" x14ac:dyDescent="0.25">
      <c r="A430" s="304" t="s">
        <v>3031</v>
      </c>
      <c r="B430" t="s">
        <v>3039</v>
      </c>
      <c r="C430" t="str">
        <f t="shared" si="7"/>
        <v>x00000165</v>
      </c>
      <c r="D430" t="str">
        <f>SUBSTITUTE(SUBSTITUTE(Table3[[#This Row],[Sponsor_list_tranform]],",",",x")," ","")</f>
        <v>x00000165</v>
      </c>
      <c r="E430" t="s">
        <v>11814</v>
      </c>
      <c r="K430" t="str">
        <f>IF(LEN(E430)&lt;&gt;0,_xlfn.XLOOKUP(E430,[1]!Entities[ID_with_x],[1]!Entities[Name_w_County],_xlfn.CONCAT("Entity ID ",RIGHT(Table3[[#This Row],[Sponsor_1_num]],8)," not found")),"")</f>
        <v>Callahan County</v>
      </c>
      <c r="L430" t="str">
        <f>IF(LEN(F430)&lt;&gt;0,_xlfn.XLOOKUP(F430,[1]!Entities[ID_with_x],[1]!Entities[Name_w_County],_xlfn.CONCAT("Entity ID ",RIGHT(Table3[[#This Row],[Sponsor_1_num]],8)," not found")),"")</f>
        <v/>
      </c>
      <c r="M430" t="str">
        <f>IF(LEN(G430)&lt;&gt;0,_xlfn.XLOOKUP(G430,[1]!Entities[ID_with_x],[1]!Entities[Name_w_County],_xlfn.CONCAT("Entity ID ",RIGHT(Table3[[#This Row],[Sponsor_1_num]],8)," not found")),"")</f>
        <v/>
      </c>
      <c r="N430" t="str">
        <f>IF(LEN(H430)&lt;&gt;0,_xlfn.XLOOKUP(H430,[1]!Entities[ID_with_x],[1]!Entities[Name_w_County],_xlfn.CONCAT("Entity ID ",RIGHT(Table3[[#This Row],[Sponsor_1_num]],8)," not found")),"")</f>
        <v/>
      </c>
      <c r="O430" t="str">
        <f>IF(LEN(I430)&lt;&gt;0,_xlfn.XLOOKUP(I430,[1]!Entities[ID_with_x],[1]!Entities[Name_w_County],_xlfn.CONCAT("Entity ID ",RIGHT(Table3[[#This Row],[Sponsor_1_num]],8)," not found")),"")</f>
        <v/>
      </c>
      <c r="P430" t="str">
        <f>IF(LEN(J430)&lt;&gt;0,_xlfn.XLOOKUP(J430,[1]!Entities[ID_with_x],[1]!Entities[Name_w_County],_xlfn.CONCAT("Entity ID ",RIGHT(Table3[[#This Row],[Sponsor_1_num]],8)," not found")),"")</f>
        <v/>
      </c>
      <c r="Q430" t="str">
        <f>IF(LEN(K430)&gt;0,_xlfn.TEXTJOIN(", ",TRUE,K430:P430),Table3[[#This Row],[SPONSOR_LIST]])</f>
        <v>Callahan County</v>
      </c>
    </row>
    <row r="431" spans="1:17" x14ac:dyDescent="0.25">
      <c r="A431" s="304" t="s">
        <v>3057</v>
      </c>
      <c r="B431" t="s">
        <v>3056</v>
      </c>
      <c r="C431" t="str">
        <f t="shared" si="7"/>
        <v>x07002425</v>
      </c>
      <c r="D431" t="str">
        <f>SUBSTITUTE(SUBSTITUTE(Table3[[#This Row],[Sponsor_list_tranform]],",",",x")," ","")</f>
        <v>x07002425</v>
      </c>
      <c r="E431" t="s">
        <v>11645</v>
      </c>
      <c r="K431" t="str">
        <f>IF(LEN(E431)&lt;&gt;0,_xlfn.XLOOKUP(E431,[1]!Entities[ID_with_x],[1]!Entities[Name_w_County],_xlfn.CONCAT("Entity ID ",RIGHT(Table3[[#This Row],[Sponsor_1_num]],8)," not found")),"")</f>
        <v>Abilene</v>
      </c>
      <c r="L431" t="str">
        <f>IF(LEN(F431)&lt;&gt;0,_xlfn.XLOOKUP(F431,[1]!Entities[ID_with_x],[1]!Entities[Name_w_County],_xlfn.CONCAT("Entity ID ",RIGHT(Table3[[#This Row],[Sponsor_1_num]],8)," not found")),"")</f>
        <v/>
      </c>
      <c r="M431" t="str">
        <f>IF(LEN(G431)&lt;&gt;0,_xlfn.XLOOKUP(G431,[1]!Entities[ID_with_x],[1]!Entities[Name_w_County],_xlfn.CONCAT("Entity ID ",RIGHT(Table3[[#This Row],[Sponsor_1_num]],8)," not found")),"")</f>
        <v/>
      </c>
      <c r="N431" t="str">
        <f>IF(LEN(H431)&lt;&gt;0,_xlfn.XLOOKUP(H431,[1]!Entities[ID_with_x],[1]!Entities[Name_w_County],_xlfn.CONCAT("Entity ID ",RIGHT(Table3[[#This Row],[Sponsor_1_num]],8)," not found")),"")</f>
        <v/>
      </c>
      <c r="O431" t="str">
        <f>IF(LEN(I431)&lt;&gt;0,_xlfn.XLOOKUP(I431,[1]!Entities[ID_with_x],[1]!Entities[Name_w_County],_xlfn.CONCAT("Entity ID ",RIGHT(Table3[[#This Row],[Sponsor_1_num]],8)," not found")),"")</f>
        <v/>
      </c>
      <c r="P431" t="str">
        <f>IF(LEN(J431)&lt;&gt;0,_xlfn.XLOOKUP(J431,[1]!Entities[ID_with_x],[1]!Entities[Name_w_County],_xlfn.CONCAT("Entity ID ",RIGHT(Table3[[#This Row],[Sponsor_1_num]],8)," not found")),"")</f>
        <v/>
      </c>
      <c r="Q431" t="str">
        <f>IF(LEN(K431)&gt;0,_xlfn.TEXTJOIN(", ",TRUE,K431:P431),Table3[[#This Row],[SPONSOR_LIST]])</f>
        <v>Abilene</v>
      </c>
    </row>
    <row r="432" spans="1:17" x14ac:dyDescent="0.25">
      <c r="A432" s="304" t="s">
        <v>3050</v>
      </c>
      <c r="B432" t="s">
        <v>3056</v>
      </c>
      <c r="C432" t="str">
        <f t="shared" si="7"/>
        <v>x07002425</v>
      </c>
      <c r="D432" t="str">
        <f>SUBSTITUTE(SUBSTITUTE(Table3[[#This Row],[Sponsor_list_tranform]],",",",x")," ","")</f>
        <v>x07002425</v>
      </c>
      <c r="E432" t="s">
        <v>11645</v>
      </c>
      <c r="K432" t="str">
        <f>IF(LEN(E432)&lt;&gt;0,_xlfn.XLOOKUP(E432,[1]!Entities[ID_with_x],[1]!Entities[Name_w_County],_xlfn.CONCAT("Entity ID ",RIGHT(Table3[[#This Row],[Sponsor_1_num]],8)," not found")),"")</f>
        <v>Abilene</v>
      </c>
      <c r="L432" t="str">
        <f>IF(LEN(F432)&lt;&gt;0,_xlfn.XLOOKUP(F432,[1]!Entities[ID_with_x],[1]!Entities[Name_w_County],_xlfn.CONCAT("Entity ID ",RIGHT(Table3[[#This Row],[Sponsor_1_num]],8)," not found")),"")</f>
        <v/>
      </c>
      <c r="M432" t="str">
        <f>IF(LEN(G432)&lt;&gt;0,_xlfn.XLOOKUP(G432,[1]!Entities[ID_with_x],[1]!Entities[Name_w_County],_xlfn.CONCAT("Entity ID ",RIGHT(Table3[[#This Row],[Sponsor_1_num]],8)," not found")),"")</f>
        <v/>
      </c>
      <c r="N432" t="str">
        <f>IF(LEN(H432)&lt;&gt;0,_xlfn.XLOOKUP(H432,[1]!Entities[ID_with_x],[1]!Entities[Name_w_County],_xlfn.CONCAT("Entity ID ",RIGHT(Table3[[#This Row],[Sponsor_1_num]],8)," not found")),"")</f>
        <v/>
      </c>
      <c r="O432" t="str">
        <f>IF(LEN(I432)&lt;&gt;0,_xlfn.XLOOKUP(I432,[1]!Entities[ID_with_x],[1]!Entities[Name_w_County],_xlfn.CONCAT("Entity ID ",RIGHT(Table3[[#This Row],[Sponsor_1_num]],8)," not found")),"")</f>
        <v/>
      </c>
      <c r="P432" t="str">
        <f>IF(LEN(J432)&lt;&gt;0,_xlfn.XLOOKUP(J432,[1]!Entities[ID_with_x],[1]!Entities[Name_w_County],_xlfn.CONCAT("Entity ID ",RIGHT(Table3[[#This Row],[Sponsor_1_num]],8)," not found")),"")</f>
        <v/>
      </c>
      <c r="Q432" t="str">
        <f>IF(LEN(K432)&gt;0,_xlfn.TEXTJOIN(", ",TRUE,K432:P432),Table3[[#This Row],[SPONSOR_LIST]])</f>
        <v>Abilene</v>
      </c>
    </row>
    <row r="433" spans="1:17" x14ac:dyDescent="0.25">
      <c r="A433" s="304" t="s">
        <v>3297</v>
      </c>
      <c r="B433" t="s">
        <v>3304</v>
      </c>
      <c r="C433" t="str">
        <f t="shared" si="7"/>
        <v>x07002968</v>
      </c>
      <c r="D433" t="str">
        <f>SUBSTITUTE(SUBSTITUTE(Table3[[#This Row],[Sponsor_list_tranform]],",",",x")," ","")</f>
        <v>x07002968</v>
      </c>
      <c r="E433" t="s">
        <v>11772</v>
      </c>
      <c r="K433" t="str">
        <f>IF(LEN(E433)&lt;&gt;0,_xlfn.XLOOKUP(E433,[1]!Entities[ID_with_x],[1]!Entities[Name_w_County],_xlfn.CONCAT("Entity ID ",RIGHT(Table3[[#This Row],[Sponsor_1_num]],8)," not found")),"")</f>
        <v>Amherst</v>
      </c>
      <c r="L433" t="str">
        <f>IF(LEN(F433)&lt;&gt;0,_xlfn.XLOOKUP(F433,[1]!Entities[ID_with_x],[1]!Entities[Name_w_County],_xlfn.CONCAT("Entity ID ",RIGHT(Table3[[#This Row],[Sponsor_1_num]],8)," not found")),"")</f>
        <v/>
      </c>
      <c r="M433" t="str">
        <f>IF(LEN(G433)&lt;&gt;0,_xlfn.XLOOKUP(G433,[1]!Entities[ID_with_x],[1]!Entities[Name_w_County],_xlfn.CONCAT("Entity ID ",RIGHT(Table3[[#This Row],[Sponsor_1_num]],8)," not found")),"")</f>
        <v/>
      </c>
      <c r="N433" t="str">
        <f>IF(LEN(H433)&lt;&gt;0,_xlfn.XLOOKUP(H433,[1]!Entities[ID_with_x],[1]!Entities[Name_w_County],_xlfn.CONCAT("Entity ID ",RIGHT(Table3[[#This Row],[Sponsor_1_num]],8)," not found")),"")</f>
        <v/>
      </c>
      <c r="O433" t="str">
        <f>IF(LEN(I433)&lt;&gt;0,_xlfn.XLOOKUP(I433,[1]!Entities[ID_with_x],[1]!Entities[Name_w_County],_xlfn.CONCAT("Entity ID ",RIGHT(Table3[[#This Row],[Sponsor_1_num]],8)," not found")),"")</f>
        <v/>
      </c>
      <c r="P433" t="str">
        <f>IF(LEN(J433)&lt;&gt;0,_xlfn.XLOOKUP(J433,[1]!Entities[ID_with_x],[1]!Entities[Name_w_County],_xlfn.CONCAT("Entity ID ",RIGHT(Table3[[#This Row],[Sponsor_1_num]],8)," not found")),"")</f>
        <v/>
      </c>
      <c r="Q433" t="str">
        <f>IF(LEN(K433)&gt;0,_xlfn.TEXTJOIN(", ",TRUE,K433:P433),Table3[[#This Row],[SPONSOR_LIST]])</f>
        <v>Amherst</v>
      </c>
    </row>
    <row r="434" spans="1:17" x14ac:dyDescent="0.25">
      <c r="A434" s="304" t="s">
        <v>3218</v>
      </c>
      <c r="B434" t="s">
        <v>3223</v>
      </c>
      <c r="C434" t="str">
        <f t="shared" si="7"/>
        <v>x07002478</v>
      </c>
      <c r="D434" t="str">
        <f>SUBSTITUTE(SUBSTITUTE(Table3[[#This Row],[Sponsor_list_tranform]],",",",x")," ","")</f>
        <v>x07002478</v>
      </c>
      <c r="E434" t="s">
        <v>11815</v>
      </c>
      <c r="K434" t="str">
        <f>IF(LEN(E434)&lt;&gt;0,_xlfn.XLOOKUP(E434,[1]!Entities[ID_with_x],[1]!Entities[Name_w_County],_xlfn.CONCAT("Entity ID ",RIGHT(Table3[[#This Row],[Sponsor_1_num]],8)," not found")),"")</f>
        <v>Anson</v>
      </c>
      <c r="L434" t="str">
        <f>IF(LEN(F434)&lt;&gt;0,_xlfn.XLOOKUP(F434,[1]!Entities[ID_with_x],[1]!Entities[Name_w_County],_xlfn.CONCAT("Entity ID ",RIGHT(Table3[[#This Row],[Sponsor_1_num]],8)," not found")),"")</f>
        <v/>
      </c>
      <c r="M434" t="str">
        <f>IF(LEN(G434)&lt;&gt;0,_xlfn.XLOOKUP(G434,[1]!Entities[ID_with_x],[1]!Entities[Name_w_County],_xlfn.CONCAT("Entity ID ",RIGHT(Table3[[#This Row],[Sponsor_1_num]],8)," not found")),"")</f>
        <v/>
      </c>
      <c r="N434" t="str">
        <f>IF(LEN(H434)&lt;&gt;0,_xlfn.XLOOKUP(H434,[1]!Entities[ID_with_x],[1]!Entities[Name_w_County],_xlfn.CONCAT("Entity ID ",RIGHT(Table3[[#This Row],[Sponsor_1_num]],8)," not found")),"")</f>
        <v/>
      </c>
      <c r="O434" t="str">
        <f>IF(LEN(I434)&lt;&gt;0,_xlfn.XLOOKUP(I434,[1]!Entities[ID_with_x],[1]!Entities[Name_w_County],_xlfn.CONCAT("Entity ID ",RIGHT(Table3[[#This Row],[Sponsor_1_num]],8)," not found")),"")</f>
        <v/>
      </c>
      <c r="P434" t="str">
        <f>IF(LEN(J434)&lt;&gt;0,_xlfn.XLOOKUP(J434,[1]!Entities[ID_with_x],[1]!Entities[Name_w_County],_xlfn.CONCAT("Entity ID ",RIGHT(Table3[[#This Row],[Sponsor_1_num]],8)," not found")),"")</f>
        <v/>
      </c>
      <c r="Q434" t="str">
        <f>IF(LEN(K434)&gt;0,_xlfn.TEXTJOIN(", ",TRUE,K434:P434),Table3[[#This Row],[SPONSOR_LIST]])</f>
        <v>Anson</v>
      </c>
    </row>
    <row r="435" spans="1:17" x14ac:dyDescent="0.25">
      <c r="A435" s="304" t="s">
        <v>3278</v>
      </c>
      <c r="B435" t="s">
        <v>3282</v>
      </c>
      <c r="C435" t="str">
        <f t="shared" si="7"/>
        <v>x07002771</v>
      </c>
      <c r="D435" t="str">
        <f>SUBSTITUTE(SUBSTITUTE(Table3[[#This Row],[Sponsor_list_tranform]],",",",x")," ","")</f>
        <v>x07002771</v>
      </c>
      <c r="E435" t="s">
        <v>11773</v>
      </c>
      <c r="K435" t="str">
        <f>IF(LEN(E435)&lt;&gt;0,_xlfn.XLOOKUP(E435,[1]!Entities[ID_with_x],[1]!Entities[Name_w_County],_xlfn.CONCAT("Entity ID ",RIGHT(Table3[[#This Row],[Sponsor_1_num]],8)," not found")),"")</f>
        <v>Benjamin</v>
      </c>
      <c r="L435" t="str">
        <f>IF(LEN(F435)&lt;&gt;0,_xlfn.XLOOKUP(F435,[1]!Entities[ID_with_x],[1]!Entities[Name_w_County],_xlfn.CONCAT("Entity ID ",RIGHT(Table3[[#This Row],[Sponsor_1_num]],8)," not found")),"")</f>
        <v/>
      </c>
      <c r="M435" t="str">
        <f>IF(LEN(G435)&lt;&gt;0,_xlfn.XLOOKUP(G435,[1]!Entities[ID_with_x],[1]!Entities[Name_w_County],_xlfn.CONCAT("Entity ID ",RIGHT(Table3[[#This Row],[Sponsor_1_num]],8)," not found")),"")</f>
        <v/>
      </c>
      <c r="N435" t="str">
        <f>IF(LEN(H435)&lt;&gt;0,_xlfn.XLOOKUP(H435,[1]!Entities[ID_with_x],[1]!Entities[Name_w_County],_xlfn.CONCAT("Entity ID ",RIGHT(Table3[[#This Row],[Sponsor_1_num]],8)," not found")),"")</f>
        <v/>
      </c>
      <c r="O435" t="str">
        <f>IF(LEN(I435)&lt;&gt;0,_xlfn.XLOOKUP(I435,[1]!Entities[ID_with_x],[1]!Entities[Name_w_County],_xlfn.CONCAT("Entity ID ",RIGHT(Table3[[#This Row],[Sponsor_1_num]],8)," not found")),"")</f>
        <v/>
      </c>
      <c r="P435" t="str">
        <f>IF(LEN(J435)&lt;&gt;0,_xlfn.XLOOKUP(J435,[1]!Entities[ID_with_x],[1]!Entities[Name_w_County],_xlfn.CONCAT("Entity ID ",RIGHT(Table3[[#This Row],[Sponsor_1_num]],8)," not found")),"")</f>
        <v/>
      </c>
      <c r="Q435" t="str">
        <f>IF(LEN(K435)&gt;0,_xlfn.TEXTJOIN(", ",TRUE,K435:P435),Table3[[#This Row],[SPONSOR_LIST]])</f>
        <v>Benjamin</v>
      </c>
    </row>
    <row r="436" spans="1:17" x14ac:dyDescent="0.25">
      <c r="A436" s="304" t="s">
        <v>3271</v>
      </c>
      <c r="B436" t="s">
        <v>3277</v>
      </c>
      <c r="C436" t="str">
        <f t="shared" si="7"/>
        <v>x07002801</v>
      </c>
      <c r="D436" t="str">
        <f>SUBSTITUTE(SUBSTITUTE(Table3[[#This Row],[Sponsor_list_tranform]],",",",x")," ","")</f>
        <v>x07002801</v>
      </c>
      <c r="E436" t="s">
        <v>11774</v>
      </c>
      <c r="K436" t="str">
        <f>IF(LEN(E436)&lt;&gt;0,_xlfn.XLOOKUP(E436,[1]!Entities[ID_with_x],[1]!Entities[Name_w_County],_xlfn.CONCAT("Entity ID ",RIGHT(Table3[[#This Row],[Sponsor_1_num]],8)," not found")),"")</f>
        <v>Bovina</v>
      </c>
      <c r="L436" t="str">
        <f>IF(LEN(F436)&lt;&gt;0,_xlfn.XLOOKUP(F436,[1]!Entities[ID_with_x],[1]!Entities[Name_w_County],_xlfn.CONCAT("Entity ID ",RIGHT(Table3[[#This Row],[Sponsor_1_num]],8)," not found")),"")</f>
        <v/>
      </c>
      <c r="M436" t="str">
        <f>IF(LEN(G436)&lt;&gt;0,_xlfn.XLOOKUP(G436,[1]!Entities[ID_with_x],[1]!Entities[Name_w_County],_xlfn.CONCAT("Entity ID ",RIGHT(Table3[[#This Row],[Sponsor_1_num]],8)," not found")),"")</f>
        <v/>
      </c>
      <c r="N436" t="str">
        <f>IF(LEN(H436)&lt;&gt;0,_xlfn.XLOOKUP(H436,[1]!Entities[ID_with_x],[1]!Entities[Name_w_County],_xlfn.CONCAT("Entity ID ",RIGHT(Table3[[#This Row],[Sponsor_1_num]],8)," not found")),"")</f>
        <v/>
      </c>
      <c r="O436" t="str">
        <f>IF(LEN(I436)&lt;&gt;0,_xlfn.XLOOKUP(I436,[1]!Entities[ID_with_x],[1]!Entities[Name_w_County],_xlfn.CONCAT("Entity ID ",RIGHT(Table3[[#This Row],[Sponsor_1_num]],8)," not found")),"")</f>
        <v/>
      </c>
      <c r="P436" t="str">
        <f>IF(LEN(J436)&lt;&gt;0,_xlfn.XLOOKUP(J436,[1]!Entities[ID_with_x],[1]!Entities[Name_w_County],_xlfn.CONCAT("Entity ID ",RIGHT(Table3[[#This Row],[Sponsor_1_num]],8)," not found")),"")</f>
        <v/>
      </c>
      <c r="Q436" t="str">
        <f>IF(LEN(K436)&gt;0,_xlfn.TEXTJOIN(", ",TRUE,K436:P436),Table3[[#This Row],[SPONSOR_LIST]])</f>
        <v>Bovina</v>
      </c>
    </row>
    <row r="437" spans="1:17" x14ac:dyDescent="0.25">
      <c r="A437" s="304" t="s">
        <v>3067</v>
      </c>
      <c r="B437" t="s">
        <v>3075</v>
      </c>
      <c r="C437" t="str">
        <f t="shared" si="7"/>
        <v>x00002754</v>
      </c>
      <c r="D437" t="str">
        <f>SUBSTITUTE(SUBSTITUTE(Table3[[#This Row],[Sponsor_list_tranform]],",",",x")," ","")</f>
        <v>x00002754</v>
      </c>
      <c r="E437" t="s">
        <v>11626</v>
      </c>
      <c r="K437" t="str">
        <f>IF(LEN(E437)&lt;&gt;0,_xlfn.XLOOKUP(E437,[1]!Entities[ID_with_x],[1]!Entities[Name_w_County],_xlfn.CONCAT("Entity ID ",RIGHT(Table3[[#This Row],[Sponsor_1_num]],8)," not found")),"")</f>
        <v>Clyde</v>
      </c>
      <c r="L437" t="str">
        <f>IF(LEN(F437)&lt;&gt;0,_xlfn.XLOOKUP(F437,[1]!Entities[ID_with_x],[1]!Entities[Name_w_County],_xlfn.CONCAT("Entity ID ",RIGHT(Table3[[#This Row],[Sponsor_1_num]],8)," not found")),"")</f>
        <v/>
      </c>
      <c r="M437" t="str">
        <f>IF(LEN(G437)&lt;&gt;0,_xlfn.XLOOKUP(G437,[1]!Entities[ID_with_x],[1]!Entities[Name_w_County],_xlfn.CONCAT("Entity ID ",RIGHT(Table3[[#This Row],[Sponsor_1_num]],8)," not found")),"")</f>
        <v/>
      </c>
      <c r="N437" t="str">
        <f>IF(LEN(H437)&lt;&gt;0,_xlfn.XLOOKUP(H437,[1]!Entities[ID_with_x],[1]!Entities[Name_w_County],_xlfn.CONCAT("Entity ID ",RIGHT(Table3[[#This Row],[Sponsor_1_num]],8)," not found")),"")</f>
        <v/>
      </c>
      <c r="O437" t="str">
        <f>IF(LEN(I437)&lt;&gt;0,_xlfn.XLOOKUP(I437,[1]!Entities[ID_with_x],[1]!Entities[Name_w_County],_xlfn.CONCAT("Entity ID ",RIGHT(Table3[[#This Row],[Sponsor_1_num]],8)," not found")),"")</f>
        <v/>
      </c>
      <c r="P437" t="str">
        <f>IF(LEN(J437)&lt;&gt;0,_xlfn.XLOOKUP(J437,[1]!Entities[ID_with_x],[1]!Entities[Name_w_County],_xlfn.CONCAT("Entity ID ",RIGHT(Table3[[#This Row],[Sponsor_1_num]],8)," not found")),"")</f>
        <v/>
      </c>
      <c r="Q437" t="str">
        <f>IF(LEN(K437)&gt;0,_xlfn.TEXTJOIN(", ",TRUE,K437:P437),Table3[[#This Row],[SPONSOR_LIST]])</f>
        <v>Clyde</v>
      </c>
    </row>
    <row r="438" spans="1:17" x14ac:dyDescent="0.25">
      <c r="A438" s="304" t="s">
        <v>3290</v>
      </c>
      <c r="B438" t="s">
        <v>3296</v>
      </c>
      <c r="C438" t="str">
        <f t="shared" si="7"/>
        <v>x07002386</v>
      </c>
      <c r="D438" t="str">
        <f>SUBSTITUTE(SUBSTITUTE(Table3[[#This Row],[Sponsor_list_tranform]],",",",x")," ","")</f>
        <v>x07002386</v>
      </c>
      <c r="E438" t="s">
        <v>11775</v>
      </c>
      <c r="K438" t="str">
        <f>IF(LEN(E438)&lt;&gt;0,_xlfn.XLOOKUP(E438,[1]!Entities[ID_with_x],[1]!Entities[Name_w_County],_xlfn.CONCAT("Entity ID ",RIGHT(Table3[[#This Row],[Sponsor_1_num]],8)," not found")),"")</f>
        <v>Dickens</v>
      </c>
      <c r="L438" t="str">
        <f>IF(LEN(F438)&lt;&gt;0,_xlfn.XLOOKUP(F438,[1]!Entities[ID_with_x],[1]!Entities[Name_w_County],_xlfn.CONCAT("Entity ID ",RIGHT(Table3[[#This Row],[Sponsor_1_num]],8)," not found")),"")</f>
        <v/>
      </c>
      <c r="M438" t="str">
        <f>IF(LEN(G438)&lt;&gt;0,_xlfn.XLOOKUP(G438,[1]!Entities[ID_with_x],[1]!Entities[Name_w_County],_xlfn.CONCAT("Entity ID ",RIGHT(Table3[[#This Row],[Sponsor_1_num]],8)," not found")),"")</f>
        <v/>
      </c>
      <c r="N438" t="str">
        <f>IF(LEN(H438)&lt;&gt;0,_xlfn.XLOOKUP(H438,[1]!Entities[ID_with_x],[1]!Entities[Name_w_County],_xlfn.CONCAT("Entity ID ",RIGHT(Table3[[#This Row],[Sponsor_1_num]],8)," not found")),"")</f>
        <v/>
      </c>
      <c r="O438" t="str">
        <f>IF(LEN(I438)&lt;&gt;0,_xlfn.XLOOKUP(I438,[1]!Entities[ID_with_x],[1]!Entities[Name_w_County],_xlfn.CONCAT("Entity ID ",RIGHT(Table3[[#This Row],[Sponsor_1_num]],8)," not found")),"")</f>
        <v/>
      </c>
      <c r="P438" t="str">
        <f>IF(LEN(J438)&lt;&gt;0,_xlfn.XLOOKUP(J438,[1]!Entities[ID_with_x],[1]!Entities[Name_w_County],_xlfn.CONCAT("Entity ID ",RIGHT(Table3[[#This Row],[Sponsor_1_num]],8)," not found")),"")</f>
        <v/>
      </c>
      <c r="Q438" t="str">
        <f>IF(LEN(K438)&gt;0,_xlfn.TEXTJOIN(", ",TRUE,K438:P438),Table3[[#This Row],[SPONSOR_LIST]])</f>
        <v>Dickens</v>
      </c>
    </row>
    <row r="439" spans="1:17" x14ac:dyDescent="0.25">
      <c r="A439" s="304" t="s">
        <v>3323</v>
      </c>
      <c r="B439" t="s">
        <v>3328</v>
      </c>
      <c r="C439" t="str">
        <f t="shared" si="7"/>
        <v>x07003328</v>
      </c>
      <c r="D439" t="str">
        <f>SUBSTITUTE(SUBSTITUTE(Table3[[#This Row],[Sponsor_list_tranform]],",",",x")," ","")</f>
        <v>x07003328</v>
      </c>
      <c r="E439" t="s">
        <v>11776</v>
      </c>
      <c r="K439" t="str">
        <f>IF(LEN(E439)&lt;&gt;0,_xlfn.XLOOKUP(E439,[1]!Entities[ID_with_x],[1]!Entities[Name_w_County],_xlfn.CONCAT("Entity ID ",RIGHT(Table3[[#This Row],[Sponsor_1_num]],8)," not found")),"")</f>
        <v>Edmonson</v>
      </c>
      <c r="L439" t="str">
        <f>IF(LEN(F439)&lt;&gt;0,_xlfn.XLOOKUP(F439,[1]!Entities[ID_with_x],[1]!Entities[Name_w_County],_xlfn.CONCAT("Entity ID ",RIGHT(Table3[[#This Row],[Sponsor_1_num]],8)," not found")),"")</f>
        <v/>
      </c>
      <c r="M439" t="str">
        <f>IF(LEN(G439)&lt;&gt;0,_xlfn.XLOOKUP(G439,[1]!Entities[ID_with_x],[1]!Entities[Name_w_County],_xlfn.CONCAT("Entity ID ",RIGHT(Table3[[#This Row],[Sponsor_1_num]],8)," not found")),"")</f>
        <v/>
      </c>
      <c r="N439" t="str">
        <f>IF(LEN(H439)&lt;&gt;0,_xlfn.XLOOKUP(H439,[1]!Entities[ID_with_x],[1]!Entities[Name_w_County],_xlfn.CONCAT("Entity ID ",RIGHT(Table3[[#This Row],[Sponsor_1_num]],8)," not found")),"")</f>
        <v/>
      </c>
      <c r="O439" t="str">
        <f>IF(LEN(I439)&lt;&gt;0,_xlfn.XLOOKUP(I439,[1]!Entities[ID_with_x],[1]!Entities[Name_w_County],_xlfn.CONCAT("Entity ID ",RIGHT(Table3[[#This Row],[Sponsor_1_num]],8)," not found")),"")</f>
        <v/>
      </c>
      <c r="P439" t="str">
        <f>IF(LEN(J439)&lt;&gt;0,_xlfn.XLOOKUP(J439,[1]!Entities[ID_with_x],[1]!Entities[Name_w_County],_xlfn.CONCAT("Entity ID ",RIGHT(Table3[[#This Row],[Sponsor_1_num]],8)," not found")),"")</f>
        <v/>
      </c>
      <c r="Q439" t="str">
        <f>IF(LEN(K439)&gt;0,_xlfn.TEXTJOIN(", ",TRUE,K439:P439),Table3[[#This Row],[SPONSOR_LIST]])</f>
        <v>Edmonson</v>
      </c>
    </row>
    <row r="440" spans="1:17" x14ac:dyDescent="0.25">
      <c r="A440" s="304" t="s">
        <v>3245</v>
      </c>
      <c r="B440" t="s">
        <v>3251</v>
      </c>
      <c r="C440" t="str">
        <f t="shared" si="7"/>
        <v>x07003324</v>
      </c>
      <c r="D440" t="str">
        <f>SUBSTITUTE(SUBSTITUTE(Table3[[#This Row],[Sponsor_list_tranform]],",",",x")," ","")</f>
        <v>x07003324</v>
      </c>
      <c r="E440" t="s">
        <v>11777</v>
      </c>
      <c r="K440" t="str">
        <f>IF(LEN(E440)&lt;&gt;0,_xlfn.XLOOKUP(E440,[1]!Entities[ID_with_x],[1]!Entities[Name_w_County],_xlfn.CONCAT("Entity ID ",RIGHT(Table3[[#This Row],[Sponsor_1_num]],8)," not found")),"")</f>
        <v>Goree</v>
      </c>
      <c r="L440" t="str">
        <f>IF(LEN(F440)&lt;&gt;0,_xlfn.XLOOKUP(F440,[1]!Entities[ID_with_x],[1]!Entities[Name_w_County],_xlfn.CONCAT("Entity ID ",RIGHT(Table3[[#This Row],[Sponsor_1_num]],8)," not found")),"")</f>
        <v/>
      </c>
      <c r="M440" t="str">
        <f>IF(LEN(G440)&lt;&gt;0,_xlfn.XLOOKUP(G440,[1]!Entities[ID_with_x],[1]!Entities[Name_w_County],_xlfn.CONCAT("Entity ID ",RIGHT(Table3[[#This Row],[Sponsor_1_num]],8)," not found")),"")</f>
        <v/>
      </c>
      <c r="N440" t="str">
        <f>IF(LEN(H440)&lt;&gt;0,_xlfn.XLOOKUP(H440,[1]!Entities[ID_with_x],[1]!Entities[Name_w_County],_xlfn.CONCAT("Entity ID ",RIGHT(Table3[[#This Row],[Sponsor_1_num]],8)," not found")),"")</f>
        <v/>
      </c>
      <c r="O440" t="str">
        <f>IF(LEN(I440)&lt;&gt;0,_xlfn.XLOOKUP(I440,[1]!Entities[ID_with_x],[1]!Entities[Name_w_County],_xlfn.CONCAT("Entity ID ",RIGHT(Table3[[#This Row],[Sponsor_1_num]],8)," not found")),"")</f>
        <v/>
      </c>
      <c r="P440" t="str">
        <f>IF(LEN(J440)&lt;&gt;0,_xlfn.XLOOKUP(J440,[1]!Entities[ID_with_x],[1]!Entities[Name_w_County],_xlfn.CONCAT("Entity ID ",RIGHT(Table3[[#This Row],[Sponsor_1_num]],8)," not found")),"")</f>
        <v/>
      </c>
      <c r="Q440" t="str">
        <f>IF(LEN(K440)&gt;0,_xlfn.TEXTJOIN(", ",TRUE,K440:P440),Table3[[#This Row],[SPONSOR_LIST]])</f>
        <v>Goree</v>
      </c>
    </row>
    <row r="441" spans="1:17" x14ac:dyDescent="0.25">
      <c r="A441" s="304" t="s">
        <v>3252</v>
      </c>
      <c r="B441" t="s">
        <v>3258</v>
      </c>
      <c r="C441" t="str">
        <f t="shared" si="7"/>
        <v>x07003157</v>
      </c>
      <c r="D441" t="str">
        <f>SUBSTITUTE(SUBSTITUTE(Table3[[#This Row],[Sponsor_list_tranform]],",",",x")," ","")</f>
        <v>x07003157</v>
      </c>
      <c r="E441" t="s">
        <v>11778</v>
      </c>
      <c r="K441" t="str">
        <f>IF(LEN(E441)&lt;&gt;0,_xlfn.XLOOKUP(E441,[1]!Entities[ID_with_x],[1]!Entities[Name_w_County],_xlfn.CONCAT("Entity ID ",RIGHT(Table3[[#This Row],[Sponsor_1_num]],8)," not found")),"")</f>
        <v>Hale Center</v>
      </c>
      <c r="L441" t="str">
        <f>IF(LEN(F441)&lt;&gt;0,_xlfn.XLOOKUP(F441,[1]!Entities[ID_with_x],[1]!Entities[Name_w_County],_xlfn.CONCAT("Entity ID ",RIGHT(Table3[[#This Row],[Sponsor_1_num]],8)," not found")),"")</f>
        <v/>
      </c>
      <c r="M441" t="str">
        <f>IF(LEN(G441)&lt;&gt;0,_xlfn.XLOOKUP(G441,[1]!Entities[ID_with_x],[1]!Entities[Name_w_County],_xlfn.CONCAT("Entity ID ",RIGHT(Table3[[#This Row],[Sponsor_1_num]],8)," not found")),"")</f>
        <v/>
      </c>
      <c r="N441" t="str">
        <f>IF(LEN(H441)&lt;&gt;0,_xlfn.XLOOKUP(H441,[1]!Entities[ID_with_x],[1]!Entities[Name_w_County],_xlfn.CONCAT("Entity ID ",RIGHT(Table3[[#This Row],[Sponsor_1_num]],8)," not found")),"")</f>
        <v/>
      </c>
      <c r="O441" t="str">
        <f>IF(LEN(I441)&lt;&gt;0,_xlfn.XLOOKUP(I441,[1]!Entities[ID_with_x],[1]!Entities[Name_w_County],_xlfn.CONCAT("Entity ID ",RIGHT(Table3[[#This Row],[Sponsor_1_num]],8)," not found")),"")</f>
        <v/>
      </c>
      <c r="P441" t="str">
        <f>IF(LEN(J441)&lt;&gt;0,_xlfn.XLOOKUP(J441,[1]!Entities[ID_with_x],[1]!Entities[Name_w_County],_xlfn.CONCAT("Entity ID ",RIGHT(Table3[[#This Row],[Sponsor_1_num]],8)," not found")),"")</f>
        <v/>
      </c>
      <c r="Q441" t="str">
        <f>IF(LEN(K441)&gt;0,_xlfn.TEXTJOIN(", ",TRUE,K441:P441),Table3[[#This Row],[SPONSOR_LIST]])</f>
        <v>Hale Center</v>
      </c>
    </row>
    <row r="442" spans="1:17" x14ac:dyDescent="0.25">
      <c r="A442" s="304" t="s">
        <v>3232</v>
      </c>
      <c r="B442" t="s">
        <v>3238</v>
      </c>
      <c r="C442" t="str">
        <f t="shared" si="7"/>
        <v>x07002528</v>
      </c>
      <c r="D442" t="str">
        <f>SUBSTITUTE(SUBSTITUTE(Table3[[#This Row],[Sponsor_list_tranform]],",",",x")," ","")</f>
        <v>x07002528</v>
      </c>
      <c r="E442" t="s">
        <v>11779</v>
      </c>
      <c r="K442" t="str">
        <f>IF(LEN(E442)&lt;&gt;0,_xlfn.XLOOKUP(E442,[1]!Entities[ID_with_x],[1]!Entities[Name_w_County],_xlfn.CONCAT("Entity ID ",RIGHT(Table3[[#This Row],[Sponsor_1_num]],8)," not found")),"")</f>
        <v>Jayton</v>
      </c>
      <c r="L442" t="str">
        <f>IF(LEN(F442)&lt;&gt;0,_xlfn.XLOOKUP(F442,[1]!Entities[ID_with_x],[1]!Entities[Name_w_County],_xlfn.CONCAT("Entity ID ",RIGHT(Table3[[#This Row],[Sponsor_1_num]],8)," not found")),"")</f>
        <v/>
      </c>
      <c r="M442" t="str">
        <f>IF(LEN(G442)&lt;&gt;0,_xlfn.XLOOKUP(G442,[1]!Entities[ID_with_x],[1]!Entities[Name_w_County],_xlfn.CONCAT("Entity ID ",RIGHT(Table3[[#This Row],[Sponsor_1_num]],8)," not found")),"")</f>
        <v/>
      </c>
      <c r="N442" t="str">
        <f>IF(LEN(H442)&lt;&gt;0,_xlfn.XLOOKUP(H442,[1]!Entities[ID_with_x],[1]!Entities[Name_w_County],_xlfn.CONCAT("Entity ID ",RIGHT(Table3[[#This Row],[Sponsor_1_num]],8)," not found")),"")</f>
        <v/>
      </c>
      <c r="O442" t="str">
        <f>IF(LEN(I442)&lt;&gt;0,_xlfn.XLOOKUP(I442,[1]!Entities[ID_with_x],[1]!Entities[Name_w_County],_xlfn.CONCAT("Entity ID ",RIGHT(Table3[[#This Row],[Sponsor_1_num]],8)," not found")),"")</f>
        <v/>
      </c>
      <c r="P442" t="str">
        <f>IF(LEN(J442)&lt;&gt;0,_xlfn.XLOOKUP(J442,[1]!Entities[ID_with_x],[1]!Entities[Name_w_County],_xlfn.CONCAT("Entity ID ",RIGHT(Table3[[#This Row],[Sponsor_1_num]],8)," not found")),"")</f>
        <v/>
      </c>
      <c r="Q442" t="str">
        <f>IF(LEN(K442)&gt;0,_xlfn.TEXTJOIN(", ",TRUE,K442:P442),Table3[[#This Row],[SPONSOR_LIST]])</f>
        <v>Jayton</v>
      </c>
    </row>
    <row r="443" spans="1:17" x14ac:dyDescent="0.25">
      <c r="A443" s="304" t="s">
        <v>3211</v>
      </c>
      <c r="B443" t="s">
        <v>3217</v>
      </c>
      <c r="C443" t="str">
        <f t="shared" si="7"/>
        <v>x07003166</v>
      </c>
      <c r="D443" t="str">
        <f>SUBSTITUTE(SUBSTITUTE(Table3[[#This Row],[Sponsor_list_tranform]],",",",x")," ","")</f>
        <v>x07003166</v>
      </c>
      <c r="E443" t="s">
        <v>11780</v>
      </c>
      <c r="K443" t="str">
        <f>IF(LEN(E443)&lt;&gt;0,_xlfn.XLOOKUP(E443,[1]!Entities[ID_with_x],[1]!Entities[Name_w_County],_xlfn.CONCAT("Entity ID ",RIGHT(Table3[[#This Row],[Sponsor_1_num]],8)," not found")),"")</f>
        <v>Levelland</v>
      </c>
      <c r="L443" t="str">
        <f>IF(LEN(F443)&lt;&gt;0,_xlfn.XLOOKUP(F443,[1]!Entities[ID_with_x],[1]!Entities[Name_w_County],_xlfn.CONCAT("Entity ID ",RIGHT(Table3[[#This Row],[Sponsor_1_num]],8)," not found")),"")</f>
        <v/>
      </c>
      <c r="M443" t="str">
        <f>IF(LEN(G443)&lt;&gt;0,_xlfn.XLOOKUP(G443,[1]!Entities[ID_with_x],[1]!Entities[Name_w_County],_xlfn.CONCAT("Entity ID ",RIGHT(Table3[[#This Row],[Sponsor_1_num]],8)," not found")),"")</f>
        <v/>
      </c>
      <c r="N443" t="str">
        <f>IF(LEN(H443)&lt;&gt;0,_xlfn.XLOOKUP(H443,[1]!Entities[ID_with_x],[1]!Entities[Name_w_County],_xlfn.CONCAT("Entity ID ",RIGHT(Table3[[#This Row],[Sponsor_1_num]],8)," not found")),"")</f>
        <v/>
      </c>
      <c r="O443" t="str">
        <f>IF(LEN(I443)&lt;&gt;0,_xlfn.XLOOKUP(I443,[1]!Entities[ID_with_x],[1]!Entities[Name_w_County],_xlfn.CONCAT("Entity ID ",RIGHT(Table3[[#This Row],[Sponsor_1_num]],8)," not found")),"")</f>
        <v/>
      </c>
      <c r="P443" t="str">
        <f>IF(LEN(J443)&lt;&gt;0,_xlfn.XLOOKUP(J443,[1]!Entities[ID_with_x],[1]!Entities[Name_w_County],_xlfn.CONCAT("Entity ID ",RIGHT(Table3[[#This Row],[Sponsor_1_num]],8)," not found")),"")</f>
        <v/>
      </c>
      <c r="Q443" t="str">
        <f>IF(LEN(K443)&gt;0,_xlfn.TEXTJOIN(", ",TRUE,K443:P443),Table3[[#This Row],[SPONSOR_LIST]])</f>
        <v>Levelland</v>
      </c>
    </row>
    <row r="444" spans="1:17" x14ac:dyDescent="0.25">
      <c r="A444" s="304" t="s">
        <v>3040</v>
      </c>
      <c r="B444" t="s">
        <v>3048</v>
      </c>
      <c r="C444" t="str">
        <f t="shared" si="7"/>
        <v>x07003269</v>
      </c>
      <c r="D444" t="str">
        <f>SUBSTITUTE(SUBSTITUTE(Table3[[#This Row],[Sponsor_list_tranform]],",",",x")," ","")</f>
        <v>x07003269</v>
      </c>
      <c r="E444" t="s">
        <v>11621</v>
      </c>
      <c r="K444" t="str">
        <f>IF(LEN(E444)&lt;&gt;0,_xlfn.XLOOKUP(E444,[1]!Entities[ID_with_x],[1]!Entities[Name_w_County],_xlfn.CONCAT("Entity ID ",RIGHT(Table3[[#This Row],[Sponsor_1_num]],8)," not found")),"")</f>
        <v>Lubbock</v>
      </c>
      <c r="L444" t="str">
        <f>IF(LEN(F444)&lt;&gt;0,_xlfn.XLOOKUP(F444,[1]!Entities[ID_with_x],[1]!Entities[Name_w_County],_xlfn.CONCAT("Entity ID ",RIGHT(Table3[[#This Row],[Sponsor_1_num]],8)," not found")),"")</f>
        <v/>
      </c>
      <c r="M444" t="str">
        <f>IF(LEN(G444)&lt;&gt;0,_xlfn.XLOOKUP(G444,[1]!Entities[ID_with_x],[1]!Entities[Name_w_County],_xlfn.CONCAT("Entity ID ",RIGHT(Table3[[#This Row],[Sponsor_1_num]],8)," not found")),"")</f>
        <v/>
      </c>
      <c r="N444" t="str">
        <f>IF(LEN(H444)&lt;&gt;0,_xlfn.XLOOKUP(H444,[1]!Entities[ID_with_x],[1]!Entities[Name_w_County],_xlfn.CONCAT("Entity ID ",RIGHT(Table3[[#This Row],[Sponsor_1_num]],8)," not found")),"")</f>
        <v/>
      </c>
      <c r="O444" t="str">
        <f>IF(LEN(I444)&lt;&gt;0,_xlfn.XLOOKUP(I444,[1]!Entities[ID_with_x],[1]!Entities[Name_w_County],_xlfn.CONCAT("Entity ID ",RIGHT(Table3[[#This Row],[Sponsor_1_num]],8)," not found")),"")</f>
        <v/>
      </c>
      <c r="P444" t="str">
        <f>IF(LEN(J444)&lt;&gt;0,_xlfn.XLOOKUP(J444,[1]!Entities[ID_with_x],[1]!Entities[Name_w_County],_xlfn.CONCAT("Entity ID ",RIGHT(Table3[[#This Row],[Sponsor_1_num]],8)," not found")),"")</f>
        <v/>
      </c>
      <c r="Q444" t="str">
        <f>IF(LEN(K444)&gt;0,_xlfn.TEXTJOIN(", ",TRUE,K444:P444),Table3[[#This Row],[SPONSOR_LIST]])</f>
        <v>Lubbock</v>
      </c>
    </row>
    <row r="445" spans="1:17" x14ac:dyDescent="0.25">
      <c r="A445" s="304" t="s">
        <v>3082</v>
      </c>
      <c r="B445" t="s">
        <v>3088</v>
      </c>
      <c r="C445" t="str">
        <f t="shared" si="7"/>
        <v>x07003441</v>
      </c>
      <c r="D445" t="str">
        <f>SUBSTITUTE(SUBSTITUTE(Table3[[#This Row],[Sponsor_list_tranform]],",",",x")," ","")</f>
        <v>x07003441</v>
      </c>
      <c r="E445" t="s">
        <v>11781</v>
      </c>
      <c r="K445" t="str">
        <f>IF(LEN(E445)&lt;&gt;0,_xlfn.XLOOKUP(E445,[1]!Entities[ID_with_x],[1]!Entities[Name_w_County],_xlfn.CONCAT("Entity ID ",RIGHT(Table3[[#This Row],[Sponsor_1_num]],8)," not found")),"")</f>
        <v>Lueders</v>
      </c>
      <c r="L445" t="str">
        <f>IF(LEN(F445)&lt;&gt;0,_xlfn.XLOOKUP(F445,[1]!Entities[ID_with_x],[1]!Entities[Name_w_County],_xlfn.CONCAT("Entity ID ",RIGHT(Table3[[#This Row],[Sponsor_1_num]],8)," not found")),"")</f>
        <v/>
      </c>
      <c r="M445" t="str">
        <f>IF(LEN(G445)&lt;&gt;0,_xlfn.XLOOKUP(G445,[1]!Entities[ID_with_x],[1]!Entities[Name_w_County],_xlfn.CONCAT("Entity ID ",RIGHT(Table3[[#This Row],[Sponsor_1_num]],8)," not found")),"")</f>
        <v/>
      </c>
      <c r="N445" t="str">
        <f>IF(LEN(H445)&lt;&gt;0,_xlfn.XLOOKUP(H445,[1]!Entities[ID_with_x],[1]!Entities[Name_w_County],_xlfn.CONCAT("Entity ID ",RIGHT(Table3[[#This Row],[Sponsor_1_num]],8)," not found")),"")</f>
        <v/>
      </c>
      <c r="O445" t="str">
        <f>IF(LEN(I445)&lt;&gt;0,_xlfn.XLOOKUP(I445,[1]!Entities[ID_with_x],[1]!Entities[Name_w_County],_xlfn.CONCAT("Entity ID ",RIGHT(Table3[[#This Row],[Sponsor_1_num]],8)," not found")),"")</f>
        <v/>
      </c>
      <c r="P445" t="str">
        <f>IF(LEN(J445)&lt;&gt;0,_xlfn.XLOOKUP(J445,[1]!Entities[ID_with_x],[1]!Entities[Name_w_County],_xlfn.CONCAT("Entity ID ",RIGHT(Table3[[#This Row],[Sponsor_1_num]],8)," not found")),"")</f>
        <v/>
      </c>
      <c r="Q445" t="str">
        <f>IF(LEN(K445)&gt;0,_xlfn.TEXTJOIN(", ",TRUE,K445:P445),Table3[[#This Row],[SPONSOR_LIST]])</f>
        <v>Lueders</v>
      </c>
    </row>
    <row r="446" spans="1:17" x14ac:dyDescent="0.25">
      <c r="A446" s="304" t="s">
        <v>3329</v>
      </c>
      <c r="B446" t="s">
        <v>3334</v>
      </c>
      <c r="C446" t="str">
        <f t="shared" si="7"/>
        <v>x07003395</v>
      </c>
      <c r="D446" t="str">
        <f>SUBSTITUTE(SUBSTITUTE(Table3[[#This Row],[Sponsor_list_tranform]],",",",x")," ","")</f>
        <v>x07003395</v>
      </c>
      <c r="E446" t="s">
        <v>11782</v>
      </c>
      <c r="K446" t="str">
        <f>IF(LEN(E446)&lt;&gt;0,_xlfn.XLOOKUP(E446,[1]!Entities[ID_with_x],[1]!Entities[Name_w_County],_xlfn.CONCAT("Entity ID ",RIGHT(Table3[[#This Row],[Sponsor_1_num]],8)," not found")),"")</f>
        <v>Moran</v>
      </c>
      <c r="L446" t="str">
        <f>IF(LEN(F446)&lt;&gt;0,_xlfn.XLOOKUP(F446,[1]!Entities[ID_with_x],[1]!Entities[Name_w_County],_xlfn.CONCAT("Entity ID ",RIGHT(Table3[[#This Row],[Sponsor_1_num]],8)," not found")),"")</f>
        <v/>
      </c>
      <c r="M446" t="str">
        <f>IF(LEN(G446)&lt;&gt;0,_xlfn.XLOOKUP(G446,[1]!Entities[ID_with_x],[1]!Entities[Name_w_County],_xlfn.CONCAT("Entity ID ",RIGHT(Table3[[#This Row],[Sponsor_1_num]],8)," not found")),"")</f>
        <v/>
      </c>
      <c r="N446" t="str">
        <f>IF(LEN(H446)&lt;&gt;0,_xlfn.XLOOKUP(H446,[1]!Entities[ID_with_x],[1]!Entities[Name_w_County],_xlfn.CONCAT("Entity ID ",RIGHT(Table3[[#This Row],[Sponsor_1_num]],8)," not found")),"")</f>
        <v/>
      </c>
      <c r="O446" t="str">
        <f>IF(LEN(I446)&lt;&gt;0,_xlfn.XLOOKUP(I446,[1]!Entities[ID_with_x],[1]!Entities[Name_w_County],_xlfn.CONCAT("Entity ID ",RIGHT(Table3[[#This Row],[Sponsor_1_num]],8)," not found")),"")</f>
        <v/>
      </c>
      <c r="P446" t="str">
        <f>IF(LEN(J446)&lt;&gt;0,_xlfn.XLOOKUP(J446,[1]!Entities[ID_with_x],[1]!Entities[Name_w_County],_xlfn.CONCAT("Entity ID ",RIGHT(Table3[[#This Row],[Sponsor_1_num]],8)," not found")),"")</f>
        <v/>
      </c>
      <c r="Q446" t="str">
        <f>IF(LEN(K446)&gt;0,_xlfn.TEXTJOIN(", ",TRUE,K446:P446),Table3[[#This Row],[SPONSOR_LIST]])</f>
        <v>Moran</v>
      </c>
    </row>
    <row r="447" spans="1:17" x14ac:dyDescent="0.25">
      <c r="A447" s="304" t="s">
        <v>3259</v>
      </c>
      <c r="B447" t="s">
        <v>3264</v>
      </c>
      <c r="C447" t="str">
        <f t="shared" si="7"/>
        <v>x07002758</v>
      </c>
      <c r="D447" t="str">
        <f>SUBSTITUTE(SUBSTITUTE(Table3[[#This Row],[Sponsor_list_tranform]],",",",x")," ","")</f>
        <v>x07002758</v>
      </c>
      <c r="E447" t="s">
        <v>11783</v>
      </c>
      <c r="K447" t="str">
        <f>IF(LEN(E447)&lt;&gt;0,_xlfn.XLOOKUP(E447,[1]!Entities[ID_with_x],[1]!Entities[Name_w_County],_xlfn.CONCAT("Entity ID ",RIGHT(Table3[[#This Row],[Sponsor_1_num]],8)," not found")),"")</f>
        <v>Munday</v>
      </c>
      <c r="L447" t="str">
        <f>IF(LEN(F447)&lt;&gt;0,_xlfn.XLOOKUP(F447,[1]!Entities[ID_with_x],[1]!Entities[Name_w_County],_xlfn.CONCAT("Entity ID ",RIGHT(Table3[[#This Row],[Sponsor_1_num]],8)," not found")),"")</f>
        <v/>
      </c>
      <c r="M447" t="str">
        <f>IF(LEN(G447)&lt;&gt;0,_xlfn.XLOOKUP(G447,[1]!Entities[ID_with_x],[1]!Entities[Name_w_County],_xlfn.CONCAT("Entity ID ",RIGHT(Table3[[#This Row],[Sponsor_1_num]],8)," not found")),"")</f>
        <v/>
      </c>
      <c r="N447" t="str">
        <f>IF(LEN(H447)&lt;&gt;0,_xlfn.XLOOKUP(H447,[1]!Entities[ID_with_x],[1]!Entities[Name_w_County],_xlfn.CONCAT("Entity ID ",RIGHT(Table3[[#This Row],[Sponsor_1_num]],8)," not found")),"")</f>
        <v/>
      </c>
      <c r="O447" t="str">
        <f>IF(LEN(I447)&lt;&gt;0,_xlfn.XLOOKUP(I447,[1]!Entities[ID_with_x],[1]!Entities[Name_w_County],_xlfn.CONCAT("Entity ID ",RIGHT(Table3[[#This Row],[Sponsor_1_num]],8)," not found")),"")</f>
        <v/>
      </c>
      <c r="P447" t="str">
        <f>IF(LEN(J447)&lt;&gt;0,_xlfn.XLOOKUP(J447,[1]!Entities[ID_with_x],[1]!Entities[Name_w_County],_xlfn.CONCAT("Entity ID ",RIGHT(Table3[[#This Row],[Sponsor_1_num]],8)," not found")),"")</f>
        <v/>
      </c>
      <c r="Q447" t="str">
        <f>IF(LEN(K447)&gt;0,_xlfn.TEXTJOIN(", ",TRUE,K447:P447),Table3[[#This Row],[SPONSOR_LIST]])</f>
        <v>Munday</v>
      </c>
    </row>
    <row r="448" spans="1:17" x14ac:dyDescent="0.25">
      <c r="A448" s="304" t="s">
        <v>3305</v>
      </c>
      <c r="B448" t="s">
        <v>3310</v>
      </c>
      <c r="C448" t="str">
        <f t="shared" si="7"/>
        <v>x07003158</v>
      </c>
      <c r="D448" t="str">
        <f>SUBSTITUTE(SUBSTITUTE(Table3[[#This Row],[Sponsor_list_tranform]],",",",x")," ","")</f>
        <v>x07003158</v>
      </c>
      <c r="E448" t="s">
        <v>11784</v>
      </c>
      <c r="K448" t="str">
        <f>IF(LEN(E448)&lt;&gt;0,_xlfn.XLOOKUP(E448,[1]!Entities[ID_with_x],[1]!Entities[Name_w_County],_xlfn.CONCAT("Entity ID ",RIGHT(Table3[[#This Row],[Sponsor_1_num]],8)," not found")),"")</f>
        <v>Petersburg</v>
      </c>
      <c r="L448" t="str">
        <f>IF(LEN(F448)&lt;&gt;0,_xlfn.XLOOKUP(F448,[1]!Entities[ID_with_x],[1]!Entities[Name_w_County],_xlfn.CONCAT("Entity ID ",RIGHT(Table3[[#This Row],[Sponsor_1_num]],8)," not found")),"")</f>
        <v/>
      </c>
      <c r="M448" t="str">
        <f>IF(LEN(G448)&lt;&gt;0,_xlfn.XLOOKUP(G448,[1]!Entities[ID_with_x],[1]!Entities[Name_w_County],_xlfn.CONCAT("Entity ID ",RIGHT(Table3[[#This Row],[Sponsor_1_num]],8)," not found")),"")</f>
        <v/>
      </c>
      <c r="N448" t="str">
        <f>IF(LEN(H448)&lt;&gt;0,_xlfn.XLOOKUP(H448,[1]!Entities[ID_with_x],[1]!Entities[Name_w_County],_xlfn.CONCAT("Entity ID ",RIGHT(Table3[[#This Row],[Sponsor_1_num]],8)," not found")),"")</f>
        <v/>
      </c>
      <c r="O448" t="str">
        <f>IF(LEN(I448)&lt;&gt;0,_xlfn.XLOOKUP(I448,[1]!Entities[ID_with_x],[1]!Entities[Name_w_County],_xlfn.CONCAT("Entity ID ",RIGHT(Table3[[#This Row],[Sponsor_1_num]],8)," not found")),"")</f>
        <v/>
      </c>
      <c r="P448" t="str">
        <f>IF(LEN(J448)&lt;&gt;0,_xlfn.XLOOKUP(J448,[1]!Entities[ID_with_x],[1]!Entities[Name_w_County],_xlfn.CONCAT("Entity ID ",RIGHT(Table3[[#This Row],[Sponsor_1_num]],8)," not found")),"")</f>
        <v/>
      </c>
      <c r="Q448" t="str">
        <f>IF(LEN(K448)&gt;0,_xlfn.TEXTJOIN(", ",TRUE,K448:P448),Table3[[#This Row],[SPONSOR_LIST]])</f>
        <v>Petersburg</v>
      </c>
    </row>
    <row r="449" spans="1:17" x14ac:dyDescent="0.25">
      <c r="A449" s="304" t="s">
        <v>3203</v>
      </c>
      <c r="B449" t="s">
        <v>3210</v>
      </c>
      <c r="C449" t="str">
        <f t="shared" si="7"/>
        <v>x07003159</v>
      </c>
      <c r="D449" t="str">
        <f>SUBSTITUTE(SUBSTITUTE(Table3[[#This Row],[Sponsor_list_tranform]],",",",x")," ","")</f>
        <v>x07003159</v>
      </c>
      <c r="E449" t="s">
        <v>11785</v>
      </c>
      <c r="K449" t="str">
        <f>IF(LEN(E449)&lt;&gt;0,_xlfn.XLOOKUP(E449,[1]!Entities[ID_with_x],[1]!Entities[Name_w_County],_xlfn.CONCAT("Entity ID ",RIGHT(Table3[[#This Row],[Sponsor_1_num]],8)," not found")),"")</f>
        <v>Plainview</v>
      </c>
      <c r="L449" t="str">
        <f>IF(LEN(F449)&lt;&gt;0,_xlfn.XLOOKUP(F449,[1]!Entities[ID_with_x],[1]!Entities[Name_w_County],_xlfn.CONCAT("Entity ID ",RIGHT(Table3[[#This Row],[Sponsor_1_num]],8)," not found")),"")</f>
        <v/>
      </c>
      <c r="M449" t="str">
        <f>IF(LEN(G449)&lt;&gt;0,_xlfn.XLOOKUP(G449,[1]!Entities[ID_with_x],[1]!Entities[Name_w_County],_xlfn.CONCAT("Entity ID ",RIGHT(Table3[[#This Row],[Sponsor_1_num]],8)," not found")),"")</f>
        <v/>
      </c>
      <c r="N449" t="str">
        <f>IF(LEN(H449)&lt;&gt;0,_xlfn.XLOOKUP(H449,[1]!Entities[ID_with_x],[1]!Entities[Name_w_County],_xlfn.CONCAT("Entity ID ",RIGHT(Table3[[#This Row],[Sponsor_1_num]],8)," not found")),"")</f>
        <v/>
      </c>
      <c r="O449" t="str">
        <f>IF(LEN(I449)&lt;&gt;0,_xlfn.XLOOKUP(I449,[1]!Entities[ID_with_x],[1]!Entities[Name_w_County],_xlfn.CONCAT("Entity ID ",RIGHT(Table3[[#This Row],[Sponsor_1_num]],8)," not found")),"")</f>
        <v/>
      </c>
      <c r="P449" t="str">
        <f>IF(LEN(J449)&lt;&gt;0,_xlfn.XLOOKUP(J449,[1]!Entities[ID_with_x],[1]!Entities[Name_w_County],_xlfn.CONCAT("Entity ID ",RIGHT(Table3[[#This Row],[Sponsor_1_num]],8)," not found")),"")</f>
        <v/>
      </c>
      <c r="Q449" t="str">
        <f>IF(LEN(K449)&gt;0,_xlfn.TEXTJOIN(", ",TRUE,K449:P449),Table3[[#This Row],[SPONSOR_LIST]])</f>
        <v>Plainview</v>
      </c>
    </row>
    <row r="450" spans="1:17" x14ac:dyDescent="0.25">
      <c r="A450" s="304" t="s">
        <v>3283</v>
      </c>
      <c r="B450" t="s">
        <v>3289</v>
      </c>
      <c r="C450" t="str">
        <f t="shared" si="7"/>
        <v>x07002763</v>
      </c>
      <c r="D450" t="str">
        <f>SUBSTITUTE(SUBSTITUTE(Table3[[#This Row],[Sponsor_list_tranform]],",",",x")," ","")</f>
        <v>x07002763</v>
      </c>
      <c r="E450" t="s">
        <v>11786</v>
      </c>
      <c r="K450" t="str">
        <f>IF(LEN(E450)&lt;&gt;0,_xlfn.XLOOKUP(E450,[1]!Entities[ID_with_x],[1]!Entities[Name_w_County],_xlfn.CONCAT("Entity ID ",RIGHT(Table3[[#This Row],[Sponsor_1_num]],8)," not found")),"")</f>
        <v>Putnam</v>
      </c>
      <c r="L450" t="str">
        <f>IF(LEN(F450)&lt;&gt;0,_xlfn.XLOOKUP(F450,[1]!Entities[ID_with_x],[1]!Entities[Name_w_County],_xlfn.CONCAT("Entity ID ",RIGHT(Table3[[#This Row],[Sponsor_1_num]],8)," not found")),"")</f>
        <v/>
      </c>
      <c r="M450" t="str">
        <f>IF(LEN(G450)&lt;&gt;0,_xlfn.XLOOKUP(G450,[1]!Entities[ID_with_x],[1]!Entities[Name_w_County],_xlfn.CONCAT("Entity ID ",RIGHT(Table3[[#This Row],[Sponsor_1_num]],8)," not found")),"")</f>
        <v/>
      </c>
      <c r="N450" t="str">
        <f>IF(LEN(H450)&lt;&gt;0,_xlfn.XLOOKUP(H450,[1]!Entities[ID_with_x],[1]!Entities[Name_w_County],_xlfn.CONCAT("Entity ID ",RIGHT(Table3[[#This Row],[Sponsor_1_num]],8)," not found")),"")</f>
        <v/>
      </c>
      <c r="O450" t="str">
        <f>IF(LEN(I450)&lt;&gt;0,_xlfn.XLOOKUP(I450,[1]!Entities[ID_with_x],[1]!Entities[Name_w_County],_xlfn.CONCAT("Entity ID ",RIGHT(Table3[[#This Row],[Sponsor_1_num]],8)," not found")),"")</f>
        <v/>
      </c>
      <c r="P450" t="str">
        <f>IF(LEN(J450)&lt;&gt;0,_xlfn.XLOOKUP(J450,[1]!Entities[ID_with_x],[1]!Entities[Name_w_County],_xlfn.CONCAT("Entity ID ",RIGHT(Table3[[#This Row],[Sponsor_1_num]],8)," not found")),"")</f>
        <v/>
      </c>
      <c r="Q450" t="str">
        <f>IF(LEN(K450)&gt;0,_xlfn.TEXTJOIN(", ",TRUE,K450:P450),Table3[[#This Row],[SPONSOR_LIST]])</f>
        <v>Putnam</v>
      </c>
    </row>
    <row r="451" spans="1:17" x14ac:dyDescent="0.25">
      <c r="A451" s="304" t="s">
        <v>3265</v>
      </c>
      <c r="B451" t="s">
        <v>3270</v>
      </c>
      <c r="C451" t="str">
        <f t="shared" si="7"/>
        <v>x07002418</v>
      </c>
      <c r="D451" t="str">
        <f>SUBSTITUTE(SUBSTITUTE(Table3[[#This Row],[Sponsor_list_tranform]],",",",x")," ","")</f>
        <v>x07002418</v>
      </c>
      <c r="E451" t="s">
        <v>11787</v>
      </c>
      <c r="K451" t="str">
        <f>IF(LEN(E451)&lt;&gt;0,_xlfn.XLOOKUP(E451,[1]!Entities[ID_with_x],[1]!Entities[Name_w_County],_xlfn.CONCAT("Entity ID ",RIGHT(Table3[[#This Row],[Sponsor_1_num]],8)," not found")),"")</f>
        <v>Ralls</v>
      </c>
      <c r="L451" t="str">
        <f>IF(LEN(F451)&lt;&gt;0,_xlfn.XLOOKUP(F451,[1]!Entities[ID_with_x],[1]!Entities[Name_w_County],_xlfn.CONCAT("Entity ID ",RIGHT(Table3[[#This Row],[Sponsor_1_num]],8)," not found")),"")</f>
        <v/>
      </c>
      <c r="M451" t="str">
        <f>IF(LEN(G451)&lt;&gt;0,_xlfn.XLOOKUP(G451,[1]!Entities[ID_with_x],[1]!Entities[Name_w_County],_xlfn.CONCAT("Entity ID ",RIGHT(Table3[[#This Row],[Sponsor_1_num]],8)," not found")),"")</f>
        <v/>
      </c>
      <c r="N451" t="str">
        <f>IF(LEN(H451)&lt;&gt;0,_xlfn.XLOOKUP(H451,[1]!Entities[ID_with_x],[1]!Entities[Name_w_County],_xlfn.CONCAT("Entity ID ",RIGHT(Table3[[#This Row],[Sponsor_1_num]],8)," not found")),"")</f>
        <v/>
      </c>
      <c r="O451" t="str">
        <f>IF(LEN(I451)&lt;&gt;0,_xlfn.XLOOKUP(I451,[1]!Entities[ID_with_x],[1]!Entities[Name_w_County],_xlfn.CONCAT("Entity ID ",RIGHT(Table3[[#This Row],[Sponsor_1_num]],8)," not found")),"")</f>
        <v/>
      </c>
      <c r="P451" t="str">
        <f>IF(LEN(J451)&lt;&gt;0,_xlfn.XLOOKUP(J451,[1]!Entities[ID_with_x],[1]!Entities[Name_w_County],_xlfn.CONCAT("Entity ID ",RIGHT(Table3[[#This Row],[Sponsor_1_num]],8)," not found")),"")</f>
        <v/>
      </c>
      <c r="Q451" t="str">
        <f>IF(LEN(K451)&gt;0,_xlfn.TEXTJOIN(", ",TRUE,K451:P451),Table3[[#This Row],[SPONSOR_LIST]])</f>
        <v>Ralls</v>
      </c>
    </row>
    <row r="452" spans="1:17" x14ac:dyDescent="0.25">
      <c r="A452" s="304" t="s">
        <v>3076</v>
      </c>
      <c r="B452" t="s">
        <v>3081</v>
      </c>
      <c r="C452" t="str">
        <f t="shared" si="7"/>
        <v>x07003485</v>
      </c>
      <c r="D452" t="str">
        <f>SUBSTITUTE(SUBSTITUTE(Table3[[#This Row],[Sponsor_list_tranform]],",",",x")," ","")</f>
        <v>x07003485</v>
      </c>
      <c r="E452" t="s">
        <v>11788</v>
      </c>
      <c r="K452" t="str">
        <f>IF(LEN(E452)&lt;&gt;0,_xlfn.XLOOKUP(E452,[1]!Entities[ID_with_x],[1]!Entities[Name_w_County],_xlfn.CONCAT("Entity ID ",RIGHT(Table3[[#This Row],[Sponsor_1_num]],8)," not found")),"")</f>
        <v>Roby</v>
      </c>
      <c r="L452" t="str">
        <f>IF(LEN(F452)&lt;&gt;0,_xlfn.XLOOKUP(F452,[1]!Entities[ID_with_x],[1]!Entities[Name_w_County],_xlfn.CONCAT("Entity ID ",RIGHT(Table3[[#This Row],[Sponsor_1_num]],8)," not found")),"")</f>
        <v/>
      </c>
      <c r="M452" t="str">
        <f>IF(LEN(G452)&lt;&gt;0,_xlfn.XLOOKUP(G452,[1]!Entities[ID_with_x],[1]!Entities[Name_w_County],_xlfn.CONCAT("Entity ID ",RIGHT(Table3[[#This Row],[Sponsor_1_num]],8)," not found")),"")</f>
        <v/>
      </c>
      <c r="N452" t="str">
        <f>IF(LEN(H452)&lt;&gt;0,_xlfn.XLOOKUP(H452,[1]!Entities[ID_with_x],[1]!Entities[Name_w_County],_xlfn.CONCAT("Entity ID ",RIGHT(Table3[[#This Row],[Sponsor_1_num]],8)," not found")),"")</f>
        <v/>
      </c>
      <c r="O452" t="str">
        <f>IF(LEN(I452)&lt;&gt;0,_xlfn.XLOOKUP(I452,[1]!Entities[ID_with_x],[1]!Entities[Name_w_County],_xlfn.CONCAT("Entity ID ",RIGHT(Table3[[#This Row],[Sponsor_1_num]],8)," not found")),"")</f>
        <v/>
      </c>
      <c r="P452" t="str">
        <f>IF(LEN(J452)&lt;&gt;0,_xlfn.XLOOKUP(J452,[1]!Entities[ID_with_x],[1]!Entities[Name_w_County],_xlfn.CONCAT("Entity ID ",RIGHT(Table3[[#This Row],[Sponsor_1_num]],8)," not found")),"")</f>
        <v/>
      </c>
      <c r="Q452" t="str">
        <f>IF(LEN(K452)&gt;0,_xlfn.TEXTJOIN(", ",TRUE,K452:P452),Table3[[#This Row],[SPONSOR_LIST]])</f>
        <v>Roby</v>
      </c>
    </row>
    <row r="453" spans="1:17" x14ac:dyDescent="0.25">
      <c r="A453" s="304" t="s">
        <v>3335</v>
      </c>
      <c r="B453" t="s">
        <v>3340</v>
      </c>
      <c r="C453" t="str">
        <f t="shared" si="7"/>
        <v>x07003168</v>
      </c>
      <c r="D453" t="str">
        <f>SUBSTITUTE(SUBSTITUTE(Table3[[#This Row],[Sponsor_list_tranform]],",",",x")," ","")</f>
        <v>x07003168</v>
      </c>
      <c r="E453" t="s">
        <v>11789</v>
      </c>
      <c r="K453" t="str">
        <f>IF(LEN(E453)&lt;&gt;0,_xlfn.XLOOKUP(E453,[1]!Entities[ID_with_x],[1]!Entities[Name_w_County],_xlfn.CONCAT("Entity ID ",RIGHT(Table3[[#This Row],[Sponsor_1_num]],8)," not found")),"")</f>
        <v>Ropesville</v>
      </c>
      <c r="L453" t="str">
        <f>IF(LEN(F453)&lt;&gt;0,_xlfn.XLOOKUP(F453,[1]!Entities[ID_with_x],[1]!Entities[Name_w_County],_xlfn.CONCAT("Entity ID ",RIGHT(Table3[[#This Row],[Sponsor_1_num]],8)," not found")),"")</f>
        <v/>
      </c>
      <c r="M453" t="str">
        <f>IF(LEN(G453)&lt;&gt;0,_xlfn.XLOOKUP(G453,[1]!Entities[ID_with_x],[1]!Entities[Name_w_County],_xlfn.CONCAT("Entity ID ",RIGHT(Table3[[#This Row],[Sponsor_1_num]],8)," not found")),"")</f>
        <v/>
      </c>
      <c r="N453" t="str">
        <f>IF(LEN(H453)&lt;&gt;0,_xlfn.XLOOKUP(H453,[1]!Entities[ID_with_x],[1]!Entities[Name_w_County],_xlfn.CONCAT("Entity ID ",RIGHT(Table3[[#This Row],[Sponsor_1_num]],8)," not found")),"")</f>
        <v/>
      </c>
      <c r="O453" t="str">
        <f>IF(LEN(I453)&lt;&gt;0,_xlfn.XLOOKUP(I453,[1]!Entities[ID_with_x],[1]!Entities[Name_w_County],_xlfn.CONCAT("Entity ID ",RIGHT(Table3[[#This Row],[Sponsor_1_num]],8)," not found")),"")</f>
        <v/>
      </c>
      <c r="P453" t="str">
        <f>IF(LEN(J453)&lt;&gt;0,_xlfn.XLOOKUP(J453,[1]!Entities[ID_with_x],[1]!Entities[Name_w_County],_xlfn.CONCAT("Entity ID ",RIGHT(Table3[[#This Row],[Sponsor_1_num]],8)," not found")),"")</f>
        <v/>
      </c>
      <c r="Q453" t="str">
        <f>IF(LEN(K453)&gt;0,_xlfn.TEXTJOIN(", ",TRUE,K453:P453),Table3[[#This Row],[SPONSOR_LIST]])</f>
        <v>Ropesville</v>
      </c>
    </row>
    <row r="454" spans="1:17" x14ac:dyDescent="0.25">
      <c r="A454" s="304" t="s">
        <v>3061</v>
      </c>
      <c r="B454" t="s">
        <v>3066</v>
      </c>
      <c r="C454" t="str">
        <f t="shared" ref="C454:C517" si="8">IF(ISNUMBER(VALUE(LEFT(B454,7))),_xlfn.CONCAT("x",TEXT(SUBSTITUTE(B454,",",", "),"00000000")),"")</f>
        <v>x07002583</v>
      </c>
      <c r="D454" t="str">
        <f>SUBSTITUTE(SUBSTITUTE(Table3[[#This Row],[Sponsor_list_tranform]],",",",x")," ","")</f>
        <v>x07002583</v>
      </c>
      <c r="E454" t="s">
        <v>11790</v>
      </c>
      <c r="K454" t="str">
        <f>IF(LEN(E454)&lt;&gt;0,_xlfn.XLOOKUP(E454,[1]!Entities[ID_with_x],[1]!Entities[Name_w_County],_xlfn.CONCAT("Entity ID ",RIGHT(Table3[[#This Row],[Sponsor_1_num]],8)," not found")),"")</f>
        <v>Sweetwater</v>
      </c>
      <c r="L454" t="str">
        <f>IF(LEN(F454)&lt;&gt;0,_xlfn.XLOOKUP(F454,[1]!Entities[ID_with_x],[1]!Entities[Name_w_County],_xlfn.CONCAT("Entity ID ",RIGHT(Table3[[#This Row],[Sponsor_1_num]],8)," not found")),"")</f>
        <v/>
      </c>
      <c r="M454" t="str">
        <f>IF(LEN(G454)&lt;&gt;0,_xlfn.XLOOKUP(G454,[1]!Entities[ID_with_x],[1]!Entities[Name_w_County],_xlfn.CONCAT("Entity ID ",RIGHT(Table3[[#This Row],[Sponsor_1_num]],8)," not found")),"")</f>
        <v/>
      </c>
      <c r="N454" t="str">
        <f>IF(LEN(H454)&lt;&gt;0,_xlfn.XLOOKUP(H454,[1]!Entities[ID_with_x],[1]!Entities[Name_w_County],_xlfn.CONCAT("Entity ID ",RIGHT(Table3[[#This Row],[Sponsor_1_num]],8)," not found")),"")</f>
        <v/>
      </c>
      <c r="O454" t="str">
        <f>IF(LEN(I454)&lt;&gt;0,_xlfn.XLOOKUP(I454,[1]!Entities[ID_with_x],[1]!Entities[Name_w_County],_xlfn.CONCAT("Entity ID ",RIGHT(Table3[[#This Row],[Sponsor_1_num]],8)," not found")),"")</f>
        <v/>
      </c>
      <c r="P454" t="str">
        <f>IF(LEN(J454)&lt;&gt;0,_xlfn.XLOOKUP(J454,[1]!Entities[ID_with_x],[1]!Entities[Name_w_County],_xlfn.CONCAT("Entity ID ",RIGHT(Table3[[#This Row],[Sponsor_1_num]],8)," not found")),"")</f>
        <v/>
      </c>
      <c r="Q454" t="str">
        <f>IF(LEN(K454)&gt;0,_xlfn.TEXTJOIN(", ",TRUE,K454:P454),Table3[[#This Row],[SPONSOR_LIST]])</f>
        <v>Sweetwater</v>
      </c>
    </row>
    <row r="455" spans="1:17" x14ac:dyDescent="0.25">
      <c r="A455" s="304" t="s">
        <v>3318</v>
      </c>
      <c r="B455" t="s">
        <v>3322</v>
      </c>
      <c r="C455" t="str">
        <f t="shared" si="8"/>
        <v>x07003539</v>
      </c>
      <c r="D455" t="str">
        <f>SUBSTITUTE(SUBSTITUTE(Table3[[#This Row],[Sponsor_list_tranform]],",",",x")," ","")</f>
        <v>x07003539</v>
      </c>
      <c r="E455" t="s">
        <v>11791</v>
      </c>
      <c r="K455" t="str">
        <f>IF(LEN(E455)&lt;&gt;0,_xlfn.XLOOKUP(E455,[1]!Entities[ID_with_x],[1]!Entities[Name_w_County],_xlfn.CONCAT("Entity ID ",RIGHT(Table3[[#This Row],[Sponsor_1_num]],8)," not found")),"")</f>
        <v>Weinert</v>
      </c>
      <c r="L455" t="str">
        <f>IF(LEN(F455)&lt;&gt;0,_xlfn.XLOOKUP(F455,[1]!Entities[ID_with_x],[1]!Entities[Name_w_County],_xlfn.CONCAT("Entity ID ",RIGHT(Table3[[#This Row],[Sponsor_1_num]],8)," not found")),"")</f>
        <v/>
      </c>
      <c r="M455" t="str">
        <f>IF(LEN(G455)&lt;&gt;0,_xlfn.XLOOKUP(G455,[1]!Entities[ID_with_x],[1]!Entities[Name_w_County],_xlfn.CONCAT("Entity ID ",RIGHT(Table3[[#This Row],[Sponsor_1_num]],8)," not found")),"")</f>
        <v/>
      </c>
      <c r="N455" t="str">
        <f>IF(LEN(H455)&lt;&gt;0,_xlfn.XLOOKUP(H455,[1]!Entities[ID_with_x],[1]!Entities[Name_w_County],_xlfn.CONCAT("Entity ID ",RIGHT(Table3[[#This Row],[Sponsor_1_num]],8)," not found")),"")</f>
        <v/>
      </c>
      <c r="O455" t="str">
        <f>IF(LEN(I455)&lt;&gt;0,_xlfn.XLOOKUP(I455,[1]!Entities[ID_with_x],[1]!Entities[Name_w_County],_xlfn.CONCAT("Entity ID ",RIGHT(Table3[[#This Row],[Sponsor_1_num]],8)," not found")),"")</f>
        <v/>
      </c>
      <c r="P455" t="str">
        <f>IF(LEN(J455)&lt;&gt;0,_xlfn.XLOOKUP(J455,[1]!Entities[ID_with_x],[1]!Entities[Name_w_County],_xlfn.CONCAT("Entity ID ",RIGHT(Table3[[#This Row],[Sponsor_1_num]],8)," not found")),"")</f>
        <v/>
      </c>
      <c r="Q455" t="str">
        <f>IF(LEN(K455)&gt;0,_xlfn.TEXTJOIN(", ",TRUE,K455:P455),Table3[[#This Row],[SPONSOR_LIST]])</f>
        <v>Weinert</v>
      </c>
    </row>
    <row r="456" spans="1:17" x14ac:dyDescent="0.25">
      <c r="A456" s="304" t="s">
        <v>3159</v>
      </c>
      <c r="B456" t="s">
        <v>3166</v>
      </c>
      <c r="C456" t="str">
        <f t="shared" si="8"/>
        <v>x00000221</v>
      </c>
      <c r="D456" t="str">
        <f>SUBSTITUTE(SUBSTITUTE(Table3[[#This Row],[Sponsor_list_tranform]],",",",x")," ","")</f>
        <v>x00000221</v>
      </c>
      <c r="E456" t="s">
        <v>11792</v>
      </c>
      <c r="K456" t="str">
        <f>IF(LEN(E456)&lt;&gt;0,_xlfn.XLOOKUP(E456,[1]!Entities[ID_with_x],[1]!Entities[Name_w_County],_xlfn.CONCAT("Entity ID ",RIGHT(Table3[[#This Row],[Sponsor_1_num]],8)," not found")),"")</f>
        <v>Crosby County</v>
      </c>
      <c r="L456" t="str">
        <f>IF(LEN(F456)&lt;&gt;0,_xlfn.XLOOKUP(F456,[1]!Entities[ID_with_x],[1]!Entities[Name_w_County],_xlfn.CONCAT("Entity ID ",RIGHT(Table3[[#This Row],[Sponsor_1_num]],8)," not found")),"")</f>
        <v/>
      </c>
      <c r="M456" t="str">
        <f>IF(LEN(G456)&lt;&gt;0,_xlfn.XLOOKUP(G456,[1]!Entities[ID_with_x],[1]!Entities[Name_w_County],_xlfn.CONCAT("Entity ID ",RIGHT(Table3[[#This Row],[Sponsor_1_num]],8)," not found")),"")</f>
        <v/>
      </c>
      <c r="N456" t="str">
        <f>IF(LEN(H456)&lt;&gt;0,_xlfn.XLOOKUP(H456,[1]!Entities[ID_with_x],[1]!Entities[Name_w_County],_xlfn.CONCAT("Entity ID ",RIGHT(Table3[[#This Row],[Sponsor_1_num]],8)," not found")),"")</f>
        <v/>
      </c>
      <c r="O456" t="str">
        <f>IF(LEN(I456)&lt;&gt;0,_xlfn.XLOOKUP(I456,[1]!Entities[ID_with_x],[1]!Entities[Name_w_County],_xlfn.CONCAT("Entity ID ",RIGHT(Table3[[#This Row],[Sponsor_1_num]],8)," not found")),"")</f>
        <v/>
      </c>
      <c r="P456" t="str">
        <f>IF(LEN(J456)&lt;&gt;0,_xlfn.XLOOKUP(J456,[1]!Entities[ID_with_x],[1]!Entities[Name_w_County],_xlfn.CONCAT("Entity ID ",RIGHT(Table3[[#This Row],[Sponsor_1_num]],8)," not found")),"")</f>
        <v/>
      </c>
      <c r="Q456" t="str">
        <f>IF(LEN(K456)&gt;0,_xlfn.TEXTJOIN(", ",TRUE,K456:P456),Table3[[#This Row],[SPONSOR_LIST]])</f>
        <v>Crosby County</v>
      </c>
    </row>
    <row r="457" spans="1:17" x14ac:dyDescent="0.25">
      <c r="A457" s="304" t="s">
        <v>3167</v>
      </c>
      <c r="B457" t="s">
        <v>517</v>
      </c>
      <c r="C457" t="str">
        <f t="shared" si="8"/>
        <v>x00000117</v>
      </c>
      <c r="D457" t="str">
        <f>SUBSTITUTE(SUBSTITUTE(Table3[[#This Row],[Sponsor_list_tranform]],",",",x")," ","")</f>
        <v>x00000117</v>
      </c>
      <c r="E457" t="s">
        <v>11728</v>
      </c>
      <c r="K457" t="str">
        <f>IF(LEN(E457)&lt;&gt;0,_xlfn.XLOOKUP(E457,[1]!Entities[ID_with_x],[1]!Entities[Name_w_County],_xlfn.CONCAT("Entity ID ",RIGHT(Table3[[#This Row],[Sponsor_1_num]],8)," not found")),"")</f>
        <v>Dawson County</v>
      </c>
      <c r="L457" t="str">
        <f>IF(LEN(F457)&lt;&gt;0,_xlfn.XLOOKUP(F457,[1]!Entities[ID_with_x],[1]!Entities[Name_w_County],_xlfn.CONCAT("Entity ID ",RIGHT(Table3[[#This Row],[Sponsor_1_num]],8)," not found")),"")</f>
        <v/>
      </c>
      <c r="M457" t="str">
        <f>IF(LEN(G457)&lt;&gt;0,_xlfn.XLOOKUP(G457,[1]!Entities[ID_with_x],[1]!Entities[Name_w_County],_xlfn.CONCAT("Entity ID ",RIGHT(Table3[[#This Row],[Sponsor_1_num]],8)," not found")),"")</f>
        <v/>
      </c>
      <c r="N457" t="str">
        <f>IF(LEN(H457)&lt;&gt;0,_xlfn.XLOOKUP(H457,[1]!Entities[ID_with_x],[1]!Entities[Name_w_County],_xlfn.CONCAT("Entity ID ",RIGHT(Table3[[#This Row],[Sponsor_1_num]],8)," not found")),"")</f>
        <v/>
      </c>
      <c r="O457" t="str">
        <f>IF(LEN(I457)&lt;&gt;0,_xlfn.XLOOKUP(I457,[1]!Entities[ID_with_x],[1]!Entities[Name_w_County],_xlfn.CONCAT("Entity ID ",RIGHT(Table3[[#This Row],[Sponsor_1_num]],8)," not found")),"")</f>
        <v/>
      </c>
      <c r="P457" t="str">
        <f>IF(LEN(J457)&lt;&gt;0,_xlfn.XLOOKUP(J457,[1]!Entities[ID_with_x],[1]!Entities[Name_w_County],_xlfn.CONCAT("Entity ID ",RIGHT(Table3[[#This Row],[Sponsor_1_num]],8)," not found")),"")</f>
        <v/>
      </c>
      <c r="Q457" t="str">
        <f>IF(LEN(K457)&gt;0,_xlfn.TEXTJOIN(", ",TRUE,K457:P457),Table3[[#This Row],[SPONSOR_LIST]])</f>
        <v>Dawson County</v>
      </c>
    </row>
    <row r="458" spans="1:17" x14ac:dyDescent="0.25">
      <c r="A458" s="304" t="s">
        <v>3024</v>
      </c>
      <c r="B458" t="s">
        <v>3030</v>
      </c>
      <c r="C458" t="str">
        <f t="shared" si="8"/>
        <v>x07000114</v>
      </c>
      <c r="D458" t="str">
        <f>SUBSTITUTE(SUBSTITUTE(Table3[[#This Row],[Sponsor_list_tranform]],",",",x")," ","")</f>
        <v>x07000114</v>
      </c>
      <c r="E458" t="s">
        <v>11761</v>
      </c>
      <c r="K458" t="str">
        <f>IF(LEN(E458)&lt;&gt;0,_xlfn.XLOOKUP(E458,[1]!Entities[ID_with_x],[1]!Entities[Name_w_County],_xlfn.CONCAT("Entity ID ",RIGHT(Table3[[#This Row],[Sponsor_1_num]],8)," not found")),"")</f>
        <v>Fisher County</v>
      </c>
      <c r="L458" t="str">
        <f>IF(LEN(F458)&lt;&gt;0,_xlfn.XLOOKUP(F458,[1]!Entities[ID_with_x],[1]!Entities[Name_w_County],_xlfn.CONCAT("Entity ID ",RIGHT(Table3[[#This Row],[Sponsor_1_num]],8)," not found")),"")</f>
        <v/>
      </c>
      <c r="M458" t="str">
        <f>IF(LEN(G458)&lt;&gt;0,_xlfn.XLOOKUP(G458,[1]!Entities[ID_with_x],[1]!Entities[Name_w_County],_xlfn.CONCAT("Entity ID ",RIGHT(Table3[[#This Row],[Sponsor_1_num]],8)," not found")),"")</f>
        <v/>
      </c>
      <c r="N458" t="str">
        <f>IF(LEN(H458)&lt;&gt;0,_xlfn.XLOOKUP(H458,[1]!Entities[ID_with_x],[1]!Entities[Name_w_County],_xlfn.CONCAT("Entity ID ",RIGHT(Table3[[#This Row],[Sponsor_1_num]],8)," not found")),"")</f>
        <v/>
      </c>
      <c r="O458" t="str">
        <f>IF(LEN(I458)&lt;&gt;0,_xlfn.XLOOKUP(I458,[1]!Entities[ID_with_x],[1]!Entities[Name_w_County],_xlfn.CONCAT("Entity ID ",RIGHT(Table3[[#This Row],[Sponsor_1_num]],8)," not found")),"")</f>
        <v/>
      </c>
      <c r="P458" t="str">
        <f>IF(LEN(J458)&lt;&gt;0,_xlfn.XLOOKUP(J458,[1]!Entities[ID_with_x],[1]!Entities[Name_w_County],_xlfn.CONCAT("Entity ID ",RIGHT(Table3[[#This Row],[Sponsor_1_num]],8)," not found")),"")</f>
        <v/>
      </c>
      <c r="Q458" t="str">
        <f>IF(LEN(K458)&gt;0,_xlfn.TEXTJOIN(", ",TRUE,K458:P458),Table3[[#This Row],[SPONSOR_LIST]])</f>
        <v>Fisher County</v>
      </c>
    </row>
    <row r="459" spans="1:17" x14ac:dyDescent="0.25">
      <c r="A459" s="304" t="s">
        <v>3138</v>
      </c>
      <c r="B459" t="s">
        <v>3144</v>
      </c>
      <c r="C459" t="str">
        <f t="shared" si="8"/>
        <v>x00000199</v>
      </c>
      <c r="D459" t="str">
        <f>SUBSTITUTE(SUBSTITUTE(Table3[[#This Row],[Sponsor_list_tranform]],",",",x")," ","")</f>
        <v>x00000199</v>
      </c>
      <c r="E459" t="s">
        <v>11793</v>
      </c>
      <c r="K459" t="str">
        <f>IF(LEN(E459)&lt;&gt;0,_xlfn.XLOOKUP(E459,[1]!Entities[ID_with_x],[1]!Entities[Name_w_County],_xlfn.CONCAT("Entity ID ",RIGHT(Table3[[#This Row],[Sponsor_1_num]],8)," not found")),"")</f>
        <v>Floyd County</v>
      </c>
      <c r="L459" t="str">
        <f>IF(LEN(F459)&lt;&gt;0,_xlfn.XLOOKUP(F459,[1]!Entities[ID_with_x],[1]!Entities[Name_w_County],_xlfn.CONCAT("Entity ID ",RIGHT(Table3[[#This Row],[Sponsor_1_num]],8)," not found")),"")</f>
        <v/>
      </c>
      <c r="M459" t="str">
        <f>IF(LEN(G459)&lt;&gt;0,_xlfn.XLOOKUP(G459,[1]!Entities[ID_with_x],[1]!Entities[Name_w_County],_xlfn.CONCAT("Entity ID ",RIGHT(Table3[[#This Row],[Sponsor_1_num]],8)," not found")),"")</f>
        <v/>
      </c>
      <c r="N459" t="str">
        <f>IF(LEN(H459)&lt;&gt;0,_xlfn.XLOOKUP(H459,[1]!Entities[ID_with_x],[1]!Entities[Name_w_County],_xlfn.CONCAT("Entity ID ",RIGHT(Table3[[#This Row],[Sponsor_1_num]],8)," not found")),"")</f>
        <v/>
      </c>
      <c r="O459" t="str">
        <f>IF(LEN(I459)&lt;&gt;0,_xlfn.XLOOKUP(I459,[1]!Entities[ID_with_x],[1]!Entities[Name_w_County],_xlfn.CONCAT("Entity ID ",RIGHT(Table3[[#This Row],[Sponsor_1_num]],8)," not found")),"")</f>
        <v/>
      </c>
      <c r="P459" t="str">
        <f>IF(LEN(J459)&lt;&gt;0,_xlfn.XLOOKUP(J459,[1]!Entities[ID_with_x],[1]!Entities[Name_w_County],_xlfn.CONCAT("Entity ID ",RIGHT(Table3[[#This Row],[Sponsor_1_num]],8)," not found")),"")</f>
        <v/>
      </c>
      <c r="Q459" t="str">
        <f>IF(LEN(K459)&gt;0,_xlfn.TEXTJOIN(", ",TRUE,K459:P459),Table3[[#This Row],[SPONSOR_LIST]])</f>
        <v>Floyd County</v>
      </c>
    </row>
    <row r="460" spans="1:17" x14ac:dyDescent="0.25">
      <c r="A460" s="304" t="s">
        <v>3173</v>
      </c>
      <c r="B460" t="s">
        <v>3180</v>
      </c>
      <c r="C460" t="str">
        <f t="shared" si="8"/>
        <v>x00000183</v>
      </c>
      <c r="D460" t="str">
        <f>SUBSTITUTE(SUBSTITUTE(Table3[[#This Row],[Sponsor_list_tranform]],",",",x")," ","")</f>
        <v>x00000183</v>
      </c>
      <c r="E460" t="s">
        <v>11601</v>
      </c>
      <c r="K460" t="str">
        <f>IF(LEN(E460)&lt;&gt;0,_xlfn.XLOOKUP(E460,[1]!Entities[ID_with_x],[1]!Entities[Name_w_County],_xlfn.CONCAT("Entity ID ",RIGHT(Table3[[#This Row],[Sponsor_1_num]],8)," not found")),"")</f>
        <v>Garza County</v>
      </c>
      <c r="L460" t="str">
        <f>IF(LEN(F460)&lt;&gt;0,_xlfn.XLOOKUP(F460,[1]!Entities[ID_with_x],[1]!Entities[Name_w_County],_xlfn.CONCAT("Entity ID ",RIGHT(Table3[[#This Row],[Sponsor_1_num]],8)," not found")),"")</f>
        <v/>
      </c>
      <c r="M460" t="str">
        <f>IF(LEN(G460)&lt;&gt;0,_xlfn.XLOOKUP(G460,[1]!Entities[ID_with_x],[1]!Entities[Name_w_County],_xlfn.CONCAT("Entity ID ",RIGHT(Table3[[#This Row],[Sponsor_1_num]],8)," not found")),"")</f>
        <v/>
      </c>
      <c r="N460" t="str">
        <f>IF(LEN(H460)&lt;&gt;0,_xlfn.XLOOKUP(H460,[1]!Entities[ID_with_x],[1]!Entities[Name_w_County],_xlfn.CONCAT("Entity ID ",RIGHT(Table3[[#This Row],[Sponsor_1_num]],8)," not found")),"")</f>
        <v/>
      </c>
      <c r="O460" t="str">
        <f>IF(LEN(I460)&lt;&gt;0,_xlfn.XLOOKUP(I460,[1]!Entities[ID_with_x],[1]!Entities[Name_w_County],_xlfn.CONCAT("Entity ID ",RIGHT(Table3[[#This Row],[Sponsor_1_num]],8)," not found")),"")</f>
        <v/>
      </c>
      <c r="P460" t="str">
        <f>IF(LEN(J460)&lt;&gt;0,_xlfn.XLOOKUP(J460,[1]!Entities[ID_with_x],[1]!Entities[Name_w_County],_xlfn.CONCAT("Entity ID ",RIGHT(Table3[[#This Row],[Sponsor_1_num]],8)," not found")),"")</f>
        <v/>
      </c>
      <c r="Q460" t="str">
        <f>IF(LEN(K460)&gt;0,_xlfn.TEXTJOIN(", ",TRUE,K460:P460),Table3[[#This Row],[SPONSOR_LIST]])</f>
        <v>Garza County</v>
      </c>
    </row>
    <row r="461" spans="1:17" x14ac:dyDescent="0.25">
      <c r="A461" s="304" t="s">
        <v>3007</v>
      </c>
      <c r="B461" t="s">
        <v>3016</v>
      </c>
      <c r="C461" t="str">
        <f t="shared" si="8"/>
        <v>x07000180</v>
      </c>
      <c r="D461" t="str">
        <f>SUBSTITUTE(SUBSTITUTE(Table3[[#This Row],[Sponsor_list_tranform]],",",",x")," ","")</f>
        <v>x07000180</v>
      </c>
      <c r="E461" t="s">
        <v>11617</v>
      </c>
      <c r="K461" t="str">
        <f>IF(LEN(E461)&lt;&gt;0,_xlfn.XLOOKUP(E461,[1]!Entities[ID_with_x],[1]!Entities[Name_w_County],_xlfn.CONCAT("Entity ID ",RIGHT(Table3[[#This Row],[Sponsor_1_num]],8)," not found")),"")</f>
        <v>Haskell County</v>
      </c>
      <c r="L461" t="str">
        <f>IF(LEN(F461)&lt;&gt;0,_xlfn.XLOOKUP(F461,[1]!Entities[ID_with_x],[1]!Entities[Name_w_County],_xlfn.CONCAT("Entity ID ",RIGHT(Table3[[#This Row],[Sponsor_1_num]],8)," not found")),"")</f>
        <v/>
      </c>
      <c r="M461" t="str">
        <f>IF(LEN(G461)&lt;&gt;0,_xlfn.XLOOKUP(G461,[1]!Entities[ID_with_x],[1]!Entities[Name_w_County],_xlfn.CONCAT("Entity ID ",RIGHT(Table3[[#This Row],[Sponsor_1_num]],8)," not found")),"")</f>
        <v/>
      </c>
      <c r="N461" t="str">
        <f>IF(LEN(H461)&lt;&gt;0,_xlfn.XLOOKUP(H461,[1]!Entities[ID_with_x],[1]!Entities[Name_w_County],_xlfn.CONCAT("Entity ID ",RIGHT(Table3[[#This Row],[Sponsor_1_num]],8)," not found")),"")</f>
        <v/>
      </c>
      <c r="O461" t="str">
        <f>IF(LEN(I461)&lt;&gt;0,_xlfn.XLOOKUP(I461,[1]!Entities[ID_with_x],[1]!Entities[Name_w_County],_xlfn.CONCAT("Entity ID ",RIGHT(Table3[[#This Row],[Sponsor_1_num]],8)," not found")),"")</f>
        <v/>
      </c>
      <c r="P461" t="str">
        <f>IF(LEN(J461)&lt;&gt;0,_xlfn.XLOOKUP(J461,[1]!Entities[ID_with_x],[1]!Entities[Name_w_County],_xlfn.CONCAT("Entity ID ",RIGHT(Table3[[#This Row],[Sponsor_1_num]],8)," not found")),"")</f>
        <v/>
      </c>
      <c r="Q461" t="str">
        <f>IF(LEN(K461)&gt;0,_xlfn.TEXTJOIN(", ",TRUE,K461:P461),Table3[[#This Row],[SPONSOR_LIST]])</f>
        <v>Haskell County</v>
      </c>
    </row>
    <row r="462" spans="1:17" x14ac:dyDescent="0.25">
      <c r="A462" s="304" t="s">
        <v>2996</v>
      </c>
      <c r="B462" t="s">
        <v>3005</v>
      </c>
      <c r="C462" t="str">
        <f t="shared" si="8"/>
        <v>x07000112</v>
      </c>
      <c r="D462" t="str">
        <f>SUBSTITUTE(SUBSTITUTE(Table3[[#This Row],[Sponsor_list_tranform]],",",",x")," ","")</f>
        <v>x07000112</v>
      </c>
      <c r="E462" t="s">
        <v>11798</v>
      </c>
      <c r="K462" t="str">
        <f>IF(LEN(E462)&lt;&gt;0,_xlfn.XLOOKUP(E462,[1]!Entities[ID_with_x],[1]!Entities[Name_w_County],_xlfn.CONCAT("Entity ID ",RIGHT(Table3[[#This Row],[Sponsor_1_num]],8)," not found")),"")</f>
        <v>Jones County</v>
      </c>
      <c r="L462" t="str">
        <f>IF(LEN(F462)&lt;&gt;0,_xlfn.XLOOKUP(F462,[1]!Entities[ID_with_x],[1]!Entities[Name_w_County],_xlfn.CONCAT("Entity ID ",RIGHT(Table3[[#This Row],[Sponsor_1_num]],8)," not found")),"")</f>
        <v/>
      </c>
      <c r="M462" t="str">
        <f>IF(LEN(G462)&lt;&gt;0,_xlfn.XLOOKUP(G462,[1]!Entities[ID_with_x],[1]!Entities[Name_w_County],_xlfn.CONCAT("Entity ID ",RIGHT(Table3[[#This Row],[Sponsor_1_num]],8)," not found")),"")</f>
        <v/>
      </c>
      <c r="N462" t="str">
        <f>IF(LEN(H462)&lt;&gt;0,_xlfn.XLOOKUP(H462,[1]!Entities[ID_with_x],[1]!Entities[Name_w_County],_xlfn.CONCAT("Entity ID ",RIGHT(Table3[[#This Row],[Sponsor_1_num]],8)," not found")),"")</f>
        <v/>
      </c>
      <c r="O462" t="str">
        <f>IF(LEN(I462)&lt;&gt;0,_xlfn.XLOOKUP(I462,[1]!Entities[ID_with_x],[1]!Entities[Name_w_County],_xlfn.CONCAT("Entity ID ",RIGHT(Table3[[#This Row],[Sponsor_1_num]],8)," not found")),"")</f>
        <v/>
      </c>
      <c r="P462" t="str">
        <f>IF(LEN(J462)&lt;&gt;0,_xlfn.XLOOKUP(J462,[1]!Entities[ID_with_x],[1]!Entities[Name_w_County],_xlfn.CONCAT("Entity ID ",RIGHT(Table3[[#This Row],[Sponsor_1_num]],8)," not found")),"")</f>
        <v/>
      </c>
      <c r="Q462" t="str">
        <f>IF(LEN(K462)&gt;0,_xlfn.TEXTJOIN(", ",TRUE,K462:P462),Table3[[#This Row],[SPONSOR_LIST]])</f>
        <v>Jones County</v>
      </c>
    </row>
    <row r="463" spans="1:17" x14ac:dyDescent="0.25">
      <c r="A463" s="304" t="s">
        <v>3181</v>
      </c>
      <c r="B463" t="s">
        <v>3188</v>
      </c>
      <c r="C463" t="str">
        <f t="shared" si="8"/>
        <v>x07000181</v>
      </c>
      <c r="D463" t="str">
        <f>SUBSTITUTE(SUBSTITUTE(Table3[[#This Row],[Sponsor_list_tranform]],",",",x")," ","")</f>
        <v>x07000181</v>
      </c>
      <c r="E463" t="s">
        <v>11816</v>
      </c>
      <c r="K463" t="str">
        <f>IF(LEN(E463)&lt;&gt;0,_xlfn.XLOOKUP(E463,[1]!Entities[ID_with_x],[1]!Entities[Name_w_County],_xlfn.CONCAT("Entity ID ",RIGHT(Table3[[#This Row],[Sponsor_1_num]],8)," not found")),"")</f>
        <v>Kent County</v>
      </c>
      <c r="L463" t="str">
        <f>IF(LEN(F463)&lt;&gt;0,_xlfn.XLOOKUP(F463,[1]!Entities[ID_with_x],[1]!Entities[Name_w_County],_xlfn.CONCAT("Entity ID ",RIGHT(Table3[[#This Row],[Sponsor_1_num]],8)," not found")),"")</f>
        <v/>
      </c>
      <c r="M463" t="str">
        <f>IF(LEN(G463)&lt;&gt;0,_xlfn.XLOOKUP(G463,[1]!Entities[ID_with_x],[1]!Entities[Name_w_County],_xlfn.CONCAT("Entity ID ",RIGHT(Table3[[#This Row],[Sponsor_1_num]],8)," not found")),"")</f>
        <v/>
      </c>
      <c r="N463" t="str">
        <f>IF(LEN(H463)&lt;&gt;0,_xlfn.XLOOKUP(H463,[1]!Entities[ID_with_x],[1]!Entities[Name_w_County],_xlfn.CONCAT("Entity ID ",RIGHT(Table3[[#This Row],[Sponsor_1_num]],8)," not found")),"")</f>
        <v/>
      </c>
      <c r="O463" t="str">
        <f>IF(LEN(I463)&lt;&gt;0,_xlfn.XLOOKUP(I463,[1]!Entities[ID_with_x],[1]!Entities[Name_w_County],_xlfn.CONCAT("Entity ID ",RIGHT(Table3[[#This Row],[Sponsor_1_num]],8)," not found")),"")</f>
        <v/>
      </c>
      <c r="P463" t="str">
        <f>IF(LEN(J463)&lt;&gt;0,_xlfn.XLOOKUP(J463,[1]!Entities[ID_with_x],[1]!Entities[Name_w_County],_xlfn.CONCAT("Entity ID ",RIGHT(Table3[[#This Row],[Sponsor_1_num]],8)," not found")),"")</f>
        <v/>
      </c>
      <c r="Q463" t="str">
        <f>IF(LEN(K463)&gt;0,_xlfn.TEXTJOIN(", ",TRUE,K463:P463),Table3[[#This Row],[SPONSOR_LIST]])</f>
        <v>Kent County</v>
      </c>
    </row>
    <row r="464" spans="1:17" x14ac:dyDescent="0.25">
      <c r="A464" s="304" t="s">
        <v>3145</v>
      </c>
      <c r="B464" t="s">
        <v>3152</v>
      </c>
      <c r="C464" t="str">
        <f t="shared" si="8"/>
        <v>x00000218</v>
      </c>
      <c r="D464" t="str">
        <f>SUBSTITUTE(SUBSTITUTE(Table3[[#This Row],[Sponsor_list_tranform]],",",",x")," ","")</f>
        <v>x00000218</v>
      </c>
      <c r="E464" t="s">
        <v>11794</v>
      </c>
      <c r="K464" t="str">
        <f>IF(LEN(E464)&lt;&gt;0,_xlfn.XLOOKUP(E464,[1]!Entities[ID_with_x],[1]!Entities[Name_w_County],_xlfn.CONCAT("Entity ID ",RIGHT(Table3[[#This Row],[Sponsor_1_num]],8)," not found")),"")</f>
        <v>King County</v>
      </c>
      <c r="L464" t="str">
        <f>IF(LEN(F464)&lt;&gt;0,_xlfn.XLOOKUP(F464,[1]!Entities[ID_with_x],[1]!Entities[Name_w_County],_xlfn.CONCAT("Entity ID ",RIGHT(Table3[[#This Row],[Sponsor_1_num]],8)," not found")),"")</f>
        <v/>
      </c>
      <c r="M464" t="str">
        <f>IF(LEN(G464)&lt;&gt;0,_xlfn.XLOOKUP(G464,[1]!Entities[ID_with_x],[1]!Entities[Name_w_County],_xlfn.CONCAT("Entity ID ",RIGHT(Table3[[#This Row],[Sponsor_1_num]],8)," not found")),"")</f>
        <v/>
      </c>
      <c r="N464" t="str">
        <f>IF(LEN(H464)&lt;&gt;0,_xlfn.XLOOKUP(H464,[1]!Entities[ID_with_x],[1]!Entities[Name_w_County],_xlfn.CONCAT("Entity ID ",RIGHT(Table3[[#This Row],[Sponsor_1_num]],8)," not found")),"")</f>
        <v/>
      </c>
      <c r="O464" t="str">
        <f>IF(LEN(I464)&lt;&gt;0,_xlfn.XLOOKUP(I464,[1]!Entities[ID_with_x],[1]!Entities[Name_w_County],_xlfn.CONCAT("Entity ID ",RIGHT(Table3[[#This Row],[Sponsor_1_num]],8)," not found")),"")</f>
        <v/>
      </c>
      <c r="P464" t="str">
        <f>IF(LEN(J464)&lt;&gt;0,_xlfn.XLOOKUP(J464,[1]!Entities[ID_with_x],[1]!Entities[Name_w_County],_xlfn.CONCAT("Entity ID ",RIGHT(Table3[[#This Row],[Sponsor_1_num]],8)," not found")),"")</f>
        <v/>
      </c>
      <c r="Q464" t="str">
        <f>IF(LEN(K464)&gt;0,_xlfn.TEXTJOIN(", ",TRUE,K464:P464),Table3[[#This Row],[SPONSOR_LIST]])</f>
        <v>King County</v>
      </c>
    </row>
    <row r="465" spans="1:17" x14ac:dyDescent="0.25">
      <c r="A465" s="304" t="s">
        <v>3189</v>
      </c>
      <c r="B465" t="s">
        <v>1340</v>
      </c>
      <c r="C465" t="str">
        <f t="shared" si="8"/>
        <v>x00000217</v>
      </c>
      <c r="D465" t="str">
        <f>SUBSTITUTE(SUBSTITUTE(Table3[[#This Row],[Sponsor_list_tranform]],",",",x")," ","")</f>
        <v>x00000217</v>
      </c>
      <c r="E465" t="s">
        <v>11614</v>
      </c>
      <c r="K465" t="str">
        <f>IF(LEN(E465)&lt;&gt;0,_xlfn.XLOOKUP(E465,[1]!Entities[ID_with_x],[1]!Entities[Name_w_County],_xlfn.CONCAT("Entity ID ",RIGHT(Table3[[#This Row],[Sponsor_1_num]],8)," not found")),"")</f>
        <v>Knox County</v>
      </c>
      <c r="L465" t="str">
        <f>IF(LEN(F465)&lt;&gt;0,_xlfn.XLOOKUP(F465,[1]!Entities[ID_with_x],[1]!Entities[Name_w_County],_xlfn.CONCAT("Entity ID ",RIGHT(Table3[[#This Row],[Sponsor_1_num]],8)," not found")),"")</f>
        <v/>
      </c>
      <c r="M465" t="str">
        <f>IF(LEN(G465)&lt;&gt;0,_xlfn.XLOOKUP(G465,[1]!Entities[ID_with_x],[1]!Entities[Name_w_County],_xlfn.CONCAT("Entity ID ",RIGHT(Table3[[#This Row],[Sponsor_1_num]],8)," not found")),"")</f>
        <v/>
      </c>
      <c r="N465" t="str">
        <f>IF(LEN(H465)&lt;&gt;0,_xlfn.XLOOKUP(H465,[1]!Entities[ID_with_x],[1]!Entities[Name_w_County],_xlfn.CONCAT("Entity ID ",RIGHT(Table3[[#This Row],[Sponsor_1_num]],8)," not found")),"")</f>
        <v/>
      </c>
      <c r="O465" t="str">
        <f>IF(LEN(I465)&lt;&gt;0,_xlfn.XLOOKUP(I465,[1]!Entities[ID_with_x],[1]!Entities[Name_w_County],_xlfn.CONCAT("Entity ID ",RIGHT(Table3[[#This Row],[Sponsor_1_num]],8)," not found")),"")</f>
        <v/>
      </c>
      <c r="P465" t="str">
        <f>IF(LEN(J465)&lt;&gt;0,_xlfn.XLOOKUP(J465,[1]!Entities[ID_with_x],[1]!Entities[Name_w_County],_xlfn.CONCAT("Entity ID ",RIGHT(Table3[[#This Row],[Sponsor_1_num]],8)," not found")),"")</f>
        <v/>
      </c>
      <c r="Q465" t="str">
        <f>IF(LEN(K465)&gt;0,_xlfn.TEXTJOIN(", ",TRUE,K465:P465),Table3[[#This Row],[SPONSOR_LIST]])</f>
        <v>Knox County</v>
      </c>
    </row>
    <row r="466" spans="1:17" x14ac:dyDescent="0.25">
      <c r="A466" s="304" t="s">
        <v>3017</v>
      </c>
      <c r="B466" t="s">
        <v>556</v>
      </c>
      <c r="C466" t="str">
        <f t="shared" si="8"/>
        <v>x00000116</v>
      </c>
      <c r="D466" t="str">
        <f>SUBSTITUTE(SUBSTITUTE(Table3[[#This Row],[Sponsor_list_tranform]],",",",x")," ","")</f>
        <v>x00000116</v>
      </c>
      <c r="E466" t="s">
        <v>11731</v>
      </c>
      <c r="K466" t="str">
        <f>IF(LEN(E466)&lt;&gt;0,_xlfn.XLOOKUP(E466,[1]!Entities[ID_with_x],[1]!Entities[Name_w_County],_xlfn.CONCAT("Entity ID ",RIGHT(Table3[[#This Row],[Sponsor_1_num]],8)," not found")),"")</f>
        <v>Scurry County</v>
      </c>
      <c r="L466" t="str">
        <f>IF(LEN(F466)&lt;&gt;0,_xlfn.XLOOKUP(F466,[1]!Entities[ID_with_x],[1]!Entities[Name_w_County],_xlfn.CONCAT("Entity ID ",RIGHT(Table3[[#This Row],[Sponsor_1_num]],8)," not found")),"")</f>
        <v/>
      </c>
      <c r="M466" t="str">
        <f>IF(LEN(G466)&lt;&gt;0,_xlfn.XLOOKUP(G466,[1]!Entities[ID_with_x],[1]!Entities[Name_w_County],_xlfn.CONCAT("Entity ID ",RIGHT(Table3[[#This Row],[Sponsor_1_num]],8)," not found")),"")</f>
        <v/>
      </c>
      <c r="N466" t="str">
        <f>IF(LEN(H466)&lt;&gt;0,_xlfn.XLOOKUP(H466,[1]!Entities[ID_with_x],[1]!Entities[Name_w_County],_xlfn.CONCAT("Entity ID ",RIGHT(Table3[[#This Row],[Sponsor_1_num]],8)," not found")),"")</f>
        <v/>
      </c>
      <c r="O466" t="str">
        <f>IF(LEN(I466)&lt;&gt;0,_xlfn.XLOOKUP(I466,[1]!Entities[ID_with_x],[1]!Entities[Name_w_County],_xlfn.CONCAT("Entity ID ",RIGHT(Table3[[#This Row],[Sponsor_1_num]],8)," not found")),"")</f>
        <v/>
      </c>
      <c r="P466" t="str">
        <f>IF(LEN(J466)&lt;&gt;0,_xlfn.XLOOKUP(J466,[1]!Entities[ID_with_x],[1]!Entities[Name_w_County],_xlfn.CONCAT("Entity ID ",RIGHT(Table3[[#This Row],[Sponsor_1_num]],8)," not found")),"")</f>
        <v/>
      </c>
      <c r="Q466" t="str">
        <f>IF(LEN(K466)&gt;0,_xlfn.TEXTJOIN(", ",TRUE,K466:P466),Table3[[#This Row],[SPONSOR_LIST]])</f>
        <v>Scurry County</v>
      </c>
    </row>
    <row r="467" spans="1:17" x14ac:dyDescent="0.25">
      <c r="A467" s="304" t="s">
        <v>3224</v>
      </c>
      <c r="B467" t="s">
        <v>3231</v>
      </c>
      <c r="C467" t="str">
        <f t="shared" si="8"/>
        <v>x07002782</v>
      </c>
      <c r="D467" t="str">
        <f>SUBSTITUTE(SUBSTITUTE(Table3[[#This Row],[Sponsor_list_tranform]],",",",x")," ","")</f>
        <v>x07002782</v>
      </c>
      <c r="E467" t="s">
        <v>11795</v>
      </c>
      <c r="K467" t="str">
        <f>IF(LEN(E467)&lt;&gt;0,_xlfn.XLOOKUP(E467,[1]!Entities[ID_with_x],[1]!Entities[Name_w_County],_xlfn.CONCAT("Entity ID ",RIGHT(Table3[[#This Row],[Sponsor_1_num]],8)," not found")),"")</f>
        <v>Aspermont</v>
      </c>
      <c r="L467" t="str">
        <f>IF(LEN(F467)&lt;&gt;0,_xlfn.XLOOKUP(F467,[1]!Entities[ID_with_x],[1]!Entities[Name_w_County],_xlfn.CONCAT("Entity ID ",RIGHT(Table3[[#This Row],[Sponsor_1_num]],8)," not found")),"")</f>
        <v/>
      </c>
      <c r="M467" t="str">
        <f>IF(LEN(G467)&lt;&gt;0,_xlfn.XLOOKUP(G467,[1]!Entities[ID_with_x],[1]!Entities[Name_w_County],_xlfn.CONCAT("Entity ID ",RIGHT(Table3[[#This Row],[Sponsor_1_num]],8)," not found")),"")</f>
        <v/>
      </c>
      <c r="N467" t="str">
        <f>IF(LEN(H467)&lt;&gt;0,_xlfn.XLOOKUP(H467,[1]!Entities[ID_with_x],[1]!Entities[Name_w_County],_xlfn.CONCAT("Entity ID ",RIGHT(Table3[[#This Row],[Sponsor_1_num]],8)," not found")),"")</f>
        <v/>
      </c>
      <c r="O467" t="str">
        <f>IF(LEN(I467)&lt;&gt;0,_xlfn.XLOOKUP(I467,[1]!Entities[ID_with_x],[1]!Entities[Name_w_County],_xlfn.CONCAT("Entity ID ",RIGHT(Table3[[#This Row],[Sponsor_1_num]],8)," not found")),"")</f>
        <v/>
      </c>
      <c r="P467" t="str">
        <f>IF(LEN(J467)&lt;&gt;0,_xlfn.XLOOKUP(J467,[1]!Entities[ID_with_x],[1]!Entities[Name_w_County],_xlfn.CONCAT("Entity ID ",RIGHT(Table3[[#This Row],[Sponsor_1_num]],8)," not found")),"")</f>
        <v/>
      </c>
      <c r="Q467" t="str">
        <f>IF(LEN(K467)&gt;0,_xlfn.TEXTJOIN(", ",TRUE,K467:P467),Table3[[#This Row],[SPONSOR_LIST]])</f>
        <v>Aspermont</v>
      </c>
    </row>
    <row r="468" spans="1:17" x14ac:dyDescent="0.25">
      <c r="A468" s="304" t="s">
        <v>3089</v>
      </c>
      <c r="B468" t="s">
        <v>3094</v>
      </c>
      <c r="C468" t="str">
        <f t="shared" si="8"/>
        <v>x07003516</v>
      </c>
      <c r="D468" t="str">
        <f>SUBSTITUTE(SUBSTITUTE(Table3[[#This Row],[Sponsor_list_tranform]],",",",x")," ","")</f>
        <v>x07003516</v>
      </c>
      <c r="E468" t="s">
        <v>11796</v>
      </c>
      <c r="K468" t="str">
        <f>IF(LEN(E468)&lt;&gt;0,_xlfn.XLOOKUP(E468,[1]!Entities[ID_with_x],[1]!Entities[Name_w_County],_xlfn.CONCAT("Entity ID ",RIGHT(Table3[[#This Row],[Sponsor_1_num]],8)," not found")),"")</f>
        <v>Impact</v>
      </c>
      <c r="L468" t="str">
        <f>IF(LEN(F468)&lt;&gt;0,_xlfn.XLOOKUP(F468,[1]!Entities[ID_with_x],[1]!Entities[Name_w_County],_xlfn.CONCAT("Entity ID ",RIGHT(Table3[[#This Row],[Sponsor_1_num]],8)," not found")),"")</f>
        <v/>
      </c>
      <c r="M468" t="str">
        <f>IF(LEN(G468)&lt;&gt;0,_xlfn.XLOOKUP(G468,[1]!Entities[ID_with_x],[1]!Entities[Name_w_County],_xlfn.CONCAT("Entity ID ",RIGHT(Table3[[#This Row],[Sponsor_1_num]],8)," not found")),"")</f>
        <v/>
      </c>
      <c r="N468" t="str">
        <f>IF(LEN(H468)&lt;&gt;0,_xlfn.XLOOKUP(H468,[1]!Entities[ID_with_x],[1]!Entities[Name_w_County],_xlfn.CONCAT("Entity ID ",RIGHT(Table3[[#This Row],[Sponsor_1_num]],8)," not found")),"")</f>
        <v/>
      </c>
      <c r="O468" t="str">
        <f>IF(LEN(I468)&lt;&gt;0,_xlfn.XLOOKUP(I468,[1]!Entities[ID_with_x],[1]!Entities[Name_w_County],_xlfn.CONCAT("Entity ID ",RIGHT(Table3[[#This Row],[Sponsor_1_num]],8)," not found")),"")</f>
        <v/>
      </c>
      <c r="P468" t="str">
        <f>IF(LEN(J468)&lt;&gt;0,_xlfn.XLOOKUP(J468,[1]!Entities[ID_with_x],[1]!Entities[Name_w_County],_xlfn.CONCAT("Entity ID ",RIGHT(Table3[[#This Row],[Sponsor_1_num]],8)," not found")),"")</f>
        <v/>
      </c>
      <c r="Q468" t="str">
        <f>IF(LEN(K468)&gt;0,_xlfn.TEXTJOIN(", ",TRUE,K468:P468),Table3[[#This Row],[SPONSOR_LIST]])</f>
        <v>Impact</v>
      </c>
    </row>
    <row r="469" spans="1:17" x14ac:dyDescent="0.25">
      <c r="A469" s="304" t="s">
        <v>3239</v>
      </c>
      <c r="B469" t="s">
        <v>1235</v>
      </c>
      <c r="C469" t="str">
        <f t="shared" si="8"/>
        <v>x00003100</v>
      </c>
      <c r="D469" t="str">
        <f>SUBSTITUTE(SUBSTITUTE(Table3[[#This Row],[Sponsor_list_tranform]],",",",x")," ","")</f>
        <v>x00003100</v>
      </c>
      <c r="E469" t="s">
        <v>11671</v>
      </c>
      <c r="K469" t="str">
        <f>IF(LEN(E469)&lt;&gt;0,_xlfn.XLOOKUP(E469,[1]!Entities[ID_with_x],[1]!Entities[Name_w_County],_xlfn.CONCAT("Entity ID ",RIGHT(Table3[[#This Row],[Sponsor_1_num]],8)," not found")),"")</f>
        <v>Lockney</v>
      </c>
      <c r="L469" t="str">
        <f>IF(LEN(F469)&lt;&gt;0,_xlfn.XLOOKUP(F469,[1]!Entities[ID_with_x],[1]!Entities[Name_w_County],_xlfn.CONCAT("Entity ID ",RIGHT(Table3[[#This Row],[Sponsor_1_num]],8)," not found")),"")</f>
        <v/>
      </c>
      <c r="M469" t="str">
        <f>IF(LEN(G469)&lt;&gt;0,_xlfn.XLOOKUP(G469,[1]!Entities[ID_with_x],[1]!Entities[Name_w_County],_xlfn.CONCAT("Entity ID ",RIGHT(Table3[[#This Row],[Sponsor_1_num]],8)," not found")),"")</f>
        <v/>
      </c>
      <c r="N469" t="str">
        <f>IF(LEN(H469)&lt;&gt;0,_xlfn.XLOOKUP(H469,[1]!Entities[ID_with_x],[1]!Entities[Name_w_County],_xlfn.CONCAT("Entity ID ",RIGHT(Table3[[#This Row],[Sponsor_1_num]],8)," not found")),"")</f>
        <v/>
      </c>
      <c r="O469" t="str">
        <f>IF(LEN(I469)&lt;&gt;0,_xlfn.XLOOKUP(I469,[1]!Entities[ID_with_x],[1]!Entities[Name_w_County],_xlfn.CONCAT("Entity ID ",RIGHT(Table3[[#This Row],[Sponsor_1_num]],8)," not found")),"")</f>
        <v/>
      </c>
      <c r="P469" t="str">
        <f>IF(LEN(J469)&lt;&gt;0,_xlfn.XLOOKUP(J469,[1]!Entities[ID_with_x],[1]!Entities[Name_w_County],_xlfn.CONCAT("Entity ID ",RIGHT(Table3[[#This Row],[Sponsor_1_num]],8)," not found")),"")</f>
        <v/>
      </c>
      <c r="Q469" t="str">
        <f>IF(LEN(K469)&gt;0,_xlfn.TEXTJOIN(", ",TRUE,K469:P469),Table3[[#This Row],[SPONSOR_LIST]])</f>
        <v>Lockney</v>
      </c>
    </row>
    <row r="470" spans="1:17" x14ac:dyDescent="0.25">
      <c r="A470" s="304" t="s">
        <v>3341</v>
      </c>
      <c r="B470" t="s">
        <v>3345</v>
      </c>
      <c r="C470" t="str">
        <f t="shared" si="8"/>
        <v>x07002899</v>
      </c>
      <c r="D470" t="str">
        <f>SUBSTITUTE(SUBSTITUTE(Table3[[#This Row],[Sponsor_list_tranform]],",",",x")," ","")</f>
        <v>x07002899</v>
      </c>
      <c r="E470" t="s">
        <v>11760</v>
      </c>
      <c r="K470" t="str">
        <f>IF(LEN(E470)&lt;&gt;0,_xlfn.XLOOKUP(E470,[1]!Entities[ID_with_x],[1]!Entities[Name_w_County],_xlfn.CONCAT("Entity ID ",RIGHT(Table3[[#This Row],[Sponsor_1_num]],8)," not found")),"")</f>
        <v>Rochester</v>
      </c>
      <c r="L470" t="str">
        <f>IF(LEN(F470)&lt;&gt;0,_xlfn.XLOOKUP(F470,[1]!Entities[ID_with_x],[1]!Entities[Name_w_County],_xlfn.CONCAT("Entity ID ",RIGHT(Table3[[#This Row],[Sponsor_1_num]],8)," not found")),"")</f>
        <v/>
      </c>
      <c r="M470" t="str">
        <f>IF(LEN(G470)&lt;&gt;0,_xlfn.XLOOKUP(G470,[1]!Entities[ID_with_x],[1]!Entities[Name_w_County],_xlfn.CONCAT("Entity ID ",RIGHT(Table3[[#This Row],[Sponsor_1_num]],8)," not found")),"")</f>
        <v/>
      </c>
      <c r="N470" t="str">
        <f>IF(LEN(H470)&lt;&gt;0,_xlfn.XLOOKUP(H470,[1]!Entities[ID_with_x],[1]!Entities[Name_w_County],_xlfn.CONCAT("Entity ID ",RIGHT(Table3[[#This Row],[Sponsor_1_num]],8)," not found")),"")</f>
        <v/>
      </c>
      <c r="O470" t="str">
        <f>IF(LEN(I470)&lt;&gt;0,_xlfn.XLOOKUP(I470,[1]!Entities[ID_with_x],[1]!Entities[Name_w_County],_xlfn.CONCAT("Entity ID ",RIGHT(Table3[[#This Row],[Sponsor_1_num]],8)," not found")),"")</f>
        <v/>
      </c>
      <c r="P470" t="str">
        <f>IF(LEN(J470)&lt;&gt;0,_xlfn.XLOOKUP(J470,[1]!Entities[ID_with_x],[1]!Entities[Name_w_County],_xlfn.CONCAT("Entity ID ",RIGHT(Table3[[#This Row],[Sponsor_1_num]],8)," not found")),"")</f>
        <v/>
      </c>
      <c r="Q470" t="str">
        <f>IF(LEN(K470)&gt;0,_xlfn.TEXTJOIN(", ",TRUE,K470:P470),Table3[[#This Row],[SPONSOR_LIST]])</f>
        <v>Rochester</v>
      </c>
    </row>
    <row r="471" spans="1:17" x14ac:dyDescent="0.25">
      <c r="A471" s="304" t="s">
        <v>3311</v>
      </c>
      <c r="B471" t="s">
        <v>3317</v>
      </c>
      <c r="C471" t="str">
        <f t="shared" si="8"/>
        <v>x07003435</v>
      </c>
      <c r="D471" t="str">
        <f>SUBSTITUTE(SUBSTITUTE(Table3[[#This Row],[Sponsor_list_tranform]],",",",x")," ","")</f>
        <v>x07003435</v>
      </c>
      <c r="E471" t="s">
        <v>11797</v>
      </c>
      <c r="K471" t="str">
        <f>IF(LEN(E471)&lt;&gt;0,_xlfn.XLOOKUP(E471,[1]!Entities[ID_with_x],[1]!Entities[Name_w_County],_xlfn.CONCAT("Entity ID ",RIGHT(Table3[[#This Row],[Sponsor_1_num]],8)," not found")),"")</f>
        <v>Smyer</v>
      </c>
      <c r="L471" t="str">
        <f>IF(LEN(F471)&lt;&gt;0,_xlfn.XLOOKUP(F471,[1]!Entities[ID_with_x],[1]!Entities[Name_w_County],_xlfn.CONCAT("Entity ID ",RIGHT(Table3[[#This Row],[Sponsor_1_num]],8)," not found")),"")</f>
        <v/>
      </c>
      <c r="M471" t="str">
        <f>IF(LEN(G471)&lt;&gt;0,_xlfn.XLOOKUP(G471,[1]!Entities[ID_with_x],[1]!Entities[Name_w_County],_xlfn.CONCAT("Entity ID ",RIGHT(Table3[[#This Row],[Sponsor_1_num]],8)," not found")),"")</f>
        <v/>
      </c>
      <c r="N471" t="str">
        <f>IF(LEN(H471)&lt;&gt;0,_xlfn.XLOOKUP(H471,[1]!Entities[ID_with_x],[1]!Entities[Name_w_County],_xlfn.CONCAT("Entity ID ",RIGHT(Table3[[#This Row],[Sponsor_1_num]],8)," not found")),"")</f>
        <v/>
      </c>
      <c r="O471" t="str">
        <f>IF(LEN(I471)&lt;&gt;0,_xlfn.XLOOKUP(I471,[1]!Entities[ID_with_x],[1]!Entities[Name_w_County],_xlfn.CONCAT("Entity ID ",RIGHT(Table3[[#This Row],[Sponsor_1_num]],8)," not found")),"")</f>
        <v/>
      </c>
      <c r="P471" t="str">
        <f>IF(LEN(J471)&lt;&gt;0,_xlfn.XLOOKUP(J471,[1]!Entities[ID_with_x],[1]!Entities[Name_w_County],_xlfn.CONCAT("Entity ID ",RIGHT(Table3[[#This Row],[Sponsor_1_num]],8)," not found")),"")</f>
        <v/>
      </c>
      <c r="Q471" t="str">
        <f>IF(LEN(K471)&gt;0,_xlfn.TEXTJOIN(", ",TRUE,K471:P471),Table3[[#This Row],[SPONSOR_LIST]])</f>
        <v>Smyer</v>
      </c>
    </row>
    <row r="472" spans="1:17" x14ac:dyDescent="0.25">
      <c r="A472" s="304" t="s">
        <v>2993</v>
      </c>
      <c r="B472" t="s">
        <v>2986</v>
      </c>
      <c r="C472" t="str">
        <f t="shared" si="8"/>
        <v>x00000275</v>
      </c>
      <c r="D472" t="str">
        <f>SUBSTITUTE(SUBSTITUTE(Table3[[#This Row],[Sponsor_list_tranform]],",",",x")," ","")</f>
        <v>x00000275</v>
      </c>
      <c r="E472" t="s">
        <v>11724</v>
      </c>
      <c r="K472" t="str">
        <f>IF(LEN(E472)&lt;&gt;0,_xlfn.XLOOKUP(E472,[1]!Entities[ID_with_x],[1]!Entities[Name_w_County],_xlfn.CONCAT("Entity ID ",RIGHT(Table3[[#This Row],[Sponsor_1_num]],8)," not found")),"")</f>
        <v>South Plains Association of Governments</v>
      </c>
      <c r="L472" t="str">
        <f>IF(LEN(F472)&lt;&gt;0,_xlfn.XLOOKUP(F472,[1]!Entities[ID_with_x],[1]!Entities[Name_w_County],_xlfn.CONCAT("Entity ID ",RIGHT(Table3[[#This Row],[Sponsor_1_num]],8)," not found")),"")</f>
        <v/>
      </c>
      <c r="M472" t="str">
        <f>IF(LEN(G472)&lt;&gt;0,_xlfn.XLOOKUP(G472,[1]!Entities[ID_with_x],[1]!Entities[Name_w_County],_xlfn.CONCAT("Entity ID ",RIGHT(Table3[[#This Row],[Sponsor_1_num]],8)," not found")),"")</f>
        <v/>
      </c>
      <c r="N472" t="str">
        <f>IF(LEN(H472)&lt;&gt;0,_xlfn.XLOOKUP(H472,[1]!Entities[ID_with_x],[1]!Entities[Name_w_County],_xlfn.CONCAT("Entity ID ",RIGHT(Table3[[#This Row],[Sponsor_1_num]],8)," not found")),"")</f>
        <v/>
      </c>
      <c r="O472" t="str">
        <f>IF(LEN(I472)&lt;&gt;0,_xlfn.XLOOKUP(I472,[1]!Entities[ID_with_x],[1]!Entities[Name_w_County],_xlfn.CONCAT("Entity ID ",RIGHT(Table3[[#This Row],[Sponsor_1_num]],8)," not found")),"")</f>
        <v/>
      </c>
      <c r="P472" t="str">
        <f>IF(LEN(J472)&lt;&gt;0,_xlfn.XLOOKUP(J472,[1]!Entities[ID_with_x],[1]!Entities[Name_w_County],_xlfn.CONCAT("Entity ID ",RIGHT(Table3[[#This Row],[Sponsor_1_num]],8)," not found")),"")</f>
        <v/>
      </c>
      <c r="Q472" t="str">
        <f>IF(LEN(K472)&gt;0,_xlfn.TEXTJOIN(", ",TRUE,K472:P472),Table3[[#This Row],[SPONSOR_LIST]])</f>
        <v>South Plains Association of Governments</v>
      </c>
    </row>
    <row r="473" spans="1:17" x14ac:dyDescent="0.25">
      <c r="A473" s="304" t="s">
        <v>3100</v>
      </c>
      <c r="B473" t="s">
        <v>2986</v>
      </c>
      <c r="C473" t="str">
        <f t="shared" si="8"/>
        <v>x00000275</v>
      </c>
      <c r="D473" t="str">
        <f>SUBSTITUTE(SUBSTITUTE(Table3[[#This Row],[Sponsor_list_tranform]],",",",x")," ","")</f>
        <v>x00000275</v>
      </c>
      <c r="E473" t="s">
        <v>11724</v>
      </c>
      <c r="K473" t="str">
        <f>IF(LEN(E473)&lt;&gt;0,_xlfn.XLOOKUP(E473,[1]!Entities[ID_with_x],[1]!Entities[Name_w_County],_xlfn.CONCAT("Entity ID ",RIGHT(Table3[[#This Row],[Sponsor_1_num]],8)," not found")),"")</f>
        <v>South Plains Association of Governments</v>
      </c>
      <c r="L473" t="str">
        <f>IF(LEN(F473)&lt;&gt;0,_xlfn.XLOOKUP(F473,[1]!Entities[ID_with_x],[1]!Entities[Name_w_County],_xlfn.CONCAT("Entity ID ",RIGHT(Table3[[#This Row],[Sponsor_1_num]],8)," not found")),"")</f>
        <v/>
      </c>
      <c r="M473" t="str">
        <f>IF(LEN(G473)&lt;&gt;0,_xlfn.XLOOKUP(G473,[1]!Entities[ID_with_x],[1]!Entities[Name_w_County],_xlfn.CONCAT("Entity ID ",RIGHT(Table3[[#This Row],[Sponsor_1_num]],8)," not found")),"")</f>
        <v/>
      </c>
      <c r="N473" t="str">
        <f>IF(LEN(H473)&lt;&gt;0,_xlfn.XLOOKUP(H473,[1]!Entities[ID_with_x],[1]!Entities[Name_w_County],_xlfn.CONCAT("Entity ID ",RIGHT(Table3[[#This Row],[Sponsor_1_num]],8)," not found")),"")</f>
        <v/>
      </c>
      <c r="O473" t="str">
        <f>IF(LEN(I473)&lt;&gt;0,_xlfn.XLOOKUP(I473,[1]!Entities[ID_with_x],[1]!Entities[Name_w_County],_xlfn.CONCAT("Entity ID ",RIGHT(Table3[[#This Row],[Sponsor_1_num]],8)," not found")),"")</f>
        <v/>
      </c>
      <c r="P473" t="str">
        <f>IF(LEN(J473)&lt;&gt;0,_xlfn.XLOOKUP(J473,[1]!Entities[ID_with_x],[1]!Entities[Name_w_County],_xlfn.CONCAT("Entity ID ",RIGHT(Table3[[#This Row],[Sponsor_1_num]],8)," not found")),"")</f>
        <v/>
      </c>
      <c r="Q473" t="str">
        <f>IF(LEN(K473)&gt;0,_xlfn.TEXTJOIN(", ",TRUE,K473:P473),Table3[[#This Row],[SPONSOR_LIST]])</f>
        <v>South Plains Association of Governments</v>
      </c>
    </row>
    <row r="474" spans="1:17" x14ac:dyDescent="0.25">
      <c r="A474" s="304" t="s">
        <v>3095</v>
      </c>
      <c r="B474" t="s">
        <v>2986</v>
      </c>
      <c r="C474" t="str">
        <f t="shared" si="8"/>
        <v>x00000275</v>
      </c>
      <c r="D474" t="str">
        <f>SUBSTITUTE(SUBSTITUTE(Table3[[#This Row],[Sponsor_list_tranform]],",",",x")," ","")</f>
        <v>x00000275</v>
      </c>
      <c r="E474" t="s">
        <v>11724</v>
      </c>
      <c r="K474" t="str">
        <f>IF(LEN(E474)&lt;&gt;0,_xlfn.XLOOKUP(E474,[1]!Entities[ID_with_x],[1]!Entities[Name_w_County],_xlfn.CONCAT("Entity ID ",RIGHT(Table3[[#This Row],[Sponsor_1_num]],8)," not found")),"")</f>
        <v>South Plains Association of Governments</v>
      </c>
      <c r="L474" t="str">
        <f>IF(LEN(F474)&lt;&gt;0,_xlfn.XLOOKUP(F474,[1]!Entities[ID_with_x],[1]!Entities[Name_w_County],_xlfn.CONCAT("Entity ID ",RIGHT(Table3[[#This Row],[Sponsor_1_num]],8)," not found")),"")</f>
        <v/>
      </c>
      <c r="M474" t="str">
        <f>IF(LEN(G474)&lt;&gt;0,_xlfn.XLOOKUP(G474,[1]!Entities[ID_with_x],[1]!Entities[Name_w_County],_xlfn.CONCAT("Entity ID ",RIGHT(Table3[[#This Row],[Sponsor_1_num]],8)," not found")),"")</f>
        <v/>
      </c>
      <c r="N474" t="str">
        <f>IF(LEN(H474)&lt;&gt;0,_xlfn.XLOOKUP(H474,[1]!Entities[ID_with_x],[1]!Entities[Name_w_County],_xlfn.CONCAT("Entity ID ",RIGHT(Table3[[#This Row],[Sponsor_1_num]],8)," not found")),"")</f>
        <v/>
      </c>
      <c r="O474" t="str">
        <f>IF(LEN(I474)&lt;&gt;0,_xlfn.XLOOKUP(I474,[1]!Entities[ID_with_x],[1]!Entities[Name_w_County],_xlfn.CONCAT("Entity ID ",RIGHT(Table3[[#This Row],[Sponsor_1_num]],8)," not found")),"")</f>
        <v/>
      </c>
      <c r="P474" t="str">
        <f>IF(LEN(J474)&lt;&gt;0,_xlfn.XLOOKUP(J474,[1]!Entities[ID_with_x],[1]!Entities[Name_w_County],_xlfn.CONCAT("Entity ID ",RIGHT(Table3[[#This Row],[Sponsor_1_num]],8)," not found")),"")</f>
        <v/>
      </c>
      <c r="Q474" t="str">
        <f>IF(LEN(K474)&gt;0,_xlfn.TEXTJOIN(", ",TRUE,K474:P474),Table3[[#This Row],[SPONSOR_LIST]])</f>
        <v>South Plains Association of Governments</v>
      </c>
    </row>
    <row r="475" spans="1:17" x14ac:dyDescent="0.25">
      <c r="A475" s="304" t="s">
        <v>2990</v>
      </c>
      <c r="B475" t="s">
        <v>2986</v>
      </c>
      <c r="C475" t="str">
        <f t="shared" si="8"/>
        <v>x00000275</v>
      </c>
      <c r="D475" t="str">
        <f>SUBSTITUTE(SUBSTITUTE(Table3[[#This Row],[Sponsor_list_tranform]],",",",x")," ","")</f>
        <v>x00000275</v>
      </c>
      <c r="E475" t="s">
        <v>11724</v>
      </c>
      <c r="K475" t="str">
        <f>IF(LEN(E475)&lt;&gt;0,_xlfn.XLOOKUP(E475,[1]!Entities[ID_with_x],[1]!Entities[Name_w_County],_xlfn.CONCAT("Entity ID ",RIGHT(Table3[[#This Row],[Sponsor_1_num]],8)," not found")),"")</f>
        <v>South Plains Association of Governments</v>
      </c>
      <c r="L475" t="str">
        <f>IF(LEN(F475)&lt;&gt;0,_xlfn.XLOOKUP(F475,[1]!Entities[ID_with_x],[1]!Entities[Name_w_County],_xlfn.CONCAT("Entity ID ",RIGHT(Table3[[#This Row],[Sponsor_1_num]],8)," not found")),"")</f>
        <v/>
      </c>
      <c r="M475" t="str">
        <f>IF(LEN(G475)&lt;&gt;0,_xlfn.XLOOKUP(G475,[1]!Entities[ID_with_x],[1]!Entities[Name_w_County],_xlfn.CONCAT("Entity ID ",RIGHT(Table3[[#This Row],[Sponsor_1_num]],8)," not found")),"")</f>
        <v/>
      </c>
      <c r="N475" t="str">
        <f>IF(LEN(H475)&lt;&gt;0,_xlfn.XLOOKUP(H475,[1]!Entities[ID_with_x],[1]!Entities[Name_w_County],_xlfn.CONCAT("Entity ID ",RIGHT(Table3[[#This Row],[Sponsor_1_num]],8)," not found")),"")</f>
        <v/>
      </c>
      <c r="O475" t="str">
        <f>IF(LEN(I475)&lt;&gt;0,_xlfn.XLOOKUP(I475,[1]!Entities[ID_with_x],[1]!Entities[Name_w_County],_xlfn.CONCAT("Entity ID ",RIGHT(Table3[[#This Row],[Sponsor_1_num]],8)," not found")),"")</f>
        <v/>
      </c>
      <c r="P475" t="str">
        <f>IF(LEN(J475)&lt;&gt;0,_xlfn.XLOOKUP(J475,[1]!Entities[ID_with_x],[1]!Entities[Name_w_County],_xlfn.CONCAT("Entity ID ",RIGHT(Table3[[#This Row],[Sponsor_1_num]],8)," not found")),"")</f>
        <v/>
      </c>
      <c r="Q475" t="str">
        <f>IF(LEN(K475)&gt;0,_xlfn.TEXTJOIN(", ",TRUE,K475:P475),Table3[[#This Row],[SPONSOR_LIST]])</f>
        <v>South Plains Association of Governments</v>
      </c>
    </row>
    <row r="476" spans="1:17" x14ac:dyDescent="0.25">
      <c r="A476" s="304" t="s">
        <v>2976</v>
      </c>
      <c r="B476" t="s">
        <v>2986</v>
      </c>
      <c r="C476" t="str">
        <f t="shared" si="8"/>
        <v>x00000275</v>
      </c>
      <c r="D476" t="str">
        <f>SUBSTITUTE(SUBSTITUTE(Table3[[#This Row],[Sponsor_list_tranform]],",",",x")," ","")</f>
        <v>x00000275</v>
      </c>
      <c r="E476" t="s">
        <v>11724</v>
      </c>
      <c r="K476" t="str">
        <f>IF(LEN(E476)&lt;&gt;0,_xlfn.XLOOKUP(E476,[1]!Entities[ID_with_x],[1]!Entities[Name_w_County],_xlfn.CONCAT("Entity ID ",RIGHT(Table3[[#This Row],[Sponsor_1_num]],8)," not found")),"")</f>
        <v>South Plains Association of Governments</v>
      </c>
      <c r="L476" t="str">
        <f>IF(LEN(F476)&lt;&gt;0,_xlfn.XLOOKUP(F476,[1]!Entities[ID_with_x],[1]!Entities[Name_w_County],_xlfn.CONCAT("Entity ID ",RIGHT(Table3[[#This Row],[Sponsor_1_num]],8)," not found")),"")</f>
        <v/>
      </c>
      <c r="M476" t="str">
        <f>IF(LEN(G476)&lt;&gt;0,_xlfn.XLOOKUP(G476,[1]!Entities[ID_with_x],[1]!Entities[Name_w_County],_xlfn.CONCAT("Entity ID ",RIGHT(Table3[[#This Row],[Sponsor_1_num]],8)," not found")),"")</f>
        <v/>
      </c>
      <c r="N476" t="str">
        <f>IF(LEN(H476)&lt;&gt;0,_xlfn.XLOOKUP(H476,[1]!Entities[ID_with_x],[1]!Entities[Name_w_County],_xlfn.CONCAT("Entity ID ",RIGHT(Table3[[#This Row],[Sponsor_1_num]],8)," not found")),"")</f>
        <v/>
      </c>
      <c r="O476" t="str">
        <f>IF(LEN(I476)&lt;&gt;0,_xlfn.XLOOKUP(I476,[1]!Entities[ID_with_x],[1]!Entities[Name_w_County],_xlfn.CONCAT("Entity ID ",RIGHT(Table3[[#This Row],[Sponsor_1_num]],8)," not found")),"")</f>
        <v/>
      </c>
      <c r="P476" t="str">
        <f>IF(LEN(J476)&lt;&gt;0,_xlfn.XLOOKUP(J476,[1]!Entities[ID_with_x],[1]!Entities[Name_w_County],_xlfn.CONCAT("Entity ID ",RIGHT(Table3[[#This Row],[Sponsor_1_num]],8)," not found")),"")</f>
        <v/>
      </c>
      <c r="Q476" t="str">
        <f>IF(LEN(K476)&gt;0,_xlfn.TEXTJOIN(", ",TRUE,K476:P476),Table3[[#This Row],[SPONSOR_LIST]])</f>
        <v>South Plains Association of Governments</v>
      </c>
    </row>
    <row r="477" spans="1:17" x14ac:dyDescent="0.25">
      <c r="A477" s="304" t="s">
        <v>3346</v>
      </c>
      <c r="B477" t="s">
        <v>3352</v>
      </c>
      <c r="C477" t="str">
        <f t="shared" si="8"/>
        <v>x00000183,  07000222</v>
      </c>
      <c r="D477" t="str">
        <f>SUBSTITUTE(SUBSTITUTE(Table3[[#This Row],[Sponsor_list_tranform]],",",",x")," ","")</f>
        <v>x00000183,x07000222</v>
      </c>
      <c r="E477" t="s">
        <v>11601</v>
      </c>
      <c r="F477" t="s">
        <v>11602</v>
      </c>
      <c r="K477" t="str">
        <f>IF(LEN(E477)&lt;&gt;0,_xlfn.XLOOKUP(E477,[1]!Entities[ID_with_x],[1]!Entities[Name_w_County],_xlfn.CONCAT("Entity ID ",RIGHT(Table3[[#This Row],[Sponsor_1_num]],8)," not found")),"")</f>
        <v>Garza County</v>
      </c>
      <c r="L477" t="str">
        <f>IF(LEN(F477)&lt;&gt;0,_xlfn.XLOOKUP(F477,[1]!Entities[ID_with_x],[1]!Entities[Name_w_County],_xlfn.CONCAT("Entity ID ",RIGHT(Table3[[#This Row],[Sponsor_1_num]],8)," not found")),"")</f>
        <v>Lubbock County</v>
      </c>
      <c r="M477" t="str">
        <f>IF(LEN(G477)&lt;&gt;0,_xlfn.XLOOKUP(G477,[1]!Entities[ID_with_x],[1]!Entities[Name_w_County],_xlfn.CONCAT("Entity ID ",RIGHT(Table3[[#This Row],[Sponsor_1_num]],8)," not found")),"")</f>
        <v/>
      </c>
      <c r="N477" t="str">
        <f>IF(LEN(H477)&lt;&gt;0,_xlfn.XLOOKUP(H477,[1]!Entities[ID_with_x],[1]!Entities[Name_w_County],_xlfn.CONCAT("Entity ID ",RIGHT(Table3[[#This Row],[Sponsor_1_num]],8)," not found")),"")</f>
        <v/>
      </c>
      <c r="O477" t="str">
        <f>IF(LEN(I477)&lt;&gt;0,_xlfn.XLOOKUP(I477,[1]!Entities[ID_with_x],[1]!Entities[Name_w_County],_xlfn.CONCAT("Entity ID ",RIGHT(Table3[[#This Row],[Sponsor_1_num]],8)," not found")),"")</f>
        <v/>
      </c>
      <c r="P477" t="str">
        <f>IF(LEN(J477)&lt;&gt;0,_xlfn.XLOOKUP(J477,[1]!Entities[ID_with_x],[1]!Entities[Name_w_County],_xlfn.CONCAT("Entity ID ",RIGHT(Table3[[#This Row],[Sponsor_1_num]],8)," not found")),"")</f>
        <v/>
      </c>
      <c r="Q477" t="str">
        <f>IF(LEN(K477)&gt;0,_xlfn.TEXTJOIN(", ",TRUE,K477:P477),Table3[[#This Row],[SPONSOR_LIST]])</f>
        <v>Garza County, Lubbock County</v>
      </c>
    </row>
    <row r="478" spans="1:17" x14ac:dyDescent="0.25">
      <c r="A478" s="304" t="s">
        <v>3103</v>
      </c>
      <c r="B478" t="s">
        <v>3030</v>
      </c>
      <c r="C478" t="str">
        <f t="shared" si="8"/>
        <v>x07000114</v>
      </c>
      <c r="D478" t="str">
        <f>SUBSTITUTE(SUBSTITUTE(Table3[[#This Row],[Sponsor_list_tranform]],",",",x")," ","")</f>
        <v>x07000114</v>
      </c>
      <c r="E478" t="s">
        <v>11761</v>
      </c>
      <c r="K478" t="str">
        <f>IF(LEN(E478)&lt;&gt;0,_xlfn.XLOOKUP(E478,[1]!Entities[ID_with_x],[1]!Entities[Name_w_County],_xlfn.CONCAT("Entity ID ",RIGHT(Table3[[#This Row],[Sponsor_1_num]],8)," not found")),"")</f>
        <v>Fisher County</v>
      </c>
      <c r="L478" t="str">
        <f>IF(LEN(F478)&lt;&gt;0,_xlfn.XLOOKUP(F478,[1]!Entities[ID_with_x],[1]!Entities[Name_w_County],_xlfn.CONCAT("Entity ID ",RIGHT(Table3[[#This Row],[Sponsor_1_num]],8)," not found")),"")</f>
        <v/>
      </c>
      <c r="M478" t="str">
        <f>IF(LEN(G478)&lt;&gt;0,_xlfn.XLOOKUP(G478,[1]!Entities[ID_with_x],[1]!Entities[Name_w_County],_xlfn.CONCAT("Entity ID ",RIGHT(Table3[[#This Row],[Sponsor_1_num]],8)," not found")),"")</f>
        <v/>
      </c>
      <c r="N478" t="str">
        <f>IF(LEN(H478)&lt;&gt;0,_xlfn.XLOOKUP(H478,[1]!Entities[ID_with_x],[1]!Entities[Name_w_County],_xlfn.CONCAT("Entity ID ",RIGHT(Table3[[#This Row],[Sponsor_1_num]],8)," not found")),"")</f>
        <v/>
      </c>
      <c r="O478" t="str">
        <f>IF(LEN(I478)&lt;&gt;0,_xlfn.XLOOKUP(I478,[1]!Entities[ID_with_x],[1]!Entities[Name_w_County],_xlfn.CONCAT("Entity ID ",RIGHT(Table3[[#This Row],[Sponsor_1_num]],8)," not found")),"")</f>
        <v/>
      </c>
      <c r="P478" t="str">
        <f>IF(LEN(J478)&lt;&gt;0,_xlfn.XLOOKUP(J478,[1]!Entities[ID_with_x],[1]!Entities[Name_w_County],_xlfn.CONCAT("Entity ID ",RIGHT(Table3[[#This Row],[Sponsor_1_num]],8)," not found")),"")</f>
        <v/>
      </c>
      <c r="Q478" t="str">
        <f>IF(LEN(K478)&gt;0,_xlfn.TEXTJOIN(", ",TRUE,K478:P478),Table3[[#This Row],[SPONSOR_LIST]])</f>
        <v>Fisher County</v>
      </c>
    </row>
    <row r="479" spans="1:17" x14ac:dyDescent="0.25">
      <c r="A479" s="304" t="s">
        <v>3110</v>
      </c>
      <c r="B479" t="s">
        <v>3005</v>
      </c>
      <c r="C479" t="str">
        <f t="shared" si="8"/>
        <v>x07000112</v>
      </c>
      <c r="D479" t="str">
        <f>SUBSTITUTE(SUBSTITUTE(Table3[[#This Row],[Sponsor_list_tranform]],",",",x")," ","")</f>
        <v>x07000112</v>
      </c>
      <c r="E479" t="s">
        <v>11798</v>
      </c>
      <c r="K479" t="str">
        <f>IF(LEN(E479)&lt;&gt;0,_xlfn.XLOOKUP(E479,[1]!Entities[ID_with_x],[1]!Entities[Name_w_County],_xlfn.CONCAT("Entity ID ",RIGHT(Table3[[#This Row],[Sponsor_1_num]],8)," not found")),"")</f>
        <v>Jones County</v>
      </c>
      <c r="L479" t="str">
        <f>IF(LEN(F479)&lt;&gt;0,_xlfn.XLOOKUP(F479,[1]!Entities[ID_with_x],[1]!Entities[Name_w_County],_xlfn.CONCAT("Entity ID ",RIGHT(Table3[[#This Row],[Sponsor_1_num]],8)," not found")),"")</f>
        <v/>
      </c>
      <c r="M479" t="str">
        <f>IF(LEN(G479)&lt;&gt;0,_xlfn.XLOOKUP(G479,[1]!Entities[ID_with_x],[1]!Entities[Name_w_County],_xlfn.CONCAT("Entity ID ",RIGHT(Table3[[#This Row],[Sponsor_1_num]],8)," not found")),"")</f>
        <v/>
      </c>
      <c r="N479" t="str">
        <f>IF(LEN(H479)&lt;&gt;0,_xlfn.XLOOKUP(H479,[1]!Entities[ID_with_x],[1]!Entities[Name_w_County],_xlfn.CONCAT("Entity ID ",RIGHT(Table3[[#This Row],[Sponsor_1_num]],8)," not found")),"")</f>
        <v/>
      </c>
      <c r="O479" t="str">
        <f>IF(LEN(I479)&lt;&gt;0,_xlfn.XLOOKUP(I479,[1]!Entities[ID_with_x],[1]!Entities[Name_w_County],_xlfn.CONCAT("Entity ID ",RIGHT(Table3[[#This Row],[Sponsor_1_num]],8)," not found")),"")</f>
        <v/>
      </c>
      <c r="P479" t="str">
        <f>IF(LEN(J479)&lt;&gt;0,_xlfn.XLOOKUP(J479,[1]!Entities[ID_with_x],[1]!Entities[Name_w_County],_xlfn.CONCAT("Entity ID ",RIGHT(Table3[[#This Row],[Sponsor_1_num]],8)," not found")),"")</f>
        <v/>
      </c>
      <c r="Q479" t="str">
        <f>IF(LEN(K479)&gt;0,_xlfn.TEXTJOIN(", ",TRUE,K479:P479),Table3[[#This Row],[SPONSOR_LIST]])</f>
        <v>Jones County</v>
      </c>
    </row>
    <row r="480" spans="1:17" x14ac:dyDescent="0.25">
      <c r="A480" s="304" t="s">
        <v>3353</v>
      </c>
      <c r="B480" t="s">
        <v>3005</v>
      </c>
      <c r="C480" t="str">
        <f t="shared" si="8"/>
        <v>x07000112</v>
      </c>
      <c r="D480" t="str">
        <f>SUBSTITUTE(SUBSTITUTE(Table3[[#This Row],[Sponsor_list_tranform]],",",",x")," ","")</f>
        <v>x07000112</v>
      </c>
      <c r="E480" t="s">
        <v>11798</v>
      </c>
      <c r="K480" t="str">
        <f>IF(LEN(E480)&lt;&gt;0,_xlfn.XLOOKUP(E480,[1]!Entities[ID_with_x],[1]!Entities[Name_w_County],_xlfn.CONCAT("Entity ID ",RIGHT(Table3[[#This Row],[Sponsor_1_num]],8)," not found")),"")</f>
        <v>Jones County</v>
      </c>
      <c r="L480" t="str">
        <f>IF(LEN(F480)&lt;&gt;0,_xlfn.XLOOKUP(F480,[1]!Entities[ID_with_x],[1]!Entities[Name_w_County],_xlfn.CONCAT("Entity ID ",RIGHT(Table3[[#This Row],[Sponsor_1_num]],8)," not found")),"")</f>
        <v/>
      </c>
      <c r="M480" t="str">
        <f>IF(LEN(G480)&lt;&gt;0,_xlfn.XLOOKUP(G480,[1]!Entities[ID_with_x],[1]!Entities[Name_w_County],_xlfn.CONCAT("Entity ID ",RIGHT(Table3[[#This Row],[Sponsor_1_num]],8)," not found")),"")</f>
        <v/>
      </c>
      <c r="N480" t="str">
        <f>IF(LEN(H480)&lt;&gt;0,_xlfn.XLOOKUP(H480,[1]!Entities[ID_with_x],[1]!Entities[Name_w_County],_xlfn.CONCAT("Entity ID ",RIGHT(Table3[[#This Row],[Sponsor_1_num]],8)," not found")),"")</f>
        <v/>
      </c>
      <c r="O480" t="str">
        <f>IF(LEN(I480)&lt;&gt;0,_xlfn.XLOOKUP(I480,[1]!Entities[ID_with_x],[1]!Entities[Name_w_County],_xlfn.CONCAT("Entity ID ",RIGHT(Table3[[#This Row],[Sponsor_1_num]],8)," not found")),"")</f>
        <v/>
      </c>
      <c r="P480" t="str">
        <f>IF(LEN(J480)&lt;&gt;0,_xlfn.XLOOKUP(J480,[1]!Entities[ID_with_x],[1]!Entities[Name_w_County],_xlfn.CONCAT("Entity ID ",RIGHT(Table3[[#This Row],[Sponsor_1_num]],8)," not found")),"")</f>
        <v/>
      </c>
      <c r="Q480" t="str">
        <f>IF(LEN(K480)&gt;0,_xlfn.TEXTJOIN(", ",TRUE,K480:P480),Table3[[#This Row],[SPONSOR_LIST]])</f>
        <v>Jones County</v>
      </c>
    </row>
    <row r="481" spans="1:17" x14ac:dyDescent="0.25">
      <c r="A481" s="304" t="s">
        <v>3357</v>
      </c>
      <c r="B481" t="s">
        <v>1340</v>
      </c>
      <c r="C481" t="str">
        <f t="shared" si="8"/>
        <v>x00000217</v>
      </c>
      <c r="D481" t="str">
        <f>SUBSTITUTE(SUBSTITUTE(Table3[[#This Row],[Sponsor_list_tranform]],",",",x")," ","")</f>
        <v>x00000217</v>
      </c>
      <c r="E481" t="s">
        <v>11614</v>
      </c>
      <c r="K481" t="str">
        <f>IF(LEN(E481)&lt;&gt;0,_xlfn.XLOOKUP(E481,[1]!Entities[ID_with_x],[1]!Entities[Name_w_County],_xlfn.CONCAT("Entity ID ",RIGHT(Table3[[#This Row],[Sponsor_1_num]],8)," not found")),"")</f>
        <v>Knox County</v>
      </c>
      <c r="L481" t="str">
        <f>IF(LEN(F481)&lt;&gt;0,_xlfn.XLOOKUP(F481,[1]!Entities[ID_with_x],[1]!Entities[Name_w_County],_xlfn.CONCAT("Entity ID ",RIGHT(Table3[[#This Row],[Sponsor_1_num]],8)," not found")),"")</f>
        <v/>
      </c>
      <c r="M481" t="str">
        <f>IF(LEN(G481)&lt;&gt;0,_xlfn.XLOOKUP(G481,[1]!Entities[ID_with_x],[1]!Entities[Name_w_County],_xlfn.CONCAT("Entity ID ",RIGHT(Table3[[#This Row],[Sponsor_1_num]],8)," not found")),"")</f>
        <v/>
      </c>
      <c r="N481" t="str">
        <f>IF(LEN(H481)&lt;&gt;0,_xlfn.XLOOKUP(H481,[1]!Entities[ID_with_x],[1]!Entities[Name_w_County],_xlfn.CONCAT("Entity ID ",RIGHT(Table3[[#This Row],[Sponsor_1_num]],8)," not found")),"")</f>
        <v/>
      </c>
      <c r="O481" t="str">
        <f>IF(LEN(I481)&lt;&gt;0,_xlfn.XLOOKUP(I481,[1]!Entities[ID_with_x],[1]!Entities[Name_w_County],_xlfn.CONCAT("Entity ID ",RIGHT(Table3[[#This Row],[Sponsor_1_num]],8)," not found")),"")</f>
        <v/>
      </c>
      <c r="P481" t="str">
        <f>IF(LEN(J481)&lt;&gt;0,_xlfn.XLOOKUP(J481,[1]!Entities[ID_with_x],[1]!Entities[Name_w_County],_xlfn.CONCAT("Entity ID ",RIGHT(Table3[[#This Row],[Sponsor_1_num]],8)," not found")),"")</f>
        <v/>
      </c>
      <c r="Q481" t="str">
        <f>IF(LEN(K481)&gt;0,_xlfn.TEXTJOIN(", ",TRUE,K481:P481),Table3[[#This Row],[SPONSOR_LIST]])</f>
        <v>Knox County</v>
      </c>
    </row>
    <row r="482" spans="1:17" x14ac:dyDescent="0.25">
      <c r="A482" s="304" t="s">
        <v>3360</v>
      </c>
      <c r="B482" t="s">
        <v>3016</v>
      </c>
      <c r="C482" t="str">
        <f t="shared" si="8"/>
        <v>x07000180</v>
      </c>
      <c r="D482" t="str">
        <f>SUBSTITUTE(SUBSTITUTE(Table3[[#This Row],[Sponsor_list_tranform]],",",",x")," ","")</f>
        <v>x07000180</v>
      </c>
      <c r="E482" t="s">
        <v>11617</v>
      </c>
      <c r="K482" t="str">
        <f>IF(LEN(E482)&lt;&gt;0,_xlfn.XLOOKUP(E482,[1]!Entities[ID_with_x],[1]!Entities[Name_w_County],_xlfn.CONCAT("Entity ID ",RIGHT(Table3[[#This Row],[Sponsor_1_num]],8)," not found")),"")</f>
        <v>Haskell County</v>
      </c>
      <c r="L482" t="str">
        <f>IF(LEN(F482)&lt;&gt;0,_xlfn.XLOOKUP(F482,[1]!Entities[ID_with_x],[1]!Entities[Name_w_County],_xlfn.CONCAT("Entity ID ",RIGHT(Table3[[#This Row],[Sponsor_1_num]],8)," not found")),"")</f>
        <v/>
      </c>
      <c r="M482" t="str">
        <f>IF(LEN(G482)&lt;&gt;0,_xlfn.XLOOKUP(G482,[1]!Entities[ID_with_x],[1]!Entities[Name_w_County],_xlfn.CONCAT("Entity ID ",RIGHT(Table3[[#This Row],[Sponsor_1_num]],8)," not found")),"")</f>
        <v/>
      </c>
      <c r="N482" t="str">
        <f>IF(LEN(H482)&lt;&gt;0,_xlfn.XLOOKUP(H482,[1]!Entities[ID_with_x],[1]!Entities[Name_w_County],_xlfn.CONCAT("Entity ID ",RIGHT(Table3[[#This Row],[Sponsor_1_num]],8)," not found")),"")</f>
        <v/>
      </c>
      <c r="O482" t="str">
        <f>IF(LEN(I482)&lt;&gt;0,_xlfn.XLOOKUP(I482,[1]!Entities[ID_with_x],[1]!Entities[Name_w_County],_xlfn.CONCAT("Entity ID ",RIGHT(Table3[[#This Row],[Sponsor_1_num]],8)," not found")),"")</f>
        <v/>
      </c>
      <c r="P482" t="str">
        <f>IF(LEN(J482)&lt;&gt;0,_xlfn.XLOOKUP(J482,[1]!Entities[ID_with_x],[1]!Entities[Name_w_County],_xlfn.CONCAT("Entity ID ",RIGHT(Table3[[#This Row],[Sponsor_1_num]],8)," not found")),"")</f>
        <v/>
      </c>
      <c r="Q482" t="str">
        <f>IF(LEN(K482)&gt;0,_xlfn.TEXTJOIN(", ",TRUE,K482:P482),Table3[[#This Row],[SPONSOR_LIST]])</f>
        <v>Haskell County</v>
      </c>
    </row>
    <row r="483" spans="1:17" x14ac:dyDescent="0.25">
      <c r="A483" s="304" t="s">
        <v>3372</v>
      </c>
      <c r="B483" t="s">
        <v>3375</v>
      </c>
      <c r="C483" t="str">
        <f t="shared" si="8"/>
        <v>x07003505,  07003508</v>
      </c>
      <c r="D483" t="str">
        <f>SUBSTITUTE(SUBSTITUTE(Table3[[#This Row],[Sponsor_list_tranform]],",",",x")," ","")</f>
        <v>x07003505,x07003508</v>
      </c>
      <c r="E483" t="s">
        <v>11799</v>
      </c>
      <c r="F483" t="s">
        <v>11615</v>
      </c>
      <c r="K483" t="str">
        <f>IF(LEN(E483)&lt;&gt;0,_xlfn.XLOOKUP(E483,[1]!Entities[ID_with_x],[1]!Entities[Name_w_County],_xlfn.CONCAT("Entity ID ",RIGHT(Table3[[#This Row],[Sponsor_1_num]],8)," not found")),"")</f>
        <v>Buffalo Springs</v>
      </c>
      <c r="L483" t="str">
        <f>IF(LEN(F483)&lt;&gt;0,_xlfn.XLOOKUP(F483,[1]!Entities[ID_with_x],[1]!Entities[Name_w_County],_xlfn.CONCAT("Entity ID ",RIGHT(Table3[[#This Row],[Sponsor_1_num]],8)," not found")),"")</f>
        <v>Ransom Canyon</v>
      </c>
      <c r="M483" t="str">
        <f>IF(LEN(G483)&lt;&gt;0,_xlfn.XLOOKUP(G483,[1]!Entities[ID_with_x],[1]!Entities[Name_w_County],_xlfn.CONCAT("Entity ID ",RIGHT(Table3[[#This Row],[Sponsor_1_num]],8)," not found")),"")</f>
        <v/>
      </c>
      <c r="N483" t="str">
        <f>IF(LEN(H483)&lt;&gt;0,_xlfn.XLOOKUP(H483,[1]!Entities[ID_with_x],[1]!Entities[Name_w_County],_xlfn.CONCAT("Entity ID ",RIGHT(Table3[[#This Row],[Sponsor_1_num]],8)," not found")),"")</f>
        <v/>
      </c>
      <c r="O483" t="str">
        <f>IF(LEN(I483)&lt;&gt;0,_xlfn.XLOOKUP(I483,[1]!Entities[ID_with_x],[1]!Entities[Name_w_County],_xlfn.CONCAT("Entity ID ",RIGHT(Table3[[#This Row],[Sponsor_1_num]],8)," not found")),"")</f>
        <v/>
      </c>
      <c r="P483" t="str">
        <f>IF(LEN(J483)&lt;&gt;0,_xlfn.XLOOKUP(J483,[1]!Entities[ID_with_x],[1]!Entities[Name_w_County],_xlfn.CONCAT("Entity ID ",RIGHT(Table3[[#This Row],[Sponsor_1_num]],8)," not found")),"")</f>
        <v/>
      </c>
      <c r="Q483" t="str">
        <f>IF(LEN(K483)&gt;0,_xlfn.TEXTJOIN(", ",TRUE,K483:P483),Table3[[#This Row],[SPONSOR_LIST]])</f>
        <v>Buffalo Springs, Ransom Canyon</v>
      </c>
    </row>
    <row r="484" spans="1:17" x14ac:dyDescent="0.25">
      <c r="A484" s="304" t="s">
        <v>3376</v>
      </c>
      <c r="B484" t="s">
        <v>3379</v>
      </c>
      <c r="C484" t="str">
        <f t="shared" si="8"/>
        <v>x07003508</v>
      </c>
      <c r="D484" t="str">
        <f>SUBSTITUTE(SUBSTITUTE(Table3[[#This Row],[Sponsor_list_tranform]],",",",x")," ","")</f>
        <v>x07003508</v>
      </c>
      <c r="E484" t="s">
        <v>11615</v>
      </c>
      <c r="K484" t="str">
        <f>IF(LEN(E484)&lt;&gt;0,_xlfn.XLOOKUP(E484,[1]!Entities[ID_with_x],[1]!Entities[Name_w_County],_xlfn.CONCAT("Entity ID ",RIGHT(Table3[[#This Row],[Sponsor_1_num]],8)," not found")),"")</f>
        <v>Ransom Canyon</v>
      </c>
      <c r="L484" t="str">
        <f>IF(LEN(F484)&lt;&gt;0,_xlfn.XLOOKUP(F484,[1]!Entities[ID_with_x],[1]!Entities[Name_w_County],_xlfn.CONCAT("Entity ID ",RIGHT(Table3[[#This Row],[Sponsor_1_num]],8)," not found")),"")</f>
        <v/>
      </c>
      <c r="M484" t="str">
        <f>IF(LEN(G484)&lt;&gt;0,_xlfn.XLOOKUP(G484,[1]!Entities[ID_with_x],[1]!Entities[Name_w_County],_xlfn.CONCAT("Entity ID ",RIGHT(Table3[[#This Row],[Sponsor_1_num]],8)," not found")),"")</f>
        <v/>
      </c>
      <c r="N484" t="str">
        <f>IF(LEN(H484)&lt;&gt;0,_xlfn.XLOOKUP(H484,[1]!Entities[ID_with_x],[1]!Entities[Name_w_County],_xlfn.CONCAT("Entity ID ",RIGHT(Table3[[#This Row],[Sponsor_1_num]],8)," not found")),"")</f>
        <v/>
      </c>
      <c r="O484" t="str">
        <f>IF(LEN(I484)&lt;&gt;0,_xlfn.XLOOKUP(I484,[1]!Entities[ID_with_x],[1]!Entities[Name_w_County],_xlfn.CONCAT("Entity ID ",RIGHT(Table3[[#This Row],[Sponsor_1_num]],8)," not found")),"")</f>
        <v/>
      </c>
      <c r="P484" t="str">
        <f>IF(LEN(J484)&lt;&gt;0,_xlfn.XLOOKUP(J484,[1]!Entities[ID_with_x],[1]!Entities[Name_w_County],_xlfn.CONCAT("Entity ID ",RIGHT(Table3[[#This Row],[Sponsor_1_num]],8)," not found")),"")</f>
        <v/>
      </c>
      <c r="Q484" t="str">
        <f>IF(LEN(K484)&gt;0,_xlfn.TEXTJOIN(", ",TRUE,K484:P484),Table3[[#This Row],[SPONSOR_LIST]])</f>
        <v>Ransom Canyon</v>
      </c>
    </row>
    <row r="485" spans="1:17" x14ac:dyDescent="0.25">
      <c r="A485" s="304" t="s">
        <v>3117</v>
      </c>
      <c r="B485" t="s">
        <v>3048</v>
      </c>
      <c r="C485" t="str">
        <f t="shared" si="8"/>
        <v>x07003269</v>
      </c>
      <c r="D485" t="str">
        <f>SUBSTITUTE(SUBSTITUTE(Table3[[#This Row],[Sponsor_list_tranform]],",",",x")," ","")</f>
        <v>x07003269</v>
      </c>
      <c r="E485" t="s">
        <v>11621</v>
      </c>
      <c r="K485" t="str">
        <f>IF(LEN(E485)&lt;&gt;0,_xlfn.XLOOKUP(E485,[1]!Entities[ID_with_x],[1]!Entities[Name_w_County],_xlfn.CONCAT("Entity ID ",RIGHT(Table3[[#This Row],[Sponsor_1_num]],8)," not found")),"")</f>
        <v>Lubbock</v>
      </c>
      <c r="L485" t="str">
        <f>IF(LEN(F485)&lt;&gt;0,_xlfn.XLOOKUP(F485,[1]!Entities[ID_with_x],[1]!Entities[Name_w_County],_xlfn.CONCAT("Entity ID ",RIGHT(Table3[[#This Row],[Sponsor_1_num]],8)," not found")),"")</f>
        <v/>
      </c>
      <c r="M485" t="str">
        <f>IF(LEN(G485)&lt;&gt;0,_xlfn.XLOOKUP(G485,[1]!Entities[ID_with_x],[1]!Entities[Name_w_County],_xlfn.CONCAT("Entity ID ",RIGHT(Table3[[#This Row],[Sponsor_1_num]],8)," not found")),"")</f>
        <v/>
      </c>
      <c r="N485" t="str">
        <f>IF(LEN(H485)&lt;&gt;0,_xlfn.XLOOKUP(H485,[1]!Entities[ID_with_x],[1]!Entities[Name_w_County],_xlfn.CONCAT("Entity ID ",RIGHT(Table3[[#This Row],[Sponsor_1_num]],8)," not found")),"")</f>
        <v/>
      </c>
      <c r="O485" t="str">
        <f>IF(LEN(I485)&lt;&gt;0,_xlfn.XLOOKUP(I485,[1]!Entities[ID_with_x],[1]!Entities[Name_w_County],_xlfn.CONCAT("Entity ID ",RIGHT(Table3[[#This Row],[Sponsor_1_num]],8)," not found")),"")</f>
        <v/>
      </c>
      <c r="P485" t="str">
        <f>IF(LEN(J485)&lt;&gt;0,_xlfn.XLOOKUP(J485,[1]!Entities[ID_with_x],[1]!Entities[Name_w_County],_xlfn.CONCAT("Entity ID ",RIGHT(Table3[[#This Row],[Sponsor_1_num]],8)," not found")),"")</f>
        <v/>
      </c>
      <c r="Q485" t="str">
        <f>IF(LEN(K485)&gt;0,_xlfn.TEXTJOIN(", ",TRUE,K485:P485),Table3[[#This Row],[SPONSOR_LIST]])</f>
        <v>Lubbock</v>
      </c>
    </row>
    <row r="486" spans="1:17" x14ac:dyDescent="0.25">
      <c r="A486" s="304" t="s">
        <v>3366</v>
      </c>
      <c r="B486" t="s">
        <v>3371</v>
      </c>
      <c r="C486" t="str">
        <f t="shared" si="8"/>
        <v>x07000222</v>
      </c>
      <c r="D486" t="str">
        <f>SUBSTITUTE(SUBSTITUTE(Table3[[#This Row],[Sponsor_list_tranform]],",",",x")," ","")</f>
        <v>x07000222</v>
      </c>
      <c r="E486" t="s">
        <v>11602</v>
      </c>
      <c r="K486" t="str">
        <f>IF(LEN(E486)&lt;&gt;0,_xlfn.XLOOKUP(E486,[1]!Entities[ID_with_x],[1]!Entities[Name_w_County],_xlfn.CONCAT("Entity ID ",RIGHT(Table3[[#This Row],[Sponsor_1_num]],8)," not found")),"")</f>
        <v>Lubbock County</v>
      </c>
      <c r="L486" t="str">
        <f>IF(LEN(F486)&lt;&gt;0,_xlfn.XLOOKUP(F486,[1]!Entities[ID_with_x],[1]!Entities[Name_w_County],_xlfn.CONCAT("Entity ID ",RIGHT(Table3[[#This Row],[Sponsor_1_num]],8)," not found")),"")</f>
        <v/>
      </c>
      <c r="M486" t="str">
        <f>IF(LEN(G486)&lt;&gt;0,_xlfn.XLOOKUP(G486,[1]!Entities[ID_with_x],[1]!Entities[Name_w_County],_xlfn.CONCAT("Entity ID ",RIGHT(Table3[[#This Row],[Sponsor_1_num]],8)," not found")),"")</f>
        <v/>
      </c>
      <c r="N486" t="str">
        <f>IF(LEN(H486)&lt;&gt;0,_xlfn.XLOOKUP(H486,[1]!Entities[ID_with_x],[1]!Entities[Name_w_County],_xlfn.CONCAT("Entity ID ",RIGHT(Table3[[#This Row],[Sponsor_1_num]],8)," not found")),"")</f>
        <v/>
      </c>
      <c r="O486" t="str">
        <f>IF(LEN(I486)&lt;&gt;0,_xlfn.XLOOKUP(I486,[1]!Entities[ID_with_x],[1]!Entities[Name_w_County],_xlfn.CONCAT("Entity ID ",RIGHT(Table3[[#This Row],[Sponsor_1_num]],8)," not found")),"")</f>
        <v/>
      </c>
      <c r="P486" t="str">
        <f>IF(LEN(J486)&lt;&gt;0,_xlfn.XLOOKUP(J486,[1]!Entities[ID_with_x],[1]!Entities[Name_w_County],_xlfn.CONCAT("Entity ID ",RIGHT(Table3[[#This Row],[Sponsor_1_num]],8)," not found")),"")</f>
        <v/>
      </c>
      <c r="Q486" t="str">
        <f>IF(LEN(K486)&gt;0,_xlfn.TEXTJOIN(", ",TRUE,K486:P486),Table3[[#This Row],[SPONSOR_LIST]])</f>
        <v>Lubbock County</v>
      </c>
    </row>
    <row r="487" spans="1:17" x14ac:dyDescent="0.25">
      <c r="A487" s="304" t="s">
        <v>3123</v>
      </c>
      <c r="B487" t="s">
        <v>996</v>
      </c>
      <c r="C487" t="str">
        <f t="shared" si="8"/>
        <v>x00000168</v>
      </c>
      <c r="D487" t="str">
        <f>SUBSTITUTE(SUBSTITUTE(Table3[[#This Row],[Sponsor_list_tranform]],",",",x")," ","")</f>
        <v>x00000168</v>
      </c>
      <c r="E487" t="s">
        <v>11647</v>
      </c>
      <c r="K487" t="str">
        <f>IF(LEN(E487)&lt;&gt;0,_xlfn.XLOOKUP(E487,[1]!Entities[ID_with_x],[1]!Entities[Name_w_County],_xlfn.CONCAT("Entity ID ",RIGHT(Table3[[#This Row],[Sponsor_1_num]],8)," not found")),"")</f>
        <v>Taylor County</v>
      </c>
      <c r="L487" t="str">
        <f>IF(LEN(F487)&lt;&gt;0,_xlfn.XLOOKUP(F487,[1]!Entities[ID_with_x],[1]!Entities[Name_w_County],_xlfn.CONCAT("Entity ID ",RIGHT(Table3[[#This Row],[Sponsor_1_num]],8)," not found")),"")</f>
        <v/>
      </c>
      <c r="M487" t="str">
        <f>IF(LEN(G487)&lt;&gt;0,_xlfn.XLOOKUP(G487,[1]!Entities[ID_with_x],[1]!Entities[Name_w_County],_xlfn.CONCAT("Entity ID ",RIGHT(Table3[[#This Row],[Sponsor_1_num]],8)," not found")),"")</f>
        <v/>
      </c>
      <c r="N487" t="str">
        <f>IF(LEN(H487)&lt;&gt;0,_xlfn.XLOOKUP(H487,[1]!Entities[ID_with_x],[1]!Entities[Name_w_County],_xlfn.CONCAT("Entity ID ",RIGHT(Table3[[#This Row],[Sponsor_1_num]],8)," not found")),"")</f>
        <v/>
      </c>
      <c r="O487" t="str">
        <f>IF(LEN(I487)&lt;&gt;0,_xlfn.XLOOKUP(I487,[1]!Entities[ID_with_x],[1]!Entities[Name_w_County],_xlfn.CONCAT("Entity ID ",RIGHT(Table3[[#This Row],[Sponsor_1_num]],8)," not found")),"")</f>
        <v/>
      </c>
      <c r="P487" t="str">
        <f>IF(LEN(J487)&lt;&gt;0,_xlfn.XLOOKUP(J487,[1]!Entities[ID_with_x],[1]!Entities[Name_w_County],_xlfn.CONCAT("Entity ID ",RIGHT(Table3[[#This Row],[Sponsor_1_num]],8)," not found")),"")</f>
        <v/>
      </c>
      <c r="Q487" t="str">
        <f>IF(LEN(K487)&gt;0,_xlfn.TEXTJOIN(", ",TRUE,K487:P487),Table3[[#This Row],[SPONSOR_LIST]])</f>
        <v>Taylor County</v>
      </c>
    </row>
    <row r="488" spans="1:17" x14ac:dyDescent="0.25">
      <c r="A488" s="304" t="s">
        <v>3130</v>
      </c>
      <c r="B488" t="s">
        <v>989</v>
      </c>
      <c r="C488" t="str">
        <f t="shared" si="8"/>
        <v>x00000170</v>
      </c>
      <c r="D488" t="str">
        <f>SUBSTITUTE(SUBSTITUTE(Table3[[#This Row],[Sponsor_list_tranform]],",",",x")," ","")</f>
        <v>x00000170</v>
      </c>
      <c r="E488" t="s">
        <v>11618</v>
      </c>
      <c r="K488" t="str">
        <f>IF(LEN(E488)&lt;&gt;0,_xlfn.XLOOKUP(E488,[1]!Entities[ID_with_x],[1]!Entities[Name_w_County],_xlfn.CONCAT("Entity ID ",RIGHT(Table3[[#This Row],[Sponsor_1_num]],8)," not found")),"")</f>
        <v>Nolan County</v>
      </c>
      <c r="L488" t="str">
        <f>IF(LEN(F488)&lt;&gt;0,_xlfn.XLOOKUP(F488,[1]!Entities[ID_with_x],[1]!Entities[Name_w_County],_xlfn.CONCAT("Entity ID ",RIGHT(Table3[[#This Row],[Sponsor_1_num]],8)," not found")),"")</f>
        <v/>
      </c>
      <c r="M488" t="str">
        <f>IF(LEN(G488)&lt;&gt;0,_xlfn.XLOOKUP(G488,[1]!Entities[ID_with_x],[1]!Entities[Name_w_County],_xlfn.CONCAT("Entity ID ",RIGHT(Table3[[#This Row],[Sponsor_1_num]],8)," not found")),"")</f>
        <v/>
      </c>
      <c r="N488" t="str">
        <f>IF(LEN(H488)&lt;&gt;0,_xlfn.XLOOKUP(H488,[1]!Entities[ID_with_x],[1]!Entities[Name_w_County],_xlfn.CONCAT("Entity ID ",RIGHT(Table3[[#This Row],[Sponsor_1_num]],8)," not found")),"")</f>
        <v/>
      </c>
      <c r="O488" t="str">
        <f>IF(LEN(I488)&lt;&gt;0,_xlfn.XLOOKUP(I488,[1]!Entities[ID_with_x],[1]!Entities[Name_w_County],_xlfn.CONCAT("Entity ID ",RIGHT(Table3[[#This Row],[Sponsor_1_num]],8)," not found")),"")</f>
        <v/>
      </c>
      <c r="P488" t="str">
        <f>IF(LEN(J488)&lt;&gt;0,_xlfn.XLOOKUP(J488,[1]!Entities[ID_with_x],[1]!Entities[Name_w_County],_xlfn.CONCAT("Entity ID ",RIGHT(Table3[[#This Row],[Sponsor_1_num]],8)," not found")),"")</f>
        <v/>
      </c>
      <c r="Q488" t="str">
        <f>IF(LEN(K488)&gt;0,_xlfn.TEXTJOIN(", ",TRUE,K488:P488),Table3[[#This Row],[SPONSOR_LIST]])</f>
        <v>Nolan County</v>
      </c>
    </row>
    <row r="489" spans="1:17" x14ac:dyDescent="0.25">
      <c r="A489" s="304" t="s">
        <v>3387</v>
      </c>
      <c r="B489" t="s">
        <v>3391</v>
      </c>
      <c r="C489" t="str">
        <f t="shared" si="8"/>
        <v>x07003505</v>
      </c>
      <c r="D489" t="str">
        <f>SUBSTITUTE(SUBSTITUTE(Table3[[#This Row],[Sponsor_list_tranform]],",",",x")," ","")</f>
        <v>x07003505</v>
      </c>
      <c r="E489" t="s">
        <v>11799</v>
      </c>
      <c r="K489" t="str">
        <f>IF(LEN(E489)&lt;&gt;0,_xlfn.XLOOKUP(E489,[1]!Entities[ID_with_x],[1]!Entities[Name_w_County],_xlfn.CONCAT("Entity ID ",RIGHT(Table3[[#This Row],[Sponsor_1_num]],8)," not found")),"")</f>
        <v>Buffalo Springs</v>
      </c>
      <c r="L489" t="str">
        <f>IF(LEN(F489)&lt;&gt;0,_xlfn.XLOOKUP(F489,[1]!Entities[ID_with_x],[1]!Entities[Name_w_County],_xlfn.CONCAT("Entity ID ",RIGHT(Table3[[#This Row],[Sponsor_1_num]],8)," not found")),"")</f>
        <v/>
      </c>
      <c r="M489" t="str">
        <f>IF(LEN(G489)&lt;&gt;0,_xlfn.XLOOKUP(G489,[1]!Entities[ID_with_x],[1]!Entities[Name_w_County],_xlfn.CONCAT("Entity ID ",RIGHT(Table3[[#This Row],[Sponsor_1_num]],8)," not found")),"")</f>
        <v/>
      </c>
      <c r="N489" t="str">
        <f>IF(LEN(H489)&lt;&gt;0,_xlfn.XLOOKUP(H489,[1]!Entities[ID_with_x],[1]!Entities[Name_w_County],_xlfn.CONCAT("Entity ID ",RIGHT(Table3[[#This Row],[Sponsor_1_num]],8)," not found")),"")</f>
        <v/>
      </c>
      <c r="O489" t="str">
        <f>IF(LEN(I489)&lt;&gt;0,_xlfn.XLOOKUP(I489,[1]!Entities[ID_with_x],[1]!Entities[Name_w_County],_xlfn.CONCAT("Entity ID ",RIGHT(Table3[[#This Row],[Sponsor_1_num]],8)," not found")),"")</f>
        <v/>
      </c>
      <c r="P489" t="str">
        <f>IF(LEN(J489)&lt;&gt;0,_xlfn.XLOOKUP(J489,[1]!Entities[ID_with_x],[1]!Entities[Name_w_County],_xlfn.CONCAT("Entity ID ",RIGHT(Table3[[#This Row],[Sponsor_1_num]],8)," not found")),"")</f>
        <v/>
      </c>
      <c r="Q489" t="str">
        <f>IF(LEN(K489)&gt;0,_xlfn.TEXTJOIN(", ",TRUE,K489:P489),Table3[[#This Row],[SPONSOR_LIST]])</f>
        <v>Buffalo Springs</v>
      </c>
    </row>
    <row r="490" spans="1:17" x14ac:dyDescent="0.25">
      <c r="A490" s="304" t="s">
        <v>3380</v>
      </c>
      <c r="B490" t="s">
        <v>3048</v>
      </c>
      <c r="C490" t="str">
        <f t="shared" si="8"/>
        <v>x07003269</v>
      </c>
      <c r="D490" t="str">
        <f>SUBSTITUTE(SUBSTITUTE(Table3[[#This Row],[Sponsor_list_tranform]],",",",x")," ","")</f>
        <v>x07003269</v>
      </c>
      <c r="E490" t="s">
        <v>11621</v>
      </c>
      <c r="K490" t="str">
        <f>IF(LEN(E490)&lt;&gt;0,_xlfn.XLOOKUP(E490,[1]!Entities[ID_with_x],[1]!Entities[Name_w_County],_xlfn.CONCAT("Entity ID ",RIGHT(Table3[[#This Row],[Sponsor_1_num]],8)," not found")),"")</f>
        <v>Lubbock</v>
      </c>
      <c r="L490" t="str">
        <f>IF(LEN(F490)&lt;&gt;0,_xlfn.XLOOKUP(F490,[1]!Entities[ID_with_x],[1]!Entities[Name_w_County],_xlfn.CONCAT("Entity ID ",RIGHT(Table3[[#This Row],[Sponsor_1_num]],8)," not found")),"")</f>
        <v/>
      </c>
      <c r="M490" t="str">
        <f>IF(LEN(G490)&lt;&gt;0,_xlfn.XLOOKUP(G490,[1]!Entities[ID_with_x],[1]!Entities[Name_w_County],_xlfn.CONCAT("Entity ID ",RIGHT(Table3[[#This Row],[Sponsor_1_num]],8)," not found")),"")</f>
        <v/>
      </c>
      <c r="N490" t="str">
        <f>IF(LEN(H490)&lt;&gt;0,_xlfn.XLOOKUP(H490,[1]!Entities[ID_with_x],[1]!Entities[Name_w_County],_xlfn.CONCAT("Entity ID ",RIGHT(Table3[[#This Row],[Sponsor_1_num]],8)," not found")),"")</f>
        <v/>
      </c>
      <c r="O490" t="str">
        <f>IF(LEN(I490)&lt;&gt;0,_xlfn.XLOOKUP(I490,[1]!Entities[ID_with_x],[1]!Entities[Name_w_County],_xlfn.CONCAT("Entity ID ",RIGHT(Table3[[#This Row],[Sponsor_1_num]],8)," not found")),"")</f>
        <v/>
      </c>
      <c r="P490" t="str">
        <f>IF(LEN(J490)&lt;&gt;0,_xlfn.XLOOKUP(J490,[1]!Entities[ID_with_x],[1]!Entities[Name_w_County],_xlfn.CONCAT("Entity ID ",RIGHT(Table3[[#This Row],[Sponsor_1_num]],8)," not found")),"")</f>
        <v/>
      </c>
      <c r="Q490" t="str">
        <f>IF(LEN(K490)&gt;0,_xlfn.TEXTJOIN(", ",TRUE,K490:P490),Table3[[#This Row],[SPONSOR_LIST]])</f>
        <v>Lubbock</v>
      </c>
    </row>
    <row r="491" spans="1:17" x14ac:dyDescent="0.25">
      <c r="A491" s="304" t="s">
        <v>4620</v>
      </c>
      <c r="B491" t="s">
        <v>4626</v>
      </c>
      <c r="C491" t="str">
        <f t="shared" si="8"/>
        <v>x07003506</v>
      </c>
      <c r="D491" t="str">
        <f>SUBSTITUTE(SUBSTITUTE(Table3[[#This Row],[Sponsor_list_tranform]],",",",x")," ","")</f>
        <v>x07003506</v>
      </c>
      <c r="E491" t="s">
        <v>11800</v>
      </c>
      <c r="K491" t="str">
        <f>IF(LEN(E491)&lt;&gt;0,_xlfn.XLOOKUP(E491,[1]!Entities[ID_with_x],[1]!Entities[Name_w_County],_xlfn.CONCAT("Entity ID ",RIGHT(Table3[[#This Row],[Sponsor_1_num]],8)," not found")),"")</f>
        <v>Idalou</v>
      </c>
      <c r="L491" t="str">
        <f>IF(LEN(F491)&lt;&gt;0,_xlfn.XLOOKUP(F491,[1]!Entities[ID_with_x],[1]!Entities[Name_w_County],_xlfn.CONCAT("Entity ID ",RIGHT(Table3[[#This Row],[Sponsor_1_num]],8)," not found")),"")</f>
        <v/>
      </c>
      <c r="M491" t="str">
        <f>IF(LEN(G491)&lt;&gt;0,_xlfn.XLOOKUP(G491,[1]!Entities[ID_with_x],[1]!Entities[Name_w_County],_xlfn.CONCAT("Entity ID ",RIGHT(Table3[[#This Row],[Sponsor_1_num]],8)," not found")),"")</f>
        <v/>
      </c>
      <c r="N491" t="str">
        <f>IF(LEN(H491)&lt;&gt;0,_xlfn.XLOOKUP(H491,[1]!Entities[ID_with_x],[1]!Entities[Name_w_County],_xlfn.CONCAT("Entity ID ",RIGHT(Table3[[#This Row],[Sponsor_1_num]],8)," not found")),"")</f>
        <v/>
      </c>
      <c r="O491" t="str">
        <f>IF(LEN(I491)&lt;&gt;0,_xlfn.XLOOKUP(I491,[1]!Entities[ID_with_x],[1]!Entities[Name_w_County],_xlfn.CONCAT("Entity ID ",RIGHT(Table3[[#This Row],[Sponsor_1_num]],8)," not found")),"")</f>
        <v/>
      </c>
      <c r="P491" t="str">
        <f>IF(LEN(J491)&lt;&gt;0,_xlfn.XLOOKUP(J491,[1]!Entities[ID_with_x],[1]!Entities[Name_w_County],_xlfn.CONCAT("Entity ID ",RIGHT(Table3[[#This Row],[Sponsor_1_num]],8)," not found")),"")</f>
        <v/>
      </c>
      <c r="Q491" t="str">
        <f>IF(LEN(K491)&gt;0,_xlfn.TEXTJOIN(", ",TRUE,K491:P491),Table3[[#This Row],[SPONSOR_LIST]])</f>
        <v>Idalou</v>
      </c>
    </row>
    <row r="492" spans="1:17" x14ac:dyDescent="0.25">
      <c r="A492" s="304" t="s">
        <v>4900</v>
      </c>
      <c r="B492" t="s">
        <v>4905</v>
      </c>
      <c r="C492" t="str">
        <f t="shared" si="8"/>
        <v>x00002517</v>
      </c>
      <c r="D492" t="str">
        <f>SUBSTITUTE(SUBSTITUTE(Table3[[#This Row],[Sponsor_list_tranform]],",",",x")," ","")</f>
        <v>x00002517</v>
      </c>
      <c r="E492" t="s">
        <v>11881</v>
      </c>
      <c r="K492" t="str">
        <f>IF(LEN(E492)&lt;&gt;0,_xlfn.XLOOKUP(E492,[1]!Entities[ID_with_x],[1]!Entities[Name_w_County],_xlfn.CONCAT("Entity ID ",RIGHT(Table3[[#This Row],[Sponsor_1_num]],8)," not found")),"")</f>
        <v>Sugar Land</v>
      </c>
      <c r="L492" t="str">
        <f>IF(LEN(F492)&lt;&gt;0,_xlfn.XLOOKUP(F492,[1]!Entities[ID_with_x],[1]!Entities[Name_w_County],_xlfn.CONCAT("Entity ID ",RIGHT(Table3[[#This Row],[Sponsor_1_num]],8)," not found")),"")</f>
        <v/>
      </c>
      <c r="M492" t="str">
        <f>IF(LEN(G492)&lt;&gt;0,_xlfn.XLOOKUP(G492,[1]!Entities[ID_with_x],[1]!Entities[Name_w_County],_xlfn.CONCAT("Entity ID ",RIGHT(Table3[[#This Row],[Sponsor_1_num]],8)," not found")),"")</f>
        <v/>
      </c>
      <c r="N492" t="str">
        <f>IF(LEN(H492)&lt;&gt;0,_xlfn.XLOOKUP(H492,[1]!Entities[ID_with_x],[1]!Entities[Name_w_County],_xlfn.CONCAT("Entity ID ",RIGHT(Table3[[#This Row],[Sponsor_1_num]],8)," not found")),"")</f>
        <v/>
      </c>
      <c r="O492" t="str">
        <f>IF(LEN(I492)&lt;&gt;0,_xlfn.XLOOKUP(I492,[1]!Entities[ID_with_x],[1]!Entities[Name_w_County],_xlfn.CONCAT("Entity ID ",RIGHT(Table3[[#This Row],[Sponsor_1_num]],8)," not found")),"")</f>
        <v/>
      </c>
      <c r="P492" t="str">
        <f>IF(LEN(J492)&lt;&gt;0,_xlfn.XLOOKUP(J492,[1]!Entities[ID_with_x],[1]!Entities[Name_w_County],_xlfn.CONCAT("Entity ID ",RIGHT(Table3[[#This Row],[Sponsor_1_num]],8)," not found")),"")</f>
        <v/>
      </c>
      <c r="Q492" t="str">
        <f>IF(LEN(K492)&gt;0,_xlfn.TEXTJOIN(", ",TRUE,K492:P492),Table3[[#This Row],[SPONSOR_LIST]])</f>
        <v>Sugar Land</v>
      </c>
    </row>
    <row r="493" spans="1:17" x14ac:dyDescent="0.25">
      <c r="A493" s="304" t="s">
        <v>4907</v>
      </c>
      <c r="B493" t="s">
        <v>4905</v>
      </c>
      <c r="C493" t="str">
        <f t="shared" si="8"/>
        <v>x00002517</v>
      </c>
      <c r="D493" t="str">
        <f>SUBSTITUTE(SUBSTITUTE(Table3[[#This Row],[Sponsor_list_tranform]],",",",x")," ","")</f>
        <v>x00002517</v>
      </c>
      <c r="E493" t="s">
        <v>11881</v>
      </c>
      <c r="K493" t="str">
        <f>IF(LEN(E493)&lt;&gt;0,_xlfn.XLOOKUP(E493,[1]!Entities[ID_with_x],[1]!Entities[Name_w_County],_xlfn.CONCAT("Entity ID ",RIGHT(Table3[[#This Row],[Sponsor_1_num]],8)," not found")),"")</f>
        <v>Sugar Land</v>
      </c>
      <c r="L493" t="str">
        <f>IF(LEN(F493)&lt;&gt;0,_xlfn.XLOOKUP(F493,[1]!Entities[ID_with_x],[1]!Entities[Name_w_County],_xlfn.CONCAT("Entity ID ",RIGHT(Table3[[#This Row],[Sponsor_1_num]],8)," not found")),"")</f>
        <v/>
      </c>
      <c r="M493" t="str">
        <f>IF(LEN(G493)&lt;&gt;0,_xlfn.XLOOKUP(G493,[1]!Entities[ID_with_x],[1]!Entities[Name_w_County],_xlfn.CONCAT("Entity ID ",RIGHT(Table3[[#This Row],[Sponsor_1_num]],8)," not found")),"")</f>
        <v/>
      </c>
      <c r="N493" t="str">
        <f>IF(LEN(H493)&lt;&gt;0,_xlfn.XLOOKUP(H493,[1]!Entities[ID_with_x],[1]!Entities[Name_w_County],_xlfn.CONCAT("Entity ID ",RIGHT(Table3[[#This Row],[Sponsor_1_num]],8)," not found")),"")</f>
        <v/>
      </c>
      <c r="O493" t="str">
        <f>IF(LEN(I493)&lt;&gt;0,_xlfn.XLOOKUP(I493,[1]!Entities[ID_with_x],[1]!Entities[Name_w_County],_xlfn.CONCAT("Entity ID ",RIGHT(Table3[[#This Row],[Sponsor_1_num]],8)," not found")),"")</f>
        <v/>
      </c>
      <c r="P493" t="str">
        <f>IF(LEN(J493)&lt;&gt;0,_xlfn.XLOOKUP(J493,[1]!Entities[ID_with_x],[1]!Entities[Name_w_County],_xlfn.CONCAT("Entity ID ",RIGHT(Table3[[#This Row],[Sponsor_1_num]],8)," not found")),"")</f>
        <v/>
      </c>
      <c r="Q493" t="str">
        <f>IF(LEN(K493)&gt;0,_xlfn.TEXTJOIN(", ",TRUE,K493:P493),Table3[[#This Row],[SPONSOR_LIST]])</f>
        <v>Sugar Land</v>
      </c>
    </row>
    <row r="494" spans="1:17" x14ac:dyDescent="0.25">
      <c r="A494" s="304" t="s">
        <v>4910</v>
      </c>
      <c r="B494" t="s">
        <v>4905</v>
      </c>
      <c r="C494" t="str">
        <f t="shared" si="8"/>
        <v>x00002517</v>
      </c>
      <c r="D494" t="str">
        <f>SUBSTITUTE(SUBSTITUTE(Table3[[#This Row],[Sponsor_list_tranform]],",",",x")," ","")</f>
        <v>x00002517</v>
      </c>
      <c r="E494" t="s">
        <v>11881</v>
      </c>
      <c r="K494" t="str">
        <f>IF(LEN(E494)&lt;&gt;0,_xlfn.XLOOKUP(E494,[1]!Entities[ID_with_x],[1]!Entities[Name_w_County],_xlfn.CONCAT("Entity ID ",RIGHT(Table3[[#This Row],[Sponsor_1_num]],8)," not found")),"")</f>
        <v>Sugar Land</v>
      </c>
      <c r="L494" t="str">
        <f>IF(LEN(F494)&lt;&gt;0,_xlfn.XLOOKUP(F494,[1]!Entities[ID_with_x],[1]!Entities[Name_w_County],_xlfn.CONCAT("Entity ID ",RIGHT(Table3[[#This Row],[Sponsor_1_num]],8)," not found")),"")</f>
        <v/>
      </c>
      <c r="M494" t="str">
        <f>IF(LEN(G494)&lt;&gt;0,_xlfn.XLOOKUP(G494,[1]!Entities[ID_with_x],[1]!Entities[Name_w_County],_xlfn.CONCAT("Entity ID ",RIGHT(Table3[[#This Row],[Sponsor_1_num]],8)," not found")),"")</f>
        <v/>
      </c>
      <c r="N494" t="str">
        <f>IF(LEN(H494)&lt;&gt;0,_xlfn.XLOOKUP(H494,[1]!Entities[ID_with_x],[1]!Entities[Name_w_County],_xlfn.CONCAT("Entity ID ",RIGHT(Table3[[#This Row],[Sponsor_1_num]],8)," not found")),"")</f>
        <v/>
      </c>
      <c r="O494" t="str">
        <f>IF(LEN(I494)&lt;&gt;0,_xlfn.XLOOKUP(I494,[1]!Entities[ID_with_x],[1]!Entities[Name_w_County],_xlfn.CONCAT("Entity ID ",RIGHT(Table3[[#This Row],[Sponsor_1_num]],8)," not found")),"")</f>
        <v/>
      </c>
      <c r="P494" t="str">
        <f>IF(LEN(J494)&lt;&gt;0,_xlfn.XLOOKUP(J494,[1]!Entities[ID_with_x],[1]!Entities[Name_w_County],_xlfn.CONCAT("Entity ID ",RIGHT(Table3[[#This Row],[Sponsor_1_num]],8)," not found")),"")</f>
        <v/>
      </c>
      <c r="Q494" t="str">
        <f>IF(LEN(K494)&gt;0,_xlfn.TEXTJOIN(", ",TRUE,K494:P494),Table3[[#This Row],[SPONSOR_LIST]])</f>
        <v>Sugar Land</v>
      </c>
    </row>
    <row r="495" spans="1:17" x14ac:dyDescent="0.25">
      <c r="A495" s="304" t="s">
        <v>4913</v>
      </c>
      <c r="B495" t="s">
        <v>4898</v>
      </c>
      <c r="C495" t="str">
        <f t="shared" si="8"/>
        <v>x00000009</v>
      </c>
      <c r="D495" t="str">
        <f>SUBSTITUTE(SUBSTITUTE(Table3[[#This Row],[Sponsor_list_tranform]],",",",x")," ","")</f>
        <v>x00000009</v>
      </c>
      <c r="E495" t="s">
        <v>11882</v>
      </c>
      <c r="K495" t="str">
        <f>IF(LEN(E495)&lt;&gt;0,_xlfn.XLOOKUP(E495,[1]!Entities[ID_with_x],[1]!Entities[Name_w_County],_xlfn.CONCAT("Entity ID ",RIGHT(Table3[[#This Row],[Sponsor_1_num]],8)," not found")),"")</f>
        <v>Fort Bend County</v>
      </c>
      <c r="L495" t="str">
        <f>IF(LEN(F495)&lt;&gt;0,_xlfn.XLOOKUP(F495,[1]!Entities[ID_with_x],[1]!Entities[Name_w_County],_xlfn.CONCAT("Entity ID ",RIGHT(Table3[[#This Row],[Sponsor_1_num]],8)," not found")),"")</f>
        <v/>
      </c>
      <c r="M495" t="str">
        <f>IF(LEN(G495)&lt;&gt;0,_xlfn.XLOOKUP(G495,[1]!Entities[ID_with_x],[1]!Entities[Name_w_County],_xlfn.CONCAT("Entity ID ",RIGHT(Table3[[#This Row],[Sponsor_1_num]],8)," not found")),"")</f>
        <v/>
      </c>
      <c r="N495" t="str">
        <f>IF(LEN(H495)&lt;&gt;0,_xlfn.XLOOKUP(H495,[1]!Entities[ID_with_x],[1]!Entities[Name_w_County],_xlfn.CONCAT("Entity ID ",RIGHT(Table3[[#This Row],[Sponsor_1_num]],8)," not found")),"")</f>
        <v/>
      </c>
      <c r="O495" t="str">
        <f>IF(LEN(I495)&lt;&gt;0,_xlfn.XLOOKUP(I495,[1]!Entities[ID_with_x],[1]!Entities[Name_w_County],_xlfn.CONCAT("Entity ID ",RIGHT(Table3[[#This Row],[Sponsor_1_num]],8)," not found")),"")</f>
        <v/>
      </c>
      <c r="P495" t="str">
        <f>IF(LEN(J495)&lt;&gt;0,_xlfn.XLOOKUP(J495,[1]!Entities[ID_with_x],[1]!Entities[Name_w_County],_xlfn.CONCAT("Entity ID ",RIGHT(Table3[[#This Row],[Sponsor_1_num]],8)," not found")),"")</f>
        <v/>
      </c>
      <c r="Q495" t="str">
        <f>IF(LEN(K495)&gt;0,_xlfn.TEXTJOIN(", ",TRUE,K495:P495),Table3[[#This Row],[SPONSOR_LIST]])</f>
        <v>Fort Bend County</v>
      </c>
    </row>
    <row r="496" spans="1:17" x14ac:dyDescent="0.25">
      <c r="A496" s="304" t="s">
        <v>4917</v>
      </c>
      <c r="B496" t="s">
        <v>4889</v>
      </c>
      <c r="C496" t="str">
        <f t="shared" si="8"/>
        <v>x08002580</v>
      </c>
      <c r="D496" t="str">
        <f>SUBSTITUTE(SUBSTITUTE(Table3[[#This Row],[Sponsor_list_tranform]],",",",x")," ","")</f>
        <v>x08002580</v>
      </c>
      <c r="E496" t="s">
        <v>11883</v>
      </c>
      <c r="K496" t="str">
        <f>IF(LEN(E496)&lt;&gt;0,_xlfn.XLOOKUP(E496,[1]!Entities[ID_with_x],[1]!Entities[Name_w_County],_xlfn.CONCAT("Entity ID ",RIGHT(Table3[[#This Row],[Sponsor_1_num]],8)," not found")),"")</f>
        <v>Georgetown</v>
      </c>
      <c r="L496" t="str">
        <f>IF(LEN(F496)&lt;&gt;0,_xlfn.XLOOKUP(F496,[1]!Entities[ID_with_x],[1]!Entities[Name_w_County],_xlfn.CONCAT("Entity ID ",RIGHT(Table3[[#This Row],[Sponsor_1_num]],8)," not found")),"")</f>
        <v/>
      </c>
      <c r="M496" t="str">
        <f>IF(LEN(G496)&lt;&gt;0,_xlfn.XLOOKUP(G496,[1]!Entities[ID_with_x],[1]!Entities[Name_w_County],_xlfn.CONCAT("Entity ID ",RIGHT(Table3[[#This Row],[Sponsor_1_num]],8)," not found")),"")</f>
        <v/>
      </c>
      <c r="N496" t="str">
        <f>IF(LEN(H496)&lt;&gt;0,_xlfn.XLOOKUP(H496,[1]!Entities[ID_with_x],[1]!Entities[Name_w_County],_xlfn.CONCAT("Entity ID ",RIGHT(Table3[[#This Row],[Sponsor_1_num]],8)," not found")),"")</f>
        <v/>
      </c>
      <c r="O496" t="str">
        <f>IF(LEN(I496)&lt;&gt;0,_xlfn.XLOOKUP(I496,[1]!Entities[ID_with_x],[1]!Entities[Name_w_County],_xlfn.CONCAT("Entity ID ",RIGHT(Table3[[#This Row],[Sponsor_1_num]],8)," not found")),"")</f>
        <v/>
      </c>
      <c r="P496" t="str">
        <f>IF(LEN(J496)&lt;&gt;0,_xlfn.XLOOKUP(J496,[1]!Entities[ID_with_x],[1]!Entities[Name_w_County],_xlfn.CONCAT("Entity ID ",RIGHT(Table3[[#This Row],[Sponsor_1_num]],8)," not found")),"")</f>
        <v/>
      </c>
      <c r="Q496" t="str">
        <f>IF(LEN(K496)&gt;0,_xlfn.TEXTJOIN(", ",TRUE,K496:P496),Table3[[#This Row],[SPONSOR_LIST]])</f>
        <v>Georgetown</v>
      </c>
    </row>
    <row r="497" spans="1:17" x14ac:dyDescent="0.25">
      <c r="A497" s="304" t="s">
        <v>4921</v>
      </c>
      <c r="B497" t="s">
        <v>4926</v>
      </c>
      <c r="C497" t="str">
        <f t="shared" si="8"/>
        <v>x08002577</v>
      </c>
      <c r="D497" t="str">
        <f>SUBSTITUTE(SUBSTITUTE(Table3[[#This Row],[Sponsor_list_tranform]],",",",x")," ","")</f>
        <v>x08002577</v>
      </c>
      <c r="E497" t="s">
        <v>11884</v>
      </c>
      <c r="K497" t="str">
        <f>IF(LEN(E497)&lt;&gt;0,_xlfn.XLOOKUP(E497,[1]!Entities[ID_with_x],[1]!Entities[Name_w_County],_xlfn.CONCAT("Entity ID ",RIGHT(Table3[[#This Row],[Sponsor_1_num]],8)," not found")),"")</f>
        <v>Hutto</v>
      </c>
      <c r="L497" t="str">
        <f>IF(LEN(F497)&lt;&gt;0,_xlfn.XLOOKUP(F497,[1]!Entities[ID_with_x],[1]!Entities[Name_w_County],_xlfn.CONCAT("Entity ID ",RIGHT(Table3[[#This Row],[Sponsor_1_num]],8)," not found")),"")</f>
        <v/>
      </c>
      <c r="M497" t="str">
        <f>IF(LEN(G497)&lt;&gt;0,_xlfn.XLOOKUP(G497,[1]!Entities[ID_with_x],[1]!Entities[Name_w_County],_xlfn.CONCAT("Entity ID ",RIGHT(Table3[[#This Row],[Sponsor_1_num]],8)," not found")),"")</f>
        <v/>
      </c>
      <c r="N497" t="str">
        <f>IF(LEN(H497)&lt;&gt;0,_xlfn.XLOOKUP(H497,[1]!Entities[ID_with_x],[1]!Entities[Name_w_County],_xlfn.CONCAT("Entity ID ",RIGHT(Table3[[#This Row],[Sponsor_1_num]],8)," not found")),"")</f>
        <v/>
      </c>
      <c r="O497" t="str">
        <f>IF(LEN(I497)&lt;&gt;0,_xlfn.XLOOKUP(I497,[1]!Entities[ID_with_x],[1]!Entities[Name_w_County],_xlfn.CONCAT("Entity ID ",RIGHT(Table3[[#This Row],[Sponsor_1_num]],8)," not found")),"")</f>
        <v/>
      </c>
      <c r="P497" t="str">
        <f>IF(LEN(J497)&lt;&gt;0,_xlfn.XLOOKUP(J497,[1]!Entities[ID_with_x],[1]!Entities[Name_w_County],_xlfn.CONCAT("Entity ID ",RIGHT(Table3[[#This Row],[Sponsor_1_num]],8)," not found")),"")</f>
        <v/>
      </c>
      <c r="Q497" t="str">
        <f>IF(LEN(K497)&gt;0,_xlfn.TEXTJOIN(", ",TRUE,K497:P497),Table3[[#This Row],[SPONSOR_LIST]])</f>
        <v>Hutto</v>
      </c>
    </row>
    <row r="498" spans="1:17" x14ac:dyDescent="0.25">
      <c r="A498" s="304" t="s">
        <v>4929</v>
      </c>
      <c r="B498" t="s">
        <v>4893</v>
      </c>
      <c r="C498" t="str">
        <f t="shared" si="8"/>
        <v>x00003457</v>
      </c>
      <c r="D498" t="str">
        <f>SUBSTITUTE(SUBSTITUTE(Table3[[#This Row],[Sponsor_list_tranform]],",",",x")," ","")</f>
        <v>x00003457</v>
      </c>
      <c r="E498" t="s">
        <v>11885</v>
      </c>
      <c r="K498" t="str">
        <f>IF(LEN(E498)&lt;&gt;0,_xlfn.XLOOKUP(E498,[1]!Entities[ID_with_x],[1]!Entities[Name_w_County],_xlfn.CONCAT("Entity ID ",RIGHT(Table3[[#This Row],[Sponsor_1_num]],8)," not found")),"")</f>
        <v>Leander</v>
      </c>
      <c r="L498" t="str">
        <f>IF(LEN(F498)&lt;&gt;0,_xlfn.XLOOKUP(F498,[1]!Entities[ID_with_x],[1]!Entities[Name_w_County],_xlfn.CONCAT("Entity ID ",RIGHT(Table3[[#This Row],[Sponsor_1_num]],8)," not found")),"")</f>
        <v/>
      </c>
      <c r="M498" t="str">
        <f>IF(LEN(G498)&lt;&gt;0,_xlfn.XLOOKUP(G498,[1]!Entities[ID_with_x],[1]!Entities[Name_w_County],_xlfn.CONCAT("Entity ID ",RIGHT(Table3[[#This Row],[Sponsor_1_num]],8)," not found")),"")</f>
        <v/>
      </c>
      <c r="N498" t="str">
        <f>IF(LEN(H498)&lt;&gt;0,_xlfn.XLOOKUP(H498,[1]!Entities[ID_with_x],[1]!Entities[Name_w_County],_xlfn.CONCAT("Entity ID ",RIGHT(Table3[[#This Row],[Sponsor_1_num]],8)," not found")),"")</f>
        <v/>
      </c>
      <c r="O498" t="str">
        <f>IF(LEN(I498)&lt;&gt;0,_xlfn.XLOOKUP(I498,[1]!Entities[ID_with_x],[1]!Entities[Name_w_County],_xlfn.CONCAT("Entity ID ",RIGHT(Table3[[#This Row],[Sponsor_1_num]],8)," not found")),"")</f>
        <v/>
      </c>
      <c r="P498" t="str">
        <f>IF(LEN(J498)&lt;&gt;0,_xlfn.XLOOKUP(J498,[1]!Entities[ID_with_x],[1]!Entities[Name_w_County],_xlfn.CONCAT("Entity ID ",RIGHT(Table3[[#This Row],[Sponsor_1_num]],8)," not found")),"")</f>
        <v/>
      </c>
      <c r="Q498" t="str">
        <f>IF(LEN(K498)&gt;0,_xlfn.TEXTJOIN(", ",TRUE,K498:P498),Table3[[#This Row],[SPONSOR_LIST]])</f>
        <v>Leander</v>
      </c>
    </row>
    <row r="499" spans="1:17" x14ac:dyDescent="0.25">
      <c r="A499" s="304" t="s">
        <v>4932</v>
      </c>
      <c r="B499" t="s">
        <v>4937</v>
      </c>
      <c r="C499" t="str">
        <f t="shared" si="8"/>
        <v>x08003439</v>
      </c>
      <c r="D499" t="str">
        <f>SUBSTITUTE(SUBSTITUTE(Table3[[#This Row],[Sponsor_list_tranform]],",",",x")," ","")</f>
        <v>x08003439</v>
      </c>
      <c r="E499" t="s">
        <v>11886</v>
      </c>
      <c r="K499" t="str">
        <f>IF(LEN(E499)&lt;&gt;0,_xlfn.XLOOKUP(E499,[1]!Entities[ID_with_x],[1]!Entities[Name_w_County],_xlfn.CONCAT("Entity ID ",RIGHT(Table3[[#This Row],[Sponsor_1_num]],8)," not found")),"")</f>
        <v>College Station</v>
      </c>
      <c r="L499" t="str">
        <f>IF(LEN(F499)&lt;&gt;0,_xlfn.XLOOKUP(F499,[1]!Entities[ID_with_x],[1]!Entities[Name_w_County],_xlfn.CONCAT("Entity ID ",RIGHT(Table3[[#This Row],[Sponsor_1_num]],8)," not found")),"")</f>
        <v/>
      </c>
      <c r="M499" t="str">
        <f>IF(LEN(G499)&lt;&gt;0,_xlfn.XLOOKUP(G499,[1]!Entities[ID_with_x],[1]!Entities[Name_w_County],_xlfn.CONCAT("Entity ID ",RIGHT(Table3[[#This Row],[Sponsor_1_num]],8)," not found")),"")</f>
        <v/>
      </c>
      <c r="N499" t="str">
        <f>IF(LEN(H499)&lt;&gt;0,_xlfn.XLOOKUP(H499,[1]!Entities[ID_with_x],[1]!Entities[Name_w_County],_xlfn.CONCAT("Entity ID ",RIGHT(Table3[[#This Row],[Sponsor_1_num]],8)," not found")),"")</f>
        <v/>
      </c>
      <c r="O499" t="str">
        <f>IF(LEN(I499)&lt;&gt;0,_xlfn.XLOOKUP(I499,[1]!Entities[ID_with_x],[1]!Entities[Name_w_County],_xlfn.CONCAT("Entity ID ",RIGHT(Table3[[#This Row],[Sponsor_1_num]],8)," not found")),"")</f>
        <v/>
      </c>
      <c r="P499" t="str">
        <f>IF(LEN(J499)&lt;&gt;0,_xlfn.XLOOKUP(J499,[1]!Entities[ID_with_x],[1]!Entities[Name_w_County],_xlfn.CONCAT("Entity ID ",RIGHT(Table3[[#This Row],[Sponsor_1_num]],8)," not found")),"")</f>
        <v/>
      </c>
      <c r="Q499" t="str">
        <f>IF(LEN(K499)&gt;0,_xlfn.TEXTJOIN(", ",TRUE,K499:P499),Table3[[#This Row],[SPONSOR_LIST]])</f>
        <v>College Station</v>
      </c>
    </row>
    <row r="500" spans="1:17" x14ac:dyDescent="0.25">
      <c r="A500" s="304" t="s">
        <v>4938</v>
      </c>
      <c r="B500" t="s">
        <v>4937</v>
      </c>
      <c r="C500" t="str">
        <f t="shared" si="8"/>
        <v>x08003439</v>
      </c>
      <c r="D500" t="str">
        <f>SUBSTITUTE(SUBSTITUTE(Table3[[#This Row],[Sponsor_list_tranform]],",",",x")," ","")</f>
        <v>x08003439</v>
      </c>
      <c r="E500" t="s">
        <v>11886</v>
      </c>
      <c r="K500" t="str">
        <f>IF(LEN(E500)&lt;&gt;0,_xlfn.XLOOKUP(E500,[1]!Entities[ID_with_x],[1]!Entities[Name_w_County],_xlfn.CONCAT("Entity ID ",RIGHT(Table3[[#This Row],[Sponsor_1_num]],8)," not found")),"")</f>
        <v>College Station</v>
      </c>
      <c r="L500" t="str">
        <f>IF(LEN(F500)&lt;&gt;0,_xlfn.XLOOKUP(F500,[1]!Entities[ID_with_x],[1]!Entities[Name_w_County],_xlfn.CONCAT("Entity ID ",RIGHT(Table3[[#This Row],[Sponsor_1_num]],8)," not found")),"")</f>
        <v/>
      </c>
      <c r="M500" t="str">
        <f>IF(LEN(G500)&lt;&gt;0,_xlfn.XLOOKUP(G500,[1]!Entities[ID_with_x],[1]!Entities[Name_w_County],_xlfn.CONCAT("Entity ID ",RIGHT(Table3[[#This Row],[Sponsor_1_num]],8)," not found")),"")</f>
        <v/>
      </c>
      <c r="N500" t="str">
        <f>IF(LEN(H500)&lt;&gt;0,_xlfn.XLOOKUP(H500,[1]!Entities[ID_with_x],[1]!Entities[Name_w_County],_xlfn.CONCAT("Entity ID ",RIGHT(Table3[[#This Row],[Sponsor_1_num]],8)," not found")),"")</f>
        <v/>
      </c>
      <c r="O500" t="str">
        <f>IF(LEN(I500)&lt;&gt;0,_xlfn.XLOOKUP(I500,[1]!Entities[ID_with_x],[1]!Entities[Name_w_County],_xlfn.CONCAT("Entity ID ",RIGHT(Table3[[#This Row],[Sponsor_1_num]],8)," not found")),"")</f>
        <v/>
      </c>
      <c r="P500" t="str">
        <f>IF(LEN(J500)&lt;&gt;0,_xlfn.XLOOKUP(J500,[1]!Entities[ID_with_x],[1]!Entities[Name_w_County],_xlfn.CONCAT("Entity ID ",RIGHT(Table3[[#This Row],[Sponsor_1_num]],8)," not found")),"")</f>
        <v/>
      </c>
      <c r="Q500" t="str">
        <f>IF(LEN(K500)&gt;0,_xlfn.TEXTJOIN(", ",TRUE,K500:P500),Table3[[#This Row],[SPONSOR_LIST]])</f>
        <v>College Station</v>
      </c>
    </row>
    <row r="501" spans="1:17" x14ac:dyDescent="0.25">
      <c r="A501" s="304" t="s">
        <v>3392</v>
      </c>
      <c r="B501" t="s">
        <v>3402</v>
      </c>
      <c r="C501" t="str">
        <f t="shared" si="8"/>
        <v>x08002914</v>
      </c>
      <c r="D501" t="str">
        <f>SUBSTITUTE(SUBSTITUTE(Table3[[#This Row],[Sponsor_list_tranform]],",",",x")," ","")</f>
        <v>x08002914</v>
      </c>
      <c r="E501" t="s">
        <v>11606</v>
      </c>
      <c r="K501" t="str">
        <f>IF(LEN(E501)&lt;&gt;0,_xlfn.XLOOKUP(E501,[1]!Entities[ID_with_x],[1]!Entities[Name_w_County],_xlfn.CONCAT("Entity ID ",RIGHT(Table3[[#This Row],[Sponsor_1_num]],8)," not found")),"")</f>
        <v>Waco</v>
      </c>
      <c r="L501" t="str">
        <f>IF(LEN(F501)&lt;&gt;0,_xlfn.XLOOKUP(F501,[1]!Entities[ID_with_x],[1]!Entities[Name_w_County],_xlfn.CONCAT("Entity ID ",RIGHT(Table3[[#This Row],[Sponsor_1_num]],8)," not found")),"")</f>
        <v/>
      </c>
      <c r="M501" t="str">
        <f>IF(LEN(G501)&lt;&gt;0,_xlfn.XLOOKUP(G501,[1]!Entities[ID_with_x],[1]!Entities[Name_w_County],_xlfn.CONCAT("Entity ID ",RIGHT(Table3[[#This Row],[Sponsor_1_num]],8)," not found")),"")</f>
        <v/>
      </c>
      <c r="N501" t="str">
        <f>IF(LEN(H501)&lt;&gt;0,_xlfn.XLOOKUP(H501,[1]!Entities[ID_with_x],[1]!Entities[Name_w_County],_xlfn.CONCAT("Entity ID ",RIGHT(Table3[[#This Row],[Sponsor_1_num]],8)," not found")),"")</f>
        <v/>
      </c>
      <c r="O501" t="str">
        <f>IF(LEN(I501)&lt;&gt;0,_xlfn.XLOOKUP(I501,[1]!Entities[ID_with_x],[1]!Entities[Name_w_County],_xlfn.CONCAT("Entity ID ",RIGHT(Table3[[#This Row],[Sponsor_1_num]],8)," not found")),"")</f>
        <v/>
      </c>
      <c r="P501" t="str">
        <f>IF(LEN(J501)&lt;&gt;0,_xlfn.XLOOKUP(J501,[1]!Entities[ID_with_x],[1]!Entities[Name_w_County],_xlfn.CONCAT("Entity ID ",RIGHT(Table3[[#This Row],[Sponsor_1_num]],8)," not found")),"")</f>
        <v/>
      </c>
      <c r="Q501" t="str">
        <f>IF(LEN(K501)&gt;0,_xlfn.TEXTJOIN(", ",TRUE,K501:P501),Table3[[#This Row],[SPONSOR_LIST]])</f>
        <v>Waco</v>
      </c>
    </row>
    <row r="502" spans="1:17" x14ac:dyDescent="0.25">
      <c r="A502" s="304" t="s">
        <v>874</v>
      </c>
      <c r="B502" t="s">
        <v>508</v>
      </c>
      <c r="C502" t="str">
        <f t="shared" si="8"/>
        <v>x00000102</v>
      </c>
      <c r="D502" t="str">
        <f>SUBSTITUTE(SUBSTITUTE(Table3[[#This Row],[Sponsor_list_tranform]],",",",x")," ","")</f>
        <v>x00000102</v>
      </c>
      <c r="E502" t="s">
        <v>11725</v>
      </c>
      <c r="K502" t="str">
        <f>IF(LEN(E502)&lt;&gt;0,_xlfn.XLOOKUP(E502,[1]!Entities[ID_with_x],[1]!Entities[Name_w_County],_xlfn.CONCAT("Entity ID ",RIGHT(Table3[[#This Row],[Sponsor_1_num]],8)," not found")),"")</f>
        <v>Andrews County</v>
      </c>
      <c r="L502" t="str">
        <f>IF(LEN(F502)&lt;&gt;0,_xlfn.XLOOKUP(F502,[1]!Entities[ID_with_x],[1]!Entities[Name_w_County],_xlfn.CONCAT("Entity ID ",RIGHT(Table3[[#This Row],[Sponsor_1_num]],8)," not found")),"")</f>
        <v/>
      </c>
      <c r="M502" t="str">
        <f>IF(LEN(G502)&lt;&gt;0,_xlfn.XLOOKUP(G502,[1]!Entities[ID_with_x],[1]!Entities[Name_w_County],_xlfn.CONCAT("Entity ID ",RIGHT(Table3[[#This Row],[Sponsor_1_num]],8)," not found")),"")</f>
        <v/>
      </c>
      <c r="N502" t="str">
        <f>IF(LEN(H502)&lt;&gt;0,_xlfn.XLOOKUP(H502,[1]!Entities[ID_with_x],[1]!Entities[Name_w_County],_xlfn.CONCAT("Entity ID ",RIGHT(Table3[[#This Row],[Sponsor_1_num]],8)," not found")),"")</f>
        <v/>
      </c>
      <c r="O502" t="str">
        <f>IF(LEN(I502)&lt;&gt;0,_xlfn.XLOOKUP(I502,[1]!Entities[ID_with_x],[1]!Entities[Name_w_County],_xlfn.CONCAT("Entity ID ",RIGHT(Table3[[#This Row],[Sponsor_1_num]],8)," not found")),"")</f>
        <v/>
      </c>
      <c r="P502" t="str">
        <f>IF(LEN(J502)&lt;&gt;0,_xlfn.XLOOKUP(J502,[1]!Entities[ID_with_x],[1]!Entities[Name_w_County],_xlfn.CONCAT("Entity ID ",RIGHT(Table3[[#This Row],[Sponsor_1_num]],8)," not found")),"")</f>
        <v/>
      </c>
      <c r="Q502" t="str">
        <f>IF(LEN(K502)&gt;0,_xlfn.TEXTJOIN(", ",TRUE,K502:P502),Table3[[#This Row],[SPONSOR_LIST]])</f>
        <v>Andrews County</v>
      </c>
    </row>
    <row r="503" spans="1:17" x14ac:dyDescent="0.25">
      <c r="A503" s="304" t="s">
        <v>877</v>
      </c>
      <c r="B503" t="s">
        <v>508</v>
      </c>
      <c r="C503" t="str">
        <f t="shared" si="8"/>
        <v>x00000102</v>
      </c>
      <c r="D503" t="str">
        <f>SUBSTITUTE(SUBSTITUTE(Table3[[#This Row],[Sponsor_list_tranform]],",",",x")," ","")</f>
        <v>x00000102</v>
      </c>
      <c r="E503" t="s">
        <v>11725</v>
      </c>
      <c r="K503" t="str">
        <f>IF(LEN(E503)&lt;&gt;0,_xlfn.XLOOKUP(E503,[1]!Entities[ID_with_x],[1]!Entities[Name_w_County],_xlfn.CONCAT("Entity ID ",RIGHT(Table3[[#This Row],[Sponsor_1_num]],8)," not found")),"")</f>
        <v>Andrews County</v>
      </c>
      <c r="L503" t="str">
        <f>IF(LEN(F503)&lt;&gt;0,_xlfn.XLOOKUP(F503,[1]!Entities[ID_with_x],[1]!Entities[Name_w_County],_xlfn.CONCAT("Entity ID ",RIGHT(Table3[[#This Row],[Sponsor_1_num]],8)," not found")),"")</f>
        <v/>
      </c>
      <c r="M503" t="str">
        <f>IF(LEN(G503)&lt;&gt;0,_xlfn.XLOOKUP(G503,[1]!Entities[ID_with_x],[1]!Entities[Name_w_County],_xlfn.CONCAT("Entity ID ",RIGHT(Table3[[#This Row],[Sponsor_1_num]],8)," not found")),"")</f>
        <v/>
      </c>
      <c r="N503" t="str">
        <f>IF(LEN(H503)&lt;&gt;0,_xlfn.XLOOKUP(H503,[1]!Entities[ID_with_x],[1]!Entities[Name_w_County],_xlfn.CONCAT("Entity ID ",RIGHT(Table3[[#This Row],[Sponsor_1_num]],8)," not found")),"")</f>
        <v/>
      </c>
      <c r="O503" t="str">
        <f>IF(LEN(I503)&lt;&gt;0,_xlfn.XLOOKUP(I503,[1]!Entities[ID_with_x],[1]!Entities[Name_w_County],_xlfn.CONCAT("Entity ID ",RIGHT(Table3[[#This Row],[Sponsor_1_num]],8)," not found")),"")</f>
        <v/>
      </c>
      <c r="P503" t="str">
        <f>IF(LEN(J503)&lt;&gt;0,_xlfn.XLOOKUP(J503,[1]!Entities[ID_with_x],[1]!Entities[Name_w_County],_xlfn.CONCAT("Entity ID ",RIGHT(Table3[[#This Row],[Sponsor_1_num]],8)," not found")),"")</f>
        <v/>
      </c>
      <c r="Q503" t="str">
        <f>IF(LEN(K503)&gt;0,_xlfn.TEXTJOIN(", ",TRUE,K503:P503),Table3[[#This Row],[SPONSOR_LIST]])</f>
        <v>Andrews County</v>
      </c>
    </row>
    <row r="504" spans="1:17" x14ac:dyDescent="0.25">
      <c r="A504" s="304" t="s">
        <v>884</v>
      </c>
      <c r="B504" t="s">
        <v>693</v>
      </c>
      <c r="C504" t="str">
        <f t="shared" si="8"/>
        <v>x00000124</v>
      </c>
      <c r="D504" t="str">
        <f>SUBSTITUTE(SUBSTITUTE(Table3[[#This Row],[Sponsor_list_tranform]],",",",x")," ","")</f>
        <v>x00000124</v>
      </c>
      <c r="E504" t="s">
        <v>11736</v>
      </c>
      <c r="K504" t="str">
        <f>IF(LEN(E504)&lt;&gt;0,_xlfn.XLOOKUP(E504,[1]!Entities[ID_with_x],[1]!Entities[Name_w_County],_xlfn.CONCAT("Entity ID ",RIGHT(Table3[[#This Row],[Sponsor_1_num]],8)," not found")),"")</f>
        <v>Concho County</v>
      </c>
      <c r="L504" t="str">
        <f>IF(LEN(F504)&lt;&gt;0,_xlfn.XLOOKUP(F504,[1]!Entities[ID_with_x],[1]!Entities[Name_w_County],_xlfn.CONCAT("Entity ID ",RIGHT(Table3[[#This Row],[Sponsor_1_num]],8)," not found")),"")</f>
        <v/>
      </c>
      <c r="M504" t="str">
        <f>IF(LEN(G504)&lt;&gt;0,_xlfn.XLOOKUP(G504,[1]!Entities[ID_with_x],[1]!Entities[Name_w_County],_xlfn.CONCAT("Entity ID ",RIGHT(Table3[[#This Row],[Sponsor_1_num]],8)," not found")),"")</f>
        <v/>
      </c>
      <c r="N504" t="str">
        <f>IF(LEN(H504)&lt;&gt;0,_xlfn.XLOOKUP(H504,[1]!Entities[ID_with_x],[1]!Entities[Name_w_County],_xlfn.CONCAT("Entity ID ",RIGHT(Table3[[#This Row],[Sponsor_1_num]],8)," not found")),"")</f>
        <v/>
      </c>
      <c r="O504" t="str">
        <f>IF(LEN(I504)&lt;&gt;0,_xlfn.XLOOKUP(I504,[1]!Entities[ID_with_x],[1]!Entities[Name_w_County],_xlfn.CONCAT("Entity ID ",RIGHT(Table3[[#This Row],[Sponsor_1_num]],8)," not found")),"")</f>
        <v/>
      </c>
      <c r="P504" t="str">
        <f>IF(LEN(J504)&lt;&gt;0,_xlfn.XLOOKUP(J504,[1]!Entities[ID_with_x],[1]!Entities[Name_w_County],_xlfn.CONCAT("Entity ID ",RIGHT(Table3[[#This Row],[Sponsor_1_num]],8)," not found")),"")</f>
        <v/>
      </c>
      <c r="Q504" t="str">
        <f>IF(LEN(K504)&gt;0,_xlfn.TEXTJOIN(", ",TRUE,K504:P504),Table3[[#This Row],[SPONSOR_LIST]])</f>
        <v>Concho County</v>
      </c>
    </row>
    <row r="505" spans="1:17" x14ac:dyDescent="0.25">
      <c r="A505" s="304" t="s">
        <v>413</v>
      </c>
      <c r="B505" t="s">
        <v>423</v>
      </c>
      <c r="C505" t="str">
        <f t="shared" si="8"/>
        <v>x00000172</v>
      </c>
      <c r="D505" t="str">
        <f>SUBSTITUTE(SUBSTITUTE(Table3[[#This Row],[Sponsor_list_tranform]],",",",x")," ","")</f>
        <v>x00000172</v>
      </c>
      <c r="E505" t="s">
        <v>11729</v>
      </c>
      <c r="K505" t="str">
        <f>IF(LEN(E505)&lt;&gt;0,_xlfn.XLOOKUP(E505,[1]!Entities[ID_with_x],[1]!Entities[Name_w_County],_xlfn.CONCAT("Entity ID ",RIGHT(Table3[[#This Row],[Sponsor_1_num]],8)," not found")),"")</f>
        <v>Mitchell County</v>
      </c>
      <c r="L505" t="str">
        <f>IF(LEN(F505)&lt;&gt;0,_xlfn.XLOOKUP(F505,[1]!Entities[ID_with_x],[1]!Entities[Name_w_County],_xlfn.CONCAT("Entity ID ",RIGHT(Table3[[#This Row],[Sponsor_1_num]],8)," not found")),"")</f>
        <v/>
      </c>
      <c r="M505" t="str">
        <f>IF(LEN(G505)&lt;&gt;0,_xlfn.XLOOKUP(G505,[1]!Entities[ID_with_x],[1]!Entities[Name_w_County],_xlfn.CONCAT("Entity ID ",RIGHT(Table3[[#This Row],[Sponsor_1_num]],8)," not found")),"")</f>
        <v/>
      </c>
      <c r="N505" t="str">
        <f>IF(LEN(H505)&lt;&gt;0,_xlfn.XLOOKUP(H505,[1]!Entities[ID_with_x],[1]!Entities[Name_w_County],_xlfn.CONCAT("Entity ID ",RIGHT(Table3[[#This Row],[Sponsor_1_num]],8)," not found")),"")</f>
        <v/>
      </c>
      <c r="O505" t="str">
        <f>IF(LEN(I505)&lt;&gt;0,_xlfn.XLOOKUP(I505,[1]!Entities[ID_with_x],[1]!Entities[Name_w_County],_xlfn.CONCAT("Entity ID ",RIGHT(Table3[[#This Row],[Sponsor_1_num]],8)," not found")),"")</f>
        <v/>
      </c>
      <c r="P505" t="str">
        <f>IF(LEN(J505)&lt;&gt;0,_xlfn.XLOOKUP(J505,[1]!Entities[ID_with_x],[1]!Entities[Name_w_County],_xlfn.CONCAT("Entity ID ",RIGHT(Table3[[#This Row],[Sponsor_1_num]],8)," not found")),"")</f>
        <v/>
      </c>
      <c r="Q505" t="str">
        <f>IF(LEN(K505)&gt;0,_xlfn.TEXTJOIN(", ",TRUE,K505:P505),Table3[[#This Row],[SPONSOR_LIST]])</f>
        <v>Mitchell County</v>
      </c>
    </row>
    <row r="506" spans="1:17" x14ac:dyDescent="0.25">
      <c r="A506" s="304" t="s">
        <v>428</v>
      </c>
      <c r="B506" t="s">
        <v>434</v>
      </c>
      <c r="C506" t="str">
        <f t="shared" si="8"/>
        <v>x00000115</v>
      </c>
      <c r="D506" t="str">
        <f>SUBSTITUTE(SUBSTITUTE(Table3[[#This Row],[Sponsor_list_tranform]],",",",x")," ","")</f>
        <v>x00000115</v>
      </c>
      <c r="E506" t="s">
        <v>11726</v>
      </c>
      <c r="K506" t="str">
        <f>IF(LEN(E506)&lt;&gt;0,_xlfn.XLOOKUP(E506,[1]!Entities[ID_with_x],[1]!Entities[Name_w_County],_xlfn.CONCAT("Entity ID ",RIGHT(Table3[[#This Row],[Sponsor_1_num]],8)," not found")),"")</f>
        <v>Borden County</v>
      </c>
      <c r="L506" t="str">
        <f>IF(LEN(F506)&lt;&gt;0,_xlfn.XLOOKUP(F506,[1]!Entities[ID_with_x],[1]!Entities[Name_w_County],_xlfn.CONCAT("Entity ID ",RIGHT(Table3[[#This Row],[Sponsor_1_num]],8)," not found")),"")</f>
        <v/>
      </c>
      <c r="M506" t="str">
        <f>IF(LEN(G506)&lt;&gt;0,_xlfn.XLOOKUP(G506,[1]!Entities[ID_with_x],[1]!Entities[Name_w_County],_xlfn.CONCAT("Entity ID ",RIGHT(Table3[[#This Row],[Sponsor_1_num]],8)," not found")),"")</f>
        <v/>
      </c>
      <c r="N506" t="str">
        <f>IF(LEN(H506)&lt;&gt;0,_xlfn.XLOOKUP(H506,[1]!Entities[ID_with_x],[1]!Entities[Name_w_County],_xlfn.CONCAT("Entity ID ",RIGHT(Table3[[#This Row],[Sponsor_1_num]],8)," not found")),"")</f>
        <v/>
      </c>
      <c r="O506" t="str">
        <f>IF(LEN(I506)&lt;&gt;0,_xlfn.XLOOKUP(I506,[1]!Entities[ID_with_x],[1]!Entities[Name_w_County],_xlfn.CONCAT("Entity ID ",RIGHT(Table3[[#This Row],[Sponsor_1_num]],8)," not found")),"")</f>
        <v/>
      </c>
      <c r="P506" t="str">
        <f>IF(LEN(J506)&lt;&gt;0,_xlfn.XLOOKUP(J506,[1]!Entities[ID_with_x],[1]!Entities[Name_w_County],_xlfn.CONCAT("Entity ID ",RIGHT(Table3[[#This Row],[Sponsor_1_num]],8)," not found")),"")</f>
        <v/>
      </c>
      <c r="Q506" t="str">
        <f>IF(LEN(K506)&gt;0,_xlfn.TEXTJOIN(", ",TRUE,K506:P506),Table3[[#This Row],[SPONSOR_LIST]])</f>
        <v>Borden County</v>
      </c>
    </row>
    <row r="507" spans="1:17" x14ac:dyDescent="0.25">
      <c r="A507" s="304" t="s">
        <v>436</v>
      </c>
      <c r="B507" t="s">
        <v>434</v>
      </c>
      <c r="C507" t="str">
        <f t="shared" si="8"/>
        <v>x00000115</v>
      </c>
      <c r="D507" t="str">
        <f>SUBSTITUTE(SUBSTITUTE(Table3[[#This Row],[Sponsor_list_tranform]],",",",x")," ","")</f>
        <v>x00000115</v>
      </c>
      <c r="E507" t="s">
        <v>11726</v>
      </c>
      <c r="K507" t="str">
        <f>IF(LEN(E507)&lt;&gt;0,_xlfn.XLOOKUP(E507,[1]!Entities[ID_with_x],[1]!Entities[Name_w_County],_xlfn.CONCAT("Entity ID ",RIGHT(Table3[[#This Row],[Sponsor_1_num]],8)," not found")),"")</f>
        <v>Borden County</v>
      </c>
      <c r="L507" t="str">
        <f>IF(LEN(F507)&lt;&gt;0,_xlfn.XLOOKUP(F507,[1]!Entities[ID_with_x],[1]!Entities[Name_w_County],_xlfn.CONCAT("Entity ID ",RIGHT(Table3[[#This Row],[Sponsor_1_num]],8)," not found")),"")</f>
        <v/>
      </c>
      <c r="M507" t="str">
        <f>IF(LEN(G507)&lt;&gt;0,_xlfn.XLOOKUP(G507,[1]!Entities[ID_with_x],[1]!Entities[Name_w_County],_xlfn.CONCAT("Entity ID ",RIGHT(Table3[[#This Row],[Sponsor_1_num]],8)," not found")),"")</f>
        <v/>
      </c>
      <c r="N507" t="str">
        <f>IF(LEN(H507)&lt;&gt;0,_xlfn.XLOOKUP(H507,[1]!Entities[ID_with_x],[1]!Entities[Name_w_County],_xlfn.CONCAT("Entity ID ",RIGHT(Table3[[#This Row],[Sponsor_1_num]],8)," not found")),"")</f>
        <v/>
      </c>
      <c r="O507" t="str">
        <f>IF(LEN(I507)&lt;&gt;0,_xlfn.XLOOKUP(I507,[1]!Entities[ID_with_x],[1]!Entities[Name_w_County],_xlfn.CONCAT("Entity ID ",RIGHT(Table3[[#This Row],[Sponsor_1_num]],8)," not found")),"")</f>
        <v/>
      </c>
      <c r="P507" t="str">
        <f>IF(LEN(J507)&lt;&gt;0,_xlfn.XLOOKUP(J507,[1]!Entities[ID_with_x],[1]!Entities[Name_w_County],_xlfn.CONCAT("Entity ID ",RIGHT(Table3[[#This Row],[Sponsor_1_num]],8)," not found")),"")</f>
        <v/>
      </c>
      <c r="Q507" t="str">
        <f>IF(LEN(K507)&gt;0,_xlfn.TEXTJOIN(", ",TRUE,K507:P507),Table3[[#This Row],[SPONSOR_LIST]])</f>
        <v>Borden County</v>
      </c>
    </row>
    <row r="508" spans="1:17" x14ac:dyDescent="0.25">
      <c r="A508" s="304" t="s">
        <v>446</v>
      </c>
      <c r="B508" t="s">
        <v>434</v>
      </c>
      <c r="C508" t="str">
        <f t="shared" si="8"/>
        <v>x00000115</v>
      </c>
      <c r="D508" t="str">
        <f>SUBSTITUTE(SUBSTITUTE(Table3[[#This Row],[Sponsor_list_tranform]],",",",x")," ","")</f>
        <v>x00000115</v>
      </c>
      <c r="E508" t="s">
        <v>11726</v>
      </c>
      <c r="K508" t="str">
        <f>IF(LEN(E508)&lt;&gt;0,_xlfn.XLOOKUP(E508,[1]!Entities[ID_with_x],[1]!Entities[Name_w_County],_xlfn.CONCAT("Entity ID ",RIGHT(Table3[[#This Row],[Sponsor_1_num]],8)," not found")),"")</f>
        <v>Borden County</v>
      </c>
      <c r="L508" t="str">
        <f>IF(LEN(F508)&lt;&gt;0,_xlfn.XLOOKUP(F508,[1]!Entities[ID_with_x],[1]!Entities[Name_w_County],_xlfn.CONCAT("Entity ID ",RIGHT(Table3[[#This Row],[Sponsor_1_num]],8)," not found")),"")</f>
        <v/>
      </c>
      <c r="M508" t="str">
        <f>IF(LEN(G508)&lt;&gt;0,_xlfn.XLOOKUP(G508,[1]!Entities[ID_with_x],[1]!Entities[Name_w_County],_xlfn.CONCAT("Entity ID ",RIGHT(Table3[[#This Row],[Sponsor_1_num]],8)," not found")),"")</f>
        <v/>
      </c>
      <c r="N508" t="str">
        <f>IF(LEN(H508)&lt;&gt;0,_xlfn.XLOOKUP(H508,[1]!Entities[ID_with_x],[1]!Entities[Name_w_County],_xlfn.CONCAT("Entity ID ",RIGHT(Table3[[#This Row],[Sponsor_1_num]],8)," not found")),"")</f>
        <v/>
      </c>
      <c r="O508" t="str">
        <f>IF(LEN(I508)&lt;&gt;0,_xlfn.XLOOKUP(I508,[1]!Entities[ID_with_x],[1]!Entities[Name_w_County],_xlfn.CONCAT("Entity ID ",RIGHT(Table3[[#This Row],[Sponsor_1_num]],8)," not found")),"")</f>
        <v/>
      </c>
      <c r="P508" t="str">
        <f>IF(LEN(J508)&lt;&gt;0,_xlfn.XLOOKUP(J508,[1]!Entities[ID_with_x],[1]!Entities[Name_w_County],_xlfn.CONCAT("Entity ID ",RIGHT(Table3[[#This Row],[Sponsor_1_num]],8)," not found")),"")</f>
        <v/>
      </c>
      <c r="Q508" t="str">
        <f>IF(LEN(K508)&gt;0,_xlfn.TEXTJOIN(", ",TRUE,K508:P508),Table3[[#This Row],[SPONSOR_LIST]])</f>
        <v>Borden County</v>
      </c>
    </row>
    <row r="509" spans="1:17" x14ac:dyDescent="0.25">
      <c r="A509" s="304" t="s">
        <v>449</v>
      </c>
      <c r="B509" t="s">
        <v>434</v>
      </c>
      <c r="C509" t="str">
        <f t="shared" si="8"/>
        <v>x00000115</v>
      </c>
      <c r="D509" t="str">
        <f>SUBSTITUTE(SUBSTITUTE(Table3[[#This Row],[Sponsor_list_tranform]],",",",x")," ","")</f>
        <v>x00000115</v>
      </c>
      <c r="E509" t="s">
        <v>11726</v>
      </c>
      <c r="K509" t="str">
        <f>IF(LEN(E509)&lt;&gt;0,_xlfn.XLOOKUP(E509,[1]!Entities[ID_with_x],[1]!Entities[Name_w_County],_xlfn.CONCAT("Entity ID ",RIGHT(Table3[[#This Row],[Sponsor_1_num]],8)," not found")),"")</f>
        <v>Borden County</v>
      </c>
      <c r="L509" t="str">
        <f>IF(LEN(F509)&lt;&gt;0,_xlfn.XLOOKUP(F509,[1]!Entities[ID_with_x],[1]!Entities[Name_w_County],_xlfn.CONCAT("Entity ID ",RIGHT(Table3[[#This Row],[Sponsor_1_num]],8)," not found")),"")</f>
        <v/>
      </c>
      <c r="M509" t="str">
        <f>IF(LEN(G509)&lt;&gt;0,_xlfn.XLOOKUP(G509,[1]!Entities[ID_with_x],[1]!Entities[Name_w_County],_xlfn.CONCAT("Entity ID ",RIGHT(Table3[[#This Row],[Sponsor_1_num]],8)," not found")),"")</f>
        <v/>
      </c>
      <c r="N509" t="str">
        <f>IF(LEN(H509)&lt;&gt;0,_xlfn.XLOOKUP(H509,[1]!Entities[ID_with_x],[1]!Entities[Name_w_County],_xlfn.CONCAT("Entity ID ",RIGHT(Table3[[#This Row],[Sponsor_1_num]],8)," not found")),"")</f>
        <v/>
      </c>
      <c r="O509" t="str">
        <f>IF(LEN(I509)&lt;&gt;0,_xlfn.XLOOKUP(I509,[1]!Entities[ID_with_x],[1]!Entities[Name_w_County],_xlfn.CONCAT("Entity ID ",RIGHT(Table3[[#This Row],[Sponsor_1_num]],8)," not found")),"")</f>
        <v/>
      </c>
      <c r="P509" t="str">
        <f>IF(LEN(J509)&lt;&gt;0,_xlfn.XLOOKUP(J509,[1]!Entities[ID_with_x],[1]!Entities[Name_w_County],_xlfn.CONCAT("Entity ID ",RIGHT(Table3[[#This Row],[Sponsor_1_num]],8)," not found")),"")</f>
        <v/>
      </c>
      <c r="Q509" t="str">
        <f>IF(LEN(K509)&gt;0,_xlfn.TEXTJOIN(", ",TRUE,K509:P509),Table3[[#This Row],[SPONSOR_LIST]])</f>
        <v>Borden County</v>
      </c>
    </row>
    <row r="510" spans="1:17" x14ac:dyDescent="0.25">
      <c r="A510" s="304" t="s">
        <v>453</v>
      </c>
      <c r="B510" t="s">
        <v>434</v>
      </c>
      <c r="C510" t="str">
        <f t="shared" si="8"/>
        <v>x00000115</v>
      </c>
      <c r="D510" t="str">
        <f>SUBSTITUTE(SUBSTITUTE(Table3[[#This Row],[Sponsor_list_tranform]],",",",x")," ","")</f>
        <v>x00000115</v>
      </c>
      <c r="E510" t="s">
        <v>11726</v>
      </c>
      <c r="K510" t="str">
        <f>IF(LEN(E510)&lt;&gt;0,_xlfn.XLOOKUP(E510,[1]!Entities[ID_with_x],[1]!Entities[Name_w_County],_xlfn.CONCAT("Entity ID ",RIGHT(Table3[[#This Row],[Sponsor_1_num]],8)," not found")),"")</f>
        <v>Borden County</v>
      </c>
      <c r="L510" t="str">
        <f>IF(LEN(F510)&lt;&gt;0,_xlfn.XLOOKUP(F510,[1]!Entities[ID_with_x],[1]!Entities[Name_w_County],_xlfn.CONCAT("Entity ID ",RIGHT(Table3[[#This Row],[Sponsor_1_num]],8)," not found")),"")</f>
        <v/>
      </c>
      <c r="M510" t="str">
        <f>IF(LEN(G510)&lt;&gt;0,_xlfn.XLOOKUP(G510,[1]!Entities[ID_with_x],[1]!Entities[Name_w_County],_xlfn.CONCAT("Entity ID ",RIGHT(Table3[[#This Row],[Sponsor_1_num]],8)," not found")),"")</f>
        <v/>
      </c>
      <c r="N510" t="str">
        <f>IF(LEN(H510)&lt;&gt;0,_xlfn.XLOOKUP(H510,[1]!Entities[ID_with_x],[1]!Entities[Name_w_County],_xlfn.CONCAT("Entity ID ",RIGHT(Table3[[#This Row],[Sponsor_1_num]],8)," not found")),"")</f>
        <v/>
      </c>
      <c r="O510" t="str">
        <f>IF(LEN(I510)&lt;&gt;0,_xlfn.XLOOKUP(I510,[1]!Entities[ID_with_x],[1]!Entities[Name_w_County],_xlfn.CONCAT("Entity ID ",RIGHT(Table3[[#This Row],[Sponsor_1_num]],8)," not found")),"")</f>
        <v/>
      </c>
      <c r="P510" t="str">
        <f>IF(LEN(J510)&lt;&gt;0,_xlfn.XLOOKUP(J510,[1]!Entities[ID_with_x],[1]!Entities[Name_w_County],_xlfn.CONCAT("Entity ID ",RIGHT(Table3[[#This Row],[Sponsor_1_num]],8)," not found")),"")</f>
        <v/>
      </c>
      <c r="Q510" t="str">
        <f>IF(LEN(K510)&gt;0,_xlfn.TEXTJOIN(", ",TRUE,K510:P510),Table3[[#This Row],[SPONSOR_LIST]])</f>
        <v>Borden County</v>
      </c>
    </row>
    <row r="511" spans="1:17" x14ac:dyDescent="0.25">
      <c r="A511" s="304" t="s">
        <v>456</v>
      </c>
      <c r="B511" t="s">
        <v>423</v>
      </c>
      <c r="C511" t="str">
        <f t="shared" si="8"/>
        <v>x00000172</v>
      </c>
      <c r="D511" t="str">
        <f>SUBSTITUTE(SUBSTITUTE(Table3[[#This Row],[Sponsor_list_tranform]],",",",x")," ","")</f>
        <v>x00000172</v>
      </c>
      <c r="E511" t="s">
        <v>11729</v>
      </c>
      <c r="K511" t="str">
        <f>IF(LEN(E511)&lt;&gt;0,_xlfn.XLOOKUP(E511,[1]!Entities[ID_with_x],[1]!Entities[Name_w_County],_xlfn.CONCAT("Entity ID ",RIGHT(Table3[[#This Row],[Sponsor_1_num]],8)," not found")),"")</f>
        <v>Mitchell County</v>
      </c>
      <c r="L511" t="str">
        <f>IF(LEN(F511)&lt;&gt;0,_xlfn.XLOOKUP(F511,[1]!Entities[ID_with_x],[1]!Entities[Name_w_County],_xlfn.CONCAT("Entity ID ",RIGHT(Table3[[#This Row],[Sponsor_1_num]],8)," not found")),"")</f>
        <v/>
      </c>
      <c r="M511" t="str">
        <f>IF(LEN(G511)&lt;&gt;0,_xlfn.XLOOKUP(G511,[1]!Entities[ID_with_x],[1]!Entities[Name_w_County],_xlfn.CONCAT("Entity ID ",RIGHT(Table3[[#This Row],[Sponsor_1_num]],8)," not found")),"")</f>
        <v/>
      </c>
      <c r="N511" t="str">
        <f>IF(LEN(H511)&lt;&gt;0,_xlfn.XLOOKUP(H511,[1]!Entities[ID_with_x],[1]!Entities[Name_w_County],_xlfn.CONCAT("Entity ID ",RIGHT(Table3[[#This Row],[Sponsor_1_num]],8)," not found")),"")</f>
        <v/>
      </c>
      <c r="O511" t="str">
        <f>IF(LEN(I511)&lt;&gt;0,_xlfn.XLOOKUP(I511,[1]!Entities[ID_with_x],[1]!Entities[Name_w_County],_xlfn.CONCAT("Entity ID ",RIGHT(Table3[[#This Row],[Sponsor_1_num]],8)," not found")),"")</f>
        <v/>
      </c>
      <c r="P511" t="str">
        <f>IF(LEN(J511)&lt;&gt;0,_xlfn.XLOOKUP(J511,[1]!Entities[ID_with_x],[1]!Entities[Name_w_County],_xlfn.CONCAT("Entity ID ",RIGHT(Table3[[#This Row],[Sponsor_1_num]],8)," not found")),"")</f>
        <v/>
      </c>
      <c r="Q511" t="str">
        <f>IF(LEN(K511)&gt;0,_xlfn.TEXTJOIN(", ",TRUE,K511:P511),Table3[[#This Row],[SPONSOR_LIST]])</f>
        <v>Mitchell County</v>
      </c>
    </row>
    <row r="512" spans="1:17" x14ac:dyDescent="0.25">
      <c r="A512" s="304" t="s">
        <v>463</v>
      </c>
      <c r="B512" t="s">
        <v>470</v>
      </c>
      <c r="C512" t="str">
        <f t="shared" si="8"/>
        <v>x09000147</v>
      </c>
      <c r="D512" t="str">
        <f>SUBSTITUTE(SUBSTITUTE(Table3[[#This Row],[Sponsor_list_tranform]],",",",x")," ","")</f>
        <v>x09000147</v>
      </c>
      <c r="E512" t="s">
        <v>11734</v>
      </c>
      <c r="K512" t="str">
        <f>IF(LEN(E512)&lt;&gt;0,_xlfn.XLOOKUP(E512,[1]!Entities[ID_with_x],[1]!Entities[Name_w_County],_xlfn.CONCAT("Entity ID ",RIGHT(Table3[[#This Row],[Sponsor_1_num]],8)," not found")),"")</f>
        <v>Coke County</v>
      </c>
      <c r="L512" t="str">
        <f>IF(LEN(F512)&lt;&gt;0,_xlfn.XLOOKUP(F512,[1]!Entities[ID_with_x],[1]!Entities[Name_w_County],_xlfn.CONCAT("Entity ID ",RIGHT(Table3[[#This Row],[Sponsor_1_num]],8)," not found")),"")</f>
        <v/>
      </c>
      <c r="M512" t="str">
        <f>IF(LEN(G512)&lt;&gt;0,_xlfn.XLOOKUP(G512,[1]!Entities[ID_with_x],[1]!Entities[Name_w_County],_xlfn.CONCAT("Entity ID ",RIGHT(Table3[[#This Row],[Sponsor_1_num]],8)," not found")),"")</f>
        <v/>
      </c>
      <c r="N512" t="str">
        <f>IF(LEN(H512)&lt;&gt;0,_xlfn.XLOOKUP(H512,[1]!Entities[ID_with_x],[1]!Entities[Name_w_County],_xlfn.CONCAT("Entity ID ",RIGHT(Table3[[#This Row],[Sponsor_1_num]],8)," not found")),"")</f>
        <v/>
      </c>
      <c r="O512" t="str">
        <f>IF(LEN(I512)&lt;&gt;0,_xlfn.XLOOKUP(I512,[1]!Entities[ID_with_x],[1]!Entities[Name_w_County],_xlfn.CONCAT("Entity ID ",RIGHT(Table3[[#This Row],[Sponsor_1_num]],8)," not found")),"")</f>
        <v/>
      </c>
      <c r="P512" t="str">
        <f>IF(LEN(J512)&lt;&gt;0,_xlfn.XLOOKUP(J512,[1]!Entities[ID_with_x],[1]!Entities[Name_w_County],_xlfn.CONCAT("Entity ID ",RIGHT(Table3[[#This Row],[Sponsor_1_num]],8)," not found")),"")</f>
        <v/>
      </c>
      <c r="Q512" t="str">
        <f>IF(LEN(K512)&gt;0,_xlfn.TEXTJOIN(", ",TRUE,K512:P512),Table3[[#This Row],[SPONSOR_LIST]])</f>
        <v>Coke County</v>
      </c>
    </row>
    <row r="513" spans="1:17" x14ac:dyDescent="0.25">
      <c r="A513" s="304" t="s">
        <v>472</v>
      </c>
      <c r="B513" t="s">
        <v>423</v>
      </c>
      <c r="C513" t="str">
        <f t="shared" si="8"/>
        <v>x00000172</v>
      </c>
      <c r="D513" t="str">
        <f>SUBSTITUTE(SUBSTITUTE(Table3[[#This Row],[Sponsor_list_tranform]],",",",x")," ","")</f>
        <v>x00000172</v>
      </c>
      <c r="E513" t="s">
        <v>11729</v>
      </c>
      <c r="K513" t="str">
        <f>IF(LEN(E513)&lt;&gt;0,_xlfn.XLOOKUP(E513,[1]!Entities[ID_with_x],[1]!Entities[Name_w_County],_xlfn.CONCAT("Entity ID ",RIGHT(Table3[[#This Row],[Sponsor_1_num]],8)," not found")),"")</f>
        <v>Mitchell County</v>
      </c>
      <c r="L513" t="str">
        <f>IF(LEN(F513)&lt;&gt;0,_xlfn.XLOOKUP(F513,[1]!Entities[ID_with_x],[1]!Entities[Name_w_County],_xlfn.CONCAT("Entity ID ",RIGHT(Table3[[#This Row],[Sponsor_1_num]],8)," not found")),"")</f>
        <v/>
      </c>
      <c r="M513" t="str">
        <f>IF(LEN(G513)&lt;&gt;0,_xlfn.XLOOKUP(G513,[1]!Entities[ID_with_x],[1]!Entities[Name_w_County],_xlfn.CONCAT("Entity ID ",RIGHT(Table3[[#This Row],[Sponsor_1_num]],8)," not found")),"")</f>
        <v/>
      </c>
      <c r="N513" t="str">
        <f>IF(LEN(H513)&lt;&gt;0,_xlfn.XLOOKUP(H513,[1]!Entities[ID_with_x],[1]!Entities[Name_w_County],_xlfn.CONCAT("Entity ID ",RIGHT(Table3[[#This Row],[Sponsor_1_num]],8)," not found")),"")</f>
        <v/>
      </c>
      <c r="O513" t="str">
        <f>IF(LEN(I513)&lt;&gt;0,_xlfn.XLOOKUP(I513,[1]!Entities[ID_with_x],[1]!Entities[Name_w_County],_xlfn.CONCAT("Entity ID ",RIGHT(Table3[[#This Row],[Sponsor_1_num]],8)," not found")),"")</f>
        <v/>
      </c>
      <c r="P513" t="str">
        <f>IF(LEN(J513)&lt;&gt;0,_xlfn.XLOOKUP(J513,[1]!Entities[ID_with_x],[1]!Entities[Name_w_County],_xlfn.CONCAT("Entity ID ",RIGHT(Table3[[#This Row],[Sponsor_1_num]],8)," not found")),"")</f>
        <v/>
      </c>
      <c r="Q513" t="str">
        <f>IF(LEN(K513)&gt;0,_xlfn.TEXTJOIN(", ",TRUE,K513:P513),Table3[[#This Row],[SPONSOR_LIST]])</f>
        <v>Mitchell County</v>
      </c>
    </row>
    <row r="514" spans="1:17" x14ac:dyDescent="0.25">
      <c r="A514" s="304" t="s">
        <v>479</v>
      </c>
      <c r="B514" t="s">
        <v>434</v>
      </c>
      <c r="C514" t="str">
        <f t="shared" si="8"/>
        <v>x00000115</v>
      </c>
      <c r="D514" t="str">
        <f>SUBSTITUTE(SUBSTITUTE(Table3[[#This Row],[Sponsor_list_tranform]],",",",x")," ","")</f>
        <v>x00000115</v>
      </c>
      <c r="E514" t="s">
        <v>11726</v>
      </c>
      <c r="K514" t="str">
        <f>IF(LEN(E514)&lt;&gt;0,_xlfn.XLOOKUP(E514,[1]!Entities[ID_with_x],[1]!Entities[Name_w_County],_xlfn.CONCAT("Entity ID ",RIGHT(Table3[[#This Row],[Sponsor_1_num]],8)," not found")),"")</f>
        <v>Borden County</v>
      </c>
      <c r="L514" t="str">
        <f>IF(LEN(F514)&lt;&gt;0,_xlfn.XLOOKUP(F514,[1]!Entities[ID_with_x],[1]!Entities[Name_w_County],_xlfn.CONCAT("Entity ID ",RIGHT(Table3[[#This Row],[Sponsor_1_num]],8)," not found")),"")</f>
        <v/>
      </c>
      <c r="M514" t="str">
        <f>IF(LEN(G514)&lt;&gt;0,_xlfn.XLOOKUP(G514,[1]!Entities[ID_with_x],[1]!Entities[Name_w_County],_xlfn.CONCAT("Entity ID ",RIGHT(Table3[[#This Row],[Sponsor_1_num]],8)," not found")),"")</f>
        <v/>
      </c>
      <c r="N514" t="str">
        <f>IF(LEN(H514)&lt;&gt;0,_xlfn.XLOOKUP(H514,[1]!Entities[ID_with_x],[1]!Entities[Name_w_County],_xlfn.CONCAT("Entity ID ",RIGHT(Table3[[#This Row],[Sponsor_1_num]],8)," not found")),"")</f>
        <v/>
      </c>
      <c r="O514" t="str">
        <f>IF(LEN(I514)&lt;&gt;0,_xlfn.XLOOKUP(I514,[1]!Entities[ID_with_x],[1]!Entities[Name_w_County],_xlfn.CONCAT("Entity ID ",RIGHT(Table3[[#This Row],[Sponsor_1_num]],8)," not found")),"")</f>
        <v/>
      </c>
      <c r="P514" t="str">
        <f>IF(LEN(J514)&lt;&gt;0,_xlfn.XLOOKUP(J514,[1]!Entities[ID_with_x],[1]!Entities[Name_w_County],_xlfn.CONCAT("Entity ID ",RIGHT(Table3[[#This Row],[Sponsor_1_num]],8)," not found")),"")</f>
        <v/>
      </c>
      <c r="Q514" t="str">
        <f>IF(LEN(K514)&gt;0,_xlfn.TEXTJOIN(", ",TRUE,K514:P514),Table3[[#This Row],[SPONSOR_LIST]])</f>
        <v>Borden County</v>
      </c>
    </row>
    <row r="515" spans="1:17" x14ac:dyDescent="0.25">
      <c r="A515" s="304" t="s">
        <v>487</v>
      </c>
      <c r="B515" t="s">
        <v>434</v>
      </c>
      <c r="C515" t="str">
        <f t="shared" si="8"/>
        <v>x00000115</v>
      </c>
      <c r="D515" t="str">
        <f>SUBSTITUTE(SUBSTITUTE(Table3[[#This Row],[Sponsor_list_tranform]],",",",x")," ","")</f>
        <v>x00000115</v>
      </c>
      <c r="E515" t="s">
        <v>11726</v>
      </c>
      <c r="K515" t="str">
        <f>IF(LEN(E515)&lt;&gt;0,_xlfn.XLOOKUP(E515,[1]!Entities[ID_with_x],[1]!Entities[Name_w_County],_xlfn.CONCAT("Entity ID ",RIGHT(Table3[[#This Row],[Sponsor_1_num]],8)," not found")),"")</f>
        <v>Borden County</v>
      </c>
      <c r="L515" t="str">
        <f>IF(LEN(F515)&lt;&gt;0,_xlfn.XLOOKUP(F515,[1]!Entities[ID_with_x],[1]!Entities[Name_w_County],_xlfn.CONCAT("Entity ID ",RIGHT(Table3[[#This Row],[Sponsor_1_num]],8)," not found")),"")</f>
        <v/>
      </c>
      <c r="M515" t="str">
        <f>IF(LEN(G515)&lt;&gt;0,_xlfn.XLOOKUP(G515,[1]!Entities[ID_with_x],[1]!Entities[Name_w_County],_xlfn.CONCAT("Entity ID ",RIGHT(Table3[[#This Row],[Sponsor_1_num]],8)," not found")),"")</f>
        <v/>
      </c>
      <c r="N515" t="str">
        <f>IF(LEN(H515)&lt;&gt;0,_xlfn.XLOOKUP(H515,[1]!Entities[ID_with_x],[1]!Entities[Name_w_County],_xlfn.CONCAT("Entity ID ",RIGHT(Table3[[#This Row],[Sponsor_1_num]],8)," not found")),"")</f>
        <v/>
      </c>
      <c r="O515" t="str">
        <f>IF(LEN(I515)&lt;&gt;0,_xlfn.XLOOKUP(I515,[1]!Entities[ID_with_x],[1]!Entities[Name_w_County],_xlfn.CONCAT("Entity ID ",RIGHT(Table3[[#This Row],[Sponsor_1_num]],8)," not found")),"")</f>
        <v/>
      </c>
      <c r="P515" t="str">
        <f>IF(LEN(J515)&lt;&gt;0,_xlfn.XLOOKUP(J515,[1]!Entities[ID_with_x],[1]!Entities[Name_w_County],_xlfn.CONCAT("Entity ID ",RIGHT(Table3[[#This Row],[Sponsor_1_num]],8)," not found")),"")</f>
        <v/>
      </c>
      <c r="Q515" t="str">
        <f>IF(LEN(K515)&gt;0,_xlfn.TEXTJOIN(", ",TRUE,K515:P515),Table3[[#This Row],[SPONSOR_LIST]])</f>
        <v>Borden County</v>
      </c>
    </row>
    <row r="516" spans="1:17" x14ac:dyDescent="0.25">
      <c r="A516" s="304" t="s">
        <v>495</v>
      </c>
      <c r="B516" t="s">
        <v>434</v>
      </c>
      <c r="C516" t="str">
        <f t="shared" si="8"/>
        <v>x00000115</v>
      </c>
      <c r="D516" t="str">
        <f>SUBSTITUTE(SUBSTITUTE(Table3[[#This Row],[Sponsor_list_tranform]],",",",x")," ","")</f>
        <v>x00000115</v>
      </c>
      <c r="E516" t="s">
        <v>11726</v>
      </c>
      <c r="K516" t="str">
        <f>IF(LEN(E516)&lt;&gt;0,_xlfn.XLOOKUP(E516,[1]!Entities[ID_with_x],[1]!Entities[Name_w_County],_xlfn.CONCAT("Entity ID ",RIGHT(Table3[[#This Row],[Sponsor_1_num]],8)," not found")),"")</f>
        <v>Borden County</v>
      </c>
      <c r="L516" t="str">
        <f>IF(LEN(F516)&lt;&gt;0,_xlfn.XLOOKUP(F516,[1]!Entities[ID_with_x],[1]!Entities[Name_w_County],_xlfn.CONCAT("Entity ID ",RIGHT(Table3[[#This Row],[Sponsor_1_num]],8)," not found")),"")</f>
        <v/>
      </c>
      <c r="M516" t="str">
        <f>IF(LEN(G516)&lt;&gt;0,_xlfn.XLOOKUP(G516,[1]!Entities[ID_with_x],[1]!Entities[Name_w_County],_xlfn.CONCAT("Entity ID ",RIGHT(Table3[[#This Row],[Sponsor_1_num]],8)," not found")),"")</f>
        <v/>
      </c>
      <c r="N516" t="str">
        <f>IF(LEN(H516)&lt;&gt;0,_xlfn.XLOOKUP(H516,[1]!Entities[ID_with_x],[1]!Entities[Name_w_County],_xlfn.CONCAT("Entity ID ",RIGHT(Table3[[#This Row],[Sponsor_1_num]],8)," not found")),"")</f>
        <v/>
      </c>
      <c r="O516" t="str">
        <f>IF(LEN(I516)&lt;&gt;0,_xlfn.XLOOKUP(I516,[1]!Entities[ID_with_x],[1]!Entities[Name_w_County],_xlfn.CONCAT("Entity ID ",RIGHT(Table3[[#This Row],[Sponsor_1_num]],8)," not found")),"")</f>
        <v/>
      </c>
      <c r="P516" t="str">
        <f>IF(LEN(J516)&lt;&gt;0,_xlfn.XLOOKUP(J516,[1]!Entities[ID_with_x],[1]!Entities[Name_w_County],_xlfn.CONCAT("Entity ID ",RIGHT(Table3[[#This Row],[Sponsor_1_num]],8)," not found")),"")</f>
        <v/>
      </c>
      <c r="Q516" t="str">
        <f>IF(LEN(K516)&gt;0,_xlfn.TEXTJOIN(", ",TRUE,K516:P516),Table3[[#This Row],[SPONSOR_LIST]])</f>
        <v>Borden County</v>
      </c>
    </row>
    <row r="517" spans="1:17" x14ac:dyDescent="0.25">
      <c r="A517" s="304" t="s">
        <v>497</v>
      </c>
      <c r="B517" t="s">
        <v>434</v>
      </c>
      <c r="C517" t="str">
        <f t="shared" si="8"/>
        <v>x00000115</v>
      </c>
      <c r="D517" t="str">
        <f>SUBSTITUTE(SUBSTITUTE(Table3[[#This Row],[Sponsor_list_tranform]],",",",x")," ","")</f>
        <v>x00000115</v>
      </c>
      <c r="E517" t="s">
        <v>11726</v>
      </c>
      <c r="K517" t="str">
        <f>IF(LEN(E517)&lt;&gt;0,_xlfn.XLOOKUP(E517,[1]!Entities[ID_with_x],[1]!Entities[Name_w_County],_xlfn.CONCAT("Entity ID ",RIGHT(Table3[[#This Row],[Sponsor_1_num]],8)," not found")),"")</f>
        <v>Borden County</v>
      </c>
      <c r="L517" t="str">
        <f>IF(LEN(F517)&lt;&gt;0,_xlfn.XLOOKUP(F517,[1]!Entities[ID_with_x],[1]!Entities[Name_w_County],_xlfn.CONCAT("Entity ID ",RIGHT(Table3[[#This Row],[Sponsor_1_num]],8)," not found")),"")</f>
        <v/>
      </c>
      <c r="M517" t="str">
        <f>IF(LEN(G517)&lt;&gt;0,_xlfn.XLOOKUP(G517,[1]!Entities[ID_with_x],[1]!Entities[Name_w_County],_xlfn.CONCAT("Entity ID ",RIGHT(Table3[[#This Row],[Sponsor_1_num]],8)," not found")),"")</f>
        <v/>
      </c>
      <c r="N517" t="str">
        <f>IF(LEN(H517)&lt;&gt;0,_xlfn.XLOOKUP(H517,[1]!Entities[ID_with_x],[1]!Entities[Name_w_County],_xlfn.CONCAT("Entity ID ",RIGHT(Table3[[#This Row],[Sponsor_1_num]],8)," not found")),"")</f>
        <v/>
      </c>
      <c r="O517" t="str">
        <f>IF(LEN(I517)&lt;&gt;0,_xlfn.XLOOKUP(I517,[1]!Entities[ID_with_x],[1]!Entities[Name_w_County],_xlfn.CONCAT("Entity ID ",RIGHT(Table3[[#This Row],[Sponsor_1_num]],8)," not found")),"")</f>
        <v/>
      </c>
      <c r="P517" t="str">
        <f>IF(LEN(J517)&lt;&gt;0,_xlfn.XLOOKUP(J517,[1]!Entities[ID_with_x],[1]!Entities[Name_w_County],_xlfn.CONCAT("Entity ID ",RIGHT(Table3[[#This Row],[Sponsor_1_num]],8)," not found")),"")</f>
        <v/>
      </c>
      <c r="Q517" t="str">
        <f>IF(LEN(K517)&gt;0,_xlfn.TEXTJOIN(", ",TRUE,K517:P517),Table3[[#This Row],[SPONSOR_LIST]])</f>
        <v>Borden County</v>
      </c>
    </row>
    <row r="518" spans="1:17" x14ac:dyDescent="0.25">
      <c r="A518" s="304" t="s">
        <v>501</v>
      </c>
      <c r="B518" t="s">
        <v>508</v>
      </c>
      <c r="C518" t="str">
        <f t="shared" ref="C518:C581" si="9">IF(ISNUMBER(VALUE(LEFT(B518,7))),_xlfn.CONCAT("x",TEXT(SUBSTITUTE(B518,",",", "),"00000000")),"")</f>
        <v>x00000102</v>
      </c>
      <c r="D518" t="str">
        <f>SUBSTITUTE(SUBSTITUTE(Table3[[#This Row],[Sponsor_list_tranform]],",",",x")," ","")</f>
        <v>x00000102</v>
      </c>
      <c r="E518" t="s">
        <v>11725</v>
      </c>
      <c r="K518" t="str">
        <f>IF(LEN(E518)&lt;&gt;0,_xlfn.XLOOKUP(E518,[1]!Entities[ID_with_x],[1]!Entities[Name_w_County],_xlfn.CONCAT("Entity ID ",RIGHT(Table3[[#This Row],[Sponsor_1_num]],8)," not found")),"")</f>
        <v>Andrews County</v>
      </c>
      <c r="L518" t="str">
        <f>IF(LEN(F518)&lt;&gt;0,_xlfn.XLOOKUP(F518,[1]!Entities[ID_with_x],[1]!Entities[Name_w_County],_xlfn.CONCAT("Entity ID ",RIGHT(Table3[[#This Row],[Sponsor_1_num]],8)," not found")),"")</f>
        <v/>
      </c>
      <c r="M518" t="str">
        <f>IF(LEN(G518)&lt;&gt;0,_xlfn.XLOOKUP(G518,[1]!Entities[ID_with_x],[1]!Entities[Name_w_County],_xlfn.CONCAT("Entity ID ",RIGHT(Table3[[#This Row],[Sponsor_1_num]],8)," not found")),"")</f>
        <v/>
      </c>
      <c r="N518" t="str">
        <f>IF(LEN(H518)&lt;&gt;0,_xlfn.XLOOKUP(H518,[1]!Entities[ID_with_x],[1]!Entities[Name_w_County],_xlfn.CONCAT("Entity ID ",RIGHT(Table3[[#This Row],[Sponsor_1_num]],8)," not found")),"")</f>
        <v/>
      </c>
      <c r="O518" t="str">
        <f>IF(LEN(I518)&lt;&gt;0,_xlfn.XLOOKUP(I518,[1]!Entities[ID_with_x],[1]!Entities[Name_w_County],_xlfn.CONCAT("Entity ID ",RIGHT(Table3[[#This Row],[Sponsor_1_num]],8)," not found")),"")</f>
        <v/>
      </c>
      <c r="P518" t="str">
        <f>IF(LEN(J518)&lt;&gt;0,_xlfn.XLOOKUP(J518,[1]!Entities[ID_with_x],[1]!Entities[Name_w_County],_xlfn.CONCAT("Entity ID ",RIGHT(Table3[[#This Row],[Sponsor_1_num]],8)," not found")),"")</f>
        <v/>
      </c>
      <c r="Q518" t="str">
        <f>IF(LEN(K518)&gt;0,_xlfn.TEXTJOIN(", ",TRUE,K518:P518),Table3[[#This Row],[SPONSOR_LIST]])</f>
        <v>Andrews County</v>
      </c>
    </row>
    <row r="519" spans="1:17" x14ac:dyDescent="0.25">
      <c r="A519" s="304" t="s">
        <v>510</v>
      </c>
      <c r="B519" t="s">
        <v>517</v>
      </c>
      <c r="C519" t="str">
        <f t="shared" si="9"/>
        <v>x00000117</v>
      </c>
      <c r="D519" t="str">
        <f>SUBSTITUTE(SUBSTITUTE(Table3[[#This Row],[Sponsor_list_tranform]],",",",x")," ","")</f>
        <v>x00000117</v>
      </c>
      <c r="E519" t="s">
        <v>11728</v>
      </c>
      <c r="K519" t="str">
        <f>IF(LEN(E519)&lt;&gt;0,_xlfn.XLOOKUP(E519,[1]!Entities[ID_with_x],[1]!Entities[Name_w_County],_xlfn.CONCAT("Entity ID ",RIGHT(Table3[[#This Row],[Sponsor_1_num]],8)," not found")),"")</f>
        <v>Dawson County</v>
      </c>
      <c r="L519" t="str">
        <f>IF(LEN(F519)&lt;&gt;0,_xlfn.XLOOKUP(F519,[1]!Entities[ID_with_x],[1]!Entities[Name_w_County],_xlfn.CONCAT("Entity ID ",RIGHT(Table3[[#This Row],[Sponsor_1_num]],8)," not found")),"")</f>
        <v/>
      </c>
      <c r="M519" t="str">
        <f>IF(LEN(G519)&lt;&gt;0,_xlfn.XLOOKUP(G519,[1]!Entities[ID_with_x],[1]!Entities[Name_w_County],_xlfn.CONCAT("Entity ID ",RIGHT(Table3[[#This Row],[Sponsor_1_num]],8)," not found")),"")</f>
        <v/>
      </c>
      <c r="N519" t="str">
        <f>IF(LEN(H519)&lt;&gt;0,_xlfn.XLOOKUP(H519,[1]!Entities[ID_with_x],[1]!Entities[Name_w_County],_xlfn.CONCAT("Entity ID ",RIGHT(Table3[[#This Row],[Sponsor_1_num]],8)," not found")),"")</f>
        <v/>
      </c>
      <c r="O519" t="str">
        <f>IF(LEN(I519)&lt;&gt;0,_xlfn.XLOOKUP(I519,[1]!Entities[ID_with_x],[1]!Entities[Name_w_County],_xlfn.CONCAT("Entity ID ",RIGHT(Table3[[#This Row],[Sponsor_1_num]],8)," not found")),"")</f>
        <v/>
      </c>
      <c r="P519" t="str">
        <f>IF(LEN(J519)&lt;&gt;0,_xlfn.XLOOKUP(J519,[1]!Entities[ID_with_x],[1]!Entities[Name_w_County],_xlfn.CONCAT("Entity ID ",RIGHT(Table3[[#This Row],[Sponsor_1_num]],8)," not found")),"")</f>
        <v/>
      </c>
      <c r="Q519" t="str">
        <f>IF(LEN(K519)&gt;0,_xlfn.TEXTJOIN(", ",TRUE,K519:P519),Table3[[#This Row],[SPONSOR_LIST]])</f>
        <v>Dawson County</v>
      </c>
    </row>
    <row r="520" spans="1:17" x14ac:dyDescent="0.25">
      <c r="A520" s="304" t="s">
        <v>519</v>
      </c>
      <c r="B520" t="s">
        <v>508</v>
      </c>
      <c r="C520" t="str">
        <f t="shared" si="9"/>
        <v>x00000102</v>
      </c>
      <c r="D520" t="str">
        <f>SUBSTITUTE(SUBSTITUTE(Table3[[#This Row],[Sponsor_list_tranform]],",",",x")," ","")</f>
        <v>x00000102</v>
      </c>
      <c r="E520" t="s">
        <v>11725</v>
      </c>
      <c r="K520" t="str">
        <f>IF(LEN(E520)&lt;&gt;0,_xlfn.XLOOKUP(E520,[1]!Entities[ID_with_x],[1]!Entities[Name_w_County],_xlfn.CONCAT("Entity ID ",RIGHT(Table3[[#This Row],[Sponsor_1_num]],8)," not found")),"")</f>
        <v>Andrews County</v>
      </c>
      <c r="L520" t="str">
        <f>IF(LEN(F520)&lt;&gt;0,_xlfn.XLOOKUP(F520,[1]!Entities[ID_with_x],[1]!Entities[Name_w_County],_xlfn.CONCAT("Entity ID ",RIGHT(Table3[[#This Row],[Sponsor_1_num]],8)," not found")),"")</f>
        <v/>
      </c>
      <c r="M520" t="str">
        <f>IF(LEN(G520)&lt;&gt;0,_xlfn.XLOOKUP(G520,[1]!Entities[ID_with_x],[1]!Entities[Name_w_County],_xlfn.CONCAT("Entity ID ",RIGHT(Table3[[#This Row],[Sponsor_1_num]],8)," not found")),"")</f>
        <v/>
      </c>
      <c r="N520" t="str">
        <f>IF(LEN(H520)&lt;&gt;0,_xlfn.XLOOKUP(H520,[1]!Entities[ID_with_x],[1]!Entities[Name_w_County],_xlfn.CONCAT("Entity ID ",RIGHT(Table3[[#This Row],[Sponsor_1_num]],8)," not found")),"")</f>
        <v/>
      </c>
      <c r="O520" t="str">
        <f>IF(LEN(I520)&lt;&gt;0,_xlfn.XLOOKUP(I520,[1]!Entities[ID_with_x],[1]!Entities[Name_w_County],_xlfn.CONCAT("Entity ID ",RIGHT(Table3[[#This Row],[Sponsor_1_num]],8)," not found")),"")</f>
        <v/>
      </c>
      <c r="P520" t="str">
        <f>IF(LEN(J520)&lt;&gt;0,_xlfn.XLOOKUP(J520,[1]!Entities[ID_with_x],[1]!Entities[Name_w_County],_xlfn.CONCAT("Entity ID ",RIGHT(Table3[[#This Row],[Sponsor_1_num]],8)," not found")),"")</f>
        <v/>
      </c>
      <c r="Q520" t="str">
        <f>IF(LEN(K520)&gt;0,_xlfn.TEXTJOIN(", ",TRUE,K520:P520),Table3[[#This Row],[SPONSOR_LIST]])</f>
        <v>Andrews County</v>
      </c>
    </row>
    <row r="521" spans="1:17" x14ac:dyDescent="0.25">
      <c r="A521" s="304" t="s">
        <v>526</v>
      </c>
      <c r="B521" t="s">
        <v>532</v>
      </c>
      <c r="C521" t="str">
        <f t="shared" si="9"/>
        <v>x00000205</v>
      </c>
      <c r="D521" t="str">
        <f>SUBSTITUTE(SUBSTITUTE(Table3[[#This Row],[Sponsor_list_tranform]],",",",x")," ","")</f>
        <v>x00000205</v>
      </c>
      <c r="E521" t="s">
        <v>11727</v>
      </c>
      <c r="K521" t="str">
        <f>IF(LEN(E521)&lt;&gt;0,_xlfn.XLOOKUP(E521,[1]!Entities[ID_with_x],[1]!Entities[Name_w_County],_xlfn.CONCAT("Entity ID ",RIGHT(Table3[[#This Row],[Sponsor_1_num]],8)," not found")),"")</f>
        <v>Terry County</v>
      </c>
      <c r="L521" t="str">
        <f>IF(LEN(F521)&lt;&gt;0,_xlfn.XLOOKUP(F521,[1]!Entities[ID_with_x],[1]!Entities[Name_w_County],_xlfn.CONCAT("Entity ID ",RIGHT(Table3[[#This Row],[Sponsor_1_num]],8)," not found")),"")</f>
        <v/>
      </c>
      <c r="M521" t="str">
        <f>IF(LEN(G521)&lt;&gt;0,_xlfn.XLOOKUP(G521,[1]!Entities[ID_with_x],[1]!Entities[Name_w_County],_xlfn.CONCAT("Entity ID ",RIGHT(Table3[[#This Row],[Sponsor_1_num]],8)," not found")),"")</f>
        <v/>
      </c>
      <c r="N521" t="str">
        <f>IF(LEN(H521)&lt;&gt;0,_xlfn.XLOOKUP(H521,[1]!Entities[ID_with_x],[1]!Entities[Name_w_County],_xlfn.CONCAT("Entity ID ",RIGHT(Table3[[#This Row],[Sponsor_1_num]],8)," not found")),"")</f>
        <v/>
      </c>
      <c r="O521" t="str">
        <f>IF(LEN(I521)&lt;&gt;0,_xlfn.XLOOKUP(I521,[1]!Entities[ID_with_x],[1]!Entities[Name_w_County],_xlfn.CONCAT("Entity ID ",RIGHT(Table3[[#This Row],[Sponsor_1_num]],8)," not found")),"")</f>
        <v/>
      </c>
      <c r="P521" t="str">
        <f>IF(LEN(J521)&lt;&gt;0,_xlfn.XLOOKUP(J521,[1]!Entities[ID_with_x],[1]!Entities[Name_w_County],_xlfn.CONCAT("Entity ID ",RIGHT(Table3[[#This Row],[Sponsor_1_num]],8)," not found")),"")</f>
        <v/>
      </c>
      <c r="Q521" t="str">
        <f>IF(LEN(K521)&gt;0,_xlfn.TEXTJOIN(", ",TRUE,K521:P521),Table3[[#This Row],[SPONSOR_LIST]])</f>
        <v>Terry County</v>
      </c>
    </row>
    <row r="522" spans="1:17" x14ac:dyDescent="0.25">
      <c r="A522" s="304" t="s">
        <v>534</v>
      </c>
      <c r="B522" t="s">
        <v>517</v>
      </c>
      <c r="C522" t="str">
        <f t="shared" si="9"/>
        <v>x00000117</v>
      </c>
      <c r="D522" t="str">
        <f>SUBSTITUTE(SUBSTITUTE(Table3[[#This Row],[Sponsor_list_tranform]],",",",x")," ","")</f>
        <v>x00000117</v>
      </c>
      <c r="E522" t="s">
        <v>11728</v>
      </c>
      <c r="K522" t="str">
        <f>IF(LEN(E522)&lt;&gt;0,_xlfn.XLOOKUP(E522,[1]!Entities[ID_with_x],[1]!Entities[Name_w_County],_xlfn.CONCAT("Entity ID ",RIGHT(Table3[[#This Row],[Sponsor_1_num]],8)," not found")),"")</f>
        <v>Dawson County</v>
      </c>
      <c r="L522" t="str">
        <f>IF(LEN(F522)&lt;&gt;0,_xlfn.XLOOKUP(F522,[1]!Entities[ID_with_x],[1]!Entities[Name_w_County],_xlfn.CONCAT("Entity ID ",RIGHT(Table3[[#This Row],[Sponsor_1_num]],8)," not found")),"")</f>
        <v/>
      </c>
      <c r="M522" t="str">
        <f>IF(LEN(G522)&lt;&gt;0,_xlfn.XLOOKUP(G522,[1]!Entities[ID_with_x],[1]!Entities[Name_w_County],_xlfn.CONCAT("Entity ID ",RIGHT(Table3[[#This Row],[Sponsor_1_num]],8)," not found")),"")</f>
        <v/>
      </c>
      <c r="N522" t="str">
        <f>IF(LEN(H522)&lt;&gt;0,_xlfn.XLOOKUP(H522,[1]!Entities[ID_with_x],[1]!Entities[Name_w_County],_xlfn.CONCAT("Entity ID ",RIGHT(Table3[[#This Row],[Sponsor_1_num]],8)," not found")),"")</f>
        <v/>
      </c>
      <c r="O522" t="str">
        <f>IF(LEN(I522)&lt;&gt;0,_xlfn.XLOOKUP(I522,[1]!Entities[ID_with_x],[1]!Entities[Name_w_County],_xlfn.CONCAT("Entity ID ",RIGHT(Table3[[#This Row],[Sponsor_1_num]],8)," not found")),"")</f>
        <v/>
      </c>
      <c r="P522" t="str">
        <f>IF(LEN(J522)&lt;&gt;0,_xlfn.XLOOKUP(J522,[1]!Entities[ID_with_x],[1]!Entities[Name_w_County],_xlfn.CONCAT("Entity ID ",RIGHT(Table3[[#This Row],[Sponsor_1_num]],8)," not found")),"")</f>
        <v/>
      </c>
      <c r="Q522" t="str">
        <f>IF(LEN(K522)&gt;0,_xlfn.TEXTJOIN(", ",TRUE,K522:P522),Table3[[#This Row],[SPONSOR_LIST]])</f>
        <v>Dawson County</v>
      </c>
    </row>
    <row r="523" spans="1:17" x14ac:dyDescent="0.25">
      <c r="A523" s="304" t="s">
        <v>540</v>
      </c>
      <c r="B523" t="s">
        <v>423</v>
      </c>
      <c r="C523" t="str">
        <f t="shared" si="9"/>
        <v>x00000172</v>
      </c>
      <c r="D523" t="str">
        <f>SUBSTITUTE(SUBSTITUTE(Table3[[#This Row],[Sponsor_list_tranform]],",",",x")," ","")</f>
        <v>x00000172</v>
      </c>
      <c r="E523" t="s">
        <v>11729</v>
      </c>
      <c r="K523" t="str">
        <f>IF(LEN(E523)&lt;&gt;0,_xlfn.XLOOKUP(E523,[1]!Entities[ID_with_x],[1]!Entities[Name_w_County],_xlfn.CONCAT("Entity ID ",RIGHT(Table3[[#This Row],[Sponsor_1_num]],8)," not found")),"")</f>
        <v>Mitchell County</v>
      </c>
      <c r="L523" t="str">
        <f>IF(LEN(F523)&lt;&gt;0,_xlfn.XLOOKUP(F523,[1]!Entities[ID_with_x],[1]!Entities[Name_w_County],_xlfn.CONCAT("Entity ID ",RIGHT(Table3[[#This Row],[Sponsor_1_num]],8)," not found")),"")</f>
        <v/>
      </c>
      <c r="M523" t="str">
        <f>IF(LEN(G523)&lt;&gt;0,_xlfn.XLOOKUP(G523,[1]!Entities[ID_with_x],[1]!Entities[Name_w_County],_xlfn.CONCAT("Entity ID ",RIGHT(Table3[[#This Row],[Sponsor_1_num]],8)," not found")),"")</f>
        <v/>
      </c>
      <c r="N523" t="str">
        <f>IF(LEN(H523)&lt;&gt;0,_xlfn.XLOOKUP(H523,[1]!Entities[ID_with_x],[1]!Entities[Name_w_County],_xlfn.CONCAT("Entity ID ",RIGHT(Table3[[#This Row],[Sponsor_1_num]],8)," not found")),"")</f>
        <v/>
      </c>
      <c r="O523" t="str">
        <f>IF(LEN(I523)&lt;&gt;0,_xlfn.XLOOKUP(I523,[1]!Entities[ID_with_x],[1]!Entities[Name_w_County],_xlfn.CONCAT("Entity ID ",RIGHT(Table3[[#This Row],[Sponsor_1_num]],8)," not found")),"")</f>
        <v/>
      </c>
      <c r="P523" t="str">
        <f>IF(LEN(J523)&lt;&gt;0,_xlfn.XLOOKUP(J523,[1]!Entities[ID_with_x],[1]!Entities[Name_w_County],_xlfn.CONCAT("Entity ID ",RIGHT(Table3[[#This Row],[Sponsor_1_num]],8)," not found")),"")</f>
        <v/>
      </c>
      <c r="Q523" t="str">
        <f>IF(LEN(K523)&gt;0,_xlfn.TEXTJOIN(", ",TRUE,K523:P523),Table3[[#This Row],[SPONSOR_LIST]])</f>
        <v>Mitchell County</v>
      </c>
    </row>
    <row r="524" spans="1:17" x14ac:dyDescent="0.25">
      <c r="A524" s="304" t="s">
        <v>543</v>
      </c>
      <c r="B524" t="s">
        <v>550</v>
      </c>
      <c r="C524" t="str">
        <f t="shared" si="9"/>
        <v>x09000118</v>
      </c>
      <c r="D524" t="str">
        <f>SUBSTITUTE(SUBSTITUTE(Table3[[#This Row],[Sponsor_list_tranform]],",",",x")," ","")</f>
        <v>x09000118</v>
      </c>
      <c r="E524" t="s">
        <v>11730</v>
      </c>
      <c r="K524" t="str">
        <f>IF(LEN(E524)&lt;&gt;0,_xlfn.XLOOKUP(E524,[1]!Entities[ID_with_x],[1]!Entities[Name_w_County],_xlfn.CONCAT("Entity ID ",RIGHT(Table3[[#This Row],[Sponsor_1_num]],8)," not found")),"")</f>
        <v>Gaines County</v>
      </c>
      <c r="L524" t="str">
        <f>IF(LEN(F524)&lt;&gt;0,_xlfn.XLOOKUP(F524,[1]!Entities[ID_with_x],[1]!Entities[Name_w_County],_xlfn.CONCAT("Entity ID ",RIGHT(Table3[[#This Row],[Sponsor_1_num]],8)," not found")),"")</f>
        <v/>
      </c>
      <c r="M524" t="str">
        <f>IF(LEN(G524)&lt;&gt;0,_xlfn.XLOOKUP(G524,[1]!Entities[ID_with_x],[1]!Entities[Name_w_County],_xlfn.CONCAT("Entity ID ",RIGHT(Table3[[#This Row],[Sponsor_1_num]],8)," not found")),"")</f>
        <v/>
      </c>
      <c r="N524" t="str">
        <f>IF(LEN(H524)&lt;&gt;0,_xlfn.XLOOKUP(H524,[1]!Entities[ID_with_x],[1]!Entities[Name_w_County],_xlfn.CONCAT("Entity ID ",RIGHT(Table3[[#This Row],[Sponsor_1_num]],8)," not found")),"")</f>
        <v/>
      </c>
      <c r="O524" t="str">
        <f>IF(LEN(I524)&lt;&gt;0,_xlfn.XLOOKUP(I524,[1]!Entities[ID_with_x],[1]!Entities[Name_w_County],_xlfn.CONCAT("Entity ID ",RIGHT(Table3[[#This Row],[Sponsor_1_num]],8)," not found")),"")</f>
        <v/>
      </c>
      <c r="P524" t="str">
        <f>IF(LEN(J524)&lt;&gt;0,_xlfn.XLOOKUP(J524,[1]!Entities[ID_with_x],[1]!Entities[Name_w_County],_xlfn.CONCAT("Entity ID ",RIGHT(Table3[[#This Row],[Sponsor_1_num]],8)," not found")),"")</f>
        <v/>
      </c>
      <c r="Q524" t="str">
        <f>IF(LEN(K524)&gt;0,_xlfn.TEXTJOIN(", ",TRUE,K524:P524),Table3[[#This Row],[SPONSOR_LIST]])</f>
        <v>Gaines County</v>
      </c>
    </row>
    <row r="525" spans="1:17" x14ac:dyDescent="0.25">
      <c r="A525" s="304" t="s">
        <v>552</v>
      </c>
      <c r="B525" t="s">
        <v>556</v>
      </c>
      <c r="C525" t="str">
        <f t="shared" si="9"/>
        <v>x00000116</v>
      </c>
      <c r="D525" t="str">
        <f>SUBSTITUTE(SUBSTITUTE(Table3[[#This Row],[Sponsor_list_tranform]],",",",x")," ","")</f>
        <v>x00000116</v>
      </c>
      <c r="E525" t="s">
        <v>11731</v>
      </c>
      <c r="K525" t="str">
        <f>IF(LEN(E525)&lt;&gt;0,_xlfn.XLOOKUP(E525,[1]!Entities[ID_with_x],[1]!Entities[Name_w_County],_xlfn.CONCAT("Entity ID ",RIGHT(Table3[[#This Row],[Sponsor_1_num]],8)," not found")),"")</f>
        <v>Scurry County</v>
      </c>
      <c r="L525" t="str">
        <f>IF(LEN(F525)&lt;&gt;0,_xlfn.XLOOKUP(F525,[1]!Entities[ID_with_x],[1]!Entities[Name_w_County],_xlfn.CONCAT("Entity ID ",RIGHT(Table3[[#This Row],[Sponsor_1_num]],8)," not found")),"")</f>
        <v/>
      </c>
      <c r="M525" t="str">
        <f>IF(LEN(G525)&lt;&gt;0,_xlfn.XLOOKUP(G525,[1]!Entities[ID_with_x],[1]!Entities[Name_w_County],_xlfn.CONCAT("Entity ID ",RIGHT(Table3[[#This Row],[Sponsor_1_num]],8)," not found")),"")</f>
        <v/>
      </c>
      <c r="N525" t="str">
        <f>IF(LEN(H525)&lt;&gt;0,_xlfn.XLOOKUP(H525,[1]!Entities[ID_with_x],[1]!Entities[Name_w_County],_xlfn.CONCAT("Entity ID ",RIGHT(Table3[[#This Row],[Sponsor_1_num]],8)," not found")),"")</f>
        <v/>
      </c>
      <c r="O525" t="str">
        <f>IF(LEN(I525)&lt;&gt;0,_xlfn.XLOOKUP(I525,[1]!Entities[ID_with_x],[1]!Entities[Name_w_County],_xlfn.CONCAT("Entity ID ",RIGHT(Table3[[#This Row],[Sponsor_1_num]],8)," not found")),"")</f>
        <v/>
      </c>
      <c r="P525" t="str">
        <f>IF(LEN(J525)&lt;&gt;0,_xlfn.XLOOKUP(J525,[1]!Entities[ID_with_x],[1]!Entities[Name_w_County],_xlfn.CONCAT("Entity ID ",RIGHT(Table3[[#This Row],[Sponsor_1_num]],8)," not found")),"")</f>
        <v/>
      </c>
      <c r="Q525" t="str">
        <f>IF(LEN(K525)&gt;0,_xlfn.TEXTJOIN(", ",TRUE,K525:P525),Table3[[#This Row],[SPONSOR_LIST]])</f>
        <v>Scurry County</v>
      </c>
    </row>
    <row r="526" spans="1:17" x14ac:dyDescent="0.25">
      <c r="A526" s="304" t="s">
        <v>558</v>
      </c>
      <c r="B526" t="s">
        <v>517</v>
      </c>
      <c r="C526" t="str">
        <f t="shared" si="9"/>
        <v>x00000117</v>
      </c>
      <c r="D526" t="str">
        <f>SUBSTITUTE(SUBSTITUTE(Table3[[#This Row],[Sponsor_list_tranform]],",",",x")," ","")</f>
        <v>x00000117</v>
      </c>
      <c r="E526" t="s">
        <v>11728</v>
      </c>
      <c r="K526" t="str">
        <f>IF(LEN(E526)&lt;&gt;0,_xlfn.XLOOKUP(E526,[1]!Entities[ID_with_x],[1]!Entities[Name_w_County],_xlfn.CONCAT("Entity ID ",RIGHT(Table3[[#This Row],[Sponsor_1_num]],8)," not found")),"")</f>
        <v>Dawson County</v>
      </c>
      <c r="L526" t="str">
        <f>IF(LEN(F526)&lt;&gt;0,_xlfn.XLOOKUP(F526,[1]!Entities[ID_with_x],[1]!Entities[Name_w_County],_xlfn.CONCAT("Entity ID ",RIGHT(Table3[[#This Row],[Sponsor_1_num]],8)," not found")),"")</f>
        <v/>
      </c>
      <c r="M526" t="str">
        <f>IF(LEN(G526)&lt;&gt;0,_xlfn.XLOOKUP(G526,[1]!Entities[ID_with_x],[1]!Entities[Name_w_County],_xlfn.CONCAT("Entity ID ",RIGHT(Table3[[#This Row],[Sponsor_1_num]],8)," not found")),"")</f>
        <v/>
      </c>
      <c r="N526" t="str">
        <f>IF(LEN(H526)&lt;&gt;0,_xlfn.XLOOKUP(H526,[1]!Entities[ID_with_x],[1]!Entities[Name_w_County],_xlfn.CONCAT("Entity ID ",RIGHT(Table3[[#This Row],[Sponsor_1_num]],8)," not found")),"")</f>
        <v/>
      </c>
      <c r="O526" t="str">
        <f>IF(LEN(I526)&lt;&gt;0,_xlfn.XLOOKUP(I526,[1]!Entities[ID_with_x],[1]!Entities[Name_w_County],_xlfn.CONCAT("Entity ID ",RIGHT(Table3[[#This Row],[Sponsor_1_num]],8)," not found")),"")</f>
        <v/>
      </c>
      <c r="P526" t="str">
        <f>IF(LEN(J526)&lt;&gt;0,_xlfn.XLOOKUP(J526,[1]!Entities[ID_with_x],[1]!Entities[Name_w_County],_xlfn.CONCAT("Entity ID ",RIGHT(Table3[[#This Row],[Sponsor_1_num]],8)," not found")),"")</f>
        <v/>
      </c>
      <c r="Q526" t="str">
        <f>IF(LEN(K526)&gt;0,_xlfn.TEXTJOIN(", ",TRUE,K526:P526),Table3[[#This Row],[SPONSOR_LIST]])</f>
        <v>Dawson County</v>
      </c>
    </row>
    <row r="527" spans="1:17" x14ac:dyDescent="0.25">
      <c r="A527" s="304" t="s">
        <v>565</v>
      </c>
      <c r="B527" t="s">
        <v>532</v>
      </c>
      <c r="C527" t="str">
        <f t="shared" si="9"/>
        <v>x00000205</v>
      </c>
      <c r="D527" t="str">
        <f>SUBSTITUTE(SUBSTITUTE(Table3[[#This Row],[Sponsor_list_tranform]],",",",x")," ","")</f>
        <v>x00000205</v>
      </c>
      <c r="E527" t="s">
        <v>11727</v>
      </c>
      <c r="K527" t="str">
        <f>IF(LEN(E527)&lt;&gt;0,_xlfn.XLOOKUP(E527,[1]!Entities[ID_with_x],[1]!Entities[Name_w_County],_xlfn.CONCAT("Entity ID ",RIGHT(Table3[[#This Row],[Sponsor_1_num]],8)," not found")),"")</f>
        <v>Terry County</v>
      </c>
      <c r="L527" t="str">
        <f>IF(LEN(F527)&lt;&gt;0,_xlfn.XLOOKUP(F527,[1]!Entities[ID_with_x],[1]!Entities[Name_w_County],_xlfn.CONCAT("Entity ID ",RIGHT(Table3[[#This Row],[Sponsor_1_num]],8)," not found")),"")</f>
        <v/>
      </c>
      <c r="M527" t="str">
        <f>IF(LEN(G527)&lt;&gt;0,_xlfn.XLOOKUP(G527,[1]!Entities[ID_with_x],[1]!Entities[Name_w_County],_xlfn.CONCAT("Entity ID ",RIGHT(Table3[[#This Row],[Sponsor_1_num]],8)," not found")),"")</f>
        <v/>
      </c>
      <c r="N527" t="str">
        <f>IF(LEN(H527)&lt;&gt;0,_xlfn.XLOOKUP(H527,[1]!Entities[ID_with_x],[1]!Entities[Name_w_County],_xlfn.CONCAT("Entity ID ",RIGHT(Table3[[#This Row],[Sponsor_1_num]],8)," not found")),"")</f>
        <v/>
      </c>
      <c r="O527" t="str">
        <f>IF(LEN(I527)&lt;&gt;0,_xlfn.XLOOKUP(I527,[1]!Entities[ID_with_x],[1]!Entities[Name_w_County],_xlfn.CONCAT("Entity ID ",RIGHT(Table3[[#This Row],[Sponsor_1_num]],8)," not found")),"")</f>
        <v/>
      </c>
      <c r="P527" t="str">
        <f>IF(LEN(J527)&lt;&gt;0,_xlfn.XLOOKUP(J527,[1]!Entities[ID_with_x],[1]!Entities[Name_w_County],_xlfn.CONCAT("Entity ID ",RIGHT(Table3[[#This Row],[Sponsor_1_num]],8)," not found")),"")</f>
        <v/>
      </c>
      <c r="Q527" t="str">
        <f>IF(LEN(K527)&gt;0,_xlfn.TEXTJOIN(", ",TRUE,K527:P527),Table3[[#This Row],[SPONSOR_LIST]])</f>
        <v>Terry County</v>
      </c>
    </row>
    <row r="528" spans="1:17" x14ac:dyDescent="0.25">
      <c r="A528" s="304" t="s">
        <v>570</v>
      </c>
      <c r="B528" t="s">
        <v>434</v>
      </c>
      <c r="C528" t="str">
        <f t="shared" si="9"/>
        <v>x00000115</v>
      </c>
      <c r="D528" t="str">
        <f>SUBSTITUTE(SUBSTITUTE(Table3[[#This Row],[Sponsor_list_tranform]],",",",x")," ","")</f>
        <v>x00000115</v>
      </c>
      <c r="E528" t="s">
        <v>11726</v>
      </c>
      <c r="K528" t="str">
        <f>IF(LEN(E528)&lt;&gt;0,_xlfn.XLOOKUP(E528,[1]!Entities[ID_with_x],[1]!Entities[Name_w_County],_xlfn.CONCAT("Entity ID ",RIGHT(Table3[[#This Row],[Sponsor_1_num]],8)," not found")),"")</f>
        <v>Borden County</v>
      </c>
      <c r="L528" t="str">
        <f>IF(LEN(F528)&lt;&gt;0,_xlfn.XLOOKUP(F528,[1]!Entities[ID_with_x],[1]!Entities[Name_w_County],_xlfn.CONCAT("Entity ID ",RIGHT(Table3[[#This Row],[Sponsor_1_num]],8)," not found")),"")</f>
        <v/>
      </c>
      <c r="M528" t="str">
        <f>IF(LEN(G528)&lt;&gt;0,_xlfn.XLOOKUP(G528,[1]!Entities[ID_with_x],[1]!Entities[Name_w_County],_xlfn.CONCAT("Entity ID ",RIGHT(Table3[[#This Row],[Sponsor_1_num]],8)," not found")),"")</f>
        <v/>
      </c>
      <c r="N528" t="str">
        <f>IF(LEN(H528)&lt;&gt;0,_xlfn.XLOOKUP(H528,[1]!Entities[ID_with_x],[1]!Entities[Name_w_County],_xlfn.CONCAT("Entity ID ",RIGHT(Table3[[#This Row],[Sponsor_1_num]],8)," not found")),"")</f>
        <v/>
      </c>
      <c r="O528" t="str">
        <f>IF(LEN(I528)&lt;&gt;0,_xlfn.XLOOKUP(I528,[1]!Entities[ID_with_x],[1]!Entities[Name_w_County],_xlfn.CONCAT("Entity ID ",RIGHT(Table3[[#This Row],[Sponsor_1_num]],8)," not found")),"")</f>
        <v/>
      </c>
      <c r="P528" t="str">
        <f>IF(LEN(J528)&lt;&gt;0,_xlfn.XLOOKUP(J528,[1]!Entities[ID_with_x],[1]!Entities[Name_w_County],_xlfn.CONCAT("Entity ID ",RIGHT(Table3[[#This Row],[Sponsor_1_num]],8)," not found")),"")</f>
        <v/>
      </c>
      <c r="Q528" t="str">
        <f>IF(LEN(K528)&gt;0,_xlfn.TEXTJOIN(", ",TRUE,K528:P528),Table3[[#This Row],[SPONSOR_LIST]])</f>
        <v>Borden County</v>
      </c>
    </row>
    <row r="529" spans="1:17" x14ac:dyDescent="0.25">
      <c r="A529" s="304" t="s">
        <v>573</v>
      </c>
      <c r="B529" t="s">
        <v>508</v>
      </c>
      <c r="C529" t="str">
        <f t="shared" si="9"/>
        <v>x00000102</v>
      </c>
      <c r="D529" t="str">
        <f>SUBSTITUTE(SUBSTITUTE(Table3[[#This Row],[Sponsor_list_tranform]],",",",x")," ","")</f>
        <v>x00000102</v>
      </c>
      <c r="E529" t="s">
        <v>11725</v>
      </c>
      <c r="K529" t="str">
        <f>IF(LEN(E529)&lt;&gt;0,_xlfn.XLOOKUP(E529,[1]!Entities[ID_with_x],[1]!Entities[Name_w_County],_xlfn.CONCAT("Entity ID ",RIGHT(Table3[[#This Row],[Sponsor_1_num]],8)," not found")),"")</f>
        <v>Andrews County</v>
      </c>
      <c r="L529" t="str">
        <f>IF(LEN(F529)&lt;&gt;0,_xlfn.XLOOKUP(F529,[1]!Entities[ID_with_x],[1]!Entities[Name_w_County],_xlfn.CONCAT("Entity ID ",RIGHT(Table3[[#This Row],[Sponsor_1_num]],8)," not found")),"")</f>
        <v/>
      </c>
      <c r="M529" t="str">
        <f>IF(LEN(G529)&lt;&gt;0,_xlfn.XLOOKUP(G529,[1]!Entities[ID_with_x],[1]!Entities[Name_w_County],_xlfn.CONCAT("Entity ID ",RIGHT(Table3[[#This Row],[Sponsor_1_num]],8)," not found")),"")</f>
        <v/>
      </c>
      <c r="N529" t="str">
        <f>IF(LEN(H529)&lt;&gt;0,_xlfn.XLOOKUP(H529,[1]!Entities[ID_with_x],[1]!Entities[Name_w_County],_xlfn.CONCAT("Entity ID ",RIGHT(Table3[[#This Row],[Sponsor_1_num]],8)," not found")),"")</f>
        <v/>
      </c>
      <c r="O529" t="str">
        <f>IF(LEN(I529)&lt;&gt;0,_xlfn.XLOOKUP(I529,[1]!Entities[ID_with_x],[1]!Entities[Name_w_County],_xlfn.CONCAT("Entity ID ",RIGHT(Table3[[#This Row],[Sponsor_1_num]],8)," not found")),"")</f>
        <v/>
      </c>
      <c r="P529" t="str">
        <f>IF(LEN(J529)&lt;&gt;0,_xlfn.XLOOKUP(J529,[1]!Entities[ID_with_x],[1]!Entities[Name_w_County],_xlfn.CONCAT("Entity ID ",RIGHT(Table3[[#This Row],[Sponsor_1_num]],8)," not found")),"")</f>
        <v/>
      </c>
      <c r="Q529" t="str">
        <f>IF(LEN(K529)&gt;0,_xlfn.TEXTJOIN(", ",TRUE,K529:P529),Table3[[#This Row],[SPONSOR_LIST]])</f>
        <v>Andrews County</v>
      </c>
    </row>
    <row r="530" spans="1:17" x14ac:dyDescent="0.25">
      <c r="A530" s="304" t="s">
        <v>579</v>
      </c>
      <c r="B530" t="s">
        <v>586</v>
      </c>
      <c r="C530" t="str">
        <f t="shared" si="9"/>
        <v>x00000184</v>
      </c>
      <c r="D530" t="str">
        <f>SUBSTITUTE(SUBSTITUTE(Table3[[#This Row],[Sponsor_list_tranform]],",",",x")," ","")</f>
        <v>x00000184</v>
      </c>
      <c r="E530" t="s">
        <v>11644</v>
      </c>
      <c r="K530" t="str">
        <f>IF(LEN(E530)&lt;&gt;0,_xlfn.XLOOKUP(E530,[1]!Entities[ID_with_x],[1]!Entities[Name_w_County],_xlfn.CONCAT("Entity ID ",RIGHT(Table3[[#This Row],[Sponsor_1_num]],8)," not found")),"")</f>
        <v>Lynn County</v>
      </c>
      <c r="L530" t="str">
        <f>IF(LEN(F530)&lt;&gt;0,_xlfn.XLOOKUP(F530,[1]!Entities[ID_with_x],[1]!Entities[Name_w_County],_xlfn.CONCAT("Entity ID ",RIGHT(Table3[[#This Row],[Sponsor_1_num]],8)," not found")),"")</f>
        <v/>
      </c>
      <c r="M530" t="str">
        <f>IF(LEN(G530)&lt;&gt;0,_xlfn.XLOOKUP(G530,[1]!Entities[ID_with_x],[1]!Entities[Name_w_County],_xlfn.CONCAT("Entity ID ",RIGHT(Table3[[#This Row],[Sponsor_1_num]],8)," not found")),"")</f>
        <v/>
      </c>
      <c r="N530" t="str">
        <f>IF(LEN(H530)&lt;&gt;0,_xlfn.XLOOKUP(H530,[1]!Entities[ID_with_x],[1]!Entities[Name_w_County],_xlfn.CONCAT("Entity ID ",RIGHT(Table3[[#This Row],[Sponsor_1_num]],8)," not found")),"")</f>
        <v/>
      </c>
      <c r="O530" t="str">
        <f>IF(LEN(I530)&lt;&gt;0,_xlfn.XLOOKUP(I530,[1]!Entities[ID_with_x],[1]!Entities[Name_w_County],_xlfn.CONCAT("Entity ID ",RIGHT(Table3[[#This Row],[Sponsor_1_num]],8)," not found")),"")</f>
        <v/>
      </c>
      <c r="P530" t="str">
        <f>IF(LEN(J530)&lt;&gt;0,_xlfn.XLOOKUP(J530,[1]!Entities[ID_with_x],[1]!Entities[Name_w_County],_xlfn.CONCAT("Entity ID ",RIGHT(Table3[[#This Row],[Sponsor_1_num]],8)," not found")),"")</f>
        <v/>
      </c>
      <c r="Q530" t="str">
        <f>IF(LEN(K530)&gt;0,_xlfn.TEXTJOIN(", ",TRUE,K530:P530),Table3[[#This Row],[SPONSOR_LIST]])</f>
        <v>Lynn County</v>
      </c>
    </row>
    <row r="531" spans="1:17" x14ac:dyDescent="0.25">
      <c r="A531" s="304" t="s">
        <v>588</v>
      </c>
      <c r="B531" t="s">
        <v>434</v>
      </c>
      <c r="C531" t="str">
        <f t="shared" si="9"/>
        <v>x00000115</v>
      </c>
      <c r="D531" t="str">
        <f>SUBSTITUTE(SUBSTITUTE(Table3[[#This Row],[Sponsor_list_tranform]],",",",x")," ","")</f>
        <v>x00000115</v>
      </c>
      <c r="E531" t="s">
        <v>11726</v>
      </c>
      <c r="K531" t="str">
        <f>IF(LEN(E531)&lt;&gt;0,_xlfn.XLOOKUP(E531,[1]!Entities[ID_with_x],[1]!Entities[Name_w_County],_xlfn.CONCAT("Entity ID ",RIGHT(Table3[[#This Row],[Sponsor_1_num]],8)," not found")),"")</f>
        <v>Borden County</v>
      </c>
      <c r="L531" t="str">
        <f>IF(LEN(F531)&lt;&gt;0,_xlfn.XLOOKUP(F531,[1]!Entities[ID_with_x],[1]!Entities[Name_w_County],_xlfn.CONCAT("Entity ID ",RIGHT(Table3[[#This Row],[Sponsor_1_num]],8)," not found")),"")</f>
        <v/>
      </c>
      <c r="M531" t="str">
        <f>IF(LEN(G531)&lt;&gt;0,_xlfn.XLOOKUP(G531,[1]!Entities[ID_with_x],[1]!Entities[Name_w_County],_xlfn.CONCAT("Entity ID ",RIGHT(Table3[[#This Row],[Sponsor_1_num]],8)," not found")),"")</f>
        <v/>
      </c>
      <c r="N531" t="str">
        <f>IF(LEN(H531)&lt;&gt;0,_xlfn.XLOOKUP(H531,[1]!Entities[ID_with_x],[1]!Entities[Name_w_County],_xlfn.CONCAT("Entity ID ",RIGHT(Table3[[#This Row],[Sponsor_1_num]],8)," not found")),"")</f>
        <v/>
      </c>
      <c r="O531" t="str">
        <f>IF(LEN(I531)&lt;&gt;0,_xlfn.XLOOKUP(I531,[1]!Entities[ID_with_x],[1]!Entities[Name_w_County],_xlfn.CONCAT("Entity ID ",RIGHT(Table3[[#This Row],[Sponsor_1_num]],8)," not found")),"")</f>
        <v/>
      </c>
      <c r="P531" t="str">
        <f>IF(LEN(J531)&lt;&gt;0,_xlfn.XLOOKUP(J531,[1]!Entities[ID_with_x],[1]!Entities[Name_w_County],_xlfn.CONCAT("Entity ID ",RIGHT(Table3[[#This Row],[Sponsor_1_num]],8)," not found")),"")</f>
        <v/>
      </c>
      <c r="Q531" t="str">
        <f>IF(LEN(K531)&gt;0,_xlfn.TEXTJOIN(", ",TRUE,K531:P531),Table3[[#This Row],[SPONSOR_LIST]])</f>
        <v>Borden County</v>
      </c>
    </row>
    <row r="532" spans="1:17" x14ac:dyDescent="0.25">
      <c r="A532" s="304" t="s">
        <v>595</v>
      </c>
      <c r="B532" t="s">
        <v>508</v>
      </c>
      <c r="C532" t="str">
        <f t="shared" si="9"/>
        <v>x00000102</v>
      </c>
      <c r="D532" t="str">
        <f>SUBSTITUTE(SUBSTITUTE(Table3[[#This Row],[Sponsor_list_tranform]],",",",x")," ","")</f>
        <v>x00000102</v>
      </c>
      <c r="E532" t="s">
        <v>11725</v>
      </c>
      <c r="K532" t="str">
        <f>IF(LEN(E532)&lt;&gt;0,_xlfn.XLOOKUP(E532,[1]!Entities[ID_with_x],[1]!Entities[Name_w_County],_xlfn.CONCAT("Entity ID ",RIGHT(Table3[[#This Row],[Sponsor_1_num]],8)," not found")),"")</f>
        <v>Andrews County</v>
      </c>
      <c r="L532" t="str">
        <f>IF(LEN(F532)&lt;&gt;0,_xlfn.XLOOKUP(F532,[1]!Entities[ID_with_x],[1]!Entities[Name_w_County],_xlfn.CONCAT("Entity ID ",RIGHT(Table3[[#This Row],[Sponsor_1_num]],8)," not found")),"")</f>
        <v/>
      </c>
      <c r="M532" t="str">
        <f>IF(LEN(G532)&lt;&gt;0,_xlfn.XLOOKUP(G532,[1]!Entities[ID_with_x],[1]!Entities[Name_w_County],_xlfn.CONCAT("Entity ID ",RIGHT(Table3[[#This Row],[Sponsor_1_num]],8)," not found")),"")</f>
        <v/>
      </c>
      <c r="N532" t="str">
        <f>IF(LEN(H532)&lt;&gt;0,_xlfn.XLOOKUP(H532,[1]!Entities[ID_with_x],[1]!Entities[Name_w_County],_xlfn.CONCAT("Entity ID ",RIGHT(Table3[[#This Row],[Sponsor_1_num]],8)," not found")),"")</f>
        <v/>
      </c>
      <c r="O532" t="str">
        <f>IF(LEN(I532)&lt;&gt;0,_xlfn.XLOOKUP(I532,[1]!Entities[ID_with_x],[1]!Entities[Name_w_County],_xlfn.CONCAT("Entity ID ",RIGHT(Table3[[#This Row],[Sponsor_1_num]],8)," not found")),"")</f>
        <v/>
      </c>
      <c r="P532" t="str">
        <f>IF(LEN(J532)&lt;&gt;0,_xlfn.XLOOKUP(J532,[1]!Entities[ID_with_x],[1]!Entities[Name_w_County],_xlfn.CONCAT("Entity ID ",RIGHT(Table3[[#This Row],[Sponsor_1_num]],8)," not found")),"")</f>
        <v/>
      </c>
      <c r="Q532" t="str">
        <f>IF(LEN(K532)&gt;0,_xlfn.TEXTJOIN(", ",TRUE,K532:P532),Table3[[#This Row],[SPONSOR_LIST]])</f>
        <v>Andrews County</v>
      </c>
    </row>
    <row r="533" spans="1:17" x14ac:dyDescent="0.25">
      <c r="A533" s="304" t="s">
        <v>602</v>
      </c>
      <c r="B533" t="s">
        <v>556</v>
      </c>
      <c r="C533" t="str">
        <f t="shared" si="9"/>
        <v>x00000116</v>
      </c>
      <c r="D533" t="str">
        <f>SUBSTITUTE(SUBSTITUTE(Table3[[#This Row],[Sponsor_list_tranform]],",",",x")," ","")</f>
        <v>x00000116</v>
      </c>
      <c r="E533" t="s">
        <v>11731</v>
      </c>
      <c r="K533" t="str">
        <f>IF(LEN(E533)&lt;&gt;0,_xlfn.XLOOKUP(E533,[1]!Entities[ID_with_x],[1]!Entities[Name_w_County],_xlfn.CONCAT("Entity ID ",RIGHT(Table3[[#This Row],[Sponsor_1_num]],8)," not found")),"")</f>
        <v>Scurry County</v>
      </c>
      <c r="L533" t="str">
        <f>IF(LEN(F533)&lt;&gt;0,_xlfn.XLOOKUP(F533,[1]!Entities[ID_with_x],[1]!Entities[Name_w_County],_xlfn.CONCAT("Entity ID ",RIGHT(Table3[[#This Row],[Sponsor_1_num]],8)," not found")),"")</f>
        <v/>
      </c>
      <c r="M533" t="str">
        <f>IF(LEN(G533)&lt;&gt;0,_xlfn.XLOOKUP(G533,[1]!Entities[ID_with_x],[1]!Entities[Name_w_County],_xlfn.CONCAT("Entity ID ",RIGHT(Table3[[#This Row],[Sponsor_1_num]],8)," not found")),"")</f>
        <v/>
      </c>
      <c r="N533" t="str">
        <f>IF(LEN(H533)&lt;&gt;0,_xlfn.XLOOKUP(H533,[1]!Entities[ID_with_x],[1]!Entities[Name_w_County],_xlfn.CONCAT("Entity ID ",RIGHT(Table3[[#This Row],[Sponsor_1_num]],8)," not found")),"")</f>
        <v/>
      </c>
      <c r="O533" t="str">
        <f>IF(LEN(I533)&lt;&gt;0,_xlfn.XLOOKUP(I533,[1]!Entities[ID_with_x],[1]!Entities[Name_w_County],_xlfn.CONCAT("Entity ID ",RIGHT(Table3[[#This Row],[Sponsor_1_num]],8)," not found")),"")</f>
        <v/>
      </c>
      <c r="P533" t="str">
        <f>IF(LEN(J533)&lt;&gt;0,_xlfn.XLOOKUP(J533,[1]!Entities[ID_with_x],[1]!Entities[Name_w_County],_xlfn.CONCAT("Entity ID ",RIGHT(Table3[[#This Row],[Sponsor_1_num]],8)," not found")),"")</f>
        <v/>
      </c>
      <c r="Q533" t="str">
        <f>IF(LEN(K533)&gt;0,_xlfn.TEXTJOIN(", ",TRUE,K533:P533),Table3[[#This Row],[SPONSOR_LIST]])</f>
        <v>Scurry County</v>
      </c>
    </row>
    <row r="534" spans="1:17" x14ac:dyDescent="0.25">
      <c r="A534" s="304" t="s">
        <v>611</v>
      </c>
      <c r="B534" t="s">
        <v>517</v>
      </c>
      <c r="C534" t="str">
        <f t="shared" si="9"/>
        <v>x00000117</v>
      </c>
      <c r="D534" t="str">
        <f>SUBSTITUTE(SUBSTITUTE(Table3[[#This Row],[Sponsor_list_tranform]],",",",x")," ","")</f>
        <v>x00000117</v>
      </c>
      <c r="E534" t="s">
        <v>11728</v>
      </c>
      <c r="K534" t="str">
        <f>IF(LEN(E534)&lt;&gt;0,_xlfn.XLOOKUP(E534,[1]!Entities[ID_with_x],[1]!Entities[Name_w_County],_xlfn.CONCAT("Entity ID ",RIGHT(Table3[[#This Row],[Sponsor_1_num]],8)," not found")),"")</f>
        <v>Dawson County</v>
      </c>
      <c r="L534" t="str">
        <f>IF(LEN(F534)&lt;&gt;0,_xlfn.XLOOKUP(F534,[1]!Entities[ID_with_x],[1]!Entities[Name_w_County],_xlfn.CONCAT("Entity ID ",RIGHT(Table3[[#This Row],[Sponsor_1_num]],8)," not found")),"")</f>
        <v/>
      </c>
      <c r="M534" t="str">
        <f>IF(LEN(G534)&lt;&gt;0,_xlfn.XLOOKUP(G534,[1]!Entities[ID_with_x],[1]!Entities[Name_w_County],_xlfn.CONCAT("Entity ID ",RIGHT(Table3[[#This Row],[Sponsor_1_num]],8)," not found")),"")</f>
        <v/>
      </c>
      <c r="N534" t="str">
        <f>IF(LEN(H534)&lt;&gt;0,_xlfn.XLOOKUP(H534,[1]!Entities[ID_with_x],[1]!Entities[Name_w_County],_xlfn.CONCAT("Entity ID ",RIGHT(Table3[[#This Row],[Sponsor_1_num]],8)," not found")),"")</f>
        <v/>
      </c>
      <c r="O534" t="str">
        <f>IF(LEN(I534)&lt;&gt;0,_xlfn.XLOOKUP(I534,[1]!Entities[ID_with_x],[1]!Entities[Name_w_County],_xlfn.CONCAT("Entity ID ",RIGHT(Table3[[#This Row],[Sponsor_1_num]],8)," not found")),"")</f>
        <v/>
      </c>
      <c r="P534" t="str">
        <f>IF(LEN(J534)&lt;&gt;0,_xlfn.XLOOKUP(J534,[1]!Entities[ID_with_x],[1]!Entities[Name_w_County],_xlfn.CONCAT("Entity ID ",RIGHT(Table3[[#This Row],[Sponsor_1_num]],8)," not found")),"")</f>
        <v/>
      </c>
      <c r="Q534" t="str">
        <f>IF(LEN(K534)&gt;0,_xlfn.TEXTJOIN(", ",TRUE,K534:P534),Table3[[#This Row],[SPONSOR_LIST]])</f>
        <v>Dawson County</v>
      </c>
    </row>
    <row r="535" spans="1:17" x14ac:dyDescent="0.25">
      <c r="A535" s="304" t="s">
        <v>617</v>
      </c>
      <c r="B535" t="s">
        <v>550</v>
      </c>
      <c r="C535" t="str">
        <f t="shared" si="9"/>
        <v>x09000118</v>
      </c>
      <c r="D535" t="str">
        <f>SUBSTITUTE(SUBSTITUTE(Table3[[#This Row],[Sponsor_list_tranform]],",",",x")," ","")</f>
        <v>x09000118</v>
      </c>
      <c r="E535" t="s">
        <v>11730</v>
      </c>
      <c r="K535" t="str">
        <f>IF(LEN(E535)&lt;&gt;0,_xlfn.XLOOKUP(E535,[1]!Entities[ID_with_x],[1]!Entities[Name_w_County],_xlfn.CONCAT("Entity ID ",RIGHT(Table3[[#This Row],[Sponsor_1_num]],8)," not found")),"")</f>
        <v>Gaines County</v>
      </c>
      <c r="L535" t="str">
        <f>IF(LEN(F535)&lt;&gt;0,_xlfn.XLOOKUP(F535,[1]!Entities[ID_with_x],[1]!Entities[Name_w_County],_xlfn.CONCAT("Entity ID ",RIGHT(Table3[[#This Row],[Sponsor_1_num]],8)," not found")),"")</f>
        <v/>
      </c>
      <c r="M535" t="str">
        <f>IF(LEN(G535)&lt;&gt;0,_xlfn.XLOOKUP(G535,[1]!Entities[ID_with_x],[1]!Entities[Name_w_County],_xlfn.CONCAT("Entity ID ",RIGHT(Table3[[#This Row],[Sponsor_1_num]],8)," not found")),"")</f>
        <v/>
      </c>
      <c r="N535" t="str">
        <f>IF(LEN(H535)&lt;&gt;0,_xlfn.XLOOKUP(H535,[1]!Entities[ID_with_x],[1]!Entities[Name_w_County],_xlfn.CONCAT("Entity ID ",RIGHT(Table3[[#This Row],[Sponsor_1_num]],8)," not found")),"")</f>
        <v/>
      </c>
      <c r="O535" t="str">
        <f>IF(LEN(I535)&lt;&gt;0,_xlfn.XLOOKUP(I535,[1]!Entities[ID_with_x],[1]!Entities[Name_w_County],_xlfn.CONCAT("Entity ID ",RIGHT(Table3[[#This Row],[Sponsor_1_num]],8)," not found")),"")</f>
        <v/>
      </c>
      <c r="P535" t="str">
        <f>IF(LEN(J535)&lt;&gt;0,_xlfn.XLOOKUP(J535,[1]!Entities[ID_with_x],[1]!Entities[Name_w_County],_xlfn.CONCAT("Entity ID ",RIGHT(Table3[[#This Row],[Sponsor_1_num]],8)," not found")),"")</f>
        <v/>
      </c>
      <c r="Q535" t="str">
        <f>IF(LEN(K535)&gt;0,_xlfn.TEXTJOIN(", ",TRUE,K535:P535),Table3[[#This Row],[SPONSOR_LIST]])</f>
        <v>Gaines County</v>
      </c>
    </row>
    <row r="536" spans="1:17" x14ac:dyDescent="0.25">
      <c r="A536" s="304" t="s">
        <v>624</v>
      </c>
      <c r="B536" t="s">
        <v>632</v>
      </c>
      <c r="C536" t="str">
        <f t="shared" si="9"/>
        <v>x00000144</v>
      </c>
      <c r="D536" t="str">
        <f>SUBSTITUTE(SUBSTITUTE(Table3[[#This Row],[Sponsor_list_tranform]],",",",x")," ","")</f>
        <v>x00000144</v>
      </c>
      <c r="E536" t="s">
        <v>11732</v>
      </c>
      <c r="K536" t="str">
        <f>IF(LEN(E536)&lt;&gt;0,_xlfn.XLOOKUP(E536,[1]!Entities[ID_with_x],[1]!Entities[Name_w_County],_xlfn.CONCAT("Entity ID ",RIGHT(Table3[[#This Row],[Sponsor_1_num]],8)," not found")),"")</f>
        <v>Coleman County</v>
      </c>
      <c r="L536" t="str">
        <f>IF(LEN(F536)&lt;&gt;0,_xlfn.XLOOKUP(F536,[1]!Entities[ID_with_x],[1]!Entities[Name_w_County],_xlfn.CONCAT("Entity ID ",RIGHT(Table3[[#This Row],[Sponsor_1_num]],8)," not found")),"")</f>
        <v/>
      </c>
      <c r="M536" t="str">
        <f>IF(LEN(G536)&lt;&gt;0,_xlfn.XLOOKUP(G536,[1]!Entities[ID_with_x],[1]!Entities[Name_w_County],_xlfn.CONCAT("Entity ID ",RIGHT(Table3[[#This Row],[Sponsor_1_num]],8)," not found")),"")</f>
        <v/>
      </c>
      <c r="N536" t="str">
        <f>IF(LEN(H536)&lt;&gt;0,_xlfn.XLOOKUP(H536,[1]!Entities[ID_with_x],[1]!Entities[Name_w_County],_xlfn.CONCAT("Entity ID ",RIGHT(Table3[[#This Row],[Sponsor_1_num]],8)," not found")),"")</f>
        <v/>
      </c>
      <c r="O536" t="str">
        <f>IF(LEN(I536)&lt;&gt;0,_xlfn.XLOOKUP(I536,[1]!Entities[ID_with_x],[1]!Entities[Name_w_County],_xlfn.CONCAT("Entity ID ",RIGHT(Table3[[#This Row],[Sponsor_1_num]],8)," not found")),"")</f>
        <v/>
      </c>
      <c r="P536" t="str">
        <f>IF(LEN(J536)&lt;&gt;0,_xlfn.XLOOKUP(J536,[1]!Entities[ID_with_x],[1]!Entities[Name_w_County],_xlfn.CONCAT("Entity ID ",RIGHT(Table3[[#This Row],[Sponsor_1_num]],8)," not found")),"")</f>
        <v/>
      </c>
      <c r="Q536" t="str">
        <f>IF(LEN(K536)&gt;0,_xlfn.TEXTJOIN(", ",TRUE,K536:P536),Table3[[#This Row],[SPONSOR_LIST]])</f>
        <v>Coleman County</v>
      </c>
    </row>
    <row r="537" spans="1:17" x14ac:dyDescent="0.25">
      <c r="A537" s="304" t="s">
        <v>634</v>
      </c>
      <c r="B537" t="s">
        <v>632</v>
      </c>
      <c r="C537" t="str">
        <f t="shared" si="9"/>
        <v>x00000144</v>
      </c>
      <c r="D537" t="str">
        <f>SUBSTITUTE(SUBSTITUTE(Table3[[#This Row],[Sponsor_list_tranform]],",",",x")," ","")</f>
        <v>x00000144</v>
      </c>
      <c r="E537" t="s">
        <v>11732</v>
      </c>
      <c r="K537" t="str">
        <f>IF(LEN(E537)&lt;&gt;0,_xlfn.XLOOKUP(E537,[1]!Entities[ID_with_x],[1]!Entities[Name_w_County],_xlfn.CONCAT("Entity ID ",RIGHT(Table3[[#This Row],[Sponsor_1_num]],8)," not found")),"")</f>
        <v>Coleman County</v>
      </c>
      <c r="L537" t="str">
        <f>IF(LEN(F537)&lt;&gt;0,_xlfn.XLOOKUP(F537,[1]!Entities[ID_with_x],[1]!Entities[Name_w_County],_xlfn.CONCAT("Entity ID ",RIGHT(Table3[[#This Row],[Sponsor_1_num]],8)," not found")),"")</f>
        <v/>
      </c>
      <c r="M537" t="str">
        <f>IF(LEN(G537)&lt;&gt;0,_xlfn.XLOOKUP(G537,[1]!Entities[ID_with_x],[1]!Entities[Name_w_County],_xlfn.CONCAT("Entity ID ",RIGHT(Table3[[#This Row],[Sponsor_1_num]],8)," not found")),"")</f>
        <v/>
      </c>
      <c r="N537" t="str">
        <f>IF(LEN(H537)&lt;&gt;0,_xlfn.XLOOKUP(H537,[1]!Entities[ID_with_x],[1]!Entities[Name_w_County],_xlfn.CONCAT("Entity ID ",RIGHT(Table3[[#This Row],[Sponsor_1_num]],8)," not found")),"")</f>
        <v/>
      </c>
      <c r="O537" t="str">
        <f>IF(LEN(I537)&lt;&gt;0,_xlfn.XLOOKUP(I537,[1]!Entities[ID_with_x],[1]!Entities[Name_w_County],_xlfn.CONCAT("Entity ID ",RIGHT(Table3[[#This Row],[Sponsor_1_num]],8)," not found")),"")</f>
        <v/>
      </c>
      <c r="P537" t="str">
        <f>IF(LEN(J537)&lt;&gt;0,_xlfn.XLOOKUP(J537,[1]!Entities[ID_with_x],[1]!Entities[Name_w_County],_xlfn.CONCAT("Entity ID ",RIGHT(Table3[[#This Row],[Sponsor_1_num]],8)," not found")),"")</f>
        <v/>
      </c>
      <c r="Q537" t="str">
        <f>IF(LEN(K537)&gt;0,_xlfn.TEXTJOIN(", ",TRUE,K537:P537),Table3[[#This Row],[SPONSOR_LIST]])</f>
        <v>Coleman County</v>
      </c>
    </row>
    <row r="538" spans="1:17" x14ac:dyDescent="0.25">
      <c r="A538" s="304" t="s">
        <v>638</v>
      </c>
      <c r="B538" t="s">
        <v>637</v>
      </c>
      <c r="C538" t="str">
        <f t="shared" si="9"/>
        <v>x00000050</v>
      </c>
      <c r="D538" t="str">
        <f>SUBSTITUTE(SUBSTITUTE(Table3[[#This Row],[Sponsor_list_tranform]],",",",x")," ","")</f>
        <v>x00000050</v>
      </c>
      <c r="E538" t="s">
        <v>11809</v>
      </c>
      <c r="K538" t="str">
        <f>IF(LEN(E538)&lt;&gt;0,_xlfn.XLOOKUP(E538,[1]!Entities[ID_with_x],[1]!Entities[Name_w_County],_xlfn.CONCAT("Entity ID ",RIGHT(Table3[[#This Row],[Sponsor_1_num]],8)," not found")),"")</f>
        <v>Menard County</v>
      </c>
      <c r="L538" t="str">
        <f>IF(LEN(F538)&lt;&gt;0,_xlfn.XLOOKUP(F538,[1]!Entities[ID_with_x],[1]!Entities[Name_w_County],_xlfn.CONCAT("Entity ID ",RIGHT(Table3[[#This Row],[Sponsor_1_num]],8)," not found")),"")</f>
        <v/>
      </c>
      <c r="M538" t="str">
        <f>IF(LEN(G538)&lt;&gt;0,_xlfn.XLOOKUP(G538,[1]!Entities[ID_with_x],[1]!Entities[Name_w_County],_xlfn.CONCAT("Entity ID ",RIGHT(Table3[[#This Row],[Sponsor_1_num]],8)," not found")),"")</f>
        <v/>
      </c>
      <c r="N538" t="str">
        <f>IF(LEN(H538)&lt;&gt;0,_xlfn.XLOOKUP(H538,[1]!Entities[ID_with_x],[1]!Entities[Name_w_County],_xlfn.CONCAT("Entity ID ",RIGHT(Table3[[#This Row],[Sponsor_1_num]],8)," not found")),"")</f>
        <v/>
      </c>
      <c r="O538" t="str">
        <f>IF(LEN(I538)&lt;&gt;0,_xlfn.XLOOKUP(I538,[1]!Entities[ID_with_x],[1]!Entities[Name_w_County],_xlfn.CONCAT("Entity ID ",RIGHT(Table3[[#This Row],[Sponsor_1_num]],8)," not found")),"")</f>
        <v/>
      </c>
      <c r="P538" t="str">
        <f>IF(LEN(J538)&lt;&gt;0,_xlfn.XLOOKUP(J538,[1]!Entities[ID_with_x],[1]!Entities[Name_w_County],_xlfn.CONCAT("Entity ID ",RIGHT(Table3[[#This Row],[Sponsor_1_num]],8)," not found")),"")</f>
        <v/>
      </c>
      <c r="Q538" t="str">
        <f>IF(LEN(K538)&gt;0,_xlfn.TEXTJOIN(", ",TRUE,K538:P538),Table3[[#This Row],[SPONSOR_LIST]])</f>
        <v>Menard County</v>
      </c>
    </row>
    <row r="539" spans="1:17" x14ac:dyDescent="0.25">
      <c r="A539" s="304" t="s">
        <v>646</v>
      </c>
      <c r="B539" t="s">
        <v>654</v>
      </c>
      <c r="C539" t="str">
        <f t="shared" si="9"/>
        <v>x00000186</v>
      </c>
      <c r="D539" t="str">
        <f>SUBSTITUTE(SUBSTITUTE(Table3[[#This Row],[Sponsor_list_tranform]],",",",x")," ","")</f>
        <v>x00000186</v>
      </c>
      <c r="E539" t="s">
        <v>11733</v>
      </c>
      <c r="K539" t="str">
        <f>IF(LEN(E539)&lt;&gt;0,_xlfn.XLOOKUP(E539,[1]!Entities[ID_with_x],[1]!Entities[Name_w_County],_xlfn.CONCAT("Entity ID ",RIGHT(Table3[[#This Row],[Sponsor_1_num]],8)," not found")),"")</f>
        <v>Hockley County</v>
      </c>
      <c r="L539" t="str">
        <f>IF(LEN(F539)&lt;&gt;0,_xlfn.XLOOKUP(F539,[1]!Entities[ID_with_x],[1]!Entities[Name_w_County],_xlfn.CONCAT("Entity ID ",RIGHT(Table3[[#This Row],[Sponsor_1_num]],8)," not found")),"")</f>
        <v/>
      </c>
      <c r="M539" t="str">
        <f>IF(LEN(G539)&lt;&gt;0,_xlfn.XLOOKUP(G539,[1]!Entities[ID_with_x],[1]!Entities[Name_w_County],_xlfn.CONCAT("Entity ID ",RIGHT(Table3[[#This Row],[Sponsor_1_num]],8)," not found")),"")</f>
        <v/>
      </c>
      <c r="N539" t="str">
        <f>IF(LEN(H539)&lt;&gt;0,_xlfn.XLOOKUP(H539,[1]!Entities[ID_with_x],[1]!Entities[Name_w_County],_xlfn.CONCAT("Entity ID ",RIGHT(Table3[[#This Row],[Sponsor_1_num]],8)," not found")),"")</f>
        <v/>
      </c>
      <c r="O539" t="str">
        <f>IF(LEN(I539)&lt;&gt;0,_xlfn.XLOOKUP(I539,[1]!Entities[ID_with_x],[1]!Entities[Name_w_County],_xlfn.CONCAT("Entity ID ",RIGHT(Table3[[#This Row],[Sponsor_1_num]],8)," not found")),"")</f>
        <v/>
      </c>
      <c r="P539" t="str">
        <f>IF(LEN(J539)&lt;&gt;0,_xlfn.XLOOKUP(J539,[1]!Entities[ID_with_x],[1]!Entities[Name_w_County],_xlfn.CONCAT("Entity ID ",RIGHT(Table3[[#This Row],[Sponsor_1_num]],8)," not found")),"")</f>
        <v/>
      </c>
      <c r="Q539" t="str">
        <f>IF(LEN(K539)&gt;0,_xlfn.TEXTJOIN(", ",TRUE,K539:P539),Table3[[#This Row],[SPONSOR_LIST]])</f>
        <v>Hockley County</v>
      </c>
    </row>
    <row r="540" spans="1:17" x14ac:dyDescent="0.25">
      <c r="A540" s="304" t="s">
        <v>656</v>
      </c>
      <c r="B540" t="s">
        <v>654</v>
      </c>
      <c r="C540" t="str">
        <f t="shared" si="9"/>
        <v>x00000186</v>
      </c>
      <c r="D540" t="str">
        <f>SUBSTITUTE(SUBSTITUTE(Table3[[#This Row],[Sponsor_list_tranform]],",",",x")," ","")</f>
        <v>x00000186</v>
      </c>
      <c r="E540" t="s">
        <v>11733</v>
      </c>
      <c r="K540" t="str">
        <f>IF(LEN(E540)&lt;&gt;0,_xlfn.XLOOKUP(E540,[1]!Entities[ID_with_x],[1]!Entities[Name_w_County],_xlfn.CONCAT("Entity ID ",RIGHT(Table3[[#This Row],[Sponsor_1_num]],8)," not found")),"")</f>
        <v>Hockley County</v>
      </c>
      <c r="L540" t="str">
        <f>IF(LEN(F540)&lt;&gt;0,_xlfn.XLOOKUP(F540,[1]!Entities[ID_with_x],[1]!Entities[Name_w_County],_xlfn.CONCAT("Entity ID ",RIGHT(Table3[[#This Row],[Sponsor_1_num]],8)," not found")),"")</f>
        <v/>
      </c>
      <c r="M540" t="str">
        <f>IF(LEN(G540)&lt;&gt;0,_xlfn.XLOOKUP(G540,[1]!Entities[ID_with_x],[1]!Entities[Name_w_County],_xlfn.CONCAT("Entity ID ",RIGHT(Table3[[#This Row],[Sponsor_1_num]],8)," not found")),"")</f>
        <v/>
      </c>
      <c r="N540" t="str">
        <f>IF(LEN(H540)&lt;&gt;0,_xlfn.XLOOKUP(H540,[1]!Entities[ID_with_x],[1]!Entities[Name_w_County],_xlfn.CONCAT("Entity ID ",RIGHT(Table3[[#This Row],[Sponsor_1_num]],8)," not found")),"")</f>
        <v/>
      </c>
      <c r="O540" t="str">
        <f>IF(LEN(I540)&lt;&gt;0,_xlfn.XLOOKUP(I540,[1]!Entities[ID_with_x],[1]!Entities[Name_w_County],_xlfn.CONCAT("Entity ID ",RIGHT(Table3[[#This Row],[Sponsor_1_num]],8)," not found")),"")</f>
        <v/>
      </c>
      <c r="P540" t="str">
        <f>IF(LEN(J540)&lt;&gt;0,_xlfn.XLOOKUP(J540,[1]!Entities[ID_with_x],[1]!Entities[Name_w_County],_xlfn.CONCAT("Entity ID ",RIGHT(Table3[[#This Row],[Sponsor_1_num]],8)," not found")),"")</f>
        <v/>
      </c>
      <c r="Q540" t="str">
        <f>IF(LEN(K540)&gt;0,_xlfn.TEXTJOIN(", ",TRUE,K540:P540),Table3[[#This Row],[SPONSOR_LIST]])</f>
        <v>Hockley County</v>
      </c>
    </row>
    <row r="541" spans="1:17" x14ac:dyDescent="0.25">
      <c r="A541" s="304" t="s">
        <v>659</v>
      </c>
      <c r="B541" t="s">
        <v>654</v>
      </c>
      <c r="C541" t="str">
        <f t="shared" si="9"/>
        <v>x00000186</v>
      </c>
      <c r="D541" t="str">
        <f>SUBSTITUTE(SUBSTITUTE(Table3[[#This Row],[Sponsor_list_tranform]],",",",x")," ","")</f>
        <v>x00000186</v>
      </c>
      <c r="E541" t="s">
        <v>11733</v>
      </c>
      <c r="K541" t="str">
        <f>IF(LEN(E541)&lt;&gt;0,_xlfn.XLOOKUP(E541,[1]!Entities[ID_with_x],[1]!Entities[Name_w_County],_xlfn.CONCAT("Entity ID ",RIGHT(Table3[[#This Row],[Sponsor_1_num]],8)," not found")),"")</f>
        <v>Hockley County</v>
      </c>
      <c r="L541" t="str">
        <f>IF(LEN(F541)&lt;&gt;0,_xlfn.XLOOKUP(F541,[1]!Entities[ID_with_x],[1]!Entities[Name_w_County],_xlfn.CONCAT("Entity ID ",RIGHT(Table3[[#This Row],[Sponsor_1_num]],8)," not found")),"")</f>
        <v/>
      </c>
      <c r="M541" t="str">
        <f>IF(LEN(G541)&lt;&gt;0,_xlfn.XLOOKUP(G541,[1]!Entities[ID_with_x],[1]!Entities[Name_w_County],_xlfn.CONCAT("Entity ID ",RIGHT(Table3[[#This Row],[Sponsor_1_num]],8)," not found")),"")</f>
        <v/>
      </c>
      <c r="N541" t="str">
        <f>IF(LEN(H541)&lt;&gt;0,_xlfn.XLOOKUP(H541,[1]!Entities[ID_with_x],[1]!Entities[Name_w_County],_xlfn.CONCAT("Entity ID ",RIGHT(Table3[[#This Row],[Sponsor_1_num]],8)," not found")),"")</f>
        <v/>
      </c>
      <c r="O541" t="str">
        <f>IF(LEN(I541)&lt;&gt;0,_xlfn.XLOOKUP(I541,[1]!Entities[ID_with_x],[1]!Entities[Name_w_County],_xlfn.CONCAT("Entity ID ",RIGHT(Table3[[#This Row],[Sponsor_1_num]],8)," not found")),"")</f>
        <v/>
      </c>
      <c r="P541" t="str">
        <f>IF(LEN(J541)&lt;&gt;0,_xlfn.XLOOKUP(J541,[1]!Entities[ID_with_x],[1]!Entities[Name_w_County],_xlfn.CONCAT("Entity ID ",RIGHT(Table3[[#This Row],[Sponsor_1_num]],8)," not found")),"")</f>
        <v/>
      </c>
      <c r="Q541" t="str">
        <f>IF(LEN(K541)&gt;0,_xlfn.TEXTJOIN(", ",TRUE,K541:P541),Table3[[#This Row],[SPONSOR_LIST]])</f>
        <v>Hockley County</v>
      </c>
    </row>
    <row r="542" spans="1:17" x14ac:dyDescent="0.25">
      <c r="A542" s="304" t="s">
        <v>663</v>
      </c>
      <c r="B542" t="s">
        <v>637</v>
      </c>
      <c r="C542" t="str">
        <f t="shared" si="9"/>
        <v>x00000050</v>
      </c>
      <c r="D542" t="str">
        <f>SUBSTITUTE(SUBSTITUTE(Table3[[#This Row],[Sponsor_list_tranform]],",",",x")," ","")</f>
        <v>x00000050</v>
      </c>
      <c r="E542" t="s">
        <v>11809</v>
      </c>
      <c r="K542" t="str">
        <f>IF(LEN(E542)&lt;&gt;0,_xlfn.XLOOKUP(E542,[1]!Entities[ID_with_x],[1]!Entities[Name_w_County],_xlfn.CONCAT("Entity ID ",RIGHT(Table3[[#This Row],[Sponsor_1_num]],8)," not found")),"")</f>
        <v>Menard County</v>
      </c>
      <c r="L542" t="str">
        <f>IF(LEN(F542)&lt;&gt;0,_xlfn.XLOOKUP(F542,[1]!Entities[ID_with_x],[1]!Entities[Name_w_County],_xlfn.CONCAT("Entity ID ",RIGHT(Table3[[#This Row],[Sponsor_1_num]],8)," not found")),"")</f>
        <v/>
      </c>
      <c r="M542" t="str">
        <f>IF(LEN(G542)&lt;&gt;0,_xlfn.XLOOKUP(G542,[1]!Entities[ID_with_x],[1]!Entities[Name_w_County],_xlfn.CONCAT("Entity ID ",RIGHT(Table3[[#This Row],[Sponsor_1_num]],8)," not found")),"")</f>
        <v/>
      </c>
      <c r="N542" t="str">
        <f>IF(LEN(H542)&lt;&gt;0,_xlfn.XLOOKUP(H542,[1]!Entities[ID_with_x],[1]!Entities[Name_w_County],_xlfn.CONCAT("Entity ID ",RIGHT(Table3[[#This Row],[Sponsor_1_num]],8)," not found")),"")</f>
        <v/>
      </c>
      <c r="O542" t="str">
        <f>IF(LEN(I542)&lt;&gt;0,_xlfn.XLOOKUP(I542,[1]!Entities[ID_with_x],[1]!Entities[Name_w_County],_xlfn.CONCAT("Entity ID ",RIGHT(Table3[[#This Row],[Sponsor_1_num]],8)," not found")),"")</f>
        <v/>
      </c>
      <c r="P542" t="str">
        <f>IF(LEN(J542)&lt;&gt;0,_xlfn.XLOOKUP(J542,[1]!Entities[ID_with_x],[1]!Entities[Name_w_County],_xlfn.CONCAT("Entity ID ",RIGHT(Table3[[#This Row],[Sponsor_1_num]],8)," not found")),"")</f>
        <v/>
      </c>
      <c r="Q542" t="str">
        <f>IF(LEN(K542)&gt;0,_xlfn.TEXTJOIN(", ",TRUE,K542:P542),Table3[[#This Row],[SPONSOR_LIST]])</f>
        <v>Menard County</v>
      </c>
    </row>
    <row r="543" spans="1:17" x14ac:dyDescent="0.25">
      <c r="A543" s="304" t="s">
        <v>678</v>
      </c>
      <c r="B543" t="s">
        <v>423</v>
      </c>
      <c r="C543" t="str">
        <f t="shared" si="9"/>
        <v>x00000172</v>
      </c>
      <c r="D543" t="str">
        <f>SUBSTITUTE(SUBSTITUTE(Table3[[#This Row],[Sponsor_list_tranform]],",",",x")," ","")</f>
        <v>x00000172</v>
      </c>
      <c r="E543" t="s">
        <v>11729</v>
      </c>
      <c r="K543" t="str">
        <f>IF(LEN(E543)&lt;&gt;0,_xlfn.XLOOKUP(E543,[1]!Entities[ID_with_x],[1]!Entities[Name_w_County],_xlfn.CONCAT("Entity ID ",RIGHT(Table3[[#This Row],[Sponsor_1_num]],8)," not found")),"")</f>
        <v>Mitchell County</v>
      </c>
      <c r="L543" t="str">
        <f>IF(LEN(F543)&lt;&gt;0,_xlfn.XLOOKUP(F543,[1]!Entities[ID_with_x],[1]!Entities[Name_w_County],_xlfn.CONCAT("Entity ID ",RIGHT(Table3[[#This Row],[Sponsor_1_num]],8)," not found")),"")</f>
        <v/>
      </c>
      <c r="M543" t="str">
        <f>IF(LEN(G543)&lt;&gt;0,_xlfn.XLOOKUP(G543,[1]!Entities[ID_with_x],[1]!Entities[Name_w_County],_xlfn.CONCAT("Entity ID ",RIGHT(Table3[[#This Row],[Sponsor_1_num]],8)," not found")),"")</f>
        <v/>
      </c>
      <c r="N543" t="str">
        <f>IF(LEN(H543)&lt;&gt;0,_xlfn.XLOOKUP(H543,[1]!Entities[ID_with_x],[1]!Entities[Name_w_County],_xlfn.CONCAT("Entity ID ",RIGHT(Table3[[#This Row],[Sponsor_1_num]],8)," not found")),"")</f>
        <v/>
      </c>
      <c r="O543" t="str">
        <f>IF(LEN(I543)&lt;&gt;0,_xlfn.XLOOKUP(I543,[1]!Entities[ID_with_x],[1]!Entities[Name_w_County],_xlfn.CONCAT("Entity ID ",RIGHT(Table3[[#This Row],[Sponsor_1_num]],8)," not found")),"")</f>
        <v/>
      </c>
      <c r="P543" t="str">
        <f>IF(LEN(J543)&lt;&gt;0,_xlfn.XLOOKUP(J543,[1]!Entities[ID_with_x],[1]!Entities[Name_w_County],_xlfn.CONCAT("Entity ID ",RIGHT(Table3[[#This Row],[Sponsor_1_num]],8)," not found")),"")</f>
        <v/>
      </c>
      <c r="Q543" t="str">
        <f>IF(LEN(K543)&gt;0,_xlfn.TEXTJOIN(", ",TRUE,K543:P543),Table3[[#This Row],[SPONSOR_LIST]])</f>
        <v>Mitchell County</v>
      </c>
    </row>
    <row r="544" spans="1:17" x14ac:dyDescent="0.25">
      <c r="A544" s="304" t="s">
        <v>681</v>
      </c>
      <c r="B544" t="s">
        <v>423</v>
      </c>
      <c r="C544" t="str">
        <f t="shared" si="9"/>
        <v>x00000172</v>
      </c>
      <c r="D544" t="str">
        <f>SUBSTITUTE(SUBSTITUTE(Table3[[#This Row],[Sponsor_list_tranform]],",",",x")," ","")</f>
        <v>x00000172</v>
      </c>
      <c r="E544" t="s">
        <v>11729</v>
      </c>
      <c r="K544" t="str">
        <f>IF(LEN(E544)&lt;&gt;0,_xlfn.XLOOKUP(E544,[1]!Entities[ID_with_x],[1]!Entities[Name_w_County],_xlfn.CONCAT("Entity ID ",RIGHT(Table3[[#This Row],[Sponsor_1_num]],8)," not found")),"")</f>
        <v>Mitchell County</v>
      </c>
      <c r="L544" t="str">
        <f>IF(LEN(F544)&lt;&gt;0,_xlfn.XLOOKUP(F544,[1]!Entities[ID_with_x],[1]!Entities[Name_w_County],_xlfn.CONCAT("Entity ID ",RIGHT(Table3[[#This Row],[Sponsor_1_num]],8)," not found")),"")</f>
        <v/>
      </c>
      <c r="M544" t="str">
        <f>IF(LEN(G544)&lt;&gt;0,_xlfn.XLOOKUP(G544,[1]!Entities[ID_with_x],[1]!Entities[Name_w_County],_xlfn.CONCAT("Entity ID ",RIGHT(Table3[[#This Row],[Sponsor_1_num]],8)," not found")),"")</f>
        <v/>
      </c>
      <c r="N544" t="str">
        <f>IF(LEN(H544)&lt;&gt;0,_xlfn.XLOOKUP(H544,[1]!Entities[ID_with_x],[1]!Entities[Name_w_County],_xlfn.CONCAT("Entity ID ",RIGHT(Table3[[#This Row],[Sponsor_1_num]],8)," not found")),"")</f>
        <v/>
      </c>
      <c r="O544" t="str">
        <f>IF(LEN(I544)&lt;&gt;0,_xlfn.XLOOKUP(I544,[1]!Entities[ID_with_x],[1]!Entities[Name_w_County],_xlfn.CONCAT("Entity ID ",RIGHT(Table3[[#This Row],[Sponsor_1_num]],8)," not found")),"")</f>
        <v/>
      </c>
      <c r="P544" t="str">
        <f>IF(LEN(J544)&lt;&gt;0,_xlfn.XLOOKUP(J544,[1]!Entities[ID_with_x],[1]!Entities[Name_w_County],_xlfn.CONCAT("Entity ID ",RIGHT(Table3[[#This Row],[Sponsor_1_num]],8)," not found")),"")</f>
        <v/>
      </c>
      <c r="Q544" t="str">
        <f>IF(LEN(K544)&gt;0,_xlfn.TEXTJOIN(", ",TRUE,K544:P544),Table3[[#This Row],[SPONSOR_LIST]])</f>
        <v>Mitchell County</v>
      </c>
    </row>
    <row r="545" spans="1:17" x14ac:dyDescent="0.25">
      <c r="A545" s="304" t="s">
        <v>684</v>
      </c>
      <c r="B545" t="s">
        <v>556</v>
      </c>
      <c r="C545" t="str">
        <f t="shared" si="9"/>
        <v>x00000116</v>
      </c>
      <c r="D545" t="str">
        <f>SUBSTITUTE(SUBSTITUTE(Table3[[#This Row],[Sponsor_list_tranform]],",",",x")," ","")</f>
        <v>x00000116</v>
      </c>
      <c r="E545" t="s">
        <v>11731</v>
      </c>
      <c r="K545" t="str">
        <f>IF(LEN(E545)&lt;&gt;0,_xlfn.XLOOKUP(E545,[1]!Entities[ID_with_x],[1]!Entities[Name_w_County],_xlfn.CONCAT("Entity ID ",RIGHT(Table3[[#This Row],[Sponsor_1_num]],8)," not found")),"")</f>
        <v>Scurry County</v>
      </c>
      <c r="L545" t="str">
        <f>IF(LEN(F545)&lt;&gt;0,_xlfn.XLOOKUP(F545,[1]!Entities[ID_with_x],[1]!Entities[Name_w_County],_xlfn.CONCAT("Entity ID ",RIGHT(Table3[[#This Row],[Sponsor_1_num]],8)," not found")),"")</f>
        <v/>
      </c>
      <c r="M545" t="str">
        <f>IF(LEN(G545)&lt;&gt;0,_xlfn.XLOOKUP(G545,[1]!Entities[ID_with_x],[1]!Entities[Name_w_County],_xlfn.CONCAT("Entity ID ",RIGHT(Table3[[#This Row],[Sponsor_1_num]],8)," not found")),"")</f>
        <v/>
      </c>
      <c r="N545" t="str">
        <f>IF(LEN(H545)&lt;&gt;0,_xlfn.XLOOKUP(H545,[1]!Entities[ID_with_x],[1]!Entities[Name_w_County],_xlfn.CONCAT("Entity ID ",RIGHT(Table3[[#This Row],[Sponsor_1_num]],8)," not found")),"")</f>
        <v/>
      </c>
      <c r="O545" t="str">
        <f>IF(LEN(I545)&lt;&gt;0,_xlfn.XLOOKUP(I545,[1]!Entities[ID_with_x],[1]!Entities[Name_w_County],_xlfn.CONCAT("Entity ID ",RIGHT(Table3[[#This Row],[Sponsor_1_num]],8)," not found")),"")</f>
        <v/>
      </c>
      <c r="P545" t="str">
        <f>IF(LEN(J545)&lt;&gt;0,_xlfn.XLOOKUP(J545,[1]!Entities[ID_with_x],[1]!Entities[Name_w_County],_xlfn.CONCAT("Entity ID ",RIGHT(Table3[[#This Row],[Sponsor_1_num]],8)," not found")),"")</f>
        <v/>
      </c>
      <c r="Q545" t="str">
        <f>IF(LEN(K545)&gt;0,_xlfn.TEXTJOIN(", ",TRUE,K545:P545),Table3[[#This Row],[SPONSOR_LIST]])</f>
        <v>Scurry County</v>
      </c>
    </row>
    <row r="546" spans="1:17" x14ac:dyDescent="0.25">
      <c r="A546" s="304" t="s">
        <v>688</v>
      </c>
      <c r="B546" t="s">
        <v>470</v>
      </c>
      <c r="C546" t="str">
        <f t="shared" si="9"/>
        <v>x09000147</v>
      </c>
      <c r="D546" t="str">
        <f>SUBSTITUTE(SUBSTITUTE(Table3[[#This Row],[Sponsor_list_tranform]],",",",x")," ","")</f>
        <v>x09000147</v>
      </c>
      <c r="E546" t="s">
        <v>11734</v>
      </c>
      <c r="K546" t="str">
        <f>IF(LEN(E546)&lt;&gt;0,_xlfn.XLOOKUP(E546,[1]!Entities[ID_with_x],[1]!Entities[Name_w_County],_xlfn.CONCAT("Entity ID ",RIGHT(Table3[[#This Row],[Sponsor_1_num]],8)," not found")),"")</f>
        <v>Coke County</v>
      </c>
      <c r="L546" t="str">
        <f>IF(LEN(F546)&lt;&gt;0,_xlfn.XLOOKUP(F546,[1]!Entities[ID_with_x],[1]!Entities[Name_w_County],_xlfn.CONCAT("Entity ID ",RIGHT(Table3[[#This Row],[Sponsor_1_num]],8)," not found")),"")</f>
        <v/>
      </c>
      <c r="M546" t="str">
        <f>IF(LEN(G546)&lt;&gt;0,_xlfn.XLOOKUP(G546,[1]!Entities[ID_with_x],[1]!Entities[Name_w_County],_xlfn.CONCAT("Entity ID ",RIGHT(Table3[[#This Row],[Sponsor_1_num]],8)," not found")),"")</f>
        <v/>
      </c>
      <c r="N546" t="str">
        <f>IF(LEN(H546)&lt;&gt;0,_xlfn.XLOOKUP(H546,[1]!Entities[ID_with_x],[1]!Entities[Name_w_County],_xlfn.CONCAT("Entity ID ",RIGHT(Table3[[#This Row],[Sponsor_1_num]],8)," not found")),"")</f>
        <v/>
      </c>
      <c r="O546" t="str">
        <f>IF(LEN(I546)&lt;&gt;0,_xlfn.XLOOKUP(I546,[1]!Entities[ID_with_x],[1]!Entities[Name_w_County],_xlfn.CONCAT("Entity ID ",RIGHT(Table3[[#This Row],[Sponsor_1_num]],8)," not found")),"")</f>
        <v/>
      </c>
      <c r="P546" t="str">
        <f>IF(LEN(J546)&lt;&gt;0,_xlfn.XLOOKUP(J546,[1]!Entities[ID_with_x],[1]!Entities[Name_w_County],_xlfn.CONCAT("Entity ID ",RIGHT(Table3[[#This Row],[Sponsor_1_num]],8)," not found")),"")</f>
        <v/>
      </c>
      <c r="Q546" t="str">
        <f>IF(LEN(K546)&gt;0,_xlfn.TEXTJOIN(", ",TRUE,K546:P546),Table3[[#This Row],[SPONSOR_LIST]])</f>
        <v>Coke County</v>
      </c>
    </row>
    <row r="547" spans="1:17" x14ac:dyDescent="0.25">
      <c r="A547" s="304" t="s">
        <v>1011</v>
      </c>
      <c r="B547" t="s">
        <v>470</v>
      </c>
      <c r="C547" t="str">
        <f t="shared" si="9"/>
        <v>x09000147</v>
      </c>
      <c r="D547" t="str">
        <f>SUBSTITUTE(SUBSTITUTE(Table3[[#This Row],[Sponsor_list_tranform]],",",",x")," ","")</f>
        <v>x09000147</v>
      </c>
      <c r="E547" t="s">
        <v>11734</v>
      </c>
      <c r="K547" t="str">
        <f>IF(LEN(E547)&lt;&gt;0,_xlfn.XLOOKUP(E547,[1]!Entities[ID_with_x],[1]!Entities[Name_w_County],_xlfn.CONCAT("Entity ID ",RIGHT(Table3[[#This Row],[Sponsor_1_num]],8)," not found")),"")</f>
        <v>Coke County</v>
      </c>
      <c r="L547" t="str">
        <f>IF(LEN(F547)&lt;&gt;0,_xlfn.XLOOKUP(F547,[1]!Entities[ID_with_x],[1]!Entities[Name_w_County],_xlfn.CONCAT("Entity ID ",RIGHT(Table3[[#This Row],[Sponsor_1_num]],8)," not found")),"")</f>
        <v/>
      </c>
      <c r="M547" t="str">
        <f>IF(LEN(G547)&lt;&gt;0,_xlfn.XLOOKUP(G547,[1]!Entities[ID_with_x],[1]!Entities[Name_w_County],_xlfn.CONCAT("Entity ID ",RIGHT(Table3[[#This Row],[Sponsor_1_num]],8)," not found")),"")</f>
        <v/>
      </c>
      <c r="N547" t="str">
        <f>IF(LEN(H547)&lt;&gt;0,_xlfn.XLOOKUP(H547,[1]!Entities[ID_with_x],[1]!Entities[Name_w_County],_xlfn.CONCAT("Entity ID ",RIGHT(Table3[[#This Row],[Sponsor_1_num]],8)," not found")),"")</f>
        <v/>
      </c>
      <c r="O547" t="str">
        <f>IF(LEN(I547)&lt;&gt;0,_xlfn.XLOOKUP(I547,[1]!Entities[ID_with_x],[1]!Entities[Name_w_County],_xlfn.CONCAT("Entity ID ",RIGHT(Table3[[#This Row],[Sponsor_1_num]],8)," not found")),"")</f>
        <v/>
      </c>
      <c r="P547" t="str">
        <f>IF(LEN(J547)&lt;&gt;0,_xlfn.XLOOKUP(J547,[1]!Entities[ID_with_x],[1]!Entities[Name_w_County],_xlfn.CONCAT("Entity ID ",RIGHT(Table3[[#This Row],[Sponsor_1_num]],8)," not found")),"")</f>
        <v/>
      </c>
      <c r="Q547" t="str">
        <f>IF(LEN(K547)&gt;0,_xlfn.TEXTJOIN(", ",TRUE,K547:P547),Table3[[#This Row],[SPONSOR_LIST]])</f>
        <v>Coke County</v>
      </c>
    </row>
    <row r="548" spans="1:17" x14ac:dyDescent="0.25">
      <c r="A548" s="304" t="s">
        <v>1014</v>
      </c>
      <c r="B548" t="s">
        <v>789</v>
      </c>
      <c r="C548" t="str">
        <f t="shared" si="9"/>
        <v>x00000126</v>
      </c>
      <c r="D548" t="str">
        <f>SUBSTITUTE(SUBSTITUTE(Table3[[#This Row],[Sponsor_list_tranform]],",",",x")," ","")</f>
        <v>x00000126</v>
      </c>
      <c r="E548" t="s">
        <v>11743</v>
      </c>
      <c r="K548" t="str">
        <f>IF(LEN(E548)&lt;&gt;0,_xlfn.XLOOKUP(E548,[1]!Entities[ID_with_x],[1]!Entities[Name_w_County],_xlfn.CONCAT("Entity ID ",RIGHT(Table3[[#This Row],[Sponsor_1_num]],8)," not found")),"")</f>
        <v>Reagan County</v>
      </c>
      <c r="L548" t="str">
        <f>IF(LEN(F548)&lt;&gt;0,_xlfn.XLOOKUP(F548,[1]!Entities[ID_with_x],[1]!Entities[Name_w_County],_xlfn.CONCAT("Entity ID ",RIGHT(Table3[[#This Row],[Sponsor_1_num]],8)," not found")),"")</f>
        <v/>
      </c>
      <c r="M548" t="str">
        <f>IF(LEN(G548)&lt;&gt;0,_xlfn.XLOOKUP(G548,[1]!Entities[ID_with_x],[1]!Entities[Name_w_County],_xlfn.CONCAT("Entity ID ",RIGHT(Table3[[#This Row],[Sponsor_1_num]],8)," not found")),"")</f>
        <v/>
      </c>
      <c r="N548" t="str">
        <f>IF(LEN(H548)&lt;&gt;0,_xlfn.XLOOKUP(H548,[1]!Entities[ID_with_x],[1]!Entities[Name_w_County],_xlfn.CONCAT("Entity ID ",RIGHT(Table3[[#This Row],[Sponsor_1_num]],8)," not found")),"")</f>
        <v/>
      </c>
      <c r="O548" t="str">
        <f>IF(LEN(I548)&lt;&gt;0,_xlfn.XLOOKUP(I548,[1]!Entities[ID_with_x],[1]!Entities[Name_w_County],_xlfn.CONCAT("Entity ID ",RIGHT(Table3[[#This Row],[Sponsor_1_num]],8)," not found")),"")</f>
        <v/>
      </c>
      <c r="P548" t="str">
        <f>IF(LEN(J548)&lt;&gt;0,_xlfn.XLOOKUP(J548,[1]!Entities[ID_with_x],[1]!Entities[Name_w_County],_xlfn.CONCAT("Entity ID ",RIGHT(Table3[[#This Row],[Sponsor_1_num]],8)," not found")),"")</f>
        <v/>
      </c>
      <c r="Q548" t="str">
        <f>IF(LEN(K548)&gt;0,_xlfn.TEXTJOIN(", ",TRUE,K548:P548),Table3[[#This Row],[SPONSOR_LIST]])</f>
        <v>Reagan County</v>
      </c>
    </row>
    <row r="549" spans="1:17" x14ac:dyDescent="0.25">
      <c r="A549" s="304" t="s">
        <v>695</v>
      </c>
      <c r="B549" t="s">
        <v>698</v>
      </c>
      <c r="C549" t="str">
        <f t="shared" si="9"/>
        <v>x00000145</v>
      </c>
      <c r="D549" t="str">
        <f>SUBSTITUTE(SUBSTITUTE(Table3[[#This Row],[Sponsor_list_tranform]],",",",x")," ","")</f>
        <v>x00000145</v>
      </c>
      <c r="E549" t="s">
        <v>11737</v>
      </c>
      <c r="K549" t="str">
        <f>IF(LEN(E549)&lt;&gt;0,_xlfn.XLOOKUP(E549,[1]!Entities[ID_with_x],[1]!Entities[Name_w_County],_xlfn.CONCAT("Entity ID ",RIGHT(Table3[[#This Row],[Sponsor_1_num]],8)," not found")),"")</f>
        <v>Runnels County</v>
      </c>
      <c r="L549" t="str">
        <f>IF(LEN(F549)&lt;&gt;0,_xlfn.XLOOKUP(F549,[1]!Entities[ID_with_x],[1]!Entities[Name_w_County],_xlfn.CONCAT("Entity ID ",RIGHT(Table3[[#This Row],[Sponsor_1_num]],8)," not found")),"")</f>
        <v/>
      </c>
      <c r="M549" t="str">
        <f>IF(LEN(G549)&lt;&gt;0,_xlfn.XLOOKUP(G549,[1]!Entities[ID_with_x],[1]!Entities[Name_w_County],_xlfn.CONCAT("Entity ID ",RIGHT(Table3[[#This Row],[Sponsor_1_num]],8)," not found")),"")</f>
        <v/>
      </c>
      <c r="N549" t="str">
        <f>IF(LEN(H549)&lt;&gt;0,_xlfn.XLOOKUP(H549,[1]!Entities[ID_with_x],[1]!Entities[Name_w_County],_xlfn.CONCAT("Entity ID ",RIGHT(Table3[[#This Row],[Sponsor_1_num]],8)," not found")),"")</f>
        <v/>
      </c>
      <c r="O549" t="str">
        <f>IF(LEN(I549)&lt;&gt;0,_xlfn.XLOOKUP(I549,[1]!Entities[ID_with_x],[1]!Entities[Name_w_County],_xlfn.CONCAT("Entity ID ",RIGHT(Table3[[#This Row],[Sponsor_1_num]],8)," not found")),"")</f>
        <v/>
      </c>
      <c r="P549" t="str">
        <f>IF(LEN(J549)&lt;&gt;0,_xlfn.XLOOKUP(J549,[1]!Entities[ID_with_x],[1]!Entities[Name_w_County],_xlfn.CONCAT("Entity ID ",RIGHT(Table3[[#This Row],[Sponsor_1_num]],8)," not found")),"")</f>
        <v/>
      </c>
      <c r="Q549" t="str">
        <f>IF(LEN(K549)&gt;0,_xlfn.TEXTJOIN(", ",TRUE,K549:P549),Table3[[#This Row],[SPONSOR_LIST]])</f>
        <v>Runnels County</v>
      </c>
    </row>
    <row r="550" spans="1:17" x14ac:dyDescent="0.25">
      <c r="A550" s="304" t="s">
        <v>700</v>
      </c>
      <c r="B550" t="s">
        <v>698</v>
      </c>
      <c r="C550" t="str">
        <f t="shared" si="9"/>
        <v>x00000145</v>
      </c>
      <c r="D550" t="str">
        <f>SUBSTITUTE(SUBSTITUTE(Table3[[#This Row],[Sponsor_list_tranform]],",",",x")," ","")</f>
        <v>x00000145</v>
      </c>
      <c r="E550" t="s">
        <v>11737</v>
      </c>
      <c r="K550" t="str">
        <f>IF(LEN(E550)&lt;&gt;0,_xlfn.XLOOKUP(E550,[1]!Entities[ID_with_x],[1]!Entities[Name_w_County],_xlfn.CONCAT("Entity ID ",RIGHT(Table3[[#This Row],[Sponsor_1_num]],8)," not found")),"")</f>
        <v>Runnels County</v>
      </c>
      <c r="L550" t="str">
        <f>IF(LEN(F550)&lt;&gt;0,_xlfn.XLOOKUP(F550,[1]!Entities[ID_with_x],[1]!Entities[Name_w_County],_xlfn.CONCAT("Entity ID ",RIGHT(Table3[[#This Row],[Sponsor_1_num]],8)," not found")),"")</f>
        <v/>
      </c>
      <c r="M550" t="str">
        <f>IF(LEN(G550)&lt;&gt;0,_xlfn.XLOOKUP(G550,[1]!Entities[ID_with_x],[1]!Entities[Name_w_County],_xlfn.CONCAT("Entity ID ",RIGHT(Table3[[#This Row],[Sponsor_1_num]],8)," not found")),"")</f>
        <v/>
      </c>
      <c r="N550" t="str">
        <f>IF(LEN(H550)&lt;&gt;0,_xlfn.XLOOKUP(H550,[1]!Entities[ID_with_x],[1]!Entities[Name_w_County],_xlfn.CONCAT("Entity ID ",RIGHT(Table3[[#This Row],[Sponsor_1_num]],8)," not found")),"")</f>
        <v/>
      </c>
      <c r="O550" t="str">
        <f>IF(LEN(I550)&lt;&gt;0,_xlfn.XLOOKUP(I550,[1]!Entities[ID_with_x],[1]!Entities[Name_w_County],_xlfn.CONCAT("Entity ID ",RIGHT(Table3[[#This Row],[Sponsor_1_num]],8)," not found")),"")</f>
        <v/>
      </c>
      <c r="P550" t="str">
        <f>IF(LEN(J550)&lt;&gt;0,_xlfn.XLOOKUP(J550,[1]!Entities[ID_with_x],[1]!Entities[Name_w_County],_xlfn.CONCAT("Entity ID ",RIGHT(Table3[[#This Row],[Sponsor_1_num]],8)," not found")),"")</f>
        <v/>
      </c>
      <c r="Q550" t="str">
        <f>IF(LEN(K550)&gt;0,_xlfn.TEXTJOIN(", ",TRUE,K550:P550),Table3[[#This Row],[SPONSOR_LIST]])</f>
        <v>Runnels County</v>
      </c>
    </row>
    <row r="551" spans="1:17" x14ac:dyDescent="0.25">
      <c r="A551" s="304" t="s">
        <v>702</v>
      </c>
      <c r="B551" t="s">
        <v>698</v>
      </c>
      <c r="C551" t="str">
        <f t="shared" si="9"/>
        <v>x00000145</v>
      </c>
      <c r="D551" t="str">
        <f>SUBSTITUTE(SUBSTITUTE(Table3[[#This Row],[Sponsor_list_tranform]],",",",x")," ","")</f>
        <v>x00000145</v>
      </c>
      <c r="E551" t="s">
        <v>11737</v>
      </c>
      <c r="K551" t="str">
        <f>IF(LEN(E551)&lt;&gt;0,_xlfn.XLOOKUP(E551,[1]!Entities[ID_with_x],[1]!Entities[Name_w_County],_xlfn.CONCAT("Entity ID ",RIGHT(Table3[[#This Row],[Sponsor_1_num]],8)," not found")),"")</f>
        <v>Runnels County</v>
      </c>
      <c r="L551" t="str">
        <f>IF(LEN(F551)&lt;&gt;0,_xlfn.XLOOKUP(F551,[1]!Entities[ID_with_x],[1]!Entities[Name_w_County],_xlfn.CONCAT("Entity ID ",RIGHT(Table3[[#This Row],[Sponsor_1_num]],8)," not found")),"")</f>
        <v/>
      </c>
      <c r="M551" t="str">
        <f>IF(LEN(G551)&lt;&gt;0,_xlfn.XLOOKUP(G551,[1]!Entities[ID_with_x],[1]!Entities[Name_w_County],_xlfn.CONCAT("Entity ID ",RIGHT(Table3[[#This Row],[Sponsor_1_num]],8)," not found")),"")</f>
        <v/>
      </c>
      <c r="N551" t="str">
        <f>IF(LEN(H551)&lt;&gt;0,_xlfn.XLOOKUP(H551,[1]!Entities[ID_with_x],[1]!Entities[Name_w_County],_xlfn.CONCAT("Entity ID ",RIGHT(Table3[[#This Row],[Sponsor_1_num]],8)," not found")),"")</f>
        <v/>
      </c>
      <c r="O551" t="str">
        <f>IF(LEN(I551)&lt;&gt;0,_xlfn.XLOOKUP(I551,[1]!Entities[ID_with_x],[1]!Entities[Name_w_County],_xlfn.CONCAT("Entity ID ",RIGHT(Table3[[#This Row],[Sponsor_1_num]],8)," not found")),"")</f>
        <v/>
      </c>
      <c r="P551" t="str">
        <f>IF(LEN(J551)&lt;&gt;0,_xlfn.XLOOKUP(J551,[1]!Entities[ID_with_x],[1]!Entities[Name_w_County],_xlfn.CONCAT("Entity ID ",RIGHT(Table3[[#This Row],[Sponsor_1_num]],8)," not found")),"")</f>
        <v/>
      </c>
      <c r="Q551" t="str">
        <f>IF(LEN(K551)&gt;0,_xlfn.TEXTJOIN(", ",TRUE,K551:P551),Table3[[#This Row],[SPONSOR_LIST]])</f>
        <v>Runnels County</v>
      </c>
    </row>
    <row r="552" spans="1:17" x14ac:dyDescent="0.25">
      <c r="A552" s="304" t="s">
        <v>1016</v>
      </c>
      <c r="B552" t="s">
        <v>996</v>
      </c>
      <c r="C552" t="str">
        <f t="shared" si="9"/>
        <v>x00000168</v>
      </c>
      <c r="D552" t="str">
        <f>SUBSTITUTE(SUBSTITUTE(Table3[[#This Row],[Sponsor_list_tranform]],",",",x")," ","")</f>
        <v>x00000168</v>
      </c>
      <c r="E552" t="s">
        <v>11647</v>
      </c>
      <c r="K552" t="str">
        <f>IF(LEN(E552)&lt;&gt;0,_xlfn.XLOOKUP(E552,[1]!Entities[ID_with_x],[1]!Entities[Name_w_County],_xlfn.CONCAT("Entity ID ",RIGHT(Table3[[#This Row],[Sponsor_1_num]],8)," not found")),"")</f>
        <v>Taylor County</v>
      </c>
      <c r="L552" t="str">
        <f>IF(LEN(F552)&lt;&gt;0,_xlfn.XLOOKUP(F552,[1]!Entities[ID_with_x],[1]!Entities[Name_w_County],_xlfn.CONCAT("Entity ID ",RIGHT(Table3[[#This Row],[Sponsor_1_num]],8)," not found")),"")</f>
        <v/>
      </c>
      <c r="M552" t="str">
        <f>IF(LEN(G552)&lt;&gt;0,_xlfn.XLOOKUP(G552,[1]!Entities[ID_with_x],[1]!Entities[Name_w_County],_xlfn.CONCAT("Entity ID ",RIGHT(Table3[[#This Row],[Sponsor_1_num]],8)," not found")),"")</f>
        <v/>
      </c>
      <c r="N552" t="str">
        <f>IF(LEN(H552)&lt;&gt;0,_xlfn.XLOOKUP(H552,[1]!Entities[ID_with_x],[1]!Entities[Name_w_County],_xlfn.CONCAT("Entity ID ",RIGHT(Table3[[#This Row],[Sponsor_1_num]],8)," not found")),"")</f>
        <v/>
      </c>
      <c r="O552" t="str">
        <f>IF(LEN(I552)&lt;&gt;0,_xlfn.XLOOKUP(I552,[1]!Entities[ID_with_x],[1]!Entities[Name_w_County],_xlfn.CONCAT("Entity ID ",RIGHT(Table3[[#This Row],[Sponsor_1_num]],8)," not found")),"")</f>
        <v/>
      </c>
      <c r="P552" t="str">
        <f>IF(LEN(J552)&lt;&gt;0,_xlfn.XLOOKUP(J552,[1]!Entities[ID_with_x],[1]!Entities[Name_w_County],_xlfn.CONCAT("Entity ID ",RIGHT(Table3[[#This Row],[Sponsor_1_num]],8)," not found")),"")</f>
        <v/>
      </c>
      <c r="Q552" t="str">
        <f>IF(LEN(K552)&gt;0,_xlfn.TEXTJOIN(", ",TRUE,K552:P552),Table3[[#This Row],[SPONSOR_LIST]])</f>
        <v>Taylor County</v>
      </c>
    </row>
    <row r="553" spans="1:17" x14ac:dyDescent="0.25">
      <c r="A553" s="304" t="s">
        <v>993</v>
      </c>
      <c r="B553" t="s">
        <v>996</v>
      </c>
      <c r="C553" t="str">
        <f t="shared" si="9"/>
        <v>x00000168</v>
      </c>
      <c r="D553" t="str">
        <f>SUBSTITUTE(SUBSTITUTE(Table3[[#This Row],[Sponsor_list_tranform]],",",",x")," ","")</f>
        <v>x00000168</v>
      </c>
      <c r="E553" t="s">
        <v>11647</v>
      </c>
      <c r="K553" t="str">
        <f>IF(LEN(E553)&lt;&gt;0,_xlfn.XLOOKUP(E553,[1]!Entities[ID_with_x],[1]!Entities[Name_w_County],_xlfn.CONCAT("Entity ID ",RIGHT(Table3[[#This Row],[Sponsor_1_num]],8)," not found")),"")</f>
        <v>Taylor County</v>
      </c>
      <c r="L553" t="str">
        <f>IF(LEN(F553)&lt;&gt;0,_xlfn.XLOOKUP(F553,[1]!Entities[ID_with_x],[1]!Entities[Name_w_County],_xlfn.CONCAT("Entity ID ",RIGHT(Table3[[#This Row],[Sponsor_1_num]],8)," not found")),"")</f>
        <v/>
      </c>
      <c r="M553" t="str">
        <f>IF(LEN(G553)&lt;&gt;0,_xlfn.XLOOKUP(G553,[1]!Entities[ID_with_x],[1]!Entities[Name_w_County],_xlfn.CONCAT("Entity ID ",RIGHT(Table3[[#This Row],[Sponsor_1_num]],8)," not found")),"")</f>
        <v/>
      </c>
      <c r="N553" t="str">
        <f>IF(LEN(H553)&lt;&gt;0,_xlfn.XLOOKUP(H553,[1]!Entities[ID_with_x],[1]!Entities[Name_w_County],_xlfn.CONCAT("Entity ID ",RIGHT(Table3[[#This Row],[Sponsor_1_num]],8)," not found")),"")</f>
        <v/>
      </c>
      <c r="O553" t="str">
        <f>IF(LEN(I553)&lt;&gt;0,_xlfn.XLOOKUP(I553,[1]!Entities[ID_with_x],[1]!Entities[Name_w_County],_xlfn.CONCAT("Entity ID ",RIGHT(Table3[[#This Row],[Sponsor_1_num]],8)," not found")),"")</f>
        <v/>
      </c>
      <c r="P553" t="str">
        <f>IF(LEN(J553)&lt;&gt;0,_xlfn.XLOOKUP(J553,[1]!Entities[ID_with_x],[1]!Entities[Name_w_County],_xlfn.CONCAT("Entity ID ",RIGHT(Table3[[#This Row],[Sponsor_1_num]],8)," not found")),"")</f>
        <v/>
      </c>
      <c r="Q553" t="str">
        <f>IF(LEN(K553)&gt;0,_xlfn.TEXTJOIN(", ",TRUE,K553:P553),Table3[[#This Row],[SPONSOR_LIST]])</f>
        <v>Taylor County</v>
      </c>
    </row>
    <row r="554" spans="1:17" x14ac:dyDescent="0.25">
      <c r="A554" s="304" t="s">
        <v>986</v>
      </c>
      <c r="B554" t="s">
        <v>989</v>
      </c>
      <c r="C554" t="str">
        <f t="shared" si="9"/>
        <v>x00000170</v>
      </c>
      <c r="D554" t="str">
        <f>SUBSTITUTE(SUBSTITUTE(Table3[[#This Row],[Sponsor_list_tranform]],",",",x")," ","")</f>
        <v>x00000170</v>
      </c>
      <c r="E554" t="s">
        <v>11618</v>
      </c>
      <c r="K554" t="str">
        <f>IF(LEN(E554)&lt;&gt;0,_xlfn.XLOOKUP(E554,[1]!Entities[ID_with_x],[1]!Entities[Name_w_County],_xlfn.CONCAT("Entity ID ",RIGHT(Table3[[#This Row],[Sponsor_1_num]],8)," not found")),"")</f>
        <v>Nolan County</v>
      </c>
      <c r="L554" t="str">
        <f>IF(LEN(F554)&lt;&gt;0,_xlfn.XLOOKUP(F554,[1]!Entities[ID_with_x],[1]!Entities[Name_w_County],_xlfn.CONCAT("Entity ID ",RIGHT(Table3[[#This Row],[Sponsor_1_num]],8)," not found")),"")</f>
        <v/>
      </c>
      <c r="M554" t="str">
        <f>IF(LEN(G554)&lt;&gt;0,_xlfn.XLOOKUP(G554,[1]!Entities[ID_with_x],[1]!Entities[Name_w_County],_xlfn.CONCAT("Entity ID ",RIGHT(Table3[[#This Row],[Sponsor_1_num]],8)," not found")),"")</f>
        <v/>
      </c>
      <c r="N554" t="str">
        <f>IF(LEN(H554)&lt;&gt;0,_xlfn.XLOOKUP(H554,[1]!Entities[ID_with_x],[1]!Entities[Name_w_County],_xlfn.CONCAT("Entity ID ",RIGHT(Table3[[#This Row],[Sponsor_1_num]],8)," not found")),"")</f>
        <v/>
      </c>
      <c r="O554" t="str">
        <f>IF(LEN(I554)&lt;&gt;0,_xlfn.XLOOKUP(I554,[1]!Entities[ID_with_x],[1]!Entities[Name_w_County],_xlfn.CONCAT("Entity ID ",RIGHT(Table3[[#This Row],[Sponsor_1_num]],8)," not found")),"")</f>
        <v/>
      </c>
      <c r="P554" t="str">
        <f>IF(LEN(J554)&lt;&gt;0,_xlfn.XLOOKUP(J554,[1]!Entities[ID_with_x],[1]!Entities[Name_w_County],_xlfn.CONCAT("Entity ID ",RIGHT(Table3[[#This Row],[Sponsor_1_num]],8)," not found")),"")</f>
        <v/>
      </c>
      <c r="Q554" t="str">
        <f>IF(LEN(K554)&gt;0,_xlfn.TEXTJOIN(", ",TRUE,K554:P554),Table3[[#This Row],[SPONSOR_LIST]])</f>
        <v>Nolan County</v>
      </c>
    </row>
    <row r="555" spans="1:17" x14ac:dyDescent="0.25">
      <c r="A555" s="304" t="s">
        <v>704</v>
      </c>
      <c r="B555" t="s">
        <v>711</v>
      </c>
      <c r="C555" t="str">
        <f t="shared" si="9"/>
        <v>x00000151</v>
      </c>
      <c r="D555" t="str">
        <f>SUBSTITUTE(SUBSTITUTE(Table3[[#This Row],[Sponsor_list_tranform]],",",",x")," ","")</f>
        <v>x00000151</v>
      </c>
      <c r="E555" t="s">
        <v>11822</v>
      </c>
      <c r="K555" t="str">
        <f>IF(LEN(E555)&lt;&gt;0,_xlfn.XLOOKUP(E555,[1]!Entities[ID_with_x],[1]!Entities[Name_w_County],_xlfn.CONCAT("Entity ID ",RIGHT(Table3[[#This Row],[Sponsor_1_num]],8)," not found")),"")</f>
        <v>Midland County</v>
      </c>
      <c r="L555" t="str">
        <f>IF(LEN(F555)&lt;&gt;0,_xlfn.XLOOKUP(F555,[1]!Entities[ID_with_x],[1]!Entities[Name_w_County],_xlfn.CONCAT("Entity ID ",RIGHT(Table3[[#This Row],[Sponsor_1_num]],8)," not found")),"")</f>
        <v/>
      </c>
      <c r="M555" t="str">
        <f>IF(LEN(G555)&lt;&gt;0,_xlfn.XLOOKUP(G555,[1]!Entities[ID_with_x],[1]!Entities[Name_w_County],_xlfn.CONCAT("Entity ID ",RIGHT(Table3[[#This Row],[Sponsor_1_num]],8)," not found")),"")</f>
        <v/>
      </c>
      <c r="N555" t="str">
        <f>IF(LEN(H555)&lt;&gt;0,_xlfn.XLOOKUP(H555,[1]!Entities[ID_with_x],[1]!Entities[Name_w_County],_xlfn.CONCAT("Entity ID ",RIGHT(Table3[[#This Row],[Sponsor_1_num]],8)," not found")),"")</f>
        <v/>
      </c>
      <c r="O555" t="str">
        <f>IF(LEN(I555)&lt;&gt;0,_xlfn.XLOOKUP(I555,[1]!Entities[ID_with_x],[1]!Entities[Name_w_County],_xlfn.CONCAT("Entity ID ",RIGHT(Table3[[#This Row],[Sponsor_1_num]],8)," not found")),"")</f>
        <v/>
      </c>
      <c r="P555" t="str">
        <f>IF(LEN(J555)&lt;&gt;0,_xlfn.XLOOKUP(J555,[1]!Entities[ID_with_x],[1]!Entities[Name_w_County],_xlfn.CONCAT("Entity ID ",RIGHT(Table3[[#This Row],[Sponsor_1_num]],8)," not found")),"")</f>
        <v/>
      </c>
      <c r="Q555" t="str">
        <f>IF(LEN(K555)&gt;0,_xlfn.TEXTJOIN(", ",TRUE,K555:P555),Table3[[#This Row],[SPONSOR_LIST]])</f>
        <v>Midland County</v>
      </c>
    </row>
    <row r="556" spans="1:17" x14ac:dyDescent="0.25">
      <c r="A556" s="304" t="s">
        <v>713</v>
      </c>
      <c r="B556" t="s">
        <v>716</v>
      </c>
      <c r="C556" t="str">
        <f t="shared" si="9"/>
        <v>x00000187</v>
      </c>
      <c r="D556" t="str">
        <f>SUBSTITUTE(SUBSTITUTE(Table3[[#This Row],[Sponsor_list_tranform]],",",",x")," ","")</f>
        <v>x00000187</v>
      </c>
      <c r="E556" t="s">
        <v>11807</v>
      </c>
      <c r="K556" t="str">
        <f>IF(LEN(E556)&lt;&gt;0,_xlfn.XLOOKUP(E556,[1]!Entities[ID_with_x],[1]!Entities[Name_w_County],_xlfn.CONCAT("Entity ID ",RIGHT(Table3[[#This Row],[Sponsor_1_num]],8)," not found")),"")</f>
        <v>Cochran County</v>
      </c>
      <c r="L556" t="str">
        <f>IF(LEN(F556)&lt;&gt;0,_xlfn.XLOOKUP(F556,[1]!Entities[ID_with_x],[1]!Entities[Name_w_County],_xlfn.CONCAT("Entity ID ",RIGHT(Table3[[#This Row],[Sponsor_1_num]],8)," not found")),"")</f>
        <v/>
      </c>
      <c r="M556" t="str">
        <f>IF(LEN(G556)&lt;&gt;0,_xlfn.XLOOKUP(G556,[1]!Entities[ID_with_x],[1]!Entities[Name_w_County],_xlfn.CONCAT("Entity ID ",RIGHT(Table3[[#This Row],[Sponsor_1_num]],8)," not found")),"")</f>
        <v/>
      </c>
      <c r="N556" t="str">
        <f>IF(LEN(H556)&lt;&gt;0,_xlfn.XLOOKUP(H556,[1]!Entities[ID_with_x],[1]!Entities[Name_w_County],_xlfn.CONCAT("Entity ID ",RIGHT(Table3[[#This Row],[Sponsor_1_num]],8)," not found")),"")</f>
        <v/>
      </c>
      <c r="O556" t="str">
        <f>IF(LEN(I556)&lt;&gt;0,_xlfn.XLOOKUP(I556,[1]!Entities[ID_with_x],[1]!Entities[Name_w_County],_xlfn.CONCAT("Entity ID ",RIGHT(Table3[[#This Row],[Sponsor_1_num]],8)," not found")),"")</f>
        <v/>
      </c>
      <c r="P556" t="str">
        <f>IF(LEN(J556)&lt;&gt;0,_xlfn.XLOOKUP(J556,[1]!Entities[ID_with_x],[1]!Entities[Name_w_County],_xlfn.CONCAT("Entity ID ",RIGHT(Table3[[#This Row],[Sponsor_1_num]],8)," not found")),"")</f>
        <v/>
      </c>
      <c r="Q556" t="str">
        <f>IF(LEN(K556)&gt;0,_xlfn.TEXTJOIN(", ",TRUE,K556:P556),Table3[[#This Row],[SPONSOR_LIST]])</f>
        <v>Cochran County</v>
      </c>
    </row>
    <row r="557" spans="1:17" x14ac:dyDescent="0.25">
      <c r="A557" s="304" t="s">
        <v>1008</v>
      </c>
      <c r="B557" t="s">
        <v>470</v>
      </c>
      <c r="C557" t="str">
        <f t="shared" si="9"/>
        <v>x09000147</v>
      </c>
      <c r="D557" t="str">
        <f>SUBSTITUTE(SUBSTITUTE(Table3[[#This Row],[Sponsor_list_tranform]],",",",x")," ","")</f>
        <v>x09000147</v>
      </c>
      <c r="E557" t="s">
        <v>11734</v>
      </c>
      <c r="K557" t="str">
        <f>IF(LEN(E557)&lt;&gt;0,_xlfn.XLOOKUP(E557,[1]!Entities[ID_with_x],[1]!Entities[Name_w_County],_xlfn.CONCAT("Entity ID ",RIGHT(Table3[[#This Row],[Sponsor_1_num]],8)," not found")),"")</f>
        <v>Coke County</v>
      </c>
      <c r="L557" t="str">
        <f>IF(LEN(F557)&lt;&gt;0,_xlfn.XLOOKUP(F557,[1]!Entities[ID_with_x],[1]!Entities[Name_w_County],_xlfn.CONCAT("Entity ID ",RIGHT(Table3[[#This Row],[Sponsor_1_num]],8)," not found")),"")</f>
        <v/>
      </c>
      <c r="M557" t="str">
        <f>IF(LEN(G557)&lt;&gt;0,_xlfn.XLOOKUP(G557,[1]!Entities[ID_with_x],[1]!Entities[Name_w_County],_xlfn.CONCAT("Entity ID ",RIGHT(Table3[[#This Row],[Sponsor_1_num]],8)," not found")),"")</f>
        <v/>
      </c>
      <c r="N557" t="str">
        <f>IF(LEN(H557)&lt;&gt;0,_xlfn.XLOOKUP(H557,[1]!Entities[ID_with_x],[1]!Entities[Name_w_County],_xlfn.CONCAT("Entity ID ",RIGHT(Table3[[#This Row],[Sponsor_1_num]],8)," not found")),"")</f>
        <v/>
      </c>
      <c r="O557" t="str">
        <f>IF(LEN(I557)&lt;&gt;0,_xlfn.XLOOKUP(I557,[1]!Entities[ID_with_x],[1]!Entities[Name_w_County],_xlfn.CONCAT("Entity ID ",RIGHT(Table3[[#This Row],[Sponsor_1_num]],8)," not found")),"")</f>
        <v/>
      </c>
      <c r="P557" t="str">
        <f>IF(LEN(J557)&lt;&gt;0,_xlfn.XLOOKUP(J557,[1]!Entities[ID_with_x],[1]!Entities[Name_w_County],_xlfn.CONCAT("Entity ID ",RIGHT(Table3[[#This Row],[Sponsor_1_num]],8)," not found")),"")</f>
        <v/>
      </c>
      <c r="Q557" t="str">
        <f>IF(LEN(K557)&gt;0,_xlfn.TEXTJOIN(", ",TRUE,K557:P557),Table3[[#This Row],[SPONSOR_LIST]])</f>
        <v>Coke County</v>
      </c>
    </row>
    <row r="558" spans="1:17" x14ac:dyDescent="0.25">
      <c r="A558" s="304" t="s">
        <v>981</v>
      </c>
      <c r="B558" t="s">
        <v>789</v>
      </c>
      <c r="C558" t="str">
        <f t="shared" si="9"/>
        <v>x00000126</v>
      </c>
      <c r="D558" t="str">
        <f>SUBSTITUTE(SUBSTITUTE(Table3[[#This Row],[Sponsor_list_tranform]],",",",x")," ","")</f>
        <v>x00000126</v>
      </c>
      <c r="E558" t="s">
        <v>11743</v>
      </c>
      <c r="K558" t="str">
        <f>IF(LEN(E558)&lt;&gt;0,_xlfn.XLOOKUP(E558,[1]!Entities[ID_with_x],[1]!Entities[Name_w_County],_xlfn.CONCAT("Entity ID ",RIGHT(Table3[[#This Row],[Sponsor_1_num]],8)," not found")),"")</f>
        <v>Reagan County</v>
      </c>
      <c r="L558" t="str">
        <f>IF(LEN(F558)&lt;&gt;0,_xlfn.XLOOKUP(F558,[1]!Entities[ID_with_x],[1]!Entities[Name_w_County],_xlfn.CONCAT("Entity ID ",RIGHT(Table3[[#This Row],[Sponsor_1_num]],8)," not found")),"")</f>
        <v/>
      </c>
      <c r="M558" t="str">
        <f>IF(LEN(G558)&lt;&gt;0,_xlfn.XLOOKUP(G558,[1]!Entities[ID_with_x],[1]!Entities[Name_w_County],_xlfn.CONCAT("Entity ID ",RIGHT(Table3[[#This Row],[Sponsor_1_num]],8)," not found")),"")</f>
        <v/>
      </c>
      <c r="N558" t="str">
        <f>IF(LEN(H558)&lt;&gt;0,_xlfn.XLOOKUP(H558,[1]!Entities[ID_with_x],[1]!Entities[Name_w_County],_xlfn.CONCAT("Entity ID ",RIGHT(Table3[[#This Row],[Sponsor_1_num]],8)," not found")),"")</f>
        <v/>
      </c>
      <c r="O558" t="str">
        <f>IF(LEN(I558)&lt;&gt;0,_xlfn.XLOOKUP(I558,[1]!Entities[ID_with_x],[1]!Entities[Name_w_County],_xlfn.CONCAT("Entity ID ",RIGHT(Table3[[#This Row],[Sponsor_1_num]],8)," not found")),"")</f>
        <v/>
      </c>
      <c r="P558" t="str">
        <f>IF(LEN(J558)&lt;&gt;0,_xlfn.XLOOKUP(J558,[1]!Entities[ID_with_x],[1]!Entities[Name_w_County],_xlfn.CONCAT("Entity ID ",RIGHT(Table3[[#This Row],[Sponsor_1_num]],8)," not found")),"")</f>
        <v/>
      </c>
      <c r="Q558" t="str">
        <f>IF(LEN(K558)&gt;0,_xlfn.TEXTJOIN(", ",TRUE,K558:P558),Table3[[#This Row],[SPONSOR_LIST]])</f>
        <v>Reagan County</v>
      </c>
    </row>
    <row r="559" spans="1:17" x14ac:dyDescent="0.25">
      <c r="A559" s="304" t="s">
        <v>718</v>
      </c>
      <c r="B559" t="s">
        <v>470</v>
      </c>
      <c r="C559" t="str">
        <f t="shared" si="9"/>
        <v>x09000147</v>
      </c>
      <c r="D559" t="str">
        <f>SUBSTITUTE(SUBSTITUTE(Table3[[#This Row],[Sponsor_list_tranform]],",",",x")," ","")</f>
        <v>x09000147</v>
      </c>
      <c r="E559" t="s">
        <v>11734</v>
      </c>
      <c r="K559" t="str">
        <f>IF(LEN(E559)&lt;&gt;0,_xlfn.XLOOKUP(E559,[1]!Entities[ID_with_x],[1]!Entities[Name_w_County],_xlfn.CONCAT("Entity ID ",RIGHT(Table3[[#This Row],[Sponsor_1_num]],8)," not found")),"")</f>
        <v>Coke County</v>
      </c>
      <c r="L559" t="str">
        <f>IF(LEN(F559)&lt;&gt;0,_xlfn.XLOOKUP(F559,[1]!Entities[ID_with_x],[1]!Entities[Name_w_County],_xlfn.CONCAT("Entity ID ",RIGHT(Table3[[#This Row],[Sponsor_1_num]],8)," not found")),"")</f>
        <v/>
      </c>
      <c r="M559" t="str">
        <f>IF(LEN(G559)&lt;&gt;0,_xlfn.XLOOKUP(G559,[1]!Entities[ID_with_x],[1]!Entities[Name_w_County],_xlfn.CONCAT("Entity ID ",RIGHT(Table3[[#This Row],[Sponsor_1_num]],8)," not found")),"")</f>
        <v/>
      </c>
      <c r="N559" t="str">
        <f>IF(LEN(H559)&lt;&gt;0,_xlfn.XLOOKUP(H559,[1]!Entities[ID_with_x],[1]!Entities[Name_w_County],_xlfn.CONCAT("Entity ID ",RIGHT(Table3[[#This Row],[Sponsor_1_num]],8)," not found")),"")</f>
        <v/>
      </c>
      <c r="O559" t="str">
        <f>IF(LEN(I559)&lt;&gt;0,_xlfn.XLOOKUP(I559,[1]!Entities[ID_with_x],[1]!Entities[Name_w_County],_xlfn.CONCAT("Entity ID ",RIGHT(Table3[[#This Row],[Sponsor_1_num]],8)," not found")),"")</f>
        <v/>
      </c>
      <c r="P559" t="str">
        <f>IF(LEN(J559)&lt;&gt;0,_xlfn.XLOOKUP(J559,[1]!Entities[ID_with_x],[1]!Entities[Name_w_County],_xlfn.CONCAT("Entity ID ",RIGHT(Table3[[#This Row],[Sponsor_1_num]],8)," not found")),"")</f>
        <v/>
      </c>
      <c r="Q559" t="str">
        <f>IF(LEN(K559)&gt;0,_xlfn.TEXTJOIN(", ",TRUE,K559:P559),Table3[[#This Row],[SPONSOR_LIST]])</f>
        <v>Coke County</v>
      </c>
    </row>
    <row r="560" spans="1:17" x14ac:dyDescent="0.25">
      <c r="A560" s="304" t="s">
        <v>726</v>
      </c>
      <c r="B560" t="s">
        <v>693</v>
      </c>
      <c r="C560" t="str">
        <f t="shared" si="9"/>
        <v>x00000124</v>
      </c>
      <c r="D560" t="str">
        <f>SUBSTITUTE(SUBSTITUTE(Table3[[#This Row],[Sponsor_list_tranform]],",",",x")," ","")</f>
        <v>x00000124</v>
      </c>
      <c r="E560" t="s">
        <v>11736</v>
      </c>
      <c r="K560" t="str">
        <f>IF(LEN(E560)&lt;&gt;0,_xlfn.XLOOKUP(E560,[1]!Entities[ID_with_x],[1]!Entities[Name_w_County],_xlfn.CONCAT("Entity ID ",RIGHT(Table3[[#This Row],[Sponsor_1_num]],8)," not found")),"")</f>
        <v>Concho County</v>
      </c>
      <c r="L560" t="str">
        <f>IF(LEN(F560)&lt;&gt;0,_xlfn.XLOOKUP(F560,[1]!Entities[ID_with_x],[1]!Entities[Name_w_County],_xlfn.CONCAT("Entity ID ",RIGHT(Table3[[#This Row],[Sponsor_1_num]],8)," not found")),"")</f>
        <v/>
      </c>
      <c r="M560" t="str">
        <f>IF(LEN(G560)&lt;&gt;0,_xlfn.XLOOKUP(G560,[1]!Entities[ID_with_x],[1]!Entities[Name_w_County],_xlfn.CONCAT("Entity ID ",RIGHT(Table3[[#This Row],[Sponsor_1_num]],8)," not found")),"")</f>
        <v/>
      </c>
      <c r="N560" t="str">
        <f>IF(LEN(H560)&lt;&gt;0,_xlfn.XLOOKUP(H560,[1]!Entities[ID_with_x],[1]!Entities[Name_w_County],_xlfn.CONCAT("Entity ID ",RIGHT(Table3[[#This Row],[Sponsor_1_num]],8)," not found")),"")</f>
        <v/>
      </c>
      <c r="O560" t="str">
        <f>IF(LEN(I560)&lt;&gt;0,_xlfn.XLOOKUP(I560,[1]!Entities[ID_with_x],[1]!Entities[Name_w_County],_xlfn.CONCAT("Entity ID ",RIGHT(Table3[[#This Row],[Sponsor_1_num]],8)," not found")),"")</f>
        <v/>
      </c>
      <c r="P560" t="str">
        <f>IF(LEN(J560)&lt;&gt;0,_xlfn.XLOOKUP(J560,[1]!Entities[ID_with_x],[1]!Entities[Name_w_County],_xlfn.CONCAT("Entity ID ",RIGHT(Table3[[#This Row],[Sponsor_1_num]],8)," not found")),"")</f>
        <v/>
      </c>
      <c r="Q560" t="str">
        <f>IF(LEN(K560)&gt;0,_xlfn.TEXTJOIN(", ",TRUE,K560:P560),Table3[[#This Row],[SPONSOR_LIST]])</f>
        <v>Concho County</v>
      </c>
    </row>
    <row r="561" spans="1:17" x14ac:dyDescent="0.25">
      <c r="A561" s="304" t="s">
        <v>732</v>
      </c>
      <c r="B561" t="s">
        <v>740</v>
      </c>
      <c r="C561" t="str">
        <f t="shared" si="9"/>
        <v>x00000051</v>
      </c>
      <c r="D561" t="str">
        <f>SUBSTITUTE(SUBSTITUTE(Table3[[#This Row],[Sponsor_list_tranform]],",",",x")," ","")</f>
        <v>x00000051</v>
      </c>
      <c r="E561" t="s">
        <v>11744</v>
      </c>
      <c r="K561" t="str">
        <f>IF(LEN(E561)&lt;&gt;0,_xlfn.XLOOKUP(E561,[1]!Entities[ID_with_x],[1]!Entities[Name_w_County],_xlfn.CONCAT("Entity ID ",RIGHT(Table3[[#This Row],[Sponsor_1_num]],8)," not found")),"")</f>
        <v>Schleicher County</v>
      </c>
      <c r="L561" t="str">
        <f>IF(LEN(F561)&lt;&gt;0,_xlfn.XLOOKUP(F561,[1]!Entities[ID_with_x],[1]!Entities[Name_w_County],_xlfn.CONCAT("Entity ID ",RIGHT(Table3[[#This Row],[Sponsor_1_num]],8)," not found")),"")</f>
        <v/>
      </c>
      <c r="M561" t="str">
        <f>IF(LEN(G561)&lt;&gt;0,_xlfn.XLOOKUP(G561,[1]!Entities[ID_with_x],[1]!Entities[Name_w_County],_xlfn.CONCAT("Entity ID ",RIGHT(Table3[[#This Row],[Sponsor_1_num]],8)," not found")),"")</f>
        <v/>
      </c>
      <c r="N561" t="str">
        <f>IF(LEN(H561)&lt;&gt;0,_xlfn.XLOOKUP(H561,[1]!Entities[ID_with_x],[1]!Entities[Name_w_County],_xlfn.CONCAT("Entity ID ",RIGHT(Table3[[#This Row],[Sponsor_1_num]],8)," not found")),"")</f>
        <v/>
      </c>
      <c r="O561" t="str">
        <f>IF(LEN(I561)&lt;&gt;0,_xlfn.XLOOKUP(I561,[1]!Entities[ID_with_x],[1]!Entities[Name_w_County],_xlfn.CONCAT("Entity ID ",RIGHT(Table3[[#This Row],[Sponsor_1_num]],8)," not found")),"")</f>
        <v/>
      </c>
      <c r="P561" t="str">
        <f>IF(LEN(J561)&lt;&gt;0,_xlfn.XLOOKUP(J561,[1]!Entities[ID_with_x],[1]!Entities[Name_w_County],_xlfn.CONCAT("Entity ID ",RIGHT(Table3[[#This Row],[Sponsor_1_num]],8)," not found")),"")</f>
        <v/>
      </c>
      <c r="Q561" t="str">
        <f>IF(LEN(K561)&gt;0,_xlfn.TEXTJOIN(", ",TRUE,K561:P561),Table3[[#This Row],[SPONSOR_LIST]])</f>
        <v>Schleicher County</v>
      </c>
    </row>
    <row r="562" spans="1:17" x14ac:dyDescent="0.25">
      <c r="A562" s="304" t="s">
        <v>742</v>
      </c>
      <c r="B562" t="s">
        <v>740</v>
      </c>
      <c r="C562" t="str">
        <f t="shared" si="9"/>
        <v>x00000051</v>
      </c>
      <c r="D562" t="str">
        <f>SUBSTITUTE(SUBSTITUTE(Table3[[#This Row],[Sponsor_list_tranform]],",",",x")," ","")</f>
        <v>x00000051</v>
      </c>
      <c r="E562" t="s">
        <v>11744</v>
      </c>
      <c r="K562" t="str">
        <f>IF(LEN(E562)&lt;&gt;0,_xlfn.XLOOKUP(E562,[1]!Entities[ID_with_x],[1]!Entities[Name_w_County],_xlfn.CONCAT("Entity ID ",RIGHT(Table3[[#This Row],[Sponsor_1_num]],8)," not found")),"")</f>
        <v>Schleicher County</v>
      </c>
      <c r="L562" t="str">
        <f>IF(LEN(F562)&lt;&gt;0,_xlfn.XLOOKUP(F562,[1]!Entities[ID_with_x],[1]!Entities[Name_w_County],_xlfn.CONCAT("Entity ID ",RIGHT(Table3[[#This Row],[Sponsor_1_num]],8)," not found")),"")</f>
        <v/>
      </c>
      <c r="M562" t="str">
        <f>IF(LEN(G562)&lt;&gt;0,_xlfn.XLOOKUP(G562,[1]!Entities[ID_with_x],[1]!Entities[Name_w_County],_xlfn.CONCAT("Entity ID ",RIGHT(Table3[[#This Row],[Sponsor_1_num]],8)," not found")),"")</f>
        <v/>
      </c>
      <c r="N562" t="str">
        <f>IF(LEN(H562)&lt;&gt;0,_xlfn.XLOOKUP(H562,[1]!Entities[ID_with_x],[1]!Entities[Name_w_County],_xlfn.CONCAT("Entity ID ",RIGHT(Table3[[#This Row],[Sponsor_1_num]],8)," not found")),"")</f>
        <v/>
      </c>
      <c r="O562" t="str">
        <f>IF(LEN(I562)&lt;&gt;0,_xlfn.XLOOKUP(I562,[1]!Entities[ID_with_x],[1]!Entities[Name_w_County],_xlfn.CONCAT("Entity ID ",RIGHT(Table3[[#This Row],[Sponsor_1_num]],8)," not found")),"")</f>
        <v/>
      </c>
      <c r="P562" t="str">
        <f>IF(LEN(J562)&lt;&gt;0,_xlfn.XLOOKUP(J562,[1]!Entities[ID_with_x],[1]!Entities[Name_w_County],_xlfn.CONCAT("Entity ID ",RIGHT(Table3[[#This Row],[Sponsor_1_num]],8)," not found")),"")</f>
        <v/>
      </c>
      <c r="Q562" t="str">
        <f>IF(LEN(K562)&gt;0,_xlfn.TEXTJOIN(", ",TRUE,K562:P562),Table3[[#This Row],[SPONSOR_LIST]])</f>
        <v>Schleicher County</v>
      </c>
    </row>
    <row r="563" spans="1:17" x14ac:dyDescent="0.25">
      <c r="A563" s="304" t="s">
        <v>744</v>
      </c>
      <c r="B563" t="s">
        <v>676</v>
      </c>
      <c r="C563" t="str">
        <f t="shared" si="9"/>
        <v>x00000152</v>
      </c>
      <c r="D563" t="str">
        <f>SUBSTITUTE(SUBSTITUTE(Table3[[#This Row],[Sponsor_list_tranform]],",",",x")," ","")</f>
        <v>x00000152</v>
      </c>
      <c r="E563" t="s">
        <v>11739</v>
      </c>
      <c r="K563" t="str">
        <f>IF(LEN(E563)&lt;&gt;0,_xlfn.XLOOKUP(E563,[1]!Entities[ID_with_x],[1]!Entities[Name_w_County],_xlfn.CONCAT("Entity ID ",RIGHT(Table3[[#This Row],[Sponsor_1_num]],8)," not found")),"")</f>
        <v>Ector County</v>
      </c>
      <c r="L563" t="str">
        <f>IF(LEN(F563)&lt;&gt;0,_xlfn.XLOOKUP(F563,[1]!Entities[ID_with_x],[1]!Entities[Name_w_County],_xlfn.CONCAT("Entity ID ",RIGHT(Table3[[#This Row],[Sponsor_1_num]],8)," not found")),"")</f>
        <v/>
      </c>
      <c r="M563" t="str">
        <f>IF(LEN(G563)&lt;&gt;0,_xlfn.XLOOKUP(G563,[1]!Entities[ID_with_x],[1]!Entities[Name_w_County],_xlfn.CONCAT("Entity ID ",RIGHT(Table3[[#This Row],[Sponsor_1_num]],8)," not found")),"")</f>
        <v/>
      </c>
      <c r="N563" t="str">
        <f>IF(LEN(H563)&lt;&gt;0,_xlfn.XLOOKUP(H563,[1]!Entities[ID_with_x],[1]!Entities[Name_w_County],_xlfn.CONCAT("Entity ID ",RIGHT(Table3[[#This Row],[Sponsor_1_num]],8)," not found")),"")</f>
        <v/>
      </c>
      <c r="O563" t="str">
        <f>IF(LEN(I563)&lt;&gt;0,_xlfn.XLOOKUP(I563,[1]!Entities[ID_with_x],[1]!Entities[Name_w_County],_xlfn.CONCAT("Entity ID ",RIGHT(Table3[[#This Row],[Sponsor_1_num]],8)," not found")),"")</f>
        <v/>
      </c>
      <c r="P563" t="str">
        <f>IF(LEN(J563)&lt;&gt;0,_xlfn.XLOOKUP(J563,[1]!Entities[ID_with_x],[1]!Entities[Name_w_County],_xlfn.CONCAT("Entity ID ",RIGHT(Table3[[#This Row],[Sponsor_1_num]],8)," not found")),"")</f>
        <v/>
      </c>
      <c r="Q563" t="str">
        <f>IF(LEN(K563)&gt;0,_xlfn.TEXTJOIN(", ",TRUE,K563:P563),Table3[[#This Row],[SPONSOR_LIST]])</f>
        <v>Ector County</v>
      </c>
    </row>
    <row r="564" spans="1:17" x14ac:dyDescent="0.25">
      <c r="A564" s="304" t="s">
        <v>990</v>
      </c>
      <c r="B564" t="s">
        <v>933</v>
      </c>
      <c r="C564" t="str">
        <f t="shared" si="9"/>
        <v>x09002400</v>
      </c>
      <c r="D564" t="str">
        <f>SUBSTITUTE(SUBSTITUTE(Table3[[#This Row],[Sponsor_list_tranform]],",",",x")," ","")</f>
        <v>x09002400</v>
      </c>
      <c r="E564" t="s">
        <v>11810</v>
      </c>
      <c r="K564" t="str">
        <f>IF(LEN(E564)&lt;&gt;0,_xlfn.XLOOKUP(E564,[1]!Entities[ID_with_x],[1]!Entities[Name_w_County],_xlfn.CONCAT("Entity ID ",RIGHT(Table3[[#This Row],[Sponsor_1_num]],8)," not found")),"")</f>
        <v>Mertzon</v>
      </c>
      <c r="L564" t="str">
        <f>IF(LEN(F564)&lt;&gt;0,_xlfn.XLOOKUP(F564,[1]!Entities[ID_with_x],[1]!Entities[Name_w_County],_xlfn.CONCAT("Entity ID ",RIGHT(Table3[[#This Row],[Sponsor_1_num]],8)," not found")),"")</f>
        <v/>
      </c>
      <c r="M564" t="str">
        <f>IF(LEN(G564)&lt;&gt;0,_xlfn.XLOOKUP(G564,[1]!Entities[ID_with_x],[1]!Entities[Name_w_County],_xlfn.CONCAT("Entity ID ",RIGHT(Table3[[#This Row],[Sponsor_1_num]],8)," not found")),"")</f>
        <v/>
      </c>
      <c r="N564" t="str">
        <f>IF(LEN(H564)&lt;&gt;0,_xlfn.XLOOKUP(H564,[1]!Entities[ID_with_x],[1]!Entities[Name_w_County],_xlfn.CONCAT("Entity ID ",RIGHT(Table3[[#This Row],[Sponsor_1_num]],8)," not found")),"")</f>
        <v/>
      </c>
      <c r="O564" t="str">
        <f>IF(LEN(I564)&lt;&gt;0,_xlfn.XLOOKUP(I564,[1]!Entities[ID_with_x],[1]!Entities[Name_w_County],_xlfn.CONCAT("Entity ID ",RIGHT(Table3[[#This Row],[Sponsor_1_num]],8)," not found")),"")</f>
        <v/>
      </c>
      <c r="P564" t="str">
        <f>IF(LEN(J564)&lt;&gt;0,_xlfn.XLOOKUP(J564,[1]!Entities[ID_with_x],[1]!Entities[Name_w_County],_xlfn.CONCAT("Entity ID ",RIGHT(Table3[[#This Row],[Sponsor_1_num]],8)," not found")),"")</f>
        <v/>
      </c>
      <c r="Q564" t="str">
        <f>IF(LEN(K564)&gt;0,_xlfn.TEXTJOIN(", ",TRUE,K564:P564),Table3[[#This Row],[SPONSOR_LIST]])</f>
        <v>Mertzon</v>
      </c>
    </row>
    <row r="565" spans="1:17" x14ac:dyDescent="0.25">
      <c r="A565" s="304" t="s">
        <v>747</v>
      </c>
      <c r="B565" t="s">
        <v>755</v>
      </c>
      <c r="C565" t="str">
        <f t="shared" si="9"/>
        <v>x09000068</v>
      </c>
      <c r="D565" t="str">
        <f>SUBSTITUTE(SUBSTITUTE(Table3[[#This Row],[Sponsor_list_tranform]],",",",x")," ","")</f>
        <v>x09000068</v>
      </c>
      <c r="E565" t="s">
        <v>11735</v>
      </c>
      <c r="K565" t="str">
        <f>IF(LEN(E565)&lt;&gt;0,_xlfn.XLOOKUP(E565,[1]!Entities[ID_with_x],[1]!Entities[Name_w_County],_xlfn.CONCAT("Entity ID ",RIGHT(Table3[[#This Row],[Sponsor_1_num]],8)," not found")),"")</f>
        <v>Irion County</v>
      </c>
      <c r="L565" t="str">
        <f>IF(LEN(F565)&lt;&gt;0,_xlfn.XLOOKUP(F565,[1]!Entities[ID_with_x],[1]!Entities[Name_w_County],_xlfn.CONCAT("Entity ID ",RIGHT(Table3[[#This Row],[Sponsor_1_num]],8)," not found")),"")</f>
        <v/>
      </c>
      <c r="M565" t="str">
        <f>IF(LEN(G565)&lt;&gt;0,_xlfn.XLOOKUP(G565,[1]!Entities[ID_with_x],[1]!Entities[Name_w_County],_xlfn.CONCAT("Entity ID ",RIGHT(Table3[[#This Row],[Sponsor_1_num]],8)," not found")),"")</f>
        <v/>
      </c>
      <c r="N565" t="str">
        <f>IF(LEN(H565)&lt;&gt;0,_xlfn.XLOOKUP(H565,[1]!Entities[ID_with_x],[1]!Entities[Name_w_County],_xlfn.CONCAT("Entity ID ",RIGHT(Table3[[#This Row],[Sponsor_1_num]],8)," not found")),"")</f>
        <v/>
      </c>
      <c r="O565" t="str">
        <f>IF(LEN(I565)&lt;&gt;0,_xlfn.XLOOKUP(I565,[1]!Entities[ID_with_x],[1]!Entities[Name_w_County],_xlfn.CONCAT("Entity ID ",RIGHT(Table3[[#This Row],[Sponsor_1_num]],8)," not found")),"")</f>
        <v/>
      </c>
      <c r="P565" t="str">
        <f>IF(LEN(J565)&lt;&gt;0,_xlfn.XLOOKUP(J565,[1]!Entities[ID_with_x],[1]!Entities[Name_w_County],_xlfn.CONCAT("Entity ID ",RIGHT(Table3[[#This Row],[Sponsor_1_num]],8)," not found")),"")</f>
        <v/>
      </c>
      <c r="Q565" t="str">
        <f>IF(LEN(K565)&gt;0,_xlfn.TEXTJOIN(", ",TRUE,K565:P565),Table3[[#This Row],[SPONSOR_LIST]])</f>
        <v>Irion County</v>
      </c>
    </row>
    <row r="566" spans="1:17" x14ac:dyDescent="0.25">
      <c r="A566" s="304" t="s">
        <v>757</v>
      </c>
      <c r="B566" t="s">
        <v>755</v>
      </c>
      <c r="C566" t="str">
        <f t="shared" si="9"/>
        <v>x09000068</v>
      </c>
      <c r="D566" t="str">
        <f>SUBSTITUTE(SUBSTITUTE(Table3[[#This Row],[Sponsor_list_tranform]],",",",x")," ","")</f>
        <v>x09000068</v>
      </c>
      <c r="E566" t="s">
        <v>11735</v>
      </c>
      <c r="K566" t="str">
        <f>IF(LEN(E566)&lt;&gt;0,_xlfn.XLOOKUP(E566,[1]!Entities[ID_with_x],[1]!Entities[Name_w_County],_xlfn.CONCAT("Entity ID ",RIGHT(Table3[[#This Row],[Sponsor_1_num]],8)," not found")),"")</f>
        <v>Irion County</v>
      </c>
      <c r="L566" t="str">
        <f>IF(LEN(F566)&lt;&gt;0,_xlfn.XLOOKUP(F566,[1]!Entities[ID_with_x],[1]!Entities[Name_w_County],_xlfn.CONCAT("Entity ID ",RIGHT(Table3[[#This Row],[Sponsor_1_num]],8)," not found")),"")</f>
        <v/>
      </c>
      <c r="M566" t="str">
        <f>IF(LEN(G566)&lt;&gt;0,_xlfn.XLOOKUP(G566,[1]!Entities[ID_with_x],[1]!Entities[Name_w_County],_xlfn.CONCAT("Entity ID ",RIGHT(Table3[[#This Row],[Sponsor_1_num]],8)," not found")),"")</f>
        <v/>
      </c>
      <c r="N566" t="str">
        <f>IF(LEN(H566)&lt;&gt;0,_xlfn.XLOOKUP(H566,[1]!Entities[ID_with_x],[1]!Entities[Name_w_County],_xlfn.CONCAT("Entity ID ",RIGHT(Table3[[#This Row],[Sponsor_1_num]],8)," not found")),"")</f>
        <v/>
      </c>
      <c r="O566" t="str">
        <f>IF(LEN(I566)&lt;&gt;0,_xlfn.XLOOKUP(I566,[1]!Entities[ID_with_x],[1]!Entities[Name_w_County],_xlfn.CONCAT("Entity ID ",RIGHT(Table3[[#This Row],[Sponsor_1_num]],8)," not found")),"")</f>
        <v/>
      </c>
      <c r="P566" t="str">
        <f>IF(LEN(J566)&lt;&gt;0,_xlfn.XLOOKUP(J566,[1]!Entities[ID_with_x],[1]!Entities[Name_w_County],_xlfn.CONCAT("Entity ID ",RIGHT(Table3[[#This Row],[Sponsor_1_num]],8)," not found")),"")</f>
        <v/>
      </c>
      <c r="Q566" t="str">
        <f>IF(LEN(K566)&gt;0,_xlfn.TEXTJOIN(", ",TRUE,K566:P566),Table3[[#This Row],[SPONSOR_LIST]])</f>
        <v>Irion County</v>
      </c>
    </row>
    <row r="567" spans="1:17" x14ac:dyDescent="0.25">
      <c r="A567" s="304" t="s">
        <v>759</v>
      </c>
      <c r="B567" t="s">
        <v>755</v>
      </c>
      <c r="C567" t="str">
        <f t="shared" si="9"/>
        <v>x09000068</v>
      </c>
      <c r="D567" t="str">
        <f>SUBSTITUTE(SUBSTITUTE(Table3[[#This Row],[Sponsor_list_tranform]],",",",x")," ","")</f>
        <v>x09000068</v>
      </c>
      <c r="E567" t="s">
        <v>11735</v>
      </c>
      <c r="K567" t="str">
        <f>IF(LEN(E567)&lt;&gt;0,_xlfn.XLOOKUP(E567,[1]!Entities[ID_with_x],[1]!Entities[Name_w_County],_xlfn.CONCAT("Entity ID ",RIGHT(Table3[[#This Row],[Sponsor_1_num]],8)," not found")),"")</f>
        <v>Irion County</v>
      </c>
      <c r="L567" t="str">
        <f>IF(LEN(F567)&lt;&gt;0,_xlfn.XLOOKUP(F567,[1]!Entities[ID_with_x],[1]!Entities[Name_w_County],_xlfn.CONCAT("Entity ID ",RIGHT(Table3[[#This Row],[Sponsor_1_num]],8)," not found")),"")</f>
        <v/>
      </c>
      <c r="M567" t="str">
        <f>IF(LEN(G567)&lt;&gt;0,_xlfn.XLOOKUP(G567,[1]!Entities[ID_with_x],[1]!Entities[Name_w_County],_xlfn.CONCAT("Entity ID ",RIGHT(Table3[[#This Row],[Sponsor_1_num]],8)," not found")),"")</f>
        <v/>
      </c>
      <c r="N567" t="str">
        <f>IF(LEN(H567)&lt;&gt;0,_xlfn.XLOOKUP(H567,[1]!Entities[ID_with_x],[1]!Entities[Name_w_County],_xlfn.CONCAT("Entity ID ",RIGHT(Table3[[#This Row],[Sponsor_1_num]],8)," not found")),"")</f>
        <v/>
      </c>
      <c r="O567" t="str">
        <f>IF(LEN(I567)&lt;&gt;0,_xlfn.XLOOKUP(I567,[1]!Entities[ID_with_x],[1]!Entities[Name_w_County],_xlfn.CONCAT("Entity ID ",RIGHT(Table3[[#This Row],[Sponsor_1_num]],8)," not found")),"")</f>
        <v/>
      </c>
      <c r="P567" t="str">
        <f>IF(LEN(J567)&lt;&gt;0,_xlfn.XLOOKUP(J567,[1]!Entities[ID_with_x],[1]!Entities[Name_w_County],_xlfn.CONCAT("Entity ID ",RIGHT(Table3[[#This Row],[Sponsor_1_num]],8)," not found")),"")</f>
        <v/>
      </c>
      <c r="Q567" t="str">
        <f>IF(LEN(K567)&gt;0,_xlfn.TEXTJOIN(", ",TRUE,K567:P567),Table3[[#This Row],[SPONSOR_LIST]])</f>
        <v>Irion County</v>
      </c>
    </row>
    <row r="568" spans="1:17" x14ac:dyDescent="0.25">
      <c r="A568" s="304" t="s">
        <v>762</v>
      </c>
      <c r="B568" t="s">
        <v>755</v>
      </c>
      <c r="C568" t="str">
        <f t="shared" si="9"/>
        <v>x09000068</v>
      </c>
      <c r="D568" t="str">
        <f>SUBSTITUTE(SUBSTITUTE(Table3[[#This Row],[Sponsor_list_tranform]],",",",x")," ","")</f>
        <v>x09000068</v>
      </c>
      <c r="E568" t="s">
        <v>11735</v>
      </c>
      <c r="K568" t="str">
        <f>IF(LEN(E568)&lt;&gt;0,_xlfn.XLOOKUP(E568,[1]!Entities[ID_with_x],[1]!Entities[Name_w_County],_xlfn.CONCAT("Entity ID ",RIGHT(Table3[[#This Row],[Sponsor_1_num]],8)," not found")),"")</f>
        <v>Irion County</v>
      </c>
      <c r="L568" t="str">
        <f>IF(LEN(F568)&lt;&gt;0,_xlfn.XLOOKUP(F568,[1]!Entities[ID_with_x],[1]!Entities[Name_w_County],_xlfn.CONCAT("Entity ID ",RIGHT(Table3[[#This Row],[Sponsor_1_num]],8)," not found")),"")</f>
        <v/>
      </c>
      <c r="M568" t="str">
        <f>IF(LEN(G568)&lt;&gt;0,_xlfn.XLOOKUP(G568,[1]!Entities[ID_with_x],[1]!Entities[Name_w_County],_xlfn.CONCAT("Entity ID ",RIGHT(Table3[[#This Row],[Sponsor_1_num]],8)," not found")),"")</f>
        <v/>
      </c>
      <c r="N568" t="str">
        <f>IF(LEN(H568)&lt;&gt;0,_xlfn.XLOOKUP(H568,[1]!Entities[ID_with_x],[1]!Entities[Name_w_County],_xlfn.CONCAT("Entity ID ",RIGHT(Table3[[#This Row],[Sponsor_1_num]],8)," not found")),"")</f>
        <v/>
      </c>
      <c r="O568" t="str">
        <f>IF(LEN(I568)&lt;&gt;0,_xlfn.XLOOKUP(I568,[1]!Entities[ID_with_x],[1]!Entities[Name_w_County],_xlfn.CONCAT("Entity ID ",RIGHT(Table3[[#This Row],[Sponsor_1_num]],8)," not found")),"")</f>
        <v/>
      </c>
      <c r="P568" t="str">
        <f>IF(LEN(J568)&lt;&gt;0,_xlfn.XLOOKUP(J568,[1]!Entities[ID_with_x],[1]!Entities[Name_w_County],_xlfn.CONCAT("Entity ID ",RIGHT(Table3[[#This Row],[Sponsor_1_num]],8)," not found")),"")</f>
        <v/>
      </c>
      <c r="Q568" t="str">
        <f>IF(LEN(K568)&gt;0,_xlfn.TEXTJOIN(", ",TRUE,K568:P568),Table3[[#This Row],[SPONSOR_LIST]])</f>
        <v>Irion County</v>
      </c>
    </row>
    <row r="569" spans="1:17" x14ac:dyDescent="0.25">
      <c r="A569" s="304" t="s">
        <v>765</v>
      </c>
      <c r="B569" t="s">
        <v>586</v>
      </c>
      <c r="C569" t="str">
        <f t="shared" si="9"/>
        <v>x00000184</v>
      </c>
      <c r="D569" t="str">
        <f>SUBSTITUTE(SUBSTITUTE(Table3[[#This Row],[Sponsor_list_tranform]],",",",x")," ","")</f>
        <v>x00000184</v>
      </c>
      <c r="E569" t="s">
        <v>11644</v>
      </c>
      <c r="K569" t="str">
        <f>IF(LEN(E569)&lt;&gt;0,_xlfn.XLOOKUP(E569,[1]!Entities[ID_with_x],[1]!Entities[Name_w_County],_xlfn.CONCAT("Entity ID ",RIGHT(Table3[[#This Row],[Sponsor_1_num]],8)," not found")),"")</f>
        <v>Lynn County</v>
      </c>
      <c r="L569" t="str">
        <f>IF(LEN(F569)&lt;&gt;0,_xlfn.XLOOKUP(F569,[1]!Entities[ID_with_x],[1]!Entities[Name_w_County],_xlfn.CONCAT("Entity ID ",RIGHT(Table3[[#This Row],[Sponsor_1_num]],8)," not found")),"")</f>
        <v/>
      </c>
      <c r="M569" t="str">
        <f>IF(LEN(G569)&lt;&gt;0,_xlfn.XLOOKUP(G569,[1]!Entities[ID_with_x],[1]!Entities[Name_w_County],_xlfn.CONCAT("Entity ID ",RIGHT(Table3[[#This Row],[Sponsor_1_num]],8)," not found")),"")</f>
        <v/>
      </c>
      <c r="N569" t="str">
        <f>IF(LEN(H569)&lt;&gt;0,_xlfn.XLOOKUP(H569,[1]!Entities[ID_with_x],[1]!Entities[Name_w_County],_xlfn.CONCAT("Entity ID ",RIGHT(Table3[[#This Row],[Sponsor_1_num]],8)," not found")),"")</f>
        <v/>
      </c>
      <c r="O569" t="str">
        <f>IF(LEN(I569)&lt;&gt;0,_xlfn.XLOOKUP(I569,[1]!Entities[ID_with_x],[1]!Entities[Name_w_County],_xlfn.CONCAT("Entity ID ",RIGHT(Table3[[#This Row],[Sponsor_1_num]],8)," not found")),"")</f>
        <v/>
      </c>
      <c r="P569" t="str">
        <f>IF(LEN(J569)&lt;&gt;0,_xlfn.XLOOKUP(J569,[1]!Entities[ID_with_x],[1]!Entities[Name_w_County],_xlfn.CONCAT("Entity ID ",RIGHT(Table3[[#This Row],[Sponsor_1_num]],8)," not found")),"")</f>
        <v/>
      </c>
      <c r="Q569" t="str">
        <f>IF(LEN(K569)&gt;0,_xlfn.TEXTJOIN(", ",TRUE,K569:P569),Table3[[#This Row],[SPONSOR_LIST]])</f>
        <v>Lynn County</v>
      </c>
    </row>
    <row r="570" spans="1:17" x14ac:dyDescent="0.25">
      <c r="A570" s="304" t="s">
        <v>769</v>
      </c>
      <c r="B570" t="s">
        <v>423</v>
      </c>
      <c r="C570" t="str">
        <f t="shared" si="9"/>
        <v>x00000172</v>
      </c>
      <c r="D570" t="str">
        <f>SUBSTITUTE(SUBSTITUTE(Table3[[#This Row],[Sponsor_list_tranform]],",",",x")," ","")</f>
        <v>x00000172</v>
      </c>
      <c r="E570" t="s">
        <v>11729</v>
      </c>
      <c r="K570" t="str">
        <f>IF(LEN(E570)&lt;&gt;0,_xlfn.XLOOKUP(E570,[1]!Entities[ID_with_x],[1]!Entities[Name_w_County],_xlfn.CONCAT("Entity ID ",RIGHT(Table3[[#This Row],[Sponsor_1_num]],8)," not found")),"")</f>
        <v>Mitchell County</v>
      </c>
      <c r="L570" t="str">
        <f>IF(LEN(F570)&lt;&gt;0,_xlfn.XLOOKUP(F570,[1]!Entities[ID_with_x],[1]!Entities[Name_w_County],_xlfn.CONCAT("Entity ID ",RIGHT(Table3[[#This Row],[Sponsor_1_num]],8)," not found")),"")</f>
        <v/>
      </c>
      <c r="M570" t="str">
        <f>IF(LEN(G570)&lt;&gt;0,_xlfn.XLOOKUP(G570,[1]!Entities[ID_with_x],[1]!Entities[Name_w_County],_xlfn.CONCAT("Entity ID ",RIGHT(Table3[[#This Row],[Sponsor_1_num]],8)," not found")),"")</f>
        <v/>
      </c>
      <c r="N570" t="str">
        <f>IF(LEN(H570)&lt;&gt;0,_xlfn.XLOOKUP(H570,[1]!Entities[ID_with_x],[1]!Entities[Name_w_County],_xlfn.CONCAT("Entity ID ",RIGHT(Table3[[#This Row],[Sponsor_1_num]],8)," not found")),"")</f>
        <v/>
      </c>
      <c r="O570" t="str">
        <f>IF(LEN(I570)&lt;&gt;0,_xlfn.XLOOKUP(I570,[1]!Entities[ID_with_x],[1]!Entities[Name_w_County],_xlfn.CONCAT("Entity ID ",RIGHT(Table3[[#This Row],[Sponsor_1_num]],8)," not found")),"")</f>
        <v/>
      </c>
      <c r="P570" t="str">
        <f>IF(LEN(J570)&lt;&gt;0,_xlfn.XLOOKUP(J570,[1]!Entities[ID_with_x],[1]!Entities[Name_w_County],_xlfn.CONCAT("Entity ID ",RIGHT(Table3[[#This Row],[Sponsor_1_num]],8)," not found")),"")</f>
        <v/>
      </c>
      <c r="Q570" t="str">
        <f>IF(LEN(K570)&gt;0,_xlfn.TEXTJOIN(", ",TRUE,K570:P570),Table3[[#This Row],[SPONSOR_LIST]])</f>
        <v>Mitchell County</v>
      </c>
    </row>
    <row r="571" spans="1:17" x14ac:dyDescent="0.25">
      <c r="A571" s="304" t="s">
        <v>772</v>
      </c>
      <c r="B571" t="s">
        <v>423</v>
      </c>
      <c r="C571" t="str">
        <f t="shared" si="9"/>
        <v>x00000172</v>
      </c>
      <c r="D571" t="str">
        <f>SUBSTITUTE(SUBSTITUTE(Table3[[#This Row],[Sponsor_list_tranform]],",",",x")," ","")</f>
        <v>x00000172</v>
      </c>
      <c r="E571" t="s">
        <v>11729</v>
      </c>
      <c r="K571" t="str">
        <f>IF(LEN(E571)&lt;&gt;0,_xlfn.XLOOKUP(E571,[1]!Entities[ID_with_x],[1]!Entities[Name_w_County],_xlfn.CONCAT("Entity ID ",RIGHT(Table3[[#This Row],[Sponsor_1_num]],8)," not found")),"")</f>
        <v>Mitchell County</v>
      </c>
      <c r="L571" t="str">
        <f>IF(LEN(F571)&lt;&gt;0,_xlfn.XLOOKUP(F571,[1]!Entities[ID_with_x],[1]!Entities[Name_w_County],_xlfn.CONCAT("Entity ID ",RIGHT(Table3[[#This Row],[Sponsor_1_num]],8)," not found")),"")</f>
        <v/>
      </c>
      <c r="M571" t="str">
        <f>IF(LEN(G571)&lt;&gt;0,_xlfn.XLOOKUP(G571,[1]!Entities[ID_with_x],[1]!Entities[Name_w_County],_xlfn.CONCAT("Entity ID ",RIGHT(Table3[[#This Row],[Sponsor_1_num]],8)," not found")),"")</f>
        <v/>
      </c>
      <c r="N571" t="str">
        <f>IF(LEN(H571)&lt;&gt;0,_xlfn.XLOOKUP(H571,[1]!Entities[ID_with_x],[1]!Entities[Name_w_County],_xlfn.CONCAT("Entity ID ",RIGHT(Table3[[#This Row],[Sponsor_1_num]],8)," not found")),"")</f>
        <v/>
      </c>
      <c r="O571" t="str">
        <f>IF(LEN(I571)&lt;&gt;0,_xlfn.XLOOKUP(I571,[1]!Entities[ID_with_x],[1]!Entities[Name_w_County],_xlfn.CONCAT("Entity ID ",RIGHT(Table3[[#This Row],[Sponsor_1_num]],8)," not found")),"")</f>
        <v/>
      </c>
      <c r="P571" t="str">
        <f>IF(LEN(J571)&lt;&gt;0,_xlfn.XLOOKUP(J571,[1]!Entities[ID_with_x],[1]!Entities[Name_w_County],_xlfn.CONCAT("Entity ID ",RIGHT(Table3[[#This Row],[Sponsor_1_num]],8)," not found")),"")</f>
        <v/>
      </c>
      <c r="Q571" t="str">
        <f>IF(LEN(K571)&gt;0,_xlfn.TEXTJOIN(", ",TRUE,K571:P571),Table3[[#This Row],[SPONSOR_LIST]])</f>
        <v>Mitchell County</v>
      </c>
    </row>
    <row r="572" spans="1:17" x14ac:dyDescent="0.25">
      <c r="A572" s="304" t="s">
        <v>775</v>
      </c>
      <c r="B572" t="s">
        <v>556</v>
      </c>
      <c r="C572" t="str">
        <f t="shared" si="9"/>
        <v>x00000116</v>
      </c>
      <c r="D572" t="str">
        <f>SUBSTITUTE(SUBSTITUTE(Table3[[#This Row],[Sponsor_list_tranform]],",",",x")," ","")</f>
        <v>x00000116</v>
      </c>
      <c r="E572" t="s">
        <v>11731</v>
      </c>
      <c r="K572" t="str">
        <f>IF(LEN(E572)&lt;&gt;0,_xlfn.XLOOKUP(E572,[1]!Entities[ID_with_x],[1]!Entities[Name_w_County],_xlfn.CONCAT("Entity ID ",RIGHT(Table3[[#This Row],[Sponsor_1_num]],8)," not found")),"")</f>
        <v>Scurry County</v>
      </c>
      <c r="L572" t="str">
        <f>IF(LEN(F572)&lt;&gt;0,_xlfn.XLOOKUP(F572,[1]!Entities[ID_with_x],[1]!Entities[Name_w_County],_xlfn.CONCAT("Entity ID ",RIGHT(Table3[[#This Row],[Sponsor_1_num]],8)," not found")),"")</f>
        <v/>
      </c>
      <c r="M572" t="str">
        <f>IF(LEN(G572)&lt;&gt;0,_xlfn.XLOOKUP(G572,[1]!Entities[ID_with_x],[1]!Entities[Name_w_County],_xlfn.CONCAT("Entity ID ",RIGHT(Table3[[#This Row],[Sponsor_1_num]],8)," not found")),"")</f>
        <v/>
      </c>
      <c r="N572" t="str">
        <f>IF(LEN(H572)&lt;&gt;0,_xlfn.XLOOKUP(H572,[1]!Entities[ID_with_x],[1]!Entities[Name_w_County],_xlfn.CONCAT("Entity ID ",RIGHT(Table3[[#This Row],[Sponsor_1_num]],8)," not found")),"")</f>
        <v/>
      </c>
      <c r="O572" t="str">
        <f>IF(LEN(I572)&lt;&gt;0,_xlfn.XLOOKUP(I572,[1]!Entities[ID_with_x],[1]!Entities[Name_w_County],_xlfn.CONCAT("Entity ID ",RIGHT(Table3[[#This Row],[Sponsor_1_num]],8)," not found")),"")</f>
        <v/>
      </c>
      <c r="P572" t="str">
        <f>IF(LEN(J572)&lt;&gt;0,_xlfn.XLOOKUP(J572,[1]!Entities[ID_with_x],[1]!Entities[Name_w_County],_xlfn.CONCAT("Entity ID ",RIGHT(Table3[[#This Row],[Sponsor_1_num]],8)," not found")),"")</f>
        <v/>
      </c>
      <c r="Q572" t="str">
        <f>IF(LEN(K572)&gt;0,_xlfn.TEXTJOIN(", ",TRUE,K572:P572),Table3[[#This Row],[SPONSOR_LIST]])</f>
        <v>Scurry County</v>
      </c>
    </row>
    <row r="573" spans="1:17" x14ac:dyDescent="0.25">
      <c r="A573" s="304" t="s">
        <v>778</v>
      </c>
      <c r="B573" t="s">
        <v>470</v>
      </c>
      <c r="C573" t="str">
        <f t="shared" si="9"/>
        <v>x09000147</v>
      </c>
      <c r="D573" t="str">
        <f>SUBSTITUTE(SUBSTITUTE(Table3[[#This Row],[Sponsor_list_tranform]],",",",x")," ","")</f>
        <v>x09000147</v>
      </c>
      <c r="E573" t="s">
        <v>11734</v>
      </c>
      <c r="K573" t="str">
        <f>IF(LEN(E573)&lt;&gt;0,_xlfn.XLOOKUP(E573,[1]!Entities[ID_with_x],[1]!Entities[Name_w_County],_xlfn.CONCAT("Entity ID ",RIGHT(Table3[[#This Row],[Sponsor_1_num]],8)," not found")),"")</f>
        <v>Coke County</v>
      </c>
      <c r="L573" t="str">
        <f>IF(LEN(F573)&lt;&gt;0,_xlfn.XLOOKUP(F573,[1]!Entities[ID_with_x],[1]!Entities[Name_w_County],_xlfn.CONCAT("Entity ID ",RIGHT(Table3[[#This Row],[Sponsor_1_num]],8)," not found")),"")</f>
        <v/>
      </c>
      <c r="M573" t="str">
        <f>IF(LEN(G573)&lt;&gt;0,_xlfn.XLOOKUP(G573,[1]!Entities[ID_with_x],[1]!Entities[Name_w_County],_xlfn.CONCAT("Entity ID ",RIGHT(Table3[[#This Row],[Sponsor_1_num]],8)," not found")),"")</f>
        <v/>
      </c>
      <c r="N573" t="str">
        <f>IF(LEN(H573)&lt;&gt;0,_xlfn.XLOOKUP(H573,[1]!Entities[ID_with_x],[1]!Entities[Name_w_County],_xlfn.CONCAT("Entity ID ",RIGHT(Table3[[#This Row],[Sponsor_1_num]],8)," not found")),"")</f>
        <v/>
      </c>
      <c r="O573" t="str">
        <f>IF(LEN(I573)&lt;&gt;0,_xlfn.XLOOKUP(I573,[1]!Entities[ID_with_x],[1]!Entities[Name_w_County],_xlfn.CONCAT("Entity ID ",RIGHT(Table3[[#This Row],[Sponsor_1_num]],8)," not found")),"")</f>
        <v/>
      </c>
      <c r="P573" t="str">
        <f>IF(LEN(J573)&lt;&gt;0,_xlfn.XLOOKUP(J573,[1]!Entities[ID_with_x],[1]!Entities[Name_w_County],_xlfn.CONCAT("Entity ID ",RIGHT(Table3[[#This Row],[Sponsor_1_num]],8)," not found")),"")</f>
        <v/>
      </c>
      <c r="Q573" t="str">
        <f>IF(LEN(K573)&gt;0,_xlfn.TEXTJOIN(", ",TRUE,K573:P573),Table3[[#This Row],[SPONSOR_LIST]])</f>
        <v>Coke County</v>
      </c>
    </row>
    <row r="574" spans="1:17" x14ac:dyDescent="0.25">
      <c r="A574" s="304" t="s">
        <v>781</v>
      </c>
      <c r="B574" t="s">
        <v>789</v>
      </c>
      <c r="C574" t="str">
        <f t="shared" si="9"/>
        <v>x00000126</v>
      </c>
      <c r="D574" t="str">
        <f>SUBSTITUTE(SUBSTITUTE(Table3[[#This Row],[Sponsor_list_tranform]],",",",x")," ","")</f>
        <v>x00000126</v>
      </c>
      <c r="E574" t="s">
        <v>11743</v>
      </c>
      <c r="K574" t="str">
        <f>IF(LEN(E574)&lt;&gt;0,_xlfn.XLOOKUP(E574,[1]!Entities[ID_with_x],[1]!Entities[Name_w_County],_xlfn.CONCAT("Entity ID ",RIGHT(Table3[[#This Row],[Sponsor_1_num]],8)," not found")),"")</f>
        <v>Reagan County</v>
      </c>
      <c r="L574" t="str">
        <f>IF(LEN(F574)&lt;&gt;0,_xlfn.XLOOKUP(F574,[1]!Entities[ID_with_x],[1]!Entities[Name_w_County],_xlfn.CONCAT("Entity ID ",RIGHT(Table3[[#This Row],[Sponsor_1_num]],8)," not found")),"")</f>
        <v/>
      </c>
      <c r="M574" t="str">
        <f>IF(LEN(G574)&lt;&gt;0,_xlfn.XLOOKUP(G574,[1]!Entities[ID_with_x],[1]!Entities[Name_w_County],_xlfn.CONCAT("Entity ID ",RIGHT(Table3[[#This Row],[Sponsor_1_num]],8)," not found")),"")</f>
        <v/>
      </c>
      <c r="N574" t="str">
        <f>IF(LEN(H574)&lt;&gt;0,_xlfn.XLOOKUP(H574,[1]!Entities[ID_with_x],[1]!Entities[Name_w_County],_xlfn.CONCAT("Entity ID ",RIGHT(Table3[[#This Row],[Sponsor_1_num]],8)," not found")),"")</f>
        <v/>
      </c>
      <c r="O574" t="str">
        <f>IF(LEN(I574)&lt;&gt;0,_xlfn.XLOOKUP(I574,[1]!Entities[ID_with_x],[1]!Entities[Name_w_County],_xlfn.CONCAT("Entity ID ",RIGHT(Table3[[#This Row],[Sponsor_1_num]],8)," not found")),"")</f>
        <v/>
      </c>
      <c r="P574" t="str">
        <f>IF(LEN(J574)&lt;&gt;0,_xlfn.XLOOKUP(J574,[1]!Entities[ID_with_x],[1]!Entities[Name_w_County],_xlfn.CONCAT("Entity ID ",RIGHT(Table3[[#This Row],[Sponsor_1_num]],8)," not found")),"")</f>
        <v/>
      </c>
      <c r="Q574" t="str">
        <f>IF(LEN(K574)&gt;0,_xlfn.TEXTJOIN(", ",TRUE,K574:P574),Table3[[#This Row],[SPONSOR_LIST]])</f>
        <v>Reagan County</v>
      </c>
    </row>
    <row r="575" spans="1:17" x14ac:dyDescent="0.25">
      <c r="A575" s="304" t="s">
        <v>791</v>
      </c>
      <c r="B575" t="s">
        <v>789</v>
      </c>
      <c r="C575" t="str">
        <f t="shared" si="9"/>
        <v>x00000126</v>
      </c>
      <c r="D575" t="str">
        <f>SUBSTITUTE(SUBSTITUTE(Table3[[#This Row],[Sponsor_list_tranform]],",",",x")," ","")</f>
        <v>x00000126</v>
      </c>
      <c r="E575" t="s">
        <v>11743</v>
      </c>
      <c r="K575" t="str">
        <f>IF(LEN(E575)&lt;&gt;0,_xlfn.XLOOKUP(E575,[1]!Entities[ID_with_x],[1]!Entities[Name_w_County],_xlfn.CONCAT("Entity ID ",RIGHT(Table3[[#This Row],[Sponsor_1_num]],8)," not found")),"")</f>
        <v>Reagan County</v>
      </c>
      <c r="L575" t="str">
        <f>IF(LEN(F575)&lt;&gt;0,_xlfn.XLOOKUP(F575,[1]!Entities[ID_with_x],[1]!Entities[Name_w_County],_xlfn.CONCAT("Entity ID ",RIGHT(Table3[[#This Row],[Sponsor_1_num]],8)," not found")),"")</f>
        <v/>
      </c>
      <c r="M575" t="str">
        <f>IF(LEN(G575)&lt;&gt;0,_xlfn.XLOOKUP(G575,[1]!Entities[ID_with_x],[1]!Entities[Name_w_County],_xlfn.CONCAT("Entity ID ",RIGHT(Table3[[#This Row],[Sponsor_1_num]],8)," not found")),"")</f>
        <v/>
      </c>
      <c r="N575" t="str">
        <f>IF(LEN(H575)&lt;&gt;0,_xlfn.XLOOKUP(H575,[1]!Entities[ID_with_x],[1]!Entities[Name_w_County],_xlfn.CONCAT("Entity ID ",RIGHT(Table3[[#This Row],[Sponsor_1_num]],8)," not found")),"")</f>
        <v/>
      </c>
      <c r="O575" t="str">
        <f>IF(LEN(I575)&lt;&gt;0,_xlfn.XLOOKUP(I575,[1]!Entities[ID_with_x],[1]!Entities[Name_w_County],_xlfn.CONCAT("Entity ID ",RIGHT(Table3[[#This Row],[Sponsor_1_num]],8)," not found")),"")</f>
        <v/>
      </c>
      <c r="P575" t="str">
        <f>IF(LEN(J575)&lt;&gt;0,_xlfn.XLOOKUP(J575,[1]!Entities[ID_with_x],[1]!Entities[Name_w_County],_xlfn.CONCAT("Entity ID ",RIGHT(Table3[[#This Row],[Sponsor_1_num]],8)," not found")),"")</f>
        <v/>
      </c>
      <c r="Q575" t="str">
        <f>IF(LEN(K575)&gt;0,_xlfn.TEXTJOIN(", ",TRUE,K575:P575),Table3[[#This Row],[SPONSOR_LIST]])</f>
        <v>Reagan County</v>
      </c>
    </row>
    <row r="576" spans="1:17" x14ac:dyDescent="0.25">
      <c r="A576" s="304" t="s">
        <v>793</v>
      </c>
      <c r="B576" t="s">
        <v>789</v>
      </c>
      <c r="C576" t="str">
        <f t="shared" si="9"/>
        <v>x00000126</v>
      </c>
      <c r="D576" t="str">
        <f>SUBSTITUTE(SUBSTITUTE(Table3[[#This Row],[Sponsor_list_tranform]],",",",x")," ","")</f>
        <v>x00000126</v>
      </c>
      <c r="E576" t="s">
        <v>11743</v>
      </c>
      <c r="K576" t="str">
        <f>IF(LEN(E576)&lt;&gt;0,_xlfn.XLOOKUP(E576,[1]!Entities[ID_with_x],[1]!Entities[Name_w_County],_xlfn.CONCAT("Entity ID ",RIGHT(Table3[[#This Row],[Sponsor_1_num]],8)," not found")),"")</f>
        <v>Reagan County</v>
      </c>
      <c r="L576" t="str">
        <f>IF(LEN(F576)&lt;&gt;0,_xlfn.XLOOKUP(F576,[1]!Entities[ID_with_x],[1]!Entities[Name_w_County],_xlfn.CONCAT("Entity ID ",RIGHT(Table3[[#This Row],[Sponsor_1_num]],8)," not found")),"")</f>
        <v/>
      </c>
      <c r="M576" t="str">
        <f>IF(LEN(G576)&lt;&gt;0,_xlfn.XLOOKUP(G576,[1]!Entities[ID_with_x],[1]!Entities[Name_w_County],_xlfn.CONCAT("Entity ID ",RIGHT(Table3[[#This Row],[Sponsor_1_num]],8)," not found")),"")</f>
        <v/>
      </c>
      <c r="N576" t="str">
        <f>IF(LEN(H576)&lt;&gt;0,_xlfn.XLOOKUP(H576,[1]!Entities[ID_with_x],[1]!Entities[Name_w_County],_xlfn.CONCAT("Entity ID ",RIGHT(Table3[[#This Row],[Sponsor_1_num]],8)," not found")),"")</f>
        <v/>
      </c>
      <c r="O576" t="str">
        <f>IF(LEN(I576)&lt;&gt;0,_xlfn.XLOOKUP(I576,[1]!Entities[ID_with_x],[1]!Entities[Name_w_County],_xlfn.CONCAT("Entity ID ",RIGHT(Table3[[#This Row],[Sponsor_1_num]],8)," not found")),"")</f>
        <v/>
      </c>
      <c r="P576" t="str">
        <f>IF(LEN(J576)&lt;&gt;0,_xlfn.XLOOKUP(J576,[1]!Entities[ID_with_x],[1]!Entities[Name_w_County],_xlfn.CONCAT("Entity ID ",RIGHT(Table3[[#This Row],[Sponsor_1_num]],8)," not found")),"")</f>
        <v/>
      </c>
      <c r="Q576" t="str">
        <f>IF(LEN(K576)&gt;0,_xlfn.TEXTJOIN(", ",TRUE,K576:P576),Table3[[#This Row],[SPONSOR_LIST]])</f>
        <v>Reagan County</v>
      </c>
    </row>
    <row r="577" spans="1:17" x14ac:dyDescent="0.25">
      <c r="A577" s="304" t="s">
        <v>799</v>
      </c>
      <c r="B577" t="s">
        <v>789</v>
      </c>
      <c r="C577" t="str">
        <f t="shared" si="9"/>
        <v>x00000126</v>
      </c>
      <c r="D577" t="str">
        <f>SUBSTITUTE(SUBSTITUTE(Table3[[#This Row],[Sponsor_list_tranform]],",",",x")," ","")</f>
        <v>x00000126</v>
      </c>
      <c r="E577" t="s">
        <v>11743</v>
      </c>
      <c r="K577" t="str">
        <f>IF(LEN(E577)&lt;&gt;0,_xlfn.XLOOKUP(E577,[1]!Entities[ID_with_x],[1]!Entities[Name_w_County],_xlfn.CONCAT("Entity ID ",RIGHT(Table3[[#This Row],[Sponsor_1_num]],8)," not found")),"")</f>
        <v>Reagan County</v>
      </c>
      <c r="L577" t="str">
        <f>IF(LEN(F577)&lt;&gt;0,_xlfn.XLOOKUP(F577,[1]!Entities[ID_with_x],[1]!Entities[Name_w_County],_xlfn.CONCAT("Entity ID ",RIGHT(Table3[[#This Row],[Sponsor_1_num]],8)," not found")),"")</f>
        <v/>
      </c>
      <c r="M577" t="str">
        <f>IF(LEN(G577)&lt;&gt;0,_xlfn.XLOOKUP(G577,[1]!Entities[ID_with_x],[1]!Entities[Name_w_County],_xlfn.CONCAT("Entity ID ",RIGHT(Table3[[#This Row],[Sponsor_1_num]],8)," not found")),"")</f>
        <v/>
      </c>
      <c r="N577" t="str">
        <f>IF(LEN(H577)&lt;&gt;0,_xlfn.XLOOKUP(H577,[1]!Entities[ID_with_x],[1]!Entities[Name_w_County],_xlfn.CONCAT("Entity ID ",RIGHT(Table3[[#This Row],[Sponsor_1_num]],8)," not found")),"")</f>
        <v/>
      </c>
      <c r="O577" t="str">
        <f>IF(LEN(I577)&lt;&gt;0,_xlfn.XLOOKUP(I577,[1]!Entities[ID_with_x],[1]!Entities[Name_w_County],_xlfn.CONCAT("Entity ID ",RIGHT(Table3[[#This Row],[Sponsor_1_num]],8)," not found")),"")</f>
        <v/>
      </c>
      <c r="P577" t="str">
        <f>IF(LEN(J577)&lt;&gt;0,_xlfn.XLOOKUP(J577,[1]!Entities[ID_with_x],[1]!Entities[Name_w_County],_xlfn.CONCAT("Entity ID ",RIGHT(Table3[[#This Row],[Sponsor_1_num]],8)," not found")),"")</f>
        <v/>
      </c>
      <c r="Q577" t="str">
        <f>IF(LEN(K577)&gt;0,_xlfn.TEXTJOIN(", ",TRUE,K577:P577),Table3[[#This Row],[SPONSOR_LIST]])</f>
        <v>Reagan County</v>
      </c>
    </row>
    <row r="578" spans="1:17" x14ac:dyDescent="0.25">
      <c r="A578" s="304" t="s">
        <v>801</v>
      </c>
      <c r="B578" t="s">
        <v>698</v>
      </c>
      <c r="C578" t="str">
        <f t="shared" si="9"/>
        <v>x00000145</v>
      </c>
      <c r="D578" t="str">
        <f>SUBSTITUTE(SUBSTITUTE(Table3[[#This Row],[Sponsor_list_tranform]],",",",x")," ","")</f>
        <v>x00000145</v>
      </c>
      <c r="E578" t="s">
        <v>11737</v>
      </c>
      <c r="K578" t="str">
        <f>IF(LEN(E578)&lt;&gt;0,_xlfn.XLOOKUP(E578,[1]!Entities[ID_with_x],[1]!Entities[Name_w_County],_xlfn.CONCAT("Entity ID ",RIGHT(Table3[[#This Row],[Sponsor_1_num]],8)," not found")),"")</f>
        <v>Runnels County</v>
      </c>
      <c r="L578" t="str">
        <f>IF(LEN(F578)&lt;&gt;0,_xlfn.XLOOKUP(F578,[1]!Entities[ID_with_x],[1]!Entities[Name_w_County],_xlfn.CONCAT("Entity ID ",RIGHT(Table3[[#This Row],[Sponsor_1_num]],8)," not found")),"")</f>
        <v/>
      </c>
      <c r="M578" t="str">
        <f>IF(LEN(G578)&lt;&gt;0,_xlfn.XLOOKUP(G578,[1]!Entities[ID_with_x],[1]!Entities[Name_w_County],_xlfn.CONCAT("Entity ID ",RIGHT(Table3[[#This Row],[Sponsor_1_num]],8)," not found")),"")</f>
        <v/>
      </c>
      <c r="N578" t="str">
        <f>IF(LEN(H578)&lt;&gt;0,_xlfn.XLOOKUP(H578,[1]!Entities[ID_with_x],[1]!Entities[Name_w_County],_xlfn.CONCAT("Entity ID ",RIGHT(Table3[[#This Row],[Sponsor_1_num]],8)," not found")),"")</f>
        <v/>
      </c>
      <c r="O578" t="str">
        <f>IF(LEN(I578)&lt;&gt;0,_xlfn.XLOOKUP(I578,[1]!Entities[ID_with_x],[1]!Entities[Name_w_County],_xlfn.CONCAT("Entity ID ",RIGHT(Table3[[#This Row],[Sponsor_1_num]],8)," not found")),"")</f>
        <v/>
      </c>
      <c r="P578" t="str">
        <f>IF(LEN(J578)&lt;&gt;0,_xlfn.XLOOKUP(J578,[1]!Entities[ID_with_x],[1]!Entities[Name_w_County],_xlfn.CONCAT("Entity ID ",RIGHT(Table3[[#This Row],[Sponsor_1_num]],8)," not found")),"")</f>
        <v/>
      </c>
      <c r="Q578" t="str">
        <f>IF(LEN(K578)&gt;0,_xlfn.TEXTJOIN(", ",TRUE,K578:P578),Table3[[#This Row],[SPONSOR_LIST]])</f>
        <v>Runnels County</v>
      </c>
    </row>
    <row r="579" spans="1:17" x14ac:dyDescent="0.25">
      <c r="A579" s="304" t="s">
        <v>808</v>
      </c>
      <c r="B579" t="s">
        <v>698</v>
      </c>
      <c r="C579" t="str">
        <f t="shared" si="9"/>
        <v>x00000145</v>
      </c>
      <c r="D579" t="str">
        <f>SUBSTITUTE(SUBSTITUTE(Table3[[#This Row],[Sponsor_list_tranform]],",",",x")," ","")</f>
        <v>x00000145</v>
      </c>
      <c r="E579" t="s">
        <v>11737</v>
      </c>
      <c r="K579" t="str">
        <f>IF(LEN(E579)&lt;&gt;0,_xlfn.XLOOKUP(E579,[1]!Entities[ID_with_x],[1]!Entities[Name_w_County],_xlfn.CONCAT("Entity ID ",RIGHT(Table3[[#This Row],[Sponsor_1_num]],8)," not found")),"")</f>
        <v>Runnels County</v>
      </c>
      <c r="L579" t="str">
        <f>IF(LEN(F579)&lt;&gt;0,_xlfn.XLOOKUP(F579,[1]!Entities[ID_with_x],[1]!Entities[Name_w_County],_xlfn.CONCAT("Entity ID ",RIGHT(Table3[[#This Row],[Sponsor_1_num]],8)," not found")),"")</f>
        <v/>
      </c>
      <c r="M579" t="str">
        <f>IF(LEN(G579)&lt;&gt;0,_xlfn.XLOOKUP(G579,[1]!Entities[ID_with_x],[1]!Entities[Name_w_County],_xlfn.CONCAT("Entity ID ",RIGHT(Table3[[#This Row],[Sponsor_1_num]],8)," not found")),"")</f>
        <v/>
      </c>
      <c r="N579" t="str">
        <f>IF(LEN(H579)&lt;&gt;0,_xlfn.XLOOKUP(H579,[1]!Entities[ID_with_x],[1]!Entities[Name_w_County],_xlfn.CONCAT("Entity ID ",RIGHT(Table3[[#This Row],[Sponsor_1_num]],8)," not found")),"")</f>
        <v/>
      </c>
      <c r="O579" t="str">
        <f>IF(LEN(I579)&lt;&gt;0,_xlfn.XLOOKUP(I579,[1]!Entities[ID_with_x],[1]!Entities[Name_w_County],_xlfn.CONCAT("Entity ID ",RIGHT(Table3[[#This Row],[Sponsor_1_num]],8)," not found")),"")</f>
        <v/>
      </c>
      <c r="P579" t="str">
        <f>IF(LEN(J579)&lt;&gt;0,_xlfn.XLOOKUP(J579,[1]!Entities[ID_with_x],[1]!Entities[Name_w_County],_xlfn.CONCAT("Entity ID ",RIGHT(Table3[[#This Row],[Sponsor_1_num]],8)," not found")),"")</f>
        <v/>
      </c>
      <c r="Q579" t="str">
        <f>IF(LEN(K579)&gt;0,_xlfn.TEXTJOIN(", ",TRUE,K579:P579),Table3[[#This Row],[SPONSOR_LIST]])</f>
        <v>Runnels County</v>
      </c>
    </row>
    <row r="580" spans="1:17" x14ac:dyDescent="0.25">
      <c r="A580" s="304" t="s">
        <v>815</v>
      </c>
      <c r="B580" t="s">
        <v>693</v>
      </c>
      <c r="C580" t="str">
        <f t="shared" si="9"/>
        <v>x00000124</v>
      </c>
      <c r="D580" t="str">
        <f>SUBSTITUTE(SUBSTITUTE(Table3[[#This Row],[Sponsor_list_tranform]],",",",x")," ","")</f>
        <v>x00000124</v>
      </c>
      <c r="E580" t="s">
        <v>11736</v>
      </c>
      <c r="K580" t="str">
        <f>IF(LEN(E580)&lt;&gt;0,_xlfn.XLOOKUP(E580,[1]!Entities[ID_with_x],[1]!Entities[Name_w_County],_xlfn.CONCAT("Entity ID ",RIGHT(Table3[[#This Row],[Sponsor_1_num]],8)," not found")),"")</f>
        <v>Concho County</v>
      </c>
      <c r="L580" t="str">
        <f>IF(LEN(F580)&lt;&gt;0,_xlfn.XLOOKUP(F580,[1]!Entities[ID_with_x],[1]!Entities[Name_w_County],_xlfn.CONCAT("Entity ID ",RIGHT(Table3[[#This Row],[Sponsor_1_num]],8)," not found")),"")</f>
        <v/>
      </c>
      <c r="M580" t="str">
        <f>IF(LEN(G580)&lt;&gt;0,_xlfn.XLOOKUP(G580,[1]!Entities[ID_with_x],[1]!Entities[Name_w_County],_xlfn.CONCAT("Entity ID ",RIGHT(Table3[[#This Row],[Sponsor_1_num]],8)," not found")),"")</f>
        <v/>
      </c>
      <c r="N580" t="str">
        <f>IF(LEN(H580)&lt;&gt;0,_xlfn.XLOOKUP(H580,[1]!Entities[ID_with_x],[1]!Entities[Name_w_County],_xlfn.CONCAT("Entity ID ",RIGHT(Table3[[#This Row],[Sponsor_1_num]],8)," not found")),"")</f>
        <v/>
      </c>
      <c r="O580" t="str">
        <f>IF(LEN(I580)&lt;&gt;0,_xlfn.XLOOKUP(I580,[1]!Entities[ID_with_x],[1]!Entities[Name_w_County],_xlfn.CONCAT("Entity ID ",RIGHT(Table3[[#This Row],[Sponsor_1_num]],8)," not found")),"")</f>
        <v/>
      </c>
      <c r="P580" t="str">
        <f>IF(LEN(J580)&lt;&gt;0,_xlfn.XLOOKUP(J580,[1]!Entities[ID_with_x],[1]!Entities[Name_w_County],_xlfn.CONCAT("Entity ID ",RIGHT(Table3[[#This Row],[Sponsor_1_num]],8)," not found")),"")</f>
        <v/>
      </c>
      <c r="Q580" t="str">
        <f>IF(LEN(K580)&gt;0,_xlfn.TEXTJOIN(", ",TRUE,K580:P580),Table3[[#This Row],[SPONSOR_LIST]])</f>
        <v>Concho County</v>
      </c>
    </row>
    <row r="581" spans="1:17" x14ac:dyDescent="0.25">
      <c r="A581" s="304" t="s">
        <v>819</v>
      </c>
      <c r="B581" t="s">
        <v>693</v>
      </c>
      <c r="C581" t="str">
        <f t="shared" si="9"/>
        <v>x00000124</v>
      </c>
      <c r="D581" t="str">
        <f>SUBSTITUTE(SUBSTITUTE(Table3[[#This Row],[Sponsor_list_tranform]],",",",x")," ","")</f>
        <v>x00000124</v>
      </c>
      <c r="E581" t="s">
        <v>11736</v>
      </c>
      <c r="K581" t="str">
        <f>IF(LEN(E581)&lt;&gt;0,_xlfn.XLOOKUP(E581,[1]!Entities[ID_with_x],[1]!Entities[Name_w_County],_xlfn.CONCAT("Entity ID ",RIGHT(Table3[[#This Row],[Sponsor_1_num]],8)," not found")),"")</f>
        <v>Concho County</v>
      </c>
      <c r="L581" t="str">
        <f>IF(LEN(F581)&lt;&gt;0,_xlfn.XLOOKUP(F581,[1]!Entities[ID_with_x],[1]!Entities[Name_w_County],_xlfn.CONCAT("Entity ID ",RIGHT(Table3[[#This Row],[Sponsor_1_num]],8)," not found")),"")</f>
        <v/>
      </c>
      <c r="M581" t="str">
        <f>IF(LEN(G581)&lt;&gt;0,_xlfn.XLOOKUP(G581,[1]!Entities[ID_with_x],[1]!Entities[Name_w_County],_xlfn.CONCAT("Entity ID ",RIGHT(Table3[[#This Row],[Sponsor_1_num]],8)," not found")),"")</f>
        <v/>
      </c>
      <c r="N581" t="str">
        <f>IF(LEN(H581)&lt;&gt;0,_xlfn.XLOOKUP(H581,[1]!Entities[ID_with_x],[1]!Entities[Name_w_County],_xlfn.CONCAT("Entity ID ",RIGHT(Table3[[#This Row],[Sponsor_1_num]],8)," not found")),"")</f>
        <v/>
      </c>
      <c r="O581" t="str">
        <f>IF(LEN(I581)&lt;&gt;0,_xlfn.XLOOKUP(I581,[1]!Entities[ID_with_x],[1]!Entities[Name_w_County],_xlfn.CONCAT("Entity ID ",RIGHT(Table3[[#This Row],[Sponsor_1_num]],8)," not found")),"")</f>
        <v/>
      </c>
      <c r="P581" t="str">
        <f>IF(LEN(J581)&lt;&gt;0,_xlfn.XLOOKUP(J581,[1]!Entities[ID_with_x],[1]!Entities[Name_w_County],_xlfn.CONCAT("Entity ID ",RIGHT(Table3[[#This Row],[Sponsor_1_num]],8)," not found")),"")</f>
        <v/>
      </c>
      <c r="Q581" t="str">
        <f>IF(LEN(K581)&gt;0,_xlfn.TEXTJOIN(", ",TRUE,K581:P581),Table3[[#This Row],[SPONSOR_LIST]])</f>
        <v>Concho County</v>
      </c>
    </row>
    <row r="582" spans="1:17" x14ac:dyDescent="0.25">
      <c r="A582" s="304" t="s">
        <v>822</v>
      </c>
      <c r="B582" t="s">
        <v>698</v>
      </c>
      <c r="C582" t="str">
        <f t="shared" ref="C582:C645" si="10">IF(ISNUMBER(VALUE(LEFT(B582,7))),_xlfn.CONCAT("x",TEXT(SUBSTITUTE(B582,",",", "),"00000000")),"")</f>
        <v>x00000145</v>
      </c>
      <c r="D582" t="str">
        <f>SUBSTITUTE(SUBSTITUTE(Table3[[#This Row],[Sponsor_list_tranform]],",",",x")," ","")</f>
        <v>x00000145</v>
      </c>
      <c r="E582" t="s">
        <v>11737</v>
      </c>
      <c r="K582" t="str">
        <f>IF(LEN(E582)&lt;&gt;0,_xlfn.XLOOKUP(E582,[1]!Entities[ID_with_x],[1]!Entities[Name_w_County],_xlfn.CONCAT("Entity ID ",RIGHT(Table3[[#This Row],[Sponsor_1_num]],8)," not found")),"")</f>
        <v>Runnels County</v>
      </c>
      <c r="L582" t="str">
        <f>IF(LEN(F582)&lt;&gt;0,_xlfn.XLOOKUP(F582,[1]!Entities[ID_with_x],[1]!Entities[Name_w_County],_xlfn.CONCAT("Entity ID ",RIGHT(Table3[[#This Row],[Sponsor_1_num]],8)," not found")),"")</f>
        <v/>
      </c>
      <c r="M582" t="str">
        <f>IF(LEN(G582)&lt;&gt;0,_xlfn.XLOOKUP(G582,[1]!Entities[ID_with_x],[1]!Entities[Name_w_County],_xlfn.CONCAT("Entity ID ",RIGHT(Table3[[#This Row],[Sponsor_1_num]],8)," not found")),"")</f>
        <v/>
      </c>
      <c r="N582" t="str">
        <f>IF(LEN(H582)&lt;&gt;0,_xlfn.XLOOKUP(H582,[1]!Entities[ID_with_x],[1]!Entities[Name_w_County],_xlfn.CONCAT("Entity ID ",RIGHT(Table3[[#This Row],[Sponsor_1_num]],8)," not found")),"")</f>
        <v/>
      </c>
      <c r="O582" t="str">
        <f>IF(LEN(I582)&lt;&gt;0,_xlfn.XLOOKUP(I582,[1]!Entities[ID_with_x],[1]!Entities[Name_w_County],_xlfn.CONCAT("Entity ID ",RIGHT(Table3[[#This Row],[Sponsor_1_num]],8)," not found")),"")</f>
        <v/>
      </c>
      <c r="P582" t="str">
        <f>IF(LEN(J582)&lt;&gt;0,_xlfn.XLOOKUP(J582,[1]!Entities[ID_with_x],[1]!Entities[Name_w_County],_xlfn.CONCAT("Entity ID ",RIGHT(Table3[[#This Row],[Sponsor_1_num]],8)," not found")),"")</f>
        <v/>
      </c>
      <c r="Q582" t="str">
        <f>IF(LEN(K582)&gt;0,_xlfn.TEXTJOIN(", ",TRUE,K582:P582),Table3[[#This Row],[SPONSOR_LIST]])</f>
        <v>Runnels County</v>
      </c>
    </row>
    <row r="583" spans="1:17" x14ac:dyDescent="0.25">
      <c r="A583" s="304" t="s">
        <v>983</v>
      </c>
      <c r="B583" t="s">
        <v>698</v>
      </c>
      <c r="C583" t="str">
        <f t="shared" si="10"/>
        <v>x00000145</v>
      </c>
      <c r="D583" t="str">
        <f>SUBSTITUTE(SUBSTITUTE(Table3[[#This Row],[Sponsor_list_tranform]],",",",x")," ","")</f>
        <v>x00000145</v>
      </c>
      <c r="E583" t="s">
        <v>11737</v>
      </c>
      <c r="K583" t="str">
        <f>IF(LEN(E583)&lt;&gt;0,_xlfn.XLOOKUP(E583,[1]!Entities[ID_with_x],[1]!Entities[Name_w_County],_xlfn.CONCAT("Entity ID ",RIGHT(Table3[[#This Row],[Sponsor_1_num]],8)," not found")),"")</f>
        <v>Runnels County</v>
      </c>
      <c r="L583" t="str">
        <f>IF(LEN(F583)&lt;&gt;0,_xlfn.XLOOKUP(F583,[1]!Entities[ID_with_x],[1]!Entities[Name_w_County],_xlfn.CONCAT("Entity ID ",RIGHT(Table3[[#This Row],[Sponsor_1_num]],8)," not found")),"")</f>
        <v/>
      </c>
      <c r="M583" t="str">
        <f>IF(LEN(G583)&lt;&gt;0,_xlfn.XLOOKUP(G583,[1]!Entities[ID_with_x],[1]!Entities[Name_w_County],_xlfn.CONCAT("Entity ID ",RIGHT(Table3[[#This Row],[Sponsor_1_num]],8)," not found")),"")</f>
        <v/>
      </c>
      <c r="N583" t="str">
        <f>IF(LEN(H583)&lt;&gt;0,_xlfn.XLOOKUP(H583,[1]!Entities[ID_with_x],[1]!Entities[Name_w_County],_xlfn.CONCAT("Entity ID ",RIGHT(Table3[[#This Row],[Sponsor_1_num]],8)," not found")),"")</f>
        <v/>
      </c>
      <c r="O583" t="str">
        <f>IF(LEN(I583)&lt;&gt;0,_xlfn.XLOOKUP(I583,[1]!Entities[ID_with_x],[1]!Entities[Name_w_County],_xlfn.CONCAT("Entity ID ",RIGHT(Table3[[#This Row],[Sponsor_1_num]],8)," not found")),"")</f>
        <v/>
      </c>
      <c r="P583" t="str">
        <f>IF(LEN(J583)&lt;&gt;0,_xlfn.XLOOKUP(J583,[1]!Entities[ID_with_x],[1]!Entities[Name_w_County],_xlfn.CONCAT("Entity ID ",RIGHT(Table3[[#This Row],[Sponsor_1_num]],8)," not found")),"")</f>
        <v/>
      </c>
      <c r="Q583" t="str">
        <f>IF(LEN(K583)&gt;0,_xlfn.TEXTJOIN(", ",TRUE,K583:P583),Table3[[#This Row],[SPONSOR_LIST]])</f>
        <v>Runnels County</v>
      </c>
    </row>
    <row r="584" spans="1:17" x14ac:dyDescent="0.25">
      <c r="A584" s="304" t="s">
        <v>828</v>
      </c>
      <c r="B584" t="s">
        <v>698</v>
      </c>
      <c r="C584" t="str">
        <f t="shared" si="10"/>
        <v>x00000145</v>
      </c>
      <c r="D584" t="str">
        <f>SUBSTITUTE(SUBSTITUTE(Table3[[#This Row],[Sponsor_list_tranform]],",",",x")," ","")</f>
        <v>x00000145</v>
      </c>
      <c r="E584" t="s">
        <v>11737</v>
      </c>
      <c r="K584" t="str">
        <f>IF(LEN(E584)&lt;&gt;0,_xlfn.XLOOKUP(E584,[1]!Entities[ID_with_x],[1]!Entities[Name_w_County],_xlfn.CONCAT("Entity ID ",RIGHT(Table3[[#This Row],[Sponsor_1_num]],8)," not found")),"")</f>
        <v>Runnels County</v>
      </c>
      <c r="L584" t="str">
        <f>IF(LEN(F584)&lt;&gt;0,_xlfn.XLOOKUP(F584,[1]!Entities[ID_with_x],[1]!Entities[Name_w_County],_xlfn.CONCAT("Entity ID ",RIGHT(Table3[[#This Row],[Sponsor_1_num]],8)," not found")),"")</f>
        <v/>
      </c>
      <c r="M584" t="str">
        <f>IF(LEN(G584)&lt;&gt;0,_xlfn.XLOOKUP(G584,[1]!Entities[ID_with_x],[1]!Entities[Name_w_County],_xlfn.CONCAT("Entity ID ",RIGHT(Table3[[#This Row],[Sponsor_1_num]],8)," not found")),"")</f>
        <v/>
      </c>
      <c r="N584" t="str">
        <f>IF(LEN(H584)&lt;&gt;0,_xlfn.XLOOKUP(H584,[1]!Entities[ID_with_x],[1]!Entities[Name_w_County],_xlfn.CONCAT("Entity ID ",RIGHT(Table3[[#This Row],[Sponsor_1_num]],8)," not found")),"")</f>
        <v/>
      </c>
      <c r="O584" t="str">
        <f>IF(LEN(I584)&lt;&gt;0,_xlfn.XLOOKUP(I584,[1]!Entities[ID_with_x],[1]!Entities[Name_w_County],_xlfn.CONCAT("Entity ID ",RIGHT(Table3[[#This Row],[Sponsor_1_num]],8)," not found")),"")</f>
        <v/>
      </c>
      <c r="P584" t="str">
        <f>IF(LEN(J584)&lt;&gt;0,_xlfn.XLOOKUP(J584,[1]!Entities[ID_with_x],[1]!Entities[Name_w_County],_xlfn.CONCAT("Entity ID ",RIGHT(Table3[[#This Row],[Sponsor_1_num]],8)," not found")),"")</f>
        <v/>
      </c>
      <c r="Q584" t="str">
        <f>IF(LEN(K584)&gt;0,_xlfn.TEXTJOIN(", ",TRUE,K584:P584),Table3[[#This Row],[SPONSOR_LIST]])</f>
        <v>Runnels County</v>
      </c>
    </row>
    <row r="585" spans="1:17" x14ac:dyDescent="0.25">
      <c r="A585" s="304" t="s">
        <v>831</v>
      </c>
      <c r="B585" t="s">
        <v>740</v>
      </c>
      <c r="C585" t="str">
        <f t="shared" si="10"/>
        <v>x00000051</v>
      </c>
      <c r="D585" t="str">
        <f>SUBSTITUTE(SUBSTITUTE(Table3[[#This Row],[Sponsor_list_tranform]],",",",x")," ","")</f>
        <v>x00000051</v>
      </c>
      <c r="E585" t="s">
        <v>11744</v>
      </c>
      <c r="K585" t="str">
        <f>IF(LEN(E585)&lt;&gt;0,_xlfn.XLOOKUP(E585,[1]!Entities[ID_with_x],[1]!Entities[Name_w_County],_xlfn.CONCAT("Entity ID ",RIGHT(Table3[[#This Row],[Sponsor_1_num]],8)," not found")),"")</f>
        <v>Schleicher County</v>
      </c>
      <c r="L585" t="str">
        <f>IF(LEN(F585)&lt;&gt;0,_xlfn.XLOOKUP(F585,[1]!Entities[ID_with_x],[1]!Entities[Name_w_County],_xlfn.CONCAT("Entity ID ",RIGHT(Table3[[#This Row],[Sponsor_1_num]],8)," not found")),"")</f>
        <v/>
      </c>
      <c r="M585" t="str">
        <f>IF(LEN(G585)&lt;&gt;0,_xlfn.XLOOKUP(G585,[1]!Entities[ID_with_x],[1]!Entities[Name_w_County],_xlfn.CONCAT("Entity ID ",RIGHT(Table3[[#This Row],[Sponsor_1_num]],8)," not found")),"")</f>
        <v/>
      </c>
      <c r="N585" t="str">
        <f>IF(LEN(H585)&lt;&gt;0,_xlfn.XLOOKUP(H585,[1]!Entities[ID_with_x],[1]!Entities[Name_w_County],_xlfn.CONCAT("Entity ID ",RIGHT(Table3[[#This Row],[Sponsor_1_num]],8)," not found")),"")</f>
        <v/>
      </c>
      <c r="O585" t="str">
        <f>IF(LEN(I585)&lt;&gt;0,_xlfn.XLOOKUP(I585,[1]!Entities[ID_with_x],[1]!Entities[Name_w_County],_xlfn.CONCAT("Entity ID ",RIGHT(Table3[[#This Row],[Sponsor_1_num]],8)," not found")),"")</f>
        <v/>
      </c>
      <c r="P585" t="str">
        <f>IF(LEN(J585)&lt;&gt;0,_xlfn.XLOOKUP(J585,[1]!Entities[ID_with_x],[1]!Entities[Name_w_County],_xlfn.CONCAT("Entity ID ",RIGHT(Table3[[#This Row],[Sponsor_1_num]],8)," not found")),"")</f>
        <v/>
      </c>
      <c r="Q585" t="str">
        <f>IF(LEN(K585)&gt;0,_xlfn.TEXTJOIN(", ",TRUE,K585:P585),Table3[[#This Row],[SPONSOR_LIST]])</f>
        <v>Schleicher County</v>
      </c>
    </row>
    <row r="586" spans="1:17" x14ac:dyDescent="0.25">
      <c r="A586" s="304" t="s">
        <v>839</v>
      </c>
      <c r="B586" t="s">
        <v>740</v>
      </c>
      <c r="C586" t="str">
        <f t="shared" si="10"/>
        <v>x00000051</v>
      </c>
      <c r="D586" t="str">
        <f>SUBSTITUTE(SUBSTITUTE(Table3[[#This Row],[Sponsor_list_tranform]],",",",x")," ","")</f>
        <v>x00000051</v>
      </c>
      <c r="E586" t="s">
        <v>11744</v>
      </c>
      <c r="K586" t="str">
        <f>IF(LEN(E586)&lt;&gt;0,_xlfn.XLOOKUP(E586,[1]!Entities[ID_with_x],[1]!Entities[Name_w_County],_xlfn.CONCAT("Entity ID ",RIGHT(Table3[[#This Row],[Sponsor_1_num]],8)," not found")),"")</f>
        <v>Schleicher County</v>
      </c>
      <c r="L586" t="str">
        <f>IF(LEN(F586)&lt;&gt;0,_xlfn.XLOOKUP(F586,[1]!Entities[ID_with_x],[1]!Entities[Name_w_County],_xlfn.CONCAT("Entity ID ",RIGHT(Table3[[#This Row],[Sponsor_1_num]],8)," not found")),"")</f>
        <v/>
      </c>
      <c r="M586" t="str">
        <f>IF(LEN(G586)&lt;&gt;0,_xlfn.XLOOKUP(G586,[1]!Entities[ID_with_x],[1]!Entities[Name_w_County],_xlfn.CONCAT("Entity ID ",RIGHT(Table3[[#This Row],[Sponsor_1_num]],8)," not found")),"")</f>
        <v/>
      </c>
      <c r="N586" t="str">
        <f>IF(LEN(H586)&lt;&gt;0,_xlfn.XLOOKUP(H586,[1]!Entities[ID_with_x],[1]!Entities[Name_w_County],_xlfn.CONCAT("Entity ID ",RIGHT(Table3[[#This Row],[Sponsor_1_num]],8)," not found")),"")</f>
        <v/>
      </c>
      <c r="O586" t="str">
        <f>IF(LEN(I586)&lt;&gt;0,_xlfn.XLOOKUP(I586,[1]!Entities[ID_with_x],[1]!Entities[Name_w_County],_xlfn.CONCAT("Entity ID ",RIGHT(Table3[[#This Row],[Sponsor_1_num]],8)," not found")),"")</f>
        <v/>
      </c>
      <c r="P586" t="str">
        <f>IF(LEN(J586)&lt;&gt;0,_xlfn.XLOOKUP(J586,[1]!Entities[ID_with_x],[1]!Entities[Name_w_County],_xlfn.CONCAT("Entity ID ",RIGHT(Table3[[#This Row],[Sponsor_1_num]],8)," not found")),"")</f>
        <v/>
      </c>
      <c r="Q586" t="str">
        <f>IF(LEN(K586)&gt;0,_xlfn.TEXTJOIN(", ",TRUE,K586:P586),Table3[[#This Row],[SPONSOR_LIST]])</f>
        <v>Schleicher County</v>
      </c>
    </row>
    <row r="587" spans="1:17" x14ac:dyDescent="0.25">
      <c r="A587" s="304" t="s">
        <v>1005</v>
      </c>
      <c r="B587" t="s">
        <v>740</v>
      </c>
      <c r="C587" t="str">
        <f t="shared" si="10"/>
        <v>x00000051</v>
      </c>
      <c r="D587" t="str">
        <f>SUBSTITUTE(SUBSTITUTE(Table3[[#This Row],[Sponsor_list_tranform]],",",",x")," ","")</f>
        <v>x00000051</v>
      </c>
      <c r="E587" t="s">
        <v>11744</v>
      </c>
      <c r="K587" t="str">
        <f>IF(LEN(E587)&lt;&gt;0,_xlfn.XLOOKUP(E587,[1]!Entities[ID_with_x],[1]!Entities[Name_w_County],_xlfn.CONCAT("Entity ID ",RIGHT(Table3[[#This Row],[Sponsor_1_num]],8)," not found")),"")</f>
        <v>Schleicher County</v>
      </c>
      <c r="L587" t="str">
        <f>IF(LEN(F587)&lt;&gt;0,_xlfn.XLOOKUP(F587,[1]!Entities[ID_with_x],[1]!Entities[Name_w_County],_xlfn.CONCAT("Entity ID ",RIGHT(Table3[[#This Row],[Sponsor_1_num]],8)," not found")),"")</f>
        <v/>
      </c>
      <c r="M587" t="str">
        <f>IF(LEN(G587)&lt;&gt;0,_xlfn.XLOOKUP(G587,[1]!Entities[ID_with_x],[1]!Entities[Name_w_County],_xlfn.CONCAT("Entity ID ",RIGHT(Table3[[#This Row],[Sponsor_1_num]],8)," not found")),"")</f>
        <v/>
      </c>
      <c r="N587" t="str">
        <f>IF(LEN(H587)&lt;&gt;0,_xlfn.XLOOKUP(H587,[1]!Entities[ID_with_x],[1]!Entities[Name_w_County],_xlfn.CONCAT("Entity ID ",RIGHT(Table3[[#This Row],[Sponsor_1_num]],8)," not found")),"")</f>
        <v/>
      </c>
      <c r="O587" t="str">
        <f>IF(LEN(I587)&lt;&gt;0,_xlfn.XLOOKUP(I587,[1]!Entities[ID_with_x],[1]!Entities[Name_w_County],_xlfn.CONCAT("Entity ID ",RIGHT(Table3[[#This Row],[Sponsor_1_num]],8)," not found")),"")</f>
        <v/>
      </c>
      <c r="P587" t="str">
        <f>IF(LEN(J587)&lt;&gt;0,_xlfn.XLOOKUP(J587,[1]!Entities[ID_with_x],[1]!Entities[Name_w_County],_xlfn.CONCAT("Entity ID ",RIGHT(Table3[[#This Row],[Sponsor_1_num]],8)," not found")),"")</f>
        <v/>
      </c>
      <c r="Q587" t="str">
        <f>IF(LEN(K587)&gt;0,_xlfn.TEXTJOIN(", ",TRUE,K587:P587),Table3[[#This Row],[SPONSOR_LIST]])</f>
        <v>Schleicher County</v>
      </c>
    </row>
    <row r="588" spans="1:17" x14ac:dyDescent="0.25">
      <c r="A588" s="304" t="s">
        <v>846</v>
      </c>
      <c r="B588" t="s">
        <v>556</v>
      </c>
      <c r="C588" t="str">
        <f t="shared" si="10"/>
        <v>x00000116</v>
      </c>
      <c r="D588" t="str">
        <f>SUBSTITUTE(SUBSTITUTE(Table3[[#This Row],[Sponsor_list_tranform]],",",",x")," ","")</f>
        <v>x00000116</v>
      </c>
      <c r="E588" t="s">
        <v>11731</v>
      </c>
      <c r="K588" t="str">
        <f>IF(LEN(E588)&lt;&gt;0,_xlfn.XLOOKUP(E588,[1]!Entities[ID_with_x],[1]!Entities[Name_w_County],_xlfn.CONCAT("Entity ID ",RIGHT(Table3[[#This Row],[Sponsor_1_num]],8)," not found")),"")</f>
        <v>Scurry County</v>
      </c>
      <c r="L588" t="str">
        <f>IF(LEN(F588)&lt;&gt;0,_xlfn.XLOOKUP(F588,[1]!Entities[ID_with_x],[1]!Entities[Name_w_County],_xlfn.CONCAT("Entity ID ",RIGHT(Table3[[#This Row],[Sponsor_1_num]],8)," not found")),"")</f>
        <v/>
      </c>
      <c r="M588" t="str">
        <f>IF(LEN(G588)&lt;&gt;0,_xlfn.XLOOKUP(G588,[1]!Entities[ID_with_x],[1]!Entities[Name_w_County],_xlfn.CONCAT("Entity ID ",RIGHT(Table3[[#This Row],[Sponsor_1_num]],8)," not found")),"")</f>
        <v/>
      </c>
      <c r="N588" t="str">
        <f>IF(LEN(H588)&lt;&gt;0,_xlfn.XLOOKUP(H588,[1]!Entities[ID_with_x],[1]!Entities[Name_w_County],_xlfn.CONCAT("Entity ID ",RIGHT(Table3[[#This Row],[Sponsor_1_num]],8)," not found")),"")</f>
        <v/>
      </c>
      <c r="O588" t="str">
        <f>IF(LEN(I588)&lt;&gt;0,_xlfn.XLOOKUP(I588,[1]!Entities[ID_with_x],[1]!Entities[Name_w_County],_xlfn.CONCAT("Entity ID ",RIGHT(Table3[[#This Row],[Sponsor_1_num]],8)," not found")),"")</f>
        <v/>
      </c>
      <c r="P588" t="str">
        <f>IF(LEN(J588)&lt;&gt;0,_xlfn.XLOOKUP(J588,[1]!Entities[ID_with_x],[1]!Entities[Name_w_County],_xlfn.CONCAT("Entity ID ",RIGHT(Table3[[#This Row],[Sponsor_1_num]],8)," not found")),"")</f>
        <v/>
      </c>
      <c r="Q588" t="str">
        <f>IF(LEN(K588)&gt;0,_xlfn.TEXTJOIN(", ",TRUE,K588:P588),Table3[[#This Row],[SPONSOR_LIST]])</f>
        <v>Scurry County</v>
      </c>
    </row>
    <row r="589" spans="1:17" x14ac:dyDescent="0.25">
      <c r="A589" s="304" t="s">
        <v>849</v>
      </c>
      <c r="B589" t="s">
        <v>434</v>
      </c>
      <c r="C589" t="str">
        <f t="shared" si="10"/>
        <v>x00000115</v>
      </c>
      <c r="D589" t="str">
        <f>SUBSTITUTE(SUBSTITUTE(Table3[[#This Row],[Sponsor_list_tranform]],",",",x")," ","")</f>
        <v>x00000115</v>
      </c>
      <c r="E589" t="s">
        <v>11726</v>
      </c>
      <c r="K589" t="str">
        <f>IF(LEN(E589)&lt;&gt;0,_xlfn.XLOOKUP(E589,[1]!Entities[ID_with_x],[1]!Entities[Name_w_County],_xlfn.CONCAT("Entity ID ",RIGHT(Table3[[#This Row],[Sponsor_1_num]],8)," not found")),"")</f>
        <v>Borden County</v>
      </c>
      <c r="L589" t="str">
        <f>IF(LEN(F589)&lt;&gt;0,_xlfn.XLOOKUP(F589,[1]!Entities[ID_with_x],[1]!Entities[Name_w_County],_xlfn.CONCAT("Entity ID ",RIGHT(Table3[[#This Row],[Sponsor_1_num]],8)," not found")),"")</f>
        <v/>
      </c>
      <c r="M589" t="str">
        <f>IF(LEN(G589)&lt;&gt;0,_xlfn.XLOOKUP(G589,[1]!Entities[ID_with_x],[1]!Entities[Name_w_County],_xlfn.CONCAT("Entity ID ",RIGHT(Table3[[#This Row],[Sponsor_1_num]],8)," not found")),"")</f>
        <v/>
      </c>
      <c r="N589" t="str">
        <f>IF(LEN(H589)&lt;&gt;0,_xlfn.XLOOKUP(H589,[1]!Entities[ID_with_x],[1]!Entities[Name_w_County],_xlfn.CONCAT("Entity ID ",RIGHT(Table3[[#This Row],[Sponsor_1_num]],8)," not found")),"")</f>
        <v/>
      </c>
      <c r="O589" t="str">
        <f>IF(LEN(I589)&lt;&gt;0,_xlfn.XLOOKUP(I589,[1]!Entities[ID_with_x],[1]!Entities[Name_w_County],_xlfn.CONCAT("Entity ID ",RIGHT(Table3[[#This Row],[Sponsor_1_num]],8)," not found")),"")</f>
        <v/>
      </c>
      <c r="P589" t="str">
        <f>IF(LEN(J589)&lt;&gt;0,_xlfn.XLOOKUP(J589,[1]!Entities[ID_with_x],[1]!Entities[Name_w_County],_xlfn.CONCAT("Entity ID ",RIGHT(Table3[[#This Row],[Sponsor_1_num]],8)," not found")),"")</f>
        <v/>
      </c>
      <c r="Q589" t="str">
        <f>IF(LEN(K589)&gt;0,_xlfn.TEXTJOIN(", ",TRUE,K589:P589),Table3[[#This Row],[SPONSOR_LIST]])</f>
        <v>Borden County</v>
      </c>
    </row>
    <row r="590" spans="1:17" x14ac:dyDescent="0.25">
      <c r="A590" s="304" t="s">
        <v>853</v>
      </c>
      <c r="B590" t="s">
        <v>434</v>
      </c>
      <c r="C590" t="str">
        <f t="shared" si="10"/>
        <v>x00000115</v>
      </c>
      <c r="D590" t="str">
        <f>SUBSTITUTE(SUBSTITUTE(Table3[[#This Row],[Sponsor_list_tranform]],",",",x")," ","")</f>
        <v>x00000115</v>
      </c>
      <c r="E590" t="s">
        <v>11726</v>
      </c>
      <c r="K590" t="str">
        <f>IF(LEN(E590)&lt;&gt;0,_xlfn.XLOOKUP(E590,[1]!Entities[ID_with_x],[1]!Entities[Name_w_County],_xlfn.CONCAT("Entity ID ",RIGHT(Table3[[#This Row],[Sponsor_1_num]],8)," not found")),"")</f>
        <v>Borden County</v>
      </c>
      <c r="L590" t="str">
        <f>IF(LEN(F590)&lt;&gt;0,_xlfn.XLOOKUP(F590,[1]!Entities[ID_with_x],[1]!Entities[Name_w_County],_xlfn.CONCAT("Entity ID ",RIGHT(Table3[[#This Row],[Sponsor_1_num]],8)," not found")),"")</f>
        <v/>
      </c>
      <c r="M590" t="str">
        <f>IF(LEN(G590)&lt;&gt;0,_xlfn.XLOOKUP(G590,[1]!Entities[ID_with_x],[1]!Entities[Name_w_County],_xlfn.CONCAT("Entity ID ",RIGHT(Table3[[#This Row],[Sponsor_1_num]],8)," not found")),"")</f>
        <v/>
      </c>
      <c r="N590" t="str">
        <f>IF(LEN(H590)&lt;&gt;0,_xlfn.XLOOKUP(H590,[1]!Entities[ID_with_x],[1]!Entities[Name_w_County],_xlfn.CONCAT("Entity ID ",RIGHT(Table3[[#This Row],[Sponsor_1_num]],8)," not found")),"")</f>
        <v/>
      </c>
      <c r="O590" t="str">
        <f>IF(LEN(I590)&lt;&gt;0,_xlfn.XLOOKUP(I590,[1]!Entities[ID_with_x],[1]!Entities[Name_w_County],_xlfn.CONCAT("Entity ID ",RIGHT(Table3[[#This Row],[Sponsor_1_num]],8)," not found")),"")</f>
        <v/>
      </c>
      <c r="P590" t="str">
        <f>IF(LEN(J590)&lt;&gt;0,_xlfn.XLOOKUP(J590,[1]!Entities[ID_with_x],[1]!Entities[Name_w_County],_xlfn.CONCAT("Entity ID ",RIGHT(Table3[[#This Row],[Sponsor_1_num]],8)," not found")),"")</f>
        <v/>
      </c>
      <c r="Q590" t="str">
        <f>IF(LEN(K590)&gt;0,_xlfn.TEXTJOIN(", ",TRUE,K590:P590),Table3[[#This Row],[SPONSOR_LIST]])</f>
        <v>Borden County</v>
      </c>
    </row>
    <row r="591" spans="1:17" x14ac:dyDescent="0.25">
      <c r="A591" s="304" t="s">
        <v>856</v>
      </c>
      <c r="B591" t="s">
        <v>862</v>
      </c>
      <c r="C591" t="str">
        <f t="shared" si="10"/>
        <v>x09000149</v>
      </c>
      <c r="D591" t="str">
        <f>SUBSTITUTE(SUBSTITUTE(Table3[[#This Row],[Sponsor_list_tranform]],",",",x")," ","")</f>
        <v>x09000149</v>
      </c>
      <c r="E591" t="s">
        <v>11745</v>
      </c>
      <c r="K591" t="str">
        <f>IF(LEN(E591)&lt;&gt;0,_xlfn.XLOOKUP(E591,[1]!Entities[ID_with_x],[1]!Entities[Name_w_County],_xlfn.CONCAT("Entity ID ",RIGHT(Table3[[#This Row],[Sponsor_1_num]],8)," not found")),"")</f>
        <v>Sterling County</v>
      </c>
      <c r="L591" t="str">
        <f>IF(LEN(F591)&lt;&gt;0,_xlfn.XLOOKUP(F591,[1]!Entities[ID_with_x],[1]!Entities[Name_w_County],_xlfn.CONCAT("Entity ID ",RIGHT(Table3[[#This Row],[Sponsor_1_num]],8)," not found")),"")</f>
        <v/>
      </c>
      <c r="M591" t="str">
        <f>IF(LEN(G591)&lt;&gt;0,_xlfn.XLOOKUP(G591,[1]!Entities[ID_with_x],[1]!Entities[Name_w_County],_xlfn.CONCAT("Entity ID ",RIGHT(Table3[[#This Row],[Sponsor_1_num]],8)," not found")),"")</f>
        <v/>
      </c>
      <c r="N591" t="str">
        <f>IF(LEN(H591)&lt;&gt;0,_xlfn.XLOOKUP(H591,[1]!Entities[ID_with_x],[1]!Entities[Name_w_County],_xlfn.CONCAT("Entity ID ",RIGHT(Table3[[#This Row],[Sponsor_1_num]],8)," not found")),"")</f>
        <v/>
      </c>
      <c r="O591" t="str">
        <f>IF(LEN(I591)&lt;&gt;0,_xlfn.XLOOKUP(I591,[1]!Entities[ID_with_x],[1]!Entities[Name_w_County],_xlfn.CONCAT("Entity ID ",RIGHT(Table3[[#This Row],[Sponsor_1_num]],8)," not found")),"")</f>
        <v/>
      </c>
      <c r="P591" t="str">
        <f>IF(LEN(J591)&lt;&gt;0,_xlfn.XLOOKUP(J591,[1]!Entities[ID_with_x],[1]!Entities[Name_w_County],_xlfn.CONCAT("Entity ID ",RIGHT(Table3[[#This Row],[Sponsor_1_num]],8)," not found")),"")</f>
        <v/>
      </c>
      <c r="Q591" t="str">
        <f>IF(LEN(K591)&gt;0,_xlfn.TEXTJOIN(", ",TRUE,K591:P591),Table3[[#This Row],[SPONSOR_LIST]])</f>
        <v>Sterling County</v>
      </c>
    </row>
    <row r="592" spans="1:17" x14ac:dyDescent="0.25">
      <c r="A592" s="304" t="s">
        <v>864</v>
      </c>
      <c r="B592" t="s">
        <v>862</v>
      </c>
      <c r="C592" t="str">
        <f t="shared" si="10"/>
        <v>x09000149</v>
      </c>
      <c r="D592" t="str">
        <f>SUBSTITUTE(SUBSTITUTE(Table3[[#This Row],[Sponsor_list_tranform]],",",",x")," ","")</f>
        <v>x09000149</v>
      </c>
      <c r="E592" t="s">
        <v>11745</v>
      </c>
      <c r="K592" t="str">
        <f>IF(LEN(E592)&lt;&gt;0,_xlfn.XLOOKUP(E592,[1]!Entities[ID_with_x],[1]!Entities[Name_w_County],_xlfn.CONCAT("Entity ID ",RIGHT(Table3[[#This Row],[Sponsor_1_num]],8)," not found")),"")</f>
        <v>Sterling County</v>
      </c>
      <c r="L592" t="str">
        <f>IF(LEN(F592)&lt;&gt;0,_xlfn.XLOOKUP(F592,[1]!Entities[ID_with_x],[1]!Entities[Name_w_County],_xlfn.CONCAT("Entity ID ",RIGHT(Table3[[#This Row],[Sponsor_1_num]],8)," not found")),"")</f>
        <v/>
      </c>
      <c r="M592" t="str">
        <f>IF(LEN(G592)&lt;&gt;0,_xlfn.XLOOKUP(G592,[1]!Entities[ID_with_x],[1]!Entities[Name_w_County],_xlfn.CONCAT("Entity ID ",RIGHT(Table3[[#This Row],[Sponsor_1_num]],8)," not found")),"")</f>
        <v/>
      </c>
      <c r="N592" t="str">
        <f>IF(LEN(H592)&lt;&gt;0,_xlfn.XLOOKUP(H592,[1]!Entities[ID_with_x],[1]!Entities[Name_w_County],_xlfn.CONCAT("Entity ID ",RIGHT(Table3[[#This Row],[Sponsor_1_num]],8)," not found")),"")</f>
        <v/>
      </c>
      <c r="O592" t="str">
        <f>IF(LEN(I592)&lt;&gt;0,_xlfn.XLOOKUP(I592,[1]!Entities[ID_with_x],[1]!Entities[Name_w_County],_xlfn.CONCAT("Entity ID ",RIGHT(Table3[[#This Row],[Sponsor_1_num]],8)," not found")),"")</f>
        <v/>
      </c>
      <c r="P592" t="str">
        <f>IF(LEN(J592)&lt;&gt;0,_xlfn.XLOOKUP(J592,[1]!Entities[ID_with_x],[1]!Entities[Name_w_County],_xlfn.CONCAT("Entity ID ",RIGHT(Table3[[#This Row],[Sponsor_1_num]],8)," not found")),"")</f>
        <v/>
      </c>
      <c r="Q592" t="str">
        <f>IF(LEN(K592)&gt;0,_xlfn.TEXTJOIN(", ",TRUE,K592:P592),Table3[[#This Row],[SPONSOR_LIST]])</f>
        <v>Sterling County</v>
      </c>
    </row>
    <row r="593" spans="1:17" x14ac:dyDescent="0.25">
      <c r="A593" s="304" t="s">
        <v>867</v>
      </c>
      <c r="B593" t="s">
        <v>872</v>
      </c>
      <c r="C593" t="str">
        <f t="shared" si="10"/>
        <v>x09000131</v>
      </c>
      <c r="D593" t="str">
        <f>SUBSTITUTE(SUBSTITUTE(Table3[[#This Row],[Sponsor_list_tranform]],",",",x")," ","")</f>
        <v>x09000131</v>
      </c>
      <c r="E593" t="s">
        <v>11654</v>
      </c>
      <c r="K593" t="str">
        <f>IF(LEN(E593)&lt;&gt;0,_xlfn.XLOOKUP(E593,[1]!Entities[ID_with_x],[1]!Entities[Name_w_County],_xlfn.CONCAT("Entity ID ",RIGHT(Table3[[#This Row],[Sponsor_1_num]],8)," not found")),"")</f>
        <v>Tom Green County</v>
      </c>
      <c r="L593" t="str">
        <f>IF(LEN(F593)&lt;&gt;0,_xlfn.XLOOKUP(F593,[1]!Entities[ID_with_x],[1]!Entities[Name_w_County],_xlfn.CONCAT("Entity ID ",RIGHT(Table3[[#This Row],[Sponsor_1_num]],8)," not found")),"")</f>
        <v/>
      </c>
      <c r="M593" t="str">
        <f>IF(LEN(G593)&lt;&gt;0,_xlfn.XLOOKUP(G593,[1]!Entities[ID_with_x],[1]!Entities[Name_w_County],_xlfn.CONCAT("Entity ID ",RIGHT(Table3[[#This Row],[Sponsor_1_num]],8)," not found")),"")</f>
        <v/>
      </c>
      <c r="N593" t="str">
        <f>IF(LEN(H593)&lt;&gt;0,_xlfn.XLOOKUP(H593,[1]!Entities[ID_with_x],[1]!Entities[Name_w_County],_xlfn.CONCAT("Entity ID ",RIGHT(Table3[[#This Row],[Sponsor_1_num]],8)," not found")),"")</f>
        <v/>
      </c>
      <c r="O593" t="str">
        <f>IF(LEN(I593)&lt;&gt;0,_xlfn.XLOOKUP(I593,[1]!Entities[ID_with_x],[1]!Entities[Name_w_County],_xlfn.CONCAT("Entity ID ",RIGHT(Table3[[#This Row],[Sponsor_1_num]],8)," not found")),"")</f>
        <v/>
      </c>
      <c r="P593" t="str">
        <f>IF(LEN(J593)&lt;&gt;0,_xlfn.XLOOKUP(J593,[1]!Entities[ID_with_x],[1]!Entities[Name_w_County],_xlfn.CONCAT("Entity ID ",RIGHT(Table3[[#This Row],[Sponsor_1_num]],8)," not found")),"")</f>
        <v/>
      </c>
      <c r="Q593" t="str">
        <f>IF(LEN(K593)&gt;0,_xlfn.TEXTJOIN(", ",TRUE,K593:P593),Table3[[#This Row],[SPONSOR_LIST]])</f>
        <v>Tom Green County</v>
      </c>
    </row>
    <row r="594" spans="1:17" x14ac:dyDescent="0.25">
      <c r="A594" s="304" t="s">
        <v>934</v>
      </c>
      <c r="B594" t="s">
        <v>716</v>
      </c>
      <c r="C594" t="str">
        <f t="shared" si="10"/>
        <v>x00000187</v>
      </c>
      <c r="D594" t="str">
        <f>SUBSTITUTE(SUBSTITUTE(Table3[[#This Row],[Sponsor_list_tranform]],",",",x")," ","")</f>
        <v>x00000187</v>
      </c>
      <c r="E594" t="s">
        <v>11807</v>
      </c>
      <c r="K594" t="str">
        <f>IF(LEN(E594)&lt;&gt;0,_xlfn.XLOOKUP(E594,[1]!Entities[ID_with_x],[1]!Entities[Name_w_County],_xlfn.CONCAT("Entity ID ",RIGHT(Table3[[#This Row],[Sponsor_1_num]],8)," not found")),"")</f>
        <v>Cochran County</v>
      </c>
      <c r="L594" t="str">
        <f>IF(LEN(F594)&lt;&gt;0,_xlfn.XLOOKUP(F594,[1]!Entities[ID_with_x],[1]!Entities[Name_w_County],_xlfn.CONCAT("Entity ID ",RIGHT(Table3[[#This Row],[Sponsor_1_num]],8)," not found")),"")</f>
        <v/>
      </c>
      <c r="M594" t="str">
        <f>IF(LEN(G594)&lt;&gt;0,_xlfn.XLOOKUP(G594,[1]!Entities[ID_with_x],[1]!Entities[Name_w_County],_xlfn.CONCAT("Entity ID ",RIGHT(Table3[[#This Row],[Sponsor_1_num]],8)," not found")),"")</f>
        <v/>
      </c>
      <c r="N594" t="str">
        <f>IF(LEN(H594)&lt;&gt;0,_xlfn.XLOOKUP(H594,[1]!Entities[ID_with_x],[1]!Entities[Name_w_County],_xlfn.CONCAT("Entity ID ",RIGHT(Table3[[#This Row],[Sponsor_1_num]],8)," not found")),"")</f>
        <v/>
      </c>
      <c r="O594" t="str">
        <f>IF(LEN(I594)&lt;&gt;0,_xlfn.XLOOKUP(I594,[1]!Entities[ID_with_x],[1]!Entities[Name_w_County],_xlfn.CONCAT("Entity ID ",RIGHT(Table3[[#This Row],[Sponsor_1_num]],8)," not found")),"")</f>
        <v/>
      </c>
      <c r="P594" t="str">
        <f>IF(LEN(J594)&lt;&gt;0,_xlfn.XLOOKUP(J594,[1]!Entities[ID_with_x],[1]!Entities[Name_w_County],_xlfn.CONCAT("Entity ID ",RIGHT(Table3[[#This Row],[Sponsor_1_num]],8)," not found")),"")</f>
        <v/>
      </c>
      <c r="Q594" t="str">
        <f>IF(LEN(K594)&gt;0,_xlfn.TEXTJOIN(", ",TRUE,K594:P594),Table3[[#This Row],[SPONSOR_LIST]])</f>
        <v>Cochran County</v>
      </c>
    </row>
    <row r="595" spans="1:17" x14ac:dyDescent="0.25">
      <c r="A595" s="304" t="s">
        <v>889</v>
      </c>
      <c r="B595" t="s">
        <v>470</v>
      </c>
      <c r="C595" t="str">
        <f t="shared" si="10"/>
        <v>x09000147</v>
      </c>
      <c r="D595" t="str">
        <f>SUBSTITUTE(SUBSTITUTE(Table3[[#This Row],[Sponsor_list_tranform]],",",",x")," ","")</f>
        <v>x09000147</v>
      </c>
      <c r="E595" t="s">
        <v>11734</v>
      </c>
      <c r="K595" t="str">
        <f>IF(LEN(E595)&lt;&gt;0,_xlfn.XLOOKUP(E595,[1]!Entities[ID_with_x],[1]!Entities[Name_w_County],_xlfn.CONCAT("Entity ID ",RIGHT(Table3[[#This Row],[Sponsor_1_num]],8)," not found")),"")</f>
        <v>Coke County</v>
      </c>
      <c r="L595" t="str">
        <f>IF(LEN(F595)&lt;&gt;0,_xlfn.XLOOKUP(F595,[1]!Entities[ID_with_x],[1]!Entities[Name_w_County],_xlfn.CONCAT("Entity ID ",RIGHT(Table3[[#This Row],[Sponsor_1_num]],8)," not found")),"")</f>
        <v/>
      </c>
      <c r="M595" t="str">
        <f>IF(LEN(G595)&lt;&gt;0,_xlfn.XLOOKUP(G595,[1]!Entities[ID_with_x],[1]!Entities[Name_w_County],_xlfn.CONCAT("Entity ID ",RIGHT(Table3[[#This Row],[Sponsor_1_num]],8)," not found")),"")</f>
        <v/>
      </c>
      <c r="N595" t="str">
        <f>IF(LEN(H595)&lt;&gt;0,_xlfn.XLOOKUP(H595,[1]!Entities[ID_with_x],[1]!Entities[Name_w_County],_xlfn.CONCAT("Entity ID ",RIGHT(Table3[[#This Row],[Sponsor_1_num]],8)," not found")),"")</f>
        <v/>
      </c>
      <c r="O595" t="str">
        <f>IF(LEN(I595)&lt;&gt;0,_xlfn.XLOOKUP(I595,[1]!Entities[ID_with_x],[1]!Entities[Name_w_County],_xlfn.CONCAT("Entity ID ",RIGHT(Table3[[#This Row],[Sponsor_1_num]],8)," not found")),"")</f>
        <v/>
      </c>
      <c r="P595" t="str">
        <f>IF(LEN(J595)&lt;&gt;0,_xlfn.XLOOKUP(J595,[1]!Entities[ID_with_x],[1]!Entities[Name_w_County],_xlfn.CONCAT("Entity ID ",RIGHT(Table3[[#This Row],[Sponsor_1_num]],8)," not found")),"")</f>
        <v/>
      </c>
      <c r="Q595" t="str">
        <f>IF(LEN(K595)&gt;0,_xlfn.TEXTJOIN(", ",TRUE,K595:P595),Table3[[#This Row],[SPONSOR_LIST]])</f>
        <v>Coke County</v>
      </c>
    </row>
    <row r="596" spans="1:17" x14ac:dyDescent="0.25">
      <c r="A596" s="304" t="s">
        <v>895</v>
      </c>
      <c r="B596" t="s">
        <v>899</v>
      </c>
      <c r="C596" t="str">
        <f t="shared" si="10"/>
        <v>x09003477</v>
      </c>
      <c r="D596" t="str">
        <f>SUBSTITUTE(SUBSTITUTE(Table3[[#This Row],[Sponsor_list_tranform]],",",",x")," ","")</f>
        <v>x09003477</v>
      </c>
      <c r="E596" t="s">
        <v>11835</v>
      </c>
      <c r="K596" t="str">
        <f>IF(LEN(E596)&lt;&gt;0,_xlfn.XLOOKUP(E596,[1]!Entities[ID_with_x],[1]!Entities[Name_w_County],_xlfn.CONCAT("Entity ID ",RIGHT(Table3[[#This Row],[Sponsor_1_num]],8)," not found")),"")</f>
        <v>Bronte</v>
      </c>
      <c r="L596" t="str">
        <f>IF(LEN(F596)&lt;&gt;0,_xlfn.XLOOKUP(F596,[1]!Entities[ID_with_x],[1]!Entities[Name_w_County],_xlfn.CONCAT("Entity ID ",RIGHT(Table3[[#This Row],[Sponsor_1_num]],8)," not found")),"")</f>
        <v/>
      </c>
      <c r="M596" t="str">
        <f>IF(LEN(G596)&lt;&gt;0,_xlfn.XLOOKUP(G596,[1]!Entities[ID_with_x],[1]!Entities[Name_w_County],_xlfn.CONCAT("Entity ID ",RIGHT(Table3[[#This Row],[Sponsor_1_num]],8)," not found")),"")</f>
        <v/>
      </c>
      <c r="N596" t="str">
        <f>IF(LEN(H596)&lt;&gt;0,_xlfn.XLOOKUP(H596,[1]!Entities[ID_with_x],[1]!Entities[Name_w_County],_xlfn.CONCAT("Entity ID ",RIGHT(Table3[[#This Row],[Sponsor_1_num]],8)," not found")),"")</f>
        <v/>
      </c>
      <c r="O596" t="str">
        <f>IF(LEN(I596)&lt;&gt;0,_xlfn.XLOOKUP(I596,[1]!Entities[ID_with_x],[1]!Entities[Name_w_County],_xlfn.CONCAT("Entity ID ",RIGHT(Table3[[#This Row],[Sponsor_1_num]],8)," not found")),"")</f>
        <v/>
      </c>
      <c r="P596" t="str">
        <f>IF(LEN(J596)&lt;&gt;0,_xlfn.XLOOKUP(J596,[1]!Entities[ID_with_x],[1]!Entities[Name_w_County],_xlfn.CONCAT("Entity ID ",RIGHT(Table3[[#This Row],[Sponsor_1_num]],8)," not found")),"")</f>
        <v/>
      </c>
      <c r="Q596" t="str">
        <f>IF(LEN(K596)&gt;0,_xlfn.TEXTJOIN(", ",TRUE,K596:P596),Table3[[#This Row],[SPONSOR_LIST]])</f>
        <v>Bronte</v>
      </c>
    </row>
    <row r="597" spans="1:17" x14ac:dyDescent="0.25">
      <c r="A597" s="304" t="s">
        <v>902</v>
      </c>
      <c r="B597" t="s">
        <v>693</v>
      </c>
      <c r="C597" t="str">
        <f t="shared" si="10"/>
        <v>x00000124</v>
      </c>
      <c r="D597" t="str">
        <f>SUBSTITUTE(SUBSTITUTE(Table3[[#This Row],[Sponsor_list_tranform]],",",",x")," ","")</f>
        <v>x00000124</v>
      </c>
      <c r="E597" t="s">
        <v>11736</v>
      </c>
      <c r="K597" t="str">
        <f>IF(LEN(E597)&lt;&gt;0,_xlfn.XLOOKUP(E597,[1]!Entities[ID_with_x],[1]!Entities[Name_w_County],_xlfn.CONCAT("Entity ID ",RIGHT(Table3[[#This Row],[Sponsor_1_num]],8)," not found")),"")</f>
        <v>Concho County</v>
      </c>
      <c r="L597" t="str">
        <f>IF(LEN(F597)&lt;&gt;0,_xlfn.XLOOKUP(F597,[1]!Entities[ID_with_x],[1]!Entities[Name_w_County],_xlfn.CONCAT("Entity ID ",RIGHT(Table3[[#This Row],[Sponsor_1_num]],8)," not found")),"")</f>
        <v/>
      </c>
      <c r="M597" t="str">
        <f>IF(LEN(G597)&lt;&gt;0,_xlfn.XLOOKUP(G597,[1]!Entities[ID_with_x],[1]!Entities[Name_w_County],_xlfn.CONCAT("Entity ID ",RIGHT(Table3[[#This Row],[Sponsor_1_num]],8)," not found")),"")</f>
        <v/>
      </c>
      <c r="N597" t="str">
        <f>IF(LEN(H597)&lt;&gt;0,_xlfn.XLOOKUP(H597,[1]!Entities[ID_with_x],[1]!Entities[Name_w_County],_xlfn.CONCAT("Entity ID ",RIGHT(Table3[[#This Row],[Sponsor_1_num]],8)," not found")),"")</f>
        <v/>
      </c>
      <c r="O597" t="str">
        <f>IF(LEN(I597)&lt;&gt;0,_xlfn.XLOOKUP(I597,[1]!Entities[ID_with_x],[1]!Entities[Name_w_County],_xlfn.CONCAT("Entity ID ",RIGHT(Table3[[#This Row],[Sponsor_1_num]],8)," not found")),"")</f>
        <v/>
      </c>
      <c r="P597" t="str">
        <f>IF(LEN(J597)&lt;&gt;0,_xlfn.XLOOKUP(J597,[1]!Entities[ID_with_x],[1]!Entities[Name_w_County],_xlfn.CONCAT("Entity ID ",RIGHT(Table3[[#This Row],[Sponsor_1_num]],8)," not found")),"")</f>
        <v/>
      </c>
      <c r="Q597" t="str">
        <f>IF(LEN(K597)&gt;0,_xlfn.TEXTJOIN(", ",TRUE,K597:P597),Table3[[#This Row],[SPONSOR_LIST]])</f>
        <v>Concho County</v>
      </c>
    </row>
    <row r="598" spans="1:17" x14ac:dyDescent="0.25">
      <c r="A598" s="304" t="s">
        <v>900</v>
      </c>
      <c r="B598" t="s">
        <v>693</v>
      </c>
      <c r="C598" t="str">
        <f t="shared" si="10"/>
        <v>x00000124</v>
      </c>
      <c r="D598" t="str">
        <f>SUBSTITUTE(SUBSTITUTE(Table3[[#This Row],[Sponsor_list_tranform]],",",",x")," ","")</f>
        <v>x00000124</v>
      </c>
      <c r="E598" t="s">
        <v>11736</v>
      </c>
      <c r="K598" t="str">
        <f>IF(LEN(E598)&lt;&gt;0,_xlfn.XLOOKUP(E598,[1]!Entities[ID_with_x],[1]!Entities[Name_w_County],_xlfn.CONCAT("Entity ID ",RIGHT(Table3[[#This Row],[Sponsor_1_num]],8)," not found")),"")</f>
        <v>Concho County</v>
      </c>
      <c r="L598" t="str">
        <f>IF(LEN(F598)&lt;&gt;0,_xlfn.XLOOKUP(F598,[1]!Entities[ID_with_x],[1]!Entities[Name_w_County],_xlfn.CONCAT("Entity ID ",RIGHT(Table3[[#This Row],[Sponsor_1_num]],8)," not found")),"")</f>
        <v/>
      </c>
      <c r="M598" t="str">
        <f>IF(LEN(G598)&lt;&gt;0,_xlfn.XLOOKUP(G598,[1]!Entities[ID_with_x],[1]!Entities[Name_w_County],_xlfn.CONCAT("Entity ID ",RIGHT(Table3[[#This Row],[Sponsor_1_num]],8)," not found")),"")</f>
        <v/>
      </c>
      <c r="N598" t="str">
        <f>IF(LEN(H598)&lt;&gt;0,_xlfn.XLOOKUP(H598,[1]!Entities[ID_with_x],[1]!Entities[Name_w_County],_xlfn.CONCAT("Entity ID ",RIGHT(Table3[[#This Row],[Sponsor_1_num]],8)," not found")),"")</f>
        <v/>
      </c>
      <c r="O598" t="str">
        <f>IF(LEN(I598)&lt;&gt;0,_xlfn.XLOOKUP(I598,[1]!Entities[ID_with_x],[1]!Entities[Name_w_County],_xlfn.CONCAT("Entity ID ",RIGHT(Table3[[#This Row],[Sponsor_1_num]],8)," not found")),"")</f>
        <v/>
      </c>
      <c r="P598" t="str">
        <f>IF(LEN(J598)&lt;&gt;0,_xlfn.XLOOKUP(J598,[1]!Entities[ID_with_x],[1]!Entities[Name_w_County],_xlfn.CONCAT("Entity ID ",RIGHT(Table3[[#This Row],[Sponsor_1_num]],8)," not found")),"")</f>
        <v/>
      </c>
      <c r="Q598" t="str">
        <f>IF(LEN(K598)&gt;0,_xlfn.TEXTJOIN(", ",TRUE,K598:P598),Table3[[#This Row],[SPONSOR_LIST]])</f>
        <v>Concho County</v>
      </c>
    </row>
    <row r="599" spans="1:17" x14ac:dyDescent="0.25">
      <c r="A599" s="304" t="s">
        <v>905</v>
      </c>
      <c r="B599" t="s">
        <v>909</v>
      </c>
      <c r="C599" t="str">
        <f t="shared" si="10"/>
        <v>x09002653</v>
      </c>
      <c r="D599" t="str">
        <f>SUBSTITUTE(SUBSTITUTE(Table3[[#This Row],[Sponsor_list_tranform]],",",",x")," ","")</f>
        <v>x09002653</v>
      </c>
      <c r="E599" t="s">
        <v>11833</v>
      </c>
      <c r="K599" t="str">
        <f>IF(LEN(E599)&lt;&gt;0,_xlfn.XLOOKUP(E599,[1]!Entities[ID_with_x],[1]!Entities[Name_w_County],_xlfn.CONCAT("Entity ID ",RIGHT(Table3[[#This Row],[Sponsor_1_num]],8)," not found")),"")</f>
        <v>Paint Rock</v>
      </c>
      <c r="L599" t="str">
        <f>IF(LEN(F599)&lt;&gt;0,_xlfn.XLOOKUP(F599,[1]!Entities[ID_with_x],[1]!Entities[Name_w_County],_xlfn.CONCAT("Entity ID ",RIGHT(Table3[[#This Row],[Sponsor_1_num]],8)," not found")),"")</f>
        <v/>
      </c>
      <c r="M599" t="str">
        <f>IF(LEN(G599)&lt;&gt;0,_xlfn.XLOOKUP(G599,[1]!Entities[ID_with_x],[1]!Entities[Name_w_County],_xlfn.CONCAT("Entity ID ",RIGHT(Table3[[#This Row],[Sponsor_1_num]],8)," not found")),"")</f>
        <v/>
      </c>
      <c r="N599" t="str">
        <f>IF(LEN(H599)&lt;&gt;0,_xlfn.XLOOKUP(H599,[1]!Entities[ID_with_x],[1]!Entities[Name_w_County],_xlfn.CONCAT("Entity ID ",RIGHT(Table3[[#This Row],[Sponsor_1_num]],8)," not found")),"")</f>
        <v/>
      </c>
      <c r="O599" t="str">
        <f>IF(LEN(I599)&lt;&gt;0,_xlfn.XLOOKUP(I599,[1]!Entities[ID_with_x],[1]!Entities[Name_w_County],_xlfn.CONCAT("Entity ID ",RIGHT(Table3[[#This Row],[Sponsor_1_num]],8)," not found")),"")</f>
        <v/>
      </c>
      <c r="P599" t="str">
        <f>IF(LEN(J599)&lt;&gt;0,_xlfn.XLOOKUP(J599,[1]!Entities[ID_with_x],[1]!Entities[Name_w_County],_xlfn.CONCAT("Entity ID ",RIGHT(Table3[[#This Row],[Sponsor_1_num]],8)," not found")),"")</f>
        <v/>
      </c>
      <c r="Q599" t="str">
        <f>IF(LEN(K599)&gt;0,_xlfn.TEXTJOIN(", ",TRUE,K599:P599),Table3[[#This Row],[SPONSOR_LIST]])</f>
        <v>Paint Rock</v>
      </c>
    </row>
    <row r="600" spans="1:17" x14ac:dyDescent="0.25">
      <c r="A600" s="304" t="s">
        <v>910</v>
      </c>
      <c r="B600" t="s">
        <v>914</v>
      </c>
      <c r="C600" t="str">
        <f t="shared" si="10"/>
        <v>x00000052</v>
      </c>
      <c r="D600" t="str">
        <f>SUBSTITUTE(SUBSTITUTE(Table3[[#This Row],[Sponsor_list_tranform]],",",",x")," ","")</f>
        <v>x00000052</v>
      </c>
      <c r="E600" t="s">
        <v>11738</v>
      </c>
      <c r="K600" t="str">
        <f>IF(LEN(E600)&lt;&gt;0,_xlfn.XLOOKUP(E600,[1]!Entities[ID_with_x],[1]!Entities[Name_w_County],_xlfn.CONCAT("Entity ID ",RIGHT(Table3[[#This Row],[Sponsor_1_num]],8)," not found")),"")</f>
        <v>Crockett County</v>
      </c>
      <c r="L600" t="str">
        <f>IF(LEN(F600)&lt;&gt;0,_xlfn.XLOOKUP(F600,[1]!Entities[ID_with_x],[1]!Entities[Name_w_County],_xlfn.CONCAT("Entity ID ",RIGHT(Table3[[#This Row],[Sponsor_1_num]],8)," not found")),"")</f>
        <v/>
      </c>
      <c r="M600" t="str">
        <f>IF(LEN(G600)&lt;&gt;0,_xlfn.XLOOKUP(G600,[1]!Entities[ID_with_x],[1]!Entities[Name_w_County],_xlfn.CONCAT("Entity ID ",RIGHT(Table3[[#This Row],[Sponsor_1_num]],8)," not found")),"")</f>
        <v/>
      </c>
      <c r="N600" t="str">
        <f>IF(LEN(H600)&lt;&gt;0,_xlfn.XLOOKUP(H600,[1]!Entities[ID_with_x],[1]!Entities[Name_w_County],_xlfn.CONCAT("Entity ID ",RIGHT(Table3[[#This Row],[Sponsor_1_num]],8)," not found")),"")</f>
        <v/>
      </c>
      <c r="O600" t="str">
        <f>IF(LEN(I600)&lt;&gt;0,_xlfn.XLOOKUP(I600,[1]!Entities[ID_with_x],[1]!Entities[Name_w_County],_xlfn.CONCAT("Entity ID ",RIGHT(Table3[[#This Row],[Sponsor_1_num]],8)," not found")),"")</f>
        <v/>
      </c>
      <c r="P600" t="str">
        <f>IF(LEN(J600)&lt;&gt;0,_xlfn.XLOOKUP(J600,[1]!Entities[ID_with_x],[1]!Entities[Name_w_County],_xlfn.CONCAT("Entity ID ",RIGHT(Table3[[#This Row],[Sponsor_1_num]],8)," not found")),"")</f>
        <v/>
      </c>
      <c r="Q600" t="str">
        <f>IF(LEN(K600)&gt;0,_xlfn.TEXTJOIN(", ",TRUE,K600:P600),Table3[[#This Row],[SPONSOR_LIST]])</f>
        <v>Crockett County</v>
      </c>
    </row>
    <row r="601" spans="1:17" x14ac:dyDescent="0.25">
      <c r="A601" s="304" t="s">
        <v>938</v>
      </c>
      <c r="B601" t="s">
        <v>676</v>
      </c>
      <c r="C601" t="str">
        <f t="shared" si="10"/>
        <v>x00000152</v>
      </c>
      <c r="D601" t="str">
        <f>SUBSTITUTE(SUBSTITUTE(Table3[[#This Row],[Sponsor_list_tranform]],",",",x")," ","")</f>
        <v>x00000152</v>
      </c>
      <c r="E601" t="s">
        <v>11739</v>
      </c>
      <c r="K601" t="str">
        <f>IF(LEN(E601)&lt;&gt;0,_xlfn.XLOOKUP(E601,[1]!Entities[ID_with_x],[1]!Entities[Name_w_County],_xlfn.CONCAT("Entity ID ",RIGHT(Table3[[#This Row],[Sponsor_1_num]],8)," not found")),"")</f>
        <v>Ector County</v>
      </c>
      <c r="L601" t="str">
        <f>IF(LEN(F601)&lt;&gt;0,_xlfn.XLOOKUP(F601,[1]!Entities[ID_with_x],[1]!Entities[Name_w_County],_xlfn.CONCAT("Entity ID ",RIGHT(Table3[[#This Row],[Sponsor_1_num]],8)," not found")),"")</f>
        <v/>
      </c>
      <c r="M601" t="str">
        <f>IF(LEN(G601)&lt;&gt;0,_xlfn.XLOOKUP(G601,[1]!Entities[ID_with_x],[1]!Entities[Name_w_County],_xlfn.CONCAT("Entity ID ",RIGHT(Table3[[#This Row],[Sponsor_1_num]],8)," not found")),"")</f>
        <v/>
      </c>
      <c r="N601" t="str">
        <f>IF(LEN(H601)&lt;&gt;0,_xlfn.XLOOKUP(H601,[1]!Entities[ID_with_x],[1]!Entities[Name_w_County],_xlfn.CONCAT("Entity ID ",RIGHT(Table3[[#This Row],[Sponsor_1_num]],8)," not found")),"")</f>
        <v/>
      </c>
      <c r="O601" t="str">
        <f>IF(LEN(I601)&lt;&gt;0,_xlfn.XLOOKUP(I601,[1]!Entities[ID_with_x],[1]!Entities[Name_w_County],_xlfn.CONCAT("Entity ID ",RIGHT(Table3[[#This Row],[Sponsor_1_num]],8)," not found")),"")</f>
        <v/>
      </c>
      <c r="P601" t="str">
        <f>IF(LEN(J601)&lt;&gt;0,_xlfn.XLOOKUP(J601,[1]!Entities[ID_with_x],[1]!Entities[Name_w_County],_xlfn.CONCAT("Entity ID ",RIGHT(Table3[[#This Row],[Sponsor_1_num]],8)," not found")),"")</f>
        <v/>
      </c>
      <c r="Q601" t="str">
        <f>IF(LEN(K601)&gt;0,_xlfn.TEXTJOIN(", ",TRUE,K601:P601),Table3[[#This Row],[SPONSOR_LIST]])</f>
        <v>Ector County</v>
      </c>
    </row>
    <row r="602" spans="1:17" x14ac:dyDescent="0.25">
      <c r="A602" s="304" t="s">
        <v>941</v>
      </c>
      <c r="B602" t="s">
        <v>550</v>
      </c>
      <c r="C602" t="str">
        <f t="shared" si="10"/>
        <v>x09000118</v>
      </c>
      <c r="D602" t="str">
        <f>SUBSTITUTE(SUBSTITUTE(Table3[[#This Row],[Sponsor_list_tranform]],",",",x")," ","")</f>
        <v>x09000118</v>
      </c>
      <c r="E602" t="s">
        <v>11730</v>
      </c>
      <c r="K602" t="str">
        <f>IF(LEN(E602)&lt;&gt;0,_xlfn.XLOOKUP(E602,[1]!Entities[ID_with_x],[1]!Entities[Name_w_County],_xlfn.CONCAT("Entity ID ",RIGHT(Table3[[#This Row],[Sponsor_1_num]],8)," not found")),"")</f>
        <v>Gaines County</v>
      </c>
      <c r="L602" t="str">
        <f>IF(LEN(F602)&lt;&gt;0,_xlfn.XLOOKUP(F602,[1]!Entities[ID_with_x],[1]!Entities[Name_w_County],_xlfn.CONCAT("Entity ID ",RIGHT(Table3[[#This Row],[Sponsor_1_num]],8)," not found")),"")</f>
        <v/>
      </c>
      <c r="M602" t="str">
        <f>IF(LEN(G602)&lt;&gt;0,_xlfn.XLOOKUP(G602,[1]!Entities[ID_with_x],[1]!Entities[Name_w_County],_xlfn.CONCAT("Entity ID ",RIGHT(Table3[[#This Row],[Sponsor_1_num]],8)," not found")),"")</f>
        <v/>
      </c>
      <c r="N602" t="str">
        <f>IF(LEN(H602)&lt;&gt;0,_xlfn.XLOOKUP(H602,[1]!Entities[ID_with_x],[1]!Entities[Name_w_County],_xlfn.CONCAT("Entity ID ",RIGHT(Table3[[#This Row],[Sponsor_1_num]],8)," not found")),"")</f>
        <v/>
      </c>
      <c r="O602" t="str">
        <f>IF(LEN(I602)&lt;&gt;0,_xlfn.XLOOKUP(I602,[1]!Entities[ID_with_x],[1]!Entities[Name_w_County],_xlfn.CONCAT("Entity ID ",RIGHT(Table3[[#This Row],[Sponsor_1_num]],8)," not found")),"")</f>
        <v/>
      </c>
      <c r="P602" t="str">
        <f>IF(LEN(J602)&lt;&gt;0,_xlfn.XLOOKUP(J602,[1]!Entities[ID_with_x],[1]!Entities[Name_w_County],_xlfn.CONCAT("Entity ID ",RIGHT(Table3[[#This Row],[Sponsor_1_num]],8)," not found")),"")</f>
        <v/>
      </c>
      <c r="Q602" t="str">
        <f>IF(LEN(K602)&gt;0,_xlfn.TEXTJOIN(", ",TRUE,K602:P602),Table3[[#This Row],[SPONSOR_LIST]])</f>
        <v>Gaines County</v>
      </c>
    </row>
    <row r="603" spans="1:17" x14ac:dyDescent="0.25">
      <c r="A603" s="304" t="s">
        <v>948</v>
      </c>
      <c r="B603" t="s">
        <v>947</v>
      </c>
      <c r="C603" t="str">
        <f t="shared" si="10"/>
        <v>x09000150</v>
      </c>
      <c r="D603" t="str">
        <f>SUBSTITUTE(SUBSTITUTE(Table3[[#This Row],[Sponsor_list_tranform]],",",",x")," ","")</f>
        <v>x09000150</v>
      </c>
      <c r="E603" t="s">
        <v>11740</v>
      </c>
      <c r="K603" t="str">
        <f>IF(LEN(E603)&lt;&gt;0,_xlfn.XLOOKUP(E603,[1]!Entities[ID_with_x],[1]!Entities[Name_w_County],_xlfn.CONCAT("Entity ID ",RIGHT(Table3[[#This Row],[Sponsor_1_num]],8)," not found")),"")</f>
        <v>Glasscock County</v>
      </c>
      <c r="L603" t="str">
        <f>IF(LEN(F603)&lt;&gt;0,_xlfn.XLOOKUP(F603,[1]!Entities[ID_with_x],[1]!Entities[Name_w_County],_xlfn.CONCAT("Entity ID ",RIGHT(Table3[[#This Row],[Sponsor_1_num]],8)," not found")),"")</f>
        <v/>
      </c>
      <c r="M603" t="str">
        <f>IF(LEN(G603)&lt;&gt;0,_xlfn.XLOOKUP(G603,[1]!Entities[ID_with_x],[1]!Entities[Name_w_County],_xlfn.CONCAT("Entity ID ",RIGHT(Table3[[#This Row],[Sponsor_1_num]],8)," not found")),"")</f>
        <v/>
      </c>
      <c r="N603" t="str">
        <f>IF(LEN(H603)&lt;&gt;0,_xlfn.XLOOKUP(H603,[1]!Entities[ID_with_x],[1]!Entities[Name_w_County],_xlfn.CONCAT("Entity ID ",RIGHT(Table3[[#This Row],[Sponsor_1_num]],8)," not found")),"")</f>
        <v/>
      </c>
      <c r="O603" t="str">
        <f>IF(LEN(I603)&lt;&gt;0,_xlfn.XLOOKUP(I603,[1]!Entities[ID_with_x],[1]!Entities[Name_w_County],_xlfn.CONCAT("Entity ID ",RIGHT(Table3[[#This Row],[Sponsor_1_num]],8)," not found")),"")</f>
        <v/>
      </c>
      <c r="P603" t="str">
        <f>IF(LEN(J603)&lt;&gt;0,_xlfn.XLOOKUP(J603,[1]!Entities[ID_with_x],[1]!Entities[Name_w_County],_xlfn.CONCAT("Entity ID ",RIGHT(Table3[[#This Row],[Sponsor_1_num]],8)," not found")),"")</f>
        <v/>
      </c>
      <c r="Q603" t="str">
        <f>IF(LEN(K603)&gt;0,_xlfn.TEXTJOIN(", ",TRUE,K603:P603),Table3[[#This Row],[SPONSOR_LIST]])</f>
        <v>Glasscock County</v>
      </c>
    </row>
    <row r="604" spans="1:17" x14ac:dyDescent="0.25">
      <c r="A604" s="304" t="s">
        <v>943</v>
      </c>
      <c r="B604" t="s">
        <v>947</v>
      </c>
      <c r="C604" t="str">
        <f t="shared" si="10"/>
        <v>x09000150</v>
      </c>
      <c r="D604" t="str">
        <f>SUBSTITUTE(SUBSTITUTE(Table3[[#This Row],[Sponsor_list_tranform]],",",",x")," ","")</f>
        <v>x09000150</v>
      </c>
      <c r="E604" t="s">
        <v>11740</v>
      </c>
      <c r="K604" t="str">
        <f>IF(LEN(E604)&lt;&gt;0,_xlfn.XLOOKUP(E604,[1]!Entities[ID_with_x],[1]!Entities[Name_w_County],_xlfn.CONCAT("Entity ID ",RIGHT(Table3[[#This Row],[Sponsor_1_num]],8)," not found")),"")</f>
        <v>Glasscock County</v>
      </c>
      <c r="L604" t="str">
        <f>IF(LEN(F604)&lt;&gt;0,_xlfn.XLOOKUP(F604,[1]!Entities[ID_with_x],[1]!Entities[Name_w_County],_xlfn.CONCAT("Entity ID ",RIGHT(Table3[[#This Row],[Sponsor_1_num]],8)," not found")),"")</f>
        <v/>
      </c>
      <c r="M604" t="str">
        <f>IF(LEN(G604)&lt;&gt;0,_xlfn.XLOOKUP(G604,[1]!Entities[ID_with_x],[1]!Entities[Name_w_County],_xlfn.CONCAT("Entity ID ",RIGHT(Table3[[#This Row],[Sponsor_1_num]],8)," not found")),"")</f>
        <v/>
      </c>
      <c r="N604" t="str">
        <f>IF(LEN(H604)&lt;&gt;0,_xlfn.XLOOKUP(H604,[1]!Entities[ID_with_x],[1]!Entities[Name_w_County],_xlfn.CONCAT("Entity ID ",RIGHT(Table3[[#This Row],[Sponsor_1_num]],8)," not found")),"")</f>
        <v/>
      </c>
      <c r="O604" t="str">
        <f>IF(LEN(I604)&lt;&gt;0,_xlfn.XLOOKUP(I604,[1]!Entities[ID_with_x],[1]!Entities[Name_w_County],_xlfn.CONCAT("Entity ID ",RIGHT(Table3[[#This Row],[Sponsor_1_num]],8)," not found")),"")</f>
        <v/>
      </c>
      <c r="P604" t="str">
        <f>IF(LEN(J604)&lt;&gt;0,_xlfn.XLOOKUP(J604,[1]!Entities[ID_with_x],[1]!Entities[Name_w_County],_xlfn.CONCAT("Entity ID ",RIGHT(Table3[[#This Row],[Sponsor_1_num]],8)," not found")),"")</f>
        <v/>
      </c>
      <c r="Q604" t="str">
        <f>IF(LEN(K604)&gt;0,_xlfn.TEXTJOIN(", ",TRUE,K604:P604),Table3[[#This Row],[SPONSOR_LIST]])</f>
        <v>Glasscock County</v>
      </c>
    </row>
    <row r="605" spans="1:17" x14ac:dyDescent="0.25">
      <c r="A605" s="304" t="s">
        <v>997</v>
      </c>
      <c r="B605" t="s">
        <v>955</v>
      </c>
      <c r="C605" t="str">
        <f t="shared" si="10"/>
        <v>x09000173</v>
      </c>
      <c r="D605" t="str">
        <f>SUBSTITUTE(SUBSTITUTE(Table3[[#This Row],[Sponsor_list_tranform]],",",",x")," ","")</f>
        <v>x09000173</v>
      </c>
      <c r="E605" t="s">
        <v>11741</v>
      </c>
      <c r="K605" t="str">
        <f>IF(LEN(E605)&lt;&gt;0,_xlfn.XLOOKUP(E605,[1]!Entities[ID_with_x],[1]!Entities[Name_w_County],_xlfn.CONCAT("Entity ID ",RIGHT(Table3[[#This Row],[Sponsor_1_num]],8)," not found")),"")</f>
        <v>Howard County</v>
      </c>
      <c r="L605" t="str">
        <f>IF(LEN(F605)&lt;&gt;0,_xlfn.XLOOKUP(F605,[1]!Entities[ID_with_x],[1]!Entities[Name_w_County],_xlfn.CONCAT("Entity ID ",RIGHT(Table3[[#This Row],[Sponsor_1_num]],8)," not found")),"")</f>
        <v/>
      </c>
      <c r="M605" t="str">
        <f>IF(LEN(G605)&lt;&gt;0,_xlfn.XLOOKUP(G605,[1]!Entities[ID_with_x],[1]!Entities[Name_w_County],_xlfn.CONCAT("Entity ID ",RIGHT(Table3[[#This Row],[Sponsor_1_num]],8)," not found")),"")</f>
        <v/>
      </c>
      <c r="N605" t="str">
        <f>IF(LEN(H605)&lt;&gt;0,_xlfn.XLOOKUP(H605,[1]!Entities[ID_with_x],[1]!Entities[Name_w_County],_xlfn.CONCAT("Entity ID ",RIGHT(Table3[[#This Row],[Sponsor_1_num]],8)," not found")),"")</f>
        <v/>
      </c>
      <c r="O605" t="str">
        <f>IF(LEN(I605)&lt;&gt;0,_xlfn.XLOOKUP(I605,[1]!Entities[ID_with_x],[1]!Entities[Name_w_County],_xlfn.CONCAT("Entity ID ",RIGHT(Table3[[#This Row],[Sponsor_1_num]],8)," not found")),"")</f>
        <v/>
      </c>
      <c r="P605" t="str">
        <f>IF(LEN(J605)&lt;&gt;0,_xlfn.XLOOKUP(J605,[1]!Entities[ID_with_x],[1]!Entities[Name_w_County],_xlfn.CONCAT("Entity ID ",RIGHT(Table3[[#This Row],[Sponsor_1_num]],8)," not found")),"")</f>
        <v/>
      </c>
      <c r="Q605" t="str">
        <f>IF(LEN(K605)&gt;0,_xlfn.TEXTJOIN(", ",TRUE,K605:P605),Table3[[#This Row],[SPONSOR_LIST]])</f>
        <v>Howard County</v>
      </c>
    </row>
    <row r="606" spans="1:17" x14ac:dyDescent="0.25">
      <c r="A606" s="304" t="s">
        <v>950</v>
      </c>
      <c r="B606" t="s">
        <v>955</v>
      </c>
      <c r="C606" t="str">
        <f t="shared" si="10"/>
        <v>x09000173</v>
      </c>
      <c r="D606" t="str">
        <f>SUBSTITUTE(SUBSTITUTE(Table3[[#This Row],[Sponsor_list_tranform]],",",",x")," ","")</f>
        <v>x09000173</v>
      </c>
      <c r="E606" t="s">
        <v>11741</v>
      </c>
      <c r="K606" t="str">
        <f>IF(LEN(E606)&lt;&gt;0,_xlfn.XLOOKUP(E606,[1]!Entities[ID_with_x],[1]!Entities[Name_w_County],_xlfn.CONCAT("Entity ID ",RIGHT(Table3[[#This Row],[Sponsor_1_num]],8)," not found")),"")</f>
        <v>Howard County</v>
      </c>
      <c r="L606" t="str">
        <f>IF(LEN(F606)&lt;&gt;0,_xlfn.XLOOKUP(F606,[1]!Entities[ID_with_x],[1]!Entities[Name_w_County],_xlfn.CONCAT("Entity ID ",RIGHT(Table3[[#This Row],[Sponsor_1_num]],8)," not found")),"")</f>
        <v/>
      </c>
      <c r="M606" t="str">
        <f>IF(LEN(G606)&lt;&gt;0,_xlfn.XLOOKUP(G606,[1]!Entities[ID_with_x],[1]!Entities[Name_w_County],_xlfn.CONCAT("Entity ID ",RIGHT(Table3[[#This Row],[Sponsor_1_num]],8)," not found")),"")</f>
        <v/>
      </c>
      <c r="N606" t="str">
        <f>IF(LEN(H606)&lt;&gt;0,_xlfn.XLOOKUP(H606,[1]!Entities[ID_with_x],[1]!Entities[Name_w_County],_xlfn.CONCAT("Entity ID ",RIGHT(Table3[[#This Row],[Sponsor_1_num]],8)," not found")),"")</f>
        <v/>
      </c>
      <c r="O606" t="str">
        <f>IF(LEN(I606)&lt;&gt;0,_xlfn.XLOOKUP(I606,[1]!Entities[ID_with_x],[1]!Entities[Name_w_County],_xlfn.CONCAT("Entity ID ",RIGHT(Table3[[#This Row],[Sponsor_1_num]],8)," not found")),"")</f>
        <v/>
      </c>
      <c r="P606" t="str">
        <f>IF(LEN(J606)&lt;&gt;0,_xlfn.XLOOKUP(J606,[1]!Entities[ID_with_x],[1]!Entities[Name_w_County],_xlfn.CONCAT("Entity ID ",RIGHT(Table3[[#This Row],[Sponsor_1_num]],8)," not found")),"")</f>
        <v/>
      </c>
      <c r="Q606" t="str">
        <f>IF(LEN(K606)&gt;0,_xlfn.TEXTJOIN(", ",TRUE,K606:P606),Table3[[#This Row],[SPONSOR_LIST]])</f>
        <v>Howard County</v>
      </c>
    </row>
    <row r="607" spans="1:17" x14ac:dyDescent="0.25">
      <c r="A607" s="304" t="s">
        <v>927</v>
      </c>
      <c r="B607" t="s">
        <v>933</v>
      </c>
      <c r="C607" t="str">
        <f t="shared" si="10"/>
        <v>x09002400</v>
      </c>
      <c r="D607" t="str">
        <f>SUBSTITUTE(SUBSTITUTE(Table3[[#This Row],[Sponsor_list_tranform]],",",",x")," ","")</f>
        <v>x09002400</v>
      </c>
      <c r="E607" t="s">
        <v>11810</v>
      </c>
      <c r="K607" t="str">
        <f>IF(LEN(E607)&lt;&gt;0,_xlfn.XLOOKUP(E607,[1]!Entities[ID_with_x],[1]!Entities[Name_w_County],_xlfn.CONCAT("Entity ID ",RIGHT(Table3[[#This Row],[Sponsor_1_num]],8)," not found")),"")</f>
        <v>Mertzon</v>
      </c>
      <c r="L607" t="str">
        <f>IF(LEN(F607)&lt;&gt;0,_xlfn.XLOOKUP(F607,[1]!Entities[ID_with_x],[1]!Entities[Name_w_County],_xlfn.CONCAT("Entity ID ",RIGHT(Table3[[#This Row],[Sponsor_1_num]],8)," not found")),"")</f>
        <v/>
      </c>
      <c r="M607" t="str">
        <f>IF(LEN(G607)&lt;&gt;0,_xlfn.XLOOKUP(G607,[1]!Entities[ID_with_x],[1]!Entities[Name_w_County],_xlfn.CONCAT("Entity ID ",RIGHT(Table3[[#This Row],[Sponsor_1_num]],8)," not found")),"")</f>
        <v/>
      </c>
      <c r="N607" t="str">
        <f>IF(LEN(H607)&lt;&gt;0,_xlfn.XLOOKUP(H607,[1]!Entities[ID_with_x],[1]!Entities[Name_w_County],_xlfn.CONCAT("Entity ID ",RIGHT(Table3[[#This Row],[Sponsor_1_num]],8)," not found")),"")</f>
        <v/>
      </c>
      <c r="O607" t="str">
        <f>IF(LEN(I607)&lt;&gt;0,_xlfn.XLOOKUP(I607,[1]!Entities[ID_with_x],[1]!Entities[Name_w_County],_xlfn.CONCAT("Entity ID ",RIGHT(Table3[[#This Row],[Sponsor_1_num]],8)," not found")),"")</f>
        <v/>
      </c>
      <c r="P607" t="str">
        <f>IF(LEN(J607)&lt;&gt;0,_xlfn.XLOOKUP(J607,[1]!Entities[ID_with_x],[1]!Entities[Name_w_County],_xlfn.CONCAT("Entity ID ",RIGHT(Table3[[#This Row],[Sponsor_1_num]],8)," not found")),"")</f>
        <v/>
      </c>
      <c r="Q607" t="str">
        <f>IF(LEN(K607)&gt;0,_xlfn.TEXTJOIN(", ",TRUE,K607:P607),Table3[[#This Row],[SPONSOR_LIST]])</f>
        <v>Mertzon</v>
      </c>
    </row>
    <row r="608" spans="1:17" x14ac:dyDescent="0.25">
      <c r="A608" s="304" t="s">
        <v>956</v>
      </c>
      <c r="B608" t="s">
        <v>755</v>
      </c>
      <c r="C608" t="str">
        <f t="shared" si="10"/>
        <v>x09000068</v>
      </c>
      <c r="D608" t="str">
        <f>SUBSTITUTE(SUBSTITUTE(Table3[[#This Row],[Sponsor_list_tranform]],",",",x")," ","")</f>
        <v>x09000068</v>
      </c>
      <c r="E608" t="s">
        <v>11735</v>
      </c>
      <c r="K608" t="str">
        <f>IF(LEN(E608)&lt;&gt;0,_xlfn.XLOOKUP(E608,[1]!Entities[ID_with_x],[1]!Entities[Name_w_County],_xlfn.CONCAT("Entity ID ",RIGHT(Table3[[#This Row],[Sponsor_1_num]],8)," not found")),"")</f>
        <v>Irion County</v>
      </c>
      <c r="L608" t="str">
        <f>IF(LEN(F608)&lt;&gt;0,_xlfn.XLOOKUP(F608,[1]!Entities[ID_with_x],[1]!Entities[Name_w_County],_xlfn.CONCAT("Entity ID ",RIGHT(Table3[[#This Row],[Sponsor_1_num]],8)," not found")),"")</f>
        <v/>
      </c>
      <c r="M608" t="str">
        <f>IF(LEN(G608)&lt;&gt;0,_xlfn.XLOOKUP(G608,[1]!Entities[ID_with_x],[1]!Entities[Name_w_County],_xlfn.CONCAT("Entity ID ",RIGHT(Table3[[#This Row],[Sponsor_1_num]],8)," not found")),"")</f>
        <v/>
      </c>
      <c r="N608" t="str">
        <f>IF(LEN(H608)&lt;&gt;0,_xlfn.XLOOKUP(H608,[1]!Entities[ID_with_x],[1]!Entities[Name_w_County],_xlfn.CONCAT("Entity ID ",RIGHT(Table3[[#This Row],[Sponsor_1_num]],8)," not found")),"")</f>
        <v/>
      </c>
      <c r="O608" t="str">
        <f>IF(LEN(I608)&lt;&gt;0,_xlfn.XLOOKUP(I608,[1]!Entities[ID_with_x],[1]!Entities[Name_w_County],_xlfn.CONCAT("Entity ID ",RIGHT(Table3[[#This Row],[Sponsor_1_num]],8)," not found")),"")</f>
        <v/>
      </c>
      <c r="P608" t="str">
        <f>IF(LEN(J608)&lt;&gt;0,_xlfn.XLOOKUP(J608,[1]!Entities[ID_with_x],[1]!Entities[Name_w_County],_xlfn.CONCAT("Entity ID ",RIGHT(Table3[[#This Row],[Sponsor_1_num]],8)," not found")),"")</f>
        <v/>
      </c>
      <c r="Q608" t="str">
        <f>IF(LEN(K608)&gt;0,_xlfn.TEXTJOIN(", ",TRUE,K608:P608),Table3[[#This Row],[SPONSOR_LIST]])</f>
        <v>Irion County</v>
      </c>
    </row>
    <row r="609" spans="1:17" x14ac:dyDescent="0.25">
      <c r="A609" s="304" t="s">
        <v>958</v>
      </c>
      <c r="B609" t="s">
        <v>960</v>
      </c>
      <c r="C609" t="str">
        <f t="shared" si="10"/>
        <v>x09000174</v>
      </c>
      <c r="D609" t="str">
        <f>SUBSTITUTE(SUBSTITUTE(Table3[[#This Row],[Sponsor_list_tranform]],",",",x")," ","")</f>
        <v>x09000174</v>
      </c>
      <c r="E609" t="s">
        <v>11742</v>
      </c>
      <c r="K609" t="str">
        <f>IF(LEN(E609)&lt;&gt;0,_xlfn.XLOOKUP(E609,[1]!Entities[ID_with_x],[1]!Entities[Name_w_County],_xlfn.CONCAT("Entity ID ",RIGHT(Table3[[#This Row],[Sponsor_1_num]],8)," not found")),"")</f>
        <v>Martin County</v>
      </c>
      <c r="L609" t="str">
        <f>IF(LEN(F609)&lt;&gt;0,_xlfn.XLOOKUP(F609,[1]!Entities[ID_with_x],[1]!Entities[Name_w_County],_xlfn.CONCAT("Entity ID ",RIGHT(Table3[[#This Row],[Sponsor_1_num]],8)," not found")),"")</f>
        <v/>
      </c>
      <c r="M609" t="str">
        <f>IF(LEN(G609)&lt;&gt;0,_xlfn.XLOOKUP(G609,[1]!Entities[ID_with_x],[1]!Entities[Name_w_County],_xlfn.CONCAT("Entity ID ",RIGHT(Table3[[#This Row],[Sponsor_1_num]],8)," not found")),"")</f>
        <v/>
      </c>
      <c r="N609" t="str">
        <f>IF(LEN(H609)&lt;&gt;0,_xlfn.XLOOKUP(H609,[1]!Entities[ID_with_x],[1]!Entities[Name_w_County],_xlfn.CONCAT("Entity ID ",RIGHT(Table3[[#This Row],[Sponsor_1_num]],8)," not found")),"")</f>
        <v/>
      </c>
      <c r="O609" t="str">
        <f>IF(LEN(I609)&lt;&gt;0,_xlfn.XLOOKUP(I609,[1]!Entities[ID_with_x],[1]!Entities[Name_w_County],_xlfn.CONCAT("Entity ID ",RIGHT(Table3[[#This Row],[Sponsor_1_num]],8)," not found")),"")</f>
        <v/>
      </c>
      <c r="P609" t="str">
        <f>IF(LEN(J609)&lt;&gt;0,_xlfn.XLOOKUP(J609,[1]!Entities[ID_with_x],[1]!Entities[Name_w_County],_xlfn.CONCAT("Entity ID ",RIGHT(Table3[[#This Row],[Sponsor_1_num]],8)," not found")),"")</f>
        <v/>
      </c>
      <c r="Q609" t="str">
        <f>IF(LEN(K609)&gt;0,_xlfn.TEXTJOIN(", ",TRUE,K609:P609),Table3[[#This Row],[SPONSOR_LIST]])</f>
        <v>Martin County</v>
      </c>
    </row>
    <row r="610" spans="1:17" x14ac:dyDescent="0.25">
      <c r="A610" s="304" t="s">
        <v>1002</v>
      </c>
      <c r="B610" t="s">
        <v>470</v>
      </c>
      <c r="C610" t="str">
        <f t="shared" si="10"/>
        <v>x09000147</v>
      </c>
      <c r="D610" t="str">
        <f>SUBSTITUTE(SUBSTITUTE(Table3[[#This Row],[Sponsor_list_tranform]],",",",x")," ","")</f>
        <v>x09000147</v>
      </c>
      <c r="E610" t="s">
        <v>11734</v>
      </c>
      <c r="K610" t="str">
        <f>IF(LEN(E610)&lt;&gt;0,_xlfn.XLOOKUP(E610,[1]!Entities[ID_with_x],[1]!Entities[Name_w_County],_xlfn.CONCAT("Entity ID ",RIGHT(Table3[[#This Row],[Sponsor_1_num]],8)," not found")),"")</f>
        <v>Coke County</v>
      </c>
      <c r="L610" t="str">
        <f>IF(LEN(F610)&lt;&gt;0,_xlfn.XLOOKUP(F610,[1]!Entities[ID_with_x],[1]!Entities[Name_w_County],_xlfn.CONCAT("Entity ID ",RIGHT(Table3[[#This Row],[Sponsor_1_num]],8)," not found")),"")</f>
        <v/>
      </c>
      <c r="M610" t="str">
        <f>IF(LEN(G610)&lt;&gt;0,_xlfn.XLOOKUP(G610,[1]!Entities[ID_with_x],[1]!Entities[Name_w_County],_xlfn.CONCAT("Entity ID ",RIGHT(Table3[[#This Row],[Sponsor_1_num]],8)," not found")),"")</f>
        <v/>
      </c>
      <c r="N610" t="str">
        <f>IF(LEN(H610)&lt;&gt;0,_xlfn.XLOOKUP(H610,[1]!Entities[ID_with_x],[1]!Entities[Name_w_County],_xlfn.CONCAT("Entity ID ",RIGHT(Table3[[#This Row],[Sponsor_1_num]],8)," not found")),"")</f>
        <v/>
      </c>
      <c r="O610" t="str">
        <f>IF(LEN(I610)&lt;&gt;0,_xlfn.XLOOKUP(I610,[1]!Entities[ID_with_x],[1]!Entities[Name_w_County],_xlfn.CONCAT("Entity ID ",RIGHT(Table3[[#This Row],[Sponsor_1_num]],8)," not found")),"")</f>
        <v/>
      </c>
      <c r="P610" t="str">
        <f>IF(LEN(J610)&lt;&gt;0,_xlfn.XLOOKUP(J610,[1]!Entities[ID_with_x],[1]!Entities[Name_w_County],_xlfn.CONCAT("Entity ID ",RIGHT(Table3[[#This Row],[Sponsor_1_num]],8)," not found")),"")</f>
        <v/>
      </c>
      <c r="Q610" t="str">
        <f>IF(LEN(K610)&gt;0,_xlfn.TEXTJOIN(", ",TRUE,K610:P610),Table3[[#This Row],[SPONSOR_LIST]])</f>
        <v>Coke County</v>
      </c>
    </row>
    <row r="611" spans="1:17" x14ac:dyDescent="0.25">
      <c r="A611" s="304" t="s">
        <v>915</v>
      </c>
      <c r="B611" t="s">
        <v>789</v>
      </c>
      <c r="C611" t="str">
        <f t="shared" si="10"/>
        <v>x00000126</v>
      </c>
      <c r="D611" t="str">
        <f>SUBSTITUTE(SUBSTITUTE(Table3[[#This Row],[Sponsor_list_tranform]],",",",x")," ","")</f>
        <v>x00000126</v>
      </c>
      <c r="E611" t="s">
        <v>11743</v>
      </c>
      <c r="K611" t="str">
        <f>IF(LEN(E611)&lt;&gt;0,_xlfn.XLOOKUP(E611,[1]!Entities[ID_with_x],[1]!Entities[Name_w_County],_xlfn.CONCAT("Entity ID ",RIGHT(Table3[[#This Row],[Sponsor_1_num]],8)," not found")),"")</f>
        <v>Reagan County</v>
      </c>
      <c r="L611" t="str">
        <f>IF(LEN(F611)&lt;&gt;0,_xlfn.XLOOKUP(F611,[1]!Entities[ID_with_x],[1]!Entities[Name_w_County],_xlfn.CONCAT("Entity ID ",RIGHT(Table3[[#This Row],[Sponsor_1_num]],8)," not found")),"")</f>
        <v/>
      </c>
      <c r="M611" t="str">
        <f>IF(LEN(G611)&lt;&gt;0,_xlfn.XLOOKUP(G611,[1]!Entities[ID_with_x],[1]!Entities[Name_w_County],_xlfn.CONCAT("Entity ID ",RIGHT(Table3[[#This Row],[Sponsor_1_num]],8)," not found")),"")</f>
        <v/>
      </c>
      <c r="N611" t="str">
        <f>IF(LEN(H611)&lt;&gt;0,_xlfn.XLOOKUP(H611,[1]!Entities[ID_with_x],[1]!Entities[Name_w_County],_xlfn.CONCAT("Entity ID ",RIGHT(Table3[[#This Row],[Sponsor_1_num]],8)," not found")),"")</f>
        <v/>
      </c>
      <c r="O611" t="str">
        <f>IF(LEN(I611)&lt;&gt;0,_xlfn.XLOOKUP(I611,[1]!Entities[ID_with_x],[1]!Entities[Name_w_County],_xlfn.CONCAT("Entity ID ",RIGHT(Table3[[#This Row],[Sponsor_1_num]],8)," not found")),"")</f>
        <v/>
      </c>
      <c r="P611" t="str">
        <f>IF(LEN(J611)&lt;&gt;0,_xlfn.XLOOKUP(J611,[1]!Entities[ID_with_x],[1]!Entities[Name_w_County],_xlfn.CONCAT("Entity ID ",RIGHT(Table3[[#This Row],[Sponsor_1_num]],8)," not found")),"")</f>
        <v/>
      </c>
      <c r="Q611" t="str">
        <f>IF(LEN(K611)&gt;0,_xlfn.TEXTJOIN(", ",TRUE,K611:P611),Table3[[#This Row],[SPONSOR_LIST]])</f>
        <v>Reagan County</v>
      </c>
    </row>
    <row r="612" spans="1:17" x14ac:dyDescent="0.25">
      <c r="A612" s="304" t="s">
        <v>961</v>
      </c>
      <c r="B612" t="s">
        <v>698</v>
      </c>
      <c r="C612" t="str">
        <f t="shared" si="10"/>
        <v>x00000145</v>
      </c>
      <c r="D612" t="str">
        <f>SUBSTITUTE(SUBSTITUTE(Table3[[#This Row],[Sponsor_list_tranform]],",",",x")," ","")</f>
        <v>x00000145</v>
      </c>
      <c r="E612" t="s">
        <v>11737</v>
      </c>
      <c r="K612" t="str">
        <f>IF(LEN(E612)&lt;&gt;0,_xlfn.XLOOKUP(E612,[1]!Entities[ID_with_x],[1]!Entities[Name_w_County],_xlfn.CONCAT("Entity ID ",RIGHT(Table3[[#This Row],[Sponsor_1_num]],8)," not found")),"")</f>
        <v>Runnels County</v>
      </c>
      <c r="L612" t="str">
        <f>IF(LEN(F612)&lt;&gt;0,_xlfn.XLOOKUP(F612,[1]!Entities[ID_with_x],[1]!Entities[Name_w_County],_xlfn.CONCAT("Entity ID ",RIGHT(Table3[[#This Row],[Sponsor_1_num]],8)," not found")),"")</f>
        <v/>
      </c>
      <c r="M612" t="str">
        <f>IF(LEN(G612)&lt;&gt;0,_xlfn.XLOOKUP(G612,[1]!Entities[ID_with_x],[1]!Entities[Name_w_County],_xlfn.CONCAT("Entity ID ",RIGHT(Table3[[#This Row],[Sponsor_1_num]],8)," not found")),"")</f>
        <v/>
      </c>
      <c r="N612" t="str">
        <f>IF(LEN(H612)&lt;&gt;0,_xlfn.XLOOKUP(H612,[1]!Entities[ID_with_x],[1]!Entities[Name_w_County],_xlfn.CONCAT("Entity ID ",RIGHT(Table3[[#This Row],[Sponsor_1_num]],8)," not found")),"")</f>
        <v/>
      </c>
      <c r="O612" t="str">
        <f>IF(LEN(I612)&lt;&gt;0,_xlfn.XLOOKUP(I612,[1]!Entities[ID_with_x],[1]!Entities[Name_w_County],_xlfn.CONCAT("Entity ID ",RIGHT(Table3[[#This Row],[Sponsor_1_num]],8)," not found")),"")</f>
        <v/>
      </c>
      <c r="P612" t="str">
        <f>IF(LEN(J612)&lt;&gt;0,_xlfn.XLOOKUP(J612,[1]!Entities[ID_with_x],[1]!Entities[Name_w_County],_xlfn.CONCAT("Entity ID ",RIGHT(Table3[[#This Row],[Sponsor_1_num]],8)," not found")),"")</f>
        <v/>
      </c>
      <c r="Q612" t="str">
        <f>IF(LEN(K612)&gt;0,_xlfn.TEXTJOIN(", ",TRUE,K612:P612),Table3[[#This Row],[SPONSOR_LIST]])</f>
        <v>Runnels County</v>
      </c>
    </row>
    <row r="613" spans="1:17" x14ac:dyDescent="0.25">
      <c r="A613" s="304" t="s">
        <v>917</v>
      </c>
      <c r="B613" t="s">
        <v>740</v>
      </c>
      <c r="C613" t="str">
        <f t="shared" si="10"/>
        <v>x00000051</v>
      </c>
      <c r="D613" t="str">
        <f>SUBSTITUTE(SUBSTITUTE(Table3[[#This Row],[Sponsor_list_tranform]],",",",x")," ","")</f>
        <v>x00000051</v>
      </c>
      <c r="E613" t="s">
        <v>11744</v>
      </c>
      <c r="K613" t="str">
        <f>IF(LEN(E613)&lt;&gt;0,_xlfn.XLOOKUP(E613,[1]!Entities[ID_with_x],[1]!Entities[Name_w_County],_xlfn.CONCAT("Entity ID ",RIGHT(Table3[[#This Row],[Sponsor_1_num]],8)," not found")),"")</f>
        <v>Schleicher County</v>
      </c>
      <c r="L613" t="str">
        <f>IF(LEN(F613)&lt;&gt;0,_xlfn.XLOOKUP(F613,[1]!Entities[ID_with_x],[1]!Entities[Name_w_County],_xlfn.CONCAT("Entity ID ",RIGHT(Table3[[#This Row],[Sponsor_1_num]],8)," not found")),"")</f>
        <v/>
      </c>
      <c r="M613" t="str">
        <f>IF(LEN(G613)&lt;&gt;0,_xlfn.XLOOKUP(G613,[1]!Entities[ID_with_x],[1]!Entities[Name_w_County],_xlfn.CONCAT("Entity ID ",RIGHT(Table3[[#This Row],[Sponsor_1_num]],8)," not found")),"")</f>
        <v/>
      </c>
      <c r="N613" t="str">
        <f>IF(LEN(H613)&lt;&gt;0,_xlfn.XLOOKUP(H613,[1]!Entities[ID_with_x],[1]!Entities[Name_w_County],_xlfn.CONCAT("Entity ID ",RIGHT(Table3[[#This Row],[Sponsor_1_num]],8)," not found")),"")</f>
        <v/>
      </c>
      <c r="O613" t="str">
        <f>IF(LEN(I613)&lt;&gt;0,_xlfn.XLOOKUP(I613,[1]!Entities[ID_with_x],[1]!Entities[Name_w_County],_xlfn.CONCAT("Entity ID ",RIGHT(Table3[[#This Row],[Sponsor_1_num]],8)," not found")),"")</f>
        <v/>
      </c>
      <c r="P613" t="str">
        <f>IF(LEN(J613)&lt;&gt;0,_xlfn.XLOOKUP(J613,[1]!Entities[ID_with_x],[1]!Entities[Name_w_County],_xlfn.CONCAT("Entity ID ",RIGHT(Table3[[#This Row],[Sponsor_1_num]],8)," not found")),"")</f>
        <v/>
      </c>
      <c r="Q613" t="str">
        <f>IF(LEN(K613)&gt;0,_xlfn.TEXTJOIN(", ",TRUE,K613:P613),Table3[[#This Row],[SPONSOR_LIST]])</f>
        <v>Schleicher County</v>
      </c>
    </row>
    <row r="614" spans="1:17" x14ac:dyDescent="0.25">
      <c r="A614" s="304" t="s">
        <v>1000</v>
      </c>
      <c r="B614" t="s">
        <v>740</v>
      </c>
      <c r="C614" t="str">
        <f t="shared" si="10"/>
        <v>x00000051</v>
      </c>
      <c r="D614" t="str">
        <f>SUBSTITUTE(SUBSTITUTE(Table3[[#This Row],[Sponsor_list_tranform]],",",",x")," ","")</f>
        <v>x00000051</v>
      </c>
      <c r="E614" t="s">
        <v>11744</v>
      </c>
      <c r="K614" t="str">
        <f>IF(LEN(E614)&lt;&gt;0,_xlfn.XLOOKUP(E614,[1]!Entities[ID_with_x],[1]!Entities[Name_w_County],_xlfn.CONCAT("Entity ID ",RIGHT(Table3[[#This Row],[Sponsor_1_num]],8)," not found")),"")</f>
        <v>Schleicher County</v>
      </c>
      <c r="L614" t="str">
        <f>IF(LEN(F614)&lt;&gt;0,_xlfn.XLOOKUP(F614,[1]!Entities[ID_with_x],[1]!Entities[Name_w_County],_xlfn.CONCAT("Entity ID ",RIGHT(Table3[[#This Row],[Sponsor_1_num]],8)," not found")),"")</f>
        <v/>
      </c>
      <c r="M614" t="str">
        <f>IF(LEN(G614)&lt;&gt;0,_xlfn.XLOOKUP(G614,[1]!Entities[ID_with_x],[1]!Entities[Name_w_County],_xlfn.CONCAT("Entity ID ",RIGHT(Table3[[#This Row],[Sponsor_1_num]],8)," not found")),"")</f>
        <v/>
      </c>
      <c r="N614" t="str">
        <f>IF(LEN(H614)&lt;&gt;0,_xlfn.XLOOKUP(H614,[1]!Entities[ID_with_x],[1]!Entities[Name_w_County],_xlfn.CONCAT("Entity ID ",RIGHT(Table3[[#This Row],[Sponsor_1_num]],8)," not found")),"")</f>
        <v/>
      </c>
      <c r="O614" t="str">
        <f>IF(LEN(I614)&lt;&gt;0,_xlfn.XLOOKUP(I614,[1]!Entities[ID_with_x],[1]!Entities[Name_w_County],_xlfn.CONCAT("Entity ID ",RIGHT(Table3[[#This Row],[Sponsor_1_num]],8)," not found")),"")</f>
        <v/>
      </c>
      <c r="P614" t="str">
        <f>IF(LEN(J614)&lt;&gt;0,_xlfn.XLOOKUP(J614,[1]!Entities[ID_with_x],[1]!Entities[Name_w_County],_xlfn.CONCAT("Entity ID ",RIGHT(Table3[[#This Row],[Sponsor_1_num]],8)," not found")),"")</f>
        <v/>
      </c>
      <c r="Q614" t="str">
        <f>IF(LEN(K614)&gt;0,_xlfn.TEXTJOIN(", ",TRUE,K614:P614),Table3[[#This Row],[SPONSOR_LIST]])</f>
        <v>Schleicher County</v>
      </c>
    </row>
    <row r="615" spans="1:17" x14ac:dyDescent="0.25">
      <c r="A615" s="304" t="s">
        <v>925</v>
      </c>
      <c r="B615" t="s">
        <v>862</v>
      </c>
      <c r="C615" t="str">
        <f t="shared" si="10"/>
        <v>x09000149</v>
      </c>
      <c r="D615" t="str">
        <f>SUBSTITUTE(SUBSTITUTE(Table3[[#This Row],[Sponsor_list_tranform]],",",",x")," ","")</f>
        <v>x09000149</v>
      </c>
      <c r="E615" t="s">
        <v>11745</v>
      </c>
      <c r="K615" t="str">
        <f>IF(LEN(E615)&lt;&gt;0,_xlfn.XLOOKUP(E615,[1]!Entities[ID_with_x],[1]!Entities[Name_w_County],_xlfn.CONCAT("Entity ID ",RIGHT(Table3[[#This Row],[Sponsor_1_num]],8)," not found")),"")</f>
        <v>Sterling County</v>
      </c>
      <c r="L615" t="str">
        <f>IF(LEN(F615)&lt;&gt;0,_xlfn.XLOOKUP(F615,[1]!Entities[ID_with_x],[1]!Entities[Name_w_County],_xlfn.CONCAT("Entity ID ",RIGHT(Table3[[#This Row],[Sponsor_1_num]],8)," not found")),"")</f>
        <v/>
      </c>
      <c r="M615" t="str">
        <f>IF(LEN(G615)&lt;&gt;0,_xlfn.XLOOKUP(G615,[1]!Entities[ID_with_x],[1]!Entities[Name_w_County],_xlfn.CONCAT("Entity ID ",RIGHT(Table3[[#This Row],[Sponsor_1_num]],8)," not found")),"")</f>
        <v/>
      </c>
      <c r="N615" t="str">
        <f>IF(LEN(H615)&lt;&gt;0,_xlfn.XLOOKUP(H615,[1]!Entities[ID_with_x],[1]!Entities[Name_w_County],_xlfn.CONCAT("Entity ID ",RIGHT(Table3[[#This Row],[Sponsor_1_num]],8)," not found")),"")</f>
        <v/>
      </c>
      <c r="O615" t="str">
        <f>IF(LEN(I615)&lt;&gt;0,_xlfn.XLOOKUP(I615,[1]!Entities[ID_with_x],[1]!Entities[Name_w_County],_xlfn.CONCAT("Entity ID ",RIGHT(Table3[[#This Row],[Sponsor_1_num]],8)," not found")),"")</f>
        <v/>
      </c>
      <c r="P615" t="str">
        <f>IF(LEN(J615)&lt;&gt;0,_xlfn.XLOOKUP(J615,[1]!Entities[ID_with_x],[1]!Entities[Name_w_County],_xlfn.CONCAT("Entity ID ",RIGHT(Table3[[#This Row],[Sponsor_1_num]],8)," not found")),"")</f>
        <v/>
      </c>
      <c r="Q615" t="str">
        <f>IF(LEN(K615)&gt;0,_xlfn.TEXTJOIN(", ",TRUE,K615:P615),Table3[[#This Row],[SPONSOR_LIST]])</f>
        <v>Sterling County</v>
      </c>
    </row>
    <row r="616" spans="1:17" x14ac:dyDescent="0.25">
      <c r="A616" s="304" t="s">
        <v>923</v>
      </c>
      <c r="B616" t="s">
        <v>862</v>
      </c>
      <c r="C616" t="str">
        <f t="shared" si="10"/>
        <v>x09000149</v>
      </c>
      <c r="D616" t="str">
        <f>SUBSTITUTE(SUBSTITUTE(Table3[[#This Row],[Sponsor_list_tranform]],",",",x")," ","")</f>
        <v>x09000149</v>
      </c>
      <c r="E616" t="s">
        <v>11745</v>
      </c>
      <c r="K616" t="str">
        <f>IF(LEN(E616)&lt;&gt;0,_xlfn.XLOOKUP(E616,[1]!Entities[ID_with_x],[1]!Entities[Name_w_County],_xlfn.CONCAT("Entity ID ",RIGHT(Table3[[#This Row],[Sponsor_1_num]],8)," not found")),"")</f>
        <v>Sterling County</v>
      </c>
      <c r="L616" t="str">
        <f>IF(LEN(F616)&lt;&gt;0,_xlfn.XLOOKUP(F616,[1]!Entities[ID_with_x],[1]!Entities[Name_w_County],_xlfn.CONCAT("Entity ID ",RIGHT(Table3[[#This Row],[Sponsor_1_num]],8)," not found")),"")</f>
        <v/>
      </c>
      <c r="M616" t="str">
        <f>IF(LEN(G616)&lt;&gt;0,_xlfn.XLOOKUP(G616,[1]!Entities[ID_with_x],[1]!Entities[Name_w_County],_xlfn.CONCAT("Entity ID ",RIGHT(Table3[[#This Row],[Sponsor_1_num]],8)," not found")),"")</f>
        <v/>
      </c>
      <c r="N616" t="str">
        <f>IF(LEN(H616)&lt;&gt;0,_xlfn.XLOOKUP(H616,[1]!Entities[ID_with_x],[1]!Entities[Name_w_County],_xlfn.CONCAT("Entity ID ",RIGHT(Table3[[#This Row],[Sponsor_1_num]],8)," not found")),"")</f>
        <v/>
      </c>
      <c r="O616" t="str">
        <f>IF(LEN(I616)&lt;&gt;0,_xlfn.XLOOKUP(I616,[1]!Entities[ID_with_x],[1]!Entities[Name_w_County],_xlfn.CONCAT("Entity ID ",RIGHT(Table3[[#This Row],[Sponsor_1_num]],8)," not found")),"")</f>
        <v/>
      </c>
      <c r="P616" t="str">
        <f>IF(LEN(J616)&lt;&gt;0,_xlfn.XLOOKUP(J616,[1]!Entities[ID_with_x],[1]!Entities[Name_w_County],_xlfn.CONCAT("Entity ID ",RIGHT(Table3[[#This Row],[Sponsor_1_num]],8)," not found")),"")</f>
        <v/>
      </c>
      <c r="Q616" t="str">
        <f>IF(LEN(K616)&gt;0,_xlfn.TEXTJOIN(", ",TRUE,K616:P616),Table3[[#This Row],[SPONSOR_LIST]])</f>
        <v>Sterling County</v>
      </c>
    </row>
    <row r="617" spans="1:17" x14ac:dyDescent="0.25">
      <c r="A617" s="304" t="s">
        <v>920</v>
      </c>
      <c r="B617" t="s">
        <v>862</v>
      </c>
      <c r="C617" t="str">
        <f t="shared" si="10"/>
        <v>x09000149</v>
      </c>
      <c r="D617" t="str">
        <f>SUBSTITUTE(SUBSTITUTE(Table3[[#This Row],[Sponsor_list_tranform]],",",",x")," ","")</f>
        <v>x09000149</v>
      </c>
      <c r="E617" t="s">
        <v>11745</v>
      </c>
      <c r="K617" t="str">
        <f>IF(LEN(E617)&lt;&gt;0,_xlfn.XLOOKUP(E617,[1]!Entities[ID_with_x],[1]!Entities[Name_w_County],_xlfn.CONCAT("Entity ID ",RIGHT(Table3[[#This Row],[Sponsor_1_num]],8)," not found")),"")</f>
        <v>Sterling County</v>
      </c>
      <c r="L617" t="str">
        <f>IF(LEN(F617)&lt;&gt;0,_xlfn.XLOOKUP(F617,[1]!Entities[ID_with_x],[1]!Entities[Name_w_County],_xlfn.CONCAT("Entity ID ",RIGHT(Table3[[#This Row],[Sponsor_1_num]],8)," not found")),"")</f>
        <v/>
      </c>
      <c r="M617" t="str">
        <f>IF(LEN(G617)&lt;&gt;0,_xlfn.XLOOKUP(G617,[1]!Entities[ID_with_x],[1]!Entities[Name_w_County],_xlfn.CONCAT("Entity ID ",RIGHT(Table3[[#This Row],[Sponsor_1_num]],8)," not found")),"")</f>
        <v/>
      </c>
      <c r="N617" t="str">
        <f>IF(LEN(H617)&lt;&gt;0,_xlfn.XLOOKUP(H617,[1]!Entities[ID_with_x],[1]!Entities[Name_w_County],_xlfn.CONCAT("Entity ID ",RIGHT(Table3[[#This Row],[Sponsor_1_num]],8)," not found")),"")</f>
        <v/>
      </c>
      <c r="O617" t="str">
        <f>IF(LEN(I617)&lt;&gt;0,_xlfn.XLOOKUP(I617,[1]!Entities[ID_with_x],[1]!Entities[Name_w_County],_xlfn.CONCAT("Entity ID ",RIGHT(Table3[[#This Row],[Sponsor_1_num]],8)," not found")),"")</f>
        <v/>
      </c>
      <c r="P617" t="str">
        <f>IF(LEN(J617)&lt;&gt;0,_xlfn.XLOOKUP(J617,[1]!Entities[ID_with_x],[1]!Entities[Name_w_County],_xlfn.CONCAT("Entity ID ",RIGHT(Table3[[#This Row],[Sponsor_1_num]],8)," not found")),"")</f>
        <v/>
      </c>
      <c r="Q617" t="str">
        <f>IF(LEN(K617)&gt;0,_xlfn.TEXTJOIN(", ",TRUE,K617:P617),Table3[[#This Row],[SPONSOR_LIST]])</f>
        <v>Sterling County</v>
      </c>
    </row>
    <row r="618" spans="1:17" x14ac:dyDescent="0.25">
      <c r="A618" s="304" t="s">
        <v>966</v>
      </c>
      <c r="B618" t="s">
        <v>969</v>
      </c>
      <c r="C618" t="str">
        <f t="shared" si="10"/>
        <v>x09003317</v>
      </c>
      <c r="D618" t="str">
        <f>SUBSTITUTE(SUBSTITUTE(Table3[[#This Row],[Sponsor_list_tranform]],",",",x")," ","")</f>
        <v>x09003317</v>
      </c>
      <c r="E618" t="s">
        <v>11834</v>
      </c>
      <c r="K618" t="str">
        <f>IF(LEN(E618)&lt;&gt;0,_xlfn.XLOOKUP(E618,[1]!Entities[ID_with_x],[1]!Entities[Name_w_County],_xlfn.CONCAT("Entity ID ",RIGHT(Table3[[#This Row],[Sponsor_1_num]],8)," not found")),"")</f>
        <v>Meadow</v>
      </c>
      <c r="L618" t="str">
        <f>IF(LEN(F618)&lt;&gt;0,_xlfn.XLOOKUP(F618,[1]!Entities[ID_with_x],[1]!Entities[Name_w_County],_xlfn.CONCAT("Entity ID ",RIGHT(Table3[[#This Row],[Sponsor_1_num]],8)," not found")),"")</f>
        <v/>
      </c>
      <c r="M618" t="str">
        <f>IF(LEN(G618)&lt;&gt;0,_xlfn.XLOOKUP(G618,[1]!Entities[ID_with_x],[1]!Entities[Name_w_County],_xlfn.CONCAT("Entity ID ",RIGHT(Table3[[#This Row],[Sponsor_1_num]],8)," not found")),"")</f>
        <v/>
      </c>
      <c r="N618" t="str">
        <f>IF(LEN(H618)&lt;&gt;0,_xlfn.XLOOKUP(H618,[1]!Entities[ID_with_x],[1]!Entities[Name_w_County],_xlfn.CONCAT("Entity ID ",RIGHT(Table3[[#This Row],[Sponsor_1_num]],8)," not found")),"")</f>
        <v/>
      </c>
      <c r="O618" t="str">
        <f>IF(LEN(I618)&lt;&gt;0,_xlfn.XLOOKUP(I618,[1]!Entities[ID_with_x],[1]!Entities[Name_w_County],_xlfn.CONCAT("Entity ID ",RIGHT(Table3[[#This Row],[Sponsor_1_num]],8)," not found")),"")</f>
        <v/>
      </c>
      <c r="P618" t="str">
        <f>IF(LEN(J618)&lt;&gt;0,_xlfn.XLOOKUP(J618,[1]!Entities[ID_with_x],[1]!Entities[Name_w_County],_xlfn.CONCAT("Entity ID ",RIGHT(Table3[[#This Row],[Sponsor_1_num]],8)," not found")),"")</f>
        <v/>
      </c>
      <c r="Q618" t="str">
        <f>IF(LEN(K618)&gt;0,_xlfn.TEXTJOIN(", ",TRUE,K618:P618),Table3[[#This Row],[SPONSOR_LIST]])</f>
        <v>Meadow</v>
      </c>
    </row>
    <row r="619" spans="1:17" x14ac:dyDescent="0.25">
      <c r="A619" s="304" t="s">
        <v>975</v>
      </c>
      <c r="B619" t="s">
        <v>974</v>
      </c>
      <c r="C619" t="str">
        <f t="shared" si="10"/>
        <v>x00000127</v>
      </c>
      <c r="D619" t="str">
        <f>SUBSTITUTE(SUBSTITUTE(Table3[[#This Row],[Sponsor_list_tranform]],",",",x")," ","")</f>
        <v>x00000127</v>
      </c>
      <c r="E619" t="s">
        <v>11746</v>
      </c>
      <c r="K619" t="str">
        <f>IF(LEN(E619)&lt;&gt;0,_xlfn.XLOOKUP(E619,[1]!Entities[ID_with_x],[1]!Entities[Name_w_County],_xlfn.CONCAT("Entity ID ",RIGHT(Table3[[#This Row],[Sponsor_1_num]],8)," not found")),"")</f>
        <v>Upton County</v>
      </c>
      <c r="L619" t="str">
        <f>IF(LEN(F619)&lt;&gt;0,_xlfn.XLOOKUP(F619,[1]!Entities[ID_with_x],[1]!Entities[Name_w_County],_xlfn.CONCAT("Entity ID ",RIGHT(Table3[[#This Row],[Sponsor_1_num]],8)," not found")),"")</f>
        <v/>
      </c>
      <c r="M619" t="str">
        <f>IF(LEN(G619)&lt;&gt;0,_xlfn.XLOOKUP(G619,[1]!Entities[ID_with_x],[1]!Entities[Name_w_County],_xlfn.CONCAT("Entity ID ",RIGHT(Table3[[#This Row],[Sponsor_1_num]],8)," not found")),"")</f>
        <v/>
      </c>
      <c r="N619" t="str">
        <f>IF(LEN(H619)&lt;&gt;0,_xlfn.XLOOKUP(H619,[1]!Entities[ID_with_x],[1]!Entities[Name_w_County],_xlfn.CONCAT("Entity ID ",RIGHT(Table3[[#This Row],[Sponsor_1_num]],8)," not found")),"")</f>
        <v/>
      </c>
      <c r="O619" t="str">
        <f>IF(LEN(I619)&lt;&gt;0,_xlfn.XLOOKUP(I619,[1]!Entities[ID_with_x],[1]!Entities[Name_w_County],_xlfn.CONCAT("Entity ID ",RIGHT(Table3[[#This Row],[Sponsor_1_num]],8)," not found")),"")</f>
        <v/>
      </c>
      <c r="P619" t="str">
        <f>IF(LEN(J619)&lt;&gt;0,_xlfn.XLOOKUP(J619,[1]!Entities[ID_with_x],[1]!Entities[Name_w_County],_xlfn.CONCAT("Entity ID ",RIGHT(Table3[[#This Row],[Sponsor_1_num]],8)," not found")),"")</f>
        <v/>
      </c>
      <c r="Q619" t="str">
        <f>IF(LEN(K619)&gt;0,_xlfn.TEXTJOIN(", ",TRUE,K619:P619),Table3[[#This Row],[SPONSOR_LIST]])</f>
        <v>Upton County</v>
      </c>
    </row>
    <row r="620" spans="1:17" x14ac:dyDescent="0.25">
      <c r="A620" s="304" t="s">
        <v>970</v>
      </c>
      <c r="B620" t="s">
        <v>974</v>
      </c>
      <c r="C620" t="str">
        <f t="shared" si="10"/>
        <v>x00000127</v>
      </c>
      <c r="D620" t="str">
        <f>SUBSTITUTE(SUBSTITUTE(Table3[[#This Row],[Sponsor_list_tranform]],",",",x")," ","")</f>
        <v>x00000127</v>
      </c>
      <c r="E620" t="s">
        <v>11746</v>
      </c>
      <c r="K620" t="str">
        <f>IF(LEN(E620)&lt;&gt;0,_xlfn.XLOOKUP(E620,[1]!Entities[ID_with_x],[1]!Entities[Name_w_County],_xlfn.CONCAT("Entity ID ",RIGHT(Table3[[#This Row],[Sponsor_1_num]],8)," not found")),"")</f>
        <v>Upton County</v>
      </c>
      <c r="L620" t="str">
        <f>IF(LEN(F620)&lt;&gt;0,_xlfn.XLOOKUP(F620,[1]!Entities[ID_with_x],[1]!Entities[Name_w_County],_xlfn.CONCAT("Entity ID ",RIGHT(Table3[[#This Row],[Sponsor_1_num]],8)," not found")),"")</f>
        <v/>
      </c>
      <c r="M620" t="str">
        <f>IF(LEN(G620)&lt;&gt;0,_xlfn.XLOOKUP(G620,[1]!Entities[ID_with_x],[1]!Entities[Name_w_County],_xlfn.CONCAT("Entity ID ",RIGHT(Table3[[#This Row],[Sponsor_1_num]],8)," not found")),"")</f>
        <v/>
      </c>
      <c r="N620" t="str">
        <f>IF(LEN(H620)&lt;&gt;0,_xlfn.XLOOKUP(H620,[1]!Entities[ID_with_x],[1]!Entities[Name_w_County],_xlfn.CONCAT("Entity ID ",RIGHT(Table3[[#This Row],[Sponsor_1_num]],8)," not found")),"")</f>
        <v/>
      </c>
      <c r="O620" t="str">
        <f>IF(LEN(I620)&lt;&gt;0,_xlfn.XLOOKUP(I620,[1]!Entities[ID_with_x],[1]!Entities[Name_w_County],_xlfn.CONCAT("Entity ID ",RIGHT(Table3[[#This Row],[Sponsor_1_num]],8)," not found")),"")</f>
        <v/>
      </c>
      <c r="P620" t="str">
        <f>IF(LEN(J620)&lt;&gt;0,_xlfn.XLOOKUP(J620,[1]!Entities[ID_with_x],[1]!Entities[Name_w_County],_xlfn.CONCAT("Entity ID ",RIGHT(Table3[[#This Row],[Sponsor_1_num]],8)," not found")),"")</f>
        <v/>
      </c>
      <c r="Q620" t="str">
        <f>IF(LEN(K620)&gt;0,_xlfn.TEXTJOIN(", ",TRUE,K620:P620),Table3[[#This Row],[SPONSOR_LIST]])</f>
        <v>Upton County</v>
      </c>
    </row>
    <row r="621" spans="1:17" x14ac:dyDescent="0.25">
      <c r="A621" s="304" t="s">
        <v>977</v>
      </c>
      <c r="B621" t="s">
        <v>980</v>
      </c>
      <c r="C621" t="str">
        <f t="shared" si="10"/>
        <v>x09000206</v>
      </c>
      <c r="D621" t="str">
        <f>SUBSTITUTE(SUBSTITUTE(Table3[[#This Row],[Sponsor_list_tranform]],",",",x")," ","")</f>
        <v>x09000206</v>
      </c>
      <c r="E621" t="s">
        <v>11747</v>
      </c>
      <c r="K621" t="str">
        <f>IF(LEN(E621)&lt;&gt;0,_xlfn.XLOOKUP(E621,[1]!Entities[ID_with_x],[1]!Entities[Name_w_County],_xlfn.CONCAT("Entity ID ",RIGHT(Table3[[#This Row],[Sponsor_1_num]],8)," not found")),"")</f>
        <v>Yoakum County</v>
      </c>
      <c r="L621" t="str">
        <f>IF(LEN(F621)&lt;&gt;0,_xlfn.XLOOKUP(F621,[1]!Entities[ID_with_x],[1]!Entities[Name_w_County],_xlfn.CONCAT("Entity ID ",RIGHT(Table3[[#This Row],[Sponsor_1_num]],8)," not found")),"")</f>
        <v/>
      </c>
      <c r="M621" t="str">
        <f>IF(LEN(G621)&lt;&gt;0,_xlfn.XLOOKUP(G621,[1]!Entities[ID_with_x],[1]!Entities[Name_w_County],_xlfn.CONCAT("Entity ID ",RIGHT(Table3[[#This Row],[Sponsor_1_num]],8)," not found")),"")</f>
        <v/>
      </c>
      <c r="N621" t="str">
        <f>IF(LEN(H621)&lt;&gt;0,_xlfn.XLOOKUP(H621,[1]!Entities[ID_with_x],[1]!Entities[Name_w_County],_xlfn.CONCAT("Entity ID ",RIGHT(Table3[[#This Row],[Sponsor_1_num]],8)," not found")),"")</f>
        <v/>
      </c>
      <c r="O621" t="str">
        <f>IF(LEN(I621)&lt;&gt;0,_xlfn.XLOOKUP(I621,[1]!Entities[ID_with_x],[1]!Entities[Name_w_County],_xlfn.CONCAT("Entity ID ",RIGHT(Table3[[#This Row],[Sponsor_1_num]],8)," not found")),"")</f>
        <v/>
      </c>
      <c r="P621" t="str">
        <f>IF(LEN(J621)&lt;&gt;0,_xlfn.XLOOKUP(J621,[1]!Entities[ID_with_x],[1]!Entities[Name_w_County],_xlfn.CONCAT("Entity ID ",RIGHT(Table3[[#This Row],[Sponsor_1_num]],8)," not found")),"")</f>
        <v/>
      </c>
      <c r="Q621" t="str">
        <f>IF(LEN(K621)&gt;0,_xlfn.TEXTJOIN(", ",TRUE,K621:P621),Table3[[#This Row],[SPONSOR_LIST]])</f>
        <v>Yoakum County</v>
      </c>
    </row>
    <row r="622" spans="1:17" x14ac:dyDescent="0.25">
      <c r="A622" s="304" t="s">
        <v>964</v>
      </c>
      <c r="B622" t="s">
        <v>872</v>
      </c>
      <c r="C622" t="str">
        <f t="shared" si="10"/>
        <v>x09000131</v>
      </c>
      <c r="D622" t="str">
        <f>SUBSTITUTE(SUBSTITUTE(Table3[[#This Row],[Sponsor_list_tranform]],",",",x")," ","")</f>
        <v>x09000131</v>
      </c>
      <c r="E622" t="s">
        <v>11654</v>
      </c>
      <c r="K622" t="str">
        <f>IF(LEN(E622)&lt;&gt;0,_xlfn.XLOOKUP(E622,[1]!Entities[ID_with_x],[1]!Entities[Name_w_County],_xlfn.CONCAT("Entity ID ",RIGHT(Table3[[#This Row],[Sponsor_1_num]],8)," not found")),"")</f>
        <v>Tom Green County</v>
      </c>
      <c r="L622" t="str">
        <f>IF(LEN(F622)&lt;&gt;0,_xlfn.XLOOKUP(F622,[1]!Entities[ID_with_x],[1]!Entities[Name_w_County],_xlfn.CONCAT("Entity ID ",RIGHT(Table3[[#This Row],[Sponsor_1_num]],8)," not found")),"")</f>
        <v/>
      </c>
      <c r="M622" t="str">
        <f>IF(LEN(G622)&lt;&gt;0,_xlfn.XLOOKUP(G622,[1]!Entities[ID_with_x],[1]!Entities[Name_w_County],_xlfn.CONCAT("Entity ID ",RIGHT(Table3[[#This Row],[Sponsor_1_num]],8)," not found")),"")</f>
        <v/>
      </c>
      <c r="N622" t="str">
        <f>IF(LEN(H622)&lt;&gt;0,_xlfn.XLOOKUP(H622,[1]!Entities[ID_with_x],[1]!Entities[Name_w_County],_xlfn.CONCAT("Entity ID ",RIGHT(Table3[[#This Row],[Sponsor_1_num]],8)," not found")),"")</f>
        <v/>
      </c>
      <c r="O622" t="str">
        <f>IF(LEN(I622)&lt;&gt;0,_xlfn.XLOOKUP(I622,[1]!Entities[ID_with_x],[1]!Entities[Name_w_County],_xlfn.CONCAT("Entity ID ",RIGHT(Table3[[#This Row],[Sponsor_1_num]],8)," not found")),"")</f>
        <v/>
      </c>
      <c r="P622" t="str">
        <f>IF(LEN(J622)&lt;&gt;0,_xlfn.XLOOKUP(J622,[1]!Entities[ID_with_x],[1]!Entities[Name_w_County],_xlfn.CONCAT("Entity ID ",RIGHT(Table3[[#This Row],[Sponsor_1_num]],8)," not found")),"")</f>
        <v/>
      </c>
      <c r="Q622" t="str">
        <f>IF(LEN(K622)&gt;0,_xlfn.TEXTJOIN(", ",TRUE,K622:P622),Table3[[#This Row],[SPONSOR_LIST]])</f>
        <v>Tom Green County</v>
      </c>
    </row>
    <row r="623" spans="1:17" x14ac:dyDescent="0.25">
      <c r="A623" s="304" t="s">
        <v>3410</v>
      </c>
      <c r="B623" t="s">
        <v>3416</v>
      </c>
      <c r="C623" t="str">
        <f t="shared" si="10"/>
        <v>x11003546</v>
      </c>
      <c r="D623" t="str">
        <f>SUBSTITUTE(SUBSTITUTE(Table3[[#This Row],[Sponsor_list_tranform]],",",",x")," ","")</f>
        <v>x11003546</v>
      </c>
      <c r="E623" t="s">
        <v>11604</v>
      </c>
      <c r="K623" t="str">
        <f>IF(LEN(E623)&lt;&gt;0,_xlfn.XLOOKUP(E623,[1]!Entities[ID_with_x],[1]!Entities[Name_w_County],_xlfn.CONCAT("Entity ID ",RIGHT(Table3[[#This Row],[Sponsor_1_num]],8)," not found")),"")</f>
        <v>Guadalupe Regional Flood Planning Group</v>
      </c>
      <c r="L623" t="str">
        <f>IF(LEN(F623)&lt;&gt;0,_xlfn.XLOOKUP(F623,[1]!Entities[ID_with_x],[1]!Entities[Name_w_County],_xlfn.CONCAT("Entity ID ",RIGHT(Table3[[#This Row],[Sponsor_1_num]],8)," not found")),"")</f>
        <v/>
      </c>
      <c r="M623" t="str">
        <f>IF(LEN(G623)&lt;&gt;0,_xlfn.XLOOKUP(G623,[1]!Entities[ID_with_x],[1]!Entities[Name_w_County],_xlfn.CONCAT("Entity ID ",RIGHT(Table3[[#This Row],[Sponsor_1_num]],8)," not found")),"")</f>
        <v/>
      </c>
      <c r="N623" t="str">
        <f>IF(LEN(H623)&lt;&gt;0,_xlfn.XLOOKUP(H623,[1]!Entities[ID_with_x],[1]!Entities[Name_w_County],_xlfn.CONCAT("Entity ID ",RIGHT(Table3[[#This Row],[Sponsor_1_num]],8)," not found")),"")</f>
        <v/>
      </c>
      <c r="O623" t="str">
        <f>IF(LEN(I623)&lt;&gt;0,_xlfn.XLOOKUP(I623,[1]!Entities[ID_with_x],[1]!Entities[Name_w_County],_xlfn.CONCAT("Entity ID ",RIGHT(Table3[[#This Row],[Sponsor_1_num]],8)," not found")),"")</f>
        <v/>
      </c>
      <c r="P623" t="str">
        <f>IF(LEN(J623)&lt;&gt;0,_xlfn.XLOOKUP(J623,[1]!Entities[ID_with_x],[1]!Entities[Name_w_County],_xlfn.CONCAT("Entity ID ",RIGHT(Table3[[#This Row],[Sponsor_1_num]],8)," not found")),"")</f>
        <v/>
      </c>
      <c r="Q623" t="str">
        <f>IF(LEN(K623)&gt;0,_xlfn.TEXTJOIN(", ",TRUE,K623:P623),Table3[[#This Row],[SPONSOR_LIST]])</f>
        <v>Guadalupe Regional Flood Planning Group</v>
      </c>
    </row>
    <row r="624" spans="1:17" x14ac:dyDescent="0.25">
      <c r="A624" s="304" t="s">
        <v>3418</v>
      </c>
      <c r="B624" t="s">
        <v>3416</v>
      </c>
      <c r="C624" t="str">
        <f t="shared" si="10"/>
        <v>x11003546</v>
      </c>
      <c r="D624" t="str">
        <f>SUBSTITUTE(SUBSTITUTE(Table3[[#This Row],[Sponsor_list_tranform]],",",",x")," ","")</f>
        <v>x11003546</v>
      </c>
      <c r="E624" t="s">
        <v>11604</v>
      </c>
      <c r="K624" t="str">
        <f>IF(LEN(E624)&lt;&gt;0,_xlfn.XLOOKUP(E624,[1]!Entities[ID_with_x],[1]!Entities[Name_w_County],_xlfn.CONCAT("Entity ID ",RIGHT(Table3[[#This Row],[Sponsor_1_num]],8)," not found")),"")</f>
        <v>Guadalupe Regional Flood Planning Group</v>
      </c>
      <c r="L624" t="str">
        <f>IF(LEN(F624)&lt;&gt;0,_xlfn.XLOOKUP(F624,[1]!Entities[ID_with_x],[1]!Entities[Name_w_County],_xlfn.CONCAT("Entity ID ",RIGHT(Table3[[#This Row],[Sponsor_1_num]],8)," not found")),"")</f>
        <v/>
      </c>
      <c r="M624" t="str">
        <f>IF(LEN(G624)&lt;&gt;0,_xlfn.XLOOKUP(G624,[1]!Entities[ID_with_x],[1]!Entities[Name_w_County],_xlfn.CONCAT("Entity ID ",RIGHT(Table3[[#This Row],[Sponsor_1_num]],8)," not found")),"")</f>
        <v/>
      </c>
      <c r="N624" t="str">
        <f>IF(LEN(H624)&lt;&gt;0,_xlfn.XLOOKUP(H624,[1]!Entities[ID_with_x],[1]!Entities[Name_w_County],_xlfn.CONCAT("Entity ID ",RIGHT(Table3[[#This Row],[Sponsor_1_num]],8)," not found")),"")</f>
        <v/>
      </c>
      <c r="O624" t="str">
        <f>IF(LEN(I624)&lt;&gt;0,_xlfn.XLOOKUP(I624,[1]!Entities[ID_with_x],[1]!Entities[Name_w_County],_xlfn.CONCAT("Entity ID ",RIGHT(Table3[[#This Row],[Sponsor_1_num]],8)," not found")),"")</f>
        <v/>
      </c>
      <c r="P624" t="str">
        <f>IF(LEN(J624)&lt;&gt;0,_xlfn.XLOOKUP(J624,[1]!Entities[ID_with_x],[1]!Entities[Name_w_County],_xlfn.CONCAT("Entity ID ",RIGHT(Table3[[#This Row],[Sponsor_1_num]],8)," not found")),"")</f>
        <v/>
      </c>
      <c r="Q624" t="str">
        <f>IF(LEN(K624)&gt;0,_xlfn.TEXTJOIN(", ",TRUE,K624:P624),Table3[[#This Row],[SPONSOR_LIST]])</f>
        <v>Guadalupe Regional Flood Planning Group</v>
      </c>
    </row>
    <row r="625" spans="1:17" x14ac:dyDescent="0.25">
      <c r="A625" s="304" t="s">
        <v>3422</v>
      </c>
      <c r="B625" t="s">
        <v>3416</v>
      </c>
      <c r="C625" t="str">
        <f t="shared" si="10"/>
        <v>x11003546</v>
      </c>
      <c r="D625" t="str">
        <f>SUBSTITUTE(SUBSTITUTE(Table3[[#This Row],[Sponsor_list_tranform]],",",",x")," ","")</f>
        <v>x11003546</v>
      </c>
      <c r="E625" t="s">
        <v>11604</v>
      </c>
      <c r="K625" t="str">
        <f>IF(LEN(E625)&lt;&gt;0,_xlfn.XLOOKUP(E625,[1]!Entities[ID_with_x],[1]!Entities[Name_w_County],_xlfn.CONCAT("Entity ID ",RIGHT(Table3[[#This Row],[Sponsor_1_num]],8)," not found")),"")</f>
        <v>Guadalupe Regional Flood Planning Group</v>
      </c>
      <c r="L625" t="str">
        <f>IF(LEN(F625)&lt;&gt;0,_xlfn.XLOOKUP(F625,[1]!Entities[ID_with_x],[1]!Entities[Name_w_County],_xlfn.CONCAT("Entity ID ",RIGHT(Table3[[#This Row],[Sponsor_1_num]],8)," not found")),"")</f>
        <v/>
      </c>
      <c r="M625" t="str">
        <f>IF(LEN(G625)&lt;&gt;0,_xlfn.XLOOKUP(G625,[1]!Entities[ID_with_x],[1]!Entities[Name_w_County],_xlfn.CONCAT("Entity ID ",RIGHT(Table3[[#This Row],[Sponsor_1_num]],8)," not found")),"")</f>
        <v/>
      </c>
      <c r="N625" t="str">
        <f>IF(LEN(H625)&lt;&gt;0,_xlfn.XLOOKUP(H625,[1]!Entities[ID_with_x],[1]!Entities[Name_w_County],_xlfn.CONCAT("Entity ID ",RIGHT(Table3[[#This Row],[Sponsor_1_num]],8)," not found")),"")</f>
        <v/>
      </c>
      <c r="O625" t="str">
        <f>IF(LEN(I625)&lt;&gt;0,_xlfn.XLOOKUP(I625,[1]!Entities[ID_with_x],[1]!Entities[Name_w_County],_xlfn.CONCAT("Entity ID ",RIGHT(Table3[[#This Row],[Sponsor_1_num]],8)," not found")),"")</f>
        <v/>
      </c>
      <c r="P625" t="str">
        <f>IF(LEN(J625)&lt;&gt;0,_xlfn.XLOOKUP(J625,[1]!Entities[ID_with_x],[1]!Entities[Name_w_County],_xlfn.CONCAT("Entity ID ",RIGHT(Table3[[#This Row],[Sponsor_1_num]],8)," not found")),"")</f>
        <v/>
      </c>
      <c r="Q625" t="str">
        <f>IF(LEN(K625)&gt;0,_xlfn.TEXTJOIN(", ",TRUE,K625:P625),Table3[[#This Row],[SPONSOR_LIST]])</f>
        <v>Guadalupe Regional Flood Planning Group</v>
      </c>
    </row>
    <row r="626" spans="1:17" x14ac:dyDescent="0.25">
      <c r="A626" s="304" t="s">
        <v>3425</v>
      </c>
      <c r="B626" t="s">
        <v>3416</v>
      </c>
      <c r="C626" t="str">
        <f t="shared" si="10"/>
        <v>x11003546</v>
      </c>
      <c r="D626" t="str">
        <f>SUBSTITUTE(SUBSTITUTE(Table3[[#This Row],[Sponsor_list_tranform]],",",",x")," ","")</f>
        <v>x11003546</v>
      </c>
      <c r="E626" t="s">
        <v>11604</v>
      </c>
      <c r="K626" t="str">
        <f>IF(LEN(E626)&lt;&gt;0,_xlfn.XLOOKUP(E626,[1]!Entities[ID_with_x],[1]!Entities[Name_w_County],_xlfn.CONCAT("Entity ID ",RIGHT(Table3[[#This Row],[Sponsor_1_num]],8)," not found")),"")</f>
        <v>Guadalupe Regional Flood Planning Group</v>
      </c>
      <c r="L626" t="str">
        <f>IF(LEN(F626)&lt;&gt;0,_xlfn.XLOOKUP(F626,[1]!Entities[ID_with_x],[1]!Entities[Name_w_County],_xlfn.CONCAT("Entity ID ",RIGHT(Table3[[#This Row],[Sponsor_1_num]],8)," not found")),"")</f>
        <v/>
      </c>
      <c r="M626" t="str">
        <f>IF(LEN(G626)&lt;&gt;0,_xlfn.XLOOKUP(G626,[1]!Entities[ID_with_x],[1]!Entities[Name_w_County],_xlfn.CONCAT("Entity ID ",RIGHT(Table3[[#This Row],[Sponsor_1_num]],8)," not found")),"")</f>
        <v/>
      </c>
      <c r="N626" t="str">
        <f>IF(LEN(H626)&lt;&gt;0,_xlfn.XLOOKUP(H626,[1]!Entities[ID_with_x],[1]!Entities[Name_w_County],_xlfn.CONCAT("Entity ID ",RIGHT(Table3[[#This Row],[Sponsor_1_num]],8)," not found")),"")</f>
        <v/>
      </c>
      <c r="O626" t="str">
        <f>IF(LEN(I626)&lt;&gt;0,_xlfn.XLOOKUP(I626,[1]!Entities[ID_with_x],[1]!Entities[Name_w_County],_xlfn.CONCAT("Entity ID ",RIGHT(Table3[[#This Row],[Sponsor_1_num]],8)," not found")),"")</f>
        <v/>
      </c>
      <c r="P626" t="str">
        <f>IF(LEN(J626)&lt;&gt;0,_xlfn.XLOOKUP(J626,[1]!Entities[ID_with_x],[1]!Entities[Name_w_County],_xlfn.CONCAT("Entity ID ",RIGHT(Table3[[#This Row],[Sponsor_1_num]],8)," not found")),"")</f>
        <v/>
      </c>
      <c r="Q626" t="str">
        <f>IF(LEN(K626)&gt;0,_xlfn.TEXTJOIN(", ",TRUE,K626:P626),Table3[[#This Row],[SPONSOR_LIST]])</f>
        <v>Guadalupe Regional Flood Planning Group</v>
      </c>
    </row>
    <row r="627" spans="1:17" x14ac:dyDescent="0.25">
      <c r="A627" s="304" t="s">
        <v>3429</v>
      </c>
      <c r="B627" t="s">
        <v>3416</v>
      </c>
      <c r="C627" t="str">
        <f t="shared" si="10"/>
        <v>x11003546</v>
      </c>
      <c r="D627" t="str">
        <f>SUBSTITUTE(SUBSTITUTE(Table3[[#This Row],[Sponsor_list_tranform]],",",",x")," ","")</f>
        <v>x11003546</v>
      </c>
      <c r="E627" t="s">
        <v>11604</v>
      </c>
      <c r="K627" t="str">
        <f>IF(LEN(E627)&lt;&gt;0,_xlfn.XLOOKUP(E627,[1]!Entities[ID_with_x],[1]!Entities[Name_w_County],_xlfn.CONCAT("Entity ID ",RIGHT(Table3[[#This Row],[Sponsor_1_num]],8)," not found")),"")</f>
        <v>Guadalupe Regional Flood Planning Group</v>
      </c>
      <c r="L627" t="str">
        <f>IF(LEN(F627)&lt;&gt;0,_xlfn.XLOOKUP(F627,[1]!Entities[ID_with_x],[1]!Entities[Name_w_County],_xlfn.CONCAT("Entity ID ",RIGHT(Table3[[#This Row],[Sponsor_1_num]],8)," not found")),"")</f>
        <v/>
      </c>
      <c r="M627" t="str">
        <f>IF(LEN(G627)&lt;&gt;0,_xlfn.XLOOKUP(G627,[1]!Entities[ID_with_x],[1]!Entities[Name_w_County],_xlfn.CONCAT("Entity ID ",RIGHT(Table3[[#This Row],[Sponsor_1_num]],8)," not found")),"")</f>
        <v/>
      </c>
      <c r="N627" t="str">
        <f>IF(LEN(H627)&lt;&gt;0,_xlfn.XLOOKUP(H627,[1]!Entities[ID_with_x],[1]!Entities[Name_w_County],_xlfn.CONCAT("Entity ID ",RIGHT(Table3[[#This Row],[Sponsor_1_num]],8)," not found")),"")</f>
        <v/>
      </c>
      <c r="O627" t="str">
        <f>IF(LEN(I627)&lt;&gt;0,_xlfn.XLOOKUP(I627,[1]!Entities[ID_with_x],[1]!Entities[Name_w_County],_xlfn.CONCAT("Entity ID ",RIGHT(Table3[[#This Row],[Sponsor_1_num]],8)," not found")),"")</f>
        <v/>
      </c>
      <c r="P627" t="str">
        <f>IF(LEN(J627)&lt;&gt;0,_xlfn.XLOOKUP(J627,[1]!Entities[ID_with_x],[1]!Entities[Name_w_County],_xlfn.CONCAT("Entity ID ",RIGHT(Table3[[#This Row],[Sponsor_1_num]],8)," not found")),"")</f>
        <v/>
      </c>
      <c r="Q627" t="str">
        <f>IF(LEN(K627)&gt;0,_xlfn.TEXTJOIN(", ",TRUE,K627:P627),Table3[[#This Row],[SPONSOR_LIST]])</f>
        <v>Guadalupe Regional Flood Planning Group</v>
      </c>
    </row>
    <row r="628" spans="1:17" x14ac:dyDescent="0.25">
      <c r="A628" s="304" t="s">
        <v>3433</v>
      </c>
      <c r="B628" t="s">
        <v>3442</v>
      </c>
      <c r="C628" t="str">
        <f t="shared" si="10"/>
        <v>x12002974</v>
      </c>
      <c r="D628" t="str">
        <f>SUBSTITUTE(SUBSTITUTE(Table3[[#This Row],[Sponsor_list_tranform]],",",",x")," ","")</f>
        <v>x12002974</v>
      </c>
      <c r="E628" t="s">
        <v>11627</v>
      </c>
      <c r="K628" t="str">
        <f>IF(LEN(E628)&lt;&gt;0,_xlfn.XLOOKUP(E628,[1]!Entities[ID_with_x],[1]!Entities[Name_w_County],_xlfn.CONCAT("Entity ID ",RIGHT(Table3[[#This Row],[Sponsor_1_num]],8)," not found")),"")</f>
        <v>Falls City</v>
      </c>
      <c r="L628" t="str">
        <f>IF(LEN(F628)&lt;&gt;0,_xlfn.XLOOKUP(F628,[1]!Entities[ID_with_x],[1]!Entities[Name_w_County],_xlfn.CONCAT("Entity ID ",RIGHT(Table3[[#This Row],[Sponsor_1_num]],8)," not found")),"")</f>
        <v/>
      </c>
      <c r="M628" t="str">
        <f>IF(LEN(G628)&lt;&gt;0,_xlfn.XLOOKUP(G628,[1]!Entities[ID_with_x],[1]!Entities[Name_w_County],_xlfn.CONCAT("Entity ID ",RIGHT(Table3[[#This Row],[Sponsor_1_num]],8)," not found")),"")</f>
        <v/>
      </c>
      <c r="N628" t="str">
        <f>IF(LEN(H628)&lt;&gt;0,_xlfn.XLOOKUP(H628,[1]!Entities[ID_with_x],[1]!Entities[Name_w_County],_xlfn.CONCAT("Entity ID ",RIGHT(Table3[[#This Row],[Sponsor_1_num]],8)," not found")),"")</f>
        <v/>
      </c>
      <c r="O628" t="str">
        <f>IF(LEN(I628)&lt;&gt;0,_xlfn.XLOOKUP(I628,[1]!Entities[ID_with_x],[1]!Entities[Name_w_County],_xlfn.CONCAT("Entity ID ",RIGHT(Table3[[#This Row],[Sponsor_1_num]],8)," not found")),"")</f>
        <v/>
      </c>
      <c r="P628" t="str">
        <f>IF(LEN(J628)&lt;&gt;0,_xlfn.XLOOKUP(J628,[1]!Entities[ID_with_x],[1]!Entities[Name_w_County],_xlfn.CONCAT("Entity ID ",RIGHT(Table3[[#This Row],[Sponsor_1_num]],8)," not found")),"")</f>
        <v/>
      </c>
      <c r="Q628" t="str">
        <f>IF(LEN(K628)&gt;0,_xlfn.TEXTJOIN(", ",TRUE,K628:P628),Table3[[#This Row],[SPONSOR_LIST]])</f>
        <v>Falls City</v>
      </c>
    </row>
    <row r="629" spans="1:17" x14ac:dyDescent="0.25">
      <c r="A629" s="304" t="s">
        <v>3445</v>
      </c>
      <c r="B629" t="s">
        <v>3442</v>
      </c>
      <c r="C629" t="str">
        <f t="shared" si="10"/>
        <v>x12002974</v>
      </c>
      <c r="D629" t="str">
        <f>SUBSTITUTE(SUBSTITUTE(Table3[[#This Row],[Sponsor_list_tranform]],",",",x")," ","")</f>
        <v>x12002974</v>
      </c>
      <c r="E629" t="s">
        <v>11627</v>
      </c>
      <c r="K629" t="str">
        <f>IF(LEN(E629)&lt;&gt;0,_xlfn.XLOOKUP(E629,[1]!Entities[ID_with_x],[1]!Entities[Name_w_County],_xlfn.CONCAT("Entity ID ",RIGHT(Table3[[#This Row],[Sponsor_1_num]],8)," not found")),"")</f>
        <v>Falls City</v>
      </c>
      <c r="L629" t="str">
        <f>IF(LEN(F629)&lt;&gt;0,_xlfn.XLOOKUP(F629,[1]!Entities[ID_with_x],[1]!Entities[Name_w_County],_xlfn.CONCAT("Entity ID ",RIGHT(Table3[[#This Row],[Sponsor_1_num]],8)," not found")),"")</f>
        <v/>
      </c>
      <c r="M629" t="str">
        <f>IF(LEN(G629)&lt;&gt;0,_xlfn.XLOOKUP(G629,[1]!Entities[ID_with_x],[1]!Entities[Name_w_County],_xlfn.CONCAT("Entity ID ",RIGHT(Table3[[#This Row],[Sponsor_1_num]],8)," not found")),"")</f>
        <v/>
      </c>
      <c r="N629" t="str">
        <f>IF(LEN(H629)&lt;&gt;0,_xlfn.XLOOKUP(H629,[1]!Entities[ID_with_x],[1]!Entities[Name_w_County],_xlfn.CONCAT("Entity ID ",RIGHT(Table3[[#This Row],[Sponsor_1_num]],8)," not found")),"")</f>
        <v/>
      </c>
      <c r="O629" t="str">
        <f>IF(LEN(I629)&lt;&gt;0,_xlfn.XLOOKUP(I629,[1]!Entities[ID_with_x],[1]!Entities[Name_w_County],_xlfn.CONCAT("Entity ID ",RIGHT(Table3[[#This Row],[Sponsor_1_num]],8)," not found")),"")</f>
        <v/>
      </c>
      <c r="P629" t="str">
        <f>IF(LEN(J629)&lt;&gt;0,_xlfn.XLOOKUP(J629,[1]!Entities[ID_with_x],[1]!Entities[Name_w_County],_xlfn.CONCAT("Entity ID ",RIGHT(Table3[[#This Row],[Sponsor_1_num]],8)," not found")),"")</f>
        <v/>
      </c>
      <c r="Q629" t="str">
        <f>IF(LEN(K629)&gt;0,_xlfn.TEXTJOIN(", ",TRUE,K629:P629),Table3[[#This Row],[SPONSOR_LIST]])</f>
        <v>Falls City</v>
      </c>
    </row>
    <row r="630" spans="1:17" x14ac:dyDescent="0.25">
      <c r="A630" s="304" t="s">
        <v>3449</v>
      </c>
      <c r="B630" t="s">
        <v>3454</v>
      </c>
      <c r="C630" t="str">
        <f t="shared" si="10"/>
        <v>x12002756</v>
      </c>
      <c r="D630" t="str">
        <f>SUBSTITUTE(SUBSTITUTE(Table3[[#This Row],[Sponsor_list_tranform]],",",",x")," ","")</f>
        <v>x12002756</v>
      </c>
      <c r="E630" t="s">
        <v>11811</v>
      </c>
      <c r="K630" t="str">
        <f>IF(LEN(E630)&lt;&gt;0,_xlfn.XLOOKUP(E630,[1]!Entities[ID_with_x],[1]!Entities[Name_w_County],_xlfn.CONCAT("Entity ID ",RIGHT(Table3[[#This Row],[Sponsor_1_num]],8)," not found")),"")</f>
        <v>Karnes City</v>
      </c>
      <c r="L630" t="str">
        <f>IF(LEN(F630)&lt;&gt;0,_xlfn.XLOOKUP(F630,[1]!Entities[ID_with_x],[1]!Entities[Name_w_County],_xlfn.CONCAT("Entity ID ",RIGHT(Table3[[#This Row],[Sponsor_1_num]],8)," not found")),"")</f>
        <v/>
      </c>
      <c r="M630" t="str">
        <f>IF(LEN(G630)&lt;&gt;0,_xlfn.XLOOKUP(G630,[1]!Entities[ID_with_x],[1]!Entities[Name_w_County],_xlfn.CONCAT("Entity ID ",RIGHT(Table3[[#This Row],[Sponsor_1_num]],8)," not found")),"")</f>
        <v/>
      </c>
      <c r="N630" t="str">
        <f>IF(LEN(H630)&lt;&gt;0,_xlfn.XLOOKUP(H630,[1]!Entities[ID_with_x],[1]!Entities[Name_w_County],_xlfn.CONCAT("Entity ID ",RIGHT(Table3[[#This Row],[Sponsor_1_num]],8)," not found")),"")</f>
        <v/>
      </c>
      <c r="O630" t="str">
        <f>IF(LEN(I630)&lt;&gt;0,_xlfn.XLOOKUP(I630,[1]!Entities[ID_with_x],[1]!Entities[Name_w_County],_xlfn.CONCAT("Entity ID ",RIGHT(Table3[[#This Row],[Sponsor_1_num]],8)," not found")),"")</f>
        <v/>
      </c>
      <c r="P630" t="str">
        <f>IF(LEN(J630)&lt;&gt;0,_xlfn.XLOOKUP(J630,[1]!Entities[ID_with_x],[1]!Entities[Name_w_County],_xlfn.CONCAT("Entity ID ",RIGHT(Table3[[#This Row],[Sponsor_1_num]],8)," not found")),"")</f>
        <v/>
      </c>
      <c r="Q630" t="str">
        <f>IF(LEN(K630)&gt;0,_xlfn.TEXTJOIN(", ",TRUE,K630:P630),Table3[[#This Row],[SPONSOR_LIST]])</f>
        <v>Karnes City</v>
      </c>
    </row>
    <row r="631" spans="1:17" x14ac:dyDescent="0.25">
      <c r="A631" s="304" t="s">
        <v>3457</v>
      </c>
      <c r="B631" t="s">
        <v>3461</v>
      </c>
      <c r="C631" t="str">
        <f t="shared" si="10"/>
        <v>x12002975</v>
      </c>
      <c r="D631" t="str">
        <f>SUBSTITUTE(SUBSTITUTE(Table3[[#This Row],[Sponsor_list_tranform]],",",",x")," ","")</f>
        <v>x12002975</v>
      </c>
      <c r="E631" t="s">
        <v>11749</v>
      </c>
      <c r="K631" t="str">
        <f>IF(LEN(E631)&lt;&gt;0,_xlfn.XLOOKUP(E631,[1]!Entities[ID_with_x],[1]!Entities[Name_w_County],_xlfn.CONCAT("Entity ID ",RIGHT(Table3[[#This Row],[Sponsor_1_num]],8)," not found")),"")</f>
        <v>Kenedy</v>
      </c>
      <c r="L631" t="str">
        <f>IF(LEN(F631)&lt;&gt;0,_xlfn.XLOOKUP(F631,[1]!Entities[ID_with_x],[1]!Entities[Name_w_County],_xlfn.CONCAT("Entity ID ",RIGHT(Table3[[#This Row],[Sponsor_1_num]],8)," not found")),"")</f>
        <v/>
      </c>
      <c r="M631" t="str">
        <f>IF(LEN(G631)&lt;&gt;0,_xlfn.XLOOKUP(G631,[1]!Entities[ID_with_x],[1]!Entities[Name_w_County],_xlfn.CONCAT("Entity ID ",RIGHT(Table3[[#This Row],[Sponsor_1_num]],8)," not found")),"")</f>
        <v/>
      </c>
      <c r="N631" t="str">
        <f>IF(LEN(H631)&lt;&gt;0,_xlfn.XLOOKUP(H631,[1]!Entities[ID_with_x],[1]!Entities[Name_w_County],_xlfn.CONCAT("Entity ID ",RIGHT(Table3[[#This Row],[Sponsor_1_num]],8)," not found")),"")</f>
        <v/>
      </c>
      <c r="O631" t="str">
        <f>IF(LEN(I631)&lt;&gt;0,_xlfn.XLOOKUP(I631,[1]!Entities[ID_with_x],[1]!Entities[Name_w_County],_xlfn.CONCAT("Entity ID ",RIGHT(Table3[[#This Row],[Sponsor_1_num]],8)," not found")),"")</f>
        <v/>
      </c>
      <c r="P631" t="str">
        <f>IF(LEN(J631)&lt;&gt;0,_xlfn.XLOOKUP(J631,[1]!Entities[ID_with_x],[1]!Entities[Name_w_County],_xlfn.CONCAT("Entity ID ",RIGHT(Table3[[#This Row],[Sponsor_1_num]],8)," not found")),"")</f>
        <v/>
      </c>
      <c r="Q631" t="str">
        <f>IF(LEN(K631)&gt;0,_xlfn.TEXTJOIN(", ",TRUE,K631:P631),Table3[[#This Row],[SPONSOR_LIST]])</f>
        <v>Kenedy</v>
      </c>
    </row>
    <row r="632" spans="1:17" x14ac:dyDescent="0.25">
      <c r="A632" s="304" t="s">
        <v>3463</v>
      </c>
      <c r="B632" t="s">
        <v>3467</v>
      </c>
      <c r="C632" t="str">
        <f t="shared" si="10"/>
        <v>x12002757</v>
      </c>
      <c r="D632" t="str">
        <f>SUBSTITUTE(SUBSTITUTE(Table3[[#This Row],[Sponsor_list_tranform]],",",",x")," ","")</f>
        <v>x12002757</v>
      </c>
      <c r="E632" t="s">
        <v>11812</v>
      </c>
      <c r="K632" t="str">
        <f>IF(LEN(E632)&lt;&gt;0,_xlfn.XLOOKUP(E632,[1]!Entities[ID_with_x],[1]!Entities[Name_w_County],_xlfn.CONCAT("Entity ID ",RIGHT(Table3[[#This Row],[Sponsor_1_num]],8)," not found")),"")</f>
        <v>Runge</v>
      </c>
      <c r="L632" t="str">
        <f>IF(LEN(F632)&lt;&gt;0,_xlfn.XLOOKUP(F632,[1]!Entities[ID_with_x],[1]!Entities[Name_w_County],_xlfn.CONCAT("Entity ID ",RIGHT(Table3[[#This Row],[Sponsor_1_num]],8)," not found")),"")</f>
        <v/>
      </c>
      <c r="M632" t="str">
        <f>IF(LEN(G632)&lt;&gt;0,_xlfn.XLOOKUP(G632,[1]!Entities[ID_with_x],[1]!Entities[Name_w_County],_xlfn.CONCAT("Entity ID ",RIGHT(Table3[[#This Row],[Sponsor_1_num]],8)," not found")),"")</f>
        <v/>
      </c>
      <c r="N632" t="str">
        <f>IF(LEN(H632)&lt;&gt;0,_xlfn.XLOOKUP(H632,[1]!Entities[ID_with_x],[1]!Entities[Name_w_County],_xlfn.CONCAT("Entity ID ",RIGHT(Table3[[#This Row],[Sponsor_1_num]],8)," not found")),"")</f>
        <v/>
      </c>
      <c r="O632" t="str">
        <f>IF(LEN(I632)&lt;&gt;0,_xlfn.XLOOKUP(I632,[1]!Entities[ID_with_x],[1]!Entities[Name_w_County],_xlfn.CONCAT("Entity ID ",RIGHT(Table3[[#This Row],[Sponsor_1_num]],8)," not found")),"")</f>
        <v/>
      </c>
      <c r="P632" t="str">
        <f>IF(LEN(J632)&lt;&gt;0,_xlfn.XLOOKUP(J632,[1]!Entities[ID_with_x],[1]!Entities[Name_w_County],_xlfn.CONCAT("Entity ID ",RIGHT(Table3[[#This Row],[Sponsor_1_num]],8)," not found")),"")</f>
        <v/>
      </c>
      <c r="Q632" t="str">
        <f>IF(LEN(K632)&gt;0,_xlfn.TEXTJOIN(", ",TRUE,K632:P632),Table3[[#This Row],[SPONSOR_LIST]])</f>
        <v>Runge</v>
      </c>
    </row>
    <row r="633" spans="1:17" x14ac:dyDescent="0.25">
      <c r="A633" s="304" t="s">
        <v>3470</v>
      </c>
      <c r="B633" t="s">
        <v>3478</v>
      </c>
      <c r="C633" t="str">
        <f t="shared" si="10"/>
        <v>x12003181</v>
      </c>
      <c r="D633" t="str">
        <f>SUBSTITUTE(SUBSTITUTE(Table3[[#This Row],[Sponsor_list_tranform]],",",",x")," ","")</f>
        <v>x12003181</v>
      </c>
      <c r="E633" t="s">
        <v>11817</v>
      </c>
      <c r="K633" t="str">
        <f>IF(LEN(E633)&lt;&gt;0,_xlfn.XLOOKUP(E633,[1]!Entities[ID_with_x],[1]!Entities[Name_w_County],_xlfn.CONCAT("Entity ID ",RIGHT(Table3[[#This Row],[Sponsor_1_num]],8)," not found")),"")</f>
        <v>Poth</v>
      </c>
      <c r="L633" t="str">
        <f>IF(LEN(F633)&lt;&gt;0,_xlfn.XLOOKUP(F633,[1]!Entities[ID_with_x],[1]!Entities[Name_w_County],_xlfn.CONCAT("Entity ID ",RIGHT(Table3[[#This Row],[Sponsor_1_num]],8)," not found")),"")</f>
        <v/>
      </c>
      <c r="M633" t="str">
        <f>IF(LEN(G633)&lt;&gt;0,_xlfn.XLOOKUP(G633,[1]!Entities[ID_with_x],[1]!Entities[Name_w_County],_xlfn.CONCAT("Entity ID ",RIGHT(Table3[[#This Row],[Sponsor_1_num]],8)," not found")),"")</f>
        <v/>
      </c>
      <c r="N633" t="str">
        <f>IF(LEN(H633)&lt;&gt;0,_xlfn.XLOOKUP(H633,[1]!Entities[ID_with_x],[1]!Entities[Name_w_County],_xlfn.CONCAT("Entity ID ",RIGHT(Table3[[#This Row],[Sponsor_1_num]],8)," not found")),"")</f>
        <v/>
      </c>
      <c r="O633" t="str">
        <f>IF(LEN(I633)&lt;&gt;0,_xlfn.XLOOKUP(I633,[1]!Entities[ID_with_x],[1]!Entities[Name_w_County],_xlfn.CONCAT("Entity ID ",RIGHT(Table3[[#This Row],[Sponsor_1_num]],8)," not found")),"")</f>
        <v/>
      </c>
      <c r="P633" t="str">
        <f>IF(LEN(J633)&lt;&gt;0,_xlfn.XLOOKUP(J633,[1]!Entities[ID_with_x],[1]!Entities[Name_w_County],_xlfn.CONCAT("Entity ID ",RIGHT(Table3[[#This Row],[Sponsor_1_num]],8)," not found")),"")</f>
        <v/>
      </c>
      <c r="Q633" t="str">
        <f>IF(LEN(K633)&gt;0,_xlfn.TEXTJOIN(", ",TRUE,K633:P633),Table3[[#This Row],[SPONSOR_LIST]])</f>
        <v>Poth</v>
      </c>
    </row>
    <row r="634" spans="1:17" x14ac:dyDescent="0.25">
      <c r="A634" s="304" t="s">
        <v>3481</v>
      </c>
      <c r="B634" t="s">
        <v>3478</v>
      </c>
      <c r="C634" t="str">
        <f t="shared" si="10"/>
        <v>x12003181</v>
      </c>
      <c r="D634" t="str">
        <f>SUBSTITUTE(SUBSTITUTE(Table3[[#This Row],[Sponsor_list_tranform]],",",",x")," ","")</f>
        <v>x12003181</v>
      </c>
      <c r="E634" t="s">
        <v>11817</v>
      </c>
      <c r="K634" t="str">
        <f>IF(LEN(E634)&lt;&gt;0,_xlfn.XLOOKUP(E634,[1]!Entities[ID_with_x],[1]!Entities[Name_w_County],_xlfn.CONCAT("Entity ID ",RIGHT(Table3[[#This Row],[Sponsor_1_num]],8)," not found")),"")</f>
        <v>Poth</v>
      </c>
      <c r="L634" t="str">
        <f>IF(LEN(F634)&lt;&gt;0,_xlfn.XLOOKUP(F634,[1]!Entities[ID_with_x],[1]!Entities[Name_w_County],_xlfn.CONCAT("Entity ID ",RIGHT(Table3[[#This Row],[Sponsor_1_num]],8)," not found")),"")</f>
        <v/>
      </c>
      <c r="M634" t="str">
        <f>IF(LEN(G634)&lt;&gt;0,_xlfn.XLOOKUP(G634,[1]!Entities[ID_with_x],[1]!Entities[Name_w_County],_xlfn.CONCAT("Entity ID ",RIGHT(Table3[[#This Row],[Sponsor_1_num]],8)," not found")),"")</f>
        <v/>
      </c>
      <c r="N634" t="str">
        <f>IF(LEN(H634)&lt;&gt;0,_xlfn.XLOOKUP(H634,[1]!Entities[ID_with_x],[1]!Entities[Name_w_County],_xlfn.CONCAT("Entity ID ",RIGHT(Table3[[#This Row],[Sponsor_1_num]],8)," not found")),"")</f>
        <v/>
      </c>
      <c r="O634" t="str">
        <f>IF(LEN(I634)&lt;&gt;0,_xlfn.XLOOKUP(I634,[1]!Entities[ID_with_x],[1]!Entities[Name_w_County],_xlfn.CONCAT("Entity ID ",RIGHT(Table3[[#This Row],[Sponsor_1_num]],8)," not found")),"")</f>
        <v/>
      </c>
      <c r="P634" t="str">
        <f>IF(LEN(J634)&lt;&gt;0,_xlfn.XLOOKUP(J634,[1]!Entities[ID_with_x],[1]!Entities[Name_w_County],_xlfn.CONCAT("Entity ID ",RIGHT(Table3[[#This Row],[Sponsor_1_num]],8)," not found")),"")</f>
        <v/>
      </c>
      <c r="Q634" t="str">
        <f>IF(LEN(K634)&gt;0,_xlfn.TEXTJOIN(", ",TRUE,K634:P634),Table3[[#This Row],[SPONSOR_LIST]])</f>
        <v>Poth</v>
      </c>
    </row>
    <row r="635" spans="1:17" x14ac:dyDescent="0.25">
      <c r="A635" s="304" t="s">
        <v>3486</v>
      </c>
      <c r="B635" t="s">
        <v>3478</v>
      </c>
      <c r="C635" t="str">
        <f t="shared" si="10"/>
        <v>x12003181</v>
      </c>
      <c r="D635" t="str">
        <f>SUBSTITUTE(SUBSTITUTE(Table3[[#This Row],[Sponsor_list_tranform]],",",",x")," ","")</f>
        <v>x12003181</v>
      </c>
      <c r="E635" t="s">
        <v>11817</v>
      </c>
      <c r="K635" t="str">
        <f>IF(LEN(E635)&lt;&gt;0,_xlfn.XLOOKUP(E635,[1]!Entities[ID_with_x],[1]!Entities[Name_w_County],_xlfn.CONCAT("Entity ID ",RIGHT(Table3[[#This Row],[Sponsor_1_num]],8)," not found")),"")</f>
        <v>Poth</v>
      </c>
      <c r="L635" t="str">
        <f>IF(LEN(F635)&lt;&gt;0,_xlfn.XLOOKUP(F635,[1]!Entities[ID_with_x],[1]!Entities[Name_w_County],_xlfn.CONCAT("Entity ID ",RIGHT(Table3[[#This Row],[Sponsor_1_num]],8)," not found")),"")</f>
        <v/>
      </c>
      <c r="M635" t="str">
        <f>IF(LEN(G635)&lt;&gt;0,_xlfn.XLOOKUP(G635,[1]!Entities[ID_with_x],[1]!Entities[Name_w_County],_xlfn.CONCAT("Entity ID ",RIGHT(Table3[[#This Row],[Sponsor_1_num]],8)," not found")),"")</f>
        <v/>
      </c>
      <c r="N635" t="str">
        <f>IF(LEN(H635)&lt;&gt;0,_xlfn.XLOOKUP(H635,[1]!Entities[ID_with_x],[1]!Entities[Name_w_County],_xlfn.CONCAT("Entity ID ",RIGHT(Table3[[#This Row],[Sponsor_1_num]],8)," not found")),"")</f>
        <v/>
      </c>
      <c r="O635" t="str">
        <f>IF(LEN(I635)&lt;&gt;0,_xlfn.XLOOKUP(I635,[1]!Entities[ID_with_x],[1]!Entities[Name_w_County],_xlfn.CONCAT("Entity ID ",RIGHT(Table3[[#This Row],[Sponsor_1_num]],8)," not found")),"")</f>
        <v/>
      </c>
      <c r="P635" t="str">
        <f>IF(LEN(J635)&lt;&gt;0,_xlfn.XLOOKUP(J635,[1]!Entities[ID_with_x],[1]!Entities[Name_w_County],_xlfn.CONCAT("Entity ID ",RIGHT(Table3[[#This Row],[Sponsor_1_num]],8)," not found")),"")</f>
        <v/>
      </c>
      <c r="Q635" t="str">
        <f>IF(LEN(K635)&gt;0,_xlfn.TEXTJOIN(", ",TRUE,K635:P635),Table3[[#This Row],[SPONSOR_LIST]])</f>
        <v>Poth</v>
      </c>
    </row>
    <row r="636" spans="1:17" x14ac:dyDescent="0.25">
      <c r="A636" s="304" t="s">
        <v>3489</v>
      </c>
      <c r="B636" t="s">
        <v>3478</v>
      </c>
      <c r="C636" t="str">
        <f t="shared" si="10"/>
        <v>x12003181</v>
      </c>
      <c r="D636" t="str">
        <f>SUBSTITUTE(SUBSTITUTE(Table3[[#This Row],[Sponsor_list_tranform]],",",",x")," ","")</f>
        <v>x12003181</v>
      </c>
      <c r="E636" t="s">
        <v>11817</v>
      </c>
      <c r="K636" t="str">
        <f>IF(LEN(E636)&lt;&gt;0,_xlfn.XLOOKUP(E636,[1]!Entities[ID_with_x],[1]!Entities[Name_w_County],_xlfn.CONCAT("Entity ID ",RIGHT(Table3[[#This Row],[Sponsor_1_num]],8)," not found")),"")</f>
        <v>Poth</v>
      </c>
      <c r="L636" t="str">
        <f>IF(LEN(F636)&lt;&gt;0,_xlfn.XLOOKUP(F636,[1]!Entities[ID_with_x],[1]!Entities[Name_w_County],_xlfn.CONCAT("Entity ID ",RIGHT(Table3[[#This Row],[Sponsor_1_num]],8)," not found")),"")</f>
        <v/>
      </c>
      <c r="M636" t="str">
        <f>IF(LEN(G636)&lt;&gt;0,_xlfn.XLOOKUP(G636,[1]!Entities[ID_with_x],[1]!Entities[Name_w_County],_xlfn.CONCAT("Entity ID ",RIGHT(Table3[[#This Row],[Sponsor_1_num]],8)," not found")),"")</f>
        <v/>
      </c>
      <c r="N636" t="str">
        <f>IF(LEN(H636)&lt;&gt;0,_xlfn.XLOOKUP(H636,[1]!Entities[ID_with_x],[1]!Entities[Name_w_County],_xlfn.CONCAT("Entity ID ",RIGHT(Table3[[#This Row],[Sponsor_1_num]],8)," not found")),"")</f>
        <v/>
      </c>
      <c r="O636" t="str">
        <f>IF(LEN(I636)&lt;&gt;0,_xlfn.XLOOKUP(I636,[1]!Entities[ID_with_x],[1]!Entities[Name_w_County],_xlfn.CONCAT("Entity ID ",RIGHT(Table3[[#This Row],[Sponsor_1_num]],8)," not found")),"")</f>
        <v/>
      </c>
      <c r="P636" t="str">
        <f>IF(LEN(J636)&lt;&gt;0,_xlfn.XLOOKUP(J636,[1]!Entities[ID_with_x],[1]!Entities[Name_w_County],_xlfn.CONCAT("Entity ID ",RIGHT(Table3[[#This Row],[Sponsor_1_num]],8)," not found")),"")</f>
        <v/>
      </c>
      <c r="Q636" t="str">
        <f>IF(LEN(K636)&gt;0,_xlfn.TEXTJOIN(", ",TRUE,K636:P636),Table3[[#This Row],[SPONSOR_LIST]])</f>
        <v>Poth</v>
      </c>
    </row>
    <row r="637" spans="1:17" x14ac:dyDescent="0.25">
      <c r="A637" s="304" t="s">
        <v>3493</v>
      </c>
      <c r="B637" t="s">
        <v>4631</v>
      </c>
      <c r="C637" t="str">
        <f t="shared" si="10"/>
        <v>x00000282</v>
      </c>
      <c r="D637" t="str">
        <f>SUBSTITUTE(SUBSTITUTE(Table3[[#This Row],[Sponsor_list_tranform]],",",",x")," ","")</f>
        <v>x00000282</v>
      </c>
      <c r="E637" t="s">
        <v>11649</v>
      </c>
      <c r="K637" t="str">
        <f>IF(LEN(E637)&lt;&gt;0,_xlfn.XLOOKUP(E637,[1]!Entities[ID_with_x],[1]!Entities[Name_w_County],_xlfn.CONCAT("Entity ID ",RIGHT(Table3[[#This Row],[Sponsor_1_num]],8)," not found")),"")</f>
        <v>San Antonio River Authority</v>
      </c>
      <c r="L637" t="str">
        <f>IF(LEN(F637)&lt;&gt;0,_xlfn.XLOOKUP(F637,[1]!Entities[ID_with_x],[1]!Entities[Name_w_County],_xlfn.CONCAT("Entity ID ",RIGHT(Table3[[#This Row],[Sponsor_1_num]],8)," not found")),"")</f>
        <v/>
      </c>
      <c r="M637" t="str">
        <f>IF(LEN(G637)&lt;&gt;0,_xlfn.XLOOKUP(G637,[1]!Entities[ID_with_x],[1]!Entities[Name_w_County],_xlfn.CONCAT("Entity ID ",RIGHT(Table3[[#This Row],[Sponsor_1_num]],8)," not found")),"")</f>
        <v/>
      </c>
      <c r="N637" t="str">
        <f>IF(LEN(H637)&lt;&gt;0,_xlfn.XLOOKUP(H637,[1]!Entities[ID_with_x],[1]!Entities[Name_w_County],_xlfn.CONCAT("Entity ID ",RIGHT(Table3[[#This Row],[Sponsor_1_num]],8)," not found")),"")</f>
        <v/>
      </c>
      <c r="O637" t="str">
        <f>IF(LEN(I637)&lt;&gt;0,_xlfn.XLOOKUP(I637,[1]!Entities[ID_with_x],[1]!Entities[Name_w_County],_xlfn.CONCAT("Entity ID ",RIGHT(Table3[[#This Row],[Sponsor_1_num]],8)," not found")),"")</f>
        <v/>
      </c>
      <c r="P637" t="str">
        <f>IF(LEN(J637)&lt;&gt;0,_xlfn.XLOOKUP(J637,[1]!Entities[ID_with_x],[1]!Entities[Name_w_County],_xlfn.CONCAT("Entity ID ",RIGHT(Table3[[#This Row],[Sponsor_1_num]],8)," not found")),"")</f>
        <v/>
      </c>
      <c r="Q637" t="str">
        <f>IF(LEN(K637)&gt;0,_xlfn.TEXTJOIN(", ",TRUE,K637:P637),Table3[[#This Row],[SPONSOR_LIST]])</f>
        <v>San Antonio River Authority</v>
      </c>
    </row>
    <row r="638" spans="1:17" x14ac:dyDescent="0.25">
      <c r="A638" s="304" t="s">
        <v>3500</v>
      </c>
      <c r="B638" t="s">
        <v>3507</v>
      </c>
      <c r="C638" t="str">
        <f t="shared" si="10"/>
        <v>x00000017</v>
      </c>
      <c r="D638" t="str">
        <f>SUBSTITUTE(SUBSTITUTE(Table3[[#This Row],[Sponsor_list_tranform]],",",",x")," ","")</f>
        <v>x00000017</v>
      </c>
      <c r="E638" t="s">
        <v>11748</v>
      </c>
      <c r="K638" t="str">
        <f>IF(LEN(E638)&lt;&gt;0,_xlfn.XLOOKUP(E638,[1]!Entities[ID_with_x],[1]!Entities[Name_w_County],_xlfn.CONCAT("Entity ID ",RIGHT(Table3[[#This Row],[Sponsor_1_num]],8)," not found")),"")</f>
        <v>Kendall County</v>
      </c>
      <c r="L638" t="str">
        <f>IF(LEN(F638)&lt;&gt;0,_xlfn.XLOOKUP(F638,[1]!Entities[ID_with_x],[1]!Entities[Name_w_County],_xlfn.CONCAT("Entity ID ",RIGHT(Table3[[#This Row],[Sponsor_1_num]],8)," not found")),"")</f>
        <v/>
      </c>
      <c r="M638" t="str">
        <f>IF(LEN(G638)&lt;&gt;0,_xlfn.XLOOKUP(G638,[1]!Entities[ID_with_x],[1]!Entities[Name_w_County],_xlfn.CONCAT("Entity ID ",RIGHT(Table3[[#This Row],[Sponsor_1_num]],8)," not found")),"")</f>
        <v/>
      </c>
      <c r="N638" t="str">
        <f>IF(LEN(H638)&lt;&gt;0,_xlfn.XLOOKUP(H638,[1]!Entities[ID_with_x],[1]!Entities[Name_w_County],_xlfn.CONCAT("Entity ID ",RIGHT(Table3[[#This Row],[Sponsor_1_num]],8)," not found")),"")</f>
        <v/>
      </c>
      <c r="O638" t="str">
        <f>IF(LEN(I638)&lt;&gt;0,_xlfn.XLOOKUP(I638,[1]!Entities[ID_with_x],[1]!Entities[Name_w_County],_xlfn.CONCAT("Entity ID ",RIGHT(Table3[[#This Row],[Sponsor_1_num]],8)," not found")),"")</f>
        <v/>
      </c>
      <c r="P638" t="str">
        <f>IF(LEN(J638)&lt;&gt;0,_xlfn.XLOOKUP(J638,[1]!Entities[ID_with_x],[1]!Entities[Name_w_County],_xlfn.CONCAT("Entity ID ",RIGHT(Table3[[#This Row],[Sponsor_1_num]],8)," not found")),"")</f>
        <v/>
      </c>
      <c r="Q638" t="str">
        <f>IF(LEN(K638)&gt;0,_xlfn.TEXTJOIN(", ",TRUE,K638:P638),Table3[[#This Row],[SPONSOR_LIST]])</f>
        <v>Kendall County</v>
      </c>
    </row>
    <row r="639" spans="1:17" x14ac:dyDescent="0.25">
      <c r="A639" s="304" t="s">
        <v>3509</v>
      </c>
      <c r="B639" t="s">
        <v>3461</v>
      </c>
      <c r="C639" t="str">
        <f t="shared" si="10"/>
        <v>x12002975</v>
      </c>
      <c r="D639" t="str">
        <f>SUBSTITUTE(SUBSTITUTE(Table3[[#This Row],[Sponsor_list_tranform]],",",",x")," ","")</f>
        <v>x12002975</v>
      </c>
      <c r="E639" t="s">
        <v>11749</v>
      </c>
      <c r="K639" t="str">
        <f>IF(LEN(E639)&lt;&gt;0,_xlfn.XLOOKUP(E639,[1]!Entities[ID_with_x],[1]!Entities[Name_w_County],_xlfn.CONCAT("Entity ID ",RIGHT(Table3[[#This Row],[Sponsor_1_num]],8)," not found")),"")</f>
        <v>Kenedy</v>
      </c>
      <c r="L639" t="str">
        <f>IF(LEN(F639)&lt;&gt;0,_xlfn.XLOOKUP(F639,[1]!Entities[ID_with_x],[1]!Entities[Name_w_County],_xlfn.CONCAT("Entity ID ",RIGHT(Table3[[#This Row],[Sponsor_1_num]],8)," not found")),"")</f>
        <v/>
      </c>
      <c r="M639" t="str">
        <f>IF(LEN(G639)&lt;&gt;0,_xlfn.XLOOKUP(G639,[1]!Entities[ID_with_x],[1]!Entities[Name_w_County],_xlfn.CONCAT("Entity ID ",RIGHT(Table3[[#This Row],[Sponsor_1_num]],8)," not found")),"")</f>
        <v/>
      </c>
      <c r="N639" t="str">
        <f>IF(LEN(H639)&lt;&gt;0,_xlfn.XLOOKUP(H639,[1]!Entities[ID_with_x],[1]!Entities[Name_w_County],_xlfn.CONCAT("Entity ID ",RIGHT(Table3[[#This Row],[Sponsor_1_num]],8)," not found")),"")</f>
        <v/>
      </c>
      <c r="O639" t="str">
        <f>IF(LEN(I639)&lt;&gt;0,_xlfn.XLOOKUP(I639,[1]!Entities[ID_with_x],[1]!Entities[Name_w_County],_xlfn.CONCAT("Entity ID ",RIGHT(Table3[[#This Row],[Sponsor_1_num]],8)," not found")),"")</f>
        <v/>
      </c>
      <c r="P639" t="str">
        <f>IF(LEN(J639)&lt;&gt;0,_xlfn.XLOOKUP(J639,[1]!Entities[ID_with_x],[1]!Entities[Name_w_County],_xlfn.CONCAT("Entity ID ",RIGHT(Table3[[#This Row],[Sponsor_1_num]],8)," not found")),"")</f>
        <v/>
      </c>
      <c r="Q639" t="str">
        <f>IF(LEN(K639)&gt;0,_xlfn.TEXTJOIN(", ",TRUE,K639:P639),Table3[[#This Row],[SPONSOR_LIST]])</f>
        <v>Kenedy</v>
      </c>
    </row>
    <row r="640" spans="1:17" x14ac:dyDescent="0.25">
      <c r="A640" s="304" t="s">
        <v>3513</v>
      </c>
      <c r="B640" t="s">
        <v>3520</v>
      </c>
      <c r="C640" t="str">
        <f t="shared" si="10"/>
        <v>x00000095</v>
      </c>
      <c r="D640" t="str">
        <f>SUBSTITUTE(SUBSTITUTE(Table3[[#This Row],[Sponsor_list_tranform]],",",",x")," ","")</f>
        <v>x00000095</v>
      </c>
      <c r="E640" t="s">
        <v>11825</v>
      </c>
      <c r="K640" t="str">
        <f>IF(LEN(E640)&lt;&gt;0,_xlfn.XLOOKUP(E640,[1]!Entities[ID_with_x],[1]!Entities[Name_w_County],_xlfn.CONCAT("Entity ID ",RIGHT(Table3[[#This Row],[Sponsor_1_num]],8)," not found")),"")</f>
        <v>Karnes County</v>
      </c>
      <c r="L640" t="str">
        <f>IF(LEN(F640)&lt;&gt;0,_xlfn.XLOOKUP(F640,[1]!Entities[ID_with_x],[1]!Entities[Name_w_County],_xlfn.CONCAT("Entity ID ",RIGHT(Table3[[#This Row],[Sponsor_1_num]],8)," not found")),"")</f>
        <v/>
      </c>
      <c r="M640" t="str">
        <f>IF(LEN(G640)&lt;&gt;0,_xlfn.XLOOKUP(G640,[1]!Entities[ID_with_x],[1]!Entities[Name_w_County],_xlfn.CONCAT("Entity ID ",RIGHT(Table3[[#This Row],[Sponsor_1_num]],8)," not found")),"")</f>
        <v/>
      </c>
      <c r="N640" t="str">
        <f>IF(LEN(H640)&lt;&gt;0,_xlfn.XLOOKUP(H640,[1]!Entities[ID_with_x],[1]!Entities[Name_w_County],_xlfn.CONCAT("Entity ID ",RIGHT(Table3[[#This Row],[Sponsor_1_num]],8)," not found")),"")</f>
        <v/>
      </c>
      <c r="O640" t="str">
        <f>IF(LEN(I640)&lt;&gt;0,_xlfn.XLOOKUP(I640,[1]!Entities[ID_with_x],[1]!Entities[Name_w_County],_xlfn.CONCAT("Entity ID ",RIGHT(Table3[[#This Row],[Sponsor_1_num]],8)," not found")),"")</f>
        <v/>
      </c>
      <c r="P640" t="str">
        <f>IF(LEN(J640)&lt;&gt;0,_xlfn.XLOOKUP(J640,[1]!Entities[ID_with_x],[1]!Entities[Name_w_County],_xlfn.CONCAT("Entity ID ",RIGHT(Table3[[#This Row],[Sponsor_1_num]],8)," not found")),"")</f>
        <v/>
      </c>
      <c r="Q640" t="str">
        <f>IF(LEN(K640)&gt;0,_xlfn.TEXTJOIN(", ",TRUE,K640:P640),Table3[[#This Row],[SPONSOR_LIST]])</f>
        <v>Karnes County</v>
      </c>
    </row>
    <row r="641" spans="1:17" x14ac:dyDescent="0.25">
      <c r="A641" s="304" t="s">
        <v>3524</v>
      </c>
      <c r="B641" t="s">
        <v>3533</v>
      </c>
      <c r="C641" t="str">
        <f t="shared" si="10"/>
        <v>x12002954</v>
      </c>
      <c r="D641" t="str">
        <f>SUBSTITUTE(SUBSTITUTE(Table3[[#This Row],[Sponsor_list_tranform]],",",",x")," ","")</f>
        <v>x12002954</v>
      </c>
      <c r="E641" t="s">
        <v>11808</v>
      </c>
      <c r="K641" t="str">
        <f>IF(LEN(E641)&lt;&gt;0,_xlfn.XLOOKUP(E641,[1]!Entities[ID_with_x],[1]!Entities[Name_w_County],_xlfn.CONCAT("Entity ID ",RIGHT(Table3[[#This Row],[Sponsor_1_num]],8)," not found")),"")</f>
        <v>LaCoste</v>
      </c>
      <c r="L641" t="str">
        <f>IF(LEN(F641)&lt;&gt;0,_xlfn.XLOOKUP(F641,[1]!Entities[ID_with_x],[1]!Entities[Name_w_County],_xlfn.CONCAT("Entity ID ",RIGHT(Table3[[#This Row],[Sponsor_1_num]],8)," not found")),"")</f>
        <v/>
      </c>
      <c r="M641" t="str">
        <f>IF(LEN(G641)&lt;&gt;0,_xlfn.XLOOKUP(G641,[1]!Entities[ID_with_x],[1]!Entities[Name_w_County],_xlfn.CONCAT("Entity ID ",RIGHT(Table3[[#This Row],[Sponsor_1_num]],8)," not found")),"")</f>
        <v/>
      </c>
      <c r="N641" t="str">
        <f>IF(LEN(H641)&lt;&gt;0,_xlfn.XLOOKUP(H641,[1]!Entities[ID_with_x],[1]!Entities[Name_w_County],_xlfn.CONCAT("Entity ID ",RIGHT(Table3[[#This Row],[Sponsor_1_num]],8)," not found")),"")</f>
        <v/>
      </c>
      <c r="O641" t="str">
        <f>IF(LEN(I641)&lt;&gt;0,_xlfn.XLOOKUP(I641,[1]!Entities[ID_with_x],[1]!Entities[Name_w_County],_xlfn.CONCAT("Entity ID ",RIGHT(Table3[[#This Row],[Sponsor_1_num]],8)," not found")),"")</f>
        <v/>
      </c>
      <c r="P641" t="str">
        <f>IF(LEN(J641)&lt;&gt;0,_xlfn.XLOOKUP(J641,[1]!Entities[ID_with_x],[1]!Entities[Name_w_County],_xlfn.CONCAT("Entity ID ",RIGHT(Table3[[#This Row],[Sponsor_1_num]],8)," not found")),"")</f>
        <v/>
      </c>
      <c r="Q641" t="str">
        <f>IF(LEN(K641)&gt;0,_xlfn.TEXTJOIN(", ",TRUE,K641:P641),Table3[[#This Row],[SPONSOR_LIST]])</f>
        <v>LaCoste</v>
      </c>
    </row>
    <row r="642" spans="1:17" x14ac:dyDescent="0.25">
      <c r="A642" s="304" t="s">
        <v>3535</v>
      </c>
      <c r="B642" t="s">
        <v>3542</v>
      </c>
      <c r="C642" t="str">
        <f t="shared" si="10"/>
        <v>x12003180</v>
      </c>
      <c r="D642" t="str">
        <f>SUBSTITUTE(SUBSTITUTE(Table3[[#This Row],[Sponsor_list_tranform]],",",",x")," ","")</f>
        <v>x12003180</v>
      </c>
      <c r="E642" t="s">
        <v>11801</v>
      </c>
      <c r="K642" t="str">
        <f>IF(LEN(E642)&lt;&gt;0,_xlfn.XLOOKUP(E642,[1]!Entities[ID_with_x],[1]!Entities[Name_w_County],_xlfn.CONCAT("Entity ID ",RIGHT(Table3[[#This Row],[Sponsor_1_num]],8)," not found")),"")</f>
        <v>La Vernia</v>
      </c>
      <c r="L642" t="str">
        <f>IF(LEN(F642)&lt;&gt;0,_xlfn.XLOOKUP(F642,[1]!Entities[ID_with_x],[1]!Entities[Name_w_County],_xlfn.CONCAT("Entity ID ",RIGHT(Table3[[#This Row],[Sponsor_1_num]],8)," not found")),"")</f>
        <v/>
      </c>
      <c r="M642" t="str">
        <f>IF(LEN(G642)&lt;&gt;0,_xlfn.XLOOKUP(G642,[1]!Entities[ID_with_x],[1]!Entities[Name_w_County],_xlfn.CONCAT("Entity ID ",RIGHT(Table3[[#This Row],[Sponsor_1_num]],8)," not found")),"")</f>
        <v/>
      </c>
      <c r="N642" t="str">
        <f>IF(LEN(H642)&lt;&gt;0,_xlfn.XLOOKUP(H642,[1]!Entities[ID_with_x],[1]!Entities[Name_w_County],_xlfn.CONCAT("Entity ID ",RIGHT(Table3[[#This Row],[Sponsor_1_num]],8)," not found")),"")</f>
        <v/>
      </c>
      <c r="O642" t="str">
        <f>IF(LEN(I642)&lt;&gt;0,_xlfn.XLOOKUP(I642,[1]!Entities[ID_with_x],[1]!Entities[Name_w_County],_xlfn.CONCAT("Entity ID ",RIGHT(Table3[[#This Row],[Sponsor_1_num]],8)," not found")),"")</f>
        <v/>
      </c>
      <c r="P642" t="str">
        <f>IF(LEN(J642)&lt;&gt;0,_xlfn.XLOOKUP(J642,[1]!Entities[ID_with_x],[1]!Entities[Name_w_County],_xlfn.CONCAT("Entity ID ",RIGHT(Table3[[#This Row],[Sponsor_1_num]],8)," not found")),"")</f>
        <v/>
      </c>
      <c r="Q642" t="str">
        <f>IF(LEN(K642)&gt;0,_xlfn.TEXTJOIN(", ",TRUE,K642:P642),Table3[[#This Row],[SPONSOR_LIST]])</f>
        <v>La Vernia</v>
      </c>
    </row>
    <row r="643" spans="1:17" x14ac:dyDescent="0.25">
      <c r="A643" s="304" t="s">
        <v>3545</v>
      </c>
      <c r="B643" t="s">
        <v>3551</v>
      </c>
      <c r="C643" t="str">
        <f t="shared" si="10"/>
        <v>x12002925</v>
      </c>
      <c r="D643" t="str">
        <f>SUBSTITUTE(SUBSTITUTE(Table3[[#This Row],[Sponsor_list_tranform]],",",",x")," ","")</f>
        <v>x12002925</v>
      </c>
      <c r="E643" t="s">
        <v>11750</v>
      </c>
      <c r="K643" t="str">
        <f>IF(LEN(E643)&lt;&gt;0,_xlfn.XLOOKUP(E643,[1]!Entities[ID_with_x],[1]!Entities[Name_w_County],_xlfn.CONCAT("Entity ID ",RIGHT(Table3[[#This Row],[Sponsor_1_num]],8)," not found")),"")</f>
        <v>Floresville</v>
      </c>
      <c r="L643" t="str">
        <f>IF(LEN(F643)&lt;&gt;0,_xlfn.XLOOKUP(F643,[1]!Entities[ID_with_x],[1]!Entities[Name_w_County],_xlfn.CONCAT("Entity ID ",RIGHT(Table3[[#This Row],[Sponsor_1_num]],8)," not found")),"")</f>
        <v/>
      </c>
      <c r="M643" t="str">
        <f>IF(LEN(G643)&lt;&gt;0,_xlfn.XLOOKUP(G643,[1]!Entities[ID_with_x],[1]!Entities[Name_w_County],_xlfn.CONCAT("Entity ID ",RIGHT(Table3[[#This Row],[Sponsor_1_num]],8)," not found")),"")</f>
        <v/>
      </c>
      <c r="N643" t="str">
        <f>IF(LEN(H643)&lt;&gt;0,_xlfn.XLOOKUP(H643,[1]!Entities[ID_with_x],[1]!Entities[Name_w_County],_xlfn.CONCAT("Entity ID ",RIGHT(Table3[[#This Row],[Sponsor_1_num]],8)," not found")),"")</f>
        <v/>
      </c>
      <c r="O643" t="str">
        <f>IF(LEN(I643)&lt;&gt;0,_xlfn.XLOOKUP(I643,[1]!Entities[ID_with_x],[1]!Entities[Name_w_County],_xlfn.CONCAT("Entity ID ",RIGHT(Table3[[#This Row],[Sponsor_1_num]],8)," not found")),"")</f>
        <v/>
      </c>
      <c r="P643" t="str">
        <f>IF(LEN(J643)&lt;&gt;0,_xlfn.XLOOKUP(J643,[1]!Entities[ID_with_x],[1]!Entities[Name_w_County],_xlfn.CONCAT("Entity ID ",RIGHT(Table3[[#This Row],[Sponsor_1_num]],8)," not found")),"")</f>
        <v/>
      </c>
      <c r="Q643" t="str">
        <f>IF(LEN(K643)&gt;0,_xlfn.TEXTJOIN(", ",TRUE,K643:P643),Table3[[#This Row],[SPONSOR_LIST]])</f>
        <v>Floresville</v>
      </c>
    </row>
    <row r="644" spans="1:17" x14ac:dyDescent="0.25">
      <c r="A644" s="304" t="s">
        <v>3554</v>
      </c>
      <c r="B644" t="s">
        <v>3542</v>
      </c>
      <c r="C644" t="str">
        <f t="shared" si="10"/>
        <v>x12003180</v>
      </c>
      <c r="D644" t="str">
        <f>SUBSTITUTE(SUBSTITUTE(Table3[[#This Row],[Sponsor_list_tranform]],",",",x")," ","")</f>
        <v>x12003180</v>
      </c>
      <c r="E644" t="s">
        <v>11801</v>
      </c>
      <c r="K644" t="str">
        <f>IF(LEN(E644)&lt;&gt;0,_xlfn.XLOOKUP(E644,[1]!Entities[ID_with_x],[1]!Entities[Name_w_County],_xlfn.CONCAT("Entity ID ",RIGHT(Table3[[#This Row],[Sponsor_1_num]],8)," not found")),"")</f>
        <v>La Vernia</v>
      </c>
      <c r="L644" t="str">
        <f>IF(LEN(F644)&lt;&gt;0,_xlfn.XLOOKUP(F644,[1]!Entities[ID_with_x],[1]!Entities[Name_w_County],_xlfn.CONCAT("Entity ID ",RIGHT(Table3[[#This Row],[Sponsor_1_num]],8)," not found")),"")</f>
        <v/>
      </c>
      <c r="M644" t="str">
        <f>IF(LEN(G644)&lt;&gt;0,_xlfn.XLOOKUP(G644,[1]!Entities[ID_with_x],[1]!Entities[Name_w_County],_xlfn.CONCAT("Entity ID ",RIGHT(Table3[[#This Row],[Sponsor_1_num]],8)," not found")),"")</f>
        <v/>
      </c>
      <c r="N644" t="str">
        <f>IF(LEN(H644)&lt;&gt;0,_xlfn.XLOOKUP(H644,[1]!Entities[ID_with_x],[1]!Entities[Name_w_County],_xlfn.CONCAT("Entity ID ",RIGHT(Table3[[#This Row],[Sponsor_1_num]],8)," not found")),"")</f>
        <v/>
      </c>
      <c r="O644" t="str">
        <f>IF(LEN(I644)&lt;&gt;0,_xlfn.XLOOKUP(I644,[1]!Entities[ID_with_x],[1]!Entities[Name_w_County],_xlfn.CONCAT("Entity ID ",RIGHT(Table3[[#This Row],[Sponsor_1_num]],8)," not found")),"")</f>
        <v/>
      </c>
      <c r="P644" t="str">
        <f>IF(LEN(J644)&lt;&gt;0,_xlfn.XLOOKUP(J644,[1]!Entities[ID_with_x],[1]!Entities[Name_w_County],_xlfn.CONCAT("Entity ID ",RIGHT(Table3[[#This Row],[Sponsor_1_num]],8)," not found")),"")</f>
        <v/>
      </c>
      <c r="Q644" t="str">
        <f>IF(LEN(K644)&gt;0,_xlfn.TEXTJOIN(", ",TRUE,K644:P644),Table3[[#This Row],[SPONSOR_LIST]])</f>
        <v>La Vernia</v>
      </c>
    </row>
    <row r="645" spans="1:17" x14ac:dyDescent="0.25">
      <c r="A645" s="304" t="s">
        <v>3558</v>
      </c>
      <c r="B645" t="s">
        <v>3566</v>
      </c>
      <c r="C645" t="str">
        <f t="shared" si="10"/>
        <v>x00000005</v>
      </c>
      <c r="D645" t="str">
        <f>SUBSTITUTE(SUBSTITUTE(Table3[[#This Row],[Sponsor_list_tranform]],",",",x")," ","")</f>
        <v>x00000005</v>
      </c>
      <c r="E645" t="s">
        <v>11802</v>
      </c>
      <c r="K645" t="str">
        <f>IF(LEN(E645)&lt;&gt;0,_xlfn.XLOOKUP(E645,[1]!Entities[ID_with_x],[1]!Entities[Name_w_County],_xlfn.CONCAT("Entity ID ",RIGHT(Table3[[#This Row],[Sponsor_1_num]],8)," not found")),"")</f>
        <v>Medina County</v>
      </c>
      <c r="L645" t="str">
        <f>IF(LEN(F645)&lt;&gt;0,_xlfn.XLOOKUP(F645,[1]!Entities[ID_with_x],[1]!Entities[Name_w_County],_xlfn.CONCAT("Entity ID ",RIGHT(Table3[[#This Row],[Sponsor_1_num]],8)," not found")),"")</f>
        <v/>
      </c>
      <c r="M645" t="str">
        <f>IF(LEN(G645)&lt;&gt;0,_xlfn.XLOOKUP(G645,[1]!Entities[ID_with_x],[1]!Entities[Name_w_County],_xlfn.CONCAT("Entity ID ",RIGHT(Table3[[#This Row],[Sponsor_1_num]],8)," not found")),"")</f>
        <v/>
      </c>
      <c r="N645" t="str">
        <f>IF(LEN(H645)&lt;&gt;0,_xlfn.XLOOKUP(H645,[1]!Entities[ID_with_x],[1]!Entities[Name_w_County],_xlfn.CONCAT("Entity ID ",RIGHT(Table3[[#This Row],[Sponsor_1_num]],8)," not found")),"")</f>
        <v/>
      </c>
      <c r="O645" t="str">
        <f>IF(LEN(I645)&lt;&gt;0,_xlfn.XLOOKUP(I645,[1]!Entities[ID_with_x],[1]!Entities[Name_w_County],_xlfn.CONCAT("Entity ID ",RIGHT(Table3[[#This Row],[Sponsor_1_num]],8)," not found")),"")</f>
        <v/>
      </c>
      <c r="P645" t="str">
        <f>IF(LEN(J645)&lt;&gt;0,_xlfn.XLOOKUP(J645,[1]!Entities[ID_with_x],[1]!Entities[Name_w_County],_xlfn.CONCAT("Entity ID ",RIGHT(Table3[[#This Row],[Sponsor_1_num]],8)," not found")),"")</f>
        <v/>
      </c>
      <c r="Q645" t="str">
        <f>IF(LEN(K645)&gt;0,_xlfn.TEXTJOIN(", ",TRUE,K645:P645),Table3[[#This Row],[SPONSOR_LIST]])</f>
        <v>Medina County</v>
      </c>
    </row>
    <row r="646" spans="1:17" x14ac:dyDescent="0.25">
      <c r="A646" s="304" t="s">
        <v>3568</v>
      </c>
      <c r="B646" t="s">
        <v>3551</v>
      </c>
      <c r="C646" t="str">
        <f t="shared" ref="C646:C709" si="11">IF(ISNUMBER(VALUE(LEFT(B646,7))),_xlfn.CONCAT("x",TEXT(SUBSTITUTE(B646,",",", "),"00000000")),"")</f>
        <v>x12002925</v>
      </c>
      <c r="D646" t="str">
        <f>SUBSTITUTE(SUBSTITUTE(Table3[[#This Row],[Sponsor_list_tranform]],",",",x")," ","")</f>
        <v>x12002925</v>
      </c>
      <c r="E646" t="s">
        <v>11750</v>
      </c>
      <c r="K646" t="str">
        <f>IF(LEN(E646)&lt;&gt;0,_xlfn.XLOOKUP(E646,[1]!Entities[ID_with_x],[1]!Entities[Name_w_County],_xlfn.CONCAT("Entity ID ",RIGHT(Table3[[#This Row],[Sponsor_1_num]],8)," not found")),"")</f>
        <v>Floresville</v>
      </c>
      <c r="L646" t="str">
        <f>IF(LEN(F646)&lt;&gt;0,_xlfn.XLOOKUP(F646,[1]!Entities[ID_with_x],[1]!Entities[Name_w_County],_xlfn.CONCAT("Entity ID ",RIGHT(Table3[[#This Row],[Sponsor_1_num]],8)," not found")),"")</f>
        <v/>
      </c>
      <c r="M646" t="str">
        <f>IF(LEN(G646)&lt;&gt;0,_xlfn.XLOOKUP(G646,[1]!Entities[ID_with_x],[1]!Entities[Name_w_County],_xlfn.CONCAT("Entity ID ",RIGHT(Table3[[#This Row],[Sponsor_1_num]],8)," not found")),"")</f>
        <v/>
      </c>
      <c r="N646" t="str">
        <f>IF(LEN(H646)&lt;&gt;0,_xlfn.XLOOKUP(H646,[1]!Entities[ID_with_x],[1]!Entities[Name_w_County],_xlfn.CONCAT("Entity ID ",RIGHT(Table3[[#This Row],[Sponsor_1_num]],8)," not found")),"")</f>
        <v/>
      </c>
      <c r="O646" t="str">
        <f>IF(LEN(I646)&lt;&gt;0,_xlfn.XLOOKUP(I646,[1]!Entities[ID_with_x],[1]!Entities[Name_w_County],_xlfn.CONCAT("Entity ID ",RIGHT(Table3[[#This Row],[Sponsor_1_num]],8)," not found")),"")</f>
        <v/>
      </c>
      <c r="P646" t="str">
        <f>IF(LEN(J646)&lt;&gt;0,_xlfn.XLOOKUP(J646,[1]!Entities[ID_with_x],[1]!Entities[Name_w_County],_xlfn.CONCAT("Entity ID ",RIGHT(Table3[[#This Row],[Sponsor_1_num]],8)," not found")),"")</f>
        <v/>
      </c>
      <c r="Q646" t="str">
        <f>IF(LEN(K646)&gt;0,_xlfn.TEXTJOIN(", ",TRUE,K646:P646),Table3[[#This Row],[SPONSOR_LIST]])</f>
        <v>Floresville</v>
      </c>
    </row>
    <row r="647" spans="1:17" x14ac:dyDescent="0.25">
      <c r="A647" s="304" t="s">
        <v>3571</v>
      </c>
      <c r="B647" t="s">
        <v>3579</v>
      </c>
      <c r="C647" t="str">
        <f t="shared" si="11"/>
        <v>x13002953</v>
      </c>
      <c r="D647" t="str">
        <f>SUBSTITUTE(SUBSTITUTE(Table3[[#This Row],[Sponsor_list_tranform]],",",",x")," ","")</f>
        <v>x13002953</v>
      </c>
      <c r="E647" t="s">
        <v>11619</v>
      </c>
      <c r="K647" t="str">
        <f>IF(LEN(E647)&lt;&gt;0,_xlfn.XLOOKUP(E647,[1]!Entities[ID_with_x],[1]!Entities[Name_w_County],_xlfn.CONCAT("Entity ID ",RIGHT(Table3[[#This Row],[Sponsor_1_num]],8)," not found")),"")</f>
        <v>Hondo</v>
      </c>
      <c r="L647" t="str">
        <f>IF(LEN(F647)&lt;&gt;0,_xlfn.XLOOKUP(F647,[1]!Entities[ID_with_x],[1]!Entities[Name_w_County],_xlfn.CONCAT("Entity ID ",RIGHT(Table3[[#This Row],[Sponsor_1_num]],8)," not found")),"")</f>
        <v/>
      </c>
      <c r="M647" t="str">
        <f>IF(LEN(G647)&lt;&gt;0,_xlfn.XLOOKUP(G647,[1]!Entities[ID_with_x],[1]!Entities[Name_w_County],_xlfn.CONCAT("Entity ID ",RIGHT(Table3[[#This Row],[Sponsor_1_num]],8)," not found")),"")</f>
        <v/>
      </c>
      <c r="N647" t="str">
        <f>IF(LEN(H647)&lt;&gt;0,_xlfn.XLOOKUP(H647,[1]!Entities[ID_with_x],[1]!Entities[Name_w_County],_xlfn.CONCAT("Entity ID ",RIGHT(Table3[[#This Row],[Sponsor_1_num]],8)," not found")),"")</f>
        <v/>
      </c>
      <c r="O647" t="str">
        <f>IF(LEN(I647)&lt;&gt;0,_xlfn.XLOOKUP(I647,[1]!Entities[ID_with_x],[1]!Entities[Name_w_County],_xlfn.CONCAT("Entity ID ",RIGHT(Table3[[#This Row],[Sponsor_1_num]],8)," not found")),"")</f>
        <v/>
      </c>
      <c r="P647" t="str">
        <f>IF(LEN(J647)&lt;&gt;0,_xlfn.XLOOKUP(J647,[1]!Entities[ID_with_x],[1]!Entities[Name_w_County],_xlfn.CONCAT("Entity ID ",RIGHT(Table3[[#This Row],[Sponsor_1_num]],8)," not found")),"")</f>
        <v/>
      </c>
      <c r="Q647" t="str">
        <f>IF(LEN(K647)&gt;0,_xlfn.TEXTJOIN(", ",TRUE,K647:P647),Table3[[#This Row],[SPONSOR_LIST]])</f>
        <v>Hondo</v>
      </c>
    </row>
    <row r="648" spans="1:17" x14ac:dyDescent="0.25">
      <c r="A648" s="304" t="s">
        <v>3583</v>
      </c>
      <c r="B648" t="s">
        <v>3579</v>
      </c>
      <c r="C648" t="str">
        <f t="shared" si="11"/>
        <v>x13002953</v>
      </c>
      <c r="D648" t="str">
        <f>SUBSTITUTE(SUBSTITUTE(Table3[[#This Row],[Sponsor_list_tranform]],",",",x")," ","")</f>
        <v>x13002953</v>
      </c>
      <c r="E648" t="s">
        <v>11619</v>
      </c>
      <c r="K648" t="str">
        <f>IF(LEN(E648)&lt;&gt;0,_xlfn.XLOOKUP(E648,[1]!Entities[ID_with_x],[1]!Entities[Name_w_County],_xlfn.CONCAT("Entity ID ",RIGHT(Table3[[#This Row],[Sponsor_1_num]],8)," not found")),"")</f>
        <v>Hondo</v>
      </c>
      <c r="L648" t="str">
        <f>IF(LEN(F648)&lt;&gt;0,_xlfn.XLOOKUP(F648,[1]!Entities[ID_with_x],[1]!Entities[Name_w_County],_xlfn.CONCAT("Entity ID ",RIGHT(Table3[[#This Row],[Sponsor_1_num]],8)," not found")),"")</f>
        <v/>
      </c>
      <c r="M648" t="str">
        <f>IF(LEN(G648)&lt;&gt;0,_xlfn.XLOOKUP(G648,[1]!Entities[ID_with_x],[1]!Entities[Name_w_County],_xlfn.CONCAT("Entity ID ",RIGHT(Table3[[#This Row],[Sponsor_1_num]],8)," not found")),"")</f>
        <v/>
      </c>
      <c r="N648" t="str">
        <f>IF(LEN(H648)&lt;&gt;0,_xlfn.XLOOKUP(H648,[1]!Entities[ID_with_x],[1]!Entities[Name_w_County],_xlfn.CONCAT("Entity ID ",RIGHT(Table3[[#This Row],[Sponsor_1_num]],8)," not found")),"")</f>
        <v/>
      </c>
      <c r="O648" t="str">
        <f>IF(LEN(I648)&lt;&gt;0,_xlfn.XLOOKUP(I648,[1]!Entities[ID_with_x],[1]!Entities[Name_w_County],_xlfn.CONCAT("Entity ID ",RIGHT(Table3[[#This Row],[Sponsor_1_num]],8)," not found")),"")</f>
        <v/>
      </c>
      <c r="P648" t="str">
        <f>IF(LEN(J648)&lt;&gt;0,_xlfn.XLOOKUP(J648,[1]!Entities[ID_with_x],[1]!Entities[Name_w_County],_xlfn.CONCAT("Entity ID ",RIGHT(Table3[[#This Row],[Sponsor_1_num]],8)," not found")),"")</f>
        <v/>
      </c>
      <c r="Q648" t="str">
        <f>IF(LEN(K648)&gt;0,_xlfn.TEXTJOIN(", ",TRUE,K648:P648),Table3[[#This Row],[SPONSOR_LIST]])</f>
        <v>Hondo</v>
      </c>
    </row>
    <row r="649" spans="1:17" x14ac:dyDescent="0.25">
      <c r="A649" s="304" t="s">
        <v>3586</v>
      </c>
      <c r="B649" t="s">
        <v>3579</v>
      </c>
      <c r="C649" t="str">
        <f t="shared" si="11"/>
        <v>x13002953</v>
      </c>
      <c r="D649" t="str">
        <f>SUBSTITUTE(SUBSTITUTE(Table3[[#This Row],[Sponsor_list_tranform]],",",",x")," ","")</f>
        <v>x13002953</v>
      </c>
      <c r="E649" t="s">
        <v>11619</v>
      </c>
      <c r="K649" t="str">
        <f>IF(LEN(E649)&lt;&gt;0,_xlfn.XLOOKUP(E649,[1]!Entities[ID_with_x],[1]!Entities[Name_w_County],_xlfn.CONCAT("Entity ID ",RIGHT(Table3[[#This Row],[Sponsor_1_num]],8)," not found")),"")</f>
        <v>Hondo</v>
      </c>
      <c r="L649" t="str">
        <f>IF(LEN(F649)&lt;&gt;0,_xlfn.XLOOKUP(F649,[1]!Entities[ID_with_x],[1]!Entities[Name_w_County],_xlfn.CONCAT("Entity ID ",RIGHT(Table3[[#This Row],[Sponsor_1_num]],8)," not found")),"")</f>
        <v/>
      </c>
      <c r="M649" t="str">
        <f>IF(LEN(G649)&lt;&gt;0,_xlfn.XLOOKUP(G649,[1]!Entities[ID_with_x],[1]!Entities[Name_w_County],_xlfn.CONCAT("Entity ID ",RIGHT(Table3[[#This Row],[Sponsor_1_num]],8)," not found")),"")</f>
        <v/>
      </c>
      <c r="N649" t="str">
        <f>IF(LEN(H649)&lt;&gt;0,_xlfn.XLOOKUP(H649,[1]!Entities[ID_with_x],[1]!Entities[Name_w_County],_xlfn.CONCAT("Entity ID ",RIGHT(Table3[[#This Row],[Sponsor_1_num]],8)," not found")),"")</f>
        <v/>
      </c>
      <c r="O649" t="str">
        <f>IF(LEN(I649)&lt;&gt;0,_xlfn.XLOOKUP(I649,[1]!Entities[ID_with_x],[1]!Entities[Name_w_County],_xlfn.CONCAT("Entity ID ",RIGHT(Table3[[#This Row],[Sponsor_1_num]],8)," not found")),"")</f>
        <v/>
      </c>
      <c r="P649" t="str">
        <f>IF(LEN(J649)&lt;&gt;0,_xlfn.XLOOKUP(J649,[1]!Entities[ID_with_x],[1]!Entities[Name_w_County],_xlfn.CONCAT("Entity ID ",RIGHT(Table3[[#This Row],[Sponsor_1_num]],8)," not found")),"")</f>
        <v/>
      </c>
      <c r="Q649" t="str">
        <f>IF(LEN(K649)&gt;0,_xlfn.TEXTJOIN(", ",TRUE,K649:P649),Table3[[#This Row],[SPONSOR_LIST]])</f>
        <v>Hondo</v>
      </c>
    </row>
    <row r="650" spans="1:17" x14ac:dyDescent="0.25">
      <c r="A650" s="304" t="s">
        <v>3589</v>
      </c>
      <c r="B650" t="s">
        <v>3579</v>
      </c>
      <c r="C650" t="str">
        <f t="shared" si="11"/>
        <v>x13002953</v>
      </c>
      <c r="D650" t="str">
        <f>SUBSTITUTE(SUBSTITUTE(Table3[[#This Row],[Sponsor_list_tranform]],",",",x")," ","")</f>
        <v>x13002953</v>
      </c>
      <c r="E650" t="s">
        <v>11619</v>
      </c>
      <c r="K650" t="str">
        <f>IF(LEN(E650)&lt;&gt;0,_xlfn.XLOOKUP(E650,[1]!Entities[ID_with_x],[1]!Entities[Name_w_County],_xlfn.CONCAT("Entity ID ",RIGHT(Table3[[#This Row],[Sponsor_1_num]],8)," not found")),"")</f>
        <v>Hondo</v>
      </c>
      <c r="L650" t="str">
        <f>IF(LEN(F650)&lt;&gt;0,_xlfn.XLOOKUP(F650,[1]!Entities[ID_with_x],[1]!Entities[Name_w_County],_xlfn.CONCAT("Entity ID ",RIGHT(Table3[[#This Row],[Sponsor_1_num]],8)," not found")),"")</f>
        <v/>
      </c>
      <c r="M650" t="str">
        <f>IF(LEN(G650)&lt;&gt;0,_xlfn.XLOOKUP(G650,[1]!Entities[ID_with_x],[1]!Entities[Name_w_County],_xlfn.CONCAT("Entity ID ",RIGHT(Table3[[#This Row],[Sponsor_1_num]],8)," not found")),"")</f>
        <v/>
      </c>
      <c r="N650" t="str">
        <f>IF(LEN(H650)&lt;&gt;0,_xlfn.XLOOKUP(H650,[1]!Entities[ID_with_x],[1]!Entities[Name_w_County],_xlfn.CONCAT("Entity ID ",RIGHT(Table3[[#This Row],[Sponsor_1_num]],8)," not found")),"")</f>
        <v/>
      </c>
      <c r="O650" t="str">
        <f>IF(LEN(I650)&lt;&gt;0,_xlfn.XLOOKUP(I650,[1]!Entities[ID_with_x],[1]!Entities[Name_w_County],_xlfn.CONCAT("Entity ID ",RIGHT(Table3[[#This Row],[Sponsor_1_num]],8)," not found")),"")</f>
        <v/>
      </c>
      <c r="P650" t="str">
        <f>IF(LEN(J650)&lt;&gt;0,_xlfn.XLOOKUP(J650,[1]!Entities[ID_with_x],[1]!Entities[Name_w_County],_xlfn.CONCAT("Entity ID ",RIGHT(Table3[[#This Row],[Sponsor_1_num]],8)," not found")),"")</f>
        <v/>
      </c>
      <c r="Q650" t="str">
        <f>IF(LEN(K650)&gt;0,_xlfn.TEXTJOIN(", ",TRUE,K650:P650),Table3[[#This Row],[SPONSOR_LIST]])</f>
        <v>Hondo</v>
      </c>
    </row>
    <row r="651" spans="1:17" x14ac:dyDescent="0.25">
      <c r="A651" s="304" t="s">
        <v>3592</v>
      </c>
      <c r="B651" t="s">
        <v>3599</v>
      </c>
      <c r="C651" t="str">
        <f t="shared" si="11"/>
        <v>x00000096</v>
      </c>
      <c r="D651" t="str">
        <f>SUBSTITUTE(SUBSTITUTE(Table3[[#This Row],[Sponsor_list_tranform]],",",",x")," ","")</f>
        <v>x00000096</v>
      </c>
      <c r="E651" t="s">
        <v>11609</v>
      </c>
      <c r="K651" t="str">
        <f>IF(LEN(E651)&lt;&gt;0,_xlfn.XLOOKUP(E651,[1]!Entities[ID_with_x],[1]!Entities[Name_w_County],_xlfn.CONCAT("Entity ID ",RIGHT(Table3[[#This Row],[Sponsor_1_num]],8)," not found")),"")</f>
        <v>Atascosa County</v>
      </c>
      <c r="L651" t="str">
        <f>IF(LEN(F651)&lt;&gt;0,_xlfn.XLOOKUP(F651,[1]!Entities[ID_with_x],[1]!Entities[Name_w_County],_xlfn.CONCAT("Entity ID ",RIGHT(Table3[[#This Row],[Sponsor_1_num]],8)," not found")),"")</f>
        <v/>
      </c>
      <c r="M651" t="str">
        <f>IF(LEN(G651)&lt;&gt;0,_xlfn.XLOOKUP(G651,[1]!Entities[ID_with_x],[1]!Entities[Name_w_County],_xlfn.CONCAT("Entity ID ",RIGHT(Table3[[#This Row],[Sponsor_1_num]],8)," not found")),"")</f>
        <v/>
      </c>
      <c r="N651" t="str">
        <f>IF(LEN(H651)&lt;&gt;0,_xlfn.XLOOKUP(H651,[1]!Entities[ID_with_x],[1]!Entities[Name_w_County],_xlfn.CONCAT("Entity ID ",RIGHT(Table3[[#This Row],[Sponsor_1_num]],8)," not found")),"")</f>
        <v/>
      </c>
      <c r="O651" t="str">
        <f>IF(LEN(I651)&lt;&gt;0,_xlfn.XLOOKUP(I651,[1]!Entities[ID_with_x],[1]!Entities[Name_w_County],_xlfn.CONCAT("Entity ID ",RIGHT(Table3[[#This Row],[Sponsor_1_num]],8)," not found")),"")</f>
        <v/>
      </c>
      <c r="P651" t="str">
        <f>IF(LEN(J651)&lt;&gt;0,_xlfn.XLOOKUP(J651,[1]!Entities[ID_with_x],[1]!Entities[Name_w_County],_xlfn.CONCAT("Entity ID ",RIGHT(Table3[[#This Row],[Sponsor_1_num]],8)," not found")),"")</f>
        <v/>
      </c>
      <c r="Q651" t="str">
        <f>IF(LEN(K651)&gt;0,_xlfn.TEXTJOIN(", ",TRUE,K651:P651),Table3[[#This Row],[SPONSOR_LIST]])</f>
        <v>Atascosa County</v>
      </c>
    </row>
    <row r="652" spans="1:17" x14ac:dyDescent="0.25">
      <c r="A652" s="304" t="s">
        <v>3602</v>
      </c>
      <c r="B652" t="s">
        <v>3599</v>
      </c>
      <c r="C652" t="str">
        <f t="shared" si="11"/>
        <v>x00000096</v>
      </c>
      <c r="D652" t="str">
        <f>SUBSTITUTE(SUBSTITUTE(Table3[[#This Row],[Sponsor_list_tranform]],",",",x")," ","")</f>
        <v>x00000096</v>
      </c>
      <c r="E652" t="s">
        <v>11609</v>
      </c>
      <c r="K652" t="str">
        <f>IF(LEN(E652)&lt;&gt;0,_xlfn.XLOOKUP(E652,[1]!Entities[ID_with_x],[1]!Entities[Name_w_County],_xlfn.CONCAT("Entity ID ",RIGHT(Table3[[#This Row],[Sponsor_1_num]],8)," not found")),"")</f>
        <v>Atascosa County</v>
      </c>
      <c r="L652" t="str">
        <f>IF(LEN(F652)&lt;&gt;0,_xlfn.XLOOKUP(F652,[1]!Entities[ID_with_x],[1]!Entities[Name_w_County],_xlfn.CONCAT("Entity ID ",RIGHT(Table3[[#This Row],[Sponsor_1_num]],8)," not found")),"")</f>
        <v/>
      </c>
      <c r="M652" t="str">
        <f>IF(LEN(G652)&lt;&gt;0,_xlfn.XLOOKUP(G652,[1]!Entities[ID_with_x],[1]!Entities[Name_w_County],_xlfn.CONCAT("Entity ID ",RIGHT(Table3[[#This Row],[Sponsor_1_num]],8)," not found")),"")</f>
        <v/>
      </c>
      <c r="N652" t="str">
        <f>IF(LEN(H652)&lt;&gt;0,_xlfn.XLOOKUP(H652,[1]!Entities[ID_with_x],[1]!Entities[Name_w_County],_xlfn.CONCAT("Entity ID ",RIGHT(Table3[[#This Row],[Sponsor_1_num]],8)," not found")),"")</f>
        <v/>
      </c>
      <c r="O652" t="str">
        <f>IF(LEN(I652)&lt;&gt;0,_xlfn.XLOOKUP(I652,[1]!Entities[ID_with_x],[1]!Entities[Name_w_County],_xlfn.CONCAT("Entity ID ",RIGHT(Table3[[#This Row],[Sponsor_1_num]],8)," not found")),"")</f>
        <v/>
      </c>
      <c r="P652" t="str">
        <f>IF(LEN(J652)&lt;&gt;0,_xlfn.XLOOKUP(J652,[1]!Entities[ID_with_x],[1]!Entities[Name_w_County],_xlfn.CONCAT("Entity ID ",RIGHT(Table3[[#This Row],[Sponsor_1_num]],8)," not found")),"")</f>
        <v/>
      </c>
      <c r="Q652" t="str">
        <f>IF(LEN(K652)&gt;0,_xlfn.TEXTJOIN(", ",TRUE,K652:P652),Table3[[#This Row],[SPONSOR_LIST]])</f>
        <v>Atascosa County</v>
      </c>
    </row>
    <row r="653" spans="1:17" x14ac:dyDescent="0.25">
      <c r="A653" s="304" t="s">
        <v>3606</v>
      </c>
      <c r="B653" t="s">
        <v>3599</v>
      </c>
      <c r="C653" t="str">
        <f t="shared" si="11"/>
        <v>x00000096</v>
      </c>
      <c r="D653" t="str">
        <f>SUBSTITUTE(SUBSTITUTE(Table3[[#This Row],[Sponsor_list_tranform]],",",",x")," ","")</f>
        <v>x00000096</v>
      </c>
      <c r="E653" t="s">
        <v>11609</v>
      </c>
      <c r="K653" t="str">
        <f>IF(LEN(E653)&lt;&gt;0,_xlfn.XLOOKUP(E653,[1]!Entities[ID_with_x],[1]!Entities[Name_w_County],_xlfn.CONCAT("Entity ID ",RIGHT(Table3[[#This Row],[Sponsor_1_num]],8)," not found")),"")</f>
        <v>Atascosa County</v>
      </c>
      <c r="L653" t="str">
        <f>IF(LEN(F653)&lt;&gt;0,_xlfn.XLOOKUP(F653,[1]!Entities[ID_with_x],[1]!Entities[Name_w_County],_xlfn.CONCAT("Entity ID ",RIGHT(Table3[[#This Row],[Sponsor_1_num]],8)," not found")),"")</f>
        <v/>
      </c>
      <c r="M653" t="str">
        <f>IF(LEN(G653)&lt;&gt;0,_xlfn.XLOOKUP(G653,[1]!Entities[ID_with_x],[1]!Entities[Name_w_County],_xlfn.CONCAT("Entity ID ",RIGHT(Table3[[#This Row],[Sponsor_1_num]],8)," not found")),"")</f>
        <v/>
      </c>
      <c r="N653" t="str">
        <f>IF(LEN(H653)&lt;&gt;0,_xlfn.XLOOKUP(H653,[1]!Entities[ID_with_x],[1]!Entities[Name_w_County],_xlfn.CONCAT("Entity ID ",RIGHT(Table3[[#This Row],[Sponsor_1_num]],8)," not found")),"")</f>
        <v/>
      </c>
      <c r="O653" t="str">
        <f>IF(LEN(I653)&lt;&gt;0,_xlfn.XLOOKUP(I653,[1]!Entities[ID_with_x],[1]!Entities[Name_w_County],_xlfn.CONCAT("Entity ID ",RIGHT(Table3[[#This Row],[Sponsor_1_num]],8)," not found")),"")</f>
        <v/>
      </c>
      <c r="P653" t="str">
        <f>IF(LEN(J653)&lt;&gt;0,_xlfn.XLOOKUP(J653,[1]!Entities[ID_with_x],[1]!Entities[Name_w_County],_xlfn.CONCAT("Entity ID ",RIGHT(Table3[[#This Row],[Sponsor_1_num]],8)," not found")),"")</f>
        <v/>
      </c>
      <c r="Q653" t="str">
        <f>IF(LEN(K653)&gt;0,_xlfn.TEXTJOIN(", ",TRUE,K653:P653),Table3[[#This Row],[SPONSOR_LIST]])</f>
        <v>Atascosa County</v>
      </c>
    </row>
    <row r="654" spans="1:17" x14ac:dyDescent="0.25">
      <c r="A654" s="304" t="s">
        <v>3609</v>
      </c>
      <c r="B654" t="s">
        <v>3617</v>
      </c>
      <c r="C654" t="str">
        <f t="shared" si="11"/>
        <v>x13003214</v>
      </c>
      <c r="D654" t="str">
        <f>SUBSTITUTE(SUBSTITUTE(Table3[[#This Row],[Sponsor_list_tranform]],",",",x")," ","")</f>
        <v>x13003214</v>
      </c>
      <c r="E654" t="s">
        <v>11762</v>
      </c>
      <c r="K654" t="str">
        <f>IF(LEN(E654)&lt;&gt;0,_xlfn.XLOOKUP(E654,[1]!Entities[ID_with_x],[1]!Entities[Name_w_County],_xlfn.CONCAT("Entity ID ",RIGHT(Table3[[#This Row],[Sponsor_1_num]],8)," not found")),"")</f>
        <v>Charlotte</v>
      </c>
      <c r="L654" t="str">
        <f>IF(LEN(F654)&lt;&gt;0,_xlfn.XLOOKUP(F654,[1]!Entities[ID_with_x],[1]!Entities[Name_w_County],_xlfn.CONCAT("Entity ID ",RIGHT(Table3[[#This Row],[Sponsor_1_num]],8)," not found")),"")</f>
        <v/>
      </c>
      <c r="M654" t="str">
        <f>IF(LEN(G654)&lt;&gt;0,_xlfn.XLOOKUP(G654,[1]!Entities[ID_with_x],[1]!Entities[Name_w_County],_xlfn.CONCAT("Entity ID ",RIGHT(Table3[[#This Row],[Sponsor_1_num]],8)," not found")),"")</f>
        <v/>
      </c>
      <c r="N654" t="str">
        <f>IF(LEN(H654)&lt;&gt;0,_xlfn.XLOOKUP(H654,[1]!Entities[ID_with_x],[1]!Entities[Name_w_County],_xlfn.CONCAT("Entity ID ",RIGHT(Table3[[#This Row],[Sponsor_1_num]],8)," not found")),"")</f>
        <v/>
      </c>
      <c r="O654" t="str">
        <f>IF(LEN(I654)&lt;&gt;0,_xlfn.XLOOKUP(I654,[1]!Entities[ID_with_x],[1]!Entities[Name_w_County],_xlfn.CONCAT("Entity ID ",RIGHT(Table3[[#This Row],[Sponsor_1_num]],8)," not found")),"")</f>
        <v/>
      </c>
      <c r="P654" t="str">
        <f>IF(LEN(J654)&lt;&gt;0,_xlfn.XLOOKUP(J654,[1]!Entities[ID_with_x],[1]!Entities[Name_w_County],_xlfn.CONCAT("Entity ID ",RIGHT(Table3[[#This Row],[Sponsor_1_num]],8)," not found")),"")</f>
        <v/>
      </c>
      <c r="Q654" t="str">
        <f>IF(LEN(K654)&gt;0,_xlfn.TEXTJOIN(", ",TRUE,K654:P654),Table3[[#This Row],[SPONSOR_LIST]])</f>
        <v>Charlotte</v>
      </c>
    </row>
    <row r="655" spans="1:17" x14ac:dyDescent="0.25">
      <c r="A655" s="304" t="s">
        <v>3619</v>
      </c>
      <c r="B655" t="s">
        <v>3626</v>
      </c>
      <c r="C655" t="str">
        <f t="shared" si="11"/>
        <v>x13003116</v>
      </c>
      <c r="D655" t="str">
        <f>SUBSTITUTE(SUBSTITUTE(Table3[[#This Row],[Sponsor_list_tranform]],",",",x")," ","")</f>
        <v>x13003116</v>
      </c>
      <c r="E655" t="s">
        <v>11763</v>
      </c>
      <c r="K655" t="str">
        <f>IF(LEN(E655)&lt;&gt;0,_xlfn.XLOOKUP(E655,[1]!Entities[ID_with_x],[1]!Entities[Name_w_County],_xlfn.CONCAT("Entity ID ",RIGHT(Table3[[#This Row],[Sponsor_1_num]],8)," not found")),"")</f>
        <v>Jourdanton</v>
      </c>
      <c r="L655" t="str">
        <f>IF(LEN(F655)&lt;&gt;0,_xlfn.XLOOKUP(F655,[1]!Entities[ID_with_x],[1]!Entities[Name_w_County],_xlfn.CONCAT("Entity ID ",RIGHT(Table3[[#This Row],[Sponsor_1_num]],8)," not found")),"")</f>
        <v/>
      </c>
      <c r="M655" t="str">
        <f>IF(LEN(G655)&lt;&gt;0,_xlfn.XLOOKUP(G655,[1]!Entities[ID_with_x],[1]!Entities[Name_w_County],_xlfn.CONCAT("Entity ID ",RIGHT(Table3[[#This Row],[Sponsor_1_num]],8)," not found")),"")</f>
        <v/>
      </c>
      <c r="N655" t="str">
        <f>IF(LEN(H655)&lt;&gt;0,_xlfn.XLOOKUP(H655,[1]!Entities[ID_with_x],[1]!Entities[Name_w_County],_xlfn.CONCAT("Entity ID ",RIGHT(Table3[[#This Row],[Sponsor_1_num]],8)," not found")),"")</f>
        <v/>
      </c>
      <c r="O655" t="str">
        <f>IF(LEN(I655)&lt;&gt;0,_xlfn.XLOOKUP(I655,[1]!Entities[ID_with_x],[1]!Entities[Name_w_County],_xlfn.CONCAT("Entity ID ",RIGHT(Table3[[#This Row],[Sponsor_1_num]],8)," not found")),"")</f>
        <v/>
      </c>
      <c r="P655" t="str">
        <f>IF(LEN(J655)&lt;&gt;0,_xlfn.XLOOKUP(J655,[1]!Entities[ID_with_x],[1]!Entities[Name_w_County],_xlfn.CONCAT("Entity ID ",RIGHT(Table3[[#This Row],[Sponsor_1_num]],8)," not found")),"")</f>
        <v/>
      </c>
      <c r="Q655" t="str">
        <f>IF(LEN(K655)&gt;0,_xlfn.TEXTJOIN(", ",TRUE,K655:P655),Table3[[#This Row],[SPONSOR_LIST]])</f>
        <v>Jourdanton</v>
      </c>
    </row>
    <row r="656" spans="1:17" x14ac:dyDescent="0.25">
      <c r="A656" s="304" t="s">
        <v>3628</v>
      </c>
      <c r="B656" t="s">
        <v>3626</v>
      </c>
      <c r="C656" t="str">
        <f t="shared" si="11"/>
        <v>x13003116</v>
      </c>
      <c r="D656" t="str">
        <f>SUBSTITUTE(SUBSTITUTE(Table3[[#This Row],[Sponsor_list_tranform]],",",",x")," ","")</f>
        <v>x13003116</v>
      </c>
      <c r="E656" t="s">
        <v>11763</v>
      </c>
      <c r="K656" t="str">
        <f>IF(LEN(E656)&lt;&gt;0,_xlfn.XLOOKUP(E656,[1]!Entities[ID_with_x],[1]!Entities[Name_w_County],_xlfn.CONCAT("Entity ID ",RIGHT(Table3[[#This Row],[Sponsor_1_num]],8)," not found")),"")</f>
        <v>Jourdanton</v>
      </c>
      <c r="L656" t="str">
        <f>IF(LEN(F656)&lt;&gt;0,_xlfn.XLOOKUP(F656,[1]!Entities[ID_with_x],[1]!Entities[Name_w_County],_xlfn.CONCAT("Entity ID ",RIGHT(Table3[[#This Row],[Sponsor_1_num]],8)," not found")),"")</f>
        <v/>
      </c>
      <c r="M656" t="str">
        <f>IF(LEN(G656)&lt;&gt;0,_xlfn.XLOOKUP(G656,[1]!Entities[ID_with_x],[1]!Entities[Name_w_County],_xlfn.CONCAT("Entity ID ",RIGHT(Table3[[#This Row],[Sponsor_1_num]],8)," not found")),"")</f>
        <v/>
      </c>
      <c r="N656" t="str">
        <f>IF(LEN(H656)&lt;&gt;0,_xlfn.XLOOKUP(H656,[1]!Entities[ID_with_x],[1]!Entities[Name_w_County],_xlfn.CONCAT("Entity ID ",RIGHT(Table3[[#This Row],[Sponsor_1_num]],8)," not found")),"")</f>
        <v/>
      </c>
      <c r="O656" t="str">
        <f>IF(LEN(I656)&lt;&gt;0,_xlfn.XLOOKUP(I656,[1]!Entities[ID_with_x],[1]!Entities[Name_w_County],_xlfn.CONCAT("Entity ID ",RIGHT(Table3[[#This Row],[Sponsor_1_num]],8)," not found")),"")</f>
        <v/>
      </c>
      <c r="P656" t="str">
        <f>IF(LEN(J656)&lt;&gt;0,_xlfn.XLOOKUP(J656,[1]!Entities[ID_with_x],[1]!Entities[Name_w_County],_xlfn.CONCAT("Entity ID ",RIGHT(Table3[[#This Row],[Sponsor_1_num]],8)," not found")),"")</f>
        <v/>
      </c>
      <c r="Q656" t="str">
        <f>IF(LEN(K656)&gt;0,_xlfn.TEXTJOIN(", ",TRUE,K656:P656),Table3[[#This Row],[SPONSOR_LIST]])</f>
        <v>Jourdanton</v>
      </c>
    </row>
    <row r="657" spans="1:17" x14ac:dyDescent="0.25">
      <c r="A657" s="304" t="s">
        <v>3632</v>
      </c>
      <c r="B657" t="s">
        <v>3626</v>
      </c>
      <c r="C657" t="str">
        <f t="shared" si="11"/>
        <v>x13003116</v>
      </c>
      <c r="D657" t="str">
        <f>SUBSTITUTE(SUBSTITUTE(Table3[[#This Row],[Sponsor_list_tranform]],",",",x")," ","")</f>
        <v>x13003116</v>
      </c>
      <c r="E657" t="s">
        <v>11763</v>
      </c>
      <c r="K657" t="str">
        <f>IF(LEN(E657)&lt;&gt;0,_xlfn.XLOOKUP(E657,[1]!Entities[ID_with_x],[1]!Entities[Name_w_County],_xlfn.CONCAT("Entity ID ",RIGHT(Table3[[#This Row],[Sponsor_1_num]],8)," not found")),"")</f>
        <v>Jourdanton</v>
      </c>
      <c r="L657" t="str">
        <f>IF(LEN(F657)&lt;&gt;0,_xlfn.XLOOKUP(F657,[1]!Entities[ID_with_x],[1]!Entities[Name_w_County],_xlfn.CONCAT("Entity ID ",RIGHT(Table3[[#This Row],[Sponsor_1_num]],8)," not found")),"")</f>
        <v/>
      </c>
      <c r="M657" t="str">
        <f>IF(LEN(G657)&lt;&gt;0,_xlfn.XLOOKUP(G657,[1]!Entities[ID_with_x],[1]!Entities[Name_w_County],_xlfn.CONCAT("Entity ID ",RIGHT(Table3[[#This Row],[Sponsor_1_num]],8)," not found")),"")</f>
        <v/>
      </c>
      <c r="N657" t="str">
        <f>IF(LEN(H657)&lt;&gt;0,_xlfn.XLOOKUP(H657,[1]!Entities[ID_with_x],[1]!Entities[Name_w_County],_xlfn.CONCAT("Entity ID ",RIGHT(Table3[[#This Row],[Sponsor_1_num]],8)," not found")),"")</f>
        <v/>
      </c>
      <c r="O657" t="str">
        <f>IF(LEN(I657)&lt;&gt;0,_xlfn.XLOOKUP(I657,[1]!Entities[ID_with_x],[1]!Entities[Name_w_County],_xlfn.CONCAT("Entity ID ",RIGHT(Table3[[#This Row],[Sponsor_1_num]],8)," not found")),"")</f>
        <v/>
      </c>
      <c r="P657" t="str">
        <f>IF(LEN(J657)&lt;&gt;0,_xlfn.XLOOKUP(J657,[1]!Entities[ID_with_x],[1]!Entities[Name_w_County],_xlfn.CONCAT("Entity ID ",RIGHT(Table3[[#This Row],[Sponsor_1_num]],8)," not found")),"")</f>
        <v/>
      </c>
      <c r="Q657" t="str">
        <f>IF(LEN(K657)&gt;0,_xlfn.TEXTJOIN(", ",TRUE,K657:P657),Table3[[#This Row],[SPONSOR_LIST]])</f>
        <v>Jourdanton</v>
      </c>
    </row>
    <row r="658" spans="1:17" x14ac:dyDescent="0.25">
      <c r="A658" s="304" t="s">
        <v>3636</v>
      </c>
      <c r="B658" t="s">
        <v>3642</v>
      </c>
      <c r="C658" t="str">
        <f t="shared" si="11"/>
        <v>x13003118</v>
      </c>
      <c r="D658" t="str">
        <f>SUBSTITUTE(SUBSTITUTE(Table3[[#This Row],[Sponsor_list_tranform]],",",",x")," ","")</f>
        <v>x13003118</v>
      </c>
      <c r="E658" t="s">
        <v>11610</v>
      </c>
      <c r="K658" t="str">
        <f>IF(LEN(E658)&lt;&gt;0,_xlfn.XLOOKUP(E658,[1]!Entities[ID_with_x],[1]!Entities[Name_w_County],_xlfn.CONCAT("Entity ID ",RIGHT(Table3[[#This Row],[Sponsor_1_num]],8)," not found")),"")</f>
        <v>Poteet</v>
      </c>
      <c r="L658" t="str">
        <f>IF(LEN(F658)&lt;&gt;0,_xlfn.XLOOKUP(F658,[1]!Entities[ID_with_x],[1]!Entities[Name_w_County],_xlfn.CONCAT("Entity ID ",RIGHT(Table3[[#This Row],[Sponsor_1_num]],8)," not found")),"")</f>
        <v/>
      </c>
      <c r="M658" t="str">
        <f>IF(LEN(G658)&lt;&gt;0,_xlfn.XLOOKUP(G658,[1]!Entities[ID_with_x],[1]!Entities[Name_w_County],_xlfn.CONCAT("Entity ID ",RIGHT(Table3[[#This Row],[Sponsor_1_num]],8)," not found")),"")</f>
        <v/>
      </c>
      <c r="N658" t="str">
        <f>IF(LEN(H658)&lt;&gt;0,_xlfn.XLOOKUP(H658,[1]!Entities[ID_with_x],[1]!Entities[Name_w_County],_xlfn.CONCAT("Entity ID ",RIGHT(Table3[[#This Row],[Sponsor_1_num]],8)," not found")),"")</f>
        <v/>
      </c>
      <c r="O658" t="str">
        <f>IF(LEN(I658)&lt;&gt;0,_xlfn.XLOOKUP(I658,[1]!Entities[ID_with_x],[1]!Entities[Name_w_County],_xlfn.CONCAT("Entity ID ",RIGHT(Table3[[#This Row],[Sponsor_1_num]],8)," not found")),"")</f>
        <v/>
      </c>
      <c r="P658" t="str">
        <f>IF(LEN(J658)&lt;&gt;0,_xlfn.XLOOKUP(J658,[1]!Entities[ID_with_x],[1]!Entities[Name_w_County],_xlfn.CONCAT("Entity ID ",RIGHT(Table3[[#This Row],[Sponsor_1_num]],8)," not found")),"")</f>
        <v/>
      </c>
      <c r="Q658" t="str">
        <f>IF(LEN(K658)&gt;0,_xlfn.TEXTJOIN(", ",TRUE,K658:P658),Table3[[#This Row],[SPONSOR_LIST]])</f>
        <v>Poteet</v>
      </c>
    </row>
    <row r="659" spans="1:17" x14ac:dyDescent="0.25">
      <c r="A659" s="304" t="s">
        <v>3644</v>
      </c>
      <c r="B659" t="s">
        <v>3652</v>
      </c>
      <c r="C659" t="str">
        <f t="shared" si="11"/>
        <v>x13003128</v>
      </c>
      <c r="D659" t="str">
        <f>SUBSTITUTE(SUBSTITUTE(Table3[[#This Row],[Sponsor_list_tranform]],",",",x")," ","")</f>
        <v>x13003128</v>
      </c>
      <c r="E659" t="s">
        <v>11599</v>
      </c>
      <c r="K659" t="str">
        <f>IF(LEN(E659)&lt;&gt;0,_xlfn.XLOOKUP(E659,[1]!Entities[ID_with_x],[1]!Entities[Name_w_County],_xlfn.CONCAT("Entity ID ",RIGHT(Table3[[#This Row],[Sponsor_1_num]],8)," not found")),"")</f>
        <v>Alice</v>
      </c>
      <c r="L659" t="str">
        <f>IF(LEN(F659)&lt;&gt;0,_xlfn.XLOOKUP(F659,[1]!Entities[ID_with_x],[1]!Entities[Name_w_County],_xlfn.CONCAT("Entity ID ",RIGHT(Table3[[#This Row],[Sponsor_1_num]],8)," not found")),"")</f>
        <v/>
      </c>
      <c r="M659" t="str">
        <f>IF(LEN(G659)&lt;&gt;0,_xlfn.XLOOKUP(G659,[1]!Entities[ID_with_x],[1]!Entities[Name_w_County],_xlfn.CONCAT("Entity ID ",RIGHT(Table3[[#This Row],[Sponsor_1_num]],8)," not found")),"")</f>
        <v/>
      </c>
      <c r="N659" t="str">
        <f>IF(LEN(H659)&lt;&gt;0,_xlfn.XLOOKUP(H659,[1]!Entities[ID_with_x],[1]!Entities[Name_w_County],_xlfn.CONCAT("Entity ID ",RIGHT(Table3[[#This Row],[Sponsor_1_num]],8)," not found")),"")</f>
        <v/>
      </c>
      <c r="O659" t="str">
        <f>IF(LEN(I659)&lt;&gt;0,_xlfn.XLOOKUP(I659,[1]!Entities[ID_with_x],[1]!Entities[Name_w_County],_xlfn.CONCAT("Entity ID ",RIGHT(Table3[[#This Row],[Sponsor_1_num]],8)," not found")),"")</f>
        <v/>
      </c>
      <c r="P659" t="str">
        <f>IF(LEN(J659)&lt;&gt;0,_xlfn.XLOOKUP(J659,[1]!Entities[ID_with_x],[1]!Entities[Name_w_County],_xlfn.CONCAT("Entity ID ",RIGHT(Table3[[#This Row],[Sponsor_1_num]],8)," not found")),"")</f>
        <v/>
      </c>
      <c r="Q659" t="str">
        <f>IF(LEN(K659)&gt;0,_xlfn.TEXTJOIN(", ",TRUE,K659:P659),Table3[[#This Row],[SPONSOR_LIST]])</f>
        <v>Alice</v>
      </c>
    </row>
    <row r="660" spans="1:17" x14ac:dyDescent="0.25">
      <c r="A660" s="304" t="s">
        <v>3654</v>
      </c>
      <c r="B660" t="s">
        <v>3652</v>
      </c>
      <c r="C660" t="str">
        <f t="shared" si="11"/>
        <v>x13003128</v>
      </c>
      <c r="D660" t="str">
        <f>SUBSTITUTE(SUBSTITUTE(Table3[[#This Row],[Sponsor_list_tranform]],",",",x")," ","")</f>
        <v>x13003128</v>
      </c>
      <c r="E660" t="s">
        <v>11599</v>
      </c>
      <c r="K660" t="str">
        <f>IF(LEN(E660)&lt;&gt;0,_xlfn.XLOOKUP(E660,[1]!Entities[ID_with_x],[1]!Entities[Name_w_County],_xlfn.CONCAT("Entity ID ",RIGHT(Table3[[#This Row],[Sponsor_1_num]],8)," not found")),"")</f>
        <v>Alice</v>
      </c>
      <c r="L660" t="str">
        <f>IF(LEN(F660)&lt;&gt;0,_xlfn.XLOOKUP(F660,[1]!Entities[ID_with_x],[1]!Entities[Name_w_County],_xlfn.CONCAT("Entity ID ",RIGHT(Table3[[#This Row],[Sponsor_1_num]],8)," not found")),"")</f>
        <v/>
      </c>
      <c r="M660" t="str">
        <f>IF(LEN(G660)&lt;&gt;0,_xlfn.XLOOKUP(G660,[1]!Entities[ID_with_x],[1]!Entities[Name_w_County],_xlfn.CONCAT("Entity ID ",RIGHT(Table3[[#This Row],[Sponsor_1_num]],8)," not found")),"")</f>
        <v/>
      </c>
      <c r="N660" t="str">
        <f>IF(LEN(H660)&lt;&gt;0,_xlfn.XLOOKUP(H660,[1]!Entities[ID_with_x],[1]!Entities[Name_w_County],_xlfn.CONCAT("Entity ID ",RIGHT(Table3[[#This Row],[Sponsor_1_num]],8)," not found")),"")</f>
        <v/>
      </c>
      <c r="O660" t="str">
        <f>IF(LEN(I660)&lt;&gt;0,_xlfn.XLOOKUP(I660,[1]!Entities[ID_with_x],[1]!Entities[Name_w_County],_xlfn.CONCAT("Entity ID ",RIGHT(Table3[[#This Row],[Sponsor_1_num]],8)," not found")),"")</f>
        <v/>
      </c>
      <c r="P660" t="str">
        <f>IF(LEN(J660)&lt;&gt;0,_xlfn.XLOOKUP(J660,[1]!Entities[ID_with_x],[1]!Entities[Name_w_County],_xlfn.CONCAT("Entity ID ",RIGHT(Table3[[#This Row],[Sponsor_1_num]],8)," not found")),"")</f>
        <v/>
      </c>
      <c r="Q660" t="str">
        <f>IF(LEN(K660)&gt;0,_xlfn.TEXTJOIN(", ",TRUE,K660:P660),Table3[[#This Row],[SPONSOR_LIST]])</f>
        <v>Alice</v>
      </c>
    </row>
    <row r="661" spans="1:17" x14ac:dyDescent="0.25">
      <c r="A661" s="304" t="s">
        <v>3657</v>
      </c>
      <c r="B661" t="s">
        <v>3663</v>
      </c>
      <c r="C661" t="str">
        <f t="shared" si="11"/>
        <v>x13000080</v>
      </c>
      <c r="D661" t="str">
        <f>SUBSTITUTE(SUBSTITUTE(Table3[[#This Row],[Sponsor_list_tranform]],",",",x")," ","")</f>
        <v>x13000080</v>
      </c>
      <c r="E661" t="s">
        <v>11628</v>
      </c>
      <c r="K661" t="str">
        <f>IF(LEN(E661)&lt;&gt;0,_xlfn.XLOOKUP(E661,[1]!Entities[ID_with_x],[1]!Entities[Name_w_County],_xlfn.CONCAT("Entity ID ",RIGHT(Table3[[#This Row],[Sponsor_1_num]],8)," not found")),"")</f>
        <v>Jim Wells County</v>
      </c>
      <c r="L661" t="str">
        <f>IF(LEN(F661)&lt;&gt;0,_xlfn.XLOOKUP(F661,[1]!Entities[ID_with_x],[1]!Entities[Name_w_County],_xlfn.CONCAT("Entity ID ",RIGHT(Table3[[#This Row],[Sponsor_1_num]],8)," not found")),"")</f>
        <v/>
      </c>
      <c r="M661" t="str">
        <f>IF(LEN(G661)&lt;&gt;0,_xlfn.XLOOKUP(G661,[1]!Entities[ID_with_x],[1]!Entities[Name_w_County],_xlfn.CONCAT("Entity ID ",RIGHT(Table3[[#This Row],[Sponsor_1_num]],8)," not found")),"")</f>
        <v/>
      </c>
      <c r="N661" t="str">
        <f>IF(LEN(H661)&lt;&gt;0,_xlfn.XLOOKUP(H661,[1]!Entities[ID_with_x],[1]!Entities[Name_w_County],_xlfn.CONCAT("Entity ID ",RIGHT(Table3[[#This Row],[Sponsor_1_num]],8)," not found")),"")</f>
        <v/>
      </c>
      <c r="O661" t="str">
        <f>IF(LEN(I661)&lt;&gt;0,_xlfn.XLOOKUP(I661,[1]!Entities[ID_with_x],[1]!Entities[Name_w_County],_xlfn.CONCAT("Entity ID ",RIGHT(Table3[[#This Row],[Sponsor_1_num]],8)," not found")),"")</f>
        <v/>
      </c>
      <c r="P661" t="str">
        <f>IF(LEN(J661)&lt;&gt;0,_xlfn.XLOOKUP(J661,[1]!Entities[ID_with_x],[1]!Entities[Name_w_County],_xlfn.CONCAT("Entity ID ",RIGHT(Table3[[#This Row],[Sponsor_1_num]],8)," not found")),"")</f>
        <v/>
      </c>
      <c r="Q661" t="str">
        <f>IF(LEN(K661)&gt;0,_xlfn.TEXTJOIN(", ",TRUE,K661:P661),Table3[[#This Row],[SPONSOR_LIST]])</f>
        <v>Jim Wells County</v>
      </c>
    </row>
    <row r="662" spans="1:17" x14ac:dyDescent="0.25">
      <c r="A662" s="304" t="s">
        <v>3665</v>
      </c>
      <c r="B662" t="s">
        <v>3663</v>
      </c>
      <c r="C662" t="str">
        <f t="shared" si="11"/>
        <v>x13000080</v>
      </c>
      <c r="D662" t="str">
        <f>SUBSTITUTE(SUBSTITUTE(Table3[[#This Row],[Sponsor_list_tranform]],",",",x")," ","")</f>
        <v>x13000080</v>
      </c>
      <c r="E662" t="s">
        <v>11628</v>
      </c>
      <c r="K662" t="str">
        <f>IF(LEN(E662)&lt;&gt;0,_xlfn.XLOOKUP(E662,[1]!Entities[ID_with_x],[1]!Entities[Name_w_County],_xlfn.CONCAT("Entity ID ",RIGHT(Table3[[#This Row],[Sponsor_1_num]],8)," not found")),"")</f>
        <v>Jim Wells County</v>
      </c>
      <c r="L662" t="str">
        <f>IF(LEN(F662)&lt;&gt;0,_xlfn.XLOOKUP(F662,[1]!Entities[ID_with_x],[1]!Entities[Name_w_County],_xlfn.CONCAT("Entity ID ",RIGHT(Table3[[#This Row],[Sponsor_1_num]],8)," not found")),"")</f>
        <v/>
      </c>
      <c r="M662" t="str">
        <f>IF(LEN(G662)&lt;&gt;0,_xlfn.XLOOKUP(G662,[1]!Entities[ID_with_x],[1]!Entities[Name_w_County],_xlfn.CONCAT("Entity ID ",RIGHT(Table3[[#This Row],[Sponsor_1_num]],8)," not found")),"")</f>
        <v/>
      </c>
      <c r="N662" t="str">
        <f>IF(LEN(H662)&lt;&gt;0,_xlfn.XLOOKUP(H662,[1]!Entities[ID_with_x],[1]!Entities[Name_w_County],_xlfn.CONCAT("Entity ID ",RIGHT(Table3[[#This Row],[Sponsor_1_num]],8)," not found")),"")</f>
        <v/>
      </c>
      <c r="O662" t="str">
        <f>IF(LEN(I662)&lt;&gt;0,_xlfn.XLOOKUP(I662,[1]!Entities[ID_with_x],[1]!Entities[Name_w_County],_xlfn.CONCAT("Entity ID ",RIGHT(Table3[[#This Row],[Sponsor_1_num]],8)," not found")),"")</f>
        <v/>
      </c>
      <c r="P662" t="str">
        <f>IF(LEN(J662)&lt;&gt;0,_xlfn.XLOOKUP(J662,[1]!Entities[ID_with_x],[1]!Entities[Name_w_County],_xlfn.CONCAT("Entity ID ",RIGHT(Table3[[#This Row],[Sponsor_1_num]],8)," not found")),"")</f>
        <v/>
      </c>
      <c r="Q662" t="str">
        <f>IF(LEN(K662)&gt;0,_xlfn.TEXTJOIN(", ",TRUE,K662:P662),Table3[[#This Row],[SPONSOR_LIST]])</f>
        <v>Jim Wells County</v>
      </c>
    </row>
    <row r="663" spans="1:17" x14ac:dyDescent="0.25">
      <c r="A663" s="304" t="s">
        <v>3668</v>
      </c>
      <c r="B663" t="s">
        <v>3676</v>
      </c>
      <c r="C663" t="str">
        <f t="shared" si="11"/>
        <v>x13002900</v>
      </c>
      <c r="D663" t="str">
        <f>SUBSTITUTE(SUBSTITUTE(Table3[[#This Row],[Sponsor_list_tranform]],",",",x")," ","")</f>
        <v>x13002900</v>
      </c>
      <c r="E663" t="s">
        <v>11629</v>
      </c>
      <c r="K663" t="str">
        <f>IF(LEN(E663)&lt;&gt;0,_xlfn.XLOOKUP(E663,[1]!Entities[ID_with_x],[1]!Entities[Name_w_County],_xlfn.CONCAT("Entity ID ",RIGHT(Table3[[#This Row],[Sponsor_1_num]],8)," not found")),"")</f>
        <v>Corpus Christi</v>
      </c>
      <c r="L663" t="str">
        <f>IF(LEN(F663)&lt;&gt;0,_xlfn.XLOOKUP(F663,[1]!Entities[ID_with_x],[1]!Entities[Name_w_County],_xlfn.CONCAT("Entity ID ",RIGHT(Table3[[#This Row],[Sponsor_1_num]],8)," not found")),"")</f>
        <v/>
      </c>
      <c r="M663" t="str">
        <f>IF(LEN(G663)&lt;&gt;0,_xlfn.XLOOKUP(G663,[1]!Entities[ID_with_x],[1]!Entities[Name_w_County],_xlfn.CONCAT("Entity ID ",RIGHT(Table3[[#This Row],[Sponsor_1_num]],8)," not found")),"")</f>
        <v/>
      </c>
      <c r="N663" t="str">
        <f>IF(LEN(H663)&lt;&gt;0,_xlfn.XLOOKUP(H663,[1]!Entities[ID_with_x],[1]!Entities[Name_w_County],_xlfn.CONCAT("Entity ID ",RIGHT(Table3[[#This Row],[Sponsor_1_num]],8)," not found")),"")</f>
        <v/>
      </c>
      <c r="O663" t="str">
        <f>IF(LEN(I663)&lt;&gt;0,_xlfn.XLOOKUP(I663,[1]!Entities[ID_with_x],[1]!Entities[Name_w_County],_xlfn.CONCAT("Entity ID ",RIGHT(Table3[[#This Row],[Sponsor_1_num]],8)," not found")),"")</f>
        <v/>
      </c>
      <c r="P663" t="str">
        <f>IF(LEN(J663)&lt;&gt;0,_xlfn.XLOOKUP(J663,[1]!Entities[ID_with_x],[1]!Entities[Name_w_County],_xlfn.CONCAT("Entity ID ",RIGHT(Table3[[#This Row],[Sponsor_1_num]],8)," not found")),"")</f>
        <v/>
      </c>
      <c r="Q663" t="str">
        <f>IF(LEN(K663)&gt;0,_xlfn.TEXTJOIN(", ",TRUE,K663:P663),Table3[[#This Row],[SPONSOR_LIST]])</f>
        <v>Corpus Christi</v>
      </c>
    </row>
    <row r="664" spans="1:17" x14ac:dyDescent="0.25">
      <c r="A664" s="304" t="s">
        <v>3679</v>
      </c>
      <c r="B664" t="s">
        <v>3688</v>
      </c>
      <c r="C664" t="str">
        <f t="shared" si="11"/>
        <v>x00000083</v>
      </c>
      <c r="D664" t="str">
        <f>SUBSTITUTE(SUBSTITUTE(Table3[[#This Row],[Sponsor_list_tranform]],",",",x")," ","")</f>
        <v>x00000083</v>
      </c>
      <c r="E664" t="s">
        <v>11600</v>
      </c>
      <c r="K664" t="str">
        <f>IF(LEN(E664)&lt;&gt;0,_xlfn.XLOOKUP(E664,[1]!Entities[ID_with_x],[1]!Entities[Name_w_County],_xlfn.CONCAT("Entity ID ",RIGHT(Table3[[#This Row],[Sponsor_1_num]],8)," not found")),"")</f>
        <v>Aransas County</v>
      </c>
      <c r="L664" t="str">
        <f>IF(LEN(F664)&lt;&gt;0,_xlfn.XLOOKUP(F664,[1]!Entities[ID_with_x],[1]!Entities[Name_w_County],_xlfn.CONCAT("Entity ID ",RIGHT(Table3[[#This Row],[Sponsor_1_num]],8)," not found")),"")</f>
        <v/>
      </c>
      <c r="M664" t="str">
        <f>IF(LEN(G664)&lt;&gt;0,_xlfn.XLOOKUP(G664,[1]!Entities[ID_with_x],[1]!Entities[Name_w_County],_xlfn.CONCAT("Entity ID ",RIGHT(Table3[[#This Row],[Sponsor_1_num]],8)," not found")),"")</f>
        <v/>
      </c>
      <c r="N664" t="str">
        <f>IF(LEN(H664)&lt;&gt;0,_xlfn.XLOOKUP(H664,[1]!Entities[ID_with_x],[1]!Entities[Name_w_County],_xlfn.CONCAT("Entity ID ",RIGHT(Table3[[#This Row],[Sponsor_1_num]],8)," not found")),"")</f>
        <v/>
      </c>
      <c r="O664" t="str">
        <f>IF(LEN(I664)&lt;&gt;0,_xlfn.XLOOKUP(I664,[1]!Entities[ID_with_x],[1]!Entities[Name_w_County],_xlfn.CONCAT("Entity ID ",RIGHT(Table3[[#This Row],[Sponsor_1_num]],8)," not found")),"")</f>
        <v/>
      </c>
      <c r="P664" t="str">
        <f>IF(LEN(J664)&lt;&gt;0,_xlfn.XLOOKUP(J664,[1]!Entities[ID_with_x],[1]!Entities[Name_w_County],_xlfn.CONCAT("Entity ID ",RIGHT(Table3[[#This Row],[Sponsor_1_num]],8)," not found")),"")</f>
        <v/>
      </c>
      <c r="Q664" t="str">
        <f>IF(LEN(K664)&gt;0,_xlfn.TEXTJOIN(", ",TRUE,K664:P664),Table3[[#This Row],[SPONSOR_LIST]])</f>
        <v>Aransas County</v>
      </c>
    </row>
    <row r="665" spans="1:17" x14ac:dyDescent="0.25">
      <c r="A665" s="304" t="s">
        <v>3690</v>
      </c>
      <c r="B665" t="s">
        <v>3688</v>
      </c>
      <c r="C665" t="str">
        <f t="shared" si="11"/>
        <v>x00000083</v>
      </c>
      <c r="D665" t="str">
        <f>SUBSTITUTE(SUBSTITUTE(Table3[[#This Row],[Sponsor_list_tranform]],",",",x")," ","")</f>
        <v>x00000083</v>
      </c>
      <c r="E665" t="s">
        <v>11600</v>
      </c>
      <c r="K665" t="str">
        <f>IF(LEN(E665)&lt;&gt;0,_xlfn.XLOOKUP(E665,[1]!Entities[ID_with_x],[1]!Entities[Name_w_County],_xlfn.CONCAT("Entity ID ",RIGHT(Table3[[#This Row],[Sponsor_1_num]],8)," not found")),"")</f>
        <v>Aransas County</v>
      </c>
      <c r="L665" t="str">
        <f>IF(LEN(F665)&lt;&gt;0,_xlfn.XLOOKUP(F665,[1]!Entities[ID_with_x],[1]!Entities[Name_w_County],_xlfn.CONCAT("Entity ID ",RIGHT(Table3[[#This Row],[Sponsor_1_num]],8)," not found")),"")</f>
        <v/>
      </c>
      <c r="M665" t="str">
        <f>IF(LEN(G665)&lt;&gt;0,_xlfn.XLOOKUP(G665,[1]!Entities[ID_with_x],[1]!Entities[Name_w_County],_xlfn.CONCAT("Entity ID ",RIGHT(Table3[[#This Row],[Sponsor_1_num]],8)," not found")),"")</f>
        <v/>
      </c>
      <c r="N665" t="str">
        <f>IF(LEN(H665)&lt;&gt;0,_xlfn.XLOOKUP(H665,[1]!Entities[ID_with_x],[1]!Entities[Name_w_County],_xlfn.CONCAT("Entity ID ",RIGHT(Table3[[#This Row],[Sponsor_1_num]],8)," not found")),"")</f>
        <v/>
      </c>
      <c r="O665" t="str">
        <f>IF(LEN(I665)&lt;&gt;0,_xlfn.XLOOKUP(I665,[1]!Entities[ID_with_x],[1]!Entities[Name_w_County],_xlfn.CONCAT("Entity ID ",RIGHT(Table3[[#This Row],[Sponsor_1_num]],8)," not found")),"")</f>
        <v/>
      </c>
      <c r="P665" t="str">
        <f>IF(LEN(J665)&lt;&gt;0,_xlfn.XLOOKUP(J665,[1]!Entities[ID_with_x],[1]!Entities[Name_w_County],_xlfn.CONCAT("Entity ID ",RIGHT(Table3[[#This Row],[Sponsor_1_num]],8)," not found")),"")</f>
        <v/>
      </c>
      <c r="Q665" t="str">
        <f>IF(LEN(K665)&gt;0,_xlfn.TEXTJOIN(", ",TRUE,K665:P665),Table3[[#This Row],[SPONSOR_LIST]])</f>
        <v>Aransas County</v>
      </c>
    </row>
    <row r="666" spans="1:17" x14ac:dyDescent="0.25">
      <c r="A666" s="304" t="s">
        <v>3695</v>
      </c>
      <c r="B666" t="s">
        <v>3688</v>
      </c>
      <c r="C666" t="str">
        <f t="shared" si="11"/>
        <v>x00000083</v>
      </c>
      <c r="D666" t="str">
        <f>SUBSTITUTE(SUBSTITUTE(Table3[[#This Row],[Sponsor_list_tranform]],",",",x")," ","")</f>
        <v>x00000083</v>
      </c>
      <c r="E666" t="s">
        <v>11600</v>
      </c>
      <c r="K666" t="str">
        <f>IF(LEN(E666)&lt;&gt;0,_xlfn.XLOOKUP(E666,[1]!Entities[ID_with_x],[1]!Entities[Name_w_County],_xlfn.CONCAT("Entity ID ",RIGHT(Table3[[#This Row],[Sponsor_1_num]],8)," not found")),"")</f>
        <v>Aransas County</v>
      </c>
      <c r="L666" t="str">
        <f>IF(LEN(F666)&lt;&gt;0,_xlfn.XLOOKUP(F666,[1]!Entities[ID_with_x],[1]!Entities[Name_w_County],_xlfn.CONCAT("Entity ID ",RIGHT(Table3[[#This Row],[Sponsor_1_num]],8)," not found")),"")</f>
        <v/>
      </c>
      <c r="M666" t="str">
        <f>IF(LEN(G666)&lt;&gt;0,_xlfn.XLOOKUP(G666,[1]!Entities[ID_with_x],[1]!Entities[Name_w_County],_xlfn.CONCAT("Entity ID ",RIGHT(Table3[[#This Row],[Sponsor_1_num]],8)," not found")),"")</f>
        <v/>
      </c>
      <c r="N666" t="str">
        <f>IF(LEN(H666)&lt;&gt;0,_xlfn.XLOOKUP(H666,[1]!Entities[ID_with_x],[1]!Entities[Name_w_County],_xlfn.CONCAT("Entity ID ",RIGHT(Table3[[#This Row],[Sponsor_1_num]],8)," not found")),"")</f>
        <v/>
      </c>
      <c r="O666" t="str">
        <f>IF(LEN(I666)&lt;&gt;0,_xlfn.XLOOKUP(I666,[1]!Entities[ID_with_x],[1]!Entities[Name_w_County],_xlfn.CONCAT("Entity ID ",RIGHT(Table3[[#This Row],[Sponsor_1_num]],8)," not found")),"")</f>
        <v/>
      </c>
      <c r="P666" t="str">
        <f>IF(LEN(J666)&lt;&gt;0,_xlfn.XLOOKUP(J666,[1]!Entities[ID_with_x],[1]!Entities[Name_w_County],_xlfn.CONCAT("Entity ID ",RIGHT(Table3[[#This Row],[Sponsor_1_num]],8)," not found")),"")</f>
        <v/>
      </c>
      <c r="Q666" t="str">
        <f>IF(LEN(K666)&gt;0,_xlfn.TEXTJOIN(", ",TRUE,K666:P666),Table3[[#This Row],[SPONSOR_LIST]])</f>
        <v>Aransas County</v>
      </c>
    </row>
    <row r="667" spans="1:17" x14ac:dyDescent="0.25">
      <c r="A667" s="304" t="s">
        <v>3698</v>
      </c>
      <c r="B667" t="s">
        <v>3704</v>
      </c>
      <c r="C667" t="str">
        <f t="shared" si="11"/>
        <v>x13000087,  13002711</v>
      </c>
      <c r="D667" t="str">
        <f>SUBSTITUTE(SUBSTITUTE(Table3[[#This Row],[Sponsor_list_tranform]],",",",x")," ","")</f>
        <v>x13000087,x13002711</v>
      </c>
      <c r="E667" t="s">
        <v>11630</v>
      </c>
      <c r="F667" t="s">
        <v>11631</v>
      </c>
      <c r="K667" t="str">
        <f>IF(LEN(E667)&lt;&gt;0,_xlfn.XLOOKUP(E667,[1]!Entities[ID_with_x],[1]!Entities[Name_w_County],_xlfn.CONCAT("Entity ID ",RIGHT(Table3[[#This Row],[Sponsor_1_num]],8)," not found")),"")</f>
        <v>Bee County</v>
      </c>
      <c r="L667" t="str">
        <f>IF(LEN(F667)&lt;&gt;0,_xlfn.XLOOKUP(F667,[1]!Entities[ID_with_x],[1]!Entities[Name_w_County],_xlfn.CONCAT("Entity ID ",RIGHT(Table3[[#This Row],[Sponsor_1_num]],8)," not found")),"")</f>
        <v>Beeville</v>
      </c>
      <c r="M667" t="str">
        <f>IF(LEN(G667)&lt;&gt;0,_xlfn.XLOOKUP(G667,[1]!Entities[ID_with_x],[1]!Entities[Name_w_County],_xlfn.CONCAT("Entity ID ",RIGHT(Table3[[#This Row],[Sponsor_1_num]],8)," not found")),"")</f>
        <v/>
      </c>
      <c r="N667" t="str">
        <f>IF(LEN(H667)&lt;&gt;0,_xlfn.XLOOKUP(H667,[1]!Entities[ID_with_x],[1]!Entities[Name_w_County],_xlfn.CONCAT("Entity ID ",RIGHT(Table3[[#This Row],[Sponsor_1_num]],8)," not found")),"")</f>
        <v/>
      </c>
      <c r="O667" t="str">
        <f>IF(LEN(I667)&lt;&gt;0,_xlfn.XLOOKUP(I667,[1]!Entities[ID_with_x],[1]!Entities[Name_w_County],_xlfn.CONCAT("Entity ID ",RIGHT(Table3[[#This Row],[Sponsor_1_num]],8)," not found")),"")</f>
        <v/>
      </c>
      <c r="P667" t="str">
        <f>IF(LEN(J667)&lt;&gt;0,_xlfn.XLOOKUP(J667,[1]!Entities[ID_with_x],[1]!Entities[Name_w_County],_xlfn.CONCAT("Entity ID ",RIGHT(Table3[[#This Row],[Sponsor_1_num]],8)," not found")),"")</f>
        <v/>
      </c>
      <c r="Q667" t="str">
        <f>IF(LEN(K667)&gt;0,_xlfn.TEXTJOIN(", ",TRUE,K667:P667),Table3[[#This Row],[SPONSOR_LIST]])</f>
        <v>Bee County, Beeville</v>
      </c>
    </row>
    <row r="668" spans="1:17" x14ac:dyDescent="0.25">
      <c r="A668" s="304" t="s">
        <v>3706</v>
      </c>
      <c r="B668" t="s">
        <v>3712</v>
      </c>
      <c r="C668" t="str">
        <f t="shared" si="11"/>
        <v>x13000081</v>
      </c>
      <c r="D668" t="str">
        <f>SUBSTITUTE(SUBSTITUTE(Table3[[#This Row],[Sponsor_list_tranform]],",",",x")," ","")</f>
        <v>x13000081</v>
      </c>
      <c r="E668" t="s">
        <v>11803</v>
      </c>
      <c r="K668" t="str">
        <f>IF(LEN(E668)&lt;&gt;0,_xlfn.XLOOKUP(E668,[1]!Entities[ID_with_x],[1]!Entities[Name_w_County],_xlfn.CONCAT("Entity ID ",RIGHT(Table3[[#This Row],[Sponsor_1_num]],8)," not found")),"")</f>
        <v>San Patricio County</v>
      </c>
      <c r="L668" t="str">
        <f>IF(LEN(F668)&lt;&gt;0,_xlfn.XLOOKUP(F668,[1]!Entities[ID_with_x],[1]!Entities[Name_w_County],_xlfn.CONCAT("Entity ID ",RIGHT(Table3[[#This Row],[Sponsor_1_num]],8)," not found")),"")</f>
        <v/>
      </c>
      <c r="M668" t="str">
        <f>IF(LEN(G668)&lt;&gt;0,_xlfn.XLOOKUP(G668,[1]!Entities[ID_with_x],[1]!Entities[Name_w_County],_xlfn.CONCAT("Entity ID ",RIGHT(Table3[[#This Row],[Sponsor_1_num]],8)," not found")),"")</f>
        <v/>
      </c>
      <c r="N668" t="str">
        <f>IF(LEN(H668)&lt;&gt;0,_xlfn.XLOOKUP(H668,[1]!Entities[ID_with_x],[1]!Entities[Name_w_County],_xlfn.CONCAT("Entity ID ",RIGHT(Table3[[#This Row],[Sponsor_1_num]],8)," not found")),"")</f>
        <v/>
      </c>
      <c r="O668" t="str">
        <f>IF(LEN(I668)&lt;&gt;0,_xlfn.XLOOKUP(I668,[1]!Entities[ID_with_x],[1]!Entities[Name_w_County],_xlfn.CONCAT("Entity ID ",RIGHT(Table3[[#This Row],[Sponsor_1_num]],8)," not found")),"")</f>
        <v/>
      </c>
      <c r="P668" t="str">
        <f>IF(LEN(J668)&lt;&gt;0,_xlfn.XLOOKUP(J668,[1]!Entities[ID_with_x],[1]!Entities[Name_w_County],_xlfn.CONCAT("Entity ID ",RIGHT(Table3[[#This Row],[Sponsor_1_num]],8)," not found")),"")</f>
        <v/>
      </c>
      <c r="Q668" t="str">
        <f>IF(LEN(K668)&gt;0,_xlfn.TEXTJOIN(", ",TRUE,K668:P668),Table3[[#This Row],[SPONSOR_LIST]])</f>
        <v>San Patricio County</v>
      </c>
    </row>
    <row r="669" spans="1:17" x14ac:dyDescent="0.25">
      <c r="A669" s="304" t="s">
        <v>3713</v>
      </c>
      <c r="B669" t="s">
        <v>3721</v>
      </c>
      <c r="C669" t="str">
        <f t="shared" si="11"/>
        <v>x13003248</v>
      </c>
      <c r="D669" t="str">
        <f>SUBSTITUTE(SUBSTITUTE(Table3[[#This Row],[Sponsor_list_tranform]],",",",x")," ","")</f>
        <v>x13003248</v>
      </c>
      <c r="E669" t="s">
        <v>11751</v>
      </c>
      <c r="K669" t="str">
        <f>IF(LEN(E669)&lt;&gt;0,_xlfn.XLOOKUP(E669,[1]!Entities[ID_with_x],[1]!Entities[Name_w_County],_xlfn.CONCAT("Entity ID ",RIGHT(Table3[[#This Row],[Sponsor_1_num]],8)," not found")),"")</f>
        <v>Ingleside on the Bay</v>
      </c>
      <c r="L669" t="str">
        <f>IF(LEN(F669)&lt;&gt;0,_xlfn.XLOOKUP(F669,[1]!Entities[ID_with_x],[1]!Entities[Name_w_County],_xlfn.CONCAT("Entity ID ",RIGHT(Table3[[#This Row],[Sponsor_1_num]],8)," not found")),"")</f>
        <v/>
      </c>
      <c r="M669" t="str">
        <f>IF(LEN(G669)&lt;&gt;0,_xlfn.XLOOKUP(G669,[1]!Entities[ID_with_x],[1]!Entities[Name_w_County],_xlfn.CONCAT("Entity ID ",RIGHT(Table3[[#This Row],[Sponsor_1_num]],8)," not found")),"")</f>
        <v/>
      </c>
      <c r="N669" t="str">
        <f>IF(LEN(H669)&lt;&gt;0,_xlfn.XLOOKUP(H669,[1]!Entities[ID_with_x],[1]!Entities[Name_w_County],_xlfn.CONCAT("Entity ID ",RIGHT(Table3[[#This Row],[Sponsor_1_num]],8)," not found")),"")</f>
        <v/>
      </c>
      <c r="O669" t="str">
        <f>IF(LEN(I669)&lt;&gt;0,_xlfn.XLOOKUP(I669,[1]!Entities[ID_with_x],[1]!Entities[Name_w_County],_xlfn.CONCAT("Entity ID ",RIGHT(Table3[[#This Row],[Sponsor_1_num]],8)," not found")),"")</f>
        <v/>
      </c>
      <c r="P669" t="str">
        <f>IF(LEN(J669)&lt;&gt;0,_xlfn.XLOOKUP(J669,[1]!Entities[ID_with_x],[1]!Entities[Name_w_County],_xlfn.CONCAT("Entity ID ",RIGHT(Table3[[#This Row],[Sponsor_1_num]],8)," not found")),"")</f>
        <v/>
      </c>
      <c r="Q669" t="str">
        <f>IF(LEN(K669)&gt;0,_xlfn.TEXTJOIN(", ",TRUE,K669:P669),Table3[[#This Row],[SPONSOR_LIST]])</f>
        <v>Ingleside on the Bay</v>
      </c>
    </row>
    <row r="670" spans="1:17" x14ac:dyDescent="0.25">
      <c r="A670" s="304" t="s">
        <v>3724</v>
      </c>
      <c r="B670" t="s">
        <v>3732</v>
      </c>
      <c r="C670" t="str">
        <f t="shared" si="11"/>
        <v>x13003412</v>
      </c>
      <c r="D670" t="str">
        <f>SUBSTITUTE(SUBSTITUTE(Table3[[#This Row],[Sponsor_list_tranform]],",",",x")," ","")</f>
        <v>x13003412</v>
      </c>
      <c r="E670" t="s">
        <v>11752</v>
      </c>
      <c r="K670" t="str">
        <f>IF(LEN(E670)&lt;&gt;0,_xlfn.XLOOKUP(E670,[1]!Entities[ID_with_x],[1]!Entities[Name_w_County],_xlfn.CONCAT("Entity ID ",RIGHT(Table3[[#This Row],[Sponsor_1_num]],8)," not found")),"")</f>
        <v>Odem</v>
      </c>
      <c r="L670" t="str">
        <f>IF(LEN(F670)&lt;&gt;0,_xlfn.XLOOKUP(F670,[1]!Entities[ID_with_x],[1]!Entities[Name_w_County],_xlfn.CONCAT("Entity ID ",RIGHT(Table3[[#This Row],[Sponsor_1_num]],8)," not found")),"")</f>
        <v/>
      </c>
      <c r="M670" t="str">
        <f>IF(LEN(G670)&lt;&gt;0,_xlfn.XLOOKUP(G670,[1]!Entities[ID_with_x],[1]!Entities[Name_w_County],_xlfn.CONCAT("Entity ID ",RIGHT(Table3[[#This Row],[Sponsor_1_num]],8)," not found")),"")</f>
        <v/>
      </c>
      <c r="N670" t="str">
        <f>IF(LEN(H670)&lt;&gt;0,_xlfn.XLOOKUP(H670,[1]!Entities[ID_with_x],[1]!Entities[Name_w_County],_xlfn.CONCAT("Entity ID ",RIGHT(Table3[[#This Row],[Sponsor_1_num]],8)," not found")),"")</f>
        <v/>
      </c>
      <c r="O670" t="str">
        <f>IF(LEN(I670)&lt;&gt;0,_xlfn.XLOOKUP(I670,[1]!Entities[ID_with_x],[1]!Entities[Name_w_County],_xlfn.CONCAT("Entity ID ",RIGHT(Table3[[#This Row],[Sponsor_1_num]],8)," not found")),"")</f>
        <v/>
      </c>
      <c r="P670" t="str">
        <f>IF(LEN(J670)&lt;&gt;0,_xlfn.XLOOKUP(J670,[1]!Entities[ID_with_x],[1]!Entities[Name_w_County],_xlfn.CONCAT("Entity ID ",RIGHT(Table3[[#This Row],[Sponsor_1_num]],8)," not found")),"")</f>
        <v/>
      </c>
      <c r="Q670" t="str">
        <f>IF(LEN(K670)&gt;0,_xlfn.TEXTJOIN(", ",TRUE,K670:P670),Table3[[#This Row],[SPONSOR_LIST]])</f>
        <v>Odem</v>
      </c>
    </row>
    <row r="671" spans="1:17" x14ac:dyDescent="0.25">
      <c r="A671" s="304" t="s">
        <v>3734</v>
      </c>
      <c r="B671" t="s">
        <v>3732</v>
      </c>
      <c r="C671" t="str">
        <f t="shared" si="11"/>
        <v>x13003412</v>
      </c>
      <c r="D671" t="str">
        <f>SUBSTITUTE(SUBSTITUTE(Table3[[#This Row],[Sponsor_list_tranform]],",",",x")," ","")</f>
        <v>x13003412</v>
      </c>
      <c r="E671" t="s">
        <v>11752</v>
      </c>
      <c r="K671" t="str">
        <f>IF(LEN(E671)&lt;&gt;0,_xlfn.XLOOKUP(E671,[1]!Entities[ID_with_x],[1]!Entities[Name_w_County],_xlfn.CONCAT("Entity ID ",RIGHT(Table3[[#This Row],[Sponsor_1_num]],8)," not found")),"")</f>
        <v>Odem</v>
      </c>
      <c r="L671" t="str">
        <f>IF(LEN(F671)&lt;&gt;0,_xlfn.XLOOKUP(F671,[1]!Entities[ID_with_x],[1]!Entities[Name_w_County],_xlfn.CONCAT("Entity ID ",RIGHT(Table3[[#This Row],[Sponsor_1_num]],8)," not found")),"")</f>
        <v/>
      </c>
      <c r="M671" t="str">
        <f>IF(LEN(G671)&lt;&gt;0,_xlfn.XLOOKUP(G671,[1]!Entities[ID_with_x],[1]!Entities[Name_w_County],_xlfn.CONCAT("Entity ID ",RIGHT(Table3[[#This Row],[Sponsor_1_num]],8)," not found")),"")</f>
        <v/>
      </c>
      <c r="N671" t="str">
        <f>IF(LEN(H671)&lt;&gt;0,_xlfn.XLOOKUP(H671,[1]!Entities[ID_with_x],[1]!Entities[Name_w_County],_xlfn.CONCAT("Entity ID ",RIGHT(Table3[[#This Row],[Sponsor_1_num]],8)," not found")),"")</f>
        <v/>
      </c>
      <c r="O671" t="str">
        <f>IF(LEN(I671)&lt;&gt;0,_xlfn.XLOOKUP(I671,[1]!Entities[ID_with_x],[1]!Entities[Name_w_County],_xlfn.CONCAT("Entity ID ",RIGHT(Table3[[#This Row],[Sponsor_1_num]],8)," not found")),"")</f>
        <v/>
      </c>
      <c r="P671" t="str">
        <f>IF(LEN(J671)&lt;&gt;0,_xlfn.XLOOKUP(J671,[1]!Entities[ID_with_x],[1]!Entities[Name_w_County],_xlfn.CONCAT("Entity ID ",RIGHT(Table3[[#This Row],[Sponsor_1_num]],8)," not found")),"")</f>
        <v/>
      </c>
      <c r="Q671" t="str">
        <f>IF(LEN(K671)&gt;0,_xlfn.TEXTJOIN(", ",TRUE,K671:P671),Table3[[#This Row],[SPONSOR_LIST]])</f>
        <v>Odem</v>
      </c>
    </row>
    <row r="672" spans="1:17" x14ac:dyDescent="0.25">
      <c r="A672" s="304" t="s">
        <v>3737</v>
      </c>
      <c r="B672" t="s">
        <v>3743</v>
      </c>
      <c r="C672" t="str">
        <f t="shared" si="11"/>
        <v>x13003233</v>
      </c>
      <c r="D672" t="str">
        <f>SUBSTITUTE(SUBSTITUTE(Table3[[#This Row],[Sponsor_list_tranform]],",",",x")," ","")</f>
        <v>x13003233</v>
      </c>
      <c r="E672" t="s">
        <v>11753</v>
      </c>
      <c r="K672" t="str">
        <f>IF(LEN(E672)&lt;&gt;0,_xlfn.XLOOKUP(E672,[1]!Entities[ID_with_x],[1]!Entities[Name_w_County],_xlfn.CONCAT("Entity ID ",RIGHT(Table3[[#This Row],[Sponsor_1_num]],8)," not found")),"")</f>
        <v>Portland</v>
      </c>
      <c r="L672" t="str">
        <f>IF(LEN(F672)&lt;&gt;0,_xlfn.XLOOKUP(F672,[1]!Entities[ID_with_x],[1]!Entities[Name_w_County],_xlfn.CONCAT("Entity ID ",RIGHT(Table3[[#This Row],[Sponsor_1_num]],8)," not found")),"")</f>
        <v/>
      </c>
      <c r="M672" t="str">
        <f>IF(LEN(G672)&lt;&gt;0,_xlfn.XLOOKUP(G672,[1]!Entities[ID_with_x],[1]!Entities[Name_w_County],_xlfn.CONCAT("Entity ID ",RIGHT(Table3[[#This Row],[Sponsor_1_num]],8)," not found")),"")</f>
        <v/>
      </c>
      <c r="N672" t="str">
        <f>IF(LEN(H672)&lt;&gt;0,_xlfn.XLOOKUP(H672,[1]!Entities[ID_with_x],[1]!Entities[Name_w_County],_xlfn.CONCAT("Entity ID ",RIGHT(Table3[[#This Row],[Sponsor_1_num]],8)," not found")),"")</f>
        <v/>
      </c>
      <c r="O672" t="str">
        <f>IF(LEN(I672)&lt;&gt;0,_xlfn.XLOOKUP(I672,[1]!Entities[ID_with_x],[1]!Entities[Name_w_County],_xlfn.CONCAT("Entity ID ",RIGHT(Table3[[#This Row],[Sponsor_1_num]],8)," not found")),"")</f>
        <v/>
      </c>
      <c r="P672" t="str">
        <f>IF(LEN(J672)&lt;&gt;0,_xlfn.XLOOKUP(J672,[1]!Entities[ID_with_x],[1]!Entities[Name_w_County],_xlfn.CONCAT("Entity ID ",RIGHT(Table3[[#This Row],[Sponsor_1_num]],8)," not found")),"")</f>
        <v/>
      </c>
      <c r="Q672" t="str">
        <f>IF(LEN(K672)&gt;0,_xlfn.TEXTJOIN(", ",TRUE,K672:P672),Table3[[#This Row],[SPONSOR_LIST]])</f>
        <v>Portland</v>
      </c>
    </row>
    <row r="673" spans="1:17" x14ac:dyDescent="0.25">
      <c r="A673" s="304" t="s">
        <v>3745</v>
      </c>
      <c r="B673" t="s">
        <v>3752</v>
      </c>
      <c r="C673" t="str">
        <f t="shared" si="11"/>
        <v>x13002864</v>
      </c>
      <c r="D673" t="str">
        <f>SUBSTITUTE(SUBSTITUTE(Table3[[#This Row],[Sponsor_list_tranform]],",",",x")," ","")</f>
        <v>x13002864</v>
      </c>
      <c r="E673" t="s">
        <v>11754</v>
      </c>
      <c r="K673" t="str">
        <f>IF(LEN(E673)&lt;&gt;0,_xlfn.XLOOKUP(E673,[1]!Entities[ID_with_x],[1]!Entities[Name_w_County],_xlfn.CONCAT("Entity ID ",RIGHT(Table3[[#This Row],[Sponsor_1_num]],8)," not found")),"")</f>
        <v>Sinton</v>
      </c>
      <c r="L673" t="str">
        <f>IF(LEN(F673)&lt;&gt;0,_xlfn.XLOOKUP(F673,[1]!Entities[ID_with_x],[1]!Entities[Name_w_County],_xlfn.CONCAT("Entity ID ",RIGHT(Table3[[#This Row],[Sponsor_1_num]],8)," not found")),"")</f>
        <v/>
      </c>
      <c r="M673" t="str">
        <f>IF(LEN(G673)&lt;&gt;0,_xlfn.XLOOKUP(G673,[1]!Entities[ID_with_x],[1]!Entities[Name_w_County],_xlfn.CONCAT("Entity ID ",RIGHT(Table3[[#This Row],[Sponsor_1_num]],8)," not found")),"")</f>
        <v/>
      </c>
      <c r="N673" t="str">
        <f>IF(LEN(H673)&lt;&gt;0,_xlfn.XLOOKUP(H673,[1]!Entities[ID_with_x],[1]!Entities[Name_w_County],_xlfn.CONCAT("Entity ID ",RIGHT(Table3[[#This Row],[Sponsor_1_num]],8)," not found")),"")</f>
        <v/>
      </c>
      <c r="O673" t="str">
        <f>IF(LEN(I673)&lt;&gt;0,_xlfn.XLOOKUP(I673,[1]!Entities[ID_with_x],[1]!Entities[Name_w_County],_xlfn.CONCAT("Entity ID ",RIGHT(Table3[[#This Row],[Sponsor_1_num]],8)," not found")),"")</f>
        <v/>
      </c>
      <c r="P673" t="str">
        <f>IF(LEN(J673)&lt;&gt;0,_xlfn.XLOOKUP(J673,[1]!Entities[ID_with_x],[1]!Entities[Name_w_County],_xlfn.CONCAT("Entity ID ",RIGHT(Table3[[#This Row],[Sponsor_1_num]],8)," not found")),"")</f>
        <v/>
      </c>
      <c r="Q673" t="str">
        <f>IF(LEN(K673)&gt;0,_xlfn.TEXTJOIN(", ",TRUE,K673:P673),Table3[[#This Row],[SPONSOR_LIST]])</f>
        <v>Sinton</v>
      </c>
    </row>
    <row r="674" spans="1:17" x14ac:dyDescent="0.25">
      <c r="A674" s="304" t="s">
        <v>3754</v>
      </c>
      <c r="B674" t="s">
        <v>3752</v>
      </c>
      <c r="C674" t="str">
        <f t="shared" si="11"/>
        <v>x13002864</v>
      </c>
      <c r="D674" t="str">
        <f>SUBSTITUTE(SUBSTITUTE(Table3[[#This Row],[Sponsor_list_tranform]],",",",x")," ","")</f>
        <v>x13002864</v>
      </c>
      <c r="E674" t="s">
        <v>11754</v>
      </c>
      <c r="K674" t="str">
        <f>IF(LEN(E674)&lt;&gt;0,_xlfn.XLOOKUP(E674,[1]!Entities[ID_with_x],[1]!Entities[Name_w_County],_xlfn.CONCAT("Entity ID ",RIGHT(Table3[[#This Row],[Sponsor_1_num]],8)," not found")),"")</f>
        <v>Sinton</v>
      </c>
      <c r="L674" t="str">
        <f>IF(LEN(F674)&lt;&gt;0,_xlfn.XLOOKUP(F674,[1]!Entities[ID_with_x],[1]!Entities[Name_w_County],_xlfn.CONCAT("Entity ID ",RIGHT(Table3[[#This Row],[Sponsor_1_num]],8)," not found")),"")</f>
        <v/>
      </c>
      <c r="M674" t="str">
        <f>IF(LEN(G674)&lt;&gt;0,_xlfn.XLOOKUP(G674,[1]!Entities[ID_with_x],[1]!Entities[Name_w_County],_xlfn.CONCAT("Entity ID ",RIGHT(Table3[[#This Row],[Sponsor_1_num]],8)," not found")),"")</f>
        <v/>
      </c>
      <c r="N674" t="str">
        <f>IF(LEN(H674)&lt;&gt;0,_xlfn.XLOOKUP(H674,[1]!Entities[ID_with_x],[1]!Entities[Name_w_County],_xlfn.CONCAT("Entity ID ",RIGHT(Table3[[#This Row],[Sponsor_1_num]],8)," not found")),"")</f>
        <v/>
      </c>
      <c r="O674" t="str">
        <f>IF(LEN(I674)&lt;&gt;0,_xlfn.XLOOKUP(I674,[1]!Entities[ID_with_x],[1]!Entities[Name_w_County],_xlfn.CONCAT("Entity ID ",RIGHT(Table3[[#This Row],[Sponsor_1_num]],8)," not found")),"")</f>
        <v/>
      </c>
      <c r="P674" t="str">
        <f>IF(LEN(J674)&lt;&gt;0,_xlfn.XLOOKUP(J674,[1]!Entities[ID_with_x],[1]!Entities[Name_w_County],_xlfn.CONCAT("Entity ID ",RIGHT(Table3[[#This Row],[Sponsor_1_num]],8)," not found")),"")</f>
        <v/>
      </c>
      <c r="Q674" t="str">
        <f>IF(LEN(K674)&gt;0,_xlfn.TEXTJOIN(", ",TRUE,K674:P674),Table3[[#This Row],[SPONSOR_LIST]])</f>
        <v>Sinton</v>
      </c>
    </row>
    <row r="675" spans="1:17" x14ac:dyDescent="0.25">
      <c r="A675" s="304" t="s">
        <v>3757</v>
      </c>
      <c r="B675" t="s">
        <v>3764</v>
      </c>
      <c r="C675" t="str">
        <f t="shared" si="11"/>
        <v>x13002882</v>
      </c>
      <c r="D675" t="str">
        <f>SUBSTITUTE(SUBSTITUTE(Table3[[#This Row],[Sponsor_list_tranform]],",",",x")," ","")</f>
        <v>x13002882</v>
      </c>
      <c r="E675" t="s">
        <v>11818</v>
      </c>
      <c r="K675" t="str">
        <f>IF(LEN(E675)&lt;&gt;0,_xlfn.XLOOKUP(E675,[1]!Entities[ID_with_x],[1]!Entities[Name_w_County],_xlfn.CONCAT("Entity ID ",RIGHT(Table3[[#This Row],[Sponsor_1_num]],8)," not found")),"")</f>
        <v>Taft</v>
      </c>
      <c r="L675" t="str">
        <f>IF(LEN(F675)&lt;&gt;0,_xlfn.XLOOKUP(F675,[1]!Entities[ID_with_x],[1]!Entities[Name_w_County],_xlfn.CONCAT("Entity ID ",RIGHT(Table3[[#This Row],[Sponsor_1_num]],8)," not found")),"")</f>
        <v/>
      </c>
      <c r="M675" t="str">
        <f>IF(LEN(G675)&lt;&gt;0,_xlfn.XLOOKUP(G675,[1]!Entities[ID_with_x],[1]!Entities[Name_w_County],_xlfn.CONCAT("Entity ID ",RIGHT(Table3[[#This Row],[Sponsor_1_num]],8)," not found")),"")</f>
        <v/>
      </c>
      <c r="N675" t="str">
        <f>IF(LEN(H675)&lt;&gt;0,_xlfn.XLOOKUP(H675,[1]!Entities[ID_with_x],[1]!Entities[Name_w_County],_xlfn.CONCAT("Entity ID ",RIGHT(Table3[[#This Row],[Sponsor_1_num]],8)," not found")),"")</f>
        <v/>
      </c>
      <c r="O675" t="str">
        <f>IF(LEN(I675)&lt;&gt;0,_xlfn.XLOOKUP(I675,[1]!Entities[ID_with_x],[1]!Entities[Name_w_County],_xlfn.CONCAT("Entity ID ",RIGHT(Table3[[#This Row],[Sponsor_1_num]],8)," not found")),"")</f>
        <v/>
      </c>
      <c r="P675" t="str">
        <f>IF(LEN(J675)&lt;&gt;0,_xlfn.XLOOKUP(J675,[1]!Entities[ID_with_x],[1]!Entities[Name_w_County],_xlfn.CONCAT("Entity ID ",RIGHT(Table3[[#This Row],[Sponsor_1_num]],8)," not found")),"")</f>
        <v/>
      </c>
      <c r="Q675" t="str">
        <f>IF(LEN(K675)&gt;0,_xlfn.TEXTJOIN(", ",TRUE,K675:P675),Table3[[#This Row],[SPONSOR_LIST]])</f>
        <v>Taft</v>
      </c>
    </row>
    <row r="676" spans="1:17" x14ac:dyDescent="0.25">
      <c r="A676" s="304" t="s">
        <v>3766</v>
      </c>
      <c r="B676" t="s">
        <v>3770</v>
      </c>
      <c r="C676" t="str">
        <f t="shared" si="11"/>
        <v>x00000290</v>
      </c>
      <c r="D676" t="str">
        <f>SUBSTITUTE(SUBSTITUTE(Table3[[#This Row],[Sponsor_list_tranform]],",",",x")," ","")</f>
        <v>x00000290</v>
      </c>
      <c r="E676" t="s">
        <v>11755</v>
      </c>
      <c r="K676" t="str">
        <f>IF(LEN(E676)&lt;&gt;0,_xlfn.XLOOKUP(E676,[1]!Entities[ID_with_x],[1]!Entities[Name_w_County],_xlfn.CONCAT("Entity ID ",RIGHT(Table3[[#This Row],[Sponsor_1_num]],8)," not found")),"")</f>
        <v>Nueces River Authority</v>
      </c>
      <c r="L676" t="str">
        <f>IF(LEN(F676)&lt;&gt;0,_xlfn.XLOOKUP(F676,[1]!Entities[ID_with_x],[1]!Entities[Name_w_County],_xlfn.CONCAT("Entity ID ",RIGHT(Table3[[#This Row],[Sponsor_1_num]],8)," not found")),"")</f>
        <v/>
      </c>
      <c r="M676" t="str">
        <f>IF(LEN(G676)&lt;&gt;0,_xlfn.XLOOKUP(G676,[1]!Entities[ID_with_x],[1]!Entities[Name_w_County],_xlfn.CONCAT("Entity ID ",RIGHT(Table3[[#This Row],[Sponsor_1_num]],8)," not found")),"")</f>
        <v/>
      </c>
      <c r="N676" t="str">
        <f>IF(LEN(H676)&lt;&gt;0,_xlfn.XLOOKUP(H676,[1]!Entities[ID_with_x],[1]!Entities[Name_w_County],_xlfn.CONCAT("Entity ID ",RIGHT(Table3[[#This Row],[Sponsor_1_num]],8)," not found")),"")</f>
        <v/>
      </c>
      <c r="O676" t="str">
        <f>IF(LEN(I676)&lt;&gt;0,_xlfn.XLOOKUP(I676,[1]!Entities[ID_with_x],[1]!Entities[Name_w_County],_xlfn.CONCAT("Entity ID ",RIGHT(Table3[[#This Row],[Sponsor_1_num]],8)," not found")),"")</f>
        <v/>
      </c>
      <c r="P676" t="str">
        <f>IF(LEN(J676)&lt;&gt;0,_xlfn.XLOOKUP(J676,[1]!Entities[ID_with_x],[1]!Entities[Name_w_County],_xlfn.CONCAT("Entity ID ",RIGHT(Table3[[#This Row],[Sponsor_1_num]],8)," not found")),"")</f>
        <v/>
      </c>
      <c r="Q676" t="str">
        <f>IF(LEN(K676)&gt;0,_xlfn.TEXTJOIN(", ",TRUE,K676:P676),Table3[[#This Row],[SPONSOR_LIST]])</f>
        <v>Nueces River Authority</v>
      </c>
    </row>
    <row r="677" spans="1:17" x14ac:dyDescent="0.25">
      <c r="A677" s="304" t="s">
        <v>3773</v>
      </c>
      <c r="B677" t="s">
        <v>3770</v>
      </c>
      <c r="C677" t="str">
        <f t="shared" si="11"/>
        <v>x00000290</v>
      </c>
      <c r="D677" t="str">
        <f>SUBSTITUTE(SUBSTITUTE(Table3[[#This Row],[Sponsor_list_tranform]],",",",x")," ","")</f>
        <v>x00000290</v>
      </c>
      <c r="E677" t="s">
        <v>11755</v>
      </c>
      <c r="K677" t="str">
        <f>IF(LEN(E677)&lt;&gt;0,_xlfn.XLOOKUP(E677,[1]!Entities[ID_with_x],[1]!Entities[Name_w_County],_xlfn.CONCAT("Entity ID ",RIGHT(Table3[[#This Row],[Sponsor_1_num]],8)," not found")),"")</f>
        <v>Nueces River Authority</v>
      </c>
      <c r="L677" t="str">
        <f>IF(LEN(F677)&lt;&gt;0,_xlfn.XLOOKUP(F677,[1]!Entities[ID_with_x],[1]!Entities[Name_w_County],_xlfn.CONCAT("Entity ID ",RIGHT(Table3[[#This Row],[Sponsor_1_num]],8)," not found")),"")</f>
        <v/>
      </c>
      <c r="M677" t="str">
        <f>IF(LEN(G677)&lt;&gt;0,_xlfn.XLOOKUP(G677,[1]!Entities[ID_with_x],[1]!Entities[Name_w_County],_xlfn.CONCAT("Entity ID ",RIGHT(Table3[[#This Row],[Sponsor_1_num]],8)," not found")),"")</f>
        <v/>
      </c>
      <c r="N677" t="str">
        <f>IF(LEN(H677)&lt;&gt;0,_xlfn.XLOOKUP(H677,[1]!Entities[ID_with_x],[1]!Entities[Name_w_County],_xlfn.CONCAT("Entity ID ",RIGHT(Table3[[#This Row],[Sponsor_1_num]],8)," not found")),"")</f>
        <v/>
      </c>
      <c r="O677" t="str">
        <f>IF(LEN(I677)&lt;&gt;0,_xlfn.XLOOKUP(I677,[1]!Entities[ID_with_x],[1]!Entities[Name_w_County],_xlfn.CONCAT("Entity ID ",RIGHT(Table3[[#This Row],[Sponsor_1_num]],8)," not found")),"")</f>
        <v/>
      </c>
      <c r="P677" t="str">
        <f>IF(LEN(J677)&lt;&gt;0,_xlfn.XLOOKUP(J677,[1]!Entities[ID_with_x],[1]!Entities[Name_w_County],_xlfn.CONCAT("Entity ID ",RIGHT(Table3[[#This Row],[Sponsor_1_num]],8)," not found")),"")</f>
        <v/>
      </c>
      <c r="Q677" t="str">
        <f>IF(LEN(K677)&gt;0,_xlfn.TEXTJOIN(", ",TRUE,K677:P677),Table3[[#This Row],[SPONSOR_LIST]])</f>
        <v>Nueces River Authority</v>
      </c>
    </row>
    <row r="678" spans="1:17" x14ac:dyDescent="0.25">
      <c r="A678" s="304" t="s">
        <v>3778</v>
      </c>
      <c r="B678" t="s">
        <v>3787</v>
      </c>
      <c r="C678" t="str">
        <f t="shared" si="11"/>
        <v>x00003593</v>
      </c>
      <c r="D678" t="str">
        <f>SUBSTITUTE(SUBSTITUTE(Table3[[#This Row],[Sponsor_list_tranform]],",",",x")," ","")</f>
        <v>x00003593</v>
      </c>
      <c r="E678" t="s">
        <v>11756</v>
      </c>
      <c r="K678" t="str">
        <f>IF(LEN(E678)&lt;&gt;0,_xlfn.XLOOKUP(E678,[1]!Entities[ID_with_x],[1]!Entities[Name_w_County],_xlfn.CONCAT("Entity ID ",RIGHT(Table3[[#This Row],[Sponsor_1_num]],8)," not found")),"")</f>
        <v>Texas Parks and Wildlife Department</v>
      </c>
      <c r="L678" t="str">
        <f>IF(LEN(F678)&lt;&gt;0,_xlfn.XLOOKUP(F678,[1]!Entities[ID_with_x],[1]!Entities[Name_w_County],_xlfn.CONCAT("Entity ID ",RIGHT(Table3[[#This Row],[Sponsor_1_num]],8)," not found")),"")</f>
        <v/>
      </c>
      <c r="M678" t="str">
        <f>IF(LEN(G678)&lt;&gt;0,_xlfn.XLOOKUP(G678,[1]!Entities[ID_with_x],[1]!Entities[Name_w_County],_xlfn.CONCAT("Entity ID ",RIGHT(Table3[[#This Row],[Sponsor_1_num]],8)," not found")),"")</f>
        <v/>
      </c>
      <c r="N678" t="str">
        <f>IF(LEN(H678)&lt;&gt;0,_xlfn.XLOOKUP(H678,[1]!Entities[ID_with_x],[1]!Entities[Name_w_County],_xlfn.CONCAT("Entity ID ",RIGHT(Table3[[#This Row],[Sponsor_1_num]],8)," not found")),"")</f>
        <v/>
      </c>
      <c r="O678" t="str">
        <f>IF(LEN(I678)&lt;&gt;0,_xlfn.XLOOKUP(I678,[1]!Entities[ID_with_x],[1]!Entities[Name_w_County],_xlfn.CONCAT("Entity ID ",RIGHT(Table3[[#This Row],[Sponsor_1_num]],8)," not found")),"")</f>
        <v/>
      </c>
      <c r="P678" t="str">
        <f>IF(LEN(J678)&lt;&gt;0,_xlfn.XLOOKUP(J678,[1]!Entities[ID_with_x],[1]!Entities[Name_w_County],_xlfn.CONCAT("Entity ID ",RIGHT(Table3[[#This Row],[Sponsor_1_num]],8)," not found")),"")</f>
        <v/>
      </c>
      <c r="Q678" t="str">
        <f>IF(LEN(K678)&gt;0,_xlfn.TEXTJOIN(", ",TRUE,K678:P678),Table3[[#This Row],[SPONSOR_LIST]])</f>
        <v>Texas Parks and Wildlife Department</v>
      </c>
    </row>
    <row r="679" spans="1:17" x14ac:dyDescent="0.25">
      <c r="A679" s="304" t="s">
        <v>3790</v>
      </c>
      <c r="B679" t="s">
        <v>3688</v>
      </c>
      <c r="C679" t="str">
        <f t="shared" si="11"/>
        <v>x00000083</v>
      </c>
      <c r="D679" t="str">
        <f>SUBSTITUTE(SUBSTITUTE(Table3[[#This Row],[Sponsor_list_tranform]],",",",x")," ","")</f>
        <v>x00000083</v>
      </c>
      <c r="E679" t="s">
        <v>11600</v>
      </c>
      <c r="K679" t="str">
        <f>IF(LEN(E679)&lt;&gt;0,_xlfn.XLOOKUP(E679,[1]!Entities[ID_with_x],[1]!Entities[Name_w_County],_xlfn.CONCAT("Entity ID ",RIGHT(Table3[[#This Row],[Sponsor_1_num]],8)," not found")),"")</f>
        <v>Aransas County</v>
      </c>
      <c r="L679" t="str">
        <f>IF(LEN(F679)&lt;&gt;0,_xlfn.XLOOKUP(F679,[1]!Entities[ID_with_x],[1]!Entities[Name_w_County],_xlfn.CONCAT("Entity ID ",RIGHT(Table3[[#This Row],[Sponsor_1_num]],8)," not found")),"")</f>
        <v/>
      </c>
      <c r="M679" t="str">
        <f>IF(LEN(G679)&lt;&gt;0,_xlfn.XLOOKUP(G679,[1]!Entities[ID_with_x],[1]!Entities[Name_w_County],_xlfn.CONCAT("Entity ID ",RIGHT(Table3[[#This Row],[Sponsor_1_num]],8)," not found")),"")</f>
        <v/>
      </c>
      <c r="N679" t="str">
        <f>IF(LEN(H679)&lt;&gt;0,_xlfn.XLOOKUP(H679,[1]!Entities[ID_with_x],[1]!Entities[Name_w_County],_xlfn.CONCAT("Entity ID ",RIGHT(Table3[[#This Row],[Sponsor_1_num]],8)," not found")),"")</f>
        <v/>
      </c>
      <c r="O679" t="str">
        <f>IF(LEN(I679)&lt;&gt;0,_xlfn.XLOOKUP(I679,[1]!Entities[ID_with_x],[1]!Entities[Name_w_County],_xlfn.CONCAT("Entity ID ",RIGHT(Table3[[#This Row],[Sponsor_1_num]],8)," not found")),"")</f>
        <v/>
      </c>
      <c r="P679" t="str">
        <f>IF(LEN(J679)&lt;&gt;0,_xlfn.XLOOKUP(J679,[1]!Entities[ID_with_x],[1]!Entities[Name_w_County],_xlfn.CONCAT("Entity ID ",RIGHT(Table3[[#This Row],[Sponsor_1_num]],8)," not found")),"")</f>
        <v/>
      </c>
      <c r="Q679" t="str">
        <f>IF(LEN(K679)&gt;0,_xlfn.TEXTJOIN(", ",TRUE,K679:P679),Table3[[#This Row],[SPONSOR_LIST]])</f>
        <v>Aransas County</v>
      </c>
    </row>
    <row r="680" spans="1:17" x14ac:dyDescent="0.25">
      <c r="A680" s="304" t="s">
        <v>3799</v>
      </c>
      <c r="B680" t="s">
        <v>3688</v>
      </c>
      <c r="C680" t="str">
        <f t="shared" si="11"/>
        <v>x00000083</v>
      </c>
      <c r="D680" t="str">
        <f>SUBSTITUTE(SUBSTITUTE(Table3[[#This Row],[Sponsor_list_tranform]],",",",x")," ","")</f>
        <v>x00000083</v>
      </c>
      <c r="E680" t="s">
        <v>11600</v>
      </c>
      <c r="K680" t="str">
        <f>IF(LEN(E680)&lt;&gt;0,_xlfn.XLOOKUP(E680,[1]!Entities[ID_with_x],[1]!Entities[Name_w_County],_xlfn.CONCAT("Entity ID ",RIGHT(Table3[[#This Row],[Sponsor_1_num]],8)," not found")),"")</f>
        <v>Aransas County</v>
      </c>
      <c r="L680" t="str">
        <f>IF(LEN(F680)&lt;&gt;0,_xlfn.XLOOKUP(F680,[1]!Entities[ID_with_x],[1]!Entities[Name_w_County],_xlfn.CONCAT("Entity ID ",RIGHT(Table3[[#This Row],[Sponsor_1_num]],8)," not found")),"")</f>
        <v/>
      </c>
      <c r="M680" t="str">
        <f>IF(LEN(G680)&lt;&gt;0,_xlfn.XLOOKUP(G680,[1]!Entities[ID_with_x],[1]!Entities[Name_w_County],_xlfn.CONCAT("Entity ID ",RIGHT(Table3[[#This Row],[Sponsor_1_num]],8)," not found")),"")</f>
        <v/>
      </c>
      <c r="N680" t="str">
        <f>IF(LEN(H680)&lt;&gt;0,_xlfn.XLOOKUP(H680,[1]!Entities[ID_with_x],[1]!Entities[Name_w_County],_xlfn.CONCAT("Entity ID ",RIGHT(Table3[[#This Row],[Sponsor_1_num]],8)," not found")),"")</f>
        <v/>
      </c>
      <c r="O680" t="str">
        <f>IF(LEN(I680)&lt;&gt;0,_xlfn.XLOOKUP(I680,[1]!Entities[ID_with_x],[1]!Entities[Name_w_County],_xlfn.CONCAT("Entity ID ",RIGHT(Table3[[#This Row],[Sponsor_1_num]],8)," not found")),"")</f>
        <v/>
      </c>
      <c r="P680" t="str">
        <f>IF(LEN(J680)&lt;&gt;0,_xlfn.XLOOKUP(J680,[1]!Entities[ID_with_x],[1]!Entities[Name_w_County],_xlfn.CONCAT("Entity ID ",RIGHT(Table3[[#This Row],[Sponsor_1_num]],8)," not found")),"")</f>
        <v/>
      </c>
      <c r="Q680" t="str">
        <f>IF(LEN(K680)&gt;0,_xlfn.TEXTJOIN(", ",TRUE,K680:P680),Table3[[#This Row],[SPONSOR_LIST]])</f>
        <v>Aransas County</v>
      </c>
    </row>
    <row r="681" spans="1:17" x14ac:dyDescent="0.25">
      <c r="A681" s="304" t="s">
        <v>3804</v>
      </c>
      <c r="B681" t="s">
        <v>3812</v>
      </c>
      <c r="C681" t="str">
        <f t="shared" si="11"/>
        <v>x13002735</v>
      </c>
      <c r="D681" t="str">
        <f>SUBSTITUTE(SUBSTITUTE(Table3[[#This Row],[Sponsor_list_tranform]],",",",x")," ","")</f>
        <v>x13002735</v>
      </c>
      <c r="E681" t="s">
        <v>11757</v>
      </c>
      <c r="K681" t="str">
        <f>IF(LEN(E681)&lt;&gt;0,_xlfn.XLOOKUP(E681,[1]!Entities[ID_with_x],[1]!Entities[Name_w_County],_xlfn.CONCAT("Entity ID ",RIGHT(Table3[[#This Row],[Sponsor_1_num]],8)," not found")),"")</f>
        <v>Aransas Pass</v>
      </c>
      <c r="L681" t="str">
        <f>IF(LEN(F681)&lt;&gt;0,_xlfn.XLOOKUP(F681,[1]!Entities[ID_with_x],[1]!Entities[Name_w_County],_xlfn.CONCAT("Entity ID ",RIGHT(Table3[[#This Row],[Sponsor_1_num]],8)," not found")),"")</f>
        <v/>
      </c>
      <c r="M681" t="str">
        <f>IF(LEN(G681)&lt;&gt;0,_xlfn.XLOOKUP(G681,[1]!Entities[ID_with_x],[1]!Entities[Name_w_County],_xlfn.CONCAT("Entity ID ",RIGHT(Table3[[#This Row],[Sponsor_1_num]],8)," not found")),"")</f>
        <v/>
      </c>
      <c r="N681" t="str">
        <f>IF(LEN(H681)&lt;&gt;0,_xlfn.XLOOKUP(H681,[1]!Entities[ID_with_x],[1]!Entities[Name_w_County],_xlfn.CONCAT("Entity ID ",RIGHT(Table3[[#This Row],[Sponsor_1_num]],8)," not found")),"")</f>
        <v/>
      </c>
      <c r="O681" t="str">
        <f>IF(LEN(I681)&lt;&gt;0,_xlfn.XLOOKUP(I681,[1]!Entities[ID_with_x],[1]!Entities[Name_w_County],_xlfn.CONCAT("Entity ID ",RIGHT(Table3[[#This Row],[Sponsor_1_num]],8)," not found")),"")</f>
        <v/>
      </c>
      <c r="P681" t="str">
        <f>IF(LEN(J681)&lt;&gt;0,_xlfn.XLOOKUP(J681,[1]!Entities[ID_with_x],[1]!Entities[Name_w_County],_xlfn.CONCAT("Entity ID ",RIGHT(Table3[[#This Row],[Sponsor_1_num]],8)," not found")),"")</f>
        <v/>
      </c>
      <c r="Q681" t="str">
        <f>IF(LEN(K681)&gt;0,_xlfn.TEXTJOIN(", ",TRUE,K681:P681),Table3[[#This Row],[SPONSOR_LIST]])</f>
        <v>Aransas Pass</v>
      </c>
    </row>
    <row r="682" spans="1:17" x14ac:dyDescent="0.25">
      <c r="A682" s="304" t="s">
        <v>3813</v>
      </c>
      <c r="B682" t="s">
        <v>3822</v>
      </c>
      <c r="C682" t="str">
        <f t="shared" si="11"/>
        <v>x13000079</v>
      </c>
      <c r="D682" t="str">
        <f>SUBSTITUTE(SUBSTITUTE(Table3[[#This Row],[Sponsor_list_tranform]],",",",x")," ","")</f>
        <v>x13000079</v>
      </c>
      <c r="E682" t="s">
        <v>11633</v>
      </c>
      <c r="K682" t="str">
        <f>IF(LEN(E682)&lt;&gt;0,_xlfn.XLOOKUP(E682,[1]!Entities[ID_with_x],[1]!Entities[Name_w_County],_xlfn.CONCAT("Entity ID ",RIGHT(Table3[[#This Row],[Sponsor_1_num]],8)," not found")),"")</f>
        <v>Duval County</v>
      </c>
      <c r="L682" t="str">
        <f>IF(LEN(F682)&lt;&gt;0,_xlfn.XLOOKUP(F682,[1]!Entities[ID_with_x],[1]!Entities[Name_w_County],_xlfn.CONCAT("Entity ID ",RIGHT(Table3[[#This Row],[Sponsor_1_num]],8)," not found")),"")</f>
        <v/>
      </c>
      <c r="M682" t="str">
        <f>IF(LEN(G682)&lt;&gt;0,_xlfn.XLOOKUP(G682,[1]!Entities[ID_with_x],[1]!Entities[Name_w_County],_xlfn.CONCAT("Entity ID ",RIGHT(Table3[[#This Row],[Sponsor_1_num]],8)," not found")),"")</f>
        <v/>
      </c>
      <c r="N682" t="str">
        <f>IF(LEN(H682)&lt;&gt;0,_xlfn.XLOOKUP(H682,[1]!Entities[ID_with_x],[1]!Entities[Name_w_County],_xlfn.CONCAT("Entity ID ",RIGHT(Table3[[#This Row],[Sponsor_1_num]],8)," not found")),"")</f>
        <v/>
      </c>
      <c r="O682" t="str">
        <f>IF(LEN(I682)&lt;&gt;0,_xlfn.XLOOKUP(I682,[1]!Entities[ID_with_x],[1]!Entities[Name_w_County],_xlfn.CONCAT("Entity ID ",RIGHT(Table3[[#This Row],[Sponsor_1_num]],8)," not found")),"")</f>
        <v/>
      </c>
      <c r="P682" t="str">
        <f>IF(LEN(J682)&lt;&gt;0,_xlfn.XLOOKUP(J682,[1]!Entities[ID_with_x],[1]!Entities[Name_w_County],_xlfn.CONCAT("Entity ID ",RIGHT(Table3[[#This Row],[Sponsor_1_num]],8)," not found")),"")</f>
        <v/>
      </c>
      <c r="Q682" t="str">
        <f>IF(LEN(K682)&gt;0,_xlfn.TEXTJOIN(", ",TRUE,K682:P682),Table3[[#This Row],[SPONSOR_LIST]])</f>
        <v>Duval County</v>
      </c>
    </row>
    <row r="683" spans="1:17" x14ac:dyDescent="0.25">
      <c r="A683" s="304" t="s">
        <v>3825</v>
      </c>
      <c r="B683" t="s">
        <v>3822</v>
      </c>
      <c r="C683" t="str">
        <f t="shared" si="11"/>
        <v>x13000079</v>
      </c>
      <c r="D683" t="str">
        <f>SUBSTITUTE(SUBSTITUTE(Table3[[#This Row],[Sponsor_list_tranform]],",",",x")," ","")</f>
        <v>x13000079</v>
      </c>
      <c r="E683" t="s">
        <v>11633</v>
      </c>
      <c r="K683" t="str">
        <f>IF(LEN(E683)&lt;&gt;0,_xlfn.XLOOKUP(E683,[1]!Entities[ID_with_x],[1]!Entities[Name_w_County],_xlfn.CONCAT("Entity ID ",RIGHT(Table3[[#This Row],[Sponsor_1_num]],8)," not found")),"")</f>
        <v>Duval County</v>
      </c>
      <c r="L683" t="str">
        <f>IF(LEN(F683)&lt;&gt;0,_xlfn.XLOOKUP(F683,[1]!Entities[ID_with_x],[1]!Entities[Name_w_County],_xlfn.CONCAT("Entity ID ",RIGHT(Table3[[#This Row],[Sponsor_1_num]],8)," not found")),"")</f>
        <v/>
      </c>
      <c r="M683" t="str">
        <f>IF(LEN(G683)&lt;&gt;0,_xlfn.XLOOKUP(G683,[1]!Entities[ID_with_x],[1]!Entities[Name_w_County],_xlfn.CONCAT("Entity ID ",RIGHT(Table3[[#This Row],[Sponsor_1_num]],8)," not found")),"")</f>
        <v/>
      </c>
      <c r="N683" t="str">
        <f>IF(LEN(H683)&lt;&gt;0,_xlfn.XLOOKUP(H683,[1]!Entities[ID_with_x],[1]!Entities[Name_w_County],_xlfn.CONCAT("Entity ID ",RIGHT(Table3[[#This Row],[Sponsor_1_num]],8)," not found")),"")</f>
        <v/>
      </c>
      <c r="O683" t="str">
        <f>IF(LEN(I683)&lt;&gt;0,_xlfn.XLOOKUP(I683,[1]!Entities[ID_with_x],[1]!Entities[Name_w_County],_xlfn.CONCAT("Entity ID ",RIGHT(Table3[[#This Row],[Sponsor_1_num]],8)," not found")),"")</f>
        <v/>
      </c>
      <c r="P683" t="str">
        <f>IF(LEN(J683)&lt;&gt;0,_xlfn.XLOOKUP(J683,[1]!Entities[ID_with_x],[1]!Entities[Name_w_County],_xlfn.CONCAT("Entity ID ",RIGHT(Table3[[#This Row],[Sponsor_1_num]],8)," not found")),"")</f>
        <v/>
      </c>
      <c r="Q683" t="str">
        <f>IF(LEN(K683)&gt;0,_xlfn.TEXTJOIN(", ",TRUE,K683:P683),Table3[[#This Row],[SPONSOR_LIST]])</f>
        <v>Duval County</v>
      </c>
    </row>
    <row r="684" spans="1:17" x14ac:dyDescent="0.25">
      <c r="A684" s="304" t="s">
        <v>3829</v>
      </c>
      <c r="B684" t="s">
        <v>3822</v>
      </c>
      <c r="C684" t="str">
        <f t="shared" si="11"/>
        <v>x13000079</v>
      </c>
      <c r="D684" t="str">
        <f>SUBSTITUTE(SUBSTITUTE(Table3[[#This Row],[Sponsor_list_tranform]],",",",x")," ","")</f>
        <v>x13000079</v>
      </c>
      <c r="E684" t="s">
        <v>11633</v>
      </c>
      <c r="K684" t="str">
        <f>IF(LEN(E684)&lt;&gt;0,_xlfn.XLOOKUP(E684,[1]!Entities[ID_with_x],[1]!Entities[Name_w_County],_xlfn.CONCAT("Entity ID ",RIGHT(Table3[[#This Row],[Sponsor_1_num]],8)," not found")),"")</f>
        <v>Duval County</v>
      </c>
      <c r="L684" t="str">
        <f>IF(LEN(F684)&lt;&gt;0,_xlfn.XLOOKUP(F684,[1]!Entities[ID_with_x],[1]!Entities[Name_w_County],_xlfn.CONCAT("Entity ID ",RIGHT(Table3[[#This Row],[Sponsor_1_num]],8)," not found")),"")</f>
        <v/>
      </c>
      <c r="M684" t="str">
        <f>IF(LEN(G684)&lt;&gt;0,_xlfn.XLOOKUP(G684,[1]!Entities[ID_with_x],[1]!Entities[Name_w_County],_xlfn.CONCAT("Entity ID ",RIGHT(Table3[[#This Row],[Sponsor_1_num]],8)," not found")),"")</f>
        <v/>
      </c>
      <c r="N684" t="str">
        <f>IF(LEN(H684)&lt;&gt;0,_xlfn.XLOOKUP(H684,[1]!Entities[ID_with_x],[1]!Entities[Name_w_County],_xlfn.CONCAT("Entity ID ",RIGHT(Table3[[#This Row],[Sponsor_1_num]],8)," not found")),"")</f>
        <v/>
      </c>
      <c r="O684" t="str">
        <f>IF(LEN(I684)&lt;&gt;0,_xlfn.XLOOKUP(I684,[1]!Entities[ID_with_x],[1]!Entities[Name_w_County],_xlfn.CONCAT("Entity ID ",RIGHT(Table3[[#This Row],[Sponsor_1_num]],8)," not found")),"")</f>
        <v/>
      </c>
      <c r="P684" t="str">
        <f>IF(LEN(J684)&lt;&gt;0,_xlfn.XLOOKUP(J684,[1]!Entities[ID_with_x],[1]!Entities[Name_w_County],_xlfn.CONCAT("Entity ID ",RIGHT(Table3[[#This Row],[Sponsor_1_num]],8)," not found")),"")</f>
        <v/>
      </c>
      <c r="Q684" t="str">
        <f>IF(LEN(K684)&gt;0,_xlfn.TEXTJOIN(", ",TRUE,K684:P684),Table3[[#This Row],[SPONSOR_LIST]])</f>
        <v>Duval County</v>
      </c>
    </row>
    <row r="685" spans="1:17" x14ac:dyDescent="0.25">
      <c r="A685" s="304" t="s">
        <v>3832</v>
      </c>
      <c r="B685" t="s">
        <v>3839</v>
      </c>
      <c r="C685" t="str">
        <f t="shared" si="11"/>
        <v>x13000079,  13000080</v>
      </c>
      <c r="D685" t="str">
        <f>SUBSTITUTE(SUBSTITUTE(Table3[[#This Row],[Sponsor_list_tranform]],",",",x")," ","")</f>
        <v>x13000079,x13000080</v>
      </c>
      <c r="E685" t="s">
        <v>11633</v>
      </c>
      <c r="F685" t="s">
        <v>11628</v>
      </c>
      <c r="K685" t="str">
        <f>IF(LEN(E685)&lt;&gt;0,_xlfn.XLOOKUP(E685,[1]!Entities[ID_with_x],[1]!Entities[Name_w_County],_xlfn.CONCAT("Entity ID ",RIGHT(Table3[[#This Row],[Sponsor_1_num]],8)," not found")),"")</f>
        <v>Duval County</v>
      </c>
      <c r="L685" t="str">
        <f>IF(LEN(F685)&lt;&gt;0,_xlfn.XLOOKUP(F685,[1]!Entities[ID_with_x],[1]!Entities[Name_w_County],_xlfn.CONCAT("Entity ID ",RIGHT(Table3[[#This Row],[Sponsor_1_num]],8)," not found")),"")</f>
        <v>Jim Wells County</v>
      </c>
      <c r="M685" t="str">
        <f>IF(LEN(G685)&lt;&gt;0,_xlfn.XLOOKUP(G685,[1]!Entities[ID_with_x],[1]!Entities[Name_w_County],_xlfn.CONCAT("Entity ID ",RIGHT(Table3[[#This Row],[Sponsor_1_num]],8)," not found")),"")</f>
        <v/>
      </c>
      <c r="N685" t="str">
        <f>IF(LEN(H685)&lt;&gt;0,_xlfn.XLOOKUP(H685,[1]!Entities[ID_with_x],[1]!Entities[Name_w_County],_xlfn.CONCAT("Entity ID ",RIGHT(Table3[[#This Row],[Sponsor_1_num]],8)," not found")),"")</f>
        <v/>
      </c>
      <c r="O685" t="str">
        <f>IF(LEN(I685)&lt;&gt;0,_xlfn.XLOOKUP(I685,[1]!Entities[ID_with_x],[1]!Entities[Name_w_County],_xlfn.CONCAT("Entity ID ",RIGHT(Table3[[#This Row],[Sponsor_1_num]],8)," not found")),"")</f>
        <v/>
      </c>
      <c r="P685" t="str">
        <f>IF(LEN(J685)&lt;&gt;0,_xlfn.XLOOKUP(J685,[1]!Entities[ID_with_x],[1]!Entities[Name_w_County],_xlfn.CONCAT("Entity ID ",RIGHT(Table3[[#This Row],[Sponsor_1_num]],8)," not found")),"")</f>
        <v/>
      </c>
      <c r="Q685" t="str">
        <f>IF(LEN(K685)&gt;0,_xlfn.TEXTJOIN(", ",TRUE,K685:P685),Table3[[#This Row],[SPONSOR_LIST]])</f>
        <v>Duval County, Jim Wells County</v>
      </c>
    </row>
    <row r="686" spans="1:17" x14ac:dyDescent="0.25">
      <c r="A686" s="304" t="s">
        <v>3842</v>
      </c>
      <c r="B686" t="s">
        <v>3839</v>
      </c>
      <c r="C686" t="str">
        <f t="shared" si="11"/>
        <v>x13000079,  13000080</v>
      </c>
      <c r="D686" t="str">
        <f>SUBSTITUTE(SUBSTITUTE(Table3[[#This Row],[Sponsor_list_tranform]],",",",x")," ","")</f>
        <v>x13000079,x13000080</v>
      </c>
      <c r="E686" t="s">
        <v>11633</v>
      </c>
      <c r="F686" t="s">
        <v>11628</v>
      </c>
      <c r="K686" t="str">
        <f>IF(LEN(E686)&lt;&gt;0,_xlfn.XLOOKUP(E686,[1]!Entities[ID_with_x],[1]!Entities[Name_w_County],_xlfn.CONCAT("Entity ID ",RIGHT(Table3[[#This Row],[Sponsor_1_num]],8)," not found")),"")</f>
        <v>Duval County</v>
      </c>
      <c r="L686" t="str">
        <f>IF(LEN(F686)&lt;&gt;0,_xlfn.XLOOKUP(F686,[1]!Entities[ID_with_x],[1]!Entities[Name_w_County],_xlfn.CONCAT("Entity ID ",RIGHT(Table3[[#This Row],[Sponsor_1_num]],8)," not found")),"")</f>
        <v>Jim Wells County</v>
      </c>
      <c r="M686" t="str">
        <f>IF(LEN(G686)&lt;&gt;0,_xlfn.XLOOKUP(G686,[1]!Entities[ID_with_x],[1]!Entities[Name_w_County],_xlfn.CONCAT("Entity ID ",RIGHT(Table3[[#This Row],[Sponsor_1_num]],8)," not found")),"")</f>
        <v/>
      </c>
      <c r="N686" t="str">
        <f>IF(LEN(H686)&lt;&gt;0,_xlfn.XLOOKUP(H686,[1]!Entities[ID_with_x],[1]!Entities[Name_w_County],_xlfn.CONCAT("Entity ID ",RIGHT(Table3[[#This Row],[Sponsor_1_num]],8)," not found")),"")</f>
        <v/>
      </c>
      <c r="O686" t="str">
        <f>IF(LEN(I686)&lt;&gt;0,_xlfn.XLOOKUP(I686,[1]!Entities[ID_with_x],[1]!Entities[Name_w_County],_xlfn.CONCAT("Entity ID ",RIGHT(Table3[[#This Row],[Sponsor_1_num]],8)," not found")),"")</f>
        <v/>
      </c>
      <c r="P686" t="str">
        <f>IF(LEN(J686)&lt;&gt;0,_xlfn.XLOOKUP(J686,[1]!Entities[ID_with_x],[1]!Entities[Name_w_County],_xlfn.CONCAT("Entity ID ",RIGHT(Table3[[#This Row],[Sponsor_1_num]],8)," not found")),"")</f>
        <v/>
      </c>
      <c r="Q686" t="str">
        <f>IF(LEN(K686)&gt;0,_xlfn.TEXTJOIN(", ",TRUE,K686:P686),Table3[[#This Row],[SPONSOR_LIST]])</f>
        <v>Duval County, Jim Wells County</v>
      </c>
    </row>
    <row r="687" spans="1:17" x14ac:dyDescent="0.25">
      <c r="A687" s="304" t="s">
        <v>3844</v>
      </c>
      <c r="B687" t="s">
        <v>4146</v>
      </c>
      <c r="C687" t="str">
        <f t="shared" si="11"/>
        <v>x15000074</v>
      </c>
      <c r="D687" t="str">
        <f>SUBSTITUTE(SUBSTITUTE(Table3[[#This Row],[Sponsor_list_tranform]],",",",x")," ","")</f>
        <v>x15000074</v>
      </c>
      <c r="E687" t="s">
        <v>11838</v>
      </c>
      <c r="K687" t="str">
        <f>IF(LEN(E687)&lt;&gt;0,_xlfn.XLOOKUP(E687,[1]!Entities[ID_with_x],[1]!Entities[Name_w_County],_xlfn.CONCAT("Entity ID ",RIGHT(Table3[[#This Row],[Sponsor_1_num]],8)," not found")),"")</f>
        <v>Bayview</v>
      </c>
      <c r="L687" t="str">
        <f>IF(LEN(F687)&lt;&gt;0,_xlfn.XLOOKUP(F687,[1]!Entities[ID_with_x],[1]!Entities[Name_w_County],_xlfn.CONCAT("Entity ID ",RIGHT(Table3[[#This Row],[Sponsor_1_num]],8)," not found")),"")</f>
        <v/>
      </c>
      <c r="M687" t="str">
        <f>IF(LEN(G687)&lt;&gt;0,_xlfn.XLOOKUP(G687,[1]!Entities[ID_with_x],[1]!Entities[Name_w_County],_xlfn.CONCAT("Entity ID ",RIGHT(Table3[[#This Row],[Sponsor_1_num]],8)," not found")),"")</f>
        <v/>
      </c>
      <c r="N687" t="str">
        <f>IF(LEN(H687)&lt;&gt;0,_xlfn.XLOOKUP(H687,[1]!Entities[ID_with_x],[1]!Entities[Name_w_County],_xlfn.CONCAT("Entity ID ",RIGHT(Table3[[#This Row],[Sponsor_1_num]],8)," not found")),"")</f>
        <v/>
      </c>
      <c r="O687" t="str">
        <f>IF(LEN(I687)&lt;&gt;0,_xlfn.XLOOKUP(I687,[1]!Entities[ID_with_x],[1]!Entities[Name_w_County],_xlfn.CONCAT("Entity ID ",RIGHT(Table3[[#This Row],[Sponsor_1_num]],8)," not found")),"")</f>
        <v/>
      </c>
      <c r="P687" t="str">
        <f>IF(LEN(J687)&lt;&gt;0,_xlfn.XLOOKUP(J687,[1]!Entities[ID_with_x],[1]!Entities[Name_w_County],_xlfn.CONCAT("Entity ID ",RIGHT(Table3[[#This Row],[Sponsor_1_num]],8)," not found")),"")</f>
        <v/>
      </c>
      <c r="Q687" t="str">
        <f>IF(LEN(K687)&gt;0,_xlfn.TEXTJOIN(", ",TRUE,K687:P687),Table3[[#This Row],[SPONSOR_LIST]])</f>
        <v>Bayview</v>
      </c>
    </row>
    <row r="688" spans="1:17" x14ac:dyDescent="0.25">
      <c r="A688" s="304" t="s">
        <v>3851</v>
      </c>
      <c r="B688" t="s">
        <v>4146</v>
      </c>
      <c r="C688" t="str">
        <f t="shared" si="11"/>
        <v>x15000074</v>
      </c>
      <c r="D688" t="str">
        <f>SUBSTITUTE(SUBSTITUTE(Table3[[#This Row],[Sponsor_list_tranform]],",",",x")," ","")</f>
        <v>x15000074</v>
      </c>
      <c r="E688" t="s">
        <v>11838</v>
      </c>
      <c r="K688" t="str">
        <f>IF(LEN(E688)&lt;&gt;0,_xlfn.XLOOKUP(E688,[1]!Entities[ID_with_x],[1]!Entities[Name_w_County],_xlfn.CONCAT("Entity ID ",RIGHT(Table3[[#This Row],[Sponsor_1_num]],8)," not found")),"")</f>
        <v>Bayview</v>
      </c>
      <c r="L688" t="str">
        <f>IF(LEN(F688)&lt;&gt;0,_xlfn.XLOOKUP(F688,[1]!Entities[ID_with_x],[1]!Entities[Name_w_County],_xlfn.CONCAT("Entity ID ",RIGHT(Table3[[#This Row],[Sponsor_1_num]],8)," not found")),"")</f>
        <v/>
      </c>
      <c r="M688" t="str">
        <f>IF(LEN(G688)&lt;&gt;0,_xlfn.XLOOKUP(G688,[1]!Entities[ID_with_x],[1]!Entities[Name_w_County],_xlfn.CONCAT("Entity ID ",RIGHT(Table3[[#This Row],[Sponsor_1_num]],8)," not found")),"")</f>
        <v/>
      </c>
      <c r="N688" t="str">
        <f>IF(LEN(H688)&lt;&gt;0,_xlfn.XLOOKUP(H688,[1]!Entities[ID_with_x],[1]!Entities[Name_w_County],_xlfn.CONCAT("Entity ID ",RIGHT(Table3[[#This Row],[Sponsor_1_num]],8)," not found")),"")</f>
        <v/>
      </c>
      <c r="O688" t="str">
        <f>IF(LEN(I688)&lt;&gt;0,_xlfn.XLOOKUP(I688,[1]!Entities[ID_with_x],[1]!Entities[Name_w_County],_xlfn.CONCAT("Entity ID ",RIGHT(Table3[[#This Row],[Sponsor_1_num]],8)," not found")),"")</f>
        <v/>
      </c>
      <c r="P688" t="str">
        <f>IF(LEN(J688)&lt;&gt;0,_xlfn.XLOOKUP(J688,[1]!Entities[ID_with_x],[1]!Entities[Name_w_County],_xlfn.CONCAT("Entity ID ",RIGHT(Table3[[#This Row],[Sponsor_1_num]],8)," not found")),"")</f>
        <v/>
      </c>
      <c r="Q688" t="str">
        <f>IF(LEN(K688)&gt;0,_xlfn.TEXTJOIN(", ",TRUE,K688:P688),Table3[[#This Row],[SPONSOR_LIST]])</f>
        <v>Bayview</v>
      </c>
    </row>
    <row r="689" spans="1:17" x14ac:dyDescent="0.25">
      <c r="A689" s="304" t="s">
        <v>3854</v>
      </c>
      <c r="B689" t="s">
        <v>4146</v>
      </c>
      <c r="C689" t="str">
        <f t="shared" si="11"/>
        <v>x15000074</v>
      </c>
      <c r="D689" t="str">
        <f>SUBSTITUTE(SUBSTITUTE(Table3[[#This Row],[Sponsor_list_tranform]],",",",x")," ","")</f>
        <v>x15000074</v>
      </c>
      <c r="E689" t="s">
        <v>11838</v>
      </c>
      <c r="K689" t="str">
        <f>IF(LEN(E689)&lt;&gt;0,_xlfn.XLOOKUP(E689,[1]!Entities[ID_with_x],[1]!Entities[Name_w_County],_xlfn.CONCAT("Entity ID ",RIGHT(Table3[[#This Row],[Sponsor_1_num]],8)," not found")),"")</f>
        <v>Bayview</v>
      </c>
      <c r="L689" t="str">
        <f>IF(LEN(F689)&lt;&gt;0,_xlfn.XLOOKUP(F689,[1]!Entities[ID_with_x],[1]!Entities[Name_w_County],_xlfn.CONCAT("Entity ID ",RIGHT(Table3[[#This Row],[Sponsor_1_num]],8)," not found")),"")</f>
        <v/>
      </c>
      <c r="M689" t="str">
        <f>IF(LEN(G689)&lt;&gt;0,_xlfn.XLOOKUP(G689,[1]!Entities[ID_with_x],[1]!Entities[Name_w_County],_xlfn.CONCAT("Entity ID ",RIGHT(Table3[[#This Row],[Sponsor_1_num]],8)," not found")),"")</f>
        <v/>
      </c>
      <c r="N689" t="str">
        <f>IF(LEN(H689)&lt;&gt;0,_xlfn.XLOOKUP(H689,[1]!Entities[ID_with_x],[1]!Entities[Name_w_County],_xlfn.CONCAT("Entity ID ",RIGHT(Table3[[#This Row],[Sponsor_1_num]],8)," not found")),"")</f>
        <v/>
      </c>
      <c r="O689" t="str">
        <f>IF(LEN(I689)&lt;&gt;0,_xlfn.XLOOKUP(I689,[1]!Entities[ID_with_x],[1]!Entities[Name_w_County],_xlfn.CONCAT("Entity ID ",RIGHT(Table3[[#This Row],[Sponsor_1_num]],8)," not found")),"")</f>
        <v/>
      </c>
      <c r="P689" t="str">
        <f>IF(LEN(J689)&lt;&gt;0,_xlfn.XLOOKUP(J689,[1]!Entities[ID_with_x],[1]!Entities[Name_w_County],_xlfn.CONCAT("Entity ID ",RIGHT(Table3[[#This Row],[Sponsor_1_num]],8)," not found")),"")</f>
        <v/>
      </c>
      <c r="Q689" t="str">
        <f>IF(LEN(K689)&gt;0,_xlfn.TEXTJOIN(", ",TRUE,K689:P689),Table3[[#This Row],[SPONSOR_LIST]])</f>
        <v>Bayview</v>
      </c>
    </row>
    <row r="690" spans="1:17" x14ac:dyDescent="0.25">
      <c r="A690" s="304" t="s">
        <v>3858</v>
      </c>
      <c r="B690" t="s">
        <v>4146</v>
      </c>
      <c r="C690" t="str">
        <f t="shared" si="11"/>
        <v>x15000074</v>
      </c>
      <c r="D690" t="str">
        <f>SUBSTITUTE(SUBSTITUTE(Table3[[#This Row],[Sponsor_list_tranform]],",",",x")," ","")</f>
        <v>x15000074</v>
      </c>
      <c r="E690" t="s">
        <v>11838</v>
      </c>
      <c r="K690" t="str">
        <f>IF(LEN(E690)&lt;&gt;0,_xlfn.XLOOKUP(E690,[1]!Entities[ID_with_x],[1]!Entities[Name_w_County],_xlfn.CONCAT("Entity ID ",RIGHT(Table3[[#This Row],[Sponsor_1_num]],8)," not found")),"")</f>
        <v>Bayview</v>
      </c>
      <c r="L690" t="str">
        <f>IF(LEN(F690)&lt;&gt;0,_xlfn.XLOOKUP(F690,[1]!Entities[ID_with_x],[1]!Entities[Name_w_County],_xlfn.CONCAT("Entity ID ",RIGHT(Table3[[#This Row],[Sponsor_1_num]],8)," not found")),"")</f>
        <v/>
      </c>
      <c r="M690" t="str">
        <f>IF(LEN(G690)&lt;&gt;0,_xlfn.XLOOKUP(G690,[1]!Entities[ID_with_x],[1]!Entities[Name_w_County],_xlfn.CONCAT("Entity ID ",RIGHT(Table3[[#This Row],[Sponsor_1_num]],8)," not found")),"")</f>
        <v/>
      </c>
      <c r="N690" t="str">
        <f>IF(LEN(H690)&lt;&gt;0,_xlfn.XLOOKUP(H690,[1]!Entities[ID_with_x],[1]!Entities[Name_w_County],_xlfn.CONCAT("Entity ID ",RIGHT(Table3[[#This Row],[Sponsor_1_num]],8)," not found")),"")</f>
        <v/>
      </c>
      <c r="O690" t="str">
        <f>IF(LEN(I690)&lt;&gt;0,_xlfn.XLOOKUP(I690,[1]!Entities[ID_with_x],[1]!Entities[Name_w_County],_xlfn.CONCAT("Entity ID ",RIGHT(Table3[[#This Row],[Sponsor_1_num]],8)," not found")),"")</f>
        <v/>
      </c>
      <c r="P690" t="str">
        <f>IF(LEN(J690)&lt;&gt;0,_xlfn.XLOOKUP(J690,[1]!Entities[ID_with_x],[1]!Entities[Name_w_County],_xlfn.CONCAT("Entity ID ",RIGHT(Table3[[#This Row],[Sponsor_1_num]],8)," not found")),"")</f>
        <v/>
      </c>
      <c r="Q690" t="str">
        <f>IF(LEN(K690)&gt;0,_xlfn.TEXTJOIN(", ",TRUE,K690:P690),Table3[[#This Row],[SPONSOR_LIST]])</f>
        <v>Bayview</v>
      </c>
    </row>
    <row r="691" spans="1:17" x14ac:dyDescent="0.25">
      <c r="A691" s="304" t="s">
        <v>3913</v>
      </c>
      <c r="B691" t="s">
        <v>4118</v>
      </c>
      <c r="C691" t="str">
        <f t="shared" si="11"/>
        <v>x15000046</v>
      </c>
      <c r="D691" t="str">
        <f>SUBSTITUTE(SUBSTITUTE(Table3[[#This Row],[Sponsor_list_tranform]],",",",x")," ","")</f>
        <v>x15000046</v>
      </c>
      <c r="E691" t="s">
        <v>11819</v>
      </c>
      <c r="K691" t="str">
        <f>IF(LEN(E691)&lt;&gt;0,_xlfn.XLOOKUP(E691,[1]!Entities[ID_with_x],[1]!Entities[Name_w_County],_xlfn.CONCAT("Entity ID ",RIGHT(Table3[[#This Row],[Sponsor_1_num]],8)," not found")),"")</f>
        <v>Indian Lake</v>
      </c>
      <c r="L691" t="str">
        <f>IF(LEN(F691)&lt;&gt;0,_xlfn.XLOOKUP(F691,[1]!Entities[ID_with_x],[1]!Entities[Name_w_County],_xlfn.CONCAT("Entity ID ",RIGHT(Table3[[#This Row],[Sponsor_1_num]],8)," not found")),"")</f>
        <v/>
      </c>
      <c r="M691" t="str">
        <f>IF(LEN(G691)&lt;&gt;0,_xlfn.XLOOKUP(G691,[1]!Entities[ID_with_x],[1]!Entities[Name_w_County],_xlfn.CONCAT("Entity ID ",RIGHT(Table3[[#This Row],[Sponsor_1_num]],8)," not found")),"")</f>
        <v/>
      </c>
      <c r="N691" t="str">
        <f>IF(LEN(H691)&lt;&gt;0,_xlfn.XLOOKUP(H691,[1]!Entities[ID_with_x],[1]!Entities[Name_w_County],_xlfn.CONCAT("Entity ID ",RIGHT(Table3[[#This Row],[Sponsor_1_num]],8)," not found")),"")</f>
        <v/>
      </c>
      <c r="O691" t="str">
        <f>IF(LEN(I691)&lt;&gt;0,_xlfn.XLOOKUP(I691,[1]!Entities[ID_with_x],[1]!Entities[Name_w_County],_xlfn.CONCAT("Entity ID ",RIGHT(Table3[[#This Row],[Sponsor_1_num]],8)," not found")),"")</f>
        <v/>
      </c>
      <c r="P691" t="str">
        <f>IF(LEN(J691)&lt;&gt;0,_xlfn.XLOOKUP(J691,[1]!Entities[ID_with_x],[1]!Entities[Name_w_County],_xlfn.CONCAT("Entity ID ",RIGHT(Table3[[#This Row],[Sponsor_1_num]],8)," not found")),"")</f>
        <v/>
      </c>
      <c r="Q691" t="str">
        <f>IF(LEN(K691)&gt;0,_xlfn.TEXTJOIN(", ",TRUE,K691:P691),Table3[[#This Row],[SPONSOR_LIST]])</f>
        <v>Indian Lake</v>
      </c>
    </row>
    <row r="692" spans="1:17" x14ac:dyDescent="0.25">
      <c r="A692" s="304" t="s">
        <v>3872</v>
      </c>
      <c r="B692" t="s">
        <v>4159</v>
      </c>
      <c r="C692" t="str">
        <f t="shared" si="11"/>
        <v>x15000072</v>
      </c>
      <c r="D692" t="str">
        <f>SUBSTITUTE(SUBSTITUTE(Table3[[#This Row],[Sponsor_list_tranform]],",",",x")," ","")</f>
        <v>x15000072</v>
      </c>
      <c r="E692" t="s">
        <v>11839</v>
      </c>
      <c r="K692" t="str">
        <f>IF(LEN(E692)&lt;&gt;0,_xlfn.XLOOKUP(E692,[1]!Entities[ID_with_x],[1]!Entities[Name_w_County],_xlfn.CONCAT("Entity ID ",RIGHT(Table3[[#This Row],[Sponsor_1_num]],8)," not found")),"")</f>
        <v>Brownsville</v>
      </c>
      <c r="L692" t="str">
        <f>IF(LEN(F692)&lt;&gt;0,_xlfn.XLOOKUP(F692,[1]!Entities[ID_with_x],[1]!Entities[Name_w_County],_xlfn.CONCAT("Entity ID ",RIGHT(Table3[[#This Row],[Sponsor_1_num]],8)," not found")),"")</f>
        <v/>
      </c>
      <c r="M692" t="str">
        <f>IF(LEN(G692)&lt;&gt;0,_xlfn.XLOOKUP(G692,[1]!Entities[ID_with_x],[1]!Entities[Name_w_County],_xlfn.CONCAT("Entity ID ",RIGHT(Table3[[#This Row],[Sponsor_1_num]],8)," not found")),"")</f>
        <v/>
      </c>
      <c r="N692" t="str">
        <f>IF(LEN(H692)&lt;&gt;0,_xlfn.XLOOKUP(H692,[1]!Entities[ID_with_x],[1]!Entities[Name_w_County],_xlfn.CONCAT("Entity ID ",RIGHT(Table3[[#This Row],[Sponsor_1_num]],8)," not found")),"")</f>
        <v/>
      </c>
      <c r="O692" t="str">
        <f>IF(LEN(I692)&lt;&gt;0,_xlfn.XLOOKUP(I692,[1]!Entities[ID_with_x],[1]!Entities[Name_w_County],_xlfn.CONCAT("Entity ID ",RIGHT(Table3[[#This Row],[Sponsor_1_num]],8)," not found")),"")</f>
        <v/>
      </c>
      <c r="P692" t="str">
        <f>IF(LEN(J692)&lt;&gt;0,_xlfn.XLOOKUP(J692,[1]!Entities[ID_with_x],[1]!Entities[Name_w_County],_xlfn.CONCAT("Entity ID ",RIGHT(Table3[[#This Row],[Sponsor_1_num]],8)," not found")),"")</f>
        <v/>
      </c>
      <c r="Q692" t="str">
        <f>IF(LEN(K692)&gt;0,_xlfn.TEXTJOIN(", ",TRUE,K692:P692),Table3[[#This Row],[SPONSOR_LIST]])</f>
        <v>Brownsville</v>
      </c>
    </row>
    <row r="693" spans="1:17" x14ac:dyDescent="0.25">
      <c r="A693" s="304" t="s">
        <v>3875</v>
      </c>
      <c r="B693" t="s">
        <v>4159</v>
      </c>
      <c r="C693" t="str">
        <f t="shared" si="11"/>
        <v>x15000072</v>
      </c>
      <c r="D693" t="str">
        <f>SUBSTITUTE(SUBSTITUTE(Table3[[#This Row],[Sponsor_list_tranform]],",",",x")," ","")</f>
        <v>x15000072</v>
      </c>
      <c r="E693" t="s">
        <v>11839</v>
      </c>
      <c r="K693" t="str">
        <f>IF(LEN(E693)&lt;&gt;0,_xlfn.XLOOKUP(E693,[1]!Entities[ID_with_x],[1]!Entities[Name_w_County],_xlfn.CONCAT("Entity ID ",RIGHT(Table3[[#This Row],[Sponsor_1_num]],8)," not found")),"")</f>
        <v>Brownsville</v>
      </c>
      <c r="L693" t="str">
        <f>IF(LEN(F693)&lt;&gt;0,_xlfn.XLOOKUP(F693,[1]!Entities[ID_with_x],[1]!Entities[Name_w_County],_xlfn.CONCAT("Entity ID ",RIGHT(Table3[[#This Row],[Sponsor_1_num]],8)," not found")),"")</f>
        <v/>
      </c>
      <c r="M693" t="str">
        <f>IF(LEN(G693)&lt;&gt;0,_xlfn.XLOOKUP(G693,[1]!Entities[ID_with_x],[1]!Entities[Name_w_County],_xlfn.CONCAT("Entity ID ",RIGHT(Table3[[#This Row],[Sponsor_1_num]],8)," not found")),"")</f>
        <v/>
      </c>
      <c r="N693" t="str">
        <f>IF(LEN(H693)&lt;&gt;0,_xlfn.XLOOKUP(H693,[1]!Entities[ID_with_x],[1]!Entities[Name_w_County],_xlfn.CONCAT("Entity ID ",RIGHT(Table3[[#This Row],[Sponsor_1_num]],8)," not found")),"")</f>
        <v/>
      </c>
      <c r="O693" t="str">
        <f>IF(LEN(I693)&lt;&gt;0,_xlfn.XLOOKUP(I693,[1]!Entities[ID_with_x],[1]!Entities[Name_w_County],_xlfn.CONCAT("Entity ID ",RIGHT(Table3[[#This Row],[Sponsor_1_num]],8)," not found")),"")</f>
        <v/>
      </c>
      <c r="P693" t="str">
        <f>IF(LEN(J693)&lt;&gt;0,_xlfn.XLOOKUP(J693,[1]!Entities[ID_with_x],[1]!Entities[Name_w_County],_xlfn.CONCAT("Entity ID ",RIGHT(Table3[[#This Row],[Sponsor_1_num]],8)," not found")),"")</f>
        <v/>
      </c>
      <c r="Q693" t="str">
        <f>IF(LEN(K693)&gt;0,_xlfn.TEXTJOIN(", ",TRUE,K693:P693),Table3[[#This Row],[SPONSOR_LIST]])</f>
        <v>Brownsville</v>
      </c>
    </row>
    <row r="694" spans="1:17" x14ac:dyDescent="0.25">
      <c r="A694" s="304" t="s">
        <v>3916</v>
      </c>
      <c r="B694" t="s">
        <v>4118</v>
      </c>
      <c r="C694" t="str">
        <f t="shared" si="11"/>
        <v>x15000046</v>
      </c>
      <c r="D694" t="str">
        <f>SUBSTITUTE(SUBSTITUTE(Table3[[#This Row],[Sponsor_list_tranform]],",",",x")," ","")</f>
        <v>x15000046</v>
      </c>
      <c r="E694" t="s">
        <v>11819</v>
      </c>
      <c r="K694" t="str">
        <f>IF(LEN(E694)&lt;&gt;0,_xlfn.XLOOKUP(E694,[1]!Entities[ID_with_x],[1]!Entities[Name_w_County],_xlfn.CONCAT("Entity ID ",RIGHT(Table3[[#This Row],[Sponsor_1_num]],8)," not found")),"")</f>
        <v>Indian Lake</v>
      </c>
      <c r="L694" t="str">
        <f>IF(LEN(F694)&lt;&gt;0,_xlfn.XLOOKUP(F694,[1]!Entities[ID_with_x],[1]!Entities[Name_w_County],_xlfn.CONCAT("Entity ID ",RIGHT(Table3[[#This Row],[Sponsor_1_num]],8)," not found")),"")</f>
        <v/>
      </c>
      <c r="M694" t="str">
        <f>IF(LEN(G694)&lt;&gt;0,_xlfn.XLOOKUP(G694,[1]!Entities[ID_with_x],[1]!Entities[Name_w_County],_xlfn.CONCAT("Entity ID ",RIGHT(Table3[[#This Row],[Sponsor_1_num]],8)," not found")),"")</f>
        <v/>
      </c>
      <c r="N694" t="str">
        <f>IF(LEN(H694)&lt;&gt;0,_xlfn.XLOOKUP(H694,[1]!Entities[ID_with_x],[1]!Entities[Name_w_County],_xlfn.CONCAT("Entity ID ",RIGHT(Table3[[#This Row],[Sponsor_1_num]],8)," not found")),"")</f>
        <v/>
      </c>
      <c r="O694" t="str">
        <f>IF(LEN(I694)&lt;&gt;0,_xlfn.XLOOKUP(I694,[1]!Entities[ID_with_x],[1]!Entities[Name_w_County],_xlfn.CONCAT("Entity ID ",RIGHT(Table3[[#This Row],[Sponsor_1_num]],8)," not found")),"")</f>
        <v/>
      </c>
      <c r="P694" t="str">
        <f>IF(LEN(J694)&lt;&gt;0,_xlfn.XLOOKUP(J694,[1]!Entities[ID_with_x],[1]!Entities[Name_w_County],_xlfn.CONCAT("Entity ID ",RIGHT(Table3[[#This Row],[Sponsor_1_num]],8)," not found")),"")</f>
        <v/>
      </c>
      <c r="Q694" t="str">
        <f>IF(LEN(K694)&gt;0,_xlfn.TEXTJOIN(", ",TRUE,K694:P694),Table3[[#This Row],[SPONSOR_LIST]])</f>
        <v>Indian Lake</v>
      </c>
    </row>
    <row r="695" spans="1:17" x14ac:dyDescent="0.25">
      <c r="A695" s="304" t="s">
        <v>3920</v>
      </c>
      <c r="B695" t="s">
        <v>4118</v>
      </c>
      <c r="C695" t="str">
        <f t="shared" si="11"/>
        <v>x15000046</v>
      </c>
      <c r="D695" t="str">
        <f>SUBSTITUTE(SUBSTITUTE(Table3[[#This Row],[Sponsor_list_tranform]],",",",x")," ","")</f>
        <v>x15000046</v>
      </c>
      <c r="E695" t="s">
        <v>11819</v>
      </c>
      <c r="K695" t="str">
        <f>IF(LEN(E695)&lt;&gt;0,_xlfn.XLOOKUP(E695,[1]!Entities[ID_with_x],[1]!Entities[Name_w_County],_xlfn.CONCAT("Entity ID ",RIGHT(Table3[[#This Row],[Sponsor_1_num]],8)," not found")),"")</f>
        <v>Indian Lake</v>
      </c>
      <c r="L695" t="str">
        <f>IF(LEN(F695)&lt;&gt;0,_xlfn.XLOOKUP(F695,[1]!Entities[ID_with_x],[1]!Entities[Name_w_County],_xlfn.CONCAT("Entity ID ",RIGHT(Table3[[#This Row],[Sponsor_1_num]],8)," not found")),"")</f>
        <v/>
      </c>
      <c r="M695" t="str">
        <f>IF(LEN(G695)&lt;&gt;0,_xlfn.XLOOKUP(G695,[1]!Entities[ID_with_x],[1]!Entities[Name_w_County],_xlfn.CONCAT("Entity ID ",RIGHT(Table3[[#This Row],[Sponsor_1_num]],8)," not found")),"")</f>
        <v/>
      </c>
      <c r="N695" t="str">
        <f>IF(LEN(H695)&lt;&gt;0,_xlfn.XLOOKUP(H695,[1]!Entities[ID_with_x],[1]!Entities[Name_w_County],_xlfn.CONCAT("Entity ID ",RIGHT(Table3[[#This Row],[Sponsor_1_num]],8)," not found")),"")</f>
        <v/>
      </c>
      <c r="O695" t="str">
        <f>IF(LEN(I695)&lt;&gt;0,_xlfn.XLOOKUP(I695,[1]!Entities[ID_with_x],[1]!Entities[Name_w_County],_xlfn.CONCAT("Entity ID ",RIGHT(Table3[[#This Row],[Sponsor_1_num]],8)," not found")),"")</f>
        <v/>
      </c>
      <c r="P695" t="str">
        <f>IF(LEN(J695)&lt;&gt;0,_xlfn.XLOOKUP(J695,[1]!Entities[ID_with_x],[1]!Entities[Name_w_County],_xlfn.CONCAT("Entity ID ",RIGHT(Table3[[#This Row],[Sponsor_1_num]],8)," not found")),"")</f>
        <v/>
      </c>
      <c r="Q695" t="str">
        <f>IF(LEN(K695)&gt;0,_xlfn.TEXTJOIN(", ",TRUE,K695:P695),Table3[[#This Row],[SPONSOR_LIST]])</f>
        <v>Indian Lake</v>
      </c>
    </row>
    <row r="696" spans="1:17" x14ac:dyDescent="0.25">
      <c r="A696" s="304" t="s">
        <v>3952</v>
      </c>
      <c r="B696" t="s">
        <v>4206</v>
      </c>
      <c r="C696" t="str">
        <f t="shared" si="11"/>
        <v>x15000051</v>
      </c>
      <c r="D696" t="str">
        <f>SUBSTITUTE(SUBSTITUTE(Table3[[#This Row],[Sponsor_list_tranform]],",",",x")," ","")</f>
        <v>x15000051</v>
      </c>
      <c r="E696" t="s">
        <v>11840</v>
      </c>
      <c r="K696" t="str">
        <f>IF(LEN(E696)&lt;&gt;0,_xlfn.XLOOKUP(E696,[1]!Entities[ID_with_x],[1]!Entities[Name_w_County],_xlfn.CONCAT("Entity ID ",RIGHT(Table3[[#This Row],[Sponsor_1_num]],8)," not found")),"")</f>
        <v>Port Isabel</v>
      </c>
      <c r="L696" t="str">
        <f>IF(LEN(F696)&lt;&gt;0,_xlfn.XLOOKUP(F696,[1]!Entities[ID_with_x],[1]!Entities[Name_w_County],_xlfn.CONCAT("Entity ID ",RIGHT(Table3[[#This Row],[Sponsor_1_num]],8)," not found")),"")</f>
        <v/>
      </c>
      <c r="M696" t="str">
        <f>IF(LEN(G696)&lt;&gt;0,_xlfn.XLOOKUP(G696,[1]!Entities[ID_with_x],[1]!Entities[Name_w_County],_xlfn.CONCAT("Entity ID ",RIGHT(Table3[[#This Row],[Sponsor_1_num]],8)," not found")),"")</f>
        <v/>
      </c>
      <c r="N696" t="str">
        <f>IF(LEN(H696)&lt;&gt;0,_xlfn.XLOOKUP(H696,[1]!Entities[ID_with_x],[1]!Entities[Name_w_County],_xlfn.CONCAT("Entity ID ",RIGHT(Table3[[#This Row],[Sponsor_1_num]],8)," not found")),"")</f>
        <v/>
      </c>
      <c r="O696" t="str">
        <f>IF(LEN(I696)&lt;&gt;0,_xlfn.XLOOKUP(I696,[1]!Entities[ID_with_x],[1]!Entities[Name_w_County],_xlfn.CONCAT("Entity ID ",RIGHT(Table3[[#This Row],[Sponsor_1_num]],8)," not found")),"")</f>
        <v/>
      </c>
      <c r="P696" t="str">
        <f>IF(LEN(J696)&lt;&gt;0,_xlfn.XLOOKUP(J696,[1]!Entities[ID_with_x],[1]!Entities[Name_w_County],_xlfn.CONCAT("Entity ID ",RIGHT(Table3[[#This Row],[Sponsor_1_num]],8)," not found")),"")</f>
        <v/>
      </c>
      <c r="Q696" t="str">
        <f>IF(LEN(K696)&gt;0,_xlfn.TEXTJOIN(", ",TRUE,K696:P696),Table3[[#This Row],[SPONSOR_LIST]])</f>
        <v>Port Isabel</v>
      </c>
    </row>
    <row r="697" spans="1:17" x14ac:dyDescent="0.25">
      <c r="A697" s="304" t="s">
        <v>3955</v>
      </c>
      <c r="B697" t="s">
        <v>4206</v>
      </c>
      <c r="C697" t="str">
        <f t="shared" si="11"/>
        <v>x15000051</v>
      </c>
      <c r="D697" t="str">
        <f>SUBSTITUTE(SUBSTITUTE(Table3[[#This Row],[Sponsor_list_tranform]],",",",x")," ","")</f>
        <v>x15000051</v>
      </c>
      <c r="E697" t="s">
        <v>11840</v>
      </c>
      <c r="K697" t="str">
        <f>IF(LEN(E697)&lt;&gt;0,_xlfn.XLOOKUP(E697,[1]!Entities[ID_with_x],[1]!Entities[Name_w_County],_xlfn.CONCAT("Entity ID ",RIGHT(Table3[[#This Row],[Sponsor_1_num]],8)," not found")),"")</f>
        <v>Port Isabel</v>
      </c>
      <c r="L697" t="str">
        <f>IF(LEN(F697)&lt;&gt;0,_xlfn.XLOOKUP(F697,[1]!Entities[ID_with_x],[1]!Entities[Name_w_County],_xlfn.CONCAT("Entity ID ",RIGHT(Table3[[#This Row],[Sponsor_1_num]],8)," not found")),"")</f>
        <v/>
      </c>
      <c r="M697" t="str">
        <f>IF(LEN(G697)&lt;&gt;0,_xlfn.XLOOKUP(G697,[1]!Entities[ID_with_x],[1]!Entities[Name_w_County],_xlfn.CONCAT("Entity ID ",RIGHT(Table3[[#This Row],[Sponsor_1_num]],8)," not found")),"")</f>
        <v/>
      </c>
      <c r="N697" t="str">
        <f>IF(LEN(H697)&lt;&gt;0,_xlfn.XLOOKUP(H697,[1]!Entities[ID_with_x],[1]!Entities[Name_w_County],_xlfn.CONCAT("Entity ID ",RIGHT(Table3[[#This Row],[Sponsor_1_num]],8)," not found")),"")</f>
        <v/>
      </c>
      <c r="O697" t="str">
        <f>IF(LEN(I697)&lt;&gt;0,_xlfn.XLOOKUP(I697,[1]!Entities[ID_with_x],[1]!Entities[Name_w_County],_xlfn.CONCAT("Entity ID ",RIGHT(Table3[[#This Row],[Sponsor_1_num]],8)," not found")),"")</f>
        <v/>
      </c>
      <c r="P697" t="str">
        <f>IF(LEN(J697)&lt;&gt;0,_xlfn.XLOOKUP(J697,[1]!Entities[ID_with_x],[1]!Entities[Name_w_County],_xlfn.CONCAT("Entity ID ",RIGHT(Table3[[#This Row],[Sponsor_1_num]],8)," not found")),"")</f>
        <v/>
      </c>
      <c r="Q697" t="str">
        <f>IF(LEN(K697)&gt;0,_xlfn.TEXTJOIN(", ",TRUE,K697:P697),Table3[[#This Row],[SPONSOR_LIST]])</f>
        <v>Port Isabel</v>
      </c>
    </row>
    <row r="698" spans="1:17" x14ac:dyDescent="0.25">
      <c r="A698" s="304" t="s">
        <v>3958</v>
      </c>
      <c r="B698" t="s">
        <v>4206</v>
      </c>
      <c r="C698" t="str">
        <f t="shared" si="11"/>
        <v>x15000051</v>
      </c>
      <c r="D698" t="str">
        <f>SUBSTITUTE(SUBSTITUTE(Table3[[#This Row],[Sponsor_list_tranform]],",",",x")," ","")</f>
        <v>x15000051</v>
      </c>
      <c r="E698" t="s">
        <v>11840</v>
      </c>
      <c r="K698" t="str">
        <f>IF(LEN(E698)&lt;&gt;0,_xlfn.XLOOKUP(E698,[1]!Entities[ID_with_x],[1]!Entities[Name_w_County],_xlfn.CONCAT("Entity ID ",RIGHT(Table3[[#This Row],[Sponsor_1_num]],8)," not found")),"")</f>
        <v>Port Isabel</v>
      </c>
      <c r="L698" t="str">
        <f>IF(LEN(F698)&lt;&gt;0,_xlfn.XLOOKUP(F698,[1]!Entities[ID_with_x],[1]!Entities[Name_w_County],_xlfn.CONCAT("Entity ID ",RIGHT(Table3[[#This Row],[Sponsor_1_num]],8)," not found")),"")</f>
        <v/>
      </c>
      <c r="M698" t="str">
        <f>IF(LEN(G698)&lt;&gt;0,_xlfn.XLOOKUP(G698,[1]!Entities[ID_with_x],[1]!Entities[Name_w_County],_xlfn.CONCAT("Entity ID ",RIGHT(Table3[[#This Row],[Sponsor_1_num]],8)," not found")),"")</f>
        <v/>
      </c>
      <c r="N698" t="str">
        <f>IF(LEN(H698)&lt;&gt;0,_xlfn.XLOOKUP(H698,[1]!Entities[ID_with_x],[1]!Entities[Name_w_County],_xlfn.CONCAT("Entity ID ",RIGHT(Table3[[#This Row],[Sponsor_1_num]],8)," not found")),"")</f>
        <v/>
      </c>
      <c r="O698" t="str">
        <f>IF(LEN(I698)&lt;&gt;0,_xlfn.XLOOKUP(I698,[1]!Entities[ID_with_x],[1]!Entities[Name_w_County],_xlfn.CONCAT("Entity ID ",RIGHT(Table3[[#This Row],[Sponsor_1_num]],8)," not found")),"")</f>
        <v/>
      </c>
      <c r="P698" t="str">
        <f>IF(LEN(J698)&lt;&gt;0,_xlfn.XLOOKUP(J698,[1]!Entities[ID_with_x],[1]!Entities[Name_w_County],_xlfn.CONCAT("Entity ID ",RIGHT(Table3[[#This Row],[Sponsor_1_num]],8)," not found")),"")</f>
        <v/>
      </c>
      <c r="Q698" t="str">
        <f>IF(LEN(K698)&gt;0,_xlfn.TEXTJOIN(", ",TRUE,K698:P698),Table3[[#This Row],[SPONSOR_LIST]])</f>
        <v>Port Isabel</v>
      </c>
    </row>
    <row r="699" spans="1:17" x14ac:dyDescent="0.25">
      <c r="A699" s="304" t="s">
        <v>3961</v>
      </c>
      <c r="B699" t="s">
        <v>4206</v>
      </c>
      <c r="C699" t="str">
        <f t="shared" si="11"/>
        <v>x15000051</v>
      </c>
      <c r="D699" t="str">
        <f>SUBSTITUTE(SUBSTITUTE(Table3[[#This Row],[Sponsor_list_tranform]],",",",x")," ","")</f>
        <v>x15000051</v>
      </c>
      <c r="E699" t="s">
        <v>11840</v>
      </c>
      <c r="K699" t="str">
        <f>IF(LEN(E699)&lt;&gt;0,_xlfn.XLOOKUP(E699,[1]!Entities[ID_with_x],[1]!Entities[Name_w_County],_xlfn.CONCAT("Entity ID ",RIGHT(Table3[[#This Row],[Sponsor_1_num]],8)," not found")),"")</f>
        <v>Port Isabel</v>
      </c>
      <c r="L699" t="str">
        <f>IF(LEN(F699)&lt;&gt;0,_xlfn.XLOOKUP(F699,[1]!Entities[ID_with_x],[1]!Entities[Name_w_County],_xlfn.CONCAT("Entity ID ",RIGHT(Table3[[#This Row],[Sponsor_1_num]],8)," not found")),"")</f>
        <v/>
      </c>
      <c r="M699" t="str">
        <f>IF(LEN(G699)&lt;&gt;0,_xlfn.XLOOKUP(G699,[1]!Entities[ID_with_x],[1]!Entities[Name_w_County],_xlfn.CONCAT("Entity ID ",RIGHT(Table3[[#This Row],[Sponsor_1_num]],8)," not found")),"")</f>
        <v/>
      </c>
      <c r="N699" t="str">
        <f>IF(LEN(H699)&lt;&gt;0,_xlfn.XLOOKUP(H699,[1]!Entities[ID_with_x],[1]!Entities[Name_w_County],_xlfn.CONCAT("Entity ID ",RIGHT(Table3[[#This Row],[Sponsor_1_num]],8)," not found")),"")</f>
        <v/>
      </c>
      <c r="O699" t="str">
        <f>IF(LEN(I699)&lt;&gt;0,_xlfn.XLOOKUP(I699,[1]!Entities[ID_with_x],[1]!Entities[Name_w_County],_xlfn.CONCAT("Entity ID ",RIGHT(Table3[[#This Row],[Sponsor_1_num]],8)," not found")),"")</f>
        <v/>
      </c>
      <c r="P699" t="str">
        <f>IF(LEN(J699)&lt;&gt;0,_xlfn.XLOOKUP(J699,[1]!Entities[ID_with_x],[1]!Entities[Name_w_County],_xlfn.CONCAT("Entity ID ",RIGHT(Table3[[#This Row],[Sponsor_1_num]],8)," not found")),"")</f>
        <v/>
      </c>
      <c r="Q699" t="str">
        <f>IF(LEN(K699)&gt;0,_xlfn.TEXTJOIN(", ",TRUE,K699:P699),Table3[[#This Row],[SPONSOR_LIST]])</f>
        <v>Port Isabel</v>
      </c>
    </row>
    <row r="700" spans="1:17" x14ac:dyDescent="0.25">
      <c r="A700" s="304" t="s">
        <v>3964</v>
      </c>
      <c r="B700" t="s">
        <v>4206</v>
      </c>
      <c r="C700" t="str">
        <f t="shared" si="11"/>
        <v>x15000051</v>
      </c>
      <c r="D700" t="str">
        <f>SUBSTITUTE(SUBSTITUTE(Table3[[#This Row],[Sponsor_list_tranform]],",",",x")," ","")</f>
        <v>x15000051</v>
      </c>
      <c r="E700" t="s">
        <v>11840</v>
      </c>
      <c r="K700" t="str">
        <f>IF(LEN(E700)&lt;&gt;0,_xlfn.XLOOKUP(E700,[1]!Entities[ID_with_x],[1]!Entities[Name_w_County],_xlfn.CONCAT("Entity ID ",RIGHT(Table3[[#This Row],[Sponsor_1_num]],8)," not found")),"")</f>
        <v>Port Isabel</v>
      </c>
      <c r="L700" t="str">
        <f>IF(LEN(F700)&lt;&gt;0,_xlfn.XLOOKUP(F700,[1]!Entities[ID_with_x],[1]!Entities[Name_w_County],_xlfn.CONCAT("Entity ID ",RIGHT(Table3[[#This Row],[Sponsor_1_num]],8)," not found")),"")</f>
        <v/>
      </c>
      <c r="M700" t="str">
        <f>IF(LEN(G700)&lt;&gt;0,_xlfn.XLOOKUP(G700,[1]!Entities[ID_with_x],[1]!Entities[Name_w_County],_xlfn.CONCAT("Entity ID ",RIGHT(Table3[[#This Row],[Sponsor_1_num]],8)," not found")),"")</f>
        <v/>
      </c>
      <c r="N700" t="str">
        <f>IF(LEN(H700)&lt;&gt;0,_xlfn.XLOOKUP(H700,[1]!Entities[ID_with_x],[1]!Entities[Name_w_County],_xlfn.CONCAT("Entity ID ",RIGHT(Table3[[#This Row],[Sponsor_1_num]],8)," not found")),"")</f>
        <v/>
      </c>
      <c r="O700" t="str">
        <f>IF(LEN(I700)&lt;&gt;0,_xlfn.XLOOKUP(I700,[1]!Entities[ID_with_x],[1]!Entities[Name_w_County],_xlfn.CONCAT("Entity ID ",RIGHT(Table3[[#This Row],[Sponsor_1_num]],8)," not found")),"")</f>
        <v/>
      </c>
      <c r="P700" t="str">
        <f>IF(LEN(J700)&lt;&gt;0,_xlfn.XLOOKUP(J700,[1]!Entities[ID_with_x],[1]!Entities[Name_w_County],_xlfn.CONCAT("Entity ID ",RIGHT(Table3[[#This Row],[Sponsor_1_num]],8)," not found")),"")</f>
        <v/>
      </c>
      <c r="Q700" t="str">
        <f>IF(LEN(K700)&gt;0,_xlfn.TEXTJOIN(", ",TRUE,K700:P700),Table3[[#This Row],[SPONSOR_LIST]])</f>
        <v>Port Isabel</v>
      </c>
    </row>
    <row r="701" spans="1:17" x14ac:dyDescent="0.25">
      <c r="A701" s="304" t="s">
        <v>3967</v>
      </c>
      <c r="B701" t="s">
        <v>3991</v>
      </c>
      <c r="C701" t="str">
        <f t="shared" si="11"/>
        <v>x15000052</v>
      </c>
      <c r="D701" t="str">
        <f>SUBSTITUTE(SUBSTITUTE(Table3[[#This Row],[Sponsor_list_tranform]],",",",x")," ","")</f>
        <v>x15000052</v>
      </c>
      <c r="E701" t="s">
        <v>11841</v>
      </c>
      <c r="K701" t="str">
        <f>IF(LEN(E701)&lt;&gt;0,_xlfn.XLOOKUP(E701,[1]!Entities[ID_with_x],[1]!Entities[Name_w_County],_xlfn.CONCAT("Entity ID ",RIGHT(Table3[[#This Row],[Sponsor_1_num]],8)," not found")),"")</f>
        <v>Primera</v>
      </c>
      <c r="L701" t="str">
        <f>IF(LEN(F701)&lt;&gt;0,_xlfn.XLOOKUP(F701,[1]!Entities[ID_with_x],[1]!Entities[Name_w_County],_xlfn.CONCAT("Entity ID ",RIGHT(Table3[[#This Row],[Sponsor_1_num]],8)," not found")),"")</f>
        <v/>
      </c>
      <c r="M701" t="str">
        <f>IF(LEN(G701)&lt;&gt;0,_xlfn.XLOOKUP(G701,[1]!Entities[ID_with_x],[1]!Entities[Name_w_County],_xlfn.CONCAT("Entity ID ",RIGHT(Table3[[#This Row],[Sponsor_1_num]],8)," not found")),"")</f>
        <v/>
      </c>
      <c r="N701" t="str">
        <f>IF(LEN(H701)&lt;&gt;0,_xlfn.XLOOKUP(H701,[1]!Entities[ID_with_x],[1]!Entities[Name_w_County],_xlfn.CONCAT("Entity ID ",RIGHT(Table3[[#This Row],[Sponsor_1_num]],8)," not found")),"")</f>
        <v/>
      </c>
      <c r="O701" t="str">
        <f>IF(LEN(I701)&lt;&gt;0,_xlfn.XLOOKUP(I701,[1]!Entities[ID_with_x],[1]!Entities[Name_w_County],_xlfn.CONCAT("Entity ID ",RIGHT(Table3[[#This Row],[Sponsor_1_num]],8)," not found")),"")</f>
        <v/>
      </c>
      <c r="P701" t="str">
        <f>IF(LEN(J701)&lt;&gt;0,_xlfn.XLOOKUP(J701,[1]!Entities[ID_with_x],[1]!Entities[Name_w_County],_xlfn.CONCAT("Entity ID ",RIGHT(Table3[[#This Row],[Sponsor_1_num]],8)," not found")),"")</f>
        <v/>
      </c>
      <c r="Q701" t="str">
        <f>IF(LEN(K701)&gt;0,_xlfn.TEXTJOIN(", ",TRUE,K701:P701),Table3[[#This Row],[SPONSOR_LIST]])</f>
        <v>Primera</v>
      </c>
    </row>
    <row r="702" spans="1:17" x14ac:dyDescent="0.25">
      <c r="A702" s="304" t="s">
        <v>3970</v>
      </c>
      <c r="B702" t="s">
        <v>3991</v>
      </c>
      <c r="C702" t="str">
        <f t="shared" si="11"/>
        <v>x15000052</v>
      </c>
      <c r="D702" t="str">
        <f>SUBSTITUTE(SUBSTITUTE(Table3[[#This Row],[Sponsor_list_tranform]],",",",x")," ","")</f>
        <v>x15000052</v>
      </c>
      <c r="E702" t="s">
        <v>11841</v>
      </c>
      <c r="K702" t="str">
        <f>IF(LEN(E702)&lt;&gt;0,_xlfn.XLOOKUP(E702,[1]!Entities[ID_with_x],[1]!Entities[Name_w_County],_xlfn.CONCAT("Entity ID ",RIGHT(Table3[[#This Row],[Sponsor_1_num]],8)," not found")),"")</f>
        <v>Primera</v>
      </c>
      <c r="L702" t="str">
        <f>IF(LEN(F702)&lt;&gt;0,_xlfn.XLOOKUP(F702,[1]!Entities[ID_with_x],[1]!Entities[Name_w_County],_xlfn.CONCAT("Entity ID ",RIGHT(Table3[[#This Row],[Sponsor_1_num]],8)," not found")),"")</f>
        <v/>
      </c>
      <c r="M702" t="str">
        <f>IF(LEN(G702)&lt;&gt;0,_xlfn.XLOOKUP(G702,[1]!Entities[ID_with_x],[1]!Entities[Name_w_County],_xlfn.CONCAT("Entity ID ",RIGHT(Table3[[#This Row],[Sponsor_1_num]],8)," not found")),"")</f>
        <v/>
      </c>
      <c r="N702" t="str">
        <f>IF(LEN(H702)&lt;&gt;0,_xlfn.XLOOKUP(H702,[1]!Entities[ID_with_x],[1]!Entities[Name_w_County],_xlfn.CONCAT("Entity ID ",RIGHT(Table3[[#This Row],[Sponsor_1_num]],8)," not found")),"")</f>
        <v/>
      </c>
      <c r="O702" t="str">
        <f>IF(LEN(I702)&lt;&gt;0,_xlfn.XLOOKUP(I702,[1]!Entities[ID_with_x],[1]!Entities[Name_w_County],_xlfn.CONCAT("Entity ID ",RIGHT(Table3[[#This Row],[Sponsor_1_num]],8)," not found")),"")</f>
        <v/>
      </c>
      <c r="P702" t="str">
        <f>IF(LEN(J702)&lt;&gt;0,_xlfn.XLOOKUP(J702,[1]!Entities[ID_with_x],[1]!Entities[Name_w_County],_xlfn.CONCAT("Entity ID ",RIGHT(Table3[[#This Row],[Sponsor_1_num]],8)," not found")),"")</f>
        <v/>
      </c>
      <c r="Q702" t="str">
        <f>IF(LEN(K702)&gt;0,_xlfn.TEXTJOIN(", ",TRUE,K702:P702),Table3[[#This Row],[SPONSOR_LIST]])</f>
        <v>Primera</v>
      </c>
    </row>
    <row r="703" spans="1:17" x14ac:dyDescent="0.25">
      <c r="A703" s="304" t="s">
        <v>3973</v>
      </c>
      <c r="B703" t="s">
        <v>3991</v>
      </c>
      <c r="C703" t="str">
        <f t="shared" si="11"/>
        <v>x15000052</v>
      </c>
      <c r="D703" t="str">
        <f>SUBSTITUTE(SUBSTITUTE(Table3[[#This Row],[Sponsor_list_tranform]],",",",x")," ","")</f>
        <v>x15000052</v>
      </c>
      <c r="E703" t="s">
        <v>11841</v>
      </c>
      <c r="K703" t="str">
        <f>IF(LEN(E703)&lt;&gt;0,_xlfn.XLOOKUP(E703,[1]!Entities[ID_with_x],[1]!Entities[Name_w_County],_xlfn.CONCAT("Entity ID ",RIGHT(Table3[[#This Row],[Sponsor_1_num]],8)," not found")),"")</f>
        <v>Primera</v>
      </c>
      <c r="L703" t="str">
        <f>IF(LEN(F703)&lt;&gt;0,_xlfn.XLOOKUP(F703,[1]!Entities[ID_with_x],[1]!Entities[Name_w_County],_xlfn.CONCAT("Entity ID ",RIGHT(Table3[[#This Row],[Sponsor_1_num]],8)," not found")),"")</f>
        <v/>
      </c>
      <c r="M703" t="str">
        <f>IF(LEN(G703)&lt;&gt;0,_xlfn.XLOOKUP(G703,[1]!Entities[ID_with_x],[1]!Entities[Name_w_County],_xlfn.CONCAT("Entity ID ",RIGHT(Table3[[#This Row],[Sponsor_1_num]],8)," not found")),"")</f>
        <v/>
      </c>
      <c r="N703" t="str">
        <f>IF(LEN(H703)&lt;&gt;0,_xlfn.XLOOKUP(H703,[1]!Entities[ID_with_x],[1]!Entities[Name_w_County],_xlfn.CONCAT("Entity ID ",RIGHT(Table3[[#This Row],[Sponsor_1_num]],8)," not found")),"")</f>
        <v/>
      </c>
      <c r="O703" t="str">
        <f>IF(LEN(I703)&lt;&gt;0,_xlfn.XLOOKUP(I703,[1]!Entities[ID_with_x],[1]!Entities[Name_w_County],_xlfn.CONCAT("Entity ID ",RIGHT(Table3[[#This Row],[Sponsor_1_num]],8)," not found")),"")</f>
        <v/>
      </c>
      <c r="P703" t="str">
        <f>IF(LEN(J703)&lt;&gt;0,_xlfn.XLOOKUP(J703,[1]!Entities[ID_with_x],[1]!Entities[Name_w_County],_xlfn.CONCAT("Entity ID ",RIGHT(Table3[[#This Row],[Sponsor_1_num]],8)," not found")),"")</f>
        <v/>
      </c>
      <c r="Q703" t="str">
        <f>IF(LEN(K703)&gt;0,_xlfn.TEXTJOIN(", ",TRUE,K703:P703),Table3[[#This Row],[SPONSOR_LIST]])</f>
        <v>Primera</v>
      </c>
    </row>
    <row r="704" spans="1:17" x14ac:dyDescent="0.25">
      <c r="A704" s="304" t="s">
        <v>3976</v>
      </c>
      <c r="B704" t="s">
        <v>3919</v>
      </c>
      <c r="C704" t="str">
        <f t="shared" si="11"/>
        <v>x15000053</v>
      </c>
      <c r="D704" t="str">
        <f>SUBSTITUTE(SUBSTITUTE(Table3[[#This Row],[Sponsor_list_tranform]],",",",x")," ","")</f>
        <v>x15000053</v>
      </c>
      <c r="E704" t="s">
        <v>11842</v>
      </c>
      <c r="K704" t="str">
        <f>IF(LEN(E704)&lt;&gt;0,_xlfn.XLOOKUP(E704,[1]!Entities[ID_with_x],[1]!Entities[Name_w_County],_xlfn.CONCAT("Entity ID ",RIGHT(Table3[[#This Row],[Sponsor_1_num]],8)," not found")),"")</f>
        <v>Rancho Viejo</v>
      </c>
      <c r="L704" t="str">
        <f>IF(LEN(F704)&lt;&gt;0,_xlfn.XLOOKUP(F704,[1]!Entities[ID_with_x],[1]!Entities[Name_w_County],_xlfn.CONCAT("Entity ID ",RIGHT(Table3[[#This Row],[Sponsor_1_num]],8)," not found")),"")</f>
        <v/>
      </c>
      <c r="M704" t="str">
        <f>IF(LEN(G704)&lt;&gt;0,_xlfn.XLOOKUP(G704,[1]!Entities[ID_with_x],[1]!Entities[Name_w_County],_xlfn.CONCAT("Entity ID ",RIGHT(Table3[[#This Row],[Sponsor_1_num]],8)," not found")),"")</f>
        <v/>
      </c>
      <c r="N704" t="str">
        <f>IF(LEN(H704)&lt;&gt;0,_xlfn.XLOOKUP(H704,[1]!Entities[ID_with_x],[1]!Entities[Name_w_County],_xlfn.CONCAT("Entity ID ",RIGHT(Table3[[#This Row],[Sponsor_1_num]],8)," not found")),"")</f>
        <v/>
      </c>
      <c r="O704" t="str">
        <f>IF(LEN(I704)&lt;&gt;0,_xlfn.XLOOKUP(I704,[1]!Entities[ID_with_x],[1]!Entities[Name_w_County],_xlfn.CONCAT("Entity ID ",RIGHT(Table3[[#This Row],[Sponsor_1_num]],8)," not found")),"")</f>
        <v/>
      </c>
      <c r="P704" t="str">
        <f>IF(LEN(J704)&lt;&gt;0,_xlfn.XLOOKUP(J704,[1]!Entities[ID_with_x],[1]!Entities[Name_w_County],_xlfn.CONCAT("Entity ID ",RIGHT(Table3[[#This Row],[Sponsor_1_num]],8)," not found")),"")</f>
        <v/>
      </c>
      <c r="Q704" t="str">
        <f>IF(LEN(K704)&gt;0,_xlfn.TEXTJOIN(", ",TRUE,K704:P704),Table3[[#This Row],[SPONSOR_LIST]])</f>
        <v>Rancho Viejo</v>
      </c>
    </row>
    <row r="705" spans="1:17" x14ac:dyDescent="0.25">
      <c r="A705" s="304" t="s">
        <v>3979</v>
      </c>
      <c r="B705" t="s">
        <v>3919</v>
      </c>
      <c r="C705" t="str">
        <f t="shared" si="11"/>
        <v>x15000053</v>
      </c>
      <c r="D705" t="str">
        <f>SUBSTITUTE(SUBSTITUTE(Table3[[#This Row],[Sponsor_list_tranform]],",",",x")," ","")</f>
        <v>x15000053</v>
      </c>
      <c r="E705" t="s">
        <v>11842</v>
      </c>
      <c r="K705" t="str">
        <f>IF(LEN(E705)&lt;&gt;0,_xlfn.XLOOKUP(E705,[1]!Entities[ID_with_x],[1]!Entities[Name_w_County],_xlfn.CONCAT("Entity ID ",RIGHT(Table3[[#This Row],[Sponsor_1_num]],8)," not found")),"")</f>
        <v>Rancho Viejo</v>
      </c>
      <c r="L705" t="str">
        <f>IF(LEN(F705)&lt;&gt;0,_xlfn.XLOOKUP(F705,[1]!Entities[ID_with_x],[1]!Entities[Name_w_County],_xlfn.CONCAT("Entity ID ",RIGHT(Table3[[#This Row],[Sponsor_1_num]],8)," not found")),"")</f>
        <v/>
      </c>
      <c r="M705" t="str">
        <f>IF(LEN(G705)&lt;&gt;0,_xlfn.XLOOKUP(G705,[1]!Entities[ID_with_x],[1]!Entities[Name_w_County],_xlfn.CONCAT("Entity ID ",RIGHT(Table3[[#This Row],[Sponsor_1_num]],8)," not found")),"")</f>
        <v/>
      </c>
      <c r="N705" t="str">
        <f>IF(LEN(H705)&lt;&gt;0,_xlfn.XLOOKUP(H705,[1]!Entities[ID_with_x],[1]!Entities[Name_w_County],_xlfn.CONCAT("Entity ID ",RIGHT(Table3[[#This Row],[Sponsor_1_num]],8)," not found")),"")</f>
        <v/>
      </c>
      <c r="O705" t="str">
        <f>IF(LEN(I705)&lt;&gt;0,_xlfn.XLOOKUP(I705,[1]!Entities[ID_with_x],[1]!Entities[Name_w_County],_xlfn.CONCAT("Entity ID ",RIGHT(Table3[[#This Row],[Sponsor_1_num]],8)," not found")),"")</f>
        <v/>
      </c>
      <c r="P705" t="str">
        <f>IF(LEN(J705)&lt;&gt;0,_xlfn.XLOOKUP(J705,[1]!Entities[ID_with_x],[1]!Entities[Name_w_County],_xlfn.CONCAT("Entity ID ",RIGHT(Table3[[#This Row],[Sponsor_1_num]],8)," not found")),"")</f>
        <v/>
      </c>
      <c r="Q705" t="str">
        <f>IF(LEN(K705)&gt;0,_xlfn.TEXTJOIN(", ",TRUE,K705:P705),Table3[[#This Row],[SPONSOR_LIST]])</f>
        <v>Rancho Viejo</v>
      </c>
    </row>
    <row r="706" spans="1:17" x14ac:dyDescent="0.25">
      <c r="A706" s="304" t="s">
        <v>3982</v>
      </c>
      <c r="B706" t="s">
        <v>4215</v>
      </c>
      <c r="C706" t="str">
        <f t="shared" si="11"/>
        <v>x15000054</v>
      </c>
      <c r="D706" t="str">
        <f>SUBSTITUTE(SUBSTITUTE(Table3[[#This Row],[Sponsor_list_tranform]],",",",x")," ","")</f>
        <v>x15000054</v>
      </c>
      <c r="E706" t="s">
        <v>11843</v>
      </c>
      <c r="K706" t="str">
        <f>IF(LEN(E706)&lt;&gt;0,_xlfn.XLOOKUP(E706,[1]!Entities[ID_with_x],[1]!Entities[Name_w_County],_xlfn.CONCAT("Entity ID ",RIGHT(Table3[[#This Row],[Sponsor_1_num]],8)," not found")),"")</f>
        <v>Rio Hondo</v>
      </c>
      <c r="L706" t="str">
        <f>IF(LEN(F706)&lt;&gt;0,_xlfn.XLOOKUP(F706,[1]!Entities[ID_with_x],[1]!Entities[Name_w_County],_xlfn.CONCAT("Entity ID ",RIGHT(Table3[[#This Row],[Sponsor_1_num]],8)," not found")),"")</f>
        <v/>
      </c>
      <c r="M706" t="str">
        <f>IF(LEN(G706)&lt;&gt;0,_xlfn.XLOOKUP(G706,[1]!Entities[ID_with_x],[1]!Entities[Name_w_County],_xlfn.CONCAT("Entity ID ",RIGHT(Table3[[#This Row],[Sponsor_1_num]],8)," not found")),"")</f>
        <v/>
      </c>
      <c r="N706" t="str">
        <f>IF(LEN(H706)&lt;&gt;0,_xlfn.XLOOKUP(H706,[1]!Entities[ID_with_x],[1]!Entities[Name_w_County],_xlfn.CONCAT("Entity ID ",RIGHT(Table3[[#This Row],[Sponsor_1_num]],8)," not found")),"")</f>
        <v/>
      </c>
      <c r="O706" t="str">
        <f>IF(LEN(I706)&lt;&gt;0,_xlfn.XLOOKUP(I706,[1]!Entities[ID_with_x],[1]!Entities[Name_w_County],_xlfn.CONCAT("Entity ID ",RIGHT(Table3[[#This Row],[Sponsor_1_num]],8)," not found")),"")</f>
        <v/>
      </c>
      <c r="P706" t="str">
        <f>IF(LEN(J706)&lt;&gt;0,_xlfn.XLOOKUP(J706,[1]!Entities[ID_with_x],[1]!Entities[Name_w_County],_xlfn.CONCAT("Entity ID ",RIGHT(Table3[[#This Row],[Sponsor_1_num]],8)," not found")),"")</f>
        <v/>
      </c>
      <c r="Q706" t="str">
        <f>IF(LEN(K706)&gt;0,_xlfn.TEXTJOIN(", ",TRUE,K706:P706),Table3[[#This Row],[SPONSOR_LIST]])</f>
        <v>Rio Hondo</v>
      </c>
    </row>
    <row r="707" spans="1:17" x14ac:dyDescent="0.25">
      <c r="A707" s="304" t="s">
        <v>3985</v>
      </c>
      <c r="B707" t="s">
        <v>4220</v>
      </c>
      <c r="C707" t="str">
        <f t="shared" si="11"/>
        <v>x15000073</v>
      </c>
      <c r="D707" t="str">
        <f>SUBSTITUTE(SUBSTITUTE(Table3[[#This Row],[Sponsor_list_tranform]],",",",x")," ","")</f>
        <v>x15000073</v>
      </c>
      <c r="E707" t="s">
        <v>11844</v>
      </c>
      <c r="K707" t="str">
        <f>IF(LEN(E707)&lt;&gt;0,_xlfn.XLOOKUP(E707,[1]!Entities[ID_with_x],[1]!Entities[Name_w_County],_xlfn.CONCAT("Entity ID ",RIGHT(Table3[[#This Row],[Sponsor_1_num]],8)," not found")),"")</f>
        <v>San Benito</v>
      </c>
      <c r="L707" t="str">
        <f>IF(LEN(F707)&lt;&gt;0,_xlfn.XLOOKUP(F707,[1]!Entities[ID_with_x],[1]!Entities[Name_w_County],_xlfn.CONCAT("Entity ID ",RIGHT(Table3[[#This Row],[Sponsor_1_num]],8)," not found")),"")</f>
        <v/>
      </c>
      <c r="M707" t="str">
        <f>IF(LEN(G707)&lt;&gt;0,_xlfn.XLOOKUP(G707,[1]!Entities[ID_with_x],[1]!Entities[Name_w_County],_xlfn.CONCAT("Entity ID ",RIGHT(Table3[[#This Row],[Sponsor_1_num]],8)," not found")),"")</f>
        <v/>
      </c>
      <c r="N707" t="str">
        <f>IF(LEN(H707)&lt;&gt;0,_xlfn.XLOOKUP(H707,[1]!Entities[ID_with_x],[1]!Entities[Name_w_County],_xlfn.CONCAT("Entity ID ",RIGHT(Table3[[#This Row],[Sponsor_1_num]],8)," not found")),"")</f>
        <v/>
      </c>
      <c r="O707" t="str">
        <f>IF(LEN(I707)&lt;&gt;0,_xlfn.XLOOKUP(I707,[1]!Entities[ID_with_x],[1]!Entities[Name_w_County],_xlfn.CONCAT("Entity ID ",RIGHT(Table3[[#This Row],[Sponsor_1_num]],8)," not found")),"")</f>
        <v/>
      </c>
      <c r="P707" t="str">
        <f>IF(LEN(J707)&lt;&gt;0,_xlfn.XLOOKUP(J707,[1]!Entities[ID_with_x],[1]!Entities[Name_w_County],_xlfn.CONCAT("Entity ID ",RIGHT(Table3[[#This Row],[Sponsor_1_num]],8)," not found")),"")</f>
        <v/>
      </c>
      <c r="Q707" t="str">
        <f>IF(LEN(K707)&gt;0,_xlfn.TEXTJOIN(", ",TRUE,K707:P707),Table3[[#This Row],[SPONSOR_LIST]])</f>
        <v>San Benito</v>
      </c>
    </row>
    <row r="708" spans="1:17" x14ac:dyDescent="0.25">
      <c r="A708" s="304" t="s">
        <v>3988</v>
      </c>
      <c r="B708" t="s">
        <v>4134</v>
      </c>
      <c r="C708" t="str">
        <f t="shared" si="11"/>
        <v>x15000045</v>
      </c>
      <c r="D708" t="str">
        <f>SUBSTITUTE(SUBSTITUTE(Table3[[#This Row],[Sponsor_list_tranform]],",",",x")," ","")</f>
        <v>x15000045</v>
      </c>
      <c r="E708" t="s">
        <v>11653</v>
      </c>
      <c r="K708" t="str">
        <f>IF(LEN(E708)&lt;&gt;0,_xlfn.XLOOKUP(E708,[1]!Entities[ID_with_x],[1]!Entities[Name_w_County],_xlfn.CONCAT("Entity ID ",RIGHT(Table3[[#This Row],[Sponsor_1_num]],8)," not found")),"")</f>
        <v>South Padre Island</v>
      </c>
      <c r="L708" t="str">
        <f>IF(LEN(F708)&lt;&gt;0,_xlfn.XLOOKUP(F708,[1]!Entities[ID_with_x],[1]!Entities[Name_w_County],_xlfn.CONCAT("Entity ID ",RIGHT(Table3[[#This Row],[Sponsor_1_num]],8)," not found")),"")</f>
        <v/>
      </c>
      <c r="M708" t="str">
        <f>IF(LEN(G708)&lt;&gt;0,_xlfn.XLOOKUP(G708,[1]!Entities[ID_with_x],[1]!Entities[Name_w_County],_xlfn.CONCAT("Entity ID ",RIGHT(Table3[[#This Row],[Sponsor_1_num]],8)," not found")),"")</f>
        <v/>
      </c>
      <c r="N708" t="str">
        <f>IF(LEN(H708)&lt;&gt;0,_xlfn.XLOOKUP(H708,[1]!Entities[ID_with_x],[1]!Entities[Name_w_County],_xlfn.CONCAT("Entity ID ",RIGHT(Table3[[#This Row],[Sponsor_1_num]],8)," not found")),"")</f>
        <v/>
      </c>
      <c r="O708" t="str">
        <f>IF(LEN(I708)&lt;&gt;0,_xlfn.XLOOKUP(I708,[1]!Entities[ID_with_x],[1]!Entities[Name_w_County],_xlfn.CONCAT("Entity ID ",RIGHT(Table3[[#This Row],[Sponsor_1_num]],8)," not found")),"")</f>
        <v/>
      </c>
      <c r="P708" t="str">
        <f>IF(LEN(J708)&lt;&gt;0,_xlfn.XLOOKUP(J708,[1]!Entities[ID_with_x],[1]!Entities[Name_w_County],_xlfn.CONCAT("Entity ID ",RIGHT(Table3[[#This Row],[Sponsor_1_num]],8)," not found")),"")</f>
        <v/>
      </c>
      <c r="Q708" t="str">
        <f>IF(LEN(K708)&gt;0,_xlfn.TEXTJOIN(", ",TRUE,K708:P708),Table3[[#This Row],[SPONSOR_LIST]])</f>
        <v>South Padre Island</v>
      </c>
    </row>
    <row r="709" spans="1:17" x14ac:dyDescent="0.25">
      <c r="A709" s="304" t="s">
        <v>3992</v>
      </c>
      <c r="B709" t="s">
        <v>4134</v>
      </c>
      <c r="C709" t="str">
        <f t="shared" si="11"/>
        <v>x15000045</v>
      </c>
      <c r="D709" t="str">
        <f>SUBSTITUTE(SUBSTITUTE(Table3[[#This Row],[Sponsor_list_tranform]],",",",x")," ","")</f>
        <v>x15000045</v>
      </c>
      <c r="E709" t="s">
        <v>11653</v>
      </c>
      <c r="K709" t="str">
        <f>IF(LEN(E709)&lt;&gt;0,_xlfn.XLOOKUP(E709,[1]!Entities[ID_with_x],[1]!Entities[Name_w_County],_xlfn.CONCAT("Entity ID ",RIGHT(Table3[[#This Row],[Sponsor_1_num]],8)," not found")),"")</f>
        <v>South Padre Island</v>
      </c>
      <c r="L709" t="str">
        <f>IF(LEN(F709)&lt;&gt;0,_xlfn.XLOOKUP(F709,[1]!Entities[ID_with_x],[1]!Entities[Name_w_County],_xlfn.CONCAT("Entity ID ",RIGHT(Table3[[#This Row],[Sponsor_1_num]],8)," not found")),"")</f>
        <v/>
      </c>
      <c r="M709" t="str">
        <f>IF(LEN(G709)&lt;&gt;0,_xlfn.XLOOKUP(G709,[1]!Entities[ID_with_x],[1]!Entities[Name_w_County],_xlfn.CONCAT("Entity ID ",RIGHT(Table3[[#This Row],[Sponsor_1_num]],8)," not found")),"")</f>
        <v/>
      </c>
      <c r="N709" t="str">
        <f>IF(LEN(H709)&lt;&gt;0,_xlfn.XLOOKUP(H709,[1]!Entities[ID_with_x],[1]!Entities[Name_w_County],_xlfn.CONCAT("Entity ID ",RIGHT(Table3[[#This Row],[Sponsor_1_num]],8)," not found")),"")</f>
        <v/>
      </c>
      <c r="O709" t="str">
        <f>IF(LEN(I709)&lt;&gt;0,_xlfn.XLOOKUP(I709,[1]!Entities[ID_with_x],[1]!Entities[Name_w_County],_xlfn.CONCAT("Entity ID ",RIGHT(Table3[[#This Row],[Sponsor_1_num]],8)," not found")),"")</f>
        <v/>
      </c>
      <c r="P709" t="str">
        <f>IF(LEN(J709)&lt;&gt;0,_xlfn.XLOOKUP(J709,[1]!Entities[ID_with_x],[1]!Entities[Name_w_County],_xlfn.CONCAT("Entity ID ",RIGHT(Table3[[#This Row],[Sponsor_1_num]],8)," not found")),"")</f>
        <v/>
      </c>
      <c r="Q709" t="str">
        <f>IF(LEN(K709)&gt;0,_xlfn.TEXTJOIN(", ",TRUE,K709:P709),Table3[[#This Row],[SPONSOR_LIST]])</f>
        <v>South Padre Island</v>
      </c>
    </row>
    <row r="710" spans="1:17" x14ac:dyDescent="0.25">
      <c r="A710" s="304" t="s">
        <v>3861</v>
      </c>
      <c r="B710" t="s">
        <v>4153</v>
      </c>
      <c r="C710" t="str">
        <f t="shared" ref="C710:C772" si="12">IF(ISNUMBER(VALUE(LEFT(B710,7))),_xlfn.CONCAT("x",TEXT(SUBSTITUTE(B710,",",", "),"00000000")),"")</f>
        <v>x15000055</v>
      </c>
      <c r="D710" t="str">
        <f>SUBSTITUTE(SUBSTITUTE(Table3[[#This Row],[Sponsor_list_tranform]],",",",x")," ","")</f>
        <v>x15000055</v>
      </c>
      <c r="E710" t="s">
        <v>11845</v>
      </c>
      <c r="K710" t="str">
        <f>IF(LEN(E710)&lt;&gt;0,_xlfn.XLOOKUP(E710,[1]!Entities[ID_with_x],[1]!Entities[Name_w_County],_xlfn.CONCAT("Entity ID ",RIGHT(Table3[[#This Row],[Sponsor_1_num]],8)," not found")),"")</f>
        <v>Alamo</v>
      </c>
      <c r="L710" t="str">
        <f>IF(LEN(F710)&lt;&gt;0,_xlfn.XLOOKUP(F710,[1]!Entities[ID_with_x],[1]!Entities[Name_w_County],_xlfn.CONCAT("Entity ID ",RIGHT(Table3[[#This Row],[Sponsor_1_num]],8)," not found")),"")</f>
        <v/>
      </c>
      <c r="M710" t="str">
        <f>IF(LEN(G710)&lt;&gt;0,_xlfn.XLOOKUP(G710,[1]!Entities[ID_with_x],[1]!Entities[Name_w_County],_xlfn.CONCAT("Entity ID ",RIGHT(Table3[[#This Row],[Sponsor_1_num]],8)," not found")),"")</f>
        <v/>
      </c>
      <c r="N710" t="str">
        <f>IF(LEN(H710)&lt;&gt;0,_xlfn.XLOOKUP(H710,[1]!Entities[ID_with_x],[1]!Entities[Name_w_County],_xlfn.CONCAT("Entity ID ",RIGHT(Table3[[#This Row],[Sponsor_1_num]],8)," not found")),"")</f>
        <v/>
      </c>
      <c r="O710" t="str">
        <f>IF(LEN(I710)&lt;&gt;0,_xlfn.XLOOKUP(I710,[1]!Entities[ID_with_x],[1]!Entities[Name_w_County],_xlfn.CONCAT("Entity ID ",RIGHT(Table3[[#This Row],[Sponsor_1_num]],8)," not found")),"")</f>
        <v/>
      </c>
      <c r="P710" t="str">
        <f>IF(LEN(J710)&lt;&gt;0,_xlfn.XLOOKUP(J710,[1]!Entities[ID_with_x],[1]!Entities[Name_w_County],_xlfn.CONCAT("Entity ID ",RIGHT(Table3[[#This Row],[Sponsor_1_num]],8)," not found")),"")</f>
        <v/>
      </c>
      <c r="Q710" t="str">
        <f>IF(LEN(K710)&gt;0,_xlfn.TEXTJOIN(", ",TRUE,K710:P710),Table3[[#This Row],[SPONSOR_LIST]])</f>
        <v>Alamo</v>
      </c>
    </row>
    <row r="711" spans="1:17" x14ac:dyDescent="0.25">
      <c r="A711" s="304" t="s">
        <v>3866</v>
      </c>
      <c r="B711" t="s">
        <v>4153</v>
      </c>
      <c r="C711" t="str">
        <f t="shared" si="12"/>
        <v>x15000055</v>
      </c>
      <c r="D711" t="str">
        <f>SUBSTITUTE(SUBSTITUTE(Table3[[#This Row],[Sponsor_list_tranform]],",",",x")," ","")</f>
        <v>x15000055</v>
      </c>
      <c r="E711" t="s">
        <v>11845</v>
      </c>
      <c r="K711" t="str">
        <f>IF(LEN(E711)&lt;&gt;0,_xlfn.XLOOKUP(E711,[1]!Entities[ID_with_x],[1]!Entities[Name_w_County],_xlfn.CONCAT("Entity ID ",RIGHT(Table3[[#This Row],[Sponsor_1_num]],8)," not found")),"")</f>
        <v>Alamo</v>
      </c>
      <c r="L711" t="str">
        <f>IF(LEN(F711)&lt;&gt;0,_xlfn.XLOOKUP(F711,[1]!Entities[ID_with_x],[1]!Entities[Name_w_County],_xlfn.CONCAT("Entity ID ",RIGHT(Table3[[#This Row],[Sponsor_1_num]],8)," not found")),"")</f>
        <v/>
      </c>
      <c r="M711" t="str">
        <f>IF(LEN(G711)&lt;&gt;0,_xlfn.XLOOKUP(G711,[1]!Entities[ID_with_x],[1]!Entities[Name_w_County],_xlfn.CONCAT("Entity ID ",RIGHT(Table3[[#This Row],[Sponsor_1_num]],8)," not found")),"")</f>
        <v/>
      </c>
      <c r="N711" t="str">
        <f>IF(LEN(H711)&lt;&gt;0,_xlfn.XLOOKUP(H711,[1]!Entities[ID_with_x],[1]!Entities[Name_w_County],_xlfn.CONCAT("Entity ID ",RIGHT(Table3[[#This Row],[Sponsor_1_num]],8)," not found")),"")</f>
        <v/>
      </c>
      <c r="O711" t="str">
        <f>IF(LEN(I711)&lt;&gt;0,_xlfn.XLOOKUP(I711,[1]!Entities[ID_with_x],[1]!Entities[Name_w_County],_xlfn.CONCAT("Entity ID ",RIGHT(Table3[[#This Row],[Sponsor_1_num]],8)," not found")),"")</f>
        <v/>
      </c>
      <c r="P711" t="str">
        <f>IF(LEN(J711)&lt;&gt;0,_xlfn.XLOOKUP(J711,[1]!Entities[ID_with_x],[1]!Entities[Name_w_County],_xlfn.CONCAT("Entity ID ",RIGHT(Table3[[#This Row],[Sponsor_1_num]],8)," not found")),"")</f>
        <v/>
      </c>
      <c r="Q711" t="str">
        <f>IF(LEN(K711)&gt;0,_xlfn.TEXTJOIN(", ",TRUE,K711:P711),Table3[[#This Row],[SPONSOR_LIST]])</f>
        <v>Alamo</v>
      </c>
    </row>
    <row r="712" spans="1:17" x14ac:dyDescent="0.25">
      <c r="A712" s="304" t="s">
        <v>3878</v>
      </c>
      <c r="B712" t="s">
        <v>4164</v>
      </c>
      <c r="C712" t="str">
        <f t="shared" si="12"/>
        <v>x15000056</v>
      </c>
      <c r="D712" t="str">
        <f>SUBSTITUTE(SUBSTITUTE(Table3[[#This Row],[Sponsor_list_tranform]],",",",x")," ","")</f>
        <v>x15000056</v>
      </c>
      <c r="E712" t="s">
        <v>11846</v>
      </c>
      <c r="K712" t="str">
        <f>IF(LEN(E712)&lt;&gt;0,_xlfn.XLOOKUP(E712,[1]!Entities[ID_with_x],[1]!Entities[Name_w_County],_xlfn.CONCAT("Entity ID ",RIGHT(Table3[[#This Row],[Sponsor_1_num]],8)," not found")),"")</f>
        <v>Edcouch</v>
      </c>
      <c r="L712" t="str">
        <f>IF(LEN(F712)&lt;&gt;0,_xlfn.XLOOKUP(F712,[1]!Entities[ID_with_x],[1]!Entities[Name_w_County],_xlfn.CONCAT("Entity ID ",RIGHT(Table3[[#This Row],[Sponsor_1_num]],8)," not found")),"")</f>
        <v/>
      </c>
      <c r="M712" t="str">
        <f>IF(LEN(G712)&lt;&gt;0,_xlfn.XLOOKUP(G712,[1]!Entities[ID_with_x],[1]!Entities[Name_w_County],_xlfn.CONCAT("Entity ID ",RIGHT(Table3[[#This Row],[Sponsor_1_num]],8)," not found")),"")</f>
        <v/>
      </c>
      <c r="N712" t="str">
        <f>IF(LEN(H712)&lt;&gt;0,_xlfn.XLOOKUP(H712,[1]!Entities[ID_with_x],[1]!Entities[Name_w_County],_xlfn.CONCAT("Entity ID ",RIGHT(Table3[[#This Row],[Sponsor_1_num]],8)," not found")),"")</f>
        <v/>
      </c>
      <c r="O712" t="str">
        <f>IF(LEN(I712)&lt;&gt;0,_xlfn.XLOOKUP(I712,[1]!Entities[ID_with_x],[1]!Entities[Name_w_County],_xlfn.CONCAT("Entity ID ",RIGHT(Table3[[#This Row],[Sponsor_1_num]],8)," not found")),"")</f>
        <v/>
      </c>
      <c r="P712" t="str">
        <f>IF(LEN(J712)&lt;&gt;0,_xlfn.XLOOKUP(J712,[1]!Entities[ID_with_x],[1]!Entities[Name_w_County],_xlfn.CONCAT("Entity ID ",RIGHT(Table3[[#This Row],[Sponsor_1_num]],8)," not found")),"")</f>
        <v/>
      </c>
      <c r="Q712" t="str">
        <f>IF(LEN(K712)&gt;0,_xlfn.TEXTJOIN(", ",TRUE,K712:P712),Table3[[#This Row],[SPONSOR_LIST]])</f>
        <v>Edcouch</v>
      </c>
    </row>
    <row r="713" spans="1:17" x14ac:dyDescent="0.25">
      <c r="A713" s="304" t="s">
        <v>3882</v>
      </c>
      <c r="B713" t="s">
        <v>4164</v>
      </c>
      <c r="C713" t="str">
        <f t="shared" si="12"/>
        <v>x15000056</v>
      </c>
      <c r="D713" t="str">
        <f>SUBSTITUTE(SUBSTITUTE(Table3[[#This Row],[Sponsor_list_tranform]],",",",x")," ","")</f>
        <v>x15000056</v>
      </c>
      <c r="E713" t="s">
        <v>11846</v>
      </c>
      <c r="K713" t="str">
        <f>IF(LEN(E713)&lt;&gt;0,_xlfn.XLOOKUP(E713,[1]!Entities[ID_with_x],[1]!Entities[Name_w_County],_xlfn.CONCAT("Entity ID ",RIGHT(Table3[[#This Row],[Sponsor_1_num]],8)," not found")),"")</f>
        <v>Edcouch</v>
      </c>
      <c r="L713" t="str">
        <f>IF(LEN(F713)&lt;&gt;0,_xlfn.XLOOKUP(F713,[1]!Entities[ID_with_x],[1]!Entities[Name_w_County],_xlfn.CONCAT("Entity ID ",RIGHT(Table3[[#This Row],[Sponsor_1_num]],8)," not found")),"")</f>
        <v/>
      </c>
      <c r="M713" t="str">
        <f>IF(LEN(G713)&lt;&gt;0,_xlfn.XLOOKUP(G713,[1]!Entities[ID_with_x],[1]!Entities[Name_w_County],_xlfn.CONCAT("Entity ID ",RIGHT(Table3[[#This Row],[Sponsor_1_num]],8)," not found")),"")</f>
        <v/>
      </c>
      <c r="N713" t="str">
        <f>IF(LEN(H713)&lt;&gt;0,_xlfn.XLOOKUP(H713,[1]!Entities[ID_with_x],[1]!Entities[Name_w_County],_xlfn.CONCAT("Entity ID ",RIGHT(Table3[[#This Row],[Sponsor_1_num]],8)," not found")),"")</f>
        <v/>
      </c>
      <c r="O713" t="str">
        <f>IF(LEN(I713)&lt;&gt;0,_xlfn.XLOOKUP(I713,[1]!Entities[ID_with_x],[1]!Entities[Name_w_County],_xlfn.CONCAT("Entity ID ",RIGHT(Table3[[#This Row],[Sponsor_1_num]],8)," not found")),"")</f>
        <v/>
      </c>
      <c r="P713" t="str">
        <f>IF(LEN(J713)&lt;&gt;0,_xlfn.XLOOKUP(J713,[1]!Entities[ID_with_x],[1]!Entities[Name_w_County],_xlfn.CONCAT("Entity ID ",RIGHT(Table3[[#This Row],[Sponsor_1_num]],8)," not found")),"")</f>
        <v/>
      </c>
      <c r="Q713" t="str">
        <f>IF(LEN(K713)&gt;0,_xlfn.TEXTJOIN(", ",TRUE,K713:P713),Table3[[#This Row],[SPONSOR_LIST]])</f>
        <v>Edcouch</v>
      </c>
    </row>
    <row r="714" spans="1:17" x14ac:dyDescent="0.25">
      <c r="A714" s="304" t="s">
        <v>3884</v>
      </c>
      <c r="B714" t="s">
        <v>4164</v>
      </c>
      <c r="C714" t="str">
        <f t="shared" si="12"/>
        <v>x15000056</v>
      </c>
      <c r="D714" t="str">
        <f>SUBSTITUTE(SUBSTITUTE(Table3[[#This Row],[Sponsor_list_tranform]],",",",x")," ","")</f>
        <v>x15000056</v>
      </c>
      <c r="E714" t="s">
        <v>11846</v>
      </c>
      <c r="K714" t="str">
        <f>IF(LEN(E714)&lt;&gt;0,_xlfn.XLOOKUP(E714,[1]!Entities[ID_with_x],[1]!Entities[Name_w_County],_xlfn.CONCAT("Entity ID ",RIGHT(Table3[[#This Row],[Sponsor_1_num]],8)," not found")),"")</f>
        <v>Edcouch</v>
      </c>
      <c r="L714" t="str">
        <f>IF(LEN(F714)&lt;&gt;0,_xlfn.XLOOKUP(F714,[1]!Entities[ID_with_x],[1]!Entities[Name_w_County],_xlfn.CONCAT("Entity ID ",RIGHT(Table3[[#This Row],[Sponsor_1_num]],8)," not found")),"")</f>
        <v/>
      </c>
      <c r="M714" t="str">
        <f>IF(LEN(G714)&lt;&gt;0,_xlfn.XLOOKUP(G714,[1]!Entities[ID_with_x],[1]!Entities[Name_w_County],_xlfn.CONCAT("Entity ID ",RIGHT(Table3[[#This Row],[Sponsor_1_num]],8)," not found")),"")</f>
        <v/>
      </c>
      <c r="N714" t="str">
        <f>IF(LEN(H714)&lt;&gt;0,_xlfn.XLOOKUP(H714,[1]!Entities[ID_with_x],[1]!Entities[Name_w_County],_xlfn.CONCAT("Entity ID ",RIGHT(Table3[[#This Row],[Sponsor_1_num]],8)," not found")),"")</f>
        <v/>
      </c>
      <c r="O714" t="str">
        <f>IF(LEN(I714)&lt;&gt;0,_xlfn.XLOOKUP(I714,[1]!Entities[ID_with_x],[1]!Entities[Name_w_County],_xlfn.CONCAT("Entity ID ",RIGHT(Table3[[#This Row],[Sponsor_1_num]],8)," not found")),"")</f>
        <v/>
      </c>
      <c r="P714" t="str">
        <f>IF(LEN(J714)&lt;&gt;0,_xlfn.XLOOKUP(J714,[1]!Entities[ID_with_x],[1]!Entities[Name_w_County],_xlfn.CONCAT("Entity ID ",RIGHT(Table3[[#This Row],[Sponsor_1_num]],8)," not found")),"")</f>
        <v/>
      </c>
      <c r="Q714" t="str">
        <f>IF(LEN(K714)&gt;0,_xlfn.TEXTJOIN(", ",TRUE,K714:P714),Table3[[#This Row],[SPONSOR_LIST]])</f>
        <v>Edcouch</v>
      </c>
    </row>
    <row r="715" spans="1:17" x14ac:dyDescent="0.25">
      <c r="A715" s="304" t="s">
        <v>3887</v>
      </c>
      <c r="B715" t="s">
        <v>4168</v>
      </c>
      <c r="C715" t="str">
        <f t="shared" si="12"/>
        <v>x15000082</v>
      </c>
      <c r="D715" t="str">
        <f>SUBSTITUTE(SUBSTITUTE(Table3[[#This Row],[Sponsor_list_tranform]],",",",x")," ","")</f>
        <v>x15000082</v>
      </c>
      <c r="E715" t="s">
        <v>11847</v>
      </c>
      <c r="K715" t="str">
        <f>IF(LEN(E715)&lt;&gt;0,_xlfn.XLOOKUP(E715,[1]!Entities[ID_with_x],[1]!Entities[Name_w_County],_xlfn.CONCAT("Entity ID ",RIGHT(Table3[[#This Row],[Sponsor_1_num]],8)," not found")),"")</f>
        <v>Edinburg</v>
      </c>
      <c r="L715" t="str">
        <f>IF(LEN(F715)&lt;&gt;0,_xlfn.XLOOKUP(F715,[1]!Entities[ID_with_x],[1]!Entities[Name_w_County],_xlfn.CONCAT("Entity ID ",RIGHT(Table3[[#This Row],[Sponsor_1_num]],8)," not found")),"")</f>
        <v/>
      </c>
      <c r="M715" t="str">
        <f>IF(LEN(G715)&lt;&gt;0,_xlfn.XLOOKUP(G715,[1]!Entities[ID_with_x],[1]!Entities[Name_w_County],_xlfn.CONCAT("Entity ID ",RIGHT(Table3[[#This Row],[Sponsor_1_num]],8)," not found")),"")</f>
        <v/>
      </c>
      <c r="N715" t="str">
        <f>IF(LEN(H715)&lt;&gt;0,_xlfn.XLOOKUP(H715,[1]!Entities[ID_with_x],[1]!Entities[Name_w_County],_xlfn.CONCAT("Entity ID ",RIGHT(Table3[[#This Row],[Sponsor_1_num]],8)," not found")),"")</f>
        <v/>
      </c>
      <c r="O715" t="str">
        <f>IF(LEN(I715)&lt;&gt;0,_xlfn.XLOOKUP(I715,[1]!Entities[ID_with_x],[1]!Entities[Name_w_County],_xlfn.CONCAT("Entity ID ",RIGHT(Table3[[#This Row],[Sponsor_1_num]],8)," not found")),"")</f>
        <v/>
      </c>
      <c r="P715" t="str">
        <f>IF(LEN(J715)&lt;&gt;0,_xlfn.XLOOKUP(J715,[1]!Entities[ID_with_x],[1]!Entities[Name_w_County],_xlfn.CONCAT("Entity ID ",RIGHT(Table3[[#This Row],[Sponsor_1_num]],8)," not found")),"")</f>
        <v/>
      </c>
      <c r="Q715" t="str">
        <f>IF(LEN(K715)&gt;0,_xlfn.TEXTJOIN(", ",TRUE,K715:P715),Table3[[#This Row],[SPONSOR_LIST]])</f>
        <v>Edinburg</v>
      </c>
    </row>
    <row r="716" spans="1:17" x14ac:dyDescent="0.25">
      <c r="A716" s="304" t="s">
        <v>3891</v>
      </c>
      <c r="B716" t="s">
        <v>4168</v>
      </c>
      <c r="C716" t="str">
        <f t="shared" si="12"/>
        <v>x15000082</v>
      </c>
      <c r="D716" t="str">
        <f>SUBSTITUTE(SUBSTITUTE(Table3[[#This Row],[Sponsor_list_tranform]],",",",x")," ","")</f>
        <v>x15000082</v>
      </c>
      <c r="E716" t="s">
        <v>11847</v>
      </c>
      <c r="K716" t="str">
        <f>IF(LEN(E716)&lt;&gt;0,_xlfn.XLOOKUP(E716,[1]!Entities[ID_with_x],[1]!Entities[Name_w_County],_xlfn.CONCAT("Entity ID ",RIGHT(Table3[[#This Row],[Sponsor_1_num]],8)," not found")),"")</f>
        <v>Edinburg</v>
      </c>
      <c r="L716" t="str">
        <f>IF(LEN(F716)&lt;&gt;0,_xlfn.XLOOKUP(F716,[1]!Entities[ID_with_x],[1]!Entities[Name_w_County],_xlfn.CONCAT("Entity ID ",RIGHT(Table3[[#This Row],[Sponsor_1_num]],8)," not found")),"")</f>
        <v/>
      </c>
      <c r="M716" t="str">
        <f>IF(LEN(G716)&lt;&gt;0,_xlfn.XLOOKUP(G716,[1]!Entities[ID_with_x],[1]!Entities[Name_w_County],_xlfn.CONCAT("Entity ID ",RIGHT(Table3[[#This Row],[Sponsor_1_num]],8)," not found")),"")</f>
        <v/>
      </c>
      <c r="N716" t="str">
        <f>IF(LEN(H716)&lt;&gt;0,_xlfn.XLOOKUP(H716,[1]!Entities[ID_with_x],[1]!Entities[Name_w_County],_xlfn.CONCAT("Entity ID ",RIGHT(Table3[[#This Row],[Sponsor_1_num]],8)," not found")),"")</f>
        <v/>
      </c>
      <c r="O716" t="str">
        <f>IF(LEN(I716)&lt;&gt;0,_xlfn.XLOOKUP(I716,[1]!Entities[ID_with_x],[1]!Entities[Name_w_County],_xlfn.CONCAT("Entity ID ",RIGHT(Table3[[#This Row],[Sponsor_1_num]],8)," not found")),"")</f>
        <v/>
      </c>
      <c r="P716" t="str">
        <f>IF(LEN(J716)&lt;&gt;0,_xlfn.XLOOKUP(J716,[1]!Entities[ID_with_x],[1]!Entities[Name_w_County],_xlfn.CONCAT("Entity ID ",RIGHT(Table3[[#This Row],[Sponsor_1_num]],8)," not found")),"")</f>
        <v/>
      </c>
      <c r="Q716" t="str">
        <f>IF(LEN(K716)&gt;0,_xlfn.TEXTJOIN(", ",TRUE,K716:P716),Table3[[#This Row],[SPONSOR_LIST]])</f>
        <v>Edinburg</v>
      </c>
    </row>
    <row r="717" spans="1:17" x14ac:dyDescent="0.25">
      <c r="A717" s="304" t="s">
        <v>3893</v>
      </c>
      <c r="B717" t="s">
        <v>4168</v>
      </c>
      <c r="C717" t="str">
        <f t="shared" si="12"/>
        <v>x15000082</v>
      </c>
      <c r="D717" t="str">
        <f>SUBSTITUTE(SUBSTITUTE(Table3[[#This Row],[Sponsor_list_tranform]],",",",x")," ","")</f>
        <v>x15000082</v>
      </c>
      <c r="E717" t="s">
        <v>11847</v>
      </c>
      <c r="K717" t="str">
        <f>IF(LEN(E717)&lt;&gt;0,_xlfn.XLOOKUP(E717,[1]!Entities[ID_with_x],[1]!Entities[Name_w_County],_xlfn.CONCAT("Entity ID ",RIGHT(Table3[[#This Row],[Sponsor_1_num]],8)," not found")),"")</f>
        <v>Edinburg</v>
      </c>
      <c r="L717" t="str">
        <f>IF(LEN(F717)&lt;&gt;0,_xlfn.XLOOKUP(F717,[1]!Entities[ID_with_x],[1]!Entities[Name_w_County],_xlfn.CONCAT("Entity ID ",RIGHT(Table3[[#This Row],[Sponsor_1_num]],8)," not found")),"")</f>
        <v/>
      </c>
      <c r="M717" t="str">
        <f>IF(LEN(G717)&lt;&gt;0,_xlfn.XLOOKUP(G717,[1]!Entities[ID_with_x],[1]!Entities[Name_w_County],_xlfn.CONCAT("Entity ID ",RIGHT(Table3[[#This Row],[Sponsor_1_num]],8)," not found")),"")</f>
        <v/>
      </c>
      <c r="N717" t="str">
        <f>IF(LEN(H717)&lt;&gt;0,_xlfn.XLOOKUP(H717,[1]!Entities[ID_with_x],[1]!Entities[Name_w_County],_xlfn.CONCAT("Entity ID ",RIGHT(Table3[[#This Row],[Sponsor_1_num]],8)," not found")),"")</f>
        <v/>
      </c>
      <c r="O717" t="str">
        <f>IF(LEN(I717)&lt;&gt;0,_xlfn.XLOOKUP(I717,[1]!Entities[ID_with_x],[1]!Entities[Name_w_County],_xlfn.CONCAT("Entity ID ",RIGHT(Table3[[#This Row],[Sponsor_1_num]],8)," not found")),"")</f>
        <v/>
      </c>
      <c r="P717" t="str">
        <f>IF(LEN(J717)&lt;&gt;0,_xlfn.XLOOKUP(J717,[1]!Entities[ID_with_x],[1]!Entities[Name_w_County],_xlfn.CONCAT("Entity ID ",RIGHT(Table3[[#This Row],[Sponsor_1_num]],8)," not found")),"")</f>
        <v/>
      </c>
      <c r="Q717" t="str">
        <f>IF(LEN(K717)&gt;0,_xlfn.TEXTJOIN(", ",TRUE,K717:P717),Table3[[#This Row],[SPONSOR_LIST]])</f>
        <v>Edinburg</v>
      </c>
    </row>
    <row r="718" spans="1:17" x14ac:dyDescent="0.25">
      <c r="A718" s="304" t="s">
        <v>3895</v>
      </c>
      <c r="B718" t="s">
        <v>4173</v>
      </c>
      <c r="C718" t="str">
        <f t="shared" si="12"/>
        <v>x15000061</v>
      </c>
      <c r="D718" t="str">
        <f>SUBSTITUTE(SUBSTITUTE(Table3[[#This Row],[Sponsor_list_tranform]],",",",x")," ","")</f>
        <v>x15000061</v>
      </c>
      <c r="E718" t="s">
        <v>11848</v>
      </c>
      <c r="K718" t="str">
        <f>IF(LEN(E718)&lt;&gt;0,_xlfn.XLOOKUP(E718,[1]!Entities[ID_with_x],[1]!Entities[Name_w_County],_xlfn.CONCAT("Entity ID ",RIGHT(Table3[[#This Row],[Sponsor_1_num]],8)," not found")),"")</f>
        <v>Hidalgo</v>
      </c>
      <c r="L718" t="str">
        <f>IF(LEN(F718)&lt;&gt;0,_xlfn.XLOOKUP(F718,[1]!Entities[ID_with_x],[1]!Entities[Name_w_County],_xlfn.CONCAT("Entity ID ",RIGHT(Table3[[#This Row],[Sponsor_1_num]],8)," not found")),"")</f>
        <v/>
      </c>
      <c r="M718" t="str">
        <f>IF(LEN(G718)&lt;&gt;0,_xlfn.XLOOKUP(G718,[1]!Entities[ID_with_x],[1]!Entities[Name_w_County],_xlfn.CONCAT("Entity ID ",RIGHT(Table3[[#This Row],[Sponsor_1_num]],8)," not found")),"")</f>
        <v/>
      </c>
      <c r="N718" t="str">
        <f>IF(LEN(H718)&lt;&gt;0,_xlfn.XLOOKUP(H718,[1]!Entities[ID_with_x],[1]!Entities[Name_w_County],_xlfn.CONCAT("Entity ID ",RIGHT(Table3[[#This Row],[Sponsor_1_num]],8)," not found")),"")</f>
        <v/>
      </c>
      <c r="O718" t="str">
        <f>IF(LEN(I718)&lt;&gt;0,_xlfn.XLOOKUP(I718,[1]!Entities[ID_with_x],[1]!Entities[Name_w_County],_xlfn.CONCAT("Entity ID ",RIGHT(Table3[[#This Row],[Sponsor_1_num]],8)," not found")),"")</f>
        <v/>
      </c>
      <c r="P718" t="str">
        <f>IF(LEN(J718)&lt;&gt;0,_xlfn.XLOOKUP(J718,[1]!Entities[ID_with_x],[1]!Entities[Name_w_County],_xlfn.CONCAT("Entity ID ",RIGHT(Table3[[#This Row],[Sponsor_1_num]],8)," not found")),"")</f>
        <v/>
      </c>
      <c r="Q718" t="str">
        <f>IF(LEN(K718)&gt;0,_xlfn.TEXTJOIN(", ",TRUE,K718:P718),Table3[[#This Row],[SPONSOR_LIST]])</f>
        <v>Hidalgo</v>
      </c>
    </row>
    <row r="719" spans="1:17" x14ac:dyDescent="0.25">
      <c r="A719" s="304" t="s">
        <v>3899</v>
      </c>
      <c r="B719" t="s">
        <v>4107</v>
      </c>
      <c r="C719" t="str">
        <f t="shared" si="12"/>
        <v>x15000004</v>
      </c>
      <c r="D719" t="str">
        <f>SUBSTITUTE(SUBSTITUTE(Table3[[#This Row],[Sponsor_list_tranform]],",",",x")," ","")</f>
        <v>x15000004</v>
      </c>
      <c r="E719" t="s">
        <v>11805</v>
      </c>
      <c r="K719" t="str">
        <f>IF(LEN(E719)&lt;&gt;0,_xlfn.XLOOKUP(E719,[1]!Entities[ID_with_x],[1]!Entities[Name_w_County],_xlfn.CONCAT("Entity ID ",RIGHT(Table3[[#This Row],[Sponsor_1_num]],8)," not found")),"")</f>
        <v>Hidalgo County</v>
      </c>
      <c r="L719" t="str">
        <f>IF(LEN(F719)&lt;&gt;0,_xlfn.XLOOKUP(F719,[1]!Entities[ID_with_x],[1]!Entities[Name_w_County],_xlfn.CONCAT("Entity ID ",RIGHT(Table3[[#This Row],[Sponsor_1_num]],8)," not found")),"")</f>
        <v/>
      </c>
      <c r="M719" t="str">
        <f>IF(LEN(G719)&lt;&gt;0,_xlfn.XLOOKUP(G719,[1]!Entities[ID_with_x],[1]!Entities[Name_w_County],_xlfn.CONCAT("Entity ID ",RIGHT(Table3[[#This Row],[Sponsor_1_num]],8)," not found")),"")</f>
        <v/>
      </c>
      <c r="N719" t="str">
        <f>IF(LEN(H719)&lt;&gt;0,_xlfn.XLOOKUP(H719,[1]!Entities[ID_with_x],[1]!Entities[Name_w_County],_xlfn.CONCAT("Entity ID ",RIGHT(Table3[[#This Row],[Sponsor_1_num]],8)," not found")),"")</f>
        <v/>
      </c>
      <c r="O719" t="str">
        <f>IF(LEN(I719)&lt;&gt;0,_xlfn.XLOOKUP(I719,[1]!Entities[ID_with_x],[1]!Entities[Name_w_County],_xlfn.CONCAT("Entity ID ",RIGHT(Table3[[#This Row],[Sponsor_1_num]],8)," not found")),"")</f>
        <v/>
      </c>
      <c r="P719" t="str">
        <f>IF(LEN(J719)&lt;&gt;0,_xlfn.XLOOKUP(J719,[1]!Entities[ID_with_x],[1]!Entities[Name_w_County],_xlfn.CONCAT("Entity ID ",RIGHT(Table3[[#This Row],[Sponsor_1_num]],8)," not found")),"")</f>
        <v/>
      </c>
      <c r="Q719" t="str">
        <f>IF(LEN(K719)&gt;0,_xlfn.TEXTJOIN(", ",TRUE,K719:P719),Table3[[#This Row],[SPONSOR_LIST]])</f>
        <v>Hidalgo County</v>
      </c>
    </row>
    <row r="720" spans="1:17" x14ac:dyDescent="0.25">
      <c r="A720" s="304" t="s">
        <v>3903</v>
      </c>
      <c r="B720" t="s">
        <v>4107</v>
      </c>
      <c r="C720" t="str">
        <f t="shared" si="12"/>
        <v>x15000004</v>
      </c>
      <c r="D720" t="str">
        <f>SUBSTITUTE(SUBSTITUTE(Table3[[#This Row],[Sponsor_list_tranform]],",",",x")," ","")</f>
        <v>x15000004</v>
      </c>
      <c r="E720" t="s">
        <v>11805</v>
      </c>
      <c r="K720" t="str">
        <f>IF(LEN(E720)&lt;&gt;0,_xlfn.XLOOKUP(E720,[1]!Entities[ID_with_x],[1]!Entities[Name_w_County],_xlfn.CONCAT("Entity ID ",RIGHT(Table3[[#This Row],[Sponsor_1_num]],8)," not found")),"")</f>
        <v>Hidalgo County</v>
      </c>
      <c r="L720" t="str">
        <f>IF(LEN(F720)&lt;&gt;0,_xlfn.XLOOKUP(F720,[1]!Entities[ID_with_x],[1]!Entities[Name_w_County],_xlfn.CONCAT("Entity ID ",RIGHT(Table3[[#This Row],[Sponsor_1_num]],8)," not found")),"")</f>
        <v/>
      </c>
      <c r="M720" t="str">
        <f>IF(LEN(G720)&lt;&gt;0,_xlfn.XLOOKUP(G720,[1]!Entities[ID_with_x],[1]!Entities[Name_w_County],_xlfn.CONCAT("Entity ID ",RIGHT(Table3[[#This Row],[Sponsor_1_num]],8)," not found")),"")</f>
        <v/>
      </c>
      <c r="N720" t="str">
        <f>IF(LEN(H720)&lt;&gt;0,_xlfn.XLOOKUP(H720,[1]!Entities[ID_with_x],[1]!Entities[Name_w_County],_xlfn.CONCAT("Entity ID ",RIGHT(Table3[[#This Row],[Sponsor_1_num]],8)," not found")),"")</f>
        <v/>
      </c>
      <c r="O720" t="str">
        <f>IF(LEN(I720)&lt;&gt;0,_xlfn.XLOOKUP(I720,[1]!Entities[ID_with_x],[1]!Entities[Name_w_County],_xlfn.CONCAT("Entity ID ",RIGHT(Table3[[#This Row],[Sponsor_1_num]],8)," not found")),"")</f>
        <v/>
      </c>
      <c r="P720" t="str">
        <f>IF(LEN(J720)&lt;&gt;0,_xlfn.XLOOKUP(J720,[1]!Entities[ID_with_x],[1]!Entities[Name_w_County],_xlfn.CONCAT("Entity ID ",RIGHT(Table3[[#This Row],[Sponsor_1_num]],8)," not found")),"")</f>
        <v/>
      </c>
      <c r="Q720" t="str">
        <f>IF(LEN(K720)&gt;0,_xlfn.TEXTJOIN(", ",TRUE,K720:P720),Table3[[#This Row],[SPONSOR_LIST]])</f>
        <v>Hidalgo County</v>
      </c>
    </row>
    <row r="721" spans="1:17" x14ac:dyDescent="0.25">
      <c r="A721" s="304" t="s">
        <v>3905</v>
      </c>
      <c r="B721" t="s">
        <v>4107</v>
      </c>
      <c r="C721" t="str">
        <f t="shared" si="12"/>
        <v>x15000004</v>
      </c>
      <c r="D721" t="str">
        <f>SUBSTITUTE(SUBSTITUTE(Table3[[#This Row],[Sponsor_list_tranform]],",",",x")," ","")</f>
        <v>x15000004</v>
      </c>
      <c r="E721" t="s">
        <v>11805</v>
      </c>
      <c r="K721" t="str">
        <f>IF(LEN(E721)&lt;&gt;0,_xlfn.XLOOKUP(E721,[1]!Entities[ID_with_x],[1]!Entities[Name_w_County],_xlfn.CONCAT("Entity ID ",RIGHT(Table3[[#This Row],[Sponsor_1_num]],8)," not found")),"")</f>
        <v>Hidalgo County</v>
      </c>
      <c r="L721" t="str">
        <f>IF(LEN(F721)&lt;&gt;0,_xlfn.XLOOKUP(F721,[1]!Entities[ID_with_x],[1]!Entities[Name_w_County],_xlfn.CONCAT("Entity ID ",RIGHT(Table3[[#This Row],[Sponsor_1_num]],8)," not found")),"")</f>
        <v/>
      </c>
      <c r="M721" t="str">
        <f>IF(LEN(G721)&lt;&gt;0,_xlfn.XLOOKUP(G721,[1]!Entities[ID_with_x],[1]!Entities[Name_w_County],_xlfn.CONCAT("Entity ID ",RIGHT(Table3[[#This Row],[Sponsor_1_num]],8)," not found")),"")</f>
        <v/>
      </c>
      <c r="N721" t="str">
        <f>IF(LEN(H721)&lt;&gt;0,_xlfn.XLOOKUP(H721,[1]!Entities[ID_with_x],[1]!Entities[Name_w_County],_xlfn.CONCAT("Entity ID ",RIGHT(Table3[[#This Row],[Sponsor_1_num]],8)," not found")),"")</f>
        <v/>
      </c>
      <c r="O721" t="str">
        <f>IF(LEN(I721)&lt;&gt;0,_xlfn.XLOOKUP(I721,[1]!Entities[ID_with_x],[1]!Entities[Name_w_County],_xlfn.CONCAT("Entity ID ",RIGHT(Table3[[#This Row],[Sponsor_1_num]],8)," not found")),"")</f>
        <v/>
      </c>
      <c r="P721" t="str">
        <f>IF(LEN(J721)&lt;&gt;0,_xlfn.XLOOKUP(J721,[1]!Entities[ID_with_x],[1]!Entities[Name_w_County],_xlfn.CONCAT("Entity ID ",RIGHT(Table3[[#This Row],[Sponsor_1_num]],8)," not found")),"")</f>
        <v/>
      </c>
      <c r="Q721" t="str">
        <f>IF(LEN(K721)&gt;0,_xlfn.TEXTJOIN(", ",TRUE,K721:P721),Table3[[#This Row],[SPONSOR_LIST]])</f>
        <v>Hidalgo County</v>
      </c>
    </row>
    <row r="722" spans="1:17" x14ac:dyDescent="0.25">
      <c r="A722" s="304" t="s">
        <v>3907</v>
      </c>
      <c r="B722" t="s">
        <v>4107</v>
      </c>
      <c r="C722" t="str">
        <f t="shared" si="12"/>
        <v>x15000004</v>
      </c>
      <c r="D722" t="str">
        <f>SUBSTITUTE(SUBSTITUTE(Table3[[#This Row],[Sponsor_list_tranform]],",",",x")," ","")</f>
        <v>x15000004</v>
      </c>
      <c r="E722" t="s">
        <v>11805</v>
      </c>
      <c r="K722" t="str">
        <f>IF(LEN(E722)&lt;&gt;0,_xlfn.XLOOKUP(E722,[1]!Entities[ID_with_x],[1]!Entities[Name_w_County],_xlfn.CONCAT("Entity ID ",RIGHT(Table3[[#This Row],[Sponsor_1_num]],8)," not found")),"")</f>
        <v>Hidalgo County</v>
      </c>
      <c r="L722" t="str">
        <f>IF(LEN(F722)&lt;&gt;0,_xlfn.XLOOKUP(F722,[1]!Entities[ID_with_x],[1]!Entities[Name_w_County],_xlfn.CONCAT("Entity ID ",RIGHT(Table3[[#This Row],[Sponsor_1_num]],8)," not found")),"")</f>
        <v/>
      </c>
      <c r="M722" t="str">
        <f>IF(LEN(G722)&lt;&gt;0,_xlfn.XLOOKUP(G722,[1]!Entities[ID_with_x],[1]!Entities[Name_w_County],_xlfn.CONCAT("Entity ID ",RIGHT(Table3[[#This Row],[Sponsor_1_num]],8)," not found")),"")</f>
        <v/>
      </c>
      <c r="N722" t="str">
        <f>IF(LEN(H722)&lt;&gt;0,_xlfn.XLOOKUP(H722,[1]!Entities[ID_with_x],[1]!Entities[Name_w_County],_xlfn.CONCAT("Entity ID ",RIGHT(Table3[[#This Row],[Sponsor_1_num]],8)," not found")),"")</f>
        <v/>
      </c>
      <c r="O722" t="str">
        <f>IF(LEN(I722)&lt;&gt;0,_xlfn.XLOOKUP(I722,[1]!Entities[ID_with_x],[1]!Entities[Name_w_County],_xlfn.CONCAT("Entity ID ",RIGHT(Table3[[#This Row],[Sponsor_1_num]],8)," not found")),"")</f>
        <v/>
      </c>
      <c r="P722" t="str">
        <f>IF(LEN(J722)&lt;&gt;0,_xlfn.XLOOKUP(J722,[1]!Entities[ID_with_x],[1]!Entities[Name_w_County],_xlfn.CONCAT("Entity ID ",RIGHT(Table3[[#This Row],[Sponsor_1_num]],8)," not found")),"")</f>
        <v/>
      </c>
      <c r="Q722" t="str">
        <f>IF(LEN(K722)&gt;0,_xlfn.TEXTJOIN(", ",TRUE,K722:P722),Table3[[#This Row],[SPONSOR_LIST]])</f>
        <v>Hidalgo County</v>
      </c>
    </row>
    <row r="723" spans="1:17" x14ac:dyDescent="0.25">
      <c r="A723" s="304" t="s">
        <v>3910</v>
      </c>
      <c r="B723" t="s">
        <v>4107</v>
      </c>
      <c r="C723" t="str">
        <f t="shared" si="12"/>
        <v>x15000004</v>
      </c>
      <c r="D723" t="str">
        <f>SUBSTITUTE(SUBSTITUTE(Table3[[#This Row],[Sponsor_list_tranform]],",",",x")," ","")</f>
        <v>x15000004</v>
      </c>
      <c r="E723" t="s">
        <v>11805</v>
      </c>
      <c r="K723" t="str">
        <f>IF(LEN(E723)&lt;&gt;0,_xlfn.XLOOKUP(E723,[1]!Entities[ID_with_x],[1]!Entities[Name_w_County],_xlfn.CONCAT("Entity ID ",RIGHT(Table3[[#This Row],[Sponsor_1_num]],8)," not found")),"")</f>
        <v>Hidalgo County</v>
      </c>
      <c r="L723" t="str">
        <f>IF(LEN(F723)&lt;&gt;0,_xlfn.XLOOKUP(F723,[1]!Entities[ID_with_x],[1]!Entities[Name_w_County],_xlfn.CONCAT("Entity ID ",RIGHT(Table3[[#This Row],[Sponsor_1_num]],8)," not found")),"")</f>
        <v/>
      </c>
      <c r="M723" t="str">
        <f>IF(LEN(G723)&lt;&gt;0,_xlfn.XLOOKUP(G723,[1]!Entities[ID_with_x],[1]!Entities[Name_w_County],_xlfn.CONCAT("Entity ID ",RIGHT(Table3[[#This Row],[Sponsor_1_num]],8)," not found")),"")</f>
        <v/>
      </c>
      <c r="N723" t="str">
        <f>IF(LEN(H723)&lt;&gt;0,_xlfn.XLOOKUP(H723,[1]!Entities[ID_with_x],[1]!Entities[Name_w_County],_xlfn.CONCAT("Entity ID ",RIGHT(Table3[[#This Row],[Sponsor_1_num]],8)," not found")),"")</f>
        <v/>
      </c>
      <c r="O723" t="str">
        <f>IF(LEN(I723)&lt;&gt;0,_xlfn.XLOOKUP(I723,[1]!Entities[ID_with_x],[1]!Entities[Name_w_County],_xlfn.CONCAT("Entity ID ",RIGHT(Table3[[#This Row],[Sponsor_1_num]],8)," not found")),"")</f>
        <v/>
      </c>
      <c r="P723" t="str">
        <f>IF(LEN(J723)&lt;&gt;0,_xlfn.XLOOKUP(J723,[1]!Entities[ID_with_x],[1]!Entities[Name_w_County],_xlfn.CONCAT("Entity ID ",RIGHT(Table3[[#This Row],[Sponsor_1_num]],8)," not found")),"")</f>
        <v/>
      </c>
      <c r="Q723" t="str">
        <f>IF(LEN(K723)&gt;0,_xlfn.TEXTJOIN(", ",TRUE,K723:P723),Table3[[#This Row],[SPONSOR_LIST]])</f>
        <v>Hidalgo County</v>
      </c>
    </row>
    <row r="724" spans="1:17" x14ac:dyDescent="0.25">
      <c r="A724" s="304" t="s">
        <v>3923</v>
      </c>
      <c r="B724" t="s">
        <v>3890</v>
      </c>
      <c r="C724" t="str">
        <f t="shared" si="12"/>
        <v>x15000089</v>
      </c>
      <c r="D724" t="str">
        <f>SUBSTITUTE(SUBSTITUTE(Table3[[#This Row],[Sponsor_list_tranform]],",",",x")," ","")</f>
        <v>x15000089</v>
      </c>
      <c r="E724" t="s">
        <v>11849</v>
      </c>
      <c r="K724" t="str">
        <f>IF(LEN(E724)&lt;&gt;0,_xlfn.XLOOKUP(E724,[1]!Entities[ID_with_x],[1]!Entities[Name_w_County],_xlfn.CONCAT("Entity ID ",RIGHT(Table3[[#This Row],[Sponsor_1_num]],8)," not found")),"")</f>
        <v>La Villa</v>
      </c>
      <c r="L724" t="str">
        <f>IF(LEN(F724)&lt;&gt;0,_xlfn.XLOOKUP(F724,[1]!Entities[ID_with_x],[1]!Entities[Name_w_County],_xlfn.CONCAT("Entity ID ",RIGHT(Table3[[#This Row],[Sponsor_1_num]],8)," not found")),"")</f>
        <v/>
      </c>
      <c r="M724" t="str">
        <f>IF(LEN(G724)&lt;&gt;0,_xlfn.XLOOKUP(G724,[1]!Entities[ID_with_x],[1]!Entities[Name_w_County],_xlfn.CONCAT("Entity ID ",RIGHT(Table3[[#This Row],[Sponsor_1_num]],8)," not found")),"")</f>
        <v/>
      </c>
      <c r="N724" t="str">
        <f>IF(LEN(H724)&lt;&gt;0,_xlfn.XLOOKUP(H724,[1]!Entities[ID_with_x],[1]!Entities[Name_w_County],_xlfn.CONCAT("Entity ID ",RIGHT(Table3[[#This Row],[Sponsor_1_num]],8)," not found")),"")</f>
        <v/>
      </c>
      <c r="O724" t="str">
        <f>IF(LEN(I724)&lt;&gt;0,_xlfn.XLOOKUP(I724,[1]!Entities[ID_with_x],[1]!Entities[Name_w_County],_xlfn.CONCAT("Entity ID ",RIGHT(Table3[[#This Row],[Sponsor_1_num]],8)," not found")),"")</f>
        <v/>
      </c>
      <c r="P724" t="str">
        <f>IF(LEN(J724)&lt;&gt;0,_xlfn.XLOOKUP(J724,[1]!Entities[ID_with_x],[1]!Entities[Name_w_County],_xlfn.CONCAT("Entity ID ",RIGHT(Table3[[#This Row],[Sponsor_1_num]],8)," not found")),"")</f>
        <v/>
      </c>
      <c r="Q724" t="str">
        <f>IF(LEN(K724)&gt;0,_xlfn.TEXTJOIN(", ",TRUE,K724:P724),Table3[[#This Row],[SPONSOR_LIST]])</f>
        <v>La Villa</v>
      </c>
    </row>
    <row r="725" spans="1:17" x14ac:dyDescent="0.25">
      <c r="A725" s="304" t="s">
        <v>3925</v>
      </c>
      <c r="B725" t="s">
        <v>3890</v>
      </c>
      <c r="C725" t="str">
        <f t="shared" si="12"/>
        <v>x15000089</v>
      </c>
      <c r="D725" t="str">
        <f>SUBSTITUTE(SUBSTITUTE(Table3[[#This Row],[Sponsor_list_tranform]],",",",x")," ","")</f>
        <v>x15000089</v>
      </c>
      <c r="E725" t="s">
        <v>11849</v>
      </c>
      <c r="K725" t="str">
        <f>IF(LEN(E725)&lt;&gt;0,_xlfn.XLOOKUP(E725,[1]!Entities[ID_with_x],[1]!Entities[Name_w_County],_xlfn.CONCAT("Entity ID ",RIGHT(Table3[[#This Row],[Sponsor_1_num]],8)," not found")),"")</f>
        <v>La Villa</v>
      </c>
      <c r="L725" t="str">
        <f>IF(LEN(F725)&lt;&gt;0,_xlfn.XLOOKUP(F725,[1]!Entities[ID_with_x],[1]!Entities[Name_w_County],_xlfn.CONCAT("Entity ID ",RIGHT(Table3[[#This Row],[Sponsor_1_num]],8)," not found")),"")</f>
        <v/>
      </c>
      <c r="M725" t="str">
        <f>IF(LEN(G725)&lt;&gt;0,_xlfn.XLOOKUP(G725,[1]!Entities[ID_with_x],[1]!Entities[Name_w_County],_xlfn.CONCAT("Entity ID ",RIGHT(Table3[[#This Row],[Sponsor_1_num]],8)," not found")),"")</f>
        <v/>
      </c>
      <c r="N725" t="str">
        <f>IF(LEN(H725)&lt;&gt;0,_xlfn.XLOOKUP(H725,[1]!Entities[ID_with_x],[1]!Entities[Name_w_County],_xlfn.CONCAT("Entity ID ",RIGHT(Table3[[#This Row],[Sponsor_1_num]],8)," not found")),"")</f>
        <v/>
      </c>
      <c r="O725" t="str">
        <f>IF(LEN(I725)&lt;&gt;0,_xlfn.XLOOKUP(I725,[1]!Entities[ID_with_x],[1]!Entities[Name_w_County],_xlfn.CONCAT("Entity ID ",RIGHT(Table3[[#This Row],[Sponsor_1_num]],8)," not found")),"")</f>
        <v/>
      </c>
      <c r="P725" t="str">
        <f>IF(LEN(J725)&lt;&gt;0,_xlfn.XLOOKUP(J725,[1]!Entities[ID_with_x],[1]!Entities[Name_w_County],_xlfn.CONCAT("Entity ID ",RIGHT(Table3[[#This Row],[Sponsor_1_num]],8)," not found")),"")</f>
        <v/>
      </c>
      <c r="Q725" t="str">
        <f>IF(LEN(K725)&gt;0,_xlfn.TEXTJOIN(", ",TRUE,K725:P725),Table3[[#This Row],[SPONSOR_LIST]])</f>
        <v>La Villa</v>
      </c>
    </row>
    <row r="726" spans="1:17" x14ac:dyDescent="0.25">
      <c r="A726" s="304" t="s">
        <v>3927</v>
      </c>
      <c r="B726" t="s">
        <v>4185</v>
      </c>
      <c r="C726" t="str">
        <f t="shared" si="12"/>
        <v>x15000084</v>
      </c>
      <c r="D726" t="str">
        <f>SUBSTITUTE(SUBSTITUTE(Table3[[#This Row],[Sponsor_list_tranform]],",",",x")," ","")</f>
        <v>x15000084</v>
      </c>
      <c r="E726" t="s">
        <v>11850</v>
      </c>
      <c r="K726" t="str">
        <f>IF(LEN(E726)&lt;&gt;0,_xlfn.XLOOKUP(E726,[1]!Entities[ID_with_x],[1]!Entities[Name_w_County],_xlfn.CONCAT("Entity ID ",RIGHT(Table3[[#This Row],[Sponsor_1_num]],8)," not found")),"")</f>
        <v>McAllen</v>
      </c>
      <c r="L726" t="str">
        <f>IF(LEN(F726)&lt;&gt;0,_xlfn.XLOOKUP(F726,[1]!Entities[ID_with_x],[1]!Entities[Name_w_County],_xlfn.CONCAT("Entity ID ",RIGHT(Table3[[#This Row],[Sponsor_1_num]],8)," not found")),"")</f>
        <v/>
      </c>
      <c r="M726" t="str">
        <f>IF(LEN(G726)&lt;&gt;0,_xlfn.XLOOKUP(G726,[1]!Entities[ID_with_x],[1]!Entities[Name_w_County],_xlfn.CONCAT("Entity ID ",RIGHT(Table3[[#This Row],[Sponsor_1_num]],8)," not found")),"")</f>
        <v/>
      </c>
      <c r="N726" t="str">
        <f>IF(LEN(H726)&lt;&gt;0,_xlfn.XLOOKUP(H726,[1]!Entities[ID_with_x],[1]!Entities[Name_w_County],_xlfn.CONCAT("Entity ID ",RIGHT(Table3[[#This Row],[Sponsor_1_num]],8)," not found")),"")</f>
        <v/>
      </c>
      <c r="O726" t="str">
        <f>IF(LEN(I726)&lt;&gt;0,_xlfn.XLOOKUP(I726,[1]!Entities[ID_with_x],[1]!Entities[Name_w_County],_xlfn.CONCAT("Entity ID ",RIGHT(Table3[[#This Row],[Sponsor_1_num]],8)," not found")),"")</f>
        <v/>
      </c>
      <c r="P726" t="str">
        <f>IF(LEN(J726)&lt;&gt;0,_xlfn.XLOOKUP(J726,[1]!Entities[ID_with_x],[1]!Entities[Name_w_County],_xlfn.CONCAT("Entity ID ",RIGHT(Table3[[#This Row],[Sponsor_1_num]],8)," not found")),"")</f>
        <v/>
      </c>
      <c r="Q726" t="str">
        <f>IF(LEN(K726)&gt;0,_xlfn.TEXTJOIN(", ",TRUE,K726:P726),Table3[[#This Row],[SPONSOR_LIST]])</f>
        <v>McAllen</v>
      </c>
    </row>
    <row r="727" spans="1:17" x14ac:dyDescent="0.25">
      <c r="A727" s="304" t="s">
        <v>3929</v>
      </c>
      <c r="B727" t="s">
        <v>4185</v>
      </c>
      <c r="C727" t="str">
        <f t="shared" si="12"/>
        <v>x15000084</v>
      </c>
      <c r="D727" t="str">
        <f>SUBSTITUTE(SUBSTITUTE(Table3[[#This Row],[Sponsor_list_tranform]],",",",x")," ","")</f>
        <v>x15000084</v>
      </c>
      <c r="E727" t="s">
        <v>11850</v>
      </c>
      <c r="K727" t="str">
        <f>IF(LEN(E727)&lt;&gt;0,_xlfn.XLOOKUP(E727,[1]!Entities[ID_with_x],[1]!Entities[Name_w_County],_xlfn.CONCAT("Entity ID ",RIGHT(Table3[[#This Row],[Sponsor_1_num]],8)," not found")),"")</f>
        <v>McAllen</v>
      </c>
      <c r="L727" t="str">
        <f>IF(LEN(F727)&lt;&gt;0,_xlfn.XLOOKUP(F727,[1]!Entities[ID_with_x],[1]!Entities[Name_w_County],_xlfn.CONCAT("Entity ID ",RIGHT(Table3[[#This Row],[Sponsor_1_num]],8)," not found")),"")</f>
        <v/>
      </c>
      <c r="M727" t="str">
        <f>IF(LEN(G727)&lt;&gt;0,_xlfn.XLOOKUP(G727,[1]!Entities[ID_with_x],[1]!Entities[Name_w_County],_xlfn.CONCAT("Entity ID ",RIGHT(Table3[[#This Row],[Sponsor_1_num]],8)," not found")),"")</f>
        <v/>
      </c>
      <c r="N727" t="str">
        <f>IF(LEN(H727)&lt;&gt;0,_xlfn.XLOOKUP(H727,[1]!Entities[ID_with_x],[1]!Entities[Name_w_County],_xlfn.CONCAT("Entity ID ",RIGHT(Table3[[#This Row],[Sponsor_1_num]],8)," not found")),"")</f>
        <v/>
      </c>
      <c r="O727" t="str">
        <f>IF(LEN(I727)&lt;&gt;0,_xlfn.XLOOKUP(I727,[1]!Entities[ID_with_x],[1]!Entities[Name_w_County],_xlfn.CONCAT("Entity ID ",RIGHT(Table3[[#This Row],[Sponsor_1_num]],8)," not found")),"")</f>
        <v/>
      </c>
      <c r="P727" t="str">
        <f>IF(LEN(J727)&lt;&gt;0,_xlfn.XLOOKUP(J727,[1]!Entities[ID_with_x],[1]!Entities[Name_w_County],_xlfn.CONCAT("Entity ID ",RIGHT(Table3[[#This Row],[Sponsor_1_num]],8)," not found")),"")</f>
        <v/>
      </c>
      <c r="Q727" t="str">
        <f>IF(LEN(K727)&gt;0,_xlfn.TEXTJOIN(", ",TRUE,K727:P727),Table3[[#This Row],[SPONSOR_LIST]])</f>
        <v>McAllen</v>
      </c>
    </row>
    <row r="728" spans="1:17" x14ac:dyDescent="0.25">
      <c r="A728" s="304" t="s">
        <v>3932</v>
      </c>
      <c r="B728" t="s">
        <v>4185</v>
      </c>
      <c r="C728" t="str">
        <f t="shared" si="12"/>
        <v>x15000084</v>
      </c>
      <c r="D728" t="str">
        <f>SUBSTITUTE(SUBSTITUTE(Table3[[#This Row],[Sponsor_list_tranform]],",",",x")," ","")</f>
        <v>x15000084</v>
      </c>
      <c r="E728" t="s">
        <v>11850</v>
      </c>
      <c r="K728" t="str">
        <f>IF(LEN(E728)&lt;&gt;0,_xlfn.XLOOKUP(E728,[1]!Entities[ID_with_x],[1]!Entities[Name_w_County],_xlfn.CONCAT("Entity ID ",RIGHT(Table3[[#This Row],[Sponsor_1_num]],8)," not found")),"")</f>
        <v>McAllen</v>
      </c>
      <c r="L728" t="str">
        <f>IF(LEN(F728)&lt;&gt;0,_xlfn.XLOOKUP(F728,[1]!Entities[ID_with_x],[1]!Entities[Name_w_County],_xlfn.CONCAT("Entity ID ",RIGHT(Table3[[#This Row],[Sponsor_1_num]],8)," not found")),"")</f>
        <v/>
      </c>
      <c r="M728" t="str">
        <f>IF(LEN(G728)&lt;&gt;0,_xlfn.XLOOKUP(G728,[1]!Entities[ID_with_x],[1]!Entities[Name_w_County],_xlfn.CONCAT("Entity ID ",RIGHT(Table3[[#This Row],[Sponsor_1_num]],8)," not found")),"")</f>
        <v/>
      </c>
      <c r="N728" t="str">
        <f>IF(LEN(H728)&lt;&gt;0,_xlfn.XLOOKUP(H728,[1]!Entities[ID_with_x],[1]!Entities[Name_w_County],_xlfn.CONCAT("Entity ID ",RIGHT(Table3[[#This Row],[Sponsor_1_num]],8)," not found")),"")</f>
        <v/>
      </c>
      <c r="O728" t="str">
        <f>IF(LEN(I728)&lt;&gt;0,_xlfn.XLOOKUP(I728,[1]!Entities[ID_with_x],[1]!Entities[Name_w_County],_xlfn.CONCAT("Entity ID ",RIGHT(Table3[[#This Row],[Sponsor_1_num]],8)," not found")),"")</f>
        <v/>
      </c>
      <c r="P728" t="str">
        <f>IF(LEN(J728)&lt;&gt;0,_xlfn.XLOOKUP(J728,[1]!Entities[ID_with_x],[1]!Entities[Name_w_County],_xlfn.CONCAT("Entity ID ",RIGHT(Table3[[#This Row],[Sponsor_1_num]],8)," not found")),"")</f>
        <v/>
      </c>
      <c r="Q728" t="str">
        <f>IF(LEN(K728)&gt;0,_xlfn.TEXTJOIN(", ",TRUE,K728:P728),Table3[[#This Row],[SPONSOR_LIST]])</f>
        <v>McAllen</v>
      </c>
    </row>
    <row r="729" spans="1:17" x14ac:dyDescent="0.25">
      <c r="A729" s="304" t="s">
        <v>3934</v>
      </c>
      <c r="B729" t="s">
        <v>3881</v>
      </c>
      <c r="C729" t="str">
        <f t="shared" si="12"/>
        <v>x15000063</v>
      </c>
      <c r="D729" t="str">
        <f>SUBSTITUTE(SUBSTITUTE(Table3[[#This Row],[Sponsor_list_tranform]],",",",x")," ","")</f>
        <v>x15000063</v>
      </c>
      <c r="E729" t="s">
        <v>11851</v>
      </c>
      <c r="K729" t="str">
        <f>IF(LEN(E729)&lt;&gt;0,_xlfn.XLOOKUP(E729,[1]!Entities[ID_with_x],[1]!Entities[Name_w_County],_xlfn.CONCAT("Entity ID ",RIGHT(Table3[[#This Row],[Sponsor_1_num]],8)," not found")),"")</f>
        <v>Mercedes</v>
      </c>
      <c r="L729" t="str">
        <f>IF(LEN(F729)&lt;&gt;0,_xlfn.XLOOKUP(F729,[1]!Entities[ID_with_x],[1]!Entities[Name_w_County],_xlfn.CONCAT("Entity ID ",RIGHT(Table3[[#This Row],[Sponsor_1_num]],8)," not found")),"")</f>
        <v/>
      </c>
      <c r="M729" t="str">
        <f>IF(LEN(G729)&lt;&gt;0,_xlfn.XLOOKUP(G729,[1]!Entities[ID_with_x],[1]!Entities[Name_w_County],_xlfn.CONCAT("Entity ID ",RIGHT(Table3[[#This Row],[Sponsor_1_num]],8)," not found")),"")</f>
        <v/>
      </c>
      <c r="N729" t="str">
        <f>IF(LEN(H729)&lt;&gt;0,_xlfn.XLOOKUP(H729,[1]!Entities[ID_with_x],[1]!Entities[Name_w_County],_xlfn.CONCAT("Entity ID ",RIGHT(Table3[[#This Row],[Sponsor_1_num]],8)," not found")),"")</f>
        <v/>
      </c>
      <c r="O729" t="str">
        <f>IF(LEN(I729)&lt;&gt;0,_xlfn.XLOOKUP(I729,[1]!Entities[ID_with_x],[1]!Entities[Name_w_County],_xlfn.CONCAT("Entity ID ",RIGHT(Table3[[#This Row],[Sponsor_1_num]],8)," not found")),"")</f>
        <v/>
      </c>
      <c r="P729" t="str">
        <f>IF(LEN(J729)&lt;&gt;0,_xlfn.XLOOKUP(J729,[1]!Entities[ID_with_x],[1]!Entities[Name_w_County],_xlfn.CONCAT("Entity ID ",RIGHT(Table3[[#This Row],[Sponsor_1_num]],8)," not found")),"")</f>
        <v/>
      </c>
      <c r="Q729" t="str">
        <f>IF(LEN(K729)&gt;0,_xlfn.TEXTJOIN(", ",TRUE,K729:P729),Table3[[#This Row],[SPONSOR_LIST]])</f>
        <v>Mercedes</v>
      </c>
    </row>
    <row r="730" spans="1:17" x14ac:dyDescent="0.25">
      <c r="A730" s="304" t="s">
        <v>3937</v>
      </c>
      <c r="B730" t="s">
        <v>3881</v>
      </c>
      <c r="C730" t="str">
        <f t="shared" si="12"/>
        <v>x15000063</v>
      </c>
      <c r="D730" t="str">
        <f>SUBSTITUTE(SUBSTITUTE(Table3[[#This Row],[Sponsor_list_tranform]],",",",x")," ","")</f>
        <v>x15000063</v>
      </c>
      <c r="E730" t="s">
        <v>11851</v>
      </c>
      <c r="K730" t="str">
        <f>IF(LEN(E730)&lt;&gt;0,_xlfn.XLOOKUP(E730,[1]!Entities[ID_with_x],[1]!Entities[Name_w_County],_xlfn.CONCAT("Entity ID ",RIGHT(Table3[[#This Row],[Sponsor_1_num]],8)," not found")),"")</f>
        <v>Mercedes</v>
      </c>
      <c r="L730" t="str">
        <f>IF(LEN(F730)&lt;&gt;0,_xlfn.XLOOKUP(F730,[1]!Entities[ID_with_x],[1]!Entities[Name_w_County],_xlfn.CONCAT("Entity ID ",RIGHT(Table3[[#This Row],[Sponsor_1_num]],8)," not found")),"")</f>
        <v/>
      </c>
      <c r="M730" t="str">
        <f>IF(LEN(G730)&lt;&gt;0,_xlfn.XLOOKUP(G730,[1]!Entities[ID_with_x],[1]!Entities[Name_w_County],_xlfn.CONCAT("Entity ID ",RIGHT(Table3[[#This Row],[Sponsor_1_num]],8)," not found")),"")</f>
        <v/>
      </c>
      <c r="N730" t="str">
        <f>IF(LEN(H730)&lt;&gt;0,_xlfn.XLOOKUP(H730,[1]!Entities[ID_with_x],[1]!Entities[Name_w_County],_xlfn.CONCAT("Entity ID ",RIGHT(Table3[[#This Row],[Sponsor_1_num]],8)," not found")),"")</f>
        <v/>
      </c>
      <c r="O730" t="str">
        <f>IF(LEN(I730)&lt;&gt;0,_xlfn.XLOOKUP(I730,[1]!Entities[ID_with_x],[1]!Entities[Name_w_County],_xlfn.CONCAT("Entity ID ",RIGHT(Table3[[#This Row],[Sponsor_1_num]],8)," not found")),"")</f>
        <v/>
      </c>
      <c r="P730" t="str">
        <f>IF(LEN(J730)&lt;&gt;0,_xlfn.XLOOKUP(J730,[1]!Entities[ID_with_x],[1]!Entities[Name_w_County],_xlfn.CONCAT("Entity ID ",RIGHT(Table3[[#This Row],[Sponsor_1_num]],8)," not found")),"")</f>
        <v/>
      </c>
      <c r="Q730" t="str">
        <f>IF(LEN(K730)&gt;0,_xlfn.TEXTJOIN(", ",TRUE,K730:P730),Table3[[#This Row],[SPONSOR_LIST]])</f>
        <v>Mercedes</v>
      </c>
    </row>
    <row r="731" spans="1:17" x14ac:dyDescent="0.25">
      <c r="A731" s="304" t="s">
        <v>3939</v>
      </c>
      <c r="B731" t="s">
        <v>4193</v>
      </c>
      <c r="C731" t="str">
        <f t="shared" si="12"/>
        <v>x15000085</v>
      </c>
      <c r="D731" t="str">
        <f>SUBSTITUTE(SUBSTITUTE(Table3[[#This Row],[Sponsor_list_tranform]],",",",x")," ","")</f>
        <v>x15000085</v>
      </c>
      <c r="E731" t="s">
        <v>11852</v>
      </c>
      <c r="K731" t="str">
        <f>IF(LEN(E731)&lt;&gt;0,_xlfn.XLOOKUP(E731,[1]!Entities[ID_with_x],[1]!Entities[Name_w_County],_xlfn.CONCAT("Entity ID ",RIGHT(Table3[[#This Row],[Sponsor_1_num]],8)," not found")),"")</f>
        <v>Mission</v>
      </c>
      <c r="L731" t="str">
        <f>IF(LEN(F731)&lt;&gt;0,_xlfn.XLOOKUP(F731,[1]!Entities[ID_with_x],[1]!Entities[Name_w_County],_xlfn.CONCAT("Entity ID ",RIGHT(Table3[[#This Row],[Sponsor_1_num]],8)," not found")),"")</f>
        <v/>
      </c>
      <c r="M731" t="str">
        <f>IF(LEN(G731)&lt;&gt;0,_xlfn.XLOOKUP(G731,[1]!Entities[ID_with_x],[1]!Entities[Name_w_County],_xlfn.CONCAT("Entity ID ",RIGHT(Table3[[#This Row],[Sponsor_1_num]],8)," not found")),"")</f>
        <v/>
      </c>
      <c r="N731" t="str">
        <f>IF(LEN(H731)&lt;&gt;0,_xlfn.XLOOKUP(H731,[1]!Entities[ID_with_x],[1]!Entities[Name_w_County],_xlfn.CONCAT("Entity ID ",RIGHT(Table3[[#This Row],[Sponsor_1_num]],8)," not found")),"")</f>
        <v/>
      </c>
      <c r="O731" t="str">
        <f>IF(LEN(I731)&lt;&gt;0,_xlfn.XLOOKUP(I731,[1]!Entities[ID_with_x],[1]!Entities[Name_w_County],_xlfn.CONCAT("Entity ID ",RIGHT(Table3[[#This Row],[Sponsor_1_num]],8)," not found")),"")</f>
        <v/>
      </c>
      <c r="P731" t="str">
        <f>IF(LEN(J731)&lt;&gt;0,_xlfn.XLOOKUP(J731,[1]!Entities[ID_with_x],[1]!Entities[Name_w_County],_xlfn.CONCAT("Entity ID ",RIGHT(Table3[[#This Row],[Sponsor_1_num]],8)," not found")),"")</f>
        <v/>
      </c>
      <c r="Q731" t="str">
        <f>IF(LEN(K731)&gt;0,_xlfn.TEXTJOIN(", ",TRUE,K731:P731),Table3[[#This Row],[SPONSOR_LIST]])</f>
        <v>Mission</v>
      </c>
    </row>
    <row r="732" spans="1:17" x14ac:dyDescent="0.25">
      <c r="A732" s="304" t="s">
        <v>3941</v>
      </c>
      <c r="B732" t="s">
        <v>4193</v>
      </c>
      <c r="C732" t="str">
        <f t="shared" si="12"/>
        <v>x15000085</v>
      </c>
      <c r="D732" t="str">
        <f>SUBSTITUTE(SUBSTITUTE(Table3[[#This Row],[Sponsor_list_tranform]],",",",x")," ","")</f>
        <v>x15000085</v>
      </c>
      <c r="E732" t="s">
        <v>11852</v>
      </c>
      <c r="K732" t="str">
        <f>IF(LEN(E732)&lt;&gt;0,_xlfn.XLOOKUP(E732,[1]!Entities[ID_with_x],[1]!Entities[Name_w_County],_xlfn.CONCAT("Entity ID ",RIGHT(Table3[[#This Row],[Sponsor_1_num]],8)," not found")),"")</f>
        <v>Mission</v>
      </c>
      <c r="L732" t="str">
        <f>IF(LEN(F732)&lt;&gt;0,_xlfn.XLOOKUP(F732,[1]!Entities[ID_with_x],[1]!Entities[Name_w_County],_xlfn.CONCAT("Entity ID ",RIGHT(Table3[[#This Row],[Sponsor_1_num]],8)," not found")),"")</f>
        <v/>
      </c>
      <c r="M732" t="str">
        <f>IF(LEN(G732)&lt;&gt;0,_xlfn.XLOOKUP(G732,[1]!Entities[ID_with_x],[1]!Entities[Name_w_County],_xlfn.CONCAT("Entity ID ",RIGHT(Table3[[#This Row],[Sponsor_1_num]],8)," not found")),"")</f>
        <v/>
      </c>
      <c r="N732" t="str">
        <f>IF(LEN(H732)&lt;&gt;0,_xlfn.XLOOKUP(H732,[1]!Entities[ID_with_x],[1]!Entities[Name_w_County],_xlfn.CONCAT("Entity ID ",RIGHT(Table3[[#This Row],[Sponsor_1_num]],8)," not found")),"")</f>
        <v/>
      </c>
      <c r="O732" t="str">
        <f>IF(LEN(I732)&lt;&gt;0,_xlfn.XLOOKUP(I732,[1]!Entities[ID_with_x],[1]!Entities[Name_w_County],_xlfn.CONCAT("Entity ID ",RIGHT(Table3[[#This Row],[Sponsor_1_num]],8)," not found")),"")</f>
        <v/>
      </c>
      <c r="P732" t="str">
        <f>IF(LEN(J732)&lt;&gt;0,_xlfn.XLOOKUP(J732,[1]!Entities[ID_with_x],[1]!Entities[Name_w_County],_xlfn.CONCAT("Entity ID ",RIGHT(Table3[[#This Row],[Sponsor_1_num]],8)," not found")),"")</f>
        <v/>
      </c>
      <c r="Q732" t="str">
        <f>IF(LEN(K732)&gt;0,_xlfn.TEXTJOIN(", ",TRUE,K732:P732),Table3[[#This Row],[SPONSOR_LIST]])</f>
        <v>Mission</v>
      </c>
    </row>
    <row r="733" spans="1:17" x14ac:dyDescent="0.25">
      <c r="A733" s="304" t="s">
        <v>3943</v>
      </c>
      <c r="B733" t="s">
        <v>4197</v>
      </c>
      <c r="C733" t="str">
        <f t="shared" si="12"/>
        <v>x15000064</v>
      </c>
      <c r="D733" t="str">
        <f>SUBSTITUTE(SUBSTITUTE(Table3[[#This Row],[Sponsor_list_tranform]],",",",x")," ","")</f>
        <v>x15000064</v>
      </c>
      <c r="E733" t="s">
        <v>11853</v>
      </c>
      <c r="K733" t="str">
        <f>IF(LEN(E733)&lt;&gt;0,_xlfn.XLOOKUP(E733,[1]!Entities[ID_with_x],[1]!Entities[Name_w_County],_xlfn.CONCAT("Entity ID ",RIGHT(Table3[[#This Row],[Sponsor_1_num]],8)," not found")),"")</f>
        <v>Palmview</v>
      </c>
      <c r="L733" t="str">
        <f>IF(LEN(F733)&lt;&gt;0,_xlfn.XLOOKUP(F733,[1]!Entities[ID_with_x],[1]!Entities[Name_w_County],_xlfn.CONCAT("Entity ID ",RIGHT(Table3[[#This Row],[Sponsor_1_num]],8)," not found")),"")</f>
        <v/>
      </c>
      <c r="M733" t="str">
        <f>IF(LEN(G733)&lt;&gt;0,_xlfn.XLOOKUP(G733,[1]!Entities[ID_with_x],[1]!Entities[Name_w_County],_xlfn.CONCAT("Entity ID ",RIGHT(Table3[[#This Row],[Sponsor_1_num]],8)," not found")),"")</f>
        <v/>
      </c>
      <c r="N733" t="str">
        <f>IF(LEN(H733)&lt;&gt;0,_xlfn.XLOOKUP(H733,[1]!Entities[ID_with_x],[1]!Entities[Name_w_County],_xlfn.CONCAT("Entity ID ",RIGHT(Table3[[#This Row],[Sponsor_1_num]],8)," not found")),"")</f>
        <v/>
      </c>
      <c r="O733" t="str">
        <f>IF(LEN(I733)&lt;&gt;0,_xlfn.XLOOKUP(I733,[1]!Entities[ID_with_x],[1]!Entities[Name_w_County],_xlfn.CONCAT("Entity ID ",RIGHT(Table3[[#This Row],[Sponsor_1_num]],8)," not found")),"")</f>
        <v/>
      </c>
      <c r="P733" t="str">
        <f>IF(LEN(J733)&lt;&gt;0,_xlfn.XLOOKUP(J733,[1]!Entities[ID_with_x],[1]!Entities[Name_w_County],_xlfn.CONCAT("Entity ID ",RIGHT(Table3[[#This Row],[Sponsor_1_num]],8)," not found")),"")</f>
        <v/>
      </c>
      <c r="Q733" t="str">
        <f>IF(LEN(K733)&gt;0,_xlfn.TEXTJOIN(", ",TRUE,K733:P733),Table3[[#This Row],[SPONSOR_LIST]])</f>
        <v>Palmview</v>
      </c>
    </row>
    <row r="734" spans="1:17" x14ac:dyDescent="0.25">
      <c r="A734" s="304" t="s">
        <v>3946</v>
      </c>
      <c r="B734" t="s">
        <v>4197</v>
      </c>
      <c r="C734" t="str">
        <f t="shared" si="12"/>
        <v>x15000064</v>
      </c>
      <c r="D734" t="str">
        <f>SUBSTITUTE(SUBSTITUTE(Table3[[#This Row],[Sponsor_list_tranform]],",",",x")," ","")</f>
        <v>x15000064</v>
      </c>
      <c r="E734" t="s">
        <v>11853</v>
      </c>
      <c r="K734" t="str">
        <f>IF(LEN(E734)&lt;&gt;0,_xlfn.XLOOKUP(E734,[1]!Entities[ID_with_x],[1]!Entities[Name_w_County],_xlfn.CONCAT("Entity ID ",RIGHT(Table3[[#This Row],[Sponsor_1_num]],8)," not found")),"")</f>
        <v>Palmview</v>
      </c>
      <c r="L734" t="str">
        <f>IF(LEN(F734)&lt;&gt;0,_xlfn.XLOOKUP(F734,[1]!Entities[ID_with_x],[1]!Entities[Name_w_County],_xlfn.CONCAT("Entity ID ",RIGHT(Table3[[#This Row],[Sponsor_1_num]],8)," not found")),"")</f>
        <v/>
      </c>
      <c r="M734" t="str">
        <f>IF(LEN(G734)&lt;&gt;0,_xlfn.XLOOKUP(G734,[1]!Entities[ID_with_x],[1]!Entities[Name_w_County],_xlfn.CONCAT("Entity ID ",RIGHT(Table3[[#This Row],[Sponsor_1_num]],8)," not found")),"")</f>
        <v/>
      </c>
      <c r="N734" t="str">
        <f>IF(LEN(H734)&lt;&gt;0,_xlfn.XLOOKUP(H734,[1]!Entities[ID_with_x],[1]!Entities[Name_w_County],_xlfn.CONCAT("Entity ID ",RIGHT(Table3[[#This Row],[Sponsor_1_num]],8)," not found")),"")</f>
        <v/>
      </c>
      <c r="O734" t="str">
        <f>IF(LEN(I734)&lt;&gt;0,_xlfn.XLOOKUP(I734,[1]!Entities[ID_with_x],[1]!Entities[Name_w_County],_xlfn.CONCAT("Entity ID ",RIGHT(Table3[[#This Row],[Sponsor_1_num]],8)," not found")),"")</f>
        <v/>
      </c>
      <c r="P734" t="str">
        <f>IF(LEN(J734)&lt;&gt;0,_xlfn.XLOOKUP(J734,[1]!Entities[ID_with_x],[1]!Entities[Name_w_County],_xlfn.CONCAT("Entity ID ",RIGHT(Table3[[#This Row],[Sponsor_1_num]],8)," not found")),"")</f>
        <v/>
      </c>
      <c r="Q734" t="str">
        <f>IF(LEN(K734)&gt;0,_xlfn.TEXTJOIN(", ",TRUE,K734:P734),Table3[[#This Row],[SPONSOR_LIST]])</f>
        <v>Palmview</v>
      </c>
    </row>
    <row r="735" spans="1:17" x14ac:dyDescent="0.25">
      <c r="A735" s="304" t="s">
        <v>3948</v>
      </c>
      <c r="B735" t="s">
        <v>4202</v>
      </c>
      <c r="C735" t="str">
        <f t="shared" si="12"/>
        <v>x15000086</v>
      </c>
      <c r="D735" t="str">
        <f>SUBSTITUTE(SUBSTITUTE(Table3[[#This Row],[Sponsor_list_tranform]],",",",x")," ","")</f>
        <v>x15000086</v>
      </c>
      <c r="E735" t="s">
        <v>11854</v>
      </c>
      <c r="K735" t="str">
        <f>IF(LEN(E735)&lt;&gt;0,_xlfn.XLOOKUP(E735,[1]!Entities[ID_with_x],[1]!Entities[Name_w_County],_xlfn.CONCAT("Entity ID ",RIGHT(Table3[[#This Row],[Sponsor_1_num]],8)," not found")),"")</f>
        <v>Pharr</v>
      </c>
      <c r="L735" t="str">
        <f>IF(LEN(F735)&lt;&gt;0,_xlfn.XLOOKUP(F735,[1]!Entities[ID_with_x],[1]!Entities[Name_w_County],_xlfn.CONCAT("Entity ID ",RIGHT(Table3[[#This Row],[Sponsor_1_num]],8)," not found")),"")</f>
        <v/>
      </c>
      <c r="M735" t="str">
        <f>IF(LEN(G735)&lt;&gt;0,_xlfn.XLOOKUP(G735,[1]!Entities[ID_with_x],[1]!Entities[Name_w_County],_xlfn.CONCAT("Entity ID ",RIGHT(Table3[[#This Row],[Sponsor_1_num]],8)," not found")),"")</f>
        <v/>
      </c>
      <c r="N735" t="str">
        <f>IF(LEN(H735)&lt;&gt;0,_xlfn.XLOOKUP(H735,[1]!Entities[ID_with_x],[1]!Entities[Name_w_County],_xlfn.CONCAT("Entity ID ",RIGHT(Table3[[#This Row],[Sponsor_1_num]],8)," not found")),"")</f>
        <v/>
      </c>
      <c r="O735" t="str">
        <f>IF(LEN(I735)&lt;&gt;0,_xlfn.XLOOKUP(I735,[1]!Entities[ID_with_x],[1]!Entities[Name_w_County],_xlfn.CONCAT("Entity ID ",RIGHT(Table3[[#This Row],[Sponsor_1_num]],8)," not found")),"")</f>
        <v/>
      </c>
      <c r="P735" t="str">
        <f>IF(LEN(J735)&lt;&gt;0,_xlfn.XLOOKUP(J735,[1]!Entities[ID_with_x],[1]!Entities[Name_w_County],_xlfn.CONCAT("Entity ID ",RIGHT(Table3[[#This Row],[Sponsor_1_num]],8)," not found")),"")</f>
        <v/>
      </c>
      <c r="Q735" t="str">
        <f>IF(LEN(K735)&gt;0,_xlfn.TEXTJOIN(", ",TRUE,K735:P735),Table3[[#This Row],[SPONSOR_LIST]])</f>
        <v>Pharr</v>
      </c>
    </row>
    <row r="736" spans="1:17" x14ac:dyDescent="0.25">
      <c r="A736" s="304" t="s">
        <v>3950</v>
      </c>
      <c r="B736" t="s">
        <v>4202</v>
      </c>
      <c r="C736" t="str">
        <f t="shared" si="12"/>
        <v>x15000086</v>
      </c>
      <c r="D736" t="str">
        <f>SUBSTITUTE(SUBSTITUTE(Table3[[#This Row],[Sponsor_list_tranform]],",",",x")," ","")</f>
        <v>x15000086</v>
      </c>
      <c r="E736" t="s">
        <v>11854</v>
      </c>
      <c r="K736" t="str">
        <f>IF(LEN(E736)&lt;&gt;0,_xlfn.XLOOKUP(E736,[1]!Entities[ID_with_x],[1]!Entities[Name_w_County],_xlfn.CONCAT("Entity ID ",RIGHT(Table3[[#This Row],[Sponsor_1_num]],8)," not found")),"")</f>
        <v>Pharr</v>
      </c>
      <c r="L736" t="str">
        <f>IF(LEN(F736)&lt;&gt;0,_xlfn.XLOOKUP(F736,[1]!Entities[ID_with_x],[1]!Entities[Name_w_County],_xlfn.CONCAT("Entity ID ",RIGHT(Table3[[#This Row],[Sponsor_1_num]],8)," not found")),"")</f>
        <v/>
      </c>
      <c r="M736" t="str">
        <f>IF(LEN(G736)&lt;&gt;0,_xlfn.XLOOKUP(G736,[1]!Entities[ID_with_x],[1]!Entities[Name_w_County],_xlfn.CONCAT("Entity ID ",RIGHT(Table3[[#This Row],[Sponsor_1_num]],8)," not found")),"")</f>
        <v/>
      </c>
      <c r="N736" t="str">
        <f>IF(LEN(H736)&lt;&gt;0,_xlfn.XLOOKUP(H736,[1]!Entities[ID_with_x],[1]!Entities[Name_w_County],_xlfn.CONCAT("Entity ID ",RIGHT(Table3[[#This Row],[Sponsor_1_num]],8)," not found")),"")</f>
        <v/>
      </c>
      <c r="O736" t="str">
        <f>IF(LEN(I736)&lt;&gt;0,_xlfn.XLOOKUP(I736,[1]!Entities[ID_with_x],[1]!Entities[Name_w_County],_xlfn.CONCAT("Entity ID ",RIGHT(Table3[[#This Row],[Sponsor_1_num]],8)," not found")),"")</f>
        <v/>
      </c>
      <c r="P736" t="str">
        <f>IF(LEN(J736)&lt;&gt;0,_xlfn.XLOOKUP(J736,[1]!Entities[ID_with_x],[1]!Entities[Name_w_County],_xlfn.CONCAT("Entity ID ",RIGHT(Table3[[#This Row],[Sponsor_1_num]],8)," not found")),"")</f>
        <v/>
      </c>
      <c r="Q736" t="str">
        <f>IF(LEN(K736)&gt;0,_xlfn.TEXTJOIN(", ",TRUE,K736:P736),Table3[[#This Row],[SPONSOR_LIST]])</f>
        <v>Pharr</v>
      </c>
    </row>
    <row r="737" spans="1:17" x14ac:dyDescent="0.25">
      <c r="A737" s="304" t="s">
        <v>3869</v>
      </c>
      <c r="B737" t="s">
        <v>4153</v>
      </c>
      <c r="C737" t="str">
        <f t="shared" si="12"/>
        <v>x15000055</v>
      </c>
      <c r="D737" t="str">
        <f>SUBSTITUTE(SUBSTITUTE(Table3[[#This Row],[Sponsor_list_tranform]],",",",x")," ","")</f>
        <v>x15000055</v>
      </c>
      <c r="E737" t="s">
        <v>11845</v>
      </c>
      <c r="K737" t="str">
        <f>IF(LEN(E737)&lt;&gt;0,_xlfn.XLOOKUP(E737,[1]!Entities[ID_with_x],[1]!Entities[Name_w_County],_xlfn.CONCAT("Entity ID ",RIGHT(Table3[[#This Row],[Sponsor_1_num]],8)," not found")),"")</f>
        <v>Alamo</v>
      </c>
      <c r="L737" t="str">
        <f>IF(LEN(F737)&lt;&gt;0,_xlfn.XLOOKUP(F737,[1]!Entities[ID_with_x],[1]!Entities[Name_w_County],_xlfn.CONCAT("Entity ID ",RIGHT(Table3[[#This Row],[Sponsor_1_num]],8)," not found")),"")</f>
        <v/>
      </c>
      <c r="M737" t="str">
        <f>IF(LEN(G737)&lt;&gt;0,_xlfn.XLOOKUP(G737,[1]!Entities[ID_with_x],[1]!Entities[Name_w_County],_xlfn.CONCAT("Entity ID ",RIGHT(Table3[[#This Row],[Sponsor_1_num]],8)," not found")),"")</f>
        <v/>
      </c>
      <c r="N737" t="str">
        <f>IF(LEN(H737)&lt;&gt;0,_xlfn.XLOOKUP(H737,[1]!Entities[ID_with_x],[1]!Entities[Name_w_County],_xlfn.CONCAT("Entity ID ",RIGHT(Table3[[#This Row],[Sponsor_1_num]],8)," not found")),"")</f>
        <v/>
      </c>
      <c r="O737" t="str">
        <f>IF(LEN(I737)&lt;&gt;0,_xlfn.XLOOKUP(I737,[1]!Entities[ID_with_x],[1]!Entities[Name_w_County],_xlfn.CONCAT("Entity ID ",RIGHT(Table3[[#This Row],[Sponsor_1_num]],8)," not found")),"")</f>
        <v/>
      </c>
      <c r="P737" t="str">
        <f>IF(LEN(J737)&lt;&gt;0,_xlfn.XLOOKUP(J737,[1]!Entities[ID_with_x],[1]!Entities[Name_w_County],_xlfn.CONCAT("Entity ID ",RIGHT(Table3[[#This Row],[Sponsor_1_num]],8)," not found")),"")</f>
        <v/>
      </c>
      <c r="Q737" t="str">
        <f>IF(LEN(K737)&gt;0,_xlfn.TEXTJOIN(", ",TRUE,K737:P737),Table3[[#This Row],[SPONSOR_LIST]])</f>
        <v>Alamo</v>
      </c>
    </row>
    <row r="738" spans="1:17" x14ac:dyDescent="0.25">
      <c r="A738" s="304" t="s">
        <v>4047</v>
      </c>
      <c r="B738" t="s">
        <v>3898</v>
      </c>
      <c r="C738" t="str">
        <f t="shared" si="12"/>
        <v>x15000003</v>
      </c>
      <c r="D738" t="str">
        <f>SUBSTITUTE(SUBSTITUTE(Table3[[#This Row],[Sponsor_list_tranform]],",",",x")," ","")</f>
        <v>x15000003</v>
      </c>
      <c r="E738" t="s">
        <v>11616</v>
      </c>
      <c r="K738" t="str">
        <f>IF(LEN(E738)&lt;&gt;0,_xlfn.XLOOKUP(E738,[1]!Entities[ID_with_x],[1]!Entities[Name_w_County],_xlfn.CONCAT("Entity ID ",RIGHT(Table3[[#This Row],[Sponsor_1_num]],8)," not found")),"")</f>
        <v>Starr County</v>
      </c>
      <c r="L738" t="str">
        <f>IF(LEN(F738)&lt;&gt;0,_xlfn.XLOOKUP(F738,[1]!Entities[ID_with_x],[1]!Entities[Name_w_County],_xlfn.CONCAT("Entity ID ",RIGHT(Table3[[#This Row],[Sponsor_1_num]],8)," not found")),"")</f>
        <v/>
      </c>
      <c r="M738" t="str">
        <f>IF(LEN(G738)&lt;&gt;0,_xlfn.XLOOKUP(G738,[1]!Entities[ID_with_x],[1]!Entities[Name_w_County],_xlfn.CONCAT("Entity ID ",RIGHT(Table3[[#This Row],[Sponsor_1_num]],8)," not found")),"")</f>
        <v/>
      </c>
      <c r="N738" t="str">
        <f>IF(LEN(H738)&lt;&gt;0,_xlfn.XLOOKUP(H738,[1]!Entities[ID_with_x],[1]!Entities[Name_w_County],_xlfn.CONCAT("Entity ID ",RIGHT(Table3[[#This Row],[Sponsor_1_num]],8)," not found")),"")</f>
        <v/>
      </c>
      <c r="O738" t="str">
        <f>IF(LEN(I738)&lt;&gt;0,_xlfn.XLOOKUP(I738,[1]!Entities[ID_with_x],[1]!Entities[Name_w_County],_xlfn.CONCAT("Entity ID ",RIGHT(Table3[[#This Row],[Sponsor_1_num]],8)," not found")),"")</f>
        <v/>
      </c>
      <c r="P738" t="str">
        <f>IF(LEN(J738)&lt;&gt;0,_xlfn.XLOOKUP(J738,[1]!Entities[ID_with_x],[1]!Entities[Name_w_County],_xlfn.CONCAT("Entity ID ",RIGHT(Table3[[#This Row],[Sponsor_1_num]],8)," not found")),"")</f>
        <v/>
      </c>
      <c r="Q738" t="str">
        <f>IF(LEN(K738)&gt;0,_xlfn.TEXTJOIN(", ",TRUE,K738:P738),Table3[[#This Row],[SPONSOR_LIST]])</f>
        <v>Starr County</v>
      </c>
    </row>
    <row r="739" spans="1:17" x14ac:dyDescent="0.25">
      <c r="A739" s="304" t="s">
        <v>4056</v>
      </c>
      <c r="B739" t="s">
        <v>3898</v>
      </c>
      <c r="C739" t="str">
        <f t="shared" si="12"/>
        <v>x15000003</v>
      </c>
      <c r="D739" t="str">
        <f>SUBSTITUTE(SUBSTITUTE(Table3[[#This Row],[Sponsor_list_tranform]],",",",x")," ","")</f>
        <v>x15000003</v>
      </c>
      <c r="E739" t="s">
        <v>11616</v>
      </c>
      <c r="K739" t="str">
        <f>IF(LEN(E739)&lt;&gt;0,_xlfn.XLOOKUP(E739,[1]!Entities[ID_with_x],[1]!Entities[Name_w_County],_xlfn.CONCAT("Entity ID ",RIGHT(Table3[[#This Row],[Sponsor_1_num]],8)," not found")),"")</f>
        <v>Starr County</v>
      </c>
      <c r="L739" t="str">
        <f>IF(LEN(F739)&lt;&gt;0,_xlfn.XLOOKUP(F739,[1]!Entities[ID_with_x],[1]!Entities[Name_w_County],_xlfn.CONCAT("Entity ID ",RIGHT(Table3[[#This Row],[Sponsor_1_num]],8)," not found")),"")</f>
        <v/>
      </c>
      <c r="M739" t="str">
        <f>IF(LEN(G739)&lt;&gt;0,_xlfn.XLOOKUP(G739,[1]!Entities[ID_with_x],[1]!Entities[Name_w_County],_xlfn.CONCAT("Entity ID ",RIGHT(Table3[[#This Row],[Sponsor_1_num]],8)," not found")),"")</f>
        <v/>
      </c>
      <c r="N739" t="str">
        <f>IF(LEN(H739)&lt;&gt;0,_xlfn.XLOOKUP(H739,[1]!Entities[ID_with_x],[1]!Entities[Name_w_County],_xlfn.CONCAT("Entity ID ",RIGHT(Table3[[#This Row],[Sponsor_1_num]],8)," not found")),"")</f>
        <v/>
      </c>
      <c r="O739" t="str">
        <f>IF(LEN(I739)&lt;&gt;0,_xlfn.XLOOKUP(I739,[1]!Entities[ID_with_x],[1]!Entities[Name_w_County],_xlfn.CONCAT("Entity ID ",RIGHT(Table3[[#This Row],[Sponsor_1_num]],8)," not found")),"")</f>
        <v/>
      </c>
      <c r="P739" t="str">
        <f>IF(LEN(J739)&lt;&gt;0,_xlfn.XLOOKUP(J739,[1]!Entities[ID_with_x],[1]!Entities[Name_w_County],_xlfn.CONCAT("Entity ID ",RIGHT(Table3[[#This Row],[Sponsor_1_num]],8)," not found")),"")</f>
        <v/>
      </c>
      <c r="Q739" t="str">
        <f>IF(LEN(K739)&gt;0,_xlfn.TEXTJOIN(", ",TRUE,K739:P739),Table3[[#This Row],[SPONSOR_LIST]])</f>
        <v>Starr County</v>
      </c>
    </row>
    <row r="740" spans="1:17" x14ac:dyDescent="0.25">
      <c r="A740" s="304" t="s">
        <v>4062</v>
      </c>
      <c r="B740" t="s">
        <v>3898</v>
      </c>
      <c r="C740" t="str">
        <f t="shared" si="12"/>
        <v>x15000003</v>
      </c>
      <c r="D740" t="str">
        <f>SUBSTITUTE(SUBSTITUTE(Table3[[#This Row],[Sponsor_list_tranform]],",",",x")," ","")</f>
        <v>x15000003</v>
      </c>
      <c r="E740" t="s">
        <v>11616</v>
      </c>
      <c r="K740" t="str">
        <f>IF(LEN(E740)&lt;&gt;0,_xlfn.XLOOKUP(E740,[1]!Entities[ID_with_x],[1]!Entities[Name_w_County],_xlfn.CONCAT("Entity ID ",RIGHT(Table3[[#This Row],[Sponsor_1_num]],8)," not found")),"")</f>
        <v>Starr County</v>
      </c>
      <c r="L740" t="str">
        <f>IF(LEN(F740)&lt;&gt;0,_xlfn.XLOOKUP(F740,[1]!Entities[ID_with_x],[1]!Entities[Name_w_County],_xlfn.CONCAT("Entity ID ",RIGHT(Table3[[#This Row],[Sponsor_1_num]],8)," not found")),"")</f>
        <v/>
      </c>
      <c r="M740" t="str">
        <f>IF(LEN(G740)&lt;&gt;0,_xlfn.XLOOKUP(G740,[1]!Entities[ID_with_x],[1]!Entities[Name_w_County],_xlfn.CONCAT("Entity ID ",RIGHT(Table3[[#This Row],[Sponsor_1_num]],8)," not found")),"")</f>
        <v/>
      </c>
      <c r="N740" t="str">
        <f>IF(LEN(H740)&lt;&gt;0,_xlfn.XLOOKUP(H740,[1]!Entities[ID_with_x],[1]!Entities[Name_w_County],_xlfn.CONCAT("Entity ID ",RIGHT(Table3[[#This Row],[Sponsor_1_num]],8)," not found")),"")</f>
        <v/>
      </c>
      <c r="O740" t="str">
        <f>IF(LEN(I740)&lt;&gt;0,_xlfn.XLOOKUP(I740,[1]!Entities[ID_with_x],[1]!Entities[Name_w_County],_xlfn.CONCAT("Entity ID ",RIGHT(Table3[[#This Row],[Sponsor_1_num]],8)," not found")),"")</f>
        <v/>
      </c>
      <c r="P740" t="str">
        <f>IF(LEN(J740)&lt;&gt;0,_xlfn.XLOOKUP(J740,[1]!Entities[ID_with_x],[1]!Entities[Name_w_County],_xlfn.CONCAT("Entity ID ",RIGHT(Table3[[#This Row],[Sponsor_1_num]],8)," not found")),"")</f>
        <v/>
      </c>
      <c r="Q740" t="str">
        <f>IF(LEN(K740)&gt;0,_xlfn.TEXTJOIN(", ",TRUE,K740:P740),Table3[[#This Row],[SPONSOR_LIST]])</f>
        <v>Starr County</v>
      </c>
    </row>
    <row r="741" spans="1:17" x14ac:dyDescent="0.25">
      <c r="A741" s="304" t="s">
        <v>4068</v>
      </c>
      <c r="B741" t="s">
        <v>3898</v>
      </c>
      <c r="C741" t="str">
        <f t="shared" si="12"/>
        <v>x15000003</v>
      </c>
      <c r="D741" t="str">
        <f>SUBSTITUTE(SUBSTITUTE(Table3[[#This Row],[Sponsor_list_tranform]],",",",x")," ","")</f>
        <v>x15000003</v>
      </c>
      <c r="E741" t="s">
        <v>11616</v>
      </c>
      <c r="K741" t="str">
        <f>IF(LEN(E741)&lt;&gt;0,_xlfn.XLOOKUP(E741,[1]!Entities[ID_with_x],[1]!Entities[Name_w_County],_xlfn.CONCAT("Entity ID ",RIGHT(Table3[[#This Row],[Sponsor_1_num]],8)," not found")),"")</f>
        <v>Starr County</v>
      </c>
      <c r="L741" t="str">
        <f>IF(LEN(F741)&lt;&gt;0,_xlfn.XLOOKUP(F741,[1]!Entities[ID_with_x],[1]!Entities[Name_w_County],_xlfn.CONCAT("Entity ID ",RIGHT(Table3[[#This Row],[Sponsor_1_num]],8)," not found")),"")</f>
        <v/>
      </c>
      <c r="M741" t="str">
        <f>IF(LEN(G741)&lt;&gt;0,_xlfn.XLOOKUP(G741,[1]!Entities[ID_with_x],[1]!Entities[Name_w_County],_xlfn.CONCAT("Entity ID ",RIGHT(Table3[[#This Row],[Sponsor_1_num]],8)," not found")),"")</f>
        <v/>
      </c>
      <c r="N741" t="str">
        <f>IF(LEN(H741)&lt;&gt;0,_xlfn.XLOOKUP(H741,[1]!Entities[ID_with_x],[1]!Entities[Name_w_County],_xlfn.CONCAT("Entity ID ",RIGHT(Table3[[#This Row],[Sponsor_1_num]],8)," not found")),"")</f>
        <v/>
      </c>
      <c r="O741" t="str">
        <f>IF(LEN(I741)&lt;&gt;0,_xlfn.XLOOKUP(I741,[1]!Entities[ID_with_x],[1]!Entities[Name_w_County],_xlfn.CONCAT("Entity ID ",RIGHT(Table3[[#This Row],[Sponsor_1_num]],8)," not found")),"")</f>
        <v/>
      </c>
      <c r="P741" t="str">
        <f>IF(LEN(J741)&lt;&gt;0,_xlfn.XLOOKUP(J741,[1]!Entities[ID_with_x],[1]!Entities[Name_w_County],_xlfn.CONCAT("Entity ID ",RIGHT(Table3[[#This Row],[Sponsor_1_num]],8)," not found")),"")</f>
        <v/>
      </c>
      <c r="Q741" t="str">
        <f>IF(LEN(K741)&gt;0,_xlfn.TEXTJOIN(", ",TRUE,K741:P741),Table3[[#This Row],[SPONSOR_LIST]])</f>
        <v>Starr County</v>
      </c>
    </row>
    <row r="742" spans="1:17" x14ac:dyDescent="0.25">
      <c r="A742" s="304" t="s">
        <v>4075</v>
      </c>
      <c r="B742" t="s">
        <v>4082</v>
      </c>
      <c r="C742" t="str">
        <f t="shared" si="12"/>
        <v>x15000048</v>
      </c>
      <c r="D742" t="str">
        <f>SUBSTITUTE(SUBSTITUTE(Table3[[#This Row],[Sponsor_list_tranform]],",",",x")," ","")</f>
        <v>x15000048</v>
      </c>
      <c r="E742" t="s">
        <v>11804</v>
      </c>
      <c r="K742" t="str">
        <f>IF(LEN(E742)&lt;&gt;0,_xlfn.XLOOKUP(E742,[1]!Entities[ID_with_x],[1]!Entities[Name_w_County],_xlfn.CONCAT("Entity ID ",RIGHT(Table3[[#This Row],[Sponsor_1_num]],8)," not found")),"")</f>
        <v>Laguna Vista</v>
      </c>
      <c r="L742" t="str">
        <f>IF(LEN(F742)&lt;&gt;0,_xlfn.XLOOKUP(F742,[1]!Entities[ID_with_x],[1]!Entities[Name_w_County],_xlfn.CONCAT("Entity ID ",RIGHT(Table3[[#This Row],[Sponsor_1_num]],8)," not found")),"")</f>
        <v/>
      </c>
      <c r="M742" t="str">
        <f>IF(LEN(G742)&lt;&gt;0,_xlfn.XLOOKUP(G742,[1]!Entities[ID_with_x],[1]!Entities[Name_w_County],_xlfn.CONCAT("Entity ID ",RIGHT(Table3[[#This Row],[Sponsor_1_num]],8)," not found")),"")</f>
        <v/>
      </c>
      <c r="N742" t="str">
        <f>IF(LEN(H742)&lt;&gt;0,_xlfn.XLOOKUP(H742,[1]!Entities[ID_with_x],[1]!Entities[Name_w_County],_xlfn.CONCAT("Entity ID ",RIGHT(Table3[[#This Row],[Sponsor_1_num]],8)," not found")),"")</f>
        <v/>
      </c>
      <c r="O742" t="str">
        <f>IF(LEN(I742)&lt;&gt;0,_xlfn.XLOOKUP(I742,[1]!Entities[ID_with_x],[1]!Entities[Name_w_County],_xlfn.CONCAT("Entity ID ",RIGHT(Table3[[#This Row],[Sponsor_1_num]],8)," not found")),"")</f>
        <v/>
      </c>
      <c r="P742" t="str">
        <f>IF(LEN(J742)&lt;&gt;0,_xlfn.XLOOKUP(J742,[1]!Entities[ID_with_x],[1]!Entities[Name_w_County],_xlfn.CONCAT("Entity ID ",RIGHT(Table3[[#This Row],[Sponsor_1_num]],8)," not found")),"")</f>
        <v/>
      </c>
      <c r="Q742" t="str">
        <f>IF(LEN(K742)&gt;0,_xlfn.TEXTJOIN(", ",TRUE,K742:P742),Table3[[#This Row],[SPONSOR_LIST]])</f>
        <v>Laguna Vista</v>
      </c>
    </row>
    <row r="743" spans="1:17" x14ac:dyDescent="0.25">
      <c r="A743" s="304" t="s">
        <v>4084</v>
      </c>
      <c r="B743" t="s">
        <v>4091</v>
      </c>
      <c r="C743" t="str">
        <f t="shared" si="12"/>
        <v>x15000021</v>
      </c>
      <c r="D743" t="str">
        <f>SUBSTITUTE(SUBSTITUTE(Table3[[#This Row],[Sponsor_list_tranform]],",",",x")," ","")</f>
        <v>x15000021</v>
      </c>
      <c r="E743" t="s">
        <v>11759</v>
      </c>
      <c r="K743" t="str">
        <f>IF(LEN(E743)&lt;&gt;0,_xlfn.XLOOKUP(E743,[1]!Entities[ID_with_x],[1]!Entities[Name_w_County],_xlfn.CONCAT("Entity ID ",RIGHT(Table3[[#This Row],[Sponsor_1_num]],8)," not found")),"")</f>
        <v>Willacy County Drainage District 1</v>
      </c>
      <c r="L743" t="str">
        <f>IF(LEN(F743)&lt;&gt;0,_xlfn.XLOOKUP(F743,[1]!Entities[ID_with_x],[1]!Entities[Name_w_County],_xlfn.CONCAT("Entity ID ",RIGHT(Table3[[#This Row],[Sponsor_1_num]],8)," not found")),"")</f>
        <v/>
      </c>
      <c r="M743" t="str">
        <f>IF(LEN(G743)&lt;&gt;0,_xlfn.XLOOKUP(G743,[1]!Entities[ID_with_x],[1]!Entities[Name_w_County],_xlfn.CONCAT("Entity ID ",RIGHT(Table3[[#This Row],[Sponsor_1_num]],8)," not found")),"")</f>
        <v/>
      </c>
      <c r="N743" t="str">
        <f>IF(LEN(H743)&lt;&gt;0,_xlfn.XLOOKUP(H743,[1]!Entities[ID_with_x],[1]!Entities[Name_w_County],_xlfn.CONCAT("Entity ID ",RIGHT(Table3[[#This Row],[Sponsor_1_num]],8)," not found")),"")</f>
        <v/>
      </c>
      <c r="O743" t="str">
        <f>IF(LEN(I743)&lt;&gt;0,_xlfn.XLOOKUP(I743,[1]!Entities[ID_with_x],[1]!Entities[Name_w_County],_xlfn.CONCAT("Entity ID ",RIGHT(Table3[[#This Row],[Sponsor_1_num]],8)," not found")),"")</f>
        <v/>
      </c>
      <c r="P743" t="str">
        <f>IF(LEN(J743)&lt;&gt;0,_xlfn.XLOOKUP(J743,[1]!Entities[ID_with_x],[1]!Entities[Name_w_County],_xlfn.CONCAT("Entity ID ",RIGHT(Table3[[#This Row],[Sponsor_1_num]],8)," not found")),"")</f>
        <v/>
      </c>
      <c r="Q743" t="str">
        <f>IF(LEN(K743)&gt;0,_xlfn.TEXTJOIN(", ",TRUE,K743:P743),Table3[[#This Row],[SPONSOR_LIST]])</f>
        <v>Willacy County Drainage District 1</v>
      </c>
    </row>
    <row r="744" spans="1:17" x14ac:dyDescent="0.25">
      <c r="A744" s="304" t="s">
        <v>4093</v>
      </c>
      <c r="B744" t="s">
        <v>4099</v>
      </c>
      <c r="C744" t="str">
        <f t="shared" si="12"/>
        <v>x15000030</v>
      </c>
      <c r="D744" t="str">
        <f>SUBSTITUTE(SUBSTITUTE(Table3[[#This Row],[Sponsor_list_tranform]],",",",x")," ","")</f>
        <v>x15000030</v>
      </c>
      <c r="E744" t="s">
        <v>11632</v>
      </c>
      <c r="K744" t="str">
        <f>IF(LEN(E744)&lt;&gt;0,_xlfn.XLOOKUP(E744,[1]!Entities[ID_with_x],[1]!Entities[Name_w_County],_xlfn.CONCAT("Entity ID ",RIGHT(Table3[[#This Row],[Sponsor_1_num]],8)," not found")),"")</f>
        <v>Cameron County Drainage District 5</v>
      </c>
      <c r="L744" t="str">
        <f>IF(LEN(F744)&lt;&gt;0,_xlfn.XLOOKUP(F744,[1]!Entities[ID_with_x],[1]!Entities[Name_w_County],_xlfn.CONCAT("Entity ID ",RIGHT(Table3[[#This Row],[Sponsor_1_num]],8)," not found")),"")</f>
        <v/>
      </c>
      <c r="M744" t="str">
        <f>IF(LEN(G744)&lt;&gt;0,_xlfn.XLOOKUP(G744,[1]!Entities[ID_with_x],[1]!Entities[Name_w_County],_xlfn.CONCAT("Entity ID ",RIGHT(Table3[[#This Row],[Sponsor_1_num]],8)," not found")),"")</f>
        <v/>
      </c>
      <c r="N744" t="str">
        <f>IF(LEN(H744)&lt;&gt;0,_xlfn.XLOOKUP(H744,[1]!Entities[ID_with_x],[1]!Entities[Name_w_County],_xlfn.CONCAT("Entity ID ",RIGHT(Table3[[#This Row],[Sponsor_1_num]],8)," not found")),"")</f>
        <v/>
      </c>
      <c r="O744" t="str">
        <f>IF(LEN(I744)&lt;&gt;0,_xlfn.XLOOKUP(I744,[1]!Entities[ID_with_x],[1]!Entities[Name_w_County],_xlfn.CONCAT("Entity ID ",RIGHT(Table3[[#This Row],[Sponsor_1_num]],8)," not found")),"")</f>
        <v/>
      </c>
      <c r="P744" t="str">
        <f>IF(LEN(J744)&lt;&gt;0,_xlfn.XLOOKUP(J744,[1]!Entities[ID_with_x],[1]!Entities[Name_w_County],_xlfn.CONCAT("Entity ID ",RIGHT(Table3[[#This Row],[Sponsor_1_num]],8)," not found")),"")</f>
        <v/>
      </c>
      <c r="Q744" t="str">
        <f>IF(LEN(K744)&gt;0,_xlfn.TEXTJOIN(", ",TRUE,K744:P744),Table3[[#This Row],[SPONSOR_LIST]])</f>
        <v>Cameron County Drainage District 5</v>
      </c>
    </row>
    <row r="745" spans="1:17" x14ac:dyDescent="0.25">
      <c r="A745" s="304" t="s">
        <v>4101</v>
      </c>
      <c r="B745" t="s">
        <v>4107</v>
      </c>
      <c r="C745" t="str">
        <f t="shared" si="12"/>
        <v>x15000004</v>
      </c>
      <c r="D745" t="str">
        <f>SUBSTITUTE(SUBSTITUTE(Table3[[#This Row],[Sponsor_list_tranform]],",",",x")," ","")</f>
        <v>x15000004</v>
      </c>
      <c r="E745" t="s">
        <v>11805</v>
      </c>
      <c r="K745" t="str">
        <f>IF(LEN(E745)&lt;&gt;0,_xlfn.XLOOKUP(E745,[1]!Entities[ID_with_x],[1]!Entities[Name_w_County],_xlfn.CONCAT("Entity ID ",RIGHT(Table3[[#This Row],[Sponsor_1_num]],8)," not found")),"")</f>
        <v>Hidalgo County</v>
      </c>
      <c r="L745" t="str">
        <f>IF(LEN(F745)&lt;&gt;0,_xlfn.XLOOKUP(F745,[1]!Entities[ID_with_x],[1]!Entities[Name_w_County],_xlfn.CONCAT("Entity ID ",RIGHT(Table3[[#This Row],[Sponsor_1_num]],8)," not found")),"")</f>
        <v/>
      </c>
      <c r="M745" t="str">
        <f>IF(LEN(G745)&lt;&gt;0,_xlfn.XLOOKUP(G745,[1]!Entities[ID_with_x],[1]!Entities[Name_w_County],_xlfn.CONCAT("Entity ID ",RIGHT(Table3[[#This Row],[Sponsor_1_num]],8)," not found")),"")</f>
        <v/>
      </c>
      <c r="N745" t="str">
        <f>IF(LEN(H745)&lt;&gt;0,_xlfn.XLOOKUP(H745,[1]!Entities[ID_with_x],[1]!Entities[Name_w_County],_xlfn.CONCAT("Entity ID ",RIGHT(Table3[[#This Row],[Sponsor_1_num]],8)," not found")),"")</f>
        <v/>
      </c>
      <c r="O745" t="str">
        <f>IF(LEN(I745)&lt;&gt;0,_xlfn.XLOOKUP(I745,[1]!Entities[ID_with_x],[1]!Entities[Name_w_County],_xlfn.CONCAT("Entity ID ",RIGHT(Table3[[#This Row],[Sponsor_1_num]],8)," not found")),"")</f>
        <v/>
      </c>
      <c r="P745" t="str">
        <f>IF(LEN(J745)&lt;&gt;0,_xlfn.XLOOKUP(J745,[1]!Entities[ID_with_x],[1]!Entities[Name_w_County],_xlfn.CONCAT("Entity ID ",RIGHT(Table3[[#This Row],[Sponsor_1_num]],8)," not found")),"")</f>
        <v/>
      </c>
      <c r="Q745" t="str">
        <f>IF(LEN(K745)&gt;0,_xlfn.TEXTJOIN(", ",TRUE,K745:P745),Table3[[#This Row],[SPONSOR_LIST]])</f>
        <v>Hidalgo County</v>
      </c>
    </row>
    <row r="746" spans="1:17" x14ac:dyDescent="0.25">
      <c r="A746" s="304" t="s">
        <v>4109</v>
      </c>
      <c r="B746" t="s">
        <v>3936</v>
      </c>
      <c r="C746" t="str">
        <f t="shared" si="12"/>
        <v>x15000070</v>
      </c>
      <c r="D746" t="str">
        <f>SUBSTITUTE(SUBSTITUTE(Table3[[#This Row],[Sponsor_list_tranform]],",",",x")," ","")</f>
        <v>x15000070</v>
      </c>
      <c r="E746" t="s">
        <v>11806</v>
      </c>
      <c r="K746" t="str">
        <f>IF(LEN(E746)&lt;&gt;0,_xlfn.XLOOKUP(E746,[1]!Entities[ID_with_x],[1]!Entities[Name_w_County],_xlfn.CONCAT("Entity ID ",RIGHT(Table3[[#This Row],[Sponsor_1_num]],8)," not found")),"")</f>
        <v>Progreso</v>
      </c>
      <c r="L746" t="str">
        <f>IF(LEN(F746)&lt;&gt;0,_xlfn.XLOOKUP(F746,[1]!Entities[ID_with_x],[1]!Entities[Name_w_County],_xlfn.CONCAT("Entity ID ",RIGHT(Table3[[#This Row],[Sponsor_1_num]],8)," not found")),"")</f>
        <v/>
      </c>
      <c r="M746" t="str">
        <f>IF(LEN(G746)&lt;&gt;0,_xlfn.XLOOKUP(G746,[1]!Entities[ID_with_x],[1]!Entities[Name_w_County],_xlfn.CONCAT("Entity ID ",RIGHT(Table3[[#This Row],[Sponsor_1_num]],8)," not found")),"")</f>
        <v/>
      </c>
      <c r="N746" t="str">
        <f>IF(LEN(H746)&lt;&gt;0,_xlfn.XLOOKUP(H746,[1]!Entities[ID_with_x],[1]!Entities[Name_w_County],_xlfn.CONCAT("Entity ID ",RIGHT(Table3[[#This Row],[Sponsor_1_num]],8)," not found")),"")</f>
        <v/>
      </c>
      <c r="O746" t="str">
        <f>IF(LEN(I746)&lt;&gt;0,_xlfn.XLOOKUP(I746,[1]!Entities[ID_with_x],[1]!Entities[Name_w_County],_xlfn.CONCAT("Entity ID ",RIGHT(Table3[[#This Row],[Sponsor_1_num]],8)," not found")),"")</f>
        <v/>
      </c>
      <c r="P746" t="str">
        <f>IF(LEN(J746)&lt;&gt;0,_xlfn.XLOOKUP(J746,[1]!Entities[ID_with_x],[1]!Entities[Name_w_County],_xlfn.CONCAT("Entity ID ",RIGHT(Table3[[#This Row],[Sponsor_1_num]],8)," not found")),"")</f>
        <v/>
      </c>
      <c r="Q746" t="str">
        <f>IF(LEN(K746)&gt;0,_xlfn.TEXTJOIN(", ",TRUE,K746:P746),Table3[[#This Row],[SPONSOR_LIST]])</f>
        <v>Progreso</v>
      </c>
    </row>
    <row r="747" spans="1:17" x14ac:dyDescent="0.25">
      <c r="A747" s="304" t="s">
        <v>4115</v>
      </c>
      <c r="B747" t="s">
        <v>4118</v>
      </c>
      <c r="C747" t="str">
        <f t="shared" si="12"/>
        <v>x15000046</v>
      </c>
      <c r="D747" t="str">
        <f>SUBSTITUTE(SUBSTITUTE(Table3[[#This Row],[Sponsor_list_tranform]],",",",x")," ","")</f>
        <v>x15000046</v>
      </c>
      <c r="E747" t="s">
        <v>11819</v>
      </c>
      <c r="K747" t="str">
        <f>IF(LEN(E747)&lt;&gt;0,_xlfn.XLOOKUP(E747,[1]!Entities[ID_with_x],[1]!Entities[Name_w_County],_xlfn.CONCAT("Entity ID ",RIGHT(Table3[[#This Row],[Sponsor_1_num]],8)," not found")),"")</f>
        <v>Indian Lake</v>
      </c>
      <c r="L747" t="str">
        <f>IF(LEN(F747)&lt;&gt;0,_xlfn.XLOOKUP(F747,[1]!Entities[ID_with_x],[1]!Entities[Name_w_County],_xlfn.CONCAT("Entity ID ",RIGHT(Table3[[#This Row],[Sponsor_1_num]],8)," not found")),"")</f>
        <v/>
      </c>
      <c r="M747" t="str">
        <f>IF(LEN(G747)&lt;&gt;0,_xlfn.XLOOKUP(G747,[1]!Entities[ID_with_x],[1]!Entities[Name_w_County],_xlfn.CONCAT("Entity ID ",RIGHT(Table3[[#This Row],[Sponsor_1_num]],8)," not found")),"")</f>
        <v/>
      </c>
      <c r="N747" t="str">
        <f>IF(LEN(H747)&lt;&gt;0,_xlfn.XLOOKUP(H747,[1]!Entities[ID_with_x],[1]!Entities[Name_w_County],_xlfn.CONCAT("Entity ID ",RIGHT(Table3[[#This Row],[Sponsor_1_num]],8)," not found")),"")</f>
        <v/>
      </c>
      <c r="O747" t="str">
        <f>IF(LEN(I747)&lt;&gt;0,_xlfn.XLOOKUP(I747,[1]!Entities[ID_with_x],[1]!Entities[Name_w_County],_xlfn.CONCAT("Entity ID ",RIGHT(Table3[[#This Row],[Sponsor_1_num]],8)," not found")),"")</f>
        <v/>
      </c>
      <c r="P747" t="str">
        <f>IF(LEN(J747)&lt;&gt;0,_xlfn.XLOOKUP(J747,[1]!Entities[ID_with_x],[1]!Entities[Name_w_County],_xlfn.CONCAT("Entity ID ",RIGHT(Table3[[#This Row],[Sponsor_1_num]],8)," not found")),"")</f>
        <v/>
      </c>
      <c r="Q747" t="str">
        <f>IF(LEN(K747)&gt;0,_xlfn.TEXTJOIN(", ",TRUE,K747:P747),Table3[[#This Row],[SPONSOR_LIST]])</f>
        <v>Indian Lake</v>
      </c>
    </row>
    <row r="748" spans="1:17" x14ac:dyDescent="0.25">
      <c r="A748" s="304" t="s">
        <v>4120</v>
      </c>
      <c r="B748" t="s">
        <v>4123</v>
      </c>
      <c r="C748" t="str">
        <f t="shared" si="12"/>
        <v>x15000029</v>
      </c>
      <c r="D748" t="str">
        <f>SUBSTITUTE(SUBSTITUTE(Table3[[#This Row],[Sponsor_list_tranform]],",",",x")," ","")</f>
        <v>x15000029</v>
      </c>
      <c r="E748" t="s">
        <v>11652</v>
      </c>
      <c r="K748" t="str">
        <f>IF(LEN(E748)&lt;&gt;0,_xlfn.XLOOKUP(E748,[1]!Entities[ID_with_x],[1]!Entities[Name_w_County],_xlfn.CONCAT("Entity ID ",RIGHT(Table3[[#This Row],[Sponsor_1_num]],8)," not found")),"")</f>
        <v>Cameron County Drainage District 1</v>
      </c>
      <c r="L748" t="str">
        <f>IF(LEN(F748)&lt;&gt;0,_xlfn.XLOOKUP(F748,[1]!Entities[ID_with_x],[1]!Entities[Name_w_County],_xlfn.CONCAT("Entity ID ",RIGHT(Table3[[#This Row],[Sponsor_1_num]],8)," not found")),"")</f>
        <v/>
      </c>
      <c r="M748" t="str">
        <f>IF(LEN(G748)&lt;&gt;0,_xlfn.XLOOKUP(G748,[1]!Entities[ID_with_x],[1]!Entities[Name_w_County],_xlfn.CONCAT("Entity ID ",RIGHT(Table3[[#This Row],[Sponsor_1_num]],8)," not found")),"")</f>
        <v/>
      </c>
      <c r="N748" t="str">
        <f>IF(LEN(H748)&lt;&gt;0,_xlfn.XLOOKUP(H748,[1]!Entities[ID_with_x],[1]!Entities[Name_w_County],_xlfn.CONCAT("Entity ID ",RIGHT(Table3[[#This Row],[Sponsor_1_num]],8)," not found")),"")</f>
        <v/>
      </c>
      <c r="O748" t="str">
        <f>IF(LEN(I748)&lt;&gt;0,_xlfn.XLOOKUP(I748,[1]!Entities[ID_with_x],[1]!Entities[Name_w_County],_xlfn.CONCAT("Entity ID ",RIGHT(Table3[[#This Row],[Sponsor_1_num]],8)," not found")),"")</f>
        <v/>
      </c>
      <c r="P748" t="str">
        <f>IF(LEN(J748)&lt;&gt;0,_xlfn.XLOOKUP(J748,[1]!Entities[ID_with_x],[1]!Entities[Name_w_County],_xlfn.CONCAT("Entity ID ",RIGHT(Table3[[#This Row],[Sponsor_1_num]],8)," not found")),"")</f>
        <v/>
      </c>
      <c r="Q748" t="str">
        <f>IF(LEN(K748)&gt;0,_xlfn.TEXTJOIN(", ",TRUE,K748:P748),Table3[[#This Row],[SPONSOR_LIST]])</f>
        <v>Cameron County Drainage District 1</v>
      </c>
    </row>
    <row r="749" spans="1:17" x14ac:dyDescent="0.25">
      <c r="A749" s="304" t="s">
        <v>4125</v>
      </c>
      <c r="B749" t="s">
        <v>4123</v>
      </c>
      <c r="C749" t="str">
        <f t="shared" si="12"/>
        <v>x15000029</v>
      </c>
      <c r="D749" t="str">
        <f>SUBSTITUTE(SUBSTITUTE(Table3[[#This Row],[Sponsor_list_tranform]],",",",x")," ","")</f>
        <v>x15000029</v>
      </c>
      <c r="E749" t="s">
        <v>11652</v>
      </c>
      <c r="K749" t="str">
        <f>IF(LEN(E749)&lt;&gt;0,_xlfn.XLOOKUP(E749,[1]!Entities[ID_with_x],[1]!Entities[Name_w_County],_xlfn.CONCAT("Entity ID ",RIGHT(Table3[[#This Row],[Sponsor_1_num]],8)," not found")),"")</f>
        <v>Cameron County Drainage District 1</v>
      </c>
      <c r="L749" t="str">
        <f>IF(LEN(F749)&lt;&gt;0,_xlfn.XLOOKUP(F749,[1]!Entities[ID_with_x],[1]!Entities[Name_w_County],_xlfn.CONCAT("Entity ID ",RIGHT(Table3[[#This Row],[Sponsor_1_num]],8)," not found")),"")</f>
        <v/>
      </c>
      <c r="M749" t="str">
        <f>IF(LEN(G749)&lt;&gt;0,_xlfn.XLOOKUP(G749,[1]!Entities[ID_with_x],[1]!Entities[Name_w_County],_xlfn.CONCAT("Entity ID ",RIGHT(Table3[[#This Row],[Sponsor_1_num]],8)," not found")),"")</f>
        <v/>
      </c>
      <c r="N749" t="str">
        <f>IF(LEN(H749)&lt;&gt;0,_xlfn.XLOOKUP(H749,[1]!Entities[ID_with_x],[1]!Entities[Name_w_County],_xlfn.CONCAT("Entity ID ",RIGHT(Table3[[#This Row],[Sponsor_1_num]],8)," not found")),"")</f>
        <v/>
      </c>
      <c r="O749" t="str">
        <f>IF(LEN(I749)&lt;&gt;0,_xlfn.XLOOKUP(I749,[1]!Entities[ID_with_x],[1]!Entities[Name_w_County],_xlfn.CONCAT("Entity ID ",RIGHT(Table3[[#This Row],[Sponsor_1_num]],8)," not found")),"")</f>
        <v/>
      </c>
      <c r="P749" t="str">
        <f>IF(LEN(J749)&lt;&gt;0,_xlfn.XLOOKUP(J749,[1]!Entities[ID_with_x],[1]!Entities[Name_w_County],_xlfn.CONCAT("Entity ID ",RIGHT(Table3[[#This Row],[Sponsor_1_num]],8)," not found")),"")</f>
        <v/>
      </c>
      <c r="Q749" t="str">
        <f>IF(LEN(K749)&gt;0,_xlfn.TEXTJOIN(", ",TRUE,K749:P749),Table3[[#This Row],[SPONSOR_LIST]])</f>
        <v>Cameron County Drainage District 1</v>
      </c>
    </row>
    <row r="750" spans="1:17" x14ac:dyDescent="0.25">
      <c r="A750" s="304" t="s">
        <v>4129</v>
      </c>
      <c r="B750" t="s">
        <v>4134</v>
      </c>
      <c r="C750" t="str">
        <f t="shared" si="12"/>
        <v>x15000045</v>
      </c>
      <c r="D750" t="str">
        <f>SUBSTITUTE(SUBSTITUTE(Table3[[#This Row],[Sponsor_list_tranform]],",",",x")," ","")</f>
        <v>x15000045</v>
      </c>
      <c r="E750" t="s">
        <v>11653</v>
      </c>
      <c r="K750" t="str">
        <f>IF(LEN(E750)&lt;&gt;0,_xlfn.XLOOKUP(E750,[1]!Entities[ID_with_x],[1]!Entities[Name_w_County],_xlfn.CONCAT("Entity ID ",RIGHT(Table3[[#This Row],[Sponsor_1_num]],8)," not found")),"")</f>
        <v>South Padre Island</v>
      </c>
      <c r="L750" t="str">
        <f>IF(LEN(F750)&lt;&gt;0,_xlfn.XLOOKUP(F750,[1]!Entities[ID_with_x],[1]!Entities[Name_w_County],_xlfn.CONCAT("Entity ID ",RIGHT(Table3[[#This Row],[Sponsor_1_num]],8)," not found")),"")</f>
        <v/>
      </c>
      <c r="M750" t="str">
        <f>IF(LEN(G750)&lt;&gt;0,_xlfn.XLOOKUP(G750,[1]!Entities[ID_with_x],[1]!Entities[Name_w_County],_xlfn.CONCAT("Entity ID ",RIGHT(Table3[[#This Row],[Sponsor_1_num]],8)," not found")),"")</f>
        <v/>
      </c>
      <c r="N750" t="str">
        <f>IF(LEN(H750)&lt;&gt;0,_xlfn.XLOOKUP(H750,[1]!Entities[ID_with_x],[1]!Entities[Name_w_County],_xlfn.CONCAT("Entity ID ",RIGHT(Table3[[#This Row],[Sponsor_1_num]],8)," not found")),"")</f>
        <v/>
      </c>
      <c r="O750" t="str">
        <f>IF(LEN(I750)&lt;&gt;0,_xlfn.XLOOKUP(I750,[1]!Entities[ID_with_x],[1]!Entities[Name_w_County],_xlfn.CONCAT("Entity ID ",RIGHT(Table3[[#This Row],[Sponsor_1_num]],8)," not found")),"")</f>
        <v/>
      </c>
      <c r="P750" t="str">
        <f>IF(LEN(J750)&lt;&gt;0,_xlfn.XLOOKUP(J750,[1]!Entities[ID_with_x],[1]!Entities[Name_w_County],_xlfn.CONCAT("Entity ID ",RIGHT(Table3[[#This Row],[Sponsor_1_num]],8)," not found")),"")</f>
        <v/>
      </c>
      <c r="Q750" t="str">
        <f>IF(LEN(K750)&gt;0,_xlfn.TEXTJOIN(", ",TRUE,K750:P750),Table3[[#This Row],[SPONSOR_LIST]])</f>
        <v>South Padre Island</v>
      </c>
    </row>
    <row r="751" spans="1:17" x14ac:dyDescent="0.25">
      <c r="A751" s="304" t="s">
        <v>4136</v>
      </c>
      <c r="B751" t="s">
        <v>4091</v>
      </c>
      <c r="C751" t="str">
        <f t="shared" si="12"/>
        <v>x15000021</v>
      </c>
      <c r="D751" t="str">
        <f>SUBSTITUTE(SUBSTITUTE(Table3[[#This Row],[Sponsor_list_tranform]],",",",x")," ","")</f>
        <v>x15000021</v>
      </c>
      <c r="E751" t="s">
        <v>11759</v>
      </c>
      <c r="K751" t="str">
        <f>IF(LEN(E751)&lt;&gt;0,_xlfn.XLOOKUP(E751,[1]!Entities[ID_with_x],[1]!Entities[Name_w_County],_xlfn.CONCAT("Entity ID ",RIGHT(Table3[[#This Row],[Sponsor_1_num]],8)," not found")),"")</f>
        <v>Willacy County Drainage District 1</v>
      </c>
      <c r="L751" t="str">
        <f>IF(LEN(F751)&lt;&gt;0,_xlfn.XLOOKUP(F751,[1]!Entities[ID_with_x],[1]!Entities[Name_w_County],_xlfn.CONCAT("Entity ID ",RIGHT(Table3[[#This Row],[Sponsor_1_num]],8)," not found")),"")</f>
        <v/>
      </c>
      <c r="M751" t="str">
        <f>IF(LEN(G751)&lt;&gt;0,_xlfn.XLOOKUP(G751,[1]!Entities[ID_with_x],[1]!Entities[Name_w_County],_xlfn.CONCAT("Entity ID ",RIGHT(Table3[[#This Row],[Sponsor_1_num]],8)," not found")),"")</f>
        <v/>
      </c>
      <c r="N751" t="str">
        <f>IF(LEN(H751)&lt;&gt;0,_xlfn.XLOOKUP(H751,[1]!Entities[ID_with_x],[1]!Entities[Name_w_County],_xlfn.CONCAT("Entity ID ",RIGHT(Table3[[#This Row],[Sponsor_1_num]],8)," not found")),"")</f>
        <v/>
      </c>
      <c r="O751" t="str">
        <f>IF(LEN(I751)&lt;&gt;0,_xlfn.XLOOKUP(I751,[1]!Entities[ID_with_x],[1]!Entities[Name_w_County],_xlfn.CONCAT("Entity ID ",RIGHT(Table3[[#This Row],[Sponsor_1_num]],8)," not found")),"")</f>
        <v/>
      </c>
      <c r="P751" t="str">
        <f>IF(LEN(J751)&lt;&gt;0,_xlfn.XLOOKUP(J751,[1]!Entities[ID_with_x],[1]!Entities[Name_w_County],_xlfn.CONCAT("Entity ID ",RIGHT(Table3[[#This Row],[Sponsor_1_num]],8)," not found")),"")</f>
        <v/>
      </c>
      <c r="Q751" t="str">
        <f>IF(LEN(K751)&gt;0,_xlfn.TEXTJOIN(", ",TRUE,K751:P751),Table3[[#This Row],[SPONSOR_LIST]])</f>
        <v>Willacy County Drainage District 1</v>
      </c>
    </row>
    <row r="752" spans="1:17" x14ac:dyDescent="0.25">
      <c r="A752" s="304" t="s">
        <v>4224</v>
      </c>
      <c r="B752" t="s">
        <v>4230</v>
      </c>
      <c r="C752" t="str">
        <f t="shared" si="12"/>
        <v/>
      </c>
      <c r="D752" t="str">
        <f>SUBSTITUTE(SUBSTITUTE(Table3[[#This Row],[Sponsor_list_tranform]],",",",x")," ","")</f>
        <v/>
      </c>
      <c r="K752" t="str">
        <f>IF(LEN(E752)&lt;&gt;0,_xlfn.XLOOKUP(E752,[1]!Entities[ID_with_x],[1]!Entities[Name_w_County],_xlfn.CONCAT("Entity ID ",RIGHT(Table3[[#This Row],[Sponsor_1_num]],8)," not found")),"")</f>
        <v/>
      </c>
      <c r="L752" t="str">
        <f>IF(LEN(F752)&lt;&gt;0,_xlfn.XLOOKUP(F752,[1]!Entities[ID_with_x],[1]!Entities[Name_w_County],_xlfn.CONCAT("Entity ID ",RIGHT(Table3[[#This Row],[Sponsor_1_num]],8)," not found")),"")</f>
        <v/>
      </c>
      <c r="M752" t="str">
        <f>IF(LEN(G752)&lt;&gt;0,_xlfn.XLOOKUP(G752,[1]!Entities[ID_with_x],[1]!Entities[Name_w_County],_xlfn.CONCAT("Entity ID ",RIGHT(Table3[[#This Row],[Sponsor_1_num]],8)," not found")),"")</f>
        <v/>
      </c>
      <c r="N752" t="str">
        <f>IF(LEN(H752)&lt;&gt;0,_xlfn.XLOOKUP(H752,[1]!Entities[ID_with_x],[1]!Entities[Name_w_County],_xlfn.CONCAT("Entity ID ",RIGHT(Table3[[#This Row],[Sponsor_1_num]],8)," not found")),"")</f>
        <v/>
      </c>
      <c r="O752" t="str">
        <f>IF(LEN(I752)&lt;&gt;0,_xlfn.XLOOKUP(I752,[1]!Entities[ID_with_x],[1]!Entities[Name_w_County],_xlfn.CONCAT("Entity ID ",RIGHT(Table3[[#This Row],[Sponsor_1_num]],8)," not found")),"")</f>
        <v/>
      </c>
      <c r="P752" t="str">
        <f>IF(LEN(J752)&lt;&gt;0,_xlfn.XLOOKUP(J752,[1]!Entities[ID_with_x],[1]!Entities[Name_w_County],_xlfn.CONCAT("Entity ID ",RIGHT(Table3[[#This Row],[Sponsor_1_num]],8)," not found")),"")</f>
        <v/>
      </c>
      <c r="Q752" t="str">
        <f>IF(LEN(K752)&gt;0,_xlfn.TEXTJOIN(", ",TRUE,K752:P752),Table3[[#This Row],[SPONSOR_LIST]])</f>
        <v>Harlingen</v>
      </c>
    </row>
    <row r="753" spans="1:17" x14ac:dyDescent="0.25">
      <c r="A753" s="304" t="s">
        <v>4313</v>
      </c>
      <c r="B753" t="s">
        <v>4318</v>
      </c>
      <c r="C753" t="str">
        <f t="shared" si="12"/>
        <v/>
      </c>
      <c r="D753" t="str">
        <f>SUBSTITUTE(SUBSTITUTE(Table3[[#This Row],[Sponsor_list_tranform]],",",",x")," ","")</f>
        <v/>
      </c>
      <c r="K753" t="str">
        <f>IF(LEN(E753)&lt;&gt;0,_xlfn.XLOOKUP(E753,[1]!Entities[ID_with_x],[1]!Entities[Name_w_County],_xlfn.CONCAT("Entity ID ",RIGHT(Table3[[#This Row],[Sponsor_1_num]],8)," not found")),"")</f>
        <v/>
      </c>
      <c r="L753" t="str">
        <f>IF(LEN(F753)&lt;&gt;0,_xlfn.XLOOKUP(F753,[1]!Entities[ID_with_x],[1]!Entities[Name_w_County],_xlfn.CONCAT("Entity ID ",RIGHT(Table3[[#This Row],[Sponsor_1_num]],8)," not found")),"")</f>
        <v/>
      </c>
      <c r="M753" t="str">
        <f>IF(LEN(G753)&lt;&gt;0,_xlfn.XLOOKUP(G753,[1]!Entities[ID_with_x],[1]!Entities[Name_w_County],_xlfn.CONCAT("Entity ID ",RIGHT(Table3[[#This Row],[Sponsor_1_num]],8)," not found")),"")</f>
        <v/>
      </c>
      <c r="N753" t="str">
        <f>IF(LEN(H753)&lt;&gt;0,_xlfn.XLOOKUP(H753,[1]!Entities[ID_with_x],[1]!Entities[Name_w_County],_xlfn.CONCAT("Entity ID ",RIGHT(Table3[[#This Row],[Sponsor_1_num]],8)," not found")),"")</f>
        <v/>
      </c>
      <c r="O753" t="str">
        <f>IF(LEN(I753)&lt;&gt;0,_xlfn.XLOOKUP(I753,[1]!Entities[ID_with_x],[1]!Entities[Name_w_County],_xlfn.CONCAT("Entity ID ",RIGHT(Table3[[#This Row],[Sponsor_1_num]],8)," not found")),"")</f>
        <v/>
      </c>
      <c r="P753" t="str">
        <f>IF(LEN(J753)&lt;&gt;0,_xlfn.XLOOKUP(J753,[1]!Entities[ID_with_x],[1]!Entities[Name_w_County],_xlfn.CONCAT("Entity ID ",RIGHT(Table3[[#This Row],[Sponsor_1_num]],8)," not found")),"")</f>
        <v/>
      </c>
      <c r="Q753" t="str">
        <f>IF(LEN(K753)&gt;0,_xlfn.TEXTJOIN(", ",TRUE,K753:P753),Table3[[#This Row],[SPONSOR_LIST]])</f>
        <v>Edinburg</v>
      </c>
    </row>
    <row r="754" spans="1:17" x14ac:dyDescent="0.25">
      <c r="A754" s="304" t="s">
        <v>4333</v>
      </c>
      <c r="B754" t="s">
        <v>4335</v>
      </c>
      <c r="C754" t="str">
        <f t="shared" si="12"/>
        <v/>
      </c>
      <c r="D754" t="str">
        <f>SUBSTITUTE(SUBSTITUTE(Table3[[#This Row],[Sponsor_list_tranform]],",",",x")," ","")</f>
        <v/>
      </c>
      <c r="K754" t="str">
        <f>IF(LEN(E754)&lt;&gt;0,_xlfn.XLOOKUP(E754,[1]!Entities[ID_with_x],[1]!Entities[Name_w_County],_xlfn.CONCAT("Entity ID ",RIGHT(Table3[[#This Row],[Sponsor_1_num]],8)," not found")),"")</f>
        <v/>
      </c>
      <c r="L754" t="str">
        <f>IF(LEN(F754)&lt;&gt;0,_xlfn.XLOOKUP(F754,[1]!Entities[ID_with_x],[1]!Entities[Name_w_County],_xlfn.CONCAT("Entity ID ",RIGHT(Table3[[#This Row],[Sponsor_1_num]],8)," not found")),"")</f>
        <v/>
      </c>
      <c r="M754" t="str">
        <f>IF(LEN(G754)&lt;&gt;0,_xlfn.XLOOKUP(G754,[1]!Entities[ID_with_x],[1]!Entities[Name_w_County],_xlfn.CONCAT("Entity ID ",RIGHT(Table3[[#This Row],[Sponsor_1_num]],8)," not found")),"")</f>
        <v/>
      </c>
      <c r="N754" t="str">
        <f>IF(LEN(H754)&lt;&gt;0,_xlfn.XLOOKUP(H754,[1]!Entities[ID_with_x],[1]!Entities[Name_w_County],_xlfn.CONCAT("Entity ID ",RIGHT(Table3[[#This Row],[Sponsor_1_num]],8)," not found")),"")</f>
        <v/>
      </c>
      <c r="O754" t="str">
        <f>IF(LEN(I754)&lt;&gt;0,_xlfn.XLOOKUP(I754,[1]!Entities[ID_with_x],[1]!Entities[Name_w_County],_xlfn.CONCAT("Entity ID ",RIGHT(Table3[[#This Row],[Sponsor_1_num]],8)," not found")),"")</f>
        <v/>
      </c>
      <c r="P754" t="str">
        <f>IF(LEN(J754)&lt;&gt;0,_xlfn.XLOOKUP(J754,[1]!Entities[ID_with_x],[1]!Entities[Name_w_County],_xlfn.CONCAT("Entity ID ",RIGHT(Table3[[#This Row],[Sponsor_1_num]],8)," not found")),"")</f>
        <v/>
      </c>
      <c r="Q754" t="str">
        <f>IF(LEN(K754)&gt;0,_xlfn.TEXTJOIN(", ",TRUE,K754:P754),Table3[[#This Row],[SPONSOR_LIST]])</f>
        <v>La Villa</v>
      </c>
    </row>
    <row r="755" spans="1:17" x14ac:dyDescent="0.25">
      <c r="A755" s="304" t="s">
        <v>4319</v>
      </c>
      <c r="B755" t="s">
        <v>4324</v>
      </c>
      <c r="C755" t="str">
        <f t="shared" si="12"/>
        <v/>
      </c>
      <c r="D755" t="str">
        <f>SUBSTITUTE(SUBSTITUTE(Table3[[#This Row],[Sponsor_list_tranform]],",",",x")," ","")</f>
        <v/>
      </c>
      <c r="K755" t="str">
        <f>IF(LEN(E755)&lt;&gt;0,_xlfn.XLOOKUP(E755,[1]!Entities[ID_with_x],[1]!Entities[Name_w_County],_xlfn.CONCAT("Entity ID ",RIGHT(Table3[[#This Row],[Sponsor_1_num]],8)," not found")),"")</f>
        <v/>
      </c>
      <c r="L755" t="str">
        <f>IF(LEN(F755)&lt;&gt;0,_xlfn.XLOOKUP(F755,[1]!Entities[ID_with_x],[1]!Entities[Name_w_County],_xlfn.CONCAT("Entity ID ",RIGHT(Table3[[#This Row],[Sponsor_1_num]],8)," not found")),"")</f>
        <v/>
      </c>
      <c r="M755" t="str">
        <f>IF(LEN(G755)&lt;&gt;0,_xlfn.XLOOKUP(G755,[1]!Entities[ID_with_x],[1]!Entities[Name_w_County],_xlfn.CONCAT("Entity ID ",RIGHT(Table3[[#This Row],[Sponsor_1_num]],8)," not found")),"")</f>
        <v/>
      </c>
      <c r="N755" t="str">
        <f>IF(LEN(H755)&lt;&gt;0,_xlfn.XLOOKUP(H755,[1]!Entities[ID_with_x],[1]!Entities[Name_w_County],_xlfn.CONCAT("Entity ID ",RIGHT(Table3[[#This Row],[Sponsor_1_num]],8)," not found")),"")</f>
        <v/>
      </c>
      <c r="O755" t="str">
        <f>IF(LEN(I755)&lt;&gt;0,_xlfn.XLOOKUP(I755,[1]!Entities[ID_with_x],[1]!Entities[Name_w_County],_xlfn.CONCAT("Entity ID ",RIGHT(Table3[[#This Row],[Sponsor_1_num]],8)," not found")),"")</f>
        <v/>
      </c>
      <c r="P755" t="str">
        <f>IF(LEN(J755)&lt;&gt;0,_xlfn.XLOOKUP(J755,[1]!Entities[ID_with_x],[1]!Entities[Name_w_County],_xlfn.CONCAT("Entity ID ",RIGHT(Table3[[#This Row],[Sponsor_1_num]],8)," not found")),"")</f>
        <v/>
      </c>
      <c r="Q755" t="str">
        <f>IF(LEN(K755)&gt;0,_xlfn.TEXTJOIN(", ",TRUE,K755:P755),Table3[[#This Row],[SPONSOR_LIST]])</f>
        <v>Mission</v>
      </c>
    </row>
    <row r="756" spans="1:17" x14ac:dyDescent="0.25">
      <c r="A756" s="304" t="s">
        <v>4245</v>
      </c>
      <c r="B756" t="s">
        <v>4249</v>
      </c>
      <c r="C756" t="str">
        <f t="shared" si="12"/>
        <v/>
      </c>
      <c r="D756" t="str">
        <f>SUBSTITUTE(SUBSTITUTE(Table3[[#This Row],[Sponsor_list_tranform]],",",",x")," ","")</f>
        <v/>
      </c>
      <c r="K756" t="str">
        <f>IF(LEN(E756)&lt;&gt;0,_xlfn.XLOOKUP(E756,[1]!Entities[ID_with_x],[1]!Entities[Name_w_County],_xlfn.CONCAT("Entity ID ",RIGHT(Table3[[#This Row],[Sponsor_1_num]],8)," not found")),"")</f>
        <v/>
      </c>
      <c r="L756" t="str">
        <f>IF(LEN(F756)&lt;&gt;0,_xlfn.XLOOKUP(F756,[1]!Entities[ID_with_x],[1]!Entities[Name_w_County],_xlfn.CONCAT("Entity ID ",RIGHT(Table3[[#This Row],[Sponsor_1_num]],8)," not found")),"")</f>
        <v/>
      </c>
      <c r="M756" t="str">
        <f>IF(LEN(G756)&lt;&gt;0,_xlfn.XLOOKUP(G756,[1]!Entities[ID_with_x],[1]!Entities[Name_w_County],_xlfn.CONCAT("Entity ID ",RIGHT(Table3[[#This Row],[Sponsor_1_num]],8)," not found")),"")</f>
        <v/>
      </c>
      <c r="N756" t="str">
        <f>IF(LEN(H756)&lt;&gt;0,_xlfn.XLOOKUP(H756,[1]!Entities[ID_with_x],[1]!Entities[Name_w_County],_xlfn.CONCAT("Entity ID ",RIGHT(Table3[[#This Row],[Sponsor_1_num]],8)," not found")),"")</f>
        <v/>
      </c>
      <c r="O756" t="str">
        <f>IF(LEN(I756)&lt;&gt;0,_xlfn.XLOOKUP(I756,[1]!Entities[ID_with_x],[1]!Entities[Name_w_County],_xlfn.CONCAT("Entity ID ",RIGHT(Table3[[#This Row],[Sponsor_1_num]],8)," not found")),"")</f>
        <v/>
      </c>
      <c r="P756" t="str">
        <f>IF(LEN(J756)&lt;&gt;0,_xlfn.XLOOKUP(J756,[1]!Entities[ID_with_x],[1]!Entities[Name_w_County],_xlfn.CONCAT("Entity ID ",RIGHT(Table3[[#This Row],[Sponsor_1_num]],8)," not found")),"")</f>
        <v/>
      </c>
      <c r="Q756" t="str">
        <f>IF(LEN(K756)&gt;0,_xlfn.TEXTJOIN(", ",TRUE,K756:P756),Table3[[#This Row],[SPONSOR_LIST]])</f>
        <v>Primera</v>
      </c>
    </row>
    <row r="757" spans="1:17" x14ac:dyDescent="0.25">
      <c r="A757" s="304" t="s">
        <v>4233</v>
      </c>
      <c r="B757" t="s">
        <v>4236</v>
      </c>
      <c r="C757" t="str">
        <f t="shared" si="12"/>
        <v/>
      </c>
      <c r="D757" t="str">
        <f>SUBSTITUTE(SUBSTITUTE(Table3[[#This Row],[Sponsor_list_tranform]],",",",x")," ","")</f>
        <v/>
      </c>
      <c r="K757" t="str">
        <f>IF(LEN(E757)&lt;&gt;0,_xlfn.XLOOKUP(E757,[1]!Entities[ID_with_x],[1]!Entities[Name_w_County],_xlfn.CONCAT("Entity ID ",RIGHT(Table3[[#This Row],[Sponsor_1_num]],8)," not found")),"")</f>
        <v/>
      </c>
      <c r="L757" t="str">
        <f>IF(LEN(F757)&lt;&gt;0,_xlfn.XLOOKUP(F757,[1]!Entities[ID_with_x],[1]!Entities[Name_w_County],_xlfn.CONCAT("Entity ID ",RIGHT(Table3[[#This Row],[Sponsor_1_num]],8)," not found")),"")</f>
        <v/>
      </c>
      <c r="M757" t="str">
        <f>IF(LEN(G757)&lt;&gt;0,_xlfn.XLOOKUP(G757,[1]!Entities[ID_with_x],[1]!Entities[Name_w_County],_xlfn.CONCAT("Entity ID ",RIGHT(Table3[[#This Row],[Sponsor_1_num]],8)," not found")),"")</f>
        <v/>
      </c>
      <c r="N757" t="str">
        <f>IF(LEN(H757)&lt;&gt;0,_xlfn.XLOOKUP(H757,[1]!Entities[ID_with_x],[1]!Entities[Name_w_County],_xlfn.CONCAT("Entity ID ",RIGHT(Table3[[#This Row],[Sponsor_1_num]],8)," not found")),"")</f>
        <v/>
      </c>
      <c r="O757" t="str">
        <f>IF(LEN(I757)&lt;&gt;0,_xlfn.XLOOKUP(I757,[1]!Entities[ID_with_x],[1]!Entities[Name_w_County],_xlfn.CONCAT("Entity ID ",RIGHT(Table3[[#This Row],[Sponsor_1_num]],8)," not found")),"")</f>
        <v/>
      </c>
      <c r="P757" t="str">
        <f>IF(LEN(J757)&lt;&gt;0,_xlfn.XLOOKUP(J757,[1]!Entities[ID_with_x],[1]!Entities[Name_w_County],_xlfn.CONCAT("Entity ID ",RIGHT(Table3[[#This Row],[Sponsor_1_num]],8)," not found")),"")</f>
        <v/>
      </c>
      <c r="Q757" t="str">
        <f>IF(LEN(K757)&gt;0,_xlfn.TEXTJOIN(", ",TRUE,K757:P757),Table3[[#This Row],[SPONSOR_LIST]])</f>
        <v>La Feria</v>
      </c>
    </row>
    <row r="758" spans="1:17" x14ac:dyDescent="0.25">
      <c r="A758" s="304" t="s">
        <v>4261</v>
      </c>
      <c r="B758" t="s">
        <v>4267</v>
      </c>
      <c r="C758" t="str">
        <f t="shared" si="12"/>
        <v/>
      </c>
      <c r="D758" t="str">
        <f>SUBSTITUTE(SUBSTITUTE(Table3[[#This Row],[Sponsor_list_tranform]],",",",x")," ","")</f>
        <v/>
      </c>
      <c r="K758" t="str">
        <f>IF(LEN(E758)&lt;&gt;0,_xlfn.XLOOKUP(E758,[1]!Entities[ID_with_x],[1]!Entities[Name_w_County],_xlfn.CONCAT("Entity ID ",RIGHT(Table3[[#This Row],[Sponsor_1_num]],8)," not found")),"")</f>
        <v/>
      </c>
      <c r="L758" t="str">
        <f>IF(LEN(F758)&lt;&gt;0,_xlfn.XLOOKUP(F758,[1]!Entities[ID_with_x],[1]!Entities[Name_w_County],_xlfn.CONCAT("Entity ID ",RIGHT(Table3[[#This Row],[Sponsor_1_num]],8)," not found")),"")</f>
        <v/>
      </c>
      <c r="M758" t="str">
        <f>IF(LEN(G758)&lt;&gt;0,_xlfn.XLOOKUP(G758,[1]!Entities[ID_with_x],[1]!Entities[Name_w_County],_xlfn.CONCAT("Entity ID ",RIGHT(Table3[[#This Row],[Sponsor_1_num]],8)," not found")),"")</f>
        <v/>
      </c>
      <c r="N758" t="str">
        <f>IF(LEN(H758)&lt;&gt;0,_xlfn.XLOOKUP(H758,[1]!Entities[ID_with_x],[1]!Entities[Name_w_County],_xlfn.CONCAT("Entity ID ",RIGHT(Table3[[#This Row],[Sponsor_1_num]],8)," not found")),"")</f>
        <v/>
      </c>
      <c r="O758" t="str">
        <f>IF(LEN(I758)&lt;&gt;0,_xlfn.XLOOKUP(I758,[1]!Entities[ID_with_x],[1]!Entities[Name_w_County],_xlfn.CONCAT("Entity ID ",RIGHT(Table3[[#This Row],[Sponsor_1_num]],8)," not found")),"")</f>
        <v/>
      </c>
      <c r="P758" t="str">
        <f>IF(LEN(J758)&lt;&gt;0,_xlfn.XLOOKUP(J758,[1]!Entities[ID_with_x],[1]!Entities[Name_w_County],_xlfn.CONCAT("Entity ID ",RIGHT(Table3[[#This Row],[Sponsor_1_num]],8)," not found")),"")</f>
        <v/>
      </c>
      <c r="Q758" t="str">
        <f>IF(LEN(K758)&gt;0,_xlfn.TEXTJOIN(", ",TRUE,K758:P758),Table3[[#This Row],[SPONSOR_LIST]])</f>
        <v>La Joya</v>
      </c>
    </row>
    <row r="759" spans="1:17" x14ac:dyDescent="0.25">
      <c r="A759" s="304" t="s">
        <v>4238</v>
      </c>
      <c r="B759" t="s">
        <v>4243</v>
      </c>
      <c r="C759" t="str">
        <f t="shared" si="12"/>
        <v/>
      </c>
      <c r="D759" t="str">
        <f>SUBSTITUTE(SUBSTITUTE(Table3[[#This Row],[Sponsor_list_tranform]],",",",x")," ","")</f>
        <v/>
      </c>
      <c r="K759" t="str">
        <f>IF(LEN(E759)&lt;&gt;0,_xlfn.XLOOKUP(E759,[1]!Entities[ID_with_x],[1]!Entities[Name_w_County],_xlfn.CONCAT("Entity ID ",RIGHT(Table3[[#This Row],[Sponsor_1_num]],8)," not found")),"")</f>
        <v/>
      </c>
      <c r="L759" t="str">
        <f>IF(LEN(F759)&lt;&gt;0,_xlfn.XLOOKUP(F759,[1]!Entities[ID_with_x],[1]!Entities[Name_w_County],_xlfn.CONCAT("Entity ID ",RIGHT(Table3[[#This Row],[Sponsor_1_num]],8)," not found")),"")</f>
        <v/>
      </c>
      <c r="M759" t="str">
        <f>IF(LEN(G759)&lt;&gt;0,_xlfn.XLOOKUP(G759,[1]!Entities[ID_with_x],[1]!Entities[Name_w_County],_xlfn.CONCAT("Entity ID ",RIGHT(Table3[[#This Row],[Sponsor_1_num]],8)," not found")),"")</f>
        <v/>
      </c>
      <c r="N759" t="str">
        <f>IF(LEN(H759)&lt;&gt;0,_xlfn.XLOOKUP(H759,[1]!Entities[ID_with_x],[1]!Entities[Name_w_County],_xlfn.CONCAT("Entity ID ",RIGHT(Table3[[#This Row],[Sponsor_1_num]],8)," not found")),"")</f>
        <v/>
      </c>
      <c r="O759" t="str">
        <f>IF(LEN(I759)&lt;&gt;0,_xlfn.XLOOKUP(I759,[1]!Entities[ID_with_x],[1]!Entities[Name_w_County],_xlfn.CONCAT("Entity ID ",RIGHT(Table3[[#This Row],[Sponsor_1_num]],8)," not found")),"")</f>
        <v/>
      </c>
      <c r="P759" t="str">
        <f>IF(LEN(J759)&lt;&gt;0,_xlfn.XLOOKUP(J759,[1]!Entities[ID_with_x],[1]!Entities[Name_w_County],_xlfn.CONCAT("Entity ID ",RIGHT(Table3[[#This Row],[Sponsor_1_num]],8)," not found")),"")</f>
        <v/>
      </c>
      <c r="Q759" t="str">
        <f>IF(LEN(K759)&gt;0,_xlfn.TEXTJOIN(", ",TRUE,K759:P759),Table3[[#This Row],[SPONSOR_LIST]])</f>
        <v>Los Fresnos</v>
      </c>
    </row>
    <row r="760" spans="1:17" x14ac:dyDescent="0.25">
      <c r="A760" s="304" t="s">
        <v>4268</v>
      </c>
      <c r="B760" t="s">
        <v>4273</v>
      </c>
      <c r="C760" t="str">
        <f t="shared" si="12"/>
        <v/>
      </c>
      <c r="D760" t="str">
        <f>SUBSTITUTE(SUBSTITUTE(Table3[[#This Row],[Sponsor_list_tranform]],",",",x")," ","")</f>
        <v/>
      </c>
      <c r="K760" t="str">
        <f>IF(LEN(E760)&lt;&gt;0,_xlfn.XLOOKUP(E760,[1]!Entities[ID_with_x],[1]!Entities[Name_w_County],_xlfn.CONCAT("Entity ID ",RIGHT(Table3[[#This Row],[Sponsor_1_num]],8)," not found")),"")</f>
        <v/>
      </c>
      <c r="L760" t="str">
        <f>IF(LEN(F760)&lt;&gt;0,_xlfn.XLOOKUP(F760,[1]!Entities[ID_with_x],[1]!Entities[Name_w_County],_xlfn.CONCAT("Entity ID ",RIGHT(Table3[[#This Row],[Sponsor_1_num]],8)," not found")),"")</f>
        <v/>
      </c>
      <c r="M760" t="str">
        <f>IF(LEN(G760)&lt;&gt;0,_xlfn.XLOOKUP(G760,[1]!Entities[ID_with_x],[1]!Entities[Name_w_County],_xlfn.CONCAT("Entity ID ",RIGHT(Table3[[#This Row],[Sponsor_1_num]],8)," not found")),"")</f>
        <v/>
      </c>
      <c r="N760" t="str">
        <f>IF(LEN(H760)&lt;&gt;0,_xlfn.XLOOKUP(H760,[1]!Entities[ID_with_x],[1]!Entities[Name_w_County],_xlfn.CONCAT("Entity ID ",RIGHT(Table3[[#This Row],[Sponsor_1_num]],8)," not found")),"")</f>
        <v/>
      </c>
      <c r="O760" t="str">
        <f>IF(LEN(I760)&lt;&gt;0,_xlfn.XLOOKUP(I760,[1]!Entities[ID_with_x],[1]!Entities[Name_w_County],_xlfn.CONCAT("Entity ID ",RIGHT(Table3[[#This Row],[Sponsor_1_num]],8)," not found")),"")</f>
        <v/>
      </c>
      <c r="P760" t="str">
        <f>IF(LEN(J760)&lt;&gt;0,_xlfn.XLOOKUP(J760,[1]!Entities[ID_with_x],[1]!Entities[Name_w_County],_xlfn.CONCAT("Entity ID ",RIGHT(Table3[[#This Row],[Sponsor_1_num]],8)," not found")),"")</f>
        <v/>
      </c>
      <c r="Q760" t="str">
        <f>IF(LEN(K760)&gt;0,_xlfn.TEXTJOIN(", ",TRUE,K760:P760),Table3[[#This Row],[SPONSOR_LIST]])</f>
        <v>Mercedes</v>
      </c>
    </row>
    <row r="761" spans="1:17" x14ac:dyDescent="0.25">
      <c r="A761" s="304" t="s">
        <v>4287</v>
      </c>
      <c r="B761" t="s">
        <v>4292</v>
      </c>
      <c r="C761" t="str">
        <f t="shared" si="12"/>
        <v/>
      </c>
      <c r="D761" t="str">
        <f>SUBSTITUTE(SUBSTITUTE(Table3[[#This Row],[Sponsor_list_tranform]],",",",x")," ","")</f>
        <v/>
      </c>
      <c r="K761" t="str">
        <f>IF(LEN(E761)&lt;&gt;0,_xlfn.XLOOKUP(E761,[1]!Entities[ID_with_x],[1]!Entities[Name_w_County],_xlfn.CONCAT("Entity ID ",RIGHT(Table3[[#This Row],[Sponsor_1_num]],8)," not found")),"")</f>
        <v/>
      </c>
      <c r="L761" t="str">
        <f>IF(LEN(F761)&lt;&gt;0,_xlfn.XLOOKUP(F761,[1]!Entities[ID_with_x],[1]!Entities[Name_w_County],_xlfn.CONCAT("Entity ID ",RIGHT(Table3[[#This Row],[Sponsor_1_num]],8)," not found")),"")</f>
        <v/>
      </c>
      <c r="M761" t="str">
        <f>IF(LEN(G761)&lt;&gt;0,_xlfn.XLOOKUP(G761,[1]!Entities[ID_with_x],[1]!Entities[Name_w_County],_xlfn.CONCAT("Entity ID ",RIGHT(Table3[[#This Row],[Sponsor_1_num]],8)," not found")),"")</f>
        <v/>
      </c>
      <c r="N761" t="str">
        <f>IF(LEN(H761)&lt;&gt;0,_xlfn.XLOOKUP(H761,[1]!Entities[ID_with_x],[1]!Entities[Name_w_County],_xlfn.CONCAT("Entity ID ",RIGHT(Table3[[#This Row],[Sponsor_1_num]],8)," not found")),"")</f>
        <v/>
      </c>
      <c r="O761" t="str">
        <f>IF(LEN(I761)&lt;&gt;0,_xlfn.XLOOKUP(I761,[1]!Entities[ID_with_x],[1]!Entities[Name_w_County],_xlfn.CONCAT("Entity ID ",RIGHT(Table3[[#This Row],[Sponsor_1_num]],8)," not found")),"")</f>
        <v/>
      </c>
      <c r="P761" t="str">
        <f>IF(LEN(J761)&lt;&gt;0,_xlfn.XLOOKUP(J761,[1]!Entities[ID_with_x],[1]!Entities[Name_w_County],_xlfn.CONCAT("Entity ID ",RIGHT(Table3[[#This Row],[Sponsor_1_num]],8)," not found")),"")</f>
        <v/>
      </c>
      <c r="Q761" t="str">
        <f>IF(LEN(K761)&gt;0,_xlfn.TEXTJOIN(", ",TRUE,K761:P761),Table3[[#This Row],[SPONSOR_LIST]])</f>
        <v>Palmhurst</v>
      </c>
    </row>
    <row r="762" spans="1:17" x14ac:dyDescent="0.25">
      <c r="A762" s="304" t="s">
        <v>4274</v>
      </c>
      <c r="B762" t="s">
        <v>4279</v>
      </c>
      <c r="C762" t="str">
        <f t="shared" si="12"/>
        <v/>
      </c>
      <c r="D762" t="str">
        <f>SUBSTITUTE(SUBSTITUTE(Table3[[#This Row],[Sponsor_list_tranform]],",",",x")," ","")</f>
        <v/>
      </c>
      <c r="K762" t="str">
        <f>IF(LEN(E762)&lt;&gt;0,_xlfn.XLOOKUP(E762,[1]!Entities[ID_with_x],[1]!Entities[Name_w_County],_xlfn.CONCAT("Entity ID ",RIGHT(Table3[[#This Row],[Sponsor_1_num]],8)," not found")),"")</f>
        <v/>
      </c>
      <c r="L762" t="str">
        <f>IF(LEN(F762)&lt;&gt;0,_xlfn.XLOOKUP(F762,[1]!Entities[ID_with_x],[1]!Entities[Name_w_County],_xlfn.CONCAT("Entity ID ",RIGHT(Table3[[#This Row],[Sponsor_1_num]],8)," not found")),"")</f>
        <v/>
      </c>
      <c r="M762" t="str">
        <f>IF(LEN(G762)&lt;&gt;0,_xlfn.XLOOKUP(G762,[1]!Entities[ID_with_x],[1]!Entities[Name_w_County],_xlfn.CONCAT("Entity ID ",RIGHT(Table3[[#This Row],[Sponsor_1_num]],8)," not found")),"")</f>
        <v/>
      </c>
      <c r="N762" t="str">
        <f>IF(LEN(H762)&lt;&gt;0,_xlfn.XLOOKUP(H762,[1]!Entities[ID_with_x],[1]!Entities[Name_w_County],_xlfn.CONCAT("Entity ID ",RIGHT(Table3[[#This Row],[Sponsor_1_num]],8)," not found")),"")</f>
        <v/>
      </c>
      <c r="O762" t="str">
        <f>IF(LEN(I762)&lt;&gt;0,_xlfn.XLOOKUP(I762,[1]!Entities[ID_with_x],[1]!Entities[Name_w_County],_xlfn.CONCAT("Entity ID ",RIGHT(Table3[[#This Row],[Sponsor_1_num]],8)," not found")),"")</f>
        <v/>
      </c>
      <c r="P762" t="str">
        <f>IF(LEN(J762)&lt;&gt;0,_xlfn.XLOOKUP(J762,[1]!Entities[ID_with_x],[1]!Entities[Name_w_County],_xlfn.CONCAT("Entity ID ",RIGHT(Table3[[#This Row],[Sponsor_1_num]],8)," not found")),"")</f>
        <v/>
      </c>
      <c r="Q762" t="str">
        <f>IF(LEN(K762)&gt;0,_xlfn.TEXTJOIN(", ",TRUE,K762:P762),Table3[[#This Row],[SPONSOR_LIST]])</f>
        <v>Palmview</v>
      </c>
    </row>
    <row r="763" spans="1:17" x14ac:dyDescent="0.25">
      <c r="A763" s="304" t="s">
        <v>4300</v>
      </c>
      <c r="B763" t="s">
        <v>4305</v>
      </c>
      <c r="C763" t="str">
        <f t="shared" si="12"/>
        <v/>
      </c>
      <c r="D763" t="str">
        <f>SUBSTITUTE(SUBSTITUTE(Table3[[#This Row],[Sponsor_list_tranform]],",",",x")," ","")</f>
        <v/>
      </c>
      <c r="K763" t="str">
        <f>IF(LEN(E763)&lt;&gt;0,_xlfn.XLOOKUP(E763,[1]!Entities[ID_with_x],[1]!Entities[Name_w_County],_xlfn.CONCAT("Entity ID ",RIGHT(Table3[[#This Row],[Sponsor_1_num]],8)," not found")),"")</f>
        <v/>
      </c>
      <c r="L763" t="str">
        <f>IF(LEN(F763)&lt;&gt;0,_xlfn.XLOOKUP(F763,[1]!Entities[ID_with_x],[1]!Entities[Name_w_County],_xlfn.CONCAT("Entity ID ",RIGHT(Table3[[#This Row],[Sponsor_1_num]],8)," not found")),"")</f>
        <v/>
      </c>
      <c r="M763" t="str">
        <f>IF(LEN(G763)&lt;&gt;0,_xlfn.XLOOKUP(G763,[1]!Entities[ID_with_x],[1]!Entities[Name_w_County],_xlfn.CONCAT("Entity ID ",RIGHT(Table3[[#This Row],[Sponsor_1_num]],8)," not found")),"")</f>
        <v/>
      </c>
      <c r="N763" t="str">
        <f>IF(LEN(H763)&lt;&gt;0,_xlfn.XLOOKUP(H763,[1]!Entities[ID_with_x],[1]!Entities[Name_w_County],_xlfn.CONCAT("Entity ID ",RIGHT(Table3[[#This Row],[Sponsor_1_num]],8)," not found")),"")</f>
        <v/>
      </c>
      <c r="O763" t="str">
        <f>IF(LEN(I763)&lt;&gt;0,_xlfn.XLOOKUP(I763,[1]!Entities[ID_with_x],[1]!Entities[Name_w_County],_xlfn.CONCAT("Entity ID ",RIGHT(Table3[[#This Row],[Sponsor_1_num]],8)," not found")),"")</f>
        <v/>
      </c>
      <c r="P763" t="str">
        <f>IF(LEN(J763)&lt;&gt;0,_xlfn.XLOOKUP(J763,[1]!Entities[ID_with_x],[1]!Entities[Name_w_County],_xlfn.CONCAT("Entity ID ",RIGHT(Table3[[#This Row],[Sponsor_1_num]],8)," not found")),"")</f>
        <v/>
      </c>
      <c r="Q763" t="str">
        <f>IF(LEN(K763)&gt;0,_xlfn.TEXTJOIN(", ",TRUE,K763:P763),Table3[[#This Row],[SPONSOR_LIST]])</f>
        <v>San Benito</v>
      </c>
    </row>
    <row r="764" spans="1:17" x14ac:dyDescent="0.25">
      <c r="A764" s="304" t="s">
        <v>4325</v>
      </c>
      <c r="B764" t="s">
        <v>4327</v>
      </c>
      <c r="C764" t="str">
        <f t="shared" si="12"/>
        <v/>
      </c>
      <c r="D764" t="str">
        <f>SUBSTITUTE(SUBSTITUTE(Table3[[#This Row],[Sponsor_list_tranform]],",",",x")," ","")</f>
        <v/>
      </c>
      <c r="K764" t="str">
        <f>IF(LEN(E764)&lt;&gt;0,_xlfn.XLOOKUP(E764,[1]!Entities[ID_with_x],[1]!Entities[Name_w_County],_xlfn.CONCAT("Entity ID ",RIGHT(Table3[[#This Row],[Sponsor_1_num]],8)," not found")),"")</f>
        <v/>
      </c>
      <c r="L764" t="str">
        <f>IF(LEN(F764)&lt;&gt;0,_xlfn.XLOOKUP(F764,[1]!Entities[ID_with_x],[1]!Entities[Name_w_County],_xlfn.CONCAT("Entity ID ",RIGHT(Table3[[#This Row],[Sponsor_1_num]],8)," not found")),"")</f>
        <v/>
      </c>
      <c r="M764" t="str">
        <f>IF(LEN(G764)&lt;&gt;0,_xlfn.XLOOKUP(G764,[1]!Entities[ID_with_x],[1]!Entities[Name_w_County],_xlfn.CONCAT("Entity ID ",RIGHT(Table3[[#This Row],[Sponsor_1_num]],8)," not found")),"")</f>
        <v/>
      </c>
      <c r="N764" t="str">
        <f>IF(LEN(H764)&lt;&gt;0,_xlfn.XLOOKUP(H764,[1]!Entities[ID_with_x],[1]!Entities[Name_w_County],_xlfn.CONCAT("Entity ID ",RIGHT(Table3[[#This Row],[Sponsor_1_num]],8)," not found")),"")</f>
        <v/>
      </c>
      <c r="O764" t="str">
        <f>IF(LEN(I764)&lt;&gt;0,_xlfn.XLOOKUP(I764,[1]!Entities[ID_with_x],[1]!Entities[Name_w_County],_xlfn.CONCAT("Entity ID ",RIGHT(Table3[[#This Row],[Sponsor_1_num]],8)," not found")),"")</f>
        <v/>
      </c>
      <c r="P764" t="str">
        <f>IF(LEN(J764)&lt;&gt;0,_xlfn.XLOOKUP(J764,[1]!Entities[ID_with_x],[1]!Entities[Name_w_County],_xlfn.CONCAT("Entity ID ",RIGHT(Table3[[#This Row],[Sponsor_1_num]],8)," not found")),"")</f>
        <v/>
      </c>
      <c r="Q764" t="str">
        <f>IF(LEN(K764)&gt;0,_xlfn.TEXTJOIN(", ",TRUE,K764:P764),Table3[[#This Row],[SPONSOR_LIST]])</f>
        <v>San Juan</v>
      </c>
    </row>
    <row r="765" spans="1:17" x14ac:dyDescent="0.25">
      <c r="A765" s="304" t="s">
        <v>4280</v>
      </c>
      <c r="B765" t="s">
        <v>4282</v>
      </c>
      <c r="C765" t="str">
        <f t="shared" si="12"/>
        <v/>
      </c>
      <c r="D765" t="str">
        <f>SUBSTITUTE(SUBSTITUTE(Table3[[#This Row],[Sponsor_list_tranform]],",",",x")," ","")</f>
        <v/>
      </c>
      <c r="K765" t="str">
        <f>IF(LEN(E765)&lt;&gt;0,_xlfn.XLOOKUP(E765,[1]!Entities[ID_with_x],[1]!Entities[Name_w_County],_xlfn.CONCAT("Entity ID ",RIGHT(Table3[[#This Row],[Sponsor_1_num]],8)," not found")),"")</f>
        <v/>
      </c>
      <c r="L765" t="str">
        <f>IF(LEN(F765)&lt;&gt;0,_xlfn.XLOOKUP(F765,[1]!Entities[ID_with_x],[1]!Entities[Name_w_County],_xlfn.CONCAT("Entity ID ",RIGHT(Table3[[#This Row],[Sponsor_1_num]],8)," not found")),"")</f>
        <v/>
      </c>
      <c r="M765" t="str">
        <f>IF(LEN(G765)&lt;&gt;0,_xlfn.XLOOKUP(G765,[1]!Entities[ID_with_x],[1]!Entities[Name_w_County],_xlfn.CONCAT("Entity ID ",RIGHT(Table3[[#This Row],[Sponsor_1_num]],8)," not found")),"")</f>
        <v/>
      </c>
      <c r="N765" t="str">
        <f>IF(LEN(H765)&lt;&gt;0,_xlfn.XLOOKUP(H765,[1]!Entities[ID_with_x],[1]!Entities[Name_w_County],_xlfn.CONCAT("Entity ID ",RIGHT(Table3[[#This Row],[Sponsor_1_num]],8)," not found")),"")</f>
        <v/>
      </c>
      <c r="O765" t="str">
        <f>IF(LEN(I765)&lt;&gt;0,_xlfn.XLOOKUP(I765,[1]!Entities[ID_with_x],[1]!Entities[Name_w_County],_xlfn.CONCAT("Entity ID ",RIGHT(Table3[[#This Row],[Sponsor_1_num]],8)," not found")),"")</f>
        <v/>
      </c>
      <c r="P765" t="str">
        <f>IF(LEN(J765)&lt;&gt;0,_xlfn.XLOOKUP(J765,[1]!Entities[ID_with_x],[1]!Entities[Name_w_County],_xlfn.CONCAT("Entity ID ",RIGHT(Table3[[#This Row],[Sponsor_1_num]],8)," not found")),"")</f>
        <v/>
      </c>
      <c r="Q765" t="str">
        <f>IF(LEN(K765)&gt;0,_xlfn.TEXTJOIN(", ",TRUE,K765:P765),Table3[[#This Row],[SPONSOR_LIST]])</f>
        <v>Weslaco</v>
      </c>
    </row>
    <row r="766" spans="1:17" x14ac:dyDescent="0.25">
      <c r="A766" s="304" t="s">
        <v>4250</v>
      </c>
      <c r="B766" t="s">
        <v>4255</v>
      </c>
      <c r="C766" t="str">
        <f t="shared" si="12"/>
        <v/>
      </c>
      <c r="D766" t="str">
        <f>SUBSTITUTE(SUBSTITUTE(Table3[[#This Row],[Sponsor_list_tranform]],",",",x")," ","")</f>
        <v/>
      </c>
      <c r="K766" t="str">
        <f>IF(LEN(E766)&lt;&gt;0,_xlfn.XLOOKUP(E766,[1]!Entities[ID_with_x],[1]!Entities[Name_w_County],_xlfn.CONCAT("Entity ID ",RIGHT(Table3[[#This Row],[Sponsor_1_num]],8)," not found")),"")</f>
        <v/>
      </c>
      <c r="L766" t="str">
        <f>IF(LEN(F766)&lt;&gt;0,_xlfn.XLOOKUP(F766,[1]!Entities[ID_with_x],[1]!Entities[Name_w_County],_xlfn.CONCAT("Entity ID ",RIGHT(Table3[[#This Row],[Sponsor_1_num]],8)," not found")),"")</f>
        <v/>
      </c>
      <c r="M766" t="str">
        <f>IF(LEN(G766)&lt;&gt;0,_xlfn.XLOOKUP(G766,[1]!Entities[ID_with_x],[1]!Entities[Name_w_County],_xlfn.CONCAT("Entity ID ",RIGHT(Table3[[#This Row],[Sponsor_1_num]],8)," not found")),"")</f>
        <v/>
      </c>
      <c r="N766" t="str">
        <f>IF(LEN(H766)&lt;&gt;0,_xlfn.XLOOKUP(H766,[1]!Entities[ID_with_x],[1]!Entities[Name_w_County],_xlfn.CONCAT("Entity ID ",RIGHT(Table3[[#This Row],[Sponsor_1_num]],8)," not found")),"")</f>
        <v/>
      </c>
      <c r="O766" t="str">
        <f>IF(LEN(I766)&lt;&gt;0,_xlfn.XLOOKUP(I766,[1]!Entities[ID_with_x],[1]!Entities[Name_w_County],_xlfn.CONCAT("Entity ID ",RIGHT(Table3[[#This Row],[Sponsor_1_num]],8)," not found")),"")</f>
        <v/>
      </c>
      <c r="P766" t="str">
        <f>IF(LEN(J766)&lt;&gt;0,_xlfn.XLOOKUP(J766,[1]!Entities[ID_with_x],[1]!Entities[Name_w_County],_xlfn.CONCAT("Entity ID ",RIGHT(Table3[[#This Row],[Sponsor_1_num]],8)," not found")),"")</f>
        <v/>
      </c>
      <c r="Q766" t="str">
        <f>IF(LEN(K766)&gt;0,_xlfn.TEXTJOIN(", ",TRUE,K766:P766),Table3[[#This Row],[SPONSOR_LIST]])</f>
        <v>Alamo</v>
      </c>
    </row>
    <row r="767" spans="1:17" x14ac:dyDescent="0.25">
      <c r="A767" s="304" t="s">
        <v>4329</v>
      </c>
      <c r="B767" t="s">
        <v>4331</v>
      </c>
      <c r="C767" t="str">
        <f t="shared" si="12"/>
        <v/>
      </c>
      <c r="D767" t="str">
        <f>SUBSTITUTE(SUBSTITUTE(Table3[[#This Row],[Sponsor_list_tranform]],",",",x")," ","")</f>
        <v/>
      </c>
      <c r="K767" t="str">
        <f>IF(LEN(E767)&lt;&gt;0,_xlfn.XLOOKUP(E767,[1]!Entities[ID_with_x],[1]!Entities[Name_w_County],_xlfn.CONCAT("Entity ID ",RIGHT(Table3[[#This Row],[Sponsor_1_num]],8)," not found")),"")</f>
        <v/>
      </c>
      <c r="L767" t="str">
        <f>IF(LEN(F767)&lt;&gt;0,_xlfn.XLOOKUP(F767,[1]!Entities[ID_with_x],[1]!Entities[Name_w_County],_xlfn.CONCAT("Entity ID ",RIGHT(Table3[[#This Row],[Sponsor_1_num]],8)," not found")),"")</f>
        <v/>
      </c>
      <c r="M767" t="str">
        <f>IF(LEN(G767)&lt;&gt;0,_xlfn.XLOOKUP(G767,[1]!Entities[ID_with_x],[1]!Entities[Name_w_County],_xlfn.CONCAT("Entity ID ",RIGHT(Table3[[#This Row],[Sponsor_1_num]],8)," not found")),"")</f>
        <v/>
      </c>
      <c r="N767" t="str">
        <f>IF(LEN(H767)&lt;&gt;0,_xlfn.XLOOKUP(H767,[1]!Entities[ID_with_x],[1]!Entities[Name_w_County],_xlfn.CONCAT("Entity ID ",RIGHT(Table3[[#This Row],[Sponsor_1_num]],8)," not found")),"")</f>
        <v/>
      </c>
      <c r="O767" t="str">
        <f>IF(LEN(I767)&lt;&gt;0,_xlfn.XLOOKUP(I767,[1]!Entities[ID_with_x],[1]!Entities[Name_w_County],_xlfn.CONCAT("Entity ID ",RIGHT(Table3[[#This Row],[Sponsor_1_num]],8)," not found")),"")</f>
        <v/>
      </c>
      <c r="P767" t="str">
        <f>IF(LEN(J767)&lt;&gt;0,_xlfn.XLOOKUP(J767,[1]!Entities[ID_with_x],[1]!Entities[Name_w_County],_xlfn.CONCAT("Entity ID ",RIGHT(Table3[[#This Row],[Sponsor_1_num]],8)," not found")),"")</f>
        <v/>
      </c>
      <c r="Q767" t="str">
        <f>IF(LEN(K767)&gt;0,_xlfn.TEXTJOIN(", ",TRUE,K767:P767),Table3[[#This Row],[SPONSOR_LIST]])</f>
        <v>Alton</v>
      </c>
    </row>
    <row r="768" spans="1:17" x14ac:dyDescent="0.25">
      <c r="A768" s="304" t="s">
        <v>4293</v>
      </c>
      <c r="B768" t="s">
        <v>4299</v>
      </c>
      <c r="C768" t="str">
        <f t="shared" si="12"/>
        <v/>
      </c>
      <c r="D768" t="str">
        <f>SUBSTITUTE(SUBSTITUTE(Table3[[#This Row],[Sponsor_list_tranform]],",",",x")," ","")</f>
        <v/>
      </c>
      <c r="K768" t="str">
        <f>IF(LEN(E768)&lt;&gt;0,_xlfn.XLOOKUP(E768,[1]!Entities[ID_with_x],[1]!Entities[Name_w_County],_xlfn.CONCAT("Entity ID ",RIGHT(Table3[[#This Row],[Sponsor_1_num]],8)," not found")),"")</f>
        <v/>
      </c>
      <c r="L768" t="str">
        <f>IF(LEN(F768)&lt;&gt;0,_xlfn.XLOOKUP(F768,[1]!Entities[ID_with_x],[1]!Entities[Name_w_County],_xlfn.CONCAT("Entity ID ",RIGHT(Table3[[#This Row],[Sponsor_1_num]],8)," not found")),"")</f>
        <v/>
      </c>
      <c r="M768" t="str">
        <f>IF(LEN(G768)&lt;&gt;0,_xlfn.XLOOKUP(G768,[1]!Entities[ID_with_x],[1]!Entities[Name_w_County],_xlfn.CONCAT("Entity ID ",RIGHT(Table3[[#This Row],[Sponsor_1_num]],8)," not found")),"")</f>
        <v/>
      </c>
      <c r="N768" t="str">
        <f>IF(LEN(H768)&lt;&gt;0,_xlfn.XLOOKUP(H768,[1]!Entities[ID_with_x],[1]!Entities[Name_w_County],_xlfn.CONCAT("Entity ID ",RIGHT(Table3[[#This Row],[Sponsor_1_num]],8)," not found")),"")</f>
        <v/>
      </c>
      <c r="O768" t="str">
        <f>IF(LEN(I768)&lt;&gt;0,_xlfn.XLOOKUP(I768,[1]!Entities[ID_with_x],[1]!Entities[Name_w_County],_xlfn.CONCAT("Entity ID ",RIGHT(Table3[[#This Row],[Sponsor_1_num]],8)," not found")),"")</f>
        <v/>
      </c>
      <c r="P768" t="str">
        <f>IF(LEN(J768)&lt;&gt;0,_xlfn.XLOOKUP(J768,[1]!Entities[ID_with_x],[1]!Entities[Name_w_County],_xlfn.CONCAT("Entity ID ",RIGHT(Table3[[#This Row],[Sponsor_1_num]],8)," not found")),"")</f>
        <v/>
      </c>
      <c r="Q768" t="str">
        <f>IF(LEN(K768)&gt;0,_xlfn.TEXTJOIN(", ",TRUE,K768:P768),Table3[[#This Row],[SPONSOR_LIST]])</f>
        <v>Brownsville</v>
      </c>
    </row>
    <row r="769" spans="1:17" x14ac:dyDescent="0.25">
      <c r="A769" s="304" t="s">
        <v>4336</v>
      </c>
      <c r="B769" t="s">
        <v>3848</v>
      </c>
      <c r="C769" t="str">
        <f t="shared" si="12"/>
        <v/>
      </c>
      <c r="D769" t="str">
        <f>SUBSTITUTE(SUBSTITUTE(Table3[[#This Row],[Sponsor_list_tranform]],",",",x")," ","")</f>
        <v/>
      </c>
      <c r="K769" t="str">
        <f>IF(LEN(E769)&lt;&gt;0,_xlfn.XLOOKUP(E769,[1]!Entities[ID_with_x],[1]!Entities[Name_w_County],_xlfn.CONCAT("Entity ID ",RIGHT(Table3[[#This Row],[Sponsor_1_num]],8)," not found")),"")</f>
        <v/>
      </c>
      <c r="L769" t="str">
        <f>IF(LEN(F769)&lt;&gt;0,_xlfn.XLOOKUP(F769,[1]!Entities[ID_with_x],[1]!Entities[Name_w_County],_xlfn.CONCAT("Entity ID ",RIGHT(Table3[[#This Row],[Sponsor_1_num]],8)," not found")),"")</f>
        <v/>
      </c>
      <c r="M769" t="str">
        <f>IF(LEN(G769)&lt;&gt;0,_xlfn.XLOOKUP(G769,[1]!Entities[ID_with_x],[1]!Entities[Name_w_County],_xlfn.CONCAT("Entity ID ",RIGHT(Table3[[#This Row],[Sponsor_1_num]],8)," not found")),"")</f>
        <v/>
      </c>
      <c r="N769" t="str">
        <f>IF(LEN(H769)&lt;&gt;0,_xlfn.XLOOKUP(H769,[1]!Entities[ID_with_x],[1]!Entities[Name_w_County],_xlfn.CONCAT("Entity ID ",RIGHT(Table3[[#This Row],[Sponsor_1_num]],8)," not found")),"")</f>
        <v/>
      </c>
      <c r="O769" t="str">
        <f>IF(LEN(I769)&lt;&gt;0,_xlfn.XLOOKUP(I769,[1]!Entities[ID_with_x],[1]!Entities[Name_w_County],_xlfn.CONCAT("Entity ID ",RIGHT(Table3[[#This Row],[Sponsor_1_num]],8)," not found")),"")</f>
        <v/>
      </c>
      <c r="P769" t="str">
        <f>IF(LEN(J769)&lt;&gt;0,_xlfn.XLOOKUP(J769,[1]!Entities[ID_with_x],[1]!Entities[Name_w_County],_xlfn.CONCAT("Entity ID ",RIGHT(Table3[[#This Row],[Sponsor_1_num]],8)," not found")),"")</f>
        <v/>
      </c>
      <c r="Q769" t="str">
        <f>IF(LEN(K769)&gt;0,_xlfn.TEXTJOIN(", ",TRUE,K769:P769),Table3[[#This Row],[SPONSOR_LIST]])</f>
        <v>Cameron</v>
      </c>
    </row>
    <row r="770" spans="1:17" x14ac:dyDescent="0.25">
      <c r="A770" s="304" t="s">
        <v>4306</v>
      </c>
      <c r="B770" t="s">
        <v>4311</v>
      </c>
      <c r="C770" t="str">
        <f t="shared" si="12"/>
        <v/>
      </c>
      <c r="D770" t="str">
        <f>SUBSTITUTE(SUBSTITUTE(Table3[[#This Row],[Sponsor_list_tranform]],",",",x")," ","")</f>
        <v/>
      </c>
      <c r="K770" t="str">
        <f>IF(LEN(E770)&lt;&gt;0,_xlfn.XLOOKUP(E770,[1]!Entities[ID_with_x],[1]!Entities[Name_w_County],_xlfn.CONCAT("Entity ID ",RIGHT(Table3[[#This Row],[Sponsor_1_num]],8)," not found")),"")</f>
        <v/>
      </c>
      <c r="L770" t="str">
        <f>IF(LEN(F770)&lt;&gt;0,_xlfn.XLOOKUP(F770,[1]!Entities[ID_with_x],[1]!Entities[Name_w_County],_xlfn.CONCAT("Entity ID ",RIGHT(Table3[[#This Row],[Sponsor_1_num]],8)," not found")),"")</f>
        <v/>
      </c>
      <c r="M770" t="str">
        <f>IF(LEN(G770)&lt;&gt;0,_xlfn.XLOOKUP(G770,[1]!Entities[ID_with_x],[1]!Entities[Name_w_County],_xlfn.CONCAT("Entity ID ",RIGHT(Table3[[#This Row],[Sponsor_1_num]],8)," not found")),"")</f>
        <v/>
      </c>
      <c r="N770" t="str">
        <f>IF(LEN(H770)&lt;&gt;0,_xlfn.XLOOKUP(H770,[1]!Entities[ID_with_x],[1]!Entities[Name_w_County],_xlfn.CONCAT("Entity ID ",RIGHT(Table3[[#This Row],[Sponsor_1_num]],8)," not found")),"")</f>
        <v/>
      </c>
      <c r="O770" t="str">
        <f>IF(LEN(I770)&lt;&gt;0,_xlfn.XLOOKUP(I770,[1]!Entities[ID_with_x],[1]!Entities[Name_w_County],_xlfn.CONCAT("Entity ID ",RIGHT(Table3[[#This Row],[Sponsor_1_num]],8)," not found")),"")</f>
        <v/>
      </c>
      <c r="P770" t="str">
        <f>IF(LEN(J770)&lt;&gt;0,_xlfn.XLOOKUP(J770,[1]!Entities[ID_with_x],[1]!Entities[Name_w_County],_xlfn.CONCAT("Entity ID ",RIGHT(Table3[[#This Row],[Sponsor_1_num]],8)," not found")),"")</f>
        <v/>
      </c>
      <c r="Q770" t="str">
        <f>IF(LEN(K770)&gt;0,_xlfn.TEXTJOIN(", ",TRUE,K770:P770),Table3[[#This Row],[SPONSOR_LIST]])</f>
        <v>Combes</v>
      </c>
    </row>
    <row r="771" spans="1:17" x14ac:dyDescent="0.25">
      <c r="A771" s="304" t="s">
        <v>4283</v>
      </c>
      <c r="B771" t="s">
        <v>4285</v>
      </c>
      <c r="C771" t="str">
        <f t="shared" si="12"/>
        <v/>
      </c>
      <c r="D771" t="str">
        <f>SUBSTITUTE(SUBSTITUTE(Table3[[#This Row],[Sponsor_list_tranform]],",",",x")," ","")</f>
        <v/>
      </c>
      <c r="K771" t="str">
        <f>IF(LEN(E771)&lt;&gt;0,_xlfn.XLOOKUP(E771,[1]!Entities[ID_with_x],[1]!Entities[Name_w_County],_xlfn.CONCAT("Entity ID ",RIGHT(Table3[[#This Row],[Sponsor_1_num]],8)," not found")),"")</f>
        <v/>
      </c>
      <c r="L771" t="str">
        <f>IF(LEN(F771)&lt;&gt;0,_xlfn.XLOOKUP(F771,[1]!Entities[ID_with_x],[1]!Entities[Name_w_County],_xlfn.CONCAT("Entity ID ",RIGHT(Table3[[#This Row],[Sponsor_1_num]],8)," not found")),"")</f>
        <v/>
      </c>
      <c r="M771" t="str">
        <f>IF(LEN(G771)&lt;&gt;0,_xlfn.XLOOKUP(G771,[1]!Entities[ID_with_x],[1]!Entities[Name_w_County],_xlfn.CONCAT("Entity ID ",RIGHT(Table3[[#This Row],[Sponsor_1_num]],8)," not found")),"")</f>
        <v/>
      </c>
      <c r="N771" t="str">
        <f>IF(LEN(H771)&lt;&gt;0,_xlfn.XLOOKUP(H771,[1]!Entities[ID_with_x],[1]!Entities[Name_w_County],_xlfn.CONCAT("Entity ID ",RIGHT(Table3[[#This Row],[Sponsor_1_num]],8)," not found")),"")</f>
        <v/>
      </c>
      <c r="O771" t="str">
        <f>IF(LEN(I771)&lt;&gt;0,_xlfn.XLOOKUP(I771,[1]!Entities[ID_with_x],[1]!Entities[Name_w_County],_xlfn.CONCAT("Entity ID ",RIGHT(Table3[[#This Row],[Sponsor_1_num]],8)," not found")),"")</f>
        <v/>
      </c>
      <c r="P771" t="str">
        <f>IF(LEN(J771)&lt;&gt;0,_xlfn.XLOOKUP(J771,[1]!Entities[ID_with_x],[1]!Entities[Name_w_County],_xlfn.CONCAT("Entity ID ",RIGHT(Table3[[#This Row],[Sponsor_1_num]],8)," not found")),"")</f>
        <v/>
      </c>
      <c r="Q771" t="str">
        <f>IF(LEN(K771)&gt;0,_xlfn.TEXTJOIN(", ",TRUE,K771:P771),Table3[[#This Row],[SPONSOR_LIST]])</f>
        <v>Donna</v>
      </c>
    </row>
    <row r="772" spans="1:17" x14ac:dyDescent="0.25">
      <c r="A772" s="304" t="s">
        <v>4256</v>
      </c>
      <c r="B772" t="s">
        <v>4259</v>
      </c>
      <c r="C772" t="str">
        <f t="shared" si="12"/>
        <v/>
      </c>
      <c r="D772" t="str">
        <f>SUBSTITUTE(SUBSTITUTE(Table3[[#This Row],[Sponsor_list_tranform]],",",",x")," ","")</f>
        <v/>
      </c>
      <c r="K772" t="str">
        <f>IF(LEN(E772)&lt;&gt;0,_xlfn.XLOOKUP(E772,[1]!Entities[ID_with_x],[1]!Entities[Name_w_County],_xlfn.CONCAT("Entity ID ",RIGHT(Table3[[#This Row],[Sponsor_1_num]],8)," not found")),"")</f>
        <v/>
      </c>
      <c r="L772" t="str">
        <f>IF(LEN(F772)&lt;&gt;0,_xlfn.XLOOKUP(F772,[1]!Entities[ID_with_x],[1]!Entities[Name_w_County],_xlfn.CONCAT("Entity ID ",RIGHT(Table3[[#This Row],[Sponsor_1_num]],8)," not found")),"")</f>
        <v/>
      </c>
      <c r="M772" t="str">
        <f>IF(LEN(G772)&lt;&gt;0,_xlfn.XLOOKUP(G772,[1]!Entities[ID_with_x],[1]!Entities[Name_w_County],_xlfn.CONCAT("Entity ID ",RIGHT(Table3[[#This Row],[Sponsor_1_num]],8)," not found")),"")</f>
        <v/>
      </c>
      <c r="N772" t="str">
        <f>IF(LEN(H772)&lt;&gt;0,_xlfn.XLOOKUP(H772,[1]!Entities[ID_with_x],[1]!Entities[Name_w_County],_xlfn.CONCAT("Entity ID ",RIGHT(Table3[[#This Row],[Sponsor_1_num]],8)," not found")),"")</f>
        <v/>
      </c>
      <c r="O772" t="str">
        <f>IF(LEN(I772)&lt;&gt;0,_xlfn.XLOOKUP(I772,[1]!Entities[ID_with_x],[1]!Entities[Name_w_County],_xlfn.CONCAT("Entity ID ",RIGHT(Table3[[#This Row],[Sponsor_1_num]],8)," not found")),"")</f>
        <v/>
      </c>
      <c r="P772" t="str">
        <f>IF(LEN(J772)&lt;&gt;0,_xlfn.XLOOKUP(J772,[1]!Entities[ID_with_x],[1]!Entities[Name_w_County],_xlfn.CONCAT("Entity ID ",RIGHT(Table3[[#This Row],[Sponsor_1_num]],8)," not found")),"")</f>
        <v/>
      </c>
      <c r="Q772" t="str">
        <f>IF(LEN(K772)&gt;0,_xlfn.TEXTJOIN(", ",TRUE,K772:P772),Table3[[#This Row],[SPONSOR_LIST]])</f>
        <v>Elsa</v>
      </c>
    </row>
  </sheetData>
  <conditionalFormatting sqref="A2:A772">
    <cfRule type="expression" dxfId="1" priority="3">
      <formula>MOD(ROW(),2)=0</formula>
    </cfRule>
  </conditionalFormatting>
  <conditionalFormatting sqref="B2:B772">
    <cfRule type="containsText" dxfId="0" priority="1" operator="containsText" text="CHANGE">
      <formula>NOT(ISERROR(SEARCH("CHANGE",B2)))</formula>
    </cfRule>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Read_Me</vt:lpstr>
      <vt:lpstr>FMS_InputData</vt:lpstr>
      <vt:lpstr>Ranking_Criteria</vt:lpstr>
      <vt:lpstr>FMS_Ranking</vt:lpstr>
      <vt:lpstr>Sponsor</vt:lpstr>
      <vt:lpstr>Project_Type_Scoring</vt:lpstr>
      <vt:lpstr>Prev_Rank</vt:lpstr>
      <vt:lpstr>Entity_Lookup</vt:lpstr>
      <vt:lpstr>Sponsor_Lookup</vt:lpstr>
      <vt:lpstr>About Lookups</vt:lpstr>
      <vt:lpstr>FMS_Ranking!Print_Area</vt:lpstr>
      <vt:lpstr>FMS_Ranking!Print_Titles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Reem.Zoun@twdb.texas.gov</dc:creator>
  <cp:lastModifiedBy>Sara Sopczynski</cp:lastModifiedBy>
  <cp:lastPrinted>2026-04-20T15:50:34Z</cp:lastPrinted>
  <dcterms:created xsi:type="dcterms:W3CDTF">2022-07-27T17:02:10Z</dcterms:created>
  <dcterms:modified xsi:type="dcterms:W3CDTF">2026-05-13T14:56:37Z</dcterms:modified>
</cp:coreProperties>
</file>